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5.xml" ContentType="application/vnd.openxmlformats-officedocument.drawing+xml"/>
  <Override PartName="/xl/pivotTables/pivotTable13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P:\Přehled VZ\"/>
    </mc:Choice>
  </mc:AlternateContent>
  <xr:revisionPtr revIDLastSave="0" documentId="13_ncr:1_{A3F3ADAF-B009-40BE-A8FE-4BEE43E4161C}" xr6:coauthVersionLast="36" xr6:coauthVersionMax="36" xr10:uidLastSave="{00000000-0000-0000-0000-000000000000}"/>
  <bookViews>
    <workbookView xWindow="0" yWindow="0" windowWidth="21570" windowHeight="7680" tabRatio="865" firstSheet="2" activeTab="29" xr2:uid="{00000000-000D-0000-FFFF-FFFF00000000}"/>
  </bookViews>
  <sheets>
    <sheet name="Úspory 2015" sheetId="50" state="hidden" r:id="rId1"/>
    <sheet name="Přehled VZ, částí za roky" sheetId="101" state="hidden" r:id="rId2"/>
    <sheet name="VZ 2015" sheetId="1" r:id="rId3"/>
    <sheet name="Přehled 2016" sheetId="39" state="hidden" r:id="rId4"/>
    <sheet name="Úspory 2016" sheetId="49" state="hidden" r:id="rId5"/>
    <sheet name="VZ 2016" sheetId="15" r:id="rId6"/>
    <sheet name="VZ 2017" sheetId="41" r:id="rId7"/>
    <sheet name="Přehled 2017" sheetId="42" state="hidden" r:id="rId8"/>
    <sheet name="Úspory 2017" sheetId="48" state="hidden" r:id="rId9"/>
    <sheet name="VZ 2018" sheetId="43" r:id="rId10"/>
    <sheet name="VZ-2019" sheetId="51" r:id="rId11"/>
    <sheet name="VZ-2020" sheetId="67" r:id="rId12"/>
    <sheet name="Přehled 2018" sheetId="46" state="hidden" r:id="rId13"/>
    <sheet name="Úspory 2018" sheetId="47" state="hidden" r:id="rId14"/>
    <sheet name="Přehled 2019" sheetId="54" state="hidden" r:id="rId15"/>
    <sheet name="Úspory 2019" sheetId="53" state="hidden" r:id="rId16"/>
    <sheet name="Plnění k 4.7.2019" sheetId="65" state="hidden" r:id="rId17"/>
    <sheet name="Přehled 2020" sheetId="68" state="hidden" r:id="rId18"/>
    <sheet name="Přehled 2021" sheetId="72" state="hidden" r:id="rId19"/>
    <sheet name="Úspory 2020" sheetId="69" state="hidden" r:id="rId20"/>
    <sheet name="VZ-2021" sheetId="71" r:id="rId21"/>
    <sheet name="Úspory 2021" sheetId="73" state="hidden" r:id="rId22"/>
    <sheet name="VZ-2022" sheetId="80" r:id="rId23"/>
    <sheet name="Doby etap" sheetId="91" state="hidden" r:id="rId24"/>
    <sheet name="Průměrné doby" sheetId="93" state="hidden" r:id="rId25"/>
    <sheet name="Přehled 2022" sheetId="81" state="hidden" r:id="rId26"/>
    <sheet name="Úspory 2022" sheetId="82" state="hidden" r:id="rId27"/>
    <sheet name="VZ-2023" sheetId="98" r:id="rId28"/>
    <sheet name="Přehled 2023" sheetId="99" state="hidden" r:id="rId29"/>
    <sheet name="VZ-2024" sheetId="102" r:id="rId30"/>
    <sheet name="Přehled za roky" sheetId="44" r:id="rId31"/>
    <sheet name="Konec smluv ZM" sheetId="75" r:id="rId32"/>
    <sheet name="Úspory 2023" sheetId="100" state="hidden" r:id="rId33"/>
    <sheet name="Konec smluv VŠEOB" sheetId="105" r:id="rId34"/>
    <sheet name="Konec smluv DDHM" sheetId="106" r:id="rId35"/>
    <sheet name="Úspory 2024" sheetId="104" r:id="rId36"/>
    <sheet name="Přehled 2024" sheetId="103" r:id="rId37"/>
    <sheet name="Konec smluv léky, diag." sheetId="79" state="hidden" r:id="rId38"/>
  </sheets>
  <definedNames>
    <definedName name="_xlnm._FilterDatabase" localSheetId="23" hidden="1">'Doby etap'!$A$8:$M$878</definedName>
    <definedName name="_xlnm._FilterDatabase" localSheetId="37" hidden="1">'Konec smluv léky, diag.'!$A$1:$J$1</definedName>
    <definedName name="_xlnm._FilterDatabase" localSheetId="33" hidden="1">'Konec smluv VŠEOB'!$A$1:$J$1</definedName>
    <definedName name="_xlnm._FilterDatabase" localSheetId="31" hidden="1">'Konec smluv ZM'!$A$1:$K$832</definedName>
    <definedName name="_xlnm._FilterDatabase" localSheetId="2" hidden="1">'VZ 2015'!$A$6:$P$205</definedName>
    <definedName name="_xlnm._FilterDatabase" localSheetId="5" hidden="1">'VZ 2016'!$A$6:$Q$351</definedName>
    <definedName name="_xlnm._FilterDatabase" localSheetId="6" hidden="1">'VZ 2017'!$A$6:$U$439</definedName>
    <definedName name="_xlnm._FilterDatabase" localSheetId="9" hidden="1">'VZ 2018'!$A$6:$U$501</definedName>
    <definedName name="_xlnm._FilterDatabase" localSheetId="10" hidden="1">'VZ-2019'!$C$8:$AF$922</definedName>
    <definedName name="_xlnm._FilterDatabase" localSheetId="11" hidden="1">'VZ-2020'!$C$8:$AE$771</definedName>
    <definedName name="_xlnm._FilterDatabase" localSheetId="20" hidden="1">'VZ-2021'!$A$8:$AD$876</definedName>
    <definedName name="_xlnm._FilterDatabase" localSheetId="22" hidden="1">'VZ-2022'!$A$8:$AC$1046</definedName>
    <definedName name="_xlnm._FilterDatabase" localSheetId="27" hidden="1">'VZ-2023'!$A$8:$AD$921</definedName>
    <definedName name="_xlnm._FilterDatabase" localSheetId="29" hidden="1">'VZ-2024'!$A$8:$AE$651</definedName>
    <definedName name="_Hlk125007161" localSheetId="27">'VZ-2023'!$Q$188</definedName>
    <definedName name="_Hlk17979088" localSheetId="10">'VZ-2019'!$R$662</definedName>
    <definedName name="_Hlk4655858" localSheetId="10">'VZ-2019'!$R$363</definedName>
    <definedName name="_Hlk7084653" localSheetId="10">'VZ-2019'!$R$303</definedName>
    <definedName name="_Hlk91587927" localSheetId="22">'VZ-2022'!$E$243</definedName>
    <definedName name="_xlnm.Print_Area" localSheetId="31">'Konec smluv ZM'!$A$296:$J$302</definedName>
    <definedName name="_xlnm.Print_Area" localSheetId="30">'Přehled za roky'!$A$47:$N$88</definedName>
    <definedName name="_xlnm.Print_Area" localSheetId="6">'VZ 2017'!$A$1:$N$359</definedName>
    <definedName name="_xlnm.Print_Area" localSheetId="9">'VZ 2018'!$A$250:$M$258</definedName>
    <definedName name="_xlnm.Print_Area" localSheetId="10">'VZ-2019'!$C$8:$N$868</definedName>
    <definedName name="_xlnm.Print_Area" localSheetId="20">'VZ-2021'!$A$622:$G$654</definedName>
    <definedName name="_xlnm.Print_Area" localSheetId="22">'VZ-2022'!$A$216:$K$361</definedName>
    <definedName name="_xlnm.Print_Area" localSheetId="27">'VZ-2023'!$A$882:$O$889</definedName>
    <definedName name="_xlnm.Print_Area" localSheetId="29">'VZ-2024'!$F$258:$T$397</definedName>
  </definedNames>
  <calcPr calcId="191029"/>
  <pivotCaches>
    <pivotCache cacheId="0" r:id="rId39"/>
    <pivotCache cacheId="1" r:id="rId40"/>
    <pivotCache cacheId="2" r:id="rId41"/>
    <pivotCache cacheId="3" r:id="rId42"/>
    <pivotCache cacheId="4" r:id="rId43"/>
    <pivotCache cacheId="5" r:id="rId44"/>
    <pivotCache cacheId="6" r:id="rId45"/>
    <pivotCache cacheId="7" r:id="rId46"/>
    <pivotCache cacheId="8" r:id="rId47"/>
    <pivotCache cacheId="9" r:id="rId48"/>
    <pivotCache cacheId="10" r:id="rId49"/>
    <pivotCache cacheId="11" r:id="rId50"/>
    <pivotCache cacheId="12" r:id="rId51"/>
    <pivotCache cacheId="13" r:id="rId52"/>
    <pivotCache cacheId="14" r:id="rId53"/>
    <pivotCache cacheId="15" r:id="rId54"/>
    <pivotCache cacheId="16" r:id="rId55"/>
    <pivotCache cacheId="17" r:id="rId56"/>
    <pivotCache cacheId="18" r:id="rId57"/>
  </pivotCaches>
</workbook>
</file>

<file path=xl/calcChain.xml><?xml version="1.0" encoding="utf-8"?>
<calcChain xmlns="http://schemas.openxmlformats.org/spreadsheetml/2006/main">
  <c r="B88" i="44" l="1"/>
  <c r="G83" i="44"/>
  <c r="F85" i="44"/>
  <c r="D87" i="44"/>
  <c r="E83" i="44"/>
  <c r="E84" i="44"/>
  <c r="E85" i="44"/>
  <c r="H87" i="44"/>
  <c r="E86" i="44"/>
  <c r="G84" i="44"/>
  <c r="F87" i="44"/>
  <c r="C83" i="44"/>
  <c r="D83" i="44"/>
  <c r="D85" i="44"/>
  <c r="H85" i="44"/>
  <c r="F86" i="44"/>
  <c r="C86" i="44"/>
  <c r="C84" i="44"/>
  <c r="C87" i="44"/>
  <c r="H84" i="44"/>
  <c r="D84" i="44"/>
  <c r="E87" i="44"/>
  <c r="C85" i="44"/>
  <c r="F83" i="44"/>
  <c r="D86" i="44"/>
  <c r="G87" i="44"/>
  <c r="H86" i="44"/>
  <c r="H83" i="44"/>
  <c r="G85" i="44"/>
  <c r="G86" i="44"/>
  <c r="F84" i="44"/>
  <c r="I87" i="44" l="1"/>
  <c r="J87" i="44"/>
  <c r="K83" i="44"/>
  <c r="K87" i="44"/>
  <c r="K84" i="44"/>
  <c r="K85" i="44"/>
  <c r="K86" i="44"/>
  <c r="L86" i="44"/>
  <c r="I86" i="44"/>
  <c r="J86" i="44"/>
  <c r="L87" i="44"/>
  <c r="D88" i="44"/>
  <c r="E88" i="44"/>
  <c r="F88" i="44"/>
  <c r="G88" i="44"/>
  <c r="I83" i="44"/>
  <c r="I84" i="44"/>
  <c r="I85" i="44"/>
  <c r="H88" i="44"/>
  <c r="J83" i="44"/>
  <c r="J84" i="44"/>
  <c r="J85" i="44"/>
  <c r="L83" i="44"/>
  <c r="C88" i="44"/>
  <c r="L88" i="44" s="1"/>
  <c r="L84" i="44"/>
  <c r="L85" i="44"/>
  <c r="K88" i="44" l="1"/>
  <c r="J88" i="44"/>
  <c r="I88" i="44"/>
  <c r="J3" i="101" l="1"/>
  <c r="I3" i="101"/>
  <c r="J4" i="101"/>
  <c r="J5" i="101"/>
  <c r="J6" i="101"/>
  <c r="J7" i="101"/>
  <c r="C8" i="101"/>
  <c r="B8" i="101"/>
  <c r="K16" i="101"/>
  <c r="J16" i="101"/>
  <c r="I16" i="101"/>
  <c r="H16" i="101"/>
  <c r="J15" i="101"/>
  <c r="I15" i="101"/>
  <c r="H15" i="101"/>
  <c r="E14" i="101"/>
  <c r="G14" i="101"/>
  <c r="B14" i="101"/>
  <c r="D14" i="101"/>
  <c r="E13" i="101"/>
  <c r="F13" i="101"/>
  <c r="F12" i="101"/>
  <c r="G12" i="101"/>
  <c r="B13" i="101"/>
  <c r="D13" i="101"/>
  <c r="E12" i="101"/>
  <c r="G13" i="101"/>
  <c r="F14" i="101"/>
  <c r="B12" i="101"/>
  <c r="D12" i="101"/>
  <c r="D8" i="101" l="1"/>
  <c r="L12" i="101"/>
  <c r="J12" i="101"/>
  <c r="D17" i="101"/>
  <c r="H4" i="101"/>
  <c r="H13" i="101"/>
  <c r="M14" i="101"/>
  <c r="I14" i="101"/>
  <c r="L15" i="101"/>
  <c r="H5" i="101"/>
  <c r="G8" i="101"/>
  <c r="M13" i="101"/>
  <c r="I13" i="101"/>
  <c r="E8" i="101"/>
  <c r="H7" i="101"/>
  <c r="F8" i="101"/>
  <c r="H3" i="101"/>
  <c r="F17" i="101"/>
  <c r="H12" i="101"/>
  <c r="M12" i="101"/>
  <c r="G17" i="101"/>
  <c r="I12" i="101"/>
  <c r="H14" i="101"/>
  <c r="M15" i="101"/>
  <c r="I6" i="101"/>
  <c r="L14" i="101"/>
  <c r="J14" i="101"/>
  <c r="E17" i="101"/>
  <c r="H6" i="101"/>
  <c r="I5" i="101"/>
  <c r="L13" i="101"/>
  <c r="J13" i="101"/>
  <c r="M16" i="101"/>
  <c r="I7" i="101"/>
  <c r="I4" i="101"/>
  <c r="K15" i="101"/>
  <c r="L16" i="101"/>
  <c r="K12" i="101"/>
  <c r="B17" i="101"/>
  <c r="K13" i="101"/>
  <c r="K14" i="101"/>
  <c r="I17" i="101" l="1"/>
  <c r="M17" i="101"/>
  <c r="I8" i="101"/>
  <c r="H17" i="101"/>
  <c r="J17" i="101"/>
  <c r="H8" i="101"/>
  <c r="L17" i="101"/>
  <c r="J8" i="101"/>
  <c r="K17" i="101"/>
  <c r="AB823" i="98" l="1"/>
  <c r="AB239" i="98" l="1"/>
  <c r="AB100" i="98" l="1"/>
  <c r="F76" i="44"/>
  <c r="G76" i="44"/>
  <c r="L78" i="44" l="1"/>
  <c r="B79" i="44"/>
  <c r="K78" i="44"/>
  <c r="G74" i="44"/>
  <c r="E76" i="44"/>
  <c r="E74" i="44"/>
  <c r="C76" i="44"/>
  <c r="E75" i="44"/>
  <c r="D76" i="44"/>
  <c r="C75" i="44"/>
  <c r="D75" i="44"/>
  <c r="F74" i="44"/>
  <c r="F75" i="44"/>
  <c r="D74" i="44"/>
  <c r="C74" i="44"/>
  <c r="G75" i="44"/>
  <c r="H74" i="44" l="1"/>
  <c r="I74" i="44"/>
  <c r="J78" i="44"/>
  <c r="J74" i="44"/>
  <c r="D79" i="44"/>
  <c r="J75" i="44"/>
  <c r="J76" i="44"/>
  <c r="J77" i="44"/>
  <c r="K75" i="44"/>
  <c r="H77" i="44"/>
  <c r="I75" i="44"/>
  <c r="K77" i="44"/>
  <c r="F79" i="44"/>
  <c r="H76" i="44"/>
  <c r="I77" i="44"/>
  <c r="E79" i="44"/>
  <c r="H78" i="44"/>
  <c r="G79" i="44"/>
  <c r="K74" i="44"/>
  <c r="C79" i="44"/>
  <c r="K79" i="44" s="1"/>
  <c r="K76" i="44"/>
  <c r="H75" i="44"/>
  <c r="I78" i="44"/>
  <c r="I76" i="44"/>
  <c r="J79" i="44" l="1"/>
  <c r="H79" i="44"/>
  <c r="I79" i="44"/>
  <c r="AA891" i="80" l="1"/>
  <c r="G69" i="44"/>
  <c r="F69" i="44"/>
  <c r="N78" i="44" l="1"/>
  <c r="N69" i="44"/>
  <c r="L69" i="44"/>
  <c r="K69" i="44"/>
  <c r="I69" i="44"/>
  <c r="H69" i="44"/>
  <c r="B70" i="44"/>
  <c r="E69" i="44"/>
  <c r="D69" i="44"/>
  <c r="M78" i="44" l="1"/>
  <c r="M69" i="44"/>
  <c r="J69" i="44"/>
  <c r="AA777" i="80" l="1"/>
  <c r="AA743" i="80"/>
  <c r="AA383" i="80" l="1"/>
  <c r="AA621" i="80" l="1"/>
  <c r="F507" i="75" l="1"/>
  <c r="G507" i="75"/>
  <c r="AA20" i="80" l="1"/>
  <c r="AA63" i="80" l="1"/>
  <c r="N769" i="91" l="1"/>
  <c r="R769" i="91"/>
  <c r="Q769" i="91"/>
  <c r="P769" i="91"/>
  <c r="O769" i="91"/>
  <c r="R768" i="91"/>
  <c r="Q768" i="91"/>
  <c r="P768" i="91"/>
  <c r="O768" i="91"/>
  <c r="N768" i="91"/>
  <c r="R750" i="91"/>
  <c r="Q750" i="91"/>
  <c r="P750" i="91"/>
  <c r="O750" i="91"/>
  <c r="N750" i="91"/>
  <c r="R747" i="91"/>
  <c r="Q747" i="91"/>
  <c r="P747" i="91"/>
  <c r="O747" i="91"/>
  <c r="N747" i="91"/>
  <c r="R743" i="91"/>
  <c r="Q743" i="91"/>
  <c r="P743" i="91"/>
  <c r="O743" i="91"/>
  <c r="N743" i="91"/>
  <c r="R734" i="91"/>
  <c r="Q734" i="91"/>
  <c r="P734" i="91"/>
  <c r="O734" i="91"/>
  <c r="N734" i="91"/>
  <c r="R723" i="91"/>
  <c r="Q723" i="91"/>
  <c r="P723" i="91"/>
  <c r="O723" i="91"/>
  <c r="N723" i="91"/>
  <c r="R722" i="91"/>
  <c r="Q722" i="91"/>
  <c r="P722" i="91"/>
  <c r="O722" i="91"/>
  <c r="N722" i="91"/>
  <c r="R719" i="91"/>
  <c r="Q719" i="91"/>
  <c r="P719" i="91"/>
  <c r="O719" i="91"/>
  <c r="N719" i="91"/>
  <c r="R718" i="91"/>
  <c r="Q718" i="91"/>
  <c r="P718" i="91"/>
  <c r="O718" i="91"/>
  <c r="N718" i="91"/>
  <c r="R717" i="91"/>
  <c r="Q717" i="91"/>
  <c r="P717" i="91"/>
  <c r="O717" i="91"/>
  <c r="N717" i="91"/>
  <c r="R716" i="91"/>
  <c r="Q716" i="91"/>
  <c r="P716" i="91"/>
  <c r="O716" i="91"/>
  <c r="N716" i="91"/>
  <c r="R714" i="91"/>
  <c r="Q714" i="91"/>
  <c r="P714" i="91"/>
  <c r="O714" i="91"/>
  <c r="N714" i="91"/>
  <c r="R713" i="91"/>
  <c r="Q713" i="91"/>
  <c r="P713" i="91"/>
  <c r="O713" i="91"/>
  <c r="N713" i="91"/>
  <c r="R712" i="91"/>
  <c r="Q712" i="91"/>
  <c r="P712" i="91"/>
  <c r="O712" i="91"/>
  <c r="N712" i="91"/>
  <c r="R711" i="91"/>
  <c r="Q711" i="91"/>
  <c r="P711" i="91"/>
  <c r="O711" i="91"/>
  <c r="N711" i="91"/>
  <c r="R710" i="91"/>
  <c r="Q710" i="91"/>
  <c r="P710" i="91"/>
  <c r="O710" i="91"/>
  <c r="N710" i="91"/>
  <c r="R692" i="91"/>
  <c r="Q692" i="91"/>
  <c r="P692" i="91"/>
  <c r="O692" i="91"/>
  <c r="N692" i="91"/>
  <c r="R670" i="91"/>
  <c r="Q670" i="91"/>
  <c r="P670" i="91"/>
  <c r="O670" i="91"/>
  <c r="N670" i="91"/>
  <c r="R668" i="91"/>
  <c r="Q668" i="91"/>
  <c r="P668" i="91"/>
  <c r="O668" i="91"/>
  <c r="N668" i="91"/>
  <c r="R663" i="91"/>
  <c r="Q663" i="91"/>
  <c r="P663" i="91"/>
  <c r="O663" i="91"/>
  <c r="N663" i="91"/>
  <c r="R662" i="91"/>
  <c r="Q662" i="91"/>
  <c r="P662" i="91"/>
  <c r="O662" i="91"/>
  <c r="N662" i="91"/>
  <c r="R660" i="91"/>
  <c r="Q660" i="91"/>
  <c r="P660" i="91"/>
  <c r="O660" i="91"/>
  <c r="N660" i="91"/>
  <c r="R659" i="91"/>
  <c r="Q659" i="91"/>
  <c r="P659" i="91"/>
  <c r="O659" i="91"/>
  <c r="N659" i="91"/>
  <c r="R658" i="91"/>
  <c r="Q658" i="91"/>
  <c r="P658" i="91"/>
  <c r="O658" i="91"/>
  <c r="N658" i="91"/>
  <c r="R657" i="91"/>
  <c r="Q657" i="91"/>
  <c r="P657" i="91"/>
  <c r="O657" i="91"/>
  <c r="N657" i="91"/>
  <c r="R656" i="91"/>
  <c r="Q656" i="91"/>
  <c r="P656" i="91"/>
  <c r="O656" i="91"/>
  <c r="N656" i="91"/>
  <c r="R655" i="91"/>
  <c r="Q655" i="91"/>
  <c r="P655" i="91"/>
  <c r="O655" i="91"/>
  <c r="N655" i="91"/>
  <c r="R653" i="91"/>
  <c r="Q653" i="91"/>
  <c r="P653" i="91"/>
  <c r="O653" i="91"/>
  <c r="N653" i="91"/>
  <c r="R652" i="91"/>
  <c r="Q652" i="91"/>
  <c r="P652" i="91"/>
  <c r="O652" i="91"/>
  <c r="N652" i="91"/>
  <c r="R651" i="91"/>
  <c r="Q651" i="91"/>
  <c r="P651" i="91"/>
  <c r="O651" i="91"/>
  <c r="N651" i="91"/>
  <c r="R650" i="91"/>
  <c r="Q650" i="91"/>
  <c r="P650" i="91"/>
  <c r="O650" i="91"/>
  <c r="N650" i="91"/>
  <c r="R645" i="91"/>
  <c r="Q645" i="91"/>
  <c r="P645" i="91"/>
  <c r="O645" i="91"/>
  <c r="N645" i="91"/>
  <c r="R642" i="91"/>
  <c r="Q642" i="91"/>
  <c r="P642" i="91"/>
  <c r="O642" i="91"/>
  <c r="N642" i="91"/>
  <c r="R628" i="91"/>
  <c r="Q628" i="91"/>
  <c r="P628" i="91"/>
  <c r="O628" i="91"/>
  <c r="N628" i="91"/>
  <c r="R627" i="91"/>
  <c r="Q627" i="91"/>
  <c r="P627" i="91"/>
  <c r="O627" i="91"/>
  <c r="N627" i="91"/>
  <c r="R622" i="91"/>
  <c r="Q622" i="91"/>
  <c r="P622" i="91"/>
  <c r="O622" i="91"/>
  <c r="N622" i="91"/>
  <c r="R621" i="91"/>
  <c r="Q621" i="91"/>
  <c r="P621" i="91"/>
  <c r="O621" i="91"/>
  <c r="N621" i="91"/>
  <c r="R619" i="91"/>
  <c r="Q619" i="91"/>
  <c r="P619" i="91"/>
  <c r="O619" i="91"/>
  <c r="N619" i="91"/>
  <c r="R618" i="91"/>
  <c r="Q618" i="91"/>
  <c r="P618" i="91"/>
  <c r="O618" i="91"/>
  <c r="N618" i="91"/>
  <c r="R616" i="91"/>
  <c r="Q616" i="91"/>
  <c r="P616" i="91"/>
  <c r="O616" i="91"/>
  <c r="N616" i="91"/>
  <c r="R613" i="91"/>
  <c r="Q613" i="91"/>
  <c r="P613" i="91"/>
  <c r="O613" i="91"/>
  <c r="N613" i="91"/>
  <c r="R612" i="91"/>
  <c r="Q612" i="91"/>
  <c r="P612" i="91"/>
  <c r="O612" i="91"/>
  <c r="N612" i="91"/>
  <c r="R610" i="91"/>
  <c r="Q610" i="91"/>
  <c r="P610" i="91"/>
  <c r="O610" i="91"/>
  <c r="N610" i="91"/>
  <c r="R608" i="91"/>
  <c r="Q608" i="91"/>
  <c r="P608" i="91"/>
  <c r="O608" i="91"/>
  <c r="N608" i="91"/>
  <c r="R607" i="91"/>
  <c r="Q607" i="91"/>
  <c r="P607" i="91"/>
  <c r="O607" i="91"/>
  <c r="N607" i="91"/>
  <c r="R598" i="91"/>
  <c r="Q598" i="91"/>
  <c r="P598" i="91"/>
  <c r="O598" i="91"/>
  <c r="N598" i="91"/>
  <c r="R597" i="91"/>
  <c r="Q597" i="91"/>
  <c r="P597" i="91"/>
  <c r="O597" i="91"/>
  <c r="N597" i="91"/>
  <c r="R589" i="91"/>
  <c r="Q589" i="91"/>
  <c r="P589" i="91"/>
  <c r="O589" i="91"/>
  <c r="N589" i="91"/>
  <c r="R586" i="91"/>
  <c r="Q586" i="91"/>
  <c r="P586" i="91"/>
  <c r="O586" i="91"/>
  <c r="N586" i="91"/>
  <c r="R585" i="91"/>
  <c r="Q585" i="91"/>
  <c r="P585" i="91"/>
  <c r="O585" i="91"/>
  <c r="N585" i="91"/>
  <c r="R582" i="91"/>
  <c r="Q582" i="91"/>
  <c r="P582" i="91"/>
  <c r="O582" i="91"/>
  <c r="N582" i="91"/>
  <c r="R581" i="91"/>
  <c r="Q581" i="91"/>
  <c r="P581" i="91"/>
  <c r="O581" i="91"/>
  <c r="N581" i="91"/>
  <c r="R580" i="91"/>
  <c r="Q580" i="91"/>
  <c r="P580" i="91"/>
  <c r="O580" i="91"/>
  <c r="N580" i="91"/>
  <c r="R579" i="91"/>
  <c r="Q579" i="91"/>
  <c r="P579" i="91"/>
  <c r="O579" i="91"/>
  <c r="N579" i="91"/>
  <c r="R578" i="91"/>
  <c r="Q578" i="91"/>
  <c r="P578" i="91"/>
  <c r="O578" i="91"/>
  <c r="N578" i="91"/>
  <c r="R577" i="91"/>
  <c r="Q577" i="91"/>
  <c r="P577" i="91"/>
  <c r="O577" i="91"/>
  <c r="N577" i="91"/>
  <c r="R573" i="91"/>
  <c r="Q573" i="91"/>
  <c r="P573" i="91"/>
  <c r="O573" i="91"/>
  <c r="N573" i="91"/>
  <c r="R572" i="91"/>
  <c r="Q572" i="91"/>
  <c r="P572" i="91"/>
  <c r="O572" i="91"/>
  <c r="N572" i="91"/>
  <c r="R571" i="91"/>
  <c r="Q571" i="91"/>
  <c r="P571" i="91"/>
  <c r="O571" i="91"/>
  <c r="N571" i="91"/>
  <c r="R570" i="91"/>
  <c r="Q570" i="91"/>
  <c r="P570" i="91"/>
  <c r="O570" i="91"/>
  <c r="N570" i="91"/>
  <c r="R569" i="91"/>
  <c r="Q569" i="91"/>
  <c r="P569" i="91"/>
  <c r="O569" i="91"/>
  <c r="N569" i="91"/>
  <c r="R567" i="91"/>
  <c r="Q567" i="91"/>
  <c r="P567" i="91"/>
  <c r="O567" i="91"/>
  <c r="N567" i="91"/>
  <c r="R566" i="91"/>
  <c r="Q566" i="91"/>
  <c r="P566" i="91"/>
  <c r="O566" i="91"/>
  <c r="N566" i="91"/>
  <c r="R562" i="91"/>
  <c r="Q562" i="91"/>
  <c r="P562" i="91"/>
  <c r="O562" i="91"/>
  <c r="N562" i="91"/>
  <c r="R554" i="91"/>
  <c r="Q554" i="91"/>
  <c r="P554" i="91"/>
  <c r="O554" i="91"/>
  <c r="N554" i="91"/>
  <c r="R550" i="91"/>
  <c r="Q550" i="91"/>
  <c r="P550" i="91"/>
  <c r="O550" i="91"/>
  <c r="N550" i="91"/>
  <c r="R541" i="91"/>
  <c r="Q541" i="91"/>
  <c r="P541" i="91"/>
  <c r="O541" i="91"/>
  <c r="N541" i="91"/>
  <c r="R539" i="91"/>
  <c r="Q539" i="91"/>
  <c r="P539" i="91"/>
  <c r="O539" i="91"/>
  <c r="N539" i="91"/>
  <c r="R537" i="91"/>
  <c r="Q537" i="91"/>
  <c r="P537" i="91"/>
  <c r="O537" i="91"/>
  <c r="N537" i="91"/>
  <c r="R536" i="91"/>
  <c r="Q536" i="91"/>
  <c r="P536" i="91"/>
  <c r="O536" i="91"/>
  <c r="N536" i="91"/>
  <c r="R535" i="91"/>
  <c r="Q535" i="91"/>
  <c r="P535" i="91"/>
  <c r="O535" i="91"/>
  <c r="N535" i="91"/>
  <c r="R534" i="91"/>
  <c r="Q534" i="91"/>
  <c r="P534" i="91"/>
  <c r="O534" i="91"/>
  <c r="N534" i="91"/>
  <c r="R533" i="91"/>
  <c r="Q533" i="91"/>
  <c r="P533" i="91"/>
  <c r="O533" i="91"/>
  <c r="N533" i="91"/>
  <c r="R532" i="91"/>
  <c r="Q532" i="91"/>
  <c r="P532" i="91"/>
  <c r="O532" i="91"/>
  <c r="N532" i="91"/>
  <c r="R531" i="91"/>
  <c r="Q531" i="91"/>
  <c r="P531" i="91"/>
  <c r="O531" i="91"/>
  <c r="N531" i="91"/>
  <c r="R530" i="91"/>
  <c r="Q530" i="91"/>
  <c r="P530" i="91"/>
  <c r="O530" i="91"/>
  <c r="N530" i="91"/>
  <c r="R528" i="91"/>
  <c r="Q528" i="91"/>
  <c r="P528" i="91"/>
  <c r="O528" i="91"/>
  <c r="N528" i="91"/>
  <c r="R526" i="91"/>
  <c r="Q526" i="91"/>
  <c r="P526" i="91"/>
  <c r="O526" i="91"/>
  <c r="N526" i="91"/>
  <c r="R525" i="91"/>
  <c r="Q525" i="91"/>
  <c r="P525" i="91"/>
  <c r="O525" i="91"/>
  <c r="N525" i="91"/>
  <c r="R524" i="91"/>
  <c r="Q524" i="91"/>
  <c r="P524" i="91"/>
  <c r="O524" i="91"/>
  <c r="N524" i="91"/>
  <c r="R523" i="91"/>
  <c r="Q523" i="91"/>
  <c r="P523" i="91"/>
  <c r="O523" i="91"/>
  <c r="N523" i="91"/>
  <c r="R517" i="91"/>
  <c r="Q517" i="91"/>
  <c r="P517" i="91"/>
  <c r="O517" i="91"/>
  <c r="N517" i="91"/>
  <c r="R513" i="91"/>
  <c r="Q513" i="91"/>
  <c r="P513" i="91"/>
  <c r="O513" i="91"/>
  <c r="N513" i="91"/>
  <c r="R512" i="91"/>
  <c r="Q512" i="91"/>
  <c r="P512" i="91"/>
  <c r="O512" i="91"/>
  <c r="N512" i="91"/>
  <c r="R507" i="91"/>
  <c r="Q507" i="91"/>
  <c r="P507" i="91"/>
  <c r="O507" i="91"/>
  <c r="N507" i="91"/>
  <c r="R506" i="91"/>
  <c r="Q506" i="91"/>
  <c r="P506" i="91"/>
  <c r="O506" i="91"/>
  <c r="N506" i="91"/>
  <c r="R505" i="91"/>
  <c r="Q505" i="91"/>
  <c r="P505" i="91"/>
  <c r="O505" i="91"/>
  <c r="N505" i="91"/>
  <c r="R503" i="91"/>
  <c r="Q503" i="91"/>
  <c r="P503" i="91"/>
  <c r="O503" i="91"/>
  <c r="N503" i="91"/>
  <c r="R502" i="91"/>
  <c r="Q502" i="91"/>
  <c r="P502" i="91"/>
  <c r="O502" i="91"/>
  <c r="N502" i="91"/>
  <c r="R501" i="91"/>
  <c r="Q501" i="91"/>
  <c r="P501" i="91"/>
  <c r="O501" i="91"/>
  <c r="N501" i="91"/>
  <c r="R493" i="91"/>
  <c r="Q493" i="91"/>
  <c r="P493" i="91"/>
  <c r="O493" i="91"/>
  <c r="N493" i="91"/>
  <c r="R492" i="91"/>
  <c r="Q492" i="91"/>
  <c r="P492" i="91"/>
  <c r="O492" i="91"/>
  <c r="N492" i="91"/>
  <c r="R491" i="91"/>
  <c r="Q491" i="91"/>
  <c r="P491" i="91"/>
  <c r="O491" i="91"/>
  <c r="N491" i="91"/>
  <c r="R490" i="91"/>
  <c r="Q490" i="91"/>
  <c r="P490" i="91"/>
  <c r="O490" i="91"/>
  <c r="N490" i="91"/>
  <c r="R488" i="91"/>
  <c r="Q488" i="91"/>
  <c r="P488" i="91"/>
  <c r="O488" i="91"/>
  <c r="N488" i="91"/>
  <c r="R486" i="91"/>
  <c r="Q486" i="91"/>
  <c r="P486" i="91"/>
  <c r="O486" i="91"/>
  <c r="N486" i="91"/>
  <c r="R484" i="91"/>
  <c r="Q484" i="91"/>
  <c r="P484" i="91"/>
  <c r="O484" i="91"/>
  <c r="N484" i="91"/>
  <c r="R483" i="91"/>
  <c r="Q483" i="91"/>
  <c r="P483" i="91"/>
  <c r="O483" i="91"/>
  <c r="N483" i="91"/>
  <c r="R482" i="91"/>
  <c r="Q482" i="91"/>
  <c r="P482" i="91"/>
  <c r="O482" i="91"/>
  <c r="N482" i="91"/>
  <c r="R481" i="91"/>
  <c r="Q481" i="91"/>
  <c r="P481" i="91"/>
  <c r="O481" i="91"/>
  <c r="N481" i="91"/>
  <c r="R480" i="91"/>
  <c r="Q480" i="91"/>
  <c r="P480" i="91"/>
  <c r="O480" i="91"/>
  <c r="N480" i="91"/>
  <c r="R478" i="91"/>
  <c r="Q478" i="91"/>
  <c r="P478" i="91"/>
  <c r="O478" i="91"/>
  <c r="N478" i="91"/>
  <c r="R477" i="91"/>
  <c r="Q477" i="91"/>
  <c r="P477" i="91"/>
  <c r="O477" i="91"/>
  <c r="N477" i="91"/>
  <c r="R476" i="91"/>
  <c r="Q476" i="91"/>
  <c r="P476" i="91"/>
  <c r="O476" i="91"/>
  <c r="N476" i="91"/>
  <c r="R475" i="91"/>
  <c r="Q475" i="91"/>
  <c r="P475" i="91"/>
  <c r="O475" i="91"/>
  <c r="N475" i="91"/>
  <c r="R474" i="91"/>
  <c r="Q474" i="91"/>
  <c r="P474" i="91"/>
  <c r="O474" i="91"/>
  <c r="N474" i="91"/>
  <c r="R471" i="91"/>
  <c r="Q471" i="91"/>
  <c r="P471" i="91"/>
  <c r="O471" i="91"/>
  <c r="N471" i="91"/>
  <c r="R469" i="91"/>
  <c r="Q469" i="91"/>
  <c r="P469" i="91"/>
  <c r="O469" i="91"/>
  <c r="N469" i="91"/>
  <c r="R467" i="91"/>
  <c r="Q467" i="91"/>
  <c r="P467" i="91"/>
  <c r="O467" i="91"/>
  <c r="N467" i="91"/>
  <c r="R466" i="91"/>
  <c r="Q466" i="91"/>
  <c r="P466" i="91"/>
  <c r="O466" i="91"/>
  <c r="N466" i="91"/>
  <c r="R465" i="91"/>
  <c r="Q465" i="91"/>
  <c r="P465" i="91"/>
  <c r="O465" i="91"/>
  <c r="N465" i="91"/>
  <c r="R464" i="91"/>
  <c r="Q464" i="91"/>
  <c r="P464" i="91"/>
  <c r="O464" i="91"/>
  <c r="N464" i="91"/>
  <c r="R461" i="91"/>
  <c r="Q461" i="91"/>
  <c r="P461" i="91"/>
  <c r="O461" i="91"/>
  <c r="N461" i="91"/>
  <c r="R459" i="91"/>
  <c r="Q459" i="91"/>
  <c r="P459" i="91"/>
  <c r="O459" i="91"/>
  <c r="N459" i="91"/>
  <c r="R458" i="91"/>
  <c r="Q458" i="91"/>
  <c r="P458" i="91"/>
  <c r="O458" i="91"/>
  <c r="N458" i="91"/>
  <c r="R457" i="91"/>
  <c r="Q457" i="91"/>
  <c r="P457" i="91"/>
  <c r="O457" i="91"/>
  <c r="N457" i="91"/>
  <c r="R456" i="91"/>
  <c r="Q456" i="91"/>
  <c r="P456" i="91"/>
  <c r="O456" i="91"/>
  <c r="N456" i="91"/>
  <c r="R455" i="91"/>
  <c r="Q455" i="91"/>
  <c r="P455" i="91"/>
  <c r="O455" i="91"/>
  <c r="N455" i="91"/>
  <c r="R454" i="91"/>
  <c r="Q454" i="91"/>
  <c r="P454" i="91"/>
  <c r="O454" i="91"/>
  <c r="N454" i="91"/>
  <c r="R448" i="91"/>
  <c r="Q448" i="91"/>
  <c r="P448" i="91"/>
  <c r="O448" i="91"/>
  <c r="N448" i="91"/>
  <c r="R443" i="91"/>
  <c r="Q443" i="91"/>
  <c r="P443" i="91"/>
  <c r="O443" i="91"/>
  <c r="N443" i="91"/>
  <c r="R442" i="91"/>
  <c r="Q442" i="91"/>
  <c r="P442" i="91"/>
  <c r="O442" i="91"/>
  <c r="N442" i="91"/>
  <c r="R441" i="91"/>
  <c r="Q441" i="91"/>
  <c r="P441" i="91"/>
  <c r="O441" i="91"/>
  <c r="N441" i="91"/>
  <c r="R440" i="91"/>
  <c r="Q440" i="91"/>
  <c r="P440" i="91"/>
  <c r="O440" i="91"/>
  <c r="N440" i="91"/>
  <c r="R439" i="91"/>
  <c r="Q439" i="91"/>
  <c r="P439" i="91"/>
  <c r="O439" i="91"/>
  <c r="N439" i="91"/>
  <c r="R438" i="91"/>
  <c r="Q438" i="91"/>
  <c r="P438" i="91"/>
  <c r="O438" i="91"/>
  <c r="N438" i="91"/>
  <c r="R436" i="91"/>
  <c r="Q436" i="91"/>
  <c r="P436" i="91"/>
  <c r="O436" i="91"/>
  <c r="N436" i="91"/>
  <c r="R435" i="91"/>
  <c r="Q435" i="91"/>
  <c r="P435" i="91"/>
  <c r="O435" i="91"/>
  <c r="N435" i="91"/>
  <c r="R427" i="91"/>
  <c r="Q427" i="91"/>
  <c r="P427" i="91"/>
  <c r="O427" i="91"/>
  <c r="N427" i="91"/>
  <c r="R426" i="91"/>
  <c r="Q426" i="91"/>
  <c r="P426" i="91"/>
  <c r="O426" i="91"/>
  <c r="N426" i="91"/>
  <c r="R425" i="91"/>
  <c r="Q425" i="91"/>
  <c r="P425" i="91"/>
  <c r="O425" i="91"/>
  <c r="N425" i="91"/>
  <c r="R424" i="91"/>
  <c r="Q424" i="91"/>
  <c r="P424" i="91"/>
  <c r="O424" i="91"/>
  <c r="N424" i="91"/>
  <c r="R423" i="91"/>
  <c r="Q423" i="91"/>
  <c r="P423" i="91"/>
  <c r="O423" i="91"/>
  <c r="N423" i="91"/>
  <c r="R422" i="91"/>
  <c r="Q422" i="91"/>
  <c r="P422" i="91"/>
  <c r="O422" i="91"/>
  <c r="N422" i="91"/>
  <c r="R421" i="91"/>
  <c r="Q421" i="91"/>
  <c r="P421" i="91"/>
  <c r="O421" i="91"/>
  <c r="N421" i="91"/>
  <c r="R420" i="91"/>
  <c r="Q420" i="91"/>
  <c r="P420" i="91"/>
  <c r="O420" i="91"/>
  <c r="N420" i="91"/>
  <c r="R416" i="91"/>
  <c r="Q416" i="91"/>
  <c r="P416" i="91"/>
  <c r="O416" i="91"/>
  <c r="N416" i="91"/>
  <c r="R413" i="91"/>
  <c r="Q413" i="91"/>
  <c r="P413" i="91"/>
  <c r="O413" i="91"/>
  <c r="N413" i="91"/>
  <c r="R409" i="91"/>
  <c r="Q409" i="91"/>
  <c r="P409" i="91"/>
  <c r="O409" i="91"/>
  <c r="N409" i="91"/>
  <c r="R406" i="91"/>
  <c r="Q406" i="91"/>
  <c r="P406" i="91"/>
  <c r="O406" i="91"/>
  <c r="N406" i="91"/>
  <c r="R397" i="91"/>
  <c r="Q397" i="91"/>
  <c r="P397" i="91"/>
  <c r="O397" i="91"/>
  <c r="N397" i="91"/>
  <c r="R396" i="91"/>
  <c r="Q396" i="91"/>
  <c r="P396" i="91"/>
  <c r="O396" i="91"/>
  <c r="N396" i="91"/>
  <c r="R395" i="91"/>
  <c r="Q395" i="91"/>
  <c r="P395" i="91"/>
  <c r="O395" i="91"/>
  <c r="N395" i="91"/>
  <c r="R394" i="91"/>
  <c r="Q394" i="91"/>
  <c r="P394" i="91"/>
  <c r="O394" i="91"/>
  <c r="N394" i="91"/>
  <c r="R392" i="91"/>
  <c r="Q392" i="91"/>
  <c r="P392" i="91"/>
  <c r="O392" i="91"/>
  <c r="N392" i="91"/>
  <c r="R391" i="91"/>
  <c r="Q391" i="91"/>
  <c r="P391" i="91"/>
  <c r="O391" i="91"/>
  <c r="N391" i="91"/>
  <c r="R390" i="91"/>
  <c r="Q390" i="91"/>
  <c r="P390" i="91"/>
  <c r="O390" i="91"/>
  <c r="N390" i="91"/>
  <c r="R389" i="91"/>
  <c r="Q389" i="91"/>
  <c r="P389" i="91"/>
  <c r="O389" i="91"/>
  <c r="N389" i="91"/>
  <c r="R388" i="91"/>
  <c r="Q388" i="91"/>
  <c r="P388" i="91"/>
  <c r="O388" i="91"/>
  <c r="N388" i="91"/>
  <c r="R384" i="91"/>
  <c r="Q384" i="91"/>
  <c r="P384" i="91"/>
  <c r="O384" i="91"/>
  <c r="N384" i="91"/>
  <c r="R380" i="91"/>
  <c r="Q380" i="91"/>
  <c r="P380" i="91"/>
  <c r="O380" i="91"/>
  <c r="N380" i="91"/>
  <c r="R379" i="91"/>
  <c r="Q379" i="91"/>
  <c r="P379" i="91"/>
  <c r="O379" i="91"/>
  <c r="N379" i="91"/>
  <c r="R376" i="91"/>
  <c r="Q376" i="91"/>
  <c r="P376" i="91"/>
  <c r="O376" i="91"/>
  <c r="N376" i="91"/>
  <c r="R375" i="91"/>
  <c r="Q375" i="91"/>
  <c r="P375" i="91"/>
  <c r="O375" i="91"/>
  <c r="N375" i="91"/>
  <c r="R374" i="91"/>
  <c r="Q374" i="91"/>
  <c r="P374" i="91"/>
  <c r="O374" i="91"/>
  <c r="N374" i="91"/>
  <c r="R373" i="91"/>
  <c r="Q373" i="91"/>
  <c r="P373" i="91"/>
  <c r="O373" i="91"/>
  <c r="N373" i="91"/>
  <c r="R372" i="91"/>
  <c r="Q372" i="91"/>
  <c r="P372" i="91"/>
  <c r="O372" i="91"/>
  <c r="N372" i="91"/>
  <c r="R370" i="91"/>
  <c r="Q370" i="91"/>
  <c r="P370" i="91"/>
  <c r="O370" i="91"/>
  <c r="N370" i="91"/>
  <c r="R369" i="91"/>
  <c r="Q369" i="91"/>
  <c r="P369" i="91"/>
  <c r="O369" i="91"/>
  <c r="N369" i="91"/>
  <c r="R368" i="91"/>
  <c r="Q368" i="91"/>
  <c r="P368" i="91"/>
  <c r="O368" i="91"/>
  <c r="N368" i="91"/>
  <c r="R367" i="91"/>
  <c r="Q367" i="91"/>
  <c r="P367" i="91"/>
  <c r="O367" i="91"/>
  <c r="N367" i="91"/>
  <c r="R366" i="91"/>
  <c r="Q366" i="91"/>
  <c r="P366" i="91"/>
  <c r="O366" i="91"/>
  <c r="N366" i="91"/>
  <c r="R365" i="91"/>
  <c r="Q365" i="91"/>
  <c r="P365" i="91"/>
  <c r="O365" i="91"/>
  <c r="N365" i="91"/>
  <c r="R364" i="91"/>
  <c r="Q364" i="91"/>
  <c r="P364" i="91"/>
  <c r="O364" i="91"/>
  <c r="N364" i="91"/>
  <c r="R363" i="91"/>
  <c r="Q363" i="91"/>
  <c r="P363" i="91"/>
  <c r="O363" i="91"/>
  <c r="N363" i="91"/>
  <c r="R362" i="91"/>
  <c r="Q362" i="91"/>
  <c r="P362" i="91"/>
  <c r="O362" i="91"/>
  <c r="N362" i="91"/>
  <c r="R360" i="91"/>
  <c r="Q360" i="91"/>
  <c r="P360" i="91"/>
  <c r="O360" i="91"/>
  <c r="N360" i="91"/>
  <c r="R359" i="91"/>
  <c r="Q359" i="91"/>
  <c r="P359" i="91"/>
  <c r="O359" i="91"/>
  <c r="N359" i="91"/>
  <c r="R358" i="91"/>
  <c r="Q358" i="91"/>
  <c r="P358" i="91"/>
  <c r="O358" i="91"/>
  <c r="N358" i="91"/>
  <c r="R357" i="91"/>
  <c r="Q357" i="91"/>
  <c r="P357" i="91"/>
  <c r="O357" i="91"/>
  <c r="N357" i="91"/>
  <c r="R356" i="91"/>
  <c r="Q356" i="91"/>
  <c r="P356" i="91"/>
  <c r="O356" i="91"/>
  <c r="N356" i="91"/>
  <c r="R355" i="91"/>
  <c r="Q355" i="91"/>
  <c r="P355" i="91"/>
  <c r="O355" i="91"/>
  <c r="N355" i="91"/>
  <c r="R353" i="91"/>
  <c r="Q353" i="91"/>
  <c r="P353" i="91"/>
  <c r="O353" i="91"/>
  <c r="N353" i="91"/>
  <c r="R352" i="91"/>
  <c r="Q352" i="91"/>
  <c r="P352" i="91"/>
  <c r="O352" i="91"/>
  <c r="N352" i="91"/>
  <c r="R351" i="91"/>
  <c r="Q351" i="91"/>
  <c r="P351" i="91"/>
  <c r="O351" i="91"/>
  <c r="N351" i="91"/>
  <c r="R349" i="91"/>
  <c r="Q349" i="91"/>
  <c r="P349" i="91"/>
  <c r="O349" i="91"/>
  <c r="N349" i="91"/>
  <c r="R348" i="91"/>
  <c r="Q348" i="91"/>
  <c r="P348" i="91"/>
  <c r="O348" i="91"/>
  <c r="N348" i="91"/>
  <c r="R346" i="91"/>
  <c r="Q346" i="91"/>
  <c r="P346" i="91"/>
  <c r="O346" i="91"/>
  <c r="N346" i="91"/>
  <c r="R345" i="91"/>
  <c r="Q345" i="91"/>
  <c r="P345" i="91"/>
  <c r="O345" i="91"/>
  <c r="N345" i="91"/>
  <c r="R344" i="91"/>
  <c r="Q344" i="91"/>
  <c r="P344" i="91"/>
  <c r="O344" i="91"/>
  <c r="N344" i="91"/>
  <c r="R343" i="91"/>
  <c r="Q343" i="91"/>
  <c r="P343" i="91"/>
  <c r="O343" i="91"/>
  <c r="N343" i="91"/>
  <c r="R342" i="91"/>
  <c r="Q342" i="91"/>
  <c r="P342" i="91"/>
  <c r="O342" i="91"/>
  <c r="N342" i="91"/>
  <c r="R341" i="91"/>
  <c r="Q341" i="91"/>
  <c r="P341" i="91"/>
  <c r="O341" i="91"/>
  <c r="N341" i="91"/>
  <c r="R340" i="91"/>
  <c r="Q340" i="91"/>
  <c r="P340" i="91"/>
  <c r="O340" i="91"/>
  <c r="N340" i="91"/>
  <c r="R338" i="91"/>
  <c r="Q338" i="91"/>
  <c r="P338" i="91"/>
  <c r="O338" i="91"/>
  <c r="N338" i="91"/>
  <c r="R337" i="91"/>
  <c r="Q337" i="91"/>
  <c r="P337" i="91"/>
  <c r="O337" i="91"/>
  <c r="N337" i="91"/>
  <c r="R336" i="91"/>
  <c r="Q336" i="91"/>
  <c r="P336" i="91"/>
  <c r="O336" i="91"/>
  <c r="N336" i="91"/>
  <c r="R335" i="91"/>
  <c r="Q335" i="91"/>
  <c r="P335" i="91"/>
  <c r="O335" i="91"/>
  <c r="N335" i="91"/>
  <c r="R334" i="91"/>
  <c r="Q334" i="91"/>
  <c r="P334" i="91"/>
  <c r="O334" i="91"/>
  <c r="N334" i="91"/>
  <c r="R333" i="91"/>
  <c r="Q333" i="91"/>
  <c r="P333" i="91"/>
  <c r="O333" i="91"/>
  <c r="N333" i="91"/>
  <c r="R332" i="91"/>
  <c r="Q332" i="91"/>
  <c r="P332" i="91"/>
  <c r="O332" i="91"/>
  <c r="N332" i="91"/>
  <c r="R331" i="91"/>
  <c r="Q331" i="91"/>
  <c r="P331" i="91"/>
  <c r="O331" i="91"/>
  <c r="N331" i="91"/>
  <c r="R330" i="91"/>
  <c r="Q330" i="91"/>
  <c r="P330" i="91"/>
  <c r="O330" i="91"/>
  <c r="N330" i="91"/>
  <c r="R329" i="91"/>
  <c r="Q329" i="91"/>
  <c r="P329" i="91"/>
  <c r="O329" i="91"/>
  <c r="N329" i="91"/>
  <c r="R327" i="91"/>
  <c r="Q327" i="91"/>
  <c r="P327" i="91"/>
  <c r="O327" i="91"/>
  <c r="N327" i="91"/>
  <c r="R326" i="91"/>
  <c r="Q326" i="91"/>
  <c r="P326" i="91"/>
  <c r="O326" i="91"/>
  <c r="N326" i="91"/>
  <c r="R324" i="91"/>
  <c r="Q324" i="91"/>
  <c r="P324" i="91"/>
  <c r="O324" i="91"/>
  <c r="N324" i="91"/>
  <c r="R322" i="91"/>
  <c r="Q322" i="91"/>
  <c r="P322" i="91"/>
  <c r="O322" i="91"/>
  <c r="N322" i="91"/>
  <c r="R321" i="91"/>
  <c r="Q321" i="91"/>
  <c r="P321" i="91"/>
  <c r="O321" i="91"/>
  <c r="N321" i="91"/>
  <c r="R320" i="91"/>
  <c r="Q320" i="91"/>
  <c r="P320" i="91"/>
  <c r="O320" i="91"/>
  <c r="N320" i="91"/>
  <c r="R318" i="91"/>
  <c r="Q318" i="91"/>
  <c r="P318" i="91"/>
  <c r="O318" i="91"/>
  <c r="N318" i="91"/>
  <c r="R317" i="91"/>
  <c r="Q317" i="91"/>
  <c r="P317" i="91"/>
  <c r="O317" i="91"/>
  <c r="N317" i="91"/>
  <c r="R316" i="91"/>
  <c r="Q316" i="91"/>
  <c r="P316" i="91"/>
  <c r="O316" i="91"/>
  <c r="N316" i="91"/>
  <c r="R315" i="91"/>
  <c r="Q315" i="91"/>
  <c r="P315" i="91"/>
  <c r="O315" i="91"/>
  <c r="N315" i="91"/>
  <c r="R313" i="91"/>
  <c r="Q313" i="91"/>
  <c r="P313" i="91"/>
  <c r="O313" i="91"/>
  <c r="N313" i="91"/>
  <c r="R312" i="91"/>
  <c r="Q312" i="91"/>
  <c r="P312" i="91"/>
  <c r="O312" i="91"/>
  <c r="N312" i="91"/>
  <c r="R310" i="91"/>
  <c r="Q310" i="91"/>
  <c r="P310" i="91"/>
  <c r="O310" i="91"/>
  <c r="N310" i="91"/>
  <c r="R309" i="91"/>
  <c r="Q309" i="91"/>
  <c r="P309" i="91"/>
  <c r="O309" i="91"/>
  <c r="N309" i="91"/>
  <c r="R308" i="91"/>
  <c r="Q308" i="91"/>
  <c r="P308" i="91"/>
  <c r="O308" i="91"/>
  <c r="N308" i="91"/>
  <c r="R307" i="91"/>
  <c r="Q307" i="91"/>
  <c r="P307" i="91"/>
  <c r="O307" i="91"/>
  <c r="N307" i="91"/>
  <c r="R306" i="91"/>
  <c r="Q306" i="91"/>
  <c r="P306" i="91"/>
  <c r="O306" i="91"/>
  <c r="N306" i="91"/>
  <c r="R305" i="91"/>
  <c r="Q305" i="91"/>
  <c r="P305" i="91"/>
  <c r="O305" i="91"/>
  <c r="N305" i="91"/>
  <c r="R303" i="91"/>
  <c r="Q303" i="91"/>
  <c r="P303" i="91"/>
  <c r="O303" i="91"/>
  <c r="N303" i="91"/>
  <c r="R302" i="91"/>
  <c r="Q302" i="91"/>
  <c r="P302" i="91"/>
  <c r="O302" i="91"/>
  <c r="N302" i="91"/>
  <c r="R300" i="91"/>
  <c r="Q300" i="91"/>
  <c r="P300" i="91"/>
  <c r="O300" i="91"/>
  <c r="N300" i="91"/>
  <c r="R298" i="91"/>
  <c r="Q298" i="91"/>
  <c r="P298" i="91"/>
  <c r="O298" i="91"/>
  <c r="N298" i="91"/>
  <c r="R294" i="91"/>
  <c r="Q294" i="91"/>
  <c r="P294" i="91"/>
  <c r="O294" i="91"/>
  <c r="N294" i="91"/>
  <c r="R293" i="91"/>
  <c r="Q293" i="91"/>
  <c r="P293" i="91"/>
  <c r="O293" i="91"/>
  <c r="N293" i="91"/>
  <c r="R291" i="91"/>
  <c r="Q291" i="91"/>
  <c r="P291" i="91"/>
  <c r="O291" i="91"/>
  <c r="N291" i="91"/>
  <c r="R289" i="91"/>
  <c r="Q289" i="91"/>
  <c r="P289" i="91"/>
  <c r="O289" i="91"/>
  <c r="N289" i="91"/>
  <c r="R288" i="91"/>
  <c r="Q288" i="91"/>
  <c r="P288" i="91"/>
  <c r="O288" i="91"/>
  <c r="N288" i="91"/>
  <c r="R287" i="91"/>
  <c r="Q287" i="91"/>
  <c r="P287" i="91"/>
  <c r="O287" i="91"/>
  <c r="N287" i="91"/>
  <c r="R286" i="91"/>
  <c r="Q286" i="91"/>
  <c r="P286" i="91"/>
  <c r="O286" i="91"/>
  <c r="N286" i="91"/>
  <c r="R285" i="91"/>
  <c r="Q285" i="91"/>
  <c r="P285" i="91"/>
  <c r="O285" i="91"/>
  <c r="N285" i="91"/>
  <c r="R284" i="91"/>
  <c r="Q284" i="91"/>
  <c r="P284" i="91"/>
  <c r="O284" i="91"/>
  <c r="N284" i="91"/>
  <c r="R282" i="91"/>
  <c r="Q282" i="91"/>
  <c r="P282" i="91"/>
  <c r="O282" i="91"/>
  <c r="N282" i="91"/>
  <c r="R281" i="91"/>
  <c r="Q281" i="91"/>
  <c r="P281" i="91"/>
  <c r="O281" i="91"/>
  <c r="N281" i="91"/>
  <c r="R280" i="91"/>
  <c r="Q280" i="91"/>
  <c r="P280" i="91"/>
  <c r="O280" i="91"/>
  <c r="N280" i="91"/>
  <c r="R279" i="91"/>
  <c r="Q279" i="91"/>
  <c r="P279" i="91"/>
  <c r="O279" i="91"/>
  <c r="N279" i="91"/>
  <c r="R278" i="91"/>
  <c r="Q278" i="91"/>
  <c r="P278" i="91"/>
  <c r="O278" i="91"/>
  <c r="N278" i="91"/>
  <c r="R277" i="91"/>
  <c r="Q277" i="91"/>
  <c r="P277" i="91"/>
  <c r="O277" i="91"/>
  <c r="N277" i="91"/>
  <c r="R275" i="91"/>
  <c r="Q275" i="91"/>
  <c r="P275" i="91"/>
  <c r="O275" i="91"/>
  <c r="N275" i="91"/>
  <c r="R274" i="91"/>
  <c r="Q274" i="91"/>
  <c r="P274" i="91"/>
  <c r="O274" i="91"/>
  <c r="N274" i="91"/>
  <c r="R273" i="91"/>
  <c r="Q273" i="91"/>
  <c r="P273" i="91"/>
  <c r="O273" i="91"/>
  <c r="N273" i="91"/>
  <c r="R272" i="91"/>
  <c r="Q272" i="91"/>
  <c r="P272" i="91"/>
  <c r="O272" i="91"/>
  <c r="N272" i="91"/>
  <c r="R271" i="91"/>
  <c r="Q271" i="91"/>
  <c r="P271" i="91"/>
  <c r="O271" i="91"/>
  <c r="N271" i="91"/>
  <c r="R270" i="91"/>
  <c r="Q270" i="91"/>
  <c r="P270" i="91"/>
  <c r="O270" i="91"/>
  <c r="N270" i="91"/>
  <c r="R269" i="91"/>
  <c r="Q269" i="91"/>
  <c r="P269" i="91"/>
  <c r="O269" i="91"/>
  <c r="N269" i="91"/>
  <c r="R268" i="91"/>
  <c r="Q268" i="91"/>
  <c r="P268" i="91"/>
  <c r="O268" i="91"/>
  <c r="N268" i="91"/>
  <c r="R267" i="91"/>
  <c r="Q267" i="91"/>
  <c r="P267" i="91"/>
  <c r="O267" i="91"/>
  <c r="N267" i="91"/>
  <c r="R266" i="91"/>
  <c r="Q266" i="91"/>
  <c r="P266" i="91"/>
  <c r="O266" i="91"/>
  <c r="N266" i="91"/>
  <c r="R265" i="91"/>
  <c r="Q265" i="91"/>
  <c r="P265" i="91"/>
  <c r="O265" i="91"/>
  <c r="N265" i="91"/>
  <c r="R264" i="91"/>
  <c r="Q264" i="91"/>
  <c r="P264" i="91"/>
  <c r="O264" i="91"/>
  <c r="N264" i="91"/>
  <c r="R263" i="91"/>
  <c r="Q263" i="91"/>
  <c r="P263" i="91"/>
  <c r="O263" i="91"/>
  <c r="N263" i="91"/>
  <c r="R262" i="91"/>
  <c r="Q262" i="91"/>
  <c r="P262" i="91"/>
  <c r="O262" i="91"/>
  <c r="N262" i="91"/>
  <c r="R261" i="91"/>
  <c r="Q261" i="91"/>
  <c r="P261" i="91"/>
  <c r="O261" i="91"/>
  <c r="N261" i="91"/>
  <c r="R259" i="91"/>
  <c r="Q259" i="91"/>
  <c r="P259" i="91"/>
  <c r="O259" i="91"/>
  <c r="N259" i="91"/>
  <c r="R258" i="91"/>
  <c r="Q258" i="91"/>
  <c r="P258" i="91"/>
  <c r="O258" i="91"/>
  <c r="N258" i="91"/>
  <c r="R257" i="91"/>
  <c r="Q257" i="91"/>
  <c r="P257" i="91"/>
  <c r="O257" i="91"/>
  <c r="N257" i="91"/>
  <c r="R256" i="91"/>
  <c r="Q256" i="91"/>
  <c r="P256" i="91"/>
  <c r="O256" i="91"/>
  <c r="N256" i="91"/>
  <c r="R255" i="91"/>
  <c r="Q255" i="91"/>
  <c r="P255" i="91"/>
  <c r="O255" i="91"/>
  <c r="N255" i="91"/>
  <c r="R254" i="91"/>
  <c r="Q254" i="91"/>
  <c r="P254" i="91"/>
  <c r="O254" i="91"/>
  <c r="N254" i="91"/>
  <c r="R253" i="91"/>
  <c r="Q253" i="91"/>
  <c r="P253" i="91"/>
  <c r="O253" i="91"/>
  <c r="N253" i="91"/>
  <c r="R251" i="91"/>
  <c r="Q251" i="91"/>
  <c r="P251" i="91"/>
  <c r="O251" i="91"/>
  <c r="N251" i="91"/>
  <c r="R250" i="91"/>
  <c r="Q250" i="91"/>
  <c r="P250" i="91"/>
  <c r="O250" i="91"/>
  <c r="N250" i="91"/>
  <c r="R249" i="91"/>
  <c r="Q249" i="91"/>
  <c r="P249" i="91"/>
  <c r="O249" i="91"/>
  <c r="N249" i="91"/>
  <c r="R242" i="91"/>
  <c r="Q242" i="91"/>
  <c r="P242" i="91"/>
  <c r="O242" i="91"/>
  <c r="N242" i="91"/>
  <c r="R241" i="91"/>
  <c r="Q241" i="91"/>
  <c r="P241" i="91"/>
  <c r="O241" i="91"/>
  <c r="N241" i="91"/>
  <c r="R240" i="91"/>
  <c r="Q240" i="91"/>
  <c r="P240" i="91"/>
  <c r="O240" i="91"/>
  <c r="N240" i="91"/>
  <c r="R239" i="91"/>
  <c r="Q239" i="91"/>
  <c r="P239" i="91"/>
  <c r="O239" i="91"/>
  <c r="N239" i="91"/>
  <c r="R238" i="91"/>
  <c r="Q238" i="91"/>
  <c r="P238" i="91"/>
  <c r="O238" i="91"/>
  <c r="N238" i="91"/>
  <c r="R237" i="91"/>
  <c r="Q237" i="91"/>
  <c r="P237" i="91"/>
  <c r="O237" i="91"/>
  <c r="N237" i="91"/>
  <c r="R235" i="91"/>
  <c r="Q235" i="91"/>
  <c r="P235" i="91"/>
  <c r="O235" i="91"/>
  <c r="N235" i="91"/>
  <c r="R234" i="91"/>
  <c r="Q234" i="91"/>
  <c r="P234" i="91"/>
  <c r="O234" i="91"/>
  <c r="N234" i="91"/>
  <c r="R233" i="91"/>
  <c r="Q233" i="91"/>
  <c r="P233" i="91"/>
  <c r="O233" i="91"/>
  <c r="N233" i="91"/>
  <c r="R232" i="91"/>
  <c r="Q232" i="91"/>
  <c r="P232" i="91"/>
  <c r="O232" i="91"/>
  <c r="N232" i="91"/>
  <c r="R230" i="91"/>
  <c r="Q230" i="91"/>
  <c r="P230" i="91"/>
  <c r="O230" i="91"/>
  <c r="N230" i="91"/>
  <c r="R229" i="91"/>
  <c r="Q229" i="91"/>
  <c r="P229" i="91"/>
  <c r="O229" i="91"/>
  <c r="N229" i="91"/>
  <c r="R228" i="91"/>
  <c r="Q228" i="91"/>
  <c r="P228" i="91"/>
  <c r="O228" i="91"/>
  <c r="N228" i="91"/>
  <c r="R227" i="91"/>
  <c r="Q227" i="91"/>
  <c r="P227" i="91"/>
  <c r="O227" i="91"/>
  <c r="N227" i="91"/>
  <c r="R226" i="91"/>
  <c r="Q226" i="91"/>
  <c r="P226" i="91"/>
  <c r="O226" i="91"/>
  <c r="N226" i="91"/>
  <c r="R225" i="91"/>
  <c r="Q225" i="91"/>
  <c r="P225" i="91"/>
  <c r="O225" i="91"/>
  <c r="N225" i="91"/>
  <c r="R224" i="91"/>
  <c r="Q224" i="91"/>
  <c r="P224" i="91"/>
  <c r="O224" i="91"/>
  <c r="N224" i="91"/>
  <c r="R223" i="91"/>
  <c r="Q223" i="91"/>
  <c r="P223" i="91"/>
  <c r="O223" i="91"/>
  <c r="N223" i="91"/>
  <c r="R222" i="91"/>
  <c r="Q222" i="91"/>
  <c r="P222" i="91"/>
  <c r="O222" i="91"/>
  <c r="N222" i="91"/>
  <c r="R221" i="91"/>
  <c r="Q221" i="91"/>
  <c r="P221" i="91"/>
  <c r="O221" i="91"/>
  <c r="N221" i="91"/>
  <c r="R220" i="91"/>
  <c r="Q220" i="91"/>
  <c r="P220" i="91"/>
  <c r="O220" i="91"/>
  <c r="N220" i="91"/>
  <c r="R219" i="91"/>
  <c r="Q219" i="91"/>
  <c r="P219" i="91"/>
  <c r="O219" i="91"/>
  <c r="N219" i="91"/>
  <c r="R216" i="91"/>
  <c r="Q216" i="91"/>
  <c r="P216" i="91"/>
  <c r="O216" i="91"/>
  <c r="N216" i="91"/>
  <c r="R214" i="91"/>
  <c r="Q214" i="91"/>
  <c r="P214" i="91"/>
  <c r="O214" i="91"/>
  <c r="N214" i="91"/>
  <c r="R210" i="91"/>
  <c r="Q210" i="91"/>
  <c r="P210" i="91"/>
  <c r="O210" i="91"/>
  <c r="N210" i="91"/>
  <c r="R209" i="91"/>
  <c r="Q209" i="91"/>
  <c r="P209" i="91"/>
  <c r="O209" i="91"/>
  <c r="N209" i="91"/>
  <c r="R206" i="91"/>
  <c r="Q206" i="91"/>
  <c r="P206" i="91"/>
  <c r="O206" i="91"/>
  <c r="N206" i="91"/>
  <c r="R205" i="91"/>
  <c r="Q205" i="91"/>
  <c r="P205" i="91"/>
  <c r="O205" i="91"/>
  <c r="N205" i="91"/>
  <c r="R204" i="91"/>
  <c r="Q204" i="91"/>
  <c r="P204" i="91"/>
  <c r="O204" i="91"/>
  <c r="N204" i="91"/>
  <c r="R202" i="91"/>
  <c r="Q202" i="91"/>
  <c r="P202" i="91"/>
  <c r="O202" i="91"/>
  <c r="N202" i="91"/>
  <c r="R201" i="91"/>
  <c r="Q201" i="91"/>
  <c r="P201" i="91"/>
  <c r="O201" i="91"/>
  <c r="N201" i="91"/>
  <c r="R200" i="91"/>
  <c r="Q200" i="91"/>
  <c r="P200" i="91"/>
  <c r="O200" i="91"/>
  <c r="N200" i="91"/>
  <c r="R199" i="91"/>
  <c r="Q199" i="91"/>
  <c r="P199" i="91"/>
  <c r="O199" i="91"/>
  <c r="N199" i="91"/>
  <c r="R198" i="91"/>
  <c r="Q198" i="91"/>
  <c r="P198" i="91"/>
  <c r="O198" i="91"/>
  <c r="N198" i="91"/>
  <c r="R197" i="91"/>
  <c r="Q197" i="91"/>
  <c r="P197" i="91"/>
  <c r="O197" i="91"/>
  <c r="N197" i="91"/>
  <c r="R195" i="91"/>
  <c r="Q195" i="91"/>
  <c r="P195" i="91"/>
  <c r="O195" i="91"/>
  <c r="N195" i="91"/>
  <c r="R194" i="91"/>
  <c r="Q194" i="91"/>
  <c r="P194" i="91"/>
  <c r="O194" i="91"/>
  <c r="N194" i="91"/>
  <c r="R189" i="91"/>
  <c r="Q189" i="91"/>
  <c r="P189" i="91"/>
  <c r="O189" i="91"/>
  <c r="N189" i="91"/>
  <c r="R188" i="91"/>
  <c r="Q188" i="91"/>
  <c r="P188" i="91"/>
  <c r="O188" i="91"/>
  <c r="N188" i="91"/>
  <c r="R187" i="91"/>
  <c r="Q187" i="91"/>
  <c r="P187" i="91"/>
  <c r="O187" i="91"/>
  <c r="N187" i="91"/>
  <c r="R186" i="91"/>
  <c r="Q186" i="91"/>
  <c r="P186" i="91"/>
  <c r="O186" i="91"/>
  <c r="N186" i="91"/>
  <c r="R185" i="91"/>
  <c r="Q185" i="91"/>
  <c r="P185" i="91"/>
  <c r="O185" i="91"/>
  <c r="N185" i="91"/>
  <c r="R184" i="91"/>
  <c r="Q184" i="91"/>
  <c r="P184" i="91"/>
  <c r="O184" i="91"/>
  <c r="N184" i="91"/>
  <c r="R183" i="91"/>
  <c r="Q183" i="91"/>
  <c r="P183" i="91"/>
  <c r="O183" i="91"/>
  <c r="N183" i="91"/>
  <c r="R179" i="91"/>
  <c r="Q179" i="91"/>
  <c r="P179" i="91"/>
  <c r="O179" i="91"/>
  <c r="N179" i="91"/>
  <c r="R178" i="91"/>
  <c r="Q178" i="91"/>
  <c r="P178" i="91"/>
  <c r="O178" i="91"/>
  <c r="N178" i="91"/>
  <c r="R177" i="91"/>
  <c r="Q177" i="91"/>
  <c r="P177" i="91"/>
  <c r="O177" i="91"/>
  <c r="N177" i="91"/>
  <c r="R176" i="91"/>
  <c r="Q176" i="91"/>
  <c r="P176" i="91"/>
  <c r="O176" i="91"/>
  <c r="N176" i="91"/>
  <c r="R175" i="91"/>
  <c r="Q175" i="91"/>
  <c r="P175" i="91"/>
  <c r="O175" i="91"/>
  <c r="N175" i="91"/>
  <c r="R174" i="91"/>
  <c r="Q174" i="91"/>
  <c r="P174" i="91"/>
  <c r="O174" i="91"/>
  <c r="N174" i="91"/>
  <c r="R173" i="91"/>
  <c r="Q173" i="91"/>
  <c r="P173" i="91"/>
  <c r="O173" i="91"/>
  <c r="N173" i="91"/>
  <c r="R172" i="91"/>
  <c r="Q172" i="91"/>
  <c r="P172" i="91"/>
  <c r="O172" i="91"/>
  <c r="N172" i="91"/>
  <c r="R170" i="91"/>
  <c r="Q170" i="91"/>
  <c r="P170" i="91"/>
  <c r="O170" i="91"/>
  <c r="N170" i="91"/>
  <c r="R169" i="91"/>
  <c r="Q169" i="91"/>
  <c r="P169" i="91"/>
  <c r="O169" i="91"/>
  <c r="N169" i="91"/>
  <c r="R168" i="91"/>
  <c r="Q168" i="91"/>
  <c r="P168" i="91"/>
  <c r="O168" i="91"/>
  <c r="N168" i="91"/>
  <c r="R167" i="91"/>
  <c r="Q167" i="91"/>
  <c r="P167" i="91"/>
  <c r="O167" i="91"/>
  <c r="N167" i="91"/>
  <c r="R166" i="91"/>
  <c r="Q166" i="91"/>
  <c r="P166" i="91"/>
  <c r="O166" i="91"/>
  <c r="N166" i="91"/>
  <c r="R165" i="91"/>
  <c r="Q165" i="91"/>
  <c r="P165" i="91"/>
  <c r="O165" i="91"/>
  <c r="N165" i="91"/>
  <c r="R164" i="91"/>
  <c r="Q164" i="91"/>
  <c r="P164" i="91"/>
  <c r="O164" i="91"/>
  <c r="N164" i="91"/>
  <c r="R158" i="91"/>
  <c r="Q158" i="91"/>
  <c r="P158" i="91"/>
  <c r="O158" i="91"/>
  <c r="N158" i="91"/>
  <c r="R157" i="91"/>
  <c r="Q157" i="91"/>
  <c r="P157" i="91"/>
  <c r="O157" i="91"/>
  <c r="N157" i="91"/>
  <c r="R155" i="91"/>
  <c r="Q155" i="91"/>
  <c r="P155" i="91"/>
  <c r="O155" i="91"/>
  <c r="N155" i="91"/>
  <c r="R152" i="91"/>
  <c r="Q152" i="91"/>
  <c r="P152" i="91"/>
  <c r="O152" i="91"/>
  <c r="N152" i="91"/>
  <c r="R150" i="91"/>
  <c r="Q150" i="91"/>
  <c r="P150" i="91"/>
  <c r="O150" i="91"/>
  <c r="N150" i="91"/>
  <c r="R149" i="91"/>
  <c r="Q149" i="91"/>
  <c r="P149" i="91"/>
  <c r="O149" i="91"/>
  <c r="N149" i="91"/>
  <c r="R148" i="91"/>
  <c r="Q148" i="91"/>
  <c r="P148" i="91"/>
  <c r="O148" i="91"/>
  <c r="N148" i="91"/>
  <c r="R146" i="91"/>
  <c r="Q146" i="91"/>
  <c r="P146" i="91"/>
  <c r="O146" i="91"/>
  <c r="N146" i="91"/>
  <c r="R145" i="91"/>
  <c r="Q145" i="91"/>
  <c r="P145" i="91"/>
  <c r="O145" i="91"/>
  <c r="N145" i="91"/>
  <c r="R143" i="91"/>
  <c r="Q143" i="91"/>
  <c r="P143" i="91"/>
  <c r="O143" i="91"/>
  <c r="N143" i="91"/>
  <c r="R142" i="91"/>
  <c r="Q142" i="91"/>
  <c r="P142" i="91"/>
  <c r="O142" i="91"/>
  <c r="N142" i="91"/>
  <c r="R141" i="91"/>
  <c r="Q141" i="91"/>
  <c r="P141" i="91"/>
  <c r="O141" i="91"/>
  <c r="N141" i="91"/>
  <c r="R138" i="91"/>
  <c r="Q138" i="91"/>
  <c r="P138" i="91"/>
  <c r="O138" i="91"/>
  <c r="N138" i="91"/>
  <c r="R135" i="91"/>
  <c r="Q135" i="91"/>
  <c r="P135" i="91"/>
  <c r="O135" i="91"/>
  <c r="N135" i="91"/>
  <c r="R133" i="91"/>
  <c r="Q133" i="91"/>
  <c r="P133" i="91"/>
  <c r="O133" i="91"/>
  <c r="N133" i="91"/>
  <c r="R132" i="91"/>
  <c r="Q132" i="91"/>
  <c r="P132" i="91"/>
  <c r="O132" i="91"/>
  <c r="N132" i="91"/>
  <c r="R123" i="91"/>
  <c r="Q123" i="91"/>
  <c r="P123" i="91"/>
  <c r="O123" i="91"/>
  <c r="N123" i="91"/>
  <c r="R122" i="91"/>
  <c r="Q122" i="91"/>
  <c r="P122" i="91"/>
  <c r="O122" i="91"/>
  <c r="N122" i="91"/>
  <c r="R121" i="91"/>
  <c r="Q121" i="91"/>
  <c r="P121" i="91"/>
  <c r="O121" i="91"/>
  <c r="N121" i="91"/>
  <c r="R120" i="91"/>
  <c r="Q120" i="91"/>
  <c r="P120" i="91"/>
  <c r="O120" i="91"/>
  <c r="N120" i="91"/>
  <c r="R119" i="91"/>
  <c r="Q119" i="91"/>
  <c r="P119" i="91"/>
  <c r="O119" i="91"/>
  <c r="N119" i="91"/>
  <c r="R118" i="91"/>
  <c r="Q118" i="91"/>
  <c r="P118" i="91"/>
  <c r="O118" i="91"/>
  <c r="N118" i="91"/>
  <c r="R117" i="91"/>
  <c r="Q117" i="91"/>
  <c r="P117" i="91"/>
  <c r="O117" i="91"/>
  <c r="N117" i="91"/>
  <c r="R115" i="91"/>
  <c r="Q115" i="91"/>
  <c r="P115" i="91"/>
  <c r="O115" i="91"/>
  <c r="N115" i="91"/>
  <c r="R114" i="91"/>
  <c r="Q114" i="91"/>
  <c r="P114" i="91"/>
  <c r="O114" i="91"/>
  <c r="N114" i="91"/>
  <c r="R113" i="91"/>
  <c r="Q113" i="91"/>
  <c r="P113" i="91"/>
  <c r="O113" i="91"/>
  <c r="N113" i="91"/>
  <c r="R111" i="91"/>
  <c r="Q111" i="91"/>
  <c r="P111" i="91"/>
  <c r="O111" i="91"/>
  <c r="N111" i="91"/>
  <c r="R110" i="91"/>
  <c r="Q110" i="91"/>
  <c r="P110" i="91"/>
  <c r="O110" i="91"/>
  <c r="N110" i="91"/>
  <c r="R108" i="91"/>
  <c r="Q108" i="91"/>
  <c r="P108" i="91"/>
  <c r="O108" i="91"/>
  <c r="N108" i="91"/>
  <c r="R107" i="91"/>
  <c r="Q107" i="91"/>
  <c r="P107" i="91"/>
  <c r="O107" i="91"/>
  <c r="N107" i="91"/>
  <c r="R105" i="91"/>
  <c r="Q105" i="91"/>
  <c r="P105" i="91"/>
  <c r="O105" i="91"/>
  <c r="N105" i="91"/>
  <c r="R104" i="91"/>
  <c r="Q104" i="91"/>
  <c r="P104" i="91"/>
  <c r="O104" i="91"/>
  <c r="N104" i="91"/>
  <c r="R102" i="91"/>
  <c r="Q102" i="91"/>
  <c r="P102" i="91"/>
  <c r="O102" i="91"/>
  <c r="N102" i="91"/>
  <c r="R101" i="91"/>
  <c r="Q101" i="91"/>
  <c r="P101" i="91"/>
  <c r="O101" i="91"/>
  <c r="N101" i="91"/>
  <c r="R100" i="91"/>
  <c r="Q100" i="91"/>
  <c r="P100" i="91"/>
  <c r="O100" i="91"/>
  <c r="N100" i="91"/>
  <c r="R99" i="91"/>
  <c r="Q99" i="91"/>
  <c r="P99" i="91"/>
  <c r="O99" i="91"/>
  <c r="N99" i="91"/>
  <c r="R98" i="91"/>
  <c r="Q98" i="91"/>
  <c r="P98" i="91"/>
  <c r="O98" i="91"/>
  <c r="N98" i="91"/>
  <c r="R97" i="91"/>
  <c r="Q97" i="91"/>
  <c r="P97" i="91"/>
  <c r="O97" i="91"/>
  <c r="N97" i="91"/>
  <c r="R96" i="91"/>
  <c r="Q96" i="91"/>
  <c r="P96" i="91"/>
  <c r="O96" i="91"/>
  <c r="N96" i="91"/>
  <c r="R95" i="91"/>
  <c r="Q95" i="91"/>
  <c r="P95" i="91"/>
  <c r="O95" i="91"/>
  <c r="N95" i="91"/>
  <c r="R94" i="91"/>
  <c r="Q94" i="91"/>
  <c r="P94" i="91"/>
  <c r="O94" i="91"/>
  <c r="N94" i="91"/>
  <c r="R93" i="91"/>
  <c r="Q93" i="91"/>
  <c r="P93" i="91"/>
  <c r="O93" i="91"/>
  <c r="N93" i="91"/>
  <c r="R92" i="91"/>
  <c r="Q92" i="91"/>
  <c r="P92" i="91"/>
  <c r="O92" i="91"/>
  <c r="N92" i="91"/>
  <c r="R91" i="91"/>
  <c r="Q91" i="91"/>
  <c r="P91" i="91"/>
  <c r="O91" i="91"/>
  <c r="N91" i="91"/>
  <c r="R90" i="91"/>
  <c r="Q90" i="91"/>
  <c r="P90" i="91"/>
  <c r="O90" i="91"/>
  <c r="N90" i="91"/>
  <c r="R89" i="91"/>
  <c r="Q89" i="91"/>
  <c r="P89" i="91"/>
  <c r="O89" i="91"/>
  <c r="N89" i="91"/>
  <c r="R88" i="91"/>
  <c r="Q88" i="91"/>
  <c r="P88" i="91"/>
  <c r="O88" i="91"/>
  <c r="N88" i="91"/>
  <c r="R87" i="91"/>
  <c r="Q87" i="91"/>
  <c r="P87" i="91"/>
  <c r="O87" i="91"/>
  <c r="N87" i="91"/>
  <c r="R86" i="91"/>
  <c r="Q86" i="91"/>
  <c r="P86" i="91"/>
  <c r="O86" i="91"/>
  <c r="N86" i="91"/>
  <c r="R84" i="91"/>
  <c r="Q84" i="91"/>
  <c r="P84" i="91"/>
  <c r="O84" i="91"/>
  <c r="N84" i="91"/>
  <c r="R83" i="91"/>
  <c r="Q83" i="91"/>
  <c r="P83" i="91"/>
  <c r="O83" i="91"/>
  <c r="N83" i="91"/>
  <c r="R82" i="91"/>
  <c r="Q82" i="91"/>
  <c r="P82" i="91"/>
  <c r="O82" i="91"/>
  <c r="N82" i="91"/>
  <c r="R81" i="91"/>
  <c r="Q81" i="91"/>
  <c r="P81" i="91"/>
  <c r="O81" i="91"/>
  <c r="N81" i="91"/>
  <c r="R80" i="91"/>
  <c r="Q80" i="91"/>
  <c r="P80" i="91"/>
  <c r="O80" i="91"/>
  <c r="N80" i="91"/>
  <c r="R79" i="91"/>
  <c r="Q79" i="91"/>
  <c r="P79" i="91"/>
  <c r="O79" i="91"/>
  <c r="N79" i="91"/>
  <c r="R78" i="91"/>
  <c r="Q78" i="91"/>
  <c r="P78" i="91"/>
  <c r="O78" i="91"/>
  <c r="N78" i="91"/>
  <c r="R77" i="91"/>
  <c r="Q77" i="91"/>
  <c r="P77" i="91"/>
  <c r="O77" i="91"/>
  <c r="N77" i="91"/>
  <c r="R76" i="91"/>
  <c r="Q76" i="91"/>
  <c r="P76" i="91"/>
  <c r="O76" i="91"/>
  <c r="N76" i="91"/>
  <c r="R75" i="91"/>
  <c r="Q75" i="91"/>
  <c r="P75" i="91"/>
  <c r="O75" i="91"/>
  <c r="N75" i="91"/>
  <c r="R72" i="91"/>
  <c r="Q72" i="91"/>
  <c r="P72" i="91"/>
  <c r="O72" i="91"/>
  <c r="N72" i="91"/>
  <c r="R71" i="91"/>
  <c r="Q71" i="91"/>
  <c r="P71" i="91"/>
  <c r="O71" i="91"/>
  <c r="N71" i="91"/>
  <c r="R70" i="91"/>
  <c r="Q70" i="91"/>
  <c r="P70" i="91"/>
  <c r="O70" i="91"/>
  <c r="N70" i="91"/>
  <c r="R69" i="91"/>
  <c r="Q69" i="91"/>
  <c r="P69" i="91"/>
  <c r="O69" i="91"/>
  <c r="N69" i="91"/>
  <c r="R68" i="91"/>
  <c r="Q68" i="91"/>
  <c r="P68" i="91"/>
  <c r="O68" i="91"/>
  <c r="N68" i="91"/>
  <c r="R67" i="91"/>
  <c r="Q67" i="91"/>
  <c r="P67" i="91"/>
  <c r="O67" i="91"/>
  <c r="N67" i="91"/>
  <c r="R66" i="91"/>
  <c r="Q66" i="91"/>
  <c r="P66" i="91"/>
  <c r="O66" i="91"/>
  <c r="N66" i="91"/>
  <c r="R65" i="91"/>
  <c r="Q65" i="91"/>
  <c r="P65" i="91"/>
  <c r="O65" i="91"/>
  <c r="N65" i="91"/>
  <c r="R64" i="91"/>
  <c r="Q64" i="91"/>
  <c r="P64" i="91"/>
  <c r="O64" i="91"/>
  <c r="N64" i="91"/>
  <c r="R63" i="91"/>
  <c r="Q63" i="91"/>
  <c r="P63" i="91"/>
  <c r="O63" i="91"/>
  <c r="N63" i="91"/>
  <c r="R61" i="91"/>
  <c r="Q61" i="91"/>
  <c r="P61" i="91"/>
  <c r="O61" i="91"/>
  <c r="N61" i="91"/>
  <c r="R60" i="91"/>
  <c r="Q60" i="91"/>
  <c r="P60" i="91"/>
  <c r="O60" i="91"/>
  <c r="N60" i="91"/>
  <c r="R59" i="91"/>
  <c r="Q59" i="91"/>
  <c r="P59" i="91"/>
  <c r="O59" i="91"/>
  <c r="N59" i="91"/>
  <c r="R58" i="91"/>
  <c r="Q58" i="91"/>
  <c r="P58" i="91"/>
  <c r="O58" i="91"/>
  <c r="N58" i="91"/>
  <c r="R57" i="91"/>
  <c r="Q57" i="91"/>
  <c r="P57" i="91"/>
  <c r="O57" i="91"/>
  <c r="N57" i="91"/>
  <c r="R56" i="91"/>
  <c r="Q56" i="91"/>
  <c r="P56" i="91"/>
  <c r="O56" i="91"/>
  <c r="N56" i="91"/>
  <c r="R55" i="91"/>
  <c r="Q55" i="91"/>
  <c r="P55" i="91"/>
  <c r="O55" i="91"/>
  <c r="N55" i="91"/>
  <c r="R51" i="91"/>
  <c r="Q51" i="91"/>
  <c r="P51" i="91"/>
  <c r="O51" i="91"/>
  <c r="N51" i="91"/>
  <c r="R50" i="91"/>
  <c r="Q50" i="91"/>
  <c r="P50" i="91"/>
  <c r="O50" i="91"/>
  <c r="N50" i="91"/>
  <c r="R49" i="91"/>
  <c r="Q49" i="91"/>
  <c r="P49" i="91"/>
  <c r="O49" i="91"/>
  <c r="N49" i="91"/>
  <c r="R48" i="91"/>
  <c r="Q48" i="91"/>
  <c r="P48" i="91"/>
  <c r="O48" i="91"/>
  <c r="N48" i="91"/>
  <c r="R46" i="91"/>
  <c r="Q46" i="91"/>
  <c r="P46" i="91"/>
  <c r="O46" i="91"/>
  <c r="N46" i="91"/>
  <c r="R45" i="91"/>
  <c r="Q45" i="91"/>
  <c r="P45" i="91"/>
  <c r="O45" i="91"/>
  <c r="N45" i="91"/>
  <c r="R44" i="91"/>
  <c r="Q44" i="91"/>
  <c r="P44" i="91"/>
  <c r="O44" i="91"/>
  <c r="N44" i="91"/>
  <c r="R43" i="91"/>
  <c r="Q43" i="91"/>
  <c r="P43" i="91"/>
  <c r="O43" i="91"/>
  <c r="N43" i="91"/>
  <c r="R42" i="91"/>
  <c r="Q42" i="91"/>
  <c r="P42" i="91"/>
  <c r="O42" i="91"/>
  <c r="N42" i="91"/>
  <c r="R41" i="91"/>
  <c r="Q41" i="91"/>
  <c r="P41" i="91"/>
  <c r="O41" i="91"/>
  <c r="N41" i="91"/>
  <c r="R40" i="91"/>
  <c r="Q40" i="91"/>
  <c r="P40" i="91"/>
  <c r="O40" i="91"/>
  <c r="N40" i="91"/>
  <c r="R39" i="91"/>
  <c r="Q39" i="91"/>
  <c r="P39" i="91"/>
  <c r="O39" i="91"/>
  <c r="N39" i="91"/>
  <c r="R38" i="91"/>
  <c r="Q38" i="91"/>
  <c r="P38" i="91"/>
  <c r="O38" i="91"/>
  <c r="N38" i="91"/>
  <c r="R37" i="91"/>
  <c r="Q37" i="91"/>
  <c r="P37" i="91"/>
  <c r="O37" i="91"/>
  <c r="N37" i="91"/>
  <c r="R36" i="91"/>
  <c r="Q36" i="91"/>
  <c r="P36" i="91"/>
  <c r="O36" i="91"/>
  <c r="N36" i="91"/>
  <c r="R35" i="91"/>
  <c r="Q35" i="91"/>
  <c r="P35" i="91"/>
  <c r="O35" i="91"/>
  <c r="N35" i="91"/>
  <c r="R34" i="91"/>
  <c r="Q34" i="91"/>
  <c r="P34" i="91"/>
  <c r="O34" i="91"/>
  <c r="N34" i="91"/>
  <c r="R33" i="91"/>
  <c r="Q33" i="91"/>
  <c r="P33" i="91"/>
  <c r="O33" i="91"/>
  <c r="N33" i="91"/>
  <c r="R32" i="91"/>
  <c r="Q32" i="91"/>
  <c r="P32" i="91"/>
  <c r="O32" i="91"/>
  <c r="N32" i="91"/>
  <c r="R31" i="91"/>
  <c r="Q31" i="91"/>
  <c r="P31" i="91"/>
  <c r="O31" i="91"/>
  <c r="N31" i="91"/>
  <c r="R30" i="91"/>
  <c r="Q30" i="91"/>
  <c r="P30" i="91"/>
  <c r="O30" i="91"/>
  <c r="N30" i="91"/>
  <c r="R28" i="91"/>
  <c r="Q28" i="91"/>
  <c r="P28" i="91"/>
  <c r="O28" i="91"/>
  <c r="N28" i="91"/>
  <c r="R27" i="91"/>
  <c r="Q27" i="91"/>
  <c r="P27" i="91"/>
  <c r="O27" i="91"/>
  <c r="O876" i="91" s="1"/>
  <c r="N27" i="91"/>
  <c r="R25" i="91"/>
  <c r="Q25" i="91"/>
  <c r="P25" i="91"/>
  <c r="O25" i="91"/>
  <c r="N25" i="91"/>
  <c r="R24" i="91"/>
  <c r="Q24" i="91"/>
  <c r="P24" i="91"/>
  <c r="O24" i="91"/>
  <c r="N24" i="91"/>
  <c r="R23" i="91"/>
  <c r="Q23" i="91"/>
  <c r="P23" i="91"/>
  <c r="O23" i="91"/>
  <c r="N23" i="91"/>
  <c r="R22" i="91"/>
  <c r="Q22" i="91"/>
  <c r="P22" i="91"/>
  <c r="O22" i="91"/>
  <c r="N22" i="91"/>
  <c r="R21" i="91"/>
  <c r="Q21" i="91"/>
  <c r="P21" i="91"/>
  <c r="O21" i="91"/>
  <c r="N21" i="91"/>
  <c r="R20" i="91"/>
  <c r="Q20" i="91"/>
  <c r="P20" i="91"/>
  <c r="O20" i="91"/>
  <c r="N20" i="91"/>
  <c r="R19" i="91"/>
  <c r="Q19" i="91"/>
  <c r="P19" i="91"/>
  <c r="O19" i="91"/>
  <c r="N19" i="91"/>
  <c r="R18" i="91"/>
  <c r="Q18" i="91"/>
  <c r="P18" i="91"/>
  <c r="O18" i="91"/>
  <c r="N18" i="91"/>
  <c r="R17" i="91"/>
  <c r="Q17" i="91"/>
  <c r="P17" i="91"/>
  <c r="O17" i="91"/>
  <c r="N17" i="91"/>
  <c r="R16" i="91"/>
  <c r="Q16" i="91"/>
  <c r="P16" i="91"/>
  <c r="O16" i="91"/>
  <c r="N16" i="91"/>
  <c r="R15" i="91"/>
  <c r="Q15" i="91"/>
  <c r="P15" i="91"/>
  <c r="O15" i="91"/>
  <c r="N15" i="91"/>
  <c r="R14" i="91"/>
  <c r="Q14" i="91"/>
  <c r="P14" i="91"/>
  <c r="O14" i="91"/>
  <c r="N14" i="91"/>
  <c r="R13" i="91"/>
  <c r="Q13" i="91"/>
  <c r="P13" i="91"/>
  <c r="O13" i="91"/>
  <c r="N13" i="91"/>
  <c r="R12" i="91"/>
  <c r="Q12" i="91"/>
  <c r="P12" i="91"/>
  <c r="O12" i="91"/>
  <c r="N12" i="91"/>
  <c r="R11" i="91"/>
  <c r="Q11" i="91"/>
  <c r="P11" i="91"/>
  <c r="O11" i="91"/>
  <c r="N11" i="91"/>
  <c r="G68" i="44"/>
  <c r="F68" i="44"/>
  <c r="N77" i="44" l="1"/>
  <c r="P876" i="91"/>
  <c r="P878" i="91" s="1"/>
  <c r="Q876" i="91"/>
  <c r="Q878" i="91" s="1"/>
  <c r="R876" i="91"/>
  <c r="N877" i="91"/>
  <c r="O877" i="91"/>
  <c r="O878" i="91" s="1"/>
  <c r="Q877" i="91"/>
  <c r="R877" i="91"/>
  <c r="P877" i="91"/>
  <c r="N876" i="91"/>
  <c r="H60" i="44"/>
  <c r="I60" i="44"/>
  <c r="N878" i="91" l="1"/>
  <c r="R878" i="91"/>
  <c r="C66" i="44"/>
  <c r="C67" i="44"/>
  <c r="E68" i="44"/>
  <c r="G65" i="44"/>
  <c r="E67" i="44"/>
  <c r="F67" i="44"/>
  <c r="E65" i="44"/>
  <c r="D65" i="44"/>
  <c r="E66" i="44"/>
  <c r="D67" i="44"/>
  <c r="G66" i="44"/>
  <c r="C65" i="44"/>
  <c r="D66" i="44"/>
  <c r="F65" i="44"/>
  <c r="G67" i="44"/>
  <c r="F66" i="44"/>
  <c r="D68" i="44"/>
  <c r="C68" i="44"/>
  <c r="N76" i="44" l="1"/>
  <c r="N75" i="44"/>
  <c r="L75" i="44"/>
  <c r="N74" i="44"/>
  <c r="M76" i="44"/>
  <c r="L76" i="44"/>
  <c r="M74" i="44"/>
  <c r="L77" i="44"/>
  <c r="M75" i="44"/>
  <c r="L74" i="44"/>
  <c r="M77" i="44"/>
  <c r="C70" i="44"/>
  <c r="K70" i="44" s="1"/>
  <c r="G70" i="44"/>
  <c r="E70" i="44"/>
  <c r="D70" i="44"/>
  <c r="F70" i="44"/>
  <c r="I65" i="44"/>
  <c r="I66" i="44"/>
  <c r="I67" i="44"/>
  <c r="I68" i="44"/>
  <c r="N68" i="44"/>
  <c r="H68" i="44"/>
  <c r="L68" i="44"/>
  <c r="K68" i="44"/>
  <c r="K66" i="44"/>
  <c r="H67" i="44"/>
  <c r="K67" i="44"/>
  <c r="J65" i="44"/>
  <c r="J66" i="44"/>
  <c r="J67" i="44"/>
  <c r="J68" i="44"/>
  <c r="K65" i="44"/>
  <c r="H66" i="44"/>
  <c r="H65" i="44"/>
  <c r="N79" i="44" l="1"/>
  <c r="L79" i="44"/>
  <c r="M79" i="44"/>
  <c r="H70" i="44"/>
  <c r="G746" i="75"/>
  <c r="G736" i="75"/>
  <c r="G595" i="75"/>
  <c r="G591" i="75"/>
  <c r="G403" i="75"/>
  <c r="F403" i="75"/>
  <c r="G373" i="75"/>
  <c r="G354" i="75"/>
  <c r="G353" i="75"/>
  <c r="G352" i="75"/>
  <c r="G339" i="75"/>
  <c r="B61" i="44"/>
  <c r="K60" i="44"/>
  <c r="B53" i="44"/>
  <c r="B45" i="44"/>
  <c r="B38" i="44"/>
  <c r="B23" i="44"/>
  <c r="J12" i="44"/>
  <c r="B12" i="44"/>
  <c r="K12" i="44" s="1"/>
  <c r="K11" i="44"/>
  <c r="J11" i="44"/>
  <c r="K10" i="44"/>
  <c r="J10" i="44"/>
  <c r="K9" i="44"/>
  <c r="J9" i="44"/>
  <c r="K8" i="44"/>
  <c r="J8" i="44"/>
  <c r="K7" i="44"/>
  <c r="J7" i="44"/>
  <c r="K6" i="44"/>
  <c r="J6" i="44"/>
  <c r="J5" i="44"/>
  <c r="K4" i="44"/>
  <c r="J4" i="44"/>
  <c r="S458" i="71"/>
  <c r="AA455" i="71"/>
  <c r="AA414" i="71"/>
  <c r="AA396" i="71"/>
  <c r="AA373" i="71"/>
  <c r="AA354" i="71"/>
  <c r="S268" i="71"/>
  <c r="S250" i="71"/>
  <c r="AA217" i="71"/>
  <c r="S194" i="71"/>
  <c r="AA188" i="71"/>
  <c r="AA184" i="71"/>
  <c r="S176" i="71"/>
  <c r="S175" i="71"/>
  <c r="S174" i="71"/>
  <c r="S173" i="71"/>
  <c r="AA171" i="71"/>
  <c r="AA167" i="71"/>
  <c r="AA165" i="71"/>
  <c r="AA148" i="71"/>
  <c r="S146" i="71"/>
  <c r="AA134" i="71"/>
  <c r="S134" i="71"/>
  <c r="S126" i="71"/>
  <c r="S125" i="71"/>
  <c r="AA122" i="71"/>
  <c r="AA112" i="71"/>
  <c r="AA107" i="71"/>
  <c r="AA106" i="71"/>
  <c r="AA105" i="71"/>
  <c r="AA83" i="71"/>
  <c r="AA75" i="71"/>
  <c r="AA73" i="71"/>
  <c r="S73" i="71"/>
  <c r="AA72" i="71"/>
  <c r="AA62" i="71"/>
  <c r="AA61" i="71"/>
  <c r="S59" i="71"/>
  <c r="AA50" i="71"/>
  <c r="AA49" i="71"/>
  <c r="AA29" i="71"/>
  <c r="S29" i="71"/>
  <c r="AA28" i="71"/>
  <c r="S11" i="71"/>
  <c r="T702" i="67"/>
  <c r="U702" i="67" s="1"/>
  <c r="AC687" i="67"/>
  <c r="U683" i="67"/>
  <c r="AC682" i="67"/>
  <c r="U682" i="67"/>
  <c r="AC666" i="67"/>
  <c r="U665" i="67"/>
  <c r="AC664" i="67"/>
  <c r="AC663" i="67"/>
  <c r="AC662" i="67"/>
  <c r="AC658" i="67"/>
  <c r="AC657" i="67"/>
  <c r="AC651" i="67"/>
  <c r="AC650" i="67"/>
  <c r="AC643" i="67"/>
  <c r="AC639" i="67"/>
  <c r="AC638" i="67"/>
  <c r="AC629" i="67"/>
  <c r="AC625" i="67"/>
  <c r="AC624" i="67"/>
  <c r="AC619" i="67"/>
  <c r="U619" i="67"/>
  <c r="AC603" i="67"/>
  <c r="AC600" i="67"/>
  <c r="AC599" i="67"/>
  <c r="U598" i="67"/>
  <c r="U596" i="67"/>
  <c r="AC594" i="67"/>
  <c r="AC592" i="67"/>
  <c r="AC590" i="67"/>
  <c r="AC589" i="67"/>
  <c r="AC588" i="67"/>
  <c r="AC586" i="67"/>
  <c r="AC582" i="67"/>
  <c r="AC578" i="67"/>
  <c r="AC577" i="67"/>
  <c r="AC575" i="67"/>
  <c r="U575" i="67"/>
  <c r="AC571" i="67"/>
  <c r="AC570" i="67"/>
  <c r="AC569" i="67"/>
  <c r="AC568" i="67"/>
  <c r="U568" i="67"/>
  <c r="AC546" i="67"/>
  <c r="AC543" i="67"/>
  <c r="AC542" i="67"/>
  <c r="U538" i="67"/>
  <c r="U537" i="67"/>
  <c r="AC531" i="67"/>
  <c r="AC528" i="67"/>
  <c r="AC525" i="67"/>
  <c r="AC522" i="67"/>
  <c r="U522" i="67"/>
  <c r="AC521" i="67"/>
  <c r="AC520" i="67"/>
  <c r="AC506" i="67"/>
  <c r="AC505" i="67"/>
  <c r="AC504" i="67"/>
  <c r="AC503" i="67"/>
  <c r="AC496" i="67"/>
  <c r="AC494" i="67"/>
  <c r="AC491" i="67"/>
  <c r="AC488" i="67"/>
  <c r="AC487" i="67"/>
  <c r="AC481" i="67"/>
  <c r="AC480" i="67"/>
  <c r="AC477" i="67"/>
  <c r="AC459" i="67"/>
  <c r="U458" i="67"/>
  <c r="U457" i="67"/>
  <c r="AC445" i="67"/>
  <c r="U444" i="67"/>
  <c r="U443" i="67"/>
  <c r="U442" i="67"/>
  <c r="U441" i="67"/>
  <c r="U440" i="67"/>
  <c r="AC439" i="67"/>
  <c r="AC438" i="67"/>
  <c r="AC433" i="67"/>
  <c r="U416" i="67"/>
  <c r="U415" i="67"/>
  <c r="U414" i="67"/>
  <c r="U413" i="67"/>
  <c r="U412" i="67"/>
  <c r="U411" i="67"/>
  <c r="AC400" i="67"/>
  <c r="AC386" i="67"/>
  <c r="U385" i="67"/>
  <c r="AC384" i="67"/>
  <c r="U384" i="67"/>
  <c r="AC373" i="67"/>
  <c r="U372" i="67"/>
  <c r="AC367" i="67"/>
  <c r="AC362" i="67"/>
  <c r="AC360" i="67"/>
  <c r="AC359" i="67"/>
  <c r="AC356" i="67"/>
  <c r="AC355" i="67"/>
  <c r="AC353" i="67"/>
  <c r="AC327" i="67"/>
  <c r="U326" i="67"/>
  <c r="AC325" i="67"/>
  <c r="U325" i="67"/>
  <c r="U317" i="67"/>
  <c r="U316" i="67"/>
  <c r="U315" i="67"/>
  <c r="U314" i="67"/>
  <c r="U313" i="67"/>
  <c r="U311" i="67"/>
  <c r="U310" i="67"/>
  <c r="U307" i="67"/>
  <c r="U305" i="67"/>
  <c r="AC303" i="67"/>
  <c r="AC302" i="67"/>
  <c r="U302" i="67"/>
  <c r="AC300" i="67"/>
  <c r="AC293" i="67"/>
  <c r="U284" i="67"/>
  <c r="AC273" i="67"/>
  <c r="AC271" i="67"/>
  <c r="U269" i="67"/>
  <c r="AC266" i="67"/>
  <c r="AC251" i="67"/>
  <c r="AC250" i="67"/>
  <c r="U250" i="67"/>
  <c r="AC248" i="67"/>
  <c r="AC242" i="67"/>
  <c r="AC241" i="67"/>
  <c r="U241" i="67"/>
  <c r="AC240" i="67"/>
  <c r="U240" i="67"/>
  <c r="AC239" i="67"/>
  <c r="U239" i="67"/>
  <c r="U238" i="67"/>
  <c r="U237" i="67"/>
  <c r="AC236" i="67"/>
  <c r="U235" i="67"/>
  <c r="T235" i="67"/>
  <c r="U233" i="67"/>
  <c r="AC232" i="67"/>
  <c r="AC230" i="67"/>
  <c r="AC227" i="67"/>
  <c r="AC225" i="67"/>
  <c r="AC222" i="67"/>
  <c r="U212" i="67"/>
  <c r="U204" i="67"/>
  <c r="U203" i="67"/>
  <c r="U202" i="67"/>
  <c r="U201" i="67"/>
  <c r="AC197" i="67"/>
  <c r="AC196" i="67"/>
  <c r="AC195" i="67"/>
  <c r="AC186" i="67"/>
  <c r="AC179" i="67"/>
  <c r="AC178" i="67"/>
  <c r="U178" i="67"/>
  <c r="AC177" i="67"/>
  <c r="AC174" i="67"/>
  <c r="U174" i="67"/>
  <c r="U173" i="67"/>
  <c r="U172" i="67"/>
  <c r="AC169" i="67"/>
  <c r="AC168" i="67"/>
  <c r="AC167" i="67"/>
  <c r="U167" i="67"/>
  <c r="U163" i="67"/>
  <c r="AC162" i="67"/>
  <c r="U162" i="67"/>
  <c r="AC161" i="67"/>
  <c r="U149" i="67"/>
  <c r="AC148" i="67"/>
  <c r="U148" i="67"/>
  <c r="U146" i="67"/>
  <c r="AC145" i="67"/>
  <c r="U145" i="67"/>
  <c r="AC144" i="67"/>
  <c r="U144" i="67"/>
  <c r="AC135" i="67"/>
  <c r="AC132" i="67"/>
  <c r="U132" i="67"/>
  <c r="AC131" i="67"/>
  <c r="U131" i="67"/>
  <c r="AC130" i="67"/>
  <c r="AC129" i="67"/>
  <c r="U129" i="67"/>
  <c r="AC101" i="67"/>
  <c r="U101" i="67"/>
  <c r="AC88" i="67"/>
  <c r="AC81" i="67"/>
  <c r="U81" i="67"/>
  <c r="U27" i="67"/>
  <c r="U23" i="67"/>
  <c r="U879" i="51"/>
  <c r="U878" i="51"/>
  <c r="U877" i="51"/>
  <c r="U875" i="51"/>
  <c r="U864" i="51"/>
  <c r="U848" i="51"/>
  <c r="AC847" i="51"/>
  <c r="U847" i="51"/>
  <c r="U845" i="51"/>
  <c r="U842" i="51"/>
  <c r="AC841" i="51"/>
  <c r="U841" i="51"/>
  <c r="T835" i="51"/>
  <c r="AC831" i="51"/>
  <c r="AC830" i="51"/>
  <c r="AC829" i="51"/>
  <c r="AC828" i="51"/>
  <c r="AC815" i="51"/>
  <c r="AC814" i="51"/>
  <c r="U805" i="51"/>
  <c r="U804" i="51"/>
  <c r="AC803" i="51"/>
  <c r="AC802" i="51"/>
  <c r="AC797" i="51"/>
  <c r="U796" i="51"/>
  <c r="AC795" i="51"/>
  <c r="U795" i="51"/>
  <c r="AC791" i="51"/>
  <c r="U790" i="51"/>
  <c r="AC751" i="51"/>
  <c r="AC748" i="51"/>
  <c r="AC747" i="51"/>
  <c r="AC746" i="51"/>
  <c r="U746" i="51"/>
  <c r="U740" i="51"/>
  <c r="U739" i="51"/>
  <c r="U738" i="51"/>
  <c r="AC734" i="51"/>
  <c r="U734" i="51"/>
  <c r="U733" i="51"/>
  <c r="U732" i="51"/>
  <c r="U731" i="51"/>
  <c r="U730" i="51"/>
  <c r="U720" i="51"/>
  <c r="AC719" i="51"/>
  <c r="AC718" i="51"/>
  <c r="AC717" i="51"/>
  <c r="AC715" i="51"/>
  <c r="AC713" i="51"/>
  <c r="AC712" i="51"/>
  <c r="AC703" i="51"/>
  <c r="U703" i="51"/>
  <c r="AC702" i="51"/>
  <c r="U702" i="51"/>
  <c r="U700" i="51"/>
  <c r="U699" i="51"/>
  <c r="U698" i="51"/>
  <c r="U697" i="51"/>
  <c r="U696" i="51"/>
  <c r="AC695" i="51"/>
  <c r="AC694" i="51"/>
  <c r="AC693" i="51"/>
  <c r="U693" i="51"/>
  <c r="U692" i="51"/>
  <c r="AC691" i="51"/>
  <c r="AC690" i="51"/>
  <c r="AC688" i="51"/>
  <c r="AC683" i="51"/>
  <c r="AC681" i="51"/>
  <c r="AC679" i="51"/>
  <c r="U673" i="51"/>
  <c r="AC672" i="51"/>
  <c r="AC668" i="51"/>
  <c r="AC663" i="51"/>
  <c r="AC662" i="51"/>
  <c r="AC661" i="51"/>
  <c r="AC659" i="51"/>
  <c r="AC657" i="51"/>
  <c r="AC656" i="51"/>
  <c r="AC655" i="51"/>
  <c r="AC654" i="51"/>
  <c r="AC652" i="51"/>
  <c r="AC651" i="51"/>
  <c r="U644" i="51"/>
  <c r="AC641" i="51"/>
  <c r="U641" i="51"/>
  <c r="AC640" i="51"/>
  <c r="U640" i="51"/>
  <c r="AC627" i="51"/>
  <c r="U625" i="51"/>
  <c r="AC624" i="51"/>
  <c r="U622" i="51"/>
  <c r="U621" i="51"/>
  <c r="U620" i="51"/>
  <c r="U619" i="51"/>
  <c r="U618" i="51"/>
  <c r="U617" i="51"/>
  <c r="U616" i="51"/>
  <c r="AC614" i="51"/>
  <c r="U614" i="51"/>
  <c r="AC598" i="51"/>
  <c r="U597" i="51"/>
  <c r="AC595" i="51"/>
  <c r="AC594" i="51"/>
  <c r="U593" i="51"/>
  <c r="U589" i="51"/>
  <c r="AC587" i="51"/>
  <c r="AC586" i="51"/>
  <c r="U586" i="51"/>
  <c r="AC549" i="51"/>
  <c r="AC541" i="51"/>
  <c r="U541" i="51"/>
  <c r="AC539" i="51"/>
  <c r="AC538" i="51"/>
  <c r="U532" i="51"/>
  <c r="U457" i="51"/>
  <c r="U456" i="51"/>
  <c r="U455" i="51"/>
  <c r="U433" i="51"/>
  <c r="AC422" i="51"/>
  <c r="U415" i="51"/>
  <c r="AC414" i="51"/>
  <c r="AC404" i="51"/>
  <c r="AC402" i="51"/>
  <c r="U402" i="51"/>
  <c r="AC398" i="51"/>
  <c r="AC395" i="51"/>
  <c r="AC392" i="51"/>
  <c r="U392" i="51"/>
  <c r="AC383" i="51"/>
  <c r="U383" i="51"/>
  <c r="U379" i="51"/>
  <c r="AC363" i="51"/>
  <c r="U363" i="51"/>
  <c r="U347" i="51"/>
  <c r="U346" i="51"/>
  <c r="U345" i="51"/>
  <c r="U343" i="51"/>
  <c r="U341" i="51"/>
  <c r="U340" i="51"/>
  <c r="U339" i="51"/>
  <c r="U329" i="51"/>
  <c r="U328" i="51"/>
  <c r="U327" i="51"/>
  <c r="U311" i="51"/>
  <c r="AC306" i="51"/>
  <c r="U306" i="51"/>
  <c r="AC305" i="51"/>
  <c r="U304" i="51"/>
  <c r="U303" i="51"/>
  <c r="U302" i="51"/>
  <c r="AC300" i="51"/>
  <c r="U300" i="51"/>
  <c r="AC279" i="51"/>
  <c r="U279" i="51"/>
  <c r="U278" i="51"/>
  <c r="AC277" i="51"/>
  <c r="U277" i="51"/>
  <c r="U275" i="51"/>
  <c r="U273" i="51"/>
  <c r="T273" i="51"/>
  <c r="AC271" i="51"/>
  <c r="AC257" i="51"/>
  <c r="AC255" i="51"/>
  <c r="U255" i="51"/>
  <c r="AC242" i="51"/>
  <c r="AC240" i="51"/>
  <c r="U240" i="51"/>
  <c r="U239" i="51"/>
  <c r="U238" i="51"/>
  <c r="AC236" i="51"/>
  <c r="U236" i="51"/>
  <c r="AC229" i="51"/>
  <c r="AC228" i="51"/>
  <c r="AC225" i="51"/>
  <c r="AC224" i="51"/>
  <c r="U224" i="51"/>
  <c r="AC220" i="51"/>
  <c r="U220" i="51"/>
  <c r="U218" i="51"/>
  <c r="T218" i="51"/>
  <c r="U217" i="51"/>
  <c r="AC215" i="51"/>
  <c r="U214" i="51"/>
  <c r="U212" i="51"/>
  <c r="AC202" i="51"/>
  <c r="AC199" i="51"/>
  <c r="AC195" i="51"/>
  <c r="U193" i="51"/>
  <c r="U192" i="51"/>
  <c r="AC191" i="51"/>
  <c r="AC189" i="51"/>
  <c r="U188" i="51"/>
  <c r="U175" i="51"/>
  <c r="U172" i="51"/>
  <c r="U171" i="51"/>
  <c r="AC168" i="51"/>
  <c r="U168" i="51"/>
  <c r="AC166" i="51"/>
  <c r="AC165" i="51"/>
  <c r="U165" i="51"/>
  <c r="U162" i="51"/>
  <c r="U161" i="51"/>
  <c r="U160" i="51"/>
  <c r="U149" i="51"/>
  <c r="U146" i="51"/>
  <c r="AC145" i="51"/>
  <c r="U145" i="51"/>
  <c r="U144" i="51"/>
  <c r="U143" i="51"/>
  <c r="U142" i="51"/>
  <c r="U141" i="51"/>
  <c r="U140" i="51"/>
  <c r="U135" i="51"/>
  <c r="U134" i="51"/>
  <c r="U132" i="51"/>
  <c r="U131" i="51"/>
  <c r="AC130" i="51"/>
  <c r="AC129" i="51"/>
  <c r="AC121" i="51"/>
  <c r="U119" i="51"/>
  <c r="AC118" i="51"/>
  <c r="U108" i="51"/>
  <c r="U107" i="51"/>
  <c r="U106" i="51"/>
  <c r="U105" i="51"/>
  <c r="U103" i="51"/>
  <c r="U97" i="51"/>
  <c r="U87" i="51"/>
  <c r="U86" i="51"/>
  <c r="U85" i="51"/>
  <c r="U84" i="51"/>
  <c r="U83" i="51"/>
  <c r="U82" i="51"/>
  <c r="U81" i="51"/>
  <c r="U80" i="51"/>
  <c r="U79" i="51"/>
  <c r="U78" i="51"/>
  <c r="U77" i="51"/>
  <c r="AC73" i="51"/>
  <c r="AC70" i="51"/>
  <c r="U68" i="51"/>
  <c r="U67" i="51"/>
  <c r="U66" i="51"/>
  <c r="U65" i="51"/>
  <c r="U64" i="51"/>
  <c r="AC63" i="51"/>
  <c r="AC62" i="51"/>
  <c r="U62" i="51"/>
  <c r="U59" i="51"/>
  <c r="U58" i="51"/>
  <c r="U57" i="51"/>
  <c r="U56" i="51"/>
  <c r="U55" i="51"/>
  <c r="U54" i="51"/>
  <c r="U53" i="51"/>
  <c r="U52" i="51"/>
  <c r="U51" i="51"/>
  <c r="U50" i="51"/>
  <c r="U49" i="51"/>
  <c r="U35" i="51"/>
  <c r="AC34" i="51"/>
  <c r="U34" i="51"/>
  <c r="AC32" i="51"/>
  <c r="U32" i="51"/>
  <c r="AC31" i="51"/>
  <c r="U31" i="51"/>
  <c r="U28" i="51"/>
  <c r="U23" i="51"/>
  <c r="U11" i="51"/>
  <c r="U10" i="51"/>
  <c r="U9" i="51"/>
  <c r="M461" i="43"/>
  <c r="M460" i="43"/>
  <c r="M453" i="43"/>
  <c r="L452" i="43"/>
  <c r="M451" i="43"/>
  <c r="M449" i="43"/>
  <c r="M447" i="43"/>
  <c r="M446" i="43"/>
  <c r="M444" i="43"/>
  <c r="M436" i="43"/>
  <c r="M433" i="43"/>
  <c r="M430" i="43"/>
  <c r="M429" i="43"/>
  <c r="M420" i="43"/>
  <c r="M419" i="43"/>
  <c r="M401" i="43"/>
  <c r="M400" i="43"/>
  <c r="M399" i="43"/>
  <c r="M398" i="43"/>
  <c r="M397" i="43"/>
  <c r="M396" i="43"/>
  <c r="M395" i="43"/>
  <c r="M394" i="43"/>
  <c r="M393" i="43"/>
  <c r="M392" i="43"/>
  <c r="M391" i="43"/>
  <c r="M390" i="43"/>
  <c r="M389" i="43"/>
  <c r="M388" i="43"/>
  <c r="M385" i="43"/>
  <c r="M383" i="43"/>
  <c r="M374" i="43"/>
  <c r="M372" i="43"/>
  <c r="M371" i="43"/>
  <c r="M370" i="43"/>
  <c r="M366" i="43"/>
  <c r="M364" i="43"/>
  <c r="M357" i="43"/>
  <c r="M356" i="43"/>
  <c r="M355" i="43"/>
  <c r="M354" i="43"/>
  <c r="M342" i="43"/>
  <c r="M341" i="43"/>
  <c r="M338" i="43"/>
  <c r="M337" i="43"/>
  <c r="M336" i="43"/>
  <c r="M335" i="43"/>
  <c r="M334" i="43"/>
  <c r="M333" i="43"/>
  <c r="M332" i="43"/>
  <c r="M331" i="43"/>
  <c r="M330" i="43"/>
  <c r="M328" i="43"/>
  <c r="M327" i="43"/>
  <c r="M324" i="43"/>
  <c r="M322" i="43"/>
  <c r="M320" i="43"/>
  <c r="M311" i="43"/>
  <c r="M307" i="43"/>
  <c r="M305" i="43"/>
  <c r="M304" i="43"/>
  <c r="M288" i="43"/>
  <c r="M287" i="43"/>
  <c r="M286" i="43"/>
  <c r="M270" i="43"/>
  <c r="M269" i="43"/>
  <c r="M268" i="43"/>
  <c r="M267" i="43"/>
  <c r="M266" i="43"/>
  <c r="M265" i="43"/>
  <c r="M255" i="43"/>
  <c r="M249" i="43"/>
  <c r="M245" i="43"/>
  <c r="M244" i="43"/>
  <c r="M238" i="43"/>
  <c r="M234" i="43"/>
  <c r="M233" i="43"/>
  <c r="M228" i="43"/>
  <c r="M227" i="43"/>
  <c r="M226" i="43"/>
  <c r="M225" i="43"/>
  <c r="M211" i="43"/>
  <c r="M210" i="43"/>
  <c r="M209" i="43"/>
  <c r="M207" i="43"/>
  <c r="M206" i="43"/>
  <c r="M205" i="43"/>
  <c r="M199" i="43"/>
  <c r="M193" i="43"/>
  <c r="L192" i="43"/>
  <c r="M191" i="43"/>
  <c r="M190" i="43"/>
  <c r="M189" i="43"/>
  <c r="M186" i="43"/>
  <c r="M184" i="43"/>
  <c r="M183" i="43"/>
  <c r="M178" i="43"/>
  <c r="M172" i="43"/>
  <c r="M171" i="43"/>
  <c r="M169" i="43"/>
  <c r="M168" i="43"/>
  <c r="M167" i="43"/>
  <c r="M166" i="43"/>
  <c r="M165" i="43"/>
  <c r="M163" i="43"/>
  <c r="M161" i="43"/>
  <c r="M160" i="43"/>
  <c r="M159" i="43"/>
  <c r="M158" i="43"/>
  <c r="M157" i="43"/>
  <c r="M156" i="43"/>
  <c r="M155" i="43"/>
  <c r="M154" i="43"/>
  <c r="M153" i="43"/>
  <c r="M152" i="43"/>
  <c r="M151" i="43"/>
  <c r="M150" i="43"/>
  <c r="M144" i="43"/>
  <c r="M140" i="43"/>
  <c r="M139" i="43"/>
  <c r="M137" i="43"/>
  <c r="M136" i="43"/>
  <c r="M135" i="43"/>
  <c r="M134" i="43"/>
  <c r="M118" i="43"/>
  <c r="M116" i="43"/>
  <c r="M115" i="43"/>
  <c r="M114" i="43"/>
  <c r="M112" i="43"/>
  <c r="M111" i="43"/>
  <c r="M108" i="43"/>
  <c r="M107" i="43"/>
  <c r="M106" i="43"/>
  <c r="M103" i="43"/>
  <c r="M102" i="43"/>
  <c r="M101" i="43"/>
  <c r="M100" i="43"/>
  <c r="M99" i="43"/>
  <c r="M98" i="43"/>
  <c r="M96" i="43"/>
  <c r="M94" i="43"/>
  <c r="M92" i="43"/>
  <c r="M90" i="43"/>
  <c r="M89" i="43"/>
  <c r="M88" i="43"/>
  <c r="M87" i="43"/>
  <c r="M82" i="43"/>
  <c r="M83" i="43" s="1"/>
  <c r="M81" i="43"/>
  <c r="M80" i="43"/>
  <c r="M79" i="43"/>
  <c r="M72" i="43"/>
  <c r="M71" i="43"/>
  <c r="M70" i="43"/>
  <c r="M69" i="43"/>
  <c r="M68" i="43"/>
  <c r="M64" i="43"/>
  <c r="M63" i="43"/>
  <c r="M62" i="43"/>
  <c r="M61" i="43"/>
  <c r="M60" i="43"/>
  <c r="M59" i="43"/>
  <c r="M58" i="43"/>
  <c r="M57" i="43"/>
  <c r="M56" i="43"/>
  <c r="M55" i="43"/>
  <c r="M54" i="43"/>
  <c r="M53" i="43"/>
  <c r="M52" i="43"/>
  <c r="M51" i="43"/>
  <c r="M50" i="43"/>
  <c r="M37" i="43"/>
  <c r="M36" i="43"/>
  <c r="M35" i="43"/>
  <c r="M34" i="43"/>
  <c r="M33" i="43"/>
  <c r="M14" i="43"/>
  <c r="M8" i="43"/>
  <c r="M410" i="41"/>
  <c r="M409" i="41"/>
  <c r="M408" i="41"/>
  <c r="M407" i="41"/>
  <c r="M377" i="41"/>
  <c r="M374" i="41"/>
  <c r="M373" i="41"/>
  <c r="M372" i="41"/>
  <c r="M370" i="41"/>
  <c r="M369" i="41"/>
  <c r="M368" i="41"/>
  <c r="M367" i="41"/>
  <c r="M366" i="41"/>
  <c r="M365" i="41"/>
  <c r="M363" i="41"/>
  <c r="M362" i="41"/>
  <c r="M361" i="41"/>
  <c r="M359" i="41"/>
  <c r="M353" i="41"/>
  <c r="M352" i="41"/>
  <c r="M351" i="41"/>
  <c r="M350" i="41"/>
  <c r="M347" i="41"/>
  <c r="M345" i="41"/>
  <c r="M343" i="41"/>
  <c r="M342" i="41"/>
  <c r="M341" i="41"/>
  <c r="M328" i="41"/>
  <c r="M327" i="41"/>
  <c r="M326" i="41"/>
  <c r="M323" i="41"/>
  <c r="M322" i="41"/>
  <c r="M321" i="41"/>
  <c r="M319" i="41"/>
  <c r="M318" i="41"/>
  <c r="M316" i="41"/>
  <c r="M312" i="41"/>
  <c r="M311" i="41"/>
  <c r="M310" i="41"/>
  <c r="M309" i="41"/>
  <c r="M307" i="41"/>
  <c r="M306" i="41"/>
  <c r="M305" i="41"/>
  <c r="M303" i="41"/>
  <c r="M302" i="41"/>
  <c r="M300" i="41"/>
  <c r="M299" i="41"/>
  <c r="M297" i="41"/>
  <c r="M296" i="41"/>
  <c r="M295" i="41"/>
  <c r="M294" i="41"/>
  <c r="M292" i="41"/>
  <c r="M291" i="41"/>
  <c r="M290" i="41"/>
  <c r="M288" i="41"/>
  <c r="M287" i="41"/>
  <c r="M281" i="41"/>
  <c r="M280" i="41"/>
  <c r="M278" i="41"/>
  <c r="M277" i="41"/>
  <c r="M276" i="41"/>
  <c r="M275" i="41"/>
  <c r="M274" i="41"/>
  <c r="M271" i="41"/>
  <c r="M262" i="41"/>
  <c r="M261" i="41"/>
  <c r="M260" i="41"/>
  <c r="M259" i="41"/>
  <c r="M258" i="41"/>
  <c r="M257" i="41"/>
  <c r="M255" i="41"/>
  <c r="M254" i="41"/>
  <c r="M250" i="41"/>
  <c r="M249" i="41"/>
  <c r="M246" i="41"/>
  <c r="M243" i="41"/>
  <c r="M240" i="41"/>
  <c r="M239" i="41"/>
  <c r="M237" i="41"/>
  <c r="M236" i="41"/>
  <c r="M233" i="41"/>
  <c r="M230" i="41"/>
  <c r="M226" i="41"/>
  <c r="M225" i="41"/>
  <c r="M224" i="41"/>
  <c r="M223" i="41"/>
  <c r="M222" i="41"/>
  <c r="M220" i="41"/>
  <c r="M219" i="41"/>
  <c r="M218" i="41"/>
  <c r="M217" i="41"/>
  <c r="M216" i="41"/>
  <c r="M211" i="41"/>
  <c r="M210" i="41"/>
  <c r="M209" i="41"/>
  <c r="M207" i="41"/>
  <c r="M206" i="41"/>
  <c r="M202" i="41"/>
  <c r="M201" i="41"/>
  <c r="M200" i="41"/>
  <c r="M198" i="41"/>
  <c r="M197" i="41"/>
  <c r="M194" i="41"/>
  <c r="M191" i="41"/>
  <c r="M188" i="41"/>
  <c r="M186" i="41"/>
  <c r="M185" i="41"/>
  <c r="M184" i="41"/>
  <c r="M179" i="41"/>
  <c r="M176" i="41"/>
  <c r="M172" i="41"/>
  <c r="M171" i="41"/>
  <c r="M170" i="41"/>
  <c r="M169" i="41"/>
  <c r="M168" i="41"/>
  <c r="M165" i="41"/>
  <c r="M164" i="41"/>
  <c r="M162" i="41"/>
  <c r="M154" i="41"/>
  <c r="M152" i="41"/>
  <c r="M150" i="41"/>
  <c r="M141" i="41"/>
  <c r="M128" i="41"/>
  <c r="M125" i="41"/>
  <c r="M122" i="41"/>
  <c r="M115" i="41"/>
  <c r="M110" i="41"/>
  <c r="M106" i="41"/>
  <c r="M104" i="41"/>
  <c r="M103" i="41"/>
  <c r="M100" i="41"/>
  <c r="M99" i="41"/>
  <c r="M96" i="41"/>
  <c r="M95" i="41"/>
  <c r="M92" i="41"/>
  <c r="M91" i="41"/>
  <c r="M88" i="41"/>
  <c r="M87" i="41"/>
  <c r="M86" i="41"/>
  <c r="M85" i="41"/>
  <c r="M84" i="41"/>
  <c r="M83" i="41"/>
  <c r="M82" i="41"/>
  <c r="M81" i="41"/>
  <c r="M78" i="41"/>
  <c r="M77" i="41"/>
  <c r="M76" i="41"/>
  <c r="M75" i="41"/>
  <c r="M73" i="41"/>
  <c r="M72" i="41"/>
  <c r="M69" i="41"/>
  <c r="M68" i="41"/>
  <c r="M67" i="41"/>
  <c r="M65" i="41"/>
  <c r="M64" i="41"/>
  <c r="M62" i="41"/>
  <c r="M61" i="41"/>
  <c r="M60" i="41"/>
  <c r="M58" i="41"/>
  <c r="M56" i="41"/>
  <c r="M55" i="41"/>
  <c r="M54" i="41"/>
  <c r="M53" i="41"/>
  <c r="M52" i="41"/>
  <c r="M51" i="41"/>
  <c r="M50" i="41"/>
  <c r="M48" i="41"/>
  <c r="M47" i="41"/>
  <c r="M46" i="41"/>
  <c r="M41" i="41"/>
  <c r="M40" i="41"/>
  <c r="M32" i="41"/>
  <c r="M31" i="41"/>
  <c r="M29" i="41"/>
  <c r="M28" i="41"/>
  <c r="M25" i="41"/>
  <c r="M24" i="41"/>
  <c r="M23" i="41"/>
  <c r="M22" i="41"/>
  <c r="M21" i="41"/>
  <c r="M20" i="41"/>
  <c r="M18" i="41"/>
  <c r="M17" i="41"/>
  <c r="M15" i="41"/>
  <c r="M12" i="41"/>
  <c r="L12" i="41"/>
  <c r="M10" i="41"/>
  <c r="M8" i="41"/>
  <c r="M334" i="15"/>
  <c r="M331" i="15"/>
  <c r="M327" i="15"/>
  <c r="M325" i="15"/>
  <c r="M323" i="15"/>
  <c r="M314" i="15"/>
  <c r="M312" i="15"/>
  <c r="L311" i="15"/>
  <c r="L309" i="15"/>
  <c r="L308" i="15"/>
  <c r="M307" i="15"/>
  <c r="M306" i="15"/>
  <c r="M305" i="15"/>
  <c r="M304" i="15"/>
  <c r="M303" i="15"/>
  <c r="M302" i="15"/>
  <c r="M301" i="15"/>
  <c r="M300" i="15"/>
  <c r="M296" i="15"/>
  <c r="M293" i="15"/>
  <c r="M290" i="15"/>
  <c r="M267" i="15"/>
  <c r="L264" i="15"/>
  <c r="M262" i="15"/>
  <c r="M261" i="15"/>
  <c r="L260" i="15"/>
  <c r="M259" i="15"/>
  <c r="M258" i="15"/>
  <c r="M251" i="15"/>
  <c r="M244" i="15"/>
  <c r="M230" i="15"/>
  <c r="M229" i="15"/>
  <c r="M226" i="15"/>
  <c r="M225" i="15"/>
  <c r="M224" i="15"/>
  <c r="M223" i="15"/>
  <c r="M222" i="15"/>
  <c r="M221" i="15"/>
  <c r="M219" i="15"/>
  <c r="M218" i="15"/>
  <c r="M217" i="15"/>
  <c r="M216" i="15"/>
  <c r="M213" i="15"/>
  <c r="L212" i="15"/>
  <c r="L211" i="15"/>
  <c r="L206" i="15"/>
  <c r="M203" i="15"/>
  <c r="M201" i="15"/>
  <c r="M198" i="15"/>
  <c r="L198" i="15"/>
  <c r="M197" i="15"/>
  <c r="M191" i="15"/>
  <c r="L188" i="15"/>
  <c r="M187" i="15"/>
  <c r="M184" i="15"/>
  <c r="M183" i="15"/>
  <c r="M182" i="15"/>
  <c r="M181" i="15"/>
  <c r="M179" i="15"/>
  <c r="M177" i="15"/>
  <c r="M176" i="15"/>
  <c r="M175" i="15"/>
  <c r="M174" i="15"/>
  <c r="M172" i="15"/>
  <c r="M171" i="15"/>
  <c r="M169" i="15"/>
  <c r="M163" i="15"/>
  <c r="M162" i="15"/>
  <c r="M159" i="15"/>
  <c r="L156" i="15"/>
  <c r="L155" i="15"/>
  <c r="L154" i="15"/>
  <c r="M147" i="15"/>
  <c r="M146" i="15"/>
  <c r="M145" i="15"/>
  <c r="M140" i="15"/>
  <c r="M137" i="15"/>
  <c r="M135" i="15"/>
  <c r="M133" i="15"/>
  <c r="M131" i="15"/>
  <c r="M129" i="15"/>
  <c r="L120" i="15"/>
  <c r="L118" i="15"/>
  <c r="L117" i="15"/>
  <c r="L115" i="15"/>
  <c r="L114" i="15"/>
  <c r="L113" i="15"/>
  <c r="L111" i="15"/>
  <c r="L110" i="15"/>
  <c r="L93" i="15"/>
  <c r="L89" i="15"/>
  <c r="L87" i="15"/>
  <c r="M81" i="15"/>
  <c r="M79" i="15"/>
  <c r="L77" i="15"/>
  <c r="L67" i="15"/>
  <c r="M61" i="15"/>
  <c r="M60" i="15"/>
  <c r="M58" i="15"/>
  <c r="M57" i="15"/>
  <c r="M55" i="15"/>
  <c r="M54" i="15"/>
  <c r="L51" i="15"/>
  <c r="L50" i="15"/>
  <c r="M47" i="15"/>
  <c r="L47" i="15"/>
  <c r="L45" i="15"/>
  <c r="L38" i="15"/>
  <c r="M32" i="15"/>
  <c r="L31" i="15"/>
  <c r="L29" i="15"/>
  <c r="L28" i="15"/>
  <c r="L27" i="15"/>
  <c r="M20" i="15"/>
  <c r="L13" i="15"/>
  <c r="L12" i="15"/>
  <c r="L194" i="1"/>
  <c r="L193" i="1"/>
  <c r="L187" i="1"/>
  <c r="L183" i="1"/>
  <c r="M181" i="1"/>
  <c r="M180" i="1"/>
  <c r="M178" i="1"/>
  <c r="M175" i="1"/>
  <c r="M173" i="1"/>
  <c r="M169" i="1"/>
  <c r="M168" i="1"/>
  <c r="M167" i="1"/>
  <c r="L166" i="1"/>
  <c r="M165" i="1"/>
  <c r="M164" i="1"/>
  <c r="M163" i="1"/>
  <c r="M160" i="1"/>
  <c r="M159" i="1"/>
  <c r="M158" i="1"/>
  <c r="M157" i="1"/>
  <c r="M155" i="1"/>
  <c r="M151" i="1"/>
  <c r="M150" i="1"/>
  <c r="M149" i="1"/>
  <c r="L144" i="1"/>
  <c r="L141" i="1"/>
  <c r="L140" i="1"/>
  <c r="L137" i="1"/>
  <c r="L133" i="1"/>
  <c r="L126" i="1"/>
  <c r="M122" i="1"/>
  <c r="L118" i="1"/>
  <c r="L117" i="1"/>
  <c r="L116" i="1"/>
  <c r="L115" i="1"/>
  <c r="L110" i="1"/>
  <c r="L108" i="1"/>
  <c r="L103" i="1"/>
  <c r="L102" i="1"/>
  <c r="L101" i="1"/>
  <c r="L99" i="1"/>
  <c r="L98" i="1"/>
  <c r="L97" i="1"/>
  <c r="L96" i="1"/>
  <c r="L92" i="1"/>
  <c r="L89" i="1"/>
  <c r="L87" i="1"/>
  <c r="L86" i="1"/>
  <c r="L83" i="1"/>
  <c r="L80" i="1"/>
  <c r="L78" i="1"/>
  <c r="L75" i="1"/>
  <c r="L65" i="1"/>
  <c r="L62" i="1"/>
  <c r="L61" i="1"/>
  <c r="M59" i="1"/>
  <c r="L53" i="1"/>
  <c r="L52" i="1"/>
  <c r="L50" i="1"/>
  <c r="L44" i="1"/>
  <c r="M35" i="1"/>
  <c r="M34" i="1"/>
  <c r="L29" i="1"/>
  <c r="L28" i="1"/>
  <c r="L20" i="1"/>
  <c r="L18" i="1"/>
  <c r="L15" i="1"/>
  <c r="L13" i="1"/>
  <c r="L12" i="1"/>
  <c r="L11" i="1"/>
  <c r="L10" i="1"/>
  <c r="L9" i="1"/>
  <c r="L8" i="1"/>
  <c r="C19" i="44"/>
  <c r="D18" i="44"/>
  <c r="D23" i="44"/>
  <c r="D16" i="44"/>
  <c r="C18" i="44"/>
  <c r="D22" i="44"/>
  <c r="E21" i="44"/>
  <c r="E19" i="44"/>
  <c r="D20" i="44"/>
  <c r="E17" i="44"/>
  <c r="E22" i="44"/>
  <c r="C21" i="44"/>
  <c r="C20" i="44"/>
  <c r="C22" i="44"/>
  <c r="E18" i="44"/>
  <c r="D21" i="44"/>
  <c r="E20" i="44"/>
  <c r="E23" i="44"/>
  <c r="C16" i="44"/>
  <c r="D17" i="44"/>
  <c r="C17" i="44"/>
  <c r="E16" i="44"/>
  <c r="D19" i="44"/>
  <c r="C23" i="44"/>
  <c r="E49" i="44"/>
  <c r="E50" i="44"/>
  <c r="E30" i="44"/>
  <c r="C42" i="44"/>
  <c r="F4" i="44"/>
  <c r="G9" i="44"/>
  <c r="C50" i="44"/>
  <c r="E36" i="44"/>
  <c r="C27" i="44"/>
  <c r="C58" i="44"/>
  <c r="F8" i="44"/>
  <c r="F7" i="44"/>
  <c r="D35" i="44"/>
  <c r="G16" i="44"/>
  <c r="D50" i="44"/>
  <c r="F57" i="44"/>
  <c r="F21" i="44"/>
  <c r="E59" i="44"/>
  <c r="C44" i="44"/>
  <c r="G44" i="44"/>
  <c r="G36" i="44"/>
  <c r="E51" i="44"/>
  <c r="F37" i="44"/>
  <c r="E28" i="44"/>
  <c r="D59" i="44"/>
  <c r="E35" i="44"/>
  <c r="F50" i="44"/>
  <c r="G11" i="44"/>
  <c r="E60" i="44"/>
  <c r="G22" i="44"/>
  <c r="F18" i="44"/>
  <c r="G37" i="44"/>
  <c r="G27" i="44"/>
  <c r="C37" i="44"/>
  <c r="E29" i="44"/>
  <c r="D52" i="44"/>
  <c r="G19" i="44"/>
  <c r="F44" i="44"/>
  <c r="C52" i="44"/>
  <c r="D44" i="44"/>
  <c r="C30" i="44"/>
  <c r="F6" i="44"/>
  <c r="G49" i="44"/>
  <c r="C57" i="44"/>
  <c r="F36" i="44"/>
  <c r="F51" i="44"/>
  <c r="G52" i="44"/>
  <c r="F29" i="44"/>
  <c r="G7" i="44"/>
  <c r="D51" i="44"/>
  <c r="C29" i="44"/>
  <c r="G28" i="44"/>
  <c r="F43" i="44"/>
  <c r="F5" i="44"/>
  <c r="D57" i="44"/>
  <c r="F59" i="44"/>
  <c r="D27" i="44"/>
  <c r="F30" i="44"/>
  <c r="D60" i="44"/>
  <c r="G57" i="44"/>
  <c r="C59" i="44"/>
  <c r="C43" i="44"/>
  <c r="G51" i="44"/>
  <c r="F11" i="44"/>
  <c r="G50" i="44"/>
  <c r="D28" i="44"/>
  <c r="G4" i="44"/>
  <c r="E44" i="44"/>
  <c r="D49" i="44"/>
  <c r="F35" i="44"/>
  <c r="G59" i="44"/>
  <c r="E57" i="44"/>
  <c r="G20" i="44"/>
  <c r="D43" i="44"/>
  <c r="D58" i="44"/>
  <c r="F42" i="44"/>
  <c r="F19" i="44"/>
  <c r="F49" i="44"/>
  <c r="F9" i="44"/>
  <c r="E27" i="44"/>
  <c r="E43" i="44"/>
  <c r="G6" i="44"/>
  <c r="D37" i="44"/>
  <c r="F58" i="44"/>
  <c r="F27" i="44"/>
  <c r="C36" i="44"/>
  <c r="G17" i="44"/>
  <c r="G43" i="44"/>
  <c r="G8" i="44"/>
  <c r="G30" i="44"/>
  <c r="C51" i="44"/>
  <c r="G29" i="44"/>
  <c r="D29" i="44"/>
  <c r="F10" i="44"/>
  <c r="G21" i="44"/>
  <c r="D36" i="44"/>
  <c r="G58" i="44"/>
  <c r="F22" i="44"/>
  <c r="F52" i="44"/>
  <c r="D42" i="44"/>
  <c r="C35" i="44"/>
  <c r="D30" i="44"/>
  <c r="E58" i="44"/>
  <c r="G35" i="44"/>
  <c r="F28" i="44"/>
  <c r="F16" i="44"/>
  <c r="E52" i="44"/>
  <c r="F17" i="44"/>
  <c r="G42" i="44"/>
  <c r="F20" i="44"/>
  <c r="G10" i="44"/>
  <c r="G5" i="44"/>
  <c r="E37" i="44"/>
  <c r="G18" i="44"/>
  <c r="C49" i="44"/>
  <c r="E42" i="44"/>
  <c r="C28" i="44"/>
  <c r="L19" i="44" l="1"/>
  <c r="K19" i="44"/>
  <c r="M19" i="44"/>
  <c r="J19" i="44"/>
  <c r="L21" i="44"/>
  <c r="K21" i="44"/>
  <c r="L16" i="44"/>
  <c r="K16" i="44"/>
  <c r="J21" i="44"/>
  <c r="M21" i="44"/>
  <c r="M16" i="44"/>
  <c r="J16" i="44"/>
  <c r="M18" i="44"/>
  <c r="J18" i="44"/>
  <c r="J23" i="44"/>
  <c r="K20" i="44"/>
  <c r="L20" i="44"/>
  <c r="K23" i="44"/>
  <c r="J20" i="44"/>
  <c r="M20" i="44"/>
  <c r="L22" i="44"/>
  <c r="K22" i="44"/>
  <c r="L18" i="44"/>
  <c r="K18" i="44"/>
  <c r="L17" i="44"/>
  <c r="K17" i="44"/>
  <c r="M22" i="44"/>
  <c r="J22" i="44"/>
  <c r="M17" i="44"/>
  <c r="J17" i="44"/>
  <c r="L65" i="44"/>
  <c r="M65" i="44"/>
  <c r="M66" i="44"/>
  <c r="M67" i="44"/>
  <c r="L66" i="44"/>
  <c r="M68" i="44"/>
  <c r="N65" i="44"/>
  <c r="N66" i="44"/>
  <c r="N67" i="44"/>
  <c r="L67" i="44"/>
  <c r="M30" i="44"/>
  <c r="J30" i="44"/>
  <c r="L42" i="44"/>
  <c r="K42" i="44"/>
  <c r="C45" i="44"/>
  <c r="L43" i="44"/>
  <c r="K43" i="44"/>
  <c r="L44" i="44"/>
  <c r="K44" i="44"/>
  <c r="H16" i="44"/>
  <c r="F23" i="44"/>
  <c r="H17" i="44"/>
  <c r="H18" i="44"/>
  <c r="H19" i="44"/>
  <c r="H20" i="44"/>
  <c r="H21" i="44"/>
  <c r="H22" i="44"/>
  <c r="E31" i="44"/>
  <c r="E38" i="44"/>
  <c r="M42" i="44"/>
  <c r="J42" i="44"/>
  <c r="D45" i="44"/>
  <c r="M43" i="44"/>
  <c r="J43" i="44"/>
  <c r="M44" i="44"/>
  <c r="J44" i="44"/>
  <c r="L49" i="44"/>
  <c r="C53" i="44"/>
  <c r="K53" i="44" s="1"/>
  <c r="K49" i="44"/>
  <c r="L50" i="44"/>
  <c r="K50" i="44"/>
  <c r="L51" i="44"/>
  <c r="K51" i="44"/>
  <c r="L52" i="44"/>
  <c r="K52" i="44"/>
  <c r="L60" i="44"/>
  <c r="E45" i="44"/>
  <c r="L57" i="44"/>
  <c r="K57" i="44"/>
  <c r="C61" i="44"/>
  <c r="K61" i="44" s="1"/>
  <c r="H6" i="44"/>
  <c r="H8" i="44"/>
  <c r="H10" i="44"/>
  <c r="N27" i="44"/>
  <c r="I27" i="44"/>
  <c r="G31" i="44"/>
  <c r="N28" i="44"/>
  <c r="I28" i="44"/>
  <c r="N29" i="44"/>
  <c r="I29" i="44"/>
  <c r="N30" i="44"/>
  <c r="I30" i="44"/>
  <c r="N35" i="44"/>
  <c r="I35" i="44"/>
  <c r="G38" i="44"/>
  <c r="N36" i="44"/>
  <c r="I36" i="44"/>
  <c r="N37" i="44"/>
  <c r="I37" i="44"/>
  <c r="H42" i="44"/>
  <c r="F45" i="44"/>
  <c r="H43" i="44"/>
  <c r="H44" i="44"/>
  <c r="E53" i="44"/>
  <c r="J57" i="44"/>
  <c r="D61" i="44"/>
  <c r="M57" i="44"/>
  <c r="J58" i="44"/>
  <c r="M58" i="44"/>
  <c r="J59" i="44"/>
  <c r="M59" i="44"/>
  <c r="M37" i="44"/>
  <c r="J37" i="44"/>
  <c r="N22" i="44"/>
  <c r="I22" i="44"/>
  <c r="L58" i="44"/>
  <c r="K58" i="44"/>
  <c r="H4" i="44"/>
  <c r="F12" i="44"/>
  <c r="I6" i="44"/>
  <c r="I8" i="44"/>
  <c r="I10" i="44"/>
  <c r="N42" i="44"/>
  <c r="I42" i="44"/>
  <c r="G45" i="44"/>
  <c r="N43" i="44"/>
  <c r="I43" i="44"/>
  <c r="N44" i="44"/>
  <c r="I44" i="44"/>
  <c r="H49" i="44"/>
  <c r="F53" i="44"/>
  <c r="H50" i="44"/>
  <c r="H51" i="44"/>
  <c r="H52" i="44"/>
  <c r="E61" i="44"/>
  <c r="M29" i="44"/>
  <c r="J29" i="44"/>
  <c r="N16" i="44"/>
  <c r="I16" i="44"/>
  <c r="G23" i="44"/>
  <c r="H28" i="44"/>
  <c r="M60" i="44"/>
  <c r="J60" i="44"/>
  <c r="I4" i="44"/>
  <c r="G12" i="44"/>
  <c r="I49" i="44"/>
  <c r="G53" i="44"/>
  <c r="N49" i="44"/>
  <c r="I50" i="44"/>
  <c r="N50" i="44"/>
  <c r="I51" i="44"/>
  <c r="N51" i="44"/>
  <c r="N60" i="44"/>
  <c r="I52" i="44"/>
  <c r="N52" i="44"/>
  <c r="H57" i="44"/>
  <c r="F61" i="44"/>
  <c r="H58" i="44"/>
  <c r="H59" i="44"/>
  <c r="N19" i="44"/>
  <c r="I19" i="44"/>
  <c r="H37" i="44"/>
  <c r="M52" i="44"/>
  <c r="J52" i="44"/>
  <c r="I57" i="44"/>
  <c r="G61" i="44"/>
  <c r="N57" i="44"/>
  <c r="I58" i="44"/>
  <c r="N58" i="44"/>
  <c r="I59" i="44"/>
  <c r="N59" i="44"/>
  <c r="N20" i="44"/>
  <c r="I20" i="44"/>
  <c r="M51" i="44"/>
  <c r="J51" i="44"/>
  <c r="M36" i="44"/>
  <c r="J36" i="44"/>
  <c r="H30" i="44"/>
  <c r="L59" i="44"/>
  <c r="K59" i="44"/>
  <c r="M27" i="44"/>
  <c r="J27" i="44"/>
  <c r="D31" i="44"/>
  <c r="N21" i="44"/>
  <c r="I21" i="44"/>
  <c r="H35" i="44"/>
  <c r="F38" i="44"/>
  <c r="M50" i="44"/>
  <c r="J50" i="44"/>
  <c r="H7" i="44"/>
  <c r="H9" i="44"/>
  <c r="H11" i="44"/>
  <c r="M35" i="44"/>
  <c r="J35" i="44"/>
  <c r="D38" i="44"/>
  <c r="N17" i="44"/>
  <c r="I17" i="44"/>
  <c r="F31" i="44"/>
  <c r="H27" i="44"/>
  <c r="H5" i="44"/>
  <c r="I7" i="44"/>
  <c r="I9" i="44"/>
  <c r="I11" i="44"/>
  <c r="M28" i="44"/>
  <c r="J28" i="44"/>
  <c r="N18" i="44"/>
  <c r="I18" i="44"/>
  <c r="H29" i="44"/>
  <c r="H36" i="44"/>
  <c r="M49" i="44"/>
  <c r="J49" i="44"/>
  <c r="D53" i="44"/>
  <c r="I5" i="44"/>
  <c r="C31" i="44"/>
  <c r="K31" i="44" s="1"/>
  <c r="L27" i="44"/>
  <c r="K27" i="44"/>
  <c r="L28" i="44"/>
  <c r="K28" i="44"/>
  <c r="L29" i="44"/>
  <c r="K29" i="44"/>
  <c r="L30" i="44"/>
  <c r="K30" i="44"/>
  <c r="L35" i="44"/>
  <c r="K35" i="44"/>
  <c r="C38" i="44"/>
  <c r="L36" i="44"/>
  <c r="K36" i="44"/>
  <c r="L37" i="44"/>
  <c r="K37" i="44"/>
  <c r="M23" i="44" l="1"/>
  <c r="M70" i="44"/>
  <c r="L70" i="44"/>
  <c r="N70" i="44"/>
  <c r="L23" i="44"/>
  <c r="I23" i="44"/>
  <c r="I12" i="44"/>
  <c r="I53" i="44"/>
  <c r="J61" i="44"/>
  <c r="J53" i="44"/>
  <c r="M45" i="44"/>
  <c r="N38" i="44"/>
  <c r="H31" i="44"/>
  <c r="M38" i="44"/>
  <c r="N31" i="44"/>
  <c r="I45" i="44"/>
  <c r="M61" i="44"/>
  <c r="I38" i="44"/>
  <c r="N23" i="44"/>
  <c r="L38" i="44"/>
  <c r="M53" i="44"/>
  <c r="N53" i="44"/>
  <c r="N45" i="44"/>
  <c r="M31" i="44"/>
  <c r="L53" i="44"/>
  <c r="L61" i="44"/>
  <c r="N61" i="44"/>
  <c r="H61" i="44"/>
  <c r="K45" i="44"/>
  <c r="L31" i="44"/>
  <c r="I61" i="44"/>
  <c r="H12" i="44"/>
  <c r="H38" i="44"/>
  <c r="H53" i="44"/>
  <c r="I31" i="44"/>
  <c r="H23" i="44"/>
  <c r="L45" i="44"/>
  <c r="J38" i="44"/>
  <c r="H45" i="44"/>
  <c r="K38" i="44"/>
  <c r="J31" i="44"/>
  <c r="J45" i="44"/>
  <c r="J70" i="44" l="1"/>
  <c r="I70" i="4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63358</author>
  </authors>
  <commentList>
    <comment ref="F195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38"/>
          </rPr>
          <t>2.2.89;2.3.186;2.3.188;2.3.193;2.3.194;2.3.197;2.3.198;2.3.202;2.3.206;2.3.211;2.3.215;2.3.219;2.3.238;2.3.239;2.3.245;2.3.249;2.3.253;2.3.278;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63358</author>
  </authors>
  <commentList>
    <comment ref="H9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INLAB Vyloučen pro neposkytnutí součinnosti, tato část bude zrušena.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2F051AB-EDC3-485B-B52B-587C944C88FF}" keepAlive="1" name="Dotaz – Nabidka" description="Připojení k dotazu produktu Nabidka v sešitě" type="5" refreshedVersion="6" background="1" saveData="1">
    <dbPr connection="Provider=Microsoft.Mashup.OleDb.1;Data Source=$Workbook$;Location=Nabidka;Extended Properties=&quot;&quot;" command="SELECT * FROM [Nabidka]"/>
  </connection>
  <connection id="2" xr16:uid="{DFDF1B8B-2D48-46F3-867E-1A26CA304C2E}" keepAlive="1" name="Dotaz – Nabidka (2)" description="Připojení k dotazu produktu Nabidka (2) v sešitě" type="5" refreshedVersion="0" background="1">
    <dbPr connection="Provider=Microsoft.Mashup.OleDb.1;Data Source=$Workbook$;Location=Nabidka (2);Extended Properties=&quot;&quot;" command="SELECT * FROM [Nabidka (2)]"/>
  </connection>
</connections>
</file>

<file path=xl/sharedStrings.xml><?xml version="1.0" encoding="utf-8"?>
<sst xmlns="http://schemas.openxmlformats.org/spreadsheetml/2006/main" count="70942" uniqueCount="18750">
  <si>
    <t>Osoba pověřená pro zadávací řízení</t>
  </si>
  <si>
    <t>Předmět plnění - název zakázky</t>
  </si>
  <si>
    <t>CPV kód</t>
  </si>
  <si>
    <t>Druh VZ</t>
  </si>
  <si>
    <t>VZ vypsaná dne</t>
  </si>
  <si>
    <t>Položka invest. plánu</t>
  </si>
  <si>
    <t>Lhůta pro podání nabídek</t>
  </si>
  <si>
    <t>Dodavatel</t>
  </si>
  <si>
    <t>Vítězná cena bez DPH</t>
  </si>
  <si>
    <t>Vítězná cena s DPH</t>
  </si>
  <si>
    <t>Smlouva podepsána</t>
  </si>
  <si>
    <t>Interní evidenční číslo</t>
  </si>
  <si>
    <t>VZ-2015-000015</t>
  </si>
  <si>
    <t>Oravec</t>
  </si>
  <si>
    <t>INF</t>
  </si>
  <si>
    <t>Předpokládaná hodnota VZ bez DPH</t>
  </si>
  <si>
    <t xml:space="preserve">30121000-3 </t>
  </si>
  <si>
    <t>Autocont CZ a.s.</t>
  </si>
  <si>
    <t>Monitory FNOL 2015</t>
  </si>
  <si>
    <t xml:space="preserve">Dodávka kopírovacích a tiskových zařízení FNOL 2015 </t>
  </si>
  <si>
    <t>Notes CS a.s.</t>
  </si>
  <si>
    <t>30231310-3</t>
  </si>
  <si>
    <t>VZ-2015-000018</t>
  </si>
  <si>
    <t>VZ-2015-000024</t>
  </si>
  <si>
    <t xml:space="preserve">Termotiskárny samolepících štítků FNOL 2015 </t>
  </si>
  <si>
    <t>C SYSTEM CZ a.s.</t>
  </si>
  <si>
    <t>30232100-5</t>
  </si>
  <si>
    <t>VZ-2015-000059</t>
  </si>
  <si>
    <t>Notebooky FNOL 2015</t>
  </si>
  <si>
    <t>30213100-6</t>
  </si>
  <si>
    <t>VZ-2015-000081</t>
  </si>
  <si>
    <t>PC sestavy FNOL 2015</t>
  </si>
  <si>
    <t>Caleum a.s.</t>
  </si>
  <si>
    <t>45215100-8</t>
  </si>
  <si>
    <t>VZ-2015-000164</t>
  </si>
  <si>
    <t>Servisní činnosti  -  lineární  urychlovače</t>
  </si>
  <si>
    <t>50421200-4</t>
  </si>
  <si>
    <t>VZ-2015-000001</t>
  </si>
  <si>
    <t>SW pro evidenci majetku III</t>
  </si>
  <si>
    <t>72268000-1</t>
  </si>
  <si>
    <t>VZ-2015-000027</t>
  </si>
  <si>
    <t>Analyzátory acidobazické rovnováhy 2015</t>
  </si>
  <si>
    <t>33694000-1</t>
  </si>
  <si>
    <t>RADIOMETER s.r.o.</t>
  </si>
  <si>
    <t>VZ-2015-000049</t>
  </si>
  <si>
    <t>Dorozumívací zařízení sestra pacient 2015</t>
  </si>
  <si>
    <t>Rozehnal</t>
  </si>
  <si>
    <t>OHM</t>
  </si>
  <si>
    <t>32570000-9</t>
  </si>
  <si>
    <t>VZ-2015-000055</t>
  </si>
  <si>
    <t>FN Olomouc - SÚ JIP a arytmologie I.IK D1D2</t>
  </si>
  <si>
    <t>Kvapil, Říha</t>
  </si>
  <si>
    <t>INV</t>
  </si>
  <si>
    <t>VZ-2015-000060</t>
  </si>
  <si>
    <t>Mobilní RTG C-rameno s flat panelem</t>
  </si>
  <si>
    <t>Novák</t>
  </si>
  <si>
    <t xml:space="preserve">33111400-5 </t>
  </si>
  <si>
    <t>Čech</t>
  </si>
  <si>
    <t>ZT</t>
  </si>
  <si>
    <t>VZ-2015-000065</t>
  </si>
  <si>
    <t>Širokoúhlá sítnicová kamera</t>
  </si>
  <si>
    <t>2.2.6.</t>
  </si>
  <si>
    <t>33122000-1</t>
  </si>
  <si>
    <t>VZ-2015-000066</t>
  </si>
  <si>
    <t>Ultrazvukový přístroj pro pokročilé celotělové zobrazování</t>
  </si>
  <si>
    <t xml:space="preserve">33124120-2 </t>
  </si>
  <si>
    <t>2.3.11.</t>
  </si>
  <si>
    <t>VZ-2015-000109</t>
  </si>
  <si>
    <t>33652300-8</t>
  </si>
  <si>
    <t>LÉK</t>
  </si>
  <si>
    <t>Ondráčková</t>
  </si>
  <si>
    <t>VZ-2015-000110</t>
  </si>
  <si>
    <t>33652100-6</t>
  </si>
  <si>
    <t>VZ-2015-000111</t>
  </si>
  <si>
    <t>VZ-2015-000134</t>
  </si>
  <si>
    <t>Stativy stropní otočné</t>
  </si>
  <si>
    <t>2.1.45.</t>
  </si>
  <si>
    <t>33162100-4</t>
  </si>
  <si>
    <t>VZ-2015-000135</t>
  </si>
  <si>
    <t>Plicní ventilátory</t>
  </si>
  <si>
    <t>33157400-9</t>
  </si>
  <si>
    <t xml:space="preserve">Dočkal </t>
  </si>
  <si>
    <t>VZ-2015-000137</t>
  </si>
  <si>
    <t>33651000-8</t>
  </si>
  <si>
    <t>VZ-2015-000139</t>
  </si>
  <si>
    <t>Monitory vitálních funkcí 2015</t>
  </si>
  <si>
    <t>33195100-4</t>
  </si>
  <si>
    <t>2.1.23; 2.1.24; 2.3.10; 2.3.21; 2.3.36; 2.3.37</t>
  </si>
  <si>
    <t>VZ-2015-000163</t>
  </si>
  <si>
    <t>Přístroj na lisování tablet z vlhkého granulátu</t>
  </si>
  <si>
    <t>42900000-5</t>
  </si>
  <si>
    <t>2.3.56.</t>
  </si>
  <si>
    <t>VZ-2015-000170</t>
  </si>
  <si>
    <t>33652000-5</t>
  </si>
  <si>
    <t>VZ-2015-000171</t>
  </si>
  <si>
    <t>TENDER</t>
  </si>
  <si>
    <t xml:space="preserve">VZ-2015-000075 </t>
  </si>
  <si>
    <t>Klimatizační jednotky FNOL 2015</t>
  </si>
  <si>
    <t>39717200-3</t>
  </si>
  <si>
    <t xml:space="preserve"> 21.4.2015 </t>
  </si>
  <si>
    <t>Thermo spol. s r.o.</t>
  </si>
  <si>
    <t>VZ-2015-000143</t>
  </si>
  <si>
    <t>Optimalizace procesu praní FNOL</t>
  </si>
  <si>
    <t>VZ-2015-000160</t>
  </si>
  <si>
    <t>Dodávka dectů</t>
  </si>
  <si>
    <t>ERISERV spol. s r.o.</t>
  </si>
  <si>
    <t>VZ-2015-000095</t>
  </si>
  <si>
    <t>Potrubní pošta</t>
  </si>
  <si>
    <t>45231510-3</t>
  </si>
  <si>
    <t>Užší řízení</t>
  </si>
  <si>
    <t>VZ-2015-000010</t>
  </si>
  <si>
    <t>Multikanálová pumpa pro Lékárnu</t>
  </si>
  <si>
    <t>VZMR</t>
  </si>
  <si>
    <t xml:space="preserve">42122500-5 </t>
  </si>
  <si>
    <t>Baxter Czech spol. s r.o.</t>
  </si>
  <si>
    <t>VZ-2015-000017</t>
  </si>
  <si>
    <t xml:space="preserve">Provedení akreditace systému řízení kvality a bezpečí zdravotních služeb </t>
  </si>
  <si>
    <t>VZ-2015-000019</t>
  </si>
  <si>
    <t>Laboratorní stoly pro zubní techniky</t>
  </si>
  <si>
    <t xml:space="preserve">39181000-4 </t>
  </si>
  <si>
    <t>SpofaDental a.s.</t>
  </si>
  <si>
    <t>VZ-2015-000057</t>
  </si>
  <si>
    <t>Digitální CT 3D - ConeBeam CT</t>
  </si>
  <si>
    <t>2.3.46.</t>
  </si>
  <si>
    <t xml:space="preserve">33115100-0  </t>
  </si>
  <si>
    <t xml:space="preserve">5.3 2015 </t>
  </si>
  <si>
    <t>VZ-2015-000058</t>
  </si>
  <si>
    <t>Digitální panoramatický rentgen OPG</t>
  </si>
  <si>
    <t>2.3.47.</t>
  </si>
  <si>
    <t xml:space="preserve">33111500-6 </t>
  </si>
  <si>
    <t>BELdental, s.r.o.</t>
  </si>
  <si>
    <t xml:space="preserve">VZ-2015-000068 </t>
  </si>
  <si>
    <t>Dodávka sporáku II</t>
  </si>
  <si>
    <t xml:space="preserve">Molek </t>
  </si>
  <si>
    <t>STRAV</t>
  </si>
  <si>
    <t>MULTI CZ s.r.o.</t>
  </si>
  <si>
    <t>VZ-2015-000069</t>
  </si>
  <si>
    <t>Dodávka hnětače</t>
  </si>
  <si>
    <t>VZ-2015-000072</t>
  </si>
  <si>
    <t>Závěsy k teleskopickým zástěnám - 2015</t>
  </si>
  <si>
    <t>VZ-2015-000073</t>
  </si>
  <si>
    <t>Moduly pro pohybovou a kognitivní rehabilitaci horní končetiny</t>
  </si>
  <si>
    <t xml:space="preserve">2.3.59 2.3.60             </t>
  </si>
  <si>
    <t xml:space="preserve">33196200-2 </t>
  </si>
  <si>
    <t>Hospimed, spol. s r.o.</t>
  </si>
  <si>
    <t>VZ-2015-000082</t>
  </si>
  <si>
    <t>Transportní polytraumatologická lehátka - Stretchery</t>
  </si>
  <si>
    <t xml:space="preserve">33192160-1 </t>
  </si>
  <si>
    <t>VZ-2015-000086</t>
  </si>
  <si>
    <t>FN Olomouc - perinatologický program 2014 - Kardiotokograf - bezdrátová monitorovací jednotka</t>
  </si>
  <si>
    <t>2.1.16.</t>
  </si>
  <si>
    <t xml:space="preserve">33121500-9 </t>
  </si>
  <si>
    <t>VZ-2015-000088</t>
  </si>
  <si>
    <t>Kalibrace a validace měřidel a zařízení FNOL 2015</t>
  </si>
  <si>
    <t>50411000-9</t>
  </si>
  <si>
    <t>KALIST</t>
  </si>
  <si>
    <t>VZ-2015-000096</t>
  </si>
  <si>
    <t>Pásová myčka</t>
  </si>
  <si>
    <t>39314000-6</t>
  </si>
  <si>
    <t>VZ-2015-000098</t>
  </si>
  <si>
    <t>2.3.1.</t>
  </si>
  <si>
    <t xml:space="preserve">33182100-0 </t>
  </si>
  <si>
    <t>VZ-2015-000107</t>
  </si>
  <si>
    <t>Malířské a natěračské práce</t>
  </si>
  <si>
    <t xml:space="preserve">45442100-8 </t>
  </si>
  <si>
    <t>ZAMASTAV TRADE s.r.o.</t>
  </si>
  <si>
    <t xml:space="preserve">OSB </t>
  </si>
  <si>
    <t>Vaida</t>
  </si>
  <si>
    <t>VZ-2015-000108</t>
  </si>
  <si>
    <t>Rekonstrukce kanalizace Q1</t>
  </si>
  <si>
    <t>Vodo-topo instalace s.r.o.</t>
  </si>
  <si>
    <t>VZ-2015-000112</t>
  </si>
  <si>
    <t>Rozšíření denního stacionáře v budově E</t>
  </si>
  <si>
    <t>1.2.24.</t>
  </si>
  <si>
    <t>1.1.19.</t>
  </si>
  <si>
    <t>Stavona Olomouc s.r.o.</t>
  </si>
  <si>
    <t>VZ-2015-000115</t>
  </si>
  <si>
    <t>Rekonstrukce dvorní dešťové kanalizace budovy UZQ</t>
  </si>
  <si>
    <t>LXM Group a.s.</t>
  </si>
  <si>
    <t>VZ-2015-000122</t>
  </si>
  <si>
    <t>Nemocniční lůžko pro resuscitační a intenzivní péči vč.antidekubitní matrace</t>
  </si>
  <si>
    <t xml:space="preserve">33192130-2 </t>
  </si>
  <si>
    <t xml:space="preserve">Dartin s.r.o. </t>
  </si>
  <si>
    <t>VZ-2015-000155</t>
  </si>
  <si>
    <t>Zpracování projektové dokumentace Areál Hněvotínská</t>
  </si>
  <si>
    <t>Ing. Luděk Vrba</t>
  </si>
  <si>
    <t>VZ-2015-000157</t>
  </si>
  <si>
    <t>Závěsy k teleskopickým  zástěnám  2015 II</t>
  </si>
  <si>
    <t>Marta Mlatečková</t>
  </si>
  <si>
    <t>VZ-2015-000158</t>
  </si>
  <si>
    <t>Informační systém pro evidenci majetku</t>
  </si>
  <si>
    <t xml:space="preserve">72268000-1 </t>
  </si>
  <si>
    <t>Berger</t>
  </si>
  <si>
    <t>OEIS</t>
  </si>
  <si>
    <t>VZ-2015-000161</t>
  </si>
  <si>
    <t>Flexibilní videobronchoskopy</t>
  </si>
  <si>
    <t xml:space="preserve">33168100-6 </t>
  </si>
  <si>
    <t>2.3.3.</t>
  </si>
  <si>
    <t>Medinet s.r.o.</t>
  </si>
  <si>
    <t>VZ-2015-000187</t>
  </si>
  <si>
    <t>Rekonstrukce výtahů - Provoz stravování</t>
  </si>
  <si>
    <t>Holibka</t>
  </si>
  <si>
    <t>VZ-2015-000189</t>
  </si>
  <si>
    <t>Systém detekce hydratace pacienta</t>
  </si>
  <si>
    <t>2.2.5.</t>
  </si>
  <si>
    <t xml:space="preserve">33124110-9 </t>
  </si>
  <si>
    <t>VZ-2015-000201</t>
  </si>
  <si>
    <t>Trombektomický systém</t>
  </si>
  <si>
    <t>2.3.29.</t>
  </si>
  <si>
    <t>VZ-2015-000202</t>
  </si>
  <si>
    <t>Aplikátory pro brachyterapii</t>
  </si>
  <si>
    <t>2.2.1.</t>
  </si>
  <si>
    <t>VZ-2015-000204</t>
  </si>
  <si>
    <t>Sanace zvlhlého zdiva v budově UZQ</t>
  </si>
  <si>
    <t>VZ-2015-000168</t>
  </si>
  <si>
    <t>Rukavice vyšetřovací nitrilové</t>
  </si>
  <si>
    <t>ZPŘ</t>
  </si>
  <si>
    <t xml:space="preserve">18424300-0 </t>
  </si>
  <si>
    <t xml:space="preserve">ZM </t>
  </si>
  <si>
    <t>Dočkalová</t>
  </si>
  <si>
    <t>Cena - Profil zadavatele</t>
  </si>
  <si>
    <t>Gregor</t>
  </si>
  <si>
    <t>ukončené veřejné zakázky - smlouva</t>
  </si>
  <si>
    <t>zrušené veřejné zakázky</t>
  </si>
  <si>
    <t>před podpisem smlouvy</t>
  </si>
  <si>
    <t>vypsané VZ</t>
  </si>
  <si>
    <t>připrava na vypsání</t>
  </si>
  <si>
    <t>Kvapil</t>
  </si>
  <si>
    <t xml:space="preserve">Jiří Ruček – SET-ES </t>
  </si>
  <si>
    <t>Gregor, Srovnal</t>
  </si>
  <si>
    <t>Filip</t>
  </si>
  <si>
    <t>OK</t>
  </si>
  <si>
    <t>Cahlíková</t>
  </si>
  <si>
    <t>Švrdlíková, Simon</t>
  </si>
  <si>
    <t>Šamaj</t>
  </si>
  <si>
    <t>DNS</t>
  </si>
  <si>
    <t>OHL ŽS</t>
  </si>
  <si>
    <t>72225000-8</t>
  </si>
  <si>
    <t>CSAS - Renata Podstatová</t>
  </si>
  <si>
    <t>xxx</t>
  </si>
  <si>
    <t>42416120-2</t>
  </si>
  <si>
    <t>71322000-1</t>
  </si>
  <si>
    <t>zrušeno</t>
  </si>
  <si>
    <t>ASKIN s.r.o.</t>
  </si>
  <si>
    <t>AURA medical s.r.o.</t>
  </si>
  <si>
    <t>1.3.5.</t>
  </si>
  <si>
    <t>2.1.28.</t>
  </si>
  <si>
    <t>1.2.21.</t>
  </si>
  <si>
    <t>1.2.18.</t>
  </si>
  <si>
    <t>1.2.17.</t>
  </si>
  <si>
    <t>45231300-8</t>
  </si>
  <si>
    <t>OŘ</t>
  </si>
  <si>
    <t>2.1.25.; 2.3.38.</t>
  </si>
  <si>
    <t>2.3.26.</t>
  </si>
  <si>
    <t>2.1.17.</t>
  </si>
  <si>
    <t>2.3.58.</t>
  </si>
  <si>
    <t>2.3.48.</t>
  </si>
  <si>
    <t>2.3.35</t>
  </si>
  <si>
    <t>39515200-7</t>
  </si>
  <si>
    <t>39831000-6</t>
  </si>
  <si>
    <t>33162000-3</t>
  </si>
  <si>
    <t>33151400-7</t>
  </si>
  <si>
    <t>VZ-2015-000228</t>
  </si>
  <si>
    <t>Transportní polytraumatologická lehátka - Stretchery III.</t>
  </si>
  <si>
    <t>33192160-2</t>
  </si>
  <si>
    <t>VZ-2015-000212</t>
  </si>
  <si>
    <t>VZ-2015-000214</t>
  </si>
  <si>
    <t>VZ-2015-000218</t>
  </si>
  <si>
    <t>Mycí a dezinfekční automat</t>
  </si>
  <si>
    <t>33191000-5</t>
  </si>
  <si>
    <t>2.3.42.</t>
  </si>
  <si>
    <t>Stropní vyšetřovací a operační svítidlo</t>
  </si>
  <si>
    <t>31524110-9</t>
  </si>
  <si>
    <t>2.1.22., 2.3.13</t>
  </si>
  <si>
    <t>Osvětlovací s instalační rampy k lůžkům pro I. Interní kliniku</t>
  </si>
  <si>
    <t>33100000-1</t>
  </si>
  <si>
    <t>2.1.44.</t>
  </si>
  <si>
    <t>VZ-2015-000229</t>
  </si>
  <si>
    <t>Zařízení pro automatizované monitorování a vyhodnocování sítí na bázi datových toků</t>
  </si>
  <si>
    <t>72313000-2</t>
  </si>
  <si>
    <t>Lemessiana s.r.o.</t>
  </si>
  <si>
    <t>33141000-0</t>
  </si>
  <si>
    <t>Hadičky spojovací pro infuzní terapii II.</t>
  </si>
  <si>
    <t>VZ-2015-000136</t>
  </si>
  <si>
    <t>VZ-2014-000036</t>
  </si>
  <si>
    <t>Informační systém pro Transfuzní oddělení FNOL II.</t>
  </si>
  <si>
    <t>Stapro s.r.o.</t>
  </si>
  <si>
    <t xml:space="preserve">48814000-7 </t>
  </si>
  <si>
    <t>LIFTMONT CZ s.r.o.</t>
  </si>
  <si>
    <t>DOPR</t>
  </si>
  <si>
    <t>VZ-2015-000272</t>
  </si>
  <si>
    <t>Solovský</t>
  </si>
  <si>
    <t>33192160-1</t>
  </si>
  <si>
    <t>1.2.29; 1.2.30</t>
  </si>
  <si>
    <t>Transportní polytraumatologická lehátka - Stretchery II.</t>
  </si>
  <si>
    <t>Zapletálek</t>
  </si>
  <si>
    <t>VZ-2015-000223</t>
  </si>
  <si>
    <t>Likvidace odpadu z FNOL</t>
  </si>
  <si>
    <t>90524400-0</t>
  </si>
  <si>
    <t>VZ-2015-000278</t>
  </si>
  <si>
    <t xml:space="preserve">Digitální CT 3D </t>
  </si>
  <si>
    <t>33115100-0</t>
  </si>
  <si>
    <t>VZ-2015-000231</t>
  </si>
  <si>
    <t>VZ-2015-000279</t>
  </si>
  <si>
    <t>zrušeno - bez nabídky</t>
  </si>
  <si>
    <t xml:space="preserve">Fresenius </t>
  </si>
  <si>
    <t>VZ-2015-000285</t>
  </si>
  <si>
    <t>Sanace podlah v budově WD - Stravovací provoz</t>
  </si>
  <si>
    <t>VZ-2015-000289</t>
  </si>
  <si>
    <t>Nemocniční resuscitační a standardní lůžka</t>
  </si>
  <si>
    <t>2.1.19; 2.1.20; 2.3.18</t>
  </si>
  <si>
    <t>Real-Time PCR termocykler</t>
  </si>
  <si>
    <t xml:space="preserve">38951000-6 </t>
  </si>
  <si>
    <t>2.2.14</t>
  </si>
  <si>
    <t>VZ-2015-000283</t>
  </si>
  <si>
    <t>Kapilární hemodialyzátory</t>
  </si>
  <si>
    <t>33181200-4</t>
  </si>
  <si>
    <t>Certifikace systému managementu kvality</t>
  </si>
  <si>
    <t>MOPED s.r.o.</t>
  </si>
  <si>
    <t>VZ-2015-000291</t>
  </si>
  <si>
    <t>VZ-2015-000288</t>
  </si>
  <si>
    <t>VZ-2015-000298</t>
  </si>
  <si>
    <t>Tkáňový procesor</t>
  </si>
  <si>
    <t>2.3.43</t>
  </si>
  <si>
    <t>VZ-2015-000301</t>
  </si>
  <si>
    <t>Genetický analyzátor</t>
  </si>
  <si>
    <t>38434000-6</t>
  </si>
  <si>
    <t>2.2.15</t>
  </si>
  <si>
    <t>33929000-8</t>
  </si>
  <si>
    <t xml:space="preserve">Kvapil </t>
  </si>
  <si>
    <t>VZ-2015-000296</t>
  </si>
  <si>
    <t>Zpracování studie na novostavbu II. Interní kliniky, endoskopie a oddělení geriatrie ve FNOL</t>
  </si>
  <si>
    <t>71200000-0</t>
  </si>
  <si>
    <t>MERIT GROUP a.s.</t>
  </si>
  <si>
    <t>Smlouva , Písemná zpráva zadavatele              Profil zadavatele</t>
  </si>
  <si>
    <t>VZ-2015-000303</t>
  </si>
  <si>
    <t>Doplnění telemetrického systému</t>
  </si>
  <si>
    <t>Adyton s.r.o.</t>
  </si>
  <si>
    <t>Elekta Services s.r.o.</t>
  </si>
  <si>
    <t>2.3.78</t>
  </si>
  <si>
    <t>Miele spol. s r.o.</t>
  </si>
  <si>
    <t>Enus medical s.r.o.</t>
  </si>
  <si>
    <t>Dräger Medical s.r.o.</t>
  </si>
  <si>
    <t>Oprava střešního pláště na budově M3</t>
  </si>
  <si>
    <t>45261000-4</t>
  </si>
  <si>
    <t>VZ-2015-000313</t>
  </si>
  <si>
    <t>VZ-2015-000314</t>
  </si>
  <si>
    <t>Dochlazování pokojů a vyšetřoven v budově Dětské kliniky</t>
  </si>
  <si>
    <t>zrušeno - bez nabídek</t>
  </si>
  <si>
    <t>VZ-2015-000316</t>
  </si>
  <si>
    <t>Sanace podlah v budově WD - Stravovací provoz II.</t>
  </si>
  <si>
    <t>RAUDO - výr.družstvo</t>
  </si>
  <si>
    <t>Dodávka tiskáren</t>
  </si>
  <si>
    <t>Separátory krevních elementů</t>
  </si>
  <si>
    <t>33194000-6</t>
  </si>
  <si>
    <t>2.3.77;2.4.13</t>
  </si>
  <si>
    <t>VZ-2015-000317</t>
  </si>
  <si>
    <t>VZ-2015-000318</t>
  </si>
  <si>
    <t>Dodávka tabletovacích vozíků</t>
  </si>
  <si>
    <t>1.2.33</t>
  </si>
  <si>
    <t>39312000-2</t>
  </si>
  <si>
    <t>Srovnal</t>
  </si>
  <si>
    <t>1.1.3.</t>
  </si>
  <si>
    <t>Medirols.r.o.</t>
  </si>
  <si>
    <t>BIO-RAD s.r.o.</t>
  </si>
  <si>
    <t>VZ-2015-000319</t>
  </si>
  <si>
    <t>VZ-2015-000320</t>
  </si>
  <si>
    <t>EKOL</t>
  </si>
  <si>
    <t>NLP</t>
  </si>
  <si>
    <t>Adam Rujbr Architects</t>
  </si>
  <si>
    <t>VZ-2015-000326</t>
  </si>
  <si>
    <t>Výměna podhledů v budově H1 v 5. a 6. NP</t>
  </si>
  <si>
    <t>CERTLINE s.r.o.</t>
  </si>
  <si>
    <t>Dochlazování pokojů ve 2.NP budovy D1, D2</t>
  </si>
  <si>
    <t>45421146-9</t>
  </si>
  <si>
    <t>VZ-2015-000327</t>
  </si>
  <si>
    <t>Informační systém operačních sálů FNOL</t>
  </si>
  <si>
    <t>PRAD</t>
  </si>
  <si>
    <t>Transportní technika do sanitních vozidel</t>
  </si>
  <si>
    <t>Christeyns s.r.o.</t>
  </si>
  <si>
    <t>CAMOSCI CZECH s.r.o.</t>
  </si>
  <si>
    <t>zrušeno - překročen fin. limit VZMR</t>
  </si>
  <si>
    <t>ZENA-R</t>
  </si>
  <si>
    <t>S+T Plus s.r.o.</t>
  </si>
  <si>
    <t>FN OLOMOUC - Novostavba II. Interní kliniky, endoskopie a oddělení geriatrie</t>
  </si>
  <si>
    <t>45215120-4    71320000-7   71250000-5</t>
  </si>
  <si>
    <t>1.1.7.</t>
  </si>
  <si>
    <t>1.3.2.</t>
  </si>
  <si>
    <t>1.4.7.</t>
  </si>
  <si>
    <t>2.4.3.</t>
  </si>
  <si>
    <t xml:space="preserve">1.1.9.; 1.1.10. </t>
  </si>
  <si>
    <t>Přenosné přístroje pro externí defibrilaci</t>
  </si>
  <si>
    <t>LINET s.r.o.</t>
  </si>
  <si>
    <t>VZ-2015-000329</t>
  </si>
  <si>
    <t>VZ-2015-000343</t>
  </si>
  <si>
    <t>Kamerová jednotka endoskopického systému</t>
  </si>
  <si>
    <t>33168000-5</t>
  </si>
  <si>
    <t>2.2.18</t>
  </si>
  <si>
    <t>VZ-2015-000344</t>
  </si>
  <si>
    <t>Genetický analyzátor II.</t>
  </si>
  <si>
    <t>VZ-2015-000348</t>
  </si>
  <si>
    <t>VZ-2015-000347</t>
  </si>
  <si>
    <t xml:space="preserve">Mobilní zvedací systém </t>
  </si>
  <si>
    <t>33192600-8</t>
  </si>
  <si>
    <t>2.4.12</t>
  </si>
  <si>
    <t>Informační systém pro evidenci majetku II.</t>
  </si>
  <si>
    <t>VZ-2015-000351</t>
  </si>
  <si>
    <t>Sanatěs Olomouc</t>
  </si>
  <si>
    <t>Climart s.r.o.</t>
  </si>
  <si>
    <t>Stavitelství Pospíšil s.r.o.</t>
  </si>
  <si>
    <t>VZ-2015-000357</t>
  </si>
  <si>
    <t>Rekonstrukce systému MaR - Dětská klinika</t>
  </si>
  <si>
    <t>31700000-3</t>
  </si>
  <si>
    <t>VZ-2015-000334</t>
  </si>
  <si>
    <t>GML Health Care s.r.o.</t>
  </si>
  <si>
    <t>IZOTECH Moravia s.r.o.</t>
  </si>
  <si>
    <t>MLUVČÍ</t>
  </si>
  <si>
    <t>Havrlant</t>
  </si>
  <si>
    <t>Poskytnutí a provozování audiovizuálního zobrazovacího systému</t>
  </si>
  <si>
    <t>VZ-2015-000360</t>
  </si>
  <si>
    <t>Intubační bronchoskop</t>
  </si>
  <si>
    <t>33168100-6</t>
  </si>
  <si>
    <t>2.3.3</t>
  </si>
  <si>
    <t>VZ-2015-000370</t>
  </si>
  <si>
    <t>VZ-2015-000371</t>
  </si>
  <si>
    <t>Oprava chodníku mezi budovami O1 a P1</t>
  </si>
  <si>
    <t>Oprava střešního pláště na budově WJ</t>
  </si>
  <si>
    <t>VZ-2015-000372</t>
  </si>
  <si>
    <t>79212300-6</t>
  </si>
  <si>
    <t>35261100-2</t>
  </si>
  <si>
    <t>VZ-2015-000362</t>
  </si>
  <si>
    <t>B.Braun Medical s.r.o.</t>
  </si>
  <si>
    <t>Surgipa Medical s.r.o.</t>
  </si>
  <si>
    <t>OR-NEXT s.r.o.</t>
  </si>
  <si>
    <t>PROFITERM</t>
  </si>
  <si>
    <t>VZ-2015-000376</t>
  </si>
  <si>
    <t>FN Olomouc - obnova obvodového pláště a bezbariérovost KZL</t>
  </si>
  <si>
    <t>1.1.2.</t>
  </si>
  <si>
    <t>Elmar Group s.r.o.</t>
  </si>
  <si>
    <t>Olympus Czech group</t>
  </si>
  <si>
    <t>Fénix Brno s.r.o.</t>
  </si>
  <si>
    <t>VZ-2015-000391</t>
  </si>
  <si>
    <t>Laserový zobrazovací systém pro asistovanou reprodukci</t>
  </si>
  <si>
    <t>38636100-3</t>
  </si>
  <si>
    <t>2.3.30</t>
  </si>
  <si>
    <t>VZ-2015-000401</t>
  </si>
  <si>
    <t>Kalibrace a validace měřidel a zařízení</t>
  </si>
  <si>
    <t>VZ-2015-000390</t>
  </si>
  <si>
    <t>Přístroj pro terapeutické dávkování NO</t>
  </si>
  <si>
    <t>2.3.79</t>
  </si>
  <si>
    <t>VZ-2015-000405</t>
  </si>
  <si>
    <t>Rozšíření licencí SW CISCO</t>
  </si>
  <si>
    <t>48219300-9</t>
  </si>
  <si>
    <t>1.4.7</t>
  </si>
  <si>
    <t>VZ-2015-000415</t>
  </si>
  <si>
    <t>34351100-3</t>
  </si>
  <si>
    <t>VZ-2015-000420</t>
  </si>
  <si>
    <t>Nemocniční dialyzační lůžka s váhou</t>
  </si>
  <si>
    <t>Milan Oračko</t>
  </si>
  <si>
    <t>Terumo BCT Europe N.V.</t>
  </si>
  <si>
    <t>VZ-2015-000364</t>
  </si>
  <si>
    <t>Ultrazvukové přístroje</t>
  </si>
  <si>
    <t>33124120-2</t>
  </si>
  <si>
    <t>2.3.80</t>
  </si>
  <si>
    <t>33192100-3</t>
  </si>
  <si>
    <t>33157000-5</t>
  </si>
  <si>
    <t>VZ-2015-000408</t>
  </si>
  <si>
    <t>Přístroj na lisování tablet z granulátu připraveného vlhkou metodou</t>
  </si>
  <si>
    <t>2.3.56</t>
  </si>
  <si>
    <t>VZ-2015-000396</t>
  </si>
  <si>
    <t>2.3.96</t>
  </si>
  <si>
    <t>Ybux s.r.o.</t>
  </si>
  <si>
    <t>Messer Technogas s.r.o.</t>
  </si>
  <si>
    <t>Dodávka pneumatik pro os., dodávk. a nákl. vozidla FNOL</t>
  </si>
  <si>
    <t>VZ-2015-000425</t>
  </si>
  <si>
    <t>Kultivační inkubátor s CO2 a O2/N2</t>
  </si>
  <si>
    <t>33152000-0</t>
  </si>
  <si>
    <t>2.3.31</t>
  </si>
  <si>
    <t>VZ-2015-000427</t>
  </si>
  <si>
    <t>Laboratorní mikroskopy</t>
  </si>
  <si>
    <t>38510000-3</t>
  </si>
  <si>
    <t xml:space="preserve">2.2.9, 2.3.6, </t>
  </si>
  <si>
    <t>VZ-2015-000429</t>
  </si>
  <si>
    <t>FN Olomouc - novostavba 2. IK a geriatrie (DUR, DSP a DZS)</t>
  </si>
  <si>
    <t>71000000-8</t>
  </si>
  <si>
    <t>1.2.1</t>
  </si>
  <si>
    <t>42510000-4    45421146-9</t>
  </si>
  <si>
    <t>42500000-1</t>
  </si>
  <si>
    <t>VZ-2015-000431</t>
  </si>
  <si>
    <t>1.2.20</t>
  </si>
  <si>
    <t>Výměna chladící jednotky - objekt C</t>
  </si>
  <si>
    <t>42531000-7</t>
  </si>
  <si>
    <t>VZ-2015-000430</t>
  </si>
  <si>
    <t>Porodní lůžko</t>
  </si>
  <si>
    <t>2.3.91</t>
  </si>
  <si>
    <t>VZ-2015-000270</t>
  </si>
  <si>
    <t>VZ-2015-000442</t>
  </si>
  <si>
    <t>Výměna oken a vstupních dveří v budově C</t>
  </si>
  <si>
    <t>45421100-5</t>
  </si>
  <si>
    <t>VZ-2015-000446</t>
  </si>
  <si>
    <t>Doplnění systému - monitory vitálních funkcí</t>
  </si>
  <si>
    <t>2.3.95</t>
  </si>
  <si>
    <t>EP</t>
  </si>
  <si>
    <t>VZ-2015-000449</t>
  </si>
  <si>
    <t>Nemocniční standardní lůžka</t>
  </si>
  <si>
    <t>33192120-9</t>
  </si>
  <si>
    <t>VZ-2015-000438</t>
  </si>
  <si>
    <t>Dodávka diagnostických souprav pro typizaci HLA alel</t>
  </si>
  <si>
    <t>VZ-2015-000462</t>
  </si>
  <si>
    <t>Oprava terasy budovy WD - stravovací provoz</t>
  </si>
  <si>
    <t>45212420-6</t>
  </si>
  <si>
    <t>VZ-2015-000461</t>
  </si>
  <si>
    <t>Sanace zavlhlého zdiva v budově O2</t>
  </si>
  <si>
    <t>VZ-2015-000468</t>
  </si>
  <si>
    <t>Porodní lůžko II.</t>
  </si>
  <si>
    <t>OPS</t>
  </si>
  <si>
    <t>Simon</t>
  </si>
  <si>
    <t>VZ-2015-000472</t>
  </si>
  <si>
    <t>Úklidové a pomocné práce</t>
  </si>
  <si>
    <t>Dodávka sporáku</t>
  </si>
  <si>
    <t xml:space="preserve">zrušeno </t>
  </si>
  <si>
    <t>98341130-5</t>
  </si>
  <si>
    <t>zrušeno - jedna nabídka, nesplnila podmínky zadání</t>
  </si>
  <si>
    <t>VZ-2015-000476</t>
  </si>
  <si>
    <t>Sterilní jednorázové kojenecké láhve a dudlíky</t>
  </si>
  <si>
    <t>33681000-7</t>
  </si>
  <si>
    <t>VZ-2015-000489</t>
  </si>
  <si>
    <t>Transportní monitory životních funkcí</t>
  </si>
  <si>
    <t>EQOS Eenrgie Česko</t>
  </si>
  <si>
    <t>Riva Europe Ltd.</t>
  </si>
  <si>
    <t>Gartner</t>
  </si>
  <si>
    <t>VZ-2015-000471</t>
  </si>
  <si>
    <t>Zpracování a úprava bezpečnostních procesů a bezp. dokumentace ISMS</t>
  </si>
  <si>
    <t>79417000-0</t>
  </si>
  <si>
    <t>Marek Alt - Pňovice</t>
  </si>
  <si>
    <t>Servisní údržba, podpora a rozvoj ERP systému QI</t>
  </si>
  <si>
    <t>72250000-2</t>
  </si>
  <si>
    <t>VZ-2015-000501</t>
  </si>
  <si>
    <t>Noční stolky s jídelní deskou</t>
  </si>
  <si>
    <t>39143123-4</t>
  </si>
  <si>
    <t>VZ-2015-000491</t>
  </si>
  <si>
    <t>Dodávka aktivních prvků a rozšíření WiFi technologie pro areál FNOL</t>
  </si>
  <si>
    <t>32423000-4</t>
  </si>
  <si>
    <t>VZ-2015-000477</t>
  </si>
  <si>
    <t>Pozáruční servis IBM zařízení</t>
  </si>
  <si>
    <t>72611000-6</t>
  </si>
  <si>
    <t>VZ-2015-000479</t>
  </si>
  <si>
    <t>Dorozumívací zařízení sestra pacient 2015- II.</t>
  </si>
  <si>
    <t>VZ-2015-000483</t>
  </si>
  <si>
    <t>Modernizace telefonního systému</t>
  </si>
  <si>
    <t>VZ-2015-000500</t>
  </si>
  <si>
    <t>Dentální balíčky pro zaměstance FNOL</t>
  </si>
  <si>
    <t>2016</t>
  </si>
  <si>
    <t>VZ-2015-000506</t>
  </si>
  <si>
    <t>Oprava rozvodů vody v budově L</t>
  </si>
  <si>
    <t>33711700-4</t>
  </si>
  <si>
    <t>Polymed medical CZ, a.s.</t>
  </si>
  <si>
    <t xml:space="preserve"> BORCAD cz s.r.o.</t>
  </si>
  <si>
    <t>Šance o.p.s. (DK)</t>
  </si>
  <si>
    <t>VZ-2015-000517</t>
  </si>
  <si>
    <t>Tiskárny etiket FNOL 2015</t>
  </si>
  <si>
    <t>VZ-2015-000519</t>
  </si>
  <si>
    <t>Diskové pole a expanze FNOL 2015</t>
  </si>
  <si>
    <t>30233141-1</t>
  </si>
  <si>
    <t>VZ-2015-000520</t>
  </si>
  <si>
    <t>Blade chassis včetně příslušenství a serverů FNOL 2015</t>
  </si>
  <si>
    <t>48823000-3</t>
  </si>
  <si>
    <t>1.4.3.</t>
  </si>
  <si>
    <t>1.4.2.,1.4.4.</t>
  </si>
  <si>
    <t>Microshop s.r.o.</t>
  </si>
  <si>
    <t>LifeTechnologies</t>
  </si>
  <si>
    <t>Skarab s.r.o.</t>
  </si>
  <si>
    <t>LIMA úklid</t>
  </si>
  <si>
    <t>70,- Kč / hodina</t>
  </si>
  <si>
    <t>84,70 Kč / hodina</t>
  </si>
  <si>
    <t>Roche s.r.o.</t>
  </si>
  <si>
    <t>Alliance Healthcare s.r.o.</t>
  </si>
  <si>
    <t>PHOENIX</t>
  </si>
  <si>
    <t>Amgen s.r.o.</t>
  </si>
  <si>
    <t>MERCK s.r.o.</t>
  </si>
  <si>
    <t>AVENIER a.s.</t>
  </si>
  <si>
    <t>VZ-2015-000523</t>
  </si>
  <si>
    <t>Dodávka čtecího zařízení FNOL 2015</t>
  </si>
  <si>
    <t xml:space="preserve">30216130-6 </t>
  </si>
  <si>
    <t>Medkonsult s.r.o.</t>
  </si>
  <si>
    <t>Maxpharma servis s.r.o.</t>
  </si>
  <si>
    <t>část I. - Externí klinický audit v radiodiagnostice včetně intervenční radiologie a kardiologie</t>
  </si>
  <si>
    <t xml:space="preserve">část II.  -  Externí klinický audit v nukleární medicíně a radioterapii </t>
  </si>
  <si>
    <t>Ole audity s.r.o.</t>
  </si>
  <si>
    <t>ČSFM o.s.</t>
  </si>
  <si>
    <t>Zadávací pracoviště</t>
  </si>
  <si>
    <t>32552310-3               45314310-7</t>
  </si>
  <si>
    <t>za rok 2016</t>
  </si>
  <si>
    <t>Vrtačky a oscilační pily pro endoprotetiku - část I.</t>
  </si>
  <si>
    <t>Vrtačky a oscilační pily pro endoprotetiku - část II.</t>
  </si>
  <si>
    <t>Imunosupresiva 2015 - část I. Anakinra</t>
  </si>
  <si>
    <t>Imunosupresiva 2015 - část II. Lenalidomid</t>
  </si>
  <si>
    <t>Imunosupresiva 2015 - část III. Pirfenidon</t>
  </si>
  <si>
    <t>Imunosupresiva 2015 - část IV. Ustekinumab</t>
  </si>
  <si>
    <t>Jiná cytostatika 2015 - část I. Bortezomib</t>
  </si>
  <si>
    <t>Jiná cytostatika 2015 - část II. Pegaspargasa</t>
  </si>
  <si>
    <t>Monoklonální protilátky 2015 - část I. Brentuximab vedotin</t>
  </si>
  <si>
    <t>Monoklonální protilátky 2015 - část II. Ipilimumab</t>
  </si>
  <si>
    <t>Monoklonální protilátky 2015 - část III. Trastuzumab emtasin</t>
  </si>
  <si>
    <t>Inhibitory proteinkináz 2015 - část I. Axitinib</t>
  </si>
  <si>
    <t>Inhibitory proteinkináz 2015 - část II. Dasatinib</t>
  </si>
  <si>
    <t>Inhibitory proteinkináz 2015 - část III. Gefitinib</t>
  </si>
  <si>
    <t>Inhibitory proteinkináz 2015 - část IV. Lapatinib</t>
  </si>
  <si>
    <t>Inhibitory proteinkináz 2015 - část V. Krizotinib</t>
  </si>
  <si>
    <t>Inhibitory proteinkináz 2015 - část VI. Sunitinib</t>
  </si>
  <si>
    <t>Inhibitory proteinkináz 2015 - část VII. Pazopanib</t>
  </si>
  <si>
    <t>Inhibitory proteinkináz 2015 - část VIII. Temsirolimus</t>
  </si>
  <si>
    <t>Imunostimulancia - CSF - část I. Filgrastim</t>
  </si>
  <si>
    <t>Imunostimulancia - CSF - část II. Pegfilgrastim</t>
  </si>
  <si>
    <t>Imunostimulancia - CSF - část III. Plerixafor</t>
  </si>
  <si>
    <t>Antiinfektiva pro syst. užití a očkov. látky 2015 - část I. Amfotericin B</t>
  </si>
  <si>
    <t>Antiinfektiva pro syst. užití a očkov. látky 2015 - část II. Amikacin inf.láhev</t>
  </si>
  <si>
    <t>Antiinfektiva pro syst. užití a očkov. látky 2015 - část III. Amikacin inj.lahvička</t>
  </si>
  <si>
    <t>Antiinfektiva pro syst. užití a očkov. látky 2015 - část IV. Gentamicin</t>
  </si>
  <si>
    <t>Antiinfektiva pro syst. užití a očkov. látky 2015 - část V. Meropenem</t>
  </si>
  <si>
    <t>Antiinfektiva pro syst. užití a očkov. látky 2015 - část VI. Mikafungin</t>
  </si>
  <si>
    <t>Antiinfektiva pro syst. užití a očkov. látky 2015 - část VII. Pefloxacin</t>
  </si>
  <si>
    <t>Antiinfektiva pro syst. užití a očkov. látky 2015 - část VIII. Posakonazol</t>
  </si>
  <si>
    <t>Antiinfektiva pro syst. užití a očkov. látky 2015 - část IX. Teikoplanin</t>
  </si>
  <si>
    <t>Antiinfektiva pro syst. užití a očkov. látky 2015 - část X. Tigecyklin</t>
  </si>
  <si>
    <t>Selek. imunosupresiva - RS 2015 - část I. Interfereon beta - 1a pro subkutánní aplikaci</t>
  </si>
  <si>
    <t>Selek. imunosupresiva - RS 2015 - část II. Interferon beta - 1a pro intramuskulární aplikaci</t>
  </si>
  <si>
    <t>Selek. imunosupresiva - RS 2015 - část III. Interferon beta - 1b pro subkutánní aplikaci</t>
  </si>
  <si>
    <t>Selek. imunosupresiva - RS 2015 - část IV. Dimethylfumarát</t>
  </si>
  <si>
    <t>Selek. imunosupresiva - RS 2015 - část V. Teriflunomidum</t>
  </si>
  <si>
    <t>Selek. imunosupresiva - RS 2015 - část VI. Glatiramer - acetát</t>
  </si>
  <si>
    <t>2.3.85</t>
  </si>
  <si>
    <t>2.3.84</t>
  </si>
  <si>
    <t>VZ-2015-000530</t>
  </si>
  <si>
    <t>Rozvod dusíku - CAR</t>
  </si>
  <si>
    <t>44161110-0</t>
  </si>
  <si>
    <t>1.2.36</t>
  </si>
  <si>
    <t>Medsol s.r.o.</t>
  </si>
  <si>
    <t>VZ-2015-000543</t>
  </si>
  <si>
    <t>Jednorázové kojenecké láhve a dudlíky</t>
  </si>
  <si>
    <t>VZ-2015-000551</t>
  </si>
  <si>
    <t>Dodávka ABR stříkaček</t>
  </si>
  <si>
    <t>33140000-3</t>
  </si>
  <si>
    <t>VZ-2015-000566</t>
  </si>
  <si>
    <t>FN Olomouc - SÚ JIP a arytmologie I.IK - dodatek č.1</t>
  </si>
  <si>
    <t>JŘBU</t>
  </si>
  <si>
    <t>RELSIE s.r.o.</t>
  </si>
  <si>
    <t>VZ-2015-000544</t>
  </si>
  <si>
    <t>Výměna oken a vstupních dveří v budově C II.</t>
  </si>
  <si>
    <t>VZ-2015-000556</t>
  </si>
  <si>
    <t>Vrtačka pro Traumatologické oddělení FNOL</t>
  </si>
  <si>
    <t>VZ-2015-000568</t>
  </si>
  <si>
    <t>Excimerový laser</t>
  </si>
  <si>
    <t>33128000-3</t>
  </si>
  <si>
    <t>OEC</t>
  </si>
  <si>
    <t>Štýbnarová</t>
  </si>
  <si>
    <t>VZ-2015-000565</t>
  </si>
  <si>
    <t>Platební automat</t>
  </si>
  <si>
    <t>34927000-1</t>
  </si>
  <si>
    <t>S.A.B. Impex s.r.o.</t>
  </si>
  <si>
    <t>Janssen Cilag s.r.o.</t>
  </si>
  <si>
    <t>50110000-9</t>
  </si>
  <si>
    <t>34300000-0</t>
  </si>
  <si>
    <t>Servis,opravy a údržba sanitních, osobních a dodávkových vozidel FNOL - I.</t>
  </si>
  <si>
    <t>Servis,opravy a údržba sanitních, osobních a dodávkových vozidel FNOL - II.</t>
  </si>
  <si>
    <t>Jiří Klanica</t>
  </si>
  <si>
    <t>VZ-2015-000588</t>
  </si>
  <si>
    <t>FN Olomouc - SÚ JIP a arytmologie I.IK - dodatek č.2</t>
  </si>
  <si>
    <t>Koranda</t>
  </si>
  <si>
    <t>VZ-2015-000569</t>
  </si>
  <si>
    <t>Radiofarmaka fluordeoxglukózy</t>
  </si>
  <si>
    <t>09343000-5</t>
  </si>
  <si>
    <t>Zdravotnické datové úložiště</t>
  </si>
  <si>
    <t>33197000-7</t>
  </si>
  <si>
    <t>Nitrooční čočky</t>
  </si>
  <si>
    <t>33731110-7</t>
  </si>
  <si>
    <t>VZ-2015-000579</t>
  </si>
  <si>
    <t>Nákladní vozidla na CNG</t>
  </si>
  <si>
    <t>42415200-0</t>
  </si>
  <si>
    <t>VZ-2015-000570</t>
  </si>
  <si>
    <t>34114110-3</t>
  </si>
  <si>
    <t>Nákup sanitních vozidel</t>
  </si>
  <si>
    <t>IDENTCODE s.r.o.</t>
  </si>
  <si>
    <t>Mobilní zvedací systém II. - dětská klinika</t>
  </si>
  <si>
    <t>Mobilní zvedací systém II. - ortopedie</t>
  </si>
  <si>
    <t>VZ-2015-000538</t>
  </si>
  <si>
    <t>Antianemika</t>
  </si>
  <si>
    <t xml:space="preserve"> zrušeno - MZ zdravotnictví nepovolilo metodu design and build</t>
  </si>
  <si>
    <t>33621300-2</t>
  </si>
  <si>
    <t>GRIFOLS</t>
  </si>
  <si>
    <t>VZ-2015-000575</t>
  </si>
  <si>
    <t>Dodávka a bezplatná zápůjčka CGH array readeru</t>
  </si>
  <si>
    <t>HPST s.r.o.</t>
  </si>
  <si>
    <t>Johnson &amp; Johnson</t>
  </si>
  <si>
    <t>1.4.4./2015</t>
  </si>
  <si>
    <t>VZ-2016-000003</t>
  </si>
  <si>
    <t>1.1.2./2015</t>
  </si>
  <si>
    <t>2.3.56/2015</t>
  </si>
  <si>
    <t>1.2.1/2015</t>
  </si>
  <si>
    <t>2.1.28./2015</t>
  </si>
  <si>
    <t>1.4.3./2015</t>
  </si>
  <si>
    <t>1.2.36/2015</t>
  </si>
  <si>
    <t>OBN</t>
  </si>
  <si>
    <t>Ing. Merta</t>
  </si>
  <si>
    <t>VZ-2016-000005</t>
  </si>
  <si>
    <t>Deratizace, dezinfekce a desinsekce ve FNOL</t>
  </si>
  <si>
    <t>90621000-9</t>
  </si>
  <si>
    <t>OHL ŽS a.s.</t>
  </si>
  <si>
    <t>První chráněná dílna</t>
  </si>
  <si>
    <t>DEC - PLAST s.r.o.</t>
  </si>
  <si>
    <t>GRANE s.r.o.</t>
  </si>
  <si>
    <t>ALCON Pharmaceuticals</t>
  </si>
  <si>
    <t>Antianemika - část I. Epoetin</t>
  </si>
  <si>
    <t>zrušeno - pouze 1 nabídka, která překročila max. a nepřekročitelnou předpokládanou hodnotu VZ</t>
  </si>
  <si>
    <t>Antianemika - část II. Darbopoetin alfa</t>
  </si>
  <si>
    <t>Antianemika - část III. Pegepoetin beta</t>
  </si>
  <si>
    <t>AMGEN s.r.o.</t>
  </si>
  <si>
    <t>VZ-2016-000018</t>
  </si>
  <si>
    <t>Nerezový mobiliář</t>
  </si>
  <si>
    <t>34911100-7</t>
  </si>
  <si>
    <t>VZ-2016-000010</t>
  </si>
  <si>
    <t>Dodávka tiskáren FNOL 2016</t>
  </si>
  <si>
    <t>30232110-8</t>
  </si>
  <si>
    <t>VZ-2016-000025</t>
  </si>
  <si>
    <t>Čtecí zařízení 1D a 2D čárových kódů FNOL 2016</t>
  </si>
  <si>
    <t>30216130-6</t>
  </si>
  <si>
    <t>VZ-2016-000026</t>
  </si>
  <si>
    <t>Převazové vozíky</t>
  </si>
  <si>
    <t>VZ-2016-000027</t>
  </si>
  <si>
    <t>Transportní křesla pro převoz pacientů</t>
  </si>
  <si>
    <t>33193120-6</t>
  </si>
  <si>
    <t>33192340-7</t>
  </si>
  <si>
    <t>VZ-2016-000031</t>
  </si>
  <si>
    <t>Reagencie pro screening v 1.trimestru 2016</t>
  </si>
  <si>
    <t>VZ-2016-000040</t>
  </si>
  <si>
    <t>Monitory FNOL 2016</t>
  </si>
  <si>
    <t>Stolní laser pro ORL výkony</t>
  </si>
  <si>
    <t>33169100-3</t>
  </si>
  <si>
    <t>VZ-2016-000041</t>
  </si>
  <si>
    <t>Popisky řádků</t>
  </si>
  <si>
    <t>Celkový součet</t>
  </si>
  <si>
    <t>Součet z Předpokládaná hodnota VZ bez DPH</t>
  </si>
  <si>
    <t>Hodnoty</t>
  </si>
  <si>
    <t>Součet z Vítězná cena bez DPH</t>
  </si>
  <si>
    <t>Počet z Smlouva podepsána</t>
  </si>
  <si>
    <t>(Více položek)</t>
  </si>
  <si>
    <t>zrušeno - pouze j nabídka nesplnění zadávacích podmínek, zásah do smlouvy</t>
  </si>
  <si>
    <t>VZ-2016-000049</t>
  </si>
  <si>
    <t>Poskytnutí a provozování audiovizuálního zobrazovacího systému II.</t>
  </si>
  <si>
    <t>MARO-Mader s.r.o.</t>
  </si>
  <si>
    <t>VZ-2016-000055</t>
  </si>
  <si>
    <t>Merta</t>
  </si>
  <si>
    <t>Systém pro karyotypování</t>
  </si>
  <si>
    <t>38434500-1</t>
  </si>
  <si>
    <t>AutoCont CZ a.s.</t>
  </si>
  <si>
    <t>VZ-2016-000067</t>
  </si>
  <si>
    <t>33192300-5</t>
  </si>
  <si>
    <t>Optická biometrie</t>
  </si>
  <si>
    <t>VZ-2016-000072</t>
  </si>
  <si>
    <t xml:space="preserve">33122000-1 </t>
  </si>
  <si>
    <t>3.2.2.</t>
  </si>
  <si>
    <t>32428000-9</t>
  </si>
  <si>
    <t>3.2.3.</t>
  </si>
  <si>
    <t>3.2.4.</t>
  </si>
  <si>
    <t>3.2.5.</t>
  </si>
  <si>
    <t>48180000-3</t>
  </si>
  <si>
    <t>Servis, opravy a údržba nákladních vozidel FNOL</t>
  </si>
  <si>
    <t>AUDY s.r.o.</t>
  </si>
  <si>
    <t>Lacomed s.r.o.</t>
  </si>
  <si>
    <t>HOSPIMED s.r.o.</t>
  </si>
  <si>
    <t>Diagnostika - Analyzátory moči</t>
  </si>
  <si>
    <t>Elektrický varný kotel s automatickým mícháním</t>
  </si>
  <si>
    <t>4.1.15</t>
  </si>
  <si>
    <t>30213300-8</t>
  </si>
  <si>
    <t xml:space="preserve">30232100-5 </t>
  </si>
  <si>
    <t>32552110-1</t>
  </si>
  <si>
    <t>30233132-5</t>
  </si>
  <si>
    <t>Systém pro kontrolu dýchání v průběhu radioterapie</t>
  </si>
  <si>
    <t>33111400-5</t>
  </si>
  <si>
    <t>2.2.32</t>
  </si>
  <si>
    <t>33120000-7</t>
  </si>
  <si>
    <t>33121100-5</t>
  </si>
  <si>
    <t>33123200-0</t>
  </si>
  <si>
    <t>2.3.118</t>
  </si>
  <si>
    <t>2.3.111</t>
  </si>
  <si>
    <t>2.2.30</t>
  </si>
  <si>
    <t>33182100-0</t>
  </si>
  <si>
    <t>2.3.136</t>
  </si>
  <si>
    <t>38432210-7</t>
  </si>
  <si>
    <t>2.3.137</t>
  </si>
  <si>
    <t>39180000-7</t>
  </si>
  <si>
    <t>2.2.47</t>
  </si>
  <si>
    <t>42931100-2</t>
  </si>
  <si>
    <t>2.3.127</t>
  </si>
  <si>
    <t>(Prázdné)</t>
  </si>
  <si>
    <t>Active Vision SE</t>
  </si>
  <si>
    <t>Laboratory Imaging s.r.o.</t>
  </si>
  <si>
    <t>4.1.1.</t>
  </si>
  <si>
    <t>Unit ORL a vyšetřovací ORL křeslo - část I. ORL unit</t>
  </si>
  <si>
    <t>Unit ORL a vyšetřovací ORL křeslo - část II. ORL křeslo</t>
  </si>
  <si>
    <t>RQL s.r.o.</t>
  </si>
  <si>
    <t>VZ-2016-000085</t>
  </si>
  <si>
    <t>VZ-2016-000074</t>
  </si>
  <si>
    <t>Carl Zeiss s.r.o.</t>
  </si>
  <si>
    <t>4.1.18</t>
  </si>
  <si>
    <t>4.1.19</t>
  </si>
  <si>
    <t>42513290-4</t>
  </si>
  <si>
    <t>4.1.20</t>
  </si>
  <si>
    <t>4.1.21</t>
  </si>
  <si>
    <t>42512200-0</t>
  </si>
  <si>
    <t>Vytvoření smažícího úseku ve varně</t>
  </si>
  <si>
    <t>4.1.9.</t>
  </si>
  <si>
    <t>4.1.11.</t>
  </si>
  <si>
    <t>33662100-9</t>
  </si>
  <si>
    <t>33651100-9</t>
  </si>
  <si>
    <t>33651200-0</t>
  </si>
  <si>
    <t>33651400-2</t>
  </si>
  <si>
    <t>1.2.45.</t>
  </si>
  <si>
    <t>1.2.46.</t>
  </si>
  <si>
    <t>50114000-7</t>
  </si>
  <si>
    <t>42513000-5</t>
  </si>
  <si>
    <t>42131142-3</t>
  </si>
  <si>
    <t>45330000-9</t>
  </si>
  <si>
    <t>45315700-5</t>
  </si>
  <si>
    <t>1.2.28</t>
  </si>
  <si>
    <t>Modernizace a rozšíření systému Honeywell</t>
  </si>
  <si>
    <t>1.1.14</t>
  </si>
  <si>
    <t>Hydraulické vyvážení topné soustavy OKB</t>
  </si>
  <si>
    <t>45331000-6</t>
  </si>
  <si>
    <t>Rekonstrukce elektroinstalace na odd. 21A</t>
  </si>
  <si>
    <t>4.1.31</t>
  </si>
  <si>
    <t>Rekonstrukce výtahů</t>
  </si>
  <si>
    <t>1.2.32.</t>
  </si>
  <si>
    <t>2.3.94</t>
  </si>
  <si>
    <t>4.1.6.</t>
  </si>
  <si>
    <t>4.1.7.</t>
  </si>
  <si>
    <t>Chladící skříně pojízdné</t>
  </si>
  <si>
    <t>PROVOZ</t>
  </si>
  <si>
    <t>4.1.25.</t>
  </si>
  <si>
    <t>4.1.31.</t>
  </si>
  <si>
    <t>VZ-2016-000091</t>
  </si>
  <si>
    <t>VZ-2016-000093</t>
  </si>
  <si>
    <t>Úprava dětské kliniky pro ambulanci alergologie</t>
  </si>
  <si>
    <t>2.3.149</t>
  </si>
  <si>
    <t>2.3.150</t>
  </si>
  <si>
    <t>33150000-6</t>
  </si>
  <si>
    <t>VZ-2016-000101</t>
  </si>
  <si>
    <t>Diagnostické stanice a DICOM prohlížeč</t>
  </si>
  <si>
    <t>33124000-5</t>
  </si>
  <si>
    <t>VZ-2016-000102</t>
  </si>
  <si>
    <t xml:space="preserve">33162100-4 </t>
  </si>
  <si>
    <t>Operační mikroskop  s videořetězcem pro ORL</t>
  </si>
  <si>
    <t>PC sestavy FNOL 2016</t>
  </si>
  <si>
    <t>Termotiskárny FNOL 2016</t>
  </si>
  <si>
    <t>VZ-2016-000108</t>
  </si>
  <si>
    <t>VZ-2016-000109</t>
  </si>
  <si>
    <t>za rok 2017</t>
  </si>
  <si>
    <t>Mycí a dezinfekční automat na operační obuv</t>
  </si>
  <si>
    <t>Molek</t>
  </si>
  <si>
    <t>Myčka nádobí a reverzní osmóza</t>
  </si>
  <si>
    <t>VZ-2016-000110</t>
  </si>
  <si>
    <t>Ventilátor vysokofrekvenční pro Dětskou kliniku</t>
  </si>
  <si>
    <t>VZ-2016-000111</t>
  </si>
  <si>
    <t>VZ-2016-000116</t>
  </si>
  <si>
    <t>VZ-2016-000121</t>
  </si>
  <si>
    <t>VZ-2016-000122</t>
  </si>
  <si>
    <t>Vyšetřovací lehátka</t>
  </si>
  <si>
    <t>Transportní lehátka</t>
  </si>
  <si>
    <t>VZ-2016-000123</t>
  </si>
  <si>
    <t>Osvětlovací a instalační rampy k lůžkum pro HOK</t>
  </si>
  <si>
    <t>VZ-2016-000125</t>
  </si>
  <si>
    <t>Marek</t>
  </si>
  <si>
    <t>Studie proveditelnosti implementace ICT technologie</t>
  </si>
  <si>
    <t>79314000-8</t>
  </si>
  <si>
    <t>Nákup sanitních vozidel - část I. Sanitní vozidla DNR typu A2</t>
  </si>
  <si>
    <t xml:space="preserve">Nákup sanitních vozidel - část II. Sanitní ambulance ZS typu B </t>
  </si>
  <si>
    <t>Medisolve  Medical Solutions s.r.o.</t>
  </si>
  <si>
    <t>DS správa servisů s.r.o.</t>
  </si>
  <si>
    <t>4.1.1./2016</t>
  </si>
  <si>
    <t>4.1.2./2016</t>
  </si>
  <si>
    <t>4.1.3./2016</t>
  </si>
  <si>
    <t>4.1.4. + 4.1.5./2016</t>
  </si>
  <si>
    <t>1.2.21+4.1.16</t>
  </si>
  <si>
    <t>4.1.13+4.1.14</t>
  </si>
  <si>
    <t>2.3.82.</t>
  </si>
  <si>
    <t>2.1.13.</t>
  </si>
  <si>
    <t>2.2.28.</t>
  </si>
  <si>
    <t>1.2.15.+1.2.44.</t>
  </si>
  <si>
    <t>2.3.119.</t>
  </si>
  <si>
    <t>Výměna chladící jednotky - Dětská klinika</t>
  </si>
  <si>
    <t>VZ-2016-000130</t>
  </si>
  <si>
    <t>22.32016</t>
  </si>
  <si>
    <t>bez plnění</t>
  </si>
  <si>
    <t>VZ-2016-000147</t>
  </si>
  <si>
    <t>VYHRAZ</t>
  </si>
  <si>
    <t>Filtry pro vzduchotechnické jednotky</t>
  </si>
  <si>
    <t>42514310-8</t>
  </si>
  <si>
    <t>VZ-2016-000148</t>
  </si>
  <si>
    <t>Infuzní technika</t>
  </si>
  <si>
    <t xml:space="preserve">33194100-7 </t>
  </si>
  <si>
    <t>VZ-2016-000062</t>
  </si>
  <si>
    <t>FN Olomouc - SÚ JIP a arytmologie I.IK - dodatek č.3</t>
  </si>
  <si>
    <t>Miele s.r.o.</t>
  </si>
  <si>
    <t>Proma Reha s.r.o.</t>
  </si>
  <si>
    <t>Ernst &amp; Young s.r.o.</t>
  </si>
  <si>
    <t>VZ-2016-000161</t>
  </si>
  <si>
    <t>Licence sw k CBCT systému NewTom Vgi Evo</t>
  </si>
  <si>
    <t>AZ stavby s.r.o.</t>
  </si>
  <si>
    <t>Garantovaný archiv a související SW pro ukládání ele zdr. dokumentace</t>
  </si>
  <si>
    <t>VZ-2016-000175</t>
  </si>
  <si>
    <t>48329000-0</t>
  </si>
  <si>
    <t>VZ-2016-000179</t>
  </si>
  <si>
    <t>VZ-2016-000178</t>
  </si>
  <si>
    <t>Běhal</t>
  </si>
  <si>
    <t>Přístroj na lisování tablet</t>
  </si>
  <si>
    <t>VZ-2016-000183</t>
  </si>
  <si>
    <t>Plynový chromatograf s hmotnostním spektrometrem</t>
  </si>
  <si>
    <t>VZ-2016-000177</t>
  </si>
  <si>
    <t>Zemánek</t>
  </si>
  <si>
    <t>Komplexní servisní služby - RTG systémy Philips</t>
  </si>
  <si>
    <t>VZ-2016-000185</t>
  </si>
  <si>
    <t>Ekofiltr s.r.o.</t>
  </si>
  <si>
    <t>Dartin s.r.o.</t>
  </si>
  <si>
    <t>Air - Klimont s.r.o.</t>
  </si>
  <si>
    <t>AuroCont CZ a.s.</t>
  </si>
  <si>
    <t>VZ-2016-000196</t>
  </si>
  <si>
    <t>Dodávky dectů 2016</t>
  </si>
  <si>
    <t>VZ-2016-000187</t>
  </si>
  <si>
    <t>VZ-2016-000197</t>
  </si>
  <si>
    <t>Chlazení cirkulačního okruhu aqua purificata</t>
  </si>
  <si>
    <t>Analoga kyseliny listové 2016 - část I. Pemetrexed</t>
  </si>
  <si>
    <t>Analoga kyseliny listové 2016 - část II. Methotrexat</t>
  </si>
  <si>
    <t>VZ-2016-000199</t>
  </si>
  <si>
    <t>odstoupení od smlouvy 15.4.2016</t>
  </si>
  <si>
    <t>Camosci Czech s.r.o.</t>
  </si>
  <si>
    <t>VZ-2016-000205</t>
  </si>
  <si>
    <t>Nákladní vozidla na CNG II.</t>
  </si>
  <si>
    <t>4.1.4. + 4.1.5.</t>
  </si>
  <si>
    <t>VZ-2016-000206</t>
  </si>
  <si>
    <t>Přístroj urodynamický</t>
  </si>
  <si>
    <t>33125000-2</t>
  </si>
  <si>
    <t>2.3.153</t>
  </si>
  <si>
    <t>VZ-2016-000207</t>
  </si>
  <si>
    <t>Morcelátor resterilizovatelný</t>
  </si>
  <si>
    <t>VZ-2016-000208</t>
  </si>
  <si>
    <t>Rekonstrukce výtahů II.</t>
  </si>
  <si>
    <t xml:space="preserve">Autodružstvo Podbabská </t>
  </si>
  <si>
    <t>VZ-2016-000212</t>
  </si>
  <si>
    <t>Přístroj RTG digitální pojízdný 3 ks</t>
  </si>
  <si>
    <t>VZ-2016-000213</t>
  </si>
  <si>
    <t>Monitory vitálních funkcí s centrálou pro KCHK</t>
  </si>
  <si>
    <t>Blade chassis včetně příslušenství a serverů FNOL 2016</t>
  </si>
  <si>
    <t>VZ-2016-000214</t>
  </si>
  <si>
    <t>VZ-2016-000218</t>
  </si>
  <si>
    <t>VZ-2016-000219</t>
  </si>
  <si>
    <t>Rehabilitace - úprava hygienických zařízení ve 3.NP budovy D2</t>
  </si>
  <si>
    <t>Stolařské práce ve FNOL</t>
  </si>
  <si>
    <t>VZ-2016-000221</t>
  </si>
  <si>
    <t>Kopírky FNOL 2016</t>
  </si>
  <si>
    <t>30121100-4</t>
  </si>
  <si>
    <t>3.2.5</t>
  </si>
  <si>
    <t>50850000-8</t>
  </si>
  <si>
    <t>3.2.13.</t>
  </si>
  <si>
    <t>1.2.3</t>
  </si>
  <si>
    <t>4.1.37</t>
  </si>
  <si>
    <t>VZ-2016-000226</t>
  </si>
  <si>
    <t>Eriserv spol.s r.o.</t>
  </si>
  <si>
    <t>Jiří Ruček SET-ES</t>
  </si>
  <si>
    <t>VZ-2016-000230</t>
  </si>
  <si>
    <t>Platební automaty na regulační poplatky</t>
  </si>
  <si>
    <t>Leštička se sterilizací příborů</t>
  </si>
  <si>
    <t>VZ-2016-000232</t>
  </si>
  <si>
    <t>VZ-2016-000233</t>
  </si>
  <si>
    <t>Sanitární technika</t>
  </si>
  <si>
    <t>VZ-2016-000234</t>
  </si>
  <si>
    <t>Zámky, kování a samozavírače</t>
  </si>
  <si>
    <t>44411000-4</t>
  </si>
  <si>
    <t>44523000-2</t>
  </si>
  <si>
    <t>Megastro CZ s.r.o.</t>
  </si>
  <si>
    <t>VZ-2016-000235</t>
  </si>
  <si>
    <t>Výměna chladící jednotky - laboratoř OKB</t>
  </si>
  <si>
    <t>4.1.40</t>
  </si>
  <si>
    <t>VZ-2016-000244</t>
  </si>
  <si>
    <t>Konektor bezjehlový 2016</t>
  </si>
  <si>
    <t>VZ-2016-000247</t>
  </si>
  <si>
    <t>VZ-2016-000248</t>
  </si>
  <si>
    <t>Rekonstrukce vodního okruhu chlazení pro vzduchotechniku varny</t>
  </si>
  <si>
    <t>VZ-2016-000246</t>
  </si>
  <si>
    <t>33711400-1</t>
  </si>
  <si>
    <t>VZ-2016-000251</t>
  </si>
  <si>
    <t>Výměna chladící jednotky - stravovací provoz</t>
  </si>
  <si>
    <t>4.1.41</t>
  </si>
  <si>
    <t>Chlazení cirkulačního okruhu aqua purificata II.</t>
  </si>
  <si>
    <t>B. Braun Medical s.r.o.</t>
  </si>
  <si>
    <t>SANBON spol.s r .o.</t>
  </si>
  <si>
    <t>ARCON Machinery a.s.</t>
  </si>
  <si>
    <t>VZ-2016-000255</t>
  </si>
  <si>
    <t>Pevné disky FNOL 2016</t>
  </si>
  <si>
    <t>zrušeno - nutno upřesnit zadání</t>
  </si>
  <si>
    <t>S.M. - Olomouc s.r.o.</t>
  </si>
  <si>
    <t>VZ-2016-000258</t>
  </si>
  <si>
    <t>Jehličkové tiskárny FNOL 2016</t>
  </si>
  <si>
    <t xml:space="preserve">30232120-1 </t>
  </si>
  <si>
    <t>Zámky, kování a samozavírače II.</t>
  </si>
  <si>
    <t>VZ-2016-000260</t>
  </si>
  <si>
    <t>Rukavice vyšetřovací nitrilové 2016</t>
  </si>
  <si>
    <t>18424300-0</t>
  </si>
  <si>
    <t>VZ-2016-000266</t>
  </si>
  <si>
    <t>VZ-2016-000268</t>
  </si>
  <si>
    <t>Sanitární technika II.</t>
  </si>
  <si>
    <t>EKG se zapisovačem</t>
  </si>
  <si>
    <t>VZ-2016-000269</t>
  </si>
  <si>
    <t xml:space="preserve">38510000-3 </t>
  </si>
  <si>
    <t xml:space="preserve">33123200-0 </t>
  </si>
  <si>
    <t>2.3.121; 2.3.129; 2.3.154</t>
  </si>
  <si>
    <t>Inhibitory cytokinů 2016 - část I. Certolizumab pegol</t>
  </si>
  <si>
    <t>Inhibitory cytokinů 2016 - část II. Etanercept</t>
  </si>
  <si>
    <t>Inhibitory cytokinů 2016 - část III. Adalimumab - injekční pero</t>
  </si>
  <si>
    <t>Inhibitory cytokinů 2016 - část IV. Adalimumab - injekční stříkačka</t>
  </si>
  <si>
    <t>Inhibitory cytokinů 2016 - V. Infliximab</t>
  </si>
  <si>
    <t>Inhibitory cytokinů 2016 - VI. Abatacept</t>
  </si>
  <si>
    <t>Inhibitory cytokinů 2016 - VII. Secukinumab</t>
  </si>
  <si>
    <t>Inhibitory cytokinů 2016 - VIII. Golimumab</t>
  </si>
  <si>
    <t>Výměna termoregulačních ventilů v budově UZQ</t>
  </si>
  <si>
    <t>Opravy hygienického zařízení a výměna podhledů ve 4.NP budovy Q2</t>
  </si>
  <si>
    <t>VZ-2016-000270</t>
  </si>
  <si>
    <t>VZ-2016-000271</t>
  </si>
  <si>
    <t>Medsol spol. s r.o.</t>
  </si>
  <si>
    <t>VZ-2016-000278</t>
  </si>
  <si>
    <t>Údržbářské práce</t>
  </si>
  <si>
    <t>98395000-8</t>
  </si>
  <si>
    <t>VZ-2016-000280</t>
  </si>
  <si>
    <t>ENERG</t>
  </si>
  <si>
    <t>Eyer</t>
  </si>
  <si>
    <t>71321000-4</t>
  </si>
  <si>
    <t>VZ-2016-000281</t>
  </si>
  <si>
    <t>Tablety FNOL 2016</t>
  </si>
  <si>
    <t xml:space="preserve">30213200-7 </t>
  </si>
  <si>
    <t>Klimatizační jednotky 2016 - část I. Dochlazování Dětská klinika</t>
  </si>
  <si>
    <t>Klimatizační jednotky 2016 - část II. Klimatizační jednotky</t>
  </si>
  <si>
    <t>VZ-2016-000282</t>
  </si>
  <si>
    <t>Hadičky spojovací pro infuzní terapii 2016</t>
  </si>
  <si>
    <t xml:space="preserve">33141000-0 </t>
  </si>
  <si>
    <t>Climart  s.r.o.</t>
  </si>
  <si>
    <t>THERMO s.r.o.</t>
  </si>
  <si>
    <t>JeS Interiér výroba nábytku</t>
  </si>
  <si>
    <t>Přístroj urodynamický a vyšetřovací stůl - část I. Přístroj urodynamický</t>
  </si>
  <si>
    <t>Přístroj urodynamický a vyšetřovací stůl- část II. Vyšetřovací stůl</t>
  </si>
  <si>
    <t>Opravy výtahů FNOL 2016</t>
  </si>
  <si>
    <t>50700000-2</t>
  </si>
  <si>
    <t>VZ-2016-000288</t>
  </si>
  <si>
    <t>VZ-2016-000290</t>
  </si>
  <si>
    <t>VZ-2016-000291</t>
  </si>
  <si>
    <t>VZ-2016-000293</t>
  </si>
  <si>
    <t>VZ-2016-000294</t>
  </si>
  <si>
    <t>MSM spol. s r.o.</t>
  </si>
  <si>
    <t>Výtahy Výmyslický s.r.o.</t>
  </si>
  <si>
    <t>Monoklonální protilátky I. 2016 - část II. Cetuximab</t>
  </si>
  <si>
    <t>Monoklonální protilátky I. 2016 - část I. Bevacizumab</t>
  </si>
  <si>
    <t>Monoklonální protilátky I. 2016 - část III. Panitumumab</t>
  </si>
  <si>
    <t>Monoklonální protilátky I. 2016 - část IV. Rituximab</t>
  </si>
  <si>
    <t>Monoklonální protilátky I. 2016 - část V. Trastuzumab</t>
  </si>
  <si>
    <t>Oftalmologika 2016 - část I. Verteporfin</t>
  </si>
  <si>
    <t>Oftalmologika 2016 - část II. Ranibizumab</t>
  </si>
  <si>
    <t>Oftalmologika 2016 - část III. Afliberecept</t>
  </si>
  <si>
    <t>Inhibitory proteinkináz I. 2016 - V. Sorafenib</t>
  </si>
  <si>
    <t>Inhibitory proteinkináz I. 2016 - VI. Dasatinib</t>
  </si>
  <si>
    <t>Solární přípravky pro zaměstnance FNOL - část I.  Dermokosmetický….</t>
  </si>
  <si>
    <t>Solární přípravky pro zaměstnance FNOL - část II. Opalovací přípravek</t>
  </si>
  <si>
    <t>Vodo topo instalace s.r.o.</t>
  </si>
  <si>
    <t>ILMASTON s.r.o.</t>
  </si>
  <si>
    <t>VK-AQUA trading s.r.o.</t>
  </si>
  <si>
    <t>AB Tábor s.r.o.</t>
  </si>
  <si>
    <t>Intraco micro spol. s r.o.</t>
  </si>
  <si>
    <t>Merit Group a.s.</t>
  </si>
  <si>
    <t>BTL zdrav. technika a.s.</t>
  </si>
  <si>
    <t>Zpracování prováděcí PD - Rekonstrukce nouzového osvětlení</t>
  </si>
  <si>
    <t>Zpracování prováděcí PD - Celková rekonstrukce TS1, a TS3</t>
  </si>
  <si>
    <t>Zpracování prováděcí PD - Rekonstrukce elketroinstalace na DK</t>
  </si>
  <si>
    <t>4.1.22.; 4.1.33.</t>
  </si>
  <si>
    <t>4.1.26.; 4.1.28.</t>
  </si>
  <si>
    <t>VZ-2016-000310</t>
  </si>
  <si>
    <t>VZ-2016-000315</t>
  </si>
  <si>
    <t>VZ-2016-000316</t>
  </si>
  <si>
    <t>Zbořil</t>
  </si>
  <si>
    <t>Elektroúdržba ve FN Olomouc</t>
  </si>
  <si>
    <t>Monoklonální protilátky II. 2016 - I. Brentuximab vedotin</t>
  </si>
  <si>
    <t>45310000-4</t>
  </si>
  <si>
    <t>VZ-2016-000321</t>
  </si>
  <si>
    <t>Junek</t>
  </si>
  <si>
    <t>FN Olomouc - novostavba 2. IK a geriatrie</t>
  </si>
  <si>
    <t>45215120-4</t>
  </si>
  <si>
    <t>ELPREMO s.r.o.</t>
  </si>
  <si>
    <t>Milan Vician</t>
  </si>
  <si>
    <t>2.3.106; 2.3.126; 2.3.157</t>
  </si>
  <si>
    <t>Liftmont CZ s.r.o.</t>
  </si>
  <si>
    <t>Selektivní imunosupresiva I. 2016 - část I. Natalizumab</t>
  </si>
  <si>
    <t>Selektivní imunosupresiva I. 2016 - část II. Abatacept</t>
  </si>
  <si>
    <t>Selektivní imunosupresiva I. 2016 - část III. Ekulizumab</t>
  </si>
  <si>
    <t>Selektivní imunosupresiva I. 2016 - část IV. Belimumab</t>
  </si>
  <si>
    <t>Selektivní imunosupresiva I. 2016 - část V. Fingolimod</t>
  </si>
  <si>
    <t>Selektivní imunosupresiva I. 2016 - část VI. Teriflunomid</t>
  </si>
  <si>
    <t>VZ-2016-000328</t>
  </si>
  <si>
    <t>Endoskopická kamerová hlava</t>
  </si>
  <si>
    <t xml:space="preserve">33168000-5 </t>
  </si>
  <si>
    <t>VZ-2016-000333</t>
  </si>
  <si>
    <t>VZ-2016-000335</t>
  </si>
  <si>
    <t>Rekonstrukce hlavní rozvodny NN v budově J3</t>
  </si>
  <si>
    <t>VZ-2016-000336</t>
  </si>
  <si>
    <t>Chlazení cirkulačního okruhu aqua purificata III.</t>
  </si>
  <si>
    <t>Monoklonální protilátky II. 2016 - II. Ipilimumab</t>
  </si>
  <si>
    <t>Monoklonální protilátky II. 2016 - IV. Pertuzumab</t>
  </si>
  <si>
    <t>Laboratorní centrifugy - část I. IMUNOL, TO, CAR</t>
  </si>
  <si>
    <t>Laboratorní centrifugy - část II. GEN</t>
  </si>
  <si>
    <t>Laboratorní centrifugy - část III. PATOL</t>
  </si>
  <si>
    <t>VZ-2016-000342</t>
  </si>
  <si>
    <t xml:space="preserve">30233180-6 </t>
  </si>
  <si>
    <t>VZ-2016-000345</t>
  </si>
  <si>
    <t>Servisní činnosti  -  lineární  urychlovače II.</t>
  </si>
  <si>
    <t>OÚ</t>
  </si>
  <si>
    <t>VZ-2016-000350</t>
  </si>
  <si>
    <t>VZ-2016-000352</t>
  </si>
  <si>
    <t>Inhibitory proteinkináz II. 2016 - část II.</t>
  </si>
  <si>
    <t>Inhibitory proteinkináz II. 2016 - část III.</t>
  </si>
  <si>
    <t>Inhibitory proteinkináz II. 2016 - část IV.</t>
  </si>
  <si>
    <t>Inhibitory proteinkináz II. 2016 - část V.</t>
  </si>
  <si>
    <t>Inhibitory proteinkináz II. 2016 - část VI.</t>
  </si>
  <si>
    <t>Inhibitory proteinkináz II. 2016 - část VII.</t>
  </si>
  <si>
    <t>Inhibitory proteinkináz II. 2016 - část VIII.</t>
  </si>
  <si>
    <t>Inhibitory proteinkináz II. 2016 - část IX.</t>
  </si>
  <si>
    <t>Inhibitory proteinkináz II. 2016 - část X.</t>
  </si>
  <si>
    <t>Inhibitory proteinkináz II. 2016 - část XI.</t>
  </si>
  <si>
    <t>Inhibitory proteinkináz II. 2016 - část I.Everolimus</t>
  </si>
  <si>
    <t>Jiné imunomodulátory 2016 - část I. Lenalidomid</t>
  </si>
  <si>
    <t>Jiné imunomodulátory 2016 - část II.</t>
  </si>
  <si>
    <t>Jiné imunomodulátory 2016 - část III.</t>
  </si>
  <si>
    <t>AGROTEC a.s.</t>
  </si>
  <si>
    <t>Ratex v.o.s.</t>
  </si>
  <si>
    <t>zrušena část  II. Ještě před podáním nabídek - dlouhodobý výpadek účinné látky</t>
  </si>
  <si>
    <t>VZ-2016-000224</t>
  </si>
  <si>
    <t>Mikroskopy dentílní laboratorní</t>
  </si>
  <si>
    <t>37/2014</t>
  </si>
  <si>
    <t>Kity k vyšetření biotinidázy</t>
  </si>
  <si>
    <t>PharmaTech s.r.o.</t>
  </si>
  <si>
    <t>VZ-2016-000357</t>
  </si>
  <si>
    <t>Elektroinstalace pro připojení osvětlovacích a instalačních ramp</t>
  </si>
  <si>
    <t>Jiná periferně působící myorelaxancia</t>
  </si>
  <si>
    <t>33632200-1</t>
  </si>
  <si>
    <t>VZ-2016-000365</t>
  </si>
  <si>
    <t>Bourací práce - stará lékárna FNOL</t>
  </si>
  <si>
    <t>45111100-9</t>
  </si>
  <si>
    <t>Olympus Czcech Group s.r.o.</t>
  </si>
  <si>
    <t>UNIMED s.r.o.</t>
  </si>
  <si>
    <t>MEDESA s.r.o.</t>
  </si>
  <si>
    <t>Opluštil-Stavby s.r.o.</t>
  </si>
  <si>
    <t>Prodispa s.r.o.</t>
  </si>
  <si>
    <t>Úpravy prostor po lékárně v budově N1</t>
  </si>
  <si>
    <t>VZ-2016-000370</t>
  </si>
  <si>
    <t>FN Olomouc - Dodávka boxů laminárních stíněných a digestoře stíněné</t>
  </si>
  <si>
    <t>38000000-5</t>
  </si>
  <si>
    <t>VZ-2016-000364</t>
  </si>
  <si>
    <t>VZ-2016-000368</t>
  </si>
  <si>
    <t>VZ-2016-000371</t>
  </si>
  <si>
    <t>45310000-3</t>
  </si>
  <si>
    <t>Zadáv. prac.</t>
  </si>
  <si>
    <t>Imunostimulancia - Roztroušená skleróza</t>
  </si>
  <si>
    <t>Inhibitory proteinkináz I. 2016 - VII. Lapatinib</t>
  </si>
  <si>
    <t>Inhibitory proteinkináz I. 2016 - VIII. Nilotinib</t>
  </si>
  <si>
    <t>Inhibitory proteinkináz I. 2016 - IX. Temsirolismus</t>
  </si>
  <si>
    <t>Inhibitory proteinkináz I. 2016 - X. Nintedanib</t>
  </si>
  <si>
    <t>Inhibitory proteinkináz I. 2016 - IV. Sunitinib</t>
  </si>
  <si>
    <t>Inhibitory proteinkináz I. 2016 - I. Imatinib</t>
  </si>
  <si>
    <t>Inhibitory proteinkináz I. 2016 - III. Erlotinib</t>
  </si>
  <si>
    <t>Inhibitory proteinkináz I. 2016 - II. Gefitinib</t>
  </si>
  <si>
    <t>USB flash disky FNOL 2016</t>
  </si>
  <si>
    <t>VZ-2016-000372</t>
  </si>
  <si>
    <t>Přístroj pro komplexní funkční vyšetření plic</t>
  </si>
  <si>
    <t>VZ-2016-000373</t>
  </si>
  <si>
    <t xml:space="preserve">Selektivní imunosupresiva II. 2016 - část I. Antithymocytární imunoglobulin </t>
  </si>
  <si>
    <t>Selektivní imunosupresiva II. 2016 - část II. Mofetil-mykofenolát</t>
  </si>
  <si>
    <t>Ultrazvukové diagnostické přístroje - část I. Radiologie</t>
  </si>
  <si>
    <t>Ultrazvukové diagnostické přístroje - část II. Urgent</t>
  </si>
  <si>
    <t>VZ-2016-000343</t>
  </si>
  <si>
    <t>Oprava střešního pláště na budově B6</t>
  </si>
  <si>
    <t>45261210-9</t>
  </si>
  <si>
    <t>VZ-2016-000374</t>
  </si>
  <si>
    <t>VZ-2016-000378</t>
  </si>
  <si>
    <t>Operační mikroskop  s videořetězcem pro ORL II.</t>
  </si>
  <si>
    <t>VZ-2016-000380</t>
  </si>
  <si>
    <t>Kapilární hemodialýzatory</t>
  </si>
  <si>
    <t xml:space="preserve">33181200-4 </t>
  </si>
  <si>
    <t>Počet z Předpokládaná hodnota VZ bez DPH</t>
  </si>
  <si>
    <t>zrušeno - ani jedna nabídka</t>
  </si>
  <si>
    <t xml:space="preserve">SOPAT CZ </t>
  </si>
  <si>
    <t>PB SCOM s.r.o.</t>
  </si>
  <si>
    <t>ViaPharma  s.r.o.</t>
  </si>
  <si>
    <t>KRD s.r.o.</t>
  </si>
  <si>
    <t>VZ-2016-000390</t>
  </si>
  <si>
    <t>Oprava střešního pláště na budově WE</t>
  </si>
  <si>
    <t>VZ-2016-000391</t>
  </si>
  <si>
    <t>Repase oken v budově Q2 - 5.NP</t>
  </si>
  <si>
    <t>VZ-2016-000386</t>
  </si>
  <si>
    <t>VZ-2016-000392</t>
  </si>
  <si>
    <t>Výměna protipožárních dveří v budově L</t>
  </si>
  <si>
    <t>45421110-8</t>
  </si>
  <si>
    <t>44221220-3</t>
  </si>
  <si>
    <t>VZ-2016-000395</t>
  </si>
  <si>
    <t>16-ti portové 10GE rozšiřující karty</t>
  </si>
  <si>
    <t>VZ-2016-000398</t>
  </si>
  <si>
    <t>VZ-2016-000410</t>
  </si>
  <si>
    <t>Řezačka masa</t>
  </si>
  <si>
    <t>VZ-2016-000412</t>
  </si>
  <si>
    <t>Úpravy KÚČOCH v 1. NP budovy R</t>
  </si>
  <si>
    <t>VZ-2016-000413</t>
  </si>
  <si>
    <t>OU</t>
  </si>
  <si>
    <t>Nerudová</t>
  </si>
  <si>
    <t>VZ-2016-000414</t>
  </si>
  <si>
    <t>Fixační systém pro omezení pohybů bránice v průběhu radioterapie</t>
  </si>
  <si>
    <t>VZ-2016-000415</t>
  </si>
  <si>
    <t>VZ-2016-000416</t>
  </si>
  <si>
    <t>Flexibilní videogastroskop pro diagnostiku a terapii</t>
  </si>
  <si>
    <t>VZ-2016-000417</t>
  </si>
  <si>
    <t>EEG a video EEG</t>
  </si>
  <si>
    <t>VZ-2016-000421</t>
  </si>
  <si>
    <t>VZ-2016-000422</t>
  </si>
  <si>
    <t>VZ-2016-000423</t>
  </si>
  <si>
    <t>32422000-7</t>
  </si>
  <si>
    <t>4.1.44.</t>
  </si>
  <si>
    <t>2.2.22.</t>
  </si>
  <si>
    <t>2.2.21.</t>
  </si>
  <si>
    <t>2.2.24.</t>
  </si>
  <si>
    <t>2.3.138.; 2.3.139.</t>
  </si>
  <si>
    <t>39150000-5</t>
  </si>
  <si>
    <t>PHOENIX lék. Velkoobchod</t>
  </si>
  <si>
    <t>Manuální zatavovací balička a blixer stolní - část I.</t>
  </si>
  <si>
    <t>Manuální zatavovací balička a blixer stolní - část II.</t>
  </si>
  <si>
    <t>4.1.43</t>
  </si>
  <si>
    <t>4.1.42</t>
  </si>
  <si>
    <t>Technology Morava s.r.o.</t>
  </si>
  <si>
    <t>EMS s.r.o.</t>
  </si>
  <si>
    <t>Nábytek - KÚČOCH</t>
  </si>
  <si>
    <t>VZ-2016-000433</t>
  </si>
  <si>
    <t>VZ-2016-000435</t>
  </si>
  <si>
    <t>Servis hematologických analyzátorů</t>
  </si>
  <si>
    <t>50400000-9</t>
  </si>
  <si>
    <t>VZ-2016-000436</t>
  </si>
  <si>
    <t>Stíněná skříň na vratné generátory Mo/Tc a Rb/Kr a stíněná skříň na radioizotopy a radiofarmaka</t>
  </si>
  <si>
    <t>VZ-2016-000440</t>
  </si>
  <si>
    <t>PRAV</t>
  </si>
  <si>
    <t>Procházková</t>
  </si>
  <si>
    <t>Výměna oken, rekonstrukce střechy a zateplení části budovy</t>
  </si>
  <si>
    <t>VZ-2016-000441</t>
  </si>
  <si>
    <t>66510000-8</t>
  </si>
  <si>
    <t>VZ-2016-000418</t>
  </si>
  <si>
    <t>72511000-0</t>
  </si>
  <si>
    <t>45421132-8</t>
  </si>
  <si>
    <t>4.1.38.</t>
  </si>
  <si>
    <t>VZ-2016-000442</t>
  </si>
  <si>
    <t>SÚ realizace KTVL</t>
  </si>
  <si>
    <t>VZ-2016-000443</t>
  </si>
  <si>
    <t>Diskové pole a expanze FNOL 2016</t>
  </si>
  <si>
    <t>VZ-2016-000444</t>
  </si>
  <si>
    <t>FN Olomouc - Přístrojové vybavení KNM</t>
  </si>
  <si>
    <t xml:space="preserve">38341600-3 </t>
  </si>
  <si>
    <t>2.3.132, 2.2.50, 2.3.134, 2.2.44, 2.2.48, 2.2.49, 2.2.51</t>
  </si>
  <si>
    <t>2.2.43, 2.3.133</t>
  </si>
  <si>
    <t>VZ-2016-000446</t>
  </si>
  <si>
    <t>Upgrade operačního mikroskopu Pentero</t>
  </si>
  <si>
    <t>Izotech Moravia spol. s r.o.</t>
  </si>
  <si>
    <t>VZ-2016-000448</t>
  </si>
  <si>
    <t>Notebooky FNOL 2016</t>
  </si>
  <si>
    <t>VZ-2016-000449</t>
  </si>
  <si>
    <t>Přístroj pro komplexní vyšetření plicních funkcí - část I. Bodypletysmograf</t>
  </si>
  <si>
    <t>Přístroj pro komplexní vyšetření plicních funkcí - část II. Spiroergon. Systém</t>
  </si>
  <si>
    <t>71251000-2</t>
  </si>
  <si>
    <t>VZ-2016-000450</t>
  </si>
  <si>
    <t>PD - Úprava prostor KNM (radiofarmaceutická laboratoř)</t>
  </si>
  <si>
    <t>VZ-2016-000452</t>
  </si>
  <si>
    <t>Oprava MaR - budova Q2. 1PP</t>
  </si>
  <si>
    <t>VZ-2016-000453</t>
  </si>
  <si>
    <t>EKG se zapisovačem pro KCH</t>
  </si>
  <si>
    <t>VZ-2016-000458</t>
  </si>
  <si>
    <t>VZ-2016-000459</t>
  </si>
  <si>
    <t>Endoskopický systém</t>
  </si>
  <si>
    <t>Rigidní cystoskopy</t>
  </si>
  <si>
    <t>Videoprocesor bronchoskopického systému</t>
  </si>
  <si>
    <t>VZ-2016-000460</t>
  </si>
  <si>
    <t>VZ-2016-000464</t>
  </si>
  <si>
    <t>Systémy pro aplikaci vysokoprůtokové nasální dechové podpory a oxynogenoterapie pro novorozence</t>
  </si>
  <si>
    <t>VZ-2016-000465</t>
  </si>
  <si>
    <t>VZ-2016-000466</t>
  </si>
  <si>
    <t>VZ-2016-000469</t>
  </si>
  <si>
    <t>FNOL-obnova obvodového pláště a bezbariérovost KZL - Dodatek č.1</t>
  </si>
  <si>
    <t>31000000-6</t>
  </si>
  <si>
    <t>33124100-6</t>
  </si>
  <si>
    <t>2.2.56.</t>
  </si>
  <si>
    <t>2.3.165.</t>
  </si>
  <si>
    <t>2.3.112.</t>
  </si>
  <si>
    <t>2.3.113.; 2.3.114.; 2.3.115.</t>
  </si>
  <si>
    <t>JRBU</t>
  </si>
  <si>
    <t>2.3.97.</t>
  </si>
  <si>
    <t>2.3.161.</t>
  </si>
  <si>
    <t>2.2.58.; 2.3.167.</t>
  </si>
  <si>
    <t>Mycí a dezinfekční automat na flexibilní endoskopy</t>
  </si>
  <si>
    <t>Transkontakt Medical</t>
  </si>
  <si>
    <t>VZ-2016-000472</t>
  </si>
  <si>
    <t>MLUV</t>
  </si>
  <si>
    <t>Tisk nemocničního časopisu</t>
  </si>
  <si>
    <t>VZ-2016-000475</t>
  </si>
  <si>
    <t>Přístroj pro umělovu plicní ventilaci</t>
  </si>
  <si>
    <t>2.3.148.</t>
  </si>
  <si>
    <t>Medista s.r.o.</t>
  </si>
  <si>
    <t>zrušeno - bez hodnocené nabídky</t>
  </si>
  <si>
    <t>nerealizováno</t>
  </si>
  <si>
    <t>Stavební spol. Navrátil s.r.o.</t>
  </si>
  <si>
    <t>Radix CZ s.r.o.</t>
  </si>
  <si>
    <t>Alien Technik s.r.o.</t>
  </si>
  <si>
    <t>Chráněná dílna TiRo Blansko s.r.o.</t>
  </si>
  <si>
    <t>Avenier a.s.</t>
  </si>
  <si>
    <t>ROCHE s.r.o.</t>
  </si>
  <si>
    <t>zrušeno - překročen limit VZMR</t>
  </si>
  <si>
    <t>Antibakt. léčiva pro systémovou aplikaci III 2016 - část I. Ofloxacin</t>
  </si>
  <si>
    <t>Antibakt. léčiva pro systémovou aplikaci III 2016 - část II. Ciprofloxacin</t>
  </si>
  <si>
    <t>Antibakt. léčiva pro systémovou aplikaci III 2016 - část III. Pefloxacin</t>
  </si>
  <si>
    <t>Antibakt. léčiva pro systémovou aplikaci III 2016 - část IV. Levofloxacin</t>
  </si>
  <si>
    <t>Antibakt. léčiva pro systémovou aplikaci III 2016 - část V. Moxifloxacin</t>
  </si>
  <si>
    <t>Antibakt. léčiva pro systémovou aplikaci III 2016 - část VI. Vankomycin</t>
  </si>
  <si>
    <t>Antibakt. léčiva pro systémovou aplikaci III 2016 - část VII. Teikoplanin</t>
  </si>
  <si>
    <t>Antibakt. léčiva pro systémovou aplikaci III 2016 - část VIII. Kolistin</t>
  </si>
  <si>
    <t>Antibakt. léčiva pro systémovou aplikaci III 2016 - část IX. Metronidazol</t>
  </si>
  <si>
    <t>Antibakt. léčiva pro systémovou aplikaci III 2016 - část X. Linezolid</t>
  </si>
  <si>
    <t>Antibakt. léčiva pro systémovou aplikaci-cefalosporiny 2016 - část I.</t>
  </si>
  <si>
    <t>Antibakt. léčiva pro systémovou aplikaci.cefalosporiny 2016 - část II.</t>
  </si>
  <si>
    <t>Antibakt. léčiva pro systémovou aplikaci.cefalosporiny 2016 - část III.</t>
  </si>
  <si>
    <t>Antibakt. léčiva pro systémovou aplikaci.cefalosporiny 2016 - část IV.</t>
  </si>
  <si>
    <t>Antibakt. léčiva pro systémovou aplikaci.cefalosporiny 2016 - část V.</t>
  </si>
  <si>
    <t>Antibakt. léčiva pro systémovou aplikaci.cefalosporiny 2016 - část VI.</t>
  </si>
  <si>
    <t>Antibakt. léčiva pro systémovou aplikaci.cefalosporiny 2016 - část VII.</t>
  </si>
  <si>
    <t>Antibakt. léčiva pro systémovou aplikaci.cefalosporiny 2016 - část VIII.</t>
  </si>
  <si>
    <t>Antibakteriální léčiva pro systémovou aplikaci I 2016 - část I.</t>
  </si>
  <si>
    <t>Antibakteriální léčiva pro systémovou aplikaci I 2016 - část II.</t>
  </si>
  <si>
    <t>Antibakteriální léčiva pro systémovou aplikaci I 2016 - část III.</t>
  </si>
  <si>
    <t>Antibakteriální léčiva pro systémovou aplikaci I 2016 - část IV.</t>
  </si>
  <si>
    <t>Antibakteriální léčiva pro systémovou aplikaci I 2016 - část V.</t>
  </si>
  <si>
    <t>Antibakteriální léčiva pro systémovou aplikaci I 2016 - část VI.</t>
  </si>
  <si>
    <t>Antibakteriální léčiva pro systémovou aplikaci I 2016 - část VII.</t>
  </si>
  <si>
    <t>Antibakteriální léčiva pro systémovou aplikaci I 2016 - část VIII.</t>
  </si>
  <si>
    <t>Antibakteriální léčiva pro systémovou aplikaci I 2016 - část IX.</t>
  </si>
  <si>
    <t>Antibakteriální léčiva pro systémovou aplikaci I 2016 - část X.</t>
  </si>
  <si>
    <t>Antibakteriální léčiva pro systémovou aplikaci I 2016 - část XI.</t>
  </si>
  <si>
    <t>15.9 2016</t>
  </si>
  <si>
    <t>VZ-2016-000499</t>
  </si>
  <si>
    <t>VZ-2016-000500</t>
  </si>
  <si>
    <t>Výměna podlahových krytin v budově Q204</t>
  </si>
  <si>
    <t>Videokolonoskop pro diagnostiku a terapii</t>
  </si>
  <si>
    <t>VZ-2016-000494</t>
  </si>
  <si>
    <t>VZ-2016-000495</t>
  </si>
  <si>
    <t>VZ-2016-000496</t>
  </si>
  <si>
    <t>2.4.38.</t>
  </si>
  <si>
    <t>2.3.164.</t>
  </si>
  <si>
    <t>45432130-4</t>
  </si>
  <si>
    <t>VZ-2016-000514</t>
  </si>
  <si>
    <t>Stavební úpravy KUČOCH</t>
  </si>
  <si>
    <t>VZ-2016-000515</t>
  </si>
  <si>
    <t>PD - Úprava prostor ÚLG (laboratoř neimplantační genetické diagnostiky)</t>
  </si>
  <si>
    <t>ELMAR group s.r.o.</t>
  </si>
  <si>
    <t>VZ-2016-000521</t>
  </si>
  <si>
    <t>VZ-2016-000522</t>
  </si>
  <si>
    <t>VZ-2016-000520</t>
  </si>
  <si>
    <t>Tiskárna na potisk histologickcýh kazet</t>
  </si>
  <si>
    <t>Přístroj pro intraaortální balónkovou kontrapulzaci</t>
  </si>
  <si>
    <t>VZ-2016-000528</t>
  </si>
  <si>
    <t>33182000-9</t>
  </si>
  <si>
    <t>2.3.166.</t>
  </si>
  <si>
    <t>2.2.62.; 2.3.163.</t>
  </si>
  <si>
    <t>VZ-2016-000536</t>
  </si>
  <si>
    <t>Operační CO2 laser</t>
  </si>
  <si>
    <t>VZ-2016-000537</t>
  </si>
  <si>
    <t>Urodynamický přístroj</t>
  </si>
  <si>
    <t>VZ-2016-000531</t>
  </si>
  <si>
    <t>Nábytek - KÚČOCH II</t>
  </si>
  <si>
    <t>VZ-2016-000497</t>
  </si>
  <si>
    <t>Faraon Podlahy s.r.o.</t>
  </si>
  <si>
    <t>VZ-2016-000550</t>
  </si>
  <si>
    <t>Komplexní servis MaR a EBI</t>
  </si>
  <si>
    <t>50532000-3</t>
  </si>
  <si>
    <t>VZ-2016-000539</t>
  </si>
  <si>
    <t>METR.</t>
  </si>
  <si>
    <t>LT Projekt a.s.</t>
  </si>
  <si>
    <t>RadioMedic s.r.o.</t>
  </si>
  <si>
    <t>2.3.173.</t>
  </si>
  <si>
    <t>VZ-2016-000541</t>
  </si>
  <si>
    <t>2.3.176.</t>
  </si>
  <si>
    <t>VZ-2016-000544</t>
  </si>
  <si>
    <t>Flexibilní fibronazofaryngoskop a flexibilní bronchoskop</t>
  </si>
  <si>
    <t>2.3.168.; 2.3.170.</t>
  </si>
  <si>
    <t>ENUS Medical s.r.o.</t>
  </si>
  <si>
    <t>S + T Plus s.r.o.</t>
  </si>
  <si>
    <t>ECOONE CZECH s.r.o.</t>
  </si>
  <si>
    <t>KURKA MED s.r.o.</t>
  </si>
  <si>
    <t>Teleflex Medical s.r.o.</t>
  </si>
  <si>
    <t>zrušeno  - bez nabídky</t>
  </si>
  <si>
    <t>Pharmos, a.s.</t>
  </si>
  <si>
    <t>zrušena -bez nabídky</t>
  </si>
  <si>
    <t>MANLOMKA s.r.o.</t>
  </si>
  <si>
    <t>Kalibrace a validace měřidel a zařízení - část I. ConWin</t>
  </si>
  <si>
    <t>Kalibrace a validace měřidel a zařízení - část II. Ostatní měřidla</t>
  </si>
  <si>
    <t>Janssen - Cilag s.r.o.</t>
  </si>
  <si>
    <t>Laboratorní chlazené centrifugy - část I. Onkologická klinika</t>
  </si>
  <si>
    <t>Laboratorní chlazené centrifugy - část II. HOK</t>
  </si>
  <si>
    <t>2.2.57.</t>
  </si>
  <si>
    <t>2.3.174.</t>
  </si>
  <si>
    <t>VZ-2016-000554</t>
  </si>
  <si>
    <t>Figurína - simulátor pacienta</t>
  </si>
  <si>
    <t>VZ-2016-000560</t>
  </si>
  <si>
    <t>PERS.</t>
  </si>
  <si>
    <t>Odehnalová</t>
  </si>
  <si>
    <t>Ubytování a služby spojené s výjezdním zasedáním vedoucích zaměstnanců FN Olomouc</t>
  </si>
  <si>
    <t>VZ-2016-000566</t>
  </si>
  <si>
    <t>Stomatologické soupravy</t>
  </si>
  <si>
    <t>VZ-2016-000568</t>
  </si>
  <si>
    <t>Vysokoobrátkové elektrické vrtačky pro NCH</t>
  </si>
  <si>
    <t>55110000-4</t>
  </si>
  <si>
    <t>2.2.27.</t>
  </si>
  <si>
    <t>33192410-9</t>
  </si>
  <si>
    <t>2.3.179.</t>
  </si>
  <si>
    <t>39162200-7</t>
  </si>
  <si>
    <t>2.2.60.</t>
  </si>
  <si>
    <t>Součet z Předpokládaná hodnota VZ bez DPH2</t>
  </si>
  <si>
    <t>VZ-2016-000591</t>
  </si>
  <si>
    <t>Přípravky na podporu imunity pro zaměstnance FNOL</t>
  </si>
  <si>
    <t>33616000-1</t>
  </si>
  <si>
    <t>Green Swan Pharmaceuticals</t>
  </si>
  <si>
    <t>Medtronic Czechia s.r.o.</t>
  </si>
  <si>
    <t>Kalist AKL s.r.o.</t>
  </si>
  <si>
    <t>Basco SK s.r.o.</t>
  </si>
  <si>
    <t>VZ-2016-000596</t>
  </si>
  <si>
    <t>Zřízení komorové lendice v budově WD</t>
  </si>
  <si>
    <t>45454100-5</t>
  </si>
  <si>
    <t>SNĚŽNÍK, a.s.</t>
  </si>
  <si>
    <t>Beneficium Euro Ltd s.r.o.</t>
  </si>
  <si>
    <t xml:space="preserve">zrušeno - k hodnocení zbyla pouze 1 nabídka </t>
  </si>
  <si>
    <t>2.2.18.</t>
  </si>
  <si>
    <t>2.2.25.</t>
  </si>
  <si>
    <t>2.3.110.</t>
  </si>
  <si>
    <t>VZ-2016-000602</t>
  </si>
  <si>
    <t>Dudík</t>
  </si>
  <si>
    <t>Likvidace odpadů z FN Olomouc</t>
  </si>
  <si>
    <t>nerealizováno - bude připravena nová VZ  (VZ-2016-000602)</t>
  </si>
  <si>
    <t>VZ-2016-000603</t>
  </si>
  <si>
    <t>KVAL</t>
  </si>
  <si>
    <t>Cáhliková</t>
  </si>
  <si>
    <t>79212110-7</t>
  </si>
  <si>
    <t>VZ-2016-000604</t>
  </si>
  <si>
    <t>Antimykotika pro systémovou aplikaci II – triazolová 2016 - část I. Flukonazol</t>
  </si>
  <si>
    <t>Antimykotika pro systémovou aplikaci II – triazolová 2016 - část II. Itrakonazol</t>
  </si>
  <si>
    <t>Antimykotika pro systémovou aplikaci II – triazolová 2016 - část III. Vorikonazol</t>
  </si>
  <si>
    <t>Antimykotika pro systémovou aplikaci II – triazolová 2016 - část IV. Posakonazol</t>
  </si>
  <si>
    <t>Antivirotika pro systémuvou aplikaci - antihepatitidová 2016 - část I.</t>
  </si>
  <si>
    <t>Antivirotika pro systémuvou aplikaci - antihepatitidová 2016 - část II.</t>
  </si>
  <si>
    <t>Antivirotika pro systémuvou aplikaci - antihepatitidová 2016 - část III.</t>
  </si>
  <si>
    <t>Antivirotika pro systémuvou aplikaci - antihepatitidová 2016 - část IV.</t>
  </si>
  <si>
    <t>Antivirotika pro systémuvou aplikaci - antihepatitidová 2016 - část V.</t>
  </si>
  <si>
    <t>Antivirotika pro systémuvou aplikaci - antihepatitidová 2016 - část VI.</t>
  </si>
  <si>
    <t>Antivirotika pro systémuvou aplikaci - antihepatitidová 2016 - část VII.</t>
  </si>
  <si>
    <t>Antivirotika pro systémuvou aplikaci - antihepatitidová 2016 - část VIII.</t>
  </si>
  <si>
    <t>Antivirotika pro systémuvou aplikaci - antihepatitidová 2016 - část IX.</t>
  </si>
  <si>
    <t>Antivirotika pro systémuvou aplikaci - antihepatitidová 2016 - část X.</t>
  </si>
  <si>
    <t>Antibakteriální léčiva pro systémovou aplikaci II 2016 - část I. Sulfamethoxazol</t>
  </si>
  <si>
    <t>Antibakteriální léčiva pro systémovou aplikaci II 2016 - část II. Klarithromycin</t>
  </si>
  <si>
    <t>Antibakteriální léčiva pro systémovou aplikaci II 2016 - část III. Azithromycin</t>
  </si>
  <si>
    <t>Antibakteriální léčiva pro systémovou aplikaci II 2016 - část IV. Klindamycin</t>
  </si>
  <si>
    <t>Antibakteriální léčiva pro systémovou aplikaci II 2016 - část V. Tobramycin</t>
  </si>
  <si>
    <t>Antibakteriální léčiva pro systémovou aplikaci II 2016 - část VI. Gentamicin</t>
  </si>
  <si>
    <t>Antibakteriální léčiva pro systémovou aplikaci II 2016 - část VII. Amikacin</t>
  </si>
  <si>
    <t>Spofadental s.r.o.</t>
  </si>
  <si>
    <t>VZ-2016-000384</t>
  </si>
  <si>
    <t>FN Olomouc - obměna Lithotryptoru pro URL</t>
  </si>
  <si>
    <t>2.3.162</t>
  </si>
  <si>
    <t>Trigon Plus s.r.o.</t>
  </si>
  <si>
    <t>VZ-2016-000606</t>
  </si>
  <si>
    <t>Hýža</t>
  </si>
  <si>
    <t>VZ-2016-000619</t>
  </si>
  <si>
    <t>PRÁD</t>
  </si>
  <si>
    <t>Švrdlíková</t>
  </si>
  <si>
    <t>Prací prostředky FNOL</t>
  </si>
  <si>
    <t>VZ-2016-000624</t>
  </si>
  <si>
    <t>SÚ - přemístění laboratoří HOK a oprava kožní kliniky a pracovního lékařství</t>
  </si>
  <si>
    <t>VZ-2016-000632</t>
  </si>
  <si>
    <t>Dodávka pneumatik pro vozidla FNOL</t>
  </si>
  <si>
    <t xml:space="preserve">45215100-8 </t>
  </si>
  <si>
    <t>1.3.7.</t>
  </si>
  <si>
    <t>Jiná antivirotika pro systémovou aplikaci 2017 - část I. Aciklovir</t>
  </si>
  <si>
    <t>Jiná antivirotika pro systémovou aplikaci 2017 - část II. Ganciklovir</t>
  </si>
  <si>
    <t>Jiná antivirotika pro systémovou aplikaci 2017 - část III. Valaciklovir</t>
  </si>
  <si>
    <t>Počet uzavřených smluv</t>
  </si>
  <si>
    <t>VZ-2016-000639</t>
  </si>
  <si>
    <t>Rozšíření a zvýšení propustnosti síťové infrastruktury FNOL fáze II.</t>
  </si>
  <si>
    <t>VZ-2016-000640</t>
  </si>
  <si>
    <t>VZ-2016-000643</t>
  </si>
  <si>
    <t>Videoendoskopický systém</t>
  </si>
  <si>
    <t>2.2.36.</t>
  </si>
  <si>
    <t>VZ-2016-000650</t>
  </si>
  <si>
    <t>SERV</t>
  </si>
  <si>
    <t>VZ-2016-000652</t>
  </si>
  <si>
    <t>Plynový chromatograf s hmotnostním spektrometrem II</t>
  </si>
  <si>
    <t>2.3.122.</t>
  </si>
  <si>
    <t>Stavební úpravy ambulancí Neurologické kliniky</t>
  </si>
  <si>
    <t>VZ-2016-000656</t>
  </si>
  <si>
    <t>45314300-4</t>
  </si>
  <si>
    <t>Foma Medical s.r.o.</t>
  </si>
  <si>
    <t>Gastro Mach s.r.o.</t>
  </si>
  <si>
    <t>TECHNISERV IT spol. s r.o.</t>
  </si>
  <si>
    <t>LaparoTech Instruments s.r.o.</t>
  </si>
  <si>
    <t>DNV GL Business Assurance…</t>
  </si>
  <si>
    <t>Přeložka sdělovacího kabelu MO ČR</t>
  </si>
  <si>
    <t>VZ-2016-000657</t>
  </si>
  <si>
    <t>Servisní služby přístrojů Philips</t>
  </si>
  <si>
    <t>50421000-2</t>
  </si>
  <si>
    <t>Servisní služby přístrojů GE Datex - Ohmeda</t>
  </si>
  <si>
    <t>VZ-2016-000662</t>
  </si>
  <si>
    <t>VZ-2016-000670</t>
  </si>
  <si>
    <t>PD-modernizace jídelny v budově WD</t>
  </si>
  <si>
    <t>Stolní svářečky hadiček krevních vaků pro TO</t>
  </si>
  <si>
    <t>VZ-2016-000674</t>
  </si>
  <si>
    <t>VZ-2016-000672</t>
  </si>
  <si>
    <t>VZ-2016-000675</t>
  </si>
  <si>
    <t>Skříňové chladničky a mrazící boxy pro TO</t>
  </si>
  <si>
    <t>33194210-1</t>
  </si>
  <si>
    <t>2.4.33.;2.4.34.;2.4.35.; 2.4.37.</t>
  </si>
  <si>
    <t>2.4.40.</t>
  </si>
  <si>
    <t xml:space="preserve">42513000-5 </t>
  </si>
  <si>
    <t>Interferony 2017 - část I. Interferon alfa-2a</t>
  </si>
  <si>
    <t>Interferony 2017 - část III. Interferon beta-1a pro intramuskulární aplikaci</t>
  </si>
  <si>
    <t>Interferony 2017 - část II. Interferon beta-1a pro subkutání aplikaci</t>
  </si>
  <si>
    <t>Interferony 2017 - část IV. Interferon beta-1b</t>
  </si>
  <si>
    <t>Interferony 2017 - část V. Peginterferon</t>
  </si>
  <si>
    <t>33696800-3</t>
  </si>
  <si>
    <t>Antibakteriální léčiva pro systémovou aplikaci - beta - laktamová 2016 - I.</t>
  </si>
  <si>
    <t>Antibakteriální léčiva pro systémovou aplikaci - beta - laktamová 2016 - II.</t>
  </si>
  <si>
    <t>Antibakteriální léčiva pro systémovou aplikaci - beta - laktamová 2016 - III.</t>
  </si>
  <si>
    <t>Provádění komplexních servisních služeb - RTG systémy Philips II.</t>
  </si>
  <si>
    <t>VZ-2016-000259</t>
  </si>
  <si>
    <t>VZ-2016-000682</t>
  </si>
  <si>
    <t>Paramagnetické kontrastní látky 2017 - část I.</t>
  </si>
  <si>
    <t>Paramagnetické kontrastní látky 2017 - část II.</t>
  </si>
  <si>
    <t>Paramagnetické kontrastní látky 2017 - část III</t>
  </si>
  <si>
    <t>VZ-2016-000683</t>
  </si>
  <si>
    <t>VZ-2016-000684</t>
  </si>
  <si>
    <t>Vodorozpustné nízkoosmolární a isoosmolární nefrotropní rtg-kontr. látky 2017 - část I.</t>
  </si>
  <si>
    <t>Vodorozpustné nízkoosmolární a isoosmolární nefrotropní rtg-kontr. látky 2017 - část II.</t>
  </si>
  <si>
    <t>Vodorozpustné nízkoosmolární a isoosmolární nefrotropní rtg-kontr. látky 2017 část III:</t>
  </si>
  <si>
    <t>VZ-2016-000685</t>
  </si>
  <si>
    <t>Monitor s defibrilátorem</t>
  </si>
  <si>
    <t>2.2.63.</t>
  </si>
  <si>
    <t>SITEL spol. s r.o.</t>
  </si>
  <si>
    <t>Pojištění pro Fakultní nemocnici Olomouc - část I. Pojištění majetku a odpovědnosti</t>
  </si>
  <si>
    <t>66515200-5</t>
  </si>
  <si>
    <t>Pojištění pro Fakultní nemocnici Olomouc - část II. Pojištění vozidel</t>
  </si>
  <si>
    <t>Pojištění pro Fakultní nemocnici Olomouc - část III.  Pojištění odpovědnosti</t>
  </si>
  <si>
    <t>66516000-0</t>
  </si>
  <si>
    <t>Kooperativa pojišťovna a.s.</t>
  </si>
  <si>
    <t>Česká pojišťovna a.s.</t>
  </si>
  <si>
    <t>MAVA spol. s r.o.</t>
  </si>
  <si>
    <t>Fresenius Kabi s.r.o.</t>
  </si>
  <si>
    <t>Pneucentrum N&amp;N s.r.o.</t>
  </si>
  <si>
    <t>???</t>
  </si>
  <si>
    <t>Gatebo s.r.o.</t>
  </si>
  <si>
    <t>VZ-2017-000008</t>
  </si>
  <si>
    <t>Úprava prostor laboratoře pro neimplantační diagnostiku</t>
  </si>
  <si>
    <t>VZ-2017-000011</t>
  </si>
  <si>
    <t>Úprava prostor KNM - radiofarmaceutická laboratoř</t>
  </si>
  <si>
    <t>VZ-2017-000016</t>
  </si>
  <si>
    <t>Videoendoskopický systém II.</t>
  </si>
  <si>
    <t>1.2.45./16</t>
  </si>
  <si>
    <t>1.2.46./16</t>
  </si>
  <si>
    <t>2.2.36./16</t>
  </si>
  <si>
    <t>ELZAR</t>
  </si>
  <si>
    <t>Žůrek</t>
  </si>
  <si>
    <t>Automatický vjezdový systém</t>
  </si>
  <si>
    <t>34923000-3</t>
  </si>
  <si>
    <t>4.3.1.</t>
  </si>
  <si>
    <t>Vytvoření smažícího úseku ve varně II.</t>
  </si>
  <si>
    <t>Antimykotika pro systémovou aplikaci II – triazolová 2017 - část I. Flukonazol</t>
  </si>
  <si>
    <t>Antimykotika pro systémovou aplikaci II – triazolová 2017 - část II. Itrakonazol</t>
  </si>
  <si>
    <t>Antimykotika pro systémovou aplikaci II – triazolová 2017 - část III. Vorikonazol</t>
  </si>
  <si>
    <t>Antimykotika pro systémovou aplikaci II – triazolová 2017 - část IV. Posakonazol</t>
  </si>
  <si>
    <t>Antibakteriální léčiva pro systémovou aplikaci II 2017 - část I. Sulfamethoxazol</t>
  </si>
  <si>
    <t>Antibakteriální léčiva pro systémovou aplikaci II 2017 - část II. Klarithromycin</t>
  </si>
  <si>
    <t>Antibakteriální léčiva pro systémovou aplikaci II 2017 - část III. Azithromycin</t>
  </si>
  <si>
    <t>Antibakteriální léčiva pro systémovou aplikaci II 2017 - část IV. Klindamycin</t>
  </si>
  <si>
    <t>Antibakteriální léčiva pro systémovou aplikaci II 2017 - část V. Tobramycin</t>
  </si>
  <si>
    <t>Antibakteriální léčiva pro systémovou aplikaci II 2017 - část VI. Gentamicin</t>
  </si>
  <si>
    <t>Antibakteriální léčiva pro systémovou aplikaci II 2017 - část VII. Amikacin</t>
  </si>
  <si>
    <t>Jiná antivirotika pro systémovou aplikaci 2017 - část V. Oseltamivir</t>
  </si>
  <si>
    <t>Jiná antivirotika pro systémovou aplikaci 2017 - část VI. Inosin pranobex</t>
  </si>
  <si>
    <t>Jiná antivirotika pro systémovou aplikaci 2017 - část IV. Valganciklovir</t>
  </si>
  <si>
    <t>Bruker s.r.o.</t>
  </si>
  <si>
    <t>Philips ČR  s.r.o.</t>
  </si>
  <si>
    <t>VZ-2017-000037</t>
  </si>
  <si>
    <t>VZ-2017-000022</t>
  </si>
  <si>
    <t>VZ-2017-000019</t>
  </si>
  <si>
    <t>VZ-2017-000047</t>
  </si>
  <si>
    <t>VZ-2017-000048</t>
  </si>
  <si>
    <t>FN Olomouc - úprava prostor KNM (Stíněné skříně)</t>
  </si>
  <si>
    <t>FN Olomouc - úprava prostor KNM (Centrifuga)</t>
  </si>
  <si>
    <t>2.2.43/16 2.3.133/16</t>
  </si>
  <si>
    <t>2.2.52/16</t>
  </si>
  <si>
    <t>VZ-2017-000054</t>
  </si>
  <si>
    <t>VZ-2017-000055</t>
  </si>
  <si>
    <t>FN Olomouc - úprava prostor KNM (radiofarmaceutická laboratoř) - Přístrojové vybavení</t>
  </si>
  <si>
    <t>2.3.130/16 2.3.131/16</t>
  </si>
  <si>
    <t>38341600-3</t>
  </si>
  <si>
    <t>2.3.132; 2.2.50; 2.3.134; 2.2.44;2.2.48; 2.2.49; 2.2.51/2016</t>
  </si>
  <si>
    <t>VZ-2017-000063</t>
  </si>
  <si>
    <t>Diagnostika pro vyšetření krevního obrazu a výpůjčka hematologické linky</t>
  </si>
  <si>
    <t>33696500-0</t>
  </si>
  <si>
    <t>Cheirón a.s.</t>
  </si>
  <si>
    <t>Skříňové chladničky a mrazící boxy pro TO - část I.</t>
  </si>
  <si>
    <t>Skříňové chladničky a mrazící boxy pro TO - část II.</t>
  </si>
  <si>
    <t>VZ-2017-000058</t>
  </si>
  <si>
    <t>Solovská</t>
  </si>
  <si>
    <t>Komplexní IS dispečinku zdravotní služby</t>
  </si>
  <si>
    <t>48810000-9</t>
  </si>
  <si>
    <t>VZ-2017-000069</t>
  </si>
  <si>
    <t xml:space="preserve">33731110-7 </t>
  </si>
  <si>
    <t>VZ-2017-000076</t>
  </si>
  <si>
    <t>Vytvoření smažícího úseku ve varně III.</t>
  </si>
  <si>
    <t>4.1.9. 2016</t>
  </si>
  <si>
    <t>VZ-2017-000077</t>
  </si>
  <si>
    <t>Ultrazvukové didagnostické přístroje - I. Interní klinika</t>
  </si>
  <si>
    <t>Ultrazvukové didagnostické přístroje - II. Interní klinika</t>
  </si>
  <si>
    <t>Ultrazvukové didagnostické přístroje - Onkologická klinika</t>
  </si>
  <si>
    <t>Tiskárna na potisk histologických kazet</t>
  </si>
  <si>
    <t>VZ-2017-000089</t>
  </si>
  <si>
    <t>Poskytování servisních služeb na spektrometr Maldi Biotyper</t>
  </si>
  <si>
    <t>VZ-2017-000090</t>
  </si>
  <si>
    <t>Poskytování servisních služeb u sterilizátorů FNOL</t>
  </si>
  <si>
    <t>VZ-2017-000091</t>
  </si>
  <si>
    <t>Poskytování servisních služeb u produktů výrobce Linet</t>
  </si>
  <si>
    <t>2.3.101.</t>
  </si>
  <si>
    <t>2.2.59.</t>
  </si>
  <si>
    <t>2.2.61.</t>
  </si>
  <si>
    <t>Havlíček</t>
  </si>
  <si>
    <t>Poskytování účetního a daňového poradenství</t>
  </si>
  <si>
    <t>79221000-9</t>
  </si>
  <si>
    <t>ViaPharma s.r.o.</t>
  </si>
  <si>
    <t>Medesa s.r.o.</t>
  </si>
  <si>
    <t>Hospimed spol. s r.o.</t>
  </si>
  <si>
    <t xml:space="preserve">servis </t>
  </si>
  <si>
    <t>VZ-2017-000103</t>
  </si>
  <si>
    <t>Bayer s.r.o.</t>
  </si>
  <si>
    <t>Medisap s.r.o.</t>
  </si>
  <si>
    <t>Bracco Imaging s.r.o.</t>
  </si>
  <si>
    <t>Ivo Bolcek</t>
  </si>
  <si>
    <t>VZ-2017-000113</t>
  </si>
  <si>
    <t>VZ-2017-000109</t>
  </si>
  <si>
    <t>Laboratorní rozvody vod</t>
  </si>
  <si>
    <t>71900000-7</t>
  </si>
  <si>
    <t>VZ-2017-000112</t>
  </si>
  <si>
    <t>Zavedení systému managementu hospodaření s energií</t>
  </si>
  <si>
    <t>Laser pro endobronchiální léčbu</t>
  </si>
  <si>
    <t>2.3.187.</t>
  </si>
  <si>
    <t>VZ-2017-000117</t>
  </si>
  <si>
    <t>VZ-2017-000118</t>
  </si>
  <si>
    <t>VZ-2017-000119</t>
  </si>
  <si>
    <t>Rozmrazovač krevní plazmy</t>
  </si>
  <si>
    <t>Redukční ventily kyslíku, regulátory podtlaku,průtokoměry kyslíku a zvlhčovače</t>
  </si>
  <si>
    <t>33182600-9</t>
  </si>
  <si>
    <t>2.3.268</t>
  </si>
  <si>
    <t>Oční bezkontaktní tonometr</t>
  </si>
  <si>
    <t>3312200-1</t>
  </si>
  <si>
    <t>2.3.204</t>
  </si>
  <si>
    <t>42131141-6</t>
  </si>
  <si>
    <t>VZ-2017-000124</t>
  </si>
  <si>
    <t>Úprava prostor v budově WF</t>
  </si>
  <si>
    <t>45453000-7</t>
  </si>
  <si>
    <t>VZ-2017-000125</t>
  </si>
  <si>
    <t>Rekonstrukce výdejny léků v budově A</t>
  </si>
  <si>
    <t>PD-rekonstrukce 5NP-1CHIR a JIP a sálů HDS J2-3IK - část I. CHIR</t>
  </si>
  <si>
    <t>PD-rekonstrukce 5NP-1CHIR a JIP a sálů HDS J2-3IK - část II. 3IK</t>
  </si>
  <si>
    <t>VZ-2017-000131</t>
  </si>
  <si>
    <t>Benešová</t>
  </si>
  <si>
    <t>Smažící pánev a blixer - část I. Smažící pánev</t>
  </si>
  <si>
    <t>Smažící pánev a blixer - část II. Blixer</t>
  </si>
  <si>
    <t>4.2.8.</t>
  </si>
  <si>
    <t>4.2.10.</t>
  </si>
  <si>
    <t>VZ-2017-000132</t>
  </si>
  <si>
    <t>Transportní tabletové vozíky,tablety a nádobí</t>
  </si>
  <si>
    <t>4.2.9.</t>
  </si>
  <si>
    <t>VZ-2017-000133</t>
  </si>
  <si>
    <t>Nákladní vozidlo na CNG</t>
  </si>
  <si>
    <t>4.2.1.</t>
  </si>
  <si>
    <t>VZ-2017-000134</t>
  </si>
  <si>
    <t>KOMSTYL</t>
  </si>
  <si>
    <t>79800000-2</t>
  </si>
  <si>
    <t>CGB Consult s.r.o.</t>
  </si>
  <si>
    <t>BioVendor-Laboratorní medicína</t>
  </si>
  <si>
    <t>VZ-2017-000143</t>
  </si>
  <si>
    <t>Neudorflörová</t>
  </si>
  <si>
    <t>IROP</t>
  </si>
  <si>
    <t>Lůžka - část I. Resuscitační lůžka s váhou a bez váhy</t>
  </si>
  <si>
    <t>Lůžka - část II. Standardní lůžka</t>
  </si>
  <si>
    <t>2.3.254.</t>
  </si>
  <si>
    <t>2.3.255.;2.3.256</t>
  </si>
  <si>
    <t>79212200-5</t>
  </si>
  <si>
    <t>VZ-2017-000153</t>
  </si>
  <si>
    <t>Jednotka NIP a DIOP v 5.NP budovy D2 - projektová dokumentace</t>
  </si>
  <si>
    <t xml:space="preserve">71000000-8 </t>
  </si>
  <si>
    <t>1.3.10.</t>
  </si>
  <si>
    <t>VZ-2017-000154</t>
  </si>
  <si>
    <t xml:space="preserve">34114110-3 </t>
  </si>
  <si>
    <t>VZ-2017-000155</t>
  </si>
  <si>
    <t>Úpravy prostor v budově WF II</t>
  </si>
  <si>
    <t>Linet s.r.o.</t>
  </si>
  <si>
    <t>Stavitelství Pospíšil</t>
  </si>
  <si>
    <t>NUVIA a.s.</t>
  </si>
  <si>
    <t>VZ-2017-000162</t>
  </si>
  <si>
    <t>Přístroje na měření vydechovaného oxidu dusnatého</t>
  </si>
  <si>
    <t>33195110-7</t>
  </si>
  <si>
    <t>2.3.248.; 2.2.70.</t>
  </si>
  <si>
    <t>Pořízení sanitních vozidel - část I. Sanitní vozidla DNR typu A2</t>
  </si>
  <si>
    <t>Pořízení sanitních vozidel - část II. Sanitní ambulance ZS typu B</t>
  </si>
  <si>
    <t>4.2.3.</t>
  </si>
  <si>
    <t>4.2.2.</t>
  </si>
  <si>
    <t>Intergraf, s.r.o.</t>
  </si>
  <si>
    <t>TREFA s.r.o.</t>
  </si>
  <si>
    <t>VIVACOM s.r.o.</t>
  </si>
  <si>
    <t>CMI s.r.o.</t>
  </si>
  <si>
    <t>VZ-2017-000169</t>
  </si>
  <si>
    <t>PD-rekonstrukce 6NP-1CHIR</t>
  </si>
  <si>
    <t>VZ-2017-000170</t>
  </si>
  <si>
    <t>PD-rekonstrukce velínů JIP a sálů HDS J2-3IK</t>
  </si>
  <si>
    <t>Multi CZ s.r.o.</t>
  </si>
  <si>
    <t>VZ-2017-000179</t>
  </si>
  <si>
    <t>2.3.251.; 2.3.252.</t>
  </si>
  <si>
    <t>2.3.225</t>
  </si>
  <si>
    <t>Antivirotika pro systémovou aplikaci - antihepatitidová 2016 - část I.</t>
  </si>
  <si>
    <t>Antivirotika pro systémovou aplikaci - antihepatitidová 2016 - část II.</t>
  </si>
  <si>
    <t>Antivirotika pro systémovou aplikaci - antihepatitidová 2016 - část III.</t>
  </si>
  <si>
    <t>Antivirotika pro systémovou aplikaci - antihepatitidová 2016 - část IV.</t>
  </si>
  <si>
    <t>Antivirotika pro systémovou aplikaci - antihepatitidová 2016 - část V.</t>
  </si>
  <si>
    <t>Antivirotika pro systémovou aplikaci - antihepatitidová 2016 - část VI.</t>
  </si>
  <si>
    <t>Antivirotika pro systémovou aplikaci - antihepatitidová 2016 - část VII.</t>
  </si>
  <si>
    <t>Antivirotika pro systémovou aplikaci - antihepatitidová 2016 - část VIII.</t>
  </si>
  <si>
    <t>Antivirotika pro systémovou aplikaci - antihepatitidová 2016 - část IX.</t>
  </si>
  <si>
    <t>Antivirotika pro systémovou aplikaci - antihepatitidová 2016 - část X.</t>
  </si>
  <si>
    <t>VZ-2017-000184</t>
  </si>
  <si>
    <t>PPS KANIA s.r.o.</t>
  </si>
  <si>
    <t>VZ-2017-000183</t>
  </si>
  <si>
    <t>VZ-2017-000193</t>
  </si>
  <si>
    <t>45442100-8</t>
  </si>
  <si>
    <t>VZ-2017-000194</t>
  </si>
  <si>
    <t>Miklík</t>
  </si>
  <si>
    <t>IT</t>
  </si>
  <si>
    <t>Podpora chodu provozované sítě, centrální správa IP adresního prostoru</t>
  </si>
  <si>
    <t>VZ-2017-000195</t>
  </si>
  <si>
    <t>Rekonstrukce výdejny léků v budově A II</t>
  </si>
  <si>
    <t>VZ-2017-000197</t>
  </si>
  <si>
    <t>VZ-2017-000206</t>
  </si>
  <si>
    <t>VZ-2017-000210</t>
  </si>
  <si>
    <t>Nákladní vozidlo na CNG II.</t>
  </si>
  <si>
    <t>VZ-2017-000214</t>
  </si>
  <si>
    <t>VZ-2017-000215</t>
  </si>
  <si>
    <t>OPRAV</t>
  </si>
  <si>
    <t>45333000-0</t>
  </si>
  <si>
    <t>4.2.44.,4.2.45.,4.2.42.,4.2.43.</t>
  </si>
  <si>
    <t>Interferony II 2017 - část I. Interferon alfa - 2a</t>
  </si>
  <si>
    <t>Interferony II 2017 - část II. Peginterferon alfa</t>
  </si>
  <si>
    <t>Interferony II 2017 - část III. Peginterferon beta - 1a</t>
  </si>
  <si>
    <t>Imatinib 2017 - část I. Imatinib pro indikaci GIST</t>
  </si>
  <si>
    <t>Imatinib 2017 - část II. Imatinib pro indikaci CML - u dospělých i dětských pacientů</t>
  </si>
  <si>
    <t>Monoklonální protilátky II. 2016 - III. Obinituzumab</t>
  </si>
  <si>
    <t>odstoupení od smlouvy</t>
  </si>
  <si>
    <t>VZ-2017-000224</t>
  </si>
  <si>
    <t>Oprava hygienických zařízení v budově C - Novorozenecké oddělení</t>
  </si>
  <si>
    <t>VZ-2017-000205</t>
  </si>
  <si>
    <t>PD - Přístavba objektu "P" pro ambulance a stacionář HOK</t>
  </si>
  <si>
    <t>VZ-2017-000234</t>
  </si>
  <si>
    <t>Dodání a instalace chlazení - VRV systémy</t>
  </si>
  <si>
    <t>90500000-2</t>
  </si>
  <si>
    <t xml:space="preserve">42513290-4 </t>
  </si>
  <si>
    <t>4.2.29.-4.2.32.</t>
  </si>
  <si>
    <t>Konsolidace systémů pro zpracování obrazových dat</t>
  </si>
  <si>
    <t>48814000-7</t>
  </si>
  <si>
    <t>zrušeno -  ani jedna nabídka</t>
  </si>
  <si>
    <t>ENSYTRA s.r.o.</t>
  </si>
  <si>
    <t xml:space="preserve">VDI Metros </t>
  </si>
  <si>
    <t>ZENA-R spol. s r.o.</t>
  </si>
  <si>
    <t>GATLIN s.r.o.</t>
  </si>
  <si>
    <t>Ing.arch. Jan Dohnal</t>
  </si>
  <si>
    <t>Rozvody medicinálních plynů</t>
  </si>
  <si>
    <t>Canberra Packard s.r.o.</t>
  </si>
  <si>
    <t>Agrotec a.s.</t>
  </si>
  <si>
    <t>VZ-2017-000244</t>
  </si>
  <si>
    <t>VZ-2017-000252</t>
  </si>
  <si>
    <t>VZ-2017-000253</t>
  </si>
  <si>
    <t>Sterilizátory</t>
  </si>
  <si>
    <t>33191100-6</t>
  </si>
  <si>
    <t>VZ-2017-000255</t>
  </si>
  <si>
    <t>Mobiliář</t>
  </si>
  <si>
    <t>VZ-2017-000257</t>
  </si>
  <si>
    <t>Poskytování servisních služeb u defibrilátorů, EKG, TK holterů a systémů pro komprese hrudníku ve FNOL</t>
  </si>
  <si>
    <t>VZ-2017-000258</t>
  </si>
  <si>
    <t>Poskytování servisních služeb u horkovzdušných sterilizátorů</t>
  </si>
  <si>
    <t>VZ-2017-000260</t>
  </si>
  <si>
    <t>VZ-2017-000261</t>
  </si>
  <si>
    <t>VZ-2017-000262</t>
  </si>
  <si>
    <t>PD - dochlazení budov D2 a I</t>
  </si>
  <si>
    <t>4.2.34.;4.2.35.</t>
  </si>
  <si>
    <t>VZ-2017-000272</t>
  </si>
  <si>
    <t>Stolařské práce ve FNOL 2017</t>
  </si>
  <si>
    <t>Podlahařské práce ve FNOL</t>
  </si>
  <si>
    <t>45430000-0</t>
  </si>
  <si>
    <t>VZ-2017-000277</t>
  </si>
  <si>
    <t>Servis a opravy automatizovaných dveří ve FNOL</t>
  </si>
  <si>
    <t>71320000-7</t>
  </si>
  <si>
    <t>45432110-8</t>
  </si>
  <si>
    <t>Reagencie pro vyšetření a separaci spermií 2017 - část I.</t>
  </si>
  <si>
    <t>Reagencie pro vyšetření a separaci spermií 2017 - část II.</t>
  </si>
  <si>
    <t>VZ-2017-000278</t>
  </si>
  <si>
    <t>Měřící stanice pro měření aktvity radiofarmak</t>
  </si>
  <si>
    <t xml:space="preserve">38000000-5 </t>
  </si>
  <si>
    <t>Biohem spol. s r.o.</t>
  </si>
  <si>
    <t>Pentagen s.r.o.</t>
  </si>
  <si>
    <t>VZ-2017-000280</t>
  </si>
  <si>
    <t xml:space="preserve">Operační mikroskop </t>
  </si>
  <si>
    <t>VZ-2017-000282</t>
  </si>
  <si>
    <t>Gottwald</t>
  </si>
  <si>
    <t>Modernizace jídelny v budově WD</t>
  </si>
  <si>
    <t>1.3.9.</t>
  </si>
  <si>
    <t>2.3.203.</t>
  </si>
  <si>
    <t>Stavnemo</t>
  </si>
  <si>
    <t>VZ-2017-000298</t>
  </si>
  <si>
    <t>2.3.175.;2.3.176.</t>
  </si>
  <si>
    <t>Poskytování servisních služeb u parních sterilizátorů</t>
  </si>
  <si>
    <t>VZ-2017-000299</t>
  </si>
  <si>
    <t>Rekonstrukce výdejny léků III</t>
  </si>
  <si>
    <t>1.2.50.</t>
  </si>
  <si>
    <t>VZ-2017-000300</t>
  </si>
  <si>
    <t>Oprava hygienických zařízení v budově C - Novorozenecké oddělení II</t>
  </si>
  <si>
    <t>Oprava lůžkových ramp, stativů a mostů - část I. Daniševský</t>
  </si>
  <si>
    <t>Oprava lůžkových ramp, stativů a mostů - část II. TRUMPF</t>
  </si>
  <si>
    <t>VZ-2017-000301</t>
  </si>
  <si>
    <t>BOZP</t>
  </si>
  <si>
    <t>Kotzot</t>
  </si>
  <si>
    <t>Kontrola EPS s ústřednou ESSER</t>
  </si>
  <si>
    <t>Zdravotní ústav v Ostravě</t>
  </si>
  <si>
    <t xml:space="preserve">50413200-5 </t>
  </si>
  <si>
    <t>VZ-2017-000305</t>
  </si>
  <si>
    <t>Instalace a výměna chladících jednotek</t>
  </si>
  <si>
    <t>4.2.36; 4.2.37</t>
  </si>
  <si>
    <t>VZ-2017-000317</t>
  </si>
  <si>
    <t xml:space="preserve">30231310-3 </t>
  </si>
  <si>
    <t>JeS Interier Jevgenij Salašnyj</t>
  </si>
  <si>
    <t>2018 výpověď servisní smlouvy</t>
  </si>
  <si>
    <t>Poskytování servisních služeb na stomatologické soupravy ve FNOL</t>
  </si>
  <si>
    <t>VZ-2017-000320</t>
  </si>
  <si>
    <t>Filtrační prvky 2017</t>
  </si>
  <si>
    <t>Ing. Zdeněk Smolka</t>
  </si>
  <si>
    <t>První chráněnná dílna</t>
  </si>
  <si>
    <t>Adam Rujbr Architects s.r.o.</t>
  </si>
  <si>
    <t>Servis a opravy automatizovaných dveří ve FNOL II</t>
  </si>
  <si>
    <t>VZ-2017-000332</t>
  </si>
  <si>
    <t>VZ-2017-000336</t>
  </si>
  <si>
    <t>50750000-7</t>
  </si>
  <si>
    <t>VZ-2017-000344</t>
  </si>
  <si>
    <t>Urbiš</t>
  </si>
  <si>
    <t>Rekonstrukce komína na centrální kotelně</t>
  </si>
  <si>
    <t>4.2.17.</t>
  </si>
  <si>
    <t>45262610-0</t>
  </si>
  <si>
    <t>Servis výtahů FNOL - TENDERMARKET</t>
  </si>
  <si>
    <t>Monitory FNOL 2017 - TENDERMARKET</t>
  </si>
  <si>
    <t>Climart</t>
  </si>
  <si>
    <t>Alcon Pharmaceuticals</t>
  </si>
  <si>
    <t>servis</t>
  </si>
  <si>
    <t>VZ-2017-000350</t>
  </si>
  <si>
    <t>EKG se zapisovačem pro FN Olomouc</t>
  </si>
  <si>
    <t>viz. IP</t>
  </si>
  <si>
    <t>VZ-2017-000352</t>
  </si>
  <si>
    <t>33182210-4</t>
  </si>
  <si>
    <t>2.3.243.</t>
  </si>
  <si>
    <t>VZ-2017-000357</t>
  </si>
  <si>
    <t>Úprava hygienických zařízení-odd. 19B v budově C</t>
  </si>
  <si>
    <t>Thermo spol. s r.o.</t>
  </si>
  <si>
    <t>Automatické systémy pro Ústav mikrobiologie FNOL - část I.</t>
  </si>
  <si>
    <t>Automatické systémy pro Ústav mikrobiologie FNOL - část II.</t>
  </si>
  <si>
    <t>Becton Dickinson Czechia s.r.o.</t>
  </si>
  <si>
    <t>AKC konstrukce s.r.o.</t>
  </si>
  <si>
    <t>VZ-2017-000367</t>
  </si>
  <si>
    <t>Poskytování služeb technické podpory a servisu</t>
  </si>
  <si>
    <t xml:space="preserve">72261000-2 </t>
  </si>
  <si>
    <t>VZ-2017-000369</t>
  </si>
  <si>
    <t>Prodloužení a nákup Microsoft licencí v rámci Enterprise Agreement</t>
  </si>
  <si>
    <t>VZ-2017-000370</t>
  </si>
  <si>
    <t>Poskytování servisních služeb na stomatologické soupravy ve FNOL II.</t>
  </si>
  <si>
    <t>VZ-2017-000353</t>
  </si>
  <si>
    <t xml:space="preserve">ZT </t>
  </si>
  <si>
    <t>Laboratorní centrifugy</t>
  </si>
  <si>
    <t>2.3.227.;2.3.201.;2.3.226.;2.3.192.</t>
  </si>
  <si>
    <t>VZ-2017-000358</t>
  </si>
  <si>
    <t>Úpravy Kliniky ÚČOCH v budově R</t>
  </si>
  <si>
    <t>PERFECTED s.r.o.</t>
  </si>
  <si>
    <t>VZ-2017-000377</t>
  </si>
  <si>
    <t>Dovybavení endoskopické věže Einstein</t>
  </si>
  <si>
    <t>2.2.37;2.2.38;2.2.39</t>
  </si>
  <si>
    <t>Dvoudutinové a jednodutinové externí kardiostimulátory</t>
  </si>
  <si>
    <t>VZ-2017-000380</t>
  </si>
  <si>
    <t>Odběrová křesla</t>
  </si>
  <si>
    <t>VZ-2017-000378</t>
  </si>
  <si>
    <t>VZ-2017-000379</t>
  </si>
  <si>
    <t>Elektromyografický přístroj</t>
  </si>
  <si>
    <t xml:space="preserve">33121300-7 </t>
  </si>
  <si>
    <t>2.3.244.</t>
  </si>
  <si>
    <t>Vrtačka pro kostní chirurgii</t>
  </si>
  <si>
    <t>2.3.250.</t>
  </si>
  <si>
    <t>VZ-2017-000385</t>
  </si>
  <si>
    <t>Přístroje na měření vydechovaného oxidu dusnatého II.</t>
  </si>
  <si>
    <t>2.3.248.;2.2.70.</t>
  </si>
  <si>
    <t>VZ-2017-000398</t>
  </si>
  <si>
    <t>Automatický vjezdový systém II.</t>
  </si>
  <si>
    <t>Antianemika 2017 - část II. Darbopoetin alfa</t>
  </si>
  <si>
    <t>Antianemika 2017 - část III. Pegepoetin beta</t>
  </si>
  <si>
    <t>VZ-2017-000397</t>
  </si>
  <si>
    <t>39711100-0</t>
  </si>
  <si>
    <t>2.2.101-103,228-231,</t>
  </si>
  <si>
    <t>VZ-2017-000399</t>
  </si>
  <si>
    <t>KS Klima - Service a.s.</t>
  </si>
  <si>
    <t>Spirit Medical spol. s r.o.</t>
  </si>
  <si>
    <t>Laser pro endobronchiální léčbu II</t>
  </si>
  <si>
    <t>VZ-2017-000408</t>
  </si>
  <si>
    <t>VZ-2017-000411</t>
  </si>
  <si>
    <t>Rekonstrukce hygienických zařízení na 29A a 29B</t>
  </si>
  <si>
    <t>VZ-2017-000412</t>
  </si>
  <si>
    <t>Servery pro bezpečnostní infrastrukturu</t>
  </si>
  <si>
    <t>3.2.19.</t>
  </si>
  <si>
    <t>VZ-2017-000414</t>
  </si>
  <si>
    <t>Rekonstrukce výtahů FNOL 2017</t>
  </si>
  <si>
    <t>4.2.47.;4.2.48.</t>
  </si>
  <si>
    <t>Schafferová s.r.o.</t>
  </si>
  <si>
    <t>VZ-2017-000417</t>
  </si>
  <si>
    <t>Výměna lůžkových ramp</t>
  </si>
  <si>
    <t>VZ-2017-000421</t>
  </si>
  <si>
    <t>Rekonstrukce parního hospodářství</t>
  </si>
  <si>
    <t>VZ-2017-000422</t>
  </si>
  <si>
    <t xml:space="preserve">42416100-6 </t>
  </si>
  <si>
    <t>2.3.183.;2.3.217.</t>
  </si>
  <si>
    <t>4.2.40.</t>
  </si>
  <si>
    <t>42163000-9</t>
  </si>
  <si>
    <t>4.1.17.</t>
  </si>
  <si>
    <t>33190000-8</t>
  </si>
  <si>
    <t>Liftmont s.r.o.</t>
  </si>
  <si>
    <t>4.3.5.</t>
  </si>
  <si>
    <t>VZ-2017-000424</t>
  </si>
  <si>
    <t>VZ-2017-000425</t>
  </si>
  <si>
    <t>Rekonstrukce hygienických zařízení-Neurologická klinika</t>
  </si>
  <si>
    <t>Rekonstrukce hygienických zařízení na 1. Chirurgické klinice - odd. 9</t>
  </si>
  <si>
    <t>4.3.4.</t>
  </si>
  <si>
    <t>4.2.11.</t>
  </si>
  <si>
    <t>Assa Abloy s.r.o.</t>
  </si>
  <si>
    <t>B. Braun Medical  s.r.o.</t>
  </si>
  <si>
    <t>CHIS, s.r.o.</t>
  </si>
  <si>
    <t>VZ-2017-000427</t>
  </si>
  <si>
    <t>Analýza speciálních proteinů 2017</t>
  </si>
  <si>
    <t>VZ-2017-000429</t>
  </si>
  <si>
    <t>Výměna hořáku plynového kotle</t>
  </si>
  <si>
    <t>Hyža</t>
  </si>
  <si>
    <t>Allien Technik s.r.o.</t>
  </si>
  <si>
    <t>ASCOMED s.r.o.</t>
  </si>
  <si>
    <t>VZ-2017-000435</t>
  </si>
  <si>
    <t>VZ-2017-000437</t>
  </si>
  <si>
    <t>Stolní počítače FNOL 2017</t>
  </si>
  <si>
    <t>51135100-8</t>
  </si>
  <si>
    <t>4.2.18.</t>
  </si>
  <si>
    <t>2.2.88, 2.3.195, 2.3.200, 2.3.205, 2.3.212, 2.3.232, 2.3.236, 2.3.240, 2.3.242, 2.3.246, 2.3.277</t>
  </si>
  <si>
    <t>VZ-2017-000446</t>
  </si>
  <si>
    <t>RTG přístroje</t>
  </si>
  <si>
    <t xml:space="preserve">33111000-1 </t>
  </si>
  <si>
    <t>2.3.264.</t>
  </si>
  <si>
    <t>2.3.263.</t>
  </si>
  <si>
    <t>2.3.257</t>
  </si>
  <si>
    <t>VZ-2017-000460</t>
  </si>
  <si>
    <t>VZ-2017-000461</t>
  </si>
  <si>
    <t>Konektor bezjehlový 2017</t>
  </si>
  <si>
    <t>A-Z stavby s.r.o.</t>
  </si>
  <si>
    <t>Mediso Art s.r.o.</t>
  </si>
  <si>
    <t>VZ-2017-000463</t>
  </si>
  <si>
    <t>Elektrokoagulační bipolární přístroj s argonovou jednotkou</t>
  </si>
  <si>
    <t>33116100-6</t>
  </si>
  <si>
    <t>2.3.196.</t>
  </si>
  <si>
    <t>OR-CZ spol. s r.o.</t>
  </si>
  <si>
    <t>VZ-2017-000465</t>
  </si>
  <si>
    <t>PCR termocyklery</t>
  </si>
  <si>
    <t>2.3.278</t>
  </si>
  <si>
    <t>2.2.99.</t>
  </si>
  <si>
    <t>VZ-2017-000484</t>
  </si>
  <si>
    <t>FN Olomouc - pořízení O-arm pro NCHIR</t>
  </si>
  <si>
    <t>Laboratorní chladnice, mrazáky a hlubokomrazící boxy - I. Chladnice</t>
  </si>
  <si>
    <t>Laboratorní chladnice, mrazáky a hlubokomrazící boxy - II. Mrazáky</t>
  </si>
  <si>
    <t>Laboratorní chladnice, mrazáky a hlubokomrazící boxy - III. Mrazící boxy</t>
  </si>
  <si>
    <t>VZ-2017-000490</t>
  </si>
  <si>
    <t>Ultrazvukový chirurgický aspirátor</t>
  </si>
  <si>
    <t>2.3.208.</t>
  </si>
  <si>
    <t>VZ-2017-000491</t>
  </si>
  <si>
    <t>Vrtačka pro kostní chirurgii II</t>
  </si>
  <si>
    <t>VZ-2017-000494</t>
  </si>
  <si>
    <t>Dodávka a instalace chlazení VRV - budova D2</t>
  </si>
  <si>
    <t>4.2.34.</t>
  </si>
  <si>
    <t>VZ-2017-000495</t>
  </si>
  <si>
    <t>Bosch Termotechnika s.r.o.</t>
  </si>
  <si>
    <t>SCHIFF und STERN, spol. s r.o.</t>
  </si>
  <si>
    <t>Nitrooční čočky II.</t>
  </si>
  <si>
    <t>VZ-2017-000498</t>
  </si>
  <si>
    <t>Kolposkopy s integrovanou videokamerou</t>
  </si>
  <si>
    <t>33164100-8</t>
  </si>
  <si>
    <t>2.2.71.</t>
  </si>
  <si>
    <t>PD - zřízení parkoviště OA pod DK a u lékárny FNOL -  část I.</t>
  </si>
  <si>
    <t>PD - zřízení parkoviště OA pod DK a u lékárny FNOL - část II.</t>
  </si>
  <si>
    <t xml:space="preserve"> 1.3.17.</t>
  </si>
  <si>
    <t>1.3.16.</t>
  </si>
  <si>
    <t>ISPROFIN</t>
  </si>
  <si>
    <t>VZ-2017-000509</t>
  </si>
  <si>
    <t>Operační světla</t>
  </si>
  <si>
    <t>33167000-8</t>
  </si>
  <si>
    <t>2.3.261.</t>
  </si>
  <si>
    <t>VZ-2017-000510</t>
  </si>
  <si>
    <t>VZ-2017-000514</t>
  </si>
  <si>
    <t>Informační systém pro vyvolávání a objednávání pacientů</t>
  </si>
  <si>
    <t>2.3.218</t>
  </si>
  <si>
    <t>3.2.14.</t>
  </si>
  <si>
    <t>Olympus Czech Rep.</t>
  </si>
  <si>
    <t>Antianemika 2017 - část I. Epoetin alfa</t>
  </si>
  <si>
    <t>Elektropráce Spáčil s.r.o.</t>
  </si>
  <si>
    <t>Počet VZ - vypsaných, připravovaných</t>
  </si>
  <si>
    <t>VZ-2017-000508</t>
  </si>
  <si>
    <t>Rekonstrukce HDS, úprava velínů, vstupu a imobilní WC na 3IK</t>
  </si>
  <si>
    <t>4.3.3.</t>
  </si>
  <si>
    <t>Rekonstrukce osvětlení ve spisovém archívu pevnůstka</t>
  </si>
  <si>
    <t>4.1.33.</t>
  </si>
  <si>
    <t>VZ-2017-000515</t>
  </si>
  <si>
    <t>MZ Liberec a.s.</t>
  </si>
  <si>
    <t>Biotronik Praha spol.s  r.o.</t>
  </si>
  <si>
    <t>Skiaskopicko-skiagrafický RTG přístroj a skiagrafický RTG přístroj - část I.</t>
  </si>
  <si>
    <t>Skiaskopicko-skiagrafický RTG přístroj a skiagrafický RTG přístroj - část II.</t>
  </si>
  <si>
    <t>VZ-2017-000517</t>
  </si>
  <si>
    <t>Rukavice vyšetřovací nitrilové 2017</t>
  </si>
  <si>
    <t>VZ-2017-000522</t>
  </si>
  <si>
    <t>VZ-2017-000523</t>
  </si>
  <si>
    <t>Tiskárny FNOL 2017</t>
  </si>
  <si>
    <t>30232110-8; 30232150-0</t>
  </si>
  <si>
    <t>SoftwareOne Czech Rep. s.r.o.</t>
  </si>
  <si>
    <t>Dvoudutinové a jednodutinové externí kardiostimulátory II - část I. Jednodut.</t>
  </si>
  <si>
    <t>Dvoudutinové a jednodutinové externí kardiostimulátory II - část II. Dvoudut.</t>
  </si>
  <si>
    <t>VZ-2017-000530</t>
  </si>
  <si>
    <t>Aktualizace SW a servis HW k Barracuda Networks</t>
  </si>
  <si>
    <t>72261000-2</t>
  </si>
  <si>
    <t>VZ-2017-000532</t>
  </si>
  <si>
    <t>Podlahářské práce ve FNOL II</t>
  </si>
  <si>
    <t>VZ-2017-000533</t>
  </si>
  <si>
    <t>Operační stoly</t>
  </si>
  <si>
    <t>33192230-3</t>
  </si>
  <si>
    <t>VZ-2017-000536</t>
  </si>
  <si>
    <t>VZ-2017-000537</t>
  </si>
  <si>
    <t>VZ-2017-000538</t>
  </si>
  <si>
    <t>Kapilární hemodialyzátory 2017 - část I. Low Flux</t>
  </si>
  <si>
    <t>Kapilární hemodialyzátory 2017 - část II. High Flux</t>
  </si>
  <si>
    <t>Bio-Rad spol. s r.o.</t>
  </si>
  <si>
    <t>Antianemika 2017 - část IV. Epoetin beta</t>
  </si>
  <si>
    <t>North Med s.r.o.</t>
  </si>
  <si>
    <t>Oftalmologika 2017 - část I. Verteporfin</t>
  </si>
  <si>
    <t>Oftalmologika 2017 - část II. Ranibizumab</t>
  </si>
  <si>
    <t>Oftalmologika 2017 - část III. Aflibercept</t>
  </si>
  <si>
    <t>TC servis, s.r.o.</t>
  </si>
  <si>
    <t>VZ-2017-000546</t>
  </si>
  <si>
    <t>Jiná cytostatika - monoklonální protilátky - část I.</t>
  </si>
  <si>
    <t>Jiná cytostatika - monoklonální protilátky - část II.</t>
  </si>
  <si>
    <t>Jiná cytostatika - monoklonální protilátky - část III.</t>
  </si>
  <si>
    <t>Jiná cytostatika - monoklonální protilátky - část IV.</t>
  </si>
  <si>
    <t>Jiná cytostatika - monoklonální protilátky - část V.</t>
  </si>
  <si>
    <t>Jiná cytostatika - monoklonální protilátky - část VI.</t>
  </si>
  <si>
    <t>2.3.273.</t>
  </si>
  <si>
    <t>VZ-2017-000544</t>
  </si>
  <si>
    <t>PD - celková rekonstrukce trafostanice</t>
  </si>
  <si>
    <t>VZ-2017-000554</t>
  </si>
  <si>
    <t>VZ-2017-000563</t>
  </si>
  <si>
    <t>Vakuový tkáňový procesor</t>
  </si>
  <si>
    <t>VZ-2017-000559</t>
  </si>
  <si>
    <t>Transportní přístroj pro umělovu plicní ventilaci</t>
  </si>
  <si>
    <t>2.3.283.</t>
  </si>
  <si>
    <t>VZ-2017-000550</t>
  </si>
  <si>
    <t>Modernizace modelové laboratoře - fixační pomůcky pro radioterapii</t>
  </si>
  <si>
    <t>2.3.189.</t>
  </si>
  <si>
    <t>VZ-2017-000557</t>
  </si>
  <si>
    <t>Analyzátor složení těla</t>
  </si>
  <si>
    <t>38311000-8</t>
  </si>
  <si>
    <t>2.2.78.</t>
  </si>
  <si>
    <t>DATA-INTER s.r.o.</t>
  </si>
  <si>
    <t>Promedica Praha Group, a.s.</t>
  </si>
  <si>
    <t>Ultrazvukové diagnostické přístroje II. - část I. RDG</t>
  </si>
  <si>
    <t>Ultrazvukové diagnostické přístroje II. - část II. HOK</t>
  </si>
  <si>
    <t>2.4.80.</t>
  </si>
  <si>
    <t>Nimotech s.r.o.</t>
  </si>
  <si>
    <t>ENCOFA SERVIS s.r.o.</t>
  </si>
  <si>
    <t>VZ-2017-000560</t>
  </si>
  <si>
    <t>Monoklonální protilátky 2017 - část I.</t>
  </si>
  <si>
    <t>Monoklonální protilátky 2017 - část II.</t>
  </si>
  <si>
    <t>Monoklonální protilátky 2017 - část III.</t>
  </si>
  <si>
    <t>Monoklonální protilátky 2017 - část IV.</t>
  </si>
  <si>
    <t>Schoeller Instruments s.r.o.</t>
  </si>
  <si>
    <t>Unimed Praha s.r.o.</t>
  </si>
  <si>
    <t>VZ-2017-000578</t>
  </si>
  <si>
    <t>VŠEOB</t>
  </si>
  <si>
    <t>Nábytek pro Novorozenecké oddělení</t>
  </si>
  <si>
    <t>39120000-9</t>
  </si>
  <si>
    <t>Lůžka II.</t>
  </si>
  <si>
    <t>VZ-2017-000571</t>
  </si>
  <si>
    <t>PD-zřízení parkoviště OA pod DK a u lékárny FNOL II - část I.</t>
  </si>
  <si>
    <t>PD-zřízení parkoviště OA pod DK a u lékárny FNOL II - část II.</t>
  </si>
  <si>
    <t>VZ-2017-000573</t>
  </si>
  <si>
    <t>Ultrazvukový přístroj</t>
  </si>
  <si>
    <t>VZ-2017-000579</t>
  </si>
  <si>
    <t xml:space="preserve">33157400-9 </t>
  </si>
  <si>
    <t>VZ-2017-000582</t>
  </si>
  <si>
    <t>Elektrokoagulační bipolární přístroj s argonovou jednotkou II</t>
  </si>
  <si>
    <t>VZ-2017-000561</t>
  </si>
  <si>
    <t>Kity pro vyšetření biotinidázy 2017</t>
  </si>
  <si>
    <t>VZ-2017-000585</t>
  </si>
  <si>
    <t>Teplovodní přípojka pro ZVIT a ČOV</t>
  </si>
  <si>
    <t>4.2.19, 4.1.28</t>
  </si>
  <si>
    <t>VZ-2017-000587</t>
  </si>
  <si>
    <t>Ultrazvukový přenosný přístroj</t>
  </si>
  <si>
    <t>2.3.210.</t>
  </si>
  <si>
    <t>2.3.260.</t>
  </si>
  <si>
    <t xml:space="preserve">VZ-2017-000589 </t>
  </si>
  <si>
    <t>Výměna hořáku plynového kotle II</t>
  </si>
  <si>
    <t>DARTIN spol. s r.o.</t>
  </si>
  <si>
    <t>3.3.7.</t>
  </si>
  <si>
    <t>INTER META Ostrava s.r.o.</t>
  </si>
  <si>
    <t>Transkontakt medical s.r.o.</t>
  </si>
  <si>
    <t>VZ-2017-000592</t>
  </si>
  <si>
    <t>Zhotovení PD pro výměnu elektrické požární signalizace</t>
  </si>
  <si>
    <t xml:space="preserve">71320000-7 </t>
  </si>
  <si>
    <t>VZ-2017-000597</t>
  </si>
  <si>
    <t>Endosonografický systém pro diagnostiku a staging nitrohrudních nádorů</t>
  </si>
  <si>
    <t>33124110-9</t>
  </si>
  <si>
    <t>2.3.185.</t>
  </si>
  <si>
    <t>Lékárna -invest s.r.o.</t>
  </si>
  <si>
    <t>VZ-2017-000599</t>
  </si>
  <si>
    <t>Pásová myčka tabletů</t>
  </si>
  <si>
    <t>4.2.7.</t>
  </si>
  <si>
    <t>2.3.282.</t>
  </si>
  <si>
    <t>2.3.258.</t>
  </si>
  <si>
    <t>2.3.259.</t>
  </si>
  <si>
    <t>VZ-2017-000606</t>
  </si>
  <si>
    <t>Laboratorní chladnice</t>
  </si>
  <si>
    <t>VZ-2017-000613</t>
  </si>
  <si>
    <t>Oprava MaR - Novorozenecké oddělení JIP a IMP</t>
  </si>
  <si>
    <t>VZ-2017-000621</t>
  </si>
  <si>
    <t>Ergometrická jednotka s polohovatelným ergometrem pro zátěžovou echokardiografii</t>
  </si>
  <si>
    <t>2.4.78.</t>
  </si>
  <si>
    <t>The Binding Site s.r.o.</t>
  </si>
  <si>
    <t>Exray s.r.o.</t>
  </si>
  <si>
    <t>MIZ Olomouc s.r.o.</t>
  </si>
  <si>
    <t>VZ-2017-000625</t>
  </si>
  <si>
    <t>Rekonstrukce kanalizace v objektu D</t>
  </si>
  <si>
    <t>4.2.12.</t>
  </si>
  <si>
    <t>45332300-6</t>
  </si>
  <si>
    <t>Inhibitory TNF 2017 - část I. Certolizumab pegol</t>
  </si>
  <si>
    <t>Inhibitory TNF 2017 - část II. Etanercept</t>
  </si>
  <si>
    <t>Inhibitory TNF 2017 - část IV. Adalimumab II</t>
  </si>
  <si>
    <t>Inhibitory TNF 2017 - část III. Adalimumab I</t>
  </si>
  <si>
    <t>Inhibitory TNF 2017 - část V. Infliximab</t>
  </si>
  <si>
    <t>Inhibitory TNF 2017 - část VI. Golimumab</t>
  </si>
  <si>
    <t>33141550-0</t>
  </si>
  <si>
    <t>Hepariny 2017 - část I. Heparin</t>
  </si>
  <si>
    <t>Hepariny 2017 - část III. Nadroparin</t>
  </si>
  <si>
    <t>Hepariny 2017 - část II. Enoxaparin</t>
  </si>
  <si>
    <t>Hepariny 2017 - část IV. Sulodexid</t>
  </si>
  <si>
    <t>Diagnostika pro vyšetření základního krevního obrazu</t>
  </si>
  <si>
    <t>33696200-7</t>
  </si>
  <si>
    <t>VZ-2017-000626</t>
  </si>
  <si>
    <t>VZ-2017-000627</t>
  </si>
  <si>
    <t>VZ-2017-000628</t>
  </si>
  <si>
    <t>KSK nábytek s.r.o.</t>
  </si>
  <si>
    <t xml:space="preserve">31000000-6 </t>
  </si>
  <si>
    <t>4.2.38.,4.2.39.</t>
  </si>
  <si>
    <t>VZ-2017-000633</t>
  </si>
  <si>
    <t>VZ-2017-000631</t>
  </si>
  <si>
    <t>2.3.199.,2.3.209.,23.3.216.,2.3.220.,2.3.233.</t>
  </si>
  <si>
    <t>VZ-2017-000641</t>
  </si>
  <si>
    <t>34300000-0; 50110000-9</t>
  </si>
  <si>
    <t>Elpremo s.r.o.</t>
  </si>
  <si>
    <t>zrušeno bez nabídky</t>
  </si>
  <si>
    <t>VZ-2017-000418</t>
  </si>
  <si>
    <t>Dávkovací zařízení biocidu</t>
  </si>
  <si>
    <t>4.3.7.</t>
  </si>
  <si>
    <t>VZ-2017-000645</t>
  </si>
  <si>
    <t>Hygienické zařízení pro imobilní pacienty budova P - Kožní klinika</t>
  </si>
  <si>
    <t>4.2.59.</t>
  </si>
  <si>
    <t>VZ-2017-000646</t>
  </si>
  <si>
    <t>Výměna vstupních dveří v budově M3 v 1NP</t>
  </si>
  <si>
    <t>45421131-1</t>
  </si>
  <si>
    <t>4.2.57.</t>
  </si>
  <si>
    <t>VZ-2017-000647</t>
  </si>
  <si>
    <t>Zpracování studie proveditelnosti včetně všech souvisejících příloh</t>
  </si>
  <si>
    <t>VZ-2017-000649</t>
  </si>
  <si>
    <t>Infuzní technika 2017</t>
  </si>
  <si>
    <t>Jiná imunostimulancia 2017 - část I.Glatiramer-acetát</t>
  </si>
  <si>
    <t>Jiná imunostimulancia 2017 - část II.Bacillus-guerin (BCG)</t>
  </si>
  <si>
    <t>Jiná imunostimulancia 2017 - část III.Plerixafor</t>
  </si>
  <si>
    <t>VZ-2017-000657</t>
  </si>
  <si>
    <t>Nábytek - Imunologie</t>
  </si>
  <si>
    <t>Vizualizace systému EnMS</t>
  </si>
  <si>
    <t>4.2.20.</t>
  </si>
  <si>
    <t>48900000-7</t>
  </si>
  <si>
    <t>VZ-2017-000659</t>
  </si>
  <si>
    <t>VZ-2017-000660</t>
  </si>
  <si>
    <t>VZ-2017-000661</t>
  </si>
  <si>
    <t>Expanze k diskovému poli</t>
  </si>
  <si>
    <t>3.2.18.</t>
  </si>
  <si>
    <t>Antidekubitní pasivní matrace</t>
  </si>
  <si>
    <t>39143112-4</t>
  </si>
  <si>
    <t>VZ-2017-000663</t>
  </si>
  <si>
    <t>Oprava rozvodů med. plynů a úprava VA stanice - část I. Rozvody med. Plynů</t>
  </si>
  <si>
    <t>Oprava rozvodů med. plynů a úprava VA stanice - část II. VA stanice</t>
  </si>
  <si>
    <t>Elmar group s.r.o.</t>
  </si>
  <si>
    <t>Analoga kyseliny listové 2017 - část I. Pemetrexed</t>
  </si>
  <si>
    <t>Oprava hydroizolace střešního pláště na budově L</t>
  </si>
  <si>
    <t>Oprava hydroizolace v hygienických zařízení ubytovny YA</t>
  </si>
  <si>
    <t>45261214-7</t>
  </si>
  <si>
    <t>4.2.13.</t>
  </si>
  <si>
    <t>VZ-2017-000667</t>
  </si>
  <si>
    <t>VZ-2017-000668</t>
  </si>
  <si>
    <t>VZ-2017-000669</t>
  </si>
  <si>
    <t>Analoga kyseliny listové 2017 - část II. Methotrexát I.</t>
  </si>
  <si>
    <t>Analoga kyseliny listové 2017 - část III. Methotrexát II.</t>
  </si>
  <si>
    <t>VZ-2017-000670</t>
  </si>
  <si>
    <t>Tísňový signalizační systém</t>
  </si>
  <si>
    <t>45316200-7</t>
  </si>
  <si>
    <t>4.2.52.</t>
  </si>
  <si>
    <t>Maquet s.r.o.</t>
  </si>
  <si>
    <t>Euro Enterprise Develop. s.r.o.</t>
  </si>
  <si>
    <t>VALTR generální dodavatel st.</t>
  </si>
  <si>
    <t>VZ-2017-000677</t>
  </si>
  <si>
    <t>Analyzátor plynů pro spiroergometrii</t>
  </si>
  <si>
    <t>VZ-2017-000679</t>
  </si>
  <si>
    <t>Diagnostika pro vyšetření krevního obrazu a výpůjčka hematologické linky II.</t>
  </si>
  <si>
    <t>2.3.295.</t>
  </si>
  <si>
    <t>Ubytování a služby spojené s realizací vzdělávací akce pro vedoucí zaměstnance FN Olomouc</t>
  </si>
  <si>
    <t>VZ-2017-000680</t>
  </si>
  <si>
    <t>PERS</t>
  </si>
  <si>
    <t>VZ-2017-000685</t>
  </si>
  <si>
    <t>Dodávky dectů 2017</t>
  </si>
  <si>
    <t>VZ-2017-000689</t>
  </si>
  <si>
    <t>VZ-2017-000691</t>
  </si>
  <si>
    <t>33651520-9</t>
  </si>
  <si>
    <t>Imunoglobuliny normální lidské 2017 - část I.</t>
  </si>
  <si>
    <t>Imunoglobuliny normální lidské 2017 - část II.</t>
  </si>
  <si>
    <t>Imunoglobuliny normální lidské 2017 - část III.</t>
  </si>
  <si>
    <t>VZ-2017-000699</t>
  </si>
  <si>
    <t>Oprava lineárního urychlovače Elekta Synergy</t>
  </si>
  <si>
    <t>Izotech Moravia s.r.o.</t>
  </si>
  <si>
    <t>Rekonstrukce hygienických zařízení a výměna dveří za automatizované</t>
  </si>
  <si>
    <t>VZ2017-000704</t>
  </si>
  <si>
    <t>VZ-2017-000710</t>
  </si>
  <si>
    <t>METR</t>
  </si>
  <si>
    <t>VZ-2017-000711</t>
  </si>
  <si>
    <t>Repase oken na budově Q2 v 1PP a na schodišťové stěně</t>
  </si>
  <si>
    <t xml:space="preserve">50411000-9 </t>
  </si>
  <si>
    <t>Kalibrace a validace měřidel a zařízení - část I.</t>
  </si>
  <si>
    <t>Kalibrace a validace měřidel a zařízení - část II. ConWin</t>
  </si>
  <si>
    <t>VZ-2017-000713</t>
  </si>
  <si>
    <t>WLC kontroléry, access pointy a licence</t>
  </si>
  <si>
    <t>3.3.2.</t>
  </si>
  <si>
    <t>Výroba a montáž nábytkového vybavení pracovišť</t>
  </si>
  <si>
    <t>VZ-2017-000715</t>
  </si>
  <si>
    <t>Studie funkcionality objektu z logistického hlediska</t>
  </si>
  <si>
    <t>73420000-2</t>
  </si>
  <si>
    <t>65100000-4</t>
  </si>
  <si>
    <t>45331100-7</t>
  </si>
  <si>
    <t>Monitory životních funkcí - část I. Philips</t>
  </si>
  <si>
    <t>Monitory životních funkcí - část II. GE</t>
  </si>
  <si>
    <t>Globaltek Group s.r.o.</t>
  </si>
  <si>
    <t>Langer Interiéry s.r.o.</t>
  </si>
  <si>
    <t>LB Bohemia s.r.o.</t>
  </si>
  <si>
    <t>Pro-Charitu s.r.o.</t>
  </si>
  <si>
    <t>Eriserv, spol. s r.o.</t>
  </si>
  <si>
    <t>VZ-2017-000723</t>
  </si>
  <si>
    <t>Oprava poškozených částí Modelové laboratoře onkologické kliniky</t>
  </si>
  <si>
    <t>VZ-2017-000726</t>
  </si>
  <si>
    <t>Poskytování servisních služeb u sterilizátorů ve FNOL</t>
  </si>
  <si>
    <t>VZ-2017-000730</t>
  </si>
  <si>
    <t>Deska ozařovacího stolu lineárního urychlovače Elekta Synergy</t>
  </si>
  <si>
    <t>VZ-2017-000733</t>
  </si>
  <si>
    <t>Servisní služby pro stomatologické soupravy OMS Italy</t>
  </si>
  <si>
    <t>VZ-2017-000734</t>
  </si>
  <si>
    <t>33661700-8</t>
  </si>
  <si>
    <t>Jiná léčiva nervového systému 2017 - část IV. Riluzol</t>
  </si>
  <si>
    <t>Jiná léčiva nervového systému 2017 - část III. Tetrabenazin</t>
  </si>
  <si>
    <t>Jiná léčiva nervového systému 2017 - část II. Fampridin</t>
  </si>
  <si>
    <t>Jiná léčiva nervového systému 2017 - část I. Dimethyl-fumarát</t>
  </si>
  <si>
    <t>VZ-2017-000735</t>
  </si>
  <si>
    <t xml:space="preserve">33652100-6 </t>
  </si>
  <si>
    <t>Cytostatika k perorálnímu podání 2017 - část I. Hydroxykarbamid</t>
  </si>
  <si>
    <t>Cytostatika k perorálnímu podání 2017 - část II. Anagrelid hydrochlorid</t>
  </si>
  <si>
    <t>Cytostatika k perorálnímu podání 2017 - část III. Vismodegib</t>
  </si>
  <si>
    <t>VZ-2017-000736</t>
  </si>
  <si>
    <t>Inhibitory interleukinu 2017 - část I. Basiliximab</t>
  </si>
  <si>
    <t>Inhibitory interleukinu 2017 - část II. Anakinra</t>
  </si>
  <si>
    <t>Inhibitory interleukinu 2017 - část III. Ustekinumab</t>
  </si>
  <si>
    <t>Inhibitory interleukinu 2017 - část IV. Tocilizumab</t>
  </si>
  <si>
    <t>Inhibitory interleukinu 2017 - část V. Sekukinumab</t>
  </si>
  <si>
    <t>Inhibitory interleukinu 2017 - část VI. Ixekizumab</t>
  </si>
  <si>
    <t>VZ-2017-000740</t>
  </si>
  <si>
    <t>Poskytování servisních služeb u oxymetrů</t>
  </si>
  <si>
    <t>VZ-2017-000741</t>
  </si>
  <si>
    <t>Servisní služby pro přístroje Erbe, Wolf, Heinemann, LISA</t>
  </si>
  <si>
    <t>VZ-2017-000745</t>
  </si>
  <si>
    <t>Oprava hygienických zařízení ve 4. NP  budovy S ve FNOL</t>
  </si>
  <si>
    <t>Quiet Home Agency s.r.o.</t>
  </si>
  <si>
    <t>VZ-2017-000748</t>
  </si>
  <si>
    <t>Dodávky termotiskáren</t>
  </si>
  <si>
    <t>VZ-2017-000749</t>
  </si>
  <si>
    <t>Průtokoměr peroperační</t>
  </si>
  <si>
    <t>2.3.292.</t>
  </si>
  <si>
    <t>VZ-2017-000760</t>
  </si>
  <si>
    <t>Rozšíření zálohovacího SW virtuálního prostředí</t>
  </si>
  <si>
    <t>48710000-8</t>
  </si>
  <si>
    <t>VZ-2017-000565</t>
  </si>
  <si>
    <t>VZ-2017-000764</t>
  </si>
  <si>
    <t>Rekonstrukce nouzového osvětlení v areálu FN Olomouc</t>
  </si>
  <si>
    <t>45316000-5</t>
  </si>
  <si>
    <t>4.1.22.</t>
  </si>
  <si>
    <t>Sanofi-Aventis</t>
  </si>
  <si>
    <t>TEVA Pharmaceuticals ČR s.r.o.</t>
  </si>
  <si>
    <t>INWORK s.r.o.</t>
  </si>
  <si>
    <t>zrušena</t>
  </si>
  <si>
    <t>VZ-2017-000784</t>
  </si>
  <si>
    <t>Jiná periferně působící myorelaxancia - část I.</t>
  </si>
  <si>
    <t>Jiná periferně působící myorelaxancia - část II.</t>
  </si>
  <si>
    <t>Jiná periferně působící myorelaxancia - část III.</t>
  </si>
  <si>
    <t>VZ-2017-000787</t>
  </si>
  <si>
    <t>Elektrokoagulační bipolární přístroj</t>
  </si>
  <si>
    <t>2.3.294.</t>
  </si>
  <si>
    <t>Biomedica ČS s.r.o.</t>
  </si>
  <si>
    <t>C SYSTEM a.s.</t>
  </si>
  <si>
    <t>SALSO s.r.o.</t>
  </si>
  <si>
    <t>VZ-2017-000789</t>
  </si>
  <si>
    <t>Rekonstrukce sálů HDS v budově J2</t>
  </si>
  <si>
    <t>Imunostimulancia 2017 - část I. Filgrastim</t>
  </si>
  <si>
    <t>Imunostimulancia 2017 - část II. Pegfilgrastim / Lipefilgrastim</t>
  </si>
  <si>
    <t>Inhibitory kalcineurinu 2017 - část I. Cyklosporin</t>
  </si>
  <si>
    <t>Inhibitory kalcineurinu 2017 - část II. Takrolimus monohydrát</t>
  </si>
  <si>
    <t>Erytropoetin 2017</t>
  </si>
  <si>
    <t>VZ-2017-000799</t>
  </si>
  <si>
    <t>Automatický rozplňovač radiofarmak</t>
  </si>
  <si>
    <t>33124210-0</t>
  </si>
  <si>
    <t>2.3.293.</t>
  </si>
  <si>
    <t>VZ-2017-000802</t>
  </si>
  <si>
    <t>Provedení akreditace systému řízení kvality a bezpečí zdravotních služeb</t>
  </si>
  <si>
    <t>KALIST AKL s.r.o.</t>
  </si>
  <si>
    <t>1.3.1.</t>
  </si>
  <si>
    <t>1.3.11.</t>
  </si>
  <si>
    <t>OMS-Dent s.r.o.</t>
  </si>
  <si>
    <t>Inhibitory proteinkináz I. 2017 - část I.</t>
  </si>
  <si>
    <t>Inhibitory proteinkináz I. 2017 - část II.</t>
  </si>
  <si>
    <t>Inhibitory proteinkináz I. 2017 - část III.</t>
  </si>
  <si>
    <t>Inhibitory proteinkináz I. 2017 - část IV.</t>
  </si>
  <si>
    <t>Inhibitory proteinkináz I. 2017 - část V.</t>
  </si>
  <si>
    <t>Inhibitory proteinkináz I. 2017 - část VI.</t>
  </si>
  <si>
    <t>Inhibitory proteinkináz I. 2017 - část VII.</t>
  </si>
  <si>
    <t>Inhibitory proteinkináz 2017 II. - část I.</t>
  </si>
  <si>
    <t>Inhibitory proteinkináz 2017 II. - část II.</t>
  </si>
  <si>
    <t>Inhibitory proteinkináz 2017 II. - část III.</t>
  </si>
  <si>
    <t>Inhibitory proteinkináz 2017 II. - část IV.</t>
  </si>
  <si>
    <t>Inhibitory proteinkináz 2017 II. - část V.</t>
  </si>
  <si>
    <t>Inhibitory proteinkináz 2017 II. - část VI.</t>
  </si>
  <si>
    <t>Inhibitory proteinkináz 2017 II. - část VII.</t>
  </si>
  <si>
    <t>VZ-2017-000813</t>
  </si>
  <si>
    <t>VZ-2017-000814</t>
  </si>
  <si>
    <t>VZ-2017-000812</t>
  </si>
  <si>
    <t>VZ-2017-000815</t>
  </si>
  <si>
    <t>VZ-2017-000816</t>
  </si>
  <si>
    <t>VZ-2017-000819</t>
  </si>
  <si>
    <t>Dodávky náplní do tiskáren</t>
  </si>
  <si>
    <t>30125110-5</t>
  </si>
  <si>
    <t>Cytostatika k perorálnímu podání 2017 - část V. Idelalisib</t>
  </si>
  <si>
    <t>Cytostatika k perorálnímu podání 2017 - část IV. Olaparib</t>
  </si>
  <si>
    <t>Servis, opravy a údržba sanitních, dodávkových a osobních vozidel - část I.</t>
  </si>
  <si>
    <t>Servis, opravy a údržba sanitních, dodávkových a osobních vozidel - část II.</t>
  </si>
  <si>
    <t>Servis, opravy a údržba sanitních, dodávkových a osobních vozidel - část III.</t>
  </si>
  <si>
    <t>Laparoskopická věž 3D - ICG</t>
  </si>
  <si>
    <t>2.3.286.</t>
  </si>
  <si>
    <t>2.3.285.</t>
  </si>
  <si>
    <t>Laparoskopická věž 2D</t>
  </si>
  <si>
    <t>VZ-2017-000827</t>
  </si>
  <si>
    <t>Intubační fibrobronchoskopy</t>
  </si>
  <si>
    <t>2.3.299.</t>
  </si>
  <si>
    <t xml:space="preserve">33171200-1 </t>
  </si>
  <si>
    <t>AQUA Cleer, s.r.o.</t>
  </si>
  <si>
    <t>LHL s.r.o.</t>
  </si>
  <si>
    <t>TENDERMARKET</t>
  </si>
  <si>
    <t>SHIRE CZECH s.r.o.</t>
  </si>
  <si>
    <t>Auto Čechák s.r.o.</t>
  </si>
  <si>
    <t>jednotkové ceny</t>
  </si>
  <si>
    <t>Merck Sharp &amp; Dohme s.r.o.</t>
  </si>
  <si>
    <t>VZ-2017-000834</t>
  </si>
  <si>
    <t>Systém pro kompletní klinická vestibulární a okulomotorická vyšetření</t>
  </si>
  <si>
    <t>VZ-2017-000836</t>
  </si>
  <si>
    <t>33121400-8</t>
  </si>
  <si>
    <t>2.3.298.</t>
  </si>
  <si>
    <t xml:space="preserve">Jiná imunosupresiva 2017 - část I. </t>
  </si>
  <si>
    <t>Jiná imunosupresiva 2017 - část II.</t>
  </si>
  <si>
    <t>Jiná imunosupresiva 2017 - část III.</t>
  </si>
  <si>
    <t>Jiná imunosupresiva 2017 - část IV.</t>
  </si>
  <si>
    <t>Jiná imunosupresiva 2017 - část V.</t>
  </si>
  <si>
    <t xml:space="preserve">33652300-8 </t>
  </si>
  <si>
    <t>Lokální hemostatika a parenterální přípravky s obsahem železa - část I.</t>
  </si>
  <si>
    <t>33621000-9</t>
  </si>
  <si>
    <t>Lokální hemostatika a parenterální přípravky s obsahem železa - část II.</t>
  </si>
  <si>
    <t>Lokální hemostatika a parenterální přípravky s obsahem železa - část III.</t>
  </si>
  <si>
    <t>Lokální hemostatika a parenterální přípravky s obsahem železa - část IV.</t>
  </si>
  <si>
    <t>Lokální hemostatika a parenterální přípravky s obsahem železa - část V.</t>
  </si>
  <si>
    <t>Lokální hemostatika a parenterální přípravky s obsahem železa - část VI.</t>
  </si>
  <si>
    <t>Lokální hemostatika a parenterální přípravky s obsahem železa - část VII.</t>
  </si>
  <si>
    <t>VZ-2017-000838</t>
  </si>
  <si>
    <t>Nouzový zdroj pro 3IK a laboratoře DMP</t>
  </si>
  <si>
    <t>4.2.61.</t>
  </si>
  <si>
    <t>zrušeno, bez nabídky</t>
  </si>
  <si>
    <t>Dodávka handheld datových terminálů</t>
  </si>
  <si>
    <t>30213500-0</t>
  </si>
  <si>
    <t>VZ-2017-000844</t>
  </si>
  <si>
    <t>Česká společnost pro akreditaci ve zdravotnictví</t>
  </si>
  <si>
    <t>31154000-0</t>
  </si>
  <si>
    <t>ZM</t>
  </si>
  <si>
    <t>VZ-2017-000848</t>
  </si>
  <si>
    <t>VZ-2017-000849</t>
  </si>
  <si>
    <t>Rekonstrukce sálů HDS v budově J2-II</t>
  </si>
  <si>
    <t>Michal Raška</t>
  </si>
  <si>
    <t>VZ-2017-000856</t>
  </si>
  <si>
    <t>Cytostatika k parenterálnímu podání - část I.</t>
  </si>
  <si>
    <t>Cytostatika k parenterálnímu podání - část II.</t>
  </si>
  <si>
    <t>Cytostatika k parenterálnímu podání - část III.</t>
  </si>
  <si>
    <t>Cytostatika k parenterálnímu podání - část IV.</t>
  </si>
  <si>
    <t>Cytostatika k parenterálnímu podání - část V.</t>
  </si>
  <si>
    <t>Cytostatika k parenterálnímu podání - část VI.</t>
  </si>
  <si>
    <t>Cytostatika k parenterálnímu podání - část VII.</t>
  </si>
  <si>
    <t>Cytostatika k parenterálnímu podání - část VIII.</t>
  </si>
  <si>
    <t>VZ-2017-000857</t>
  </si>
  <si>
    <t>Selektivní imunosupresiva - část I.</t>
  </si>
  <si>
    <t>Selektivní imunosupresiva - část II.</t>
  </si>
  <si>
    <t>Selektivní imunosupresiva - část III.</t>
  </si>
  <si>
    <t>Selektivní imunosupresiva - část IV.</t>
  </si>
  <si>
    <t>Selektivní imunosupresiva - část V.</t>
  </si>
  <si>
    <t>VZ-2017-000864</t>
  </si>
  <si>
    <t>Jednotka NIP a DIOP v budově D2</t>
  </si>
  <si>
    <t>Přípojka nn pro budovu II.IK a NTMC</t>
  </si>
  <si>
    <t>45311000-0</t>
  </si>
  <si>
    <t>4.2.16.</t>
  </si>
  <si>
    <t>VZ-2017-000869</t>
  </si>
  <si>
    <t>Elektrokoagulační bipolární přístroj II.</t>
  </si>
  <si>
    <t>Inhibitory proteinkináz III. - část I. Ruxolitinib</t>
  </si>
  <si>
    <t>Inhibitory proteinkináz III. - část II.Regorafenib</t>
  </si>
  <si>
    <t>Inhibitory proteinkináz III. - část III. Dabrafenib</t>
  </si>
  <si>
    <t>Inhibitory proteinkináz III. - část IV. Ponatinib-hydrochlorid</t>
  </si>
  <si>
    <t>Inhibitory proteinkináz III. - část V. Cabozantinib</t>
  </si>
  <si>
    <t>Inhibitory proteinkináz III. - část VI. Ibrutinib</t>
  </si>
  <si>
    <t>Inhibitory proteinkináz III. - část VII. Nintedanib</t>
  </si>
  <si>
    <t>Inhibitory proteinkináz III. - část VIII. Osimertinib-mesilát</t>
  </si>
  <si>
    <t>VZ-2017-000875</t>
  </si>
  <si>
    <t>Implantabilní kardiovertery - defibrilátory - část II.</t>
  </si>
  <si>
    <t>Implantabilní kardiovertery - defibrilátory - část I.</t>
  </si>
  <si>
    <t>Implantabilní kardiovertery - defibrilátory - část III.</t>
  </si>
  <si>
    <t>Implantabilní kardiovertery - defibrilátory - část IV.</t>
  </si>
  <si>
    <t>Implantabilní kardiovertery - defibrilátory - část V.</t>
  </si>
  <si>
    <t>Kardiostimulátory - část I.</t>
  </si>
  <si>
    <t>Kardiostimulátory - část II.</t>
  </si>
  <si>
    <t>Kardiostimulátory - část III.</t>
  </si>
  <si>
    <t>Kardiostimulátory - část IV.</t>
  </si>
  <si>
    <t>Kardiostimulátory - část V.</t>
  </si>
  <si>
    <t>Stativy</t>
  </si>
  <si>
    <t>Operační světla II.</t>
  </si>
  <si>
    <t>VZ-2017-000881</t>
  </si>
  <si>
    <t>Rekonstrukce sálů HDS v budově J2-III</t>
  </si>
  <si>
    <t>VZ-2017-000883</t>
  </si>
  <si>
    <t>Pásová myčka tabletů II.</t>
  </si>
  <si>
    <t>VZ-2017-000884</t>
  </si>
  <si>
    <t>Hadičky pro infuzní terapii</t>
  </si>
  <si>
    <t>VZ-2017-000885</t>
  </si>
  <si>
    <t>Firstpower a.s.</t>
  </si>
  <si>
    <t>Janssen-Cilag s.r.o.</t>
  </si>
  <si>
    <t>Widex Line spol. s r.o.</t>
  </si>
  <si>
    <t>Datascan s.r.o.</t>
  </si>
  <si>
    <t>Láhve a dudlíky kojenecké krmící a láhve na kolostrum - část I.</t>
  </si>
  <si>
    <t>Láhve a dudlíky kojenecké krmící a láhve na kolostrum - část II.</t>
  </si>
  <si>
    <t>Láhve a dudlíky kojenecké krmící a láhve na kolostrum - část III.</t>
  </si>
  <si>
    <t>S.A.B. Impex  s.r.o.</t>
  </si>
  <si>
    <t>Medical M spol. s r.o.</t>
  </si>
  <si>
    <t>DN FORMED Brno s.r.o.</t>
  </si>
  <si>
    <t>VZ-2017-000891</t>
  </si>
  <si>
    <t>Aktivní prvky pro novostavbu 2IK + GER</t>
  </si>
  <si>
    <t>3.2.24.</t>
  </si>
  <si>
    <t>(Vše)</t>
  </si>
  <si>
    <t>VZ-2018-000006</t>
  </si>
  <si>
    <t>PD - Stavební úpravy objektu „Q2“</t>
  </si>
  <si>
    <t>1.3.13.</t>
  </si>
  <si>
    <t>VZ-2018-000007</t>
  </si>
  <si>
    <t>Chirurgický telemanipulátor</t>
  </si>
  <si>
    <t>VZ-2018-000008</t>
  </si>
  <si>
    <t>Převoz zemřelých</t>
  </si>
  <si>
    <t>98370000-7</t>
  </si>
  <si>
    <t>Inhibitory proteinkináz I. 2017 - část I. Imatinib pro indikaci GIST</t>
  </si>
  <si>
    <t>Inhibitory proteinkináz I. 2017 - část II. Gefitinib</t>
  </si>
  <si>
    <t>Inhibitory proteinkináz I. 2017 - část III. Erlotinib</t>
  </si>
  <si>
    <t>Inhibitory proteinkináz I. 2017 - část IV. Sunitinib</t>
  </si>
  <si>
    <t>Inhibitory proteinkináz I. 2017 - část V. Sorafenib</t>
  </si>
  <si>
    <t>Inhibitory proteinkináz I. 2017 - část VI. Dasatinib</t>
  </si>
  <si>
    <t>Inhibitory proteinkináz I. 2017 - část VII. Lapatinib</t>
  </si>
  <si>
    <t>BAYER s.r.o.</t>
  </si>
  <si>
    <t>Jiná imunosupresiva 2017 - část I.  Methotrexát I.</t>
  </si>
  <si>
    <t>Jiná imunosupresiva 2017 - část II. Methotrexát II.</t>
  </si>
  <si>
    <t>Jiná imunosupresiva 2017 - část III. Pirfenidon</t>
  </si>
  <si>
    <t>Jiná imunosupresiva 2017 - část IV. Pomalidomid</t>
  </si>
  <si>
    <t>Jiná imunosupresiva 2017 - část V. Lenalidomid</t>
  </si>
  <si>
    <t>BMT Medical Technology s.r.o.</t>
  </si>
  <si>
    <t>Siemens Healthcare, s.r.o.</t>
  </si>
  <si>
    <t>Inhibitory proteinkináz 2017 II. - část I. Nilotinib</t>
  </si>
  <si>
    <t>Inhibitory proteinkináz 2017 II. - část II. Everolimus</t>
  </si>
  <si>
    <t>Inhibitory proteinkináz 2017 II. - část III. Pazopanib</t>
  </si>
  <si>
    <t>Inhibitory proteinkináz 2017 II. - část IV. Vandetanib</t>
  </si>
  <si>
    <t>Inhibitory proteinkináz 2017 II. - část V. Afatinib</t>
  </si>
  <si>
    <t>Inhibitory proteinkináz 2017 II. - část VI. Vemurafenib</t>
  </si>
  <si>
    <t>Inhibitory proteinkináz 2017 II. - část VII. Axitinib</t>
  </si>
  <si>
    <t>Boehringer Ingelheim, spol.s r.o.</t>
  </si>
  <si>
    <t>Gilead Sciences s.r.o.</t>
  </si>
  <si>
    <t>zrušeno - NTMC se nebude realizovat</t>
  </si>
  <si>
    <t>VZ-2018-000013</t>
  </si>
  <si>
    <t>VZ-2018-000014</t>
  </si>
  <si>
    <t>VZ-2018-000019</t>
  </si>
  <si>
    <t>Elektrická přípojka nn pro II. IK</t>
  </si>
  <si>
    <t>Myčka chirurgických nástrojů</t>
  </si>
  <si>
    <t>Thuliový laser</t>
  </si>
  <si>
    <t>2.2.109.</t>
  </si>
  <si>
    <t>2.2.111.</t>
  </si>
  <si>
    <t>2.3.262.</t>
  </si>
  <si>
    <t xml:space="preserve">45311000-0 </t>
  </si>
  <si>
    <t>měsíční paušál od 2/2020 - 1/2025</t>
  </si>
  <si>
    <t>1.1.-9.1.2020</t>
  </si>
  <si>
    <t>PHOENIX lék.velkoobchod, s.r.o.</t>
  </si>
  <si>
    <t>VZ-2018-000030</t>
  </si>
  <si>
    <t>33169000-2</t>
  </si>
  <si>
    <t>2.2.107.</t>
  </si>
  <si>
    <t>VZ-2018-000033</t>
  </si>
  <si>
    <t>ÚHTS</t>
  </si>
  <si>
    <t>Astellas Pharma s.r.o.</t>
  </si>
  <si>
    <t>Hluboký břišní rozvěrač</t>
  </si>
  <si>
    <t>MEDIFORM spol. s r.o.</t>
  </si>
  <si>
    <t>A-Z STAVBY s.r.o.</t>
  </si>
  <si>
    <t>Gastrocentrum s.r.o.</t>
  </si>
  <si>
    <t>VZ-2018-000046</t>
  </si>
  <si>
    <t>Selektivní imunosupresiva - část I. Natalizumab</t>
  </si>
  <si>
    <t>Selektivní imunosupresiva - část II. Immunoglobulinum antithymocytarum</t>
  </si>
  <si>
    <t>Selektivní imunosupresiva - část III. Fingolimodum</t>
  </si>
  <si>
    <t>Selektivní imunosupresiva - část IV. Teriflunomid</t>
  </si>
  <si>
    <t>Selektivní imunosupresiva - část V. Alemtuzumab</t>
  </si>
  <si>
    <t>ELPREMO, spol. s r.o.</t>
  </si>
  <si>
    <t xml:space="preserve">34913000-0 </t>
  </si>
  <si>
    <t>Láhve a dudlíky kojenecké krmící a láhve na kolostrum - část I. Láhve</t>
  </si>
  <si>
    <t>Láhve a dudlíky kojenecké krmící a láhve na kolostrum - část II. Dudlíky</t>
  </si>
  <si>
    <t>Láhve a dudlíky kojenecké krmící a láhve na kolostrum - část III. Kolostrum</t>
  </si>
  <si>
    <t>Cytostatika k parenterálnímu podání - část I. Aparaginas produkovaná Erwinia chrysanthemi</t>
  </si>
  <si>
    <t>Cytostatika k parenterálnímu podání - část II. Bortezomib</t>
  </si>
  <si>
    <t>Cytostatika k parenterálnímu podání - část III. Pegaspargasa</t>
  </si>
  <si>
    <t>Cytostatika k parenterálnímu podání - část IV. Irinotekan</t>
  </si>
  <si>
    <t>Cytostatika k parenterálnímu podání - část V. Eribulin - mesylát</t>
  </si>
  <si>
    <t>Cytostatika k parenterálnímu podání - část VI. Oxid arsenitý</t>
  </si>
  <si>
    <t>Cytostatika k parenterálnímu podání - část VII. Aflibercept</t>
  </si>
  <si>
    <t>Cytostatika k parenterálnímu podání - část VIII. Karfilzomib</t>
  </si>
  <si>
    <t>VZ-2018-000052</t>
  </si>
  <si>
    <t>33172100-7</t>
  </si>
  <si>
    <t>Implantabilní kardiovertery - defibrilátory - část VI.</t>
  </si>
  <si>
    <t>Merit Group, a.s.</t>
  </si>
  <si>
    <t>KANIA, a.s.</t>
  </si>
  <si>
    <t>VZ-2018-000064</t>
  </si>
  <si>
    <t>Výroba a montáž nábytku</t>
  </si>
  <si>
    <t>na dobu neurčitou</t>
  </si>
  <si>
    <t>VZ-2018-000070</t>
  </si>
  <si>
    <t>VZ-2018-000078</t>
  </si>
  <si>
    <t>Valíček</t>
  </si>
  <si>
    <t>PD- rekonstrukce zákrokového sálu ortopedie</t>
  </si>
  <si>
    <t>VZ-2018-000085</t>
  </si>
  <si>
    <t>Rekonstrukce hygienických zařízení na 1. Chirurgické klinice na oddělení 9</t>
  </si>
  <si>
    <t>VZ-2018-000087</t>
  </si>
  <si>
    <t>Ložní prádlo 2018</t>
  </si>
  <si>
    <t>1.2.52.</t>
  </si>
  <si>
    <t>19231000-4</t>
  </si>
  <si>
    <t>MISERICORDIA s.r.o.</t>
  </si>
  <si>
    <t>VZ-2018-000089</t>
  </si>
  <si>
    <t>VZ-2018-000090</t>
  </si>
  <si>
    <t>Kancelářské židle 1/2018</t>
  </si>
  <si>
    <t>39112000-0</t>
  </si>
  <si>
    <t>VZ-2018-000098</t>
  </si>
  <si>
    <t>Posílení stávající technologie potrubní pošty</t>
  </si>
  <si>
    <t>1.1.10.</t>
  </si>
  <si>
    <t>VZ-2018-000103</t>
  </si>
  <si>
    <t>Technologie k detekci sentinelových uzlin</t>
  </si>
  <si>
    <t>2.2.108</t>
  </si>
  <si>
    <t>2.3.274.</t>
  </si>
  <si>
    <t>FN Olomouc - úprava KNM (radiofarmaceutická laboratoř) Dodávka boxů laminárních stíněných a digestoře stíněné</t>
  </si>
  <si>
    <t>za rok 2020</t>
  </si>
  <si>
    <t>1.1.-12.2.2022</t>
  </si>
  <si>
    <t>VZ-2018-000106</t>
  </si>
  <si>
    <t>VZ-2018-000107</t>
  </si>
  <si>
    <t>Gynekologický vyšetřovací stůl</t>
  </si>
  <si>
    <t>33192200-4</t>
  </si>
  <si>
    <t>2.3.290.</t>
  </si>
  <si>
    <t>Předpokládaná hodnota za všechny zakázky</t>
  </si>
  <si>
    <t>Vítězná cena v Kč bez DPH u VZ s podepsanou smlouvou</t>
  </si>
  <si>
    <t>Předpokládaný počet VZ</t>
  </si>
  <si>
    <t>Poměr vypsaných a předpokládaných VZ</t>
  </si>
  <si>
    <t>Nárust počtu VZ oproti minulému roku</t>
  </si>
  <si>
    <t>Nárust uzavřených smluv oproti minulému roku</t>
  </si>
  <si>
    <t>VZ-2018-000108</t>
  </si>
  <si>
    <t>Servisní služby u odsávaček a elektrokoagulace</t>
  </si>
  <si>
    <t>VZ-2018-000112</t>
  </si>
  <si>
    <t>Servisní služby u inkubátorů, ventilátorů, lůžek a zvedáku</t>
  </si>
  <si>
    <t>OHL ŽS, a.s.</t>
  </si>
  <si>
    <t>VZ-2018-000117</t>
  </si>
  <si>
    <t>Instalace ochranných prvků</t>
  </si>
  <si>
    <t xml:space="preserve">45432210-9 </t>
  </si>
  <si>
    <t>VZ-2018-000118</t>
  </si>
  <si>
    <t>Sanace schodiště mezi budovami A a E</t>
  </si>
  <si>
    <t xml:space="preserve">45233160-8 </t>
  </si>
  <si>
    <t>VZ-2018-000120</t>
  </si>
  <si>
    <t>VZ-2018-000121</t>
  </si>
  <si>
    <t>zrušeno - překročení ceny</t>
  </si>
  <si>
    <t>VZ-2018-000125</t>
  </si>
  <si>
    <t>VZ-2018-000126</t>
  </si>
  <si>
    <t>VZ-2018-000127</t>
  </si>
  <si>
    <t>33141210-5</t>
  </si>
  <si>
    <t>VZ-2018-000128</t>
  </si>
  <si>
    <t>Nápoje pro pacienty</t>
  </si>
  <si>
    <t>Servis, opravy a údržba nákladních vozidel nad 3 500 kg</t>
  </si>
  <si>
    <t>VZ-2018-000131</t>
  </si>
  <si>
    <t>OLV</t>
  </si>
  <si>
    <t>Kohutova</t>
  </si>
  <si>
    <t xml:space="preserve">15980000-1 </t>
  </si>
  <si>
    <t>VZ-2018-000138</t>
  </si>
  <si>
    <t>Obaly sterilizační jednorázové</t>
  </si>
  <si>
    <t>VZ-2018-000123</t>
  </si>
  <si>
    <t>VZ-2018-000124</t>
  </si>
  <si>
    <t>VZ-2018-000139</t>
  </si>
  <si>
    <t>Servisní služby u přístrojů Hocoma, Zebris, Motekforce</t>
  </si>
  <si>
    <t>VZ-2018-000140</t>
  </si>
  <si>
    <t>Servisní služby u přístrojů KLS Martin, Franke, Waldmann</t>
  </si>
  <si>
    <t>VZ-2018-000141</t>
  </si>
  <si>
    <t>VZ-2018-000145</t>
  </si>
  <si>
    <t>Elektrochirurgický generátor včetně pokročilé bipolární koagulace</t>
  </si>
  <si>
    <t>2.3.288.</t>
  </si>
  <si>
    <t>VZ-2018-000146</t>
  </si>
  <si>
    <t>Elektrochirurgický generátor včetně pokročilé bipolární koagulace – argon plazmová koagulace</t>
  </si>
  <si>
    <t>2.3.289.</t>
  </si>
  <si>
    <t>VZ-2018-000147</t>
  </si>
  <si>
    <t>Transportní lehátko hydraulické</t>
  </si>
  <si>
    <t>2.3.291.</t>
  </si>
  <si>
    <t>33161000-6</t>
  </si>
  <si>
    <t>Kurýr JMP s.r.o.</t>
  </si>
  <si>
    <t>Servisní služby u elektrických odsávaček</t>
  </si>
  <si>
    <t>Servis regulátorů podtlaku, redukčních ventilů, dávkovačů a průtokoměrů kyslíku</t>
  </si>
  <si>
    <t>VZ-2018-000154</t>
  </si>
  <si>
    <t>PD - dochlazení budov D1 a L</t>
  </si>
  <si>
    <t>4.2.79.</t>
  </si>
  <si>
    <t>VZ-2018-000156</t>
  </si>
  <si>
    <t>Opravy výtahů č. 71 - 76</t>
  </si>
  <si>
    <t>4.2.70. - 4.2.75.</t>
  </si>
  <si>
    <t>AJAX CZ s.r.o.</t>
  </si>
  <si>
    <t xml:space="preserve">PROFITERM PROCZECH s.r.o. </t>
  </si>
  <si>
    <t>Marek Alt</t>
  </si>
  <si>
    <t>MEDICOPROJEKT s.r.o.</t>
  </si>
  <si>
    <t>Anesteziologické přístroje - část I. střední třídy 9ks</t>
  </si>
  <si>
    <t>medisap s.r.o.</t>
  </si>
  <si>
    <t>VZ-2018-000164</t>
  </si>
  <si>
    <t>Výroba a montáž nábytku II</t>
  </si>
  <si>
    <t>VZ-2018-000166</t>
  </si>
  <si>
    <t>Rosulek</t>
  </si>
  <si>
    <t>Karbonová prodlužovací deska pro operační stůl</t>
  </si>
  <si>
    <t>2.2.117.</t>
  </si>
  <si>
    <t>Intervenční kardiologie - část I.</t>
  </si>
  <si>
    <t>Intervenční kardiologie - část II.</t>
  </si>
  <si>
    <t>Intervenční kardiologie - část III.</t>
  </si>
  <si>
    <t>Intervenční kardiologie - - část IV.</t>
  </si>
  <si>
    <t>Intervenční kardiologie - část V.</t>
  </si>
  <si>
    <t>Intervenční kardiologie - část VI.</t>
  </si>
  <si>
    <t>Intervenční kardiologie - část VII.</t>
  </si>
  <si>
    <t>Intervenční kardiologie - část  VIII.</t>
  </si>
  <si>
    <t>Intervenční kardiologie - část IX.</t>
  </si>
  <si>
    <t>Intervenční kardiologie - část X.</t>
  </si>
  <si>
    <t>Intervenční kardiologie - část XI.</t>
  </si>
  <si>
    <t>Intervenční kardiologie - část XII.</t>
  </si>
  <si>
    <t>Intervenční kardiologie - část XIII.</t>
  </si>
  <si>
    <t>Intervenční kardiologie - část XIV.</t>
  </si>
  <si>
    <t>Intervenční kardiologie - část XV.</t>
  </si>
  <si>
    <t>Intervenční kardiologie - část XVI.</t>
  </si>
  <si>
    <t>Intervenční kardiologie - část XVII.</t>
  </si>
  <si>
    <t>Intervenční kardiologie - část XVIII.</t>
  </si>
  <si>
    <t>Intervenční kardiologie - část XIX.</t>
  </si>
  <si>
    <t>Intervenční kardiologie - část XX.</t>
  </si>
  <si>
    <t>Intervenční kardiologie - část XXI.</t>
  </si>
  <si>
    <t>VZ-2018-000167</t>
  </si>
  <si>
    <t>Sterilizátor nízkoteplotní plazmový</t>
  </si>
  <si>
    <t>2.3.353.</t>
  </si>
  <si>
    <t>VZ-2018-000172</t>
  </si>
  <si>
    <t>MARKET</t>
  </si>
  <si>
    <t>Vnitřní orientační systém</t>
  </si>
  <si>
    <t>31523200-0</t>
  </si>
  <si>
    <t>Instalace ochranných prvků II.</t>
  </si>
  <si>
    <t>VZ-2018-000176</t>
  </si>
  <si>
    <t>Operační světla s LED</t>
  </si>
  <si>
    <t>2.3.287.</t>
  </si>
  <si>
    <t>Průmyslové kuchyňské zařízení - část I. Konvektomat</t>
  </si>
  <si>
    <t>Průmyslové kuchyňské zařízení - část II.  Mlýnek na maso</t>
  </si>
  <si>
    <t>Průmyslové kuchyňské zařízení - část III. Robot</t>
  </si>
  <si>
    <t xml:space="preserve"> 4.2.86.</t>
  </si>
  <si>
    <t>4.2.83.</t>
  </si>
  <si>
    <t>Jiří Ruček SET ES</t>
  </si>
  <si>
    <t>VZ-2018-000173</t>
  </si>
  <si>
    <t>GastroMach s.r.o.</t>
  </si>
  <si>
    <t>VZ-2018-000182</t>
  </si>
  <si>
    <t>Servis chladící techniky FNOL</t>
  </si>
  <si>
    <t>50730000-1</t>
  </si>
  <si>
    <t>VZ-2018-000183</t>
  </si>
  <si>
    <t>Jeřábková</t>
  </si>
  <si>
    <t>Pronájem prostor - ples FNOL 2019</t>
  </si>
  <si>
    <t>79952100-3</t>
  </si>
  <si>
    <t>VZ-2018-000185</t>
  </si>
  <si>
    <t>32429000-6</t>
  </si>
  <si>
    <t>smlouva  vypovězena</t>
  </si>
  <si>
    <t>výpověď smlouvy</t>
  </si>
  <si>
    <t>2017 bez plnění</t>
  </si>
  <si>
    <t>VZ-2018-000196</t>
  </si>
  <si>
    <t>33186100-8</t>
  </si>
  <si>
    <t>Anesteziologické přístroje - část II. vyšší třídy 5 ks</t>
  </si>
  <si>
    <t>HZZ, a.s.</t>
  </si>
  <si>
    <t>VZ-2018-000205</t>
  </si>
  <si>
    <t>Poskytování servisních služeb u XE-5000i</t>
  </si>
  <si>
    <t>VZ-2018-000209</t>
  </si>
  <si>
    <t>Antidekubitní a polohovací gelové pomůcky</t>
  </si>
  <si>
    <t>33196000-0</t>
  </si>
  <si>
    <t>VZ-2018-000211</t>
  </si>
  <si>
    <t>Rekonstrukce hygienických zařízení na 1.Chir.kl. - odd.9</t>
  </si>
  <si>
    <t>VZ-2018-000216</t>
  </si>
  <si>
    <t>VZ-2018-000217</t>
  </si>
  <si>
    <t>Stůl operační pro robotický systém</t>
  </si>
  <si>
    <t>Cardiomed, s.r.o.</t>
  </si>
  <si>
    <t>Cardion s.r.o.</t>
  </si>
  <si>
    <t>INLAB Medical, s.r.o.</t>
  </si>
  <si>
    <t>MeWadia s.r.o.</t>
  </si>
  <si>
    <t>KAR-mobil s.r.o.</t>
  </si>
  <si>
    <t>2.3.354.</t>
  </si>
  <si>
    <t>VZ-2018-000221</t>
  </si>
  <si>
    <t>Oprava MaR budova A</t>
  </si>
  <si>
    <t xml:space="preserve">50532400-7 </t>
  </si>
  <si>
    <t>IVNISTA Craft  s.r.o.</t>
  </si>
  <si>
    <t>2.2.140.; 2.3.303.;2.4.98.</t>
  </si>
  <si>
    <t>Intuitive Surgical Sarl</t>
  </si>
  <si>
    <t>Náhradní díly a spotřební materiál pro potrubní poštu - část I. ND</t>
  </si>
  <si>
    <t>Náhradní díly a spotřební materiál pro potrubní poštu - část II. Spotřební mat.</t>
  </si>
  <si>
    <t>PROFITERM PROTECH s.r.o.</t>
  </si>
  <si>
    <t>EKG 12-ti svodové</t>
  </si>
  <si>
    <t>VZ-2018-000224</t>
  </si>
  <si>
    <t>VZ-2018-000227</t>
  </si>
  <si>
    <t>Odsávačky mateřského mléka</t>
  </si>
  <si>
    <t>VZ-2018-000238</t>
  </si>
  <si>
    <t>Mlýnek na maso</t>
  </si>
  <si>
    <t>bez nabídky</t>
  </si>
  <si>
    <t>P&amp;V rytecké práce, s.r.o.</t>
  </si>
  <si>
    <t>CARDION s.r.o.</t>
  </si>
  <si>
    <t>MEDKOTECH s.r.o.</t>
  </si>
  <si>
    <t>VZ-2018-000250</t>
  </si>
  <si>
    <t>Spotřební materiál k rozplňovačům radiofarmak DDS-A a KARI100</t>
  </si>
  <si>
    <t>Stargen EU s.r.o.</t>
  </si>
  <si>
    <t>VZ-2018-000251</t>
  </si>
  <si>
    <t>Sledování spokojenosti hospit. pacientů 2018 až 2022</t>
  </si>
  <si>
    <t>VZ-2018-000252</t>
  </si>
  <si>
    <t>VZ-2018-000254</t>
  </si>
  <si>
    <t>Infuzní pumpy</t>
  </si>
  <si>
    <t>2.2.112.</t>
  </si>
  <si>
    <t>VZ-2018-000255</t>
  </si>
  <si>
    <t>Plasmová koagulace</t>
  </si>
  <si>
    <t>VZ-2018-000136</t>
  </si>
  <si>
    <t>Certifikace systémů managementu hospodaření s energií</t>
  </si>
  <si>
    <t xml:space="preserve">72225000-8 </t>
  </si>
  <si>
    <t>SUEZ Využití zdrojů a.s.</t>
  </si>
  <si>
    <t>MIELE, spol. s r.o.</t>
  </si>
  <si>
    <t>ZDRAVO s.r.o.</t>
  </si>
  <si>
    <t>Oxygenerátory - část I. Oxygenerátory pro jednoduché srdeční operace</t>
  </si>
  <si>
    <t>Oxygenerátory - část II. Oxygenerátory pro kombinované srdeční operace</t>
  </si>
  <si>
    <t>Oxygenerátory - část III. Minisystém pro mimotělní oběh pro výkony na otevřeném srdci</t>
  </si>
  <si>
    <t>VZ-2018-000267</t>
  </si>
  <si>
    <t>Totální endoprotézy - část I. TEP kyčelního kloubu</t>
  </si>
  <si>
    <t>33141750-2</t>
  </si>
  <si>
    <t>Totální endoprotézy - část II. TEP kyčelního kloubu - speciál I.</t>
  </si>
  <si>
    <t>Totální endoprotézy - část III. TEP kyčelního kloubu - speciál II.</t>
  </si>
  <si>
    <t>Totální endoprotézy - část IV. TEP koleního kloubu .</t>
  </si>
  <si>
    <t>Totální endoprotézy - část V. TEP koleního kloubu - speciál I.</t>
  </si>
  <si>
    <t>Totální endoprotézy - část VI. TEP koleního kloubu - speciál II.</t>
  </si>
  <si>
    <t>Totální endoprotézy - část VII. TEP koleního kloubu - speciál III.</t>
  </si>
  <si>
    <t>Strategický a validační workshop</t>
  </si>
  <si>
    <t>CPI Hotels a.s.</t>
  </si>
  <si>
    <t>VZ-2018-000272</t>
  </si>
  <si>
    <t>Sestava na mytí endoskopů</t>
  </si>
  <si>
    <t>2.2.152.</t>
  </si>
  <si>
    <t>výpověď smlouvy - bez plnění</t>
  </si>
  <si>
    <t>VZ-2018-000283</t>
  </si>
  <si>
    <t>Výměna podlahových krytin v budově S</t>
  </si>
  <si>
    <t>VZ-2018-000286</t>
  </si>
  <si>
    <t>Překládka komunikačního vedení SEK</t>
  </si>
  <si>
    <t>32412000-4</t>
  </si>
  <si>
    <t>VZ-2018-000287</t>
  </si>
  <si>
    <t>Spotřební materiál k excimerovému laserovému systému Spectranetics CVX300</t>
  </si>
  <si>
    <t>VZ-2018-000289</t>
  </si>
  <si>
    <t>Katetry trombektomické</t>
  </si>
  <si>
    <t>VZ-2018-000290</t>
  </si>
  <si>
    <t>Role papírové s perforací</t>
  </si>
  <si>
    <t>33772000-2</t>
  </si>
  <si>
    <t>zrušeno - překročen limit</t>
  </si>
  <si>
    <t>Dodávky ELU 31/4 karet a BS DB1</t>
  </si>
  <si>
    <t>VZ-2018-000296</t>
  </si>
  <si>
    <t>Chlazení VRV - budova L</t>
  </si>
  <si>
    <t>4.2.78.</t>
  </si>
  <si>
    <t>Servis terapeutického rtg, spektrometru, dozimetrie,detektorového systému - II.</t>
  </si>
  <si>
    <t>Servis terapeutického rtg, spektrometru, dozimetrie,detektorového systému - I.</t>
  </si>
  <si>
    <t>VZ-2018-000298</t>
  </si>
  <si>
    <t>VZ-2018-000299</t>
  </si>
  <si>
    <t>HOSPIMED, spol. s r.o.</t>
  </si>
  <si>
    <t>Deloitte Advisory s.r.o.</t>
  </si>
  <si>
    <t>LINON CZ, s.r.o.</t>
  </si>
  <si>
    <t>DNV GL s.r.o.</t>
  </si>
  <si>
    <t>VZ-2018-000300</t>
  </si>
  <si>
    <t>Výměna transformátoru v trafostanici  TS1</t>
  </si>
  <si>
    <t>Sterilizátor nízkoteplotní plazmový II.</t>
  </si>
  <si>
    <t>31170000-8</t>
  </si>
  <si>
    <t>VZ-2018-000309</t>
  </si>
  <si>
    <t xml:space="preserve">Systém prokatetrovou implantaci aortální chlopně (TAVI) - část I. </t>
  </si>
  <si>
    <t>33182220-7</t>
  </si>
  <si>
    <t xml:space="preserve">Systém prokatetrovou implantaci aortální chlopně (TAVI) - část II. </t>
  </si>
  <si>
    <t xml:space="preserve">Systém prokatetrovou implantaci aortální chlopně (TAVI) - část III. </t>
  </si>
  <si>
    <t>VZ-2018-000310</t>
  </si>
  <si>
    <t>33141220-8</t>
  </si>
  <si>
    <t>Kardioplegické sety - část I. Kardioplegické sety s výměníkem tepla</t>
  </si>
  <si>
    <t>Kardioplegické sety - část II. Kardioplegické sety se spirálou</t>
  </si>
  <si>
    <t>Eriserv s.r.o.</t>
  </si>
  <si>
    <t>STAVONA Olomouc, s.r.o.</t>
  </si>
  <si>
    <t>VZ-2018-000316</t>
  </si>
  <si>
    <t>Myčky chirurgických nástrojů</t>
  </si>
  <si>
    <t>2.3.315.</t>
  </si>
  <si>
    <t>VZ-2018-000315</t>
  </si>
  <si>
    <t>RTG ochranné pomůcky 2018</t>
  </si>
  <si>
    <t>35113420-9</t>
  </si>
  <si>
    <t>Hypokramed s.r.o.</t>
  </si>
  <si>
    <t>PRENCARE distribuční s.r.o.</t>
  </si>
  <si>
    <t>VZ-2018-000317</t>
  </si>
  <si>
    <t>Křesla pro kardiaky</t>
  </si>
  <si>
    <t>VZ-2018-000319</t>
  </si>
  <si>
    <t>Laboratorní chladničky</t>
  </si>
  <si>
    <t>VZ-2018-000332</t>
  </si>
  <si>
    <t>33158210-7</t>
  </si>
  <si>
    <t>VZ-2018-000334</t>
  </si>
  <si>
    <t>Náplně do tiskáren</t>
  </si>
  <si>
    <t xml:space="preserve">30125110-5 </t>
  </si>
  <si>
    <t>VZ-2018-000335</t>
  </si>
  <si>
    <t>Skříně k ukládání čistých podložních mís a močových lahví</t>
  </si>
  <si>
    <t>39122100-4</t>
  </si>
  <si>
    <t>Antimykotika pro systémovou aplikaci - část I. Amfotericin B</t>
  </si>
  <si>
    <t>Antimykotika pro systémovou aplikaci - část II. Echinocandinová antimykotika pro dospělé</t>
  </si>
  <si>
    <t>Antimykotika pro systémovou aplikaci - část III. Echinocandinové antimykotikum pro systémovou aplikaci pro dospělé i dětské pacienty</t>
  </si>
  <si>
    <t>VZ-2018-000337</t>
  </si>
  <si>
    <t>Mechanické transvenózní extrakční systémy srdečních elektrod</t>
  </si>
  <si>
    <t>VZ-2018-000339</t>
  </si>
  <si>
    <t>Filtry pro vzduchotechniku 2018</t>
  </si>
  <si>
    <t>VZ-2018-000340</t>
  </si>
  <si>
    <t>Klimatizační jednotky 2018</t>
  </si>
  <si>
    <t>VZ-2018-000345</t>
  </si>
  <si>
    <t xml:space="preserve">RTG přístroj pro provádění ERCP - sklopná stěna </t>
  </si>
  <si>
    <t>VZ-2018-000346</t>
  </si>
  <si>
    <t>Respond &amp; Co s.r.o.</t>
  </si>
  <si>
    <t>VZ-2018-000348</t>
  </si>
  <si>
    <t>33651600-4</t>
  </si>
  <si>
    <t>Vakcíny - část I. Očkovací látky I.</t>
  </si>
  <si>
    <t>Vakcíny - část II. Tetanický toxoid</t>
  </si>
  <si>
    <t>Vakcíny - část III. Očkovací látky II.</t>
  </si>
  <si>
    <t>Vakcíny - část IV. Vakcína proti chřipce</t>
  </si>
  <si>
    <t>Vakcíny - část V. Vakcína proti hepatitidě A</t>
  </si>
  <si>
    <t>Brainhot Technologies, s.r.o.</t>
  </si>
  <si>
    <t>VZ-2018-000353</t>
  </si>
  <si>
    <t>PD- posílení a rozšíření potrubní pošty</t>
  </si>
  <si>
    <t>VZ-2018-000354</t>
  </si>
  <si>
    <t>VZ-2018-000355</t>
  </si>
  <si>
    <t>VZ-2018-000356</t>
  </si>
  <si>
    <t>VZ-2018-000357</t>
  </si>
  <si>
    <t>VZ-2018-000359</t>
  </si>
  <si>
    <t>Výměna chladící jednotky D1</t>
  </si>
  <si>
    <t>4.2.60.</t>
  </si>
  <si>
    <t>VZ-2018-000360</t>
  </si>
  <si>
    <t>VZ-2018-000362</t>
  </si>
  <si>
    <t xml:space="preserve">33152000-0 </t>
  </si>
  <si>
    <t>Neurostimulační systémy - část I.</t>
  </si>
  <si>
    <t>Neurostimulační systémy - část II.</t>
  </si>
  <si>
    <t>Neurostimulační systémy - část III.</t>
  </si>
  <si>
    <t>Neurostimulační systémy - část IV.</t>
  </si>
  <si>
    <t>Neurostimulační systémy - část V.</t>
  </si>
  <si>
    <t>3.2.323.</t>
  </si>
  <si>
    <t>3.2.324.</t>
  </si>
  <si>
    <t>3.2.325.</t>
  </si>
  <si>
    <r>
      <t>IROP</t>
    </r>
    <r>
      <rPr>
        <sz val="11"/>
        <color theme="1"/>
        <rFont val="Calibri"/>
        <family val="2"/>
        <charset val="238"/>
        <scheme val="minor"/>
      </rPr>
      <t xml:space="preserve"> - Lůžka, křesla, lehátka, vozíky - část I. Vyšetřovací křeslo</t>
    </r>
  </si>
  <si>
    <t>2.3.340.</t>
  </si>
  <si>
    <r>
      <t>IROP</t>
    </r>
    <r>
      <rPr>
        <sz val="11"/>
        <color theme="1"/>
        <rFont val="Calibri"/>
        <family val="2"/>
        <charset val="238"/>
        <scheme val="minor"/>
      </rPr>
      <t xml:space="preserve"> - Lůžka, křesla, lehátka, vozíky - část II. Vyšetřovací lehátko</t>
    </r>
  </si>
  <si>
    <t>2.3.341.</t>
  </si>
  <si>
    <t>2.3.342.</t>
  </si>
  <si>
    <t xml:space="preserve">33192100-3 </t>
  </si>
  <si>
    <t>33192000-2</t>
  </si>
  <si>
    <r>
      <t>IROP</t>
    </r>
    <r>
      <rPr>
        <sz val="11"/>
        <color theme="1"/>
        <rFont val="Calibri"/>
        <family val="2"/>
        <charset val="238"/>
        <scheme val="minor"/>
      </rPr>
      <t xml:space="preserve"> - Lůžka, křesla, lehátka, vozíky - část III. Porodní lůžko</t>
    </r>
  </si>
  <si>
    <r>
      <t>IROP</t>
    </r>
    <r>
      <rPr>
        <sz val="11"/>
        <color theme="1"/>
        <rFont val="Calibri"/>
        <family val="2"/>
        <charset val="238"/>
        <scheme val="minor"/>
      </rPr>
      <t xml:space="preserve"> - Lůžka, křesla, lehátka, vozíky - část IV. Resuscitační vozík</t>
    </r>
  </si>
  <si>
    <t>2.3.347.</t>
  </si>
  <si>
    <r>
      <t>IROP</t>
    </r>
    <r>
      <rPr>
        <sz val="11"/>
        <color theme="1"/>
        <rFont val="Calibri"/>
        <family val="2"/>
        <charset val="238"/>
        <scheme val="minor"/>
      </rPr>
      <t xml:space="preserve"> - Lůžka, křesla, lehátka, vozíky - část V. Transportní křeslo</t>
    </r>
  </si>
  <si>
    <t>2.3.349.</t>
  </si>
  <si>
    <r>
      <t>IROP</t>
    </r>
    <r>
      <rPr>
        <sz val="11"/>
        <color theme="1"/>
        <rFont val="Calibri"/>
        <family val="2"/>
        <charset val="238"/>
        <scheme val="minor"/>
      </rPr>
      <t xml:space="preserve"> - Lůžka, křesla, lehátka, vozíky - část VI. Transportní lehátko</t>
    </r>
  </si>
  <si>
    <t>2.3.350.</t>
  </si>
  <si>
    <r>
      <t>IROP</t>
    </r>
    <r>
      <rPr>
        <sz val="11"/>
        <color theme="1"/>
        <rFont val="Calibri"/>
        <family val="2"/>
        <charset val="238"/>
        <scheme val="minor"/>
      </rPr>
      <t xml:space="preserve"> - Lůžka, křesla, lehátka, vozíky - část VII. Standardní lůžka</t>
    </r>
  </si>
  <si>
    <r>
      <t>IROP</t>
    </r>
    <r>
      <rPr>
        <sz val="11"/>
        <color theme="1"/>
        <rFont val="Calibri"/>
        <family val="2"/>
        <charset val="238"/>
        <scheme val="minor"/>
      </rPr>
      <t xml:space="preserve"> - Lůžka, křesla, lehátka, vozíky - část VIII. Resuscitační lůžka</t>
    </r>
  </si>
  <si>
    <t>2.3.344.</t>
  </si>
  <si>
    <r>
      <rPr>
        <b/>
        <sz val="11"/>
        <color theme="1"/>
        <rFont val="Calibri"/>
        <family val="2"/>
        <charset val="238"/>
        <scheme val="minor"/>
      </rPr>
      <t>IROP</t>
    </r>
    <r>
      <rPr>
        <sz val="11"/>
        <color theme="1"/>
        <rFont val="Calibri"/>
        <family val="2"/>
        <charset val="238"/>
        <scheme val="minor"/>
      </rPr>
      <t xml:space="preserve"> – Ventilační a resuscitační technika - část I. Resuscitační přístroj</t>
    </r>
  </si>
  <si>
    <t xml:space="preserve">33172200-8  </t>
  </si>
  <si>
    <t>2.3.328.</t>
  </si>
  <si>
    <r>
      <rPr>
        <b/>
        <sz val="11"/>
        <color theme="1"/>
        <rFont val="Calibri"/>
        <family val="2"/>
        <charset val="238"/>
        <scheme val="minor"/>
      </rPr>
      <t>IROP</t>
    </r>
    <r>
      <rPr>
        <sz val="11"/>
        <color theme="1"/>
        <rFont val="Calibri"/>
        <family val="2"/>
        <charset val="238"/>
        <scheme val="minor"/>
      </rPr>
      <t xml:space="preserve"> – Ventilační a resuscitační technika - část II. Plicní ventilátor</t>
    </r>
  </si>
  <si>
    <t>33172000-6</t>
  </si>
  <si>
    <t>2.3.329.</t>
  </si>
  <si>
    <r>
      <rPr>
        <b/>
        <sz val="11"/>
        <color theme="1"/>
        <rFont val="Calibri"/>
        <family val="2"/>
        <charset val="238"/>
        <scheme val="minor"/>
      </rPr>
      <t>IROP</t>
    </r>
    <r>
      <rPr>
        <sz val="11"/>
        <color theme="1"/>
        <rFont val="Calibri"/>
        <family val="2"/>
        <charset val="238"/>
        <scheme val="minor"/>
      </rPr>
      <t xml:space="preserve"> – Ventilační a resuscitační technika - část III. Přístroj pro podporu dýchání</t>
    </r>
  </si>
  <si>
    <t>2.3.330.</t>
  </si>
  <si>
    <r>
      <rPr>
        <b/>
        <sz val="11"/>
        <color theme="1"/>
        <rFont val="Calibri"/>
        <family val="2"/>
        <charset val="238"/>
        <scheme val="minor"/>
      </rPr>
      <t>IROP</t>
    </r>
    <r>
      <rPr>
        <sz val="11"/>
        <color theme="1"/>
        <rFont val="Calibri"/>
        <family val="2"/>
        <charset val="238"/>
        <scheme val="minor"/>
      </rPr>
      <t xml:space="preserve"> – Ventilační a resuscitační technika - část IV. Zvlhčovací kanyla</t>
    </r>
  </si>
  <si>
    <t>2.3.335.</t>
  </si>
  <si>
    <t>Jiná antivirotika pro systémovou aplikaci - část I. Aciklovir</t>
  </si>
  <si>
    <t>Jiná antivirotika pro systémovou aplikaci - část II. Ganciklovir</t>
  </si>
  <si>
    <t>Jiná antivirotika pro systémovou aplikaci - část III. Valaciklovir</t>
  </si>
  <si>
    <t>Jiná antivirotika pro systémovou aplikaci - část IV. Valganciklovir</t>
  </si>
  <si>
    <t>Jiná antivirotika pro systémovou aplikaci - část V. Oseltamivir</t>
  </si>
  <si>
    <t>Jiná antivirotika pro systémovou aplikaci - část VI. Inosin pranobex</t>
  </si>
  <si>
    <t xml:space="preserve">80511000-9 </t>
  </si>
  <si>
    <t>VZ-2018-000364</t>
  </si>
  <si>
    <t>Servisní podpora pro komplet IPS</t>
  </si>
  <si>
    <t>VZ-2018-000367</t>
  </si>
  <si>
    <t>33184100-4</t>
  </si>
  <si>
    <t>Spinální implantáty - část I.</t>
  </si>
  <si>
    <t>Spinální implantáty - část II.</t>
  </si>
  <si>
    <t>Spinální implantáty - část III.</t>
  </si>
  <si>
    <t>Spinální implantáty - část IV.</t>
  </si>
  <si>
    <t>Spinální implantáty - část V.</t>
  </si>
  <si>
    <t>Spinální implantáty - část VI.</t>
  </si>
  <si>
    <t>Spinální implantáty - část VII.</t>
  </si>
  <si>
    <t>Spinální implantáty - část VIII.</t>
  </si>
  <si>
    <t>Spinální implantáty - část IX.</t>
  </si>
  <si>
    <t>Spinální implantáty - část X.</t>
  </si>
  <si>
    <t>Spinální implantáty - část XI.</t>
  </si>
  <si>
    <t>Spinální implantáty - část XII.</t>
  </si>
  <si>
    <t>Spinální implantáty - část XIII.</t>
  </si>
  <si>
    <t>VZ-2018-000368</t>
  </si>
  <si>
    <t>Rouškovací sety pro ortopedii</t>
  </si>
  <si>
    <t>33141620-2</t>
  </si>
  <si>
    <t>VZ-2018-000373</t>
  </si>
  <si>
    <t>Jídelní stolky</t>
  </si>
  <si>
    <t xml:space="preserve">33192000-1 </t>
  </si>
  <si>
    <t>INNOVA Medical s.r.o.</t>
  </si>
  <si>
    <t>BS Prague  Medical s.r.o.</t>
  </si>
  <si>
    <t>Stimcare s.r.o.</t>
  </si>
  <si>
    <t>Cardiomedical s.r.o.</t>
  </si>
  <si>
    <t>VZ-2018-000380</t>
  </si>
  <si>
    <t>42943200-0</t>
  </si>
  <si>
    <t>2.3.363.</t>
  </si>
  <si>
    <t>VZ-2018-000381</t>
  </si>
  <si>
    <t>Vysoušeče vlasů a rukou</t>
  </si>
  <si>
    <t>39712210-1, 39712300</t>
  </si>
  <si>
    <t>VZ-2018-000382</t>
  </si>
  <si>
    <t>Noční stolky a noční stolky s jídelní deskou</t>
  </si>
  <si>
    <t>VZ-2018-000386</t>
  </si>
  <si>
    <t>Genetický a epigenitický analyzátor nukleových kyselin</t>
  </si>
  <si>
    <t>2.2.185.</t>
  </si>
  <si>
    <t>VZ-2018-000387</t>
  </si>
  <si>
    <t>Křesla pro kardiaky II.</t>
  </si>
  <si>
    <t>VZ-2018-000388</t>
  </si>
  <si>
    <t>Kapičkový digitální PCR systém</t>
  </si>
  <si>
    <t>38950000-9</t>
  </si>
  <si>
    <t>2.2.183.</t>
  </si>
  <si>
    <t>zrušit</t>
  </si>
  <si>
    <t>KRD - obchodní společnost s.r.o.</t>
  </si>
  <si>
    <t>UNIPRO-APLHA CS s.r.o.</t>
  </si>
  <si>
    <t>GioMed Group s.r.o.</t>
  </si>
  <si>
    <t>KS Klima service s.r.o.</t>
  </si>
  <si>
    <t>VZ-2018-000392</t>
  </si>
  <si>
    <t>Servis a opravy automatizovaných dveří</t>
  </si>
  <si>
    <t>44221220-6</t>
  </si>
  <si>
    <t>VZ-2018-000394</t>
  </si>
  <si>
    <t>2.2.80.-81;2.2.145-146</t>
  </si>
  <si>
    <t>Větrání trafostanice TS1</t>
  </si>
  <si>
    <t>45331200-8</t>
  </si>
  <si>
    <t>4.2.96.</t>
  </si>
  <si>
    <t>VZ-2018-000398</t>
  </si>
  <si>
    <t>Dodávka rackových UPS stanic</t>
  </si>
  <si>
    <t>Vz-2018-000399</t>
  </si>
  <si>
    <t>Výměna podhledů a dveří na OPS Oční kliniky</t>
  </si>
  <si>
    <t>VZ-2018-000401</t>
  </si>
  <si>
    <t xml:space="preserve">Aktivní prvky </t>
  </si>
  <si>
    <t>VZ-2018-000406</t>
  </si>
  <si>
    <t>Materiál spotřební k extrakorporální membránové oxygenaci ECMO</t>
  </si>
  <si>
    <t xml:space="preserve">33140000-3 </t>
  </si>
  <si>
    <t>VZ-2018-000407</t>
  </si>
  <si>
    <t>Instrumentarium LigaSure</t>
  </si>
  <si>
    <t>CompuNet s.r.o.</t>
  </si>
  <si>
    <t>VZ-2018-000397</t>
  </si>
  <si>
    <t>Předpokládaná hodnota v Kč bez DPH u VZ s podepsanou smlouvou</t>
  </si>
  <si>
    <t>VZ-2018-000408</t>
  </si>
  <si>
    <t>VZ-2018-000409</t>
  </si>
  <si>
    <t>Vrtačky</t>
  </si>
  <si>
    <t>VZ-2018-000416</t>
  </si>
  <si>
    <t>Revize vyhrazených elektrických zařízení</t>
  </si>
  <si>
    <t>50710000-5</t>
  </si>
  <si>
    <t>Výroba a montáž nábytku III.</t>
  </si>
  <si>
    <r>
      <rPr>
        <b/>
        <sz val="11"/>
        <color theme="1"/>
        <rFont val="Calibri"/>
        <family val="2"/>
        <charset val="238"/>
        <scheme val="minor"/>
      </rPr>
      <t>IROP</t>
    </r>
    <r>
      <rPr>
        <sz val="11"/>
        <color theme="1"/>
        <rFont val="Calibri"/>
        <family val="2"/>
        <charset val="238"/>
        <scheme val="minor"/>
      </rPr>
      <t xml:space="preserve"> - Inkubátory - část I. Inkubátor kombinovaný</t>
    </r>
  </si>
  <si>
    <r>
      <rPr>
        <b/>
        <sz val="11"/>
        <color theme="1"/>
        <rFont val="Calibri"/>
        <family val="2"/>
        <charset val="238"/>
        <scheme val="minor"/>
      </rPr>
      <t xml:space="preserve">IROP </t>
    </r>
    <r>
      <rPr>
        <sz val="11"/>
        <color theme="1"/>
        <rFont val="Calibri"/>
        <family val="2"/>
        <charset val="238"/>
        <scheme val="minor"/>
      </rPr>
      <t>- Inkubátory - část III. Inkubátor transportní</t>
    </r>
  </si>
  <si>
    <r>
      <rPr>
        <b/>
        <sz val="11"/>
        <color theme="1"/>
        <rFont val="Calibri"/>
        <family val="2"/>
        <charset val="238"/>
        <scheme val="minor"/>
      </rPr>
      <t>IROP</t>
    </r>
    <r>
      <rPr>
        <sz val="11"/>
        <color theme="1"/>
        <rFont val="Calibri"/>
        <family val="2"/>
        <charset val="238"/>
        <scheme val="minor"/>
      </rPr>
      <t xml:space="preserve"> - Inkubátory - část II. Inkubátor resuscitační</t>
    </r>
  </si>
  <si>
    <t>2.3.308.</t>
  </si>
  <si>
    <t>VZ-2018-000419</t>
  </si>
  <si>
    <t>VZ-2018-000420</t>
  </si>
  <si>
    <t>OEF</t>
  </si>
  <si>
    <t>Buzkova</t>
  </si>
  <si>
    <t xml:space="preserve">79212300-6 </t>
  </si>
  <si>
    <t>Přezkoumání hospodaření státní příspěvkové organizace za období 2018-2021</t>
  </si>
  <si>
    <t>VZ-2018-000423</t>
  </si>
  <si>
    <t>Sekvenátor pro masívně paralelní sekvenci s bioinformatickou vyhodnocovací stanicí pro NGS analýzy</t>
  </si>
  <si>
    <t>2.2.130.; 2.2.182.</t>
  </si>
  <si>
    <t>Sezame Product s.r.o.</t>
  </si>
  <si>
    <t>2.3.360.</t>
  </si>
  <si>
    <t>VZ-2018-000424</t>
  </si>
  <si>
    <t>VZ-2018-000426</t>
  </si>
  <si>
    <t>2.2.142.;2.2.156.;2.2.159.;2.2.160.;2.2.163 -167.; 2.2.170.;2.2.176.; 2.3.306.</t>
  </si>
  <si>
    <t>ProSpon spol. s r.o.</t>
  </si>
  <si>
    <t xml:space="preserve">33141200-2 </t>
  </si>
  <si>
    <t>Elektrofyziologie - část I.</t>
  </si>
  <si>
    <t>Elektrofyziologie - část II.</t>
  </si>
  <si>
    <t>Elektrofyziologie - část III.</t>
  </si>
  <si>
    <t>Elektrofyziologie - část IV.</t>
  </si>
  <si>
    <t>Elektrofyziologie - část V</t>
  </si>
  <si>
    <t>Elektrofyziologie - část VI.</t>
  </si>
  <si>
    <t>Elektrofyziologie - část VII.</t>
  </si>
  <si>
    <t>Elektrofyziologie - část VIII.</t>
  </si>
  <si>
    <t>Elektrofyziologie - část IX.</t>
  </si>
  <si>
    <t>Elektrofyziologie - část X</t>
  </si>
  <si>
    <t>Elektrofyziologie - část XI.</t>
  </si>
  <si>
    <t>Elektrofyziologie - část XII.</t>
  </si>
  <si>
    <t>BioVendor a.s.</t>
  </si>
  <si>
    <t>Laparotech Instruments s.r.o.</t>
  </si>
  <si>
    <t>KLARO s.r.o.</t>
  </si>
  <si>
    <t>VZ-2018-000427</t>
  </si>
  <si>
    <t>Dezinfektory podložních mís</t>
  </si>
  <si>
    <t>2.2.151, 2.3.304</t>
  </si>
  <si>
    <t>VZ-2018-000429</t>
  </si>
  <si>
    <t>Mixážní sprchový panel</t>
  </si>
  <si>
    <t>2.2.148.</t>
  </si>
  <si>
    <t>VZ-2018-000440</t>
  </si>
  <si>
    <t>33195000-3</t>
  </si>
  <si>
    <t>2.2.83;2.2.149;2.3.321</t>
  </si>
  <si>
    <t>Monitorovací systém vitálních funkcí</t>
  </si>
  <si>
    <t>Data-Inter s.r.o.</t>
  </si>
  <si>
    <t>VZ-2018-000441</t>
  </si>
  <si>
    <t>Přístroje pro monitoring životních funkcí plodu - část I. KTG</t>
  </si>
  <si>
    <t>2.3.339.</t>
  </si>
  <si>
    <t>Přístroje pro monitoring životních funkcí plodu - část II. ST analyzátor</t>
  </si>
  <si>
    <t>2.3.343.</t>
  </si>
  <si>
    <t>Endoskopické vybavení II. Interní kliniky - část I. Endoskopický systém</t>
  </si>
  <si>
    <t>Endoskopické vybavení II. Interní kliniky - část II. Dovybavení end. Věže</t>
  </si>
  <si>
    <t>BIO-RAD spol. s r.o.</t>
  </si>
  <si>
    <t>ARID obchodní společnost s.r.o.</t>
  </si>
  <si>
    <t>VZ-2018-000455</t>
  </si>
  <si>
    <t>Tryskový ventilátor</t>
  </si>
  <si>
    <t>2.2.184.</t>
  </si>
  <si>
    <t>Air Klimont s.r.o.</t>
  </si>
  <si>
    <t>VZ-2018-000456</t>
  </si>
  <si>
    <t>Skříně na sušení endoskopů</t>
  </si>
  <si>
    <t>VZ-2018-000457</t>
  </si>
  <si>
    <t>2.2.156.</t>
  </si>
  <si>
    <t>Spáčil</t>
  </si>
  <si>
    <t>Realizace parkoviště u lékárny FNOL</t>
  </si>
  <si>
    <t>45223300-9</t>
  </si>
  <si>
    <t>1.3.17.</t>
  </si>
  <si>
    <t>VZ-2018-000459</t>
  </si>
  <si>
    <t>Repas operačního stolu Maquet</t>
  </si>
  <si>
    <t>50420000-5</t>
  </si>
  <si>
    <t>VZ-2018-000462</t>
  </si>
  <si>
    <t>Monitory životních a mozkových funkcí - část I.</t>
  </si>
  <si>
    <t>2.3.326.</t>
  </si>
  <si>
    <t>Monitory životních a mozkových funkcí - část II.</t>
  </si>
  <si>
    <t>2.3.327.</t>
  </si>
  <si>
    <t>Monitory životních a mozkových funkcí - část III.</t>
  </si>
  <si>
    <t>2.3.348.</t>
  </si>
  <si>
    <t>VZ-2018-000463</t>
  </si>
  <si>
    <t>Paramagnetické kontrastní látky - část I.</t>
  </si>
  <si>
    <t>Paramagnetické kontrastní látky - část II.</t>
  </si>
  <si>
    <t>Paramagnetické kontrastní látky - část III.</t>
  </si>
  <si>
    <t>Siemens Healthcare s.r.o.</t>
  </si>
  <si>
    <t>VZ-2018-000469</t>
  </si>
  <si>
    <t>Katetry trombektomické II.</t>
  </si>
  <si>
    <t>VZ-2018-000470</t>
  </si>
  <si>
    <t>Ultrazvukový aspirátor</t>
  </si>
  <si>
    <t>Ultrazvuková čistička</t>
  </si>
  <si>
    <t>KONE a.s.</t>
  </si>
  <si>
    <t xml:space="preserve">Edwards Lifesciences </t>
  </si>
  <si>
    <t>VZ-2018-000493</t>
  </si>
  <si>
    <t>2.2.91;2.2.174</t>
  </si>
  <si>
    <t>2.2.82; 2.2.175</t>
  </si>
  <si>
    <t>2.4.100</t>
  </si>
  <si>
    <t>Přístroje pro plicní ventilaci - část I. Plicní ventilátory</t>
  </si>
  <si>
    <t>Přístroje pro plicní ventilaci - část II. Transportní ventilátory</t>
  </si>
  <si>
    <t>Přístroje pro plicní ventilaci - část III. Neinvazivní plicní ventilátor</t>
  </si>
  <si>
    <t>FIZA, a.s.</t>
  </si>
  <si>
    <t>Explorea s.r.o.</t>
  </si>
  <si>
    <t>VZ-2018-000466</t>
  </si>
  <si>
    <t>Materiál spotřební k separátorům krevních čístic Trima Accel</t>
  </si>
  <si>
    <t>VZ-2018-000497</t>
  </si>
  <si>
    <t>EU</t>
  </si>
  <si>
    <t>Knápek</t>
  </si>
  <si>
    <t>Úhradový modul</t>
  </si>
  <si>
    <t>VZ-2018-000503</t>
  </si>
  <si>
    <t>Zřízení jídelny, šatny a hygienického zařízení pro zaměstnance</t>
  </si>
  <si>
    <t>45213400-7</t>
  </si>
  <si>
    <t>4.2.15.</t>
  </si>
  <si>
    <t>3.2.27.</t>
  </si>
  <si>
    <t>VZ-2018-000467</t>
  </si>
  <si>
    <t>Sety k separátoru krevních elementů Spectra Optia</t>
  </si>
  <si>
    <t>Vistex Medical s..r.o.</t>
  </si>
  <si>
    <t>VZ-2018-000505</t>
  </si>
  <si>
    <t>Demolice objektů v areálu FNOL</t>
  </si>
  <si>
    <t>45111000-8</t>
  </si>
  <si>
    <t>VZ-2018-000508</t>
  </si>
  <si>
    <t>Mobilní RTG</t>
  </si>
  <si>
    <t>33111000-1</t>
  </si>
  <si>
    <t>VZ-2018-000509</t>
  </si>
  <si>
    <t>Tromboelastograf</t>
  </si>
  <si>
    <t>2.3.351.</t>
  </si>
  <si>
    <t>2.3.337.</t>
  </si>
  <si>
    <t>Europapier-Bohemia</t>
  </si>
  <si>
    <t>Inkubátory CO2 - část I. 60l</t>
  </si>
  <si>
    <t>Inkubátory CO2 - část II. 240 l</t>
  </si>
  <si>
    <t>INDUBIA s.r.o.</t>
  </si>
  <si>
    <t>MEDISUN profi s.r.o.</t>
  </si>
  <si>
    <t>Johnson &amp; Johnson s.r.o.</t>
  </si>
  <si>
    <t>ADYTON s.r.o.</t>
  </si>
  <si>
    <t>VZ-2018-000512</t>
  </si>
  <si>
    <t xml:space="preserve">33192300-5 </t>
  </si>
  <si>
    <t>VZ-2018-000513</t>
  </si>
  <si>
    <t>Podlahářské práce</t>
  </si>
  <si>
    <t xml:space="preserve">45430000-0 </t>
  </si>
  <si>
    <t>VZ-2018-000523</t>
  </si>
  <si>
    <t xml:space="preserve">34911100-7 </t>
  </si>
  <si>
    <t>VZ-2018-000527</t>
  </si>
  <si>
    <t>Chlazení laboratoří Ústavu imunologie - 4.NP</t>
  </si>
  <si>
    <t>4.2.97.</t>
  </si>
  <si>
    <t xml:space="preserve">39717200-3 </t>
  </si>
  <si>
    <t>VZ-2018-000534</t>
  </si>
  <si>
    <t xml:space="preserve">45213400-7 </t>
  </si>
  <si>
    <t>4.2.99.</t>
  </si>
  <si>
    <t>Úprava místností pro technický dispečink</t>
  </si>
  <si>
    <t>VZ-2018-000535</t>
  </si>
  <si>
    <t>Inkubátory CO2 - objem 150l</t>
  </si>
  <si>
    <t>Standardní a intenzivní nemocniční lůžka - část I. Standardní lůžka</t>
  </si>
  <si>
    <t>Standardní a intenzivní nemocniční lůžka - část II. Intenzivní lůžka</t>
  </si>
  <si>
    <t>S &amp; T Plus s.r.o.</t>
  </si>
  <si>
    <t>ZIMMER Czech s.r.o.</t>
  </si>
  <si>
    <t>VZ-2018-000556</t>
  </si>
  <si>
    <t>Mycí a dezinfekční automaty pro flexibilní endoskopy s příslušenstvím</t>
  </si>
  <si>
    <t>2.2.150.</t>
  </si>
  <si>
    <t>Cardiomedical, s.r.o.</t>
  </si>
  <si>
    <t>VZ-2018-000570</t>
  </si>
  <si>
    <t>Výměna chladící jednotky v budově D1</t>
  </si>
  <si>
    <t>ARJO Czech republic s.r.o.</t>
  </si>
  <si>
    <t>BTL zdravotnická technika a.s.</t>
  </si>
  <si>
    <t>Dartin spol. s r.o.</t>
  </si>
  <si>
    <t>VZ-2018-000575</t>
  </si>
  <si>
    <t>Léčivé přípravky s účinnou látkou fentanyl - citrát 2018</t>
  </si>
  <si>
    <t>33661200-3</t>
  </si>
  <si>
    <t>VZ-2018-000578</t>
  </si>
  <si>
    <t>Sprchovací technika</t>
  </si>
  <si>
    <t>2.2.94, 2.2.95, 2.2.154, 2.2.155, 2.2.172</t>
  </si>
  <si>
    <t>BoneCare s.r.o.</t>
  </si>
  <si>
    <t>Mediservis s.r.o.</t>
  </si>
  <si>
    <t>4.2.84.</t>
  </si>
  <si>
    <t>Srdeční chlopně a anuloplastické prstence - část I.</t>
  </si>
  <si>
    <t>Srdeční chlopně a anuloplastické prstence - část II.</t>
  </si>
  <si>
    <t>Srdeční chlopně a anuloplastické prstence - část III.</t>
  </si>
  <si>
    <t>Srdeční chlopně a anuloplastické prstence - část IV.</t>
  </si>
  <si>
    <t>Srdeční chlopně a anuloplastické prstence - část V.</t>
  </si>
  <si>
    <t>Srdeční chlopně a anuloplastické prstence - část VI.</t>
  </si>
  <si>
    <t>Srdeční chlopně a anuloplastické prstence - část VII.</t>
  </si>
  <si>
    <t>Srdeční chlopně a anuloplastické prstence - část VIII.</t>
  </si>
  <si>
    <t>Srdeční chlopně a anuloplastické prstence - část IX.</t>
  </si>
  <si>
    <t>VZ-2018-000586</t>
  </si>
  <si>
    <t>Valtová</t>
  </si>
  <si>
    <t>Katetrizační systém ke katetrizační korekci mitrálni regurgitace – Systém MitraClip kit</t>
  </si>
  <si>
    <t>VZ-2018-000590</t>
  </si>
  <si>
    <t>Rekonstrukce topného kanálu</t>
  </si>
  <si>
    <t>4.2.63.</t>
  </si>
  <si>
    <t>45332000-3</t>
  </si>
  <si>
    <t>Life Technologies s.r.o.</t>
  </si>
  <si>
    <t>VZ-2018-000592</t>
  </si>
  <si>
    <t>Křesla pro kardiaky III.</t>
  </si>
  <si>
    <t>VZ-2018-000593</t>
  </si>
  <si>
    <t>VZ-2018-000594</t>
  </si>
  <si>
    <t>Kleště ablační pro thoraskopickou ablaci plicních žil</t>
  </si>
  <si>
    <t>VZ-2018-000595</t>
  </si>
  <si>
    <t>VZ-2018-000599</t>
  </si>
  <si>
    <t>Úprava místností pro technický dispečink II</t>
  </si>
  <si>
    <t>VZ-2018-000601</t>
  </si>
  <si>
    <t>Dodávka diagnostických stanic pro RTG</t>
  </si>
  <si>
    <t>3.2.17.</t>
  </si>
  <si>
    <t>SEFIMA s.r.o.</t>
  </si>
  <si>
    <t>VZ-2018-000603</t>
  </si>
  <si>
    <t>Somatropin - část I. Genotropin</t>
  </si>
  <si>
    <t>33642100-3</t>
  </si>
  <si>
    <t>Somatropin - část II. Humatrope</t>
  </si>
  <si>
    <t>Somatropin - část III. Norditropin</t>
  </si>
  <si>
    <t>Somatropin - část IV. Nutropinaq</t>
  </si>
  <si>
    <t>Somatropin - část V. Omnitrope</t>
  </si>
  <si>
    <t>Somatropin - část VI. Saizen</t>
  </si>
  <si>
    <t>Somatropin - část VII. Zomacton</t>
  </si>
  <si>
    <t>VZ-2018-000604</t>
  </si>
  <si>
    <t>Antianemika 2018 -  část I. Erytropoetin nebo darbepoetin alfa pro léčbu symptomatické anémie při chronickém selhání ledvin</t>
  </si>
  <si>
    <t xml:space="preserve"> 33621300-2 </t>
  </si>
  <si>
    <t>Antianemika 2018 - část II. Pegepoetin beta</t>
  </si>
  <si>
    <t>VZ-2018-000605</t>
  </si>
  <si>
    <t>33622200-8</t>
  </si>
  <si>
    <t>Léčivé přípravky pro léčbu plicní arteriální hypertenze - část I.</t>
  </si>
  <si>
    <t>Léčivé přípravky pro léčbu plicní arteriální hypertenze - část II.</t>
  </si>
  <si>
    <t>Léčivé přípravky pro léčbu plicní arteriální hypertenze - část III.</t>
  </si>
  <si>
    <t>Léčivé přípravky pro léčbu plicní arteriální hypertenze - část IV.</t>
  </si>
  <si>
    <t>Léčivé přípravky pro léčbu plicní arteriální hypertenze - část V.</t>
  </si>
  <si>
    <t>Léčivé přípravky pro léčbu plicní arteriální hypertenze - část VI.</t>
  </si>
  <si>
    <t>Léčivé přípravky pro léčbu plicní arteriální hypertenze - část VII.</t>
  </si>
  <si>
    <t>Léčivé přípravky pro léčbu plicní arteriální hypertenze - část VIII.</t>
  </si>
  <si>
    <t>VZ-2018-000606</t>
  </si>
  <si>
    <t>Interferony 2018 - část I. Interferon alfa 2b</t>
  </si>
  <si>
    <t>Interferony 2018 - část II. Interferon beta-1a I</t>
  </si>
  <si>
    <t>Interferony 2018 - část III. Interferon beta-1a II</t>
  </si>
  <si>
    <t>Interferony 2018 - část IV. nterferon beta-1b</t>
  </si>
  <si>
    <t>Interferony 2018 - část V. Peginterferon alfa</t>
  </si>
  <si>
    <t>Interferony 2018 - část VI. Peginterferon beta-1a</t>
  </si>
  <si>
    <t>VZ-2018-000607</t>
  </si>
  <si>
    <t>Antivirotika pro systémovou aplikaci-antihepatitidová - část I. Ribarvin</t>
  </si>
  <si>
    <t>Antivirotika pro systémovou aplikaci-antihepatitidová - část II. Tenofovir</t>
  </si>
  <si>
    <t>Antivirotika pro systémovou aplikaci-antihepatitidová - část III. Monohydrát</t>
  </si>
  <si>
    <t>Antivirotika pro systémovou aplikaci-antihepatitidová - část IV. Ombitasvir</t>
  </si>
  <si>
    <t>Antivirotika pro systémovou aplikaci-antihepatitidová - část V. Sofosbuvir/ledipasvir</t>
  </si>
  <si>
    <t>Antivirotika pro systémovou aplikaci-antihepatitidová - část VI.Sofosbuvir/velpatasvir</t>
  </si>
  <si>
    <t>Antivirotika pro systémovou aplikaci-antihepatitidová - část VII. Sofosbuvir/…</t>
  </si>
  <si>
    <t>Antivirotika pro systémovou aplikaci-antihepatitidová - část VIII. Elbasvir</t>
  </si>
  <si>
    <t>VZ-2018-000608</t>
  </si>
  <si>
    <t>Anestetika celková-halogenované uhlovodíky - část I. Desfluran</t>
  </si>
  <si>
    <t>Anestetika celková-halogenované uhlovodíky - část II. Sevofluran</t>
  </si>
  <si>
    <t>33661100-2</t>
  </si>
  <si>
    <t>VZ-2018-000609</t>
  </si>
  <si>
    <t>Endoskopické vybavení II. Interní kliniky - II. - část I. Endoskopický systém</t>
  </si>
  <si>
    <t>Endoskopické vybavení II. Interní kliniky - II. - část II. Dovybavení endoskop.věže</t>
  </si>
  <si>
    <t>VZ-2018-000610</t>
  </si>
  <si>
    <t>Materiál spotřební k harmonickému skalpelu</t>
  </si>
  <si>
    <t>33162200-5</t>
  </si>
  <si>
    <t xml:space="preserve">Sonda ablační Cryoflex </t>
  </si>
  <si>
    <t>VZ-2018-000612</t>
  </si>
  <si>
    <t>Mobilní zvedací systém</t>
  </si>
  <si>
    <t>2.2.96.;2.2.162.</t>
  </si>
  <si>
    <t>VZ-2018-000600</t>
  </si>
  <si>
    <t>Výměna protipožárních dveří v kolektoru</t>
  </si>
  <si>
    <t>45421000-4</t>
  </si>
  <si>
    <t>4.2.21.</t>
  </si>
  <si>
    <t>VZ-2018-000617</t>
  </si>
  <si>
    <t>Realizace parkoviště pod Dětskou klinikou a u lékárny - část I. DK</t>
  </si>
  <si>
    <t>Realizace parkoviště pod Dětskou klinikou a u lékárny - část II. Lékárna</t>
  </si>
  <si>
    <t xml:space="preserve">1.3.16. </t>
  </si>
  <si>
    <t xml:space="preserve"> 1.3.17. </t>
  </si>
  <si>
    <t>BRADA Interiéry s.r.o.</t>
  </si>
  <si>
    <t>COMP´S spol. s r.o.</t>
  </si>
  <si>
    <t>Diagnostic Pharmaceuticals a.s.</t>
  </si>
  <si>
    <t>Bracco Imaging Czech s.r.o.</t>
  </si>
  <si>
    <t>Löhmann Rauscher s.r.o.</t>
  </si>
  <si>
    <t xml:space="preserve">Okludery určené ke katetrizačnímu uzávěru ….. </t>
  </si>
  <si>
    <t>VZ-2018-000624</t>
  </si>
  <si>
    <t>Stříkačky proplachovací předplněné fyziologickým roztokem</t>
  </si>
  <si>
    <t>33141310-6</t>
  </si>
  <si>
    <t>VZ-2018-000630</t>
  </si>
  <si>
    <t>Operační jednotka a spotřební materiál pro chirurgii předního a zadního segmentu oka</t>
  </si>
  <si>
    <t>VZ-2018-000637</t>
  </si>
  <si>
    <t>VZ-2018-000649</t>
  </si>
  <si>
    <t>Rekonstrukce osvětlení budova A</t>
  </si>
  <si>
    <t>VZ-2018-000651</t>
  </si>
  <si>
    <t>Lůžko bariatrické s antidekubitní matrací</t>
  </si>
  <si>
    <t>33192130-2</t>
  </si>
  <si>
    <t>2.2.137.,2.2.147.</t>
  </si>
  <si>
    <t>Allinex Kácovská s.r.o.</t>
  </si>
  <si>
    <t>INTOP Olomouc CZ s.r.o.</t>
  </si>
  <si>
    <t>VZ-2018-000656</t>
  </si>
  <si>
    <t>Radiální endosonografie</t>
  </si>
  <si>
    <t>2.2.118.</t>
  </si>
  <si>
    <t>VZ-2018-000662</t>
  </si>
  <si>
    <t>Pomůcky polohovací a antidekubitní</t>
  </si>
  <si>
    <t>VZ-2018-000663</t>
  </si>
  <si>
    <t>Sprchovací technika II</t>
  </si>
  <si>
    <t>33000000-0</t>
  </si>
  <si>
    <t>VZ-2018-000664</t>
  </si>
  <si>
    <t>Vozíky k uložení léčiv a zdravotnického materiálu</t>
  </si>
  <si>
    <t>MIZ- Olomouc s.r.o.</t>
  </si>
  <si>
    <t>VZ-2018-000665</t>
  </si>
  <si>
    <t>Přístroj pro měření hemodynamiky</t>
  </si>
  <si>
    <t xml:space="preserve">33195100-4 </t>
  </si>
  <si>
    <t>2.3.333.</t>
  </si>
  <si>
    <t>MAQUET Czech Republic, s.r.o.</t>
  </si>
  <si>
    <t>VZ-2018-000681</t>
  </si>
  <si>
    <t>Větrání tkáňové banky</t>
  </si>
  <si>
    <t>4.2.101.</t>
  </si>
  <si>
    <t>VZ-2018-000685</t>
  </si>
  <si>
    <t>Novostavba pavilonu HOK - Olomouc</t>
  </si>
  <si>
    <t>Rozdíl mezi předpokládanou a vítěznou hodnotou u podepsaných smluv v Kč bez DPH</t>
  </si>
  <si>
    <t>Rozdíl mezi předpokládanou a víteznou hodnotou u podepsaných smluv v %</t>
  </si>
  <si>
    <t>VZ-2018-000702</t>
  </si>
  <si>
    <t>EKG holter</t>
  </si>
  <si>
    <t>33123210-3</t>
  </si>
  <si>
    <t>2.3.364.</t>
  </si>
  <si>
    <t>MSM, spol. s r.o.</t>
  </si>
  <si>
    <t>SWIETELSKY stavební s.r.o.</t>
  </si>
  <si>
    <t>VZ-2018-000727</t>
  </si>
  <si>
    <t>1.2.42.</t>
  </si>
  <si>
    <t>Úprava vstupu do budovy D1 a D2</t>
  </si>
  <si>
    <t>VZ-2018-000728</t>
  </si>
  <si>
    <t>Servisní podpora informačního systému eKLIN/ePOST ve Fakultní nemocnici Olomouc</t>
  </si>
  <si>
    <t>VZ-2018-000730</t>
  </si>
  <si>
    <t>Dodávka monitorů</t>
  </si>
  <si>
    <t>VZ-2018-000731</t>
  </si>
  <si>
    <t>Sanace průsaku vody v kolektoru</t>
  </si>
  <si>
    <t>45262340-6</t>
  </si>
  <si>
    <t>4.2.65.</t>
  </si>
  <si>
    <t>Výměna požárních dveří v budově L</t>
  </si>
  <si>
    <t>VZ-2018-000744</t>
  </si>
  <si>
    <t>VZ-2018-000745</t>
  </si>
  <si>
    <t xml:space="preserve">Úpravy Neurologické kliniky v budově M1 a M2 </t>
  </si>
  <si>
    <t>IF Facility a.s.</t>
  </si>
  <si>
    <t>Meditrade  spol. s r.o.</t>
  </si>
  <si>
    <t>Suppmed s.r.o.</t>
  </si>
  <si>
    <t>VZ-2018-000753</t>
  </si>
  <si>
    <t>Komplexní servis prádla pro FN Olomouc</t>
  </si>
  <si>
    <t>98310000-9</t>
  </si>
  <si>
    <t>A.M.I.- Analytical Medical In.</t>
  </si>
  <si>
    <t>Saegeling Medizintechnik</t>
  </si>
  <si>
    <t>JK New product s.r.o.</t>
  </si>
  <si>
    <t>VZ-2018-000771</t>
  </si>
  <si>
    <t>Toaletní a sprchovací křesla a židle</t>
  </si>
  <si>
    <t>VZ-2018-000772</t>
  </si>
  <si>
    <t>Flowmon sonda</t>
  </si>
  <si>
    <t>48821000-9</t>
  </si>
  <si>
    <t>3.2.30.</t>
  </si>
  <si>
    <t>VZ-2018-000775</t>
  </si>
  <si>
    <t>Ubytování a služby spojené s realizací vzdělávací akce pro vedoucí zaměstnance FN Olomouc</t>
  </si>
  <si>
    <t>AutoCont a.s.</t>
  </si>
  <si>
    <t>VZ-2018-000783</t>
  </si>
  <si>
    <t>Mycí a oplachová chemie do profesionálních mycích strojů pro kuchyň</t>
  </si>
  <si>
    <t>39832000-3</t>
  </si>
  <si>
    <t>VZ-2018-000818</t>
  </si>
  <si>
    <t>VZ-2018-000821</t>
  </si>
  <si>
    <t>Přístupový systém pro výtah č.75</t>
  </si>
  <si>
    <t>4.2.68., 4.2.69.</t>
  </si>
  <si>
    <t>35120000-1</t>
  </si>
  <si>
    <t>MORKUS Morava s.r.o.</t>
  </si>
  <si>
    <t>Z Technik s.r.o.</t>
  </si>
  <si>
    <t>DEV COMPANY, spol. s r.o.</t>
  </si>
  <si>
    <t>Otáhal Miloslav</t>
  </si>
  <si>
    <t>FOMA Medical spol. s  r.o.</t>
  </si>
  <si>
    <t>Pozemstav Prostějov a.s.</t>
  </si>
  <si>
    <t>Marie Hrochová</t>
  </si>
  <si>
    <t>Senzory k měření hemodynamiky</t>
  </si>
  <si>
    <t>VZ-2018-000830</t>
  </si>
  <si>
    <t>VZ-2018-000831</t>
  </si>
  <si>
    <t>VZ-2018-000832</t>
  </si>
  <si>
    <t>Kleště bioptické myokardiální</t>
  </si>
  <si>
    <t>VZ-2018-000847</t>
  </si>
  <si>
    <t>Transientní elastograf</t>
  </si>
  <si>
    <t>2.2.141.</t>
  </si>
  <si>
    <t>VZ-2018-000849</t>
  </si>
  <si>
    <t>2.2.69.</t>
  </si>
  <si>
    <t>Mikro-ultrazvukový přístroj pro navigaci biopsie prostaty</t>
  </si>
  <si>
    <t>Medifine a.s.</t>
  </si>
  <si>
    <t>VZ-2018-000862</t>
  </si>
  <si>
    <t>Kapilární hemodialyzátory 2018 - část I. Low Flux</t>
  </si>
  <si>
    <t>Kapilární hemodialyzátory 2018 - část II. High Flux</t>
  </si>
  <si>
    <t>VZ-2018-000866</t>
  </si>
  <si>
    <t>Kalibrace a validace měřidel a zařízení 2019- část I.</t>
  </si>
  <si>
    <t>Kalibrace a validace měřidel a zařízení 2019 - část II. ConWin</t>
  </si>
  <si>
    <t>VZ-2018-000872</t>
  </si>
  <si>
    <t>Odstranění závad z revize medicinálních plynů, budova S2</t>
  </si>
  <si>
    <t>4.2.67.</t>
  </si>
  <si>
    <t>VZ-2018-000873</t>
  </si>
  <si>
    <t>Operační mikroskop</t>
  </si>
  <si>
    <t>2.2.132.</t>
  </si>
  <si>
    <t>Ortoservis s.r.o.</t>
  </si>
  <si>
    <t>Diagnostika a spotřební materiál pro vyšetřní presepsinu se zápůjčkou analyzátoru</t>
  </si>
  <si>
    <t>VZ-2018-000883</t>
  </si>
  <si>
    <t>Radiofarmakum fludeoxyglukóza 18F</t>
  </si>
  <si>
    <t>VZ-2018-000887</t>
  </si>
  <si>
    <t>Čočky nitrooční</t>
  </si>
  <si>
    <t>VZ-2018-000890</t>
  </si>
  <si>
    <t>Macerátory</t>
  </si>
  <si>
    <t>42996110-8</t>
  </si>
  <si>
    <t>2.2.178.</t>
  </si>
  <si>
    <t>VZ-2018-000892</t>
  </si>
  <si>
    <t>Flexibilní ureteroskopy a cytoskop</t>
  </si>
  <si>
    <t>2.3.358.,2.3.359.</t>
  </si>
  <si>
    <t>VZ-2018-000904</t>
  </si>
  <si>
    <t>Sety infuzní pro podání světlocitlivých cytostatik</t>
  </si>
  <si>
    <t>VZ-2018-000915</t>
  </si>
  <si>
    <t>Digitální dermatoskop s celotělovým skenerem</t>
  </si>
  <si>
    <t>33166000-1</t>
  </si>
  <si>
    <t>2.3.361.</t>
  </si>
  <si>
    <t>VZ-2018-000919</t>
  </si>
  <si>
    <t>VZ-2018-000920</t>
  </si>
  <si>
    <t>LP s obsahem účinné látky alteplasa, degarelix-acetát, abirateron-acetát, - I.</t>
  </si>
  <si>
    <t>LP s obsahem účinné látky alteplasa, degarelix-acetát, abirateron-acetát, - II.</t>
  </si>
  <si>
    <t>LP s obsahem účinné látky alteplasa, degarelix-acetát, abirateron-acetát, - III.</t>
  </si>
  <si>
    <t>LP s obsahem účinné látky alteplasa, degarelix-acetát, abirateron-acetát, - IV.</t>
  </si>
  <si>
    <t>LP s obsahem účinné látky alteplasa, degarelix-acetát, abirateron-acetát, - V.</t>
  </si>
  <si>
    <t>LP s obsahem účinné látky alteplasa, degarelix-acetát, abirateron-acetát, - VI.</t>
  </si>
  <si>
    <t>VZ-2018-000925</t>
  </si>
  <si>
    <t>Rekonstrukce zákrokového sálu ortopedie</t>
  </si>
  <si>
    <t>33621100-0</t>
  </si>
  <si>
    <t>33642000-2</t>
  </si>
  <si>
    <t>33632000-9</t>
  </si>
  <si>
    <t>33670000-7</t>
  </si>
  <si>
    <t>Medicinální a technické plyny</t>
  </si>
  <si>
    <t>24111500-5</t>
  </si>
  <si>
    <t>VZ-2018-000906</t>
  </si>
  <si>
    <t>VZ-2018-000928</t>
  </si>
  <si>
    <t>Toaletní papír a papírové ručníky Z-Z</t>
  </si>
  <si>
    <t>VZ-2018-000932</t>
  </si>
  <si>
    <t>Jiná systémová hemostatika a látky tvořící cheláty se železem - část I.</t>
  </si>
  <si>
    <t>Jiná systémová hemostatika a látky tvořící cheláty se železem - část II.</t>
  </si>
  <si>
    <t>Jiná systémová hemostatika a látky tvořící cheláty se železem - část III.</t>
  </si>
  <si>
    <t>Jiná systémová hemostatika a látky tvořící cheláty se železem - část IV.</t>
  </si>
  <si>
    <t>Jiná systémová hemostatika a látky tvořící cheláty se železem - část V.</t>
  </si>
  <si>
    <t>Jiná systémová hemostatika a látky tvořící cheláty se železem - část VI.</t>
  </si>
  <si>
    <t>33621200-1</t>
  </si>
  <si>
    <t>33693000-4</t>
  </si>
  <si>
    <t>Ergonomické osvětlení operačních sálů</t>
  </si>
  <si>
    <t>Chladící a mrazící zařízení - část I. Chladnice a lednice</t>
  </si>
  <si>
    <t>Chladící a mrazící zařízení - číst II. Hlubokomrazící boxy</t>
  </si>
  <si>
    <t>2.2.131.,2.2.186.,2.2.189.</t>
  </si>
  <si>
    <t>31500000-1</t>
  </si>
  <si>
    <t>Senzory k měření cerebrální oxymetrie - část I. Somasensor INVOS pro dospěle</t>
  </si>
  <si>
    <t>Senzory k měření cerebrální oxymetrie - část II. Fore-sight ELITE dual velký</t>
  </si>
  <si>
    <t>VZ-2018-000944</t>
  </si>
  <si>
    <t>Výměna protipožárních dveří v budově L na TO a HOK</t>
  </si>
  <si>
    <t>VZ-2018-000945</t>
  </si>
  <si>
    <t>VZ-2018-000946</t>
  </si>
  <si>
    <t>Senzory k měření hemodynamiky II</t>
  </si>
  <si>
    <t xml:space="preserve">Monoklonální protilátky s obsahem účinné látky rituximab - část I. </t>
  </si>
  <si>
    <t xml:space="preserve">Monoklonální protilátky s obsahem účinné látky rituximab - část II. </t>
  </si>
  <si>
    <t>2.3.346</t>
  </si>
  <si>
    <t>2.3.345</t>
  </si>
  <si>
    <t>VZ-2018-000949</t>
  </si>
  <si>
    <t>EEG</t>
  </si>
  <si>
    <t>2.3.332.</t>
  </si>
  <si>
    <t>VZ-2018-000953</t>
  </si>
  <si>
    <t>VZ-2018-000952</t>
  </si>
  <si>
    <t>Ověřovací studie PD "Rekonstrukce a dostavba hlvaní budovy FJ"</t>
  </si>
  <si>
    <t>Chlazení boxů na patologii</t>
  </si>
  <si>
    <t>4.2.106.</t>
  </si>
  <si>
    <t>zrušeno - špatné zadání</t>
  </si>
  <si>
    <t>EP SERVICES s.r.o.</t>
  </si>
  <si>
    <t>MEDISTA spol. s r.o.</t>
  </si>
  <si>
    <t>MEDATA spol. s r.o.</t>
  </si>
  <si>
    <t>Exact Imabing BVBA</t>
  </si>
  <si>
    <t>MediCom, a.s.</t>
  </si>
  <si>
    <t xml:space="preserve">Položka plánu VZ </t>
  </si>
  <si>
    <t>Datum předání na OVZ</t>
  </si>
  <si>
    <t>Datum vyhodnocení VZ</t>
  </si>
  <si>
    <t>Datum předání smlouvy do WF</t>
  </si>
  <si>
    <t>Číslo smlouvy z WF</t>
  </si>
  <si>
    <t>Platnost smlouvy / Datum dodání</t>
  </si>
  <si>
    <t>Název části VZ</t>
  </si>
  <si>
    <t>ATC kód u léčiv</t>
  </si>
  <si>
    <t>Léčiva - Kód SUKL</t>
  </si>
  <si>
    <t>Léčiva - Název přípravku</t>
  </si>
  <si>
    <t>Léčiva - Výrobce</t>
  </si>
  <si>
    <t>Kancelářský papír</t>
  </si>
  <si>
    <t>30197644-2</t>
  </si>
  <si>
    <t>Datum vyžádání technické specifikace</t>
  </si>
  <si>
    <t>RENATEX CZ a.s.</t>
  </si>
  <si>
    <r>
      <t>Fresenius Medical Care – ČR, s.r.o.</t>
    </r>
    <r>
      <rPr>
        <b/>
        <sz val="11"/>
        <color theme="1"/>
        <rFont val="Calibri"/>
        <family val="2"/>
        <charset val="238"/>
        <scheme val="minor"/>
      </rPr>
      <t xml:space="preserve"> </t>
    </r>
  </si>
  <si>
    <t xml:space="preserve">Baxter Czech spol. s r.o. </t>
  </si>
  <si>
    <t>LT PROJEKT a.s.</t>
  </si>
  <si>
    <t>Baxter Czech spol. s r.o.</t>
  </si>
  <si>
    <t>Fresenius Medical Care s.r.o.</t>
  </si>
  <si>
    <t>EP Rožnov, a.s.</t>
  </si>
  <si>
    <r>
      <rPr>
        <b/>
        <sz val="11"/>
        <color theme="1"/>
        <rFont val="Calibri"/>
        <family val="2"/>
        <charset val="238"/>
        <scheme val="minor"/>
      </rPr>
      <t>IROP</t>
    </r>
    <r>
      <rPr>
        <sz val="11"/>
        <color theme="1"/>
        <rFont val="Calibri"/>
        <family val="2"/>
        <charset val="238"/>
        <scheme val="minor"/>
      </rPr>
      <t xml:space="preserve"> – Ventilační a resuscitační technika</t>
    </r>
  </si>
  <si>
    <t>Intervenční kardiologie</t>
  </si>
  <si>
    <t>Totální endoprotézy</t>
  </si>
  <si>
    <t>Neurostimulační systémy</t>
  </si>
  <si>
    <t>Srdeční chlopně a anuloplastické prstence</t>
  </si>
  <si>
    <r>
      <rPr>
        <b/>
        <sz val="11"/>
        <color theme="1"/>
        <rFont val="Calibri"/>
        <family val="2"/>
        <charset val="238"/>
        <scheme val="minor"/>
      </rPr>
      <t xml:space="preserve">IROP </t>
    </r>
    <r>
      <rPr>
        <sz val="11"/>
        <color theme="1"/>
        <rFont val="Calibri"/>
        <family val="2"/>
        <charset val="238"/>
        <scheme val="minor"/>
      </rPr>
      <t>- Inkubátory</t>
    </r>
  </si>
  <si>
    <t>Spinální implantáty</t>
  </si>
  <si>
    <t>Přístroje pro monitoring životních funkcí plodu</t>
  </si>
  <si>
    <t>Monitory životních a mozkových funkcí - část IV.</t>
  </si>
  <si>
    <t>Monitory životních a mozkových funkcí</t>
  </si>
  <si>
    <t>Elektrofyziologie</t>
  </si>
  <si>
    <t>Paramagnetické kontrastní látky</t>
  </si>
  <si>
    <t>Přístroje pro plicní ventilaci</t>
  </si>
  <si>
    <t>Somatropin</t>
  </si>
  <si>
    <t>Kapilární hemodialyzátory 2018</t>
  </si>
  <si>
    <t>Kalibrace a validace měřidel a zařízení 2019</t>
  </si>
  <si>
    <t>Senzory k měření cerebrální oxymetrie</t>
  </si>
  <si>
    <t>Realizace parkoviště pod Dětskou klinikou a u lékárny</t>
  </si>
  <si>
    <t>Anestetika celková-halogenované uhlovodíky</t>
  </si>
  <si>
    <t>Antivirotika pro systémovou aplikaci-antihepatitidová</t>
  </si>
  <si>
    <t>Interferony 2018</t>
  </si>
  <si>
    <t>Léčivé přípravky pro léčbu plicní arteriální hypertenze</t>
  </si>
  <si>
    <t>Lokální hemostatika a parenterální přípravky s obsahem železa</t>
  </si>
  <si>
    <t>Chladící a mrazící zařízení</t>
  </si>
  <si>
    <t>LP s obsahem účinné látky alteplasa, degarelix-acetát, abirateron-acetát</t>
  </si>
  <si>
    <t>Jiná systémová hemostatika a látky tvořící cheláty se železem</t>
  </si>
  <si>
    <t>Monoklonální protilátky s obsahem účinné látky rituximab</t>
  </si>
  <si>
    <t>Stoly operační a zákrokové</t>
  </si>
  <si>
    <t>SMLN-2018-618-000082</t>
  </si>
  <si>
    <t>SMLN-2018-618-000083</t>
  </si>
  <si>
    <t>VZ-2019-000003</t>
  </si>
  <si>
    <t>2.2.190/2018</t>
  </si>
  <si>
    <t>VZ-2019-000004</t>
  </si>
  <si>
    <t>VZ-2019-000005</t>
  </si>
  <si>
    <t>Zřízení ovládání výtahů č.74,75 do systému Duplex</t>
  </si>
  <si>
    <t>VZ-2019-000006</t>
  </si>
  <si>
    <t>VZ-2019-000008</t>
  </si>
  <si>
    <t>Servisní podpora IS eKLIN/ePOST II.</t>
  </si>
  <si>
    <t>43612600-2</t>
  </si>
  <si>
    <t>VZ-2019-000009</t>
  </si>
  <si>
    <t>zrušeno - nezbyl žádný účastník</t>
  </si>
  <si>
    <t>SMLN-2018-617-000461
SMLN-2018-612-000154</t>
  </si>
  <si>
    <t>SMLN-2018-617-000462
SMLN-2018-612-000155</t>
  </si>
  <si>
    <t>SMLN-2018-617-000458
SMLN-2018-612-000151</t>
  </si>
  <si>
    <t>SMLN-2018-617-000459
SMLN-2018-612-000152</t>
  </si>
  <si>
    <t>SMLN-2018-617-000460
SMLN-2018-612-000153</t>
  </si>
  <si>
    <t>SMLN-2018-617-000452
SMLN-2018-612-000150</t>
  </si>
  <si>
    <t>SMLN-2018-617-000295
SMLN-2018-614-000051</t>
  </si>
  <si>
    <t>SMLN-2018-617-000302
SMLN-2018-614-000058</t>
  </si>
  <si>
    <t>SMLN-2018-617-000397
SMLN-2018-612-000129</t>
  </si>
  <si>
    <t>SMLN-2018-617-000424
SMLN-2018-612-000140</t>
  </si>
  <si>
    <t>SMLN-2018-617-000425
SMLN-2018-612-000141</t>
  </si>
  <si>
    <t>SMLN-2018-617-000426
SMLN-2018-612-000142</t>
  </si>
  <si>
    <t>SMLN-2018-617-000439</t>
  </si>
  <si>
    <t>SMLN-2018-617-000438</t>
  </si>
  <si>
    <t>VZ-2019-000010</t>
  </si>
  <si>
    <t>Flexibilní ureteroskopy a cystoskop</t>
  </si>
  <si>
    <t>2.3.358, 359</t>
  </si>
  <si>
    <t>VZ-2019-000016</t>
  </si>
  <si>
    <t>Konektor bezjehlovy</t>
  </si>
  <si>
    <t>VZ-2019-000017</t>
  </si>
  <si>
    <t>Servisní podpora IS pro plánování, objednávání a dokumentaci chemoterapií a gavemetrickou přípravu medikací s obsahme cytostatik</t>
  </si>
  <si>
    <t>3.2.12.</t>
  </si>
  <si>
    <t>SMLN-2018-617-000422
SMLN-2018-612-000139</t>
  </si>
  <si>
    <t>SMLN-2018-617-000440</t>
  </si>
  <si>
    <t>SMLN-2018-617-000441</t>
  </si>
  <si>
    <t>SMLN-2018-617-000442</t>
  </si>
  <si>
    <t>SMLN-2018-617-000443</t>
  </si>
  <si>
    <t>SMLN-2018-617-000444</t>
  </si>
  <si>
    <t>SMLN-2018-617-000445</t>
  </si>
  <si>
    <t>SMLN-2018-617-000446</t>
  </si>
  <si>
    <t>SMLN-2019-618-000001
SMLN-2019-612-000002</t>
  </si>
  <si>
    <t>SMLN-2018-618-000821</t>
  </si>
  <si>
    <t>SMLN-2018-617-000455</t>
  </si>
  <si>
    <t>SMLN-2018-617-000454</t>
  </si>
  <si>
    <t>SMLN-2019-617-000005
SMLN-2019-612-000003</t>
  </si>
  <si>
    <t>VZ-2019-000019</t>
  </si>
  <si>
    <t>Instrumentaria</t>
  </si>
  <si>
    <t>za rok 2022</t>
  </si>
  <si>
    <t>1.1.-9.1.2023</t>
  </si>
  <si>
    <t>Stavitelství Pospíšil, s.r.o.</t>
  </si>
  <si>
    <t>opakovaná VZ</t>
  </si>
  <si>
    <t>VZ-2019-000027</t>
  </si>
  <si>
    <t>Kalibrace a validace měřidel a zařízení II.2019</t>
  </si>
  <si>
    <t>VZ-2019-000029</t>
  </si>
  <si>
    <t>Výroba a montáž nábytku 1/2019</t>
  </si>
  <si>
    <t>1.1.-10.1.2023</t>
  </si>
  <si>
    <t>SMLN-2018-617-000453
SMLN-2018-616-000083</t>
  </si>
  <si>
    <t>SMLN-2018-617-000416</t>
  </si>
  <si>
    <t>SMLN-2019-618-000004</t>
  </si>
  <si>
    <t>SMLN-2019-617-000008
SMLN-2019-612-000004</t>
  </si>
  <si>
    <t>SMLN-2019-617-000009
SMLN-2019-612-000005</t>
  </si>
  <si>
    <t>SMLN-2019-617-000010</t>
  </si>
  <si>
    <t>SMLN-2018-617-000284</t>
  </si>
  <si>
    <t>FRANKOSPOL OFFICE s.r.o.</t>
  </si>
  <si>
    <t>Ověřovací studie PD "Rekonstrukce a dostavba hlavní budovy FJ"</t>
  </si>
  <si>
    <t>SMLN-2019-618-000006</t>
  </si>
  <si>
    <t>SMLN-2019-617-000011
SMLN-2019-612-000006
SMLN-2019-617-000012</t>
  </si>
  <si>
    <t>SMLN-2018-617-000456
SMLN -2018-614-000098</t>
  </si>
  <si>
    <t>SMLN-2019-617-000014</t>
  </si>
  <si>
    <t>SMLN-2019-617-000015</t>
  </si>
  <si>
    <t>SMLN-2019-617-000016</t>
  </si>
  <si>
    <t>SMLN-2019-617-000017</t>
  </si>
  <si>
    <t>SMLN-2019-617-000018</t>
  </si>
  <si>
    <t>SMLN-2019-617-000019</t>
  </si>
  <si>
    <t>VZ-2019-000040</t>
  </si>
  <si>
    <t>Chladící zařízení</t>
  </si>
  <si>
    <t>2.2.131.; 2.2.189.</t>
  </si>
  <si>
    <t>SMLN-2019-618-000002</t>
  </si>
  <si>
    <t>VZ-2019-000044</t>
  </si>
  <si>
    <t>Zařízení lavážní pro HIPEC</t>
  </si>
  <si>
    <t>2.2.31.</t>
  </si>
  <si>
    <t>VZ-2019-000054</t>
  </si>
  <si>
    <t>Flexibilní ureteroskopy a cystoskop II.</t>
  </si>
  <si>
    <t>2.3.358,359</t>
  </si>
  <si>
    <t>VZ-2019-000055</t>
  </si>
  <si>
    <t>Komplexní servis MaR a EBI, Arena, Energy Vision</t>
  </si>
  <si>
    <t>SMLN-2018-617-000405
SMLN-2018-614-000092</t>
  </si>
  <si>
    <t>SMLN-2018-617-000406
SMLN-2018-614-000093</t>
  </si>
  <si>
    <t>SMLN-2018-617-000409
SMLN-2018-614-000094</t>
  </si>
  <si>
    <t>SMLN-2018-617-000410
SMLN-2018-614-000095</t>
  </si>
  <si>
    <t>SMLN-2018-617-000411
SMLN-2018-614-000096</t>
  </si>
  <si>
    <t>SMLN-2018-617-000412
SMLN-2018-614-000097</t>
  </si>
  <si>
    <t>SMLN-2019-617-000002
SMLN-2019-614-000001</t>
  </si>
  <si>
    <t>VZ-2019-000057</t>
  </si>
  <si>
    <t>Zřízení ovládání výtahů č.74,75 do systému Duplex II.</t>
  </si>
  <si>
    <t>VZ-2019-000066</t>
  </si>
  <si>
    <t>Centrálně působící sympatomimetika, antagonisté alfa - adrenergních receptorů, hořčík a léčivé přípravky s obsahem teriparatidu</t>
  </si>
  <si>
    <t>33661600-7</t>
  </si>
  <si>
    <t>33641000-5</t>
  </si>
  <si>
    <t>33617000-8</t>
  </si>
  <si>
    <t>Analoga pyrimidinu</t>
  </si>
  <si>
    <t>VZ-2019-000067</t>
  </si>
  <si>
    <t>L01BC01</t>
  </si>
  <si>
    <t>L01BC02</t>
  </si>
  <si>
    <t>L01BC05</t>
  </si>
  <si>
    <t>L01BC07</t>
  </si>
  <si>
    <t>L01BC59</t>
  </si>
  <si>
    <t>L01BC06</t>
  </si>
  <si>
    <t>L01XC03</t>
  </si>
  <si>
    <t>G04CA52</t>
  </si>
  <si>
    <t>G04CA53</t>
  </si>
  <si>
    <t>H05AA02</t>
  </si>
  <si>
    <t>A12CC02</t>
  </si>
  <si>
    <t>A12CC30</t>
  </si>
  <si>
    <t>Specifické imunoglobuliny</t>
  </si>
  <si>
    <t>VZ-2019-000068</t>
  </si>
  <si>
    <t>J06BB01</t>
  </si>
  <si>
    <t>J06BB16</t>
  </si>
  <si>
    <t>NA6BA04</t>
  </si>
  <si>
    <t>VZ-2019-000077</t>
  </si>
  <si>
    <t>Statické zajištění budovy RZA - šatny a sklady</t>
  </si>
  <si>
    <t>VZ-2019-000080</t>
  </si>
  <si>
    <t>VZ-2019-000082</t>
  </si>
  <si>
    <t>Novorozenecké postýlky</t>
  </si>
  <si>
    <t>VZ-2019-000083</t>
  </si>
  <si>
    <t>Dodávka dectů 2019</t>
  </si>
  <si>
    <t>VZ-2019-000091</t>
  </si>
  <si>
    <t>e-Learning - modul systému pro řízení vzdělávání a školení ve FNOL</t>
  </si>
  <si>
    <t>48190000-6</t>
  </si>
  <si>
    <t>45220000-5</t>
  </si>
  <si>
    <t>SMLN-2018-617-000382
SMLN-2018-617-000383
SMLN-2018-614-000090</t>
  </si>
  <si>
    <t>VZ-2019-000092</t>
  </si>
  <si>
    <t>Kancelářské potřeby 2019</t>
  </si>
  <si>
    <t>30190000-7</t>
  </si>
  <si>
    <t>VZ-2019-000093</t>
  </si>
  <si>
    <t>Jansa</t>
  </si>
  <si>
    <t>Demolice budovy "G" v areálu FN Olomouc</t>
  </si>
  <si>
    <t>VZ-2019-000094</t>
  </si>
  <si>
    <t>Demolice staré vrátnice FNOL z ulice I.P.Pavlova</t>
  </si>
  <si>
    <t>SMLN-2019-618-000009</t>
  </si>
  <si>
    <t>VZ-2019-000097</t>
  </si>
  <si>
    <t>TEP - Revizní náhrady kolenního kloubu</t>
  </si>
  <si>
    <t>VZ-2019-000099</t>
  </si>
  <si>
    <t>SERVIS</t>
  </si>
  <si>
    <t>Poskytování servisních služeb u přístrojů GE Datex - Ohmeda</t>
  </si>
  <si>
    <t>VZ-2019-000101</t>
  </si>
  <si>
    <t>Přístroj pro řízenou hypotermii</t>
  </si>
  <si>
    <t xml:space="preserve">33195000-3 </t>
  </si>
  <si>
    <t>2.3.334</t>
  </si>
  <si>
    <t>Část</t>
  </si>
  <si>
    <t>TEP kyčelního kloubu</t>
  </si>
  <si>
    <t>TEP kyčelního kloubu - speciál I.</t>
  </si>
  <si>
    <t>TEP kyčelního kloubu - speciál II.</t>
  </si>
  <si>
    <t>TEP koleního kloubu .</t>
  </si>
  <si>
    <t>TEP koleního kloubu - speciál I.</t>
  </si>
  <si>
    <t>TEP koleního kloubu - speciál II.</t>
  </si>
  <si>
    <t>Genotropin</t>
  </si>
  <si>
    <t>Humatrope</t>
  </si>
  <si>
    <t>Norditropin</t>
  </si>
  <si>
    <t>Nutropinaq</t>
  </si>
  <si>
    <t>Omnitrope</t>
  </si>
  <si>
    <t>Saizen</t>
  </si>
  <si>
    <t>Zomacton</t>
  </si>
  <si>
    <t>Interferon beta-1a II</t>
  </si>
  <si>
    <t>Peginterferon beta-1a</t>
  </si>
  <si>
    <t>Desfluran</t>
  </si>
  <si>
    <t>Sevofluran</t>
  </si>
  <si>
    <t>Alteplasa</t>
  </si>
  <si>
    <t>Degarelix-acetát</t>
  </si>
  <si>
    <t>Abirateron-acetát</t>
  </si>
  <si>
    <t>Denosumab I</t>
  </si>
  <si>
    <t>Denosumab II</t>
  </si>
  <si>
    <t>Ivakaftor</t>
  </si>
  <si>
    <t>Etamsylát</t>
  </si>
  <si>
    <t>Romiplostin</t>
  </si>
  <si>
    <t>Eltrombopag-olamin</t>
  </si>
  <si>
    <t>Deferoxamin-mesylát</t>
  </si>
  <si>
    <t>Deferipron</t>
  </si>
  <si>
    <t>Deferasirox</t>
  </si>
  <si>
    <t>Methylfenidát-hydrochlorid I</t>
  </si>
  <si>
    <t>Atomoxetin-hydrochlorid</t>
  </si>
  <si>
    <t>Tamsulosin-hydrochlorid, dutasterid</t>
  </si>
  <si>
    <t>Tamsulosin-hydrochlorid, solifenacin-sukcinát</t>
  </si>
  <si>
    <t>Teriparatid</t>
  </si>
  <si>
    <t>Heptahydrát síranu hořečnatého</t>
  </si>
  <si>
    <t>Lehký oxid hořečnatý, lehký zásaditý uhličitan hořečnatý</t>
  </si>
  <si>
    <t>Cytarabin pro subkutánní a intravenózní podání</t>
  </si>
  <si>
    <t>Cytarabin pro intratekální podání</t>
  </si>
  <si>
    <t>Fluoruracil</t>
  </si>
  <si>
    <t>Gemcitabin-hydrochlorid</t>
  </si>
  <si>
    <t>Azacitidin</t>
  </si>
  <si>
    <t>Trifluridin, tipiracil-hydrochlorid</t>
  </si>
  <si>
    <t>Capecitabine Accord</t>
  </si>
  <si>
    <t>Xeloda</t>
  </si>
  <si>
    <t>Lidský imunoglobulin anti-D</t>
  </si>
  <si>
    <t>Palivizumab</t>
  </si>
  <si>
    <t>Fentanyl-citrát</t>
  </si>
  <si>
    <t>Paramagnetické kontrastní látky 0,5 mmol/ml ( pro dospělé i děti včetně kojeneckého a novorozeneckého věku, tj. 0-18 let) včetně použití u celotělové MR pro pediatrickou populaci 0-1 rok</t>
  </si>
  <si>
    <t>Paramagnetické kontrastní látky 0,5 mmol/ml (s dvojnásobnou relaxivitou k zobrazování lézí jater)</t>
  </si>
  <si>
    <t>Paramagnetické kontrastní látky 1,0 mmol/ml</t>
  </si>
  <si>
    <t>V08CA</t>
  </si>
  <si>
    <t>N02AB03</t>
  </si>
  <si>
    <t>H01AC01</t>
  </si>
  <si>
    <t>Monohydrát bosentanu pro podání při plicní arteriální hypertenzi</t>
  </si>
  <si>
    <t>Monohydrát bosentanu pro podání ke snížení počtu nových vředů na prstech u pacientů se systémovou
sklerózou a pokračující vředovou chorobou prstů</t>
  </si>
  <si>
    <t>Ambrisentan</t>
  </si>
  <si>
    <t>Macitentan</t>
  </si>
  <si>
    <t>Sodná sůl epoprostenolu</t>
  </si>
  <si>
    <t>Iloprost-trometamol</t>
  </si>
  <si>
    <t>Sodná sůl treprostinilu</t>
  </si>
  <si>
    <t>Sildenafil-citrát pro použití při léčbě  plicní arteriální hypertenze</t>
  </si>
  <si>
    <t>C02KX01</t>
  </si>
  <si>
    <t>C02KX02</t>
  </si>
  <si>
    <t>C02KX04</t>
  </si>
  <si>
    <t>B01AC09</t>
  </si>
  <si>
    <t>B01AC11</t>
  </si>
  <si>
    <t>B01AC21</t>
  </si>
  <si>
    <t>G04BE03</t>
  </si>
  <si>
    <t>L03AB07</t>
  </si>
  <si>
    <t>L03AB13</t>
  </si>
  <si>
    <t>Ribavirin</t>
  </si>
  <si>
    <t>J05AP01</t>
  </si>
  <si>
    <t>Tenofovir-disoproxyl</t>
  </si>
  <si>
    <t>J05AF07</t>
  </si>
  <si>
    <t>Elbasvir / grazoprevir</t>
  </si>
  <si>
    <t>J05AP54</t>
  </si>
  <si>
    <t>N01AB07</t>
  </si>
  <si>
    <t>N01AB08</t>
  </si>
  <si>
    <t>FLUDEOXYGLUKOSA-(18F)</t>
  </si>
  <si>
    <t>V09IX04</t>
  </si>
  <si>
    <t>Fibrinogen, Aprotinin, Thrombin, Chlorid Vápenatý I</t>
  </si>
  <si>
    <t>B02BC30</t>
  </si>
  <si>
    <t>Fibrinogen, Aprotinin, Thrombin, Chlorid Vápenatý II</t>
  </si>
  <si>
    <t>Fibrinogen, Aprotinin, Thrombin, Chlorid Vápenatý III</t>
  </si>
  <si>
    <t>Fibrinogen, Thrombin</t>
  </si>
  <si>
    <t xml:space="preserve">
B02BC30</t>
  </si>
  <si>
    <t>Lokální hemostatikum</t>
  </si>
  <si>
    <t xml:space="preserve">Komplex železa s karboxymaltosou  </t>
  </si>
  <si>
    <t>B03AC</t>
  </si>
  <si>
    <t>Sloučeniny trojmocného železa</t>
  </si>
  <si>
    <t>B01AD02</t>
  </si>
  <si>
    <t>L02BX02</t>
  </si>
  <si>
    <t>L02BX03</t>
  </si>
  <si>
    <t>M05BX04</t>
  </si>
  <si>
    <t>R07AX02</t>
  </si>
  <si>
    <t>B02BX01</t>
  </si>
  <si>
    <t>B02BX04</t>
  </si>
  <si>
    <t>B02BX05</t>
  </si>
  <si>
    <t>V03AC01</t>
  </si>
  <si>
    <t>V03AC02</t>
  </si>
  <si>
    <t>V03AC03</t>
  </si>
  <si>
    <t>L01XC02</t>
  </si>
  <si>
    <t>Rituximab pro intravenózní podání pro indikaci CLL</t>
  </si>
  <si>
    <t>Rituximab pro intravenózní podání pro indikaci revmatoidní artritida</t>
  </si>
  <si>
    <t>SMLN-2019-612-000007
SMLN-2019-612-000008</t>
  </si>
  <si>
    <t>Koronární (PTCA) vodiče - základní typ</t>
  </si>
  <si>
    <t>Koronární (PTCA) vodiče - vodiče se zvýšenou odolností měkkého distálního konce, včetně vodičů pro použití chronických uzávěrů (CTO)</t>
  </si>
  <si>
    <t>Koronární stenty lékové DES 2 (Drug Eluting Stents - DES)</t>
  </si>
  <si>
    <t>Implantabilní dvoukanálový neurostimulační systém k léčbě Hlubokou Mozkovou Stimulací (DBS) - MRI kompatibilní - dobíjitelný</t>
  </si>
  <si>
    <t>Implantabilní dvoukanálový neurostimulační systém k léčbě Hlubokou Mozkovou Stimulací (DBS) - MRI kompatibilní - nedobíjitelný</t>
  </si>
  <si>
    <t>Implantabilní neurostimulační systém dvoukanálový k léčbě bolestivých stavů - MRI kompatibilní - nedobíjitelný</t>
  </si>
  <si>
    <t xml:space="preserve">Implantabilní neurostimulační systém dvoukanálový k léčbě bolestivých stavů - MRI kompatibilní - dobíjitelný </t>
  </si>
  <si>
    <t>Implantabilní programovatelné lékové pumpy</t>
  </si>
  <si>
    <t>Srdeční aortální chlopně mechanické s kavitálním pivotem</t>
  </si>
  <si>
    <t>Srdeční aortální chlopně mechanické pro nižší hladinu antikoagulace (INR 1,5-2)</t>
  </si>
  <si>
    <t>Srdeční mitrální chlopně mechanické</t>
  </si>
  <si>
    <t>Srdeční aortální chlopně biologické perikardiální do těsných anulů</t>
  </si>
  <si>
    <t>Srdeční aortální chlopně biologické perikardiální do větších anulů s dlouhodobou životností</t>
  </si>
  <si>
    <t>Srdeční mitrální chlopně biologické prasečí</t>
  </si>
  <si>
    <t xml:space="preserve">Anuloplastické prstence semirigidní trikuspidální velikosti 28 - 38 mm </t>
  </si>
  <si>
    <t>Resuscitační přístroj</t>
  </si>
  <si>
    <t>Plicní ventilátor</t>
  </si>
  <si>
    <t>Přístroj pro podporu dýchání</t>
  </si>
  <si>
    <t>Zvlhčovací kanyla</t>
  </si>
  <si>
    <t>Inkubátor transportní</t>
  </si>
  <si>
    <t>Fúzní náhrady krční meziobratlové ploténky</t>
  </si>
  <si>
    <t>Fúzní systémy pro stabilizaci krční páteře zadním přístupem</t>
  </si>
  <si>
    <t>Fúzní náhrada bederní meziobratlové ploténky – ALIF</t>
  </si>
  <si>
    <t>Fúzní náhrada bederní meziobratlové ploténky – XLIF</t>
  </si>
  <si>
    <t>Fúzní náhrada bederní meziobratlové ploténky – PLIF expandibilní</t>
  </si>
  <si>
    <t>Fúzní systém pro transpedikulární stabilizaci bederní páteře – degenerativní – k redukci pseudolistézy - spondylolistézy</t>
  </si>
  <si>
    <t>Fúzní systém pro transpedikulární stabilizaci hrudní a bederní páteře – traumatologický</t>
  </si>
  <si>
    <t>Fúzní systém pro transpedikulární stabilizaci hrudní a bederní páteře – šrouby pro osteoporotický terén – kanylové k aplikaci cementu</t>
  </si>
  <si>
    <t>Fúzní náhrada těla krčního, hrudního a bederního obratle – expandibilní mechanicky</t>
  </si>
  <si>
    <t>Verbroplastická sada</t>
  </si>
  <si>
    <t>Náhrada meziobratlové ploténky</t>
  </si>
  <si>
    <t>Ablační katetry pro 3D mapování a ablací s aktivním navigačním senzorem</t>
  </si>
  <si>
    <t>Ablační katetry pro provádění konvenčních ablací</t>
  </si>
  <si>
    <t>Základní diagnostické katetry fixní II.</t>
  </si>
  <si>
    <t>Základní diagnostické katetry řiditelné I.</t>
  </si>
  <si>
    <t>Základní diagnostické katetry řiditelné II.</t>
  </si>
  <si>
    <t>Hemostatický zavaděč katetrů – stabilizační fixní</t>
  </si>
  <si>
    <t>Hemostatický zavaděč katetrů – stabilizační ředitelný</t>
  </si>
  <si>
    <t>Transseptální jehly</t>
  </si>
  <si>
    <t>Intrakardiální ultrazvukový katetr</t>
  </si>
  <si>
    <t>Katetr diagnostický s proměnným zakřivením multipolárním pro mapování komplexních arytmií v pravé síni</t>
  </si>
  <si>
    <t>Katetr diagnostický s proměnným zakřivením multipolární pro mapování s vysokým rozlišením</t>
  </si>
  <si>
    <t>KTG</t>
  </si>
  <si>
    <t>ST analyzátor</t>
  </si>
  <si>
    <t>Monitory životních funkcí včetně centrály pro Novorozenecké oddělení</t>
  </si>
  <si>
    <t>Monitor mozkových funkcí</t>
  </si>
  <si>
    <t>Monitory životních funkcí – bed  side</t>
  </si>
  <si>
    <t>Monitory životních funkcí včetně centrály pro Porodnicko – gynekologickou kliniku</t>
  </si>
  <si>
    <t>Transportní ventilátory</t>
  </si>
  <si>
    <t>Neinvazivní plicní ventilátor</t>
  </si>
  <si>
    <t>DK</t>
  </si>
  <si>
    <t>Lékárna</t>
  </si>
  <si>
    <t>Somasensor INVOS pro dospělé</t>
  </si>
  <si>
    <t>Fore-sight ELITE dual velký</t>
  </si>
  <si>
    <t>Low Flux</t>
  </si>
  <si>
    <t>High Flux</t>
  </si>
  <si>
    <t>Kalibrace a validace ostatních měřidel a zařízení FNOL</t>
  </si>
  <si>
    <t>Kalibrace a validace monitorovacího systému ConWin</t>
  </si>
  <si>
    <t>Hlubokomrazící boxy</t>
  </si>
  <si>
    <t>Instrumentárium pro laparoskopickou operativu</t>
  </si>
  <si>
    <t>Instrumentárium pro hysteroskopickou operativu</t>
  </si>
  <si>
    <t>Instrumentárium pro laparoskopickou operativu - videoendoskop</t>
  </si>
  <si>
    <t>Stůl zákrokový</t>
  </si>
  <si>
    <t>VZ-2019-000115</t>
  </si>
  <si>
    <t>SMLN-2018-617-000350
SMLN-2018-614-000074</t>
  </si>
  <si>
    <t>SMLN-2018-617-000351
SMLN-2018-614-000075</t>
  </si>
  <si>
    <t>SMLN-2018-617-000352
SMLN-2018-614-000076</t>
  </si>
  <si>
    <t>SMLN-2018-617-000353
SMLN-2018-614-000077</t>
  </si>
  <si>
    <t>SMLN-2018-617-000354
SMLN-2018-614-000078</t>
  </si>
  <si>
    <t>SMLN-2018-617-000355
SMLN-2018-614-000079</t>
  </si>
  <si>
    <t>SMLN-2018-617-000358
SMLN-2018-614-000081</t>
  </si>
  <si>
    <t>SMLN-2018-617-000359
SMLN-2018-614-000082</t>
  </si>
  <si>
    <t>SMLN-2018-617-000357
SMLN-2018-614-000080</t>
  </si>
  <si>
    <t>SMLN-2019-617-000027
SMLN-2019-614-000004</t>
  </si>
  <si>
    <t>VKUS-BUSTAN, s.r.o.</t>
  </si>
  <si>
    <t>VZ-2019-000113</t>
  </si>
  <si>
    <t>Jiné antiparatyreoidální látky 2019</t>
  </si>
  <si>
    <t>H05BX01</t>
  </si>
  <si>
    <t>VZ-2019-000114</t>
  </si>
  <si>
    <t>Stanovení nukleové kyseliny viru hepatitidy C se zápůjčkou analyzátoru</t>
  </si>
  <si>
    <t>33141625-7</t>
  </si>
  <si>
    <t>VZ-2019-000124</t>
  </si>
  <si>
    <t>Vyšetřovací a operační rukavice</t>
  </si>
  <si>
    <t>Rukavice operační sterilní pudrované</t>
  </si>
  <si>
    <t>Rukavice operační sterilní nepudrované</t>
  </si>
  <si>
    <t>Rukavice vyšetřovací nitrilové bez pudru v pevnosti 6N</t>
  </si>
  <si>
    <t xml:space="preserve">Rukavice vyšetřovací nitrilové bez pudru v pevnosti 9N </t>
  </si>
  <si>
    <t>Rukavice vyšetřovací latexové pudrované</t>
  </si>
  <si>
    <t>Rukavice vyšetřovací latexové nepudrované</t>
  </si>
  <si>
    <t>Rukavice vyšetřovací vinylové nepudrovan</t>
  </si>
  <si>
    <t>33141420-0</t>
  </si>
  <si>
    <t>na 2 roky</t>
  </si>
  <si>
    <t>SMLN-2019-617-000013
SMLN-2019-614-000002</t>
  </si>
  <si>
    <t>1.1.-4.2.2021</t>
  </si>
  <si>
    <t>Liftmont CZ, s.r.o.</t>
  </si>
  <si>
    <t>SMLN-2018-612-000149</t>
  </si>
  <si>
    <t>VZ-2019-000128</t>
  </si>
  <si>
    <t>Hadičky spojovací pro infuzní terapii</t>
  </si>
  <si>
    <t>VZ-2019-000130</t>
  </si>
  <si>
    <t>Katetry BARRX pro radiofrekvenční ablaci při léčbě Barretova jícnu</t>
  </si>
  <si>
    <t>33141200-2</t>
  </si>
  <si>
    <t>VZ-2019-000138</t>
  </si>
  <si>
    <t>SMLN-2019-617-000055
SMLN-2019-612-000012</t>
  </si>
  <si>
    <t>SMLN-2019-617-000056
SMLN-2019-612-000013
SMLN-2019-617-000057</t>
  </si>
  <si>
    <t>SMLN-2019-617-000058
SMLN-2019-612-000014</t>
  </si>
  <si>
    <t>SMLN-2019-617-000059
SMLN-2019-612-000015</t>
  </si>
  <si>
    <t>120 dní od pís. Výzvy</t>
  </si>
  <si>
    <t>3.2.41.</t>
  </si>
  <si>
    <t>Polohovací a antidekubitní pomůcky</t>
  </si>
  <si>
    <t>VZ-2019-000156</t>
  </si>
  <si>
    <t>2.3.312.</t>
  </si>
  <si>
    <t>Kapalinový chromatograf / hmotnostní spektrometrie</t>
  </si>
  <si>
    <t xml:space="preserve">38433100-0
38432200-4  </t>
  </si>
  <si>
    <t>Poskytování servisních služeb u přístrojů Philips</t>
  </si>
  <si>
    <t>VZ-2019-000158</t>
  </si>
  <si>
    <t>VZ-2019-000161</t>
  </si>
  <si>
    <t>Poskytování servisních služeb u přístrojů Dräger</t>
  </si>
  <si>
    <t>SMLN-2018-617-000360
SMLN-2018-614-000083</t>
  </si>
  <si>
    <t>SMLN-2018-617-000361
SMLN-2018-614-000084</t>
  </si>
  <si>
    <t>SMLN-2018-617-000362
SMLN-2018-614-000085</t>
  </si>
  <si>
    <t>SMLN-2018-617-000363
SMLN-2018-614-000086</t>
  </si>
  <si>
    <t>SMLN-2018-617-000364
SMLN-2018-614-000087</t>
  </si>
  <si>
    <t>SMLN-2018-617-000365
SMLN-2018-614-000088</t>
  </si>
  <si>
    <t>SMLN-2019-617-000063
SMLN-2019-612-000017</t>
  </si>
  <si>
    <t>SMLN-2019-617-000062</t>
  </si>
  <si>
    <t>ERISERV, spol. s r.o.</t>
  </si>
  <si>
    <t>SMLN-2019-617-000061</t>
  </si>
  <si>
    <t>SMLN-2019-617-000064
SMLN-2019-614-000006</t>
  </si>
  <si>
    <t>SMLN-2019-617-000065
SMLN-2019-614-000007</t>
  </si>
  <si>
    <t>SMLN-2019-617-000066
SMLN-2019-614-000008</t>
  </si>
  <si>
    <t>SMLN-2019-617-000067
SMLN-2019-614-000009</t>
  </si>
  <si>
    <t>SMLN-2019-617-000068
SMLN-2019-614-000010</t>
  </si>
  <si>
    <t>SMLN-2019-617-000069
SMLN-2019-614-000011</t>
  </si>
  <si>
    <t>SMLN-2019-617-000070
SMLN-2019-614-000012</t>
  </si>
  <si>
    <t>SMLN-2019-617-000071
SMLN-2019-614-000013</t>
  </si>
  <si>
    <t>SMLN-2019-617-000072
SMLN-2019-614-000014</t>
  </si>
  <si>
    <t>SMLN-2019-617-000073
SMLN-2019-614-000015</t>
  </si>
  <si>
    <t>SMLN-2019-617-000075
SMLN-2019-614-000016</t>
  </si>
  <si>
    <t>VZ-2019-000166</t>
  </si>
  <si>
    <t xml:space="preserve">Pozáruční podpora systému AGFA IMPAX </t>
  </si>
  <si>
    <t>VZ-2019-000167</t>
  </si>
  <si>
    <t>2.3.352.</t>
  </si>
  <si>
    <t>VZ-2019-000168</t>
  </si>
  <si>
    <t>Ventilační a resuscitační technika - přístroj pro podporu dýchání</t>
  </si>
  <si>
    <t>VZ-2019-000173</t>
  </si>
  <si>
    <t>Křesla, lehátka</t>
  </si>
  <si>
    <t>Křeslo vyšetřovací</t>
  </si>
  <si>
    <t>Křeslo transportní</t>
  </si>
  <si>
    <t>Transportní lehátko</t>
  </si>
  <si>
    <t>Olympus Czech Group s.r.o.</t>
  </si>
  <si>
    <t>SMLN-2019-617-000074
SMLN-2019-612-000018</t>
  </si>
  <si>
    <t>SMLN-2019-617-000078
SMLN-2019-612-000019</t>
  </si>
  <si>
    <t>SMLN-2019-617-000076</t>
  </si>
  <si>
    <t>SMLN-2019-617-000077</t>
  </si>
  <si>
    <t>SMLN-2019-617-000020</t>
  </si>
  <si>
    <t>SMLN-2019-612-000020</t>
  </si>
  <si>
    <t>SMLN-2019-612-000021</t>
  </si>
  <si>
    <t>VZ-2019-000175</t>
  </si>
  <si>
    <t>Elektrokoagulace</t>
  </si>
  <si>
    <t>VZ-2019-000180</t>
  </si>
  <si>
    <t>PD-stavební úpravy objektu "WD" - Stravovací provoz - 1.PP</t>
  </si>
  <si>
    <t>2.3.305.</t>
  </si>
  <si>
    <t>1.2.53.</t>
  </si>
  <si>
    <t>PROMA REHA s.r.o.</t>
  </si>
  <si>
    <t>VZ-2019-000197</t>
  </si>
  <si>
    <t>EKG</t>
  </si>
  <si>
    <t>33123000-8</t>
  </si>
  <si>
    <t>VZ-2019-000198</t>
  </si>
  <si>
    <t>Kompresní zařízení pro zastavení krvácení po perkutánních výkonech na radiálních tepnách</t>
  </si>
  <si>
    <t>VZ-2019-000199</t>
  </si>
  <si>
    <t>Část I.</t>
  </si>
  <si>
    <t>Část II.</t>
  </si>
  <si>
    <t>VZ-2019-000205</t>
  </si>
  <si>
    <t>MED-2019-02</t>
  </si>
  <si>
    <t>UHTS</t>
  </si>
  <si>
    <t>Odstranění revizních závad na rozvodech medicinálních plynů - budova A</t>
  </si>
  <si>
    <t>4.2.66.</t>
  </si>
  <si>
    <t>VZ-2019-000206</t>
  </si>
  <si>
    <t>Materiál spotřební k tlakovým injektorům ULRICH</t>
  </si>
  <si>
    <t>Materiál spotřební k tlakovým injektorům ULRICH a Medrad</t>
  </si>
  <si>
    <t>Materiál spotřební k tlakovým injektorům Medrad</t>
  </si>
  <si>
    <t>MORKUS Morava, s.r.o.</t>
  </si>
  <si>
    <t>VZ-2019-000141</t>
  </si>
  <si>
    <t>Poskytování servisních služeb u přístrojů Miele</t>
  </si>
  <si>
    <t>SMLN-2019-617-000091
SMLN-2019-612-000026</t>
  </si>
  <si>
    <t>SMLN-2019-618-000011</t>
  </si>
  <si>
    <t>SMLN-2019-617-000052</t>
  </si>
  <si>
    <t>VZ-2019-000209</t>
  </si>
  <si>
    <t>Úprava povrchu stěn operačního sálu</t>
  </si>
  <si>
    <t>VZ-2019-000210</t>
  </si>
  <si>
    <t>PD-Stavební úpravy kliniky neurochirugie-operační sál č.2 v 3NP</t>
  </si>
  <si>
    <t>Vzatek</t>
  </si>
  <si>
    <t>1.2.56.</t>
  </si>
  <si>
    <t>SMLN-2019-617-000051</t>
  </si>
  <si>
    <t>SMLN-2019-617-000043
SMLN-2019-614-000005</t>
  </si>
  <si>
    <t>na neurčito</t>
  </si>
  <si>
    <t>VZ-2019-000142</t>
  </si>
  <si>
    <t>VZ-2019-000215</t>
  </si>
  <si>
    <t xml:space="preserve">Servisní podpora IS pro plánování, objednávání a dokumentaci chemoterapií a gavemetrickou přípravu medikací s obsahem cytostatik II.  </t>
  </si>
  <si>
    <t>VZ-2019-000217</t>
  </si>
  <si>
    <t>VZ-2019-000220</t>
  </si>
  <si>
    <t>Dodávky notebooků</t>
  </si>
  <si>
    <t>30231000-6</t>
  </si>
  <si>
    <t>SMLN-2019-617-000095
SMLN-2019-616-000016</t>
  </si>
  <si>
    <t>SMLN-2019-617-000096</t>
  </si>
  <si>
    <t>SMLN-2019-617-000097</t>
  </si>
  <si>
    <t>SMLN-2019-617-000098</t>
  </si>
  <si>
    <t>SMLN-2019-617-000099</t>
  </si>
  <si>
    <t>zrušeno - nesplnění požadavků</t>
  </si>
  <si>
    <t>DS Soft Olomouc s.r.o.</t>
  </si>
  <si>
    <t>SMLN-2019-612-000011</t>
  </si>
  <si>
    <t>VZ-2019-000222</t>
  </si>
  <si>
    <t>Stolní sterilizátory</t>
  </si>
  <si>
    <t>2.2.134., 2.2.197.</t>
  </si>
  <si>
    <t>FOMA MEDICAL spol. s r.o.</t>
  </si>
  <si>
    <t>UNIMED PRAHA s.r.o.</t>
  </si>
  <si>
    <t>SANOL spol. s r.o.</t>
  </si>
  <si>
    <t>SMLN-2019-612-000016</t>
  </si>
  <si>
    <t>SMLN-2019-618-000012</t>
  </si>
  <si>
    <t>MARBES CONSULTING, s.r.o.</t>
  </si>
  <si>
    <t>SMLN-2019-612-000027</t>
  </si>
  <si>
    <t>VZ-2019-000227</t>
  </si>
  <si>
    <t>Chlazení vyšetřoven budova M1 a C</t>
  </si>
  <si>
    <t>4.2.100,4.2.104</t>
  </si>
  <si>
    <t>SMLN-2019-617-000011</t>
  </si>
  <si>
    <t>SMLN-2019-618-000013</t>
  </si>
  <si>
    <t>SMLN-2019-612-000028</t>
  </si>
  <si>
    <t>Indubia s.r.o.</t>
  </si>
  <si>
    <t>SMLN-2019-617-000112
SMLN-2019-612-000029</t>
  </si>
  <si>
    <t>SMLN-2019-617-000102</t>
  </si>
  <si>
    <t>SMLN-2019-617-000103</t>
  </si>
  <si>
    <t>SMLN-2019-617-000104</t>
  </si>
  <si>
    <t>SMLN-2019-617-000105</t>
  </si>
  <si>
    <t>SMLN-2019-617-000100</t>
  </si>
  <si>
    <t>SMLN-2019-617-000101</t>
  </si>
  <si>
    <t>VZ-2019-000232</t>
  </si>
  <si>
    <t>VZ-2019-000233</t>
  </si>
  <si>
    <t>Katetr radioablační pro KCHIR</t>
  </si>
  <si>
    <t>VZ-2019-000234</t>
  </si>
  <si>
    <t>Léčivé přípravky z ATC L04</t>
  </si>
  <si>
    <t>Adalimumab</t>
  </si>
  <si>
    <t>L04AB04</t>
  </si>
  <si>
    <t>Okrelizumab</t>
  </si>
  <si>
    <t>L04AA36</t>
  </si>
  <si>
    <t>Apremilast</t>
  </si>
  <si>
    <t>L04AA32</t>
  </si>
  <si>
    <t>Tocilizumab</t>
  </si>
  <si>
    <t>L04AC07</t>
  </si>
  <si>
    <t>Vodící dráty k vaskulárním intervencím I.</t>
  </si>
  <si>
    <t>Vodící dráty k vaskulárním intervencím II.</t>
  </si>
  <si>
    <t>Vodící dráty k vaskulárním intervencím III.</t>
  </si>
  <si>
    <t>Vodící mikrodráty k periferním vaskulárním intervencím</t>
  </si>
  <si>
    <t>Vodící mikrodráty k vaskulárním neurointervencím I.</t>
  </si>
  <si>
    <t>Vodící mikrodráty k vaskulárním neurointervencím II.</t>
  </si>
  <si>
    <t>Vodící mikrodráty k vaskulárním neurointervencím III.</t>
  </si>
  <si>
    <t>VZ-2019-000244</t>
  </si>
  <si>
    <t xml:space="preserve">Přenosné přístroje pro defibrilaci </t>
  </si>
  <si>
    <t>2.2.138., 2.2.139., 2.3.320. 2.2.203., 2.3.388., 2.3.394.</t>
  </si>
  <si>
    <t>SMLN-2019-617-000121</t>
  </si>
  <si>
    <t>SMLN-2019-617-000120; SMLN-2019-616-000019</t>
  </si>
  <si>
    <t>SMLN-2019-617-000122</t>
  </si>
  <si>
    <t>SMLN-2019-617-000123</t>
  </si>
  <si>
    <t>SMLN-2019-617-000124</t>
  </si>
  <si>
    <t>SMLN-2019-617-000125</t>
  </si>
  <si>
    <t>SMLN-2019-617-000126</t>
  </si>
  <si>
    <t>x</t>
  </si>
  <si>
    <t>VZ-2019-000245</t>
  </si>
  <si>
    <t>Analyzátora otoakustickýh emisí</t>
  </si>
  <si>
    <t>2.3.336.</t>
  </si>
  <si>
    <t>VZ-2019-000247</t>
  </si>
  <si>
    <t>Ikterometr</t>
  </si>
  <si>
    <t>2.3.331.</t>
  </si>
  <si>
    <t>VZ-2019-000248</t>
  </si>
  <si>
    <t>Bella Bohemia s.r.o. (TZMO)</t>
  </si>
  <si>
    <t>SMLN-2019-617-000137</t>
  </si>
  <si>
    <t>SMLN-2019-617-000138</t>
  </si>
  <si>
    <t>SMLN-2019-617-000139</t>
  </si>
  <si>
    <t>SMLN-2019-617-000140</t>
  </si>
  <si>
    <t>SMLN-2019-618-000017</t>
  </si>
  <si>
    <t>VZ-2019-000253</t>
  </si>
  <si>
    <t>Servis RTG přístrojů Philips</t>
  </si>
  <si>
    <t>Upgrade a Full servis přístroje Allura Xper FD 20</t>
  </si>
  <si>
    <t xml:space="preserve">50421200-4 </t>
  </si>
  <si>
    <t>Servis RTG přístrojů</t>
  </si>
  <si>
    <t>FOMEI s.r.o.</t>
  </si>
  <si>
    <t>SMLN-2019-612-000030</t>
  </si>
  <si>
    <t>VZ-2019-000254</t>
  </si>
  <si>
    <t>Servisní podpora SW pro navrhování, projektování a simulaci stavby</t>
  </si>
  <si>
    <t>VZ-2019-000255</t>
  </si>
  <si>
    <t>4. Diagnostické katétry</t>
  </si>
  <si>
    <t>VZ-2019-000257</t>
  </si>
  <si>
    <t>3. Pouzdra zaváděcí</t>
  </si>
  <si>
    <t>Pouzdra zaváděcí k vaskulárním intervencím I.</t>
  </si>
  <si>
    <t>Speciální zaváděcí pouzdra k vaskulárním intervencím I.</t>
  </si>
  <si>
    <t>Speciální zaváděcí pouzdra k vaskulárním intervencím II.</t>
  </si>
  <si>
    <t>Mikropunkční sety</t>
  </si>
  <si>
    <t>Diagnostické katetry I.</t>
  </si>
  <si>
    <t>Diagnostické katetry II.</t>
  </si>
  <si>
    <t>Hydrofilní diagnostické katetry</t>
  </si>
  <si>
    <t>Kalibrační diagnostické katetry</t>
  </si>
  <si>
    <t>Vodící katetry neurointervenční</t>
  </si>
  <si>
    <t>11.3.20119</t>
  </si>
  <si>
    <t>VZ-2019-000202</t>
  </si>
  <si>
    <t>Stříkačky inflační a Y konektory pro PTCA</t>
  </si>
  <si>
    <t>Stříkačka inflační pro PTCA a Y konektor s tlakově ovládanou hemostatickou chlopní</t>
  </si>
  <si>
    <t>Stříkačka inflační pro PTCA s třícestným kohoutem</t>
  </si>
  <si>
    <t>doba neurčitá</t>
  </si>
  <si>
    <t>SMLN-2019-617-000144</t>
  </si>
  <si>
    <t>SMLN-2019-617-000145</t>
  </si>
  <si>
    <t>VZ-2019-000262</t>
  </si>
  <si>
    <t>Ohřívací jednotka</t>
  </si>
  <si>
    <t>VZ-2019-000275</t>
  </si>
  <si>
    <t>Poskytování servisních služeb u přístrojů Gambro</t>
  </si>
  <si>
    <t>VZ-2019-000282</t>
  </si>
  <si>
    <t>Redukční ventily a průtokoměry kyslíku, regulátory podtlaku</t>
  </si>
  <si>
    <t>VZ-2019-000283</t>
  </si>
  <si>
    <t>MARK</t>
  </si>
  <si>
    <t>Fritscher</t>
  </si>
  <si>
    <t>konec  30.4.2019 - výpověď</t>
  </si>
  <si>
    <t>VZ-2019-000298</t>
  </si>
  <si>
    <t>BD Austria GmbH</t>
  </si>
  <si>
    <t>VZ-2019-000303</t>
  </si>
  <si>
    <t>Konec smlouvy</t>
  </si>
  <si>
    <t>SMLN-2019-612-000033</t>
  </si>
  <si>
    <t>VZ-2019-000304</t>
  </si>
  <si>
    <t>Úprava povrchu stěn operačního sálu II.</t>
  </si>
  <si>
    <t>VZ-2019-000305</t>
  </si>
  <si>
    <t>VZ-2019-000307</t>
  </si>
  <si>
    <t>2.2.190.</t>
  </si>
  <si>
    <t>VZ-2019-000312</t>
  </si>
  <si>
    <t>13. Stentgrafty vaskulární</t>
  </si>
  <si>
    <t>VZ-2019-000313</t>
  </si>
  <si>
    <t>12. Stenty vaskulární</t>
  </si>
  <si>
    <t>VZ-2019-000314</t>
  </si>
  <si>
    <t>5. Mikrokatétry</t>
  </si>
  <si>
    <t>STAVNEMO s.r.o.</t>
  </si>
  <si>
    <t>IF Facility, a.s.</t>
  </si>
  <si>
    <t>VITAPUR, spol. s r.o.</t>
  </si>
  <si>
    <t>2018 bez plnění</t>
  </si>
  <si>
    <t>atd</t>
  </si>
  <si>
    <t>neurčito</t>
  </si>
  <si>
    <t>1.1.-11.9.2022</t>
  </si>
  <si>
    <t>SMLN-2019-617-000159
SMLN-2019-612-000034</t>
  </si>
  <si>
    <t>SMLN-2019-618-000020</t>
  </si>
  <si>
    <t>Air-Klimont s.r.o.</t>
  </si>
  <si>
    <t>SMLN-2019-617-000160</t>
  </si>
  <si>
    <t>SMLN-2019-617-000161</t>
  </si>
  <si>
    <t>servis + spotřebák</t>
  </si>
  <si>
    <t>VZ-2019-000321</t>
  </si>
  <si>
    <t>Výroba a montáž nábytku II/2019</t>
  </si>
  <si>
    <t>Mikrokatétry k periferním vaskulárním intervencím I.</t>
  </si>
  <si>
    <t>Mikrokatétry k periferním vaskulárním intervencím II.</t>
  </si>
  <si>
    <t xml:space="preserve">Mikrokatétry neurointervenční I. </t>
  </si>
  <si>
    <t xml:space="preserve">Mikrokatétry neurointervenční II. </t>
  </si>
  <si>
    <t xml:space="preserve">Mikrokatétry neurointervenční III. </t>
  </si>
  <si>
    <t xml:space="preserve">Mikrokatétry neurointervenční IV. </t>
  </si>
  <si>
    <t>Samoexpandibilní stenty vaskulární I</t>
  </si>
  <si>
    <t>Samoexpandibilní stenty vaskulární II</t>
  </si>
  <si>
    <t>Samoexpandibilní stenty vaskulární XL</t>
  </si>
  <si>
    <t>Balónexpandibilní stenty vaskulární I</t>
  </si>
  <si>
    <t>Balónexpandibilní stenty vaskulární II</t>
  </si>
  <si>
    <t>Karotické stenty vaskulární I</t>
  </si>
  <si>
    <t>Karotické stenty vaskulární II</t>
  </si>
  <si>
    <t>Intrakraniální stenty vaskulární</t>
  </si>
  <si>
    <t>Samoexpandibilní stentgrafty vaskulární periferní I.</t>
  </si>
  <si>
    <t>Samoexpandibilní stentgrafty vaskulární periferní II.</t>
  </si>
  <si>
    <t>Balónexpandibilní stentgrafty vaskulární I.</t>
  </si>
  <si>
    <t>Balónexpandibilní stentgrafty vaskulární II.</t>
  </si>
  <si>
    <t>Stentgrafty vaskulární do TIPS</t>
  </si>
  <si>
    <t>VZ-2017-000095</t>
  </si>
  <si>
    <t>VZ-2019-000322</t>
  </si>
  <si>
    <t>Optimalizace procesů na operačních sálech</t>
  </si>
  <si>
    <t>VZ-2019-000323</t>
  </si>
  <si>
    <t>Servisní podpora SW pro navrhování, projektování a simulaci stavby II</t>
  </si>
  <si>
    <t>VZ-2019-000324</t>
  </si>
  <si>
    <t>Dodávka kancelářských zařízení pro kopírování, skenování a tisk dokumentů</t>
  </si>
  <si>
    <t xml:space="preserve">30121100-4 </t>
  </si>
  <si>
    <t>3.2.35.</t>
  </si>
  <si>
    <t>VZ-2019-000327</t>
  </si>
  <si>
    <t>Katetry balónkové intraaortální kontrapulzační</t>
  </si>
  <si>
    <t>VZ-2019-000328</t>
  </si>
  <si>
    <t>Vrtací systém pro rekonstrukční chirurgii</t>
  </si>
  <si>
    <t>2.2.126</t>
  </si>
  <si>
    <t>SMLN-2019-617-000165</t>
  </si>
  <si>
    <t>Flídr medical s.r.o.</t>
  </si>
  <si>
    <t>SMLN-2019-618-000024</t>
  </si>
  <si>
    <t>BKB Metal a.s.</t>
  </si>
  <si>
    <t>SMLN-2019-617-000167</t>
  </si>
  <si>
    <t>SMLN-2019-617-000168</t>
  </si>
  <si>
    <t>SMLN-2019-617-000169</t>
  </si>
  <si>
    <t>SMLN-2019-617-000170</t>
  </si>
  <si>
    <t>SMLN-2019-617-000171</t>
  </si>
  <si>
    <t>SMLN-2019-617-000172</t>
  </si>
  <si>
    <t>SMLN-2019-617-000173</t>
  </si>
  <si>
    <t>VZ-2019-000342</t>
  </si>
  <si>
    <t>Antitrombotika 2019</t>
  </si>
  <si>
    <t>VZ-2019-000343</t>
  </si>
  <si>
    <t>Norepinefrin a Enzymové přípravky 2019</t>
  </si>
  <si>
    <t>33622100-7</t>
  </si>
  <si>
    <t>24965000-6</t>
  </si>
  <si>
    <t>Pankreatin</t>
  </si>
  <si>
    <t>C01CA03</t>
  </si>
  <si>
    <t>A09AA02</t>
  </si>
  <si>
    <t>VZ-2019-000344</t>
  </si>
  <si>
    <t>Cytostatika s obsahem nivolumabu</t>
  </si>
  <si>
    <t>Nivolumab</t>
  </si>
  <si>
    <t>L01XC17</t>
  </si>
  <si>
    <t>VZ-2019-000338</t>
  </si>
  <si>
    <t>Přenosné/bedside EEG a hlavice</t>
  </si>
  <si>
    <t>2.2.198</t>
  </si>
  <si>
    <t>VZ-2019-000345</t>
  </si>
  <si>
    <t>Implementace zákona o kybernetické bezpečnosti a ISMS</t>
  </si>
  <si>
    <t>72000000-5</t>
  </si>
  <si>
    <t>PD - Meření spotřeby energií v areálu FN Olomouc</t>
  </si>
  <si>
    <t>?</t>
  </si>
  <si>
    <t>30192000-1</t>
  </si>
  <si>
    <t>2.3.375.</t>
  </si>
  <si>
    <t>Protézy cévní</t>
  </si>
  <si>
    <t xml:space="preserve">33141750-2 </t>
  </si>
  <si>
    <t>7. Aspirační katétry intrakraniální</t>
  </si>
  <si>
    <t>11. Katétry pro návrat do pravého lumen cévy</t>
  </si>
  <si>
    <t>17. Flow divertery neurointervenční</t>
  </si>
  <si>
    <t>20. Vaskulární plugy periferní</t>
  </si>
  <si>
    <t>22. Protekční zařízení při intervencích na karotickém povodí</t>
  </si>
  <si>
    <t>23. Souprava k zajištění transjugulárního přístupu do žilního systému jaterního před TIPS</t>
  </si>
  <si>
    <t>31. Drenážní katétry pro zevní drenáže žlučových cest</t>
  </si>
  <si>
    <t>Měření spotřeby energií</t>
  </si>
  <si>
    <t>Defibrilátory</t>
  </si>
  <si>
    <t>Monitory vitálních funkcí</t>
  </si>
  <si>
    <t>Centrifugy</t>
  </si>
  <si>
    <t>2.3.314.</t>
  </si>
  <si>
    <t>2.3.373.</t>
  </si>
  <si>
    <t>Endoskopy</t>
  </si>
  <si>
    <t>2.3.407.</t>
  </si>
  <si>
    <t>2.2.129.</t>
  </si>
  <si>
    <t>2.2.158.</t>
  </si>
  <si>
    <t>2.3.378.</t>
  </si>
  <si>
    <t>2.3.424.</t>
  </si>
  <si>
    <t>2.2.191.</t>
  </si>
  <si>
    <t>2.2.194.</t>
  </si>
  <si>
    <t>2.3.405.</t>
  </si>
  <si>
    <t>Komplexní monitorační systém pro ECMO</t>
  </si>
  <si>
    <t>2.2.196.</t>
  </si>
  <si>
    <t>2.3.401.</t>
  </si>
  <si>
    <t>2.3.369.</t>
  </si>
  <si>
    <t>Manuální rotační mikrotom</t>
  </si>
  <si>
    <t>2.3.403.</t>
  </si>
  <si>
    <t>2.3.397.</t>
  </si>
  <si>
    <t>2.3.416.</t>
  </si>
  <si>
    <t>2.3.421.</t>
  </si>
  <si>
    <t>2.3.414.</t>
  </si>
  <si>
    <t>Automat pro PCR diagnostiku neuroinfekcí</t>
  </si>
  <si>
    <t>2.2.127.</t>
  </si>
  <si>
    <t>2.3.382.</t>
  </si>
  <si>
    <t>2.3.319.</t>
  </si>
  <si>
    <t>2.3.393.</t>
  </si>
  <si>
    <t>2.3.395.</t>
  </si>
  <si>
    <t>2.3.302.</t>
  </si>
  <si>
    <t>2.2.171.</t>
  </si>
  <si>
    <t>2.2.177.</t>
  </si>
  <si>
    <t>Dezinfektor podložních mís</t>
  </si>
  <si>
    <t>Svářečky</t>
  </si>
  <si>
    <t>2.3.389.</t>
  </si>
  <si>
    <t>2.3.390.</t>
  </si>
  <si>
    <t>2.3.392.</t>
  </si>
  <si>
    <t>2.3.399.</t>
  </si>
  <si>
    <t>2.3.422.</t>
  </si>
  <si>
    <t>2.3.374.</t>
  </si>
  <si>
    <t>2.3.309.</t>
  </si>
  <si>
    <t>Spektrometrická aparatura</t>
  </si>
  <si>
    <t>Přístroj pro lymfodrenáž včetně příslušenství</t>
  </si>
  <si>
    <t>2.3.387.</t>
  </si>
  <si>
    <t>42416100-6</t>
  </si>
  <si>
    <t>2.2.199.</t>
  </si>
  <si>
    <t>Leštička s odsáváním a osvětlením pracovního prostoru</t>
  </si>
  <si>
    <t>2.3.418.</t>
  </si>
  <si>
    <t>Staplery kožní</t>
  </si>
  <si>
    <t>33124200-7</t>
  </si>
  <si>
    <t>72610000-9</t>
  </si>
  <si>
    <t>48820000-2</t>
  </si>
  <si>
    <t>Medicinální a technické plyny 2019</t>
  </si>
  <si>
    <t>24111500-0</t>
  </si>
  <si>
    <t>38434570-2</t>
  </si>
  <si>
    <t>33661400-5</t>
  </si>
  <si>
    <t>Izolace DNA</t>
  </si>
  <si>
    <t>33622000-6</t>
  </si>
  <si>
    <t>33642200-4</t>
  </si>
  <si>
    <t>33673000-8</t>
  </si>
  <si>
    <t>33661500-6</t>
  </si>
  <si>
    <t>VZ-2019-000355</t>
  </si>
  <si>
    <t>24. Systémy pro uzavírání tepenných vstupů po perkutánních cévních výkonech</t>
  </si>
  <si>
    <t>Systémy pro uzavírání vstupů po perkutánnách cévních výkonech I.</t>
  </si>
  <si>
    <t>Systémy pro uzavírání vstupů po perkutánnách cévních výkonech II.</t>
  </si>
  <si>
    <t>VZ-2019-000356</t>
  </si>
  <si>
    <t>21. Mechanické zařízení k extrakci trombů/embolů při ICMP</t>
  </si>
  <si>
    <t>VZ-2019-000357</t>
  </si>
  <si>
    <t>Instalace vyvolávacích systémů</t>
  </si>
  <si>
    <t>31710000-6</t>
  </si>
  <si>
    <t>4.2.122.</t>
  </si>
  <si>
    <t>VZ2019-000362</t>
  </si>
  <si>
    <t>Centrifuga pro Ústav mikrobiologie</t>
  </si>
  <si>
    <t>2.3.366.</t>
  </si>
  <si>
    <t>Centrifuga pro Neurologickou kliniku</t>
  </si>
  <si>
    <t>Centrifuga pro Ústav imunologie</t>
  </si>
  <si>
    <t>VZ-2019-000226</t>
  </si>
  <si>
    <t>EKON</t>
  </si>
  <si>
    <t>Křivková</t>
  </si>
  <si>
    <t>Prověření nároku na odpočet DPH za období let 2016 a 2017</t>
  </si>
  <si>
    <t>SMLN-2019-618-000025</t>
  </si>
  <si>
    <t>SMLN-2019-617-000166</t>
  </si>
  <si>
    <t>zrušeno - neposkytnutí součinnosti</t>
  </si>
  <si>
    <t>VZ-2019-000369</t>
  </si>
  <si>
    <t>VRV chlazení - budova D1 - 6.-8.NP</t>
  </si>
  <si>
    <t>4.2.119.</t>
  </si>
  <si>
    <t>VZ-2019-000371</t>
  </si>
  <si>
    <t>VZ-2019-000372</t>
  </si>
  <si>
    <t>Embolizační spirály odpoutatelné neurointervenční I.</t>
  </si>
  <si>
    <t>Embolizační spirály vaskulární periferní</t>
  </si>
  <si>
    <t>Embolizační spirály odpoutatelné neurointervenční II.</t>
  </si>
  <si>
    <t>Embolizační spirály odpoutatelné neurointervenční III.</t>
  </si>
  <si>
    <t>Celkem</t>
  </si>
  <si>
    <t>33186200-9</t>
  </si>
  <si>
    <t>33194100-7</t>
  </si>
  <si>
    <t>42923200-4</t>
  </si>
  <si>
    <t>OVZ</t>
  </si>
  <si>
    <t>RADIX CZ s.r.o.</t>
  </si>
  <si>
    <t>SMLN-2019-617-000178</t>
  </si>
  <si>
    <t>SMLN-2019-617-000179</t>
  </si>
  <si>
    <t>SMLN-2019-617-000180</t>
  </si>
  <si>
    <t>SMLN-2019-618-000026</t>
  </si>
  <si>
    <t>SMLN-2019-617-000174</t>
  </si>
  <si>
    <t>130 dní od pís.výzvy</t>
  </si>
  <si>
    <t>15.a 18. Embolizační spirály</t>
  </si>
  <si>
    <t>Carl Zeiss spol. s r.o.</t>
  </si>
  <si>
    <t>SMLN-2019-617-000182
SMLN-2019-612-000037</t>
  </si>
  <si>
    <t>SMLN-2019-618-000027</t>
  </si>
  <si>
    <t>IMEDEX s.r.o.</t>
  </si>
  <si>
    <t>SMLN-2019-617-000181</t>
  </si>
  <si>
    <t>SMLN-2019-612-000038</t>
  </si>
  <si>
    <t>VZ-2019-000381</t>
  </si>
  <si>
    <t>Triazolové deriváty 2019</t>
  </si>
  <si>
    <t>Flukonazol</t>
  </si>
  <si>
    <t>Vorikonazol</t>
  </si>
  <si>
    <t>Posakonazol</t>
  </si>
  <si>
    <t>J02AC01</t>
  </si>
  <si>
    <t>J02AC03</t>
  </si>
  <si>
    <t>J02AC04</t>
  </si>
  <si>
    <t>VZ-2019-000382</t>
  </si>
  <si>
    <t>Antibakteriální léčiva pro systémovou aplikaci I.</t>
  </si>
  <si>
    <t>Tigecyklin</t>
  </si>
  <si>
    <t>J01AA12</t>
  </si>
  <si>
    <t>Ampicilin a enzymový inhibitor</t>
  </si>
  <si>
    <t>J01CR01</t>
  </si>
  <si>
    <t>Amoxicilin a enzymový inhibitor</t>
  </si>
  <si>
    <t>J01CR02</t>
  </si>
  <si>
    <t>Piperacilin a enzymový inhibitor</t>
  </si>
  <si>
    <t>J01CR05</t>
  </si>
  <si>
    <t>Cefazolin</t>
  </si>
  <si>
    <t>J01DB04</t>
  </si>
  <si>
    <t xml:space="preserve">Cefuroxim </t>
  </si>
  <si>
    <t>J01DC02</t>
  </si>
  <si>
    <t>Cefotaxim</t>
  </si>
  <si>
    <t>J01DD01</t>
  </si>
  <si>
    <t>Ceftazidim</t>
  </si>
  <si>
    <t>J01DD02</t>
  </si>
  <si>
    <t>Ceftriaxon</t>
  </si>
  <si>
    <t>J01DD04</t>
  </si>
  <si>
    <t>VZ-2019-000383</t>
  </si>
  <si>
    <t>Antibakteriální léčiva pro systémovou aplikaci II.</t>
  </si>
  <si>
    <t>Meropenem</t>
  </si>
  <si>
    <t>J01DH02</t>
  </si>
  <si>
    <t>Imipenem acilastatin</t>
  </si>
  <si>
    <t>J01DH51</t>
  </si>
  <si>
    <t>Klindamycin  fosfát</t>
  </si>
  <si>
    <t>J01FF01</t>
  </si>
  <si>
    <t>Amikacin</t>
  </si>
  <si>
    <t>J01GB06</t>
  </si>
  <si>
    <t>Ciprofloxacin</t>
  </si>
  <si>
    <t>J01MA02</t>
  </si>
  <si>
    <t>Moxifloxacin</t>
  </si>
  <si>
    <t>J01MA14</t>
  </si>
  <si>
    <t>Vankomycin</t>
  </si>
  <si>
    <t>J01XA01</t>
  </si>
  <si>
    <t>Metronidazol</t>
  </si>
  <si>
    <t>J01XD01</t>
  </si>
  <si>
    <t>VZ-2019-000384</t>
  </si>
  <si>
    <t>Antibakteriální léčiva pro systémovou aplikaci III.</t>
  </si>
  <si>
    <t>Tobramycin</t>
  </si>
  <si>
    <t>J01GB01</t>
  </si>
  <si>
    <t>Gentamicin  I.</t>
  </si>
  <si>
    <t>J01GB03</t>
  </si>
  <si>
    <t>Gentamicin  II.</t>
  </si>
  <si>
    <t>Gentamicin  III.</t>
  </si>
  <si>
    <t>Ofloxacin</t>
  </si>
  <si>
    <t>J01MA01</t>
  </si>
  <si>
    <t>Teikoplanin</t>
  </si>
  <si>
    <t>J01XA02</t>
  </si>
  <si>
    <t>Kolistin</t>
  </si>
  <si>
    <t>J01XB01</t>
  </si>
  <si>
    <t>Linezolid</t>
  </si>
  <si>
    <t>J01XX08</t>
  </si>
  <si>
    <t>Sulfamethoxazol a trimethoprim</t>
  </si>
  <si>
    <t>J01EE01</t>
  </si>
  <si>
    <t>Klarithromycin</t>
  </si>
  <si>
    <t>J01FA09</t>
  </si>
  <si>
    <t>Ceftazidim a sodná sůl avibactamu</t>
  </si>
  <si>
    <t>J01DD52</t>
  </si>
  <si>
    <t>Cefepim</t>
  </si>
  <si>
    <t>J01DE01</t>
  </si>
  <si>
    <t>Tazobaktam a ceftolozan-sulfát</t>
  </si>
  <si>
    <t>J01DI54</t>
  </si>
  <si>
    <t>Ampicilin</t>
  </si>
  <si>
    <t>J01CA01</t>
  </si>
  <si>
    <t>Benzylpenicilin</t>
  </si>
  <si>
    <t>J01CE01</t>
  </si>
  <si>
    <t>1.1.-11.4.2023</t>
  </si>
  <si>
    <t>SMLN-2019-617-000151</t>
  </si>
  <si>
    <t>TISKÁRNA  K-TISK,  s.r.o.</t>
  </si>
  <si>
    <t>SMLN-2019-618-000028</t>
  </si>
  <si>
    <t>BIOMEDICA ČS, s.r.o.</t>
  </si>
  <si>
    <t>1.1.-14.4.2027</t>
  </si>
  <si>
    <t>SMLN-2019-617-000183</t>
  </si>
  <si>
    <t>VZ-2019-000387</t>
  </si>
  <si>
    <t>Štěrbinové lampy</t>
  </si>
  <si>
    <t>VZ-2019-000392</t>
  </si>
  <si>
    <t>14. Stentgrafty aortální</t>
  </si>
  <si>
    <t>Stentgrafty aortální hrudní - proximální část I.</t>
  </si>
  <si>
    <t>Stentgrafty aortální hrudní -  distální část I.</t>
  </si>
  <si>
    <t>Stentgrafty aortální hrudní - distální extenze</t>
  </si>
  <si>
    <t xml:space="preserve">Stentgrafty aortální pro reparaci disekcí sestupné části hrudní aorty </t>
  </si>
  <si>
    <t>Stentgrafty aortální hrudní - proximální část II.</t>
  </si>
  <si>
    <t>Stentgrafty aortální hrudní - distální část II.</t>
  </si>
  <si>
    <t>Stenty tubulární komponentní pro modelování pravého lumen aorty při disekci aorty</t>
  </si>
  <si>
    <t>Stentgrafty aortální bifurkační břišní I.</t>
  </si>
  <si>
    <t>Stentgrafty tubulární do kompletu k tělu bifurkačního břišního aortálního stentgraftu, extenzní pro pravou a levou nožičku</t>
  </si>
  <si>
    <t>Stentgrafty aortální bifurkační břišní II.</t>
  </si>
  <si>
    <t>Stentgrafty aortální tubulární břišní k prodloužení těla bifurkačního stentgraftu - proximální extenze</t>
  </si>
  <si>
    <t>Stentgrafty aortální vaskulární aortouniiliakální</t>
  </si>
  <si>
    <t>Stentgrafty vaskulární větvené pro vnitřní ilickou tepnu</t>
  </si>
  <si>
    <t>Stentgrafty vaskulární arotální fenestrované pro endovaskulární reparace juxtarenálních břišních výdutí</t>
  </si>
  <si>
    <t>Stentgrafty vaskulární aortální thorako-abdominální pro endovaskulární reparaci thorako-abdominálního aneuryzmatu</t>
  </si>
  <si>
    <t>VZ-2019-000393</t>
  </si>
  <si>
    <t>Rekonstrukce hygienických zařízení na PORGYN v budově C ve 2NP</t>
  </si>
  <si>
    <t>VZ-2019-000395</t>
  </si>
  <si>
    <t>Poskytování servisních služeb u přístrojů Miele II</t>
  </si>
  <si>
    <t>atd.</t>
  </si>
  <si>
    <t>VZ-2019-000401</t>
  </si>
  <si>
    <t>VZ-2019-000403</t>
  </si>
  <si>
    <t>Akumulátorové sestavy vrtačka a oscilační pila pro endoprotetiku</t>
  </si>
  <si>
    <t>VZ-2019-000404</t>
  </si>
  <si>
    <t>Smrčková</t>
  </si>
  <si>
    <t>Výroba a montáž nábytku III/2019</t>
  </si>
  <si>
    <t xml:space="preserve">39120000-9 </t>
  </si>
  <si>
    <t>Vyšetření moči se zápůjčkou analyzátorů 2019</t>
  </si>
  <si>
    <t>VZ-2019-000406</t>
  </si>
  <si>
    <t>VZ-2019-000408</t>
  </si>
  <si>
    <t>Protéza cévní Gelweave Valsalva</t>
  </si>
  <si>
    <t>VZ-2019-000409</t>
  </si>
  <si>
    <t>Polohovač a ofuk Blower Mister</t>
  </si>
  <si>
    <t>PODPORA MECHANICKÁ SRDEČNÍ -  CENTRIFUGÁLNÍ PUMPA STOECKERT SPIN</t>
  </si>
  <si>
    <t>VZ-2019-000413</t>
  </si>
  <si>
    <t>Intrakoronární shunty flexibilní</t>
  </si>
  <si>
    <t>VZ-2019-000414</t>
  </si>
  <si>
    <t>VZ-2019-000416</t>
  </si>
  <si>
    <t>Sanitní vozidla</t>
  </si>
  <si>
    <t>ALEF NULA a.s.</t>
  </si>
  <si>
    <t>VZ-2019-000420</t>
  </si>
  <si>
    <t>Havarijní oprava kanalizace na ulici Profesora Fuky</t>
  </si>
  <si>
    <t xml:space="preserve">34114110-3  </t>
  </si>
  <si>
    <t>Sanitní vozidla DNR typu A2 s pohonem všech kol</t>
  </si>
  <si>
    <t>Sanitní vozidla DNR typu A2</t>
  </si>
  <si>
    <t>4.2.110.</t>
  </si>
  <si>
    <t>SMLN-2019-618-000030</t>
  </si>
  <si>
    <t>SMLN-2019-617-000188
SMLN-2019-612-000039</t>
  </si>
  <si>
    <t>Mediform spol. s r.o.</t>
  </si>
  <si>
    <t>SMLN-2019-617-000190</t>
  </si>
  <si>
    <t>DIMA Olomouc, s.r.o.</t>
  </si>
  <si>
    <t>VZ-2019-000424</t>
  </si>
  <si>
    <t>Stabilizátory pro operace srdce bez mimotělního oběhu</t>
  </si>
  <si>
    <t>Stabilizátor pro operaci srdce bez mimotělního oběhu s pevným koncem</t>
  </si>
  <si>
    <t>Stabilizátor pro operaci srdce bez mimotělního oběhu s tvarovatelným koncem</t>
  </si>
  <si>
    <t>VZ-2019-000427</t>
  </si>
  <si>
    <t>VZ-2019-000426</t>
  </si>
  <si>
    <t>IROP - Stoly operační II.</t>
  </si>
  <si>
    <t>2.3.345.</t>
  </si>
  <si>
    <t>VZ-2019-000429</t>
  </si>
  <si>
    <t>Oprava MaR - budova A, II. Etapa</t>
  </si>
  <si>
    <t>SMLN-2019-617-000192</t>
  </si>
  <si>
    <t>TRIGON PLUS s.r.o.</t>
  </si>
  <si>
    <t>Centrum pro podporui počítačové grafiky</t>
  </si>
  <si>
    <t>SMLN-2019-617-000194</t>
  </si>
  <si>
    <t>SMLN-2019-617-000195</t>
  </si>
  <si>
    <t>SMLN-2019-617-000196</t>
  </si>
  <si>
    <t>AMEDIS, spol. s r.o.</t>
  </si>
  <si>
    <t>SMLN-2019-617-000197
SMLN-2019-612-000040</t>
  </si>
  <si>
    <t>SMLN-2019-617-000199
SMLN-2019-614-000018
SMLN-2019-616-000029</t>
  </si>
  <si>
    <t>SMLN-2019-617-000200
SMLN-2019-614-000019</t>
  </si>
  <si>
    <t>SMLN-2019-617-000201
SMLN-2019-614-000020</t>
  </si>
  <si>
    <t>SMLN-2019-617-000202
SMLN-2019-614-000021</t>
  </si>
  <si>
    <t>SMLN-2019-617-000203
SMLN-2019-614-000022</t>
  </si>
  <si>
    <t>SMLN-2019-612-000042</t>
  </si>
  <si>
    <t>SMLN-2019-612-000041</t>
  </si>
  <si>
    <t>VZ-2019-000450</t>
  </si>
  <si>
    <t>2.3.383.,2.3.385.,2.3.413.</t>
  </si>
  <si>
    <t>Monitorovací systém vitálních funkcí FNOL</t>
  </si>
  <si>
    <t>VZ-2019-000453</t>
  </si>
  <si>
    <t>Separátory PCS2 a MCS+ včetně spotřebního materiálu</t>
  </si>
  <si>
    <t>PCS2</t>
  </si>
  <si>
    <t>MCS+</t>
  </si>
  <si>
    <t>zrušeno - bude sdružený nákup</t>
  </si>
  <si>
    <t>SMLN-2019-617-000204
SMLN-2019-612-000044</t>
  </si>
  <si>
    <t>SMLN-2019-617-000205
SMLN-2019-612-000045</t>
  </si>
  <si>
    <t>SMLN-2019-617-000206
SMLN-2019-612-000046</t>
  </si>
  <si>
    <t>SMLN-2019-618-000033</t>
  </si>
  <si>
    <t>SMLN-2018-617-000120</t>
  </si>
  <si>
    <t>zrušeno - bez hodnotitelné nabídky</t>
  </si>
  <si>
    <t>RQL, s.r.o.</t>
  </si>
  <si>
    <t>SMLN-2019-617-000211
SMLN-2019-612-000050</t>
  </si>
  <si>
    <t>Can21 s.r.o.</t>
  </si>
  <si>
    <t>SMLN-2019-617-000209</t>
  </si>
  <si>
    <t>SMLN-2019-617-000208
SMLN-2019-612-000047</t>
  </si>
  <si>
    <t>SMLN-2019-612-000048</t>
  </si>
  <si>
    <t>SMLN-2019-612-000049</t>
  </si>
  <si>
    <t>SMLN-2019-617-000212
SMLN-2019-612-000051</t>
  </si>
  <si>
    <t>Polohovač</t>
  </si>
  <si>
    <t>Ofuk Blower Mister</t>
  </si>
  <si>
    <t>SMLN-2019-617-000213
SMLN-2019-612-000052</t>
  </si>
  <si>
    <t>DEYMED Diagnostic s.r.o.</t>
  </si>
  <si>
    <t>VZ-2019-000459</t>
  </si>
  <si>
    <t>Poskytování servisních služeb u přístroje pro terapeutické dávkování NO</t>
  </si>
  <si>
    <t>VZ-2019-000465</t>
  </si>
  <si>
    <t>Nástroje chirurgické pro operační sály - doplnění sít</t>
  </si>
  <si>
    <t>Surgipa Medical spol. s r.o.</t>
  </si>
  <si>
    <t>POLYMED medical CZ, a.s.</t>
  </si>
  <si>
    <t>zrušeno - nesplnění podmínek</t>
  </si>
  <si>
    <t>VZ-2019-000476</t>
  </si>
  <si>
    <t>VZ-2019-000477</t>
  </si>
  <si>
    <t>33191110-9</t>
  </si>
  <si>
    <t>2.3.310.,2.3.313.</t>
  </si>
  <si>
    <t>VZ-2019-000478</t>
  </si>
  <si>
    <t>VZ-2019-000482</t>
  </si>
  <si>
    <t>6. Dilatační balónkové katétry vaskulární</t>
  </si>
  <si>
    <t>Dilatační balónkové katétry vaskulární I.</t>
  </si>
  <si>
    <t>Dilatační balónkové katétry vaskulární II.</t>
  </si>
  <si>
    <t>Dilatační balónkové katétry vaskulární III.</t>
  </si>
  <si>
    <t>Dilatační balónkové katétry vaskulární noncompliant</t>
  </si>
  <si>
    <t>Dilatační balónkové katétry vaskulární noncompliant XXL</t>
  </si>
  <si>
    <t>Dilatační balónkové katétry vaskulární po mikrovodících drátech monorial</t>
  </si>
  <si>
    <t>Dilatační balónkové katétry vaskulární intrakraniální</t>
  </si>
  <si>
    <t>Řezací dilatační balónkové katétry vaskulární</t>
  </si>
  <si>
    <t>VZ-2019-000485</t>
  </si>
  <si>
    <t>Poskytování servisních služeb u přístrojů Miele III</t>
  </si>
  <si>
    <t>VZ-2019-000493</t>
  </si>
  <si>
    <t>Krevní vaky a lisy</t>
  </si>
  <si>
    <t>VZ-2019-000484</t>
  </si>
  <si>
    <t>Sonda jícnová manometrická</t>
  </si>
  <si>
    <t>SMLN-2019-617-000218
SMLN-2019-612-000053</t>
  </si>
  <si>
    <t>LB 2000 s.r.o.</t>
  </si>
  <si>
    <t>VZ-2019-000501</t>
  </si>
  <si>
    <t>17. Flow divertery neurointervenční II.</t>
  </si>
  <si>
    <t>VZ-2019-000508</t>
  </si>
  <si>
    <t>Výměna chladící jednotky v budově C</t>
  </si>
  <si>
    <t>VZ-2019-000509</t>
  </si>
  <si>
    <t>VZ-2019-000510</t>
  </si>
  <si>
    <t>16. Tekuté embolizační činidlo</t>
  </si>
  <si>
    <t>SMLN-2019-617-000219
SMLN-2019-612-000054</t>
  </si>
  <si>
    <t>SMLN-2019-618-000035</t>
  </si>
  <si>
    <t>VZ-2019-000512</t>
  </si>
  <si>
    <t>Gynekologické vyšetřovací křeslo s příslušenstvím</t>
  </si>
  <si>
    <t>VZ-2019-000514</t>
  </si>
  <si>
    <t xml:space="preserve">Dezinfektor podložních mís a močových láhví </t>
  </si>
  <si>
    <t>aktualizace</t>
  </si>
  <si>
    <t>1.1.-5.5.2022</t>
  </si>
  <si>
    <t>VZ-2019-000524</t>
  </si>
  <si>
    <t>Centrifugální pumpa Stockert Spin</t>
  </si>
  <si>
    <t>VZ-2019-000525</t>
  </si>
  <si>
    <t>Intrakoronární shunty flexibilní II.</t>
  </si>
  <si>
    <t>VZ-2019-000527</t>
  </si>
  <si>
    <t>VZ-2019-000528</t>
  </si>
  <si>
    <t>VZ-2019-000529</t>
  </si>
  <si>
    <t>VZ-2019-000530</t>
  </si>
  <si>
    <t>VZ-2019-000531</t>
  </si>
  <si>
    <t>VZ-2017-000241</t>
  </si>
  <si>
    <t>VZ-2019-000533</t>
  </si>
  <si>
    <t>Antibakteriální léčiv pro systémovou aplikaci IV.</t>
  </si>
  <si>
    <t>Klindamycin</t>
  </si>
  <si>
    <t>Sultamicilin</t>
  </si>
  <si>
    <t>J01CR04</t>
  </si>
  <si>
    <t>Diagnostika OKB I. 2019</t>
  </si>
  <si>
    <t>Spotřební materiál pro AAS</t>
  </si>
  <si>
    <t>Spotřební materiál pro Analyzátor Variant</t>
  </si>
  <si>
    <t xml:space="preserve">Spotřební materiál pro Arkray Adams </t>
  </si>
  <si>
    <t>Spotřební materiál pro Arkray Amonia Checker</t>
  </si>
  <si>
    <t>Spotřební materiál pro Arkray Osmometr I.</t>
  </si>
  <si>
    <t>Spotřební materiál pro Arkray Osmometr II.</t>
  </si>
  <si>
    <t>Spotřební materiál pro Dynablot</t>
  </si>
  <si>
    <t>Spotřební materiál pro Evolis I.</t>
  </si>
  <si>
    <t>Spotřební materiál pro Evolis  II.</t>
  </si>
  <si>
    <t>Spotřební materiál pro Evolis  III.</t>
  </si>
  <si>
    <t>Spotřební materiál pro Evolis IV.</t>
  </si>
  <si>
    <t>Spotřební materiál pro Evolis V.</t>
  </si>
  <si>
    <t>Spotřební materiál pro Evolis VI.</t>
  </si>
  <si>
    <t>Spotřební materiál pro Evolis VII.</t>
  </si>
  <si>
    <t>Spotřební materiál pro Immulite 2000</t>
  </si>
  <si>
    <t>Spotřební materiál pro Wizard I.</t>
  </si>
  <si>
    <t>Spotřební materiál pro Wizard II.</t>
  </si>
  <si>
    <t>Spotřební materiál pro Wizard III.</t>
  </si>
  <si>
    <t>Diagnostika OKB II. 2019</t>
  </si>
  <si>
    <t>Spotřební materiál pro Architect 1000</t>
  </si>
  <si>
    <t>Spotřební materiál pro Architect 1000, 2000</t>
  </si>
  <si>
    <t>Spotřební materiál pro Architect 2000</t>
  </si>
  <si>
    <t>Diagnostika OKB III. 2019</t>
  </si>
  <si>
    <t>Spotřební materiál pro Cobas 6000 I.</t>
  </si>
  <si>
    <t>Spotřební materiál pro Cobas 6000 II.</t>
  </si>
  <si>
    <t>Spotřební materiál pro Prospec  I.</t>
  </si>
  <si>
    <t>Spotřební materiál pro Prospec  II.</t>
  </si>
  <si>
    <t>Spotřební materiál pro Sebia - elektroforeza</t>
  </si>
  <si>
    <t>Spotřební materiál pro Cobas 8000 I.</t>
  </si>
  <si>
    <t>Spotřební materiál pro Cobas 8000  II.</t>
  </si>
  <si>
    <t>Spotřební materiál pro Cobas 8000 III.</t>
  </si>
  <si>
    <t>Spotřební materiál pro Cobas 8000  IV.</t>
  </si>
  <si>
    <t>Diagnostika OKB IV. 2019</t>
  </si>
  <si>
    <t>Diagnostika OKB V. 2019</t>
  </si>
  <si>
    <t>Spotřební materiál pro Cobas 8000</t>
  </si>
  <si>
    <t>Diagnostika IMUNO I. 2019</t>
  </si>
  <si>
    <t>Diagnostika IMUNO II. 2019</t>
  </si>
  <si>
    <t>Diagnostika IMUNO III. 2019</t>
  </si>
  <si>
    <t>Diagnostika MIKRO I. 2019</t>
  </si>
  <si>
    <t>Diagnostika  PATOLOGIE  2019</t>
  </si>
  <si>
    <t>Chemikálie pro molekulárně biologické metody</t>
  </si>
  <si>
    <t>Protilátky a chemikálie pro IHC metody I.</t>
  </si>
  <si>
    <t>Protilátky a chemikálie pro IHC metody II.</t>
  </si>
  <si>
    <t>Protilátky, sondy a chemikálie pro IHC/ISH metody</t>
  </si>
  <si>
    <t>Protilátky pro IHC metody I.</t>
  </si>
  <si>
    <t>Protilátky pro IHC metody  II.</t>
  </si>
  <si>
    <t>Protilátky pro IHC metody  III.</t>
  </si>
  <si>
    <t>Protilátky pro IHC metody IV.</t>
  </si>
  <si>
    <t>Protilátky pro IHC metody V.</t>
  </si>
  <si>
    <t>VZ-2019-000536</t>
  </si>
  <si>
    <t>VZ-2019-000537</t>
  </si>
  <si>
    <t>VZ-2019-000538</t>
  </si>
  <si>
    <t>VZ-2019-000539</t>
  </si>
  <si>
    <t>VZ-2019-000540</t>
  </si>
  <si>
    <t>VZ-2019-000544</t>
  </si>
  <si>
    <t>VZ-2019-000545</t>
  </si>
  <si>
    <t>VZ-2019-000546</t>
  </si>
  <si>
    <t>VZ-2019-000541</t>
  </si>
  <si>
    <t>VZ-2019-000542</t>
  </si>
  <si>
    <t>VZ-2019-000543</t>
  </si>
  <si>
    <t>VZ-2019-000547</t>
  </si>
  <si>
    <t>Spotřební materiál pro CFX96 I.</t>
  </si>
  <si>
    <t>Spotřební materiál pro CFX96 II.</t>
  </si>
  <si>
    <t>Spotřební materiál pro Cobas TaqMan</t>
  </si>
  <si>
    <t>Spotřební materiál pro  BactecMGIT960</t>
  </si>
  <si>
    <t>Spotřební materiál pro Fotometr Biotek ELx808 I.</t>
  </si>
  <si>
    <t>Spotřební materiál pro Fotometr Biotek ELx808 II.</t>
  </si>
  <si>
    <t>Spotřební materiál pro Fotometr Biotek ELx808 III.</t>
  </si>
  <si>
    <t>Kultivační média pro automat WASP</t>
  </si>
  <si>
    <t xml:space="preserve">Spotřební materiál pro Liaison XL </t>
  </si>
  <si>
    <t>Diagnostika MIKRO II. 2019</t>
  </si>
  <si>
    <t>Spotřební materiál pro mikrobiologii II.</t>
  </si>
  <si>
    <t>Spotřební materiál pro mikrobiologii III.</t>
  </si>
  <si>
    <t>Spotřební materiál pro mikrobiologii IV.</t>
  </si>
  <si>
    <t>Spotřební materiál pro mikrobiologii V.</t>
  </si>
  <si>
    <t>Spotřební materiál pro Qiacube</t>
  </si>
  <si>
    <t>Spotřební materiál pro mikrobiologii VI.</t>
  </si>
  <si>
    <t>Spotřební materiál pro mikrobiologii VII.</t>
  </si>
  <si>
    <t>Spotřební materiál pro mikrobiologii VIII.</t>
  </si>
  <si>
    <t>Spotřební materiál pro mikrobiologii  IX.</t>
  </si>
  <si>
    <t>Spotřební materiál pro mikrobiologii  X.</t>
  </si>
  <si>
    <t>Spotřební materiál pro Profiblot 48 Tecan</t>
  </si>
  <si>
    <t>Spotřební materiál pro CFX96 III.</t>
  </si>
  <si>
    <t>Spotřební materiál pro CFX96 IV.</t>
  </si>
  <si>
    <t>Spotřební materiál pro GeneXpert, Cepheid</t>
  </si>
  <si>
    <t>Spotřební materiál pro mikrobiologii I.</t>
  </si>
  <si>
    <t>Diagnostika MIKRO III. 2019</t>
  </si>
  <si>
    <t>Spotřební materiál pro BD FACSCanto</t>
  </si>
  <si>
    <t>Elekroforézy Max Power 500</t>
  </si>
  <si>
    <t>Spotřební materiál pro  ELISA Reader Biotek</t>
  </si>
  <si>
    <t>Spotřební materiál pro  fotometr Tecan Sunrise I.</t>
  </si>
  <si>
    <t>Spotřební materiál pro fotometr Tecan Sunrise II.</t>
  </si>
  <si>
    <t>Spotřební materiál pro fotometr Tecan Sunrise III.</t>
  </si>
  <si>
    <t>Spotřební materiál pro Fotometr Tecan Sunrise IV.</t>
  </si>
  <si>
    <t>Spotřební materiál pro Phadia 100</t>
  </si>
  <si>
    <t>Spotřební materiál pro Phadia 250</t>
  </si>
  <si>
    <t>Spotřební materiál pro nefelometr BN II</t>
  </si>
  <si>
    <t>Spotřební materiál pro Fotometr Tecan Sunrise V.</t>
  </si>
  <si>
    <t>Spotřební materiál pro Genetický analyzátor 3500 I.</t>
  </si>
  <si>
    <t>Spotřební materiál pro Genetický analyzátor 3500  II.</t>
  </si>
  <si>
    <t>Spotřební materiál pro  mikroskop Nicon</t>
  </si>
  <si>
    <t>Spotřební materiál pro Izolátor DNA NorDiag Arrow</t>
  </si>
  <si>
    <t>Spotřební materiál pro mikroskop Leica DM2000 I.</t>
  </si>
  <si>
    <t>Spotřební materiál pro mikroskop Leica DM2000 II.</t>
  </si>
  <si>
    <t xml:space="preserve"> Spotřební materiál pro mikroskop Nicon</t>
  </si>
  <si>
    <t>Spotřební materiál pro Mindray BriCyte E10</t>
  </si>
  <si>
    <t>Spotřební bonus pro Miseq - Illumina I.</t>
  </si>
  <si>
    <t>Spotřební bonus pro Miseq - Illumina II.</t>
  </si>
  <si>
    <t>Spotřební materiál pro Potransplantační CM/</t>
  </si>
  <si>
    <t xml:space="preserve">Spotřební materiál pro Qubit® 2.0 Fluorometr </t>
  </si>
  <si>
    <t>Spotřební materiál pro Třepačka Mini Rocket</t>
  </si>
  <si>
    <t>Spotřební materiál IMUNO I.</t>
  </si>
  <si>
    <t>Spotřební materiál IMUNO II.</t>
  </si>
  <si>
    <t>IMMOMEDICAL CZ s.r.o.</t>
  </si>
  <si>
    <t>VZ-2019-000556</t>
  </si>
  <si>
    <t>Prodloužení a sjednocení licencí SW Veeam Backup Enterprise</t>
  </si>
  <si>
    <t xml:space="preserve">72611000-6 </t>
  </si>
  <si>
    <t>SMLN-2019-618-000036</t>
  </si>
  <si>
    <t>VZ-2019-000557</t>
  </si>
  <si>
    <t>Cardiomessengery s implantabilním EKG biomonitorem - studie SurHyb</t>
  </si>
  <si>
    <t>grant</t>
  </si>
  <si>
    <t>VZ-2019-000558</t>
  </si>
  <si>
    <t>Poskytování servisních služeb u přístroje pro terapeutické dávkování NO II.</t>
  </si>
  <si>
    <t>VZ-2019-000562</t>
  </si>
  <si>
    <t>Přístroj pH-metr s impedancí</t>
  </si>
  <si>
    <t>38416000-4</t>
  </si>
  <si>
    <t>VZ-2019-000563</t>
  </si>
  <si>
    <t>28. Y-Adaptéry</t>
  </si>
  <si>
    <t>VZ-2019-000564</t>
  </si>
  <si>
    <t>31. Drenážní katétry pro zevní derenáže žlučových cest</t>
  </si>
  <si>
    <t>VZ - ZD na podpis Ř, EN, OBN, NLP, NIT</t>
  </si>
  <si>
    <t>nová VZ-2019-000168</t>
  </si>
  <si>
    <t>příprava nové VZ</t>
  </si>
  <si>
    <t>nová VZ sdružený nákup</t>
  </si>
  <si>
    <t>nová VZ-2019-000199</t>
  </si>
  <si>
    <t>nová VZ-2019-000202</t>
  </si>
  <si>
    <t>nová VZ-2019-000305</t>
  </si>
  <si>
    <t>nová VZ-2019-000027</t>
  </si>
  <si>
    <t>nová VZ-2019-000057</t>
  </si>
  <si>
    <t>nová VZ-2019-000054</t>
  </si>
  <si>
    <t>nová VZ-2019-000307</t>
  </si>
  <si>
    <t>nová VZ-2019-000215</t>
  </si>
  <si>
    <t>nová VZ-2019-000426</t>
  </si>
  <si>
    <t>nová VZ-2019-000485</t>
  </si>
  <si>
    <t>nová VZ-2019-000298</t>
  </si>
  <si>
    <t>nová VZ-2019-000304</t>
  </si>
  <si>
    <t>nová VZ-2019-000323</t>
  </si>
  <si>
    <t>nová VZ-2019-000501</t>
  </si>
  <si>
    <t>nová VZ-2019-000525</t>
  </si>
  <si>
    <t>nová VZ-2019-000524</t>
  </si>
  <si>
    <t>nová VZ-2019-000558</t>
  </si>
  <si>
    <t>VZ-2019-000565</t>
  </si>
  <si>
    <t>9. Modelační balónkové katétry aortální</t>
  </si>
  <si>
    <t>VZ-2019-000566</t>
  </si>
  <si>
    <t>8. Okluzní balónkové katétry neurointervenční</t>
  </si>
  <si>
    <t>VZ-2019-000567</t>
  </si>
  <si>
    <t>Dětská nemocniční standardní lůžka</t>
  </si>
  <si>
    <t>VZ-2019-000569</t>
  </si>
  <si>
    <t>Nástroje chirurgické pro COSS</t>
  </si>
  <si>
    <t>VZ-2019-000573</t>
  </si>
  <si>
    <t>Chlazení VRV - budova D1 - 6.-8.NP II.</t>
  </si>
  <si>
    <t>SMLN-2019-617-000235
SMLN-2019-612-000057</t>
  </si>
  <si>
    <t>VZ-2019-000578</t>
  </si>
  <si>
    <t>Rozmrazovač krevní plazmy II.</t>
  </si>
  <si>
    <t>2.3.352</t>
  </si>
  <si>
    <t>VZ-2019-000581</t>
  </si>
  <si>
    <t>Bioptické jehly</t>
  </si>
  <si>
    <t>Koaxiální bioptické jehly</t>
  </si>
  <si>
    <t>VZ-2019-000586</t>
  </si>
  <si>
    <t>34. Jícnové stenty</t>
  </si>
  <si>
    <t>VZ-2019-000590</t>
  </si>
  <si>
    <t>26. Extraktory intravaskulární</t>
  </si>
  <si>
    <t>Extraktory intravaskulární I.</t>
  </si>
  <si>
    <t>Extraktory intravaskulární II.</t>
  </si>
  <si>
    <t>Extraktory intravaskulární III.</t>
  </si>
  <si>
    <t>VZ-2019-000595</t>
  </si>
  <si>
    <t>Výměna chladící jednotky v budově C II.</t>
  </si>
  <si>
    <t>4.2.123.</t>
  </si>
  <si>
    <t>VZ-2019-000598</t>
  </si>
  <si>
    <t>Spotřební materiál pro  ARRAY</t>
  </si>
  <si>
    <t>Spotřební materiál pro cytogenetiku I.</t>
  </si>
  <si>
    <t>Spotřební materiál pro cytogenetiku II.</t>
  </si>
  <si>
    <t>Spotřební materiál pro cytogenetiku III.</t>
  </si>
  <si>
    <t>Spotřební materiál pro cytogenetiku IV.</t>
  </si>
  <si>
    <t>Spotřební materiál pro cytogenetiku V.</t>
  </si>
  <si>
    <t>Diagnostika HOK I. 2019</t>
  </si>
  <si>
    <t>VZ-2019-000599</t>
  </si>
  <si>
    <t>Diagnostika HOK II. 2019</t>
  </si>
  <si>
    <t xml:space="preserve">Spotřební materiál pro cytogenetiku </t>
  </si>
  <si>
    <t>Spotřební materiál pro krevní obrazy I.</t>
  </si>
  <si>
    <t>Spotřební materiál pro krevní obrazy II.</t>
  </si>
  <si>
    <t>Spotřební materiál pro krevní obrazy III.</t>
  </si>
  <si>
    <t>VZ-2019-000600</t>
  </si>
  <si>
    <t>Diagnostika HOK III. 2019</t>
  </si>
  <si>
    <t>VZ-2019-000601</t>
  </si>
  <si>
    <t>VZ-2019-000602</t>
  </si>
  <si>
    <t>Spotřební materiál pro molekulární biologii I.</t>
  </si>
  <si>
    <t>Spotřební materiál pro molekulární biologii II.</t>
  </si>
  <si>
    <t>Spotřební materiál pro molekulární biologii III.</t>
  </si>
  <si>
    <t>Spotřební materiál pro molekulární biologii IV.</t>
  </si>
  <si>
    <t>Spotřební materiál pro molekulární biologii V.</t>
  </si>
  <si>
    <t>Spotřební materiál pro molekulární biologii VI.</t>
  </si>
  <si>
    <t>Spotřební materiál pro průtokovou cytometrii I.</t>
  </si>
  <si>
    <t>Spotřební materiál pro průtokovou cytometrii II.</t>
  </si>
  <si>
    <t>Diagnostika GENETIKA I. 2019</t>
  </si>
  <si>
    <t>Spotřební materiál pro genetiku  I.</t>
  </si>
  <si>
    <t>Spotřební materiál pro genetiku  II.</t>
  </si>
  <si>
    <t>Spotřební materiál pro genetiku  III.</t>
  </si>
  <si>
    <t>Spotřební materiál pro genetiku  IV.</t>
  </si>
  <si>
    <t>Spotřební materiál pro genetiku  V.</t>
  </si>
  <si>
    <t>Spotřební materiál pro genetiku  VI.</t>
  </si>
  <si>
    <t>Spotřební materiál pro genetiku  VII.</t>
  </si>
  <si>
    <t>Spotřební materiál pro genetiku  VIII.</t>
  </si>
  <si>
    <t>Diagnostika EXP.MED a IVF I. 2019</t>
  </si>
  <si>
    <t>Spotřební materiál pro experimentální medicínu I.</t>
  </si>
  <si>
    <t>Spotřební materiál pro experimentální medicínu II.</t>
  </si>
  <si>
    <t>Spotřební materiál pro experimentální medicínu III.</t>
  </si>
  <si>
    <t>Spotřební materiál pro experimentální medicínu IV.</t>
  </si>
  <si>
    <t>Spotřební materiál pro experimentální medicínu V.</t>
  </si>
  <si>
    <t>Spotřební materiál pro experimentální medicínu VI.</t>
  </si>
  <si>
    <t>Spotřební materiál pro experimentální medicínu VII.</t>
  </si>
  <si>
    <t xml:space="preserve">Spotřební materiál pro IVF I. </t>
  </si>
  <si>
    <t xml:space="preserve">Spotřební materiál pro IVF II. </t>
  </si>
  <si>
    <t>VZ-2019-000596</t>
  </si>
  <si>
    <t>SMLN-2019-617-000233</t>
  </si>
  <si>
    <t>SMLN-2019-617-000237</t>
  </si>
  <si>
    <t>SMLN-2019-617-000234
SMLN-2019-614-000023</t>
  </si>
  <si>
    <t>SMLN-2019-617-000229</t>
  </si>
  <si>
    <t>SMLN-2019-617-000225</t>
  </si>
  <si>
    <t>SMLN-2019-617-000227</t>
  </si>
  <si>
    <t>SMLN-2019-617-000230</t>
  </si>
  <si>
    <t>SMLN-2019-617-000231</t>
  </si>
  <si>
    <t>SMLN-2019-617-000228</t>
  </si>
  <si>
    <t>SMLN-2019-617-000226</t>
  </si>
  <si>
    <t>SMLN-2019-617-000232</t>
  </si>
  <si>
    <t>SMLN-2019-617-000236
SMLN-2019-612-000056</t>
  </si>
  <si>
    <t>SMLN-2019-617-000238</t>
  </si>
  <si>
    <t>Monitor pro měření hemodynamiky II.</t>
  </si>
  <si>
    <t>zrušeno - nesplnění zadání</t>
  </si>
  <si>
    <t>nová VZ-2019-000573</t>
  </si>
  <si>
    <t>VZ-2019-000603</t>
  </si>
  <si>
    <t>2.3.398,2.3.423</t>
  </si>
  <si>
    <t>VZ-2019-000604</t>
  </si>
  <si>
    <t>Filtry pro vzduchotechniku 2019</t>
  </si>
  <si>
    <t>VZ-2019-000605</t>
  </si>
  <si>
    <t>Prověření nároku na odpočet DPH za období let 2016, 2017 a 2018</t>
  </si>
  <si>
    <t>zrušeno - úpravit zadání</t>
  </si>
  <si>
    <t>30. Materiál k perkutánním biopsiím</t>
  </si>
  <si>
    <t>VZ-2019-000607</t>
  </si>
  <si>
    <t>Sanitní vozidla II.</t>
  </si>
  <si>
    <t>nová VZ-2019-000607</t>
  </si>
  <si>
    <t>zrušeno - oprava zadání</t>
  </si>
  <si>
    <t>Spotřební materiál pro vakuovou asistovanou biopsii prsu</t>
  </si>
  <si>
    <t>Cardiomessengery s implantabilním EKG biomonitorem - studie SurHyb II</t>
  </si>
  <si>
    <t>VZ-2019-000611</t>
  </si>
  <si>
    <t>33812210-4</t>
  </si>
  <si>
    <t>nová VZ-2019-000611</t>
  </si>
  <si>
    <t>nová VZ-2019-000595</t>
  </si>
  <si>
    <t>hodnocení</t>
  </si>
  <si>
    <t>VAMEX, spol. s r.o.</t>
  </si>
  <si>
    <t>EspoMed spol. s r.o.</t>
  </si>
  <si>
    <t>VZ-2019-000616</t>
  </si>
  <si>
    <t>29. Drenážní sety pro perkutánní výkony</t>
  </si>
  <si>
    <t>VZ-2019-000624</t>
  </si>
  <si>
    <t>Dodávka pneumatik pro osobní, dodávková a nákladní vozidla FNOL</t>
  </si>
  <si>
    <t>VZ-2019-000623</t>
  </si>
  <si>
    <t>zrušeno - CRR</t>
  </si>
  <si>
    <t>Analyzátora otoakustických emisí II.</t>
  </si>
  <si>
    <t>Analyzátora otoakustických emisí III.</t>
  </si>
  <si>
    <t>VZ-2019-000625</t>
  </si>
  <si>
    <t>Oxymetry</t>
  </si>
  <si>
    <t>VZ-2019-000626</t>
  </si>
  <si>
    <t>Monitor pro měření hemodynamiky III.</t>
  </si>
  <si>
    <t>opkovaná VZ</t>
  </si>
  <si>
    <t>VZ-2019-000630</t>
  </si>
  <si>
    <t>EKG II.</t>
  </si>
  <si>
    <t>nová VZ-2019-000624</t>
  </si>
  <si>
    <t>nová VZ-2019-000626</t>
  </si>
  <si>
    <t>Biomedica ČS, s.r.o.</t>
  </si>
  <si>
    <t>SMLN-2019-612-000059</t>
  </si>
  <si>
    <t>3.6.2019 zrušeno</t>
  </si>
  <si>
    <t>31.5.2019 zrušeno</t>
  </si>
  <si>
    <t>VZ-2019-000639</t>
  </si>
  <si>
    <t>Stavební úpravy dospávací haly v objektu „A“ – 2.NP</t>
  </si>
  <si>
    <t>VZ-2019-000640</t>
  </si>
  <si>
    <t>Svozil</t>
  </si>
  <si>
    <t xml:space="preserve">Vybudování unifikovaných shromaždišť odpadů </t>
  </si>
  <si>
    <t>4.3.8.</t>
  </si>
  <si>
    <t>45233200-1</t>
  </si>
  <si>
    <t>VZ-2019-000642</t>
  </si>
  <si>
    <t xml:space="preserve">Drát zaváděcí EMERALD </t>
  </si>
  <si>
    <t>1.2.57.</t>
  </si>
  <si>
    <t>VZ-2019-000643</t>
  </si>
  <si>
    <t>Inhibitory interleukinu I. 2019</t>
  </si>
  <si>
    <t>ANAKINRA</t>
  </si>
  <si>
    <t xml:space="preserve">SARILUMAB </t>
  </si>
  <si>
    <t xml:space="preserve">BRODALUMAB </t>
  </si>
  <si>
    <t>Léčiva s obsahem karfilzomibu 2019</t>
  </si>
  <si>
    <t>VZ-2019-000644</t>
  </si>
  <si>
    <t>VZ-2019-000645</t>
  </si>
  <si>
    <t xml:space="preserve">VANDETANIB </t>
  </si>
  <si>
    <t>AFATINIB</t>
  </si>
  <si>
    <t xml:space="preserve">BOSUTINIB </t>
  </si>
  <si>
    <t xml:space="preserve">KRIZOTINIB </t>
  </si>
  <si>
    <t xml:space="preserve">PONATINIB </t>
  </si>
  <si>
    <t xml:space="preserve">TRAMETINIB </t>
  </si>
  <si>
    <t>KABOZANTINIB  I.</t>
  </si>
  <si>
    <t>KABOZANTINIB  II.</t>
  </si>
  <si>
    <t>LENVATINIB</t>
  </si>
  <si>
    <t xml:space="preserve">ALEKTINIB </t>
  </si>
  <si>
    <t xml:space="preserve">Inhibitory proteinkináz II. 2019 </t>
  </si>
  <si>
    <t>5.6. zrušeno</t>
  </si>
  <si>
    <t>VZ-2019-000651</t>
  </si>
  <si>
    <t>Komplexní monitorační systém pro ECMO II.</t>
  </si>
  <si>
    <t>BARD Czech Republic s.r.o.</t>
  </si>
  <si>
    <t>MEDITRADE spol. s r.o.</t>
  </si>
  <si>
    <t>Miele, spol. s r.o.</t>
  </si>
  <si>
    <t>6.6. zrušeno</t>
  </si>
  <si>
    <t>4.6.2021 + servis</t>
  </si>
  <si>
    <t>SMLN-2019-617-000247
SMLN-2019-614-000024</t>
  </si>
  <si>
    <t>SMLN-2019-617-000248
SMLN-2019-612-000060</t>
  </si>
  <si>
    <t>SMLN-2019-617-000250
SMLN-2019-614-000026</t>
  </si>
  <si>
    <t>SMLN-2019-617-000249
SMLN-2019-614-000025</t>
  </si>
  <si>
    <t>10.6. zrušeno</t>
  </si>
  <si>
    <t>SMLN-2019-617-000251</t>
  </si>
  <si>
    <t>SMLN-2019-617-000253
SMLN-2019-614-000027</t>
  </si>
  <si>
    <t>Getinge Czech Republic, s.r.o.</t>
  </si>
  <si>
    <t>SMLN-2019-617-000260</t>
  </si>
  <si>
    <t>VZ-2019-000668</t>
  </si>
  <si>
    <t>Monoklonální protilátky 2019</t>
  </si>
  <si>
    <t>Cetuximab II.</t>
  </si>
  <si>
    <t>Cetuximab I.</t>
  </si>
  <si>
    <t>Bevacizumab</t>
  </si>
  <si>
    <t>Panitumumab</t>
  </si>
  <si>
    <t>Ramucirumab</t>
  </si>
  <si>
    <t>VZ-2019-000669</t>
  </si>
  <si>
    <t>Inhibitory proteinkináz I.  2019</t>
  </si>
  <si>
    <t>Nintedanib</t>
  </si>
  <si>
    <t>Imatinib pro indikaci CML</t>
  </si>
  <si>
    <t>Palbociklib</t>
  </si>
  <si>
    <t>Kobimetinib</t>
  </si>
  <si>
    <t>VZ-2019-000672</t>
  </si>
  <si>
    <t>nová VZ-2019-000672</t>
  </si>
  <si>
    <t>SMLN-2019-612-000063</t>
  </si>
  <si>
    <t>SMLN-2019-617-000261
SMLN-2019-614-000031</t>
  </si>
  <si>
    <t>SMLN-2019-617-000262
SMLN-2019-614-000032</t>
  </si>
  <si>
    <t>SMLN-2019-617-000263
SMLN-2019-614-000033</t>
  </si>
  <si>
    <t>SMLN-2019-617-000264
SMLN-2019-614-000034</t>
  </si>
  <si>
    <t>zrušeno - nutná ekonomická analýza</t>
  </si>
  <si>
    <t>VZ-2019-000675</t>
  </si>
  <si>
    <t>Poskytování servisních služeb u přístrojů Olympus</t>
  </si>
  <si>
    <t>SMLN-2019-617-000266
SMLN-2019-614-000035</t>
  </si>
  <si>
    <t>SMLN-2019-617-000267
SMLN-2019-614-000036</t>
  </si>
  <si>
    <t>SMLN-2019-617-000268
SMLN-2019-614-000037</t>
  </si>
  <si>
    <t>SMLN-2019-617-000269
SMLN-2019-614-000038</t>
  </si>
  <si>
    <t>SMLN-2019-617-000270
SMLN-2019-614-000040</t>
  </si>
  <si>
    <t>SMLN-2019-617-000278
SMLN-2019-614-000048</t>
  </si>
  <si>
    <t>SMLN-2019-617-000271
SMLN-2019-614-000041</t>
  </si>
  <si>
    <t>SMLN-2019-617-000272
SMLN-2019-614-000042</t>
  </si>
  <si>
    <t>SMLN-2019-617-000273
SMLN-2019-614-000043</t>
  </si>
  <si>
    <t>SMLN-2019-617-000274
SMLN-2019-614-000044</t>
  </si>
  <si>
    <t>SMLN-2019-617-000275
SMLN-2019-614-000045</t>
  </si>
  <si>
    <t>SMLN-2019-617-000276
SMLN-2019-614-000046</t>
  </si>
  <si>
    <t>SMLN-2019-617-000277
SMLN-2019-614-000047</t>
  </si>
  <si>
    <t>SMLN-2019-617-000279
SMLN-2019-614-000049</t>
  </si>
  <si>
    <t>SMLN-2019-617-000280</t>
  </si>
  <si>
    <t>JK new product s.r.o.</t>
  </si>
  <si>
    <t>Kadlec - elektronika, s.r.o.</t>
  </si>
  <si>
    <t>SMLN-2019-617-000283
SMLN-2019-614-000050</t>
  </si>
  <si>
    <t>SMLN-2019-617-000284
SMLN-2019-614-000051</t>
  </si>
  <si>
    <t>SMLN-2019-617-000287
SMLN-2019-614-000053</t>
  </si>
  <si>
    <t>SMLN-2019-617-000285
SMLN-2019-614-000052</t>
  </si>
  <si>
    <t>VZ-2019-000685</t>
  </si>
  <si>
    <t>31.Drenážní katétry pro zevní drenáže žlučových cest II</t>
  </si>
  <si>
    <t>zrušeno – úprava zadání</t>
  </si>
  <si>
    <t>VZ-2019-000688</t>
  </si>
  <si>
    <t>Přístroj pH-metr s impedancí II</t>
  </si>
  <si>
    <t>nová VZ-2019-000688</t>
  </si>
  <si>
    <t>nová VZ-2019-000578</t>
  </si>
  <si>
    <t>VZ-2019-000692</t>
  </si>
  <si>
    <t>29. Drenážní sety pro perkutánní drenáže II</t>
  </si>
  <si>
    <t>VZ-2019-000693</t>
  </si>
  <si>
    <t>7. Aspirační katétry intrakraniální II</t>
  </si>
  <si>
    <t>nová VZ-2019-000692</t>
  </si>
  <si>
    <t>nová VZ-2019-000693</t>
  </si>
  <si>
    <t>zrušeno - úprava zadání</t>
  </si>
  <si>
    <t>SMLN-2019-618-000044</t>
  </si>
  <si>
    <t>SMLN-2019-617-000289
SMLN-2019-614-000054</t>
  </si>
  <si>
    <t>SMLN-2019-617-000290
SMLN-2019-618-000045</t>
  </si>
  <si>
    <t>VZ-2019-000694</t>
  </si>
  <si>
    <t>Olejníček</t>
  </si>
  <si>
    <t>VZ-2019-000697</t>
  </si>
  <si>
    <t>EKG biomonitory</t>
  </si>
  <si>
    <t xml:space="preserve">31643100-6
33115100-0
50421000-2 </t>
  </si>
  <si>
    <t>FN Olomouc - obměna 3 ks lineárních urychlovačů a Thomayerova nemocnice - obměna 2 ks lineárních urychlovačů - sdružený nákup</t>
  </si>
  <si>
    <t>SMLN-2019-612-000065</t>
  </si>
  <si>
    <t>SMLN-2019-618-000047</t>
  </si>
  <si>
    <t>1.1.-23.6.2022</t>
  </si>
  <si>
    <t>SMLN-2019-617-000296</t>
  </si>
  <si>
    <t>SMLN-2019-618-000048</t>
  </si>
  <si>
    <t>VZ-2019-000710</t>
  </si>
  <si>
    <t>Interferony 2019</t>
  </si>
  <si>
    <t>Interferon alfa-2b</t>
  </si>
  <si>
    <t>Interferon beta-1a I</t>
  </si>
  <si>
    <t>Interferon beta-1b</t>
  </si>
  <si>
    <t xml:space="preserve">Peginterferon alfa </t>
  </si>
  <si>
    <t>Peginterferon beta - 1a</t>
  </si>
  <si>
    <t>VZ-2019-000709</t>
  </si>
  <si>
    <t>N05CM18 Dexmedetomidin 2019</t>
  </si>
  <si>
    <t>Dexmedetomidin</t>
  </si>
  <si>
    <t>VZ-2019-000708</t>
  </si>
  <si>
    <t>MIDOSTAURIN 2019</t>
  </si>
  <si>
    <t>Midostaurin</t>
  </si>
  <si>
    <t>VZ-2019-000706</t>
  </si>
  <si>
    <t>Diagnostické soupravy pro imunohematologické vyšetření se zápůjčkou analyzátorů</t>
  </si>
  <si>
    <t>VZ-2019-000714</t>
  </si>
  <si>
    <t>45223500-1</t>
  </si>
  <si>
    <t>VZ-2019-000715</t>
  </si>
  <si>
    <t>OSB</t>
  </si>
  <si>
    <t>Rekonstrukce topení a ohřevu vody v bytech na ubytovně Albertova</t>
  </si>
  <si>
    <t>VZ-2019-000717</t>
  </si>
  <si>
    <t>28. Y-Adaptéry II.</t>
  </si>
  <si>
    <t>nevypsáno</t>
  </si>
  <si>
    <t>SKARAB s.r.o.</t>
  </si>
  <si>
    <t>SMLN-2019-617-000299</t>
  </si>
  <si>
    <t>SMLN-2019-618-000049</t>
  </si>
  <si>
    <t>CLIMART s.r.o.</t>
  </si>
  <si>
    <t>VZ-2019-000721</t>
  </si>
  <si>
    <t>FN Olomouc - Automatický vjezdový systém</t>
  </si>
  <si>
    <t>VZ-2019-000729</t>
  </si>
  <si>
    <t>Jiná imunosupresiva 2019</t>
  </si>
  <si>
    <t xml:space="preserve"> 33652300-8</t>
  </si>
  <si>
    <t xml:space="preserve">Methotrexát </t>
  </si>
  <si>
    <t>Metoject pen</t>
  </si>
  <si>
    <t>Pirfenidon</t>
  </si>
  <si>
    <t>Pomalidomid</t>
  </si>
  <si>
    <t>Lenalidomid</t>
  </si>
  <si>
    <t>VZ-2019-000730</t>
  </si>
  <si>
    <t>Mikro-ultrazvukový přístroj pro navigaci biopsie prostaty II.</t>
  </si>
  <si>
    <t>SMLN-2019-618-000050</t>
  </si>
  <si>
    <t>VZ-2019-000732</t>
  </si>
  <si>
    <t>34. Jícnové stenty II.</t>
  </si>
  <si>
    <t>VZ-2019-000733</t>
  </si>
  <si>
    <t xml:space="preserve">Sanace lodžie v budově Q204  na Dětské klinice </t>
  </si>
  <si>
    <t>45262000-1</t>
  </si>
  <si>
    <t>VZ-2019-000734</t>
  </si>
  <si>
    <t>Mrazící boxy, chladnice a lednice FNOL</t>
  </si>
  <si>
    <t>VZ-2019-000735</t>
  </si>
  <si>
    <t>33154000-4</t>
  </si>
  <si>
    <t>Mrazící laboratorní box</t>
  </si>
  <si>
    <t>Laboratorní lednice</t>
  </si>
  <si>
    <t>Chladící box a hlubokomrazící box</t>
  </si>
  <si>
    <t>2.2.101., 2.2.102.</t>
  </si>
  <si>
    <t>2.2.210., 2.2.218.</t>
  </si>
  <si>
    <t>2.2.216.</t>
  </si>
  <si>
    <t>VZ-2019-000737</t>
  </si>
  <si>
    <t>Zpracování generelu rozvoje areálu FN Olomouc</t>
  </si>
  <si>
    <t>71400000-2</t>
  </si>
  <si>
    <t>VZ-2019-000739</t>
  </si>
  <si>
    <t>ELISA readery a procesory</t>
  </si>
  <si>
    <t>VZ-2019-000740</t>
  </si>
  <si>
    <t>Audiometry</t>
  </si>
  <si>
    <t>2.2.220.</t>
  </si>
  <si>
    <t xml:space="preserve">33121400-8 </t>
  </si>
  <si>
    <t>VZ-2019-000741</t>
  </si>
  <si>
    <t>Stangl technik Česko spol. s r.o.</t>
  </si>
  <si>
    <t>1.1.-1.7.2023</t>
  </si>
  <si>
    <t>Oprava přístupové rampy k přistávací ploše</t>
  </si>
  <si>
    <t>VZ-2019-000743</t>
  </si>
  <si>
    <t>Odlučovač tuků</t>
  </si>
  <si>
    <t>BioVendor-Laboratorní medicína a.s.</t>
  </si>
  <si>
    <t>3.7.zrušeno</t>
  </si>
  <si>
    <t>1.1.-19.6.2022</t>
  </si>
  <si>
    <t>SMLN-2019-617-000301 SMLN-2019-612-000066</t>
  </si>
  <si>
    <t>BS PRAGUE MEDICALCS, spol. s r.o.</t>
  </si>
  <si>
    <t>3.7. zrušeno</t>
  </si>
  <si>
    <t>SMLN-2019-617-000304
SMLN-2019-614-000058</t>
  </si>
  <si>
    <t>SMLN-2019-617-000305
SMLN-2019-614-000059</t>
  </si>
  <si>
    <t>SMLN-2019-617-000306
SMLN-2019-614-000060</t>
  </si>
  <si>
    <t>SMLN-2019-617-000307
SMLN-2019-614-000061</t>
  </si>
  <si>
    <t>VZ-2019-000749</t>
  </si>
  <si>
    <t>Instalace vyvolávacích systémů II.</t>
  </si>
  <si>
    <t>VZ-2019-000750</t>
  </si>
  <si>
    <t>Kohutová</t>
  </si>
  <si>
    <t>Produkty na výrobu nápojů pro hospitalizované pacienty</t>
  </si>
  <si>
    <t>SMLN-2019-617-000308 SMLN-2019-614-000062</t>
  </si>
  <si>
    <t>VZ-2019-000759</t>
  </si>
  <si>
    <t>Oprava elektroinstalace na operačních sálech Ortopedie</t>
  </si>
  <si>
    <t>VZ-2019-000760</t>
  </si>
  <si>
    <t>nová VZ-2019-000760</t>
  </si>
  <si>
    <t>31.Drenážní katétry pro zevní drenáže žlučových cest III</t>
  </si>
  <si>
    <t>ELMAR group spol. s r.o.</t>
  </si>
  <si>
    <t xml:space="preserve"> SMLN-2019-617-000246</t>
  </si>
  <si>
    <t>SMLN-2019-617-000313
 SMLN-2019-612-000069</t>
  </si>
  <si>
    <t>SORAL &amp; HANZLIK Medical s.r.o.</t>
  </si>
  <si>
    <t>SMLN-2019-617-000314 
SMLN-2019-616-000048</t>
  </si>
  <si>
    <t>VZ-2019-000765</t>
  </si>
  <si>
    <t>Termocyklery</t>
  </si>
  <si>
    <t xml:space="preserve">38950000-9 </t>
  </si>
  <si>
    <t>VZ-2019-000766</t>
  </si>
  <si>
    <t>Ultrazvukové sestavy</t>
  </si>
  <si>
    <t>Echokardiografický přístroj pro I.IK</t>
  </si>
  <si>
    <t>Ultrazvukový přístroj s příslušenstvím pro II.IK</t>
  </si>
  <si>
    <t>Echokardiografický přístroj pro DK</t>
  </si>
  <si>
    <t>Přenosný ultrazvukový systém pro KARIM</t>
  </si>
  <si>
    <t>Ultrazvukový přístroj s predickí pro REHAB</t>
  </si>
  <si>
    <t>Ultrazvukový přístroj centrální pro RDG</t>
  </si>
  <si>
    <t>Konvexní sonda k UVZ systému pro UROL</t>
  </si>
  <si>
    <t>SMLN-2019-618-000053</t>
  </si>
  <si>
    <t>zrušeno - překročena cena</t>
  </si>
  <si>
    <t>SMLN-2019-617-000315</t>
  </si>
  <si>
    <t>2.3.426.</t>
  </si>
  <si>
    <t>VZ-2019-000770</t>
  </si>
  <si>
    <t>34. Jícnové stenty III.</t>
  </si>
  <si>
    <t>nová VZ-2019-000770</t>
  </si>
  <si>
    <t xml:space="preserve">ELISA spektrofotometr </t>
  </si>
  <si>
    <t xml:space="preserve">Automatický ELISA procesor a spektrofotometr </t>
  </si>
  <si>
    <t>ELISA zařízení s promývačkou</t>
  </si>
  <si>
    <t>2.2.212.</t>
  </si>
  <si>
    <t>2.2.213-214.</t>
  </si>
  <si>
    <t>Real-time termocykleer</t>
  </si>
  <si>
    <t>2ks jednoblokových termocyklerů</t>
  </si>
  <si>
    <t>2.2.217.</t>
  </si>
  <si>
    <t>2.2.211.</t>
  </si>
  <si>
    <t>Fénix Brno spol. s r.o.</t>
  </si>
  <si>
    <t>4.7. zrušeno</t>
  </si>
  <si>
    <t>9.7. zrušeno</t>
  </si>
  <si>
    <t>SMLN-2019-617-000316 SMLN-2019-612-000070</t>
  </si>
  <si>
    <t>Léčiva a diagnostika</t>
  </si>
  <si>
    <t>Zdravotnická technika</t>
  </si>
  <si>
    <t>Otevřené řízení</t>
  </si>
  <si>
    <t>Zjednodušené podlimitní řízení</t>
  </si>
  <si>
    <t>Celkem VZ - částí VZ</t>
  </si>
  <si>
    <t>Uzavřená smlouva</t>
  </si>
  <si>
    <t>Zrušená VZ</t>
  </si>
  <si>
    <t>Ve fázi podávání nabídek</t>
  </si>
  <si>
    <t>Ve fázi hodnocení nabídek a před podpisem smlouvy</t>
  </si>
  <si>
    <t>Příprava na vypsání</t>
  </si>
  <si>
    <t>Zdravotnický materiál</t>
  </si>
  <si>
    <t>Informatika</t>
  </si>
  <si>
    <t>Investiční odbor</t>
  </si>
  <si>
    <t>Všeobecný materiál</t>
  </si>
  <si>
    <t>Odbor energetiky a vodního hospodářství</t>
  </si>
  <si>
    <t>Odbor správy budov</t>
  </si>
  <si>
    <t>OSTATNÍ</t>
  </si>
  <si>
    <t>Celkem VZ - částí VZ - stav k 4.7.2019</t>
  </si>
  <si>
    <t>zrušeno – bez nabídky</t>
  </si>
  <si>
    <t>VZ-2019-000777</t>
  </si>
  <si>
    <t>Laboratorní chlazená centrifuga</t>
  </si>
  <si>
    <t>2.2.115.</t>
  </si>
  <si>
    <t>VZ-2019-000779</t>
  </si>
  <si>
    <t>Dodání a instalace formátovací pily</t>
  </si>
  <si>
    <t>4.2.112.</t>
  </si>
  <si>
    <t>43812000-8</t>
  </si>
  <si>
    <t>SMLN-2019-617-000318</t>
  </si>
  <si>
    <t>SMLN-2019-617-000319</t>
  </si>
  <si>
    <t>SMLN-2019-617-000321
SMLN-2019-614-000064</t>
  </si>
  <si>
    <t>SMLN-2019-617-000322
SMLN-2019-614-000065</t>
  </si>
  <si>
    <t>SMLN-2019-617-000323
SMLN-2019-612-000071</t>
  </si>
  <si>
    <t>SMLN-2019-617-000324
SMLN-2019-612-000072</t>
  </si>
  <si>
    <t>SMLN-2019-618-000054</t>
  </si>
  <si>
    <t>VZ-2019-000794</t>
  </si>
  <si>
    <t>VZ-2019-000795</t>
  </si>
  <si>
    <t>PD-Stavební úpravy objektu "D"-únikové cesty</t>
  </si>
  <si>
    <t>1.3.20.</t>
  </si>
  <si>
    <t>VZ-2019-000796</t>
  </si>
  <si>
    <t>Zabezpečení správy, aktualizace a rozvoj stávajícího webového řešení klienta</t>
  </si>
  <si>
    <t>72422000-4</t>
  </si>
  <si>
    <t>VZ-2019-000797</t>
  </si>
  <si>
    <t>Akumulátorové sestavy vrtačka a oscilační pila pro endoprotetiku II.</t>
  </si>
  <si>
    <t>2.3.401</t>
  </si>
  <si>
    <t>nová VZ-2019-000797</t>
  </si>
  <si>
    <t>VZ-2019-000798</t>
  </si>
  <si>
    <t>Inhibitory interleukinu I. 2019/2</t>
  </si>
  <si>
    <t>VZ-2019-000799</t>
  </si>
  <si>
    <t>Inhibitory proteinkináz IV. 2019</t>
  </si>
  <si>
    <t>Gefitinib</t>
  </si>
  <si>
    <t>SMLN-2019-617-000327</t>
  </si>
  <si>
    <t>19.7. zrušeno</t>
  </si>
  <si>
    <t>VZ-2019-000803</t>
  </si>
  <si>
    <t>Automat pro PCR diagnostiku neuroinfekcí II.</t>
  </si>
  <si>
    <t>nová VZ-2019-000803</t>
  </si>
  <si>
    <t>VZ-2019-000804</t>
  </si>
  <si>
    <t>Update software karyotypovacích kamer</t>
  </si>
  <si>
    <t>2.3.414</t>
  </si>
  <si>
    <t>zrušeno - nepslnění podmínek</t>
  </si>
  <si>
    <t>VZ-2019-000806</t>
  </si>
  <si>
    <t>Gynekologické vyšetřovací křeslo s příslušenstvím II.</t>
  </si>
  <si>
    <t>Philips Česká republika s.r.o.</t>
  </si>
  <si>
    <t>SMLN-2019-612-000073</t>
  </si>
  <si>
    <t>SMLN-2019-612-000074</t>
  </si>
  <si>
    <t>VZ-2019-000807</t>
  </si>
  <si>
    <t>Břišní rozvěrač</t>
  </si>
  <si>
    <t>VZ-2019-000808</t>
  </si>
  <si>
    <t>VZ-2019-000809</t>
  </si>
  <si>
    <t>Transportní monitor vitálních funkcí</t>
  </si>
  <si>
    <t>2.2.90.</t>
  </si>
  <si>
    <t>SMLN-2019-617-000328 
SMLN-2019-612-000075</t>
  </si>
  <si>
    <t>VZ-2019-000812</t>
  </si>
  <si>
    <t>Digitální pojízdný RTG přístroj</t>
  </si>
  <si>
    <t>2.2.204.</t>
  </si>
  <si>
    <t>2.3.408.</t>
  </si>
  <si>
    <t>Mobilní C-rameno s plochým detektorem</t>
  </si>
  <si>
    <t>Mobilní RTG přístroje</t>
  </si>
  <si>
    <t>SMLN-2019-617-000329
SMLN-2019-612-000076</t>
  </si>
  <si>
    <t>VZ-2019-000819</t>
  </si>
  <si>
    <t>Blinatumomab - sdružený nákup 2019</t>
  </si>
  <si>
    <t>Blinatumomab</t>
  </si>
  <si>
    <t>VZ-2019-000824</t>
  </si>
  <si>
    <t>Antitrombotika 2019/2</t>
  </si>
  <si>
    <t>VZ-2019-000825</t>
  </si>
  <si>
    <t>Antivirotika k léčbě infekce HCV 2019</t>
  </si>
  <si>
    <t xml:space="preserve">RIBAVIRIN </t>
  </si>
  <si>
    <t xml:space="preserve">SOFOSBUVIR A LEDIPASVIR </t>
  </si>
  <si>
    <t xml:space="preserve">SOFOSBUVIR A VELPATASVIR </t>
  </si>
  <si>
    <t xml:space="preserve">SOFOSBUVIR, VELPATASVIR A VOXILAPREVIR </t>
  </si>
  <si>
    <t xml:space="preserve">GLEKAPREVIR A PIBRENTASVIR </t>
  </si>
  <si>
    <t>VZ-2019-000826</t>
  </si>
  <si>
    <t>Alemtuzumab - sdružený nákup 2019</t>
  </si>
  <si>
    <t>Alemtuzumab</t>
  </si>
  <si>
    <t>SMLN-2019-617-000336
SMLN-2019-614-000067</t>
  </si>
  <si>
    <t>SMLN-2019-617-000340</t>
  </si>
  <si>
    <t>BG Technik CS, a.s.</t>
  </si>
  <si>
    <t>SMLN-2019-618-000065</t>
  </si>
  <si>
    <t>SMLN-2019-618-000058</t>
  </si>
  <si>
    <t>SMLN-2019-618-000057</t>
  </si>
  <si>
    <t>SMLN-2019-618-000059</t>
  </si>
  <si>
    <t>SMLN-2019-617-000331</t>
  </si>
  <si>
    <t>SMLN-2019-617-000330
SMLN-2019-612-000077</t>
  </si>
  <si>
    <t>SMLN-2019-617-000335
SMLN-2019-614-000066</t>
  </si>
  <si>
    <t>A Care a.s.</t>
  </si>
  <si>
    <t>SMLN-2019-617-000338</t>
  </si>
  <si>
    <t>Bristol-Meyers Squibb spol. s r.o.</t>
  </si>
  <si>
    <t>SMLN-2019-617-000337</t>
  </si>
  <si>
    <t>SMLN-2019-617-000341</t>
  </si>
  <si>
    <t>ONE Vision s.r.o.</t>
  </si>
  <si>
    <t>VZ-2019-000815</t>
  </si>
  <si>
    <t>Servisní podpora informačních systémů: Mikrobiologie, Patologie, Distribuční portál, Akreditační nadstavba, Specializované ambulantní moduly</t>
  </si>
  <si>
    <t>Specializované ambulantní moduly</t>
  </si>
  <si>
    <t>Akreditační nadstavba</t>
  </si>
  <si>
    <t>Distribuční portál</t>
  </si>
  <si>
    <t>Patologie</t>
  </si>
  <si>
    <t>Mikrobiologie</t>
  </si>
  <si>
    <t>VZ-2019-000834</t>
  </si>
  <si>
    <t>Stavební úpravy 1.NP a 1.PP objektu E-kliniky ORL</t>
  </si>
  <si>
    <t>Testery pevnosti a rozpadavosti tablet</t>
  </si>
  <si>
    <t>VZ-2019-000835</t>
  </si>
  <si>
    <t>2.2.222-223.</t>
  </si>
  <si>
    <t>38500000-0</t>
  </si>
  <si>
    <t>7.8.zrušeno</t>
  </si>
  <si>
    <t>6.8. zrušeno</t>
  </si>
  <si>
    <t>1.8. zrušeno</t>
  </si>
  <si>
    <t>29.7. zrušeno</t>
  </si>
  <si>
    <t>12.8. zrušeno</t>
  </si>
  <si>
    <t>DiaSorin Czech s.r.o.</t>
  </si>
  <si>
    <t>VZ-2019-000822</t>
  </si>
  <si>
    <t>ELISA readery a procesory II</t>
  </si>
  <si>
    <t>Merck spol. s r.o.</t>
  </si>
  <si>
    <t>VZ-2019-000856</t>
  </si>
  <si>
    <t>Prokládací mycí a dezinfekční automaty na nástroje</t>
  </si>
  <si>
    <t xml:space="preserve">33191110-9 </t>
  </si>
  <si>
    <t>VZ-2019-000862</t>
  </si>
  <si>
    <t>Léčivý přípravek OCALIVA 2019</t>
  </si>
  <si>
    <t>Léčivý přípravek OCALIVA</t>
  </si>
  <si>
    <t>VZ-2019-000865</t>
  </si>
  <si>
    <t>33610000-9</t>
  </si>
  <si>
    <t>4.2.116.</t>
  </si>
  <si>
    <t>45311200-2</t>
  </si>
  <si>
    <t>SMLN-2019-617-000344
SMLN-2019-612-000081</t>
  </si>
  <si>
    <t>nová VZ-2019-000730</t>
  </si>
  <si>
    <t>nová VZ-2019-000806</t>
  </si>
  <si>
    <t>nová VZ-2019-000822</t>
  </si>
  <si>
    <t>SARSTEDT spol. s r.o.</t>
  </si>
  <si>
    <t>Askin  &amp; Co. s.r.o.</t>
  </si>
  <si>
    <t>Ohřívací jednotka pro operační sály</t>
  </si>
  <si>
    <t>Ohřívací jednotka pro jednotku intermediální péče</t>
  </si>
  <si>
    <t>2.3.338.</t>
  </si>
  <si>
    <t>15.8. zrušeno</t>
  </si>
  <si>
    <t>SMLN-2019-617-000346
SMLN-2019-612-000083</t>
  </si>
  <si>
    <t>SMLN-2019-617-000345
SMLN-2019-612-000082</t>
  </si>
  <si>
    <t>SMLN-2019-617-000347
SMLN-2019-612-000084</t>
  </si>
  <si>
    <t>SMLN-2019-617-000348</t>
  </si>
  <si>
    <t>SMLN-2019-617-000349</t>
  </si>
  <si>
    <t>SMLN-2019-617-000350</t>
  </si>
  <si>
    <t>SMLN-2019-617-000351</t>
  </si>
  <si>
    <t>SMLN-2019-617-000352</t>
  </si>
  <si>
    <t>SMLN-2019-617-000353</t>
  </si>
  <si>
    <t>ELLA-CS s.r.o.</t>
  </si>
  <si>
    <t>6.8.2019 zrušeno</t>
  </si>
  <si>
    <t>2. Vodící dráty k vaskulárním intervencím</t>
  </si>
  <si>
    <t>KRD obchodní společnost, s.r.o.</t>
  </si>
  <si>
    <t>SMLN-2019-617-000354
SMLN-2019-612-000085</t>
  </si>
  <si>
    <t>VZ-2019-000871</t>
  </si>
  <si>
    <t>Laboratorní chlazená centrifuga II.</t>
  </si>
  <si>
    <t>VZ-2019-000872</t>
  </si>
  <si>
    <t>2k jednoblokových termocyklerů</t>
  </si>
  <si>
    <t>VZ-2019-000875</t>
  </si>
  <si>
    <t>2.2.218.,2.2.210.</t>
  </si>
  <si>
    <t>VZ-2019-000877</t>
  </si>
  <si>
    <t>EKG III.</t>
  </si>
  <si>
    <t>1.1.-15.8.2023</t>
  </si>
  <si>
    <t>nová VZ-2019-000872</t>
  </si>
  <si>
    <t>19.8. zrušeno</t>
  </si>
  <si>
    <t>16.8. zrušeno</t>
  </si>
  <si>
    <t>20.8. zrušeno</t>
  </si>
  <si>
    <t>VZ-2019-000880</t>
  </si>
  <si>
    <t>AxonLab spol.  s r.o.</t>
  </si>
  <si>
    <t>SMLN-2019-617-000358
SMLN-2019-614-000068</t>
  </si>
  <si>
    <t>SMLN-2019-617-000359
SMLN-2019-614-000068</t>
  </si>
  <si>
    <t>SMLN-2019-617-000360
SMLN-2019-614-000069</t>
  </si>
  <si>
    <t>VZ-2019-000881</t>
  </si>
  <si>
    <t>Teriflunomid 2019 - sdružený nákup</t>
  </si>
  <si>
    <t>TERIFLUNOMID</t>
  </si>
  <si>
    <t>VZ-2019-000883</t>
  </si>
  <si>
    <t>Léčivé přípravky s obsahem ivakaftoru 2019</t>
  </si>
  <si>
    <t>IVAKAFTOR</t>
  </si>
  <si>
    <t>VZ-2019-000884</t>
  </si>
  <si>
    <t>Jiná systémová hemostatika 2019</t>
  </si>
  <si>
    <t xml:space="preserve">ETAMSYLÁT </t>
  </si>
  <si>
    <t>ROMIPLOSTIM</t>
  </si>
  <si>
    <t xml:space="preserve">ELTROMBOPAG </t>
  </si>
  <si>
    <t xml:space="preserve">33621000-9 </t>
  </si>
  <si>
    <t>VZ-2019-000882</t>
  </si>
  <si>
    <t xml:space="preserve">PŘENOSNÝ ELASTOMERNÍ INFUZNÍ SYSTÉM INFUSOR LV </t>
  </si>
  <si>
    <t>SMLN-2019-618-000070</t>
  </si>
  <si>
    <t>SMLN-2019-617-000361</t>
  </si>
  <si>
    <t>VZ-2019-000885</t>
  </si>
  <si>
    <t>SMLN-2019-617-000363
SMLN-2019-614-000072</t>
  </si>
  <si>
    <t>SMLN-2019-617-000362
SMLN-2019-614-000071</t>
  </si>
  <si>
    <t>VZ-2019-000888</t>
  </si>
  <si>
    <t>Rozšíření telefonního systému</t>
  </si>
  <si>
    <t>32552310-3</t>
  </si>
  <si>
    <t>3.2.44.</t>
  </si>
  <si>
    <t>VZ-2019-000889</t>
  </si>
  <si>
    <t>Sternální systém ZIPFIX (materiál peek) pro rychlou stabilizaci a fixaci sterna</t>
  </si>
  <si>
    <t>VZ-2019-000890</t>
  </si>
  <si>
    <t>Norepinefrin 2019</t>
  </si>
  <si>
    <t>Norepinefrin I.</t>
  </si>
  <si>
    <t>Norepinefrin I. Pro použití u dětských pacientů</t>
  </si>
  <si>
    <t>Norepinefrin II.</t>
  </si>
  <si>
    <t>Norepinefrin II. Pro použití u dětských pacientů</t>
  </si>
  <si>
    <t>Ing. Aleš Závorka</t>
  </si>
  <si>
    <t>Hoyer Praha s.r.o.</t>
  </si>
  <si>
    <t>Optimalizace operačních procesů ve FNOL</t>
  </si>
  <si>
    <t>nová VZ-2019-000875</t>
  </si>
  <si>
    <t>SMLN-2019-617-000368
SMLN-2019-612-000087</t>
  </si>
  <si>
    <t>SMLN-2019-617-000369
SMLN-2019-612-000088</t>
  </si>
  <si>
    <t>SMLN-2019-617-000370
SMLN-2019-612-000089</t>
  </si>
  <si>
    <t>SMLN-2019-617-000367
SMLN-2019-614-000073</t>
  </si>
  <si>
    <t>VZ-2019-000893</t>
  </si>
  <si>
    <t>3319000-8</t>
  </si>
  <si>
    <t>SOTAX Pharmaceutical Testings s.r.o.</t>
  </si>
  <si>
    <t>LABOSERV s.r.o.</t>
  </si>
  <si>
    <t>DYNEX Technologies spol.s r.o.</t>
  </si>
  <si>
    <t>BioTech a.s.</t>
  </si>
  <si>
    <t>21.8. zrušeno</t>
  </si>
  <si>
    <t>SMLN-2019-617-000371</t>
  </si>
  <si>
    <t>SMLN-2019-617-000372</t>
  </si>
  <si>
    <t>SMLN-2019-617-000373</t>
  </si>
  <si>
    <t>SMLN-2019-617-000374</t>
  </si>
  <si>
    <t>SMLN-2019-617-000375</t>
  </si>
  <si>
    <t>SMLN-2019-617-000376</t>
  </si>
  <si>
    <t>SMLN-2019-617-000377</t>
  </si>
  <si>
    <t>SMLN-2019-617-000379
SMLN-2019-612-000091</t>
  </si>
  <si>
    <t>SMLN-2019-617-000378
SMLN-2019-612-000090</t>
  </si>
  <si>
    <t>SMLN-2019-617-000380
SMLN-2019-612-000092</t>
  </si>
  <si>
    <t>SMLN-2019-617-000381
SMLN-2019-612-000093</t>
  </si>
  <si>
    <t>VZ-2019-000904</t>
  </si>
  <si>
    <t>Servis, opravy a údržba sanitních, dodávkových a osobních vozidel FNOL</t>
  </si>
  <si>
    <t>50110000-9, 34300000-0</t>
  </si>
  <si>
    <t>Servis sanitních vozidel</t>
  </si>
  <si>
    <t>Servis osobních a dodávkových vozidel (Škoda, Volkswagen)</t>
  </si>
  <si>
    <t>Servis dodávkových vozidel (Ford, Renault)</t>
  </si>
  <si>
    <t>PC sestavy FNOL</t>
  </si>
  <si>
    <t>ASCO-MED, spol.  s r.o.</t>
  </si>
  <si>
    <t>Werfen Czech s.r.o.</t>
  </si>
  <si>
    <t>27.8. zrušeno</t>
  </si>
  <si>
    <t>Phadia, s.r.o.</t>
  </si>
  <si>
    <t>VZ-2019-000905</t>
  </si>
  <si>
    <t>VZ-2019-000907</t>
  </si>
  <si>
    <t>Oprava výtahů č.1,60 a 61</t>
  </si>
  <si>
    <t>nebude realizováno</t>
  </si>
  <si>
    <t>rozvaha výpůjčka x koupě</t>
  </si>
  <si>
    <t>nahrazeno jinýmy položkami</t>
  </si>
  <si>
    <t>vytvoření koncepce pořizování vyvolávacích systémů</t>
  </si>
  <si>
    <t>nová VZ-2019-000877</t>
  </si>
  <si>
    <t>VZ-2019-000911</t>
  </si>
  <si>
    <t>Hygienické zabezpečení vody v budově Y</t>
  </si>
  <si>
    <t>VZ-2019-000912</t>
  </si>
  <si>
    <t>Cafeteria systém</t>
  </si>
  <si>
    <t>VZ-2019-000913</t>
  </si>
  <si>
    <t>VZ-2019-000914</t>
  </si>
  <si>
    <t>Servisní podpora informačního systému EFA</t>
  </si>
  <si>
    <t>VZ-2019-000915</t>
  </si>
  <si>
    <r>
      <t xml:space="preserve">Drát vodící k měření intrakoronárního tlaku </t>
    </r>
    <r>
      <rPr>
        <sz val="11"/>
        <color rgb="FF000000"/>
        <rFont val="Calibri"/>
        <family val="2"/>
        <charset val="238"/>
        <scheme val="minor"/>
      </rPr>
      <t>Pressure Wire X</t>
    </r>
  </si>
  <si>
    <t>VZ-2019-000916</t>
  </si>
  <si>
    <t>VZ-2019-000917</t>
  </si>
  <si>
    <t>Sušící skříň</t>
  </si>
  <si>
    <t>VZ-2019-000918</t>
  </si>
  <si>
    <t>Síťové aktivní prvky</t>
  </si>
  <si>
    <t>VZ-2019-000919</t>
  </si>
  <si>
    <t>48825000-7</t>
  </si>
  <si>
    <t>HW Application Delivery Controller</t>
  </si>
  <si>
    <t>VZ-2019-000920</t>
  </si>
  <si>
    <t>Hematologický analyzátor výrobce Sysmex - servisní služby</t>
  </si>
  <si>
    <t>26.8. zrušeno</t>
  </si>
  <si>
    <t>PROSSAN CZ s.r.o.</t>
  </si>
  <si>
    <t>SMLN-2019-617-000384</t>
  </si>
  <si>
    <t>SMLN-2019-617-000383</t>
  </si>
  <si>
    <t>SMLN-2019-617-000385
SMLN-2019-612-000094</t>
  </si>
  <si>
    <t>SMLN-2019-617-000386
SMLN-2019-612-000095</t>
  </si>
  <si>
    <t>SMLN-2019-617-000387
SMLN-2019-612-000096</t>
  </si>
  <si>
    <t>SMLN-2019-617-000388
SMLN-2019-612-000097</t>
  </si>
  <si>
    <t>SMLN-2019-618-000075</t>
  </si>
  <si>
    <t>nerealizované VZ</t>
  </si>
  <si>
    <t>upravena technická kvalifikační kritéria a specifikace VZ</t>
  </si>
  <si>
    <t>Po schůzce 29.8.2019 (Merta, Hlavinka, Gartner, Dočkal) - bude vypsáno na dobu určitou 2 let pouze servis bez náhrady, poté bude samotná soutěž na náhradu IS, VZ na servis na  2 roky předpokládaná hodnota do 250 tis. Kč bez DPH, VZ bude realizovat IT</t>
  </si>
  <si>
    <t>VZ-2019-000924</t>
  </si>
  <si>
    <t>Servisní služby - RTG přístroje Ziehm a motodlahy Daniflex</t>
  </si>
  <si>
    <t>Flexibilní endoskopy</t>
  </si>
  <si>
    <t>VZ-2019-000925</t>
  </si>
  <si>
    <t>2.2.120, 2.3.367, 2.3.400</t>
  </si>
  <si>
    <t>4.2.117.</t>
  </si>
  <si>
    <t>VZ-2019-000928</t>
  </si>
  <si>
    <t>VZ-2019-000929</t>
  </si>
  <si>
    <t>Léčivé přípravky s obsahem ambrisentanu 2019</t>
  </si>
  <si>
    <t>Léčivé přípravky s obsahem abirateronu 2019</t>
  </si>
  <si>
    <t>Abirateron</t>
  </si>
  <si>
    <t>VZ-2019-000930</t>
  </si>
  <si>
    <t>MACITENTAN</t>
  </si>
  <si>
    <t>EPOPROSTENOL</t>
  </si>
  <si>
    <t>SELEXIPAG</t>
  </si>
  <si>
    <t>Léčivé přípravky pro léčbu plicní arteriální hypertenze a podání při systémové sklerodermii  2019</t>
  </si>
  <si>
    <t>VZ-2019-000931</t>
  </si>
  <si>
    <t>Opioidní analgetika (anodyna) 2019</t>
  </si>
  <si>
    <t>Dolforin</t>
  </si>
  <si>
    <t>Durogesic</t>
  </si>
  <si>
    <t>Fentalis</t>
  </si>
  <si>
    <t>Palexia Retard</t>
  </si>
  <si>
    <t>Transtec</t>
  </si>
  <si>
    <t>Oxycodon Lannacher</t>
  </si>
  <si>
    <t>Lunaldin</t>
  </si>
  <si>
    <t>SMLN-2019-617-000392</t>
  </si>
  <si>
    <t>SMLN-2019-617-000393</t>
  </si>
  <si>
    <t>SMLN-2019-617-000394</t>
  </si>
  <si>
    <t>SMLN-2019-617-000390</t>
  </si>
  <si>
    <t>SMLN-2019-617-000391</t>
  </si>
  <si>
    <t>VZ-2019-000945</t>
  </si>
  <si>
    <t>Inhibitory interleukinu II 2019</t>
  </si>
  <si>
    <t>Sekukinumab</t>
  </si>
  <si>
    <t>Ustekinumab</t>
  </si>
  <si>
    <t>Guselkumab</t>
  </si>
  <si>
    <t>VZ-2019-000944</t>
  </si>
  <si>
    <t>Bacillus Calmette-Guerin(BCG)</t>
  </si>
  <si>
    <t>Plerixafor</t>
  </si>
  <si>
    <t>LYOFILIZOVANÝ BAKTERIÁLNÍ LYZÁT OM 85 (LYSATUM BACTERIALE OM 85 CRYODESICCATUM)</t>
  </si>
  <si>
    <t>PRASEČÍ PŘENOSOVÝ FAKTOR</t>
  </si>
  <si>
    <t>SMĚS BAKTERIÁLNÍHO LYZÁTU</t>
  </si>
  <si>
    <t>Jiná imunostimulancia 2019</t>
  </si>
  <si>
    <t>Bortezomib</t>
  </si>
  <si>
    <t>Pegaspargasa</t>
  </si>
  <si>
    <t>Irinotekan</t>
  </si>
  <si>
    <t>Eribulin-mesylát</t>
  </si>
  <si>
    <t>Aflibercept</t>
  </si>
  <si>
    <t>Asparaginasa produkovaná Erwinia chrysanthemi</t>
  </si>
  <si>
    <t>Topotecan</t>
  </si>
  <si>
    <t>Oxid arsenitý</t>
  </si>
  <si>
    <t>Jiná cytostatika I 2019</t>
  </si>
  <si>
    <t>33652000-5  </t>
  </si>
  <si>
    <t>VZ-2019-000943</t>
  </si>
  <si>
    <t>THROMBOREDUCTIN 0,5 MG</t>
  </si>
  <si>
    <t>Anagrelid Stada</t>
  </si>
  <si>
    <t>Vismodegib</t>
  </si>
  <si>
    <t>Olaparib</t>
  </si>
  <si>
    <t>Hydroxykarbamid</t>
  </si>
  <si>
    <t>IXAZOMIB-CITRÁT</t>
  </si>
  <si>
    <t>VENETOKLAX</t>
  </si>
  <si>
    <t>Jiná cytostatika II 2019</t>
  </si>
  <si>
    <t>VZ-2019-000942</t>
  </si>
  <si>
    <t xml:space="preserve">33652000-5   </t>
  </si>
  <si>
    <t>72411000-4</t>
  </si>
  <si>
    <t>Ing. Karel Boch</t>
  </si>
  <si>
    <t>WIDEX LINE s.r.o.</t>
  </si>
  <si>
    <t>nová VZ-2019-000952</t>
  </si>
  <si>
    <t>VZ-2019-000952</t>
  </si>
  <si>
    <t>15. Embolizační spirály odpoutatelné neurointervenční</t>
  </si>
  <si>
    <t>Cetuximab I. 2019</t>
  </si>
  <si>
    <t>VZ-2019-000953</t>
  </si>
  <si>
    <t>Cetuximab</t>
  </si>
  <si>
    <t>VZ-2019-000954</t>
  </si>
  <si>
    <t xml:space="preserve">33652000-5 </t>
  </si>
  <si>
    <t>MEDISCO Praha, s.r.o.</t>
  </si>
  <si>
    <t>Life Technologies Czech Republic s.r.o.</t>
  </si>
  <si>
    <t>I.T.A. - Interact s.r.o.</t>
  </si>
  <si>
    <t>VZ-2019-000960</t>
  </si>
  <si>
    <t>MEgA - Měřící Energetické Aparáty</t>
  </si>
  <si>
    <t>VZ-2019-000964</t>
  </si>
  <si>
    <t>Jiná léčiva nervového systému 2019</t>
  </si>
  <si>
    <t>Fampridin</t>
  </si>
  <si>
    <t>Tetrabenazin</t>
  </si>
  <si>
    <t>Riluzol</t>
  </si>
  <si>
    <t xml:space="preserve">26. Extraktory intravaskulární III. </t>
  </si>
  <si>
    <t>zrušeno - upřesnit zadání</t>
  </si>
  <si>
    <t>VZ-2019-000968</t>
  </si>
  <si>
    <t>PD na rekonstrukci chladící stanice PS20</t>
  </si>
  <si>
    <t>SMLN-2019-618-000079</t>
  </si>
  <si>
    <t>SMLN-2019-617-000398
SMLN-2019-612-000099</t>
  </si>
  <si>
    <t>Dodavatel / u zrušených stávající dodavatel</t>
  </si>
  <si>
    <t>postup po zrušení</t>
  </si>
  <si>
    <t>Norepinefrin I</t>
  </si>
  <si>
    <t>Norepinefrin II</t>
  </si>
  <si>
    <t>Norepinefrin III</t>
  </si>
  <si>
    <t>Spotřební materiál pro Cyklery Bio Rad, Biometra I</t>
  </si>
  <si>
    <t>Spotřební materiál pro Cyklery Bio Rad, Biometra II</t>
  </si>
  <si>
    <t>Sodná sůl treprostinilu I</t>
  </si>
  <si>
    <t>Sodná sůl treprostinilu II</t>
  </si>
  <si>
    <t xml:space="preserve">DůVOD zrušeno - bez nabídky ;  ; DALŠÍ POSTUP opakovat; ÚPRAVA  ; PŘEDPOKLAD  ; POZN: </t>
  </si>
  <si>
    <t xml:space="preserve">DůVOD zrušeno - bez nabídky ;  ; DALŠÍ POSTUP ; ÚPRAVA  ; PŘEDPOKLAD  ; POZN: </t>
  </si>
  <si>
    <t xml:space="preserve">DůVOD zrušeno ; nepodali nabídku ; DALŠÍ POSTUP opakování zrušené; 30.8. předáno OZVZ; ÚPRAVA  ; PŘEDPOKLAD  ; POZN: </t>
  </si>
  <si>
    <t xml:space="preserve">DůVOD zrušeno ; nepodali nabídku ; DALŠÍ POSTUP opakovat; ÚPRAVA rozdělení zakázky na dětské a dosp pacienty ; PŘEDPOKLAD 4.Q_19 ; POZN: </t>
  </si>
  <si>
    <t xml:space="preserve">DůVOD zrušeno - bez nabídky ; nepodali nabídku ; DALŠÍ POSTUP opakování zrušené; 20.8. předáno OZVZ; ÚPRAVA  ; PŘEDPOKLAD  ; POZN: </t>
  </si>
  <si>
    <t xml:space="preserve">DůVOD zrušeno - bez nabídky ; indikace; roche překročení PH ; DALŠÍ POSTUP opakovat? Další indikace zrušen patent. Odchod od originálu; ÚPRAVA dle indikací ; PŘEDPOKLAD 4.Q_19 ; POZN: </t>
  </si>
  <si>
    <t xml:space="preserve">DůVOD zrušeno - neposkytnutí součinnosti ; zrušeno - neposkytnutí součinnosti ; DALŠÍ POSTUP opakovat; ÚPRAVA  ; PŘEDPOKLAD 3.Q_19 ; POZN: </t>
  </si>
  <si>
    <t xml:space="preserve">DůVOD zrušeno - bez nabídky ; nepodali nabídku ; DALŠÍ POSTUP opakovat; ÚPRAVA  ; PŘEDPOKLAD 3.Q_19 ; POZN: </t>
  </si>
  <si>
    <t xml:space="preserve">DůVOD zrušeno - bez nabídky ; nepodali nabídku ; DALŠÍ POSTUP opakovat; ÚPRAVA  ; PŘEDPOKLAD 1.Q_20 ; POZN: </t>
  </si>
  <si>
    <t xml:space="preserve">DůVOD zrušeno - bez nabídky ; nepodali nabídku ; DALŠÍ POSTUP opakovat- přidat k ostatním imunoglobulinům; ÚPRAVA  ; PŘEDPOKLAD 4.Q_19 ; POZN: </t>
  </si>
  <si>
    <t xml:space="preserve">DůVOD zrušeno - překročení ceny ; obchodní taj ; DALŠÍ POSTUP sdružený nákup-realizuje FNHK; ÚPRAVA překročení do ceníkové ceny ; PŘEDPOKLAD smlouva o SN 29.08.2019 ; POZN: </t>
  </si>
  <si>
    <t>DůVOD zrušeno - bez nabídky ; zrušeno - bez nabídky ; DALŠÍ POSTUP opakovat; ÚPRAVA ?sankce ; PŘEDPOKLAD 1.Q_20 ; POZN: výpadky</t>
  </si>
  <si>
    <t>DůVOD zrušeno - překročení ceny ; zrušeno - překročení ceny ; DALŠÍ POSTUP opakovat; ÚPRAVA ?sankce ; PŘEDPOKLAD 1.Q_20 ; POZN: výpadky</t>
  </si>
  <si>
    <t>DůVOD zrušeno - bez nabídky ; zrušeno - bez nabídky ; DALŠÍ POSTUP opakovat; ÚPRAVA ?sankce ; PŘEDPOKLAD 1.Q_20 ; POZN: cystická fibr</t>
  </si>
  <si>
    <t>DůVOD zrušeno - nespnění podmínek ; zrušeno - nesplnění podmínek ; DALŠÍ POSTUP opakovat; ÚPRAVA ?sankce ; PŘEDPOKLAD 1.Q_20 ; POZN: výpadky</t>
  </si>
  <si>
    <t>DůVOD zrušeno - překročení ceny ; zrušeno - překročení ceny ; DALŠÍ POSTUP opakovat; ÚPRAVA ?sankce ; PŘEDPOKLAD 1.Q_20 ; POZN: kompenzace doplatků-změnit zadání</t>
  </si>
  <si>
    <t xml:space="preserve">DůVOD zrušeno - bez nabídky ; zrušeno - bez nabídky ; DALŠÍ POSTUP ; ÚPRAVA zrušit ; PŘEDPOKLAD 4.Q_20 ; POZN: </t>
  </si>
  <si>
    <t xml:space="preserve">DůVOD zrušeno - neúplná nabídka ;  ; DALŠÍ POSTUP upravit zadání; ÚPRAVA  ; PŘEDPOKLAD  ; POZN: </t>
  </si>
  <si>
    <t xml:space="preserve">DůVOD zrušeno - neúplné nabídky ;  ; DALŠÍ POSTUP upravit zadání; ÚPRAVA  ; PŘEDPOKLAD  ; POZN: </t>
  </si>
  <si>
    <t xml:space="preserve">DůVOD zrušeno -neuplná nabídka ;  ; DALŠÍ POSTUP upravit položky; ÚPRAVA  ; PŘEDPOKLAD  ; POZN: </t>
  </si>
  <si>
    <t xml:space="preserve">DůVOD zrušeno - bez nabídky ; kvůli nepřesným údajům zakázky (katalogová čísla a ceny)  ; DALŠÍ POSTUP opakovat; ÚPRAVA  ; PŘEDPOKLAD  ; POZN: </t>
  </si>
  <si>
    <t xml:space="preserve">DůVOD zrušeno - nesplnění podmínek ;  ; DALŠÍ POSTUP opakovat; ÚPRAVA  ; PŘEDPOKLAD  ; POZN: </t>
  </si>
  <si>
    <t xml:space="preserve">DůVOD zrušeno - oprava zadání ;  ; DALŠÍ POSTUP opakovat; ÚPRAVA  ; PŘEDPOKLAD  ; POZN: </t>
  </si>
  <si>
    <t xml:space="preserve">DůVOD zrušeno - neúplná nabídka ;  ; DALŠÍ POSTUP opakovat; ÚPRAVA  ; PŘEDPOKLAD  ; POZN: </t>
  </si>
  <si>
    <t>DůVOD zrušeno - překročení ceny ; zrušeno - překročení ceny ; DALŠÍ POSTUP opakovat; ÚPRAVA  ; PŘEDPOKLAD 3.Q_19 ; POZN: padl patent</t>
  </si>
  <si>
    <t xml:space="preserve">DůVOD zrušeno - bez nabídky ; zrušeno - bez nabídky ; DALŠÍ POSTUP opakovat; ÚPRAVA  ; PŘEDPOKLAD 3.Q_19 ; POZN: </t>
  </si>
  <si>
    <t>janssen, alliance h</t>
  </si>
  <si>
    <t>původně actelion, teď janssen; alliance</t>
  </si>
  <si>
    <t>RIBAVIRIN MYLAN; phoenix</t>
  </si>
  <si>
    <t>Baxter</t>
  </si>
  <si>
    <t>janssen</t>
  </si>
  <si>
    <t>Vertex Pharmaceuticals</t>
  </si>
  <si>
    <t>4life; PHOENIX lékárenský velkoobchod, s.r.o.</t>
  </si>
  <si>
    <t>Sandoz,Alliance Healthcare s.r.o.</t>
  </si>
  <si>
    <t>GSK</t>
  </si>
  <si>
    <t>astellas</t>
  </si>
  <si>
    <t>AVEL</t>
  </si>
  <si>
    <t>CSL BEHRING s.r.o.; octapharma</t>
  </si>
  <si>
    <t>roche</t>
  </si>
  <si>
    <t>AOP orphan,Alliance Healthcare s.r.o.</t>
  </si>
  <si>
    <t>zentiva</t>
  </si>
  <si>
    <t>pfizer,avel</t>
  </si>
  <si>
    <t>kabi a mylan</t>
  </si>
  <si>
    <t>fresenius</t>
  </si>
  <si>
    <t>MEDOPHARM a Bbraun</t>
  </si>
  <si>
    <t>novartis-AH,Phoenix, Chiesi CZ s.r.o.</t>
  </si>
  <si>
    <t>Bbraun a sandoz</t>
  </si>
  <si>
    <t>zentiva, avel</t>
  </si>
  <si>
    <t>sanofi</t>
  </si>
  <si>
    <t>teva-phoenix,pharmos</t>
  </si>
  <si>
    <t>biotika-avel</t>
  </si>
  <si>
    <t>glaxo</t>
  </si>
  <si>
    <t>firma BioRad přestává dodávat kity a také podporovat analyzátor Variant (inv.č. C007049), který máme zapůjčen</t>
  </si>
  <si>
    <t>biovendor</t>
  </si>
  <si>
    <t>lacomed</t>
  </si>
  <si>
    <t>eurorad</t>
  </si>
  <si>
    <t>medista</t>
  </si>
  <si>
    <t>ascomed</t>
  </si>
  <si>
    <t>JKTrading</t>
  </si>
  <si>
    <t>Dynex</t>
  </si>
  <si>
    <t>Testline</t>
  </si>
  <si>
    <t>Huge diagnostics</t>
  </si>
  <si>
    <t>Scintil</t>
  </si>
  <si>
    <t>Genetica</t>
  </si>
  <si>
    <t>life diangnostic</t>
  </si>
  <si>
    <t>pragostem</t>
  </si>
  <si>
    <t>biotech</t>
  </si>
  <si>
    <t>biogen</t>
  </si>
  <si>
    <t>intimex</t>
  </si>
  <si>
    <t>pentagen</t>
  </si>
  <si>
    <t>Swedish Orphan Biovitrum s.r.o.</t>
  </si>
  <si>
    <t>sanofi-aventis, s.r.o.</t>
  </si>
  <si>
    <t>LEO Pharma s.r.o.</t>
  </si>
  <si>
    <t xml:space="preserve"> -2% Boehringer Ingelheim spol s r.o.</t>
  </si>
  <si>
    <t xml:space="preserve"> Eisai R&amp;D Management Co., </t>
  </si>
  <si>
    <t>Merck sro- alliance h</t>
  </si>
  <si>
    <t>sigmal</t>
  </si>
  <si>
    <t>Diagnostika biotech</t>
  </si>
  <si>
    <t>Diagnostika Eastpor</t>
  </si>
  <si>
    <t>Diagnostika Scintil</t>
  </si>
  <si>
    <t>nová VZ-2019-000395, nová VZ-2019-000485</t>
  </si>
  <si>
    <t>nová VZ-2019-000630, nová VZ-2019-000877</t>
  </si>
  <si>
    <t>nová VZ-2019-000605, VZ-2019-000880</t>
  </si>
  <si>
    <t>nová VZ-2019-000596, nová VZ-2019-000624</t>
  </si>
  <si>
    <t>nová VZ-2019-000808, upravena technická kvalifikační kritéria a specifikace VZ</t>
  </si>
  <si>
    <t>nová VZ-2019-000685, VZ-2019-000760</t>
  </si>
  <si>
    <t>nová VZ-2019-000732, VZ-2019-000770</t>
  </si>
  <si>
    <t>SMLN-2019-612-000100</t>
  </si>
  <si>
    <t>VZ-2019-000979</t>
  </si>
  <si>
    <t>Výroba a montáž nábytku V/2019</t>
  </si>
  <si>
    <t>VZ-2019-000980</t>
  </si>
  <si>
    <t>Výměna komunikačního systému sestra pacient na DK 21B</t>
  </si>
  <si>
    <t>VZ-2019-000981</t>
  </si>
  <si>
    <t>Ohřívací jednotka II.</t>
  </si>
  <si>
    <t>SMLN-2019-617-000412</t>
  </si>
  <si>
    <t>SMLN-2019-617-000413</t>
  </si>
  <si>
    <t>SMLN-2019-617-000414</t>
  </si>
  <si>
    <t>SMLN-2019-617-000415</t>
  </si>
  <si>
    <t>SMLN-2019-617-000416</t>
  </si>
  <si>
    <t>SMLN-2019-617-000403</t>
  </si>
  <si>
    <t>SMLN-2019-617-000404</t>
  </si>
  <si>
    <t>SMLN-2019-617-000405</t>
  </si>
  <si>
    <t>Abbott Laboratories, s.r.o.</t>
  </si>
  <si>
    <t>SMLN-2019-617-000406</t>
  </si>
  <si>
    <t>SMLN-2019-617-000407</t>
  </si>
  <si>
    <t>SMLN-2019-617-000408</t>
  </si>
  <si>
    <t>SMLN-2019-617-000409</t>
  </si>
  <si>
    <t>SMLN-2019-617-000410</t>
  </si>
  <si>
    <t>SMLN-2019-617-000411</t>
  </si>
  <si>
    <t>VZ-2019-000982</t>
  </si>
  <si>
    <t xml:space="preserve">Kobimetinib fumarát 2019 </t>
  </si>
  <si>
    <t>VZ-2019-000984</t>
  </si>
  <si>
    <t>VZ-2019-000986</t>
  </si>
  <si>
    <t>Fototerapeutická jednotka</t>
  </si>
  <si>
    <t>Fototerapeutická jednotka mobilní – kompaktní lampa</t>
  </si>
  <si>
    <t>Fototerapeutická jednotka mobilní</t>
  </si>
  <si>
    <t>VZ-2019-000987</t>
  </si>
  <si>
    <t xml:space="preserve">Instrumentárium porodní </t>
  </si>
  <si>
    <t>Instrumentárium pro císařský řez</t>
  </si>
  <si>
    <t xml:space="preserve">33169000-2 </t>
  </si>
  <si>
    <t>13.9. zrušení na podpis</t>
  </si>
  <si>
    <t>bude vypsáno znovu</t>
  </si>
  <si>
    <t>VZ-2019-000995</t>
  </si>
  <si>
    <t>FN Olomouc - Automatický vjezdový systém II.</t>
  </si>
  <si>
    <t>VZ-2019-000997</t>
  </si>
  <si>
    <t>Stanovení specifických IgE protilátek se zápůjčkou analyzátoru</t>
  </si>
  <si>
    <t>SMLN-2019-617-000419
SMLN-2019-612-000101</t>
  </si>
  <si>
    <t>SMLN-2019-612-000103</t>
  </si>
  <si>
    <t>2.9. zrušeno</t>
  </si>
  <si>
    <t>5.9. zrušeno</t>
  </si>
  <si>
    <t>16.9. zrušeno</t>
  </si>
  <si>
    <t>13.9. zrušeno</t>
  </si>
  <si>
    <t>Eppendorf Czech a Slovakia s.r.o.</t>
  </si>
  <si>
    <t>do VZ nebyly zahrnuty náklady na spotřební materiál, po úpravě ZD se bude soutěž opakovat.</t>
  </si>
  <si>
    <t>VZ-2019-001005</t>
  </si>
  <si>
    <t>Stříkačky inflační a trojcestné kohouty pro PTCA pro Radiologii</t>
  </si>
  <si>
    <t>SMLN-2019-617-000422
SMLN-2019-612-000105</t>
  </si>
  <si>
    <t>ESMEDIA Interactive s.r.o.</t>
  </si>
  <si>
    <t>zrušeno - orpava zadání</t>
  </si>
  <si>
    <t>nová VZ-2019-000717</t>
  </si>
  <si>
    <t>Spotřební materiál pro Cyklery Bio Rad, Biometra III</t>
  </si>
  <si>
    <t>SMLN-2019-617-000425
SMLN-2019-612-000106</t>
  </si>
  <si>
    <t>3.2.38, 3.2.40.</t>
  </si>
  <si>
    <t>SMLN-2019-617-000427</t>
  </si>
  <si>
    <t>LAB MARK a.s.</t>
  </si>
  <si>
    <t>MSD s.r.o.</t>
  </si>
  <si>
    <t>VZ-2019-001011</t>
  </si>
  <si>
    <t>19.9. zrušeno</t>
  </si>
  <si>
    <t>opakování VZ-2019-000871</t>
  </si>
  <si>
    <t>SMLN-2019-617-000429
SMLN-2019-614-000075</t>
  </si>
  <si>
    <t>SMLN-2019-617-000430
SMLN-2019-614-000076</t>
  </si>
  <si>
    <t>SMLN-2019-617-000431
SMLN-2019-614-000077</t>
  </si>
  <si>
    <t>SMLN-2019-617-000432
SMLN-2019-614-000078</t>
  </si>
  <si>
    <t>SMLN-2019-617-000433
SMLN-2019-614-000079</t>
  </si>
  <si>
    <t>SMLN-2019-617-000434
SMLN-2019-614-000080</t>
  </si>
  <si>
    <t>SMLN-2019-612-000109</t>
  </si>
  <si>
    <t>SMLN-2019-617-000428
SMLN-2019-612-000108</t>
  </si>
  <si>
    <t>SMLN-2019-617-000435
SMLN-2019-614-000081</t>
  </si>
  <si>
    <t>SMLN-2019-617-000436
SMLN-2019-614-000082</t>
  </si>
  <si>
    <t>SMLN-2019-617-000437
SMLN-2019-614-000083</t>
  </si>
  <si>
    <t>SMLN-2019-617-000438
SMLN-2019-614-000084</t>
  </si>
  <si>
    <t>SMLN-2019-617-000439
SMLN-2019-614-000085</t>
  </si>
  <si>
    <t>SMLN-2019-617-000440
SMLN-2019-614-000086</t>
  </si>
  <si>
    <t>SMLN-2019-617-000441
SMLN-2019-614-000087</t>
  </si>
  <si>
    <t>SMLN-2019-617-000442
SMLN-2019-614-000088</t>
  </si>
  <si>
    <t>SMLN-2019-617-000443
SMLN-2019-614-000089</t>
  </si>
  <si>
    <t>SMLN-2019-617-000444
SMLN-2019-614-000090</t>
  </si>
  <si>
    <t>Boston Scientific s.r.o.</t>
  </si>
  <si>
    <t>SMLN-2019-617-000446
SMLN-2019-612-000110</t>
  </si>
  <si>
    <t>SMLN-2019-617-000447
SMLN-2019-612-000111</t>
  </si>
  <si>
    <t>bez formuláře</t>
  </si>
  <si>
    <t>VZ-2019-001019</t>
  </si>
  <si>
    <t>Elektrochirurgické a argonové generátory</t>
  </si>
  <si>
    <t>Multioborové elektrochirurgické generátory se samostatnou argonovou jendotkou</t>
  </si>
  <si>
    <t>Mobilní elektrochirurgické generátory se samostatnou argon-plazmovou jendotkou</t>
  </si>
  <si>
    <t>VZ-2019-001020</t>
  </si>
  <si>
    <t>Vysokofrekvenční ventilátor pro novorozence a malé děti</t>
  </si>
  <si>
    <t>2.3.377.</t>
  </si>
  <si>
    <t>2.2.234., 2.3.370.</t>
  </si>
  <si>
    <t>VZ-2019-001021</t>
  </si>
  <si>
    <t>Systém přímé vizualizace žlučových cest s elektrohydraulickou litotripsií</t>
  </si>
  <si>
    <t>33158000-2</t>
  </si>
  <si>
    <t>VZ-2019-001022</t>
  </si>
  <si>
    <t>33910000-2</t>
  </si>
  <si>
    <t>VZ-2019-001023</t>
  </si>
  <si>
    <t>Generátor ultrazvukový se sacím systémem pro terapii urolitiázy</t>
  </si>
  <si>
    <t>33153000-7</t>
  </si>
  <si>
    <t>VZ-2019-001027</t>
  </si>
  <si>
    <t xml:space="preserve">Stříkačky proplachovací předplněné sterilním 0,9%NACl – sdružený nákup </t>
  </si>
  <si>
    <t>VZ-2019-001028</t>
  </si>
  <si>
    <t>Léčivé přípravky z ATC L04AA - selektivní imunosupresiva</t>
  </si>
  <si>
    <t>Thymoglobuline</t>
  </si>
  <si>
    <t>Tofacitinib-citrát</t>
  </si>
  <si>
    <t>Barcitinib</t>
  </si>
  <si>
    <t>Kladribin</t>
  </si>
  <si>
    <t>Leflunopharm</t>
  </si>
  <si>
    <t>VZ-2019-001030</t>
  </si>
  <si>
    <t>Levodopa a inhibitor dekarboxylázy</t>
  </si>
  <si>
    <t>Duodopa</t>
  </si>
  <si>
    <t>Isicom</t>
  </si>
  <si>
    <t>Madopar</t>
  </si>
  <si>
    <t>Johnson &amp; Johnson, s.r.o.</t>
  </si>
  <si>
    <t>nová VZ-2019-001005</t>
  </si>
  <si>
    <t>SMLN-2019-617-000450
SMLN-2019-614-000091</t>
  </si>
  <si>
    <t>SMLN-2019-617-000451
SMLN-2019-614-000092</t>
  </si>
  <si>
    <t>SMLN-2019-612-000112</t>
  </si>
  <si>
    <t>BDO Tax s.r.o.</t>
  </si>
  <si>
    <t>24.9. zrušeno</t>
  </si>
  <si>
    <t>SMLN-2019-617-000453
SMLN-2019-614-000093</t>
  </si>
  <si>
    <t>SMLN-2019-617-000454
SMLN-2019-614-000094</t>
  </si>
  <si>
    <t>SMLN-2019-617-000455
SMLN-2019-614-000095</t>
  </si>
  <si>
    <t>SMLN-2019-617-000456
SMLN-2019-614-000096</t>
  </si>
  <si>
    <t>SMLN-2019-617-000457
SMLN-2019-614-000097</t>
  </si>
  <si>
    <t>SMLN-2019-617-000458
SMLN-2019-614-000098</t>
  </si>
  <si>
    <t>SMLN-2019-617-000460
SMLN-2019-614-000100</t>
  </si>
  <si>
    <t>SMLN-2019-617-000461
SMLN-2019-614-000101</t>
  </si>
  <si>
    <t>SMLN-2019-617-000462
SMLN-2019-614-000102</t>
  </si>
  <si>
    <t>SMLN-2019-617-000463
SMLN-2019-614-000103</t>
  </si>
  <si>
    <t>SMLN-2019-617-000464
SMLN-2019-614-000104</t>
  </si>
  <si>
    <t>SMLN-2019-617-000465
SMLN-2019-614-000105</t>
  </si>
  <si>
    <t>SMLN-2019-617-000459 SMLN-2019-614-000099</t>
  </si>
  <si>
    <t>VZ-2019-001044</t>
  </si>
  <si>
    <t>Snímání CO v kompresorových stanicích</t>
  </si>
  <si>
    <t>38430000-8</t>
  </si>
  <si>
    <t>VZ-2019-001041</t>
  </si>
  <si>
    <t>Kontrola provozuschopnosti hasících přístrojů a zařízení pro zásobování požární vodou</t>
  </si>
  <si>
    <t>71631000-0</t>
  </si>
  <si>
    <t>SMLN-2019-617-000468</t>
  </si>
  <si>
    <t>SMLN-2019-617-000470</t>
  </si>
  <si>
    <t>SMLN-2019-617-000471</t>
  </si>
  <si>
    <t>SMLN-2019-617-000467</t>
  </si>
  <si>
    <t>medisap, s.r.o.</t>
  </si>
  <si>
    <t>SMLN-2019-617-000466
SMLN-2019-612-000115</t>
  </si>
  <si>
    <t>SMLN-2019-618-000083</t>
  </si>
  <si>
    <t>Intellmed</t>
  </si>
  <si>
    <t xml:space="preserve">VZ-2019-000798 nová VZ - DůVOD zrušeno - bez nabídky ; zrušeno - bez nabídky ; DALŠÍ POSTUP opakování zrušené; 23.7. předáno OZVZ; ÚPRAVA  ; PŘEDPOKLAD  ; POZN: </t>
  </si>
  <si>
    <t>VZ-2019-000824 nová VZ - DůVOD zrušeno - bez nabídky ; OT ; DALŠÍ POSTUP opakování zrušené; 26.7. předáno OZVZ; ÚPRAVA OT uznat; pumpy nepožadovat ; PŘEDPOKLAD  ; POZN: VZ-2019-000824</t>
  </si>
  <si>
    <t xml:space="preserve">VZ-2019-000825 - nová VZ, DůVOD zrušeno pro neposkytnutí součinnosti ; zrušeno pro neposkytnutí součinnosti ; DALŠÍ POSTUP opakování zrušené; 26.7. předáno OZVZ; ÚPRAVA  ; PŘEDPOKLAD  ; POZN: </t>
  </si>
  <si>
    <t xml:space="preserve">VZ-2019-000929 nová VZ, DůVOD zrušeno - bez nabídky ; zrušeno - bez nabídky ; DALŠÍ POSTUP opakování zrušené; 30.8. předáno OZVZ; ÚPRAVA  ; PŘEDPOKLAD  ; POZN: </t>
  </si>
  <si>
    <t xml:space="preserve">VZ-2019-000883 nová VZ, DůVOD zrušeno - bez nabídky ; nechtěli se hlásit ; DALŠÍ POSTUP opakování zrušené; 20.8. předáno OZVZ; ÚPRAVA  ; PŘEDPOKLAD  ; POZN: </t>
  </si>
  <si>
    <t xml:space="preserve">VZ-2019-000890 nová VZ, DůVOD zrušeno - námitky ; zrušeno - námitky ; DALŠÍ POSTUP opakování zrušené; 26.7. předáno OZVZ; ÚPRAVA bez úhrady; rozdělení na děti a dospělé ; PŘEDPOKLAD  ; POZN: </t>
  </si>
  <si>
    <t xml:space="preserve">VZ-2019-000890 nová VZ, DůVOD zrušeno - námitky ; ardez ; DALŠÍ POSTUP opakování zrušené; 26.7. předáno OZVZ; ÚPRAVA 1421160 ; PŘEDPOKLAD  ; POZN: </t>
  </si>
  <si>
    <t xml:space="preserve">VZ-2019-000890 nová VZ, DůVOD zrušeno - námitky ; nové balení od září na trhu ; DALŠÍ POSTUP opakování zrušené; 26.7. předáno OZVZ; ÚPRAVA VZMR na rok ; PŘEDPOKLAD  ; POZN: </t>
  </si>
  <si>
    <t xml:space="preserve">VZ-2019-000798 nová VZ, DůVOD zrušeno - bez nabídky ; zrušeno - bez nabídky ; DALŠÍ POSTUP opakování zrušené; 23.7. předáno OZVZ; ÚPRAVA  ; PŘEDPOKLAD  ; POZN: </t>
  </si>
  <si>
    <t>VZ-2019-000953 nová VZ, DůVOD zrušeno - bez nabídky ; VZ-2019-000953</t>
  </si>
  <si>
    <t>VZ-2019-000954 nová VZ, DůVOD zrušeno - bez nabídky ; VZ-2019-000954</t>
  </si>
  <si>
    <t>Abbott</t>
  </si>
  <si>
    <t>Pragostem</t>
  </si>
  <si>
    <t>Alogo</t>
  </si>
  <si>
    <t>žádná nabídka, bude vypsáno znovu, změny v ZD po dohodě s klinikou</t>
  </si>
  <si>
    <t>CODACO ELECTRONIC s.r.o.</t>
  </si>
  <si>
    <t>SMLN-2019-618-000085</t>
  </si>
  <si>
    <t>SMLN-2019-612-000116</t>
  </si>
  <si>
    <t>SMLN-2019-612000117</t>
  </si>
  <si>
    <t>VZ-2019-001048</t>
  </si>
  <si>
    <t>Oprava střešního pláště budovy RZH a RZJ</t>
  </si>
  <si>
    <t>Oprava střešního pláště na hale RZH na Tabulovém vrchu</t>
  </si>
  <si>
    <t>45261910-6</t>
  </si>
  <si>
    <t>Oprava střešního pláště na garážích RZJ na Tabulovém vrchu</t>
  </si>
  <si>
    <t>Biovendor</t>
  </si>
  <si>
    <t>Biovendor - nepúplná nabídka - vyloučeni, VZ bude vypsána znovu</t>
  </si>
  <si>
    <r>
      <t xml:space="preserve">DůVOD zrušeno - překročení ceny ; </t>
    </r>
    <r>
      <rPr>
        <b/>
        <i/>
        <sz val="11"/>
        <color theme="9" tint="-0.249977111117893"/>
        <rFont val="Calibri"/>
        <family val="2"/>
        <charset val="238"/>
        <scheme val="minor"/>
      </rPr>
      <t>VZ-2019-000401</t>
    </r>
  </si>
  <si>
    <t>SMLN-2019-617-000472
SMLN-2019-612-000118</t>
  </si>
  <si>
    <t>VZ-2019-001052</t>
  </si>
  <si>
    <t xml:space="preserve">Systém pro léčbu nehojících se ran </t>
  </si>
  <si>
    <t>33160000-9</t>
  </si>
  <si>
    <t>2.2.241.</t>
  </si>
  <si>
    <t>VZ-2019-001053</t>
  </si>
  <si>
    <t xml:space="preserve">Kardioangiografický komplet pro elektrofyziologii </t>
  </si>
  <si>
    <t>33123220-6</t>
  </si>
  <si>
    <t>VZ-2019-001056</t>
  </si>
  <si>
    <t>Rouškovací sety pro radiologii</t>
  </si>
  <si>
    <t>VZ-2019-001058</t>
  </si>
  <si>
    <t>3.2.36.</t>
  </si>
  <si>
    <t>Mobilní datové terminály</t>
  </si>
  <si>
    <t>SMLN-2019-617-000475
SMLN-2019-614-000107</t>
  </si>
  <si>
    <t>VZ-2019-001060</t>
  </si>
  <si>
    <t>VZ-2019-001061</t>
  </si>
  <si>
    <t>Systém na odsávání sekretů</t>
  </si>
  <si>
    <t>PHARMOS, a.s.</t>
  </si>
  <si>
    <t>VZ-2019-001067</t>
  </si>
  <si>
    <t>Přístroje funkční elektrostimulace</t>
  </si>
  <si>
    <t>2.2.227.</t>
  </si>
  <si>
    <t>3.10. zrušeno</t>
  </si>
  <si>
    <t>SMLN-2019-617-000481</t>
  </si>
  <si>
    <t>SMLN-2019-617-000482</t>
  </si>
  <si>
    <t>SMLN-2019-617-000483</t>
  </si>
  <si>
    <t>SMLN-2019-617-000477</t>
  </si>
  <si>
    <t>SMLN-2019-617-000478</t>
  </si>
  <si>
    <t>SMLN-2019-617-000479</t>
  </si>
  <si>
    <t>SMLN-2019-617-000480</t>
  </si>
  <si>
    <t>SMLN-2019-617-000476</t>
  </si>
  <si>
    <t>Servisní podpora Identity Managementu CzechIdM ve FN Olomouc</t>
  </si>
  <si>
    <t>VZ-2019-001071</t>
  </si>
  <si>
    <t>Vysokofrekvenční ventilátor pro novorozence a malé děti II.</t>
  </si>
  <si>
    <t>zrušeno - bez nabídky, nová VZ-2019-001071</t>
  </si>
  <si>
    <t>SMLN-2019-617-000485
SMLN-2019-616-000060</t>
  </si>
  <si>
    <t>SMLN-2019-617-000487</t>
  </si>
  <si>
    <t>VZ-2019-001075</t>
  </si>
  <si>
    <t>Nástroje chirurgické pro Ortopedii</t>
  </si>
  <si>
    <t>Sysmex CZ s.r.o.</t>
  </si>
  <si>
    <t>VZ-2019-001076</t>
  </si>
  <si>
    <t xml:space="preserve">33141620-2 </t>
  </si>
  <si>
    <t>Rouškovací sety pro I. Interní kliniku - kardiologickou</t>
  </si>
  <si>
    <t>SMLN-2019-617-000488</t>
  </si>
  <si>
    <t>SMLN-2019-617-000489</t>
  </si>
  <si>
    <t>SMLN-2019-617-000490</t>
  </si>
  <si>
    <t>SMLN-2019-617-000491</t>
  </si>
  <si>
    <t>SMLN-2019-617-000492
SMLN-2019-616-000062</t>
  </si>
  <si>
    <t>Beckman Coulter Česká republika s.r.o.</t>
  </si>
  <si>
    <t>Boehringer Ingelheim, spol. s r.o.</t>
  </si>
  <si>
    <t>VZ-2019-001077</t>
  </si>
  <si>
    <t>ZP</t>
  </si>
  <si>
    <t>Materiál spotřební k tlakovým injektorům ULRICH II.</t>
  </si>
  <si>
    <t>EXRAY s.r.o.</t>
  </si>
  <si>
    <t>AURA Medical s.r.o.</t>
  </si>
  <si>
    <t xml:space="preserve">Důvod zrušeno - nesplnění podmínek </t>
  </si>
  <si>
    <t>SMLN-2019-617-000494</t>
  </si>
  <si>
    <t>SMLN-2019-617-000495</t>
  </si>
  <si>
    <t>SMLN-2019-617-000496</t>
  </si>
  <si>
    <t>SMLN-2019-617-000497</t>
  </si>
  <si>
    <t>SMLN-2019-617-000498</t>
  </si>
  <si>
    <t>SMLN-2019-617-000499</t>
  </si>
  <si>
    <t>SMLN-2019-617-000500</t>
  </si>
  <si>
    <t>SMLN-2019-617-000501</t>
  </si>
  <si>
    <t>SMLN-2019-617-000502
SMLN-2019-612-000121</t>
  </si>
  <si>
    <t>SMLN-2019-617-000503
SMLN-2019-612-000122</t>
  </si>
  <si>
    <t>VESTAV group s.r.o.</t>
  </si>
  <si>
    <t>SOPAT CZ, spol. s r.o.</t>
  </si>
  <si>
    <t>VZ-2019-001107</t>
  </si>
  <si>
    <t>Oprava MaR budova A, III. etapa</t>
  </si>
  <si>
    <t>50532400-7</t>
  </si>
  <si>
    <t>Exact Imaging BVBA</t>
  </si>
  <si>
    <t>INVISTA Craft s.r.o.</t>
  </si>
  <si>
    <t>Nakom Mite</t>
  </si>
  <si>
    <t xml:space="preserve">Nakom  </t>
  </si>
  <si>
    <t>SMLN-2019-617-000506</t>
  </si>
  <si>
    <t>SMLN-2019-618-000088</t>
  </si>
  <si>
    <t>SMLN-2019-618-000087</t>
  </si>
  <si>
    <t>SMLN-2019-618-000086</t>
  </si>
  <si>
    <t>SMLN-2019-617-000508
SMLN-2019-612-000123</t>
  </si>
  <si>
    <t>17.10.209</t>
  </si>
  <si>
    <t>SMLN-2019-617-000509
SMLN-2019-612-000124</t>
  </si>
  <si>
    <t>SMLN-2019-617-000510</t>
  </si>
  <si>
    <t>VZ-2019-001121</t>
  </si>
  <si>
    <t>Přístroj pro molekulární onkologickou diagnostiku</t>
  </si>
  <si>
    <t>2.2.226.</t>
  </si>
  <si>
    <t>VZ-2019-001122</t>
  </si>
  <si>
    <t>Vyšetřovací jednotka s elektrokoagulací, odsáváním a nosním sprejem</t>
  </si>
  <si>
    <t>2.2.230,2.2.232</t>
  </si>
  <si>
    <t>SMLN-2019-617-000511</t>
  </si>
  <si>
    <t>SMLN-2019-617-000512</t>
  </si>
  <si>
    <t>SMLN-2019-617-000513</t>
  </si>
  <si>
    <t>SMLN-2019-617-000514</t>
  </si>
  <si>
    <t>SMLN-2019-617-000515</t>
  </si>
  <si>
    <t>Porodní instrumentaria</t>
  </si>
  <si>
    <t>SMLN-2019-617-000516</t>
  </si>
  <si>
    <t>SMLN-2019-617-000517</t>
  </si>
  <si>
    <t>SMLN-2019-617-000518</t>
  </si>
  <si>
    <t>SMLN-2019-617-000519</t>
  </si>
  <si>
    <t>SMLN-2019-617-000520</t>
  </si>
  <si>
    <t>SMLN-2019-617-000523</t>
  </si>
  <si>
    <t>SMLN-2019-617-000524</t>
  </si>
  <si>
    <t>SMLN-2019-617-000525</t>
  </si>
  <si>
    <t>SMLN-2019-617-000526</t>
  </si>
  <si>
    <t>SMLN-2019-618-000089
SMLN-2019-612-000125</t>
  </si>
  <si>
    <t>VZ-2019-001125</t>
  </si>
  <si>
    <t>Zařízení lavážní pro HIPEC II</t>
  </si>
  <si>
    <t>33162100-4,33140000-3</t>
  </si>
  <si>
    <t>VZ-2019-001126</t>
  </si>
  <si>
    <t>Digitalizace doručené listinné pacientské dokumentace</t>
  </si>
  <si>
    <t>VZ-2019-001127</t>
  </si>
  <si>
    <t>Výměna stávajícího dorozumívacího systému sestra pacient na PSY</t>
  </si>
  <si>
    <t>4.2.132.</t>
  </si>
  <si>
    <t>VZ-2019-001129</t>
  </si>
  <si>
    <t xml:space="preserve">33169400-6 </t>
  </si>
  <si>
    <t>VZ-2019-001130</t>
  </si>
  <si>
    <t>Elektrody defibrilační jednorázové</t>
  </si>
  <si>
    <t>Kontejnery sterilizační a dekontaminační s příslušenstvím</t>
  </si>
  <si>
    <t>VZ-2019-001132</t>
  </si>
  <si>
    <t xml:space="preserve">TRASTUZUMAB EMTANSIN </t>
  </si>
  <si>
    <t>VZ-2019-001133</t>
  </si>
  <si>
    <t>REQUIP MODUTAB</t>
  </si>
  <si>
    <t>OPRYMEA</t>
  </si>
  <si>
    <t>GLEPARK</t>
  </si>
  <si>
    <t>DACEPTON</t>
  </si>
  <si>
    <t>NEUPRO</t>
  </si>
  <si>
    <t>VZ-2019-001134</t>
  </si>
  <si>
    <t>EVEROLIMUS</t>
  </si>
  <si>
    <t>PAZOPANIB</t>
  </si>
  <si>
    <t xml:space="preserve">AFATINIB </t>
  </si>
  <si>
    <t xml:space="preserve">VEMURAFENIB </t>
  </si>
  <si>
    <t xml:space="preserve">AXITINIB </t>
  </si>
  <si>
    <t xml:space="preserve">RUXOLITINIB </t>
  </si>
  <si>
    <t>SMLN-2019-612-000127</t>
  </si>
  <si>
    <t>Olympus Czech Group, s.r.o.</t>
  </si>
  <si>
    <t>Monoklonální protilátky  II. 2019</t>
  </si>
  <si>
    <t>Léčivé přípravky z ATC N04BC - Agonisté dopaminu 2019</t>
  </si>
  <si>
    <t>Inhibitory proteinkináz III. 2019</t>
  </si>
  <si>
    <t>Langer</t>
  </si>
  <si>
    <t>1.3.21.</t>
  </si>
  <si>
    <t>FN Olomouc - stavební úpravy ortopedické kliniky - pracoviště sterilizace v 1.PP</t>
  </si>
  <si>
    <t>VZ-2019-001139</t>
  </si>
  <si>
    <t>VZ-2019-001143</t>
  </si>
  <si>
    <t>Rekonstrukce topení a opravy podlah v bytech na ubytovně Albertova 26</t>
  </si>
  <si>
    <t>Carolina Biosystems, s.r.o.</t>
  </si>
  <si>
    <t>HPST, s.r.o.</t>
  </si>
  <si>
    <t>BARIA  s.r.o.</t>
  </si>
  <si>
    <t>Spinchem s.r.o.</t>
  </si>
  <si>
    <t>qzp, s.r.o.</t>
  </si>
  <si>
    <t>24.10.2019 zrušeno</t>
  </si>
  <si>
    <t>zrušeno - již zasmluvněno</t>
  </si>
  <si>
    <t>zrušeno - 3 shodné nabídky, z nichž jedna je obchodním tajemstvím, nelze vyhodnotit.</t>
  </si>
  <si>
    <t>BS PRAGUE MEDICAL CS, spol. s r.o.</t>
  </si>
  <si>
    <t>SMLN-2019-617-000528
SMLN-2019-612-000128</t>
  </si>
  <si>
    <t>1.1.-23.10.2022</t>
  </si>
  <si>
    <t>VZ-2019-001147</t>
  </si>
  <si>
    <t>Zřízení předávací stanice v budově R</t>
  </si>
  <si>
    <t>Electric Medical Service, s.r.o.</t>
  </si>
  <si>
    <t>NIMOTECH, s.r.o.</t>
  </si>
  <si>
    <t>SMLN-2019-612-000129</t>
  </si>
  <si>
    <t>SMLN-2019-612-000130</t>
  </si>
  <si>
    <t>SMLN-2019-617-000534
SMLN-2019-612-000132</t>
  </si>
  <si>
    <t>SMLN-2019-617-000533
SMLN-2019-612-000131</t>
  </si>
  <si>
    <t>30.10. zrušeno</t>
  </si>
  <si>
    <t>VZ-2019-001156</t>
  </si>
  <si>
    <t>Oční laserové přístroje</t>
  </si>
  <si>
    <t>Diodový laser</t>
  </si>
  <si>
    <t>YAG/SLT laser</t>
  </si>
  <si>
    <t>2.3.434.</t>
  </si>
  <si>
    <t>SMLN-2019-617-000543
SMLN-2019-612-000136</t>
  </si>
  <si>
    <t>SMLN-2019-617-000544
SMLN-2019-612-000137</t>
  </si>
  <si>
    <t>SMLN-2019-617-000545
SMLN-2019-612-000138</t>
  </si>
  <si>
    <t>SMLN-2019-617-000546
SMLN-2019-612-000139</t>
  </si>
  <si>
    <t>SMLN-2019-617-000536</t>
  </si>
  <si>
    <t>SMLN-2019-617-000537</t>
  </si>
  <si>
    <t>SMLN-2019-617-000538</t>
  </si>
  <si>
    <t>SMLN-2019-617-000539</t>
  </si>
  <si>
    <t>SMLN-2019-617-000540</t>
  </si>
  <si>
    <t>SMLN-2019-617-000541</t>
  </si>
  <si>
    <t>SMLN-2019-617-000542</t>
  </si>
  <si>
    <t>VZ-2019-001158</t>
  </si>
  <si>
    <t>SMLN-2019-617-000548
SMLN-2019-612-000141</t>
  </si>
  <si>
    <t>SMLN-2019-617-000547
SMLN-2019-612-000140</t>
  </si>
  <si>
    <t>ASQA a.s.</t>
  </si>
  <si>
    <t>BARIA s.r.o.</t>
  </si>
  <si>
    <t>Videolaryngoskop</t>
  </si>
  <si>
    <t>2.3.384.,2.3.414.</t>
  </si>
  <si>
    <t>VZ-2019-001162</t>
  </si>
  <si>
    <t>VZ-2019-001163</t>
  </si>
  <si>
    <t>Pojištění majetku, pojištění obecné a profesní odpovědnosti FN Olomouc</t>
  </si>
  <si>
    <t>SMLN-2019-617-000552
SMLN-2019-612-000144</t>
  </si>
  <si>
    <t>VZ-2019-001172</t>
  </si>
  <si>
    <t>Freharová</t>
  </si>
  <si>
    <t>INTIMEX s.r.o.</t>
  </si>
  <si>
    <t>4.11. zrušeno</t>
  </si>
  <si>
    <t>SMLN-2019-617-000554
SMLN-2019-612-000146</t>
  </si>
  <si>
    <t>SMLN-2019-612-000148</t>
  </si>
  <si>
    <t>SMLN-2019-612-000149</t>
  </si>
  <si>
    <t>SMLN-2019-612-000150</t>
  </si>
  <si>
    <t>SMLN-2019-612-000151</t>
  </si>
  <si>
    <t>SMLN-2019-612-000152</t>
  </si>
  <si>
    <t>SMLN-2019-612-000153</t>
  </si>
  <si>
    <t>VZ-2019-001185</t>
  </si>
  <si>
    <t>Informační systém Mamárního screeningu</t>
  </si>
  <si>
    <t>48180000-3, 72261000-2</t>
  </si>
  <si>
    <t>3.2.45.</t>
  </si>
  <si>
    <t>31.10. zrušeno</t>
  </si>
  <si>
    <t>6.11. zrušeno</t>
  </si>
  <si>
    <t>VZ-2019-001187</t>
  </si>
  <si>
    <t>Mycí a dezinfekční automat na operační obuv II.</t>
  </si>
  <si>
    <t>2.3.441.</t>
  </si>
  <si>
    <t>VZ-2019-001188</t>
  </si>
  <si>
    <t>Instrumentárium pro ORTOP</t>
  </si>
  <si>
    <t>Poměr vypsaných a uzavřených VZ (s podepsanou smlouvou)</t>
  </si>
  <si>
    <t>VZ-2019-001192</t>
  </si>
  <si>
    <t>IMUNO</t>
  </si>
  <si>
    <t>Kriegová</t>
  </si>
  <si>
    <t>Celogenomové sekvenování vzorků humánního genu</t>
  </si>
  <si>
    <t>SMLN-2019-617-000557</t>
  </si>
  <si>
    <t>SMLN-2019-617-000558</t>
  </si>
  <si>
    <t>SMLN-2019-617-000559</t>
  </si>
  <si>
    <t>SMLN-2019-617-000560</t>
  </si>
  <si>
    <t>SMLN-2019-617-000561</t>
  </si>
  <si>
    <t>GeneTiCA s.r.o.</t>
  </si>
  <si>
    <t>VZ-2019-001198</t>
  </si>
  <si>
    <t>Imunochemická vyšetření s výpůjčkou analyzátoru</t>
  </si>
  <si>
    <t>33694000-1; 38434000-6</t>
  </si>
  <si>
    <t>East Port Praha, s.r.o.</t>
  </si>
  <si>
    <t>PentaGen s.r.o.</t>
  </si>
  <si>
    <t>SMLN-2019-617-000562</t>
  </si>
  <si>
    <t>SMLN-2019-617-000563</t>
  </si>
  <si>
    <t>SMLN-2019-617-000564</t>
  </si>
  <si>
    <t>SMLN-2019-617-000565</t>
  </si>
  <si>
    <t>SMLN-2019-617-000566</t>
  </si>
  <si>
    <t>SMLN-2019-617-000567</t>
  </si>
  <si>
    <t>SMLN-2019-617-000568</t>
  </si>
  <si>
    <t>SMLN-2019-617-000569</t>
  </si>
  <si>
    <t>12.11. zrušeno</t>
  </si>
  <si>
    <t>VZ-2019-001204</t>
  </si>
  <si>
    <t>Láhve a dudlíky krmící jednorázové</t>
  </si>
  <si>
    <t>SMLN-2019-617-000570
SMLN-2019-612-000154</t>
  </si>
  <si>
    <t>SMLN-2019-617-000572</t>
  </si>
  <si>
    <t>SMLN-2019-617-000573</t>
  </si>
  <si>
    <t>SMLN-2019-617-000571</t>
  </si>
  <si>
    <t>Z + M Logistics spol.s r.o.</t>
  </si>
  <si>
    <t>SMLN-2019-617-000576</t>
  </si>
  <si>
    <t>nová VZ-2019-000651</t>
  </si>
  <si>
    <t>Láhve krmící jednorázové</t>
  </si>
  <si>
    <t>Dudlíky krmící jednorázové</t>
  </si>
  <si>
    <t>SMLN-2019-617-000582
SMLN-2019-612-000156</t>
  </si>
  <si>
    <t>SMLN-2019-618-000099</t>
  </si>
  <si>
    <t>SMLN-2019-617-000583
SMLN-2019-612-000158</t>
  </si>
  <si>
    <t>zrušeno - nabídka po lhůtě</t>
  </si>
  <si>
    <t>VZ-2019-001210</t>
  </si>
  <si>
    <t>Servisní služby - spektrometr Maldi Biotyper</t>
  </si>
  <si>
    <t>VZ-2019-001211</t>
  </si>
  <si>
    <t>SMLN-2019-618-000102</t>
  </si>
  <si>
    <t>AUTO ČECHÁK s.r.o.</t>
  </si>
  <si>
    <t>SMLN-2019-618-000101</t>
  </si>
  <si>
    <t>SMLN-2019-618-000103</t>
  </si>
  <si>
    <t>zrušeno - nejvýhodnější nabídky nesplnila fomální náležitosti</t>
  </si>
  <si>
    <t>KSK Nábytek s.r.o.</t>
  </si>
  <si>
    <t>SMLN-2019-618-000100</t>
  </si>
  <si>
    <t>VZ-2019-001209</t>
  </si>
  <si>
    <t>4543000-7</t>
  </si>
  <si>
    <t>Rekonstrukce topení a opravy podlah v bytech na ubytovně Albertova 26 II.</t>
  </si>
  <si>
    <t>Institute of Applied Biotechnologies a.s.</t>
  </si>
  <si>
    <t>SMLN-2019-612-000160</t>
  </si>
  <si>
    <t>SMLN-2019-617-000586</t>
  </si>
  <si>
    <t>SMLN-2019-617-000587</t>
  </si>
  <si>
    <t>SMLN-2019-617-000588</t>
  </si>
  <si>
    <t>SMLN-2019-617-000589</t>
  </si>
  <si>
    <t>SMLN-2019-617-000590</t>
  </si>
  <si>
    <t>SMLN-2019-617-000591</t>
  </si>
  <si>
    <t>SMLN-2019-617-000592</t>
  </si>
  <si>
    <t>SMLN-2019-617-000594</t>
  </si>
  <si>
    <t>SMLN-2019-617-000595</t>
  </si>
  <si>
    <t>SMLN-2019-617-000596</t>
  </si>
  <si>
    <t>SMLN-2019-617-000597</t>
  </si>
  <si>
    <t>Maro - Mader s.r.o.</t>
  </si>
  <si>
    <t>VZ-2019-001220</t>
  </si>
  <si>
    <t>Zajištění záložní internetové konektivity FNOL</t>
  </si>
  <si>
    <t>VZ-2019-001221</t>
  </si>
  <si>
    <t>Výměna rozvodů TV a CIR v budově R</t>
  </si>
  <si>
    <t>25.11. zrušení na podpis</t>
  </si>
  <si>
    <t>VZ-2019-001224</t>
  </si>
  <si>
    <t>Tiskárny FNOL 2019</t>
  </si>
  <si>
    <t>30232110-8,30232120-1</t>
  </si>
  <si>
    <t>22.11. zrušení na podpis</t>
  </si>
  <si>
    <t>1.1.-24.11.2025</t>
  </si>
  <si>
    <t>21.11. zrušeno</t>
  </si>
  <si>
    <t>EXON s.r.o.</t>
  </si>
  <si>
    <t>SMLN-2019-617-000581
SMLN-2019-617-000593
SMLN-2019-612-000155</t>
  </si>
  <si>
    <t>VZ-2019-001234</t>
  </si>
  <si>
    <t>PD - Nástavba budovy A</t>
  </si>
  <si>
    <t>BIONIK Stapro Group s.r.o.</t>
  </si>
  <si>
    <t>SMLN-2019-617-000604
SMLN-2019-612-000161</t>
  </si>
  <si>
    <t>VZ-2019-001244</t>
  </si>
  <si>
    <t>Léčiva s obsahem omalizumabu 2019 - sdružený nákup</t>
  </si>
  <si>
    <t>Omalizumab</t>
  </si>
  <si>
    <t>VZ-2019-001245</t>
  </si>
  <si>
    <t>Léčiva s obsahem idelalisibu 2019 - sdružený nákup</t>
  </si>
  <si>
    <t>Idelalisib</t>
  </si>
  <si>
    <t>VZ-2019-001246</t>
  </si>
  <si>
    <t>Léčivé přípravky z ATC H01A - Hormony předního laloku hypofýzy a analoga</t>
  </si>
  <si>
    <t>Thyrotropin alfa</t>
  </si>
  <si>
    <t>Pegvisomant</t>
  </si>
  <si>
    <t>SMLN-2019-617-000606</t>
  </si>
  <si>
    <t>SMLN-2019-612-000162</t>
  </si>
  <si>
    <t>VZ-2019-001250</t>
  </si>
  <si>
    <t>Přístroj pro molekulární onkologickou diagnostiku II.</t>
  </si>
  <si>
    <t>PHOENIX lékárenský velkoobchod, s.r.o.</t>
  </si>
  <si>
    <t>VZ-2019-001253</t>
  </si>
  <si>
    <t>Výtahy - elektro Žižka spol. s r.o.</t>
  </si>
  <si>
    <t>Bc. Jakub Tomaštík</t>
  </si>
  <si>
    <t>BAXTER CZECH spol. s r.o.</t>
  </si>
  <si>
    <t>VZ-2019-001260</t>
  </si>
  <si>
    <t>Videolaryngoskop II.</t>
  </si>
  <si>
    <t>MEDICAL M, spol.s  r.o.</t>
  </si>
  <si>
    <t>Alliance Healtcare s.r.o.</t>
  </si>
  <si>
    <t>PHARMOS a.s.</t>
  </si>
  <si>
    <t>SMLN-2019-618-000108</t>
  </si>
  <si>
    <t>SMLN-2019-617-000613</t>
  </si>
  <si>
    <t>SMLN-2019-618-000107</t>
  </si>
  <si>
    <t>SMLN-2019-618-000106</t>
  </si>
  <si>
    <t>VZ-2019-001262</t>
  </si>
  <si>
    <t>Inhibitory proteinkináz V. 2019</t>
  </si>
  <si>
    <t xml:space="preserve">REGORAFENIB </t>
  </si>
  <si>
    <t xml:space="preserve">DABRAFENIB </t>
  </si>
  <si>
    <t xml:space="preserve">IBRUTINIB </t>
  </si>
  <si>
    <t>RIBOCIKLIB-SUKCINÁT</t>
  </si>
  <si>
    <t xml:space="preserve">OSIMERTINIB </t>
  </si>
  <si>
    <t>SMLN-2019-617-000615</t>
  </si>
  <si>
    <t>MERIT Group a.s.</t>
  </si>
  <si>
    <t>SMLN-2019-617-000620</t>
  </si>
  <si>
    <t>SMLN-2019-617-000623</t>
  </si>
  <si>
    <t>SMLN-2019-617-000626</t>
  </si>
  <si>
    <t>SMLN-2019-617-000624</t>
  </si>
  <si>
    <t>SMLN-2019-617-000625</t>
  </si>
  <si>
    <t>SMLN-2019-617-000621</t>
  </si>
  <si>
    <t>SMLN-2019-617-000622</t>
  </si>
  <si>
    <t>SMLN-2019-617-000628</t>
  </si>
  <si>
    <t>SMLN-2019-617-000627</t>
  </si>
  <si>
    <t>6.12. zrušeno</t>
  </si>
  <si>
    <t>VZ-2019-001266</t>
  </si>
  <si>
    <t>Monitory FNOL 2019</t>
  </si>
  <si>
    <t>VZ-2019-001267</t>
  </si>
  <si>
    <t>Hepariny 2019</t>
  </si>
  <si>
    <t>HEPARIN</t>
  </si>
  <si>
    <t xml:space="preserve">ENOXAPARIN </t>
  </si>
  <si>
    <t>NADROPARIN</t>
  </si>
  <si>
    <t xml:space="preserve">SULODEXID </t>
  </si>
  <si>
    <t>ANTITHROMBIN III</t>
  </si>
  <si>
    <t>SKALA-Medical s.r.o.</t>
  </si>
  <si>
    <t>Servisní podpora personálního a mzdového systému</t>
  </si>
  <si>
    <t>Boston Scientific Česká Republika s.r.o.</t>
  </si>
  <si>
    <t>BCV solutions s.r.o.</t>
  </si>
  <si>
    <t>SMLN-2019-617-000633</t>
  </si>
  <si>
    <t>SMLN-2019-617-000634</t>
  </si>
  <si>
    <t>VZ-2019-001270</t>
  </si>
  <si>
    <t>Rekonstrukce chladící stanice</t>
  </si>
  <si>
    <t>Dynex LabSolutions s.r.o.</t>
  </si>
  <si>
    <t>servis + SM</t>
  </si>
  <si>
    <t>MEDIN, a.s.</t>
  </si>
  <si>
    <t>Charita Opava</t>
  </si>
  <si>
    <t>SMLN-2019-617-000635
SMLN-2019-612-000163
SMLN-2019-617-000636</t>
  </si>
  <si>
    <t>SMLN-2019-618-000111</t>
  </si>
  <si>
    <t>SMLN-2019-617-000637
SMLN-2019-612-000165</t>
  </si>
  <si>
    <t>SMLN-2019-612-000164</t>
  </si>
  <si>
    <t>SMLN-2019-617-000638</t>
  </si>
  <si>
    <t>SMLN-2019-612-000166</t>
  </si>
  <si>
    <t>13.12. zrušeno</t>
  </si>
  <si>
    <t>Becton Dickinson  Czechia, s.r.o.</t>
  </si>
  <si>
    <t>INTERSOL, spol. s r.o.</t>
  </si>
  <si>
    <t>CEEMED s.r.o.</t>
  </si>
  <si>
    <t>GALI spol. s r.o.</t>
  </si>
  <si>
    <t>SMLN-2019-617-000640</t>
  </si>
  <si>
    <t>VZ-2019-001278</t>
  </si>
  <si>
    <t>Bronchoskopy</t>
  </si>
  <si>
    <t>2.2.242,2.3.404,435</t>
  </si>
  <si>
    <t>VZ-2019-001280</t>
  </si>
  <si>
    <t>Elektrické polohovatelné křeslo s příslušenstvím</t>
  </si>
  <si>
    <t>33192210-7</t>
  </si>
  <si>
    <t>2.2.143,2.2.229</t>
  </si>
  <si>
    <t>2.2.228.</t>
  </si>
  <si>
    <t>VZ-2019-001281</t>
  </si>
  <si>
    <t>Rigidní bronchoskopy pro tryskovou ventilaci Twinstream</t>
  </si>
  <si>
    <t>33192400-6</t>
  </si>
  <si>
    <t>VZ-2019-001282</t>
  </si>
  <si>
    <t>Stomatologická souprava</t>
  </si>
  <si>
    <t>VZ-2019-001283</t>
  </si>
  <si>
    <t>Demolice budov v areálu FN Olomouc</t>
  </si>
  <si>
    <t>34136000-9</t>
  </si>
  <si>
    <t>4.2.127.</t>
  </si>
  <si>
    <t>VZ-2019-001284</t>
  </si>
  <si>
    <t>Dodávkový automobil</t>
  </si>
  <si>
    <t>45232221-7</t>
  </si>
  <si>
    <t>VZ-2019-001285</t>
  </si>
  <si>
    <t>Celková rekonstrukce TS3</t>
  </si>
  <si>
    <t>4.2.121.</t>
  </si>
  <si>
    <t>VZ-2019-001263</t>
  </si>
  <si>
    <t>Fototerapeutická jednotka pro Novorozenecké oddělení</t>
  </si>
  <si>
    <t>Green Center s.r.o.</t>
  </si>
  <si>
    <t>SMLN-2019-618-000113
SMLN-2019-612-000167</t>
  </si>
  <si>
    <t>VZ-2019-001287</t>
  </si>
  <si>
    <t>Pozáruční podpora systému AGFA IMPAX II.</t>
  </si>
  <si>
    <t>Inhibitory proteinkináz VI. 2019</t>
  </si>
  <si>
    <t>ERLOTINIB-HYDROCHLORID</t>
  </si>
  <si>
    <t>SUNITINIB-MALÁT</t>
  </si>
  <si>
    <t>SORAFENIB-TOSILÁT</t>
  </si>
  <si>
    <t>MONOHYDRÁT DASATINIBU</t>
  </si>
  <si>
    <t>MONOHYDRÁT LAPATINIB-DITOSILÁTU</t>
  </si>
  <si>
    <t>TEMSIROLIMUS</t>
  </si>
  <si>
    <t>VZ-2019-001288</t>
  </si>
  <si>
    <t>SMLN-2019-617-000643
SMLN-2019-614-000109</t>
  </si>
  <si>
    <t>18.12.zrušeno</t>
  </si>
  <si>
    <t>19.12.209</t>
  </si>
  <si>
    <t>TRIOS, spol. s r.o.</t>
  </si>
  <si>
    <t>VZ-2019-001292</t>
  </si>
  <si>
    <t>Kancelářský papír 2020</t>
  </si>
  <si>
    <t>18.12. zrušeno</t>
  </si>
  <si>
    <t>SMLN-2019-618-000114</t>
  </si>
  <si>
    <t>SMLN-2019-617-000659</t>
  </si>
  <si>
    <t>MEDILAB s.r.o.</t>
  </si>
  <si>
    <t>SMLN-2019-617-000645</t>
  </si>
  <si>
    <t>SMLN-2019-617-000646</t>
  </si>
  <si>
    <t>SMLN-2019-617-000644</t>
  </si>
  <si>
    <t>SMLN-2019-617-000647</t>
  </si>
  <si>
    <t>SMLN-2019-617-000648</t>
  </si>
  <si>
    <t>SMLN-2019-617-000649</t>
  </si>
  <si>
    <t>SMLN-2019-617-000650</t>
  </si>
  <si>
    <t>SMLN-2019-617-000651</t>
  </si>
  <si>
    <t>SMLN-2019-617-000652</t>
  </si>
  <si>
    <t>SMLN-2019-617-000653</t>
  </si>
  <si>
    <t>SMLN-2019-617-000654</t>
  </si>
  <si>
    <t>SMLN-2019-617-000655</t>
  </si>
  <si>
    <t>SMLN-2019-617-000656</t>
  </si>
  <si>
    <t>SMLN-2019-617-000657</t>
  </si>
  <si>
    <t>SMLN-2019-617-000658</t>
  </si>
  <si>
    <t>SMLN-2019-617-000660</t>
  </si>
  <si>
    <t>SMLN-2019-617-000661</t>
  </si>
  <si>
    <t>SMLN-2019-617-000662</t>
  </si>
  <si>
    <t>SMLN-2019-617-000663</t>
  </si>
  <si>
    <t>SMLN-2019-617-000664</t>
  </si>
  <si>
    <t>VZ-2019-001290</t>
  </si>
  <si>
    <t>SMLN-2019-617-000666</t>
  </si>
  <si>
    <t>SMLN-2019-617-000667</t>
  </si>
  <si>
    <t>SMLN-2019-617-000668</t>
  </si>
  <si>
    <t>SMLN-2019-617-000669</t>
  </si>
  <si>
    <t>SMLN-2019-617-000670</t>
  </si>
  <si>
    <t>Neudörflerová</t>
  </si>
  <si>
    <t>VZ-2019-001189</t>
  </si>
  <si>
    <t>FN Olomouc - obnova kardiologické SPECT kamery pro KNM</t>
  </si>
  <si>
    <t>33111620-3</t>
  </si>
  <si>
    <t>Zrušeno na základě námitek Auto Čechák</t>
  </si>
  <si>
    <t>19.12.2019 zrušeno</t>
  </si>
  <si>
    <t>VZ-2020-000001</t>
  </si>
  <si>
    <t>IROP26</t>
  </si>
  <si>
    <t>VZ-2020-000002</t>
  </si>
  <si>
    <t>HOSPIMED, spol.s r.o.</t>
  </si>
  <si>
    <t>Součet z Smlouva podepsána2</t>
  </si>
  <si>
    <t>bamed, s.r.o.</t>
  </si>
  <si>
    <t>VZ-2020-000003</t>
  </si>
  <si>
    <r>
      <t xml:space="preserve">Celková rekonstrukce TS3 - </t>
    </r>
    <r>
      <rPr>
        <b/>
        <sz val="11"/>
        <color theme="1"/>
        <rFont val="Calibri"/>
        <family val="2"/>
        <charset val="238"/>
        <scheme val="minor"/>
      </rPr>
      <t>VZ-2020-000003</t>
    </r>
  </si>
  <si>
    <t>VZ-2020-000004</t>
  </si>
  <si>
    <r>
      <t xml:space="preserve">Rekonstrukce chladící stanice - </t>
    </r>
    <r>
      <rPr>
        <b/>
        <sz val="11"/>
        <color theme="1"/>
        <rFont val="Calibri"/>
        <family val="2"/>
        <charset val="238"/>
        <scheme val="minor"/>
      </rPr>
      <t>VZ-2020-000004</t>
    </r>
  </si>
  <si>
    <t>VZ-2020-000005</t>
  </si>
  <si>
    <t>VZ-2020-000006</t>
  </si>
  <si>
    <t>VZ-2020-000007</t>
  </si>
  <si>
    <t xml:space="preserve">Léčiva s obsahem omalizumabu 2019 - sdružený nákup </t>
  </si>
  <si>
    <r>
      <t xml:space="preserve">Omalizumab - </t>
    </r>
    <r>
      <rPr>
        <b/>
        <sz val="11"/>
        <color theme="1"/>
        <rFont val="Calibri"/>
        <family val="2"/>
        <charset val="238"/>
        <scheme val="minor"/>
      </rPr>
      <t>VZ-2020-000006</t>
    </r>
  </si>
  <si>
    <t xml:space="preserve">Léčiva s obsahem idelalisibu 2019 - sdružený nákup </t>
  </si>
  <si>
    <r>
      <t xml:space="preserve">Idelalisib - </t>
    </r>
    <r>
      <rPr>
        <b/>
        <sz val="11"/>
        <color theme="1"/>
        <rFont val="Calibri"/>
        <family val="2"/>
        <charset val="238"/>
        <scheme val="minor"/>
      </rPr>
      <t>VZ-2020-000005</t>
    </r>
  </si>
  <si>
    <r>
      <t xml:space="preserve">Pegvisomant - </t>
    </r>
    <r>
      <rPr>
        <b/>
        <sz val="11"/>
        <color theme="1"/>
        <rFont val="Calibri"/>
        <family val="2"/>
        <charset val="238"/>
        <scheme val="minor"/>
      </rPr>
      <t>VZ-2020-000007</t>
    </r>
  </si>
  <si>
    <r>
      <t xml:space="preserve">Thyrotropin alfa - </t>
    </r>
    <r>
      <rPr>
        <b/>
        <sz val="11"/>
        <color theme="1"/>
        <rFont val="Calibri"/>
        <family val="2"/>
        <charset val="238"/>
        <scheme val="minor"/>
      </rPr>
      <t>VZ-2020-000007</t>
    </r>
  </si>
  <si>
    <r>
      <t>Jiná cytostatika I 2019</t>
    </r>
    <r>
      <rPr>
        <b/>
        <sz val="11"/>
        <color theme="1"/>
        <rFont val="Calibri"/>
        <family val="2"/>
        <charset val="238"/>
        <scheme val="minor"/>
      </rPr>
      <t xml:space="preserve"> - VZ-2020-000008</t>
    </r>
  </si>
  <si>
    <t>VZ-2020-000008</t>
  </si>
  <si>
    <t>3.1.2020 zrušeno</t>
  </si>
  <si>
    <t>VZ-2020-000013</t>
  </si>
  <si>
    <t>6.1.2020 zrušeno</t>
  </si>
  <si>
    <r>
      <t xml:space="preserve">Kardioangiografický komplet pro elektrofyziologii </t>
    </r>
    <r>
      <rPr>
        <b/>
        <sz val="11"/>
        <color theme="1"/>
        <rFont val="Calibri"/>
        <family val="2"/>
        <charset val="238"/>
        <scheme val="minor"/>
      </rPr>
      <t>VZ-2020-000013</t>
    </r>
  </si>
  <si>
    <t>1.1.-5.1.2028</t>
  </si>
  <si>
    <t>1.1.-5.1.2022</t>
  </si>
  <si>
    <t>SMLN-2020-617-000002
SMLN-2020-612-000002</t>
  </si>
  <si>
    <t>SMLN-2020-617-000001
SMLN-2020-612-000001</t>
  </si>
  <si>
    <t>16.12. zrušeno</t>
  </si>
  <si>
    <t>BioVendor - Laboratorní medicína a.s.</t>
  </si>
  <si>
    <t>OXOID CZ s.r.o.</t>
  </si>
  <si>
    <t>VIDIA spol. s r.o.</t>
  </si>
  <si>
    <t>VZ-2020-000018</t>
  </si>
  <si>
    <t>55520000-1</t>
  </si>
  <si>
    <t>VZ-2020-000020</t>
  </si>
  <si>
    <t>Dodávky reagencií a spotřebního materiálu pro rutinní biochemická a imunochemická stanovení s výpůjčkou analytického systému</t>
  </si>
  <si>
    <t>SMLN-2020-617-000004
SMLN-2020-612-000003</t>
  </si>
  <si>
    <t>1.1.-8.1.2022</t>
  </si>
  <si>
    <t>13.1.2020 zrušeno</t>
  </si>
  <si>
    <t>SMLN-2020-617-000006</t>
  </si>
  <si>
    <t>SMLN-2020-617-000010</t>
  </si>
  <si>
    <t>SMLN-2020-617-000011</t>
  </si>
  <si>
    <t>SMLN-2020-617-000012</t>
  </si>
  <si>
    <t>SMLN-2020-617-000013</t>
  </si>
  <si>
    <t>SMLN-2020-617-000014</t>
  </si>
  <si>
    <t>SMLN-2020-617-000015</t>
  </si>
  <si>
    <t>SMLN-2020-617-000007</t>
  </si>
  <si>
    <t>SMLN-2020-617-000008</t>
  </si>
  <si>
    <t>SMLN-2020-617-000009</t>
  </si>
  <si>
    <t>Catering na ples FN Olomouc v r. 2020</t>
  </si>
  <si>
    <t>VZ-2020-000026</t>
  </si>
  <si>
    <t>PD - Nástavba budovy A -</t>
  </si>
  <si>
    <t xml:space="preserve"> VZ-2020-000026</t>
  </si>
  <si>
    <t>VZ-2020-000029</t>
  </si>
  <si>
    <t>Pozáruční servis aktivních prvků</t>
  </si>
  <si>
    <t>VZ-2020-000031</t>
  </si>
  <si>
    <t>VZ-2020-000030</t>
  </si>
  <si>
    <t>Spotřební materiál k separátorům krevních částic Trima Accel</t>
  </si>
  <si>
    <t>1.1.-.13.1.2022</t>
  </si>
  <si>
    <t>SMLN-2020-617-000018</t>
  </si>
  <si>
    <t>SMLN-2020-617-000019</t>
  </si>
  <si>
    <t>SMLN-2020-617-000020</t>
  </si>
  <si>
    <t>SMLN-2020-617-000021</t>
  </si>
  <si>
    <t>SMLN-2020-617-000022</t>
  </si>
  <si>
    <t>AF FOODS  Group a.s.</t>
  </si>
  <si>
    <t>SMLN-2020-617-000023</t>
  </si>
  <si>
    <t>Lindcare CZ s.r.o.</t>
  </si>
  <si>
    <t>SMLN-2020-617-000024</t>
  </si>
  <si>
    <t>SMLN-2020-617-000030</t>
  </si>
  <si>
    <t>SMLN-2020-617-000025</t>
  </si>
  <si>
    <t>SMLN-2020-617-000026</t>
  </si>
  <si>
    <t>SMLN-2020-617-000027</t>
  </si>
  <si>
    <t>SMLN-2020-617-000028</t>
  </si>
  <si>
    <t>SMLN-2020-617-000029</t>
  </si>
  <si>
    <t>SMLN-2019-617-000549
SMLN-2019-612-000142
SMLN-2020-617-000032</t>
  </si>
  <si>
    <t>VZ-2020-000032</t>
  </si>
  <si>
    <t>VZ-2020-000033</t>
  </si>
  <si>
    <t>VZ-2020-000040</t>
  </si>
  <si>
    <t xml:space="preserve">Oční laser </t>
  </si>
  <si>
    <t>nová VZ-2020-000040</t>
  </si>
  <si>
    <t>zrušeno - uzavřen výhodnější dodatek</t>
  </si>
  <si>
    <t>VZ-2020-000051</t>
  </si>
  <si>
    <t>31643100-6
33115100-0
50421000-2</t>
  </si>
  <si>
    <t>FN Olomouc - obměna 3 ks lineárních urychlovačů a Thomayerova nemocnice - obměna 2 ks lineárních urychlovačů - Sdružený nákup II.</t>
  </si>
  <si>
    <t>2.3.420.</t>
  </si>
  <si>
    <t>SMLN-2020-617-000034
SMLN-2020-612-000004</t>
  </si>
  <si>
    <t>SMLN-2020-617-000035
SMLN-2020-616-000003</t>
  </si>
  <si>
    <t>SMLN-2020-612-000005</t>
  </si>
  <si>
    <t>SMLN-2020-617-000036</t>
  </si>
  <si>
    <t>VZ-2020-000055</t>
  </si>
  <si>
    <t xml:space="preserve">dodatek č.1 </t>
  </si>
  <si>
    <t>VZ-2020-000057</t>
  </si>
  <si>
    <t>Servis výtahů FNOL</t>
  </si>
  <si>
    <t>VZ-2020-000061</t>
  </si>
  <si>
    <t>Osmometr</t>
  </si>
  <si>
    <t>2.3.432.</t>
  </si>
  <si>
    <t>ALFAMEDIC s.r.o.</t>
  </si>
  <si>
    <t>SMLN-2020-617-000042
SMLN-2020-612-000006</t>
  </si>
  <si>
    <t>SMLN-2020-617-000039</t>
  </si>
  <si>
    <t>SMLN-2020-617-000040</t>
  </si>
  <si>
    <t>SMLN-2020-617-000041</t>
  </si>
  <si>
    <t>SMLN-2020-617-000043</t>
  </si>
  <si>
    <t>SMLN-2020-617-000044</t>
  </si>
  <si>
    <t>Grand lahůdky, s.r.o.</t>
  </si>
  <si>
    <t>ARTiiS GROUP, a.s.</t>
  </si>
  <si>
    <t>1.1.-23.1.2022</t>
  </si>
  <si>
    <t>DATASCAN, s.r.o.</t>
  </si>
  <si>
    <t>SMLN-2020-617-000047</t>
  </si>
  <si>
    <t>SMLN-2020-612-000007</t>
  </si>
  <si>
    <t>A care a.s.</t>
  </si>
  <si>
    <t>VZ-2020-000078</t>
  </si>
  <si>
    <t>2.2.435</t>
  </si>
  <si>
    <t>2.2.242,2.3.404</t>
  </si>
  <si>
    <t>zrušeno - jediný účastník vyloučen</t>
  </si>
  <si>
    <t>VZ-2020-000081</t>
  </si>
  <si>
    <t>SMLN-2020-617-000048
SMLN-2020-614-000001</t>
  </si>
  <si>
    <t>SMLN-2020-617-000049
SMLN-2020-614-000002</t>
  </si>
  <si>
    <t>zrušeno - nesplnění podmínek, nová VZ-2020-000078</t>
  </si>
  <si>
    <t>servis + spotřební materiál</t>
  </si>
  <si>
    <t>Polanský s.r.o.</t>
  </si>
  <si>
    <t>Sodexo Pass ČR s.r.o.</t>
  </si>
  <si>
    <t>SMLN-2020-617-000053
SMLN-2020-616-000006</t>
  </si>
  <si>
    <t>4.3.2020
28.1.2028</t>
  </si>
  <si>
    <t>VZ-2020-000091</t>
  </si>
  <si>
    <t xml:space="preserve">Diagnostika pro Real-Time PCR Termocykler </t>
  </si>
  <si>
    <t>VZ-2020-000093</t>
  </si>
  <si>
    <t>Systém pro katetrovou implantaci aortální chlopně (TAVI) - sdružený nákup</t>
  </si>
  <si>
    <t>SMLN-2020-617-000056</t>
  </si>
  <si>
    <t>SMLN-2020-617-000057</t>
  </si>
  <si>
    <t>SMLN-2020-617-000058</t>
  </si>
  <si>
    <t>SMLN-2020-617-000055</t>
  </si>
  <si>
    <t>zrušeno - neposkytnutí součinnosti k uzavření smlouvy - jedinný účastník</t>
  </si>
  <si>
    <t>Systém pro katetrovou implantaci aortální chlopně (TAVI) - balónexpandibilní</t>
  </si>
  <si>
    <t>VZ-2020-000088</t>
  </si>
  <si>
    <t>Výstavba chodníků v areálu FNOL</t>
  </si>
  <si>
    <t>45233160-8</t>
  </si>
  <si>
    <t>4.2.136.,4.3.10</t>
  </si>
  <si>
    <t>1.1.-30.1.2022</t>
  </si>
  <si>
    <t>Integrační platforma</t>
  </si>
  <si>
    <t>Hardware pro integrační platformu</t>
  </si>
  <si>
    <t>SMLN-2020-617-000061
SMLN-2020-614-000003</t>
  </si>
  <si>
    <t>SMLN-2020-617-000059
SMLN-2020-612-000010</t>
  </si>
  <si>
    <t>SMLN-2020-617-000060
SMLN-2020-612-000011</t>
  </si>
  <si>
    <t>SMLN-2020-618-000006</t>
  </si>
  <si>
    <t>VZ-2020-000098</t>
  </si>
  <si>
    <t>VZ-2020-000099</t>
  </si>
  <si>
    <t>Říha</t>
  </si>
  <si>
    <t>Nový vjezd do areálu FN Olomouc z ulice Hněvotínská</t>
  </si>
  <si>
    <t>45233100-0</t>
  </si>
  <si>
    <t>VIVACOM s..ro.</t>
  </si>
  <si>
    <t>SMLN-2020-617-000062
SMLN-2020-616-000007</t>
  </si>
  <si>
    <t>VZ-2020-000109</t>
  </si>
  <si>
    <t>Kancelářské potřeby</t>
  </si>
  <si>
    <t>VZ-2020-000112</t>
  </si>
  <si>
    <t>Přímá digitalizace RTG pracoviště</t>
  </si>
  <si>
    <t>2.3.307.</t>
  </si>
  <si>
    <t>VZ-2020-000115</t>
  </si>
  <si>
    <t>Výroba a montáž nábytku HOK 2020</t>
  </si>
  <si>
    <t>VZ-2020-000116</t>
  </si>
  <si>
    <t>VZ-2020-000117</t>
  </si>
  <si>
    <t>Monoklonální protilátky 2020 I.</t>
  </si>
  <si>
    <t>Monoklonální protilátky 2020 II.</t>
  </si>
  <si>
    <t xml:space="preserve">IPILIMUMAB </t>
  </si>
  <si>
    <t>BRENTUXIMAB VEDOTIN</t>
  </si>
  <si>
    <t xml:space="preserve">PERTUZUMAB </t>
  </si>
  <si>
    <t xml:space="preserve">OBINUTUZUMAB </t>
  </si>
  <si>
    <t xml:space="preserve">PEMBROLIZUMAB </t>
  </si>
  <si>
    <t xml:space="preserve">ELOTUZUMAB </t>
  </si>
  <si>
    <t xml:space="preserve">DARATUMUMAB </t>
  </si>
  <si>
    <t xml:space="preserve">ATEZOLIZUMAB </t>
  </si>
  <si>
    <t>SMLN-2020-612-000012</t>
  </si>
  <si>
    <t>Vema, a.s.</t>
  </si>
  <si>
    <t>VZ-2020-000119</t>
  </si>
  <si>
    <t>Sanace lodžie na Dětské klinice ve 3 a 4 NP</t>
  </si>
  <si>
    <t>VZ-2020-000120</t>
  </si>
  <si>
    <t>Repase oken na v budově Q2 ve 3 a 4 NP</t>
  </si>
  <si>
    <t>VZ-2020-000121</t>
  </si>
  <si>
    <t>Rekonstrukce hygienických zařízení v budově C ve 3NP</t>
  </si>
  <si>
    <t>Ultrazvukové sestavy FNOL</t>
  </si>
  <si>
    <t>VZ-2020-000125</t>
  </si>
  <si>
    <t>Kalibrace a validace měřidel a zařízení FN Olomouc</t>
  </si>
  <si>
    <t>50410000-2</t>
  </si>
  <si>
    <t xml:space="preserve">Kalibrace a validace měřidel a zařízení FNOL </t>
  </si>
  <si>
    <t>CHEIRON a.s.</t>
  </si>
  <si>
    <t>10.2. zrušeno</t>
  </si>
  <si>
    <t>10.2.2020 zrušeno</t>
  </si>
  <si>
    <t>zrušeno - jedinný účastník vyloučen</t>
  </si>
  <si>
    <t>1.1.-9.2.2022</t>
  </si>
  <si>
    <t>SMLN-2020-617-000065
SMLN-2020-612-000013</t>
  </si>
  <si>
    <t>SMLN-2020-618-000008</t>
  </si>
  <si>
    <t>VZ-2020-000139</t>
  </si>
  <si>
    <t>Stavební úpravy Kliniky plicních nemocí a tuberkulózy - H2 3.NP a 4.NP</t>
  </si>
  <si>
    <t>4.2.137.</t>
  </si>
  <si>
    <t xml:space="preserve">PD - Stavební úpravy Radiologické kliniky v budově A - 1.PP </t>
  </si>
  <si>
    <t>SMLN-2020-612-000014</t>
  </si>
  <si>
    <t>VZ-2020-000144</t>
  </si>
  <si>
    <t>Ultrazvukový aspirátor pro NCHIR</t>
  </si>
  <si>
    <t>SMLN-2020-612-000015</t>
  </si>
  <si>
    <t>17.2.2020 Dodatek č.1</t>
  </si>
  <si>
    <t>VZ-2020-000149</t>
  </si>
  <si>
    <t>VRV chlazení FNOL 2020</t>
  </si>
  <si>
    <t>Systém pro katetrovou implantaci aortální chlopně (TAVI) - samoexpandibilní I.</t>
  </si>
  <si>
    <t>Systém pro katetrovou implantaci aortální chlopně (TAVI) - samoexpandibilní II.</t>
  </si>
  <si>
    <t>SMLN-2020-617-000073
SMLN-2020-612-000016</t>
  </si>
  <si>
    <t>SMLN-2020-617-000075
SMLN-2020-612-000017</t>
  </si>
  <si>
    <t>SMLN-2020-617-000076
SMLN-2020-612-000018</t>
  </si>
  <si>
    <t>VZ-2020-000153</t>
  </si>
  <si>
    <t>Úprava vstupu a komunikace do budovy N</t>
  </si>
  <si>
    <t>zrušeno - bez hodnotitelné nabídky - vzorky nespňují požadavky</t>
  </si>
  <si>
    <t>18.2.2020 zrušeno</t>
  </si>
  <si>
    <t>VZ-2020-000158</t>
  </si>
  <si>
    <t>45216200-6</t>
  </si>
  <si>
    <t>Fort Tafelberg, úprava jižního boku hlavního valu</t>
  </si>
  <si>
    <t>VZ-2020-000160</t>
  </si>
  <si>
    <t>VZ-2020-000122</t>
  </si>
  <si>
    <t>Čistící prostředky a jiné drogistické zboží</t>
  </si>
  <si>
    <t>39830000-9, 33700000-7</t>
  </si>
  <si>
    <t>SMLN-2020-617-000077</t>
  </si>
  <si>
    <t>SMLN-2020-617-000078</t>
  </si>
  <si>
    <t>SMLN-2020-617-000079</t>
  </si>
  <si>
    <t>SMLN-2020-617-000080</t>
  </si>
  <si>
    <t>SMLN-2020-617-000081</t>
  </si>
  <si>
    <t>10.2.2020 vyloučení MERCK</t>
  </si>
  <si>
    <t>VZ-2020-000164</t>
  </si>
  <si>
    <t>Operační mikroskop pro NCHIR</t>
  </si>
  <si>
    <t>INSTA CZ s.r.o.</t>
  </si>
  <si>
    <t>1.1.-18.2022</t>
  </si>
  <si>
    <t>SMLN-2020-617-000086</t>
  </si>
  <si>
    <t>SMLN-2020-617-000083</t>
  </si>
  <si>
    <t>SMLN-2020-617-000084</t>
  </si>
  <si>
    <t>SMLN-2020-617-000085</t>
  </si>
  <si>
    <t>SMLN-2020-618-000013</t>
  </si>
  <si>
    <t>SMLN-2020-618-000014</t>
  </si>
  <si>
    <t>VZ-2020-000165</t>
  </si>
  <si>
    <t>IMURAN</t>
  </si>
  <si>
    <t xml:space="preserve">THALIDOMID </t>
  </si>
  <si>
    <t>METOJECT PEN</t>
  </si>
  <si>
    <t>Jiná imunosupresiva 2020</t>
  </si>
  <si>
    <t>L04AX01</t>
  </si>
  <si>
    <t>L04AX02</t>
  </si>
  <si>
    <t>L04AX03</t>
  </si>
  <si>
    <t>VZ-2020-000166</t>
  </si>
  <si>
    <t>MYCOPHENOLAT MOFETIL SANDOZ</t>
  </si>
  <si>
    <t xml:space="preserve">SIROLIMUS </t>
  </si>
  <si>
    <t xml:space="preserve">NATALIZUMAB </t>
  </si>
  <si>
    <t xml:space="preserve">BELIMUMAB </t>
  </si>
  <si>
    <t xml:space="preserve">FINGOLIMOD </t>
  </si>
  <si>
    <t xml:space="preserve">BARICITINIB </t>
  </si>
  <si>
    <t xml:space="preserve">KLADRIBIN </t>
  </si>
  <si>
    <t>L04AA06</t>
  </si>
  <si>
    <t>L04AA10</t>
  </si>
  <si>
    <t>L04AA23</t>
  </si>
  <si>
    <t>L04AA26</t>
  </si>
  <si>
    <t>L04AA27</t>
  </si>
  <si>
    <t>L04AA37</t>
  </si>
  <si>
    <t>L04AA40</t>
  </si>
  <si>
    <t>Selektivní imunosupresiva  2020</t>
  </si>
  <si>
    <t>14.2. zrušeno</t>
  </si>
  <si>
    <t>nová VZ-2020-000098</t>
  </si>
  <si>
    <t xml:space="preserve">zrušeno - nesplnění podmínek, </t>
  </si>
  <si>
    <t>nová VZ-2020-000078</t>
  </si>
  <si>
    <t>VZ-2020-000175</t>
  </si>
  <si>
    <t>Stavební úpravy objektu Q2 - Dětská klinika</t>
  </si>
  <si>
    <t>SMLN-2020-618-000005
SMLN-2020-612-000008</t>
  </si>
  <si>
    <t>1.1.-23.2.2022</t>
  </si>
  <si>
    <t>VZ-2020-000180</t>
  </si>
  <si>
    <t>Rouškovací sety pro Ortopedii</t>
  </si>
  <si>
    <t>VZ-2020-000146</t>
  </si>
  <si>
    <t>1.1.-24.2.2025</t>
  </si>
  <si>
    <t>VZ-2020-000186</t>
  </si>
  <si>
    <t>nová VZ-2020-000146</t>
  </si>
  <si>
    <t>VZ-2020-000194</t>
  </si>
  <si>
    <t>VZ-2020-000195</t>
  </si>
  <si>
    <t xml:space="preserve">Titanový sternální fixační systém </t>
  </si>
  <si>
    <r>
      <t xml:space="preserve">Titanový sternální fixační systém - </t>
    </r>
    <r>
      <rPr>
        <b/>
        <sz val="11"/>
        <color theme="1"/>
        <rFont val="Calibri"/>
        <family val="2"/>
        <charset val="238"/>
        <scheme val="minor"/>
      </rPr>
      <t>VZ-2020-000195</t>
    </r>
  </si>
  <si>
    <r>
      <t xml:space="preserve">Servis výtahové techniky - </t>
    </r>
    <r>
      <rPr>
        <b/>
        <sz val="11"/>
        <color theme="1"/>
        <rFont val="Calibri"/>
        <family val="2"/>
        <charset val="238"/>
        <scheme val="minor"/>
      </rPr>
      <t>VZ-2020-000057</t>
    </r>
  </si>
  <si>
    <t>VZ-2020-000196</t>
  </si>
  <si>
    <t>Rouškovací sety pro I. interní kliniku  - kardiologickou</t>
  </si>
  <si>
    <t>VZ-2020-000202</t>
  </si>
  <si>
    <t>Instrumentárium pro ORTOP (navýšení instrumentária)</t>
  </si>
  <si>
    <t>28.2. zrušení</t>
  </si>
  <si>
    <t>1.1.-25.2.2022</t>
  </si>
  <si>
    <t>VZ-2020-000207</t>
  </si>
  <si>
    <t>VZ-2020-000208</t>
  </si>
  <si>
    <t>Tísňový signalizační náramkový systém</t>
  </si>
  <si>
    <t>VZ-2020-000209</t>
  </si>
  <si>
    <t>Kardioplegické sety</t>
  </si>
  <si>
    <t>Systém filtrační pro odstranění leukocytů  pro TO</t>
  </si>
  <si>
    <t>SMLN-2020-618-000015</t>
  </si>
  <si>
    <t>1.1.-1.3.2022</t>
  </si>
  <si>
    <t xml:space="preserve"> 3.3. námitky odmítnuty, zrušit VZ</t>
  </si>
  <si>
    <t>VZ-2020-000221</t>
  </si>
  <si>
    <t>Elektrický přívod z TS4 do budovy D1</t>
  </si>
  <si>
    <t>45315300-1</t>
  </si>
  <si>
    <t>Stavební úpravy 2.NP objektu A – provozní opatření</t>
  </si>
  <si>
    <t>VZ-2020-000227</t>
  </si>
  <si>
    <t>Klimek</t>
  </si>
  <si>
    <t>Dodávkové vozidlo</t>
  </si>
  <si>
    <t>SMLN-2020-618-000019</t>
  </si>
  <si>
    <t>SMLN-2020-618-000018</t>
  </si>
  <si>
    <t>SMLN-2020-618-000017</t>
  </si>
  <si>
    <t>VZ-2020-000233</t>
  </si>
  <si>
    <t>Stavební úpravy budovy I - 2NP</t>
  </si>
  <si>
    <t>VZ-2020-000239</t>
  </si>
  <si>
    <t>1.3.23.</t>
  </si>
  <si>
    <t>Abbot Rapid Diagnostics s.r.o.</t>
  </si>
  <si>
    <t>VZ-2020-000246</t>
  </si>
  <si>
    <t>Úprava čistící místnosti v budově A na oddělení IPCHO</t>
  </si>
  <si>
    <t>Kardioplegický set 4:1 s výměníkem tepla</t>
  </si>
  <si>
    <t>Kardioplegický set 4:1 se spirálou do ledové tříště</t>
  </si>
  <si>
    <t>VZ-2020-000249</t>
  </si>
  <si>
    <t>Kancelářský papír 2020 II</t>
  </si>
  <si>
    <t>nová VZ-2020-000249</t>
  </si>
  <si>
    <t>VZ-2020-000254</t>
  </si>
  <si>
    <t>FNOL - Intervenční kardiologie</t>
  </si>
  <si>
    <t>Zavaděč - sety pro radiální přístup 5F a 6F (sheathy)</t>
  </si>
  <si>
    <t>Zavaděč - sety pro femorální přístup 5F a 6F (sheathy)</t>
  </si>
  <si>
    <t xml:space="preserve">Diagnostické katetry angiografické koronární - Katetry 5F a 6F </t>
  </si>
  <si>
    <t xml:space="preserve">Diagnostické katetry angiografické koronární - Diagnostické radiální katetry  5F dedikované pro oboustrannou katetrizaci </t>
  </si>
  <si>
    <t xml:space="preserve">Koronární (PTCA) vodiče - vodiče pro komplexní vinuté léze </t>
  </si>
  <si>
    <t xml:space="preserve">Balónkové dilatační katetry koronární - střednětlaký (semicompliantní) </t>
  </si>
  <si>
    <t xml:space="preserve">Balónkové katetry koronární  - vysokotlaké/postdilatační (noncompliantní) </t>
  </si>
  <si>
    <t xml:space="preserve">Balónkové katetry koronární  - vysokotlaké nízkoprofilové </t>
  </si>
  <si>
    <r>
      <t>Balónkové dilatační katetry lékové (DEB)</t>
    </r>
    <r>
      <rPr>
        <b/>
        <sz val="12"/>
        <color rgb="FFFF0000"/>
        <rFont val="Verdana"/>
        <family val="2"/>
        <charset val="238"/>
      </rPr>
      <t xml:space="preserve"> </t>
    </r>
  </si>
  <si>
    <r>
      <t>Vodící katetry -  6F</t>
    </r>
    <r>
      <rPr>
        <sz val="11"/>
        <color rgb="FFFF0000"/>
        <rFont val="Verdana"/>
        <family val="2"/>
        <charset val="238"/>
      </rPr>
      <t xml:space="preserve"> </t>
    </r>
  </si>
  <si>
    <r>
      <t>Vodící katetry -  5F</t>
    </r>
    <r>
      <rPr>
        <sz val="11"/>
        <color rgb="FFFF0000"/>
        <rFont val="Verdana"/>
        <family val="2"/>
        <charset val="238"/>
      </rPr>
      <t xml:space="preserve"> </t>
    </r>
  </si>
  <si>
    <r>
      <t>Aspirační katetry</t>
    </r>
    <r>
      <rPr>
        <sz val="11"/>
        <color rgb="FFFF0000"/>
        <rFont val="Verdana"/>
        <family val="2"/>
        <charset val="238"/>
      </rPr>
      <t xml:space="preserve"> </t>
    </r>
  </si>
  <si>
    <r>
      <t>Koronární (PTCA) vodiče - základní typ</t>
    </r>
    <r>
      <rPr>
        <b/>
        <sz val="12"/>
        <color theme="1"/>
        <rFont val="Calibri"/>
        <family val="2"/>
        <charset val="238"/>
        <scheme val="minor"/>
      </rPr>
      <t xml:space="preserve"> </t>
    </r>
  </si>
  <si>
    <t>SMLN-2020-617-000091
SMLN-2020-616-000012</t>
  </si>
  <si>
    <t>SMLN-2020-617-000093</t>
  </si>
  <si>
    <t>SMLN-2020-617-000092</t>
  </si>
  <si>
    <t>11.3..2024</t>
  </si>
  <si>
    <t>1.1.-11.3.2024</t>
  </si>
  <si>
    <t>AbbVie s.r.o.</t>
  </si>
  <si>
    <t>VZ-2020-000259</t>
  </si>
  <si>
    <t>Čistící prostředky a jiné drogistické zboží 2020 II</t>
  </si>
  <si>
    <t>13.3.2020 zušeno</t>
  </si>
  <si>
    <t>SMLN-2020-617-000096 
SMLN-2020-616-000014</t>
  </si>
  <si>
    <t>SMLN-2020-617-000098 SMLN-2020-617-000099
SMLN-2020-612-000022</t>
  </si>
  <si>
    <t>SMLN-2020-617-000100
SMLN-2020-613-000010
SMLN-2020-613-000011</t>
  </si>
  <si>
    <t>Ubytování a služby spojené s realizací odborné akce FN Olomouc – konference XI. Luklův den</t>
  </si>
  <si>
    <t>VZ-2020-000265</t>
  </si>
  <si>
    <t>55120000-7</t>
  </si>
  <si>
    <t>Ubytování a služby spojené s realizací odborné akce FN Olomouc – konference Hospital Management</t>
  </si>
  <si>
    <t>VZ-2020-000266</t>
  </si>
  <si>
    <t>VZ-2020-000267</t>
  </si>
  <si>
    <t>Ubytování a služby spojené s realizací odborné akce FN Olomouc – konference Veřejné zakázky ve zdravotnictví</t>
  </si>
  <si>
    <t>VZ-2020-000268</t>
  </si>
  <si>
    <t>EKOLOG</t>
  </si>
  <si>
    <t>Shromažďovací místa odpadů</t>
  </si>
  <si>
    <t>VZ-2020-000270</t>
  </si>
  <si>
    <t>2.3.436</t>
  </si>
  <si>
    <t>17.3.2020 zrušeno</t>
  </si>
  <si>
    <t>SMLN-2020-617-000101</t>
  </si>
  <si>
    <t>SMLN-2020-617-000102</t>
  </si>
  <si>
    <t>SMLN-2020-617-000103</t>
  </si>
  <si>
    <t>SMLN-2020-617-000104</t>
  </si>
  <si>
    <t>SMLN-2020-617-000105</t>
  </si>
  <si>
    <t>SMLN-2020-617-000106</t>
  </si>
  <si>
    <t>SMLN-2020-617-000107</t>
  </si>
  <si>
    <t>4.2.114.</t>
  </si>
  <si>
    <t>VZ-2020-000271</t>
  </si>
  <si>
    <t>Příslušenství operačního stolu</t>
  </si>
  <si>
    <t>Rozšíření/náhrada SW PDA modulu logistiky léků</t>
  </si>
  <si>
    <t>1.1.-17.3.2022</t>
  </si>
  <si>
    <t>VZ-2020-000273</t>
  </si>
  <si>
    <t>Čekárenské lavice a konferenční židle pro HOK</t>
  </si>
  <si>
    <t>39100000-3</t>
  </si>
  <si>
    <t>SMLN-2020-617-000109</t>
  </si>
  <si>
    <t>VZ-2020-000276</t>
  </si>
  <si>
    <t xml:space="preserve">Prodloužení a nákup licencí v rámci multilicenčních programů Microsoft </t>
  </si>
  <si>
    <t>1.1.-19.3.2022</t>
  </si>
  <si>
    <t>za 2022</t>
  </si>
  <si>
    <t>za 2023</t>
  </si>
  <si>
    <t>autorský dozor</t>
  </si>
  <si>
    <t>zrušeno COVID-19</t>
  </si>
  <si>
    <t>zrušeno - COVID-19</t>
  </si>
  <si>
    <t>24.3.2020 zrušeno</t>
  </si>
  <si>
    <t>SMLN-2020-612-000024
SMLN-2020-612-000025</t>
  </si>
  <si>
    <t>Arthrex s.r.o.</t>
  </si>
  <si>
    <t>zrušeno - špatně podaná nabídka</t>
  </si>
  <si>
    <t>SMLN-2020-612-000026</t>
  </si>
  <si>
    <t>SMLN-2020-612-000027</t>
  </si>
  <si>
    <t>SMLN-2020-617-000117</t>
  </si>
  <si>
    <t>VZ-2020-000283</t>
  </si>
  <si>
    <t>Dodávky dectů 2020</t>
  </si>
  <si>
    <t>SMLN-2020-617-000118</t>
  </si>
  <si>
    <t>27.3.2020 zrušeno</t>
  </si>
  <si>
    <t>26.3.2020 zrušeno</t>
  </si>
  <si>
    <t>SMLN-2020-617-000120
SMLN-2020-614-000004</t>
  </si>
  <si>
    <t>2019 bez plnění</t>
  </si>
  <si>
    <t>30.3.2020 zrušeno</t>
  </si>
  <si>
    <t>Boehringer Ingelheim spol. s r.o.</t>
  </si>
  <si>
    <t>VZ-2020-000294</t>
  </si>
  <si>
    <t>1.1.-30.3.2022</t>
  </si>
  <si>
    <t>Elektroda stimulační/defibrilační/EKG kompatibilní s defibrilátory CORPULS 3</t>
  </si>
  <si>
    <t>Elektroda defibrilační/EKG kompatibilní s defibrilátory LIFEPAK</t>
  </si>
  <si>
    <t>Elektroda defibrilační/EKG kompatibilní s defibrilátory ZOLL</t>
  </si>
  <si>
    <t>Elektroda defibrilační/EKG kompatibilní s defibrilátory Responder 1100</t>
  </si>
  <si>
    <t>VZ-2020-000305</t>
  </si>
  <si>
    <t>VZ-2020-000306</t>
  </si>
  <si>
    <t>Kombinace koagulačních faktorů II. 2020</t>
  </si>
  <si>
    <t>Kombinace koagulačních faktorů I. 2020</t>
  </si>
  <si>
    <t>SMLN-2020-617-000124</t>
  </si>
  <si>
    <t>SMLN-2020-617-000123</t>
  </si>
  <si>
    <t>SMLN-2020-617-000125</t>
  </si>
  <si>
    <t>SMLN-2020-617-000126</t>
  </si>
  <si>
    <t>SMLN-2020-617-000127</t>
  </si>
  <si>
    <t>SMLN-2020-617-000128</t>
  </si>
  <si>
    <t>SMLN-2020-617-000129</t>
  </si>
  <si>
    <t>SMLN-2020-617-000122</t>
  </si>
  <si>
    <t>SMLN-2020-618-000023</t>
  </si>
  <si>
    <t>Potrusil s.r.o.</t>
  </si>
  <si>
    <t>SMLN-2020-617-000130</t>
  </si>
  <si>
    <t>SMLN-2020-617-000131</t>
  </si>
  <si>
    <t>SMLN-2020-617-000132</t>
  </si>
  <si>
    <t>SMLN-2020-617-000133</t>
  </si>
  <si>
    <t>SMLN-2020-617-000134</t>
  </si>
  <si>
    <t>SMLN-2020-617-000135</t>
  </si>
  <si>
    <t>Immunate stim plus</t>
  </si>
  <si>
    <t>Fanhdi</t>
  </si>
  <si>
    <t>Wilate</t>
  </si>
  <si>
    <t>Faktor VII Baxalta</t>
  </si>
  <si>
    <t>Immunine</t>
  </si>
  <si>
    <t>Octanine F</t>
  </si>
  <si>
    <t>Feiba NF</t>
  </si>
  <si>
    <t>Ocplex</t>
  </si>
  <si>
    <t>na 3 roky</t>
  </si>
  <si>
    <t>Rudolf Šaman</t>
  </si>
  <si>
    <t>SMLN-2020-617-000136</t>
  </si>
  <si>
    <t>SMLN-2020-617-000137</t>
  </si>
  <si>
    <t>SMLN-2020-617-000138</t>
  </si>
  <si>
    <t>VZ-2020-000309</t>
  </si>
  <si>
    <t>Léčivé přípravky z ATC L04AC a L01XE 2020</t>
  </si>
  <si>
    <t>Inhibitory tumor nekrotizujícího faktoru 2020</t>
  </si>
  <si>
    <t>VZ-2020-000310</t>
  </si>
  <si>
    <t>Jiná léčiva respiračního systému z ATC R07AX 2020</t>
  </si>
  <si>
    <t>VZ-2020-000312</t>
  </si>
  <si>
    <t>JŘBÚ</t>
  </si>
  <si>
    <t>Rukavice vyšetřovací vinylové nepudrované</t>
  </si>
  <si>
    <t>Iridium spol.s r.o.</t>
  </si>
  <si>
    <t>Tojapa s.r.o.</t>
  </si>
  <si>
    <t>BASILIXIMAB</t>
  </si>
  <si>
    <t xml:space="preserve">ERLOTINIB-HYDROCHLORID </t>
  </si>
  <si>
    <t>DABRAFENIB-MESILÁT</t>
  </si>
  <si>
    <t>LENVATINIB-MESILÁT</t>
  </si>
  <si>
    <t>L04AC02</t>
  </si>
  <si>
    <t>L04AC12</t>
  </si>
  <si>
    <t>L04XE03</t>
  </si>
  <si>
    <t>L04XE23</t>
  </si>
  <si>
    <t>L01XC18</t>
  </si>
  <si>
    <t>L04XE29</t>
  </si>
  <si>
    <t>ENBREL</t>
  </si>
  <si>
    <t xml:space="preserve">CERTOLIZUMAB PEGOL </t>
  </si>
  <si>
    <t xml:space="preserve">GOLIMUMAB </t>
  </si>
  <si>
    <t>INFLIXIMAB pro léčbu dospělých pacientů</t>
  </si>
  <si>
    <t>L04AB01</t>
  </si>
  <si>
    <t>L04AB05</t>
  </si>
  <si>
    <t>L04AB06</t>
  </si>
  <si>
    <t>L04AB02</t>
  </si>
  <si>
    <t xml:space="preserve">IVAKAFTOR A TEZAKAFTOR </t>
  </si>
  <si>
    <t>R07AX31</t>
  </si>
  <si>
    <t xml:space="preserve">IVAKAFTOR </t>
  </si>
  <si>
    <t xml:space="preserve">IVAKAFTOR A LUMAKAFTOR </t>
  </si>
  <si>
    <t>R07AX30</t>
  </si>
  <si>
    <t>8.4.2020 bez plnění</t>
  </si>
  <si>
    <t>SMLN-2020-617-000142</t>
  </si>
  <si>
    <t>SMLN-2020-618-000024</t>
  </si>
  <si>
    <t>SMLN-2020-618-000025</t>
  </si>
  <si>
    <t>9.4. zrušeno</t>
  </si>
  <si>
    <t>VZ-2020-000333</t>
  </si>
  <si>
    <t>Ubytování a služby spojené s realizací odborné akce FN Olomouc – konference Petřivalského Rapantovy dny</t>
  </si>
  <si>
    <t>SMLN-2020-618-000026</t>
  </si>
  <si>
    <t>VZ-2020-000216</t>
  </si>
  <si>
    <t>Jandaservis s.r.o.</t>
  </si>
  <si>
    <t>EFA services, s.r.o.</t>
  </si>
  <si>
    <t>SMLN-2020-618-000027
SMLN-2020-612-000028</t>
  </si>
  <si>
    <t>DEV Company, spol. s .r.o.</t>
  </si>
  <si>
    <t>SMLN-2020-618-000028</t>
  </si>
  <si>
    <t>SMLN-2020-617-000145</t>
  </si>
  <si>
    <t>VZ-2020-000340</t>
  </si>
  <si>
    <t>nová VZ-2020-000340</t>
  </si>
  <si>
    <t>ALINEX - Kácovská, s.r.o.</t>
  </si>
  <si>
    <t>SMLN-2020-617-000149</t>
  </si>
  <si>
    <t>SMLN-2020-617-000147</t>
  </si>
  <si>
    <t>KARETA  spol. s r.o.</t>
  </si>
  <si>
    <t>SMLN-2020-618-000030</t>
  </si>
  <si>
    <t>zrušeno - COVID (Mikušková, Vaida)</t>
  </si>
  <si>
    <t>SMLN-2020-612-000029</t>
  </si>
  <si>
    <t>Dodávkové vozidlo II.</t>
  </si>
  <si>
    <t>17.4.2020 zrušeno</t>
  </si>
  <si>
    <t>1.1.-.16.4.2022</t>
  </si>
  <si>
    <t>SMLN-2020-618-000031</t>
  </si>
  <si>
    <t>VZ-2020-000358</t>
  </si>
  <si>
    <t>Hlavinka</t>
  </si>
  <si>
    <t>HW NextGeneration Firewall v režimu HA</t>
  </si>
  <si>
    <t>3.3.1.</t>
  </si>
  <si>
    <t>servis  ultrazvuku</t>
  </si>
  <si>
    <t>Full servis angio</t>
  </si>
  <si>
    <t>SMLN-2020-617-000153</t>
  </si>
  <si>
    <t>SMLN-2020-617-000154</t>
  </si>
  <si>
    <t>SMLN-2020-617-000155</t>
  </si>
  <si>
    <t>SMLN-2020-617-000152</t>
  </si>
  <si>
    <t>VZ-2020-000356</t>
  </si>
  <si>
    <t>VZ-2020-000357</t>
  </si>
  <si>
    <t>Klinický stimulátor</t>
  </si>
  <si>
    <t>RF generátor</t>
  </si>
  <si>
    <t>VZ-2020-000367</t>
  </si>
  <si>
    <t>Zajištění živých přenosů z odborných pracovišť</t>
  </si>
  <si>
    <t>SMLN-2020-618-000032</t>
  </si>
  <si>
    <t>SMLN-2020-617-000156
SMLN-2020-614-000005</t>
  </si>
  <si>
    <t>VZ-2020-000371</t>
  </si>
  <si>
    <t>2.2.258, 2.3.459</t>
  </si>
  <si>
    <t>1.1.-20.4.2026</t>
  </si>
  <si>
    <t>SMLN-2020-618-000033</t>
  </si>
  <si>
    <t>VZ-2020-000372</t>
  </si>
  <si>
    <t xml:space="preserve">Ústní rozvěrač pro robotickou chirurgii </t>
  </si>
  <si>
    <t>2.2.262.</t>
  </si>
  <si>
    <t>92222000-3</t>
  </si>
  <si>
    <t>VZ-2020-000366</t>
  </si>
  <si>
    <t>SMLN-2020-618-000034</t>
  </si>
  <si>
    <t>SMLN-2020-617-000157</t>
  </si>
  <si>
    <t>SMLN-2020-617-000158</t>
  </si>
  <si>
    <t>1.1.-22.4.2022</t>
  </si>
  <si>
    <t>VZ-2020-000383</t>
  </si>
  <si>
    <t>Update softwaru karyotypovacích stanic</t>
  </si>
  <si>
    <t>VZ-2020-000392</t>
  </si>
  <si>
    <t>Stavební úpravy objektu U - klinika psychiatrie</t>
  </si>
  <si>
    <t>VZ-2020-000393</t>
  </si>
  <si>
    <t>Příslušenství k svislým rampám GeminaDUO</t>
  </si>
  <si>
    <t>1.1.-26.4.2023</t>
  </si>
  <si>
    <t>1.1.-26.4.2022</t>
  </si>
  <si>
    <t>1.1.-.26.4.2022</t>
  </si>
  <si>
    <t>VZ-2020-000400</t>
  </si>
  <si>
    <t xml:space="preserve">Membránové oxygenátory včetně hadicových setů pro vedení mimotělního oběhu </t>
  </si>
  <si>
    <r>
      <t>Oxygenátory pro kombinované srdeční operace</t>
    </r>
    <r>
      <rPr>
        <sz val="12"/>
        <color theme="1"/>
        <rFont val="Times New Roman"/>
        <family val="1"/>
        <charset val="238"/>
      </rPr>
      <t xml:space="preserve"> </t>
    </r>
  </si>
  <si>
    <t xml:space="preserve">33186100-8 </t>
  </si>
  <si>
    <r>
      <t>Minisystém pro mimotělní oběh pro výkony na otevřeném srdci</t>
    </r>
    <r>
      <rPr>
        <sz val="12"/>
        <color rgb="FF973634"/>
        <rFont val="Times New Roman"/>
        <family val="1"/>
        <charset val="238"/>
      </rPr>
      <t xml:space="preserve"> </t>
    </r>
  </si>
  <si>
    <t>VZ-2020-000417</t>
  </si>
  <si>
    <t>Rozšíření zálohovacích kapacit</t>
  </si>
  <si>
    <t>3.2.20, 3.2.37</t>
  </si>
  <si>
    <t>Ultrazvukový přístrojcentrální pro RTG</t>
  </si>
  <si>
    <t>Přenosný ultrazvukový systém por PICC team</t>
  </si>
  <si>
    <t>MEDKONSULT, s.r.o.</t>
  </si>
  <si>
    <t>2.2.245.</t>
  </si>
  <si>
    <t>2.2.246.</t>
  </si>
  <si>
    <t>zrušeno - změna zadávacích podmínek</t>
  </si>
  <si>
    <t>29.4. zrušeno</t>
  </si>
  <si>
    <t>SMLN-2020-617-000164</t>
  </si>
  <si>
    <t>SMLN-2020-617-000165</t>
  </si>
  <si>
    <t>Edwards Lifesciences Czech Republic s.r.o.</t>
  </si>
  <si>
    <t>SMLN-2020-617-000166
SMLN-2020-612-000031</t>
  </si>
  <si>
    <t>SMLN-2020-617-000167
SMLN-2020-612-000032</t>
  </si>
  <si>
    <t>SMLN-2020-617-000168
SMLN-2020-612-000033</t>
  </si>
  <si>
    <t>1.1.-28.4.2024</t>
  </si>
  <si>
    <t>VZ-2020-000428</t>
  </si>
  <si>
    <t>Stabilizátor pro operace MIDCABG</t>
  </si>
  <si>
    <t>VZ-2020-000431</t>
  </si>
  <si>
    <t>Vyvolávací systémy FN Olomouc</t>
  </si>
  <si>
    <t>SoftwareONE Czech Republic s.r.o.</t>
  </si>
  <si>
    <t>1.1.-3.5.2022</t>
  </si>
  <si>
    <t>VZ-2020-000437</t>
  </si>
  <si>
    <t>VZ-2020-000439</t>
  </si>
  <si>
    <t>Servisni podpora SW aplikace WISPI</t>
  </si>
  <si>
    <t>SMLN-2020-617-000171
SMLN-2020-612-000034</t>
  </si>
  <si>
    <t>1.1.-10.3.2026</t>
  </si>
  <si>
    <t>1.1.-27.2.2022</t>
  </si>
  <si>
    <t>6.5. 2020 zrušeno</t>
  </si>
  <si>
    <t>VZ-2020-000448</t>
  </si>
  <si>
    <t>FN Olomouc - obnova kardiologické SPECT kamery pro KNM II.</t>
  </si>
  <si>
    <t>VZ-2020-000449</t>
  </si>
  <si>
    <t>Mycí stoly s dezinfekcí</t>
  </si>
  <si>
    <t>2.2.281,282</t>
  </si>
  <si>
    <t>BRNOCAR a.s.</t>
  </si>
  <si>
    <t>MeMed CZ s.r.o.</t>
  </si>
  <si>
    <t>VZ-2020-000453</t>
  </si>
  <si>
    <t>APIXABAN</t>
  </si>
  <si>
    <t>RIVAROXABAN</t>
  </si>
  <si>
    <t>DABIGATRAN-ETEXILÁT</t>
  </si>
  <si>
    <t>HAEMOCOMPLETTAN P</t>
  </si>
  <si>
    <t>KANAVIT</t>
  </si>
  <si>
    <t>HEMLIBRA</t>
  </si>
  <si>
    <t>NOVOSEVEN</t>
  </si>
  <si>
    <t>REFACTO AF</t>
  </si>
  <si>
    <t>LP z ATC B02B - Jiná hemostatika 2020</t>
  </si>
  <si>
    <t>VZ-2020-000454</t>
  </si>
  <si>
    <t>SMLN-2020-617-000176
SMLN-2020-612-000036</t>
  </si>
  <si>
    <t>SMLN-2020-617-000177
SMLN-2020-612-000037</t>
  </si>
  <si>
    <t>VZ-2020-000462</t>
  </si>
  <si>
    <t>Zákrokové světla</t>
  </si>
  <si>
    <t>VZ-2020-000463</t>
  </si>
  <si>
    <t>Výměna lůžkových ramp - budova D1, 4.NP a 5.NP</t>
  </si>
  <si>
    <t>Bristol-Myers Squibb spol. s r.o.</t>
  </si>
  <si>
    <t>VZ-2020-000464</t>
  </si>
  <si>
    <t>33169300-5</t>
  </si>
  <si>
    <t>SMLN-2020-617-000179</t>
  </si>
  <si>
    <t>Antikoagulancia 2020</t>
  </si>
  <si>
    <t>1.1.-.12.5.2022</t>
  </si>
  <si>
    <t>1.1.-13.5.2024</t>
  </si>
  <si>
    <t>1.1. - 13.5.2022</t>
  </si>
  <si>
    <t>1.1.-13.5.2023</t>
  </si>
  <si>
    <t>1.1.-13.5.2022</t>
  </si>
  <si>
    <t>33141240-4</t>
  </si>
  <si>
    <t>SMLN-2020-617-000181</t>
  </si>
  <si>
    <t>SMLN-2020-617-000182</t>
  </si>
  <si>
    <t>SMLN-2020-617-000183</t>
  </si>
  <si>
    <t>SMLN-2020-617-000184</t>
  </si>
  <si>
    <t>GPS Praha, spol. s r.o.</t>
  </si>
  <si>
    <t>VZ-2020-000476</t>
  </si>
  <si>
    <t>Léčiva s obsahem idelalisibu II. 2020 - sdružený nákup</t>
  </si>
  <si>
    <t>VZ-2020-000477</t>
  </si>
  <si>
    <t>Léčiva s obsahem karfilzomibu 2020 - sdružený nákup</t>
  </si>
  <si>
    <t>VZ-2020-000478</t>
  </si>
  <si>
    <t>FN Olomouc - Kardiostimulátory</t>
  </si>
  <si>
    <t xml:space="preserve">33182210-4 </t>
  </si>
  <si>
    <t>Systém bezelektrodového kardiostimulátoru zaváděného katetrizační technikou</t>
  </si>
  <si>
    <t>Kardiostimulátory s duálním senzorem, hemodynamickým monitorováním kontraktility pomocí transvalvulární impedance (TVI) a možností vzdálené kontroly včetně komunikačního prostředku</t>
  </si>
  <si>
    <t>Kardiostimulátory pro pacienty po extrakci pro závažné infekční komplikace výkonu a pro pacienty s vysokým potencionálním rizikem vzniku infekčních komplikací</t>
  </si>
  <si>
    <t>Kardiostimulátory s možností včasného upozornění hrozícího srdečního selhání</t>
  </si>
  <si>
    <t>Kardiostimulátory s možností vzdálené kontroly a monitorace pacienta včetně jednotky pro vzdálenou monitoraci</t>
  </si>
  <si>
    <t>SynMedical s.r.o.</t>
  </si>
  <si>
    <t>VZ-2020-000479</t>
  </si>
  <si>
    <t>Poskytování služby automatického rozesílání SMS</t>
  </si>
  <si>
    <t>64212100-6</t>
  </si>
  <si>
    <t>VZ-2020-000490</t>
  </si>
  <si>
    <t>Systém filtrační pro odstranění leukocytů II</t>
  </si>
  <si>
    <t>VZ-2020-000492</t>
  </si>
  <si>
    <t>Servis, oprava a údržba sanitních, dodávkových a osobních vozidel FNOL 2020</t>
  </si>
  <si>
    <t>50110000-9, 34300000</t>
  </si>
  <si>
    <t xml:space="preserve">Servis sanitních vozidel </t>
  </si>
  <si>
    <t xml:space="preserve">Servis osobních vozidel </t>
  </si>
  <si>
    <t>zrušeno - vypsat bez servisu</t>
  </si>
  <si>
    <t>VZ-2020-000495</t>
  </si>
  <si>
    <t>Příslušenství k svislým rampám GeminaDUO II</t>
  </si>
  <si>
    <t>VZ-2020-000496</t>
  </si>
  <si>
    <t>FN Olomouc - Implantabilní kardiovertery-defibrilátory</t>
  </si>
  <si>
    <t>ICD s komplexní monitorací</t>
  </si>
  <si>
    <t>ICD s možností zvýšené ochrany a programovatelných parametrů výboje</t>
  </si>
  <si>
    <t>ICD pro komplexní mnagement pacientů s vysokým rizikem infekčních komplikací</t>
  </si>
  <si>
    <t>Standardní ICD terapie</t>
  </si>
  <si>
    <t>VZ-2020-000499</t>
  </si>
  <si>
    <t>Koagulace I. 2020</t>
  </si>
  <si>
    <t>33694000-1; 38434000</t>
  </si>
  <si>
    <t>Plně automatizovaná koagulace</t>
  </si>
  <si>
    <t>Plně automatizovaná imunoanalýza</t>
  </si>
  <si>
    <t>SMLN-2020-617-000194
SMLN-2020-612-000038</t>
  </si>
  <si>
    <t>SMLN-2020-617-000193</t>
  </si>
  <si>
    <t>Bodinkova</t>
  </si>
  <si>
    <t>1.1.-19.5.2022</t>
  </si>
  <si>
    <t>SMLN-2020-617-000197
SMLN-2020-616-000023</t>
  </si>
  <si>
    <t>SMLN-2020-617-000198
SMLN-2020-612-000039</t>
  </si>
  <si>
    <t>21.5. zrušeno</t>
  </si>
  <si>
    <t>22.5.2020 zrušeno</t>
  </si>
  <si>
    <t>Izolace humánní DNA ze vzorků plné krve</t>
  </si>
  <si>
    <t>Izolace DNA/RNA z peletů leukocytů a izolace cf DNA ze vzorků plazmy</t>
  </si>
  <si>
    <t>VZ-2020-000394</t>
  </si>
  <si>
    <t>Zapojení lokální EPS budovy „U“ (PSY) do systému EsserNet</t>
  </si>
  <si>
    <t>51700000-9</t>
  </si>
  <si>
    <t>VZ-2020-000529</t>
  </si>
  <si>
    <t>Oprava střešního pláště na budově garáže QZI1 a QZH1</t>
  </si>
  <si>
    <t>VZ-2020-000530</t>
  </si>
  <si>
    <t>33111610-0</t>
  </si>
  <si>
    <t>1.1.-24.5.2022</t>
  </si>
  <si>
    <t>FOMA Medical, spol.s r.o.</t>
  </si>
  <si>
    <t>3T Magnetická rezonance</t>
  </si>
  <si>
    <t>VZ-2020-000534</t>
  </si>
  <si>
    <t>Materiál spotřební k systému na stanovení ACT</t>
  </si>
  <si>
    <t>SMLN-2020-617-000205</t>
  </si>
  <si>
    <t>27.5.2020 zrušeno</t>
  </si>
  <si>
    <t>VZ-2020-000540</t>
  </si>
  <si>
    <t>FN Olomouc - Koronární stenty</t>
  </si>
  <si>
    <t>33184500-8</t>
  </si>
  <si>
    <t>Koronární stenty lékové 1 (Drug Eluting Stents - DES)</t>
  </si>
  <si>
    <t>Koronární stenty lékové 2 (Drug Eluting Stents - DES)</t>
  </si>
  <si>
    <t>Koronární stenty lékové 3 (Drug Eluting Stents - DES)</t>
  </si>
  <si>
    <t>Koronární stenty lékové 4 (Drug Eluting Stents - DES)</t>
  </si>
  <si>
    <t>Koronární stenty lékové 5 (Drug Eluting Stents - DES)</t>
  </si>
  <si>
    <t>Koronární stenty metalické (Bare Metal Stents - BMS)</t>
  </si>
  <si>
    <t>SMLN-2020-617-000206</t>
  </si>
  <si>
    <t>SMLN-2020-617-000207</t>
  </si>
  <si>
    <t>SMLN-2020-617-000208</t>
  </si>
  <si>
    <t>SMLN-2020-617-000209</t>
  </si>
  <si>
    <t>SMLN-2020-617-000210</t>
  </si>
  <si>
    <t>SMLN-2020-617-000212
SMLN-2020-612-000040</t>
  </si>
  <si>
    <t>SMLN-2020-617-000216
SMLN-2020-616-000027</t>
  </si>
  <si>
    <t>PNEUCENTRUM N&amp;N s.r.o.</t>
  </si>
  <si>
    <t>dalším z aspektů je, že se na trhu objevila nová technologie, kterou si otestujeme a následně vypíšeme zadávací řízení znovu (testování je naplánováno na 6-7/2020</t>
  </si>
  <si>
    <t>VZ-2020-000569</t>
  </si>
  <si>
    <t>Jiná cytostatika II. 2020</t>
  </si>
  <si>
    <t xml:space="preserve">PEGASPARGASA </t>
  </si>
  <si>
    <t>ELOTUZUMAB</t>
  </si>
  <si>
    <t>VZ-2020-000570</t>
  </si>
  <si>
    <t>Faktor VIII 2020 I.</t>
  </si>
  <si>
    <t>Rekombinantní přípravky na prevenci a léčbu krvácení u hemofilie A, dále u nemocných hemofilií A s inhibitorem proti FVIII (titr do 5 BU) 3. a vyšší generace</t>
  </si>
  <si>
    <t>Hemofilie A-Koagulační faktor VIII - rekombinantní s delším biologickým poločasem- pro pacienty starší 12 let</t>
  </si>
  <si>
    <t>Hemofilie A-Koagulační faktor VIII - rekombinantní s delším biologickým poločasem- pro pacienty mladší 12 let</t>
  </si>
  <si>
    <t>VZ-2020-000571</t>
  </si>
  <si>
    <t>Faktor VIII 2020 II.</t>
  </si>
  <si>
    <t>Octanate</t>
  </si>
  <si>
    <t>Advate</t>
  </si>
  <si>
    <t xml:space="preserve">Nuwiq </t>
  </si>
  <si>
    <t xml:space="preserve">ELOCTA </t>
  </si>
  <si>
    <t xml:space="preserve">Novoeight </t>
  </si>
  <si>
    <t>Adynovi</t>
  </si>
  <si>
    <t>1.1.-30.5.2022</t>
  </si>
  <si>
    <t>SMLN-2020-617-000220</t>
  </si>
  <si>
    <t>VZ-2020-000573</t>
  </si>
  <si>
    <t xml:space="preserve">Výměna rozvodů topení v M2 </t>
  </si>
  <si>
    <t>VZ-2020-000574</t>
  </si>
  <si>
    <t>Materiál spotřební(čidla saturační SpO2) k pulzním oxymetrům Masimo</t>
  </si>
  <si>
    <t>nová VZ-2020-000490</t>
  </si>
  <si>
    <t>Takeda Pharmaceuticals CR s.r.o.</t>
  </si>
  <si>
    <t>Grifols s.r.o.</t>
  </si>
  <si>
    <t>VZ-2020-000578</t>
  </si>
  <si>
    <t>Dodávka analogových telefonních licencí</t>
  </si>
  <si>
    <t>32524000-2</t>
  </si>
  <si>
    <t>SMLN-2020-617-000224
SMLN-2020-612-000041</t>
  </si>
  <si>
    <t>zrušeno - nutno vypracovat statický posudek</t>
  </si>
  <si>
    <t>VZ-2020-000583</t>
  </si>
  <si>
    <t>Polohovatelná křesla</t>
  </si>
  <si>
    <t>Polohovatelná křesla pro odběry</t>
  </si>
  <si>
    <t>Elektricky polohovatelná křesla pro stacionář HOK</t>
  </si>
  <si>
    <t>2.2.250</t>
  </si>
  <si>
    <t>2.2.144, 2.2.251</t>
  </si>
  <si>
    <t>SMLN-2020-617-000230
SMLN-2020-612-000042
SMLN-2020-617-000232
SMLN-2020-612-000043</t>
  </si>
  <si>
    <t>1.1.-7.6.2022</t>
  </si>
  <si>
    <t>VZ-2020-000597</t>
  </si>
  <si>
    <t xml:space="preserve">Servisní podpora SW MetaSystems s připuštěním náhrady </t>
  </si>
  <si>
    <t>VZ-2020-000598</t>
  </si>
  <si>
    <t>Materiál spotřební k systému na stanovení ACT + výpůjčka krevního analyzátoru</t>
  </si>
  <si>
    <t>VZ-2020-000599</t>
  </si>
  <si>
    <t>Shromažďovací místa pro odpadkové kontejnery</t>
  </si>
  <si>
    <t>VZ-2020-000604</t>
  </si>
  <si>
    <t>Argonové generátory</t>
  </si>
  <si>
    <t>2.2.234, 2.3.370</t>
  </si>
  <si>
    <t>SMLN-2020-618-000044</t>
  </si>
  <si>
    <t>SMLN-2020-617-000235</t>
  </si>
  <si>
    <t>SMLN-2020-617-000234</t>
  </si>
  <si>
    <t>Intervenční radiologie - 14. Stengrafty aortální</t>
  </si>
  <si>
    <t>VZ-2020-000612</t>
  </si>
  <si>
    <t>14.5. Stengrafty aortální hrudní - proximální část</t>
  </si>
  <si>
    <t>14.8. Stengrafty aortální bifurkační břišní I.</t>
  </si>
  <si>
    <t>14.10. Stengrafty aortální bifurkační břišní II.</t>
  </si>
  <si>
    <t>14.9. Stengrafty tubulární do kompletu k tělu bifurkačního břišního aortálního stengraftu, extenzivní pro pravou a levou nožičku</t>
  </si>
  <si>
    <t>14.15. Stengrafty vaskulární aortální thorako-abdominální pro endovaskulární reparaci thorako-abdominálního aneuryzmatu</t>
  </si>
  <si>
    <t>VZ-2020-000614</t>
  </si>
  <si>
    <t>Rekonstrukce TS5</t>
  </si>
  <si>
    <t>VZ-2020-000532</t>
  </si>
  <si>
    <t>VZ-2020-000616</t>
  </si>
  <si>
    <t>Srdeční aortální chlopně mechanické s kavitálním pivotem</t>
  </si>
  <si>
    <t>Srdeční aortální chlopně biologické perikardiální do větších anulů</t>
  </si>
  <si>
    <t>Srdeční aortální chlopně biologické perikardiální do větších anulů s dlouhodobou životností</t>
  </si>
  <si>
    <t>Anuloplastické prstence Semirigidní mitrální velikosti 24 – 40 mm</t>
  </si>
  <si>
    <t xml:space="preserve">Anuloplastické prstence semirigidní trikuspidální velikosti 26-36 mm </t>
  </si>
  <si>
    <t>Srdeční aortální chlopně biologické perikardiální pro mladší pacienty, přizpůsobené pro budoucí „valve-in-valve“ implantaci</t>
  </si>
  <si>
    <t>FN Olomouc - Srdeční chlopně a anuloplastické prstence</t>
  </si>
  <si>
    <t>ELI LILLY ČR, s.r.o.</t>
  </si>
  <si>
    <t>SMLN-2020-617-000238</t>
  </si>
  <si>
    <t>zrušeno - upravit specifikaci a vypsat znovu</t>
  </si>
  <si>
    <t>VZ-2020-000623</t>
  </si>
  <si>
    <t>Materiál spotřební k systému na stanovení ACT II.</t>
  </si>
  <si>
    <t>VZ-2020-000624</t>
  </si>
  <si>
    <t>KRIZ</t>
  </si>
  <si>
    <t>Kohoutová</t>
  </si>
  <si>
    <t>Analýza hrozeb a školící činnost v oblasti bezpečnosti FNOL</t>
  </si>
  <si>
    <t>80610000-3</t>
  </si>
  <si>
    <t>Analýza hrozeb a školící činnost v oblasti bezpečnosti FNOL - KZL</t>
  </si>
  <si>
    <t>Dotační Program na zvýšení ochrany měkkých cílů v resortu zdravotnictví v roce 2020</t>
  </si>
  <si>
    <t>Vertex Pharmaceuticals (Ireland) Limited</t>
  </si>
  <si>
    <t>Movianto Česká republika s.r.o.</t>
  </si>
  <si>
    <t>SMLN-2020-617-000241
SMLN-2020-612-000044</t>
  </si>
  <si>
    <t>SMLN-2020-617-000242</t>
  </si>
  <si>
    <t>SMLN-2020-617-000243</t>
  </si>
  <si>
    <t>SMLN-2020-617-000244</t>
  </si>
  <si>
    <t>SMLN-2020-617-000245</t>
  </si>
  <si>
    <t>SMLN-2020-617-000246</t>
  </si>
  <si>
    <t>SMLN-2020-617-000247</t>
  </si>
  <si>
    <t>SMLN-2020-617-000248</t>
  </si>
  <si>
    <t>SMLN-2020-617-000249</t>
  </si>
  <si>
    <t>SMLN-2020-617-000250</t>
  </si>
  <si>
    <t>SMLN-2020-617-000251</t>
  </si>
  <si>
    <t>SMLN-2020-617-000252</t>
  </si>
  <si>
    <t>SMLN-2020-617-000253</t>
  </si>
  <si>
    <t>zrušeno - úprava zadávací dokumentace</t>
  </si>
  <si>
    <t>2.3.498.</t>
  </si>
  <si>
    <t>VZ-2020-000633</t>
  </si>
  <si>
    <t>Multivitamínové šumivé tablety 2020</t>
  </si>
  <si>
    <t>VZ-2020-000636</t>
  </si>
  <si>
    <t>VZ-2020-000634</t>
  </si>
  <si>
    <t>Periferně působící myorelaxancia 2020</t>
  </si>
  <si>
    <t>BOTOX</t>
  </si>
  <si>
    <t>DYSPORT</t>
  </si>
  <si>
    <t>XEOMIN</t>
  </si>
  <si>
    <t>VZ-2020-000635</t>
  </si>
  <si>
    <t>Hypotalamické hormony 2020</t>
  </si>
  <si>
    <t>OKTREOTID</t>
  </si>
  <si>
    <t>OKTREOTID-ACETÁT</t>
  </si>
  <si>
    <t>LANREOTID-ACETÁT</t>
  </si>
  <si>
    <t>Vinka alkaloidy a analoga 2020</t>
  </si>
  <si>
    <t>VINBLASTIN-SULFÁT</t>
  </si>
  <si>
    <t>VINORELBINE GLENMARK</t>
  </si>
  <si>
    <t>VINORELBIN-DITARTARÁT</t>
  </si>
  <si>
    <t>VINFLUNIN-DITARTARÁT</t>
  </si>
  <si>
    <t>2.3.497.</t>
  </si>
  <si>
    <t>VZ-2020-000638</t>
  </si>
  <si>
    <t>VZ-2020-000639</t>
  </si>
  <si>
    <t>SMLN-2020-617-000254</t>
  </si>
  <si>
    <t>SMLN-2020-617-000255</t>
  </si>
  <si>
    <t>SMLN-2020-617-000256</t>
  </si>
  <si>
    <t>SMLN-2020-617-000257</t>
  </si>
  <si>
    <t>SMLN-2020-617-000258</t>
  </si>
  <si>
    <t>SMLN-2020-617-000259</t>
  </si>
  <si>
    <t>SMLN-2020-617-000260</t>
  </si>
  <si>
    <t>SMLN-2020-617-000261</t>
  </si>
  <si>
    <t>VZ-2020-000630</t>
  </si>
  <si>
    <t>Systém pro elektrofyziologické vyšetření intrakardiálních potenciálů</t>
  </si>
  <si>
    <t>16.6. zrušeno</t>
  </si>
  <si>
    <t>Intervenční radiologie - 2. 6. Vodící dráty k vaskulárním neurointervencím</t>
  </si>
  <si>
    <t>Intervenční radiologie - 5. Mikrokatétry neurointervenční</t>
  </si>
  <si>
    <t>VZ-2020-000648</t>
  </si>
  <si>
    <t>Imunoglobuliny normální lidské 2020</t>
  </si>
  <si>
    <t>CUVITRU</t>
  </si>
  <si>
    <t>GAMMANORM</t>
  </si>
  <si>
    <t>HIZENTRA</t>
  </si>
  <si>
    <t>HYQVIA</t>
  </si>
  <si>
    <t>zrušeno  - úprava zadávacích podmínek</t>
  </si>
  <si>
    <t>VZ-2020-000654</t>
  </si>
  <si>
    <t>Tlakový holter</t>
  </si>
  <si>
    <t>2.2.244.</t>
  </si>
  <si>
    <t>sanofi - aventis, s.r.o.</t>
  </si>
  <si>
    <t>SMLN-2020-617-000263
SMLN-2020-614-000009</t>
  </si>
  <si>
    <t>VZ-2020-000657</t>
  </si>
  <si>
    <t>Vyšetření protilátek proti viru SARS-CoV-2</t>
  </si>
  <si>
    <t xml:space="preserve">71900000-7 </t>
  </si>
  <si>
    <t>VZ-2020-000658</t>
  </si>
  <si>
    <t>NIT</t>
  </si>
  <si>
    <t>Servisni podpora SW aplikace WISPI s možností náhrady SW II</t>
  </si>
  <si>
    <t>VZ-2020-000659</t>
  </si>
  <si>
    <t>Stomatologická souprava a 6 sad kompresorů</t>
  </si>
  <si>
    <t>Kompresory</t>
  </si>
  <si>
    <t>2.3.496.</t>
  </si>
  <si>
    <t>SMLN-2020-617-000266</t>
  </si>
  <si>
    <t>VZ-2020-000664</t>
  </si>
  <si>
    <t>Materiál spotřební pro peritoneální dialýzu</t>
  </si>
  <si>
    <t>VZ-2020-000665</t>
  </si>
  <si>
    <t>Stabilizační systém pro operaci srdce bez mimotělního oběhu</t>
  </si>
  <si>
    <t>VZ-2020-000667</t>
  </si>
  <si>
    <t>Systém mikromotorů pro orální chirurgii</t>
  </si>
  <si>
    <t>Stavební úpravy Radiologické kliniky</t>
  </si>
  <si>
    <t>VZ-2020-000669</t>
  </si>
  <si>
    <t>1.3.22.</t>
  </si>
  <si>
    <t>VZ-2020-000673</t>
  </si>
  <si>
    <t>33155000-1</t>
  </si>
  <si>
    <t>Kadlec-elektronika s.r.o.</t>
  </si>
  <si>
    <t>VZ-2020-000676</t>
  </si>
  <si>
    <t>ECMO</t>
  </si>
  <si>
    <t>33186000-7</t>
  </si>
  <si>
    <t>2.3.491.</t>
  </si>
  <si>
    <t>VZ-2020-000687</t>
  </si>
  <si>
    <t>Servisní podpora SW MetaSystems s připuštěním náhrady II</t>
  </si>
  <si>
    <t>SMLN-2020-618-000048</t>
  </si>
  <si>
    <t>SMLN-2020-618-000047</t>
  </si>
  <si>
    <t>SMLN-2020-617-000268</t>
  </si>
  <si>
    <t>26.6.2020 zrušeno</t>
  </si>
  <si>
    <t>zrušeno - COVID</t>
  </si>
  <si>
    <t>1.1.-28.6.2023</t>
  </si>
  <si>
    <t>SMLN-2020-617-000269</t>
  </si>
  <si>
    <t>CARDION  s.r.o.</t>
  </si>
  <si>
    <t>VZ-2020-000696</t>
  </si>
  <si>
    <t>Mikroskop s manipulátory</t>
  </si>
  <si>
    <t>2.3.431.</t>
  </si>
  <si>
    <t>VZ-2020-000697</t>
  </si>
  <si>
    <t>Spotřební materiál pro elektroanatomický 3D mapovací systém</t>
  </si>
  <si>
    <t>30.6.2020 zrušeno</t>
  </si>
  <si>
    <t>30.6. vyloučení</t>
  </si>
  <si>
    <t>zrušeno - 1nabídky překoročila cenu</t>
  </si>
  <si>
    <t>Bach systems s.r.o.</t>
  </si>
  <si>
    <t>VZ-2020-000699</t>
  </si>
  <si>
    <t xml:space="preserve">Záznamník EKG implantabilní BioMonitor III  </t>
  </si>
  <si>
    <t>33140000–3</t>
  </si>
  <si>
    <t>VZ-2020-000706</t>
  </si>
  <si>
    <t>Enterální výživa I. 2020</t>
  </si>
  <si>
    <t>VZ-2020-000707</t>
  </si>
  <si>
    <t>Enterální výživa II. 2020</t>
  </si>
  <si>
    <t>15880000-0</t>
  </si>
  <si>
    <t>Nutridrink</t>
  </si>
  <si>
    <t>Diasip</t>
  </si>
  <si>
    <t>10.7.2020 zrušeno</t>
  </si>
  <si>
    <t>3.7.2020 zrušeno</t>
  </si>
  <si>
    <t>dne 24.6.2020 výpověď smlouvy</t>
  </si>
  <si>
    <t>1.1.-30.6.2022</t>
  </si>
  <si>
    <t>VZ-2020-000702</t>
  </si>
  <si>
    <t>Průběžné svářečky sterilizačních obalů</t>
  </si>
  <si>
    <t>2.3.391,466,504...</t>
  </si>
  <si>
    <t>VZ-2020-000703</t>
  </si>
  <si>
    <t>Analyzátor na kontrolu kvality nukleových kyselin</t>
  </si>
  <si>
    <t>2.2.284</t>
  </si>
  <si>
    <t>VZ-2020-000704</t>
  </si>
  <si>
    <t>pH-metr s impedancí</t>
  </si>
  <si>
    <t>2.3.443, 2.3.501</t>
  </si>
  <si>
    <t>VZ-2020-000705</t>
  </si>
  <si>
    <t>Servis a opravy automatizovaných dveří ve FN Olomouc</t>
  </si>
  <si>
    <t>VZ-2020-000720</t>
  </si>
  <si>
    <t>Poskytnutí služeb k zařízení Barracuda Networks</t>
  </si>
  <si>
    <t>VZ-2020-000721</t>
  </si>
  <si>
    <t>Set CT a MR kompatibilních aplikátorů pro gynekologickou vaginální brachyterapii</t>
  </si>
  <si>
    <t>2.3.487</t>
  </si>
  <si>
    <t xml:space="preserve">33151400-7 </t>
  </si>
  <si>
    <t>VZ-2020-000683</t>
  </si>
  <si>
    <t>SMLN-2020-617-000274
SMLN-2020-612-000049
SMLN-2020-617-000275</t>
  </si>
  <si>
    <t>1.1.-6.7.2022</t>
  </si>
  <si>
    <t>SMLN-2020-612-000046</t>
  </si>
  <si>
    <t>SMLN-2020-618-000049</t>
  </si>
  <si>
    <t>SMLN-2020-617-000276</t>
  </si>
  <si>
    <t>SMLN-2020-617-000277</t>
  </si>
  <si>
    <t>SMLN-2020-617-000278</t>
  </si>
  <si>
    <t>SMLN-2020-617-000279</t>
  </si>
  <si>
    <t>CSL Behring s.r.o.</t>
  </si>
  <si>
    <t xml:space="preserve"> </t>
  </si>
  <si>
    <t>VZ-2020-000736</t>
  </si>
  <si>
    <t>Klinický stimulátor II.</t>
  </si>
  <si>
    <t>nová VZ-2020-000736</t>
  </si>
  <si>
    <t>SMLN-2020-618-000050</t>
  </si>
  <si>
    <t>Johnson  &amp; Johnson s.r.o.</t>
  </si>
  <si>
    <t>VZ-2020-000740</t>
  </si>
  <si>
    <t>Přístroj pro plnění mikrodestiček</t>
  </si>
  <si>
    <t>33127000-6</t>
  </si>
  <si>
    <t>2.2.280</t>
  </si>
  <si>
    <t>Servis dodávkových vozidel (vozidla koncernu VW)</t>
  </si>
  <si>
    <t>Servis dodávkových vozidel (mimo vozidla koncernu VW)</t>
  </si>
  <si>
    <t>VZ-2020-000742</t>
  </si>
  <si>
    <t>Mikrofluidní systém</t>
  </si>
  <si>
    <t>Navláčil stavební firma s.r.o.</t>
  </si>
  <si>
    <t>VZ-2020-000744</t>
  </si>
  <si>
    <t>Rigidní dlaha pro stabilizaci dolní krční páteře předním přístupem bikortikálně</t>
  </si>
  <si>
    <t>Rigidní dlaha pro stabilizaci dolní krční páteře předním přístupem monokortikálně</t>
  </si>
  <si>
    <t xml:space="preserve">Fúzní náhrada krční meziobratlové ploténky </t>
  </si>
  <si>
    <t>Fúzní systém pro zadní stabilizaci krční páteře a okcipito-cervikální fixaci</t>
  </si>
  <si>
    <t>Fúzní náhrada bederní meziobratlové ploténky z předního přístupu (ALIF)</t>
  </si>
  <si>
    <t>Fúzní náhrada bederní meziobratlové ploténky expandibilní z bočního přístupu (LLIF, XLIF)</t>
  </si>
  <si>
    <t>Fúzní náhrada bederní meziobratlové ploténky expandibilní ze zadního přístupu páteřním kanálem (PLIF)</t>
  </si>
  <si>
    <t>Fúzní systém pro transpedikulární stabilizaci bederní páteře u degenerativních onemocnění s možností repozice olistézy (translačního posunu)</t>
  </si>
  <si>
    <t>Fúzní systém pro transpedikulární stabilizaci hrudní a bederní páteře u traumat</t>
  </si>
  <si>
    <t>Fúzní systém pro transpedikulární stabilizaci hrudní a bederní páteře u osteoporotické páteře s možností aplikace cementu šroubem</t>
  </si>
  <si>
    <t>Fúzní náhrada krčního, hrudního a bederního obratlového těla s možností mechanické expanze</t>
  </si>
  <si>
    <t>Vertebroplastická sada k perkutánní vertebroplastice hrudního a bederního obratle cementem</t>
  </si>
  <si>
    <t>Fúzní systém pro stabilizaci sakro-iliakálního (SI) skloubení</t>
  </si>
  <si>
    <t>Enterální výživa I.</t>
  </si>
  <si>
    <t>Carl Zeiss, spol. s r.o.</t>
  </si>
  <si>
    <t>Alogo, s.r.o.</t>
  </si>
  <si>
    <t>SMLN-2020-617-000282
SMLN-2020-614-000011</t>
  </si>
  <si>
    <t>SMLN-2020-617-000283
SMLN-2020-614-000012</t>
  </si>
  <si>
    <t>DATA-INTER spol. s r.o.</t>
  </si>
  <si>
    <t>VZ-2020-000746</t>
  </si>
  <si>
    <t xml:space="preserve">Endoskopická vláknová Ramanova sonda </t>
  </si>
  <si>
    <t>38433210-4</t>
  </si>
  <si>
    <t>2.2.86.</t>
  </si>
  <si>
    <t>2.2.290.</t>
  </si>
  <si>
    <t>SMLN-2020-612-000051</t>
  </si>
  <si>
    <t>SMLN-2020-617-000285
SMLN-2020-612-000052</t>
  </si>
  <si>
    <t>DOVERVILLE s.r.o.</t>
  </si>
  <si>
    <t>Centrum akademických a vzdělávacích služeb a.s.</t>
  </si>
  <si>
    <t>SMLN-2020-612-000053</t>
  </si>
  <si>
    <t>SMLN-2020-612-000054</t>
  </si>
  <si>
    <t>SMLN-2020-612-000055</t>
  </si>
  <si>
    <t>1.1.-16.7.2022</t>
  </si>
  <si>
    <t>SMLN-2020-618-000051</t>
  </si>
  <si>
    <t>SMLN-2020-617-000287
SMLN-2020-612-000056</t>
  </si>
  <si>
    <t>1.1.-19.7.2023</t>
  </si>
  <si>
    <t>1.1.-5.8.2023</t>
  </si>
  <si>
    <t>účinnost smlouvy od 6.8.2020</t>
  </si>
  <si>
    <t>VZ-2020-000761</t>
  </si>
  <si>
    <t>Vyhodnocovací konzole</t>
  </si>
  <si>
    <t>2.3.494</t>
  </si>
  <si>
    <t>ESOX, spol. s r.o.</t>
  </si>
  <si>
    <t>1.1.-20.7.2023</t>
  </si>
  <si>
    <t>1.1.-20.7.2022</t>
  </si>
  <si>
    <t>EUROMEDICAL spol. s r.o.</t>
  </si>
  <si>
    <t>22.7. zrušení na podpis</t>
  </si>
  <si>
    <t>VZ-2020-000763</t>
  </si>
  <si>
    <t xml:space="preserve">Výroba a montáž nábytku </t>
  </si>
  <si>
    <t>VZ-2020-000766</t>
  </si>
  <si>
    <t xml:space="preserve">Sety k separátoru krevních elementů Spectra Optia II </t>
  </si>
  <si>
    <t>nová VZ-2020-000766</t>
  </si>
  <si>
    <t>SMLN-2020-617-000290
SMLN-2020-612-000061</t>
  </si>
  <si>
    <t>SMLN-2020-618-000053</t>
  </si>
  <si>
    <t>SMLN-2020-617-000291
SMLN-2020-612-000062</t>
  </si>
  <si>
    <t>SMLN-2020-617-000292
SMLN-2020-612-000063</t>
  </si>
  <si>
    <t>INLAB Medical s.r.o.</t>
  </si>
  <si>
    <t>1.1.-22.7.2028</t>
  </si>
  <si>
    <t>VZ-2020-000774</t>
  </si>
  <si>
    <t>Servisní podpora SW-Medicínská databáze pro porodnicko-gynekologickou péči-s připuštěním náhrady</t>
  </si>
  <si>
    <t>1.1.-23.7.2022</t>
  </si>
  <si>
    <t>1.1.-23.7.2023</t>
  </si>
  <si>
    <t>SMLN-2020-617-000296
SMLN-2020-612-000064</t>
  </si>
  <si>
    <t>VZ-2020-000777</t>
  </si>
  <si>
    <t>Sanace průsaků vody v kolektoru</t>
  </si>
  <si>
    <t>SUBITO CZ spol.s  r.o.</t>
  </si>
  <si>
    <t>SMLN-2020-617-000297
SMLN-2020-612-000065</t>
  </si>
  <si>
    <t>VZ-2020-000778</t>
  </si>
  <si>
    <t>Dodávka notebooků 2020</t>
  </si>
  <si>
    <t>VZ-2020-000779</t>
  </si>
  <si>
    <t>Stavební úpravy pro přesun RTG přístroje</t>
  </si>
  <si>
    <t>VZ-2020-000780</t>
  </si>
  <si>
    <t>Videoduodenoskop</t>
  </si>
  <si>
    <t>2.2.256</t>
  </si>
  <si>
    <t>nová VZ-2020-000604</t>
  </si>
  <si>
    <t>3.2.50.</t>
  </si>
  <si>
    <t>zrušeno - 1 nabídka nesplnila zadání</t>
  </si>
  <si>
    <t>VZ-2020-000788</t>
  </si>
  <si>
    <t>Dezinfekční přípravky na velké plochy, povrchy a předměty</t>
  </si>
  <si>
    <t>24455000-8</t>
  </si>
  <si>
    <t>VZ-2020-000790</t>
  </si>
  <si>
    <t>Dezinfekční přípravky k přímému použití pro rychlou dezinfekci</t>
  </si>
  <si>
    <t>Dezinfekční ubrousky na citlivé povrchy (obrazovky, displeje, inkubátory, ultrazvukové sondy, apod.) bez obsahu nebo s nízkým obsahem alkoholu</t>
  </si>
  <si>
    <t>Dezinfekční přípravky s rozprašovačem pro aplikaci postřikem na bázi alkoholu bez obsahu aldehydů a jiných účinných látek zatěžujících prostředí</t>
  </si>
  <si>
    <t>Dezinfekční přípravky bez obsahu alkoholu pro aplikaci ve formě pěny  na citlivé materiály</t>
  </si>
  <si>
    <t>VZ-2020-000789</t>
  </si>
  <si>
    <t>Dezinfekce a mytí rukou</t>
  </si>
  <si>
    <t xml:space="preserve">PROMANUM PURE </t>
  </si>
  <si>
    <t>STERILLIUM</t>
  </si>
  <si>
    <t>SOFTA-MAN VISCORUB</t>
  </si>
  <si>
    <t xml:space="preserve">BAKTOLIN PURE </t>
  </si>
  <si>
    <t>LIFOSAN SOFT</t>
  </si>
  <si>
    <t>SOFTASKIN</t>
  </si>
  <si>
    <t>SMLN-2020-617-000298
SMLN-2020-614-000013
SMLN-2020-616-000034</t>
  </si>
  <si>
    <t>SMLN-2020-617-000299
SMLN-2020-614-000014
SMLN-2020-616-000035</t>
  </si>
  <si>
    <t>SMLN-2020-617-000300
SMLN-2020-614-000015
SMLN-2020-616-000036</t>
  </si>
  <si>
    <t>SMLN-2020-617-000301
SMLN-2020-614-000016
SMLN-2020-616-000037</t>
  </si>
  <si>
    <t>SMLN-2020-617-000302
SMLN-2020-612-000066</t>
  </si>
  <si>
    <t>SMLN-2020-617-000303
SMLN-2020-612-000067</t>
  </si>
  <si>
    <t>1.1.-27.7.2023</t>
  </si>
  <si>
    <t>1.1.-27.7.2022</t>
  </si>
  <si>
    <t>Nikon CEE GmbH, odštěpný závod</t>
  </si>
  <si>
    <t>VZ-2020-000795</t>
  </si>
  <si>
    <t>Role papírové s perforací na vyšetřovací lůžka</t>
  </si>
  <si>
    <t>30.7.2020 zrušeno</t>
  </si>
  <si>
    <t>SMLN-2020-617-000308</t>
  </si>
  <si>
    <t>SMLN-2020-617-000311
SMLN-2020-617-000312
SMLN-2020-614-000017</t>
  </si>
  <si>
    <t>Gettinge Czech Republic s.r.o.</t>
  </si>
  <si>
    <t>SMLN-2020-617-000310</t>
  </si>
  <si>
    <t>SMLN-2020-617-000309
SMLN-2020-612-000068</t>
  </si>
  <si>
    <t>Boston Scientific Česká rrepublika s.r.o.</t>
  </si>
  <si>
    <t>VZ-2020-000804</t>
  </si>
  <si>
    <t>Podlahářské práce ve FNOL</t>
  </si>
  <si>
    <t>VZ-2020-000805</t>
  </si>
  <si>
    <t>VZ-2020-000806</t>
  </si>
  <si>
    <t>Výměna oken na DK 1.etapa</t>
  </si>
  <si>
    <t>VZ-2020-000807</t>
  </si>
  <si>
    <t>Rekonstrukce obvodového pláště mezi M2 a M3</t>
  </si>
  <si>
    <t>45453100-8</t>
  </si>
  <si>
    <t>VZ-2020-000809</t>
  </si>
  <si>
    <t xml:space="preserve">Pláště návštěvnické jednorázové </t>
  </si>
  <si>
    <t>39550000-2</t>
  </si>
  <si>
    <t>ASSA ABLOY Entrance Systems, spol.s r.o.</t>
  </si>
  <si>
    <t>Dezinfekční ubrosuky na bázi alkoholu bez obsahu aldehydů a jiných účinných látek zatěžujících prostředí</t>
  </si>
  <si>
    <t>VZ-2020-000812</t>
  </si>
  <si>
    <t>DNA izolátor na principu separace DNA pomocí magnetických partikul</t>
  </si>
  <si>
    <t>2.2.291</t>
  </si>
  <si>
    <t>VZ-2020-000814</t>
  </si>
  <si>
    <t>Léčivé přípravky s obsahem Ivakaftoru 2020</t>
  </si>
  <si>
    <t>VZ-2020-000815</t>
  </si>
  <si>
    <t>Periferně působící myorelaxancia 2020 II.</t>
  </si>
  <si>
    <t>nová VZ-2020-000814</t>
  </si>
  <si>
    <t>Materiál spotřební pro peritoneální dialýzu I.</t>
  </si>
  <si>
    <t xml:space="preserve">Materiál spotřební pro peritoneální dialýzu </t>
  </si>
  <si>
    <t>Materiál spotřební pro peritoneální dialýzu II.</t>
  </si>
  <si>
    <t>SMLN-2020-617-000318</t>
  </si>
  <si>
    <t>VZ-2020-000818</t>
  </si>
  <si>
    <t xml:space="preserve">Masky operační – ústenky  </t>
  </si>
  <si>
    <t>SMLN-2020-617-000319</t>
  </si>
  <si>
    <t>SMLN-2020-617-000320</t>
  </si>
  <si>
    <t>31.7.2020 doručena výpověď</t>
  </si>
  <si>
    <t>VZ-2020-000820</t>
  </si>
  <si>
    <t>Respirátory FFP2 bez výdechového ventilu</t>
  </si>
  <si>
    <t>18142000-6</t>
  </si>
  <si>
    <t>VZ-2020-000821</t>
  </si>
  <si>
    <t>Sety k ASK duální pumpě</t>
  </si>
  <si>
    <t>Spotřební materiál k artroskopické věži Johnson</t>
  </si>
  <si>
    <t>Sonda bipolární</t>
  </si>
  <si>
    <t>33140000 – 3</t>
  </si>
  <si>
    <t>VZ-2020-000822</t>
  </si>
  <si>
    <t>Spotřební  materiál k artroskopické věži Arthrex</t>
  </si>
  <si>
    <t>ARID obchodní společnost, s.r.o.</t>
  </si>
  <si>
    <t>SMLN-2020-617-000322
SMLN-2020-612-000070</t>
  </si>
  <si>
    <t>VZ-2020-000823</t>
  </si>
  <si>
    <t>Rekonstrukce kanalizace u budovy F</t>
  </si>
  <si>
    <t>VZ-2020-000824</t>
  </si>
  <si>
    <t>Respirátory FFP3 bez výdechového ventilu</t>
  </si>
  <si>
    <t>Český nábytek a.s.</t>
  </si>
  <si>
    <t>SMLN-2020-617-000323</t>
  </si>
  <si>
    <t>VZ-2020-000825</t>
  </si>
  <si>
    <t>Antiagregancia kromě heparinu   2020</t>
  </si>
  <si>
    <t xml:space="preserve">EPOPROSTENOL </t>
  </si>
  <si>
    <t xml:space="preserve">TIKAGRELOR </t>
  </si>
  <si>
    <t xml:space="preserve">SELEXIPAG </t>
  </si>
  <si>
    <t>Enterální výživa pro podání sondou</t>
  </si>
  <si>
    <t>Enterální výživa II.</t>
  </si>
  <si>
    <t>Enterální výživa III.</t>
  </si>
  <si>
    <t>VZ-2020-000826</t>
  </si>
  <si>
    <t>Enterální výživa 2020  III.</t>
  </si>
  <si>
    <t>12.8.2020 zrušeno</t>
  </si>
  <si>
    <t>DYNEX LAbSolutions, s.r.o.</t>
  </si>
  <si>
    <t>PROMEDICA Praha Group, a.s.</t>
  </si>
  <si>
    <t>VZ-2020-000828</t>
  </si>
  <si>
    <t xml:space="preserve">Kolektor - výměna ventilů na vodovodním řádu </t>
  </si>
  <si>
    <t>45332200-5</t>
  </si>
  <si>
    <t>VZ-2020-000833</t>
  </si>
  <si>
    <t>2.3.460</t>
  </si>
  <si>
    <t>SMLN-2020-617-000324
SMLN-2020-614-000019
SMLN-2020-616-000041</t>
  </si>
  <si>
    <t>SMLN-2020-617-000325
SMLN-2020-614-000020
SMLN-2020-616-000042</t>
  </si>
  <si>
    <t>SMLN-2020-617-000326
SMLN-2020-614-000021
SMLN-2020-616-000043</t>
  </si>
  <si>
    <t>SMLN-2020-617-000327
SMLN-2020-614-000022</t>
  </si>
  <si>
    <t>SMLN-2020-617-000328
SMLN-2020-614-000023</t>
  </si>
  <si>
    <t>Takeda Pharmaceuticals Czech Republic s.r.o.</t>
  </si>
  <si>
    <t>SMLN-2020-612-000071</t>
  </si>
  <si>
    <t>1.1.-11.8.2023</t>
  </si>
  <si>
    <t>SMLN-2020-612-000072</t>
  </si>
  <si>
    <t>VZ-2020-000852</t>
  </si>
  <si>
    <t xml:space="preserve">PD – demolice objektu B a přeložky IS </t>
  </si>
  <si>
    <t>1.2.66.</t>
  </si>
  <si>
    <t>zrušeno  bez nabídky</t>
  </si>
  <si>
    <t>zrušeno - administrativní pochybení</t>
  </si>
  <si>
    <t>VZ-2020-000854</t>
  </si>
  <si>
    <t>Propojení navigačního systému s operačním mikroskopem</t>
  </si>
  <si>
    <t>2.2.265</t>
  </si>
  <si>
    <t>13.8.2020 zrušeno</t>
  </si>
  <si>
    <t>nová VZ-2020-000815</t>
  </si>
  <si>
    <t>1.1.-.13.8.2024</t>
  </si>
  <si>
    <t>1.1.-.13.8.2023</t>
  </si>
  <si>
    <t>nová VZ-2020-000856</t>
  </si>
  <si>
    <t>VZ-2020-000856</t>
  </si>
  <si>
    <t>Enterální výživa IV. 2020</t>
  </si>
  <si>
    <t>1.1.-16.8.2024</t>
  </si>
  <si>
    <t>SMLN-2020-617-000329</t>
  </si>
  <si>
    <t>SMLN-2020-617-000330</t>
  </si>
  <si>
    <t>SMLN-2020-617-000331</t>
  </si>
  <si>
    <t>SMLN-2020-617-000332</t>
  </si>
  <si>
    <t>SMLN-2020-617-000333</t>
  </si>
  <si>
    <t>SMLN-2020-617-000334</t>
  </si>
  <si>
    <t>SMLN-2020-617-000335</t>
  </si>
  <si>
    <t>SMLN-2020-618-000061</t>
  </si>
  <si>
    <t>systém IN s.r.o.</t>
  </si>
  <si>
    <t>1.1.-16.8.2023</t>
  </si>
  <si>
    <t>SMLN-2020-617-000336</t>
  </si>
  <si>
    <t>SMLN-2020-617-000337</t>
  </si>
  <si>
    <t>SMLN-2020-617-000338</t>
  </si>
  <si>
    <t>SMLN-2020-617-000339</t>
  </si>
  <si>
    <t>SMLN-2020-617-000340</t>
  </si>
  <si>
    <t>SMLN-2020-617-000341</t>
  </si>
  <si>
    <t>VZ-2020-000862</t>
  </si>
  <si>
    <t xml:space="preserve">Rukavice vyšetřovací nitrilové bez pudru </t>
  </si>
  <si>
    <t>VZ-2020-000863</t>
  </si>
  <si>
    <t>Sternální pily</t>
  </si>
  <si>
    <t>2.3.442</t>
  </si>
  <si>
    <t>VZ-2020-000866</t>
  </si>
  <si>
    <t>Hajdúch</t>
  </si>
  <si>
    <t>Automatický pipetovací systém - sdružený nákup</t>
  </si>
  <si>
    <t>VZ-2020-000867</t>
  </si>
  <si>
    <t>Chladící a mrazící technika</t>
  </si>
  <si>
    <t>19.8.2020 zrušeno</t>
  </si>
  <si>
    <t>VZ-2020-000869</t>
  </si>
  <si>
    <t>6.1.</t>
  </si>
  <si>
    <t>SMLN-2020-612-000073</t>
  </si>
  <si>
    <t>nová VZ-2020-000294</t>
  </si>
  <si>
    <t>nová VZ-2020-000495</t>
  </si>
  <si>
    <t>nová VZ-2020-000658</t>
  </si>
  <si>
    <t>SMLN-2020-618-000063</t>
  </si>
  <si>
    <t>VZ-2020-000568</t>
  </si>
  <si>
    <t>LP z ATC L03AA 2020</t>
  </si>
  <si>
    <t>LP s obsahem pegfilgrastimu nebo lipegfilgrastimu v monoterapii s vykazovacím limitem A</t>
  </si>
  <si>
    <t>LP s obsahem pegfilgrastimu nebo lipegfilgrastimu v monoterapii bez vykazovacího limitu A</t>
  </si>
  <si>
    <t>Zarzio</t>
  </si>
  <si>
    <t>VZ-2020-000874</t>
  </si>
  <si>
    <t>EVOLOKUMAB</t>
  </si>
  <si>
    <t>ALIROKUMAB</t>
  </si>
  <si>
    <t>bude se opakovat</t>
  </si>
  <si>
    <t>dodavatel nedá nabídku ani s OT a nebude garantovat dodávky</t>
  </si>
  <si>
    <t>VENAMA s.r.o.</t>
  </si>
  <si>
    <t>VZ-2020-000875</t>
  </si>
  <si>
    <t xml:space="preserve">Dodání bezolejových kompresorových jednotek-budova S </t>
  </si>
  <si>
    <t>42123000-7</t>
  </si>
  <si>
    <t>VZ-2020-000876</t>
  </si>
  <si>
    <t>Kontrola zařízení elektrické požární signalizace s ústřednou ESSER</t>
  </si>
  <si>
    <t>50413200-5</t>
  </si>
  <si>
    <t>VZ-2020-000877</t>
  </si>
  <si>
    <t>Ubytování a služby spojené s realizací odborné akce FN Olomouc – konference XI. Luklův den II</t>
  </si>
  <si>
    <t>VZ-2020-000878</t>
  </si>
  <si>
    <t>Ubytování a služby spojené s realizací odborné akce FN Olomouc – konference Veřejné zakázky ve zdravotnictví II</t>
  </si>
  <si>
    <t>SMLN-2020-617-000342</t>
  </si>
  <si>
    <t>SMLN-2020-617-000343</t>
  </si>
  <si>
    <t>SMLN-2020-617-000344</t>
  </si>
  <si>
    <t>SMLN-2020-617-000345</t>
  </si>
  <si>
    <t>SMLN-2020-617-000346</t>
  </si>
  <si>
    <t>SMLN-2020-617-000347</t>
  </si>
  <si>
    <t>Distrimed s.r.o.</t>
  </si>
  <si>
    <t>Hartman-Rico a.s.</t>
  </si>
  <si>
    <t>VZ-2020-000879</t>
  </si>
  <si>
    <t>HW pro integrační platformu II.</t>
  </si>
  <si>
    <t>nová VZ-2020-000879</t>
  </si>
  <si>
    <t>VZ-2020-000882</t>
  </si>
  <si>
    <t>Polohovatelná křesla II.</t>
  </si>
  <si>
    <t>2.2.250.</t>
  </si>
  <si>
    <t>2.2.251.</t>
  </si>
  <si>
    <t>20.8.2020 zrušeno</t>
  </si>
  <si>
    <t>zrušeno - 1 nabídka překročila předpokládanou hodnotu</t>
  </si>
  <si>
    <t>VZ-2020-000885</t>
  </si>
  <si>
    <t>Analyzátor na kontrolu kvality nukleových kyselin II</t>
  </si>
  <si>
    <t>PCSK9 inhibitory 2020</t>
  </si>
  <si>
    <t>VZ-2020-000886</t>
  </si>
  <si>
    <t xml:space="preserve">Real Time PCR termocyklery </t>
  </si>
  <si>
    <t>2.2.301</t>
  </si>
  <si>
    <t>GENERAL TRADING s.r.o.</t>
  </si>
  <si>
    <t>SMLN-2020-617-000353</t>
  </si>
  <si>
    <t>Elektrody VAPR</t>
  </si>
  <si>
    <t>VZ-2020-000894</t>
  </si>
  <si>
    <t>Vyšetření krevního obrazu s výpůjčkou hematologického analyzátoru</t>
  </si>
  <si>
    <t>SMLN-2020-617-000354</t>
  </si>
  <si>
    <t>SMLN-2020-617-000355</t>
  </si>
  <si>
    <t>SMLN-2020-617-000356</t>
  </si>
  <si>
    <t>SMLN-2020-617-000357</t>
  </si>
  <si>
    <t>VZ-2020-000896</t>
  </si>
  <si>
    <t>Oprava MaR budova A,IV.etapa"</t>
  </si>
  <si>
    <t>VZ-2020-000897</t>
  </si>
  <si>
    <t>Filtry pro vzduchotechniku 2020-2023</t>
  </si>
  <si>
    <t>FN Olomouc - novostavba hlavní budovy B - projektová dokumentace</t>
  </si>
  <si>
    <t>AUTOCONT a.s.</t>
  </si>
  <si>
    <t>SMLN-2020-617-000358</t>
  </si>
  <si>
    <t>SMLN-2020-617-000359</t>
  </si>
  <si>
    <t>SMLN-2020-617-000360</t>
  </si>
  <si>
    <t>SMLN-2020-617-000361</t>
  </si>
  <si>
    <t>SMLN-2020-617-000362</t>
  </si>
  <si>
    <t>SMLN-2020-617-000363</t>
  </si>
  <si>
    <t>SMLN-2020-617-000364</t>
  </si>
  <si>
    <t>SMLN-2020-617-000365
SMLN-2020-612-000076</t>
  </si>
  <si>
    <t>bude realizováno sdružený nákupem</t>
  </si>
  <si>
    <t>zrušeno - neekonomická nabídka</t>
  </si>
  <si>
    <t>nová VZ-2020-000882</t>
  </si>
  <si>
    <t>SMLN-2020-617-000366</t>
  </si>
  <si>
    <t>26.8.2020 zrušeno</t>
  </si>
  <si>
    <t>VZ-2020-000898</t>
  </si>
  <si>
    <t>SMLN-2020-617-000367
SMLN-2020-612-000077</t>
  </si>
  <si>
    <t>VZ-2020-000900</t>
  </si>
  <si>
    <t>nová VZ-2020-000900</t>
  </si>
  <si>
    <t>zrušeno - bude nová PD</t>
  </si>
  <si>
    <t>1.1.-26.8.2023</t>
  </si>
  <si>
    <t>SMLN-2020-617-000369</t>
  </si>
  <si>
    <t>SMLN-2020-617-000370
SMLN-2020-612-000078</t>
  </si>
  <si>
    <t>Úprava trafostanice TS3</t>
  </si>
  <si>
    <t>VZ-2020-000907</t>
  </si>
  <si>
    <t>PD- novostavba budovy F</t>
  </si>
  <si>
    <t>1.2.68.</t>
  </si>
  <si>
    <t>4.3.10.</t>
  </si>
  <si>
    <t>3.2.52.</t>
  </si>
  <si>
    <t>1.3.24.</t>
  </si>
  <si>
    <t>BLACK STORM s.r.o.</t>
  </si>
  <si>
    <t>VZ-2020-000908</t>
  </si>
  <si>
    <t>Odstranění závad na zdrojových napájecích jednotkách – budovy A, M3</t>
  </si>
  <si>
    <t>VZ-2020-000910</t>
  </si>
  <si>
    <t>Materiál spotřební k systému na stanovení ACT + výpůjčka krevního analyzátoru II.</t>
  </si>
  <si>
    <t>Oprava hygienických zařízení na KÚČOCH v budově R v 1PP</t>
  </si>
  <si>
    <t>VZ-2020-000912</t>
  </si>
  <si>
    <t>Kadlec</t>
  </si>
  <si>
    <t>VZ-2020-000913</t>
  </si>
  <si>
    <t>Oprava hygienických zařízení na KZL v budově UZQ v 1PP</t>
  </si>
  <si>
    <t>SMLN-2020-617-000372</t>
  </si>
  <si>
    <t>SMLN-2020-617-000373</t>
  </si>
  <si>
    <t>28.8.2020 zrušeno</t>
  </si>
  <si>
    <t>SMLN-2020-617-000374
SMLN-2020-612-000080</t>
  </si>
  <si>
    <t>VZ-2020-000920</t>
  </si>
  <si>
    <t>PD - novostavba budovy C1</t>
  </si>
  <si>
    <t>1.2.67.</t>
  </si>
  <si>
    <t>VZ-2020-000922</t>
  </si>
  <si>
    <t>Počítačová tomografie</t>
  </si>
  <si>
    <t>2.2.275.,2.3.502.</t>
  </si>
  <si>
    <t>SMLN-2020-617-000375
SMLN-2020-612-000081</t>
  </si>
  <si>
    <t>nová VZ-2020-000448</t>
  </si>
  <si>
    <t>nová VZ-2020-000259</t>
  </si>
  <si>
    <t>nová VZ-2020-000877</t>
  </si>
  <si>
    <t>nová VZ-2020-000878</t>
  </si>
  <si>
    <t>nová VZ-2020-000599</t>
  </si>
  <si>
    <t>Marketing  - Proebiz</t>
  </si>
  <si>
    <t>nová VZ-2020-000623</t>
  </si>
  <si>
    <t>nová VZ-2020-000910</t>
  </si>
  <si>
    <t>nová VZ-2020-000687</t>
  </si>
  <si>
    <t>nová VZ-2020-000309</t>
  </si>
  <si>
    <t>nová VZ-2020-000453</t>
  </si>
  <si>
    <t>nová VZ-2020-000476</t>
  </si>
  <si>
    <t>nová VZ-2020-000569</t>
  </si>
  <si>
    <t>VZ-2020-000924</t>
  </si>
  <si>
    <t>Zeman</t>
  </si>
  <si>
    <t>PD - Parkoviště v areálu FN Olomouc</t>
  </si>
  <si>
    <t>VZ-2020-000927</t>
  </si>
  <si>
    <t>Materiál spotřební (čidla saturační SpO2) k pulzním oxymetrům MASIMO</t>
  </si>
  <si>
    <t>nová VZ-2020-000927</t>
  </si>
  <si>
    <t>1.1.-31.8.2022</t>
  </si>
  <si>
    <t>1.3.19.</t>
  </si>
  <si>
    <t>Famaceutické lednice</t>
  </si>
  <si>
    <t>2.2.276.,2.2.285.,2.3.477.</t>
  </si>
  <si>
    <t>2.2.264.,2.2.277.,.2.3.475.</t>
  </si>
  <si>
    <t>VZ-2020-000929</t>
  </si>
  <si>
    <t>VZ-2020-000930</t>
  </si>
  <si>
    <t>VZ-2020-000931</t>
  </si>
  <si>
    <t xml:space="preserve">Izolační kit NX-48 Viral NA Kit pro přístroj Nextractor </t>
  </si>
  <si>
    <t xml:space="preserve">Kit pro real-time PCR detekci viru SARS-CoV-2 na přístroji Cycler CFX 96 </t>
  </si>
  <si>
    <t>2.9.2020 zrušeno</t>
  </si>
  <si>
    <t xml:space="preserve">Testy Xpert Xpress SARS-CoV-2 pro přístroj Genexpert </t>
  </si>
  <si>
    <t>zrušeno - proběhne formou videokonference</t>
  </si>
  <si>
    <t>zrušeno - ad výstavba F</t>
  </si>
  <si>
    <t>SMLN-2020-617-000376
SMLN-2020-612-000082</t>
  </si>
  <si>
    <t>SMLN-2020-618-000060</t>
  </si>
  <si>
    <t>SMLN-2020-617-000377
SMLN-2020-614-000025</t>
  </si>
  <si>
    <t>KIOVIG</t>
  </si>
  <si>
    <t>GAMMAGARD S/D</t>
  </si>
  <si>
    <t>FLEBOGAMMA DIF</t>
  </si>
  <si>
    <t>Imunoglobuliny pro intravaskulární podání 2020</t>
  </si>
  <si>
    <t>VZ-2020-000941</t>
  </si>
  <si>
    <t>VZ-2020-000942</t>
  </si>
  <si>
    <t>LP s obsahem infliximabu 2020</t>
  </si>
  <si>
    <t>INFLECTRA pro léčbu stávajících pacientů</t>
  </si>
  <si>
    <t>REMICADE pro léčbu stávajících pacientů</t>
  </si>
  <si>
    <t>INFLIXIMAB  pro léčbu nových dospělých pacientů a  dospělých pacientů před prvním switchem</t>
  </si>
  <si>
    <t>VZ-2020-000943</t>
  </si>
  <si>
    <t>Léčiva s obsahem abemaciklibu 2020 - sdružený nákup</t>
  </si>
  <si>
    <t>SMLN-2020-618-000069</t>
  </si>
  <si>
    <t>SMLN-2020-617-000378</t>
  </si>
  <si>
    <t>SMLN-2020-617-000379</t>
  </si>
  <si>
    <t>Uni-Export Instruments s.r.o.</t>
  </si>
  <si>
    <t>7.9.2020 zrušeno</t>
  </si>
  <si>
    <t>zrušeno - tato část bude rozdělena na další části</t>
  </si>
  <si>
    <t>SMLN-2020-618-000073</t>
  </si>
  <si>
    <t>AUTOCONT, a.s.</t>
  </si>
  <si>
    <t>SMLN-2020-617-000384</t>
  </si>
  <si>
    <t>SMLN-2020-617-000387</t>
  </si>
  <si>
    <t>VZ-2020-000960</t>
  </si>
  <si>
    <t>Nástroj pro centralizovaný sběr, ukládání a detailní analýzu logů z informačních systémů FN Olomouc</t>
  </si>
  <si>
    <t>VZ-2020-000961</t>
  </si>
  <si>
    <t>Taxany 2020</t>
  </si>
  <si>
    <t>ABRAXANE</t>
  </si>
  <si>
    <t xml:space="preserve">PAKLITAXEL  </t>
  </si>
  <si>
    <t>JEVTANA</t>
  </si>
  <si>
    <t>VZ-2020-000962</t>
  </si>
  <si>
    <t xml:space="preserve">FNOL – Náplně do tiskáren </t>
  </si>
  <si>
    <t>Čidla saturační SpO2 k pulzním oxymetrům MASIMO</t>
  </si>
  <si>
    <t>Materiál spotřební k pulzním oxymetrům MASIMO</t>
  </si>
  <si>
    <t>VZ-2020-000967</t>
  </si>
  <si>
    <t>Oprava řízení VS budov M, K, D1, WP, C</t>
  </si>
  <si>
    <t>SMLN-2020-617-000389
SMLN-2020-612-000085
SMLN-2020-617-000390</t>
  </si>
  <si>
    <t>SMLN-2020-617-000391</t>
  </si>
  <si>
    <t>SMLN-2020-617-000392
SMLN-2020-612-000086</t>
  </si>
  <si>
    <t>SMLN-2020-617-000393</t>
  </si>
  <si>
    <t>SMLN-2020-617-000394
SMLN-2020-614-000026</t>
  </si>
  <si>
    <t>SMLN-2020-617-000395
SMLN-2020-614-000027</t>
  </si>
  <si>
    <t>SMLN-2020-617-000396
SMLN-2020-614-000028</t>
  </si>
  <si>
    <t>SMLN-2020-617-000397
SMLN-2020-614-000029</t>
  </si>
  <si>
    <t>SMLN-2020-617-000398
SMLN-2020-614-000030</t>
  </si>
  <si>
    <t>SMLN-2020-617-000400
SMLN-2020-612-000087</t>
  </si>
  <si>
    <t>Kit pro real-time PCR detekci viru SARS-CoV-2 na přístroji Cycler CFX 96 II.</t>
  </si>
  <si>
    <t>VZ-2020-000984</t>
  </si>
  <si>
    <t>Izolace nukleových kyselin s výpůjčkou izolátoru</t>
  </si>
  <si>
    <t>Meditrade spol.s  r.o.</t>
  </si>
  <si>
    <t>JI – Medical a.s.</t>
  </si>
  <si>
    <t>1.1.-10.9.2023</t>
  </si>
  <si>
    <t>SMLN-2020-618-000076
SMLN-2020-612-000088</t>
  </si>
  <si>
    <t>SMLN-2020-617-000404</t>
  </si>
  <si>
    <t>SMLN-2020-617-000407
SMLN-2020-612-000089</t>
  </si>
  <si>
    <t>VZ-2020-000976</t>
  </si>
  <si>
    <t>VZ-2020-000934</t>
  </si>
  <si>
    <t>Klipy a klipovací systém</t>
  </si>
  <si>
    <t>Jednorázový endoskopický klipovací systém s nabitým klipem - žaludek/tračník</t>
  </si>
  <si>
    <t>Jednorázový endoskopický klipovací systém Resolution Clip 360</t>
  </si>
  <si>
    <t>Klipy ke klipovači na jednorázové i opakované použití - žaludek / colon</t>
  </si>
  <si>
    <t>SMLN-2020-612-000090</t>
  </si>
  <si>
    <t>Konvexní sonda k UVZ systému pro NEUR</t>
  </si>
  <si>
    <t>SMLN-2020-617-000408</t>
  </si>
  <si>
    <t>Ecolab odstoupil</t>
  </si>
  <si>
    <t>15.9.2020 zrušeno</t>
  </si>
  <si>
    <t>VZ-2020-000998</t>
  </si>
  <si>
    <t>VZ-2020-000993</t>
  </si>
  <si>
    <t>FN Olomouc - PC sestavy</t>
  </si>
  <si>
    <t>1.1.-15.9.2023</t>
  </si>
  <si>
    <t>1.1.-15.9.2022</t>
  </si>
  <si>
    <t>SMLN-2020-617-000411</t>
  </si>
  <si>
    <t>SMLN-2020-617-000412</t>
  </si>
  <si>
    <t>SMLN-2020-617-000413</t>
  </si>
  <si>
    <t>VZ-2020-001003</t>
  </si>
  <si>
    <t>Inhibitory kalcineurinu 2020</t>
  </si>
  <si>
    <t>ADVAGRAF pro stávající pacienty</t>
  </si>
  <si>
    <t>PROGRAF pro stávající pacienty</t>
  </si>
  <si>
    <t>ENVARSUS  pro stávající pacienty</t>
  </si>
  <si>
    <t>DALIPORT pro nové pacienty po první transplantaci</t>
  </si>
  <si>
    <t>EQUORAL</t>
  </si>
  <si>
    <t>SANDIMMUN NEORAL</t>
  </si>
  <si>
    <t>VZ-2020-001002</t>
  </si>
  <si>
    <t>Nouzové osvětlení</t>
  </si>
  <si>
    <t>45311100-1</t>
  </si>
  <si>
    <t>Oprava střešního pláště na budově YH</t>
  </si>
  <si>
    <t>IZOTECH Moravia , spol. s r.o.</t>
  </si>
  <si>
    <t>B. Braun odstoupil</t>
  </si>
  <si>
    <t>VZ-2020-001007</t>
  </si>
  <si>
    <t>Poskytování servisních služeb – Sterilizátory FNOL</t>
  </si>
  <si>
    <t>SMLN-2020-618-000080</t>
  </si>
  <si>
    <t>SMLN-2020-618-000081</t>
  </si>
  <si>
    <t>SMLN-2020-617-000416</t>
  </si>
  <si>
    <t>VZ-2020-001012</t>
  </si>
  <si>
    <t>Systém mikromotorů pro orální chirurgii II.</t>
  </si>
  <si>
    <t>33130000-0</t>
  </si>
  <si>
    <t>VZ-2020-001013</t>
  </si>
  <si>
    <t xml:space="preserve">Oprava obvodového pláště budov M,N </t>
  </si>
  <si>
    <t>LAPLAN s.r.o.</t>
  </si>
  <si>
    <t>VZ-2020-001018</t>
  </si>
  <si>
    <t>Oprava venkovního osvětlení v areálu FN Olomouc</t>
  </si>
  <si>
    <t>45316100-6</t>
  </si>
  <si>
    <t>VZ-2020-001020</t>
  </si>
  <si>
    <t>Výměna lůžkových ramp-budova D1,3.NP,7.NP a 8.NP</t>
  </si>
  <si>
    <t>VZ-2020-001022</t>
  </si>
  <si>
    <t>Stavební úpravy objektu D - únikové cesty</t>
  </si>
  <si>
    <t>SMLN-2020-618-000082</t>
  </si>
  <si>
    <t>nový VZ-2020-001012</t>
  </si>
  <si>
    <t>VZ-2020-001024</t>
  </si>
  <si>
    <t>Budova XA - výměna střešního pláště</t>
  </si>
  <si>
    <t>SMLN-2020-617-000417
SMLN-2020-614-000031</t>
  </si>
  <si>
    <t>SMLN-2020-617-000418
SMLN-2020-614-000032</t>
  </si>
  <si>
    <t>SMLN-2020-617-000419
SMLN-2020-614-000033</t>
  </si>
  <si>
    <t>SMLN-2020-617-000420
SMLN-2020-614-000034</t>
  </si>
  <si>
    <t>SMLN-2020-617-000421
SMLN-2020-614-000035</t>
  </si>
  <si>
    <t>SMLN-2020-617-000422
SMLN-2020-614-000036</t>
  </si>
  <si>
    <t>SMLN-2020-617-000423
SMLN-2020-614-000037</t>
  </si>
  <si>
    <t>SMLN-2020-617-000424
SMLN-2020-614-000038</t>
  </si>
  <si>
    <t>Schoeller Instruments, s.r.o.</t>
  </si>
  <si>
    <t>SMLN-2020-617-000426</t>
  </si>
  <si>
    <t>nerealizováno - úmrtí Ing. Pleško</t>
  </si>
  <si>
    <t>VZ-2020-001029</t>
  </si>
  <si>
    <t>Set CT a MR kompatibilních aplikátorů pro gynekologickou vaginální brachyterapii II</t>
  </si>
  <si>
    <t>2.3.487.</t>
  </si>
  <si>
    <t>SMLN-2020-617-000428
SMLN-2020-612-000091</t>
  </si>
  <si>
    <t>SMLN-2020-617-000429
SMLN-2020-612-000092</t>
  </si>
  <si>
    <t>VZ-2020-001035</t>
  </si>
  <si>
    <t>FN Olomouc - Neurostimulační systémy</t>
  </si>
  <si>
    <t>Impantabilní dvoukanálový neurostimulační systém k léčbě Hlubokou Mozkovou Stimulací (DBS) - MRI kompatibilní - dobíjitelný</t>
  </si>
  <si>
    <t>Impantabilní dvoukanálový neurostimulační systém k léčbě Hlubokou Mozkovou Stimulací (DBS) - MRI kompatibilní - nedobíjitelný</t>
  </si>
  <si>
    <t>Implantabilní neurostimulační systém dvoukanálový k léčbě boelstivých stavů - MRI kompatibilní - nedobíjitelný</t>
  </si>
  <si>
    <t>Implantabilní neurostimulační systém dvoukanálový k léčbě boelstivých stavů - MRI kompatibilní - dobíjitelný</t>
  </si>
  <si>
    <t>1.1.-21.9.2023</t>
  </si>
  <si>
    <t>SMLN-2020-617-000432
SMLN-2020-612-000093</t>
  </si>
  <si>
    <t>SMLN-2020-617-000433</t>
  </si>
  <si>
    <t>VZ-2020-001042</t>
  </si>
  <si>
    <t>SMLN-2020-617-000436</t>
  </si>
  <si>
    <t>SMLN-2020-617-000438</t>
  </si>
  <si>
    <t>SMLN-2020-617-000437
SMLN-2020-612-000095</t>
  </si>
  <si>
    <t>SMLN-2020-617-000434
SMLN-2020-612-000094
SMLN-2020-617-000435</t>
  </si>
  <si>
    <t>SMLN-2020-617-000439
SMLN-2020-612-000096</t>
  </si>
  <si>
    <t>SMLN-2020-617-000445
SMLN-2020-612-000099</t>
  </si>
  <si>
    <t>1.1.-22.9.2023</t>
  </si>
  <si>
    <t>1.1.-30.9.2022</t>
  </si>
  <si>
    <t>ST Security a.s.</t>
  </si>
  <si>
    <t>1.1.-28.9.2023</t>
  </si>
  <si>
    <t>SMLN-2020-618-000085</t>
  </si>
  <si>
    <t>SMLN-2020-618-000086</t>
  </si>
  <si>
    <t>SMLN-2020-618-000087</t>
  </si>
  <si>
    <t>SMLN-2020-618-000088</t>
  </si>
  <si>
    <t>zrušeno - nouzový stav</t>
  </si>
  <si>
    <t>SMLN-2020-617-000415</t>
  </si>
  <si>
    <t>SMLN-2020-617-000447
SMLN-2020-612-000102</t>
  </si>
  <si>
    <t>VZ-2020-001065</t>
  </si>
  <si>
    <t>Odstranění revizních závad na rozvodech MP-budova D2</t>
  </si>
  <si>
    <t>30.9.2020 zrušeno</t>
  </si>
  <si>
    <t>CoroMedical s.r.o.</t>
  </si>
  <si>
    <t>nová VZ-2020-001029</t>
  </si>
  <si>
    <t xml:space="preserve">úmrtí Ing. Pleška - </t>
  </si>
  <si>
    <t>SMLN-2020-618-000089</t>
  </si>
  <si>
    <t>SMLN-2020-617-000448</t>
  </si>
  <si>
    <t>VZ-2020-001070</t>
  </si>
  <si>
    <t>Stavební úpravy objektu I - 1PP</t>
  </si>
  <si>
    <t>SMLN-2020-612-000107</t>
  </si>
  <si>
    <t>SMLN-2020-618-000090</t>
  </si>
  <si>
    <t>1.10.2020 zrušeno</t>
  </si>
  <si>
    <t>VZ-2020-001077</t>
  </si>
  <si>
    <t xml:space="preserve">ERENUMAB </t>
  </si>
  <si>
    <t>VZ-2020-001078</t>
  </si>
  <si>
    <t xml:space="preserve">GEMTUZUMAB OZOGAMICIN </t>
  </si>
  <si>
    <r>
      <t>Léčiva s obsahem erenumabu  2020  -</t>
    </r>
    <r>
      <rPr>
        <b/>
        <sz val="11"/>
        <color theme="1"/>
        <rFont val="Calibri"/>
        <family val="2"/>
        <charset val="238"/>
        <scheme val="minor"/>
      </rPr>
      <t xml:space="preserve">  sdružený nákup</t>
    </r>
  </si>
  <si>
    <t>VZ-2020-001079</t>
  </si>
  <si>
    <t>Pláště ošetřovatelské jednorázové</t>
  </si>
  <si>
    <t>35113490-0</t>
  </si>
  <si>
    <t>1.2.60.</t>
  </si>
  <si>
    <t>VZ-2020-001080</t>
  </si>
  <si>
    <t>Odstraňování havárií na vodovodních řadech a přípojkách ve FNOL</t>
  </si>
  <si>
    <t>45232150-8</t>
  </si>
  <si>
    <t>Oprava výtahů č. 43, 44 a 55</t>
  </si>
  <si>
    <t>VZ-2020-001085</t>
  </si>
  <si>
    <t>Oprava MaR ČOV</t>
  </si>
  <si>
    <r>
      <t xml:space="preserve">Léčiva s obsahem gemtuzumab ozogamicinu  2020  - 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</si>
  <si>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>TROX KS Filter s.r.o.</t>
  </si>
  <si>
    <t>SMLN-2020-618-000091</t>
  </si>
  <si>
    <t>VZ-2020-001086</t>
  </si>
  <si>
    <t>Stropní osvětlení v prostoru COSS v budově A</t>
  </si>
  <si>
    <t>SMLN-2020-618-000093</t>
  </si>
  <si>
    <t>SMLN-2020-617-000453</t>
  </si>
  <si>
    <t>VZ-2020-001088</t>
  </si>
  <si>
    <t>Tonometr oční</t>
  </si>
  <si>
    <t>2.3.507.</t>
  </si>
  <si>
    <t>38423000-6</t>
  </si>
  <si>
    <t>SMLN-2020-617-000454</t>
  </si>
  <si>
    <t>VZ-2020-001094</t>
  </si>
  <si>
    <t>KIPE</t>
  </si>
  <si>
    <t>Odborné konzultace a dozor při implementaci v rámci dodávky integrační platformy</t>
  </si>
  <si>
    <t>72227000-2</t>
  </si>
  <si>
    <t>VZ-2020-001098</t>
  </si>
  <si>
    <t>Obnovení podpory zálohovacího software Veeam</t>
  </si>
  <si>
    <t>VZ-2020-001099</t>
  </si>
  <si>
    <t>Stolní izolátory nukleových kyselin</t>
  </si>
  <si>
    <t>SMLN-2020-617-000456</t>
  </si>
  <si>
    <t>SMLN-2020-617-000457</t>
  </si>
  <si>
    <t>SMLN-2020-617-000458</t>
  </si>
  <si>
    <t>VZ-2020-001102</t>
  </si>
  <si>
    <t>Výměna EKV výtahů FNOL</t>
  </si>
  <si>
    <t xml:space="preserve">42419510-4 </t>
  </si>
  <si>
    <t>SMLN-2020-617-000463</t>
  </si>
  <si>
    <t>SMLN-2020-617-000461
SMLN-2020-616-000048</t>
  </si>
  <si>
    <t>1.1.-7.10.2023</t>
  </si>
  <si>
    <t>VZ-2020-001119</t>
  </si>
  <si>
    <t xml:space="preserve">Monitor povrchové kontaminace rukou, nohou, oděvu </t>
  </si>
  <si>
    <t>38341500-2</t>
  </si>
  <si>
    <t>2.3.461.</t>
  </si>
  <si>
    <t>9.10.2020 zrušeno</t>
  </si>
  <si>
    <t>Medisun, s.r.o.</t>
  </si>
  <si>
    <t>VZ-2020-001120</t>
  </si>
  <si>
    <t>Dílčí opravy výtahů</t>
  </si>
  <si>
    <t>Prověření nároku na odpočet DPH za období let 2016 až 2018</t>
  </si>
  <si>
    <t>SMLN-2020-617-000467</t>
  </si>
  <si>
    <t>SMLN-2020-618-000094</t>
  </si>
  <si>
    <t>SMLN-2020-617-000466</t>
  </si>
  <si>
    <t>SMLN-2020-617-000468
SMLN-2020-614-000040</t>
  </si>
  <si>
    <t>SMLN-2020-617-000469
SMLN-2020-614-000041</t>
  </si>
  <si>
    <t>SMLN-2020-617-000470
SMLN-2020-614-000042</t>
  </si>
  <si>
    <t>SMLN-2020-617-000471
SMLN-2020-614-000043</t>
  </si>
  <si>
    <t>SMLN-2020-617-000472
SMLN-2020-614-000044</t>
  </si>
  <si>
    <t>SMLN-2020-617-000473
SMLN-2020-614-000045</t>
  </si>
  <si>
    <t>SMLN-2020-617-000475</t>
  </si>
  <si>
    <t>serivs</t>
  </si>
  <si>
    <t>VZ-2020-001142</t>
  </si>
  <si>
    <t>Oprava MaR budova S,Q,R</t>
  </si>
  <si>
    <t>VZ-2020-001143</t>
  </si>
  <si>
    <t>Rekonstrukce obvodového pláště mezi budovami  M2 a M3</t>
  </si>
  <si>
    <t>SMLN-2020-617-000481
SMLN-2020-614-000046</t>
  </si>
  <si>
    <t>SMLN-2020-617-000482
SMLN-2020-614-000047</t>
  </si>
  <si>
    <t>SMLN-2020-617-000483
SMLN-2020-614-000048</t>
  </si>
  <si>
    <t>SMLN-2020-617-000484
SMLN-2020-614-000049</t>
  </si>
  <si>
    <t>SMLN-2020-617-000485
SMLN-2020-614-000050</t>
  </si>
  <si>
    <t>SMLN-2020-617-000486
SMLN-2020-614-000051</t>
  </si>
  <si>
    <t>SMLN-2020-617-000487
SMLN-2020-614-000052</t>
  </si>
  <si>
    <t>SMLN-2020-617-000488
SMLN-2020-614-000053</t>
  </si>
  <si>
    <t>SMLN-2020-617-000489
SMLN-2020-614-000054</t>
  </si>
  <si>
    <t>SMLN-2020-617-000490
SMLN-2020-614-000055</t>
  </si>
  <si>
    <t>VZ-2020-001150</t>
  </si>
  <si>
    <t>Termocykler pro HOK</t>
  </si>
  <si>
    <t>dle výzvy zadavatele</t>
  </si>
  <si>
    <t>1.1.-15.10.2024</t>
  </si>
  <si>
    <t>Tiskárna podložních skel</t>
  </si>
  <si>
    <t>2.3.482</t>
  </si>
  <si>
    <t>VZ-2020-001153</t>
  </si>
  <si>
    <t>VZ-2020-001154</t>
  </si>
  <si>
    <t>VZ-2020-001155</t>
  </si>
  <si>
    <t>Manuální sáňkový mikrotom</t>
  </si>
  <si>
    <t>CPET - Spiroergometrie</t>
  </si>
  <si>
    <t>2.3.464</t>
  </si>
  <si>
    <t>2.2.273</t>
  </si>
  <si>
    <t>VZ-2020-001157</t>
  </si>
  <si>
    <t>VZ-2020-001158</t>
  </si>
  <si>
    <t>Inzuliny rychle působící 2020</t>
  </si>
  <si>
    <t>ACTRAPID PENFILL</t>
  </si>
  <si>
    <t>HUMULIN R</t>
  </si>
  <si>
    <t>HUMALOG</t>
  </si>
  <si>
    <t>FIASP</t>
  </si>
  <si>
    <t>NOVORAPID</t>
  </si>
  <si>
    <t>APIDRA</t>
  </si>
  <si>
    <t>33615100-5</t>
  </si>
  <si>
    <t>LP z ATC B01AC a A16AB 2020</t>
  </si>
  <si>
    <t>24965000-6; 33621100-0</t>
  </si>
  <si>
    <t>VZ-2020-001159</t>
  </si>
  <si>
    <t>Sety pro bezpečné podávání cytostatik k pumpám Infusomat Compact Plus</t>
  </si>
  <si>
    <t>SMLN-2020-617-000492</t>
  </si>
  <si>
    <t>SMLN-2020-617-000493</t>
  </si>
  <si>
    <t>SMLN-2020-617-000494
SMLN-2020-616-000052</t>
  </si>
  <si>
    <t>SMLN-2020-617-000495
SMLN-2020-616-000053</t>
  </si>
  <si>
    <t>1.1.-19.10.2023</t>
  </si>
  <si>
    <t>ELPREMO, spol. s.r.o.</t>
  </si>
  <si>
    <t>SMLN-2020-617-000496
SMLN-2020-612-000109</t>
  </si>
  <si>
    <t>SMLN-2020-612-000110</t>
  </si>
  <si>
    <t>VZ-2020-001164</t>
  </si>
  <si>
    <t>Izolátor nukleových kyselin</t>
  </si>
  <si>
    <t>Ocelové konstrukce v kolektoru</t>
  </si>
  <si>
    <t>50712000-9</t>
  </si>
  <si>
    <t>VZ-2020-001168</t>
  </si>
  <si>
    <t>Frézy k shaveru</t>
  </si>
  <si>
    <t>SMLN-2020-618-000096</t>
  </si>
  <si>
    <t>VZ-2020-001170</t>
  </si>
  <si>
    <t>FN Olomouc - stavební úpravy objektu WD - stravovací provoz</t>
  </si>
  <si>
    <t>1.2.70.</t>
  </si>
  <si>
    <t>SEBELIPASA ALFA</t>
  </si>
  <si>
    <t>SMLN-2020-618-000097</t>
  </si>
  <si>
    <t>SMLN-2020-618-000098</t>
  </si>
  <si>
    <t>EBMT TZB, s .r.o.</t>
  </si>
  <si>
    <t>Elektroforéza proteinů OKB 2020 včetně výpůjčky analyzátorů</t>
  </si>
  <si>
    <t>SMLN-2020-617-000499</t>
  </si>
  <si>
    <t>SMLN-2020-617-000500</t>
  </si>
  <si>
    <t>SMLN-2020-617-000501</t>
  </si>
  <si>
    <t>VZ-2020-001178</t>
  </si>
  <si>
    <t xml:space="preserve">Kapilární hemodialyzátory syntetické, high flux </t>
  </si>
  <si>
    <t>VZ-2020-001180</t>
  </si>
  <si>
    <t>Realizace nástavby budovy "A"</t>
  </si>
  <si>
    <t>1.3.25.</t>
  </si>
  <si>
    <t>Opluštil-Stavby elektromontáže s.r.o.</t>
  </si>
  <si>
    <t>SMLN-2020-617-000507
SMLN-2020-614-000059</t>
  </si>
  <si>
    <t>SMLN-2020-617-000508
SMLN-2020-614-000060</t>
  </si>
  <si>
    <t>SMLN-2020-617-000509
SMLN-2020-614-000061</t>
  </si>
  <si>
    <t>SMLN-2020-617-000504
SMLN-2020-614-000056</t>
  </si>
  <si>
    <t>SMLN-2020-617-000505
SMLN-2020-614-000057</t>
  </si>
  <si>
    <t>SMLN-2020-617-000506
SMLN-2020-614-000058</t>
  </si>
  <si>
    <t>SMLN-2020-617-000510</t>
  </si>
  <si>
    <t>1.1.-26.10.2023</t>
  </si>
  <si>
    <t>1.1.-26.10.2022</t>
  </si>
  <si>
    <t>ARATEC GROUP s.r.o.</t>
  </si>
  <si>
    <t>VZ-2020-001187</t>
  </si>
  <si>
    <t>Budova XA-výměna střešního pláště II</t>
  </si>
  <si>
    <t>nová VZ-2020-001187</t>
  </si>
  <si>
    <t>SMLN-2020-617-000515</t>
  </si>
  <si>
    <t>1.1.-29.10.2024</t>
  </si>
  <si>
    <t>1.1.-29.10.2022</t>
  </si>
  <si>
    <t>SMLN-2020-617-000516</t>
  </si>
  <si>
    <t>SMLN-2020-617-000517</t>
  </si>
  <si>
    <t>VZ-2020-001192</t>
  </si>
  <si>
    <t>Rozšíření SW funkcionality LoadBalancerů Citrix ADC</t>
  </si>
  <si>
    <t>48730000-4</t>
  </si>
  <si>
    <t>CALEUM a.s.</t>
  </si>
  <si>
    <t>VZ-2020-001195</t>
  </si>
  <si>
    <t>Nástroje chirurgické pro kliniky FNOL</t>
  </si>
  <si>
    <t>Medizone s.r.o.</t>
  </si>
  <si>
    <t>SMLN-2020-617-000518</t>
  </si>
  <si>
    <t>SMLN-2020-618-000103</t>
  </si>
  <si>
    <t>1.1.-1.11.2022</t>
  </si>
  <si>
    <t>4.11.2020 zrušeno</t>
  </si>
  <si>
    <t>1.1.-1.11.2023</t>
  </si>
  <si>
    <t>VZ-2020-001200</t>
  </si>
  <si>
    <t>Dodávka serverů pro bezpečnostní infrastrukturu</t>
  </si>
  <si>
    <t>3.2.25.</t>
  </si>
  <si>
    <t>SMLN-2020-618-000104</t>
  </si>
  <si>
    <t>SMLN-2020-618-000105</t>
  </si>
  <si>
    <t>SMLN-2020-617-000519
SMLN-2020-612-000111</t>
  </si>
  <si>
    <t>ČEZ Energetické služby s.r.o.</t>
  </si>
  <si>
    <t>1.1.-3.11.2023</t>
  </si>
  <si>
    <t>SMLN-2020-617-000521
SMLN-2020-612-000112</t>
  </si>
  <si>
    <t>VZ-2020-001209</t>
  </si>
  <si>
    <t>Laboratorní váhy</t>
  </si>
  <si>
    <t>38311000-9</t>
  </si>
  <si>
    <t>SMLN-2020-617-000525
SMLN-2020-612-000114</t>
  </si>
  <si>
    <t>Výměna vodoměrů a ovládání uzavíracích ventilů na vodovodním řádu</t>
  </si>
  <si>
    <t>SMLN-2020-612-000115</t>
  </si>
  <si>
    <t>VZ-2020-001222</t>
  </si>
  <si>
    <t>Kancelářské zařízení pro kopírování, skenování a tisk</t>
  </si>
  <si>
    <t xml:space="preserve">Hygienické zabezpečení vody budova P </t>
  </si>
  <si>
    <t>VZ-2020-001228</t>
  </si>
  <si>
    <t>L01A Alkylační látky 2020</t>
  </si>
  <si>
    <t>MONOHYDRÁT CYKLOFOSFAMIDU</t>
  </si>
  <si>
    <t xml:space="preserve">MELFALAN </t>
  </si>
  <si>
    <t xml:space="preserve">IFOSFAMID </t>
  </si>
  <si>
    <t>BUSULFAN</t>
  </si>
  <si>
    <t>THIOTEPA</t>
  </si>
  <si>
    <t>KARMUSTIN</t>
  </si>
  <si>
    <t>VZ-2020-001229</t>
  </si>
  <si>
    <t>Antibakteriální léčiva pro systémovou aplikaci 2020</t>
  </si>
  <si>
    <t xml:space="preserve">AMPICILIN A INHIBITOR BETA-LAKTAMASY </t>
  </si>
  <si>
    <t xml:space="preserve">PIPERACILIN A INHIBITOR BETA-LAKTAMASY </t>
  </si>
  <si>
    <t xml:space="preserve">CEFTAZIDIM </t>
  </si>
  <si>
    <t xml:space="preserve">TOBRAMYCIN </t>
  </si>
  <si>
    <t>CIPROFLOXACIN I.V.</t>
  </si>
  <si>
    <t xml:space="preserve">KOLISTIN </t>
  </si>
  <si>
    <t>KLARITHROMYCIN INF.</t>
  </si>
  <si>
    <t>LINEZOLID  SANDOZ</t>
  </si>
  <si>
    <t>VZ-2020-001230</t>
  </si>
  <si>
    <t>LP ze skupiny inhalačních sympatomimetik 2020</t>
  </si>
  <si>
    <t>AIRFLUSAN</t>
  </si>
  <si>
    <t>FULLHALE</t>
  </si>
  <si>
    <t>SERETIDE</t>
  </si>
  <si>
    <t>SYMBICORT</t>
  </si>
  <si>
    <t xml:space="preserve">VILANTEROL A FLUTIKASON-FUROÁT </t>
  </si>
  <si>
    <t xml:space="preserve">FORMOTEROL A BEKLOMETASON </t>
  </si>
  <si>
    <t>FORMOTEROL A FLUTIKASON</t>
  </si>
  <si>
    <t>3.11.2020 zrušeno</t>
  </si>
  <si>
    <t>MIZ Olomouc, s.r.o.</t>
  </si>
  <si>
    <t>VZ-2020-001231</t>
  </si>
  <si>
    <t>1.1.-10.11.2023</t>
  </si>
  <si>
    <t>SMLN-2020-618-000108</t>
  </si>
  <si>
    <t>SMLN-2020-617-000526
SMLN-2020-616-000056</t>
  </si>
  <si>
    <t>SMLN-2020-618-000109</t>
  </si>
  <si>
    <t>VZ-2020-001239</t>
  </si>
  <si>
    <t>VZ-2020-001240</t>
  </si>
  <si>
    <t xml:space="preserve">Nové dopojení vody do Budovy R </t>
  </si>
  <si>
    <t>MERIT group a.s.</t>
  </si>
  <si>
    <t>SMLN-2020-617-000528</t>
  </si>
  <si>
    <t>4.2.148, 149</t>
  </si>
  <si>
    <t>SEADON s.r.o.</t>
  </si>
  <si>
    <t>Dodání a montáž chladících jednotek v budově A a T</t>
  </si>
  <si>
    <t>SMLN-2020-617-000530</t>
  </si>
  <si>
    <t>1.1.-12.11.2023</t>
  </si>
  <si>
    <t>SMLN-2020-618-000111</t>
  </si>
  <si>
    <t>SMLN-2020-618-000110</t>
  </si>
  <si>
    <t>SEADON, s.r.o.</t>
  </si>
  <si>
    <t>VZ-2020-001248</t>
  </si>
  <si>
    <t>Automatický pipetovací systém</t>
  </si>
  <si>
    <t>VZ-2020-001071</t>
  </si>
  <si>
    <t>Polohovatelná křesla III.</t>
  </si>
  <si>
    <t>nová VZ-2020-001071</t>
  </si>
  <si>
    <t>SMLN-2020-617-000534
SMLN-2020-612-000117</t>
  </si>
  <si>
    <t>MEDIFINE a.s.</t>
  </si>
  <si>
    <t>1.1.-15.11.2023</t>
  </si>
  <si>
    <t>1.1.-19.11.2024</t>
  </si>
  <si>
    <t>6 let s automatickou prolongací</t>
  </si>
  <si>
    <t>1.1.-19.11.2023</t>
  </si>
  <si>
    <t>SMLN-2020-618-000113</t>
  </si>
  <si>
    <t>SMLN-2020-618-000114</t>
  </si>
  <si>
    <t>VZ-2020-001251</t>
  </si>
  <si>
    <t>TAMOXIFEN</t>
  </si>
  <si>
    <t>FULVESTRANT</t>
  </si>
  <si>
    <t>33652200-7</t>
  </si>
  <si>
    <t>VZ-2020-001225</t>
  </si>
  <si>
    <t>VZ-2020-001257</t>
  </si>
  <si>
    <t>Aspirační katétry intrakraniální k aspirační tromboktomii tepen mozkového povodí</t>
  </si>
  <si>
    <t>VZ-2020-001258</t>
  </si>
  <si>
    <t>Operační jednotka včetně 3D zobrazovacího systému a materiál spotřební pro chir.předního a zadního segmentu oka</t>
  </si>
  <si>
    <t>1.1.-24.11.2022</t>
  </si>
  <si>
    <t>Spinemedical s.r.o.</t>
  </si>
  <si>
    <t>VZ-2020-001259</t>
  </si>
  <si>
    <t xml:space="preserve">Oprava páteřního rozvodu vody budova J1-J3 </t>
  </si>
  <si>
    <t>VZ-2020-001265</t>
  </si>
  <si>
    <t>VZ-2020-001266</t>
  </si>
  <si>
    <t>LP ze skupiny inhalačních sympatomimetik 2020 II.</t>
  </si>
  <si>
    <t xml:space="preserve">FENOTEROL A IPRATROPIUM-BROMID </t>
  </si>
  <si>
    <t xml:space="preserve">INDAKATEROL A GLYCOPYRRONIUM-BROMID </t>
  </si>
  <si>
    <t>BRIMICA GENUAIR</t>
  </si>
  <si>
    <t>DIHYDRÁT FORMOTEROL-FUMARÁTU  A GLYKOPYRRONIUM-BROMID</t>
  </si>
  <si>
    <t xml:space="preserve">OLODATEROL A TIOTROPIUM-BROMID </t>
  </si>
  <si>
    <t>33674000-5</t>
  </si>
  <si>
    <t>ACC Injekt</t>
  </si>
  <si>
    <t>AMBROBENE INJ.</t>
  </si>
  <si>
    <t xml:space="preserve">DORNASA ALFA </t>
  </si>
  <si>
    <t xml:space="preserve">ERDOSTEIN </t>
  </si>
  <si>
    <t>Mukolytika 2020</t>
  </si>
  <si>
    <t>SMLN-2020-617-000536</t>
  </si>
  <si>
    <t>SMLN-2020-617-000537</t>
  </si>
  <si>
    <t>SMLN-2020-617-000538</t>
  </si>
  <si>
    <t>1.1.-24.11.2024</t>
  </si>
  <si>
    <t xml:space="preserve">45112000-5 </t>
  </si>
  <si>
    <t>VZ-2020-001269</t>
  </si>
  <si>
    <t>Statické zajištění opěrné stěny na ul. Albertova</t>
  </si>
  <si>
    <t>27.10.2020 zrušeno</t>
  </si>
  <si>
    <t>CANBERRA-PACKARD, s.r.o.</t>
  </si>
  <si>
    <t>VZ-2020-001275</t>
  </si>
  <si>
    <t>Jiná antimykotika pro systémovou aplikaci 2020</t>
  </si>
  <si>
    <t>Mikafungin</t>
  </si>
  <si>
    <t>Anidulafungin</t>
  </si>
  <si>
    <t>1.1.-24.11.2023</t>
  </si>
  <si>
    <t>SMLN-2020-617-000541
SMLN-2020-612-000122</t>
  </si>
  <si>
    <t>SMLN-2020-617-000540
SMLN-2020-612-000120
SMLN-2020-612-000121</t>
  </si>
  <si>
    <t>SMLN-2020-612-000119</t>
  </si>
  <si>
    <t>servis na dobu neurčitou</t>
  </si>
  <si>
    <t>SMLN-2020-617-000543</t>
  </si>
  <si>
    <t>1.12.2020 zrušeno</t>
  </si>
  <si>
    <t>VZ-2020-001280</t>
  </si>
  <si>
    <t>Spotřební materiál pro elektroanatomický 3D mapovací systém - sdružený nákup</t>
  </si>
  <si>
    <t>2.12. vyloučení JPM na podpis</t>
  </si>
  <si>
    <t>SMLN-2020-617-000544
SMLN-2020-614-000062
SMLN-2020-616-000064</t>
  </si>
  <si>
    <t>SMLN-2020-617-000546
SMLN-2020-614-000064</t>
  </si>
  <si>
    <t>SMLN-2020-617-000547
SMLN-2020-614-000065</t>
  </si>
  <si>
    <t>SMLN-2020-617-000548
SMLN-2020-614-000066</t>
  </si>
  <si>
    <t>SMLN-2020-617-000545
SMLN-2020-614-000065</t>
  </si>
  <si>
    <t xml:space="preserve">Výtahy-Elektro Žižka spol. s r.o.                               </t>
  </si>
  <si>
    <t>SMLN-2020-617-000549</t>
  </si>
  <si>
    <t>SMLN-2020-617-000550</t>
  </si>
  <si>
    <t>SMLN-2020-617-000551</t>
  </si>
  <si>
    <t>SMLN-2020-617-000552</t>
  </si>
  <si>
    <t>SMLN-2020-617-000553</t>
  </si>
  <si>
    <t>SMLN-2020-617-000554</t>
  </si>
  <si>
    <t>VZ-2020-001283</t>
  </si>
  <si>
    <t>VZ-2020-001285</t>
  </si>
  <si>
    <t>Implatabilní kardiovertery-defibrilátory pro komplexní management pacientů s vysokým rizikem infekčních komplikací</t>
  </si>
  <si>
    <t>Chirurgické nástroje dle katalogového čísla výrobce AESCULAP AG</t>
  </si>
  <si>
    <t>Chirurgické nástroje dle katalogového čísla výrobce MEDIN, a.s., Allgaier instrumente GmbH</t>
  </si>
  <si>
    <t>Chirurgické nástroje dle katalogového čísla výrobce KARL STORZ GmbH, SPIGGLE &amp; THEIS Medizintechnik GmbH, MEDICON eG</t>
  </si>
  <si>
    <t>Chirurgické nástroje dle katalogového čísla výrobce Bausch &amp; Lomb, GmbH</t>
  </si>
  <si>
    <t>Chirurgické nástroje dle katalogového čísla výrobce ASANUS Medizintechnik GmbH</t>
  </si>
  <si>
    <t>Chirurgické nástroje dle katalogového čísla výrobce Tekno-Medical, GmbH</t>
  </si>
  <si>
    <t>Chirurgické nástroje dle katalogového čísla výrobce KATENA PRODUCTS, INC.</t>
  </si>
  <si>
    <t>1.1.-1.12.2024</t>
  </si>
  <si>
    <t>zrušeno - rozdělit VZ na části</t>
  </si>
  <si>
    <t>VZ-2020-001299</t>
  </si>
  <si>
    <t>FN Olomouc - Intervenční kardiologie II</t>
  </si>
  <si>
    <t>Laboratorní váha pro Ústav mikrobiologie</t>
  </si>
  <si>
    <t>Laboratorní váha pro Oddělení klinické biochemie</t>
  </si>
  <si>
    <t>Laboratorní váha ke gravimetrické přípravě cytostatik pro Lékárnu</t>
  </si>
  <si>
    <t>Laboratorní váha pro přípravu paenterální výživy pro Lékárnu</t>
  </si>
  <si>
    <t>Laboratorní váha pro přípravu sterilních léčiv pro Lékárnu</t>
  </si>
  <si>
    <t>2.3.470.</t>
  </si>
  <si>
    <t>2.3.469.</t>
  </si>
  <si>
    <t>GROUWE, s.r.o.</t>
  </si>
  <si>
    <t>8.12.2020 zrušeno</t>
  </si>
  <si>
    <t xml:space="preserve">Vodící katetry -  5F </t>
  </si>
  <si>
    <t xml:space="preserve">Aspirační katetry </t>
  </si>
  <si>
    <t>1.1.-6.12.2023</t>
  </si>
  <si>
    <t>nová VZ-2020-001299</t>
  </si>
  <si>
    <t>nová VZ-2020-001283</t>
  </si>
  <si>
    <t>nová VZ-2020-001285</t>
  </si>
  <si>
    <t>SMLN-2020-618-000116</t>
  </si>
  <si>
    <t>SMLN-2020-617-000559</t>
  </si>
  <si>
    <t>SMLN-2020-618-000117</t>
  </si>
  <si>
    <t>Projekty FN Olomouc – F</t>
  </si>
  <si>
    <t>VZ-2020-001312</t>
  </si>
  <si>
    <t>Elektroforéza proteinů OKB 2020 včetně výpůjčky analyzátorů II.</t>
  </si>
  <si>
    <t>nová VZ-2020-001312</t>
  </si>
  <si>
    <t>1.1.-7.12.2022</t>
  </si>
  <si>
    <t>Sety k ASK pumpě</t>
  </si>
  <si>
    <t>Grfols s.r.o.</t>
  </si>
  <si>
    <t>VZ-2020-001320</t>
  </si>
  <si>
    <t>PD - přístavba budovy X</t>
  </si>
  <si>
    <t>1.3.27.</t>
  </si>
  <si>
    <t>LB 2000, s.r.o.</t>
  </si>
  <si>
    <t>1.1.-14.12.2023</t>
  </si>
  <si>
    <t>GRAZAX</t>
  </si>
  <si>
    <t>ORALAIR</t>
  </si>
  <si>
    <t>POLLINEX RYE</t>
  </si>
  <si>
    <t>ACARIZAX</t>
  </si>
  <si>
    <t>POLLINEX TREE</t>
  </si>
  <si>
    <t>ALUTARD SQ HMYZÍ ALERGENY</t>
  </si>
  <si>
    <t>STALORAL 300</t>
  </si>
  <si>
    <t>VZ-2020-001327</t>
  </si>
  <si>
    <t>Extrakty alergenů 2020</t>
  </si>
  <si>
    <t>33675000-2</t>
  </si>
  <si>
    <t>VZ-2020-001328</t>
  </si>
  <si>
    <t>ACIKLOVIR I.V.</t>
  </si>
  <si>
    <t>GANCIKLOVIR</t>
  </si>
  <si>
    <t>CIDOFOVIR</t>
  </si>
  <si>
    <t>Nukleosidy a nukleotidy 2020</t>
  </si>
  <si>
    <t>SMLN-2020-617-000565
SMLN-2020-614-000068
SMLN-2020-616-000071</t>
  </si>
  <si>
    <t>SMLN-2020-617-000564
SMLN-2020-614-000067
SMLN-2020-616-000070</t>
  </si>
  <si>
    <t>SMLN-2020-617-000566
SMLN-2020-614-000069
SMLN-2020-616-000072</t>
  </si>
  <si>
    <t>SMLN-2020-617-000567
SMLN-2020-614-000070
SMLN-2020-616-000073</t>
  </si>
  <si>
    <t>SMLN-2020-617-000568
SMLN-2020-614-000071
SMLN-2020-616-000074</t>
  </si>
  <si>
    <t>SMLN-2020-617-000569
SMLN-2020-614-000072
SMLN-2020-616-000075</t>
  </si>
  <si>
    <t>SMLN-2020-617-000570
SMLN-2020-614-000073
SMLN-2020-616-000076</t>
  </si>
  <si>
    <t>23.11.2020 zrušeno</t>
  </si>
  <si>
    <t>SMLN-2020-617-000571
SMLN-2020-614-000074
SMLN-2020-616-000077</t>
  </si>
  <si>
    <t>SMLN-2020-617-000572
SMLN-2020-614-000075
SMLN-2020-616-000078</t>
  </si>
  <si>
    <t>SMLN-2020-617-000573
SMLN-2020-614-000076
SMLN-2020-616-000079</t>
  </si>
  <si>
    <t>SMLN-2020-617-000574
SMLN-2020-614-000077
SMLN-2020-616-000080</t>
  </si>
  <si>
    <t>SMLN-2020-617-000575
SMLN-2020-614-000078
SMLN-2020-616-000081</t>
  </si>
  <si>
    <t>VZ-2020-001329</t>
  </si>
  <si>
    <t>Výroba a montáž nábytku pro Radiologii, budova A, H a Stravovací provoz, budova WD</t>
  </si>
  <si>
    <t>SMLN-2020-618-000119</t>
  </si>
  <si>
    <t>VZ-2020-001242</t>
  </si>
  <si>
    <t>zrušeno - bez hodnotitlené nabídky, špatně technikcé parametry</t>
  </si>
  <si>
    <t>ACIKLOVIR TBL.</t>
  </si>
  <si>
    <t>SMLN-2020-618-000120</t>
  </si>
  <si>
    <t>SMLN-2020-618-000121</t>
  </si>
  <si>
    <t>SMLN-2020-612-000127</t>
  </si>
  <si>
    <t>SMLN-2020-618-000122</t>
  </si>
  <si>
    <t>VZ-2020-001333</t>
  </si>
  <si>
    <t>Tonometr oční II.</t>
  </si>
  <si>
    <t>2.3.507</t>
  </si>
  <si>
    <t>VZ-2020-001334</t>
  </si>
  <si>
    <t>SMLN-2020-617-000580</t>
  </si>
  <si>
    <t>SMLN-2020-617-000581</t>
  </si>
  <si>
    <t>SMLN-2020-617-000582</t>
  </si>
  <si>
    <t>SMLN-2020-617-000583</t>
  </si>
  <si>
    <t>SMLN-2020-617-000584</t>
  </si>
  <si>
    <t>VV TOP s.r.o.</t>
  </si>
  <si>
    <t>Can 21 s.r.o.</t>
  </si>
  <si>
    <t>SMLN-2020-618-000123</t>
  </si>
  <si>
    <t>23.12.2020 zrušeno</t>
  </si>
  <si>
    <t xml:space="preserve">zrušeno - úpravit zadání </t>
  </si>
  <si>
    <t>1.1.-17.12.2025</t>
  </si>
  <si>
    <t>SMLN-2020-617-000585</t>
  </si>
  <si>
    <t>SMLN-2020-618-000124</t>
  </si>
  <si>
    <t>do 3 měsíců od písemné výzvy</t>
  </si>
  <si>
    <t>LP z ATC L02BA 2020</t>
  </si>
  <si>
    <t>29.12.2020 zrušeno</t>
  </si>
  <si>
    <t>zrušeno - na profilu špatně zadavatel</t>
  </si>
  <si>
    <t>nová VZ-2020-001342</t>
  </si>
  <si>
    <t>VZ-2020-001342</t>
  </si>
  <si>
    <t>Tonometr oční III.</t>
  </si>
  <si>
    <t>VZ-2021-000002</t>
  </si>
  <si>
    <t>Vodorozpustné nízkoosmolární a isoosmolární nefrotropní rtg-kontrastní látky</t>
  </si>
  <si>
    <t>Vodorozpustné nízkoosmolární nefrotropní rtg-kontrastní látky I.</t>
  </si>
  <si>
    <t>Vodorozpustné isoosmolární nefrotropní rtg-kontrastní látky</t>
  </si>
  <si>
    <t>Vodorozpustné nízkoosmolární nefrotropní rtg-kontrastní látky II.</t>
  </si>
  <si>
    <t>VZ-2021-000004</t>
  </si>
  <si>
    <t>Diagnostika PATOLOGIE 2021</t>
  </si>
  <si>
    <t>Chemikálie a diagnostika pro základní a IHC provoz</t>
  </si>
  <si>
    <t>Chemikálie pro základní provoz</t>
  </si>
  <si>
    <t>dle dodání a převzetí IP</t>
  </si>
  <si>
    <t>SMLN-2021-618-000001</t>
  </si>
  <si>
    <t>SMLN-2021-617-000001</t>
  </si>
  <si>
    <t>DATASYS s.r.o.</t>
  </si>
  <si>
    <t>Schoeller Instruments .s.r.o.</t>
  </si>
  <si>
    <t>BARIA, s.r.o.</t>
  </si>
  <si>
    <t>VZ-2021-000013</t>
  </si>
  <si>
    <t>Instrumentárium LigaSure</t>
  </si>
  <si>
    <t>SMLN-2021-617-000004</t>
  </si>
  <si>
    <t>1.1.-27.12.2023</t>
  </si>
  <si>
    <t>1.1.-7.1.2024</t>
  </si>
  <si>
    <t>SMLN-2021-617-000005
SMLN-2021-612-000001
SMLN-2021-617-000006</t>
  </si>
  <si>
    <t>zrušeno - nesplnění kvalifikace</t>
  </si>
  <si>
    <t>zrušeno - nutná úprava zadání</t>
  </si>
  <si>
    <t>VZ-2021-000015</t>
  </si>
  <si>
    <r>
      <t xml:space="preserve">Laboratorní váhy - nová </t>
    </r>
    <r>
      <rPr>
        <b/>
        <i/>
        <sz val="11"/>
        <color theme="1"/>
        <rFont val="Calibri"/>
        <family val="2"/>
        <charset val="238"/>
        <scheme val="minor"/>
      </rPr>
      <t>VZ-2021-000015</t>
    </r>
  </si>
  <si>
    <r>
      <t>Laboratorní váhy - nová</t>
    </r>
    <r>
      <rPr>
        <b/>
        <i/>
        <sz val="11"/>
        <color theme="1"/>
        <rFont val="Calibri"/>
        <family val="2"/>
        <charset val="238"/>
        <scheme val="minor"/>
      </rPr>
      <t xml:space="preserve"> VZ-2021-000015</t>
    </r>
  </si>
  <si>
    <t>VZ-2021-000016</t>
  </si>
  <si>
    <t>Rozšíření tefonního systému DECT</t>
  </si>
  <si>
    <t>3.2.56.</t>
  </si>
  <si>
    <t>SMLN-2021-617-000008
SMLN-2021-612-000002</t>
  </si>
  <si>
    <t>SMLN-2021-618-000002</t>
  </si>
  <si>
    <t>VZ-2021-000019</t>
  </si>
  <si>
    <t>Endoskop pro spondylochirurgické operace</t>
  </si>
  <si>
    <t>2.2.321.</t>
  </si>
  <si>
    <t>CMI, s.r.o.</t>
  </si>
  <si>
    <t>VZ-2021-000026</t>
  </si>
  <si>
    <t>Výměna páteřního rozvodu vody – budova C</t>
  </si>
  <si>
    <t>1.1.-12.1.2026</t>
  </si>
  <si>
    <t>VZ-2021-000030</t>
  </si>
  <si>
    <t>Systém hydrocephální drenážní pro NCHIR</t>
  </si>
  <si>
    <t xml:space="preserve">33141640-8 </t>
  </si>
  <si>
    <t>VZ-2021-000032</t>
  </si>
  <si>
    <t xml:space="preserve"> Katetr radioablační - svorka bipolární pro KCHIR</t>
  </si>
  <si>
    <t>zrušeno - jediná nabídka nesplnila referenci</t>
  </si>
  <si>
    <t>SMLN-2021-617-000011
SMLN-2021-612-000003</t>
  </si>
  <si>
    <t>18.1.2021 zrušení na podpis</t>
  </si>
  <si>
    <t>VZ-2021-000038</t>
  </si>
  <si>
    <t>FN Olomouc - Konektor bezjehlový</t>
  </si>
  <si>
    <t>18.1.2021 zrušeno</t>
  </si>
  <si>
    <t>1.1.-17.1.2026</t>
  </si>
  <si>
    <t>SMLN-2021-617-000012</t>
  </si>
  <si>
    <t>SMLN-2021-617-000013</t>
  </si>
  <si>
    <t>SMLN-2021-617-000014</t>
  </si>
  <si>
    <t>SMLN-2021-617-000016</t>
  </si>
  <si>
    <t>VZ-2021-000045</t>
  </si>
  <si>
    <t>PD - SÚ 1.PP objektu D1 pro obnovu 2 angiografických kompletů</t>
  </si>
  <si>
    <t>1.2.72.</t>
  </si>
  <si>
    <t>VZ-2021-000051</t>
  </si>
  <si>
    <t>nová VZ-2021-000051</t>
  </si>
  <si>
    <t>VZ-2021-000054</t>
  </si>
  <si>
    <t xml:space="preserve">TEP kolenního kloubu </t>
  </si>
  <si>
    <t>FN Olomouc - Totální endoprotézy kyčelního a kolenního kloubu</t>
  </si>
  <si>
    <t>TEP kolenního kloubu - speciál</t>
  </si>
  <si>
    <t>TEP kyčelního kloubu - primární</t>
  </si>
  <si>
    <t>TEP kyčelního kloubu - revizní</t>
  </si>
  <si>
    <t>1.1.-20.1.2023</t>
  </si>
  <si>
    <t>SMLN-2021-617-000018
SMLN-2021-612-000004
SMLN-2021-617-000019</t>
  </si>
  <si>
    <t>SMLN-2021-618-000005</t>
  </si>
  <si>
    <t>SMLN-2021-618-000004</t>
  </si>
  <si>
    <t>VZ-2021-000055</t>
  </si>
  <si>
    <t>SMLN-2021-617-000020
SMLN-2021-614-000001
SMLN-2021-616-000004</t>
  </si>
  <si>
    <t>VZ-2021-000057</t>
  </si>
  <si>
    <t>Mimotělní oběh</t>
  </si>
  <si>
    <t>2.3.492.</t>
  </si>
  <si>
    <t>VZ-2021-000058</t>
  </si>
  <si>
    <t>SMLN-2021-617-000021
SMLN-2021-614-000002
SMLN-2021-616-000006</t>
  </si>
  <si>
    <t>SMLN-2021-617-000022</t>
  </si>
  <si>
    <t>Somasenzory INVOS pro dospělé a novorozence</t>
  </si>
  <si>
    <t>Senzory Fore-sight ELITE dual velký</t>
  </si>
  <si>
    <t>VZ-2021-000068</t>
  </si>
  <si>
    <t>Fénix Dental s.r.o.</t>
  </si>
  <si>
    <t>SMLN-2021-617-000023
SMLN-2021-616-000007
SMLN-2021-613-000008</t>
  </si>
  <si>
    <t>VZ-2021-000069</t>
  </si>
  <si>
    <t>1.2.73.</t>
  </si>
  <si>
    <t>PD - Stavební úpravy operačních sálů KÚČOCH</t>
  </si>
  <si>
    <t>VZ-2021-000077</t>
  </si>
  <si>
    <t>Výroba a montáž nábytku 2021</t>
  </si>
  <si>
    <t>Alcon Pharmaceuticals Czech Republic s.r.o.</t>
  </si>
  <si>
    <t>28.1.2021 zrušeno</t>
  </si>
  <si>
    <t>PENTA PROJEKT s.r.o.</t>
  </si>
  <si>
    <t>VZ-2021-000088</t>
  </si>
  <si>
    <t>1.1.-28.1.2024</t>
  </si>
  <si>
    <t>SMLN-2021-617-000028</t>
  </si>
  <si>
    <t>SMLN-2021-617-000029</t>
  </si>
  <si>
    <t>SMLN-2021-617-000030</t>
  </si>
  <si>
    <t>SMLN-2021-617-000032</t>
  </si>
  <si>
    <t>SMLN-2021-617-000033</t>
  </si>
  <si>
    <t>SMLN-2021-617-000034</t>
  </si>
  <si>
    <t>VZ-2021-000092</t>
  </si>
  <si>
    <t>Cáhlíková</t>
  </si>
  <si>
    <t>VZ-2021-000096</t>
  </si>
  <si>
    <t>Environmentální a energetická certifikace budovy P3</t>
  </si>
  <si>
    <t>71314000-2</t>
  </si>
  <si>
    <t>SMLN-2021-618-000006</t>
  </si>
  <si>
    <t>ELNAR spol. s r.o.</t>
  </si>
  <si>
    <t>VZ-2021-000099</t>
  </si>
  <si>
    <t>Inokulační automat</t>
  </si>
  <si>
    <t>2.2.274.</t>
  </si>
  <si>
    <t>Zdeněk Hybner</t>
  </si>
  <si>
    <t>SMLN-2021-618-000007</t>
  </si>
  <si>
    <t>VZ-2021-000100</t>
  </si>
  <si>
    <t>FN Olomouc - Neurostimulační systémy  II.</t>
  </si>
  <si>
    <t>nová VZ-2021-000100</t>
  </si>
  <si>
    <t>Swixx Biopharma s.r.o.</t>
  </si>
  <si>
    <t>SMLN-2021-617-000038
SMLN-2021-617-000039
SMLN-2021-612-000005</t>
  </si>
  <si>
    <t>SMLN-2021-617-000037
SMLN-2021-616-000010</t>
  </si>
  <si>
    <t>1.1.-3.2.2023</t>
  </si>
  <si>
    <t>VZ-2021-000103</t>
  </si>
  <si>
    <t>Výměna 2ks dveří ve 3.NP v budově A</t>
  </si>
  <si>
    <t>VZ-2021-000104</t>
  </si>
  <si>
    <t>Chemodezinfektory videobronchoskopů</t>
  </si>
  <si>
    <t>Prokládací chemodezinfektor pro Plicní kliniku</t>
  </si>
  <si>
    <t>Chemodezinfektor pro Dětskou kliniku</t>
  </si>
  <si>
    <t>SMLN-2021-617-000046</t>
  </si>
  <si>
    <t>SMLN-2021-617-000047</t>
  </si>
  <si>
    <t>SMLN-2021-617-000048</t>
  </si>
  <si>
    <t>SMLN-2021-617-000049</t>
  </si>
  <si>
    <t>SMLN-2021-617-000041</t>
  </si>
  <si>
    <t>SMLN-2021-617-000042</t>
  </si>
  <si>
    <t>SMLN-2021-617-000044</t>
  </si>
  <si>
    <t>SMLN-2021-617-000043</t>
  </si>
  <si>
    <t>3.2.2021 zrušeno</t>
  </si>
  <si>
    <t>VZ-2021-000105</t>
  </si>
  <si>
    <t>2.3.451.</t>
  </si>
  <si>
    <t>2.3.462.</t>
  </si>
  <si>
    <t>MEDESA care s.r.o.</t>
  </si>
  <si>
    <t>SMLN-2021-617-000051
SMLN-2021-612-000006
SMLN-2021-617-000052</t>
  </si>
  <si>
    <t>ProfiToner s.r.o.</t>
  </si>
  <si>
    <t>SMLN-2021-617-000053</t>
  </si>
  <si>
    <t>Ablační katetry pro 3D mapování a ablaci s aktivním navigačním senzorem</t>
  </si>
  <si>
    <t>Diagnostické katetry s proměnným zakřivením pro mapování s vysokým rozlišením - dekapolární pro mapování plicních žil</t>
  </si>
  <si>
    <r>
      <t>Spotřební materiál pro elektroanatomický 3D mapovací systém -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</si>
  <si>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r>
      <t xml:space="preserve">Spotřební materiál pro elektroanatomický 3D mapovací systém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</si>
  <si>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VZ-2021-000120</t>
  </si>
  <si>
    <t>VZ-2021-000119</t>
  </si>
  <si>
    <t>Sonda ablační Cryoflex</t>
  </si>
  <si>
    <t>VZ-2021-000121</t>
  </si>
  <si>
    <t>Bateriová vrtačka a vzduchem poháněné jednotky</t>
  </si>
  <si>
    <t>Vrtačka s elektrickým akumulátorovým pohonem - TRAUMATOLOGIE</t>
  </si>
  <si>
    <t>Vrtací / pilové vzduchem poháněné jednotky - COSS, ORTOPEDIE</t>
  </si>
  <si>
    <t>2.2.272.</t>
  </si>
  <si>
    <t>2.3.488., 2.3.500.</t>
  </si>
  <si>
    <t>SMLN-2021-618-000008</t>
  </si>
  <si>
    <t>CareMed s.r.o.</t>
  </si>
  <si>
    <t>SMLN-2021-617-000055</t>
  </si>
  <si>
    <t>VKUS-BUSTAN s.r.o.</t>
  </si>
  <si>
    <t>SMLN-2021-617-000057</t>
  </si>
  <si>
    <t>VZ-2021-000130</t>
  </si>
  <si>
    <t>Inhibitory proteinkináz 2021</t>
  </si>
  <si>
    <t>Imatinib pro indikaci GIST</t>
  </si>
  <si>
    <t>NILOTINIB</t>
  </si>
  <si>
    <t xml:space="preserve">KABOZANTINIB </t>
  </si>
  <si>
    <t>CERITINIB</t>
  </si>
  <si>
    <t>LORLATINIB</t>
  </si>
  <si>
    <t>VZ-2021-000132</t>
  </si>
  <si>
    <t>Monitory FNOL 2021</t>
  </si>
  <si>
    <t>Interferony 2021</t>
  </si>
  <si>
    <t>INTERFERON ALFA-2B</t>
  </si>
  <si>
    <t>INTERFERON BETA-1A I.</t>
  </si>
  <si>
    <t>INTERFERON BETA-1A II.</t>
  </si>
  <si>
    <t>ROPEGINTERFERON ALFA-2B</t>
  </si>
  <si>
    <t>VZ-2021-000133</t>
  </si>
  <si>
    <t>VZ-2021-000134</t>
  </si>
  <si>
    <t>Automatický skenovací systém</t>
  </si>
  <si>
    <t>Roman Lébl</t>
  </si>
  <si>
    <t>Innova Medical s.r.o.</t>
  </si>
  <si>
    <t>VZ-2021-000140</t>
  </si>
  <si>
    <t>nová VZ-2021-000140</t>
  </si>
  <si>
    <t>VZ-2021-000072</t>
  </si>
  <si>
    <t>KONTR.</t>
  </si>
  <si>
    <t>Foks</t>
  </si>
  <si>
    <t xml:space="preserve">Manažerský informační systém </t>
  </si>
  <si>
    <t>8.2.2021 zrušeno</t>
  </si>
  <si>
    <t>VZ-2021-000144</t>
  </si>
  <si>
    <t>50411100-0</t>
  </si>
  <si>
    <t>Česká společnosti pro akreditaci ve zdravotnictví s.r.o.</t>
  </si>
  <si>
    <t>VZ-2021-000147</t>
  </si>
  <si>
    <t>Katetry BARRX  pro radiofrekvenční ablaci při léčbě Barretova jícnu</t>
  </si>
  <si>
    <t>SMLN-2021-612-000007</t>
  </si>
  <si>
    <t>18.2.2021 zrušeno</t>
  </si>
  <si>
    <t>SMLN-2021-618-000009</t>
  </si>
  <si>
    <t>VZ-2021-000148</t>
  </si>
  <si>
    <t>Motodlahy</t>
  </si>
  <si>
    <t>2.2.308, 2.2.309</t>
  </si>
  <si>
    <t>SMLN-2021-617-000066
SMLN-2021-614-000004</t>
  </si>
  <si>
    <t>SMLN-2021-617-000067
SMLN-2021-614-000005</t>
  </si>
  <si>
    <t>SMLN-2021-617-000068
SMLN-2021-614-000006</t>
  </si>
  <si>
    <t>SMLN-2021-617-000069
SMLN-2021-614-000007</t>
  </si>
  <si>
    <t>SMLN-2021-617-000070
SMLN-2021-614-000008</t>
  </si>
  <si>
    <t>VZ-2021-000153</t>
  </si>
  <si>
    <t>Dodání a výměna 2ks bezolejových kompresorových jednotek</t>
  </si>
  <si>
    <t>EP Rožnov, a.s..</t>
  </si>
  <si>
    <t>SMLN-2021-618-000010</t>
  </si>
  <si>
    <t>SMLN-2021-617-000071</t>
  </si>
  <si>
    <t>SMLN-2021-617-000072</t>
  </si>
  <si>
    <t>SMLN-2021-617-000073</t>
  </si>
  <si>
    <t>SMLN-2021-617-000074</t>
  </si>
  <si>
    <t>SMLN-2021-617-000075</t>
  </si>
  <si>
    <t>SMLN-2021-617-000076</t>
  </si>
  <si>
    <t>SMLN-2021-617-000077</t>
  </si>
  <si>
    <t>SMLN-2021-617-000079
SMLN-2021-612-000009</t>
  </si>
  <si>
    <t>SMLN-2021-617-000078</t>
  </si>
  <si>
    <t>SMLN-2021-617-000080</t>
  </si>
  <si>
    <t>VZ-2021-000161</t>
  </si>
  <si>
    <t>CPET - Spiroergometrie II</t>
  </si>
  <si>
    <t>nová VZ-2021-000161</t>
  </si>
  <si>
    <t>SMLN-2021-617-000040
SMLN-2021-616-000011</t>
  </si>
  <si>
    <t>SMLN-2021-617-000081</t>
  </si>
  <si>
    <t>SMLN-2021-617-000082</t>
  </si>
  <si>
    <t>VZ-2021-000162</t>
  </si>
  <si>
    <t>Tiskárny FNOL 2021</t>
  </si>
  <si>
    <t>30232110-8, 30232120-1</t>
  </si>
  <si>
    <t>SMLN-2021-617-000083</t>
  </si>
  <si>
    <t>SMLN-2021-617-000084</t>
  </si>
  <si>
    <t>SMLN-2021-617-000085</t>
  </si>
  <si>
    <t>SMLN-2021-617-000086</t>
  </si>
  <si>
    <t>SMLN-2021-617-000087</t>
  </si>
  <si>
    <t>SMLN-2021-617-000088</t>
  </si>
  <si>
    <t>VZ-2021-000165</t>
  </si>
  <si>
    <t>Okludery určené ke katetrizačnímu uzávěru ouška levé síně</t>
  </si>
  <si>
    <t>VZ-2021-000167</t>
  </si>
  <si>
    <t>38. Vodící dráty k vaskulárním neurointervencím IV.</t>
  </si>
  <si>
    <t>Okludery určené ke katetrizačnímu uzávěru defektu septa síní a otevřeného (patentního) foramen ovale, včetně instrumentária k provedení výkonu</t>
  </si>
  <si>
    <t>VZ-2021-000174</t>
  </si>
  <si>
    <t>VZ-2021-000175</t>
  </si>
  <si>
    <t xml:space="preserve">Vysokoúčinný kapalinový chromatograf s hmotnostním spektrometrem (UHPLC-HRMS) </t>
  </si>
  <si>
    <t>38432200-4
38433100-0</t>
  </si>
  <si>
    <t>2.3.484.</t>
  </si>
  <si>
    <t>2.3.464.</t>
  </si>
  <si>
    <t>Monoklonální protilátky 2021</t>
  </si>
  <si>
    <t>POLATUZUMAB VEDOTIN</t>
  </si>
  <si>
    <t>INOTUZUMAB OZOGAMICIN</t>
  </si>
  <si>
    <t>AVELUMAB</t>
  </si>
  <si>
    <t>CEMIPLIMAB</t>
  </si>
  <si>
    <t>DURVALUMAB</t>
  </si>
  <si>
    <t>VZ-2021-000183</t>
  </si>
  <si>
    <t>Ablační katetry pro provádění konvečních ablací</t>
  </si>
  <si>
    <t xml:space="preserve">Základní diagnostické katetry fixní </t>
  </si>
  <si>
    <t>Hemostatický zavaděč katetrů - stabilizační fixní</t>
  </si>
  <si>
    <t>Hemostatický zavaděč katetrů - stabilizační řiditelný</t>
  </si>
  <si>
    <t>VZ-2021-000182</t>
  </si>
  <si>
    <t>FN Olomouc - Elektrofyziologie</t>
  </si>
  <si>
    <t>VZ-2021-000184</t>
  </si>
  <si>
    <t>Antiandrogeny 2021</t>
  </si>
  <si>
    <t>ENZALUTAMID</t>
  </si>
  <si>
    <t>APALUTAMID</t>
  </si>
  <si>
    <t>VZ-2021-000185</t>
  </si>
  <si>
    <t>Léčiva z ATC R03DX  2021</t>
  </si>
  <si>
    <t>MEPOLIZUMAB</t>
  </si>
  <si>
    <t>BENRALIZUMAB</t>
  </si>
  <si>
    <t>VZ-2021-000186</t>
  </si>
  <si>
    <t>Jiná systémová hemostatika 2021</t>
  </si>
  <si>
    <t>ELTROMBOPAG</t>
  </si>
  <si>
    <t>Inhibitory TNF Alfa 2021</t>
  </si>
  <si>
    <t>VZ-2021-000187</t>
  </si>
  <si>
    <t>Humira pro rozléčené pacienty</t>
  </si>
  <si>
    <t>1.1.-21.2.2024</t>
  </si>
  <si>
    <t>JMK elektro, s.r.o.</t>
  </si>
  <si>
    <t>1.1.-24.2.2023</t>
  </si>
  <si>
    <t>1.1.-24.2.2024</t>
  </si>
  <si>
    <t>SMLN-2021-617-000090
SMLN-2021-614-000010
SMLN-2021-616-000015</t>
  </si>
  <si>
    <t>SMLN-2021-618-000011</t>
  </si>
  <si>
    <t>SMLN-2021-617-000091</t>
  </si>
  <si>
    <t>SMLN-2021-617-000092</t>
  </si>
  <si>
    <t>SMLN-2021-617-000093</t>
  </si>
  <si>
    <t>SMLN-2021-617-000094</t>
  </si>
  <si>
    <t>26.2.2020 vyloučení a zrušeno</t>
  </si>
  <si>
    <t>zrušeno - ViaPharma neposkytla součinost k uzavření smlouvy</t>
  </si>
  <si>
    <t>VZ-2021-000193</t>
  </si>
  <si>
    <t>VZ-2021-000196</t>
  </si>
  <si>
    <t>Servisní podpora LIMS pro genetickou laboratoř s možností náhrady SW</t>
  </si>
  <si>
    <t>VZ-2021-000198</t>
  </si>
  <si>
    <t>servis  + SM</t>
  </si>
  <si>
    <t>SMLN-2021-617-000095</t>
  </si>
  <si>
    <t>SMLN-2021-617-000096</t>
  </si>
  <si>
    <t>SMLN-2021-617-000097</t>
  </si>
  <si>
    <t>SMLN-2021-617-000098</t>
  </si>
  <si>
    <t>2.3.2021 zrušeno</t>
  </si>
  <si>
    <t>19.2.2020 vyloučení a zrušeno</t>
  </si>
  <si>
    <t>Realizace nástavby budovy A</t>
  </si>
  <si>
    <t>1.1.-2.3.2023</t>
  </si>
  <si>
    <t>VZ-2021-000203</t>
  </si>
  <si>
    <t>SMLN-2021-617-000101</t>
  </si>
  <si>
    <t>VZ-2021-000207</t>
  </si>
  <si>
    <t>Turnikety</t>
  </si>
  <si>
    <t>2.2.270, 2.3.376., 2.3.447</t>
  </si>
  <si>
    <t>Implantabilní neurostimulační systém dvoukanálový k léčbě bolestivých stavů - MRI kompatibilní - dobíjitelný</t>
  </si>
  <si>
    <t>Katétr pro dočasnou stimulaci Pacel a zavaděč pro dočasnou stimulaci FastCath</t>
  </si>
  <si>
    <t>zrušeno - upravit zadání</t>
  </si>
  <si>
    <t>SMLN-2021-618-000012</t>
  </si>
  <si>
    <t>VZ-2021-000211</t>
  </si>
  <si>
    <t xml:space="preserve">Satura menisku - Kotva na meniskus  -  souprava </t>
  </si>
  <si>
    <t>1.1.-8.3.2024</t>
  </si>
  <si>
    <t>SMLN-2021-617-000102</t>
  </si>
  <si>
    <t>SMLN-2021-617-000103</t>
  </si>
  <si>
    <t>MEDILAB ČR, s.r.o.</t>
  </si>
  <si>
    <t>VZ-2021-000215</t>
  </si>
  <si>
    <t>Plánovací systém pro brachyterapii</t>
  </si>
  <si>
    <t>2.3.508.</t>
  </si>
  <si>
    <t>6 let + doba neurčitá</t>
  </si>
  <si>
    <t>VZ-2021-000218</t>
  </si>
  <si>
    <t>Mobilní ultrazvukový systém pro Ortopedii</t>
  </si>
  <si>
    <t>33112000-8</t>
  </si>
  <si>
    <t>Ultrazvukový systém pro II. Interní kliniku</t>
  </si>
  <si>
    <t>2.2.271.</t>
  </si>
  <si>
    <t>2.3.505.</t>
  </si>
  <si>
    <t>VZ-2021-000222</t>
  </si>
  <si>
    <t>Nestabilita kolene - Šroub interferenční vstřebatelný pro rekonstrukci křížového vazu</t>
  </si>
  <si>
    <t>SMLN-2021-617-000104
SMLN-2021-614-000011</t>
  </si>
  <si>
    <t>1.1.-9.3.2023</t>
  </si>
  <si>
    <t>1.1.-9.3.2024</t>
  </si>
  <si>
    <t>VZ-2021-000231</t>
  </si>
  <si>
    <t>Vrtací a pilový systém pro orální chirurgii</t>
  </si>
  <si>
    <t>33131510-5</t>
  </si>
  <si>
    <t>2.3.440.</t>
  </si>
  <si>
    <t>1.1.-10.3.2024</t>
  </si>
  <si>
    <t>1.1.-10.3.2022</t>
  </si>
  <si>
    <t>SMLN-2021-617-000106</t>
  </si>
  <si>
    <t>zrušeno - upravit specifikaci</t>
  </si>
  <si>
    <t>VZ-2021-000234</t>
  </si>
  <si>
    <t xml:space="preserve">Pozáruční servis aktivních prvků </t>
  </si>
  <si>
    <t>SMLN-2021-617-000108</t>
  </si>
  <si>
    <t>SMLN-2021-617-000107</t>
  </si>
  <si>
    <t>1.1.-14.3.2023</t>
  </si>
  <si>
    <t xml:space="preserve">Senzory k měření cerebrální oxymetrie </t>
  </si>
  <si>
    <t>SMLN-2021-617-000109
SMLN-2021-614-000012</t>
  </si>
  <si>
    <t>SMLN-2021-617-000111
SMLN-2021-612-000011
SMLN-2021-617-000112</t>
  </si>
  <si>
    <t>SMLN-2021-617-000110
SMLN-2021-614-000013</t>
  </si>
  <si>
    <t>1.1.-14.3.2022</t>
  </si>
  <si>
    <t xml:space="preserve">Oprava plotu na ulici Hněvotínská </t>
  </si>
  <si>
    <t xml:space="preserve">45342000-6 </t>
  </si>
  <si>
    <t>1.1.-14.3.2026</t>
  </si>
  <si>
    <t>1.1.-14.3.2024</t>
  </si>
  <si>
    <t>VZ-2021-000238</t>
  </si>
  <si>
    <t>Automatický skenovací systém II.</t>
  </si>
  <si>
    <t>2.3.452.</t>
  </si>
  <si>
    <t>nová VZ-2021-000238</t>
  </si>
  <si>
    <t>VZ-2021-000243</t>
  </si>
  <si>
    <t xml:space="preserve"> Vysokofrekvenční ventilátor pro novorozence a malé děti</t>
  </si>
  <si>
    <t>VZ-2021-000245</t>
  </si>
  <si>
    <t>Rotátorová manžeta - Kotvička nevstřebatelná a vstřebatelná</t>
  </si>
  <si>
    <t>VZ-2021-000249</t>
  </si>
  <si>
    <t>SMLN-2021-617-000117</t>
  </si>
  <si>
    <t>SMLN-2021-617-000115
SMLN-2021-617-000116
SMLN-2021-614-000014</t>
  </si>
  <si>
    <t>EkoWATT CZ s.r.o.</t>
  </si>
  <si>
    <t>VZ-2021-000253</t>
  </si>
  <si>
    <t>4.2.152.</t>
  </si>
  <si>
    <t>42512300-1</t>
  </si>
  <si>
    <t>VZ-2021-000256</t>
  </si>
  <si>
    <t>Sety infuzní k mobilní parenterální pumpě Mini Rythmic PN+</t>
  </si>
  <si>
    <t>1.1.-17.3.2024</t>
  </si>
  <si>
    <t>SMLN-2021-617-000121
SMLN-2021-612-000013</t>
  </si>
  <si>
    <t>Zimmer Czech, s.r.o.</t>
  </si>
  <si>
    <t>VZ-2021-000261</t>
  </si>
  <si>
    <t>Léčiva k terapii nemocí kostí 2021</t>
  </si>
  <si>
    <t>DENOSUMAB I.</t>
  </si>
  <si>
    <t>DENOSUMAB II.</t>
  </si>
  <si>
    <t>BUROZUMAB</t>
  </si>
  <si>
    <t>VZ-2021-000265</t>
  </si>
  <si>
    <t>Antineovaskularizační látky 2021</t>
  </si>
  <si>
    <t>VZ-2021-000266</t>
  </si>
  <si>
    <t>Žlučové kyseliny a deriváty 2021</t>
  </si>
  <si>
    <t>KYSELINA CHENODEOXYCHOLOVÁ</t>
  </si>
  <si>
    <t>URSOSAN pro rozléčené pacienty</t>
  </si>
  <si>
    <t>URSOFALK pro rozléčené pacienty</t>
  </si>
  <si>
    <t>KYSELINA URSODEOXYCHOLOVÁ</t>
  </si>
  <si>
    <t xml:space="preserve">33610000-9  </t>
  </si>
  <si>
    <t>22.3.2021 zrušeno</t>
  </si>
  <si>
    <t>VZ-2021-000268</t>
  </si>
  <si>
    <t>Sety pro bezpečné podávání cytostatik k infuzním pumpám</t>
  </si>
  <si>
    <t>2020 bez plnění</t>
  </si>
  <si>
    <t>1.1.-22.3.2023</t>
  </si>
  <si>
    <t>1.1.-22.3.2024</t>
  </si>
  <si>
    <t>1.1.-22.3.2025</t>
  </si>
  <si>
    <t>SMLN-2021-612-000015</t>
  </si>
  <si>
    <t>SMLN-2021-617-000125
SMLN-2021-617-000124
SMLN-2021-614-000015</t>
  </si>
  <si>
    <t>VZ-2021-000269</t>
  </si>
  <si>
    <t>Mikroskopy</t>
  </si>
  <si>
    <t>38634000-8</t>
  </si>
  <si>
    <t xml:space="preserve">2.3.490. </t>
  </si>
  <si>
    <t>DS Soft Olomouc, spol.s  r.o.</t>
  </si>
  <si>
    <t>VZ-2021-000270</t>
  </si>
  <si>
    <t>Vysokoprůtoková ohřívačka infúzních roztoků</t>
  </si>
  <si>
    <t>2.3.459.</t>
  </si>
  <si>
    <t>VZ-2021-000275</t>
  </si>
  <si>
    <t>Parkoviště v areálu FN Olomouc</t>
  </si>
  <si>
    <t>1.2.71.</t>
  </si>
  <si>
    <t>VZ-2021-000277</t>
  </si>
  <si>
    <t>SÚ onkologické kliniky</t>
  </si>
  <si>
    <t>1.2.61.</t>
  </si>
  <si>
    <t>SMLN-2021-618-000015</t>
  </si>
  <si>
    <t>SMLN-2021-617-000127</t>
  </si>
  <si>
    <t>VZ-2021-000283</t>
  </si>
  <si>
    <t>Kotvička vstřebatelná pro stabilizaci  ramene</t>
  </si>
  <si>
    <t>VZ-2021-000284</t>
  </si>
  <si>
    <t>Kapsle enteroskopická zobrazovací k systému enteroskopickému výr. GIVEN IMAGING Ltd.</t>
  </si>
  <si>
    <t>Číslo části</t>
  </si>
  <si>
    <t>Navazující VZ</t>
  </si>
  <si>
    <t>VZ-2021-000287</t>
  </si>
  <si>
    <t>Výměna 2ks dveří ve 3.NP budovy A II</t>
  </si>
  <si>
    <t>SMLN-2021-612-000020</t>
  </si>
  <si>
    <t>1.1.-28.3.2024</t>
  </si>
  <si>
    <t xml:space="preserve">15.1.2020 výpověď </t>
  </si>
  <si>
    <t>VZ-2021-000289</t>
  </si>
  <si>
    <t>Katetrizační systém ke katetrizační korekci mitrální regurgitace- Systém MitraClip kit</t>
  </si>
  <si>
    <t>18.3.2021 zrušeno</t>
  </si>
  <si>
    <t>nová VZ-2021-000287</t>
  </si>
  <si>
    <t>VZ-2021-000306</t>
  </si>
  <si>
    <t>Tisk nemocničího magazínu</t>
  </si>
  <si>
    <t>Dodatek - vícepráce</t>
  </si>
  <si>
    <t>nová VZ-2021-000105</t>
  </si>
  <si>
    <t>1.1.-31.3.2022</t>
  </si>
  <si>
    <t>1.1.-30.3.2023</t>
  </si>
  <si>
    <t>Medinet, s.r.o.</t>
  </si>
  <si>
    <t>VZ-2021-000307</t>
  </si>
  <si>
    <t>Terapeutická radiofarmaka 2021</t>
  </si>
  <si>
    <t>RADIUM-(223RA)-DICHLORID</t>
  </si>
  <si>
    <t>LUTECIUM (177LU) OXODOTREOTID</t>
  </si>
  <si>
    <t>VZ-2021-000308</t>
  </si>
  <si>
    <t>Poskytování služeb pro provoz svolávacího systému</t>
  </si>
  <si>
    <t>VZ-2021-000310</t>
  </si>
  <si>
    <t>Stříkačky injekční dvojdílné</t>
  </si>
  <si>
    <t>VZ-2021-000311</t>
  </si>
  <si>
    <t>Krevní vaky a automat pro zpracování plné krve</t>
  </si>
  <si>
    <t>VZ-2021-000312</t>
  </si>
  <si>
    <t>Protéza cévní gelweave valsalva</t>
  </si>
  <si>
    <t>SMLN-2021-617-000136
SMLN-2021-614-000017
SMLN-2021-616-000026</t>
  </si>
  <si>
    <t>1.1.-5.4.2024</t>
  </si>
  <si>
    <t xml:space="preserve">7.4. 2021 zrušeno </t>
  </si>
  <si>
    <t>PROMEDICA PRAHA GROUP, a.s.</t>
  </si>
  <si>
    <t>7.4.2021 zrušeno</t>
  </si>
  <si>
    <t>VZ-2021-000316</t>
  </si>
  <si>
    <t>Rigidní dlaha pro stabilizaci dolní krční páteře</t>
  </si>
  <si>
    <t>nová VZ-2021-000316</t>
  </si>
  <si>
    <t>FN Olomouc - novostavba hlavní budovy B a vnitřní dostavba nízkoprahového urgentního příjmu - Projektová dokumentace</t>
  </si>
  <si>
    <t>VZ-2021-000318</t>
  </si>
  <si>
    <t>Cholangioskopický materiál k Systému SpyGlass DS II.</t>
  </si>
  <si>
    <t>SMLN-2021-617-000137</t>
  </si>
  <si>
    <t>SMLN-2021-617-000138
SMLN-2021-612-000023
SMLN-2021-617-000139</t>
  </si>
  <si>
    <t>SMLN-2021-617-000140
SMLN-2021-612-000023
SMLN-2021-617-000141</t>
  </si>
  <si>
    <t>VZ-2021-000321</t>
  </si>
  <si>
    <t>33694000-1, 38434000-6</t>
  </si>
  <si>
    <t>Název části</t>
  </si>
  <si>
    <t>VZ-2021-000319</t>
  </si>
  <si>
    <t>VZ-2021-000322</t>
  </si>
  <si>
    <t>Stent biliární Hot Axios samoexpandibilní metalický</t>
  </si>
  <si>
    <t>VZ-2021-000323</t>
  </si>
  <si>
    <t>Kleště bioptické myokardiální jednorázové</t>
  </si>
  <si>
    <t>1.1.-7.4.2023</t>
  </si>
  <si>
    <t>1.1.-7.4.2024</t>
  </si>
  <si>
    <t>1.1.-7.4.2025</t>
  </si>
  <si>
    <t>SMLN-2021-617-000142</t>
  </si>
  <si>
    <t>SMLN-2021-617-000143</t>
  </si>
  <si>
    <t>SMLN-2021-617-000144</t>
  </si>
  <si>
    <t>SMLN-2021-617-000145</t>
  </si>
  <si>
    <t>SMLN-2021-617-000146</t>
  </si>
  <si>
    <t>VZ-2021-000324</t>
  </si>
  <si>
    <t>SMLN-2021-617-000148
SMLN-2021-614-000018</t>
  </si>
  <si>
    <t>SMLN-2021-617-000147
SMLN-2021-612-000025
SMLN-2021-617-000149</t>
  </si>
  <si>
    <t>VZ-2021-000328</t>
  </si>
  <si>
    <t>PD - Fotovoltaické elektrárny v areálu FNOL</t>
  </si>
  <si>
    <t>1.2.76.</t>
  </si>
  <si>
    <t>1.1.-11.4.2024</t>
  </si>
  <si>
    <t>VZ-2021-000329</t>
  </si>
  <si>
    <t>Motodlahy II.</t>
  </si>
  <si>
    <t>nová VZ-2021-000329</t>
  </si>
  <si>
    <t>Vyšetření krevního obrazu u dárců krve a vzorků transfuzních přípravků s výpůjčkou přístrojů</t>
  </si>
  <si>
    <r>
      <t xml:space="preserve">Léčiva s obsahem abemaciklibu 2020 -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</si>
  <si>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SMLN-2021-617-000150
SMLN-2021-614-000019</t>
  </si>
  <si>
    <t>SMLN-2021-617-000151
SMLN-2021-614-000020
SMLN-2021-616-000029</t>
  </si>
  <si>
    <t>SMLN-2021-617-000153
SMLN-2021-614-000021
SMLN-2021-616-000030</t>
  </si>
  <si>
    <t>SMLN-2021-617-000154
SMLN-2021-614-000022
SMLN-2021-616-000031</t>
  </si>
  <si>
    <t>SMLN-2021-617-000155
SMLN-2021-614-000023
SMLN-2021-616-000032</t>
  </si>
  <si>
    <t>Mediform, spol. s r.o.</t>
  </si>
  <si>
    <t>VZ-2021-000336</t>
  </si>
  <si>
    <t>FN Olomouc - Malířské a natěračské práce</t>
  </si>
  <si>
    <t>VZ-2021-000337</t>
  </si>
  <si>
    <t>VZ-2021-000338</t>
  </si>
  <si>
    <t>1.1.-13.4.2023</t>
  </si>
  <si>
    <t>SMLN-2021-617-000130
SMLN-2021-617-000131
SMLN-2021-614-000016</t>
  </si>
  <si>
    <t>VZ-2021-000340</t>
  </si>
  <si>
    <t>VZ-2021-000341</t>
  </si>
  <si>
    <t>Medilas s.r.o.</t>
  </si>
  <si>
    <t>SMLN-2021-617-000156</t>
  </si>
  <si>
    <t>VZ-2021-000344</t>
  </si>
  <si>
    <t>Radiofarmakum fludeoxyglukoza (18F) 2021</t>
  </si>
  <si>
    <t>VZ-2021-000345</t>
  </si>
  <si>
    <t>Interferony II. 2021</t>
  </si>
  <si>
    <t>nová VZ-2021-000345</t>
  </si>
  <si>
    <t>FLUDEOXYLUKOSA-(18F)</t>
  </si>
  <si>
    <t>RISANKIZUMAB</t>
  </si>
  <si>
    <t>UPADACITINIB</t>
  </si>
  <si>
    <t>VZ-2021-000346</t>
  </si>
  <si>
    <t>Imunosupresiva I. 2021</t>
  </si>
  <si>
    <t>VZ-2021-000347</t>
  </si>
  <si>
    <t>Chlazení budovy D1, 1.NP - 3.NP</t>
  </si>
  <si>
    <t>SMLN-2021-618-000017</t>
  </si>
  <si>
    <t>Dortechnik, s.r.o.</t>
  </si>
  <si>
    <t>SMLN-2018-617-000336</t>
  </si>
  <si>
    <t>SMLN-2018-617-000338</t>
  </si>
  <si>
    <t>SMLN-2018-617-000337</t>
  </si>
  <si>
    <t>SMLN-2018-617-000313</t>
  </si>
  <si>
    <t>SMLN-2018-617-000307</t>
  </si>
  <si>
    <t>SMLN-2018-617-000310</t>
  </si>
  <si>
    <t>SMLN-2020-617-000190</t>
  </si>
  <si>
    <t>SMLN-2020-617-000174</t>
  </si>
  <si>
    <t>SMLN-2020-617-000189</t>
  </si>
  <si>
    <t>SMLN-2020-617-000173</t>
  </si>
  <si>
    <t>SMLN-2020-617-000204</t>
  </si>
  <si>
    <t>SMLN-2020-617-000186</t>
  </si>
  <si>
    <t>SMLN-2020-617-000187</t>
  </si>
  <si>
    <t>SMLN-2020-617-000196</t>
  </si>
  <si>
    <t>SMLN-2020-617-000200</t>
  </si>
  <si>
    <t>SMLN-2020-617-000195</t>
  </si>
  <si>
    <t>SMLN-2020-617-000214</t>
  </si>
  <si>
    <t>SMLN-2020-617-000213</t>
  </si>
  <si>
    <t>SMLN-2020-617-000199</t>
  </si>
  <si>
    <t>SMLN-2020-617-000380</t>
  </si>
  <si>
    <t>SMLN-2020-617-000430</t>
  </si>
  <si>
    <t>SMLN-2020-617-000431</t>
  </si>
  <si>
    <t>SMLN-2020-617-000478</t>
  </si>
  <si>
    <t>SMLN-2021-617-000135</t>
  </si>
  <si>
    <t>SMLN-2020-617-000563</t>
  </si>
  <si>
    <t>SMLN-2020-617-000578</t>
  </si>
  <si>
    <t>SMLN-2021-617-000024</t>
  </si>
  <si>
    <t>SMLN-2020-617-000465</t>
  </si>
  <si>
    <t>SMLN-2020-617-000441</t>
  </si>
  <si>
    <t>SMLN-2020-617-000460</t>
  </si>
  <si>
    <t>SMLN-2020-617-000288</t>
  </si>
  <si>
    <t>SMLN-2020-617-000226</t>
  </si>
  <si>
    <t>SMLN-2020-617-000221</t>
  </si>
  <si>
    <t>SMLN-2020-617-000231</t>
  </si>
  <si>
    <t>SMLN-2020-617-000215</t>
  </si>
  <si>
    <t>SMLN-2020-617-000227</t>
  </si>
  <si>
    <t>SMLN-2020-617-000222</t>
  </si>
  <si>
    <t>SMLN-2020-617-000223</t>
  </si>
  <si>
    <t>SMLN-2020-617-000228</t>
  </si>
  <si>
    <t>SMLN-2020-617-000218</t>
  </si>
  <si>
    <t>pozn. (č. sml = Proebiz)</t>
  </si>
  <si>
    <t>VZ-2018-000558</t>
  </si>
  <si>
    <t>C03DA02 Kalium kenrenoát 2018</t>
  </si>
  <si>
    <t>Kalium Kenrenoát</t>
  </si>
  <si>
    <t>Phoenix</t>
  </si>
  <si>
    <t>VZ-2018-000546</t>
  </si>
  <si>
    <t>R03BB05 Aklidinium-bromid 2018</t>
  </si>
  <si>
    <t>Aklidinium</t>
  </si>
  <si>
    <t>VZ-2018-00544</t>
  </si>
  <si>
    <t>P01BA02 Hydroxychlorochin 2018</t>
  </si>
  <si>
    <t>Hydroxychlorochin</t>
  </si>
  <si>
    <t>VZ-2018-000536</t>
  </si>
  <si>
    <t>A03FA03 Domperidon 2018</t>
  </si>
  <si>
    <t>Domperidon</t>
  </si>
  <si>
    <t>Janssen-Cilag</t>
  </si>
  <si>
    <t>VZ-2018-000530</t>
  </si>
  <si>
    <t>C01CA26 Ephedrin 2018</t>
  </si>
  <si>
    <t>Ephedrin</t>
  </si>
  <si>
    <t>Alliance</t>
  </si>
  <si>
    <t>VZ-2018-000528</t>
  </si>
  <si>
    <t>G02CX01 Atosiban 2018</t>
  </si>
  <si>
    <t>Atosiban</t>
  </si>
  <si>
    <t>VZ-2020-000373</t>
  </si>
  <si>
    <t>B02AA Aminokyseliny 2020</t>
  </si>
  <si>
    <t>Aminokyseliny</t>
  </si>
  <si>
    <t>ViaPharma</t>
  </si>
  <si>
    <t>VZ-2020-000378</t>
  </si>
  <si>
    <t>B02BA01 Fytomenadion 2020</t>
  </si>
  <si>
    <t>Fytomenadion s kapacím zařízením</t>
  </si>
  <si>
    <t>Fytomenadion injekční emulze</t>
  </si>
  <si>
    <t>VZ-2020-000379</t>
  </si>
  <si>
    <t>C01EB10 Adenosin 2020</t>
  </si>
  <si>
    <t>Adenosin</t>
  </si>
  <si>
    <t>VZ-2020-000402</t>
  </si>
  <si>
    <t>A10BD08 Metformin a Vildagliptin 2020</t>
  </si>
  <si>
    <t>Metformin a Vildagliptin</t>
  </si>
  <si>
    <t>VZ-2020-000406</t>
  </si>
  <si>
    <t>B01AC16 Eptifibatid 2020</t>
  </si>
  <si>
    <t>Eptifibatid</t>
  </si>
  <si>
    <t>VZ-2020-000407</t>
  </si>
  <si>
    <t>G02CB03 Kabergolin 2020</t>
  </si>
  <si>
    <t>Kabergolin</t>
  </si>
  <si>
    <t>VZ-2020-000408</t>
  </si>
  <si>
    <t>G03GA04 Urofolitropin 2020</t>
  </si>
  <si>
    <t>Urofolitropin</t>
  </si>
  <si>
    <t>VZ-2020-000409</t>
  </si>
  <si>
    <t>L01CA02 Vincristine 2020</t>
  </si>
  <si>
    <t>Vincristine</t>
  </si>
  <si>
    <t>VZ-2020-000410</t>
  </si>
  <si>
    <t>N02AF02 Nalbufin 2020</t>
  </si>
  <si>
    <t>Nalbufin</t>
  </si>
  <si>
    <t>VZ-2020-000411</t>
  </si>
  <si>
    <t>N06BC01 Kofein 2020</t>
  </si>
  <si>
    <t>Kofein</t>
  </si>
  <si>
    <t>VZ-2020-000412</t>
  </si>
  <si>
    <t>R05DA04 Kodein 2020</t>
  </si>
  <si>
    <t>Kodein</t>
  </si>
  <si>
    <t>VZ-2020-000413</t>
  </si>
  <si>
    <t>V03AB14 Protamin-hydrochlorid 2020</t>
  </si>
  <si>
    <t>Protamin hydrochlorid</t>
  </si>
  <si>
    <t>VZ-2020-000871</t>
  </si>
  <si>
    <t>C02CA06 Urapidil I.V. 2020</t>
  </si>
  <si>
    <t>Urapidil i.v.</t>
  </si>
  <si>
    <t>Pharmos</t>
  </si>
  <si>
    <t>L01CA01 Vinblastin-sulfát 2020</t>
  </si>
  <si>
    <t>Vinblastin</t>
  </si>
  <si>
    <t>VZ-2020-000918</t>
  </si>
  <si>
    <t>L04AD01 Cyklosporin i.v. 2020</t>
  </si>
  <si>
    <t>Cyklosporin i.v.</t>
  </si>
  <si>
    <t>VZ-2020-000959</t>
  </si>
  <si>
    <t>N02AJ06 Ultracod 2020</t>
  </si>
  <si>
    <t>Ultracod</t>
  </si>
  <si>
    <t>VZ-2020-000965</t>
  </si>
  <si>
    <t>N02AJ13 Doreta 2020</t>
  </si>
  <si>
    <t>Doreta</t>
  </si>
  <si>
    <t>VZ-2021-000131</t>
  </si>
  <si>
    <t>L04AB01 Enbrel</t>
  </si>
  <si>
    <t>Enbrel</t>
  </si>
  <si>
    <t>VZ-2020-001267</t>
  </si>
  <si>
    <t>Laboratorní chemikálie ENOCH III.</t>
  </si>
  <si>
    <t>GeneriBiotech</t>
  </si>
  <si>
    <t>Bio-Rad</t>
  </si>
  <si>
    <t>Sigma-Aldrich</t>
  </si>
  <si>
    <t>Baria</t>
  </si>
  <si>
    <t>VZ-2020-001017</t>
  </si>
  <si>
    <t>Soupravy ke stanovení krevních skupin systému ABO</t>
  </si>
  <si>
    <t>Exbio</t>
  </si>
  <si>
    <t>VZ-2020-000964</t>
  </si>
  <si>
    <t>Laboratorní chemikálie 2020</t>
  </si>
  <si>
    <t>Penta</t>
  </si>
  <si>
    <t>SIOT</t>
  </si>
  <si>
    <t>VZ-2020-000518</t>
  </si>
  <si>
    <t>Diagnostika pro molekulární biologii - projekt ENOCH část III.</t>
  </si>
  <si>
    <t>BioTech</t>
  </si>
  <si>
    <t>VZ-2020-000498</t>
  </si>
  <si>
    <t>Diagnostika pro molekulární biologii - projekt ENOCH část II.</t>
  </si>
  <si>
    <t>HPST</t>
  </si>
  <si>
    <t>VZ-2020-000497</t>
  </si>
  <si>
    <t>Diagnostika pro molekulární biologii - projekt ENOCH část I.</t>
  </si>
  <si>
    <t>GeneTica</t>
  </si>
  <si>
    <t>VZ-2020-000489</t>
  </si>
  <si>
    <t xml:space="preserve">Laboratorní chemikálie projekt ENOCH II. </t>
  </si>
  <si>
    <t>Litolab</t>
  </si>
  <si>
    <t>VZ-2020-000488</t>
  </si>
  <si>
    <t>Laboratorní chemikálie projekt ENOCH část 1</t>
  </si>
  <si>
    <t>Olchemin</t>
  </si>
  <si>
    <t>VZ-2020-000469</t>
  </si>
  <si>
    <t>Soupravy ke stanovení adiponektinů II.</t>
  </si>
  <si>
    <t>BioVendor</t>
  </si>
  <si>
    <t>SMLN-2020-617-000576</t>
  </si>
  <si>
    <t>MEDIAl, spol. s r.o.</t>
  </si>
  <si>
    <t>2.2.299.</t>
  </si>
  <si>
    <t>4.2.154.</t>
  </si>
  <si>
    <t>Profi-tisk group s.r.o.</t>
  </si>
  <si>
    <t>Olympus Czech Group, s r.o.</t>
  </si>
  <si>
    <t>19.4.2021 zrušeno</t>
  </si>
  <si>
    <t>GLOBALTEK GROUP, s.r.o.</t>
  </si>
  <si>
    <t>SMLN-2021-617-000158
SMLN-2021-614-000024
SMLN-2021-617-000159</t>
  </si>
  <si>
    <t>SMLN-2021-617-000161</t>
  </si>
  <si>
    <t>SMLN-2021-617-000162</t>
  </si>
  <si>
    <t>SMLN-2021-617-000163</t>
  </si>
  <si>
    <t>SMLN-2021-617-000164</t>
  </si>
  <si>
    <t>SMLN-2021-617-000165</t>
  </si>
  <si>
    <t>PKV BUILD s.r.o.</t>
  </si>
  <si>
    <t>SMLN-2021-617-000166
SMLN-2021-612-000027</t>
  </si>
  <si>
    <t>SMLN-2021-612-000028</t>
  </si>
  <si>
    <t>VZ-2021-000359</t>
  </si>
  <si>
    <t>SMLN-2021-618-000020</t>
  </si>
  <si>
    <t>SMLN-2021-617-000167
SMLN-2021-614-000025</t>
  </si>
  <si>
    <t>VZ-2021-000354</t>
  </si>
  <si>
    <t>Kanyly intubační endotracheální včetně výpůjčky 2 monitorů</t>
  </si>
  <si>
    <t>1.1.-16.5.2023</t>
  </si>
  <si>
    <t>SMLN-2021-617-000172
SMLN-2021-614-000028
SMLN-2021-616-000033</t>
  </si>
  <si>
    <t>Kotvička nevstřebatelná a vstřebatelná Healix Knotless</t>
  </si>
  <si>
    <t>Kotvička nevstřebatelná a vstřebatelná Healix Trans Tend</t>
  </si>
  <si>
    <t>Kotvička nevstřebatelná a vstřebatelná Healix Advance</t>
  </si>
  <si>
    <t>SMLN-2021-617-000173
SMLN-2021-614-000029</t>
  </si>
  <si>
    <t>SMLN-2021-617-000174</t>
  </si>
  <si>
    <t>SMLN-2021-617-000175</t>
  </si>
  <si>
    <t>SMLN-2021-617-000176</t>
  </si>
  <si>
    <t>SMLN-2021-617-000177</t>
  </si>
  <si>
    <t>SMLN-2021-617-000178</t>
  </si>
  <si>
    <t>Boston Scientific Česká republika s.r.o.</t>
  </si>
  <si>
    <t>VZ-2021-000381</t>
  </si>
  <si>
    <t>Hroší stavby Morava a.s.</t>
  </si>
  <si>
    <t>VZ-2021-000382</t>
  </si>
  <si>
    <t>Turnikety II.</t>
  </si>
  <si>
    <t>nová VZ-2021-000382</t>
  </si>
  <si>
    <t>Chirurgický telemanipulátor - nástroje</t>
  </si>
  <si>
    <t>IROP Tromboelastograf - spotř. Materiál</t>
  </si>
  <si>
    <t>19.2.20219</t>
  </si>
  <si>
    <t>IROP Monitor pro měření hemodynamiky - spotř. Materiál</t>
  </si>
  <si>
    <t>IROP Ohřívací jednotka - spotřební materiál</t>
  </si>
  <si>
    <t>13.12.20219</t>
  </si>
  <si>
    <t>HIPEC - spotřební materiál</t>
  </si>
  <si>
    <t>Osmometr - spotřební materiál</t>
  </si>
  <si>
    <t>Analyzátor nukleových kyselin - spotř. Materiál</t>
  </si>
  <si>
    <t>Systém mikromotorů pro orální chirurgii II. - spotř.materiál</t>
  </si>
  <si>
    <t>Tiskárna podložních skel - spotř. Materiál</t>
  </si>
  <si>
    <t>Automatický pipetovací systém - spotř. Materiál</t>
  </si>
  <si>
    <t>1.1.-25.4.2023</t>
  </si>
  <si>
    <t>VZ-2021-000384</t>
  </si>
  <si>
    <t>Vyšetřovací světla</t>
  </si>
  <si>
    <t>26.4.2021.</t>
  </si>
  <si>
    <t>VZ-2021-000386</t>
  </si>
  <si>
    <t>Shunt intrakoronární flexibilní</t>
  </si>
  <si>
    <t>SMLN-2021-618-000021</t>
  </si>
  <si>
    <t>EspoMed, spol.s  r.o.</t>
  </si>
  <si>
    <t>VZ-2021-000389</t>
  </si>
  <si>
    <t>Systém implantabilní neurostimulační DBS nedobíjitelný pro NCHIR</t>
  </si>
  <si>
    <t>VZ-2021-000392</t>
  </si>
  <si>
    <t>VZ-2021-000393</t>
  </si>
  <si>
    <t>Látky tvořící cheláty se železem 2021</t>
  </si>
  <si>
    <t>DEFEROXAMIN</t>
  </si>
  <si>
    <t>DEFERIPRON</t>
  </si>
  <si>
    <t>DEFERASIROX</t>
  </si>
  <si>
    <t>33693000-4 </t>
  </si>
  <si>
    <t>VZ-2021-000394</t>
  </si>
  <si>
    <t>Léčivé přípravky ze skupiny cytostatik 2021</t>
  </si>
  <si>
    <t>NIRAPARIB</t>
  </si>
  <si>
    <t>OLAPARIB</t>
  </si>
  <si>
    <t>LP ze skupiny cytostatik I.</t>
  </si>
  <si>
    <t>NERATINIB</t>
  </si>
  <si>
    <t>VZ-2021-000396</t>
  </si>
  <si>
    <t>Materiál spotřební k harmonickému skalpelu - doplnění sortimentu</t>
  </si>
  <si>
    <t>VZ-2021-000398</t>
  </si>
  <si>
    <t xml:space="preserve">Samoexpandibilní stenty vaskulární </t>
  </si>
  <si>
    <t>1.1.-27.4.2024</t>
  </si>
  <si>
    <t>1.1.-27.4.2023</t>
  </si>
  <si>
    <t>VZ-2021-000400</t>
  </si>
  <si>
    <t>Kašlací asistent</t>
  </si>
  <si>
    <t>2.2.259.,2.2.329.</t>
  </si>
  <si>
    <t>SMLN-2021-617-000184
SMLN-2021-614-000030</t>
  </si>
  <si>
    <t>nová VZ-2021-000392</t>
  </si>
  <si>
    <t>SMLN-2021-617-000189</t>
  </si>
  <si>
    <t>SMLN-2021-618-000023</t>
  </si>
  <si>
    <t>SMLN-2021-617-000192
SMLN-2021-614-000031</t>
  </si>
  <si>
    <t>SMLN-2021-617-000193
SMLN-2021-614-000032</t>
  </si>
  <si>
    <t>VZ-2021-000409</t>
  </si>
  <si>
    <t>Oprava parkoviště P1</t>
  </si>
  <si>
    <t>45223300-9, 45233222-1</t>
  </si>
  <si>
    <t>VZ-2021-000411</t>
  </si>
  <si>
    <t>Aplikátor klipů pro endoskopické stavění krvácení  rotační  jednorázový</t>
  </si>
  <si>
    <t>Aplikátor klipů pro endoskopické stavění  krvácení  jednorázový</t>
  </si>
  <si>
    <t xml:space="preserve">Klip pro endoskopické stavění krvácení </t>
  </si>
  <si>
    <t>M.G.P. spol. s r.o.</t>
  </si>
  <si>
    <t>VZ-2021-000412</t>
  </si>
  <si>
    <t>VZ-2021-000404</t>
  </si>
  <si>
    <t>VZ-2021-000402</t>
  </si>
  <si>
    <t>VZ-2021-000403</t>
  </si>
  <si>
    <t>VZ-2021-000420</t>
  </si>
  <si>
    <t>Mikroskop pro hodnocení spermiogramu</t>
  </si>
  <si>
    <t>VZ-2021-000421</t>
  </si>
  <si>
    <t>Oscilační pila</t>
  </si>
  <si>
    <t>33162100-3</t>
  </si>
  <si>
    <t>2.3.547.</t>
  </si>
  <si>
    <t>Fidia Pharma CZ s.r.o.</t>
  </si>
  <si>
    <t>SMLN-2021-617-000197
SMLN-2021-614-000033</t>
  </si>
  <si>
    <t>SMLN-2021-617-000198</t>
  </si>
  <si>
    <t>4.5.2021 zrušeno</t>
  </si>
  <si>
    <t>1.1.-3.5.2024</t>
  </si>
  <si>
    <t>LP k terapii dermatitidy kromě kortikosteroidů 2021</t>
  </si>
  <si>
    <t>VZ-2021-000427</t>
  </si>
  <si>
    <t>DUPILUMAB</t>
  </si>
  <si>
    <t>33630000-5</t>
  </si>
  <si>
    <t>VZ-2021-000428</t>
  </si>
  <si>
    <t>FORSTEO</t>
  </si>
  <si>
    <t>TERROSA</t>
  </si>
  <si>
    <t>TERIPARATID</t>
  </si>
  <si>
    <t>VZ-2021-000429</t>
  </si>
  <si>
    <t>Enzymy 2021</t>
  </si>
  <si>
    <t>ALTEPLASA</t>
  </si>
  <si>
    <t>Hormony příštítných tělísek a analoga 2021</t>
  </si>
  <si>
    <t>SMLN-2021-617-000200
SMLN-2021-612-000029</t>
  </si>
  <si>
    <t>SMLN-2021-617-000201
SMLN-2021-612-000030</t>
  </si>
  <si>
    <t>SMLN-2021-617-000202
SMLN-2021-614-000034</t>
  </si>
  <si>
    <t>SMLN-2021-617-000203
SMLN-2021-617-000204
SMLN-2021-614-000035</t>
  </si>
  <si>
    <t>SMLN-2021-617-000205
SMLN-2021-614-000036</t>
  </si>
  <si>
    <t>VZ-2021-000436</t>
  </si>
  <si>
    <t>Traktorová sekačka</t>
  </si>
  <si>
    <t>4.2.155.</t>
  </si>
  <si>
    <t>16700000-2</t>
  </si>
  <si>
    <t>1.1.-4.5.2024</t>
  </si>
  <si>
    <t>1.1.-4.5.2023</t>
  </si>
  <si>
    <t>Electric Medical Service s.r.o.</t>
  </si>
  <si>
    <t>SMLN-2021-617-000206</t>
  </si>
  <si>
    <t>SMLN-2021-617-000207</t>
  </si>
  <si>
    <t>SMLN-2021-617-000208</t>
  </si>
  <si>
    <t>SMLN-2021-617-000209</t>
  </si>
  <si>
    <t>SMLN-2021-617-000210</t>
  </si>
  <si>
    <t>SMLN-2021-617-000211</t>
  </si>
  <si>
    <t>6.5.2021 zrušeno</t>
  </si>
  <si>
    <t>SMLN-2021-617-000212</t>
  </si>
  <si>
    <t>SMLN-2021-617-000213</t>
  </si>
  <si>
    <t>SMLN-2021-617-000214</t>
  </si>
  <si>
    <t xml:space="preserve">Saegeling Medizintechnik, s.r.o. </t>
  </si>
  <si>
    <t>VZ-2021-000443</t>
  </si>
  <si>
    <t>33198200-6</t>
  </si>
  <si>
    <t>SMLN-2021-618-000027</t>
  </si>
  <si>
    <t>SMLN-2021-617-000215
SMLN-2021-612-000032
SMLN-2021-617-000216</t>
  </si>
  <si>
    <t>SMLN-2021-617-000217</t>
  </si>
  <si>
    <t>SMLN-2021-617-000218</t>
  </si>
  <si>
    <t>SMLN-2021-617-000219
SMLN-2021-612-000033</t>
  </si>
  <si>
    <t>VZ-2021-000448</t>
  </si>
  <si>
    <t>Angiografický komplet pro intervenční radiologii</t>
  </si>
  <si>
    <t>2.3.558.</t>
  </si>
  <si>
    <t>33111720-4</t>
  </si>
  <si>
    <t>VZ-2021-000451</t>
  </si>
  <si>
    <t>VZ-2021-000460</t>
  </si>
  <si>
    <t>Stroj na počítání tablet</t>
  </si>
  <si>
    <t>31720000-9</t>
  </si>
  <si>
    <t>2.2.278.</t>
  </si>
  <si>
    <t>VZ-2021-000461</t>
  </si>
  <si>
    <t>Výměna podhledů v 1.PP a 2.NP budovy R</t>
  </si>
  <si>
    <t>1.1.-9.5.2023</t>
  </si>
  <si>
    <t xml:space="preserve">spotřební materiál  </t>
  </si>
  <si>
    <t>1.1.-9.5.2024</t>
  </si>
  <si>
    <t>VZ-2021-000463</t>
  </si>
  <si>
    <t>Taxany 2021</t>
  </si>
  <si>
    <t>PAKLITAXEL</t>
  </si>
  <si>
    <t>DOCETAXEL</t>
  </si>
  <si>
    <t>KABAZITAXEL</t>
  </si>
  <si>
    <t>VZ-2021-000464</t>
  </si>
  <si>
    <t>LP s obsahem ambrisentanu 2021</t>
  </si>
  <si>
    <t>VZ-2021-000465</t>
  </si>
  <si>
    <t>LP s obsahem Azacitidinu 2021</t>
  </si>
  <si>
    <t>Laboratorní váhy pro přípravu sterilních léčiv pro Lékárnu</t>
  </si>
  <si>
    <t>2.3.524.</t>
  </si>
  <si>
    <t>SMLN-2021-617-000221
SMLN-2021-614-000037
SMLN-2021-616-000039</t>
  </si>
  <si>
    <t>SMLN-2021-617-000222
SMLN-2021-614-000037
SMLN-2021-616-000039</t>
  </si>
  <si>
    <t>SMLN-2021-617-000223
SMLN-2021-614-000037
SMLN-2021-616-000039</t>
  </si>
  <si>
    <t>SMLN-2021-617-000225
SMLN-2021-612-000034</t>
  </si>
  <si>
    <t>SMLN-2021-617-000226
SMLN-2021-612-000035</t>
  </si>
  <si>
    <t>1.1.-11.5.2024</t>
  </si>
  <si>
    <t>zrušeno - překročení ceny servisních nákladů</t>
  </si>
  <si>
    <t>SMLN-2021-617-000229</t>
  </si>
  <si>
    <t>SMLN-2021-617-000230</t>
  </si>
  <si>
    <t>SMLN-2021-617-000231</t>
  </si>
  <si>
    <t>1.1.-27.6.2024</t>
  </si>
  <si>
    <t>1.1.-12.5.2024</t>
  </si>
  <si>
    <t>1.1.-12.5.2026</t>
  </si>
  <si>
    <t>CHEIRÓN, a.s.</t>
  </si>
  <si>
    <t>ELEKTRO-FLEXI s.r.o.</t>
  </si>
  <si>
    <t>VZ-2021-000490</t>
  </si>
  <si>
    <t>Stenty biliární metalické samoexpadibilní</t>
  </si>
  <si>
    <t>VZ-2021-000491</t>
  </si>
  <si>
    <t>Kleště bioptické myokardiální jednorázové II.</t>
  </si>
  <si>
    <t>nová VZ-2021-000491</t>
  </si>
  <si>
    <t>VZ-2021-000492</t>
  </si>
  <si>
    <t>Přístroj na měření transkutánní teze kyslíku</t>
  </si>
  <si>
    <t>2.2.268.</t>
  </si>
  <si>
    <t>CHIRANA T. Injecta, s.r.o.</t>
  </si>
  <si>
    <t>VZ-2021-000493</t>
  </si>
  <si>
    <t>Systém uzavřeného přepravního boxu pro endoskopy</t>
  </si>
  <si>
    <t>2.3.516.</t>
  </si>
  <si>
    <t>VZ-2021-000494</t>
  </si>
  <si>
    <t>Hlubokomrazící box</t>
  </si>
  <si>
    <t>Farmaceutická lednice</t>
  </si>
  <si>
    <t>2.3.537.</t>
  </si>
  <si>
    <t>2.2.332.</t>
  </si>
  <si>
    <t>1.1.-10.6.2022</t>
  </si>
  <si>
    <t>SMLN-2021-618-000035</t>
  </si>
  <si>
    <t>SMLN-2021-617-000235
SMLN-2021-614-000040</t>
  </si>
  <si>
    <t>SMLN-2021-617-000236
SMLN-2021-614-000041</t>
  </si>
  <si>
    <t>SMLN-2021-617-000237
SMLN-2021-614-000042</t>
  </si>
  <si>
    <t>SMLN-2021-617-000239
SMLN-2021-614-000044</t>
  </si>
  <si>
    <t>SMLN-2021-617-000241
SMLN-2021-614-000046</t>
  </si>
  <si>
    <t>SMLN-2021-617-000242
SMLN-2021-614-000047</t>
  </si>
  <si>
    <t>SMLN-2021-617-000240
SMLN-2021-614-000045</t>
  </si>
  <si>
    <t>VZ-2021-000497</t>
  </si>
  <si>
    <t>37. Intrakraniální stenty vaskulární II. (Intervenční radiol.)</t>
  </si>
  <si>
    <t>33140000-6</t>
  </si>
  <si>
    <t>O2 Czech Republic a.s.</t>
  </si>
  <si>
    <t>VBM - lékařská technika, spol. s r.o.</t>
  </si>
  <si>
    <t>nová VZ-2021-000448</t>
  </si>
  <si>
    <t>VZ-2021-000503</t>
  </si>
  <si>
    <t>39. Vodící mikrodráty k vaskulárním neurointervencím V.</t>
  </si>
  <si>
    <t>VZ-2021-000504</t>
  </si>
  <si>
    <t>Jednotka oftalmologická vyšetřovací</t>
  </si>
  <si>
    <t>2.3.474.</t>
  </si>
  <si>
    <t>VZ-2021-000505</t>
  </si>
  <si>
    <t>40. Systém pro mikrovlnné ablace tkání</t>
  </si>
  <si>
    <t>VZ-2021-000506</t>
  </si>
  <si>
    <t>Modernizace VPN FW a ISE</t>
  </si>
  <si>
    <t>3.2.60.</t>
  </si>
  <si>
    <t>VZ-2021-000501</t>
  </si>
  <si>
    <t>Drát vodící endoskopický pro ERCP</t>
  </si>
  <si>
    <t>SMLN-2021-617-000247</t>
  </si>
  <si>
    <t>Dohoda o ukončení smlouvy.</t>
  </si>
  <si>
    <t>SMLN-2021-617-000248
SMLN-2021-616-000044</t>
  </si>
  <si>
    <t>2.2.367.</t>
  </si>
  <si>
    <t>1.1.-19.5.2028</t>
  </si>
  <si>
    <t>1.1.-19.5.2026</t>
  </si>
  <si>
    <t>SMLN-2021-612-000036</t>
  </si>
  <si>
    <t>SMLN-2021-617-000250</t>
  </si>
  <si>
    <t>VZ-2021-000514</t>
  </si>
  <si>
    <t>SHAPES</t>
  </si>
  <si>
    <t>Norbertová</t>
  </si>
  <si>
    <t>Mobilní spirometry napájené z baterie</t>
  </si>
  <si>
    <t>SMLN-2021-612-000037</t>
  </si>
  <si>
    <t>SMLN-2021-617-000251
SMLN-2021-612-000038</t>
  </si>
  <si>
    <t>SMLN-2021-617-000253
SMLN-2021-612-000040</t>
  </si>
  <si>
    <t>SMLN-2021-617-000252
SMLN-2021-612-000039</t>
  </si>
  <si>
    <t>SMLN-2021-617-000257
SMLN-2021-612-000042
SMLN-2021-617-000256</t>
  </si>
  <si>
    <t>SMLN-2021-617-000254
SMLN-2021-612-000041
SMLN-2021-617-000255</t>
  </si>
  <si>
    <t>VZ-2021-000516</t>
  </si>
  <si>
    <t>Materiál pro ZTI</t>
  </si>
  <si>
    <t>44000000-0</t>
  </si>
  <si>
    <t>Spy Glass - Katétr přístupový</t>
  </si>
  <si>
    <t>Spy Glass - Kleště bioptické</t>
  </si>
  <si>
    <t>Spy Glass - Košík extrakční</t>
  </si>
  <si>
    <t>Spy Glass - Klička polypektomická</t>
  </si>
  <si>
    <t>Spy Glass - Sonda pro EHL</t>
  </si>
  <si>
    <t>Klinický tympanometr</t>
  </si>
  <si>
    <t>VZ-2021-000517</t>
  </si>
  <si>
    <t>2.2.339.</t>
  </si>
  <si>
    <t>Peštuka, s.r.o.</t>
  </si>
  <si>
    <t>1.1.-24.5.2023</t>
  </si>
  <si>
    <t>VZ-2021-000521</t>
  </si>
  <si>
    <t>Ochranné štíty k RTG - sklopná stěna</t>
  </si>
  <si>
    <t>35113200-1</t>
  </si>
  <si>
    <t>2.3.45.</t>
  </si>
  <si>
    <t>SMLN-2021-617-000259
SMLN-2021-614-000049</t>
  </si>
  <si>
    <t>SMLN-2021-617-000260
SMLN-2021-614-000050</t>
  </si>
  <si>
    <t>SMLN-2021-617-000261</t>
  </si>
  <si>
    <t>SMLN-2021-617-000262
SMLN-2021-614-000051</t>
  </si>
  <si>
    <t>SMLN-2021-617-000263
SMLN-2021-614-000052</t>
  </si>
  <si>
    <t>SMLN-2021-617-000264
SMLN-2021-614-000053</t>
  </si>
  <si>
    <t>SMLN-2021-617-000265
SMLN-2021-614-000054</t>
  </si>
  <si>
    <t>SMLN-2021-617-000266
SMLN-2021-614-000055</t>
  </si>
  <si>
    <t>Radiační ochranný štít nad lůžko s pacientem</t>
  </si>
  <si>
    <t>Radiační ochranný štít pod lůžko s pacientem</t>
  </si>
  <si>
    <t>SMLN-2021-618-000038</t>
  </si>
  <si>
    <t>SMLN-2021-617-000273
SMLN-2021-614-000056</t>
  </si>
  <si>
    <t>SMLN-2021-618-000040</t>
  </si>
  <si>
    <t>SMLN-2021-617-000267</t>
  </si>
  <si>
    <t>SMLN-2021-617-000268</t>
  </si>
  <si>
    <t>SMLN-2021-617-000269</t>
  </si>
  <si>
    <t>SMLN-2021-617-000270</t>
  </si>
  <si>
    <t>1.1.-26.5.2026</t>
  </si>
  <si>
    <t>1.1.-26.5.2024</t>
  </si>
  <si>
    <t>27.5.2021 zrušeno</t>
  </si>
  <si>
    <t>1.1.-25.5.2024</t>
  </si>
  <si>
    <t>1.1.-25.5.2026</t>
  </si>
  <si>
    <t>1.1.-25.5.2025</t>
  </si>
  <si>
    <t>VZ-2021-000529</t>
  </si>
  <si>
    <t>Polohovač a Ofuk Blower Mister ke stabilizátoru pro operace srdce</t>
  </si>
  <si>
    <t>Ofuk</t>
  </si>
  <si>
    <t>1.1.-27.5.2024</t>
  </si>
  <si>
    <t>1.1.-27.5.2023</t>
  </si>
  <si>
    <t>4.5.2023
27.5.2023</t>
  </si>
  <si>
    <t>VZ-2021-000165
VZ-2021-000174</t>
  </si>
  <si>
    <t>Okludery určené ke katetrizačnímu uzávěru defektu septa síní</t>
  </si>
  <si>
    <t>SMLN-2021-617-000277</t>
  </si>
  <si>
    <t xml:space="preserve">POLYMED medical CZ, a.s. </t>
  </si>
  <si>
    <t>nová VZ-2021-000534</t>
  </si>
  <si>
    <t>VZ-2021-000534</t>
  </si>
  <si>
    <t>Obaly sterilizační jednorázové II.</t>
  </si>
  <si>
    <t>33192800-6</t>
  </si>
  <si>
    <t>nová VZ-2021-000535</t>
  </si>
  <si>
    <t>VZ-2021-000535</t>
  </si>
  <si>
    <t>PD – novostavba budovy C1 II.</t>
  </si>
  <si>
    <t>VZ-2021-000536</t>
  </si>
  <si>
    <t>Spotřební materiál pro elektroanatomický 3D mapovací systém - sdružený nákup II.</t>
  </si>
  <si>
    <t>nová VZ-2021-000536</t>
  </si>
  <si>
    <t>1.1.-30.5.2023</t>
  </si>
  <si>
    <t>1.1.-25.6.2024</t>
  </si>
  <si>
    <t>Diagnostické katetry s proměnným zakřivením pro mapování s vysokým rozlišením – 22-polární pro mapování komplexních arytmií</t>
  </si>
  <si>
    <t>VZ-2021-000538</t>
  </si>
  <si>
    <t>Zdráhalová</t>
  </si>
  <si>
    <t xml:space="preserve">Výroba a montáž nábytku 2/2021 </t>
  </si>
  <si>
    <t>VZ-2021-000539</t>
  </si>
  <si>
    <t>nová VZ-2021-000539</t>
  </si>
  <si>
    <t>VZ-2021-000542</t>
  </si>
  <si>
    <t>KRIZE</t>
  </si>
  <si>
    <t>Dotační Program na zvýšení ochrany měkkých cílů v resortu zdravotnictví v roce 2021</t>
  </si>
  <si>
    <t>15.1.2020 výpověď</t>
  </si>
  <si>
    <t>VZ-2021-000549</t>
  </si>
  <si>
    <t>Skříň na ohřev infuzních roztoků</t>
  </si>
  <si>
    <t>2.2.326.</t>
  </si>
  <si>
    <t>VZ-2021-000550</t>
  </si>
  <si>
    <t>Nástavce k laseru</t>
  </si>
  <si>
    <t>2.2.351.</t>
  </si>
  <si>
    <t>SMLN-2021-617-000282</t>
  </si>
  <si>
    <t>Druh zadávacího řízení</t>
  </si>
  <si>
    <t>VZ-2021-000553</t>
  </si>
  <si>
    <t>LP s obsahem epoprostenolu 2021</t>
  </si>
  <si>
    <t>Epoprostenol</t>
  </si>
  <si>
    <t>VZ-2021-000554</t>
  </si>
  <si>
    <t>Léčivé přípravky s obsahem brodalumabu 2021</t>
  </si>
  <si>
    <t>VZ-2021-000555</t>
  </si>
  <si>
    <r>
      <t xml:space="preserve">Infuzní vitamíny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</si>
  <si>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 xml:space="preserve">Infuzní vitamíny </t>
  </si>
  <si>
    <t>33692510-5</t>
  </si>
  <si>
    <t>1.1.-18.7.2024</t>
  </si>
  <si>
    <t>Chemodezinfektory videobronchoskopů - spotřební materiál</t>
  </si>
  <si>
    <t>Endoskop pro spondylochirurgické operace - spotřební materiál</t>
  </si>
  <si>
    <t>3.6.2021 zrušeno</t>
  </si>
  <si>
    <t>BS PRAGUE MEDICAL CE, spol.s r.o.</t>
  </si>
  <si>
    <t>VZ-2021-000559</t>
  </si>
  <si>
    <t>Komplexní náhrada ramenního kloubu s možností konverze</t>
  </si>
  <si>
    <t>1.1.-2.6.2026</t>
  </si>
  <si>
    <t>1.1.-2.6.2024</t>
  </si>
  <si>
    <t>zrušeno - překročení ceny servisu</t>
  </si>
  <si>
    <t>1.2.74.</t>
  </si>
  <si>
    <t>VZ-2021-000564</t>
  </si>
  <si>
    <t>Stavební úpravy budovy I – 1NP</t>
  </si>
  <si>
    <t>VZ-2021-000508</t>
  </si>
  <si>
    <t>SMLN-2021-617-000284
SMLN-2021-614-000058</t>
  </si>
  <si>
    <t>SMLN-2021-617-000285
SMLN-2021-614-000059</t>
  </si>
  <si>
    <t>4.6.2021 zrušeno</t>
  </si>
  <si>
    <t>1.1.-6.6.2024</t>
  </si>
  <si>
    <t>KRD-obchodní společnos s.r.o.</t>
  </si>
  <si>
    <t>VZ-2021-000572</t>
  </si>
  <si>
    <t>Barvící automat</t>
  </si>
  <si>
    <t>2.2.371.</t>
  </si>
  <si>
    <t>SMLN-2021-618-000042
SMLN-2021-612-000046</t>
  </si>
  <si>
    <t>ALOGO s.r.o.</t>
  </si>
  <si>
    <t>7.6.2021 zrušeno</t>
  </si>
  <si>
    <t>SMLN-2021-617-000288
SMLN-2021-614-000061</t>
  </si>
  <si>
    <t>SMLN-2021-617-000287
SMLN-2021-614-000060</t>
  </si>
  <si>
    <t>31.3. 2021 konec smlouvy</t>
  </si>
  <si>
    <t>Askin &amp; Co. s.r.o.</t>
  </si>
  <si>
    <t>CHEIRÓN a.s.</t>
  </si>
  <si>
    <t>1.1.-29.7.2024</t>
  </si>
  <si>
    <t>spotřební materiál</t>
  </si>
  <si>
    <t>VZ-2021-000582</t>
  </si>
  <si>
    <t>Sexuologický pletysmograf</t>
  </si>
  <si>
    <t>2.3.463.</t>
  </si>
  <si>
    <t>VZ-2021-000584</t>
  </si>
  <si>
    <t>PD - Stavební úpravy objektu L - Transfuzní oddělení</t>
  </si>
  <si>
    <t>1.2.77.</t>
  </si>
  <si>
    <t>VZ-2021-000585</t>
  </si>
  <si>
    <t>Ochranné štíty k RTG - sklopná stěna II.</t>
  </si>
  <si>
    <t>nová VZ-2021-000585</t>
  </si>
  <si>
    <t>Scanlab Praha, s.r.o.</t>
  </si>
  <si>
    <t>zrušeno - úprava specifikace</t>
  </si>
  <si>
    <t>Diagnostika HOK II. 2021</t>
  </si>
  <si>
    <t xml:space="preserve">Spotřební materiál pro krevní obrazy I. </t>
  </si>
  <si>
    <t xml:space="preserve">Spotřební materiál pro krevní obrazy II. </t>
  </si>
  <si>
    <t xml:space="preserve">Spotřební materiál pro krevní obrazy III. </t>
  </si>
  <si>
    <t xml:space="preserve">Spotřební materiál pro krevní obrazy IV. </t>
  </si>
  <si>
    <t>VZ-2021-000590</t>
  </si>
  <si>
    <t>VZ-2021-000598</t>
  </si>
  <si>
    <t>VZ-2021-000599</t>
  </si>
  <si>
    <t>Kardiostimulátor BIV ENITRA 8 HF - T- HIS včetně elektrod a příslušenství</t>
  </si>
  <si>
    <t>1.1.-9.6.2024</t>
  </si>
  <si>
    <t>SMLN-2021-617-000294
SMLN-2021-612-000050</t>
  </si>
  <si>
    <t>SMLN-2021-617-000293
SMLN-2021-612-000049</t>
  </si>
  <si>
    <t>SMLN-2021-617-000295
SMLN-2021-612-000051</t>
  </si>
  <si>
    <t>SMLN-2021-617-000296
SMLN-2021-612-000052</t>
  </si>
  <si>
    <t>SMLN-2021-617-000298
SMLN-2021-612-000053
SMLN-2021-617-000299</t>
  </si>
  <si>
    <t xml:space="preserve">Kancelářský papír 2021 </t>
  </si>
  <si>
    <t>VZ-2021-000601</t>
  </si>
  <si>
    <t>Kapilární elektroforéza</t>
  </si>
  <si>
    <t>VZ-2021-000602</t>
  </si>
  <si>
    <t>2.2.374</t>
  </si>
  <si>
    <t>VZ-2021-000603</t>
  </si>
  <si>
    <t>Kryostat</t>
  </si>
  <si>
    <t>2.2.370</t>
  </si>
  <si>
    <t>VZ-2021-000604</t>
  </si>
  <si>
    <t>Toaletní papír a papírové ručníky Z-Z 2021</t>
  </si>
  <si>
    <t>Fonika Medical s.r.o.</t>
  </si>
  <si>
    <t>1.1.-13.6.2024</t>
  </si>
  <si>
    <t>CHIRANA T.Injecta, s.r.o.</t>
  </si>
  <si>
    <t>nová VZ-2021-000608</t>
  </si>
  <si>
    <t>VZ-2021-000608</t>
  </si>
  <si>
    <t>40. Systém pro mikrovlnné ablace tkání II.</t>
  </si>
  <si>
    <t>Protilátky pro IHC metody II.</t>
  </si>
  <si>
    <t>SMLN-2021-617-000301</t>
  </si>
  <si>
    <t>SMLN-2021-617-000300</t>
  </si>
  <si>
    <t>VZ-2021-000138</t>
  </si>
  <si>
    <t>drát vodící Amplatzer Super Stiff</t>
  </si>
  <si>
    <t>VZ-2021-000250</t>
  </si>
  <si>
    <t>ASK rameno - Nestabilita ramene - Kotvička titanová pro stabilizaci ramene</t>
  </si>
  <si>
    <t>VZ-2021-000286</t>
  </si>
  <si>
    <t>ASK rameno - Nestabilita ramene - Šroub kortikální pro léčbu instability ramene Letarjet</t>
  </si>
  <si>
    <t>8. Okluzní balónkové katetry neurointervenční (Intervenční Radiol.)</t>
  </si>
  <si>
    <t>11. Katetry pro návrat do pravého lumen cévy (Intervenční Radiol.</t>
  </si>
  <si>
    <t>RADWAG Váhy, s.r.o.</t>
  </si>
  <si>
    <t>SARTALEX, spol. s r.o.</t>
  </si>
  <si>
    <t>VZ-2021-000611</t>
  </si>
  <si>
    <t>Vyhodnocení kvality a bezpečnosti poskytované péče</t>
  </si>
  <si>
    <t>VZ-2021-000613</t>
  </si>
  <si>
    <t>PD - SÚ pro zřízení infekčního oddělení FNOL</t>
  </si>
  <si>
    <t>1.2.79.</t>
  </si>
  <si>
    <t>TZMO Czech Republic s.r.o.</t>
  </si>
  <si>
    <t>VZ-2021-000616</t>
  </si>
  <si>
    <t>2.2.346.</t>
  </si>
  <si>
    <t>SMLN-2021-617-000302</t>
  </si>
  <si>
    <t>VZ-2021-000617</t>
  </si>
  <si>
    <t>1.1.-14.6.2024</t>
  </si>
  <si>
    <t>1.1.-17.6.2024</t>
  </si>
  <si>
    <t>1.1.-15.6.2024</t>
  </si>
  <si>
    <t>SMLN-2021-617-000304
SMLN-2021-614-000062</t>
  </si>
  <si>
    <t>SMLN-2021-617-000307
SMLN-2021-614-000063</t>
  </si>
  <si>
    <t>SMLN-2021-617-000305</t>
  </si>
  <si>
    <t>SMLN-2021-617-000306</t>
  </si>
  <si>
    <t>SMLN-2021-617-000308</t>
  </si>
  <si>
    <t>SMLN-2021-617-000309</t>
  </si>
  <si>
    <t>VZ-2021-000621</t>
  </si>
  <si>
    <t>2.2.372.</t>
  </si>
  <si>
    <t>VZ-2021-000622</t>
  </si>
  <si>
    <t>Ultrarychlé multifunkční PCR POCT</t>
  </si>
  <si>
    <t>2.2.373.</t>
  </si>
  <si>
    <t>VZ-2021-000623</t>
  </si>
  <si>
    <t>Neinvazivní měření krevního tlaku a hemodynamiky</t>
  </si>
  <si>
    <t>2.2.366.</t>
  </si>
  <si>
    <t>VZ-2021-000624</t>
  </si>
  <si>
    <t>2.2.365.</t>
  </si>
  <si>
    <t>VZ-2021-000625</t>
  </si>
  <si>
    <t>Tiskárny podložních skel</t>
  </si>
  <si>
    <t>CD Pharmaceuticals AB</t>
  </si>
  <si>
    <t>17.6.2021 zrušeno</t>
  </si>
  <si>
    <t>SMLN-2021-618-000047</t>
  </si>
  <si>
    <t>SMLN-2021-617-000311
SMLN-2021-612-000055</t>
  </si>
  <si>
    <t>Servis úpraven vod</t>
  </si>
  <si>
    <t>SMLN-2021-617-000314
SMLN-2021-612-000057</t>
  </si>
  <si>
    <t>SMLN-2021-617-000315
SMLN-2021-612-000058</t>
  </si>
  <si>
    <t>SMLN-2021-617-000316
SMLN-2021-612-000059</t>
  </si>
  <si>
    <t>SMLN-2021-617-000317
SMLN-2021-612-000060</t>
  </si>
  <si>
    <t>SMLN-2021-617-000318
SMLN-2021-612-000061</t>
  </si>
  <si>
    <t>VZ-2021-000632</t>
  </si>
  <si>
    <t>Výměna páteřního rozvodu vody – budova P2 a P1</t>
  </si>
  <si>
    <t>A.M.I. - Analytical Medical Insruments, s.r.o.</t>
  </si>
  <si>
    <t>Přístroj pro neinvazivní vyšetření endoteliální dysfunkce</t>
  </si>
  <si>
    <t>SMLN-2021-617-000320</t>
  </si>
  <si>
    <t>SMLN-2021-617-000321</t>
  </si>
  <si>
    <t>SMLN-2021-617-000322</t>
  </si>
  <si>
    <t>1.1.-20.6.2026</t>
  </si>
  <si>
    <t>1.1.-20.6.2024</t>
  </si>
  <si>
    <t>Kurka.Med s.r.o.</t>
  </si>
  <si>
    <t>VZ-2021-000633</t>
  </si>
  <si>
    <t>Dermaestetický plazmový generátor</t>
  </si>
  <si>
    <t>2.2.379.</t>
  </si>
  <si>
    <t>SMLN-2021-617-000323
SMLN-2021-614-000064</t>
  </si>
  <si>
    <t>SMLN-2021-617-000324</t>
  </si>
  <si>
    <t>23.6.2021 zrušeno</t>
  </si>
  <si>
    <t>VZ-2021-000640</t>
  </si>
  <si>
    <t>Staplery</t>
  </si>
  <si>
    <t>Staplery lineární (Lineární katry) - s integrálním nožem ve stapleru</t>
  </si>
  <si>
    <t>Staplery lineární (Lineární katry) - s nožem v zásobníku</t>
  </si>
  <si>
    <t>Staplery lineární - s nožem - se zahnutou (okrouhlou) hlavou</t>
  </si>
  <si>
    <t>Staplery lineární  - bez nože</t>
  </si>
  <si>
    <t>Endokatry/staplery se zahnutou špičkou</t>
  </si>
  <si>
    <t>Endokatry/staplery s rovnou špičkou</t>
  </si>
  <si>
    <t>Cirkulární staplery zahnuté</t>
  </si>
  <si>
    <t>Cirkulární staplery se sklopnou hlavicí</t>
  </si>
  <si>
    <t>Cirkulární staplery na operaci hemoroidů metodou dle Longa</t>
  </si>
  <si>
    <t>1.1.-22.6.2026</t>
  </si>
  <si>
    <t>1.1.-22.6.2024</t>
  </si>
  <si>
    <t>SMLN-2021-617-000333
SMLN-2021-612-000062
SMLN-2021-617-000335</t>
  </si>
  <si>
    <t>SMLN-2021-617-000334
SMLN-2021-612-000063</t>
  </si>
  <si>
    <t>SMLN-2021-617-000337
SMLN-2021-612-000064</t>
  </si>
  <si>
    <t>SMLN-2021-617-000339</t>
  </si>
  <si>
    <t>SMLN-2021-617-000338
SMLN-2021-612-000065</t>
  </si>
  <si>
    <t>23.10.2021
servis doba neurčitá</t>
  </si>
  <si>
    <t>SMLN-2021-617-000342</t>
  </si>
  <si>
    <t>SMLN-2021-617-000343</t>
  </si>
  <si>
    <t>SMLN-2021-617-000344</t>
  </si>
  <si>
    <t>SMLN-2021-617-000345</t>
  </si>
  <si>
    <t>SMLN-2021-617-000346</t>
  </si>
  <si>
    <t>SMLN-2021-617-000347</t>
  </si>
  <si>
    <t>STYLE STUDIO s.r.o.</t>
  </si>
  <si>
    <t>GALVA TRANS, s.r.o.</t>
  </si>
  <si>
    <t>GETA Centrum s.r.o.</t>
  </si>
  <si>
    <t>1.1.-27.6.2025</t>
  </si>
  <si>
    <t>Set pro endoskopický odběr žilního štěpu pro BY PASS - VASOVIEW HEMOPRO 2</t>
  </si>
  <si>
    <t>SMLN-2021-618-000049</t>
  </si>
  <si>
    <t>VZ-2021-000650</t>
  </si>
  <si>
    <t>SMLN-2021-617-000352</t>
  </si>
  <si>
    <t>SMLN-2021-617-000353</t>
  </si>
  <si>
    <t>zrušeno - po obdržení námitek již mimo domluvené termíny realizace</t>
  </si>
  <si>
    <t>VZ-2021-000666</t>
  </si>
  <si>
    <t>Sfinkterotom trojlumenný - endoskopický</t>
  </si>
  <si>
    <t>1.1.-29.6.2025</t>
  </si>
  <si>
    <t>SMLN-2021-617-000355
SMLN-2021-614-000065</t>
  </si>
  <si>
    <t>SMLN-2021-617-000356
SMLN-2021-614-000066</t>
  </si>
  <si>
    <t>1.7.2021 zrušeno</t>
  </si>
  <si>
    <t>SMLN-2021-617-000357
SMLN-2021-612-000066</t>
  </si>
  <si>
    <t>zrušeno - nutné upravit zadání</t>
  </si>
  <si>
    <t>1.1.-29.6.2024</t>
  </si>
  <si>
    <t>1.1.-31.7.2024</t>
  </si>
  <si>
    <t xml:space="preserve">Obaly sterilizační jednorázové II. </t>
  </si>
  <si>
    <t xml:space="preserve">Spy Glass  DS II – spotřební materiál </t>
  </si>
  <si>
    <t>VZ-2021-000670</t>
  </si>
  <si>
    <t>Jehly endosonografické pro FNA /FNB</t>
  </si>
  <si>
    <t>VZ-2021-000671</t>
  </si>
  <si>
    <t>Laminární box</t>
  </si>
  <si>
    <t>2.3.557.</t>
  </si>
  <si>
    <t>VZ-2021-000674</t>
  </si>
  <si>
    <t>Hrubý</t>
  </si>
  <si>
    <t>Stavební úpravy objektu P - větrání chodby</t>
  </si>
  <si>
    <t>1.2.80.</t>
  </si>
  <si>
    <t>VZ-2021-000675</t>
  </si>
  <si>
    <t>Katetr pro standardní ERCP</t>
  </si>
  <si>
    <t>VZ-2021-000676</t>
  </si>
  <si>
    <t>Kartáček cytologický endoskopický</t>
  </si>
  <si>
    <t>VZ-2021-000687</t>
  </si>
  <si>
    <t>Macerator</t>
  </si>
  <si>
    <t>2.2.388.</t>
  </si>
  <si>
    <t>ARBATAX s.r.o.</t>
  </si>
  <si>
    <t>S.A.B. Impex, s.r.o.</t>
  </si>
  <si>
    <t>1.1.-7.7.2024</t>
  </si>
  <si>
    <t>1.1.-7.7.2026</t>
  </si>
  <si>
    <t>PROFITEAM topení-voda-plyn s.r.o.</t>
  </si>
  <si>
    <t>MEX grant 2021</t>
  </si>
  <si>
    <t>VZ-2021-000692</t>
  </si>
  <si>
    <t>2.2.375.</t>
  </si>
  <si>
    <t>Záznamové zařízení (MEX grant 2021)</t>
  </si>
  <si>
    <t>VZ-2021-000695</t>
  </si>
  <si>
    <t>Diagnostika HOK II. 2021/2</t>
  </si>
  <si>
    <t>13.7.2021 zrušení na podpis</t>
  </si>
  <si>
    <r>
      <rPr>
        <b/>
        <sz val="11"/>
        <color theme="1"/>
        <rFont val="Calibri"/>
        <family val="2"/>
        <charset val="238"/>
        <scheme val="minor"/>
      </rPr>
      <t>zrušeno</t>
    </r>
    <r>
      <rPr>
        <sz val="11"/>
        <color theme="1"/>
        <rFont val="Calibri"/>
        <family val="2"/>
        <charset val="238"/>
        <scheme val="minor"/>
      </rPr>
      <t xml:space="preserve"> - administrativní pochybení</t>
    </r>
  </si>
  <si>
    <t>nová VZ-2021-000695</t>
  </si>
  <si>
    <t>SMLN-2021-618-000055</t>
  </si>
  <si>
    <t>SMLN-2021-612-000067</t>
  </si>
  <si>
    <t>SMLN-2021-618-000053</t>
  </si>
  <si>
    <t>SMLN-2021-618-000054</t>
  </si>
  <si>
    <t>SMLN-2021-617-000365</t>
  </si>
  <si>
    <t>SMLN-2021-617-000367</t>
  </si>
  <si>
    <t>SMLN-2021-617-000368</t>
  </si>
  <si>
    <t>SMLN-2021-617-000364
SMLN-2021-614-000067</t>
  </si>
  <si>
    <t>SMLN-2021-617-000366
SMLN-2021-614-000068</t>
  </si>
  <si>
    <t>zrušeno - nesplnění parametrů</t>
  </si>
  <si>
    <t>SMLN-2021-617-000370</t>
  </si>
  <si>
    <t>SMLN-2021-617-000371</t>
  </si>
  <si>
    <t>SMLN-2021-617-000372</t>
  </si>
  <si>
    <t>SMLN-2021-617-000373
SMLN-2021-614-000069
SMLN-2021-616-000049</t>
  </si>
  <si>
    <t>3M Česko, spol. s r.o.</t>
  </si>
  <si>
    <t>SMLN-2021-617-000374
SMLN-2021-612-000068
SMLN-2021-617-000375</t>
  </si>
  <si>
    <t>TRIOS, spol. s  r.o.</t>
  </si>
  <si>
    <t>VZ-2021-000699</t>
  </si>
  <si>
    <t>1.1.-12.7.2022</t>
  </si>
  <si>
    <t>MIKRO, spol. s r.o.</t>
  </si>
  <si>
    <t>EKG Holter - snímač</t>
  </si>
  <si>
    <t>2.2.331.</t>
  </si>
  <si>
    <t>VZ-2021-000700</t>
  </si>
  <si>
    <t>Ochranná a zdravotnická obuv</t>
  </si>
  <si>
    <t>18830000-6</t>
  </si>
  <si>
    <t>VZ-2021-000703</t>
  </si>
  <si>
    <t>Anesteziologické přístroje s monitorem vitálních funkcí</t>
  </si>
  <si>
    <t>2.2.261.</t>
  </si>
  <si>
    <t>VZ-2021-000704</t>
  </si>
  <si>
    <t>zrušeno - nelze odtajnit nabídky</t>
  </si>
  <si>
    <t>nová VZ-2021-000704</t>
  </si>
  <si>
    <t>PD – novostavba budovy C1 III.</t>
  </si>
  <si>
    <t>1.1.-13.7.2025</t>
  </si>
  <si>
    <t>VZ-2021-000706</t>
  </si>
  <si>
    <t>Angiografické systémy s příslušenstvím a stavebními úpravami</t>
  </si>
  <si>
    <t>Obnova kardioangografických systémů</t>
  </si>
  <si>
    <t>33123220-6
45215100-8</t>
  </si>
  <si>
    <t>33158200-4
33124100-6</t>
  </si>
  <si>
    <t>Elektroanatomický 3D mapovací systém</t>
  </si>
  <si>
    <t>1.1.-14.7.2023</t>
  </si>
  <si>
    <t>SMLN-2021-617-000376</t>
  </si>
  <si>
    <t>SMLN-2021-617-000377
SMLN-2021-612-000069</t>
  </si>
  <si>
    <t>VZ-2021-000709</t>
  </si>
  <si>
    <t>Andrologický mikroskop pro hodnocení spermiogramu</t>
  </si>
  <si>
    <t xml:space="preserve">Laboratorní mikroskopy   </t>
  </si>
  <si>
    <t>2.3.546.</t>
  </si>
  <si>
    <t>Konvička s.r.o.</t>
  </si>
  <si>
    <t>Cardion, s.r.o.</t>
  </si>
  <si>
    <t>VZ-2021-000710</t>
  </si>
  <si>
    <t>Sprchovací lehátko</t>
  </si>
  <si>
    <t>2.3.552.</t>
  </si>
  <si>
    <t>VZ-2021-000711</t>
  </si>
  <si>
    <t>2.2.374.</t>
  </si>
  <si>
    <t>nová VZ-2021-000709</t>
  </si>
  <si>
    <t>DNA/RNA analyzátor - MEX grant 2021</t>
  </si>
  <si>
    <t>VZ-2021-000712</t>
  </si>
  <si>
    <t>VZ-2021-000713</t>
  </si>
  <si>
    <t xml:space="preserve">Kancelářský papír 2021 II. </t>
  </si>
  <si>
    <t>15. Embolizační spirály IV.</t>
  </si>
  <si>
    <t>VZ-2021-000715</t>
  </si>
  <si>
    <t>Bronchoskop-fibroskop</t>
  </si>
  <si>
    <t>2.2.269,2.2.263</t>
  </si>
  <si>
    <t>VZ-2021-000717</t>
  </si>
  <si>
    <t>LP s obsahem Tofacitinibu 2021</t>
  </si>
  <si>
    <t>TOFACITINIB</t>
  </si>
  <si>
    <t>VZ-2021-000718</t>
  </si>
  <si>
    <t>Antivirotika k léčbě infekce HCV 2021</t>
  </si>
  <si>
    <t>SOFOSBUVIR, VELPATASVIR A VOXILAPREVIR</t>
  </si>
  <si>
    <t>VZ-2021-000719</t>
  </si>
  <si>
    <t>CONTROLOC</t>
  </si>
  <si>
    <t>PANTOPRAZOL</t>
  </si>
  <si>
    <t>PANTOPRAZOL I.V.</t>
  </si>
  <si>
    <t>OMEPRAZOL I.V.</t>
  </si>
  <si>
    <t>HELICID</t>
  </si>
  <si>
    <t xml:space="preserve">OMEPRAZOL </t>
  </si>
  <si>
    <t>Inhibitory protonové pumpy a LP s obsahem rivaroxabanu</t>
  </si>
  <si>
    <t>1.1.-15.7.2022</t>
  </si>
  <si>
    <t>1.1.-18.7.2022</t>
  </si>
  <si>
    <t>MEDIAL spol. s r.o.</t>
  </si>
  <si>
    <t>SMLN-2021-617-000379
SMLN-2021-612-000070</t>
  </si>
  <si>
    <t>SMLN-2021-617-000380</t>
  </si>
  <si>
    <t>19.7.2021 zrušeno</t>
  </si>
  <si>
    <t>1.1.-24.7.2024</t>
  </si>
  <si>
    <t>VZ-2021-000653</t>
  </si>
  <si>
    <t>VZ-2021-000722</t>
  </si>
  <si>
    <t>Čistící prostředky a jiné drogistické zboží 2021</t>
  </si>
  <si>
    <t>39830000-9</t>
  </si>
  <si>
    <t>VZ-2021-000721</t>
  </si>
  <si>
    <t>3. Pouzdra zaváděcí (Intervenční radiologie)</t>
  </si>
  <si>
    <t xml:space="preserve">Pouzdra zaváděcí k vaskulárním intervencím I. </t>
  </si>
  <si>
    <t xml:space="preserve">Speciální zaváděcí pouzdra k vaskulárním intervencím I. </t>
  </si>
  <si>
    <t xml:space="preserve">Speciální zaváděcí pouzdra k vaskulárním intervencím II. </t>
  </si>
  <si>
    <t>20.7.2021 zrušeno</t>
  </si>
  <si>
    <t>ESTEMED Pharma s.r.o.</t>
  </si>
  <si>
    <t>VZ-2021-000723</t>
  </si>
  <si>
    <t>Dodávky dectů 2021</t>
  </si>
  <si>
    <t>ZNJ - odstranění závad z BTK, budova A, M3</t>
  </si>
  <si>
    <t>1.1.-19.7.2024</t>
  </si>
  <si>
    <t>SMLN-2021-617-000383
SMLN-2021-612-000071
SMLN-2021-617-000384</t>
  </si>
  <si>
    <t>VZ-2021-000726</t>
  </si>
  <si>
    <t>VZ-2021-000727</t>
  </si>
  <si>
    <t>Monitory FNOL 2021 II</t>
  </si>
  <si>
    <t>21.7.2021 zrušeno</t>
  </si>
  <si>
    <t>zrušeno - nesplňuje certifikaci CE IVD</t>
  </si>
  <si>
    <t>Protilátky a chemikálie pro IHC metody a ISH metody</t>
  </si>
  <si>
    <t>nová VZ-2021-00711</t>
  </si>
  <si>
    <t>nová VZ-2021-000713</t>
  </si>
  <si>
    <t xml:space="preserve">Anesteziologické přístroje </t>
  </si>
  <si>
    <t>Anesteziologické přístroje</t>
  </si>
  <si>
    <t>Anesteziologický přístroj s monitory vitálních funkcí pro magnetickou rezonanci</t>
  </si>
  <si>
    <t>2.2.330.</t>
  </si>
  <si>
    <t>ZENA-R, spol. s r.o.</t>
  </si>
  <si>
    <t>VZ-2021-000728</t>
  </si>
  <si>
    <t>Plynový chromatograf</t>
  </si>
  <si>
    <t>SMLN-2021-617-000385
SMLN-2021-612-000073</t>
  </si>
  <si>
    <t>SMLN-2021-617-000386
SMLN-2021-612-000074
SMLN-2021-617-000387</t>
  </si>
  <si>
    <t>SMLN-2021-617-000388
SMLN-2021-612-000075</t>
  </si>
  <si>
    <t>VZ-2021-000729</t>
  </si>
  <si>
    <t>LP s obsahem Nivolumabu 2021</t>
  </si>
  <si>
    <t>VZ-2021-000730</t>
  </si>
  <si>
    <t>Svorka s adaptéry pro dětské pacienty</t>
  </si>
  <si>
    <t>2.2.335.</t>
  </si>
  <si>
    <t>VZ-2021-000731</t>
  </si>
  <si>
    <t>Antivirotika k léčbě infekce HCV II. 2021</t>
  </si>
  <si>
    <t>ELBASVIR A GRAZOPREVIR</t>
  </si>
  <si>
    <t>GLEKAPREVIR A PIBRENTASVIR</t>
  </si>
  <si>
    <t>1.1.-20.7.2024</t>
  </si>
  <si>
    <t>SMLN-2021-617-000389
SMLN-2021-612-000076</t>
  </si>
  <si>
    <t>VZ-2021-000733</t>
  </si>
  <si>
    <t>2.2.387.</t>
  </si>
  <si>
    <t>VZ-2021-000736</t>
  </si>
  <si>
    <t>Uroflowmetr</t>
  </si>
  <si>
    <t>2.3.481.</t>
  </si>
  <si>
    <t>AQUAL s.r.o.</t>
  </si>
  <si>
    <t>Korková ochranná a zdravotnická obuv</t>
  </si>
  <si>
    <t>Obuv ochranná a zdravotnická typu Crocs</t>
  </si>
  <si>
    <t>VZ-2021-000738</t>
  </si>
  <si>
    <t>Termocycler</t>
  </si>
  <si>
    <t>2.3.561.</t>
  </si>
  <si>
    <t>zrušeno - nemožnost realizace</t>
  </si>
  <si>
    <t>SMLN-2021-617-000391
SMLN-2021-612-000078
SMLN-2021-617-000392</t>
  </si>
  <si>
    <t>SMLN-2021-612-000079</t>
  </si>
  <si>
    <t>1.1.-26.7.2026</t>
  </si>
  <si>
    <t>SMLN-2021-617-000396
SMLN-2021-614-000072</t>
  </si>
  <si>
    <t>VZ-2021-000741</t>
  </si>
  <si>
    <t>Štěrbinová lampa</t>
  </si>
  <si>
    <t>2.3.533.</t>
  </si>
  <si>
    <t>VZ-2021-000742</t>
  </si>
  <si>
    <t>5. Mikrokatétry (Intervenční Radiologie)</t>
  </si>
  <si>
    <t>Mikrokatétry k periferním vaskulárním intervencím I./I.</t>
  </si>
  <si>
    <t>Mikrokatétry k periferním vaskulárním intervencím II./II.</t>
  </si>
  <si>
    <t>Mikrokatétry neurointervenční II. /IV.</t>
  </si>
  <si>
    <t>Mikrokatétry neurointervenční III. /V.</t>
  </si>
  <si>
    <t>Mikrokatétry neurointervenční IV. /VI.</t>
  </si>
  <si>
    <t>VZ-2021-000744</t>
  </si>
  <si>
    <t>Ochranné štíty k RTG - sklopná stěna III</t>
  </si>
  <si>
    <t>nová VZ-2021-000744</t>
  </si>
  <si>
    <t>VZ-2021-000745</t>
  </si>
  <si>
    <t>Výměna výplní vnějších otvorů – budova E</t>
  </si>
  <si>
    <t>VZ-2021-000746</t>
  </si>
  <si>
    <t>Chemodenzifektor videobronchoskopů II.</t>
  </si>
  <si>
    <t>2.3.539.</t>
  </si>
  <si>
    <t>VZ-2021-000615</t>
  </si>
  <si>
    <t>LP s obsahem treprostinilu 2021</t>
  </si>
  <si>
    <t>Gatema Medical s.r.o.</t>
  </si>
  <si>
    <t>VZ-2021-000758</t>
  </si>
  <si>
    <t>LP ze skupiny koagulačních faktorů 2021</t>
  </si>
  <si>
    <t>OCPLEX</t>
  </si>
  <si>
    <t>ALPROLIX</t>
  </si>
  <si>
    <t>VZ-2021-000759</t>
  </si>
  <si>
    <t>LP s obsahem emicizumabu 2021</t>
  </si>
  <si>
    <t>emicizumab</t>
  </si>
  <si>
    <t>VZ-2021-000760</t>
  </si>
  <si>
    <t>ANTAGONISTÉ CGRP 2021</t>
  </si>
  <si>
    <t>FREMANEZUMAB</t>
  </si>
  <si>
    <t>VZ-2021-000761</t>
  </si>
  <si>
    <t>LP s obsahem kaplacizumabu 2021</t>
  </si>
  <si>
    <t>kaplacizumab</t>
  </si>
  <si>
    <t>VZ-2021-000762</t>
  </si>
  <si>
    <t>Diagnostika PATOLOGIE I. 2021</t>
  </si>
  <si>
    <t xml:space="preserve">Protilátky pro IHC metody </t>
  </si>
  <si>
    <t xml:space="preserve">Protilátky a chemikálie pro IHC metody </t>
  </si>
  <si>
    <t>VZ-2021-000763</t>
  </si>
  <si>
    <t>diosmin v kombinaci</t>
  </si>
  <si>
    <t>VZ-2021-000764</t>
  </si>
  <si>
    <t>Minerální doplňky s obsahem vápníku a hořčíku 2021 - sdružený nákup</t>
  </si>
  <si>
    <t>KALCIUM-GLUKONÁT</t>
  </si>
  <si>
    <t>CHLORID VÁPENATÝ</t>
  </si>
  <si>
    <t>SÍRAN HOŘEČNATÝ</t>
  </si>
  <si>
    <t>HOŘČÍK V KOMBINACI RŮZNÝCH SOLÍ</t>
  </si>
  <si>
    <t>VZ-2021-000765</t>
  </si>
  <si>
    <t>Systém pro kontrolu polohy pacienta a biometrické ověření pacienta</t>
  </si>
  <si>
    <t>GALCANEZUMABUM</t>
  </si>
  <si>
    <t>VZ-2021-000756</t>
  </si>
  <si>
    <t>Samoexpandibilní stentgrafty vaskulární periferní I./I.</t>
  </si>
  <si>
    <t>Samoexpandibilní stentgrafty vaskulrní periferní II./II.</t>
  </si>
  <si>
    <t>Balónexpandibilní stentgrafty vaskulární II./IV.</t>
  </si>
  <si>
    <t>Stentgrafty vaskulární do TIPS/V.</t>
  </si>
  <si>
    <t>Samoexpandibilní stentgrafty vaskulární perifení III.</t>
  </si>
  <si>
    <t>Kardiostimulátor bezelektrodový Micra AV</t>
  </si>
  <si>
    <t>SMLN-2021-612-000080</t>
  </si>
  <si>
    <t>VZ-2021-000775</t>
  </si>
  <si>
    <t>VZ-2021-000769</t>
  </si>
  <si>
    <t>Dodávka termotiskáren</t>
  </si>
  <si>
    <t>VZ-2021-000771</t>
  </si>
  <si>
    <t>Vrtací jednotka</t>
  </si>
  <si>
    <t>VZ-2021-000757</t>
  </si>
  <si>
    <t>Stabilizátory pro operace srdce bez mimotělního oběhu II.</t>
  </si>
  <si>
    <t>Centrifuga</t>
  </si>
  <si>
    <t>VZ-2021-000772</t>
  </si>
  <si>
    <t>VZ-2021-000773</t>
  </si>
  <si>
    <t>Průběžná svářečka sterilizačních obalů s řezačkou</t>
  </si>
  <si>
    <t>VZ-2021-000774</t>
  </si>
  <si>
    <t>Lyofilizátor</t>
  </si>
  <si>
    <t>VZ-2021-000777</t>
  </si>
  <si>
    <t>33158200-4</t>
  </si>
  <si>
    <t>Elektrokonvulzní přístroj</t>
  </si>
  <si>
    <t>VZ-2021-000770</t>
  </si>
  <si>
    <t>Mixážní sprchový panel II</t>
  </si>
  <si>
    <t>VZ-2021-000768</t>
  </si>
  <si>
    <t>Kancelářský papír III</t>
  </si>
  <si>
    <t>zrušeno - nesplnění tech. podmínek</t>
  </si>
  <si>
    <t>nová VZ-2021-000768</t>
  </si>
  <si>
    <t>VZ-2021-000766</t>
  </si>
  <si>
    <t xml:space="preserve">Cystostom, Sonda Cysto-Gastro Endo Flex  </t>
  </si>
  <si>
    <t>1.1.-5.8.2024</t>
  </si>
  <si>
    <t>1.1.-8.8.2024</t>
  </si>
  <si>
    <t>1.1.-8.8.-2023</t>
  </si>
  <si>
    <t>SMLN-2021-617-000402
SMLN-2021-614-000073</t>
  </si>
  <si>
    <t>SMLN-2021-617-000399
SMLN-2021-612-000081</t>
  </si>
  <si>
    <t>SMLN-2021-617-000400
SMLN-2021-612-000082</t>
  </si>
  <si>
    <t>SMLN-2021-618-000058</t>
  </si>
  <si>
    <t>Sezame Products s.r.o.</t>
  </si>
  <si>
    <t>1.1.-8.8.2023</t>
  </si>
  <si>
    <t>VZ-2021-000779</t>
  </si>
  <si>
    <t>Košík extrakční endoskopický</t>
  </si>
  <si>
    <t>VZ-2021-000780</t>
  </si>
  <si>
    <t>Balónek dilatační biliární pro ERCP</t>
  </si>
  <si>
    <t>VZ-2021-000782</t>
  </si>
  <si>
    <t>Stroj na počítání tablet II</t>
  </si>
  <si>
    <t>nová VZ-2021-000782</t>
  </si>
  <si>
    <t>1.1.-8.8.2026</t>
  </si>
  <si>
    <t>1.1.-5.8.2026</t>
  </si>
  <si>
    <r>
      <rPr>
        <b/>
        <sz val="11"/>
        <color theme="1"/>
        <rFont val="Calibri"/>
        <family val="2"/>
        <charset val="238"/>
        <scheme val="minor"/>
      </rPr>
      <t>VZ-2021-000598 - zrušeno</t>
    </r>
    <r>
      <rPr>
        <sz val="11"/>
        <color theme="1"/>
        <rFont val="Calibri"/>
        <family val="2"/>
        <charset val="238"/>
        <scheme val="minor"/>
      </rPr>
      <t xml:space="preserve">
VZ-2021-000757</t>
    </r>
  </si>
  <si>
    <t>Cystostom, Sonda Cysto-Gastro Endo Flex  6 Fr.</t>
  </si>
  <si>
    <t>Cystostom, Sonda Cysto-Gastro Endo Flex  8,5 Fr.</t>
  </si>
  <si>
    <t>Cystostom, Sonda Cysto-Gastro Endo Flex  10 Fr.</t>
  </si>
  <si>
    <t xml:space="preserve">Nikon Europe B.V., český odštěpný závod </t>
  </si>
  <si>
    <t>SMLN-2021-617-000409
SMLN-2021-614-000074</t>
  </si>
  <si>
    <t>SMLN-2021-617-000410
SMLN-2021-612-000084
SMLN-2021-617-000412</t>
  </si>
  <si>
    <t>SMLN-2021-617-000411
SMLN-2021-612-000085</t>
  </si>
  <si>
    <t>SMLN-2021-617-000407
SMLN-2021-612-000083</t>
  </si>
  <si>
    <t>SMLN-2021-617-000413</t>
  </si>
  <si>
    <t>SMLN-2021-617-000415</t>
  </si>
  <si>
    <t>SMLN-2021-617-000416</t>
  </si>
  <si>
    <t>SMLN-2021-617-000414
SMLN-2021-612-000086</t>
  </si>
  <si>
    <t>SMLN-2021-617-000417
SMLN-2021-612-000087</t>
  </si>
  <si>
    <t>RATAN medical equipment s.r.o.</t>
  </si>
  <si>
    <t>VK-AQUA-trading, s.r.o.</t>
  </si>
  <si>
    <t>Lima CZ s.r.o.</t>
  </si>
  <si>
    <t>Medkonsult, s.r.o.</t>
  </si>
  <si>
    <t>CMI spol. s r.o.</t>
  </si>
  <si>
    <t>SMLN-2021-617-000418</t>
  </si>
  <si>
    <t>SMLN-2021-617-000419</t>
  </si>
  <si>
    <t>SMLN-2021-617-000420
SMLN-2021-614-000075</t>
  </si>
  <si>
    <t>VZ-2021-000798</t>
  </si>
  <si>
    <t>Rekonstrukce rozdělovače topné vody ve VS v budově M</t>
  </si>
  <si>
    <t>VZ-2021-000800</t>
  </si>
  <si>
    <t>Provedení stavebních úprav v budově H1, 2.NP a 3.NP</t>
  </si>
  <si>
    <t>SMLN-2021-617-000423
SMLN-2021-614-000076</t>
  </si>
  <si>
    <t>VZ-2021-000801</t>
  </si>
  <si>
    <t>Protézy cévní I.</t>
  </si>
  <si>
    <t>Protézy cévní II.</t>
  </si>
  <si>
    <t>Protézy cévní III.</t>
  </si>
  <si>
    <t>Protézy cévní IV.</t>
  </si>
  <si>
    <t>Protézy cévní V.</t>
  </si>
  <si>
    <t>33184200-5</t>
  </si>
  <si>
    <t>SMLN-2021-617-000424</t>
  </si>
  <si>
    <t>SMLN-2021-617-000425</t>
  </si>
  <si>
    <t>VZ-2021-000802</t>
  </si>
  <si>
    <t>Multifunkční křeslo koženkové</t>
  </si>
  <si>
    <t>2.4.187.</t>
  </si>
  <si>
    <t>VZ-2021-000805</t>
  </si>
  <si>
    <t>Diagnostika GENETIKA 1. 2021</t>
  </si>
  <si>
    <t>Spotřební materiál pro genetiku</t>
  </si>
  <si>
    <t>VZ-2021-000806</t>
  </si>
  <si>
    <t>Spotřební materiál pro genetiku I.</t>
  </si>
  <si>
    <t>Spotřební materiál pro genetiku II.</t>
  </si>
  <si>
    <t>Spotřební materiál pro genetiku III.</t>
  </si>
  <si>
    <t>Spotřební materiál pro genetiku IV.</t>
  </si>
  <si>
    <t>Spotřební materiál pro genetiku V.</t>
  </si>
  <si>
    <t>Spotřební materiál pro genetiku VI.</t>
  </si>
  <si>
    <t>Spotřební materiál pro genetiku VII.</t>
  </si>
  <si>
    <t>VZ-2021-000807</t>
  </si>
  <si>
    <t>Diagnostika GENETIKA 2. 2021</t>
  </si>
  <si>
    <t>Diagnostika GENETIKA 4. 2021</t>
  </si>
  <si>
    <t>Spotřební materiál pro genetiku 1</t>
  </si>
  <si>
    <t>Spotřební materiál pro genetiku 2</t>
  </si>
  <si>
    <t>Spotřební materiál pro genetiku 3</t>
  </si>
  <si>
    <t>Spotřební materiál pro genetiku 4</t>
  </si>
  <si>
    <t>Spotřební materiál pro genetiku 5</t>
  </si>
  <si>
    <t>VZ-2021-000808</t>
  </si>
  <si>
    <t>Diagnostika HOK III. 2021</t>
  </si>
  <si>
    <t>Spotřební materiál pro molekulární biologii</t>
  </si>
  <si>
    <t>Spotřební materiál pro průtokovou cytometrii</t>
  </si>
  <si>
    <t>Spotřební materiál pro tkáňové kultury</t>
  </si>
  <si>
    <t>Spotřební materiál pro koagulaci</t>
  </si>
  <si>
    <t>VZ-2021-000809</t>
  </si>
  <si>
    <t>Diagnostika HOK XI. 2021</t>
  </si>
  <si>
    <t>Spotřební materiál pro koagulaci I.</t>
  </si>
  <si>
    <t>Spotřební materiál pro koagulaci II.</t>
  </si>
  <si>
    <t>VZ-2021-000810</t>
  </si>
  <si>
    <t>Diagnostika HOK X. 2021</t>
  </si>
  <si>
    <t>Spotřební materiál pro ARRAY</t>
  </si>
  <si>
    <t>Spotřební materiál pro koagulaci 1.</t>
  </si>
  <si>
    <t>Spotřební materiál pro koagulaci 2.</t>
  </si>
  <si>
    <t>VZ-2021-000811</t>
  </si>
  <si>
    <t>Antihypertenziva k léčbě PAH 2021</t>
  </si>
  <si>
    <t>RIOCIGVÁT</t>
  </si>
  <si>
    <t>VZ-2021-000812</t>
  </si>
  <si>
    <t>Jiná cytostatika 2021</t>
  </si>
  <si>
    <t>KYSELINA AMINOLEVULOVÁ</t>
  </si>
  <si>
    <t>VZ-2021-000813</t>
  </si>
  <si>
    <t>Triazolové deriváty 2021</t>
  </si>
  <si>
    <t>DIFLUCAN</t>
  </si>
  <si>
    <t>FLUCONAZOL</t>
  </si>
  <si>
    <t>FLUCONAZOL I.V.</t>
  </si>
  <si>
    <t>VORIKONAZOL SANDOZ</t>
  </si>
  <si>
    <t xml:space="preserve">VORIKONAZOL </t>
  </si>
  <si>
    <t>VORIKONAZOL I.V.</t>
  </si>
  <si>
    <t>POSAKONAZOL I.</t>
  </si>
  <si>
    <t>POSAKONAZOL II.</t>
  </si>
  <si>
    <t>VZ-2021-000814</t>
  </si>
  <si>
    <t>Inhibitory proteinkináz I. 2021</t>
  </si>
  <si>
    <t>ALEKTINIB</t>
  </si>
  <si>
    <t>PALBOCIKLIB</t>
  </si>
  <si>
    <t>KABOZANTINIB I.</t>
  </si>
  <si>
    <t>KABOZANTINIB II.</t>
  </si>
  <si>
    <t>SMLN-2021-617-000426
SMLN-2021-612-000088
SMLN-2021-617-000427</t>
  </si>
  <si>
    <t>SMLN-2021-617-000428
SMLN-2021-612-000089</t>
  </si>
  <si>
    <t>SMLN-2021-617-000429
SMLN-2021-612-000090</t>
  </si>
  <si>
    <t>SMLN-2021-617-000430
SMLN-2021-612-000091</t>
  </si>
  <si>
    <t>nová VZ-2021-000814</t>
  </si>
  <si>
    <t>VZ-2021-000817</t>
  </si>
  <si>
    <t>Balónek extrakční trojlumenný</t>
  </si>
  <si>
    <t>nová VZ-2021-000822</t>
  </si>
  <si>
    <t>VZ-2021-000822</t>
  </si>
  <si>
    <t>Dodávky tiskáren II.</t>
  </si>
  <si>
    <t>SMLN-2021-617-000431</t>
  </si>
  <si>
    <t>VZ-2021-000823</t>
  </si>
  <si>
    <t>Antidekubitní matrace</t>
  </si>
  <si>
    <t>VZ-2021-000825</t>
  </si>
  <si>
    <t>Přeložky IS</t>
  </si>
  <si>
    <t>1.2.75.</t>
  </si>
  <si>
    <t>SMLN-2021-617-000432</t>
  </si>
  <si>
    <t>SMLN-2021-617-000433</t>
  </si>
  <si>
    <t>nová VZ-2021-000828</t>
  </si>
  <si>
    <t>VZ-2021-000828</t>
  </si>
  <si>
    <t>Fluorescenční RNA/DNA analyzátor - MEX grant 2021</t>
  </si>
  <si>
    <t>VZ-2021-000829</t>
  </si>
  <si>
    <t>Nádoby na ostrý odpad</t>
  </si>
  <si>
    <t>33141123-8</t>
  </si>
  <si>
    <t>VZ-2021-000840</t>
  </si>
  <si>
    <t>Chronická dialýza</t>
  </si>
  <si>
    <t>(prázdné)</t>
  </si>
  <si>
    <t>zrušeno - ekonomické důvody</t>
  </si>
  <si>
    <r>
      <t xml:space="preserve">LP ze skupiny bioflavanoidů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</si>
  <si>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VZ-2021-000848</t>
  </si>
  <si>
    <t>REACT</t>
  </si>
  <si>
    <t xml:space="preserve">Mobilní ultrazvukový přístroj pro Urologickou kliniku </t>
  </si>
  <si>
    <t>Echokardiografický přístroj pro Kardiochirurgickou kliniku</t>
  </si>
  <si>
    <t>Lineární sonda pro Porodnicko-gynekologickou kliniku</t>
  </si>
  <si>
    <t>2.2.306.</t>
  </si>
  <si>
    <t>2.3.457.</t>
  </si>
  <si>
    <t>2.2.349.</t>
  </si>
  <si>
    <t>2.3.506.</t>
  </si>
  <si>
    <t>2.3.523.</t>
  </si>
  <si>
    <t>VZ-2021-000849</t>
  </si>
  <si>
    <t>Systém ohřevu pacienta</t>
  </si>
  <si>
    <t>14 ks systémů ohřevu pacienta vč. příslušenství pro COS</t>
  </si>
  <si>
    <t>2.2.337.</t>
  </si>
  <si>
    <t>2.3.564.</t>
  </si>
  <si>
    <t>2 ks systémů ohřevu pacienta vč. příslušenství pro NCHIR</t>
  </si>
  <si>
    <t>20.8.2021 zrušeno</t>
  </si>
  <si>
    <t>Transportabilní echokardiografický přístroj pro Kardiochirurgickou kliniku</t>
  </si>
  <si>
    <t>23.8.2021 zrušeno</t>
  </si>
  <si>
    <t>33141000-0
33181100-3</t>
  </si>
  <si>
    <t>SMLN-2021-617-000437
SMLN-2021-614-000077</t>
  </si>
  <si>
    <t>SMLN-2021-617-000438</t>
  </si>
  <si>
    <t>SMLN-2021-617-000439</t>
  </si>
  <si>
    <t>SMLN-2021-617-000440</t>
  </si>
  <si>
    <t>SMLN-2021-617-000441</t>
  </si>
  <si>
    <t>Arcon Machinery a.s.</t>
  </si>
  <si>
    <t>T E C H S A N s.r.o.</t>
  </si>
  <si>
    <t>SCHOELLER INSTRUMENTS, s.r.o.</t>
  </si>
  <si>
    <t>Datascan, s.r.o.</t>
  </si>
  <si>
    <t>SMLN-2021-617-000446
SMLN-2021-612-000093</t>
  </si>
  <si>
    <t>SMLN-2021-617-000444
SMLN-2021-612-000092
SMLN-2021-617-000445</t>
  </si>
  <si>
    <t>1.1.-24.8.2022</t>
  </si>
  <si>
    <t>SMLN-2021-617-000450
SMLN-2021-612-000094</t>
  </si>
  <si>
    <t>SMLN-2021-617-000452
SMLN-2021-614-000078
SMLN-2021-616-000051</t>
  </si>
  <si>
    <t>VZ-2021-000872</t>
  </si>
  <si>
    <t>Dodávka a instalace chladících jednotek</t>
  </si>
  <si>
    <t>4.2.154</t>
  </si>
  <si>
    <t>Dochlazování místností v budovách M1 a M2</t>
  </si>
  <si>
    <t>VZ-2021-000874</t>
  </si>
  <si>
    <t>Tlakové převodníky</t>
  </si>
  <si>
    <t>1.1.-29.8.2022</t>
  </si>
  <si>
    <t>SMLN-2021-618-000060</t>
  </si>
  <si>
    <t>SMLN-2021-617-000456
SMLN-2021-612-000097</t>
  </si>
  <si>
    <t>SMLN-2021-617-000455
SMLN-2021-612-000096</t>
  </si>
  <si>
    <t>SHIMADZU Handels GmbH - organizační složka</t>
  </si>
  <si>
    <t>1.1.-29.8.2023</t>
  </si>
  <si>
    <t>1.1.-29.8.2024</t>
  </si>
  <si>
    <t>zrušeno - neplní zadání</t>
  </si>
  <si>
    <t>1.1.-30.8.2023</t>
  </si>
  <si>
    <t>15. embolizační spirály IV.</t>
  </si>
  <si>
    <t>VZ-2021-000881</t>
  </si>
  <si>
    <t>PCR POCT s výpůjčkou analyzátoru</t>
  </si>
  <si>
    <t>zrušeno - odstoupení od nabídky</t>
  </si>
  <si>
    <t>VZ-2021-000888</t>
  </si>
  <si>
    <t>Přepínač kolon</t>
  </si>
  <si>
    <t>VZ-2021-000884</t>
  </si>
  <si>
    <t>Výměna výplní vnějších otvorů - budova AYA</t>
  </si>
  <si>
    <t>VZ-2021-000885</t>
  </si>
  <si>
    <t>Toaletní papír a papírové ručníky Z-Z 2021 II</t>
  </si>
  <si>
    <t>nová VZ-2021-000885</t>
  </si>
  <si>
    <t>VZ-2021-000886</t>
  </si>
  <si>
    <t>Provedení stavebních úprav v budově H1, 2.NP a 3.NP - II</t>
  </si>
  <si>
    <t>nová VZ-2021-000886</t>
  </si>
  <si>
    <t>VZ-2021-000887</t>
  </si>
  <si>
    <t>2.2.407.</t>
  </si>
  <si>
    <t>nová VZ-2021-000887</t>
  </si>
  <si>
    <t>38432200-4</t>
  </si>
  <si>
    <t>2.2.354.</t>
  </si>
  <si>
    <t>VZ-2021-000890</t>
  </si>
  <si>
    <t>Vata buničitá</t>
  </si>
  <si>
    <t>33141115-9</t>
  </si>
  <si>
    <t>VZ-2021-000891</t>
  </si>
  <si>
    <t>Jehly endosonografické pro FNA/FNB II.</t>
  </si>
  <si>
    <t>nová VZ-2021-000891</t>
  </si>
  <si>
    <t>Arjo Czech Republic s.r.o.</t>
  </si>
  <si>
    <t>SMLN-2021-617-000461
SMLN-2021-612-000098
SMLN-2021-617-000462</t>
  </si>
  <si>
    <t>1.1.-30.8.2024</t>
  </si>
  <si>
    <t>INLAB s.r.o.</t>
  </si>
  <si>
    <t>VZ-2021-000892</t>
  </si>
  <si>
    <t>Přístroj na diagnostiku cystické fibrózy</t>
  </si>
  <si>
    <t>2.2.394.</t>
  </si>
  <si>
    <t>VZ-2021-000894</t>
  </si>
  <si>
    <t>Ultrarychlé multifunkční PCR POCT - MEX grant 2021 II.</t>
  </si>
  <si>
    <t>nová VZ-201-000894</t>
  </si>
  <si>
    <t>VZ-2021-000895</t>
  </si>
  <si>
    <t>Renovace bytových jednotek – Etapa I. – budova AYD</t>
  </si>
  <si>
    <t>45211310-5</t>
  </si>
  <si>
    <t>SMLN-2021-617-000467
SMLN-2021-612-000099</t>
  </si>
  <si>
    <t>STERIPAK s.r.o.</t>
  </si>
  <si>
    <t>VZ-2021-000371</t>
  </si>
  <si>
    <t xml:space="preserve">Poskytování daňového a účetního poradenství </t>
  </si>
  <si>
    <t>VZ-2021-000842</t>
  </si>
  <si>
    <t>VZ-2021-000898</t>
  </si>
  <si>
    <t>Výroba a montáž nábytku 3/2021</t>
  </si>
  <si>
    <t>VZ-2021-000900</t>
  </si>
  <si>
    <t>Elektrický schodolez</t>
  </si>
  <si>
    <t>4.2.161.</t>
  </si>
  <si>
    <t>44115600-5</t>
  </si>
  <si>
    <t>VZ-2021-000903</t>
  </si>
  <si>
    <t>Oprava hygienických zařízení ve 3.NP a 4.NP budovy C</t>
  </si>
  <si>
    <t>SMLN-2021-617-000473
SMLN-2021-614-000080</t>
  </si>
  <si>
    <t>SMLN-2021-617-000472
SMLN-2021-614-000079</t>
  </si>
  <si>
    <t>SMLN-2021-617-000469
SMLN-2021-612-000100
SMLN-2021-617-000470</t>
  </si>
  <si>
    <t>SMLN-2021-617-000468</t>
  </si>
  <si>
    <t>INOVA SURGICAL s.r.o.</t>
  </si>
  <si>
    <t>1.1.-31.8.2024</t>
  </si>
  <si>
    <t>1.1.-31.8.2026</t>
  </si>
  <si>
    <t>KVALITA</t>
  </si>
  <si>
    <t>nová VZ-2021-000770</t>
  </si>
  <si>
    <t>VZ-2021-000906</t>
  </si>
  <si>
    <t>Přestavba nákladního vozidla IVECO</t>
  </si>
  <si>
    <t>4.2.162.</t>
  </si>
  <si>
    <t>50117100-9</t>
  </si>
  <si>
    <t>VZ-2021-000910</t>
  </si>
  <si>
    <t>Aktivní antidekubitní matrace pro pacienty s vyšší hmotností</t>
  </si>
  <si>
    <t>SMLN-2021-617-000475
SMLN-2021-612-000101</t>
  </si>
  <si>
    <t>KARFO velkoobchod s.r.o.</t>
  </si>
  <si>
    <t>PE Systems s.r.o.</t>
  </si>
  <si>
    <t>6.9.2021 vyloučení</t>
  </si>
  <si>
    <t>VZ-2021-000913</t>
  </si>
  <si>
    <t>1.1.-2.9.2024</t>
  </si>
  <si>
    <t>1.1.-6.9.2025</t>
  </si>
  <si>
    <t>VZ-2021-000920</t>
  </si>
  <si>
    <r>
      <t xml:space="preserve">LP s obsahem bosentanu 2021 - </t>
    </r>
    <r>
      <rPr>
        <b/>
        <i/>
        <sz val="11"/>
        <color theme="1"/>
        <rFont val="Calibri"/>
        <family val="2"/>
        <charset val="238"/>
        <scheme val="minor"/>
      </rPr>
      <t xml:space="preserve">sdružený nákup </t>
    </r>
  </si>
  <si>
    <t>8.9.2021 zrušeno</t>
  </si>
  <si>
    <t>VZ-2021-000927</t>
  </si>
  <si>
    <t>Endoskopická věž</t>
  </si>
  <si>
    <t>Záznamové zařízení</t>
  </si>
  <si>
    <t>2.2.342.</t>
  </si>
  <si>
    <t>2.3.538.</t>
  </si>
  <si>
    <t>SMLN-2021-618-000061</t>
  </si>
  <si>
    <t>VZ-2021-000929</t>
  </si>
  <si>
    <t xml:space="preserve">Laserový přístroj a set pro morcelaci a enukleaci prostaty </t>
  </si>
  <si>
    <t>VZ-2021-000930</t>
  </si>
  <si>
    <t>Lůžka a lehátka</t>
  </si>
  <si>
    <t>Intenzivní lůžka a vážicí lůžka s antidekubitními matracemi</t>
  </si>
  <si>
    <t>Komfortní transportní vícesegmentová lehátka</t>
  </si>
  <si>
    <t>Systém monitorů pro JIRP Dětské kliniky</t>
  </si>
  <si>
    <t>2.3.448.,  2.3.449.</t>
  </si>
  <si>
    <t>22.395.,2.2.396.</t>
  </si>
  <si>
    <t>Centrální monitorovací stanice</t>
  </si>
  <si>
    <t>SMLN-2021-617-000489
SMLN-2021-612-000103
SMLN-2021-617-000490</t>
  </si>
  <si>
    <t>SMLN-2021-617-000491
SMLN-2021-617-000492</t>
  </si>
  <si>
    <t>VZ-2021-000935</t>
  </si>
  <si>
    <t>SM + servis</t>
  </si>
  <si>
    <t>1.1.-12.9.2025</t>
  </si>
  <si>
    <t>nová VZ-2021-000935</t>
  </si>
  <si>
    <t>13.9.2021 zrušeno</t>
  </si>
  <si>
    <t>16.9.2021 zrušeno</t>
  </si>
  <si>
    <t>1.1.-12.9.-2024</t>
  </si>
  <si>
    <t>VZ-2021-000946</t>
  </si>
  <si>
    <t>LP s obsahem Nivolumabu II. 2021</t>
  </si>
  <si>
    <t>LP s obsahem Bevacizumabu 2021</t>
  </si>
  <si>
    <t>14.9.2021 zrušeno</t>
  </si>
  <si>
    <t>VAMEX, spol. s  r.o.</t>
  </si>
  <si>
    <t>nová VZ-2021-000949</t>
  </si>
  <si>
    <t>VZ-2021-000949</t>
  </si>
  <si>
    <t>5. Mikrokatétry (Intervenční Radiologie) II.</t>
  </si>
  <si>
    <t>zrušeno - upravit zadávací podmínky</t>
  </si>
  <si>
    <t>1.1.-14.9.2024</t>
  </si>
  <si>
    <t>15.9.2021 zrušeno</t>
  </si>
  <si>
    <t>VZ-2021-000951</t>
  </si>
  <si>
    <t>Samoexpandibilní stenty vaskulární II.</t>
  </si>
  <si>
    <t>Balónexpandibilní stenty vaskulární I.</t>
  </si>
  <si>
    <t>Balónexpandibilní stenty vaskulární II.</t>
  </si>
  <si>
    <t>Karotické stenty vaskulární I.</t>
  </si>
  <si>
    <t>Karotické stenty vaskulární II.</t>
  </si>
  <si>
    <t>VZ-2021-000742 zrušeno
VZ-2021-000949</t>
  </si>
  <si>
    <t>SMLN-2021-617-000497
SMLN-2021-614-000081</t>
  </si>
  <si>
    <t>SMLN-2021-617-000498
SMLN-2021-614-000082</t>
  </si>
  <si>
    <t>SMLN-2021-617-000499
SMLN-2021-614-000083</t>
  </si>
  <si>
    <t>VZ-2021-000953</t>
  </si>
  <si>
    <t>VZ-2021-000954</t>
  </si>
  <si>
    <t>Služby spojené s realizací odborné akce FN Olomouc - konference Veřejné zakázky ve zdravotnictví</t>
  </si>
  <si>
    <t>nová VZ-2021-000954</t>
  </si>
  <si>
    <t>ACTIVA spol. s r.o.</t>
  </si>
  <si>
    <t>1.1.-15.9.2024</t>
  </si>
  <si>
    <t>SMLN-2021-617-000506</t>
  </si>
  <si>
    <t>SMLN-2021-617-000507
SMLN-2021-612-000105</t>
  </si>
  <si>
    <t>17.9.2021 zrušeno</t>
  </si>
  <si>
    <t>SMLN-2021-617-000510</t>
  </si>
  <si>
    <t>SMLN-2021-617-000509</t>
  </si>
  <si>
    <t>VZ-2021-000968</t>
  </si>
  <si>
    <t>Oprava výkonových vypínačů</t>
  </si>
  <si>
    <t>VZ-2021-000969</t>
  </si>
  <si>
    <t>PCR POCT s výpůjčkou analyzátoru II.</t>
  </si>
  <si>
    <t>nová VZ-2021-000969</t>
  </si>
  <si>
    <t>VZ-2021-000972</t>
  </si>
  <si>
    <t>Sanace 2ks lodžíí - budova Q</t>
  </si>
  <si>
    <t>SMLN-2021-617-000512</t>
  </si>
  <si>
    <t>SMLN-2021-617-000513</t>
  </si>
  <si>
    <t>SMLN-2021-617-000511</t>
  </si>
  <si>
    <t>VZ-2021-000973</t>
  </si>
  <si>
    <t>SMLN-2021-617-000517
SMLN-2021-614-000084</t>
  </si>
  <si>
    <t>1.1.-20.9.2022</t>
  </si>
  <si>
    <t>SMLN-2021-618-000063</t>
  </si>
  <si>
    <t>SMLN-2021-617-000519
SMLN-2021-614-000085</t>
  </si>
  <si>
    <t>SMLN-2021-617-000518</t>
  </si>
  <si>
    <t>HOTELPARK STADION a.s.</t>
  </si>
  <si>
    <t>AGIS úcetnictví a daně, a.s.</t>
  </si>
  <si>
    <t>SMLN-2021-612-000107</t>
  </si>
  <si>
    <t>zrušeno - nová VZ</t>
  </si>
  <si>
    <t>SMLN-2021-617-000520
SMLN-2021-612-000106
SMLN-2021-617-000521</t>
  </si>
  <si>
    <t>servis +  SM</t>
  </si>
  <si>
    <t>VZ-2021-000980</t>
  </si>
  <si>
    <t>Výměna výplní vnějších otvorů - budova E, YA, YC, YD</t>
  </si>
  <si>
    <t>Výměna výplní vnějších otvorů - budova E</t>
  </si>
  <si>
    <t>Výměna výplní vnějších otvorů - budova YA</t>
  </si>
  <si>
    <t>Výměna výplní vnějších otvorů - budova YC</t>
  </si>
  <si>
    <t>Výměna výplní vnějších otvorů - budova YD</t>
  </si>
  <si>
    <t>VZ-2021-000981</t>
  </si>
  <si>
    <t>Pediatrický videokolonoskop</t>
  </si>
  <si>
    <t>2.2.327.</t>
  </si>
  <si>
    <t>VZ-2021-000983</t>
  </si>
  <si>
    <t>Endoskop pro operace nádorů v komorovém systému</t>
  </si>
  <si>
    <t>2.2.336.</t>
  </si>
  <si>
    <t>VZ-2021-000984</t>
  </si>
  <si>
    <t>VZ-2021-000985</t>
  </si>
  <si>
    <t>Endosonografická katétrová sonda s pohonnou jednotkou</t>
  </si>
  <si>
    <t>2.2.324.</t>
  </si>
  <si>
    <t>VZ-2021-000986</t>
  </si>
  <si>
    <t>VZ-2021-000987</t>
  </si>
  <si>
    <t>VZ-2021-000989</t>
  </si>
  <si>
    <t>VZ-2021-000988</t>
  </si>
  <si>
    <t>Oplachovací vodní peristaltická pumpa</t>
  </si>
  <si>
    <t>2.3.515.</t>
  </si>
  <si>
    <t>VZ-2021-000990</t>
  </si>
  <si>
    <t>Odsávací pumpa</t>
  </si>
  <si>
    <t>2.3.514.</t>
  </si>
  <si>
    <t>VZ-2021-000993</t>
  </si>
  <si>
    <t>Diagnostika Genetika 3. 2021</t>
  </si>
  <si>
    <t>SMLN-2021-617-000522</t>
  </si>
  <si>
    <t>VZ-2021-000994</t>
  </si>
  <si>
    <t>Automatické odpouštění vody</t>
  </si>
  <si>
    <t>VZ-2021-000995</t>
  </si>
  <si>
    <t>45351000-2</t>
  </si>
  <si>
    <t>VZ-2021-000997</t>
  </si>
  <si>
    <t>Rouškovací sety pro Radiologii</t>
  </si>
  <si>
    <t>VZ-2021-001002</t>
  </si>
  <si>
    <t>LP ze skupiny cytostatik a imunumodulačních léčiv 2021</t>
  </si>
  <si>
    <t>KOBIMETINIB</t>
  </si>
  <si>
    <t>PIRFENIDON</t>
  </si>
  <si>
    <t>BioVendor - laboratorní medicína, a.s.</t>
  </si>
  <si>
    <t>L I N E T spol. s r.o.</t>
  </si>
  <si>
    <t>zrušeno - neposkytnutí součinosti k uzavření smlouvy</t>
  </si>
  <si>
    <t>Oprava kompresorové stanice - UZQ</t>
  </si>
  <si>
    <t>VZ-2021-001003</t>
  </si>
  <si>
    <t>Oprava střešních plášťů</t>
  </si>
  <si>
    <t>VZ-2021-001004</t>
  </si>
  <si>
    <t>Oprava hygienických zařízení ve 3.NP a 4.NP budovy C II.</t>
  </si>
  <si>
    <t>nová VZ-2021-001004</t>
  </si>
  <si>
    <t>452113100-5</t>
  </si>
  <si>
    <t>LINON CZ s.r.o.</t>
  </si>
  <si>
    <t>VZ-2021-001005</t>
  </si>
  <si>
    <t>Komunikační systém sestra-pacient, budova Q1</t>
  </si>
  <si>
    <t>zrušeno - bez hodnotítelné nabídky</t>
  </si>
  <si>
    <t xml:space="preserve">Endoskopická věž a záznamové zařízení </t>
  </si>
  <si>
    <t>1.1.-23.9.2024</t>
  </si>
  <si>
    <t>Scintila, s.r.o.</t>
  </si>
  <si>
    <t xml:space="preserve">nerealizováno </t>
  </si>
  <si>
    <t>nová VZ-2021-000980</t>
  </si>
  <si>
    <t>VZ-2021-001009</t>
  </si>
  <si>
    <t>Novorozenecký sreening SMA s výpůjčkou analyzátoru</t>
  </si>
  <si>
    <t>VZ-2021-001010</t>
  </si>
  <si>
    <t>Triazolové deriváty II. 2021</t>
  </si>
  <si>
    <t>VORIKONAZOL SANDOZ Tbl.</t>
  </si>
  <si>
    <t>VFEND Tbl.</t>
  </si>
  <si>
    <t>VORICONAZOLE ACCORD Tbl.</t>
  </si>
  <si>
    <t>VORICONAZOLE OLIKLA Tbl.</t>
  </si>
  <si>
    <t>VORICONAZOLE TEVA Tbl.</t>
  </si>
  <si>
    <t>VORIKONAZOL MYLAN Tbl.</t>
  </si>
  <si>
    <t>VORIKONAZOL Tbl.  pro hospitalizované pacienty</t>
  </si>
  <si>
    <t>VZ-2021-001011</t>
  </si>
  <si>
    <t>PCR POCT s výpůjčkou analyzátoru III.</t>
  </si>
  <si>
    <t>VZ-2021-001019</t>
  </si>
  <si>
    <t>Materiál spotřební pro NHF systém AIRVO 2</t>
  </si>
  <si>
    <t>nová VZ-2021-001011</t>
  </si>
  <si>
    <t>nová VZ-2021-001021</t>
  </si>
  <si>
    <t>VZ-2021-001021</t>
  </si>
  <si>
    <t>Odstraňování havárií na vodovodních řadech a přípojkách ve FNOL II.</t>
  </si>
  <si>
    <t>SMLN-2021-612-000108</t>
  </si>
  <si>
    <t>SMLN-2021-617-000527</t>
  </si>
  <si>
    <t>SMLN-2021-617-000526
SMLN-2021-614-000086</t>
  </si>
  <si>
    <t>SMLN-2021-617-000528
SMLN-2021-614-000087</t>
  </si>
  <si>
    <t>SMLN-2021-617-000529
SMLN-2021-614-000088</t>
  </si>
  <si>
    <t>SMLN-2021-617-000530</t>
  </si>
  <si>
    <t>VZ-2021-001026</t>
  </si>
  <si>
    <t>LP ze skupiny cytostatik II. 2021</t>
  </si>
  <si>
    <t xml:space="preserve">SORAFENIB bez indikace diferencovaného karcinomu štítné žlázy </t>
  </si>
  <si>
    <t>MELFALAN</t>
  </si>
  <si>
    <t>NELARABIN</t>
  </si>
  <si>
    <t>CRISANTASPASA</t>
  </si>
  <si>
    <t>OXID ARSENITÝ I.</t>
  </si>
  <si>
    <t>OXID ARSENITÝ II.</t>
  </si>
  <si>
    <t>INTERGOS-CZ, s.r.o.</t>
  </si>
  <si>
    <t>VZ-2021-001027</t>
  </si>
  <si>
    <t>Dostavba a rekonstrukce budovy X</t>
  </si>
  <si>
    <t>SM</t>
  </si>
  <si>
    <t>VZ-2021-001028</t>
  </si>
  <si>
    <t>Širokoúhlá fundus kamera</t>
  </si>
  <si>
    <t>2.3.529.</t>
  </si>
  <si>
    <t>SMLN-2021-617-000533</t>
  </si>
  <si>
    <t>SMLN-2021-617-000534
SMLN-2021-612-000110
SMLN-2021-617-000535</t>
  </si>
  <si>
    <t>SMLN-2021-617-000536
SMLN-2021-612-000111</t>
  </si>
  <si>
    <t>SMLN-2021-617-000538
SMLN-2021-614-000089</t>
  </si>
  <si>
    <t>SMLN-2021-617-000537</t>
  </si>
  <si>
    <t>1.10.2021 zrušeno</t>
  </si>
  <si>
    <t>SMLN-2021-617-000531</t>
  </si>
  <si>
    <t>VZ-2021-001031</t>
  </si>
  <si>
    <t>Elektrický schodolez II</t>
  </si>
  <si>
    <t>nová VZ-2021-001031</t>
  </si>
  <si>
    <t>VZ-2021-001032</t>
  </si>
  <si>
    <t>1.1.-3.10.2024</t>
  </si>
  <si>
    <t>VZ-2021-001041</t>
  </si>
  <si>
    <t>Diagnostika GENETIKA 4. 2021 II.</t>
  </si>
  <si>
    <t>VZ-2021-001042</t>
  </si>
  <si>
    <t>Drát zaváděcí Emerald</t>
  </si>
  <si>
    <t>VZ-2021-001043</t>
  </si>
  <si>
    <t>Systémy pro uzavírání vstupů po perkutánních cévních výkonech I.</t>
  </si>
  <si>
    <t>Systémy pro uzavírání vstupů po perkutánních cévních výkonech II.</t>
  </si>
  <si>
    <t>VZ-2021-001044</t>
  </si>
  <si>
    <t>Diagnostické katétry  I.</t>
  </si>
  <si>
    <t>Diagnostické katétry  II.</t>
  </si>
  <si>
    <t>Hydrofilní diagnostické katétry</t>
  </si>
  <si>
    <t>Kalibrační diagnostické katétry</t>
  </si>
  <si>
    <t>Vodící katétry neurointervenční</t>
  </si>
  <si>
    <t>VZ-2021-001045</t>
  </si>
  <si>
    <t>Trn aspirační Spike</t>
  </si>
  <si>
    <t>Top-Bio, s.r.o.</t>
  </si>
  <si>
    <t>SMLN-2021-617-000546
SMLN-2021-612-000112</t>
  </si>
  <si>
    <t>VZ-2021-001046</t>
  </si>
  <si>
    <t>Vyhodnocení kvality a bezpečnosti poskytované péče II.</t>
  </si>
  <si>
    <t>nová VZ-2021-001046</t>
  </si>
  <si>
    <t>SMLN-2021-617-000547</t>
  </si>
  <si>
    <t>5.10.2021 zrušeno</t>
  </si>
  <si>
    <t>Stamed s.r.o.</t>
  </si>
  <si>
    <t>seervis +  SM</t>
  </si>
  <si>
    <t>1.1.-5.10.2022</t>
  </si>
  <si>
    <t>nová VZ-2021-001010</t>
  </si>
  <si>
    <t>VZ-2021-001056</t>
  </si>
  <si>
    <t>Synoptofor</t>
  </si>
  <si>
    <t>2.3.530.</t>
  </si>
  <si>
    <t>SMLN-2021-617-000549</t>
  </si>
  <si>
    <t>SMLN-2021-617-000550</t>
  </si>
  <si>
    <t>1.1.-5.10.2023</t>
  </si>
  <si>
    <t>1.1.-10.10.2022</t>
  </si>
  <si>
    <t>SMLN-2021-612-000113</t>
  </si>
  <si>
    <t>11.10.2021 zrušeno</t>
  </si>
  <si>
    <t>1.1.-10.10.2023</t>
  </si>
  <si>
    <t>KM Rest Ivančice, s.r.o.</t>
  </si>
  <si>
    <t>SMLN-2021-617-000552
SMLN-2021-612-000114</t>
  </si>
  <si>
    <t>VZ-2021-001081</t>
  </si>
  <si>
    <t>VZ-2021-001083</t>
  </si>
  <si>
    <t>Hysteroskopická pumpa k shaveru</t>
  </si>
  <si>
    <t>2.2.350.</t>
  </si>
  <si>
    <t>OEZ s.r.o.</t>
  </si>
  <si>
    <t>IZOTECH MORAVIA, spol. s r.o.</t>
  </si>
  <si>
    <t>VZ-2021-001089</t>
  </si>
  <si>
    <t>Myčky</t>
  </si>
  <si>
    <t>1.1.-12.10.2024</t>
  </si>
  <si>
    <t>VZ-2021-001090</t>
  </si>
  <si>
    <t>Stavební úpravy operačních sálů KÚČOCH</t>
  </si>
  <si>
    <t>SMLN-2021-617-000555</t>
  </si>
  <si>
    <t>SMLN-2021-617-000556</t>
  </si>
  <si>
    <t>SMLN-2021-617-000557</t>
  </si>
  <si>
    <t>SMLN-2021-617-000558</t>
  </si>
  <si>
    <t>SMLN-2021-617-000559</t>
  </si>
  <si>
    <t>Mycí a dezinfekční automaty</t>
  </si>
  <si>
    <t>Desinfektor</t>
  </si>
  <si>
    <t>Laboratorní myčka</t>
  </si>
  <si>
    <t>2.3.525.</t>
  </si>
  <si>
    <t>2.2.408</t>
  </si>
  <si>
    <t>2.2.389., 2.2.404.</t>
  </si>
  <si>
    <t>VZ-2021-001091</t>
  </si>
  <si>
    <t>Flexibilní epifaryngolaryngoskop</t>
  </si>
  <si>
    <t>2.3.567.</t>
  </si>
  <si>
    <t>VWR International s.r.o.</t>
  </si>
  <si>
    <t>SMLN-2021-618-000066</t>
  </si>
  <si>
    <t>SMLN-2021-617-000565</t>
  </si>
  <si>
    <t>SMLN-2021-617-000566</t>
  </si>
  <si>
    <t>SMLN-2021-617-000567</t>
  </si>
  <si>
    <t>SMLN-2021-617-000568
SMLN-2021-612-000115
SMLN-2021-617-000569</t>
  </si>
  <si>
    <t>14.10.2021 zrušeno</t>
  </si>
  <si>
    <t>VZ-2021-001094</t>
  </si>
  <si>
    <t>Mikrochirurgický vrtací systém pro středoušní chirurgii</t>
  </si>
  <si>
    <t>2.2.340.</t>
  </si>
  <si>
    <t>VZ-2021-001096</t>
  </si>
  <si>
    <t>Diagnostika studie PREVAL II.</t>
  </si>
  <si>
    <t>VZ-2021-001097</t>
  </si>
  <si>
    <t>Diagnostika Buněčná imunita PREVAL II.</t>
  </si>
  <si>
    <t>1.1.-14.10.2024</t>
  </si>
  <si>
    <t>1.1.-14.10.2023</t>
  </si>
  <si>
    <t>SMLN-2021-618-000067</t>
  </si>
  <si>
    <t>VZ-2021-001099</t>
  </si>
  <si>
    <t>Kolektor - oprava napojení odbočných větví vodovodního řádu</t>
  </si>
  <si>
    <t>SMLN-2021-618-000068</t>
  </si>
  <si>
    <t>1.1.-14.10.2022</t>
  </si>
  <si>
    <t>15.10.2021 zrušeno</t>
  </si>
  <si>
    <t>VZ-2021-001107</t>
  </si>
  <si>
    <t>Transportní ventilátor</t>
  </si>
  <si>
    <t>2.2.413.</t>
  </si>
  <si>
    <t>VZ-2021-001108</t>
  </si>
  <si>
    <t>EKG navigační systém</t>
  </si>
  <si>
    <t>2.2.385.</t>
  </si>
  <si>
    <t>VZ-2021-001111</t>
  </si>
  <si>
    <t>Jiná antiepileptika 2021</t>
  </si>
  <si>
    <t>33661600-4</t>
  </si>
  <si>
    <t>LAMICTAL</t>
  </si>
  <si>
    <t>NEURONTIN</t>
  </si>
  <si>
    <t>KEPPRA</t>
  </si>
  <si>
    <t>TRUND</t>
  </si>
  <si>
    <t>LYRICA</t>
  </si>
  <si>
    <t>PREGABALIN SANDOZ</t>
  </si>
  <si>
    <t>ARKVIMMA</t>
  </si>
  <si>
    <t>VZ-2021-001112</t>
  </si>
  <si>
    <t>SMLN-2021-617-000571
SMLN-2021-614-000090</t>
  </si>
  <si>
    <t>SMLN-2021-618-000069</t>
  </si>
  <si>
    <t>18.10.2021 zrušeno</t>
  </si>
  <si>
    <t>SMLN-2021-617-000574</t>
  </si>
  <si>
    <t>ELLA-CS, s.r.o.</t>
  </si>
  <si>
    <t>VZ-2021-001114</t>
  </si>
  <si>
    <t>Pavela</t>
  </si>
  <si>
    <t>Modulární víceúčelové zdravotnické zařízení</t>
  </si>
  <si>
    <t>45215140-4</t>
  </si>
  <si>
    <t>VZ-2021-001116</t>
  </si>
  <si>
    <t>Diskové pole pro zálohování</t>
  </si>
  <si>
    <t>3.2.37.</t>
  </si>
  <si>
    <t>SMLN-2021-617-000576
SMLN-2021-614-000091</t>
  </si>
  <si>
    <t>SMLN-2021-617-000577
SMLN-2021-614-000092</t>
  </si>
  <si>
    <t>SMLN-2021-617-000578
SMLN-2021-614-000093</t>
  </si>
  <si>
    <t>SMLN-2021-618-000070</t>
  </si>
  <si>
    <t>SMLN-2021-617-000579
SMLN-2021-612-000116</t>
  </si>
  <si>
    <t>SMLN-2021-617-000580
SMLN-2021-612-000117</t>
  </si>
  <si>
    <t>SMLN-2021-617-000581
SMLN-2021-614-000094</t>
  </si>
  <si>
    <t>VZ-2021-001118</t>
  </si>
  <si>
    <t>Vyhodnocení kvality a bezpečnosti poskytované péče III.</t>
  </si>
  <si>
    <t>nová VZ-2021-001118</t>
  </si>
  <si>
    <t>VZ-2021-001120</t>
  </si>
  <si>
    <t>Parkoviště kol</t>
  </si>
  <si>
    <t>1.2.84.</t>
  </si>
  <si>
    <t>VZ-2021-001121</t>
  </si>
  <si>
    <t>VZ-2021-001123</t>
  </si>
  <si>
    <t>Dodání automatické olepovačky hran s předfrézovací jednotkou</t>
  </si>
  <si>
    <t>42642100-9</t>
  </si>
  <si>
    <t>4.2.164.</t>
  </si>
  <si>
    <t>VZ-2021-001110</t>
  </si>
  <si>
    <t>Provedení stavebních úprav v budově H1, 2.NP a 3.NP - III</t>
  </si>
  <si>
    <t>nová VZ-2021-001110</t>
  </si>
  <si>
    <t>SMLN-2021-617-000584
SMLN-2021-614-000095</t>
  </si>
  <si>
    <t>nová VZ-2021-001128</t>
  </si>
  <si>
    <t>VZ-2021-001126</t>
  </si>
  <si>
    <r>
      <t xml:space="preserve">Jiná antipsychotika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</si>
  <si>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 xml:space="preserve">PALIPERIDON </t>
  </si>
  <si>
    <t>VZ-2021-001127</t>
  </si>
  <si>
    <r>
      <t xml:space="preserve">LP ze skupiny anticholinergin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</si>
  <si>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TIOTROPIUM-BROMID</t>
  </si>
  <si>
    <t>VZ-2021-001128</t>
  </si>
  <si>
    <t>SMLN-2021-617-000585
SMLN-2021-616-000066</t>
  </si>
  <si>
    <t xml:space="preserve">2.1. Vodící dráty k vaskulárním intervencím I. </t>
  </si>
  <si>
    <t xml:space="preserve">2.2. Vodící dráty k vaskulárním intervencím II. </t>
  </si>
  <si>
    <t>2.7. Vodící mikrodráty k vaskulárním neurointervencím III.</t>
  </si>
  <si>
    <t>2.5. Vodící mikrodráty k vaskulárním neurointevencím I.</t>
  </si>
  <si>
    <t xml:space="preserve">2.4. Vodící mikrodráty k periferním vaskulárním intervencím </t>
  </si>
  <si>
    <t xml:space="preserve">2.3. Vodící dráty k vaskulárním intervencím III. </t>
  </si>
  <si>
    <t>21.10.2021 zrušeno</t>
  </si>
  <si>
    <t>VZ-2021-001129</t>
  </si>
  <si>
    <t>Materiál spotřební k monitorům Carescape B 850 a ventilátorům Carescape R 860</t>
  </si>
  <si>
    <t>VZ-2021-001131</t>
  </si>
  <si>
    <t xml:space="preserve">Láhve a dudlíky krmící jednorázové </t>
  </si>
  <si>
    <t>Láhve kojenecké</t>
  </si>
  <si>
    <t>Dudlíky</t>
  </si>
  <si>
    <t>VZ-2021-001132</t>
  </si>
  <si>
    <t>Oprava EKV ve vybraných objektech FNOL</t>
  </si>
  <si>
    <t>42961100-1</t>
  </si>
  <si>
    <t>Teva Pharmaceuticals CR s.r.o.</t>
  </si>
  <si>
    <t>SMLN-2021-617-000586</t>
  </si>
  <si>
    <t>12.10.2021 vyloučení</t>
  </si>
  <si>
    <t>zrušeno - úprava zadávacích podmínek</t>
  </si>
  <si>
    <t>AL LOGIC, s.r.o.</t>
  </si>
  <si>
    <t>1.1.-24.10.2024</t>
  </si>
  <si>
    <t>Vata buňičitá</t>
  </si>
  <si>
    <t>1.1.-24.10.2023</t>
  </si>
  <si>
    <t>SMLN-2021-617-000587</t>
  </si>
  <si>
    <t>BRYVECASTA, s.r.o.</t>
  </si>
  <si>
    <t>SMLN-2021-617-000591</t>
  </si>
  <si>
    <t>SMLN-2021-617-000592</t>
  </si>
  <si>
    <t>SMLN-2021-617-000590
SMLN-2021-614-000097</t>
  </si>
  <si>
    <t>SMLN-2021-617-000589
SMLN-2021-614-000096</t>
  </si>
  <si>
    <t>nová VZ-2021-001157</t>
  </si>
  <si>
    <t>VZ-2021-001157</t>
  </si>
  <si>
    <t>Synoptofor II</t>
  </si>
  <si>
    <t>SMLN-2021-617-000596
SMLN-2021-612-000118</t>
  </si>
  <si>
    <t>ELMAR group, spol. s r.o.</t>
  </si>
  <si>
    <t>SMLN-2021-617-000597</t>
  </si>
  <si>
    <t>Balónek extrakční trojlumenný II</t>
  </si>
  <si>
    <t>zrušeno - překročení limitu pro VZMR</t>
  </si>
  <si>
    <t>SMLN-2021-617-000604
SMLN-2021-614-000098</t>
  </si>
  <si>
    <t>SMLN-2021-617-000603
SMLN-2021-614-000099</t>
  </si>
  <si>
    <t>SMLN-2021-617-000602
SMLN-2021-614-000100</t>
  </si>
  <si>
    <t>SMLN-2021-618-000071</t>
  </si>
  <si>
    <t>VZ-2021-001160</t>
  </si>
  <si>
    <t xml:space="preserve">14. STENTGRAFTY AORTÁLNÍ </t>
  </si>
  <si>
    <t>14.1. Stentgraft aortální hrudní - proximální část I.</t>
  </si>
  <si>
    <t>14.4. Stentgrafty aortální pro reparaci disekcí sestupné části hrudní aorty</t>
  </si>
  <si>
    <t>14.7.  Stent tubulární komponentní určený pro modelování pravého lumen aorty při disekci aorty</t>
  </si>
  <si>
    <t>14.11. Stentgraft tubulární aortální břišní k prodloužení těla bifurkačního stentgraftu - proximální extenze</t>
  </si>
  <si>
    <t>14.13. Stentgraft vaskulární větvený pro vnitřní ilickou tepnu</t>
  </si>
  <si>
    <t>14.14. Stentgraft vaskulární arotální fenestrovaný</t>
  </si>
  <si>
    <t>1.1.-31.10.2025</t>
  </si>
  <si>
    <t>1.1.-31.10.2024</t>
  </si>
  <si>
    <t>Sanatěs Olomouc s.r.o.</t>
  </si>
  <si>
    <t>1.1.-1.11.2024</t>
  </si>
  <si>
    <t>VZ-2021-000742 zrušeno
VZ-2021-000949 zrušeno</t>
  </si>
  <si>
    <t>VZ-2021-001166</t>
  </si>
  <si>
    <t>Vyšetření krevního obrazu u dárců krve a vzorků transfuzních přípravků s výpůjčkou přístrojů II.</t>
  </si>
  <si>
    <t>33694000-1, 38434000</t>
  </si>
  <si>
    <t>SMLN-2021-617-000605</t>
  </si>
  <si>
    <t>SMLN-2021-617-000606</t>
  </si>
  <si>
    <t>SMLN-2021-617-000609
SMLN-2021-612-000120</t>
  </si>
  <si>
    <t>SMLN-2021-617-000607
SMLN-2021-612-000119
SMLN-2021-617-000608</t>
  </si>
  <si>
    <t>SMLN-2021-618-000073</t>
  </si>
  <si>
    <t>Surgipa Medical, spol. s r.o.</t>
  </si>
  <si>
    <t>SMLN-2021-618-000076</t>
  </si>
  <si>
    <t>SMLN-2021-618-000075</t>
  </si>
  <si>
    <t>INLAB  s.r.o.</t>
  </si>
  <si>
    <t>OHLA ŹS a.s.</t>
  </si>
  <si>
    <t>Katetr ultrazvukový ViewFlex Xtra</t>
  </si>
  <si>
    <t>SMLN-2021-617-000612
SMLN-2021-614-000101</t>
  </si>
  <si>
    <t>SMLN-2021-617-000613
SMLN-2021-614-000102</t>
  </si>
  <si>
    <t>SMLN-2021-617-000614
SMLN-2021-614-000103</t>
  </si>
  <si>
    <t>3.11.2021 zrušeno</t>
  </si>
  <si>
    <t>nová VZ-2021-001173</t>
  </si>
  <si>
    <t>VZ-2021-001173</t>
  </si>
  <si>
    <t>Zajištění prací spojených s odstraňováním havárií na vodovodních řadech a vodovodních přípojkách ve FNOL</t>
  </si>
  <si>
    <t>VZ-2021-001174</t>
  </si>
  <si>
    <t>Oprava obvodového pláště budovy L</t>
  </si>
  <si>
    <t>VZ-2021-001175</t>
  </si>
  <si>
    <t>Oprava skladovacích hal</t>
  </si>
  <si>
    <t>VZ-2021-001178</t>
  </si>
  <si>
    <t>Izolátor pro přípravu cytostatik</t>
  </si>
  <si>
    <t>2.2.279.</t>
  </si>
  <si>
    <t>VZ-2021-001171</t>
  </si>
  <si>
    <t>1.1.-3.11.2024</t>
  </si>
  <si>
    <t>SMLN-2021-617-000618
SMLN-2021-614-000104</t>
  </si>
  <si>
    <t>4.11.2021 zrušeno</t>
  </si>
  <si>
    <t>VZ-2021-001183</t>
  </si>
  <si>
    <t>Svářečka</t>
  </si>
  <si>
    <t>2.3.560.</t>
  </si>
  <si>
    <t>VZ-2021-001184</t>
  </si>
  <si>
    <r>
      <rPr>
        <b/>
        <sz val="11"/>
        <color rgb="FFFF0000"/>
        <rFont val="Calibri"/>
        <family val="2"/>
        <charset val="238"/>
        <scheme val="minor"/>
      </rPr>
      <t>VZ-2021-000756 
zrušeno - bez nabídky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theme="1"/>
        <rFont val="Calibri"/>
        <family val="2"/>
        <charset val="238"/>
        <scheme val="minor"/>
      </rPr>
      <t>nová VZ-2021-001184</t>
    </r>
  </si>
  <si>
    <t>nová VZ-2021-001184</t>
  </si>
  <si>
    <t>I.T.A.-Interact s.r.o.</t>
  </si>
  <si>
    <t>SMLN-2021-617-000621
SMLN-2021-614-000105</t>
  </si>
  <si>
    <t>SMLN-2021-617-000620
SMLN-2021-614-000106</t>
  </si>
  <si>
    <t>SMLN-2021-617-000619
SMLN-2021-614-000107</t>
  </si>
  <si>
    <t>SMLN-2021-618-000077</t>
  </si>
  <si>
    <t>5.11.2021 zrušeno</t>
  </si>
  <si>
    <t>Diagnostika pro stimulaci buněk</t>
  </si>
  <si>
    <t>ELISA kit</t>
  </si>
  <si>
    <t>DYNEX LabSolutions, s.r.o.</t>
  </si>
  <si>
    <t>Bio-Port Europe s.r.o.</t>
  </si>
  <si>
    <t>1.1.-7.11.2023</t>
  </si>
  <si>
    <t>1.1.-7.11.2022</t>
  </si>
  <si>
    <t>1.1.-7.11.2024</t>
  </si>
  <si>
    <t>VZ-2021-001193</t>
  </si>
  <si>
    <t>Pec polymerační na fotokompozity</t>
  </si>
  <si>
    <t>2.3.468.</t>
  </si>
  <si>
    <t>zrušeno - §127 odst.2 písm. d) - ekonomické důvody</t>
  </si>
  <si>
    <t>SMLN-2021-617-000629
SMLN-2021-612-000122</t>
  </si>
  <si>
    <t>SMLN-2021-617-000631
SMLN-2021-612-000123</t>
  </si>
  <si>
    <t>SMLN-2021-617-000628
SMLN-2021-612-000121
SMLN-2021-617-000630</t>
  </si>
  <si>
    <t>SMLN-2021-617-000632
SMLN-2021-612-000124</t>
  </si>
  <si>
    <t>Fénix Brno, spol. s r.o.</t>
  </si>
  <si>
    <t>SMLN-2021-617-000633
SMLN-2021-614-000108</t>
  </si>
  <si>
    <t>SMLN-2021-617-000634
SMLN-2021-614-000109</t>
  </si>
  <si>
    <t>SMLN-2021-617-000635
SMLN-2021-614-000110</t>
  </si>
  <si>
    <t>SMLN-2021-617-000636
SMLN-2021-614-000111</t>
  </si>
  <si>
    <t>SMLN-2021-617-000637
SMLN-2021-614-000112</t>
  </si>
  <si>
    <t>SMLN-2021-617-000639
SMLN-2021-614-000113</t>
  </si>
  <si>
    <t>SMLN-2021-618-000078</t>
  </si>
  <si>
    <t>SMLN-2021-617-000638</t>
  </si>
  <si>
    <t>SMLN-2021-617-000640</t>
  </si>
  <si>
    <t>SMLN-2021-617-000641
SMLN-2021-612-000126
SMLN-2021-612-000127</t>
  </si>
  <si>
    <t>STAFSONS, s.r.o.</t>
  </si>
  <si>
    <t>SMLN-2021-617-000642
SMLN-2021-612-000128</t>
  </si>
  <si>
    <t>SMLN-2021-617-000643
SMLN-2021-612-000129</t>
  </si>
  <si>
    <t>SMLN-2021-617-000645
SMLN-2021-614-000114</t>
  </si>
  <si>
    <t>SMLN-2021-617-000644</t>
  </si>
  <si>
    <t>VZ-2021-001196</t>
  </si>
  <si>
    <t>Materiál spotřební pro NHF systém AIRVO 2 II.</t>
  </si>
  <si>
    <t>nová VZ-2021-001196</t>
  </si>
  <si>
    <t>VZ-2021-001197</t>
  </si>
  <si>
    <t>Chladící deska pro ochlazování parafínových bloků</t>
  </si>
  <si>
    <t>2.2.353.</t>
  </si>
  <si>
    <t>MYNAŘ-TRADE s.r.o.</t>
  </si>
  <si>
    <t>Univerzální elektrická lůžka</t>
  </si>
  <si>
    <t>2.3.517.,2.3.456.,2.2.260.</t>
  </si>
  <si>
    <t>2.2.414.</t>
  </si>
  <si>
    <t>2.3.528.,2.2.157.</t>
  </si>
  <si>
    <t>2.3.588</t>
  </si>
  <si>
    <t>Polohovací a fixační pomůcky</t>
  </si>
  <si>
    <t>VZ-2021-001206</t>
  </si>
  <si>
    <t>VZ-2021-001207</t>
  </si>
  <si>
    <t>6.1. Dilatační balónkové katétry vaskulární I.</t>
  </si>
  <si>
    <t>6.2. Dilatační balónkové katétry vaskulární II.</t>
  </si>
  <si>
    <t>6.3. Dilatační balónkové katétry vaskulární III.</t>
  </si>
  <si>
    <t>6.4. Dilatační balónkové katétry vaskulární noncompliant</t>
  </si>
  <si>
    <t>6.5. Dilatační balónkové katétry vaskulární noncompliant XXL</t>
  </si>
  <si>
    <t>6.6. Dilatační balónkové katétry vaskulární po mikrovodících drátech monorial I.</t>
  </si>
  <si>
    <t>6.7. Dilatační balónkové katétry vaskulární intrakraniální</t>
  </si>
  <si>
    <t>6.8. Řezací dilatační balónkové katétry vaskulární</t>
  </si>
  <si>
    <t>6.9. Dilatační balónkové katétry vaskulární po mikrovodících drátech monorial II.</t>
  </si>
  <si>
    <t>VZ-2021-001209</t>
  </si>
  <si>
    <t>2.3.566.</t>
  </si>
  <si>
    <t>VZ-2021-001214</t>
  </si>
  <si>
    <t>Set  pro transapikální implantaci biologické mitrální chlopně prasečí</t>
  </si>
  <si>
    <t>SMLN-2021-617-000648
SMLN-2021-612-000131</t>
  </si>
  <si>
    <t>SMLN-2021-617-000649
SMLN-2021-612-000132</t>
  </si>
  <si>
    <t>SMLN-2021-617-000650</t>
  </si>
  <si>
    <t>SMLN-2021-617-000656
SMLN-2021-614-000115</t>
  </si>
  <si>
    <t>SMLN-2021-617-000653
SMLN-2021-612-000134</t>
  </si>
  <si>
    <t>SMLN-2021-617-000654
SMLN-2021-612-000135</t>
  </si>
  <si>
    <t>SMLN-2021-617-000655
SMLN-2021-612-000136</t>
  </si>
  <si>
    <t>SMLN-2021-617-000651
SMLN-2021-612-000133</t>
  </si>
  <si>
    <t>VZ-2021-001229</t>
  </si>
  <si>
    <t>Vyšetření karcinomu prostaty s výpůjčkou analyzátoru</t>
  </si>
  <si>
    <t>VZ-2021-001230</t>
  </si>
  <si>
    <t>Vyšetření tumormarkerů s výpůjčkou přístrojů</t>
  </si>
  <si>
    <t>11.11.2021 zrušeno</t>
  </si>
  <si>
    <t>SMLN-2021-617-000660</t>
  </si>
  <si>
    <t>1.1.-9.11.2024</t>
  </si>
  <si>
    <t>1.1.-14.11.2024</t>
  </si>
  <si>
    <t>1.1.-15.11.2024</t>
  </si>
  <si>
    <t>12.11.2021 zrušeno</t>
  </si>
  <si>
    <t>CODACO ELECTRONIC, s.r.o.</t>
  </si>
  <si>
    <t>SMLN-2021-617-000659</t>
  </si>
  <si>
    <t>SMLN-2021-617-000661
SMLN-2021-612-000137</t>
  </si>
  <si>
    <t>SMLN-2021-618-000080</t>
  </si>
  <si>
    <t>LB Bohemia, s.r.o.</t>
  </si>
  <si>
    <t>SMLN-2021-617-000664</t>
  </si>
  <si>
    <t>VZ-2021-001228</t>
  </si>
  <si>
    <t>Náhradní díly pro komunikační systém sestra-pacient</t>
  </si>
  <si>
    <t>32360000-4</t>
  </si>
  <si>
    <t>CASTOR CZ, s.r.o.</t>
  </si>
  <si>
    <t>Termocykler a 384-jamkový modul k termocykleru</t>
  </si>
  <si>
    <t>Termocykler</t>
  </si>
  <si>
    <t>384-jamkový modul k termocykleru</t>
  </si>
  <si>
    <t>18.11.2021 zrušeno</t>
  </si>
  <si>
    <t>16.11.2021 zrušeno</t>
  </si>
  <si>
    <t>1.1.-17.11.2024</t>
  </si>
  <si>
    <t>AB Clima s.r.o.</t>
  </si>
  <si>
    <t>MK POWER s.r.o.</t>
  </si>
  <si>
    <t>doba neurčitá
22.7.2022</t>
  </si>
  <si>
    <t>doba neurčitá
9.9.2022</t>
  </si>
  <si>
    <t>doba neurčitá
14.4.2023</t>
  </si>
  <si>
    <t>doba neurčitá
23.6.2024</t>
  </si>
  <si>
    <t>doba neurčitá
28.9.2024</t>
  </si>
  <si>
    <t>doba neurčitá
11.10.2024</t>
  </si>
  <si>
    <t>doba neurčitá
10.11.2024</t>
  </si>
  <si>
    <t>doba neurčitá
1.11.2024</t>
  </si>
  <si>
    <t>doba neurčitá
24.11.2024</t>
  </si>
  <si>
    <t>doba neurčitá
20.1.2025</t>
  </si>
  <si>
    <t>doba neurčitá
1.6.2025</t>
  </si>
  <si>
    <t>doba neurčitá
2.2.2025</t>
  </si>
  <si>
    <t>doba neurčitá
15.7.2022</t>
  </si>
  <si>
    <t>doba neurčitá
25.2.2023</t>
  </si>
  <si>
    <t>doba neurčitá
30.8.2022</t>
  </si>
  <si>
    <t>upravit zadání</t>
  </si>
  <si>
    <t>SMLN-2021-617-000667</t>
  </si>
  <si>
    <t>SMLN-2021-617-000668</t>
  </si>
  <si>
    <t>SMLN-2021-617-000669</t>
  </si>
  <si>
    <t>1.1.-18.11.2022</t>
  </si>
  <si>
    <t>19.11.2021 vyloučení ALINEX</t>
  </si>
  <si>
    <t>19.11.2021 zrušeno</t>
  </si>
  <si>
    <t>VZ-2021-001238</t>
  </si>
  <si>
    <t>Stříkačka inflační pro PTCA I. a Y konektor  s  tlakově ovládanou hemostatickou chlopní</t>
  </si>
  <si>
    <t>Stříkačka inflační pro PTCA II.</t>
  </si>
  <si>
    <t>VZ-2021-001240</t>
  </si>
  <si>
    <t>Bezdrátový ultrazvuk</t>
  </si>
  <si>
    <t>2.2.386,392,393</t>
  </si>
  <si>
    <t>VZ-2021-001241</t>
  </si>
  <si>
    <t>Elektrochirurgické přístroje</t>
  </si>
  <si>
    <t>2.2.356,357</t>
  </si>
  <si>
    <t>VZ-2021-001244</t>
  </si>
  <si>
    <t>Bezbariérové parkovací stání za budovou L</t>
  </si>
  <si>
    <t>4.2.169.</t>
  </si>
  <si>
    <t>22.11.2021 vyloučení Life tech.</t>
  </si>
  <si>
    <t>AMEDIS spol. s r.o.</t>
  </si>
  <si>
    <t>Medicinální a technické plyny I. 2021</t>
  </si>
  <si>
    <t>VZ-2021-001247</t>
  </si>
  <si>
    <t>Medicinální a technické plyny II. 2021</t>
  </si>
  <si>
    <t>VZ-2021-001248</t>
  </si>
  <si>
    <t>Aktivní antidekubitní matrace pro pacienty s vyšší hmotností II</t>
  </si>
  <si>
    <t>nová VZ-2021-001248</t>
  </si>
  <si>
    <t>1.1.-21.5.2023</t>
  </si>
  <si>
    <t>VZ-2021-001249</t>
  </si>
  <si>
    <t>77300000-3</t>
  </si>
  <si>
    <t>Péče o zeleň</t>
  </si>
  <si>
    <t>Medisyner, s.r.o.</t>
  </si>
  <si>
    <t>VZ-2021-001251</t>
  </si>
  <si>
    <t>Diagnostické monitory pro RTG</t>
  </si>
  <si>
    <t>3.2.58.</t>
  </si>
  <si>
    <t>Medicinální plyny z ATC N01AX63</t>
  </si>
  <si>
    <t>Medicinální plyny I.</t>
  </si>
  <si>
    <t>Medicinální plyny II.</t>
  </si>
  <si>
    <t>Suchý led</t>
  </si>
  <si>
    <t>SMLN-2021-617-000673</t>
  </si>
  <si>
    <t>SMLN-2021-617-000674</t>
  </si>
  <si>
    <t>VZ-2021-001073</t>
  </si>
  <si>
    <t>Specifické proteiny OKB 2021 včetně výpůjčky analyzátoru</t>
  </si>
  <si>
    <t>SMLN-2021-617-000675
SMLN-2021-612-000138
SMLN-2021-617-000676</t>
  </si>
  <si>
    <t>SMLN-2021-617-000679
SMLN-2021-612-000139</t>
  </si>
  <si>
    <t>SMLN-2021-617-000680</t>
  </si>
  <si>
    <t>VZ-2021-001257</t>
  </si>
  <si>
    <t>Renovace bytové jednotky na ubytovně</t>
  </si>
  <si>
    <t>SMLN-2021-618-000083</t>
  </si>
  <si>
    <t>SMLN-2021-618-000082</t>
  </si>
  <si>
    <t>SMLN-2021-618-000084</t>
  </si>
  <si>
    <t>VZ-2021-001260</t>
  </si>
  <si>
    <t>Cívka k magnetickému stimulátoru</t>
  </si>
  <si>
    <t>2.2.334.</t>
  </si>
  <si>
    <t>SMLN-2021-618-000085</t>
  </si>
  <si>
    <t>Vivacom, s.r.o.</t>
  </si>
  <si>
    <t>VZ-2021-001261</t>
  </si>
  <si>
    <t xml:space="preserve">38634000-8 </t>
  </si>
  <si>
    <t>2.3.569.</t>
  </si>
  <si>
    <t>Inverzní optický mikroskop</t>
  </si>
  <si>
    <t>Mikroskop pro III. Inetrní kliniku</t>
  </si>
  <si>
    <t>VZ-2021-001263</t>
  </si>
  <si>
    <t>26. Extraktory intravaskulární III</t>
  </si>
  <si>
    <t>nová VZ-2021-001263</t>
  </si>
  <si>
    <t>dodavatel MSM odstoupil před podpisem smlouvy</t>
  </si>
  <si>
    <r>
      <rPr>
        <b/>
        <sz val="11"/>
        <color rgb="FFFF0000"/>
        <rFont val="Calibri"/>
        <family val="2"/>
        <charset val="238"/>
        <scheme val="minor"/>
      </rPr>
      <t>VZ-2021-000984 zrušeno</t>
    </r>
    <r>
      <rPr>
        <sz val="11"/>
        <color theme="1"/>
        <rFont val="Calibri"/>
        <family val="2"/>
        <charset val="238"/>
        <scheme val="minor"/>
      </rPr>
      <t xml:space="preserve"> 
opakovaná VZ-2021-001263</t>
    </r>
  </si>
  <si>
    <t>VZ-2021-001265</t>
  </si>
  <si>
    <t>Stavební úpravy pro zřízení infekčního oddělení FNOL</t>
  </si>
  <si>
    <t>45454000-4</t>
  </si>
  <si>
    <t>SMLN-2021-617-000684
SMLN-2021-612-000140</t>
  </si>
  <si>
    <t>SMLN-2021-617-000685
SMLN-2021-612-000141</t>
  </si>
  <si>
    <t>VZ-2021-001268</t>
  </si>
  <si>
    <t>Výroba a montáž nábytku Dětská klinika 7.NP</t>
  </si>
  <si>
    <t>VZ-2021-001269</t>
  </si>
  <si>
    <t>Akumulátorové vrtací soupravy</t>
  </si>
  <si>
    <t>2.2.343.</t>
  </si>
  <si>
    <t>2.2.344.</t>
  </si>
  <si>
    <t>Modulární bateriové soupravy k menším výkonům v ortopedii</t>
  </si>
  <si>
    <t>Akumulátorové soupravy pro střední výkony v ortopedii</t>
  </si>
  <si>
    <t>RIVAROXABAN II.</t>
  </si>
  <si>
    <t>RIVAROXABAN III.</t>
  </si>
  <si>
    <t>SMLN-2021-617-000688</t>
  </si>
  <si>
    <t>1.1.-28.11.2024</t>
  </si>
  <si>
    <t>VZ-2021-001275</t>
  </si>
  <si>
    <t xml:space="preserve">LANTUS </t>
  </si>
  <si>
    <t xml:space="preserve">ABASAGLAR </t>
  </si>
  <si>
    <t>TOUJEO FN OL</t>
  </si>
  <si>
    <t>VZ-2021-001276</t>
  </si>
  <si>
    <t>LP ze skupiny cytostatik III. 2021</t>
  </si>
  <si>
    <t>IRINOTEKAN PEGYLOVANÝ</t>
  </si>
  <si>
    <t>ALPELISIB</t>
  </si>
  <si>
    <t>CETUXIMAB</t>
  </si>
  <si>
    <t>PANITUMUMAB</t>
  </si>
  <si>
    <t>RAMUCIRUMAB</t>
  </si>
  <si>
    <t>LAROTREKTINIB</t>
  </si>
  <si>
    <t>GILTERITINIB</t>
  </si>
  <si>
    <t>ENTREKTINIB</t>
  </si>
  <si>
    <t>VZ-2021-001277</t>
  </si>
  <si>
    <t>Imunosupresiva II. 2021</t>
  </si>
  <si>
    <t>SIPONIMOD</t>
  </si>
  <si>
    <t>RAVULIZUMAB</t>
  </si>
  <si>
    <t>MYFENAX</t>
  </si>
  <si>
    <t>MYFORTIC</t>
  </si>
  <si>
    <t>DARVADSTROCEL</t>
  </si>
  <si>
    <t>VZ-2021-001280</t>
  </si>
  <si>
    <t>Izolátor pro přípravu radiofarmak PET</t>
  </si>
  <si>
    <t>2.3.322., 2.2.411.</t>
  </si>
  <si>
    <t>1.1.-28.11.2023</t>
  </si>
  <si>
    <t>VZ-2021-001252</t>
  </si>
  <si>
    <t>VZ-2021-001272</t>
  </si>
  <si>
    <t>Katetr a vodič pro rotační aterektomii (rotablaci)</t>
  </si>
  <si>
    <t>VZ-2021-001281</t>
  </si>
  <si>
    <t>Diagnostika Genetika 3. 2021 II.</t>
  </si>
  <si>
    <t>Trokar separační bez břitu</t>
  </si>
  <si>
    <t>VZ-2021-001282</t>
  </si>
  <si>
    <t>Echokardiografický přístroj střední třídy pro KTVS</t>
  </si>
  <si>
    <t>SMLN-2021-617-000692</t>
  </si>
  <si>
    <t>VZ-2021-001289</t>
  </si>
  <si>
    <t>Diagnostika OKB 2022</t>
  </si>
  <si>
    <t>SMLN-2021-617-000693</t>
  </si>
  <si>
    <t>SMLN-2021-617-000694</t>
  </si>
  <si>
    <t>1.1.-29.11.2024</t>
  </si>
  <si>
    <t>1.1.-29.11.2025</t>
  </si>
  <si>
    <t>VZ-2021-001288</t>
  </si>
  <si>
    <t>KYMRIAH</t>
  </si>
  <si>
    <t>SMLN-2021-617-000695
SMLN-2021-614-000117</t>
  </si>
  <si>
    <t>bamed s.r.o.</t>
  </si>
  <si>
    <t>SMLN-2021-617-000698
SMLN-2021-614-000121</t>
  </si>
  <si>
    <t>SMLN-2021-617-000699
SMLN-2021-614-000122</t>
  </si>
  <si>
    <t>SMLN-2021-617-000700
SMLN-2021-614-000123</t>
  </si>
  <si>
    <t>SMLN-2021-617-000701
SMLN-2021-614-000124</t>
  </si>
  <si>
    <t>SMLN-2021-617-000702
SMLN-2021-614-000125</t>
  </si>
  <si>
    <t>SMLN-2021-617-000703
SMLN-2021-614-000126</t>
  </si>
  <si>
    <t>SMLN-2021-617-000696
SMLN-2021-614-000118
SMLN-2021-614-000119</t>
  </si>
  <si>
    <t>SMLN-2021-617-000697
SMLN-2021-614-000120</t>
  </si>
  <si>
    <t>SMLN-2021-617-000704</t>
  </si>
  <si>
    <t>SMLN-2021-617-000705</t>
  </si>
  <si>
    <t>SMLN-2021-617-000706</t>
  </si>
  <si>
    <t>SMLN-2021-617-000707</t>
  </si>
  <si>
    <t>SMLN-2021-617-000708</t>
  </si>
  <si>
    <t>VZ-2021-001297</t>
  </si>
  <si>
    <t>Protézy cévní Gelsoft Plus</t>
  </si>
  <si>
    <t>nová VZ-2021-001297</t>
  </si>
  <si>
    <t>VZ-2021-001298</t>
  </si>
  <si>
    <t>Diagnostika pro vyšetření protilátek Studie PREVAL II.</t>
  </si>
  <si>
    <t>VZ-2021-001299</t>
  </si>
  <si>
    <t>Inhibitory proteinkináz II. 2021</t>
  </si>
  <si>
    <t>NINTEDANIB</t>
  </si>
  <si>
    <t>SMLN-2021-617-000710
SMLN-2021-612-000143</t>
  </si>
  <si>
    <t>3.12.2021 vyloučení BAXTER</t>
  </si>
  <si>
    <t>VZ-2021-001305</t>
  </si>
  <si>
    <t>Detekce viru SARS-COV-2  s výpůjčkou  RT PCR</t>
  </si>
  <si>
    <t>38434000-6, 3694000-1</t>
  </si>
  <si>
    <t>SMLN-2021-617-000712
SMLN-2021-612-000144</t>
  </si>
  <si>
    <t>SMLN-2021-617-000713
SMLN-2021-612-000145</t>
  </si>
  <si>
    <t>VZ-2021-001309</t>
  </si>
  <si>
    <t>4. Diagnostické katetry II.</t>
  </si>
  <si>
    <t>nová VZ-2021-001309</t>
  </si>
  <si>
    <t>VZ-2021-001310</t>
  </si>
  <si>
    <t>Materiál pro plazmaferézu k přístroji OMNI - OMNI set TPE</t>
  </si>
  <si>
    <t xml:space="preserve">Filtr antibakteriální a virový Pulmosafe </t>
  </si>
  <si>
    <t>VZ-2021-001311</t>
  </si>
  <si>
    <t>nová VZ-2021-000757</t>
  </si>
  <si>
    <t>nová VZ-2021-001041</t>
  </si>
  <si>
    <t>1.1.-6.12.2024</t>
  </si>
  <si>
    <t>1.1.-8.12.2023</t>
  </si>
  <si>
    <t>VZ-2021-001313</t>
  </si>
  <si>
    <t>PET / CT</t>
  </si>
  <si>
    <t>2.2.409.</t>
  </si>
  <si>
    <t>33115000-9</t>
  </si>
  <si>
    <t>Stavební úpravy kompresorové stanice v budově UZQ</t>
  </si>
  <si>
    <t>VZ-2021-001279</t>
  </si>
  <si>
    <t>SMLN-2021-618-000087</t>
  </si>
  <si>
    <r>
      <rPr>
        <b/>
        <sz val="11"/>
        <color rgb="FFFF0000"/>
        <rFont val="Calibri"/>
        <family val="2"/>
        <charset val="238"/>
        <scheme val="minor"/>
      </rPr>
      <t>VZ-2021-001044 zrušeno</t>
    </r>
    <r>
      <rPr>
        <b/>
        <sz val="11"/>
        <color theme="1"/>
        <rFont val="Calibri"/>
        <family val="2"/>
        <charset val="238"/>
        <scheme val="minor"/>
      </rPr>
      <t xml:space="preserve">
nová VZ-2021-001309</t>
    </r>
  </si>
  <si>
    <t>BIO-RAD spol.s r.o.</t>
  </si>
  <si>
    <t>VZ-2021-001315</t>
  </si>
  <si>
    <t>Sada kolimátorů</t>
  </si>
  <si>
    <t>2.2.410.</t>
  </si>
  <si>
    <t>REDAL AKTIV CZ s.r.o.</t>
  </si>
  <si>
    <t>VZ-2021-001316</t>
  </si>
  <si>
    <t>KYSELINA OBETICHOLOVÁ</t>
  </si>
  <si>
    <t>LP s obsahem kyseliny obeticholové 2021</t>
  </si>
  <si>
    <t>MEDIAL, spol. s r.o.</t>
  </si>
  <si>
    <t>Nárust hodnoty smluvních závazků oproti minulému roku v Kč bez DPH</t>
  </si>
  <si>
    <t>SMLN-2021-617-000716</t>
  </si>
  <si>
    <t>SMLN-2021-617-000717</t>
  </si>
  <si>
    <t>SMLN-2021-617-000718
SMLN-2021-614-000127</t>
  </si>
  <si>
    <t>SMLN-2021-617-000719
SMLN-2021-614-000128</t>
  </si>
  <si>
    <t>VZ-2021-001318</t>
  </si>
  <si>
    <t>nová VZ-2021-001318</t>
  </si>
  <si>
    <r>
      <rPr>
        <b/>
        <sz val="11"/>
        <color theme="1"/>
        <rFont val="Calibri"/>
        <family val="2"/>
        <charset val="238"/>
        <scheme val="minor"/>
      </rPr>
      <t>VZ-2021-001131 zrušeno</t>
    </r>
    <r>
      <rPr>
        <sz val="11"/>
        <color theme="1"/>
        <rFont val="Calibri"/>
        <family val="2"/>
        <charset val="238"/>
        <scheme val="minor"/>
      </rPr>
      <t xml:space="preserve">
nová VZ-2021-001318</t>
    </r>
  </si>
  <si>
    <t>MEDICAL M spol. s.r.o.</t>
  </si>
  <si>
    <t>WALTER Graphtek CZ s.r.o.</t>
  </si>
  <si>
    <t>VZ-2021-001322</t>
  </si>
  <si>
    <t>Nástroj laparoskopický ruční Endo Babcock</t>
  </si>
  <si>
    <t>VZ-2021-001323</t>
  </si>
  <si>
    <t>Zemanová</t>
  </si>
  <si>
    <t>Externí klinický audit</t>
  </si>
  <si>
    <t>Externí klinický audit v radiodiagnostice vč. Intervenční radiologie a kardiologie</t>
  </si>
  <si>
    <t>Externí klinický audit v nukleární medicíně</t>
  </si>
  <si>
    <t>Externí klinický audit v radioterapii</t>
  </si>
  <si>
    <t>1.1.-12.12.2023</t>
  </si>
  <si>
    <t>MEDIAL  spol. s r.o.</t>
  </si>
  <si>
    <t>1.1.-12.12.2024</t>
  </si>
  <si>
    <t>SMLN-2021-617-000722</t>
  </si>
  <si>
    <t>1.1.-13.12.2024</t>
  </si>
  <si>
    <t>VZ-2021-001326</t>
  </si>
  <si>
    <t>Přístroj pro funkční vyšetření plic</t>
  </si>
  <si>
    <t>2.3.476.</t>
  </si>
  <si>
    <t>MEDISERVIS s.r.o.</t>
  </si>
  <si>
    <t>SMLN-2021-617-000724</t>
  </si>
  <si>
    <t>1.1.-13.12.2023</t>
  </si>
  <si>
    <t>1.1.-5.12.2023</t>
  </si>
  <si>
    <t>VZ-2021-001334</t>
  </si>
  <si>
    <t>Vibrační odběrový lipoaspirační systém</t>
  </si>
  <si>
    <t>2.2.348.</t>
  </si>
  <si>
    <t>SMLN-2021-616-000069
SMLN-2021-614-000129
SMLN-2021-616-000069</t>
  </si>
  <si>
    <t>1.1.-14.12.2024</t>
  </si>
  <si>
    <t>SMLN-2021-617-000726
SMLN-2021-614-000130</t>
  </si>
  <si>
    <t>SMLN-2021-617-000727
SMLN-2021-612-000150</t>
  </si>
  <si>
    <t>SMLN-2021-617-000728
SMLN-2021-612-000151</t>
  </si>
  <si>
    <t>SMLN-2021-617-000729
SMLN-2021-612-000152</t>
  </si>
  <si>
    <t>SMLN-2021-617-000730
SMLN-2021-612-000153</t>
  </si>
  <si>
    <t>SMLN-2021-617-000731
SMLN-2021-612-000154</t>
  </si>
  <si>
    <t>SMLN-2021-618-000088</t>
  </si>
  <si>
    <t>Mikroskopy II</t>
  </si>
  <si>
    <t>SMLN-2021-618-000089</t>
  </si>
  <si>
    <t>Cefalosporiny III. Generace 2021</t>
  </si>
  <si>
    <t>PEGINTERFERON BETA-1A</t>
  </si>
  <si>
    <t>POMALIDOMID</t>
  </si>
  <si>
    <t>MIDOSTAURIN</t>
  </si>
  <si>
    <t>Opioidní analgetika (anodyna) 2021</t>
  </si>
  <si>
    <t>Jiná systémová hemostatika 2021 II.</t>
  </si>
  <si>
    <t>SMLN-2021-618-000090</t>
  </si>
  <si>
    <t>SMLN-2021-618-000091</t>
  </si>
  <si>
    <t>16.12.202</t>
  </si>
  <si>
    <t>SMLN-2021-617-000732</t>
  </si>
  <si>
    <t>SMLN-2021-617-000733</t>
  </si>
  <si>
    <t>SMLN-2021-617-000734</t>
  </si>
  <si>
    <t>VZ-2021-001335</t>
  </si>
  <si>
    <t>VZ-2021-001336</t>
  </si>
  <si>
    <t>VZ-2021-001337</t>
  </si>
  <si>
    <t>VZ-2021-001338</t>
  </si>
  <si>
    <t>Sodná sůl treprostinilu pro pacienty s pumpou subkutánní</t>
  </si>
  <si>
    <t xml:space="preserve">Sodná sůl treprostinilu pro pacienty s implantabilní pumpou </t>
  </si>
  <si>
    <t>SMLN-2021-617-000736
SMLN-2021-612-000155</t>
  </si>
  <si>
    <t>SMLN-2021-617-000737
SMLN-2021-612-000156</t>
  </si>
  <si>
    <t>SMLN-2021-617-000735</t>
  </si>
  <si>
    <t>SMLN-2021-617-000738
SMLN-2021-614-000131</t>
  </si>
  <si>
    <t>Fresenisu Medical Care - ČR, s.r.o.</t>
  </si>
  <si>
    <t>LP ze skupiny cytostatik a imunomodulačních léčiv 2021 II.</t>
  </si>
  <si>
    <t xml:space="preserve">17.12.2021 zrušeno </t>
  </si>
  <si>
    <t>20.12.2021 vyloučení Medtronic</t>
  </si>
  <si>
    <t>1.1.-20.12.2024</t>
  </si>
  <si>
    <t>22.12.2021 vyloučení Dräger</t>
  </si>
  <si>
    <t>MORAVSKÁ VODÁRENSKÁ, a.s.</t>
  </si>
  <si>
    <t>1.1.-21.12.2024</t>
  </si>
  <si>
    <t>SMLN-2021-617-000741
SMLN-2021-614-000132</t>
  </si>
  <si>
    <t>SMLN-2021-617-000742
SMLN-2021-614-000133</t>
  </si>
  <si>
    <t>SMLN-2021-617-000743
SMLN-2021-614-000134</t>
  </si>
  <si>
    <t>SMLN-2021-617-000744
SMLN-2021-614-000135</t>
  </si>
  <si>
    <t>SMLN-2021-617-000745
SMLN-2021-614-000136</t>
  </si>
  <si>
    <t>SMLN-2021-617-000746
SMLN-2021-614-000137</t>
  </si>
  <si>
    <t>SMLN-2021-617-000747
SMLN-2021-614-000138</t>
  </si>
  <si>
    <t>VZ-2021-001343</t>
  </si>
  <si>
    <t>Stentgraft aortální hrudní</t>
  </si>
  <si>
    <t>SMLN-2021-618-000092</t>
  </si>
  <si>
    <t>PTÁČEK - pozemní stavby s.r.o.</t>
  </si>
  <si>
    <t>SMLN-2021-617-000748
SMLN-2021-612-000160</t>
  </si>
  <si>
    <t>28.12.2021 zrušeno</t>
  </si>
  <si>
    <t>SMLN-2021-617-000749
SMLN-2021-614-000139</t>
  </si>
  <si>
    <t>VZ-2021-001349</t>
  </si>
  <si>
    <t>Léčivé prostředky s obsahem abirateronu 2021</t>
  </si>
  <si>
    <t>VZ-2022-000004</t>
  </si>
  <si>
    <t>2.2.418.</t>
  </si>
  <si>
    <t>VZ-2022-000005</t>
  </si>
  <si>
    <t>Materiál spotřební pro NHF systém AIRVO 2 III.</t>
  </si>
  <si>
    <t>nová VZ-2022-000005</t>
  </si>
  <si>
    <t>Rukavice vyšetřovací nitrilové bez pudru</t>
  </si>
  <si>
    <t>VZ-2022-000006</t>
  </si>
  <si>
    <t>nerealizováno v roce 2021</t>
  </si>
  <si>
    <t>VZ-2022-000007</t>
  </si>
  <si>
    <t>VZ-2022-000008</t>
  </si>
  <si>
    <t>VZ-2022-000009</t>
  </si>
  <si>
    <t>VZ-2022-000010</t>
  </si>
  <si>
    <t>1.1.-22.12.2024</t>
  </si>
  <si>
    <t>1.1.-3.1.2026</t>
  </si>
  <si>
    <t>3.1.-31.12.2022</t>
  </si>
  <si>
    <t>1.1.-2.1.2025</t>
  </si>
  <si>
    <t>1.1.-17.6.2023</t>
  </si>
  <si>
    <t>1.1.-2.1.2026</t>
  </si>
  <si>
    <t>VZ-2022-000014</t>
  </si>
  <si>
    <t>Stříkačka injekční předplněná ORISE gel</t>
  </si>
  <si>
    <t>VZ-2022-000015</t>
  </si>
  <si>
    <t>Ochranná a  zdravotnická obuv II.</t>
  </si>
  <si>
    <t>nová VZ-2022-000015</t>
  </si>
  <si>
    <t>4.1.-31.12.2022</t>
  </si>
  <si>
    <t>1.1.-3.1.2025</t>
  </si>
  <si>
    <t>VZ-2022-000017</t>
  </si>
  <si>
    <t>Síťka extrakční na polypy endoskopická</t>
  </si>
  <si>
    <t>SMLN-2022-617-000002
SMLN-2022-612-000001</t>
  </si>
  <si>
    <t>SMLN-2022-617-000006
SMLN-2022-616-000002</t>
  </si>
  <si>
    <t>SMLN-2022-617-000007</t>
  </si>
  <si>
    <t>SMLN-2022-618-000001</t>
  </si>
  <si>
    <t>SMLN-2022-617-000005</t>
  </si>
  <si>
    <t>VZ-2022-000019</t>
  </si>
  <si>
    <t>LP s obsahem lenalidomidu 2022</t>
  </si>
  <si>
    <r>
      <t xml:space="preserve">LP s obsahem trastuzumabu 2022 - </t>
    </r>
    <r>
      <rPr>
        <b/>
        <i/>
        <sz val="10.5"/>
        <color theme="1"/>
        <rFont val="Calibri"/>
        <family val="2"/>
        <charset val="238"/>
        <scheme val="minor"/>
      </rPr>
      <t>sdružený nákup</t>
    </r>
    <r>
      <rPr>
        <sz val="10.5"/>
        <color theme="1"/>
        <rFont val="Calibri"/>
        <family val="2"/>
        <charset val="238"/>
        <scheme val="minor"/>
      </rPr>
      <t xml:space="preserve">  </t>
    </r>
  </si>
  <si>
    <t>TRASTUZUMAB I.V.</t>
  </si>
  <si>
    <t>TRASTUZUMAB S.C.</t>
  </si>
  <si>
    <t>VZ-2022-000020</t>
  </si>
  <si>
    <t>VZ-2022-000021</t>
  </si>
  <si>
    <t>LP s obsahem macitentanu 2022</t>
  </si>
  <si>
    <t>VZ-2022-000022</t>
  </si>
  <si>
    <t>Nástroje  endoskopické pro Urologickou kliniku</t>
  </si>
  <si>
    <t xml:space="preserve">Nástroje endoskopické včetně příslušenství pro UROLOGICKOU KLINIKU </t>
  </si>
  <si>
    <t xml:space="preserve">Doplnění a obnova instrumentária pro endoskopickou operativu dětí pro Urologickou kliniku </t>
  </si>
  <si>
    <t>Automatický analyzátor</t>
  </si>
  <si>
    <t>6.1.-31.12.2022</t>
  </si>
  <si>
    <t>1.1.-5.1.2025</t>
  </si>
  <si>
    <t>VZ-2022-000025</t>
  </si>
  <si>
    <t xml:space="preserve">Přístroj pro zpracování tepelně tvarovatelných fólií </t>
  </si>
  <si>
    <t>2.3.548.</t>
  </si>
  <si>
    <t>VZ-2022-000029</t>
  </si>
  <si>
    <t>Malá kamera pro dozimetrii</t>
  </si>
  <si>
    <t>VZ-2022-000028</t>
  </si>
  <si>
    <t>SMLN-2022-617-000010</t>
  </si>
  <si>
    <t>7.1.2022 zrušeno</t>
  </si>
  <si>
    <t>Saegeling Medizintechnik, s.r.o.</t>
  </si>
  <si>
    <t>Novartis s.r.o.</t>
  </si>
  <si>
    <t>VZ-2022-000033</t>
  </si>
  <si>
    <t>Hemodynamický monitor</t>
  </si>
  <si>
    <t>2.2.436.</t>
  </si>
  <si>
    <t>10.1.-31.12.2022</t>
  </si>
  <si>
    <t>1.1.-9.1.2026</t>
  </si>
  <si>
    <t>1.1.-9.1.2024</t>
  </si>
  <si>
    <t>1.1.-9.1.2025</t>
  </si>
  <si>
    <t>Pozáruční servis IBM</t>
  </si>
  <si>
    <t>VZ-2022-000035</t>
  </si>
  <si>
    <t>VZ-2022-000034</t>
  </si>
  <si>
    <t xml:space="preserve">Set pro uchovávání krve pro kryokonzervaci / kultivaci  </t>
  </si>
  <si>
    <t>zrušeno - úprava specifikace (počet vrat)</t>
  </si>
  <si>
    <t>VZ-2022-000037</t>
  </si>
  <si>
    <t>VZ-2022-000038</t>
  </si>
  <si>
    <t>VZ-2022-000039</t>
  </si>
  <si>
    <t>Čidlo saturační na čelo Oxi-max</t>
  </si>
  <si>
    <t>Bioanalyzér</t>
  </si>
  <si>
    <t>2.2.421.</t>
  </si>
  <si>
    <t>2.3.544.</t>
  </si>
  <si>
    <t>EEG přístroj s příslušenstvím</t>
  </si>
  <si>
    <t>SMLN-2022-618-000003</t>
  </si>
  <si>
    <t>SMLN-2022-617-000011</t>
  </si>
  <si>
    <t>12.1.2022  zrušení na podpis</t>
  </si>
  <si>
    <t>2.3.646.</t>
  </si>
  <si>
    <t>VZ-2022-000044</t>
  </si>
  <si>
    <t>2.3.556.</t>
  </si>
  <si>
    <t>VZ-2022-000045</t>
  </si>
  <si>
    <t>Kardioplegický set pro krevní kardioplegii</t>
  </si>
  <si>
    <t>Kardioplegický set pro krevní kardioplegii 4:1 s výměníkem tepla</t>
  </si>
  <si>
    <t>Kardioplegický set pro krevní kardioplegii 4:1 se spirálou do ledové tříště</t>
  </si>
  <si>
    <t>GE Medical Systems Česká republika, s.r.o.</t>
  </si>
  <si>
    <t>12.1.-31.12.2022</t>
  </si>
  <si>
    <t>1.1.-11.1.2024</t>
  </si>
  <si>
    <t>SMLN-2022-617-000012
SMLN-2022-612-000006
SMLN-2022-617-000013</t>
  </si>
  <si>
    <t>SMLN-2022-617-000014
SMLN-2022-612-000007
SMLN-2022-617-000015</t>
  </si>
  <si>
    <t>SMLN-2022-618-000004</t>
  </si>
  <si>
    <t>VZ-2022-000048</t>
  </si>
  <si>
    <t>Ohřev krevních přípravků</t>
  </si>
  <si>
    <t>2.3.605., 2.3.647.</t>
  </si>
  <si>
    <t>Materiál spotřební k anesteziologickým přístrojům</t>
  </si>
  <si>
    <t>VZ-2022-000051</t>
  </si>
  <si>
    <t>VZ-2022-000050</t>
  </si>
  <si>
    <t>VZ-2022-000054</t>
  </si>
  <si>
    <t>MR Diagnostic s.r.o.</t>
  </si>
  <si>
    <t>17.1.-31.12.2022</t>
  </si>
  <si>
    <t>1.1.-16.1.2025</t>
  </si>
  <si>
    <t>VZ-2022-000057</t>
  </si>
  <si>
    <t>Filtr jednorázový pro analyzátor Hypair FeNO+</t>
  </si>
  <si>
    <t>Materiál spotřební k anesteziologickým přístrojům výrobce GE Healthcare</t>
  </si>
  <si>
    <t>Materiál spotřební k anesteziologickým přístrojům výrobce Dräger Medical33140000-3</t>
  </si>
  <si>
    <t>VZ-2022-000059</t>
  </si>
  <si>
    <t>VZ-2022-000061</t>
  </si>
  <si>
    <t xml:space="preserve">Poskytování služeb technické podpory a servisu telefonního systému </t>
  </si>
  <si>
    <t>64214200-1</t>
  </si>
  <si>
    <t>VZ-2022-000062</t>
  </si>
  <si>
    <t>Izolátor DNA</t>
  </si>
  <si>
    <t>2.2.420.</t>
  </si>
  <si>
    <t>SMLN-2022-617-000020</t>
  </si>
  <si>
    <t>VZ-2022-000063</t>
  </si>
  <si>
    <t>Ligační zařízení pro endoskopii včetně aplikátoru 4.1.</t>
  </si>
  <si>
    <t>VZ-2022-000066</t>
  </si>
  <si>
    <t>Dopa a její deriváty 2022</t>
  </si>
  <si>
    <t>LEVODOPA A INHIBITOR DEKARBOXYLASY</t>
  </si>
  <si>
    <t>ISICOM</t>
  </si>
  <si>
    <t>NAKOM</t>
  </si>
  <si>
    <t>VZ-2022-000069</t>
  </si>
  <si>
    <t xml:space="preserve">Kadlec </t>
  </si>
  <si>
    <t>Úprava hygienického zařízení v 1.PP budovy R</t>
  </si>
  <si>
    <t>45430000-7</t>
  </si>
  <si>
    <t>SMLN-2022-617-000022
SMLN-2022-614-000001</t>
  </si>
  <si>
    <t>Příslušenství ke stávajícímu ventilátoru</t>
  </si>
  <si>
    <t>Ventilátor plicní pro invazivní a neinvazivní ventilační podporu</t>
  </si>
  <si>
    <t>REACT VL</t>
  </si>
  <si>
    <t>VZ-2022-000070</t>
  </si>
  <si>
    <t>Automaty pro zpracování tkání</t>
  </si>
  <si>
    <t>2.3.579; 2.3.581</t>
  </si>
  <si>
    <t>nová VZ-2022-000071</t>
  </si>
  <si>
    <t>VZ-2022-000071</t>
  </si>
  <si>
    <t>SMLN-2022-617-000028
SMLN-2022-612-000009
SMLN-2022-617-000029</t>
  </si>
  <si>
    <t>SMLN-2022-617-000027
SMLN-2022-614-000003</t>
  </si>
  <si>
    <t>SMLN-2022-617-000026
SMLN-2022-614-000002</t>
  </si>
  <si>
    <t>SMLN-2022-617-000025</t>
  </si>
  <si>
    <t>SMLN-2022-612-000008</t>
  </si>
  <si>
    <t>18.1.2022 zrušeno</t>
  </si>
  <si>
    <t>20.1.-31.12.2022</t>
  </si>
  <si>
    <t>1.1.-19.1.2025</t>
  </si>
  <si>
    <t>VZ-2022-000077</t>
  </si>
  <si>
    <t>Katetr balónkový kontrapulzační intraaortální</t>
  </si>
  <si>
    <t>Sada stabilizační Acrobat k operacím na bijícím srdci (mimotělní oběh) pro KCHIR</t>
  </si>
  <si>
    <t>VZ-2022-000012</t>
  </si>
  <si>
    <t>21.1.2022 zrušeno</t>
  </si>
  <si>
    <t>VZ-2022-000082</t>
  </si>
  <si>
    <t>PC sestavy FNOL 2022</t>
  </si>
  <si>
    <t>VZ-2021-001188</t>
  </si>
  <si>
    <t>Kupní smlouva - Nástroj laparoskopický k přístroji PlasmaJet pro PORGYN, VZ-2021-001188, PROEBIZ 779</t>
  </si>
  <si>
    <t>Kupní smlouva - Elektroda bipolární pro ASK zápěstí k artroskopické věži Arthrex pro COSS TRAUM, VZ-2021-000376, ID PROEBIZ 630</t>
  </si>
  <si>
    <t>VZ-2021-000376</t>
  </si>
  <si>
    <t>Kupní smlouva - Náustek s filtrem výměnný k plynu SERYNOX, VZ-2021-001155, PROEBIZ 778</t>
  </si>
  <si>
    <t>VZ-2021-001155</t>
  </si>
  <si>
    <t>Intersurgical, s.r.o.</t>
  </si>
  <si>
    <t>OLE audity s.r.o.</t>
  </si>
  <si>
    <t>VF, a.s.</t>
  </si>
  <si>
    <t>21.1.-.31.12.2022</t>
  </si>
  <si>
    <t>1.1.-20.1.2025</t>
  </si>
  <si>
    <t>VZ-2022-000086</t>
  </si>
  <si>
    <t>Systém pro analýzu obrazu</t>
  </si>
  <si>
    <t>2.2.416.</t>
  </si>
  <si>
    <t>VZ-2022-000087</t>
  </si>
  <si>
    <t>Vibrační odběrový lipoaspirační systém II.</t>
  </si>
  <si>
    <t>nová VZ-2022-000087</t>
  </si>
  <si>
    <t>SMLN-2022-617-000038</t>
  </si>
  <si>
    <t>SMLN-2022-617-000039</t>
  </si>
  <si>
    <t>SMLN-2022-617-000030</t>
  </si>
  <si>
    <t>SMLN-2022-617-000040</t>
  </si>
  <si>
    <t>SMLN-2022-617-000041</t>
  </si>
  <si>
    <t>SMLN-2022-617-000031</t>
  </si>
  <si>
    <t>SMLN-2022-617-000032</t>
  </si>
  <si>
    <t>SMLN-2022-617-000033</t>
  </si>
  <si>
    <t>SMLN-2022-617-000034</t>
  </si>
  <si>
    <t>SMLN-2022-617-000035</t>
  </si>
  <si>
    <t>SMLN-2022-617-000036</t>
  </si>
  <si>
    <t>SMLN-2022-617-000042
SMLN-2022-612-000010
SMLN-2022-617-000043</t>
  </si>
  <si>
    <t>VZ-2022-000096</t>
  </si>
  <si>
    <t>USTEKINUMAB</t>
  </si>
  <si>
    <t>TOCILIZUMAB</t>
  </si>
  <si>
    <t>SEKUKINUMAB</t>
  </si>
  <si>
    <t>GUSELKUMAB</t>
  </si>
  <si>
    <t>VZ-2022-000094</t>
  </si>
  <si>
    <t>Selektivní imunosupresiva 2022</t>
  </si>
  <si>
    <t>33652300-7</t>
  </si>
  <si>
    <t>CELLCEPT</t>
  </si>
  <si>
    <t>MYCOPHENOLIC ACID ACCORD</t>
  </si>
  <si>
    <t>VZ-2022-000095</t>
  </si>
  <si>
    <t>Inhibitory proteinkináz I. 2022</t>
  </si>
  <si>
    <t>REGORAFENIB</t>
  </si>
  <si>
    <t>RIBOCIKLIB</t>
  </si>
  <si>
    <t>IBRUTINIB</t>
  </si>
  <si>
    <t>OSIMERTINIB</t>
  </si>
  <si>
    <t>DASATINIB</t>
  </si>
  <si>
    <t>24.1.-31.12.2022</t>
  </si>
  <si>
    <t>1.1.-23.1.2026</t>
  </si>
  <si>
    <t>VZ-2022-000097</t>
  </si>
  <si>
    <t xml:space="preserve">Drát vodící k měření intrakoronárního tlaku - Pressure Wire X </t>
  </si>
  <si>
    <t>převod z roku 2021</t>
  </si>
  <si>
    <t>VZ-2022-000106</t>
  </si>
  <si>
    <t>SMLN-2022-618-000006</t>
  </si>
  <si>
    <t>WAREX spol. s r.o.</t>
  </si>
  <si>
    <t>SMLN-2022-612-000011</t>
  </si>
  <si>
    <t>SMLN-2022-612-000012</t>
  </si>
  <si>
    <t>SMLN-2022-612-000013</t>
  </si>
  <si>
    <t>SMLN-2022-617-000046</t>
  </si>
  <si>
    <t>VZ-2022-000109</t>
  </si>
  <si>
    <t>VZ-2022-000110</t>
  </si>
  <si>
    <t>APOMORFIN</t>
  </si>
  <si>
    <t>ROTIGOTIN</t>
  </si>
  <si>
    <t>VZ-2022-000098</t>
  </si>
  <si>
    <t>LP z ATC J06BA02 a N04BC 2022</t>
  </si>
  <si>
    <t>33651520-8</t>
  </si>
  <si>
    <t>Jiná cytostatika  I.  2022</t>
  </si>
  <si>
    <t>VZ-2022-000099</t>
  </si>
  <si>
    <t>VISMODEGIB</t>
  </si>
  <si>
    <t>VZ-2022-000100</t>
  </si>
  <si>
    <t>VEMURAFENIB</t>
  </si>
  <si>
    <t>LAPATINIB</t>
  </si>
  <si>
    <t>AXITINIB</t>
  </si>
  <si>
    <t>VZ-2022-000101</t>
  </si>
  <si>
    <t>OBINUTUZUMAB</t>
  </si>
  <si>
    <t>PERTUZUMAB</t>
  </si>
  <si>
    <t>TRASTUZUMAB EMTANSIN</t>
  </si>
  <si>
    <t>IPILIMUMAB</t>
  </si>
  <si>
    <t>Monoklonální protilátky  2022</t>
  </si>
  <si>
    <t>VZ-2022-000102</t>
  </si>
  <si>
    <t xml:space="preserve">Inhibitory proteinkináz II. 2022 </t>
  </si>
  <si>
    <t>Monoklonální protilátky  II.  2022</t>
  </si>
  <si>
    <t>VZ-2022-000103</t>
  </si>
  <si>
    <t>ATEZOLIZUMAB</t>
  </si>
  <si>
    <t>DARATUMUMAB</t>
  </si>
  <si>
    <t>VZ-2022-000104</t>
  </si>
  <si>
    <t>LP s obsahem tafamidu 2022</t>
  </si>
  <si>
    <t>33661000-1</t>
  </si>
  <si>
    <t>SMLN-2022-617-000047
SMLN-2022-614-000004</t>
  </si>
  <si>
    <r>
      <rPr>
        <b/>
        <i/>
        <sz val="11"/>
        <color rgb="FFFF0000"/>
        <rFont val="Calibri"/>
        <family val="2"/>
        <charset val="238"/>
        <scheme val="minor"/>
      </rPr>
      <t>VZ-2021-000268 zrušeno</t>
    </r>
    <r>
      <rPr>
        <sz val="11"/>
        <color theme="1"/>
        <rFont val="Calibri"/>
        <family val="2"/>
        <charset val="238"/>
        <scheme val="minor"/>
      </rPr>
      <t xml:space="preserve">
VZ-2022-000110</t>
    </r>
  </si>
  <si>
    <t>VZ-2022-000115</t>
  </si>
  <si>
    <t>Přístroj pro perfuzi dárcovské ledviny</t>
  </si>
  <si>
    <t>2.2.400.</t>
  </si>
  <si>
    <t>bez hodnotitelné nabídky</t>
  </si>
  <si>
    <t>SMLN-2022-617-000048
SMLN-2022-612-000014</t>
  </si>
  <si>
    <t>SMLN-2022-618-000007</t>
  </si>
  <si>
    <t>SMLN-2022-617-000049</t>
  </si>
  <si>
    <t>27.1.2022 zrušeno</t>
  </si>
  <si>
    <t>LP s obsahem glatiramer-acetátu 2022</t>
  </si>
  <si>
    <t>Vrtací akumulátorové soupravy</t>
  </si>
  <si>
    <t>2.3.658.</t>
  </si>
  <si>
    <t>2.3.550.</t>
  </si>
  <si>
    <t>Modulární bateriové soupravy</t>
  </si>
  <si>
    <t>Vzduchem poháněné vrtací soupravy</t>
  </si>
  <si>
    <t>Ultrazvukové (piezochirurgické) soupravy</t>
  </si>
  <si>
    <t>VZ-2022-000120</t>
  </si>
  <si>
    <t>Laminární boxy II.</t>
  </si>
  <si>
    <t>2.2.424, 2.3.585.</t>
  </si>
  <si>
    <t>VZ-2022-000121</t>
  </si>
  <si>
    <t>Spektrofotometr na měření kvality DNA</t>
  </si>
  <si>
    <t>2.3.570.</t>
  </si>
  <si>
    <t>SMLN-2022-617-000052</t>
  </si>
  <si>
    <t>SMLN-2022-617-000053</t>
  </si>
  <si>
    <t>Vrtací a pilové soupravy</t>
  </si>
  <si>
    <t>Doba od obdržení podkladů pro vypsání</t>
  </si>
  <si>
    <t>Doba od vypsání po nabídky</t>
  </si>
  <si>
    <t>Doba od nabídek po vyhodnocení</t>
  </si>
  <si>
    <t>Doba od vyhodnocení po uzavření smlouvy</t>
  </si>
  <si>
    <t>Doba od obdržení podkladů po uzavření smlouvy</t>
  </si>
  <si>
    <t>=</t>
  </si>
  <si>
    <t>Průměr z Doba od obdržení podkladů pro vypsání</t>
  </si>
  <si>
    <t>Průměr z Doba od vypsání po nabídky</t>
  </si>
  <si>
    <t>Průměr z Doba od nabídek po vyhodnocení</t>
  </si>
  <si>
    <t>Průměr z Doba od vyhodnocení po uzavření smlouvy</t>
  </si>
  <si>
    <t>Průměr z Doba od obdržení podkladů po uzavření smlouvy</t>
  </si>
  <si>
    <t>VZ-2022-000122</t>
  </si>
  <si>
    <t>Operační, zákroková a vyšetřovací svítidla</t>
  </si>
  <si>
    <t>Speciální operační svítidla</t>
  </si>
  <si>
    <t>Operační svítidla s kamerami</t>
  </si>
  <si>
    <t>Nástěnná zákroková svítidla</t>
  </si>
  <si>
    <t>Vyšetřovací svítidla</t>
  </si>
  <si>
    <t>31524210-0</t>
  </si>
  <si>
    <t>31524100-6</t>
  </si>
  <si>
    <t>2.2.448.;2.3.446.;2.3.467.;2.3.542.</t>
  </si>
  <si>
    <t>2.3.568.</t>
  </si>
  <si>
    <t>2.3.622.</t>
  </si>
  <si>
    <t>SMLN-2022-612-000015</t>
  </si>
  <si>
    <t>31.1.2022 zrušeno</t>
  </si>
  <si>
    <t>VZ-2022-000128</t>
  </si>
  <si>
    <t>Antibakteriální léčiva pro systémovou aplikaci I. 2022</t>
  </si>
  <si>
    <t>CEFEPIM</t>
  </si>
  <si>
    <t xml:space="preserve">SULFAMETHOXAZOL A TRIMETHOPRIM </t>
  </si>
  <si>
    <t>GENTAMICIN</t>
  </si>
  <si>
    <t>LINEZOLID</t>
  </si>
  <si>
    <t>VZ-2022-000129</t>
  </si>
  <si>
    <t>Antibakteriální léčiva pro systémovou aplikaci II. 2022</t>
  </si>
  <si>
    <t>MEROPENEM</t>
  </si>
  <si>
    <t>KLARITHROMYCIN</t>
  </si>
  <si>
    <t>AMOXICILIN A INHIBITOR BETA-LAKTAMASY I.</t>
  </si>
  <si>
    <t>AMOXICILIN A INHIBITOR BETA-LAKTAMASY II.</t>
  </si>
  <si>
    <t>EVEROLIMUS I.</t>
  </si>
  <si>
    <t>EVEROLIMUS II.</t>
  </si>
  <si>
    <t>1.2.-31.12.2022</t>
  </si>
  <si>
    <t>1.1.-31.1.2026</t>
  </si>
  <si>
    <t>SMLN-2022-617-000055</t>
  </si>
  <si>
    <t>SMLN-2022-617-000056
SMLN-2022-614-000005</t>
  </si>
  <si>
    <t>SMLN-2022-617-000057
SMLN-2022-614-000006</t>
  </si>
  <si>
    <t>SMLN-2022-617-000058
SMLN-2022-614-000007</t>
  </si>
  <si>
    <t>VZ-2022-000127</t>
  </si>
  <si>
    <t>Akutní dialýza - roztoky, spotřební materiál</t>
  </si>
  <si>
    <t>33181520-3</t>
  </si>
  <si>
    <t>VZ-2022-000131</t>
  </si>
  <si>
    <t>Antibakteriální léčiva pro systémovou aplikaci III. 2022</t>
  </si>
  <si>
    <t>TOBRAMYCIN I.</t>
  </si>
  <si>
    <t>TOBRAMYCIN II.</t>
  </si>
  <si>
    <t>VZ-2022-000132</t>
  </si>
  <si>
    <t>TIGECYKLIN</t>
  </si>
  <si>
    <t>OXACILIN</t>
  </si>
  <si>
    <t>CEFAZOLIN</t>
  </si>
  <si>
    <t>CEFUROXIM</t>
  </si>
  <si>
    <t>IMIPENEM A CILASTATIN</t>
  </si>
  <si>
    <t>Antibakteriální léčiva pro systémovou aplikaci IV. 2022</t>
  </si>
  <si>
    <t>VZ-2022-000133</t>
  </si>
  <si>
    <t>Antibakteriální léčiva pro systémovou aplikaci V. 2022</t>
  </si>
  <si>
    <t>KLINDAMYCIN</t>
  </si>
  <si>
    <t>AMIKACIN</t>
  </si>
  <si>
    <t>OFLOXACIN</t>
  </si>
  <si>
    <t>VANKOMYCIN</t>
  </si>
  <si>
    <t>METRONIDAZOL</t>
  </si>
  <si>
    <t>VZ-2022-000134</t>
  </si>
  <si>
    <t>Antibakteriální léčiva pro systémovou aplikaci 2022 a LP s obsahem nimesulidu 2022</t>
  </si>
  <si>
    <t>BENZYLPENICILIN</t>
  </si>
  <si>
    <t>SULTAMICILIN</t>
  </si>
  <si>
    <t>CIPROFLOXACIN</t>
  </si>
  <si>
    <t>NIMESULID I.</t>
  </si>
  <si>
    <t>NIMESULID II.</t>
  </si>
  <si>
    <t>NIMESULID III.</t>
  </si>
  <si>
    <t>33632100-0</t>
  </si>
  <si>
    <t>SUNITINIB I.</t>
  </si>
  <si>
    <t>SUNITINIB II.</t>
  </si>
  <si>
    <t>SMLN-2022-617-000059</t>
  </si>
  <si>
    <t>SMLN-2022-617-000060</t>
  </si>
  <si>
    <t>SMLN-2022-617-000061</t>
  </si>
  <si>
    <t>SMLN-2022-617-000062</t>
  </si>
  <si>
    <t>SMLN-2022-617-000063</t>
  </si>
  <si>
    <t>Inhibitory interleukinu 2022</t>
  </si>
  <si>
    <t>3.2.-31.12.2022</t>
  </si>
  <si>
    <t>1.1.-2.2.2028</t>
  </si>
  <si>
    <t>1.1.-2.2.2026</t>
  </si>
  <si>
    <t>VZ-2022-000135</t>
  </si>
  <si>
    <t>Oprava větrání a osvětlení technologického kanálu</t>
  </si>
  <si>
    <t>50711000-2</t>
  </si>
  <si>
    <t>VZ-2022-000137</t>
  </si>
  <si>
    <t>SMLN-2022-617-000067
SMLN-2022-614-000008</t>
  </si>
  <si>
    <t>SMLN-2022-617-000068
SMLN-2022-614-000009</t>
  </si>
  <si>
    <t>VZ-2022-000138</t>
  </si>
  <si>
    <t>Oprava podlah v budově D1 - 6.NP</t>
  </si>
  <si>
    <t>45432100-5</t>
  </si>
  <si>
    <t>VZ-2022-000139</t>
  </si>
  <si>
    <t>Hemodynamické monitory</t>
  </si>
  <si>
    <t>2.2.440/2.2.441</t>
  </si>
  <si>
    <t>Ablační RF generátor s proplachovou pumpou</t>
  </si>
  <si>
    <t>VZ-2021-001218</t>
  </si>
  <si>
    <t>Vodič pro angiografickou diagnostiku GuideRight</t>
  </si>
  <si>
    <t>SMLN-2022-617-000071
SMLN-2022-614-000010</t>
  </si>
  <si>
    <t>SMLN-2022-617-000072
SMLN-2022-614-000011</t>
  </si>
  <si>
    <t>SMLN-2022-617-000073
SMLN-2022-614-000012</t>
  </si>
  <si>
    <t>SMLN-2022-617-000074
SMLN-2022-614-000013</t>
  </si>
  <si>
    <t>SMLN-2022-617-000075
SMLN-2022-614-000014</t>
  </si>
  <si>
    <t>SMLN-2022-617-000076
SMLN-2022-614-000015</t>
  </si>
  <si>
    <t>SMLN-2022-617-000077
SMLN-2022-614-000016</t>
  </si>
  <si>
    <t>VEVA GENERAL s.r.o.</t>
  </si>
  <si>
    <t>VZ-2022-000105</t>
  </si>
  <si>
    <t>VZ-2022-000148</t>
  </si>
  <si>
    <t>Bioanalyzér pro určení kvality DNA/RNA</t>
  </si>
  <si>
    <t>2.3.584.</t>
  </si>
  <si>
    <t>VZ-2022-000151</t>
  </si>
  <si>
    <t>Pilotní projekt VDI včetně rozšíření VMWare klastru</t>
  </si>
  <si>
    <t xml:space="preserve">48820000-2 </t>
  </si>
  <si>
    <t>3.2.67.</t>
  </si>
  <si>
    <t>SMLN-2022-618-000009</t>
  </si>
  <si>
    <t>SMLN-2022-617-000084</t>
  </si>
  <si>
    <t>VZ-2022-000153</t>
  </si>
  <si>
    <t>Morcellator jednorázový k elektrokoagulaci výr. OLYMPUS pro PORGYN</t>
  </si>
  <si>
    <r>
      <rPr>
        <b/>
        <sz val="11"/>
        <color rgb="FFFF0000"/>
        <rFont val="Calibri"/>
        <family val="2"/>
        <charset val="238"/>
        <scheme val="minor"/>
      </rPr>
      <t>VZ-2021-000722 zrušeno</t>
    </r>
    <r>
      <rPr>
        <sz val="11"/>
        <color theme="1"/>
        <rFont val="Calibri"/>
        <family val="2"/>
        <charset val="238"/>
        <scheme val="minor"/>
      </rPr>
      <t xml:space="preserve">
VZ-2022-000145 proebiz</t>
    </r>
  </si>
  <si>
    <r>
      <rPr>
        <b/>
        <sz val="11"/>
        <color rgb="FFFF0000"/>
        <rFont val="Calibri"/>
        <family val="2"/>
        <charset val="238"/>
        <scheme val="minor"/>
      </rPr>
      <t>VZ-2021-000951 zrušen</t>
    </r>
    <r>
      <rPr>
        <sz val="11"/>
        <color theme="1"/>
        <rFont val="Calibri"/>
        <family val="2"/>
        <charset val="238"/>
        <scheme val="minor"/>
      </rPr>
      <t>o
VZ-2022-000146 proebiz</t>
    </r>
  </si>
  <si>
    <t>VZ-2022-000157</t>
  </si>
  <si>
    <t>TIOTROPIUM-BROMID I.</t>
  </si>
  <si>
    <t>TIOTROPIUM-BROMID II.</t>
  </si>
  <si>
    <t>TIOTROPIUM-BROMID  III.</t>
  </si>
  <si>
    <r>
      <t xml:space="preserve">LP ze skupiny anticholinergik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</si>
  <si>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VZ-2022-000159</t>
  </si>
  <si>
    <t>OMALIZUMAB</t>
  </si>
  <si>
    <t>VZ-2022-000160</t>
  </si>
  <si>
    <t>TRASTUZUMAB DERUXTEKAN</t>
  </si>
  <si>
    <t>VZ-2022-000161</t>
  </si>
  <si>
    <t>LP s obsahem remdesiviru 2022</t>
  </si>
  <si>
    <t>REMDESIVIR</t>
  </si>
  <si>
    <t>VZ-2022-000156</t>
  </si>
  <si>
    <t>Rekombinantní faktor IX.</t>
  </si>
  <si>
    <t>eftrenonacog alfa</t>
  </si>
  <si>
    <t>36621000-9</t>
  </si>
  <si>
    <t>nonacog beta pegol</t>
  </si>
  <si>
    <t>zrušeno - přiznaná úhrada od 5/2022, noví dodavatelé</t>
  </si>
  <si>
    <t>Artspect, a.s.</t>
  </si>
  <si>
    <t>SMLN-2022-618-000010</t>
  </si>
  <si>
    <t>VZ-2022-000130</t>
  </si>
  <si>
    <t>Ostraha přepravovaných cenných zásilek</t>
  </si>
  <si>
    <t xml:space="preserve">79710000-4 </t>
  </si>
  <si>
    <t>zrušeno - špatná speciífikace, navýšení počtu do část II.</t>
  </si>
  <si>
    <t>VZ-2022-000166</t>
  </si>
  <si>
    <t>VZ-2022-000167</t>
  </si>
  <si>
    <t>Jiná imunostimulancia 2022</t>
  </si>
  <si>
    <t>Interferony 2022</t>
  </si>
  <si>
    <t>SMLN-2022-617-000089
SMLN-2022-616-000009</t>
  </si>
  <si>
    <t>SMLN-2022-617-000087</t>
  </si>
  <si>
    <t>SMLN-2022-618-000011</t>
  </si>
  <si>
    <t>VZ-2022-000170</t>
  </si>
  <si>
    <t>ELISA analyzátory</t>
  </si>
  <si>
    <t>SMLN-2022-617-000090
SMLN-2022-614-000017</t>
  </si>
  <si>
    <t>SMLN-2022-617-000091
SMLN-2022-614-000018</t>
  </si>
  <si>
    <t>SMLN-2022-617-000092
SMLN-2022-614-000019</t>
  </si>
  <si>
    <t>SMLN-2022-617-000093
SMLN-2022-614-000020</t>
  </si>
  <si>
    <t>SMLN-2022-617-000094
SMLN-2022-614-000021</t>
  </si>
  <si>
    <t>VZ-2022-000172</t>
  </si>
  <si>
    <t>PD - Akutní infekční ambulance v budově A</t>
  </si>
  <si>
    <t>1.2.94.</t>
  </si>
  <si>
    <t>SMLN-2022-617-000095
SMLN-2022-612-000017</t>
  </si>
  <si>
    <t>SMLN-2022-617-000096
SMLN-2022-612-000018
SMLN-2022-617-000097</t>
  </si>
  <si>
    <t>VZ-2022-000178</t>
  </si>
  <si>
    <t>Ergospirometrie s bicyklovým ergometrem</t>
  </si>
  <si>
    <t>2.3.599.</t>
  </si>
  <si>
    <t>SMLN-2022-617-000101
SMLN-2022-614-000022</t>
  </si>
  <si>
    <t>14.2.-31.12.2022</t>
  </si>
  <si>
    <t>1.1.-13.2.2025</t>
  </si>
  <si>
    <t>Mobilní infuzní pumpy pro parenterální výživu</t>
  </si>
  <si>
    <t>33194110-0</t>
  </si>
  <si>
    <t>VZ-2022-000049</t>
  </si>
  <si>
    <t>EDOMED a.s.</t>
  </si>
  <si>
    <t>Válec do tlakové stříkačky Medrad Mark 7 Arterion</t>
  </si>
  <si>
    <t>VZ-2022-000181</t>
  </si>
  <si>
    <t>VZ-2022-000186</t>
  </si>
  <si>
    <t>VZ-2022-000190</t>
  </si>
  <si>
    <t>Neuronavigace</t>
  </si>
  <si>
    <t>2.3.610.</t>
  </si>
  <si>
    <t>SMLN-2022-617-000103</t>
  </si>
  <si>
    <t>SMLN-2022-617-000104</t>
  </si>
  <si>
    <t>SMLN-2022-617-000102</t>
  </si>
  <si>
    <t>VZ-2022-000195</t>
  </si>
  <si>
    <t>SARILUMAB</t>
  </si>
  <si>
    <t xml:space="preserve">VZ-2022-000196 </t>
  </si>
  <si>
    <t>VZ-2022-000197</t>
  </si>
  <si>
    <t>KANGRELOR</t>
  </si>
  <si>
    <t>VZ-2022-000198</t>
  </si>
  <si>
    <t>VZ-2022-000206</t>
  </si>
  <si>
    <t>AKALABRUTINIB</t>
  </si>
  <si>
    <t>VZ-2022-000207</t>
  </si>
  <si>
    <t>RUXOLITINIB</t>
  </si>
  <si>
    <t>zrušeno - nutná změna specifikace</t>
  </si>
  <si>
    <t>16.2.-31.12.2022</t>
  </si>
  <si>
    <t>1.1.-15.2.2023</t>
  </si>
  <si>
    <t>zrušeno - odpadla potřeba</t>
  </si>
  <si>
    <t>VZ-2022-000201</t>
  </si>
  <si>
    <t>Nástroje pro COSS - I.CHIR - obnova a doplnění stávajícího instrumentária výr.AESCULAP</t>
  </si>
  <si>
    <t>VZ-2022-000209</t>
  </si>
  <si>
    <t>Staplery II.</t>
  </si>
  <si>
    <t>VZ-2022-000210</t>
  </si>
  <si>
    <t>Mikrobiologické analyzátory</t>
  </si>
  <si>
    <t>Modulární vybavení pro detekci virových, bakteriálních a mykotických původců infekčních onemocnění</t>
  </si>
  <si>
    <t>2.3.576.</t>
  </si>
  <si>
    <t>2.2.419.</t>
  </si>
  <si>
    <t>Analyzátor mykologický</t>
  </si>
  <si>
    <t>SMLN-2022-617-000106
SMLN-2022-612-000019</t>
  </si>
  <si>
    <t>SMLN-2022-617-000108</t>
  </si>
  <si>
    <t>SMLN-2022-617-000109</t>
  </si>
  <si>
    <t>SMLN-2022-617-000110</t>
  </si>
  <si>
    <t>SMLN-2022-617-000111</t>
  </si>
  <si>
    <t>SMLN-2022-617-000112</t>
  </si>
  <si>
    <t>SMLN-2022-617-000113</t>
  </si>
  <si>
    <t>SMLN-2022-617-000114</t>
  </si>
  <si>
    <t>SMLN-2022-617-000115</t>
  </si>
  <si>
    <t>SMLN-2022-617-000120</t>
  </si>
  <si>
    <t>SMLN-2022-617-000121</t>
  </si>
  <si>
    <t>SMLN-2022-617-000122</t>
  </si>
  <si>
    <t>SMLN-2022-617-000123</t>
  </si>
  <si>
    <t>SMLN-2022-617-000107
SMLN-2022-614-000023</t>
  </si>
  <si>
    <t>SMLN-2022-612-000020</t>
  </si>
  <si>
    <t>S.O.S. a.s.</t>
  </si>
  <si>
    <t>SMLN-2022-617-000125
SMLN-2022-612-000021</t>
  </si>
  <si>
    <t>21.2.-31.12.2022</t>
  </si>
  <si>
    <t>1.1.-20.2.2026</t>
  </si>
  <si>
    <t>1.1.-20.2.2025</t>
  </si>
  <si>
    <t>VZ-2022-000212</t>
  </si>
  <si>
    <t>Navigovaná bronchoskopie</t>
  </si>
  <si>
    <t>2.2.403.</t>
  </si>
  <si>
    <t>ASCO-MED, spol. s r.o.</t>
  </si>
  <si>
    <t>Treprostinil k léčbě plicní arteriální hypertenze (PAH)</t>
  </si>
  <si>
    <t>23.2.-31.12.2022</t>
  </si>
  <si>
    <t>1.1.-22.2.2023</t>
  </si>
  <si>
    <t>1.1.-22.2.2025</t>
  </si>
  <si>
    <t>VZ-2022-000215</t>
  </si>
  <si>
    <t>Vysokoobrátkové elektrické vrtačky</t>
  </si>
  <si>
    <t>2.2.469.</t>
  </si>
  <si>
    <t>VZ-2022-000218</t>
  </si>
  <si>
    <t>Imunologické analyzátory</t>
  </si>
  <si>
    <t>Přístroj na zpracování imunofluorescenčních sklíček</t>
  </si>
  <si>
    <t>2.2.427.</t>
  </si>
  <si>
    <t>2.2.428.</t>
  </si>
  <si>
    <t>Analyzátor pro zpracování imunoblotů</t>
  </si>
  <si>
    <t>SMLN-2022-617-000127</t>
  </si>
  <si>
    <t>VZ-2022-000219</t>
  </si>
  <si>
    <t>INV SFŽP</t>
  </si>
  <si>
    <t>FN Olomouc - fotovoltaické systémy</t>
  </si>
  <si>
    <t>1.2.92.</t>
  </si>
  <si>
    <t>09331000-8</t>
  </si>
  <si>
    <t>24.2.-23.8.2022</t>
  </si>
  <si>
    <t>24.2.-31.12.2022</t>
  </si>
  <si>
    <t>1.1.-23.2.2025</t>
  </si>
  <si>
    <t>24.2.2022 zrušeno</t>
  </si>
  <si>
    <t>VZ-2022-000221</t>
  </si>
  <si>
    <t>Hepariny 2022</t>
  </si>
  <si>
    <t>25.2.-31.12.2022</t>
  </si>
  <si>
    <t>1.1.-24.2.2030</t>
  </si>
  <si>
    <t>26.4.-31.12.2022</t>
  </si>
  <si>
    <t>1.1.-25.4.2025</t>
  </si>
  <si>
    <t>WH Develop s.r.o.</t>
  </si>
  <si>
    <t xml:space="preserve">SMĚS BAKTERIÁLNÍHO LYZÁTU (LYSATUM BACTERIALE MIXTUM) </t>
  </si>
  <si>
    <t>LYOFILIZOVANÝ LYZÁT ESCHERICHIA COLI (LYSATUM ESCHERICHIAE COLI CRYODESICCATUM)</t>
  </si>
  <si>
    <t>BACILLUS CALMETTE-GUERIN (BACILLUS CALMETTE-GUERIN)</t>
  </si>
  <si>
    <t>PLERIXAFOR</t>
  </si>
  <si>
    <t>1.1.-24.2.2026</t>
  </si>
  <si>
    <t>VZ-2022-000222</t>
  </si>
  <si>
    <t>Mrazák</t>
  </si>
  <si>
    <t>2.2.462.</t>
  </si>
  <si>
    <t>2.3.625.</t>
  </si>
  <si>
    <t>2.2.453.,470., 2.3.614.,651</t>
  </si>
  <si>
    <r>
      <t xml:space="preserve">LP s obsahem akalabrutinibu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</si>
  <si>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ruxolitinibu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</si>
  <si>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enzalutamidu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</si>
  <si>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kangreloru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</si>
  <si>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anakinry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</si>
  <si>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sarilumabu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</si>
  <si>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trastuzumab deruxtekanu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</si>
  <si>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omalizumabu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</si>
  <si>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ze skupiny anticholinergik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</si>
  <si>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SMLN-2022-617-000129</t>
  </si>
  <si>
    <t>SMLN-2022-617-000131
SMLN-2022-614-000025</t>
  </si>
  <si>
    <t>SMLN-2022-617-000132
SMLN-2022-614-000026</t>
  </si>
  <si>
    <t>SMLN-2022-617-000130</t>
  </si>
  <si>
    <t>VZ-2022-000225</t>
  </si>
  <si>
    <t>2.2.450.</t>
  </si>
  <si>
    <t>11.2.2022 zrušeno</t>
  </si>
  <si>
    <t>VZ-2022-000228</t>
  </si>
  <si>
    <t>Oprava podlahy ve skladovací hale č.2</t>
  </si>
  <si>
    <t>28.2.-31.12.2022</t>
  </si>
  <si>
    <t>1.1.-27.2.2026</t>
  </si>
  <si>
    <t>SMLN-2022-617-000134</t>
  </si>
  <si>
    <t>28.2.2022 zrušeno</t>
  </si>
  <si>
    <t>SMLN-2022-617-000135</t>
  </si>
  <si>
    <t>SMLN-2022-617-000136</t>
  </si>
  <si>
    <t>SMLN-2022-617-000137</t>
  </si>
  <si>
    <t>SMLN-2022-617-000138</t>
  </si>
  <si>
    <t>SMLN-2022-617-000139</t>
  </si>
  <si>
    <t>SMLN-2022-617-000140</t>
  </si>
  <si>
    <t>Olympus Czech Group, s.r.o., člen koncernu</t>
  </si>
  <si>
    <t>2.3.2022 zrušeno</t>
  </si>
  <si>
    <t>VZ-2022-000116</t>
  </si>
  <si>
    <t>Rukavice vyšetřovací nitrilové bez pudru - prodloužené</t>
  </si>
  <si>
    <t>MAPO medical s.r.o.</t>
  </si>
  <si>
    <t>Imunoglobulín normální lidský</t>
  </si>
  <si>
    <t>SMLN-2022-617-000142</t>
  </si>
  <si>
    <t>VZ-2022-000233</t>
  </si>
  <si>
    <t>2.2.399.</t>
  </si>
  <si>
    <t>Pediatrický mobilní ultrazvukový přístroj pro Dětskou kliniku</t>
  </si>
  <si>
    <t>2.3.634.</t>
  </si>
  <si>
    <t>Ultrazvukový systém pro akutní péči pro KARIM</t>
  </si>
  <si>
    <t>2.2.401.</t>
  </si>
  <si>
    <t>Mobilní ultrazvukové přístroje pro II.IK a KARIM</t>
  </si>
  <si>
    <t>2.2.397., 2.2.402.</t>
  </si>
  <si>
    <t>2.3.628.</t>
  </si>
  <si>
    <t>Ultrazvukový přístroj pro Urologickou kliniku</t>
  </si>
  <si>
    <t>4D echokardiograf pro I.IK</t>
  </si>
  <si>
    <t>2.3.592.</t>
  </si>
  <si>
    <t>Echokardiografický systém pro I.IK</t>
  </si>
  <si>
    <t>2.2.322.</t>
  </si>
  <si>
    <t>VZ-2022-000234</t>
  </si>
  <si>
    <t>nová VZ-2022-000234</t>
  </si>
  <si>
    <t>VZ-2022-000239</t>
  </si>
  <si>
    <t>Stavební úpravy P1 - vyšetřovna, kožní klinika</t>
  </si>
  <si>
    <t>1.2.87.</t>
  </si>
  <si>
    <t>VZ-2022-000242</t>
  </si>
  <si>
    <t>Rouškovací sety pro Ortopedickou kliniku</t>
  </si>
  <si>
    <t>SMLN-2022-617-000143</t>
  </si>
  <si>
    <t>VZ-2022-000244</t>
  </si>
  <si>
    <t>LP s obsahem lenalidomidu 2022 II.</t>
  </si>
  <si>
    <t>VZ-2022-000245</t>
  </si>
  <si>
    <t>LP s obsahem lenalidomidu III. 2022</t>
  </si>
  <si>
    <t>VZ-2022-000246</t>
  </si>
  <si>
    <t>Jiná cytostatika II. 2022</t>
  </si>
  <si>
    <t>IXAZOMID</t>
  </si>
  <si>
    <t>ANAGRELID I.</t>
  </si>
  <si>
    <t>ANAGRELID II.</t>
  </si>
  <si>
    <t>VZ-2022-000247</t>
  </si>
  <si>
    <t>Katetr zaváděcí koronární perifurní Guideliner</t>
  </si>
  <si>
    <t>Ablační katetry pro pulzní katetrizační ablaci</t>
  </si>
  <si>
    <t>VZ-2022-000248</t>
  </si>
  <si>
    <t>VZ-2022-000249</t>
  </si>
  <si>
    <t>4.5. Vodící katétry neurointervenční</t>
  </si>
  <si>
    <t>VZ-2022-000250</t>
  </si>
  <si>
    <t>Kličky polypektomické</t>
  </si>
  <si>
    <t>5.1. Kličky pro polypektomii, jednorázové k resekci za studena</t>
  </si>
  <si>
    <t>5.2.1. Kličky polypektomické k diatermické polypektomii, jednorázové monofilamentní</t>
  </si>
  <si>
    <t xml:space="preserve">5.2.2. Kličky polypektomické k diatermické polypektomii, jednorázové  pletené    </t>
  </si>
  <si>
    <r>
      <t xml:space="preserve">5.2.3.  Kličky polypektomické k diatermické polypektomii, jednorázové </t>
    </r>
    <r>
      <rPr>
        <b/>
        <sz val="10"/>
        <color rgb="FF000000"/>
        <rFont val="Calibri"/>
        <family val="2"/>
        <charset val="238"/>
        <scheme val="minor"/>
      </rPr>
      <t>pletené s přídavným opletením</t>
    </r>
  </si>
  <si>
    <t>5.3. Kličky pro polypektomii  jednorázové hybridní</t>
  </si>
  <si>
    <t>5.4. Souprava polypektomická jednorázová, k použití pro EMRC v horním GI traktu</t>
  </si>
  <si>
    <t>5.5. Kličky asymetrické jednorázové elektrochirurgické do gastroskopu</t>
  </si>
  <si>
    <t>VZ-2022-000251</t>
  </si>
  <si>
    <t>Mamograf</t>
  </si>
  <si>
    <t>33111650-2</t>
  </si>
  <si>
    <t>2.3.595.</t>
  </si>
  <si>
    <t>3.3.-31.12.2022</t>
  </si>
  <si>
    <t>1.1.-28.2.2026</t>
  </si>
  <si>
    <t>1.1.-2.3.2024</t>
  </si>
  <si>
    <t>1.1.-2.3.2025</t>
  </si>
  <si>
    <t>4.4. Kleště koagulační endoskopické jednorázové</t>
  </si>
  <si>
    <t>SMLN-2022-617-000144</t>
  </si>
  <si>
    <t>zveřejní SOS</t>
  </si>
  <si>
    <t>Trokary</t>
  </si>
  <si>
    <t>Trokar s ochranným ostřím a fixačním balonkem</t>
  </si>
  <si>
    <t>Trokar s lineárním břitem a fixačním rukávem</t>
  </si>
  <si>
    <t>VZ-2022-000257</t>
  </si>
  <si>
    <t>4.3.-31.12.2022</t>
  </si>
  <si>
    <t>1.1.-3.3.2025</t>
  </si>
  <si>
    <t>Centrifuga pro Ústav klinické a molekulární patologie</t>
  </si>
  <si>
    <t>Centrifugy pro Transfuzní oddělení</t>
  </si>
  <si>
    <t>Centrifuga pro OKB - LDMP</t>
  </si>
  <si>
    <t>Centrifuga pro OKB - úsek imunoanalytických metod</t>
  </si>
  <si>
    <t>Vakuový koncentrátor</t>
  </si>
  <si>
    <t>2.2.425.,2.3.578.</t>
  </si>
  <si>
    <t>2.3.586.,2.3.627.</t>
  </si>
  <si>
    <t>2.3.575.</t>
  </si>
  <si>
    <t>2.2.422.</t>
  </si>
  <si>
    <t>VZ-2022-000259</t>
  </si>
  <si>
    <t>Výroba a montáž nábytku 1/2022</t>
  </si>
  <si>
    <t>SMLN-2022-612-000026</t>
  </si>
  <si>
    <t>SMLN-2022-617-000145</t>
  </si>
  <si>
    <t>SMLN-2022-617-000146
SMLN-2022-614-000028</t>
  </si>
  <si>
    <t>SMLN-2022-617-000147
SMLN-2022-614-000028</t>
  </si>
  <si>
    <t>SMLN-2022-617-000148
SMLN-2022-614-000028</t>
  </si>
  <si>
    <t>SMLN-2022-617-000149</t>
  </si>
  <si>
    <t>SMLN-2022-617-000150</t>
  </si>
  <si>
    <t>SMLN-2022-617-000151</t>
  </si>
  <si>
    <t>SMLN-2022-617-000152</t>
  </si>
  <si>
    <t>SMLN-2022-617-000153</t>
  </si>
  <si>
    <t>SMLN-2022-617-000154</t>
  </si>
  <si>
    <t>8.3.2022 zrušeno</t>
  </si>
  <si>
    <t>VZ-2022-000269</t>
  </si>
  <si>
    <t>Materiál spotřební k separátorům krevních částic Trima Accel</t>
  </si>
  <si>
    <t>VZ-2022-000267</t>
  </si>
  <si>
    <t>Odborné konzultace a dozor při implementaci NIS</t>
  </si>
  <si>
    <t>8.3.-31.12.2022</t>
  </si>
  <si>
    <t>1.1.-7.3.2025</t>
  </si>
  <si>
    <t>8.3.-.31.12.2022</t>
  </si>
  <si>
    <t>SMLN-2022-618-000015</t>
  </si>
  <si>
    <t>SMLN-2022-618-000016</t>
  </si>
  <si>
    <t>SMLN-2022-617-000155
SMLN-2022-612-000027</t>
  </si>
  <si>
    <t>SMLN-2022-618-000017</t>
  </si>
  <si>
    <t>10.3.-31.12.2022</t>
  </si>
  <si>
    <t>1.1.-9.3.2025</t>
  </si>
  <si>
    <t>VZ-2022-000272</t>
  </si>
  <si>
    <t>Ubytování a služby spojené s organizací odborné akce FN Olomouc - konference Hospital management 2022</t>
  </si>
  <si>
    <t>VZ-2022-000273</t>
  </si>
  <si>
    <t>Mycí a dezinfekční automata na operační obuv - KUČOCH</t>
  </si>
  <si>
    <t>2.2.443.</t>
  </si>
  <si>
    <t>2.3.635.</t>
  </si>
  <si>
    <t>2.3.577.</t>
  </si>
  <si>
    <t>Desinfektor včetně příslušenství pro Dětskou kliniku</t>
  </si>
  <si>
    <t>Laboratoní myčka pro mytí laboratorního skla - Ústav mikrobiologie</t>
  </si>
  <si>
    <t>11.3.2022 zrušeno</t>
  </si>
  <si>
    <t>zrušeno - sloučení do 1 části</t>
  </si>
  <si>
    <t>SMLN-2022-617-000156</t>
  </si>
  <si>
    <t>SMLN-2022-617-000157</t>
  </si>
  <si>
    <t>SMLN-2022-617-000158</t>
  </si>
  <si>
    <t>SMLN-2022-617-000159</t>
  </si>
  <si>
    <t>SMLN-2022-617-000160</t>
  </si>
  <si>
    <t>SMLN-2022-617-000161</t>
  </si>
  <si>
    <t>SMLN-2022-617-000162</t>
  </si>
  <si>
    <t>SMLN-2022-617-000163</t>
  </si>
  <si>
    <t>12.5.-31.12.2022</t>
  </si>
  <si>
    <t>1.1.-11.5.2025</t>
  </si>
  <si>
    <t>11.3.-31.12.2022</t>
  </si>
  <si>
    <t>1.1.-10.3.2025</t>
  </si>
  <si>
    <t xml:space="preserve">8 let </t>
  </si>
  <si>
    <t>VZ-2022-000275</t>
  </si>
  <si>
    <t>8. Zaváděcí systém biliárních stentů</t>
  </si>
  <si>
    <t>Sven BioLabs s.r.o.</t>
  </si>
  <si>
    <t>zrušeno - neakceptovatelná pořizovací cena</t>
  </si>
  <si>
    <t>SMLN-2022-617-000166</t>
  </si>
  <si>
    <t>VZ-2022-000283</t>
  </si>
  <si>
    <t>Odborné konzultace a dozor při implementaci nemocničního informačního systému II.</t>
  </si>
  <si>
    <t>nová VZ-2022-000283</t>
  </si>
  <si>
    <t>14.3.-31.12.2022</t>
  </si>
  <si>
    <t>1.1.-13.3.2024</t>
  </si>
  <si>
    <t>SMLN-2022-617-000169</t>
  </si>
  <si>
    <t>SMLN-2022-617-000170</t>
  </si>
  <si>
    <t>SMLN-2022-617-000168
SMLN-2022-616-000012</t>
  </si>
  <si>
    <t>SMLN-2022-618-000018</t>
  </si>
  <si>
    <t>VZ-2022-000256</t>
  </si>
  <si>
    <t>VZ-2022-000284</t>
  </si>
  <si>
    <t>Plechové šatní skříňky pro Nádstavbu budovy A</t>
  </si>
  <si>
    <t>39143121-0</t>
  </si>
  <si>
    <t>SMLN-2022-617-000171</t>
  </si>
  <si>
    <t>SMLN-2022-617-000172</t>
  </si>
  <si>
    <t>SMLN-2022-617-000173</t>
  </si>
  <si>
    <t>SMLN-2022-617-000174
SMLN-2022-614-000031</t>
  </si>
  <si>
    <t>VZ-2022-000286</t>
  </si>
  <si>
    <t>15. Embolizační spirály odpoutatelné neurointervenční II.</t>
  </si>
  <si>
    <t>VZ-2022-000290</t>
  </si>
  <si>
    <t>2.2.444.</t>
  </si>
  <si>
    <t>VZ-2022-000291</t>
  </si>
  <si>
    <t>Systém AtriClip pro uzávěr ouška levé srdeční síně (LAA)</t>
  </si>
  <si>
    <t>17.3.-31.12.2022</t>
  </si>
  <si>
    <t>1.1.-16.3.2026</t>
  </si>
  <si>
    <t>1.1.-16.3.2025</t>
  </si>
  <si>
    <t>17.3.2022 zrušeno</t>
  </si>
  <si>
    <t>nová VZ-2022-000286</t>
  </si>
  <si>
    <t>SMLN-2022-617-000185</t>
  </si>
  <si>
    <t>SMLN-2022-617-000186</t>
  </si>
  <si>
    <t>SMLN-2022-617-000187</t>
  </si>
  <si>
    <t>SMLN-2022-617-000188</t>
  </si>
  <si>
    <t>SMLN-2022-617-000181</t>
  </si>
  <si>
    <t>SMLN-2022-617-000182</t>
  </si>
  <si>
    <t>SMLN-2022-617-000183</t>
  </si>
  <si>
    <t>SMLN-2022-617-000179
SMLN-2022-617-000180</t>
  </si>
  <si>
    <t>SMLN-2022-618-000021</t>
  </si>
  <si>
    <t>21.3.-31.12.2022</t>
  </si>
  <si>
    <t>1.1.-20.3.2025</t>
  </si>
  <si>
    <t>nová VZ-2022-000293</t>
  </si>
  <si>
    <t>VZ-2022-000293</t>
  </si>
  <si>
    <t>Mikroskopy III</t>
  </si>
  <si>
    <t>2021 bez plnění</t>
  </si>
  <si>
    <t>VZ-2022-000295</t>
  </si>
  <si>
    <t>Operační mikroskop KÚČOCH</t>
  </si>
  <si>
    <t>2.2.449.</t>
  </si>
  <si>
    <t>VZ-2022-000298</t>
  </si>
  <si>
    <t>Materiál spotřební nCPAP k přístroji Babylog VN 500 Dräger</t>
  </si>
  <si>
    <t>1.1.-20.3.2026</t>
  </si>
  <si>
    <t>SMLN-2022-617-000190
SMLN-2022-612-000028</t>
  </si>
  <si>
    <t>VZ-2022-000303</t>
  </si>
  <si>
    <t>Elektroda defibrilační endokardiální PLEXA</t>
  </si>
  <si>
    <t>SMLN-2022-617-000191
SMLN-2022-612-000030</t>
  </si>
  <si>
    <t>SMLN-2022-612-000029</t>
  </si>
  <si>
    <t>Kardio-Line spol. s r.o.</t>
  </si>
  <si>
    <t>22.3.-31.12.2022</t>
  </si>
  <si>
    <t>1.1.-21.3.2026</t>
  </si>
  <si>
    <t>1.1.-21.3.2025</t>
  </si>
  <si>
    <t>FOSKARNET</t>
  </si>
  <si>
    <t>VZ-2022-000306</t>
  </si>
  <si>
    <t xml:space="preserve">LP s obsahem foskarnetu 2022 </t>
  </si>
  <si>
    <t>Přímo působící antivirotika 2022</t>
  </si>
  <si>
    <t>VZ-2022-000307</t>
  </si>
  <si>
    <t>LAMIVUDIN</t>
  </si>
  <si>
    <t xml:space="preserve">TENOFOVIR - DISOPROXIL </t>
  </si>
  <si>
    <t xml:space="preserve">ENTEKAVIR </t>
  </si>
  <si>
    <t xml:space="preserve">
FLUKONAZOL  </t>
  </si>
  <si>
    <t>ITRAKONAZOL  I.</t>
  </si>
  <si>
    <t>ITRAKONAZOL  II.</t>
  </si>
  <si>
    <t>ISAVUKONAZOL I.</t>
  </si>
  <si>
    <t>ISAVUKONAZOL II.</t>
  </si>
  <si>
    <t xml:space="preserve">
KASPOFUNGIN  </t>
  </si>
  <si>
    <t>VZ-2022-000308</t>
  </si>
  <si>
    <t>Triazolové deriváty 2022</t>
  </si>
  <si>
    <t>VZ-2022-000309</t>
  </si>
  <si>
    <t xml:space="preserve">
OFATUMUMAB  </t>
  </si>
  <si>
    <t>VZ-2022-000310</t>
  </si>
  <si>
    <t>Selektivní imunosupresiva II. 2022</t>
  </si>
  <si>
    <t>LEFLUNOMID</t>
  </si>
  <si>
    <t>LP s obsahem teduglutidu 2022</t>
  </si>
  <si>
    <t>VZ-2022-000311</t>
  </si>
  <si>
    <t>TEDUGLUTID</t>
  </si>
  <si>
    <t>VZ-2022-000312</t>
  </si>
  <si>
    <t xml:space="preserve">EKULIZUMAB  </t>
  </si>
  <si>
    <t>SMLN-2022-617-000100
SMLN-2022-614-000032</t>
  </si>
  <si>
    <t>23.3.2022 zrušeno</t>
  </si>
  <si>
    <t>BDC Development s.r.o.</t>
  </si>
  <si>
    <t>VZ-2022-000315</t>
  </si>
  <si>
    <t>PCR</t>
  </si>
  <si>
    <t>Termocyklery pro HOK a Ústav genetiky</t>
  </si>
  <si>
    <t>qPCR pro Ústav genetiky</t>
  </si>
  <si>
    <t>qPCR pro Ústav molekulární a klinické patologie</t>
  </si>
  <si>
    <t>qPCR pro HOK</t>
  </si>
  <si>
    <t>dPCR systém pro HOK</t>
  </si>
  <si>
    <t>ddPCR pro Ústav imunologie</t>
  </si>
  <si>
    <t>2.3.571.,2.3.582.</t>
  </si>
  <si>
    <t>2.3.583.</t>
  </si>
  <si>
    <t>2.3.580.</t>
  </si>
  <si>
    <t>2.3.573.</t>
  </si>
  <si>
    <t>2.2.417.</t>
  </si>
  <si>
    <t>2.2.423.</t>
  </si>
  <si>
    <t>1.1.-7.10.2022</t>
  </si>
  <si>
    <t>SMLN-2022-617-000193</t>
  </si>
  <si>
    <t>VZ-2022-000059 zrušeno
VZ-2022-000286</t>
  </si>
  <si>
    <t>6. Nůž elektrochirurgický jednorázový</t>
  </si>
  <si>
    <t>SMLN-2022-617-000194</t>
  </si>
  <si>
    <t>SMLN-2022-617-000197
SMLN-2022-614-000033</t>
  </si>
  <si>
    <t>27. Stenty biliární metalické samoexpadibilní II.</t>
  </si>
  <si>
    <t>Stenty biliární samoexpandibilní metalické pletené pro drenáž žlučových cest</t>
  </si>
  <si>
    <t>Stenty biliární samoexpandibilní metalické k léčbě obstrukce žlučovodů I.</t>
  </si>
  <si>
    <t>Stenty biliární samoexpandibilní metalické k léčbě obstrukce žlučovodů II.</t>
  </si>
  <si>
    <t>28.3.2022 zrušeno</t>
  </si>
  <si>
    <t>28.3.-31.12.2022</t>
  </si>
  <si>
    <t>1.1.-27.3.2025</t>
  </si>
  <si>
    <t>VZ-2022-000321</t>
  </si>
  <si>
    <t>VZ-2022-000318</t>
  </si>
  <si>
    <t>Inkubátory</t>
  </si>
  <si>
    <t>Třepačka na trombocyty s inkubátorem</t>
  </si>
  <si>
    <t>Inkubátor</t>
  </si>
  <si>
    <t>CO2 inkubátor - mikrobiologie</t>
  </si>
  <si>
    <t>CO2 inkubátor - HOK</t>
  </si>
  <si>
    <t>2.2.415.</t>
  </si>
  <si>
    <t>2.2.430.</t>
  </si>
  <si>
    <t>2.3.615.,616.</t>
  </si>
  <si>
    <t>2.3.650</t>
  </si>
  <si>
    <t>SMLN-2022-617-000200</t>
  </si>
  <si>
    <t>10.3.2022 zrušeno</t>
  </si>
  <si>
    <t>22.3.2022 zrušeno</t>
  </si>
  <si>
    <t>24.3.2022 zrušeno</t>
  </si>
  <si>
    <t>SMLN-2022-617-000203
SMLN-2022-612-000032</t>
  </si>
  <si>
    <t>VZ-2022-000324</t>
  </si>
  <si>
    <t>2.4. Vodící mikrodráty k periferním vaskulárním intervencím</t>
  </si>
  <si>
    <t>VZ-2022-000325</t>
  </si>
  <si>
    <t>4.2.179.</t>
  </si>
  <si>
    <t>34114122-0</t>
  </si>
  <si>
    <t>Rouškovací sety pro Kardiochirurgickou kliniku</t>
  </si>
  <si>
    <t>VZ-2022-000327</t>
  </si>
  <si>
    <t>Mectron.cz s.r.o.</t>
  </si>
  <si>
    <t>SMLN-2022-618-000022</t>
  </si>
  <si>
    <t>29.3.-31.12.2022</t>
  </si>
  <si>
    <t>1.1.-28.3.2025</t>
  </si>
  <si>
    <t>1.4.-31.12.2022</t>
  </si>
  <si>
    <t>VZ-2022-000330</t>
  </si>
  <si>
    <t>Redukční ventily kyslíku, regulátory podtlaku, průtokoměry kyslíku a zvlhčovače k průtokoměrům kyslíku</t>
  </si>
  <si>
    <t>VZ-2022-000331</t>
  </si>
  <si>
    <t>Evusheld</t>
  </si>
  <si>
    <t>A.M.I. - Analytical Medical Instruments, s.r.o.</t>
  </si>
  <si>
    <t>TOPSOFT JKM spol. s r.o.</t>
  </si>
  <si>
    <t>VZ-2022-000334</t>
  </si>
  <si>
    <t>ICD s možností vzdálené kontroly pacienta a časného upozornění hrozícího srdečního selhání a s automatickým exportem dat z programeru na zabezpečené cloudové úložiště</t>
  </si>
  <si>
    <t>Fresenius Medical Care - ČR, s.r.o.</t>
  </si>
  <si>
    <t>VZ-2022-000335</t>
  </si>
  <si>
    <t>Rostlinné alkaloidy 2022</t>
  </si>
  <si>
    <t xml:space="preserve">TOPOTEKAN  </t>
  </si>
  <si>
    <t xml:space="preserve">TRABEKTEDIN </t>
  </si>
  <si>
    <t xml:space="preserve">VINKRISTIN </t>
  </si>
  <si>
    <t xml:space="preserve">ETOPOSID  </t>
  </si>
  <si>
    <t>KRD-obchodní společnost s.r.o.</t>
  </si>
  <si>
    <t>VZ-2022-000343</t>
  </si>
  <si>
    <t>VZ-2022-000349</t>
  </si>
  <si>
    <t>2.2.363; 2.2.376;</t>
  </si>
  <si>
    <t>4.4.-31.12.2022</t>
  </si>
  <si>
    <t>1.1.-3.4.2025</t>
  </si>
  <si>
    <t>1.6.-31.12.2022</t>
  </si>
  <si>
    <t>1.1.-31.5.2026</t>
  </si>
  <si>
    <t>Klipy a aplikátory klipů</t>
  </si>
  <si>
    <t>Klipy a aplikátory klipů (specifikováno dle Weck HORIZON)</t>
  </si>
  <si>
    <t>Klipy a aplikátory klipů (specifikováno dle Weck Hem-o-lok)</t>
  </si>
  <si>
    <t>Klipy a aplikátory klipů (specifikováno dle Ethicon Ligaclip)</t>
  </si>
  <si>
    <t>SMLN-2022-617-000212
SMLN-2022-612-000033
SMLN-2022-617-000213</t>
  </si>
  <si>
    <t>SMLN-2022-617-000208
SMLN-2022-614-000035</t>
  </si>
  <si>
    <t>SMLN-2022-617-000209
SMLN-2022-614-000036</t>
  </si>
  <si>
    <t>SMLN-2022-617-000210
SMLN-2022-614-000037</t>
  </si>
  <si>
    <t>VZ-2022-000352</t>
  </si>
  <si>
    <t>Výrobník ledu</t>
  </si>
  <si>
    <t>2.3.638.</t>
  </si>
  <si>
    <t>VZ-2022-000353</t>
  </si>
  <si>
    <t>Aeroskop pro mikrobiální monitorování vzduchu</t>
  </si>
  <si>
    <t>2.3.617.</t>
  </si>
  <si>
    <t>VZ-2022-000354</t>
  </si>
  <si>
    <t>SMLN-2022-617-000216
SMLN-2022-612-000034
SMLN-2022-617-000217</t>
  </si>
  <si>
    <t>SMLN-2022-617-000218
SMLN-2022-612-000035</t>
  </si>
  <si>
    <t>6.4.2022 zrušeno</t>
  </si>
  <si>
    <t>VZ-2022-000356</t>
  </si>
  <si>
    <t>Katetry PHmetrické impedanční k přístroji Digitrapper</t>
  </si>
  <si>
    <t>5.4.-31.12.2022</t>
  </si>
  <si>
    <t>1.1.-4.4.2025</t>
  </si>
  <si>
    <t>1.1.-4.4.-2026</t>
  </si>
  <si>
    <t>VZ-2022-000357</t>
  </si>
  <si>
    <t>Ohřev krevních přípravků II</t>
  </si>
  <si>
    <t>2.3.605,647</t>
  </si>
  <si>
    <t>nová VZ-2022-000357</t>
  </si>
  <si>
    <t>SMLN-2022-617-000219</t>
  </si>
  <si>
    <t>VZ-2022-000360</t>
  </si>
  <si>
    <t>Vysokoobrátkové elektrické vrtačky II.</t>
  </si>
  <si>
    <t>nová VZ-2022-000360</t>
  </si>
  <si>
    <t>6.4.-31.12.2022</t>
  </si>
  <si>
    <t>1.1.-5.4.2025</t>
  </si>
  <si>
    <t>LINET spol. s r.o.</t>
  </si>
  <si>
    <t>PROMA REHA, s.r.o.</t>
  </si>
  <si>
    <t>Odběrové křeslo pro kožní kliniku</t>
  </si>
  <si>
    <t>Odběrová křesla pro HOK a II. Interní kliniku</t>
  </si>
  <si>
    <t>Odběrová křesla pro radiologickou kliniku</t>
  </si>
  <si>
    <t>2.2.144,251</t>
  </si>
  <si>
    <t>2.2.466.</t>
  </si>
  <si>
    <t>2.2.435.</t>
  </si>
  <si>
    <t>SMLN-2022-617-000229</t>
  </si>
  <si>
    <t>KORAKO plus, s.r.o.</t>
  </si>
  <si>
    <t>SMLN-2022-617-000223</t>
  </si>
  <si>
    <t>SMLN-2022-617-000225</t>
  </si>
  <si>
    <t>SMLN-2022-617-000226</t>
  </si>
  <si>
    <t>SMLN-2022-617-000227</t>
  </si>
  <si>
    <t>SMLN-2022-617-000228</t>
  </si>
  <si>
    <t>SMLN-2022-617-000224</t>
  </si>
  <si>
    <t>SMLN-2022-612-000039</t>
  </si>
  <si>
    <t>SMLN-2022-617-000220
SMLN-2022-612-000036</t>
  </si>
  <si>
    <t>SMLN-2022-617-000221
SMLN-2022-612-000037</t>
  </si>
  <si>
    <t>SMLN-2022-617-000222
SMLN-2022-612-000038</t>
  </si>
  <si>
    <t>VZ-2022-000363</t>
  </si>
  <si>
    <t>Vozidlo na převoz krevních derivátů</t>
  </si>
  <si>
    <t>34136100-0</t>
  </si>
  <si>
    <t>4.2.180.</t>
  </si>
  <si>
    <t>VZ-2022-000366</t>
  </si>
  <si>
    <t>Pumpa centrifugační k přístroji Stöckert S5</t>
  </si>
  <si>
    <t>8.4.2022 zrušeno</t>
  </si>
  <si>
    <t>SMLN-2022-617-000235
SMLN-2022-612-000040</t>
  </si>
  <si>
    <t>SMLN-2022-617-000236
SMLN-2022-612-000041</t>
  </si>
  <si>
    <t>ALOGO, s.r.o.</t>
  </si>
  <si>
    <t>SCHAFFEROVÁ spol. s r.o.</t>
  </si>
  <si>
    <t>SMLN-2022-617-000244</t>
  </si>
  <si>
    <t>SMLN-2022-617-000245</t>
  </si>
  <si>
    <t>SMLN-2022-617-000246</t>
  </si>
  <si>
    <t>SMLN-2022-617-000247</t>
  </si>
  <si>
    <t>SMLN-2022-617-000237</t>
  </si>
  <si>
    <t>SMLN-2022-617-000238</t>
  </si>
  <si>
    <t>SMLN-2022-617-000239</t>
  </si>
  <si>
    <t>SMLN-2022-617-000240</t>
  </si>
  <si>
    <t>SMLN-2022-617-000241</t>
  </si>
  <si>
    <t>SMLN-2022-617-000242</t>
  </si>
  <si>
    <t>SMLN-2022-617-000243</t>
  </si>
  <si>
    <t>VZ-2022-000371</t>
  </si>
  <si>
    <t>Operační, zákroková a vyšetřovací svítidla II.</t>
  </si>
  <si>
    <t>VZ-2022-000374</t>
  </si>
  <si>
    <t>Novostavba budovy G</t>
  </si>
  <si>
    <t>45215140-0
71000000-8</t>
  </si>
  <si>
    <t>1.2.83.</t>
  </si>
  <si>
    <t>12.4.-31.12.2022</t>
  </si>
  <si>
    <t>1.1.-11.4.2025</t>
  </si>
  <si>
    <t>SMLN-2022-617-000249
SMLN-2022-614-000038</t>
  </si>
  <si>
    <t>SMLN-2022-617-000251</t>
  </si>
  <si>
    <t>SMLN-2022-617-000252</t>
  </si>
  <si>
    <t>SMLN-2022-617-000253</t>
  </si>
  <si>
    <t>SMLN-2022-617-000254</t>
  </si>
  <si>
    <t>SMLN-2022-617-000255
SMLN-2022-612-000042</t>
  </si>
  <si>
    <t>14.4.2022 zrušeno</t>
  </si>
  <si>
    <t>VZ-2022-000378</t>
  </si>
  <si>
    <t>Napájecí zdroje k infuzním pumpám a lineárním dávkovačům</t>
  </si>
  <si>
    <t>VZ-2022-000379</t>
  </si>
  <si>
    <t>Hessovo plátno s příslušenstvím</t>
  </si>
  <si>
    <t>2.3.611.</t>
  </si>
  <si>
    <t>SMLN-2022-617-000257
SMLN-2022-617-000258
SMLN-2022-612-000043
SMLN-2022-612-000044</t>
  </si>
  <si>
    <t>SMLN-2022-617-000259
SMLN-2022-612-000045</t>
  </si>
  <si>
    <t>VZ-2022-000380</t>
  </si>
  <si>
    <t>Kazetový sterilizátor</t>
  </si>
  <si>
    <t>19.4.-31.12.2022</t>
  </si>
  <si>
    <t>1.1.-18.4.2026</t>
  </si>
  <si>
    <t>1.1.-18.4.2024</t>
  </si>
  <si>
    <t>1.1.-18.4.2025</t>
  </si>
  <si>
    <t>19.4.-31.12-2022</t>
  </si>
  <si>
    <t>SMLN-2022-617-000261
SMLN-2022-612-000047
SMLN-2022-617-000262</t>
  </si>
  <si>
    <t>SMLN-2022-617-000260
SMLN-2022-612-000046</t>
  </si>
  <si>
    <t>SMLN-2022-617-000263
SMLN-2022-612-000048</t>
  </si>
  <si>
    <t>SMLN-2022-617-000264
SMLN-2022-612-000049</t>
  </si>
  <si>
    <t>SMLN-2022-617-000265</t>
  </si>
  <si>
    <t>VZ-2022-000383</t>
  </si>
  <si>
    <t>Retraktorové systémy</t>
  </si>
  <si>
    <t>VZ-2022-000384</t>
  </si>
  <si>
    <t>Přístroj pro perfuzi dárcovské ledviny II.</t>
  </si>
  <si>
    <t>nová VZ-2022-000384</t>
  </si>
  <si>
    <t>nová VZ-2022-000387</t>
  </si>
  <si>
    <t>VZ-2022-000387</t>
  </si>
  <si>
    <t>Odběrová křesla pro Radiologickou kliniku</t>
  </si>
  <si>
    <t>VZ-2022-000145</t>
  </si>
  <si>
    <t>3.3. Speciální zaváděcí pouzdra k vaskulárním intervencím II.</t>
  </si>
  <si>
    <t>VZ-2022-000388</t>
  </si>
  <si>
    <t>Operační stoly KÚČOCH</t>
  </si>
  <si>
    <t>2.2.447.</t>
  </si>
  <si>
    <t>SMLN-2022-617-000266
SMLN-2022-612-000050</t>
  </si>
  <si>
    <t>VZ-2022-000391</t>
  </si>
  <si>
    <t>2.2.442.</t>
  </si>
  <si>
    <t>20.4.2022 zrušeno</t>
  </si>
  <si>
    <t>VZ-2022-000397</t>
  </si>
  <si>
    <t>Anesteziologický přístroj</t>
  </si>
  <si>
    <t>2.2.446.</t>
  </si>
  <si>
    <t>SMLN-2022-617-000269</t>
  </si>
  <si>
    <t>22.4.-31.12.2022</t>
  </si>
  <si>
    <t>1.1.-21.4.2026</t>
  </si>
  <si>
    <t>VZ-2022-000401</t>
  </si>
  <si>
    <t>Materiál spotřební k injektorům kontrastní látky ACIST CVi</t>
  </si>
  <si>
    <t>VZ-2022-000403</t>
  </si>
  <si>
    <t>Poskytování licencí a služeb technické podpory a servisu informačního systému NextGENe a Genetický asistent</t>
  </si>
  <si>
    <t>VZ-2022-000404</t>
  </si>
  <si>
    <t>Mrazící box</t>
  </si>
  <si>
    <t>2.3.660.</t>
  </si>
  <si>
    <t>SMLN-2022-617-000271</t>
  </si>
  <si>
    <t>SMLN-2022-617-000272</t>
  </si>
  <si>
    <t>SMLN-2022-617-000273</t>
  </si>
  <si>
    <t>VZ-2022-000405</t>
  </si>
  <si>
    <t>Pec polymerační na fotokompozita II</t>
  </si>
  <si>
    <t>nová VZ-2022-000405</t>
  </si>
  <si>
    <t>nová VZ-2022-000371</t>
  </si>
  <si>
    <t>22.4.2022 zrušeno</t>
  </si>
  <si>
    <t>VZ-2022-000409</t>
  </si>
  <si>
    <t>Poskytování licencí, služeb technické podpory a servisu informačního systému eKLIN/ePOST</t>
  </si>
  <si>
    <t>SMLN-2022-617-000281</t>
  </si>
  <si>
    <t>SMLN-2022-617-000282</t>
  </si>
  <si>
    <t>SMLN-2022-617-000283</t>
  </si>
  <si>
    <t>SMLN-2022-617-000284</t>
  </si>
  <si>
    <t>SMLN-2022-617-000275</t>
  </si>
  <si>
    <t>SMLN-2022-617-000276</t>
  </si>
  <si>
    <t>SMLN-2022-617-000277</t>
  </si>
  <si>
    <t>SMLN-2022-617-000278</t>
  </si>
  <si>
    <t>SMLN-2022-617-000279</t>
  </si>
  <si>
    <t>SMLN-2022-617-000280</t>
  </si>
  <si>
    <t>VZ-2022-000413</t>
  </si>
  <si>
    <t>Dodatek</t>
  </si>
  <si>
    <t>SMLN-2022-617-000285</t>
  </si>
  <si>
    <t>SARSTED, spol. s r.o.</t>
  </si>
  <si>
    <t>SMLN-2022-617-000287</t>
  </si>
  <si>
    <t>SMLN-2022-617-000288</t>
  </si>
  <si>
    <t>IN SPACE s.r.o.</t>
  </si>
  <si>
    <t>27.4.-31.12.2022</t>
  </si>
  <si>
    <t>1.1.-26.4.2026</t>
  </si>
  <si>
    <t>1.1.-26.04.2025</t>
  </si>
  <si>
    <t>VZ-2022-000416</t>
  </si>
  <si>
    <t>Dokumentační systém pro gelovou dokumentaci</t>
  </si>
  <si>
    <t>VZ-2022-000423</t>
  </si>
  <si>
    <t>Ruční fundus kamera</t>
  </si>
  <si>
    <t>VZ-2022-000424</t>
  </si>
  <si>
    <t>LP s obsahem rivaroxabanu</t>
  </si>
  <si>
    <t>VZ-2022-000425</t>
  </si>
  <si>
    <t>Dezinfekce myčky endoskopů 2022</t>
  </si>
  <si>
    <t>VZ-2022-000426</t>
  </si>
  <si>
    <t>Inhibitory proteinkináz III. 2022</t>
  </si>
  <si>
    <t xml:space="preserve">SUNITINIB </t>
  </si>
  <si>
    <t>VZ-2022-000427</t>
  </si>
  <si>
    <t>Jiná periferně působící myorelaxancia 2022</t>
  </si>
  <si>
    <t>BOTULOTOXIN TYP A</t>
  </si>
  <si>
    <t>SMLN-2022-617-000289
SMLN-2022-612-000054</t>
  </si>
  <si>
    <t>VZ-2022-000429</t>
  </si>
  <si>
    <t>Celotělové bodypletysmografy s příslušenstvím</t>
  </si>
  <si>
    <t>2.3.587, 2.3.642</t>
  </si>
  <si>
    <t>SMLN-2022-617-000291
SMLN-2022-612-000056</t>
  </si>
  <si>
    <t>SMLN-2022-617-000290
SMLN-2022-612-000055</t>
  </si>
  <si>
    <t>VZ-2022-000430</t>
  </si>
  <si>
    <t>Sanace 2ks lodžií - budova Q</t>
  </si>
  <si>
    <t>NTMC</t>
  </si>
  <si>
    <t>SMLN-2022-617-000292
SMLN-2022-614-000039</t>
  </si>
  <si>
    <t>SMLN-2022-617-000293
SMLN-2022-614-000040</t>
  </si>
  <si>
    <t>SMLN-2022-617-000294
SMLN-2022-614-000041</t>
  </si>
  <si>
    <t>SMLN-2022-617-000299</t>
  </si>
  <si>
    <t>VZ-2022-000434</t>
  </si>
  <si>
    <t>Výměna stávajících dveří za automatizované - 2NP. - budova S</t>
  </si>
  <si>
    <t>29.4.-31.12.2022</t>
  </si>
  <si>
    <t>1.1.-28.4.2025</t>
  </si>
  <si>
    <t>29.4.2022 zrušeno</t>
  </si>
  <si>
    <t>SMLN-2022-617-000300</t>
  </si>
  <si>
    <t>VZ-2022-000442</t>
  </si>
  <si>
    <t>Trokary II.</t>
  </si>
  <si>
    <t>nová VZ-2022-000442</t>
  </si>
  <si>
    <t>SMLN-2022-617-000301</t>
  </si>
  <si>
    <t>SMLN-2022-617-000302</t>
  </si>
  <si>
    <t>SMLN-2022-617-000303</t>
  </si>
  <si>
    <t>SMLN-2022-617-000304</t>
  </si>
  <si>
    <t>SMLN-2022-617-000305</t>
  </si>
  <si>
    <t>SMLN-2022-617-000306</t>
  </si>
  <si>
    <t>SMLN-2022-617-000307</t>
  </si>
  <si>
    <t>SMLN-2022-617-000308</t>
  </si>
  <si>
    <t>2.5.-31.12.2022</t>
  </si>
  <si>
    <t>1.1.-1.5.2025</t>
  </si>
  <si>
    <t>1.1.-26.4.2025</t>
  </si>
  <si>
    <t>2.5.2022 zrušeno</t>
  </si>
  <si>
    <t>SMLN-2022-617-000309
SMLN-2022-612-000057</t>
  </si>
  <si>
    <t>SMLN-2022-617-000310
SMLN-2022-612-000058</t>
  </si>
  <si>
    <t>ASQA, a.s.</t>
  </si>
  <si>
    <t>nová VZ-2022-000444</t>
  </si>
  <si>
    <t>VZ-2022-000444</t>
  </si>
  <si>
    <t>Aeroskop pro mikrobiální monitorování vzduchu II.</t>
  </si>
  <si>
    <t>Imunochemický ELISA automat pro Ústav imunologie</t>
  </si>
  <si>
    <t>Imunochemický ELISA automat pro OKB</t>
  </si>
  <si>
    <t>2.2.426.</t>
  </si>
  <si>
    <t>2.3.574.</t>
  </si>
  <si>
    <t>SMLN-2022-617-000312
SMLN-2022-612-000068</t>
  </si>
  <si>
    <t>SMLN-2022-617-000311
SMLN-2022-612-000067</t>
  </si>
  <si>
    <t>VZ-2022-000447</t>
  </si>
  <si>
    <t>Oprava obvodového pláště budovy L II.</t>
  </si>
  <si>
    <t>nová VZ-2022-000447</t>
  </si>
  <si>
    <t>SMLN-2022-617-000313
SMLN-2022-616-000019</t>
  </si>
  <si>
    <t>VZ-2022-000450</t>
  </si>
  <si>
    <t>3.5.-31.12.2022</t>
  </si>
  <si>
    <t>1.1.-2.5.2026</t>
  </si>
  <si>
    <t>4.5.-31.12.2022</t>
  </si>
  <si>
    <t>1.1.-3.5.2025</t>
  </si>
  <si>
    <t>SMLN-2022-617-000314
SMLN-2022-612-000069</t>
  </si>
  <si>
    <t>SMLN-2022-617-000315
SMLN-2022-612-000070</t>
  </si>
  <si>
    <t>SMLN-2022-617-000316
SMLN-2022-612-000071</t>
  </si>
  <si>
    <t>SMLN-2022-617-000317</t>
  </si>
  <si>
    <t>SMLN-2022-617-000318</t>
  </si>
  <si>
    <t>SMLN-2022-617-000319
SMLN-2022-614-000043</t>
  </si>
  <si>
    <t>SMLN-2022-617-000320
SMLN-2022-614-000044</t>
  </si>
  <si>
    <t>VZ-2022-000464</t>
  </si>
  <si>
    <t>Oprava MaR ve výměníkových stanicích FNOl</t>
  </si>
  <si>
    <t>VZ-2022-000463</t>
  </si>
  <si>
    <t xml:space="preserve">Rentgenové přístroje </t>
  </si>
  <si>
    <t>2.3.549.</t>
  </si>
  <si>
    <t>2.3.649.</t>
  </si>
  <si>
    <t>2.3.593.</t>
  </si>
  <si>
    <t>2.3.594.</t>
  </si>
  <si>
    <t>5.5.-31.12.2022</t>
  </si>
  <si>
    <t>1.1.-4.5.2025</t>
  </si>
  <si>
    <t>NEREALIZOVÁNO V ROCE 2022 (PLÁN NA 2023)</t>
  </si>
  <si>
    <t>nová VZ-2022-000426</t>
  </si>
  <si>
    <t>SMLN-2022-617-000322
SMLN-2022-612-000072
SMLN-2022-617-000323</t>
  </si>
  <si>
    <t>Sestava břišního rozvěrače</t>
  </si>
  <si>
    <t>Flexibilní rameno pro ústní rozvěrač</t>
  </si>
  <si>
    <t>2.2.472.</t>
  </si>
  <si>
    <t>2.2.457.</t>
  </si>
  <si>
    <t>24. a 25. Stent pankreatický plastový</t>
  </si>
  <si>
    <t>Stent pankreatický plastový rovný</t>
  </si>
  <si>
    <t>Stent pankreatický plastový single pigtail</t>
  </si>
  <si>
    <t>VZ-2022-000468-01</t>
  </si>
  <si>
    <t>VZ-2022-000468-02</t>
  </si>
  <si>
    <t>VZ-2022-000469-01</t>
  </si>
  <si>
    <t>VZ-2022-000469-02</t>
  </si>
  <si>
    <t>VZ-2022-000469-03</t>
  </si>
  <si>
    <t>Stent biliární plastový I. (TTSO)</t>
  </si>
  <si>
    <t>23. a 26. Stenty biliární plastové</t>
  </si>
  <si>
    <t>Stent biliární plastový plastový double Pigtail</t>
  </si>
  <si>
    <t>Stent biliární plastový II. (CLSO)</t>
  </si>
  <si>
    <t>Speciální operační svítidla se širokým osvitem</t>
  </si>
  <si>
    <t>Samostatná mobilní zálohovaná svítidla</t>
  </si>
  <si>
    <t>Stropní samostatná operační svítidla</t>
  </si>
  <si>
    <t>Vyšetřovací pojízdná svítidla a svítidla na zeď</t>
  </si>
  <si>
    <t>2.2.448.</t>
  </si>
  <si>
    <t>2.3.446.,2.3.467.</t>
  </si>
  <si>
    <t>2.3.542.</t>
  </si>
  <si>
    <t>dodatek</t>
  </si>
  <si>
    <t>SMLN-2022-617-000326</t>
  </si>
  <si>
    <t>9.5.2022 zrušeno</t>
  </si>
  <si>
    <t>SMLN-2022-617-000327</t>
  </si>
  <si>
    <t>SMLN-2022-617-000324
SMLN-2022-612-000073</t>
  </si>
  <si>
    <t>Askin &amp; Co s.r.o.</t>
  </si>
  <si>
    <t>VZ-2022-000475</t>
  </si>
  <si>
    <t>Kolektor – výměna ventilů na vodovodním řádu</t>
  </si>
  <si>
    <t>VZ-2022-000476</t>
  </si>
  <si>
    <t>Time lapse system</t>
  </si>
  <si>
    <t>2.3.540.</t>
  </si>
  <si>
    <t>SMLN-2022-617-000328</t>
  </si>
  <si>
    <t>zrušeno - úprava specifikace vozidla</t>
  </si>
  <si>
    <t>9.5.-31.12.2022</t>
  </si>
  <si>
    <t>1.1.-8.5.2026</t>
  </si>
  <si>
    <t>TENOFOVIR - DISOPROXIL A EMTRICITABIN</t>
  </si>
  <si>
    <t>VZ-2022-000480</t>
  </si>
  <si>
    <t>Gallium-68 Generátory</t>
  </si>
  <si>
    <t>33600000-6</t>
  </si>
  <si>
    <t>VZ-2022-000481</t>
  </si>
  <si>
    <t>2.2.477.</t>
  </si>
  <si>
    <t>10.5.-31.12.2022</t>
  </si>
  <si>
    <t>KORAKO plus s.r.o.</t>
  </si>
  <si>
    <t>SMLN-2022-617-000329</t>
  </si>
  <si>
    <t>SMLN-2022-617-000330</t>
  </si>
  <si>
    <t>10.5.2022 vyloučení</t>
  </si>
  <si>
    <t>10.5.2022 zrušeno</t>
  </si>
  <si>
    <t>VZ-2022-000487-01</t>
  </si>
  <si>
    <t>VZ-2022-000487-02</t>
  </si>
  <si>
    <t>VZ-2022-000487-03</t>
  </si>
  <si>
    <t>Likvidace nebezpečných odpadů</t>
  </si>
  <si>
    <t>Likvidace ostatních odpadů</t>
  </si>
  <si>
    <t>Výkup odpadů</t>
  </si>
  <si>
    <t>MEDEON s.r.o.</t>
  </si>
  <si>
    <t>SMLN-2022-617-000339</t>
  </si>
  <si>
    <t>SMLN-2022-617-000340</t>
  </si>
  <si>
    <t>SMLN-2022-617-000335</t>
  </si>
  <si>
    <t>SMLN-2022-617-000337</t>
  </si>
  <si>
    <t>SMLN-2022-617-000338</t>
  </si>
  <si>
    <t>SMLN-2022-617-000342
SMLN-2022-612-000075</t>
  </si>
  <si>
    <t>SMLN-2022-617-000343
SMLN-2022-612-000076</t>
  </si>
  <si>
    <t>VZ-2022-000494</t>
  </si>
  <si>
    <t>Diagnostická ultrazvuková sonda s příslušenstvím</t>
  </si>
  <si>
    <t>2.3.669.</t>
  </si>
  <si>
    <t>VZ-2022-000488</t>
  </si>
  <si>
    <t>2.6.Vodící dráty k vaskulárním neurointervencím II.</t>
  </si>
  <si>
    <t>VZ-2022-000496</t>
  </si>
  <si>
    <t>LP s obsahem imatinibu 2022</t>
  </si>
  <si>
    <t>1.1.-11.5.2023</t>
  </si>
  <si>
    <t>11.5.-31.12.2022</t>
  </si>
  <si>
    <t>1.1.-10.5.2025</t>
  </si>
  <si>
    <t>VZ-2022-000497</t>
  </si>
  <si>
    <r>
      <t>LP s obsahem pazopanibu 2022 -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</si>
  <si>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>SMLN-2022-617-000344
SMLN-2022-612-000077</t>
  </si>
  <si>
    <t>VZ-2022-000498</t>
  </si>
  <si>
    <t>Celotělový analyzátor</t>
  </si>
  <si>
    <t>2.2.480.</t>
  </si>
  <si>
    <t>SMLN-2022-617-000346
SMLN-2022-612-000078</t>
  </si>
  <si>
    <t>SMLN-2022-617-000347
SMLN-2022-612-000079</t>
  </si>
  <si>
    <t>SMLN-2022-617-000349
SMLN-2022-612-000080</t>
  </si>
  <si>
    <t>VZ-2022-000503-01</t>
  </si>
  <si>
    <t>Jiná imunostimulancia II. 2022</t>
  </si>
  <si>
    <t>VZ-2022-000503-02</t>
  </si>
  <si>
    <t xml:space="preserve">BACILLUS CALMETTE-GUERIN (BACILLUS CALMETTE-GUERIN) </t>
  </si>
  <si>
    <t xml:space="preserve">KAPTOPRIL </t>
  </si>
  <si>
    <t xml:space="preserve">
ENALAPRIL I.</t>
  </si>
  <si>
    <t xml:space="preserve">
ENALAPRIL II.</t>
  </si>
  <si>
    <t>PERINDOPRIL I.</t>
  </si>
  <si>
    <t>PERINDOPRIL II.</t>
  </si>
  <si>
    <t xml:space="preserve">
RAMIPRIL</t>
  </si>
  <si>
    <t xml:space="preserve">
FOSINOPRIL  </t>
  </si>
  <si>
    <t xml:space="preserve">TRANDOLAPRIL  </t>
  </si>
  <si>
    <t>VZ-2022-000504-01</t>
  </si>
  <si>
    <t>VZ-2022-000504-02</t>
  </si>
  <si>
    <t>VZ-2022-000504-03</t>
  </si>
  <si>
    <t>VZ-2022-000504-04</t>
  </si>
  <si>
    <t>VZ-2022-000504-05</t>
  </si>
  <si>
    <t>VZ-2022-000504-06</t>
  </si>
  <si>
    <t>VZ-2022-000504-07</t>
  </si>
  <si>
    <t>VZ-2022-000504-08</t>
  </si>
  <si>
    <t>ACE inhibitory 2022</t>
  </si>
  <si>
    <t>SULFAMETHOXAZOL A TRIMETHOPRIM I.</t>
  </si>
  <si>
    <t>SULFAMETHOXAZOL A TRIMETHOPRIM II.</t>
  </si>
  <si>
    <t>SULFAMETHOXAZOL A TRIMETHOPRIM III.</t>
  </si>
  <si>
    <t>VANKOMYCIN I.</t>
  </si>
  <si>
    <t>VANKOMYCIN II.</t>
  </si>
  <si>
    <t>VZ-2022-000506-01</t>
  </si>
  <si>
    <t>VZ-2022-000506-02</t>
  </si>
  <si>
    <t>VZ-2022-000506-03</t>
  </si>
  <si>
    <t>VZ-2022-000506-04</t>
  </si>
  <si>
    <t>VZ-2022-000506-05</t>
  </si>
  <si>
    <t>VZ-2022-000506-06</t>
  </si>
  <si>
    <t>Antibakteriální léčiva pro systémovou aplikaci VI. 2022</t>
  </si>
  <si>
    <t>SMLN-2022-612-000081</t>
  </si>
  <si>
    <t>SMLN-2022-617-000350</t>
  </si>
  <si>
    <t>SMLN-2022-617-000351</t>
  </si>
  <si>
    <t>SMLN-2022-617-000352</t>
  </si>
  <si>
    <t>VZ-2022-000502</t>
  </si>
  <si>
    <t>5.3. Mikrokatétry neurointervenční I.</t>
  </si>
  <si>
    <t>BTL zdravotnická technika, a.s.</t>
  </si>
  <si>
    <t>13.5.2022 zrušeno</t>
  </si>
  <si>
    <t>GENTAMICIN II</t>
  </si>
  <si>
    <t>VZ-2022-000507</t>
  </si>
  <si>
    <t>Flexibilní video-endoskopy</t>
  </si>
  <si>
    <t>VZ-2022-000508</t>
  </si>
  <si>
    <t xml:space="preserve">Poskytování licencí a služeb IS pro sběr a analýzu dat pro odhad radiační zátěže pacientů </t>
  </si>
  <si>
    <t>16.5.-31.12.2022</t>
  </si>
  <si>
    <t>1.1.-15.5.2024</t>
  </si>
  <si>
    <t>1.1.-15.5.2026</t>
  </si>
  <si>
    <t>1.1.-15.5.2025</t>
  </si>
  <si>
    <t>VZ-2022-000511</t>
  </si>
  <si>
    <t>Vozidlo na převoz krevních derivátů II.</t>
  </si>
  <si>
    <t>SMLN-2022-617-000354
SMLN-2022-612-000083</t>
  </si>
  <si>
    <t>VZ-2022-000512</t>
  </si>
  <si>
    <t>2.3.612.</t>
  </si>
  <si>
    <t>VZ-2022-000513</t>
  </si>
  <si>
    <t>Systém Articlip PRO2 k uzávěru ouška levé síně (LAA)</t>
  </si>
  <si>
    <t>VZ-2022-000514</t>
  </si>
  <si>
    <t>Analyzátor pro zpracování metody nepřímé imunofluorescence</t>
  </si>
  <si>
    <t>nová VZ-2022-000514</t>
  </si>
  <si>
    <t>VZ-2022-000515</t>
  </si>
  <si>
    <t>Automatické odpouštění vody II</t>
  </si>
  <si>
    <t>VZ-2022-000516</t>
  </si>
  <si>
    <t>Systém pro odvod operačních zplodin</t>
  </si>
  <si>
    <t>2.2.459.</t>
  </si>
  <si>
    <t>17.5.-31.12.2022</t>
  </si>
  <si>
    <t>VZ-2022-000517</t>
  </si>
  <si>
    <t>Servis hmotnostního spektrometru s plynovým chromatografem</t>
  </si>
  <si>
    <t>SMLN-2022-617-000355</t>
  </si>
  <si>
    <t>SMLN-2022-617-000356</t>
  </si>
  <si>
    <t>VZ-2022-000158</t>
  </si>
  <si>
    <t>LP s obsahem adalimumabu 2022</t>
  </si>
  <si>
    <t>Adalimumab I.</t>
  </si>
  <si>
    <t>Adalimumab II.</t>
  </si>
  <si>
    <t>Adalimumab III.</t>
  </si>
  <si>
    <t>VZ-2022-000520</t>
  </si>
  <si>
    <t>Komfortní transportní vícesegmentová lehátka II</t>
  </si>
  <si>
    <t>2.2.157; 2.3.528</t>
  </si>
  <si>
    <t>VZ-2022-000521</t>
  </si>
  <si>
    <t>Aplikátor klipů a klipy (Cor-Knot) k ukotvení stehů chlopenní náhrady</t>
  </si>
  <si>
    <t>19.5.-31.12.2022</t>
  </si>
  <si>
    <t>1.1.-18.5.2025</t>
  </si>
  <si>
    <t>SMLN-2022-617-000365
SMLN-2022-612-000087
SMLN-2022-617-000366</t>
  </si>
  <si>
    <t>SMLN-2022-617-000357</t>
  </si>
  <si>
    <t>SMLN-2022-617-000358</t>
  </si>
  <si>
    <t>SMLN-2022-617-000359</t>
  </si>
  <si>
    <t>SMLN-2022-617-000360</t>
  </si>
  <si>
    <t>SMLN-2022-617-000363</t>
  </si>
  <si>
    <t>SMLN-2022-617-000362
SMLN-2022-612-000086</t>
  </si>
  <si>
    <t>SMLN-2022-617-000361
SMLN-2022-612-000085</t>
  </si>
  <si>
    <t>SMLN-2022-612-000084</t>
  </si>
  <si>
    <t>SMLN-2022-617-000367
SMLN-2022-614-000045
SMLN-2022-616-000021</t>
  </si>
  <si>
    <t>1.1.-18.5.2026</t>
  </si>
  <si>
    <t>1.1.-16.5.2025</t>
  </si>
  <si>
    <t>1.1.-16.5.2026</t>
  </si>
  <si>
    <t>VZ-2022-000531</t>
  </si>
  <si>
    <t>Renovace bytových jednotek – Etapa II – budova AYD</t>
  </si>
  <si>
    <t>Sučička laboratorního skla</t>
  </si>
  <si>
    <t>23.5.-31.12.2022</t>
  </si>
  <si>
    <t>1.1.-22.5.2025</t>
  </si>
  <si>
    <t>23.5.2022 zrušeno</t>
  </si>
  <si>
    <t>VZ-2022-000536-01</t>
  </si>
  <si>
    <t>VZ-2022-000536-02</t>
  </si>
  <si>
    <t>VZ-2022-000536-03</t>
  </si>
  <si>
    <t>2.3.623.</t>
  </si>
  <si>
    <t>2.3.624.</t>
  </si>
  <si>
    <t>2.3.626.</t>
  </si>
  <si>
    <t>VZ-2022-000535</t>
  </si>
  <si>
    <t>Nábytek na míru – Infekční oddělení FNOL</t>
  </si>
  <si>
    <t>24.5.-31.12.2022</t>
  </si>
  <si>
    <t>1.1.-23.5.2025</t>
  </si>
  <si>
    <r>
      <t xml:space="preserve">LP s obsahem ofatumumabu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</si>
  <si>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ekulizumabu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</si>
  <si>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Stolní svářečky pro sváření hadiček krevních vaků</t>
  </si>
  <si>
    <t>Automatické protahovací kleště hadiček krevních vaků</t>
  </si>
  <si>
    <t>Stolní sterilní svářečka pro spojení hadiček krevních vaků</t>
  </si>
  <si>
    <t>VZ-2022-000541</t>
  </si>
  <si>
    <t>Set k implantaci - chlopeň Intuity Elite bovinní bezstehová</t>
  </si>
  <si>
    <t>VZ-2022-000542</t>
  </si>
  <si>
    <t>Materiál spotřební nCPAP k přístroji Babylog VN 500 Dräger II</t>
  </si>
  <si>
    <t>VZ-2022-000545</t>
  </si>
  <si>
    <t>Kit PSMA</t>
  </si>
  <si>
    <t>VZ-2022-000551</t>
  </si>
  <si>
    <t>LP s obsahem lenalidomidu IV. 2022</t>
  </si>
  <si>
    <t>VZ-2022-000543</t>
  </si>
  <si>
    <t>2.2.461.;2.2.640.;2.2.641.; 2.2.670.; 2.2.398.</t>
  </si>
  <si>
    <t>VZ-2022-000548</t>
  </si>
  <si>
    <t>Příslušenství k endoskopickým věžím</t>
  </si>
  <si>
    <t>2.2463.; 2.3.633.</t>
  </si>
  <si>
    <t>SMLN-2022-617-000370</t>
  </si>
  <si>
    <t>SMLN-2022-618-000030</t>
  </si>
  <si>
    <t>25.5.2022 zrušeno</t>
  </si>
  <si>
    <t>26.5.-31.12.2022</t>
  </si>
  <si>
    <t>25.5.-31.12.2022</t>
  </si>
  <si>
    <t>1.1.-24.5.2025</t>
  </si>
  <si>
    <t>1.1.-24.5.2026</t>
  </si>
  <si>
    <t>27.5.-31.12.2022</t>
  </si>
  <si>
    <t>1.1.-26.5.2025</t>
  </si>
  <si>
    <t>MedSystem s.r.o.</t>
  </si>
  <si>
    <t>INSTA CZ, s.r.o.</t>
  </si>
  <si>
    <t>VZ-2022-000554</t>
  </si>
  <si>
    <t>Digitální transformace klinických procesů formou nemocničního informačního systému</t>
  </si>
  <si>
    <r>
      <rPr>
        <b/>
        <sz val="11"/>
        <color rgb="FFFF0000"/>
        <rFont val="Calibri"/>
        <family val="2"/>
        <charset val="238"/>
        <scheme val="minor"/>
      </rPr>
      <t>VZ-2021-001044 zrušeno</t>
    </r>
    <r>
      <rPr>
        <b/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rgb="FFFF0000"/>
        <rFont val="Calibri"/>
        <family val="2"/>
        <charset val="238"/>
        <scheme val="minor"/>
      </rPr>
      <t>VZ-2021-001309 zrušeno</t>
    </r>
    <r>
      <rPr>
        <b/>
        <sz val="11"/>
        <color theme="1"/>
        <rFont val="Calibri"/>
        <family val="2"/>
        <charset val="238"/>
        <scheme val="minor"/>
      </rPr>
      <t xml:space="preserve">
</t>
    </r>
    <r>
      <rPr>
        <sz val="11"/>
        <color theme="1"/>
        <rFont val="Calibri"/>
        <family val="2"/>
        <charset val="238"/>
        <scheme val="minor"/>
      </rPr>
      <t>VZ-2022-000249</t>
    </r>
  </si>
  <si>
    <t>SMLN-2022-617-000371
SMLN-2022-612-000088
SMLN-2022-617-000372</t>
  </si>
  <si>
    <t>SMLN-2022-617-000373</t>
  </si>
  <si>
    <t>VZ-2022-000555</t>
  </si>
  <si>
    <t>SMLN-2022-617-000375
SMLN-2022-612-000089
SMLN-2022-617-000376</t>
  </si>
  <si>
    <t>VZ-2022-000557</t>
  </si>
  <si>
    <t>PD - stavební úpravy budovy E</t>
  </si>
  <si>
    <t>1.2.90.</t>
  </si>
  <si>
    <t>30.5.-31.12.2022</t>
  </si>
  <si>
    <t>1.1.-29.5.2025</t>
  </si>
  <si>
    <t>1.1.- 29.5.2025</t>
  </si>
  <si>
    <t>1.1.-29.5.2026</t>
  </si>
  <si>
    <t>zrušeno - dle hodnocení si zaměstnanci nechtějí změnu obuvi</t>
  </si>
  <si>
    <t>Active Colour s.r.o.</t>
  </si>
  <si>
    <t>SMLN-2022-617-000378</t>
  </si>
  <si>
    <t>VZ-2022-000562</t>
  </si>
  <si>
    <t>Servis EKV,EZS,CCTV</t>
  </si>
  <si>
    <t>VZ-2022-000564</t>
  </si>
  <si>
    <t>Dodávka kancelářských zařízení pro kopírování, skenování a tisk</t>
  </si>
  <si>
    <t>3.2.55.</t>
  </si>
  <si>
    <t>VZ-2022-000565</t>
  </si>
  <si>
    <t>Katetry radiofrekvenční včetně výpůjčky generátoru a fixační desky (WAVELINQ EndoAVF Systém)</t>
  </si>
  <si>
    <t>31.5.-31.12.2022</t>
  </si>
  <si>
    <t>1.1.-30.5.2025</t>
  </si>
  <si>
    <t>Mobilní infuzní pumpy pro parenterální výživu - Spotřební materiál</t>
  </si>
  <si>
    <t>zrušeno - překročení limitu VZMR</t>
  </si>
  <si>
    <t>SMLN-2022-617-000379
SMLN-2022-614-000046</t>
  </si>
  <si>
    <t>SMLN-2022-617-000380
SMLN-2022-614-000047</t>
  </si>
  <si>
    <t>Ústav radiačnej ochrany, s.r.o.</t>
  </si>
  <si>
    <t>SMLN-2022-618-000031</t>
  </si>
  <si>
    <t>VZ-2022-000572</t>
  </si>
  <si>
    <t>Uzavřený odběrový systém</t>
  </si>
  <si>
    <t>VZ-2022-000351-01</t>
  </si>
  <si>
    <t>VZ-2022-000351-02</t>
  </si>
  <si>
    <t>VZ-2022-000351-03</t>
  </si>
  <si>
    <t>VZ-2022-000573</t>
  </si>
  <si>
    <t>Myčka obuvi</t>
  </si>
  <si>
    <t>Centrifuga pro Hemato-onkologickou kliniku</t>
  </si>
  <si>
    <t>2.3.659.</t>
  </si>
  <si>
    <t>SMLN-2022-612-000091</t>
  </si>
  <si>
    <t>VZ-2022-000574</t>
  </si>
  <si>
    <t>Insulin  Lispro 2022</t>
  </si>
  <si>
    <t xml:space="preserve">Vitamín K a jiná hemostatika 2022 </t>
  </si>
  <si>
    <t>VZ-2022-000575-01</t>
  </si>
  <si>
    <t>VZ-2022-000575-02</t>
  </si>
  <si>
    <t>VZ-2022-000575-03</t>
  </si>
  <si>
    <t>VZ-2022-000575-04</t>
  </si>
  <si>
    <t xml:space="preserve">
FYTOMENADION I.</t>
  </si>
  <si>
    <t xml:space="preserve">
FYTOMENADION II.</t>
  </si>
  <si>
    <t xml:space="preserve">FIBRINOGEN, APROTININ, THROMBIN, CHLORID VÁPENATÝ </t>
  </si>
  <si>
    <t>FIBRINOGEN, THROMBIN</t>
  </si>
  <si>
    <t xml:space="preserve">HYDROXYKARBAMID </t>
  </si>
  <si>
    <t>TRETINOIN</t>
  </si>
  <si>
    <t xml:space="preserve">
MITOTAN  </t>
  </si>
  <si>
    <t>VZ-2022-000576-01</t>
  </si>
  <si>
    <t>VZ-2022-000576-02</t>
  </si>
  <si>
    <t>VZ-2022-000576-03</t>
  </si>
  <si>
    <t>Jiná cytostatika III. 2022</t>
  </si>
  <si>
    <t>VZ-2022-000577</t>
  </si>
  <si>
    <t>12. Systém perkutánních endoskopických stomií PEG/PEJ</t>
  </si>
  <si>
    <t>VZ-2022-000578</t>
  </si>
  <si>
    <t>Systém pro intraoperační neuromonitorace</t>
  </si>
  <si>
    <t>OHLA ŽS, a.s.</t>
  </si>
  <si>
    <t>VZ-2022-000581</t>
  </si>
  <si>
    <t xml:space="preserve">8. Injektory jednorázové endoskopické </t>
  </si>
  <si>
    <t>SMLN-2022-617-000382
SMLN-2022-612-000093</t>
  </si>
  <si>
    <t>SMLN-2022-617-000383
SMLN-2022-612-000094
SMLN-2022-617-000384</t>
  </si>
  <si>
    <t>SMLN-2022-617-000385
SMLN-2022-612-000095</t>
  </si>
  <si>
    <t>SMLN-2022-617-000386
SMLN-2022-612-000096</t>
  </si>
  <si>
    <t>VZ-2022-000584</t>
  </si>
  <si>
    <t>Mykologický analyzátor II</t>
  </si>
  <si>
    <t>VZ-2022-000585</t>
  </si>
  <si>
    <t>VZ-2022-000586</t>
  </si>
  <si>
    <t>Materiál spotřební k systému na stanovení ACT II</t>
  </si>
  <si>
    <t>VZ-2022-000587</t>
  </si>
  <si>
    <t>Aplikátory klipů a klipy (Cor-Knot) k ukotvení stehů chlopenní náhrady</t>
  </si>
  <si>
    <t>nová VZ-2022-000587</t>
  </si>
  <si>
    <t>SMLN-2022-618-000033</t>
  </si>
  <si>
    <t>SMLN-2022-617-000389
SMLN-2022-614-000048</t>
  </si>
  <si>
    <t>SMLN-2022-617-000390
SMLN-2022-614-000049</t>
  </si>
  <si>
    <t>VZ-2022-000589</t>
  </si>
  <si>
    <t>Dodávka licencí zálohovacího SW</t>
  </si>
  <si>
    <t>Merck Life Science spol. s r.o.</t>
  </si>
  <si>
    <t>6.6.-31.12.2022</t>
  </si>
  <si>
    <t>1.1.-5.6.2025</t>
  </si>
  <si>
    <t>1.1.-5.6.2024</t>
  </si>
  <si>
    <t>7.6.-31.12.2022</t>
  </si>
  <si>
    <t>1.1.-6.6.2025</t>
  </si>
  <si>
    <t>SMLN-2022-617-000392
SMLN-2022-612-000098</t>
  </si>
  <si>
    <t>7.6.2022 zrušeno</t>
  </si>
  <si>
    <t>VZ-2022-000595</t>
  </si>
  <si>
    <t>Osteosyntetický materiál pro TRAU pracoviště COS</t>
  </si>
  <si>
    <t>33183100-7</t>
  </si>
  <si>
    <t>DS Soft Olomouc, spol. s r.o.</t>
  </si>
  <si>
    <t>ZT - MEX</t>
  </si>
  <si>
    <t>Nákup sanitních vozidel 2022</t>
  </si>
  <si>
    <t>Sanitní vozidlo DNR typu A2 s pohonem všech kol</t>
  </si>
  <si>
    <t>VZ-2022-000146</t>
  </si>
  <si>
    <t>12. Stenty vaskulární - 4. Balónexpandibilní stenty vaskulární II.</t>
  </si>
  <si>
    <t>VZ-2022-000602</t>
  </si>
  <si>
    <t>Elektromyografický přístroj s evokovanými potenciály</t>
  </si>
  <si>
    <t>33121300-7</t>
  </si>
  <si>
    <t>2.3.667.</t>
  </si>
  <si>
    <t>VZ-2022-000603</t>
  </si>
  <si>
    <t>BRANTAL, spol. s r.o.</t>
  </si>
  <si>
    <t>VZ-2022-000605</t>
  </si>
  <si>
    <t>Kardiostimulátor pro optimalizaci průběhu kalciového gradientu u pacientů s pokročilým srdečním selháním</t>
  </si>
  <si>
    <t>8.6.-31.12.2022</t>
  </si>
  <si>
    <t>1.1.-7.6.2025</t>
  </si>
  <si>
    <t>Auto Kubíček s.r.o.</t>
  </si>
  <si>
    <t>VZ-2022-000606-01</t>
  </si>
  <si>
    <t>VZ-2022-000606-02</t>
  </si>
  <si>
    <t>VZ-2022-000606-03</t>
  </si>
  <si>
    <t>VZ-2022-000606-04</t>
  </si>
  <si>
    <t>2.2.464.,2.3.606</t>
  </si>
  <si>
    <t>2.2.487.,2.2.475</t>
  </si>
  <si>
    <t>2.3.673.</t>
  </si>
  <si>
    <t>2.3.604.</t>
  </si>
  <si>
    <t>SMLN-2022-618-000035</t>
  </si>
  <si>
    <t>VZ-2022-000610</t>
  </si>
  <si>
    <t>Set HLS pro krátkodobou srdeční podporu k přístroji CARDIOHELP</t>
  </si>
  <si>
    <t>SMLN-2022-612-000099</t>
  </si>
  <si>
    <t>9.6.2022 zrušeno</t>
  </si>
  <si>
    <t>SMLN-2022-617-000396
SMLN-2022-612-000100</t>
  </si>
  <si>
    <t>SMLN-2022-617-000397
SMLN-2022-612-000101</t>
  </si>
  <si>
    <t>SMLN-2022-617-000398
SMLN-2022-612-000102</t>
  </si>
  <si>
    <t>Intraorální přístroj s přímou digitalizací</t>
  </si>
  <si>
    <t>Digitální skiagrafický systém</t>
  </si>
  <si>
    <t>Skiaskopicko-skiagrafický digitální RTG systém</t>
  </si>
  <si>
    <t>VZ-2022-000617-01</t>
  </si>
  <si>
    <t>Kanyly k oxygenerátorům</t>
  </si>
  <si>
    <t>Kanyly k oxygenerátorům I.</t>
  </si>
  <si>
    <t>VZ-2022-000617-02</t>
  </si>
  <si>
    <t>VZ-2022-000617-03</t>
  </si>
  <si>
    <t>Kanyly k oxygenerátorům II.</t>
  </si>
  <si>
    <t>Kanyly k oxygenerátorům III.</t>
  </si>
  <si>
    <t>SMLN-2022-617-000401</t>
  </si>
  <si>
    <t>SMLN-2022-617-000400
SMLN-2022-614-000050</t>
  </si>
  <si>
    <t>SMLN-2022-617-000402</t>
  </si>
  <si>
    <t>SMLN-2022-618-000036</t>
  </si>
  <si>
    <t>13.6.-31.12.2022</t>
  </si>
  <si>
    <t>1.1.-12.6.2024</t>
  </si>
  <si>
    <t>SMLN-2022-617-000405
SMLN-2022-614-000051
SMLN-2022-616-000024</t>
  </si>
  <si>
    <t>SMLN-2022-617-000404
SMLN-2022-612-000104</t>
  </si>
  <si>
    <t>1.1.-12.6.2025</t>
  </si>
  <si>
    <t>Opioidní analgetika 2022</t>
  </si>
  <si>
    <t xml:space="preserve">PIRITRAMID </t>
  </si>
  <si>
    <t xml:space="preserve">NALBUFIN </t>
  </si>
  <si>
    <t xml:space="preserve">TRAMADOL A PARACETAMOL  </t>
  </si>
  <si>
    <t xml:space="preserve">TRAMADOL A DEXKETOPROFEN  </t>
  </si>
  <si>
    <t xml:space="preserve">TRAMADOL I. </t>
  </si>
  <si>
    <t>TRAMADOL II.</t>
  </si>
  <si>
    <t>TRAMADOL III.</t>
  </si>
  <si>
    <t>TRAMADOL IV.</t>
  </si>
  <si>
    <t>VZ-2022-000629-01</t>
  </si>
  <si>
    <t>VZ-2022-000629-02</t>
  </si>
  <si>
    <t>VZ-2022-000629-03</t>
  </si>
  <si>
    <t>VZ-2022-000629-04</t>
  </si>
  <si>
    <t>VZ-2022-000629-05</t>
  </si>
  <si>
    <t>VZ-2022-000629-06</t>
  </si>
  <si>
    <t>VZ-2022-000629-07</t>
  </si>
  <si>
    <t>VZ-2022-000629-08</t>
  </si>
  <si>
    <t>VZ-2022-000628-01</t>
  </si>
  <si>
    <t>VZ-2022-000628-02</t>
  </si>
  <si>
    <t>VZ-2022-000628-03</t>
  </si>
  <si>
    <t>Jiná gynekologika 2022</t>
  </si>
  <si>
    <t>VZ-2022-000628-04</t>
  </si>
  <si>
    <t>VZ-2022-000628-05</t>
  </si>
  <si>
    <t>VZ-2022-000628-06</t>
  </si>
  <si>
    <t>VZ-2022-000628-07</t>
  </si>
  <si>
    <t>VZ-2022-000628-08</t>
  </si>
  <si>
    <t>VZ-2022-000628-09</t>
  </si>
  <si>
    <t xml:space="preserve">KARBOPROST  </t>
  </si>
  <si>
    <t>MISOPROSTOL I.</t>
  </si>
  <si>
    <t>MISOPROSTOL II.</t>
  </si>
  <si>
    <t>DINOPROSTON II.</t>
  </si>
  <si>
    <t>DINOPROSTON I.</t>
  </si>
  <si>
    <t xml:space="preserve">METHYLERGOMETRIN </t>
  </si>
  <si>
    <t>HEXOPRENALIN-SULFÁT</t>
  </si>
  <si>
    <t xml:space="preserve">KABERGOLIN  </t>
  </si>
  <si>
    <t xml:space="preserve">ATOSIBAN </t>
  </si>
  <si>
    <t>33641200-7</t>
  </si>
  <si>
    <t>VZ-2022-000630-01</t>
  </si>
  <si>
    <t>VZ-2022-000630-02</t>
  </si>
  <si>
    <t>VZ-2022-000630-03</t>
  </si>
  <si>
    <t>VZ-2022-000631-01</t>
  </si>
  <si>
    <t>VZ-2022-000631-02</t>
  </si>
  <si>
    <t>VZ-2022-000631-03</t>
  </si>
  <si>
    <t>Perorální antidiabetika I. 2022</t>
  </si>
  <si>
    <t>Perorální antidiabetika II. 2022</t>
  </si>
  <si>
    <t xml:space="preserve">METFORMIN A VILDAGLIPTIN </t>
  </si>
  <si>
    <t xml:space="preserve">METFORMIN A LINAGLIPTIN </t>
  </si>
  <si>
    <t xml:space="preserve">METFORMIN A SITAGLIPTIN </t>
  </si>
  <si>
    <t>33615000-4</t>
  </si>
  <si>
    <t xml:space="preserve">METFORMIN A KANAGLIFLOZIN </t>
  </si>
  <si>
    <t xml:space="preserve">METFORMIN A EMPAGLIFLOZIN </t>
  </si>
  <si>
    <t xml:space="preserve">METFORMIN A DAPAGLIFLOZIN </t>
  </si>
  <si>
    <t>Surgicare s.r.o.</t>
  </si>
  <si>
    <t>Perfect Distribution a.s.</t>
  </si>
  <si>
    <t>SMLN-2022-617-000407
SMLN-2022-614-000052</t>
  </si>
  <si>
    <t>nová VZ-2022-000542</t>
  </si>
  <si>
    <t>nová VZ-2022-000511</t>
  </si>
  <si>
    <t>SMLN-2022-617-000408
SMLN-2022-612-000105</t>
  </si>
  <si>
    <t>SKARAB, s.r.o.</t>
  </si>
  <si>
    <t>VZ-2022-000639</t>
  </si>
  <si>
    <t>Systém detekční - gama sonda</t>
  </si>
  <si>
    <t>33121200-6</t>
  </si>
  <si>
    <t>2.2.458.</t>
  </si>
  <si>
    <t>Pohřební služba MISERICORDIA s.r.o.</t>
  </si>
  <si>
    <t>VZ-2022-000641</t>
  </si>
  <si>
    <t>Pacientská vážící podložka</t>
  </si>
  <si>
    <t>2.3.450.</t>
  </si>
  <si>
    <t>VZ-2022-000643-01</t>
  </si>
  <si>
    <t>VZ-2022-000643-02</t>
  </si>
  <si>
    <t>Elektrochirurgické generátory)</t>
  </si>
  <si>
    <t>Elektrochirurgické generátory</t>
  </si>
  <si>
    <t>2 ks elektrochirurgického generátoru pro COSS a I.IK(OS)</t>
  </si>
  <si>
    <t>Elektrochirurgický generátor pro Urologickou kliniku</t>
  </si>
  <si>
    <t>2.3.601., 2.3.629.</t>
  </si>
  <si>
    <t>2.3.632.</t>
  </si>
  <si>
    <t>VZ-2022-000644</t>
  </si>
  <si>
    <t>Dopplerovský monitor průtoku krve</t>
  </si>
  <si>
    <t>2.2.454.</t>
  </si>
  <si>
    <t>Centrální monitorovací systém včetně navýšení počtu pacientských licencí</t>
  </si>
  <si>
    <t>Monitory vitálních funkcí - Traumabox a Infekční ambulance</t>
  </si>
  <si>
    <t>Monitory vitálních funkcí s centrálním monitorem</t>
  </si>
  <si>
    <t>Transportní monitor</t>
  </si>
  <si>
    <t>VZ-2022-000645-01</t>
  </si>
  <si>
    <t>VZ-2022-000645-02</t>
  </si>
  <si>
    <t>VZ-2022-000645-03</t>
  </si>
  <si>
    <t>VZ-2022-000646-01</t>
  </si>
  <si>
    <t>VZ-2022-000646-02</t>
  </si>
  <si>
    <t>VZ-2022-000646-03</t>
  </si>
  <si>
    <t>VZ-2022-000646-04</t>
  </si>
  <si>
    <r>
      <t xml:space="preserve">Somatropin a agonisté somatropinu I.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</si>
  <si>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Somatropin a agonisté somatropinu II.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</si>
  <si>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Somatropin I.</t>
  </si>
  <si>
    <t>Somatropin II.</t>
  </si>
  <si>
    <t>Somatropin III.</t>
  </si>
  <si>
    <t>Somatropin IV.</t>
  </si>
  <si>
    <t>Somatropin V.</t>
  </si>
  <si>
    <t>Somatropin VI.</t>
  </si>
  <si>
    <t>Somatropin VII.</t>
  </si>
  <si>
    <t>VZ-2022-000648</t>
  </si>
  <si>
    <r>
      <t xml:space="preserve">LP s obsahem sufentanilu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</si>
  <si>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VZ-2022-000649</t>
  </si>
  <si>
    <t>Agonisté dopaminu I. 2022</t>
  </si>
  <si>
    <t>VZ-2022-000650-01</t>
  </si>
  <si>
    <t>VZ-2022-000650-02</t>
  </si>
  <si>
    <t>Agonisté dopaminu II. 2022</t>
  </si>
  <si>
    <t>PRAMIPEXOL</t>
  </si>
  <si>
    <t>VZ-2022-000651-01</t>
  </si>
  <si>
    <t>VZ-2022-000651-02</t>
  </si>
  <si>
    <t>VZ-2022-000651-03</t>
  </si>
  <si>
    <t>VZ-2022-000651-04</t>
  </si>
  <si>
    <t>VZ-2022-000651-05</t>
  </si>
  <si>
    <t>VZ-2022-000651-06</t>
  </si>
  <si>
    <t>Extrakty alergenů 2022</t>
  </si>
  <si>
    <t>ALERGENOVÝ EXTRAKT Z TRAVNÍHO PYLU</t>
  </si>
  <si>
    <t>ALERGENY Z TRAVNÍCH PYLŮ</t>
  </si>
  <si>
    <t>ALERGENY Z PYLU BŘÍZY</t>
  </si>
  <si>
    <t>DOMÁCÍ PRACH, ROZTOČI</t>
  </si>
  <si>
    <t>RŮZNÉ ALERGENY I.</t>
  </si>
  <si>
    <t>RŮZNÉ ALERGENY II.</t>
  </si>
  <si>
    <t>VZ-2022-000626</t>
  </si>
  <si>
    <t xml:space="preserve">Enterální výživa - materiál spotřební k aplikaci </t>
  </si>
  <si>
    <t>VZ-2022-000653</t>
  </si>
  <si>
    <t>Úprava rozvodů ÚT - budova I - I.Etapa</t>
  </si>
  <si>
    <t>VZ-2022-000654</t>
  </si>
  <si>
    <t>Modernizace systémů MetaSystems</t>
  </si>
  <si>
    <t>SMLN-2022-617-000410
SMLN-2022-612-000106</t>
  </si>
  <si>
    <t>SMLN-2022-617-000411</t>
  </si>
  <si>
    <t>VZ-2022-000656</t>
  </si>
  <si>
    <t>Kancelářský papír 2022</t>
  </si>
  <si>
    <t>SMLN-2022-617-000412
SMLN-2022-614-000053</t>
  </si>
  <si>
    <t>SMLN-2022-617-000413</t>
  </si>
  <si>
    <t>VZ-2022-000657</t>
  </si>
  <si>
    <t>Vrtáky diamantové k vrtačce Midas Rex</t>
  </si>
  <si>
    <t>17.6.-31.12.2022</t>
  </si>
  <si>
    <t>1.1.-16.6.2025</t>
  </si>
  <si>
    <t>SMLN-2022-617-000414</t>
  </si>
  <si>
    <t>OLYMPUS CZECH GROUP, s.r.o., člen koncernu</t>
  </si>
  <si>
    <t>VZ-2022-000663</t>
  </si>
  <si>
    <t>VZ-2022-000665-01</t>
  </si>
  <si>
    <t>VZ-2022-000665-02</t>
  </si>
  <si>
    <t>VZ-2022-000665-03</t>
  </si>
  <si>
    <t>VZ-2022-000665-04</t>
  </si>
  <si>
    <t>VZ-2022-000665-05</t>
  </si>
  <si>
    <t>VZ-2022-000665-06</t>
  </si>
  <si>
    <t>VZ-2022-000665-07</t>
  </si>
  <si>
    <t>Antiagregancia 2022</t>
  </si>
  <si>
    <t xml:space="preserve">KLOPIDOGREL </t>
  </si>
  <si>
    <t>KYSELINA ACETYLSALICYLOVÁ I.</t>
  </si>
  <si>
    <t>KYSELINA ACETYLSALICYLOVÁ II.</t>
  </si>
  <si>
    <t>KYSELINA ACETYLSALICYLOVÁ S INDIKACÍ LÉČBY AKUTNÍHO INFARKTU MYOKARDU</t>
  </si>
  <si>
    <t>KYSELINA ACETYLSALICYLOVÁ A GLYCIN</t>
  </si>
  <si>
    <t xml:space="preserve">RACEMICKÝ LYSIN-ACETYLSALICYLÁT </t>
  </si>
  <si>
    <t xml:space="preserve">EPTIFIBATID </t>
  </si>
  <si>
    <t>LP s obsahem everolimu a deferasiroxu 2022</t>
  </si>
  <si>
    <t>VZ-2022-000667-01</t>
  </si>
  <si>
    <t>VZ-2022-000667-02</t>
  </si>
  <si>
    <t xml:space="preserve">EVEROLIMUS  </t>
  </si>
  <si>
    <t>VZ-2022-000669</t>
  </si>
  <si>
    <t>Systém pro kvantitativní koronární analýzu</t>
  </si>
  <si>
    <t>2.3.653.</t>
  </si>
  <si>
    <t>33111710-1</t>
  </si>
  <si>
    <t>20.6.-31.12.2022</t>
  </si>
  <si>
    <t>1.1.-19.6.2026</t>
  </si>
  <si>
    <t>1.1.-19.6.2025</t>
  </si>
  <si>
    <t>21.6.-31.12.2022</t>
  </si>
  <si>
    <t>VZ-2022-000674</t>
  </si>
  <si>
    <t>Hybridní matrace</t>
  </si>
  <si>
    <t>VZ-2022-000675</t>
  </si>
  <si>
    <t>Modelace trávícího traktu</t>
  </si>
  <si>
    <t>4.2.181.</t>
  </si>
  <si>
    <t>2.3.513.</t>
  </si>
  <si>
    <t>VZ-2022-000676</t>
  </si>
  <si>
    <t>Analyzátor mateřského mléka MIRIS</t>
  </si>
  <si>
    <t>2.2.451.</t>
  </si>
  <si>
    <t>VZ-2022-000677-01</t>
  </si>
  <si>
    <t>VZ-2022-000677-02</t>
  </si>
  <si>
    <t>Mikroskopy IV.</t>
  </si>
  <si>
    <t>2.3.668.</t>
  </si>
  <si>
    <t>2.2.478.</t>
  </si>
  <si>
    <t>Skenovací mikroskop pro II. IK</t>
  </si>
  <si>
    <t>Upgrade mikroskopu pro HOK</t>
  </si>
  <si>
    <t>SMLN-2022-617-000419
SMLN-2022-612-000108
SMLN-2022-617-000420</t>
  </si>
  <si>
    <t>SMLN-2022-617-000418
SMLN-2022-612-000107</t>
  </si>
  <si>
    <t>VZ-2022-000679</t>
  </si>
  <si>
    <t>Protézy cévní pletené se stříbrem a antimikrobiální látkou Triclosanem</t>
  </si>
  <si>
    <t>zrušeno - chyba v PD</t>
  </si>
  <si>
    <t>Performa Medical, s.r.o.</t>
  </si>
  <si>
    <t>VZ-2022-000681-01</t>
  </si>
  <si>
    <t xml:space="preserve">Kombinovaný přístroj elektroléčba a ultrazvuk </t>
  </si>
  <si>
    <t>3 ks zařízení pro fyzikální terapii</t>
  </si>
  <si>
    <t>2.3.655.</t>
  </si>
  <si>
    <t>VZ-2022-000681-02</t>
  </si>
  <si>
    <t>2.3.619.</t>
  </si>
  <si>
    <t xml:space="preserve"> 1 ks zařízení s EMG modulem pro fyzikální terapii</t>
  </si>
  <si>
    <t>SMLN-2022-618-000040</t>
  </si>
  <si>
    <t>VZ-2022-000683-01</t>
  </si>
  <si>
    <t xml:space="preserve">Systém pro katetrovou implantaci aortální chlopně (TAVI) - sdružený nákup </t>
  </si>
  <si>
    <t>VZ-2022-000683-02</t>
  </si>
  <si>
    <t>VZ-2022-000683-03</t>
  </si>
  <si>
    <t>VZ-2022-000683-04</t>
  </si>
  <si>
    <t>Systém pro katetrovou implantaci aortální chlopně (TAVI) – samoexpandibilní I.</t>
  </si>
  <si>
    <t>Systém pro katetrovou implantaci aortální chlopně (TAVI) – samoexpandibilní II.</t>
  </si>
  <si>
    <t>Systém pro katetrovou implantaci aortální chlopně (TAVI) – balónexpandibilní I.</t>
  </si>
  <si>
    <t>Systém pro katetrovou implantaci aortální chlopně (TAVI) – balónexpandibilní II.</t>
  </si>
  <si>
    <t>VZ-2022-000683</t>
  </si>
  <si>
    <t>Scenario s.r.o.</t>
  </si>
  <si>
    <t>VZ-2022-000685</t>
  </si>
  <si>
    <t>Flexibilní cystoskopy a ureterorenoskopy pro Urologickou kliniku</t>
  </si>
  <si>
    <t>SMLN-2022-618-000029</t>
  </si>
  <si>
    <t>SMLN-2022-617-000425
SMLN-2022-614-000054</t>
  </si>
  <si>
    <t>VZ-2022-000687</t>
  </si>
  <si>
    <t>Kardiostimulátory biventrikulární s TVI pro I.IK</t>
  </si>
  <si>
    <t>1.7.-31.12.2022</t>
  </si>
  <si>
    <t>1.1.-30.6.2027</t>
  </si>
  <si>
    <t>SMLN-2022-617-000295
SMLN-2022-614-000042
SMLN-2022-617-000297</t>
  </si>
  <si>
    <t>23.6.-31.12.2022</t>
  </si>
  <si>
    <t>1.1.-22.6.2025</t>
  </si>
  <si>
    <t>VZ-2022-000691</t>
  </si>
  <si>
    <t>Katetr Zoll Icy 3 lumen k přístroji pro hypotermii ALSIUS THERMOGARD XP pro I.IK</t>
  </si>
  <si>
    <t>YBUX s.r.o.</t>
  </si>
  <si>
    <t>SMLN-2022-617-000427
SMLN-2022-612-000109</t>
  </si>
  <si>
    <t>nová VZ-2022-000584</t>
  </si>
  <si>
    <t>INTERDENT s.r.o.</t>
  </si>
  <si>
    <t>VZ-2022-000699</t>
  </si>
  <si>
    <t>Rouškovací sety pro Neurochirurgickou kliniku</t>
  </si>
  <si>
    <t>SMLN-2022-617-000381
SMLN-2022-612-000092</t>
  </si>
  <si>
    <t>SMLN-2022-617-000431
SMLN-2022-612-000112</t>
  </si>
  <si>
    <t>SMLN-2022-617-000434
SMLN-2022-612-000115</t>
  </si>
  <si>
    <t>SMLN-2022-617-000435
SMLN-2022-612-000116</t>
  </si>
  <si>
    <t>SMLN-2022-617-000432
SMLN-2022-612-000113</t>
  </si>
  <si>
    <t>SMLN-2022-617-000433
SMLN-2022-612-000114</t>
  </si>
  <si>
    <t>SMLN-2022-612-000111</t>
  </si>
  <si>
    <t>SMLN-2022-617-000436</t>
  </si>
  <si>
    <t>SMLN-2022-617-000437</t>
  </si>
  <si>
    <t>Dodatek ?</t>
  </si>
  <si>
    <t>VZ-2022-000704</t>
  </si>
  <si>
    <t>2.2.484.</t>
  </si>
  <si>
    <t>Dräger Medical, s.r.o.</t>
  </si>
  <si>
    <t>VZ-2022-000707</t>
  </si>
  <si>
    <t>Automatické IHC a ISH barvení s výpůjčkou abarvících automatů</t>
  </si>
  <si>
    <t>VZ-2022-000706</t>
  </si>
  <si>
    <t>Upgrade telefonního systému</t>
  </si>
  <si>
    <t>3.2.62.</t>
  </si>
  <si>
    <t>VZ-2022-000680</t>
  </si>
  <si>
    <t>LP s obsahem remdesiviru 2022 II.</t>
  </si>
  <si>
    <t>nová VZ-2022-000680</t>
  </si>
  <si>
    <t>28.6.-31.12.2022</t>
  </si>
  <si>
    <t>SMLN-2022-617-000440</t>
  </si>
  <si>
    <t>28.6.2022 zrušeno</t>
  </si>
  <si>
    <t>VZ-2022-000713-01</t>
  </si>
  <si>
    <t>VZ-2022-000713-02</t>
  </si>
  <si>
    <t>VZ-2022-000713-03</t>
  </si>
  <si>
    <t>VZ-2022-000713-04</t>
  </si>
  <si>
    <t>Gonadotropiny 2022</t>
  </si>
  <si>
    <t>MENOTROPIN</t>
  </si>
  <si>
    <t>FOLITROPIN ALFA</t>
  </si>
  <si>
    <t>CHORIONGONADOTROPIN ALFA</t>
  </si>
  <si>
    <t>GONADOTROPINY v KOMBINACI</t>
  </si>
  <si>
    <t>33641300-8</t>
  </si>
  <si>
    <t>2.4.231</t>
  </si>
  <si>
    <t>VZ-2022-000714</t>
  </si>
  <si>
    <t>Blokátory receptorů pro angoitensin II 2022</t>
  </si>
  <si>
    <t>VZ-2022-000715-01</t>
  </si>
  <si>
    <t>VZ-2022-000715-02</t>
  </si>
  <si>
    <t xml:space="preserve">Hormony zadního laloku hypofýzy 2022 </t>
  </si>
  <si>
    <t>OXYTOCIN</t>
  </si>
  <si>
    <t>KARBETOCIN</t>
  </si>
  <si>
    <t>VZ-2022-000716-01</t>
  </si>
  <si>
    <t>VZ-2022-000716-02</t>
  </si>
  <si>
    <t>VZ-2022-000716-03</t>
  </si>
  <si>
    <t>VZ-2022-000716-04</t>
  </si>
  <si>
    <t>VZ-2022-000716-05</t>
  </si>
  <si>
    <t>Jiná kardiaka 2022</t>
  </si>
  <si>
    <t xml:space="preserve">ADENOSIN </t>
  </si>
  <si>
    <t xml:space="preserve">TRIMETAZIDIN-DIHYDROCHLORID </t>
  </si>
  <si>
    <t>IVABRADIN I.</t>
  </si>
  <si>
    <t>IVABRADIN II.</t>
  </si>
  <si>
    <t>REGADENOSON</t>
  </si>
  <si>
    <t>Jiná antivirotika 2022</t>
  </si>
  <si>
    <t>VZ-2022-000718</t>
  </si>
  <si>
    <t>VZ-2022-000719-01</t>
  </si>
  <si>
    <t>VZ-2022-000719-02</t>
  </si>
  <si>
    <t>VZ-2022-000719-03</t>
  </si>
  <si>
    <t>Alkylační látky 2022</t>
  </si>
  <si>
    <t>TEMOZOLOMID I.</t>
  </si>
  <si>
    <t>TEMOZOLOMID II.</t>
  </si>
  <si>
    <t>DAKARBAZIN</t>
  </si>
  <si>
    <t xml:space="preserve">VZ-2022-000717-01 </t>
  </si>
  <si>
    <t xml:space="preserve">VZ-2022-000717-02 </t>
  </si>
  <si>
    <t>Nákup sanitních vozidel 2022 II.</t>
  </si>
  <si>
    <r>
      <t>LP s obsahem letermoviru 2022 -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</si>
  <si>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>AstraZeneca Czech Republic s.r.o.</t>
  </si>
  <si>
    <t>SMLN-2022-612-000117</t>
  </si>
  <si>
    <t>SMLN-2022-617-000443
SMLN-2022-612-000119
SMLN-2022-617-000444</t>
  </si>
  <si>
    <t>SMLN-2022-617-000448
SMLN-2022-612-000121</t>
  </si>
  <si>
    <t>SMLN-2022-617-000450
SMLN-2022-612-000122</t>
  </si>
  <si>
    <t>SMLN-2022-617-000452
SMLN-2022-612-000124</t>
  </si>
  <si>
    <t>SMLN-2022-617-000453
SMLN-2022-612-000125</t>
  </si>
  <si>
    <t>SMLN-2022-617-000454
SMLN-2022-612-000126</t>
  </si>
  <si>
    <t>SMLN-2022-617-000447</t>
  </si>
  <si>
    <t>SMLN-2022-617-000446</t>
  </si>
  <si>
    <t>SMLN-2022-617-000441
SMLN-2022-614-000055</t>
  </si>
  <si>
    <t>SMLN-2022-617-000445
SMLN-2022-612-000120</t>
  </si>
  <si>
    <t>SMLN-2022-617-000442
SMLN-2022-612-000118</t>
  </si>
  <si>
    <t>SMLN-2022-617-000451
SMLN-2022-612-000123</t>
  </si>
  <si>
    <t>SMLN-2022-617-000455
SMLN-2022-612-000127</t>
  </si>
  <si>
    <t>SMLN-2022-617-000456</t>
  </si>
  <si>
    <t>VZ-2022-000720-01</t>
  </si>
  <si>
    <t>VZ-2022-000720-02</t>
  </si>
  <si>
    <t>Katetry  Fogarty</t>
  </si>
  <si>
    <t>Katetry Fogarty  arteriální embolektomické</t>
  </si>
  <si>
    <t>Katetry Fogarty trombektomické pro cévní protézy</t>
  </si>
  <si>
    <t>IBG česko s.r.o.</t>
  </si>
  <si>
    <t>VZ-2022-000723</t>
  </si>
  <si>
    <t xml:space="preserve">Drát vodící Amplatz extra-stiff  </t>
  </si>
  <si>
    <t>1.1.-30.6.2025</t>
  </si>
  <si>
    <t>SurgiCare s.r.o.</t>
  </si>
  <si>
    <t>1.1.-30.6.2026</t>
  </si>
  <si>
    <t>SMLN-2022-618-000043</t>
  </si>
  <si>
    <t>Hadicové sety pro HAMOU endomat KARL STORZ pro PORGYN</t>
  </si>
  <si>
    <t>VZ-2022-000592</t>
  </si>
  <si>
    <t>VZ-2022-000729</t>
  </si>
  <si>
    <t>VZ-2022-000730</t>
  </si>
  <si>
    <t>Roušky břišní NT speciál s RTG vláknem</t>
  </si>
  <si>
    <t>VZ-2022-000732</t>
  </si>
  <si>
    <t>Laryngoskop</t>
  </si>
  <si>
    <t>2.3.676</t>
  </si>
  <si>
    <t>VZ-2022-000733-01</t>
  </si>
  <si>
    <t>VZ-2022-000733-02</t>
  </si>
  <si>
    <t>VZ-2022-000733-03</t>
  </si>
  <si>
    <t>Rehabilitační pomůcky</t>
  </si>
  <si>
    <t>Mobilní přístroj pro aktivní nebo pasivní imobilizaci končetin</t>
  </si>
  <si>
    <t>Motodlaha</t>
  </si>
  <si>
    <t>Rotoped rehabilitační</t>
  </si>
  <si>
    <t>2.2.249</t>
  </si>
  <si>
    <t>2.2.460</t>
  </si>
  <si>
    <t>2.2.654</t>
  </si>
  <si>
    <t>VZ-2022-000734</t>
  </si>
  <si>
    <t>PCR II</t>
  </si>
  <si>
    <t>2.2.479</t>
  </si>
  <si>
    <t>2.3.630</t>
  </si>
  <si>
    <t>VZ-2022-000736</t>
  </si>
  <si>
    <t>VZ-2022-000746</t>
  </si>
  <si>
    <t>PD - zateplení ubytoven a dětské kliniky FNOL</t>
  </si>
  <si>
    <t>1.2.96</t>
  </si>
  <si>
    <t>VZ-2022-000745</t>
  </si>
  <si>
    <t>Automatický externí defibrilátor</t>
  </si>
  <si>
    <t>2.3.677</t>
  </si>
  <si>
    <t>SMLN-2022-617-000459</t>
  </si>
  <si>
    <t>SMLN-2022-617-000460</t>
  </si>
  <si>
    <t>VZ-2022-000743</t>
  </si>
  <si>
    <t>Jiná systémová hemostatika</t>
  </si>
  <si>
    <t>AVATROMBOPAG</t>
  </si>
  <si>
    <t>FOSTAMATINIB</t>
  </si>
  <si>
    <t>VZ-2022-000752-01</t>
  </si>
  <si>
    <t>VZ-2022-000752-02</t>
  </si>
  <si>
    <t>VZ-2022-000753-01</t>
  </si>
  <si>
    <t>VZ-2022-000753-02</t>
  </si>
  <si>
    <t>VZ-2022-000753-03</t>
  </si>
  <si>
    <t>Monoklonální protilátky III. 2022</t>
  </si>
  <si>
    <t>MOGAMULIZUMAB</t>
  </si>
  <si>
    <t>BELANTAMAB MAFODOTIN</t>
  </si>
  <si>
    <t>PARATHORMON</t>
  </si>
  <si>
    <t>LP s obsahem parathormonu a ravulizumabu</t>
  </si>
  <si>
    <t>VZ-2022-000754-01</t>
  </si>
  <si>
    <t>VZ-2022-000754-02</t>
  </si>
  <si>
    <t>VZ-2022-000755-01</t>
  </si>
  <si>
    <t>VZ-2022-000755-02</t>
  </si>
  <si>
    <t>Inhibitory proteinkináz IV. 2022</t>
  </si>
  <si>
    <t>FEDRATINIB</t>
  </si>
  <si>
    <t>VZ-2022-000756-01</t>
  </si>
  <si>
    <t>VZ-2022-000756-02</t>
  </si>
  <si>
    <t>VZ-2022-000756-03</t>
  </si>
  <si>
    <t>BEXAROTEN</t>
  </si>
  <si>
    <t>PERTUZUMAB A TRASTUZUMAB</t>
  </si>
  <si>
    <t>CYTARABIN A DAUNORUBICIN</t>
  </si>
  <si>
    <t>VZ-2022-000749</t>
  </si>
  <si>
    <t>Oprava opláštění a střechy části skladovací haly</t>
  </si>
  <si>
    <t>SMLN-2022-618-000045</t>
  </si>
  <si>
    <t>SMLN-2022-617-000462</t>
  </si>
  <si>
    <t>4.7.-31.12.2022</t>
  </si>
  <si>
    <t>1.1.-3.7.2025</t>
  </si>
  <si>
    <t>Jiná cytostatika IV. 2022</t>
  </si>
  <si>
    <t>12.7.-31.12.2022</t>
  </si>
  <si>
    <t>1.1.-11.7.2025</t>
  </si>
  <si>
    <t>SMLN-2022-617-000463</t>
  </si>
  <si>
    <t>15.7.2022 zrušeno</t>
  </si>
  <si>
    <t>SMLN-2022-618-000044</t>
  </si>
  <si>
    <t>Slávek Vaško</t>
  </si>
  <si>
    <t>14.7.-31.12.2022</t>
  </si>
  <si>
    <t>1.1.-13.7.2024</t>
  </si>
  <si>
    <t>8.7.-31.12.2022</t>
  </si>
  <si>
    <t>SMLN-2022-617-000461</t>
  </si>
  <si>
    <t>VZ-2022-000768</t>
  </si>
  <si>
    <t>11.7.-31.12.2022</t>
  </si>
  <si>
    <t>1.1.-10.7.2024</t>
  </si>
  <si>
    <t xml:space="preserve">Noční stolky a noční stolky s jídelní deskou </t>
  </si>
  <si>
    <t>VZ-2022-000766</t>
  </si>
  <si>
    <t>VZ-2022-000768-01</t>
  </si>
  <si>
    <t xml:space="preserve">14. Stengrafty aortální II. </t>
  </si>
  <si>
    <t>VZ-2022-000768-02</t>
  </si>
  <si>
    <t>VZ-2022-000768-03</t>
  </si>
  <si>
    <t>VZ-2022-000768-04</t>
  </si>
  <si>
    <t>VZ-2022-000768-05</t>
  </si>
  <si>
    <t>14.9. Stengrafty tubulární do kompletu k tělu bifurkačního břišního aortálního stentgraftu, extenzní pro pravou a levou nožičku</t>
  </si>
  <si>
    <t>14.10. Stengrafty aorutální bifurkační břišní II. - tělo+nožička</t>
  </si>
  <si>
    <t xml:space="preserve"> 14.15. Stentgraft vaskulární aortální thorako-abdominální tubulární+konický</t>
  </si>
  <si>
    <t>SMLN-2022-617-000458</t>
  </si>
  <si>
    <t>Z + M Partner, spol. s r.o.</t>
  </si>
  <si>
    <t>SMLN-2022-617-000464
SMLN-2022-612-000128</t>
  </si>
  <si>
    <t>VZ-2022-000769</t>
  </si>
  <si>
    <t>18.7.-31.12.2022</t>
  </si>
  <si>
    <t>1.1.-17.7.2025</t>
  </si>
  <si>
    <t>SMLN-2022-617-000466</t>
  </si>
  <si>
    <t>SMLN-2022-617-000465
SMLN-2022-612-000129</t>
  </si>
  <si>
    <t>18.7.2022 zrušeno</t>
  </si>
  <si>
    <t>BIP Medical CZ, s.r.o.</t>
  </si>
  <si>
    <t>SMLN-2022-617-000467
SMLN-2022-612-000130</t>
  </si>
  <si>
    <t>SMLN-2022-618-000047</t>
  </si>
  <si>
    <t>Jan Vytopil</t>
  </si>
  <si>
    <t>Becton Dickinson Czechia, s.r.o.</t>
  </si>
  <si>
    <t>VZ-2022-000779</t>
  </si>
  <si>
    <t>39143210-1</t>
  </si>
  <si>
    <t>VZ-2022-000784</t>
  </si>
  <si>
    <t>Servis analyzátorů sítí</t>
  </si>
  <si>
    <t>38341300-0</t>
  </si>
  <si>
    <t>VZ-2022-000787</t>
  </si>
  <si>
    <t>Katétr elektrofyziologický říditelný Livewire</t>
  </si>
  <si>
    <t>VZ-2022-000788-01</t>
  </si>
  <si>
    <t>Membránové oxygenátory včetně hadicových setů pro vedení mimotělního oběhu</t>
  </si>
  <si>
    <t>VZ-2022-000788-02</t>
  </si>
  <si>
    <t>Oxygenátory a hadicové sety</t>
  </si>
  <si>
    <t>Minisystém pro mimotělní oběh</t>
  </si>
  <si>
    <t>VZ-2022-000789</t>
  </si>
  <si>
    <t>2.2.492.</t>
  </si>
  <si>
    <t>SMLN-2022-617-000469</t>
  </si>
  <si>
    <t>VZ-2022-000791</t>
  </si>
  <si>
    <t>Chodítko s elektrickým zdvihem</t>
  </si>
  <si>
    <t>2.3.657.</t>
  </si>
  <si>
    <t>VZ-2022-000793</t>
  </si>
  <si>
    <t>45432000-4</t>
  </si>
  <si>
    <t>SMLN-2022-617-000470</t>
  </si>
  <si>
    <t>SMLN-2022-617-000471
SMLN-2022-612-000131</t>
  </si>
  <si>
    <t>Analyzátor mateřského mléka II</t>
  </si>
  <si>
    <t>VZ-2022-000794</t>
  </si>
  <si>
    <t>VZ-2022-000798</t>
  </si>
  <si>
    <t>Přepojení splaškové kanalizace budovy XN, XM</t>
  </si>
  <si>
    <t>45232400-6</t>
  </si>
  <si>
    <t>NH Computers s.r.o.</t>
  </si>
  <si>
    <t>SMLN-2022-617-000473</t>
  </si>
  <si>
    <t>22.7.-31.12.2022</t>
  </si>
  <si>
    <t>1.1.-21.7.2025</t>
  </si>
  <si>
    <t>1.1.-21.7.2024</t>
  </si>
  <si>
    <t>SMLN-2022-617-000472
SMLN-2022-612-000132</t>
  </si>
  <si>
    <t>Consult Hospital s.r.o.</t>
  </si>
  <si>
    <t>nová VZ-2022-000799</t>
  </si>
  <si>
    <t>VZ-2022-000799</t>
  </si>
  <si>
    <t>VZ-2022-000803</t>
  </si>
  <si>
    <t>Rouškovací sety pro POR-GYN kliniku</t>
  </si>
  <si>
    <t>MADISSON, s.r.o.</t>
  </si>
  <si>
    <t>zrušeno - již uzavřena smlouva z jiné VZ</t>
  </si>
  <si>
    <t>VZ-2022-000788</t>
  </si>
  <si>
    <t>26.7.2022 zrušeno</t>
  </si>
  <si>
    <t>SMLN-2022-612-000134</t>
  </si>
  <si>
    <t>SMLN-2022-617-000477
SMLN-2022-612-000135</t>
  </si>
  <si>
    <t>SMLN-2022-617-000478
SMLN-2022-612-000136</t>
  </si>
  <si>
    <t>26.7.-31.12.2022</t>
  </si>
  <si>
    <t>1.1.-25.7.2026</t>
  </si>
  <si>
    <t>1.1.-25.7.2024</t>
  </si>
  <si>
    <t>VZ-2022-000810</t>
  </si>
  <si>
    <t>PD - Stavební úpravy budovy Q - ambulance a zázemí dětské kliniky</t>
  </si>
  <si>
    <t>71240000-2</t>
  </si>
  <si>
    <t>1.2.97.</t>
  </si>
  <si>
    <t>VZ-2022-000813</t>
  </si>
  <si>
    <t>Gallium-68 Generátory II.</t>
  </si>
  <si>
    <t>nová VZ-2022-000813</t>
  </si>
  <si>
    <t>VZ-2022-000812</t>
  </si>
  <si>
    <t>Demolice budovy B</t>
  </si>
  <si>
    <t>45110000-1</t>
  </si>
  <si>
    <t>1.2.89.</t>
  </si>
  <si>
    <t>28.7.-31.12.2022</t>
  </si>
  <si>
    <t>1.1.-27.7.2025</t>
  </si>
  <si>
    <t>SMLN-2022-612-000137</t>
  </si>
  <si>
    <t>VZ-2022-000814</t>
  </si>
  <si>
    <t>Rekonstrukce plotů, bran a opěrné zídky</t>
  </si>
  <si>
    <t>45342000-6</t>
  </si>
  <si>
    <t>4.2.176.</t>
  </si>
  <si>
    <t>VZ-2022-000816</t>
  </si>
  <si>
    <t>Čtečky čárových kódů</t>
  </si>
  <si>
    <t>3.2.70.</t>
  </si>
  <si>
    <t>1.8.-31.12.2022</t>
  </si>
  <si>
    <t>1.1.-31.7.2025</t>
  </si>
  <si>
    <t>SMLN-2022-617-000484
SMLN-2022-612-000141</t>
  </si>
  <si>
    <t>SMLN-2022-617-000483
SMLN-2022-612-000140</t>
  </si>
  <si>
    <t>SMLN-2022-617-000485
SMLN-2022-612-000142</t>
  </si>
  <si>
    <t>SMLN-2022-617-000481
SMLN-2022-617-000482
SMLN-2022-612-000139</t>
  </si>
  <si>
    <t>SMLN-2022-617-000489
SMLN-2022-612-000143</t>
  </si>
  <si>
    <t>SMLN-2022-617-000490
SMLN-2022-612-000144</t>
  </si>
  <si>
    <t>SMLN-2022-617-000491
SMLN-2022-612-000145</t>
  </si>
  <si>
    <t>SMLN-2022-617-000492
SMLN-2022-617-000493
SMLN-2022-612-000146</t>
  </si>
  <si>
    <t>SMLN-2022-617-000494
SMLN-2022-612-000147</t>
  </si>
  <si>
    <t>SMLN-2022-617-000497
SMLN-2022-616-000028</t>
  </si>
  <si>
    <t>8.12.-31.12.2022</t>
  </si>
  <si>
    <t>1.1.-1.2.2023</t>
  </si>
  <si>
    <t>2.8.-31.12.2022</t>
  </si>
  <si>
    <t>1.1.-1.8.2025</t>
  </si>
  <si>
    <t xml:space="preserve">Rozšíření licencí a poskytování podpory klinického farmakokinetického IS </t>
  </si>
  <si>
    <t>VZ-2022-000821</t>
  </si>
  <si>
    <t>48814400-1</t>
  </si>
  <si>
    <t>M&amp;B eProjekce s.r.o.</t>
  </si>
  <si>
    <t>SMLN-2022-617-000501</t>
  </si>
  <si>
    <t>JK - Trading spol. s r.o.</t>
  </si>
  <si>
    <t>SMLN-2022-618-000048</t>
  </si>
  <si>
    <t>SMLN-2022-617-000504
SMLN-2022-612-000148</t>
  </si>
  <si>
    <t>VZ-2022-000841</t>
  </si>
  <si>
    <t>Přístroj pro perfuzi dárcovské ledviny III</t>
  </si>
  <si>
    <t>nvoá VZ-2022-000841</t>
  </si>
  <si>
    <t>VZ-2022-000842</t>
  </si>
  <si>
    <t>Dochlazení místností OPECH v 1.NP, budova A</t>
  </si>
  <si>
    <t>4.2.183.</t>
  </si>
  <si>
    <t>SMLN-2022-617-000505
SMLN-2022-612-000149</t>
  </si>
  <si>
    <t>VZ-2022-000847</t>
  </si>
  <si>
    <t>Digitální morfologie</t>
  </si>
  <si>
    <t>2.3.572.</t>
  </si>
  <si>
    <t>VZ-2022-000848</t>
  </si>
  <si>
    <t>LP s obsahem afliberceptu 2022</t>
  </si>
  <si>
    <t>VZ-2022-000849</t>
  </si>
  <si>
    <t>LP s obsahem cinakalcetu 2022</t>
  </si>
  <si>
    <t>VZ-2022-000850</t>
  </si>
  <si>
    <t>Vyšetření krevního obrazu u dárců krve a vzorků transfuzních přípravků s výpůjčkou přístrojů III.</t>
  </si>
  <si>
    <t>VZ-2022-000851</t>
  </si>
  <si>
    <t>VZ-2022-000852</t>
  </si>
  <si>
    <t>VZ-2022-000853</t>
  </si>
  <si>
    <r>
      <t xml:space="preserve">LP s obsahem orfenadrinu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</si>
  <si>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obshem sugammadexu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</si>
  <si>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darolutamidu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</si>
  <si>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3.8.-31.12.2022</t>
  </si>
  <si>
    <t>1.1.-2.8.2025</t>
  </si>
  <si>
    <r>
      <t xml:space="preserve">VZ-2021-001121 zrušeno
</t>
    </r>
    <r>
      <rPr>
        <b/>
        <sz val="11"/>
        <color rgb="FF00B050"/>
        <rFont val="Calibri"/>
        <family val="2"/>
        <charset val="238"/>
        <scheme val="minor"/>
      </rPr>
      <t>VZ-2022-000324</t>
    </r>
  </si>
  <si>
    <t>SMLN-2022-617-000507
SMLN-2022-612-000151</t>
  </si>
  <si>
    <t>SMLN-2022-617-000506
SMLN-2022-612-000150</t>
  </si>
  <si>
    <t>zrušeno - nevyhovující nabídka, příliš drahá</t>
  </si>
  <si>
    <t>8.8.-31.12.2022</t>
  </si>
  <si>
    <t>1.1.-7.8.-2026</t>
  </si>
  <si>
    <t>Materiál spotřební k injektorům kontrastní látky ACIST Cvi</t>
  </si>
  <si>
    <t>1.1.-7.8.2023</t>
  </si>
  <si>
    <t>SMLN-2022-617-000508
SMLN-2022-614-000058
SMLN-2022-616-000030</t>
  </si>
  <si>
    <t>nová VZ-2022-000854</t>
  </si>
  <si>
    <t>SMLN-2022-617-000511
SMLN-2022-612-000152</t>
  </si>
  <si>
    <t>SMLN-2022-617-000512
SMLN-2022-612-000152</t>
  </si>
  <si>
    <t>VZ-2022-000854</t>
  </si>
  <si>
    <t>Ubytování a služby spojené s realizací odborné akce FN Olomouc – konference Veřejné zakázky ve zdravotnictví II.</t>
  </si>
  <si>
    <t>Shimadzu Handels GmbH-organizační složka</t>
  </si>
  <si>
    <t>VZ-2022-000857</t>
  </si>
  <si>
    <t>Analyzátor otoakustických emisí</t>
  </si>
  <si>
    <t>2.3.652.</t>
  </si>
  <si>
    <t>SMLN-2022-617-000513
SMLN-2022-614-000059</t>
  </si>
  <si>
    <t>SMLN-2022-617-000514
SMLN-2022-614-000060</t>
  </si>
  <si>
    <t>SMLN-2022-617-000515
SMLN-2022-614-000061</t>
  </si>
  <si>
    <t>SMLN-2022-617-000516
SMLN-2022-614-000062</t>
  </si>
  <si>
    <t>SMLN-2022-617-000517
SMLN-2022-614-000063</t>
  </si>
  <si>
    <t>4.8.2022 zrušeno</t>
  </si>
  <si>
    <t>25.7.2022 zrušeno</t>
  </si>
  <si>
    <t>28.7.2022 zrušeno</t>
  </si>
  <si>
    <t>SMLN-2022-617-000518
SMLN-2022-614-000064
SMLN-2022-614-000065</t>
  </si>
  <si>
    <t>SMLN-2022-617-000519
SMLN-2022-614-000066</t>
  </si>
  <si>
    <t>27.7. výpověď PHONEIX</t>
  </si>
  <si>
    <t>2.8.2022 výpověď</t>
  </si>
  <si>
    <t>BOPROSTA s.r.o.</t>
  </si>
  <si>
    <t>VZ-2022-000859</t>
  </si>
  <si>
    <t>Chodítko s elektrickým zdvihem II</t>
  </si>
  <si>
    <t>VZ-2022-000860</t>
  </si>
  <si>
    <t>Oprava střechy budovy QZI1</t>
  </si>
  <si>
    <t>Fidia Pharma CZ, s.r.o.</t>
  </si>
  <si>
    <t>SMLN-2022-617-000522</t>
  </si>
  <si>
    <t>SMLN-2022-617-000523</t>
  </si>
  <si>
    <t>SMLN-2022-617-000524</t>
  </si>
  <si>
    <t>SMLN-2022-617-000525</t>
  </si>
  <si>
    <t>SMLN-2022-617-000526</t>
  </si>
  <si>
    <t>VZ-2022-000861-01</t>
  </si>
  <si>
    <t>Analoga gonadotropin-releasing hormonu a degarelix 2022</t>
  </si>
  <si>
    <t xml:space="preserve"> LEUPRORELIN</t>
  </si>
  <si>
    <t>LEUPRORELIN IMPLANTÁT</t>
  </si>
  <si>
    <t xml:space="preserve"> TRIPTORELIN</t>
  </si>
  <si>
    <t>DEGARELIX</t>
  </si>
  <si>
    <t>VZ-2022-000862</t>
  </si>
  <si>
    <t>33622300-9</t>
  </si>
  <si>
    <r>
      <t xml:space="preserve">LP s obsahem tolvaptanu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</si>
  <si>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palivizumabu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</si>
  <si>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VZ-2022-000863</t>
  </si>
  <si>
    <t>Inhibitory aromatasy 2022</t>
  </si>
  <si>
    <t>ANASTROZOL</t>
  </si>
  <si>
    <t>LETROZOL</t>
  </si>
  <si>
    <t>EXEMASTAN</t>
  </si>
  <si>
    <t>Antithymocitálení imunoglobuliny 2022</t>
  </si>
  <si>
    <t>Králičí imunoglobulin proti buňkám brzlíku I.</t>
  </si>
  <si>
    <t>Králičí imunoglobulin proti buňkám brzlíku II.</t>
  </si>
  <si>
    <t>Transporatabilní echokardiografický přístroj pro Dětskou kliniku</t>
  </si>
  <si>
    <t>10.8.2022 zrušeno</t>
  </si>
  <si>
    <t>5.10.222</t>
  </si>
  <si>
    <t>VZ-2022-000869</t>
  </si>
  <si>
    <t xml:space="preserve">Katetry ICP pro měření nitrolebního tlaku </t>
  </si>
  <si>
    <t>VZ-2022-000871</t>
  </si>
  <si>
    <t>Podpora krátkodobá srdeční mechanická IMPELLA pro I. IK</t>
  </si>
  <si>
    <t>VZ-2022-000872-01</t>
  </si>
  <si>
    <t>6.Dilatační balónkové katétry vaskulární II.</t>
  </si>
  <si>
    <t>VZ-2022-000872-02</t>
  </si>
  <si>
    <t>6.9. Dilatační balónkové katétry vaskulární po mikrovodících drátech Monorial a OTW</t>
  </si>
  <si>
    <t>VZ-2022-000875</t>
  </si>
  <si>
    <t>Fyziologický navigační systém pro zavádění elektrod při DBS operaci</t>
  </si>
  <si>
    <t>2.3.526</t>
  </si>
  <si>
    <t>VZ-2022-000876</t>
  </si>
  <si>
    <t>72260000-5</t>
  </si>
  <si>
    <t>2.3.678</t>
  </si>
  <si>
    <t>VZ-2022-000877</t>
  </si>
  <si>
    <t>SMLN-2022-617-000538</t>
  </si>
  <si>
    <t>SMLN-2022-617-000539 SMLN-2022-614-000067</t>
  </si>
  <si>
    <t>SMLN-2022-612-000154 SMLN-2022-617-000529</t>
  </si>
  <si>
    <t>SMLN-2022-612-000155 SMLN-2022-617-000530 SMLN-2022-617-000532</t>
  </si>
  <si>
    <t>SMLN-2022-612-000159 SMLN-2022-617-000537</t>
  </si>
  <si>
    <t>12.8.-31.12.2022</t>
  </si>
  <si>
    <t>1.1.-11.8.2025</t>
  </si>
  <si>
    <t>10.8.-31.12.2022</t>
  </si>
  <si>
    <t>1.1.-9.8.2025</t>
  </si>
  <si>
    <t>1.1.-11.8.2026</t>
  </si>
  <si>
    <t>SMLN-2022-618-000050</t>
  </si>
  <si>
    <t>nová VZ-2022-000859</t>
  </si>
  <si>
    <t>SMLN-2022-617-000527</t>
  </si>
  <si>
    <t>SMLN-2022-617-000528</t>
  </si>
  <si>
    <t>SMLN-2022-617-000531</t>
  </si>
  <si>
    <t>SMLN-2022-617-000535
SMLN-2022-612-000157</t>
  </si>
  <si>
    <t>SMLN-2022-617-000536
SMLN-2022-612-000158</t>
  </si>
  <si>
    <t>SMLN-2022-617-000533
SMLN-2022-612-000156
SMLN-2022-617-000534</t>
  </si>
  <si>
    <r>
      <t xml:space="preserve">Insuliny a analoga dlouze působící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</si>
  <si>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Přímé inhibitory faktoru XA I. 2022</t>
  </si>
  <si>
    <t>SMLN-2022-617-000542</t>
  </si>
  <si>
    <t>Moravia Medizintechnik s.r.o.</t>
  </si>
  <si>
    <t>nová VZ-2022-000882</t>
  </si>
  <si>
    <t>2.3.615,616</t>
  </si>
  <si>
    <t>VZ-2022-000882</t>
  </si>
  <si>
    <t>Inkubátor pro Oddělení nemocniční hygieny II</t>
  </si>
  <si>
    <t>SKALA-Medica s.r.o.</t>
  </si>
  <si>
    <t>VZ-2022-000885</t>
  </si>
  <si>
    <t>Podlahářské práce II.</t>
  </si>
  <si>
    <t>nová VZ-2022-000885</t>
  </si>
  <si>
    <t>SMLN-2022-617-000547
SMLN-2022-614-000068</t>
  </si>
  <si>
    <t>SMLN-2022-617-000545
SMLN-2022-612-000160</t>
  </si>
  <si>
    <t>GPS Praha, spol. s  r.o.</t>
  </si>
  <si>
    <t>SMLN-2022-617-000546
SMLN-2022-612-000161</t>
  </si>
  <si>
    <t>MEDIWARE  a.s.</t>
  </si>
  <si>
    <t>VZ-2022-000865-01</t>
  </si>
  <si>
    <t>VZ-2022-000865-02</t>
  </si>
  <si>
    <t>VZ-2022-000864-01</t>
  </si>
  <si>
    <t>VZ-2022-000864-02</t>
  </si>
  <si>
    <t>VZ-2022-000864-03</t>
  </si>
  <si>
    <t>VZ-2022-000886</t>
  </si>
  <si>
    <t>Bronchoskopy jednorázové</t>
  </si>
  <si>
    <t>SMLN-2022-617-000548</t>
  </si>
  <si>
    <t>SMLN-2022-617-000549</t>
  </si>
  <si>
    <t>SMLN-2022-617-000550</t>
  </si>
  <si>
    <t>SMLN-2022-617-000551</t>
  </si>
  <si>
    <t>SMLN-2022-617-000552</t>
  </si>
  <si>
    <t>SMLN-2022-617-000553</t>
  </si>
  <si>
    <t>SMLN-2022-617-000554</t>
  </si>
  <si>
    <t>SMLN-2022-617-000555</t>
  </si>
  <si>
    <t>Schubert CZ, spol. s r.o.</t>
  </si>
  <si>
    <t>SMLN-2022-617-000556</t>
  </si>
  <si>
    <t>SMLN-2022-617-000557
SMLN-2022-612-000162</t>
  </si>
  <si>
    <t>SMLN-2022-617-000558
SMLN-2022-612-000163</t>
  </si>
  <si>
    <t>SMLN-2022-617-000559
SMLN-2022-612-000164</t>
  </si>
  <si>
    <t>SMLN-2022-617-000560
SMLN-2022-612-000165</t>
  </si>
  <si>
    <t>SMLN-2022-617-000561
SMLN-2022-612-000166
SMLN-2022-617-000562</t>
  </si>
  <si>
    <t>SMLN-2022-617-000563
SMLN-2022-612-000167
SMLN-2022-617-000564</t>
  </si>
  <si>
    <t>18.8.-31.12.2022</t>
  </si>
  <si>
    <t>1.1.-17.8.2025</t>
  </si>
  <si>
    <t>SMLN-2022-618-000052</t>
  </si>
  <si>
    <t>nová VZ-2022-000898</t>
  </si>
  <si>
    <t>VZ-2022-000898</t>
  </si>
  <si>
    <t>Operační svítidla ORL</t>
  </si>
  <si>
    <t>SMLN-2022-617-000565
SMLN-2022-612-000168
SMLN-2022-617-000566</t>
  </si>
  <si>
    <t>VZ-2022-000899</t>
  </si>
  <si>
    <t>Laminární boxy III.</t>
  </si>
  <si>
    <t>2.2.483.</t>
  </si>
  <si>
    <t>NORTH MED spol. s r.o.</t>
  </si>
  <si>
    <t>nová VZ-2022-000872-01</t>
  </si>
  <si>
    <t>nová VZ-2022-000872-02</t>
  </si>
  <si>
    <t>25.7.2022 zuršeno</t>
  </si>
  <si>
    <t>SMLN-2022-617-000567
SMLN-2022-612-000170
SMLN-2022-617-000568</t>
  </si>
  <si>
    <t>SMLN-2022-612-000169</t>
  </si>
  <si>
    <t>SMLN-2022-612-000171</t>
  </si>
  <si>
    <t>SMLN-2022-617-000569
SMLN-2022-614-000069
SMLN-2022-616-000033</t>
  </si>
  <si>
    <t>SMLN-2022-617-000570
SMLN-2022-614-000070</t>
  </si>
  <si>
    <t>SMLN-2022-617-000571
SMLN-2022-612-000172</t>
  </si>
  <si>
    <t>19.8.2022 zrušeno</t>
  </si>
  <si>
    <t>VZ-2022-000815</t>
  </si>
  <si>
    <t>VZ-2022-000905</t>
  </si>
  <si>
    <t>Oprava výtahů č. 63,82</t>
  </si>
  <si>
    <t>4.2.173-174.</t>
  </si>
  <si>
    <t>SMLN-2022-617-000572
SMLN-2022-612-000173
SMLN-2022-617-000573</t>
  </si>
  <si>
    <t>VZ-2022-000907</t>
  </si>
  <si>
    <t>Systém pro ohřev pacienta</t>
  </si>
  <si>
    <t>2.2.493.</t>
  </si>
  <si>
    <t>22.8.-31.12.2022</t>
  </si>
  <si>
    <t>VZ-2022-000908</t>
  </si>
  <si>
    <t>Optický koherentní tomografický systém</t>
  </si>
  <si>
    <t>2.3.598.</t>
  </si>
  <si>
    <t>22.8.2022 zrušeno</t>
  </si>
  <si>
    <t>18.8.2022 zrušeno</t>
  </si>
  <si>
    <t>VZ-2022-000909-01</t>
  </si>
  <si>
    <t>KYSELINA GADOTEROVÁ</t>
  </si>
  <si>
    <t>KYSELINA GADOBENOVÁ</t>
  </si>
  <si>
    <t xml:space="preserve"> GADOBUTROL</t>
  </si>
  <si>
    <t>VZ-2022-000909-02</t>
  </si>
  <si>
    <t>VZ-2022-000909-03</t>
  </si>
  <si>
    <t>SMLN-2022-617-000575
SMLN-2022-614-000071</t>
  </si>
  <si>
    <t>23.8.-31.12.2022</t>
  </si>
  <si>
    <t>1.1.-22.8.2025</t>
  </si>
  <si>
    <t>SMLN-2022-617-000576
SMLN-2022-614-000072</t>
  </si>
  <si>
    <t>SMLN-2022-617-000577
SMLN-2022-614-000073</t>
  </si>
  <si>
    <t>SMLN-2022-617-000578
SMLN-2022-614-000074</t>
  </si>
  <si>
    <t>VZ-2022-000911</t>
  </si>
  <si>
    <t>Ubytování a služby spojené s realizací odborné akce FN Olomouc – konference XIII. Luklův kardiologický den</t>
  </si>
  <si>
    <t>VZ-2022-000912-01</t>
  </si>
  <si>
    <t>Lůžka a lehátka II</t>
  </si>
  <si>
    <t>2.3.639.</t>
  </si>
  <si>
    <t>2.3.674.</t>
  </si>
  <si>
    <t>VZ-2022-000912-02</t>
  </si>
  <si>
    <t>Lůžka pro I. Chirurgickou kliniku</t>
  </si>
  <si>
    <t>Lehátka pro Kliniku chorob kožních a pohlavních</t>
  </si>
  <si>
    <t>VZ-2022-000913-01</t>
  </si>
  <si>
    <t>7.Kleště bioptické jednorázové do gastroskopu/koloskopu</t>
  </si>
  <si>
    <t>VZ-2022-000913-02</t>
  </si>
  <si>
    <t>VZ-2022-000913-03</t>
  </si>
  <si>
    <t>VZ-2022-000913-04</t>
  </si>
  <si>
    <t>Kleště bioptické jednorázové - čelisti hladké s bodcem</t>
  </si>
  <si>
    <t>Kleště bioptické jednorázové - čelisti hladké</t>
  </si>
  <si>
    <t>Kleště bioptické jednorázové - čelisti typ Aligátor</t>
  </si>
  <si>
    <t>Kleště bioptické jednorázové - čelisti typ Aligátor s bodcem</t>
  </si>
  <si>
    <t>SMLN-2022-617-000580</t>
  </si>
  <si>
    <t>SMLN-2022-617-000581</t>
  </si>
  <si>
    <t>SMLN-2022-617-000582</t>
  </si>
  <si>
    <t>SMLN-2022-617-000583</t>
  </si>
  <si>
    <t>SMLN-2022-617-000584</t>
  </si>
  <si>
    <t>SMLN-2022-617-000585</t>
  </si>
  <si>
    <t>SMLN-2022-618-000054</t>
  </si>
  <si>
    <t>SMLN-2022-618-000053</t>
  </si>
  <si>
    <t>SMLN-2022-617-000586</t>
  </si>
  <si>
    <t>VZ-2022-000916</t>
  </si>
  <si>
    <t>Manuální myčka endoskopů</t>
  </si>
  <si>
    <t>SMLN-2022-617-000591
SMLN-2022-612-000174</t>
  </si>
  <si>
    <t>VZ-2022-000917</t>
  </si>
  <si>
    <t>Materiál spotřební k inokulačnímu automatu WASP</t>
  </si>
  <si>
    <t>SVEN BioLabs s.r.o.</t>
  </si>
  <si>
    <t xml:space="preserve">Paramagnetické kontrastní látky 2022 </t>
  </si>
  <si>
    <t>SMLN-2022-617-000593
SMLN-2022-612-000176</t>
  </si>
  <si>
    <t>SMLN-2022-617-000592
SMLN-2022-612-000175</t>
  </si>
  <si>
    <t>VZ-2022-000919</t>
  </si>
  <si>
    <t>Nerezový mobiliář 2022</t>
  </si>
  <si>
    <t>nová VZ-2022-000520</t>
  </si>
  <si>
    <t>26.8.-31.12.2022</t>
  </si>
  <si>
    <t>1.1.-25.8.2026</t>
  </si>
  <si>
    <t>VZ-2021-0001045</t>
  </si>
  <si>
    <t>VZ-2022-000921</t>
  </si>
  <si>
    <t>Mikolajová</t>
  </si>
  <si>
    <t>Servisní podpora SW aplikace CEVIS Shiftmaster</t>
  </si>
  <si>
    <t>48451000-4</t>
  </si>
  <si>
    <t>SMLN-2022-617-000596
SMLN-2022-612-000177</t>
  </si>
  <si>
    <t>VZ-2022-000922-01</t>
  </si>
  <si>
    <t xml:space="preserve">Kontejnery sterilizační a dekontaminační včetně příslušenství </t>
  </si>
  <si>
    <t>Kontejnery sterilizační</t>
  </si>
  <si>
    <t>33169400-6</t>
  </si>
  <si>
    <t>VZ-2022-000922-02</t>
  </si>
  <si>
    <t>VZ-2022-000922-03</t>
  </si>
  <si>
    <t>Kontejnery dekontaminační</t>
  </si>
  <si>
    <t>Příslušenství ke kontejnerům sterilizačním a dekontaminačním</t>
  </si>
  <si>
    <t>33141124-5</t>
  </si>
  <si>
    <t>VZ-2022-000925</t>
  </si>
  <si>
    <t>Automatický extrerní defibrilátor II.</t>
  </si>
  <si>
    <t>2.2.495.</t>
  </si>
  <si>
    <t>SMLN-2022-617-000597
SMLN-2022-612-000178
SMLN-2022-617-000598</t>
  </si>
  <si>
    <t>Kodys, spol. s r.o.</t>
  </si>
  <si>
    <t>Servis, opravy a údržba nákladních vozidel nad 3.500 Kg</t>
  </si>
  <si>
    <t>VZ-2022-000932</t>
  </si>
  <si>
    <t>SMLN-2022-617-000601
SMLN-2022-612-000179</t>
  </si>
  <si>
    <t>SMLN-2022-617-000602
SMLN-2022-612-000180</t>
  </si>
  <si>
    <t>SMLN-2022-617-000603
SMLN-2022-612-000181</t>
  </si>
  <si>
    <t>výpověd</t>
  </si>
  <si>
    <t>VZ-2022-000936-01</t>
  </si>
  <si>
    <r>
      <t xml:space="preserve">Jiná antianemika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</si>
  <si>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VZ-2022-000936-02</t>
  </si>
  <si>
    <t>VZ-2022-000936-03</t>
  </si>
  <si>
    <t>VZ-2022-000936-04</t>
  </si>
  <si>
    <t>EPOETIN ALFA I.</t>
  </si>
  <si>
    <t>EPOETIN ALFA IV.</t>
  </si>
  <si>
    <t>DARBEPOETIN ALFA</t>
  </si>
  <si>
    <t>PEGEPOETIN BETA</t>
  </si>
  <si>
    <t xml:space="preserve">33652200-7 </t>
  </si>
  <si>
    <t>VZ-2022-000937</t>
  </si>
  <si>
    <t>LP s obsahem segelipasy alfa 2022</t>
  </si>
  <si>
    <t>Hypertonické roztoky 2022</t>
  </si>
  <si>
    <t>VZ-2022-000938-01</t>
  </si>
  <si>
    <t>VZ-2022-000938-02</t>
  </si>
  <si>
    <t>Hypertonické a isotonické roztoky pro peritoneální dialýzu kompatibilní s příslušenstvím CAPD a Hemochoice Claria</t>
  </si>
  <si>
    <t>33692800-5</t>
  </si>
  <si>
    <t>Hypertonické roztoky pro peritoneální dialýzu kompatibilní s příslušenstvím Stay Safe a Sleep Safe</t>
  </si>
  <si>
    <t>Inova Surgical s.r.o.</t>
  </si>
  <si>
    <t>31.8.-31.12.2022</t>
  </si>
  <si>
    <t>VZ-2022-000930-01</t>
  </si>
  <si>
    <t>VZ-2022-000930-02</t>
  </si>
  <si>
    <t>VZ-2022-000930-03</t>
  </si>
  <si>
    <t>Oxygenátory pro kombinované srdeční operace</t>
  </si>
  <si>
    <t>Membránové oygenátory včetně hadicových setů pro vedení mimotělního oběhu II.</t>
  </si>
  <si>
    <t>Oxygenátory pro jednoduché srdeční operace</t>
  </si>
  <si>
    <t>Hadicové sety pro vedení mimotělního oběhu</t>
  </si>
  <si>
    <t>VZ-2022-000942</t>
  </si>
  <si>
    <t>Chlopeň biologická perikardiální určená pro náhradu mitrální chlopně</t>
  </si>
  <si>
    <t>VZ-2022-000943</t>
  </si>
  <si>
    <t>Enterální výživa - materiál spotřební k aplikaci II.</t>
  </si>
  <si>
    <t>nová VZ-2022-000943</t>
  </si>
  <si>
    <t>nová VZ-2022-000930</t>
  </si>
  <si>
    <t>SMLN-2022-617-000604</t>
  </si>
  <si>
    <t>SMLN-2022-617-000606</t>
  </si>
  <si>
    <t>VZ-2022-000946-01</t>
  </si>
  <si>
    <r>
      <t>Insuliny a analoga dlouze působící 2022 -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</si>
  <si>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>VZ-2022-000946-02</t>
  </si>
  <si>
    <t>SMLN-2022-617-000500
SMLN-2022-614-000057</t>
  </si>
  <si>
    <t>1.1.-30.8.2025</t>
  </si>
  <si>
    <t>SMLN-2022-617-000499
SMLN-2022-614-000056</t>
  </si>
  <si>
    <t>SMLN-2022-617-000608</t>
  </si>
  <si>
    <t>SMLN-2022-617-000609</t>
  </si>
  <si>
    <t>SMLN-2022-617-000607</t>
  </si>
  <si>
    <t>VZ-2022-000949</t>
  </si>
  <si>
    <t>Uzávěr dezinfekčních k bezjehlovému vstupu se 70% IPA</t>
  </si>
  <si>
    <t>SMLN-2022-617-000610
SMLN-2022-612-000183</t>
  </si>
  <si>
    <t>SMLN-2022-617-000611
SMLN-2022-612-000184</t>
  </si>
  <si>
    <t>SMLN-2022-617-000612
SMLN-2022-612-000185</t>
  </si>
  <si>
    <t>VZ-2022-000952</t>
  </si>
  <si>
    <t>Oprava střešního pláště budov RZE</t>
  </si>
  <si>
    <t>VZ-2022-000953</t>
  </si>
  <si>
    <t>Oprava opěrné zdi  a schodiště ubytovny AYH2</t>
  </si>
  <si>
    <t>VZ-2022-000955</t>
  </si>
  <si>
    <t>Sety k systému Centurion pro Oční kliniku</t>
  </si>
  <si>
    <t>2.9.2022 zrušeno</t>
  </si>
  <si>
    <t>VZ-2022-000957</t>
  </si>
  <si>
    <t>Bronchoskopy flexibilní jednorázové</t>
  </si>
  <si>
    <t>z roku 2021</t>
  </si>
  <si>
    <t>VZ-2022-000958-01</t>
  </si>
  <si>
    <t>VZ-2022-000958-02</t>
  </si>
  <si>
    <t>LP ze skupiny koagulačních faktorů 2022</t>
  </si>
  <si>
    <t>5.9.-31.12.2022</t>
  </si>
  <si>
    <t>1.1.-4.9.2026</t>
  </si>
  <si>
    <t>1.1.-4.9.2025</t>
  </si>
  <si>
    <t>VZ-2022-000720</t>
  </si>
  <si>
    <t>VZ-2022-000961-01</t>
  </si>
  <si>
    <t>Intervenční kardiologie I.</t>
  </si>
  <si>
    <t xml:space="preserve"> 2. Zavaděč - sety pro femorální přístup 5F a 6F (sheathy)</t>
  </si>
  <si>
    <t>VZ-2022-000961-02</t>
  </si>
  <si>
    <t>VZ-2022-000961-03</t>
  </si>
  <si>
    <t>VZ-2022-000961-04</t>
  </si>
  <si>
    <t>VZ-2022-000961-05</t>
  </si>
  <si>
    <t>VZ-2022-000961-06</t>
  </si>
  <si>
    <t>VZ-2022-000961-07</t>
  </si>
  <si>
    <t>VZ-2022-000961-08</t>
  </si>
  <si>
    <t>VZ-2022-000961-09</t>
  </si>
  <si>
    <t>VZ-2022-000961-10</t>
  </si>
  <si>
    <t>VZ-2022-000961-11</t>
  </si>
  <si>
    <t>5. Koronární (PTCA) vodiče - základní typ</t>
  </si>
  <si>
    <t>6. Koronární (PTCA) vodiče - vodiče se zvýšenou odolností měkkého distálního konce, vč. vodičů pro použití chronických uzávěrů (CTO)</t>
  </si>
  <si>
    <t>8. Balónkové dilatační katetry koronární - střednětlaký (semicompliantní)</t>
  </si>
  <si>
    <t>9. Balónkové katetry koronární  - vysokotlaké/postdilatační (noncompliantní)</t>
  </si>
  <si>
    <t>10. Balónkové katetry koronární  - vysokotlaké nízkoprofilové</t>
  </si>
  <si>
    <t xml:space="preserve">11. Balónkové dilatační katetry lékové (DEB)  </t>
  </si>
  <si>
    <t>13. Vodící katetry - 5F</t>
  </si>
  <si>
    <t>Mikrokatétr koronární Supercross</t>
  </si>
  <si>
    <t>Koronární stenty metalické (Bare metal stents-BMS)</t>
  </si>
  <si>
    <t>MEgA - Měřící Energetické Aparáty, a.s.</t>
  </si>
  <si>
    <t>VZ-2022-000973</t>
  </si>
  <si>
    <t>Skříňové vozíky s prachostěnými dveřmi</t>
  </si>
  <si>
    <t>SMLN-2022-617-000614</t>
  </si>
  <si>
    <t>SMLN-2022-617-000616
SMLN-2022-617-000617
SMLN-2022-614-000075</t>
  </si>
  <si>
    <t>CPI Hotels, a.s.</t>
  </si>
  <si>
    <t>SMLN-2022-612-000186</t>
  </si>
  <si>
    <t>SMLN-2022-617-000618</t>
  </si>
  <si>
    <t>Radim Holba</t>
  </si>
  <si>
    <t>7.9.-31.12.2022</t>
  </si>
  <si>
    <t>1.1.-6.9.2026</t>
  </si>
  <si>
    <t>VZ-2022-000987-01</t>
  </si>
  <si>
    <t>Glukokortikoidy 2022</t>
  </si>
  <si>
    <t>DEXAMETHASON I.V.</t>
  </si>
  <si>
    <t xml:space="preserve">DEXAMETHASON </t>
  </si>
  <si>
    <t>METHYLPREDNISOLON i.v.</t>
  </si>
  <si>
    <t>PREDNISON</t>
  </si>
  <si>
    <t>HYDROKORTISON</t>
  </si>
  <si>
    <t>VZ-2022-000987-02</t>
  </si>
  <si>
    <t>VZ-2022-000987-03</t>
  </si>
  <si>
    <t>VZ-2022-000987-04</t>
  </si>
  <si>
    <t>VZ-2022-000987-05</t>
  </si>
  <si>
    <t>SMLN-2022-617-000619
SMLN-2022-612-000187</t>
  </si>
  <si>
    <t>SMLN-2022-617-000620
SMLN-2022-612-000188</t>
  </si>
  <si>
    <t>SMLN-2022-617-000621</t>
  </si>
  <si>
    <t>SMLN-2022-617-000622</t>
  </si>
  <si>
    <t>Vazopresin a analoga 2022</t>
  </si>
  <si>
    <t>ARGIPRESIN-ACETÁT</t>
  </si>
  <si>
    <t>DESMOPRESIN-ACETÁT</t>
  </si>
  <si>
    <t>TERLIPRESIN-ACETÁT</t>
  </si>
  <si>
    <t>VZ-2022-000988-01</t>
  </si>
  <si>
    <t>VZ-2022-000988-02</t>
  </si>
  <si>
    <t>VZ-2022-000988-03</t>
  </si>
  <si>
    <t>LP s obsahem dexmedetomidinu 2022</t>
  </si>
  <si>
    <t>VZ-2022-000989</t>
  </si>
  <si>
    <t>Dialab  spol. s r.o.</t>
  </si>
  <si>
    <t>zrušeno - nemožnost realizace ze strany FNOL</t>
  </si>
  <si>
    <t>8.9.2022 zrušeno</t>
  </si>
  <si>
    <t>Technika budov s.r.o.</t>
  </si>
  <si>
    <t>SMLN-2022-617-000623
SMLN-2022-612-000189</t>
  </si>
  <si>
    <t>SMLN-2022-612-000190</t>
  </si>
  <si>
    <t>VZ-2022-000964</t>
  </si>
  <si>
    <t>9.9.2022 zrušeno</t>
  </si>
  <si>
    <t>SMLN-2022-617-000628</t>
  </si>
  <si>
    <t>SMLN-2022-617-000629</t>
  </si>
  <si>
    <t>SMLN-2022-617-000630</t>
  </si>
  <si>
    <t>VZ-2022-000997</t>
  </si>
  <si>
    <t>Oprava střešního pláště budovy WH</t>
  </si>
  <si>
    <t>45261900-3</t>
  </si>
  <si>
    <t>VZ-2022-000995</t>
  </si>
  <si>
    <t>SMLN-2022-617-000633</t>
  </si>
  <si>
    <t>SMLN-2022-617-000634</t>
  </si>
  <si>
    <t>SMLN-2022-617-000635</t>
  </si>
  <si>
    <t>SMLN-2022-617-000636</t>
  </si>
  <si>
    <t>SMLN-2022-617-000637</t>
  </si>
  <si>
    <t>SMLN-2022-617-000638</t>
  </si>
  <si>
    <t>2.3.679</t>
  </si>
  <si>
    <t>Oxygen Assist Module (OAM)</t>
  </si>
  <si>
    <t>2.2.497</t>
  </si>
  <si>
    <t>SMLN-2022-617-000631 SMLN-2022-612-000191</t>
  </si>
  <si>
    <t>SMLN-2022-617-000639</t>
  </si>
  <si>
    <t>SMLN-2022-617-000640</t>
  </si>
  <si>
    <t>SMLN-2022-617-000641</t>
  </si>
  <si>
    <t>SMLN-2022-617-000642</t>
  </si>
  <si>
    <t>DAHLHAUSEN CZ , spol. s r.o.</t>
  </si>
  <si>
    <t>VZ-2022-001000</t>
  </si>
  <si>
    <t>VZ-2022-001001</t>
  </si>
  <si>
    <t>Oprava místního rozhlasu v budově U</t>
  </si>
  <si>
    <t>50342000-4</t>
  </si>
  <si>
    <t>SMLN-2022-618-000056</t>
  </si>
  <si>
    <r>
      <t xml:space="preserve">Nástroje chirurgické pro kliniky FNOL I. </t>
    </r>
    <r>
      <rPr>
        <sz val="11"/>
        <color rgb="FFFF0000"/>
        <rFont val="Calibri"/>
        <family val="2"/>
        <charset val="238"/>
        <scheme val="minor"/>
      </rPr>
      <t>(výrobce  MEDIN )</t>
    </r>
  </si>
  <si>
    <t>SMLN-2022-617-000648</t>
  </si>
  <si>
    <t>SMLN-2022-617-000645 SMLN-2022-617-000644 SMLN-2022-612-000192</t>
  </si>
  <si>
    <t>SMLN-2022-617-000480 SMLN-2022-617-000624
SMLN-2022-612-000138</t>
  </si>
  <si>
    <t>Alcon Phramaceuticals (czech Republic) s.r.o.</t>
  </si>
  <si>
    <t>VZ-2022-001016</t>
  </si>
  <si>
    <t>Kontrola a ověření kvality PET-SPECT zobrazení</t>
  </si>
  <si>
    <t>2.2.498</t>
  </si>
  <si>
    <t>SMLN-2022-617-000651</t>
  </si>
  <si>
    <t>VZ-2022-001013</t>
  </si>
  <si>
    <t>Svářečky II.</t>
  </si>
  <si>
    <t>2.3.623</t>
  </si>
  <si>
    <t>VZ-2022-001020</t>
  </si>
  <si>
    <t>Aquapaky sterilní vody</t>
  </si>
  <si>
    <t>SMLN-2022-617-000643</t>
  </si>
  <si>
    <t>SMLN-2022-617-000625</t>
  </si>
  <si>
    <t>SMLN-2022-617-000626</t>
  </si>
  <si>
    <t>SMLN-2022-617-000627</t>
  </si>
  <si>
    <t>SMLN-2022-617-000650</t>
  </si>
  <si>
    <t>VZ-2022-001022</t>
  </si>
  <si>
    <t xml:space="preserve">Rouškovací sety pro I. Interní kliniku </t>
  </si>
  <si>
    <t>SMLN-2022-617-000652</t>
  </si>
  <si>
    <t>SMLN-2022-617-000653</t>
  </si>
  <si>
    <t>THP Medical Products Vertriebs GmbH</t>
  </si>
  <si>
    <t>SMLN-2022-617-000654</t>
  </si>
  <si>
    <t>VZ-2022-001025</t>
  </si>
  <si>
    <t>Anestetika lokální 2022</t>
  </si>
  <si>
    <t xml:space="preserve">LIDOKAIN </t>
  </si>
  <si>
    <t>TRIMEKAIN-HYDROCHLORID</t>
  </si>
  <si>
    <t>TRIMEKAIN-HYDROCHLORID A KARBETHOPENDECINIUM-BROMID</t>
  </si>
  <si>
    <t xml:space="preserve">BUPIVAKAIN  </t>
  </si>
  <si>
    <t xml:space="preserve">LEVOBUPIVAKAIN </t>
  </si>
  <si>
    <t>LIDOKAIN/PRILOKAIN</t>
  </si>
  <si>
    <t>EPINEFRIN/ARTIKAIN</t>
  </si>
  <si>
    <t>VZ-2022-001026</t>
  </si>
  <si>
    <t>Multienzymové přípravky 2022</t>
  </si>
  <si>
    <t>SMLN-2022-617-000657 SMLN-2022-614-000077</t>
  </si>
  <si>
    <t>SMLN-2022-617-000658 SMLN-2022-614-000078</t>
  </si>
  <si>
    <t>SMLN-2022-617-000659 SMLN-2022-614-000079</t>
  </si>
  <si>
    <t>SMLN-2022-617-000655</t>
  </si>
  <si>
    <t>VZ-2022-001024</t>
  </si>
  <si>
    <t>PD – Obnova nemovité kulturní památky Fort Tabulový vrch</t>
  </si>
  <si>
    <t>21.9.2022 zrušeno</t>
  </si>
  <si>
    <t>výpověď 9/22</t>
  </si>
  <si>
    <t>VZ-2022-001034</t>
  </si>
  <si>
    <t>Monotoring a hodnocení variability srdeční frekvence metodou spektrální analýzy</t>
  </si>
  <si>
    <t>VZ-2022-000998</t>
  </si>
  <si>
    <t>Nástroje chirurgické pro kliniky FNOL II.</t>
  </si>
  <si>
    <t>VZ-2022-000999</t>
  </si>
  <si>
    <t>Nástroje chirurgické pro kliniky FNOL III.</t>
  </si>
  <si>
    <t>33152200-5</t>
  </si>
  <si>
    <t>zrušeno - sanofi-aventis s.r.o. překročili nabídkovu cenu, vyloučeni 15.9.</t>
  </si>
  <si>
    <t>nová VZ-2022-001013</t>
  </si>
  <si>
    <t>22.9.-31.12.2022</t>
  </si>
  <si>
    <t>1.1.-21.9.2028</t>
  </si>
  <si>
    <t>14.9.-31.12.2022</t>
  </si>
  <si>
    <t>1.1.-13.9.2025</t>
  </si>
  <si>
    <t>1.1.-13.9.2026</t>
  </si>
  <si>
    <t>1.1.-21.9.2026</t>
  </si>
  <si>
    <t>1.1.-21.9.2025</t>
  </si>
  <si>
    <t>15.9.-31.12.2022</t>
  </si>
  <si>
    <t>1.1.-14.9.2025</t>
  </si>
  <si>
    <t>MEDISTYL- PHARMA a.s.</t>
  </si>
  <si>
    <t>1.1.-14.9.2026</t>
  </si>
  <si>
    <t>nová VZ-2022-000794</t>
  </si>
  <si>
    <t>Systém Atriclip PRO2 k uzávěru ouška levé síně (LAA)</t>
  </si>
  <si>
    <t>SMLN-2022-618-000057</t>
  </si>
  <si>
    <t>SMLN-2022-617-000663
SMLN-2022-612-000193</t>
  </si>
  <si>
    <t>SMLN-2022-617-000664
SMLN-2022-612-000194</t>
  </si>
  <si>
    <t>SMLN-2022-617-000665
SMLN-2022-612-000195</t>
  </si>
  <si>
    <t>SMLN-2022-617-000666</t>
  </si>
  <si>
    <t>SMLN-2022-618-000058</t>
  </si>
  <si>
    <t>LV Stavby Venclík s.r.o.</t>
  </si>
  <si>
    <t>SMLN-2022-617-000667</t>
  </si>
  <si>
    <t>VZ-2022-001049</t>
  </si>
  <si>
    <t>Nástroje chirurgické pro I.IK</t>
  </si>
  <si>
    <t>VZ-2022-001051</t>
  </si>
  <si>
    <t>Bronchoskopy jednorázové II</t>
  </si>
  <si>
    <t>nová VZ-2022-001051</t>
  </si>
  <si>
    <t>27.9.-31.12.2022</t>
  </si>
  <si>
    <t>1.1.-26.9.2028</t>
  </si>
  <si>
    <t>1.1.-26.9.2025</t>
  </si>
  <si>
    <t>27.9.2022 zrušeno</t>
  </si>
  <si>
    <t>Úpravny vody</t>
  </si>
  <si>
    <t>VZ-2022-001053-01</t>
  </si>
  <si>
    <t>VZ-2022-001053-02</t>
  </si>
  <si>
    <t>Úpravna vody pro OKB</t>
  </si>
  <si>
    <t>Úpravna vody pro SOUD</t>
  </si>
  <si>
    <t>42912330-4</t>
  </si>
  <si>
    <t>2.2.500.</t>
  </si>
  <si>
    <t>4.2.191, 2.3.613.</t>
  </si>
  <si>
    <t>VZ-2022-001055</t>
  </si>
  <si>
    <t>Nástroje chirurgické pro kliniky FNOL IV.</t>
  </si>
  <si>
    <t>SMLN-2022-617-000669</t>
  </si>
  <si>
    <t>SMLN-2022-617-000670</t>
  </si>
  <si>
    <t>SMLN-2022-617-000671</t>
  </si>
  <si>
    <t>SMLN-2022-617-000672</t>
  </si>
  <si>
    <t>SMLN-2022-617-000673</t>
  </si>
  <si>
    <t>SMLN-2022-618-000060</t>
  </si>
  <si>
    <t>W.H.A. system, spol. s r. o.</t>
  </si>
  <si>
    <t>SMLN-2022-617-000674
SMLN-2022-612-000196</t>
  </si>
  <si>
    <t>VZ-2022-001061</t>
  </si>
  <si>
    <t>Dodávka All-in-One pracovních stanic</t>
  </si>
  <si>
    <t>30214000-2</t>
  </si>
  <si>
    <t>VZ-2022-001063</t>
  </si>
  <si>
    <t xml:space="preserve">Dodání a montáž konvektomatu v budově WD </t>
  </si>
  <si>
    <t>4.2.190.</t>
  </si>
  <si>
    <t>VZ-2022-001064</t>
  </si>
  <si>
    <t>Radiofarmakum fluorocholine (18F) 2022</t>
  </si>
  <si>
    <t>30.9.20022</t>
  </si>
  <si>
    <t>VZ-2022-001071</t>
  </si>
  <si>
    <t>Chlazení místností ambulancí NCHIR v 1.NP, budova M3</t>
  </si>
  <si>
    <t>4.2.189.</t>
  </si>
  <si>
    <t>VZ-2022-001073</t>
  </si>
  <si>
    <t>LP s obsahem Adalimumabu 2022 II.</t>
  </si>
  <si>
    <t>nová VZ-2022-001073</t>
  </si>
  <si>
    <t>SMLN-2022-617-000649
SMLN-2022-614-000076</t>
  </si>
  <si>
    <t>3.10.2022 zrušeno</t>
  </si>
  <si>
    <t>SMLN-2022-617-000676</t>
  </si>
  <si>
    <t>SMLN-2022-617-000678</t>
  </si>
  <si>
    <t>SMLN-2022-617-000679</t>
  </si>
  <si>
    <t>F medical s.r.o.</t>
  </si>
  <si>
    <t>Medline International CZ s.r.o.</t>
  </si>
  <si>
    <t>4.10.-31.12.2022</t>
  </si>
  <si>
    <t>1.1.-3.10.2026</t>
  </si>
  <si>
    <t>1.1.-3.10.2025</t>
  </si>
  <si>
    <t>VZ-2022-001081</t>
  </si>
  <si>
    <t>Dodávka dectů 2022</t>
  </si>
  <si>
    <t>SMLN-2022-617-000680
SMLN-2022-612-000198</t>
  </si>
  <si>
    <t>KLARO , spol. s r.o.</t>
  </si>
  <si>
    <t>20.9.-31.12.2022</t>
  </si>
  <si>
    <t>1.1.-19.9.2026</t>
  </si>
  <si>
    <t>SMLN-2022-617-000681</t>
  </si>
  <si>
    <t>VZ-2022-001097</t>
  </si>
  <si>
    <t>Čistírna odpadních vod (ČOV) ve FNOL – oprava, rekonstrukce selektorů, aktivačních nádrží a technologie</t>
  </si>
  <si>
    <t>VZ-2022-001065</t>
  </si>
  <si>
    <t>Dodávka a zavedení síťové behaviorální analýzy</t>
  </si>
  <si>
    <t>3.2.61.</t>
  </si>
  <si>
    <t>Lukáš Dopita</t>
  </si>
  <si>
    <t>VZ-2022-001102</t>
  </si>
  <si>
    <t>VZ-2022-001103</t>
  </si>
  <si>
    <t>VZ-2022-001104-01</t>
  </si>
  <si>
    <t>VZ-2022-001104-02</t>
  </si>
  <si>
    <t>VZ-2022-001104-03</t>
  </si>
  <si>
    <t>LP s obsahem trifluridinu v kombinaci 2022</t>
  </si>
  <si>
    <t>LP s obsahem tisagenlekleucelu 2022</t>
  </si>
  <si>
    <t>ANTAGONISTÉ ALFA-ADRENERGNÍCH RECEPTORŮ 2022</t>
  </si>
  <si>
    <t>TAMSULOSIN</t>
  </si>
  <si>
    <t>TAMSULOSIN A DUTASTERID</t>
  </si>
  <si>
    <t>TAMSULOSIN A SOLIFENACIN</t>
  </si>
  <si>
    <t>SMLN-2022-617-000682</t>
  </si>
  <si>
    <t>SMLN-2022-617-000683</t>
  </si>
  <si>
    <t>SMLN-2022-617-000684</t>
  </si>
  <si>
    <t>SMLN-2022-612-000199</t>
  </si>
  <si>
    <t>IVAR ID Poděbrady, s.r.o.</t>
  </si>
  <si>
    <t>19.9.2022 zrušeno</t>
  </si>
  <si>
    <t>6.10.2022 zrušeno</t>
  </si>
  <si>
    <t>SMLN-2022-617-000687</t>
  </si>
  <si>
    <t>mySASY a.s.</t>
  </si>
  <si>
    <t>7.10.-31.12.2022</t>
  </si>
  <si>
    <t>1.1.-6.10.2026</t>
  </si>
  <si>
    <t>1.1.-6.10.2025</t>
  </si>
  <si>
    <t>SMLN-2022-617-000689
SMLN-2022-612-000200
SMLN-2022-617-000690</t>
  </si>
  <si>
    <t>SMLN-2022-618-000063</t>
  </si>
  <si>
    <t>VZ-2022-001111</t>
  </si>
  <si>
    <t>Poskytování úklidových služeb</t>
  </si>
  <si>
    <t>90910000-9</t>
  </si>
  <si>
    <t>VZ-2022-001060</t>
  </si>
  <si>
    <t>SMLN-2022-618-000064</t>
  </si>
  <si>
    <t xml:space="preserve">Dodatek </t>
  </si>
  <si>
    <t>VZ-2022-001113</t>
  </si>
  <si>
    <t>3D tiskárna s mycí a vytvrzovací stanicí</t>
  </si>
  <si>
    <t>2.2.502.</t>
  </si>
  <si>
    <t>SMLN-2022-617-000691
SMLN-2022-612-000201</t>
  </si>
  <si>
    <t>10.10.2022 zrušeno</t>
  </si>
  <si>
    <t>10.10.-31.12.2022</t>
  </si>
  <si>
    <t>1.1.-9.10.2025</t>
  </si>
  <si>
    <t>SMLN-2022-617-000693
SMLN-2022-612-000202</t>
  </si>
  <si>
    <t>SMLN-2022-617-000694
SMLN-2022-612-000203</t>
  </si>
  <si>
    <t>SMLN-2022-617-000695
SMLN-2022-612-000204</t>
  </si>
  <si>
    <t>1.1.-9.10.2026</t>
  </si>
  <si>
    <t>SMLN-2022-617-000696</t>
  </si>
  <si>
    <t>SMLN-2022-617-000697</t>
  </si>
  <si>
    <t>SMLN-2022-617-000699</t>
  </si>
  <si>
    <t>SMLN-2022-617-000698</t>
  </si>
  <si>
    <t>SMLN-2022-617-000700</t>
  </si>
  <si>
    <t>SMLN-2022-617-000701</t>
  </si>
  <si>
    <t>SMLN-2022-617-000702</t>
  </si>
  <si>
    <t>11.10.2022 zrušeno</t>
  </si>
  <si>
    <t>SMLN-2022-617-000703</t>
  </si>
  <si>
    <t>SMLN-2022-617-000704</t>
  </si>
  <si>
    <t>SMLN-2022-617-000705</t>
  </si>
  <si>
    <t>SMLN-2022-617-000706</t>
  </si>
  <si>
    <t>SMLN-2022-617-000707</t>
  </si>
  <si>
    <t>11.10.2022 nové kolečko s ViaPharma</t>
  </si>
  <si>
    <t>VZ-2022-001121</t>
  </si>
  <si>
    <t>Přístroj pro perfuzi dárcovské ledviny IV.</t>
  </si>
  <si>
    <t>nová VZ-2022-001121</t>
  </si>
  <si>
    <t>VZ-2022-001123-01</t>
  </si>
  <si>
    <t>Spotřební materiál k artroskopické věži Arthrex</t>
  </si>
  <si>
    <t>VZ-2022-001123-02</t>
  </si>
  <si>
    <t>VZ-2022-001123-03</t>
  </si>
  <si>
    <t>Set hadicový</t>
  </si>
  <si>
    <t>Frézy k shaveru, kompatibilní k ASK konzole Synergy Shaver AR-8305</t>
  </si>
  <si>
    <t>Elektrody (sondy) bipolární Apollo, radiofrekvenční ablace 50 a 90, odsávací i neodsávací</t>
  </si>
  <si>
    <t>1.1.-9.10.2024</t>
  </si>
  <si>
    <t>VZ-2022-001126</t>
  </si>
  <si>
    <t>Cytometr</t>
  </si>
  <si>
    <t>2.3.680.</t>
  </si>
  <si>
    <t>11.10.-31.12.2022</t>
  </si>
  <si>
    <t>1.1.-10.10.2025</t>
  </si>
  <si>
    <t>1.1.-10.10.2024</t>
  </si>
  <si>
    <t>SMLN-2022-617-000709</t>
  </si>
  <si>
    <t>19.9.-31.12.2022</t>
  </si>
  <si>
    <t>1.1.-18.9.2023</t>
  </si>
  <si>
    <t>VZ-2022-001130</t>
  </si>
  <si>
    <t>Sfinkterotom trojlumenný, rotační</t>
  </si>
  <si>
    <t>SMLN-2022-617-000710</t>
  </si>
  <si>
    <t>SMLN-2022-617-000711</t>
  </si>
  <si>
    <t>SMLN-2022-617-000712</t>
  </si>
  <si>
    <t>SMLN-2022-617-000713
SMLN-2022-614-000080</t>
  </si>
  <si>
    <t>SMLN-2022-617-000714
SMLN-2022-614-000081</t>
  </si>
  <si>
    <t>SMLN-2022-617-000715
SMLN-2022-614-000082</t>
  </si>
  <si>
    <t>SMLN-2022-617-000716
SMLN-2022-614-000083</t>
  </si>
  <si>
    <t>SMLN-2022-617-000717
SMLN-2022-614-000084</t>
  </si>
  <si>
    <t>SW pro hloubkovou mozkovou stimulaci (DBS)</t>
  </si>
  <si>
    <t>VZ-2022-001135</t>
  </si>
  <si>
    <t>CO2 Inkubátor pro Hemato-onkologickou kliniku II</t>
  </si>
  <si>
    <t>nová VZ-2022-001135</t>
  </si>
  <si>
    <t>13.10.-31.12.2022</t>
  </si>
  <si>
    <t>1.1.-12.10.2026</t>
  </si>
  <si>
    <t>nová VZ-2022-000503</t>
  </si>
  <si>
    <t>1.1.-12.10.2025</t>
  </si>
  <si>
    <t>VZ-2022-001137</t>
  </si>
  <si>
    <t xml:space="preserve">Tabletový transportní vozík </t>
  </si>
  <si>
    <t>4.2.193.</t>
  </si>
  <si>
    <t>VZ-2022-001139</t>
  </si>
  <si>
    <t xml:space="preserve">Oprava rozvodu a zajištění tlaku v rozvodech studené vody v areálu FNOL </t>
  </si>
  <si>
    <t>VZ-2022-001140</t>
  </si>
  <si>
    <t>Servis automatických dvěří FNOL</t>
  </si>
  <si>
    <t xml:space="preserve">50711000-2 </t>
  </si>
  <si>
    <t>SMLN-2022-617-000721
SMLN-2022-612-000205</t>
  </si>
  <si>
    <t>SMLN-2022-617-000722</t>
  </si>
  <si>
    <t>SMLN-2022-617-000723
SMLN-2022-614-000085</t>
  </si>
  <si>
    <t>SMLN-2022-617-000724
SMLN-2022-614-000086
SMLN-2022-616-000039</t>
  </si>
  <si>
    <t>VZ-2022-001145</t>
  </si>
  <si>
    <t>Výměna kompresorů v budově A,M</t>
  </si>
  <si>
    <t>51134000-0</t>
  </si>
  <si>
    <t>4.2.194.</t>
  </si>
  <si>
    <t>SMLN-2022-617-000727</t>
  </si>
  <si>
    <t>SMLN-2022-617-000728</t>
  </si>
  <si>
    <t>DACH-IZOL s.r.o.</t>
  </si>
  <si>
    <t xml:space="preserve">ELBASVIR A GRAZOPREVIR  </t>
  </si>
  <si>
    <t>SMLN-2022-617-000729</t>
  </si>
  <si>
    <t>SMLN-2022-617-000730</t>
  </si>
  <si>
    <t>SMLN-2022-617-000731</t>
  </si>
  <si>
    <t>SMLN-2022-617-000733</t>
  </si>
  <si>
    <t>18.10.-31.12.2022</t>
  </si>
  <si>
    <t>1.1.-17.10.2025</t>
  </si>
  <si>
    <t>VZ-2022-000861-02</t>
  </si>
  <si>
    <t>VZ-2022-000861-03</t>
  </si>
  <si>
    <t>VZ-2022-000861-04</t>
  </si>
  <si>
    <t>SMLN-2022-617-000735
SMLN-2022-612-000206</t>
  </si>
  <si>
    <t>19.10.2022 zrušeno</t>
  </si>
  <si>
    <r>
      <t xml:space="preserve">LP s obsahem trastuzumabu 2022 - </t>
    </r>
    <r>
      <rPr>
        <b/>
        <i/>
        <sz val="10.5"/>
        <rFont val="Calibri"/>
        <family val="2"/>
        <charset val="238"/>
        <scheme val="minor"/>
      </rPr>
      <t>sdružený nákup</t>
    </r>
    <r>
      <rPr>
        <sz val="10.5"/>
        <rFont val="Calibri"/>
        <family val="2"/>
        <charset val="238"/>
        <scheme val="minor"/>
      </rPr>
      <t xml:space="preserve">  </t>
    </r>
  </si>
  <si>
    <t>1.1.-17.10.2026</t>
  </si>
  <si>
    <t>SMLN-2022-617-000739</t>
  </si>
  <si>
    <t>SMLN-2022-617-000740</t>
  </si>
  <si>
    <t>SMLN-2022-617-000741</t>
  </si>
  <si>
    <t>SMLN-2022-617-000736</t>
  </si>
  <si>
    <t>SMLN-2022-617-000737</t>
  </si>
  <si>
    <t>SMLN-2022-617-000738</t>
  </si>
  <si>
    <t>19.10.-31.12.2022</t>
  </si>
  <si>
    <t>1.1.-18.10.2025</t>
  </si>
  <si>
    <t>SMLN-2022-617-000742
SMLN-2022-614-000087</t>
  </si>
  <si>
    <t>SMLN-2022-617-000743</t>
  </si>
  <si>
    <t>SMLN-2022-617-000744</t>
  </si>
  <si>
    <t>VZ-2022-001158-01</t>
  </si>
  <si>
    <t>VZ-2022-001158-02</t>
  </si>
  <si>
    <t>VZ-2022-001158-03</t>
  </si>
  <si>
    <t>VZ-2022-001158-04</t>
  </si>
  <si>
    <t>VZ-2022-001158-05</t>
  </si>
  <si>
    <t>Heparin I.</t>
  </si>
  <si>
    <t>ENOXAPARIN I.</t>
  </si>
  <si>
    <t>ENOXAPARIN II.</t>
  </si>
  <si>
    <t>BEMIPARIN</t>
  </si>
  <si>
    <t>nová VZ-2022-001158</t>
  </si>
  <si>
    <t>VZ-2022-001163-01</t>
  </si>
  <si>
    <t>LP ze skupiny cytostatik 2022</t>
  </si>
  <si>
    <t>ENFORTUMAB VEDOTIN</t>
  </si>
  <si>
    <t>IRINOTEKAN-SUKROSOFÁT</t>
  </si>
  <si>
    <t>SACITUZUMAB GOVITEKAN</t>
  </si>
  <si>
    <t>TEBENTAFUSP </t>
  </si>
  <si>
    <t>PRALSETINIB</t>
  </si>
  <si>
    <t>VZ-2022-001163-02</t>
  </si>
  <si>
    <t>VZ-2022-001163-03</t>
  </si>
  <si>
    <t>VZ-2022-001163-04</t>
  </si>
  <si>
    <t>VZ-2022-001163-05</t>
  </si>
  <si>
    <t>VZ-2022-001164</t>
  </si>
  <si>
    <t>Materiál spotřební k neuromonitoru včetně výpůjčky přístroje pro ORL</t>
  </si>
  <si>
    <t>33100000-1,33140000-3</t>
  </si>
  <si>
    <t>VZ-2022-001165</t>
  </si>
  <si>
    <t>LP s obsahem abirateronu 2022</t>
  </si>
  <si>
    <t>SMLN-2022-618-000065</t>
  </si>
  <si>
    <t>SMLN-2022-617-000746</t>
  </si>
  <si>
    <t>SMLN-2022-617-000748</t>
  </si>
  <si>
    <t>SMLN-2022-617-000749</t>
  </si>
  <si>
    <t>SMLN-2022-617-000750</t>
  </si>
  <si>
    <t>VZ-2022-001170</t>
  </si>
  <si>
    <t>Dodávka jehličkových tiskáren</t>
  </si>
  <si>
    <t xml:space="preserve"> 30232120-1</t>
  </si>
  <si>
    <t>SMLN-2022-617-000751</t>
  </si>
  <si>
    <t>SMLN-2022-617-000752</t>
  </si>
  <si>
    <t>SMLN-2022-617-000753</t>
  </si>
  <si>
    <t>SMLN-2022-617-000755</t>
  </si>
  <si>
    <t>21.10.2022 zrušeno</t>
  </si>
  <si>
    <t>Nástroje chirurgické pro NCHIR operační sály - rozšíření stávajícího instrumentária</t>
  </si>
  <si>
    <t>rozšíření stávajícího instrumentária dle katalogu Aesculap</t>
  </si>
  <si>
    <t>rozšíření stávajícího instrumentária dle katalogu  MEDICON eG</t>
  </si>
  <si>
    <t>VZ-2022-001172-01</t>
  </si>
  <si>
    <t>VZ-2022-001172-02</t>
  </si>
  <si>
    <t>VZ-2022-001173</t>
  </si>
  <si>
    <t>Poskytnutí služeb auditora v oblasti kybernetické bezpečnosti</t>
  </si>
  <si>
    <t>72150000-1</t>
  </si>
  <si>
    <t>24.10.-31.12.2022</t>
  </si>
  <si>
    <t>1.1.-23.10.2026</t>
  </si>
  <si>
    <t>1.1.-23.10.2025</t>
  </si>
  <si>
    <t>nová VZ-2022-000244</t>
  </si>
  <si>
    <t>nová VZ-2022-000551</t>
  </si>
  <si>
    <t>1.1.-23.10.2024</t>
  </si>
  <si>
    <t>1.1.-23.10.2023</t>
  </si>
  <si>
    <t>SMLN-2022-617-000756</t>
  </si>
  <si>
    <t>VZ-2022-001177</t>
  </si>
  <si>
    <t>Oprava MaR P1,P2,Q1,M2,WE</t>
  </si>
  <si>
    <t>51112200-2</t>
  </si>
  <si>
    <t>SMLN-2022-617-000757
SMLN-2022-612-000207</t>
  </si>
  <si>
    <t>SMLN-2022-617-000758</t>
  </si>
  <si>
    <t>VHT Vodohospodářské technologie s.r.o.</t>
  </si>
  <si>
    <t>SMLN-2022-618-000067</t>
  </si>
  <si>
    <t>SMLN-2022-617-000759
SMLN-2022-612-000208</t>
  </si>
  <si>
    <t>SMLN-2022-617-000760</t>
  </si>
  <si>
    <t>SMLN-2022-617-000761</t>
  </si>
  <si>
    <t>VZ-2022-001180</t>
  </si>
  <si>
    <t>PD – Stavební úpravy objektu J3 - KNM - lůžkové oddělení</t>
  </si>
  <si>
    <t>1.2.98.</t>
  </si>
  <si>
    <t>26.10.-31.12.2022</t>
  </si>
  <si>
    <t>1.1.-25.10.2026</t>
  </si>
  <si>
    <t>Systém pro odvod operačních zplodin  (spotřební materiál k přístroji)</t>
  </si>
  <si>
    <t>24.10.2022 zrušeno</t>
  </si>
  <si>
    <t>BILLMED GROUP s.r.o.</t>
  </si>
  <si>
    <t>SMLN-2022-617-000762</t>
  </si>
  <si>
    <t>SMLN-2022-617-000763</t>
  </si>
  <si>
    <t>SMLN-2022-617-000764</t>
  </si>
  <si>
    <t>SMLN-2022-617-000765</t>
  </si>
  <si>
    <t>SMLN-2022-617-000766</t>
  </si>
  <si>
    <t>SMLN-2022-617-000767</t>
  </si>
  <si>
    <t>5.2.3.  Kličky polypektomické k diatermické polypektomii, jednorázové pletené s přídavným opletením</t>
  </si>
  <si>
    <t>1.1.-25.10.2024</t>
  </si>
  <si>
    <t>31.10.2022 zrušeno</t>
  </si>
  <si>
    <t>nová VZ-2022-000850</t>
  </si>
  <si>
    <t>VZ-2022-001195</t>
  </si>
  <si>
    <t xml:space="preserve">Přímé inhibitory faktoru XA II. 2022 </t>
  </si>
  <si>
    <t>VZ-2022-001196</t>
  </si>
  <si>
    <t>Insulin Lispro II. 2022</t>
  </si>
  <si>
    <t>nová VZ-2022-001196</t>
  </si>
  <si>
    <t>VZ-2022-001198</t>
  </si>
  <si>
    <t>Dodání tabletového transportního vozíku II</t>
  </si>
  <si>
    <t>nová VZ-2022-001198</t>
  </si>
  <si>
    <t>VZ-2022-001203</t>
  </si>
  <si>
    <t>LP s obsahem cidofoviru 2022</t>
  </si>
  <si>
    <t>VZ-2022-001204-01</t>
  </si>
  <si>
    <t>KYSELINA AMINOSALICYLOVÁ A PODOBNÉ LÁTKY 2022</t>
  </si>
  <si>
    <t>MESALAZIN</t>
  </si>
  <si>
    <t>33614000-7</t>
  </si>
  <si>
    <t>SULFASALAZIN S POVIDONEM</t>
  </si>
  <si>
    <t>VZ-2022-001204-02</t>
  </si>
  <si>
    <t>1.11.-31.12.2022</t>
  </si>
  <si>
    <t>1.1.-31.10.2026</t>
  </si>
  <si>
    <t>Dialab spol. s r.o.</t>
  </si>
  <si>
    <t>SMLN-2022-617-000770</t>
  </si>
  <si>
    <t>JKKLIMA Technologie s.r.o.</t>
  </si>
  <si>
    <t>VZ-2022-001208-01</t>
  </si>
  <si>
    <t>Dezinfekční přípravky na podlahy, povrchy a předměty 2022</t>
  </si>
  <si>
    <t>Dezinfekční přípravky pro přímé použití a rychlou dezinfekci</t>
  </si>
  <si>
    <t>33741300-9</t>
  </si>
  <si>
    <t>Velké plochy, předměty</t>
  </si>
  <si>
    <t>VZ-2022-001208-02</t>
  </si>
  <si>
    <t>VZ-2022-001209</t>
  </si>
  <si>
    <t>Dezinfekce kůže a operačního pole 2022</t>
  </si>
  <si>
    <t>VZ-2022-001210-01</t>
  </si>
  <si>
    <t xml:space="preserve">Dezinfekce, mytí a ošetření rukou 2022, </t>
  </si>
  <si>
    <t>Dezinfekce, mytí a ošetření rukou I.</t>
  </si>
  <si>
    <t>Dezinfekce, mytí a ošetření rukou II.</t>
  </si>
  <si>
    <t>VZ-2022-001210-02</t>
  </si>
  <si>
    <t>VZ-2022-001211</t>
  </si>
  <si>
    <t>Úprava hygienického zařízení v 1.NP budovy RZE</t>
  </si>
  <si>
    <t>VZ-2022-001212</t>
  </si>
  <si>
    <t>Dezinfekční přípravky 2022</t>
  </si>
  <si>
    <t>VZ-2022-001213</t>
  </si>
  <si>
    <t>nová VZ-2022-001213</t>
  </si>
  <si>
    <t>SMLN-2022-617-000771
SMLN-2022-614-000088</t>
  </si>
  <si>
    <t>JPS s.r.o.</t>
  </si>
  <si>
    <t>SAJM COMP s.r.o.</t>
  </si>
  <si>
    <t>SMLN-2022-618-000068</t>
  </si>
  <si>
    <t>VZ-2022-001225</t>
  </si>
  <si>
    <t>Výměna výplní vnějších otvorů v budovách SZN, SZO, YB1</t>
  </si>
  <si>
    <t>SMLN-2022-617-000773
SMLN-2022-616-000042</t>
  </si>
  <si>
    <t>SMLN-2022-617-000776
SMLN-2022-614-000089</t>
  </si>
  <si>
    <t>SMLN-2022-617-000775
SMLN-2022-612-000209</t>
  </si>
  <si>
    <t>SMLN-2022-617-000777</t>
  </si>
  <si>
    <t>3.11.-31.12.2022</t>
  </si>
  <si>
    <t>1.1.-2.11.2025</t>
  </si>
  <si>
    <t>Mönlycke Health Care s.r.o.</t>
  </si>
  <si>
    <t xml:space="preserve">Roušky břišní NT speciál s RTG vláknem </t>
  </si>
  <si>
    <t>VZ-2022-001226</t>
  </si>
  <si>
    <t>Vyšetření tumormakrerů s výpůjčkou přístroje</t>
  </si>
  <si>
    <t>4.11.-31.12.2022</t>
  </si>
  <si>
    <t>1.1.-3.11.2026</t>
  </si>
  <si>
    <t>SMLN-2022-617-000778
SMLN-2022-612-000210</t>
  </si>
  <si>
    <t>VZ-2022-001232</t>
  </si>
  <si>
    <t>nová VZ-2022-001232</t>
  </si>
  <si>
    <t>VZ-2022-001123</t>
  </si>
  <si>
    <t>SMLN-2022-617-000779
SMLN-2022-612-000211
SMLN-2022-617-000780</t>
  </si>
  <si>
    <t>nová VZ-2022-000717</t>
  </si>
  <si>
    <t>SMLN-2022-617-000781
SMLN-2022-612-000212</t>
  </si>
  <si>
    <t>SMLN-2022-617-000782
SMLN-2022-612-000213</t>
  </si>
  <si>
    <t>VZ-2022-001233</t>
  </si>
  <si>
    <t>2.3.684.</t>
  </si>
  <si>
    <t>VZ-2022-001235</t>
  </si>
  <si>
    <t>Digitální dermatoskop</t>
  </si>
  <si>
    <t>2.2.501.</t>
  </si>
  <si>
    <t>SMLN-2022-617-000783</t>
  </si>
  <si>
    <t>SMLN-2022-617-000784</t>
  </si>
  <si>
    <t>Termocyklér</t>
  </si>
  <si>
    <t>ALINEX-Kácovská, s.r.o.</t>
  </si>
  <si>
    <t>INSULINUM GLARGINUM 100U</t>
  </si>
  <si>
    <t>INSULINUM GLARGINUM 300U</t>
  </si>
  <si>
    <t>SMLN-2022-617-000789</t>
  </si>
  <si>
    <t>SMLN-2022-617-000790</t>
  </si>
  <si>
    <t>SMLN-2022-617-000791</t>
  </si>
  <si>
    <t>SMLN-2022-617-000792</t>
  </si>
  <si>
    <t>VZ-2022-001242</t>
  </si>
  <si>
    <t>STAVEBNÍ ÚPRAVY BUDOVY L – TRANSFUZNÍ ODDĚLENÍ</t>
  </si>
  <si>
    <t>45000000-7</t>
  </si>
  <si>
    <t>8.11.-31.12.2022</t>
  </si>
  <si>
    <t>1.1.-7.11.2025</t>
  </si>
  <si>
    <t>VZ-2022-001245</t>
  </si>
  <si>
    <t>SMLN-2022-617-000793</t>
  </si>
  <si>
    <t>zrušeno - všichni účastníci odstoupili</t>
  </si>
  <si>
    <t>VZ-2022-001240</t>
  </si>
  <si>
    <t>VZ-2022-001256</t>
  </si>
  <si>
    <t>Nástroje chirurgické pro kliniky FNOL V.</t>
  </si>
  <si>
    <t>10.11.-31.12.2022</t>
  </si>
  <si>
    <t>1.1.-9.11.2025</t>
  </si>
  <si>
    <t>1.1.-9.11.2026</t>
  </si>
  <si>
    <t>SMLN-2022-618-000069</t>
  </si>
  <si>
    <t>SMLN-2022-617-000796
SMLN-2022-612-000214</t>
  </si>
  <si>
    <t>11.11.-31.12.2022</t>
  </si>
  <si>
    <t>1.1.-10.11.2026</t>
  </si>
  <si>
    <t>VZ-2022-001266</t>
  </si>
  <si>
    <t>Servis přístrojů výrobce GE</t>
  </si>
  <si>
    <t>14.11.2022 vyloučení Medtronic na podpis Ř</t>
  </si>
  <si>
    <t>SMLN-2022-617-000798</t>
  </si>
  <si>
    <t>VZ-2022-001267</t>
  </si>
  <si>
    <t>Oprava střešního pláště budovy P2</t>
  </si>
  <si>
    <t>SMLN-2022-612-000215</t>
  </si>
  <si>
    <t>SMLN-2022-617-000799
SMLN-2022-612-000216
SMLN-2022-617-000800</t>
  </si>
  <si>
    <t>SANICARE s.r.o.</t>
  </si>
  <si>
    <t>Dodatek snížení ceny na 2.515.453,- Kč bez DPH</t>
  </si>
  <si>
    <t>§</t>
  </si>
  <si>
    <t>SMLN-2022-617-000801</t>
  </si>
  <si>
    <t>SMLN-2022-617-000802</t>
  </si>
  <si>
    <t>VZ-2022-001281</t>
  </si>
  <si>
    <t>Oprava unifikovaného shromažďovacího místa Xa v areálu FNOL</t>
  </si>
  <si>
    <t>SMLN-2022-617-000806</t>
  </si>
  <si>
    <t>SMLN-2022-617-000803</t>
  </si>
  <si>
    <t>SMLN-2022-617-000804</t>
  </si>
  <si>
    <t>SMLN-2022-617-000807</t>
  </si>
  <si>
    <t>SMLN-2022-617-000805</t>
  </si>
  <si>
    <t>SMLN-2022-617-000788</t>
  </si>
  <si>
    <t>16.11.-31.12.2022</t>
  </si>
  <si>
    <t>1.1.-15.11.2025</t>
  </si>
  <si>
    <t>1.1.-15.11.2026</t>
  </si>
  <si>
    <t>14. Stengrafty aortální II</t>
  </si>
  <si>
    <t>SMLN-2022-617-000808
SMLN-2022-614-000090</t>
  </si>
  <si>
    <t>SMLN-2022-617-000811
SMLN-2022-614-000091</t>
  </si>
  <si>
    <t>SMLN-2022-617-000812
SMLN-2022-614-000092</t>
  </si>
  <si>
    <t>10.11.2022 zrušeno</t>
  </si>
  <si>
    <t>SMLN-2022-617-000814
SMLN-2022-612-000217</t>
  </si>
  <si>
    <t>SMLN-2022-617-000815
SMLN-2022-612-000218</t>
  </si>
  <si>
    <t>VZ-2022-001282</t>
  </si>
  <si>
    <t>PD - stavební úpravy budov H1, H2</t>
  </si>
  <si>
    <r>
      <t xml:space="preserve">Injekční stříkačky třídílné - </t>
    </r>
    <r>
      <rPr>
        <b/>
        <sz val="11"/>
        <rFont val="Calibri"/>
        <family val="2"/>
        <charset val="238"/>
        <scheme val="minor"/>
      </rPr>
      <t>sdružený nákup</t>
    </r>
  </si>
  <si>
    <t>VZ-2022-001286</t>
  </si>
  <si>
    <t>Radiofrekvenční elektrochirurgický generátor</t>
  </si>
  <si>
    <t>2.2.455.</t>
  </si>
  <si>
    <t>VZ-2022-001288-01</t>
  </si>
  <si>
    <t>Rigidní dlaha pro stabilizaci dolní krční páteře předním přístupem bikortikálně a monokortikálně</t>
  </si>
  <si>
    <t>Fúzní náhrada krční meziobratlové ploténky</t>
  </si>
  <si>
    <t>Expandibilní náhrada obratlového těla hrudní a bederní páteře</t>
  </si>
  <si>
    <t>Náhrada obratlového těla krční páteře</t>
  </si>
  <si>
    <t>VZ-2022-001288-02</t>
  </si>
  <si>
    <t>VZ-2022-001288-03</t>
  </si>
  <si>
    <t>VZ-2022-001288-04</t>
  </si>
  <si>
    <t>VZ-2022-001288-05</t>
  </si>
  <si>
    <t>VZ-2022-001288-06</t>
  </si>
  <si>
    <t>VZ-2022-001288-07</t>
  </si>
  <si>
    <t>VZ-2022-001288-08</t>
  </si>
  <si>
    <t>VZ-2022-001288-09</t>
  </si>
  <si>
    <t>VZ-2022-001288-10</t>
  </si>
  <si>
    <t>VZ-2022-001288-11</t>
  </si>
  <si>
    <t>VZ-2022-001288-12</t>
  </si>
  <si>
    <t>VZ-2022-001288-13</t>
  </si>
  <si>
    <t>dále nesoutěženo</t>
  </si>
  <si>
    <t>Katetr radioablační - svorka bipolární pro KCHIR</t>
  </si>
  <si>
    <t>VZ-2022-001290</t>
  </si>
  <si>
    <t>Nástroj laparoskopický k přístroji PlasmaJet pro PORGYN</t>
  </si>
  <si>
    <t>SMLN-2022-617-000819</t>
  </si>
  <si>
    <t>SMLN-2022-617-000820</t>
  </si>
  <si>
    <t>STAMO, s.r.o.</t>
  </si>
  <si>
    <t>SMLN-2022-617-000821</t>
  </si>
  <si>
    <t>SMLN-2022-612-000219</t>
  </si>
  <si>
    <t>VZ-2022-001299</t>
  </si>
  <si>
    <t>Hematologický analyzátor sedimentace erytrocytů</t>
  </si>
  <si>
    <t>2.2.511.</t>
  </si>
  <si>
    <t>Mölnlycke Health Care, s.r.o.</t>
  </si>
  <si>
    <t>VZ-2022-001302</t>
  </si>
  <si>
    <t>Katetr radioablační - svorka bipolární</t>
  </si>
  <si>
    <t>SMLN-2022-618-000070</t>
  </si>
  <si>
    <t>VZ-2022-001304</t>
  </si>
  <si>
    <t>Mobilní úpravna vody na principu reverzní osmózy</t>
  </si>
  <si>
    <t>2.2.512.</t>
  </si>
  <si>
    <t>VZ-2022-001303</t>
  </si>
  <si>
    <t>proebiz Hanka</t>
  </si>
  <si>
    <t>proebiz Hanka Valtová</t>
  </si>
  <si>
    <t>VZ-2022-001305</t>
  </si>
  <si>
    <t>Kleště ablační pro thorakoskopickou ablaci plicních žil</t>
  </si>
  <si>
    <t>JI-MEDICAL a.s.</t>
  </si>
  <si>
    <t>Stimcare, s.r.o.</t>
  </si>
  <si>
    <t>SMLN-2022-617-000822
SMLN-2022-616-000045</t>
  </si>
  <si>
    <t>23.11.-31.12.2022</t>
  </si>
  <si>
    <t>1.1.-22.11.2025</t>
  </si>
  <si>
    <t>SMLN-2022-617-000824</t>
  </si>
  <si>
    <t>SMLN-2022-617-000823</t>
  </si>
  <si>
    <t>Přenosný elastomerní infuzní systém INFUSOR LV</t>
  </si>
  <si>
    <t>VZ-2022-001307</t>
  </si>
  <si>
    <t>VZ-2022-001308</t>
  </si>
  <si>
    <t>Pozáruční servis imunohistochemického přístroje Ventana</t>
  </si>
  <si>
    <t>VZ-2022-001311</t>
  </si>
  <si>
    <t>Kancelářské potřeby papírové</t>
  </si>
  <si>
    <t>30199000-0</t>
  </si>
  <si>
    <t>VZ-2022-001313</t>
  </si>
  <si>
    <t>VZ-2022-001314-01</t>
  </si>
  <si>
    <t>Intervenční kardiologie II.</t>
  </si>
  <si>
    <t>1. Zavaděč - sety pro radiální přístup 5F a 6F (sheathy)</t>
  </si>
  <si>
    <t>VZ-2022-001314-02</t>
  </si>
  <si>
    <t>VZ-2022-001314-03</t>
  </si>
  <si>
    <t>VZ-2022-001314-04</t>
  </si>
  <si>
    <t>VZ-2022-001314-05</t>
  </si>
  <si>
    <t>3. Diagnostické katetry angiografické koronární - Katetry 5F a 6F</t>
  </si>
  <si>
    <t>4. Diagnostické katetry angiografické koronární - Diagnostické radiální katetry  5F dedikované pro oboustrannou katetrizaci</t>
  </si>
  <si>
    <t>7. Koronární (PTCA) vodiče - vodiče pro komplexní vinuté léze</t>
  </si>
  <si>
    <t>14. Aspirační katetry</t>
  </si>
  <si>
    <t>24.11.-31.12.2022</t>
  </si>
  <si>
    <t>1.1.-23.11.2025</t>
  </si>
  <si>
    <t>Chironax Frýdek - Místek s.r.o.</t>
  </si>
  <si>
    <t>28.11.-31.12.2022</t>
  </si>
  <si>
    <t>1.1.-27.11.2025</t>
  </si>
  <si>
    <t>1.1.-27.11.2026</t>
  </si>
  <si>
    <t>SMLN-2022-618-000071</t>
  </si>
  <si>
    <t xml:space="preserve">12. Vodící katetry - 6F </t>
  </si>
  <si>
    <t>25.11.2022 zrušeno</t>
  </si>
  <si>
    <t>VZ-2022-000933</t>
  </si>
  <si>
    <t>Audit účetní závěrky státní příspěvkové organizace FN Olomouc za období 2022 - 2025</t>
  </si>
  <si>
    <t>VZ-2022-001327</t>
  </si>
  <si>
    <t>Mísící zařízení</t>
  </si>
  <si>
    <t>38436500-5</t>
  </si>
  <si>
    <t>2.2.482.</t>
  </si>
  <si>
    <t>nová VZ-2022-001333</t>
  </si>
  <si>
    <t>VZ-2022-001333</t>
  </si>
  <si>
    <t>Oprava rozvodu a zajištění tlaku v rozvodech studené vody v areálu FNOL II</t>
  </si>
  <si>
    <t>nová VZ-2022-001335</t>
  </si>
  <si>
    <t>VZ-2022-001335</t>
  </si>
  <si>
    <t>Intraorální přístroj s přímou digitalizací II</t>
  </si>
  <si>
    <t>SMLN-2022-617-000826
SMLN-2022-612-000221</t>
  </si>
  <si>
    <t>SMLN-2022-617-000827
SMLN-2022-612-000222</t>
  </si>
  <si>
    <t>VZ-2022-001336</t>
  </si>
  <si>
    <t>Nástroje chirurgické pro kliniky FNOL VI.</t>
  </si>
  <si>
    <t>VZ-2022-001338</t>
  </si>
  <si>
    <t>Tlaková infuzní jednotka</t>
  </si>
  <si>
    <t>2.3.689.</t>
  </si>
  <si>
    <t>VZ-2022-001339</t>
  </si>
  <si>
    <t>2.3.685.</t>
  </si>
  <si>
    <t>30.11.-31.12.2022</t>
  </si>
  <si>
    <t>SMLN-2022-617-000831
SMLN-2022-614-000094</t>
  </si>
  <si>
    <t>SMLN-2022-617-000832
SMLN-2022-614-000095</t>
  </si>
  <si>
    <r>
      <t xml:space="preserve">VZ-2021-001207 zrušeno
</t>
    </r>
    <r>
      <rPr>
        <b/>
        <sz val="11"/>
        <rFont val="Calibri"/>
        <family val="2"/>
        <charset val="238"/>
        <scheme val="minor"/>
      </rPr>
      <t>nová VZ-2022-000872-01</t>
    </r>
  </si>
  <si>
    <t>VZ-2022-001342</t>
  </si>
  <si>
    <t>PD – Novostavba budovy P4</t>
  </si>
  <si>
    <t>SMLN-2022-617-000833
SMLN-2022-614-000096</t>
  </si>
  <si>
    <t>SMLN-2022-617-000834
SMLN-2022-614-000097</t>
  </si>
  <si>
    <t>SMLN-2022-617-000835
SMLN-2022-614-000098</t>
  </si>
  <si>
    <t>SMLN-2022-617-000836
SMLN-2022-614-000099</t>
  </si>
  <si>
    <t>W.H.A. systém, spol.  s r.o.</t>
  </si>
  <si>
    <t>VZ-2022-001345</t>
  </si>
  <si>
    <t>38. Vodící dráty k vaskulárním neurointervencím</t>
  </si>
  <si>
    <t>ASSA ABLOY Entrance Systems, spol. s r.o.</t>
  </si>
  <si>
    <t>Veolia Energie ČR, a.s.</t>
  </si>
  <si>
    <t>1.12.2022 zrušeno</t>
  </si>
  <si>
    <t>1.12.-31.12.2022</t>
  </si>
  <si>
    <t>1.1.-30.11.2025</t>
  </si>
  <si>
    <t>1.1.-30.11.2026</t>
  </si>
  <si>
    <t>zrušeno - odstoupení účastníků od nabídky</t>
  </si>
  <si>
    <t>VZ-2022-001353-01</t>
  </si>
  <si>
    <r>
      <t xml:space="preserve">Antagonisté serotoninových 5TH3 receptorů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</si>
  <si>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VZ-2022-001353-02</t>
  </si>
  <si>
    <t>VZ-2022-001353-03</t>
  </si>
  <si>
    <t>ONDANSETRON</t>
  </si>
  <si>
    <t>GRANISETRON</t>
  </si>
  <si>
    <t>PALONOSETRON</t>
  </si>
  <si>
    <t>VZ-2022-001354-01</t>
  </si>
  <si>
    <t>VZ-2022-001354-02</t>
  </si>
  <si>
    <t>VZ-2022-001355-01</t>
  </si>
  <si>
    <t>VZ-2022-001355-02</t>
  </si>
  <si>
    <t>LP s obsahem sildenafilu 2022</t>
  </si>
  <si>
    <t>Sildenafil pro pacienty s indikací arteriální plicní hypertenze ve funkční třídě II. dle klasifikace NYHA</t>
  </si>
  <si>
    <t>Sildenafil pro pacienty s indikací erektivní disfunkce</t>
  </si>
  <si>
    <r>
      <t xml:space="preserve">Jiné hormony předního laloku hypofýzy a analoga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</si>
  <si>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>Jiné hormony předního laloku hypofýzy a analoga 2022 -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</si>
  <si>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>THYROTROPIN ALFA</t>
  </si>
  <si>
    <t>PEGVISOMANT</t>
  </si>
  <si>
    <t>2.12.-31.12.2022</t>
  </si>
  <si>
    <t>1.1.-1.12.2026</t>
  </si>
  <si>
    <t>SMLN-2022-618-000072</t>
  </si>
  <si>
    <t>SMLN-2022-617-000839
SMLN-2022-614-000100</t>
  </si>
  <si>
    <t>VZ-2022-001360</t>
  </si>
  <si>
    <t>LP s obsahem mesalazinu 2022</t>
  </si>
  <si>
    <t>VZ-2022-001314-06</t>
  </si>
  <si>
    <t>VZ-2022-001314-07</t>
  </si>
  <si>
    <t>VZ-2022-001314-08</t>
  </si>
  <si>
    <t>VZ-2022-001314-09</t>
  </si>
  <si>
    <t>12.1. Vodící katetry - 6F - standardní</t>
  </si>
  <si>
    <t>12.2.Vodící katetry – 6F – s prodlouženým atraumatickým tipem</t>
  </si>
  <si>
    <t>12.3. Vodící katetry - 6F  - se zvýšenou oporou</t>
  </si>
  <si>
    <t>nová VZ-2022-001361</t>
  </si>
  <si>
    <t>SMLN-2022-617-000841
SMLN-2022-612-000224</t>
  </si>
  <si>
    <t>VZ-2022-001361</t>
  </si>
  <si>
    <t>LP s obsahem dexmedetomidinu 2022 II.</t>
  </si>
  <si>
    <t>VZ-2022-001365</t>
  </si>
  <si>
    <t>SMLN-2022-618-000073</t>
  </si>
  <si>
    <r>
      <rPr>
        <b/>
        <sz val="11"/>
        <color rgb="FFFF0000"/>
        <rFont val="Calibri"/>
        <family val="2"/>
        <charset val="238"/>
        <scheme val="minor"/>
      </rPr>
      <t xml:space="preserve">VZ-2022-000961-08
</t>
    </r>
    <r>
      <rPr>
        <b/>
        <sz val="11"/>
        <rFont val="Calibri"/>
        <family val="2"/>
        <charset val="238"/>
        <scheme val="minor"/>
      </rPr>
      <t>VZ-2022-001314-06</t>
    </r>
    <r>
      <rPr>
        <b/>
        <sz val="11"/>
        <color theme="1"/>
        <rFont val="Calibri"/>
        <family val="2"/>
        <charset val="238"/>
        <scheme val="minor"/>
      </rPr>
      <t xml:space="preserve"> (07, 08)</t>
    </r>
  </si>
  <si>
    <t>VZ-2022-001367</t>
  </si>
  <si>
    <t>Čistíci prostředky a jiné drogistiské zboží 2023</t>
  </si>
  <si>
    <t>VZ-2022-001369-01</t>
  </si>
  <si>
    <t>VZ-2022-001369-02</t>
  </si>
  <si>
    <t>Sensory k systémům INVOS</t>
  </si>
  <si>
    <t>Sensory k systémům Fore-sight ELITE a HemoSphere</t>
  </si>
  <si>
    <t>SMLN-2022-617-000844
SMLN-2022-612-000225</t>
  </si>
  <si>
    <t>SMLN-2022-617-000845</t>
  </si>
  <si>
    <t>SMLN-2022-617-000846</t>
  </si>
  <si>
    <t>SMLN-2022-617-000847</t>
  </si>
  <si>
    <t>SMLN-2022-617-000848</t>
  </si>
  <si>
    <t>SMLN-2022-617-000849</t>
  </si>
  <si>
    <t>6.12.-31.12.2022</t>
  </si>
  <si>
    <t>1.1.-5.12.2025</t>
  </si>
  <si>
    <t>7.12.-31.12.2022</t>
  </si>
  <si>
    <r>
      <rPr>
        <sz val="11"/>
        <color rgb="FFFF0000"/>
        <rFont val="Calibri"/>
        <family val="2"/>
        <charset val="238"/>
        <scheme val="minor"/>
      </rPr>
      <t>VZ-2022-000788 zrušeno</t>
    </r>
    <r>
      <rPr>
        <sz val="11"/>
        <color theme="1"/>
        <rFont val="Calibri"/>
        <family val="2"/>
        <charset val="238"/>
        <scheme val="minor"/>
      </rPr>
      <t xml:space="preserve">
nová VZ-2022-000930-01</t>
    </r>
  </si>
  <si>
    <t>6.12.2022 zrušeno</t>
  </si>
  <si>
    <t>účastní se pouze FN BRNO</t>
  </si>
  <si>
    <t>SMLN-2022-617-000850</t>
  </si>
  <si>
    <t>SMLN-2022-617-000828</t>
  </si>
  <si>
    <t>1.1.-7.12.2026</t>
  </si>
  <si>
    <t>SMLN-2022-612-000226</t>
  </si>
  <si>
    <t>SMLN-2022-617-000855</t>
  </si>
  <si>
    <t>nebude realizováno v roce 2022</t>
  </si>
  <si>
    <t>VZ-2022-001380</t>
  </si>
  <si>
    <t xml:space="preserve">Set pro transapikální implantaci biologické mitrální chlopně prasečí </t>
  </si>
  <si>
    <t>nová VZ-2022-001382</t>
  </si>
  <si>
    <t>VZ-2022-001382</t>
  </si>
  <si>
    <t>Analyzátor otoakustických emisí II</t>
  </si>
  <si>
    <t>SMLN-2022-612-000227</t>
  </si>
  <si>
    <t>Reg- Pharm, s.r.o.</t>
  </si>
  <si>
    <t>SMLN-2022-617-000859
SMLN-2022-612-000229</t>
  </si>
  <si>
    <t>SMLN-2022-617-000829</t>
  </si>
  <si>
    <t>SMLN-2022-617-000830</t>
  </si>
  <si>
    <t>12.12.-31.12.2022</t>
  </si>
  <si>
    <t>1.1.-11.12.2025</t>
  </si>
  <si>
    <t>1.1.-11.12.2026</t>
  </si>
  <si>
    <t>13.12.-31.12.2022</t>
  </si>
  <si>
    <t>1.1.-12.12.2026</t>
  </si>
  <si>
    <t>1.1.-12.12.2025</t>
  </si>
  <si>
    <t>14.12.2022 zrušeno</t>
  </si>
  <si>
    <t>PHOENIX lék. velkoobchod, s.r.o.</t>
  </si>
  <si>
    <t>SMLN-2022-617-000862</t>
  </si>
  <si>
    <t>SMLN-2022-617-000863</t>
  </si>
  <si>
    <t>15.12.2022 zrušeno</t>
  </si>
  <si>
    <t>SMLN-2022-617-000866</t>
  </si>
  <si>
    <t>SMLN-2022-617-000867
SMLN-2022-612-000231
SMLN-2022-617-000868</t>
  </si>
  <si>
    <t>15.12.-31.12.2022</t>
  </si>
  <si>
    <t>1.1.-14.12.2026</t>
  </si>
  <si>
    <t>VZ-2022-001399</t>
  </si>
  <si>
    <t>Sutura menisku-Kotva na meniskus-souprava</t>
  </si>
  <si>
    <t>nebude realizováno v roce 2022 - bude se upravovat zadání</t>
  </si>
  <si>
    <t>16.12.2022 zrušeno</t>
  </si>
  <si>
    <t>SMLN-2022-618-000077</t>
  </si>
  <si>
    <t>SMLN-2022-612-000232</t>
  </si>
  <si>
    <t>SMLN-2022-617-000869</t>
  </si>
  <si>
    <t>zrušeno - jedinný účastník odstoupil od nabídky</t>
  </si>
  <si>
    <t>SMLN-2022-617-000870
SMLN-2022-612-000233</t>
  </si>
  <si>
    <t>SMLN-2022-618-000078</t>
  </si>
  <si>
    <t>zrušeno - úprava zadání VV</t>
  </si>
  <si>
    <t>MGVIVA a.s.</t>
  </si>
  <si>
    <t>VZ-2022-001402</t>
  </si>
  <si>
    <t>Immedica Pharma AB</t>
  </si>
  <si>
    <t>SMLN-2022-617-000708</t>
  </si>
  <si>
    <t>19.12.-31.12.2022</t>
  </si>
  <si>
    <t>1.1.-18.12.2026</t>
  </si>
  <si>
    <t>1.1.-18.12.2025</t>
  </si>
  <si>
    <t>SMLN-2022-617-000873</t>
  </si>
  <si>
    <t>SMLN-2022-617-000874</t>
  </si>
  <si>
    <t>SMLN-2022-617-000875</t>
  </si>
  <si>
    <t>21.12.2022 zrušeno</t>
  </si>
  <si>
    <t>Alliance Healthcare, s.r.o.</t>
  </si>
  <si>
    <t>20.12.-31.12.2022</t>
  </si>
  <si>
    <t>1.1.-19.12.2025</t>
  </si>
  <si>
    <t>1.1.-19.12.2024</t>
  </si>
  <si>
    <t>VZ-2022-001410</t>
  </si>
  <si>
    <t>Monitory</t>
  </si>
  <si>
    <t>2.2.505.</t>
  </si>
  <si>
    <t>SMLN-2022-617-000880</t>
  </si>
  <si>
    <t>SMLN-2022-617-000882</t>
  </si>
  <si>
    <t>SMLN-2022-617-000883</t>
  </si>
  <si>
    <t>SMLN-2022-617-000885</t>
  </si>
  <si>
    <t>SMLN-2022-617-000886</t>
  </si>
  <si>
    <t>SMLN-2022-617-000887</t>
  </si>
  <si>
    <t>DigiTry + Siebert+Talaš</t>
  </si>
  <si>
    <t>SMLN-2022-617-000889
SMLN-2022-612-000235
SMLN-2022-617-000890</t>
  </si>
  <si>
    <t>SMLN-2022-617-000891
SMLN-2022-612-000236</t>
  </si>
  <si>
    <t>SMLN-2022-612-000234</t>
  </si>
  <si>
    <t>SMLN-2022-617-000888</t>
  </si>
  <si>
    <t>VZ-2022-001412</t>
  </si>
  <si>
    <t>Servis ESSER + C4, NZS-Ero, instalační a montážní práce</t>
  </si>
  <si>
    <t>45312100-8</t>
  </si>
  <si>
    <t>VZ-2022-001406</t>
  </si>
  <si>
    <t>Výroba a montáž nábytku 3/2022</t>
  </si>
  <si>
    <t>SMLN-2022-617-000892
SMLN-2022-614-000102</t>
  </si>
  <si>
    <t>SMLN-2022-617-000893
SMLN-2022-614-000103</t>
  </si>
  <si>
    <t>SMLN-2022-617-000894
SMLN-2022-614-000104</t>
  </si>
  <si>
    <t>SMLN-2022-617-000895
SMLN-2022-614-000105</t>
  </si>
  <si>
    <t>SMLN-2022-617-000896
SMLN-2022-614-000106</t>
  </si>
  <si>
    <t>SMLN-2022-617-000897
SMLN-2022-614-000107</t>
  </si>
  <si>
    <t>SMLN-2022-617-000898
SMLN-2022-614-000108</t>
  </si>
  <si>
    <t>Počet z Smlouva podepsána2</t>
  </si>
  <si>
    <t>SMLN-2022-617-000900
SMLN-2022-616-000048</t>
  </si>
  <si>
    <t>SMLN-2022-618-000080</t>
  </si>
  <si>
    <t>22.12.2022 zrušeno</t>
  </si>
  <si>
    <t>23.12.-31.12.2022</t>
  </si>
  <si>
    <t>1.1.-22.12.2026</t>
  </si>
  <si>
    <t>23.-31.12.2022</t>
  </si>
  <si>
    <r>
      <rPr>
        <b/>
        <sz val="11"/>
        <color rgb="FFFF0000"/>
        <rFont val="Calibri"/>
        <family val="2"/>
        <charset val="238"/>
        <scheme val="minor"/>
      </rPr>
      <t>VZ-2022-001369-01</t>
    </r>
    <r>
      <rPr>
        <sz val="11"/>
        <color theme="1"/>
        <rFont val="Calibri"/>
        <family val="2"/>
        <charset val="238"/>
        <scheme val="minor"/>
      </rPr>
      <t xml:space="preserve">
VZ-2022-001415</t>
    </r>
  </si>
  <si>
    <t>VZ-2022-001415</t>
  </si>
  <si>
    <t>Senzory k měření cerebrální oxymetrie k systémům INVOS</t>
  </si>
  <si>
    <t>nová VZ-2022-001415</t>
  </si>
  <si>
    <t>VZ-2022-001416</t>
  </si>
  <si>
    <t>Sekvenování DNA</t>
  </si>
  <si>
    <t>SMLN-2022-617-000904</t>
  </si>
  <si>
    <t>VZ-2022-001417</t>
  </si>
  <si>
    <t>Regály pro OCS</t>
  </si>
  <si>
    <t>Servisní podpora informačního systému transfuzního oddělení</t>
  </si>
  <si>
    <t>30.12.2022 zrušeno</t>
  </si>
  <si>
    <t>VZ-2023-000001</t>
  </si>
  <si>
    <t>Kancelářské potřeby papírové 2023</t>
  </si>
  <si>
    <t>nová VZ-2023-000001</t>
  </si>
  <si>
    <t>VZ-2023-000002</t>
  </si>
  <si>
    <t>DIAG</t>
  </si>
  <si>
    <t>Zemánková</t>
  </si>
  <si>
    <t>Stanovení glykovaného hemoglobinu s výpůjčkou analyzátoru</t>
  </si>
  <si>
    <t>VZ-2023-000003</t>
  </si>
  <si>
    <t>Elektroforéza proteinů OKB 2022 včetně výpůjčky analyzátorů</t>
  </si>
  <si>
    <t>Diagnostická radiofarmaka</t>
  </si>
  <si>
    <t>VZ-2023-000004-01</t>
  </si>
  <si>
    <t>VZ-2023-000004-02</t>
  </si>
  <si>
    <t>VZ-2023-000004-03</t>
  </si>
  <si>
    <t>Radionuklidový generátor (99Mo/99Tc) o aktivitě 6,45 GBq 99Mo k datu kalibrace</t>
  </si>
  <si>
    <t>Radionuklidový generátor (99Mo/99Tc) o aktivitě 10,75 GBq 99Mo k datu kalibrace</t>
  </si>
  <si>
    <t>Fludeoxythimidin (18F)</t>
  </si>
  <si>
    <t>VZ-2023-000005-01</t>
  </si>
  <si>
    <t>VZ-2023-000005-02</t>
  </si>
  <si>
    <t>VZ-2023-000005-03</t>
  </si>
  <si>
    <t>VZ-2023-000005-04</t>
  </si>
  <si>
    <t>VZ-2023-000005-05</t>
  </si>
  <si>
    <t>VZ-2023-000005-06</t>
  </si>
  <si>
    <t>Parenterální výživa I.</t>
  </si>
  <si>
    <t>tříkomorové vaky k aplikaci do centrální žíly I.</t>
  </si>
  <si>
    <t>tříkomorové vaky k aplikaci do centrální žíly II.</t>
  </si>
  <si>
    <t>tříkomorové vaky k aplikaci do centrální žíly III.</t>
  </si>
  <si>
    <t>tříkomorové vaky k aplikaci do centrální žíly IV.</t>
  </si>
  <si>
    <t>tříkomorové vaky k aplikaci do centrální žíly V.</t>
  </si>
  <si>
    <t>tříkomorové vaky k aplikaci do centrální žíly VI.</t>
  </si>
  <si>
    <t>VZ-2023-000006-01</t>
  </si>
  <si>
    <t>VZ-2023-000006-02</t>
  </si>
  <si>
    <t>VZ-2023-000006-03</t>
  </si>
  <si>
    <t>VZ-2023-000006-04</t>
  </si>
  <si>
    <t>VZ-2023-000006-05</t>
  </si>
  <si>
    <t>VZ-2023-000006-06</t>
  </si>
  <si>
    <t>Parenterální výživa II.</t>
  </si>
  <si>
    <t>tříkomorové vaky k aplikaci do centrální žíly VII.</t>
  </si>
  <si>
    <t>tříkomorové vaky k aplikaci do centrální žíly VIII.</t>
  </si>
  <si>
    <t>tříkomorové vaky k aplikaci do centrální žíly IX.</t>
  </si>
  <si>
    <t>tříkomorové vaky k aplikaci do centrální žíly X.</t>
  </si>
  <si>
    <t>tříkomorové vaky k aplikaci do centrální žíly XI.</t>
  </si>
  <si>
    <t>tříkomorové vaky k aplikaci do centrální žíly XII.</t>
  </si>
  <si>
    <t>tříkomorové vaky k aplikaci do centrální žíly XIII.</t>
  </si>
  <si>
    <t>tříkomorové vaky k aplikaci do centrální žíly XIV.</t>
  </si>
  <si>
    <t>Parenterální výživa III.</t>
  </si>
  <si>
    <t>VZ-2023-000007-01</t>
  </si>
  <si>
    <t>VZ-2023-000007-02</t>
  </si>
  <si>
    <t>Parenterální výživa IV.</t>
  </si>
  <si>
    <t>VZ-2023-000008-01</t>
  </si>
  <si>
    <t>VZ-2023-000008-02</t>
  </si>
  <si>
    <t>VZ-2023-000008-03</t>
  </si>
  <si>
    <t>VZ-2023-000008-04</t>
  </si>
  <si>
    <t>VZ-2023-000008-05</t>
  </si>
  <si>
    <t>VZ-2023-000008-06</t>
  </si>
  <si>
    <t>tříkomorové vaky k aplikaci do centrální žíly XV.</t>
  </si>
  <si>
    <t>tříkomorové vaky k aplikaci do centrální žíly XVI.</t>
  </si>
  <si>
    <t>tříkomorové vaky k aplikaci do centrální žíly XVII.</t>
  </si>
  <si>
    <t>tříkomorové vaky k aplikaci do centrální žíly XVIII.</t>
  </si>
  <si>
    <t>tříkomorové vaky k aplikaci do centrální žíly XIX.</t>
  </si>
  <si>
    <t>tříkomorové vaky k aplikaci do centrální žíly XX.</t>
  </si>
  <si>
    <t>Parenterální výživa V.</t>
  </si>
  <si>
    <t>VZ-2023-000009-01</t>
  </si>
  <si>
    <t>VZ-2023-000009-02</t>
  </si>
  <si>
    <t>VZ-2023-000009-03</t>
  </si>
  <si>
    <t>VZ-2023-000009-04</t>
  </si>
  <si>
    <t>VZ-2023-000009-05</t>
  </si>
  <si>
    <t>VZ-2023-000009-06</t>
  </si>
  <si>
    <t>VZ-2023-000009-07</t>
  </si>
  <si>
    <t>Parenterální výživa VI.</t>
  </si>
  <si>
    <t>VZ-2023-000010-01</t>
  </si>
  <si>
    <t>VZ-2023-000010-02</t>
  </si>
  <si>
    <t>VZ-2023-000010-03</t>
  </si>
  <si>
    <t>VZ-2023-000010-04</t>
  </si>
  <si>
    <t>VZ-2023-000010-05</t>
  </si>
  <si>
    <t>VZ-2023-000010-06</t>
  </si>
  <si>
    <t>VZ-2023-000011</t>
  </si>
  <si>
    <t>Pipetovací automat</t>
  </si>
  <si>
    <t>2.2.481.</t>
  </si>
  <si>
    <t>VZ-2023-000012-01</t>
  </si>
  <si>
    <t>VZ-2023-000012-02</t>
  </si>
  <si>
    <t>Parenterální výživa VII.</t>
  </si>
  <si>
    <t>Mediset-Chironax s.r.o.</t>
  </si>
  <si>
    <t>VZ-2023-000013</t>
  </si>
  <si>
    <t>Zajištění pozáručního servisu IBM zařízení</t>
  </si>
  <si>
    <t>VZ-2023-000014</t>
  </si>
  <si>
    <t>EEG modul pro stávající intraoperační neuromonitoraci</t>
  </si>
  <si>
    <t>2.3.692.</t>
  </si>
  <si>
    <t>VZ-2023-000015</t>
  </si>
  <si>
    <t>tříkomorové vaky k aplikaci do centrální a periferní žíly I.</t>
  </si>
  <si>
    <t>tříkomorové vaky k aplikaci do centrální a periferní žíly II.</t>
  </si>
  <si>
    <t>tříkomorové vaky k aplikaci do centrální a periferní žíly III.</t>
  </si>
  <si>
    <t>tříkomorové vaky k aplikaci do centrální a periferní žíly IV.</t>
  </si>
  <si>
    <t>tříkomorové vaky k aplikaci do centrální a periferní žíly V.</t>
  </si>
  <si>
    <t>tříkomorové vaky k aplikaci do centrální a periferní žíly VI.</t>
  </si>
  <si>
    <t>tříkomorové vaky k aplikaci do centrální a periferní žíly VII.</t>
  </si>
  <si>
    <t>dvoukomorové vaky s apikací do centrální žíly I.</t>
  </si>
  <si>
    <t>dvoukomorové vaky s apikací do centrální žíly II.</t>
  </si>
  <si>
    <t>dvoukomorové vaky s apikací do centrální žíly III.</t>
  </si>
  <si>
    <t>dvoukomorové vaky s apikací do centrální žíly IV.</t>
  </si>
  <si>
    <t>dvoukomorové vaky s apikací do centrální žíly V.</t>
  </si>
  <si>
    <t>dvoukomorové vaky s apikací do centrální žíly VI.</t>
  </si>
  <si>
    <t>dvoukomorové vaky s apikací do centrální a periferní žíly I.</t>
  </si>
  <si>
    <t>dvoukomorové vaky s apikací do centrální a periferní žíly II.</t>
  </si>
  <si>
    <t>VZ-2023-000017</t>
  </si>
  <si>
    <t>2.3.691.</t>
  </si>
  <si>
    <t>SMLN-2023-617-000006</t>
  </si>
  <si>
    <t>VZ-2023-000020</t>
  </si>
  <si>
    <t>Katétr pro dočasnou stimulaci Pacel a zavaděč EF katetrů perkutánní pro dočasnou stimulaci Fastcath</t>
  </si>
  <si>
    <t>Administrátor</t>
  </si>
  <si>
    <t>Zdražilová</t>
  </si>
  <si>
    <t>Bodinková</t>
  </si>
  <si>
    <t>Kučera</t>
  </si>
  <si>
    <t>Staňková</t>
  </si>
  <si>
    <t>Přikrylová</t>
  </si>
  <si>
    <t>VZ-2023-000022-01</t>
  </si>
  <si>
    <t>VZ-2023-000022-02</t>
  </si>
  <si>
    <t xml:space="preserve"> Rukavice vyšetřovací nitrilové, nesterilní bez pudru</t>
  </si>
  <si>
    <t>Rukavice vyšetřovací nitrilové, nesterilní bez pudru, prodloužené</t>
  </si>
  <si>
    <t>VZ-2023-000027</t>
  </si>
  <si>
    <t>SMLN-2023-617-000010</t>
  </si>
  <si>
    <t>VZ-2023-000028</t>
  </si>
  <si>
    <t>Velkokapacitní forma na čípky</t>
  </si>
  <si>
    <t>2.3.644.</t>
  </si>
  <si>
    <t>VZ-2023-000029</t>
  </si>
  <si>
    <t>Echokardiografický systém</t>
  </si>
  <si>
    <t>23.12.2022 vyloučen MEDILAB</t>
  </si>
  <si>
    <t>VZ-2023-000030</t>
  </si>
  <si>
    <t>SMLN-2023-617-000012</t>
  </si>
  <si>
    <t>VZ-2023-000032</t>
  </si>
  <si>
    <t>VZ-2023-000033</t>
  </si>
  <si>
    <t>Úprava hygienického zařízení v 2.NP budovy R</t>
  </si>
  <si>
    <t>SpineMedical s.r.o.</t>
  </si>
  <si>
    <t>6.1.2023 zrušeno</t>
  </si>
  <si>
    <t>VZ-2023-000036</t>
  </si>
  <si>
    <t>Systém k endovaskulárnímu zajištění fixace aortálních stentgraftů</t>
  </si>
  <si>
    <t>SMLN-2023-617-000015</t>
  </si>
  <si>
    <t>SMLN-2023-617-000016</t>
  </si>
  <si>
    <t>SMLN-2023-617-000017</t>
  </si>
  <si>
    <t>VZ-2023-000037-01</t>
  </si>
  <si>
    <t>VZ-2023-000037-02</t>
  </si>
  <si>
    <t>VZ-2023-000037-03</t>
  </si>
  <si>
    <t>VZ-2023-000037-04</t>
  </si>
  <si>
    <t>Urologická klinika</t>
  </si>
  <si>
    <t>HOK</t>
  </si>
  <si>
    <t>Neurochirurgie</t>
  </si>
  <si>
    <t>Neurologie</t>
  </si>
  <si>
    <t>2.3.636.</t>
  </si>
  <si>
    <t>2.3.609.</t>
  </si>
  <si>
    <t>2.3.645.</t>
  </si>
  <si>
    <t>SMLN-2023-617-000018
SMLN-2023-614-000001</t>
  </si>
  <si>
    <t>SMLN-2023-617-000019
SMLN-2023-614-000002</t>
  </si>
  <si>
    <t>VZ-2022-001025-05</t>
  </si>
  <si>
    <t>VZ-2022-001025-07</t>
  </si>
  <si>
    <t>VZ-2022-001025-01</t>
  </si>
  <si>
    <t>VZ-2022-001025-02</t>
  </si>
  <si>
    <t>VZ-2022-001025-03</t>
  </si>
  <si>
    <t>VZ-2022-001025-04</t>
  </si>
  <si>
    <t>VZ-2022-001025-06</t>
  </si>
  <si>
    <t>Medsol, s.r.o.</t>
  </si>
  <si>
    <t>SMLN-2023-617-000021</t>
  </si>
  <si>
    <t>SMLN-2023-617-000022</t>
  </si>
  <si>
    <t>SMLN-2023-617-000023</t>
  </si>
  <si>
    <t>SMLN-2023-617-000024</t>
  </si>
  <si>
    <t>11.1.2023 zrušeno</t>
  </si>
  <si>
    <t>12.1.2023 zrušeno</t>
  </si>
  <si>
    <t>SMLN-2023-617-000028</t>
  </si>
  <si>
    <t>SMLN-2023-617-000029</t>
  </si>
  <si>
    <t>SMLN-2023-617-000030</t>
  </si>
  <si>
    <t>SMLN-2023-617-000031</t>
  </si>
  <si>
    <t>SMLN-2023-617-000032</t>
  </si>
  <si>
    <t>SMLN-2023-617-000033</t>
  </si>
  <si>
    <t>SMLN-2023-617-000034</t>
  </si>
  <si>
    <t>SMLN-2023-617-000035</t>
  </si>
  <si>
    <t>SMLN-2023-617-000037</t>
  </si>
  <si>
    <t>SMLN-2023-617-000036</t>
  </si>
  <si>
    <t>SMLN-2023-617-000038</t>
  </si>
  <si>
    <t>VZ-2023-000051</t>
  </si>
  <si>
    <t>Servis klíčového depozitu</t>
  </si>
  <si>
    <t>44421600-3</t>
  </si>
  <si>
    <t>SMLN-2023-617-000039</t>
  </si>
  <si>
    <t>SMLN-2023-617-000040</t>
  </si>
  <si>
    <t>SMLN-2023-617-000043</t>
  </si>
  <si>
    <t>SMLN-2023-617-000044</t>
  </si>
  <si>
    <t>SMLN-2023-617-000045</t>
  </si>
  <si>
    <t>VZ-2023-000061-01</t>
  </si>
  <si>
    <t>Hadičky spojovací pro infuzní terapi</t>
  </si>
  <si>
    <t>VZ-2023-000061-02</t>
  </si>
  <si>
    <t>Hadičky spojovací transparentní</t>
  </si>
  <si>
    <t>Hadičky spojovací transparentní heidelbergská</t>
  </si>
  <si>
    <t>SMLN-2023-617-000046
SMLN-2023-612-000008</t>
  </si>
  <si>
    <t>SMLN-2023-617-000047
SMLN-2023-612-000009</t>
  </si>
  <si>
    <t>SMLN-2023-617-000048
SMLN-2023-612-000010</t>
  </si>
  <si>
    <t>VZ-2023-000065</t>
  </si>
  <si>
    <t>Systém k uzávěru ouška levé síně</t>
  </si>
  <si>
    <t>pracoviště již nemá zájem na používání této elektrody</t>
  </si>
  <si>
    <t>Chironax Frýdek-Místek s.r.o.</t>
  </si>
  <si>
    <t>VZ-2023-000072</t>
  </si>
  <si>
    <t>Dezinfekce, mytí a ošetření rukou 2023</t>
  </si>
  <si>
    <t>VZ-2023-000073-01</t>
  </si>
  <si>
    <t>VZ-2023-000073-02</t>
  </si>
  <si>
    <t>VZ-2023-000074-01</t>
  </si>
  <si>
    <t>VZ-2023-000074-02</t>
  </si>
  <si>
    <t>Dezinfekční přípravky 2023</t>
  </si>
  <si>
    <t>Dezinfekční přípravky na nástroje</t>
  </si>
  <si>
    <t>Dezinfekční přípravky pro operační instrumentárium</t>
  </si>
  <si>
    <t>Dezinfekce kůže a operačního pole s obsahem PVP-jodu</t>
  </si>
  <si>
    <t>SMLN-2023-617-000049
SMLN-2023-612-000011</t>
  </si>
  <si>
    <t>VZ-2023-000078-01</t>
  </si>
  <si>
    <t>VZ-2023-000078-02</t>
  </si>
  <si>
    <t>VZ-2023-000078-03</t>
  </si>
  <si>
    <t>VZ-2023-000078-04</t>
  </si>
  <si>
    <t>VZ-2023-000078-05</t>
  </si>
  <si>
    <t>VZ-2023-000078-06</t>
  </si>
  <si>
    <t>VZ-2023-000078-07</t>
  </si>
  <si>
    <t>VZ-2023-000078-08</t>
  </si>
  <si>
    <t>Dezinfekční ubrousky na bázi alkoholu</t>
  </si>
  <si>
    <t>Dezinfekční ubrousky na citlivé povrchy</t>
  </si>
  <si>
    <t>Dezinfekční ubrousky pro ultrazvukové sondy</t>
  </si>
  <si>
    <t>Dezinfekční přípravky s rozprašovačem I.</t>
  </si>
  <si>
    <t>Dezinfekční přípravky s rozprašovačem II.</t>
  </si>
  <si>
    <t>Dezinfekční přípravky ve formě pěny</t>
  </si>
  <si>
    <t>Tekutý koncentrát pro malé plochy, utěrky a zásobníky</t>
  </si>
  <si>
    <t xml:space="preserve"> Velké plochy, předměty</t>
  </si>
  <si>
    <t>SMLN-2023-612-000013</t>
  </si>
  <si>
    <t>JPL Kovo s.r.o.</t>
  </si>
  <si>
    <t>Drát vodíc í Amplatz Super Stiff II.</t>
  </si>
  <si>
    <t>VZ-2022-001332</t>
  </si>
  <si>
    <t>Aplikátor klipů pro endoskopické stavění krvácení (II. IK)</t>
  </si>
  <si>
    <t>AH + Phoenix odstoupili</t>
  </si>
  <si>
    <t>3S.cz, s.r.o.</t>
  </si>
  <si>
    <t>VZ-2023-000081-01</t>
  </si>
  <si>
    <t>VZ-2023-000081-02</t>
  </si>
  <si>
    <t>Rouškovací sety pro I. Interní kliniku</t>
  </si>
  <si>
    <t>Set angiodyn kit Cath-Lab KORONÁRNÍ a Set angiodyn kit Cath-Lab NEKORONÁRNÍ</t>
  </si>
  <si>
    <t>VZ-2023-000083-01</t>
  </si>
  <si>
    <t>VZ-2023-000083-02</t>
  </si>
  <si>
    <t>VZ-2023-000084-01</t>
  </si>
  <si>
    <t>VZ-2023-000084-02</t>
  </si>
  <si>
    <t>VZ-2023-000084-03</t>
  </si>
  <si>
    <t>VZ-2023-000085</t>
  </si>
  <si>
    <t>Stavební úpravy v budově YA</t>
  </si>
  <si>
    <t>VZ-2023-000086</t>
  </si>
  <si>
    <t>Značení radionuklidem pomocí 68Ga</t>
  </si>
  <si>
    <t>38522000-0</t>
  </si>
  <si>
    <t>2.2.490, 2.2.491</t>
  </si>
  <si>
    <t>SMLN-2023-617-000052
SMLN-2023-616-000004</t>
  </si>
  <si>
    <t>SMLN-2023-612-000014</t>
  </si>
  <si>
    <t>SMLN-2023-617-000053
SMLN-2023-612-000015</t>
  </si>
  <si>
    <t>VZ-2023-000092</t>
  </si>
  <si>
    <t>Likvidace ostatních odpadů ve FNOL - kuchyň</t>
  </si>
  <si>
    <t>Likvidace ostatních odpadů ve FNOL - papír</t>
  </si>
  <si>
    <t>Likvidace ostatních odpadů ve FNOL - areál FNOL</t>
  </si>
  <si>
    <t>VZ-2023-000093</t>
  </si>
  <si>
    <t>VZ-2023-000094</t>
  </si>
  <si>
    <t>SMLN-2023-617-000054
SMLN-2023-612-000016</t>
  </si>
  <si>
    <t>SMLN-2023-617-000055
SMLN-2023-617-000056
SMLN-2023-614-000003</t>
  </si>
  <si>
    <t>VZ-2023-000097</t>
  </si>
  <si>
    <t xml:space="preserve">Pozáruční servisní podpory pro zařízení Barracuda Networks </t>
  </si>
  <si>
    <t>SMLN-2023-618-000002</t>
  </si>
  <si>
    <t>SMLN-2023-618-000003</t>
  </si>
  <si>
    <t>VZ-2023-000098</t>
  </si>
  <si>
    <t>PD - Stavební úpravy budovy C – Novorozenecké oddělení</t>
  </si>
  <si>
    <t>1.2.109.</t>
  </si>
  <si>
    <t>18.1.2023 zrušeno</t>
  </si>
  <si>
    <t>SMLN-2023-617-000058
SMLN-2023-614-000004
SMLN-2023-616-000005</t>
  </si>
  <si>
    <t>SMLN-2023-617-000059
SMLN-2023-614-000005
SMLN-2023-616-000006</t>
  </si>
  <si>
    <t>SMLN-2023-617-000060
SMLN-2023-614-000006
SMLN-2023-616-000007</t>
  </si>
  <si>
    <t>SMLN-2023-617-000061
SMLN-2023-614-000007
SMLN-2023-616-000008</t>
  </si>
  <si>
    <t>zrušeno - po odstoupení Fresenius nezbyl žádný účastník</t>
  </si>
  <si>
    <t>SMLN-2023-617-000062
SMLN-2023-614-000008
SMLN-2023-616-000009</t>
  </si>
  <si>
    <t>SMLN-2023-617-000063
SMLN-2023-614-000009
SMLN-2023-616-000010</t>
  </si>
  <si>
    <t>SMLN-2023-617-000064
SMLN-2023-614-000010
SMLN-2023-616-000011</t>
  </si>
  <si>
    <t>SMLN-2023-617-000065
SMLN-2023-614-000011
SMLN-2023-616-000012</t>
  </si>
  <si>
    <t>SMLN-2023-617-000066
SMLN-2023-614-000012
SMLN-2023-616-000013</t>
  </si>
  <si>
    <t>SMLN-2023-617-000067
SMLN-2023-614-000013</t>
  </si>
  <si>
    <t>SMLN-2023-617-000068
SMLN-2023-614-000014
SMLN-2023-616-000014</t>
  </si>
  <si>
    <t>SMLN-2023-617-000069
SMLN-2023-614-000015
SMLN-2023-616-000015</t>
  </si>
  <si>
    <t>SMLN-2023-617-000070
SMLN-2023-614-000016
SMLN-2023-616-000016</t>
  </si>
  <si>
    <t>Prague Medical s.r.o.</t>
  </si>
  <si>
    <t>SMLN-2023-617-000071</t>
  </si>
  <si>
    <t>SMLN-2023-617-000072</t>
  </si>
  <si>
    <t>SMLN-2023-617-000074</t>
  </si>
  <si>
    <t>SMLN-2023-617-000075</t>
  </si>
  <si>
    <t>SMLN-2023-617-000073
SMLN-2023-614-000017</t>
  </si>
  <si>
    <t>VZ-2023-000104</t>
  </si>
  <si>
    <t>PD - Optimalizace dopravního řešení v areálu FN Olomouc</t>
  </si>
  <si>
    <t>1.2.108.</t>
  </si>
  <si>
    <t>VZ-2023-000105</t>
  </si>
  <si>
    <t>Digitální transformace klinických procesů formou nemocničního informačního systému II.</t>
  </si>
  <si>
    <t>SMLN-2023-617-000076</t>
  </si>
  <si>
    <t>SMLN-2023-617-000077</t>
  </si>
  <si>
    <t>PRODENTA s.r.o.</t>
  </si>
  <si>
    <t>31.1.2023 zrušeno</t>
  </si>
  <si>
    <t>VZ-2023-000106</t>
  </si>
  <si>
    <t>LP s obsahem tisagenlekleucelu 2023</t>
  </si>
  <si>
    <t>VZ-2023-000107</t>
  </si>
  <si>
    <t>LP s obsahem emicizumabu 2023</t>
  </si>
  <si>
    <t>VZ-2023-000108</t>
  </si>
  <si>
    <t>Jiná hemostatika 2023</t>
  </si>
  <si>
    <t>SMLN-2023-618-000004</t>
  </si>
  <si>
    <t>VZ-2023-000071</t>
  </si>
  <si>
    <t>Centrálně působící sympatomimetika 2023</t>
  </si>
  <si>
    <t>SMLN-2023-612-000017</t>
  </si>
  <si>
    <t>SMLN-2023-617-000080</t>
  </si>
  <si>
    <t>VZ-2023-000115</t>
  </si>
  <si>
    <t>2.2.517.</t>
  </si>
  <si>
    <t>VZ-2023-000118</t>
  </si>
  <si>
    <t>VZ-2023-000119</t>
  </si>
  <si>
    <t>LP s obsahem pembrolizumabu 2023</t>
  </si>
  <si>
    <t>LP s obsahem desfluranu 2023</t>
  </si>
  <si>
    <t>VZ-2023-000120-01</t>
  </si>
  <si>
    <t>VZ-2023-000120-02</t>
  </si>
  <si>
    <t>2.2.524,2.2.527.</t>
  </si>
  <si>
    <t>2.2.528,2.3.737.</t>
  </si>
  <si>
    <t>SMLN-2023-617-000084
SMLN-2023-614-000018</t>
  </si>
  <si>
    <t>zrušeno - není zajištěno financování</t>
  </si>
  <si>
    <t>VZ-2023-000125-01</t>
  </si>
  <si>
    <t>VZ-2023-000125-02</t>
  </si>
  <si>
    <t>Nástroje chirurgické pro kliniky FNOL-obnova a doplnění instrumentária</t>
  </si>
  <si>
    <t>Nástroje chirurgické-specifikováno dle katalogu Tekno-Medical, GmbH a Biomedica ČS</t>
  </si>
  <si>
    <t>Nástroje chirurgické-specifikováno dle katalogu MEDICON eG</t>
  </si>
  <si>
    <t>nová VZ-2023-000124</t>
  </si>
  <si>
    <t>VZ-2023-000125-03</t>
  </si>
  <si>
    <t>VZ-2023-000125-04</t>
  </si>
  <si>
    <t>Nástroje chirurgické-specifikováno dle katalogu Kohler Medizintechnik GmbH +Co.KG.</t>
  </si>
  <si>
    <t>Nástroje chirurgické-specifikováno dle katalogu NOPA Instruments Medizintechnik Gmbh</t>
  </si>
  <si>
    <t>VZ-2023-000124</t>
  </si>
  <si>
    <t>VZ-2023-000125-05</t>
  </si>
  <si>
    <t>VZ-2023-000125-06</t>
  </si>
  <si>
    <t>VZ-2023-000125-07</t>
  </si>
  <si>
    <t>Nástroje chirurgické-specifikováno dle katalogu RUDOLF Medical GmbH+Co.KG</t>
  </si>
  <si>
    <t>Nástroje chirurgické-specifikováno dle katalogu František Plašil Častolovice</t>
  </si>
  <si>
    <t>Nástroje chirurgické-specifikováno dle katalogu OLYMPUS CZECH GROUP, s.r.o., člen koncernu</t>
  </si>
  <si>
    <t>SMLN-2023-617-000087</t>
  </si>
  <si>
    <t>7.2.2023 zrušeno</t>
  </si>
  <si>
    <t>SMLN-2023-617-000088</t>
  </si>
  <si>
    <t>VZ-2023-000142</t>
  </si>
  <si>
    <t>Toaletní papír a papírové ručníky Z-Z 2023</t>
  </si>
  <si>
    <t>VZ-2023-000144</t>
  </si>
  <si>
    <t>Kancelářský papír 2023</t>
  </si>
  <si>
    <t>SMLN-2023-617-000092</t>
  </si>
  <si>
    <t>VZ-2023-000157</t>
  </si>
  <si>
    <t>Laboratorní rozbory vod</t>
  </si>
  <si>
    <t>SMLN-2023-617-000093</t>
  </si>
  <si>
    <t>SMLN-2023-617-000094
SMLN-2023-612-000018</t>
  </si>
  <si>
    <t>VZ-2023-000171</t>
  </si>
  <si>
    <t>Oprava unifikovaného shromažďovacího místa Xa v areálu FNOL-II</t>
  </si>
  <si>
    <t>nová VZ-2023-000171</t>
  </si>
  <si>
    <t>VZ-2023-000172</t>
  </si>
  <si>
    <t>SMLN-2023-612-000019</t>
  </si>
  <si>
    <t>SMLN-2023-617-000095</t>
  </si>
  <si>
    <t>zrušeno - rozhodnutí ÚOHS</t>
  </si>
  <si>
    <t>zrušeno - nutnost rozšířit předmět plnění o výpůjčku věže</t>
  </si>
  <si>
    <t>SMLN-2023-617-000096
SMLN-2023-612-000020
SMLN-2023-617-000097</t>
  </si>
  <si>
    <t>SMLN-2023-617-000098
SMLN-2023-616-000019</t>
  </si>
  <si>
    <t>VZ-2023-000180</t>
  </si>
  <si>
    <t>VZ-2023-000184</t>
  </si>
  <si>
    <t>PD – demolice a novostavba budovy WA v areálu FNOL</t>
  </si>
  <si>
    <t>VZ-2023-000187</t>
  </si>
  <si>
    <t>LP s obsahem pirfenidonu 2023</t>
  </si>
  <si>
    <t>VZ-2023-000188</t>
  </si>
  <si>
    <t>VZ-2023-000189</t>
  </si>
  <si>
    <t>VZ-2023-000190</t>
  </si>
  <si>
    <t>VZ-2023-000191-01</t>
  </si>
  <si>
    <t>VZ-2023-000191-02</t>
  </si>
  <si>
    <t>LP s obsahem dasatinibu 2023</t>
  </si>
  <si>
    <t>LP s obsahem afliberceptu 2023</t>
  </si>
  <si>
    <t>LP s obsahem nirmatrelviru/ritonaviru a molnupiraviru 2023 - sdružený nákup</t>
  </si>
  <si>
    <t>NIRMATRELVIR/RITONAVIR</t>
  </si>
  <si>
    <t>MOLNUPIRAVIR</t>
  </si>
  <si>
    <t>LP s obsahem kladribinu 2023</t>
  </si>
  <si>
    <t>SMLN-2023-617-000106</t>
  </si>
  <si>
    <t>SMLN-2023-617-000107</t>
  </si>
  <si>
    <t>SMLN-2023-617-000101</t>
  </si>
  <si>
    <t>SMLN-2023-617-000102
SMLN-2023-617-000103
SMLN-2023-614-000019</t>
  </si>
  <si>
    <t>VZ-2023-000192</t>
  </si>
  <si>
    <t>29. Stent biliární samoexpandibilní metalický</t>
  </si>
  <si>
    <t>SMLN-2023-618-000008</t>
  </si>
  <si>
    <t>NELL PROJEKT s.r.o.</t>
  </si>
  <si>
    <t>16.2.2023 zrušeno</t>
  </si>
  <si>
    <t>17.2.2023 zrušeno</t>
  </si>
  <si>
    <t>VZ-2023-000205</t>
  </si>
  <si>
    <t>Heliport FNOL - doplňkový požární únik</t>
  </si>
  <si>
    <t>1.2.99.</t>
  </si>
  <si>
    <t>EBIS, spol. s r.o.</t>
  </si>
  <si>
    <t>VZ-2023-000211</t>
  </si>
  <si>
    <t>Vyšetřovací jednotky s příslušenstvím</t>
  </si>
  <si>
    <t>2.3.690.</t>
  </si>
  <si>
    <t>VZ-2023-000213-01</t>
  </si>
  <si>
    <t>Instrumentárium pro miniinvazivní kardiochirurgii (MICS)</t>
  </si>
  <si>
    <t>VZ-2023-000213-02</t>
  </si>
  <si>
    <t>Nástroje chirurgické - specifikováno dle katalogu Geister Medizintechnik GmbH</t>
  </si>
  <si>
    <t>Nástroje chirurgické - specifikováno dle katalogu Cardiomedical GmbH</t>
  </si>
  <si>
    <t>SMLN-2023-617-000099
SMLN-2023-612-000021
SMLN-2023-617-000100
SMLN-2023-614-000020</t>
  </si>
  <si>
    <t>VZ-2023-000219-01</t>
  </si>
  <si>
    <t>Nákup sanitních vozidel 2023</t>
  </si>
  <si>
    <t>DNR typu A2 – 2 ks</t>
  </si>
  <si>
    <t>DNR typu A2 s pohonem všech kol</t>
  </si>
  <si>
    <t>VZ-2023-000219-02</t>
  </si>
  <si>
    <t>4.2.199.</t>
  </si>
  <si>
    <t>SMLN-2023-617-000110</t>
  </si>
  <si>
    <t>SMLN-2023-617-000111</t>
  </si>
  <si>
    <t>SMLN-2023-617-000112
SMLN-2023-614-000021</t>
  </si>
  <si>
    <t>SMLN-2023-618-000009</t>
  </si>
  <si>
    <t>SMLN-2023-617-000113
SMLN-2023-617-000114
SMLN-2023-614-000022</t>
  </si>
  <si>
    <t>ADVAMED s.r.o.</t>
  </si>
  <si>
    <t>SMLN-2023-617-000121</t>
  </si>
  <si>
    <t>SMLN-2023-612-000022</t>
  </si>
  <si>
    <t>Renovace bytových jednotek – Etapa III. – budova AYD</t>
  </si>
  <si>
    <t>VZ-2023-000226</t>
  </si>
  <si>
    <t>VZ-2023-000227</t>
  </si>
  <si>
    <t>Poskytování služeb informačního systému pro evidenci a zpracování výsledků vědy a výzkumu</t>
  </si>
  <si>
    <t>ZARYS International Group s.r.o.</t>
  </si>
  <si>
    <t>VZ-2023-000228</t>
  </si>
  <si>
    <t>Systém sternální fixační titanový</t>
  </si>
  <si>
    <t>SMLN-2023-617-000123</t>
  </si>
  <si>
    <t>SMLN-2023-618-100001</t>
  </si>
  <si>
    <t>SMLN-2023-617-000124
SMLN-2023-612-000023</t>
  </si>
  <si>
    <t>STAPRO s.r.o.</t>
  </si>
  <si>
    <t>SMLN-2023-617-000125</t>
  </si>
  <si>
    <t>VZ-2023-000237</t>
  </si>
  <si>
    <t>VZ-2023-000251</t>
  </si>
  <si>
    <t>Lupové brýle</t>
  </si>
  <si>
    <t>33734000-4</t>
  </si>
  <si>
    <t>38423100-7</t>
  </si>
  <si>
    <t>Měření kotníkových tlaků</t>
  </si>
  <si>
    <t>VZ-2023-000252</t>
  </si>
  <si>
    <t>VZ-2023-000255</t>
  </si>
  <si>
    <t>Myčky obuvi II.</t>
  </si>
  <si>
    <t>VZ-2023-000256-01</t>
  </si>
  <si>
    <t>VZ-2023-000256-02</t>
  </si>
  <si>
    <t>VZ-2023-000256-03</t>
  </si>
  <si>
    <t>Kotvičky k ASK operacím - rekonstrukce ramene</t>
  </si>
  <si>
    <t>Kotvička vstřebatelná pro stabilizaci ramene</t>
  </si>
  <si>
    <t>Kotvičky vstřebatelné a nevstřebatelné</t>
  </si>
  <si>
    <t>Kotvička titanová pro stabilizaci ramene</t>
  </si>
  <si>
    <t>zrušeno 2.3.23-chyba v ZD</t>
  </si>
  <si>
    <t>3.3.2023 zrušeno</t>
  </si>
  <si>
    <t>nová VZ-2023-000255</t>
  </si>
  <si>
    <t>VZ-2023-000268</t>
  </si>
  <si>
    <t>NOVOSTAVBA HLAVNÍ BUDOVY B A VNITŘNÍ DOSTAVBA NÍZKOPRAHOVÉHO URGENTNÍHO PŘÍJMU</t>
  </si>
  <si>
    <t>VZ-2023-000271</t>
  </si>
  <si>
    <t>2.3.740.</t>
  </si>
  <si>
    <t>VZ-2023-000280</t>
  </si>
  <si>
    <t>4.2.201.</t>
  </si>
  <si>
    <r>
      <rPr>
        <b/>
        <sz val="11"/>
        <color rgb="FFFF0000"/>
        <rFont val="Calibri"/>
        <family val="2"/>
        <charset val="238"/>
        <scheme val="minor"/>
      </rPr>
      <t>VZ-2022-001402 zrušeno</t>
    </r>
    <r>
      <rPr>
        <sz val="11"/>
        <color theme="1"/>
        <rFont val="Calibri"/>
        <family val="2"/>
        <charset val="238"/>
        <scheme val="minor"/>
      </rPr>
      <t xml:space="preserve">
VZ-2023-000124</t>
    </r>
  </si>
  <si>
    <t>SMLN-2023-618-000010</t>
  </si>
  <si>
    <t>SMLN-2023-618-000011</t>
  </si>
  <si>
    <t>SMLN-2023-617-000131</t>
  </si>
  <si>
    <t>VZ-2023-000281</t>
  </si>
  <si>
    <t>VZ-2023-000282-01</t>
  </si>
  <si>
    <t>VZ-2023-000282</t>
  </si>
  <si>
    <t>VZ-2023-000283</t>
  </si>
  <si>
    <t>Okludery určené ke katetrizačnímu uzávěru defektu septa síní (ASD) a otevřeného (patentního) foramen ovale (PFO</t>
  </si>
  <si>
    <t>VZ-2023-000282-02</t>
  </si>
  <si>
    <t>Katetrizační implantabilní samoexpandibilní dvoudiskový okluder k uzávěru otevřeného (patentního) foramen ovale (PFO)</t>
  </si>
  <si>
    <t>Sety hadicové irigační pro HAMOU endomat výr. KARL STORZ</t>
  </si>
  <si>
    <t>VZ-2023-000286</t>
  </si>
  <si>
    <t>Přístroj pro spánkovou analýzu</t>
  </si>
  <si>
    <t>2.2.536.</t>
  </si>
  <si>
    <t>33121000-4</t>
  </si>
  <si>
    <t>VZ-2023-000287</t>
  </si>
  <si>
    <t>VZ-2023-000288</t>
  </si>
  <si>
    <t>Bezdrátový UZV</t>
  </si>
  <si>
    <t>2.2.537.</t>
  </si>
  <si>
    <t>nová VZ-2023-000294-01</t>
  </si>
  <si>
    <t>nová VZ-2023-000294-02</t>
  </si>
  <si>
    <t>VZ-2023-000293</t>
  </si>
  <si>
    <t>VZ-2023-000294-01</t>
  </si>
  <si>
    <t>VZ-2023-000294-02</t>
  </si>
  <si>
    <t>LP s obsahem fingolimodu</t>
  </si>
  <si>
    <t>KYSELINA AMINOSALICYLOVÁ A PODOBNÉ LÁTKY 2023</t>
  </si>
  <si>
    <t>SULFASALIZIN S POVIDONEM</t>
  </si>
  <si>
    <t>SMLN-2023-617-100006</t>
  </si>
  <si>
    <t>SMLN-2023-617-100007</t>
  </si>
  <si>
    <t>VZ-2023-000290-01</t>
  </si>
  <si>
    <t>VZ-2023-000290-02</t>
  </si>
  <si>
    <t>Váhy</t>
  </si>
  <si>
    <t>Vážicí podložka</t>
  </si>
  <si>
    <t>2.2.526.</t>
  </si>
  <si>
    <t>VZ-2023-000299</t>
  </si>
  <si>
    <t>Laboratorní rozbory vod II</t>
  </si>
  <si>
    <t>nová VZ-2023-000299</t>
  </si>
  <si>
    <t>6.3..2027</t>
  </si>
  <si>
    <t>Nábytek na míru - KNM + D1</t>
  </si>
  <si>
    <t>zrušeno - úprava ZD</t>
  </si>
  <si>
    <t>nová VZ-2023-000281</t>
  </si>
  <si>
    <t>9.3.2023 zrušeno</t>
  </si>
  <si>
    <t>SMLN-2023-617-000115</t>
  </si>
  <si>
    <t>SMLN-2023-617-000116</t>
  </si>
  <si>
    <t>SMLN-2023-617-000117</t>
  </si>
  <si>
    <t>SMLN-2023-617-000118</t>
  </si>
  <si>
    <t>SMLN-2023-617-000119</t>
  </si>
  <si>
    <t>8.3.2023 zrušeno</t>
  </si>
  <si>
    <t>Náplně do tiskáren – FN Olomouc</t>
  </si>
  <si>
    <t>VZ-2023-000303</t>
  </si>
  <si>
    <t>VZ-2023-000307</t>
  </si>
  <si>
    <t>Stříkačky ABR</t>
  </si>
  <si>
    <t>Dermatomy</t>
  </si>
  <si>
    <t>33160000-8</t>
  </si>
  <si>
    <t>2.3.739,2.2.529-530</t>
  </si>
  <si>
    <t>VZ-2023-000314</t>
  </si>
  <si>
    <t>Zateplení ubytoven a dětské kliniky FNOL</t>
  </si>
  <si>
    <t>VZ-2023-000319</t>
  </si>
  <si>
    <t>Imunochemická vyšetření s výpůjčkou přístroje</t>
  </si>
  <si>
    <t>SMLN-2023-612-100003</t>
  </si>
  <si>
    <t>nová VZ-2023-000320</t>
  </si>
  <si>
    <t>VZ-2023-000320</t>
  </si>
  <si>
    <t>zrušeno - nesplnění specifikace (úhrady)</t>
  </si>
  <si>
    <t>Spotřební materiál k Artroskopické věži včetně její výpůjčky</t>
  </si>
  <si>
    <t>nová VZ-2023-000323-01</t>
  </si>
  <si>
    <t>nová VZ-2023-000323-02</t>
  </si>
  <si>
    <t>nová VZ-2023-000323-03</t>
  </si>
  <si>
    <t>nová VZ-2023-000323-04</t>
  </si>
  <si>
    <t>nová VZ-2023-000323-05</t>
  </si>
  <si>
    <t>nová VZ-2023-000323-06</t>
  </si>
  <si>
    <t>nová VZ-2023-000324-01</t>
  </si>
  <si>
    <t>nová VZ-2023-000324-02</t>
  </si>
  <si>
    <t>VZ-2023-000323-01</t>
  </si>
  <si>
    <t>Parenterální výživa VIII. 2023</t>
  </si>
  <si>
    <t>VZ-2023-000323-02</t>
  </si>
  <si>
    <t>VZ-2023-000323-03</t>
  </si>
  <si>
    <t>VZ-2023-000323-04</t>
  </si>
  <si>
    <t>VZ-2023-000323-05</t>
  </si>
  <si>
    <t>VZ-2023-000323-06</t>
  </si>
  <si>
    <t>VZ-2023-000324-01</t>
  </si>
  <si>
    <t>VZ-2023-000324-02</t>
  </si>
  <si>
    <t>Parenterální výživa IX. 2023</t>
  </si>
  <si>
    <t>VZ-2023-000325</t>
  </si>
  <si>
    <t>Čekárenské lavice a konferenční židle - Projekt budovy G, Projekt budovy X</t>
  </si>
  <si>
    <t>SMLN-2023-617-100012</t>
  </si>
  <si>
    <t>SMLN-2023-618-100002</t>
  </si>
  <si>
    <t>SMLN-2023-617-100013
SMLN-2023-612-100004</t>
  </si>
  <si>
    <t>SMLN-2023-617-100014</t>
  </si>
  <si>
    <t>SMLN-2023-617-100015</t>
  </si>
  <si>
    <t>SMLN-2023-617-100016</t>
  </si>
  <si>
    <t>SMLN-2023-617-100017</t>
  </si>
  <si>
    <t>SMLN-2023-617-100018</t>
  </si>
  <si>
    <t>SMLN-2023-617-100019</t>
  </si>
  <si>
    <t>Katetrizační implantabilní samoexpandibilní dvoudiskový okluder k uzávěru defektu septa síní (ASD)</t>
  </si>
  <si>
    <t>SMLN-2023-617-100021
SMLN-2023-612-100005
SMLN-2023-617-100022</t>
  </si>
  <si>
    <t>VZ-2023-000334</t>
  </si>
  <si>
    <t>VZ-2023-000336</t>
  </si>
  <si>
    <t>VZ-2023-000337</t>
  </si>
  <si>
    <t>VZ-2023-000338</t>
  </si>
  <si>
    <t>LP s obsahem lanreotidu 2023</t>
  </si>
  <si>
    <t>LP s obsahem oktreotidu 2023</t>
  </si>
  <si>
    <t>LP s obsahem baricitinibu 2023</t>
  </si>
  <si>
    <t>LP s obsahem dabrafenibu 2023</t>
  </si>
  <si>
    <t>VZ-2023-000332</t>
  </si>
  <si>
    <t>Kancelářské židle 2023</t>
  </si>
  <si>
    <t>39113300-0</t>
  </si>
  <si>
    <t>nová VZ-2023-000333</t>
  </si>
  <si>
    <t>VZ-2023-000333</t>
  </si>
  <si>
    <t>Regály pro OCS II.</t>
  </si>
  <si>
    <t>39151100-6</t>
  </si>
  <si>
    <t>VZ-2023-000339</t>
  </si>
  <si>
    <t>Vrtáky kuličkové k vrtačce Midas Rex</t>
  </si>
  <si>
    <t>VZ-2023-000345</t>
  </si>
  <si>
    <t>VZ-2023-000346</t>
  </si>
  <si>
    <t>Dodávka mobilních terminálů</t>
  </si>
  <si>
    <t>Poskytování služeb pro analýzu celogenomových dat</t>
  </si>
  <si>
    <t xml:space="preserve">30213500-0 </t>
  </si>
  <si>
    <t>VZ-2023-000348</t>
  </si>
  <si>
    <t>Oprava přístupové lávky do objektu L</t>
  </si>
  <si>
    <t>45233261-6</t>
  </si>
  <si>
    <t>72300000-8</t>
  </si>
  <si>
    <t>VZ-2023-000349</t>
  </si>
  <si>
    <t>Multivitamínové šumivé tablety 2023</t>
  </si>
  <si>
    <t>REC21 s.r.o.</t>
  </si>
  <si>
    <r>
      <rPr>
        <sz val="11"/>
        <color rgb="FFFF0000"/>
        <rFont val="Calibri"/>
        <family val="2"/>
        <charset val="238"/>
        <scheme val="minor"/>
      </rPr>
      <t>VZ-2022-001240-03 zrušeno</t>
    </r>
    <r>
      <rPr>
        <sz val="11"/>
        <color theme="1"/>
        <rFont val="Calibri"/>
        <family val="2"/>
        <charset val="238"/>
        <scheme val="minor"/>
      </rPr>
      <t xml:space="preserve">
nová VZ-2023-000320</t>
    </r>
  </si>
  <si>
    <r>
      <rPr>
        <sz val="11"/>
        <color rgb="FFFF0000"/>
        <rFont val="Calibri"/>
        <family val="2"/>
        <charset val="238"/>
        <scheme val="minor"/>
      </rPr>
      <t>VZ-2022-001240-02 zrušeno</t>
    </r>
    <r>
      <rPr>
        <sz val="11"/>
        <color theme="1"/>
        <rFont val="Calibri"/>
        <family val="2"/>
        <charset val="238"/>
        <scheme val="minor"/>
      </rPr>
      <t xml:space="preserve">
nová VZ-2023-000320</t>
    </r>
  </si>
  <si>
    <r>
      <rPr>
        <sz val="11"/>
        <color rgb="FFFF0000"/>
        <rFont val="Calibri"/>
        <family val="2"/>
        <charset val="238"/>
        <scheme val="minor"/>
      </rPr>
      <t>VZ-2022-001240-01 zrušeno</t>
    </r>
    <r>
      <rPr>
        <sz val="11"/>
        <color theme="1"/>
        <rFont val="Calibri"/>
        <family val="2"/>
        <charset val="238"/>
        <scheme val="minor"/>
      </rPr>
      <t xml:space="preserve">
nová VZ-2023-000320</t>
    </r>
  </si>
  <si>
    <t>SMLN-2023-617-100024
SMLN-2023-612-100006</t>
  </si>
  <si>
    <t>SMLN-2023-617-100025
SMLN-2023-612-100007</t>
  </si>
  <si>
    <t>SMLN-2023-617-100026
SMLP-2023-624-100001</t>
  </si>
  <si>
    <t>SMLP-2023-627-100001</t>
  </si>
  <si>
    <t>bika - velkoobchod papírem, spol. s r.o.</t>
  </si>
  <si>
    <t>SMLP-2023-627-100002
SMLN-2023-616-100003</t>
  </si>
  <si>
    <t>SynMedical, s.r.o.</t>
  </si>
  <si>
    <t>VZ-2023-000353</t>
  </si>
  <si>
    <t>Výrobník ledové drtě</t>
  </si>
  <si>
    <t>2.3.742.</t>
  </si>
  <si>
    <t>Just Dent s.r.o.</t>
  </si>
  <si>
    <t>VZ-2023-000358</t>
  </si>
  <si>
    <t>VZ-2023-000356</t>
  </si>
  <si>
    <t>LP s obsahem sorafenibu pro ca štítné žlázy 2023</t>
  </si>
  <si>
    <t>32324000-0</t>
  </si>
  <si>
    <t>25.4.2027
27.7.2027</t>
  </si>
  <si>
    <t>25.4.2027 P1-P13
27.7.2027 P14-P15</t>
  </si>
  <si>
    <t>SMLN-2023-617-100035</t>
  </si>
  <si>
    <t>Nábytek - stavební úpravy  Kliniky neurochirurgie 3.NP – operační sál č.2</t>
  </si>
  <si>
    <t>VZ-2023-000361</t>
  </si>
  <si>
    <t>Servisní podpora úhradového modulu</t>
  </si>
  <si>
    <t>VZ-2023-000362</t>
  </si>
  <si>
    <t>Dodávka televizorů 2023</t>
  </si>
  <si>
    <t>SMLN-2023-612-100008</t>
  </si>
  <si>
    <t>15.3.2023 zrušeno</t>
  </si>
  <si>
    <t>VZ-2023-000335-01</t>
  </si>
  <si>
    <t>VZ-2023-000335-02</t>
  </si>
  <si>
    <t>Oktreotid</t>
  </si>
  <si>
    <t>Oktreotid - Acetát</t>
  </si>
  <si>
    <t>VZ-2023-000363</t>
  </si>
  <si>
    <t>Novostavba budovy B - správce stavby</t>
  </si>
  <si>
    <t xml:space="preserve">71315400-3 </t>
  </si>
  <si>
    <t>VZ-2023-000365</t>
  </si>
  <si>
    <t>STAVEBNÍ ÚPRAVY NCHIR - OS 2</t>
  </si>
  <si>
    <t>VZ-2023-000369-01</t>
  </si>
  <si>
    <t>Laboratorní lednice s mrazákem</t>
  </si>
  <si>
    <t>2.2.539.</t>
  </si>
  <si>
    <t>VZ-2023-000369-02</t>
  </si>
  <si>
    <t>SMLN-2023-617-100039</t>
  </si>
  <si>
    <t>VZ-2023-000371</t>
  </si>
  <si>
    <t>Prodloužení platnosti licencí a rozšíření funkcionalit AV a EDR</t>
  </si>
  <si>
    <t>48760000-3</t>
  </si>
  <si>
    <t>SMLN-2023-617-100040
SMLN-2023-612-100009
SMLN-2023-617-100042</t>
  </si>
  <si>
    <t>LP s obsahem teriflunomidu 2023</t>
  </si>
  <si>
    <t>VZ-2023-000375</t>
  </si>
  <si>
    <t>LP s obsahem treprostinilu I. 2023</t>
  </si>
  <si>
    <t>VZ-2023-000376</t>
  </si>
  <si>
    <t>LP s obsahem treprostinilu II. 2023</t>
  </si>
  <si>
    <t>VZ-2023-000380</t>
  </si>
  <si>
    <t>Laserový přístroj a set pro morcelaci a enukleaci prostaty</t>
  </si>
  <si>
    <t>VZ-2023-000381</t>
  </si>
  <si>
    <t>Analyzátor předního segmentu oka</t>
  </si>
  <si>
    <t>2.3.743.</t>
  </si>
  <si>
    <t>ALS Czech Republic, s.r.o.</t>
  </si>
  <si>
    <t>VZ-2023-000386</t>
  </si>
  <si>
    <t xml:space="preserve">Sítnicový laser </t>
  </si>
  <si>
    <t>2.3.744.</t>
  </si>
  <si>
    <t>VZ-2023-000389</t>
  </si>
  <si>
    <t xml:space="preserve">TEP – Revizní náhrady kolenního kloubu </t>
  </si>
  <si>
    <t>SMLN-2023-617-100045
SMLN-2023-614-100001</t>
  </si>
  <si>
    <t>SMLN-2023-617-100046
SMLN-2023-614-100002</t>
  </si>
  <si>
    <t>SMLN-2023-617-100047
SMLN-2023-614-100003</t>
  </si>
  <si>
    <t>VZ-2023-000393-01</t>
  </si>
  <si>
    <t>Hemofilie A - Rekombinantní fkator VIII. 2023</t>
  </si>
  <si>
    <t>VZ-2023-000393-02</t>
  </si>
  <si>
    <t>VZ-2023-000393-03</t>
  </si>
  <si>
    <t>Hemofilie A-Koagulační faktor VIII - rekombinantní s delším biologickým poločasem-pro pacienty do 12 let</t>
  </si>
  <si>
    <t>Imunoglobuliny normální lidské 2023</t>
  </si>
  <si>
    <t>VZ-2023-000394-01</t>
  </si>
  <si>
    <t>VZ-2023-000394-02</t>
  </si>
  <si>
    <t>VZ-2023-000394-03</t>
  </si>
  <si>
    <t>VZ-2023-000394-04</t>
  </si>
  <si>
    <t>SMLN-2023-617-100053</t>
  </si>
  <si>
    <t>SMLN-2023-617-100048
SMLN-2023-614-100004</t>
  </si>
  <si>
    <t>SMLN-2023-617-100049
SMLN-2023-614-100005</t>
  </si>
  <si>
    <t>SMLN-2023-617-100050
SMLN-2023-614-100006</t>
  </si>
  <si>
    <t>SMLN-2023-617-100051
SMLN-2023-614-100007</t>
  </si>
  <si>
    <t>SMLN-2023-617-100052
SMLN-2023-614-100008</t>
  </si>
  <si>
    <t>SMLN-2023-617-100054</t>
  </si>
  <si>
    <t>ÚJV Řež, a.s.</t>
  </si>
  <si>
    <t>SMLN-2023-617-100055
SMLN-2023-612-100010</t>
  </si>
  <si>
    <t>SMLN-2023-617-100044</t>
  </si>
  <si>
    <t>SMLN-2023-617-100056</t>
  </si>
  <si>
    <t>SMLN-2023-617-100060</t>
  </si>
  <si>
    <t>VZ-2023-000312</t>
  </si>
  <si>
    <t>SMLN-2023-617-100061
SMLN-2023-612-100012</t>
  </si>
  <si>
    <t>33631600-8</t>
  </si>
  <si>
    <t>VZ-2023-000402-01</t>
  </si>
  <si>
    <t>VZ-2023-000402-02</t>
  </si>
  <si>
    <t>Dezinfekce sliznic 2023</t>
  </si>
  <si>
    <t>Oktenidin I.</t>
  </si>
  <si>
    <t>Oktenidin lI.</t>
  </si>
  <si>
    <t>VZ-2023-000403-01</t>
  </si>
  <si>
    <t>Komplex koagulačních faktorů 2023</t>
  </si>
  <si>
    <t>VZ-2023-000403-02</t>
  </si>
  <si>
    <t>Antiinhibační komplex koagulačních faktoru FII, VII, IX a X vyráběných z plasmy, přičemž FVII je aktivovaný</t>
  </si>
  <si>
    <t>KOAGULAČNÍ FAKTOR VIIA</t>
  </si>
  <si>
    <t>SMLN-2023-618-100004</t>
  </si>
  <si>
    <t>ADVAMED, s.r.o.</t>
  </si>
  <si>
    <t>VZ-2023-000408</t>
  </si>
  <si>
    <t>Opravy výtahů č. 22,23,24,46,47,49,71,72</t>
  </si>
  <si>
    <t>SMLN-2023-612-100013</t>
  </si>
  <si>
    <t>SMLN-2023-617-100062</t>
  </si>
  <si>
    <t>SMLN-2023-617-100063</t>
  </si>
  <si>
    <r>
      <t xml:space="preserve">LP s obsahem sarilumabu 2022 - </t>
    </r>
    <r>
      <rPr>
        <b/>
        <sz val="11"/>
        <rFont val="Calibri"/>
        <family val="2"/>
        <charset val="238"/>
        <scheme val="minor"/>
      </rPr>
      <t>sdružený nákup</t>
    </r>
  </si>
  <si>
    <t>VZ-2023-000405</t>
  </si>
  <si>
    <t>I. Cholangioskopický matriál k systému SpyGlass DS II.</t>
  </si>
  <si>
    <t>VZ-2023-000414</t>
  </si>
  <si>
    <t>Laboratorní inkubátor/sušárna</t>
  </si>
  <si>
    <t>2.2.542.</t>
  </si>
  <si>
    <t>VZ-2023-000415</t>
  </si>
  <si>
    <t>Minicentrifuga</t>
  </si>
  <si>
    <t>2.2.540.</t>
  </si>
  <si>
    <t>39721300-5</t>
  </si>
  <si>
    <t>2.2.541.</t>
  </si>
  <si>
    <t>28.3.2022 výpověď</t>
  </si>
  <si>
    <t>VZ-2023-000418</t>
  </si>
  <si>
    <t>SMLN-2023-617-100066</t>
  </si>
  <si>
    <t>Papír registrační EKG pro EKG BTL 8</t>
  </si>
  <si>
    <t>VZ-2023-000163</t>
  </si>
  <si>
    <t>VZ-2023-000420-01</t>
  </si>
  <si>
    <t>Neviditelná rovnátka</t>
  </si>
  <si>
    <t>VZ-2023-000420-02</t>
  </si>
  <si>
    <t>33141800-8</t>
  </si>
  <si>
    <t>SMLN-2023-617-100067
SMLN-2023-614-100009
SMLN-2023-617-100068</t>
  </si>
  <si>
    <t>Neviditelná rovnátka bez retainerů</t>
  </si>
  <si>
    <t>Neviditelná rovnátka s retainery</t>
  </si>
  <si>
    <t>31.3.2023 zrušeno</t>
  </si>
  <si>
    <t>IRIDIUM, spol.  s r.o.</t>
  </si>
  <si>
    <t>SMLN-2023-617-100069</t>
  </si>
  <si>
    <t>VZ-2023-000430</t>
  </si>
  <si>
    <t>Okruhy zvlhčovací včetně výpůjčky zvlhčovačů pro NOVO</t>
  </si>
  <si>
    <t>33100000-1,33140000-</t>
  </si>
  <si>
    <t>VZ-2022-0001305</t>
  </si>
  <si>
    <t>VZ-2023-000431</t>
  </si>
  <si>
    <t>Ureterorenoskopy jednorázové flexibilní včetně výpůjčky pracovní stanice s monitorem</t>
  </si>
  <si>
    <t>VZ-2023-000434</t>
  </si>
  <si>
    <t>Terapie a prevence von Wilebrandovy choroby 2023</t>
  </si>
  <si>
    <t>Hemofilie B - faktor IX. vyráběný z plasmy 2023</t>
  </si>
  <si>
    <t>3.4.2023 zrušeno</t>
  </si>
  <si>
    <t>COMPEK MEDICAL SERVICES, s.r.o.</t>
  </si>
  <si>
    <t>SMLN-2023-617-100076
SMLN-2023-614-100010
SMLN-2023-616-100006</t>
  </si>
  <si>
    <t>VZ-2023-000394-05</t>
  </si>
  <si>
    <t>IGAMPLIA</t>
  </si>
  <si>
    <t>SMLN-2023-617-100078</t>
  </si>
  <si>
    <t>SMLN-2023-617-100065</t>
  </si>
  <si>
    <t>VZ-2023-000441</t>
  </si>
  <si>
    <t>2.3.656.</t>
  </si>
  <si>
    <t>VZ-2023-000444</t>
  </si>
  <si>
    <t>SMLN-2023-617-100080</t>
  </si>
  <si>
    <t>DERS Group s.r.o.</t>
  </si>
  <si>
    <t>VZ-2023-000450</t>
  </si>
  <si>
    <t>2.3.747.</t>
  </si>
  <si>
    <t>VZ-2023-000453</t>
  </si>
  <si>
    <t>Spirometr</t>
  </si>
  <si>
    <t>2.3.745.</t>
  </si>
  <si>
    <t>VZ-2023-000458</t>
  </si>
  <si>
    <t>Modernizace vyšetřoven centra neinvazivních metod I. interní kliniky v budově D2</t>
  </si>
  <si>
    <t>VZ-2023-000459</t>
  </si>
  <si>
    <t>Dokumentační systém</t>
  </si>
  <si>
    <t>2.3.751.</t>
  </si>
  <si>
    <t>VZ-2023-000460</t>
  </si>
  <si>
    <t>2.3.749., 2.2.556.</t>
  </si>
  <si>
    <t>SMLP-2023-627-100004
SMLN-2023-612-100014</t>
  </si>
  <si>
    <t>VZ-2023-000461</t>
  </si>
  <si>
    <t>2.3.748.</t>
  </si>
  <si>
    <t>VZ-2023-000462</t>
  </si>
  <si>
    <t>Přístroj pro spánkovou analýzu II</t>
  </si>
  <si>
    <t>Kardiostimulátory</t>
  </si>
  <si>
    <t>Implantabilní kardiovertery-implantáty</t>
  </si>
  <si>
    <t>SMLN-2023-617-100083
SMLN-2023-612-100015</t>
  </si>
  <si>
    <t>SMLN-2023-617-100084
SMLN-2023-612-100016</t>
  </si>
  <si>
    <t>SMLN-2023-617-100085
SMLN-2023-612-100017</t>
  </si>
  <si>
    <t>Miloslav Otáhal</t>
  </si>
  <si>
    <t>VZ-2023-000472</t>
  </si>
  <si>
    <t>2.3.752.</t>
  </si>
  <si>
    <t>VZ-2023-000477</t>
  </si>
  <si>
    <t>1. Katétr pro standardní ERCP</t>
  </si>
  <si>
    <t>VZ-2023-000479</t>
  </si>
  <si>
    <t>Klipovací systém pro endoskopické stavění krvácení</t>
  </si>
  <si>
    <t>VZ-2023-000479-01</t>
  </si>
  <si>
    <t>VZ-2023-000479-02</t>
  </si>
  <si>
    <t>VZ-2023-000479-03</t>
  </si>
  <si>
    <t>VZ-2023-000479-04</t>
  </si>
  <si>
    <t>Klipovací systém jednorázový endoskopický, žaludek/tračník, šíře branží klipu: min. 09mm-12mm</t>
  </si>
  <si>
    <t>Klipovací systém jednorázový endoskopický, žaludek/tračník, šíře branží klipu: min. 13mm-15mm</t>
  </si>
  <si>
    <t>Klipovací systém jednorázový endoskopický, žaludek/tračník, šíře branží klipu: min. 16mm-18mm</t>
  </si>
  <si>
    <t>Klipovací systém jednorázový endoskopický, žaludek/tračník, šíře branží klipu: min. 19mm-22mm</t>
  </si>
  <si>
    <t>VZ-2023-000466-01</t>
  </si>
  <si>
    <t>VZ-2023-000466-02</t>
  </si>
  <si>
    <t>VZ-2023-000466-03</t>
  </si>
  <si>
    <t>Implantabilní defibrilátory s možností multielektrodové stimulace</t>
  </si>
  <si>
    <t xml:space="preserve">ICD přístroje s možností programace stimulace v detekční slow-VT zóně </t>
  </si>
  <si>
    <t>ICD pro rizikové imunokompromitované pacienty</t>
  </si>
  <si>
    <t>VZ-2023-000480</t>
  </si>
  <si>
    <t>Kolony imunoadsorpční pro léčebné aferézy pro opakované použití</t>
  </si>
  <si>
    <t>nová VZ-2023-000462</t>
  </si>
  <si>
    <t>Institute of Applied Biotechnologies, a.s.</t>
  </si>
  <si>
    <t>VZ-2023-000485</t>
  </si>
  <si>
    <t>Vybavení pro mikrochirurgii</t>
  </si>
  <si>
    <t>2.3.618.</t>
  </si>
  <si>
    <t>VZ-2023-000487</t>
  </si>
  <si>
    <t>Stavební úpravy budovy E – zázemí a OPS oční a ORL kliniky</t>
  </si>
  <si>
    <t>VZ-2023-000489</t>
  </si>
  <si>
    <t>Stíněné nádoby</t>
  </si>
  <si>
    <t>2.2.560.</t>
  </si>
  <si>
    <t>KANONA a.s.</t>
  </si>
  <si>
    <t>SMLN-2023-612-100018</t>
  </si>
  <si>
    <t>SMLN-2023-617-100089
SMLN-2023-612-100019</t>
  </si>
  <si>
    <t>SMLN-2023-617-100090
SMLN-2023-612-100020</t>
  </si>
  <si>
    <t>SMLN-2023-618-100006</t>
  </si>
  <si>
    <t>VZ-2023-000494</t>
  </si>
  <si>
    <t>Izotopový kalibrátor</t>
  </si>
  <si>
    <t>2.2.562.</t>
  </si>
  <si>
    <t>14.4.2023 zrušeno</t>
  </si>
  <si>
    <t>zrušeno - tato část bude rozdělena na více částí</t>
  </si>
  <si>
    <t>VZ-2023-000495-01</t>
  </si>
  <si>
    <t>VZ-2023-000495-02</t>
  </si>
  <si>
    <t xml:space="preserve">Měřiče povrchové kontaminace </t>
  </si>
  <si>
    <t>Monitor povrchové kontaminace rukou, nohou,oděvu</t>
  </si>
  <si>
    <t>2.2.561.</t>
  </si>
  <si>
    <t>Mobilní přístroj pro měření povrchové kontaminace</t>
  </si>
  <si>
    <t>OCULUS, spol. s r.o.</t>
  </si>
  <si>
    <t>VZ-2023-000499</t>
  </si>
  <si>
    <t>Drát vodící hydrofilní PTA/PTCA APT</t>
  </si>
  <si>
    <t>VZ-2023-000510</t>
  </si>
  <si>
    <t>2.3.753.</t>
  </si>
  <si>
    <t>VZ-2023-000512</t>
  </si>
  <si>
    <t>Stavebně-montážní pojištění pro FN Olomouc</t>
  </si>
  <si>
    <t>Recovera Využití zdrojů a.s.</t>
  </si>
  <si>
    <t>ASANUS CZ s.r.o.</t>
  </si>
  <si>
    <t>VZ-2023-000516</t>
  </si>
  <si>
    <t>Záznamník EKG implantabilní BioMonitor III</t>
  </si>
  <si>
    <t>VZ-2023-000465-01</t>
  </si>
  <si>
    <t>VZ-2023-000465-02</t>
  </si>
  <si>
    <t>VZ-2023-000465-03</t>
  </si>
  <si>
    <t>VZ-2023-000465-04</t>
  </si>
  <si>
    <t>VZ-2023-000465-05</t>
  </si>
  <si>
    <t>Kardiostimulátory s možností vzdálené kontroly a monitorace pacienta včetně jednotky pro vzdálenou monitoraci</t>
  </si>
  <si>
    <t>Kardiostimulátory s algoritmy k udržení a vyloučení dominance vlastního síňokomorového vedení a možností minimalizace komorové stimulace</t>
  </si>
  <si>
    <t>Kardiostimulátory - MRI kompatibilní, miniaturní, s duálním senzorem, s možností monitorace spánkové apnoe a sledování indexu narušeného dýchání (RDI)</t>
  </si>
  <si>
    <t>Kardiostimulátory s hemodynamickou monitorací kontraktility pomocí TVI</t>
  </si>
  <si>
    <t>SMLN-2023-617-100101
SMLN-2023-612-100021</t>
  </si>
  <si>
    <t>SMLN-2023-617-100102
SMLN-2023-612-100022</t>
  </si>
  <si>
    <t>DEYMED Diagnostics s.r.o.</t>
  </si>
  <si>
    <t>SMLN-2023-618-100009</t>
  </si>
  <si>
    <t>VZ-2023-000523</t>
  </si>
  <si>
    <t>6.4.2023 zrušeno</t>
  </si>
  <si>
    <t>SMLN-2023-617-100108</t>
  </si>
  <si>
    <t>VZ-2023-000535</t>
  </si>
  <si>
    <t>Dodávka serverů, rozšíření kapacit a dodávka expanzí diskových polí pro informační systémy</t>
  </si>
  <si>
    <t>48820000-2
30233141-1</t>
  </si>
  <si>
    <t>SMLN-2023-617-100110</t>
  </si>
  <si>
    <t>SMLN-2023-617-100112</t>
  </si>
  <si>
    <t>SMLN-2023-617-100111</t>
  </si>
  <si>
    <t>SMLN-2023-617-100113</t>
  </si>
  <si>
    <t>Mutlised s.r.o.</t>
  </si>
  <si>
    <t>VZ-2023-000538</t>
  </si>
  <si>
    <t>Sfinkterotom ( papilotom) trojlumenný endoskopický</t>
  </si>
  <si>
    <t>Budova dětské kliniky FNOL</t>
  </si>
  <si>
    <t>Budovy ubytoven zdravotnických pracovníků FNOL</t>
  </si>
  <si>
    <t>Budova ubytovny pracovníků FNOL</t>
  </si>
  <si>
    <t>VZ-2023-000540</t>
  </si>
  <si>
    <t>Parní sterilizátory</t>
  </si>
  <si>
    <t>2.3.722, 2.3.726, 2.3.754, 2.3.715</t>
  </si>
  <si>
    <t>SEBIA Czech republic s.r.o.</t>
  </si>
  <si>
    <t>SMLN-2023-617-100118
SMLN-2023-614-100011</t>
  </si>
  <si>
    <t>SMLN-2023-612-100023</t>
  </si>
  <si>
    <t>SMLN-2023-617-100120
SMLN-2023-612-100024</t>
  </si>
  <si>
    <t>SMLN-2023-617-100121
SMLN-2023-612-100025</t>
  </si>
  <si>
    <t>SMLN-2023-612-100026</t>
  </si>
  <si>
    <t>VZ-2023-000022</t>
  </si>
  <si>
    <t>LP s obsahem ranibizumabu 2023</t>
  </si>
  <si>
    <t>Ranibizumab I</t>
  </si>
  <si>
    <t>VZ-2023-000547-01</t>
  </si>
  <si>
    <t>VZ-2023-000547-02</t>
  </si>
  <si>
    <t>Ranibizumab II</t>
  </si>
  <si>
    <t>VZ-2023-000548-01</t>
  </si>
  <si>
    <t>LP s obsahem etanerceptu 2023</t>
  </si>
  <si>
    <t>Etanercept I</t>
  </si>
  <si>
    <t>VZ-2023-000548-02</t>
  </si>
  <si>
    <t>Etanercept II</t>
  </si>
  <si>
    <t>Perorální antidiabetika 2023</t>
  </si>
  <si>
    <t>Hypertonické roztoky 2023</t>
  </si>
  <si>
    <t>Dialyzační roztok hypertonický pro peritoneální dialýzu I</t>
  </si>
  <si>
    <t>Dialyzační roztok izotonický pro peritoneální dialýzu</t>
  </si>
  <si>
    <t>Dialyzační roztok hypertonický pro peritoneální dialýzu ll</t>
  </si>
  <si>
    <t>VZ-2023-000552</t>
  </si>
  <si>
    <t>VZ-2023-000553</t>
  </si>
  <si>
    <t>VZ-2023-000551-01</t>
  </si>
  <si>
    <t>VZ-2023-000551-02</t>
  </si>
  <si>
    <t>Endoskopie</t>
  </si>
  <si>
    <t>VZ-2023-000554-01</t>
  </si>
  <si>
    <t>VZ-2023-000554-02</t>
  </si>
  <si>
    <t>VZ-2023-000554-03</t>
  </si>
  <si>
    <t>VZ-2023-000556-01</t>
  </si>
  <si>
    <t>LP s obsahem mesalazinu 2023</t>
  </si>
  <si>
    <t>MESALAZIN I.</t>
  </si>
  <si>
    <t>VZ-2023-000556-02</t>
  </si>
  <si>
    <t>MESALAZIN II.</t>
  </si>
  <si>
    <t>MESALAZIN III.</t>
  </si>
  <si>
    <t>VZ-2023-000556-03</t>
  </si>
  <si>
    <t>VZ-2023-000557-01</t>
  </si>
  <si>
    <t>LP s obsahem lidského fibrinogenu 2023</t>
  </si>
  <si>
    <t>LIDSKÝ FIBRINOGEN pro pacienty se získanou hypofibrinogenemie vznikající z poruch syntézy v případech závažného poškození jaterního parenchymu a pro pacienty se získanou hypofibrinogenemie vznikající z zvýšené intravaskulární spotřeby v důsledku diseminované intravaskulární koagulace</t>
  </si>
  <si>
    <t>LIDSKÝ FIBRINOGEN pro pacienty s vrozenou  hypo-, dys- nebo afibrinogenemie a pro pacienty se získanou hypofibrinogenemie vznikající ze zvýšené ztráty krve</t>
  </si>
  <si>
    <t>VZ-2023-000557-02</t>
  </si>
  <si>
    <t>Laparoskopická věž pro operační sál y DK</t>
  </si>
  <si>
    <t>Endoskopické vybavení pro II. IK</t>
  </si>
  <si>
    <t>2.3.702.</t>
  </si>
  <si>
    <t>2.3.706.</t>
  </si>
  <si>
    <t>25.4.2023  zrušeno</t>
  </si>
  <si>
    <t>SMLN-2023-617-100125</t>
  </si>
  <si>
    <t>VZ-2023-000435-02</t>
  </si>
  <si>
    <t>VZ-2023-000435-01</t>
  </si>
  <si>
    <t>Přípravky na prevenci a léčbu krvácení u hemofilie B, dále u nemocných hemofilií B s inhibitorem proti FIX  (titr do 5 BU) vyráběný z plasmy pro pacienty do 6 let</t>
  </si>
  <si>
    <t>Přípravky na prevenci a léčbu krvácení u hemofilie B, dále u nemocných hemofilií B s inhibitorem proti FIX  (titr do 5 BU) vyráběný z plasmy pro pacienty od 7 let</t>
  </si>
  <si>
    <t>Medicontur CZ s.r.o.</t>
  </si>
  <si>
    <t>VZ-2023-000392</t>
  </si>
  <si>
    <t>Čočky nitrooční typ EDOF pro Oční kliniku</t>
  </si>
  <si>
    <t>VZ-2023-000393-04</t>
  </si>
  <si>
    <t>Hemofilie A-Koagulační faktor VIII - rekombinantní s delším biologickým poločasem- pro pacienty od 13 let kteří jsou předléčení FVIII z plazmy nebo rFVIII min. 150 expozičních dní</t>
  </si>
  <si>
    <t xml:space="preserve">Hemofilie A-Koagulační faktor VIII - rekombinantní s delším biologickým poločasem- pro pacienty od 13 let bez předléčení  FVIII z plazmy nebo rFVIII </t>
  </si>
  <si>
    <t>SMLN-2023-618-100012</t>
  </si>
  <si>
    <t>SMLN-2023-612-100027</t>
  </si>
  <si>
    <t>27.4.2023 výpověď</t>
  </si>
  <si>
    <t>zrušeno - úprava specifikace o  výpůjčku pump</t>
  </si>
  <si>
    <t>VZ-2023-000566</t>
  </si>
  <si>
    <t>Dewarova nádoba včetně příslušenství</t>
  </si>
  <si>
    <t>2.2.559.</t>
  </si>
  <si>
    <t>SMLN-2023-617-100132</t>
  </si>
  <si>
    <t>SMLN-2023-617-100133</t>
  </si>
  <si>
    <t>VZ-2023-000570</t>
  </si>
  <si>
    <t>VZ-2023-000569</t>
  </si>
  <si>
    <t>Dodávka mobilních terminálů II.</t>
  </si>
  <si>
    <t>nová VZ-2023-000569</t>
  </si>
  <si>
    <t>nová VZ-2023-000523</t>
  </si>
  <si>
    <t>SMLN-2023-617-100137</t>
  </si>
  <si>
    <t>Roztoky ovlivňující rovnováhu elektrolytů I. 2023</t>
  </si>
  <si>
    <t>VZ-2023-000574</t>
  </si>
  <si>
    <t>VZ-2023-000575-01</t>
  </si>
  <si>
    <t>Roztoky ovlivňující rovnováhu elektrolytů II. 2023</t>
  </si>
  <si>
    <t>VZ-2023-000575-02</t>
  </si>
  <si>
    <t>VZ-2023-000577-01</t>
  </si>
  <si>
    <t>VZ-2023-000577-02</t>
  </si>
  <si>
    <t>VZ-2023-000577-03</t>
  </si>
  <si>
    <t>VZ-2023-000577-04</t>
  </si>
  <si>
    <t>VZ-2023-000577-05</t>
  </si>
  <si>
    <t>VZ-2023-000577-06</t>
  </si>
  <si>
    <t>VZ-2023-000577-07</t>
  </si>
  <si>
    <t>Fyziologické roztoky pro parenterální použití I. 2023</t>
  </si>
  <si>
    <t>Fyziologický roztok pro parenterální použití I.</t>
  </si>
  <si>
    <t>Fyziologický roztok pro parenterální použití II.</t>
  </si>
  <si>
    <t>Fyziologický roztok pro parenterální použití III.</t>
  </si>
  <si>
    <t>Fyziologický roztok pro parenterální použití IV.</t>
  </si>
  <si>
    <t>Fyziologický roztok pro parenterální použití V.</t>
  </si>
  <si>
    <t>Fyziologický roztok pro parenterální použití VI.</t>
  </si>
  <si>
    <t>Fyziologický roztok pro parenterální použití VII.</t>
  </si>
  <si>
    <t>Fyziologické roztoky pro parenterální použití II. 2023</t>
  </si>
  <si>
    <t>Fyziologický roztok pro parenterální použití VIII.</t>
  </si>
  <si>
    <t>Fyziologický roztok pro parenterální použití IX.</t>
  </si>
  <si>
    <t>Fyziologický roztok pro parenterální použití X.</t>
  </si>
  <si>
    <t>Fyziologický roztok pro parenterální použití XI.</t>
  </si>
  <si>
    <t>Fyziologický roztok pro parenterální použití XII.</t>
  </si>
  <si>
    <t>Fyziologický roztok pro parenterální použití XIII.</t>
  </si>
  <si>
    <t>Fyziologický roztok pro parenterální použití XIV.</t>
  </si>
  <si>
    <t>VZ-2023-000578-01</t>
  </si>
  <si>
    <t>VZ-2023-000578-02</t>
  </si>
  <si>
    <t>VZ-2023-000578-03</t>
  </si>
  <si>
    <t>VZ-2023-000578-04</t>
  </si>
  <si>
    <t>VZ-2023-000578-05</t>
  </si>
  <si>
    <t>VZ-2023-000578-06</t>
  </si>
  <si>
    <t>VZ-2023-000578-07</t>
  </si>
  <si>
    <t>VZ-2023-000579</t>
  </si>
  <si>
    <t>Vyšetření array komparativní genomová hybridizace (arrayCGH) s výpůjčkou přístroje</t>
  </si>
  <si>
    <t>38434000-6,33694000-</t>
  </si>
  <si>
    <t>VZ-2023-000580</t>
  </si>
  <si>
    <t>Vyšetření infekčních markerů u dárců krve s výpůjčkou</t>
  </si>
  <si>
    <t>28.4.2023 zrušeno</t>
  </si>
  <si>
    <t>VZ-2023-000581-01</t>
  </si>
  <si>
    <t>Mobilní přístroj pro aktivní nebo pasivní mobilizaci končetin</t>
  </si>
  <si>
    <t>2.2.249.</t>
  </si>
  <si>
    <t>Ergometr</t>
  </si>
  <si>
    <t>2.3.654.</t>
  </si>
  <si>
    <t>SMLN-2023-617-100138
SMLN-2023-616-100008</t>
  </si>
  <si>
    <t>VZ-2023-000586</t>
  </si>
  <si>
    <t>Uzávěr dezinfekční k bezjehlovému vstupu se 70% IPA</t>
  </si>
  <si>
    <t>SMLN-2023-617-100139</t>
  </si>
  <si>
    <t>SMLN-2023-617-100140</t>
  </si>
  <si>
    <t>SMLN-2023-617-100141</t>
  </si>
  <si>
    <t>VZ-2023-000593</t>
  </si>
  <si>
    <t>II. Cholangioskopický materiál k Systému SpyGlass DS II</t>
  </si>
  <si>
    <t>SMLN-2023-617-100142</t>
  </si>
  <si>
    <t>SMLN-2023-617-100143</t>
  </si>
  <si>
    <t>SMLN-2023-617-100144</t>
  </si>
  <si>
    <t>SMLN-2023-617-100145</t>
  </si>
  <si>
    <t>SMLN-2023-612-100029</t>
  </si>
  <si>
    <t>SMLN-2023-612-100030</t>
  </si>
  <si>
    <t>SMLN-2023-617-100148
SMLN-2023-612-100031</t>
  </si>
  <si>
    <t>SMLN-2023-617-100150
SMLN-2023-612-100032</t>
  </si>
  <si>
    <t>SMLN-2023-617-100152</t>
  </si>
  <si>
    <t>SMLN-2023-612-100033</t>
  </si>
  <si>
    <t>SMLN-2023-618-100014</t>
  </si>
  <si>
    <t>SMLN-2023-617-100153
SMLN-2023-612-100034
SMLN-2023-617-100154</t>
  </si>
  <si>
    <t>SMLN-2023-617-100156
SMLN-2023-612-100036</t>
  </si>
  <si>
    <t>4.5.2023 zrušeno</t>
  </si>
  <si>
    <t>SMLN-2023-617-100157</t>
  </si>
  <si>
    <t>COMP´S, spol. s r.o.</t>
  </si>
  <si>
    <t xml:space="preserve">Katetry BARRX pro radiofrekvenční ablaci při léčbě Barretova jícnu </t>
  </si>
  <si>
    <t>nová VZ-2023-000556</t>
  </si>
  <si>
    <t>SMLN-2023-618-100016</t>
  </si>
  <si>
    <t>VZ-2023-000606</t>
  </si>
  <si>
    <t>2.3.755, 2.3.756, 2.3.750</t>
  </si>
  <si>
    <t>LP s obsahem methylprednisolonu inj</t>
  </si>
  <si>
    <t>VZ-2023-000573</t>
  </si>
  <si>
    <t>DIRP, s.r.o.</t>
  </si>
  <si>
    <t>VZ-2023-000616</t>
  </si>
  <si>
    <t>LP s obsahem golimumabu  2023</t>
  </si>
  <si>
    <t>VZ-2023-000617</t>
  </si>
  <si>
    <t>LP s obsahem certolizumab pegolu  2023</t>
  </si>
  <si>
    <t>Provádění BTK ZNJ výrobců Daniševský, GCE, MZ Liberec, Dräger</t>
  </si>
  <si>
    <t>Provádění BTK ZNJ výrobců Daniševský</t>
  </si>
  <si>
    <t>Provádění BTK ZNJ výrobců GCE</t>
  </si>
  <si>
    <t>Provádění BTK ZNJ výrobců MZ Liberec</t>
  </si>
  <si>
    <t>Provádění BTK ZNJ výrobců Dräger</t>
  </si>
  <si>
    <t>VZ-2023-000622</t>
  </si>
  <si>
    <t>Kojecký</t>
  </si>
  <si>
    <t>Implementace klinického protokolu</t>
  </si>
  <si>
    <t>72240000-9</t>
  </si>
  <si>
    <t>VZ-2023-000623</t>
  </si>
  <si>
    <t>Rekonstrukce plotů, bran a opěrných zídek na ulici Hněvotínská a Jana Zrzavého</t>
  </si>
  <si>
    <t>VZ-2023-000581-02</t>
  </si>
  <si>
    <t>SMLN-2023-617-100159</t>
  </si>
  <si>
    <t>SMLN-2023-617-100160
SMLN-2023-614-100012</t>
  </si>
  <si>
    <t>SMLN-2023-617-100161
SMLN-2023-614-100013</t>
  </si>
  <si>
    <t>SMLN-2023-617-100162
SMLN-2023-617-100163</t>
  </si>
  <si>
    <t>SMLN-2023-617-100164
SMLN-2023-612-100040</t>
  </si>
  <si>
    <t>SMLN-2023-617-100165</t>
  </si>
  <si>
    <t>Maxpharma servis s. r.o.</t>
  </si>
  <si>
    <t>SMLN-2023-617-100166</t>
  </si>
  <si>
    <t>SMLN-2023-617-100167</t>
  </si>
  <si>
    <t>SMLN-2023-617-100169</t>
  </si>
  <si>
    <t>SMLN-2023-617-100171</t>
  </si>
  <si>
    <t>SMLN-2023-617-100172</t>
  </si>
  <si>
    <t>SMLN-2023-617-100173</t>
  </si>
  <si>
    <t>SMLN-2023-617-100174</t>
  </si>
  <si>
    <t>SMLN-2023-618-100017</t>
  </si>
  <si>
    <t>11.5.2023 zrušeno</t>
  </si>
  <si>
    <t>SMLN-2023-617-100179
SMLN-2023-612-100041</t>
  </si>
  <si>
    <t>SMLN-2023-617-100181
SMLN-2023-612-100043</t>
  </si>
  <si>
    <t>SMLN-2023-617-100182</t>
  </si>
  <si>
    <t>AMENDOIM s.r.o. odstoupil od podpisu smlouvy</t>
  </si>
  <si>
    <t xml:space="preserve">S E T O S spol. s r.o., </t>
  </si>
  <si>
    <t>Stolní počítače FNOL 2023</t>
  </si>
  <si>
    <t>VZ-2023-000628</t>
  </si>
  <si>
    <t>LP s obsahem karfilzomibu 2023</t>
  </si>
  <si>
    <t>EKG 2023</t>
  </si>
  <si>
    <t>Straumann s.r.o.</t>
  </si>
  <si>
    <t xml:space="preserve">CANBERRA-PACKARD, s.r.o. </t>
  </si>
  <si>
    <t>SMLN-2023-617-100180
SMLN-2023-612-100042
SMLN-2023-617-100184</t>
  </si>
  <si>
    <t>Amenit s.r.o.</t>
  </si>
  <si>
    <t>VZ-2023-000630</t>
  </si>
  <si>
    <t>VZ-2023-000629</t>
  </si>
  <si>
    <t>Servisní podpora lékárenského informačního systému</t>
  </si>
  <si>
    <t>Stříkačky předplněné sterilním 0,9% NaCl - sdružený nákup</t>
  </si>
  <si>
    <t xml:space="preserve">33141310-6 </t>
  </si>
  <si>
    <t>Čistící a dezinfekční přípravky pro mycí a dezinfekční automaty flexibilních endoskopů 2023</t>
  </si>
  <si>
    <t>SMLN-2023-617-100185</t>
  </si>
  <si>
    <t>16.5.2023 zrušeno</t>
  </si>
  <si>
    <t>SMLN-2023-612-100044</t>
  </si>
  <si>
    <t>SMLN-2023-617-100186
SMLN-2023-614-100014</t>
  </si>
  <si>
    <t>VZ-2023-000633</t>
  </si>
  <si>
    <t xml:space="preserve">Lamela rohovková pro DMEK-PDMEK manuálně preparovaná </t>
  </si>
  <si>
    <t>VZ-2023-000618-01</t>
  </si>
  <si>
    <t>VZ-2023-000618-02</t>
  </si>
  <si>
    <t>VZ-2023-000618-03</t>
  </si>
  <si>
    <t>VZ-2023-000618-04</t>
  </si>
  <si>
    <t xml:space="preserve">Vrtací a pilové soupravy </t>
  </si>
  <si>
    <t>2.3.757,</t>
  </si>
  <si>
    <t>VZ-2023-000636-01</t>
  </si>
  <si>
    <t>VZ-2023-000636-02</t>
  </si>
  <si>
    <t>2.3.757.</t>
  </si>
  <si>
    <t>Modulární bateriové vrtačky</t>
  </si>
  <si>
    <t>SMLN-2023-617-100189</t>
  </si>
  <si>
    <t>SMLN-2023-617-100192
SMLN-2023-614-100016</t>
  </si>
  <si>
    <t>SMLN-2023-617-100193
SMLN-2023-614-100017
SMLN-2023-617-100194</t>
  </si>
  <si>
    <t>VZ-2023-000637</t>
  </si>
  <si>
    <t xml:space="preserve">Stavební úpravy v 1.PP– budova Q3 </t>
  </si>
  <si>
    <t>VZ-2023-000638</t>
  </si>
  <si>
    <t>Stavební úpravy v 1.NP – budova R2</t>
  </si>
  <si>
    <t>SMLN-2023-617-100195</t>
  </si>
  <si>
    <t>SMLN-2023-617-100196
SMLN-2023-616-100012</t>
  </si>
  <si>
    <t>VZ-2023-000639</t>
  </si>
  <si>
    <t>Skartace - likvidace dokumentů a ostatních nosičů dat informací</t>
  </si>
  <si>
    <t>SMLN-2023-617-100197
SMLN-2023-616-100014</t>
  </si>
  <si>
    <t>POLYMED Medical CZ, a.s.</t>
  </si>
  <si>
    <t>VZ-2023-000640-01</t>
  </si>
  <si>
    <t>Ultrazvukové systémy</t>
  </si>
  <si>
    <t>2.2.555.</t>
  </si>
  <si>
    <t>2.2.554.</t>
  </si>
  <si>
    <t>2.2.516.</t>
  </si>
  <si>
    <t>2.2.563.</t>
  </si>
  <si>
    <t>2.3.730.</t>
  </si>
  <si>
    <t>2.3.741.</t>
  </si>
  <si>
    <t>VZ-2023-000640-02</t>
  </si>
  <si>
    <t>VZ-2023-000640-03</t>
  </si>
  <si>
    <t>VZ-2023-000640-04</t>
  </si>
  <si>
    <t>VZ-2023-000640-05</t>
  </si>
  <si>
    <t>VZ-2023-000640-06</t>
  </si>
  <si>
    <t>Přístroj pro peroperační měření průtoku TTFM metodou</t>
  </si>
  <si>
    <t>Mobilní ultrazvukový přístroj pro Centrální operační sály</t>
  </si>
  <si>
    <t>Ultrazvukové přístroje pro III. Interní kliniku</t>
  </si>
  <si>
    <t>Mobilní ultrazvukový přístroj pro Ortopedickou kliniku</t>
  </si>
  <si>
    <t>Ultrazvukové systémy včetně příslušenství pro PORGYN</t>
  </si>
  <si>
    <t>Rektální sonda pro Onkologickou kliniku</t>
  </si>
  <si>
    <t>Roztoky pro parenterální použití I.</t>
  </si>
  <si>
    <t>Roztoky pro parenterální použití II.</t>
  </si>
  <si>
    <t>VZ-2023-000641</t>
  </si>
  <si>
    <t xml:space="preserve">33696800-3 </t>
  </si>
  <si>
    <t>VZ-2023-000642</t>
  </si>
  <si>
    <t>Kukla operační k helmě TotalShield</t>
  </si>
  <si>
    <t>SMLN-2023-617-100198
SMLN-2023-612-100045</t>
  </si>
  <si>
    <t>19.5.2023 zrušeno</t>
  </si>
  <si>
    <t>VZ-2023-000396</t>
  </si>
  <si>
    <t>33650000-1</t>
  </si>
  <si>
    <t>SMLN-2023-617-100199</t>
  </si>
  <si>
    <t>SMLN-2023-617-100201
SMLN-2023-612-100046</t>
  </si>
  <si>
    <t>SMLN-2023-617-100202
SMLN-2023-612-100047</t>
  </si>
  <si>
    <t>VZ-2023-000647</t>
  </si>
  <si>
    <t xml:space="preserve">Sety bezpečnostní pro gravitační a přetlakovou infuzi k pumpám Spaceplus </t>
  </si>
  <si>
    <t>fysiomed s.r.o.</t>
  </si>
  <si>
    <t>Fitham, s.r.o.</t>
  </si>
  <si>
    <t>SMLN-2023-617-100204</t>
  </si>
  <si>
    <t>VZ-2023-000652</t>
  </si>
  <si>
    <t>Rekonstrukce bytových jednotek v budově YA</t>
  </si>
  <si>
    <t>VZ-2023-000653-01</t>
  </si>
  <si>
    <t>VZ-2023-000653-02</t>
  </si>
  <si>
    <t>Lehátka</t>
  </si>
  <si>
    <t>2.3.714.</t>
  </si>
  <si>
    <t>Lehátka pro Radiologickou kliniku</t>
  </si>
  <si>
    <t>2.3.758.</t>
  </si>
  <si>
    <t>VZ-2023-000656-01</t>
  </si>
  <si>
    <t>VZ-2023-000656-02</t>
  </si>
  <si>
    <t>VZ-2023-000656-03</t>
  </si>
  <si>
    <t>VZ-2023-000656-04</t>
  </si>
  <si>
    <t>Farmaceutické lednice</t>
  </si>
  <si>
    <t>Mrazák pro lékárnu</t>
  </si>
  <si>
    <t>Hlubokomrazící box pro LEM</t>
  </si>
  <si>
    <t>Laboratorní hlubokomrazící boxy</t>
  </si>
  <si>
    <t>2.2.544.</t>
  </si>
  <si>
    <t>2.2.547.</t>
  </si>
  <si>
    <t>2.2.557.</t>
  </si>
  <si>
    <t>2.2.548.</t>
  </si>
  <si>
    <t>VZ-2023-000661</t>
  </si>
  <si>
    <t>Modul pro odparafinování a odmaskování epitopů</t>
  </si>
  <si>
    <t>2.2.549.</t>
  </si>
  <si>
    <t>SMLN-2023-618-100021</t>
  </si>
  <si>
    <t>SMLN-2023-617-100210</t>
  </si>
  <si>
    <t>SMLN-2023-617-100211</t>
  </si>
  <si>
    <t>SMLN-2023-617-100212</t>
  </si>
  <si>
    <t>22.5.2023 zrušeno</t>
  </si>
  <si>
    <t>nová VZ-2023-000652</t>
  </si>
  <si>
    <t>SMLN-2023-617-100214</t>
  </si>
  <si>
    <t>SMLN-2023-617-100215</t>
  </si>
  <si>
    <t>25.5.2023 zrušeno</t>
  </si>
  <si>
    <t>SMLN-2023-617-100217</t>
  </si>
  <si>
    <t>SMLN-2023-617-100218</t>
  </si>
  <si>
    <t>SMLN-2023-617-100219</t>
  </si>
  <si>
    <t>SMLN-2023-617-100220</t>
  </si>
  <si>
    <t>zrušeno - neposkytnutí součinnosti B. Braun</t>
  </si>
  <si>
    <t>VZ-2023-000671</t>
  </si>
  <si>
    <t>VZ-2023-000672</t>
  </si>
  <si>
    <t>Oprava střešního pláště budova X</t>
  </si>
  <si>
    <t>45260000-7</t>
  </si>
  <si>
    <t>Oprava střešní lávky budova D2</t>
  </si>
  <si>
    <t>45420000-7</t>
  </si>
  <si>
    <t>26.5.2023 zrušeno</t>
  </si>
  <si>
    <t>po přechodu na REVEOS není dále potřeba</t>
  </si>
  <si>
    <t>VZ-2023-000683-01</t>
  </si>
  <si>
    <t>VZ-2023-000318-01</t>
  </si>
  <si>
    <t>VZ-2023-000318-02</t>
  </si>
  <si>
    <t>VZ-2023-000318-03</t>
  </si>
  <si>
    <t>VZ-2023-000683-02</t>
  </si>
  <si>
    <t>VZ-2023-000683-03</t>
  </si>
  <si>
    <t>zrušeno - úprava kvalifikace</t>
  </si>
  <si>
    <t>nová VZ-2023-000683-01</t>
  </si>
  <si>
    <t>nová VZ-2023-000683-02</t>
  </si>
  <si>
    <t>nová VZ-2023-000683-03</t>
  </si>
  <si>
    <t>VZ-2023-000560</t>
  </si>
  <si>
    <t>Poskytování úklidových služeb II.</t>
  </si>
  <si>
    <t>nová VZ-2023-000560</t>
  </si>
  <si>
    <t>3.7.20023</t>
  </si>
  <si>
    <t>VZ-2023-000684</t>
  </si>
  <si>
    <t>VZ-2023-000687</t>
  </si>
  <si>
    <t>Nerezová skříň s odvodem toxických výparů</t>
  </si>
  <si>
    <t>2.2.543.</t>
  </si>
  <si>
    <t>VZ-2023-000690</t>
  </si>
  <si>
    <t>Elekro-hydraulický vozík pro zemřelé</t>
  </si>
  <si>
    <t>2.3.759.</t>
  </si>
  <si>
    <t>Okludery určené ke katetrizačnímu uzávěru defektu septa síní (ASD) a otevřeného (patentního) foramen ovale (PFO)</t>
  </si>
  <si>
    <t>VZ-2023-000693</t>
  </si>
  <si>
    <t>VZ-2023-000691</t>
  </si>
  <si>
    <t>Stanovení infekčních onemocnění s výpůjčkou POCT přístroje</t>
  </si>
  <si>
    <t>Diagnostika Lymeské borreliózy s výpůjčkou přístroje</t>
  </si>
  <si>
    <t>účinnost od 11.9.2023</t>
  </si>
  <si>
    <t>VZ-2023-000698</t>
  </si>
  <si>
    <t xml:space="preserve">Renovace bytu v 1.NP budovy AYB1 </t>
  </si>
  <si>
    <t>VZ-2023-000699</t>
  </si>
  <si>
    <t>nová VZ-2023-000699</t>
  </si>
  <si>
    <t>SMLN-2023-617-100222
SMLN-2023-612-100048</t>
  </si>
  <si>
    <t>SMLN-2023-617-100223
SMLN-2023-612-100049</t>
  </si>
  <si>
    <t>SMLN-2023-617-100224</t>
  </si>
  <si>
    <t>nová VZ-2023-000701</t>
  </si>
  <si>
    <t>VZ-2023-000701</t>
  </si>
  <si>
    <t>Dewarova nádoba včetně příslušenství II</t>
  </si>
  <si>
    <t>SMLN-2023-612-100050</t>
  </si>
  <si>
    <t>není potřeba - přechod na jinou metodu</t>
  </si>
  <si>
    <t>SMLN-2023-617-100225
SMLN-2023-612-100051</t>
  </si>
  <si>
    <t>1.6.2023 zrušeno</t>
  </si>
  <si>
    <t>VZ-2023-000710-01</t>
  </si>
  <si>
    <t>VZ-2023-000710-02</t>
  </si>
  <si>
    <t>VZ-2023-000710-03</t>
  </si>
  <si>
    <t>VZ-2023-000710-04</t>
  </si>
  <si>
    <t xml:space="preserve">Videomanagement </t>
  </si>
  <si>
    <t>Bronchoskopický řetězec pro Plicní kliniku</t>
  </si>
  <si>
    <t>2.3.643,</t>
  </si>
  <si>
    <t>Nahrávací zařízení s videomaticí pro 2. interní kliniku</t>
  </si>
  <si>
    <t>2.2.514; 2.2.325.</t>
  </si>
  <si>
    <t>Mobilní záznamové zařízení pro centrální operační sály (COS)</t>
  </si>
  <si>
    <t>2.3.631</t>
  </si>
  <si>
    <t>Konferenční software - Porodnicko-gynekologická klinika33197000-7</t>
  </si>
  <si>
    <t>2.2.456.</t>
  </si>
  <si>
    <t>zrušeno - PROMEDICA odstoupila od podpisu smlouvy</t>
  </si>
  <si>
    <t>účinnost 24.7.2023</t>
  </si>
  <si>
    <t>VZ-2023-000717</t>
  </si>
  <si>
    <t>Sportovně-kulturní akce pro zaměst. FNOl Z vršku do vršku</t>
  </si>
  <si>
    <t xml:space="preserve">92000000-1 </t>
  </si>
  <si>
    <t>VZ-2023-000721</t>
  </si>
  <si>
    <t>Nástroje pro ORL</t>
  </si>
  <si>
    <t>VZ-2023-000719</t>
  </si>
  <si>
    <t>Hydromasážní vana</t>
  </si>
  <si>
    <t>2.3.760.</t>
  </si>
  <si>
    <t>VZ-2023-000557-03</t>
  </si>
  <si>
    <t>LIDSKÝ FIBRINOGEN pro pacienty se získanou hypofibrinogenemie vznikající ze zvýšené ztráty krve</t>
  </si>
  <si>
    <t>účinnost 20.7.2023</t>
  </si>
  <si>
    <t>účinnost 31.8.2023</t>
  </si>
  <si>
    <t>SMLN-2023-618-100024</t>
  </si>
  <si>
    <t>VZ-2023-000723</t>
  </si>
  <si>
    <t>Přístroj pro měření rychlosti pulzové vlny</t>
  </si>
  <si>
    <t>2.2.553.</t>
  </si>
  <si>
    <t>VZ-2023-000727</t>
  </si>
  <si>
    <t>Podtlaková terapie jednorázová</t>
  </si>
  <si>
    <t>SMLN-2023-617-100232
SMLN-2023-612-100052</t>
  </si>
  <si>
    <t>REISSWOLF likvidace dokumentů a dat, s.r.o.</t>
  </si>
  <si>
    <t>zrušeno - Braun neposkytl součinnost k uzavření smlouvy</t>
  </si>
  <si>
    <t>Urotech GmbH, organizační složka</t>
  </si>
  <si>
    <t>VZ-2023-000734</t>
  </si>
  <si>
    <t xml:space="preserve">Mobilní sprchovací systém </t>
  </si>
  <si>
    <t>2.2.520.</t>
  </si>
  <si>
    <t>Software pro průtokový cytometr Omnicyt</t>
  </si>
  <si>
    <t>VZ-2023-000735</t>
  </si>
  <si>
    <t>2.2.550.</t>
  </si>
  <si>
    <t>Atelier 99 odstoupil od podpisu smlouvy</t>
  </si>
  <si>
    <t>VZ-2023-000737</t>
  </si>
  <si>
    <t>Hrabálek</t>
  </si>
  <si>
    <t>Ubytování a služby spojené s realizací odborné akce FN Olomouc – konference XIV. Luklův kardiologický den</t>
  </si>
  <si>
    <t>VZ-2023-000736</t>
  </si>
  <si>
    <t>Hadičky spojovací pro infuzní terapii - hadičky Heidelberg</t>
  </si>
  <si>
    <t>nová VZ-2023-000736</t>
  </si>
  <si>
    <t>VZ-2023-000739</t>
  </si>
  <si>
    <t>SÚ budovy Q - ambulance a zázemí dětské kliniky</t>
  </si>
  <si>
    <t>VZ-2023-000740</t>
  </si>
  <si>
    <t>Monitory FNOL 2023</t>
  </si>
  <si>
    <t>SMLN-2023-617-100238
SMLN-2023-617-100237
SMLN-2023-614-100018
SMLN-2023-616-100016</t>
  </si>
  <si>
    <t>VZ-2023-000743</t>
  </si>
  <si>
    <t>Nástroje pro ORL II.</t>
  </si>
  <si>
    <t>SMLN-2023-617-100239</t>
  </si>
  <si>
    <t>SMLN-2023-617-100240</t>
  </si>
  <si>
    <t>OHLA odstoupila - nové vyhodnocení</t>
  </si>
  <si>
    <t>účinnost 24.10.2023</t>
  </si>
  <si>
    <t>Set biventricular a Set elektrofyziologický</t>
  </si>
  <si>
    <t>12.6.2023 zrušeno</t>
  </si>
  <si>
    <t>VZ-2023-000763</t>
  </si>
  <si>
    <t>Miska emitní jednorázová</t>
  </si>
  <si>
    <t>VZ-2023-000766</t>
  </si>
  <si>
    <t>Oprava podhledů budova F</t>
  </si>
  <si>
    <t>SMLN-2023-617-100241
SMLN-2023-614-100019</t>
  </si>
  <si>
    <t>SMLN-2023-618-100026</t>
  </si>
  <si>
    <t>ZENA - R, spol. s r.o.</t>
  </si>
  <si>
    <t>VZ-2023-000759</t>
  </si>
  <si>
    <t>LP s obsahem elotuzumabu 2023</t>
  </si>
  <si>
    <t>VZ-2023-000760</t>
  </si>
  <si>
    <t>LP s obashem tikagreloru 2023</t>
  </si>
  <si>
    <t>VZ-2023-000775-01</t>
  </si>
  <si>
    <t>Vinka alkaloidy a analoga 2023</t>
  </si>
  <si>
    <t>VZ-2023-000775-02</t>
  </si>
  <si>
    <t>VZ-2023-000775-03</t>
  </si>
  <si>
    <t>VZ-2023-000775-04</t>
  </si>
  <si>
    <t>VINORELBIN-DITARTARÁT I.</t>
  </si>
  <si>
    <t xml:space="preserve">VINORELBIN-DITARTARÁT II. </t>
  </si>
  <si>
    <t>Roztoky pro parenterální použití 2023</t>
  </si>
  <si>
    <t>VZ-2023-000776-01</t>
  </si>
  <si>
    <t>Darrowův roztok</t>
  </si>
  <si>
    <t>VZ-2023-000776-02</t>
  </si>
  <si>
    <t>VZ-2023-000776-03</t>
  </si>
  <si>
    <t>VZ-2023-000776-04</t>
  </si>
  <si>
    <t>VZ-2023-000776-05</t>
  </si>
  <si>
    <t>Ringerův roztok I</t>
  </si>
  <si>
    <t>Ringerův roztok II</t>
  </si>
  <si>
    <t>Roztoky elektrolytů s laktátem nebo acetátem</t>
  </si>
  <si>
    <t>Roztoky elektrolytů s glukózou</t>
  </si>
  <si>
    <t>VZ-2023-000773</t>
  </si>
  <si>
    <t>Servisní podpora lékárenského informačního systému II.</t>
  </si>
  <si>
    <t xml:space="preserve">VZ-2023-000778 </t>
  </si>
  <si>
    <t>Reagencie pro NGS sekvenování</t>
  </si>
  <si>
    <t>VZ-2023-000779</t>
  </si>
  <si>
    <t>Diangostika pro sekvenační knihovny</t>
  </si>
  <si>
    <t>Vondrková</t>
  </si>
  <si>
    <t>VZ-2023-000780</t>
  </si>
  <si>
    <t>Vlčková</t>
  </si>
  <si>
    <t>LP s obsahem inklisiranu 2023</t>
  </si>
  <si>
    <t>VZ-2023-000781</t>
  </si>
  <si>
    <t>Budova F - výměna podlahové krytiny</t>
  </si>
  <si>
    <t>SMLN-2023-618-100027</t>
  </si>
  <si>
    <t>SMLN-2023-618-100028</t>
  </si>
  <si>
    <t>SMLN-2023-617-100243</t>
  </si>
  <si>
    <t>Spofa Dental a.s.</t>
  </si>
  <si>
    <t>SMLN-2023-617-100245
SMLN-2023-614-100020</t>
  </si>
  <si>
    <t>nová VZ-2023-000773</t>
  </si>
  <si>
    <t>SMLN-2023-618-100029</t>
  </si>
  <si>
    <t>VZ-2023-000789</t>
  </si>
  <si>
    <t xml:space="preserve">Kartáček cytologický endoskopický pro ERCP </t>
  </si>
  <si>
    <t>VZ-2023-000793</t>
  </si>
  <si>
    <t>Šatní skříňky plechové - budova F</t>
  </si>
  <si>
    <t>39150000-8</t>
  </si>
  <si>
    <t>VZ-2023-000794</t>
  </si>
  <si>
    <t>Servis UZ přístrojů výrobce GE Healthcare</t>
  </si>
  <si>
    <t>VZ-2023-000795-01</t>
  </si>
  <si>
    <t>Nástroje pro ORL III.</t>
  </si>
  <si>
    <t>Nástroje pro ORL - specifikováno dle katalogu OLYMPUS</t>
  </si>
  <si>
    <t>VZ-2023-000795-02</t>
  </si>
  <si>
    <t>SMLN-2023-617-100191
SMLN-2023-614-100015
SMLN-2023-617-100190</t>
  </si>
  <si>
    <t>VZ-2023-000796</t>
  </si>
  <si>
    <t>Kanyly intubační endotracheální včetně výpůjčky monitorů</t>
  </si>
  <si>
    <t>SMLN-2023-617-100247
SMLN-2023-617-100248
SMLN-2023-612-100055</t>
  </si>
  <si>
    <t>VZ-2023-000797</t>
  </si>
  <si>
    <t>Katetry Fogarty</t>
  </si>
  <si>
    <t xml:space="preserve">Nástroje pro ORL (specif. dle kat. MEDIN, NOPA) </t>
  </si>
  <si>
    <t>VZ-2023-000800-01</t>
  </si>
  <si>
    <t>VZ-2023-000800-05</t>
  </si>
  <si>
    <t>VZ-2023-000800-02</t>
  </si>
  <si>
    <t>VZ-2023-000800-03</t>
  </si>
  <si>
    <t>VZ-2023-000800-04</t>
  </si>
  <si>
    <t>Koronární lékové stenty</t>
  </si>
  <si>
    <t>Koronární lékové stenty I.</t>
  </si>
  <si>
    <t>Koronární lékové stenty II.</t>
  </si>
  <si>
    <t>Koronární lékové stenty III.</t>
  </si>
  <si>
    <t>Koronární lékové stenty IV.</t>
  </si>
  <si>
    <t>Koronární lékové stenty V.</t>
  </si>
  <si>
    <t>SMLN-2023-617-100250
SMLN-2023-612-100056</t>
  </si>
  <si>
    <t>SMLN-2023-618-100030</t>
  </si>
  <si>
    <t>Vladimír Malych - Hydroizomat</t>
  </si>
  <si>
    <t>SMLN-2023-617-100251</t>
  </si>
  <si>
    <t>SMLN-2023-617-100252
SMLN-2023-614-100021</t>
  </si>
  <si>
    <t>SMLN-2023-612-100057</t>
  </si>
  <si>
    <t>21.6.2023 zrušeno</t>
  </si>
  <si>
    <t>SMLN-2023-617-100253</t>
  </si>
  <si>
    <t>22.6.2023 zrušeno</t>
  </si>
  <si>
    <t>SMLN-2023-617-100254
SMLN-2023-612-100059</t>
  </si>
  <si>
    <t>LINEQ s.r.o.</t>
  </si>
  <si>
    <t>VZ-2023-000806</t>
  </si>
  <si>
    <t>SMLN-2023-617-100256</t>
  </si>
  <si>
    <t>SMLN-2023-617-100257
SMLN-2023-612-100060</t>
  </si>
  <si>
    <t>VZ-2023-000811</t>
  </si>
  <si>
    <t>33171100-0</t>
  </si>
  <si>
    <t>2.3.761.</t>
  </si>
  <si>
    <t>SMLN-2023-617-100258</t>
  </si>
  <si>
    <t>SMLN-2023-618-100031</t>
  </si>
  <si>
    <t>VZ-2023-000816</t>
  </si>
  <si>
    <t>REKONSTRUKCE KANALIZACE U BUDOVY F</t>
  </si>
  <si>
    <t>VZ-2023-000817</t>
  </si>
  <si>
    <t>VZ-2023-000818</t>
  </si>
  <si>
    <t>Sérologická vyšetření infkečních markerů s výpůjčkou</t>
  </si>
  <si>
    <t>33694000-1,38434000-</t>
  </si>
  <si>
    <t>LP s obsahem Azacitidinu 2023</t>
  </si>
  <si>
    <t>SMLN-2023-618-100032</t>
  </si>
  <si>
    <t>zrušeno - nehodnotitelná nabídka</t>
  </si>
  <si>
    <t>SMLN-2023-617-100262</t>
  </si>
  <si>
    <t>SMLN-2023-617-100263</t>
  </si>
  <si>
    <t>SMLN-2023-617-100264</t>
  </si>
  <si>
    <t>VZ-2023-000824-01</t>
  </si>
  <si>
    <t>LP s obsahem posakonazolu 2023</t>
  </si>
  <si>
    <t>VZ-2023-000824-02</t>
  </si>
  <si>
    <t>VZ-2023-000824-03</t>
  </si>
  <si>
    <t>VZ-2023-000824-04</t>
  </si>
  <si>
    <t>VZ-2023-000824-05</t>
  </si>
  <si>
    <t>VZ-2023-000824-06</t>
  </si>
  <si>
    <t>POSAKONAZOL III.</t>
  </si>
  <si>
    <t>POSAKONAZOL IV.</t>
  </si>
  <si>
    <t>POSAKONAZOL V.</t>
  </si>
  <si>
    <t>POSAKONAZOL VI.</t>
  </si>
  <si>
    <t>SMLN-2023-617-100265</t>
  </si>
  <si>
    <t>VZ-2023-000826</t>
  </si>
  <si>
    <t>Celotělová resuscitační figurína</t>
  </si>
  <si>
    <t>2.2.566.</t>
  </si>
  <si>
    <t>VZ-2023-000827</t>
  </si>
  <si>
    <t>Motomed</t>
  </si>
  <si>
    <t>2.2.569.</t>
  </si>
  <si>
    <t>Dezinfekční přípravky na podklady, povrchy a předměty 2023</t>
  </si>
  <si>
    <t>SMLN-2023-617-100267
SMLN-2023-616-100018</t>
  </si>
  <si>
    <t>SMLN-2023-617-100268
SMLN-2023-612-100061</t>
  </si>
  <si>
    <t>SMLN-2023-617-100269
SMLN-2023-616-100019</t>
  </si>
  <si>
    <t>Altium International s.r.o.</t>
  </si>
  <si>
    <t>VZ-2023-000828</t>
  </si>
  <si>
    <t>VZ-2023-000829</t>
  </si>
  <si>
    <t>VZ-2023-000830</t>
  </si>
  <si>
    <t>Modul pro neinvazivní měření tlaku</t>
  </si>
  <si>
    <t>2.2.568.</t>
  </si>
  <si>
    <t>2.2.567.</t>
  </si>
  <si>
    <t>Kombinovaný přístroj elektroléčba a ultrazvuk</t>
  </si>
  <si>
    <t>2.2.570.</t>
  </si>
  <si>
    <t>VZ-2023-000833-01</t>
  </si>
  <si>
    <t>VZ-2023-000833-02</t>
  </si>
  <si>
    <t>LP s obsahem Albuminu 2023</t>
  </si>
  <si>
    <t>Albuminum humanum 5%</t>
  </si>
  <si>
    <t>33621400-3</t>
  </si>
  <si>
    <t>Albuminum humanum 20%</t>
  </si>
  <si>
    <t>SMLN-2023-618-100036</t>
  </si>
  <si>
    <t>Ondráčková
Skulová</t>
  </si>
  <si>
    <t>Górová</t>
  </si>
  <si>
    <t>SMLN-2023-617-100272
SMLN-2023-612-100062</t>
  </si>
  <si>
    <t>SMLN-2023-617-100273</t>
  </si>
  <si>
    <t>SMLN-2023-617-100274</t>
  </si>
  <si>
    <t>SMLN-2023-617-100275</t>
  </si>
  <si>
    <t>SMLN-2023-617-100276</t>
  </si>
  <si>
    <t>SMLN-2023-617-100277</t>
  </si>
  <si>
    <t>SMLN-2023-617-100278</t>
  </si>
  <si>
    <t>SMLN-2023-617-100279</t>
  </si>
  <si>
    <t>SMLN-2023-617-100280</t>
  </si>
  <si>
    <t>SMLN-2023-617-100281</t>
  </si>
  <si>
    <t>SMLN-2023-617-100282</t>
  </si>
  <si>
    <t>SMLN-2023-617-100283</t>
  </si>
  <si>
    <t>SMLN-2023-617-100284</t>
  </si>
  <si>
    <t>SMLN-2023-617-100285</t>
  </si>
  <si>
    <t>SMLN-2023-617-100286</t>
  </si>
  <si>
    <t>SMLN-2023-617-100287</t>
  </si>
  <si>
    <t>SMLN-2023-617-100288</t>
  </si>
  <si>
    <t>SMLN-2023-617-100289</t>
  </si>
  <si>
    <t>SMLN-2023-617-100290</t>
  </si>
  <si>
    <t>SMLN-2023-617-100291</t>
  </si>
  <si>
    <t>SMLN-2023-617-100292</t>
  </si>
  <si>
    <t>SMLN-2023-617-100293</t>
  </si>
  <si>
    <t>SMLN-2023-617-100295</t>
  </si>
  <si>
    <t>SMLN-2023-617-100296</t>
  </si>
  <si>
    <t>SMLN-2023-617-100294</t>
  </si>
  <si>
    <t>SMLN-2023-617-100297</t>
  </si>
  <si>
    <t>SMLN-2023-617-100298</t>
  </si>
  <si>
    <t>VZ-2023-000836</t>
  </si>
  <si>
    <t>Bezvýkopová oprava kanalizace u budovy Q v areálu FNOL</t>
  </si>
  <si>
    <t>Monitory vitální funkcí II.</t>
  </si>
  <si>
    <t>VZ-2023-000837-01</t>
  </si>
  <si>
    <t>VZ-2023-000837-02</t>
  </si>
  <si>
    <t>VZ-2023-000837-03</t>
  </si>
  <si>
    <t>2.2.699.</t>
  </si>
  <si>
    <t>2.2.727.</t>
  </si>
  <si>
    <t>SMLN-2023-617-100299
SMLN-2023-612-100063</t>
  </si>
  <si>
    <t>Becton Dickinson Czechia, s.ro.</t>
  </si>
  <si>
    <t>SMLN-2023-617-100301</t>
  </si>
  <si>
    <t>SMLN-2023-617-100302</t>
  </si>
  <si>
    <t>SMLN-2023-617-100300
SMLN-2023-612-100064
SMLN-2023-617-100303</t>
  </si>
  <si>
    <t>SMLN-2023-617-100304</t>
  </si>
  <si>
    <t>29.6.2023 výpověď</t>
  </si>
  <si>
    <t>VZ-2023-000842-01</t>
  </si>
  <si>
    <t>VZ-2023-000842-02</t>
  </si>
  <si>
    <t>VZ-2023-000842-03</t>
  </si>
  <si>
    <t>VZ-2023-000842-04</t>
  </si>
  <si>
    <t>VZ-2023-000842-05</t>
  </si>
  <si>
    <t>VZ-2023-000842-06</t>
  </si>
  <si>
    <t>VZ-2023-000842-07</t>
  </si>
  <si>
    <t>VZ-2023-000842-08</t>
  </si>
  <si>
    <t>Dočkal</t>
  </si>
  <si>
    <t>Srdeční chlopně a anuloplatické prstence</t>
  </si>
  <si>
    <t>Anuloplastické prstence semirigidní mitrální velikosti 28-40 mm</t>
  </si>
  <si>
    <t>Anuloplastické prstence semirigidní trikuspidální, velikosti 26-36 mm</t>
  </si>
  <si>
    <t>Srdeční aortální chlopně biologické perikardiální pro mladší pacienty, přizpůsobené pro budoucí "valve-in-valve" implantaci</t>
  </si>
  <si>
    <t>SMLN-2023-617-100305
SMLN-2023-614-100022</t>
  </si>
  <si>
    <t>SMLN-2023-617-100306</t>
  </si>
  <si>
    <t>nerealizováno - pojištění součástí novostavby B - SoD</t>
  </si>
  <si>
    <t>SMLN-2023-617-100307
SMLN-2023-614-100023</t>
  </si>
  <si>
    <t>VZ-2023-000845</t>
  </si>
  <si>
    <t xml:space="preserve">LP s obsahem evolokumabu 2023 </t>
  </si>
  <si>
    <t>VZ-2023-000846</t>
  </si>
  <si>
    <t>LP s obsahem alirokumabu 2023</t>
  </si>
  <si>
    <t>VZ-2023-000848</t>
  </si>
  <si>
    <t>Budova H1-oprava komunikace u nákladní rampy</t>
  </si>
  <si>
    <t>45233142-6</t>
  </si>
  <si>
    <t>VZ-2023-000849</t>
  </si>
  <si>
    <t>Kontrolní činnost na plynovém stabilním hasicím zařízení</t>
  </si>
  <si>
    <t>SMLN-2023-618-100038</t>
  </si>
  <si>
    <t>Sety pro hygienu dutiny ústní</t>
  </si>
  <si>
    <t>4.7.2023 zrušeno</t>
  </si>
  <si>
    <t>3.7.2023 vyloučení B. Braun</t>
  </si>
  <si>
    <t>VZ-2023-000625</t>
  </si>
  <si>
    <t>VZ-2023-000858</t>
  </si>
  <si>
    <t>Architektonicko-dispoziční studie – dostavba kardiovaskulárního centra</t>
  </si>
  <si>
    <t>1.2.112.</t>
  </si>
  <si>
    <t>SMLN-2023-617-100308</t>
  </si>
  <si>
    <t>VZ-2023-000859</t>
  </si>
  <si>
    <t>Úprava rozvodů ÚT – budova I – II. Etapa</t>
  </si>
  <si>
    <t>VZ-2023-000860</t>
  </si>
  <si>
    <t>VZ-2023-000861</t>
  </si>
  <si>
    <t>LP s obsahem paklitaxelu 2023</t>
  </si>
  <si>
    <t>LP s obsahem filgrastimu 2023</t>
  </si>
  <si>
    <t>SMLN-2023-617-100309
SMLN-2023-612-100065</t>
  </si>
  <si>
    <t>SMLN-2023-617-100310</t>
  </si>
  <si>
    <t>SMLN-2023-618-100039</t>
  </si>
  <si>
    <t>SMLN-2023-618-100040</t>
  </si>
  <si>
    <t>SMLN-2023-617-100312
SMLN-2023-612-100066</t>
  </si>
  <si>
    <t>SMLN-2023-617-100313
SMLN-2023-612-100067</t>
  </si>
  <si>
    <t>SMLN-2023-617-100314
SMLN-2023-612-100068</t>
  </si>
  <si>
    <t>VZ-2023-000857</t>
  </si>
  <si>
    <t>VZ-2023-000864</t>
  </si>
  <si>
    <t>EKG holter - Neurologická klinika</t>
  </si>
  <si>
    <t>2.2.572.</t>
  </si>
  <si>
    <t>Metrologie</t>
  </si>
  <si>
    <t>původní již bez certifikace</t>
  </si>
  <si>
    <t>Edwards Lifesciences Czech republic s.r.o.</t>
  </si>
  <si>
    <t>VZ-2023-000873</t>
  </si>
  <si>
    <t>Sada objektivů včetně revolverového nosiče</t>
  </si>
  <si>
    <t>2.2.571.</t>
  </si>
  <si>
    <t>11.7.2023 zrušeno</t>
  </si>
  <si>
    <t>Manlomka s.r.o.</t>
  </si>
  <si>
    <t>VZ-2023-000876</t>
  </si>
  <si>
    <t>Rekonstrukce kanalizace u budovy U, R, P, XG a YB</t>
  </si>
  <si>
    <t>12.7.2023 zrušeno</t>
  </si>
  <si>
    <t>SMLN-2023-617-100316</t>
  </si>
  <si>
    <t>SMLN-2023-612-100070</t>
  </si>
  <si>
    <t>Online-olin s.r.o.</t>
  </si>
  <si>
    <t>Activities 4You Cz, s.r.o.</t>
  </si>
  <si>
    <t xml:space="preserve">Takeda Pharmaceuticals Czech Republic s.r.o. </t>
  </si>
  <si>
    <t>VZ-2023-000879</t>
  </si>
  <si>
    <t>SET rouškovací základní STANDARD</t>
  </si>
  <si>
    <t>13.7.2023 zrušeno</t>
  </si>
  <si>
    <t>PHOENIX lék. Velkoobchod, s.r.o.</t>
  </si>
  <si>
    <t>SMLN-2023-612-100071</t>
  </si>
  <si>
    <t>VZ-2023-000881</t>
  </si>
  <si>
    <t>Rouškovací sety pro KÚČOCH</t>
  </si>
  <si>
    <t>VZ-2023-000882</t>
  </si>
  <si>
    <t>LP s obsahem sotorasibu  2023</t>
  </si>
  <si>
    <t>LP s obsahem filgotinibu 2023</t>
  </si>
  <si>
    <t>VZ-2023-000883</t>
  </si>
  <si>
    <t>VZ-2023-000884</t>
  </si>
  <si>
    <t>55110000-4,55120000-</t>
  </si>
  <si>
    <t>G.P.S. Praha spol. s r.o.</t>
  </si>
  <si>
    <t>SICAR, spol. s r.o.</t>
  </si>
  <si>
    <t>SMLN-2023-617-100320</t>
  </si>
  <si>
    <t>SMLN-2023-618-100041</t>
  </si>
  <si>
    <t>podepsaná smlouva</t>
  </si>
  <si>
    <t>připravuje se</t>
  </si>
  <si>
    <t>SNT Plus s.r.o.</t>
  </si>
  <si>
    <t>Stav VZ</t>
  </si>
  <si>
    <t>smlouva v kolečku</t>
  </si>
  <si>
    <t>SMLN-2023-617-100321
SMLN-2023-614-100024</t>
  </si>
  <si>
    <t>VZ-2023-000074-03</t>
  </si>
  <si>
    <t>Dezinfekce operačního pole a kůže před vpichem, dezinfekce sliznic 2023</t>
  </si>
  <si>
    <t xml:space="preserve">Dezinfekce kůže před vpichem a operačního pole </t>
  </si>
  <si>
    <t>Oktenidin</t>
  </si>
  <si>
    <t>SMLN-2023-617-100325</t>
  </si>
  <si>
    <t>SMLN-2023-617-100324</t>
  </si>
  <si>
    <t>SMLN-2023-617-100322</t>
  </si>
  <si>
    <t>SMLN-2023-617-100323</t>
  </si>
  <si>
    <t>SMLN-2023-617-100326
SMLN-2023-614-100025
SMLN-2023-616-100027</t>
  </si>
  <si>
    <t>SMLN-2023-614-100025</t>
  </si>
  <si>
    <t>SMLN-2023-616-100027</t>
  </si>
  <si>
    <t>SMLN-2023-617-100327
SMLN-2023-614-100026
SMLN-2023-616-100028</t>
  </si>
  <si>
    <t>SMLN-2023-617-100330
SMLN-2023-614-100027
SMLN-2023-616-100029</t>
  </si>
  <si>
    <t>SMLN-2023-617-100332
SMLN-2023-614-100029
SMLN-2023-616-100032</t>
  </si>
  <si>
    <t>SMLN-2023-617-100331
SMLN-2023-614-100028
SMLN-2023-616-100030</t>
  </si>
  <si>
    <t>SMLN-2023-617-100334
SMLN-2023-614-100030
SMLN-2023-616-100033</t>
  </si>
  <si>
    <t>SMLN-2023-617-100336
SMLN-2023-614-100031
SMLN-2023-616-100034</t>
  </si>
  <si>
    <t>SMLN-2023-617-100328</t>
  </si>
  <si>
    <t>SMLN-2023-617-100329</t>
  </si>
  <si>
    <t>SMLN-2023-617-100338
SMLN-2023-617-100072</t>
  </si>
  <si>
    <t>SMLN-2023-617-100333
SMLN-2023-616-100032</t>
  </si>
  <si>
    <t>SMLN-2023-617-100335</t>
  </si>
  <si>
    <t>Poskytování služeb informačního systému pro genomickou analýzu</t>
  </si>
  <si>
    <t>VZ-2023-000896</t>
  </si>
  <si>
    <t>VZ-2023-000897</t>
  </si>
  <si>
    <t>Novostavba – dílny UTZ</t>
  </si>
  <si>
    <t>45213252-4</t>
  </si>
  <si>
    <t>SMLN-2023-617-100339</t>
  </si>
  <si>
    <t>Bezpečnostní infrastruktura FNOL</t>
  </si>
  <si>
    <t>VZ-2023-000898</t>
  </si>
  <si>
    <t>Odborné konzultace v projektu: Podpora projektů pro inovační technologie ve zdravotnictví – telemedicína</t>
  </si>
  <si>
    <t>VZ-2023-000900</t>
  </si>
  <si>
    <t>SMLN-2023-617-100407</t>
  </si>
  <si>
    <t>SMLN-2023-617-100404</t>
  </si>
  <si>
    <t>SMLN-2023-617-100405</t>
  </si>
  <si>
    <t>SMLN-2023-617-100406</t>
  </si>
  <si>
    <t>SMLN-2023-612-100075</t>
  </si>
  <si>
    <t>SMLN-2023-612-100076</t>
  </si>
  <si>
    <t>SMLN-2023-612-100077</t>
  </si>
  <si>
    <t>SMLN-2023-612-100078</t>
  </si>
  <si>
    <t>VZ-2023-000902-02</t>
  </si>
  <si>
    <t>VZ-2023-000902-01</t>
  </si>
  <si>
    <t>2.3.723</t>
  </si>
  <si>
    <t>VZ-2023-000901-01</t>
  </si>
  <si>
    <t>VZ-2023-000901-02</t>
  </si>
  <si>
    <t>VZ-2023-000901-03</t>
  </si>
  <si>
    <t>Snížení energetické náročnosti ubytovny YA</t>
  </si>
  <si>
    <t>Koordinátor BOZP – zateplení ubytoven a dětské kliniky FNOL</t>
  </si>
  <si>
    <t>Snížení energetické náročnosti ubytoven YC, YD, YE</t>
  </si>
  <si>
    <t>Snížení energetické náročnosti budovy DK – objekt Q1, Q2</t>
  </si>
  <si>
    <t>71317200-5</t>
  </si>
  <si>
    <t>1.2.105</t>
  </si>
  <si>
    <t>SMLN-2023-617-100403
SMLN-2023-612-100074</t>
  </si>
  <si>
    <t>SMLN-2023-617-100401
SMLN-2023-617-100402</t>
  </si>
  <si>
    <t>SMLN-2023-617-100408
SMLN-2023-612-100079</t>
  </si>
  <si>
    <t>VZ-2023-000906</t>
  </si>
  <si>
    <t>Motomed II</t>
  </si>
  <si>
    <t>2.2.569</t>
  </si>
  <si>
    <t>26.7.2023 zrušeno</t>
  </si>
  <si>
    <t>VZ-2023-000911</t>
  </si>
  <si>
    <t>účinnost od 29.9.2023</t>
  </si>
  <si>
    <t>účinnost od 6.10.2023</t>
  </si>
  <si>
    <t>VZ-2023-000893</t>
  </si>
  <si>
    <t>SMLN-2023-617-100411</t>
  </si>
  <si>
    <t>Operační stůl s příslušenstvím pro Oční kliniku</t>
  </si>
  <si>
    <t xml:space="preserve"> Mobilní operační stoly s příslušenstvím pro ORL </t>
  </si>
  <si>
    <t>VZ-2023-000918</t>
  </si>
  <si>
    <t>VZ-2023-000919</t>
  </si>
  <si>
    <t>Skulová</t>
  </si>
  <si>
    <t>CO2 Inkubátor pro Hemato-onkologickou kliniku</t>
  </si>
  <si>
    <t>2.3.762.</t>
  </si>
  <si>
    <t>2.3.763.</t>
  </si>
  <si>
    <t>Centrifuga nechlazená pro Hemato-onkologickou kliniku</t>
  </si>
  <si>
    <t>vypsaná VZ</t>
  </si>
  <si>
    <t>8 let od předávacího protokolu SoV</t>
  </si>
  <si>
    <t>SMLN-2023-618-100044</t>
  </si>
  <si>
    <t>PODLAS s.r.o.</t>
  </si>
  <si>
    <t>SMLN-2023-618-100045</t>
  </si>
  <si>
    <t>27.7.2023 zrušeno</t>
  </si>
  <si>
    <t>VZ-2023-000925</t>
  </si>
  <si>
    <t>LP s obsahem izatuximabu 2023</t>
  </si>
  <si>
    <t>Ing. Martin Bencko</t>
  </si>
  <si>
    <t>POZEMSTAV Prostějov, a.s.</t>
  </si>
  <si>
    <t>SMLN-2023-617-100412</t>
  </si>
  <si>
    <t>SMLN-2023-617-100413</t>
  </si>
  <si>
    <t>Advance Hospital Analytics s.r.o.</t>
  </si>
  <si>
    <t>WATTCOM s.r.o.</t>
  </si>
  <si>
    <t>SMLN-2023-617-100414
SMLN-2023-612-100080</t>
  </si>
  <si>
    <t>SMLN-2023-612-100081</t>
  </si>
  <si>
    <t>SMLN-2023-612-100082</t>
  </si>
  <si>
    <t>Kardio - Line spol. s r.o.</t>
  </si>
  <si>
    <t>SMLN-2023-617-100416
SMLN-2023-612-100083</t>
  </si>
  <si>
    <t>SMLN-2023-617-100417</t>
  </si>
  <si>
    <t>Evident Europe GmbH - odštěpný závod</t>
  </si>
  <si>
    <t xml:space="preserve">45213252-4 </t>
  </si>
  <si>
    <t>VZ-2023-000934-01</t>
  </si>
  <si>
    <t>Endoskopie II.</t>
  </si>
  <si>
    <t>Laparoskopická věž</t>
  </si>
  <si>
    <t>VZ-2023-000934-02</t>
  </si>
  <si>
    <t>VZ-2023-000934-03</t>
  </si>
  <si>
    <t>Radiální sonda</t>
  </si>
  <si>
    <t>2.3.764.</t>
  </si>
  <si>
    <t>2.3.765.</t>
  </si>
  <si>
    <t>VZ-2023-000935</t>
  </si>
  <si>
    <t>2.3.735.</t>
  </si>
  <si>
    <t>VZ-2023-000937</t>
  </si>
  <si>
    <t>2.2.575.</t>
  </si>
  <si>
    <t>SMLN-2023-618-100046</t>
  </si>
  <si>
    <t>VZ-2023-000939-01</t>
  </si>
  <si>
    <t>VZ-2023-000939-02</t>
  </si>
  <si>
    <t xml:space="preserve">Motodlahy </t>
  </si>
  <si>
    <t>Motodlaha - horní končetiny</t>
  </si>
  <si>
    <t>2.2.576.</t>
  </si>
  <si>
    <t>Motodlahy - dolní končetiny</t>
  </si>
  <si>
    <t>SMLN-2023-612-100084</t>
  </si>
  <si>
    <t>MIZ - BMH Olomouc</t>
  </si>
  <si>
    <t>SMLN-2023-618-100048</t>
  </si>
  <si>
    <t>SMLN-2023-618-100049</t>
  </si>
  <si>
    <t>SMLN-2023-617-100418</t>
  </si>
  <si>
    <t>SMLN-2023-617-100419</t>
  </si>
  <si>
    <t>SMLN-2023-617-100420</t>
  </si>
  <si>
    <t>SMLN-2023-617-100421</t>
  </si>
  <si>
    <t>Imunoglobuliny normální lidské s výpůjčkou pump 2023</t>
  </si>
  <si>
    <t>VZ-2023-000948</t>
  </si>
  <si>
    <t>LP s obsahem asciminib 2023</t>
  </si>
  <si>
    <t>VZ-2023-000949</t>
  </si>
  <si>
    <t>Enzymy 2023</t>
  </si>
  <si>
    <t>Materiál spotřební k přístroji Babylog VN 500 Drager</t>
  </si>
  <si>
    <t>Porty veózní implantabilní</t>
  </si>
  <si>
    <t>Porty venózní implantabilní</t>
  </si>
  <si>
    <t>Porty venózní implantabilní vysokotlaké</t>
  </si>
  <si>
    <t>SMLN-2023-612-100086</t>
  </si>
  <si>
    <t>SMLN-2023-612-100085
SMLN-2023-617-100422</t>
  </si>
  <si>
    <t>Lehátka II.</t>
  </si>
  <si>
    <t>Lehátka pro Radiologickou kliniku II.</t>
  </si>
  <si>
    <t>VZ-2023-000940-01</t>
  </si>
  <si>
    <t>VZ-2023-000940-02</t>
  </si>
  <si>
    <t>Lehátka pro odd. rehabilitace</t>
  </si>
  <si>
    <t>VZ-2023-000955</t>
  </si>
  <si>
    <t>Nástroje chirurgické pro PCHIR</t>
  </si>
  <si>
    <t>SMLN-2023-617-100424</t>
  </si>
  <si>
    <t>SMLN-2023-617-100425</t>
  </si>
  <si>
    <t>SMLN-2023-617-100426</t>
  </si>
  <si>
    <t>SMLN-2023-617-100427</t>
  </si>
  <si>
    <t>SMLN-2023-617-100428</t>
  </si>
  <si>
    <t>SMLN-2023-617-100429</t>
  </si>
  <si>
    <t>Nástroje chirurgické pro ORTOP operační sály</t>
  </si>
  <si>
    <t>Kontrola a údržba hasicích přístrojů, kontrola zařízení pro zásobování vodou</t>
  </si>
  <si>
    <t>VZ-2023-000959</t>
  </si>
  <si>
    <t>VZ-2023-000969-01</t>
  </si>
  <si>
    <t>VZ-2023-000969-02</t>
  </si>
  <si>
    <t>VZ-2023-000968</t>
  </si>
  <si>
    <t>VZ-2023-000967</t>
  </si>
  <si>
    <t>bude připravena nová VZ</t>
  </si>
  <si>
    <t>9.8.2023 zrušeno</t>
  </si>
  <si>
    <t>VZ-2023-000973-01</t>
  </si>
  <si>
    <t>LP ze skupiny inhalačních sympatomimetik 2023</t>
  </si>
  <si>
    <t>Salmeterol a flutikason I.</t>
  </si>
  <si>
    <t>VZ-2023-000973-02</t>
  </si>
  <si>
    <t>VZ-2023-000973-03</t>
  </si>
  <si>
    <t>VZ-2023-000973-04</t>
  </si>
  <si>
    <t>VZ-2023-000973-05</t>
  </si>
  <si>
    <t>VZ-2023-000973-06</t>
  </si>
  <si>
    <t>Salmeterol a flutikason II.</t>
  </si>
  <si>
    <t>Salmeterol a flutikason III.</t>
  </si>
  <si>
    <t>Salmeterol a flutikason IV.</t>
  </si>
  <si>
    <t>Salmeterol a flutikason V.</t>
  </si>
  <si>
    <t>Salmeterol a flutikason VI.</t>
  </si>
  <si>
    <t>VZ-2023-000974</t>
  </si>
  <si>
    <t>VZ-2023-000976</t>
  </si>
  <si>
    <t>Drát vodící endoskopický pro ERCP II.</t>
  </si>
  <si>
    <t xml:space="preserve">Sonda Cysto-Gastro Endo Flex </t>
  </si>
  <si>
    <t>Cystotom Sonda Cysto-Gastro EndoFlex 6 Fr</t>
  </si>
  <si>
    <t>Cystotom Sonda Cysto-Gastro EndoFlex 8,5 Fr</t>
  </si>
  <si>
    <t>Cystotom Sonda Cysto-Gastro EndoFlex 10 Fr</t>
  </si>
  <si>
    <t>účinnost od 23.9.2023</t>
  </si>
  <si>
    <t>VZ-2023-000979</t>
  </si>
  <si>
    <t>KC SOLID, spol. s r.o.</t>
  </si>
  <si>
    <t>VZ-2023-000865-01</t>
  </si>
  <si>
    <t>VZ-2023-000865-02</t>
  </si>
  <si>
    <t>VZ-2023-000865-03</t>
  </si>
  <si>
    <t>Kalibrace a validace ostatních měřidel a zařízení FNoL</t>
  </si>
  <si>
    <t>Monitorovací systém</t>
  </si>
  <si>
    <t>nová VZ-2023-000940</t>
  </si>
  <si>
    <t>VZ-2023-000981</t>
  </si>
  <si>
    <t>VZ-2023-000980</t>
  </si>
  <si>
    <t>Výroba a montáž nábytku 3/2023</t>
  </si>
  <si>
    <t>účinnosti od 23.9.2023</t>
  </si>
  <si>
    <t>REPO-RECK spol. s r.o.</t>
  </si>
  <si>
    <t>VZ-2023-000985</t>
  </si>
  <si>
    <t>nová VZ-2023-000934-01</t>
  </si>
  <si>
    <t>VZ-2023-000988</t>
  </si>
  <si>
    <t>2.2.579.</t>
  </si>
  <si>
    <t>VZ-2023-000990-01</t>
  </si>
  <si>
    <t>VZ-2023-000990-02</t>
  </si>
  <si>
    <t>VZ-2023-000990-03</t>
  </si>
  <si>
    <t>SAFETY PRO s.r.o.</t>
  </si>
  <si>
    <t>Berka - Stavokonzult s.r.o.</t>
  </si>
  <si>
    <t>Roman Hašek</t>
  </si>
  <si>
    <t>SMLN-2023-617-100431</t>
  </si>
  <si>
    <t>VKUS - BUSTAN s.r.o.</t>
  </si>
  <si>
    <t>SMLN-2023-612-100087</t>
  </si>
  <si>
    <t>účinost od 11.9.2023</t>
  </si>
  <si>
    <t>Centrifuga nechlazená (HOK)</t>
  </si>
  <si>
    <t>VENAMA  s.r.o.</t>
  </si>
  <si>
    <t xml:space="preserve">Edwards Lifesciences Czech Republic s.r.o. </t>
  </si>
  <si>
    <t>SMLN-2023-617-100432
SMLN-2023-612-100088</t>
  </si>
  <si>
    <t>SMLN-2023-617-100433</t>
  </si>
  <si>
    <t>SMLN-2023-617-100434</t>
  </si>
  <si>
    <t>SMLN-2023-617-100437
SMLN-2023-612-100089</t>
  </si>
  <si>
    <t>SMLN-2023-617-100438
SMLN-2023-612-100090</t>
  </si>
  <si>
    <t>SMLN-2023-617-100440</t>
  </si>
  <si>
    <t>VZ-2023-000993</t>
  </si>
  <si>
    <t>PD - Dostavba a rekonstrukce budovy U</t>
  </si>
  <si>
    <t>15.8.2023 zrušeno</t>
  </si>
  <si>
    <t>SMLN-2023-612-100093</t>
  </si>
  <si>
    <t>SMLN-2023-617-100444
SMLN-2023-614-100032</t>
  </si>
  <si>
    <t>SMLN-2023-612-100094</t>
  </si>
  <si>
    <t>účinnost od 16.9.2023</t>
  </si>
  <si>
    <t>účinnost od 23.9.2027</t>
  </si>
  <si>
    <t>účinnost od 16.9.2027</t>
  </si>
  <si>
    <t>Zimmer Czech ,s.r.o.</t>
  </si>
  <si>
    <t>SMLN-2023-612-100095</t>
  </si>
  <si>
    <t>SMLN-2023-612-100096</t>
  </si>
  <si>
    <t>SMLN-2023-618-100051</t>
  </si>
  <si>
    <t>SMLN-2023-617-100445</t>
  </si>
  <si>
    <t>SMLN-2023-617-100446</t>
  </si>
  <si>
    <t>SMLN-2023-618-100052</t>
  </si>
  <si>
    <t>SMLN-2023-618-100053</t>
  </si>
  <si>
    <t>SMLN-2023-618-100054</t>
  </si>
  <si>
    <t>VZ-2023-001009</t>
  </si>
  <si>
    <t>LP s obsahem kapmatinibu 2023</t>
  </si>
  <si>
    <t>VZ-2023-001010</t>
  </si>
  <si>
    <t>LP s obsahem tepotinibu 2023</t>
  </si>
  <si>
    <t>VZ-2023-001011-01</t>
  </si>
  <si>
    <t>VZ-2023-001011-02</t>
  </si>
  <si>
    <t>Periferně působící myorelaxancia 2023</t>
  </si>
  <si>
    <t>Botulotoxinum typ A I.</t>
  </si>
  <si>
    <t>Botulotoxinum typ A II.</t>
  </si>
  <si>
    <t>VZ-2023-001015-01</t>
  </si>
  <si>
    <t>VZ-2023-001015-02</t>
  </si>
  <si>
    <t>VZ-2023-001015-03</t>
  </si>
  <si>
    <t>VZ-2023-001015-04</t>
  </si>
  <si>
    <t>Jiná imunosupresiva 2023</t>
  </si>
  <si>
    <t>AZATHIOPRIN</t>
  </si>
  <si>
    <t>THALIDOMID</t>
  </si>
  <si>
    <t>METHOTREXAT I.</t>
  </si>
  <si>
    <t>METHOTREXAT II.</t>
  </si>
  <si>
    <t>VZ-2023-001018-01</t>
  </si>
  <si>
    <t>Chladící a mrazící technika III</t>
  </si>
  <si>
    <t>Ústav imunologie</t>
  </si>
  <si>
    <t>2.2.552.</t>
  </si>
  <si>
    <t>VZ-2023-001018-02</t>
  </si>
  <si>
    <t>VZ-2023-001018-03</t>
  </si>
  <si>
    <t>2.2.580.</t>
  </si>
  <si>
    <t>2.3.767.</t>
  </si>
  <si>
    <t>16.8.2023 zrušeno</t>
  </si>
  <si>
    <t>VZ-2023-001021</t>
  </si>
  <si>
    <t>Software pro plánování osteotomie v oblasti kolene</t>
  </si>
  <si>
    <t>2.2.574.</t>
  </si>
  <si>
    <t>Oddělení rehabilitace</t>
  </si>
  <si>
    <t xml:space="preserve"> III. Interní klinika</t>
  </si>
  <si>
    <t>VZ-2023-001023</t>
  </si>
  <si>
    <t>Nástroje chirurgické pro operační sály ORTOP - rozšíření stávajícího instrumentária</t>
  </si>
  <si>
    <t>VZ-2023-001029</t>
  </si>
  <si>
    <t>Navigované nástroje pro spinální výkony</t>
  </si>
  <si>
    <t>2.2.523.</t>
  </si>
  <si>
    <t>nová VZ-2023-001033</t>
  </si>
  <si>
    <t>Ultrazvukové systémy II</t>
  </si>
  <si>
    <t>VZ-2023-001033</t>
  </si>
  <si>
    <t>Ergometry</t>
  </si>
  <si>
    <t>VZ-2023-001031-01</t>
  </si>
  <si>
    <t>VZ-2023-001031-02</t>
  </si>
  <si>
    <t>2.2.581.</t>
  </si>
  <si>
    <t>2.2.582.</t>
  </si>
  <si>
    <t>Kardiologická sonda</t>
  </si>
  <si>
    <t xml:space="preserve">UZV včetně příslušenství </t>
  </si>
  <si>
    <t>VZ-2023-001035</t>
  </si>
  <si>
    <t>nová VZ-2023-001035</t>
  </si>
  <si>
    <r>
      <rPr>
        <b/>
        <sz val="11"/>
        <color rgb="FFFF0000"/>
        <rFont val="Calibri"/>
        <family val="2"/>
        <charset val="238"/>
        <scheme val="minor"/>
      </rPr>
      <t>VZ-2023-000842-02 zrušeno bez nabídky</t>
    </r>
    <r>
      <rPr>
        <sz val="11"/>
        <color theme="1"/>
        <rFont val="Calibri"/>
        <family val="2"/>
        <charset val="238"/>
        <scheme val="minor"/>
      </rPr>
      <t xml:space="preserve">
nová VZ-2023-001035</t>
    </r>
  </si>
  <si>
    <t>VZ-2023-001038-01</t>
  </si>
  <si>
    <t>Vrtací a pilové systémy II.</t>
  </si>
  <si>
    <t>VZ-2023-001038-02</t>
  </si>
  <si>
    <t>Akumulátorová souprava</t>
  </si>
  <si>
    <t>2.2.583.</t>
  </si>
  <si>
    <t>Modulární bateriová vrtačka</t>
  </si>
  <si>
    <t>2.2.532.</t>
  </si>
  <si>
    <t>VZ-2023-001042</t>
  </si>
  <si>
    <t>Mechanické extraktory srdečních a defibrilačních elektrod včetně fixačního vodiče</t>
  </si>
  <si>
    <t>SMLN-2023-617-100439
SMLN-2023-612-100091</t>
  </si>
  <si>
    <t>zrušeno  - oprava zadání</t>
  </si>
  <si>
    <t>bude realizováno v rámci DNS</t>
  </si>
  <si>
    <t>zrušeno - AH odstoupila od podpisu smlouvy</t>
  </si>
  <si>
    <t>SMLN-2023-617-100449</t>
  </si>
  <si>
    <t>SMLN-2023-617-100450</t>
  </si>
  <si>
    <t>SMLN-2023-617-100455</t>
  </si>
  <si>
    <t>SMLN-2023-617-100451
SMLN-2023-612-100097</t>
  </si>
  <si>
    <t>SMLN-2023-617-100452
SMLN-2023-612-100098</t>
  </si>
  <si>
    <t>SMLN-2023-617-100453
SMLN-2023-612-100099</t>
  </si>
  <si>
    <t>SMLN-2023-617-100454
SMLN-2023-612-100100</t>
  </si>
  <si>
    <t>SMLN-2023-617-100456
SMLN-2023-612-100101</t>
  </si>
  <si>
    <t>SMLN-2023-617-100457</t>
  </si>
  <si>
    <t>SMLN-2023-617-100458</t>
  </si>
  <si>
    <t>SMLN-2023-617-100459</t>
  </si>
  <si>
    <t>VZ-2023-001052-02</t>
  </si>
  <si>
    <t>VZ-2023-001052-01</t>
  </si>
  <si>
    <t>VZ-2023-001052-03</t>
  </si>
  <si>
    <t xml:space="preserve">Sonda Cysto-Gastro </t>
  </si>
  <si>
    <t>Cystotom Sonda Cysto-Gastro 6 Fr</t>
  </si>
  <si>
    <t>Cystotom Sonda Cysto-Gastro 8,5 Fr</t>
  </si>
  <si>
    <t>Cystotom Sonda Cysto-Gastro 10 Fr</t>
  </si>
  <si>
    <t>nová VZ-2023-001052-01</t>
  </si>
  <si>
    <t>nová VZ-2023-001052-02</t>
  </si>
  <si>
    <t>nová VZ-2023-001052-03</t>
  </si>
  <si>
    <t>Jehly aspirační endosonografické</t>
  </si>
  <si>
    <t>VZ-2023-001054-01</t>
  </si>
  <si>
    <t>VZ-2023-001054-02</t>
  </si>
  <si>
    <t>Jehly endosonografické FNA, FNB</t>
  </si>
  <si>
    <t>Jehly endosonografické ECHO</t>
  </si>
  <si>
    <t>VZ-2023-001055</t>
  </si>
  <si>
    <t>Stavební úpravy 9.NP budovy D2 – uzavření prostoru před výtahy</t>
  </si>
  <si>
    <t>SMLN-2023-617-100460</t>
  </si>
  <si>
    <t>SMLN-2023-617-100461</t>
  </si>
  <si>
    <t>SMLN-2023-617-100462</t>
  </si>
  <si>
    <t>VZ-2023-001057</t>
  </si>
  <si>
    <t>Bezvýkopová oprava havarijní kanalizace areál Hněvotínská ulice (Žlutá hala)</t>
  </si>
  <si>
    <t>23.8.2023 zrušeno</t>
  </si>
  <si>
    <t>SMLN-2023-617-100463
SMLN-2023-614-100033</t>
  </si>
  <si>
    <t>SMLN-2023-617-100464
SMLN-2023-614-100034</t>
  </si>
  <si>
    <t>SMLN-2023-617-100465
SMLN-2023-614-100035</t>
  </si>
  <si>
    <t>SMLN-2023-617-100466
SMLN-2023-614-100036</t>
  </si>
  <si>
    <t>SMLN-2023-617-100467
SMLN-2023-614-100037</t>
  </si>
  <si>
    <t>SMLN-2023-617-100468
SMLN-2023-614-100038</t>
  </si>
  <si>
    <t>SMLN-2023-617-100469
SMLN-2023-614-100039</t>
  </si>
  <si>
    <t>SMLN-2023-617-100470
SMLN-2023-614-100040</t>
  </si>
  <si>
    <t>SMLN-2023-617-100471
SMLN-2023-614-100041</t>
  </si>
  <si>
    <t>SMLN-2023-617-100472
SMLN-2023-614-100042</t>
  </si>
  <si>
    <t>SMLN-2023-617-100473
SMLN-2023-614-100043</t>
  </si>
  <si>
    <t>SMLN-2023-617-100474
SMLN-2023-614-100044</t>
  </si>
  <si>
    <t>VZ-2023-001059-01</t>
  </si>
  <si>
    <t>LP s obsahem infliximabu 2023</t>
  </si>
  <si>
    <t>VZ-2023-001059-02</t>
  </si>
  <si>
    <t>INFLIXIMAB  I.</t>
  </si>
  <si>
    <t>INFLIXIMAB  II.</t>
  </si>
  <si>
    <t>VZ-2023-001060</t>
  </si>
  <si>
    <t>LP s obsahem pasireotidu 2023</t>
  </si>
  <si>
    <t>VZ-2023-001061</t>
  </si>
  <si>
    <t xml:space="preserve">Jiná cytostatika 2023 </t>
  </si>
  <si>
    <t>VZ-2023-001062</t>
  </si>
  <si>
    <t>LP s obsahem methylprednisonu  II. 2023</t>
  </si>
  <si>
    <t>nová VZ-2023-001062</t>
  </si>
  <si>
    <t>VZ-2023-001063</t>
  </si>
  <si>
    <t>LP s obsahem elotuzumabu II. 2023</t>
  </si>
  <si>
    <t>nová VZ-2023-001063</t>
  </si>
  <si>
    <t>účinnost od 8.11.2023</t>
  </si>
  <si>
    <t>VZ-2023-001065</t>
  </si>
  <si>
    <t>LP s obsahem imatinibu 2023</t>
  </si>
  <si>
    <t>VZ-2023-001067</t>
  </si>
  <si>
    <t>Kit PSMA 2023</t>
  </si>
  <si>
    <t>SMLN-2023-617-100442
SMLN-2023-612-100092</t>
  </si>
  <si>
    <t>VZ-2023-001071</t>
  </si>
  <si>
    <t>Dezinfekce myček endoskopů 2023 II.</t>
  </si>
  <si>
    <t>nová VZ-2023-001071</t>
  </si>
  <si>
    <t>29.8.2023 zrušeno</t>
  </si>
  <si>
    <t>SMLN-2023-617-100475</t>
  </si>
  <si>
    <t>SMLN-2023-617-100476</t>
  </si>
  <si>
    <t>SMLN-2023-617-100477
SMLN-2023-612-100102</t>
  </si>
  <si>
    <t>VZ-2023-001076-01</t>
  </si>
  <si>
    <t>VZ-2023-001076-02</t>
  </si>
  <si>
    <t>Automatické počítadlo buněk</t>
  </si>
  <si>
    <t>2.2.551.</t>
  </si>
  <si>
    <t>38300000-8</t>
  </si>
  <si>
    <t>2.2.573.</t>
  </si>
  <si>
    <t>Fluorescenční cellomete</t>
  </si>
  <si>
    <t>VZ-2023-001077</t>
  </si>
  <si>
    <t>Příslušenství k vrtacímu systému OsseoDuo a OsseoSTAP výr. Bien Air</t>
  </si>
  <si>
    <t>SMLN-2023-617-100478
SMLN-2023-612-100103</t>
  </si>
  <si>
    <t>SMLN-2023-617-100479</t>
  </si>
  <si>
    <t>30.8.2023 zrušeno</t>
  </si>
  <si>
    <t>30.8.2023 vyloučení BAXTER, bude zrušeno</t>
  </si>
  <si>
    <t>VZ-2023-001080</t>
  </si>
  <si>
    <t>Forma na globule</t>
  </si>
  <si>
    <t>2.2.584.</t>
  </si>
  <si>
    <r>
      <t xml:space="preserve">LP s obsahem tixagevimabu a cilgavimabu 2023 - </t>
    </r>
    <r>
      <rPr>
        <b/>
        <sz val="11"/>
        <rFont val="Calibri"/>
        <family val="2"/>
        <charset val="238"/>
        <scheme val="minor"/>
      </rPr>
      <t xml:space="preserve">sdružený nákup </t>
    </r>
  </si>
  <si>
    <t>účinnost od 10.9.2023</t>
  </si>
  <si>
    <t>VZ-2023-001085</t>
  </si>
  <si>
    <t>Komunikační systém sestra-pacient, budova S</t>
  </si>
  <si>
    <t>50334400-9</t>
  </si>
  <si>
    <t>4.2.205.</t>
  </si>
  <si>
    <t>VZ-2023-001086</t>
  </si>
  <si>
    <t>VZ-2023-001087</t>
  </si>
  <si>
    <t>Hypertonické roztoky II. 2023</t>
  </si>
  <si>
    <t>nová VZ-2023-001087</t>
  </si>
  <si>
    <t>SMLN-2023-617-100481
SMLN-2023-612-100105</t>
  </si>
  <si>
    <t>SMLN-2023-617-100482
SMLN-2023-612-100106</t>
  </si>
  <si>
    <t>SMLN-2023-617-100483
SMLN-2023-612-100107</t>
  </si>
  <si>
    <t>nová VZ-2023-001088</t>
  </si>
  <si>
    <t>VZ-2023-001088-01</t>
  </si>
  <si>
    <t>VZ-2023-001088-02</t>
  </si>
  <si>
    <t>Drát vodící endoskopický pro ERCP III.</t>
  </si>
  <si>
    <t>Drát vodící endoskopický pro ERCP - rovný</t>
  </si>
  <si>
    <t>Drát vodící endoskopický pro ERCP - zahnutý</t>
  </si>
  <si>
    <t>SMLN-2023-617-100484
SMLN-2023-612-100108</t>
  </si>
  <si>
    <t>VZ-2023-001089</t>
  </si>
  <si>
    <t>5.9.2023 zrušeno</t>
  </si>
  <si>
    <t>SMLN-2023-617-100487</t>
  </si>
  <si>
    <t>SMLN-2023-617-100488
SMLN-2023-612-100110
SMLN-2023-617-100489</t>
  </si>
  <si>
    <t>doba  neurčitá</t>
  </si>
  <si>
    <t>Grandyx s.r.o.</t>
  </si>
  <si>
    <t>SMLN-2023-617-100493
SMLN-2023-616-100035
SMLN-2023-612-100111</t>
  </si>
  <si>
    <t xml:space="preserve">Nástroje chirurgické pro COSS </t>
  </si>
  <si>
    <r>
      <t xml:space="preserve">LP s bosahem sirolimu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</si>
  <si>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Software pro plánování osteotomie v oblasti kolene II</t>
  </si>
  <si>
    <t>VZ-2023-001105</t>
  </si>
  <si>
    <t>VZ-2023-001107</t>
  </si>
  <si>
    <t xml:space="preserve">Dodávka mycích a oplachovacích prostředků </t>
  </si>
  <si>
    <t>39831200-8</t>
  </si>
  <si>
    <t>Set pro flexibilní endoskopii FTRD</t>
  </si>
  <si>
    <t>VZ-2023-001109</t>
  </si>
  <si>
    <t>nová VZ-2023-001105</t>
  </si>
  <si>
    <t>SMLN-2023-617-100495</t>
  </si>
  <si>
    <t>SMLN-2023-617-100496</t>
  </si>
  <si>
    <t>SMLN-2023-617-100497</t>
  </si>
  <si>
    <t>SMLN-2023-617-100498</t>
  </si>
  <si>
    <t>VZ-2023-001115</t>
  </si>
  <si>
    <t>Termotiskárny</t>
  </si>
  <si>
    <t>účinnost od 1.1.2024</t>
  </si>
  <si>
    <t>SMLN-2023-617-100500
SMLN-2023-612-100112</t>
  </si>
  <si>
    <t>SMLN-2023-617-100501
SMLN-2023-612-100112</t>
  </si>
  <si>
    <t>VZ-2023-001117</t>
  </si>
  <si>
    <t>zrušeno - neposkytnutí součinnosti Imedica</t>
  </si>
  <si>
    <t>SMLN-2023-618-100055</t>
  </si>
  <si>
    <t>VZ-2023-001133</t>
  </si>
  <si>
    <t>Oprava MaR budova WE</t>
  </si>
  <si>
    <t>VZ-2023-001134</t>
  </si>
  <si>
    <t>Technická opatření proti bakterii Legionella</t>
  </si>
  <si>
    <t>65111000-4</t>
  </si>
  <si>
    <t>VZ-2023-001137</t>
  </si>
  <si>
    <t>Hašková</t>
  </si>
  <si>
    <t>SET rouškovací základní oční STANDARD</t>
  </si>
  <si>
    <t>PREPO - TEAM s.r.o.</t>
  </si>
  <si>
    <t>VZ-2023-001142</t>
  </si>
  <si>
    <t xml:space="preserve">LP s obsahem brigatinibu 2023 </t>
  </si>
  <si>
    <t>VZ-2023-001143</t>
  </si>
  <si>
    <t xml:space="preserve">Žlučové kyseliny a deriváty 2023 </t>
  </si>
  <si>
    <t>VZ-2023-001144</t>
  </si>
  <si>
    <t xml:space="preserve">Kanyla periferní venózní s portem, křidélky a bezpečnostním prvkem </t>
  </si>
  <si>
    <t>VZ-2023-001145</t>
  </si>
  <si>
    <t xml:space="preserve">Sekvenování malých panelů genů s výpůjčkou sekvenátoru </t>
  </si>
  <si>
    <t>VZ-2023-001146</t>
  </si>
  <si>
    <t>Analýza velkých panelů genů s výpůjčkou sekvenátoru</t>
  </si>
  <si>
    <t>VZ-2023-001148</t>
  </si>
  <si>
    <t>Dodání 2 ks tabletových transportních vozíků</t>
  </si>
  <si>
    <t>účinnost od 16.11.2023</t>
  </si>
  <si>
    <t>účinnost od 15.11.2023</t>
  </si>
  <si>
    <t>SMLN-2023-617-100508</t>
  </si>
  <si>
    <t>SMLN-2023-617-100509</t>
  </si>
  <si>
    <t>SMLN-2023-617-100510</t>
  </si>
  <si>
    <t>SMLN-2023-617-100511</t>
  </si>
  <si>
    <t>VZ-2023-001153</t>
  </si>
  <si>
    <t>Chladící a mrazící technika III. II.</t>
  </si>
  <si>
    <t>Chladící a mrazící technika II</t>
  </si>
  <si>
    <t>nová VZ-2023-001153</t>
  </si>
  <si>
    <t>SMLN-2023-618-100056</t>
  </si>
  <si>
    <t>SMLN-2023-617-100514</t>
  </si>
  <si>
    <t>VZ-2023-001161</t>
  </si>
  <si>
    <t>Insuliny rychle působící 2023</t>
  </si>
  <si>
    <t>VZ-2023-001162</t>
  </si>
  <si>
    <t>VZ-2023-001164</t>
  </si>
  <si>
    <t>Molekulárně biologické vyšetření u dárců krve a plazmy - NAT s výpůjčkou analyzátoru</t>
  </si>
  <si>
    <t>VZ-2023-001167</t>
  </si>
  <si>
    <t>Oprava střešního pláště budova WE</t>
  </si>
  <si>
    <t>SMLN-2023-612-100114</t>
  </si>
  <si>
    <t>zrušeno  - nepřesné zadání</t>
  </si>
  <si>
    <t>SMLN-2023-617-100515</t>
  </si>
  <si>
    <t>účinnost od 2.11.2023</t>
  </si>
  <si>
    <t>VZ-2023-001171</t>
  </si>
  <si>
    <t>C - rameno</t>
  </si>
  <si>
    <t>2.3.734.</t>
  </si>
  <si>
    <t>účinnost od 13.11.2023</t>
  </si>
  <si>
    <t>účinnost od 25.11.2023</t>
  </si>
  <si>
    <t>účinnost od 20.11.2023</t>
  </si>
  <si>
    <t>21.9.2023 zrušeno</t>
  </si>
  <si>
    <t>VZ-2023-001173</t>
  </si>
  <si>
    <t>Sekundární akviziční stanice (CMS) pro Radiologickou kliniku</t>
  </si>
  <si>
    <t>2.2.585.</t>
  </si>
  <si>
    <t>33111200-3</t>
  </si>
  <si>
    <t>Abbot Laboratories, s.r.o.</t>
  </si>
  <si>
    <r>
      <t xml:space="preserve">LP s obsahem afliberceptu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</si>
  <si>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SMLN-2023-612-100115</t>
  </si>
  <si>
    <t>zrušeno - bude rozděleno na dvě  části</t>
  </si>
  <si>
    <t>nová VZ-2023-001178</t>
  </si>
  <si>
    <t>VZ-2023-001178</t>
  </si>
  <si>
    <t>Ubytování a služby spojené s realizací odborné akce FN Olomouc – konference Hospital Management II</t>
  </si>
  <si>
    <t>VZ-2023-001181</t>
  </si>
  <si>
    <t>Systém pro redukci chirurgického kouře</t>
  </si>
  <si>
    <t>2.4.236.</t>
  </si>
  <si>
    <t>33100000-1, 33140000</t>
  </si>
  <si>
    <t>VZ-2023-000061
VZ-2023-000736</t>
  </si>
  <si>
    <t>VZ-2023-001186</t>
  </si>
  <si>
    <r>
      <t xml:space="preserve">LP s obsahem lurasidonu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</si>
  <si>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VZ-2023-001187</t>
  </si>
  <si>
    <r>
      <t xml:space="preserve">LP s obsahem vortioxetinu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</si>
  <si>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paliperidonu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</si>
  <si>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VZ-2023-001189-01</t>
  </si>
  <si>
    <t>VZ-2023-001189-02</t>
  </si>
  <si>
    <t>PALIPERIDON I.</t>
  </si>
  <si>
    <t>PALIPERIDON II.</t>
  </si>
  <si>
    <t>VZ-2023-001190</t>
  </si>
  <si>
    <t>PD – Novostavba budovy D4</t>
  </si>
  <si>
    <t>SMLN-2023-617-100520
SMLN-2023-612-100116
SMLN-2023-617-100521</t>
  </si>
  <si>
    <t>SMLN-2023-617-100522
SMLN-2023-612-100117</t>
  </si>
  <si>
    <t>VZ-2023-001194</t>
  </si>
  <si>
    <t>Úprava Laboratoří tkáňových kultur</t>
  </si>
  <si>
    <t>SMLN-2023-617-100523</t>
  </si>
  <si>
    <t>VZ-2023-001196</t>
  </si>
  <si>
    <t>2.4.246.</t>
  </si>
  <si>
    <t>VZ-2023-001197-01</t>
  </si>
  <si>
    <t>Antikoagulancia 2023</t>
  </si>
  <si>
    <t>VZ-2023-001197-02</t>
  </si>
  <si>
    <t>DABIGATRAN-ETEXILÁT I.</t>
  </si>
  <si>
    <t>DABIGATRAN-ETEXILÁT II.</t>
  </si>
  <si>
    <t>VZ-2023-001198</t>
  </si>
  <si>
    <t>PERSON</t>
  </si>
  <si>
    <t>Servisní podpora personálního a mzdového informačního systému II.</t>
  </si>
  <si>
    <t>72261000-2
31711310-9</t>
  </si>
  <si>
    <t>VZ-2023-001200</t>
  </si>
  <si>
    <t>Váhy pro Lékárnu</t>
  </si>
  <si>
    <t>2.2.545.</t>
  </si>
  <si>
    <t>SMLN-2023-617-100524</t>
  </si>
  <si>
    <t>29.9.2023 zrušeno</t>
  </si>
  <si>
    <t>MEDIcad Hectec GmbH</t>
  </si>
  <si>
    <t>VZ-2023-001120</t>
  </si>
  <si>
    <t>SMLN-2023-617-100526
SMLN-2023-612-100118</t>
  </si>
  <si>
    <t>SMLN-2023-617-100527
SMLN-2023-612-100119</t>
  </si>
  <si>
    <r>
      <t xml:space="preserve">LP s obsahem palonosetronu v kombinaci 2023 - </t>
    </r>
    <r>
      <rPr>
        <b/>
        <sz val="11"/>
        <color theme="1"/>
        <rFont val="Calibri"/>
        <family val="2"/>
        <charset val="238"/>
        <scheme val="minor"/>
      </rPr>
      <t>sduržený nákup</t>
    </r>
  </si>
  <si>
    <t>VZ-2023-001203</t>
  </si>
  <si>
    <t>LP s obsahem sevofluranu s výpůjčkou odpařovačů 2023</t>
  </si>
  <si>
    <t>15.9.2023 zrušeno</t>
  </si>
  <si>
    <t>SMLN-2023-617-100532
SMLN-2023-616-100037</t>
  </si>
  <si>
    <t>CONDATA s.r.o.</t>
  </si>
  <si>
    <t>Petr Kubálek</t>
  </si>
  <si>
    <t>VZ-2023-001215</t>
  </si>
  <si>
    <t>Výměna 2 ks dveří ve 4.NP v budově S</t>
  </si>
  <si>
    <t>VZ-2023-001221</t>
  </si>
  <si>
    <t>VZ-2023-001222</t>
  </si>
  <si>
    <t>LP s obsahem valgancikloviru 2023</t>
  </si>
  <si>
    <t>SMLN-2023-617-100535</t>
  </si>
  <si>
    <t>SMLN-2023-617-100536</t>
  </si>
  <si>
    <t>SMLN-2023-617-100534
SMLN-2023-612-100120</t>
  </si>
  <si>
    <t>zuršeno - bez hodnotitelné nabídky</t>
  </si>
  <si>
    <t>Gettinge Czech Republic, s.r.o.</t>
  </si>
  <si>
    <t>Videris s.r.o.</t>
  </si>
  <si>
    <t>VZ-2023-001226</t>
  </si>
  <si>
    <t>nová VZ-2023-001226</t>
  </si>
  <si>
    <t>ICD pro pacienty s vysokým rizikem infekce</t>
  </si>
  <si>
    <t>VZ-2023-001227</t>
  </si>
  <si>
    <t>Materiál spotřební k pupilometru</t>
  </si>
  <si>
    <t>SMLN-2023-617-100537
SMLN-2023-614-100045</t>
  </si>
  <si>
    <t>SMLN-2023-617-100538
SMLN-2023-614-100046</t>
  </si>
  <si>
    <t>SMLN-2023-617-100539
SMLN-2023-614-100047</t>
  </si>
  <si>
    <t>5.10.2023 zrušeno</t>
  </si>
  <si>
    <t>VZ-2023-001230</t>
  </si>
  <si>
    <t>LP s obsahem tezepelumabu  2023</t>
  </si>
  <si>
    <t>SMLN-2023-617-100540</t>
  </si>
  <si>
    <t>I. Interní klinika - TELEMETRIE</t>
  </si>
  <si>
    <t>Monitorovací systém – Ortopedická klinika</t>
  </si>
  <si>
    <t>Monitory vitálních funkcí – Hemato-onkologická klinika</t>
  </si>
  <si>
    <t>nová VZ-2023-001232</t>
  </si>
  <si>
    <t>VZ-2023-001232</t>
  </si>
  <si>
    <t xml:space="preserve">Fluoroscenční cellometer </t>
  </si>
  <si>
    <t>VZ-2023-001233</t>
  </si>
  <si>
    <t>LP s o bsahem dasatinibu II. 2023</t>
  </si>
  <si>
    <t>VZ-2023-001234-01</t>
  </si>
  <si>
    <t>Roztok pro parenterální použití I.</t>
  </si>
  <si>
    <t>Roztok pro parenterální použití II.</t>
  </si>
  <si>
    <t>VZ-2023-001234-02</t>
  </si>
  <si>
    <t>nová VZ-2023-001234</t>
  </si>
  <si>
    <t>nová VZ-2023-001233</t>
  </si>
  <si>
    <t>SMLN-2023-618-100058</t>
  </si>
  <si>
    <t>SMLN-2023-617-100541</t>
  </si>
  <si>
    <t>VZ-2023-001235</t>
  </si>
  <si>
    <t>2.3.768.</t>
  </si>
  <si>
    <t>6.10.2023 zrušeno</t>
  </si>
  <si>
    <t>27.9.2023 zrušeno</t>
  </si>
  <si>
    <t>18.9.2023 zrušeno</t>
  </si>
  <si>
    <t>účinnost od 29.11.2023</t>
  </si>
  <si>
    <t>účinnost od 13.12.2023</t>
  </si>
  <si>
    <t>VZ-2023-001236</t>
  </si>
  <si>
    <t>SMLN-2023-617-100542</t>
  </si>
  <si>
    <t>VZ-2023-001239</t>
  </si>
  <si>
    <t>Výměna vstupních dveří do budovy D1</t>
  </si>
  <si>
    <t>VZ-2023-001241</t>
  </si>
  <si>
    <t>PD-stavební úpravy budovy ZH1</t>
  </si>
  <si>
    <t>1.2.115.</t>
  </si>
  <si>
    <r>
      <rPr>
        <b/>
        <sz val="11"/>
        <color rgb="FFFF0000"/>
        <rFont val="Calibri"/>
        <family val="2"/>
        <charset val="238"/>
        <scheme val="minor"/>
      </rPr>
      <t>VZ-2023-000466-03 zrušeno</t>
    </r>
    <r>
      <rPr>
        <sz val="11"/>
        <color theme="1"/>
        <rFont val="Calibri"/>
        <family val="2"/>
        <charset val="238"/>
        <scheme val="minor"/>
      </rPr>
      <t xml:space="preserve">
nová VZ-2023-001226</t>
    </r>
  </si>
  <si>
    <t>AxonLab spol.s r.o.</t>
  </si>
  <si>
    <t>SMLN-2023-617-100543</t>
  </si>
  <si>
    <r>
      <t xml:space="preserve">LP s obsahem tildrakizumabu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</si>
  <si>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r>
      <t xml:space="preserve">LP s obsahem tramazolinu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</si>
  <si>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HSC Industry,  spol.s r.o.</t>
  </si>
  <si>
    <t>VZ-2023-001246</t>
  </si>
  <si>
    <r>
      <t xml:space="preserve">LP s obsahem ozanimodu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</si>
  <si>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SMLN-2023-617-100544
SMLN-2023-612-100121
SMLN-2023-617-100545</t>
  </si>
  <si>
    <t>zrušeno -bez nabídky</t>
  </si>
  <si>
    <t>VZ-2023-001251</t>
  </si>
  <si>
    <t>VZ-2023-001252</t>
  </si>
  <si>
    <t>2.3.769.</t>
  </si>
  <si>
    <t>VZ-2023-001253-01</t>
  </si>
  <si>
    <t>Jehly aspirační endosonografické II</t>
  </si>
  <si>
    <t>Jehly EUS pro aspirační biopsii (FNA)</t>
  </si>
  <si>
    <t>VZ-2023-001253-02</t>
  </si>
  <si>
    <t>VZ-2023-001253-03</t>
  </si>
  <si>
    <t>Jehly EUS pro korovou biopsii (FNB)</t>
  </si>
  <si>
    <t>Jehly EUS k drenáži a punkci žlučovodů</t>
  </si>
  <si>
    <t>VZ-2023-001255-01</t>
  </si>
  <si>
    <t>LIDSKÝ FIBRINOGEN pro profylaxi a léčbu hemoragických onemocnění na základě získané hypofibrinogenemie vznikající z poruch syntézy v případech závažného poškození jaterního parenchymu, zvýšené intra</t>
  </si>
  <si>
    <t>VZ-2023-001255-02</t>
  </si>
  <si>
    <t>LP s obsahem lidského fibrinogenu II. 2023</t>
  </si>
  <si>
    <t>LIDSKÝ FIBRINOGEN pro pacienty s vrozenou  hypo-, nebo afibrinogenemií</t>
  </si>
  <si>
    <t>VZ-2023-001255-03</t>
  </si>
  <si>
    <t>VZ-2023-001255-04</t>
  </si>
  <si>
    <t>LIDSKÝ FIBRINOGEN pro pacienty s vrozenou  dysfibrinogenemií</t>
  </si>
  <si>
    <t>LIDSKÝ FIBRINOGEN pro řešení nekontrolovaného krvácení u pacientů se získanou hypofibrinogenemií při chirurgickém zákroku. Do této specifikace zadavatel zahrnuje i získanou hypofibrinogenemii vznik</t>
  </si>
  <si>
    <t>VZ-2023-001256</t>
  </si>
  <si>
    <r>
      <t xml:space="preserve">LP s obsahem abrocitinibu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</si>
  <si>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nová VZ-2023-001258</t>
  </si>
  <si>
    <t>VZ-2023-001258</t>
  </si>
  <si>
    <t>Terapie a prevence von Willebrandovy choroby 2023 II.</t>
  </si>
  <si>
    <t>VZ-2023-001261</t>
  </si>
  <si>
    <t>Rekonstrukce kanalizace u budov S, WD, WF, WJ, kotelny, F</t>
  </si>
  <si>
    <t>nová VZ-2023-001262</t>
  </si>
  <si>
    <t>VZ-2023-001262-01</t>
  </si>
  <si>
    <t>VZ-2023-001262-02</t>
  </si>
  <si>
    <t>VZ-2023-001262-03</t>
  </si>
  <si>
    <t>VZ-2023-001262-04</t>
  </si>
  <si>
    <t>VZ-2023-001262-05</t>
  </si>
  <si>
    <t>VZ-2023-001242</t>
  </si>
  <si>
    <t>Dezinfekce kůže a operačního pole s obsahem PVP - jódu  2023</t>
  </si>
  <si>
    <t>nová VZ-2023-001242</t>
  </si>
  <si>
    <t>SMLN-2023-617-100548</t>
  </si>
  <si>
    <t>SMLN-2023-617-100549</t>
  </si>
  <si>
    <t>SMLN-2023-612-100122
SMLN-2023-616-100038</t>
  </si>
  <si>
    <t>SMLN-2023-617-100550
SMLN-2023-612-100123</t>
  </si>
  <si>
    <t>SMLN-2023-612-100124</t>
  </si>
  <si>
    <t xml:space="preserve">TSC Hospital, s.r.o. </t>
  </si>
  <si>
    <t>SMLN-2023-617-100553
SMLN-2023-614-100048</t>
  </si>
  <si>
    <t>SMLN-2023-617-100554</t>
  </si>
  <si>
    <t>SMLN-2023-617-100555
SMLN-2023-612-100125</t>
  </si>
  <si>
    <t>SMLN-2023-617-100556
SMLN-2023-612-100126</t>
  </si>
  <si>
    <t>13.10.2023 zrušeno</t>
  </si>
  <si>
    <t>Roztoky ovlivňující rovnováhu elektrolytů III. 2023</t>
  </si>
  <si>
    <t>SMLN-2023-617-100557</t>
  </si>
  <si>
    <t>SMLN-2023-617-100558</t>
  </si>
  <si>
    <t>SMLN-2023-617-100559</t>
  </si>
  <si>
    <t>SMLN-2023-617-100560</t>
  </si>
  <si>
    <t>SMLN-2023-617-100561</t>
  </si>
  <si>
    <t>SMLN-2023-617-100562</t>
  </si>
  <si>
    <t>SMLN-2023-617-100563</t>
  </si>
  <si>
    <t>SMLN-2023-617-100564</t>
  </si>
  <si>
    <t>SMLN-2023-617-100565</t>
  </si>
  <si>
    <t>SMLN-2023-617-100566</t>
  </si>
  <si>
    <t>SMLN-2023-617-100567</t>
  </si>
  <si>
    <t>SMLN-2023-617-100568
SMLN-2023-614-100049</t>
  </si>
  <si>
    <t>Promedeus s.r.o.</t>
  </si>
  <si>
    <t>VZ-2023-001272</t>
  </si>
  <si>
    <t>Dodávka reagencií s výpůjčkou analyzátoru pro stratifikaci pacientů URGENTu</t>
  </si>
  <si>
    <t>2.4.244.</t>
  </si>
  <si>
    <t>VZ-2023-001273</t>
  </si>
  <si>
    <t xml:space="preserve">Kryochirurgický přístroj s příslušenstvím pro Oční kliniku </t>
  </si>
  <si>
    <t>33165000-4</t>
  </si>
  <si>
    <t>2.3.721.</t>
  </si>
  <si>
    <t>VZ-2023-001274</t>
  </si>
  <si>
    <t>Enteroskopie</t>
  </si>
  <si>
    <t>VZ-2023-001275</t>
  </si>
  <si>
    <t>Renovace bytových jednotek – Etapa IV. – budova AYD</t>
  </si>
  <si>
    <t>SMLN-2023-612-100128</t>
  </si>
  <si>
    <t>VZ-2023-001253</t>
  </si>
  <si>
    <t>SMLN-2023-618-100059</t>
  </si>
  <si>
    <t>VZ-2023-001277</t>
  </si>
  <si>
    <t>SMLN-2023-617-100569</t>
  </si>
  <si>
    <t>SMLN-2023-617-100570</t>
  </si>
  <si>
    <t>SMLN-2023-617-100571
SMLN-2023-612-100129</t>
  </si>
  <si>
    <t>VZ-2023-001280</t>
  </si>
  <si>
    <t>Pronájem prostor - ples FNOL 2024</t>
  </si>
  <si>
    <t>92000000-1</t>
  </si>
  <si>
    <t>SMLN-2023-617-100572
SMLN-2023-612-100130</t>
  </si>
  <si>
    <t>VZ-2023-000940-03</t>
  </si>
  <si>
    <t>Komfortní transportní vícesegmentová lehátka ll</t>
  </si>
  <si>
    <t>2.2.577.</t>
  </si>
  <si>
    <t>VZ-2023-001282</t>
  </si>
  <si>
    <t>EKG holter - Ambulance aktivního zdraví</t>
  </si>
  <si>
    <t>2.2.586.</t>
  </si>
  <si>
    <t>SMLN-2023-617-100573</t>
  </si>
  <si>
    <t>SMLN-2023-617-100574
SMLN-2023-614-100050</t>
  </si>
  <si>
    <t>11.10.2023 zrušeno</t>
  </si>
  <si>
    <t>účinnost od 28.12.2023</t>
  </si>
  <si>
    <t>SMLN-2023-618-100060</t>
  </si>
  <si>
    <t>VZ-2023-001287</t>
  </si>
  <si>
    <t>Tromboelestograf</t>
  </si>
  <si>
    <t>38434520-7</t>
  </si>
  <si>
    <t>2.3.716.</t>
  </si>
  <si>
    <t>nová VZ-2023-001255</t>
  </si>
  <si>
    <r>
      <t xml:space="preserve">VZ-2023-001054 zrušeno
</t>
    </r>
    <r>
      <rPr>
        <b/>
        <sz val="11"/>
        <rFont val="Calibri"/>
        <family val="2"/>
        <charset val="238"/>
        <scheme val="minor"/>
      </rPr>
      <t>nová VZ-2023-001253</t>
    </r>
  </si>
  <si>
    <t>účinnost od 11.11.2023</t>
  </si>
  <si>
    <t>VZ-2023-001292</t>
  </si>
  <si>
    <t>Sety ke katetrizační korekci trikuspidální regurgitace</t>
  </si>
  <si>
    <t>Krytí intravenózních vstupů transparentní s chlorhexidin glukonátem</t>
  </si>
  <si>
    <t>VZ-2023-001293</t>
  </si>
  <si>
    <t>Systém k přímé endoskopické nekrosektomii v zažívacím traktu</t>
  </si>
  <si>
    <t>Mondiag s.r.o.</t>
  </si>
  <si>
    <t>VZ-2023-001299</t>
  </si>
  <si>
    <t>Rozšíření a obnovení podpory zálohovacího software IBM Storage Protect Extended Edition</t>
  </si>
  <si>
    <t>VZ-2023-001303</t>
  </si>
  <si>
    <t>Stavební úpravy objektu J3 – KNM – Lůžkové oddělení</t>
  </si>
  <si>
    <t>1.2.107.</t>
  </si>
  <si>
    <t>nová VZ-2023-001305</t>
  </si>
  <si>
    <t>VZ-2023-001305</t>
  </si>
  <si>
    <t>Váhy pro Lékárnu II</t>
  </si>
  <si>
    <t>VZ-2023-001307</t>
  </si>
  <si>
    <t>Výměna dvojice dveří – JIP Novovrozenecké odd. budova C</t>
  </si>
  <si>
    <t>VZ-2023-001309</t>
  </si>
  <si>
    <t>Oprava havarijních poklopů na radiační nádrže ČOV ve FNOL</t>
  </si>
  <si>
    <t>VZ-2023-001310</t>
  </si>
  <si>
    <t>LP s obsahem trabektedinu 2023</t>
  </si>
  <si>
    <t>SMLN-2023-617-100576</t>
  </si>
  <si>
    <t>SMLN-2023-617-100578</t>
  </si>
  <si>
    <t>VZ-2023-001312-01</t>
  </si>
  <si>
    <t>LP s obsahem ibuprofenu 2023</t>
  </si>
  <si>
    <t>VZ-2023-001312-02</t>
  </si>
  <si>
    <t>VZ-2023-001312-03</t>
  </si>
  <si>
    <t>IBUPROFEN II.</t>
  </si>
  <si>
    <t>IBUPROFEN III.</t>
  </si>
  <si>
    <t>IBUPROFEN I.</t>
  </si>
  <si>
    <t>VZ-2023-001313</t>
  </si>
  <si>
    <t>Oscilační pila II.</t>
  </si>
  <si>
    <t>nová VZ-2023-001313</t>
  </si>
  <si>
    <t>zrušeno - neposkytnutí sooučinnosti k podpisu smlouvy</t>
  </si>
  <si>
    <t>24.10.2023 zrušeno</t>
  </si>
  <si>
    <t>VZ-2023-001319</t>
  </si>
  <si>
    <t>VZ-2023-001318</t>
  </si>
  <si>
    <t>Genetický analyzátor pro sekvenování nové generace (NGS) kompaktního formátu</t>
  </si>
  <si>
    <t>Lékárenský robot</t>
  </si>
  <si>
    <t>2.2.546.</t>
  </si>
  <si>
    <t>SMLN-2023-617-100581
SMLN-2023-616-100040</t>
  </si>
  <si>
    <t>nová VZ-2023-001320</t>
  </si>
  <si>
    <t>VZ-2023-001320</t>
  </si>
  <si>
    <t>Systém k přímé endoskopické nekrosektomii v zažívacím traktu II</t>
  </si>
  <si>
    <t>zrušeno - příliš vysoká cena, nově strop</t>
  </si>
  <si>
    <t>VZ-2023-001324-01</t>
  </si>
  <si>
    <t>Chladící a mrazící zařízení IV.</t>
  </si>
  <si>
    <t>VZ-2023-001324-02</t>
  </si>
  <si>
    <t>Chladící skříň na míru</t>
  </si>
  <si>
    <t>2.2.587.</t>
  </si>
  <si>
    <t>2.2.588.</t>
  </si>
  <si>
    <t>nová VZ-2023-001325</t>
  </si>
  <si>
    <t>VZ-2023-001325</t>
  </si>
  <si>
    <t>PD-stavební úpravy budovy ZH1-II</t>
  </si>
  <si>
    <t>VZ-2023-001326</t>
  </si>
  <si>
    <t>Mobilní ultrazvuk</t>
  </si>
  <si>
    <t>2.3.781.</t>
  </si>
  <si>
    <t>SMLN-2023-617-100583
SMLN-2023-612-100131
SMLN-2023-617-100584</t>
  </si>
  <si>
    <t>účinnost od 7.12.2023</t>
  </si>
  <si>
    <t>VZ-2023-001328</t>
  </si>
  <si>
    <t>Skříň s odtahem pro chemické látky</t>
  </si>
  <si>
    <t>2.2.589., 2.2.590.</t>
  </si>
  <si>
    <t>VZ-2023-001331</t>
  </si>
  <si>
    <t>Rekonstrukce bytových jednotek v budově YA-Etapa II</t>
  </si>
  <si>
    <t>zrušeno - neposkytnutí součinnosti k uzavření smlouvy</t>
  </si>
  <si>
    <t>SMLN-2023-617-100587
SMLN-2023-612-100132</t>
  </si>
  <si>
    <t>SMLN-2023-618-100062</t>
  </si>
  <si>
    <t>VZ-2023-001352-01</t>
  </si>
  <si>
    <t>LP s ATC skupinou L04AC02 a L01BB04 2023</t>
  </si>
  <si>
    <t>VZ-2023-001352-02</t>
  </si>
  <si>
    <t>VZ-2023-001353</t>
  </si>
  <si>
    <t>LP s obsahem selexipagu 2023</t>
  </si>
  <si>
    <t>SMLN-2023-617-100592</t>
  </si>
  <si>
    <t>SMLN-2023-617-100593</t>
  </si>
  <si>
    <t>SMLN-2023-617-100594</t>
  </si>
  <si>
    <t>31.10.2023 zrušeno</t>
  </si>
  <si>
    <t>VZ-2023-001358</t>
  </si>
  <si>
    <t>2.2.591.</t>
  </si>
  <si>
    <t>VZ-2023-001361</t>
  </si>
  <si>
    <t>Stavební úpravy budovy YA - sanace vlhkosti spodní stavby</t>
  </si>
  <si>
    <t>45212000-6</t>
  </si>
  <si>
    <t>SMLN-2023-617-100597
SMLN-2023-612-100133</t>
  </si>
  <si>
    <t>SMLN-2023-617-100598</t>
  </si>
  <si>
    <t>SMLN-2023-617-100599
SMLN-2023-616-100042</t>
  </si>
  <si>
    <t>SMLN-2023-618-100066</t>
  </si>
  <si>
    <t>VZ-2023-001363</t>
  </si>
  <si>
    <t>Metrologie - Kalibrace a validace monitorovacího systému ConWin</t>
  </si>
  <si>
    <t>5041000-2</t>
  </si>
  <si>
    <t>VZ-2023-001364</t>
  </si>
  <si>
    <t>Materiál spotřební k systému pro redukci chirurgického kouře (robotické operace)</t>
  </si>
  <si>
    <t>SMLN-2023-618-100067</t>
  </si>
  <si>
    <t>12.10.2023 zrušeno</t>
  </si>
  <si>
    <t>6.11.2023 zrušeno</t>
  </si>
  <si>
    <t>SMLN-2023-617-100600
SMLN-2023-616-100043</t>
  </si>
  <si>
    <t>nová VZ-2023-001376</t>
  </si>
  <si>
    <t>VZ-2023-001376</t>
  </si>
  <si>
    <t>TEP – Revizní náhrady kolenního kloubu II.</t>
  </si>
  <si>
    <t>SMLN-2023-617-100602
SMLN-2023-612-100134</t>
  </si>
  <si>
    <t>VZ-2023-001377</t>
  </si>
  <si>
    <t>VZ-2023-001378</t>
  </si>
  <si>
    <t>LP s obsahem ixekizumabu 2023</t>
  </si>
  <si>
    <t>LP s obsahem okrelizumabu 2023</t>
  </si>
  <si>
    <t>VZ-2023-001379</t>
  </si>
  <si>
    <t>VZ-2023-001382</t>
  </si>
  <si>
    <t>Kryo-ablační přístroj</t>
  </si>
  <si>
    <t>nová VZ-2023-001363</t>
  </si>
  <si>
    <t>SARTALEX spol.s r.o.</t>
  </si>
  <si>
    <t>SMLN-2023-618-100068</t>
  </si>
  <si>
    <t>VZ-2023-001386</t>
  </si>
  <si>
    <t>Opravy výtahů č.73,74,75</t>
  </si>
  <si>
    <t>42419510-4; 50750000-7</t>
  </si>
  <si>
    <t>VZ-2023-001387</t>
  </si>
  <si>
    <t>VZ-2023-001388</t>
  </si>
  <si>
    <t>Stavební úpravy budovy WE</t>
  </si>
  <si>
    <t>Servis hematoonkologického analyzátoru</t>
  </si>
  <si>
    <t>VZ-2023-001389</t>
  </si>
  <si>
    <t>Kontrola provozuschopnosti a údržba požárních uzávěrů vzduchotechnických zařízení a ventilačních systémů</t>
  </si>
  <si>
    <t>71356100-9</t>
  </si>
  <si>
    <t>VZ-2023-001391</t>
  </si>
  <si>
    <t>Objektiv k vyhledávači metafer</t>
  </si>
  <si>
    <t>2.3.772.</t>
  </si>
  <si>
    <t>VZ-2023-001392</t>
  </si>
  <si>
    <t>STAVEBNÍ ÚPRAVY BUDOVY C – NOVOROZENECKÉ ODDĚLENÍ</t>
  </si>
  <si>
    <t>45000000-7,45215100-</t>
  </si>
  <si>
    <t>VZ-2023-001393</t>
  </si>
  <si>
    <t>Koncentrát dialyzační kyselý pro bikarbonátovoun dialýzu</t>
  </si>
  <si>
    <t>SMLN-2023-617-100604</t>
  </si>
  <si>
    <t>SMLN-2023-617-100605</t>
  </si>
  <si>
    <t>Askin  &amp; Co. s. r. o.</t>
  </si>
  <si>
    <t>SMLN-2023-617-100606</t>
  </si>
  <si>
    <t>SMLN-2023-617-100607</t>
  </si>
  <si>
    <t>SMLN-2023-617-100608</t>
  </si>
  <si>
    <t>44423710-1</t>
  </si>
  <si>
    <t>Výstaviště Flóra Olomouc a.s.</t>
  </si>
  <si>
    <t>9.11.2023 zrušeno</t>
  </si>
  <si>
    <t>účinnnost od 1.1.2024</t>
  </si>
  <si>
    <t>30.10.2023 zrušeno</t>
  </si>
  <si>
    <t>9.11.2023 vyloučení RADIX a TOMED</t>
  </si>
  <si>
    <t>SMLN-2023-618-100069</t>
  </si>
  <si>
    <t>SMLN-2023-618-100070</t>
  </si>
  <si>
    <t>VZ-2023-001400</t>
  </si>
  <si>
    <t>Komplex koagulačních faktorů II. 2023</t>
  </si>
  <si>
    <t>VZ-2023-001401-01</t>
  </si>
  <si>
    <t>VZ-2023-001401-02</t>
  </si>
  <si>
    <t>VZ-2023-001401-03</t>
  </si>
  <si>
    <t>Enterální výživa II. 2023</t>
  </si>
  <si>
    <t>ENTERÁLNÍ VÝŽIVA VI.</t>
  </si>
  <si>
    <t>33695000-8</t>
  </si>
  <si>
    <t>ENTERÁLNÍ VÝŽIVA IV</t>
  </si>
  <si>
    <t>ENTERÁLNÍ VÝŽIVA V</t>
  </si>
  <si>
    <t>SMLN-2023-612-100136</t>
  </si>
  <si>
    <t>VZ-2023-001402-01</t>
  </si>
  <si>
    <t>VZ-2023-001402-02</t>
  </si>
  <si>
    <t>VZ-2023-001402-03</t>
  </si>
  <si>
    <t>Enterální výživa I. 2023</t>
  </si>
  <si>
    <t>ENTERÁLNÍ VÝŽIVA III</t>
  </si>
  <si>
    <t>ENTERÁLNÍ VÝŽIVA II</t>
  </si>
  <si>
    <t>ENTERÁLNÍ VÝŽIVA I</t>
  </si>
  <si>
    <t>nová VZ-2023-001406</t>
  </si>
  <si>
    <t>VZ-2023-001406</t>
  </si>
  <si>
    <t>Lehátka pro odd. rehabilitace II</t>
  </si>
  <si>
    <t>AdaptCare s.r.o.</t>
  </si>
  <si>
    <t>VZ-2023-001411</t>
  </si>
  <si>
    <t xml:space="preserve">Kancelářské zařízení pro kopírování, skenování a tisk dokumentů </t>
  </si>
  <si>
    <t>MERCI, s.r.o.</t>
  </si>
  <si>
    <t>SMLN-2023-617-100615</t>
  </si>
  <si>
    <t>SMLN-2023-617-100613
SMLN-2023-612-100137</t>
  </si>
  <si>
    <t>SMLN-2023-617-100614
SMLN-2023-612-100138</t>
  </si>
  <si>
    <t>SMLN-2023-617-100616
SMLN-2023-614-100052</t>
  </si>
  <si>
    <t>SMLN-2023-617-100617
SMLN-2023-614-100053</t>
  </si>
  <si>
    <t>SMLN-2023-617-100618
SMLN-2023-614-100054</t>
  </si>
  <si>
    <t>zrušeno - rozdělit na části</t>
  </si>
  <si>
    <t>VZ-2023-001416-01</t>
  </si>
  <si>
    <t>VZ-2023-001416-02</t>
  </si>
  <si>
    <t>LP pro s.c. podání, s obsahem normálního lidského imunoglobulinu (IG 10%) a rekombinantní vorhyaluronidasu alfa (rHuPH20)</t>
  </si>
  <si>
    <t>Přípravek pro s.c. podání, obsahující normální lidský imunoglobulin (IG 20%)</t>
  </si>
  <si>
    <t>SMLN-2023-617-100619
SMLN-2023-614-100056</t>
  </si>
  <si>
    <t>SMLN-2023-617-100620</t>
  </si>
  <si>
    <t>SMLN-2023-617-100621</t>
  </si>
  <si>
    <t>SMLN-2023-618-100071</t>
  </si>
  <si>
    <t>SMLN-2023-617-100623
SMLN-2023-616-100046</t>
  </si>
  <si>
    <t>VZ-2023-001417</t>
  </si>
  <si>
    <t>VZ-2023-001418</t>
  </si>
  <si>
    <t>VZ-2023-001419-01</t>
  </si>
  <si>
    <t xml:space="preserve">Tiskárny FNOL </t>
  </si>
  <si>
    <t>VZ-2023-001419-02</t>
  </si>
  <si>
    <t>VZ-2023-001419-03</t>
  </si>
  <si>
    <t>VZ-2023-001419-04</t>
  </si>
  <si>
    <t>Andexanet alfa 2023</t>
  </si>
  <si>
    <t>Imunoglobuliny pro intravaskulární podání 2023</t>
  </si>
  <si>
    <t>Imunoglobulin ve formě prášku a rozpouštědla pro přípravu infuzního roztoku</t>
  </si>
  <si>
    <t>Kiovig - pro chronické pacienty nasazené na tomto LP</t>
  </si>
  <si>
    <t>Flebogamma - pro chronické pacienty nasazené na tomto LP</t>
  </si>
  <si>
    <t>VZ-2023-001423</t>
  </si>
  <si>
    <t>Set sací a irigační pro laparo pumpu</t>
  </si>
  <si>
    <t>15.11.2023 zrušeno</t>
  </si>
  <si>
    <t>MONDIAG s.r.o.</t>
  </si>
  <si>
    <t>VZ-2023-001429</t>
  </si>
  <si>
    <t>Integrační server pro výměnu dat služeb integrované péče v Ol. kraji</t>
  </si>
  <si>
    <t>72262000-9</t>
  </si>
  <si>
    <t>Stavební úpravy - dopravní oddělení (Žlutá hala)</t>
  </si>
  <si>
    <t>SMLN-2023-617-100624</t>
  </si>
  <si>
    <t>SMLN-2023-612-100139</t>
  </si>
  <si>
    <t>SMLN-2023-617-100625
SMLN-2023-612-100140</t>
  </si>
  <si>
    <t>SMLN-2023-617-100626
SMLN-2023-612-100141</t>
  </si>
  <si>
    <t>VZ-2023-001086-01</t>
  </si>
  <si>
    <t>VZ-2023-001086-02</t>
  </si>
  <si>
    <t>Balónek dilatační jícnový pro ERCP</t>
  </si>
  <si>
    <t xml:space="preserve"> POZEMSTAV Prostějov, a.s.</t>
  </si>
  <si>
    <t>VZ-2023-001433</t>
  </si>
  <si>
    <t>SMLN-2023-618-100072</t>
  </si>
  <si>
    <t>TestLine Clinical Diagnostic s.r.o.</t>
  </si>
  <si>
    <t>SMLN-2023-617-100629</t>
  </si>
  <si>
    <t>VZ-2023-001439</t>
  </si>
  <si>
    <t>Defibrilátory II.</t>
  </si>
  <si>
    <t>nová VZ-2023-001439</t>
  </si>
  <si>
    <t>SMLN-2023-618-100073</t>
  </si>
  <si>
    <t>SMLN-2023-618-100074</t>
  </si>
  <si>
    <t>SMLN-2023-618-100075</t>
  </si>
  <si>
    <t>účinnost od 13.1.2024</t>
  </si>
  <si>
    <t>Provoz multimediálních obrazovek ve FNOL</t>
  </si>
  <si>
    <t>SMLN-2023-617-100630
SMLN-2023-614-100057</t>
  </si>
  <si>
    <t>VZ-2023-001441</t>
  </si>
  <si>
    <t>Kardioangiografický systém</t>
  </si>
  <si>
    <t>2.2.593.</t>
  </si>
  <si>
    <t>SMLN-2023-617-100632</t>
  </si>
  <si>
    <t>VZ-2023-001443</t>
  </si>
  <si>
    <t>Sada pro uzavírání femorálních cév</t>
  </si>
  <si>
    <t>22.11.20223</t>
  </si>
  <si>
    <t>SMLN-2023-617-100633</t>
  </si>
  <si>
    <t>SMLN-2023-617-100634</t>
  </si>
  <si>
    <t>SMLN-2023-617-100635</t>
  </si>
  <si>
    <t>SMLN-2023-617-100636</t>
  </si>
  <si>
    <t>VZ-2023-001447</t>
  </si>
  <si>
    <t>Sérologická vyšetření infekčních markerů s výpůjčkou II.</t>
  </si>
  <si>
    <t>33694000-1,038434000</t>
  </si>
  <si>
    <t>nová VZ-2023-001447</t>
  </si>
  <si>
    <t>VZ-2023-001451-01</t>
  </si>
  <si>
    <t>VZ-2023-001451-02</t>
  </si>
  <si>
    <t>VZ-2023-001451-03</t>
  </si>
  <si>
    <t>VZ-2023-001451-04</t>
  </si>
  <si>
    <t>VZ-2023-001451-05</t>
  </si>
  <si>
    <t>VZ-2023-001451-06</t>
  </si>
  <si>
    <t>VZ-2023-001451-07</t>
  </si>
  <si>
    <t>Inzulíny 2023</t>
  </si>
  <si>
    <t>LYUMJEV</t>
  </si>
  <si>
    <t>SMLN-2023-617-100638</t>
  </si>
  <si>
    <t>SMLN-2023-617-100639</t>
  </si>
  <si>
    <t>SMLN-2023-617-100640</t>
  </si>
  <si>
    <t>VZ-2023-001452</t>
  </si>
  <si>
    <t>Protézy cévní Gelweave Valsalva</t>
  </si>
  <si>
    <t>Medical Systems a.s.</t>
  </si>
  <si>
    <t>27.11.2023 zrušeno</t>
  </si>
  <si>
    <t>SMLN-2023-617-100644
SMLN-2023-616-100050</t>
  </si>
  <si>
    <t>SMLN-2023-617-100646
SMLN-2023-616-100051</t>
  </si>
  <si>
    <t>VZ-2023-001455</t>
  </si>
  <si>
    <t>SMLN-2023-617-100648
SMLN-2023-612-100144</t>
  </si>
  <si>
    <t xml:space="preserve"> 33694000-1, 38434000-6</t>
  </si>
  <si>
    <t>SMLN-2023-617-100649
SMLN-2023-614-100058</t>
  </si>
  <si>
    <t>SMLN-2023-617-100650
SMLN-2023-614-100059</t>
  </si>
  <si>
    <t>Medutech s.r.o.</t>
  </si>
  <si>
    <t>SMLN-2023-617-100653</t>
  </si>
  <si>
    <t>SMLN-2023-612-100145</t>
  </si>
  <si>
    <t>VZ-2023-001463</t>
  </si>
  <si>
    <t>Catering na ples FN Olomouc 2024</t>
  </si>
  <si>
    <t>SMLN-2023-617-100656
SMLN-2023-614-100060</t>
  </si>
  <si>
    <t>SMLN-2023-617-100657
SMLN-2023-614-100061</t>
  </si>
  <si>
    <t>SMLN-2023-618-100078</t>
  </si>
  <si>
    <t>účinnost od 1.4.2024</t>
  </si>
  <si>
    <t>SMLN-2023-617-100659</t>
  </si>
  <si>
    <t>Hasící přístroje Kvapilík s.r.o.</t>
  </si>
  <si>
    <t>PHARMOS, a.s., a.s.</t>
  </si>
  <si>
    <t>Fresenius Kabi s.r.o. Medical Care - ČR, s.r.o.</t>
  </si>
  <si>
    <t>Fresenius Kabi s.r.o. Kabi s.r.o.</t>
  </si>
  <si>
    <t>Fresenius Kabi s.r.o. Medical Care - ČR, s r.o.</t>
  </si>
  <si>
    <t>VZ-2023-001468</t>
  </si>
  <si>
    <t>IPL – zdroj intenzivního širokopásmového pulsního světla</t>
  </si>
  <si>
    <t>2.2.596.</t>
  </si>
  <si>
    <t>VZ-2023-001472</t>
  </si>
  <si>
    <t>Rozvěrač pro TEP v poloze na zádech</t>
  </si>
  <si>
    <t>2.2.598.</t>
  </si>
  <si>
    <t>SMLN-2023-612-100146</t>
  </si>
  <si>
    <t>VZ-2023-001474</t>
  </si>
  <si>
    <t>2.2.597.</t>
  </si>
  <si>
    <t>Digitální dermatoskopy</t>
  </si>
  <si>
    <t>SMLN-2023-617-100663
SMLN-2023-612-100147</t>
  </si>
  <si>
    <t>SMLN-2023-617-100664</t>
  </si>
  <si>
    <t>SMLN-2023-618-100079</t>
  </si>
  <si>
    <t>VZ-2023-001480</t>
  </si>
  <si>
    <t>Aspirační katétry intrakraniální k aspirační trombektomii tepen mozkového povodí</t>
  </si>
  <si>
    <t>SMLN-2023-617-100665</t>
  </si>
  <si>
    <t>SMLN-2023-617-100666</t>
  </si>
  <si>
    <t>Dynamic Medical Solutions a.s.</t>
  </si>
  <si>
    <t>VZ-2023-001483</t>
  </si>
  <si>
    <t>Endoskopie III</t>
  </si>
  <si>
    <t>2.3.778.</t>
  </si>
  <si>
    <t>SMLN-2023-617-100668
SMLN-2023-612-100148</t>
  </si>
  <si>
    <t>SMLN-2023-617-100669
SMLN-2023-612-100149</t>
  </si>
  <si>
    <t>OSBAU s.r.o.</t>
  </si>
  <si>
    <t>SMLN-2023-617-100670</t>
  </si>
  <si>
    <t>ADCALL systems s.r.o.</t>
  </si>
  <si>
    <t>SMLN-2023-612-100151
SMLN-2023-612-100152</t>
  </si>
  <si>
    <t>zrušeno - oprava specifikace</t>
  </si>
  <si>
    <t>SMLN-2023-617-100672</t>
  </si>
  <si>
    <t>VZ-2023-001486</t>
  </si>
  <si>
    <t>Dodávky tiskáren II</t>
  </si>
  <si>
    <t>VZ-2023001423</t>
  </si>
  <si>
    <t>VZ-20223-000630</t>
  </si>
  <si>
    <t>nová VZ-2023-001486</t>
  </si>
  <si>
    <t>VZ-2023-001492</t>
  </si>
  <si>
    <t>Dynamický nákupní systém na dodávky léčivých přípravků</t>
  </si>
  <si>
    <t xml:space="preserve">33600000-6 </t>
  </si>
  <si>
    <t>UŘ</t>
  </si>
  <si>
    <t>SMLN-2023-617-100674
SMLN-2023-614-100062</t>
  </si>
  <si>
    <t>VZ-2023-001497</t>
  </si>
  <si>
    <t>PD - Stavební úpravy budovy C – porodní sály</t>
  </si>
  <si>
    <t>1.3.31.</t>
  </si>
  <si>
    <t>Počet VZ - 
částí VZ</t>
  </si>
  <si>
    <t>SMLN-2023-617-100675</t>
  </si>
  <si>
    <t>Balónek dilatační pro ERCP</t>
  </si>
  <si>
    <t>VZ-2023-001416</t>
  </si>
  <si>
    <t>SMLN-2023-618-100080</t>
  </si>
  <si>
    <t>SMLN-2023-618-100081</t>
  </si>
  <si>
    <t>VZ-2023-001501</t>
  </si>
  <si>
    <t>nová VZ-2023-001501</t>
  </si>
  <si>
    <t>Servisní podpora personálního a mzdového informačního systému III.</t>
  </si>
  <si>
    <t>VZ-2023-001505</t>
  </si>
  <si>
    <t>Nerezový mobiliář 2023</t>
  </si>
  <si>
    <t>15.12.2023 zrušení na podpis</t>
  </si>
  <si>
    <t>DITALEX s.r.o.</t>
  </si>
  <si>
    <t>VIVAX Management (CZ), s.r.o.</t>
  </si>
  <si>
    <t>SMLN-2023-617-100680</t>
  </si>
  <si>
    <t>15.12.2023 zrušeno</t>
  </si>
  <si>
    <t>SMLN-2023-617-100681
SMLN-2023-612-100153
SMLN-2023-617-100682</t>
  </si>
  <si>
    <t>VZ-2023-001514-01</t>
  </si>
  <si>
    <t>Antibakteriální léčiva pro systémovou aplikaci IV. 2023</t>
  </si>
  <si>
    <t>VZ-2023-001514-02</t>
  </si>
  <si>
    <t>CIPROFLOXACIN i.v.</t>
  </si>
  <si>
    <t>VZ-2023-001515-01</t>
  </si>
  <si>
    <t>Antibakteriální léčiva pro systémovou aplikaci I. 2023</t>
  </si>
  <si>
    <t>VZ-2023-001515-02</t>
  </si>
  <si>
    <t>Ampicilin a inhibitor beta-laktamasy</t>
  </si>
  <si>
    <t>Piperacilin a inhibitor beta-laktamasy</t>
  </si>
  <si>
    <t>VZ-2023-001517</t>
  </si>
  <si>
    <t>CEFTAZIDIM</t>
  </si>
  <si>
    <t>Antibakteriální léčiva pro systémovou aplikaci II. 2023</t>
  </si>
  <si>
    <t>SMLN-2023-612-100154</t>
  </si>
  <si>
    <t>VZ-2023-001518</t>
  </si>
  <si>
    <t>Souprava na odběr deleukotizovaných erytrocytárních TP na separátoru Haemonetics MCS+</t>
  </si>
  <si>
    <t>VZ-2023-001519-01</t>
  </si>
  <si>
    <t>VZ-2023-001519-02</t>
  </si>
  <si>
    <t>VZ-2023-001519-03</t>
  </si>
  <si>
    <t>KLARITHROMYCIN i.v.</t>
  </si>
  <si>
    <t>Antibakteriální léčiva pro systémovou aplikaci III. 2023</t>
  </si>
  <si>
    <t>KLARITHROMYCIN I.</t>
  </si>
  <si>
    <t>KLARITHROMYCIN II.</t>
  </si>
  <si>
    <t>VZ-2023-001520</t>
  </si>
  <si>
    <t>SMLN-2023-618-100083
SMLN-2023-612-100155
SMLN-2023-613-100040</t>
  </si>
  <si>
    <t>VZ-2023-001521</t>
  </si>
  <si>
    <t>Jiná antimykotika pro systémovou aplikaci 2023</t>
  </si>
  <si>
    <t>SMLN-2023-617-100689</t>
  </si>
  <si>
    <t>SMLN-2023-617-100690</t>
  </si>
  <si>
    <t>SMLN-2023-617-100691</t>
  </si>
  <si>
    <t>VZ-2023-001523</t>
  </si>
  <si>
    <t>Novostavba budovy P4</t>
  </si>
  <si>
    <t>VZ-2023-001525-01</t>
  </si>
  <si>
    <t>VZ-2023-001525-02</t>
  </si>
  <si>
    <t>VZ-2023-001525-03</t>
  </si>
  <si>
    <t>VZ-2023-001525-04</t>
  </si>
  <si>
    <t>VZ-2023-001525-05</t>
  </si>
  <si>
    <t>VZ-2023-001525-06</t>
  </si>
  <si>
    <t>VZ-2023-001526-01</t>
  </si>
  <si>
    <t>Acetylcystein</t>
  </si>
  <si>
    <t>Ambroxol-hydrochlorid</t>
  </si>
  <si>
    <t>VZ-2023-001526-02</t>
  </si>
  <si>
    <t>VZ-2023-001526-03</t>
  </si>
  <si>
    <t>VZ-2023-001526-04</t>
  </si>
  <si>
    <t>VZ-2023-001528-01</t>
  </si>
  <si>
    <t>VZ-2023-001528-02</t>
  </si>
  <si>
    <t>Extrakty alergenů 2023</t>
  </si>
  <si>
    <t>TRAVNÍ PYŮY, ALERGENY</t>
  </si>
  <si>
    <t>PYLY STRONŮ, ALERGENY</t>
  </si>
  <si>
    <t>VZ-2023-001529-01</t>
  </si>
  <si>
    <t>VZ-2023-001529-02</t>
  </si>
  <si>
    <t>VZ-2023-001529-03</t>
  </si>
  <si>
    <t>VZ-2023-001529-04</t>
  </si>
  <si>
    <t>ACIKLOVIR I.V.</t>
  </si>
  <si>
    <t>Nukleosidy a nukleotidy 2023</t>
  </si>
  <si>
    <t>GANCIKLIViR i.v.</t>
  </si>
  <si>
    <t>SMLN-2023-617-100693
SMLN-2023-612-100156</t>
  </si>
  <si>
    <t>SMLN-2023-617-100694</t>
  </si>
  <si>
    <t>SMLN-2023-617-100696
SMLN-2023-612-100157</t>
  </si>
  <si>
    <t>SMLN-2023-617-100698</t>
  </si>
  <si>
    <t>SMLN-2023-617-100699</t>
  </si>
  <si>
    <t>SMLN-2023-618-100086</t>
  </si>
  <si>
    <t>nová VZ-2023-001534</t>
  </si>
  <si>
    <t>VZ-2023-001532</t>
  </si>
  <si>
    <t>VZ-2023-001534</t>
  </si>
  <si>
    <t>Integrační server pro výměnu dat služeb integrované péče v Ol. kraji II</t>
  </si>
  <si>
    <t>3.2.80.</t>
  </si>
  <si>
    <t>45233290-8</t>
  </si>
  <si>
    <t>SMLN-2023-617-100701</t>
  </si>
  <si>
    <t>11.12.2023 zrušeno</t>
  </si>
  <si>
    <t>SMLN-2024-617-100001
SMLN-2024-612-100001</t>
  </si>
  <si>
    <t>SMLN-2024-617-100002
SMLN-2024-612-100002</t>
  </si>
  <si>
    <t>2.1.2024 zrušeno</t>
  </si>
  <si>
    <t>SECATOlomouc s.r.o.</t>
  </si>
  <si>
    <t>SMLN-2024-617-100006</t>
  </si>
  <si>
    <t>SMLN-2024-617-100007</t>
  </si>
  <si>
    <t>SMLN-2024-617-100008</t>
  </si>
  <si>
    <t>SMLN-2024-617-100009</t>
  </si>
  <si>
    <t>SMLN-2024-617-100010</t>
  </si>
  <si>
    <t>Mukolytika 2024</t>
  </si>
  <si>
    <t>VZ-2024-000008-01</t>
  </si>
  <si>
    <t>VZ-2024-000008-02</t>
  </si>
  <si>
    <t>VZ-2024-000008-03</t>
  </si>
  <si>
    <t>VZ-2024-000008-04</t>
  </si>
  <si>
    <t>VZ-2024-000008-05</t>
  </si>
  <si>
    <t>R03AL LP ze skupiny inhalačních sympatomimetik 2024 III</t>
  </si>
  <si>
    <t>Berodual</t>
  </si>
  <si>
    <t>Ultibro Brezhaler</t>
  </si>
  <si>
    <t>FORMOTEROL A AKLIDINIUM-BROMID</t>
  </si>
  <si>
    <t>Spiolto</t>
  </si>
  <si>
    <t>DNS minitendry</t>
  </si>
  <si>
    <t>Počet částí VZ - vypsaných, připravovaných</t>
  </si>
  <si>
    <t>BREVYCASTA s.r.o.</t>
  </si>
  <si>
    <t>SMLN-2024-617-100011</t>
  </si>
  <si>
    <t>SMLN-2024-612-100003</t>
  </si>
  <si>
    <t>VZ-2024-000010</t>
  </si>
  <si>
    <t>Úpravna vody</t>
  </si>
  <si>
    <t>2.3.709.</t>
  </si>
  <si>
    <t>4.1.2024 zrušení na podpis</t>
  </si>
  <si>
    <t>nově VZ-2024-000011</t>
  </si>
  <si>
    <t>VZ-2024-000011</t>
  </si>
  <si>
    <r>
      <t xml:space="preserve">Molekulárně biologické vyšetření u dárců krve a plazmy - NAT s výpůjčkou analyzátorů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</si>
  <si>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SMLN-2024-612-100004</t>
  </si>
  <si>
    <t>SMLN-2024-617-100012
SMLN-2024-612-100005</t>
  </si>
  <si>
    <t>VZ-2024-000014</t>
  </si>
  <si>
    <t>2.3.720.</t>
  </si>
  <si>
    <t>SMLN-2024-617-100013</t>
  </si>
  <si>
    <t>VZ-2024-000015</t>
  </si>
  <si>
    <t>33121500-9</t>
  </si>
  <si>
    <t>2.3.802,818,821,825</t>
  </si>
  <si>
    <t>VZ-2024-000017</t>
  </si>
  <si>
    <t>2.3.773</t>
  </si>
  <si>
    <t>5.1.2024 zrušení na podpis</t>
  </si>
  <si>
    <t>A.M.I. - Analyical Medical Instruments, s.r.o.</t>
  </si>
  <si>
    <t>VZ-2024-000018</t>
  </si>
  <si>
    <t>Konfokální sítnicový oftalmoskop</t>
  </si>
  <si>
    <t>2.2.621</t>
  </si>
  <si>
    <t>nově VZ-2024-000020</t>
  </si>
  <si>
    <t>VZ-2024-000020</t>
  </si>
  <si>
    <t>NOVOSTAVBA BUDOVY P4</t>
  </si>
  <si>
    <t>původně VZ-2023-001523</t>
  </si>
  <si>
    <t>Optimalizace dopravního řešení</t>
  </si>
  <si>
    <t>SMLN-2024-617-100014</t>
  </si>
  <si>
    <t>VZ-2024-000031</t>
  </si>
  <si>
    <t>LP</t>
  </si>
  <si>
    <t>DG</t>
  </si>
  <si>
    <t>Antibakteriální léčiva pro systémovou aplikaci VI. 2024</t>
  </si>
  <si>
    <t>VZ-2024-000032</t>
  </si>
  <si>
    <t>LP s obsahem cyklofosfamidu 2024</t>
  </si>
  <si>
    <t>VZ-2024-000033</t>
  </si>
  <si>
    <t>LP s obsahem fulvestrantu 2024</t>
  </si>
  <si>
    <t>VZ-2024-000034</t>
  </si>
  <si>
    <t>LP s obsahem busulfanu 2024</t>
  </si>
  <si>
    <t>účinnnost od 10.1.2024</t>
  </si>
  <si>
    <t>účinnost od 10.1.2024 (dodatek č.1)</t>
  </si>
  <si>
    <t>Bindworks s.r.o.</t>
  </si>
  <si>
    <t>8 let s prolongací</t>
  </si>
  <si>
    <t>VZ-2024-000037</t>
  </si>
  <si>
    <t>2.3.826, 2.2.610</t>
  </si>
  <si>
    <t>SMLN-2024-618-100001</t>
  </si>
  <si>
    <t>SMLN-2024-617-100016</t>
  </si>
  <si>
    <t>VZ-2024-000039-01</t>
  </si>
  <si>
    <t>Léčiva k terapii nemocí kostí 2024</t>
  </si>
  <si>
    <t>VZ-2024-000039-02</t>
  </si>
  <si>
    <t>DENOSUMAB</t>
  </si>
  <si>
    <t>VZ-2024-000040</t>
  </si>
  <si>
    <t>VZ-2024-000044</t>
  </si>
  <si>
    <t>VSEOB</t>
  </si>
  <si>
    <t>SMLN-2024-618-100002</t>
  </si>
  <si>
    <t>nově VZ-2024-000045</t>
  </si>
  <si>
    <t>VZ-2024-000045</t>
  </si>
  <si>
    <t>Kardioangiografický systém na strukturální srdeční intervence</t>
  </si>
  <si>
    <t>330 dnů od zahájení</t>
  </si>
  <si>
    <t>původně VZ-2023-001441</t>
  </si>
  <si>
    <t>Kleště koagulační endoskopické jednorázové</t>
  </si>
  <si>
    <t>SMLN-2024-617-100019</t>
  </si>
  <si>
    <t>SMLN-2024-617-100020</t>
  </si>
  <si>
    <t>VZ-2024-000047</t>
  </si>
  <si>
    <t>VZ-2024-000050</t>
  </si>
  <si>
    <t>SMLN-2024-617-100021</t>
  </si>
  <si>
    <t>SMLN-2024-617-100022
SMLN-2024-612-100007
SMLN-2024-617-100023</t>
  </si>
  <si>
    <t>SMLN-2024-617-100024</t>
  </si>
  <si>
    <t>SMLN-2024-617-100025
SMLN-2024-614-100001
SMLN-2024-616-100002</t>
  </si>
  <si>
    <t>SMLN-2024-617-100026</t>
  </si>
  <si>
    <t>SMLN-2024-617-100027</t>
  </si>
  <si>
    <t>SMLN-2024-617-100028</t>
  </si>
  <si>
    <t>SMLN-2024-617-100029</t>
  </si>
  <si>
    <t>LP s obsahem dupilumabu 2024</t>
  </si>
  <si>
    <t>VZ-2024-000057</t>
  </si>
  <si>
    <t>Handpiece k ultrazvukovému aspirátoru</t>
  </si>
  <si>
    <t>2.2.522</t>
  </si>
  <si>
    <t>VZ-2024-000058-01</t>
  </si>
  <si>
    <t>Flexibilní videoendoskop pro ORL</t>
  </si>
  <si>
    <t>2.3.782</t>
  </si>
  <si>
    <t>VZ-2024-000058-02</t>
  </si>
  <si>
    <t>VZ-2024-000058-03</t>
  </si>
  <si>
    <t>2.3.785</t>
  </si>
  <si>
    <t>Endoskopy pro II.IK</t>
  </si>
  <si>
    <t>Radiální sonda k endosonografu</t>
  </si>
  <si>
    <t>2.3.788</t>
  </si>
  <si>
    <t>VZ-2024-000059</t>
  </si>
  <si>
    <t>Kancelářský papír 2024</t>
  </si>
  <si>
    <t>16.1.2024 zrušeno</t>
  </si>
  <si>
    <t>VZ-2024-000061</t>
  </si>
  <si>
    <t>Stříkačky injekční dvoudílné</t>
  </si>
  <si>
    <t>účinnost od11.3.2024</t>
  </si>
  <si>
    <t>SEKNE, spol. s r.o.</t>
  </si>
  <si>
    <t>VZ-2024-000063</t>
  </si>
  <si>
    <t>LP s obsahem loratinibu 2024</t>
  </si>
  <si>
    <t>VZ-2024-000065</t>
  </si>
  <si>
    <t>Diagnostika pro koagulační vyšetření s výpůjčkou</t>
  </si>
  <si>
    <t>2.3.780</t>
  </si>
  <si>
    <t>33694000-1
38434000-</t>
  </si>
  <si>
    <t xml:space="preserve">45000000-7
 45215100-8 </t>
  </si>
  <si>
    <t>38434000-6
33694000-1</t>
  </si>
  <si>
    <t>SMLN-2024-618-100004</t>
  </si>
  <si>
    <t>VZ-2024-000066</t>
  </si>
  <si>
    <t>VZ-2024-000067</t>
  </si>
  <si>
    <t>LP s obsahem ifosfamidu</t>
  </si>
  <si>
    <t>2.3.774</t>
  </si>
  <si>
    <t>33160000-9
33162000-3</t>
  </si>
  <si>
    <t>VZ-2024-000068</t>
  </si>
  <si>
    <t>LP s obsahem tamoxifenu 2024</t>
  </si>
  <si>
    <t>VZ-2024-000070</t>
  </si>
  <si>
    <t>Chlorid vápenatý infuzní 2024</t>
  </si>
  <si>
    <t>VZ-2024-000072-01</t>
  </si>
  <si>
    <t>VZ-2024-000072-02</t>
  </si>
  <si>
    <t>2.2.617</t>
  </si>
  <si>
    <t>2.2.594</t>
  </si>
  <si>
    <t>VZ-2024-000074</t>
  </si>
  <si>
    <t>SMLN-2024-617-100033
SMLN-2024-612-100009</t>
  </si>
  <si>
    <t>VZ-2024-000076-01</t>
  </si>
  <si>
    <t>VZ-2024-000076-02</t>
  </si>
  <si>
    <t>2.2.325</t>
  </si>
  <si>
    <t>Nahrávací zařízení s videomaticí pro 2. interní kliniku</t>
  </si>
  <si>
    <t>SMLN-2024-617-100034
SMLN-2024-614-100002</t>
  </si>
  <si>
    <t>SMLN-2024-618-100005</t>
  </si>
  <si>
    <t>SMLN-2024-617-100035</t>
  </si>
  <si>
    <t>VZ-2024-000077</t>
  </si>
  <si>
    <t>VZ-2024-000081</t>
  </si>
  <si>
    <t>Konkektor bezjehlový</t>
  </si>
  <si>
    <t>SMLN-2024-617-100036</t>
  </si>
  <si>
    <t>SMLN-2024-617-100037</t>
  </si>
  <si>
    <t>VZ-2024-000086</t>
  </si>
  <si>
    <t>LP s obsahem teriparatidu 2024</t>
  </si>
  <si>
    <t>VZ-2024-000087-01</t>
  </si>
  <si>
    <t>VZ-2024-000087-02</t>
  </si>
  <si>
    <t>Interferony beta-1A 2024</t>
  </si>
  <si>
    <t>IVAKAFTOR A TEZAKAFTOR</t>
  </si>
  <si>
    <t>Léčiva respiračního systému z ATC R07AX30 a R07AX31 2024, část I. IVAKAFTOR A TEZAKAFTOR</t>
  </si>
  <si>
    <t>IVAKAFTOR A LUMAKAFTOR</t>
  </si>
  <si>
    <t>VZ-2024-000088-01</t>
  </si>
  <si>
    <t>VZ-2024-000088-02</t>
  </si>
  <si>
    <t>VZ-2024-000089</t>
  </si>
  <si>
    <t>Mobilní ultrazvukový přístroj s fúzní jednotkou</t>
  </si>
  <si>
    <t>2.3.777</t>
  </si>
  <si>
    <t>VZ-2024-000091</t>
  </si>
  <si>
    <t>TAVI - Aortální chlopně biologické samoexpandibilní s možností repozice</t>
  </si>
  <si>
    <t>Počet nabídek</t>
  </si>
  <si>
    <t>SMLN-2024-617-100039
SMLN-2024-612-100010</t>
  </si>
  <si>
    <t>VZ-2024-000096</t>
  </si>
  <si>
    <t>Komplexní softwarová podpora klinické farmacie</t>
  </si>
  <si>
    <t>VZ-2024-000097</t>
  </si>
  <si>
    <t>Materiál spotřební k pipetovacímu automatu Sciclone NGSx iQ</t>
  </si>
  <si>
    <t>VZ-2024-000098</t>
  </si>
  <si>
    <t>LP s obsahem amivantamabu 2024</t>
  </si>
  <si>
    <t>VZ-2024-000099</t>
  </si>
  <si>
    <t>LP s obsahem ponesimodu 2024</t>
  </si>
  <si>
    <t>VZ-2024-000100</t>
  </si>
  <si>
    <t>LP s obsahem ceritinibu 2024</t>
  </si>
  <si>
    <t>SMLN-2024-617-100040</t>
  </si>
  <si>
    <t>SMLN-2024-617-100041</t>
  </si>
  <si>
    <t>SMLN-2024-617-100043
SMLN-2024-614-100003</t>
  </si>
  <si>
    <t>SMLN-2024-617-100044
SMLN-2024-612-100012</t>
  </si>
  <si>
    <t>VZ-2024-000106</t>
  </si>
  <si>
    <t>Dynamický nákupní systém na dodávky chirurgických nástrojů</t>
  </si>
  <si>
    <t>33162200-5, 33169000</t>
  </si>
  <si>
    <t>SMLN-2024-617-100045</t>
  </si>
  <si>
    <t>účinnost od 11.3.2024</t>
  </si>
  <si>
    <t>účinnost od 18.3.2024</t>
  </si>
  <si>
    <t>zaveden DNS</t>
  </si>
  <si>
    <t>27 dodavatelů</t>
  </si>
  <si>
    <t>VZ-2024-000107-01</t>
  </si>
  <si>
    <t>VZ-2024-000107-02</t>
  </si>
  <si>
    <t>Katétry pro návrat do pravého lumén cévy</t>
  </si>
  <si>
    <t>Katétry pro návrat do pravého lumen cévy I.</t>
  </si>
  <si>
    <t>Katétry pro návrat do pravého lumen cévy II.</t>
  </si>
  <si>
    <t>VZ-2024-000107</t>
  </si>
  <si>
    <t>Medicontur CZ s..r.o.</t>
  </si>
  <si>
    <t>Seyfor, a.s.</t>
  </si>
  <si>
    <t>zrušeno - změna nabídkové ceny</t>
  </si>
  <si>
    <t>VZ-2024-000110</t>
  </si>
  <si>
    <t>DHM</t>
  </si>
  <si>
    <t>Čističky vzduchu</t>
  </si>
  <si>
    <t>42514000-2</t>
  </si>
  <si>
    <t>VZ-2024-000112</t>
  </si>
  <si>
    <t>ENG</t>
  </si>
  <si>
    <t>Dynamický nákupní systém na výrobu a montáž nábytku pro FN Olomouc</t>
  </si>
  <si>
    <t>Systém hydrocefální drenážní pro NCHIR</t>
  </si>
  <si>
    <t>VZ-2024-000113-01</t>
  </si>
  <si>
    <t>Farmaceutická lednice a chladící skříň</t>
  </si>
  <si>
    <t>nově VZ-2024-000117</t>
  </si>
  <si>
    <t>VZ-2024-000115</t>
  </si>
  <si>
    <t>Sety ke katetrizační korekci mitrální regurgitace - Systém MitraClip kit</t>
  </si>
  <si>
    <t>VZ-2024-000113-02</t>
  </si>
  <si>
    <t>Chladící skříň</t>
  </si>
  <si>
    <t>2.2.630</t>
  </si>
  <si>
    <t>2.2.588</t>
  </si>
  <si>
    <t>VZ-2024-000116</t>
  </si>
  <si>
    <t>Úpravna vody II</t>
  </si>
  <si>
    <t>VZ-2024-000117</t>
  </si>
  <si>
    <t>převod z roku 2023</t>
  </si>
  <si>
    <t>Spáčil Z.</t>
  </si>
  <si>
    <t xml:space="preserve">Dodavatel </t>
  </si>
  <si>
    <t>účinnost od 12.4.2024</t>
  </si>
  <si>
    <t>VZ-2024-000119</t>
  </si>
  <si>
    <t>Mobilní telefonní přístroje</t>
  </si>
  <si>
    <t>32250000-0</t>
  </si>
  <si>
    <t>nová VZ-2024-000116</t>
  </si>
  <si>
    <t>SMLN-2024-617-100049</t>
  </si>
  <si>
    <t>VZ-2024-000121</t>
  </si>
  <si>
    <t>LP s obsahem oxaliplatiny 2024</t>
  </si>
  <si>
    <t>VZ-2024-000123</t>
  </si>
  <si>
    <t>VZ-2024-000122</t>
  </si>
  <si>
    <t>Tekuté embolizační činidlo</t>
  </si>
  <si>
    <t>33140000 -3</t>
  </si>
  <si>
    <t>G P S Praha, spol. s r.o.</t>
  </si>
  <si>
    <t>SMLN-2024-617-100051
SMLN-2024-612-100013</t>
  </si>
  <si>
    <t>SMLN-2024-617-100052
SMLN-2024-614-100004</t>
  </si>
  <si>
    <t>VZ-2024-000125</t>
  </si>
  <si>
    <t>SMLN-2024-617-100054</t>
  </si>
  <si>
    <t>SMLN-2024-617-100055
SMLN-2024-612-100014</t>
  </si>
  <si>
    <t>Výroba a montáž nábytku 01/2024</t>
  </si>
  <si>
    <t>VZ-2024-000135</t>
  </si>
  <si>
    <t>LP s obsahem methylprednisonu 2024</t>
  </si>
  <si>
    <t>VZ-2024-000136</t>
  </si>
  <si>
    <t>Bariatrické lůžko</t>
  </si>
  <si>
    <t>VZ-2024-000138</t>
  </si>
  <si>
    <t>VZ-2024-000139</t>
  </si>
  <si>
    <t>Chladící deska</t>
  </si>
  <si>
    <t>VZ-2024-000140</t>
  </si>
  <si>
    <t>Mikrotom</t>
  </si>
  <si>
    <t>VZ-2024-000142</t>
  </si>
  <si>
    <t>Set pro krátkodobou srdeční podporu ECMO</t>
  </si>
  <si>
    <t>VZ-2024-000146</t>
  </si>
  <si>
    <t>LP s obsahem ambrisentanu 2024</t>
  </si>
  <si>
    <t>VZ-2024-000149</t>
  </si>
  <si>
    <t>Embolizační spirály mechanicky odpoutatelné</t>
  </si>
  <si>
    <t>SMLN-2024-612-100015</t>
  </si>
  <si>
    <t>7.2.2024 zrušeno</t>
  </si>
  <si>
    <t>5.2.2024 zrušeno</t>
  </si>
  <si>
    <t>VZ-2024-000153</t>
  </si>
  <si>
    <t xml:space="preserve">LP Yescarta a Tecartus 2024 </t>
  </si>
  <si>
    <t>VZ-2024-000154</t>
  </si>
  <si>
    <t>Kula</t>
  </si>
  <si>
    <t>Průzkum postojů zdravotnických profesionálů a veřejnosti k telemedicíně</t>
  </si>
  <si>
    <t>79300000-7</t>
  </si>
  <si>
    <t>VZ-2024-000150</t>
  </si>
  <si>
    <t>Okluzní balónkové katétry neurovaskulární DMSO</t>
  </si>
  <si>
    <t>3.2.2024 zrušeno</t>
  </si>
  <si>
    <t>FNOL – Revizní náhrady kolenního kloubu (TEP)</t>
  </si>
  <si>
    <t>VZ-2024-000155-01</t>
  </si>
  <si>
    <t>Revizní náhrady kolenního kloubu pro biologicky starší pacienty</t>
  </si>
  <si>
    <t>Revizní náhrady kolenního kloubu pro biologicky mladší pacienty</t>
  </si>
  <si>
    <t>VZ-2024-000155-02</t>
  </si>
  <si>
    <r>
      <rPr>
        <b/>
        <sz val="11"/>
        <color rgb="FFFF0000"/>
        <rFont val="Calibri"/>
        <family val="2"/>
        <charset val="238"/>
        <scheme val="minor"/>
      </rPr>
      <t>VZ-2023-000389 zrušeno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rgb="FFFF0000"/>
        <rFont val="Calibri"/>
        <family val="2"/>
        <charset val="238"/>
        <scheme val="minor"/>
      </rPr>
      <t>VZ-2023-001376 zrušeno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theme="1"/>
        <rFont val="Calibri"/>
        <family val="2"/>
        <charset val="238"/>
        <scheme val="minor"/>
      </rPr>
      <t>nová VZ-2024-000155</t>
    </r>
  </si>
  <si>
    <t>VZ-2024-000147-01</t>
  </si>
  <si>
    <t>VZ-2024-000147-02</t>
  </si>
  <si>
    <t>AMBRISENTAN I.</t>
  </si>
  <si>
    <t>AMBRISENTAN II.</t>
  </si>
  <si>
    <t>SMLN-2024-617-100062</t>
  </si>
  <si>
    <t>TOMED medical s.r.o.</t>
  </si>
  <si>
    <t>zrušeno - změna v distribuci</t>
  </si>
  <si>
    <t>účinnost od 22.4.2024</t>
  </si>
  <si>
    <t>Bartoň a Partner s.r.o.</t>
  </si>
  <si>
    <t>VZ-2024-000151</t>
  </si>
  <si>
    <t>Samoexpandibilní stent vaskulární I.</t>
  </si>
  <si>
    <t>VZ-2024-000156</t>
  </si>
  <si>
    <t>účinnost od 19.4.2024</t>
  </si>
  <si>
    <t>SMLN-2024-617-100063</t>
  </si>
  <si>
    <t>SMLN-2024-617-100064</t>
  </si>
  <si>
    <t>SMLN-2024-617-100065</t>
  </si>
  <si>
    <t>účinnost od 24.4.2024</t>
  </si>
  <si>
    <t>VZ-2024-000159</t>
  </si>
  <si>
    <t xml:space="preserve">Stent biliárni samoexpandibilní metalický pletený pro drenáž žlučových cest </t>
  </si>
  <si>
    <t>VZ-2024-000163-01</t>
  </si>
  <si>
    <t>Parenterální výživa pro domácí použití 2024</t>
  </si>
  <si>
    <t>VZ-2024-000163-02</t>
  </si>
  <si>
    <t>VZ-2024-000163-03</t>
  </si>
  <si>
    <t>VZ-2024-000165</t>
  </si>
  <si>
    <t>Katetr CVC 1 lumen-PICC vysokotlaký set</t>
  </si>
  <si>
    <t>sloučeno do 1 části VZ-2024-000159</t>
  </si>
  <si>
    <t>VZ-2024-000166</t>
  </si>
  <si>
    <t>VZ-2024-000133</t>
  </si>
  <si>
    <t>zrušeno - rozdělení předmětu na samostatně hodnocené části</t>
  </si>
  <si>
    <t>SMLN-2024-617-100071
SMLN-2024-612-100018</t>
  </si>
  <si>
    <t>VZ-2024-000161</t>
  </si>
  <si>
    <t>RESI Třebon spol. s r.o.</t>
  </si>
  <si>
    <t>SMLN-2024-617-100073</t>
  </si>
  <si>
    <t>VZ-2024-000168</t>
  </si>
  <si>
    <t>VZ-2024-000174</t>
  </si>
  <si>
    <t>Intrakraniální stenty vaskulární II.</t>
  </si>
  <si>
    <t>SMLN-2024-617-100074
SMLN-2024-612-100019
SMLN-2024-617-100075</t>
  </si>
  <si>
    <t>účinnost od 25.5.2024</t>
  </si>
  <si>
    <t>VZ-2023-0001393</t>
  </si>
  <si>
    <t>Conceptica s.r.o.</t>
  </si>
  <si>
    <t>VZ-2024-000175</t>
  </si>
  <si>
    <t>VZ-2024-000177</t>
  </si>
  <si>
    <t>Přístroj pro elektroakupunkturu</t>
  </si>
  <si>
    <t>85171000-8</t>
  </si>
  <si>
    <t>VZ-2024-000176-01</t>
  </si>
  <si>
    <t>VZ-2024-000176-02</t>
  </si>
  <si>
    <t>VZ-2024-000176-03</t>
  </si>
  <si>
    <t>33112300-1</t>
  </si>
  <si>
    <t>33112200-0</t>
  </si>
  <si>
    <t>UZV pro KNM</t>
  </si>
  <si>
    <t>Bezdrátový ultrazvuk pro Traumatologickou kliniku</t>
  </si>
  <si>
    <t>UZV pro POR_GYN</t>
  </si>
  <si>
    <t>SMLN-2024-617-100059</t>
  </si>
  <si>
    <t>VZ-2024-000178</t>
  </si>
  <si>
    <t>Modelační balónkové katétry</t>
  </si>
  <si>
    <t>VZ-2024-000180</t>
  </si>
  <si>
    <t>LP s obsahem niraparibu 2024</t>
  </si>
  <si>
    <t>VZ-2024-000182</t>
  </si>
  <si>
    <t>Servis EKV, EZS, CCTV</t>
  </si>
  <si>
    <t>SMLN-2024-617-100077</t>
  </si>
  <si>
    <t>SMLN-2024-617-100078</t>
  </si>
  <si>
    <t>SCHUBERT CZ spol. s r.o.</t>
  </si>
  <si>
    <t>VZ-2024-000181</t>
  </si>
  <si>
    <t>Čističky vzduchu II.</t>
  </si>
  <si>
    <t>nová VZ-2024-000181</t>
  </si>
  <si>
    <t>VZ-2024-000183</t>
  </si>
  <si>
    <t>nová VZ-2024-000183</t>
  </si>
  <si>
    <r>
      <rPr>
        <b/>
        <sz val="11"/>
        <color rgb="FFFF0000"/>
        <rFont val="Calibri"/>
        <family val="2"/>
        <charset val="238"/>
        <scheme val="minor"/>
      </rPr>
      <t>VZ-2024-000146</t>
    </r>
    <r>
      <rPr>
        <sz val="11"/>
        <color theme="1"/>
        <rFont val="Calibri"/>
        <family val="2"/>
        <charset val="238"/>
        <scheme val="minor"/>
      </rPr>
      <t xml:space="preserve">
VZ-2024-000183</t>
    </r>
  </si>
  <si>
    <t>VZ-2024-000185</t>
  </si>
  <si>
    <t>Servis zdravotnických přístrojů výrobce Siemens</t>
  </si>
  <si>
    <t>VZ-2024-000186</t>
  </si>
  <si>
    <t>Katetr arteriální pro radiální přístup</t>
  </si>
  <si>
    <t>SMLN-2024-617-100079
SMLN-2024-612-100020
SMLN-2024-617-100080</t>
  </si>
  <si>
    <t>SMLN-2024-617-100081
SMLN-2024-612-100021</t>
  </si>
  <si>
    <t>Zavaděč s trhacím tělem pro implantaci elektrod ( Peel-Away )</t>
  </si>
  <si>
    <t>VZ-2024-000187</t>
  </si>
  <si>
    <t>nová VZ-2024-000189</t>
  </si>
  <si>
    <t>VZ-2024-000189</t>
  </si>
  <si>
    <t>Univerzální elektrická lůžka II.</t>
  </si>
  <si>
    <t>SMLN-2024-617-100082
SMLN-2024-612-100022</t>
  </si>
  <si>
    <t>VZ-2024-000190-01</t>
  </si>
  <si>
    <t>VZ-2024-000190-02</t>
  </si>
  <si>
    <t>VZ-2024-000190-03</t>
  </si>
  <si>
    <t>TEP kolenního kloubu</t>
  </si>
  <si>
    <t>Office Assistance s.r.o.</t>
  </si>
  <si>
    <t>VZ-2024-000157</t>
  </si>
  <si>
    <t xml:space="preserve">Nákup a dodání stavebního materiálu </t>
  </si>
  <si>
    <t>44111000-1</t>
  </si>
  <si>
    <t>VZ-2024-000192</t>
  </si>
  <si>
    <t>Elektroda defibrilační stimulační epikardiální</t>
  </si>
  <si>
    <t>31711140-6</t>
  </si>
  <si>
    <t>SMLN-2024-617-100083</t>
  </si>
  <si>
    <t>SMLN-2024-617-100084</t>
  </si>
  <si>
    <t>12.2.2024 zrušeno</t>
  </si>
  <si>
    <t>21.2.2024 zrušeno</t>
  </si>
  <si>
    <t>VZ-2024-000193</t>
  </si>
  <si>
    <t>Zaváděcí systém biliárních stentů</t>
  </si>
  <si>
    <t>VZ-2024-000194</t>
  </si>
  <si>
    <t>Vozidlo na zimní údržbu</t>
  </si>
  <si>
    <t>34144400-2</t>
  </si>
  <si>
    <t>VZ-2024-000196</t>
  </si>
  <si>
    <t>Injektory jednorázové endoskopické</t>
  </si>
  <si>
    <t>VZ-2024-000197</t>
  </si>
  <si>
    <t>LP s obsahem trastuzumabu 2024</t>
  </si>
  <si>
    <t>SMLN-2024-617-100087
SMLN-2024-612-100023</t>
  </si>
  <si>
    <t>SMLN-2024-617-100088
SMLN-2024-612-100024</t>
  </si>
  <si>
    <t>SMLN-2024-617-100089
SMLN-2024-612-100025</t>
  </si>
  <si>
    <t>SMLN-2024-617-100090
SMLN-2024-612-100026</t>
  </si>
  <si>
    <t xml:space="preserve">TEP kyčelního kloubu </t>
  </si>
  <si>
    <t>účinnost od 4.5.2024</t>
  </si>
  <si>
    <t>KESA, s.r.o.</t>
  </si>
  <si>
    <t>SMLN-2024-617-100091
SMLN-2024-612-100027</t>
  </si>
  <si>
    <t>MEDIAL spol. s .ro.</t>
  </si>
  <si>
    <t>VZ-2024-000204</t>
  </si>
  <si>
    <t>Pluvicto  2024</t>
  </si>
  <si>
    <t>VZ-2024-000201</t>
  </si>
  <si>
    <t>96-ti jamkový modul k termocycleru</t>
  </si>
  <si>
    <t>dále nepožadováno</t>
  </si>
  <si>
    <t>SMLN-2024-617-100092</t>
  </si>
  <si>
    <t>SMLN-2024-617-100093</t>
  </si>
  <si>
    <t>SMLN-2024-617-100094</t>
  </si>
  <si>
    <t>SMLN-2024-617-100095</t>
  </si>
  <si>
    <t>SMLN-2024-617-100096</t>
  </si>
  <si>
    <t>SMLN-2024-617-100097</t>
  </si>
  <si>
    <t>SMLN-2024-617-100099</t>
  </si>
  <si>
    <t>VZ-2024-000206</t>
  </si>
  <si>
    <t>LP s obsahem brodalumabu 2024</t>
  </si>
  <si>
    <t>VZ-2024-000207</t>
  </si>
  <si>
    <t>Endosonografie</t>
  </si>
  <si>
    <t>2.3.784</t>
  </si>
  <si>
    <t>SMLN-2024-617-100100</t>
  </si>
  <si>
    <t>27.2.2024 zrušeno</t>
  </si>
  <si>
    <t>SMLN-2024-617-100102
SMLN-2024-616-100015</t>
  </si>
  <si>
    <t>VZ-2024-000095</t>
  </si>
  <si>
    <t>VZ-2024-000210</t>
  </si>
  <si>
    <t>SMLN-2024-617-100105</t>
  </si>
  <si>
    <t>SMLN-2024-617-100068</t>
  </si>
  <si>
    <t>Parenterální výživa pro domácí použití I.</t>
  </si>
  <si>
    <t>Parenterální výživa pro domácí použití II.</t>
  </si>
  <si>
    <t>Parenterální výživa pro domácí použití III.</t>
  </si>
  <si>
    <t>SMLN-2024-617-100107</t>
  </si>
  <si>
    <t>SMLN-2024-617-100108</t>
  </si>
  <si>
    <t>SMLN-2024-617-100109</t>
  </si>
  <si>
    <t>SMLN-2024-617-100110</t>
  </si>
  <si>
    <t>SMLN-2024-617-100111</t>
  </si>
  <si>
    <t>SMLN-2024-617-100112</t>
  </si>
  <si>
    <t>SMLN-2024-617-100113</t>
  </si>
  <si>
    <t>SMLN-2024-618-100007
SMLN-2024-612-100029</t>
  </si>
  <si>
    <t>SMLN-2024-617-100114</t>
  </si>
  <si>
    <t>B. Braun neposkytl součinnost k uzavření smlouvy</t>
  </si>
  <si>
    <t>SMLN-2024-617-100122</t>
  </si>
  <si>
    <t>SMLN-2024-0617-100120 SMLN-2024-616-100019</t>
  </si>
  <si>
    <t>SMLN-2024-617-100121 SMLN-2024-614-100008</t>
  </si>
  <si>
    <t>SMLN-2024-617-100119 SMLN-2024-612-100030</t>
  </si>
  <si>
    <t>SMLN-2024-617-100123</t>
  </si>
  <si>
    <t>2.3.833</t>
  </si>
  <si>
    <t>VZ-2024-000219-01</t>
  </si>
  <si>
    <t>VZ-2024-000219-02</t>
  </si>
  <si>
    <t>VZ-2024-000219-03</t>
  </si>
  <si>
    <t>VZ-2024-000220</t>
  </si>
  <si>
    <t>Čítač částic vzduchu</t>
  </si>
  <si>
    <t>2.3.813</t>
  </si>
  <si>
    <t>38344000-8</t>
  </si>
  <si>
    <t>VZ-2024-000218-01</t>
  </si>
  <si>
    <t>VZ-2024-000218-02</t>
  </si>
  <si>
    <t>VZ-2024-000218-03</t>
  </si>
  <si>
    <t>Vrtací a pillové systémy</t>
  </si>
  <si>
    <t>2.2.583</t>
  </si>
  <si>
    <t>2.2.602</t>
  </si>
  <si>
    <r>
      <t xml:space="preserve">2.2.532 2.2.600 </t>
    </r>
    <r>
      <rPr>
        <sz val="11"/>
        <color rgb="FFFF0000"/>
        <rFont val="Calibri"/>
        <family val="2"/>
        <charset val="238"/>
        <scheme val="minor"/>
      </rPr>
      <t>2.2.602</t>
    </r>
  </si>
  <si>
    <t>VZ-2024-000217</t>
  </si>
  <si>
    <t>Drenážní sety pro perkutánní drenáže</t>
  </si>
  <si>
    <t xml:space="preserve">Oprava havarijních radiačních nádrží ČOV  ve FNOL </t>
  </si>
  <si>
    <t>VZ-2024-000215</t>
  </si>
  <si>
    <t>VZ-2024-000214</t>
  </si>
  <si>
    <t>Nůž elektrochirurgický jednorázový</t>
  </si>
  <si>
    <t>2.3.775</t>
  </si>
  <si>
    <t>2.3.803 2.3.804 2.3.805 2.3.834</t>
  </si>
  <si>
    <t>Inboox CZ, s.r.o.</t>
  </si>
  <si>
    <t>SMLN-2024-617-100125 SMLN-2024-612-100031</t>
  </si>
  <si>
    <t>SMLN-2024-618-100009</t>
  </si>
  <si>
    <t>TOKA a.s.</t>
  </si>
  <si>
    <t>4.3.2024 zrušeno</t>
  </si>
  <si>
    <t>SMLN-2024-617-100124
SMLN-2024-612-100017</t>
  </si>
  <si>
    <t>45252000-8</t>
  </si>
  <si>
    <t>Dezinfektor podložních mís pro HOK</t>
  </si>
  <si>
    <t>Vrtačky a oscilační pily</t>
  </si>
  <si>
    <t>nová VZ-2024-000222</t>
  </si>
  <si>
    <t>VZ-2024-000222</t>
  </si>
  <si>
    <t>Jiná antimykotika pro systémovou aplikaci 2024</t>
  </si>
  <si>
    <t>účinnost od 10.6.2024</t>
  </si>
  <si>
    <t>SMLN-2024-617-100126
SMLN-2024-614-100009</t>
  </si>
  <si>
    <t>SMLN-2024-617-100127
SMLN-2024-614-100010</t>
  </si>
  <si>
    <t>SMLN-2024-612-100032</t>
  </si>
  <si>
    <t>VZ-2024-000223</t>
  </si>
  <si>
    <t>2.3.827</t>
  </si>
  <si>
    <t>VZ-2024-000216-01</t>
  </si>
  <si>
    <t>VZ-2024-000216-02</t>
  </si>
  <si>
    <t>VZ-2024-000216-03</t>
  </si>
  <si>
    <t>VZ-2024-000216-04</t>
  </si>
  <si>
    <t>VZ-2024-000216-05</t>
  </si>
  <si>
    <t>LP s obsahem tamsulosinu v monoterapii a fixní kombinaci 2024</t>
  </si>
  <si>
    <t>VZ-2024-000203</t>
  </si>
  <si>
    <t xml:space="preserve">Analyzátory acidobazické rovnováhy s výpůjčkou </t>
  </si>
  <si>
    <t>VZ-2024-000205</t>
  </si>
  <si>
    <t>LP s obsahem Efgartigimodu alfa  2024</t>
  </si>
  <si>
    <t>VZ-2024-000224</t>
  </si>
  <si>
    <t>Nebulizer</t>
  </si>
  <si>
    <t>2.2.628</t>
  </si>
  <si>
    <t>VZ-2024-000225</t>
  </si>
  <si>
    <t>Defibrilátor subkutánní s detekcí povrchového signálu</t>
  </si>
  <si>
    <t>VZ-2024-000226</t>
  </si>
  <si>
    <t xml:space="preserve">Polohovač a Ofuk ke stabilizátoru pro operace srdce </t>
  </si>
  <si>
    <t>Doba neurčitá</t>
  </si>
  <si>
    <t>VZ-2024-000227</t>
  </si>
  <si>
    <t>Set pro endoskopický odběr žilního štěpu pro BY PASS</t>
  </si>
  <si>
    <t>VZ-2024-000228</t>
  </si>
  <si>
    <t>Embolizační spirály IV.</t>
  </si>
  <si>
    <t>SMLN-2024-617-100130
SMLN-2024-614-100011</t>
  </si>
  <si>
    <t>SMLN-2024-617-100132</t>
  </si>
  <si>
    <t>SMLN-2024-617-100133</t>
  </si>
  <si>
    <t>SMLN-2024-617-100134</t>
  </si>
  <si>
    <t>SMLN-2024-617-100135</t>
  </si>
  <si>
    <t>SMLN-2024-617-100136</t>
  </si>
  <si>
    <t>Sanofi s.r.o.</t>
  </si>
  <si>
    <t>SMLN-2024-617-100137
SMLN-2024-614-100012</t>
  </si>
  <si>
    <t>SMLN-2024-617-100138
SMLN-2024-614-100013</t>
  </si>
  <si>
    <t>SMLN-2024-617-100140</t>
  </si>
  <si>
    <t>Rekonstrukce bytových jednotek v budově YA – Etapa III.</t>
  </si>
  <si>
    <t>SMLN-2024-617-100142</t>
  </si>
  <si>
    <t>VZ-2024-000241</t>
  </si>
  <si>
    <t>VZ-2024-000229</t>
  </si>
  <si>
    <t>Kroužek anuloplastický mitrální semirigidní</t>
  </si>
  <si>
    <t>VZ-2024-000221</t>
  </si>
  <si>
    <t>Vaskulární plugy periferní</t>
  </si>
  <si>
    <t>5 let s prolongací</t>
  </si>
  <si>
    <t>SMLN-2024-617-100143</t>
  </si>
  <si>
    <t>CSF, s.r.o.</t>
  </si>
  <si>
    <t>SMLN-2024-617-100146
SMLN-2024-612-100033</t>
  </si>
  <si>
    <t xml:space="preserve">Modernizace prostor lůžkového oddělení v 7.NP budovy D2 </t>
  </si>
  <si>
    <t>VZ-2024-000230</t>
  </si>
  <si>
    <t>VZ-2024-000234</t>
  </si>
  <si>
    <t>Systém AtriClip pro uzávěr ouška levé síně (LAA) s otevřeným koncem</t>
  </si>
  <si>
    <t>VZ-2024-000242</t>
  </si>
  <si>
    <t>VZ-2024-000243</t>
  </si>
  <si>
    <t>MAR</t>
  </si>
  <si>
    <t>Reprezenační ples FN Olomouc 2025</t>
  </si>
  <si>
    <t>VZ-2024-000246</t>
  </si>
  <si>
    <t>Koagulace</t>
  </si>
  <si>
    <t>nová VZ-2024-000241</t>
  </si>
  <si>
    <t>VarioMedical Plus, s.r.o.</t>
  </si>
  <si>
    <t>14.3.2024 zrušeno</t>
  </si>
  <si>
    <t>Renovace bytu v objektu AYH1</t>
  </si>
  <si>
    <t>VZ-2024-000250</t>
  </si>
  <si>
    <t>VZ-2024-000240</t>
  </si>
  <si>
    <t>Katetr pro intrakoronární ultrazvukové vyšetření IVUS</t>
  </si>
  <si>
    <t>zrušeno - B.Braun neposkytl součinnost k uzavření smlouvy</t>
  </si>
  <si>
    <t>účinnost od 27.5.2024</t>
  </si>
  <si>
    <t>účinnost od 31.5.2024</t>
  </si>
  <si>
    <t>účinnosti od 13.5.2024</t>
  </si>
  <si>
    <t>Souprava k zajištění transjugulárního přístupu do žilního systému jaterního při TIPS</t>
  </si>
  <si>
    <t>účinnosti od 30.6.2024</t>
  </si>
  <si>
    <t>Vodící mikrodráty k vaskulárním neurointervencím V.</t>
  </si>
  <si>
    <t>VZ-2024-000232</t>
  </si>
  <si>
    <t>Katetr koronární pro intravaskulární litotrypsi včetně výpůjčky přístroje</t>
  </si>
  <si>
    <r>
      <t xml:space="preserve">VZ-2024-000210
</t>
    </r>
    <r>
      <rPr>
        <b/>
        <sz val="11"/>
        <rFont val="Calibri"/>
        <family val="2"/>
        <charset val="238"/>
        <scheme val="minor"/>
      </rPr>
      <t>VZ-2024-000241</t>
    </r>
  </si>
  <si>
    <t>SMLN-2024-617-100149
SMLN-2024-614-100016</t>
  </si>
  <si>
    <t>Imunoglobulin v lahvičce ve formě infuzního roztoku</t>
  </si>
  <si>
    <t>SMLN-2024-617-100151</t>
  </si>
  <si>
    <t>SMLN-2024-617-100152</t>
  </si>
  <si>
    <t>SMLN-2024-617-100153</t>
  </si>
  <si>
    <t>SMLN-2024-617-100154</t>
  </si>
  <si>
    <t>účinnost od 31.8.2024</t>
  </si>
  <si>
    <t>účinnnost od 31.8.2024</t>
  </si>
  <si>
    <t>účinnost od 21.7.2024</t>
  </si>
  <si>
    <t>účinnost od 3.6.2024</t>
  </si>
  <si>
    <t>účinnost od  1.7.2024</t>
  </si>
  <si>
    <t>účinnost od 1.7.2024</t>
  </si>
  <si>
    <t>VZ-2024-000248</t>
  </si>
  <si>
    <t>Malířské a natěračské práce 2024</t>
  </si>
  <si>
    <t>VZ-2024-000252</t>
  </si>
  <si>
    <t>Toaletní papír a ZZ ručníky 2024</t>
  </si>
  <si>
    <t>33770000-8</t>
  </si>
  <si>
    <t>VZ-2024-000256</t>
  </si>
  <si>
    <t>LP s obsahem valgancikloviru 2024</t>
  </si>
  <si>
    <t>VZ-2024-000258</t>
  </si>
  <si>
    <t>Kontejnery sterilizační včetně příslušenství pro ORTOP (doplnění stávajícího vybavení výr. AESCULAP)</t>
  </si>
  <si>
    <t>Clean nad Health s.r.o.</t>
  </si>
  <si>
    <t>VZ-2024-000264</t>
  </si>
  <si>
    <t>Jiná terapeutická radiofarmaka V10X 2024</t>
  </si>
  <si>
    <t>VZ-2024-000265</t>
  </si>
  <si>
    <t>Radium-(223RA)-Dichlorid V10XX03 2024</t>
  </si>
  <si>
    <t>účinnosti od 1.6.2024</t>
  </si>
  <si>
    <t>nová VZ-2024-000267</t>
  </si>
  <si>
    <t>VZ-2024-000267</t>
  </si>
  <si>
    <t>LP s obsahem oxaliplatiny II. 2024</t>
  </si>
  <si>
    <t>Vitamíny B05XC 2024</t>
  </si>
  <si>
    <t>VZ-2024-000269</t>
  </si>
  <si>
    <t>Cyklosporin 2024</t>
  </si>
  <si>
    <t>SMLN-2024-617-100158
SMLN-2024-612-100035</t>
  </si>
  <si>
    <t>SMLN-2024-617-100160
SMLN-2024-612-100036</t>
  </si>
  <si>
    <t>15 dodavatelů</t>
  </si>
  <si>
    <t>SMLN-2024-618-100010</t>
  </si>
  <si>
    <t>SMLN-2024-617-100161
SMLN-2024-612-100037</t>
  </si>
  <si>
    <t>VZ-2024-000270</t>
  </si>
  <si>
    <t>LP s obsahem cemiplimabu 2024</t>
  </si>
  <si>
    <t>nová VZ-2024-000256</t>
  </si>
  <si>
    <t>SMLN-2024-617-100162
SMLN-2024-612-100038</t>
  </si>
  <si>
    <t>SMLN-2024-617-100163
SMLN-2024-614-100017</t>
  </si>
  <si>
    <t>L I N E T spol.s r .o.</t>
  </si>
  <si>
    <t>SMLN-2024-617-100139</t>
  </si>
  <si>
    <t>účinnost od 17.7.2024</t>
  </si>
  <si>
    <t>SMLN-2024-617-100147</t>
  </si>
  <si>
    <t>zrušeno - máme uzavřenou platnou smlouvu</t>
  </si>
  <si>
    <t>VZ-2024-000268-01</t>
  </si>
  <si>
    <t>VZ-2024-000268-02</t>
  </si>
  <si>
    <t>VZ-2024-000268-03</t>
  </si>
  <si>
    <t>VZ-2024-000268-04</t>
  </si>
  <si>
    <t>CERNEVIT</t>
  </si>
  <si>
    <t>SOLUVIT</t>
  </si>
  <si>
    <t>VITALAPID N ADULT</t>
  </si>
  <si>
    <t>VITALAPID N INFANT</t>
  </si>
  <si>
    <t>VZ-2024-000274</t>
  </si>
  <si>
    <t>LP s obsahem azacitidinu 2024</t>
  </si>
  <si>
    <t>VZ-2024-000275-01</t>
  </si>
  <si>
    <t>VZ-2024-000275-02</t>
  </si>
  <si>
    <t>VZ-2024-000275-03</t>
  </si>
  <si>
    <t>VZ-2024-000275-04</t>
  </si>
  <si>
    <t>VZ-2024-000275-05</t>
  </si>
  <si>
    <t>VZ-2024-000275-06</t>
  </si>
  <si>
    <t>VZ-2024-000275-07</t>
  </si>
  <si>
    <t>VZ-2024-000275-08</t>
  </si>
  <si>
    <t>Základní diagnostické katetry fixní</t>
  </si>
  <si>
    <t>Hemostatický zavaděč katetrů – stabilizační řiditelný</t>
  </si>
  <si>
    <t>33141320-9</t>
  </si>
  <si>
    <t>TRADIX UH, a.s.</t>
  </si>
  <si>
    <t>VZ-2024-000280</t>
  </si>
  <si>
    <t>Přístroj pro měření respiračních tlaků</t>
  </si>
  <si>
    <t>SMLN-2024-617-100167
SMLN-2024-614-100019</t>
  </si>
  <si>
    <t>SMLN-2024-617-100169</t>
  </si>
  <si>
    <t>VZ-2024-000283</t>
  </si>
  <si>
    <t>Výměna oken a vnějších dveří v objektu AYH</t>
  </si>
  <si>
    <t>SMLN-2024-617-100171</t>
  </si>
  <si>
    <t>SMLN-2024-617-100173</t>
  </si>
  <si>
    <t>SMLN-2024-617-100174</t>
  </si>
  <si>
    <t>SMLN-2024-617-100175</t>
  </si>
  <si>
    <t>VZ-2024-000284</t>
  </si>
  <si>
    <t xml:space="preserve">Sondy k litotriptoru ShockPulse-SE pro UROL </t>
  </si>
  <si>
    <t>33141641-5</t>
  </si>
  <si>
    <t>ANAMET s.r.o.</t>
  </si>
  <si>
    <t>VZ-2024-000281</t>
  </si>
  <si>
    <t>Dodávka čteček čárových kódů</t>
  </si>
  <si>
    <t xml:space="preserve">27.3.2024 zrušeno </t>
  </si>
  <si>
    <t>VZ-2024-000285</t>
  </si>
  <si>
    <t>LP s obsahem galkanezumabu 2024</t>
  </si>
  <si>
    <t>VZ-2024-000287</t>
  </si>
  <si>
    <t>Mycí a dezinfekční automaty, sušící skříň pro endoskopy</t>
  </si>
  <si>
    <t>VZ-2024-000273</t>
  </si>
  <si>
    <t>LP s obsahem abirateronu 2024</t>
  </si>
  <si>
    <t>SMLN-2024-617-100179
SMLN-2024-612-100040</t>
  </si>
  <si>
    <t>SMLN-2024-617-100180</t>
  </si>
  <si>
    <t>SMLN-2024-617-100182</t>
  </si>
  <si>
    <t>2.4.2024 zrušeno</t>
  </si>
  <si>
    <t>VZ-2024-000289</t>
  </si>
  <si>
    <t>Spektrofotometr</t>
  </si>
  <si>
    <t>38433000-9</t>
  </si>
  <si>
    <t>SMLN-2024-612-100041</t>
  </si>
  <si>
    <t>SMLN-2024-617-100185
SMLN-2024-612-100042</t>
  </si>
  <si>
    <t>VZ-2024-000291</t>
  </si>
  <si>
    <t>Fyziologické roztoky pro parenterální použití 2024</t>
  </si>
  <si>
    <t>VZ-2024-000292</t>
  </si>
  <si>
    <t>Daniš Davaztechnik s.r.o.</t>
  </si>
  <si>
    <t xml:space="preserve">FLUDEOXYGLUKÓZA S DODÁVKOU KONTEJNERŮ 2024 </t>
  </si>
  <si>
    <t>VZ-2024-000277</t>
  </si>
  <si>
    <t>LP s obsahem treprostinilu 2024</t>
  </si>
  <si>
    <t>VZ-2024-000294</t>
  </si>
  <si>
    <t>Nádoba pro skladování biologického materiálu v tekutém dusíku</t>
  </si>
  <si>
    <t>VZ-2024-000295</t>
  </si>
  <si>
    <t>Generátor dusíku</t>
  </si>
  <si>
    <t>24111700-2</t>
  </si>
  <si>
    <t>2.3.816</t>
  </si>
  <si>
    <t>2.2.631</t>
  </si>
  <si>
    <t>VZ-2024-000297</t>
  </si>
  <si>
    <t>Motorizované zařízení k uložení kolene</t>
  </si>
  <si>
    <t>2.2.632</t>
  </si>
  <si>
    <t>VZ-2024-000298</t>
  </si>
  <si>
    <t>Prodloužení technické podpory a servisu prostředí Microsoft</t>
  </si>
  <si>
    <t>VZ-2024-000300</t>
  </si>
  <si>
    <t>Mikroskop</t>
  </si>
  <si>
    <t>2.2.633</t>
  </si>
  <si>
    <t>Magnetická rezonance</t>
  </si>
  <si>
    <t>2.2.620</t>
  </si>
  <si>
    <t>účinnost od 14.5.2024</t>
  </si>
  <si>
    <t>3.4.2024 zrušeno</t>
  </si>
  <si>
    <t>Boston Scientific Česká republika, s.r.o.</t>
  </si>
  <si>
    <t>VZ-2024-000299</t>
  </si>
  <si>
    <t xml:space="preserve">Podpora krátkodobá mikroaxilární katetrová srdeční mechanická  pro I.IK </t>
  </si>
  <si>
    <t>SMLN-2024-617-100187</t>
  </si>
  <si>
    <t>SMLN-2024-617-100188</t>
  </si>
  <si>
    <t>SMLN-2024-617-100189</t>
  </si>
  <si>
    <t>SMLN-2024-617-100190</t>
  </si>
  <si>
    <t>účinnost od 14.7.2024</t>
  </si>
  <si>
    <t>účinnost od 19.7.2024</t>
  </si>
  <si>
    <t>SMLN-2024-617-100192</t>
  </si>
  <si>
    <t>SMLN-2024-617-100193</t>
  </si>
  <si>
    <t>SMLN-2024-617-100194</t>
  </si>
  <si>
    <t>SMLN-2024-617-100195</t>
  </si>
  <si>
    <t>SMLN-2024-617-100196</t>
  </si>
  <si>
    <t>SMLN-2024-617-100197</t>
  </si>
  <si>
    <t>SMLN-2024-617-100198
SMLN-2024-616-100026</t>
  </si>
  <si>
    <t>SMLN-2024-617-100200
SMLN-2024-616-100027</t>
  </si>
  <si>
    <t>zrušeno - pouze jedna nabídka</t>
  </si>
  <si>
    <t>SMLN-2024-617-100199
SMLN-2024-612-100043
SMLN-2024-617-100201</t>
  </si>
  <si>
    <t>účinnost od 16.6.2024</t>
  </si>
  <si>
    <t>účinnost od 7.6.2024</t>
  </si>
  <si>
    <t>SMLN-2024-617-100202
SMLN-2024-616-100028</t>
  </si>
  <si>
    <t>VZ-2024-000257</t>
  </si>
  <si>
    <t xml:space="preserve">Poskytování služeb technické podpory a servisu SW pro tkáňové banky </t>
  </si>
  <si>
    <t>SMLN-2024-617-100204</t>
  </si>
  <si>
    <t>27.3.2024 vyloučení AH</t>
  </si>
  <si>
    <t>SMLN-2024-617-100205
SMLN-2024-614-100020
SMLN-2024-616-100029</t>
  </si>
  <si>
    <t>SMLN-2024-617-100206</t>
  </si>
  <si>
    <t>9 dodavatelů</t>
  </si>
  <si>
    <t>VZ-2024-000293</t>
  </si>
  <si>
    <t>LP s obsahem riociguátu 2024</t>
  </si>
  <si>
    <t>VZ-2024-000304</t>
  </si>
  <si>
    <t>LP s obsahem teklistamabu 2024</t>
  </si>
  <si>
    <t>VZ-2024-000305</t>
  </si>
  <si>
    <t>LP s obsahem sacituzumabu govitekan 2024</t>
  </si>
  <si>
    <t>VZ-2024-000306</t>
  </si>
  <si>
    <t>LP s obsahem GLEKAPREVIRu A PIBRENTASVIRu 2024</t>
  </si>
  <si>
    <t>VZ-2024-000307</t>
  </si>
  <si>
    <t>LP s obsahem idelalisibu 2024</t>
  </si>
  <si>
    <t>VZ-2024-000309</t>
  </si>
  <si>
    <t>Dezinfekce kůže a operačního pole s obsahem PVP - jódu 2024</t>
  </si>
  <si>
    <t>VZ-2024-000310-01</t>
  </si>
  <si>
    <t>VZ-2024-000310-02</t>
  </si>
  <si>
    <t>Imunoglobuliny pro intravaskulární podání 2024</t>
  </si>
  <si>
    <t>Kiovig- pro chronické pacienty nasazené na tomto LP</t>
  </si>
  <si>
    <t>VZ-2024-000311</t>
  </si>
  <si>
    <t>LP s obsahem ivakaftoru 2024</t>
  </si>
  <si>
    <t>VZ-2024-000313</t>
  </si>
  <si>
    <t>Injekční acetylcystein 2024</t>
  </si>
  <si>
    <t>VZ-2024-000314</t>
  </si>
  <si>
    <t>Helma operační s příslušenstvím a kukla k operační helmě</t>
  </si>
  <si>
    <t>SMLN-2024-617-100209</t>
  </si>
  <si>
    <t>VZ-2024-000312</t>
  </si>
  <si>
    <t>32552100-8</t>
  </si>
  <si>
    <t>VZ-2024-000318-01</t>
  </si>
  <si>
    <t>Inzulíny 2024</t>
  </si>
  <si>
    <t>Humalog</t>
  </si>
  <si>
    <t>Lyumjev</t>
  </si>
  <si>
    <t>Fiasp</t>
  </si>
  <si>
    <t>Novorapid</t>
  </si>
  <si>
    <t>VZ-2024-000318-02</t>
  </si>
  <si>
    <t>VZ-2024-000318-03</t>
  </si>
  <si>
    <t>VZ-2024-000318-04</t>
  </si>
  <si>
    <t>ViaPharma, s.r.o.</t>
  </si>
  <si>
    <t>VZ-2024-000320</t>
  </si>
  <si>
    <t>Interferony beta - 1A 2024 II</t>
  </si>
  <si>
    <t>SMLN-2024-617-100211
SMLN-2024-614-100021</t>
  </si>
  <si>
    <t>SMLN-2024-617-100212
SMLN-2024-612-100044
SMLN-2024-617-100213</t>
  </si>
  <si>
    <t>SMLN-2024-617-100214
SMLN-2024-614-100022</t>
  </si>
  <si>
    <t>SMLN-2024-617-100215
SMLN-2024-612-100045</t>
  </si>
  <si>
    <t>SMLN-2024-617-100216
SMLN-2024-612-100046</t>
  </si>
  <si>
    <t>VZ-2024-000321</t>
  </si>
  <si>
    <t>Drát vodící ke kanylaci žlučových a pankreatických cest  ERCP</t>
  </si>
  <si>
    <t>nová VZ-2024-000308</t>
  </si>
  <si>
    <t>VZ-2024-000308</t>
  </si>
  <si>
    <t>Komplex koagulačních faktorů 2024</t>
  </si>
  <si>
    <t>VZ-2024-000301-02</t>
  </si>
  <si>
    <t>VZ-2024-000301-01</t>
  </si>
  <si>
    <t>SW a HW upgradu stávající MR MAGNETON AVANTO</t>
  </si>
  <si>
    <t>SW upgradu stávající MR MAGNETOM Aera</t>
  </si>
  <si>
    <t>SMLN-2024-617-100217</t>
  </si>
  <si>
    <t>VZ-2024-000324</t>
  </si>
  <si>
    <t>Výměna oken a vnějších dveří v objektu AYH - II.</t>
  </si>
  <si>
    <t>nová VZ-2024-000324</t>
  </si>
  <si>
    <t>VZ-2024-000325</t>
  </si>
  <si>
    <t>Stavební úpravy výukových místností – budova UZQ</t>
  </si>
  <si>
    <t>MIELE, spol.s  r.o.</t>
  </si>
  <si>
    <t>TAMSULOSIN I.</t>
  </si>
  <si>
    <t>TAMSULOSIN II.</t>
  </si>
  <si>
    <t>TAMSULOSIN A DUTASTERID ve fixní kombinaci</t>
  </si>
  <si>
    <t>TAMSULOSIN A SOLIFENACIN ve fixní kombinaci I.</t>
  </si>
  <si>
    <t>TAMSULOSIN A SOLIFENACIN ve fixní kombinaci  II.</t>
  </si>
  <si>
    <t>FORMOTEROL A BUDESONID</t>
  </si>
  <si>
    <t>Relvar Ellipta</t>
  </si>
  <si>
    <t>FORMOTEROL A BEKLOMETASON</t>
  </si>
  <si>
    <t>Flutiform</t>
  </si>
  <si>
    <t xml:space="preserve">ATECTURA BREEZHALER </t>
  </si>
  <si>
    <t>VZ-2024-000326</t>
  </si>
  <si>
    <t>VZ-2024-000327</t>
  </si>
  <si>
    <t xml:space="preserve">Dynamický nákupní systém na dodávky zboží určené pro dezinfekci </t>
  </si>
  <si>
    <t>33631600-8, 33741300-9</t>
  </si>
  <si>
    <t xml:space="preserve">Dynamický nákupní systém na dodávky laboratorních diagnostik </t>
  </si>
  <si>
    <t>SMLN-2024-618-100014</t>
  </si>
  <si>
    <t>SMLN-2024-617-100221</t>
  </si>
  <si>
    <t>účinnost od 11.7.2024</t>
  </si>
  <si>
    <t>SMLN-2024-617-100222
SMLN-2024-614-100024</t>
  </si>
  <si>
    <t>SMLN-2024-617-100223
SMLN-2024-614-100025</t>
  </si>
  <si>
    <t>SMLN-2024-617-100224
SMLN-2024-614-100026</t>
  </si>
  <si>
    <t>SMLN-2024-617-100225</t>
  </si>
  <si>
    <t>SMLN-2024-617-100226</t>
  </si>
  <si>
    <t>SMLN-2024-617-100228</t>
  </si>
  <si>
    <t>SMLN-2024-617-100229</t>
  </si>
  <si>
    <t>SMLN-2024-617-100230</t>
  </si>
  <si>
    <t>SMLN-2024-617-100231</t>
  </si>
  <si>
    <t>SMLN-2024-617-100232</t>
  </si>
  <si>
    <t>SMLN-2024-617-100227
SMLN-2024-614-100027</t>
  </si>
  <si>
    <t>SMLN-2024-617-100233</t>
  </si>
  <si>
    <t>nová VZ-2024-000333</t>
  </si>
  <si>
    <t>VZ-2024-000333</t>
  </si>
  <si>
    <t>Operační stoly II.</t>
  </si>
  <si>
    <t>LP ze skupiny inhalačních sympatomimetik 2024</t>
  </si>
  <si>
    <t>VZ-2024-000332-01</t>
  </si>
  <si>
    <t>VZ-2024-000332-02</t>
  </si>
  <si>
    <t>VZ-2024-000332-03</t>
  </si>
  <si>
    <t>Inhalační sympatomimetika I</t>
  </si>
  <si>
    <t>Inhalační sympatomimetika II</t>
  </si>
  <si>
    <t>SMLN-2024-617-100235
SMLN-2024-614-100028</t>
  </si>
  <si>
    <t>SMLN-2024-617-100236
SMLN-2024-614-100029</t>
  </si>
  <si>
    <t>SMLN-2024-617-100238
SMLN-2024-614-100030</t>
  </si>
  <si>
    <t>SMLN-2024-617-100239</t>
  </si>
  <si>
    <t>SMLN-2024-612-100048</t>
  </si>
  <si>
    <t>17.4.2024 zrušeno</t>
  </si>
  <si>
    <t>VZ-2024-000239</t>
  </si>
  <si>
    <t>Projektový manažer BIM a správce CDE – Novostavba budovy P4</t>
  </si>
  <si>
    <t>71318000-0</t>
  </si>
  <si>
    <t>VZ-2024-000335</t>
  </si>
  <si>
    <t>PD - Zastřešení komunikace před budovou A</t>
  </si>
  <si>
    <t>VZ-2024-000340</t>
  </si>
  <si>
    <t>Úprava vjezdu do areálu FNOL z ul. Hněvotínská</t>
  </si>
  <si>
    <t>45213300-6</t>
  </si>
  <si>
    <t>účinnost od  26.5.2024</t>
  </si>
  <si>
    <t>SMLN-2024-617-100240
SMLN-2024-614-100032</t>
  </si>
  <si>
    <t>SMLN-2024-617-100241</t>
  </si>
  <si>
    <t>SMLN-2024-617-100242
SMLN-2024-614-100033</t>
  </si>
  <si>
    <t>SMLN-2024-617-100243</t>
  </si>
  <si>
    <t>SMLN-2024-617-100244</t>
  </si>
  <si>
    <t>SMLN-2024-617-100245</t>
  </si>
  <si>
    <t>Chromservis s.r.o.</t>
  </si>
  <si>
    <t>VZ-2024-000345</t>
  </si>
  <si>
    <t>VZ-2024-000343</t>
  </si>
  <si>
    <t>Odvlhčení vybraných VZT zařízení, budova Z</t>
  </si>
  <si>
    <t>4.2.220.</t>
  </si>
  <si>
    <t>Větrání a dochlazení místností v budově P</t>
  </si>
  <si>
    <t>4.2.218.</t>
  </si>
  <si>
    <t>SMLN-2024-617-100246</t>
  </si>
  <si>
    <t>KORAKO  plus, s.r.o.</t>
  </si>
  <si>
    <t>SMLN-2024-617-100248</t>
  </si>
  <si>
    <t>SMLN-2024-617-100249</t>
  </si>
  <si>
    <t>GlaxoSmithKline, s.r.o.</t>
  </si>
  <si>
    <t>účinnost od 13.5.2024</t>
  </si>
  <si>
    <t>účinnost od 22.7.2024</t>
  </si>
  <si>
    <t>účinnnost od 1.8.2024</t>
  </si>
  <si>
    <t>Dezinfekční prostředky na plochy, předměty 2024</t>
  </si>
  <si>
    <t>VZ-2024-000349</t>
  </si>
  <si>
    <t>LP s obsahem molnupiraviru 2024</t>
  </si>
  <si>
    <t xml:space="preserve">Nástroje chirurgické pro Centrální operační sály </t>
  </si>
  <si>
    <t>nová VZ-2024-000313</t>
  </si>
  <si>
    <t>GETINGE Czech Republic s.r.o.</t>
  </si>
  <si>
    <t>účinnost od 1.6.2024</t>
  </si>
  <si>
    <t>SMLN-2024-617-100250</t>
  </si>
  <si>
    <t>SMLN-2024-617-100252</t>
  </si>
  <si>
    <t>18.4.2024 zrušeno</t>
  </si>
  <si>
    <t>22.4.2024 zrušeno</t>
  </si>
  <si>
    <t>VZ-2024-000357</t>
  </si>
  <si>
    <t>VZ-2024-000359</t>
  </si>
  <si>
    <t>SMLN-2024-617-100253</t>
  </si>
  <si>
    <t>SMLN-2024-617-100254</t>
  </si>
  <si>
    <t>SMLN-2024-617-100255</t>
  </si>
  <si>
    <t>SMLN-2024-617-100256</t>
  </si>
  <si>
    <t>SMLN-2024-612-100050</t>
  </si>
  <si>
    <t>SMLN-2024-617-100257</t>
  </si>
  <si>
    <t>SMLN-2024-617-100259</t>
  </si>
  <si>
    <t>SMLN-2024-617-100260</t>
  </si>
  <si>
    <t>SMLN-2024-617-100261</t>
  </si>
  <si>
    <t>SMLN-2024-617-100262</t>
  </si>
  <si>
    <t>SMLN-2024-617-100263</t>
  </si>
  <si>
    <t>SMLN-2024-617-100264</t>
  </si>
  <si>
    <t>SMLN-2024-617-100265</t>
  </si>
  <si>
    <t>SMLN-2024-618-100015</t>
  </si>
  <si>
    <t>8 let</t>
  </si>
  <si>
    <t>24.4.2024 zrušeno</t>
  </si>
  <si>
    <t>VZ-2024-000341</t>
  </si>
  <si>
    <t>Dodávky televizorů 2024</t>
  </si>
  <si>
    <t>VarioMedical Plus s.r.o.</t>
  </si>
  <si>
    <t>SMLN-2024-617-100266</t>
  </si>
  <si>
    <t>účinnnost od 30.7.2024</t>
  </si>
  <si>
    <t>účinnost od 30.7.2024</t>
  </si>
  <si>
    <t>VZ-2024-000361</t>
  </si>
  <si>
    <t>Kardiostimulátory pro fyziologickou trvalou kardiostimulaci</t>
  </si>
  <si>
    <t>VZ-2024-000362</t>
  </si>
  <si>
    <t>Výroba a montáž nábytku 04/2024</t>
  </si>
  <si>
    <t>39151000-5</t>
  </si>
  <si>
    <t>VZ-2024-000363</t>
  </si>
  <si>
    <t>Montáž ochranných prvků ve Fakultní nemocnici Olomouc</t>
  </si>
  <si>
    <t>44212381-3</t>
  </si>
  <si>
    <t>VZ-2024-000364</t>
  </si>
  <si>
    <t>Kotva vstřebatelná pro stabilizaci ramenního kloubu</t>
  </si>
  <si>
    <t>SMLN-2024-617-100268
SMLN-2024-616-100032</t>
  </si>
  <si>
    <t>VZ-2024-000366</t>
  </si>
  <si>
    <t>Monitory vitálních funkcí HOK</t>
  </si>
  <si>
    <t>SMLN-2024-617-100270
SMLN-2024-612-100051</t>
  </si>
  <si>
    <t>VZ-2024-000360</t>
  </si>
  <si>
    <t>Laboratorní váha</t>
  </si>
  <si>
    <t>2.3.791.</t>
  </si>
  <si>
    <t>2.3.712.</t>
  </si>
  <si>
    <t>SMLN-2024-617-100271
SMLN-2024-612-100052</t>
  </si>
  <si>
    <t>VZ-2024-000367</t>
  </si>
  <si>
    <t xml:space="preserve">Úprava ambulance I. interní kliniky, 1.np budova D1 </t>
  </si>
  <si>
    <t>SMLN-2024-617-100272
,SMLN-2024-612-100053</t>
  </si>
  <si>
    <t>SMLN-2024-617-100273
SMLN-2024-612-100054</t>
  </si>
  <si>
    <t>ADYTON s.r.o., (angl. Ltd, něm. GmbH, franc. S.R.L.A.)</t>
  </si>
  <si>
    <t>SMLN-2024-617-100274
SMLN-2024-612-100055</t>
  </si>
  <si>
    <t>Medirecord CZ s.r.o.</t>
  </si>
  <si>
    <t>SMLN-2024-617-100275
SMLN-2024-612-100056
SMLN-2024-617-100276</t>
  </si>
  <si>
    <t>SMLN-2024-617-100277
SMLN-2024-612-100057</t>
  </si>
  <si>
    <t>Electric Medical Services, s.r.o.</t>
  </si>
  <si>
    <t>VZ-2024-000368</t>
  </si>
  <si>
    <t>PD - SÚ budovy Q - zákrokový sál</t>
  </si>
  <si>
    <t>Steiner, s.r.o.</t>
  </si>
  <si>
    <t>nová VZ-2024-000371</t>
  </si>
  <si>
    <t>VZ-2024-000371</t>
  </si>
  <si>
    <t>SMLN-2024-617-100278
SMLN-2024-616-100031
SMLN-2024-612-100049</t>
  </si>
  <si>
    <t>VZ-2024-000372</t>
  </si>
  <si>
    <t>Flexibilní videoendoskop</t>
  </si>
  <si>
    <t>2.3.838.</t>
  </si>
  <si>
    <t>VZ-2024-000377</t>
  </si>
  <si>
    <t>nová VZ-2024-000377</t>
  </si>
  <si>
    <t>VZ-2024-000365</t>
  </si>
  <si>
    <t>35113400-3</t>
  </si>
  <si>
    <t>Záchranářské oblečení - Urgentní příjem</t>
  </si>
  <si>
    <t>SMLN-2024-617-100279</t>
  </si>
  <si>
    <t>SMLN-2024-617-100280</t>
  </si>
  <si>
    <t>SMLN-2024-617-100281</t>
  </si>
  <si>
    <t>SMLN-2024-617-100282</t>
  </si>
  <si>
    <t>SMLN-2024-612-100058</t>
  </si>
  <si>
    <t>účinnost od 26.7.2024</t>
  </si>
  <si>
    <t>nová VZ-2024-000380</t>
  </si>
  <si>
    <t>VZ-2024-000380</t>
  </si>
  <si>
    <t>Dodávky dectů</t>
  </si>
  <si>
    <t>SMLN-2024-612-100059</t>
  </si>
  <si>
    <t>SMLN-2024-617-100283</t>
  </si>
  <si>
    <t>2.5.2024 zrušeno</t>
  </si>
  <si>
    <t>SMLN-2024-617-100284
SMLN-2024-614-100034</t>
  </si>
  <si>
    <t>SMLN-2024-618-100016</t>
  </si>
  <si>
    <t>SMLN-2024-617-100285
SMLN-2024-614-100035</t>
  </si>
  <si>
    <t>3.5.2024 zrušení na podpis</t>
  </si>
  <si>
    <t>zrušeno - úprava podmínek</t>
  </si>
  <si>
    <t>SMLN-2024-617-100286</t>
  </si>
  <si>
    <t>VZ-2024-000381</t>
  </si>
  <si>
    <t>LP s obsahem alektinibu 2024</t>
  </si>
  <si>
    <t>Roztoky oplachové pro použití na operačních sálech 2024</t>
  </si>
  <si>
    <t>VZ-2024-000387</t>
  </si>
  <si>
    <t>LP s obsahem kyseliny aminolevulové 2024</t>
  </si>
  <si>
    <t>VZ-2024-000383</t>
  </si>
  <si>
    <t>LP s obsahem palbociklibu 2024</t>
  </si>
  <si>
    <t>VZ-2024-000388</t>
  </si>
  <si>
    <t>Antivirotika k léčbě infekce HCV 2024</t>
  </si>
  <si>
    <t>VZ-2024-000389</t>
  </si>
  <si>
    <t>LP s obsahem polatuzumab vedotinu 2024</t>
  </si>
  <si>
    <t>AMIDY 2024</t>
  </si>
  <si>
    <t>SMLN-2024-617-100287
SMLN-2024-612-100060</t>
  </si>
  <si>
    <t>SMLN-2024-617-100288
SMLN-2024-612-100061</t>
  </si>
  <si>
    <t>VZ-2024-000392</t>
  </si>
  <si>
    <t>Joflupan - (123) V09AB03 2024</t>
  </si>
  <si>
    <t>VZ-2024-000393</t>
  </si>
  <si>
    <t>33661300-4</t>
  </si>
  <si>
    <t>LP s obsahem brivaracetamu 2024</t>
  </si>
  <si>
    <t>VZ-2024-000378-01</t>
  </si>
  <si>
    <t>VZ-2024-000378-02</t>
  </si>
  <si>
    <t>VZ-2024-000378-03</t>
  </si>
  <si>
    <t>Irigační roztok I.</t>
  </si>
  <si>
    <t>Irigační roztok II.</t>
  </si>
  <si>
    <t>Irigační roztok III.</t>
  </si>
  <si>
    <t>TRIMEKAIN-HYDROCHLORID i.v</t>
  </si>
  <si>
    <t xml:space="preserve"> TRIMEKAIN-HYDROCHLORID, KOMBINACE</t>
  </si>
  <si>
    <t>LEVOBUPIVAKAIN</t>
  </si>
  <si>
    <t>ARTIKAIN, KOMBINACE</t>
  </si>
  <si>
    <t>VZ-2024-000385-01</t>
  </si>
  <si>
    <t>VZ-2024-000385-02</t>
  </si>
  <si>
    <t>VZ-2024-000385-03</t>
  </si>
  <si>
    <t>VZ-2024-000385-04</t>
  </si>
  <si>
    <t>TRIGON PLUS, s.r.o.</t>
  </si>
  <si>
    <t>SMLN-2024-617-100291
SMLN-2024-612-100062</t>
  </si>
  <si>
    <t>SMLN-2024-617-100292</t>
  </si>
  <si>
    <t>SMLN-2024-617-100293
SMLN-2024-612-100063</t>
  </si>
  <si>
    <t>VZ-2024-000382</t>
  </si>
  <si>
    <t>Systém neurostimulační SCS nedobíjitelný MRI s adaptivní stimulací</t>
  </si>
  <si>
    <t>SMLN-2024-617-100296
SMLN-2024-612-100064</t>
  </si>
  <si>
    <t>SMLN-2024-617-100299
SMLN-2024-612-100065</t>
  </si>
  <si>
    <t>SMLN-2024-617-100297
SMLN-2024-617-100298</t>
  </si>
  <si>
    <t>SMLN-2024-617-100300
SMLN-2024-612-100067</t>
  </si>
  <si>
    <t>SMLN-2024-617-100301
SMLN-2024-612-100068</t>
  </si>
  <si>
    <t>VZ-2024-000401</t>
  </si>
  <si>
    <t>Endosonografie II.</t>
  </si>
  <si>
    <t>2.3.784.</t>
  </si>
  <si>
    <t>VZ-2024-000402</t>
  </si>
  <si>
    <t>Stavební úpravy budovy C - porodní sály</t>
  </si>
  <si>
    <t>VZ-2024-000403</t>
  </si>
  <si>
    <t>Sfinkterotom ( papilotom) trojlumenný endoskopický I.</t>
  </si>
  <si>
    <t>VZ-2024-000395</t>
  </si>
  <si>
    <t>Balonek extrakční trojlumenný I.</t>
  </si>
  <si>
    <t>VZ-2024-000338</t>
  </si>
  <si>
    <t>Kancelářské židle 2024</t>
  </si>
  <si>
    <t>SMLN-2024-617-100307</t>
  </si>
  <si>
    <t>14.5.2024 zrušeno</t>
  </si>
  <si>
    <t>nová VZ-2024-000401</t>
  </si>
  <si>
    <t>SMLN-2024-618-100020</t>
  </si>
  <si>
    <t>BDC Development, s.r.o.</t>
  </si>
  <si>
    <t>VZ-2024-000406-01</t>
  </si>
  <si>
    <t>LP s obsahem kabozantinibu 2024</t>
  </si>
  <si>
    <t>VZ-2024-000406-02</t>
  </si>
  <si>
    <t>VZ-2024-000407</t>
  </si>
  <si>
    <t>LP s obsahem buprenorfinu 2024</t>
  </si>
  <si>
    <t>SMLN-2024-617-100311</t>
  </si>
  <si>
    <t>účinnost od 16.5.2024</t>
  </si>
  <si>
    <t>VZ-2024-000412</t>
  </si>
  <si>
    <t>Implantát oční drenážní glaukomový</t>
  </si>
  <si>
    <t>33184100-4, 33184600-9</t>
  </si>
  <si>
    <t>Ohnisková dezinfekce 2024</t>
  </si>
  <si>
    <t>VZ-2024-000334-02</t>
  </si>
  <si>
    <t>VZ-2024-000334-01</t>
  </si>
  <si>
    <t>Koncentrovaný tekutý přípravek s účinnou látkou bez obsahu chlóru</t>
  </si>
  <si>
    <t>Dezinfekční přípravek s obsahem chlóru ve formě tablet</t>
  </si>
  <si>
    <t>SMLN-2024-617-100313
SMLN-2024-614-100037</t>
  </si>
  <si>
    <t>VZ-2024-000405-01</t>
  </si>
  <si>
    <t>VZ-2024-000405-02</t>
  </si>
  <si>
    <t>VZ-2024-000405-03</t>
  </si>
  <si>
    <t>Diagnostika imunologie</t>
  </si>
  <si>
    <t>VZ-2024-000410</t>
  </si>
  <si>
    <t>Manometr automatický ke kontrole tlaku v obturační manžetě u ventilovaných pacientů</t>
  </si>
  <si>
    <t>R03AK LP ze skupiny inhalačních sympatomimetik 2024 II</t>
  </si>
  <si>
    <t>20.5.2024  zrušeno</t>
  </si>
  <si>
    <t>VZ-2024-000415</t>
  </si>
  <si>
    <t>Alcaserv Czech, a.s.</t>
  </si>
  <si>
    <t>SMLN-2024-617-100317</t>
  </si>
  <si>
    <t>SMLN-2024-617-100318</t>
  </si>
  <si>
    <t>SMLN-2024-617-100319</t>
  </si>
  <si>
    <t>SMLN-2024-617-100320</t>
  </si>
  <si>
    <t>VZ-2024-000416</t>
  </si>
  <si>
    <t>Pohlídal</t>
  </si>
  <si>
    <t>Notebooky 2024</t>
  </si>
  <si>
    <t>VZ-2024-000421</t>
  </si>
  <si>
    <t>XV. Luklův kardiologický den</t>
  </si>
  <si>
    <t>VZ-2024-000423-01</t>
  </si>
  <si>
    <t>VZ-2024-000423-02</t>
  </si>
  <si>
    <t>VZ-2024-000423-03</t>
  </si>
  <si>
    <t>Antiepileptika 2024</t>
  </si>
  <si>
    <t>Topiramat</t>
  </si>
  <si>
    <t>Lakosamid</t>
  </si>
  <si>
    <t>SMLN-2024-617-100321
SMLN-2024-614-100038</t>
  </si>
  <si>
    <t>VZ-2024-000235</t>
  </si>
  <si>
    <t>účinnost od 9.8.2024</t>
  </si>
  <si>
    <t>VZ-2024-000404</t>
  </si>
  <si>
    <t>Nástavce k TRS</t>
  </si>
  <si>
    <t>VZ-2024-000424</t>
  </si>
  <si>
    <t>VZ-2024-000422-01</t>
  </si>
  <si>
    <t>VZ-2024-000422-02</t>
  </si>
  <si>
    <t>LP s obsahem fentanylu 2024</t>
  </si>
  <si>
    <t>Fentanyl I.V.</t>
  </si>
  <si>
    <t>Fentanyl</t>
  </si>
  <si>
    <t>71240000-2, 71000000-8</t>
  </si>
  <si>
    <t>SMLN-2024-618-100021</t>
  </si>
  <si>
    <t>nejsou podklady</t>
  </si>
  <si>
    <t>VZ-2024-000428</t>
  </si>
  <si>
    <t>LP s obsahem rivaroxabanu 2024</t>
  </si>
  <si>
    <t>Levetiracetam</t>
  </si>
  <si>
    <t>SMLN-2024-617-100325
SMLN-2024-614-100039</t>
  </si>
  <si>
    <t>Bevespi aerosphere</t>
  </si>
  <si>
    <t>VZ-2024-000431</t>
  </si>
  <si>
    <t>VZ-2024-000400</t>
  </si>
  <si>
    <t>Automatický koagulometr</t>
  </si>
  <si>
    <t>VZ-2024-000432</t>
  </si>
  <si>
    <t>Oprava chodníku kolem budovy J</t>
  </si>
  <si>
    <t>nová VZ-2024-000424</t>
  </si>
  <si>
    <t>účinnost od 3.9.2024</t>
  </si>
  <si>
    <t>VZ-2024-000418</t>
  </si>
  <si>
    <t>Kazeta se sterilizačním mediem pro sterilizátor STERRAD 100NX</t>
  </si>
  <si>
    <t>VZ-2024-000434</t>
  </si>
  <si>
    <t>Vršek 2024</t>
  </si>
  <si>
    <t>27.5.2024 zrušeno</t>
  </si>
  <si>
    <t>VZ-2024-000433</t>
  </si>
  <si>
    <t>Shaver</t>
  </si>
  <si>
    <t>28.5.2024 zrušení na podpis</t>
  </si>
  <si>
    <t>DW STAVBY BRNO s.r.o.</t>
  </si>
  <si>
    <t>SMLN-2024-617-100326</t>
  </si>
  <si>
    <t>SMLN-2024-617-100327</t>
  </si>
  <si>
    <t>účinnost od 1.9.2024</t>
  </si>
  <si>
    <t>účinnnost od 1.9.2024</t>
  </si>
  <si>
    <t>SMLN-2024-617-100328</t>
  </si>
  <si>
    <t>smlouva VZ-2023-465-05</t>
  </si>
  <si>
    <t>22.5.2024 zrušeno</t>
  </si>
  <si>
    <t>VZ-2024-000435</t>
  </si>
  <si>
    <t>Protéza hlasová</t>
  </si>
  <si>
    <t>SMLN-2024-617-100329
SMLN-2024-616-100039</t>
  </si>
  <si>
    <t>SMLN-2024-618-100023</t>
  </si>
  <si>
    <t>SMLN-2024-617-100330
SMLN-2024-612-100069</t>
  </si>
  <si>
    <t>SMLN-2024-617-100331
SMLN-2024-612-100070</t>
  </si>
  <si>
    <t>SMLN-2024-617-100332
SMLN-2024-612-100071</t>
  </si>
  <si>
    <t>VZ-2024-000440</t>
  </si>
  <si>
    <t>Flexibilní laryngoskop</t>
  </si>
  <si>
    <t>2.3.848.</t>
  </si>
  <si>
    <t>SMLN-2024-617-100334
SMLN-2024-614-100040
SMLN-2024-616-100041</t>
  </si>
  <si>
    <t>nová VZ-2024-000332-03</t>
  </si>
  <si>
    <t>nová VZ-2024-000332-01</t>
  </si>
  <si>
    <t>nová VZ-2024-000332-02</t>
  </si>
  <si>
    <t>SMLN-2024-617-100336</t>
  </si>
  <si>
    <t>SMLN-2024-617-100337</t>
  </si>
  <si>
    <t>SMLN-2024-618-100024</t>
  </si>
  <si>
    <t>53 dodavatelů</t>
  </si>
  <si>
    <t>VZ-2024-000437-01</t>
  </si>
  <si>
    <t>VZ-2024-000437-02</t>
  </si>
  <si>
    <t>Enterální výživa 2024</t>
  </si>
  <si>
    <t>ENTERÁLNÍ VÝŽIVA I.</t>
  </si>
  <si>
    <t>ENTERÁLNÍ VÝŽIVA II.</t>
  </si>
  <si>
    <t>8 dodavatelů</t>
  </si>
  <si>
    <t>nová VZ-2024-000444</t>
  </si>
  <si>
    <t>VZ-2024-000444</t>
  </si>
  <si>
    <t>VZ-2024-000447</t>
  </si>
  <si>
    <t>PD – Novostavba budovy geriatrie</t>
  </si>
  <si>
    <t>1.2.117.</t>
  </si>
  <si>
    <t>4.6.2024 zrušeno</t>
  </si>
  <si>
    <t>SMLN-2024-617-100339</t>
  </si>
  <si>
    <t>SMLN-2024-617-100340</t>
  </si>
  <si>
    <t>Vyšetření autoprotilátek při podezření na celiakii</t>
  </si>
  <si>
    <t>Vyšetření autoprotilátek při podezření na systémová autoimunitní onemocnění a protilátky proti annexinu V.</t>
  </si>
  <si>
    <t>Vyšetření autoprotilátek u vaskulitid, glomerulonefritid, zánětl. střevních onemocnění, imunokomplexových stavů</t>
  </si>
  <si>
    <t>SMLN-2024-613-100019</t>
  </si>
  <si>
    <t>VZ-2024-000449</t>
  </si>
  <si>
    <t>LP s obsahem busulfanu II. 2024</t>
  </si>
  <si>
    <t>nová VZ-2024-000449</t>
  </si>
  <si>
    <t>LP s obsahem efgartigimodu alfa II.   2024</t>
  </si>
  <si>
    <t>VZ-2024-000426</t>
  </si>
  <si>
    <t>LP s obsahem teriflunomidu 2024</t>
  </si>
  <si>
    <t>VZ-2024-000454</t>
  </si>
  <si>
    <t>Kryosprej</t>
  </si>
  <si>
    <t>2.2.639.</t>
  </si>
  <si>
    <t>SMLN-2024-618-100026</t>
  </si>
  <si>
    <t>6.6.2024 zrušeno</t>
  </si>
  <si>
    <t>zrušeno - úpravy dodacích podmínek</t>
  </si>
  <si>
    <t>VZ-2024-000374</t>
  </si>
  <si>
    <t>Vybudování informační a komunikační platformy pro telemedicínu Telemedicínského centra</t>
  </si>
  <si>
    <t>48000000-8 </t>
  </si>
  <si>
    <t>VZ-2024-000456</t>
  </si>
  <si>
    <t>Upgrade mamografie</t>
  </si>
  <si>
    <t>2.2.634.</t>
  </si>
  <si>
    <t>SMLN-2024-617-100342</t>
  </si>
  <si>
    <t>SMLN-2024-617-100343</t>
  </si>
  <si>
    <t>SMLN-2024-617-100344</t>
  </si>
  <si>
    <t>SMLN-2024-617-100345</t>
  </si>
  <si>
    <t>VZ-2024-000346</t>
  </si>
  <si>
    <t>LG -DINEX spol. s r.o.</t>
  </si>
  <si>
    <t>VZ-2024-000464</t>
  </si>
  <si>
    <t>Konference Veřejné zakázky ve zdravotnictví 2024</t>
  </si>
  <si>
    <t>VZ-2024-000430</t>
  </si>
  <si>
    <t>VZ-2024-000455</t>
  </si>
  <si>
    <t>Kombinovaný přístroj el. léčba + UZV</t>
  </si>
  <si>
    <t>2.3.841.</t>
  </si>
  <si>
    <t>VZ-2024-000450-01</t>
  </si>
  <si>
    <t>VZ-2024-000450-02</t>
  </si>
  <si>
    <t>VZ-2024-000450-03</t>
  </si>
  <si>
    <t>VZ-2024-000450-04</t>
  </si>
  <si>
    <t>Stengrafty vaskulární</t>
  </si>
  <si>
    <t>Balónexpandibilní stentgrafty vaskulární</t>
  </si>
  <si>
    <t>VZ-2024-000465</t>
  </si>
  <si>
    <t>Pronájem prostor - reprezentační ples FNOL 2025</t>
  </si>
  <si>
    <t>nová VZ-2024-000465</t>
  </si>
  <si>
    <r>
      <rPr>
        <b/>
        <sz val="11"/>
        <color rgb="FFFF0000"/>
        <rFont val="Calibri"/>
        <family val="2"/>
        <charset val="238"/>
        <scheme val="minor"/>
      </rPr>
      <t>VZ-2024-000115</t>
    </r>
    <r>
      <rPr>
        <sz val="11"/>
        <color theme="1"/>
        <rFont val="Calibri"/>
        <family val="2"/>
        <charset val="238"/>
        <scheme val="minor"/>
      </rPr>
      <t xml:space="preserve">
VZ-2024-000377</t>
    </r>
  </si>
  <si>
    <t>Johnson  &amp; Johnson, s.r.o.</t>
  </si>
  <si>
    <t>BULLETIN .CZ s.r.o.</t>
  </si>
  <si>
    <t>SMLN-2024-618-100027</t>
  </si>
  <si>
    <t>SMLN-2024-618-100028</t>
  </si>
  <si>
    <t>BIM Consulting s.r.o.</t>
  </si>
  <si>
    <t>VZ-2024-000469</t>
  </si>
  <si>
    <t>Vestavba do skladovacího kontejneru</t>
  </si>
  <si>
    <t>2.2.641</t>
  </si>
  <si>
    <t>VZ-2024-000468-01</t>
  </si>
  <si>
    <t>VZ-2024-000468-02</t>
  </si>
  <si>
    <t>VZ-2024-000468-03</t>
  </si>
  <si>
    <t>Farmaceutická lednice pro Oční kliniku</t>
  </si>
  <si>
    <t>Laboratorní mrazák pro HOK</t>
  </si>
  <si>
    <t>Laboratorní lednice pro HOK</t>
  </si>
  <si>
    <t>2.3.839</t>
  </si>
  <si>
    <t>Výroba a montáž nábytku - porodní sály</t>
  </si>
  <si>
    <t>VZ-2024-000472</t>
  </si>
  <si>
    <t>SMLN-2024-612-100072</t>
  </si>
  <si>
    <t>VZ-2024-000475</t>
  </si>
  <si>
    <t>Zajištění živých přenosů - XV. Luklův den 2024</t>
  </si>
  <si>
    <t>SMLN-2024-617-100349
SMLN-2024-614-100042
SMLN-2024-616-100048</t>
  </si>
  <si>
    <t>17.6.2024 zrušení na podpis</t>
  </si>
  <si>
    <t>7.6.2024 zrušeno</t>
  </si>
  <si>
    <t>SMLN-2024-617-100350</t>
  </si>
  <si>
    <t>SMLN-2024-617-100351</t>
  </si>
  <si>
    <t>SMLN-2024-617-100352</t>
  </si>
  <si>
    <t>VZ-2024-000288</t>
  </si>
  <si>
    <t>Nákup sanitních vozidel - DNR typu A2</t>
  </si>
  <si>
    <t>VZ-2024-000457</t>
  </si>
  <si>
    <t xml:space="preserve">Dodávka pneumatik pro osobní, dodávková a nákladní vozidla FNOL  </t>
  </si>
  <si>
    <t>VZ-2024-000445</t>
  </si>
  <si>
    <t>Pumpa proplachovací dvoukomorová včetně spotřebního materiálu</t>
  </si>
  <si>
    <t>SMLN-2024-617-100353</t>
  </si>
  <si>
    <t>SMLN-2024-617-100354</t>
  </si>
  <si>
    <t>SMLN-2024-617-100355</t>
  </si>
  <si>
    <t>SMLN-2024-617-100356</t>
  </si>
  <si>
    <t>Aricoma Systems a.s.</t>
  </si>
  <si>
    <t>VZ-2024-000482-01</t>
  </si>
  <si>
    <t>VZ-2024-000482-02</t>
  </si>
  <si>
    <t>VZ-2024-000482-03</t>
  </si>
  <si>
    <t>Stenty biliární  plastové</t>
  </si>
  <si>
    <t>VZ-2024-000483</t>
  </si>
  <si>
    <t>Tekuté embolizační činidlo II.</t>
  </si>
  <si>
    <t>nová VZ-2024-000483</t>
  </si>
  <si>
    <t>VZ-2024-000470</t>
  </si>
  <si>
    <t>LP s obsahem nivolumabu 2024</t>
  </si>
  <si>
    <t>SMLN-2024-617-100359</t>
  </si>
  <si>
    <t>SMLN-2024-612-100073</t>
  </si>
  <si>
    <r>
      <t xml:space="preserve">VZ-2024-000122 zrušeno
</t>
    </r>
    <r>
      <rPr>
        <sz val="11"/>
        <rFont val="Calibri"/>
        <family val="2"/>
        <charset val="238"/>
        <scheme val="minor"/>
      </rPr>
      <t>VZ-2024-000483</t>
    </r>
  </si>
  <si>
    <t>18.6.2024 zrušeno</t>
  </si>
  <si>
    <t>nová VZ-2024-000484</t>
  </si>
  <si>
    <t>Samoexpandibilní stent vaskulární II.</t>
  </si>
  <si>
    <t>VZ-2024-000484</t>
  </si>
  <si>
    <r>
      <t xml:space="preserve">VZ-2024-000151 zrušeno
</t>
    </r>
    <r>
      <rPr>
        <sz val="11"/>
        <rFont val="Calibri"/>
        <family val="2"/>
        <charset val="238"/>
        <scheme val="minor"/>
      </rPr>
      <t>VZ-2024-000484</t>
    </r>
  </si>
  <si>
    <t>VZ-2024-000489</t>
  </si>
  <si>
    <t>Antidekubitní hybridní matrace</t>
  </si>
  <si>
    <t>Gm5 s.r.o.</t>
  </si>
  <si>
    <t>SMLN-2024-617-100361
SMLN-2024-612-100074</t>
  </si>
  <si>
    <t>SMLN-2024-617-100362
SMLN-2024-614-100043</t>
  </si>
  <si>
    <t>SMLN-2024-617-100363
SMLN-2024-614-100044</t>
  </si>
  <si>
    <t>SMLN-2024-617-100364</t>
  </si>
  <si>
    <t>SMLN-2024-617-100365</t>
  </si>
  <si>
    <t>VZ-2024-000479</t>
  </si>
  <si>
    <t>LP s obsahem kanabidiolu 2024</t>
  </si>
  <si>
    <t>VZ-2024-000480</t>
  </si>
  <si>
    <t xml:space="preserve">LP s obsahem defibrotidu 2024 </t>
  </si>
  <si>
    <t>33100000-1, 39143112-4</t>
  </si>
  <si>
    <t>VZ-2024-000452</t>
  </si>
  <si>
    <t>Dodání a montáž gastro vybavení kuchyně 2024</t>
  </si>
  <si>
    <t>VZ-2024-000481</t>
  </si>
  <si>
    <t>LP s obsahem zanubrutinibu 2024</t>
  </si>
  <si>
    <t>VZ-2024-000485</t>
  </si>
  <si>
    <t>Lidský inhibitor alfa1 - proteinasy 2024</t>
  </si>
  <si>
    <t>VZ-2024-000488</t>
  </si>
  <si>
    <t>18F Fluoromisonidazolum 2024</t>
  </si>
  <si>
    <t>LP s obsahem omeprazolu 2024</t>
  </si>
  <si>
    <t>VZ-2024-000492</t>
  </si>
  <si>
    <t>LP s obsahem alteplasy 2024</t>
  </si>
  <si>
    <t>VZ-2024-000490-01</t>
  </si>
  <si>
    <t>VZ-2024-000490-02</t>
  </si>
  <si>
    <t>VZ-2024-000490-03</t>
  </si>
  <si>
    <t>LP s obsahem pantoprazolu 2024</t>
  </si>
  <si>
    <t>PANTOPRAZOL i.v.</t>
  </si>
  <si>
    <t>PANTOPRAZOL vázaný na lékařský předpis</t>
  </si>
  <si>
    <t>PANTOPRAZOL volně prodejný</t>
  </si>
  <si>
    <t>OMEPRAZOL i.v.</t>
  </si>
  <si>
    <t>OMEPRAZOL vázaný na lékařský předpis</t>
  </si>
  <si>
    <t>OMEPRAZOL volně prodejný</t>
  </si>
  <si>
    <t>VZ-2024-000495-01</t>
  </si>
  <si>
    <t>VZ-2024-000495-02</t>
  </si>
  <si>
    <t>VZ-2024-000495-03</t>
  </si>
  <si>
    <t>VZ-2024-000356</t>
  </si>
  <si>
    <t xml:space="preserve">Mikrokatétry k periferním vaskulárním intervencím I. </t>
  </si>
  <si>
    <t>VZ-2024-000474</t>
  </si>
  <si>
    <t>Redukční ventily kyslíku, regulátory podtlaku s bezpečnostními lahvemi proti přesátí, průtokoměry kyslíku a zvlhčovače k průtokoměru kyslíku</t>
  </si>
  <si>
    <t>VZ-2024-000386</t>
  </si>
  <si>
    <t>Společné datové prostředí - CDE</t>
  </si>
  <si>
    <t>48411000-2</t>
  </si>
  <si>
    <t>VZ-2024-000496-01</t>
  </si>
  <si>
    <t>VZ-2024-000496-02</t>
  </si>
  <si>
    <t>VZ-2024-000496-03</t>
  </si>
  <si>
    <t>Sterilizační technika</t>
  </si>
  <si>
    <t>Horkovzdušný sterilizátor OKB</t>
  </si>
  <si>
    <t>2.3.817.</t>
  </si>
  <si>
    <t>2.3.847.</t>
  </si>
  <si>
    <t>2.3.797.</t>
  </si>
  <si>
    <t>SMLN-2024-617-100373</t>
  </si>
  <si>
    <t>SMLN-2024-617-100374</t>
  </si>
  <si>
    <t>SMLN-2024-612-100078</t>
  </si>
  <si>
    <t>GEMO, OHLA ŽS, HOCHTIEF</t>
  </si>
  <si>
    <t>VZ-2024-000497</t>
  </si>
  <si>
    <t>Oprava schodiště u jižního štítu budovy D1</t>
  </si>
  <si>
    <t>SMLN-2024-618-100030</t>
  </si>
  <si>
    <t>VZ-2024-000487</t>
  </si>
  <si>
    <t>LP s obsahem bevacizumabu 2024</t>
  </si>
  <si>
    <t>SMLN-2024-617-100375</t>
  </si>
  <si>
    <t>VZ-2024-000493</t>
  </si>
  <si>
    <t xml:space="preserve">Rekonstrukce kanalizace u budov U, Q, S, E teoretické ústavy v areálu FNOL </t>
  </si>
  <si>
    <t>SMLN-2024-612-100080</t>
  </si>
  <si>
    <t>VZ-2024-000500</t>
  </si>
  <si>
    <t>1.2.118.</t>
  </si>
  <si>
    <t>VZ-2024-000502</t>
  </si>
  <si>
    <t>Set rouškovací základní oční sterilní STANDARD</t>
  </si>
  <si>
    <t>33141620-2, 33140000-3</t>
  </si>
  <si>
    <t>SMLN-2024-618-100031
SMLN-2024-618-100032
SMLN-2024-618-100033</t>
  </si>
  <si>
    <t>SMLN-2024-617-100376</t>
  </si>
  <si>
    <t>PD - SÚ budovy Q - zákrokový sál II</t>
  </si>
  <si>
    <t>Sdružení Philips a EDOMED</t>
  </si>
  <si>
    <t>VZ-2024-000351-01</t>
  </si>
  <si>
    <t>VZ-2024-000351-02</t>
  </si>
  <si>
    <t>Nástroje chirurgické - specifikováno dle katalogu Aesculap Surgical Instruments</t>
  </si>
  <si>
    <t>Nástroje chirurgické - specifikováno dle katalogu MEDIN, a.s.</t>
  </si>
  <si>
    <t>27.6.2024 zrušení na podpis</t>
  </si>
  <si>
    <t>UNIPRO - ALPHA C.S., spol. s r.o.</t>
  </si>
  <si>
    <t>VZ-2024-000458</t>
  </si>
  <si>
    <t>Diagnostika a software pro detekci somatických a germinálních sekvenčních variant</t>
  </si>
  <si>
    <t>33694000-1
72316000-3
48814000-7</t>
  </si>
  <si>
    <t>zrušeno - bez hodnotitelné nabídky - špatné zadání</t>
  </si>
  <si>
    <t>nová VZ-2024-000509</t>
  </si>
  <si>
    <t>VZ-2024-000509</t>
  </si>
  <si>
    <t>LP s obsahem ivakaftoru II. 2024</t>
  </si>
  <si>
    <t>VZ-2024-000514</t>
  </si>
  <si>
    <t>Jodid - (131I) sodný 2024</t>
  </si>
  <si>
    <t>nová VZ-2024-000504</t>
  </si>
  <si>
    <t>VZ-2024-000504</t>
  </si>
  <si>
    <t>Joflupan - (123I) V09AB03 2024</t>
  </si>
  <si>
    <t>VZ-2024-000503</t>
  </si>
  <si>
    <t>LP S OBSAHEM EPOPROSTENOLU 2024</t>
  </si>
  <si>
    <t>VZ-2024-000515</t>
  </si>
  <si>
    <t>Papír na vyšetřovací lůžka</t>
  </si>
  <si>
    <t>33772000-2, 33140000-3</t>
  </si>
  <si>
    <t>Viamed s.r.o.</t>
  </si>
  <si>
    <t>VZ-2024-000409</t>
  </si>
  <si>
    <t>ubrousky papírové  33x33 cm, ubrousky TORK</t>
  </si>
  <si>
    <t>VZ-2024-000344</t>
  </si>
  <si>
    <t>tiskopisy a formuláře</t>
  </si>
  <si>
    <t>Crha tiskárna</t>
  </si>
  <si>
    <t>Marková Věra</t>
  </si>
  <si>
    <t>VZ-2024-000397</t>
  </si>
  <si>
    <t>Domácí potřeby</t>
  </si>
  <si>
    <t>VZ-2024-000350</t>
  </si>
  <si>
    <t>Drobné elektrospotřebiče</t>
  </si>
  <si>
    <t>JMK elektro, s.r.o</t>
  </si>
  <si>
    <t>VZ-2024-000398</t>
  </si>
  <si>
    <t>Boxy víceúčelové</t>
  </si>
  <si>
    <t>VZ-2024-000396</t>
  </si>
  <si>
    <t>Koše odpadkové</t>
  </si>
  <si>
    <t>VZ-2024-000094</t>
  </si>
  <si>
    <t>Nádobí-část - Stravovací provoz (roční smlouva)</t>
  </si>
  <si>
    <t>MULTI CZ, s.r.o.</t>
  </si>
  <si>
    <t>nová VZ-2024-000500</t>
  </si>
  <si>
    <t>VZ-2024-000513</t>
  </si>
  <si>
    <t>SPECT/CT</t>
  </si>
  <si>
    <t>2.3.849.</t>
  </si>
  <si>
    <t>SMLN-2024-617-100380</t>
  </si>
  <si>
    <t>2.7.2024 zrušeno</t>
  </si>
  <si>
    <t>SMLN-2024-617-100381</t>
  </si>
  <si>
    <t>SMLN-2024-617-100382</t>
  </si>
  <si>
    <t>SMLN-2024-617-100383</t>
  </si>
  <si>
    <t>VZ-2024-000519</t>
  </si>
  <si>
    <t>LP s obsahem pirtobrutinibu 2024</t>
  </si>
  <si>
    <t>SMLN-2024-617-100384</t>
  </si>
  <si>
    <t>VZ-2024-000518-01</t>
  </si>
  <si>
    <t>VZ-2024-000518-02</t>
  </si>
  <si>
    <t>VZ-2024-000518-03</t>
  </si>
  <si>
    <t>Kličky pro polypektomii  jednorázové hybridní</t>
  </si>
  <si>
    <t>Kličky k diatermické polypektomii, jednorázové monofilamentní</t>
  </si>
  <si>
    <t>Kličky k diatermické polypektomii, jednorázové pletené</t>
  </si>
  <si>
    <t>VZ-2024-000520</t>
  </si>
  <si>
    <t>MR kompatibilní neurofyziologický systém</t>
  </si>
  <si>
    <t>2.2.654.</t>
  </si>
  <si>
    <t>HONA INVESTMENT s.r.o.</t>
  </si>
  <si>
    <t>SMLN-2024-612-100081
SMLN-2024-612-100082
SMLN-2024-617-100385</t>
  </si>
  <si>
    <t>VZ-2024-000523</t>
  </si>
  <si>
    <t>Jícnové stenty</t>
  </si>
  <si>
    <t>Blažek Erik</t>
  </si>
  <si>
    <t>4.7.2024 zrušení na podpis</t>
  </si>
  <si>
    <t>účinnost od 16.10.2024</t>
  </si>
  <si>
    <t>VZ-2024-000521</t>
  </si>
  <si>
    <t>VZ-2024-000249</t>
  </si>
  <si>
    <t>Šišma</t>
  </si>
  <si>
    <t xml:space="preserve">Přijímání platebních karet při placení zboží a služeb </t>
  </si>
  <si>
    <t>66172000-6</t>
  </si>
  <si>
    <t>4.7.2024 zrušeno</t>
  </si>
  <si>
    <t>SMLN-2024-618-100034</t>
  </si>
  <si>
    <t>VZ-2024-000526</t>
  </si>
  <si>
    <r>
      <t>LP s obsahem ozanimodu 2024  -</t>
    </r>
    <r>
      <rPr>
        <b/>
        <sz val="11"/>
        <color theme="1"/>
        <rFont val="Calibri"/>
        <family val="2"/>
        <charset val="238"/>
        <scheme val="minor"/>
      </rPr>
      <t xml:space="preserve">  sdružený nákup</t>
    </r>
  </si>
  <si>
    <r>
      <t xml:space="preserve">LP s obsahem nirmatrelvitru/ritonaviru 2024 </t>
    </r>
    <r>
      <rPr>
        <b/>
        <sz val="11"/>
        <color theme="1"/>
        <rFont val="Calibri"/>
        <family val="2"/>
        <charset val="238"/>
        <scheme val="minor"/>
      </rPr>
      <t>- sdružený nákup</t>
    </r>
  </si>
  <si>
    <t>VZ-2024-000517</t>
  </si>
  <si>
    <t>Tablet Thermoline a jeho příslušenství</t>
  </si>
  <si>
    <t>39221110-1</t>
  </si>
  <si>
    <t>VZ-2024-000531</t>
  </si>
  <si>
    <t>VZ-2024-000532</t>
  </si>
  <si>
    <t xml:space="preserve">Větrání laboratoře, budova I </t>
  </si>
  <si>
    <t>Úprava zdroje chladu, budova Y</t>
  </si>
  <si>
    <t>42510000-4</t>
  </si>
  <si>
    <t>4.2.222.</t>
  </si>
  <si>
    <t>4.2.208.</t>
  </si>
  <si>
    <t>42520000-7</t>
  </si>
  <si>
    <t>VZ-2024-000535</t>
  </si>
  <si>
    <t>VZ-2024-000534</t>
  </si>
  <si>
    <t>Elektrokauter</t>
  </si>
  <si>
    <t>2.2.638.</t>
  </si>
  <si>
    <t>VZ-2024-000529</t>
  </si>
  <si>
    <t>Přístrojová lymfodrenáž</t>
  </si>
  <si>
    <t>2.2.644.</t>
  </si>
  <si>
    <t>VZ-2024-000528</t>
  </si>
  <si>
    <t>VZ-2024-000527</t>
  </si>
  <si>
    <t>Nástroje chirurgické pro Ortopedickou kliniku</t>
  </si>
  <si>
    <t>SMLN-2024-617-100386</t>
  </si>
  <si>
    <t>PNEUCENTRUM N &amp; N s.r.o.</t>
  </si>
  <si>
    <t>Intersyss s.r.o.</t>
  </si>
  <si>
    <t>SMLN-2024-617-100387
SMLN-2024-612-100083</t>
  </si>
  <si>
    <t>SMLN-2024-612-100084</t>
  </si>
  <si>
    <t>SMLN-2024-618-100038</t>
  </si>
  <si>
    <t>SMLN-2024-612-100085
SMLN-2024-612-100086
SMLN-2024-612-100087</t>
  </si>
  <si>
    <t>nová VZ-2024-000537</t>
  </si>
  <si>
    <t>VZ-2024-000537</t>
  </si>
  <si>
    <t>Manometr automatický ke kontrole tlaku v obturační manžetě u ventilovaných pacientů II.</t>
  </si>
  <si>
    <t>SMLN-2024-617-100390</t>
  </si>
  <si>
    <t>SMLN-2024-617-100391</t>
  </si>
  <si>
    <t>VZ-2024-000538</t>
  </si>
  <si>
    <t>Budova F - výměna oken</t>
  </si>
  <si>
    <t>SMLN-2024-617-100392
SMLN-2024-614-100045</t>
  </si>
  <si>
    <t>SMLN-2024-617-100393
SMLN-2024-614-100046</t>
  </si>
  <si>
    <t>SMLN-2024-617-100394
SMLN-2024-614-100047</t>
  </si>
  <si>
    <t>SMLN-2024-617-100395
SMLN-2024-614-100048</t>
  </si>
  <si>
    <t>SMLN-2024-617-100396
SMLN-2024-614-100049</t>
  </si>
  <si>
    <t>VZ-2024-000541</t>
  </si>
  <si>
    <t>Nástavce k TRS II.</t>
  </si>
  <si>
    <t>VZ-2024-000542</t>
  </si>
  <si>
    <t>VZ-2024-000543</t>
  </si>
  <si>
    <t>Oblečení operační jednorázové (haleny a kalhoty)</t>
  </si>
  <si>
    <t>33199000-1</t>
  </si>
  <si>
    <t>39550000-2, 33140000-3</t>
  </si>
  <si>
    <t>Rouška bariérová absorpční v roli</t>
  </si>
  <si>
    <t>nová VZ-2024-000544</t>
  </si>
  <si>
    <t>VZ-2024-000544</t>
  </si>
  <si>
    <t>LP s obsahem efgartigimodu alfa III. 2024</t>
  </si>
  <si>
    <t>SMLN-2024-617-100397</t>
  </si>
  <si>
    <t>SMLN-2024-617-100398</t>
  </si>
  <si>
    <t>SMLN-2024-617-100399</t>
  </si>
  <si>
    <t>SMLN-2024-617-100400
SMLN-2024-616-100052</t>
  </si>
  <si>
    <t>VZ-2024-000540</t>
  </si>
  <si>
    <t>Pláště návštěvnické jednorázové</t>
  </si>
  <si>
    <t>VZ-2024-000549</t>
  </si>
  <si>
    <t>Drenážní katétry pro zevní drenáže žlučových cest</t>
  </si>
  <si>
    <t>VZ-2024-000539</t>
  </si>
  <si>
    <t>Servis RTG přístrrojů výrobce Philips</t>
  </si>
  <si>
    <t>VZ-2024-000552</t>
  </si>
  <si>
    <t>Projektový manažer BIM a správce CDE – Novostavba budovy geriatrie</t>
  </si>
  <si>
    <t>VZ-2024-000550</t>
  </si>
  <si>
    <t>Diagnostika digitální MLPA</t>
  </si>
  <si>
    <t>VZ-2024-000511</t>
  </si>
  <si>
    <t>Dodávka diagnostických monitorů pro RTG</t>
  </si>
  <si>
    <t>3.2.87</t>
  </si>
  <si>
    <t>VZ-2024-000546</t>
  </si>
  <si>
    <t>Diagnostika pro vyšetření autoprotilátek</t>
  </si>
  <si>
    <t>VZ-2024-000551</t>
  </si>
  <si>
    <t>Magistraliter příprava - polotuhé formy 2024</t>
  </si>
  <si>
    <t>VZ-2024-000556</t>
  </si>
  <si>
    <t>Infuzní technika II.</t>
  </si>
  <si>
    <t>VZ-2024-000572</t>
  </si>
  <si>
    <t>Křeslo ke stimulaci panevního dna</t>
  </si>
  <si>
    <t>2.2.643.</t>
  </si>
  <si>
    <t>VZ-2024-000573</t>
  </si>
  <si>
    <t>Vysokofrekvenční radioterapie</t>
  </si>
  <si>
    <t>2.2.646.</t>
  </si>
  <si>
    <t>VZ-2024-000574</t>
  </si>
  <si>
    <t>Vysokoindukční systém</t>
  </si>
  <si>
    <t>2.2.649.</t>
  </si>
  <si>
    <t>VZ-2024-000559</t>
  </si>
  <si>
    <t>LP s obsahem anifrolumabu 2024</t>
  </si>
  <si>
    <t>VZ-2024-000560</t>
  </si>
  <si>
    <t>VZ-2024-000571</t>
  </si>
  <si>
    <t>Fokusovaná rázová vlna</t>
  </si>
  <si>
    <t>2.2.648.</t>
  </si>
  <si>
    <t>VZ-2024-000561</t>
  </si>
  <si>
    <t>LP s obsahem foskarnetu 2024</t>
  </si>
  <si>
    <t>VZ-2024-000562</t>
  </si>
  <si>
    <r>
      <t xml:space="preserve">LP s obsahem luspaterceptu 2024  - 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</si>
  <si>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VZ-2024-000563</t>
  </si>
  <si>
    <t>LP s obsahem selperkatinibu 2024</t>
  </si>
  <si>
    <t>VZ-2024-000564</t>
  </si>
  <si>
    <t>Statimové vyšetření virů HCV, HBV, HIV s výpůjčkou analyzátoru</t>
  </si>
  <si>
    <t>VZ-2024-000566</t>
  </si>
  <si>
    <r>
      <t xml:space="preserve">LP s obsahem kabotegraviru 2024 -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</si>
  <si>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38434000-6, 33694000-1</t>
  </si>
  <si>
    <t>VZ-2024-000568</t>
  </si>
  <si>
    <t>LP s obsahem fampiridinu 2024</t>
  </si>
  <si>
    <t>VZ-2024-000569</t>
  </si>
  <si>
    <t>VZ-2024-000570</t>
  </si>
  <si>
    <t>C-rameno</t>
  </si>
  <si>
    <t>2.3.850.</t>
  </si>
  <si>
    <t>SMLN-2024-617-100406</t>
  </si>
  <si>
    <t>SMLN-2024-617-100401</t>
  </si>
  <si>
    <t>SMLN-2024-617-100402</t>
  </si>
  <si>
    <t>SMLN-2024-617-100403</t>
  </si>
  <si>
    <t>SMLN-2024-617-100404</t>
  </si>
  <si>
    <t>SMLN-2024-617-100410</t>
  </si>
  <si>
    <t>SMLN-2024-617-100411</t>
  </si>
  <si>
    <t>SMLN-2024-617-100407</t>
  </si>
  <si>
    <t>22.7.2024 zrušeno</t>
  </si>
  <si>
    <t>SMLN-2024-617-100412</t>
  </si>
  <si>
    <t>SMLN-2024-617-100413
SMLN-2024-614-100050</t>
  </si>
  <si>
    <t>SMLN-2024-617-100414</t>
  </si>
  <si>
    <t>Z+M Partner , spol. s r.o.</t>
  </si>
  <si>
    <t>účinnost od 25.11.2024</t>
  </si>
  <si>
    <t>VZ-2024-000548</t>
  </si>
  <si>
    <t>Diagnostika pro HLA genotypizaci</t>
  </si>
  <si>
    <t>33694000-1, 48814000-7</t>
  </si>
  <si>
    <t>účinnost od 13.9.2024</t>
  </si>
  <si>
    <t>účinnost od 29.11.2024</t>
  </si>
  <si>
    <t>VZ-2024-000578</t>
  </si>
  <si>
    <t>LP s obsahem  sugammadexu 2024</t>
  </si>
  <si>
    <t>nová VZ-2024-000541</t>
  </si>
  <si>
    <t>SMLN-2024-617-100405</t>
  </si>
  <si>
    <t>SMLN-2024-618-100039</t>
  </si>
  <si>
    <t>SMLN-2024-618-100040</t>
  </si>
  <si>
    <t>SMLN-2024-618-100041</t>
  </si>
  <si>
    <t>MIZ  - BMH OLOMOUC</t>
  </si>
  <si>
    <t>SMLN-2024-617-100415
SMLN-2024-612-100092</t>
  </si>
  <si>
    <t>SMLN-2024-617-100416
SMLN-2024-614-100051
SMLN-2024-616-100055</t>
  </si>
  <si>
    <t>SMLN-2024-617-100417
SMLN-2024-614-100052
SMLN-2024-616-100056</t>
  </si>
  <si>
    <t>SMLN-2024-617-100419</t>
  </si>
  <si>
    <t>16.7.2024 zrušeno</t>
  </si>
  <si>
    <t>ZD na podpis</t>
  </si>
  <si>
    <t>LP s obsahem tukatinibu 2024</t>
  </si>
  <si>
    <t>nová VZ-2024-000556</t>
  </si>
  <si>
    <t>nová VZ-2024-000567</t>
  </si>
  <si>
    <t>VZ-2024-000567</t>
  </si>
  <si>
    <t>FN Olomouc – Totální endoprotézy kyčelního kloubu</t>
  </si>
  <si>
    <t>23.7.2024 zrušeno</t>
  </si>
  <si>
    <t>VZ-2024-000565</t>
  </si>
  <si>
    <t>LP s obsahem mavakamtenu 2024</t>
  </si>
  <si>
    <t>VZ-2024-000581</t>
  </si>
  <si>
    <t>LP s obsahem liraglutidu 2024</t>
  </si>
  <si>
    <t>VZ-2024-000583</t>
  </si>
  <si>
    <t>Kardiostimulátor bezelektrodový AV</t>
  </si>
  <si>
    <t>nová VZ-2024-000558-01</t>
  </si>
  <si>
    <t>nová VZ-2024-000558-02</t>
  </si>
  <si>
    <t>VZ-2024-000558-01</t>
  </si>
  <si>
    <t>VZ-2024-000558-02</t>
  </si>
  <si>
    <t>FN Olomouc - Elektrofyziologie II.</t>
  </si>
  <si>
    <r>
      <t xml:space="preserve">VZ-2024-000275-05
</t>
    </r>
    <r>
      <rPr>
        <b/>
        <sz val="11"/>
        <rFont val="Calibri"/>
        <family val="2"/>
        <charset val="238"/>
        <scheme val="minor"/>
      </rPr>
      <t>VZ-2024-000558-02</t>
    </r>
  </si>
  <si>
    <r>
      <t xml:space="preserve">VZ-2024-000190-02
</t>
    </r>
    <r>
      <rPr>
        <b/>
        <sz val="11"/>
        <rFont val="Calibri"/>
        <family val="2"/>
        <charset val="238"/>
        <scheme val="minor"/>
      </rPr>
      <t>VZ-2024-000567-01</t>
    </r>
  </si>
  <si>
    <r>
      <t xml:space="preserve">VZ-2024-000275-02
</t>
    </r>
    <r>
      <rPr>
        <b/>
        <sz val="11"/>
        <rFont val="Calibri"/>
        <family val="2"/>
        <charset val="238"/>
        <scheme val="minor"/>
      </rPr>
      <t>VZ-2024-000558-01</t>
    </r>
  </si>
  <si>
    <t>ITV Public s.r.o.</t>
  </si>
  <si>
    <t>VZ-2024-000584</t>
  </si>
  <si>
    <t>Stavební úpravy prostor v budově WG2</t>
  </si>
  <si>
    <t>EduProduct s.r.o.</t>
  </si>
  <si>
    <t>17.7.2024 zrušeno</t>
  </si>
  <si>
    <t>18.7.2024 zrušeno</t>
  </si>
  <si>
    <t>VZ-2024-000582</t>
  </si>
  <si>
    <t>Tiskařské služby - tisk reklamních materiálů</t>
  </si>
  <si>
    <t>SMLN-2024-617-100423</t>
  </si>
  <si>
    <t>VZ-2024-000545</t>
  </si>
  <si>
    <t>Zmrazovací zařízení</t>
  </si>
  <si>
    <t>2.2.653</t>
  </si>
  <si>
    <t>VZ-2024-000586</t>
  </si>
  <si>
    <t>Resuscitátor</t>
  </si>
  <si>
    <t>2.2.607</t>
  </si>
  <si>
    <t>33170000-2</t>
  </si>
  <si>
    <t>SMLN-2024-617-100424
SMLN-2024-617-100425</t>
  </si>
  <si>
    <t>SMLN-2024-612-100093</t>
  </si>
  <si>
    <t>LP s obsahem azacitidinu 2024 II.</t>
  </si>
  <si>
    <t>SMLN-2024-617-100426</t>
  </si>
  <si>
    <t>MEDISTA s.r.o.</t>
  </si>
  <si>
    <t>GRANDYX s.r.o.</t>
  </si>
  <si>
    <t>Mölnlycke Health Care s.r.o.</t>
  </si>
  <si>
    <t>ARID obchodní společnosti, s.r.o.</t>
  </si>
  <si>
    <t>VZ-2024-000554-02</t>
  </si>
  <si>
    <t>VZ-2024-000554-01</t>
  </si>
  <si>
    <t>LP s obsahem takrolimu 2024</t>
  </si>
  <si>
    <t>TAKROLIMUS I.</t>
  </si>
  <si>
    <t>TAKROLIMUS II.</t>
  </si>
  <si>
    <t>SMLN-2024-617-100427</t>
  </si>
  <si>
    <t>SMLN-2024-617-100428</t>
  </si>
  <si>
    <t>SMLN-2024-617-100429
SMLN-2024-612-100096</t>
  </si>
  <si>
    <t>SMLN-2024-617-100430
SMLN-2024-612-100097</t>
  </si>
  <si>
    <t>SMLN-2024-617-100431
SMLN-2024-612-100098</t>
  </si>
  <si>
    <t>SMLN-2024-617-100432</t>
  </si>
  <si>
    <t>SMLN-2024-617-100433</t>
  </si>
  <si>
    <t>SMLN-2024-617-100434</t>
  </si>
  <si>
    <t>VZ-2024-000593</t>
  </si>
  <si>
    <t xml:space="preserve">LP s obsahem ivakaftoru, tezakaftoru a elexakaftoru 2024 </t>
  </si>
  <si>
    <t>VZ-2024-000585</t>
  </si>
  <si>
    <t>Vz-2024-000161</t>
  </si>
  <si>
    <t>účinnost od 13.6.2024</t>
  </si>
  <si>
    <t>stent pankreatický plastový - rovný</t>
  </si>
  <si>
    <t>stent pankreatický plastový - Single Pigtail</t>
  </si>
  <si>
    <t>VZ-2024-000328</t>
  </si>
  <si>
    <t xml:space="preserve">40. Systém pro mikrovlnné ablace tkání </t>
  </si>
  <si>
    <t>VZ-2024-000598</t>
  </si>
  <si>
    <t>Vysokovýkonový laser</t>
  </si>
  <si>
    <t>2.2.647.</t>
  </si>
  <si>
    <t>VZ-2024-000599</t>
  </si>
  <si>
    <t>2.3.851.</t>
  </si>
  <si>
    <t>VZ-2024-000600-01</t>
  </si>
  <si>
    <t>VZ-2024-000600-02</t>
  </si>
  <si>
    <t>VZ-2024-000600-03</t>
  </si>
  <si>
    <t>2.3.814.</t>
  </si>
  <si>
    <t>2.3.807.</t>
  </si>
  <si>
    <t>2.2.658, 2.2.637</t>
  </si>
  <si>
    <t>UZV pro Radioologii</t>
  </si>
  <si>
    <t>Podložky pod nemocné jednorázové</t>
  </si>
  <si>
    <t>33141621-9, 33140000-3</t>
  </si>
  <si>
    <t>VZ-2024-000602</t>
  </si>
  <si>
    <t>Spektrální cytometr</t>
  </si>
  <si>
    <t>2.2.558.</t>
  </si>
  <si>
    <t>VZ-2024-000605</t>
  </si>
  <si>
    <t>Služba pro analýzu a sledování hormonálních změn a integraci tkáně na zvířecím modelu</t>
  </si>
  <si>
    <t>73100000-3</t>
  </si>
  <si>
    <t>VZ-2024-000604-01</t>
  </si>
  <si>
    <t>VZ-2024-000604-03</t>
  </si>
  <si>
    <t>VZ-2024-000604-02</t>
  </si>
  <si>
    <t>VZ-2024-000604-04</t>
  </si>
  <si>
    <t>Pouzdra zaváděcí</t>
  </si>
  <si>
    <t>Pouzdra zaváděcí k vaskulárním intervencím</t>
  </si>
  <si>
    <t>VZ-2024-000577</t>
  </si>
  <si>
    <t>Spáčil O.</t>
  </si>
  <si>
    <t>Novostavba budovy D4</t>
  </si>
  <si>
    <t>1.2.114.</t>
  </si>
  <si>
    <t>SMLN-2024-617-100435</t>
  </si>
  <si>
    <t>VZ-2024-000595</t>
  </si>
  <si>
    <t>Přikrývka zahřívací aktivní</t>
  </si>
  <si>
    <t>účinnost od 10.11.2024</t>
  </si>
  <si>
    <t>SMLN-2024-617-100437
SMLN-2024-612-100099
SMLN-2024-617-100438</t>
  </si>
  <si>
    <t>VZ-2024-000606</t>
  </si>
  <si>
    <t>Submukózní injekční systém</t>
  </si>
  <si>
    <t>33692500-2, 33141310-6</t>
  </si>
  <si>
    <t>zrušeno - dodavatel použil nesprávné dokumenty</t>
  </si>
  <si>
    <t>SMLN-2024-617-100439
SMLN-2024-614-100053</t>
  </si>
  <si>
    <t>SMLN-2024-618-100044</t>
  </si>
  <si>
    <t>SMLN-2024-617-100440
SMLN-2024-612-100100</t>
  </si>
  <si>
    <t>účinnost od 30.11.2024</t>
  </si>
  <si>
    <t>SMLN-2024-618-100029</t>
  </si>
  <si>
    <t>SMLN-2024-617-100441</t>
  </si>
  <si>
    <t>SMLN-2024-617-100442</t>
  </si>
  <si>
    <t>AL LOGIC s.r.o.</t>
  </si>
  <si>
    <t>SMLN-2024-617-100443
SMLN-2024-612-100101
SMLN-2024-617-100444</t>
  </si>
  <si>
    <t>CSL BEHRING s.r.o.</t>
  </si>
  <si>
    <t>LP s obsahem paklitaxelu 2024</t>
  </si>
  <si>
    <t>nová VZ-2024-000616-01</t>
  </si>
  <si>
    <t>VZ-2024-000616-01</t>
  </si>
  <si>
    <t>VZ-2024-000616-02</t>
  </si>
  <si>
    <t>VZ-2024-000616-03</t>
  </si>
  <si>
    <t>Antiepileptika II 2024</t>
  </si>
  <si>
    <t>TOPIRAMAT</t>
  </si>
  <si>
    <t>LAKOSAMID</t>
  </si>
  <si>
    <t>LAKOSAMID II</t>
  </si>
  <si>
    <t>LP s obsahem fedratinibu 2024</t>
  </si>
  <si>
    <t>VZ-2024-000615</t>
  </si>
  <si>
    <t>VZ-2024-000619</t>
  </si>
  <si>
    <t>VZ-2024-000621</t>
  </si>
  <si>
    <t>LP s obsahem fluocinolon-acetonidu 2024</t>
  </si>
  <si>
    <t>LP s obsahem tocilizumabu 2024</t>
  </si>
  <si>
    <t>VZ-2024-000622</t>
  </si>
  <si>
    <t>18F - Fludeoxythymidin 2024</t>
  </si>
  <si>
    <t>VZ-2024-000614</t>
  </si>
  <si>
    <t>SMLN-2024-617-100445</t>
  </si>
  <si>
    <t>SMLN-2024-617-100446</t>
  </si>
  <si>
    <t>SMLN-2024-617-100447</t>
  </si>
  <si>
    <t>SMLN-2024-617-100448</t>
  </si>
  <si>
    <t>SMLN-2024-617-100449</t>
  </si>
  <si>
    <t>SMLN-2024-617-100450</t>
  </si>
  <si>
    <t>SMLN-2024-617-100451</t>
  </si>
  <si>
    <t>SMLN-2024-617-100452</t>
  </si>
  <si>
    <t>SMLN-2024-617-100453
SMLN-2024-614-100054</t>
  </si>
  <si>
    <t xml:space="preserve">Pořízení elektromobilů – modernizace a obnova vozidel FNOL </t>
  </si>
  <si>
    <t>VZ-2024-000498-01</t>
  </si>
  <si>
    <t>VZ-2024-000498-02</t>
  </si>
  <si>
    <t>VZ-2024-000498-03</t>
  </si>
  <si>
    <t>34144900-7</t>
  </si>
  <si>
    <t>4.2.223</t>
  </si>
  <si>
    <t>účinnost od 14.12.2024</t>
  </si>
  <si>
    <t>VZ-2024-000624</t>
  </si>
  <si>
    <t>Diagnostika pro MAIPA assay s výpůjčkou</t>
  </si>
  <si>
    <t>33694000-1,38434000-6</t>
  </si>
  <si>
    <t>VZ-2024-000628</t>
  </si>
  <si>
    <t>Pluvicto II. 2024</t>
  </si>
  <si>
    <t>VZ-2024-000631</t>
  </si>
  <si>
    <t>Novostavba budovy D4 II.</t>
  </si>
  <si>
    <t xml:space="preserve">zrušeno - oprava typu zadávacího řízení </t>
  </si>
  <si>
    <t>nová VZ-2024-000631</t>
  </si>
  <si>
    <t xml:space="preserve">14.8.2024 zrušeno </t>
  </si>
  <si>
    <t>14.8.2024 zrušeno</t>
  </si>
  <si>
    <t>CAMEDICA PAWEŁ HARASIMIUK SPÓŁKA KOMANDYTOWA</t>
  </si>
  <si>
    <t>SMLN-2024-618-100043</t>
  </si>
  <si>
    <t>VZ-2024-000630</t>
  </si>
  <si>
    <t>Hospital management 2024</t>
  </si>
  <si>
    <t>55120000-7, 55110000-4</t>
  </si>
  <si>
    <t>SMLN-2024-617-100457</t>
  </si>
  <si>
    <t>SMLN-2024-617-100458</t>
  </si>
  <si>
    <t>SMLN-2024-617-100459</t>
  </si>
  <si>
    <t>VZ-2024-000635</t>
  </si>
  <si>
    <t>Demolice a oprava komínových těles - budova UZQ</t>
  </si>
  <si>
    <t>SMLN-2024-617-100461
SMLN-2024-614-100055</t>
  </si>
  <si>
    <t>SMLN-2024-617-100462
SMLN-2024-617-100463
SMLN-2024-614-100056</t>
  </si>
  <si>
    <t>SMLN-2024-617-100464
SMLN-2024-614-100057</t>
  </si>
  <si>
    <t>SMLN-2024-617-100465
SMLN-2024-614-100058</t>
  </si>
  <si>
    <t>SMLN-2024-612-100102</t>
  </si>
  <si>
    <t>účinnost od 2.11.2024</t>
  </si>
  <si>
    <t>VZ-2024-000612</t>
  </si>
  <si>
    <t>Infuzní technika III.</t>
  </si>
  <si>
    <t>VZ-2024-000613</t>
  </si>
  <si>
    <t>ELISA reader</t>
  </si>
  <si>
    <t>VZ-2024-000618</t>
  </si>
  <si>
    <t>39711110-3</t>
  </si>
  <si>
    <t>2.3.852, 2.3.853</t>
  </si>
  <si>
    <t>VZ-2024-000620</t>
  </si>
  <si>
    <t>2.2.659.</t>
  </si>
  <si>
    <t>VZ-2024-000629</t>
  </si>
  <si>
    <t>Oprava MaR v budovách D1,D2,H1,H2,WZ</t>
  </si>
  <si>
    <t>VZ-2024-000636</t>
  </si>
  <si>
    <t>VZ-2024-000637</t>
  </si>
  <si>
    <t>Zdravotnické resuscitační, převazové, lékové, anesteziologické, pečovatelské a multifunkční vozíky</t>
  </si>
  <si>
    <t>nová VZ-2024-000612</t>
  </si>
  <si>
    <t>19.8.2024 vyloučen</t>
  </si>
  <si>
    <t>zrušeno - překročerní ceny</t>
  </si>
  <si>
    <t>VZ-2024-000607-01</t>
  </si>
  <si>
    <t>VZ-2024-000607-02</t>
  </si>
  <si>
    <t>VZ-2024-000607-03</t>
  </si>
  <si>
    <t>Mikrokátétry intervenční</t>
  </si>
  <si>
    <t>Mikrokatétry neurointervenční IV.</t>
  </si>
  <si>
    <t>Mikrokatétry neurointervenční V.</t>
  </si>
  <si>
    <t>Mikrokatétry neurointervenční VI.</t>
  </si>
  <si>
    <t>SULKO s.r.o.</t>
  </si>
  <si>
    <t>VZ-2024-000638</t>
  </si>
  <si>
    <t>2.2.652.</t>
  </si>
  <si>
    <t>SMLN-2024-618-100045</t>
  </si>
  <si>
    <t>SMLN-2024-618-100046</t>
  </si>
  <si>
    <t>Univerzita Palackého v Olomouci</t>
  </si>
  <si>
    <t>TISKÁRNA . BUDÍK . GRAFIKA  s.r.o.</t>
  </si>
  <si>
    <t>VZ-2024-000643</t>
  </si>
  <si>
    <t>Projektový manažer BIM a správce CDE – Novostavba budovy D4 - II</t>
  </si>
  <si>
    <t>VZ-2024-000611</t>
  </si>
  <si>
    <t>účinnost od 25.10.2024</t>
  </si>
  <si>
    <t>MEDIFINE, a.s.</t>
  </si>
  <si>
    <t>VZ-2023-000382</t>
  </si>
  <si>
    <t>VZ-2024-000623</t>
  </si>
  <si>
    <t>Prostěradlo jednorázové SMS, nesterilní 80x220 cm</t>
  </si>
  <si>
    <t>VZ-2024-000609</t>
  </si>
  <si>
    <t>Materiál k perkutánním biopsiím</t>
  </si>
  <si>
    <t>SMLN-2024-617-100468</t>
  </si>
  <si>
    <t>SMLN-2024-617-100469</t>
  </si>
  <si>
    <t>SMLN-2024-617-100470</t>
  </si>
  <si>
    <t>VZ-2024-000651</t>
  </si>
  <si>
    <t>LP s obsahem empagliflozinu 2024</t>
  </si>
  <si>
    <t>VZ-2024-000645</t>
  </si>
  <si>
    <t>LP s obsahem amfotericinu B 2024</t>
  </si>
  <si>
    <t>nová VZ-2024-000626</t>
  </si>
  <si>
    <t>VZ-2024-000626</t>
  </si>
  <si>
    <t>LP s obsahem teriflunomidu II 2024</t>
  </si>
  <si>
    <t>21.8.2024 zrušeno</t>
  </si>
  <si>
    <t>VZ-2024-000654</t>
  </si>
  <si>
    <t>Resuscitátor II.</t>
  </si>
  <si>
    <t>SMLN-2024-617-100471</t>
  </si>
  <si>
    <t>SMLN-2024-617-100472
SMLN-2024-614-100059</t>
  </si>
  <si>
    <t>SMLN-2024-617-100473
SMLN-2024-612-100104</t>
  </si>
  <si>
    <t>Dezinfekce kůže před odběrem biologického materiálu v procesu výroby léčiv; Ohnisková dezinfekce 2024</t>
  </si>
  <si>
    <t>VZ-2024-000603-01</t>
  </si>
  <si>
    <t>VZ-2024-000603-02</t>
  </si>
  <si>
    <t>VZ-2024-000603-03</t>
  </si>
  <si>
    <t xml:space="preserve">Koncentrovaný práškový přípravek s účinnou látkou bez obsahu chlóru </t>
  </si>
  <si>
    <t>Bezbarvý tekutý alkoholový dezinfekční přípravek k okamžitému použití k dezinfekci kůže před vpichem s obsahem chlorhexidinglukonátu do 1% a oxidativních látek  do 0,5%, bez obsahu jódu</t>
  </si>
  <si>
    <t>VZ-2024-000656</t>
  </si>
  <si>
    <t>VZ-2024-000659</t>
  </si>
  <si>
    <t>LP s obsahem mavakamtenu II 2024</t>
  </si>
  <si>
    <t>nová VZ-2024-000659</t>
  </si>
  <si>
    <t>SMLN-2024-617-100474</t>
  </si>
  <si>
    <t>VZ-2024-000653</t>
  </si>
  <si>
    <t>Systém pro terapii a vyšetření stability</t>
  </si>
  <si>
    <t>2.3.844.</t>
  </si>
  <si>
    <t>VZ-2024-000650</t>
  </si>
  <si>
    <t>Chodící pás se zpětnou vazbou</t>
  </si>
  <si>
    <t>2.3.845.</t>
  </si>
  <si>
    <t>VZ-2024-000649</t>
  </si>
  <si>
    <t xml:space="preserve">Chodící pás interaktivní </t>
  </si>
  <si>
    <t>2.3.846.</t>
  </si>
  <si>
    <t>VZ-2024-000655-01</t>
  </si>
  <si>
    <t>VZ-2024-000655-02</t>
  </si>
  <si>
    <t>Lehátka pro Kožní kliniku</t>
  </si>
  <si>
    <t>2.2.660.</t>
  </si>
  <si>
    <t>2.3.854.</t>
  </si>
  <si>
    <t>Lehátka pro URGENT</t>
  </si>
  <si>
    <t>VZ-2024-000617</t>
  </si>
  <si>
    <t>Urgentní vyšetření respiračních virů s výpůjčkou analyzátorů</t>
  </si>
  <si>
    <t>2.4.254</t>
  </si>
  <si>
    <t>SMLN-2024-617-100475</t>
  </si>
  <si>
    <t>SMLN-2024-617-100476</t>
  </si>
  <si>
    <t>zrušeno - spatně vyplněný KL</t>
  </si>
  <si>
    <t>VZ-2024-000662</t>
  </si>
  <si>
    <t>SMLN-2024-612-100106</t>
  </si>
  <si>
    <t>VZ-2024-000658</t>
  </si>
  <si>
    <t>2.4.238</t>
  </si>
  <si>
    <t xml:space="preserve">27.8.2024 zrušeno </t>
  </si>
  <si>
    <t>ukončeny dodávky do EU, hledá se náhrada</t>
  </si>
  <si>
    <t>ukončeny dodávky do EU, pracoviště používá místo toho VZ-2023-001480</t>
  </si>
  <si>
    <t>mělo by být soutěženo spolu s přístrojem po zařazení a schválení v investičním plánu</t>
  </si>
  <si>
    <t>VZ-2024-000661-01</t>
  </si>
  <si>
    <t xml:space="preserve">Očkovací látky I 2024 </t>
  </si>
  <si>
    <t>VZ-2024-000661-02</t>
  </si>
  <si>
    <t>VZ-2024-000661-03</t>
  </si>
  <si>
    <t>VZ-2024-000661-04</t>
  </si>
  <si>
    <t>VZ-2024-000661-05</t>
  </si>
  <si>
    <t>VZ-2024-000661-06</t>
  </si>
  <si>
    <t>VZ-2024-000661-07</t>
  </si>
  <si>
    <t>Sezónní OL proti chřipce tetravalentní, povrchový antigen, inaktivovaná</t>
  </si>
  <si>
    <t>Sezónní OL proti chřipce tetravalentní,  štěpený virion, inaktivovaný</t>
  </si>
  <si>
    <t>OL proti žluté zimnici</t>
  </si>
  <si>
    <t>OL proti planým neštovicím I</t>
  </si>
  <si>
    <t>OL proti planým neštovicím II</t>
  </si>
  <si>
    <t>OL proti vzteklině</t>
  </si>
  <si>
    <t>OL proti planým neštovicím III</t>
  </si>
  <si>
    <t>VZ-2024-000666-01</t>
  </si>
  <si>
    <t>VZ-2024-000666-02</t>
  </si>
  <si>
    <t>VZ-2024-000666-03</t>
  </si>
  <si>
    <t>VZ-2024-000666-04</t>
  </si>
  <si>
    <t>VZ-2024-000666-05</t>
  </si>
  <si>
    <t>VZ-2024-000666-06</t>
  </si>
  <si>
    <t>VZ-2024-000666-07</t>
  </si>
  <si>
    <t>VZ-2024-000666-08</t>
  </si>
  <si>
    <t xml:space="preserve">OL proti hepatitidě typu A, inaktivovaný celý virus, od 16 let
</t>
  </si>
  <si>
    <t xml:space="preserve">OL proti hepatitidě typu A, inaktivovaný celý virus, od 1 roku
</t>
  </si>
  <si>
    <t xml:space="preserve">Rekombinantní OL proti hepatitidě B, purifikovaný antigen, 0-15 let
</t>
  </si>
  <si>
    <t xml:space="preserve">Rekombinantní OL proti hepatitidě B, purifikovaný antigen, od 16 let 
</t>
  </si>
  <si>
    <t>Kombinovaná OL proti hepatitidě A + B</t>
  </si>
  <si>
    <t>Živá OL proti rotavirům pentavalentní</t>
  </si>
  <si>
    <t xml:space="preserve">Živá OL proti rotavirům </t>
  </si>
  <si>
    <t>OL proti meningokokům skupin A, C, W-135, Y od 6 týdnů věku</t>
  </si>
  <si>
    <t>VZ-2024-000657</t>
  </si>
  <si>
    <t xml:space="preserve">Halena s dlouhým rukávem oteplovací </t>
  </si>
  <si>
    <t>nová VZ-2024-000672</t>
  </si>
  <si>
    <t>VZ-2024-000672</t>
  </si>
  <si>
    <t xml:space="preserve">Stabilizátory pro operace srdce bez mimotělního oběhu </t>
  </si>
  <si>
    <t xml:space="preserve">Systém implantabilní neurostimulační DBS nedobíjitelný </t>
  </si>
  <si>
    <t>SMLN-2024-617-100478
SMLN-2024-614-100060</t>
  </si>
  <si>
    <t>SMLN-2024-617-100479
SMLN-2024-614-100061</t>
  </si>
  <si>
    <t>SMLN-2024-617-100480
SMLN-2024-614-100062</t>
  </si>
  <si>
    <t>SMLN-2024-617-100481</t>
  </si>
  <si>
    <t>SMLN-2024-617-100482</t>
  </si>
  <si>
    <t>SMLN-2024-617-100483</t>
  </si>
  <si>
    <t>vyloučení S.A.B., + VAMEX</t>
  </si>
  <si>
    <t>VZ-2024-000673-01</t>
  </si>
  <si>
    <t>VZ-2024-000673-02</t>
  </si>
  <si>
    <t>VZ-2024-000673-03</t>
  </si>
  <si>
    <t>VZ-2024-000673-04</t>
  </si>
  <si>
    <t>Staplery I.</t>
  </si>
  <si>
    <t>zrušeno - špatně vyplnění KL</t>
  </si>
  <si>
    <t>nová VZ-2024-000654</t>
  </si>
  <si>
    <t>zrušeno - špatně vyplněný krycí list</t>
  </si>
  <si>
    <t>VZ-2024-000601-01</t>
  </si>
  <si>
    <t>VZ-2024-000601-02</t>
  </si>
  <si>
    <t>Podložky pod nemocné jednorázové I.</t>
  </si>
  <si>
    <t>Podložky pod nemocné jednorázové II.</t>
  </si>
  <si>
    <t>VZ-2024-000677-01</t>
  </si>
  <si>
    <t>Mléčná kojenecká výživa 2024</t>
  </si>
  <si>
    <t>VZ-2024-000677-02</t>
  </si>
  <si>
    <t>VZ-2024-000677-03</t>
  </si>
  <si>
    <t>Speciální výživa pro nedonošence s hmotností do 1500g</t>
  </si>
  <si>
    <t>Speciální výživa - doplněk k mateřskémumléku  pro děti s extrémně nízkou porodní váhou</t>
  </si>
  <si>
    <t>Mléčná kojenecká výživa  pro děti ve věku 0-6 měsíců</t>
  </si>
  <si>
    <t>účinnosti od 30.11.2024</t>
  </si>
  <si>
    <t>SMLN-2024-617-100485
SMLN-2024-614-100063
SMLN-2024-616-100060</t>
  </si>
  <si>
    <t>SMLN-2024-617-100486
SMLN-2024-614-100064</t>
  </si>
  <si>
    <t>VZ-2024-000678</t>
  </si>
  <si>
    <t>Oprava rampy – budova L</t>
  </si>
  <si>
    <t xml:space="preserve">Očkovací látky II 2024 </t>
  </si>
  <si>
    <t>nová VZ-2024-000663</t>
  </si>
  <si>
    <t>VZ-2024-000663</t>
  </si>
  <si>
    <t>LP s obsahem pirtobrutinibu II. 2024</t>
  </si>
  <si>
    <r>
      <t xml:space="preserve">LP s obsahem tadalafilu 2024 -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</si>
  <si>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VZ-2024-000679-01</t>
  </si>
  <si>
    <t>VZ-2024-000679-02</t>
  </si>
  <si>
    <t>VZ-2024-000679-03</t>
  </si>
  <si>
    <t xml:space="preserve">TADALAFIL u dospělých k léčbě PAH třídy II a III </t>
  </si>
  <si>
    <t xml:space="preserve">TADALAFIL pro léčbu erektivní dysfunkce </t>
  </si>
  <si>
    <t xml:space="preserve">TADALAFIL  pro léčbu příznaků a symptomů benigní hyperplazie prostaty  </t>
  </si>
  <si>
    <t>VZ-2024-000648</t>
  </si>
  <si>
    <t xml:space="preserve">Systém pro vizuálně-motorickou stimulaci </t>
  </si>
  <si>
    <t>2.2.651</t>
  </si>
  <si>
    <t>SMLN-2024-617-100487</t>
  </si>
  <si>
    <t>SMLN-2024-617-100488
SMLN-2024-612-100107</t>
  </si>
  <si>
    <t>SMLN-2024-617-100489
SMLN-2024-612-100108</t>
  </si>
  <si>
    <t>SMLN-2024-617-100490
SMLN-2024-612-100109</t>
  </si>
  <si>
    <t>účinnost od 16.11.2024</t>
  </si>
  <si>
    <t>Siková</t>
  </si>
  <si>
    <t>VZ-2024-000682</t>
  </si>
  <si>
    <t>Diagnostika pro analýzu lipidomu</t>
  </si>
  <si>
    <t>Elektromobil s výstražným světelným zařízením</t>
  </si>
  <si>
    <t>Elektromobily</t>
  </si>
  <si>
    <t>Užitkový elektromobil</t>
  </si>
  <si>
    <t>Unimed Praha  s.r.o.</t>
  </si>
  <si>
    <t>EndoTech s.r.o.</t>
  </si>
  <si>
    <t>VZ-2024-000686</t>
  </si>
  <si>
    <t>Robotický operační systém</t>
  </si>
  <si>
    <t>Lupové brýle II.</t>
  </si>
  <si>
    <t>VZ-2024-000692</t>
  </si>
  <si>
    <t>nová VZ-2024-000692</t>
  </si>
  <si>
    <t>VZ-2024-000689</t>
  </si>
  <si>
    <t>Zamrazovací zařízení II.</t>
  </si>
  <si>
    <t>2.2.653.</t>
  </si>
  <si>
    <t>nová VZ-2024-000689</t>
  </si>
  <si>
    <t>VZ-2024-000687-01</t>
  </si>
  <si>
    <t>VZ-2024-000687-02</t>
  </si>
  <si>
    <t>LP s obsahem semaglutidu 2024</t>
  </si>
  <si>
    <t>Semaglutid - injekční roztok v předplněném peru</t>
  </si>
  <si>
    <t>Semaglutid - tableta</t>
  </si>
  <si>
    <t>VZ-2024-000685</t>
  </si>
  <si>
    <r>
      <t xml:space="preserve">LP s obsahem vápníku v kombinaci 2024 -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</si>
  <si>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VZ-2024-000668</t>
  </si>
  <si>
    <t>Magistraliter příprava - tekuté formy 2024</t>
  </si>
  <si>
    <t>Magistraliter příprava - pevné formy 2024</t>
  </si>
  <si>
    <t>VZ-2024-000674</t>
  </si>
  <si>
    <t>SMLN-2024-617-100497
SMLN-2024-612-100110</t>
  </si>
  <si>
    <t>VZ-2024-000525</t>
  </si>
  <si>
    <t>Náustek s filtrem výměnný k plynu SERYNOX</t>
  </si>
  <si>
    <t>VZ-2024-000698</t>
  </si>
  <si>
    <t>LP s obsahem lenalidomidu 2024</t>
  </si>
  <si>
    <t>VZ-2024-000697</t>
  </si>
  <si>
    <t>TK holter</t>
  </si>
  <si>
    <t>2.2.662.</t>
  </si>
  <si>
    <t>VZ-2024-000696</t>
  </si>
  <si>
    <t>Reometr</t>
  </si>
  <si>
    <t>2.2.642</t>
  </si>
  <si>
    <t>VZ-2024-000695</t>
  </si>
  <si>
    <t>Objektivy k mikroskopům</t>
  </si>
  <si>
    <t>2.2.661.</t>
  </si>
  <si>
    <t>VZ-2024-000694</t>
  </si>
  <si>
    <t xml:space="preserve">Aktualizace centrálního databázového serveru monitorovacího systému </t>
  </si>
  <si>
    <t>2.3.829.</t>
  </si>
  <si>
    <t>VZ-2024-000275</t>
  </si>
  <si>
    <t>VZ-2024-000664</t>
  </si>
  <si>
    <t>FN Olomouc - Elektrofyziologie III. - Katetr intrakardiální ultrazvukový, včetně výpůjčky</t>
  </si>
  <si>
    <t>nová VZ-2024-000664</t>
  </si>
  <si>
    <t>SMLN-2024-617-100498</t>
  </si>
  <si>
    <t>SMLN-2024-617-100499</t>
  </si>
  <si>
    <t>zrušeno - špatně vyplněná nabídka</t>
  </si>
  <si>
    <t>účinnnost od 25.10.2024</t>
  </si>
  <si>
    <t>účinnost od 21.1.2025</t>
  </si>
  <si>
    <t>účinnost  21.1.2025</t>
  </si>
  <si>
    <t>SMLN-2024-618-100049</t>
  </si>
  <si>
    <t>VZ-2024-000608</t>
  </si>
  <si>
    <t>LP s obsahem vorikonazolu  2024</t>
  </si>
  <si>
    <t>VZ-2024-000706</t>
  </si>
  <si>
    <t>Oprava výtahu a instalace plošin pro budovu WJ</t>
  </si>
  <si>
    <t>VZ-2024-000702</t>
  </si>
  <si>
    <t>Vysokoúčinný kapalinový chromatograf s hmotnostním spektrometrem typu trojitý kvadrupól (UHPLC-MS-QQQ)</t>
  </si>
  <si>
    <t>2.2.601. 2.3.856.</t>
  </si>
  <si>
    <t>VZ-2024-000705</t>
  </si>
  <si>
    <t>Monitorovací systém Novorozenecké oddělení</t>
  </si>
  <si>
    <t>2.2.663.</t>
  </si>
  <si>
    <t>VZ-2024-000703-01</t>
  </si>
  <si>
    <t>VZ-2024-000703-02</t>
  </si>
  <si>
    <t>Operační čelní světla</t>
  </si>
  <si>
    <t>2.3.855.</t>
  </si>
  <si>
    <t>2.3.662.</t>
  </si>
  <si>
    <t>Operační čelní světla pro ORL</t>
  </si>
  <si>
    <t>Operačí čelní světla pro KCHIR</t>
  </si>
  <si>
    <t>VZ-2024-000704</t>
  </si>
  <si>
    <t>Operační panoramatické brýle včetně světla</t>
  </si>
  <si>
    <t>2.3.665.</t>
  </si>
  <si>
    <t>VZ-2024-000701</t>
  </si>
  <si>
    <t>LP s obsahem vorikonazolu i.v. 2024</t>
  </si>
  <si>
    <t xml:space="preserve">Instrumentárium </t>
  </si>
  <si>
    <t>VZ-2024-000716-01</t>
  </si>
  <si>
    <t>VZ-2024-000716-02</t>
  </si>
  <si>
    <t>VZ-2024-000716-03</t>
  </si>
  <si>
    <t>VZ-2024-000716-04</t>
  </si>
  <si>
    <t>VZ-2024-000716-05</t>
  </si>
  <si>
    <t>VZ-2024-000716-06</t>
  </si>
  <si>
    <t>Nástroje chirurgické - specifikováno dle katalogu OneVision</t>
  </si>
  <si>
    <t>Nástroje chirurgické - specifikováno dle katalogu Geister</t>
  </si>
  <si>
    <t>Nástroje chirurgické - specifikováno dle katalogu Delacroix-Chevalier</t>
  </si>
  <si>
    <t>Nástroje chirurgické - specifikováno dle katalogu Scanlan</t>
  </si>
  <si>
    <t>VZ-2024-000712</t>
  </si>
  <si>
    <t>Cryosonda jednorázová flexibilní k přístroji ERBECRYO 2 pro Plicní kliniku</t>
  </si>
  <si>
    <t>33141641-5, 33140000-3</t>
  </si>
  <si>
    <t>VZ-2024-000715</t>
  </si>
  <si>
    <t>Pulzní oxymetr</t>
  </si>
  <si>
    <t>VZ-2024-000719</t>
  </si>
  <si>
    <t>Pneumatický turniket</t>
  </si>
  <si>
    <t>12.9.2024 zrušeno</t>
  </si>
  <si>
    <t>SMLN-2024-617-100502
SMLN-2024-614-100066</t>
  </si>
  <si>
    <t>Ing. Martin Řezáč</t>
  </si>
  <si>
    <t>12.09.2024 zrušeno</t>
  </si>
  <si>
    <t>VZ-2024-000720</t>
  </si>
  <si>
    <t>VZ-2024-000721</t>
  </si>
  <si>
    <t>Formaldehydový sterilizátor</t>
  </si>
  <si>
    <t>2.3.858.</t>
  </si>
  <si>
    <t>2.2.666.</t>
  </si>
  <si>
    <t>2.3.857.</t>
  </si>
  <si>
    <t>SMLN-2024-612-100113</t>
  </si>
  <si>
    <t>SMLN-2024-617-100503
SMLN-2024-612-100114</t>
  </si>
  <si>
    <t>Global Payments, s.r.o.</t>
  </si>
  <si>
    <t>SMLN-2024-612-100115</t>
  </si>
  <si>
    <t>CLINITEX ZPS s.r.o.</t>
  </si>
  <si>
    <t>VZ-2024-000717</t>
  </si>
  <si>
    <t>Dezinfekce vyššího stupně 2024</t>
  </si>
  <si>
    <t>VZ-2024-000714</t>
  </si>
  <si>
    <t>Dezinfekční ubrousky pro čištění zdravotnických prostředků, zejména intravenózních spojů 2024</t>
  </si>
  <si>
    <t>VZ-2024-000691-01</t>
  </si>
  <si>
    <t>VZ-2024-000691-02</t>
  </si>
  <si>
    <t>LP s obsahem Afatinibu a Osimertinibu 2024</t>
  </si>
  <si>
    <t>VZ-2024-000669</t>
  </si>
  <si>
    <t>Radionuklidové generátory (81Rb/81mKr) k provádění vyšetření plicní ventilace s výpůjčkou aplikační jednotky 2024</t>
  </si>
  <si>
    <t>VZ-2024-000723</t>
  </si>
  <si>
    <r>
      <t xml:space="preserve">VZ-2024-000359 zrušeno
</t>
    </r>
    <r>
      <rPr>
        <sz val="11"/>
        <rFont val="Calibri"/>
        <family val="2"/>
        <charset val="238"/>
        <scheme val="minor"/>
      </rPr>
      <t>VZ-2024-000672</t>
    </r>
  </si>
  <si>
    <t>VZ-2024-000722</t>
  </si>
  <si>
    <t>Systém  k rekanalizaci při embolii do a. pulmonalis pro Radiol. kliniku</t>
  </si>
  <si>
    <t>účinnost od 21.12.2024</t>
  </si>
  <si>
    <t>VZ-2024-000729</t>
  </si>
  <si>
    <t>VZ-2024-000733</t>
  </si>
  <si>
    <t>Výměna dveří v 1.PP budovy R</t>
  </si>
  <si>
    <r>
      <t xml:space="preserve">VZ-2024-000275-08
</t>
    </r>
    <r>
      <rPr>
        <b/>
        <sz val="11"/>
        <rFont val="Calibri"/>
        <family val="2"/>
        <charset val="238"/>
        <scheme val="minor"/>
      </rPr>
      <t>VZ-2024-000664</t>
    </r>
  </si>
  <si>
    <t>17.9.2024 zrušeno</t>
  </si>
  <si>
    <t>.</t>
  </si>
  <si>
    <t>SMLN-2024-612-100116</t>
  </si>
  <si>
    <t>SMLN-2024-617-100508</t>
  </si>
  <si>
    <t>VZ-2024-000726</t>
  </si>
  <si>
    <t>Radiofarmakum JOBENGUAN - (123I)  2024</t>
  </si>
  <si>
    <t>VZ-2024-000724</t>
  </si>
  <si>
    <t>LP s obsahem ponesimodu II. 2024</t>
  </si>
  <si>
    <t>VZ-2024-000728</t>
  </si>
  <si>
    <t>Radiofarmakum FLUTEMETANOL - (18F) 2024</t>
  </si>
  <si>
    <t>VZ-2024-000734-01</t>
  </si>
  <si>
    <t>VZ-2024-000734-02</t>
  </si>
  <si>
    <t>Diagnostické katétry</t>
  </si>
  <si>
    <t>Hydrofilní diagnostické katétry III.</t>
  </si>
  <si>
    <t>VZ-2024-000745</t>
  </si>
  <si>
    <t>Stavební úpravy v 1.PP budovy Q</t>
  </si>
  <si>
    <t>EP Rožnov a.s.</t>
  </si>
  <si>
    <t>VZ-2024-000632</t>
  </si>
  <si>
    <t>Rekonstrukce bytových jednotek v budově YA – Etapa IV.</t>
  </si>
  <si>
    <t>20.9. vyloučení BioTech na podpis</t>
  </si>
  <si>
    <t>20.9. vyloučení Getinge na podpis</t>
  </si>
  <si>
    <t>ELI LILLY ČR s.r.o.</t>
  </si>
  <si>
    <t>VZ-2024-000740</t>
  </si>
  <si>
    <t>LP s obsahem lamotriginu 2024</t>
  </si>
  <si>
    <t>VZ-2024-000748</t>
  </si>
  <si>
    <t>LP s obsahem pregabalinu 2024</t>
  </si>
  <si>
    <t>VZ-2024-000738</t>
  </si>
  <si>
    <t>VZ-2024-000739</t>
  </si>
  <si>
    <t>nová VZ-2024-000739</t>
  </si>
  <si>
    <t>Systém virtuální reality</t>
  </si>
  <si>
    <t>2.2.645.</t>
  </si>
  <si>
    <t>VZ-2024-000737</t>
  </si>
  <si>
    <t>Telemetrický systém polyEMG</t>
  </si>
  <si>
    <t>2.3.842.</t>
  </si>
  <si>
    <t>VZ-2024-000735</t>
  </si>
  <si>
    <t>VZ-2024-000736</t>
  </si>
  <si>
    <t>Exoskelet pro terapii horní končetiny s vizuální zpětnou vazbou</t>
  </si>
  <si>
    <t>Systém pro reaktivní posturální odpověď</t>
  </si>
  <si>
    <t>2.2.650.</t>
  </si>
  <si>
    <t>2.3.843.</t>
  </si>
  <si>
    <t>SMLN-2024-617-100510</t>
  </si>
  <si>
    <t xml:space="preserve">	"APR" spol. s r.o.</t>
  </si>
  <si>
    <t>SMLN-2024-617-100511</t>
  </si>
  <si>
    <r>
      <t xml:space="preserve">VZ-2024-000535 zrušeno
</t>
    </r>
    <r>
      <rPr>
        <sz val="11"/>
        <rFont val="Calibri"/>
        <family val="2"/>
        <charset val="238"/>
        <scheme val="minor"/>
      </rPr>
      <t>VZ-2024-000720</t>
    </r>
  </si>
  <si>
    <t>Ligační zařízení pro endoskopii včetně aplikátoru</t>
  </si>
  <si>
    <t>dále nesoutěženo - malý objem</t>
  </si>
  <si>
    <t>dále nesoutěženo - neodebírá se</t>
  </si>
  <si>
    <t>24.9.2024 vyloučení 1,2,3 v pořadí</t>
  </si>
  <si>
    <t>SMLN-2024-617-100515</t>
  </si>
  <si>
    <t>Stavby Střechy Komíny s.r.o.</t>
  </si>
  <si>
    <t>SMLN-2024-617-100517</t>
  </si>
  <si>
    <t>SMLN-2024-617-100513
SMLN-2024-614-100067</t>
  </si>
  <si>
    <t>Autokláv parní</t>
  </si>
  <si>
    <t>BMT  Medical Technology s.r.o.</t>
  </si>
  <si>
    <t>Prokládací parní sterilizátor s integrovaným vyvíječem páry</t>
  </si>
  <si>
    <t>AQUA - CHEMIE, s.r.o.</t>
  </si>
  <si>
    <t>nová VZ-2024-000720</t>
  </si>
  <si>
    <t>VZ-2024-000752</t>
  </si>
  <si>
    <t>Kleště bioptické jednorázové do gastroskopu/koloskopu</t>
  </si>
  <si>
    <t>VZ-2024-000753</t>
  </si>
  <si>
    <t>2.3.811, 2.2.619</t>
  </si>
  <si>
    <t>Optický nástavec na operační mikroskop</t>
  </si>
  <si>
    <t>VZ-2024-000746</t>
  </si>
  <si>
    <t>Návlek na mikroskop operační</t>
  </si>
  <si>
    <t>zrušeno - lék jen pro specializovaná centra, FNOL není</t>
  </si>
  <si>
    <t>Mölnlycko Health Care, s.r.o.</t>
  </si>
  <si>
    <t>UZV pro Neurologii</t>
  </si>
  <si>
    <t>Bezdrátové  UZV</t>
  </si>
  <si>
    <t>CENTRAL PARK FLORA s.r.o.</t>
  </si>
  <si>
    <t>SYNPO, akciová společnost</t>
  </si>
  <si>
    <t>SMLN-2024-617-100518
SMLN-2024-614-100068</t>
  </si>
  <si>
    <t>SMLN-2024-618-100053</t>
  </si>
  <si>
    <t>SMLN-2024-617-100519
SMLN-2024-616-100065</t>
  </si>
  <si>
    <t>2.2.595.</t>
  </si>
  <si>
    <t>2.2.624, 2.2.612</t>
  </si>
  <si>
    <t>2.3.798.</t>
  </si>
  <si>
    <t>2.3.773, 2.3.789, 2.2.503, 2.2.504</t>
  </si>
  <si>
    <t>2.3.787.</t>
  </si>
  <si>
    <t>2.3.703, 2.3.701, 2.3.783.,2.2.515, 2.2.603</t>
  </si>
  <si>
    <t>2.3.809.</t>
  </si>
  <si>
    <t>VZ-2024-000755</t>
  </si>
  <si>
    <t>Kotvička šicí vstřebatelná</t>
  </si>
  <si>
    <t>33183100-7, 33140000-3</t>
  </si>
  <si>
    <t>VZ-2024-000757</t>
  </si>
  <si>
    <t>Zařízení pro správu a archivaci endoskopických vyšetření</t>
  </si>
  <si>
    <t>79995100-6</t>
  </si>
  <si>
    <t>2.3.859.</t>
  </si>
  <si>
    <t>2.2.604. 2.2.605.</t>
  </si>
  <si>
    <t>2.2.626.</t>
  </si>
  <si>
    <t>2.3.810.</t>
  </si>
  <si>
    <t>2.2.615.</t>
  </si>
  <si>
    <t>2.2.614.</t>
  </si>
  <si>
    <t>2.2.625.</t>
  </si>
  <si>
    <t>2.2.618.</t>
  </si>
  <si>
    <t>2.3.776.</t>
  </si>
  <si>
    <t>2.2.613.</t>
  </si>
  <si>
    <t>2.3.835.</t>
  </si>
  <si>
    <t>2.3.840.</t>
  </si>
  <si>
    <t>2.2.635.</t>
  </si>
  <si>
    <t>2.2.640.</t>
  </si>
  <si>
    <t>SMLN-2024-612-100117</t>
  </si>
  <si>
    <t>SMLN-2024-617-100520</t>
  </si>
  <si>
    <t>SMLN-2024-617-100521</t>
  </si>
  <si>
    <t>SMLN-2024-617-100522</t>
  </si>
  <si>
    <t>SMLN-2024-617-100523
SMLN-2024-612-100118</t>
  </si>
  <si>
    <t>VZ-2024-000762</t>
  </si>
  <si>
    <t>VZ-2024-000763-01</t>
  </si>
  <si>
    <t>VZ-2024-000763-02</t>
  </si>
  <si>
    <t>VZ-2024-000763-03</t>
  </si>
  <si>
    <t>VZ-2024-000763-04</t>
  </si>
  <si>
    <t>VZ-2024-000763-05</t>
  </si>
  <si>
    <t>VZ-2024-000763-06</t>
  </si>
  <si>
    <t>Sklo podložní mikroskopické k tiskárně výr. SAKURA</t>
  </si>
  <si>
    <t>33793000-5</t>
  </si>
  <si>
    <t>Samoexpandibilní stenty vaskulární II.  </t>
  </si>
  <si>
    <t>Stenty vaskulární</t>
  </si>
  <si>
    <t>VZ-2024-000758</t>
  </si>
  <si>
    <t>VZ-2024-000759</t>
  </si>
  <si>
    <t>VZ-2024-000760</t>
  </si>
  <si>
    <t>Přístroj na diagnostiku cystické fibrózy II</t>
  </si>
  <si>
    <t>nová VZ-2024-000758</t>
  </si>
  <si>
    <t>Elisa reader</t>
  </si>
  <si>
    <t>nová VZ-2024-000759</t>
  </si>
  <si>
    <t>SMLN-2024-617-100524</t>
  </si>
  <si>
    <r>
      <t>VZ-2024-000616-</t>
    </r>
    <r>
      <rPr>
        <b/>
        <i/>
        <sz val="11"/>
        <color rgb="FFFF0000"/>
        <rFont val="Calibri"/>
        <family val="2"/>
        <charset val="238"/>
        <scheme val="minor"/>
      </rPr>
      <t>02</t>
    </r>
    <r>
      <rPr>
        <b/>
        <i/>
        <sz val="11"/>
        <color theme="1"/>
        <rFont val="Calibri"/>
        <family val="2"/>
        <charset val="238"/>
        <scheme val="minor"/>
      </rPr>
      <t>/03</t>
    </r>
  </si>
  <si>
    <t>Dochlazování budovy J, 1.NP - 4.NP</t>
  </si>
  <si>
    <t>30.9.2024 zrušeno</t>
  </si>
  <si>
    <t>VZ-2024-000756</t>
  </si>
  <si>
    <t>LP s obsahem inklisiranu 2024</t>
  </si>
  <si>
    <t>LP s obsahem gabapentinu 2024</t>
  </si>
  <si>
    <t>VZ-2024-000761-01</t>
  </si>
  <si>
    <t>VZ-2024-000761-02</t>
  </si>
  <si>
    <t>VZ-2024-000761-03</t>
  </si>
  <si>
    <t>VZ-2024-000761-04</t>
  </si>
  <si>
    <t>VZ-2024-000761-05</t>
  </si>
  <si>
    <t>VZ-2024-000761-06</t>
  </si>
  <si>
    <t>SMLN-2024-617-100525
SMLN-2024-614-100069
SMLN-2024-616-100066</t>
  </si>
  <si>
    <t>SMLN-2024-618-100054</t>
  </si>
  <si>
    <t>Gabagamma</t>
  </si>
  <si>
    <t>GABAPENTIN TEVA</t>
  </si>
  <si>
    <t>GABANOX</t>
  </si>
  <si>
    <t>Neurontin</t>
  </si>
  <si>
    <t>GORDIUS</t>
  </si>
  <si>
    <t>GRIMODIN</t>
  </si>
  <si>
    <t>SMLN-2024-617-100526</t>
  </si>
  <si>
    <t>1.10.2024 vyloučení AH na podpis</t>
  </si>
  <si>
    <t>SFTL</t>
  </si>
  <si>
    <t>SMLN-2024-617-100527</t>
  </si>
  <si>
    <t>SMLN-2024-617-100528</t>
  </si>
  <si>
    <t>SMLN-2024-617-100529</t>
  </si>
  <si>
    <t>SMLN-2024-617-100530</t>
  </si>
  <si>
    <t>SMLN-2024-617-100531</t>
  </si>
  <si>
    <t>SMLN-2024-617-100532</t>
  </si>
  <si>
    <t>SMLN-2024-617-100533</t>
  </si>
  <si>
    <t>SMLN-2024-617-100534</t>
  </si>
  <si>
    <t>VZ-2024-000769</t>
  </si>
  <si>
    <t>nová VZ-2024-000769</t>
  </si>
  <si>
    <t>Operační panoramatické brýle včetně světla II.</t>
  </si>
  <si>
    <t>nová VZ-2024-000770</t>
  </si>
  <si>
    <t>VZ-2024-000770</t>
  </si>
  <si>
    <t>Pulzní oxymetr II.</t>
  </si>
  <si>
    <t>SMLN-2024-617-100535</t>
  </si>
  <si>
    <t>VZ-2024-000777</t>
  </si>
  <si>
    <t>Oprava havarijního stavu tkáňové banky</t>
  </si>
  <si>
    <t>VZ-2024-000766</t>
  </si>
  <si>
    <t>Výroba a montáž nábytk</t>
  </si>
  <si>
    <t>VZ-2024-000765</t>
  </si>
  <si>
    <t xml:space="preserve">Rekonstrukce kanalizace u budov U, Q, teoretické ústavy, garáže u budovy G v areálu FNOL </t>
  </si>
  <si>
    <t>VZ-2024-000778</t>
  </si>
  <si>
    <t>Oprava prostorů budovy WE</t>
  </si>
  <si>
    <t>45262600-7</t>
  </si>
  <si>
    <t>Auto Trutnov s.r.o.</t>
  </si>
  <si>
    <t>4.2.225.</t>
  </si>
  <si>
    <t>VZ-2024-000780</t>
  </si>
  <si>
    <t>Jehla vakuová s kontrolním okénkem pro detekci krve</t>
  </si>
  <si>
    <t>3.10.2024 zrušeno</t>
  </si>
  <si>
    <t>SMLN-2024-617-100537</t>
  </si>
  <si>
    <t>VZ-2024-000783</t>
  </si>
  <si>
    <t>Systémy pro uzavírání tepenných vstupů po perkutánních cévních výkonech</t>
  </si>
  <si>
    <t>VZ-2024-000767</t>
  </si>
  <si>
    <t>VZ-2024-000776</t>
  </si>
  <si>
    <t>Budovy WF a WG - výměna oken</t>
  </si>
  <si>
    <t>VZ-2024-000782</t>
  </si>
  <si>
    <t>VZ-2024-000785</t>
  </si>
  <si>
    <t>Antiepileptika  III 2024</t>
  </si>
  <si>
    <t>VZ-2024-000784</t>
  </si>
  <si>
    <t>Nástroj laparoskopický Endo Babcock jednorázový</t>
  </si>
  <si>
    <t>SMLN-2024-617-100538
SMLN-2024-612-100120</t>
  </si>
  <si>
    <t>Dynamický nákupní systém pro průběžné dodávky léčivých přípravků s využitím Systému flexibilního tendrování léčiv (SFTL)</t>
  </si>
  <si>
    <t>SMLN-2024-618-100055</t>
  </si>
  <si>
    <t>SMLN-2024-617-100539</t>
  </si>
  <si>
    <t>SMLN-2024-617-100540</t>
  </si>
  <si>
    <t>SMLN-2024-617-100541</t>
  </si>
  <si>
    <t>UH CAR, s r.o.</t>
  </si>
  <si>
    <t>SMLN-2024-617-100544
SMLP-2024-624-100006</t>
  </si>
  <si>
    <t>VZ-2024-000772-01</t>
  </si>
  <si>
    <t>VZ-2024-000772-02</t>
  </si>
  <si>
    <t>Diagnostické katétry I.</t>
  </si>
  <si>
    <t>Radiofarmakum JOBENGUAN - (123I) II 2024</t>
  </si>
  <si>
    <t>VZ-2024-000786</t>
  </si>
  <si>
    <t>Oprava rozvodu tepla v budově WJ</t>
  </si>
  <si>
    <t>50720000-8</t>
  </si>
  <si>
    <t>SMLN-2024-617-100542
SMLP-2024-624-100007</t>
  </si>
  <si>
    <t>SMLN-2024-618-100037</t>
  </si>
  <si>
    <t>VZ-2024-000787</t>
  </si>
  <si>
    <t>Okruh dýchací anesteziologický jednorázový</t>
  </si>
  <si>
    <t>nová VZ-2024-000782</t>
  </si>
  <si>
    <t>SMLN-2024-617-100545
SMLN-2024-612-100121</t>
  </si>
  <si>
    <t>VZ-2024-000764</t>
  </si>
  <si>
    <t>Oblečení operační základní</t>
  </si>
  <si>
    <t>VZ-2024-000751</t>
  </si>
  <si>
    <t>Masky a podložky termoplastické k fixaci hlavy k lineárnímu urychlovači TrueBeam výr. Varian Medical Systems</t>
  </si>
  <si>
    <t>SMLN-2024-617-100546
SMLN-2024-612-100122</t>
  </si>
  <si>
    <t>SMLN-2024-618-100056</t>
  </si>
  <si>
    <t>MAC´s MEDICAL CEE, s.r.o.</t>
  </si>
  <si>
    <t>vráceno k doplnění</t>
  </si>
  <si>
    <t>účinnost od 14.11.2024</t>
  </si>
  <si>
    <t>Extraktory intravaskulární</t>
  </si>
  <si>
    <t>VZ-2024-000771</t>
  </si>
  <si>
    <t>VZ-2024-000768</t>
  </si>
  <si>
    <t>LUTECIUM (177LU) OXODOTREOTID 2024</t>
  </si>
  <si>
    <t>VZ-2024-000792</t>
  </si>
  <si>
    <t>Destička mikrotitrační U jednorázová</t>
  </si>
  <si>
    <t>19520000-7</t>
  </si>
  <si>
    <t>SMLN-2024-617-100547</t>
  </si>
  <si>
    <t>SMLN-2024-617-100548</t>
  </si>
  <si>
    <t>Analytické váhy</t>
  </si>
  <si>
    <t>Merck Life Science spol.s  r.o.</t>
  </si>
  <si>
    <t>SMLN-2024-617-100550</t>
  </si>
  <si>
    <t>VZ-2024-000799</t>
  </si>
  <si>
    <t>LP s obsahem darvadstrocelu 2024</t>
  </si>
  <si>
    <t>SMLN-2024-617-100552</t>
  </si>
  <si>
    <t>SMLN-2024-617-100553</t>
  </si>
  <si>
    <t>SMLN-2024-617-100554</t>
  </si>
  <si>
    <t>14.10.2024 vyloučení CAMEDICA na podpis</t>
  </si>
  <si>
    <t>14.10.2024 vyloučení a zrušení na podpis</t>
  </si>
  <si>
    <t>SMLN-2024-617-100556
SMLN-2024-612-100125</t>
  </si>
  <si>
    <t>VZ-2024-000793</t>
  </si>
  <si>
    <t>Stavební úpravy budovy ZH1</t>
  </si>
  <si>
    <t>SMLN-2024-617-100557
SMLN-2024-612-100126</t>
  </si>
  <si>
    <t>14.10.2024 zrušení na podpis</t>
  </si>
  <si>
    <t>SMLN-2024-617-100558</t>
  </si>
  <si>
    <t>27.9.2024 zrušeno</t>
  </si>
  <si>
    <t>15.10.2024. zrušeno</t>
  </si>
  <si>
    <t>11.10.2024 zrušeno</t>
  </si>
  <si>
    <t>4 roky s prolongací</t>
  </si>
  <si>
    <t>VZ-2024-000823-01</t>
  </si>
  <si>
    <t>VZ-2024-000823-02</t>
  </si>
  <si>
    <t>VZ-2024-000823-03</t>
  </si>
  <si>
    <t>Ultrazvukové systémy III</t>
  </si>
  <si>
    <t>2.3.786.</t>
  </si>
  <si>
    <t>UZV pro III. IK</t>
  </si>
  <si>
    <t>UZV pro KCHIR</t>
  </si>
  <si>
    <t>2.3.860.</t>
  </si>
  <si>
    <t>2.2.668.</t>
  </si>
  <si>
    <t>VZ-2024-000823-04</t>
  </si>
  <si>
    <t>UZV sonda pro DK</t>
  </si>
  <si>
    <t>Echokardiograf pro I. IK</t>
  </si>
  <si>
    <t>SMLN-2024-617-100559</t>
  </si>
  <si>
    <t>SMLN-2024-617-100560</t>
  </si>
  <si>
    <t>nová VZ-2024-000</t>
  </si>
  <si>
    <t>SMLN-2024-618-100059</t>
  </si>
  <si>
    <t>1.2.121.</t>
  </si>
  <si>
    <t>VZ-2024-000802</t>
  </si>
  <si>
    <t>Demolice budovy WN</t>
  </si>
  <si>
    <t>SMLN-2024-617-100561
SMLN-2024-612-100127</t>
  </si>
  <si>
    <t>16.10.2024 vyloučení a zrušení na podpis</t>
  </si>
  <si>
    <t>zrušeno - bude se opakovat</t>
  </si>
  <si>
    <t>SMLN-2024-617-100562
SMLN-2024-612-100128</t>
  </si>
  <si>
    <t>SMLN-2024-617-100563
SMLN-2024-612-100129</t>
  </si>
  <si>
    <t>SMLN-2024-617-100564
SMLN-2024-612-100130</t>
  </si>
  <si>
    <t>SMLN-2024-618-100060</t>
  </si>
  <si>
    <t>VZ-2024-000660</t>
  </si>
  <si>
    <t>Vyšetření krevního obrazu u dárců krve a vzorků transfuz. přípravků s výpůjčkou</t>
  </si>
  <si>
    <t>33694000-1; 38434520-7; 38434000-6</t>
  </si>
  <si>
    <t>VZ-2024-000805</t>
  </si>
  <si>
    <t>VZ-2024-000807</t>
  </si>
  <si>
    <t>LP s obsahem vandetanibu 2024</t>
  </si>
  <si>
    <t>LP s obsahem ibrutinibu 2024</t>
  </si>
  <si>
    <t>VZ-2024-000808</t>
  </si>
  <si>
    <t>Jiná imunostimulancia 2024</t>
  </si>
  <si>
    <t>15.10.2024 zrušeno</t>
  </si>
  <si>
    <t>VZ-2024-000825</t>
  </si>
  <si>
    <t>Oprava automyčky ve FNOL (žlutá hala)</t>
  </si>
  <si>
    <t>2.4.212.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</si>
</sst>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#,##0.00\ &quot;Kč&quot;;\-#,##0.00\ &quot;Kč&quot;"/>
    <numFmt numFmtId="8" formatCode="#,##0.00\ &quot;Kč&quot;;[Red]\-#,##0.00\ &quot;Kč&quot;"/>
    <numFmt numFmtId="44" formatCode="_-* #,##0.00\ &quot;Kč&quot;_-;\-* #,##0.00\ &quot;Kč&quot;_-;_-* &quot;-&quot;??\ &quot;Kč&quot;_-;_-@_-"/>
    <numFmt numFmtId="164" formatCode="#,##0.00\ &quot;Kč&quot;"/>
    <numFmt numFmtId="165" formatCode="_-* #,##0.00\ [$€-1]_-;\-* #,##0.00\ [$€-1]_-;_-* &quot;-&quot;??\ [$€-1]_-;_-@_-"/>
    <numFmt numFmtId="166" formatCode="#,##0.00\ _K_č"/>
  </numFmts>
  <fonts count="4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rgb="FF92D05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b/>
      <sz val="11"/>
      <color indexed="56"/>
      <name val="Calibri"/>
      <family val="2"/>
      <charset val="238"/>
    </font>
    <font>
      <b/>
      <sz val="1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i/>
      <sz val="11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i/>
      <sz val="11"/>
      <color theme="9" tint="-0.249977111117893"/>
      <name val="Calibri"/>
      <family val="2"/>
      <charset val="238"/>
      <scheme val="minor"/>
    </font>
    <font>
      <b/>
      <sz val="12"/>
      <color rgb="FFFF0000"/>
      <name val="Verdana"/>
      <family val="2"/>
      <charset val="238"/>
    </font>
    <font>
      <sz val="11"/>
      <color rgb="FFFF0000"/>
      <name val="Verdana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rgb="FF973634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sz val="10.5"/>
      <color theme="1"/>
      <name val="Calibri"/>
      <family val="2"/>
      <charset val="238"/>
      <scheme val="minor"/>
    </font>
    <font>
      <b/>
      <i/>
      <sz val="10.5"/>
      <color theme="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sz val="11"/>
      <color rgb="FF1D1D1B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64"/>
      <name val="Arial"/>
      <family val="2"/>
      <charset val="238"/>
    </font>
    <font>
      <u/>
      <sz val="8"/>
      <color indexed="12"/>
      <name val="Arial"/>
      <family val="2"/>
      <charset val="238"/>
    </font>
    <font>
      <sz val="9"/>
      <name val="Arial Unicode MS"/>
      <family val="2"/>
      <charset val="238"/>
    </font>
    <font>
      <sz val="10"/>
      <color theme="1"/>
      <name val="Arial"/>
      <family val="2"/>
      <charset val="238"/>
    </font>
    <font>
      <b/>
      <sz val="11"/>
      <color rgb="FF00B050"/>
      <name val="Calibri"/>
      <family val="2"/>
      <charset val="238"/>
      <scheme val="minor"/>
    </font>
    <font>
      <sz val="10.5"/>
      <name val="Calibri"/>
      <family val="2"/>
      <charset val="238"/>
      <scheme val="minor"/>
    </font>
    <font>
      <b/>
      <i/>
      <sz val="10.5"/>
      <name val="Calibri"/>
      <family val="2"/>
      <charset val="238"/>
      <scheme val="minor"/>
    </font>
    <font>
      <sz val="10.5"/>
      <color rgb="FFFF0000"/>
      <name val="Calibri"/>
      <family val="2"/>
      <charset val="238"/>
      <scheme val="minor"/>
    </font>
    <font>
      <sz val="10.5"/>
      <color rgb="FF1D1D1B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rgb="FF000000"/>
      <name val="Arial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1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rgb="FF7030A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rgb="FF7030A0"/>
      </right>
      <top style="thin">
        <color auto="1"/>
      </top>
      <bottom style="thin">
        <color auto="1"/>
      </bottom>
      <diagonal/>
    </border>
    <border>
      <left style="thick">
        <color rgb="FF7030A0"/>
      </left>
      <right style="thin">
        <color auto="1"/>
      </right>
      <top style="thin">
        <color auto="1"/>
      </top>
      <bottom style="thick">
        <color rgb="FF7030A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7030A0"/>
      </bottom>
      <diagonal/>
    </border>
    <border>
      <left style="thin">
        <color auto="1"/>
      </left>
      <right style="thick">
        <color rgb="FF7030A0"/>
      </right>
      <top style="thin">
        <color auto="1"/>
      </top>
      <bottom style="thick">
        <color rgb="FF7030A0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mediumDashed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rgb="FF7030A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rgb="FF7030A0"/>
      </right>
      <top/>
      <bottom style="thin">
        <color auto="1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rgb="FF7030A0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DashDotDot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rgb="FF7030A0"/>
      </top>
      <bottom style="thin">
        <color auto="1"/>
      </bottom>
      <diagonal/>
    </border>
    <border>
      <left/>
      <right style="thin">
        <color auto="1"/>
      </right>
      <top style="thick">
        <color rgb="FF7030A0"/>
      </top>
      <bottom style="thin">
        <color auto="1"/>
      </bottom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 style="thin">
        <color auto="1"/>
      </diagonal>
    </border>
    <border diagonalUp="1"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 style="thin">
        <color auto="1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/>
      <right style="thin">
        <color indexed="64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mediumDashed">
        <color rgb="FF7030A0"/>
      </bottom>
      <diagonal/>
    </border>
    <border>
      <left/>
      <right/>
      <top style="thin">
        <color auto="1"/>
      </top>
      <bottom style="thick">
        <color rgb="FF7030A0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Dashed">
        <color rgb="FF7030A0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</borders>
  <cellStyleXfs count="30">
    <xf numFmtId="0" fontId="0" fillId="0" borderId="0"/>
    <xf numFmtId="44" fontId="1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1" fillId="0" borderId="0"/>
    <xf numFmtId="0" fontId="10" fillId="0" borderId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36" fillId="0" borderId="0"/>
    <xf numFmtId="0" fontId="10" fillId="0" borderId="0"/>
    <xf numFmtId="0" fontId="10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20" fillId="0" borderId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5" fillId="0" borderId="0" applyNumberFormat="0" applyFill="0" applyBorder="0" applyAlignment="0" applyProtection="0"/>
  </cellStyleXfs>
  <cellXfs count="346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44" fontId="0" fillId="0" borderId="0" xfId="1" applyFont="1" applyAlignment="1">
      <alignment vertical="center"/>
    </xf>
    <xf numFmtId="44" fontId="2" fillId="2" borderId="1" xfId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44" fontId="0" fillId="2" borderId="1" xfId="1" applyFont="1" applyFill="1" applyBorder="1" applyAlignment="1">
      <alignment vertical="center"/>
    </xf>
    <xf numFmtId="14" fontId="0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4" fontId="0" fillId="2" borderId="2" xfId="0" applyNumberFormat="1" applyFont="1" applyFill="1" applyBorder="1" applyAlignment="1">
      <alignment horizontal="center" vertical="center"/>
    </xf>
    <xf numFmtId="14" fontId="0" fillId="2" borderId="6" xfId="0" applyNumberFormat="1" applyFont="1" applyFill="1" applyBorder="1" applyAlignment="1">
      <alignment horizontal="center" vertical="center"/>
    </xf>
    <xf numFmtId="14" fontId="0" fillId="2" borderId="3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vertical="center"/>
    </xf>
    <xf numFmtId="0" fontId="0" fillId="4" borderId="1" xfId="0" applyFont="1" applyFill="1" applyBorder="1" applyAlignment="1">
      <alignment horizontal="center" vertical="center"/>
    </xf>
    <xf numFmtId="44" fontId="0" fillId="4" borderId="1" xfId="1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44" fontId="0" fillId="3" borderId="1" xfId="1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4" fontId="0" fillId="3" borderId="1" xfId="0" applyNumberFormat="1" applyFont="1" applyFill="1" applyBorder="1" applyAlignment="1">
      <alignment vertical="center"/>
    </xf>
    <xf numFmtId="44" fontId="0" fillId="2" borderId="6" xfId="1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ont="1" applyFill="1" applyBorder="1" applyAlignment="1">
      <alignment vertical="center" wrapText="1"/>
    </xf>
    <xf numFmtId="49" fontId="6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44" fontId="0" fillId="3" borderId="1" xfId="1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44" fontId="0" fillId="5" borderId="1" xfId="1" applyFont="1" applyFill="1" applyBorder="1" applyAlignment="1">
      <alignment vertical="center"/>
    </xf>
    <xf numFmtId="14" fontId="0" fillId="5" borderId="1" xfId="0" applyNumberFormat="1" applyFont="1" applyFill="1" applyBorder="1" applyAlignment="1">
      <alignment horizontal="center" vertical="center"/>
    </xf>
    <xf numFmtId="44" fontId="0" fillId="6" borderId="1" xfId="1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14" fontId="0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4" fontId="0" fillId="4" borderId="1" xfId="1" applyFont="1" applyFill="1" applyBorder="1" applyAlignment="1">
      <alignment horizontal="right" vertical="center"/>
    </xf>
    <xf numFmtId="44" fontId="5" fillId="3" borderId="1" xfId="1" applyFont="1" applyFill="1" applyBorder="1" applyAlignment="1">
      <alignment horizontal="right" vertical="center"/>
    </xf>
    <xf numFmtId="0" fontId="0" fillId="8" borderId="0" xfId="0" applyFill="1" applyAlignment="1">
      <alignment horizontal="center" vertical="center"/>
    </xf>
    <xf numFmtId="0" fontId="0" fillId="8" borderId="1" xfId="0" applyFont="1" applyFill="1" applyBorder="1" applyAlignment="1">
      <alignment vertical="center"/>
    </xf>
    <xf numFmtId="0" fontId="0" fillId="8" borderId="1" xfId="0" applyFont="1" applyFill="1" applyBorder="1" applyAlignment="1">
      <alignment horizontal="center" vertical="center"/>
    </xf>
    <xf numFmtId="44" fontId="0" fillId="8" borderId="1" xfId="1" applyFont="1" applyFill="1" applyBorder="1" applyAlignment="1">
      <alignment vertical="center"/>
    </xf>
    <xf numFmtId="0" fontId="3" fillId="8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0" fillId="0" borderId="0" xfId="0" applyFont="1" applyFill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49" fontId="0" fillId="8" borderId="1" xfId="0" applyNumberFormat="1" applyFont="1" applyFill="1" applyBorder="1" applyAlignment="1">
      <alignment horizontal="center" vertical="center"/>
    </xf>
    <xf numFmtId="49" fontId="0" fillId="3" borderId="4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14" fontId="0" fillId="8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vertical="center"/>
    </xf>
    <xf numFmtId="14" fontId="0" fillId="3" borderId="3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44" fontId="4" fillId="3" borderId="1" xfId="1" applyFont="1" applyFill="1" applyBorder="1" applyAlignment="1">
      <alignment horizontal="right" vertical="center"/>
    </xf>
    <xf numFmtId="0" fontId="0" fillId="6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14" fontId="6" fillId="3" borderId="1" xfId="0" applyNumberFormat="1" applyFont="1" applyFill="1" applyBorder="1" applyAlignment="1">
      <alignment horizontal="center" vertical="center"/>
    </xf>
    <xf numFmtId="44" fontId="0" fillId="3" borderId="1" xfId="1" applyFont="1" applyFill="1" applyBorder="1" applyAlignment="1">
      <alignment horizontal="right" vertical="center"/>
    </xf>
    <xf numFmtId="49" fontId="0" fillId="5" borderId="1" xfId="0" applyNumberForma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 wrapText="1"/>
    </xf>
    <xf numFmtId="8" fontId="0" fillId="4" borderId="1" xfId="1" applyNumberFormat="1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44" fontId="0" fillId="3" borderId="1" xfId="0" applyNumberFormat="1" applyFill="1" applyBorder="1" applyAlignment="1">
      <alignment horizontal="center" vertical="center"/>
    </xf>
    <xf numFmtId="44" fontId="0" fillId="0" borderId="0" xfId="0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 wrapText="1"/>
    </xf>
    <xf numFmtId="8" fontId="0" fillId="3" borderId="1" xfId="1" applyNumberFormat="1" applyFont="1" applyFill="1" applyBorder="1" applyAlignment="1">
      <alignment vertical="center"/>
    </xf>
    <xf numFmtId="49" fontId="0" fillId="8" borderId="1" xfId="0" applyNumberFormat="1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0" fillId="5" borderId="1" xfId="0" applyFont="1" applyFill="1" applyBorder="1" applyAlignment="1">
      <alignment vertical="center"/>
    </xf>
    <xf numFmtId="8" fontId="0" fillId="5" borderId="1" xfId="1" applyNumberFormat="1" applyFont="1" applyFill="1" applyBorder="1" applyAlignment="1">
      <alignment vertical="center"/>
    </xf>
    <xf numFmtId="49" fontId="0" fillId="5" borderId="1" xfId="0" applyNumberForma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vertical="center"/>
    </xf>
    <xf numFmtId="0" fontId="0" fillId="2" borderId="4" xfId="0" applyFont="1" applyFill="1" applyBorder="1" applyAlignment="1">
      <alignment horizontal="center" vertical="center"/>
    </xf>
    <xf numFmtId="49" fontId="0" fillId="2" borderId="4" xfId="0" applyNumberFormat="1" applyFont="1" applyFill="1" applyBorder="1" applyAlignment="1">
      <alignment horizontal="center" vertical="center"/>
    </xf>
    <xf numFmtId="44" fontId="0" fillId="2" borderId="4" xfId="1" applyFont="1" applyFill="1" applyBorder="1" applyAlignment="1">
      <alignment vertical="center"/>
    </xf>
    <xf numFmtId="14" fontId="0" fillId="2" borderId="4" xfId="0" applyNumberFormat="1" applyFont="1" applyFill="1" applyBorder="1" applyAlignment="1">
      <alignment horizontal="center" vertical="center"/>
    </xf>
    <xf numFmtId="44" fontId="0" fillId="4" borderId="11" xfId="1" applyFont="1" applyFill="1" applyBorder="1" applyAlignment="1">
      <alignment vertical="center"/>
    </xf>
    <xf numFmtId="0" fontId="7" fillId="4" borderId="11" xfId="0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 vertical="center"/>
    </xf>
    <xf numFmtId="44" fontId="2" fillId="4" borderId="1" xfId="1" applyFont="1" applyFill="1" applyBorder="1" applyAlignment="1">
      <alignment vertical="center"/>
    </xf>
    <xf numFmtId="0" fontId="2" fillId="4" borderId="14" xfId="0" applyFont="1" applyFill="1" applyBorder="1" applyAlignment="1">
      <alignment horizontal="center" vertical="center"/>
    </xf>
    <xf numFmtId="0" fontId="0" fillId="4" borderId="1" xfId="0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vertical="center"/>
    </xf>
    <xf numFmtId="0" fontId="0" fillId="2" borderId="7" xfId="0" applyFont="1" applyFill="1" applyBorder="1" applyAlignment="1">
      <alignment horizontal="center" vertical="center"/>
    </xf>
    <xf numFmtId="49" fontId="0" fillId="2" borderId="7" xfId="0" applyNumberFormat="1" applyFont="1" applyFill="1" applyBorder="1" applyAlignment="1">
      <alignment horizontal="center" vertical="center"/>
    </xf>
    <xf numFmtId="44" fontId="0" fillId="2" borderId="7" xfId="1" applyFont="1" applyFill="1" applyBorder="1" applyAlignment="1">
      <alignment vertical="center"/>
    </xf>
    <xf numFmtId="14" fontId="0" fillId="2" borderId="7" xfId="0" applyNumberFormat="1" applyFont="1" applyFill="1" applyBorder="1" applyAlignment="1">
      <alignment horizontal="center" vertical="center"/>
    </xf>
    <xf numFmtId="44" fontId="0" fillId="4" borderId="17" xfId="1" applyFont="1" applyFill="1" applyBorder="1" applyAlignment="1">
      <alignment vertical="center"/>
    </xf>
    <xf numFmtId="0" fontId="0" fillId="4" borderId="17" xfId="0" applyFont="1" applyFill="1" applyBorder="1" applyAlignment="1">
      <alignment horizontal="center" vertical="center"/>
    </xf>
    <xf numFmtId="0" fontId="0" fillId="4" borderId="18" xfId="0" applyFont="1" applyFill="1" applyBorder="1" applyAlignment="1">
      <alignment horizontal="center" vertical="center"/>
    </xf>
    <xf numFmtId="44" fontId="0" fillId="3" borderId="1" xfId="1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14" fontId="0" fillId="3" borderId="3" xfId="0" applyNumberFormat="1" applyFont="1" applyFill="1" applyBorder="1" applyAlignment="1">
      <alignment horizontal="center" vertical="center" wrapText="1"/>
    </xf>
    <xf numFmtId="14" fontId="0" fillId="4" borderId="2" xfId="0" applyNumberFormat="1" applyFont="1" applyFill="1" applyBorder="1" applyAlignment="1">
      <alignment horizontal="center" vertical="center"/>
    </xf>
    <xf numFmtId="14" fontId="0" fillId="4" borderId="6" xfId="0" applyNumberFormat="1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/>
    </xf>
    <xf numFmtId="44" fontId="0" fillId="3" borderId="4" xfId="1" applyFont="1" applyFill="1" applyBorder="1" applyAlignment="1">
      <alignment vertical="center"/>
    </xf>
    <xf numFmtId="14" fontId="0" fillId="3" borderId="4" xfId="0" applyNumberFormat="1" applyFont="1" applyFill="1" applyBorder="1" applyAlignment="1">
      <alignment horizontal="center" vertical="center"/>
    </xf>
    <xf numFmtId="0" fontId="0" fillId="3" borderId="4" xfId="0" applyFont="1" applyFill="1" applyBorder="1" applyAlignment="1">
      <alignment vertical="center"/>
    </xf>
    <xf numFmtId="49" fontId="0" fillId="3" borderId="4" xfId="0" applyNumberFormat="1" applyFill="1" applyBorder="1" applyAlignment="1">
      <alignment vertical="center"/>
    </xf>
    <xf numFmtId="44" fontId="0" fillId="3" borderId="7" xfId="1" applyFont="1" applyFill="1" applyBorder="1" applyAlignment="1">
      <alignment vertical="center"/>
    </xf>
    <xf numFmtId="0" fontId="0" fillId="5" borderId="1" xfId="0" applyFill="1" applyBorder="1" applyAlignment="1">
      <alignment vertical="center" wrapText="1"/>
    </xf>
    <xf numFmtId="14" fontId="0" fillId="3" borderId="4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44" fontId="6" fillId="3" borderId="1" xfId="1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49" fontId="6" fillId="8" borderId="1" xfId="0" applyNumberFormat="1" applyFont="1" applyFill="1" applyBorder="1" applyAlignment="1">
      <alignment horizontal="center" vertical="center"/>
    </xf>
    <xf numFmtId="44" fontId="6" fillId="8" borderId="1" xfId="1" applyFont="1" applyFill="1" applyBorder="1" applyAlignment="1">
      <alignment vertical="center"/>
    </xf>
    <xf numFmtId="14" fontId="6" fillId="8" borderId="1" xfId="0" applyNumberFormat="1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8" fontId="0" fillId="4" borderId="4" xfId="1" applyNumberFormat="1" applyFont="1" applyFill="1" applyBorder="1" applyAlignment="1">
      <alignment vertical="center"/>
    </xf>
    <xf numFmtId="0" fontId="7" fillId="4" borderId="4" xfId="0" applyFont="1" applyFill="1" applyBorder="1" applyAlignment="1">
      <alignment horizontal="center" vertical="center"/>
    </xf>
    <xf numFmtId="44" fontId="2" fillId="4" borderId="4" xfId="1" applyFont="1" applyFill="1" applyBorder="1" applyAlignment="1">
      <alignment vertical="center"/>
    </xf>
    <xf numFmtId="44" fontId="0" fillId="4" borderId="4" xfId="1" applyFont="1" applyFill="1" applyBorder="1" applyAlignment="1">
      <alignment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20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0" fillId="3" borderId="7" xfId="0" applyFill="1" applyBorder="1" applyAlignment="1">
      <alignment horizontal="center" vertical="center"/>
    </xf>
    <xf numFmtId="14" fontId="0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center" vertical="center"/>
    </xf>
    <xf numFmtId="49" fontId="0" fillId="4" borderId="4" xfId="0" applyNumberFormat="1" applyFont="1" applyFill="1" applyBorder="1" applyAlignment="1">
      <alignment horizontal="center" vertical="center"/>
    </xf>
    <xf numFmtId="14" fontId="0" fillId="4" borderId="4" xfId="0" applyNumberFormat="1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14" fontId="0" fillId="4" borderId="4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 wrapText="1"/>
    </xf>
    <xf numFmtId="49" fontId="0" fillId="5" borderId="1" xfId="0" applyNumberFormat="1" applyFont="1" applyFill="1" applyBorder="1" applyAlignment="1">
      <alignment horizontal="center" vertical="center"/>
    </xf>
    <xf numFmtId="44" fontId="0" fillId="4" borderId="16" xfId="1" applyFont="1" applyFill="1" applyBorder="1" applyAlignment="1">
      <alignment vertical="center"/>
    </xf>
    <xf numFmtId="0" fontId="0" fillId="4" borderId="16" xfId="0" applyFont="1" applyFill="1" applyBorder="1" applyAlignment="1">
      <alignment horizontal="center" vertical="center"/>
    </xf>
    <xf numFmtId="0" fontId="0" fillId="4" borderId="19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0" fillId="3" borderId="4" xfId="0" applyFill="1" applyBorder="1" applyAlignment="1">
      <alignment vertical="center" wrapText="1"/>
    </xf>
    <xf numFmtId="0" fontId="0" fillId="3" borderId="7" xfId="0" applyFill="1" applyBorder="1" applyAlignment="1">
      <alignment vertical="center" wrapText="1"/>
    </xf>
    <xf numFmtId="0" fontId="2" fillId="4" borderId="2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2" fillId="4" borderId="3" xfId="0" applyFont="1" applyFill="1" applyBorder="1" applyAlignment="1">
      <alignment vertical="center"/>
    </xf>
    <xf numFmtId="14" fontId="2" fillId="4" borderId="2" xfId="0" applyNumberFormat="1" applyFont="1" applyFill="1" applyBorder="1" applyAlignment="1">
      <alignment vertical="center"/>
    </xf>
    <xf numFmtId="14" fontId="2" fillId="4" borderId="6" xfId="0" applyNumberFormat="1" applyFont="1" applyFill="1" applyBorder="1" applyAlignment="1">
      <alignment vertical="center"/>
    </xf>
    <xf numFmtId="14" fontId="2" fillId="4" borderId="3" xfId="0" applyNumberFormat="1" applyFont="1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14" fontId="0" fillId="3" borderId="4" xfId="0" applyNumberFormat="1" applyFont="1" applyFill="1" applyBorder="1" applyAlignment="1">
      <alignment horizontal="center" vertical="center"/>
    </xf>
    <xf numFmtId="14" fontId="0" fillId="4" borderId="11" xfId="0" applyNumberFormat="1" applyFont="1" applyFill="1" applyBorder="1" applyAlignment="1">
      <alignment horizontal="center" vertical="center"/>
    </xf>
    <xf numFmtId="14" fontId="0" fillId="4" borderId="16" xfId="0" applyNumberFormat="1" applyFont="1" applyFill="1" applyBorder="1" applyAlignment="1">
      <alignment horizontal="center" vertical="center"/>
    </xf>
    <xf numFmtId="14" fontId="0" fillId="4" borderId="17" xfId="0" applyNumberFormat="1" applyFont="1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4" borderId="11" xfId="0" applyFill="1" applyBorder="1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0" fontId="0" fillId="4" borderId="10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16" xfId="0" applyFill="1" applyBorder="1" applyAlignment="1">
      <alignment horizontal="left" vertical="center"/>
    </xf>
    <xf numFmtId="0" fontId="0" fillId="4" borderId="16" xfId="0" applyFill="1" applyBorder="1" applyAlignment="1">
      <alignment horizontal="center" vertical="center"/>
    </xf>
    <xf numFmtId="0" fontId="0" fillId="4" borderId="17" xfId="0" applyFill="1" applyBorder="1" applyAlignment="1">
      <alignment horizontal="left" vertical="center"/>
    </xf>
    <xf numFmtId="0" fontId="0" fillId="4" borderId="4" xfId="0" applyFill="1" applyBorder="1" applyAlignment="1">
      <alignment horizontal="left" vertical="center"/>
    </xf>
    <xf numFmtId="0" fontId="0" fillId="4" borderId="8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 vertical="center"/>
    </xf>
    <xf numFmtId="44" fontId="0" fillId="3" borderId="1" xfId="0" applyNumberFormat="1" applyFont="1" applyFill="1" applyBorder="1" applyAlignment="1">
      <alignment horizontal="left" vertical="center"/>
    </xf>
    <xf numFmtId="49" fontId="0" fillId="6" borderId="1" xfId="0" applyNumberFormat="1" applyFill="1" applyBorder="1" applyAlignment="1">
      <alignment horizontal="center" vertical="center" wrapText="1"/>
    </xf>
    <xf numFmtId="8" fontId="0" fillId="6" borderId="1" xfId="1" applyNumberFormat="1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3" borderId="22" xfId="0" applyFill="1" applyBorder="1" applyAlignment="1">
      <alignment horizontal="left" vertical="center"/>
    </xf>
    <xf numFmtId="49" fontId="0" fillId="3" borderId="22" xfId="0" applyNumberFormat="1" applyFont="1" applyFill="1" applyBorder="1" applyAlignment="1">
      <alignment horizontal="center" vertical="center"/>
    </xf>
    <xf numFmtId="8" fontId="0" fillId="3" borderId="22" xfId="1" applyNumberFormat="1" applyFont="1" applyFill="1" applyBorder="1" applyAlignment="1">
      <alignment vertical="center"/>
    </xf>
    <xf numFmtId="14" fontId="0" fillId="3" borderId="22" xfId="0" applyNumberFormat="1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44" fontId="1" fillId="3" borderId="22" xfId="1" applyFont="1" applyFill="1" applyBorder="1" applyAlignment="1">
      <alignment vertical="center"/>
    </xf>
    <xf numFmtId="44" fontId="0" fillId="3" borderId="22" xfId="1" applyFont="1" applyFill="1" applyBorder="1" applyAlignment="1">
      <alignment vertical="center"/>
    </xf>
    <xf numFmtId="0" fontId="0" fillId="3" borderId="22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0" fillId="3" borderId="6" xfId="0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 vertical="center"/>
    </xf>
    <xf numFmtId="44" fontId="6" fillId="4" borderId="1" xfId="1" applyFont="1" applyFill="1" applyBorder="1" applyAlignment="1">
      <alignment vertical="center"/>
    </xf>
    <xf numFmtId="14" fontId="6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4" fontId="0" fillId="5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 wrapText="1"/>
    </xf>
    <xf numFmtId="8" fontId="0" fillId="3" borderId="4" xfId="1" applyNumberFormat="1" applyFont="1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14" fontId="0" fillId="5" borderId="2" xfId="0" applyNumberFormat="1" applyFont="1" applyFill="1" applyBorder="1" applyAlignment="1">
      <alignment horizontal="center" vertical="center"/>
    </xf>
    <xf numFmtId="49" fontId="0" fillId="3" borderId="7" xfId="0" applyNumberFormat="1" applyFill="1" applyBorder="1" applyAlignment="1">
      <alignment horizontal="center" vertical="center" wrapText="1"/>
    </xf>
    <xf numFmtId="8" fontId="0" fillId="3" borderId="7" xfId="1" applyNumberFormat="1" applyFont="1" applyFill="1" applyBorder="1" applyAlignment="1">
      <alignment vertical="center"/>
    </xf>
    <xf numFmtId="0" fontId="0" fillId="3" borderId="7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17" xfId="0" applyFill="1" applyBorder="1" applyAlignment="1">
      <alignment horizontal="left" vertical="center"/>
    </xf>
    <xf numFmtId="0" fontId="0" fillId="3" borderId="8" xfId="0" applyFill="1" applyBorder="1" applyAlignment="1">
      <alignment horizontal="center" vertical="center"/>
    </xf>
    <xf numFmtId="44" fontId="0" fillId="3" borderId="17" xfId="1" applyFont="1" applyFill="1" applyBorder="1" applyAlignment="1">
      <alignment vertical="center"/>
    </xf>
    <xf numFmtId="0" fontId="0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14" fontId="0" fillId="3" borderId="17" xfId="0" applyNumberFormat="1" applyFont="1" applyFill="1" applyBorder="1" applyAlignment="1">
      <alignment horizontal="center" vertical="center"/>
    </xf>
    <xf numFmtId="49" fontId="0" fillId="3" borderId="11" xfId="0" applyNumberFormat="1" applyFont="1" applyFill="1" applyBorder="1" applyAlignment="1">
      <alignment horizontal="center" vertical="center"/>
    </xf>
    <xf numFmtId="49" fontId="0" fillId="3" borderId="17" xfId="0" applyNumberFormat="1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14" fontId="0" fillId="5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11" xfId="0" applyFont="1" applyFill="1" applyBorder="1" applyAlignment="1">
      <alignment horizontal="center" vertical="center"/>
    </xf>
    <xf numFmtId="44" fontId="0" fillId="3" borderId="11" xfId="1" applyFont="1" applyFill="1" applyBorder="1" applyAlignment="1">
      <alignment vertical="center"/>
    </xf>
    <xf numFmtId="14" fontId="0" fillId="3" borderId="11" xfId="0" applyNumberFormat="1" applyFont="1" applyFill="1" applyBorder="1" applyAlignment="1">
      <alignment horizontal="center" vertical="center"/>
    </xf>
    <xf numFmtId="8" fontId="0" fillId="3" borderId="11" xfId="1" applyNumberFormat="1" applyFont="1" applyFill="1" applyBorder="1" applyAlignment="1">
      <alignment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14" fontId="0" fillId="3" borderId="4" xfId="0" applyNumberFormat="1" applyFont="1" applyFill="1" applyBorder="1" applyAlignment="1">
      <alignment horizontal="center" vertical="center"/>
    </xf>
    <xf numFmtId="14" fontId="0" fillId="3" borderId="7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4" xfId="0" applyFill="1" applyBorder="1" applyAlignment="1">
      <alignment vertical="center"/>
    </xf>
    <xf numFmtId="0" fontId="0" fillId="5" borderId="4" xfId="0" applyFill="1" applyBorder="1" applyAlignment="1">
      <alignment horizontal="center" vertical="center"/>
    </xf>
    <xf numFmtId="49" fontId="0" fillId="5" borderId="4" xfId="0" applyNumberFormat="1" applyFont="1" applyFill="1" applyBorder="1" applyAlignment="1">
      <alignment horizontal="center" vertical="center"/>
    </xf>
    <xf numFmtId="44" fontId="0" fillId="5" borderId="4" xfId="1" applyFont="1" applyFill="1" applyBorder="1" applyAlignment="1">
      <alignment vertical="center"/>
    </xf>
    <xf numFmtId="14" fontId="0" fillId="5" borderId="4" xfId="0" applyNumberFormat="1" applyFont="1" applyFill="1" applyBorder="1" applyAlignment="1">
      <alignment horizontal="center" vertical="center"/>
    </xf>
    <xf numFmtId="14" fontId="0" fillId="5" borderId="4" xfId="0" applyNumberForma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0" fontId="0" fillId="3" borderId="8" xfId="0" applyFont="1" applyFill="1" applyBorder="1" applyAlignment="1">
      <alignment vertical="center"/>
    </xf>
    <xf numFmtId="0" fontId="0" fillId="3" borderId="16" xfId="0" applyFont="1" applyFill="1" applyBorder="1" applyAlignment="1">
      <alignment vertical="center"/>
    </xf>
    <xf numFmtId="0" fontId="0" fillId="4" borderId="8" xfId="0" applyFill="1" applyBorder="1" applyAlignment="1"/>
    <xf numFmtId="0" fontId="0" fillId="4" borderId="10" xfId="0" applyFont="1" applyFill="1" applyBorder="1" applyAlignment="1">
      <alignment vertical="center"/>
    </xf>
    <xf numFmtId="49" fontId="0" fillId="4" borderId="11" xfId="0" applyNumberFormat="1" applyFont="1" applyFill="1" applyBorder="1" applyAlignment="1">
      <alignment horizontal="center" vertical="center"/>
    </xf>
    <xf numFmtId="14" fontId="0" fillId="3" borderId="10" xfId="0" applyNumberFormat="1" applyFont="1" applyFill="1" applyBorder="1" applyAlignment="1">
      <alignment vertical="center"/>
    </xf>
    <xf numFmtId="14" fontId="0" fillId="3" borderId="8" xfId="0" applyNumberFormat="1" applyFont="1" applyFill="1" applyBorder="1" applyAlignment="1">
      <alignment vertical="center"/>
    </xf>
    <xf numFmtId="14" fontId="0" fillId="3" borderId="16" xfId="0" applyNumberFormat="1" applyFont="1" applyFill="1" applyBorder="1" applyAlignment="1">
      <alignment vertical="center"/>
    </xf>
    <xf numFmtId="14" fontId="0" fillId="4" borderId="10" xfId="0" applyNumberFormat="1" applyFont="1" applyFill="1" applyBorder="1" applyAlignment="1">
      <alignment vertical="center"/>
    </xf>
    <xf numFmtId="14" fontId="0" fillId="4" borderId="8" xfId="0" applyNumberFormat="1" applyFont="1" applyFill="1" applyBorder="1" applyAlignment="1">
      <alignment vertical="center"/>
    </xf>
    <xf numFmtId="49" fontId="0" fillId="3" borderId="17" xfId="0" applyNumberFormat="1" applyFill="1" applyBorder="1" applyAlignment="1">
      <alignment horizontal="center" vertical="center"/>
    </xf>
    <xf numFmtId="0" fontId="0" fillId="4" borderId="8" xfId="0" applyFont="1" applyFill="1" applyBorder="1" applyAlignment="1">
      <alignment vertical="center"/>
    </xf>
    <xf numFmtId="0" fontId="2" fillId="4" borderId="10" xfId="0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16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16" xfId="0" applyFont="1" applyFill="1" applyBorder="1" applyAlignment="1">
      <alignment vertical="center"/>
    </xf>
    <xf numFmtId="49" fontId="0" fillId="4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vertical="center"/>
    </xf>
    <xf numFmtId="14" fontId="0" fillId="4" borderId="16" xfId="0" applyNumberFormat="1" applyFont="1" applyFill="1" applyBorder="1" applyAlignment="1">
      <alignment vertical="center"/>
    </xf>
    <xf numFmtId="0" fontId="2" fillId="3" borderId="10" xfId="0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49" fontId="0" fillId="4" borderId="17" xfId="0" applyNumberFormat="1" applyFont="1" applyFill="1" applyBorder="1" applyAlignment="1">
      <alignment horizontal="center" vertical="center"/>
    </xf>
    <xf numFmtId="0" fontId="0" fillId="3" borderId="10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3" borderId="8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vertical="center" wrapText="1"/>
    </xf>
    <xf numFmtId="14" fontId="0" fillId="3" borderId="8" xfId="0" applyNumberFormat="1" applyFill="1" applyBorder="1" applyAlignment="1">
      <alignment vertical="center"/>
    </xf>
    <xf numFmtId="0" fontId="9" fillId="3" borderId="11" xfId="0" applyFont="1" applyFill="1" applyBorder="1" applyAlignment="1">
      <alignment horizontal="center" vertical="center"/>
    </xf>
    <xf numFmtId="44" fontId="6" fillId="3" borderId="11" xfId="1" applyFont="1" applyFill="1" applyBorder="1" applyAlignment="1">
      <alignment vertical="center"/>
    </xf>
    <xf numFmtId="14" fontId="6" fillId="3" borderId="11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0" fontId="0" fillId="8" borderId="1" xfId="0" applyFill="1" applyBorder="1" applyAlignment="1">
      <alignment horizontal="left" vertical="center" wrapText="1"/>
    </xf>
    <xf numFmtId="0" fontId="0" fillId="8" borderId="1" xfId="0" applyFill="1" applyBorder="1" applyAlignment="1">
      <alignment horizontal="center" vertical="center" wrapText="1"/>
    </xf>
    <xf numFmtId="14" fontId="0" fillId="3" borderId="4" xfId="0" applyNumberFormat="1" applyFont="1" applyFill="1" applyBorder="1" applyAlignment="1">
      <alignment vertical="center"/>
    </xf>
    <xf numFmtId="14" fontId="0" fillId="3" borderId="7" xfId="0" applyNumberFormat="1" applyFont="1" applyFill="1" applyBorder="1" applyAlignment="1">
      <alignment vertical="center"/>
    </xf>
    <xf numFmtId="0" fontId="0" fillId="6" borderId="4" xfId="0" applyFill="1" applyBorder="1" applyAlignment="1">
      <alignment vertical="center"/>
    </xf>
    <xf numFmtId="0" fontId="0" fillId="6" borderId="4" xfId="0" applyFill="1" applyBorder="1" applyAlignment="1">
      <alignment horizontal="center" vertical="center"/>
    </xf>
    <xf numFmtId="49" fontId="0" fillId="6" borderId="4" xfId="0" applyNumberFormat="1" applyFont="1" applyFill="1" applyBorder="1" applyAlignment="1">
      <alignment horizontal="center" vertical="center"/>
    </xf>
    <xf numFmtId="44" fontId="0" fillId="6" borderId="4" xfId="1" applyFont="1" applyFill="1" applyBorder="1" applyAlignment="1">
      <alignment vertical="center"/>
    </xf>
    <xf numFmtId="14" fontId="0" fillId="6" borderId="4" xfId="0" applyNumberFormat="1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14" fontId="0" fillId="6" borderId="4" xfId="0" applyNumberFormat="1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11" xfId="0" applyFill="1" applyBorder="1" applyAlignment="1">
      <alignment horizontal="left" vertical="center"/>
    </xf>
    <xf numFmtId="49" fontId="0" fillId="8" borderId="11" xfId="0" applyNumberFormat="1" applyFont="1" applyFill="1" applyBorder="1" applyAlignment="1">
      <alignment horizontal="center" vertical="center"/>
    </xf>
    <xf numFmtId="8" fontId="0" fillId="8" borderId="11" xfId="1" applyNumberFormat="1" applyFont="1" applyFill="1" applyBorder="1" applyAlignment="1">
      <alignment vertical="center"/>
    </xf>
    <xf numFmtId="14" fontId="0" fillId="8" borderId="11" xfId="0" applyNumberFormat="1" applyFont="1" applyFill="1" applyBorder="1" applyAlignment="1">
      <alignment horizontal="center" vertical="center"/>
    </xf>
    <xf numFmtId="0" fontId="3" fillId="8" borderId="11" xfId="0" applyFont="1" applyFill="1" applyBorder="1" applyAlignment="1">
      <alignment horizontal="center" vertical="center"/>
    </xf>
    <xf numFmtId="44" fontId="1" fillId="8" borderId="11" xfId="1" applyFont="1" applyFill="1" applyBorder="1" applyAlignment="1">
      <alignment vertical="center"/>
    </xf>
    <xf numFmtId="44" fontId="0" fillId="8" borderId="11" xfId="1" applyFont="1" applyFill="1" applyBorder="1" applyAlignment="1">
      <alignment vertical="center"/>
    </xf>
    <xf numFmtId="0" fontId="0" fillId="8" borderId="11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 wrapText="1"/>
    </xf>
    <xf numFmtId="8" fontId="0" fillId="3" borderId="4" xfId="1" applyNumberFormat="1" applyFont="1" applyFill="1" applyBorder="1" applyAlignment="1">
      <alignment vertical="center"/>
    </xf>
    <xf numFmtId="14" fontId="0" fillId="3" borderId="4" xfId="0" applyNumberFormat="1" applyFont="1" applyFill="1" applyBorder="1" applyAlignment="1">
      <alignment horizontal="center" vertical="center"/>
    </xf>
    <xf numFmtId="44" fontId="0" fillId="3" borderId="4" xfId="1" applyFont="1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3" borderId="4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4" borderId="15" xfId="0" applyFont="1" applyFill="1" applyBorder="1" applyAlignment="1">
      <alignment horizontal="center" vertical="center"/>
    </xf>
    <xf numFmtId="0" fontId="0" fillId="4" borderId="13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44" fontId="0" fillId="3" borderId="7" xfId="0" applyNumberFormat="1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3" borderId="10" xfId="0" applyFont="1" applyFill="1" applyBorder="1" applyAlignment="1">
      <alignment vertical="center"/>
    </xf>
    <xf numFmtId="0" fontId="0" fillId="6" borderId="24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10" xfId="0" applyFill="1" applyBorder="1" applyAlignment="1">
      <alignment horizontal="left" vertical="center"/>
    </xf>
    <xf numFmtId="49" fontId="0" fillId="6" borderId="10" xfId="0" applyNumberFormat="1" applyFont="1" applyFill="1" applyBorder="1" applyAlignment="1">
      <alignment horizontal="center" vertical="center"/>
    </xf>
    <xf numFmtId="8" fontId="0" fillId="6" borderId="10" xfId="1" applyNumberFormat="1" applyFont="1" applyFill="1" applyBorder="1" applyAlignment="1">
      <alignment vertical="center"/>
    </xf>
    <xf numFmtId="14" fontId="0" fillId="6" borderId="10" xfId="0" applyNumberFormat="1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44" fontId="1" fillId="6" borderId="10" xfId="1" applyFont="1" applyFill="1" applyBorder="1" applyAlignment="1">
      <alignment vertical="center"/>
    </xf>
    <xf numFmtId="44" fontId="0" fillId="6" borderId="10" xfId="1" applyFont="1" applyFill="1" applyBorder="1" applyAlignment="1">
      <alignment vertical="center"/>
    </xf>
    <xf numFmtId="0" fontId="0" fillId="6" borderId="10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/>
    </xf>
    <xf numFmtId="14" fontId="0" fillId="5" borderId="6" xfId="0" applyNumberFormat="1" applyFont="1" applyFill="1" applyBorder="1" applyAlignment="1">
      <alignment horizontal="center" vertical="center"/>
    </xf>
    <xf numFmtId="44" fontId="0" fillId="5" borderId="1" xfId="1" applyFont="1" applyFill="1" applyBorder="1" applyAlignment="1">
      <alignment horizontal="right" vertical="center"/>
    </xf>
    <xf numFmtId="14" fontId="0" fillId="5" borderId="1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4" fontId="6" fillId="3" borderId="1" xfId="1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49" fontId="0" fillId="3" borderId="4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0" fillId="3" borderId="4" xfId="0" applyNumberFormat="1" applyFill="1" applyBorder="1" applyAlignment="1">
      <alignment horizontal="center" vertical="center"/>
    </xf>
    <xf numFmtId="0" fontId="0" fillId="3" borderId="7" xfId="0" applyFont="1" applyFill="1" applyBorder="1" applyAlignment="1">
      <alignment vertical="center"/>
    </xf>
    <xf numFmtId="0" fontId="0" fillId="3" borderId="7" xfId="0" applyFont="1" applyFill="1" applyBorder="1" applyAlignment="1">
      <alignment horizontal="center" vertical="center"/>
    </xf>
    <xf numFmtId="44" fontId="0" fillId="3" borderId="7" xfId="1" applyFont="1" applyFill="1" applyBorder="1" applyAlignment="1">
      <alignment horizontal="center" vertical="center"/>
    </xf>
    <xf numFmtId="14" fontId="0" fillId="3" borderId="7" xfId="0" applyNumberForma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49" fontId="0" fillId="3" borderId="7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pivotButton="1"/>
    <xf numFmtId="0" fontId="0" fillId="3" borderId="29" xfId="0" applyFill="1" applyBorder="1" applyAlignment="1">
      <alignment horizontal="center" vertical="center"/>
    </xf>
    <xf numFmtId="44" fontId="1" fillId="3" borderId="1" xfId="1" applyFont="1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0" fillId="3" borderId="32" xfId="0" applyFill="1" applyBorder="1" applyAlignment="1">
      <alignment horizontal="left" vertical="center"/>
    </xf>
    <xf numFmtId="49" fontId="0" fillId="3" borderId="32" xfId="0" applyNumberFormat="1" applyFont="1" applyFill="1" applyBorder="1" applyAlignment="1">
      <alignment horizontal="center" vertical="center"/>
    </xf>
    <xf numFmtId="44" fontId="0" fillId="3" borderId="32" xfId="1" applyFont="1" applyFill="1" applyBorder="1" applyAlignment="1">
      <alignment vertical="center"/>
    </xf>
    <xf numFmtId="14" fontId="0" fillId="3" borderId="32" xfId="0" applyNumberFormat="1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44" fontId="1" fillId="3" borderId="32" xfId="1" applyFont="1" applyFill="1" applyBorder="1" applyAlignment="1">
      <alignment horizontal="center" vertical="center"/>
    </xf>
    <xf numFmtId="44" fontId="0" fillId="3" borderId="32" xfId="1" applyFont="1" applyFill="1" applyBorder="1" applyAlignment="1">
      <alignment horizontal="center" vertical="center"/>
    </xf>
    <xf numFmtId="14" fontId="0" fillId="3" borderId="32" xfId="0" applyNumberForma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4" fontId="0" fillId="3" borderId="14" xfId="0" applyNumberForma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14" fontId="0" fillId="3" borderId="18" xfId="0" applyNumberFormat="1" applyFill="1" applyBorder="1" applyAlignment="1">
      <alignment horizontal="center" vertical="center"/>
    </xf>
    <xf numFmtId="14" fontId="0" fillId="3" borderId="12" xfId="0" applyNumberFormat="1" applyFill="1" applyBorder="1" applyAlignment="1">
      <alignment horizontal="center" vertical="center"/>
    </xf>
    <xf numFmtId="14" fontId="6" fillId="3" borderId="12" xfId="0" applyNumberFormat="1" applyFont="1" applyFill="1" applyBorder="1" applyAlignment="1">
      <alignment horizontal="center" vertical="center"/>
    </xf>
    <xf numFmtId="14" fontId="6" fillId="3" borderId="14" xfId="0" applyNumberFormat="1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left" vertical="center" wrapText="1"/>
    </xf>
    <xf numFmtId="0" fontId="0" fillId="4" borderId="4" xfId="0" applyFill="1" applyBorder="1" applyAlignment="1">
      <alignment horizontal="center" vertical="center" wrapText="1"/>
    </xf>
    <xf numFmtId="49" fontId="0" fillId="4" borderId="4" xfId="0" applyNumberFormat="1" applyFill="1" applyBorder="1" applyAlignment="1">
      <alignment horizontal="left" vertical="center"/>
    </xf>
    <xf numFmtId="44" fontId="0" fillId="4" borderId="4" xfId="1" applyFont="1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49" fontId="0" fillId="3" borderId="35" xfId="0" applyNumberFormat="1" applyFill="1" applyBorder="1" applyAlignment="1">
      <alignment horizontal="center" vertical="center"/>
    </xf>
    <xf numFmtId="44" fontId="0" fillId="3" borderId="35" xfId="1" applyFont="1" applyFill="1" applyBorder="1" applyAlignment="1">
      <alignment vertical="center"/>
    </xf>
    <xf numFmtId="14" fontId="0" fillId="3" borderId="35" xfId="0" applyNumberFormat="1" applyFill="1" applyBorder="1" applyAlignment="1">
      <alignment horizontal="center" vertical="center"/>
    </xf>
    <xf numFmtId="44" fontId="0" fillId="3" borderId="35" xfId="1" applyFont="1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4" borderId="1" xfId="0" applyFont="1" applyFill="1" applyBorder="1" applyAlignment="1">
      <alignment vertical="center" wrapText="1"/>
    </xf>
    <xf numFmtId="0" fontId="2" fillId="4" borderId="0" xfId="0" applyFont="1" applyFill="1" applyAlignment="1">
      <alignment vertical="center"/>
    </xf>
    <xf numFmtId="0" fontId="0" fillId="3" borderId="0" xfId="0" applyFill="1"/>
    <xf numFmtId="0" fontId="0" fillId="3" borderId="35" xfId="0" applyFill="1" applyBorder="1" applyAlignment="1">
      <alignment vertical="center"/>
    </xf>
    <xf numFmtId="0" fontId="0" fillId="3" borderId="42" xfId="0" applyFill="1" applyBorder="1" applyAlignment="1">
      <alignment horizontal="center" vertical="center"/>
    </xf>
    <xf numFmtId="0" fontId="0" fillId="3" borderId="42" xfId="0" applyFill="1" applyBorder="1" applyAlignment="1">
      <alignment vertical="center"/>
    </xf>
    <xf numFmtId="0" fontId="6" fillId="3" borderId="42" xfId="0" applyFont="1" applyFill="1" applyBorder="1" applyAlignment="1">
      <alignment horizontal="center" vertical="center"/>
    </xf>
    <xf numFmtId="49" fontId="0" fillId="3" borderId="42" xfId="0" applyNumberFormat="1" applyFill="1" applyBorder="1" applyAlignment="1">
      <alignment horizontal="center" vertical="center"/>
    </xf>
    <xf numFmtId="44" fontId="0" fillId="3" borderId="42" xfId="1" applyFont="1" applyFill="1" applyBorder="1" applyAlignment="1">
      <alignment vertical="center"/>
    </xf>
    <xf numFmtId="14" fontId="0" fillId="3" borderId="42" xfId="0" applyNumberFormat="1" applyFill="1" applyBorder="1" applyAlignment="1">
      <alignment horizontal="center" vertical="center"/>
    </xf>
    <xf numFmtId="44" fontId="0" fillId="3" borderId="42" xfId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49" fontId="0" fillId="3" borderId="7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49" fontId="0" fillId="3" borderId="7" xfId="0" applyNumberFormat="1" applyFont="1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50" xfId="0" applyFill="1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0" fillId="5" borderId="28" xfId="0" applyFill="1" applyBorder="1" applyAlignment="1">
      <alignment vertical="center"/>
    </xf>
    <xf numFmtId="44" fontId="0" fillId="5" borderId="28" xfId="1" applyFont="1" applyFill="1" applyBorder="1" applyAlignment="1">
      <alignment vertical="center"/>
    </xf>
    <xf numFmtId="14" fontId="0" fillId="5" borderId="28" xfId="0" applyNumberFormat="1" applyFill="1" applyBorder="1" applyAlignment="1">
      <alignment horizontal="center" vertical="center"/>
    </xf>
    <xf numFmtId="44" fontId="0" fillId="5" borderId="28" xfId="1" applyFont="1" applyFill="1" applyBorder="1" applyAlignment="1">
      <alignment horizontal="center" vertical="center"/>
    </xf>
    <xf numFmtId="0" fontId="0" fillId="5" borderId="52" xfId="0" applyFill="1" applyBorder="1" applyAlignment="1">
      <alignment horizontal="center" vertical="center"/>
    </xf>
    <xf numFmtId="0" fontId="0" fillId="5" borderId="49" xfId="0" applyFill="1" applyBorder="1" applyAlignment="1">
      <alignment horizontal="center" vertical="center"/>
    </xf>
    <xf numFmtId="0" fontId="0" fillId="5" borderId="49" xfId="0" applyFill="1" applyBorder="1" applyAlignment="1">
      <alignment vertical="center"/>
    </xf>
    <xf numFmtId="49" fontId="0" fillId="5" borderId="49" xfId="0" applyNumberFormat="1" applyFill="1" applyBorder="1" applyAlignment="1">
      <alignment horizontal="center" vertical="center"/>
    </xf>
    <xf numFmtId="44" fontId="0" fillId="5" borderId="49" xfId="1" applyFont="1" applyFill="1" applyBorder="1" applyAlignment="1">
      <alignment vertical="center"/>
    </xf>
    <xf numFmtId="14" fontId="0" fillId="5" borderId="49" xfId="0" applyNumberFormat="1" applyFill="1" applyBorder="1" applyAlignment="1">
      <alignment horizontal="center" vertical="center"/>
    </xf>
    <xf numFmtId="44" fontId="0" fillId="5" borderId="49" xfId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0" fillId="4" borderId="50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0" fillId="4" borderId="28" xfId="0" applyFill="1" applyBorder="1" applyAlignment="1">
      <alignment vertical="center"/>
    </xf>
    <xf numFmtId="49" fontId="0" fillId="4" borderId="28" xfId="0" applyNumberFormat="1" applyFill="1" applyBorder="1" applyAlignment="1">
      <alignment horizontal="center" vertical="center"/>
    </xf>
    <xf numFmtId="44" fontId="0" fillId="4" borderId="28" xfId="1" applyFont="1" applyFill="1" applyBorder="1" applyAlignment="1">
      <alignment vertical="center"/>
    </xf>
    <xf numFmtId="14" fontId="0" fillId="4" borderId="28" xfId="0" applyNumberFormat="1" applyFill="1" applyBorder="1" applyAlignment="1">
      <alignment horizontal="center" vertical="center"/>
    </xf>
    <xf numFmtId="44" fontId="0" fillId="4" borderId="28" xfId="1" applyFont="1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3" borderId="49" xfId="0" applyFill="1" applyBorder="1" applyAlignment="1">
      <alignment horizontal="center" vertical="center"/>
    </xf>
    <xf numFmtId="49" fontId="0" fillId="3" borderId="49" xfId="0" applyNumberFormat="1" applyFill="1" applyBorder="1" applyAlignment="1">
      <alignment horizontal="center" vertical="center"/>
    </xf>
    <xf numFmtId="44" fontId="0" fillId="3" borderId="49" xfId="1" applyFont="1" applyFill="1" applyBorder="1" applyAlignment="1">
      <alignment vertical="center"/>
    </xf>
    <xf numFmtId="44" fontId="0" fillId="3" borderId="49" xfId="1" applyFon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49" fontId="0" fillId="3" borderId="28" xfId="0" applyNumberFormat="1" applyFill="1" applyBorder="1" applyAlignment="1">
      <alignment horizontal="center" vertical="center"/>
    </xf>
    <xf numFmtId="44" fontId="0" fillId="3" borderId="28" xfId="1" applyFont="1" applyFill="1" applyBorder="1" applyAlignment="1">
      <alignment vertical="center"/>
    </xf>
    <xf numFmtId="14" fontId="0" fillId="3" borderId="28" xfId="0" applyNumberFormat="1" applyFont="1" applyFill="1" applyBorder="1" applyAlignment="1">
      <alignment horizontal="center" vertical="center"/>
    </xf>
    <xf numFmtId="44" fontId="0" fillId="3" borderId="28" xfId="1" applyFont="1" applyFill="1" applyBorder="1" applyAlignment="1">
      <alignment horizontal="center" vertical="center"/>
    </xf>
    <xf numFmtId="0" fontId="0" fillId="3" borderId="49" xfId="0" applyFill="1" applyBorder="1" applyAlignment="1">
      <alignment horizontal="left" vertical="center" wrapText="1"/>
    </xf>
    <xf numFmtId="0" fontId="0" fillId="3" borderId="49" xfId="0" applyFill="1" applyBorder="1" applyAlignment="1">
      <alignment horizontal="center" vertical="center" wrapText="1"/>
    </xf>
    <xf numFmtId="14" fontId="0" fillId="3" borderId="49" xfId="0" applyNumberFormat="1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0" fillId="5" borderId="42" xfId="0" applyFill="1" applyBorder="1" applyAlignment="1">
      <alignment vertical="center"/>
    </xf>
    <xf numFmtId="44" fontId="0" fillId="5" borderId="42" xfId="1" applyFont="1" applyFill="1" applyBorder="1" applyAlignment="1">
      <alignment vertical="center"/>
    </xf>
    <xf numFmtId="14" fontId="0" fillId="5" borderId="42" xfId="0" applyNumberFormat="1" applyFill="1" applyBorder="1" applyAlignment="1">
      <alignment horizontal="center" vertical="center"/>
    </xf>
    <xf numFmtId="44" fontId="0" fillId="5" borderId="42" xfId="1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7" xfId="0" applyFill="1" applyBorder="1" applyAlignment="1">
      <alignment vertical="center"/>
    </xf>
    <xf numFmtId="49" fontId="0" fillId="4" borderId="7" xfId="0" applyNumberFormat="1" applyFill="1" applyBorder="1" applyAlignment="1">
      <alignment horizontal="center" vertical="center"/>
    </xf>
    <xf numFmtId="44" fontId="0" fillId="4" borderId="7" xfId="1" applyFont="1" applyFill="1" applyBorder="1" applyAlignment="1">
      <alignment vertical="center"/>
    </xf>
    <xf numFmtId="14" fontId="0" fillId="4" borderId="7" xfId="0" applyNumberForma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left" vertical="center"/>
    </xf>
    <xf numFmtId="44" fontId="0" fillId="4" borderId="7" xfId="1" applyFont="1" applyFill="1" applyBorder="1" applyAlignment="1">
      <alignment horizontal="center" vertical="center"/>
    </xf>
    <xf numFmtId="0" fontId="0" fillId="3" borderId="28" xfId="0" applyFill="1" applyBorder="1" applyAlignment="1">
      <alignment vertical="center"/>
    </xf>
    <xf numFmtId="14" fontId="0" fillId="3" borderId="28" xfId="0" applyNumberFormat="1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0" fillId="3" borderId="49" xfId="0" applyFill="1" applyBorder="1" applyAlignment="1">
      <alignment vertical="center"/>
    </xf>
    <xf numFmtId="14" fontId="0" fillId="3" borderId="49" xfId="0" applyNumberFormat="1" applyFill="1" applyBorder="1" applyAlignment="1">
      <alignment horizontal="center" vertical="center"/>
    </xf>
    <xf numFmtId="0" fontId="0" fillId="3" borderId="53" xfId="0" applyFill="1" applyBorder="1" applyAlignment="1">
      <alignment horizontal="center" vertical="center"/>
    </xf>
    <xf numFmtId="164" fontId="0" fillId="0" borderId="55" xfId="0" applyNumberFormat="1" applyBorder="1"/>
    <xf numFmtId="0" fontId="0" fillId="0" borderId="55" xfId="0" applyBorder="1"/>
    <xf numFmtId="0" fontId="0" fillId="0" borderId="55" xfId="0" applyBorder="1" applyAlignment="1">
      <alignment horizontal="center" vertical="center" wrapText="1"/>
    </xf>
    <xf numFmtId="0" fontId="0" fillId="0" borderId="55" xfId="0" applyBorder="1" applyAlignment="1">
      <alignment horizontal="left"/>
    </xf>
    <xf numFmtId="0" fontId="0" fillId="4" borderId="49" xfId="0" applyFill="1" applyBorder="1" applyAlignment="1">
      <alignment horizontal="center" vertical="center"/>
    </xf>
    <xf numFmtId="0" fontId="0" fillId="4" borderId="49" xfId="0" applyFill="1" applyBorder="1" applyAlignment="1">
      <alignment vertical="center"/>
    </xf>
    <xf numFmtId="49" fontId="0" fillId="4" borderId="49" xfId="0" applyNumberFormat="1" applyFill="1" applyBorder="1" applyAlignment="1">
      <alignment horizontal="center" vertical="center"/>
    </xf>
    <xf numFmtId="44" fontId="0" fillId="4" borderId="49" xfId="1" applyFont="1" applyFill="1" applyBorder="1" applyAlignment="1">
      <alignment vertical="center"/>
    </xf>
    <xf numFmtId="14" fontId="0" fillId="4" borderId="49" xfId="0" applyNumberFormat="1" applyFill="1" applyBorder="1" applyAlignment="1">
      <alignment horizontal="center" vertical="center"/>
    </xf>
    <xf numFmtId="44" fontId="0" fillId="4" borderId="49" xfId="1" applyFont="1" applyFill="1" applyBorder="1" applyAlignment="1">
      <alignment horizontal="center" vertical="center"/>
    </xf>
    <xf numFmtId="0" fontId="0" fillId="3" borderId="55" xfId="0" applyFont="1" applyFill="1" applyBorder="1" applyAlignment="1">
      <alignment horizontal="center" vertical="center" wrapText="1"/>
    </xf>
    <xf numFmtId="0" fontId="0" fillId="3" borderId="55" xfId="0" applyFill="1" applyBorder="1" applyAlignment="1">
      <alignment horizontal="center" vertical="center" wrapText="1"/>
    </xf>
    <xf numFmtId="0" fontId="0" fillId="3" borderId="55" xfId="0" applyFill="1" applyBorder="1" applyAlignment="1">
      <alignment horizontal="center" vertical="center"/>
    </xf>
    <xf numFmtId="49" fontId="0" fillId="3" borderId="55" xfId="0" applyNumberFormat="1" applyFont="1" applyFill="1" applyBorder="1" applyAlignment="1">
      <alignment horizontal="center" vertical="center" wrapText="1"/>
    </xf>
    <xf numFmtId="44" fontId="1" fillId="3" borderId="55" xfId="1" applyFont="1" applyFill="1" applyBorder="1" applyAlignment="1">
      <alignment horizontal="center" vertical="center" wrapText="1"/>
    </xf>
    <xf numFmtId="14" fontId="0" fillId="3" borderId="55" xfId="0" applyNumberFormat="1" applyFont="1" applyFill="1" applyBorder="1" applyAlignment="1">
      <alignment horizontal="center" vertical="center" wrapText="1"/>
    </xf>
    <xf numFmtId="0" fontId="0" fillId="3" borderId="55" xfId="0" applyFill="1" applyBorder="1" applyAlignment="1">
      <alignment horizontal="left" vertical="center"/>
    </xf>
    <xf numFmtId="49" fontId="0" fillId="3" borderId="8" xfId="0" applyNumberFormat="1" applyFill="1" applyBorder="1" applyAlignment="1">
      <alignment horizontal="center" vertical="center"/>
    </xf>
    <xf numFmtId="44" fontId="0" fillId="3" borderId="8" xfId="1" applyFont="1" applyFill="1" applyBorder="1" applyAlignment="1">
      <alignment vertical="center"/>
    </xf>
    <xf numFmtId="14" fontId="0" fillId="3" borderId="8" xfId="0" applyNumberFormat="1" applyFill="1" applyBorder="1" applyAlignment="1">
      <alignment horizontal="center" vertical="center"/>
    </xf>
    <xf numFmtId="44" fontId="0" fillId="3" borderId="8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3" borderId="44" xfId="0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49" fontId="0" fillId="5" borderId="28" xfId="0" applyNumberFormat="1" applyFill="1" applyBorder="1" applyAlignment="1">
      <alignment horizontal="center" vertical="center"/>
    </xf>
    <xf numFmtId="0" fontId="0" fillId="0" borderId="55" xfId="0" applyNumberFormat="1" applyBorder="1"/>
    <xf numFmtId="49" fontId="0" fillId="5" borderId="42" xfId="0" applyNumberFormat="1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55" xfId="0" applyFill="1" applyBorder="1" applyAlignment="1">
      <alignment vertical="center"/>
    </xf>
    <xf numFmtId="49" fontId="0" fillId="4" borderId="55" xfId="0" applyNumberFormat="1" applyFill="1" applyBorder="1" applyAlignment="1">
      <alignment horizontal="center" vertical="center"/>
    </xf>
    <xf numFmtId="44" fontId="0" fillId="4" borderId="55" xfId="1" applyFont="1" applyFill="1" applyBorder="1" applyAlignment="1">
      <alignment vertical="center"/>
    </xf>
    <xf numFmtId="14" fontId="0" fillId="4" borderId="55" xfId="0" applyNumberFormat="1" applyFill="1" applyBorder="1" applyAlignment="1">
      <alignment horizontal="center" vertical="center"/>
    </xf>
    <xf numFmtId="44" fontId="0" fillId="4" borderId="55" xfId="1" applyFont="1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 wrapText="1"/>
    </xf>
    <xf numFmtId="14" fontId="0" fillId="3" borderId="42" xfId="1" applyNumberFormat="1" applyFont="1" applyFill="1" applyBorder="1" applyAlignment="1">
      <alignment horizontal="center" vertical="center"/>
    </xf>
    <xf numFmtId="0" fontId="15" fillId="4" borderId="55" xfId="0" applyFont="1" applyFill="1" applyBorder="1" applyAlignment="1">
      <alignment horizontal="center" vertical="center"/>
    </xf>
    <xf numFmtId="0" fontId="0" fillId="4" borderId="44" xfId="0" applyFill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0" fillId="3" borderId="39" xfId="0" applyFill="1" applyBorder="1" applyAlignment="1">
      <alignment horizontal="center" vertical="center"/>
    </xf>
    <xf numFmtId="0" fontId="0" fillId="4" borderId="52" xfId="0" applyFill="1" applyBorder="1" applyAlignment="1">
      <alignment horizontal="center" vertical="center"/>
    </xf>
    <xf numFmtId="0" fontId="2" fillId="4" borderId="49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4" borderId="40" xfId="0" applyFill="1" applyBorder="1" applyAlignment="1">
      <alignment horizontal="center" vertical="center"/>
    </xf>
    <xf numFmtId="0" fontId="0" fillId="4" borderId="53" xfId="0" applyFill="1" applyBorder="1" applyAlignment="1">
      <alignment horizontal="center" vertical="center"/>
    </xf>
    <xf numFmtId="0" fontId="0" fillId="8" borderId="50" xfId="0" applyFill="1" applyBorder="1" applyAlignment="1">
      <alignment horizontal="center" vertical="center"/>
    </xf>
    <xf numFmtId="0" fontId="0" fillId="8" borderId="28" xfId="0" applyFill="1" applyBorder="1" applyAlignment="1">
      <alignment horizontal="center" vertical="center"/>
    </xf>
    <xf numFmtId="0" fontId="0" fillId="8" borderId="28" xfId="0" applyFill="1" applyBorder="1" applyAlignment="1">
      <alignment vertical="center"/>
    </xf>
    <xf numFmtId="49" fontId="0" fillId="8" borderId="28" xfId="0" applyNumberFormat="1" applyFill="1" applyBorder="1" applyAlignment="1">
      <alignment horizontal="center" vertical="center"/>
    </xf>
    <xf numFmtId="44" fontId="0" fillId="8" borderId="28" xfId="1" applyFont="1" applyFill="1" applyBorder="1" applyAlignment="1">
      <alignment vertical="center"/>
    </xf>
    <xf numFmtId="14" fontId="0" fillId="8" borderId="28" xfId="0" applyNumberFormat="1" applyFill="1" applyBorder="1" applyAlignment="1">
      <alignment horizontal="center" vertical="center"/>
    </xf>
    <xf numFmtId="44" fontId="0" fillId="8" borderId="28" xfId="1" applyFont="1" applyFill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49" fontId="0" fillId="0" borderId="55" xfId="0" applyNumberFormat="1" applyBorder="1" applyAlignment="1">
      <alignment horizontal="center" vertical="center"/>
    </xf>
    <xf numFmtId="44" fontId="0" fillId="0" borderId="55" xfId="1" applyFont="1" applyBorder="1" applyAlignment="1">
      <alignment vertical="center"/>
    </xf>
    <xf numFmtId="44" fontId="0" fillId="0" borderId="55" xfId="1" applyFont="1" applyBorder="1" applyAlignment="1">
      <alignment horizontal="center" vertical="center"/>
    </xf>
    <xf numFmtId="0" fontId="0" fillId="3" borderId="61" xfId="0" applyFill="1" applyBorder="1" applyAlignment="1">
      <alignment horizontal="center" vertical="center"/>
    </xf>
    <xf numFmtId="0" fontId="0" fillId="5" borderId="53" xfId="0" applyFill="1" applyBorder="1" applyAlignment="1">
      <alignment horizontal="center" vertical="center"/>
    </xf>
    <xf numFmtId="44" fontId="0" fillId="3" borderId="55" xfId="1" applyFont="1" applyFill="1" applyBorder="1" applyAlignment="1">
      <alignment horizontal="center" vertical="center"/>
    </xf>
    <xf numFmtId="14" fontId="0" fillId="3" borderId="55" xfId="0" applyNumberFormat="1" applyFill="1" applyBorder="1" applyAlignment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15" fillId="4" borderId="49" xfId="0" applyFont="1" applyFill="1" applyBorder="1" applyAlignment="1">
      <alignment horizontal="center" vertical="center"/>
    </xf>
    <xf numFmtId="0" fontId="0" fillId="5" borderId="55" xfId="0" applyFill="1" applyBorder="1" applyAlignment="1">
      <alignment horizontal="center" vertical="center"/>
    </xf>
    <xf numFmtId="0" fontId="0" fillId="5" borderId="55" xfId="0" applyFill="1" applyBorder="1" applyAlignment="1">
      <alignment vertical="center"/>
    </xf>
    <xf numFmtId="49" fontId="0" fillId="5" borderId="55" xfId="0" applyNumberFormat="1" applyFill="1" applyBorder="1" applyAlignment="1">
      <alignment horizontal="center" vertical="center"/>
    </xf>
    <xf numFmtId="44" fontId="0" fillId="5" borderId="55" xfId="1" applyFont="1" applyFill="1" applyBorder="1" applyAlignment="1">
      <alignment vertical="center"/>
    </xf>
    <xf numFmtId="14" fontId="0" fillId="5" borderId="55" xfId="0" applyNumberFormat="1" applyFill="1" applyBorder="1" applyAlignment="1">
      <alignment horizontal="center" vertical="center"/>
    </xf>
    <xf numFmtId="44" fontId="0" fillId="5" borderId="55" xfId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49" fontId="0" fillId="4" borderId="37" xfId="0" applyNumberFormat="1" applyFill="1" applyBorder="1" applyAlignment="1">
      <alignment horizontal="center" vertical="center"/>
    </xf>
    <xf numFmtId="0" fontId="0" fillId="4" borderId="55" xfId="0" applyFill="1" applyBorder="1" applyAlignment="1">
      <alignment horizontal="left" vertical="center"/>
    </xf>
    <xf numFmtId="49" fontId="0" fillId="4" borderId="57" xfId="0" applyNumberForma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49" fontId="0" fillId="3" borderId="10" xfId="0" applyNumberFormat="1" applyFill="1" applyBorder="1" applyAlignment="1">
      <alignment horizontal="center" vertical="center"/>
    </xf>
    <xf numFmtId="44" fontId="0" fillId="3" borderId="10" xfId="1" applyFont="1" applyFill="1" applyBorder="1" applyAlignment="1">
      <alignment vertical="center"/>
    </xf>
    <xf numFmtId="14" fontId="0" fillId="3" borderId="10" xfId="0" applyNumberFormat="1" applyFill="1" applyBorder="1" applyAlignment="1">
      <alignment horizontal="center" vertical="center"/>
    </xf>
    <xf numFmtId="44" fontId="0" fillId="3" borderId="10" xfId="1" applyFont="1" applyFill="1" applyBorder="1" applyAlignment="1">
      <alignment horizontal="center" vertical="center"/>
    </xf>
    <xf numFmtId="7" fontId="0" fillId="0" borderId="0" xfId="1" applyNumberFormat="1" applyFont="1"/>
    <xf numFmtId="164" fontId="0" fillId="0" borderId="0" xfId="1" applyNumberFormat="1" applyFont="1"/>
    <xf numFmtId="49" fontId="0" fillId="3" borderId="37" xfId="0" applyNumberFormat="1" applyFill="1" applyBorder="1" applyAlignment="1">
      <alignment horizontal="center" vertical="center"/>
    </xf>
    <xf numFmtId="44" fontId="0" fillId="3" borderId="55" xfId="1" applyFont="1" applyFill="1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49" fontId="0" fillId="0" borderId="49" xfId="0" applyNumberFormat="1" applyBorder="1" applyAlignment="1">
      <alignment horizontal="center" vertical="center"/>
    </xf>
    <xf numFmtId="44" fontId="0" fillId="0" borderId="49" xfId="1" applyFont="1" applyBorder="1" applyAlignment="1">
      <alignment vertical="center"/>
    </xf>
    <xf numFmtId="44" fontId="0" fillId="0" borderId="49" xfId="1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3" borderId="7" xfId="0" applyFill="1" applyBorder="1"/>
    <xf numFmtId="0" fontId="0" fillId="0" borderId="55" xfId="0" applyBorder="1" applyAlignment="1">
      <alignment vertical="center"/>
    </xf>
    <xf numFmtId="0" fontId="0" fillId="0" borderId="49" xfId="0" applyBorder="1" applyAlignment="1">
      <alignment vertical="center"/>
    </xf>
    <xf numFmtId="14" fontId="0" fillId="3" borderId="28" xfId="1" applyNumberFormat="1" applyFont="1" applyFill="1" applyBorder="1" applyAlignment="1">
      <alignment horizontal="center" vertical="center"/>
    </xf>
    <xf numFmtId="0" fontId="0" fillId="3" borderId="55" xfId="0" applyFill="1" applyBorder="1" applyAlignment="1">
      <alignment vertical="center"/>
    </xf>
    <xf numFmtId="49" fontId="0" fillId="3" borderId="55" xfId="0" applyNumberFormat="1" applyFill="1" applyBorder="1" applyAlignment="1">
      <alignment horizontal="center" vertical="center"/>
    </xf>
    <xf numFmtId="14" fontId="0" fillId="3" borderId="55" xfId="1" applyNumberFormat="1" applyFont="1" applyFill="1" applyBorder="1" applyAlignment="1">
      <alignment horizontal="center" vertical="center"/>
    </xf>
    <xf numFmtId="14" fontId="0" fillId="3" borderId="49" xfId="1" applyNumberFormat="1" applyFont="1" applyFill="1" applyBorder="1" applyAlignment="1">
      <alignment horizontal="center" vertical="center"/>
    </xf>
    <xf numFmtId="14" fontId="0" fillId="3" borderId="51" xfId="0" applyNumberFormat="1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7" xfId="0" applyFill="1" applyBorder="1" applyAlignment="1">
      <alignment vertical="center"/>
    </xf>
    <xf numFmtId="49" fontId="0" fillId="6" borderId="7" xfId="0" applyNumberFormat="1" applyFill="1" applyBorder="1" applyAlignment="1">
      <alignment horizontal="center" vertical="center"/>
    </xf>
    <xf numFmtId="44" fontId="0" fillId="6" borderId="7" xfId="1" applyFont="1" applyFill="1" applyBorder="1" applyAlignment="1">
      <alignment vertical="center"/>
    </xf>
    <xf numFmtId="14" fontId="0" fillId="6" borderId="7" xfId="0" applyNumberFormat="1" applyFill="1" applyBorder="1" applyAlignment="1">
      <alignment horizontal="center" vertical="center"/>
    </xf>
    <xf numFmtId="44" fontId="0" fillId="6" borderId="7" xfId="1" applyFont="1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6" borderId="28" xfId="0" applyFill="1" applyBorder="1" applyAlignment="1">
      <alignment vertical="center"/>
    </xf>
    <xf numFmtId="49" fontId="0" fillId="6" borderId="28" xfId="0" applyNumberFormat="1" applyFill="1" applyBorder="1" applyAlignment="1">
      <alignment horizontal="center" vertical="center"/>
    </xf>
    <xf numFmtId="44" fontId="0" fillId="6" borderId="28" xfId="1" applyFont="1" applyFill="1" applyBorder="1" applyAlignment="1">
      <alignment vertical="center"/>
    </xf>
    <xf numFmtId="14" fontId="0" fillId="6" borderId="28" xfId="0" applyNumberFormat="1" applyFill="1" applyBorder="1" applyAlignment="1">
      <alignment horizontal="center" vertical="center"/>
    </xf>
    <xf numFmtId="44" fontId="0" fillId="6" borderId="28" xfId="1" applyFont="1" applyFill="1" applyBorder="1" applyAlignment="1">
      <alignment horizontal="center" vertical="center"/>
    </xf>
    <xf numFmtId="0" fontId="0" fillId="6" borderId="44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55" xfId="0" applyFill="1" applyBorder="1" applyAlignment="1">
      <alignment vertical="center"/>
    </xf>
    <xf numFmtId="49" fontId="0" fillId="6" borderId="55" xfId="0" applyNumberFormat="1" applyFill="1" applyBorder="1" applyAlignment="1">
      <alignment horizontal="center" vertical="center"/>
    </xf>
    <xf numFmtId="44" fontId="0" fillId="6" borderId="55" xfId="1" applyFont="1" applyFill="1" applyBorder="1" applyAlignment="1">
      <alignment vertical="center"/>
    </xf>
    <xf numFmtId="14" fontId="0" fillId="6" borderId="55" xfId="0" applyNumberFormat="1" applyFill="1" applyBorder="1" applyAlignment="1">
      <alignment horizontal="center" vertical="center"/>
    </xf>
    <xf numFmtId="44" fontId="0" fillId="6" borderId="55" xfId="1" applyFont="1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0" fillId="6" borderId="49" xfId="0" applyFill="1" applyBorder="1" applyAlignment="1">
      <alignment vertical="center"/>
    </xf>
    <xf numFmtId="49" fontId="0" fillId="6" borderId="49" xfId="0" applyNumberFormat="1" applyFill="1" applyBorder="1" applyAlignment="1">
      <alignment horizontal="center" vertical="center"/>
    </xf>
    <xf numFmtId="44" fontId="0" fillId="6" borderId="49" xfId="1" applyFont="1" applyFill="1" applyBorder="1" applyAlignment="1">
      <alignment vertical="center"/>
    </xf>
    <xf numFmtId="14" fontId="0" fillId="6" borderId="49" xfId="0" applyNumberFormat="1" applyFill="1" applyBorder="1" applyAlignment="1">
      <alignment horizontal="center" vertical="center"/>
    </xf>
    <xf numFmtId="44" fontId="0" fillId="6" borderId="49" xfId="1" applyFont="1" applyFill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49" fontId="0" fillId="3" borderId="7" xfId="0" applyNumberFormat="1" applyFont="1" applyFill="1" applyBorder="1" applyAlignment="1">
      <alignment horizontal="center" vertical="center"/>
    </xf>
    <xf numFmtId="0" fontId="0" fillId="0" borderId="55" xfId="0" pivotButton="1" applyBorder="1" applyAlignment="1">
      <alignment horizontal="center" vertical="center" wrapText="1"/>
    </xf>
    <xf numFmtId="7" fontId="0" fillId="0" borderId="55" xfId="0" applyNumberFormat="1" applyBorder="1"/>
    <xf numFmtId="0" fontId="0" fillId="3" borderId="42" xfId="0" applyFont="1" applyFill="1" applyBorder="1" applyAlignment="1">
      <alignment horizontal="center" vertical="center"/>
    </xf>
    <xf numFmtId="0" fontId="0" fillId="3" borderId="42" xfId="0" applyFont="1" applyFill="1" applyBorder="1" applyAlignment="1">
      <alignment vertical="center"/>
    </xf>
    <xf numFmtId="49" fontId="0" fillId="3" borderId="42" xfId="0" applyNumberFormat="1" applyFont="1" applyFill="1" applyBorder="1" applyAlignment="1">
      <alignment horizontal="center" vertical="center"/>
    </xf>
    <xf numFmtId="14" fontId="0" fillId="3" borderId="42" xfId="0" applyNumberFormat="1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0" fillId="3" borderId="42" xfId="0" applyFont="1" applyFill="1" applyBorder="1" applyAlignment="1">
      <alignment vertical="center" wrapText="1"/>
    </xf>
    <xf numFmtId="0" fontId="6" fillId="3" borderId="42" xfId="0" applyFont="1" applyFill="1" applyBorder="1" applyAlignment="1">
      <alignment vertical="center"/>
    </xf>
    <xf numFmtId="49" fontId="6" fillId="3" borderId="42" xfId="0" applyNumberFormat="1" applyFont="1" applyFill="1" applyBorder="1" applyAlignment="1">
      <alignment horizontal="center" vertical="center"/>
    </xf>
    <xf numFmtId="44" fontId="6" fillId="3" borderId="42" xfId="1" applyFont="1" applyFill="1" applyBorder="1" applyAlignment="1">
      <alignment vertical="center"/>
    </xf>
    <xf numFmtId="14" fontId="6" fillId="3" borderId="42" xfId="0" applyNumberFormat="1" applyFont="1" applyFill="1" applyBorder="1" applyAlignment="1">
      <alignment horizontal="center" vertical="center"/>
    </xf>
    <xf numFmtId="0" fontId="9" fillId="3" borderId="42" xfId="0" applyFont="1" applyFill="1" applyBorder="1" applyAlignment="1">
      <alignment horizontal="center" vertical="center"/>
    </xf>
    <xf numFmtId="44" fontId="6" fillId="3" borderId="42" xfId="1" applyFont="1" applyFill="1" applyBorder="1" applyAlignment="1">
      <alignment horizontal="center" vertical="center"/>
    </xf>
    <xf numFmtId="0" fontId="6" fillId="3" borderId="63" xfId="0" applyFont="1" applyFill="1" applyBorder="1" applyAlignment="1">
      <alignment horizontal="center" vertical="center"/>
    </xf>
    <xf numFmtId="0" fontId="6" fillId="3" borderId="63" xfId="0" applyFont="1" applyFill="1" applyBorder="1" applyAlignment="1">
      <alignment vertical="center"/>
    </xf>
    <xf numFmtId="0" fontId="6" fillId="3" borderId="63" xfId="0" applyFont="1" applyFill="1" applyBorder="1" applyAlignment="1">
      <alignment horizontal="center" vertical="center" wrapText="1"/>
    </xf>
    <xf numFmtId="49" fontId="6" fillId="3" borderId="63" xfId="0" applyNumberFormat="1" applyFont="1" applyFill="1" applyBorder="1" applyAlignment="1">
      <alignment horizontal="center" vertical="center"/>
    </xf>
    <xf numFmtId="44" fontId="6" fillId="3" borderId="63" xfId="1" applyFont="1" applyFill="1" applyBorder="1" applyAlignment="1">
      <alignment vertical="center"/>
    </xf>
    <xf numFmtId="14" fontId="6" fillId="3" borderId="63" xfId="0" applyNumberFormat="1" applyFont="1" applyFill="1" applyBorder="1" applyAlignment="1">
      <alignment horizontal="center" vertical="center"/>
    </xf>
    <xf numFmtId="0" fontId="9" fillId="3" borderId="63" xfId="0" applyFont="1" applyFill="1" applyBorder="1" applyAlignment="1">
      <alignment horizontal="center" vertical="center"/>
    </xf>
    <xf numFmtId="44" fontId="6" fillId="3" borderId="63" xfId="1" applyFont="1" applyFill="1" applyBorder="1" applyAlignment="1">
      <alignment horizontal="center" vertical="center"/>
    </xf>
    <xf numFmtId="0" fontId="0" fillId="3" borderId="47" xfId="0" applyFill="1" applyBorder="1" applyAlignment="1">
      <alignment horizontal="center" vertical="center"/>
    </xf>
    <xf numFmtId="0" fontId="0" fillId="3" borderId="42" xfId="0" applyFill="1" applyBorder="1" applyAlignment="1">
      <alignment horizontal="left" vertical="center"/>
    </xf>
    <xf numFmtId="0" fontId="5" fillId="3" borderId="42" xfId="0" applyFont="1" applyFill="1" applyBorder="1" applyAlignment="1">
      <alignment horizontal="center" vertical="center"/>
    </xf>
    <xf numFmtId="0" fontId="0" fillId="3" borderId="61" xfId="0" applyFill="1" applyBorder="1" applyAlignment="1">
      <alignment vertical="center"/>
    </xf>
    <xf numFmtId="49" fontId="0" fillId="3" borderId="61" xfId="0" applyNumberFormat="1" applyFill="1" applyBorder="1" applyAlignment="1">
      <alignment horizontal="center" vertical="center"/>
    </xf>
    <xf numFmtId="44" fontId="0" fillId="3" borderId="61" xfId="1" applyFont="1" applyFill="1" applyBorder="1" applyAlignment="1">
      <alignment vertical="center"/>
    </xf>
    <xf numFmtId="14" fontId="0" fillId="3" borderId="61" xfId="0" applyNumberFormat="1" applyFill="1" applyBorder="1" applyAlignment="1">
      <alignment horizontal="center" vertical="center"/>
    </xf>
    <xf numFmtId="44" fontId="0" fillId="3" borderId="61" xfId="1" applyFont="1" applyFill="1" applyBorder="1" applyAlignment="1">
      <alignment horizontal="center" vertical="center"/>
    </xf>
    <xf numFmtId="14" fontId="0" fillId="3" borderId="46" xfId="0" applyNumberFormat="1" applyFill="1" applyBorder="1" applyAlignment="1">
      <alignment horizontal="center" vertical="center"/>
    </xf>
    <xf numFmtId="44" fontId="6" fillId="3" borderId="8" xfId="1" applyFont="1" applyFill="1" applyBorder="1" applyAlignment="1">
      <alignment vertical="center"/>
    </xf>
    <xf numFmtId="0" fontId="0" fillId="4" borderId="42" xfId="0" applyFill="1" applyBorder="1" applyAlignment="1">
      <alignment horizontal="center" vertical="center"/>
    </xf>
    <xf numFmtId="0" fontId="0" fillId="4" borderId="42" xfId="0" applyFill="1" applyBorder="1" applyAlignment="1">
      <alignment vertical="center"/>
    </xf>
    <xf numFmtId="49" fontId="0" fillId="4" borderId="42" xfId="0" applyNumberFormat="1" applyFill="1" applyBorder="1" applyAlignment="1">
      <alignment horizontal="center" vertical="center"/>
    </xf>
    <xf numFmtId="44" fontId="0" fillId="4" borderId="42" xfId="1" applyFont="1" applyFill="1" applyBorder="1" applyAlignment="1">
      <alignment vertical="center"/>
    </xf>
    <xf numFmtId="14" fontId="0" fillId="4" borderId="42" xfId="0" applyNumberFormat="1" applyFill="1" applyBorder="1" applyAlignment="1">
      <alignment horizontal="center" vertical="center"/>
    </xf>
    <xf numFmtId="0" fontId="15" fillId="4" borderId="42" xfId="0" applyFont="1" applyFill="1" applyBorder="1" applyAlignment="1">
      <alignment horizontal="left" vertical="center"/>
    </xf>
    <xf numFmtId="44" fontId="0" fillId="4" borderId="42" xfId="1" applyFont="1" applyFill="1" applyBorder="1" applyAlignment="1">
      <alignment horizontal="center" vertical="center"/>
    </xf>
    <xf numFmtId="0" fontId="0" fillId="3" borderId="64" xfId="0" applyFill="1" applyBorder="1" applyAlignment="1">
      <alignment horizontal="center" vertical="center"/>
    </xf>
    <xf numFmtId="49" fontId="0" fillId="3" borderId="43" xfId="0" applyNumberFormat="1" applyFill="1" applyBorder="1" applyAlignment="1">
      <alignment horizontal="center" vertical="center"/>
    </xf>
    <xf numFmtId="0" fontId="0" fillId="3" borderId="46" xfId="0" applyFill="1" applyBorder="1" applyAlignment="1">
      <alignment horizontal="center" vertical="center"/>
    </xf>
    <xf numFmtId="0" fontId="0" fillId="3" borderId="7" xfId="0" applyFont="1" applyFill="1" applyBorder="1" applyAlignment="1">
      <alignment vertical="center" wrapText="1"/>
    </xf>
    <xf numFmtId="0" fontId="0" fillId="3" borderId="7" xfId="0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 wrapText="1"/>
    </xf>
    <xf numFmtId="0" fontId="0" fillId="4" borderId="66" xfId="0" applyFill="1" applyBorder="1" applyAlignment="1">
      <alignment horizontal="center" vertical="center"/>
    </xf>
    <xf numFmtId="0" fontId="0" fillId="4" borderId="7" xfId="0" applyFill="1" applyBorder="1" applyAlignment="1">
      <alignment horizontal="left" vertical="center"/>
    </xf>
    <xf numFmtId="49" fontId="0" fillId="4" borderId="7" xfId="0" applyNumberFormat="1" applyFont="1" applyFill="1" applyBorder="1" applyAlignment="1">
      <alignment horizontal="center" vertical="center"/>
    </xf>
    <xf numFmtId="14" fontId="0" fillId="4" borderId="7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left" vertical="center"/>
    </xf>
    <xf numFmtId="44" fontId="1" fillId="4" borderId="7" xfId="1" applyFont="1" applyFill="1" applyBorder="1" applyAlignment="1">
      <alignment horizontal="center" vertical="center"/>
    </xf>
    <xf numFmtId="0" fontId="0" fillId="4" borderId="67" xfId="0" applyFill="1" applyBorder="1" applyAlignment="1">
      <alignment horizontal="center" vertical="center"/>
    </xf>
    <xf numFmtId="0" fontId="0" fillId="3" borderId="48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 wrapText="1"/>
    </xf>
    <xf numFmtId="49" fontId="0" fillId="3" borderId="8" xfId="0" applyNumberFormat="1" applyFill="1" applyBorder="1" applyAlignment="1">
      <alignment horizontal="left" vertical="center"/>
    </xf>
    <xf numFmtId="0" fontId="0" fillId="3" borderId="68" xfId="0" applyFill="1" applyBorder="1" applyAlignment="1">
      <alignment horizontal="center" vertical="center"/>
    </xf>
    <xf numFmtId="14" fontId="0" fillId="3" borderId="45" xfId="0" applyNumberFormat="1" applyFill="1" applyBorder="1" applyAlignment="1">
      <alignment horizontal="center" vertical="center"/>
    </xf>
    <xf numFmtId="0" fontId="0" fillId="3" borderId="8" xfId="0" applyFill="1" applyBorder="1" applyAlignment="1">
      <alignment horizontal="left" vertical="center"/>
    </xf>
    <xf numFmtId="0" fontId="0" fillId="3" borderId="41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3" borderId="39" xfId="0" applyFill="1" applyBorder="1" applyAlignment="1">
      <alignment vertical="center"/>
    </xf>
    <xf numFmtId="49" fontId="0" fillId="3" borderId="39" xfId="0" applyNumberFormat="1" applyFill="1" applyBorder="1" applyAlignment="1">
      <alignment horizontal="center" vertical="center"/>
    </xf>
    <xf numFmtId="44" fontId="0" fillId="3" borderId="39" xfId="1" applyFont="1" applyFill="1" applyBorder="1" applyAlignment="1">
      <alignment vertical="center"/>
    </xf>
    <xf numFmtId="14" fontId="0" fillId="3" borderId="39" xfId="0" applyNumberFormat="1" applyFill="1" applyBorder="1" applyAlignment="1">
      <alignment horizontal="center" vertical="center"/>
    </xf>
    <xf numFmtId="44" fontId="0" fillId="3" borderId="39" xfId="1" applyFont="1" applyFill="1" applyBorder="1" applyAlignment="1">
      <alignment horizontal="center" vertical="center"/>
    </xf>
    <xf numFmtId="49" fontId="0" fillId="3" borderId="26" xfId="0" applyNumberFormat="1" applyFill="1" applyBorder="1" applyAlignment="1">
      <alignment horizontal="center" vertical="center"/>
    </xf>
    <xf numFmtId="49" fontId="0" fillId="3" borderId="36" xfId="0" applyNumberFormat="1" applyFill="1" applyBorder="1" applyAlignment="1">
      <alignment horizontal="center" vertical="center"/>
    </xf>
    <xf numFmtId="49" fontId="0" fillId="3" borderId="7" xfId="0" applyNumberFormat="1" applyFill="1" applyBorder="1" applyAlignment="1">
      <alignment horizontal="left" vertical="center"/>
    </xf>
    <xf numFmtId="44" fontId="6" fillId="3" borderId="8" xfId="1" applyFont="1" applyFill="1" applyBorder="1" applyAlignment="1">
      <alignment horizontal="center" vertical="center"/>
    </xf>
    <xf numFmtId="14" fontId="0" fillId="3" borderId="7" xfId="1" applyNumberFormat="1" applyFont="1" applyFill="1" applyBorder="1" applyAlignment="1">
      <alignment horizontal="center" vertical="center"/>
    </xf>
    <xf numFmtId="14" fontId="0" fillId="3" borderId="8" xfId="1" applyNumberFormat="1" applyFont="1" applyFill="1" applyBorder="1" applyAlignment="1">
      <alignment horizontal="center" vertical="center"/>
    </xf>
    <xf numFmtId="14" fontId="0" fillId="3" borderId="39" xfId="1" applyNumberFormat="1" applyFont="1" applyFill="1" applyBorder="1" applyAlignment="1">
      <alignment horizontal="center" vertical="center"/>
    </xf>
    <xf numFmtId="0" fontId="0" fillId="4" borderId="28" xfId="0" applyFont="1" applyFill="1" applyBorder="1" applyAlignment="1">
      <alignment vertical="center"/>
    </xf>
    <xf numFmtId="49" fontId="0" fillId="4" borderId="28" xfId="0" applyNumberFormat="1" applyFont="1" applyFill="1" applyBorder="1" applyAlignment="1">
      <alignment horizontal="center" vertical="center"/>
    </xf>
    <xf numFmtId="14" fontId="2" fillId="4" borderId="28" xfId="0" applyNumberFormat="1" applyFont="1" applyFill="1" applyBorder="1" applyAlignment="1">
      <alignment horizontal="left" vertical="center"/>
    </xf>
    <xf numFmtId="14" fontId="0" fillId="4" borderId="28" xfId="0" applyNumberFormat="1" applyFont="1" applyFill="1" applyBorder="1" applyAlignment="1">
      <alignment horizontal="center" vertical="center"/>
    </xf>
    <xf numFmtId="0" fontId="0" fillId="4" borderId="28" xfId="0" applyFont="1" applyFill="1" applyBorder="1" applyAlignment="1">
      <alignment horizontal="center" vertical="center"/>
    </xf>
    <xf numFmtId="0" fontId="0" fillId="3" borderId="49" xfId="0" applyFont="1" applyFill="1" applyBorder="1" applyAlignment="1">
      <alignment vertical="center"/>
    </xf>
    <xf numFmtId="49" fontId="0" fillId="3" borderId="49" xfId="0" applyNumberFormat="1" applyFont="1" applyFill="1" applyBorder="1" applyAlignment="1">
      <alignment horizontal="center" vertical="center"/>
    </xf>
    <xf numFmtId="8" fontId="0" fillId="3" borderId="49" xfId="1" applyNumberFormat="1" applyFont="1" applyFill="1" applyBorder="1" applyAlignment="1">
      <alignment vertical="center"/>
    </xf>
    <xf numFmtId="0" fontId="0" fillId="4" borderId="58" xfId="0" applyFont="1" applyFill="1" applyBorder="1" applyAlignment="1">
      <alignment horizontal="center" vertical="center"/>
    </xf>
    <xf numFmtId="0" fontId="0" fillId="4" borderId="59" xfId="0" applyFill="1" applyBorder="1" applyAlignment="1">
      <alignment horizontal="center" vertical="center"/>
    </xf>
    <xf numFmtId="0" fontId="0" fillId="4" borderId="59" xfId="0" applyFont="1" applyFill="1" applyBorder="1" applyAlignment="1">
      <alignment vertical="center"/>
    </xf>
    <xf numFmtId="49" fontId="0" fillId="4" borderId="59" xfId="0" applyNumberFormat="1" applyFill="1" applyBorder="1" applyAlignment="1">
      <alignment horizontal="center" vertical="center"/>
    </xf>
    <xf numFmtId="44" fontId="0" fillId="4" borderId="59" xfId="1" applyFont="1" applyFill="1" applyBorder="1" applyAlignment="1">
      <alignment vertical="center"/>
    </xf>
    <xf numFmtId="14" fontId="0" fillId="4" borderId="59" xfId="0" applyNumberFormat="1" applyFont="1" applyFill="1" applyBorder="1" applyAlignment="1">
      <alignment horizontal="center" vertical="center"/>
    </xf>
    <xf numFmtId="0" fontId="7" fillId="4" borderId="59" xfId="0" applyFont="1" applyFill="1" applyBorder="1" applyAlignment="1">
      <alignment horizontal="left" vertical="center"/>
    </xf>
    <xf numFmtId="44" fontId="0" fillId="4" borderId="59" xfId="1" applyFont="1" applyFill="1" applyBorder="1" applyAlignment="1">
      <alignment horizontal="center" vertical="center"/>
    </xf>
    <xf numFmtId="0" fontId="0" fillId="4" borderId="59" xfId="0" applyFont="1" applyFill="1" applyBorder="1" applyAlignment="1">
      <alignment horizontal="center" vertical="center"/>
    </xf>
    <xf numFmtId="0" fontId="0" fillId="4" borderId="60" xfId="0" applyFill="1" applyBorder="1" applyAlignment="1">
      <alignment horizontal="center" vertical="center"/>
    </xf>
    <xf numFmtId="0" fontId="0" fillId="3" borderId="58" xfId="0" applyFont="1" applyFill="1" applyBorder="1" applyAlignment="1">
      <alignment horizontal="center" vertical="center"/>
    </xf>
    <xf numFmtId="0" fontId="0" fillId="3" borderId="59" xfId="0" applyFont="1" applyFill="1" applyBorder="1" applyAlignment="1">
      <alignment horizontal="center" vertical="center"/>
    </xf>
    <xf numFmtId="0" fontId="0" fillId="3" borderId="59" xfId="0" applyFont="1" applyFill="1" applyBorder="1" applyAlignment="1">
      <alignment vertical="center"/>
    </xf>
    <xf numFmtId="49" fontId="0" fillId="3" borderId="59" xfId="0" applyNumberFormat="1" applyFill="1" applyBorder="1" applyAlignment="1">
      <alignment horizontal="center" vertical="center"/>
    </xf>
    <xf numFmtId="44" fontId="0" fillId="3" borderId="59" xfId="1" applyFont="1" applyFill="1" applyBorder="1" applyAlignment="1">
      <alignment vertical="center"/>
    </xf>
    <xf numFmtId="0" fontId="0" fillId="3" borderId="59" xfId="0" applyFill="1" applyBorder="1" applyAlignment="1">
      <alignment horizontal="center" vertical="center"/>
    </xf>
    <xf numFmtId="14" fontId="0" fillId="3" borderId="59" xfId="0" applyNumberFormat="1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44" fontId="0" fillId="3" borderId="59" xfId="1" applyFont="1" applyFill="1" applyBorder="1" applyAlignment="1">
      <alignment horizontal="center" vertical="center"/>
    </xf>
    <xf numFmtId="14" fontId="0" fillId="3" borderId="59" xfId="0" applyNumberFormat="1" applyFill="1" applyBorder="1" applyAlignment="1">
      <alignment horizontal="center" vertical="center"/>
    </xf>
    <xf numFmtId="0" fontId="0" fillId="3" borderId="60" xfId="0" applyFill="1" applyBorder="1" applyAlignment="1">
      <alignment horizontal="center" vertical="center"/>
    </xf>
    <xf numFmtId="0" fontId="0" fillId="3" borderId="28" xfId="0" applyFont="1" applyFill="1" applyBorder="1" applyAlignment="1">
      <alignment vertical="center"/>
    </xf>
    <xf numFmtId="49" fontId="0" fillId="3" borderId="28" xfId="0" applyNumberFormat="1" applyFill="1" applyBorder="1" applyAlignment="1">
      <alignment horizontal="center" vertical="center" wrapText="1"/>
    </xf>
    <xf numFmtId="0" fontId="0" fillId="3" borderId="55" xfId="0" applyFont="1" applyFill="1" applyBorder="1" applyAlignment="1">
      <alignment vertical="center"/>
    </xf>
    <xf numFmtId="14" fontId="0" fillId="3" borderId="55" xfId="0" applyNumberFormat="1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49" fontId="0" fillId="3" borderId="55" xfId="0" applyNumberFormat="1" applyFill="1" applyBorder="1" applyAlignment="1">
      <alignment horizontal="center" vertical="center" wrapText="1"/>
    </xf>
    <xf numFmtId="0" fontId="0" fillId="3" borderId="58" xfId="0" applyFill="1" applyBorder="1" applyAlignment="1">
      <alignment horizontal="center" vertical="center"/>
    </xf>
    <xf numFmtId="0" fontId="0" fillId="3" borderId="59" xfId="0" applyFill="1" applyBorder="1" applyAlignment="1">
      <alignment vertical="center"/>
    </xf>
    <xf numFmtId="0" fontId="0" fillId="4" borderId="58" xfId="0" applyFill="1" applyBorder="1" applyAlignment="1">
      <alignment horizontal="center" vertical="center"/>
    </xf>
    <xf numFmtId="0" fontId="0" fillId="4" borderId="59" xfId="0" applyFill="1" applyBorder="1" applyAlignment="1">
      <alignment vertical="center"/>
    </xf>
    <xf numFmtId="14" fontId="0" fillId="4" borderId="59" xfId="0" applyNumberFormat="1" applyFill="1" applyBorder="1" applyAlignment="1">
      <alignment horizontal="center" vertical="center"/>
    </xf>
    <xf numFmtId="0" fontId="2" fillId="4" borderId="59" xfId="0" applyFont="1" applyFill="1" applyBorder="1" applyAlignment="1">
      <alignment horizontal="center" vertical="center"/>
    </xf>
    <xf numFmtId="0" fontId="15" fillId="4" borderId="59" xfId="0" applyFont="1" applyFill="1" applyBorder="1" applyAlignment="1">
      <alignment horizontal="left" vertical="center"/>
    </xf>
    <xf numFmtId="0" fontId="6" fillId="5" borderId="49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0" fillId="5" borderId="44" xfId="0" applyFill="1" applyBorder="1" applyAlignment="1">
      <alignment horizontal="center" vertical="center"/>
    </xf>
    <xf numFmtId="0" fontId="2" fillId="4" borderId="49" xfId="0" applyFont="1" applyFill="1" applyBorder="1" applyAlignment="1">
      <alignment horizontal="center" vertical="center"/>
    </xf>
    <xf numFmtId="0" fontId="6" fillId="4" borderId="28" xfId="0" applyFont="1" applyFill="1" applyBorder="1" applyAlignment="1">
      <alignment horizontal="center" vertical="center"/>
    </xf>
    <xf numFmtId="0" fontId="6" fillId="3" borderId="49" xfId="0" applyFont="1" applyFill="1" applyBorder="1" applyAlignment="1">
      <alignment horizontal="center" vertical="center"/>
    </xf>
    <xf numFmtId="0" fontId="6" fillId="4" borderId="59" xfId="0" applyFont="1" applyFill="1" applyBorder="1" applyAlignment="1">
      <alignment horizontal="center" vertical="center"/>
    </xf>
    <xf numFmtId="0" fontId="0" fillId="4" borderId="59" xfId="0" applyFill="1" applyBorder="1" applyAlignment="1">
      <alignment horizontal="left" vertical="center"/>
    </xf>
    <xf numFmtId="0" fontId="6" fillId="3" borderId="59" xfId="0" applyFont="1" applyFill="1" applyBorder="1" applyAlignment="1">
      <alignment horizontal="center" vertical="center"/>
    </xf>
    <xf numFmtId="0" fontId="0" fillId="3" borderId="69" xfId="0" applyFill="1" applyBorder="1" applyAlignment="1">
      <alignment vertical="center"/>
    </xf>
    <xf numFmtId="0" fontId="15" fillId="4" borderId="55" xfId="0" applyFont="1" applyFill="1" applyBorder="1" applyAlignment="1">
      <alignment horizontal="left" vertical="center"/>
    </xf>
    <xf numFmtId="0" fontId="6" fillId="3" borderId="52" xfId="0" applyFont="1" applyFill="1" applyBorder="1" applyAlignment="1">
      <alignment horizontal="center" vertical="center"/>
    </xf>
    <xf numFmtId="0" fontId="6" fillId="3" borderId="49" xfId="0" applyFont="1" applyFill="1" applyBorder="1" applyAlignment="1">
      <alignment vertical="center"/>
    </xf>
    <xf numFmtId="49" fontId="6" fillId="3" borderId="49" xfId="0" applyNumberFormat="1" applyFont="1" applyFill="1" applyBorder="1" applyAlignment="1">
      <alignment horizontal="center" vertical="center"/>
    </xf>
    <xf numFmtId="44" fontId="6" fillId="3" borderId="49" xfId="1" applyFont="1" applyFill="1" applyBorder="1" applyAlignment="1">
      <alignment vertical="center"/>
    </xf>
    <xf numFmtId="14" fontId="6" fillId="3" borderId="49" xfId="0" applyNumberFormat="1" applyFont="1" applyFill="1" applyBorder="1" applyAlignment="1">
      <alignment horizontal="center" vertical="center"/>
    </xf>
    <xf numFmtId="44" fontId="6" fillId="3" borderId="49" xfId="1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/>
    </xf>
    <xf numFmtId="0" fontId="0" fillId="4" borderId="48" xfId="0" applyFill="1" applyBorder="1" applyAlignment="1">
      <alignment horizontal="center" vertical="center"/>
    </xf>
    <xf numFmtId="0" fontId="0" fillId="4" borderId="41" xfId="0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0" fillId="0" borderId="59" xfId="0" applyFill="1" applyBorder="1" applyAlignment="1">
      <alignment vertical="center"/>
    </xf>
    <xf numFmtId="49" fontId="0" fillId="0" borderId="59" xfId="0" applyNumberFormat="1" applyFill="1" applyBorder="1" applyAlignment="1">
      <alignment horizontal="center" vertical="center"/>
    </xf>
    <xf numFmtId="44" fontId="0" fillId="0" borderId="59" xfId="1" applyFont="1" applyFill="1" applyBorder="1" applyAlignment="1">
      <alignment vertical="center"/>
    </xf>
    <xf numFmtId="44" fontId="0" fillId="0" borderId="59" xfId="1" applyFont="1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/>
    </xf>
    <xf numFmtId="0" fontId="15" fillId="4" borderId="28" xfId="0" applyFont="1" applyFill="1" applyBorder="1" applyAlignment="1">
      <alignment horizontal="left" vertical="center"/>
    </xf>
    <xf numFmtId="0" fontId="15" fillId="4" borderId="59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left" vertical="center"/>
    </xf>
    <xf numFmtId="49" fontId="0" fillId="4" borderId="56" xfId="0" applyNumberFormat="1" applyFill="1" applyBorder="1" applyAlignment="1">
      <alignment horizontal="center" vertical="center"/>
    </xf>
    <xf numFmtId="0" fontId="2" fillId="4" borderId="59" xfId="0" applyFont="1" applyFill="1" applyBorder="1" applyAlignment="1">
      <alignment horizontal="left" vertical="center"/>
    </xf>
    <xf numFmtId="0" fontId="0" fillId="3" borderId="62" xfId="0" applyFill="1" applyBorder="1" applyAlignment="1">
      <alignment horizontal="center" vertical="center"/>
    </xf>
    <xf numFmtId="14" fontId="0" fillId="4" borderId="59" xfId="1" applyNumberFormat="1" applyFont="1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0" fontId="2" fillId="4" borderId="55" xfId="0" applyFont="1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5" borderId="40" xfId="0" applyFill="1" applyBorder="1" applyAlignment="1">
      <alignment horizontal="center" vertical="center"/>
    </xf>
    <xf numFmtId="0" fontId="0" fillId="6" borderId="40" xfId="0" applyFill="1" applyBorder="1" applyAlignment="1">
      <alignment horizontal="center" vertical="center"/>
    </xf>
    <xf numFmtId="0" fontId="0" fillId="5" borderId="46" xfId="0" applyFill="1" applyBorder="1" applyAlignment="1">
      <alignment horizontal="center" vertical="center"/>
    </xf>
    <xf numFmtId="0" fontId="2" fillId="9" borderId="55" xfId="0" applyFont="1" applyFill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/>
    </xf>
    <xf numFmtId="2" fontId="2" fillId="0" borderId="40" xfId="0" applyNumberFormat="1" applyFont="1" applyBorder="1" applyAlignment="1">
      <alignment horizontal="center" vertical="center"/>
    </xf>
    <xf numFmtId="0" fontId="0" fillId="4" borderId="0" xfId="0" applyFill="1"/>
    <xf numFmtId="0" fontId="0" fillId="6" borderId="28" xfId="0" applyFill="1" applyBorder="1"/>
    <xf numFmtId="0" fontId="0" fillId="6" borderId="55" xfId="0" applyFill="1" applyBorder="1"/>
    <xf numFmtId="0" fontId="0" fillId="6" borderId="49" xfId="0" applyFill="1" applyBorder="1"/>
    <xf numFmtId="0" fontId="0" fillId="3" borderId="7" xfId="0" applyFill="1" applyBorder="1" applyAlignment="1">
      <alignment horizontal="center" vertical="center"/>
    </xf>
    <xf numFmtId="0" fontId="0" fillId="3" borderId="49" xfId="0" applyFont="1" applyFill="1" applyBorder="1" applyAlignment="1">
      <alignment horizontal="left" vertical="center"/>
    </xf>
    <xf numFmtId="44" fontId="1" fillId="3" borderId="49" xfId="1" applyFont="1" applyFill="1" applyBorder="1" applyAlignment="1">
      <alignment horizontal="center" vertical="center"/>
    </xf>
    <xf numFmtId="0" fontId="2" fillId="9" borderId="44" xfId="0" applyFont="1" applyFill="1" applyBorder="1" applyAlignment="1">
      <alignment horizontal="center" vertical="center" wrapText="1"/>
    </xf>
    <xf numFmtId="0" fontId="0" fillId="3" borderId="55" xfId="0" applyFont="1" applyFill="1" applyBorder="1" applyAlignment="1">
      <alignment horizontal="center" vertical="center"/>
    </xf>
    <xf numFmtId="0" fontId="6" fillId="6" borderId="50" xfId="0" applyFont="1" applyFill="1" applyBorder="1" applyAlignment="1">
      <alignment horizontal="center" vertical="center"/>
    </xf>
    <xf numFmtId="0" fontId="6" fillId="6" borderId="28" xfId="0" applyFont="1" applyFill="1" applyBorder="1" applyAlignment="1">
      <alignment horizontal="center" vertical="center"/>
    </xf>
    <xf numFmtId="0" fontId="6" fillId="6" borderId="28" xfId="0" applyFont="1" applyFill="1" applyBorder="1"/>
    <xf numFmtId="0" fontId="6" fillId="6" borderId="44" xfId="0" applyFont="1" applyFill="1" applyBorder="1" applyAlignment="1">
      <alignment horizontal="center" vertical="center"/>
    </xf>
    <xf numFmtId="0" fontId="6" fillId="6" borderId="55" xfId="0" applyFont="1" applyFill="1" applyBorder="1" applyAlignment="1">
      <alignment horizontal="center" vertical="center"/>
    </xf>
    <xf numFmtId="0" fontId="6" fillId="6" borderId="55" xfId="0" applyFont="1" applyFill="1" applyBorder="1"/>
    <xf numFmtId="0" fontId="6" fillId="6" borderId="52" xfId="0" applyFont="1" applyFill="1" applyBorder="1" applyAlignment="1">
      <alignment horizontal="center" vertical="center"/>
    </xf>
    <xf numFmtId="0" fontId="6" fillId="6" borderId="49" xfId="0" applyFont="1" applyFill="1" applyBorder="1" applyAlignment="1">
      <alignment horizontal="center" vertical="center"/>
    </xf>
    <xf numFmtId="0" fontId="6" fillId="6" borderId="49" xfId="0" applyFont="1" applyFill="1" applyBorder="1"/>
    <xf numFmtId="0" fontId="0" fillId="3" borderId="7" xfId="0" applyFill="1" applyBorder="1" applyAlignment="1">
      <alignment horizontal="center" vertical="center"/>
    </xf>
    <xf numFmtId="0" fontId="0" fillId="5" borderId="64" xfId="0" applyFill="1" applyBorder="1" applyAlignment="1">
      <alignment horizontal="center" vertical="center"/>
    </xf>
    <xf numFmtId="0" fontId="0" fillId="5" borderId="61" xfId="0" applyFill="1" applyBorder="1" applyAlignment="1">
      <alignment horizontal="center" vertical="center"/>
    </xf>
    <xf numFmtId="49" fontId="0" fillId="5" borderId="61" xfId="0" applyNumberFormat="1" applyFill="1" applyBorder="1" applyAlignment="1">
      <alignment horizontal="center" vertical="center"/>
    </xf>
    <xf numFmtId="44" fontId="0" fillId="5" borderId="61" xfId="1" applyFont="1" applyFill="1" applyBorder="1" applyAlignment="1">
      <alignment vertical="center"/>
    </xf>
    <xf numFmtId="14" fontId="0" fillId="5" borderId="61" xfId="0" applyNumberFormat="1" applyFill="1" applyBorder="1" applyAlignment="1">
      <alignment horizontal="center" vertical="center"/>
    </xf>
    <xf numFmtId="44" fontId="0" fillId="5" borderId="61" xfId="1" applyFont="1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/>
    </xf>
    <xf numFmtId="49" fontId="2" fillId="2" borderId="55" xfId="0" applyNumberFormat="1" applyFont="1" applyFill="1" applyBorder="1" applyAlignment="1">
      <alignment horizontal="center" vertical="center" wrapText="1"/>
    </xf>
    <xf numFmtId="44" fontId="2" fillId="2" borderId="55" xfId="1" applyFont="1" applyFill="1" applyBorder="1" applyAlignment="1">
      <alignment horizontal="center" vertical="center" wrapText="1"/>
    </xf>
    <xf numFmtId="0" fontId="0" fillId="0" borderId="55" xfId="0" applyBorder="1" applyAlignment="1">
      <alignment horizontal="center"/>
    </xf>
    <xf numFmtId="0" fontId="0" fillId="0" borderId="0" xfId="0" applyAlignment="1">
      <alignment horizontal="center"/>
    </xf>
    <xf numFmtId="44" fontId="0" fillId="0" borderId="55" xfId="1" applyFont="1" applyBorder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applyNumberFormat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6" borderId="51" xfId="0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49" fontId="0" fillId="0" borderId="42" xfId="0" applyNumberFormat="1" applyBorder="1" applyAlignment="1">
      <alignment horizontal="center" vertical="center"/>
    </xf>
    <xf numFmtId="44" fontId="0" fillId="0" borderId="42" xfId="1" applyFont="1" applyBorder="1" applyAlignment="1">
      <alignment vertical="center"/>
    </xf>
    <xf numFmtId="44" fontId="0" fillId="0" borderId="42" xfId="1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/>
    </xf>
    <xf numFmtId="49" fontId="0" fillId="0" borderId="7" xfId="0" applyNumberFormat="1" applyBorder="1" applyAlignment="1">
      <alignment horizontal="center" vertical="center"/>
    </xf>
    <xf numFmtId="44" fontId="0" fillId="0" borderId="7" xfId="1" applyFont="1" applyBorder="1" applyAlignment="1">
      <alignment vertical="center"/>
    </xf>
    <xf numFmtId="44" fontId="0" fillId="0" borderId="7" xfId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8" xfId="0" applyBorder="1" applyAlignment="1">
      <alignment vertical="center"/>
    </xf>
    <xf numFmtId="49" fontId="0" fillId="0" borderId="28" xfId="0" applyNumberFormat="1" applyBorder="1" applyAlignment="1">
      <alignment horizontal="center" vertical="center"/>
    </xf>
    <xf numFmtId="44" fontId="0" fillId="0" borderId="28" xfId="1" applyFont="1" applyBorder="1" applyAlignment="1">
      <alignment vertical="center"/>
    </xf>
    <xf numFmtId="44" fontId="0" fillId="0" borderId="28" xfId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0" fontId="15" fillId="4" borderId="42" xfId="0" applyFont="1" applyFill="1" applyBorder="1" applyAlignment="1">
      <alignment horizontal="center" vertical="center"/>
    </xf>
    <xf numFmtId="0" fontId="0" fillId="4" borderId="46" xfId="0" applyFill="1" applyBorder="1" applyAlignment="1">
      <alignment horizontal="center" vertical="center"/>
    </xf>
    <xf numFmtId="49" fontId="0" fillId="0" borderId="42" xfId="0" applyNumberFormat="1" applyBorder="1" applyAlignment="1">
      <alignment horizontal="left" vertical="center"/>
    </xf>
    <xf numFmtId="14" fontId="0" fillId="3" borderId="41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5" borderId="48" xfId="0" applyFill="1" applyBorder="1" applyAlignment="1">
      <alignment horizontal="center" vertical="center"/>
    </xf>
    <xf numFmtId="0" fontId="0" fillId="5" borderId="7" xfId="0" applyFill="1" applyBorder="1" applyAlignment="1">
      <alignment vertical="center"/>
    </xf>
    <xf numFmtId="49" fontId="0" fillId="5" borderId="7" xfId="0" applyNumberFormat="1" applyFill="1" applyBorder="1" applyAlignment="1">
      <alignment horizontal="center" vertical="center"/>
    </xf>
    <xf numFmtId="44" fontId="0" fillId="5" borderId="7" xfId="1" applyFont="1" applyFill="1" applyBorder="1" applyAlignment="1">
      <alignment vertical="center"/>
    </xf>
    <xf numFmtId="14" fontId="0" fillId="5" borderId="7" xfId="0" applyNumberFormat="1" applyFill="1" applyBorder="1" applyAlignment="1">
      <alignment horizontal="center" vertical="center"/>
    </xf>
    <xf numFmtId="44" fontId="0" fillId="5" borderId="7" xfId="1" applyFont="1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0" fillId="4" borderId="39" xfId="0" applyFill="1" applyBorder="1" applyAlignment="1">
      <alignment horizontal="center" vertical="center"/>
    </xf>
    <xf numFmtId="0" fontId="0" fillId="4" borderId="39" xfId="0" applyFill="1" applyBorder="1" applyAlignment="1">
      <alignment vertical="center"/>
    </xf>
    <xf numFmtId="49" fontId="0" fillId="4" borderId="39" xfId="0" applyNumberFormat="1" applyFill="1" applyBorder="1" applyAlignment="1">
      <alignment horizontal="center" vertical="center"/>
    </xf>
    <xf numFmtId="44" fontId="0" fillId="4" borderId="39" xfId="1" applyFont="1" applyFill="1" applyBorder="1" applyAlignment="1">
      <alignment vertical="center"/>
    </xf>
    <xf numFmtId="14" fontId="0" fillId="4" borderId="39" xfId="0" applyNumberFormat="1" applyFill="1" applyBorder="1" applyAlignment="1">
      <alignment horizontal="center" vertical="center"/>
    </xf>
    <xf numFmtId="44" fontId="0" fillId="4" borderId="39" xfId="1" applyFont="1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15" fillId="4" borderId="39" xfId="0" applyFont="1" applyFill="1" applyBorder="1" applyAlignment="1">
      <alignment horizontal="left" vertical="center"/>
    </xf>
    <xf numFmtId="0" fontId="0" fillId="6" borderId="41" xfId="0" applyFill="1" applyBorder="1" applyAlignment="1">
      <alignment horizontal="center" vertical="center"/>
    </xf>
    <xf numFmtId="14" fontId="0" fillId="3" borderId="40" xfId="0" applyNumberFormat="1" applyFill="1" applyBorder="1" applyAlignment="1">
      <alignment horizontal="center" vertical="center"/>
    </xf>
    <xf numFmtId="0" fontId="0" fillId="6" borderId="55" xfId="0" applyFill="1" applyBorder="1" applyAlignment="1">
      <alignment horizontal="center"/>
    </xf>
    <xf numFmtId="44" fontId="0" fillId="6" borderId="55" xfId="1" applyFont="1" applyFill="1" applyBorder="1" applyAlignment="1">
      <alignment horizontal="center"/>
    </xf>
    <xf numFmtId="14" fontId="0" fillId="6" borderId="55" xfId="0" applyNumberFormat="1" applyFill="1" applyBorder="1" applyAlignment="1">
      <alignment horizontal="center"/>
    </xf>
    <xf numFmtId="0" fontId="0" fillId="5" borderId="55" xfId="0" applyFill="1" applyBorder="1"/>
    <xf numFmtId="0" fontId="0" fillId="0" borderId="0" xfId="0"/>
    <xf numFmtId="0" fontId="6" fillId="4" borderId="44" xfId="0" applyFont="1" applyFill="1" applyBorder="1" applyAlignment="1">
      <alignment horizontal="center" vertical="center"/>
    </xf>
    <xf numFmtId="0" fontId="6" fillId="4" borderId="55" xfId="0" applyFont="1" applyFill="1" applyBorder="1" applyAlignment="1">
      <alignment horizontal="center" vertical="center"/>
    </xf>
    <xf numFmtId="0" fontId="6" fillId="4" borderId="55" xfId="0" applyFont="1" applyFill="1" applyBorder="1"/>
    <xf numFmtId="0" fontId="0" fillId="4" borderId="55" xfId="0" applyFont="1" applyFill="1" applyBorder="1" applyAlignment="1">
      <alignment horizontal="center" vertical="center"/>
    </xf>
    <xf numFmtId="49" fontId="0" fillId="4" borderId="55" xfId="0" applyNumberFormat="1" applyFont="1" applyFill="1" applyBorder="1" applyAlignment="1">
      <alignment horizontal="center" vertical="center"/>
    </xf>
    <xf numFmtId="44" fontId="1" fillId="4" borderId="55" xfId="1" applyFont="1" applyFill="1" applyBorder="1" applyAlignment="1">
      <alignment vertical="center"/>
    </xf>
    <xf numFmtId="14" fontId="0" fillId="4" borderId="55" xfId="0" applyNumberFormat="1" applyFont="1" applyFill="1" applyBorder="1" applyAlignment="1">
      <alignment horizontal="center" vertical="center"/>
    </xf>
    <xf numFmtId="44" fontId="1" fillId="4" borderId="55" xfId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14" fontId="0" fillId="3" borderId="53" xfId="0" applyNumberFormat="1" applyFill="1" applyBorder="1" applyAlignment="1">
      <alignment horizontal="center" vertical="center"/>
    </xf>
    <xf numFmtId="0" fontId="0" fillId="5" borderId="55" xfId="0" applyFill="1" applyBorder="1" applyAlignment="1">
      <alignment horizontal="center"/>
    </xf>
    <xf numFmtId="14" fontId="0" fillId="5" borderId="55" xfId="0" applyNumberFormat="1" applyFill="1" applyBorder="1" applyAlignment="1">
      <alignment horizontal="center"/>
    </xf>
    <xf numFmtId="44" fontId="0" fillId="5" borderId="55" xfId="1" applyFont="1" applyFill="1" applyBorder="1" applyAlignment="1">
      <alignment horizontal="center"/>
    </xf>
    <xf numFmtId="0" fontId="0" fillId="4" borderId="55" xfId="0" applyFill="1" applyBorder="1" applyAlignment="1">
      <alignment horizontal="center"/>
    </xf>
    <xf numFmtId="0" fontId="0" fillId="4" borderId="55" xfId="0" applyFill="1" applyBorder="1"/>
    <xf numFmtId="14" fontId="0" fillId="4" borderId="55" xfId="0" applyNumberFormat="1" applyFill="1" applyBorder="1" applyAlignment="1">
      <alignment horizontal="center"/>
    </xf>
    <xf numFmtId="44" fontId="0" fillId="4" borderId="55" xfId="1" applyFont="1" applyFill="1" applyBorder="1" applyAlignment="1">
      <alignment horizontal="center"/>
    </xf>
    <xf numFmtId="0" fontId="15" fillId="4" borderId="55" xfId="0" applyFont="1" applyFill="1" applyBorder="1" applyAlignment="1">
      <alignment horizontal="center"/>
    </xf>
    <xf numFmtId="14" fontId="0" fillId="3" borderId="60" xfId="0" applyNumberFormat="1" applyFill="1" applyBorder="1" applyAlignment="1">
      <alignment horizontal="center" vertical="center"/>
    </xf>
    <xf numFmtId="0" fontId="2" fillId="0" borderId="0" xfId="0" applyFont="1"/>
    <xf numFmtId="0" fontId="0" fillId="0" borderId="0" xfId="0"/>
    <xf numFmtId="14" fontId="0" fillId="7" borderId="40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4" borderId="50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0" fillId="4" borderId="28" xfId="0" applyFill="1" applyBorder="1"/>
    <xf numFmtId="44" fontId="0" fillId="4" borderId="28" xfId="1" applyFont="1" applyFill="1" applyBorder="1" applyAlignment="1">
      <alignment horizontal="center"/>
    </xf>
    <xf numFmtId="14" fontId="0" fillId="4" borderId="28" xfId="0" applyNumberFormat="1" applyFill="1" applyBorder="1" applyAlignment="1">
      <alignment horizontal="center"/>
    </xf>
    <xf numFmtId="0" fontId="0" fillId="4" borderId="51" xfId="0" applyFill="1" applyBorder="1" applyAlignment="1">
      <alignment horizontal="center"/>
    </xf>
    <xf numFmtId="0" fontId="0" fillId="4" borderId="52" xfId="0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4" borderId="49" xfId="0" applyFill="1" applyBorder="1"/>
    <xf numFmtId="44" fontId="0" fillId="4" borderId="49" xfId="1" applyFont="1" applyFill="1" applyBorder="1" applyAlignment="1">
      <alignment horizontal="center"/>
    </xf>
    <xf numFmtId="14" fontId="0" fillId="4" borderId="49" xfId="0" applyNumberFormat="1" applyFill="1" applyBorder="1" applyAlignment="1">
      <alignment horizontal="center"/>
    </xf>
    <xf numFmtId="0" fontId="0" fillId="4" borderId="53" xfId="0" applyFill="1" applyBorder="1" applyAlignment="1">
      <alignment horizontal="center"/>
    </xf>
    <xf numFmtId="0" fontId="15" fillId="4" borderId="28" xfId="0" applyFont="1" applyFill="1" applyBorder="1" applyAlignment="1">
      <alignment horizontal="center"/>
    </xf>
    <xf numFmtId="0" fontId="15" fillId="4" borderId="49" xfId="0" applyFont="1" applyFill="1" applyBorder="1" applyAlignment="1">
      <alignment horizontal="center"/>
    </xf>
    <xf numFmtId="0" fontId="0" fillId="3" borderId="68" xfId="0" applyFont="1" applyFill="1" applyBorder="1" applyAlignment="1">
      <alignment horizontal="center" vertical="center"/>
    </xf>
    <xf numFmtId="49" fontId="0" fillId="3" borderId="8" xfId="0" applyNumberFormat="1" applyFont="1" applyFill="1" applyBorder="1" applyAlignment="1">
      <alignment horizontal="center" vertical="center"/>
    </xf>
    <xf numFmtId="44" fontId="1" fillId="3" borderId="8" xfId="1" applyFont="1" applyFill="1" applyBorder="1" applyAlignment="1">
      <alignment vertical="center"/>
    </xf>
    <xf numFmtId="14" fontId="0" fillId="3" borderId="8" xfId="0" applyNumberFormat="1" applyFont="1" applyFill="1" applyBorder="1" applyAlignment="1">
      <alignment horizontal="center" vertical="center"/>
    </xf>
    <xf numFmtId="44" fontId="1" fillId="3" borderId="8" xfId="1" applyFont="1" applyFill="1" applyBorder="1" applyAlignment="1">
      <alignment horizontal="center" vertical="center"/>
    </xf>
    <xf numFmtId="49" fontId="0" fillId="3" borderId="42" xfId="0" applyNumberFormat="1" applyFill="1" applyBorder="1" applyAlignment="1">
      <alignment horizontal="left" vertical="center"/>
    </xf>
    <xf numFmtId="0" fontId="0" fillId="3" borderId="55" xfId="0" applyFill="1" applyBorder="1" applyAlignment="1">
      <alignment horizontal="center"/>
    </xf>
    <xf numFmtId="0" fontId="0" fillId="3" borderId="55" xfId="0" applyFill="1" applyBorder="1"/>
    <xf numFmtId="44" fontId="0" fillId="3" borderId="55" xfId="1" applyFont="1" applyFill="1" applyBorder="1" applyAlignment="1">
      <alignment horizontal="center"/>
    </xf>
    <xf numFmtId="14" fontId="0" fillId="3" borderId="55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3" borderId="70" xfId="0" applyFill="1" applyBorder="1" applyAlignment="1">
      <alignment horizontal="center"/>
    </xf>
    <xf numFmtId="0" fontId="0" fillId="3" borderId="70" xfId="0" applyFill="1" applyBorder="1"/>
    <xf numFmtId="44" fontId="0" fillId="3" borderId="70" xfId="1" applyFont="1" applyFill="1" applyBorder="1" applyAlignment="1">
      <alignment horizontal="center"/>
    </xf>
    <xf numFmtId="14" fontId="0" fillId="3" borderId="70" xfId="0" applyNumberFormat="1" applyFill="1" applyBorder="1" applyAlignment="1">
      <alignment horizontal="center"/>
    </xf>
    <xf numFmtId="0" fontId="0" fillId="0" borderId="0" xfId="0"/>
    <xf numFmtId="0" fontId="0" fillId="3" borderId="7" xfId="0" applyFill="1" applyBorder="1" applyAlignment="1">
      <alignment horizontal="center" vertical="center"/>
    </xf>
    <xf numFmtId="0" fontId="0" fillId="3" borderId="42" xfId="0" applyFill="1" applyBorder="1" applyAlignment="1">
      <alignment horizontal="center"/>
    </xf>
    <xf numFmtId="0" fontId="0" fillId="3" borderId="42" xfId="0" applyFill="1" applyBorder="1"/>
    <xf numFmtId="44" fontId="0" fillId="3" borderId="42" xfId="1" applyFont="1" applyFill="1" applyBorder="1" applyAlignment="1">
      <alignment horizontal="center"/>
    </xf>
    <xf numFmtId="14" fontId="0" fillId="3" borderId="42" xfId="0" applyNumberFormat="1" applyFill="1" applyBorder="1" applyAlignment="1">
      <alignment horizontal="center"/>
    </xf>
    <xf numFmtId="0" fontId="6" fillId="3" borderId="42" xfId="0" applyFont="1" applyFill="1" applyBorder="1"/>
    <xf numFmtId="0" fontId="6" fillId="3" borderId="44" xfId="0" applyFont="1" applyFill="1" applyBorder="1" applyAlignment="1">
      <alignment horizontal="center" vertical="center"/>
    </xf>
    <xf numFmtId="0" fontId="6" fillId="3" borderId="55" xfId="0" applyFont="1" applyFill="1" applyBorder="1" applyAlignment="1">
      <alignment horizontal="center" vertical="center"/>
    </xf>
    <xf numFmtId="0" fontId="6" fillId="3" borderId="55" xfId="0" applyFont="1" applyFill="1" applyBorder="1"/>
    <xf numFmtId="49" fontId="0" fillId="3" borderId="55" xfId="0" applyNumberFormat="1" applyFont="1" applyFill="1" applyBorder="1" applyAlignment="1">
      <alignment horizontal="center" vertical="center"/>
    </xf>
    <xf numFmtId="44" fontId="1" fillId="3" borderId="55" xfId="1" applyFont="1" applyFill="1" applyBorder="1" applyAlignment="1">
      <alignment vertical="center"/>
    </xf>
    <xf numFmtId="44" fontId="1" fillId="3" borderId="55" xfId="1" applyFont="1" applyFill="1" applyBorder="1" applyAlignment="1">
      <alignment horizontal="center" vertical="center"/>
    </xf>
    <xf numFmtId="0" fontId="0" fillId="0" borderId="0" xfId="0"/>
    <xf numFmtId="0" fontId="0" fillId="4" borderId="42" xfId="0" applyFill="1" applyBorder="1" applyAlignment="1">
      <alignment horizontal="center"/>
    </xf>
    <xf numFmtId="0" fontId="0" fillId="4" borderId="42" xfId="0" applyFill="1" applyBorder="1"/>
    <xf numFmtId="44" fontId="0" fillId="4" borderId="42" xfId="1" applyFont="1" applyFill="1" applyBorder="1" applyAlignment="1">
      <alignment horizontal="center"/>
    </xf>
    <xf numFmtId="14" fontId="0" fillId="4" borderId="42" xfId="0" applyNumberFormat="1" applyFill="1" applyBorder="1" applyAlignment="1">
      <alignment horizontal="center"/>
    </xf>
    <xf numFmtId="0" fontId="15" fillId="4" borderId="42" xfId="0" applyFont="1" applyFill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6" fillId="3" borderId="7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vertical="center"/>
    </xf>
    <xf numFmtId="49" fontId="6" fillId="3" borderId="7" xfId="0" applyNumberFormat="1" applyFont="1" applyFill="1" applyBorder="1" applyAlignment="1">
      <alignment horizontal="center" vertical="center"/>
    </xf>
    <xf numFmtId="44" fontId="6" fillId="3" borderId="7" xfId="1" applyFont="1" applyFill="1" applyBorder="1" applyAlignment="1">
      <alignment vertical="center"/>
    </xf>
    <xf numFmtId="14" fontId="6" fillId="3" borderId="7" xfId="0" applyNumberFormat="1" applyFont="1" applyFill="1" applyBorder="1" applyAlignment="1">
      <alignment horizontal="center" vertical="center"/>
    </xf>
    <xf numFmtId="44" fontId="6" fillId="3" borderId="7" xfId="1" applyFont="1" applyFill="1" applyBorder="1" applyAlignment="1">
      <alignment horizontal="center" vertical="center"/>
    </xf>
    <xf numFmtId="0" fontId="0" fillId="3" borderId="28" xfId="0" applyFill="1" applyBorder="1"/>
    <xf numFmtId="0" fontId="0" fillId="3" borderId="49" xfId="0" applyFill="1" applyBorder="1"/>
    <xf numFmtId="0" fontId="6" fillId="3" borderId="50" xfId="0" applyFont="1" applyFill="1" applyBorder="1" applyAlignment="1">
      <alignment horizontal="center" vertical="center"/>
    </xf>
    <xf numFmtId="0" fontId="6" fillId="3" borderId="28" xfId="0" applyFont="1" applyFill="1" applyBorder="1"/>
    <xf numFmtId="0" fontId="0" fillId="3" borderId="28" xfId="0" applyFont="1" applyFill="1" applyBorder="1" applyAlignment="1">
      <alignment horizontal="center" vertical="center"/>
    </xf>
    <xf numFmtId="49" fontId="0" fillId="3" borderId="28" xfId="0" applyNumberFormat="1" applyFont="1" applyFill="1" applyBorder="1" applyAlignment="1">
      <alignment horizontal="center" vertical="center"/>
    </xf>
    <xf numFmtId="44" fontId="1" fillId="3" borderId="28" xfId="1" applyFont="1" applyFill="1" applyBorder="1" applyAlignment="1">
      <alignment vertical="center"/>
    </xf>
    <xf numFmtId="44" fontId="1" fillId="3" borderId="28" xfId="1" applyFont="1" applyFill="1" applyBorder="1" applyAlignment="1">
      <alignment horizontal="center" vertical="center"/>
    </xf>
    <xf numFmtId="0" fontId="0" fillId="0" borderId="0" xfId="0"/>
    <xf numFmtId="14" fontId="0" fillId="3" borderId="34" xfId="0" applyNumberFormat="1" applyFill="1" applyBorder="1" applyAlignment="1">
      <alignment horizontal="center" vertical="center" wrapText="1"/>
    </xf>
    <xf numFmtId="14" fontId="0" fillId="3" borderId="30" xfId="0" applyNumberFormat="1" applyFill="1" applyBorder="1" applyAlignment="1">
      <alignment horizontal="center" vertical="center"/>
    </xf>
    <xf numFmtId="14" fontId="0" fillId="3" borderId="33" xfId="0" applyNumberFormat="1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14" fontId="0" fillId="3" borderId="65" xfId="0" applyNumberFormat="1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2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49" xfId="0" applyFill="1" applyBorder="1" applyAlignment="1">
      <alignment vertical="center"/>
    </xf>
    <xf numFmtId="0" fontId="0" fillId="0" borderId="49" xfId="0" applyFont="1" applyFill="1" applyBorder="1" applyAlignment="1">
      <alignment horizontal="center" vertical="center"/>
    </xf>
    <xf numFmtId="49" fontId="0" fillId="0" borderId="49" xfId="0" applyNumberFormat="1" applyFont="1" applyFill="1" applyBorder="1" applyAlignment="1">
      <alignment horizontal="center" vertical="center"/>
    </xf>
    <xf numFmtId="44" fontId="14" fillId="0" borderId="49" xfId="1" applyFont="1" applyFill="1" applyBorder="1" applyAlignment="1">
      <alignment vertical="center"/>
    </xf>
    <xf numFmtId="44" fontId="0" fillId="0" borderId="49" xfId="1" applyFont="1" applyFill="1" applyBorder="1" applyAlignment="1">
      <alignment horizontal="center" vertical="center"/>
    </xf>
    <xf numFmtId="14" fontId="0" fillId="0" borderId="59" xfId="0" applyNumberFormat="1" applyFill="1" applyBorder="1" applyAlignment="1">
      <alignment horizontal="center" vertical="center"/>
    </xf>
    <xf numFmtId="14" fontId="0" fillId="3" borderId="62" xfId="0" applyNumberFormat="1" applyFill="1" applyBorder="1" applyAlignment="1">
      <alignment horizontal="center" vertical="center"/>
    </xf>
    <xf numFmtId="0" fontId="0" fillId="5" borderId="65" xfId="0" applyFill="1" applyBorder="1" applyAlignment="1">
      <alignment horizontal="center" vertical="center"/>
    </xf>
    <xf numFmtId="0" fontId="0" fillId="5" borderId="51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49" fontId="0" fillId="0" borderId="42" xfId="0" applyNumberFormat="1" applyFill="1" applyBorder="1" applyAlignment="1">
      <alignment horizontal="center" vertical="center"/>
    </xf>
    <xf numFmtId="44" fontId="0" fillId="0" borderId="42" xfId="1" applyFont="1" applyFill="1" applyBorder="1" applyAlignment="1">
      <alignment vertical="center"/>
    </xf>
    <xf numFmtId="44" fontId="0" fillId="0" borderId="42" xfId="1" applyFont="1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49" fontId="0" fillId="0" borderId="49" xfId="0" applyNumberFormat="1" applyFill="1" applyBorder="1" applyAlignment="1">
      <alignment horizontal="center" vertical="center"/>
    </xf>
    <xf numFmtId="44" fontId="0" fillId="0" borderId="49" xfId="1" applyFont="1" applyFill="1" applyBorder="1" applyAlignment="1">
      <alignment vertical="center"/>
    </xf>
    <xf numFmtId="0" fontId="0" fillId="10" borderId="53" xfId="0" applyFill="1" applyBorder="1" applyAlignment="1">
      <alignment horizontal="left" vertical="center"/>
    </xf>
    <xf numFmtId="0" fontId="6" fillId="3" borderId="55" xfId="0" applyFont="1" applyFill="1" applyBorder="1" applyAlignment="1">
      <alignment horizontal="left" vertical="center"/>
    </xf>
    <xf numFmtId="0" fontId="0" fillId="7" borderId="42" xfId="0" applyFill="1" applyBorder="1" applyAlignment="1">
      <alignment horizontal="center"/>
    </xf>
    <xf numFmtId="0" fontId="6" fillId="3" borderId="49" xfId="0" applyFont="1" applyFill="1" applyBorder="1"/>
    <xf numFmtId="0" fontId="0" fillId="3" borderId="49" xfId="0" applyFont="1" applyFill="1" applyBorder="1" applyAlignment="1">
      <alignment horizontal="center" vertical="center"/>
    </xf>
    <xf numFmtId="44" fontId="1" fillId="3" borderId="49" xfId="1" applyFont="1" applyFill="1" applyBorder="1" applyAlignment="1">
      <alignment vertical="center"/>
    </xf>
    <xf numFmtId="0" fontId="0" fillId="3" borderId="49" xfId="0" applyFill="1" applyBorder="1" applyAlignment="1">
      <alignment horizontal="center"/>
    </xf>
    <xf numFmtId="14" fontId="0" fillId="3" borderId="49" xfId="0" applyNumberFormat="1" applyFill="1" applyBorder="1" applyAlignment="1">
      <alignment horizontal="center"/>
    </xf>
    <xf numFmtId="44" fontId="0" fillId="3" borderId="49" xfId="1" applyFont="1" applyFill="1" applyBorder="1" applyAlignment="1">
      <alignment horizontal="center"/>
    </xf>
    <xf numFmtId="0" fontId="0" fillId="3" borderId="53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44" fontId="0" fillId="3" borderId="28" xfId="1" applyFont="1" applyFill="1" applyBorder="1" applyAlignment="1">
      <alignment horizontal="center"/>
    </xf>
    <xf numFmtId="14" fontId="0" fillId="3" borderId="28" xfId="0" applyNumberFormat="1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0" fillId="3" borderId="52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44" fontId="0" fillId="3" borderId="7" xfId="1" applyFont="1" applyFill="1" applyBorder="1" applyAlignment="1">
      <alignment horizontal="center"/>
    </xf>
    <xf numFmtId="14" fontId="0" fillId="3" borderId="7" xfId="0" applyNumberFormat="1" applyFill="1" applyBorder="1" applyAlignment="1">
      <alignment horizontal="center"/>
    </xf>
    <xf numFmtId="0" fontId="0" fillId="3" borderId="7" xfId="0" applyFill="1" applyBorder="1" applyAlignment="1">
      <alignment horizontal="left"/>
    </xf>
    <xf numFmtId="0" fontId="0" fillId="7" borderId="7" xfId="0" applyFill="1" applyBorder="1" applyAlignment="1">
      <alignment horizontal="center"/>
    </xf>
    <xf numFmtId="0" fontId="0" fillId="7" borderId="55" xfId="0" applyFill="1" applyBorder="1" applyAlignment="1">
      <alignment horizontal="center"/>
    </xf>
    <xf numFmtId="0" fontId="0" fillId="0" borderId="0" xfId="0"/>
    <xf numFmtId="0" fontId="0" fillId="0" borderId="0" xfId="0"/>
    <xf numFmtId="0" fontId="0" fillId="4" borderId="44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6" fillId="4" borderId="28" xfId="0" applyFont="1" applyFill="1" applyBorder="1"/>
    <xf numFmtId="0" fontId="6" fillId="4" borderId="28" xfId="0" applyFont="1" applyFill="1" applyBorder="1" applyAlignment="1">
      <alignment horizontal="center"/>
    </xf>
    <xf numFmtId="44" fontId="6" fillId="4" borderId="28" xfId="1" applyFont="1" applyFill="1" applyBorder="1" applyAlignment="1">
      <alignment horizontal="center"/>
    </xf>
    <xf numFmtId="14" fontId="6" fillId="3" borderId="55" xfId="0" applyNumberFormat="1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8" xfId="0" applyFill="1" applyBorder="1"/>
    <xf numFmtId="44" fontId="0" fillId="3" borderId="8" xfId="1" applyFont="1" applyFill="1" applyBorder="1" applyAlignment="1">
      <alignment horizontal="center"/>
    </xf>
    <xf numFmtId="14" fontId="0" fillId="3" borderId="8" xfId="0" applyNumberFormat="1" applyFill="1" applyBorder="1" applyAlignment="1">
      <alignment horizontal="center"/>
    </xf>
    <xf numFmtId="0" fontId="0" fillId="0" borderId="0" xfId="0"/>
    <xf numFmtId="0" fontId="6" fillId="3" borderId="7" xfId="0" applyFont="1" applyFill="1" applyBorder="1" applyAlignment="1">
      <alignment horizontal="center"/>
    </xf>
    <xf numFmtId="44" fontId="6" fillId="3" borderId="7" xfId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3" borderId="44" xfId="0" applyFill="1" applyBorder="1" applyAlignment="1">
      <alignment horizontal="center"/>
    </xf>
    <xf numFmtId="0" fontId="0" fillId="0" borderId="55" xfId="0" applyFill="1" applyBorder="1"/>
    <xf numFmtId="0" fontId="0" fillId="0" borderId="0" xfId="0" applyFill="1"/>
    <xf numFmtId="0" fontId="0" fillId="0" borderId="0" xfId="0"/>
    <xf numFmtId="0" fontId="6" fillId="3" borderId="49" xfId="0" applyFont="1" applyFill="1" applyBorder="1" applyAlignment="1">
      <alignment horizontal="center"/>
    </xf>
    <xf numFmtId="44" fontId="6" fillId="3" borderId="49" xfId="1" applyFont="1" applyFill="1" applyBorder="1" applyAlignment="1">
      <alignment horizontal="center"/>
    </xf>
    <xf numFmtId="164" fontId="2" fillId="0" borderId="40" xfId="0" applyNumberFormat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left" vertical="center"/>
    </xf>
    <xf numFmtId="164" fontId="2" fillId="0" borderId="55" xfId="0" applyNumberFormat="1" applyFont="1" applyBorder="1" applyAlignment="1">
      <alignment vertical="center"/>
    </xf>
    <xf numFmtId="44" fontId="0" fillId="0" borderId="0" xfId="1" applyFont="1" applyFill="1" applyAlignment="1">
      <alignment vertical="center"/>
    </xf>
    <xf numFmtId="0" fontId="0" fillId="0" borderId="0" xfId="0"/>
    <xf numFmtId="0" fontId="0" fillId="5" borderId="42" xfId="0" applyFill="1" applyBorder="1" applyAlignment="1">
      <alignment horizontal="center"/>
    </xf>
    <xf numFmtId="44" fontId="0" fillId="5" borderId="42" xfId="1" applyFont="1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7" xfId="0" applyFill="1" applyBorder="1"/>
    <xf numFmtId="14" fontId="0" fillId="5" borderId="7" xfId="0" applyNumberFormat="1" applyFill="1" applyBorder="1" applyAlignment="1">
      <alignment horizontal="center"/>
    </xf>
    <xf numFmtId="0" fontId="0" fillId="0" borderId="0" xfId="0"/>
    <xf numFmtId="0" fontId="0" fillId="3" borderId="55" xfId="0" applyFill="1" applyBorder="1" applyAlignment="1">
      <alignment horizontal="left"/>
    </xf>
    <xf numFmtId="0" fontId="0" fillId="0" borderId="0" xfId="0"/>
    <xf numFmtId="44" fontId="0" fillId="5" borderId="7" xfId="1" applyFont="1" applyFill="1" applyBorder="1" applyAlignment="1">
      <alignment horizontal="center"/>
    </xf>
    <xf numFmtId="0" fontId="0" fillId="5" borderId="42" xfId="0" applyFill="1" applyBorder="1"/>
    <xf numFmtId="14" fontId="0" fillId="5" borderId="42" xfId="0" applyNumberForma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4" borderId="55" xfId="0" applyFont="1" applyFill="1" applyBorder="1" applyAlignment="1">
      <alignment horizontal="center"/>
    </xf>
    <xf numFmtId="0" fontId="0" fillId="0" borderId="0" xfId="0"/>
    <xf numFmtId="0" fontId="0" fillId="6" borderId="50" xfId="0" applyFill="1" applyBorder="1" applyAlignment="1">
      <alignment horizontal="center"/>
    </xf>
    <xf numFmtId="0" fontId="0" fillId="6" borderId="28" xfId="0" applyFill="1" applyBorder="1" applyAlignment="1">
      <alignment horizontal="center"/>
    </xf>
    <xf numFmtId="44" fontId="0" fillId="6" borderId="28" xfId="1" applyFont="1" applyFill="1" applyBorder="1" applyAlignment="1">
      <alignment horizontal="center"/>
    </xf>
    <xf numFmtId="14" fontId="0" fillId="6" borderId="28" xfId="0" applyNumberFormat="1" applyFill="1" applyBorder="1" applyAlignment="1">
      <alignment horizontal="center"/>
    </xf>
    <xf numFmtId="0" fontId="0" fillId="6" borderId="51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44" fontId="0" fillId="6" borderId="49" xfId="1" applyFont="1" applyFill="1" applyBorder="1" applyAlignment="1">
      <alignment horizontal="center"/>
    </xf>
    <xf numFmtId="14" fontId="0" fillId="6" borderId="49" xfId="0" applyNumberFormat="1" applyFill="1" applyBorder="1" applyAlignment="1">
      <alignment horizontal="center"/>
    </xf>
    <xf numFmtId="0" fontId="0" fillId="6" borderId="53" xfId="0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7" xfId="0" applyFill="1" applyBorder="1"/>
    <xf numFmtId="44" fontId="0" fillId="4" borderId="7" xfId="1" applyFont="1" applyFill="1" applyBorder="1" applyAlignment="1">
      <alignment horizontal="center"/>
    </xf>
    <xf numFmtId="14" fontId="0" fillId="4" borderId="7" xfId="0" applyNumberForma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0" fillId="4" borderId="72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1" xfId="0" applyFill="1" applyBorder="1"/>
    <xf numFmtId="44" fontId="0" fillId="4" borderId="11" xfId="1" applyFont="1" applyFill="1" applyBorder="1" applyAlignment="1">
      <alignment horizontal="center"/>
    </xf>
    <xf numFmtId="14" fontId="0" fillId="4" borderId="11" xfId="0" applyNumberFormat="1" applyFill="1" applyBorder="1" applyAlignment="1">
      <alignment horizontal="center"/>
    </xf>
    <xf numFmtId="0" fontId="15" fillId="4" borderId="11" xfId="0" applyFon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73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7" xfId="0" applyFill="1" applyBorder="1"/>
    <xf numFmtId="44" fontId="0" fillId="4" borderId="17" xfId="1" applyFont="1" applyFill="1" applyBorder="1" applyAlignment="1">
      <alignment horizontal="center"/>
    </xf>
    <xf numFmtId="14" fontId="0" fillId="4" borderId="17" xfId="0" applyNumberForma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/>
    <xf numFmtId="0" fontId="0" fillId="0" borderId="55" xfId="0" applyFill="1" applyBorder="1" applyAlignment="1">
      <alignment horizontal="center"/>
    </xf>
    <xf numFmtId="44" fontId="0" fillId="0" borderId="55" xfId="1" applyFont="1" applyFill="1" applyBorder="1" applyAlignment="1">
      <alignment horizontal="center"/>
    </xf>
    <xf numFmtId="14" fontId="0" fillId="0" borderId="55" xfId="0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7" borderId="55" xfId="0" applyFont="1" applyFill="1" applyBorder="1" applyAlignment="1">
      <alignment horizontal="center"/>
    </xf>
    <xf numFmtId="14" fontId="0" fillId="3" borderId="51" xfId="0" applyNumberFormat="1" applyFill="1" applyBorder="1" applyAlignment="1">
      <alignment horizontal="center"/>
    </xf>
    <xf numFmtId="14" fontId="0" fillId="3" borderId="40" xfId="0" applyNumberFormat="1" applyFill="1" applyBorder="1" applyAlignment="1">
      <alignment horizontal="center"/>
    </xf>
    <xf numFmtId="14" fontId="0" fillId="3" borderId="53" xfId="0" applyNumberFormat="1" applyFill="1" applyBorder="1" applyAlignment="1">
      <alignment horizontal="center"/>
    </xf>
    <xf numFmtId="0" fontId="0" fillId="5" borderId="50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0" fillId="5" borderId="28" xfId="0" applyFill="1" applyBorder="1"/>
    <xf numFmtId="44" fontId="0" fillId="5" borderId="28" xfId="1" applyFont="1" applyFill="1" applyBorder="1" applyAlignment="1">
      <alignment horizontal="center"/>
    </xf>
    <xf numFmtId="14" fontId="0" fillId="5" borderId="28" xfId="0" applyNumberFormat="1" applyFill="1" applyBorder="1" applyAlignment="1">
      <alignment horizontal="center"/>
    </xf>
    <xf numFmtId="0" fontId="0" fillId="5" borderId="49" xfId="0" applyFill="1" applyBorder="1" applyAlignment="1">
      <alignment horizontal="center"/>
    </xf>
    <xf numFmtId="44" fontId="0" fillId="5" borderId="49" xfId="1" applyFont="1" applyFill="1" applyBorder="1" applyAlignment="1">
      <alignment horizontal="center"/>
    </xf>
    <xf numFmtId="0" fontId="0" fillId="5" borderId="44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49" xfId="0" applyFill="1" applyBorder="1"/>
    <xf numFmtId="14" fontId="0" fillId="5" borderId="49" xfId="0" applyNumberFormat="1" applyFill="1" applyBorder="1" applyAlignment="1">
      <alignment horizontal="center"/>
    </xf>
    <xf numFmtId="0" fontId="0" fillId="0" borderId="55" xfId="0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4" borderId="38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39" xfId="0" applyFill="1" applyBorder="1"/>
    <xf numFmtId="0" fontId="0" fillId="5" borderId="40" xfId="0" applyFill="1" applyBorder="1" applyAlignment="1">
      <alignment horizontal="center"/>
    </xf>
    <xf numFmtId="0" fontId="0" fillId="5" borderId="61" xfId="0" applyFill="1" applyBorder="1" applyAlignment="1">
      <alignment horizontal="center"/>
    </xf>
    <xf numFmtId="0" fontId="0" fillId="5" borderId="61" xfId="0" applyFill="1" applyBorder="1"/>
    <xf numFmtId="44" fontId="0" fillId="5" borderId="61" xfId="1" applyFont="1" applyFill="1" applyBorder="1" applyAlignment="1">
      <alignment horizontal="center"/>
    </xf>
    <xf numFmtId="14" fontId="0" fillId="5" borderId="61" xfId="0" applyNumberFormat="1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39" xfId="0" applyFill="1" applyBorder="1"/>
    <xf numFmtId="14" fontId="0" fillId="3" borderId="39" xfId="0" applyNumberFormat="1" applyFill="1" applyBorder="1" applyAlignment="1">
      <alignment horizontal="center"/>
    </xf>
    <xf numFmtId="44" fontId="0" fillId="3" borderId="39" xfId="1" applyFont="1" applyFill="1" applyBorder="1" applyAlignment="1">
      <alignment horizontal="center"/>
    </xf>
    <xf numFmtId="0" fontId="0" fillId="3" borderId="62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3" borderId="68" xfId="0" applyFill="1" applyBorder="1" applyAlignment="1">
      <alignment horizontal="center"/>
    </xf>
    <xf numFmtId="0" fontId="0" fillId="0" borderId="0" xfId="0"/>
    <xf numFmtId="0" fontId="0" fillId="6" borderId="7" xfId="0" applyFill="1" applyBorder="1" applyAlignment="1">
      <alignment horizontal="center"/>
    </xf>
    <xf numFmtId="0" fontId="0" fillId="5" borderId="53" xfId="0" applyFill="1" applyBorder="1" applyAlignment="1">
      <alignment horizontal="center"/>
    </xf>
    <xf numFmtId="0" fontId="0" fillId="6" borderId="55" xfId="0" applyFill="1" applyBorder="1" applyAlignment="1">
      <alignment horizontal="left"/>
    </xf>
    <xf numFmtId="44" fontId="0" fillId="0" borderId="7" xfId="1" applyFont="1" applyBorder="1" applyAlignment="1">
      <alignment horizontal="center"/>
    </xf>
    <xf numFmtId="0" fontId="0" fillId="0" borderId="0" xfId="0"/>
    <xf numFmtId="14" fontId="0" fillId="7" borderId="55" xfId="0" applyNumberFormat="1" applyFill="1" applyBorder="1" applyAlignment="1">
      <alignment horizontal="center"/>
    </xf>
    <xf numFmtId="0" fontId="0" fillId="0" borderId="0" xfId="0"/>
    <xf numFmtId="44" fontId="0" fillId="3" borderId="0" xfId="1" applyFont="1" applyFill="1" applyAlignment="1">
      <alignment horizontal="center"/>
    </xf>
    <xf numFmtId="0" fontId="6" fillId="3" borderId="55" xfId="0" applyFont="1" applyFill="1" applyBorder="1" applyAlignment="1">
      <alignment horizontal="center"/>
    </xf>
    <xf numFmtId="0" fontId="6" fillId="3" borderId="55" xfId="0" applyFont="1" applyFill="1" applyBorder="1" applyAlignment="1">
      <alignment horizontal="left"/>
    </xf>
    <xf numFmtId="44" fontId="6" fillId="3" borderId="55" xfId="1" applyFont="1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44" fontId="0" fillId="0" borderId="0" xfId="1" applyFont="1"/>
    <xf numFmtId="0" fontId="0" fillId="3" borderId="26" xfId="0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0" fillId="3" borderId="45" xfId="0" applyFont="1" applyFill="1" applyBorder="1" applyAlignment="1">
      <alignment horizontal="center" vertical="center"/>
    </xf>
    <xf numFmtId="0" fontId="0" fillId="3" borderId="56" xfId="0" applyFill="1" applyBorder="1" applyAlignment="1">
      <alignment horizontal="center"/>
    </xf>
    <xf numFmtId="0" fontId="0" fillId="0" borderId="0" xfId="0"/>
    <xf numFmtId="0" fontId="0" fillId="0" borderId="28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3" xfId="0" applyBorder="1" applyAlignment="1">
      <alignment horizontal="center"/>
    </xf>
    <xf numFmtId="44" fontId="0" fillId="3" borderId="61" xfId="1" applyFont="1" applyFill="1" applyBorder="1" applyAlignment="1">
      <alignment horizontal="center"/>
    </xf>
    <xf numFmtId="0" fontId="0" fillId="0" borderId="0" xfId="0"/>
    <xf numFmtId="0" fontId="0" fillId="5" borderId="55" xfId="0" applyFill="1" applyBorder="1" applyAlignment="1">
      <alignment horizontal="left"/>
    </xf>
    <xf numFmtId="0" fontId="0" fillId="6" borderId="7" xfId="0" applyFill="1" applyBorder="1"/>
    <xf numFmtId="44" fontId="0" fillId="6" borderId="7" xfId="1" applyFont="1" applyFill="1" applyBorder="1" applyAlignment="1">
      <alignment horizontal="center"/>
    </xf>
    <xf numFmtId="14" fontId="0" fillId="6" borderId="7" xfId="0" applyNumberFormat="1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42" xfId="0" applyFill="1" applyBorder="1"/>
    <xf numFmtId="44" fontId="0" fillId="6" borderId="42" xfId="1" applyFont="1" applyFill="1" applyBorder="1" applyAlignment="1">
      <alignment horizontal="center"/>
    </xf>
    <xf numFmtId="14" fontId="0" fillId="6" borderId="42" xfId="0" applyNumberFormat="1" applyFill="1" applyBorder="1" applyAlignment="1">
      <alignment horizontal="center"/>
    </xf>
    <xf numFmtId="0" fontId="0" fillId="0" borderId="0" xfId="0"/>
    <xf numFmtId="0" fontId="0" fillId="6" borderId="69" xfId="0" applyFill="1" applyBorder="1"/>
    <xf numFmtId="0" fontId="0" fillId="6" borderId="8" xfId="0" applyFill="1" applyBorder="1" applyAlignment="1">
      <alignment horizontal="center"/>
    </xf>
    <xf numFmtId="0" fontId="0" fillId="6" borderId="8" xfId="0" applyFill="1" applyBorder="1"/>
    <xf numFmtId="44" fontId="0" fillId="6" borderId="8" xfId="1" applyFont="1" applyFill="1" applyBorder="1" applyAlignment="1">
      <alignment horizontal="center"/>
    </xf>
    <xf numFmtId="14" fontId="0" fillId="6" borderId="8" xfId="0" applyNumberFormat="1" applyFill="1" applyBorder="1" applyAlignment="1">
      <alignment horizontal="center"/>
    </xf>
    <xf numFmtId="14" fontId="0" fillId="3" borderId="55" xfId="0" applyNumberFormat="1" applyFont="1" applyFill="1" applyBorder="1" applyAlignment="1">
      <alignment horizontal="center"/>
    </xf>
    <xf numFmtId="0" fontId="0" fillId="0" borderId="0" xfId="0"/>
    <xf numFmtId="164" fontId="2" fillId="9" borderId="55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0" fillId="0" borderId="0" xfId="0" pivotButton="1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0" fontId="0" fillId="0" borderId="7" xfId="0" applyBorder="1"/>
    <xf numFmtId="0" fontId="0" fillId="3" borderId="36" xfId="0" applyFill="1" applyBorder="1" applyAlignment="1">
      <alignment horizontal="center"/>
    </xf>
    <xf numFmtId="44" fontId="0" fillId="5" borderId="69" xfId="1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 vertical="center"/>
    </xf>
    <xf numFmtId="0" fontId="0" fillId="6" borderId="48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6" borderId="39" xfId="0" applyFill="1" applyBorder="1"/>
    <xf numFmtId="0" fontId="0" fillId="6" borderId="47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5" fillId="0" borderId="55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15" fillId="6" borderId="8" xfId="0" applyFont="1" applyFill="1" applyBorder="1" applyAlignment="1">
      <alignment horizontal="center"/>
    </xf>
    <xf numFmtId="0" fontId="0" fillId="3" borderId="28" xfId="0" applyFill="1" applyBorder="1" applyAlignment="1">
      <alignment horizontal="left"/>
    </xf>
    <xf numFmtId="0" fontId="15" fillId="6" borderId="55" xfId="0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8" xfId="0" applyFill="1" applyBorder="1"/>
    <xf numFmtId="44" fontId="0" fillId="5" borderId="8" xfId="1" applyFont="1" applyFill="1" applyBorder="1" applyAlignment="1">
      <alignment horizontal="center"/>
    </xf>
    <xf numFmtId="14" fontId="0" fillId="5" borderId="8" xfId="0" applyNumberFormat="1" applyFill="1" applyBorder="1" applyAlignment="1">
      <alignment horizontal="center"/>
    </xf>
    <xf numFmtId="0" fontId="0" fillId="0" borderId="0" xfId="0"/>
    <xf numFmtId="0" fontId="0" fillId="6" borderId="41" xfId="0" applyFill="1" applyBorder="1" applyAlignment="1">
      <alignment horizontal="center"/>
    </xf>
    <xf numFmtId="0" fontId="0" fillId="0" borderId="0" xfId="0"/>
    <xf numFmtId="0" fontId="2" fillId="2" borderId="42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/>
    </xf>
    <xf numFmtId="49" fontId="2" fillId="2" borderId="42" xfId="0" applyNumberFormat="1" applyFont="1" applyFill="1" applyBorder="1" applyAlignment="1">
      <alignment horizontal="center" vertical="center" wrapText="1"/>
    </xf>
    <xf numFmtId="44" fontId="2" fillId="2" borderId="42" xfId="1" applyFont="1" applyFill="1" applyBorder="1" applyAlignment="1">
      <alignment horizontal="center" vertical="center" wrapText="1"/>
    </xf>
    <xf numFmtId="0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horizontal="right" vertical="center"/>
    </xf>
    <xf numFmtId="44" fontId="2" fillId="0" borderId="55" xfId="1" applyFont="1" applyBorder="1" applyAlignment="1">
      <alignment vertical="center"/>
    </xf>
    <xf numFmtId="44" fontId="0" fillId="5" borderId="28" xfId="1" applyFont="1" applyFill="1" applyBorder="1" applyAlignment="1">
      <alignment horizontal="center"/>
    </xf>
    <xf numFmtId="44" fontId="0" fillId="5" borderId="55" xfId="1" applyFont="1" applyFill="1" applyBorder="1" applyAlignment="1">
      <alignment horizontal="center"/>
    </xf>
    <xf numFmtId="0" fontId="0" fillId="3" borderId="49" xfId="0" applyFill="1" applyBorder="1" applyAlignment="1">
      <alignment horizontal="left"/>
    </xf>
    <xf numFmtId="0" fontId="15" fillId="4" borderId="55" xfId="0" applyFont="1" applyFill="1" applyBorder="1" applyAlignment="1">
      <alignment horizontal="left"/>
    </xf>
    <xf numFmtId="44" fontId="0" fillId="7" borderId="0" xfId="1" applyFont="1" applyFill="1" applyAlignment="1">
      <alignment vertical="center"/>
    </xf>
    <xf numFmtId="44" fontId="0" fillId="7" borderId="0" xfId="1" applyFont="1" applyFill="1" applyAlignment="1">
      <alignment horizontal="center" vertical="center"/>
    </xf>
    <xf numFmtId="44" fontId="0" fillId="10" borderId="0" xfId="1" applyFont="1" applyFill="1" applyAlignment="1">
      <alignment vertical="center"/>
    </xf>
    <xf numFmtId="14" fontId="0" fillId="3" borderId="0" xfId="1" applyNumberFormat="1" applyFont="1" applyFill="1" applyAlignment="1">
      <alignment vertical="center"/>
    </xf>
    <xf numFmtId="0" fontId="0" fillId="3" borderId="45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/>
    </xf>
    <xf numFmtId="0" fontId="0" fillId="7" borderId="0" xfId="0" applyFill="1"/>
    <xf numFmtId="44" fontId="0" fillId="3" borderId="28" xfId="1" applyFont="1" applyFill="1" applyBorder="1" applyAlignment="1">
      <alignment horizontal="center"/>
    </xf>
    <xf numFmtId="44" fontId="0" fillId="3" borderId="55" xfId="1" applyFont="1" applyFill="1" applyBorder="1" applyAlignment="1">
      <alignment horizontal="center"/>
    </xf>
    <xf numFmtId="44" fontId="0" fillId="3" borderId="49" xfId="1" applyFont="1" applyFill="1" applyBorder="1" applyAlignment="1">
      <alignment horizontal="center"/>
    </xf>
    <xf numFmtId="14" fontId="0" fillId="4" borderId="42" xfId="0" applyNumberFormat="1" applyFont="1" applyFill="1" applyBorder="1" applyAlignment="1">
      <alignment horizontal="center"/>
    </xf>
    <xf numFmtId="14" fontId="0" fillId="7" borderId="7" xfId="0" applyNumberFormat="1" applyFill="1" applyBorder="1" applyAlignment="1">
      <alignment horizontal="center"/>
    </xf>
    <xf numFmtId="7" fontId="0" fillId="0" borderId="0" xfId="0" applyNumberFormat="1"/>
    <xf numFmtId="7" fontId="0" fillId="0" borderId="0" xfId="0" pivotButton="1" applyNumberFormat="1"/>
    <xf numFmtId="164" fontId="0" fillId="0" borderId="0" xfId="0" pivotButton="1" applyNumberFormat="1"/>
    <xf numFmtId="44" fontId="2" fillId="11" borderId="80" xfId="1" applyFont="1" applyFill="1" applyBorder="1" applyAlignment="1">
      <alignment vertical="center"/>
    </xf>
    <xf numFmtId="2" fontId="2" fillId="9" borderId="40" xfId="0" applyNumberFormat="1" applyFont="1" applyFill="1" applyBorder="1" applyAlignment="1">
      <alignment horizontal="center" vertical="center" wrapText="1"/>
    </xf>
    <xf numFmtId="0" fontId="2" fillId="9" borderId="81" xfId="0" applyFont="1" applyFill="1" applyBorder="1" applyAlignment="1">
      <alignment horizontal="left" vertical="center"/>
    </xf>
    <xf numFmtId="164" fontId="2" fillId="9" borderId="80" xfId="0" applyNumberFormat="1" applyFont="1" applyFill="1" applyBorder="1" applyAlignment="1">
      <alignment vertical="center"/>
    </xf>
    <xf numFmtId="164" fontId="2" fillId="0" borderId="44" xfId="0" applyNumberFormat="1" applyFont="1" applyFill="1" applyBorder="1" applyAlignment="1">
      <alignment horizontal="left" vertical="center"/>
    </xf>
    <xf numFmtId="164" fontId="2" fillId="0" borderId="55" xfId="0" applyNumberFormat="1" applyFont="1" applyFill="1" applyBorder="1" applyAlignment="1">
      <alignment vertical="center"/>
    </xf>
    <xf numFmtId="164" fontId="2" fillId="11" borderId="80" xfId="0" applyNumberFormat="1" applyFont="1" applyFill="1" applyBorder="1" applyAlignment="1">
      <alignment vertical="center"/>
    </xf>
    <xf numFmtId="2" fontId="2" fillId="11" borderId="82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center" vertical="center"/>
    </xf>
    <xf numFmtId="0" fontId="2" fillId="11" borderId="80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4" fontId="2" fillId="0" borderId="55" xfId="0" applyNumberFormat="1" applyFont="1" applyBorder="1" applyAlignment="1">
      <alignment vertical="center"/>
    </xf>
    <xf numFmtId="44" fontId="2" fillId="11" borderId="80" xfId="0" applyNumberFormat="1" applyFont="1" applyFill="1" applyBorder="1" applyAlignment="1">
      <alignment vertical="center"/>
    </xf>
    <xf numFmtId="0" fontId="2" fillId="0" borderId="55" xfId="0" applyNumberFormat="1" applyFont="1" applyFill="1" applyBorder="1" applyAlignment="1">
      <alignment horizontal="center" vertical="center"/>
    </xf>
    <xf numFmtId="0" fontId="2" fillId="9" borderId="80" xfId="0" applyNumberFormat="1" applyFont="1" applyFill="1" applyBorder="1" applyAlignment="1">
      <alignment horizontal="center" vertical="center"/>
    </xf>
    <xf numFmtId="0" fontId="2" fillId="0" borderId="55" xfId="0" applyNumberFormat="1" applyFont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44" fontId="2" fillId="0" borderId="0" xfId="1" applyFont="1" applyFill="1" applyAlignment="1">
      <alignment horizontal="center" vertical="center"/>
    </xf>
    <xf numFmtId="164" fontId="2" fillId="0" borderId="0" xfId="0" applyNumberFormat="1" applyFont="1" applyFill="1" applyAlignment="1">
      <alignment vertical="center"/>
    </xf>
    <xf numFmtId="2" fontId="2" fillId="9" borderId="55" xfId="0" applyNumberFormat="1" applyFont="1" applyFill="1" applyBorder="1" applyAlignment="1">
      <alignment horizontal="center" vertical="center" wrapText="1"/>
    </xf>
    <xf numFmtId="2" fontId="2" fillId="0" borderId="55" xfId="0" applyNumberFormat="1" applyFont="1" applyBorder="1" applyAlignment="1">
      <alignment horizontal="center" vertical="center"/>
    </xf>
    <xf numFmtId="0" fontId="2" fillId="9" borderId="80" xfId="0" applyFont="1" applyFill="1" applyBorder="1" applyAlignment="1">
      <alignment horizontal="center" vertical="center"/>
    </xf>
    <xf numFmtId="2" fontId="2" fillId="11" borderId="80" xfId="0" applyNumberFormat="1" applyFont="1" applyFill="1" applyBorder="1" applyAlignment="1">
      <alignment horizontal="center" vertical="center"/>
    </xf>
    <xf numFmtId="164" fontId="2" fillId="0" borderId="40" xfId="0" applyNumberFormat="1" applyFont="1" applyBorder="1" applyAlignment="1">
      <alignment horizontal="right" vertical="center"/>
    </xf>
    <xf numFmtId="164" fontId="2" fillId="11" borderId="82" xfId="0" applyNumberFormat="1" applyFont="1" applyFill="1" applyBorder="1" applyAlignment="1">
      <alignment horizontal="right" vertical="center"/>
    </xf>
    <xf numFmtId="164" fontId="2" fillId="11" borderId="82" xfId="0" applyNumberFormat="1" applyFont="1" applyFill="1" applyBorder="1" applyAlignment="1">
      <alignment horizontal="center" vertical="center"/>
    </xf>
    <xf numFmtId="44" fontId="2" fillId="0" borderId="40" xfId="0" applyNumberFormat="1" applyFont="1" applyBorder="1" applyAlignment="1">
      <alignment horizontal="center" vertical="center"/>
    </xf>
    <xf numFmtId="44" fontId="2" fillId="11" borderId="82" xfId="0" applyNumberFormat="1" applyFont="1" applyFill="1" applyBorder="1" applyAlignment="1">
      <alignment horizontal="center" vertical="center"/>
    </xf>
    <xf numFmtId="14" fontId="0" fillId="3" borderId="77" xfId="0" applyNumberFormat="1" applyFill="1" applyBorder="1" applyAlignment="1">
      <alignment horizontal="center"/>
    </xf>
    <xf numFmtId="14" fontId="6" fillId="4" borderId="55" xfId="0" applyNumberFormat="1" applyFont="1" applyFill="1" applyBorder="1" applyAlignment="1">
      <alignment horizontal="center"/>
    </xf>
    <xf numFmtId="14" fontId="6" fillId="4" borderId="7" xfId="0" applyNumberFormat="1" applyFont="1" applyFill="1" applyBorder="1" applyAlignment="1">
      <alignment horizontal="center"/>
    </xf>
    <xf numFmtId="0" fontId="0" fillId="3" borderId="55" xfId="0" applyFont="1" applyFill="1" applyBorder="1" applyAlignment="1">
      <alignment horizontal="center"/>
    </xf>
    <xf numFmtId="0" fontId="0" fillId="3" borderId="78" xfId="0" applyFill="1" applyBorder="1" applyAlignment="1">
      <alignment horizontal="center"/>
    </xf>
    <xf numFmtId="0" fontId="0" fillId="3" borderId="78" xfId="0" applyFill="1" applyBorder="1"/>
    <xf numFmtId="44" fontId="0" fillId="3" borderId="78" xfId="1" applyFont="1" applyFill="1" applyBorder="1" applyAlignment="1">
      <alignment horizontal="center"/>
    </xf>
    <xf numFmtId="14" fontId="0" fillId="3" borderId="78" xfId="0" applyNumberFormat="1" applyFill="1" applyBorder="1" applyAlignment="1">
      <alignment horizontal="center"/>
    </xf>
    <xf numFmtId="14" fontId="1" fillId="3" borderId="0" xfId="1" applyNumberFormat="1" applyFont="1" applyFill="1" applyBorder="1" applyAlignment="1">
      <alignment horizontal="center" vertical="center" wrapText="1"/>
    </xf>
    <xf numFmtId="0" fontId="0" fillId="7" borderId="0" xfId="0" applyFill="1" applyAlignment="1">
      <alignment vertical="center"/>
    </xf>
    <xf numFmtId="14" fontId="0" fillId="3" borderId="41" xfId="0" applyNumberFormat="1" applyFill="1" applyBorder="1" applyAlignment="1">
      <alignment horizontal="center"/>
    </xf>
    <xf numFmtId="14" fontId="0" fillId="3" borderId="62" xfId="0" applyNumberFormat="1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14" fontId="0" fillId="3" borderId="76" xfId="0" applyNumberFormat="1" applyFill="1" applyBorder="1" applyAlignment="1">
      <alignment horizontal="center"/>
    </xf>
    <xf numFmtId="14" fontId="0" fillId="3" borderId="45" xfId="0" applyNumberFormat="1" applyFill="1" applyBorder="1" applyAlignment="1">
      <alignment horizontal="center"/>
    </xf>
    <xf numFmtId="0" fontId="0" fillId="6" borderId="80" xfId="0" applyFill="1" applyBorder="1" applyAlignment="1">
      <alignment horizontal="center"/>
    </xf>
    <xf numFmtId="0" fontId="0" fillId="6" borderId="80" xfId="0" applyFill="1" applyBorder="1"/>
    <xf numFmtId="44" fontId="0" fillId="6" borderId="80" xfId="1" applyFont="1" applyFill="1" applyBorder="1" applyAlignment="1">
      <alignment horizontal="center"/>
    </xf>
    <xf numFmtId="14" fontId="0" fillId="6" borderId="80" xfId="0" applyNumberFormat="1" applyFill="1" applyBorder="1" applyAlignment="1">
      <alignment horizontal="center"/>
    </xf>
    <xf numFmtId="14" fontId="6" fillId="3" borderId="7" xfId="0" applyNumberFormat="1" applyFont="1" applyFill="1" applyBorder="1" applyAlignment="1">
      <alignment horizontal="center"/>
    </xf>
    <xf numFmtId="165" fontId="6" fillId="3" borderId="55" xfId="1" applyNumberFormat="1" applyFont="1" applyFill="1" applyBorder="1" applyAlignment="1">
      <alignment horizontal="center"/>
    </xf>
    <xf numFmtId="0" fontId="0" fillId="3" borderId="42" xfId="0" applyFont="1" applyFill="1" applyBorder="1" applyAlignment="1">
      <alignment horizontal="center"/>
    </xf>
    <xf numFmtId="0" fontId="6" fillId="4" borderId="55" xfId="0" applyFont="1" applyFill="1" applyBorder="1" applyAlignment="1">
      <alignment horizontal="center"/>
    </xf>
    <xf numFmtId="44" fontId="6" fillId="4" borderId="55" xfId="1" applyFont="1" applyFill="1" applyBorder="1" applyAlignment="1">
      <alignment horizontal="center"/>
    </xf>
    <xf numFmtId="0" fontId="19" fillId="4" borderId="55" xfId="0" applyFont="1" applyFill="1" applyBorder="1" applyAlignment="1">
      <alignment horizontal="center"/>
    </xf>
    <xf numFmtId="14" fontId="0" fillId="7" borderId="37" xfId="0" applyNumberFormat="1" applyFill="1" applyBorder="1" applyAlignment="1">
      <alignment horizontal="center"/>
    </xf>
    <xf numFmtId="44" fontId="0" fillId="3" borderId="56" xfId="1" applyFont="1" applyFill="1" applyBorder="1" applyAlignment="1">
      <alignment horizontal="center"/>
    </xf>
    <xf numFmtId="44" fontId="0" fillId="3" borderId="37" xfId="1" applyFont="1" applyFill="1" applyBorder="1" applyAlignment="1">
      <alignment horizontal="center"/>
    </xf>
    <xf numFmtId="44" fontId="0" fillId="3" borderId="57" xfId="1" applyFont="1" applyFill="1" applyBorder="1" applyAlignment="1">
      <alignment horizontal="center"/>
    </xf>
    <xf numFmtId="44" fontId="0" fillId="3" borderId="76" xfId="1" applyFont="1" applyFill="1" applyBorder="1" applyAlignment="1">
      <alignment horizontal="center" vertical="center"/>
    </xf>
    <xf numFmtId="44" fontId="0" fillId="3" borderId="2" xfId="1" applyFont="1" applyFill="1" applyBorder="1" applyAlignment="1">
      <alignment horizontal="center" vertical="center"/>
    </xf>
    <xf numFmtId="44" fontId="0" fillId="3" borderId="79" xfId="1" applyFon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0" fontId="0" fillId="4" borderId="81" xfId="0" applyFill="1" applyBorder="1" applyAlignment="1">
      <alignment horizontal="center"/>
    </xf>
    <xf numFmtId="0" fontId="0" fillId="4" borderId="80" xfId="0" applyFill="1" applyBorder="1" applyAlignment="1">
      <alignment horizontal="center"/>
    </xf>
    <xf numFmtId="0" fontId="0" fillId="4" borderId="80" xfId="0" applyFill="1" applyBorder="1"/>
    <xf numFmtId="44" fontId="0" fillId="4" borderId="80" xfId="1" applyFont="1" applyFill="1" applyBorder="1" applyAlignment="1">
      <alignment horizontal="center"/>
    </xf>
    <xf numFmtId="14" fontId="0" fillId="4" borderId="80" xfId="0" applyNumberFormat="1" applyFill="1" applyBorder="1" applyAlignment="1">
      <alignment horizontal="center"/>
    </xf>
    <xf numFmtId="0" fontId="15" fillId="4" borderId="80" xfId="0" applyFont="1" applyFill="1" applyBorder="1" applyAlignment="1">
      <alignment horizontal="center"/>
    </xf>
    <xf numFmtId="0" fontId="0" fillId="4" borderId="82" xfId="0" applyFill="1" applyBorder="1" applyAlignment="1">
      <alignment horizontal="center"/>
    </xf>
    <xf numFmtId="14" fontId="0" fillId="3" borderId="75" xfId="0" applyNumberFormat="1" applyFill="1" applyBorder="1" applyAlignment="1">
      <alignment horizontal="center"/>
    </xf>
    <xf numFmtId="14" fontId="6" fillId="7" borderId="55" xfId="0" applyNumberFormat="1" applyFont="1" applyFill="1" applyBorder="1" applyAlignment="1">
      <alignment horizontal="center"/>
    </xf>
    <xf numFmtId="14" fontId="0" fillId="7" borderId="0" xfId="1" applyNumberFormat="1" applyFont="1" applyFill="1" applyAlignment="1">
      <alignment horizontal="center" vertical="center"/>
    </xf>
    <xf numFmtId="0" fontId="0" fillId="5" borderId="81" xfId="0" applyFill="1" applyBorder="1" applyAlignment="1">
      <alignment horizontal="center"/>
    </xf>
    <xf numFmtId="0" fontId="0" fillId="5" borderId="80" xfId="0" applyFill="1" applyBorder="1" applyAlignment="1">
      <alignment horizontal="center"/>
    </xf>
    <xf numFmtId="0" fontId="0" fillId="5" borderId="80" xfId="0" applyFill="1" applyBorder="1"/>
    <xf numFmtId="44" fontId="0" fillId="5" borderId="80" xfId="1" applyFont="1" applyFill="1" applyBorder="1" applyAlignment="1">
      <alignment horizontal="center"/>
    </xf>
    <xf numFmtId="14" fontId="0" fillId="5" borderId="80" xfId="0" applyNumberFormat="1" applyFill="1" applyBorder="1" applyAlignment="1">
      <alignment horizontal="center"/>
    </xf>
    <xf numFmtId="0" fontId="0" fillId="5" borderId="82" xfId="0" applyFill="1" applyBorder="1" applyAlignment="1">
      <alignment horizontal="center"/>
    </xf>
    <xf numFmtId="0" fontId="0" fillId="3" borderId="80" xfId="0" applyFill="1" applyBorder="1" applyAlignment="1">
      <alignment horizontal="center"/>
    </xf>
    <xf numFmtId="0" fontId="0" fillId="5" borderId="0" xfId="0" applyFill="1"/>
    <xf numFmtId="0" fontId="0" fillId="4" borderId="55" xfId="0" applyFill="1" applyBorder="1" applyAlignment="1">
      <alignment horizontal="left"/>
    </xf>
    <xf numFmtId="0" fontId="0" fillId="4" borderId="8" xfId="0" applyFill="1" applyBorder="1" applyAlignment="1">
      <alignment horizontal="center"/>
    </xf>
    <xf numFmtId="0" fontId="0" fillId="4" borderId="8" xfId="0" applyFill="1" applyBorder="1"/>
    <xf numFmtId="44" fontId="0" fillId="4" borderId="8" xfId="1" applyFont="1" applyFill="1" applyBorder="1" applyAlignment="1">
      <alignment horizontal="center"/>
    </xf>
    <xf numFmtId="14" fontId="0" fillId="4" borderId="8" xfId="0" applyNumberFormat="1" applyFill="1" applyBorder="1" applyAlignment="1">
      <alignment horizontal="center"/>
    </xf>
    <xf numFmtId="0" fontId="2" fillId="4" borderId="28" xfId="0" applyFont="1" applyFill="1" applyBorder="1"/>
    <xf numFmtId="0" fontId="15" fillId="4" borderId="8" xfId="0" applyFont="1" applyFill="1" applyBorder="1" applyAlignment="1">
      <alignment horizontal="center"/>
    </xf>
    <xf numFmtId="0" fontId="2" fillId="4" borderId="55" xfId="0" applyFont="1" applyFill="1" applyBorder="1"/>
    <xf numFmtId="0" fontId="6" fillId="3" borderId="44" xfId="0" applyFont="1" applyFill="1" applyBorder="1" applyAlignment="1">
      <alignment horizontal="center"/>
    </xf>
    <xf numFmtId="44" fontId="0" fillId="4" borderId="39" xfId="1" applyFont="1" applyFill="1" applyBorder="1" applyAlignment="1">
      <alignment horizontal="center"/>
    </xf>
    <xf numFmtId="14" fontId="0" fillId="4" borderId="39" xfId="0" applyNumberFormat="1" applyFill="1" applyBorder="1" applyAlignment="1">
      <alignment horizontal="center"/>
    </xf>
    <xf numFmtId="0" fontId="15" fillId="4" borderId="39" xfId="0" applyFont="1" applyFill="1" applyBorder="1" applyAlignment="1">
      <alignment horizontal="center"/>
    </xf>
    <xf numFmtId="0" fontId="0" fillId="4" borderId="62" xfId="0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0" fillId="3" borderId="61" xfId="0" applyFill="1" applyBorder="1" applyAlignment="1">
      <alignment horizontal="center"/>
    </xf>
    <xf numFmtId="0" fontId="0" fillId="3" borderId="81" xfId="0" applyFill="1" applyBorder="1" applyAlignment="1">
      <alignment horizontal="center"/>
    </xf>
    <xf numFmtId="0" fontId="0" fillId="3" borderId="80" xfId="0" applyFill="1" applyBorder="1"/>
    <xf numFmtId="44" fontId="0" fillId="3" borderId="80" xfId="1" applyFont="1" applyFill="1" applyBorder="1" applyAlignment="1">
      <alignment horizontal="center"/>
    </xf>
    <xf numFmtId="14" fontId="0" fillId="3" borderId="80" xfId="0" applyNumberFormat="1" applyFill="1" applyBorder="1" applyAlignment="1">
      <alignment horizontal="center"/>
    </xf>
    <xf numFmtId="0" fontId="0" fillId="3" borderId="55" xfId="0" applyNumberFormat="1" applyFill="1" applyBorder="1" applyAlignment="1">
      <alignment horizontal="center"/>
    </xf>
    <xf numFmtId="14" fontId="0" fillId="3" borderId="0" xfId="0" applyNumberFormat="1" applyFill="1" applyAlignment="1">
      <alignment horizontal="center"/>
    </xf>
    <xf numFmtId="0" fontId="0" fillId="0" borderId="55" xfId="0" applyBorder="1"/>
    <xf numFmtId="0" fontId="0" fillId="4" borderId="28" xfId="0" applyFill="1" applyBorder="1" applyAlignment="1">
      <alignment wrapText="1"/>
    </xf>
    <xf numFmtId="0" fontId="0" fillId="10" borderId="44" xfId="0" applyFill="1" applyBorder="1" applyAlignment="1">
      <alignment horizontal="center"/>
    </xf>
    <xf numFmtId="0" fontId="0" fillId="10" borderId="55" xfId="0" applyFill="1" applyBorder="1" applyAlignment="1">
      <alignment horizontal="center"/>
    </xf>
    <xf numFmtId="0" fontId="0" fillId="10" borderId="55" xfId="0" applyFill="1" applyBorder="1"/>
    <xf numFmtId="44" fontId="0" fillId="10" borderId="55" xfId="1" applyFont="1" applyFill="1" applyBorder="1" applyAlignment="1">
      <alignment horizontal="center"/>
    </xf>
    <xf numFmtId="14" fontId="0" fillId="10" borderId="55" xfId="0" applyNumberFormat="1" applyFill="1" applyBorder="1" applyAlignment="1">
      <alignment horizontal="center"/>
    </xf>
    <xf numFmtId="0" fontId="0" fillId="10" borderId="40" xfId="0" applyFill="1" applyBorder="1" applyAlignment="1">
      <alignment horizontal="center"/>
    </xf>
    <xf numFmtId="0" fontId="0" fillId="6" borderId="81" xfId="0" applyFill="1" applyBorder="1" applyAlignment="1">
      <alignment horizontal="center"/>
    </xf>
    <xf numFmtId="0" fontId="0" fillId="6" borderId="82" xfId="0" applyFill="1" applyBorder="1" applyAlignment="1">
      <alignment horizontal="center"/>
    </xf>
    <xf numFmtId="14" fontId="0" fillId="7" borderId="0" xfId="0" applyNumberFormat="1" applyFill="1" applyAlignment="1">
      <alignment vertical="center"/>
    </xf>
    <xf numFmtId="0" fontId="0" fillId="5" borderId="69" xfId="0" applyFill="1" applyBorder="1"/>
    <xf numFmtId="0" fontId="0" fillId="5" borderId="76" xfId="0" applyFill="1" applyBorder="1" applyAlignment="1">
      <alignment horizontal="center"/>
    </xf>
    <xf numFmtId="164" fontId="0" fillId="5" borderId="28" xfId="0" applyNumberFormat="1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4" fontId="0" fillId="5" borderId="55" xfId="0" applyNumberFormat="1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0" xfId="0" applyFill="1" applyBorder="1" applyAlignment="1">
      <alignment wrapText="1"/>
    </xf>
    <xf numFmtId="0" fontId="0" fillId="5" borderId="79" xfId="0" applyFill="1" applyBorder="1" applyAlignment="1">
      <alignment horizontal="center"/>
    </xf>
    <xf numFmtId="164" fontId="0" fillId="5" borderId="80" xfId="0" applyNumberFormat="1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64" fontId="0" fillId="4" borderId="55" xfId="0" applyNumberFormat="1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2" fillId="3" borderId="55" xfId="0" applyFont="1" applyFill="1" applyBorder="1"/>
    <xf numFmtId="0" fontId="2" fillId="3" borderId="80" xfId="0" applyFont="1" applyFill="1" applyBorder="1"/>
    <xf numFmtId="0" fontId="0" fillId="0" borderId="55" xfId="0" applyBorder="1"/>
    <xf numFmtId="0" fontId="0" fillId="5" borderId="28" xfId="0" applyFill="1" applyBorder="1" applyAlignment="1">
      <alignment horizontal="left"/>
    </xf>
    <xf numFmtId="0" fontId="0" fillId="0" borderId="55" xfId="0" applyBorder="1"/>
    <xf numFmtId="0" fontId="2" fillId="12" borderId="42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0" fillId="5" borderId="39" xfId="0" applyFill="1" applyBorder="1" applyAlignment="1">
      <alignment horizontal="left" wrapText="1"/>
    </xf>
    <xf numFmtId="0" fontId="0" fillId="4" borderId="42" xfId="0" applyFill="1" applyBorder="1" applyAlignment="1">
      <alignment horizontal="left" wrapText="1"/>
    </xf>
    <xf numFmtId="0" fontId="0" fillId="5" borderId="80" xfId="0" applyFill="1" applyBorder="1" applyAlignment="1">
      <alignment horizontal="center" vertical="center"/>
    </xf>
    <xf numFmtId="0" fontId="0" fillId="6" borderId="80" xfId="0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5" borderId="56" xfId="0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0" fillId="5" borderId="80" xfId="0" applyFill="1" applyBorder="1" applyAlignment="1">
      <alignment vertical="center"/>
    </xf>
    <xf numFmtId="44" fontId="0" fillId="5" borderId="80" xfId="1" applyFont="1" applyFill="1" applyBorder="1" applyAlignment="1">
      <alignment horizontal="center" vertical="center"/>
    </xf>
    <xf numFmtId="14" fontId="0" fillId="5" borderId="80" xfId="0" applyNumberFormat="1" applyFill="1" applyBorder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0" fillId="6" borderId="56" xfId="0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0" fillId="6" borderId="57" xfId="0" applyFill="1" applyBorder="1" applyAlignment="1">
      <alignment horizontal="center" vertical="center"/>
    </xf>
    <xf numFmtId="0" fontId="0" fillId="6" borderId="80" xfId="0" applyFill="1" applyBorder="1" applyAlignment="1">
      <alignment vertical="center"/>
    </xf>
    <xf numFmtId="44" fontId="0" fillId="6" borderId="80" xfId="1" applyFont="1" applyFill="1" applyBorder="1" applyAlignment="1">
      <alignment horizontal="center" vertical="center"/>
    </xf>
    <xf numFmtId="14" fontId="0" fillId="6" borderId="80" xfId="0" applyNumberFormat="1" applyFill="1" applyBorder="1" applyAlignment="1">
      <alignment horizontal="center" vertical="center"/>
    </xf>
    <xf numFmtId="0" fontId="0" fillId="5" borderId="28" xfId="0" applyFill="1" applyBorder="1" applyAlignment="1">
      <alignment horizontal="left" vertical="center"/>
    </xf>
    <xf numFmtId="0" fontId="0" fillId="5" borderId="43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44" fontId="0" fillId="3" borderId="55" xfId="1" applyFont="1" applyFill="1" applyBorder="1" applyAlignment="1">
      <alignment horizontal="center" vertical="center" wrapText="1"/>
    </xf>
    <xf numFmtId="0" fontId="0" fillId="3" borderId="80" xfId="0" applyFill="1" applyBorder="1" applyAlignment="1">
      <alignment horizontal="center" vertical="center"/>
    </xf>
    <xf numFmtId="0" fontId="0" fillId="3" borderId="57" xfId="0" applyFill="1" applyBorder="1" applyAlignment="1">
      <alignment horizontal="center" vertical="center"/>
    </xf>
    <xf numFmtId="0" fontId="0" fillId="3" borderId="80" xfId="0" applyFill="1" applyBorder="1" applyAlignment="1">
      <alignment vertical="center"/>
    </xf>
    <xf numFmtId="44" fontId="0" fillId="3" borderId="80" xfId="1" applyFont="1" applyFill="1" applyBorder="1" applyAlignment="1">
      <alignment horizontal="center" vertical="center"/>
    </xf>
    <xf numFmtId="14" fontId="0" fillId="3" borderId="80" xfId="0" applyNumberFormat="1" applyFill="1" applyBorder="1" applyAlignment="1">
      <alignment horizontal="center" vertical="center"/>
    </xf>
    <xf numFmtId="0" fontId="0" fillId="7" borderId="80" xfId="0" applyFill="1" applyBorder="1" applyAlignment="1">
      <alignment horizontal="center" vertical="center"/>
    </xf>
    <xf numFmtId="0" fontId="0" fillId="4" borderId="37" xfId="0" applyFill="1" applyBorder="1" applyAlignment="1">
      <alignment horizontal="center" vertical="center"/>
    </xf>
    <xf numFmtId="0" fontId="0" fillId="3" borderId="56" xfId="0" applyFill="1" applyBorder="1" applyAlignment="1">
      <alignment horizontal="center" vertical="center"/>
    </xf>
    <xf numFmtId="14" fontId="0" fillId="5" borderId="28" xfId="1" applyNumberFormat="1" applyFont="1" applyFill="1" applyBorder="1" applyAlignment="1">
      <alignment horizontal="center" vertical="center"/>
    </xf>
    <xf numFmtId="14" fontId="0" fillId="5" borderId="55" xfId="1" applyNumberFormat="1" applyFont="1" applyFill="1" applyBorder="1" applyAlignment="1">
      <alignment horizontal="center" vertical="center"/>
    </xf>
    <xf numFmtId="44" fontId="0" fillId="5" borderId="55" xfId="1" applyFont="1" applyFill="1" applyBorder="1" applyAlignment="1">
      <alignment horizontal="center" vertical="center" wrapText="1"/>
    </xf>
    <xf numFmtId="44" fontId="0" fillId="3" borderId="28" xfId="1" applyFont="1" applyFill="1" applyBorder="1" applyAlignment="1">
      <alignment horizontal="center" vertical="center" wrapText="1"/>
    </xf>
    <xf numFmtId="14" fontId="0" fillId="3" borderId="80" xfId="1" applyNumberFormat="1" applyFont="1" applyFill="1" applyBorder="1" applyAlignment="1">
      <alignment horizontal="center" vertical="center"/>
    </xf>
    <xf numFmtId="44" fontId="0" fillId="3" borderId="80" xfId="1" applyFont="1" applyFill="1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14" fontId="0" fillId="5" borderId="7" xfId="1" applyNumberFormat="1" applyFont="1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80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14" fontId="0" fillId="4" borderId="55" xfId="1" applyNumberFormat="1" applyFont="1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14" fontId="0" fillId="3" borderId="76" xfId="0" applyNumberFormat="1" applyFill="1" applyBorder="1" applyAlignment="1">
      <alignment horizontal="center" vertical="center"/>
    </xf>
    <xf numFmtId="14" fontId="0" fillId="3" borderId="2" xfId="0" applyNumberFormat="1" applyFill="1" applyBorder="1" applyAlignment="1">
      <alignment horizontal="center" vertical="center"/>
    </xf>
    <xf numFmtId="0" fontId="0" fillId="5" borderId="55" xfId="0" applyFill="1" applyBorder="1" applyAlignment="1">
      <alignment horizontal="left" vertical="center"/>
    </xf>
    <xf numFmtId="0" fontId="0" fillId="4" borderId="70" xfId="0" applyFill="1" applyBorder="1" applyAlignment="1">
      <alignment horizontal="center" vertical="center"/>
    </xf>
    <xf numFmtId="14" fontId="0" fillId="4" borderId="70" xfId="0" applyNumberFormat="1" applyFill="1" applyBorder="1" applyAlignment="1">
      <alignment horizontal="center" vertical="center"/>
    </xf>
    <xf numFmtId="0" fontId="0" fillId="4" borderId="84" xfId="0" applyFill="1" applyBorder="1" applyAlignment="1">
      <alignment horizontal="center" vertical="center"/>
    </xf>
    <xf numFmtId="0" fontId="0" fillId="4" borderId="70" xfId="0" applyFill="1" applyBorder="1" applyAlignment="1">
      <alignment vertical="center"/>
    </xf>
    <xf numFmtId="44" fontId="0" fillId="4" borderId="70" xfId="1" applyFont="1" applyFill="1" applyBorder="1" applyAlignment="1">
      <alignment horizontal="center" vertical="center"/>
    </xf>
    <xf numFmtId="0" fontId="0" fillId="4" borderId="55" xfId="0" applyFill="1" applyBorder="1" applyAlignment="1">
      <alignment vertical="center" wrapText="1"/>
    </xf>
    <xf numFmtId="0" fontId="0" fillId="4" borderId="55" xfId="0" applyFill="1" applyBorder="1" applyAlignment="1">
      <alignment horizontal="center" vertical="center" wrapText="1"/>
    </xf>
    <xf numFmtId="0" fontId="0" fillId="4" borderId="80" xfId="0" applyFill="1" applyBorder="1" applyAlignment="1">
      <alignment horizontal="center" vertical="center"/>
    </xf>
    <xf numFmtId="0" fontId="0" fillId="4" borderId="57" xfId="0" applyFill="1" applyBorder="1" applyAlignment="1">
      <alignment horizontal="center" vertical="center"/>
    </xf>
    <xf numFmtId="0" fontId="0" fillId="4" borderId="80" xfId="0" applyFill="1" applyBorder="1" applyAlignment="1">
      <alignment vertical="center"/>
    </xf>
    <xf numFmtId="44" fontId="0" fillId="4" borderId="80" xfId="1" applyFont="1" applyFill="1" applyBorder="1" applyAlignment="1">
      <alignment horizontal="center" vertical="center"/>
    </xf>
    <xf numFmtId="14" fontId="0" fillId="4" borderId="80" xfId="0" applyNumberFormat="1" applyFill="1" applyBorder="1" applyAlignment="1">
      <alignment horizontal="center" vertical="center"/>
    </xf>
    <xf numFmtId="0" fontId="0" fillId="4" borderId="56" xfId="0" applyFill="1" applyBorder="1" applyAlignment="1">
      <alignment horizontal="center" vertical="center"/>
    </xf>
    <xf numFmtId="14" fontId="0" fillId="3" borderId="79" xfId="0" applyNumberFormat="1" applyFill="1" applyBorder="1" applyAlignment="1">
      <alignment horizontal="center" vertical="center"/>
    </xf>
    <xf numFmtId="44" fontId="0" fillId="3" borderId="7" xfId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0" fillId="5" borderId="80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0" fillId="3" borderId="80" xfId="0" applyFill="1" applyBorder="1" applyAlignment="1">
      <alignment horizontal="left" vertical="center"/>
    </xf>
    <xf numFmtId="0" fontId="0" fillId="5" borderId="7" xfId="0" applyFill="1" applyBorder="1" applyAlignment="1">
      <alignment horizontal="left" vertical="center"/>
    </xf>
    <xf numFmtId="0" fontId="0" fillId="4" borderId="55" xfId="0" applyFill="1" applyBorder="1" applyAlignment="1">
      <alignment horizontal="left" vertical="center" wrapText="1"/>
    </xf>
    <xf numFmtId="0" fontId="0" fillId="4" borderId="37" xfId="0" applyFill="1" applyBorder="1" applyAlignment="1">
      <alignment horizontal="left" vertical="center"/>
    </xf>
    <xf numFmtId="0" fontId="0" fillId="5" borderId="4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6" borderId="28" xfId="0" applyFill="1" applyBorder="1" applyAlignment="1">
      <alignment horizontal="left" vertical="center"/>
    </xf>
    <xf numFmtId="0" fontId="0" fillId="6" borderId="55" xfId="0" applyFill="1" applyBorder="1" applyAlignment="1">
      <alignment horizontal="left" vertical="center"/>
    </xf>
    <xf numFmtId="0" fontId="0" fillId="6" borderId="80" xfId="0" applyFill="1" applyBorder="1" applyAlignment="1">
      <alignment horizontal="left" vertical="center"/>
    </xf>
    <xf numFmtId="0" fontId="0" fillId="4" borderId="80" xfId="0" applyFill="1" applyBorder="1" applyAlignment="1">
      <alignment horizontal="left" vertical="center"/>
    </xf>
    <xf numFmtId="0" fontId="0" fillId="4" borderId="28" xfId="0" applyFill="1" applyBorder="1" applyAlignment="1">
      <alignment horizontal="left" vertical="center"/>
    </xf>
    <xf numFmtId="0" fontId="0" fillId="0" borderId="55" xfId="0" applyBorder="1" applyAlignment="1">
      <alignment horizontal="left" vertical="center"/>
    </xf>
    <xf numFmtId="0" fontId="0" fillId="4" borderId="70" xfId="0" applyFill="1" applyBorder="1" applyAlignment="1">
      <alignment horizontal="left" vertical="center"/>
    </xf>
    <xf numFmtId="14" fontId="0" fillId="4" borderId="2" xfId="0" applyNumberFormat="1" applyFill="1" applyBorder="1" applyAlignment="1">
      <alignment horizontal="center" vertical="center"/>
    </xf>
    <xf numFmtId="14" fontId="0" fillId="3" borderId="55" xfId="0" applyNumberFormat="1" applyFill="1" applyBorder="1" applyAlignment="1">
      <alignment horizontal="center" vertical="center" wrapText="1"/>
    </xf>
    <xf numFmtId="0" fontId="0" fillId="4" borderId="0" xfId="0" applyFill="1" applyAlignment="1">
      <alignment horizontal="left" vertical="center"/>
    </xf>
    <xf numFmtId="0" fontId="0" fillId="6" borderId="42" xfId="0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12" borderId="42" xfId="0" applyFont="1" applyFill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5" borderId="50" xfId="0" applyFont="1" applyFill="1" applyBorder="1" applyAlignment="1">
      <alignment horizontal="center" vertical="center"/>
    </xf>
    <xf numFmtId="0" fontId="3" fillId="5" borderId="44" xfId="0" applyFont="1" applyFill="1" applyBorder="1" applyAlignment="1">
      <alignment horizontal="center" vertical="center"/>
    </xf>
    <xf numFmtId="0" fontId="3" fillId="5" borderId="81" xfId="0" applyFont="1" applyFill="1" applyBorder="1" applyAlignment="1">
      <alignment horizontal="center" vertical="center"/>
    </xf>
    <xf numFmtId="0" fontId="3" fillId="5" borderId="48" xfId="0" applyFont="1" applyFill="1" applyBorder="1" applyAlignment="1">
      <alignment horizontal="center" vertical="center"/>
    </xf>
    <xf numFmtId="0" fontId="3" fillId="5" borderId="47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3" fillId="3" borderId="50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3" borderId="81" xfId="0" applyFont="1" applyFill="1" applyBorder="1" applyAlignment="1">
      <alignment horizontal="center" vertical="center"/>
    </xf>
    <xf numFmtId="0" fontId="3" fillId="4" borderId="81" xfId="0" applyFont="1" applyFill="1" applyBorder="1" applyAlignment="1">
      <alignment horizontal="center" vertical="center"/>
    </xf>
    <xf numFmtId="0" fontId="3" fillId="6" borderId="50" xfId="0" applyFont="1" applyFill="1" applyBorder="1" applyAlignment="1">
      <alignment horizontal="center" vertical="center"/>
    </xf>
    <xf numFmtId="0" fontId="3" fillId="6" borderId="44" xfId="0" applyFont="1" applyFill="1" applyBorder="1" applyAlignment="1">
      <alignment horizontal="center" vertical="center"/>
    </xf>
    <xf numFmtId="0" fontId="3" fillId="6" borderId="81" xfId="0" applyFont="1" applyFill="1" applyBorder="1" applyAlignment="1">
      <alignment horizontal="center" vertical="center"/>
    </xf>
    <xf numFmtId="0" fontId="3" fillId="4" borderId="83" xfId="0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3" fillId="6" borderId="48" xfId="0" applyFont="1" applyFill="1" applyBorder="1" applyAlignment="1">
      <alignment horizontal="center" vertical="center"/>
    </xf>
    <xf numFmtId="0" fontId="3" fillId="6" borderId="47" xfId="0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49" fontId="0" fillId="4" borderId="55" xfId="1" applyNumberFormat="1" applyFont="1" applyFill="1" applyBorder="1" applyAlignment="1">
      <alignment horizontal="center" vertical="center"/>
    </xf>
    <xf numFmtId="49" fontId="0" fillId="3" borderId="55" xfId="1" applyNumberFormat="1" applyFont="1" applyFill="1" applyBorder="1" applyAlignment="1">
      <alignment horizontal="center" vertical="center"/>
    </xf>
    <xf numFmtId="49" fontId="0" fillId="5" borderId="55" xfId="1" applyNumberFormat="1" applyFont="1" applyFill="1" applyBorder="1" applyAlignment="1">
      <alignment horizontal="center" vertical="center"/>
    </xf>
    <xf numFmtId="49" fontId="0" fillId="3" borderId="7" xfId="1" applyNumberFormat="1" applyFont="1" applyFill="1" applyBorder="1" applyAlignment="1">
      <alignment horizontal="center" vertical="center"/>
    </xf>
    <xf numFmtId="49" fontId="0" fillId="3" borderId="28" xfId="1" applyNumberFormat="1" applyFont="1" applyFill="1" applyBorder="1" applyAlignment="1">
      <alignment horizontal="center" vertical="center"/>
    </xf>
    <xf numFmtId="49" fontId="0" fillId="3" borderId="80" xfId="1" applyNumberFormat="1" applyFont="1" applyFill="1" applyBorder="1" applyAlignment="1">
      <alignment horizontal="center" vertical="center"/>
    </xf>
    <xf numFmtId="49" fontId="0" fillId="5" borderId="7" xfId="1" applyNumberFormat="1" applyFont="1" applyFill="1" applyBorder="1" applyAlignment="1">
      <alignment horizontal="center" vertical="center"/>
    </xf>
    <xf numFmtId="49" fontId="0" fillId="3" borderId="55" xfId="1" applyNumberFormat="1" applyFont="1" applyFill="1" applyBorder="1" applyAlignment="1">
      <alignment horizontal="center" vertical="center" wrapText="1"/>
    </xf>
    <xf numFmtId="49" fontId="0" fillId="5" borderId="42" xfId="1" applyNumberFormat="1" applyFont="1" applyFill="1" applyBorder="1" applyAlignment="1">
      <alignment horizontal="center" vertical="center"/>
    </xf>
    <xf numFmtId="49" fontId="0" fillId="4" borderId="80" xfId="1" applyNumberFormat="1" applyFont="1" applyFill="1" applyBorder="1" applyAlignment="1">
      <alignment horizontal="center" vertical="center"/>
    </xf>
    <xf numFmtId="49" fontId="0" fillId="3" borderId="42" xfId="1" applyNumberFormat="1" applyFont="1" applyFill="1" applyBorder="1" applyAlignment="1">
      <alignment horizontal="center" vertical="center"/>
    </xf>
    <xf numFmtId="49" fontId="0" fillId="4" borderId="28" xfId="1" applyNumberFormat="1" applyFont="1" applyFill="1" applyBorder="1" applyAlignment="1">
      <alignment horizontal="center" vertical="center"/>
    </xf>
    <xf numFmtId="49" fontId="0" fillId="4" borderId="70" xfId="1" applyNumberFormat="1" applyFont="1" applyFill="1" applyBorder="1" applyAlignment="1">
      <alignment horizontal="center" vertical="center"/>
    </xf>
    <xf numFmtId="49" fontId="0" fillId="6" borderId="28" xfId="1" applyNumberFormat="1" applyFont="1" applyFill="1" applyBorder="1" applyAlignment="1">
      <alignment horizontal="center" vertical="center"/>
    </xf>
    <xf numFmtId="49" fontId="0" fillId="6" borderId="55" xfId="1" applyNumberFormat="1" applyFont="1" applyFill="1" applyBorder="1" applyAlignment="1">
      <alignment horizontal="center" vertical="center"/>
    </xf>
    <xf numFmtId="49" fontId="0" fillId="6" borderId="80" xfId="1" applyNumberFormat="1" applyFont="1" applyFill="1" applyBorder="1" applyAlignment="1">
      <alignment horizontal="center" vertical="center"/>
    </xf>
    <xf numFmtId="49" fontId="0" fillId="0" borderId="28" xfId="1" applyNumberFormat="1" applyFont="1" applyBorder="1" applyAlignment="1">
      <alignment horizontal="center" vertical="center"/>
    </xf>
    <xf numFmtId="49" fontId="0" fillId="0" borderId="55" xfId="1" applyNumberFormat="1" applyFont="1" applyBorder="1" applyAlignment="1">
      <alignment horizontal="center" vertical="center"/>
    </xf>
    <xf numFmtId="49" fontId="0" fillId="0" borderId="80" xfId="1" applyNumberFormat="1" applyFont="1" applyBorder="1" applyAlignment="1">
      <alignment horizontal="center" vertical="center"/>
    </xf>
    <xf numFmtId="49" fontId="0" fillId="6" borderId="7" xfId="1" applyNumberFormat="1" applyFont="1" applyFill="1" applyBorder="1" applyAlignment="1">
      <alignment horizontal="center" vertical="center"/>
    </xf>
    <xf numFmtId="49" fontId="0" fillId="6" borderId="42" xfId="1" applyNumberFormat="1" applyFont="1" applyFill="1" applyBorder="1" applyAlignment="1">
      <alignment horizontal="center" vertical="center"/>
    </xf>
    <xf numFmtId="0" fontId="0" fillId="4" borderId="43" xfId="0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14" fontId="0" fillId="3" borderId="0" xfId="0" applyNumberFormat="1" applyFont="1" applyFill="1" applyAlignment="1">
      <alignment vertical="center"/>
    </xf>
    <xf numFmtId="0" fontId="0" fillId="6" borderId="25" xfId="0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 wrapText="1"/>
    </xf>
    <xf numFmtId="17" fontId="0" fillId="4" borderId="55" xfId="0" applyNumberFormat="1" applyFill="1" applyBorder="1" applyAlignment="1">
      <alignment horizontal="center" vertical="center"/>
    </xf>
    <xf numFmtId="14" fontId="0" fillId="3" borderId="80" xfId="0" applyNumberFormat="1" applyFont="1" applyFill="1" applyBorder="1" applyAlignment="1">
      <alignment horizontal="center" vertical="center"/>
    </xf>
    <xf numFmtId="14" fontId="0" fillId="3" borderId="82" xfId="0" applyNumberFormat="1" applyFill="1" applyBorder="1" applyAlignment="1">
      <alignment horizontal="center"/>
    </xf>
    <xf numFmtId="14" fontId="0" fillId="3" borderId="0" xfId="0" applyNumberFormat="1" applyFill="1" applyAlignment="1">
      <alignment vertical="center"/>
    </xf>
    <xf numFmtId="14" fontId="0" fillId="3" borderId="37" xfId="0" applyNumberFormat="1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14" fontId="0" fillId="3" borderId="74" xfId="0" applyNumberFormat="1" applyFill="1" applyBorder="1" applyAlignment="1">
      <alignment horizontal="center"/>
    </xf>
    <xf numFmtId="14" fontId="6" fillId="3" borderId="40" xfId="0" applyNumberFormat="1" applyFont="1" applyFill="1" applyBorder="1" applyAlignment="1">
      <alignment horizontal="center"/>
    </xf>
    <xf numFmtId="16" fontId="0" fillId="3" borderId="44" xfId="0" applyNumberFormat="1" applyFill="1" applyBorder="1" applyAlignment="1">
      <alignment horizontal="center" vertical="center"/>
    </xf>
    <xf numFmtId="14" fontId="6" fillId="3" borderId="70" xfId="0" applyNumberFormat="1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14" fontId="0" fillId="3" borderId="86" xfId="0" applyNumberFormat="1" applyFill="1" applyBorder="1" applyAlignment="1">
      <alignment horizontal="center" vertical="center"/>
    </xf>
    <xf numFmtId="0" fontId="0" fillId="3" borderId="57" xfId="0" applyFill="1" applyBorder="1" applyAlignment="1">
      <alignment horizontal="left" vertical="center"/>
    </xf>
    <xf numFmtId="0" fontId="0" fillId="3" borderId="79" xfId="0" applyFill="1" applyBorder="1" applyAlignment="1">
      <alignment horizontal="center" vertical="center"/>
    </xf>
    <xf numFmtId="0" fontId="0" fillId="3" borderId="37" xfId="0" applyFill="1" applyBorder="1" applyAlignment="1">
      <alignment horizontal="left" vertical="center"/>
    </xf>
    <xf numFmtId="0" fontId="0" fillId="3" borderId="2" xfId="0" applyFill="1" applyBorder="1" applyAlignment="1">
      <alignment horizontal="center" vertical="center"/>
    </xf>
    <xf numFmtId="14" fontId="0" fillId="5" borderId="80" xfId="1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4" borderId="36" xfId="0" applyFill="1" applyBorder="1" applyAlignment="1">
      <alignment horizontal="center" vertical="center"/>
    </xf>
    <xf numFmtId="49" fontId="0" fillId="4" borderId="7" xfId="1" applyNumberFormat="1" applyFont="1" applyFill="1" applyBorder="1" applyAlignment="1">
      <alignment horizontal="center" vertical="center"/>
    </xf>
    <xf numFmtId="49" fontId="6" fillId="3" borderId="55" xfId="1" applyNumberFormat="1" applyFont="1" applyFill="1" applyBorder="1" applyAlignment="1">
      <alignment horizontal="center" vertical="center"/>
    </xf>
    <xf numFmtId="0" fontId="0" fillId="0" borderId="55" xfId="0" applyBorder="1" applyAlignment="1">
      <alignment vertical="center"/>
    </xf>
    <xf numFmtId="0" fontId="6" fillId="3" borderId="1" xfId="0" applyFont="1" applyFill="1" applyBorder="1" applyAlignment="1">
      <alignment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8" fontId="6" fillId="3" borderId="1" xfId="1" applyNumberFormat="1" applyFont="1" applyFill="1" applyBorder="1" applyAlignment="1">
      <alignment vertical="center"/>
    </xf>
    <xf numFmtId="44" fontId="10" fillId="3" borderId="0" xfId="1" applyFont="1" applyFill="1"/>
    <xf numFmtId="44" fontId="6" fillId="3" borderId="55" xfId="1" applyFont="1" applyFill="1" applyBorder="1" applyAlignment="1">
      <alignment horizontal="center" vertical="center"/>
    </xf>
    <xf numFmtId="14" fontId="6" fillId="3" borderId="55" xfId="0" applyNumberFormat="1" applyFont="1" applyFill="1" applyBorder="1" applyAlignment="1">
      <alignment horizontal="center" vertical="center"/>
    </xf>
    <xf numFmtId="14" fontId="0" fillId="7" borderId="55" xfId="0" applyNumberFormat="1" applyFill="1" applyBorder="1" applyAlignment="1">
      <alignment horizontal="center" vertical="center"/>
    </xf>
    <xf numFmtId="17" fontId="0" fillId="3" borderId="55" xfId="0" applyNumberForma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left" vertical="center"/>
    </xf>
    <xf numFmtId="49" fontId="2" fillId="2" borderId="42" xfId="1" applyNumberFormat="1" applyFont="1" applyFill="1" applyBorder="1" applyAlignment="1">
      <alignment horizontal="center" vertical="center" wrapText="1"/>
    </xf>
    <xf numFmtId="16" fontId="0" fillId="7" borderId="0" xfId="0" applyNumberFormat="1" applyFill="1" applyAlignment="1">
      <alignment horizontal="center" vertical="center"/>
    </xf>
    <xf numFmtId="14" fontId="0" fillId="3" borderId="82" xfId="0" applyNumberFormat="1" applyFill="1" applyBorder="1" applyAlignment="1">
      <alignment horizontal="center" vertical="center"/>
    </xf>
    <xf numFmtId="49" fontId="14" fillId="3" borderId="55" xfId="1" applyNumberFormat="1" applyFont="1" applyFill="1" applyBorder="1" applyAlignment="1">
      <alignment horizontal="center" vertical="center"/>
    </xf>
    <xf numFmtId="14" fontId="6" fillId="3" borderId="55" xfId="1" applyNumberFormat="1" applyFont="1" applyFill="1" applyBorder="1" applyAlignment="1">
      <alignment horizontal="center" vertical="center"/>
    </xf>
    <xf numFmtId="0" fontId="0" fillId="4" borderId="42" xfId="0" applyFill="1" applyBorder="1" applyAlignment="1">
      <alignment horizontal="left" vertical="center"/>
    </xf>
    <xf numFmtId="49" fontId="0" fillId="4" borderId="42" xfId="1" applyNumberFormat="1" applyFont="1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8" xfId="0" applyFill="1" applyBorder="1" applyAlignment="1">
      <alignment vertical="center"/>
    </xf>
    <xf numFmtId="49" fontId="0" fillId="6" borderId="8" xfId="1" applyNumberFormat="1" applyFont="1" applyFill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14" fontId="0" fillId="4" borderId="8" xfId="0" applyNumberForma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4" borderId="8" xfId="0" applyFill="1" applyBorder="1" applyAlignment="1">
      <alignment horizontal="left" vertical="center"/>
    </xf>
    <xf numFmtId="44" fontId="0" fillId="4" borderId="8" xfId="1" applyFont="1" applyFill="1" applyBorder="1" applyAlignment="1">
      <alignment horizontal="center" vertical="center"/>
    </xf>
    <xf numFmtId="49" fontId="0" fillId="4" borderId="8" xfId="1" applyNumberFormat="1" applyFont="1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49" fontId="0" fillId="3" borderId="8" xfId="1" applyNumberFormat="1" applyFont="1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14" fontId="0" fillId="4" borderId="7" xfId="1" applyNumberFormat="1" applyFont="1" applyFill="1" applyBorder="1" applyAlignment="1">
      <alignment horizontal="center" vertical="center"/>
    </xf>
    <xf numFmtId="14" fontId="0" fillId="7" borderId="42" xfId="0" applyNumberFormat="1" applyFill="1" applyBorder="1" applyAlignment="1">
      <alignment horizontal="center" vertical="center"/>
    </xf>
    <xf numFmtId="44" fontId="6" fillId="3" borderId="55" xfId="1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/>
    </xf>
    <xf numFmtId="14" fontId="0" fillId="7" borderId="7" xfId="0" applyNumberFormat="1" applyFill="1" applyBorder="1" applyAlignment="1">
      <alignment horizontal="center" vertical="center"/>
    </xf>
    <xf numFmtId="0" fontId="0" fillId="13" borderId="55" xfId="0" applyFill="1" applyBorder="1" applyAlignment="1">
      <alignment horizontal="center" vertical="center"/>
    </xf>
    <xf numFmtId="44" fontId="0" fillId="3" borderId="42" xfId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" fillId="0" borderId="0" xfId="0" applyFont="1" applyAlignment="1">
      <alignment horizontal="center"/>
    </xf>
    <xf numFmtId="14" fontId="6" fillId="4" borderId="7" xfId="0" applyNumberFormat="1" applyFont="1" applyFill="1" applyBorder="1" applyAlignment="1">
      <alignment horizontal="center" vertical="center"/>
    </xf>
    <xf numFmtId="14" fontId="6" fillId="4" borderId="55" xfId="0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44" fontId="0" fillId="4" borderId="0" xfId="1" applyFont="1" applyFill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44" fontId="0" fillId="4" borderId="55" xfId="1" applyFont="1" applyFill="1" applyBorder="1" applyAlignment="1">
      <alignment horizontal="center" vertical="center" wrapText="1"/>
    </xf>
    <xf numFmtId="0" fontId="0" fillId="5" borderId="55" xfId="0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49" fontId="0" fillId="0" borderId="7" xfId="1" applyNumberFormat="1" applyFont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0" fillId="0" borderId="80" xfId="0" applyBorder="1" applyAlignment="1">
      <alignment horizontal="left" vertical="center"/>
    </xf>
    <xf numFmtId="44" fontId="0" fillId="0" borderId="80" xfId="1" applyFont="1" applyBorder="1" applyAlignment="1">
      <alignment horizontal="center" vertical="center"/>
    </xf>
    <xf numFmtId="14" fontId="0" fillId="4" borderId="80" xfId="1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" fillId="2" borderId="42" xfId="0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0" fillId="4" borderId="55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2" fillId="0" borderId="50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5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6" fillId="3" borderId="44" xfId="0" applyFont="1" applyFill="1" applyBorder="1" applyAlignment="1">
      <alignment horizontal="left" vertical="center"/>
    </xf>
    <xf numFmtId="0" fontId="0" fillId="3" borderId="95" xfId="0" applyFill="1" applyBorder="1" applyAlignment="1">
      <alignment horizontal="center" vertical="center"/>
    </xf>
    <xf numFmtId="0" fontId="0" fillId="3" borderId="96" xfId="0" applyFill="1" applyBorder="1" applyAlignment="1">
      <alignment horizontal="center" vertical="center"/>
    </xf>
    <xf numFmtId="0" fontId="0" fillId="4" borderId="44" xfId="0" applyFill="1" applyBorder="1" applyAlignment="1">
      <alignment horizontal="left" vertical="center"/>
    </xf>
    <xf numFmtId="0" fontId="0" fillId="4" borderId="96" xfId="0" applyFill="1" applyBorder="1" applyAlignment="1">
      <alignment horizontal="center" vertical="center"/>
    </xf>
    <xf numFmtId="0" fontId="0" fillId="4" borderId="95" xfId="0" applyFill="1" applyBorder="1" applyAlignment="1">
      <alignment horizontal="center" vertical="center"/>
    </xf>
    <xf numFmtId="0" fontId="0" fillId="6" borderId="44" xfId="0" applyFill="1" applyBorder="1" applyAlignment="1">
      <alignment horizontal="left" vertical="center"/>
    </xf>
    <xf numFmtId="0" fontId="0" fillId="6" borderId="96" xfId="0" applyFill="1" applyBorder="1" applyAlignment="1">
      <alignment horizontal="center" vertical="center"/>
    </xf>
    <xf numFmtId="0" fontId="0" fillId="6" borderId="95" xfId="0" applyFill="1" applyBorder="1" applyAlignment="1">
      <alignment horizontal="center" vertical="center"/>
    </xf>
    <xf numFmtId="0" fontId="0" fillId="5" borderId="44" xfId="0" applyFill="1" applyBorder="1" applyAlignment="1">
      <alignment horizontal="left" vertical="center" wrapText="1"/>
    </xf>
    <xf numFmtId="0" fontId="0" fillId="5" borderId="95" xfId="0" applyFill="1" applyBorder="1" applyAlignment="1">
      <alignment horizontal="center" vertical="center"/>
    </xf>
    <xf numFmtId="0" fontId="0" fillId="5" borderId="96" xfId="0" applyFill="1" applyBorder="1" applyAlignment="1">
      <alignment horizontal="center" vertical="center"/>
    </xf>
    <xf numFmtId="0" fontId="0" fillId="0" borderId="81" xfId="0" applyBorder="1" applyAlignment="1">
      <alignment horizontal="left" vertical="center"/>
    </xf>
    <xf numFmtId="0" fontId="0" fillId="0" borderId="97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14" fontId="0" fillId="0" borderId="7" xfId="0" applyNumberForma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49" fontId="0" fillId="5" borderId="28" xfId="1" applyNumberFormat="1" applyFont="1" applyFill="1" applyBorder="1" applyAlignment="1">
      <alignment horizontal="center" vertical="center"/>
    </xf>
    <xf numFmtId="49" fontId="0" fillId="5" borderId="80" xfId="1" applyNumberFormat="1" applyFont="1" applyFill="1" applyBorder="1" applyAlignment="1">
      <alignment horizontal="center" vertical="center"/>
    </xf>
    <xf numFmtId="14" fontId="0" fillId="3" borderId="28" xfId="0" applyNumberForma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44" fontId="0" fillId="4" borderId="7" xfId="1" applyFont="1" applyFill="1" applyBorder="1" applyAlignment="1">
      <alignment horizontal="center" vertical="center" wrapText="1"/>
    </xf>
    <xf numFmtId="44" fontId="0" fillId="4" borderId="39" xfId="1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44" fontId="0" fillId="3" borderId="61" xfId="1" applyFont="1" applyFill="1" applyBorder="1" applyAlignment="1">
      <alignment horizontal="center" vertical="center" wrapText="1"/>
    </xf>
    <xf numFmtId="14" fontId="0" fillId="0" borderId="42" xfId="0" applyNumberForma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49" fontId="0" fillId="0" borderId="42" xfId="1" applyNumberFormat="1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0" xfId="0" applyFont="1" applyFill="1" applyAlignment="1">
      <alignment horizontal="center" vertical="center"/>
    </xf>
    <xf numFmtId="14" fontId="0" fillId="7" borderId="8" xfId="0" applyNumberFormat="1" applyFill="1" applyBorder="1" applyAlignment="1">
      <alignment horizontal="center" vertical="center"/>
    </xf>
    <xf numFmtId="14" fontId="6" fillId="5" borderId="28" xfId="0" applyNumberFormat="1" applyFont="1" applyFill="1" applyBorder="1" applyAlignment="1">
      <alignment horizontal="center" vertical="center"/>
    </xf>
    <xf numFmtId="0" fontId="6" fillId="5" borderId="56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vertical="center"/>
    </xf>
    <xf numFmtId="0" fontId="6" fillId="5" borderId="28" xfId="0" applyFont="1" applyFill="1" applyBorder="1" applyAlignment="1">
      <alignment horizontal="left" vertical="center"/>
    </xf>
    <xf numFmtId="14" fontId="6" fillId="5" borderId="80" xfId="0" applyNumberFormat="1" applyFont="1" applyFill="1" applyBorder="1" applyAlignment="1">
      <alignment horizontal="center" vertical="center"/>
    </xf>
    <xf numFmtId="0" fontId="6" fillId="5" borderId="57" xfId="0" applyFont="1" applyFill="1" applyBorder="1" applyAlignment="1">
      <alignment horizontal="center" vertical="center"/>
    </xf>
    <xf numFmtId="0" fontId="6" fillId="5" borderId="80" xfId="0" applyFont="1" applyFill="1" applyBorder="1" applyAlignment="1">
      <alignment horizontal="center" vertical="center"/>
    </xf>
    <xf numFmtId="0" fontId="6" fillId="5" borderId="80" xfId="0" applyFont="1" applyFill="1" applyBorder="1" applyAlignment="1">
      <alignment vertical="center"/>
    </xf>
    <xf numFmtId="0" fontId="6" fillId="5" borderId="80" xfId="0" applyFont="1" applyFill="1" applyBorder="1" applyAlignment="1">
      <alignment horizontal="left" vertical="center"/>
    </xf>
    <xf numFmtId="44" fontId="6" fillId="5" borderId="28" xfId="1" applyFont="1" applyFill="1" applyBorder="1" applyAlignment="1">
      <alignment horizontal="center" vertical="center"/>
    </xf>
    <xf numFmtId="44" fontId="6" fillId="5" borderId="80" xfId="1" applyFont="1" applyFill="1" applyBorder="1" applyAlignment="1">
      <alignment horizontal="center" vertical="center"/>
    </xf>
    <xf numFmtId="0" fontId="0" fillId="3" borderId="69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0" fillId="14" borderId="42" xfId="0" applyFill="1" applyBorder="1" applyAlignment="1">
      <alignment horizontal="center" vertical="center"/>
    </xf>
    <xf numFmtId="14" fontId="0" fillId="14" borderId="28" xfId="0" applyNumberFormat="1" applyFill="1" applyBorder="1" applyAlignment="1">
      <alignment horizontal="center" vertical="center"/>
    </xf>
    <xf numFmtId="0" fontId="0" fillId="14" borderId="56" xfId="0" applyFill="1" applyBorder="1" applyAlignment="1">
      <alignment horizontal="center" vertical="center"/>
    </xf>
    <xf numFmtId="0" fontId="0" fillId="14" borderId="28" xfId="0" applyFill="1" applyBorder="1" applyAlignment="1">
      <alignment horizontal="center" vertical="center"/>
    </xf>
    <xf numFmtId="0" fontId="0" fillId="14" borderId="28" xfId="0" applyFill="1" applyBorder="1" applyAlignment="1">
      <alignment vertical="center"/>
    </xf>
    <xf numFmtId="0" fontId="0" fillId="14" borderId="28" xfId="0" applyFill="1" applyBorder="1" applyAlignment="1">
      <alignment horizontal="left" vertical="center"/>
    </xf>
    <xf numFmtId="44" fontId="0" fillId="14" borderId="28" xfId="1" applyFont="1" applyFill="1" applyBorder="1" applyAlignment="1">
      <alignment horizontal="center" vertical="center"/>
    </xf>
    <xf numFmtId="0" fontId="15" fillId="14" borderId="28" xfId="0" applyFont="1" applyFill="1" applyBorder="1" applyAlignment="1">
      <alignment horizontal="center" vertical="center"/>
    </xf>
    <xf numFmtId="49" fontId="0" fillId="14" borderId="28" xfId="1" applyNumberFormat="1" applyFont="1" applyFill="1" applyBorder="1" applyAlignment="1">
      <alignment horizontal="center" vertical="center"/>
    </xf>
    <xf numFmtId="0" fontId="15" fillId="14" borderId="0" xfId="0" applyFont="1" applyFill="1" applyAlignment="1">
      <alignment horizontal="left" vertical="center"/>
    </xf>
    <xf numFmtId="14" fontId="0" fillId="14" borderId="55" xfId="0" applyNumberFormat="1" applyFill="1" applyBorder="1" applyAlignment="1">
      <alignment horizontal="center" vertical="center"/>
    </xf>
    <xf numFmtId="0" fontId="0" fillId="14" borderId="37" xfId="0" applyFill="1" applyBorder="1" applyAlignment="1">
      <alignment horizontal="center" vertical="center"/>
    </xf>
    <xf numFmtId="0" fontId="0" fillId="14" borderId="55" xfId="0" applyFill="1" applyBorder="1" applyAlignment="1">
      <alignment horizontal="center" vertical="center"/>
    </xf>
    <xf numFmtId="0" fontId="0" fillId="14" borderId="55" xfId="0" applyFill="1" applyBorder="1" applyAlignment="1">
      <alignment vertical="center"/>
    </xf>
    <xf numFmtId="0" fontId="0" fillId="14" borderId="55" xfId="0" applyFill="1" applyBorder="1" applyAlignment="1">
      <alignment horizontal="left" vertical="center"/>
    </xf>
    <xf numFmtId="44" fontId="0" fillId="14" borderId="55" xfId="1" applyFont="1" applyFill="1" applyBorder="1" applyAlignment="1">
      <alignment horizontal="center" vertical="center"/>
    </xf>
    <xf numFmtId="0" fontId="15" fillId="14" borderId="55" xfId="0" applyFont="1" applyFill="1" applyBorder="1" applyAlignment="1">
      <alignment horizontal="center" vertical="center"/>
    </xf>
    <xf numFmtId="49" fontId="0" fillId="14" borderId="55" xfId="1" applyNumberFormat="1" applyFont="1" applyFill="1" applyBorder="1" applyAlignment="1">
      <alignment horizontal="center" vertical="center"/>
    </xf>
    <xf numFmtId="14" fontId="0" fillId="14" borderId="80" xfId="0" applyNumberFormat="1" applyFill="1" applyBorder="1" applyAlignment="1">
      <alignment horizontal="center" vertical="center"/>
    </xf>
    <xf numFmtId="0" fontId="0" fillId="14" borderId="57" xfId="0" applyFill="1" applyBorder="1" applyAlignment="1">
      <alignment horizontal="center" vertical="center"/>
    </xf>
    <xf numFmtId="0" fontId="0" fillId="14" borderId="80" xfId="0" applyFill="1" applyBorder="1" applyAlignment="1">
      <alignment horizontal="center" vertical="center"/>
    </xf>
    <xf numFmtId="0" fontId="0" fillId="14" borderId="80" xfId="0" applyFill="1" applyBorder="1" applyAlignment="1">
      <alignment vertical="center"/>
    </xf>
    <xf numFmtId="0" fontId="0" fillId="14" borderId="80" xfId="0" applyFill="1" applyBorder="1" applyAlignment="1">
      <alignment horizontal="left" vertical="center"/>
    </xf>
    <xf numFmtId="44" fontId="0" fillId="14" borderId="80" xfId="1" applyFont="1" applyFill="1" applyBorder="1" applyAlignment="1">
      <alignment horizontal="center" vertical="center"/>
    </xf>
    <xf numFmtId="0" fontId="15" fillId="14" borderId="80" xfId="0" applyFont="1" applyFill="1" applyBorder="1" applyAlignment="1">
      <alignment horizontal="center" vertical="center"/>
    </xf>
    <xf numFmtId="49" fontId="0" fillId="14" borderId="80" xfId="1" applyNumberFormat="1" applyFont="1" applyFill="1" applyBorder="1" applyAlignment="1">
      <alignment horizontal="center" vertical="center"/>
    </xf>
    <xf numFmtId="14" fontId="15" fillId="14" borderId="55" xfId="0" applyNumberFormat="1" applyFont="1" applyFill="1" applyBorder="1" applyAlignment="1">
      <alignment horizontal="center" vertical="center"/>
    </xf>
    <xf numFmtId="0" fontId="15" fillId="14" borderId="37" xfId="0" applyFont="1" applyFill="1" applyBorder="1" applyAlignment="1">
      <alignment horizontal="center" vertical="center"/>
    </xf>
    <xf numFmtId="0" fontId="15" fillId="14" borderId="55" xfId="0" applyFont="1" applyFill="1" applyBorder="1" applyAlignment="1">
      <alignment vertical="center"/>
    </xf>
    <xf numFmtId="0" fontId="15" fillId="14" borderId="55" xfId="0" applyFont="1" applyFill="1" applyBorder="1" applyAlignment="1">
      <alignment horizontal="left" vertical="center"/>
    </xf>
    <xf numFmtId="44" fontId="15" fillId="14" borderId="55" xfId="1" applyFont="1" applyFill="1" applyBorder="1" applyAlignment="1">
      <alignment horizontal="center" vertical="center"/>
    </xf>
    <xf numFmtId="49" fontId="15" fillId="14" borderId="55" xfId="1" applyNumberFormat="1" applyFont="1" applyFill="1" applyBorder="1" applyAlignment="1">
      <alignment horizontal="center" vertical="center"/>
    </xf>
    <xf numFmtId="0" fontId="0" fillId="0" borderId="94" xfId="0" applyBorder="1" applyAlignment="1">
      <alignment vertical="center"/>
    </xf>
    <xf numFmtId="0" fontId="0" fillId="0" borderId="94" xfId="0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0" borderId="90" xfId="0" applyBorder="1" applyAlignment="1">
      <alignment horizontal="center" vertical="center"/>
    </xf>
    <xf numFmtId="14" fontId="0" fillId="3" borderId="0" xfId="0" applyNumberFormat="1" applyFill="1"/>
    <xf numFmtId="0" fontId="0" fillId="0" borderId="9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left" vertical="center"/>
    </xf>
    <xf numFmtId="0" fontId="0" fillId="0" borderId="11" xfId="0" applyFill="1" applyBorder="1" applyAlignment="1">
      <alignment horizontal="center" vertical="center"/>
    </xf>
    <xf numFmtId="44" fontId="0" fillId="0" borderId="11" xfId="1" applyFont="1" applyBorder="1" applyAlignment="1">
      <alignment horizontal="center" vertical="center"/>
    </xf>
    <xf numFmtId="49" fontId="0" fillId="0" borderId="11" xfId="1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44" fontId="0" fillId="0" borderId="17" xfId="1" applyFont="1" applyBorder="1" applyAlignment="1">
      <alignment horizontal="center" vertical="center"/>
    </xf>
    <xf numFmtId="49" fontId="0" fillId="0" borderId="17" xfId="1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103" xfId="0" applyBorder="1" applyAlignment="1">
      <alignment vertical="center"/>
    </xf>
    <xf numFmtId="0" fontId="0" fillId="0" borderId="104" xfId="0" applyBorder="1" applyAlignment="1">
      <alignment vertical="center"/>
    </xf>
    <xf numFmtId="14" fontId="0" fillId="0" borderId="11" xfId="0" applyNumberFormat="1" applyBorder="1" applyAlignment="1">
      <alignment horizontal="center" vertical="center"/>
    </xf>
    <xf numFmtId="0" fontId="0" fillId="0" borderId="92" xfId="0" applyBorder="1" applyAlignment="1">
      <alignment vertical="center"/>
    </xf>
    <xf numFmtId="0" fontId="0" fillId="0" borderId="105" xfId="0" applyBorder="1" applyAlignment="1">
      <alignment vertical="center"/>
    </xf>
    <xf numFmtId="0" fontId="0" fillId="0" borderId="106" xfId="0" applyBorder="1" applyAlignment="1">
      <alignment vertical="center"/>
    </xf>
    <xf numFmtId="14" fontId="0" fillId="0" borderId="17" xfId="0" applyNumberForma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0" fillId="6" borderId="0" xfId="0" applyFill="1"/>
    <xf numFmtId="14" fontId="0" fillId="4" borderId="81" xfId="0" applyNumberFormat="1" applyFill="1" applyBorder="1" applyAlignment="1">
      <alignment horizontal="center" vertical="center"/>
    </xf>
    <xf numFmtId="0" fontId="0" fillId="4" borderId="82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" fillId="2" borderId="42" xfId="0" applyFont="1" applyFill="1" applyBorder="1" applyAlignment="1">
      <alignment horizontal="left" vertical="center" wrapText="1"/>
    </xf>
    <xf numFmtId="0" fontId="2" fillId="4" borderId="70" xfId="0" applyFont="1" applyFill="1" applyBorder="1" applyAlignment="1">
      <alignment horizontal="left" vertical="center"/>
    </xf>
    <xf numFmtId="0" fontId="15" fillId="14" borderId="28" xfId="0" applyFont="1" applyFill="1" applyBorder="1" applyAlignment="1">
      <alignment horizontal="left" vertical="center"/>
    </xf>
    <xf numFmtId="0" fontId="15" fillId="14" borderId="80" xfId="0" applyFont="1" applyFill="1" applyBorder="1" applyAlignment="1">
      <alignment horizontal="left" vertical="center"/>
    </xf>
    <xf numFmtId="0" fontId="15" fillId="4" borderId="8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left" vertical="center"/>
    </xf>
    <xf numFmtId="0" fontId="0" fillId="3" borderId="55" xfId="0" applyFont="1" applyFill="1" applyBorder="1" applyAlignment="1">
      <alignment horizontal="left" vertical="center"/>
    </xf>
    <xf numFmtId="0" fontId="15" fillId="3" borderId="55" xfId="0" applyFont="1" applyFill="1" applyBorder="1" applyAlignment="1">
      <alignment horizontal="left" vertical="center"/>
    </xf>
    <xf numFmtId="0" fontId="2" fillId="3" borderId="55" xfId="0" applyFont="1" applyFill="1" applyBorder="1" applyAlignment="1">
      <alignment horizontal="left" vertical="center"/>
    </xf>
    <xf numFmtId="0" fontId="15" fillId="3" borderId="42" xfId="0" applyFont="1" applyFill="1" applyBorder="1" applyAlignment="1">
      <alignment horizontal="left" vertical="center"/>
    </xf>
    <xf numFmtId="0" fontId="15" fillId="3" borderId="8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0" fontId="15" fillId="6" borderId="80" xfId="0" applyFont="1" applyFill="1" applyBorder="1" applyAlignment="1">
      <alignment horizontal="left" vertical="center"/>
    </xf>
    <xf numFmtId="0" fontId="15" fillId="0" borderId="55" xfId="0" applyFont="1" applyFill="1" applyBorder="1" applyAlignment="1">
      <alignment horizontal="left" vertical="center"/>
    </xf>
    <xf numFmtId="0" fontId="15" fillId="5" borderId="55" xfId="0" applyFont="1" applyFill="1" applyBorder="1" applyAlignment="1">
      <alignment horizontal="left" vertical="center"/>
    </xf>
    <xf numFmtId="0" fontId="15" fillId="5" borderId="80" xfId="0" applyFont="1" applyFill="1" applyBorder="1" applyAlignment="1">
      <alignment horizontal="left" vertical="center"/>
    </xf>
    <xf numFmtId="0" fontId="15" fillId="5" borderId="7" xfId="0" applyFont="1" applyFill="1" applyBorder="1" applyAlignment="1">
      <alignment horizontal="left" vertical="center"/>
    </xf>
    <xf numFmtId="0" fontId="15" fillId="0" borderId="55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 wrapText="1"/>
    </xf>
    <xf numFmtId="0" fontId="0" fillId="4" borderId="77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6" borderId="8" xfId="0" applyNumberForma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6" borderId="8" xfId="0" applyFill="1" applyBorder="1" applyAlignment="1">
      <alignment vertical="center"/>
    </xf>
    <xf numFmtId="0" fontId="0" fillId="6" borderId="8" xfId="0" applyFill="1" applyBorder="1" applyAlignment="1">
      <alignment horizontal="left" vertical="center"/>
    </xf>
    <xf numFmtId="44" fontId="0" fillId="6" borderId="8" xfId="1" applyFont="1" applyFill="1" applyBorder="1" applyAlignment="1">
      <alignment horizontal="center" vertical="center"/>
    </xf>
    <xf numFmtId="14" fontId="0" fillId="3" borderId="50" xfId="0" applyNumberFormat="1" applyFill="1" applyBorder="1" applyAlignment="1">
      <alignment horizontal="center" vertical="center"/>
    </xf>
    <xf numFmtId="14" fontId="0" fillId="3" borderId="44" xfId="0" applyNumberFormat="1" applyFill="1" applyBorder="1" applyAlignment="1">
      <alignment horizontal="center" vertical="center"/>
    </xf>
    <xf numFmtId="14" fontId="0" fillId="3" borderId="81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15" fillId="4" borderId="80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9" fillId="0" borderId="4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14" fontId="6" fillId="5" borderId="80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44" fontId="0" fillId="3" borderId="8" xfId="1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59" xfId="0" applyFill="1" applyBorder="1" applyAlignment="1">
      <alignment horizontal="left" vertical="center"/>
    </xf>
    <xf numFmtId="0" fontId="15" fillId="3" borderId="28" xfId="0" applyFont="1" applyFill="1" applyBorder="1" applyAlignment="1">
      <alignment horizontal="left" vertical="center"/>
    </xf>
    <xf numFmtId="0" fontId="15" fillId="3" borderId="80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44" fontId="6" fillId="5" borderId="80" xfId="1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44" fontId="0" fillId="3" borderId="0" xfId="1" applyFont="1" applyFill="1" applyAlignment="1">
      <alignment horizontal="center" vertical="center"/>
    </xf>
    <xf numFmtId="14" fontId="0" fillId="6" borderId="72" xfId="0" applyNumberFormat="1" applyFill="1" applyBorder="1" applyAlignment="1">
      <alignment horizontal="center" vertical="center"/>
    </xf>
    <xf numFmtId="0" fontId="0" fillId="6" borderId="9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1" xfId="0" applyFill="1" applyBorder="1" applyAlignment="1">
      <alignment vertical="center"/>
    </xf>
    <xf numFmtId="0" fontId="0" fillId="6" borderId="11" xfId="0" applyFill="1" applyBorder="1" applyAlignment="1">
      <alignment horizontal="left" vertical="center"/>
    </xf>
    <xf numFmtId="44" fontId="0" fillId="6" borderId="11" xfId="1" applyFont="1" applyFill="1" applyBorder="1" applyAlignment="1">
      <alignment horizontal="center" vertical="center"/>
    </xf>
    <xf numFmtId="14" fontId="0" fillId="6" borderId="11" xfId="0" applyNumberFormat="1" applyFill="1" applyBorder="1" applyAlignment="1">
      <alignment horizontal="center" vertical="center"/>
    </xf>
    <xf numFmtId="49" fontId="0" fillId="6" borderId="11" xfId="1" applyNumberFormat="1" applyFont="1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4" fontId="0" fillId="6" borderId="91" xfId="0" applyNumberFormat="1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14" fontId="0" fillId="6" borderId="15" xfId="0" applyNumberFormat="1" applyFill="1" applyBorder="1" applyAlignment="1">
      <alignment horizontal="center" vertical="center"/>
    </xf>
    <xf numFmtId="0" fontId="0" fillId="6" borderId="100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7" xfId="0" applyFill="1" applyBorder="1" applyAlignment="1">
      <alignment vertical="center"/>
    </xf>
    <xf numFmtId="0" fontId="0" fillId="6" borderId="17" xfId="0" applyFill="1" applyBorder="1" applyAlignment="1">
      <alignment horizontal="center" vertical="center"/>
    </xf>
    <xf numFmtId="0" fontId="0" fillId="6" borderId="17" xfId="0" applyFill="1" applyBorder="1" applyAlignment="1">
      <alignment horizontal="left" vertical="center"/>
    </xf>
    <xf numFmtId="44" fontId="0" fillId="6" borderId="17" xfId="1" applyFont="1" applyFill="1" applyBorder="1" applyAlignment="1">
      <alignment horizontal="center" vertical="center"/>
    </xf>
    <xf numFmtId="14" fontId="0" fillId="6" borderId="17" xfId="0" applyNumberFormat="1" applyFill="1" applyBorder="1" applyAlignment="1">
      <alignment horizontal="center" vertical="center"/>
    </xf>
    <xf numFmtId="49" fontId="0" fillId="6" borderId="17" xfId="1" applyNumberFormat="1" applyFont="1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14" fontId="0" fillId="6" borderId="101" xfId="0" applyNumberFormat="1" applyFill="1" applyBorder="1" applyAlignment="1">
      <alignment horizontal="center" vertical="center"/>
    </xf>
    <xf numFmtId="164" fontId="0" fillId="3" borderId="28" xfId="0" applyNumberFormat="1" applyFill="1" applyBorder="1" applyAlignment="1">
      <alignment horizontal="right"/>
    </xf>
    <xf numFmtId="164" fontId="0" fillId="3" borderId="55" xfId="0" applyNumberFormat="1" applyFill="1" applyBorder="1" applyAlignment="1">
      <alignment horizontal="right"/>
    </xf>
    <xf numFmtId="164" fontId="0" fillId="3" borderId="80" xfId="0" applyNumberFormat="1" applyFill="1" applyBorder="1" applyAlignment="1">
      <alignment horizontal="right"/>
    </xf>
    <xf numFmtId="0" fontId="0" fillId="3" borderId="7" xfId="0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2" fillId="4" borderId="70" xfId="0" applyFont="1" applyFill="1" applyBorder="1" applyAlignment="1">
      <alignment horizontal="center" vertical="center"/>
    </xf>
    <xf numFmtId="0" fontId="15" fillId="4" borderId="55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/>
    </xf>
    <xf numFmtId="44" fontId="0" fillId="5" borderId="7" xfId="1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7" borderId="1" xfId="0" applyNumberFormat="1" applyFill="1" applyBorder="1" applyAlignment="1">
      <alignment horizontal="center" vertical="center"/>
    </xf>
    <xf numFmtId="49" fontId="0" fillId="13" borderId="55" xfId="1" applyNumberFormat="1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14" fontId="0" fillId="3" borderId="55" xfId="0" applyNumberFormat="1" applyFill="1" applyBorder="1" applyAlignment="1">
      <alignment horizontal="center" wrapText="1"/>
    </xf>
    <xf numFmtId="14" fontId="6" fillId="3" borderId="53" xfId="0" applyNumberFormat="1" applyFont="1" applyFill="1" applyBorder="1" applyAlignment="1">
      <alignment horizontal="center"/>
    </xf>
    <xf numFmtId="0" fontId="0" fillId="0" borderId="82" xfId="0" applyBorder="1" applyAlignment="1">
      <alignment horizontal="center"/>
    </xf>
    <xf numFmtId="14" fontId="6" fillId="4" borderId="49" xfId="0" applyNumberFormat="1" applyFont="1" applyFill="1" applyBorder="1" applyAlignment="1">
      <alignment horizontal="center"/>
    </xf>
    <xf numFmtId="0" fontId="0" fillId="0" borderId="75" xfId="0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5" borderId="42" xfId="1" applyNumberFormat="1" applyFont="1" applyFill="1" applyBorder="1" applyAlignment="1">
      <alignment horizontal="center" vertical="center"/>
    </xf>
    <xf numFmtId="0" fontId="0" fillId="4" borderId="55" xfId="0" applyFont="1" applyFill="1" applyBorder="1"/>
    <xf numFmtId="14" fontId="0" fillId="5" borderId="72" xfId="0" applyNumberFormat="1" applyFill="1" applyBorder="1" applyAlignment="1">
      <alignment horizontal="center" vertical="center"/>
    </xf>
    <xf numFmtId="0" fontId="0" fillId="5" borderId="9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1" xfId="0" applyFill="1" applyBorder="1" applyAlignment="1">
      <alignment vertical="center"/>
    </xf>
    <xf numFmtId="0" fontId="0" fillId="5" borderId="11" xfId="0" applyFill="1" applyBorder="1" applyAlignment="1">
      <alignment horizontal="left" vertical="center"/>
    </xf>
    <xf numFmtId="14" fontId="0" fillId="5" borderId="101" xfId="0" applyNumberFormat="1" applyFill="1" applyBorder="1" applyAlignment="1">
      <alignment horizontal="center" vertical="center"/>
    </xf>
    <xf numFmtId="14" fontId="0" fillId="5" borderId="91" xfId="0" applyNumberFormat="1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5" borderId="17" xfId="0" applyFill="1" applyBorder="1" applyAlignment="1">
      <alignment vertical="center"/>
    </xf>
    <xf numFmtId="0" fontId="0" fillId="5" borderId="17" xfId="0" applyFill="1" applyBorder="1" applyAlignment="1">
      <alignment horizontal="left" vertical="center"/>
    </xf>
    <xf numFmtId="44" fontId="0" fillId="5" borderId="11" xfId="1" applyFont="1" applyFill="1" applyBorder="1" applyAlignment="1">
      <alignment horizontal="center" vertical="center"/>
    </xf>
    <xf numFmtId="14" fontId="0" fillId="5" borderId="11" xfId="0" applyNumberFormat="1" applyFill="1" applyBorder="1" applyAlignment="1">
      <alignment horizontal="center" vertical="center"/>
    </xf>
    <xf numFmtId="44" fontId="0" fillId="5" borderId="17" xfId="1" applyFont="1" applyFill="1" applyBorder="1" applyAlignment="1">
      <alignment horizontal="center" vertical="center"/>
    </xf>
    <xf numFmtId="14" fontId="0" fillId="5" borderId="17" xfId="0" applyNumberFormat="1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0" fontId="0" fillId="6" borderId="7" xfId="0" applyFill="1" applyBorder="1" applyAlignment="1">
      <alignment horizontal="left" vertical="center"/>
    </xf>
    <xf numFmtId="44" fontId="0" fillId="5" borderId="42" xfId="1" applyFont="1" applyFill="1" applyBorder="1" applyAlignment="1">
      <alignment horizontal="center" vertical="center" wrapText="1"/>
    </xf>
    <xf numFmtId="14" fontId="6" fillId="3" borderId="80" xfId="0" applyNumberFormat="1" applyFont="1" applyFill="1" applyBorder="1" applyAlignment="1">
      <alignment horizontal="center" vertical="center"/>
    </xf>
    <xf numFmtId="0" fontId="6" fillId="3" borderId="57" xfId="0" applyFont="1" applyFill="1" applyBorder="1" applyAlignment="1">
      <alignment horizontal="center" vertical="center"/>
    </xf>
    <xf numFmtId="0" fontId="6" fillId="3" borderId="80" xfId="0" applyFont="1" applyFill="1" applyBorder="1" applyAlignment="1">
      <alignment horizontal="center" vertical="center"/>
    </xf>
    <xf numFmtId="0" fontId="6" fillId="3" borderId="80" xfId="0" applyFont="1" applyFill="1" applyBorder="1" applyAlignment="1">
      <alignment vertical="center"/>
    </xf>
    <xf numFmtId="0" fontId="6" fillId="3" borderId="80" xfId="0" applyFont="1" applyFill="1" applyBorder="1" applyAlignment="1">
      <alignment horizontal="left" vertical="center"/>
    </xf>
    <xf numFmtId="44" fontId="6" fillId="3" borderId="80" xfId="1" applyFont="1" applyFill="1" applyBorder="1" applyAlignment="1">
      <alignment horizontal="center" vertical="center"/>
    </xf>
    <xf numFmtId="49" fontId="6" fillId="3" borderId="80" xfId="1" applyNumberFormat="1" applyFont="1" applyFill="1" applyBorder="1" applyAlignment="1">
      <alignment horizontal="center" vertical="center"/>
    </xf>
    <xf numFmtId="14" fontId="6" fillId="3" borderId="80" xfId="1" applyNumberFormat="1" applyFont="1" applyFill="1" applyBorder="1" applyAlignment="1">
      <alignment horizontal="center" vertical="center"/>
    </xf>
    <xf numFmtId="14" fontId="0" fillId="5" borderId="15" xfId="0" applyNumberFormat="1" applyFill="1" applyBorder="1" applyAlignment="1">
      <alignment horizontal="center" vertical="center"/>
    </xf>
    <xf numFmtId="0" fontId="0" fillId="5" borderId="100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14" fontId="0" fillId="7" borderId="28" xfId="0" applyNumberFormat="1" applyFill="1" applyBorder="1" applyAlignment="1">
      <alignment horizontal="center" vertical="center"/>
    </xf>
    <xf numFmtId="0" fontId="0" fillId="5" borderId="55" xfId="0" applyFont="1" applyFill="1" applyBorder="1" applyAlignment="1">
      <alignment vertical="center"/>
    </xf>
    <xf numFmtId="14" fontId="0" fillId="13" borderId="55" xfId="0" applyNumberFormat="1" applyFill="1" applyBorder="1" applyAlignment="1">
      <alignment horizontal="center" vertical="center"/>
    </xf>
    <xf numFmtId="0" fontId="0" fillId="13" borderId="37" xfId="0" applyFill="1" applyBorder="1" applyAlignment="1">
      <alignment horizontal="center" vertical="center"/>
    </xf>
    <xf numFmtId="0" fontId="0" fillId="13" borderId="55" xfId="0" applyFill="1" applyBorder="1" applyAlignment="1">
      <alignment vertical="center"/>
    </xf>
    <xf numFmtId="0" fontId="0" fillId="13" borderId="55" xfId="0" applyFill="1" applyBorder="1" applyAlignment="1">
      <alignment horizontal="left" vertical="center"/>
    </xf>
    <xf numFmtId="44" fontId="0" fillId="13" borderId="55" xfId="1" applyFont="1" applyFill="1" applyBorder="1" applyAlignment="1">
      <alignment horizontal="center" vertical="center"/>
    </xf>
    <xf numFmtId="14" fontId="0" fillId="4" borderId="72" xfId="0" applyNumberFormat="1" applyFill="1" applyBorder="1" applyAlignment="1">
      <alignment horizontal="center" vertical="center"/>
    </xf>
    <xf numFmtId="0" fontId="0" fillId="4" borderId="99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1" xfId="0" applyFill="1" applyBorder="1" applyAlignment="1">
      <alignment vertical="center"/>
    </xf>
    <xf numFmtId="44" fontId="0" fillId="4" borderId="11" xfId="1" applyFont="1" applyFill="1" applyBorder="1" applyAlignment="1">
      <alignment horizontal="center" vertical="center"/>
    </xf>
    <xf numFmtId="14" fontId="0" fillId="4" borderId="11" xfId="0" applyNumberFormat="1" applyFill="1" applyBorder="1" applyAlignment="1">
      <alignment horizontal="center" vertical="center"/>
    </xf>
    <xf numFmtId="49" fontId="0" fillId="4" borderId="11" xfId="1" applyNumberFormat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14" fontId="0" fillId="4" borderId="101" xfId="0" applyNumberFormat="1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14" fontId="0" fillId="4" borderId="73" xfId="0" applyNumberFormat="1" applyFill="1" applyBorder="1" applyAlignment="1">
      <alignment horizontal="center" vertical="center"/>
    </xf>
    <xf numFmtId="0" fontId="0" fillId="4" borderId="102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17" xfId="0" applyFill="1" applyBorder="1" applyAlignment="1">
      <alignment vertical="center"/>
    </xf>
    <xf numFmtId="44" fontId="0" fillId="4" borderId="17" xfId="1" applyFont="1" applyFill="1" applyBorder="1" applyAlignment="1">
      <alignment horizontal="center" vertical="center"/>
    </xf>
    <xf numFmtId="14" fontId="0" fillId="4" borderId="17" xfId="0" applyNumberFormat="1" applyFill="1" applyBorder="1" applyAlignment="1">
      <alignment horizontal="center" vertical="center"/>
    </xf>
    <xf numFmtId="49" fontId="0" fillId="4" borderId="17" xfId="1" applyNumberFormat="1" applyFont="1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13" borderId="0" xfId="0" applyFill="1"/>
    <xf numFmtId="14" fontId="0" fillId="6" borderId="42" xfId="0" applyNumberFormat="1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42" xfId="0" applyFill="1" applyBorder="1" applyAlignment="1">
      <alignment vertical="center"/>
    </xf>
    <xf numFmtId="44" fontId="0" fillId="6" borderId="42" xfId="1" applyFont="1" applyFill="1" applyBorder="1" applyAlignment="1">
      <alignment horizontal="center" vertical="center"/>
    </xf>
    <xf numFmtId="0" fontId="0" fillId="6" borderId="42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14" fontId="0" fillId="5" borderId="8" xfId="0" applyNumberForma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8" xfId="0" applyFill="1" applyBorder="1" applyAlignment="1">
      <alignment horizontal="left" vertical="center"/>
    </xf>
    <xf numFmtId="44" fontId="0" fillId="5" borderId="8" xfId="1" applyFont="1" applyFill="1" applyBorder="1" applyAlignment="1">
      <alignment horizontal="center" vertical="center"/>
    </xf>
    <xf numFmtId="49" fontId="0" fillId="5" borderId="8" xfId="1" applyNumberFormat="1" applyFont="1" applyFill="1" applyBorder="1" applyAlignment="1">
      <alignment horizontal="center" vertical="center"/>
    </xf>
    <xf numFmtId="14" fontId="0" fillId="13" borderId="55" xfId="1" applyNumberFormat="1" applyFont="1" applyFill="1" applyBorder="1" applyAlignment="1">
      <alignment horizontal="center" vertical="center"/>
    </xf>
    <xf numFmtId="0" fontId="0" fillId="4" borderId="28" xfId="0" applyFont="1" applyFill="1" applyBorder="1" applyAlignment="1">
      <alignment horizontal="left" vertical="center"/>
    </xf>
    <xf numFmtId="14" fontId="0" fillId="4" borderId="28" xfId="1" applyNumberFormat="1" applyFont="1" applyFill="1" applyBorder="1" applyAlignment="1">
      <alignment horizontal="center" vertical="center"/>
    </xf>
    <xf numFmtId="0" fontId="0" fillId="4" borderId="80" xfId="0" applyFont="1" applyFill="1" applyBorder="1"/>
    <xf numFmtId="0" fontId="0" fillId="4" borderId="28" xfId="0" applyFill="1" applyBorder="1" applyAlignment="1">
      <alignment vertical="center" wrapText="1"/>
    </xf>
    <xf numFmtId="0" fontId="0" fillId="4" borderId="28" xfId="0" applyFill="1" applyBorder="1" applyAlignment="1">
      <alignment horizontal="left" vertical="center" wrapText="1"/>
    </xf>
    <xf numFmtId="0" fontId="0" fillId="4" borderId="28" xfId="0" applyFill="1" applyBorder="1" applyAlignment="1">
      <alignment horizontal="center" vertical="center" wrapText="1"/>
    </xf>
    <xf numFmtId="44" fontId="6" fillId="3" borderId="80" xfId="1" applyFont="1" applyFill="1" applyBorder="1" applyAlignment="1">
      <alignment horizontal="center" vertical="center" wrapText="1"/>
    </xf>
    <xf numFmtId="14" fontId="0" fillId="0" borderId="55" xfId="0" applyNumberFormat="1" applyFill="1" applyBorder="1" applyAlignment="1">
      <alignment horizontal="center" vertical="center"/>
    </xf>
    <xf numFmtId="0" fontId="0" fillId="0" borderId="55" xfId="0" applyFill="1" applyBorder="1" applyAlignment="1">
      <alignment vertical="center"/>
    </xf>
    <xf numFmtId="0" fontId="0" fillId="0" borderId="37" xfId="0" applyBorder="1" applyAlignment="1"/>
    <xf numFmtId="0" fontId="2" fillId="2" borderId="2" xfId="0" applyFont="1" applyFill="1" applyBorder="1" applyAlignment="1">
      <alignment horizontal="center" vertical="center" wrapText="1"/>
    </xf>
    <xf numFmtId="0" fontId="2" fillId="0" borderId="55" xfId="0" applyFont="1" applyBorder="1" applyAlignment="1">
      <alignment horizontal="left" vertical="center"/>
    </xf>
    <xf numFmtId="0" fontId="2" fillId="0" borderId="28" xfId="0" applyFont="1" applyBorder="1" applyAlignment="1">
      <alignment horizontal="left" vertical="center"/>
    </xf>
    <xf numFmtId="0" fontId="2" fillId="0" borderId="80" xfId="0" applyFont="1" applyBorder="1" applyAlignment="1">
      <alignment horizontal="left" vertical="center"/>
    </xf>
    <xf numFmtId="0" fontId="2" fillId="0" borderId="37" xfId="0" applyFont="1" applyBorder="1" applyAlignment="1">
      <alignment horizontal="left" vertical="center"/>
    </xf>
    <xf numFmtId="0" fontId="0" fillId="0" borderId="108" xfId="0" applyFill="1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15" fillId="5" borderId="28" xfId="0" applyFont="1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44" fontId="15" fillId="4" borderId="55" xfId="1" applyFont="1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14" fontId="0" fillId="3" borderId="91" xfId="0" applyNumberFormat="1" applyFill="1" applyBorder="1" applyAlignment="1">
      <alignment horizontal="center" vertical="center"/>
    </xf>
    <xf numFmtId="14" fontId="0" fillId="3" borderId="101" xfId="0" applyNumberFormat="1" applyFill="1" applyBorder="1" applyAlignment="1">
      <alignment horizontal="center" vertical="center"/>
    </xf>
    <xf numFmtId="0" fontId="19" fillId="4" borderId="55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2" fillId="0" borderId="42" xfId="0" applyFont="1" applyBorder="1" applyAlignment="1">
      <alignment horizontal="left" vertical="center"/>
    </xf>
    <xf numFmtId="0" fontId="0" fillId="7" borderId="55" xfId="0" applyFill="1" applyBorder="1" applyAlignment="1">
      <alignment horizontal="left" vertical="center"/>
    </xf>
    <xf numFmtId="14" fontId="0" fillId="4" borderId="32" xfId="0" applyNumberFormat="1" applyFill="1" applyBorder="1" applyAlignment="1">
      <alignment horizontal="center" vertical="center"/>
    </xf>
    <xf numFmtId="0" fontId="0" fillId="4" borderId="107" xfId="0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0" fontId="0" fillId="4" borderId="32" xfId="0" applyFill="1" applyBorder="1" applyAlignment="1">
      <alignment vertical="center"/>
    </xf>
    <xf numFmtId="0" fontId="0" fillId="4" borderId="32" xfId="0" applyFill="1" applyBorder="1" applyAlignment="1">
      <alignment horizontal="left" vertical="center"/>
    </xf>
    <xf numFmtId="44" fontId="0" fillId="4" borderId="32" xfId="1" applyFont="1" applyFill="1" applyBorder="1" applyAlignment="1">
      <alignment horizontal="center" vertical="center"/>
    </xf>
    <xf numFmtId="49" fontId="0" fillId="4" borderId="32" xfId="1" applyNumberFormat="1" applyFont="1" applyFill="1" applyBorder="1" applyAlignment="1">
      <alignment horizontal="center" vertical="center"/>
    </xf>
    <xf numFmtId="14" fontId="0" fillId="0" borderId="28" xfId="0" applyNumberFormat="1" applyFill="1" applyBorder="1" applyAlignment="1">
      <alignment horizontal="center" vertical="center"/>
    </xf>
    <xf numFmtId="0" fontId="0" fillId="0" borderId="28" xfId="0" applyFill="1" applyBorder="1" applyAlignment="1">
      <alignment vertical="center"/>
    </xf>
    <xf numFmtId="0" fontId="0" fillId="0" borderId="28" xfId="0" applyFill="1" applyBorder="1" applyAlignment="1">
      <alignment horizontal="left" vertical="center"/>
    </xf>
    <xf numFmtId="44" fontId="0" fillId="0" borderId="28" xfId="1" applyFont="1" applyFill="1" applyBorder="1" applyAlignment="1">
      <alignment horizontal="center" vertical="center"/>
    </xf>
    <xf numFmtId="44" fontId="0" fillId="0" borderId="55" xfId="1" applyFont="1" applyFill="1" applyBorder="1" applyAlignment="1">
      <alignment horizontal="center" vertical="center"/>
    </xf>
    <xf numFmtId="14" fontId="0" fillId="0" borderId="80" xfId="0" applyNumberFormat="1" applyFill="1" applyBorder="1" applyAlignment="1">
      <alignment horizontal="center" vertical="center"/>
    </xf>
    <xf numFmtId="0" fontId="0" fillId="0" borderId="80" xfId="0" applyFill="1" applyBorder="1" applyAlignment="1">
      <alignment vertical="center"/>
    </xf>
    <xf numFmtId="0" fontId="0" fillId="0" borderId="80" xfId="0" applyFill="1" applyBorder="1" applyAlignment="1">
      <alignment horizontal="left" vertical="center"/>
    </xf>
    <xf numFmtId="44" fontId="0" fillId="0" borderId="80" xfId="1" applyFont="1" applyFill="1" applyBorder="1" applyAlignment="1">
      <alignment horizontal="center" vertical="center"/>
    </xf>
    <xf numFmtId="0" fontId="0" fillId="0" borderId="42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49" fontId="14" fillId="3" borderId="80" xfId="1" applyNumberFormat="1" applyFont="1" applyFill="1" applyBorder="1" applyAlignment="1">
      <alignment horizontal="center" vertical="center"/>
    </xf>
    <xf numFmtId="0" fontId="2" fillId="3" borderId="80" xfId="0" applyFont="1" applyFill="1" applyBorder="1" applyAlignment="1">
      <alignment horizontal="center" vertical="center"/>
    </xf>
    <xf numFmtId="14" fontId="0" fillId="7" borderId="0" xfId="0" applyNumberFormat="1" applyFill="1" applyAlignment="1">
      <alignment horizontal="center"/>
    </xf>
    <xf numFmtId="0" fontId="9" fillId="0" borderId="0" xfId="0" applyFont="1" applyAlignment="1">
      <alignment horizontal="center" vertical="center"/>
    </xf>
    <xf numFmtId="0" fontId="6" fillId="4" borderId="37" xfId="0" applyFont="1" applyFill="1" applyBorder="1" applyAlignment="1">
      <alignment horizontal="center" vertical="center"/>
    </xf>
    <xf numFmtId="0" fontId="6" fillId="4" borderId="55" xfId="0" applyFont="1" applyFill="1" applyBorder="1" applyAlignment="1">
      <alignment vertical="center"/>
    </xf>
    <xf numFmtId="0" fontId="21" fillId="4" borderId="55" xfId="0" applyFont="1" applyFill="1" applyBorder="1" applyAlignment="1">
      <alignment horizontal="left" vertical="center"/>
    </xf>
    <xf numFmtId="44" fontId="6" fillId="4" borderId="55" xfId="1" applyFont="1" applyFill="1" applyBorder="1" applyAlignment="1">
      <alignment horizontal="center" vertical="center"/>
    </xf>
    <xf numFmtId="0" fontId="6" fillId="4" borderId="55" xfId="0" applyFont="1" applyFill="1" applyBorder="1" applyAlignment="1">
      <alignment horizontal="left" vertical="center"/>
    </xf>
    <xf numFmtId="49" fontId="6" fillId="4" borderId="55" xfId="1" applyNumberFormat="1" applyFont="1" applyFill="1" applyBorder="1" applyAlignment="1">
      <alignment horizontal="center" vertical="center"/>
    </xf>
    <xf numFmtId="14" fontId="6" fillId="4" borderId="55" xfId="1" applyNumberFormat="1" applyFont="1" applyFill="1" applyBorder="1" applyAlignment="1">
      <alignment horizontal="center" vertical="center"/>
    </xf>
    <xf numFmtId="44" fontId="6" fillId="4" borderId="55" xfId="1" applyFont="1" applyFill="1" applyBorder="1" applyAlignment="1">
      <alignment horizontal="center" vertical="center" wrapText="1"/>
    </xf>
    <xf numFmtId="0" fontId="21" fillId="4" borderId="55" xfId="0" applyFont="1" applyFill="1" applyBorder="1" applyAlignment="1">
      <alignment horizontal="center" vertical="center"/>
    </xf>
    <xf numFmtId="0" fontId="6" fillId="7" borderId="55" xfId="0" applyFont="1" applyFill="1" applyBorder="1" applyAlignment="1">
      <alignment horizontal="center" vertical="center"/>
    </xf>
    <xf numFmtId="0" fontId="15" fillId="4" borderId="32" xfId="0" applyFont="1" applyFill="1" applyBorder="1" applyAlignment="1">
      <alignment horizontal="left" vertical="center"/>
    </xf>
    <xf numFmtId="0" fontId="0" fillId="0" borderId="0" xfId="0"/>
    <xf numFmtId="0" fontId="0" fillId="0" borderId="0" xfId="0" applyAlignment="1">
      <alignment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55" xfId="0" applyFont="1" applyFill="1" applyBorder="1" applyAlignment="1">
      <alignment vertical="center"/>
    </xf>
    <xf numFmtId="0" fontId="21" fillId="3" borderId="55" xfId="0" applyFont="1" applyFill="1" applyBorder="1" applyAlignment="1">
      <alignment horizontal="left" vertical="center"/>
    </xf>
    <xf numFmtId="0" fontId="0" fillId="5" borderId="55" xfId="0" applyFill="1" applyBorder="1" applyAlignment="1">
      <alignment vertical="center" wrapText="1"/>
    </xf>
    <xf numFmtId="14" fontId="0" fillId="3" borderId="17" xfId="0" applyNumberFormat="1" applyFill="1" applyBorder="1" applyAlignment="1">
      <alignment horizontal="center" vertical="center"/>
    </xf>
    <xf numFmtId="14" fontId="0" fillId="3" borderId="11" xfId="0" applyNumberFormat="1" applyFill="1" applyBorder="1" applyAlignment="1">
      <alignment horizontal="center" vertical="center"/>
    </xf>
    <xf numFmtId="14" fontId="0" fillId="3" borderId="72" xfId="0" applyNumberFormat="1" applyFill="1" applyBorder="1" applyAlignment="1">
      <alignment horizontal="center" vertical="center"/>
    </xf>
    <xf numFmtId="0" fontId="0" fillId="3" borderId="99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44" fontId="0" fillId="3" borderId="11" xfId="1" applyFont="1" applyFill="1" applyBorder="1" applyAlignment="1">
      <alignment horizontal="center" vertical="center"/>
    </xf>
    <xf numFmtId="49" fontId="0" fillId="3" borderId="11" xfId="1" applyNumberFormat="1" applyFont="1" applyFill="1" applyBorder="1" applyAlignment="1">
      <alignment horizontal="center" vertical="center"/>
    </xf>
    <xf numFmtId="14" fontId="0" fillId="3" borderId="11" xfId="1" applyNumberFormat="1" applyFont="1" applyFill="1" applyBorder="1" applyAlignment="1">
      <alignment horizontal="center" vertical="center"/>
    </xf>
    <xf numFmtId="14" fontId="0" fillId="3" borderId="15" xfId="0" applyNumberFormat="1" applyFill="1" applyBorder="1" applyAlignment="1">
      <alignment horizontal="center" vertical="center"/>
    </xf>
    <xf numFmtId="0" fontId="0" fillId="3" borderId="100" xfId="0" applyFill="1" applyBorder="1" applyAlignment="1">
      <alignment horizontal="center" vertical="center"/>
    </xf>
    <xf numFmtId="0" fontId="0" fillId="3" borderId="17" xfId="0" applyFill="1" applyBorder="1" applyAlignment="1">
      <alignment vertical="center"/>
    </xf>
    <xf numFmtId="0" fontId="0" fillId="3" borderId="17" xfId="0" applyFill="1" applyBorder="1" applyAlignment="1">
      <alignment horizontal="center" vertical="center"/>
    </xf>
    <xf numFmtId="44" fontId="0" fillId="3" borderId="17" xfId="1" applyFont="1" applyFill="1" applyBorder="1" applyAlignment="1">
      <alignment horizontal="center" vertical="center"/>
    </xf>
    <xf numFmtId="49" fontId="0" fillId="3" borderId="17" xfId="1" applyNumberFormat="1" applyFont="1" applyFill="1" applyBorder="1" applyAlignment="1">
      <alignment horizontal="center" vertical="center"/>
    </xf>
    <xf numFmtId="14" fontId="0" fillId="3" borderId="17" xfId="1" applyNumberFormat="1" applyFont="1" applyFill="1" applyBorder="1" applyAlignment="1">
      <alignment horizontal="center" vertical="center"/>
    </xf>
    <xf numFmtId="14" fontId="0" fillId="3" borderId="37" xfId="0" applyNumberFormat="1" applyFill="1" applyBorder="1" applyAlignment="1">
      <alignment horizontal="center" vertical="center"/>
    </xf>
    <xf numFmtId="14" fontId="0" fillId="3" borderId="71" xfId="0" applyNumberFormat="1" applyFill="1" applyBorder="1" applyAlignment="1">
      <alignment horizontal="center"/>
    </xf>
    <xf numFmtId="14" fontId="0" fillId="3" borderId="36" xfId="0" applyNumberFormat="1" applyFill="1" applyBorder="1" applyAlignment="1">
      <alignment horizontal="center"/>
    </xf>
    <xf numFmtId="14" fontId="6" fillId="3" borderId="37" xfId="0" applyNumberFormat="1" applyFont="1" applyFill="1" applyBorder="1" applyAlignment="1">
      <alignment horizontal="center"/>
    </xf>
    <xf numFmtId="0" fontId="2" fillId="0" borderId="47" xfId="0" applyFont="1" applyBorder="1" applyAlignment="1">
      <alignment horizontal="left" vertical="center"/>
    </xf>
    <xf numFmtId="0" fontId="2" fillId="0" borderId="42" xfId="0" applyFont="1" applyBorder="1" applyAlignment="1">
      <alignment horizontal="center" vertical="center"/>
    </xf>
    <xf numFmtId="44" fontId="2" fillId="0" borderId="42" xfId="1" applyFont="1" applyBorder="1" applyAlignment="1">
      <alignment vertical="center"/>
    </xf>
    <xf numFmtId="44" fontId="2" fillId="0" borderId="42" xfId="0" applyNumberFormat="1" applyFont="1" applyBorder="1" applyAlignment="1">
      <alignment vertical="center"/>
    </xf>
    <xf numFmtId="2" fontId="2" fillId="0" borderId="42" xfId="0" applyNumberFormat="1" applyFont="1" applyBorder="1" applyAlignment="1">
      <alignment horizontal="center" vertical="center"/>
    </xf>
    <xf numFmtId="44" fontId="2" fillId="0" borderId="46" xfId="0" applyNumberFormat="1" applyFont="1" applyBorder="1" applyAlignment="1">
      <alignment horizontal="center" vertical="center"/>
    </xf>
    <xf numFmtId="14" fontId="0" fillId="7" borderId="80" xfId="0" applyNumberFormat="1" applyFill="1" applyBorder="1" applyAlignment="1">
      <alignment horizontal="center" vertical="center"/>
    </xf>
    <xf numFmtId="14" fontId="0" fillId="3" borderId="55" xfId="0" applyNumberFormat="1" applyFill="1" applyBorder="1" applyAlignment="1">
      <alignment horizontal="left" vertical="center"/>
    </xf>
    <xf numFmtId="14" fontId="0" fillId="3" borderId="28" xfId="0" applyNumberFormat="1" applyFill="1" applyBorder="1" applyAlignment="1">
      <alignment horizontal="left" vertical="center"/>
    </xf>
    <xf numFmtId="0" fontId="6" fillId="7" borderId="7" xfId="0" applyFont="1" applyFill="1" applyBorder="1" applyAlignment="1">
      <alignment horizontal="center" vertical="center"/>
    </xf>
    <xf numFmtId="0" fontId="2" fillId="3" borderId="55" xfId="0" applyFont="1" applyFill="1" applyBorder="1" applyAlignment="1">
      <alignment horizontal="center" vertical="center"/>
    </xf>
    <xf numFmtId="0" fontId="0" fillId="3" borderId="55" xfId="0" applyFill="1" applyBorder="1" applyAlignment="1">
      <alignment vertical="center" wrapText="1"/>
    </xf>
    <xf numFmtId="14" fontId="0" fillId="7" borderId="0" xfId="0" applyNumberFormat="1" applyFill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0" fillId="3" borderId="109" xfId="0" applyFill="1" applyBorder="1" applyAlignment="1">
      <alignment horizontal="center" vertical="center"/>
    </xf>
    <xf numFmtId="0" fontId="0" fillId="3" borderId="39" xfId="0" applyFill="1" applyBorder="1" applyAlignment="1">
      <alignment horizontal="left" vertical="center"/>
    </xf>
    <xf numFmtId="49" fontId="0" fillId="3" borderId="39" xfId="1" applyNumberFormat="1" applyFont="1" applyFill="1" applyBorder="1" applyAlignment="1">
      <alignment horizontal="center" vertical="center"/>
    </xf>
    <xf numFmtId="0" fontId="15" fillId="3" borderId="55" xfId="0" applyFont="1" applyFill="1" applyBorder="1" applyAlignment="1">
      <alignment horizontal="center" vertical="center"/>
    </xf>
    <xf numFmtId="0" fontId="2" fillId="4" borderId="55" xfId="0" applyFont="1" applyFill="1" applyBorder="1" applyAlignment="1">
      <alignment horizontal="left" vertical="center"/>
    </xf>
    <xf numFmtId="0" fontId="0" fillId="3" borderId="61" xfId="0" applyFill="1" applyBorder="1" applyAlignment="1">
      <alignment horizontal="left" vertical="center"/>
    </xf>
    <xf numFmtId="14" fontId="0" fillId="4" borderId="50" xfId="0" applyNumberFormat="1" applyFill="1" applyBorder="1" applyAlignment="1">
      <alignment horizontal="center" vertical="center"/>
    </xf>
    <xf numFmtId="14" fontId="0" fillId="4" borderId="44" xfId="0" applyNumberFormat="1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14" fontId="0" fillId="7" borderId="34" xfId="0" applyNumberFormat="1" applyFill="1" applyBorder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4" fontId="0" fillId="7" borderId="55" xfId="0" applyNumberFormat="1" applyFont="1" applyFill="1" applyBorder="1" applyAlignment="1">
      <alignment horizontal="center"/>
    </xf>
    <xf numFmtId="14" fontId="0" fillId="7" borderId="55" xfId="0" applyNumberFormat="1" applyFill="1" applyBorder="1" applyAlignment="1">
      <alignment horizontal="center" vertical="center" wrapText="1"/>
    </xf>
    <xf numFmtId="0" fontId="0" fillId="3" borderId="28" xfId="0" applyFill="1" applyBorder="1" applyAlignment="1">
      <alignment vertical="center" wrapText="1"/>
    </xf>
    <xf numFmtId="14" fontId="6" fillId="3" borderId="28" xfId="0" applyNumberFormat="1" applyFont="1" applyFill="1" applyBorder="1" applyAlignment="1">
      <alignment horizontal="center" vertical="center"/>
    </xf>
    <xf numFmtId="0" fontId="6" fillId="3" borderId="56" xfId="0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vertical="center"/>
    </xf>
    <xf numFmtId="0" fontId="6" fillId="3" borderId="28" xfId="0" applyFont="1" applyFill="1" applyBorder="1" applyAlignment="1">
      <alignment horizontal="left" vertical="center"/>
    </xf>
    <xf numFmtId="44" fontId="6" fillId="3" borderId="28" xfId="1" applyFont="1" applyFill="1" applyBorder="1" applyAlignment="1">
      <alignment horizontal="center" vertical="center"/>
    </xf>
    <xf numFmtId="14" fontId="6" fillId="3" borderId="28" xfId="1" applyNumberFormat="1" applyFont="1" applyFill="1" applyBorder="1" applyAlignment="1">
      <alignment horizontal="center" vertical="center"/>
    </xf>
    <xf numFmtId="44" fontId="6" fillId="3" borderId="28" xfId="1" applyFont="1" applyFill="1" applyBorder="1" applyAlignment="1">
      <alignment horizontal="center" vertical="center" wrapText="1"/>
    </xf>
    <xf numFmtId="0" fontId="0" fillId="3" borderId="80" xfId="0" applyFill="1" applyBorder="1" applyAlignment="1">
      <alignment vertical="center" wrapText="1"/>
    </xf>
    <xf numFmtId="0" fontId="0" fillId="13" borderId="0" xfId="0" applyFill="1" applyAlignment="1">
      <alignment horizontal="center" vertical="center"/>
    </xf>
    <xf numFmtId="0" fontId="0" fillId="13" borderId="28" xfId="0" applyFill="1" applyBorder="1" applyAlignment="1">
      <alignment horizontal="left" vertical="center"/>
    </xf>
    <xf numFmtId="14" fontId="0" fillId="4" borderId="42" xfId="0" applyNumberFormat="1" applyFill="1" applyBorder="1" applyAlignment="1">
      <alignment horizontal="left" vertical="center"/>
    </xf>
    <xf numFmtId="0" fontId="15" fillId="5" borderId="55" xfId="0" applyFont="1" applyFill="1" applyBorder="1" applyAlignment="1">
      <alignment horizontal="center" vertical="center"/>
    </xf>
    <xf numFmtId="14" fontId="0" fillId="4" borderId="55" xfId="0" applyNumberFormat="1" applyFill="1" applyBorder="1" applyAlignment="1">
      <alignment horizontal="left" vertical="center"/>
    </xf>
    <xf numFmtId="0" fontId="0" fillId="3" borderId="8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5" fillId="3" borderId="32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15" fillId="6" borderId="55" xfId="0" applyFont="1" applyFill="1" applyBorder="1" applyAlignment="1">
      <alignment horizontal="left" vertical="center"/>
    </xf>
    <xf numFmtId="0" fontId="15" fillId="3" borderId="42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02" xfId="0" applyFill="1" applyBorder="1" applyAlignment="1">
      <alignment horizontal="center" vertical="center"/>
    </xf>
    <xf numFmtId="0" fontId="0" fillId="0" borderId="7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0" fillId="4" borderId="69" xfId="0" applyFill="1" applyBorder="1" applyAlignment="1">
      <alignment vertical="center"/>
    </xf>
    <xf numFmtId="0" fontId="14" fillId="3" borderId="80" xfId="0" applyFont="1" applyFill="1" applyBorder="1" applyAlignment="1">
      <alignment horizontal="center" vertical="center"/>
    </xf>
    <xf numFmtId="0" fontId="0" fillId="3" borderId="55" xfId="0" applyFill="1" applyBorder="1" applyAlignment="1">
      <alignment horizontal="left" vertical="center" wrapText="1"/>
    </xf>
    <xf numFmtId="0" fontId="0" fillId="3" borderId="80" xfId="0" applyFill="1" applyBorder="1" applyAlignment="1">
      <alignment horizontal="left" vertical="center" wrapText="1"/>
    </xf>
    <xf numFmtId="0" fontId="0" fillId="3" borderId="55" xfId="0" applyNumberFormat="1" applyFill="1" applyBorder="1" applyAlignment="1">
      <alignment horizontal="center" vertical="center"/>
    </xf>
    <xf numFmtId="44" fontId="0" fillId="5" borderId="28" xfId="1" applyFont="1" applyFill="1" applyBorder="1" applyAlignment="1">
      <alignment horizontal="center" vertical="center" wrapText="1"/>
    </xf>
    <xf numFmtId="44" fontId="0" fillId="5" borderId="80" xfId="1" applyFont="1" applyFill="1" applyBorder="1" applyAlignment="1">
      <alignment horizontal="center" vertical="center" wrapText="1"/>
    </xf>
    <xf numFmtId="0" fontId="0" fillId="3" borderId="55" xfId="0" applyFill="1" applyBorder="1" applyAlignment="1">
      <alignment horizontal="justify" vertical="center"/>
    </xf>
    <xf numFmtId="0" fontId="0" fillId="3" borderId="55" xfId="0" applyFont="1" applyFill="1" applyBorder="1" applyAlignment="1">
      <alignment horizontal="justify" vertical="center"/>
    </xf>
    <xf numFmtId="0" fontId="15" fillId="3" borderId="80" xfId="0" applyFont="1" applyFill="1" applyBorder="1" applyAlignment="1">
      <alignment horizontal="center" vertical="center"/>
    </xf>
    <xf numFmtId="0" fontId="0" fillId="5" borderId="28" xfId="0" applyFont="1" applyFill="1" applyBorder="1" applyAlignment="1">
      <alignment horizontal="left" vertical="center"/>
    </xf>
    <xf numFmtId="0" fontId="0" fillId="5" borderId="28" xfId="0" applyFill="1" applyBorder="1" applyAlignment="1">
      <alignment horizontal="left" vertical="center" wrapText="1"/>
    </xf>
    <xf numFmtId="0" fontId="0" fillId="5" borderId="55" xfId="0" applyFill="1" applyBorder="1" applyAlignment="1">
      <alignment horizontal="left" vertical="center" wrapText="1"/>
    </xf>
    <xf numFmtId="0" fontId="0" fillId="5" borderId="80" xfId="0" applyFill="1" applyBorder="1" applyAlignment="1">
      <alignment horizontal="left" vertical="center" wrapText="1"/>
    </xf>
    <xf numFmtId="0" fontId="0" fillId="0" borderId="69" xfId="0" applyFill="1" applyBorder="1" applyAlignment="1">
      <alignment horizontal="center" vertical="center"/>
    </xf>
    <xf numFmtId="0" fontId="0" fillId="0" borderId="85" xfId="0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3" borderId="28" xfId="0" applyFill="1" applyBorder="1" applyAlignment="1">
      <alignment horizontal="left" vertical="center" wrapText="1"/>
    </xf>
    <xf numFmtId="14" fontId="0" fillId="13" borderId="28" xfId="0" applyNumberFormat="1" applyFill="1" applyBorder="1" applyAlignment="1">
      <alignment horizontal="center" vertical="center"/>
    </xf>
    <xf numFmtId="0" fontId="0" fillId="13" borderId="28" xfId="0" applyFill="1" applyBorder="1" applyAlignment="1">
      <alignment horizontal="center" vertical="center"/>
    </xf>
    <xf numFmtId="0" fontId="0" fillId="13" borderId="28" xfId="0" applyFill="1" applyBorder="1" applyAlignment="1">
      <alignment vertical="center"/>
    </xf>
    <xf numFmtId="44" fontId="0" fillId="13" borderId="28" xfId="1" applyFont="1" applyFill="1" applyBorder="1" applyAlignment="1">
      <alignment horizontal="center" vertical="center"/>
    </xf>
    <xf numFmtId="49" fontId="0" fillId="13" borderId="28" xfId="1" applyNumberFormat="1" applyFont="1" applyFill="1" applyBorder="1" applyAlignment="1">
      <alignment horizontal="center" vertical="center"/>
    </xf>
    <xf numFmtId="0" fontId="0" fillId="3" borderId="70" xfId="0" applyFill="1" applyBorder="1" applyAlignment="1">
      <alignment vertical="center"/>
    </xf>
    <xf numFmtId="44" fontId="6" fillId="5" borderId="55" xfId="1" applyFont="1" applyFill="1" applyBorder="1" applyAlignment="1">
      <alignment horizontal="center" vertical="center"/>
    </xf>
    <xf numFmtId="0" fontId="6" fillId="5" borderId="55" xfId="0" applyFont="1" applyFill="1" applyBorder="1" applyAlignment="1">
      <alignment horizontal="left" vertical="center"/>
    </xf>
    <xf numFmtId="0" fontId="0" fillId="4" borderId="28" xfId="0" applyFill="1" applyBorder="1" applyAlignment="1">
      <alignment horizontal="justify" vertical="center"/>
    </xf>
    <xf numFmtId="0" fontId="0" fillId="4" borderId="55" xfId="0" applyFill="1" applyBorder="1" applyAlignment="1">
      <alignment horizontal="justify" vertical="center"/>
    </xf>
    <xf numFmtId="49" fontId="0" fillId="6" borderId="37" xfId="1" applyNumberFormat="1" applyFont="1" applyFill="1" applyBorder="1" applyAlignment="1">
      <alignment horizontal="center" vertical="center"/>
    </xf>
    <xf numFmtId="0" fontId="0" fillId="6" borderId="55" xfId="0" applyFill="1" applyBorder="1" applyAlignment="1">
      <alignment horizontal="left" vertical="center" wrapText="1"/>
    </xf>
    <xf numFmtId="44" fontId="0" fillId="0" borderId="0" xfId="0" applyNumberFormat="1"/>
    <xf numFmtId="0" fontId="0" fillId="0" borderId="110" xfId="0" pivotButton="1" applyBorder="1"/>
    <xf numFmtId="0" fontId="0" fillId="0" borderId="110" xfId="0" applyBorder="1" applyAlignment="1">
      <alignment horizontal="left"/>
    </xf>
    <xf numFmtId="0" fontId="0" fillId="0" borderId="110" xfId="0" applyNumberFormat="1" applyBorder="1"/>
    <xf numFmtId="44" fontId="0" fillId="0" borderId="110" xfId="0" applyNumberFormat="1" applyBorder="1"/>
    <xf numFmtId="0" fontId="2" fillId="9" borderId="111" xfId="0" applyFont="1" applyFill="1" applyBorder="1" applyAlignment="1">
      <alignment horizontal="center" vertical="center" wrapText="1"/>
    </xf>
    <xf numFmtId="0" fontId="2" fillId="9" borderId="110" xfId="0" applyFont="1" applyFill="1" applyBorder="1" applyAlignment="1">
      <alignment horizontal="center" vertical="center" wrapText="1"/>
    </xf>
    <xf numFmtId="164" fontId="2" fillId="9" borderId="110" xfId="0" applyNumberFormat="1" applyFont="1" applyFill="1" applyBorder="1" applyAlignment="1">
      <alignment horizontal="center" vertical="center" wrapText="1"/>
    </xf>
    <xf numFmtId="2" fontId="2" fillId="9" borderId="110" xfId="0" applyNumberFormat="1" applyFont="1" applyFill="1" applyBorder="1" applyAlignment="1">
      <alignment horizontal="center" vertical="center" wrapText="1"/>
    </xf>
    <xf numFmtId="2" fontId="2" fillId="9" borderId="112" xfId="0" applyNumberFormat="1" applyFont="1" applyFill="1" applyBorder="1" applyAlignment="1">
      <alignment horizontal="center" vertical="center" wrapText="1"/>
    </xf>
    <xf numFmtId="0" fontId="2" fillId="0" borderId="111" xfId="0" applyFont="1" applyBorder="1" applyAlignment="1">
      <alignment horizontal="left" vertical="center"/>
    </xf>
    <xf numFmtId="0" fontId="2" fillId="0" borderId="110" xfId="0" applyFont="1" applyBorder="1" applyAlignment="1">
      <alignment horizontal="center" vertical="center"/>
    </xf>
    <xf numFmtId="164" fontId="2" fillId="0" borderId="110" xfId="0" applyNumberFormat="1" applyFont="1" applyBorder="1" applyAlignment="1">
      <alignment vertical="center"/>
    </xf>
    <xf numFmtId="2" fontId="2" fillId="0" borderId="110" xfId="0" applyNumberFormat="1" applyFont="1" applyBorder="1" applyAlignment="1">
      <alignment horizontal="center" vertical="center"/>
    </xf>
    <xf numFmtId="164" fontId="2" fillId="0" borderId="112" xfId="0" applyNumberFormat="1" applyFont="1" applyBorder="1" applyAlignment="1">
      <alignment horizontal="center" vertical="center"/>
    </xf>
    <xf numFmtId="0" fontId="2" fillId="9" borderId="113" xfId="0" applyFont="1" applyFill="1" applyBorder="1" applyAlignment="1">
      <alignment horizontal="left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55" xfId="0" applyFont="1" applyFill="1" applyBorder="1" applyAlignment="1">
      <alignment horizontal="center" vertical="center"/>
    </xf>
    <xf numFmtId="0" fontId="15" fillId="6" borderId="80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0" fillId="13" borderId="42" xfId="0" applyFill="1" applyBorder="1" applyAlignment="1">
      <alignment horizontal="center" vertical="center"/>
    </xf>
    <xf numFmtId="49" fontId="0" fillId="13" borderId="42" xfId="1" applyNumberFormat="1" applyFont="1" applyFill="1" applyBorder="1" applyAlignment="1">
      <alignment horizontal="center" vertical="center"/>
    </xf>
    <xf numFmtId="0" fontId="0" fillId="0" borderId="110" xfId="0" pivotButton="1" applyBorder="1" applyAlignment="1">
      <alignment horizontal="center" vertical="center" wrapText="1"/>
    </xf>
    <xf numFmtId="0" fontId="0" fillId="13" borderId="110" xfId="0" applyFill="1" applyBorder="1" applyAlignment="1">
      <alignment horizontal="center" vertical="center"/>
    </xf>
    <xf numFmtId="49" fontId="0" fillId="13" borderId="110" xfId="1" applyNumberFormat="1" applyFont="1" applyFill="1" applyBorder="1" applyAlignment="1">
      <alignment horizontal="center" vertical="center"/>
    </xf>
    <xf numFmtId="0" fontId="0" fillId="13" borderId="114" xfId="0" applyFill="1" applyBorder="1" applyAlignment="1">
      <alignment horizontal="center" vertical="center"/>
    </xf>
    <xf numFmtId="49" fontId="0" fillId="13" borderId="114" xfId="1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4" fontId="0" fillId="6" borderId="110" xfId="0" applyNumberFormat="1" applyFill="1" applyBorder="1" applyAlignment="1">
      <alignment horizontal="center" vertical="center"/>
    </xf>
    <xf numFmtId="0" fontId="0" fillId="6" borderId="110" xfId="0" applyFill="1" applyBorder="1" applyAlignment="1">
      <alignment horizontal="center" vertical="center"/>
    </xf>
    <xf numFmtId="0" fontId="0" fillId="6" borderId="110" xfId="0" applyFill="1" applyBorder="1" applyAlignment="1">
      <alignment vertical="center"/>
    </xf>
    <xf numFmtId="0" fontId="0" fillId="6" borderId="110" xfId="0" applyFill="1" applyBorder="1" applyAlignment="1">
      <alignment horizontal="left" vertical="center"/>
    </xf>
    <xf numFmtId="14" fontId="0" fillId="6" borderId="114" xfId="0" applyNumberFormat="1" applyFill="1" applyBorder="1" applyAlignment="1">
      <alignment horizontal="center" vertical="center"/>
    </xf>
    <xf numFmtId="0" fontId="0" fillId="6" borderId="114" xfId="0" applyFill="1" applyBorder="1" applyAlignment="1">
      <alignment horizontal="center" vertical="center"/>
    </xf>
    <xf numFmtId="0" fontId="0" fillId="6" borderId="114" xfId="0" applyFill="1" applyBorder="1" applyAlignment="1">
      <alignment vertical="center"/>
    </xf>
    <xf numFmtId="0" fontId="0" fillId="6" borderId="114" xfId="0" applyFill="1" applyBorder="1" applyAlignment="1">
      <alignment horizontal="left" vertical="center"/>
    </xf>
    <xf numFmtId="44" fontId="0" fillId="6" borderId="110" xfId="1" applyFont="1" applyFill="1" applyBorder="1" applyAlignment="1">
      <alignment horizontal="center" vertical="center"/>
    </xf>
    <xf numFmtId="44" fontId="0" fillId="6" borderId="114" xfId="1" applyFont="1" applyFill="1" applyBorder="1" applyAlignment="1">
      <alignment horizontal="center" vertical="center"/>
    </xf>
    <xf numFmtId="49" fontId="0" fillId="6" borderId="110" xfId="1" applyNumberFormat="1" applyFont="1" applyFill="1" applyBorder="1" applyAlignment="1">
      <alignment horizontal="center" vertical="center"/>
    </xf>
    <xf numFmtId="49" fontId="0" fillId="6" borderId="114" xfId="1" applyNumberFormat="1" applyFont="1" applyFill="1" applyBorder="1" applyAlignment="1">
      <alignment horizontal="center" vertical="center"/>
    </xf>
    <xf numFmtId="0" fontId="2" fillId="11" borderId="114" xfId="0" applyFont="1" applyFill="1" applyBorder="1" applyAlignment="1">
      <alignment horizontal="center" vertical="center"/>
    </xf>
    <xf numFmtId="164" fontId="2" fillId="11" borderId="114" xfId="0" applyNumberFormat="1" applyFont="1" applyFill="1" applyBorder="1" applyAlignment="1">
      <alignment vertical="center"/>
    </xf>
    <xf numFmtId="2" fontId="2" fillId="11" borderId="114" xfId="0" applyNumberFormat="1" applyFont="1" applyFill="1" applyBorder="1" applyAlignment="1">
      <alignment horizontal="center" vertical="center"/>
    </xf>
    <xf numFmtId="164" fontId="2" fillId="11" borderId="115" xfId="0" applyNumberFormat="1" applyFont="1" applyFill="1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0" fillId="0" borderId="116" xfId="0" applyBorder="1" applyAlignment="1">
      <alignment vertical="center"/>
    </xf>
    <xf numFmtId="0" fontId="0" fillId="0" borderId="117" xfId="0" applyFill="1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10" xfId="0" applyFill="1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0" fillId="0" borderId="114" xfId="0" applyFill="1" applyBorder="1" applyAlignment="1">
      <alignment horizontal="center" vertical="center"/>
    </xf>
    <xf numFmtId="0" fontId="0" fillId="7" borderId="110" xfId="0" applyFill="1" applyBorder="1" applyAlignment="1">
      <alignment horizontal="center" vertical="center"/>
    </xf>
    <xf numFmtId="0" fontId="0" fillId="7" borderId="114" xfId="0" applyFill="1" applyBorder="1" applyAlignment="1">
      <alignment horizontal="center" vertical="center"/>
    </xf>
    <xf numFmtId="0" fontId="0" fillId="4" borderId="80" xfId="0" applyFill="1" applyBorder="1" applyAlignment="1">
      <alignment horizontal="left" vertical="center" wrapText="1"/>
    </xf>
    <xf numFmtId="44" fontId="0" fillId="4" borderId="80" xfId="1" applyFont="1" applyFill="1" applyBorder="1" applyAlignment="1">
      <alignment horizontal="center" vertical="center" wrapText="1"/>
    </xf>
    <xf numFmtId="49" fontId="0" fillId="0" borderId="28" xfId="1" applyNumberFormat="1" applyFont="1" applyFill="1" applyBorder="1" applyAlignment="1">
      <alignment horizontal="center" vertical="center"/>
    </xf>
    <xf numFmtId="49" fontId="0" fillId="0" borderId="55" xfId="1" applyNumberFormat="1" applyFont="1" applyFill="1" applyBorder="1" applyAlignment="1">
      <alignment horizontal="center" vertical="center"/>
    </xf>
    <xf numFmtId="49" fontId="0" fillId="0" borderId="80" xfId="1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14" fontId="0" fillId="3" borderId="114" xfId="0" applyNumberFormat="1" applyFill="1" applyBorder="1" applyAlignment="1">
      <alignment horizontal="center" vertical="center"/>
    </xf>
    <xf numFmtId="0" fontId="0" fillId="3" borderId="114" xfId="0" applyFill="1" applyBorder="1" applyAlignment="1">
      <alignment horizontal="center" vertical="center"/>
    </xf>
    <xf numFmtId="0" fontId="0" fillId="3" borderId="114" xfId="0" applyFill="1" applyBorder="1" applyAlignment="1">
      <alignment vertical="center"/>
    </xf>
    <xf numFmtId="0" fontId="0" fillId="3" borderId="114" xfId="0" applyFill="1" applyBorder="1" applyAlignment="1">
      <alignment horizontal="left" vertical="center"/>
    </xf>
    <xf numFmtId="44" fontId="0" fillId="3" borderId="114" xfId="1" applyFont="1" applyFill="1" applyBorder="1" applyAlignment="1">
      <alignment horizontal="center" vertical="center"/>
    </xf>
    <xf numFmtId="49" fontId="0" fillId="3" borderId="114" xfId="1" applyNumberFormat="1" applyFont="1" applyFill="1" applyBorder="1" applyAlignment="1">
      <alignment horizontal="center" vertical="center"/>
    </xf>
    <xf numFmtId="14" fontId="0" fillId="3" borderId="114" xfId="1" applyNumberFormat="1" applyFont="1" applyFill="1" applyBorder="1" applyAlignment="1">
      <alignment horizontal="center" vertical="center"/>
    </xf>
    <xf numFmtId="14" fontId="0" fillId="4" borderId="110" xfId="0" applyNumberFormat="1" applyFill="1" applyBorder="1" applyAlignment="1">
      <alignment horizontal="center" vertical="center"/>
    </xf>
    <xf numFmtId="0" fontId="0" fillId="4" borderId="110" xfId="0" applyFill="1" applyBorder="1" applyAlignment="1">
      <alignment horizontal="center" vertical="center"/>
    </xf>
    <xf numFmtId="0" fontId="0" fillId="4" borderId="110" xfId="0" applyFill="1" applyBorder="1" applyAlignment="1">
      <alignment vertical="center"/>
    </xf>
    <xf numFmtId="0" fontId="0" fillId="4" borderId="110" xfId="0" applyFill="1" applyBorder="1" applyAlignment="1">
      <alignment horizontal="left" vertical="center"/>
    </xf>
    <xf numFmtId="44" fontId="0" fillId="4" borderId="110" xfId="1" applyFont="1" applyFill="1" applyBorder="1" applyAlignment="1">
      <alignment horizontal="center" vertical="center"/>
    </xf>
    <xf numFmtId="49" fontId="0" fillId="4" borderId="110" xfId="1" applyNumberFormat="1" applyFont="1" applyFill="1" applyBorder="1" applyAlignment="1">
      <alignment horizontal="center" vertical="center"/>
    </xf>
    <xf numFmtId="14" fontId="0" fillId="4" borderId="114" xfId="0" applyNumberFormat="1" applyFill="1" applyBorder="1" applyAlignment="1">
      <alignment horizontal="center" vertical="center"/>
    </xf>
    <xf numFmtId="0" fontId="0" fillId="4" borderId="114" xfId="0" applyFill="1" applyBorder="1" applyAlignment="1">
      <alignment horizontal="center" vertical="center"/>
    </xf>
    <xf numFmtId="0" fontId="0" fillId="4" borderId="114" xfId="0" applyFill="1" applyBorder="1" applyAlignment="1">
      <alignment vertical="center"/>
    </xf>
    <xf numFmtId="0" fontId="0" fillId="4" borderId="114" xfId="0" applyFill="1" applyBorder="1" applyAlignment="1">
      <alignment horizontal="left" vertical="center"/>
    </xf>
    <xf numFmtId="44" fontId="0" fillId="4" borderId="114" xfId="1" applyFont="1" applyFill="1" applyBorder="1" applyAlignment="1">
      <alignment horizontal="center" vertical="center"/>
    </xf>
    <xf numFmtId="49" fontId="0" fillId="4" borderId="114" xfId="1" applyNumberFormat="1" applyFont="1" applyFill="1" applyBorder="1" applyAlignment="1">
      <alignment horizontal="center" vertical="center"/>
    </xf>
    <xf numFmtId="0" fontId="15" fillId="4" borderId="110" xfId="0" applyFont="1" applyFill="1" applyBorder="1" applyAlignment="1">
      <alignment horizontal="left" vertical="center"/>
    </xf>
    <xf numFmtId="0" fontId="15" fillId="4" borderId="114" xfId="0" applyFont="1" applyFill="1" applyBorder="1" applyAlignment="1">
      <alignment horizontal="left" vertical="center"/>
    </xf>
    <xf numFmtId="0" fontId="0" fillId="7" borderId="76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14" fontId="0" fillId="3" borderId="110" xfId="0" applyNumberFormat="1" applyFill="1" applyBorder="1" applyAlignment="1">
      <alignment horizontal="center" vertical="center"/>
    </xf>
    <xf numFmtId="0" fontId="0" fillId="3" borderId="110" xfId="0" applyFill="1" applyBorder="1" applyAlignment="1">
      <alignment horizontal="center" vertical="center"/>
    </xf>
    <xf numFmtId="0" fontId="0" fillId="3" borderId="110" xfId="0" applyFill="1" applyBorder="1" applyAlignment="1">
      <alignment vertical="center"/>
    </xf>
    <xf numFmtId="0" fontId="0" fillId="3" borderId="110" xfId="0" applyFill="1" applyBorder="1" applyAlignment="1">
      <alignment horizontal="left" vertical="center"/>
    </xf>
    <xf numFmtId="44" fontId="0" fillId="3" borderId="110" xfId="1" applyFont="1" applyFill="1" applyBorder="1" applyAlignment="1">
      <alignment horizontal="center" vertical="center"/>
    </xf>
    <xf numFmtId="49" fontId="0" fillId="3" borderId="110" xfId="1" applyNumberFormat="1" applyFont="1" applyFill="1" applyBorder="1" applyAlignment="1">
      <alignment horizontal="center" vertical="center"/>
    </xf>
    <xf numFmtId="14" fontId="0" fillId="3" borderId="110" xfId="1" applyNumberFormat="1" applyFont="1" applyFill="1" applyBorder="1" applyAlignment="1">
      <alignment horizontal="center" vertical="center"/>
    </xf>
    <xf numFmtId="0" fontId="0" fillId="3" borderId="32" xfId="0" applyFill="1" applyBorder="1" applyAlignment="1">
      <alignment vertical="center"/>
    </xf>
    <xf numFmtId="49" fontId="0" fillId="3" borderId="32" xfId="1" applyNumberFormat="1" applyFont="1" applyFill="1" applyBorder="1" applyAlignment="1">
      <alignment horizontal="center" vertical="center"/>
    </xf>
    <xf numFmtId="14" fontId="0" fillId="3" borderId="32" xfId="1" applyNumberFormat="1" applyFont="1" applyFill="1" applyBorder="1" applyAlignment="1">
      <alignment horizontal="center" vertical="center"/>
    </xf>
    <xf numFmtId="44" fontId="0" fillId="3" borderId="32" xfId="1" applyFont="1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/>
    </xf>
    <xf numFmtId="14" fontId="0" fillId="5" borderId="114" xfId="0" applyNumberFormat="1" applyFill="1" applyBorder="1" applyAlignment="1">
      <alignment horizontal="center" vertical="center"/>
    </xf>
    <xf numFmtId="14" fontId="0" fillId="5" borderId="110" xfId="0" applyNumberFormat="1" applyFill="1" applyBorder="1" applyAlignment="1">
      <alignment horizontal="center" vertical="center"/>
    </xf>
    <xf numFmtId="0" fontId="0" fillId="5" borderId="110" xfId="0" applyFill="1" applyBorder="1" applyAlignment="1">
      <alignment horizontal="center" vertical="center"/>
    </xf>
    <xf numFmtId="0" fontId="0" fillId="5" borderId="110" xfId="0" applyFill="1" applyBorder="1" applyAlignment="1">
      <alignment vertical="center"/>
    </xf>
    <xf numFmtId="0" fontId="0" fillId="5" borderId="110" xfId="0" applyFill="1" applyBorder="1" applyAlignment="1">
      <alignment horizontal="left" vertical="center"/>
    </xf>
    <xf numFmtId="44" fontId="0" fillId="5" borderId="110" xfId="1" applyFont="1" applyFill="1" applyBorder="1" applyAlignment="1">
      <alignment horizontal="center" vertical="center"/>
    </xf>
    <xf numFmtId="49" fontId="0" fillId="4" borderId="37" xfId="1" applyNumberFormat="1" applyFont="1" applyFill="1" applyBorder="1" applyAlignment="1">
      <alignment horizontal="center" vertical="center"/>
    </xf>
    <xf numFmtId="16" fontId="0" fillId="3" borderId="42" xfId="0" applyNumberFormat="1" applyFill="1" applyBorder="1" applyAlignment="1">
      <alignment horizontal="center" vertical="center"/>
    </xf>
    <xf numFmtId="14" fontId="0" fillId="5" borderId="110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 wrapText="1"/>
    </xf>
    <xf numFmtId="49" fontId="0" fillId="3" borderId="37" xfId="1" applyNumberFormat="1" applyFont="1" applyFill="1" applyBorder="1" applyAlignment="1">
      <alignment horizontal="center" vertical="center"/>
    </xf>
    <xf numFmtId="14" fontId="0" fillId="4" borderId="114" xfId="1" applyNumberFormat="1" applyFont="1" applyFill="1" applyBorder="1" applyAlignment="1">
      <alignment horizontal="center" vertical="center"/>
    </xf>
    <xf numFmtId="14" fontId="0" fillId="3" borderId="80" xfId="0" applyNumberForma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44" fontId="2" fillId="2" borderId="88" xfId="1" applyFont="1" applyFill="1" applyBorder="1" applyAlignment="1">
      <alignment horizontal="center" vertical="center" wrapText="1"/>
    </xf>
    <xf numFmtId="0" fontId="2" fillId="2" borderId="88" xfId="0" applyFont="1" applyFill="1" applyBorder="1" applyAlignment="1">
      <alignment horizontal="center" vertical="center" wrapText="1"/>
    </xf>
    <xf numFmtId="44" fontId="2" fillId="2" borderId="89" xfId="1" applyFont="1" applyFill="1" applyBorder="1" applyAlignment="1">
      <alignment horizontal="center" vertical="center" wrapText="1"/>
    </xf>
    <xf numFmtId="0" fontId="0" fillId="3" borderId="82" xfId="0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16" fontId="0" fillId="0" borderId="0" xfId="0" applyNumberFormat="1" applyFill="1" applyAlignment="1">
      <alignment horizontal="center" vertical="center"/>
    </xf>
    <xf numFmtId="0" fontId="15" fillId="13" borderId="28" xfId="0" applyFont="1" applyFill="1" applyBorder="1" applyAlignment="1">
      <alignment horizontal="center" vertical="center"/>
    </xf>
    <xf numFmtId="0" fontId="0" fillId="0" borderId="119" xfId="0" applyFill="1" applyBorder="1" applyAlignment="1">
      <alignment vertical="center" wrapText="1"/>
    </xf>
    <xf numFmtId="14" fontId="0" fillId="0" borderId="119" xfId="0" applyNumberFormat="1" applyFill="1" applyBorder="1" applyAlignment="1">
      <alignment horizontal="center" vertical="center"/>
    </xf>
    <xf numFmtId="0" fontId="0" fillId="0" borderId="119" xfId="0" applyFill="1" applyBorder="1" applyAlignment="1">
      <alignment horizontal="left" vertical="center" wrapText="1"/>
    </xf>
    <xf numFmtId="14" fontId="0" fillId="0" borderId="119" xfId="0" applyNumberFormat="1" applyFill="1" applyBorder="1" applyAlignment="1">
      <alignment horizontal="center" vertical="center" wrapText="1"/>
    </xf>
    <xf numFmtId="0" fontId="6" fillId="0" borderId="119" xfId="0" applyFont="1" applyFill="1" applyBorder="1" applyAlignment="1">
      <alignment horizontal="left" vertical="center" wrapText="1"/>
    </xf>
    <xf numFmtId="14" fontId="6" fillId="0" borderId="119" xfId="0" applyNumberFormat="1" applyFont="1" applyFill="1" applyBorder="1" applyAlignment="1">
      <alignment horizontal="center" vertical="center"/>
    </xf>
    <xf numFmtId="0" fontId="15" fillId="4" borderId="110" xfId="0" applyFont="1" applyFill="1" applyBorder="1" applyAlignment="1">
      <alignment horizontal="center" vertical="center"/>
    </xf>
    <xf numFmtId="0" fontId="0" fillId="4" borderId="61" xfId="0" applyFill="1" applyBorder="1" applyAlignment="1">
      <alignment horizontal="center" vertical="center"/>
    </xf>
    <xf numFmtId="0" fontId="0" fillId="0" borderId="90" xfId="0" applyFill="1" applyBorder="1" applyAlignment="1">
      <alignment vertical="center" wrapText="1"/>
    </xf>
    <xf numFmtId="14" fontId="0" fillId="0" borderId="90" xfId="0" applyNumberFormat="1" applyFill="1" applyBorder="1" applyAlignment="1">
      <alignment horizontal="center" vertical="center"/>
    </xf>
    <xf numFmtId="0" fontId="2" fillId="2" borderId="121" xfId="0" applyFont="1" applyFill="1" applyBorder="1" applyAlignment="1">
      <alignment horizontal="center" vertical="center" wrapText="1"/>
    </xf>
    <xf numFmtId="0" fontId="2" fillId="2" borderId="121" xfId="0" applyFont="1" applyFill="1" applyBorder="1" applyAlignment="1">
      <alignment horizontal="center" vertical="center"/>
    </xf>
    <xf numFmtId="44" fontId="2" fillId="2" borderId="121" xfId="1" applyNumberFormat="1" applyFont="1" applyFill="1" applyBorder="1" applyAlignment="1">
      <alignment horizontal="center" vertical="center" wrapText="1"/>
    </xf>
    <xf numFmtId="44" fontId="0" fillId="0" borderId="90" xfId="1" applyNumberFormat="1" applyFont="1" applyFill="1" applyBorder="1" applyAlignment="1">
      <alignment horizontal="center" vertical="center"/>
    </xf>
    <xf numFmtId="44" fontId="0" fillId="0" borderId="119" xfId="1" applyNumberFormat="1" applyFont="1" applyFill="1" applyBorder="1" applyAlignment="1">
      <alignment horizontal="center" vertical="center"/>
    </xf>
    <xf numFmtId="44" fontId="6" fillId="0" borderId="119" xfId="1" applyNumberFormat="1" applyFont="1" applyFill="1" applyBorder="1" applyAlignment="1">
      <alignment horizontal="center" vertical="center"/>
    </xf>
    <xf numFmtId="44" fontId="0" fillId="0" borderId="119" xfId="0" applyNumberFormat="1" applyBorder="1"/>
    <xf numFmtId="14" fontId="0" fillId="0" borderId="119" xfId="0" applyNumberFormat="1" applyBorder="1" applyAlignment="1">
      <alignment horizontal="center"/>
    </xf>
    <xf numFmtId="0" fontId="0" fillId="0" borderId="119" xfId="0" applyFill="1" applyBorder="1" applyAlignment="1">
      <alignment horizontal="center" vertical="center" wrapText="1"/>
    </xf>
    <xf numFmtId="0" fontId="0" fillId="0" borderId="119" xfId="0" applyBorder="1" applyAlignment="1">
      <alignment wrapText="1"/>
    </xf>
    <xf numFmtId="0" fontId="6" fillId="0" borderId="119" xfId="0" applyFont="1" applyFill="1" applyBorder="1" applyAlignment="1">
      <alignment vertical="center" wrapText="1"/>
    </xf>
    <xf numFmtId="0" fontId="6" fillId="0" borderId="11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90" xfId="0" applyFill="1" applyBorder="1" applyAlignment="1">
      <alignment horizontal="center" vertical="center" wrapText="1"/>
    </xf>
    <xf numFmtId="0" fontId="0" fillId="0" borderId="119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90" xfId="0" applyFill="1" applyBorder="1" applyAlignment="1">
      <alignment horizontal="left" vertical="center" wrapText="1"/>
    </xf>
    <xf numFmtId="0" fontId="0" fillId="0" borderId="119" xfId="0" applyFont="1" applyFill="1" applyBorder="1" applyAlignment="1">
      <alignment horizontal="left" vertical="center" wrapText="1"/>
    </xf>
    <xf numFmtId="0" fontId="2" fillId="2" borderId="121" xfId="0" applyFont="1" applyFill="1" applyBorder="1" applyAlignment="1">
      <alignment horizontal="left" vertical="center" wrapText="1"/>
    </xf>
    <xf numFmtId="0" fontId="0" fillId="0" borderId="122" xfId="0" applyFill="1" applyBorder="1" applyAlignment="1">
      <alignment horizontal="left" vertical="center"/>
    </xf>
    <xf numFmtId="0" fontId="0" fillId="0" borderId="118" xfId="0" applyFill="1" applyBorder="1" applyAlignment="1">
      <alignment horizontal="left" vertical="center"/>
    </xf>
    <xf numFmtId="0" fontId="0" fillId="0" borderId="118" xfId="0" applyBorder="1" applyAlignment="1">
      <alignment horizontal="left"/>
    </xf>
    <xf numFmtId="0" fontId="6" fillId="0" borderId="118" xfId="0" applyFont="1" applyFill="1" applyBorder="1" applyAlignment="1">
      <alignment horizontal="left" vertical="center"/>
    </xf>
    <xf numFmtId="0" fontId="0" fillId="0" borderId="125" xfId="0" applyBorder="1" applyAlignment="1">
      <alignment horizontal="center" vertical="center"/>
    </xf>
    <xf numFmtId="0" fontId="0" fillId="0" borderId="119" xfId="0" applyFill="1" applyBorder="1" applyAlignment="1">
      <alignment horizontal="center" vertical="center"/>
    </xf>
    <xf numFmtId="44" fontId="0" fillId="0" borderId="119" xfId="1" applyFont="1" applyFill="1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119" xfId="0" applyFill="1" applyBorder="1" applyAlignment="1">
      <alignment horizontal="left" vertical="center"/>
    </xf>
    <xf numFmtId="0" fontId="0" fillId="0" borderId="119" xfId="0" applyFill="1" applyBorder="1" applyAlignment="1">
      <alignment vertical="center"/>
    </xf>
    <xf numFmtId="0" fontId="0" fillId="3" borderId="119" xfId="0" applyFill="1" applyBorder="1" applyAlignment="1">
      <alignment vertical="center" wrapText="1"/>
    </xf>
    <xf numFmtId="44" fontId="0" fillId="3" borderId="119" xfId="1" applyFont="1" applyFill="1" applyBorder="1" applyAlignment="1">
      <alignment horizontal="center" vertical="center"/>
    </xf>
    <xf numFmtId="14" fontId="0" fillId="3" borderId="119" xfId="0" applyNumberFormat="1" applyFill="1" applyBorder="1" applyAlignment="1">
      <alignment horizontal="center" vertical="center"/>
    </xf>
    <xf numFmtId="14" fontId="0" fillId="0" borderId="120" xfId="0" applyNumberFormat="1" applyBorder="1" applyAlignment="1">
      <alignment horizontal="center" vertical="center"/>
    </xf>
    <xf numFmtId="0" fontId="0" fillId="3" borderId="119" xfId="0" applyFill="1" applyBorder="1" applyAlignment="1">
      <alignment horizontal="center" vertical="center"/>
    </xf>
    <xf numFmtId="14" fontId="0" fillId="0" borderId="120" xfId="0" applyNumberFormat="1" applyFill="1" applyBorder="1" applyAlignment="1">
      <alignment horizontal="center" vertical="center"/>
    </xf>
    <xf numFmtId="14" fontId="6" fillId="3" borderId="119" xfId="0" applyNumberFormat="1" applyFont="1" applyFill="1" applyBorder="1" applyAlignment="1">
      <alignment horizontal="center" vertical="center"/>
    </xf>
    <xf numFmtId="0" fontId="6" fillId="3" borderId="119" xfId="0" applyFont="1" applyFill="1" applyBorder="1" applyAlignment="1">
      <alignment vertical="center" wrapText="1"/>
    </xf>
    <xf numFmtId="0" fontId="6" fillId="3" borderId="119" xfId="0" applyFont="1" applyFill="1" applyBorder="1" applyAlignment="1">
      <alignment horizontal="center" vertical="center"/>
    </xf>
    <xf numFmtId="44" fontId="6" fillId="3" borderId="119" xfId="1" applyFont="1" applyFill="1" applyBorder="1" applyAlignment="1">
      <alignment horizontal="center" vertical="center"/>
    </xf>
    <xf numFmtId="0" fontId="0" fillId="5" borderId="119" xfId="0" applyFill="1" applyBorder="1" applyAlignment="1">
      <alignment vertical="center" wrapText="1"/>
    </xf>
    <xf numFmtId="0" fontId="0" fillId="5" borderId="119" xfId="0" applyFill="1" applyBorder="1" applyAlignment="1">
      <alignment horizontal="center" vertical="center"/>
    </xf>
    <xf numFmtId="44" fontId="0" fillId="5" borderId="119" xfId="1" applyFont="1" applyFill="1" applyBorder="1" applyAlignment="1">
      <alignment horizontal="center" vertical="center"/>
    </xf>
    <xf numFmtId="14" fontId="0" fillId="5" borderId="119" xfId="0" applyNumberFormat="1" applyFill="1" applyBorder="1" applyAlignment="1">
      <alignment horizontal="center" vertical="center"/>
    </xf>
    <xf numFmtId="0" fontId="0" fillId="3" borderId="119" xfId="0" applyFill="1" applyBorder="1" applyAlignment="1">
      <alignment horizontal="left" vertical="center" wrapText="1"/>
    </xf>
    <xf numFmtId="0" fontId="6" fillId="3" borderId="119" xfId="0" applyFont="1" applyFill="1" applyBorder="1" applyAlignment="1">
      <alignment horizontal="left" vertical="center" wrapText="1"/>
    </xf>
    <xf numFmtId="0" fontId="0" fillId="0" borderId="120" xfId="0" applyFill="1" applyBorder="1" applyAlignment="1">
      <alignment horizontal="center" vertical="center"/>
    </xf>
    <xf numFmtId="0" fontId="6" fillId="0" borderId="119" xfId="0" applyFont="1" applyFill="1" applyBorder="1" applyAlignment="1">
      <alignment horizontal="center" vertical="center"/>
    </xf>
    <xf numFmtId="44" fontId="6" fillId="0" borderId="119" xfId="1" applyFont="1" applyFill="1" applyBorder="1" applyAlignment="1">
      <alignment horizontal="center" vertical="center"/>
    </xf>
    <xf numFmtId="0" fontId="6" fillId="0" borderId="119" xfId="0" applyFont="1" applyFill="1" applyBorder="1" applyAlignment="1">
      <alignment horizontal="left" vertical="center"/>
    </xf>
    <xf numFmtId="0" fontId="0" fillId="0" borderId="119" xfId="0" applyBorder="1" applyAlignment="1">
      <alignment vertical="center" wrapText="1"/>
    </xf>
    <xf numFmtId="0" fontId="0" fillId="0" borderId="119" xfId="0" applyBorder="1" applyAlignment="1">
      <alignment vertical="center"/>
    </xf>
    <xf numFmtId="0" fontId="0" fillId="0" borderId="94" xfId="0" applyBorder="1" applyAlignment="1">
      <alignment vertical="center" wrapText="1"/>
    </xf>
    <xf numFmtId="44" fontId="2" fillId="2" borderId="87" xfId="1" applyFont="1" applyFill="1" applyBorder="1" applyAlignment="1">
      <alignment horizontal="left" vertical="center" wrapText="1"/>
    </xf>
    <xf numFmtId="0" fontId="0" fillId="3" borderId="118" xfId="0" applyFill="1" applyBorder="1" applyAlignment="1">
      <alignment horizontal="left" vertical="center"/>
    </xf>
    <xf numFmtId="0" fontId="6" fillId="3" borderId="118" xfId="0" applyFont="1" applyFill="1" applyBorder="1" applyAlignment="1">
      <alignment horizontal="left" vertical="center"/>
    </xf>
    <xf numFmtId="0" fontId="0" fillId="5" borderId="118" xfId="0" applyFill="1" applyBorder="1" applyAlignment="1">
      <alignment horizontal="left" vertical="center"/>
    </xf>
    <xf numFmtId="0" fontId="0" fillId="0" borderId="118" xfId="0" applyBorder="1" applyAlignment="1">
      <alignment horizontal="left" vertical="center"/>
    </xf>
    <xf numFmtId="0" fontId="0" fillId="0" borderId="124" xfId="0" applyBorder="1" applyAlignment="1">
      <alignment horizontal="left" vertical="center"/>
    </xf>
    <xf numFmtId="0" fontId="0" fillId="0" borderId="123" xfId="0" applyBorder="1" applyAlignment="1">
      <alignment vertical="center"/>
    </xf>
    <xf numFmtId="0" fontId="0" fillId="0" borderId="120" xfId="0" applyBorder="1" applyAlignment="1">
      <alignment vertical="center"/>
    </xf>
    <xf numFmtId="0" fontId="15" fillId="4" borderId="114" xfId="0" applyFont="1" applyFill="1" applyBorder="1" applyAlignment="1">
      <alignment horizontal="center" vertical="center"/>
    </xf>
    <xf numFmtId="44" fontId="0" fillId="3" borderId="114" xfId="1" applyFont="1" applyFill="1" applyBorder="1" applyAlignment="1">
      <alignment horizontal="center" vertical="center" wrapText="1"/>
    </xf>
    <xf numFmtId="0" fontId="0" fillId="7" borderId="85" xfId="0" applyFill="1" applyBorder="1" applyAlignment="1">
      <alignment horizontal="center" vertical="center"/>
    </xf>
    <xf numFmtId="0" fontId="0" fillId="4" borderId="7" xfId="0" applyFill="1" applyBorder="1" applyAlignment="1">
      <alignment vertical="center" wrapText="1"/>
    </xf>
    <xf numFmtId="0" fontId="0" fillId="4" borderId="7" xfId="0" applyFill="1" applyBorder="1" applyAlignment="1">
      <alignment horizontal="left" vertical="center" wrapText="1"/>
    </xf>
    <xf numFmtId="0" fontId="0" fillId="7" borderId="69" xfId="0" applyFill="1" applyBorder="1" applyAlignment="1">
      <alignment horizontal="center" vertical="center"/>
    </xf>
    <xf numFmtId="14" fontId="0" fillId="3" borderId="70" xfId="0" applyNumberFormat="1" applyFill="1" applyBorder="1" applyAlignment="1">
      <alignment horizontal="center" vertical="center"/>
    </xf>
    <xf numFmtId="0" fontId="0" fillId="7" borderId="70" xfId="0" applyFill="1" applyBorder="1" applyAlignment="1">
      <alignment horizontal="center" vertical="center"/>
    </xf>
    <xf numFmtId="0" fontId="0" fillId="3" borderId="70" xfId="0" applyFill="1" applyBorder="1" applyAlignment="1">
      <alignment horizontal="center" vertical="center"/>
    </xf>
    <xf numFmtId="0" fontId="0" fillId="3" borderId="70" xfId="0" applyFill="1" applyBorder="1" applyAlignment="1">
      <alignment horizontal="left" vertical="center"/>
    </xf>
    <xf numFmtId="44" fontId="0" fillId="3" borderId="70" xfId="1" applyFont="1" applyFill="1" applyBorder="1" applyAlignment="1">
      <alignment horizontal="center" vertical="center"/>
    </xf>
    <xf numFmtId="49" fontId="0" fillId="3" borderId="70" xfId="1" applyNumberFormat="1" applyFont="1" applyFill="1" applyBorder="1" applyAlignment="1">
      <alignment horizontal="center" vertical="center"/>
    </xf>
    <xf numFmtId="14" fontId="0" fillId="3" borderId="70" xfId="1" applyNumberFormat="1" applyFont="1" applyFill="1" applyBorder="1" applyAlignment="1">
      <alignment horizontal="center" vertical="center"/>
    </xf>
    <xf numFmtId="14" fontId="0" fillId="0" borderId="120" xfId="0" applyNumberFormat="1" applyBorder="1" applyAlignment="1">
      <alignment horizontal="center" vertical="center" wrapText="1"/>
    </xf>
    <xf numFmtId="0" fontId="6" fillId="0" borderId="119" xfId="0" applyFont="1" applyBorder="1" applyAlignment="1">
      <alignment horizontal="center" vertical="center" wrapText="1"/>
    </xf>
    <xf numFmtId="44" fontId="0" fillId="3" borderId="110" xfId="1" applyFont="1" applyFill="1" applyBorder="1" applyAlignment="1">
      <alignment horizontal="center" vertical="center" wrapText="1"/>
    </xf>
    <xf numFmtId="0" fontId="0" fillId="3" borderId="110" xfId="0" applyFill="1" applyBorder="1" applyAlignment="1">
      <alignment horizontal="left" vertical="center" wrapText="1"/>
    </xf>
    <xf numFmtId="0" fontId="0" fillId="3" borderId="114" xfId="0" applyFill="1" applyBorder="1" applyAlignment="1">
      <alignment horizontal="left" vertical="center" wrapText="1"/>
    </xf>
    <xf numFmtId="0" fontId="0" fillId="4" borderId="119" xfId="0" applyFill="1" applyBorder="1" applyAlignment="1">
      <alignment horizontal="left" vertical="center"/>
    </xf>
    <xf numFmtId="0" fontId="0" fillId="3" borderId="110" xfId="0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0" fillId="3" borderId="114" xfId="0" applyFill="1" applyBorder="1" applyAlignment="1">
      <alignment horizontal="center" vertical="center" wrapText="1"/>
    </xf>
    <xf numFmtId="0" fontId="0" fillId="3" borderId="110" xfId="0" applyFill="1" applyBorder="1" applyAlignment="1">
      <alignment vertical="center" wrapText="1"/>
    </xf>
    <xf numFmtId="0" fontId="0" fillId="3" borderId="114" xfId="0" applyFill="1" applyBorder="1" applyAlignment="1">
      <alignment vertical="center" wrapText="1"/>
    </xf>
    <xf numFmtId="0" fontId="0" fillId="3" borderId="28" xfId="0" applyFill="1" applyBorder="1" applyAlignment="1">
      <alignment horizontal="center" vertical="center" wrapText="1"/>
    </xf>
    <xf numFmtId="44" fontId="0" fillId="0" borderId="0" xfId="0" applyNumberFormat="1"/>
    <xf numFmtId="14" fontId="0" fillId="3" borderId="110" xfId="0" applyNumberFormat="1" applyFill="1" applyBorder="1" applyAlignment="1">
      <alignment horizontal="center" vertical="center" wrapText="1"/>
    </xf>
    <xf numFmtId="0" fontId="0" fillId="5" borderId="119" xfId="0" applyFill="1" applyBorder="1" applyAlignment="1">
      <alignment horizontal="left" vertical="center"/>
    </xf>
    <xf numFmtId="0" fontId="0" fillId="4" borderId="39" xfId="0" applyFill="1" applyBorder="1" applyAlignment="1">
      <alignment horizontal="left" vertical="center"/>
    </xf>
    <xf numFmtId="0" fontId="2" fillId="4" borderId="114" xfId="0" applyFont="1" applyFill="1" applyBorder="1" applyAlignment="1">
      <alignment horizontal="center" vertical="center"/>
    </xf>
    <xf numFmtId="0" fontId="15" fillId="3" borderId="110" xfId="0" applyFont="1" applyFill="1" applyBorder="1" applyAlignment="1">
      <alignment horizontal="center" vertical="center"/>
    </xf>
    <xf numFmtId="0" fontId="15" fillId="6" borderId="110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0" fillId="0" borderId="90" xfId="0" applyFill="1" applyBorder="1" applyAlignment="1">
      <alignment horizontal="center" vertical="center"/>
    </xf>
    <xf numFmtId="0" fontId="0" fillId="0" borderId="90" xfId="0" applyFill="1" applyBorder="1" applyAlignment="1">
      <alignment vertical="center"/>
    </xf>
    <xf numFmtId="44" fontId="0" fillId="0" borderId="90" xfId="1" applyFont="1" applyFill="1" applyBorder="1" applyAlignment="1">
      <alignment horizontal="center" vertical="center"/>
    </xf>
    <xf numFmtId="14" fontId="0" fillId="4" borderId="110" xfId="1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" fillId="2" borderId="42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15" fillId="3" borderId="114" xfId="0" applyFont="1" applyFill="1" applyBorder="1" applyAlignment="1">
      <alignment horizontal="center" vertical="center"/>
    </xf>
    <xf numFmtId="0" fontId="2" fillId="5" borderId="55" xfId="0" applyFont="1" applyFill="1" applyBorder="1" applyAlignment="1">
      <alignment horizontal="center" vertical="center"/>
    </xf>
    <xf numFmtId="0" fontId="0" fillId="3" borderId="110" xfId="0" applyFont="1" applyFill="1" applyBorder="1" applyAlignment="1">
      <alignment horizontal="left" vertical="center"/>
    </xf>
    <xf numFmtId="0" fontId="0" fillId="3" borderId="114" xfId="0" applyFont="1" applyFill="1" applyBorder="1" applyAlignment="1">
      <alignment horizontal="center" vertical="center"/>
    </xf>
    <xf numFmtId="0" fontId="0" fillId="3" borderId="114" xfId="0" applyFont="1" applyFill="1" applyBorder="1" applyAlignment="1">
      <alignment horizontal="left" vertical="center"/>
    </xf>
    <xf numFmtId="0" fontId="0" fillId="3" borderId="28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5" borderId="114" xfId="0" applyFill="1" applyBorder="1" applyAlignment="1">
      <alignment horizontal="center" vertical="center"/>
    </xf>
    <xf numFmtId="0" fontId="0" fillId="5" borderId="114" xfId="0" applyFill="1" applyBorder="1" applyAlignment="1">
      <alignment vertical="center"/>
    </xf>
    <xf numFmtId="44" fontId="0" fillId="5" borderId="114" xfId="1" applyFont="1" applyFill="1" applyBorder="1" applyAlignment="1">
      <alignment horizontal="center" vertical="center"/>
    </xf>
    <xf numFmtId="0" fontId="0" fillId="5" borderId="114" xfId="0" applyFill="1" applyBorder="1" applyAlignment="1">
      <alignment horizontal="left" vertical="center"/>
    </xf>
    <xf numFmtId="0" fontId="0" fillId="7" borderId="59" xfId="0" applyFill="1" applyBorder="1" applyAlignment="1">
      <alignment horizontal="center" vertical="center"/>
    </xf>
    <xf numFmtId="0" fontId="0" fillId="0" borderId="119" xfId="0" applyBorder="1" applyAlignment="1">
      <alignment horizontal="center" vertical="center" wrapText="1"/>
    </xf>
    <xf numFmtId="0" fontId="0" fillId="3" borderId="0" xfId="0" applyFont="1" applyFill="1" applyAlignment="1">
      <alignment vertical="center"/>
    </xf>
    <xf numFmtId="0" fontId="0" fillId="13" borderId="7" xfId="0" applyFill="1" applyBorder="1" applyAlignment="1">
      <alignment horizontal="center" vertical="center"/>
    </xf>
    <xf numFmtId="49" fontId="0" fillId="13" borderId="7" xfId="1" applyNumberFormat="1" applyFont="1" applyFill="1" applyBorder="1" applyAlignment="1">
      <alignment horizontal="center" vertical="center"/>
    </xf>
    <xf numFmtId="14" fontId="0" fillId="0" borderId="28" xfId="0" applyNumberFormat="1" applyBorder="1" applyAlignment="1">
      <alignment horizontal="center" vertical="center"/>
    </xf>
    <xf numFmtId="14" fontId="0" fillId="0" borderId="114" xfId="0" applyNumberFormat="1" applyBorder="1" applyAlignment="1">
      <alignment horizontal="center" vertical="center"/>
    </xf>
    <xf numFmtId="0" fontId="0" fillId="0" borderId="114" xfId="0" applyBorder="1" applyAlignment="1">
      <alignment vertical="center"/>
    </xf>
    <xf numFmtId="0" fontId="0" fillId="0" borderId="114" xfId="0" applyBorder="1" applyAlignment="1">
      <alignment horizontal="left" vertical="center"/>
    </xf>
    <xf numFmtId="44" fontId="0" fillId="0" borderId="114" xfId="1" applyFont="1" applyBorder="1" applyAlignment="1">
      <alignment horizontal="center" vertical="center"/>
    </xf>
    <xf numFmtId="49" fontId="0" fillId="0" borderId="114" xfId="1" applyNumberFormat="1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" fillId="4" borderId="110" xfId="0" applyFont="1" applyFill="1" applyBorder="1" applyAlignment="1">
      <alignment horizontal="center" vertical="center"/>
    </xf>
    <xf numFmtId="14" fontId="0" fillId="5" borderId="114" xfId="1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15" fillId="5" borderId="110" xfId="0" applyFont="1" applyFill="1" applyBorder="1" applyAlignment="1">
      <alignment horizontal="center" vertical="center"/>
    </xf>
    <xf numFmtId="0" fontId="30" fillId="3" borderId="0" xfId="0" applyFont="1" applyFill="1" applyAlignment="1">
      <alignment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44" fontId="0" fillId="5" borderId="110" xfId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left" vertical="center"/>
    </xf>
    <xf numFmtId="44" fontId="6" fillId="4" borderId="7" xfId="1" applyFont="1" applyFill="1" applyBorder="1" applyAlignment="1">
      <alignment horizontal="center" vertical="center"/>
    </xf>
    <xf numFmtId="49" fontId="6" fillId="4" borderId="7" xfId="1" applyNumberFormat="1" applyFont="1" applyFill="1" applyBorder="1" applyAlignment="1">
      <alignment horizontal="center" vertical="center"/>
    </xf>
    <xf numFmtId="14" fontId="6" fillId="4" borderId="42" xfId="0" applyNumberFormat="1" applyFont="1" applyFill="1" applyBorder="1" applyAlignment="1">
      <alignment horizontal="center" vertical="center"/>
    </xf>
    <xf numFmtId="0" fontId="6" fillId="4" borderId="42" xfId="0" applyFont="1" applyFill="1" applyBorder="1" applyAlignment="1">
      <alignment horizontal="center" vertical="center"/>
    </xf>
    <xf numFmtId="0" fontId="6" fillId="4" borderId="42" xfId="0" applyFont="1" applyFill="1" applyBorder="1" applyAlignment="1">
      <alignment vertical="center"/>
    </xf>
    <xf numFmtId="0" fontId="6" fillId="4" borderId="42" xfId="0" applyFont="1" applyFill="1" applyBorder="1" applyAlignment="1">
      <alignment horizontal="left" vertical="center"/>
    </xf>
    <xf numFmtId="44" fontId="6" fillId="4" borderId="42" xfId="1" applyFont="1" applyFill="1" applyBorder="1" applyAlignment="1">
      <alignment horizontal="center" vertical="center"/>
    </xf>
    <xf numFmtId="49" fontId="6" fillId="4" borderId="42" xfId="1" applyNumberFormat="1" applyFont="1" applyFill="1" applyBorder="1" applyAlignment="1">
      <alignment horizontal="center" vertical="center"/>
    </xf>
    <xf numFmtId="0" fontId="0" fillId="13" borderId="8" xfId="0" applyFill="1" applyBorder="1" applyAlignment="1">
      <alignment horizontal="center" vertical="center"/>
    </xf>
    <xf numFmtId="49" fontId="0" fillId="13" borderId="8" xfId="1" applyNumberFormat="1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 wrapText="1"/>
    </xf>
    <xf numFmtId="44" fontId="0" fillId="5" borderId="114" xfId="1" applyFont="1" applyFill="1" applyBorder="1" applyAlignment="1">
      <alignment horizontal="center" vertical="center" wrapText="1"/>
    </xf>
    <xf numFmtId="0" fontId="15" fillId="4" borderId="0" xfId="0" applyFont="1" applyFill="1"/>
    <xf numFmtId="14" fontId="0" fillId="5" borderId="8" xfId="1" applyNumberFormat="1" applyFont="1" applyFill="1" applyBorder="1" applyAlignment="1">
      <alignment horizontal="center" vertical="center"/>
    </xf>
    <xf numFmtId="14" fontId="0" fillId="0" borderId="110" xfId="0" applyNumberFormat="1" applyBorder="1" applyAlignment="1">
      <alignment horizontal="center" vertical="center"/>
    </xf>
    <xf numFmtId="0" fontId="0" fillId="0" borderId="110" xfId="0" applyBorder="1" applyAlignment="1">
      <alignment vertical="center"/>
    </xf>
    <xf numFmtId="0" fontId="0" fillId="0" borderId="110" xfId="0" applyBorder="1" applyAlignment="1">
      <alignment horizontal="left" vertical="center"/>
    </xf>
    <xf numFmtId="44" fontId="0" fillId="0" borderId="110" xfId="1" applyFont="1" applyBorder="1" applyAlignment="1">
      <alignment horizontal="center" vertical="center"/>
    </xf>
    <xf numFmtId="49" fontId="0" fillId="0" borderId="110" xfId="1" applyNumberFormat="1" applyFont="1" applyBorder="1" applyAlignment="1">
      <alignment horizontal="center" vertical="center"/>
    </xf>
    <xf numFmtId="14" fontId="0" fillId="14" borderId="110" xfId="0" applyNumberFormat="1" applyFill="1" applyBorder="1" applyAlignment="1">
      <alignment horizontal="center" vertical="center"/>
    </xf>
    <xf numFmtId="0" fontId="0" fillId="14" borderId="110" xfId="0" applyFill="1" applyBorder="1" applyAlignment="1">
      <alignment horizontal="center" vertical="center"/>
    </xf>
    <xf numFmtId="0" fontId="0" fillId="14" borderId="110" xfId="0" applyFill="1" applyBorder="1" applyAlignment="1">
      <alignment vertical="center"/>
    </xf>
    <xf numFmtId="0" fontId="0" fillId="14" borderId="110" xfId="0" applyFill="1" applyBorder="1" applyAlignment="1">
      <alignment horizontal="left" vertical="center"/>
    </xf>
    <xf numFmtId="44" fontId="0" fillId="14" borderId="110" xfId="1" applyFont="1" applyFill="1" applyBorder="1" applyAlignment="1">
      <alignment horizontal="center" vertical="center"/>
    </xf>
    <xf numFmtId="0" fontId="15" fillId="14" borderId="110" xfId="0" applyFont="1" applyFill="1" applyBorder="1" applyAlignment="1">
      <alignment horizontal="left" vertical="center"/>
    </xf>
    <xf numFmtId="49" fontId="0" fillId="14" borderId="110" xfId="1" applyNumberFormat="1" applyFont="1" applyFill="1" applyBorder="1" applyAlignment="1">
      <alignment horizontal="center" vertical="center"/>
    </xf>
    <xf numFmtId="44" fontId="0" fillId="4" borderId="7" xfId="0" applyNumberFormat="1" applyFill="1" applyBorder="1" applyAlignment="1">
      <alignment horizontal="center" vertical="center" wrapText="1"/>
    </xf>
    <xf numFmtId="0" fontId="0" fillId="4" borderId="118" xfId="0" applyFill="1" applyBorder="1" applyAlignment="1">
      <alignment horizontal="left" vertical="center"/>
    </xf>
    <xf numFmtId="0" fontId="0" fillId="4" borderId="119" xfId="0" applyFill="1" applyBorder="1" applyAlignment="1">
      <alignment vertical="center" wrapText="1"/>
    </xf>
    <xf numFmtId="0" fontId="0" fillId="4" borderId="119" xfId="0" applyFill="1" applyBorder="1" applyAlignment="1">
      <alignment horizontal="center" vertical="center"/>
    </xf>
    <xf numFmtId="0" fontId="0" fillId="4" borderId="119" xfId="0" applyFill="1" applyBorder="1" applyAlignment="1">
      <alignment horizontal="left" vertical="center" wrapText="1"/>
    </xf>
    <xf numFmtId="44" fontId="0" fillId="4" borderId="119" xfId="1" applyFont="1" applyFill="1" applyBorder="1" applyAlignment="1">
      <alignment horizontal="center" vertical="center"/>
    </xf>
    <xf numFmtId="14" fontId="0" fillId="4" borderId="119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110" xfId="0" applyFill="1" applyBorder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0" borderId="90" xfId="0" applyFill="1" applyBorder="1" applyAlignment="1">
      <alignment horizontal="left" vertical="center"/>
    </xf>
    <xf numFmtId="0" fontId="0" fillId="0" borderId="123" xfId="0" applyBorder="1" applyAlignment="1">
      <alignment horizontal="center" vertical="center"/>
    </xf>
    <xf numFmtId="0" fontId="0" fillId="3" borderId="119" xfId="0" applyFont="1" applyFill="1" applyBorder="1" applyAlignment="1">
      <alignment horizontal="left" vertical="center"/>
    </xf>
    <xf numFmtId="0" fontId="0" fillId="3" borderId="119" xfId="0" applyFill="1" applyBorder="1" applyAlignment="1">
      <alignment horizontal="left" vertical="center"/>
    </xf>
    <xf numFmtId="0" fontId="6" fillId="3" borderId="119" xfId="0" applyFont="1" applyFill="1" applyBorder="1" applyAlignment="1">
      <alignment horizontal="left" vertical="center"/>
    </xf>
    <xf numFmtId="0" fontId="0" fillId="0" borderId="119" xfId="0" applyBorder="1" applyAlignment="1">
      <alignment horizontal="left" vertical="center"/>
    </xf>
    <xf numFmtId="0" fontId="0" fillId="0" borderId="94" xfId="0" applyBorder="1" applyAlignment="1">
      <alignment horizontal="left" vertical="center"/>
    </xf>
    <xf numFmtId="0" fontId="0" fillId="5" borderId="42" xfId="0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/>
    </xf>
    <xf numFmtId="0" fontId="2" fillId="3" borderId="114" xfId="0" applyFont="1" applyFill="1" applyBorder="1" applyAlignment="1">
      <alignment horizontal="center" vertical="center"/>
    </xf>
    <xf numFmtId="0" fontId="0" fillId="0" borderId="123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5" fillId="5" borderId="0" xfId="0" applyFont="1" applyFill="1" applyAlignment="1">
      <alignment vertical="center"/>
    </xf>
    <xf numFmtId="0" fontId="0" fillId="13" borderId="110" xfId="0" applyFill="1" applyBorder="1" applyAlignment="1">
      <alignment vertical="center"/>
    </xf>
    <xf numFmtId="0" fontId="0" fillId="13" borderId="110" xfId="0" applyFill="1" applyBorder="1" applyAlignment="1">
      <alignment horizontal="left" vertical="center"/>
    </xf>
    <xf numFmtId="44" fontId="0" fillId="13" borderId="110" xfId="1" applyFont="1" applyFill="1" applyBorder="1" applyAlignment="1">
      <alignment horizontal="center" vertical="center"/>
    </xf>
    <xf numFmtId="14" fontId="0" fillId="13" borderId="110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4" borderId="110" xfId="0" applyFill="1" applyBorder="1" applyAlignment="1">
      <alignment horizontal="center" vertical="center" wrapText="1"/>
    </xf>
    <xf numFmtId="14" fontId="0" fillId="13" borderId="114" xfId="0" applyNumberFormat="1" applyFill="1" applyBorder="1" applyAlignment="1">
      <alignment horizontal="center" vertical="center"/>
    </xf>
    <xf numFmtId="0" fontId="0" fillId="13" borderId="114" xfId="0" applyFill="1" applyBorder="1" applyAlignment="1">
      <alignment vertical="center"/>
    </xf>
    <xf numFmtId="0" fontId="0" fillId="13" borderId="114" xfId="0" applyFill="1" applyBorder="1" applyAlignment="1">
      <alignment horizontal="left" vertical="center"/>
    </xf>
    <xf numFmtId="44" fontId="0" fillId="13" borderId="114" xfId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5" fillId="5" borderId="28" xfId="0" applyFont="1" applyFill="1" applyBorder="1"/>
    <xf numFmtId="44" fontId="0" fillId="3" borderId="39" xfId="0" applyNumberFormat="1" applyFill="1" applyBorder="1" applyAlignment="1">
      <alignment horizontal="center" vertical="center" wrapText="1"/>
    </xf>
    <xf numFmtId="44" fontId="0" fillId="3" borderId="7" xfId="0" applyNumberFormat="1" applyFill="1" applyBorder="1" applyAlignment="1">
      <alignment horizontal="center" vertical="center" wrapText="1"/>
    </xf>
    <xf numFmtId="44" fontId="0" fillId="3" borderId="28" xfId="0" applyNumberFormat="1" applyFill="1" applyBorder="1" applyAlignment="1">
      <alignment horizontal="center" vertical="center" wrapText="1"/>
    </xf>
    <xf numFmtId="0" fontId="0" fillId="0" borderId="14" xfId="0" applyFill="1" applyBorder="1" applyAlignment="1">
      <alignment vertical="center" wrapText="1"/>
    </xf>
    <xf numFmtId="0" fontId="0" fillId="13" borderId="7" xfId="0" applyFill="1" applyBorder="1" applyAlignment="1">
      <alignment vertical="center"/>
    </xf>
    <xf numFmtId="0" fontId="0" fillId="13" borderId="7" xfId="0" applyFill="1" applyBorder="1" applyAlignment="1">
      <alignment horizontal="left" vertical="center"/>
    </xf>
    <xf numFmtId="44" fontId="0" fillId="13" borderId="7" xfId="1" applyFont="1" applyFill="1" applyBorder="1" applyAlignment="1">
      <alignment horizontal="center" vertical="center"/>
    </xf>
    <xf numFmtId="0" fontId="3" fillId="4" borderId="110" xfId="0" applyFont="1" applyFill="1" applyBorder="1"/>
    <xf numFmtId="14" fontId="0" fillId="0" borderId="119" xfId="0" applyNumberFormat="1" applyBorder="1" applyAlignment="1">
      <alignment horizontal="center" vertical="center"/>
    </xf>
    <xf numFmtId="0" fontId="0" fillId="0" borderId="120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14" fontId="14" fillId="0" borderId="110" xfId="0" applyNumberFormat="1" applyFont="1" applyBorder="1" applyAlignment="1">
      <alignment horizontal="center" vertical="center"/>
    </xf>
    <xf numFmtId="0" fontId="14" fillId="0" borderId="110" xfId="0" applyFont="1" applyBorder="1" applyAlignment="1">
      <alignment horizontal="center" vertical="center"/>
    </xf>
    <xf numFmtId="0" fontId="14" fillId="0" borderId="110" xfId="0" applyFont="1" applyBorder="1" applyAlignment="1">
      <alignment vertical="center"/>
    </xf>
    <xf numFmtId="0" fontId="14" fillId="0" borderId="110" xfId="0" applyFont="1" applyBorder="1" applyAlignment="1">
      <alignment horizontal="left" vertical="center"/>
    </xf>
    <xf numFmtId="44" fontId="14" fillId="0" borderId="110" xfId="1" applyFont="1" applyBorder="1" applyAlignment="1">
      <alignment horizontal="center" vertical="center"/>
    </xf>
    <xf numFmtId="49" fontId="0" fillId="5" borderId="110" xfId="1" applyNumberFormat="1" applyFont="1" applyFill="1" applyBorder="1" applyAlignment="1">
      <alignment horizontal="center" vertical="center"/>
    </xf>
    <xf numFmtId="0" fontId="15" fillId="13" borderId="55" xfId="0" applyFont="1" applyFill="1" applyBorder="1" applyAlignment="1">
      <alignment horizontal="center" vertical="center"/>
    </xf>
    <xf numFmtId="49" fontId="0" fillId="6" borderId="39" xfId="1" applyNumberFormat="1" applyFont="1" applyFill="1" applyBorder="1" applyAlignment="1">
      <alignment horizontal="center" vertical="center"/>
    </xf>
    <xf numFmtId="44" fontId="0" fillId="4" borderId="114" xfId="1" applyFont="1" applyFill="1" applyBorder="1" applyAlignment="1">
      <alignment horizontal="center" vertical="center" wrapText="1"/>
    </xf>
    <xf numFmtId="0" fontId="15" fillId="4" borderId="114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0" borderId="39" xfId="0" applyNumberForma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3" fillId="3" borderId="110" xfId="0" applyFont="1" applyFill="1" applyBorder="1" applyAlignment="1">
      <alignment horizontal="center" vertical="center" wrapText="1"/>
    </xf>
    <xf numFmtId="0" fontId="5" fillId="3" borderId="110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vertical="center"/>
    </xf>
    <xf numFmtId="164" fontId="2" fillId="0" borderId="46" xfId="0" applyNumberFormat="1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15" fillId="5" borderId="42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5" borderId="39" xfId="0" applyNumberFormat="1" applyFill="1" applyBorder="1" applyAlignment="1">
      <alignment horizontal="center" vertical="center"/>
    </xf>
    <xf numFmtId="0" fontId="0" fillId="5" borderId="39" xfId="0" applyFill="1" applyBorder="1" applyAlignment="1">
      <alignment horizontal="center" vertical="center"/>
    </xf>
    <xf numFmtId="0" fontId="0" fillId="5" borderId="39" xfId="0" applyFill="1" applyBorder="1" applyAlignment="1">
      <alignment vertical="center"/>
    </xf>
    <xf numFmtId="0" fontId="0" fillId="5" borderId="39" xfId="0" applyFill="1" applyBorder="1" applyAlignment="1">
      <alignment horizontal="left" vertical="center"/>
    </xf>
    <xf numFmtId="44" fontId="0" fillId="5" borderId="39" xfId="1" applyFont="1" applyFill="1" applyBorder="1" applyAlignment="1">
      <alignment horizontal="center" vertical="center"/>
    </xf>
    <xf numFmtId="0" fontId="15" fillId="6" borderId="110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5" fillId="5" borderId="85" xfId="0" applyFont="1" applyFill="1" applyBorder="1"/>
    <xf numFmtId="49" fontId="0" fillId="5" borderId="114" xfId="1" applyNumberFormat="1" applyFont="1" applyFill="1" applyBorder="1" applyAlignment="1">
      <alignment horizontal="center" vertical="center"/>
    </xf>
    <xf numFmtId="0" fontId="2" fillId="3" borderId="110" xfId="0" applyFont="1" applyFill="1" applyBorder="1" applyAlignment="1">
      <alignment horizontal="center" vertical="center"/>
    </xf>
    <xf numFmtId="0" fontId="5" fillId="4" borderId="114" xfId="0" applyFont="1" applyFill="1" applyBorder="1"/>
    <xf numFmtId="0" fontId="30" fillId="6" borderId="0" xfId="0" applyFont="1" applyFill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" fillId="5" borderId="110" xfId="0" applyFont="1" applyFill="1" applyBorder="1" applyAlignment="1">
      <alignment horizontal="center" vertical="center"/>
    </xf>
    <xf numFmtId="14" fontId="0" fillId="5" borderId="39" xfId="0" applyNumberFormat="1" applyFont="1" applyFill="1" applyBorder="1" applyAlignment="1">
      <alignment horizontal="center" vertical="center"/>
    </xf>
    <xf numFmtId="14" fontId="0" fillId="5" borderId="39" xfId="1" applyNumberFormat="1" applyFont="1" applyFill="1" applyBorder="1" applyAlignment="1">
      <alignment horizontal="center" vertical="center"/>
    </xf>
    <xf numFmtId="44" fontId="0" fillId="5" borderId="39" xfId="1" applyFont="1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 wrapText="1"/>
    </xf>
    <xf numFmtId="0" fontId="0" fillId="6" borderId="110" xfId="0" applyFill="1" applyBorder="1" applyAlignment="1">
      <alignment horizontal="center" vertical="center" wrapText="1"/>
    </xf>
    <xf numFmtId="0" fontId="0" fillId="6" borderId="114" xfId="0" applyFill="1" applyBorder="1" applyAlignment="1">
      <alignment horizontal="center" vertical="center" wrapText="1"/>
    </xf>
    <xf numFmtId="14" fontId="0" fillId="6" borderId="110" xfId="1" applyNumberFormat="1" applyFont="1" applyFill="1" applyBorder="1" applyAlignment="1">
      <alignment horizontal="center" vertical="center"/>
    </xf>
    <xf numFmtId="0" fontId="0" fillId="0" borderId="110" xfId="0" applyFill="1" applyBorder="1" applyAlignment="1">
      <alignment vertical="center"/>
    </xf>
    <xf numFmtId="0" fontId="15" fillId="5" borderId="42" xfId="0" applyFont="1" applyFill="1" applyBorder="1" applyAlignment="1">
      <alignment horizontal="center" vertical="center"/>
    </xf>
    <xf numFmtId="0" fontId="0" fillId="0" borderId="126" xfId="0" applyFill="1" applyBorder="1" applyAlignment="1">
      <alignment horizontal="center" vertical="center"/>
    </xf>
    <xf numFmtId="164" fontId="0" fillId="0" borderId="110" xfId="0" applyNumberFormat="1" applyBorder="1" applyAlignment="1">
      <alignment horizontal="center" vertical="center" wrapText="1"/>
    </xf>
    <xf numFmtId="0" fontId="30" fillId="5" borderId="0" xfId="0" applyFont="1" applyFill="1" applyAlignment="1">
      <alignment horizontal="center"/>
    </xf>
    <xf numFmtId="0" fontId="0" fillId="5" borderId="110" xfId="0" applyFill="1" applyBorder="1"/>
    <xf numFmtId="0" fontId="2" fillId="2" borderId="42" xfId="0" applyFont="1" applyFill="1" applyBorder="1" applyAlignment="1">
      <alignment horizontal="center" vertical="center" wrapText="1"/>
    </xf>
    <xf numFmtId="14" fontId="0" fillId="7" borderId="110" xfId="0" applyNumberFormat="1" applyFill="1" applyBorder="1" applyAlignment="1">
      <alignment horizontal="center" vertical="center"/>
    </xf>
    <xf numFmtId="0" fontId="15" fillId="13" borderId="110" xfId="0" applyFont="1" applyFill="1" applyBorder="1" applyAlignment="1">
      <alignment horizontal="center" vertical="center"/>
    </xf>
    <xf numFmtId="14" fontId="0" fillId="14" borderId="114" xfId="0" applyNumberFormat="1" applyFill="1" applyBorder="1" applyAlignment="1">
      <alignment horizontal="center" vertical="center"/>
    </xf>
    <xf numFmtId="0" fontId="0" fillId="14" borderId="114" xfId="0" applyFill="1" applyBorder="1" applyAlignment="1">
      <alignment horizontal="center" vertical="center"/>
    </xf>
    <xf numFmtId="0" fontId="0" fillId="14" borderId="114" xfId="0" applyFill="1" applyBorder="1" applyAlignment="1">
      <alignment vertical="center"/>
    </xf>
    <xf numFmtId="0" fontId="0" fillId="14" borderId="114" xfId="0" applyFill="1" applyBorder="1" applyAlignment="1">
      <alignment horizontal="left" vertical="center"/>
    </xf>
    <xf numFmtId="44" fontId="0" fillId="14" borderId="114" xfId="1" applyFont="1" applyFill="1" applyBorder="1" applyAlignment="1">
      <alignment horizontal="center" vertical="center"/>
    </xf>
    <xf numFmtId="49" fontId="0" fillId="14" borderId="114" xfId="1" applyNumberFormat="1" applyFont="1" applyFill="1" applyBorder="1" applyAlignment="1">
      <alignment horizontal="center" vertical="center"/>
    </xf>
    <xf numFmtId="0" fontId="15" fillId="14" borderId="114" xfId="0" applyFont="1" applyFill="1" applyBorder="1" applyAlignment="1">
      <alignment horizontal="left" vertical="center"/>
    </xf>
    <xf numFmtId="0" fontId="15" fillId="14" borderId="110" xfId="0" applyFont="1" applyFill="1" applyBorder="1" applyAlignment="1">
      <alignment horizontal="center" vertical="center"/>
    </xf>
    <xf numFmtId="0" fontId="15" fillId="14" borderId="114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vertical="center"/>
    </xf>
    <xf numFmtId="0" fontId="3" fillId="3" borderId="28" xfId="0" applyFont="1" applyFill="1" applyBorder="1" applyAlignment="1">
      <alignment vertical="center"/>
    </xf>
    <xf numFmtId="0" fontId="0" fillId="0" borderId="93" xfId="0" applyFill="1" applyBorder="1" applyAlignment="1">
      <alignment vertical="center" wrapText="1"/>
    </xf>
    <xf numFmtId="14" fontId="0" fillId="3" borderId="39" xfId="0" applyNumberFormat="1" applyFont="1" applyFill="1" applyBorder="1" applyAlignment="1">
      <alignment horizontal="center" vertical="center"/>
    </xf>
    <xf numFmtId="44" fontId="0" fillId="3" borderId="39" xfId="1" applyFont="1" applyFill="1" applyBorder="1" applyAlignment="1">
      <alignment horizontal="center" vertical="center" wrapText="1"/>
    </xf>
    <xf numFmtId="0" fontId="15" fillId="5" borderId="114" xfId="0" applyFont="1" applyFill="1" applyBorder="1" applyAlignment="1">
      <alignment horizontal="center" vertical="center"/>
    </xf>
    <xf numFmtId="0" fontId="15" fillId="5" borderId="110" xfId="0" applyFont="1" applyFill="1" applyBorder="1" applyAlignment="1">
      <alignment horizontal="center" vertical="center" wrapText="1"/>
    </xf>
    <xf numFmtId="0" fontId="15" fillId="5" borderId="114" xfId="0" applyFont="1" applyFill="1" applyBorder="1" applyAlignment="1">
      <alignment horizontal="center" vertical="center" wrapText="1"/>
    </xf>
    <xf numFmtId="0" fontId="3" fillId="3" borderId="110" xfId="0" applyFont="1" applyFill="1" applyBorder="1" applyAlignment="1">
      <alignment vertical="center"/>
    </xf>
    <xf numFmtId="0" fontId="2" fillId="0" borderId="119" xfId="0" applyFont="1" applyFill="1" applyBorder="1" applyAlignment="1">
      <alignment horizontal="center" vertical="center" wrapText="1"/>
    </xf>
    <xf numFmtId="165" fontId="6" fillId="0" borderId="119" xfId="1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5" fillId="3" borderId="85" xfId="0" applyFont="1" applyFill="1" applyBorder="1" applyAlignment="1">
      <alignment vertical="center"/>
    </xf>
    <xf numFmtId="0" fontId="15" fillId="4" borderId="8" xfId="0" applyFont="1" applyFill="1" applyBorder="1" applyAlignment="1">
      <alignment horizontal="left" vertical="center"/>
    </xf>
    <xf numFmtId="14" fontId="0" fillId="15" borderId="114" xfId="0" applyNumberFormat="1" applyFill="1" applyBorder="1" applyAlignment="1">
      <alignment horizontal="center" vertical="center"/>
    </xf>
    <xf numFmtId="0" fontId="0" fillId="15" borderId="114" xfId="0" applyFill="1" applyBorder="1" applyAlignment="1">
      <alignment horizontal="center" vertical="center"/>
    </xf>
    <xf numFmtId="0" fontId="0" fillId="15" borderId="114" xfId="0" applyFill="1" applyBorder="1" applyAlignment="1">
      <alignment vertical="center"/>
    </xf>
    <xf numFmtId="0" fontId="0" fillId="15" borderId="114" xfId="0" applyFill="1" applyBorder="1" applyAlignment="1">
      <alignment horizontal="left" vertical="center"/>
    </xf>
    <xf numFmtId="44" fontId="0" fillId="15" borderId="114" xfId="1" applyFont="1" applyFill="1" applyBorder="1" applyAlignment="1">
      <alignment horizontal="center" vertical="center"/>
    </xf>
    <xf numFmtId="49" fontId="0" fillId="15" borderId="114" xfId="1" applyNumberFormat="1" applyFont="1" applyFill="1" applyBorder="1" applyAlignment="1">
      <alignment horizontal="center" vertical="center"/>
    </xf>
    <xf numFmtId="0" fontId="15" fillId="15" borderId="114" xfId="0" applyFont="1" applyFill="1" applyBorder="1" applyAlignment="1">
      <alignment horizontal="left" vertical="center"/>
    </xf>
    <xf numFmtId="0" fontId="14" fillId="0" borderId="119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2" fillId="9" borderId="128" xfId="0" applyFont="1" applyFill="1" applyBorder="1"/>
    <xf numFmtId="0" fontId="2" fillId="9" borderId="129" xfId="0" applyFont="1" applyFill="1" applyBorder="1" applyAlignment="1">
      <alignment horizontal="left"/>
    </xf>
    <xf numFmtId="1" fontId="0" fillId="0" borderId="0" xfId="0" applyNumberFormat="1" applyAlignment="1">
      <alignment vertical="center"/>
    </xf>
    <xf numFmtId="1" fontId="2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" fontId="0" fillId="0" borderId="117" xfId="0" applyNumberFormat="1" applyBorder="1" applyAlignment="1">
      <alignment horizontal="center" vertical="center"/>
    </xf>
    <xf numFmtId="1" fontId="0" fillId="0" borderId="116" xfId="0" applyNumberFormat="1" applyBorder="1" applyAlignment="1">
      <alignment horizontal="center" vertical="center"/>
    </xf>
    <xf numFmtId="1" fontId="0" fillId="0" borderId="0" xfId="0" applyNumberFormat="1"/>
    <xf numFmtId="1" fontId="2" fillId="9" borderId="129" xfId="0" applyNumberFormat="1" applyFont="1" applyFill="1" applyBorder="1"/>
    <xf numFmtId="1" fontId="0" fillId="0" borderId="0" xfId="0" applyNumberFormat="1" applyAlignment="1">
      <alignment wrapText="1"/>
    </xf>
    <xf numFmtId="1" fontId="2" fillId="9" borderId="128" xfId="0" applyNumberFormat="1" applyFont="1" applyFill="1" applyBorder="1" applyAlignment="1">
      <alignment wrapText="1"/>
    </xf>
    <xf numFmtId="0" fontId="0" fillId="0" borderId="5" xfId="0" applyFill="1" applyBorder="1" applyAlignment="1">
      <alignment vertical="center" wrapText="1"/>
    </xf>
    <xf numFmtId="0" fontId="0" fillId="7" borderId="0" xfId="0" applyFont="1" applyFill="1" applyAlignment="1">
      <alignment vertical="center"/>
    </xf>
    <xf numFmtId="0" fontId="30" fillId="4" borderId="110" xfId="0" applyFont="1" applyFill="1" applyBorder="1"/>
    <xf numFmtId="0" fontId="6" fillId="4" borderId="110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0" xfId="0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30" fillId="3" borderId="0" xfId="0" applyFont="1" applyFill="1" applyBorder="1" applyAlignment="1">
      <alignment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0" borderId="119" xfId="0" applyBorder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44" fontId="1" fillId="0" borderId="119" xfId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2" fillId="2" borderId="4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55" xfId="0" applyFill="1" applyBorder="1" applyAlignment="1">
      <alignment vertical="center"/>
    </xf>
    <xf numFmtId="44" fontId="0" fillId="0" borderId="119" xfId="1" applyFont="1" applyBorder="1" applyAlignment="1">
      <alignment vertical="center"/>
    </xf>
    <xf numFmtId="0" fontId="0" fillId="3" borderId="0" xfId="0" applyFill="1" applyBorder="1"/>
    <xf numFmtId="14" fontId="0" fillId="3" borderId="0" xfId="0" applyNumberFormat="1" applyFill="1" applyBorder="1" applyAlignment="1">
      <alignment horizontal="center"/>
    </xf>
    <xf numFmtId="0" fontId="30" fillId="3" borderId="0" xfId="0" applyFont="1" applyFill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7" borderId="118" xfId="0" applyFill="1" applyBorder="1" applyAlignment="1">
      <alignment horizontal="left" vertical="center"/>
    </xf>
    <xf numFmtId="0" fontId="0" fillId="7" borderId="119" xfId="0" applyFill="1" applyBorder="1" applyAlignment="1">
      <alignment vertical="center" wrapText="1"/>
    </xf>
    <xf numFmtId="0" fontId="0" fillId="7" borderId="119" xfId="0" applyFill="1" applyBorder="1" applyAlignment="1">
      <alignment horizontal="center" vertical="center"/>
    </xf>
    <xf numFmtId="0" fontId="0" fillId="7" borderId="119" xfId="0" applyFill="1" applyBorder="1" applyAlignment="1">
      <alignment horizontal="left" vertical="center" wrapText="1"/>
    </xf>
    <xf numFmtId="0" fontId="0" fillId="7" borderId="119" xfId="0" applyFill="1" applyBorder="1" applyAlignment="1">
      <alignment horizontal="left" vertical="center"/>
    </xf>
    <xf numFmtId="44" fontId="0" fillId="7" borderId="119" xfId="1" applyFont="1" applyFill="1" applyBorder="1" applyAlignment="1">
      <alignment horizontal="center" vertical="center"/>
    </xf>
    <xf numFmtId="14" fontId="0" fillId="7" borderId="119" xfId="0" applyNumberFormat="1" applyFill="1" applyBorder="1" applyAlignment="1">
      <alignment horizontal="center" vertical="center"/>
    </xf>
    <xf numFmtId="0" fontId="33" fillId="3" borderId="0" xfId="0" applyFont="1" applyFill="1"/>
    <xf numFmtId="14" fontId="6" fillId="7" borderId="7" xfId="0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14" fillId="4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14" fontId="0" fillId="3" borderId="34" xfId="0" applyNumberFormat="1" applyFill="1" applyBorder="1" applyAlignment="1">
      <alignment horizontal="center" vertical="center"/>
    </xf>
    <xf numFmtId="14" fontId="6" fillId="3" borderId="0" xfId="0" applyNumberFormat="1" applyFont="1" applyFill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7" borderId="0" xfId="0" applyFill="1" applyBorder="1" applyAlignment="1">
      <alignment horizontal="center"/>
    </xf>
    <xf numFmtId="44" fontId="1" fillId="3" borderId="114" xfId="1" applyFont="1" applyFill="1" applyBorder="1" applyAlignment="1">
      <alignment horizontal="center" vertical="center"/>
    </xf>
    <xf numFmtId="14" fontId="0" fillId="3" borderId="0" xfId="0" applyNumberFormat="1" applyFill="1" applyBorder="1" applyAlignment="1">
      <alignment horizontal="center" vertical="center"/>
    </xf>
    <xf numFmtId="14" fontId="6" fillId="3" borderId="110" xfId="0" applyNumberFormat="1" applyFont="1" applyFill="1" applyBorder="1" applyAlignment="1">
      <alignment horizontal="center" vertical="center"/>
    </xf>
    <xf numFmtId="14" fontId="6" fillId="3" borderId="114" xfId="0" applyNumberFormat="1" applyFont="1" applyFill="1" applyBorder="1" applyAlignment="1">
      <alignment horizontal="center" vertical="center"/>
    </xf>
    <xf numFmtId="14" fontId="6" fillId="3" borderId="8" xfId="0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15" borderId="7" xfId="0" applyNumberFormat="1" applyFill="1" applyBorder="1" applyAlignment="1">
      <alignment horizontal="center" vertical="center"/>
    </xf>
    <xf numFmtId="0" fontId="0" fillId="15" borderId="7" xfId="0" applyFill="1" applyBorder="1" applyAlignment="1">
      <alignment horizontal="center" vertical="center"/>
    </xf>
    <xf numFmtId="0" fontId="0" fillId="15" borderId="7" xfId="0" applyFill="1" applyBorder="1" applyAlignment="1">
      <alignment vertical="center"/>
    </xf>
    <xf numFmtId="0" fontId="0" fillId="15" borderId="7" xfId="0" applyFill="1" applyBorder="1" applyAlignment="1">
      <alignment horizontal="left" vertical="center"/>
    </xf>
    <xf numFmtId="44" fontId="0" fillId="15" borderId="7" xfId="1" applyFont="1" applyFill="1" applyBorder="1" applyAlignment="1">
      <alignment horizontal="center" vertical="center"/>
    </xf>
    <xf numFmtId="49" fontId="0" fillId="15" borderId="7" xfId="1" applyNumberFormat="1" applyFont="1" applyFill="1" applyBorder="1" applyAlignment="1">
      <alignment horizontal="center" vertical="center"/>
    </xf>
    <xf numFmtId="0" fontId="15" fillId="15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4" borderId="28" xfId="0" applyNumberFormat="1" applyFill="1" applyBorder="1" applyAlignment="1">
      <alignment horizontal="left" vertical="center"/>
    </xf>
    <xf numFmtId="14" fontId="0" fillId="4" borderId="110" xfId="0" applyNumberFormat="1" applyFill="1" applyBorder="1" applyAlignment="1">
      <alignment horizontal="left" vertical="center"/>
    </xf>
    <xf numFmtId="14" fontId="0" fillId="4" borderId="114" xfId="0" applyNumberFormat="1" applyFill="1" applyBorder="1" applyAlignment="1">
      <alignment horizontal="left" vertical="center"/>
    </xf>
    <xf numFmtId="0" fontId="0" fillId="6" borderId="28" xfId="0" applyFill="1" applyBorder="1" applyAlignment="1">
      <alignment horizontal="left" vertical="center" wrapText="1"/>
    </xf>
    <xf numFmtId="14" fontId="6" fillId="4" borderId="110" xfId="0" applyNumberFormat="1" applyFont="1" applyFill="1" applyBorder="1" applyAlignment="1">
      <alignment horizontal="center" vertical="center"/>
    </xf>
    <xf numFmtId="0" fontId="6" fillId="4" borderId="110" xfId="0" applyFont="1" applyFill="1" applyBorder="1" applyAlignment="1">
      <alignment horizontal="center" vertical="center"/>
    </xf>
    <xf numFmtId="0" fontId="6" fillId="4" borderId="110" xfId="0" applyFont="1" applyFill="1" applyBorder="1" applyAlignment="1">
      <alignment vertical="center"/>
    </xf>
    <xf numFmtId="44" fontId="6" fillId="4" borderId="110" xfId="1" applyFont="1" applyFill="1" applyBorder="1" applyAlignment="1">
      <alignment horizontal="center" vertical="center"/>
    </xf>
    <xf numFmtId="0" fontId="19" fillId="4" borderId="110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0" borderId="110" xfId="0" applyBorder="1" applyAlignment="1">
      <alignment horizontal="center" vertical="center"/>
    </xf>
    <xf numFmtId="0" fontId="0" fillId="3" borderId="119" xfId="0" applyFont="1" applyFill="1" applyBorder="1" applyAlignment="1">
      <alignment vertical="center" wrapText="1"/>
    </xf>
    <xf numFmtId="0" fontId="6" fillId="7" borderId="28" xfId="0" applyFont="1" applyFill="1" applyBorder="1" applyAlignment="1">
      <alignment horizontal="center" vertical="center"/>
    </xf>
    <xf numFmtId="14" fontId="0" fillId="3" borderId="127" xfId="0" applyNumberFormat="1" applyFill="1" applyBorder="1" applyAlignment="1">
      <alignment horizontal="center" vertical="center"/>
    </xf>
    <xf numFmtId="0" fontId="0" fillId="3" borderId="127" xfId="0" applyFill="1" applyBorder="1" applyAlignment="1">
      <alignment horizontal="center" vertical="center"/>
    </xf>
    <xf numFmtId="0" fontId="0" fillId="3" borderId="127" xfId="0" applyFill="1" applyBorder="1" applyAlignment="1">
      <alignment vertical="center"/>
    </xf>
    <xf numFmtId="0" fontId="0" fillId="3" borderId="127" xfId="0" applyFill="1" applyBorder="1" applyAlignment="1">
      <alignment horizontal="left" vertical="center"/>
    </xf>
    <xf numFmtId="44" fontId="0" fillId="3" borderId="127" xfId="1" applyFont="1" applyFill="1" applyBorder="1" applyAlignment="1">
      <alignment horizontal="center" vertical="center"/>
    </xf>
    <xf numFmtId="49" fontId="0" fillId="3" borderId="127" xfId="1" applyNumberFormat="1" applyFont="1" applyFill="1" applyBorder="1" applyAlignment="1">
      <alignment horizontal="center" vertical="center"/>
    </xf>
    <xf numFmtId="14" fontId="0" fillId="3" borderId="127" xfId="1" applyNumberFormat="1" applyFont="1" applyFill="1" applyBorder="1" applyAlignment="1">
      <alignment horizontal="center" vertical="center"/>
    </xf>
    <xf numFmtId="44" fontId="0" fillId="3" borderId="127" xfId="1" applyFont="1" applyFill="1" applyBorder="1" applyAlignment="1">
      <alignment horizontal="center" vertical="center" wrapText="1"/>
    </xf>
    <xf numFmtId="0" fontId="0" fillId="7" borderId="127" xfId="0" applyFill="1" applyBorder="1" applyAlignment="1">
      <alignment horizontal="center" vertical="center"/>
    </xf>
    <xf numFmtId="14" fontId="0" fillId="14" borderId="42" xfId="0" applyNumberFormat="1" applyFill="1" applyBorder="1" applyAlignment="1">
      <alignment horizontal="center" vertical="center"/>
    </xf>
    <xf numFmtId="0" fontId="0" fillId="14" borderId="42" xfId="0" applyFill="1" applyBorder="1" applyAlignment="1">
      <alignment vertical="center"/>
    </xf>
    <xf numFmtId="0" fontId="0" fillId="14" borderId="42" xfId="0" applyFill="1" applyBorder="1" applyAlignment="1">
      <alignment horizontal="left" vertical="center"/>
    </xf>
    <xf numFmtId="44" fontId="0" fillId="14" borderId="42" xfId="1" applyFont="1" applyFill="1" applyBorder="1" applyAlignment="1">
      <alignment horizontal="center" vertical="center"/>
    </xf>
    <xf numFmtId="49" fontId="0" fillId="14" borderId="42" xfId="1" applyNumberFormat="1" applyFont="1" applyFill="1" applyBorder="1" applyAlignment="1">
      <alignment horizontal="center" vertical="center"/>
    </xf>
    <xf numFmtId="0" fontId="29" fillId="14" borderId="42" xfId="0" applyFont="1" applyFill="1" applyBorder="1" applyAlignment="1">
      <alignment horizontal="left" vertical="center"/>
    </xf>
    <xf numFmtId="44" fontId="6" fillId="3" borderId="110" xfId="1" applyFont="1" applyFill="1" applyBorder="1" applyAlignment="1">
      <alignment horizontal="center" vertical="center"/>
    </xf>
    <xf numFmtId="44" fontId="6" fillId="3" borderId="114" xfId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44" fontId="0" fillId="3" borderId="69" xfId="1" applyFont="1" applyFill="1" applyBorder="1" applyAlignment="1">
      <alignment horizontal="center" vertical="center"/>
    </xf>
    <xf numFmtId="0" fontId="30" fillId="3" borderId="110" xfId="0" applyFont="1" applyFill="1" applyBorder="1"/>
    <xf numFmtId="0" fontId="30" fillId="3" borderId="7" xfId="0" applyFont="1" applyFill="1" applyBorder="1"/>
    <xf numFmtId="0" fontId="14" fillId="3" borderId="110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15" fillId="3" borderId="8" xfId="0" applyFont="1" applyFill="1" applyBorder="1" applyAlignment="1">
      <alignment horizontal="center" vertical="center"/>
    </xf>
    <xf numFmtId="49" fontId="0" fillId="3" borderId="59" xfId="1" applyNumberFormat="1" applyFont="1" applyFill="1" applyBorder="1" applyAlignment="1">
      <alignment horizontal="center" vertical="center"/>
    </xf>
    <xf numFmtId="14" fontId="0" fillId="3" borderId="59" xfId="1" applyNumberFormat="1" applyFont="1" applyFill="1" applyBorder="1" applyAlignment="1">
      <alignment horizontal="center" vertical="center"/>
    </xf>
    <xf numFmtId="0" fontId="6" fillId="7" borderId="42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left" vertical="center"/>
    </xf>
    <xf numFmtId="14" fontId="6" fillId="3" borderId="42" xfId="1" applyNumberFormat="1" applyFont="1" applyFill="1" applyBorder="1" applyAlignment="1">
      <alignment horizontal="center" vertical="center"/>
    </xf>
    <xf numFmtId="44" fontId="6" fillId="3" borderId="42" xfId="1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3" borderId="69" xfId="0" applyFont="1" applyFill="1" applyBorder="1" applyAlignment="1">
      <alignment horizontal="left"/>
    </xf>
    <xf numFmtId="14" fontId="0" fillId="15" borderId="110" xfId="0" applyNumberFormat="1" applyFill="1" applyBorder="1" applyAlignment="1">
      <alignment horizontal="center" vertical="center"/>
    </xf>
    <xf numFmtId="0" fontId="0" fillId="15" borderId="110" xfId="0" applyFill="1" applyBorder="1" applyAlignment="1">
      <alignment horizontal="center" vertical="center"/>
    </xf>
    <xf numFmtId="0" fontId="0" fillId="15" borderId="110" xfId="0" applyFill="1" applyBorder="1" applyAlignment="1">
      <alignment vertical="center"/>
    </xf>
    <xf numFmtId="0" fontId="0" fillId="15" borderId="110" xfId="0" applyFill="1" applyBorder="1" applyAlignment="1">
      <alignment horizontal="left" vertical="center"/>
    </xf>
    <xf numFmtId="44" fontId="0" fillId="15" borderId="110" xfId="1" applyFont="1" applyFill="1" applyBorder="1" applyAlignment="1">
      <alignment horizontal="center" vertical="center"/>
    </xf>
    <xf numFmtId="0" fontId="15" fillId="15" borderId="110" xfId="0" applyFont="1" applyFill="1" applyBorder="1" applyAlignment="1">
      <alignment horizontal="left" vertical="center"/>
    </xf>
    <xf numFmtId="0" fontId="0" fillId="4" borderId="0" xfId="0" applyFill="1" applyAlignment="1">
      <alignment horizontal="left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0" borderId="110" xfId="0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" fillId="2" borderId="42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0" fillId="6" borderId="39" xfId="0" applyFill="1" applyBorder="1" applyAlignment="1">
      <alignment horizontal="left" vertical="center"/>
    </xf>
    <xf numFmtId="0" fontId="0" fillId="4" borderId="42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14" fillId="3" borderId="28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6" fillId="3" borderId="110" xfId="0" applyFont="1" applyFill="1" applyBorder="1" applyAlignment="1">
      <alignment horizontal="left" vertical="center"/>
    </xf>
    <xf numFmtId="0" fontId="19" fillId="3" borderId="110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30" fillId="0" borderId="0" xfId="0" applyFont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14" fillId="3" borderId="114" xfId="0" applyFont="1" applyFill="1" applyBorder="1" applyAlignment="1">
      <alignment horizontal="left" vertical="center"/>
    </xf>
    <xf numFmtId="0" fontId="0" fillId="3" borderId="27" xfId="0" applyFill="1" applyBorder="1" applyAlignment="1">
      <alignment horizontal="left" vertical="center"/>
    </xf>
    <xf numFmtId="0" fontId="0" fillId="3" borderId="0" xfId="0" applyFill="1" applyBorder="1" applyAlignment="1">
      <alignment horizontal="center" vertical="center"/>
    </xf>
    <xf numFmtId="0" fontId="0" fillId="3" borderId="77" xfId="0" applyFill="1" applyBorder="1" applyAlignment="1">
      <alignment horizontal="center" vertical="center"/>
    </xf>
    <xf numFmtId="0" fontId="0" fillId="5" borderId="110" xfId="0" applyFill="1" applyBorder="1" applyAlignment="1">
      <alignment horizontal="left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6" borderId="110" xfId="0" applyFill="1" applyBorder="1" applyAlignment="1">
      <alignment horizontal="left" vertical="center" wrapText="1"/>
    </xf>
    <xf numFmtId="0" fontId="0" fillId="6" borderId="114" xfId="0" applyFill="1" applyBorder="1" applyAlignment="1">
      <alignment horizontal="left" vertical="center" wrapText="1"/>
    </xf>
    <xf numFmtId="0" fontId="0" fillId="3" borderId="0" xfId="0" applyFill="1" applyAlignment="1">
      <alignment horizontal="left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30" fillId="5" borderId="114" xfId="0" applyFont="1" applyFill="1" applyBorder="1"/>
    <xf numFmtId="49" fontId="6" fillId="3" borderId="42" xfId="1" applyNumberFormat="1" applyFont="1" applyFill="1" applyBorder="1" applyAlignment="1">
      <alignment horizontal="center" vertical="center"/>
    </xf>
    <xf numFmtId="0" fontId="30" fillId="4" borderId="0" xfId="0" applyFont="1" applyFill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9" fillId="0" borderId="119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4" borderId="110" xfId="0" applyFill="1" applyBorder="1" applyAlignment="1">
      <alignment horizontal="left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30" fillId="5" borderId="0" xfId="0" applyFont="1" applyFill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44" fontId="0" fillId="0" borderId="0" xfId="1" applyFont="1" applyFill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7" borderId="114" xfId="0" applyNumberFormat="1" applyFill="1" applyBorder="1" applyAlignment="1">
      <alignment horizontal="center" vertical="center"/>
    </xf>
    <xf numFmtId="0" fontId="30" fillId="4" borderId="28" xfId="0" applyFont="1" applyFill="1" applyBorder="1" applyAlignment="1">
      <alignment vertical="center"/>
    </xf>
    <xf numFmtId="44" fontId="0" fillId="4" borderId="28" xfId="1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3" borderId="114" xfId="0" applyNumberFormat="1" applyFill="1" applyBorder="1" applyAlignment="1">
      <alignment horizontal="center" vertical="center" wrapText="1"/>
    </xf>
    <xf numFmtId="14" fontId="0" fillId="3" borderId="7" xfId="0" applyNumberForma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30" fillId="3" borderId="69" xfId="0" applyFont="1" applyFill="1" applyBorder="1" applyAlignment="1">
      <alignment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49" fontId="0" fillId="3" borderId="61" xfId="1" applyNumberFormat="1" applyFont="1" applyFill="1" applyBorder="1" applyAlignment="1">
      <alignment horizontal="center" vertical="center"/>
    </xf>
    <xf numFmtId="14" fontId="0" fillId="3" borderId="61" xfId="1" applyNumberFormat="1" applyFont="1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5" borderId="28" xfId="0" applyFill="1" applyBorder="1" applyAlignment="1">
      <alignment vertical="center" wrapText="1"/>
    </xf>
    <xf numFmtId="0" fontId="6" fillId="3" borderId="8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0" borderId="110" xfId="0" applyBorder="1" applyAlignment="1">
      <alignment horizontal="center" vertical="center"/>
    </xf>
    <xf numFmtId="49" fontId="0" fillId="3" borderId="8" xfId="1" applyNumberFormat="1" applyFont="1" applyFill="1" applyBorder="1" applyAlignment="1">
      <alignment vertical="center"/>
    </xf>
    <xf numFmtId="0" fontId="30" fillId="3" borderId="28" xfId="0" applyFont="1" applyFill="1" applyBorder="1"/>
    <xf numFmtId="14" fontId="6" fillId="7" borderId="55" xfId="0" applyNumberFormat="1" applyFont="1" applyFill="1" applyBorder="1" applyAlignment="1">
      <alignment horizontal="center" vertical="center"/>
    </xf>
    <xf numFmtId="44" fontId="0" fillId="4" borderId="110" xfId="1" applyFont="1" applyFill="1" applyBorder="1" applyAlignment="1">
      <alignment horizontal="center" vertical="center" wrapText="1"/>
    </xf>
    <xf numFmtId="0" fontId="15" fillId="0" borderId="110" xfId="0" applyFont="1" applyFill="1" applyBorder="1" applyAlignment="1">
      <alignment horizontal="center" vertical="center"/>
    </xf>
    <xf numFmtId="14" fontId="6" fillId="5" borderId="42" xfId="0" applyNumberFormat="1" applyFont="1" applyFill="1" applyBorder="1" applyAlignment="1">
      <alignment horizontal="center" vertical="center"/>
    </xf>
    <xf numFmtId="0" fontId="6" fillId="5" borderId="42" xfId="0" applyFont="1" applyFill="1" applyBorder="1" applyAlignment="1">
      <alignment horizontal="left" vertical="center"/>
    </xf>
    <xf numFmtId="0" fontId="6" fillId="5" borderId="42" xfId="0" applyFont="1" applyFill="1" applyBorder="1" applyAlignment="1">
      <alignment horizontal="center" vertical="center"/>
    </xf>
    <xf numFmtId="0" fontId="6" fillId="5" borderId="42" xfId="0" applyFont="1" applyFill="1" applyBorder="1" applyAlignment="1">
      <alignment vertical="center"/>
    </xf>
    <xf numFmtId="44" fontId="6" fillId="5" borderId="42" xfId="1" applyFont="1" applyFill="1" applyBorder="1" applyAlignment="1">
      <alignment horizontal="center" vertical="center"/>
    </xf>
    <xf numFmtId="49" fontId="6" fillId="5" borderId="42" xfId="1" applyNumberFormat="1" applyFont="1" applyFill="1" applyBorder="1" applyAlignment="1">
      <alignment horizontal="center" vertical="center"/>
    </xf>
    <xf numFmtId="0" fontId="6" fillId="3" borderId="114" xfId="0" applyFont="1" applyFill="1" applyBorder="1" applyAlignment="1">
      <alignment horizontal="left" vertical="center"/>
    </xf>
    <xf numFmtId="0" fontId="6" fillId="3" borderId="114" xfId="0" applyFont="1" applyFill="1" applyBorder="1" applyAlignment="1">
      <alignment horizontal="center" vertical="center"/>
    </xf>
    <xf numFmtId="0" fontId="41" fillId="3" borderId="114" xfId="0" applyFont="1" applyFill="1" applyBorder="1"/>
    <xf numFmtId="49" fontId="6" fillId="3" borderId="114" xfId="1" applyNumberFormat="1" applyFont="1" applyFill="1" applyBorder="1" applyAlignment="1">
      <alignment horizontal="center" vertical="center"/>
    </xf>
    <xf numFmtId="14" fontId="6" fillId="3" borderId="114" xfId="1" applyNumberFormat="1" applyFont="1" applyFill="1" applyBorder="1" applyAlignment="1">
      <alignment horizontal="center" vertical="center"/>
    </xf>
    <xf numFmtId="0" fontId="39" fillId="3" borderId="110" xfId="0" applyFont="1" applyFill="1" applyBorder="1" applyAlignment="1">
      <alignment vertical="center" wrapText="1"/>
    </xf>
    <xf numFmtId="0" fontId="39" fillId="3" borderId="114" xfId="0" applyFont="1" applyFill="1" applyBorder="1" applyAlignment="1">
      <alignment vertical="center" wrapText="1"/>
    </xf>
    <xf numFmtId="0" fontId="0" fillId="0" borderId="110" xfId="0" applyBorder="1" applyAlignment="1">
      <alignment horizontal="center" vertical="center"/>
    </xf>
    <xf numFmtId="164" fontId="0" fillId="0" borderId="110" xfId="0" applyNumberFormat="1" applyBorder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0" borderId="5" xfId="0" applyFill="1" applyBorder="1" applyAlignment="1">
      <alignment horizontal="left" vertical="center"/>
    </xf>
    <xf numFmtId="0" fontId="34" fillId="3" borderId="114" xfId="0" applyFont="1" applyFill="1" applyBorder="1"/>
    <xf numFmtId="0" fontId="0" fillId="0" borderId="110" xfId="0" applyBorder="1" applyAlignment="1">
      <alignment horizontal="left" indent="1"/>
    </xf>
    <xf numFmtId="44" fontId="0" fillId="0" borderId="8" xfId="1" applyFont="1" applyBorder="1" applyAlignment="1">
      <alignment horizontal="center" vertical="center"/>
    </xf>
    <xf numFmtId="49" fontId="0" fillId="0" borderId="8" xfId="1" applyNumberFormat="1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8" fontId="0" fillId="6" borderId="110" xfId="1" applyNumberFormat="1" applyFont="1" applyFill="1" applyBorder="1" applyAlignment="1">
      <alignment vertical="center"/>
    </xf>
    <xf numFmtId="8" fontId="0" fillId="6" borderId="114" xfId="1" applyNumberFormat="1" applyFont="1" applyFill="1" applyBorder="1" applyAlignment="1">
      <alignment vertical="center"/>
    </xf>
    <xf numFmtId="0" fontId="30" fillId="3" borderId="110" xfId="0" applyFont="1" applyFill="1" applyBorder="1" applyAlignment="1">
      <alignment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6" fillId="6" borderId="110" xfId="0" applyNumberFormat="1" applyFont="1" applyFill="1" applyBorder="1" applyAlignment="1">
      <alignment horizontal="center" vertical="center"/>
    </xf>
    <xf numFmtId="0" fontId="6" fillId="6" borderId="110" xfId="0" applyFont="1" applyFill="1" applyBorder="1" applyAlignment="1">
      <alignment horizontal="left" vertical="center"/>
    </xf>
    <xf numFmtId="0" fontId="6" fillId="6" borderId="110" xfId="0" applyFont="1" applyFill="1" applyBorder="1" applyAlignment="1">
      <alignment horizontal="center" vertical="center"/>
    </xf>
    <xf numFmtId="0" fontId="6" fillId="6" borderId="110" xfId="0" applyFont="1" applyFill="1" applyBorder="1" applyAlignment="1">
      <alignment vertical="center"/>
    </xf>
    <xf numFmtId="44" fontId="6" fillId="6" borderId="110" xfId="1" applyFont="1" applyFill="1" applyBorder="1" applyAlignment="1">
      <alignment horizontal="center" vertical="center"/>
    </xf>
    <xf numFmtId="49" fontId="6" fillId="6" borderId="110" xfId="1" applyNumberFormat="1" applyFont="1" applyFill="1" applyBorder="1" applyAlignment="1">
      <alignment horizontal="center" vertical="center"/>
    </xf>
    <xf numFmtId="49" fontId="6" fillId="4" borderId="110" xfId="1" applyNumberFormat="1" applyFont="1" applyFill="1" applyBorder="1" applyAlignment="1">
      <alignment horizontal="center" vertical="center"/>
    </xf>
    <xf numFmtId="14" fontId="6" fillId="4" borderId="110" xfId="1" applyNumberFormat="1" applyFont="1" applyFill="1" applyBorder="1" applyAlignment="1">
      <alignment horizontal="center" vertical="center"/>
    </xf>
    <xf numFmtId="0" fontId="6" fillId="7" borderId="110" xfId="0" applyFont="1" applyFill="1" applyBorder="1" applyAlignment="1">
      <alignment horizontal="center" vertical="center"/>
    </xf>
    <xf numFmtId="14" fontId="0" fillId="3" borderId="110" xfId="0" applyNumberFormat="1" applyFill="1" applyBorder="1" applyAlignment="1">
      <alignment horizontal="left" vertical="center"/>
    </xf>
    <xf numFmtId="0" fontId="6" fillId="3" borderId="110" xfId="0" applyFont="1" applyFill="1" applyBorder="1" applyAlignment="1">
      <alignment horizontal="center" vertical="center"/>
    </xf>
    <xf numFmtId="0" fontId="6" fillId="3" borderId="110" xfId="0" applyFont="1" applyFill="1" applyBorder="1" applyAlignment="1">
      <alignment vertical="center"/>
    </xf>
    <xf numFmtId="49" fontId="6" fillId="3" borderId="110" xfId="1" applyNumberFormat="1" applyFont="1" applyFill="1" applyBorder="1" applyAlignment="1">
      <alignment horizontal="center" vertical="center"/>
    </xf>
    <xf numFmtId="14" fontId="6" fillId="3" borderId="110" xfId="1" applyNumberFormat="1" applyFont="1" applyFill="1" applyBorder="1" applyAlignment="1">
      <alignment horizontal="center" vertical="center"/>
    </xf>
    <xf numFmtId="0" fontId="6" fillId="6" borderId="42" xfId="0" applyFont="1" applyFill="1" applyBorder="1" applyAlignment="1">
      <alignment horizontal="center" vertical="center"/>
    </xf>
    <xf numFmtId="49" fontId="6" fillId="6" borderId="42" xfId="1" applyNumberFormat="1" applyFont="1" applyFill="1" applyBorder="1" applyAlignment="1">
      <alignment horizontal="center" vertical="center"/>
    </xf>
    <xf numFmtId="0" fontId="30" fillId="3" borderId="114" xfId="0" applyFont="1" applyFill="1" applyBorder="1" applyAlignment="1">
      <alignment vertical="center"/>
    </xf>
    <xf numFmtId="0" fontId="30" fillId="0" borderId="93" xfId="0" applyFont="1" applyBorder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" fillId="4" borderId="110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9" fillId="0" borderId="119" xfId="0" applyFont="1" applyFill="1" applyBorder="1" applyAlignment="1">
      <alignment horizontal="center" vertical="center" wrapText="1"/>
    </xf>
    <xf numFmtId="0" fontId="30" fillId="0" borderId="93" xfId="0" applyFont="1" applyBorder="1" applyAlignment="1">
      <alignment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30" fillId="4" borderId="0" xfId="0" applyFont="1" applyFill="1" applyAlignment="1">
      <alignment vertical="center"/>
    </xf>
    <xf numFmtId="164" fontId="0" fillId="0" borderId="0" xfId="0" applyNumberFormat="1"/>
    <xf numFmtId="0" fontId="0" fillId="0" borderId="110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4" borderId="119" xfId="0" applyFont="1" applyFill="1" applyBorder="1" applyAlignment="1">
      <alignment vertical="center"/>
    </xf>
    <xf numFmtId="0" fontId="2" fillId="0" borderId="119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29" fillId="14" borderId="28" xfId="0" applyFont="1" applyFill="1" applyBorder="1" applyAlignment="1">
      <alignment horizontal="left" vertical="center"/>
    </xf>
    <xf numFmtId="0" fontId="29" fillId="14" borderId="114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13" borderId="42" xfId="0" applyFill="1" applyBorder="1" applyAlignment="1">
      <alignment horizontal="left" vertical="center"/>
    </xf>
    <xf numFmtId="44" fontId="0" fillId="13" borderId="42" xfId="1" applyFont="1" applyFill="1" applyBorder="1" applyAlignment="1">
      <alignment horizontal="center" vertical="center"/>
    </xf>
    <xf numFmtId="0" fontId="0" fillId="4" borderId="114" xfId="0" applyFill="1" applyBorder="1" applyAlignment="1">
      <alignment horizontal="left" vertical="center" wrapText="1"/>
    </xf>
    <xf numFmtId="14" fontId="0" fillId="13" borderId="50" xfId="0" applyNumberFormat="1" applyFill="1" applyBorder="1" applyAlignment="1">
      <alignment horizontal="center" vertical="center"/>
    </xf>
    <xf numFmtId="0" fontId="30" fillId="13" borderId="28" xfId="0" applyFont="1" applyFill="1" applyBorder="1" applyAlignment="1">
      <alignment vertical="center"/>
    </xf>
    <xf numFmtId="0" fontId="0" fillId="13" borderId="51" xfId="0" applyFill="1" applyBorder="1" applyAlignment="1">
      <alignment horizontal="center" vertical="center"/>
    </xf>
    <xf numFmtId="14" fontId="0" fillId="13" borderId="111" xfId="0" applyNumberFormat="1" applyFill="1" applyBorder="1" applyAlignment="1">
      <alignment horizontal="center" vertical="center"/>
    </xf>
    <xf numFmtId="0" fontId="0" fillId="13" borderId="112" xfId="0" applyFill="1" applyBorder="1" applyAlignment="1">
      <alignment horizontal="center" vertical="center"/>
    </xf>
    <xf numFmtId="0" fontId="0" fillId="13" borderId="110" xfId="0" applyFill="1" applyBorder="1" applyAlignment="1">
      <alignment horizontal="left" vertical="center" wrapText="1"/>
    </xf>
    <xf numFmtId="0" fontId="3" fillId="13" borderId="110" xfId="0" applyFont="1" applyFill="1" applyBorder="1"/>
    <xf numFmtId="14" fontId="0" fillId="13" borderId="47" xfId="0" applyNumberFormat="1" applyFill="1" applyBorder="1" applyAlignment="1">
      <alignment horizontal="center" vertical="center"/>
    </xf>
    <xf numFmtId="0" fontId="3" fillId="13" borderId="42" xfId="0" applyFont="1" applyFill="1" applyBorder="1"/>
    <xf numFmtId="0" fontId="0" fillId="13" borderId="46" xfId="0" applyFill="1" applyBorder="1" applyAlignment="1">
      <alignment horizontal="center" vertical="center"/>
    </xf>
    <xf numFmtId="14" fontId="6" fillId="13" borderId="113" xfId="0" applyNumberFormat="1" applyFont="1" applyFill="1" applyBorder="1" applyAlignment="1">
      <alignment horizontal="center" vertical="center"/>
    </xf>
    <xf numFmtId="0" fontId="6" fillId="13" borderId="114" xfId="0" applyFont="1" applyFill="1" applyBorder="1" applyAlignment="1">
      <alignment horizontal="left" vertical="center"/>
    </xf>
    <xf numFmtId="0" fontId="6" fillId="13" borderId="114" xfId="0" applyFont="1" applyFill="1" applyBorder="1" applyAlignment="1">
      <alignment horizontal="center" vertical="center"/>
    </xf>
    <xf numFmtId="0" fontId="6" fillId="13" borderId="114" xfId="0" applyFont="1" applyFill="1" applyBorder="1" applyAlignment="1">
      <alignment vertical="center"/>
    </xf>
    <xf numFmtId="0" fontId="9" fillId="13" borderId="114" xfId="0" applyFont="1" applyFill="1" applyBorder="1"/>
    <xf numFmtId="44" fontId="6" fillId="13" borderId="114" xfId="1" applyFont="1" applyFill="1" applyBorder="1" applyAlignment="1">
      <alignment horizontal="center" vertical="center"/>
    </xf>
    <xf numFmtId="0" fontId="0" fillId="13" borderId="115" xfId="0" applyFill="1" applyBorder="1" applyAlignment="1">
      <alignment horizontal="center" vertical="center"/>
    </xf>
    <xf numFmtId="14" fontId="0" fillId="14" borderId="7" xfId="0" applyNumberFormat="1" applyFill="1" applyBorder="1" applyAlignment="1">
      <alignment horizontal="center" vertical="center"/>
    </xf>
    <xf numFmtId="0" fontId="0" fillId="14" borderId="7" xfId="0" applyFill="1" applyBorder="1" applyAlignment="1">
      <alignment horizontal="left" vertical="center"/>
    </xf>
    <xf numFmtId="0" fontId="0" fillId="14" borderId="7" xfId="0" applyFill="1" applyBorder="1" applyAlignment="1">
      <alignment horizontal="center" vertical="center"/>
    </xf>
    <xf numFmtId="0" fontId="0" fillId="14" borderId="7" xfId="0" applyFill="1" applyBorder="1" applyAlignment="1">
      <alignment vertical="center"/>
    </xf>
    <xf numFmtId="44" fontId="0" fillId="14" borderId="7" xfId="1" applyFont="1" applyFill="1" applyBorder="1" applyAlignment="1">
      <alignment horizontal="center" vertical="center"/>
    </xf>
    <xf numFmtId="49" fontId="0" fillId="14" borderId="7" xfId="1" applyNumberFormat="1" applyFont="1" applyFill="1" applyBorder="1" applyAlignment="1">
      <alignment horizontal="center" vertical="center"/>
    </xf>
    <xf numFmtId="0" fontId="2" fillId="14" borderId="7" xfId="0" applyFont="1" applyFill="1" applyBorder="1" applyAlignment="1">
      <alignment horizontal="left" vertical="center"/>
    </xf>
    <xf numFmtId="14" fontId="14" fillId="0" borderId="28" xfId="0" applyNumberFormat="1" applyFont="1" applyBorder="1" applyAlignment="1">
      <alignment horizontal="center" vertical="center"/>
    </xf>
    <xf numFmtId="0" fontId="14" fillId="0" borderId="28" xfId="0" applyFont="1" applyBorder="1" applyAlignment="1">
      <alignment horizontal="left" vertical="center"/>
    </xf>
    <xf numFmtId="0" fontId="14" fillId="0" borderId="28" xfId="0" applyFont="1" applyBorder="1" applyAlignment="1">
      <alignment horizontal="center" vertical="center"/>
    </xf>
    <xf numFmtId="0" fontId="43" fillId="0" borderId="28" xfId="0" applyFont="1" applyBorder="1"/>
    <xf numFmtId="14" fontId="14" fillId="0" borderId="114" xfId="0" applyNumberFormat="1" applyFont="1" applyBorder="1" applyAlignment="1">
      <alignment horizontal="center" vertical="center"/>
    </xf>
    <xf numFmtId="0" fontId="14" fillId="0" borderId="114" xfId="0" applyFont="1" applyBorder="1" applyAlignment="1">
      <alignment horizontal="left" vertical="center"/>
    </xf>
    <xf numFmtId="0" fontId="14" fillId="0" borderId="114" xfId="0" applyFont="1" applyBorder="1" applyAlignment="1">
      <alignment horizontal="center" vertical="center"/>
    </xf>
    <xf numFmtId="0" fontId="43" fillId="0" borderId="114" xfId="0" applyFont="1" applyBorder="1"/>
    <xf numFmtId="14" fontId="14" fillId="0" borderId="8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left" vertical="center"/>
    </xf>
    <xf numFmtId="0" fontId="14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vertical="center"/>
    </xf>
    <xf numFmtId="0" fontId="14" fillId="0" borderId="28" xfId="0" applyFont="1" applyBorder="1" applyAlignment="1">
      <alignment vertical="center"/>
    </xf>
    <xf numFmtId="0" fontId="14" fillId="0" borderId="114" xfId="0" applyFont="1" applyBorder="1" applyAlignment="1">
      <alignment vertical="center"/>
    </xf>
    <xf numFmtId="0" fontId="6" fillId="7" borderId="114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30" fillId="4" borderId="28" xfId="0" applyFont="1" applyFill="1" applyBorder="1"/>
    <xf numFmtId="14" fontId="0" fillId="0" borderId="119" xfId="0" applyNumberFormat="1" applyBorder="1" applyAlignment="1">
      <alignment horizontal="center" vertical="center" wrapText="1"/>
    </xf>
    <xf numFmtId="0" fontId="6" fillId="5" borderId="110" xfId="0" applyFont="1" applyFill="1" applyBorder="1" applyAlignment="1">
      <alignment horizontal="left" vertical="center"/>
    </xf>
    <xf numFmtId="14" fontId="0" fillId="13" borderId="7" xfId="0" applyNumberFormat="1" applyFill="1" applyBorder="1" applyAlignment="1">
      <alignment horizontal="center" vertical="center"/>
    </xf>
    <xf numFmtId="14" fontId="0" fillId="13" borderId="42" xfId="0" applyNumberFormat="1" applyFill="1" applyBorder="1" applyAlignment="1">
      <alignment horizontal="center" vertical="center"/>
    </xf>
    <xf numFmtId="0" fontId="0" fillId="13" borderId="42" xfId="0" applyFill="1" applyBorder="1" applyAlignment="1">
      <alignment vertical="center"/>
    </xf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110" xfId="0" applyBorder="1"/>
    <xf numFmtId="164" fontId="0" fillId="0" borderId="0" xfId="0" applyNumberFormat="1"/>
    <xf numFmtId="14" fontId="0" fillId="0" borderId="110" xfId="1" applyNumberFormat="1" applyFont="1" applyBorder="1" applyAlignment="1">
      <alignment horizontal="center" vertical="center"/>
    </xf>
    <xf numFmtId="44" fontId="0" fillId="3" borderId="110" xfId="0" applyNumberFormat="1" applyFill="1" applyBorder="1" applyAlignment="1">
      <alignment vertical="center" wrapText="1"/>
    </xf>
    <xf numFmtId="0" fontId="0" fillId="7" borderId="110" xfId="0" applyFill="1" applyBorder="1" applyAlignment="1">
      <alignment vertical="center" wrapText="1"/>
    </xf>
    <xf numFmtId="0" fontId="0" fillId="3" borderId="119" xfId="0" applyFont="1" applyFill="1" applyBorder="1" applyAlignment="1">
      <alignment horizontal="justify" vertical="center"/>
    </xf>
    <xf numFmtId="0" fontId="0" fillId="3" borderId="119" xfId="0" applyFill="1" applyBorder="1" applyAlignment="1">
      <alignment vertical="center"/>
    </xf>
    <xf numFmtId="0" fontId="0" fillId="3" borderId="119" xfId="0" applyFont="1" applyFill="1" applyBorder="1" applyAlignment="1">
      <alignment vertical="center"/>
    </xf>
    <xf numFmtId="8" fontId="0" fillId="4" borderId="110" xfId="1" applyNumberFormat="1" applyFont="1" applyFill="1" applyBorder="1" applyAlignment="1">
      <alignment vertical="center"/>
    </xf>
    <xf numFmtId="0" fontId="0" fillId="0" borderId="110" xfId="0" applyFill="1" applyBorder="1" applyAlignment="1">
      <alignment horizontal="left" vertical="center"/>
    </xf>
    <xf numFmtId="0" fontId="6" fillId="0" borderId="110" xfId="0" applyFont="1" applyFill="1" applyBorder="1" applyAlignment="1">
      <alignment horizontal="left" vertical="center"/>
    </xf>
    <xf numFmtId="0" fontId="0" fillId="3" borderId="119" xfId="0" applyFill="1" applyBorder="1" applyAlignment="1">
      <alignment horizontal="justify" vertical="center"/>
    </xf>
    <xf numFmtId="0" fontId="30" fillId="3" borderId="28" xfId="0" applyFont="1" applyFill="1" applyBorder="1" applyAlignment="1">
      <alignment vertical="center"/>
    </xf>
    <xf numFmtId="44" fontId="6" fillId="3" borderId="110" xfId="1" applyFont="1" applyFill="1" applyBorder="1" applyAlignment="1">
      <alignment horizontal="center" vertical="center" wrapText="1"/>
    </xf>
    <xf numFmtId="0" fontId="0" fillId="3" borderId="110" xfId="0" applyFont="1" applyFill="1" applyBorder="1" applyAlignment="1">
      <alignment horizontal="center" vertical="center"/>
    </xf>
    <xf numFmtId="0" fontId="15" fillId="6" borderId="114" xfId="0" applyFont="1" applyFill="1" applyBorder="1" applyAlignment="1">
      <alignment horizontal="center" vertical="center"/>
    </xf>
    <xf numFmtId="14" fontId="0" fillId="3" borderId="119" xfId="0" applyNumberFormat="1" applyFill="1" applyBorder="1" applyAlignment="1">
      <alignment horizontal="center" vertical="center" wrapText="1"/>
    </xf>
    <xf numFmtId="8" fontId="0" fillId="3" borderId="110" xfId="1" applyNumberFormat="1" applyFont="1" applyFill="1" applyBorder="1" applyAlignment="1">
      <alignment vertical="center"/>
    </xf>
    <xf numFmtId="8" fontId="0" fillId="3" borderId="114" xfId="1" applyNumberFormat="1" applyFont="1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6" fillId="3" borderId="114" xfId="0" applyFont="1" applyFill="1" applyBorder="1" applyAlignment="1">
      <alignment vertical="center"/>
    </xf>
    <xf numFmtId="14" fontId="0" fillId="3" borderId="111" xfId="0" applyNumberFormat="1" applyFill="1" applyBorder="1" applyAlignment="1">
      <alignment horizontal="center" vertical="center"/>
    </xf>
    <xf numFmtId="14" fontId="6" fillId="3" borderId="113" xfId="0" applyNumberFormat="1" applyFont="1" applyFill="1" applyBorder="1" applyAlignment="1">
      <alignment horizontal="center" vertical="center"/>
    </xf>
    <xf numFmtId="0" fontId="9" fillId="3" borderId="114" xfId="0" applyFont="1" applyFill="1" applyBorder="1" applyAlignment="1">
      <alignment vertical="center"/>
    </xf>
    <xf numFmtId="14" fontId="0" fillId="3" borderId="47" xfId="0" applyNumberFormat="1" applyFill="1" applyBorder="1" applyAlignment="1">
      <alignment horizontal="center" vertical="center"/>
    </xf>
    <xf numFmtId="0" fontId="3" fillId="3" borderId="42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14" fontId="0" fillId="4" borderId="42" xfId="1" applyNumberFormat="1" applyFont="1" applyFill="1" applyBorder="1" applyAlignment="1">
      <alignment horizontal="center" vertical="center"/>
    </xf>
    <xf numFmtId="0" fontId="0" fillId="3" borderId="122" xfId="0" applyFill="1" applyBorder="1" applyAlignment="1">
      <alignment horizontal="left" vertical="center"/>
    </xf>
    <xf numFmtId="0" fontId="0" fillId="3" borderId="90" xfId="0" applyFill="1" applyBorder="1" applyAlignment="1">
      <alignment vertical="center" wrapText="1"/>
    </xf>
    <xf numFmtId="0" fontId="0" fillId="3" borderId="90" xfId="0" applyFill="1" applyBorder="1" applyAlignment="1">
      <alignment horizontal="center" vertical="center"/>
    </xf>
    <xf numFmtId="0" fontId="0" fillId="3" borderId="5" xfId="0" applyFill="1" applyBorder="1" applyAlignment="1">
      <alignment horizontal="left" vertical="center"/>
    </xf>
    <xf numFmtId="0" fontId="0" fillId="3" borderId="90" xfId="0" applyFill="1" applyBorder="1" applyAlignment="1">
      <alignment horizontal="left" vertical="center"/>
    </xf>
    <xf numFmtId="44" fontId="0" fillId="3" borderId="90" xfId="1" applyFont="1" applyFill="1" applyBorder="1" applyAlignment="1">
      <alignment horizontal="center" vertical="center"/>
    </xf>
    <xf numFmtId="14" fontId="0" fillId="3" borderId="90" xfId="0" applyNumberFormat="1" applyFill="1" applyBorder="1" applyAlignment="1">
      <alignment horizontal="center" vertical="center"/>
    </xf>
    <xf numFmtId="14" fontId="6" fillId="4" borderId="114" xfId="0" applyNumberFormat="1" applyFont="1" applyFill="1" applyBorder="1" applyAlignment="1">
      <alignment horizontal="center" vertical="center"/>
    </xf>
    <xf numFmtId="44" fontId="6" fillId="4" borderId="114" xfId="1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44" fontId="1" fillId="4" borderId="42" xfId="1" applyFont="1" applyFill="1" applyBorder="1" applyAlignment="1">
      <alignment horizontal="center" vertical="center"/>
    </xf>
    <xf numFmtId="0" fontId="41" fillId="3" borderId="0" xfId="0" applyFont="1" applyFill="1" applyBorder="1" applyAlignment="1">
      <alignment vertical="center"/>
    </xf>
    <xf numFmtId="0" fontId="6" fillId="7" borderId="119" xfId="0" applyFont="1" applyFill="1" applyBorder="1" applyAlignment="1">
      <alignment vertical="center" wrapText="1"/>
    </xf>
    <xf numFmtId="49" fontId="0" fillId="16" borderId="110" xfId="1" applyNumberFormat="1" applyFont="1" applyFill="1" applyBorder="1" applyAlignment="1">
      <alignment horizontal="center" vertical="center"/>
    </xf>
    <xf numFmtId="0" fontId="0" fillId="6" borderId="118" xfId="0" applyFill="1" applyBorder="1" applyAlignment="1">
      <alignment horizontal="left" vertical="center"/>
    </xf>
    <xf numFmtId="0" fontId="0" fillId="6" borderId="119" xfId="0" applyFill="1" applyBorder="1" applyAlignment="1">
      <alignment horizontal="center" vertical="center"/>
    </xf>
    <xf numFmtId="0" fontId="0" fillId="6" borderId="119" xfId="0" applyFill="1" applyBorder="1" applyAlignment="1">
      <alignment horizontal="left" vertical="center"/>
    </xf>
    <xf numFmtId="44" fontId="0" fillId="6" borderId="119" xfId="1" applyFont="1" applyFill="1" applyBorder="1" applyAlignment="1">
      <alignment horizontal="center" vertical="center"/>
    </xf>
    <xf numFmtId="14" fontId="0" fillId="6" borderId="119" xfId="0" applyNumberFormat="1" applyFill="1" applyBorder="1" applyAlignment="1">
      <alignment horizontal="center" vertical="center"/>
    </xf>
    <xf numFmtId="0" fontId="15" fillId="3" borderId="110" xfId="0" applyFont="1" applyFill="1" applyBorder="1" applyAlignment="1">
      <alignment horizontal="left" vertical="center"/>
    </xf>
    <xf numFmtId="0" fontId="0" fillId="3" borderId="42" xfId="0" applyFont="1" applyFill="1" applyBorder="1" applyAlignment="1">
      <alignment horizontal="left" vertical="center"/>
    </xf>
    <xf numFmtId="0" fontId="0" fillId="3" borderId="114" xfId="0" applyFont="1" applyFill="1" applyBorder="1" applyAlignment="1">
      <alignment vertical="center"/>
    </xf>
    <xf numFmtId="0" fontId="0" fillId="3" borderId="110" xfId="0" applyFont="1" applyFill="1" applyBorder="1" applyAlignment="1">
      <alignment vertical="center"/>
    </xf>
    <xf numFmtId="0" fontId="0" fillId="4" borderId="110" xfId="0" applyFont="1" applyFill="1" applyBorder="1" applyAlignment="1">
      <alignment vertical="center"/>
    </xf>
    <xf numFmtId="0" fontId="0" fillId="3" borderId="85" xfId="0" applyFill="1" applyBorder="1" applyAlignment="1">
      <alignment horizontal="center" vertical="center"/>
    </xf>
    <xf numFmtId="0" fontId="1" fillId="3" borderId="110" xfId="0" applyFont="1" applyFill="1" applyBorder="1" applyAlignment="1">
      <alignment vertical="center"/>
    </xf>
    <xf numFmtId="0" fontId="0" fillId="3" borderId="124" xfId="0" applyFill="1" applyBorder="1" applyAlignment="1">
      <alignment horizontal="left" vertical="center"/>
    </xf>
    <xf numFmtId="0" fontId="0" fillId="3" borderId="94" xfId="0" applyFill="1" applyBorder="1" applyAlignment="1">
      <alignment vertical="center" wrapText="1"/>
    </xf>
    <xf numFmtId="0" fontId="0" fillId="3" borderId="94" xfId="0" applyFill="1" applyBorder="1" applyAlignment="1">
      <alignment horizontal="center" vertical="center"/>
    </xf>
    <xf numFmtId="0" fontId="0" fillId="3" borderId="94" xfId="0" applyFill="1" applyBorder="1" applyAlignment="1">
      <alignment horizontal="left" vertical="center"/>
    </xf>
    <xf numFmtId="44" fontId="0" fillId="3" borderId="94" xfId="1" applyFont="1" applyFill="1" applyBorder="1" applyAlignment="1">
      <alignment horizontal="center" vertical="center"/>
    </xf>
    <xf numFmtId="14" fontId="0" fillId="3" borderId="94" xfId="0" applyNumberFormat="1" applyFill="1" applyBorder="1" applyAlignment="1">
      <alignment horizontal="center" vertical="center"/>
    </xf>
    <xf numFmtId="49" fontId="0" fillId="0" borderId="110" xfId="1" applyNumberFormat="1" applyFont="1" applyFill="1" applyBorder="1" applyAlignment="1">
      <alignment horizontal="center" vertical="center"/>
    </xf>
    <xf numFmtId="49" fontId="0" fillId="0" borderId="114" xfId="1" applyNumberFormat="1" applyFont="1" applyFill="1" applyBorder="1" applyAlignment="1">
      <alignment horizontal="center" vertical="center"/>
    </xf>
    <xf numFmtId="14" fontId="0" fillId="3" borderId="42" xfId="0" applyNumberFormat="1" applyFill="1" applyBorder="1" applyAlignment="1">
      <alignment horizontal="center" vertical="center" wrapText="1"/>
    </xf>
    <xf numFmtId="0" fontId="0" fillId="14" borderId="39" xfId="0" applyFill="1" applyBorder="1" applyAlignment="1">
      <alignment horizontal="left" vertical="center"/>
    </xf>
    <xf numFmtId="0" fontId="15" fillId="3" borderId="110" xfId="0" applyFont="1" applyFill="1" applyBorder="1" applyAlignment="1">
      <alignment horizontal="center" vertical="center" wrapText="1"/>
    </xf>
    <xf numFmtId="0" fontId="0" fillId="0" borderId="110" xfId="0" applyBorder="1" applyAlignment="1">
      <alignment horizontal="left" indent="2"/>
    </xf>
    <xf numFmtId="0" fontId="15" fillId="6" borderId="42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vertical="center"/>
    </xf>
    <xf numFmtId="0" fontId="44" fillId="3" borderId="0" xfId="0" applyFont="1" applyFill="1" applyBorder="1"/>
    <xf numFmtId="14" fontId="6" fillId="4" borderId="8" xfId="0" applyNumberFormat="1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vertical="center"/>
    </xf>
    <xf numFmtId="0" fontId="0" fillId="4" borderId="8" xfId="0" applyFont="1" applyFill="1" applyBorder="1" applyAlignment="1">
      <alignment horizontal="left" vertical="center"/>
    </xf>
    <xf numFmtId="44" fontId="6" fillId="4" borderId="8" xfId="1" applyFont="1" applyFill="1" applyBorder="1" applyAlignment="1">
      <alignment horizontal="center" vertical="center"/>
    </xf>
    <xf numFmtId="49" fontId="6" fillId="4" borderId="8" xfId="1" applyNumberFormat="1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left" vertical="center"/>
    </xf>
    <xf numFmtId="0" fontId="30" fillId="4" borderId="0" xfId="0" applyFont="1" applyFill="1" applyBorder="1"/>
    <xf numFmtId="0" fontId="30" fillId="0" borderId="130" xfId="0" applyFont="1" applyBorder="1"/>
    <xf numFmtId="0" fontId="30" fillId="0" borderId="119" xfId="0" applyFont="1" applyBorder="1"/>
    <xf numFmtId="49" fontId="6" fillId="6" borderId="7" xfId="1" applyNumberFormat="1" applyFont="1" applyFill="1" applyBorder="1" applyAlignment="1">
      <alignment horizontal="center" vertical="center"/>
    </xf>
    <xf numFmtId="0" fontId="30" fillId="3" borderId="0" xfId="0" applyFont="1" applyFill="1" applyBorder="1"/>
    <xf numFmtId="0" fontId="0" fillId="5" borderId="119" xfId="0" applyFill="1" applyBorder="1" applyAlignment="1">
      <alignment vertical="center"/>
    </xf>
    <xf numFmtId="0" fontId="6" fillId="4" borderId="7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left" vertical="center"/>
    </xf>
    <xf numFmtId="166" fontId="0" fillId="0" borderId="0" xfId="1" applyNumberFormat="1" applyFont="1"/>
    <xf numFmtId="166" fontId="0" fillId="0" borderId="110" xfId="0" applyNumberFormat="1" applyBorder="1" applyAlignment="1">
      <alignment horizontal="center" vertical="center" wrapText="1"/>
    </xf>
    <xf numFmtId="166" fontId="0" fillId="0" borderId="110" xfId="0" applyNumberFormat="1" applyBorder="1"/>
    <xf numFmtId="166" fontId="0" fillId="0" borderId="0" xfId="0" applyNumberFormat="1"/>
    <xf numFmtId="0" fontId="2" fillId="6" borderId="110" xfId="0" applyFont="1" applyFill="1" applyBorder="1" applyAlignment="1">
      <alignment horizontal="center" vertical="center"/>
    </xf>
    <xf numFmtId="164" fontId="2" fillId="6" borderId="110" xfId="0" applyNumberFormat="1" applyFont="1" applyFill="1" applyBorder="1" applyAlignment="1">
      <alignment vertical="center"/>
    </xf>
    <xf numFmtId="2" fontId="2" fillId="6" borderId="110" xfId="0" applyNumberFormat="1" applyFont="1" applyFill="1" applyBorder="1" applyAlignment="1">
      <alignment horizontal="center" vertical="center"/>
    </xf>
    <xf numFmtId="164" fontId="2" fillId="6" borderId="112" xfId="0" applyNumberFormat="1" applyFont="1" applyFill="1" applyBorder="1" applyAlignment="1">
      <alignment horizontal="center" vertical="center"/>
    </xf>
    <xf numFmtId="0" fontId="2" fillId="6" borderId="42" xfId="0" applyFont="1" applyFill="1" applyBorder="1" applyAlignment="1">
      <alignment horizontal="center" vertical="center"/>
    </xf>
    <xf numFmtId="164" fontId="2" fillId="6" borderId="42" xfId="0" applyNumberFormat="1" applyFont="1" applyFill="1" applyBorder="1" applyAlignment="1">
      <alignment vertical="center"/>
    </xf>
    <xf numFmtId="2" fontId="2" fillId="6" borderId="42" xfId="0" applyNumberFormat="1" applyFont="1" applyFill="1" applyBorder="1" applyAlignment="1">
      <alignment horizontal="center" vertical="center"/>
    </xf>
    <xf numFmtId="164" fontId="2" fillId="6" borderId="46" xfId="0" applyNumberFormat="1" applyFont="1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/>
    </xf>
    <xf numFmtId="44" fontId="0" fillId="0" borderId="110" xfId="1" applyFont="1" applyFill="1" applyBorder="1" applyAlignment="1">
      <alignment horizontal="center" vertical="center"/>
    </xf>
    <xf numFmtId="14" fontId="0" fillId="0" borderId="110" xfId="1" applyNumberFormat="1" applyFont="1" applyFill="1" applyBorder="1" applyAlignment="1">
      <alignment horizontal="center" vertical="center"/>
    </xf>
    <xf numFmtId="14" fontId="6" fillId="0" borderId="110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vertical="center"/>
    </xf>
    <xf numFmtId="0" fontId="0" fillId="0" borderId="110" xfId="0" applyFont="1" applyFill="1" applyBorder="1" applyAlignment="1">
      <alignment horizontal="left" vertical="center"/>
    </xf>
    <xf numFmtId="44" fontId="6" fillId="0" borderId="110" xfId="1" applyFont="1" applyFill="1" applyBorder="1" applyAlignment="1">
      <alignment horizontal="center" vertical="center"/>
    </xf>
    <xf numFmtId="49" fontId="6" fillId="0" borderId="110" xfId="1" applyNumberFormat="1" applyFont="1" applyFill="1" applyBorder="1" applyAlignment="1">
      <alignment horizontal="center" vertical="center"/>
    </xf>
    <xf numFmtId="14" fontId="6" fillId="0" borderId="110" xfId="1" applyNumberFormat="1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44" fontId="0" fillId="0" borderId="110" xfId="1" applyFont="1" applyFill="1" applyBorder="1" applyAlignment="1">
      <alignment horizontal="center" vertical="center" wrapText="1"/>
    </xf>
    <xf numFmtId="0" fontId="15" fillId="0" borderId="110" xfId="0" applyFont="1" applyFill="1" applyBorder="1" applyAlignment="1">
      <alignment horizontal="left" vertical="center"/>
    </xf>
    <xf numFmtId="0" fontId="0" fillId="0" borderId="110" xfId="0" applyFont="1" applyFill="1" applyBorder="1" applyAlignment="1">
      <alignment vertical="center"/>
    </xf>
    <xf numFmtId="0" fontId="19" fillId="0" borderId="110" xfId="0" applyFont="1" applyFill="1" applyBorder="1" applyAlignment="1">
      <alignment horizontal="left" vertical="center"/>
    </xf>
    <xf numFmtId="44" fontId="6" fillId="0" borderId="110" xfId="1" applyFont="1" applyFill="1" applyBorder="1" applyAlignment="1">
      <alignment horizontal="center" vertical="center" wrapText="1"/>
    </xf>
    <xf numFmtId="0" fontId="0" fillId="0" borderId="110" xfId="0" applyFont="1" applyFill="1" applyBorder="1" applyAlignment="1">
      <alignment horizontal="center" vertical="center"/>
    </xf>
    <xf numFmtId="0" fontId="2" fillId="0" borderId="110" xfId="0" applyFont="1" applyFill="1" applyBorder="1" applyAlignment="1">
      <alignment horizontal="center" vertical="center"/>
    </xf>
    <xf numFmtId="0" fontId="14" fillId="0" borderId="110" xfId="0" applyFont="1" applyFill="1" applyBorder="1" applyAlignment="1">
      <alignment horizontal="left" vertical="center"/>
    </xf>
    <xf numFmtId="0" fontId="15" fillId="0" borderId="110" xfId="0" applyFont="1" applyFill="1" applyBorder="1" applyAlignment="1">
      <alignment horizontal="center" vertical="center" wrapText="1"/>
    </xf>
    <xf numFmtId="44" fontId="14" fillId="0" borderId="110" xfId="1" applyFont="1" applyFill="1" applyBorder="1" applyAlignment="1">
      <alignment horizontal="center" vertical="center"/>
    </xf>
    <xf numFmtId="0" fontId="14" fillId="0" borderId="110" xfId="0" applyFont="1" applyFill="1" applyBorder="1" applyAlignment="1">
      <alignment horizontal="center" vertical="center"/>
    </xf>
    <xf numFmtId="0" fontId="14" fillId="0" borderId="110" xfId="0" applyFont="1" applyFill="1" applyBorder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6" fillId="0" borderId="110" xfId="0" applyFont="1" applyFill="1" applyBorder="1" applyAlignment="1">
      <alignment horizontal="center" vertical="center" wrapText="1"/>
    </xf>
    <xf numFmtId="0" fontId="19" fillId="0" borderId="110" xfId="0" applyFont="1" applyFill="1" applyBorder="1" applyAlignment="1">
      <alignment horizontal="center" vertical="center"/>
    </xf>
    <xf numFmtId="0" fontId="6" fillId="0" borderId="110" xfId="0" applyFont="1" applyFill="1" applyBorder="1"/>
    <xf numFmtId="0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164" fontId="0" fillId="0" borderId="0" xfId="0" applyNumberFormat="1" applyAlignment="1">
      <alignment horizontal="center" vertical="center" wrapText="1"/>
    </xf>
    <xf numFmtId="2" fontId="2" fillId="9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/>
    </xf>
    <xf numFmtId="2" fontId="2" fillId="0" borderId="27" xfId="0" applyNumberFormat="1" applyFont="1" applyBorder="1" applyAlignment="1">
      <alignment horizontal="center" vertical="center"/>
    </xf>
    <xf numFmtId="2" fontId="2" fillId="11" borderId="79" xfId="0" applyNumberFormat="1" applyFont="1" applyFill="1" applyBorder="1" applyAlignment="1">
      <alignment horizontal="center" vertical="center"/>
    </xf>
    <xf numFmtId="0" fontId="16" fillId="0" borderId="131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2" fontId="2" fillId="0" borderId="13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131" xfId="0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14" fontId="0" fillId="6" borderId="28" xfId="1" applyNumberFormat="1" applyFont="1" applyFill="1" applyBorder="1" applyAlignment="1">
      <alignment horizontal="center" vertical="center"/>
    </xf>
    <xf numFmtId="0" fontId="0" fillId="6" borderId="114" xfId="0" applyFont="1" applyFill="1" applyBorder="1" applyAlignment="1">
      <alignment horizontal="center" vertical="center"/>
    </xf>
    <xf numFmtId="0" fontId="0" fillId="6" borderId="114" xfId="0" applyFont="1" applyFill="1" applyBorder="1" applyAlignment="1">
      <alignment horizontal="left" vertical="center"/>
    </xf>
    <xf numFmtId="14" fontId="6" fillId="3" borderId="85" xfId="0" applyNumberFormat="1" applyFont="1" applyFill="1" applyBorder="1" applyAlignment="1">
      <alignment horizontal="center" vertical="center"/>
    </xf>
    <xf numFmtId="0" fontId="0" fillId="0" borderId="134" xfId="0" applyBorder="1"/>
    <xf numFmtId="0" fontId="0" fillId="0" borderId="135" xfId="0" applyBorder="1"/>
    <xf numFmtId="0" fontId="0" fillId="0" borderId="136" xfId="0" applyBorder="1"/>
    <xf numFmtId="0" fontId="0" fillId="0" borderId="137" xfId="0" applyBorder="1"/>
    <xf numFmtId="0" fontId="0" fillId="0" borderId="138" xfId="0" applyBorder="1"/>
    <xf numFmtId="0" fontId="0" fillId="0" borderId="139" xfId="0" applyBorder="1"/>
    <xf numFmtId="0" fontId="0" fillId="0" borderId="140" xfId="0" applyBorder="1"/>
    <xf numFmtId="0" fontId="0" fillId="0" borderId="141" xfId="0" applyBorder="1"/>
    <xf numFmtId="0" fontId="0" fillId="0" borderId="142" xfId="0" applyBorder="1"/>
    <xf numFmtId="14" fontId="0" fillId="6" borderId="114" xfId="1" applyNumberFormat="1" applyFont="1" applyFill="1" applyBorder="1" applyAlignment="1">
      <alignment horizontal="center" vertical="center"/>
    </xf>
    <xf numFmtId="44" fontId="0" fillId="4" borderId="42" xfId="1" applyFont="1" applyFill="1" applyBorder="1" applyAlignment="1">
      <alignment horizontal="center" vertical="center" wrapText="1"/>
    </xf>
    <xf numFmtId="44" fontId="0" fillId="6" borderId="110" xfId="1" applyFont="1" applyFill="1" applyBorder="1" applyAlignment="1">
      <alignment horizontal="center" vertical="center" wrapText="1"/>
    </xf>
    <xf numFmtId="0" fontId="0" fillId="6" borderId="119" xfId="0" applyFill="1" applyBorder="1" applyAlignment="1">
      <alignment vertical="center"/>
    </xf>
    <xf numFmtId="0" fontId="0" fillId="5" borderId="110" xfId="0" applyFont="1" applyFill="1" applyBorder="1" applyAlignment="1">
      <alignment horizontal="left" vertical="center"/>
    </xf>
    <xf numFmtId="0" fontId="0" fillId="4" borderId="114" xfId="0" applyFill="1" applyBorder="1" applyAlignment="1">
      <alignment horizontal="center" vertical="center" wrapText="1"/>
    </xf>
    <xf numFmtId="0" fontId="0" fillId="6" borderId="42" xfId="0" applyFont="1" applyFill="1" applyBorder="1" applyAlignment="1">
      <alignment horizontal="left" vertical="center"/>
    </xf>
    <xf numFmtId="0" fontId="0" fillId="6" borderId="110" xfId="0" applyFont="1" applyFill="1" applyBorder="1" applyAlignment="1">
      <alignment vertical="center"/>
    </xf>
    <xf numFmtId="0" fontId="6" fillId="3" borderId="7" xfId="0" applyFont="1" applyFill="1" applyBorder="1" applyAlignment="1">
      <alignment horizontal="left" vertical="center"/>
    </xf>
    <xf numFmtId="14" fontId="6" fillId="3" borderId="7" xfId="1" applyNumberFormat="1" applyFont="1" applyFill="1" applyBorder="1" applyAlignment="1">
      <alignment horizontal="center" vertical="center"/>
    </xf>
    <xf numFmtId="44" fontId="6" fillId="3" borderId="7" xfId="1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/>
    </xf>
    <xf numFmtId="0" fontId="0" fillId="6" borderId="42" xfId="0" applyFont="1" applyFill="1" applyBorder="1" applyAlignment="1">
      <alignment vertical="center"/>
    </xf>
    <xf numFmtId="0" fontId="2" fillId="2" borderId="42" xfId="0" applyFont="1" applyFill="1" applyBorder="1" applyAlignment="1">
      <alignment horizontal="center" vertical="center" wrapText="1"/>
    </xf>
    <xf numFmtId="0" fontId="0" fillId="7" borderId="119" xfId="0" applyFill="1" applyBorder="1" applyAlignment="1">
      <alignment vertical="center"/>
    </xf>
    <xf numFmtId="0" fontId="0" fillId="0" borderId="0" xfId="0" applyFont="1" applyAlignment="1">
      <alignment horizontal="left" vertical="center"/>
    </xf>
    <xf numFmtId="0" fontId="0" fillId="5" borderId="55" xfId="0" applyFont="1" applyFill="1" applyBorder="1" applyAlignment="1">
      <alignment horizontal="center" vertical="center"/>
    </xf>
    <xf numFmtId="0" fontId="0" fillId="6" borderId="55" xfId="0" applyFont="1" applyFill="1" applyBorder="1" applyAlignment="1">
      <alignment horizontal="center" vertical="center"/>
    </xf>
    <xf numFmtId="0" fontId="0" fillId="13" borderId="55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55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14" borderId="42" xfId="0" applyFont="1" applyFill="1" applyBorder="1" applyAlignment="1">
      <alignment horizontal="center" vertical="center"/>
    </xf>
    <xf numFmtId="14" fontId="0" fillId="6" borderId="28" xfId="0" applyNumberFormat="1" applyFont="1" applyFill="1" applyBorder="1" applyAlignment="1">
      <alignment horizontal="center" vertical="center"/>
    </xf>
    <xf numFmtId="0" fontId="0" fillId="6" borderId="28" xfId="0" applyFont="1" applyFill="1" applyBorder="1" applyAlignment="1">
      <alignment horizontal="left" vertical="center"/>
    </xf>
    <xf numFmtId="0" fontId="0" fillId="6" borderId="28" xfId="0" applyFont="1" applyFill="1" applyBorder="1" applyAlignment="1">
      <alignment horizontal="center" vertical="center"/>
    </xf>
    <xf numFmtId="0" fontId="0" fillId="6" borderId="28" xfId="0" applyFont="1" applyFill="1" applyBorder="1" applyAlignment="1">
      <alignment vertical="center"/>
    </xf>
    <xf numFmtId="14" fontId="0" fillId="6" borderId="110" xfId="0" applyNumberFormat="1" applyFont="1" applyFill="1" applyBorder="1" applyAlignment="1">
      <alignment horizontal="center" vertical="center"/>
    </xf>
    <xf numFmtId="0" fontId="0" fillId="6" borderId="110" xfId="0" applyFont="1" applyFill="1" applyBorder="1" applyAlignment="1">
      <alignment horizontal="left" vertical="center"/>
    </xf>
    <xf numFmtId="0" fontId="0" fillId="6" borderId="110" xfId="0" applyFont="1" applyFill="1" applyBorder="1" applyAlignment="1">
      <alignment horizontal="center" vertical="center"/>
    </xf>
    <xf numFmtId="14" fontId="0" fillId="6" borderId="42" xfId="0" applyNumberFormat="1" applyFont="1" applyFill="1" applyBorder="1" applyAlignment="1">
      <alignment horizontal="center" vertical="center"/>
    </xf>
    <xf numFmtId="0" fontId="0" fillId="6" borderId="42" xfId="0" applyFont="1" applyFill="1" applyBorder="1" applyAlignment="1">
      <alignment horizontal="center" vertical="center"/>
    </xf>
    <xf numFmtId="14" fontId="0" fillId="5" borderId="110" xfId="0" applyNumberFormat="1" applyFont="1" applyFill="1" applyBorder="1" applyAlignment="1">
      <alignment horizontal="center" vertical="center"/>
    </xf>
    <xf numFmtId="0" fontId="0" fillId="5" borderId="110" xfId="0" applyFont="1" applyFill="1" applyBorder="1" applyAlignment="1">
      <alignment horizontal="center" vertical="center"/>
    </xf>
    <xf numFmtId="0" fontId="0" fillId="5" borderId="110" xfId="0" applyFont="1" applyFill="1" applyBorder="1" applyAlignment="1">
      <alignment vertical="center"/>
    </xf>
    <xf numFmtId="14" fontId="0" fillId="5" borderId="114" xfId="0" applyNumberFormat="1" applyFont="1" applyFill="1" applyBorder="1" applyAlignment="1">
      <alignment horizontal="center" vertical="center"/>
    </xf>
    <xf numFmtId="0" fontId="0" fillId="5" borderId="114" xfId="0" applyFont="1" applyFill="1" applyBorder="1" applyAlignment="1">
      <alignment horizontal="left" vertical="center"/>
    </xf>
    <xf numFmtId="0" fontId="0" fillId="5" borderId="114" xfId="0" applyFont="1" applyFill="1" applyBorder="1" applyAlignment="1">
      <alignment horizontal="center" vertical="center"/>
    </xf>
    <xf numFmtId="0" fontId="0" fillId="5" borderId="114" xfId="0" applyFont="1" applyFill="1" applyBorder="1" applyAlignment="1">
      <alignment vertical="center"/>
    </xf>
    <xf numFmtId="14" fontId="0" fillId="3" borderId="61" xfId="0" applyNumberFormat="1" applyFont="1" applyFill="1" applyBorder="1" applyAlignment="1">
      <alignment horizontal="center" vertical="center"/>
    </xf>
    <xf numFmtId="0" fontId="0" fillId="3" borderId="61" xfId="0" applyFont="1" applyFill="1" applyBorder="1" applyAlignment="1">
      <alignment horizontal="left" vertical="center"/>
    </xf>
    <xf numFmtId="0" fontId="0" fillId="3" borderId="61" xfId="0" applyFont="1" applyFill="1" applyBorder="1" applyAlignment="1">
      <alignment horizontal="center" vertical="center"/>
    </xf>
    <xf numFmtId="0" fontId="0" fillId="3" borderId="61" xfId="0" applyFont="1" applyFill="1" applyBorder="1" applyAlignment="1">
      <alignment vertical="center"/>
    </xf>
    <xf numFmtId="0" fontId="0" fillId="0" borderId="28" xfId="0" applyFont="1" applyFill="1" applyBorder="1" applyAlignment="1">
      <alignment horizontal="center" vertical="center"/>
    </xf>
    <xf numFmtId="0" fontId="0" fillId="0" borderId="114" xfId="0" applyFont="1" applyFill="1" applyBorder="1" applyAlignment="1">
      <alignment horizontal="center" vertical="center"/>
    </xf>
    <xf numFmtId="14" fontId="0" fillId="6" borderId="114" xfId="0" applyNumberFormat="1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vertical="center"/>
    </xf>
    <xf numFmtId="0" fontId="0" fillId="6" borderId="110" xfId="0" applyFont="1" applyFill="1" applyBorder="1" applyAlignment="1">
      <alignment horizontal="center" vertical="center" wrapText="1"/>
    </xf>
    <xf numFmtId="0" fontId="0" fillId="0" borderId="42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14" fontId="0" fillId="4" borderId="110" xfId="0" applyNumberFormat="1" applyFont="1" applyFill="1" applyBorder="1" applyAlignment="1">
      <alignment horizontal="center" vertical="center"/>
    </xf>
    <xf numFmtId="0" fontId="0" fillId="4" borderId="110" xfId="0" applyFont="1" applyFill="1" applyBorder="1" applyAlignment="1">
      <alignment horizontal="left" vertical="center"/>
    </xf>
    <xf numFmtId="0" fontId="0" fillId="4" borderId="110" xfId="0" applyFont="1" applyFill="1" applyBorder="1" applyAlignment="1">
      <alignment horizontal="center" vertical="center"/>
    </xf>
    <xf numFmtId="14" fontId="0" fillId="3" borderId="110" xfId="0" applyNumberFormat="1" applyFont="1" applyFill="1" applyBorder="1" applyAlignment="1">
      <alignment horizontal="center" vertical="center"/>
    </xf>
    <xf numFmtId="14" fontId="0" fillId="5" borderId="28" xfId="0" applyNumberFormat="1" applyFont="1" applyFill="1" applyBorder="1" applyAlignment="1">
      <alignment horizontal="center" vertical="center"/>
    </xf>
    <xf numFmtId="0" fontId="0" fillId="5" borderId="28" xfId="0" applyFont="1" applyFill="1" applyBorder="1" applyAlignment="1">
      <alignment horizontal="center" vertical="center"/>
    </xf>
    <xf numFmtId="0" fontId="0" fillId="5" borderId="28" xfId="0" applyFont="1" applyFill="1" applyBorder="1" applyAlignment="1">
      <alignment vertical="center"/>
    </xf>
    <xf numFmtId="14" fontId="0" fillId="5" borderId="7" xfId="0" applyNumberFormat="1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center" vertical="center"/>
    </xf>
    <xf numFmtId="0" fontId="0" fillId="6" borderId="114" xfId="0" applyFont="1" applyFill="1" applyBorder="1" applyAlignment="1">
      <alignment vertical="center"/>
    </xf>
    <xf numFmtId="0" fontId="0" fillId="4" borderId="110" xfId="0" applyFont="1" applyFill="1" applyBorder="1" applyAlignment="1">
      <alignment horizontal="center" vertical="center" wrapText="1"/>
    </xf>
    <xf numFmtId="14" fontId="0" fillId="4" borderId="42" xfId="0" applyNumberFormat="1" applyFont="1" applyFill="1" applyBorder="1" applyAlignment="1">
      <alignment horizontal="center" vertical="center"/>
    </xf>
    <xf numFmtId="0" fontId="0" fillId="4" borderId="42" xfId="0" applyFont="1" applyFill="1" applyBorder="1" applyAlignment="1">
      <alignment horizontal="left" vertical="center"/>
    </xf>
    <xf numFmtId="0" fontId="0" fillId="4" borderId="42" xfId="0" applyFont="1" applyFill="1" applyBorder="1" applyAlignment="1">
      <alignment horizontal="center" vertical="center"/>
    </xf>
    <xf numFmtId="0" fontId="0" fillId="4" borderId="42" xfId="0" applyFont="1" applyFill="1" applyBorder="1" applyAlignment="1">
      <alignment vertical="center"/>
    </xf>
    <xf numFmtId="14" fontId="0" fillId="4" borderId="28" xfId="0" applyNumberFormat="1" applyFont="1" applyFill="1" applyBorder="1" applyAlignment="1">
      <alignment horizontal="left" vertical="center"/>
    </xf>
    <xf numFmtId="14" fontId="0" fillId="0" borderId="110" xfId="0" applyNumberFormat="1" applyFont="1" applyFill="1" applyBorder="1" applyAlignment="1">
      <alignment horizontal="center" vertical="center"/>
    </xf>
    <xf numFmtId="0" fontId="0" fillId="0" borderId="110" xfId="0" applyFont="1" applyFill="1" applyBorder="1" applyAlignment="1">
      <alignment horizontal="left" vertical="center" wrapText="1"/>
    </xf>
    <xf numFmtId="0" fontId="0" fillId="0" borderId="110" xfId="0" applyFont="1" applyFill="1" applyBorder="1" applyAlignment="1">
      <alignment horizontal="center" vertical="center" wrapText="1"/>
    </xf>
    <xf numFmtId="0" fontId="0" fillId="0" borderId="51" xfId="0" applyFont="1" applyFill="1" applyBorder="1" applyAlignment="1">
      <alignment horizontal="center" vertical="center"/>
    </xf>
    <xf numFmtId="0" fontId="0" fillId="0" borderId="112" xfId="0" applyFont="1" applyFill="1" applyBorder="1" applyAlignment="1">
      <alignment horizontal="center" vertical="center"/>
    </xf>
    <xf numFmtId="0" fontId="0" fillId="0" borderId="46" xfId="0" applyFont="1" applyFill="1" applyBorder="1" applyAlignment="1">
      <alignment horizontal="center" vertical="center"/>
    </xf>
    <xf numFmtId="0" fontId="0" fillId="0" borderId="115" xfId="0" applyFont="1" applyFill="1" applyBorder="1" applyAlignment="1">
      <alignment horizontal="center" vertical="center"/>
    </xf>
    <xf numFmtId="0" fontId="0" fillId="0" borderId="37" xfId="0" applyFont="1" applyFill="1" applyBorder="1" applyAlignment="1">
      <alignment horizontal="center" vertical="center"/>
    </xf>
    <xf numFmtId="14" fontId="0" fillId="0" borderId="110" xfId="0" applyNumberFormat="1" applyFont="1" applyFill="1" applyBorder="1" applyAlignment="1">
      <alignment horizontal="center" vertical="center" wrapText="1"/>
    </xf>
    <xf numFmtId="0" fontId="0" fillId="0" borderId="110" xfId="0" applyFont="1" applyFill="1" applyBorder="1" applyAlignment="1">
      <alignment vertical="center" wrapText="1"/>
    </xf>
    <xf numFmtId="14" fontId="0" fillId="0" borderId="11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33" fillId="0" borderId="110" xfId="0" applyFont="1" applyFill="1" applyBorder="1" applyAlignment="1">
      <alignment vertical="center"/>
    </xf>
    <xf numFmtId="0" fontId="33" fillId="0" borderId="110" xfId="0" applyFont="1" applyFill="1" applyBorder="1"/>
    <xf numFmtId="0" fontId="0" fillId="0" borderId="110" xfId="0" applyFont="1" applyFill="1" applyBorder="1"/>
    <xf numFmtId="0" fontId="0" fillId="5" borderId="110" xfId="0" applyFont="1" applyFill="1" applyBorder="1" applyAlignment="1">
      <alignment horizontal="center" vertical="center" wrapText="1"/>
    </xf>
    <xf numFmtId="14" fontId="0" fillId="5" borderId="42" xfId="0" applyNumberFormat="1" applyFont="1" applyFill="1" applyBorder="1" applyAlignment="1">
      <alignment horizontal="center" vertical="center"/>
    </xf>
    <xf numFmtId="0" fontId="0" fillId="5" borderId="42" xfId="0" applyFont="1" applyFill="1" applyBorder="1" applyAlignment="1">
      <alignment horizontal="left" vertical="center"/>
    </xf>
    <xf numFmtId="0" fontId="0" fillId="5" borderId="42" xfId="0" applyFont="1" applyFill="1" applyBorder="1" applyAlignment="1">
      <alignment horizontal="center" vertical="center"/>
    </xf>
    <xf numFmtId="0" fontId="0" fillId="5" borderId="42" xfId="0" applyFont="1" applyFill="1" applyBorder="1" applyAlignment="1">
      <alignment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6" fillId="3" borderId="0" xfId="0" applyFont="1" applyFill="1" applyBorder="1"/>
    <xf numFmtId="14" fontId="0" fillId="3" borderId="114" xfId="0" applyNumberFormat="1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left" vertical="center"/>
    </xf>
    <xf numFmtId="14" fontId="0" fillId="17" borderId="119" xfId="0" applyNumberFormat="1" applyFill="1" applyBorder="1" applyAlignment="1">
      <alignment horizontal="center" vertical="center"/>
    </xf>
    <xf numFmtId="14" fontId="0" fillId="3" borderId="7" xfId="1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 wrapText="1"/>
    </xf>
    <xf numFmtId="0" fontId="0" fillId="3" borderId="110" xfId="0" applyFont="1" applyFill="1" applyBorder="1" applyAlignment="1">
      <alignment horizontal="left" vertical="center" wrapText="1"/>
    </xf>
    <xf numFmtId="0" fontId="0" fillId="3" borderId="110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left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0" fillId="4" borderId="114" xfId="0" applyFont="1" applyFill="1" applyBorder="1" applyAlignment="1">
      <alignment horizontal="left" vertical="center"/>
    </xf>
    <xf numFmtId="0" fontId="0" fillId="4" borderId="114" xfId="0" applyFont="1" applyFill="1" applyBorder="1" applyAlignment="1">
      <alignment horizontal="center" vertical="center"/>
    </xf>
    <xf numFmtId="0" fontId="0" fillId="3" borderId="42" xfId="0" applyFont="1" applyFill="1" applyBorder="1" applyAlignment="1">
      <alignment horizontal="left" vertical="center" wrapText="1"/>
    </xf>
    <xf numFmtId="0" fontId="0" fillId="0" borderId="34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left" vertical="center"/>
    </xf>
    <xf numFmtId="14" fontId="0" fillId="6" borderId="7" xfId="0" applyNumberFormat="1" applyFont="1" applyFill="1" applyBorder="1" applyAlignment="1">
      <alignment horizontal="center" vertical="center"/>
    </xf>
    <xf numFmtId="0" fontId="0" fillId="6" borderId="7" xfId="0" applyFont="1" applyFill="1" applyBorder="1" applyAlignment="1">
      <alignment horizontal="left" vertical="center"/>
    </xf>
    <xf numFmtId="0" fontId="0" fillId="6" borderId="7" xfId="0" applyFont="1" applyFill="1" applyBorder="1" applyAlignment="1">
      <alignment horizontal="center" vertical="center"/>
    </xf>
    <xf numFmtId="14" fontId="0" fillId="6" borderId="7" xfId="1" applyNumberFormat="1" applyFont="1" applyFill="1" applyBorder="1" applyAlignment="1">
      <alignment horizontal="center" vertical="center"/>
    </xf>
    <xf numFmtId="14" fontId="0" fillId="13" borderId="110" xfId="0" applyNumberFormat="1" applyFont="1" applyFill="1" applyBorder="1" applyAlignment="1">
      <alignment horizontal="center" vertical="center"/>
    </xf>
    <xf numFmtId="0" fontId="0" fillId="13" borderId="110" xfId="0" applyFont="1" applyFill="1" applyBorder="1" applyAlignment="1">
      <alignment horizontal="left" vertical="center"/>
    </xf>
    <xf numFmtId="0" fontId="0" fillId="13" borderId="110" xfId="0" applyFont="1" applyFill="1" applyBorder="1" applyAlignment="1">
      <alignment horizontal="center" vertical="center"/>
    </xf>
    <xf numFmtId="14" fontId="0" fillId="4" borderId="114" xfId="0" applyNumberFormat="1" applyFont="1" applyFill="1" applyBorder="1" applyAlignment="1">
      <alignment horizontal="center" vertical="center"/>
    </xf>
    <xf numFmtId="0" fontId="21" fillId="3" borderId="11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vertical="center"/>
    </xf>
    <xf numFmtId="0" fontId="15" fillId="6" borderId="42" xfId="0" applyFont="1" applyFill="1" applyBorder="1" applyAlignment="1">
      <alignment horizontal="left" vertical="center"/>
    </xf>
    <xf numFmtId="14" fontId="0" fillId="3" borderId="7" xfId="0" applyNumberFormat="1" applyFont="1" applyFill="1" applyBorder="1" applyAlignment="1">
      <alignment horizontal="center" vertical="center" wrapText="1"/>
    </xf>
    <xf numFmtId="0" fontId="0" fillId="4" borderId="114" xfId="0" applyFont="1" applyFill="1" applyBorder="1" applyAlignment="1">
      <alignment vertical="center"/>
    </xf>
    <xf numFmtId="0" fontId="14" fillId="4" borderId="114" xfId="0" applyFont="1" applyFill="1" applyBorder="1" applyAlignment="1">
      <alignment horizontal="center" vertical="center" wrapText="1"/>
    </xf>
    <xf numFmtId="0" fontId="0" fillId="3" borderId="28" xfId="0" applyFont="1" applyFill="1" applyBorder="1" applyAlignment="1">
      <alignment horizontal="center" vertical="center" wrapText="1"/>
    </xf>
    <xf numFmtId="14" fontId="6" fillId="4" borderId="28" xfId="0" applyNumberFormat="1" applyFont="1" applyFill="1" applyBorder="1" applyAlignment="1">
      <alignment horizontal="center" vertical="center"/>
    </xf>
    <xf numFmtId="0" fontId="6" fillId="4" borderId="28" xfId="0" applyFont="1" applyFill="1" applyBorder="1" applyAlignment="1">
      <alignment horizontal="left" vertical="center"/>
    </xf>
    <xf numFmtId="0" fontId="6" fillId="4" borderId="28" xfId="0" applyFont="1" applyFill="1" applyBorder="1" applyAlignment="1">
      <alignment vertical="center"/>
    </xf>
    <xf numFmtId="0" fontId="6" fillId="4" borderId="28" xfId="0" applyFont="1" applyFill="1" applyBorder="1" applyAlignment="1">
      <alignment horizontal="center" vertical="center" wrapText="1"/>
    </xf>
    <xf numFmtId="44" fontId="6" fillId="4" borderId="28" xfId="1" applyFont="1" applyFill="1" applyBorder="1" applyAlignment="1">
      <alignment horizontal="center" vertical="center"/>
    </xf>
    <xf numFmtId="0" fontId="0" fillId="4" borderId="90" xfId="0" applyFill="1" applyBorder="1" applyAlignment="1">
      <alignment vertical="center" wrapText="1"/>
    </xf>
    <xf numFmtId="0" fontId="0" fillId="4" borderId="119" xfId="0" applyFill="1" applyBorder="1" applyAlignment="1">
      <alignment vertical="center"/>
    </xf>
    <xf numFmtId="0" fontId="0" fillId="3" borderId="8" xfId="0" applyFont="1" applyFill="1" applyBorder="1" applyAlignment="1">
      <alignment horizontal="left" vertical="center" wrapText="1"/>
    </xf>
    <xf numFmtId="0" fontId="0" fillId="3" borderId="114" xfId="0" applyFont="1" applyFill="1" applyBorder="1" applyAlignment="1">
      <alignment horizontal="left" vertical="center" wrapText="1"/>
    </xf>
    <xf numFmtId="14" fontId="0" fillId="4" borderId="8" xfId="0" applyNumberFormat="1" applyFont="1" applyFill="1" applyBorder="1" applyAlignment="1">
      <alignment horizontal="center" vertical="center"/>
    </xf>
    <xf numFmtId="0" fontId="6" fillId="4" borderId="114" xfId="0" applyFont="1" applyFill="1" applyBorder="1" applyAlignment="1">
      <alignment horizontal="left" vertical="center"/>
    </xf>
    <xf numFmtId="0" fontId="6" fillId="4" borderId="114" xfId="0" applyFont="1" applyFill="1" applyBorder="1" applyAlignment="1">
      <alignment horizontal="center" vertical="center"/>
    </xf>
    <xf numFmtId="0" fontId="0" fillId="4" borderId="114" xfId="0" applyFont="1" applyFill="1" applyBorder="1" applyAlignment="1">
      <alignment vertical="center" wrapText="1"/>
    </xf>
    <xf numFmtId="0" fontId="5" fillId="3" borderId="0" xfId="0" applyFont="1" applyFill="1" applyBorder="1"/>
    <xf numFmtId="0" fontId="0" fillId="3" borderId="0" xfId="0" applyFont="1" applyFill="1" applyBorder="1"/>
    <xf numFmtId="0" fontId="0" fillId="4" borderId="42" xfId="0" applyFont="1" applyFill="1" applyBorder="1" applyAlignment="1">
      <alignment horizontal="left" vertical="center" wrapText="1"/>
    </xf>
    <xf numFmtId="0" fontId="19" fillId="4" borderId="114" xfId="0" applyFont="1" applyFill="1" applyBorder="1" applyAlignment="1">
      <alignment horizontal="left" vertical="center"/>
    </xf>
    <xf numFmtId="49" fontId="6" fillId="6" borderId="114" xfId="1" applyNumberFormat="1" applyFont="1" applyFill="1" applyBorder="1" applyAlignment="1">
      <alignment horizontal="center" vertical="center"/>
    </xf>
    <xf numFmtId="14" fontId="6" fillId="4" borderId="114" xfId="1" applyNumberFormat="1" applyFont="1" applyFill="1" applyBorder="1" applyAlignment="1">
      <alignment horizontal="center" vertical="center"/>
    </xf>
    <xf numFmtId="14" fontId="0" fillId="4" borderId="8" xfId="1" applyNumberFormat="1" applyFont="1" applyFill="1" applyBorder="1" applyAlignment="1">
      <alignment horizontal="center" vertical="center"/>
    </xf>
    <xf numFmtId="44" fontId="0" fillId="4" borderId="8" xfId="1" applyFont="1" applyFill="1" applyBorder="1" applyAlignment="1">
      <alignment horizontal="center" vertical="center" wrapText="1"/>
    </xf>
    <xf numFmtId="0" fontId="0" fillId="3" borderId="39" xfId="0" applyFont="1" applyFill="1" applyBorder="1" applyAlignment="1">
      <alignment horizontal="left" vertical="center"/>
    </xf>
    <xf numFmtId="0" fontId="0" fillId="3" borderId="39" xfId="0" applyFont="1" applyFill="1" applyBorder="1" applyAlignment="1">
      <alignment horizontal="center" vertical="center"/>
    </xf>
    <xf numFmtId="0" fontId="0" fillId="3" borderId="39" xfId="0" applyFont="1" applyFill="1" applyBorder="1" applyAlignment="1">
      <alignment vertical="center"/>
    </xf>
    <xf numFmtId="0" fontId="0" fillId="3" borderId="8" xfId="0" applyFont="1" applyFill="1" applyBorder="1" applyAlignment="1">
      <alignment vertical="center" wrapText="1"/>
    </xf>
    <xf numFmtId="0" fontId="0" fillId="3" borderId="28" xfId="0" applyFont="1" applyFill="1" applyBorder="1" applyAlignment="1">
      <alignment horizontal="left" vertical="center" wrapText="1"/>
    </xf>
    <xf numFmtId="0" fontId="6" fillId="3" borderId="39" xfId="0" applyFont="1" applyFill="1" applyBorder="1" applyAlignment="1">
      <alignment vertical="center"/>
    </xf>
    <xf numFmtId="14" fontId="6" fillId="3" borderId="39" xfId="0" applyNumberFormat="1" applyFont="1" applyFill="1" applyBorder="1" applyAlignment="1">
      <alignment horizontal="center" vertical="center"/>
    </xf>
    <xf numFmtId="0" fontId="6" fillId="3" borderId="39" xfId="0" applyFont="1" applyFill="1" applyBorder="1" applyAlignment="1">
      <alignment horizontal="left" vertical="center"/>
    </xf>
    <xf numFmtId="0" fontId="6" fillId="3" borderId="39" xfId="0" applyFont="1" applyFill="1" applyBorder="1" applyAlignment="1">
      <alignment horizontal="center" vertical="center"/>
    </xf>
    <xf numFmtId="0" fontId="6" fillId="3" borderId="39" xfId="0" applyFont="1" applyFill="1" applyBorder="1" applyAlignment="1">
      <alignment horizontal="center" vertical="center" wrapText="1"/>
    </xf>
    <xf numFmtId="44" fontId="6" fillId="3" borderId="39" xfId="1" applyFont="1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vertical="center"/>
    </xf>
    <xf numFmtId="0" fontId="0" fillId="4" borderId="110" xfId="0" applyFont="1" applyFill="1" applyBorder="1" applyAlignment="1">
      <alignment horizontal="left" vertical="center" wrapText="1"/>
    </xf>
    <xf numFmtId="14" fontId="0" fillId="0" borderId="110" xfId="0" applyNumberFormat="1" applyFill="1" applyBorder="1" applyAlignment="1">
      <alignment horizontal="center" vertical="center"/>
    </xf>
    <xf numFmtId="0" fontId="0" fillId="0" borderId="110" xfId="0" applyFill="1" applyBorder="1"/>
    <xf numFmtId="44" fontId="2" fillId="2" borderId="143" xfId="1" applyFont="1" applyFill="1" applyBorder="1" applyAlignment="1">
      <alignment horizontal="left" vertical="center" wrapText="1"/>
    </xf>
    <xf numFmtId="44" fontId="2" fillId="2" borderId="144" xfId="1" applyFont="1" applyFill="1" applyBorder="1" applyAlignment="1">
      <alignment horizontal="center" vertical="center" wrapText="1"/>
    </xf>
    <xf numFmtId="0" fontId="2" fillId="2" borderId="144" xfId="0" applyFont="1" applyFill="1" applyBorder="1" applyAlignment="1">
      <alignment horizontal="center" vertical="center" wrapText="1"/>
    </xf>
    <xf numFmtId="0" fontId="0" fillId="0" borderId="51" xfId="0" applyFill="1" applyBorder="1"/>
    <xf numFmtId="0" fontId="0" fillId="0" borderId="112" xfId="0" applyFill="1" applyBorder="1"/>
    <xf numFmtId="0" fontId="0" fillId="0" borderId="111" xfId="0" applyFont="1" applyFill="1" applyBorder="1" applyAlignment="1">
      <alignment horizontal="left" vertical="center"/>
    </xf>
    <xf numFmtId="0" fontId="0" fillId="0" borderId="111" xfId="0" applyBorder="1"/>
    <xf numFmtId="0" fontId="0" fillId="0" borderId="112" xfId="0" applyBorder="1"/>
    <xf numFmtId="0" fontId="0" fillId="0" borderId="113" xfId="0" applyBorder="1"/>
    <xf numFmtId="0" fontId="0" fillId="0" borderId="114" xfId="0" applyBorder="1"/>
    <xf numFmtId="0" fontId="0" fillId="0" borderId="115" xfId="0" applyBorder="1"/>
    <xf numFmtId="0" fontId="0" fillId="3" borderId="50" xfId="0" applyFill="1" applyBorder="1" applyAlignment="1">
      <alignment horizontal="left" vertical="center"/>
    </xf>
    <xf numFmtId="0" fontId="0" fillId="3" borderId="111" xfId="0" applyFill="1" applyBorder="1" applyAlignment="1">
      <alignment horizontal="left" vertical="center"/>
    </xf>
    <xf numFmtId="0" fontId="30" fillId="0" borderId="110" xfId="0" applyFont="1" applyFill="1" applyBorder="1" applyAlignment="1">
      <alignment vertical="center"/>
    </xf>
    <xf numFmtId="0" fontId="0" fillId="3" borderId="110" xfId="0" applyFont="1" applyFill="1" applyBorder="1" applyAlignment="1">
      <alignment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14" fontId="0" fillId="4" borderId="114" xfId="0" applyNumberFormat="1" applyFont="1" applyFill="1" applyBorder="1" applyAlignment="1">
      <alignment horizontal="left" vertical="center"/>
    </xf>
    <xf numFmtId="0" fontId="0" fillId="3" borderId="90" xfId="0" applyFill="1" applyBorder="1" applyAlignment="1">
      <alignment vertical="center"/>
    </xf>
    <xf numFmtId="14" fontId="0" fillId="4" borderId="110" xfId="0" applyNumberFormat="1" applyFont="1" applyFill="1" applyBorder="1" applyAlignment="1">
      <alignment horizontal="left" vertical="center"/>
    </xf>
    <xf numFmtId="0" fontId="19" fillId="4" borderId="114" xfId="0" applyFont="1" applyFill="1" applyBorder="1" applyAlignment="1">
      <alignment horizontal="center" vertical="center"/>
    </xf>
    <xf numFmtId="0" fontId="0" fillId="0" borderId="110" xfId="0" applyBorder="1" applyAlignment="1">
      <alignment wrapText="1"/>
    </xf>
    <xf numFmtId="0" fontId="41" fillId="5" borderId="0" xfId="0" applyFont="1" applyFill="1" applyBorder="1" applyAlignment="1">
      <alignment vertical="center"/>
    </xf>
    <xf numFmtId="0" fontId="0" fillId="6" borderId="119" xfId="0" applyFill="1" applyBorder="1" applyAlignment="1">
      <alignment vertical="center" wrapText="1"/>
    </xf>
    <xf numFmtId="3" fontId="0" fillId="4" borderId="110" xfId="0" applyNumberFormat="1" applyFont="1" applyFill="1" applyBorder="1" applyAlignment="1">
      <alignment vertical="center"/>
    </xf>
    <xf numFmtId="0" fontId="6" fillId="3" borderId="110" xfId="0" applyFont="1" applyFill="1" applyBorder="1" applyAlignment="1">
      <alignment horizontal="center" vertical="center" wrapText="1"/>
    </xf>
    <xf numFmtId="0" fontId="6" fillId="3" borderId="114" xfId="0" applyFont="1" applyFill="1" applyBorder="1" applyAlignment="1">
      <alignment horizontal="center" vertical="center" wrapText="1"/>
    </xf>
    <xf numFmtId="0" fontId="0" fillId="6" borderId="122" xfId="0" applyFill="1" applyBorder="1" applyAlignment="1">
      <alignment horizontal="left" vertical="center"/>
    </xf>
    <xf numFmtId="0" fontId="0" fillId="6" borderId="90" xfId="0" applyFill="1" applyBorder="1" applyAlignment="1">
      <alignment vertical="center"/>
    </xf>
    <xf numFmtId="0" fontId="0" fillId="6" borderId="90" xfId="0" applyFill="1" applyBorder="1" applyAlignment="1">
      <alignment horizontal="center" vertical="center"/>
    </xf>
    <xf numFmtId="0" fontId="0" fillId="6" borderId="90" xfId="0" applyFill="1" applyBorder="1" applyAlignment="1">
      <alignment horizontal="left" vertical="center"/>
    </xf>
    <xf numFmtId="44" fontId="0" fillId="6" borderId="90" xfId="1" applyFont="1" applyFill="1" applyBorder="1" applyAlignment="1">
      <alignment horizontal="center" vertical="center"/>
    </xf>
    <xf numFmtId="14" fontId="0" fillId="6" borderId="90" xfId="0" applyNumberFormat="1" applyFill="1" applyBorder="1" applyAlignment="1">
      <alignment horizontal="center" vertical="center"/>
    </xf>
    <xf numFmtId="0" fontId="0" fillId="5" borderId="42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4" borderId="0" xfId="0" applyFill="1" applyBorder="1" applyAlignment="1">
      <alignment vertical="center"/>
    </xf>
    <xf numFmtId="0" fontId="0" fillId="6" borderId="0" xfId="0" applyFill="1" applyBorder="1"/>
    <xf numFmtId="0" fontId="0" fillId="5" borderId="0" xfId="0" applyFill="1" applyBorder="1"/>
    <xf numFmtId="0" fontId="15" fillId="5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42" xfId="0" applyFont="1" applyFill="1" applyBorder="1" applyAlignment="1">
      <alignment horizontal="center" vertical="center" wrapText="1"/>
    </xf>
    <xf numFmtId="0" fontId="0" fillId="5" borderId="28" xfId="0" applyFont="1" applyFill="1" applyBorder="1" applyAlignment="1">
      <alignment horizontal="center" vertical="center" wrapText="1"/>
    </xf>
    <xf numFmtId="14" fontId="0" fillId="4" borderId="42" xfId="0" applyNumberFormat="1" applyFont="1" applyFill="1" applyBorder="1" applyAlignment="1">
      <alignment horizontal="left" vertical="center"/>
    </xf>
    <xf numFmtId="3" fontId="0" fillId="3" borderId="110" xfId="0" applyNumberFormat="1" applyFont="1" applyFill="1" applyBorder="1" applyAlignment="1">
      <alignment vertical="center"/>
    </xf>
    <xf numFmtId="0" fontId="0" fillId="0" borderId="111" xfId="0" applyFill="1" applyBorder="1" applyAlignment="1">
      <alignment horizontal="left" vertical="center"/>
    </xf>
    <xf numFmtId="0" fontId="15" fillId="5" borderId="110" xfId="0" applyFont="1" applyFill="1" applyBorder="1" applyAlignment="1">
      <alignment horizontal="left" vertical="center"/>
    </xf>
    <xf numFmtId="0" fontId="6" fillId="7" borderId="118" xfId="0" applyFont="1" applyFill="1" applyBorder="1" applyAlignment="1">
      <alignment horizontal="left" vertical="center"/>
    </xf>
    <xf numFmtId="0" fontId="6" fillId="7" borderId="119" xfId="0" applyFont="1" applyFill="1" applyBorder="1" applyAlignment="1">
      <alignment horizontal="center" vertical="center"/>
    </xf>
    <xf numFmtId="0" fontId="6" fillId="7" borderId="119" xfId="0" applyFont="1" applyFill="1" applyBorder="1" applyAlignment="1">
      <alignment horizontal="left" vertical="center"/>
    </xf>
    <xf numFmtId="44" fontId="6" fillId="7" borderId="119" xfId="1" applyFont="1" applyFill="1" applyBorder="1" applyAlignment="1">
      <alignment horizontal="center" vertical="center"/>
    </xf>
    <xf numFmtId="14" fontId="6" fillId="7" borderId="119" xfId="0" applyNumberFormat="1" applyFont="1" applyFill="1" applyBorder="1" applyAlignment="1">
      <alignment horizontal="center" vertical="center"/>
    </xf>
    <xf numFmtId="14" fontId="6" fillId="7" borderId="119" xfId="0" applyNumberFormat="1" applyFont="1" applyFill="1" applyBorder="1" applyAlignment="1">
      <alignment horizontal="center" vertical="center" wrapText="1"/>
    </xf>
    <xf numFmtId="0" fontId="0" fillId="7" borderId="122" xfId="0" applyFill="1" applyBorder="1" applyAlignment="1">
      <alignment horizontal="left" vertical="center"/>
    </xf>
    <xf numFmtId="0" fontId="0" fillId="7" borderId="90" xfId="0" applyFill="1" applyBorder="1" applyAlignment="1">
      <alignment vertical="center"/>
    </xf>
    <xf numFmtId="0" fontId="0" fillId="7" borderId="90" xfId="0" applyFill="1" applyBorder="1" applyAlignment="1">
      <alignment horizontal="center" vertical="center"/>
    </xf>
    <xf numFmtId="0" fontId="0" fillId="7" borderId="90" xfId="0" applyFill="1" applyBorder="1" applyAlignment="1">
      <alignment horizontal="left" vertical="center"/>
    </xf>
    <xf numFmtId="44" fontId="0" fillId="7" borderId="90" xfId="1" applyFont="1" applyFill="1" applyBorder="1" applyAlignment="1">
      <alignment horizontal="center" vertical="center"/>
    </xf>
    <xf numFmtId="14" fontId="0" fillId="7" borderId="90" xfId="0" applyNumberFormat="1" applyFill="1" applyBorder="1" applyAlignment="1">
      <alignment horizontal="center" vertical="center"/>
    </xf>
    <xf numFmtId="0" fontId="0" fillId="5" borderId="39" xfId="0" applyFont="1" applyFill="1" applyBorder="1" applyAlignment="1">
      <alignment horizontal="left" vertical="center"/>
    </xf>
    <xf numFmtId="0" fontId="0" fillId="4" borderId="114" xfId="0" applyFont="1" applyFill="1" applyBorder="1" applyAlignment="1">
      <alignment horizontal="center" vertical="center" wrapText="1"/>
    </xf>
    <xf numFmtId="0" fontId="0" fillId="6" borderId="39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 wrapText="1"/>
    </xf>
    <xf numFmtId="14" fontId="0" fillId="14" borderId="28" xfId="0" applyNumberFormat="1" applyFont="1" applyFill="1" applyBorder="1" applyAlignment="1">
      <alignment horizontal="center" vertical="center"/>
    </xf>
    <xf numFmtId="0" fontId="0" fillId="14" borderId="28" xfId="0" applyFont="1" applyFill="1" applyBorder="1" applyAlignment="1">
      <alignment horizontal="left" vertical="center"/>
    </xf>
    <xf numFmtId="0" fontId="0" fillId="14" borderId="28" xfId="0" applyFont="1" applyFill="1" applyBorder="1" applyAlignment="1">
      <alignment horizontal="center" vertical="center"/>
    </xf>
    <xf numFmtId="0" fontId="0" fillId="14" borderId="28" xfId="0" applyFont="1" applyFill="1" applyBorder="1" applyAlignment="1">
      <alignment vertical="center"/>
    </xf>
    <xf numFmtId="14" fontId="0" fillId="14" borderId="28" xfId="1" applyNumberFormat="1" applyFont="1" applyFill="1" applyBorder="1" applyAlignment="1">
      <alignment horizontal="center" vertical="center"/>
    </xf>
    <xf numFmtId="44" fontId="0" fillId="14" borderId="28" xfId="1" applyFont="1" applyFill="1" applyBorder="1" applyAlignment="1">
      <alignment horizontal="center" vertical="center" wrapText="1"/>
    </xf>
    <xf numFmtId="14" fontId="0" fillId="14" borderId="39" xfId="0" applyNumberFormat="1" applyFont="1" applyFill="1" applyBorder="1" applyAlignment="1">
      <alignment horizontal="center" vertical="center"/>
    </xf>
    <xf numFmtId="0" fontId="0" fillId="14" borderId="39" xfId="0" applyFont="1" applyFill="1" applyBorder="1" applyAlignment="1">
      <alignment horizontal="left" vertical="center"/>
    </xf>
    <xf numFmtId="0" fontId="0" fillId="14" borderId="39" xfId="0" applyFont="1" applyFill="1" applyBorder="1" applyAlignment="1">
      <alignment horizontal="center" vertical="center"/>
    </xf>
    <xf numFmtId="0" fontId="0" fillId="14" borderId="39" xfId="0" applyFont="1" applyFill="1" applyBorder="1" applyAlignment="1">
      <alignment vertical="center"/>
    </xf>
    <xf numFmtId="44" fontId="0" fillId="14" borderId="39" xfId="1" applyFont="1" applyFill="1" applyBorder="1" applyAlignment="1">
      <alignment horizontal="center" vertical="center"/>
    </xf>
    <xf numFmtId="49" fontId="0" fillId="14" borderId="39" xfId="1" applyNumberFormat="1" applyFont="1" applyFill="1" applyBorder="1" applyAlignment="1">
      <alignment horizontal="center" vertical="center"/>
    </xf>
    <xf numFmtId="14" fontId="0" fillId="14" borderId="39" xfId="1" applyNumberFormat="1" applyFont="1" applyFill="1" applyBorder="1" applyAlignment="1">
      <alignment horizontal="center" vertical="center"/>
    </xf>
    <xf numFmtId="44" fontId="0" fillId="14" borderId="39" xfId="1" applyFont="1" applyFill="1" applyBorder="1" applyAlignment="1">
      <alignment horizontal="center" vertical="center" wrapText="1"/>
    </xf>
    <xf numFmtId="14" fontId="0" fillId="3" borderId="110" xfId="0" applyNumberFormat="1" applyFont="1" applyFill="1" applyBorder="1" applyAlignment="1">
      <alignment horizontal="left" vertical="center"/>
    </xf>
    <xf numFmtId="0" fontId="0" fillId="5" borderId="122" xfId="0" applyFill="1" applyBorder="1" applyAlignment="1">
      <alignment horizontal="left" vertical="center"/>
    </xf>
    <xf numFmtId="0" fontId="0" fillId="5" borderId="90" xfId="0" applyFill="1" applyBorder="1" applyAlignment="1">
      <alignment vertical="center"/>
    </xf>
    <xf numFmtId="0" fontId="0" fillId="5" borderId="90" xfId="0" applyFill="1" applyBorder="1" applyAlignment="1">
      <alignment horizontal="center" vertical="center"/>
    </xf>
    <xf numFmtId="0" fontId="0" fillId="5" borderId="90" xfId="0" applyFill="1" applyBorder="1" applyAlignment="1">
      <alignment horizontal="left" vertical="center"/>
    </xf>
    <xf numFmtId="44" fontId="0" fillId="5" borderId="90" xfId="1" applyFont="1" applyFill="1" applyBorder="1" applyAlignment="1">
      <alignment horizontal="center" vertical="center"/>
    </xf>
    <xf numFmtId="14" fontId="0" fillId="5" borderId="90" xfId="0" applyNumberFormat="1" applyFill="1" applyBorder="1" applyAlignment="1">
      <alignment horizontal="center" vertical="center"/>
    </xf>
    <xf numFmtId="0" fontId="45" fillId="0" borderId="0" xfId="29" applyFill="1" applyAlignment="1">
      <alignment horizontal="center" vertical="center"/>
    </xf>
    <xf numFmtId="14" fontId="0" fillId="0" borderId="114" xfId="0" applyNumberFormat="1" applyFont="1" applyFill="1" applyBorder="1" applyAlignment="1">
      <alignment horizontal="center" vertical="center"/>
    </xf>
    <xf numFmtId="0" fontId="0" fillId="0" borderId="114" xfId="0" applyFont="1" applyFill="1" applyBorder="1" applyAlignment="1">
      <alignment horizontal="left" vertical="center"/>
    </xf>
    <xf numFmtId="0" fontId="0" fillId="0" borderId="114" xfId="0" applyFont="1" applyFill="1" applyBorder="1" applyAlignment="1">
      <alignment vertical="center"/>
    </xf>
    <xf numFmtId="44" fontId="0" fillId="0" borderId="114" xfId="1" applyFont="1" applyFill="1" applyBorder="1" applyAlignment="1">
      <alignment horizontal="center" vertical="center"/>
    </xf>
    <xf numFmtId="0" fontId="0" fillId="6" borderId="7" xfId="0" applyFont="1" applyFill="1" applyBorder="1" applyAlignment="1">
      <alignment vertical="center"/>
    </xf>
    <xf numFmtId="14" fontId="0" fillId="0" borderId="28" xfId="0" applyNumberFormat="1" applyFont="1" applyFill="1" applyBorder="1" applyAlignment="1">
      <alignment horizontal="center" vertical="center"/>
    </xf>
    <xf numFmtId="0" fontId="0" fillId="0" borderId="28" xfId="0" applyFont="1" applyFill="1" applyBorder="1" applyAlignment="1">
      <alignment horizontal="left" vertical="center"/>
    </xf>
    <xf numFmtId="14" fontId="0" fillId="0" borderId="28" xfId="1" applyNumberFormat="1" applyFont="1" applyFill="1" applyBorder="1" applyAlignment="1">
      <alignment horizontal="center" vertical="center"/>
    </xf>
    <xf numFmtId="14" fontId="0" fillId="0" borderId="114" xfId="1" applyNumberFormat="1" applyFont="1" applyFill="1" applyBorder="1" applyAlignment="1">
      <alignment horizontal="center" vertical="center"/>
    </xf>
    <xf numFmtId="14" fontId="0" fillId="6" borderId="110" xfId="0" applyNumberFormat="1" applyFont="1" applyFill="1" applyBorder="1" applyAlignment="1">
      <alignment horizontal="center" vertical="center" wrapText="1"/>
    </xf>
    <xf numFmtId="44" fontId="1" fillId="3" borderId="110" xfId="1" applyFont="1" applyFill="1" applyBorder="1" applyAlignment="1">
      <alignment horizontal="center" vertical="center"/>
    </xf>
    <xf numFmtId="49" fontId="0" fillId="3" borderId="110" xfId="0" applyNumberFormat="1" applyFont="1" applyFill="1" applyBorder="1" applyAlignment="1">
      <alignment horizontal="center" vertical="center"/>
    </xf>
    <xf numFmtId="0" fontId="0" fillId="4" borderId="28" xfId="0" applyFont="1" applyFill="1" applyBorder="1" applyAlignment="1">
      <alignment horizontal="center" vertical="center" wrapText="1"/>
    </xf>
    <xf numFmtId="0" fontId="0" fillId="3" borderId="114" xfId="0" applyFont="1" applyFill="1" applyBorder="1" applyAlignment="1">
      <alignment horizontal="center" vertical="center" wrapText="1"/>
    </xf>
    <xf numFmtId="14" fontId="0" fillId="5" borderId="42" xfId="0" applyNumberFormat="1" applyFont="1" applyFill="1" applyBorder="1" applyAlignment="1">
      <alignment horizontal="left" vertical="center"/>
    </xf>
    <xf numFmtId="0" fontId="0" fillId="3" borderId="7" xfId="0" applyFont="1" applyFill="1" applyBorder="1" applyAlignment="1">
      <alignment horizontal="center" vertical="center" wrapText="1"/>
    </xf>
    <xf numFmtId="0" fontId="0" fillId="5" borderId="110" xfId="0" applyFont="1" applyFill="1" applyBorder="1" applyAlignment="1">
      <alignment horizontal="left" vertical="center" wrapText="1"/>
    </xf>
    <xf numFmtId="0" fontId="15" fillId="6" borderId="28" xfId="0" applyFont="1" applyFill="1" applyBorder="1" applyAlignment="1">
      <alignment horizontal="left" vertical="center"/>
    </xf>
    <xf numFmtId="14" fontId="6" fillId="3" borderId="110" xfId="0" applyNumberFormat="1" applyFont="1" applyFill="1" applyBorder="1" applyAlignment="1">
      <alignment horizontal="left" vertical="center"/>
    </xf>
    <xf numFmtId="14" fontId="0" fillId="6" borderId="42" xfId="1" applyNumberFormat="1" applyFont="1" applyFill="1" applyBorder="1" applyAlignment="1">
      <alignment horizontal="center" vertical="center"/>
    </xf>
    <xf numFmtId="0" fontId="0" fillId="3" borderId="94" xfId="0" applyFill="1" applyBorder="1" applyAlignment="1">
      <alignment vertical="center"/>
    </xf>
    <xf numFmtId="44" fontId="15" fillId="4" borderId="7" xfId="1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 wrapText="1"/>
    </xf>
    <xf numFmtId="14" fontId="0" fillId="5" borderId="11" xfId="0" applyNumberFormat="1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left" vertical="center"/>
    </xf>
    <xf numFmtId="0" fontId="0" fillId="5" borderId="11" xfId="0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vertical="center"/>
    </xf>
    <xf numFmtId="49" fontId="0" fillId="5" borderId="11" xfId="1" applyNumberFormat="1" applyFont="1" applyFill="1" applyBorder="1" applyAlignment="1">
      <alignment horizontal="center" vertical="center"/>
    </xf>
    <xf numFmtId="49" fontId="0" fillId="5" borderId="17" xfId="1" applyNumberFormat="1" applyFont="1" applyFill="1" applyBorder="1" applyAlignment="1">
      <alignment horizontal="center" vertical="center"/>
    </xf>
    <xf numFmtId="0" fontId="0" fillId="7" borderId="110" xfId="0" applyFont="1" applyFill="1" applyBorder="1" applyAlignment="1">
      <alignment horizontal="center" vertical="center"/>
    </xf>
    <xf numFmtId="0" fontId="29" fillId="0" borderId="119" xfId="0" applyFont="1" applyBorder="1" applyAlignment="1">
      <alignment horizontal="left" vertical="center"/>
    </xf>
    <xf numFmtId="14" fontId="0" fillId="6" borderId="119" xfId="0" applyNumberFormat="1" applyFill="1" applyBorder="1" applyAlignment="1">
      <alignment horizontal="center" vertical="center" wrapText="1"/>
    </xf>
    <xf numFmtId="14" fontId="0" fillId="5" borderId="7" xfId="0" applyNumberFormat="1" applyFont="1" applyFill="1" applyBorder="1" applyAlignment="1">
      <alignment horizontal="left" vertical="center"/>
    </xf>
    <xf numFmtId="14" fontId="0" fillId="0" borderId="8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left" vertical="center"/>
    </xf>
    <xf numFmtId="44" fontId="0" fillId="0" borderId="8" xfId="1" applyFont="1" applyFill="1" applyBorder="1" applyAlignment="1">
      <alignment horizontal="center" vertical="center"/>
    </xf>
    <xf numFmtId="49" fontId="0" fillId="0" borderId="8" xfId="1" applyNumberFormat="1" applyFont="1" applyFill="1" applyBorder="1" applyAlignment="1">
      <alignment horizontal="center" vertical="center"/>
    </xf>
    <xf numFmtId="14" fontId="6" fillId="6" borderId="28" xfId="0" applyNumberFormat="1" applyFont="1" applyFill="1" applyBorder="1" applyAlignment="1">
      <alignment horizontal="center" vertical="center"/>
    </xf>
    <xf numFmtId="14" fontId="6" fillId="6" borderId="114" xfId="0" applyNumberFormat="1" applyFont="1" applyFill="1" applyBorder="1" applyAlignment="1">
      <alignment horizontal="center" vertical="center"/>
    </xf>
    <xf numFmtId="44" fontId="1" fillId="6" borderId="119" xfId="1" applyFont="1" applyFill="1" applyBorder="1" applyAlignment="1">
      <alignment horizontal="center" vertical="center"/>
    </xf>
    <xf numFmtId="44" fontId="0" fillId="0" borderId="28" xfId="1" applyFont="1" applyFill="1" applyBorder="1" applyAlignment="1">
      <alignment horizontal="center" vertical="center" wrapText="1"/>
    </xf>
    <xf numFmtId="14" fontId="0" fillId="6" borderId="8" xfId="0" applyNumberFormat="1" applyFont="1" applyFill="1" applyBorder="1" applyAlignment="1">
      <alignment horizontal="center" vertical="center"/>
    </xf>
    <xf numFmtId="0" fontId="0" fillId="6" borderId="8" xfId="0" applyFont="1" applyFill="1" applyBorder="1" applyAlignment="1">
      <alignment horizontal="center" vertical="center"/>
    </xf>
    <xf numFmtId="0" fontId="0" fillId="6" borderId="8" xfId="0" applyFont="1" applyFill="1" applyBorder="1" applyAlignment="1">
      <alignment vertical="center"/>
    </xf>
    <xf numFmtId="0" fontId="0" fillId="6" borderId="8" xfId="0" applyFont="1" applyFill="1" applyBorder="1" applyAlignment="1">
      <alignment horizontal="left" vertical="center"/>
    </xf>
    <xf numFmtId="14" fontId="0" fillId="6" borderId="8" xfId="1" applyNumberFormat="1" applyFont="1" applyFill="1" applyBorder="1" applyAlignment="1">
      <alignment horizontal="center" vertical="center"/>
    </xf>
    <xf numFmtId="14" fontId="0" fillId="6" borderId="39" xfId="0" applyNumberFormat="1" applyFont="1" applyFill="1" applyBorder="1" applyAlignment="1">
      <alignment horizontal="center" vertical="center"/>
    </xf>
    <xf numFmtId="0" fontId="0" fillId="6" borderId="39" xfId="0" applyFont="1" applyFill="1" applyBorder="1" applyAlignment="1">
      <alignment horizontal="center" vertical="center"/>
    </xf>
    <xf numFmtId="0" fontId="0" fillId="6" borderId="39" xfId="0" applyFont="1" applyFill="1" applyBorder="1" applyAlignment="1">
      <alignment vertical="center"/>
    </xf>
    <xf numFmtId="44" fontId="0" fillId="6" borderId="39" xfId="1" applyFont="1" applyFill="1" applyBorder="1" applyAlignment="1">
      <alignment horizontal="center" vertical="center"/>
    </xf>
    <xf numFmtId="0" fontId="15" fillId="6" borderId="39" xfId="0" applyFont="1" applyFill="1" applyBorder="1" applyAlignment="1">
      <alignment horizontal="left" vertical="center"/>
    </xf>
    <xf numFmtId="44" fontId="0" fillId="6" borderId="8" xfId="1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left" vertical="center"/>
    </xf>
    <xf numFmtId="0" fontId="2" fillId="6" borderId="7" xfId="0" applyFont="1" applyFill="1" applyBorder="1" applyAlignment="1">
      <alignment horizontal="center" vertical="center"/>
    </xf>
    <xf numFmtId="44" fontId="0" fillId="6" borderId="114" xfId="1" applyFont="1" applyFill="1" applyBorder="1" applyAlignment="1">
      <alignment horizontal="center" vertical="center" wrapText="1"/>
    </xf>
    <xf numFmtId="0" fontId="14" fillId="5" borderId="110" xfId="0" applyFont="1" applyFill="1" applyBorder="1" applyAlignment="1">
      <alignment horizontal="left" vertical="center"/>
    </xf>
    <xf numFmtId="44" fontId="0" fillId="6" borderId="28" xfId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left" vertical="center"/>
    </xf>
    <xf numFmtId="0" fontId="15" fillId="0" borderId="8" xfId="0" applyFont="1" applyFill="1" applyBorder="1" applyAlignment="1">
      <alignment horizontal="center" vertical="center"/>
    </xf>
    <xf numFmtId="44" fontId="0" fillId="0" borderId="114" xfId="1" applyFont="1" applyFill="1" applyBorder="1" applyAlignment="1">
      <alignment horizontal="center" vertical="center" wrapText="1"/>
    </xf>
    <xf numFmtId="4" fontId="0" fillId="5" borderId="110" xfId="0" applyNumberFormat="1" applyFont="1" applyFill="1" applyBorder="1" applyAlignment="1">
      <alignment vertical="center"/>
    </xf>
    <xf numFmtId="14" fontId="0" fillId="13" borderId="110" xfId="1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15" fillId="3" borderId="39" xfId="0" applyFont="1" applyFill="1" applyBorder="1" applyAlignment="1">
      <alignment horizontal="center" vertical="center"/>
    </xf>
    <xf numFmtId="14" fontId="0" fillId="5" borderId="61" xfId="0" applyNumberFormat="1" applyFont="1" applyFill="1" applyBorder="1" applyAlignment="1">
      <alignment horizontal="center" vertical="center"/>
    </xf>
    <xf numFmtId="0" fontId="0" fillId="5" borderId="61" xfId="0" applyFont="1" applyFill="1" applyBorder="1" applyAlignment="1">
      <alignment horizontal="left" vertical="center"/>
    </xf>
    <xf numFmtId="0" fontId="0" fillId="5" borderId="61" xfId="0" applyFont="1" applyFill="1" applyBorder="1" applyAlignment="1">
      <alignment horizontal="center" vertical="center"/>
    </xf>
    <xf numFmtId="0" fontId="0" fillId="5" borderId="61" xfId="0" applyFont="1" applyFill="1" applyBorder="1" applyAlignment="1">
      <alignment vertical="center"/>
    </xf>
    <xf numFmtId="49" fontId="0" fillId="5" borderId="61" xfId="1" applyNumberFormat="1" applyFont="1" applyFill="1" applyBorder="1" applyAlignment="1">
      <alignment horizontal="center" vertical="center"/>
    </xf>
    <xf numFmtId="0" fontId="0" fillId="0" borderId="28" xfId="0" applyBorder="1"/>
    <xf numFmtId="14" fontId="6" fillId="5" borderId="110" xfId="0" applyNumberFormat="1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left" vertical="center"/>
    </xf>
    <xf numFmtId="0" fontId="2" fillId="6" borderId="8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vertical="center"/>
    </xf>
    <xf numFmtId="0" fontId="15" fillId="5" borderId="28" xfId="0" applyFont="1" applyFill="1" applyBorder="1" applyAlignment="1">
      <alignment horizontal="center" vertical="center"/>
    </xf>
    <xf numFmtId="14" fontId="0" fillId="5" borderId="8" xfId="0" applyNumberFormat="1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vertical="center"/>
    </xf>
    <xf numFmtId="44" fontId="0" fillId="5" borderId="8" xfId="1" applyFont="1" applyFill="1" applyBorder="1" applyAlignment="1">
      <alignment horizontal="center" vertical="center" wrapText="1"/>
    </xf>
    <xf numFmtId="0" fontId="0" fillId="6" borderId="28" xfId="0" applyFont="1" applyFill="1" applyBorder="1" applyAlignment="1">
      <alignment horizontal="center" vertical="center" wrapText="1"/>
    </xf>
    <xf numFmtId="0" fontId="3" fillId="5" borderId="110" xfId="0" applyFont="1" applyFill="1" applyBorder="1" applyAlignment="1">
      <alignment vertical="center"/>
    </xf>
    <xf numFmtId="0" fontId="3" fillId="5" borderId="28" xfId="0" applyFont="1" applyFill="1" applyBorder="1" applyAlignment="1">
      <alignment vertical="center"/>
    </xf>
    <xf numFmtId="0" fontId="0" fillId="6" borderId="110" xfId="0" applyFill="1" applyBorder="1"/>
    <xf numFmtId="14" fontId="0" fillId="5" borderId="28" xfId="0" applyNumberFormat="1" applyFont="1" applyFill="1" applyBorder="1" applyAlignment="1">
      <alignment horizontal="left" vertical="center"/>
    </xf>
    <xf numFmtId="0" fontId="0" fillId="3" borderId="119" xfId="0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/>
    </xf>
    <xf numFmtId="44" fontId="0" fillId="0" borderId="7" xfId="1" applyFont="1" applyFill="1" applyBorder="1" applyAlignment="1">
      <alignment horizontal="center" vertical="center"/>
    </xf>
    <xf numFmtId="49" fontId="0" fillId="0" borderId="7" xfId="1" applyNumberFormat="1" applyFont="1" applyFill="1" applyBorder="1" applyAlignment="1">
      <alignment horizontal="center" vertical="center"/>
    </xf>
    <xf numFmtId="14" fontId="0" fillId="0" borderId="7" xfId="1" applyNumberFormat="1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14" fontId="29" fillId="0" borderId="119" xfId="0" applyNumberFormat="1" applyFont="1" applyBorder="1" applyAlignment="1">
      <alignment horizontal="center" vertical="center" wrapText="1"/>
    </xf>
    <xf numFmtId="0" fontId="6" fillId="5" borderId="118" xfId="0" applyFont="1" applyFill="1" applyBorder="1" applyAlignment="1">
      <alignment horizontal="left" vertical="center"/>
    </xf>
    <xf numFmtId="0" fontId="6" fillId="5" borderId="119" xfId="0" applyFont="1" applyFill="1" applyBorder="1" applyAlignment="1">
      <alignment vertical="center" wrapText="1"/>
    </xf>
    <xf numFmtId="0" fontId="6" fillId="5" borderId="119" xfId="0" applyFont="1" applyFill="1" applyBorder="1" applyAlignment="1">
      <alignment horizontal="center" vertical="center"/>
    </xf>
    <xf numFmtId="0" fontId="6" fillId="5" borderId="119" xfId="0" applyFont="1" applyFill="1" applyBorder="1" applyAlignment="1">
      <alignment horizontal="left" vertical="center"/>
    </xf>
    <xf numFmtId="44" fontId="6" fillId="5" borderId="119" xfId="1" applyFont="1" applyFill="1" applyBorder="1" applyAlignment="1">
      <alignment horizontal="center" vertical="center"/>
    </xf>
    <xf numFmtId="14" fontId="6" fillId="5" borderId="119" xfId="0" applyNumberFormat="1" applyFont="1" applyFill="1" applyBorder="1" applyAlignment="1">
      <alignment horizontal="center" vertical="center"/>
    </xf>
    <xf numFmtId="14" fontId="6" fillId="5" borderId="119" xfId="0" applyNumberFormat="1" applyFont="1" applyFill="1" applyBorder="1" applyAlignment="1">
      <alignment horizontal="center" vertical="center" wrapText="1"/>
    </xf>
    <xf numFmtId="0" fontId="0" fillId="4" borderId="122" xfId="0" applyFill="1" applyBorder="1" applyAlignment="1">
      <alignment horizontal="left" vertical="center"/>
    </xf>
    <xf numFmtId="0" fontId="0" fillId="4" borderId="90" xfId="0" applyFill="1" applyBorder="1" applyAlignment="1">
      <alignment vertical="center"/>
    </xf>
    <xf numFmtId="0" fontId="0" fillId="4" borderId="90" xfId="0" applyFill="1" applyBorder="1" applyAlignment="1">
      <alignment horizontal="center" vertical="center"/>
    </xf>
    <xf numFmtId="0" fontId="0" fillId="4" borderId="90" xfId="0" applyFill="1" applyBorder="1" applyAlignment="1">
      <alignment horizontal="left" vertical="center"/>
    </xf>
    <xf numFmtId="44" fontId="0" fillId="4" borderId="90" xfId="1" applyFont="1" applyFill="1" applyBorder="1" applyAlignment="1">
      <alignment horizontal="center" vertical="center"/>
    </xf>
    <xf numFmtId="14" fontId="0" fillId="4" borderId="90" xfId="0" applyNumberFormat="1" applyFill="1" applyBorder="1" applyAlignment="1">
      <alignment horizontal="center" vertical="center"/>
    </xf>
    <xf numFmtId="0" fontId="14" fillId="0" borderId="118" xfId="0" applyFont="1" applyFill="1" applyBorder="1" applyAlignment="1">
      <alignment horizontal="left" vertical="center"/>
    </xf>
    <xf numFmtId="0" fontId="14" fillId="0" borderId="119" xfId="0" applyFont="1" applyFill="1" applyBorder="1" applyAlignment="1">
      <alignment vertical="center" wrapText="1"/>
    </xf>
    <xf numFmtId="0" fontId="14" fillId="0" borderId="119" xfId="0" applyFont="1" applyFill="1" applyBorder="1" applyAlignment="1">
      <alignment horizontal="center" vertical="center"/>
    </xf>
    <xf numFmtId="0" fontId="14" fillId="0" borderId="119" xfId="0" applyFont="1" applyFill="1" applyBorder="1" applyAlignment="1">
      <alignment horizontal="left" vertical="center"/>
    </xf>
    <xf numFmtId="44" fontId="14" fillId="0" borderId="119" xfId="1" applyFont="1" applyFill="1" applyBorder="1" applyAlignment="1">
      <alignment horizontal="center" vertical="center"/>
    </xf>
    <xf numFmtId="14" fontId="14" fillId="0" borderId="119" xfId="0" applyNumberFormat="1" applyFont="1" applyFill="1" applyBorder="1" applyAlignment="1">
      <alignment horizontal="center" vertical="center"/>
    </xf>
    <xf numFmtId="14" fontId="14" fillId="0" borderId="119" xfId="0" applyNumberFormat="1" applyFont="1" applyFill="1" applyBorder="1" applyAlignment="1">
      <alignment horizontal="center" vertical="center" wrapText="1"/>
    </xf>
    <xf numFmtId="14" fontId="29" fillId="0" borderId="119" xfId="0" applyNumberFormat="1" applyFont="1" applyBorder="1" applyAlignment="1">
      <alignment horizontal="left" vertical="center"/>
    </xf>
    <xf numFmtId="0" fontId="0" fillId="7" borderId="114" xfId="0" applyFont="1" applyFill="1" applyBorder="1" applyAlignment="1">
      <alignment horizontal="center" vertical="center"/>
    </xf>
    <xf numFmtId="0" fontId="6" fillId="6" borderId="110" xfId="0" applyFont="1" applyFill="1" applyBorder="1"/>
    <xf numFmtId="0" fontId="0" fillId="6" borderId="6" xfId="0" applyFill="1" applyBorder="1" applyAlignment="1">
      <alignment horizontal="left" vertical="center"/>
    </xf>
    <xf numFmtId="0" fontId="0" fillId="6" borderId="6" xfId="0" applyFill="1" applyBorder="1" applyAlignment="1">
      <alignment vertical="center" wrapText="1"/>
    </xf>
    <xf numFmtId="44" fontId="0" fillId="6" borderId="6" xfId="1" applyFont="1" applyFill="1" applyBorder="1" applyAlignment="1">
      <alignment horizontal="center" vertical="center"/>
    </xf>
    <xf numFmtId="14" fontId="0" fillId="7" borderId="42" xfId="0" applyNumberFormat="1" applyFont="1" applyFill="1" applyBorder="1" applyAlignment="1">
      <alignment horizontal="center" vertical="center"/>
    </xf>
    <xf numFmtId="0" fontId="0" fillId="4" borderId="114" xfId="0" applyFill="1" applyBorder="1"/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5" borderId="114" xfId="0" applyFont="1" applyFill="1" applyBorder="1" applyAlignment="1">
      <alignment horizontal="center" vertical="center" wrapText="1"/>
    </xf>
    <xf numFmtId="14" fontId="6" fillId="5" borderId="8" xfId="0" applyNumberFormat="1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15" fillId="5" borderId="114" xfId="0" applyFont="1" applyFill="1" applyBorder="1" applyAlignment="1">
      <alignment horizontal="left" vertical="center"/>
    </xf>
    <xf numFmtId="0" fontId="2" fillId="5" borderId="114" xfId="0" applyFont="1" applyFill="1" applyBorder="1" applyAlignment="1">
      <alignment horizontal="center" vertical="center"/>
    </xf>
    <xf numFmtId="14" fontId="0" fillId="0" borderId="110" xfId="0" applyNumberFormat="1" applyBorder="1"/>
    <xf numFmtId="44" fontId="0" fillId="0" borderId="110" xfId="1" applyFont="1" applyBorder="1"/>
    <xf numFmtId="14" fontId="0" fillId="5" borderId="110" xfId="0" applyNumberFormat="1" applyFont="1" applyFill="1" applyBorder="1" applyAlignment="1">
      <alignment horizontal="left" vertical="center"/>
    </xf>
    <xf numFmtId="14" fontId="0" fillId="5" borderId="119" xfId="0" applyNumberFormat="1" applyFill="1" applyBorder="1" applyAlignment="1">
      <alignment horizontal="center" vertical="center" wrapText="1"/>
    </xf>
    <xf numFmtId="0" fontId="0" fillId="4" borderId="17" xfId="0" applyFont="1" applyFill="1" applyBorder="1" applyAlignment="1">
      <alignment horizontal="left" vertical="center"/>
    </xf>
    <xf numFmtId="0" fontId="0" fillId="4" borderId="17" xfId="0" applyFont="1" applyFill="1" applyBorder="1" applyAlignment="1">
      <alignment vertical="center"/>
    </xf>
    <xf numFmtId="0" fontId="2" fillId="5" borderId="28" xfId="0" applyFont="1" applyFill="1" applyBorder="1" applyAlignment="1">
      <alignment horizontal="center" vertical="center"/>
    </xf>
    <xf numFmtId="0" fontId="41" fillId="5" borderId="0" xfId="0" applyFont="1" applyFill="1" applyAlignment="1">
      <alignment vertical="center"/>
    </xf>
    <xf numFmtId="0" fontId="15" fillId="6" borderId="114" xfId="0" applyFont="1" applyFill="1" applyBorder="1" applyAlignment="1">
      <alignment horizontal="left" vertical="center"/>
    </xf>
    <xf numFmtId="0" fontId="0" fillId="18" borderId="118" xfId="0" applyFill="1" applyBorder="1" applyAlignment="1">
      <alignment horizontal="left" vertical="center"/>
    </xf>
    <xf numFmtId="0" fontId="0" fillId="18" borderId="119" xfId="0" applyFill="1" applyBorder="1" applyAlignment="1">
      <alignment vertical="center" wrapText="1"/>
    </xf>
    <xf numFmtId="0" fontId="0" fillId="18" borderId="119" xfId="0" applyFill="1" applyBorder="1" applyAlignment="1">
      <alignment horizontal="center" vertical="center"/>
    </xf>
    <xf numFmtId="0" fontId="0" fillId="18" borderId="119" xfId="0" applyFill="1" applyBorder="1" applyAlignment="1">
      <alignment horizontal="left" vertical="center" wrapText="1"/>
    </xf>
    <xf numFmtId="0" fontId="0" fillId="18" borderId="119" xfId="0" applyFill="1" applyBorder="1" applyAlignment="1">
      <alignment horizontal="left" vertical="center"/>
    </xf>
    <xf numFmtId="44" fontId="0" fillId="18" borderId="119" xfId="1" applyFont="1" applyFill="1" applyBorder="1" applyAlignment="1">
      <alignment horizontal="center" vertical="center"/>
    </xf>
    <xf numFmtId="14" fontId="0" fillId="18" borderId="119" xfId="0" applyNumberFormat="1" applyFill="1" applyBorder="1" applyAlignment="1">
      <alignment horizontal="center" vertical="center"/>
    </xf>
    <xf numFmtId="0" fontId="0" fillId="18" borderId="119" xfId="0" applyFill="1" applyBorder="1" applyAlignment="1">
      <alignment horizontal="center" vertical="center" wrapText="1"/>
    </xf>
    <xf numFmtId="0" fontId="0" fillId="18" borderId="119" xfId="0" applyFill="1" applyBorder="1" applyAlignment="1">
      <alignment vertical="center"/>
    </xf>
    <xf numFmtId="14" fontId="0" fillId="18" borderId="119" xfId="0" applyNumberFormat="1" applyFill="1" applyBorder="1" applyAlignment="1">
      <alignment horizontal="center" vertical="center" wrapText="1"/>
    </xf>
    <xf numFmtId="0" fontId="0" fillId="13" borderId="110" xfId="0" applyFill="1" applyBorder="1"/>
    <xf numFmtId="14" fontId="0" fillId="13" borderId="7" xfId="0" applyNumberFormat="1" applyFont="1" applyFill="1" applyBorder="1" applyAlignment="1">
      <alignment horizontal="center" vertical="center"/>
    </xf>
    <xf numFmtId="0" fontId="0" fillId="13" borderId="7" xfId="0" applyFont="1" applyFill="1" applyBorder="1" applyAlignment="1">
      <alignment horizontal="left" vertical="center"/>
    </xf>
    <xf numFmtId="0" fontId="0" fillId="13" borderId="7" xfId="0" applyFont="1" applyFill="1" applyBorder="1" applyAlignment="1">
      <alignment horizontal="center" vertical="center"/>
    </xf>
    <xf numFmtId="0" fontId="0" fillId="13" borderId="7" xfId="0" applyFont="1" applyFill="1" applyBorder="1" applyAlignment="1">
      <alignment vertical="center"/>
    </xf>
    <xf numFmtId="0" fontId="0" fillId="4" borderId="110" xfId="0" applyFill="1" applyBorder="1"/>
    <xf numFmtId="14" fontId="0" fillId="13" borderId="7" xfId="1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14" fontId="0" fillId="7" borderId="28" xfId="0" applyNumberFormat="1" applyFont="1" applyFill="1" applyBorder="1" applyAlignment="1">
      <alignment horizontal="center" vertical="center"/>
    </xf>
    <xf numFmtId="14" fontId="0" fillId="5" borderId="61" xfId="1" applyNumberFormat="1" applyFont="1" applyFill="1" applyBorder="1" applyAlignment="1">
      <alignment horizontal="center" vertical="center"/>
    </xf>
    <xf numFmtId="0" fontId="0" fillId="6" borderId="114" xfId="0" applyFill="1" applyBorder="1"/>
    <xf numFmtId="0" fontId="0" fillId="13" borderId="110" xfId="0" applyFont="1" applyFill="1" applyBorder="1" applyAlignment="1">
      <alignment vertical="center"/>
    </xf>
    <xf numFmtId="4" fontId="0" fillId="4" borderId="110" xfId="0" applyNumberFormat="1" applyFont="1" applyFill="1" applyBorder="1" applyAlignment="1">
      <alignment vertical="center"/>
    </xf>
    <xf numFmtId="14" fontId="0" fillId="7" borderId="110" xfId="0" applyNumberFormat="1" applyFont="1" applyFill="1" applyBorder="1" applyAlignment="1">
      <alignment horizontal="center" vertical="center"/>
    </xf>
    <xf numFmtId="0" fontId="0" fillId="13" borderId="110" xfId="0" applyFont="1" applyFill="1" applyBorder="1" applyAlignment="1">
      <alignment horizontal="center" vertical="center" wrapText="1"/>
    </xf>
    <xf numFmtId="14" fontId="0" fillId="0" borderId="42" xfId="0" applyNumberFormat="1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left" vertical="center"/>
    </xf>
    <xf numFmtId="0" fontId="0" fillId="0" borderId="42" xfId="0" applyFont="1" applyFill="1" applyBorder="1" applyAlignment="1">
      <alignment vertical="center"/>
    </xf>
    <xf numFmtId="14" fontId="0" fillId="0" borderId="42" xfId="1" applyNumberFormat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vertical="center"/>
    </xf>
    <xf numFmtId="44" fontId="0" fillId="0" borderId="7" xfId="1" applyFont="1" applyFill="1" applyBorder="1" applyAlignment="1">
      <alignment horizontal="center" vertical="center" wrapText="1"/>
    </xf>
    <xf numFmtId="14" fontId="6" fillId="4" borderId="7" xfId="1" applyNumberFormat="1" applyFont="1" applyFill="1" applyBorder="1" applyAlignment="1">
      <alignment horizontal="center" vertical="center"/>
    </xf>
    <xf numFmtId="44" fontId="6" fillId="4" borderId="7" xfId="1" applyFont="1" applyFill="1" applyBorder="1" applyAlignment="1">
      <alignment horizontal="center" vertical="center" wrapText="1"/>
    </xf>
    <xf numFmtId="14" fontId="6" fillId="4" borderId="7" xfId="0" applyNumberFormat="1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/>
    </xf>
    <xf numFmtId="49" fontId="0" fillId="0" borderId="42" xfId="1" applyNumberFormat="1" applyFont="1" applyFill="1" applyBorder="1" applyAlignment="1">
      <alignment horizontal="center" vertical="center"/>
    </xf>
    <xf numFmtId="0" fontId="46" fillId="0" borderId="0" xfId="0" applyFont="1"/>
    <xf numFmtId="0" fontId="16" fillId="3" borderId="50" xfId="0" applyFont="1" applyFill="1" applyBorder="1" applyAlignment="1">
      <alignment horizontal="center" vertical="center"/>
    </xf>
    <xf numFmtId="0" fontId="16" fillId="3" borderId="28" xfId="0" applyFont="1" applyFill="1" applyBorder="1" applyAlignment="1">
      <alignment horizontal="center" vertical="center"/>
    </xf>
    <xf numFmtId="0" fontId="16" fillId="3" borderId="5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9" fontId="0" fillId="3" borderId="4" xfId="0" applyNumberFormat="1" applyFont="1" applyFill="1" applyBorder="1" applyAlignment="1">
      <alignment horizontal="center" vertical="center"/>
    </xf>
    <xf numFmtId="49" fontId="0" fillId="3" borderId="7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44" fontId="0" fillId="5" borderId="2" xfId="1" applyFont="1" applyFill="1" applyBorder="1" applyAlignment="1">
      <alignment horizontal="center"/>
    </xf>
    <xf numFmtId="44" fontId="0" fillId="5" borderId="37" xfId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0" fillId="2" borderId="55" xfId="0" applyFill="1" applyBorder="1" applyAlignment="1">
      <alignment vertical="center"/>
    </xf>
    <xf numFmtId="0" fontId="0" fillId="2" borderId="55" xfId="0" applyFont="1" applyFill="1" applyBorder="1" applyAlignment="1">
      <alignment vertical="center"/>
    </xf>
    <xf numFmtId="0" fontId="16" fillId="3" borderId="132" xfId="0" applyFont="1" applyFill="1" applyBorder="1" applyAlignment="1">
      <alignment horizontal="center" vertical="center"/>
    </xf>
    <xf numFmtId="0" fontId="16" fillId="3" borderId="133" xfId="0" applyFont="1" applyFill="1" applyBorder="1" applyAlignment="1">
      <alignment horizontal="center" vertical="center"/>
    </xf>
    <xf numFmtId="0" fontId="16" fillId="3" borderId="71" xfId="0" applyFont="1" applyFill="1" applyBorder="1" applyAlignment="1">
      <alignment horizontal="center" vertical="center"/>
    </xf>
  </cellXfs>
  <cellStyles count="30">
    <cellStyle name="Hypertextový odkaz" xfId="29" builtinId="8"/>
    <cellStyle name="Hypertextový odkaz 2" xfId="20" xr:uid="{00000000-0005-0000-0000-000036000000}"/>
    <cellStyle name="Měna" xfId="1" builtinId="4"/>
    <cellStyle name="Měna 10" xfId="28" xr:uid="{00000000-0005-0000-0000-00004A000000}"/>
    <cellStyle name="Měna 2" xfId="15" xr:uid="{00000000-0005-0000-0000-000039000000}"/>
    <cellStyle name="Měna 3" xfId="16" xr:uid="{00000000-0005-0000-0000-00003E000000}"/>
    <cellStyle name="Měna 4" xfId="17" xr:uid="{00000000-0005-0000-0000-00003F000000}"/>
    <cellStyle name="Měna 5" xfId="18" xr:uid="{00000000-0005-0000-0000-000040000000}"/>
    <cellStyle name="Měna 6" xfId="24" xr:uid="{00000000-0005-0000-0000-000046000000}"/>
    <cellStyle name="Měna 7" xfId="25" xr:uid="{00000000-0005-0000-0000-000047000000}"/>
    <cellStyle name="Měna 8" xfId="26" xr:uid="{00000000-0005-0000-0000-000048000000}"/>
    <cellStyle name="Měna 9" xfId="27" xr:uid="{00000000-0005-0000-0000-000049000000}"/>
    <cellStyle name="měny 2" xfId="7" xr:uid="{00000000-0005-0000-0000-000001000000}"/>
    <cellStyle name="měny 3" xfId="3" xr:uid="{00000000-0005-0000-0000-000002000000}"/>
    <cellStyle name="měny 4" xfId="6" xr:uid="{00000000-0005-0000-0000-000003000000}"/>
    <cellStyle name="Nadpis 4 2" xfId="8" xr:uid="{00000000-0005-0000-0000-000004000000}"/>
    <cellStyle name="Normal 2" xfId="21" xr:uid="{00000000-0005-0000-0000-000001000000}"/>
    <cellStyle name="Normal_maxjan" xfId="23" xr:uid="{00000000-0005-0000-0000-000001000000}"/>
    <cellStyle name="Normální" xfId="0" builtinId="0"/>
    <cellStyle name="normální 2" xfId="5" xr:uid="{00000000-0005-0000-0000-000006000000}"/>
    <cellStyle name="normální 2 2" xfId="12" xr:uid="{00000000-0005-0000-0000-000004000000}"/>
    <cellStyle name="normální 2 3" xfId="11" xr:uid="{00000000-0005-0000-0000-000003000000}"/>
    <cellStyle name="normální 3" xfId="2" xr:uid="{00000000-0005-0000-0000-000007000000}"/>
    <cellStyle name="normální 3 2" xfId="10" xr:uid="{00000000-0005-0000-0000-000008000000}"/>
    <cellStyle name="normální 3 2 2" xfId="13" xr:uid="{00000000-0005-0000-0000-000006000000}"/>
    <cellStyle name="normální 3 3" xfId="14" xr:uid="{00000000-0005-0000-0000-000007000000}"/>
    <cellStyle name="normální 4" xfId="4" xr:uid="{00000000-0005-0000-0000-000009000000}"/>
    <cellStyle name="Normální 4 2" xfId="19" xr:uid="{00000000-0005-0000-0000-000038000000}"/>
    <cellStyle name="normální 5" xfId="9" xr:uid="{00000000-0005-0000-0000-00000A000000}"/>
    <cellStyle name="Normální 5 2" xfId="22" xr:uid="{00000000-0005-0000-0000-00003A000000}"/>
  </cellStyles>
  <dxfs count="159">
    <dxf>
      <numFmt numFmtId="164" formatCode="#,##0.00\ &quot;Kč&quot;"/>
    </dxf>
    <dxf>
      <numFmt numFmtId="164" formatCode="#,##0.00\ &quot;Kč&quot;"/>
    </dxf>
    <dxf>
      <alignment horizontal="center" vertical="center"/>
    </dxf>
    <dxf>
      <alignment horizontal="center"/>
    </dxf>
    <dxf>
      <alignment wrapText="1"/>
    </dxf>
    <dxf>
      <alignment vertical="center"/>
    </dxf>
    <dxf>
      <alignment wrapText="1"/>
    </dxf>
    <dxf>
      <alignment wrapText="1"/>
    </dxf>
    <dxf>
      <alignment wrapText="1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6" formatCode="#,##0.00\ _K_č"/>
    </dxf>
    <dxf>
      <numFmt numFmtId="166" formatCode="#,##0.00\ _K_č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4" formatCode="#,##0.00\ &quot;Kč&quot;"/>
    </dxf>
    <dxf>
      <numFmt numFmtId="164" formatCode="#,##0.00\ &quot;Kč&quot;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numFmt numFmtId="1" formatCode="0"/>
    </dxf>
    <dxf>
      <numFmt numFmtId="1" formatCode="0"/>
    </dxf>
    <dxf>
      <numFmt numFmtId="1" formatCode="0"/>
    </dxf>
    <dxf>
      <fill>
        <patternFill patternType="solid">
          <fgColor rgb="FF92D050"/>
          <bgColor rgb="FF000000"/>
        </patternFill>
      </fill>
    </dxf>
    <dxf>
      <numFmt numFmtId="34" formatCode="_-* #,##0.00\ &quot;Kč&quot;_-;\-* #,##0.00\ &quot;Kč&quot;_-;_-* &quot;-&quot;??\ &quot;Kč&quot;_-;_-@_-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34" formatCode="_-* #,##0.00\ &quot;Kč&quot;_-;\-* #,##0.00\ &quot;Kč&quot;_-;_-* &quot;-&quot;??\ &quot;Kč&quot;_-;_-@_-"/>
    </dxf>
    <dxf>
      <alignment horizontal="center" readingOrder="0"/>
    </dxf>
    <dxf>
      <alignment vertical="center" readingOrder="0"/>
    </dxf>
    <dxf>
      <alignment wrapText="1" readingOrder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#,##0.00\ &quot;Kč&quot;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1" formatCode="#,##0.00\ &quot;Kč&quot;;\-#,##0.00\ &quot;Kč&quot;"/>
    </dxf>
    <dxf>
      <numFmt numFmtId="11" formatCode="#,##0.00\ &quot;Kč&quot;;\-#,##0.00\ &quot;Kč&quot;"/>
    </dxf>
    <dxf>
      <numFmt numFmtId="11" formatCode="#,##0.00\ &quot;Kč&quot;;\-#,##0.00\ &quot;Kč&quot;"/>
    </dxf>
    <dxf>
      <numFmt numFmtId="11" formatCode="#,##0.00\ &quot;Kč&quot;;\-#,##0.00\ &quot;Kč&quot;"/>
    </dxf>
    <dxf>
      <numFmt numFmtId="11" formatCode="#,##0.00\ &quot;Kč&quot;;\-#,##0.00\ &quot;Kč&quot;"/>
    </dxf>
    <dxf>
      <numFmt numFmtId="164" formatCode="#,##0.00\ &quot;Kč&quot;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1" formatCode="#,##0.00\ &quot;Kč&quot;;\-#,##0.00\ &quot;Kč&quot;"/>
    </dxf>
    <dxf>
      <numFmt numFmtId="11" formatCode="#,##0.00\ &quot;Kč&quot;;\-#,##0.00\ &quot;Kč&quot;"/>
    </dxf>
    <dxf>
      <numFmt numFmtId="11" formatCode="#,##0.00\ &quot;Kč&quot;;\-#,##0.00\ &quot;Kč&quot;"/>
    </dxf>
    <dxf>
      <numFmt numFmtId="11" formatCode="#,##0.00\ &quot;Kč&quot;;\-#,##0.00\ &quot;Kč&quot;"/>
    </dxf>
    <dxf>
      <numFmt numFmtId="11" formatCode="#,##0.00\ &quot;Kč&quot;;\-#,##0.00\ &quot;Kč&quot;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numFmt numFmtId="164" formatCode="#,##0.00\ &quot;Kč&quot;"/>
    </dxf>
    <dxf>
      <alignment horizontal="right" readingOrder="0"/>
    </dxf>
    <dxf>
      <numFmt numFmtId="164" formatCode="#,##0.00\ &quot;Kč&quot;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#,##0.00\ &quot;Kč&quot;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11" formatCode="#,##0.00\ &quot;Kč&quot;;\-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  <dxf>
      <numFmt numFmtId="164" formatCode="#,##0.00\ &quot;Kč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4.xml"/><Relationship Id="rId47" Type="http://schemas.openxmlformats.org/officeDocument/2006/relationships/pivotCacheDefinition" Target="pivotCache/pivotCacheDefinition9.xml"/><Relationship Id="rId50" Type="http://schemas.openxmlformats.org/officeDocument/2006/relationships/pivotCacheDefinition" Target="pivotCache/pivotCacheDefinition12.xml"/><Relationship Id="rId55" Type="http://schemas.openxmlformats.org/officeDocument/2006/relationships/pivotCacheDefinition" Target="pivotCache/pivotCacheDefinition17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pivotCacheDefinition" Target="pivotCache/pivotCacheDefinition3.xml"/><Relationship Id="rId54" Type="http://schemas.openxmlformats.org/officeDocument/2006/relationships/pivotCacheDefinition" Target="pivotCache/pivotCacheDefinition16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pivotCacheDefinition" Target="pivotCache/pivotCacheDefinition2.xml"/><Relationship Id="rId45" Type="http://schemas.openxmlformats.org/officeDocument/2006/relationships/pivotCacheDefinition" Target="pivotCache/pivotCacheDefinition7.xml"/><Relationship Id="rId53" Type="http://schemas.openxmlformats.org/officeDocument/2006/relationships/pivotCacheDefinition" Target="pivotCache/pivotCacheDefinition15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11.xml"/><Relationship Id="rId57" Type="http://schemas.openxmlformats.org/officeDocument/2006/relationships/pivotCacheDefinition" Target="pivotCache/pivotCacheDefinition19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6.xml"/><Relationship Id="rId52" Type="http://schemas.openxmlformats.org/officeDocument/2006/relationships/pivotCacheDefinition" Target="pivotCache/pivotCacheDefinition14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5.xml"/><Relationship Id="rId48" Type="http://schemas.openxmlformats.org/officeDocument/2006/relationships/pivotCacheDefinition" Target="pivotCache/pivotCacheDefinition10.xml"/><Relationship Id="rId56" Type="http://schemas.openxmlformats.org/officeDocument/2006/relationships/pivotCacheDefinition" Target="pivotCache/pivotCacheDefinition18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8.xml"/><Relationship Id="rId59" Type="http://schemas.openxmlformats.org/officeDocument/2006/relationships/connections" Target="connection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466725</xdr:colOff>
      <xdr:row>7</xdr:row>
      <xdr:rowOff>0</xdr:rowOff>
    </xdr:from>
    <xdr:ext cx="184731" cy="264560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543550" y="105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oneCellAnchor>
    <xdr:from>
      <xdr:col>5</xdr:col>
      <xdr:colOff>466725</xdr:colOff>
      <xdr:row>6</xdr:row>
      <xdr:rowOff>0</xdr:rowOff>
    </xdr:from>
    <xdr:ext cx="184731" cy="264560"/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695142" y="1725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105830</xdr:colOff>
      <xdr:row>6</xdr:row>
      <xdr:rowOff>0</xdr:rowOff>
    </xdr:from>
    <xdr:to>
      <xdr:col>8</xdr:col>
      <xdr:colOff>296330</xdr:colOff>
      <xdr:row>7</xdr:row>
      <xdr:rowOff>0</xdr:rowOff>
    </xdr:to>
    <xdr:pic>
      <xdr:nvPicPr>
        <xdr:cNvPr id="2049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06663" y="1905000"/>
          <a:ext cx="190500" cy="19050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491067</xdr:colOff>
          <xdr:row>493</xdr:row>
          <xdr:rowOff>175683</xdr:rowOff>
        </xdr:from>
        <xdr:to>
          <xdr:col>2</xdr:col>
          <xdr:colOff>193675</xdr:colOff>
          <xdr:row>494</xdr:row>
          <xdr:rowOff>184150</xdr:rowOff>
        </xdr:to>
        <xdr:sp macro="" textlink="">
          <xdr:nvSpPr>
            <xdr:cNvPr id="2" name="Control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493</xdr:row>
          <xdr:rowOff>175683</xdr:rowOff>
        </xdr:from>
        <xdr:to>
          <xdr:col>6</xdr:col>
          <xdr:colOff>247650</xdr:colOff>
          <xdr:row>494</xdr:row>
          <xdr:rowOff>184150</xdr:rowOff>
        </xdr:to>
        <xdr:sp macro="" textlink="">
          <xdr:nvSpPr>
            <xdr:cNvPr id="2050" name="Control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9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48</xdr:row>
      <xdr:rowOff>0</xdr:rowOff>
    </xdr:from>
    <xdr:to>
      <xdr:col>14</xdr:col>
      <xdr:colOff>190500</xdr:colOff>
      <xdr:row>48</xdr:row>
      <xdr:rowOff>190500</xdr:rowOff>
    </xdr:to>
    <xdr:pic>
      <xdr:nvPicPr>
        <xdr:cNvPr id="2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96600" y="63874650"/>
          <a:ext cx="190500" cy="1905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495</xdr:row>
      <xdr:rowOff>0</xdr:rowOff>
    </xdr:from>
    <xdr:to>
      <xdr:col>14</xdr:col>
      <xdr:colOff>190500</xdr:colOff>
      <xdr:row>495</xdr:row>
      <xdr:rowOff>190500</xdr:rowOff>
    </xdr:to>
    <xdr:pic>
      <xdr:nvPicPr>
        <xdr:cNvPr id="2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44725" y="16754475"/>
          <a:ext cx="190500" cy="1905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595</xdr:row>
      <xdr:rowOff>179916</xdr:rowOff>
    </xdr:from>
    <xdr:to>
      <xdr:col>12</xdr:col>
      <xdr:colOff>190500</xdr:colOff>
      <xdr:row>595</xdr:row>
      <xdr:rowOff>380999</xdr:rowOff>
    </xdr:to>
    <xdr:pic>
      <xdr:nvPicPr>
        <xdr:cNvPr id="2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38917" y="2868083"/>
          <a:ext cx="190500" cy="1905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116417</xdr:colOff>
      <xdr:row>810</xdr:row>
      <xdr:rowOff>158750</xdr:rowOff>
    </xdr:from>
    <xdr:to>
      <xdr:col>12</xdr:col>
      <xdr:colOff>306917</xdr:colOff>
      <xdr:row>811</xdr:row>
      <xdr:rowOff>148166</xdr:rowOff>
    </xdr:to>
    <xdr:pic>
      <xdr:nvPicPr>
        <xdr:cNvPr id="2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30500" y="5334000"/>
          <a:ext cx="190500" cy="3810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594</xdr:row>
      <xdr:rowOff>179916</xdr:rowOff>
    </xdr:from>
    <xdr:to>
      <xdr:col>5</xdr:col>
      <xdr:colOff>190500</xdr:colOff>
      <xdr:row>597</xdr:row>
      <xdr:rowOff>180975</xdr:rowOff>
    </xdr:to>
    <xdr:pic>
      <xdr:nvPicPr>
        <xdr:cNvPr id="2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20925" y="167067441"/>
          <a:ext cx="190500" cy="190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116417</xdr:colOff>
      <xdr:row>44</xdr:row>
      <xdr:rowOff>158750</xdr:rowOff>
    </xdr:from>
    <xdr:to>
      <xdr:col>13</xdr:col>
      <xdr:colOff>306917</xdr:colOff>
      <xdr:row>46</xdr:row>
      <xdr:rowOff>101077</xdr:rowOff>
    </xdr:to>
    <xdr:pic>
      <xdr:nvPicPr>
        <xdr:cNvPr id="2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13567" y="218109800"/>
          <a:ext cx="190500" cy="379941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63358" refreshedDate="42786.518438310188" createdVersion="3" refreshedVersion="3" minRefreshableVersion="3" recordCount="445" xr:uid="{00000000-000A-0000-FFFF-FFFF00000000}">
  <cacheSource type="worksheet">
    <worksheetSource ref="A77:N77" sheet="VZ 2016"/>
  </cacheSource>
  <cacheFields count="14">
    <cacheField name="Interní evidenční číslo" numFmtId="0">
      <sharedItems containsBlank="1"/>
    </cacheField>
    <cacheField name="Zadáv. prac." numFmtId="0">
      <sharedItems containsBlank="1"/>
    </cacheField>
    <cacheField name="Osoba pověřená pro zadávací řízení" numFmtId="0">
      <sharedItems containsBlank="1"/>
    </cacheField>
    <cacheField name="Předmět plnění - název zakázky" numFmtId="0">
      <sharedItems containsBlank="1" count="368">
        <s v="Kity k vyšetření biotinidázy"/>
        <s v="Servisní činnosti  -  lineární  urychlovače"/>
        <s v="Servisní údržba, podpora a rozvoj ERP systému QI"/>
        <s v="Likvidace odpadu z FNOL"/>
        <s v="Dodávka a bezplatná zápůjčka CGH array readeru"/>
        <s v="Servis,opravy a údržba sanitních, osobních a dodávkových vozidel FNOL - I."/>
        <s v="Servis,opravy a údržba sanitních, osobních a dodávkových vozidel FNOL - II."/>
        <s v="Poskytnutí a provozování audiovizuálního zobrazovacího systému"/>
        <s v="FN Olomouc - obnova obvodového pláště a bezbariérovost KZL"/>
        <s v="Přístroj na lisování tablet z granulátu připraveného vlhkou metodou"/>
        <s v="FN Olomouc - novostavba 2. IK a geriatrie (DUR, DSP a DZS)"/>
        <s v="Dodávka diagnostických souprav pro typizaci HLA alel"/>
        <s v="Dorozumívací zařízení sestra pacient 2015- II."/>
        <s v="Modernizace telefonního systému"/>
        <s v="Diskové pole a expanze FNOL 2015"/>
        <s v="Rozvod dusíku - CAR"/>
        <s v="Antianemika - část I. Epoetin"/>
        <s v="Antianemika - část II. Darbopoetin alfa"/>
        <s v="Antianemika - část III. Pegepoetin beta"/>
        <s v="Jednorázové kojenecké láhve a dudlíky"/>
        <s v="Výměna oken a vstupních dveří v budově C II."/>
        <s v="Dodávka ABR stříkaček"/>
        <s v="Vrtačka pro Traumatologické oddělení FNOL"/>
        <s v="Platební automat"/>
        <s v="Excimerový laser"/>
        <s v="Radiofarmaka fluordeoxglukózy"/>
        <s v="Nákup sanitních vozidel - část I. Sanitní vozidla DNR typu A2"/>
        <s v="Nákup sanitních vozidel - část II. Sanitní ambulance ZS typu B "/>
        <s v="Nitrooční čočky"/>
        <s v="Nákladní vozidla na CNG"/>
        <s v="Zdravotnické datové úložiště"/>
        <s v="Deratizace, dezinfekce a desinsekce ve FNOL"/>
        <s v="Dodávka tiskáren FNOL 2016"/>
        <s v="Nerezový mobiliář"/>
        <s v="Čtecí zařízení 1D a 2D čárových kódů FNOL 2016"/>
        <s v="Převazové vozíky"/>
        <s v="Transportní křesla pro převoz pacientů"/>
        <s v="Reagencie pro screening v 1.trimestru 2016"/>
        <s v="Monitory FNOL 2016"/>
        <s v="Stolní laser pro ORL výkony"/>
        <s v="Poskytnutí a provozování audiovizuálního zobrazovacího systému II."/>
        <s v="Systém pro karyotypování"/>
        <s v="FN Olomouc - SÚ JIP a arytmologie I.IK - dodatek č.3"/>
        <s v="Unit ORL a vyšetřovací ORL křeslo - část I. ORL unit"/>
        <s v="Unit ORL a vyšetřovací ORL křeslo - část II. ORL křeslo"/>
        <s v="Optická biometrie"/>
        <s v="Diagnostika - Analyzátory moči"/>
        <s v="Inhibitory cytokinů 2016 - část I. Certolizumab pegol"/>
        <s v="Inhibitory cytokinů 2016 - část II. Etanercept"/>
        <s v="Inhibitory cytokinů 2016 - část III. Adalimumab - injekční pero"/>
        <s v="Inhibitory cytokinů 2016 - část IV. Adalimumab - injekční stříkačka"/>
        <s v="Inhibitory cytokinů 2016 - V. Infliximab"/>
        <s v="Inhibitory cytokinů 2016 - VI. Abatacept"/>
        <s v="Inhibitory cytokinů 2016 - VII. Secukinumab"/>
        <s v="Inhibitory cytokinů 2016 - VIII. Golimumab"/>
        <s v="Servis, opravy a údržba nákladních vozidel FNOL"/>
        <s v="Úprava dětské kliniky pro ambulanci alergologie"/>
        <s v="Diagnostické stanice a DICOM prohlížeč"/>
        <s v="Operační mikroskop  s videořetězcem pro ORL"/>
        <s v="PC sestavy FNOL 2016"/>
        <s v="Termotiskárny FNOL 2016"/>
        <s v="Mycí a dezinfekční automat na operační obuv"/>
        <s v="Ventilátor vysokofrekvenční pro Dětskou kliniku"/>
        <s v="Rekonstrukce výtahů"/>
        <s v="Vyšetřovací lehátka"/>
        <s v="Transportní lehátka"/>
        <s v="Osvětlovací a instalační rampy k lůžkum pro HOK"/>
        <s v="Studie proveditelnosti implementace ICT technologie"/>
        <s v="Výměna chladící jednotky - Dětská klinika"/>
        <s v="Filtry pro vzduchotechnické jednotky"/>
        <s v="Infuzní technika"/>
        <s v="Licence sw k CBCT systému NewTom Vgi Evo"/>
        <s v="Garantovaný archiv a související SW pro ukládání ele zdr. dokumentace"/>
        <s v="Komplexní servisní služby - RTG systémy Philips"/>
        <s v="Přístroj na lisování tablet"/>
        <s v="Stavební úpravy ambulancí Neurologické kliniky"/>
        <s v="Plynový chromatograf s hmotnostním spektrometrem"/>
        <s v="Myčka nádobí a reverzní osmóza"/>
        <s v="Analoga kyseliny listové 2016 - část I. Pemetrexed"/>
        <s v="Analoga kyseliny listové 2016 - část II. Methotrexat"/>
        <s v="Dodávky dectů 2016"/>
        <s v="Chlazení cirkulačního okruhu aqua purificata"/>
        <s v="Chladící skříně pojízdné"/>
        <s v="Nákladní vozidla na CNG II."/>
        <s v="Přístroj urodynamický a vyšetřovací stůl - část I. Přístroj urodynamický"/>
        <s v="Přístroj urodynamický a vyšetřovací stůl- část II. Vyšetřovací stůl"/>
        <s v="Morcelátor resterilizovatelný"/>
        <s v="Rekonstrukce výtahů II."/>
        <s v="Přístroj RTG digitální pojízdný 3 ks"/>
        <s v="Monitory vitálních funkcí s centrálou pro KCHK"/>
        <s v="Blade chassis včetně příslušenství a serverů FNOL 2016"/>
        <s v="Rehabilitace - úprava hygienických zařízení ve 3.NP budovy D2"/>
        <s v="Stolařské práce ve FNOL"/>
        <s v="Kopírky FNOL 2016"/>
        <s v="Klimatizační jednotky 2016 - část I. Dochlazování Dětská klinika"/>
        <s v="Klimatizační jednotky 2016 - část II. Klimatizační jednotky"/>
        <s v="Přenosné přístroje pro externí defibrilaci"/>
        <s v="Platební automaty na regulační poplatky"/>
        <s v="Leštička se sterilizací příborů"/>
        <s v="Sanitární technika"/>
        <s v="Zámky, kování a samozavírače"/>
        <s v="Výměna chladící jednotky - laboratoř OKB"/>
        <s v="Konektor bezjehlový 2016"/>
        <s v="Solární přípravky pro zaměstnance FNOL - část I.  Dermokosmetický…."/>
        <s v="Solární přípravky pro zaměstnance FNOL - část II. Opalovací přípravek"/>
        <s v="Chlazení cirkulačního okruhu aqua purificata II."/>
        <s v="Rekonstrukce vodního okruhu chlazení pro vzduchotechniku varny"/>
        <s v="Výměna chladící jednotky - stravovací provoz"/>
        <s v="Pevné disky FNOL 2016"/>
        <s v="Jehličkové tiskárny FNOL 2016"/>
        <s v="Zámky, kování a samozavírače II."/>
        <s v="Rukavice vyšetřovací nitrilové 2016"/>
        <s v="Mikroskopy dentílní laboratorní"/>
        <s v="Sanitární technika II."/>
        <s v="EKG se zapisovačem"/>
        <s v="Výměna termoregulačních ventilů v budově UZQ"/>
        <s v="Opravy hygienického zařízení a výměna podhledů ve 4.NP budovy Q2"/>
        <s v="Údržbářské práce"/>
        <s v="Zpracování prováděcí PD - Rekonstrukce nouzového osvětlení"/>
        <s v="Zpracování prováděcí PD - Celková rekonstrukce TS1, a TS3"/>
        <s v="Zpracování prováděcí PD - Rekonstrukce elketroinstalace na DK"/>
        <s v="Tablety FNOL 2016"/>
        <s v="Hadičky spojovací pro infuzní terapii 2016"/>
        <s v="Přístroj urodynamický"/>
        <s v="Monoklonální protilátky I. 2016 - část I. Bevacizumab"/>
        <s v="Monoklonální protilátky I. 2016 - část II. Cetuximab"/>
        <s v="Monoklonální protilátky I. 2016 - část III. Panitumumab"/>
        <s v="Monoklonální protilátky I. 2016 - část IV. Rituximab"/>
        <s v="Monoklonální protilátky I. 2016 - část V. Trastuzumab"/>
        <s v="Opravy výtahů FNOL 2016"/>
        <s v="Oftalmologika 2016 - část I. Verteporfin"/>
        <s v="Oftalmologika 2016 - část II. Ranibizumab"/>
        <s v="Oftalmologika 2016 - část III. Afliberecept"/>
        <s v="Inhibitory proteinkináz I. 2016 - I. Imatinib"/>
        <s v="Inhibitory proteinkináz I. 2016 - II. Gefitinib"/>
        <s v="Inhibitory proteinkináz I. 2016 - III. Erlotinib"/>
        <s v="Inhibitory proteinkináz I. 2016 - IV. Sunitinib"/>
        <s v="Inhibitory proteinkináz I. 2016 - V. Sorafenib"/>
        <s v="Inhibitory proteinkináz I. 2016 - VI. Dasatinib"/>
        <s v="Inhibitory proteinkináz I. 2016 - VII. Lapatinib"/>
        <s v="Inhibitory proteinkináz I. 2016 - VIII. Nilotinib"/>
        <s v="Inhibitory proteinkináz I. 2016 - IX. Temsirolismus"/>
        <s v="Inhibitory proteinkináz I. 2016 - X. Nintedanib"/>
        <s v="Monoklonální protilátky II. 2016 - I. Brentuximab vedotin"/>
        <s v="Monoklonální protilátky II. 2016 - II. Ipilimumab"/>
        <s v="Monoklonální protilátky II. 2016 - III. Obnituzumab"/>
        <s v="Monoklonální protilátky II. 2016 - IV. Pertuzumab"/>
        <s v="Laboratorní centrifugy - část I. IMUNOL, TO, CAR"/>
        <s v="Laboratorní centrifugy - část II. GEN"/>
        <s v="Laboratorní centrifugy - část III. PATOL"/>
        <s v="Elektroúdržba ve FN Olomouc"/>
        <s v="FN Olomouc - novostavba 2. IK a geriatrie"/>
        <s v="Selektivní imunosupresiva I. 2016 - část I. Natalizumab"/>
        <s v="Selektivní imunosupresiva I. 2016 - část II. Abatacept"/>
        <s v="Selektivní imunosupresiva I. 2016 - část III. Ekulizumab"/>
        <s v="Selektivní imunosupresiva I. 2016 - část IV. Belimumab"/>
        <s v="Selektivní imunosupresiva I. 2016 - část V. Fingolimod"/>
        <s v="Selektivní imunosupresiva I. 2016 - část VI. Teriflunomid"/>
        <s v="Endoskopická kamerová hlava"/>
        <s v="Rekonstrukce hlavní rozvodny NN v budově J3"/>
        <s v="Chlazení cirkulačního okruhu aqua purificata III."/>
        <s v="USB flash disky FNOL 2016"/>
        <s v="Oprava střešního pláště na budově B6"/>
        <s v="Servisní činnosti  -  lineární  urychlovače II."/>
        <s v="Inhibitory proteinkináz II. 2016 - část I.Everolimus"/>
        <s v="Inhibitory proteinkináz II. 2016 - část II."/>
        <s v="Inhibitory proteinkináz II. 2016 - část III."/>
        <s v="Inhibitory proteinkináz II. 2016 - část IV."/>
        <s v="Inhibitory proteinkináz II. 2016 - část V."/>
        <s v="Inhibitory proteinkináz II. 2016 - část VI."/>
        <s v="Inhibitory proteinkináz II. 2016 - část VII."/>
        <s v="Inhibitory proteinkináz II. 2016 - část VIII."/>
        <s v="Inhibitory proteinkináz II. 2016 - část IX."/>
        <s v="Inhibitory proteinkináz II. 2016 - část X."/>
        <s v="Inhibitory proteinkináz II. 2016 - část XI."/>
        <s v="Jiné imunomodulátory 2016 - část I. Lenalidomid"/>
        <s v="Jiné imunomodulátory 2016 - část II."/>
        <s v="Jiné imunomodulátory 2016 - část III."/>
        <s v="Elektroinstalace pro připojení osvětlovacích a instalačních ramp"/>
        <s v="Jiná periferně působící myorelaxancia"/>
        <s v="Bourací práce - stará lékárna FNOL"/>
        <s v="Ultrazvukové diagnostické přístroje - část I. Radiologie"/>
        <s v="Ultrazvukové diagnostické přístroje - část II. Urgent"/>
        <s v="FN Olomouc - Dodávka boxů laminárních stíněných a digestoře stíněné"/>
        <s v="Úpravy prostor po lékárně v budově N1"/>
        <s v="Přístroj pro komplexní funkční vyšetření plic"/>
        <s v="Imunostimulancia - Roztroušená skleróza"/>
        <s v="Selektivní imunosupresiva II. 2016 - část I. Antithymocytární imunoglobulin "/>
        <s v="Selektivní imunosupresiva II. 2016 - část II. Mofetil-mykofenolát"/>
        <s v="Operační mikroskop  s videořetězcem pro ORL II."/>
        <s v="Kapilární hemodialýzatory"/>
        <s v="FN Olomouc - obměna Lithotryptoru pro URL"/>
        <s v="Manuální zatavovací balička a blixer stolní - část I."/>
        <s v="Manuální zatavovací balička a blixer stolní - část II."/>
        <s v="Oprava střešního pláště na budově WE"/>
        <s v="Repase oken v budově Q2 - 5.NP"/>
        <s v="Výměna protipožárních dveří v budově L"/>
        <s v="16-ti portové 10GE rozšiřující karty"/>
        <s v="Rekonstrukce elektroinstalace na odd. 21A"/>
        <s v="Řezačka masa"/>
        <s v="Úpravy KÚČOCH v 1. NP budovy R"/>
        <s v="Nábytek - KÚČOCH"/>
        <s v="Fixační systém pro omezení pohybů bránice v průběhu radioterapie"/>
        <s v="Systém pro kontrolu dýchání v průběhu radioterapie"/>
        <s v="Flexibilní videogastroskop pro diagnostiku a terapii"/>
        <s v="EEG a video EEG"/>
        <s v="Modernizace a rozšíření systému Honeywell"/>
        <s v="Antibakt. léčiva pro systémovou aplikaci III 2016 - část I. Ofloxacin"/>
        <s v="Antibakt. léčiva pro systémovou aplikaci III 2016 - část II. Ciprofloxacin"/>
        <s v="Antibakt. léčiva pro systémovou aplikaci III 2016 - část III. Pefloxacin"/>
        <s v="Antibakt. léčiva pro systémovou aplikaci III 2016 - část IV. Levofloxacin"/>
        <s v="Antibakt. léčiva pro systémovou aplikaci III 2016 - část V. Moxifloxacin"/>
        <s v="Antibakt. léčiva pro systémovou aplikaci III 2016 - část VI. Vankomycin"/>
        <s v="Antibakt. léčiva pro systémovou aplikaci III 2016 - část VII. Teikoplanin"/>
        <s v="Antibakt. léčiva pro systémovou aplikaci III 2016 - část VIII. Kolistin"/>
        <s v="Antibakt. léčiva pro systémovou aplikaci III 2016 - část IX. Metronidazol"/>
        <s v="Antibakt. léčiva pro systémovou aplikaci III 2016 - část X. Linezolid"/>
        <s v="Antibakt. léčiva pro systémovou aplikaci-cefalosporiny 2016 - část I."/>
        <s v="Antibakt. léčiva pro systémovou aplikaci.cefalosporiny 2016 - část II."/>
        <s v="Antibakt. léčiva pro systémovou aplikaci.cefalosporiny 2016 - část III."/>
        <s v="Antibakt. léčiva pro systémovou aplikaci.cefalosporiny 2016 - část IV."/>
        <s v="Antibakt. léčiva pro systémovou aplikaci.cefalosporiny 2016 - část V."/>
        <s v="Antibakt. léčiva pro systémovou aplikaci.cefalosporiny 2016 - část VI."/>
        <s v="Antibakt. léčiva pro systémovou aplikaci.cefalosporiny 2016 - část VII."/>
        <s v="Antibakt. léčiva pro systémovou aplikaci.cefalosporiny 2016 - část VIII."/>
        <s v="Antibakteriální léčiva pro systémovou aplikaci I 2016 - část I."/>
        <s v="Antibakteriální léčiva pro systémovou aplikaci I 2016 - část II."/>
        <s v="Antibakteriální léčiva pro systémovou aplikaci I 2016 - část III."/>
        <s v="Antibakteriální léčiva pro systémovou aplikaci I 2016 - část IV."/>
        <s v="Antibakteriální léčiva pro systémovou aplikaci I 2016 - část V."/>
        <s v="Antibakteriální léčiva pro systémovou aplikaci I 2016 - část VI."/>
        <s v="Antibakteriální léčiva pro systémovou aplikaci I 2016 - část VII."/>
        <s v="Antibakteriální léčiva pro systémovou aplikaci I 2016 - část VIII."/>
        <s v="Antibakteriální léčiva pro systémovou aplikaci I 2016 - část IX."/>
        <s v="Antibakteriální léčiva pro systémovou aplikaci I 2016 - část X."/>
        <s v="Antibakteriální léčiva pro systémovou aplikaci I 2016 - část XI."/>
        <s v="Laboratorní chlazené centrifugy - část I. Onkologická klinika"/>
        <s v="Laboratorní chlazené centrifugy - část II. HOK"/>
        <s v="Servis hematologických analyzátorů"/>
        <s v="Stíněná skříň na vratné generátory Mo/Tc a Rb/Kr a stíněná skříň na radioizotopy a radiofarmaka"/>
        <s v="Pojištění pro Fakultní nemocnici Olomouc - část I. Pojištění majetku a odpovědnosti"/>
        <s v="Pojištění pro Fakultní nemocnici Olomouc - část II. Pojištění vozidel"/>
        <s v="Pojištění pro Fakultní nemocnici Olomouc - část III.  Pojištění odpovědnosti"/>
        <s v="Výměna oken, rekonstrukce střechy a zateplení části budovy"/>
        <s v="SÚ realizace KTVL"/>
        <s v="Diskové pole a expanze FNOL 2016"/>
        <s v="FN Olomouc - Přístrojové vybavení KNM"/>
        <s v="Upgrade operačního mikroskopu Pentero"/>
        <s v="Notebooky FNOL 2016"/>
        <s v="Přístroj pro komplexní vyšetření plicních funkcí - část I. Bodypletysmograf"/>
        <s v="Přístroj pro komplexní vyšetření plicních funkcí - část II. Spiroergon. Systém"/>
        <s v="PD - Úprava prostor KNM (radiofarmaceutická laboratoř)"/>
        <s v="Oprava MaR - budova Q2. 1PP"/>
        <s v="EKG se zapisovačem pro KCH"/>
        <s v="Rigidní cystoskopy"/>
        <s v="Endoskopický systém"/>
        <s v="Videoprocesor bronchoskopického systému"/>
        <s v="Systémy pro aplikaci vysokoprůtokové nasální dechové podpory a oxynogenoterapie pro novorozence"/>
        <s v="Mycí a dezinfekční automat na flexibilní endoskopy"/>
        <s v="Laboratorní mikroskopy"/>
        <s v="FNOL-obnova obvodového pláště a bezbariérovost KZL - Dodatek č.1"/>
        <s v="Tisk nemocničního časopisu"/>
        <s v="Přístroj pro umělovu plicní ventilaci"/>
        <s v="Jiná antivirotika pro systémovou aplikaci 2017 - část I. Aciklovir"/>
        <s v="Jiná antivirotika pro systémovou aplikaci 2017 - část II. Ganciklovir"/>
        <s v="Jiná antivirotika pro systémovou aplikaci 2017 - část III. Valaciklovir"/>
        <s v="Jiná antivirotika pro systémovou aplikaci 2017 - část IV. Valganciklovir"/>
        <s v="Jiná antivirotika pro systémovou aplikaci 2017 - část V. Oseltamivir"/>
        <s v="Jiná antivirotika pro systémovou aplikaci 2017 - část VI. Inosin pranobex"/>
        <s v="Antimykotika pro systémovou aplikaci II – triazolová 2016 - část I. Flukonazol"/>
        <s v="Antimykotika pro systémovou aplikaci II – triazolová 2016 - část II. Itrakonazol"/>
        <s v="Antimykotika pro systémovou aplikaci II – triazolová 2016 - část III. Vorikonazol"/>
        <s v="Antimykotika pro systémovou aplikaci II – triazolová 2016 - část IV. Posakonazol"/>
        <s v="Antivirotika pro systémuvou aplikaci - antihepatitidová 2016 - část I."/>
        <s v="Antivirotika pro systémuvou aplikaci - antihepatitidová 2016 - část II."/>
        <s v="Antivirotika pro systémuvou aplikaci - antihepatitidová 2016 - část III."/>
        <s v="Antivirotika pro systémuvou aplikaci - antihepatitidová 2016 - část IV."/>
        <s v="Antivirotika pro systémuvou aplikaci - antihepatitidová 2016 - část V."/>
        <s v="Antivirotika pro systémuvou aplikaci - antihepatitidová 2016 - část VI."/>
        <s v="Antivirotika pro systémuvou aplikaci - antihepatitidová 2016 - část VII."/>
        <s v="Antivirotika pro systémuvou aplikaci - antihepatitidová 2016 - část VIII."/>
        <s v="Antivirotika pro systémuvou aplikaci - antihepatitidová 2016 - část IX."/>
        <s v="Antivirotika pro systémuvou aplikaci - antihepatitidová 2016 - část X."/>
        <s v="Výměna podlahových krytin v budově Q204"/>
        <s v="Videokolonoskop pro diagnostiku a terapii"/>
        <s v="Stavební úpravy KUČOCH"/>
        <s v="PD - Úprava prostor ÚLG (laboratoř neimplantační genetické diagnostiky)"/>
        <s v="Tiskárna na potisk histologickcýh kazet"/>
        <s v="Flexibilní videobronchoskopy"/>
        <s v="Přístroj pro intraaortální balónkovou kontrapulzaci"/>
        <s v="Hydraulické vyvážení topné soustavy OKB"/>
        <s v="Nábytek - KÚČOCH II"/>
        <s v="Operační CO2 laser"/>
        <s v="Urodynamický přístroj"/>
        <s v="Kalibrace a validace měřidel a zařízení - část I. ConWin"/>
        <s v="Kalibrace a validace měřidel a zařízení - část II. Ostatní měřidla"/>
        <s v="Flexibilní fibronazofaryngoskop a flexibilní bronchoskop"/>
        <s v="Komplexní servis MaR a EBI"/>
        <s v="Figurína - simulátor pacienta"/>
        <s v="Ubytování a služby spojené s výjezdním zasedáním vedoucích zaměstnanců FN Olomouc"/>
        <s v="Stomatologické soupravy"/>
        <s v="Vysokoobrátkové elektrické vrtačky pro NCH"/>
        <s v="Přípravky na podporu imunity pro zaměstnance FNOL"/>
        <s v="Zřízení komorové lendice v budově WD"/>
        <s v="Likvidace odpadů z FN Olomouc"/>
        <s v="Certifikace systému managementu kvality"/>
        <s v="Antibakteriální léčiva pro systémovou aplikaci II 2016 - část I. Sulfamethoxazol"/>
        <s v="Antibakteriální léčiva pro systémovou aplikaci II 2016 - část II. Klarithromycin"/>
        <s v="Antibakteriální léčiva pro systémovou aplikaci II 2016 - část III. Azithromycin"/>
        <s v="Antibakteriální léčiva pro systémovou aplikaci II 2016 - část IV. Klindamycin"/>
        <s v="Antibakteriální léčiva pro systémovou aplikaci II 2016 - část V. Tobramycin"/>
        <s v="Antibakteriální léčiva pro systémovou aplikaci II 2016 - část VI. Gentamicin"/>
        <s v="Antibakteriální léčiva pro systémovou aplikaci II 2016 - část VII. Amikacin"/>
        <s v="Elektrický varný kotel s automatickým mícháním"/>
        <s v="Prací prostředky FNOL"/>
        <s v="SÚ - přemístění laboratoří HOK a oprava kožní kliniky a pracovního lékařství"/>
        <s v="Dodávka pneumatik pro vozidla FNOL"/>
        <s v="Rozšíření a zvýšení propustnosti síťové infrastruktury FNOL fáze II."/>
        <s v="Vytvoření smažícího úseku ve varně"/>
        <s v="Videoendoskopický systém"/>
        <s v="Provádění komplexních servisních služeb - RTG systémy Philips II."/>
        <s v="Plynový chromatograf s hmotnostním spektrometrem II"/>
        <s v="Přeložka sdělovacího kabelu MO ČR"/>
        <s v="Servisní služby přístrojů Philips"/>
        <s v="Servisní služby přístrojů GE Datex - Ohmeda"/>
        <s v="PD-modernizace jídelny v budově WD"/>
        <s v="Antibakteriální léčiva pro systémovou aplikaci - beta - laktamová 2016 - I."/>
        <s v="Antibakteriální léčiva pro systémovou aplikaci - beta - laktamová 2016 - II."/>
        <s v="Antibakteriální léčiva pro systémovou aplikaci - beta - laktamová 2016 - III."/>
        <s v="Stolní svářečky hadiček krevních vaků pro TO"/>
        <s v="Skříňové chladničky a mrazící boxy pro TO"/>
        <s v="Interferony 2017 - část I. Interferon alfa-2a"/>
        <s v="Interferony 2017 - část II. Interferon beta-1a pro subkutání aplikaci"/>
        <s v="Interferony 2017 - část III. Interferon beta-1a pro intramuskulární aplikaci"/>
        <s v="Interferony 2017 - část IV. Interferon beta-1b"/>
        <s v="Interferony 2017 - část V. Peginterferon"/>
        <s v="Paramagnetické kontrastní látky 2017 - část I."/>
        <s v="Paramagnetické kontrastní látky 2017 - část II."/>
        <s v="Paramagnetické kontrastní látky 2017 - část III"/>
        <s v="Vodorozpustné nízkoosmolární a isoosmolární nefrotropní rtg-kontr. látky 2017 - část I."/>
        <s v="Vodorozpustné nízkoosmolární a isoosmolární nefrotropní rtg-kontr. látky 2017 - část II."/>
        <s v="Vodorozpustné nízkoosmolární a isoosmolární nefrotropní rtg-kontr. látky 2017 část III:"/>
        <s v="Monitor s defibrilátorem"/>
        <m/>
        <s v="Jiná antivirotika pro systémovou aplikaci 2016 - část I. Aciklovir" u="1"/>
        <s v="Přeložka sdělvoacího kabelu MO ČR" u="1"/>
        <s v="Jiná antivirotika pro systémovou aplikaci 2016" u="1"/>
        <s v="Jiná antivirotika pro systémovou aplikaci 2016 - část V. Inosin pranobex" u="1"/>
        <s v="Jiná antivirotika pro systémovou aplikaci 2017 - část V. Inosin pranobex" u="1"/>
        <s v="Inhibitory proteinkináz III – cytostatika 2016" u="1"/>
        <s v="Antivirotika pro systémuvou aplikaci - antihepatitidová 2016" u="1"/>
        <s v="Kontrastní látky pro rentgenová vyšetření 2017 - část III" u="1"/>
        <s v="Kontrastní látky pro rentgenová vyšetření 2017 - část II." u="1"/>
        <s v="Kontrastní látky pro rentgenová vyšetření 2017 - část IV." u="1"/>
        <s v="Antibakteriální léčiva pro systémovou aplikaci - beta - laktamová 2016" u="1"/>
        <s v="Stavební úpravy ambulancí Neurologie" u="1"/>
        <s v="Provádění komplexních servisních služeb - RTG systémy Philip" u="1"/>
        <s v="Kontrastní látky pro rentgenová vyšetření 2017 - část V." u="1"/>
        <s v="Pojištění pro Fakultní nemocnici Olomouc" u="1"/>
        <s v="Jiná antivirotika pro systémovou aplikaci 2016 - část III. Valaciklovir" u="1"/>
        <s v="Provádění komplexních servisních služeb - RTG systémy Philips" u="1"/>
        <s v="Antibakteriální léčiva pro systémovou aplikaci II 2016" u="1"/>
        <s v="Antimykotika pro systémovou aplikaci II – triazolová 2016" u="1"/>
        <s v="Jiná antivirotika pro systémovou aplikaci 2016 - část II. Ganciklovir" u="1"/>
        <s v="Kontrastní látky pro rentgenová vyšetření 2017 - část I." u="1"/>
        <s v="Kontrastní látky pro rentgenová vyšetření 2017 - část VI." u="1"/>
        <s v="Jiná antivirotika pro systémovou aplikaci 2016 - část IV. Oseltamivir" u="1"/>
        <s v="Jiná antivirotika pro systémovou aplikaci 2017 - část IV. Oseltamivir" u="1"/>
      </sharedItems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427.86" maxValue="298000000"/>
    </cacheField>
    <cacheField name="Druh VZ" numFmtId="0">
      <sharedItems containsBlank="1" count="9">
        <s v="ZPŘ"/>
        <s v="OŘ"/>
        <s v="EP"/>
        <s v="VZMR"/>
        <s v="DNS"/>
        <s v="TENDER"/>
        <s v="JŘBU"/>
        <s v="JRBU"/>
        <m/>
      </sharedItems>
    </cacheField>
    <cacheField name="VZ vypsaná dne" numFmtId="0">
      <sharedItems containsDate="1" containsBlank="1" containsMixedTypes="1" minDate="2014-12-02T00:00:00" maxDate="2016-12-23T00:00:00"/>
    </cacheField>
    <cacheField name="Lhůta pro podání nabídek" numFmtId="0">
      <sharedItems containsDate="1" containsBlank="1" containsMixedTypes="1" minDate="2014-12-18T00:00:00" maxDate="2017-01-25T00:00:00"/>
    </cacheField>
    <cacheField name="Dodavatel" numFmtId="0">
      <sharedItems containsBlank="1"/>
    </cacheField>
    <cacheField name="Vítězná cena bez DPH" numFmtId="44">
      <sharedItems containsString="0" containsBlank="1" containsNumber="1" minValue="359" maxValue="276902126"/>
    </cacheField>
    <cacheField name="Vítězná cena s DPH" numFmtId="44">
      <sharedItems containsString="0" containsBlank="1" containsNumber="1" minValue="434.39" maxValue="335051572"/>
    </cacheField>
    <cacheField name="Smlouva podepsána" numFmtId="0">
      <sharedItems containsNonDate="0" containsDate="1" containsString="0" containsBlank="1" minDate="2015-12-18T00:00:00" maxDate="2017-01-01T00:00:00" count="108">
        <d v="2016-06-24T00:00:00"/>
        <m/>
        <d v="2016-02-05T00:00:00"/>
        <d v="2016-01-28T00:00:00"/>
        <d v="2016-01-06T00:00:00"/>
        <d v="2016-02-26T00:00:00"/>
        <d v="2016-02-11T00:00:00"/>
        <d v="2016-02-15T00:00:00"/>
        <d v="2016-09-09T00:00:00"/>
        <d v="2015-12-28T00:00:00"/>
        <d v="2016-01-22T00:00:00"/>
        <d v="2016-03-02T00:00:00"/>
        <d v="2016-01-07T00:00:00"/>
        <d v="2016-02-10T00:00:00"/>
        <d v="2016-01-18T00:00:00"/>
        <d v="2016-02-01T00:00:00"/>
        <d v="2016-12-02T00:00:00"/>
        <d v="2016-05-23T00:00:00"/>
        <d v="2016-02-03T00:00:00"/>
        <d v="2016-02-22T00:00:00"/>
        <d v="2016-02-19T00:00:00"/>
        <d v="2016-03-14T00:00:00"/>
        <d v="2016-06-06T00:00:00"/>
        <d v="2016-03-18T00:00:00"/>
        <d v="2016-03-10T00:00:00"/>
        <d v="2016-04-04T00:00:00"/>
        <d v="2016-03-24T00:00:00"/>
        <d v="2016-08-11T00:00:00"/>
        <d v="2016-02-29T00:00:00"/>
        <d v="2015-12-18T00:00:00"/>
        <d v="2016-03-31T00:00:00"/>
        <d v="2016-03-23T00:00:00"/>
        <d v="2016-03-21T00:00:00"/>
        <d v="2016-10-18T00:00:00"/>
        <d v="2016-11-07T00:00:00"/>
        <d v="2016-04-29T00:00:00"/>
        <d v="2016-04-27T00:00:00"/>
        <d v="2016-05-09T00:00:00"/>
        <d v="2016-05-16T00:00:00"/>
        <d v="2016-04-22T00:00:00"/>
        <d v="2016-05-20T00:00:00"/>
        <d v="2016-05-13T00:00:00"/>
        <d v="2016-06-28T00:00:00"/>
        <d v="2016-04-26T00:00:00"/>
        <d v="2016-05-10T00:00:00"/>
        <d v="2016-06-21T00:00:00"/>
        <d v="2016-06-30T00:00:00"/>
        <d v="2016-07-13T00:00:00"/>
        <d v="2016-08-24T00:00:00"/>
        <d v="2016-05-19T00:00:00"/>
        <d v="2016-05-26T00:00:00"/>
        <d v="2016-07-28T00:00:00"/>
        <d v="2016-07-21T00:00:00"/>
        <d v="2016-10-05T00:00:00"/>
        <d v="2016-07-11T00:00:00"/>
        <d v="2016-12-19T00:00:00"/>
        <d v="2016-12-23T00:00:00"/>
        <d v="2016-06-22T00:00:00"/>
        <d v="2016-06-13T00:00:00"/>
        <d v="2016-06-01T00:00:00"/>
        <d v="2016-05-24T00:00:00"/>
        <d v="2016-06-08T00:00:00"/>
        <d v="2016-09-30T00:00:00"/>
        <d v="2016-07-01T00:00:00"/>
        <d v="2016-11-11T00:00:00"/>
        <d v="2016-10-14T00:00:00"/>
        <d v="2016-11-10T00:00:00"/>
        <d v="2016-11-01T00:00:00"/>
        <d v="2016-11-02T00:00:00"/>
        <d v="2016-09-13T00:00:00"/>
        <d v="2016-09-20T00:00:00"/>
        <d v="2016-08-09T00:00:00"/>
        <d v="2016-07-19T00:00:00"/>
        <d v="2016-08-17T00:00:00"/>
        <d v="2016-07-29T00:00:00"/>
        <d v="2016-11-14T00:00:00"/>
        <d v="2016-11-16T00:00:00"/>
        <d v="2016-11-21T00:00:00"/>
        <d v="2016-08-19T00:00:00"/>
        <d v="2016-08-10T00:00:00"/>
        <d v="2016-11-08T00:00:00"/>
        <d v="2016-09-08T00:00:00"/>
        <d v="2016-09-19T00:00:00"/>
        <d v="2016-08-30T00:00:00"/>
        <d v="2016-08-29T00:00:00"/>
        <d v="2016-08-15T00:00:00"/>
        <d v="2016-10-27T00:00:00"/>
        <d v="2016-10-04T00:00:00"/>
        <d v="2016-11-03T00:00:00"/>
        <d v="2016-11-30T00:00:00"/>
        <d v="2016-12-12T00:00:00"/>
        <d v="2016-09-22T00:00:00"/>
        <d v="2016-09-14T00:00:00"/>
        <d v="2016-10-17T00:00:00"/>
        <d v="2016-10-20T00:00:00"/>
        <d v="2016-10-10T00:00:00"/>
        <d v="2016-12-01T00:00:00"/>
        <d v="2016-11-15T00:00:00"/>
        <d v="2016-09-27T00:00:00"/>
        <d v="2016-11-22T00:00:00"/>
        <d v="2016-12-07T00:00:00"/>
        <d v="2016-10-26T00:00:00"/>
        <d v="2016-11-24T00:00:00"/>
        <d v="2016-11-28T00:00:00"/>
        <d v="2016-12-20T00:00:00"/>
        <d v="2016-12-31T00:00:00"/>
        <d v="2016-11-09T00:00:00"/>
        <d v="2016-12-2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9097221" createdVersion="3" refreshedVersion="6" minRefreshableVersion="3" recordCount="199" xr:uid="{00000000-000A-0000-FFFF-FFFF07000000}">
  <cacheSource type="worksheet">
    <worksheetSource ref="A6:O205" sheet="VZ 2015"/>
  </cacheSource>
  <cacheFields count="15">
    <cacheField name="Zadávací pracoviště" numFmtId="0">
      <sharedItems containsBlank="1"/>
    </cacheField>
    <cacheField name="Osoba pověřená pro zadávací řízení" numFmtId="0">
      <sharedItems containsBlank="1"/>
    </cacheField>
    <cacheField name="Interní evidenční číslo" numFmtId="0">
      <sharedItems containsBlank="1"/>
    </cacheField>
    <cacheField name="Předmět plnění - název zakázky" numFmtId="0">
      <sharedItems containsBlank="1" count="187">
        <s v="Informační systém pro Transfuzní oddělení FNOL II."/>
        <s v="Dodávka kopírovacích a tiskových zařízení FNOL 2015 "/>
        <s v="Monitory FNOL 2015"/>
        <s v="Termotiskárny samolepících štítků FNOL 2015 "/>
        <s v="Notebooky FNOL 2015"/>
        <s v="PC sestavy FNOL 2015"/>
        <s v="Dodávka dectů"/>
        <s v="Zařízení pro automatizované monitorování a vyhodnocování sítí na bázi datových toků"/>
        <s v="Dodávka tiskáren"/>
        <s v="Informační systém operačních sálů FNOL"/>
        <s v="Rozšíření licencí SW CISCO"/>
        <s v="Zpracování a úprava bezpečnostních procesů a bezp. dokumentace ISMS"/>
        <s v="Dodávka aktivních prvků a rozšíření WiFi technologie pro areál FNOL"/>
        <s v="Pozáruční servis IBM zařízení"/>
        <s v="Modernizace telefonního systému"/>
        <s v="Tiskárny etiket FNOL 2015"/>
        <s v="Diskové pole a expanze FNOL 2015"/>
        <s v="Blade chassis včetně příslušenství a serverů FNOL 2015"/>
        <s v="Dodávka čtecího zařízení FNOL 2015"/>
        <m/>
        <s v="FN Olomouc - SÚ JIP a arytmologie I.IK D1D2"/>
        <s v="Zpracování projektové dokumentace Areál Hněvotínská"/>
        <s v="Zpracování studie na novostavbu II. Interní kliniky, endoskopie a oddělení geriatrie ve FNOL"/>
        <s v="FN OLOMOUC - Novostavba II. Interní kliniky, endoskopie a oddělení geriatrie"/>
        <s v="FN Olomouc - obnova obvodového pláště a bezbariérovost KZL"/>
        <s v="FN Olomouc - novostavba 2. IK a geriatrie (DUR, DSP a DZS)"/>
        <s v="FN Olomouc - SÚ JIP a arytmologie I.IK - dodatek č.1"/>
        <s v="FN Olomouc - SÚ JIP a arytmologie I.IK - dodatek č.2"/>
        <s v="Servisní činnosti  -  lineární  urychlovače"/>
        <s v="Dorozumívací zařízení sestra pacient 2015"/>
        <s v="Rekonstrukce výtahů - Provoz stravování"/>
        <s v="Klimatizační jednotky FNOL 2015"/>
        <s v="Kalibrace a validace měřidel a zařízení FNOL 2015"/>
        <s v="Dochlazování pokojů ve 2.NP budovy D1, D2"/>
        <s v="Rekonstrukce systému MaR - Dětská klinika"/>
        <s v="Kalibrace a validace měřidel a zařízení"/>
        <s v="Výměna chladící jednotky - objekt C"/>
        <s v="Dorozumívací zařízení sestra pacient 2015- II."/>
        <s v="Rozvod dusíku - CAR"/>
        <s v="Dodávka sporáku"/>
        <s v="Dodávka sporáku II"/>
        <s v="Dodávka hnětače"/>
        <s v="Pásová myčka"/>
        <s v="Dodávka tabletovacích vozíků"/>
        <s v="Malířské a natěračské práce"/>
        <s v="Rekonstrukce kanalizace Q1"/>
        <s v="Rozšíření denního stacionáře v budově E"/>
        <s v="Rekonstrukce dvorní dešťové kanalizace budovy UZQ"/>
        <s v="Sanace zvlhlého zdiva v budově UZQ"/>
        <s v="Sanace podlah v budově WD - Stravovací provoz"/>
        <s v="Oprava střešního pláště na budově M3"/>
        <s v="Dochlazování pokojů a vyšetřoven v budově Dětské kliniky"/>
        <s v="Sanace podlah v budově WD - Stravovací provoz II."/>
        <s v="Výměna podhledů v budově H1 v 5. a 6. NP"/>
        <s v="Oprava chodníku mezi budovami O1 a P1"/>
        <s v="Oprava střešního pláště na budově WJ"/>
        <s v="Výměna oken a vstupních dveří v budově C"/>
        <s v="Sanace zavlhlého zdiva v budově O2"/>
        <s v="Oprava terasy budovy WD - stravovací provoz"/>
        <s v="Oprava rozvodů vody v budově L"/>
        <s v="Výměna oken a vstupních dveří v budově C II."/>
        <s v="SW pro evidenci majetku III"/>
        <s v="Informační systém pro evidenci majetku"/>
        <s v="Informační systém pro evidenci majetku II."/>
        <s v="Servisní údržba, podpora a rozvoj ERP systému QI"/>
        <s v="Analyzátory acidobazické rovnováhy 2015"/>
        <s v="Stativy stropní otočné"/>
        <s v="Plicní ventilátory"/>
        <s v="Mobilní RTG C-rameno s flat panelem"/>
        <s v="Širokoúhlá sítnicová kamera"/>
        <s v="Ultrazvukový přístroj pro pokročilé celotělové zobrazování"/>
        <s v="Monitory vitálních funkcí 2015"/>
        <s v="Přístroj na lisování tablet z vlhkého granulátu"/>
        <s v="Multikanálová pumpa pro Lékárnu"/>
        <s v="Laboratorní stoly pro zubní techniky"/>
        <s v="Digitální CT 3D - ConeBeam CT"/>
        <s v="Digitální panoramatický rentgen OPG"/>
        <s v="Moduly pro pohybovou a kognitivní rehabilitaci horní končetiny"/>
        <s v="Přenosné přístroje pro externí defibrilaci"/>
        <s v="FN Olomouc - perinatologický program 2014 - Kardiotokograf - bezdrátová monitorovací jednotka"/>
        <s v="Transportní polytraumatologická lehátka - Stretchery"/>
        <s v="Transportní polytraumatologická lehátka - Stretchery II."/>
        <s v="Transportní polytraumatologická lehátka - Stretchery III."/>
        <s v="Nemocniční lůžko pro resuscitační a intenzivní péči vč.antidekubitní matrace"/>
        <s v="Flexibilní videobronchoskopy"/>
        <s v="Systém detekce hydratace pacienta"/>
        <s v="Trombektomický systém"/>
        <s v="Aplikátory pro brachyterapii"/>
        <s v="Mycí a dezinfekční automat"/>
        <s v="Stropní vyšetřovací a operační svítidlo"/>
        <s v="Osvětlovací s instalační rampy k lůžkům pro I. Interní kliniku"/>
        <s v="Dodávka a bezplatná zápůjčka CGH array readeru"/>
        <s v="Digitální CT 3D "/>
        <s v="Nemocniční resuscitační a standardní lůžka"/>
        <s v="Real-Time PCR termocykler"/>
        <s v="Tkáňový procesor"/>
        <s v="Genetický analyzátor"/>
        <s v="Doplnění telemetrického systému"/>
        <s v="Separátory krevních elementů"/>
        <s v="Kamerová jednotka endoskopického systému"/>
        <s v="Genetický analyzátor II."/>
        <s v="Mobilní zvedací systém "/>
        <s v="Mobilní zvedací systém II. - ortopedie"/>
        <s v="Mobilní zvedací systém II. - dětská klinika"/>
        <s v="Vrtačky a oscilační pily pro endoprotetiku - část I."/>
        <s v="Vrtačky a oscilační pily pro endoprotetiku - část II."/>
        <s v="Intubační bronchoskop"/>
        <s v="Přístroj pro terapeutické dávkování NO"/>
        <s v="Laserový zobrazovací systém pro asistovanou reprodukci"/>
        <s v="Ultrazvukové přístroje"/>
        <s v="Přístroj na lisování tablet z granulátu připraveného vlhkou metodou"/>
        <s v="Nemocniční dialyzační lůžka s váhou"/>
        <s v="Kultivační inkubátor s CO2 a O2/N2"/>
        <s v="Laboratorní mikroskopy"/>
        <s v="Porodní lůžko"/>
        <s v="Doplnění systému - monitory vitálních funkcí"/>
        <s v="Nemocniční standardní lůžka"/>
        <s v="Dodávka diagnostických souprav pro typizaci HLA alel"/>
        <s v="Porodní lůžko II."/>
        <s v="Transportní monitory životních funkcí"/>
        <s v="Noční stolky s jídelní deskou"/>
        <s v="Vrtačka pro Traumatologické oddělení FNOL"/>
        <s v="Excimerový laser"/>
        <s v="Rukavice vyšetřovací nitrilové"/>
        <s v="Závěsy k teleskopickým zástěnám - 2015"/>
        <s v="Hadičky spojovací pro infuzní terapii II."/>
        <s v="Závěsy k teleskopickým  zástěnám  2015 II"/>
        <s v="Kapilární hemodialyzátory"/>
        <s v="Sterilní jednorázové kojenecké láhve a dudlíky"/>
        <s v="Jednorázové kojenecké láhve a dudlíky"/>
        <s v="Dodávka ABR stříkaček"/>
        <s v="Nitrooční čočky"/>
        <s v="Imunosupresiva 2015 - část I. Anakinra"/>
        <s v="Imunosupresiva 2015 - část II. Lenalidomid"/>
        <s v="Imunosupresiva 2015 - část III. Pirfenidon"/>
        <s v="Imunosupresiva 2015 - část IV. Ustekinumab"/>
        <s v="Jiná cytostatika 2015 - část I. Bortezomib"/>
        <s v="Jiná cytostatika 2015 - část II. Pegaspargasa"/>
        <s v="Monoklonální protilátky 2015 - část I. Brentuximab vedotin"/>
        <s v="Monoklonální protilátky 2015 - část II. Ipilimumab"/>
        <s v="Monoklonální protilátky 2015 - část III. Trastuzumab emtasin"/>
        <s v="Antiinfektiva pro syst. užití a očkov. látky 2015 - část I. Amfotericin B"/>
        <s v="Antiinfektiva pro syst. užití a očkov. látky 2015 - část II. Amikacin inf.láhev"/>
        <s v="Antiinfektiva pro syst. užití a očkov. látky 2015 - část III. Amikacin inj.lahvička"/>
        <s v="Antiinfektiva pro syst. užití a očkov. látky 2015 - část IV. Gentamicin"/>
        <s v="Antiinfektiva pro syst. užití a očkov. látky 2015 - část V. Meropenem"/>
        <s v="Antiinfektiva pro syst. užití a očkov. látky 2015 - část VI. Mikafungin"/>
        <s v="Antiinfektiva pro syst. užití a očkov. látky 2015 - část VII. Pefloxacin"/>
        <s v="Antiinfektiva pro syst. užití a očkov. látky 2015 - část VIII. Posakonazol"/>
        <s v="Antiinfektiva pro syst. užití a očkov. látky 2015 - část IX. Teikoplanin"/>
        <s v="Antiinfektiva pro syst. užití a očkov. látky 2015 - část X. Tigecyklin"/>
        <s v="Selek. imunosupresiva - RS 2015 - část I. Interfereon beta - 1a pro subkutánní aplikaci"/>
        <s v="Selek. imunosupresiva - RS 2015 - část II. Interferon beta - 1a pro intramuskulární aplikaci"/>
        <s v="Selek. imunosupresiva - RS 2015 - část III. Interferon beta - 1b pro subkutánní aplikaci"/>
        <s v="Selek. imunosupresiva - RS 2015 - část IV. Dimethylfumarát"/>
        <s v="Selek. imunosupresiva - RS 2015 - část V. Teriflunomidum"/>
        <s v="Selek. imunosupresiva - RS 2015 - část VI. Glatiramer - acetát"/>
        <s v="Inhibitory proteinkináz 2015 - část I. Axitinib"/>
        <s v="Inhibitory proteinkináz 2015 - část II. Dasatinib"/>
        <s v="Inhibitory proteinkináz 2015 - část III. Gefitinib"/>
        <s v="Inhibitory proteinkináz 2015 - část IV. Lapatinib"/>
        <s v="Inhibitory proteinkináz 2015 - část V. Krizotinib"/>
        <s v="Inhibitory proteinkináz 2015 - část VI. Sunitinib"/>
        <s v="Inhibitory proteinkináz 2015 - část VII. Pazopanib"/>
        <s v="Inhibitory proteinkináz 2015 - část VIII. Temsirolimus"/>
        <s v="Imunostimulancia - CSF - část I. Filgrastim"/>
        <s v="Imunostimulancia - CSF - část II. Pegfilgrastim"/>
        <s v="Imunostimulancia - CSF - část III. Plerixafor"/>
        <s v="Dentální balíčky pro zaměstance FNOL"/>
        <s v="Antianemika"/>
        <s v="Radiofarmaka fluordeoxglukózy"/>
        <s v="Provedení akreditace systému řízení kvality a bezpečí zdravotních služeb "/>
        <s v="Certifikace systému managementu kvality"/>
        <s v="část I. - Externí klinický audit v radiodiagnostice včetně intervenční radiologie a kardiologie"/>
        <s v="část II.  -  Externí klinický audit v nukleární medicíně a radioterapii "/>
        <s v="Transportní technika do sanitních vozidel"/>
        <s v="Servis,opravy a údržba sanitních, osobních a dodávkových vozidel FNOL - I."/>
        <s v="Servis,opravy a údržba sanitních, osobních a dodávkových vozidel FNOL - II."/>
        <s v="Dodávka pneumatik pro os., dodávk. a nákl. vozidla FNOL"/>
        <s v="Nákup sanitních vozidel"/>
        <s v="Nákladní vozidla na CNG"/>
        <s v="Optimalizace procesu praní FNOL"/>
        <s v="Likvidace odpadu z FNOL"/>
        <s v="Potrubní pošta"/>
        <s v="Poskytnutí a provozování audiovizuálního zobrazovacího systému"/>
        <s v="Úklidové a pomocné práce"/>
        <s v="Platební automat"/>
      </sharedItems>
    </cacheField>
    <cacheField name="CPV kód" numFmtId="0">
      <sharedItems containsBlank="1" containsMixedTypes="1" containsNumber="1" containsInteger="1" minValue="325521101" maxValue="325521101"/>
    </cacheField>
    <cacheField name="Položka invest. plánu" numFmtId="49">
      <sharedItems containsBlank="1"/>
    </cacheField>
    <cacheField name="Předpokládaná hodnota VZ bez DPH" numFmtId="0">
      <sharedItems containsString="0" containsBlank="1" containsNumber="1" minValue="4700" maxValue="250000000"/>
    </cacheField>
    <cacheField name="Druh VZ" numFmtId="0">
      <sharedItems containsBlank="1" count="9">
        <s v="VZMR"/>
        <s v="DNS"/>
        <s v="TENDER"/>
        <s v="ZPŘ"/>
        <s v="OŘ"/>
        <m/>
        <s v="JŘBU"/>
        <s v="EP"/>
        <s v="Užší řízení"/>
      </sharedItems>
    </cacheField>
    <cacheField name="VZ vypsaná dne" numFmtId="0">
      <sharedItems containsNonDate="0" containsDate="1" containsString="0" containsBlank="1" minDate="2014-10-01T00:00:00" maxDate="2015-12-22T00:00:00"/>
    </cacheField>
    <cacheField name="Lhůta pro podání nabídek" numFmtId="0">
      <sharedItems containsDate="1" containsBlank="1" containsMixedTypes="1" minDate="2014-10-22T00:00:00" maxDate="2016-01-13T00:00:00"/>
    </cacheField>
    <cacheField name="Dodavatel" numFmtId="0">
      <sharedItems containsBlank="1"/>
    </cacheField>
    <cacheField name="Vítězná cena bez DPH" numFmtId="0">
      <sharedItems containsBlank="1" containsMixedTypes="1" containsNumber="1" minValue="74774.21487603306" maxValue="86954208.549999997"/>
    </cacheField>
    <cacheField name="Vítězná cena s DPH" numFmtId="0">
      <sharedItems containsBlank="1" containsMixedTypes="1" containsNumber="1" minValue="90476.800000000003" maxValue="105214592.34999999"/>
    </cacheField>
    <cacheField name="Smlouva podepsána" numFmtId="0">
      <sharedItems containsDate="1" containsBlank="1" containsMixedTypes="1" minDate="2015-02-27T00:00:00" maxDate="2016-01-29T00:00:00" count="81">
        <d v="2015-05-26T00:00:00"/>
        <d v="2015-04-28T00:00:00"/>
        <d v="2015-03-30T00:00:00"/>
        <d v="2015-03-23T00:00:00"/>
        <d v="2015-05-04T00:00:00"/>
        <d v="2015-05-05T00:00:00"/>
        <d v="2015-05-25T00:00:00"/>
        <m/>
        <d v="2015-07-13T00:00:00"/>
        <d v="2015-09-01T00:00:00"/>
        <d v="2015-10-20T00:00:00"/>
        <d v="2015-12-21T00:00:00"/>
        <d v="2015-11-25T00:00:00"/>
        <d v="2015-11-27T00:00:00"/>
        <d v="2015-12-18T00:00:00"/>
        <d v="2015-12-28T00:00:00"/>
        <d v="2015-12-23T00:00:00"/>
        <d v="2015-06-09T00:00:00"/>
        <d v="2015-07-15T00:00:00"/>
        <d v="2015-12-16T00:00:00"/>
        <d v="2015-06-18T00:00:00"/>
        <d v="2015-05-14T00:00:00"/>
        <d v="2015-04-09T00:00:00"/>
        <d v="2015-08-21T00:00:00"/>
        <d v="2015-09-15T00:00:00"/>
        <d v="2015-11-23T00:00:00"/>
        <d v="2015-10-19T00:00:00"/>
        <d v="2015-03-26T00:00:00"/>
        <d v="2015-08-25T00:00:00"/>
        <d v="2015-05-15T00:00:00"/>
        <d v="2015-05-06T00:00:00"/>
        <d v="2015-04-29T00:00:00"/>
        <d v="2015-06-04T00:00:00"/>
        <d v="2015-06-24T00:00:00"/>
        <d v="2015-09-11T00:00:00"/>
        <d v="2015-08-14T00:00:00"/>
        <d v="2015-08-07T00:00:00"/>
        <d v="2015-11-03T00:00:00"/>
        <d v="2015-10-29T00:00:00"/>
        <d v="2015-09-17T00:00:00"/>
        <d v="2015-05-13T00:00:00"/>
        <d v="2015-09-16T00:00:00"/>
        <d v="2015-10-09T00:00:00"/>
        <d v="2015-05-27T00:00:00"/>
        <d v="2015-06-12T00:00:00"/>
        <d v="2015-05-19T00:00:00"/>
        <d v="2015-03-19T00:00:00"/>
        <d v="2015-06-15T00:00:00"/>
        <d v="2015-04-14T00:00:00"/>
        <d v="2015-08-06T00:00:00"/>
        <d v="2015-06-16T00:00:00"/>
        <d v="2015-07-22T00:00:00"/>
        <d v="2015-07-07T00:00:00"/>
        <d v="2015-07-20T00:00:00"/>
        <d v="2015-07-23T00:00:00"/>
        <d v="2016-01-28T00:00:00"/>
        <d v="2015-08-28T00:00:00"/>
        <d v="2015-08-18T00:00:00"/>
        <d v="2015-07-27T00:00:00"/>
        <d v="2015-10-01T00:00:00"/>
        <d v="2015-11-11T00:00:00"/>
        <s v="xxx"/>
        <d v="2015-10-21T00:00:00"/>
        <d v="2015-12-02T00:00:00"/>
        <d v="2015-09-09T00:00:00"/>
        <d v="2015-10-12T00:00:00"/>
        <d v="2015-10-16T00:00:00"/>
        <d v="2015-11-04T00:00:00"/>
        <d v="2015-10-05T00:00:00"/>
        <d v="2015-10-14T00:00:00"/>
        <d v="2015-11-18T00:00:00"/>
        <d v="2015-06-03T00:00:00"/>
        <d v="2015-09-30T00:00:00"/>
        <d v="2016-01-07T00:00:00"/>
        <d v="2015-12-09T00:00:00"/>
        <d v="2015-12-08T00:00:00"/>
        <d v="2015-02-27T00:00:00"/>
        <d v="2015-08-11T00:00:00"/>
        <d v="2015-09-29T00:00:00"/>
        <d v="2016-01-06T00:00:00"/>
        <d v="2015-09-04T00:00:00"/>
      </sharedItems>
    </cacheField>
    <cacheField name="Smlouva , Písemná zpráva zadavatele              Profil zadavatele" numFmtId="0">
      <sharedItems containsDate="1" containsBlank="1" containsMixedTypes="1" minDate="2015-03-20T00:00:00" maxDate="2016-01-08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9328705" createdVersion="3" refreshedVersion="6" minRefreshableVersion="3" recordCount="346" xr:uid="{00000000-000A-0000-FFFF-FFFF06000000}">
  <cacheSource type="worksheet">
    <worksheetSource ref="A6:P352" sheet="VZ 2016"/>
  </cacheSource>
  <cacheFields count="16">
    <cacheField name="Interní evidenční číslo" numFmtId="0">
      <sharedItems containsBlank="1"/>
    </cacheField>
    <cacheField name="Zadáv. prac." numFmtId="0">
      <sharedItems containsBlank="1"/>
    </cacheField>
    <cacheField name="Osoba pověřená pro zadávací řízení" numFmtId="0">
      <sharedItems containsBlank="1"/>
    </cacheField>
    <cacheField name="Předmět plnění - název zakázky" numFmtId="0">
      <sharedItems containsBlank="1" count="344">
        <s v="Kity k vyšetření biotinidázy"/>
        <s v="Servisní činnosti  -  lineární  urychlovače"/>
        <s v="Servisní údržba, podpora a rozvoj ERP systému QI"/>
        <s v="Likvidace odpadu z FNOL"/>
        <s v="Dodávka a bezplatná zápůjčka CGH array readeru"/>
        <s v="Servis,opravy a údržba sanitních, osobních a dodávkových vozidel FNOL - I."/>
        <s v="Servis,opravy a údržba sanitních, osobních a dodávkových vozidel FNOL - II."/>
        <s v="Poskytnutí a provozování audiovizuálního zobrazovacího systému"/>
        <s v="FN Olomouc - obnova obvodového pláště a bezbariérovost KZL"/>
        <s v="Přístroj na lisování tablet z granulátu připraveného vlhkou metodou"/>
        <s v="FN Olomouc - novostavba 2. IK a geriatrie (DUR, DSP a DZS)"/>
        <s v="Dodávka diagnostických souprav pro typizaci HLA alel"/>
        <s v="Dorozumívací zařízení sestra pacient 2015- II."/>
        <s v="Modernizace telefonního systému"/>
        <s v="Diskové pole a expanze FNOL 2015"/>
        <s v="Rozvod dusíku - CAR"/>
        <s v="Antianemika - část I. Epoetin"/>
        <s v="Antianemika - část II. Darbopoetin alfa"/>
        <s v="Antianemika - část III. Pegepoetin beta"/>
        <s v="Jednorázové kojenecké láhve a dudlíky"/>
        <s v="Výměna oken a vstupních dveří v budově C II."/>
        <s v="Dodávka ABR stříkaček"/>
        <s v="Vrtačka pro Traumatologické oddělení FNOL"/>
        <s v="Platební automat"/>
        <s v="Excimerový laser"/>
        <s v="Radiofarmaka fluordeoxglukózy"/>
        <s v="Nákup sanitních vozidel - část I. Sanitní vozidla DNR typu A2"/>
        <s v="Nákup sanitních vozidel - část II. Sanitní ambulance ZS typu B "/>
        <s v="Nitrooční čočky"/>
        <s v="Nákladní vozidla na CNG"/>
        <s v="Zdravotnické datové úložiště"/>
        <s v="Deratizace, dezinfekce a desinsekce ve FNOL"/>
        <s v="Dodávka tiskáren FNOL 2016"/>
        <s v="Nerezový mobiliář"/>
        <s v="Čtecí zařízení 1D a 2D čárových kódů FNOL 2016"/>
        <s v="Převazové vozíky"/>
        <s v="Transportní křesla pro převoz pacientů"/>
        <s v="Reagencie pro screening v 1.trimestru 2016"/>
        <s v="Monitory FNOL 2016"/>
        <s v="Stolní laser pro ORL výkony"/>
        <s v="Poskytnutí a provozování audiovizuálního zobrazovacího systému II."/>
        <s v="Systém pro karyotypování"/>
        <s v="FN Olomouc - SÚ JIP a arytmologie I.IK - dodatek č.3"/>
        <s v="Unit ORL a vyšetřovací ORL křeslo - část I. ORL unit"/>
        <s v="Unit ORL a vyšetřovací ORL křeslo - část II. ORL křeslo"/>
        <s v="Optická biometrie"/>
        <s v="Diagnostika - Analyzátory moči"/>
        <s v="Inhibitory cytokinů 2016 - část I. Certolizumab pegol"/>
        <s v="Inhibitory cytokinů 2016 - část II. Etanercept"/>
        <s v="Inhibitory cytokinů 2016 - část III. Adalimumab - injekční pero"/>
        <s v="Inhibitory cytokinů 2016 - část IV. Adalimumab - injekční stříkačka"/>
        <s v="Inhibitory cytokinů 2016 - V. Infliximab"/>
        <s v="Inhibitory cytokinů 2016 - VI. Abatacept"/>
        <s v="Inhibitory cytokinů 2016 - VII. Secukinumab"/>
        <s v="Inhibitory cytokinů 2016 - VIII. Golimumab"/>
        <s v="Servis, opravy a údržba nákladních vozidel FNOL"/>
        <s v="Úprava dětské kliniky pro ambulanci alergologie"/>
        <s v="Diagnostické stanice a DICOM prohlížeč"/>
        <s v="Operační mikroskop  s videořetězcem pro ORL"/>
        <s v="PC sestavy FNOL 2016"/>
        <s v="Termotiskárny FNOL 2016"/>
        <s v="Mycí a dezinfekční automat na operační obuv"/>
        <s v="Ventilátor vysokofrekvenční pro Dětskou kliniku"/>
        <s v="Rekonstrukce výtahů"/>
        <s v="Vyšetřovací lehátka"/>
        <s v="Transportní lehátka"/>
        <s v="Osvětlovací a instalační rampy k lůžkum pro HOK"/>
        <s v="Studie proveditelnosti implementace ICT technologie"/>
        <s v="Výměna chladící jednotky - Dětská klinika"/>
        <s v="Filtry pro vzduchotechnické jednotky"/>
        <s v="Infuzní technika"/>
        <s v="Licence sw k CBCT systému NewTom Vgi Evo"/>
        <s v="Garantovaný archiv a související SW pro ukládání ele zdr. dokumentace"/>
        <s v="Komplexní servisní služby - RTG systémy Philips"/>
        <s v="Přístroj na lisování tablet"/>
        <s v="Stavební úpravy ambulancí Neurologické kliniky"/>
        <s v="Plynový chromatograf s hmotnostním spektrometrem"/>
        <s v="Myčka nádobí a reverzní osmóza"/>
        <s v="Analoga kyseliny listové 2016 - část I. Pemetrexed"/>
        <s v="Analoga kyseliny listové 2016 - část II. Methotrexat"/>
        <s v="Dodávky dectů 2016"/>
        <s v="Chlazení cirkulačního okruhu aqua purificata"/>
        <s v="Chladící skříně pojízdné"/>
        <s v="Nákladní vozidla na CNG II."/>
        <s v="Přístroj urodynamický a vyšetřovací stůl - část I. Přístroj urodynamický"/>
        <s v="Přístroj urodynamický a vyšetřovací stůl- část II. Vyšetřovací stůl"/>
        <s v="Morcelátor resterilizovatelný"/>
        <s v="Rekonstrukce výtahů II."/>
        <s v="Přístroj RTG digitální pojízdný 3 ks"/>
        <s v="Monitory vitálních funkcí s centrálou pro KCHK"/>
        <s v="Blade chassis včetně příslušenství a serverů FNOL 2016"/>
        <s v="Rehabilitace - úprava hygienických zařízení ve 3.NP budovy D2"/>
        <s v="Stolařské práce ve FNOL"/>
        <s v="Kopírky FNOL 2016"/>
        <s v="Klimatizační jednotky 2016 - část I. Dochlazování Dětská klinika"/>
        <s v="Klimatizační jednotky 2016 - část II. Klimatizační jednotky"/>
        <s v="Přenosné přístroje pro externí defibrilaci"/>
        <s v="Platební automaty na regulační poplatky"/>
        <s v="Leštička se sterilizací příborů"/>
        <s v="Sanitární technika"/>
        <s v="Zámky, kování a samozavírače"/>
        <s v="Výměna chladící jednotky - laboratoř OKB"/>
        <s v="Konektor bezjehlový 2016"/>
        <s v="Solární přípravky pro zaměstnance FNOL - část I.  Dermokosmetický…."/>
        <s v="Solární přípravky pro zaměstnance FNOL - část II. Opalovací přípravek"/>
        <s v="Chlazení cirkulačního okruhu aqua purificata II."/>
        <s v="Rekonstrukce vodního okruhu chlazení pro vzduchotechniku varny"/>
        <s v="Výměna chladící jednotky - stravovací provoz"/>
        <s v="Pevné disky FNOL 2016"/>
        <s v="Jehličkové tiskárny FNOL 2016"/>
        <s v="Zámky, kování a samozavírače II."/>
        <s v="Rukavice vyšetřovací nitrilové 2016"/>
        <s v="Mikroskopy dentílní laboratorní"/>
        <s v="Sanitární technika II."/>
        <s v="EKG se zapisovačem"/>
        <s v="Výměna termoregulačních ventilů v budově UZQ"/>
        <s v="Opravy hygienického zařízení a výměna podhledů ve 4.NP budovy Q2"/>
        <s v="Údržbářské práce"/>
        <s v="Zpracování prováděcí PD - Rekonstrukce nouzového osvětlení"/>
        <s v="Zpracování prováděcí PD - Celková rekonstrukce TS1, a TS3"/>
        <s v="Zpracování prováděcí PD - Rekonstrukce elketroinstalace na DK"/>
        <s v="Tablety FNOL 2016"/>
        <s v="Hadičky spojovací pro infuzní terapii 2016"/>
        <s v="Přístroj urodynamický"/>
        <s v="Monoklonální protilátky I. 2016 - část I. Bevacizumab"/>
        <s v="Monoklonální protilátky I. 2016 - část II. Cetuximab"/>
        <s v="Monoklonální protilátky I. 2016 - část III. Panitumumab"/>
        <s v="Monoklonální protilátky I. 2016 - část IV. Rituximab"/>
        <s v="Monoklonální protilátky I. 2016 - část V. Trastuzumab"/>
        <s v="Opravy výtahů FNOL 2016"/>
        <s v="Oftalmologika 2016 - část I. Verteporfin"/>
        <s v="Oftalmologika 2016 - část II. Ranibizumab"/>
        <s v="Oftalmologika 2016 - část III. Afliberecept"/>
        <s v="Inhibitory proteinkináz I. 2016 - I. Imatinib"/>
        <s v="Inhibitory proteinkináz I. 2016 - II. Gefitinib"/>
        <s v="Inhibitory proteinkináz I. 2016 - III. Erlotinib"/>
        <s v="Inhibitory proteinkináz I. 2016 - IV. Sunitinib"/>
        <s v="Inhibitory proteinkináz I. 2016 - V. Sorafenib"/>
        <s v="Inhibitory proteinkináz I. 2016 - VI. Dasatinib"/>
        <s v="Inhibitory proteinkináz I. 2016 - VII. Lapatinib"/>
        <s v="Inhibitory proteinkináz I. 2016 - VIII. Nilotinib"/>
        <s v="Inhibitory proteinkináz I. 2016 - IX. Temsirolismus"/>
        <s v="Inhibitory proteinkináz I. 2016 - X. Nintedanib"/>
        <s v="Monoklonální protilátky II. 2016 - I. Brentuximab vedotin"/>
        <s v="Monoklonální protilátky II. 2016 - II. Ipilimumab"/>
        <s v="Monoklonální protilátky II. 2016 - III. Obinituzumab"/>
        <s v="Monoklonální protilátky II. 2016 - IV. Pertuzumab"/>
        <s v="Laboratorní centrifugy - část I. IMUNOL, TO, CAR"/>
        <s v="Laboratorní centrifugy - část II. GEN"/>
        <s v="Laboratorní centrifugy - část III. PATOL"/>
        <s v="Elektroúdržba ve FN Olomouc"/>
        <s v="FN Olomouc - novostavba 2. IK a geriatrie"/>
        <s v="Selektivní imunosupresiva I. 2016 - část I. Natalizumab"/>
        <s v="Selektivní imunosupresiva I. 2016 - část II. Abatacept"/>
        <s v="Selektivní imunosupresiva I. 2016 - část III. Ekulizumab"/>
        <s v="Selektivní imunosupresiva I. 2016 - část IV. Belimumab"/>
        <s v="Selektivní imunosupresiva I. 2016 - část V. Fingolimod"/>
        <s v="Selektivní imunosupresiva I. 2016 - část VI. Teriflunomid"/>
        <s v="Endoskopická kamerová hlava"/>
        <s v="Rekonstrukce hlavní rozvodny NN v budově J3"/>
        <s v="Chlazení cirkulačního okruhu aqua purificata III."/>
        <s v="USB flash disky FNOL 2016"/>
        <s v="Oprava střešního pláště na budově B6"/>
        <s v="Servisní činnosti  -  lineární  urychlovače II."/>
        <s v="Inhibitory proteinkináz II. 2016 - část I.Everolimus"/>
        <s v="Inhibitory proteinkináz II. 2016 - část II."/>
        <s v="Inhibitory proteinkináz II. 2016 - část III."/>
        <s v="Inhibitory proteinkináz II. 2016 - část IV."/>
        <s v="Inhibitory proteinkináz II. 2016 - část V."/>
        <s v="Inhibitory proteinkináz II. 2016 - část VI."/>
        <s v="Inhibitory proteinkináz II. 2016 - část VII."/>
        <s v="Inhibitory proteinkináz II. 2016 - část VIII."/>
        <s v="Inhibitory proteinkináz II. 2016 - část IX."/>
        <s v="Inhibitory proteinkináz II. 2016 - část X."/>
        <s v="Inhibitory proteinkináz II. 2016 - část XI."/>
        <s v="Jiné imunomodulátory 2016 - část I. Lenalidomid"/>
        <s v="Jiné imunomodulátory 2016 - část II."/>
        <s v="Jiné imunomodulátory 2016 - část III."/>
        <s v="Elektroinstalace pro připojení osvětlovacích a instalačních ramp"/>
        <s v="Jiná periferně působící myorelaxancia"/>
        <s v="Bourací práce - stará lékárna FNOL"/>
        <s v="Ultrazvukové diagnostické přístroje - část I. Radiologie"/>
        <s v="Ultrazvukové diagnostické přístroje - část II. Urgent"/>
        <s v="FN Olomouc - Dodávka boxů laminárních stíněných a digestoře stíněné"/>
        <s v="Úpravy prostor po lékárně v budově N1"/>
        <s v="Přístroj pro komplexní funkční vyšetření plic"/>
        <s v="Imunostimulancia - Roztroušená skleróza"/>
        <s v="Selektivní imunosupresiva II. 2016 - část I. Antithymocytární imunoglobulin "/>
        <s v="Selektivní imunosupresiva II. 2016 - část II. Mofetil-mykofenolát"/>
        <s v="Operační mikroskop  s videořetězcem pro ORL II."/>
        <s v="Kapilární hemodialýzatory"/>
        <s v="FN Olomouc - obměna Lithotryptoru pro URL"/>
        <s v="Manuální zatavovací balička a blixer stolní - část I."/>
        <s v="Manuální zatavovací balička a blixer stolní - část II."/>
        <s v="Oprava střešního pláště na budově WE"/>
        <s v="Repase oken v budově Q2 - 5.NP"/>
        <s v="Výměna protipožárních dveří v budově L"/>
        <s v="16-ti portové 10GE rozšiřující karty"/>
        <s v="Rekonstrukce elektroinstalace na odd. 21A"/>
        <s v="Řezačka masa"/>
        <s v="Úpravy KÚČOCH v 1. NP budovy R"/>
        <s v="Nábytek - KÚČOCH"/>
        <s v="Fixační systém pro omezení pohybů bránice v průběhu radioterapie"/>
        <s v="Systém pro kontrolu dýchání v průběhu radioterapie"/>
        <s v="Flexibilní videogastroskop pro diagnostiku a terapii"/>
        <s v="EEG a video EEG"/>
        <s v="Modernizace a rozšíření systému Honeywell"/>
        <s v="Antibakt. léčiva pro systémovou aplikaci III 2016 - část I. Ofloxacin"/>
        <s v="Antibakt. léčiva pro systémovou aplikaci III 2016 - část II. Ciprofloxacin"/>
        <s v="Antibakt. léčiva pro systémovou aplikaci III 2016 - část III. Pefloxacin"/>
        <s v="Antibakt. léčiva pro systémovou aplikaci III 2016 - část IV. Levofloxacin"/>
        <s v="Antibakt. léčiva pro systémovou aplikaci III 2016 - část V. Moxifloxacin"/>
        <s v="Antibakt. léčiva pro systémovou aplikaci III 2016 - část VI. Vankomycin"/>
        <s v="Antibakt. léčiva pro systémovou aplikaci III 2016 - část VII. Teikoplanin"/>
        <s v="Antibakt. léčiva pro systémovou aplikaci III 2016 - část VIII. Kolistin"/>
        <s v="Antibakt. léčiva pro systémovou aplikaci III 2016 - část IX. Metronidazol"/>
        <s v="Antibakt. léčiva pro systémovou aplikaci III 2016 - část X. Linezolid"/>
        <s v="Antibakt. léčiva pro systémovou aplikaci-cefalosporiny 2016 - část I."/>
        <s v="Antibakt. léčiva pro systémovou aplikaci.cefalosporiny 2016 - část II."/>
        <s v="Antibakt. léčiva pro systémovou aplikaci.cefalosporiny 2016 - část III."/>
        <s v="Antibakt. léčiva pro systémovou aplikaci.cefalosporiny 2016 - část IV."/>
        <s v="Antibakt. léčiva pro systémovou aplikaci.cefalosporiny 2016 - část V."/>
        <s v="Antibakt. léčiva pro systémovou aplikaci.cefalosporiny 2016 - část VI."/>
        <s v="Antibakt. léčiva pro systémovou aplikaci.cefalosporiny 2016 - část VII."/>
        <s v="Antibakt. léčiva pro systémovou aplikaci.cefalosporiny 2016 - část VIII."/>
        <s v="Antibakteriální léčiva pro systémovou aplikaci I 2016 - část I."/>
        <s v="Antibakteriální léčiva pro systémovou aplikaci I 2016 - část II."/>
        <s v="Antibakteriální léčiva pro systémovou aplikaci I 2016 - část III."/>
        <s v="Antibakteriální léčiva pro systémovou aplikaci I 2016 - část IV."/>
        <s v="Antibakteriální léčiva pro systémovou aplikaci I 2016 - část V."/>
        <s v="Antibakteriální léčiva pro systémovou aplikaci I 2016 - část VI."/>
        <s v="Antibakteriální léčiva pro systémovou aplikaci I 2016 - část VII."/>
        <s v="Antibakteriální léčiva pro systémovou aplikaci I 2016 - část VIII."/>
        <s v="Antibakteriální léčiva pro systémovou aplikaci I 2016 - část IX."/>
        <s v="Antibakteriální léčiva pro systémovou aplikaci I 2016 - část X."/>
        <s v="Antibakteriální léčiva pro systémovou aplikaci I 2016 - část XI."/>
        <s v="Laboratorní chlazené centrifugy - část I. Onkologická klinika"/>
        <s v="Laboratorní chlazené centrifugy - část II. HOK"/>
        <s v="Servis hematologických analyzátorů"/>
        <s v="Stíněná skříň na vratné generátory Mo/Tc a Rb/Kr a stíněná skříň na radioizotopy a radiofarmaka"/>
        <s v="Pojištění pro Fakultní nemocnici Olomouc - část I. Pojištění majetku a odpovědnosti"/>
        <s v="Pojištění pro Fakultní nemocnici Olomouc - část II. Pojištění vozidel"/>
        <s v="Pojištění pro Fakultní nemocnici Olomouc - část III.  Pojištění odpovědnosti"/>
        <s v="Výměna oken, rekonstrukce střechy a zateplení části budovy"/>
        <s v="SÚ realizace KTVL"/>
        <s v="Diskové pole a expanze FNOL 2016"/>
        <s v="FN Olomouc - Přístrojové vybavení KNM"/>
        <s v="Upgrade operačního mikroskopu Pentero"/>
        <s v="Notebooky FNOL 2016"/>
        <s v="Přístroj pro komplexní vyšetření plicních funkcí - část I. Bodypletysmograf"/>
        <s v="Přístroj pro komplexní vyšetření plicních funkcí - část II. Spiroergon. Systém"/>
        <s v="PD - Úprava prostor KNM (radiofarmaceutická laboratoř)"/>
        <s v="Oprava MaR - budova Q2. 1PP"/>
        <s v="EKG se zapisovačem pro KCH"/>
        <s v="Rigidní cystoskopy"/>
        <s v="Endoskopický systém"/>
        <s v="Videoprocesor bronchoskopického systému"/>
        <s v="Systémy pro aplikaci vysokoprůtokové nasální dechové podpory a oxynogenoterapie pro novorozence"/>
        <s v="Mycí a dezinfekční automat na flexibilní endoskopy"/>
        <s v="Laboratorní mikroskopy"/>
        <s v="FNOL-obnova obvodového pláště a bezbariérovost KZL - Dodatek č.1"/>
        <s v="Tisk nemocničního časopisu"/>
        <s v="Přístroj pro umělovu plicní ventilaci"/>
        <s v="Jiná antivirotika pro systémovou aplikaci 2017 - část I. Aciklovir"/>
        <s v="Jiná antivirotika pro systémovou aplikaci 2017 - část II. Ganciklovir"/>
        <s v="Jiná antivirotika pro systémovou aplikaci 2017 - část III. Valaciklovir"/>
        <s v="Jiná antivirotika pro systémovou aplikaci 2017 - část IV. Valganciklovir"/>
        <s v="Jiná antivirotika pro systémovou aplikaci 2017 - část V. Oseltamivir"/>
        <s v="Jiná antivirotika pro systémovou aplikaci 2017 - část VI. Inosin pranobex"/>
        <s v="Antimykotika pro systémovou aplikaci II – triazolová 2016 - část I. Flukonazol"/>
        <s v="Antimykotika pro systémovou aplikaci II – triazolová 2016 - část II. Itrakonazol"/>
        <s v="Antimykotika pro systémovou aplikaci II – triazolová 2016 - část III. Vorikonazol"/>
        <s v="Antimykotika pro systémovou aplikaci II – triazolová 2016 - část IV. Posakonazol"/>
        <s v="Antivirotika pro systémuvou aplikaci - antihepatitidová 2016 - část I."/>
        <s v="Antivirotika pro systémuvou aplikaci - antihepatitidová 2016 - část II."/>
        <s v="Antivirotika pro systémuvou aplikaci - antihepatitidová 2016 - část III."/>
        <s v="Antivirotika pro systémuvou aplikaci - antihepatitidová 2016 - část IV."/>
        <s v="Antivirotika pro systémuvou aplikaci - antihepatitidová 2016 - část V."/>
        <s v="Antivirotika pro systémuvou aplikaci - antihepatitidová 2016 - část VI."/>
        <s v="Antivirotika pro systémuvou aplikaci - antihepatitidová 2016 - část VII."/>
        <s v="Antivirotika pro systémuvou aplikaci - antihepatitidová 2016 - část VIII."/>
        <s v="Antivirotika pro systémuvou aplikaci - antihepatitidová 2016 - část IX."/>
        <s v="Antivirotika pro systémuvou aplikaci - antihepatitidová 2016 - část X."/>
        <s v="Výměna podlahových krytin v budově Q204"/>
        <s v="Videokolonoskop pro diagnostiku a terapii"/>
        <s v="Stavební úpravy KUČOCH"/>
        <s v="PD - Úprava prostor ÚLG (laboratoř neimplantační genetické diagnostiky)"/>
        <s v="Tiskárna na potisk histologickcýh kazet"/>
        <s v="Flexibilní videobronchoskopy"/>
        <s v="Přístroj pro intraaortální balónkovou kontrapulzaci"/>
        <s v="Hydraulické vyvážení topné soustavy OKB"/>
        <s v="Nábytek - KÚČOCH II"/>
        <s v="Operační CO2 laser"/>
        <s v="Urodynamický přístroj"/>
        <s v="Kalibrace a validace měřidel a zařízení - část I. ConWin"/>
        <s v="Kalibrace a validace měřidel a zařízení - část II. Ostatní měřidla"/>
        <s v="Flexibilní fibronazofaryngoskop a flexibilní bronchoskop"/>
        <s v="Komplexní servis MaR a EBI"/>
        <s v="Figurína - simulátor pacienta"/>
        <s v="Ubytování a služby spojené s výjezdním zasedáním vedoucích zaměstnanců FN Olomouc"/>
        <s v="Stomatologické soupravy"/>
        <s v="Vysokoobrátkové elektrické vrtačky pro NCH"/>
        <s v="Přípravky na podporu imunity pro zaměstnance FNOL"/>
        <s v="Zřízení komorové lendice v budově WD"/>
        <s v="Likvidace odpadů z FN Olomouc"/>
        <s v="Certifikace systému managementu kvality"/>
        <s v="Antibakteriální léčiva pro systémovou aplikaci II 2016 - část I. Sulfamethoxazol"/>
        <s v="Antibakteriální léčiva pro systémovou aplikaci II 2016 - část II. Klarithromycin"/>
        <s v="Antibakteriální léčiva pro systémovou aplikaci II 2016 - část III. Azithromycin"/>
        <s v="Antibakteriální léčiva pro systémovou aplikaci II 2016 - část IV. Klindamycin"/>
        <s v="Antibakteriální léčiva pro systémovou aplikaci II 2016 - část V. Tobramycin"/>
        <s v="Antibakteriální léčiva pro systémovou aplikaci II 2016 - část VI. Gentamicin"/>
        <s v="Antibakteriální léčiva pro systémovou aplikaci II 2016 - část VII. Amikacin"/>
        <s v="Elektrický varný kotel s automatickým mícháním"/>
        <s v="Prací prostředky FNOL"/>
        <s v="SÚ - přemístění laboratoří HOK a oprava kožní kliniky a pracovního lékařství"/>
        <s v="Dodávka pneumatik pro vozidla FNOL"/>
        <s v="Rozšíření a zvýšení propustnosti síťové infrastruktury FNOL fáze II."/>
        <s v="Vytvoření smažícího úseku ve varně"/>
        <s v="Videoendoskopický systém"/>
        <s v="Provádění komplexních servisních služeb - RTG systémy Philips II."/>
        <s v="Plynový chromatograf s hmotnostním spektrometrem II"/>
        <s v="Přeložka sdělovacího kabelu MO ČR"/>
        <s v="Servisní služby přístrojů Philips"/>
        <s v="Servisní služby přístrojů GE Datex - Ohmeda"/>
        <s v="PD-modernizace jídelny v budově WD"/>
        <s v="Antibakteriální léčiva pro systémovou aplikaci - beta - laktamová 2016 - I."/>
        <s v="Antibakteriální léčiva pro systémovou aplikaci - beta - laktamová 2016 - II."/>
        <s v="Antibakteriální léčiva pro systémovou aplikaci - beta - laktamová 2016 - III."/>
        <s v="Stolní svářečky hadiček krevních vaků pro TO"/>
        <s v="Skříňové chladničky a mrazící boxy pro TO"/>
        <s v="Interferony 2017 - část I. Interferon alfa-2a"/>
        <s v="Interferony 2017 - část II. Interferon beta-1a pro subkutání aplikaci"/>
        <s v="Interferony 2017 - část III. Interferon beta-1a pro intramuskulární aplikaci"/>
        <s v="Interferony 2017 - část IV. Interferon beta-1b"/>
        <s v="Interferony 2017 - část V. Peginterferon"/>
        <s v="Paramagnetické kontrastní látky 2017 - část I."/>
        <s v="Paramagnetické kontrastní látky 2017 - část II."/>
        <s v="Paramagnetické kontrastní látky 2017 - část III"/>
        <s v="Vodorozpustné nízkoosmolární a isoosmolární nefrotropní rtg-kontr. látky 2017 - část I."/>
        <s v="Vodorozpustné nízkoosmolární a isoosmolární nefrotropní rtg-kontr. látky 2017 - část II."/>
        <s v="Vodorozpustné nízkoosmolární a isoosmolární nefrotropní rtg-kontr. látky 2017 část III:"/>
        <s v="Monitor s defibrilátorem"/>
        <m/>
      </sharedItems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427.86" maxValue="298000000"/>
    </cacheField>
    <cacheField name="Druh VZ" numFmtId="0">
      <sharedItems containsBlank="1" count="9">
        <s v="ZPŘ"/>
        <s v="OŘ"/>
        <s v="EP"/>
        <s v="VZMR"/>
        <s v="DNS"/>
        <s v="TENDER"/>
        <s v="JŘBU"/>
        <s v="JRBU"/>
        <m/>
      </sharedItems>
    </cacheField>
    <cacheField name="VZ vypsaná dne" numFmtId="0">
      <sharedItems containsDate="1" containsBlank="1" containsMixedTypes="1" minDate="2014-12-02T00:00:00" maxDate="2016-12-23T00:00:00"/>
    </cacheField>
    <cacheField name="Lhůta pro podání nabídek" numFmtId="0">
      <sharedItems containsDate="1" containsBlank="1" containsMixedTypes="1" minDate="2014-12-18T00:00:00" maxDate="2017-01-25T00:00:00"/>
    </cacheField>
    <cacheField name="Dodavatel" numFmtId="0">
      <sharedItems containsBlank="1"/>
    </cacheField>
    <cacheField name="Vítězná cena bez DPH" numFmtId="44">
      <sharedItems containsString="0" containsBlank="1" containsNumber="1" minValue="359" maxValue="276902126"/>
    </cacheField>
    <cacheField name="Vítězná cena s DPH" numFmtId="44">
      <sharedItems containsString="0" containsBlank="1" containsNumber="1" minValue="434.39" maxValue="335051572"/>
    </cacheField>
    <cacheField name="Smlouva podepsána" numFmtId="0">
      <sharedItems containsNonDate="0" containsDate="1" containsString="0" containsBlank="1" minDate="2015-12-18T00:00:00" maxDate="2017-01-01T00:00:00" count="108">
        <d v="2016-06-24T00:00:00"/>
        <m/>
        <d v="2016-02-05T00:00:00"/>
        <d v="2016-01-28T00:00:00"/>
        <d v="2016-01-06T00:00:00"/>
        <d v="2016-02-26T00:00:00"/>
        <d v="2016-02-11T00:00:00"/>
        <d v="2016-02-15T00:00:00"/>
        <d v="2016-09-09T00:00:00"/>
        <d v="2015-12-28T00:00:00"/>
        <d v="2016-01-22T00:00:00"/>
        <d v="2016-03-02T00:00:00"/>
        <d v="2016-01-07T00:00:00"/>
        <d v="2016-02-10T00:00:00"/>
        <d v="2016-01-18T00:00:00"/>
        <d v="2016-02-01T00:00:00"/>
        <d v="2016-12-02T00:00:00"/>
        <d v="2016-05-23T00:00:00"/>
        <d v="2016-02-03T00:00:00"/>
        <d v="2016-02-22T00:00:00"/>
        <d v="2016-02-19T00:00:00"/>
        <d v="2016-03-14T00:00:00"/>
        <d v="2016-06-06T00:00:00"/>
        <d v="2016-03-18T00:00:00"/>
        <d v="2016-03-10T00:00:00"/>
        <d v="2016-04-04T00:00:00"/>
        <d v="2016-03-24T00:00:00"/>
        <d v="2016-08-11T00:00:00"/>
        <d v="2016-02-29T00:00:00"/>
        <d v="2015-12-18T00:00:00"/>
        <d v="2016-03-31T00:00:00"/>
        <d v="2016-03-23T00:00:00"/>
        <d v="2016-03-21T00:00:00"/>
        <d v="2016-10-18T00:00:00"/>
        <d v="2016-11-07T00:00:00"/>
        <d v="2016-04-29T00:00:00"/>
        <d v="2016-04-27T00:00:00"/>
        <d v="2016-05-09T00:00:00"/>
        <d v="2016-05-16T00:00:00"/>
        <d v="2016-04-22T00:00:00"/>
        <d v="2016-05-20T00:00:00"/>
        <d v="2016-05-13T00:00:00"/>
        <d v="2016-06-28T00:00:00"/>
        <d v="2016-04-26T00:00:00"/>
        <d v="2016-05-10T00:00:00"/>
        <d v="2016-06-21T00:00:00"/>
        <d v="2016-06-30T00:00:00"/>
        <d v="2016-07-13T00:00:00"/>
        <d v="2016-08-24T00:00:00"/>
        <d v="2016-05-19T00:00:00"/>
        <d v="2016-05-26T00:00:00"/>
        <d v="2016-07-28T00:00:00"/>
        <d v="2016-07-21T00:00:00"/>
        <d v="2016-10-05T00:00:00"/>
        <d v="2016-07-11T00:00:00"/>
        <d v="2016-12-19T00:00:00"/>
        <d v="2016-12-23T00:00:00"/>
        <d v="2016-06-22T00:00:00"/>
        <d v="2016-06-13T00:00:00"/>
        <d v="2016-06-01T00:00:00"/>
        <d v="2016-05-24T00:00:00"/>
        <d v="2016-06-08T00:00:00"/>
        <d v="2016-09-30T00:00:00"/>
        <d v="2016-07-01T00:00:00"/>
        <d v="2016-11-11T00:00:00"/>
        <d v="2016-10-14T00:00:00"/>
        <d v="2016-11-10T00:00:00"/>
        <d v="2016-11-01T00:00:00"/>
        <d v="2016-11-02T00:00:00"/>
        <d v="2016-09-13T00:00:00"/>
        <d v="2016-09-20T00:00:00"/>
        <d v="2016-08-09T00:00:00"/>
        <d v="2016-07-19T00:00:00"/>
        <d v="2016-08-17T00:00:00"/>
        <d v="2016-07-29T00:00:00"/>
        <d v="2016-11-14T00:00:00"/>
        <d v="2016-11-16T00:00:00"/>
        <d v="2016-11-21T00:00:00"/>
        <d v="2016-08-19T00:00:00"/>
        <d v="2016-08-10T00:00:00"/>
        <d v="2016-11-08T00:00:00"/>
        <d v="2016-09-08T00:00:00"/>
        <d v="2016-09-19T00:00:00"/>
        <d v="2016-08-30T00:00:00"/>
        <d v="2016-08-29T00:00:00"/>
        <d v="2016-08-15T00:00:00"/>
        <d v="2016-10-27T00:00:00"/>
        <d v="2016-10-04T00:00:00"/>
        <d v="2016-11-03T00:00:00"/>
        <d v="2016-11-30T00:00:00"/>
        <d v="2016-12-12T00:00:00"/>
        <d v="2016-09-22T00:00:00"/>
        <d v="2016-09-14T00:00:00"/>
        <d v="2016-10-17T00:00:00"/>
        <d v="2016-10-20T00:00:00"/>
        <d v="2016-10-10T00:00:00"/>
        <d v="2016-12-01T00:00:00"/>
        <d v="2016-11-15T00:00:00"/>
        <d v="2016-09-27T00:00:00"/>
        <d v="2016-11-22T00:00:00"/>
        <d v="2016-12-07T00:00:00"/>
        <d v="2016-10-26T00:00:00"/>
        <d v="2016-11-24T00:00:00"/>
        <d v="2016-11-28T00:00:00"/>
        <d v="2016-12-20T00:00:00"/>
        <d v="2016-12-31T00:00:00"/>
        <d v="2016-11-09T00:00:00"/>
        <d v="2016-12-21T00:00:00"/>
      </sharedItems>
    </cacheField>
    <cacheField name="Smlouva , Písemná zpráva zadavatele              Profil zadavatele" numFmtId="0">
      <sharedItems containsDate="1" containsBlank="1" containsMixedTypes="1" minDate="2016-01-06T00:00:00" maxDate="2017-01-11T00:00:00"/>
    </cacheField>
    <cacheField name="Cena - Profil zadavatele" numFmtId="0">
      <sharedItems containsDate="1" containsBlank="1" containsMixedTypes="1" minDate="1899-12-31T00:00:00" maxDate="2021-01-05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9444444" createdVersion="3" refreshedVersion="6" minRefreshableVersion="3" recordCount="433" xr:uid="{00000000-000A-0000-FFFF-FFFF05000000}">
  <cacheSource type="worksheet">
    <worksheetSource ref="A6:P439" sheet="VZ 2017"/>
  </cacheSource>
  <cacheFields count="16">
    <cacheField name="Interní evidenční číslo" numFmtId="0">
      <sharedItems/>
    </cacheField>
    <cacheField name="Zadáv. prac." numFmtId="0">
      <sharedItems/>
    </cacheField>
    <cacheField name="Osoba pověřená pro zadávací řízení" numFmtId="0">
      <sharedItems/>
    </cacheField>
    <cacheField name="Předmět plnění - název zakázky" numFmtId="0">
      <sharedItems count="433">
        <s v="Ventilátor vysokofrekvenční pro Dětskou kliniku"/>
        <s v="Garantovaný archiv a související SW pro ukládání ele zdr. dokumentace"/>
        <s v="Monitory vitálních funkcí s centrálou pro KCHK"/>
        <s v="Hadičky spojovací pro infuzní terapii 2016"/>
        <s v="FN Olomouc - novostavba 2. IK a geriatrie"/>
        <s v="FN Olomouc - obměna Lithotryptoru pro URL"/>
        <s v="Antibakt. léčiva pro systémovou aplikaci III 2016 - část I. Ofloxacin"/>
        <s v="Antibakt. léčiva pro systémovou aplikaci III 2016 - část II. Ciprofloxacin"/>
        <s v="Antibakt. léčiva pro systémovou aplikaci III 2016 - část III. Pefloxacin"/>
        <s v="Antibakt. léčiva pro systémovou aplikaci III 2016 - část IV. Levofloxacin"/>
        <s v="Antibakt. léčiva pro systémovou aplikaci III 2016 - část V. Moxifloxacin"/>
        <s v="Antibakt. léčiva pro systémovou aplikaci III 2016 - část VI. Vankomycin"/>
        <s v="Antibakt. léčiva pro systémovou aplikaci III 2016 - část VII. Teikoplanin"/>
        <s v="Antibakt. léčiva pro systémovou aplikaci III 2016 - část VIII. Kolistin"/>
        <s v="Antibakt. léčiva pro systémovou aplikaci III 2016 - část IX. Metronidazol"/>
        <s v="Antibakt. léčiva pro systémovou aplikaci III 2016 - část X. Linezolid"/>
        <s v="Antibakt. léčiva pro systémovou aplikaci-cefalosporiny 2016 - část I."/>
        <s v="Antibakt. léčiva pro systémovou aplikaci.cefalosporiny 2016 - část II."/>
        <s v="Antibakt. léčiva pro systémovou aplikaci.cefalosporiny 2016 - část III."/>
        <s v="Antibakt. léčiva pro systémovou aplikaci.cefalosporiny 2016 - část IV."/>
        <s v="Antibakt. léčiva pro systémovou aplikaci.cefalosporiny 2016 - část V."/>
        <s v="Antibakt. léčiva pro systémovou aplikaci.cefalosporiny 2016 - část VI."/>
        <s v="Antibakt. léčiva pro systémovou aplikaci.cefalosporiny 2016 - část VII."/>
        <s v="Antibakt. léčiva pro systémovou aplikaci.cefalosporiny 2016 - část VIII."/>
        <s v="Antibakteriální léčiva pro systémovou aplikaci I 2016 - část I."/>
        <s v="Antibakteriální léčiva pro systémovou aplikaci I 2016 - část II."/>
        <s v="Antibakteriální léčiva pro systémovou aplikaci I 2016 - část III."/>
        <s v="Antibakteriální léčiva pro systémovou aplikaci I 2016 - část IV."/>
        <s v="Antibakteriální léčiva pro systémovou aplikaci I 2016 - část V."/>
        <s v="Antibakteriální léčiva pro systémovou aplikaci I 2016 - část VI."/>
        <s v="Antibakteriální léčiva pro systémovou aplikaci I 2016 - část VII."/>
        <s v="Antibakteriální léčiva pro systémovou aplikaci I 2016 - část VIII."/>
        <s v="Antibakteriální léčiva pro systémovou aplikaci I 2016 - část IX."/>
        <s v="Antibakteriální léčiva pro systémovou aplikaci I 2016 - část X."/>
        <s v="Antibakteriální léčiva pro systémovou aplikaci I 2016 - část XI."/>
        <s v="Pojištění pro Fakultní nemocnici Olomouc - část I. Pojištění majetku a odpovědnosti"/>
        <s v="Pojištění pro Fakultní nemocnici Olomouc - část II. Pojištění vozidel"/>
        <s v="Pojištění pro Fakultní nemocnici Olomouc - část III.  Pojištění odpovědnosti"/>
        <s v="Diskové pole a expanze FNOL 2016"/>
        <s v="Jiná antivirotika pro systémovou aplikaci 2017 - část I. Aciklovir"/>
        <s v="Jiná antivirotika pro systémovou aplikaci 2017 - část II. Ganciklovir"/>
        <s v="Jiná antivirotika pro systémovou aplikaci 2017 - část III. Valaciklovir"/>
        <s v="Jiná antivirotika pro systémovou aplikaci 2017 - část IV. Valganciklovir"/>
        <s v="Jiná antivirotika pro systémovou aplikaci 2017 - část V. Oseltamivir"/>
        <s v="Jiná antivirotika pro systémovou aplikaci 2017 - část VI. Inosin pranobex"/>
        <s v="Antimykotika pro systémovou aplikaci II – triazolová 2017 - část I. Flukonazol"/>
        <s v="Antimykotika pro systémovou aplikaci II – triazolová 2017 - část II. Itrakonazol"/>
        <s v="Antimykotika pro systémovou aplikaci II – triazolová 2017 - část III. Vorikonazol"/>
        <s v="Antimykotika pro systémovou aplikaci II – triazolová 2017 - část IV. Posakonazol"/>
        <s v="Antivirotika pro systémovou aplikaci - antihepatitidová 2016 - část I."/>
        <s v="Antivirotika pro systémovou aplikaci - antihepatitidová 2016 - část II."/>
        <s v="Antivirotika pro systémovou aplikaci - antihepatitidová 2016 - část III."/>
        <s v="Antivirotika pro systémovou aplikaci - antihepatitidová 2016 - část IV."/>
        <s v="Antivirotika pro systémovou aplikaci - antihepatitidová 2016 - část V."/>
        <s v="Antivirotika pro systémovou aplikaci - antihepatitidová 2016 - část VI."/>
        <s v="Antivirotika pro systémovou aplikaci - antihepatitidová 2016 - část VII."/>
        <s v="Antivirotika pro systémovou aplikaci - antihepatitidová 2016 - část VIII."/>
        <s v="Antivirotika pro systémovou aplikaci - antihepatitidová 2016 - část IX."/>
        <s v="Antivirotika pro systémovou aplikaci - antihepatitidová 2016 - část X."/>
        <s v="EKG se zapisovačem"/>
        <s v="Figurína - simulátor pacienta"/>
        <s v="Certifikace systému managementu kvality"/>
        <s v="Antibakteriální léčiva pro systémovou aplikaci II 2017 - část I. Sulfamethoxazol"/>
        <s v="Antibakteriální léčiva pro systémovou aplikaci II 2017 - část II. Klarithromycin"/>
        <s v="Antibakteriální léčiva pro systémovou aplikaci II 2017 - část III. Azithromycin"/>
        <s v="Antibakteriální léčiva pro systémovou aplikaci II 2017 - část IV. Klindamycin"/>
        <s v="Antibakteriální léčiva pro systémovou aplikaci II 2017 - část V. Tobramycin"/>
        <s v="Antibakteriální léčiva pro systémovou aplikaci II 2017 - část VI. Gentamicin"/>
        <s v="Antibakteriální léčiva pro systémovou aplikaci II 2017 - část VII. Amikacin"/>
        <s v="Prací prostředky FNOL"/>
        <s v="SÚ - přemístění laboratoří HOK a oprava kožní kliniky a pracovního lékařství"/>
        <s v="Dodávka pneumatik pro vozidla FNOL"/>
        <s v="Rozšíření a zvýšení propustnosti síťové infrastruktury FNOL fáze II."/>
        <s v="Vytvoření smažícího úseku ve varně"/>
        <s v="Provádění komplexních servisních služeb - RTG systémy Philips II."/>
        <s v="Plynový chromatograf s hmotnostním spektrometrem II"/>
        <s v="Přeložka sdělovacího kabelu MO ČR"/>
        <s v="Servisní služby přístrojů Philips"/>
        <s v="Servisní služby přístrojů GE Datex - Ohmeda"/>
        <s v="PD-modernizace jídelny v budově WD"/>
        <s v="Antibakteriální léčiva pro systémovou aplikaci - beta - laktamová 2016 - I."/>
        <s v="Antibakteriální léčiva pro systémovou aplikaci - beta - laktamová 2016 - II."/>
        <s v="Antibakteriální léčiva pro systémovou aplikaci - beta - laktamová 2016 - III."/>
        <s v="Stolní svářečky hadiček krevních vaků pro TO"/>
        <s v="Skříňové chladničky a mrazící boxy pro TO - část I."/>
        <s v="Skříňové chladničky a mrazící boxy pro TO - část II."/>
        <s v="Interferony 2017 - část I. Interferon alfa-2a"/>
        <s v="Interferony 2017 - část II. Interferon beta-1a pro subkutání aplikaci"/>
        <s v="Interferony 2017 - část III. Interferon beta-1a pro intramuskulární aplikaci"/>
        <s v="Interferony 2017 - část IV. Interferon beta-1b"/>
        <s v="Interferony 2017 - část V. Peginterferon"/>
        <s v="Paramagnetické kontrastní látky 2017 - část I."/>
        <s v="Paramagnetické kontrastní látky 2017 - část II."/>
        <s v="Paramagnetické kontrastní látky 2017 - část III"/>
        <s v="Vodorozpustné nízkoosmolární a isoosmolární nefrotropní rtg-kontr. látky 2017 - část I."/>
        <s v="Vodorozpustné nízkoosmolární a isoosmolární nefrotropní rtg-kontr. látky 2017 - část II."/>
        <s v="Vodorozpustné nízkoosmolární a isoosmolární nefrotropní rtg-kontr. látky 2017 část III:"/>
        <s v="Monitor s defibrilátorem"/>
        <s v="Úprava prostor laboratoře pro neimplantační diagnostiku"/>
        <s v="Úprava prostor KNM - radiofarmaceutická laboratoř"/>
        <s v="Videoendoskopický systém II."/>
        <s v="Automatický vjezdový systém"/>
        <s v="Vytvoření smažícího úseku ve varně II."/>
        <s v="Tiskárna na potisk histologických kazet"/>
        <s v="FN Olomouc - úprava prostor KNM (Stíněné skříně)"/>
        <s v="FN Olomouc - úprava prostor KNM (Centrifuga)"/>
        <s v="FN Olomouc - úprava KNM (radiofarmaceutická laboratoř) Dodávka boxů laminárních stíněných a digestoře stíněné"/>
        <s v="FN Olomouc - úprava prostor KNM (radiofarmaceutická laboratoř) - Přístrojové vybavení"/>
        <s v="Komplexní IS dispečinku zdravotní služby"/>
        <s v="Diagnostika pro vyšetření krevního obrazu a výpůjčka hematologické linky"/>
        <s v="Nitrooční čočky"/>
        <s v="Ultrazvukové didagnostické přístroje - I. Interní klinika"/>
        <s v="Ultrazvukové didagnostické přístroje - II. Interní klinika"/>
        <s v="Ultrazvukové didagnostické přístroje - Onkologická klinika"/>
        <s v="Vytvoření smažícího úseku ve varně III."/>
        <s v="Poskytování servisních služeb na spektrometr Maldi Biotyper"/>
        <s v="Poskytování servisních služeb u sterilizátorů FNOL"/>
        <s v="Poskytování servisních služeb u produktů výrobce Linet"/>
        <s v="Poskytování účetního a daňového poradenství"/>
        <s v="PD-rekonstrukce 5NP-1CHIR a JIP a sálů HDS J2-3IK - část I. CHIR"/>
        <s v="PD-rekonstrukce 5NP-1CHIR a JIP a sálů HDS J2-3IK - část II. 3IK"/>
        <s v="Laboratorní rozvody vod"/>
        <s v="Zavedení systému managementu hospodaření s energií"/>
        <s v="Laser pro endobronchiální léčbu"/>
        <s v="Rozmrazovač krevní plazmy"/>
        <s v="Oční bezkontaktní tonometr"/>
        <s v="Redukční ventily kyslíku, regulátory podtlaku,průtokoměry kyslíku a zvlhčovače"/>
        <s v="Úprava prostor v budově WF"/>
        <s v="Rekonstrukce výdejny léků v budově A"/>
        <s v="Smažící pánev a blixer - část I. Smažící pánev"/>
        <s v="Smažící pánev a blixer - část II. Blixer"/>
        <s v="Transportní tabletové vozíky,tablety a nádobí"/>
        <s v="Nákladní vozidlo na CNG"/>
        <s v="Tisk nemocničního časopisu"/>
        <s v="Lůžka - část I. Resuscitační lůžka s váhou a bez váhy"/>
        <s v="Lůžka - část II. Standardní lůžka"/>
        <s v="Jednotka NIP a DIOP v 5.NP budovy D2 - projektová dokumentace"/>
        <s v="Pořízení sanitních vozidel - část I. Sanitní vozidla DNR typu A2"/>
        <s v="Pořízení sanitních vozidel - část II. Sanitní ambulance ZS typu B"/>
        <s v="Úpravy prostor v budově WF II"/>
        <s v="Přístroje na měření vydechovaného oxidu dusnatého"/>
        <s v="PD-rekonstrukce 6NP-1CHIR"/>
        <s v="PD-rekonstrukce velínů JIP a sálů HDS J2-3IK"/>
        <s v="Stomatologické soupravy"/>
        <s v="Imatinib 2017 - část I. Imatinib pro indikaci GIST"/>
        <s v="Imatinib 2017 - část II. Imatinib pro indikaci CML - u dospělých i dětských pacientů"/>
        <s v="Tkáňový procesor"/>
        <s v="Malířské a natěračské práce"/>
        <s v="Podpora chodu provozované sítě, centrální správa IP adresního prostoru"/>
        <s v="Rekonstrukce výdejny léků v budově A II"/>
        <s v="Reagencie pro vyšetření a separaci spermií 2017 - část I."/>
        <s v="Reagencie pro vyšetření a separaci spermií 2017 - část II."/>
        <s v="PD - Přístavba objektu &quot;P&quot; pro ambulance a stacionář HOK"/>
        <s v="Interferony II 2017 - část I. Interferon alfa - 2a"/>
        <s v="Interferony II 2017 - část II. Peginterferon alfa"/>
        <s v="Interferony II 2017 - část III. Peginterferon beta - 1a"/>
        <s v="Nákladní vozidlo na CNG II."/>
        <s v="Oprava lůžkových ramp, stativů a mostů - část I. Daniševský"/>
        <s v="Oprava lůžkových ramp, stativů a mostů - část II. TRUMPF"/>
        <s v="Rozvody medicinálních plynů"/>
        <s v="Oprava hygienických zařízení v budově C - Novorozenecké oddělení"/>
        <s v="Dodání a instalace chlazení - VRV systémy"/>
        <s v="Konsolidace systémů pro zpracování obrazových dat"/>
        <s v="Nitrooční čočky II."/>
        <s v="Stolařské práce ve FNOL 2017"/>
        <s v="Sterilizátory"/>
        <s v="Mobiliář"/>
        <s v="Poskytování servisních služeb u defibrilátorů, EKG, TK holterů a systémů pro komprese hrudníku ve FNOL"/>
        <s v="Poskytování servisních služeb na stomatologické soupravy ve FNOL"/>
        <s v="Poskytování servisních služeb u horkovzdušných sterilizátorů"/>
        <s v="Poskytování servisních služeb u parních sterilizátorů"/>
        <s v="PD - dochlazení budov D2 a I"/>
        <s v="Podlahařské práce ve FNOL"/>
        <s v="Servis a opravy automatizovaných dveří ve FNOL"/>
        <s v="Měřící stanice pro měření aktvity radiofarmak"/>
        <s v="Operační mikroskop "/>
        <s v="Modernizace jídelny v budově WD"/>
        <s v="Automatické systémy pro Ústav mikrobiologie FNOL - část I."/>
        <s v="Automatické systémy pro Ústav mikrobiologie FNOL - část II."/>
        <s v="Rekonstrukce výdejny léků III"/>
        <s v="Oprava hygienických zařízení v budově C - Novorozenecké oddělení II"/>
        <s v="Kontrola EPS s ústřednou ESSER"/>
        <s v="Instalace a výměna chladících jednotek"/>
        <s v="Monitory FNOL 2017 - TENDERMARKET"/>
        <s v="Filtrační prvky 2017"/>
        <s v="Servis a opravy automatizovaných dveří ve FNOL II"/>
        <s v="Servis výtahů FNOL - TENDERMARKET"/>
        <s v="Rekonstrukce komína na centrální kotelně"/>
        <s v="EKG se zapisovačem pro FN Olomouc"/>
        <s v="Dvoudutinové a jednodutinové externí kardiostimulátory"/>
        <s v="Laboratorní centrifugy"/>
        <s v="Úprava hygienických zařízení-odd. 19B v budově C"/>
        <s v="Úpravy Kliniky ÚČOCH v budově R"/>
        <s v="Poskytování služeb technické podpory a servisu"/>
        <s v="Prodloužení a nákup Microsoft licencí v rámci Enterprise Agreement"/>
        <s v="Poskytování servisních služeb na stomatologické soupravy ve FNOL II."/>
        <s v="Dovybavení endoskopické věže Einstein"/>
        <s v="Elektromyografický přístroj"/>
        <s v="Vrtačka pro kostní chirurgii"/>
        <s v="Odběrová křesla"/>
        <s v="Přístroje na měření vydechovaného oxidu dusnatého II."/>
        <s v="Laboratorní chladnice, mrazáky a hlubokomrazící boxy - I. Chladnice"/>
        <s v="Laboratorní chladnice, mrazáky a hlubokomrazící boxy - II. Mrazáky"/>
        <s v="Laboratorní chladnice, mrazáky a hlubokomrazící boxy - III. Mrazící boxy"/>
        <s v="Automatický vjezdový systém II."/>
        <s v="Antianemika 2017 - část I. Epoetin alfa"/>
        <s v="Antianemika 2017 - část II. Darbopoetin alfa"/>
        <s v="Antianemika 2017 - část III. Pegepoetin beta"/>
        <s v="Antianemika 2017 - část IV. Epoetin beta"/>
        <s v="Laser pro endobronchiální léčbu II"/>
        <s v="Rekonstrukce hygienických zařízení na 29A a 29B"/>
        <s v="Servery pro bezpečnostní infrastrukturu"/>
        <s v="Rekonstrukce výtahů FNOL 2017"/>
        <s v="Výměna lůžkových ramp"/>
        <s v="Dávkovací zařízení biocidu"/>
        <s v="Rekonstrukce parního hospodářství"/>
        <s v="Skiaskopicko-skiagrafický RTG přístroj a skiagrafický RTG přístroj - část I."/>
        <s v="Skiaskopicko-skiagrafický RTG přístroj a skiagrafický RTG přístroj - část II."/>
        <s v="Rekonstrukce hygienických zařízení-Neurologická klinika"/>
        <s v="Rekonstrukce hygienických zařízení na 1. Chirurgické klinice - odd. 9"/>
        <s v="Analýza speciálních proteinů 2017"/>
        <s v="Výměna hořáku plynového kotle"/>
        <s v="Přenosné přístroje pro externí defibrilaci"/>
        <s v="Stolní počítače FNOL 2017"/>
        <s v="RTG přístroje"/>
        <s v="Konektor bezjehlový 2017"/>
        <s v="Dvoudutinové a jednodutinové externí kardiostimulátory II - část I. Jednodut."/>
        <s v="Dvoudutinové a jednodutinové externí kardiostimulátory II - část II. Dvoudut."/>
        <s v="Elektrokoagulační bipolární přístroj s argonovou jednotkou"/>
        <s v="PCR termocyklery"/>
        <s v="FN Olomouc - pořízení O-arm pro NCHIR"/>
        <s v="Ultrazvukový chirurgický aspirátor"/>
        <s v="Vrtačka pro kostní chirurgii II"/>
        <s v="Dodávka a instalace chlazení VRV - budova D2"/>
        <s v="PD - zřízení parkoviště OA pod DK a u lékárny FNOL -  část I."/>
        <s v="PD - zřízení parkoviště OA pod DK a u lékárny FNOL - část II."/>
        <s v="Kolposkopy s integrovanou videokamerou"/>
        <s v="Rekonstrukce HDS, úprava velínů, vstupu a imobilní WC na 3IK"/>
        <s v="Operační světla"/>
        <s v="Ultrazvukové diagnostické přístroje II. - část I. RDG"/>
        <s v="Ultrazvukové diagnostické přístroje II. - část II. HOK"/>
        <s v="Informační systém pro vyvolávání a objednávání pacientů"/>
        <s v="Rekonstrukce osvětlení ve spisovém archívu pevnůstka"/>
        <s v="Rukavice vyšetřovací nitrilové 2017"/>
        <s v="Kapilární hemodialyzátory 2017 - část I. Low Flux"/>
        <s v="Kapilární hemodialyzátory 2017 - část II. High Flux"/>
        <s v="Tiskárny FNOL 2017"/>
        <s v="Aktualizace SW a servis HW k Barracuda Networks"/>
        <s v="Podlahářské práce ve FNOL II"/>
        <s v="Operační stoly"/>
        <s v="Pozáruční servis IBM zařízení"/>
        <s v="Oftalmologika 2017 - část I. Verteporfin"/>
        <s v="Oftalmologika 2017 - část II. Ranibizumab"/>
        <s v="Oftalmologika 2017 - část III. Aflibercept"/>
        <s v="Analoga kyseliny listové 2017 - část I. Pemetrexed"/>
        <s v="Analoga kyseliny listové 2017 - část II. Methotrexát I."/>
        <s v="Analoga kyseliny listové 2017 - část III. Methotrexát II."/>
        <s v="PD - celková rekonstrukce trafostanice"/>
        <s v="Jiná cytostatika - monoklonální protilátky - část I."/>
        <s v="Jiná cytostatika - monoklonální protilátky - část II."/>
        <s v="Jiná cytostatika - monoklonální protilátky - část III."/>
        <s v="Jiná cytostatika - monoklonální protilátky - část IV."/>
        <s v="Jiná cytostatika - monoklonální protilátky - část V."/>
        <s v="Jiná cytostatika - monoklonální protilátky - část VI."/>
        <s v="Modernizace modelové laboratoře - fixační pomůcky pro radioterapii"/>
        <s v="Systém pro kontrolu dýchání v průběhu radioterapie"/>
        <s v="Analyzátor složení těla"/>
        <s v="Transportní přístroj pro umělovu plicní ventilaci"/>
        <s v="Monoklonální protilátky 2017 - část I."/>
        <s v="Monoklonální protilátky 2017 - část II."/>
        <s v="Monoklonální protilátky 2017 - část III."/>
        <s v="Monoklonální protilátky 2017 - část IV."/>
        <s v="Kity pro vyšetření biotinidázy 2017"/>
        <s v="Vakuový tkáňový procesor"/>
        <s v="Lůžka II."/>
        <s v="PD-zřízení parkoviště OA pod DK a u lékárny FNOL II - část I."/>
        <s v="PD-zřízení parkoviště OA pod DK a u lékárny FNOL II - část II."/>
        <s v="Ultrazvukový přístroj"/>
        <s v="Nábytek pro Novorozenecké oddělení"/>
        <s v="Plicní ventilátory"/>
        <s v="Elektrokoagulační bipolární přístroj s argonovou jednotkou II"/>
        <s v="Teplovodní přípojka pro ZVIT a ČOV"/>
        <s v="Ultrazvukový přenosný přístroj"/>
        <s v="Výměna hořáku plynového kotle II"/>
        <s v="Zhotovení PD pro výměnu elektrické požární signalizace"/>
        <s v="Endosonografický systém pro diagnostiku a staging nitrohrudních nádorů"/>
        <s v="Pásová myčka tabletů"/>
        <s v="Laboratorní chladnice"/>
        <s v="Oprava MaR - Novorozenecké oddělení JIP a IMP"/>
        <s v="Ergometrická jednotka s polohovatelným ergometrem pro zátěžovou echokardiografii"/>
        <s v="Rekonstrukce kanalizace v objektu D"/>
        <s v="Diagnostika pro vyšetření základního krevního obrazu"/>
        <s v="Inhibitory TNF 2017 - část I. Certolizumab pegol"/>
        <s v="Inhibitory TNF 2017 - část II. Etanercept"/>
        <s v="Inhibitory TNF 2017 - část III. Adalimumab I"/>
        <s v="Inhibitory TNF 2017 - část IV. Adalimumab II"/>
        <s v="Inhibitory TNF 2017 - část V. Infliximab"/>
        <s v="Inhibitory TNF 2017 - část VI. Golimumab"/>
        <s v="Hepariny 2017 - část I. Heparin"/>
        <s v="Hepariny 2017 - část II. Enoxaparin"/>
        <s v="Hepariny 2017 - část III. Nadroparin"/>
        <s v="Hepariny 2017 - část IV. Sulodexid"/>
        <s v="Monitory životních funkcí - část I. Philips"/>
        <s v="Monitory životních funkcí - část II. GE"/>
        <s v="Oprava rozvodů med. plynů a úprava VA stanice - část I. Rozvody med. Plynů"/>
        <s v="Oprava rozvodů med. plynů a úprava VA stanice - část II. VA stanice"/>
        <s v="Servis, opravy a údržba sanitních, dodávkových a osobních vozidel - část I."/>
        <s v="Servis, opravy a údržba sanitních, dodávkových a osobních vozidel - část II."/>
        <s v="Servis, opravy a údržba sanitních, dodávkových a osobních vozidel - část III."/>
        <s v="Hygienické zařízení pro imobilní pacienty budova P - Kožní klinika"/>
        <s v="Výměna vstupních dveří v budově M3 v 1NP"/>
        <s v="Zpracování studie proveditelnosti včetně všech souvisejících příloh"/>
        <s v="Infuzní technika 2017"/>
        <s v="Nábytek - Imunologie"/>
        <s v="Vizualizace systému EnMS"/>
        <s v="Jiná imunostimulancia 2017 - část I.Glatiramer-acetát"/>
        <s v="Jiná imunostimulancia 2017 - část II.Bacillus-guerin (BCG)"/>
        <s v="Jiná imunostimulancia 2017 - část III.Plerixafor"/>
        <s v="Expanze k diskovému poli"/>
        <s v="Antidekubitní pasivní matrace"/>
        <s v="Rekonstrukce hygienických zařízení a výměna dveří za automatizované"/>
        <s v="Oprava hydroizolace střešního pláště na budově L"/>
        <s v="Oprava hydroizolace v hygienických zařízení ubytovny YA"/>
        <s v="Tísňový signalizační systém"/>
        <s v="Analyzátor plynů pro spiroergometrii"/>
        <s v="Diagnostika pro vyšetření krevního obrazu a výpůjčka hematologické linky II."/>
        <s v="Ubytování a služby spojené s realizací vzdělávací akce pro vedoucí zaměstnance FN Olomouc"/>
        <s v="Dodávky dectů 2017"/>
        <s v="Nerezový mobiliář"/>
        <s v="Imunoglobuliny normální lidské 2017 - část I."/>
        <s v="Imunoglobuliny normální lidské 2017 - část II."/>
        <s v="Imunoglobuliny normální lidské 2017 - část III."/>
        <s v="Oprava lineárního urychlovače Elekta Synergy"/>
        <s v="Výroba a montáž nábytkového vybavení pracovišť"/>
        <s v="Kalibrace a validace měřidel a zařízení - část I."/>
        <s v="Kalibrace a validace měřidel a zařízení - část II. ConWin"/>
        <s v="Repase oken na budově Q2 v 1PP a na schodišťové stěně"/>
        <s v="WLC kontroléry, access pointy a licence"/>
        <s v="Studie funkcionality objektu z logistického hlediska"/>
        <s v="Oprava poškozených částí Modelové laboratoře onkologické kliniky"/>
        <s v="Poskytování servisních služeb u sterilizátorů ve FNOL"/>
        <s v="Deska ozařovacího stolu lineárního urychlovače Elekta Synergy"/>
        <s v="Servisní služby pro stomatologické soupravy OMS Italy"/>
        <s v="Jiná léčiva nervového systému 2017 - část I. Dimethyl-fumarát"/>
        <s v="Jiná léčiva nervového systému 2017 - část II. Fampridin"/>
        <s v="Jiná léčiva nervového systému 2017 - část III. Tetrabenazin"/>
        <s v="Jiná léčiva nervového systému 2017 - část IV. Riluzol"/>
        <s v="Cytostatika k perorálnímu podání 2017 - část I. Hydroxykarbamid"/>
        <s v="Cytostatika k perorálnímu podání 2017 - část II. Anagrelid hydrochlorid"/>
        <s v="Cytostatika k perorálnímu podání 2017 - část III. Vismodegib"/>
        <s v="Cytostatika k perorálnímu podání 2017 - část IV. Olaparib"/>
        <s v="Cytostatika k perorálnímu podání 2017 - část V. Idelalisib"/>
        <s v="Inhibitory interleukinu 2017 - část I. Basiliximab"/>
        <s v="Inhibitory interleukinu 2017 - část II. Anakinra"/>
        <s v="Inhibitory interleukinu 2017 - část III. Ustekinumab"/>
        <s v="Inhibitory interleukinu 2017 - část IV. Tocilizumab"/>
        <s v="Inhibitory interleukinu 2017 - část V. Sekukinumab"/>
        <s v="Inhibitory interleukinu 2017 - část VI. Ixekizumab"/>
        <s v="Poskytování servisních služeb u oxymetrů"/>
        <s v="Servisní služby pro přístroje Erbe, Wolf, Heinemann, LISA"/>
        <s v="Oprava hygienických zařízení ve 4. NP  budovy S ve FNOL"/>
        <s v="Dodávky termotiskáren"/>
        <s v="Průtokoměr peroperační"/>
        <s v="Rozšíření zálohovacího SW virtuálního prostředí"/>
        <s v="Rekonstrukce nouzového osvětlení v areálu FN Olomouc"/>
        <s v="Jiná periferně působící myorelaxancia - část I."/>
        <s v="Jiná periferně působící myorelaxancia - část II."/>
        <s v="Jiná periferně působící myorelaxancia - část III."/>
        <s v="Elektrokoagulační bipolární přístroj"/>
        <s v="Rekonstrukce sálů HDS v budově J2"/>
        <s v="Automatický rozplňovač radiofarmak"/>
        <s v="Provedení akreditace systému řízení kvality a bezpečí zdravotních služeb"/>
        <s v="Erytropoetin 2017"/>
        <s v="Inhibitory kalcineurinu 2017 - část I. Cyklosporin"/>
        <s v="Inhibitory kalcineurinu 2017 - část II. Takrolimus monohydrát"/>
        <s v="Imunostimulancia 2017 - část I. Filgrastim"/>
        <s v="Imunostimulancia 2017 - část II. Pegfilgrastim / Lipefilgrastim"/>
        <s v="Inhibitory proteinkináz I. 2017 - část I."/>
        <s v="Inhibitory proteinkináz I. 2017 - část II."/>
        <s v="Inhibitory proteinkináz I. 2017 - část III."/>
        <s v="Inhibitory proteinkináz I. 2017 - část IV."/>
        <s v="Inhibitory proteinkináz I. 2017 - část V."/>
        <s v="Inhibitory proteinkináz I. 2017 - část VI."/>
        <s v="Inhibitory proteinkináz I. 2017 - část VII."/>
        <s v="Inhibitory proteinkináz 2017 II. - část I."/>
        <s v="Inhibitory proteinkináz 2017 II. - část II."/>
        <s v="Inhibitory proteinkináz 2017 II. - část III."/>
        <s v="Inhibitory proteinkináz 2017 II. - část IV."/>
        <s v="Inhibitory proteinkináz 2017 II. - část V."/>
        <s v="Inhibitory proteinkináz 2017 II. - část VI."/>
        <s v="Inhibitory proteinkináz 2017 II. - část VII."/>
        <s v="Dodávky náplní do tiskáren"/>
        <s v="Intubační fibrobronchoskopy"/>
        <s v="Jiná imunosupresiva 2017 - část I. "/>
        <s v="Jiná imunosupresiva 2017 - část II."/>
        <s v="Jiná imunosupresiva 2017 - část III."/>
        <s v="Jiná imunosupresiva 2017 - část IV."/>
        <s v="Jiná imunosupresiva 2017 - část V."/>
        <s v="Systém pro kompletní klinická vestibulární a okulomotorická vyšetření"/>
        <s v="Nouzový zdroj pro 3IK a laboratoře DMP"/>
        <s v="Dodávka handheld datových terminálů"/>
        <s v="Láhve a dudlíky kojenecké krmící a láhve na kolostrum - část I."/>
        <s v="Láhve a dudlíky kojenecké krmící a láhve na kolostrum - část II."/>
        <s v="Láhve a dudlíky kojenecké krmící a láhve na kolostrum - část III."/>
        <s v="Rekonstrukce sálů HDS v budově J2-II"/>
        <s v="Cytostatika k parenterálnímu podání - část I."/>
        <s v="Cytostatika k parenterálnímu podání - část II."/>
        <s v="Cytostatika k parenterálnímu podání - část III."/>
        <s v="Cytostatika k parenterálnímu podání - část IV."/>
        <s v="Cytostatika k parenterálnímu podání - část V."/>
        <s v="Cytostatika k parenterálnímu podání - část VI."/>
        <s v="Cytostatika k parenterálnímu podání - část VII."/>
        <s v="Cytostatika k parenterálnímu podání - část VIII."/>
        <s v="Selektivní imunosupresiva - část I."/>
        <s v="Selektivní imunosupresiva - část II."/>
        <s v="Selektivní imunosupresiva - část III."/>
        <s v="Selektivní imunosupresiva - část IV."/>
        <s v="Selektivní imunosupresiva - část V."/>
        <s v="Jednotka NIP a DIOP v budově D2"/>
        <s v="Přípojka nn pro budovu II.IK a NTMC"/>
        <s v="Elektrokoagulační bipolární přístroj II."/>
        <s v="Rekonstrukce sálů HDS v budově J2-III"/>
        <s v="Pásová myčka tabletů II."/>
        <s v="Hadičky pro infuzní terapii"/>
        <s v="Inhibitory proteinkináz III. - část I. Ruxolitinib"/>
        <s v="Inhibitory proteinkináz III. - část II.Regorafenib"/>
        <s v="Inhibitory proteinkináz III. - část III. Dabrafenib"/>
        <s v="Inhibitory proteinkináz III. - část IV. Ponatinib-hydrochlorid"/>
        <s v="Inhibitory proteinkináz III. - část V. Cabozantinib"/>
        <s v="Inhibitory proteinkináz III. - část VI. Ibrutinib"/>
        <s v="Inhibitory proteinkináz III. - část VII. Nintedanib"/>
        <s v="Inhibitory proteinkináz III. - část VIII. Osimertinib-mesilát"/>
        <s v="Aktivní prvky pro novostavbu 2IK + GER"/>
      </sharedItems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44">
      <sharedItems containsString="0" containsBlank="1" containsNumber="1" minValue="427.86" maxValue="298000000"/>
    </cacheField>
    <cacheField name="Druh VZ" numFmtId="0">
      <sharedItems count="4">
        <s v="VZMR"/>
        <s v="OŘ"/>
        <s v="DNS"/>
        <s v="ZPŘ"/>
      </sharedItems>
    </cacheField>
    <cacheField name="VZ vypsaná dne" numFmtId="0">
      <sharedItems containsDate="1" containsBlank="1" containsMixedTypes="1" minDate="2016-03-31T00:00:00" maxDate="2017-12-21T00:00:00"/>
    </cacheField>
    <cacheField name="Lhůta pro podání nabídek" numFmtId="0">
      <sharedItems containsNonDate="0" containsDate="1" containsString="0" containsBlank="1" minDate="2016-04-14T00:00:00" maxDate="2018-02-06T00:00:00"/>
    </cacheField>
    <cacheField name="Dodavatel" numFmtId="0">
      <sharedItems containsBlank="1"/>
    </cacheField>
    <cacheField name="Vítězná cena bez DPH" numFmtId="44">
      <sharedItems containsBlank="1" containsMixedTypes="1" containsNumber="1" minValue="428.28" maxValue="276902126"/>
    </cacheField>
    <cacheField name="Vítězná cena s DPH" numFmtId="44">
      <sharedItems containsString="0" containsBlank="1" containsNumber="1" minValue="471.108" maxValue="335051572"/>
    </cacheField>
    <cacheField name="Smlouva podepsána" numFmtId="0">
      <sharedItems containsNonDate="0" containsDate="1" containsString="0" containsBlank="1" minDate="2016-12-23T00:00:00" maxDate="2018-01-03T00:00:00" count="124">
        <m/>
        <d v="2017-03-31T00:00:00"/>
        <d v="2016-12-23T00:00:00"/>
        <d v="2017-02-13T00:00:00"/>
        <d v="2017-02-08T00:00:00"/>
        <d v="2017-01-27T00:00:00"/>
        <d v="2017-03-15T00:00:00"/>
        <d v="2017-03-23T00:00:00"/>
        <d v="2017-03-16T00:00:00"/>
        <d v="2017-03-30T00:00:00"/>
        <d v="2017-04-10T00:00:00"/>
        <d v="2017-05-24T00:00:00"/>
        <d v="2017-03-14T00:00:00"/>
        <d v="2016-12-31T00:00:00"/>
        <d v="2017-01-11T00:00:00"/>
        <d v="2017-04-18T00:00:00"/>
        <d v="2017-03-03T00:00:00"/>
        <d v="2017-02-09T00:00:00"/>
        <d v="2017-02-17T00:00:00"/>
        <d v="2017-03-01T00:00:00"/>
        <d v="2017-02-06T00:00:00"/>
        <d v="2017-01-13T00:00:00"/>
        <d v="2017-04-19T00:00:00"/>
        <d v="2017-03-07T00:00:00"/>
        <d v="2017-01-30T00:00:00"/>
        <d v="2017-04-24T00:00:00"/>
        <d v="2017-04-20T00:00:00"/>
        <d v="2017-03-20T00:00:00"/>
        <d v="2017-03-27T00:00:00"/>
        <d v="2017-08-22T00:00:00"/>
        <d v="2017-03-02T00:00:00"/>
        <d v="2017-05-18T00:00:00"/>
        <d v="2017-05-09T00:00:00"/>
        <d v="2017-05-19T00:00:00"/>
        <d v="2017-04-04T00:00:00"/>
        <d v="2017-04-05T00:00:00"/>
        <d v="2017-04-26T00:00:00"/>
        <d v="2017-04-21T00:00:00"/>
        <d v="2017-05-12T00:00:00"/>
        <d v="2017-03-28T00:00:00"/>
        <d v="2017-08-07T00:00:00"/>
        <d v="2017-06-15T00:00:00"/>
        <d v="2017-05-03T00:00:00"/>
        <d v="2017-06-09T00:00:00"/>
        <d v="2017-05-17T00:00:00"/>
        <d v="2017-06-30T00:00:00"/>
        <d v="2017-06-12T00:00:00"/>
        <d v="2017-04-27T00:00:00"/>
        <d v="2017-05-30T00:00:00"/>
        <d v="2017-06-20T00:00:00"/>
        <d v="2017-12-18T00:00:00"/>
        <d v="2017-06-27T00:00:00"/>
        <d v="2017-05-05T00:00:00"/>
        <d v="2017-07-12T00:00:00"/>
        <d v="2017-06-05T00:00:00"/>
        <d v="2017-05-22T00:00:00"/>
        <d v="2017-06-08T00:00:00"/>
        <d v="2017-06-29T00:00:00"/>
        <d v="2017-07-07T00:00:00"/>
        <d v="2017-06-28T00:00:00"/>
        <d v="2017-06-14T00:00:00"/>
        <d v="2017-06-01T00:00:00"/>
        <d v="2017-06-26T00:00:00"/>
        <d v="2017-07-17T00:00:00"/>
        <d v="2017-07-26T00:00:00"/>
        <d v="2017-09-08T00:00:00"/>
        <d v="2017-08-16T00:00:00"/>
        <d v="2017-07-19T00:00:00"/>
        <d v="2017-09-14T00:00:00"/>
        <d v="2017-10-03T00:00:00"/>
        <d v="2017-09-07T00:00:00"/>
        <d v="2017-07-03T00:00:00"/>
        <d v="2017-10-04T00:00:00"/>
        <d v="2017-08-17T00:00:00"/>
        <d v="2017-08-01T00:00:00"/>
        <d v="2017-07-18T00:00:00"/>
        <d v="2017-10-12T00:00:00"/>
        <d v="2017-12-01T00:00:00"/>
        <d v="2017-11-08T00:00:00"/>
        <d v="2017-10-18T00:00:00"/>
        <d v="2017-12-11T00:00:00"/>
        <d v="2017-08-09T00:00:00"/>
        <d v="2017-08-30T00:00:00"/>
        <d v="2017-08-14T00:00:00"/>
        <d v="2017-09-11T00:00:00"/>
        <d v="2017-09-18T00:00:00"/>
        <d v="2017-09-27T00:00:00"/>
        <d v="2017-08-31T00:00:00"/>
        <d v="2017-12-07T00:00:00"/>
        <d v="2017-10-24T00:00:00"/>
        <d v="2017-09-25T00:00:00"/>
        <d v="2017-10-31T00:00:00"/>
        <d v="2017-11-07T00:00:00"/>
        <d v="2017-10-11T00:00:00"/>
        <d v="2017-11-16T00:00:00"/>
        <d v="2017-09-26T00:00:00"/>
        <d v="2017-09-20T00:00:00"/>
        <d v="2017-11-03T00:00:00"/>
        <d v="2017-11-20T00:00:00"/>
        <d v="2017-10-09T00:00:00"/>
        <d v="2017-10-17T00:00:00"/>
        <d v="2017-11-01T00:00:00"/>
        <d v="2017-12-22T00:00:00"/>
        <d v="2017-11-15T00:00:00"/>
        <d v="2017-10-23T00:00:00"/>
        <d v="2017-12-06T00:00:00"/>
        <d v="2017-11-06T00:00:00"/>
        <d v="2017-12-19T00:00:00"/>
        <d v="2017-09-29T00:00:00"/>
        <d v="2017-10-10T00:00:00"/>
        <d v="2017-11-28T00:00:00"/>
        <d v="2017-11-10T00:00:00"/>
        <d v="2017-11-14T00:00:00"/>
        <d v="2017-11-29T00:00:00"/>
        <d v="2017-11-02T00:00:00"/>
        <d v="2017-12-28T00:00:00"/>
        <d v="2017-11-23T00:00:00"/>
        <d v="2017-12-08T00:00:00"/>
        <d v="2017-12-13T00:00:00"/>
        <d v="2017-12-21T00:00:00"/>
        <d v="2017-12-12T00:00:00"/>
        <d v="2017-12-29T00:00:00"/>
        <d v="2017-11-30T00:00:00"/>
        <d v="2018-01-02T00:00:00"/>
      </sharedItems>
    </cacheField>
    <cacheField name="Konec smlouvy" numFmtId="0">
      <sharedItems containsDate="1" containsBlank="1" containsMixedTypes="1" minDate="2018-04-01T00:00:00" maxDate="2021-11-08T00:00:00"/>
    </cacheField>
    <cacheField name="Smlouva , Písemná zpráva zadavatele              Profil zadavatele" numFmtId="0">
      <sharedItems containsDate="1" containsBlank="1" containsMixedTypes="1" minDate="2017-01-03T00:00:00" maxDate="2018-01-24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9791667" createdVersion="3" refreshedVersion="6" minRefreshableVersion="3" recordCount="688" xr:uid="{00000000-000A-0000-FFFF-FFFF04000000}">
  <cacheSource type="worksheet">
    <worksheetSource ref="A6:P1188" sheet="VZ 2018"/>
  </cacheSource>
  <cacheFields count="16">
    <cacheField name="Interní evidenční číslo" numFmtId="0">
      <sharedItems containsBlank="1"/>
    </cacheField>
    <cacheField name="Zadáv. prac." numFmtId="0">
      <sharedItems containsBlank="1"/>
    </cacheField>
    <cacheField name="Osoba pověřená pro zadávací řízení" numFmtId="0">
      <sharedItems containsBlank="1"/>
    </cacheField>
    <cacheField name="Předmět plnění - název zakázky" numFmtId="0">
      <sharedItems containsBlank="1" count="641">
        <s v="Dávkovací zařízení biocidu"/>
        <s v="Konektor bezjehlový 2017"/>
        <s v="Analoga kyseliny listové 2017 - část I. Pemetrexed"/>
        <s v="Analoga kyseliny listové 2017 - část II. Methotrexát I."/>
        <s v="Kity pro vyšetření biotinidázy 2017"/>
        <s v="Lůžka II."/>
        <s v="Ultrazvukový přístroj"/>
        <s v="Plicní ventilátory"/>
        <s v="Výměna hořáku plynového kotle II"/>
        <s v="Inhibitory TNF 2017 - část I. Certolizumab pegol"/>
        <s v="Inhibitory TNF 2017 - část II. Etanercept"/>
        <s v="Inhibitory TNF 2017 - část IV. Adalimumab II"/>
        <s v="Inhibitory TNF 2017 - část V. Infliximab"/>
        <s v="Inhibitory TNF 2017 - část VI. Golimumab"/>
        <s v="Hepariny 2017 - část II. Enoxaparin"/>
        <s v="Servis, opravy a údržba sanitních, dodávkových a osobních vozidel - část I."/>
        <s v="Servis, opravy a údržba sanitních, dodávkových a osobních vozidel - část II."/>
        <s v="Servis, opravy a údržba sanitních, dodávkových a osobních vozidel - část III."/>
        <s v="Diagnostika pro vyšetření krevního obrazu a výpůjčka hematologické linky II."/>
        <s v="Imunoglobuliny normální lidské 2017 - část I."/>
        <s v="Imunoglobuliny normální lidské 2017 - část III."/>
        <s v="Výroba a montáž nábytkového vybavení pracovišť"/>
        <s v="Jiná léčiva nervového systému 2017 - část I. Dimethyl-fumarát"/>
        <s v="Jiná léčiva nervového systému 2017 - část II. Fampridin"/>
        <s v="Jiná léčiva nervového systému 2017 - část III. Tetrabenazin"/>
        <s v="Jiná léčiva nervového systému 2017 - část IV. Riluzol"/>
        <s v="Cytostatika k perorálnímu podání 2017 - část I. Hydroxykarbamid"/>
        <s v="Cytostatika k perorálnímu podání 2017 - část II. Anagrelid hydrochlorid"/>
        <s v="Cytostatika k perorálnímu podání 2017 - část III. Vismodegib"/>
        <s v="Cytostatika k perorálnímu podání 2017 - část IV. Olaparib"/>
        <s v="Cytostatika k perorálnímu podání 2017 - část V. Idelalisib"/>
        <s v="Inhibitory interleukinu 2017 - část I. Basiliximab"/>
        <s v="Inhibitory interleukinu 2017 - část III. Ustekinumab"/>
        <s v="Inhibitory interleukinu 2017 - část IV. Tocilizumab"/>
        <s v="Inhibitory interleukinu 2017 - část V. Sekukinumab"/>
        <s v="Jiná periferně působící myorelaxancia - část I."/>
        <s v="Jiná periferně působící myorelaxancia - část II."/>
        <s v="Jiná periferně působící myorelaxancia - část III."/>
        <s v="Automatický rozplňovač radiofarmak"/>
        <s v="Provedení akreditace systému řízení kvality a bezpečí zdravotních služeb"/>
        <s v="Erytropoetin 2017"/>
        <s v="Inhibitory kalcineurinu 2017 - část I. Cyklosporin"/>
        <s v="Inhibitory kalcineurinu 2017 - část II. Takrolimus monohydrát"/>
        <s v="Imunostimulancia 2017 - část I. Filgrastim"/>
        <s v="Imunostimulancia 2017 - část II. Pegfilgrastim / Lipefilgrastim"/>
        <s v="Inhibitory proteinkináz I. 2017 - část I. Imatinib pro indikaci GIST"/>
        <s v="Inhibitory proteinkináz I. 2017 - část II. Gefitinib"/>
        <s v="Inhibitory proteinkináz I. 2017 - část III. Erlotinib"/>
        <s v="Inhibitory proteinkináz I. 2017 - část IV. Sunitinib"/>
        <s v="Inhibitory proteinkináz I. 2017 - část V. Sorafenib"/>
        <s v="Inhibitory proteinkináz I. 2017 - část VI. Dasatinib"/>
        <s v="Inhibitory proteinkináz I. 2017 - část VII. Lapatinib"/>
        <s v="Inhibitory proteinkináz 2017 II. - část I. Nilotinib"/>
        <s v="Inhibitory proteinkináz 2017 II. - část II. Everolimus"/>
        <s v="Inhibitory proteinkináz 2017 II. - část III. Pazopanib"/>
        <s v="Inhibitory proteinkináz 2017 II. - část V. Afatinib"/>
        <s v="Inhibitory proteinkináz 2017 II. - část VI. Vemurafenib"/>
        <s v="Inhibitory proteinkináz 2017 II. - část VII. Axitinib"/>
        <s v="Inhibitory proteinkináz 2017 II. - část IV. Vandetanib"/>
        <s v="Dodávky náplní do tiskáren"/>
        <s v="Intubační fibrobronchoskopy"/>
        <s v="Jiná imunosupresiva 2017 - část I.  Methotrexát I."/>
        <s v="Jiná imunosupresiva 2017 - část II. Methotrexát II."/>
        <s v="Jiná imunosupresiva 2017 - část III. Pirfenidon"/>
        <s v="Jiná imunosupresiva 2017 - část IV. Pomalidomid"/>
        <s v="Jiná imunosupresiva 2017 - část V. Lenalidomid"/>
        <s v="Systém pro kompletní klinická vestibulární a okulomotorická vyšetření"/>
        <s v="Nouzový zdroj pro 3IK a laboratoře DMP"/>
        <s v="Dodávka handheld datových terminálů"/>
        <s v="Láhve a dudlíky kojenecké krmící a láhve na kolostrum - část I. Láhve"/>
        <s v="Láhve a dudlíky kojenecké krmící a láhve na kolostrum - část III. Kolostrum"/>
        <s v="Láhve a dudlíky kojenecké krmící a láhve na kolostrum - část II. Dudlíky"/>
        <s v="Cytostatika k parenterálnímu podání - část II. Bortezomib"/>
        <s v="Cytostatika k parenterálnímu podání - část IV. Irinotekan"/>
        <s v="Cytostatika k parenterálnímu podání - část V. Eribulin - mesylát"/>
        <s v="Cytostatika k parenterálnímu podání - část VIII. Karfilzomib"/>
        <s v="Cytostatika k parenterálnímu podání - část VI. Oxid arsenitý"/>
        <s v="Cytostatika k parenterálnímu podání - část I. Aparaginas produkovaná Erwinia chrysanthemi"/>
        <s v="Cytostatika k parenterálnímu podání - část III. Pegaspargasa"/>
        <s v="Cytostatika k parenterálnímu podání - část VII. Aflibercept"/>
        <s v="Selektivní imunosupresiva - část I. Natalizumab"/>
        <s v="Selektivní imunosupresiva - část III. Fingolimodum"/>
        <s v="Selektivní imunosupresiva - část IV. Teriflunomid"/>
        <s v="Selektivní imunosupresiva - část V. Alemtuzumab"/>
        <s v="Selektivní imunosupresiva - část II. Immunoglobulinum antithymocytarum"/>
        <s v="Jednotka NIP a DIOP v budově D2"/>
        <s v="Přípojka nn pro budovu II.IK a NTMC"/>
        <s v="Elektrokoagulační bipolární přístroj II."/>
        <s v="Rekonstrukce sálů HDS v budově J2-III"/>
        <s v="Pásová myčka tabletů II."/>
        <s v="Hadičky pro infuzní terapii"/>
        <s v="Inhibitory proteinkináz III. - část VII. Nintedanib"/>
        <s v="Inhibitory proteinkináz III. - část I. Ruxolitinib"/>
        <s v="Inhibitory proteinkináz III. - část II.Regorafenib"/>
        <s v="Inhibitory proteinkináz III. - část III. Dabrafenib"/>
        <s v="Inhibitory proteinkináz III. - část VI. Ibrutinib"/>
        <s v="Inhibitory proteinkináz III. - část VIII. Osimertinib-mesilát"/>
        <s v="Inhibitory proteinkináz III. - část IV. Ponatinib-hydrochlorid"/>
        <s v="Inhibitory proteinkináz III. - část V. Cabozantinib"/>
        <s v="Aktivní prvky pro novostavbu 2IK + GER"/>
        <s v="PD - Stavební úpravy objektu „Q2“"/>
        <s v="Chirurgický telemanipulátor"/>
        <s v="Převoz zemřelých"/>
        <s v="Myčka chirurgických nástrojů"/>
        <s v="Thuliový laser"/>
        <s v="Elektrická přípojka nn pro II. IK"/>
        <s v="Hluboký břišní rozvěrač"/>
        <s v="Likvidace odpadů z FN Olomouc"/>
        <s v="Náhradní díly a spotřební materiál pro potrubní poštu - část I. ND"/>
        <s v="Náhradní díly a spotřební materiál pro potrubní poštu - část II. Spotřební mat."/>
        <s v="Anesteziologické přístroje - část I. střední třídy 9ks"/>
        <s v="Anesteziologické přístroje - část II. vyšší třídy 5 ks"/>
        <s v="Výroba a montáž nábytku"/>
        <s v="Implantabilní kardiovertery - defibrilátory - část I."/>
        <s v="Implantabilní kardiovertery - defibrilátory - část II."/>
        <s v="Implantabilní kardiovertery - defibrilátory - část III."/>
        <s v="Implantabilní kardiovertery - defibrilátory - část IV."/>
        <s v="Implantabilní kardiovertery - defibrilátory - část V."/>
        <s v="Implantabilní kardiovertery - defibrilátory - část VI."/>
        <s v="PD- rekonstrukce zákrokového sálu ortopedie"/>
        <s v="Rekonstrukce hygienických zařízení na 1. Chirurgické klinice na oddělení 9"/>
        <s v="Ložní prádlo 2018"/>
        <s v="Kardiostimulátory - část I."/>
        <s v="Kardiostimulátory - část III."/>
        <s v="Kardiostimulátory - část IV."/>
        <s v="Kardiostimulátory - část V."/>
        <s v="Kardiostimulátory - část II."/>
        <s v="Kancelářské židle 1/2018"/>
        <s v="Posílení stávající technologie potrubní pošty"/>
        <s v="Technologie k detekci sentinelových uzlin"/>
        <s v="Průmyslové kuchyňské zařízení - část I. Konvektomat"/>
        <s v="Průmyslové kuchyňské zařízení - část II.  Mlýnek na maso"/>
        <s v="Průmyslové kuchyňské zařízení - část III. Robot"/>
        <s v="Gynekologický vyšetřovací stůl"/>
        <s v="Servisní služby u odsávaček a elektrokoagulace"/>
        <s v="Servisní služby u inkubátorů, ventilátorů, lůžek a zvedáku"/>
        <s v="Instalace ochranných prvků"/>
        <s v="Sanace schodiště mezi budovami A a E"/>
        <s v="Laparoskopická věž 2D"/>
        <s v="Laparoskopická věž 3D - ICG"/>
        <s v="Servisní služby u elektrických odsávaček"/>
        <s v="Servis regulátorů podtlaku, redukčních ventilů, dávkovačů a průtokoměrů kyslíku"/>
        <s v="Stativy"/>
        <s v="Operační světla II."/>
        <s v="Intervenční kardiologie - část I."/>
        <s v="Intervenční kardiologie - část II."/>
        <s v="Intervenční kardiologie - část III."/>
        <s v="Intervenční kardiologie - - část IV."/>
        <s v="Intervenční kardiologie - část VII."/>
        <s v="Intervenční kardiologie - část  VIII."/>
        <s v="Intervenční kardiologie - část IX."/>
        <s v="Intervenční kardiologie - část X."/>
        <s v="Intervenční kardiologie - část XI."/>
        <s v="Intervenční kardiologie - část XII."/>
        <s v="Intervenční kardiologie - část XIV."/>
        <s v="Intervenční kardiologie - část XV."/>
        <s v="Intervenční kardiologie - část XVI."/>
        <s v="Intervenční kardiologie - část XVII."/>
        <s v="Intervenční kardiologie - část XIX."/>
        <s v="Intervenční kardiologie - část XX."/>
        <s v="Intervenční kardiologie - část XXI."/>
        <s v="Intervenční kardiologie - část V."/>
        <s v="Intervenční kardiologie - část VI."/>
        <s v="Intervenční kardiologie - část XIII."/>
        <s v="Intervenční kardiologie - část XVIII."/>
        <s v="Servis, opravy a údržba nákladních vozidel nad 3 500 kg"/>
        <s v="Nápoje pro pacienty"/>
        <s v="Certifikace systémů managementu hospodaření s energií"/>
        <s v="Obaly sterilizační jednorázové"/>
        <s v="Servisní služby u přístrojů Hocoma, Zebris, Motekforce"/>
        <s v="Servisní služby u přístrojů KLS Martin, Franke, Waldmann"/>
        <s v="Servis terapeutického rtg, spektrometru, dozimetrie,detektorového systému - I."/>
        <s v="Servis terapeutického rtg, spektrometru, dozimetrie,detektorového systému - II."/>
        <s v="Elektrochirurgický generátor včetně pokročilé bipolární koagulace"/>
        <s v="Elektrochirurgický generátor včetně pokročilé bipolární koagulace – argon plazmová koagulace"/>
        <s v="Transportní lehátko hydraulické"/>
        <s v="PD - dochlazení budov D1 a L"/>
        <s v="Opravy výtahů č. 71 - 76"/>
        <s v="Výroba a montáž nábytku II"/>
        <s v="Karbonová prodlužovací deska pro operační stůl"/>
        <s v="Sterilizátor nízkoteplotní plazmový"/>
        <s v="Vnitřní orientační systém"/>
        <s v="Instalace ochranných prvků II."/>
        <s v="Operační světla s LED"/>
        <s v="Servis chladící techniky FNOL"/>
        <s v="Pronájem prostor - ples FNOL 2019"/>
        <s v="Dodávky ELU 31/4 karet a BS DB1"/>
        <s v="Oxygenerátory - část II. Oxygenerátory pro kombinované srdeční operace"/>
        <s v="Oxygenerátory - část III. Minisystém pro mimotělní oběh pro výkony na otevřeném srdci"/>
        <s v="Oxygenerátory - část I. Oxygenerátory pro jednoduché srdeční operace"/>
        <s v="Poskytování servisních služeb u XE-5000i"/>
        <s v="Antidekubitní a polohovací gelové pomůcky"/>
        <s v="Rekonstrukce hygienických zařízení na 1.Chir.kl. - odd.9"/>
        <s v="Antimykotika pro systémovou aplikaci - část I. Amfotericin B"/>
        <s v="Antimykotika pro systémovou aplikaci - část II. Echinocandinová antimykotika pro dospělé"/>
        <s v="Antimykotika pro systémovou aplikaci - část III. Echinocandinové antimykotikum pro systémovou aplikaci pro dospělé i dětské pacienty"/>
        <s v="Stůl operační pro robotický systém"/>
        <s v="Oprava MaR budova A"/>
        <s v="EKG 12-ti svodové"/>
        <s v="Odsávačky mateřského mléka"/>
        <s v="Mlýnek na maso"/>
        <s v="Spotřební materiál k rozplňovačům radiofarmak DDS-A a KARI100"/>
        <s v="Sledování spokojenosti hospit. pacientů 2018 až 2022"/>
        <s v="Strategický a validační workshop"/>
        <s v="Infuzní pumpy"/>
        <s v="Plasmová koagulace"/>
        <s v="Totální endoprotézy - část I. TEP kyčelního kloubu"/>
        <s v="Totální endoprotézy - část II. TEP kyčelního kloubu - speciál I."/>
        <s v="Totální endoprotézy - část III. TEP kyčelního kloubu - speciál II."/>
        <s v="Totální endoprotézy - část IV. TEP koleního kloubu ."/>
        <s v="Totální endoprotézy - část V. TEP koleního kloubu - speciál I."/>
        <s v="Totální endoprotézy - část VI. TEP koleního kloubu - speciál II."/>
        <s v="Totální endoprotézy - část VII. TEP koleního kloubu - speciál III."/>
        <s v="Sestava na mytí endoskopů"/>
        <s v="Výměna podlahových krytin v budově S"/>
        <s v="Překládka komunikačního vedení SEK"/>
        <s v="Spotřební materiál k excimerovému laserovému systému Spectranetics CVX300"/>
        <s v="Katetry trombektomické"/>
        <s v="Role papírové s perforací"/>
        <s v="Chlazení VRV - budova L"/>
        <s v="Sterilizátor nízkoteplotní plazmový II."/>
        <s v="Výměna transformátoru v trafostanici  TS1"/>
        <s v="Systém prokatetrovou implantaci aortální chlopně (TAVI) - část I. "/>
        <s v="Systém prokatetrovou implantaci aortální chlopně (TAVI) - část III. "/>
        <s v="Systém prokatetrovou implantaci aortální chlopně (TAVI) - část II. "/>
        <s v="Kardioplegické sety - část II. Kardioplegické sety se spirálou"/>
        <s v="Kardioplegické sety - část I. Kardioplegické sety s výměníkem tepla"/>
        <s v="RTG ochranné pomůcky 2018"/>
        <s v="Myčky chirurgických nástrojů"/>
        <s v="Křesla pro kardiaky"/>
        <s v="Laboratorní chladničky"/>
        <s v="Neurostimulační systémy - část I."/>
        <s v="Neurostimulační systémy - část II."/>
        <s v="Neurostimulační systémy - část III."/>
        <s v="Neurostimulační systémy - část IV."/>
        <s v="Neurostimulační systémy - část V."/>
        <s v="Náplně do tiskáren"/>
        <s v="Skříně k ukládání čistých podložních mís a močových lahví"/>
        <s v="Mechanické transvenózní extrakční systémy srdečních elektrod"/>
        <s v="Filtry pro vzduchotechniku 2018"/>
        <s v="Klimatizační jednotky 2018"/>
        <s v="RTG přístroj pro provádění ERCP - sklopná stěna "/>
        <s v="Srdeční chlopně a anuloplastické prstence - část I."/>
        <s v="Srdeční chlopně a anuloplastické prstence - část II."/>
        <s v="Srdeční chlopně a anuloplastické prstence - část III."/>
        <s v="Srdeční chlopně a anuloplastické prstence - část IV."/>
        <s v="Srdeční chlopně a anuloplastické prstence - část V."/>
        <s v="Srdeční chlopně a anuloplastické prstence - část VI."/>
        <s v="Srdeční chlopně a anuloplastické prstence - část VII."/>
        <s v="Srdeční chlopně a anuloplastické prstence - část VIII."/>
        <s v="Srdeční chlopně a anuloplastické prstence - část IX."/>
        <s v="Vakcíny - část I. Očkovací látky I."/>
        <s v="Vakcíny - část II. Tetanický toxoid"/>
        <s v="Vakcíny - část III. Očkovací látky II."/>
        <s v="Vakcíny - část IV. Vakcína proti chřipce"/>
        <s v="Vakcíny - část V. Vakcína proti hepatitidě A"/>
        <s v="PD- posílení a rozšíření potrubní pošty"/>
        <s v="Transportní lehátka"/>
        <s v="Vyšetřovací lehátka"/>
        <s v="IROP – Ventilační a resuscitační technika - část I. Resuscitační přístroj"/>
        <s v="IROP – Ventilační a resuscitační technika - část II. Plicní ventilátor"/>
        <s v="IROP – Ventilační a resuscitační technika - část III. Přístroj pro podporu dýchání"/>
        <s v="IROP – Ventilační a resuscitační technika - část IV. Zvlhčovací kanyla"/>
        <s v="IROP - Lůžka, křesla, lehátka, vozíky - část I. Vyšetřovací křeslo"/>
        <s v="IROP - Lůžka, křesla, lehátka, vozíky - část II. Vyšetřovací lehátko"/>
        <s v="IROP - Lůžka, křesla, lehátka, vozíky - část III. Porodní lůžko"/>
        <s v="IROP - Lůžka, křesla, lehátka, vozíky - část IV. Resuscitační vozík"/>
        <s v="IROP - Lůžka, křesla, lehátka, vozíky - část V. Transportní křeslo"/>
        <s v="IROP - Lůžka, křesla, lehátka, vozíky - část VI. Transportní lehátko"/>
        <s v="IROP - Lůžka, křesla, lehátka, vozíky - část VII. Standardní lůžka"/>
        <s v="IROP - Lůžka, křesla, lehátka, vozíky - část VIII. Resuscitační lůžka"/>
        <s v="Výměna chladící jednotky D1"/>
        <s v="Jiná antivirotika pro systémovou aplikaci - část II. Ganciklovir"/>
        <s v="Jiná antivirotika pro systémovou aplikaci - část I. Aciklovir"/>
        <s v="Jiná antivirotika pro systémovou aplikaci - část III. Valaciklovir"/>
        <s v="Jiná antivirotika pro systémovou aplikaci - část IV. Valganciklovir"/>
        <s v="Jiná antivirotika pro systémovou aplikaci - část V. Oseltamivir"/>
        <s v="Jiná antivirotika pro systémovou aplikaci - část VI. Inosin pranobex"/>
        <s v="IROP - Inkubátory - část I. Inkubátor kombinovaný"/>
        <s v="IROP - Inkubátory - část II. Inkubátor resuscitační"/>
        <s v="IROP - Inkubátory - část III. Inkubátor transportní"/>
        <s v="Servisní podpora pro komplet IPS"/>
        <s v="Spinální implantáty - část I."/>
        <s v="Spinální implantáty - část II."/>
        <s v="Spinální implantáty - část III."/>
        <s v="Spinální implantáty - část IV."/>
        <s v="Spinální implantáty - část V."/>
        <s v="Spinální implantáty - část VI."/>
        <s v="Spinální implantáty - část VII."/>
        <s v="Spinální implantáty - část VIII."/>
        <s v="Spinální implantáty - část IX."/>
        <s v="Spinální implantáty - část X."/>
        <s v="Spinální implantáty - část XI."/>
        <s v="Spinální implantáty - část XII."/>
        <s v="Spinální implantáty - část XIII."/>
        <s v="Rouškovací sety pro ortopedii"/>
        <s v="Jídelní stolky"/>
        <s v="Ultrazvuková čistička"/>
        <s v="Vysoušeče vlasů a rukou"/>
        <s v="Noční stolky a noční stolky s jídelní deskou"/>
        <s v="Genetický a epigenitický analyzátor nukleových kyselin"/>
        <s v="Křesla pro kardiaky II."/>
        <s v="Kapičkový digitální PCR systém"/>
        <s v="Servis a opravy automatizovaných dveří"/>
        <s v="Standardní a intenzivní nemocniční lůžka - část I. Standardní lůžka"/>
        <s v="Standardní a intenzivní nemocniční lůžka - část II. Intenzivní lůžka"/>
        <s v="Větrání trafostanice TS1"/>
        <s v="Dodávka rackových UPS stanic"/>
        <s v="Výměna podhledů a dveří na OPS Oční kliniky"/>
        <s v="Aktivní prvky "/>
        <s v="Materiál spotřební k extrakorporální membránové oxygenaci ECMO"/>
        <s v="Instrumentarium LigaSure"/>
        <s v="Inkubátory CO2 - část I. 60l"/>
        <s v="Inkubátory CO2 - část II. 240 l"/>
        <s v="Vrtačky"/>
        <s v="Revize vyhrazených elektrických zařízení"/>
        <s v="Výroba a montáž nábytku III."/>
        <s v="Přezkoumání hospodaření státní příspěvkové organizace za období 2018-2021"/>
        <s v="Sekvenátor pro masívně paralelní sekvenci s bioinformatickou vyhodnocovací stanicí pro NGS analýzy"/>
        <s v="Elektrofyziologie - část I."/>
        <s v="Elektrofyziologie - část II."/>
        <s v="Elektrofyziologie - část III."/>
        <s v="Elektrofyziologie - část IV."/>
        <s v="Elektrofyziologie - část V"/>
        <s v="Elektrofyziologie - část VI."/>
        <s v="Elektrofyziologie - část VII."/>
        <s v="Elektrofyziologie - část VIII."/>
        <s v="Elektrofyziologie - část IX."/>
        <s v="Elektrofyziologie - část X"/>
        <s v="Elektrofyziologie - část XI."/>
        <s v="Elektrofyziologie - část XII."/>
        <s v="Endoskopické vybavení II. Interní kliniky - část I. Endoskopický systém"/>
        <s v="Endoskopické vybavení II. Interní kliniky - část II. Dovybavení end. Věže"/>
        <s v="Dezinfektory podložních mís"/>
        <s v="Mixážní sprchový panel"/>
        <s v="Monitorovací systém vitálních funkcí"/>
        <s v="Přístroje pro monitoring životních funkcí plodu - část I. KTG"/>
        <s v="Přístroje pro monitoring životních funkcí plodu - část II. ST analyzátor"/>
        <s v="Tryskový ventilátor"/>
        <s v="Skříně na sušení endoskopů"/>
        <s v="Realizace parkoviště u lékárny FNOL"/>
        <s v="Repas operačního stolu Maquet"/>
        <s v="Monitory životních a mozkových funkcí - část I."/>
        <s v="Monitory životních a mozkových funkcí - část II."/>
        <s v="Monitory životních a mozkových funkcí - část III."/>
        <s v="Monitory životních a mozkových funkcí - část IV."/>
        <s v="Paramagnetické kontrastní látky - část I."/>
        <s v="Paramagnetické kontrastní látky - část II."/>
        <s v="Paramagnetické kontrastní látky - část III."/>
        <s v="Materiál spotřební k separátorům krevních čístic Trima Accel"/>
        <s v="Sety k separátoru krevních elementů Spectra Optia"/>
        <s v="Katetry trombektomické II."/>
        <s v="Ultrazvukový aspirátor"/>
        <s v="Přístroje pro plicní ventilaci - část I. Plicní ventilátory"/>
        <s v="Přístroje pro plicní ventilaci - část II. Transportní ventilátory"/>
        <s v="Přístroje pro plicní ventilaci - část III. Neinvazivní plicní ventilátor"/>
        <s v="Úhradový modul"/>
        <s v="Zřízení jídelny, šatny a hygienického zařízení pro zaměstnance"/>
        <s v="Demolice objektů v areálu FNOL"/>
        <s v="Mobilní RTG"/>
        <s v="Tromboelastograf"/>
        <s v="Nerezový mobiliář"/>
        <s v="Podlahářské práce"/>
        <s v="Převazové vozíky"/>
        <s v="Chlazení laboratoří Ústavu imunologie - 4.NP"/>
        <s v="Úprava místností pro technický dispečink"/>
        <s v="Inkubátory CO2 - objem 150l"/>
        <s v="Mycí a dezinfekční automaty pro flexibilní endoskopy s příslušenstvím"/>
        <s v="Výměna chladící jednotky v budově D1"/>
        <s v="Léčivé přípravky s účinnou látkou fentanyl - citrát 2018"/>
        <s v="Sprchovací technika"/>
        <s v="Katetrizační systém ke katetrizační korekci mitrálni regurgitace – Systém MitraClip kit"/>
        <s v="Rekonstrukce topného kanálu"/>
        <s v="Křesla pro kardiaky III."/>
        <s v="Sonda ablační Cryoflex "/>
        <s v="Kleště ablační pro thoraskopickou ablaci plicních žil"/>
        <s v="Okludery určené ke katetrizačnímu uzávěru ….. "/>
        <s v="Úprava místností pro technický dispečink II"/>
        <s v="Výměna protipožárních dveří v kolektoru"/>
        <s v="Dodávka diagnostických stanic pro RTG"/>
        <s v="Somatropin - část I. Genotropin"/>
        <s v="Somatropin - část II. Humatrope"/>
        <s v="Somatropin - část III. Norditropin"/>
        <s v="Somatropin - část IV. Nutropinaq"/>
        <s v="Somatropin - část V. Omnitrope"/>
        <s v="Somatropin - část VI. Saizen"/>
        <s v="Somatropin - část VII. Zomacton"/>
        <s v="Antianemika 2018 -  část I. Erytropoetin nebo darbepoetin alfa pro léčbu symptomatické anémie při chronickém selhání ledvin"/>
        <s v="Antianemika 2018 - část II. Pegepoetin beta"/>
        <s v="Léčivé přípravky pro léčbu plicní arteriální hypertenze - část I."/>
        <s v="Léčivé přípravky pro léčbu plicní arteriální hypertenze - část II."/>
        <s v="Léčivé přípravky pro léčbu plicní arteriální hypertenze - část III."/>
        <s v="Léčivé přípravky pro léčbu plicní arteriální hypertenze - část IV."/>
        <s v="Léčivé přípravky pro léčbu plicní arteriální hypertenze - část V."/>
        <s v="Léčivé přípravky pro léčbu plicní arteriální hypertenze - část VI."/>
        <s v="Léčivé přípravky pro léčbu plicní arteriální hypertenze - část VII."/>
        <s v="Léčivé přípravky pro léčbu plicní arteriální hypertenze - část VIII."/>
        <s v="Interferony 2018 - část I. Interferon alfa 2b"/>
        <s v="Interferony 2018 - část II. Interferon beta-1a I"/>
        <s v="Interferony 2018 - část III. Interferon beta-1a II"/>
        <s v="Interferony 2018 - část IV. nterferon beta-1b"/>
        <s v="Interferony 2018 - část V. Peginterferon alfa"/>
        <s v="Interferony 2018 - část VI. Peginterferon beta-1a"/>
        <s v="Antivirotika pro systémovou aplikaci-antihepatitidová - část I. Ribarvin"/>
        <s v="Antivirotika pro systémovou aplikaci-antihepatitidová - část II. Tenofovir"/>
        <s v="Antivirotika pro systémovou aplikaci-antihepatitidová - část III. Monohydrát"/>
        <s v="Antivirotika pro systémovou aplikaci-antihepatitidová - část IV. Ombitasvir"/>
        <s v="Antivirotika pro systémovou aplikaci-antihepatitidová - část V. Sofosbuvir/ledipasvir"/>
        <s v="Antivirotika pro systémovou aplikaci-antihepatitidová - část VI.Sofosbuvir/velpatasvir"/>
        <s v="Antivirotika pro systémovou aplikaci-antihepatitidová - část VII. Sofosbuvir/…"/>
        <s v="Antivirotika pro systémovou aplikaci-antihepatitidová - část VIII. Elbasvir"/>
        <s v="Anestetika celková-halogenované uhlovodíky - část I. Desfluran"/>
        <s v="Anestetika celková-halogenované uhlovodíky - část II. Sevofluran"/>
        <s v="Endoskopické vybavení II. Interní kliniky - II. - část I. Endoskopický systém"/>
        <s v="Endoskopické vybavení II. Interní kliniky - II. - část II. Dovybavení endoskop.věže"/>
        <s v="Materiál spotřební k harmonickému skalpelu"/>
        <s v="Mobilní zvedací systém"/>
        <s v="Realizace parkoviště pod Dětskou klinikou a u lékárny - část I. DK"/>
        <s v="Realizace parkoviště pod Dětskou klinikou a u lékárny - část II. Lékárna"/>
        <s v="Stříkačky proplachovací předplněné fyziologickým roztokem"/>
        <s v="Operační jednotka a spotřební materiál pro chirurgii předního a zadního segmentu oka"/>
        <s v="Rekonstrukce osvětlení budova A"/>
        <s v="Lůžko bariatrické s antidekubitní matrací"/>
        <s v="Radiální endosonografie"/>
        <s v="Pomůcky polohovací a antidekubitní"/>
        <s v="Sprchovací technika II"/>
        <s v="Vozíky k uložení léčiv a zdravotnického materiálu"/>
        <s v="Přístroj pro měření hemodynamiky"/>
        <s v="Větrání tkáňové banky"/>
        <s v="Novostavba pavilonu HOK - Olomouc"/>
        <s v="EKG holter"/>
        <s v="Úprava vstupu do budovy D1 a D2"/>
        <s v="Servisní podpora informačního systému eKLIN/ePOST ve Fakultní nemocnici Olomouc"/>
        <s v="Dodávka monitorů"/>
        <s v="Sanace průsaku vody v kolektoru"/>
        <s v="Výměna požárních dveří v budově L"/>
        <s v="Úpravy Neurologické kliniky v budově M1 a M2 "/>
        <s v="Komplexní servis prádla pro FN Olomouc"/>
        <s v="Toaletní a sprchovací křesla a židle"/>
        <s v="Flowmon sonda"/>
        <s v="Ubytování a služby spojené s realizací vzdělávací akce pro vedoucí zaměstnance FN Olomouc"/>
        <s v="Mycí a oplachová chemie do profesionálních mycích strojů pro kuchyň"/>
        <s v="Přístupový systém pro výtah č.75"/>
        <s v="Senzory k měření hemodynamiky"/>
        <s v="Senzory k měření cerebrální oxymetrie - část I. Somasensor INVOS pro dospěle"/>
        <s v="Senzory k měření cerebrální oxymetrie - část II. Fore-sight ELITE dual velký"/>
        <s v="Kleště bioptické myokardiální"/>
        <s v="Transientní elastograf"/>
        <s v="Mikro-ultrazvukový přístroj pro navigaci biopsie prostaty"/>
        <s v="Kapilární hemodialyzátory 2018 - část I. Low Flux"/>
        <s v="Kapilární hemodialyzátory 2018 - část II. High Flux"/>
        <s v="Kalibrace a validace měřidel a zařízení 2019- část I."/>
        <s v="Kalibrace a validace měřidel a zařízení 2019 - část II. ConWin"/>
        <s v="Odstranění závad z revize medicinálních plynů, budova S2"/>
        <s v="Operační mikroskop"/>
        <s v="Radiofarmakum fludeoxyglukóza 18F"/>
        <s v="Čočky nitrooční"/>
        <s v="Macerátory"/>
        <s v="Flexibilní ureteroskopy a cytoskop"/>
        <s v="Sety infuzní pro podání světlocitlivých cytostatik"/>
        <s v="Lokální hemostatika a parenterální přípravky s obsahem železa - část I."/>
        <s v="Lokální hemostatika a parenterální přípravky s obsahem železa - část II."/>
        <s v="Lokální hemostatika a parenterální přípravky s obsahem železa - část III."/>
        <s v="Lokální hemostatika a parenterální přípravky s obsahem železa - část IV."/>
        <s v="Lokální hemostatika a parenterální přípravky s obsahem železa - část V."/>
        <s v="Lokální hemostatika a parenterální přípravky s obsahem železa - část VI."/>
        <s v="Lokální hemostatika a parenterální přípravky s obsahem železa - část VII."/>
        <s v="Digitální dermatoskop s celotělovým skenerem"/>
        <s v="Chladící a mrazící zařízení - část I. Chladnice a lednice"/>
        <s v="Chladící a mrazící zařízení - číst II. Hlubokomrazící boxy"/>
        <s v="LP s obsahem účinné látky alteplasa, degarelix-acetát, abirateron-acetát, - I."/>
        <s v="LP s obsahem účinné látky alteplasa, degarelix-acetát, abirateron-acetát, - II."/>
        <s v="LP s obsahem účinné látky alteplasa, degarelix-acetát, abirateron-acetát, - III."/>
        <s v="LP s obsahem účinné látky alteplasa, degarelix-acetát, abirateron-acetát, - IV."/>
        <s v="LP s obsahem účinné látky alteplasa, degarelix-acetát, abirateron-acetát, - V."/>
        <s v="LP s obsahem účinné látky alteplasa, degarelix-acetát, abirateron-acetát, - VI."/>
        <s v="Rekonstrukce zákrokového sálu ortopedie"/>
        <s v="Toaletní papír a papírové ručníky Z-Z"/>
        <s v="Jiná systémová hemostatika a látky tvořící cheláty se železem - část I."/>
        <s v="Jiná systémová hemostatika a látky tvořící cheláty se železem - část II."/>
        <s v="Jiná systémová hemostatika a látky tvořící cheláty se železem - část III."/>
        <s v="Jiná systémová hemostatika a látky tvořící cheláty se železem - část IV."/>
        <s v="Jiná systémová hemostatika a látky tvořící cheláty se železem - část V."/>
        <s v="Jiná systémová hemostatika a látky tvořící cheláty se železem - část VI."/>
        <s v="Výměna protipožárních dveří v budově L na TO a HOK"/>
        <s v="Monoklonální protilátky s obsahem účinné látky rituximab - část I. "/>
        <s v="Monoklonální protilátky s obsahem účinné látky rituximab - část II. "/>
        <s v="Senzory k měření hemodynamiky II"/>
        <s v="EEG"/>
        <s v="Chlazení boxů na patologii"/>
        <s v="Ověřovací studie PD &quot;Rekonstrukce a dostavba hlvaní budovy FJ&quot;"/>
        <m/>
        <s v="Aktualizace SW ArchiCAD" u="1"/>
        <s v="Inhibitory proteinkináz I. 2017 - část V." u="1"/>
        <s v="Stoly operační a zákrokové - část II. Operační stoly" u="1"/>
        <s v="Okludery určené ke katetrizačnímu uzávěru ….. Část II. PFO" u="1"/>
        <s v="Ultrazvuková čistička pro robotické nástroje" u="1"/>
        <s v="Kalibrace a validace měřidel a zařízení - část I." u="1"/>
        <s v="Repase oken na budově Q2 v 1PP a na schodišťové stěně" u="1"/>
        <s v="Servisní služby pro přístroje Erbe, Wolf, Heinemann, LISA" u="1"/>
        <s v="Inkubátory CO2" u="1"/>
        <s v="Rekonstrukce nouzového osvětlení v areálu FN Olomouc" u="1"/>
        <s v="Rozšíření zálohovacího SW virtuálního prostředí" u="1"/>
        <s v="Průtokoměr peroperační" u="1"/>
        <s v="Elektrofyziologie - část XIII." u="1"/>
        <s v="IROP – Ventilační a resuscitační technika" u="1"/>
        <s v="Inhibitory proteinkináz I. 2017 - část III." u="1"/>
        <s v="Kancelářský papír" u="1"/>
        <s v="Studie funkcionality objektu z logistického hlediska" u="1"/>
        <s v="Servis terapeutického rtg, spektrometru, rozplňovače radiofarmak, dozimetrie,detektorového systému" u="1"/>
        <s v="Servisní služby – Alsa Apparecchi Medicali, Medist" u="1"/>
        <s v="Diagnostika pro vyšetření základního krevního obrazu" u="1"/>
        <s v="Srdeční chlopně a anuloplastické prstence - část X." u="1"/>
        <s v="Hepariny 2017 - část I. Heparin" u="1"/>
        <s v="Elektroúdržba ve FN Olomouc" u="1"/>
        <s v="Cytostatika k parenterálnímu podání - část VI." u="1"/>
        <s v="Jiná imunosupresiva 2017 - část III." u="1"/>
        <s v="Inhibitory proteinkináz 2017 II. - část IV." u="1"/>
        <s v="Validační workshop" u="1"/>
        <s v="Selektivní imunosupresiva - část II." u="1"/>
        <s v="Operační stoly" u="1"/>
        <s v="Rekonstrukce sálů HDS v budově J2-II" u="1"/>
        <s v="Servisní služby pro stomatologické soupravy OMS Italy" u="1"/>
        <s v="Náhradní díly na pouzdra potrubní pošty" u="1"/>
        <s v="Cytostatika k parenterálnímu podání - část V." u="1"/>
        <s v="Inkubátory - část III. Inkubátor transportní" u="1"/>
        <s v="EKG se zapisovačem" u="1"/>
        <s v="Deska ozařovacího stolu lineárního urychlovače Elekta Synergy" u="1"/>
        <s v="Inkubátory" u="1"/>
        <s v="Stabilizátory pro operace srdce bez mimotělního oběhu" u="1"/>
        <s v="Žehlící linka, pračky a sušičky" u="1"/>
        <s v="Inhibitory interleukinu 2017 - část VI. Ixekizumab" u="1"/>
        <s v="Rukavice vyšetřovací nitrilové 2017" u="1"/>
        <s v="Servis terapeutického rtg, spektrometru, dozimetrie,detektorového systému" u="1"/>
        <s v="Rekonstrukce sálů HDS v budově J2" u="1"/>
        <s v="Inhibitory proteinkináz I. 2017 - část VII." u="1"/>
        <s v="Realizace parkoviště pod Dětskou klinikou FNOL" u="1"/>
        <s v="Služby v oblasti rozvoje, bezpečnosti a procesních vazeb ICT ve FNOL" u="1"/>
        <s v="Anesteziologické přístroje" u="1"/>
        <s v="Endosonografický systém pro diagnostiku a staging nitrohrudních nádorů" u="1"/>
        <s v="Průmyslové kuchyňské zařízení" u="1"/>
        <s v="Konektor bezjehlový 2018" u="1"/>
        <s v="Kardiostimulátory - část VII." u="1"/>
        <s v="Cytostatika k parenterálnímu podání - část III." u="1"/>
        <s v="Biologické chlopně - část VIII." u="1"/>
        <s v="Antimykotika pro systémové použití - část II. Echinocandinová antimykotika pro dospělé" u="1"/>
        <s v="Senzory k měření cerebrální oxymetrie" u="1"/>
        <s v="Chladící a mrazící zařízení" u="1"/>
        <s v="Ergonomické osvětlení operačních sálů" u="1"/>
        <s v="Biologické chlopně - část IV." u="1"/>
        <s v="Elektrokoagulační bipolární přístroj" u="1"/>
        <s v="Inkubátory - část I. Inkubátor kombinovaný" u="1"/>
        <s v="Elektrofyziologie" u="1"/>
        <s v="Manuální transvenózní extrakční systémy srdečních elektrod" u="1"/>
        <s v="Servisní služby – MZ Liberec" u="1"/>
        <s v="Implantabilní kardiovertery - defibrilátory - část VI" u="1"/>
        <s v="Skiaskopicko-skiagrafický RTG přístroj a skiagrafický RTG přístroj - část II." u="1"/>
        <s v="Antimykotika pro systémové použití - část I. Amfotericin B" u="1"/>
        <s v="Jiná imunosupresiva 2017 - část V." u="1"/>
        <s v="Biologické chlopně - část IX." u="1"/>
        <s v="Selektivní imunosupresiva - část IV." u="1"/>
        <s v="Hepariny 2017 - část III. Nadroparin" u="1"/>
        <s v="Intervenční kardiologie" u="1"/>
        <s v="Inhibitory interleukinu 2017 - část II. Anakinra" u="1"/>
        <s v="Selektivní imunosupresiva - část I." u="1"/>
        <s v="Okludery určené ke katetrizačnímu uzávěru ….. Část I. ASD" u="1"/>
        <s v="Monitory životních funkcí - část II. GE" u="1"/>
        <s v="Hluboky břišní rozvěrač" u="1"/>
        <s v="Náhradní díly a spotřební materiál pro potrubní poštu" u="1"/>
        <s v="Selektivní imunosupresiva - část III." u="1"/>
        <s v="Ergometrická jednotka s polohovatelným ergometrem pro zátěžovou echokardiografii" u="1"/>
        <s v="Kardiostimulátory - část VI." u="1"/>
        <s v="Kapilární hemodialyzátory 2017 - část II. High Flux" u="1"/>
        <s v="Inhibitory proteinkináz 2017 II. - část I." u="1"/>
        <s v="Antimykotika pro systémové použití - část III. Echinocandinové antimykotikum pro systémovou aplikaci pro dospělé i dětské pacienty" u="1"/>
        <s v="Inhibitory proteinkináz 2017 II. - část V." u="1"/>
        <s v="Servisní podpora informačních systémů: Mirkobiologie, Patologie, Distribuční portál, Akreditační nadstavba, Specializované ambulantní moduly" u="1"/>
        <s v="Biologické chlopně - část V." u="1"/>
        <s v="Jiná imunostimulancia 2017 - část II.Bacillus-guerin (BCG)" u="1"/>
        <s v="Endoskopické vybavení II. Interní kliniky" u="1"/>
        <s v="Selektivní imunosupresiva - část V." u="1"/>
        <s v="Poskytování servisních služeb u sterilizátorů ve FNOL" u="1"/>
        <s v="Jiná antivirotika pro systémovou aplikaci" u="1"/>
        <s v="Infuzní technika 2017" u="1"/>
        <s v="Diagnostika pro těhotenský screening 2017" u="1"/>
        <s v="Provedení integrované analýzy rizik a analýzy dopadů" u="1"/>
        <s v="RTG přístroje" u="1"/>
        <s v="Standardní a intenzivní nemocniční lůžka" u="1"/>
        <s v="Poskytování servisních služeb u oxymetrů" u="1"/>
        <s v="Inhibitory proteinkináz 2017 II. - část III." u="1"/>
        <s v="Jiná imunosupresiva 2017 - část II." u="1"/>
        <s v="Inhibitory proteinkináz 2017 II. - část VII." u="1"/>
        <s v="Biologické chlopně - část VII." u="1"/>
        <s v="Láhve a dudlíky kojenecké krmící a láhve na kolostrum - část III." u="1"/>
        <s v="Biologické chlopně - část X." u="1"/>
        <s v="Kapilární hemodialyzátory 2017 - část I. Low Flux" u="1"/>
        <s v="Dodávky termotiskáren" u="1"/>
        <s v="Cytostatika k parenterálnímu podání - část II." u="1"/>
        <s v="Inhibitory proteinkináz 2017 II. - část II." u="1"/>
        <s v="IROP - Lůžka, křesla, lehátka, vozíky" u="1"/>
        <s v="Láhve a dudlíky kojenecké krmící a láhve na kolostrum - část II." u="1"/>
        <s v="Stabilizátory pro operace srdce bez mimotělního oběhu - část I. (tvarovatelné)" u="1"/>
        <s v="Inhibitory proteinkináz 2017 II. - část VI." u="1"/>
        <s v="Cytostatika k parenterálnímu podání - část VII." u="1"/>
        <s v="Biologické chlopně - část I." u="1"/>
        <s v="Inhibitory proteinkináz I. 2017 - část II." u="1"/>
        <s v="Analyzátor plynů pro spiroergometrii" u="1"/>
        <s v="Neurostimulační systémy - část" u="1"/>
        <s v="Oprava hygienických zařízení ve 4. NP  budovy S ve FNOL" u="1"/>
        <s v="Cytostatika k parenterálnímu podání - část IV." u="1"/>
        <s v="Diagnostika a spotřební materiál pro vyšetřní presepsinu se zápůjčkou analyzátoru" u="1"/>
        <s v="Jiná imunosupresiva 2017 - část IV." u="1"/>
        <s v="Cytostatika k parenterálnímu podání - část VIII." u="1"/>
        <s v="Inhibitory proteinkináz I. 2017 - část IV." u="1"/>
        <s v="Kalibrace a validace měřidel a zařízení - část II. ConWin" u="1"/>
        <s v="Cytostatika k parenterálnímu podání - část I." u="1"/>
        <s v="Realizeace parkoviště pod Dětskou klinikou FNOL" u="1"/>
        <s v="Stabilizátory pro operace srdce bez mimotělního oběhu - část I. (pevné)" u="1"/>
        <s v="Inhibitory proteinkináz I. 2017 - část I." u="1"/>
        <s v="Sonda ablační Cryoflex - kompatibilní s generátorem Cardioblate 6800" u="1"/>
        <s v="Servisní podpora Identity Managementu CzechIdM" u="1"/>
        <s v="Biologické chlopně - část VI." u="1"/>
        <s v="Oxygenerátory - část II. Oxygenerátory pro pacienty s kombinovanými výkony" u="1"/>
        <s v="Komponenty pro rozšíření telekomunikačních služeb ve FN Olomouc" u="1"/>
        <s v="Operační robot" u="1"/>
        <s v="Biologické chlopně - část III." u="1"/>
        <s v="WLC kontroléry, access pointy a licence" u="1"/>
        <s v="Oxygenerátory - část I. Oxygenerátory pro pacienty s jednoduchými výkony" u="1"/>
        <s v="Poskytování servisních služeb na přístroje firmy Miele" u="1"/>
        <s v="Inkubátory - část II. Inkubátor resuscitační" u="1"/>
        <s v="Micro-ultrazvukový přístroj pro navigaci biopsie prostaty" u="1"/>
        <s v="Jiná imunosupresiva 2017 - část I. " u="1"/>
        <s v="Láhve a dudlíky kojenecké krmící a láhve na kolostrum - část I." u="1"/>
        <s v="Konsolidace systémů pro zpracování obrazových dat" u="1"/>
        <s v="Láhve a dudlíky kojenecké krmící a láhve na kolostrum" u="1"/>
        <s v="Jiná imunostimulancia 2017 - část I.Glatiramer-acetát" u="1"/>
        <s v="Medicinální a technické plyny" u="1"/>
        <s v="Inhibitory proteinkináz I. 2017 - část VI." u="1"/>
        <s v="Stoly operační a zákrokové - část I. Stůl zákrokový" u="1"/>
        <s v="Stabilizátory pro výkony bez mimotělního oběhu" u="1"/>
        <s v="Biologické chlopně - část II." u="1"/>
      </sharedItems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3061" maxValue="129840000"/>
    </cacheField>
    <cacheField name="Druh VZ" numFmtId="0">
      <sharedItems containsBlank="1" count="4">
        <s v="VZMR"/>
        <s v="OŘ"/>
        <s v="ZPŘ"/>
        <m/>
      </sharedItems>
    </cacheField>
    <cacheField name="VZ vypsaná dne" numFmtId="0">
      <sharedItems containsNonDate="0" containsDate="1" containsString="0" containsBlank="1" minDate="2017-06-16T00:00:00" maxDate="2018-12-21T00:00:00"/>
    </cacheField>
    <cacheField name="Lhůta pro podání nabídek" numFmtId="0">
      <sharedItems containsNonDate="0" containsDate="1" containsString="0" containsBlank="1" minDate="2017-06-30T00:00:00" maxDate="2019-01-19T00:00:00"/>
    </cacheField>
    <cacheField name="Dodavatel" numFmtId="0">
      <sharedItems containsBlank="1"/>
    </cacheField>
    <cacheField name="Vítězná cena bez DPH" numFmtId="0">
      <sharedItems containsBlank="1" containsMixedTypes="1" containsNumber="1" minValue="13000" maxValue="129840000"/>
    </cacheField>
    <cacheField name="Vítězná cena s DPH" numFmtId="0">
      <sharedItems containsBlank="1" containsMixedTypes="1" containsNumber="1" minValue="15730" maxValue="149316000"/>
    </cacheField>
    <cacheField name="Smlouva podepsána" numFmtId="0">
      <sharedItems containsNonDate="0" containsDate="1" containsString="0" containsBlank="1" minDate="2017-12-12T00:00:00" maxDate="2018-12-21T00:00:00" count="119">
        <d v="2018-01-15T00:00:00"/>
        <d v="2018-02-12T00:00:00"/>
        <d v="2018-01-04T00:00:00"/>
        <d v="2018-02-13T00:00:00"/>
        <d v="2018-01-08T00:00:00"/>
        <d v="2018-02-02T00:00:00"/>
        <d v="2018-05-18T00:00:00"/>
        <d v="2018-03-21T00:00:00"/>
        <d v="2018-02-27T00:00:00"/>
        <d v="2018-04-16T00:00:00"/>
        <d v="2018-01-10T00:00:00"/>
        <d v="2018-01-30T00:00:00"/>
        <d v="2018-01-09T00:00:00"/>
        <d v="2018-01-16T00:00:00"/>
        <d v="2018-02-15T00:00:00"/>
        <d v="2018-03-07T00:00:00"/>
        <d v="2018-01-17T00:00:00"/>
        <d v="2018-01-02T00:00:00"/>
        <m/>
        <d v="2018-03-15T00:00:00"/>
        <d v="2018-04-09T00:00:00"/>
        <d v="2018-02-23T00:00:00"/>
        <d v="2018-03-22T00:00:00"/>
        <d v="2018-02-01T00:00:00"/>
        <d v="2018-02-16T00:00:00"/>
        <d v="2018-04-13T00:00:00"/>
        <d v="2018-02-28T00:00:00"/>
        <d v="2018-02-26T00:00:00"/>
        <d v="2018-03-02T00:00:00"/>
        <d v="2018-03-20T00:00:00"/>
        <d v="2018-04-11T00:00:00"/>
        <d v="2018-06-28T00:00:00"/>
        <d v="2018-06-21T00:00:00"/>
        <d v="2018-08-03T00:00:00"/>
        <d v="2018-09-12T00:00:00"/>
        <d v="2018-05-31T00:00:00"/>
        <d v="2018-05-21T00:00:00"/>
        <d v="2018-05-16T00:00:00"/>
        <d v="2018-08-07T00:00:00"/>
        <d v="2018-04-05T00:00:00"/>
        <d v="2018-03-29T00:00:00"/>
        <d v="2018-08-01T00:00:00"/>
        <d v="2018-03-26T00:00:00"/>
        <d v="2018-09-17T00:00:00"/>
        <d v="2018-04-24T00:00:00"/>
        <d v="2018-08-20T00:00:00"/>
        <d v="2018-04-18T00:00:00"/>
        <d v="2018-04-10T00:00:00"/>
        <d v="2018-04-30T00:00:00"/>
        <d v="2018-06-29T00:00:00"/>
        <d v="2018-06-15T00:00:00"/>
        <d v="2018-12-20T00:00:00"/>
        <d v="2018-05-07T00:00:00"/>
        <d v="2018-06-26T00:00:00"/>
        <d v="2018-05-23T00:00:00"/>
        <d v="2018-05-14T00:00:00"/>
        <d v="2018-07-09T00:00:00"/>
        <d v="2018-09-14T00:00:00"/>
        <d v="2018-04-25T00:00:00"/>
        <d v="2018-04-19T00:00:00"/>
        <d v="2018-09-21T00:00:00"/>
        <d v="2018-07-23T00:00:00"/>
        <d v="2018-07-26T00:00:00"/>
        <d v="2018-07-25T00:00:00"/>
        <d v="2018-10-04T00:00:00"/>
        <d v="2018-05-28T00:00:00"/>
        <d v="2018-08-27T00:00:00"/>
        <d v="2018-05-25T00:00:00"/>
        <d v="2018-07-16T00:00:00"/>
        <d v="2018-07-27T00:00:00"/>
        <d v="2018-06-13T00:00:00"/>
        <d v="2018-06-12T00:00:00"/>
        <d v="2018-11-02T00:00:00"/>
        <d v="2018-11-12T00:00:00"/>
        <d v="2018-11-28T00:00:00"/>
        <d v="2018-07-20T00:00:00"/>
        <d v="2018-08-31T00:00:00"/>
        <d v="2018-07-11T00:00:00"/>
        <d v="2018-08-30T00:00:00"/>
        <d v="2018-09-20T00:00:00"/>
        <d v="2018-12-06T00:00:00"/>
        <d v="2018-12-04T00:00:00"/>
        <d v="2018-09-19T00:00:00"/>
        <d v="2018-11-16T00:00:00"/>
        <d v="2018-11-19T00:00:00"/>
        <d v="2018-10-12T00:00:00"/>
        <d v="2018-10-09T00:00:00"/>
        <d v="2018-10-17T00:00:00"/>
        <d v="2018-10-11T00:00:00"/>
        <d v="2018-09-07T00:00:00"/>
        <d v="2018-08-22T00:00:00"/>
        <d v="2018-09-06T00:00:00"/>
        <d v="2018-11-13T00:00:00"/>
        <d v="2018-10-25T00:00:00"/>
        <d v="2018-09-05T00:00:00"/>
        <d v="2018-11-20T00:00:00"/>
        <d v="2018-09-10T00:00:00"/>
        <d v="2018-10-29T00:00:00"/>
        <d v="2018-12-18T00:00:00"/>
        <d v="2018-10-01T00:00:00"/>
        <d v="2018-10-05T00:00:00"/>
        <d v="2018-11-29T00:00:00"/>
        <d v="2018-11-15T00:00:00"/>
        <d v="2018-10-15T00:00:00"/>
        <d v="2018-12-07T00:00:00"/>
        <d v="2018-11-09T00:00:00"/>
        <d v="2018-11-27T00:00:00"/>
        <d v="2018-10-18T00:00:00"/>
        <d v="2018-11-26T00:00:00"/>
        <d v="2018-12-03T00:00:00"/>
        <d v="2018-12-10T00:00:00"/>
        <d v="2018-11-22T00:00:00"/>
        <d v="2018-11-23T00:00:00"/>
        <d v="2018-12-11T00:00:00"/>
        <d v="2018-11-30T00:00:00"/>
        <d v="2018-12-17T00:00:00"/>
        <d v="2018-12-19T00:00:00"/>
        <d v="2017-12-28T00:00:00" u="1"/>
        <d v="2017-12-12T00:00:00" u="1"/>
      </sharedItems>
    </cacheField>
    <cacheField name="Konec smlouvy" numFmtId="0">
      <sharedItems containsDate="1" containsBlank="1" containsMixedTypes="1" minDate="2018-06-30T00:00:00" maxDate="2022-09-12T00:00:00"/>
    </cacheField>
    <cacheField name="Smlouva , Písemná zpráva zadavatele              Profil zadavatele" numFmtId="0">
      <sharedItems containsDate="1" containsBlank="1" containsMixedTypes="1" minDate="2018-01-04T00:00:00" maxDate="2019-03-23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9907406" createdVersion="3" refreshedVersion="6" minRefreshableVersion="3" recordCount="634" xr:uid="{00000000-000A-0000-FFFF-FFFF03000000}">
  <cacheSource type="worksheet">
    <worksheetSource ref="A6:P640" sheet="VZ 2017"/>
  </cacheSource>
  <cacheFields count="16">
    <cacheField name="Interní evidenční číslo" numFmtId="0">
      <sharedItems containsBlank="1"/>
    </cacheField>
    <cacheField name="Zadáv. prac." numFmtId="0">
      <sharedItems containsBlank="1" count="30">
        <s v="ZT"/>
        <s v="INF"/>
        <s v="ZM "/>
        <s v="INV"/>
        <s v="LÉK"/>
        <s v="PRAV"/>
        <s v="KVAL"/>
        <s v="PRÁD"/>
        <s v="DOPR"/>
        <s v="OSB "/>
        <s v="SERV"/>
        <s v="ELZAR"/>
        <s v="OEC"/>
        <s v="ENERG"/>
        <s v="PROVOZ"/>
        <s v="KOMSTYL"/>
        <s v="IROP"/>
        <s v="IT"/>
        <s v="OPRAV"/>
        <s v="BOZP"/>
        <s v="ZT "/>
        <s v="EKOL"/>
        <s v="ISPROFIN"/>
        <s v="VŠEOB"/>
        <s v="PERS"/>
        <s v="METR"/>
        <s v="OBN"/>
        <s v="ZM"/>
        <m/>
        <s v="TISK" u="1"/>
      </sharedItems>
    </cacheField>
    <cacheField name="Osoba pověřená pro zadávací řízení" numFmtId="0">
      <sharedItems containsBlank="1"/>
    </cacheField>
    <cacheField name="Předmět plnění - název zakázky" numFmtId="0">
      <sharedItems containsBlank="1" count="532">
        <s v="Ventilátor vysokofrekvenční pro Dětskou kliniku"/>
        <s v="Garantovaný archiv a související SW pro ukládání ele zdr. dokumentace"/>
        <s v="Monitory vitálních funkcí s centrálou pro KCHK"/>
        <s v="Hadičky spojovací pro infuzní terapii 2016"/>
        <s v="FN Olomouc - novostavba 2. IK a geriatrie"/>
        <s v="FN Olomouc - obměna Lithotryptoru pro URL"/>
        <s v="Antibakt. léčiva pro systémovou aplikaci III 2016 - část I. Ofloxacin"/>
        <s v="Antibakt. léčiva pro systémovou aplikaci III 2016 - část II. Ciprofloxacin"/>
        <s v="Antibakt. léčiva pro systémovou aplikaci III 2016 - část III. Pefloxacin"/>
        <s v="Antibakt. léčiva pro systémovou aplikaci III 2016 - část IV. Levofloxacin"/>
        <s v="Antibakt. léčiva pro systémovou aplikaci III 2016 - část V. Moxifloxacin"/>
        <s v="Antibakt. léčiva pro systémovou aplikaci III 2016 - část VI. Vankomycin"/>
        <s v="Antibakt. léčiva pro systémovou aplikaci III 2016 - část VII. Teikoplanin"/>
        <s v="Antibakt. léčiva pro systémovou aplikaci III 2016 - část VIII. Kolistin"/>
        <s v="Antibakt. léčiva pro systémovou aplikaci III 2016 - část IX. Metronidazol"/>
        <s v="Antibakt. léčiva pro systémovou aplikaci III 2016 - část X. Linezolid"/>
        <s v="Antibakt. léčiva pro systémovou aplikaci-cefalosporiny 2016 - část I."/>
        <s v="Antibakt. léčiva pro systémovou aplikaci.cefalosporiny 2016 - část II."/>
        <s v="Antibakt. léčiva pro systémovou aplikaci.cefalosporiny 2016 - část III."/>
        <s v="Antibakt. léčiva pro systémovou aplikaci.cefalosporiny 2016 - část IV."/>
        <s v="Antibakt. léčiva pro systémovou aplikaci.cefalosporiny 2016 - část V."/>
        <s v="Antibakt. léčiva pro systémovou aplikaci.cefalosporiny 2016 - část VI."/>
        <s v="Antibakt. léčiva pro systémovou aplikaci.cefalosporiny 2016 - část VII."/>
        <s v="Antibakt. léčiva pro systémovou aplikaci.cefalosporiny 2016 - část VIII."/>
        <s v="Antibakteriální léčiva pro systémovou aplikaci I 2016 - část I."/>
        <s v="Antibakteriální léčiva pro systémovou aplikaci I 2016 - část II."/>
        <s v="Antibakteriální léčiva pro systémovou aplikaci I 2016 - část III."/>
        <s v="Antibakteriální léčiva pro systémovou aplikaci I 2016 - část IV."/>
        <s v="Antibakteriální léčiva pro systémovou aplikaci I 2016 - část V."/>
        <s v="Antibakteriální léčiva pro systémovou aplikaci I 2016 - část VI."/>
        <s v="Antibakteriální léčiva pro systémovou aplikaci I 2016 - část VII."/>
        <s v="Antibakteriální léčiva pro systémovou aplikaci I 2016 - část VIII."/>
        <s v="Antibakteriální léčiva pro systémovou aplikaci I 2016 - část IX."/>
        <s v="Antibakteriální léčiva pro systémovou aplikaci I 2016 - část X."/>
        <s v="Antibakteriální léčiva pro systémovou aplikaci I 2016 - část XI."/>
        <s v="Pojištění pro Fakultní nemocnici Olomouc - část I. Pojištění majetku a odpovědnosti"/>
        <s v="Pojištění pro Fakultní nemocnici Olomouc - část II. Pojištění vozidel"/>
        <s v="Pojištění pro Fakultní nemocnici Olomouc - část III.  Pojištění odpovědnosti"/>
        <s v="Diskové pole a expanze FNOL 2016"/>
        <s v="Jiná antivirotika pro systémovou aplikaci 2017 - část I. Aciklovir"/>
        <s v="Jiná antivirotika pro systémovou aplikaci 2017 - část II. Ganciklovir"/>
        <s v="Jiná antivirotika pro systémovou aplikaci 2017 - část III. Valaciklovir"/>
        <s v="Jiná antivirotika pro systémovou aplikaci 2017 - část IV. Valganciklovir"/>
        <s v="Jiná antivirotika pro systémovou aplikaci 2017 - část V. Oseltamivir"/>
        <s v="Jiná antivirotika pro systémovou aplikaci 2017 - část VI. Inosin pranobex"/>
        <s v="Antimykotika pro systémovou aplikaci II – triazolová 2017 - část I. Flukonazol"/>
        <s v="Antimykotika pro systémovou aplikaci II – triazolová 2017 - část II. Itrakonazol"/>
        <s v="Antimykotika pro systémovou aplikaci II – triazolová 2017 - část III. Vorikonazol"/>
        <s v="Antimykotika pro systémovou aplikaci II – triazolová 2017 - část IV. Posakonazol"/>
        <s v="Antivirotika pro systémovou aplikaci - antihepatitidová 2016 - část I."/>
        <s v="Antivirotika pro systémovou aplikaci - antihepatitidová 2016 - část II."/>
        <s v="Antivirotika pro systémovou aplikaci - antihepatitidová 2016 - část III."/>
        <s v="Antivirotika pro systémovou aplikaci - antihepatitidová 2016 - část IV."/>
        <s v="Antivirotika pro systémovou aplikaci - antihepatitidová 2016 - část V."/>
        <s v="Antivirotika pro systémovou aplikaci - antihepatitidová 2016 - část VI."/>
        <s v="Antivirotika pro systémovou aplikaci - antihepatitidová 2016 - část VII."/>
        <s v="Antivirotika pro systémovou aplikaci - antihepatitidová 2016 - část VIII."/>
        <s v="Antivirotika pro systémovou aplikaci - antihepatitidová 2016 - část IX."/>
        <s v="Antivirotika pro systémovou aplikaci - antihepatitidová 2016 - část X."/>
        <s v="EKG se zapisovačem"/>
        <s v="Figurína - simulátor pacienta"/>
        <s v="Certifikace systému managementu kvality"/>
        <s v="Antibakteriální léčiva pro systémovou aplikaci II 2017 - část I. Sulfamethoxazol"/>
        <s v="Antibakteriální léčiva pro systémovou aplikaci II 2017 - část II. Klarithromycin"/>
        <s v="Antibakteriální léčiva pro systémovou aplikaci II 2017 - část III. Azithromycin"/>
        <s v="Antibakteriální léčiva pro systémovou aplikaci II 2017 - část IV. Klindamycin"/>
        <s v="Antibakteriální léčiva pro systémovou aplikaci II 2017 - část V. Tobramycin"/>
        <s v="Antibakteriální léčiva pro systémovou aplikaci II 2017 - část VI. Gentamicin"/>
        <s v="Antibakteriální léčiva pro systémovou aplikaci II 2017 - část VII. Amikacin"/>
        <s v="Prací prostředky FNOL"/>
        <s v="SÚ - přemístění laboratoří HOK a oprava kožní kliniky a pracovního lékařství"/>
        <s v="Dodávka pneumatik pro vozidla FNOL"/>
        <s v="Rozšíření a zvýšení propustnosti síťové infrastruktury FNOL fáze II."/>
        <s v="Vytvoření smažícího úseku ve varně"/>
        <s v="Provádění komplexních servisních služeb - RTG systémy Philips II."/>
        <s v="Plynový chromatograf s hmotnostním spektrometrem II"/>
        <s v="Přeložka sdělovacího kabelu MO ČR"/>
        <s v="Servisní služby přístrojů Philips"/>
        <s v="Servisní služby přístrojů GE Datex - Ohmeda"/>
        <s v="PD-modernizace jídelny v budově WD"/>
        <s v="Antibakteriální léčiva pro systémovou aplikaci - beta - laktamová 2016 - I."/>
        <s v="Antibakteriální léčiva pro systémovou aplikaci - beta - laktamová 2016 - II."/>
        <s v="Antibakteriální léčiva pro systémovou aplikaci - beta - laktamová 2016 - III."/>
        <s v="Stolní svářečky hadiček krevních vaků pro TO"/>
        <s v="Skříňové chladničky a mrazící boxy pro TO - část I."/>
        <s v="Skříňové chladničky a mrazící boxy pro TO - část II."/>
        <s v="Interferony 2017 - část I. Interferon alfa-2a"/>
        <s v="Interferony 2017 - část II. Interferon beta-1a pro subkutání aplikaci"/>
        <s v="Interferony 2017 - část III. Interferon beta-1a pro intramuskulární aplikaci"/>
        <s v="Interferony 2017 - část IV. Interferon beta-1b"/>
        <s v="Interferony 2017 - část V. Peginterferon"/>
        <s v="Paramagnetické kontrastní látky 2017 - část I."/>
        <s v="Paramagnetické kontrastní látky 2017 - část II."/>
        <s v="Paramagnetické kontrastní látky 2017 - část III"/>
        <s v="Vodorozpustné nízkoosmolární a isoosmolární nefrotropní rtg-kontr. látky 2017 - část I."/>
        <s v="Vodorozpustné nízkoosmolární a isoosmolární nefrotropní rtg-kontr. látky 2017 - část II."/>
        <s v="Vodorozpustné nízkoosmolární a isoosmolární nefrotropní rtg-kontr. látky 2017 část III:"/>
        <s v="Monitor s defibrilátorem"/>
        <s v="Úprava prostor laboratoře pro neimplantační diagnostiku"/>
        <s v="Úprava prostor KNM - radiofarmaceutická laboratoř"/>
        <s v="Videoendoskopický systém II."/>
        <s v="Automatický vjezdový systém"/>
        <s v="Vytvoření smažícího úseku ve varně II."/>
        <s v="Tiskárna na potisk histologických kazet"/>
        <s v="FN Olomouc - úprava prostor KNM (Stíněné skříně)"/>
        <s v="FN Olomouc - úprava prostor KNM (Centrifuga)"/>
        <s v="FN Olomouc - úprava KNM (radiofarmaceutická laboratoř) Dodávka boxů laminárních stíněných a digestoře stíněné"/>
        <s v="FN Olomouc - úprava prostor KNM (radiofarmaceutická laboratoř) - Přístrojové vybavení"/>
        <s v="Komplexní IS dispečinku zdravotní služby"/>
        <s v="Diagnostika pro vyšetření krevního obrazu a výpůjčka hematologické linky"/>
        <s v="Nitrooční čočky"/>
        <s v="Ultrazvukové didagnostické přístroje - I. Interní klinika"/>
        <s v="Ultrazvukové didagnostické přístroje - II. Interní klinika"/>
        <s v="Ultrazvukové didagnostické přístroje - Onkologická klinika"/>
        <s v="Vytvoření smažícího úseku ve varně III."/>
        <s v="Poskytování servisních služeb na spektrometr Maldi Biotyper"/>
        <s v="Poskytování servisních služeb u sterilizátorů FNOL"/>
        <s v="Poskytování servisních služeb u produktů výrobce Linet"/>
        <s v="Poskytování účetního a daňového poradenství"/>
        <s v="PD-rekonstrukce 5NP-1CHIR a JIP a sálů HDS J2-3IK - část I. CHIR"/>
        <s v="PD-rekonstrukce 5NP-1CHIR a JIP a sálů HDS J2-3IK - část II. 3IK"/>
        <s v="Laboratorní rozvody vod"/>
        <s v="Zavedení systému managementu hospodaření s energií"/>
        <s v="Laser pro endobronchiální léčbu"/>
        <s v="Rozmrazovač krevní plazmy"/>
        <s v="Oční bezkontaktní tonometr"/>
        <s v="Redukční ventily kyslíku, regulátory podtlaku,průtokoměry kyslíku a zvlhčovače"/>
        <s v="Úprava prostor v budově WF"/>
        <s v="Rekonstrukce výdejny léků v budově A"/>
        <s v="Smažící pánev a blixer - část I. Smažící pánev"/>
        <s v="Smažící pánev a blixer - část II. Blixer"/>
        <s v="Transportní tabletové vozíky,tablety a nádobí"/>
        <s v="Nákladní vozidlo na CNG"/>
        <s v="Tisk nemocničního časopisu"/>
        <s v="Lůžka - část I. Resuscitační lůžka s váhou a bez váhy"/>
        <s v="Lůžka - část II. Standardní lůžka"/>
        <s v="Jednotka NIP a DIOP v 5.NP budovy D2 - projektová dokumentace"/>
        <s v="Pořízení sanitních vozidel - část I. Sanitní vozidla DNR typu A2"/>
        <s v="Pořízení sanitních vozidel - část II. Sanitní ambulance ZS typu B"/>
        <s v="Úpravy prostor v budově WF II"/>
        <s v="Přístroje na měření vydechovaného oxidu dusnatého"/>
        <s v="PD-rekonstrukce 6NP-1CHIR"/>
        <s v="PD-rekonstrukce velínů JIP a sálů HDS J2-3IK"/>
        <s v="Stomatologické soupravy"/>
        <s v="Imatinib 2017 - část I. Imatinib pro indikaci GIST"/>
        <s v="Imatinib 2017 - část II. Imatinib pro indikaci CML - u dospělých i dětských pacientů"/>
        <s v="Tkáňový procesor"/>
        <s v="Malířské a natěračské práce"/>
        <s v="Podpora chodu provozované sítě, centrální správa IP adresního prostoru"/>
        <s v="Rekonstrukce výdejny léků v budově A II"/>
        <s v="Reagencie pro vyšetření a separaci spermií 2017 - část I."/>
        <s v="Reagencie pro vyšetření a separaci spermií 2017 - část II."/>
        <s v="PD - Přístavba objektu &quot;P&quot; pro ambulance a stacionář HOK"/>
        <s v="Interferony II 2017 - část I. Interferon alfa - 2a"/>
        <s v="Interferony II 2017 - část II. Peginterferon alfa"/>
        <s v="Interferony II 2017 - část III. Peginterferon beta - 1a"/>
        <s v="Nákladní vozidlo na CNG II."/>
        <s v="Oprava lůžkových ramp, stativů a mostů - část I. Daniševský"/>
        <s v="Oprava lůžkových ramp, stativů a mostů - část II. TRUMPF"/>
        <s v="Rozvody medicinálních plynů"/>
        <s v="Oprava hygienických zařízení v budově C - Novorozenecké oddělení"/>
        <s v="Dodání a instalace chlazení - VRV systémy"/>
        <s v="Konsolidace systémů pro zpracování obrazových dat"/>
        <s v="Nitrooční čočky II."/>
        <s v="Stolařské práce ve FNOL 2017"/>
        <s v="Sterilizátory"/>
        <s v="Mobiliář"/>
        <s v="Poskytování servisních služeb u defibrilátorů, EKG, TK holterů a systémů pro komprese hrudníku ve FNOL"/>
        <s v="Poskytování servisních služeb na stomatologické soupravy ve FNOL"/>
        <s v="Poskytování servisních služeb u horkovzdušných sterilizátorů"/>
        <s v="Poskytování servisních služeb u parních sterilizátorů"/>
        <s v="PD - dochlazení budov D2 a I"/>
        <s v="Podlahařské práce ve FNOL"/>
        <s v="Servis a opravy automatizovaných dveří ve FNOL"/>
        <s v="Měřící stanice pro měření aktvity radiofarmak"/>
        <s v="Operační mikroskop "/>
        <s v="Modernizace jídelny v budově WD"/>
        <s v="Automatické systémy pro Ústav mikrobiologie FNOL - část I."/>
        <s v="Automatické systémy pro Ústav mikrobiologie FNOL - část II."/>
        <s v="Rekonstrukce výdejny léků III"/>
        <s v="Oprava hygienických zařízení v budově C - Novorozenecké oddělení II"/>
        <s v="Kontrola EPS s ústřednou ESSER"/>
        <s v="Instalace a výměna chladících jednotek"/>
        <s v="Monitory FNOL 2017 - TENDERMARKET"/>
        <s v="Filtrační prvky 2017"/>
        <s v="Servis a opravy automatizovaných dveří ve FNOL II"/>
        <s v="Servis výtahů FNOL - TENDERMARKET"/>
        <s v="Rekonstrukce komína na centrální kotelně"/>
        <s v="EKG se zapisovačem pro FN Olomouc"/>
        <s v="Dvoudutinové a jednodutinové externí kardiostimulátory"/>
        <s v="Laboratorní centrifugy"/>
        <s v="Úprava hygienických zařízení-odd. 19B v budově C"/>
        <s v="Úpravy Kliniky ÚČOCH v budově R"/>
        <s v="Poskytování služeb technické podpory a servisu"/>
        <s v="Prodloužení a nákup Microsoft licencí v rámci Enterprise Agreement"/>
        <s v="Poskytování servisních služeb na stomatologické soupravy ve FNOL II."/>
        <s v="Dovybavení endoskopické věže Einstein"/>
        <s v="Elektromyografický přístroj"/>
        <s v="Vrtačka pro kostní chirurgii"/>
        <s v="Odběrová křesla"/>
        <s v="Přístroje na měření vydechovaného oxidu dusnatého II."/>
        <s v="Laboratorní chladnice, mrazáky a hlubokomrazící boxy - I. Chladnice"/>
        <s v="Laboratorní chladnice, mrazáky a hlubokomrazící boxy - II. Mrazáky"/>
        <s v="Laboratorní chladnice, mrazáky a hlubokomrazící boxy - III. Mrazící boxy"/>
        <s v="Automatický vjezdový systém II."/>
        <s v="Antianemika 2017 - část I. Epoetin alfa"/>
        <s v="Antianemika 2017 - část II. Darbopoetin alfa"/>
        <s v="Antianemika 2017 - část III. Pegepoetin beta"/>
        <s v="Antianemika 2017 - část IV. Epoetin beta"/>
        <s v="Laser pro endobronchiální léčbu II"/>
        <s v="Rekonstrukce hygienických zařízení na 29A a 29B"/>
        <s v="Servery pro bezpečnostní infrastrukturu"/>
        <s v="Rekonstrukce výtahů FNOL 2017"/>
        <s v="Výměna lůžkových ramp"/>
        <s v="Dávkovací zařízení biocidu"/>
        <s v="Rekonstrukce parního hospodářství"/>
        <s v="Skiaskopicko-skiagrafický RTG přístroj a skiagrafický RTG přístroj - část I."/>
        <s v="Skiaskopicko-skiagrafický RTG přístroj a skiagrafický RTG přístroj - část II."/>
        <s v="Rekonstrukce hygienických zařízení-Neurologická klinika"/>
        <s v="Rekonstrukce hygienických zařízení na 1. Chirurgické klinice - odd. 9"/>
        <s v="Analýza speciálních proteinů 2017"/>
        <s v="Výměna hořáku plynového kotle"/>
        <s v="Přenosné přístroje pro externí defibrilaci"/>
        <s v="Stolní počítače FNOL 2017"/>
        <s v="RTG přístroje"/>
        <s v="Konektor bezjehlový 2017"/>
        <s v="Dvoudutinové a jednodutinové externí kardiostimulátory II - část I. Jednodut."/>
        <s v="Dvoudutinové a jednodutinové externí kardiostimulátory II - část II. Dvoudut."/>
        <s v="Elektrokoagulační bipolární přístroj s argonovou jednotkou"/>
        <s v="PCR termocyklery"/>
        <s v="FN Olomouc - pořízení O-arm pro NCHIR"/>
        <s v="Ultrazvukový chirurgický aspirátor"/>
        <s v="Vrtačka pro kostní chirurgii II"/>
        <s v="Dodávka a instalace chlazení VRV - budova D2"/>
        <s v="PD - zřízení parkoviště OA pod DK a u lékárny FNOL -  část I."/>
        <s v="PD - zřízení parkoviště OA pod DK a u lékárny FNOL - část II."/>
        <s v="Kolposkopy s integrovanou videokamerou"/>
        <s v="Rekonstrukce HDS, úprava velínů, vstupu a imobilní WC na 3IK"/>
        <s v="Operační světla"/>
        <s v="Ultrazvukové diagnostické přístroje II. - část I. RDG"/>
        <s v="Ultrazvukové diagnostické přístroje II. - část II. HOK"/>
        <s v="Informační systém pro vyvolávání a objednávání pacientů"/>
        <s v="Rekonstrukce osvětlení ve spisovém archívu pevnůstka"/>
        <s v="Rukavice vyšetřovací nitrilové 2017"/>
        <s v="Kapilární hemodialyzátory 2017 - část I. Low Flux"/>
        <s v="Kapilární hemodialyzátory 2017 - část II. High Flux"/>
        <s v="Tiskárny FNOL 2017"/>
        <s v="Aktualizace SW a servis HW k Barracuda Networks"/>
        <s v="Podlahářské práce ve FNOL II"/>
        <s v="Operační stoly"/>
        <s v="Pozáruční servis IBM zařízení"/>
        <s v="Oftalmologika 2017 - část I. Verteporfin"/>
        <s v="Oftalmologika 2017 - část II. Ranibizumab"/>
        <s v="Oftalmologika 2017 - část III. Aflibercept"/>
        <s v="Analoga kyseliny listové 2017 - část I. Pemetrexed"/>
        <s v="Analoga kyseliny listové 2017 - část II. Methotrexát I."/>
        <s v="Analoga kyseliny listové 2017 - část III. Methotrexát II."/>
        <s v="PD - celková rekonstrukce trafostanice"/>
        <s v="Jiná cytostatika - monoklonální protilátky - část I."/>
        <s v="Jiná cytostatika - monoklonální protilátky - část II."/>
        <s v="Jiná cytostatika - monoklonální protilátky - část III."/>
        <s v="Jiná cytostatika - monoklonální protilátky - část IV."/>
        <s v="Jiná cytostatika - monoklonální protilátky - část V."/>
        <s v="Jiná cytostatika - monoklonální protilátky - část VI."/>
        <s v="Modernizace modelové laboratoře - fixační pomůcky pro radioterapii"/>
        <s v="Systém pro kontrolu dýchání v průběhu radioterapie"/>
        <s v="Analyzátor složení těla"/>
        <s v="Transportní přístroj pro umělovu plicní ventilaci"/>
        <s v="Monoklonální protilátky 2017 - část I."/>
        <s v="Monoklonální protilátky 2017 - část II."/>
        <s v="Monoklonální protilátky 2017 - část III."/>
        <s v="Monoklonální protilátky 2017 - část IV."/>
        <s v="Kity pro vyšetření biotinidázy 2017"/>
        <s v="Vakuový tkáňový procesor"/>
        <s v="Lůžka II."/>
        <s v="PD-zřízení parkoviště OA pod DK a u lékárny FNOL II - část I."/>
        <s v="PD-zřízení parkoviště OA pod DK a u lékárny FNOL II - část II."/>
        <s v="Ultrazvukový přístroj"/>
        <s v="Nábytek pro Novorozenecké oddělení"/>
        <s v="Plicní ventilátory"/>
        <s v="Elektrokoagulační bipolární přístroj s argonovou jednotkou II"/>
        <s v="Teplovodní přípojka pro ZVIT a ČOV"/>
        <s v="Ultrazvukový přenosný přístroj"/>
        <s v="Výměna hořáku plynového kotle II"/>
        <s v="Zhotovení PD pro výměnu elektrické požární signalizace"/>
        <s v="Endosonografický systém pro diagnostiku a staging nitrohrudních nádorů"/>
        <s v="Pásová myčka tabletů"/>
        <s v="Laboratorní chladnice"/>
        <s v="Oprava MaR - Novorozenecké oddělení JIP a IMP"/>
        <s v="Ergometrická jednotka s polohovatelným ergometrem pro zátěžovou echokardiografii"/>
        <s v="Rekonstrukce kanalizace v objektu D"/>
        <s v="Diagnostika pro vyšetření základního krevního obrazu"/>
        <s v="Inhibitory TNF 2017 - část I. Certolizumab pegol"/>
        <s v="Inhibitory TNF 2017 - část II. Etanercept"/>
        <s v="Inhibitory TNF 2017 - část III. Adalimumab I"/>
        <s v="Inhibitory TNF 2017 - část IV. Adalimumab II"/>
        <s v="Inhibitory TNF 2017 - část V. Infliximab"/>
        <s v="Inhibitory TNF 2017 - část VI. Golimumab"/>
        <s v="Hepariny 2017 - část I. Heparin"/>
        <s v="Hepariny 2017 - část II. Enoxaparin"/>
        <s v="Hepariny 2017 - část III. Nadroparin"/>
        <s v="Hepariny 2017 - část IV. Sulodexid"/>
        <s v="Monitory životních funkcí - část I. Philips"/>
        <s v="Monitory životních funkcí - část II. GE"/>
        <s v="Oprava rozvodů med. plynů a úprava VA stanice - část I. Rozvody med. Plynů"/>
        <s v="Oprava rozvodů med. plynů a úprava VA stanice - část II. VA stanice"/>
        <s v="Servis, opravy a údržba sanitních, dodávkových a osobních vozidel - část I."/>
        <s v="Servis, opravy a údržba sanitních, dodávkových a osobních vozidel - část II."/>
        <s v="Servis, opravy a údržba sanitních, dodávkových a osobních vozidel - část III."/>
        <s v="Hygienické zařízení pro imobilní pacienty budova P - Kožní klinika"/>
        <s v="Výměna vstupních dveří v budově M3 v 1NP"/>
        <s v="Zpracování studie proveditelnosti včetně všech souvisejících příloh"/>
        <s v="Infuzní technika 2017"/>
        <s v="Nábytek - Imunologie"/>
        <s v="Vizualizace systému EnMS"/>
        <s v="Jiná imunostimulancia 2017 - část I.Glatiramer-acetát"/>
        <s v="Jiná imunostimulancia 2017 - část II.Bacillus-guerin (BCG)"/>
        <s v="Jiná imunostimulancia 2017 - část III.Plerixafor"/>
        <s v="Expanze k diskovému poli"/>
        <s v="Antidekubitní pasivní matrace"/>
        <s v="Rekonstrukce hygienických zařízení a výměna dveří za automatizované"/>
        <s v="Oprava hydroizolace střešního pláště na budově L"/>
        <s v="Oprava hydroizolace v hygienických zařízení ubytovny YA"/>
        <s v="Tísňový signalizační systém"/>
        <s v="Analyzátor plynů pro spiroergometrii"/>
        <s v="Diagnostika pro vyšetření krevního obrazu a výpůjčka hematologické linky II."/>
        <s v="Ubytování a služby spojené s realizací vzdělávací akce pro vedoucí zaměstnance FN Olomouc"/>
        <s v="Dodávky dectů 2017"/>
        <s v="Nerezový mobiliář"/>
        <s v="Imunoglobuliny normální lidské 2017 - část I."/>
        <s v="Imunoglobuliny normální lidské 2017 - část II."/>
        <s v="Imunoglobuliny normální lidské 2017 - část III."/>
        <s v="Oprava lineárního urychlovače Elekta Synergy"/>
        <s v="Výroba a montáž nábytkového vybavení pracovišť"/>
        <s v="Kalibrace a validace měřidel a zařízení - část I."/>
        <s v="Kalibrace a validace měřidel a zařízení - část II. ConWin"/>
        <s v="Repase oken na budově Q2 v 1PP a na schodišťové stěně"/>
        <s v="WLC kontroléry, access pointy a licence"/>
        <s v="Studie funkcionality objektu z logistického hlediska"/>
        <s v="Oprava poškozených částí Modelové laboratoře onkologické kliniky"/>
        <s v="Poskytování servisních služeb u sterilizátorů ve FNOL"/>
        <s v="Deska ozařovacího stolu lineárního urychlovače Elekta Synergy"/>
        <s v="Servisní služby pro stomatologické soupravy OMS Italy"/>
        <s v="Jiná léčiva nervového systému 2017 - část I. Dimethyl-fumarát"/>
        <s v="Jiná léčiva nervového systému 2017 - část II. Fampridin"/>
        <s v="Jiná léčiva nervového systému 2017 - část III. Tetrabenazin"/>
        <s v="Jiná léčiva nervového systému 2017 - část IV. Riluzol"/>
        <s v="Cytostatika k perorálnímu podání 2017 - část I. Hydroxykarbamid"/>
        <s v="Cytostatika k perorálnímu podání 2017 - část II. Anagrelid hydrochlorid"/>
        <s v="Cytostatika k perorálnímu podání 2017 - část III. Vismodegib"/>
        <s v="Cytostatika k perorálnímu podání 2017 - část IV. Olaparib"/>
        <s v="Cytostatika k perorálnímu podání 2017 - část V. Idelalisib"/>
        <s v="Inhibitory interleukinu 2017 - část I. Basiliximab"/>
        <s v="Inhibitory interleukinu 2017 - část II. Anakinra"/>
        <s v="Inhibitory interleukinu 2017 - část III. Ustekinumab"/>
        <s v="Inhibitory interleukinu 2017 - část IV. Tocilizumab"/>
        <s v="Inhibitory interleukinu 2017 - část V. Sekukinumab"/>
        <s v="Inhibitory interleukinu 2017 - část VI. Ixekizumab"/>
        <s v="Poskytování servisních služeb u oxymetrů"/>
        <s v="Servisní služby pro přístroje Erbe, Wolf, Heinemann, LISA"/>
        <s v="Oprava hygienických zařízení ve 4. NP  budovy S ve FNOL"/>
        <s v="Dodávky termotiskáren"/>
        <s v="Průtokoměr peroperační"/>
        <s v="Rozšíření zálohovacího SW virtuálního prostředí"/>
        <s v="Rekonstrukce nouzového osvětlení v areálu FN Olomouc"/>
        <s v="Jiná periferně působící myorelaxancia - část I."/>
        <s v="Jiná periferně působící myorelaxancia - část II."/>
        <s v="Jiná periferně působící myorelaxancia - část III."/>
        <s v="Elektrokoagulační bipolární přístroj"/>
        <s v="Rekonstrukce sálů HDS v budově J2"/>
        <s v="Automatický rozplňovač radiofarmak"/>
        <s v="Provedení akreditace systému řízení kvality a bezpečí zdravotních služeb"/>
        <s v="Erytropoetin 2017"/>
        <s v="Inhibitory kalcineurinu 2017 - část I. Cyklosporin"/>
        <s v="Inhibitory kalcineurinu 2017 - část II. Takrolimus monohydrát"/>
        <s v="Imunostimulancia 2017 - část I. Filgrastim"/>
        <s v="Imunostimulancia 2017 - část II. Pegfilgrastim / Lipefilgrastim"/>
        <s v="Inhibitory proteinkináz I. 2017 - část I."/>
        <s v="Inhibitory proteinkináz I. 2017 - část II."/>
        <s v="Inhibitory proteinkináz I. 2017 - část III."/>
        <s v="Inhibitory proteinkináz I. 2017 - část IV."/>
        <s v="Inhibitory proteinkináz I. 2017 - část V."/>
        <s v="Inhibitory proteinkináz I. 2017 - část VI."/>
        <s v="Inhibitory proteinkináz I. 2017 - část VII."/>
        <s v="Inhibitory proteinkináz 2017 II. - část I."/>
        <s v="Inhibitory proteinkináz 2017 II. - část II."/>
        <s v="Inhibitory proteinkináz 2017 II. - část III."/>
        <s v="Inhibitory proteinkináz 2017 II. - část IV."/>
        <s v="Inhibitory proteinkináz 2017 II. - část V."/>
        <s v="Inhibitory proteinkináz 2017 II. - část VI."/>
        <s v="Inhibitory proteinkináz 2017 II. - část VII."/>
        <s v="Dodávky náplní do tiskáren"/>
        <s v="Intubační fibrobronchoskopy"/>
        <s v="Jiná imunosupresiva 2017 - část I. "/>
        <s v="Jiná imunosupresiva 2017 - část II."/>
        <s v="Jiná imunosupresiva 2017 - část III."/>
        <s v="Jiná imunosupresiva 2017 - část IV."/>
        <s v="Jiná imunosupresiva 2017 - část V."/>
        <s v="Systém pro kompletní klinická vestibulární a okulomotorická vyšetření"/>
        <s v="Nouzový zdroj pro 3IK a laboratoře DMP"/>
        <s v="Dodávka handheld datových terminálů"/>
        <s v="Láhve a dudlíky kojenecké krmící a láhve na kolostrum - část I."/>
        <s v="Láhve a dudlíky kojenecké krmící a láhve na kolostrum - část II."/>
        <s v="Láhve a dudlíky kojenecké krmící a láhve na kolostrum - část III."/>
        <s v="Rekonstrukce sálů HDS v budově J2-II"/>
        <s v="Cytostatika k parenterálnímu podání - část I."/>
        <s v="Cytostatika k parenterálnímu podání - část II."/>
        <s v="Cytostatika k parenterálnímu podání - část III."/>
        <s v="Cytostatika k parenterálnímu podání - část IV."/>
        <s v="Cytostatika k parenterálnímu podání - část V."/>
        <s v="Cytostatika k parenterálnímu podání - část VI."/>
        <s v="Cytostatika k parenterálnímu podání - část VII."/>
        <s v="Cytostatika k parenterálnímu podání - část VIII."/>
        <s v="Selektivní imunosupresiva - část I."/>
        <s v="Selektivní imunosupresiva - část II."/>
        <s v="Selektivní imunosupresiva - část III."/>
        <s v="Selektivní imunosupresiva - část IV."/>
        <s v="Selektivní imunosupresiva - část V."/>
        <s v="Jednotka NIP a DIOP v budově D2"/>
        <s v="Přípojka nn pro budovu II.IK a NTMC"/>
        <s v="Elektrokoagulační bipolární přístroj II."/>
        <s v="Rekonstrukce sálů HDS v budově J2-III"/>
        <s v="Pásová myčka tabletů II."/>
        <s v="Hadičky pro infuzní terapii"/>
        <s v="Inhibitory proteinkináz III. - část I. Ruxolitinib"/>
        <s v="Inhibitory proteinkináz III. - část II.Regorafenib"/>
        <s v="Inhibitory proteinkináz III. - část III. Dabrafenib"/>
        <s v="Inhibitory proteinkináz III. - část IV. Ponatinib-hydrochlorid"/>
        <s v="Inhibitory proteinkináz III. - část V. Cabozantinib"/>
        <s v="Inhibitory proteinkináz III. - část VI. Ibrutinib"/>
        <s v="Inhibitory proteinkináz III. - část VII. Nintedanib"/>
        <s v="Inhibitory proteinkináz III. - část VIII. Osimertinib-mesilát"/>
        <s v="Aktivní prvky pro novostavbu 2IK + GER"/>
        <m/>
        <s v="Antimykotika pro systémovou aplikaci II – triazolová 2016 - část I. Flukonazol" u="1"/>
        <s v="Oprava rozvodů med. plynů a úprava VA stanice" u="1"/>
        <s v="Antimykotika pro systémovou aplikaci II – triazolová 2016 - část III. Vorikonazol" u="1"/>
        <s v="Reagencie pro vyšetření a separaci spermií 2017" u="1"/>
        <s v="Odstranění revizních závad rozvodů medicinálních plynů" u="1"/>
        <s v="Analoga kyseliny listové 2017 - část III." u="1"/>
        <s v="Pořízení sanitních vozidel" u="1"/>
        <s v="Antivirotika pro systémuvou aplikaci - antihepatitidová 2016 - část VII." u="1"/>
        <s v="Servis terapeutického rtg, spektrometru, rozplňovače radiofarmak, dozimetrie,detektorového systému" u="1"/>
        <s v="Kardiostimulátory - část I." u="1"/>
        <s v="Antibakteriální léčiva pro systémovou aplikaci II 2016 - část II. Klarithromycin" u="1"/>
        <s v="Kardiostimulátory - část V." u="1"/>
        <s v="Stativy" u="1"/>
        <s v="Oprava lůžkových ramp, stativů a mostů" u="1"/>
        <s v="Antivirotika pro systémuvou aplikaci - antihepatitidová 2016 - část X." u="1"/>
        <s v="Elektroúdržba ve FN Olomouc" u="1"/>
        <s v="Jiná antivirotika pro systémovou aplikaci 2017 - část V. Inosin pranobex" u="1"/>
        <s v="Lokální hemostatika a parenterální přípravky s obsahem železa - část V." u="1"/>
        <s v="Antibakteriální léčiva pro systémovou aplikaci II 2016 - část V. Tobramycin" u="1"/>
        <s v="Dvoudutinové a jednoduché externí kardiostimulátory" u="1"/>
        <s v="PD-rekonstrukce 5NP-1CHIR a JIP a sálů HDS J2-3IK" u="1"/>
        <s v="Antivirotika pro systémuvou aplikaci - antihepatitidová 2016 - část I." u="1"/>
        <s v="Kapilární hemodialyzátory 2017" u="1"/>
        <s v="Implantabilní kardiovertery - defibrilátory - část V." u="1"/>
        <s v="Dvoudutinové a jednodutinové externí kardiostimulátory II" u="1"/>
        <s v="Žehlící linka, pračky a sušičky" u="1"/>
        <s v="Ultrazvukové diagnostické přístroje II." u="1"/>
        <s v="Antibakteriální léčiva pro systémovou aplikaci II 2016 - část IV. Klindamycin" u="1"/>
        <s v="Oftalmologika 2017 - část I." u="1"/>
        <s v="Stolařské práce ve FNOL" u="1"/>
        <s v="Nábytek 16/2017" u="1"/>
        <s v="Služby v oblasti rozvoje, bezpečnosti a procesních vazeb ICT ve FNOL" u="1"/>
        <s v="Anesteziologické přístroje" u="1"/>
        <s v="Lokální hemostatika a parenterální přípravky s obsahem železa - část IV." u="1"/>
        <s v="Analoga kyseliny listové 2017 - čás t I." u="1"/>
        <s v="Kardiostimulátory - část IV." u="1"/>
        <s v="Antivirotika pro systémuvou aplikaci - antihepatitidová 2016 - část VI." u="1"/>
        <s v="Laparoskopická věž 3D - ICG" u="1"/>
        <s v="Posytování servisních služeb na stomatologické soupravy ve FNOL" u="1"/>
        <s v="Kardiostimulátory - část III." u="1"/>
        <s v="Lůžka" u="1"/>
        <s v="Analoga kyseliny listové 2017 - část II." u="1"/>
        <s v="Antianemika 2017 - část I. Epoetin beta" u="1"/>
        <s v="Kardiostimulátory - část VII." u="1"/>
        <s v="Monitory FNOL 2017" u="1"/>
        <s v="Lokální hemostatika a parenterální přípravky s obsahem železa - část VII." u="1"/>
        <s v="Oftalmologika 2017 - část III." u="1"/>
        <s v="Lokální hemostatika a parenterální přípravky s obsahem železa - část I." u="1"/>
        <s v="Antibakteriální léčiva pro systémovou aplikaci II 2016 - část I. Sulfamethoxazol" u="1"/>
        <s v="Automatické systémy pro Ústav mikrobiologie FNOL" u="1"/>
        <s v="Antivirotika pro systémuvou aplikaci - antihepatitidová 2016 - část III." u="1"/>
        <s v="Implantabilní kardiovertery - defibrilátory - část VI" u="1"/>
        <s v="Antivirotika pro systémuvou aplikaci - antihepatitidová 2016 - část VIII." u="1"/>
        <s v="Implantabilní kardiovertery - defibrilátory - část II." u="1"/>
        <s v="Monitory životních funkcí" u="1"/>
        <s v="Antibakteriální léčiva pro systémovou aplikaci II 2016 - část III. Azithromycin" u="1"/>
        <s v="Antibakteriální léčiva pro systémovou aplikaci II 2016 - část VI. Gentamicin" u="1"/>
        <s v="Antivirotika pro systémuvou aplikaci - antihepatitidová 2016 - část IV." u="1"/>
        <s v="Imatinib 2017" u="1"/>
        <s v="Skříňové chladničky a mrazící boxy pro TO" u="1"/>
        <s v="Kardiostimulátory - část II." u="1"/>
        <s v="Oftalmologika 2017 - část II." u="1"/>
        <s v="Vnitřní orientační systém" u="1"/>
        <s v="Cytostatika k perorálnímu podání 2017 - část IV. Idelalisib" u="1"/>
        <s v="Kardiostimulátory - část VI." u="1"/>
        <s v="Lokální hemostatika a parenterální přípravky s obsahem železa - část VI." u="1"/>
        <s v="Skiaskopicko-skiagrafický RTG přístroj a skiagrafický RTG přístroj" u="1"/>
        <s v="Implantabilní kardiovertery - defibrilátory - část IV." u="1"/>
        <s v="Rekonstrukce hygienických zařízení a výměna dveř za automatizované" u="1"/>
        <s v="Laparoskopická věž 2D" u="1"/>
        <s v="Lokální hemostatika a parenterální přípravky s obsahem železa - část III." u="1"/>
        <s v="Antivirotika pro systémuvou aplikaci - antihepatitidová 2016 - část IX." u="1"/>
        <s v="PD - zřízení parkoviště OA pod DK a u lékárny FNOL" u="1"/>
        <s v="Poskytování servisních služeb u parních sterilizátorů MST-V6-VS2" u="1"/>
        <s v="Implantabilní kardiovertery - defibrilátory - část I." u="1"/>
        <s v="Operační světla II." u="1"/>
        <s v="Diagnostika pro těhotenský screening 2017" u="1"/>
        <s v="Laboratorní chladnice, mrazáky a hlubokomrazící boxy" u="1"/>
        <s v="Videoendoskopický systém" u="1"/>
        <s v="Antivirotika pro systémuvou aplikaci - antihepatitidová 2016 - část II." u="1"/>
        <s v="Antibakteriální léčiva pro systémovou aplikaci II 2016 - část VII. Amikacin" u="1"/>
        <s v="Oftalmologika 2017" u="1"/>
        <s v="Rekonstrukce hygienických zařízení a výměna automatizovaných dveří na ORL" u="1"/>
        <s v="Analoga kyseliny listové 2017" u="1"/>
        <s v="FN Olomouc - úoprava KNM (radiofarmaceutická laboratoř) Dodávka boxů laminárních stíněných a digestoře stíněné" u="1"/>
        <s v="Lokální hemostatika a parenterální přípravky s obsahem železa - část II." u="1"/>
        <s v="Likvidace odpadů z FN Olomouc" u="1"/>
        <s v="Antivirotika pro systémuvou aplikaci - antihepatitidová 2016 - část V." u="1"/>
        <s v="Antimykotika pro systémovou aplikaci II – triazolová 2016 - část II. Itrakonazol" u="1"/>
        <s v="Vysokoobrátkové elektrické vrtačky pro NCH" u="1"/>
        <s v="Poskytování servisních služeb u parních a formaldehydových sterilizátorů ve FNOL" u="1"/>
        <s v="Antimykotika pro systémovou aplikaci II – triazolová 2016 - část IV. Posakonazol" u="1"/>
        <s v="Implantabilní kardiovertery - defibrilátory - část III." u="1"/>
        <s v="Láhve a dudlíky kojenecké krmící a láhve na kolostrum" u="1"/>
        <s v="Servis, opravy a údržba sanitních, dodávkových a osobních vozidel" u="1"/>
        <s v="Tiskárna na potisk hsitologických kazet" u="1"/>
        <s v="Jiná antivirotika pro systémovou aplikaci 2017 - část IV. Oseltamivir" u="1"/>
        <s v="Antianemika 2017 - část I. Epoetin" u="1"/>
      </sharedItems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44">
      <sharedItems containsString="0" containsBlank="1" containsNumber="1" minValue="427.86" maxValue="298000000"/>
    </cacheField>
    <cacheField name="Druh VZ" numFmtId="0">
      <sharedItems containsBlank="1" count="5">
        <s v="VZMR"/>
        <s v="OŘ"/>
        <s v="DNS"/>
        <s v="ZPŘ"/>
        <m/>
      </sharedItems>
    </cacheField>
    <cacheField name="VZ vypsaná dne" numFmtId="0">
      <sharedItems containsDate="1" containsBlank="1" containsMixedTypes="1" minDate="2016-03-31T00:00:00" maxDate="2017-12-21T00:00:00"/>
    </cacheField>
    <cacheField name="Lhůta pro podání nabídek" numFmtId="0">
      <sharedItems containsNonDate="0" containsDate="1" containsString="0" containsBlank="1" minDate="2016-04-14T00:00:00" maxDate="2018-02-06T00:00:00"/>
    </cacheField>
    <cacheField name="Dodavatel" numFmtId="0">
      <sharedItems containsBlank="1"/>
    </cacheField>
    <cacheField name="Vítězná cena bez DPH" numFmtId="44">
      <sharedItems containsBlank="1" containsMixedTypes="1" containsNumber="1" minValue="428.28" maxValue="276902126"/>
    </cacheField>
    <cacheField name="Vítězná cena s DPH" numFmtId="44">
      <sharedItems containsString="0" containsBlank="1" containsNumber="1" minValue="471.108" maxValue="335051572"/>
    </cacheField>
    <cacheField name="Smlouva podepsána" numFmtId="0">
      <sharedItems containsNonDate="0" containsDate="1" containsString="0" containsBlank="1" minDate="2016-12-23T00:00:00" maxDate="2018-01-03T00:00:00" count="125">
        <m/>
        <d v="2017-03-31T00:00:00"/>
        <d v="2016-12-23T00:00:00"/>
        <d v="2017-02-13T00:00:00"/>
        <d v="2017-02-08T00:00:00"/>
        <d v="2017-01-27T00:00:00"/>
        <d v="2017-03-15T00:00:00"/>
        <d v="2017-03-23T00:00:00"/>
        <d v="2017-03-16T00:00:00"/>
        <d v="2017-03-30T00:00:00"/>
        <d v="2017-04-10T00:00:00"/>
        <d v="2017-05-24T00:00:00"/>
        <d v="2017-03-14T00:00:00"/>
        <d v="2016-12-31T00:00:00"/>
        <d v="2017-01-11T00:00:00"/>
        <d v="2017-04-18T00:00:00"/>
        <d v="2017-03-03T00:00:00"/>
        <d v="2017-02-09T00:00:00"/>
        <d v="2017-02-17T00:00:00"/>
        <d v="2017-03-01T00:00:00"/>
        <d v="2017-02-06T00:00:00"/>
        <d v="2017-01-13T00:00:00"/>
        <d v="2017-04-19T00:00:00"/>
        <d v="2017-03-07T00:00:00"/>
        <d v="2017-01-30T00:00:00"/>
        <d v="2017-04-24T00:00:00"/>
        <d v="2017-04-20T00:00:00"/>
        <d v="2017-03-20T00:00:00"/>
        <d v="2017-03-27T00:00:00"/>
        <d v="2017-08-22T00:00:00"/>
        <d v="2017-03-02T00:00:00"/>
        <d v="2017-05-18T00:00:00"/>
        <d v="2017-05-09T00:00:00"/>
        <d v="2017-05-19T00:00:00"/>
        <d v="2017-04-04T00:00:00"/>
        <d v="2017-04-05T00:00:00"/>
        <d v="2017-04-26T00:00:00"/>
        <d v="2017-04-21T00:00:00"/>
        <d v="2017-05-12T00:00:00"/>
        <d v="2017-03-28T00:00:00"/>
        <d v="2017-08-07T00:00:00"/>
        <d v="2017-06-15T00:00:00"/>
        <d v="2017-05-03T00:00:00"/>
        <d v="2017-06-09T00:00:00"/>
        <d v="2017-05-17T00:00:00"/>
        <d v="2017-06-30T00:00:00"/>
        <d v="2017-06-12T00:00:00"/>
        <d v="2017-04-27T00:00:00"/>
        <d v="2017-05-30T00:00:00"/>
        <d v="2017-06-20T00:00:00"/>
        <d v="2017-12-18T00:00:00"/>
        <d v="2017-06-27T00:00:00"/>
        <d v="2017-05-05T00:00:00"/>
        <d v="2017-07-12T00:00:00"/>
        <d v="2017-06-05T00:00:00"/>
        <d v="2017-05-22T00:00:00"/>
        <d v="2017-06-08T00:00:00"/>
        <d v="2017-06-29T00:00:00"/>
        <d v="2017-07-07T00:00:00"/>
        <d v="2017-06-28T00:00:00"/>
        <d v="2017-06-14T00:00:00"/>
        <d v="2017-06-01T00:00:00"/>
        <d v="2017-06-26T00:00:00"/>
        <d v="2017-07-17T00:00:00"/>
        <d v="2017-07-26T00:00:00"/>
        <d v="2017-09-08T00:00:00"/>
        <d v="2017-08-16T00:00:00"/>
        <d v="2017-07-19T00:00:00"/>
        <d v="2017-09-14T00:00:00"/>
        <d v="2017-10-03T00:00:00"/>
        <d v="2017-09-07T00:00:00"/>
        <d v="2017-07-03T00:00:00"/>
        <d v="2017-10-04T00:00:00"/>
        <d v="2017-08-17T00:00:00"/>
        <d v="2017-08-01T00:00:00"/>
        <d v="2017-07-18T00:00:00"/>
        <d v="2017-10-12T00:00:00"/>
        <d v="2017-12-01T00:00:00"/>
        <d v="2017-11-08T00:00:00"/>
        <d v="2017-10-18T00:00:00"/>
        <d v="2017-12-11T00:00:00"/>
        <d v="2017-08-09T00:00:00"/>
        <d v="2017-08-30T00:00:00"/>
        <d v="2017-08-14T00:00:00"/>
        <d v="2017-09-11T00:00:00"/>
        <d v="2017-09-18T00:00:00"/>
        <d v="2017-09-27T00:00:00"/>
        <d v="2017-08-31T00:00:00"/>
        <d v="2017-12-07T00:00:00"/>
        <d v="2017-10-24T00:00:00"/>
        <d v="2017-09-25T00:00:00"/>
        <d v="2017-10-31T00:00:00"/>
        <d v="2017-11-07T00:00:00"/>
        <d v="2017-10-11T00:00:00"/>
        <d v="2017-11-16T00:00:00"/>
        <d v="2017-09-26T00:00:00"/>
        <d v="2017-09-20T00:00:00"/>
        <d v="2017-11-03T00:00:00"/>
        <d v="2017-11-20T00:00:00"/>
        <d v="2017-10-09T00:00:00"/>
        <d v="2017-10-17T00:00:00"/>
        <d v="2017-11-01T00:00:00"/>
        <d v="2017-12-22T00:00:00"/>
        <d v="2017-11-15T00:00:00"/>
        <d v="2017-10-23T00:00:00"/>
        <d v="2017-12-06T00:00:00"/>
        <d v="2017-11-06T00:00:00"/>
        <d v="2017-12-19T00:00:00"/>
        <d v="2017-09-29T00:00:00"/>
        <d v="2017-10-10T00:00:00"/>
        <d v="2017-11-28T00:00:00"/>
        <d v="2017-11-10T00:00:00"/>
        <d v="2017-11-14T00:00:00"/>
        <d v="2017-11-29T00:00:00"/>
        <d v="2017-11-02T00:00:00"/>
        <d v="2017-12-28T00:00:00"/>
        <d v="2017-11-23T00:00:00"/>
        <d v="2017-12-08T00:00:00"/>
        <d v="2017-12-13T00:00:00"/>
        <d v="2017-12-21T00:00:00"/>
        <d v="2017-12-12T00:00:00"/>
        <d v="2017-12-29T00:00:00"/>
        <d v="2017-11-30T00:00:00"/>
        <d v="2018-01-02T00:00:00"/>
        <d v="2017-10-16T00:00:00" u="1"/>
      </sharedItems>
    </cacheField>
    <cacheField name="Konec smlouvy" numFmtId="0">
      <sharedItems containsDate="1" containsBlank="1" containsMixedTypes="1" minDate="2018-04-01T00:00:00" maxDate="2021-11-08T00:00:00"/>
    </cacheField>
    <cacheField name="Smlouva , Písemná zpráva zadavatele              Profil zadavatele" numFmtId="0">
      <sharedItems containsDate="1" containsBlank="1" containsMixedTypes="1" minDate="2017-01-03T00:00:00" maxDate="2018-01-24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20254629" createdVersion="3" refreshedVersion="6" minRefreshableVersion="3" recordCount="1255" xr:uid="{00000000-000A-0000-FFFF-FFFF02000000}">
  <cacheSource type="worksheet">
    <worksheetSource ref="A8:AA2021" sheet="VZ-2021"/>
  </cacheSource>
  <cacheFields count="27">
    <cacheField name="Datum předání na OVZ" numFmtId="0">
      <sharedItems containsDate="1" containsBlank="1" containsMixedTypes="1" minDate="2019-10-02T00:00:00" maxDate="2021-12-30T00:00:00"/>
    </cacheField>
    <cacheField name="Interní evidenční číslo" numFmtId="0">
      <sharedItems containsBlank="1"/>
    </cacheField>
    <cacheField name="Zadáv. prac." numFmtId="0">
      <sharedItems containsBlank="1" count="22">
        <s v="LÉK"/>
        <s v="ZM"/>
        <s v="ZT"/>
        <s v="INV"/>
        <s v="ENERG"/>
        <s v="INF"/>
        <s v="SERVIS"/>
        <s v="KIPE"/>
        <s v="OSB"/>
        <s v="EKOLOG"/>
        <s v="VŠEOB"/>
        <s v="REACT"/>
        <s v="KONTR."/>
        <s v="KVAL"/>
        <s v="MARKET"/>
        <s v="OEF"/>
        <s v="SHAPES"/>
        <s v="KRIZE"/>
        <s v="KVALITA"/>
        <s v="DOPR"/>
        <s v="PERS"/>
        <m/>
      </sharedItems>
    </cacheField>
    <cacheField name="Osoba pověřená pro zadávací řízení" numFmtId="0">
      <sharedItems containsBlank="1"/>
    </cacheField>
    <cacheField name="Předmět plnění - název zakázky" numFmtId="0">
      <sharedItems containsBlank="1" count="543">
        <s v="Dodávky reagencií a spotřebního materiálu pro rutinní biochemická a imunochemická stanovení s výpůjčkou analytického systému"/>
        <s v="Systém na odsávání sekretů"/>
        <s v="FN Olomouc - obměna 3 ks lineárních urychlovačů a Thomayerova nemocnice - obměna 2 ks lineárních urychlovačů - Sdružený nákup II."/>
        <s v="Spinální implantáty"/>
        <s v="Enterální výživa 2020  III."/>
        <s v="FN Olomouc - novostavba hlavní budovy B - projektová dokumentace"/>
        <s v="Úprava trafostanice TS3"/>
        <s v="PD- novostavba budovy F"/>
        <s v="PD - novostavba budovy C1"/>
        <s v="Počítačová tomografie"/>
        <s v="Imunoglobuliny pro intravaskulární podání 2020"/>
        <s v="LP s obsahem infliximabu 2020"/>
        <s v="Léčiva s obsahem abemaciklibu 2020 - sdružený nákup"/>
        <s v="Taxany 2020"/>
        <s v="FNOL – Náplně do tiskáren "/>
        <s v="FN Olomouc - PC sestavy"/>
        <s v="Oprava výtahů č. 43, 44 a 55"/>
        <s v="Inhibitory kalcineurinu 2020"/>
        <s v="Poskytování servisních služeb – Sterilizátory FNOL"/>
        <s v="Systém mikromotorů pro orální chirurgii II."/>
        <s v="Výměna lůžkových ramp-budova D1,3.NP,7.NP a 8.NP"/>
        <s v="Stavební úpravy objektu D - únikové cesty"/>
        <s v="FN Olomouc - Neurostimulační systémy"/>
        <s v="Léčiva s obsahem erenumabu  2020  -  sdružený nákup"/>
        <s v="Léčiva s obsahem gemtuzumab ozogamicinu  2020  -  sdružený nákup"/>
        <s v="Odborné konzultace a dozor při implementaci v rámci dodávky integrační platformy"/>
        <s v="Dílčí opravy výtahů"/>
        <s v="Rekonstrukce obvodového pláště mezi budovami  M2 a M3"/>
        <s v="Tiskárna podložních skel"/>
        <s v="Manuální sáňkový mikrotom"/>
        <s v="CPET - Spiroergometrie"/>
        <s v="Inzuliny rychle působící 2020"/>
        <s v="LP z ATC B01AC a A16AB 2020"/>
        <s v="Izolátor nukleových kyselin"/>
        <s v="FN Olomouc - stavební úpravy objektu WD - stravovací provoz"/>
        <s v="Realizace nástavby budovy &quot;A&quot;"/>
        <s v="Budova XA-výměna střešního pláště II"/>
        <s v="Nástroje chirurgické pro kliniky FNOL"/>
        <s v="Dodávka serverů pro bezpečnostní infrastrukturu"/>
        <s v="Kancelářské zařízení pro kopírování, skenování a tisk"/>
        <s v="L01A Alkylační látky 2020"/>
        <s v="Antibakteriální léčiva pro systémovou aplikaci 2020"/>
        <s v="LP ze skupiny inhalačních sympatomimetik 2020"/>
        <s v="Materiál spotřební k pulzním oxymetrům MASIMO"/>
        <s v="Nové dopojení vody do Budovy R "/>
        <s v="Dodání a montáž chladících jednotek v budově A a T"/>
        <s v="Automatický pipetovací systém"/>
        <s v="LP z ATC L02BA 2020"/>
        <s v="Aspirační katétry intrakraniální k aspirační tromboktomii tepen mozkového povodí"/>
        <s v="Operační jednotka včetně 3D zobrazovacího systému a materiál spotřební pro chir.předního a zadního segmentu oka"/>
        <s v="Oprava páteřního rozvodu vody budova J1-J3 "/>
        <s v="Mukolytika 2020"/>
        <s v="LP ze skupiny inhalačních sympatomimetik 2020 II."/>
        <s v="Statické zajištění opěrné stěny na ul. Albertova"/>
        <s v="Jiná antimykotika pro systémovou aplikaci 2020"/>
        <s v="Kardiostimulátory pro pacienty po extrakci pro závažné infekční komplikace výkonu a pro pacienty s vysokým potencionálním rizikem vzniku infekčních komplikací"/>
        <s v="Implatabilní kardiovertery-defibrilátory pro komplexní management pacientů s vysokým rizikem infekčních komplikací"/>
        <s v="FN Olomouc - Intervenční kardiologie II"/>
        <s v="Elektroforéza proteinů OKB 2020 včetně výpůjčky analyzátorů II."/>
        <s v="PD - přístavba budovy X"/>
        <s v="Extrakty alergenů 2020"/>
        <s v="Nukleosidy a nukleotidy 2020"/>
        <s v="Výroba a montáž nábytku pro Radiologii, budova A, H a Stravovací provoz, budova WD"/>
        <s v="Rukavice vyšetřovací nitrilové bez pudru "/>
        <s v="Tonometr oční III."/>
        <s v="Vodorozpustné nízkoosmolární a isoosmolární nefrotropní rtg-kontrastní látky"/>
        <s v="Diagnostika PATOLOGIE 2021"/>
        <s v="Instrumentárium LigaSure"/>
        <s v="Laboratorní váhy"/>
        <s v="Rozšíření tefonního systému DECT"/>
        <s v="Endoskop pro spondylochirurgické operace"/>
        <s v="Výměna páteřního rozvodu vody – budova C"/>
        <s v="Systém hydrocephální drenážní pro NCHIR"/>
        <s v=" Katetr radioablační - svorka bipolární pro KCHIR"/>
        <s v="FN Olomouc - Konektor bezjehlový"/>
        <s v="PD - SÚ 1.PP objektu D1 pro obnovu 2 angiografických kompletů"/>
        <s v="FN Olomouc - Totální endoprotézy kyčelního a kolenního kloubu"/>
        <s v="Senzory k měření hemodynamiky"/>
        <s v="Mimotělní oběh"/>
        <s v="Senzory k měření cerebrální oxymetrie "/>
        <s v="Spotřební materiál pro elektroanatomický 3D mapovací systém - sdružený nákup"/>
        <s v="PD - Stavební úpravy operačních sálů KÚČOCH"/>
        <s v="Manažerský informační systém "/>
        <s v="Výroba a montáž nábytku 2021"/>
        <s v="Materiál spotřební k harmonickému skalpelu"/>
        <s v="Provedení akreditace systému řízení kvality a bezpečí zdravotních služeb"/>
        <s v="Environmentální a energetická certifikace budovy P3"/>
        <s v="Inokulační automat"/>
        <s v="FN Olomouc - Neurostimulační systémy  II."/>
        <s v="Výměna 2ks dveří ve 3.NP v budově A"/>
        <s v="Chemodezinfektory videobronchoskopů"/>
        <s v="FN Olomouc - novostavba hlavní budovy B a vnitřní dostavba nízkoprahového urgentního příjmu - Projektová dokumentace"/>
        <s v="Kleště ablační pro thoraskopickou ablaci plicních žil"/>
        <s v="Sonda ablační Cryoflex"/>
        <s v="Bateriová vrtačka a vzduchem poháněné jednotky"/>
        <s v="Inhibitory proteinkináz 2021"/>
        <s v="Monitory FNOL 2021"/>
        <s v="Interferony 2021"/>
        <s v="Automatický skenovací systém"/>
        <s v="Realizace nástavby budovy A"/>
        <s v="Výměna vodoměrů a ovládání uzavíracích ventilů na vodovodním řádu"/>
        <s v="Katetry BARRX  pro radiofrekvenční ablaci při léčbě Barretova jícnu"/>
        <s v="Motodlahy"/>
        <s v="Dodání a výměna 2ks bezolejových kompresorových jednotek"/>
        <s v="CPET - Spiroergometrie II"/>
        <s v="Tiskárny FNOL 2021"/>
        <s v="Okludery určené ke katetrizačnímu uzávěru ouška levé síně"/>
        <s v="38. Vodící dráty k vaskulárním neurointervencím IV."/>
        <s v="Okludery určené ke katetrizačnímu uzávěru defektu septa síní a otevřeného (patentního) foramen ovale, včetně instrumentária k provedení výkonu"/>
        <s v="Vysokoúčinný kapalinový chromatograf s hmotnostním spektrometrem (UHPLC-HRMS) "/>
        <s v="FN Olomouc - Elektrofyziologie"/>
        <s v="Monoklonální protilátky 2021"/>
        <s v="Antiandrogeny 2021"/>
        <s v="Léčiva z ATC R03DX  2021"/>
        <s v="Jiná systémová hemostatika 2021"/>
        <s v="Inhibitory TNF Alfa 2021"/>
        <s v="Dezinfekce a mytí rukou"/>
        <s v="Servisní podpora LIMS pro genetickou laboratoř s možností náhrady SW"/>
        <s v="Katétr pro dočasnou stimulaci Pacel a zavaděč pro dočasnou stimulaci FastCath"/>
        <s v="Hadičky spojovací pro infuzní terapii"/>
        <s v="Turnikety"/>
        <s v="Satura menisku - Kotva na meniskus  -  souprava "/>
        <s v="Plánovací systém pro brachyterapii"/>
        <s v="Ultrazvukové přístroje"/>
        <s v="Nestabilita kolene - Šroub interferenční vstřebatelný pro rekonstrukci křížového vazu"/>
        <s v="Vrtací a pilový systém pro orální chirurgii"/>
        <s v="Pozáruční servis aktivních prvků "/>
        <s v="Automatický skenovací systém II."/>
        <s v=" Vysokofrekvenční ventilátor pro novorozence a malé děti"/>
        <s v="Rotátorová manžeta - Kotvička nevstřebatelná a vstřebatelná"/>
        <s v="Oprava plotu na ulici Hněvotínská "/>
        <s v="Větrání tkáňové banky"/>
        <s v="Sety infuzní k mobilní parenterální pumpě Mini Rythmic PN+"/>
        <s v="Léčiva k terapii nemocí kostí 2021"/>
        <s v="Antineovaskularizační látky 2021"/>
        <s v="Žlučové kyseliny a deriváty 2021"/>
        <s v="Sety pro bezpečné podávání cytostatik k infuzním pumpám"/>
        <s v="Mikroskopy"/>
        <s v="Vysokoprůtoková ohřívačka infúzních roztoků"/>
        <s v="Parkoviště v areálu FN Olomouc"/>
        <s v="SÚ onkologické kliniky"/>
        <s v="Kotvička vstřebatelná pro stabilizaci  ramene"/>
        <s v="Kapsle enteroskopická zobrazovací k systému enteroskopickému výr. GIVEN IMAGING Ltd."/>
        <s v="Výměna 2ks dveří ve 3.NP budovy A II"/>
        <s v="Katetrizační systém ke katetrizační korekci mitrální regurgitace- Systém MitraClip kit"/>
        <s v="Tisk nemocničího magazínu"/>
        <s v="Terapeutická radiofarmaka 2021"/>
        <s v="Poskytování služeb pro provoz svolávacího systému"/>
        <s v="Stříkačky injekční dvojdílné"/>
        <s v="Krevní vaky a automat pro zpracování plné krve"/>
        <s v="Protéza cévní gelweave valsalva"/>
        <s v="Rigidní dlaha pro stabilizaci dolní krční páteře"/>
        <s v="Cholangioskopický materiál k Systému SpyGlass DS II."/>
        <s v="Kompresní zařízení pro zastavení krvácení po perkutánních výkonech na radiálních tepnách"/>
        <s v="Vyšetření krevního obrazu u dárců krve a vzorků transfuzních přípravků s výpůjčkou přístrojů"/>
        <s v="Stent biliární Hot Axios samoexpandibilní metalický"/>
        <s v="Kleště bioptické myokardiální jednorázové"/>
        <s v="Spektrometrická aparatura"/>
        <s v="PD - Fotovoltaické elektrárny v areálu FNOL"/>
        <s v="Motodlahy II."/>
        <s v="FN Olomouc - Malířské a natěračské práce"/>
        <s v="17. Flow divertery neurointervenční"/>
        <s v="16. Tekuté embolizační činidlo"/>
        <s v="23. Souprava k zajištění transjugulárního přístupu do žilního systému jaterního před TIPS"/>
        <s v="22. Protekční zařízení při intervencích na karotickém povodí"/>
        <s v="Radiofarmakum fludeoxyglukoza (18F) 2021"/>
        <s v="Interferony II. 2021"/>
        <s v="Imunosupresiva I. 2021"/>
        <s v="Chlazení budovy D1, 1.NP - 3.NP"/>
        <s v="Kanyly intubační endotracheální včetně výpůjčky 2 monitorů"/>
        <s v="Operační mikroskop"/>
        <s v="Poskytování daňového a účetního poradenství "/>
        <s v="9. Modelační balónkové katétry aortální"/>
        <s v="Turnikety II."/>
        <s v="Vyšetřovací světla"/>
        <s v="Shunt intrakoronární flexibilní"/>
        <s v="Systém implantabilní neurostimulační DBS nedobíjitelný pro NCHIR"/>
        <s v="Dodávka tiskáren"/>
        <s v="Látky tvořící cheláty se železem 2021"/>
        <s v="Léčivé přípravky ze skupiny cytostatik 2021"/>
        <s v="Materiál spotřební k harmonickému skalpelu - doplnění sortimentu"/>
        <s v="Samoexpandibilní stenty vaskulární "/>
        <s v="Kašlací asistent"/>
        <s v="Oprava parkoviště P1"/>
        <s v="Klipy a klipovací systém"/>
        <s v="20. Vaskulární plugy periferní"/>
        <s v="Mikroskop pro hodnocení spermiogramu"/>
        <s v="Oscilační pila"/>
        <s v="LP k terapii dermatitidy kromě kortikosteroidů 2021"/>
        <s v="Hormony příštítných tělísek a analoga 2021"/>
        <s v="Enzymy 2021"/>
        <s v="Traktorová sekačka"/>
        <s v="Obaly sterilizační jednorázové"/>
        <s v="Angiografický komplet pro intervenční radiologii"/>
        <s v="Stroj na počítání tablet"/>
        <s v="Výměna podhledů v 1.PP a 2.NP budovy R"/>
        <s v="Taxany 2021"/>
        <s v="LP s obsahem ambrisentanu 2021"/>
        <s v="LP s obsahem Azacitidinu 2021"/>
        <s v="Stenty biliární metalické samoexpadibilní"/>
        <s v="Kleště bioptické myokardiální jednorázové II."/>
        <s v="Přístroj na měření transkutánní teze kyslíku"/>
        <s v="Systém uzavřeného přepravního boxu pro endoskopy"/>
        <s v="Chladící a mrazící technika"/>
        <s v="37. Intrakraniální stenty vaskulární II. (Intervenční radiol.)"/>
        <s v="Drát vodící endoskopický pro ERCP"/>
        <s v="39. Vodící mikrodráty k vaskulárním neurointervencím V."/>
        <s v="Jednotka oftalmologická vyšetřovací"/>
        <s v="40. Systém pro mikrovlnné ablace tkání"/>
        <s v="Modernizace VPN FW a ISE"/>
        <s v="Tlakový holter"/>
        <s v="Mobilní spirometry napájené z baterie"/>
        <s v="Materiál pro ZTI"/>
        <s v="Klinický tympanometr"/>
        <s v="Ochranné štíty k RTG - sklopná stěna"/>
        <s v="Polohovač a Ofuk Blower Mister ke stabilizátoru pro operace srdce"/>
        <s v="Obaly sterilizační jednorázové II."/>
        <s v="PD – novostavba budovy C1 II."/>
        <s v="Spotřební materiál pro elektroanatomický 3D mapovací systém - sdružený nákup II."/>
        <s v="Výroba a montáž nábytku 2/2021 "/>
        <s v="Spy Glass  DS II – spotřební materiál "/>
        <s v="Dotační Program na zvýšení ochrany měkkých cílů v resortu zdravotnictví v roce 2021"/>
        <s v="Skříň na ohřev infuzních roztoků"/>
        <s v="Nástavce k laseru"/>
        <s v="LP s obsahem epoprostenolu 2021"/>
        <s v="Léčivé přípravky s obsahem brodalumabu 2021"/>
        <s v="Infuzní vitamíny 2021 - Sdružený nákup"/>
        <s v="Komplexní náhrada ramenního kloubu s možností konverze"/>
        <s v="Stavební úpravy budovy I – 1NP"/>
        <s v="Barvící automat"/>
        <s v="Sexuologický pletysmograf"/>
        <s v="PD - Stavební úpravy objektu L - Transfuzní oddělení"/>
        <s v="Ochranné štíty k RTG - sklopná stěna II."/>
        <s v="Diagnostika HOK II. 2021"/>
        <s v="Stabilizátory pro operace srdce bez mimotělního oběhu"/>
        <s v="Kardiostimulátor BIV ENITRA 8 HF - T- HIS včetně elektrod a příslušenství"/>
        <s v="Kancelářský papír 2021 "/>
        <s v="Kapilární elektroforéza"/>
        <s v="Kryostat"/>
        <s v="Toaletní papír a papírové ručníky Z-Z 2021"/>
        <s v="40. Systém pro mikrovlnné ablace tkání II."/>
        <s v="Vyhodnocení kvality a bezpečnosti poskytované péče"/>
        <s v="PD - SÚ pro zřízení infekčního oddělení FNOL"/>
        <s v="LP s obsahem treprostinilu 2021"/>
        <s v="Tiskárny podložních skel"/>
        <s v="Odstraňování havárií na vodovodních řadech a přípojkách ve FNOL"/>
        <s v="MEX grant 2021"/>
        <s v="Ultrarychlé multifunkční PCR POCT"/>
        <s v="Neinvazivní měření krevního tlaku a hemodynamiky"/>
        <s v="Přístroj pro neinvazivní vyšetření endoteliální dysfunkce"/>
        <s v="Servis úpraven vod"/>
        <s v="Výměna páteřního rozvodu vody – budova P2 a P1"/>
        <s v="Dermaestetický plazmový generátor"/>
        <s v="Staplery"/>
        <s v="Set pro endoskopický odběr žilního štěpu pro BY PASS - VASOVIEW HEMOPRO 2"/>
        <s v="Sfinkterotom trojlumenný - endoskopický"/>
        <s v="Jehly endosonografické pro FNA /FNB"/>
        <s v="Laminární box"/>
        <s v="Stavební úpravy objektu P - větrání chodby"/>
        <s v="Katetr pro standardní ERCP"/>
        <s v="Kartáček cytologický endoskopický"/>
        <s v="Macerator"/>
        <s v="Záznamové zařízení (MEX grant 2021)"/>
        <s v="Diagnostika HOK II. 2021/2"/>
        <s v="EKG Holter - snímač"/>
        <s v="Ochranná a zdravotnická obuv"/>
        <s v="Anesteziologické přístroje "/>
        <s v="Anesteziologické přístroje"/>
        <s v="PD – novostavba budovy C1 III."/>
        <s v="Angiografické systémy s příslušenstvím a stavebními úpravami"/>
        <s v="Sprchovací lehátko"/>
        <s v="DNA/RNA analyzátor - MEX grant 2021"/>
        <s v="15. Embolizační spirály IV."/>
        <s v="Kancelářský papír 2021 II. "/>
        <s v="Bronchoskop-fibroskop"/>
        <s v="LP s obsahem Tofacitinibu 2021"/>
        <s v="Antivirotika k léčbě infekce HCV 2021"/>
        <s v="Inhibitory protonové pumpy a LP s obsahem rivaroxabanu"/>
        <s v="Čistící prostředky a jiné drogistické zboží 2021"/>
        <s v="3. Pouzdra zaváděcí (Intervenční radiologie)"/>
        <s v="Dodávky dectů 2021"/>
        <s v="ZNJ - odstranění závad z BTK, budova A, M3"/>
        <s v="Monitory FNOL 2021 II"/>
        <s v="Plynový chromatograf"/>
        <s v="LP s obsahem Nivolumabu 2021"/>
        <s v="Svorka s adaptéry pro dětské pacienty"/>
        <s v="Antivirotika k léčbě infekce HCV II. 2021"/>
        <s v="Mixážní sprchový panel"/>
        <s v="Uroflowmetr"/>
        <s v="Termocycler"/>
        <s v="Štěrbinová lampa"/>
        <s v="5. Mikrokatétry (Intervenční Radiologie)"/>
        <s v="Ochranné štíty k RTG - sklopná stěna III"/>
        <s v="Výměna výplní vnějších otvorů – budova E"/>
        <s v="Chemodenzifektor videobronchoskopů II."/>
        <s v="13. Stentgrafty vaskulární"/>
        <s v="Stabilizátory pro operace srdce bez mimotělního oběhu II."/>
        <s v="LP ze skupiny koagulačních faktorů 2021"/>
        <s v="LP s obsahem emicizumabu 2021"/>
        <s v="ANTAGONISTÉ CGRP 2021"/>
        <s v="LP s obsahem kaplacizumabu 2021"/>
        <s v="Diagnostika PATOLOGIE I. 2021"/>
        <s v="LP ze skupiny bioflavanoidů 2021 - sdružený nákup"/>
        <s v="Minerální doplňky s obsahem vápníku a hořčíku 2021 - sdružený nákup"/>
        <s v="Systém pro kontrolu polohy pacienta a biometrické ověření pacienta"/>
        <s v="Cystostom, Sonda Cysto-Gastro Endo Flex  "/>
        <s v="Kancelářský papír III"/>
        <s v="Dodávka termotiskáren"/>
        <s v="Mixážní sprchový panel II"/>
        <s v="Vrtací jednotka"/>
        <s v="Centrifuga"/>
        <s v="Průběžná svářečka sterilizačních obalů s řezačkou"/>
        <s v="Lyofilizátor"/>
        <s v="Kardiostimulátor bezelektrodový Micra AV"/>
        <s v="Elektrokonvulzní přístroj"/>
        <s v="Košík extrakční endoskopický"/>
        <s v="Balónek dilatační biliární pro ERCP"/>
        <s v="Stroj na počítání tablet II"/>
        <s v="Rekonstrukce rozdělovače topné vody ve VS v budově M"/>
        <s v="Provedení stavebních úprav v budově H1, 2.NP a 3.NP"/>
        <s v="Protézy cévní"/>
        <s v="Multifunkční křeslo koženkové"/>
        <s v="Diagnostika GENETIKA 1. 2021"/>
        <s v="Diagnostika GENETIKA 2. 2021"/>
        <s v="Diagnostika GENETIKA 4. 2021"/>
        <s v="Diagnostika HOK III. 2021"/>
        <s v="Diagnostika HOK XI. 2021"/>
        <s v="Diagnostika HOK X. 2021"/>
        <s v="Antihypertenziva k léčbě PAH 2021"/>
        <s v="Jiná cytostatika 2021"/>
        <s v="Triazolové deriváty 2021"/>
        <s v="Inhibitory proteinkináz I. 2021"/>
        <s v="Balónek extrakční trojlumenný"/>
        <s v="Dodávky tiskáren II."/>
        <s v="Antidekubitní matrace"/>
        <s v="Přeložky IS"/>
        <s v="Fluorescenční RNA/DNA analyzátor - MEX grant 2021"/>
        <s v="Nádoby na ostrý odpad"/>
        <s v="Chronická dialýza"/>
        <s v="Ubytování a služby spojené s realizací odborné akce FN Olomouc – konference Veřejné zakázky ve zdravotnictví"/>
        <s v="Systém ohřevu pacienta"/>
        <s v="Dodávka a instalace chladících jednotek"/>
        <s v="Tlakové převodníky"/>
        <s v="PCR POCT s výpůjčkou analyzátoru"/>
        <s v="Výměna výplní vnějších otvorů - budova AYA"/>
        <s v="Toaletní papír a papírové ručníky Z-Z 2021 II"/>
        <s v="Provedení stavebních úprav v budově H1, 2.NP a 3.NP - II"/>
        <s v="Přepínač kolon"/>
        <s v="Vata buničitá"/>
        <s v="Jehly endosonografické pro FNA/FNB II."/>
        <s v="Přístroj na diagnostiku cystické fibrózy"/>
        <s v="Ultrarychlé multifunkční PCR POCT - MEX grant 2021 II."/>
        <s v="Renovace bytových jednotek – Etapa I. – budova AYD"/>
        <s v="Výroba a montáž nábytku 3/2021"/>
        <s v="Elektrický schodolez"/>
        <s v="Oprava hygienických zařízení ve 3.NP a 4.NP budovy C"/>
        <s v="Přestavba nákladního vozidla IVECO"/>
        <s v="Aktivní antidekubitní matrace pro pacienty s vyšší hmotností"/>
        <s v="Monitory vitálních funkcí"/>
        <s v="LP s obsahem bosentanu 2021 - sdružený nákup "/>
        <s v="Endoskopická věž a záznamové zařízení "/>
        <s v="Laserový přístroj a set pro morcelaci a enukleaci prostaty "/>
        <s v="Lůžka a lehátka"/>
        <s v="LP s obsahem Nivolumabu II. 2021"/>
        <s v="LP s obsahem Bevacizumabu 2021"/>
        <s v="5. Mikrokatétry (Intervenční Radiologie) II."/>
        <s v="12. Stenty vaskulární"/>
        <s v="Ubytování a služby spojené s realizací vzdělávací akce pro vedoucí zaměstnance FN Olomouc"/>
        <s v="Služby spojené s realizací odborné akce FN Olomouc - konference Veřejné zakázky ve zdravotnictví"/>
        <s v="Oprava výkonových vypínačů"/>
        <s v="PCR POCT s výpůjčkou analyzátoru II."/>
        <s v="Sanace 2ks lodžíí - budova Q"/>
        <s v="Bronchoskopy"/>
        <s v="Výměna výplní vnějších otvorů - budova E, YA, YC, YD"/>
        <s v="Pediatrický videokolonoskop"/>
        <s v="Endoskop pro operace nádorů v komorovém systému"/>
        <s v="26. Extraktory intravaskulární"/>
        <s v="Endosonografická katétrová sonda s pohonnou jednotkou"/>
        <s v="30. Materiál k perkutánním biopsiím"/>
        <s v="31. Drenážní katétry pro zevní drenáže žlučových cest"/>
        <s v="Oplachovací vodní peristaltická pumpa"/>
        <s v="34. Jícnové stenty"/>
        <s v="Odsávací pumpa"/>
        <s v="Diagnostika Genetika 3. 2021"/>
        <s v="Automatické odpouštění vody"/>
        <s v="Oprava kompresorové stanice - UZQ"/>
        <s v="Rouškovací sety pro Radiologii"/>
        <s v="LP ze skupiny cytostatik a imunumodulačních léčiv 2021"/>
        <s v="Oprava střešních plášťů"/>
        <s v="Oprava hygienických zařízení ve 3.NP a 4.NP budovy C II."/>
        <s v="Komunikační systém sestra-pacient, budova Q1"/>
        <s v="Novorozenecký sreening SMA s výpůjčkou analyzátoru"/>
        <s v="Triazolové deriváty II. 2021"/>
        <s v="PCR POCT s výpůjčkou analyzátoru III."/>
        <s v="Materiál spotřební pro NHF systém AIRVO 2"/>
        <s v="Odstraňování havárií na vodovodních řadech a přípojkách ve FNOL II."/>
        <s v="LP ze skupiny cytostatik II. 2021"/>
        <s v="Dostavba a rekonstrukce budovy X"/>
        <s v="Širokoúhlá fundus kamera"/>
        <s v="Elektrický schodolez II"/>
        <s v="Sanace průsaku vody v kolektoru"/>
        <s v="Diagnostika GENETIKA 4. 2021 II."/>
        <s v="Drát zaváděcí Emerald"/>
        <s v="24. Systémy pro uzavírání tepenných vstupů po perkutánních cévních výkonech"/>
        <s v="4. Diagnostické katétry"/>
        <s v="Trn aspirační Spike"/>
        <s v="Vyhodnocení kvality a bezpečnosti poskytované péče II."/>
        <s v="Synoptofor"/>
        <s v="Specifické proteiny OKB 2021 včetně výpůjčky analyzátoru"/>
        <s v="Antidekubitní pasivní matrace"/>
        <s v="Hysteroskopická pumpa k shaveru"/>
        <s v="Myčky"/>
        <s v="Stavební úpravy operačních sálů KÚČOCH"/>
        <s v="Flexibilní epifaryngolaryngoskop"/>
        <s v="Mikrochirurgický vrtací systém pro středoušní chirurgii"/>
        <s v="Diagnostika studie PREVAL II."/>
        <s v="Diagnostika Buněčná imunita PREVAL II."/>
        <s v="Kolektor - oprava napojení odbočných větví vodovodního řádu"/>
        <s v="Transportní ventilátor"/>
        <s v="EKG navigační systém"/>
        <s v="Provedení stavebních úprav v budově H1, 2.NP a 3.NP - III"/>
        <s v="Jiná antiepileptika 2021"/>
        <s v="Medicinální a technické plyny I. 2021"/>
        <s v="Modulární víceúčelové zdravotnické zařízení"/>
        <s v="Diskové pole pro zálohování"/>
        <s v="Vyhodnocení kvality a bezpečnosti poskytované péče III."/>
        <s v="Parkoviště kol"/>
        <s v="2. Vodící dráty k vaskulárním intervencím"/>
        <s v="Dodání automatické olepovačky hran s předfrézovací jednotkou"/>
        <s v="Jiná antipsychotika 2021 - sdružený nákup"/>
        <s v="LP ze skupiny anticholinergin 2021 - sdružený nákup"/>
        <s v="Balónek extrakční trojlumenný II"/>
        <s v="Materiál spotřební k monitorům Carescape B 850 a ventilátorům Carescape R 860"/>
        <s v="Láhve a dudlíky krmící jednorázové "/>
        <s v="Oprava EKV ve vybraných objektech FNOL"/>
        <s v="Synoptofor II"/>
        <s v="14. STENTGRAFTY AORTÁLNÍ "/>
        <s v="Vyšetření krevního obrazu u dárců krve a vzorků transfuzních přípravků s výpůjčkou přístrojů II."/>
        <s v="Katetr ultrazvukový ViewFlex Xtra"/>
        <s v="Zajištění prací spojených s odstraňováním havárií na vodovodních řadech a vodovodních přípojkách ve FNOL"/>
        <s v="Oprava obvodového pláště budovy L"/>
        <s v="Oprava skladovacích hal"/>
        <s v="Izolátor pro přípravu cytostatik"/>
        <s v="Svářečka"/>
        <s v="Balónexpandibilní stentgrafty vaskulární II./IV."/>
        <s v="Pec polymerační na fotokompozity"/>
        <s v="Materiál spotřební pro NHF systém AIRVO 2 II."/>
        <s v="Chladící deska pro ochlazování parafínových bloků"/>
        <s v="Polohovací a fixační pomůcky"/>
        <s v="6. Dilatační balónkové katétry vaskulární"/>
        <s v="Termocykler a 384-jamkový modul k termocykleru"/>
        <s v="Set  pro transapikální implantaci biologické mitrální chlopně prasečí"/>
        <s v="Náhradní díly pro komunikační systém sestra-pacient"/>
        <s v="Vyšetření karcinomu prostaty s výpůjčkou analyzátoru"/>
        <s v="Vyšetření tumormarkerů s výpůjčkou přístrojů"/>
        <s v="Stříkačky inflační a Y konektory pro PTCA"/>
        <s v="Bezdrátový ultrazvuk"/>
        <s v="Elektrochirurgické přístroje"/>
        <s v="Bezbariérové parkovací stání za budovou L"/>
        <s v="Medicinální a technické plyny II. 2021"/>
        <s v="Aktivní antidekubitní matrace pro pacienty s vyšší hmotností II"/>
        <s v="Péče o zeleň"/>
        <s v="Diagnostické monitory pro RTG"/>
        <s v="Pláště ošetřovatelské jednorázové"/>
        <s v="Renovace bytové jednotky na ubytovně"/>
        <s v="Cívka k magnetickému stimulátoru"/>
        <s v="Mikroskopy II"/>
        <s v="26. Extraktory intravaskulární III"/>
        <s v="Stavební úpravy pro zřízení infekčního oddělení FNOL"/>
        <s v="Výroba a montáž nábytku Dětská klinika 7.NP"/>
        <s v="Akumulátorové vrtací soupravy"/>
        <s v="Katetr a vodič pro rotační aterektomii (rotablaci)"/>
        <s v="Insuliny a analoga dlouze působící 2021 - sdružený nákup"/>
        <s v="LP ze skupiny cytostatik III. 2021"/>
        <s v="Imunosupresiva II. 2021"/>
        <s v="Stavební úpravy kompresorové stanice v budově UZQ"/>
        <s v="Izolátor pro přípravu radiofarmak PET"/>
        <s v="Trokar separační bez břitu"/>
        <s v="Diagnostika Genetika 3. 2021 II."/>
        <s v="KYMRIAH"/>
        <s v="Diagnostika OKB 2022"/>
        <s v="Protézy cévní II."/>
        <s v="Diagnostika pro vyšetření protilátek Studie PREVAL II."/>
        <s v="Inhibitory proteinkináz II. 2021"/>
        <s v=" "/>
        <s v="Detekce viru SARS-COV-2  s výpůjčkou  RT PCR"/>
        <s v="4. Diagnostické katetry II."/>
        <s v="Materiál pro plazmaferézu k přístroji OMNI - OMNI set TPE"/>
        <s v="Filtr antibakteriální a virový Pulmosafe "/>
        <s v="PET / CT"/>
        <s v="Sada kolimátorů"/>
        <s v="LP s obsahem kyseliny obeticholové 2021"/>
        <s v="Dudlíky krmící jednorázové"/>
        <s v="Nástroj laparoskopický ruční Endo Babcock"/>
        <s v="Externí klinický audit"/>
        <s v="Přístroj pro funkční vyšetření plic"/>
        <s v="Vibrační odběrový lipoaspirační systém"/>
        <s v="Cefalosporiny III. Generace 2021"/>
        <s v="LP ze skupiny cytostatik a imunomodulačních léčiv 2021 II."/>
        <s v="Opioidní analgetika (anodyna) 2021"/>
        <s v="Jiná systémová hemostatika 2021 II."/>
        <s v="Stentgraft aortální hrudní"/>
        <s v="Léčivé prostředky s obsahem abirateronu 2021"/>
        <m/>
        <s v="Oprava MaR ČOV" u="1"/>
        <s v="Spy Glass - Sonda pro EHL kompatibilní s Generátorem pro Litotripsii" u="1"/>
        <s v="Servis úpraven vody" u="1"/>
        <s v="LP s obsajhem Nivolumabu II. 2021" u="1"/>
        <s v="Diganotika HOK I. 2021" u="1"/>
        <s v="Vyšetření krevního obrazu u dárců krve a vzorků transfuzních přípravků s výpůjčko přístrojů" u="1"/>
        <s v="Záznamové zařízení" u="1"/>
        <s v="Monitor povrchové kontaminace rukou, nohou, oděvu " u="1"/>
        <s v="LP z ATC L02BA a J05AB14 2020" u="1"/>
        <s v="Hormony příštipných tělísek a analoga 2021" u="1"/>
        <s v="Servis lineárních urychlovačů Elekta Synergy včetně verifikačního systému" u="1"/>
        <s v="Hygienické zabezpečení vody budova P " u="1"/>
        <s v="Anesteziologické přístroje s monitorem vitálních funkcí" u="1"/>
        <s v="Laboratorní váhy II" u="1"/>
        <s v="Endoskopie" u="1"/>
        <s v="Medicinální a technické plyny 2021" u="1"/>
        <s v="FN Olomouc – novostavba hlavní budovy B – Projektová dokumentace II." u="1"/>
        <s v="Tonometr oční" u="1"/>
        <s v="Poskytování účetního a daňového poradenství" u="1"/>
        <s v="PD – demolice objektu B a přeložky IS " u="1"/>
        <s v="Oprava řízení VS budov M, K, D1, WP, C" u="1"/>
        <s v="Vyšetření protilátek proti viru SARS-CoV-2" u="1"/>
        <s v="Oprava MaR budova S,Q,R" u="1"/>
        <s v="Tonometr oční II." u="1"/>
        <s v="Polohovatelná křesla II." u="1"/>
        <s v="Cholangioskopický materiál - SpyGlass" u="1"/>
        <s v="LP ze skupiny cytostatik a imunomodulačních léčiv 2021" u="1"/>
        <s v="Neinvazivní vyšetření endoteliální dysfunkce" u="1"/>
        <s v="HW pro integrační platformu II." u="1"/>
        <s v="Opraa kompresorové stanice - UZQ" u="1"/>
        <s v="Realizace nástavby budovy A II." u="1"/>
        <s v="Fluorescenční RNA/DNA analyzátor" u="1"/>
        <s v="PD-Stavební úpravy operačních sálů KÚČOCH" u="1"/>
        <s v="Vodorozpustné nískoosmolární a isoosmolární nefrotropní rtg-kontrastní látky" u="1"/>
        <s v="Materiál spotřební pro NHF systém AIRVO 2 III." u="1"/>
        <s v="15. Embolizační spirály (intervenční radiologie), část IV." u="1"/>
        <s v="Katétr pro dočasnou stimulaci Pacel + Zavaděč pro dočasnou stimulaci FastCath" u="1"/>
        <s v="3T Magnetická rezonance" u="1"/>
        <s v="Senzory k měření cerebrální symetrie " u="1"/>
      </sharedItems>
    </cacheField>
    <cacheField name="Část" numFmtId="0">
      <sharedItems containsString="0" containsBlank="1" containsNumber="1" containsInteger="1" minValue="1" maxValue="13"/>
    </cacheField>
    <cacheField name="Název části VZ" numFmtId="0">
      <sharedItems containsBlank="1"/>
    </cacheField>
    <cacheField name="ATC kód u léčiv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44">
      <sharedItems containsString="0" containsBlank="1" containsNumber="1" minValue="11880" maxValue="431388000"/>
    </cacheField>
    <cacheField name="Druh VZ" numFmtId="0">
      <sharedItems containsBlank="1" count="6">
        <s v="OŘ"/>
        <s v="ZPŘ"/>
        <s v="VZMR"/>
        <s v="JŘBU"/>
        <m/>
        <s v="JŘBÚ" u="1"/>
      </sharedItems>
    </cacheField>
    <cacheField name="VZ vypsaná dne" numFmtId="0">
      <sharedItems containsNonDate="0" containsDate="1" containsString="0" containsBlank="1" minDate="2020-01-31T00:00:00" maxDate="2021-12-30T00:00:00"/>
    </cacheField>
    <cacheField name="Lhůta pro podání nabídek" numFmtId="0">
      <sharedItems containsNonDate="0" containsDate="1" containsString="0" containsBlank="1" minDate="2020-04-09T00:00:00" maxDate="2022-02-16T00:00:00"/>
    </cacheField>
    <cacheField name="Datum vyhodnocení VZ" numFmtId="0">
      <sharedItems containsDate="1" containsBlank="1" containsMixedTypes="1" minDate="2020-02-12T00:00:00" maxDate="2021-12-30T00:00:00"/>
    </cacheField>
    <cacheField name="Dodavatel / u zrušených stávající dodavatel" numFmtId="0">
      <sharedItems containsBlank="1"/>
    </cacheField>
    <cacheField name="postup po zrušení" numFmtId="0">
      <sharedItems containsBlank="1"/>
    </cacheField>
    <cacheField name="Vítězná cena bez DPH" numFmtId="44">
      <sharedItems containsString="0" containsBlank="1" containsNumber="1" minValue="12350.7" maxValue="415080820"/>
    </cacheField>
    <cacheField name="Vítězná cena s DPH" numFmtId="44">
      <sharedItems containsString="0" containsBlank="1" containsNumber="1" minValue="14944.35" maxValue="502247792.19999999"/>
    </cacheField>
    <cacheField name="Léčiva - Kód SUKL" numFmtId="49">
      <sharedItems containsNonDate="0" containsString="0" containsBlank="1"/>
    </cacheField>
    <cacheField name="Léčiva - Název přípravku" numFmtId="49">
      <sharedItems containsNonDate="0" containsString="0" containsBlank="1"/>
    </cacheField>
    <cacheField name="Léčiva - Výrobce" numFmtId="49">
      <sharedItems containsNonDate="0" containsString="0" containsBlank="1"/>
    </cacheField>
    <cacheField name="Datum předání smlouvy do WF" numFmtId="0">
      <sharedItems containsNonDate="0" containsDate="1" containsString="0" containsBlank="1" minDate="2020-02-15T00:00:00" maxDate="2021-12-30T00:00:00"/>
    </cacheField>
    <cacheField name="Číslo smlouvy z WF" numFmtId="44">
      <sharedItems containsBlank="1"/>
    </cacheField>
    <cacheField name="Smlouva podepsána" numFmtId="0">
      <sharedItems containsNonDate="0" containsDate="1" containsString="0" containsBlank="1" minDate="2020-12-28T00:00:00" maxDate="2022-01-01T00:00:00" count="169">
        <d v="2021-03-09T00:00:00"/>
        <d v="2021-08-09T00:00:00"/>
        <d v="2021-01-26T00:00:00"/>
        <d v="2021-02-04T00:00:00"/>
        <d v="2021-01-21T00:00:00"/>
        <d v="2021-01-29T00:00:00"/>
        <m/>
        <d v="2021-01-12T00:00:00"/>
        <d v="2021-03-12T00:00:00"/>
        <d v="2021-03-25T00:00:00"/>
        <d v="2021-01-08T00:00:00"/>
        <d v="2021-01-13T00:00:00"/>
        <d v="2021-04-08T00:00:00"/>
        <d v="2020-12-28T00:00:00"/>
        <d v="2021-03-03T00:00:00"/>
        <d v="2021-04-01T00:00:00"/>
        <d v="2021-03-31T00:00:00"/>
        <d v="2021-01-18T00:00:00"/>
        <d v="2021-01-14T00:00:00"/>
        <d v="2021-06-10T00:00:00"/>
        <d v="2021-03-23T00:00:00"/>
        <d v="2021-01-04T00:00:00"/>
        <d v="2021-03-19T00:00:00"/>
        <d v="2021-01-28T00:00:00"/>
        <d v="2021-03-18T00:00:00"/>
        <d v="2021-03-10T00:00:00"/>
        <d v="2021-04-06T00:00:00"/>
        <d v="2021-03-11T00:00:00"/>
        <d v="2021-03-02T00:00:00"/>
        <d v="2021-02-26T00:00:00"/>
        <d v="2021-02-03T00:00:00"/>
        <d v="2021-05-20T00:00:00"/>
        <d v="2021-05-11T00:00:00"/>
        <d v="2021-04-14T00:00:00"/>
        <d v="2021-05-12T00:00:00"/>
        <d v="2021-05-04T00:00:00"/>
        <d v="2021-02-02T00:00:00"/>
        <d v="2021-01-20T00:00:00"/>
        <d v="2021-03-15T00:00:00"/>
        <d v="2021-03-29T00:00:00"/>
        <d v="2021-01-22T00:00:00"/>
        <d v="2021-01-07T00:00:00"/>
        <d v="2021-02-24T00:00:00"/>
        <d v="2021-05-26T00:00:00"/>
        <d v="2021-01-19T00:00:00"/>
        <d v="2021-02-22T00:00:00"/>
        <d v="2021-04-28T00:00:00"/>
        <d v="2021-02-01T00:00:00"/>
        <d v="2021-02-25T00:00:00"/>
        <d v="2021-02-18T00:00:00"/>
        <d v="2021-07-16T00:00:00"/>
        <d v="2021-07-13T00:00:00"/>
        <d v="2021-07-19T00:00:00"/>
        <d v="2021-06-02T00:00:00"/>
        <d v="2021-04-12T00:00:00"/>
        <d v="2021-06-15T00:00:00"/>
        <d v="2021-05-10T00:00:00"/>
        <d v="2021-04-23T00:00:00"/>
        <d v="2021-07-14T00:00:00"/>
        <d v="2021-06-25T00:00:00"/>
        <d v="2021-04-26T00:00:00"/>
        <d v="2021-04-21T00:00:00"/>
        <d v="2021-08-23T00:00:00"/>
        <d v="2021-04-29T00:00:00"/>
        <d v="2021-11-05T00:00:00"/>
        <d v="2021-12-07T00:00:00"/>
        <d v="2021-06-11T00:00:00"/>
        <d v="2021-06-03T00:00:00"/>
        <d v="2021-03-17T00:00:00"/>
        <d v="2021-05-13T00:00:00"/>
        <d v="2021-06-14T00:00:00"/>
        <d v="2021-05-19T00:00:00"/>
        <d v="2021-07-22T00:00:00"/>
        <d v="2021-05-05T00:00:00"/>
        <d v="2021-05-28T00:00:00"/>
        <d v="2021-08-25T00:00:00"/>
        <d v="2021-06-23T00:00:00"/>
        <d v="2021-06-16T00:00:00"/>
        <d v="2021-06-21T00:00:00"/>
        <d v="2021-06-28T00:00:00"/>
        <d v="2021-05-27T00:00:00"/>
        <d v="2021-05-17T00:00:00"/>
        <d v="2021-04-27T00:00:00"/>
        <d v="2021-06-22T00:00:00"/>
        <d v="2021-10-06T00:00:00"/>
        <d v="2021-05-31T00:00:00"/>
        <d v="2021-06-08T00:00:00"/>
        <d v="2021-05-25T00:00:00"/>
        <d v="2021-06-04T00:00:00"/>
        <d v="2021-06-07T00:00:00"/>
        <d v="2021-07-08T00:00:00"/>
        <d v="2021-07-27T00:00:00"/>
        <d v="2021-07-15T00:00:00"/>
        <d v="2021-06-30T00:00:00"/>
        <d v="2021-07-23T00:00:00"/>
        <d v="2021-06-01T00:00:00"/>
        <d v="2021-09-24T00:00:00"/>
        <d v="2021-09-16T00:00:00"/>
        <d v="2021-05-14T00:00:00"/>
        <d v="2021-08-12T00:00:00"/>
        <d v="2021-06-17T00:00:00"/>
        <d v="2021-10-13T00:00:00"/>
        <d v="2021-09-01T00:00:00"/>
        <d v="2021-10-11T00:00:00"/>
        <d v="2021-11-18T00:00:00"/>
        <d v="2021-07-21T00:00:00"/>
        <d v="2021-08-06T00:00:00"/>
        <d v="2021-07-28T00:00:00"/>
        <d v="2021-08-30T00:00:00"/>
        <d v="2021-09-23T00:00:00"/>
        <d v="2021-07-02T00:00:00"/>
        <d v="2021-09-13T00:00:00"/>
        <d v="2021-07-20T00:00:00"/>
        <d v="2021-09-15T00:00:00"/>
        <d v="2021-09-07T00:00:00"/>
        <d v="2021-08-19T00:00:00"/>
        <d v="2021-11-30T00:00:00"/>
        <d v="2021-09-03T00:00:00"/>
        <d v="2021-10-04T00:00:00"/>
        <d v="2021-08-11T00:00:00"/>
        <d v="2021-07-30T00:00:00"/>
        <d v="2021-08-16T00:00:00"/>
        <d v="2021-08-10T00:00:00"/>
        <d v="2021-12-13T00:00:00"/>
        <d v="2021-12-15T00:00:00"/>
        <d v="2021-08-31T00:00:00"/>
        <d v="2021-11-08T00:00:00"/>
        <d v="2021-08-17T00:00:00"/>
        <d v="2021-11-16T00:00:00"/>
        <d v="2021-08-26T00:00:00"/>
        <d v="2021-09-10T00:00:00"/>
        <d v="2021-10-05T00:00:00"/>
        <d v="2021-11-10T00:00:00"/>
        <d v="2021-12-23T00:00:00"/>
        <d v="2021-12-22T00:00:00"/>
        <d v="2021-11-15T00:00:00"/>
        <d v="2021-11-09T00:00:00"/>
        <d v="2021-10-20T00:00:00"/>
        <d v="2021-10-15T00:00:00"/>
        <d v="2021-09-21T00:00:00"/>
        <d v="2021-10-25T00:00:00"/>
        <d v="2021-11-19T00:00:00"/>
        <d v="2021-10-14T00:00:00"/>
        <d v="2021-11-29T00:00:00"/>
        <d v="2021-09-29T00:00:00"/>
        <d v="2021-11-01T00:00:00"/>
        <d v="2021-12-09T00:00:00"/>
        <d v="2021-09-20T00:00:00"/>
        <d v="2021-12-21T00:00:00"/>
        <d v="2021-12-06T00:00:00"/>
        <d v="2021-12-14T00:00:00"/>
        <d v="2021-11-04T00:00:00"/>
        <d v="2021-11-25T00:00:00"/>
        <d v="2021-11-22T00:00:00"/>
        <d v="2021-10-01T00:00:00"/>
        <d v="2021-12-27T00:00:00"/>
        <d v="2021-11-12T00:00:00"/>
        <d v="2021-12-03T00:00:00"/>
        <d v="2021-11-11T00:00:00"/>
        <d v="2021-12-08T00:00:00"/>
        <d v="2021-11-02T00:00:00"/>
        <d v="2021-12-02T00:00:00"/>
        <d v="2021-11-26T00:00:00"/>
        <d v="2021-11-23T00:00:00"/>
        <d v="2021-12-20T00:00:00"/>
        <d v="2021-12-17T00:00:00"/>
        <d v="2021-12-16T00:00:00"/>
        <d v="2021-12-31T00:00:00"/>
        <d v="2021-02-06T00:00:00" u="1"/>
      </sharedItems>
    </cacheField>
    <cacheField name="Smlouva , Písemná zpráva zadavatele              Profil zadavatele" numFmtId="0">
      <sharedItems containsNonDate="0" containsDate="1" containsString="0" containsBlank="1" minDate="2020-02-05T00:00:00" maxDate="2022-03-03T00:00:00"/>
    </cacheField>
    <cacheField name="Platnost smlouvy / Datum dodání" numFmtId="0">
      <sharedItems containsDate="1" containsBlank="1" containsMixedTypes="1" minDate="2021-02-12T00:00:00" maxDate="2028-05-20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20486114" createdVersion="3" refreshedVersion="6" minRefreshableVersion="3" recordCount="1255" xr:uid="{00000000-000A-0000-FFFF-FFFF01000000}">
  <cacheSource type="worksheet">
    <worksheetSource ref="A8:Z1657" sheet="VZ-2021"/>
  </cacheSource>
  <cacheFields count="26">
    <cacheField name="Datum předání na OVZ" numFmtId="0">
      <sharedItems containsDate="1" containsBlank="1" containsMixedTypes="1" minDate="2019-10-02T00:00:00" maxDate="2021-12-30T00:00:00"/>
    </cacheField>
    <cacheField name="Interní evidenční číslo" numFmtId="0">
      <sharedItems containsBlank="1"/>
    </cacheField>
    <cacheField name="Zadáv. prac." numFmtId="0">
      <sharedItems containsBlank="1" count="26">
        <s v="LÉK"/>
        <s v="ZM"/>
        <s v="ZT"/>
        <s v="INV"/>
        <s v="ENERG"/>
        <s v="INF"/>
        <s v="SERVIS"/>
        <s v="KIPE"/>
        <s v="OSB"/>
        <s v="EKOLOG"/>
        <s v="VŠEOB"/>
        <s v="REACT"/>
        <s v="KONTR."/>
        <s v="KVAL"/>
        <s v="MARKET"/>
        <s v="OEF"/>
        <s v="SHAPES"/>
        <s v="KRIZE"/>
        <s v="KVALITA"/>
        <s v="DOPR"/>
        <s v="PERS"/>
        <m/>
        <s v="OBN" u="1"/>
        <s v="OEC" u="1"/>
        <s v="IROP26" u="1"/>
        <s v="UHTS" u="1"/>
      </sharedItems>
    </cacheField>
    <cacheField name="Osoba pověřená pro zadávací řízení" numFmtId="0">
      <sharedItems containsBlank="1"/>
    </cacheField>
    <cacheField name="Předmět plnění - název zakázky" numFmtId="0">
      <sharedItems containsBlank="1" count="543">
        <s v="Dodávky reagencií a spotřebního materiálu pro rutinní biochemická a imunochemická stanovení s výpůjčkou analytického systému"/>
        <s v="Systém na odsávání sekretů"/>
        <s v="FN Olomouc - obměna 3 ks lineárních urychlovačů a Thomayerova nemocnice - obměna 2 ks lineárních urychlovačů - Sdružený nákup II."/>
        <s v="Spinální implantáty"/>
        <s v="Enterální výživa 2020  III."/>
        <s v="FN Olomouc - novostavba hlavní budovy B - projektová dokumentace"/>
        <s v="Úprava trafostanice TS3"/>
        <s v="PD- novostavba budovy F"/>
        <s v="PD - novostavba budovy C1"/>
        <s v="Počítačová tomografie"/>
        <s v="Imunoglobuliny pro intravaskulární podání 2020"/>
        <s v="LP s obsahem infliximabu 2020"/>
        <s v="Léčiva s obsahem abemaciklibu 2020 - sdružený nákup"/>
        <s v="Taxany 2020"/>
        <s v="FNOL – Náplně do tiskáren "/>
        <s v="FN Olomouc - PC sestavy"/>
        <s v="Oprava výtahů č. 43, 44 a 55"/>
        <s v="Inhibitory kalcineurinu 2020"/>
        <s v="Poskytování servisních služeb – Sterilizátory FNOL"/>
        <s v="Systém mikromotorů pro orální chirurgii II."/>
        <s v="Výměna lůžkových ramp-budova D1,3.NP,7.NP a 8.NP"/>
        <s v="Stavební úpravy objektu D - únikové cesty"/>
        <s v="FN Olomouc - Neurostimulační systémy"/>
        <s v="Léčiva s obsahem erenumabu  2020  -  sdružený nákup"/>
        <s v="Léčiva s obsahem gemtuzumab ozogamicinu  2020  -  sdružený nákup"/>
        <s v="Odborné konzultace a dozor při implementaci v rámci dodávky integrační platformy"/>
        <s v="Dílčí opravy výtahů"/>
        <s v="Rekonstrukce obvodového pláště mezi budovami  M2 a M3"/>
        <s v="Tiskárna podložních skel"/>
        <s v="Manuální sáňkový mikrotom"/>
        <s v="CPET - Spiroergometrie"/>
        <s v="Inzuliny rychle působící 2020"/>
        <s v="LP z ATC B01AC a A16AB 2020"/>
        <s v="Izolátor nukleových kyselin"/>
        <s v="FN Olomouc - stavební úpravy objektu WD - stravovací provoz"/>
        <s v="Realizace nástavby budovy &quot;A&quot;"/>
        <s v="Budova XA-výměna střešního pláště II"/>
        <s v="Nástroje chirurgické pro kliniky FNOL"/>
        <s v="Dodávka serverů pro bezpečnostní infrastrukturu"/>
        <s v="Kancelářské zařízení pro kopírování, skenování a tisk"/>
        <s v="L01A Alkylační látky 2020"/>
        <s v="Antibakteriální léčiva pro systémovou aplikaci 2020"/>
        <s v="LP ze skupiny inhalačních sympatomimetik 2020"/>
        <s v="Materiál spotřební k pulzním oxymetrům MASIMO"/>
        <s v="Nové dopojení vody do Budovy R "/>
        <s v="Dodání a montáž chladících jednotek v budově A a T"/>
        <s v="Automatický pipetovací systém"/>
        <s v="LP z ATC L02BA 2020"/>
        <s v="Aspirační katétry intrakraniální k aspirační tromboktomii tepen mozkového povodí"/>
        <s v="Operační jednotka včetně 3D zobrazovacího systému a materiál spotřební pro chir.předního a zadního segmentu oka"/>
        <s v="Oprava páteřního rozvodu vody budova J1-J3 "/>
        <s v="Mukolytika 2020"/>
        <s v="LP ze skupiny inhalačních sympatomimetik 2020 II."/>
        <s v="Statické zajištění opěrné stěny na ul. Albertova"/>
        <s v="Jiná antimykotika pro systémovou aplikaci 2020"/>
        <s v="Kardiostimulátory pro pacienty po extrakci pro závažné infekční komplikace výkonu a pro pacienty s vysokým potencionálním rizikem vzniku infekčních komplikací"/>
        <s v="Implatabilní kardiovertery-defibrilátory pro komplexní management pacientů s vysokým rizikem infekčních komplikací"/>
        <s v="FN Olomouc - Intervenční kardiologie II"/>
        <s v="Elektroforéza proteinů OKB 2020 včetně výpůjčky analyzátorů II."/>
        <s v="PD - přístavba budovy X"/>
        <s v="Extrakty alergenů 2020"/>
        <s v="Nukleosidy a nukleotidy 2020"/>
        <s v="Výroba a montáž nábytku pro Radiologii, budova A, H a Stravovací provoz, budova WD"/>
        <s v="Rukavice vyšetřovací nitrilové bez pudru "/>
        <s v="Tonometr oční III."/>
        <s v="Vodorozpustné nízkoosmolární a isoosmolární nefrotropní rtg-kontrastní látky"/>
        <s v="Diagnostika PATOLOGIE 2021"/>
        <s v="Instrumentárium LigaSure"/>
        <s v="Laboratorní váhy"/>
        <s v="Rozšíření tefonního systému DECT"/>
        <s v="Endoskop pro spondylochirurgické operace"/>
        <s v="Výměna páteřního rozvodu vody – budova C"/>
        <s v="Systém hydrocephální drenážní pro NCHIR"/>
        <s v=" Katetr radioablační - svorka bipolární pro KCHIR"/>
        <s v="FN Olomouc - Konektor bezjehlový"/>
        <s v="PD - SÚ 1.PP objektu D1 pro obnovu 2 angiografických kompletů"/>
        <s v="FN Olomouc - Totální endoprotézy kyčelního a kolenního kloubu"/>
        <s v="Senzory k měření hemodynamiky"/>
        <s v="Mimotělní oběh"/>
        <s v="Senzory k měření cerebrální oxymetrie "/>
        <s v="Spotřební materiál pro elektroanatomický 3D mapovací systém - sdružený nákup"/>
        <s v="PD - Stavební úpravy operačních sálů KÚČOCH"/>
        <s v="Manažerský informační systém "/>
        <s v="Výroba a montáž nábytku 2021"/>
        <s v="Materiál spotřební k harmonickému skalpelu"/>
        <s v="Provedení akreditace systému řízení kvality a bezpečí zdravotních služeb"/>
        <s v="Environmentální a energetická certifikace budovy P3"/>
        <s v="Inokulační automat"/>
        <s v="FN Olomouc - Neurostimulační systémy  II."/>
        <s v="Výměna 2ks dveří ve 3.NP v budově A"/>
        <s v="Chemodezinfektory videobronchoskopů"/>
        <s v="FN Olomouc - novostavba hlavní budovy B a vnitřní dostavba nízkoprahového urgentního příjmu - Projektová dokumentace"/>
        <s v="Kleště ablační pro thoraskopickou ablaci plicních žil"/>
        <s v="Sonda ablační Cryoflex"/>
        <s v="Bateriová vrtačka a vzduchem poháněné jednotky"/>
        <s v="Inhibitory proteinkináz 2021"/>
        <s v="Monitory FNOL 2021"/>
        <s v="Interferony 2021"/>
        <s v="Automatický skenovací systém"/>
        <s v="Realizace nástavby budovy A"/>
        <s v="Výměna vodoměrů a ovládání uzavíracích ventilů na vodovodním řádu"/>
        <s v="Katetry BARRX  pro radiofrekvenční ablaci při léčbě Barretova jícnu"/>
        <s v="Motodlahy"/>
        <s v="Dodání a výměna 2ks bezolejových kompresorových jednotek"/>
        <s v="CPET - Spiroergometrie II"/>
        <s v="Tiskárny FNOL 2021"/>
        <s v="Okludery určené ke katetrizačnímu uzávěru ouška levé síně"/>
        <s v="38. Vodící dráty k vaskulárním neurointervencím IV."/>
        <s v="Okludery určené ke katetrizačnímu uzávěru defektu septa síní a otevřeného (patentního) foramen ovale, včetně instrumentária k provedení výkonu"/>
        <s v="Vysokoúčinný kapalinový chromatograf s hmotnostním spektrometrem (UHPLC-HRMS) "/>
        <s v="FN Olomouc - Elektrofyziologie"/>
        <s v="Monoklonální protilátky 2021"/>
        <s v="Antiandrogeny 2021"/>
        <s v="Léčiva z ATC R03DX  2021"/>
        <s v="Jiná systémová hemostatika 2021"/>
        <s v="Inhibitory TNF Alfa 2021"/>
        <s v="Dezinfekce a mytí rukou"/>
        <s v="Servisní podpora LIMS pro genetickou laboratoř s možností náhrady SW"/>
        <s v="Katétr pro dočasnou stimulaci Pacel a zavaděč pro dočasnou stimulaci FastCath"/>
        <s v="Hadičky spojovací pro infuzní terapii"/>
        <s v="Turnikety"/>
        <s v="Satura menisku - Kotva na meniskus  -  souprava "/>
        <s v="Plánovací systém pro brachyterapii"/>
        <s v="Ultrazvukové přístroje"/>
        <s v="Nestabilita kolene - Šroub interferenční vstřebatelný pro rekonstrukci křížového vazu"/>
        <s v="Vrtací a pilový systém pro orální chirurgii"/>
        <s v="Pozáruční servis aktivních prvků "/>
        <s v="Automatický skenovací systém II."/>
        <s v=" Vysokofrekvenční ventilátor pro novorozence a malé děti"/>
        <s v="Rotátorová manžeta - Kotvička nevstřebatelná a vstřebatelná"/>
        <s v="Oprava plotu na ulici Hněvotínská "/>
        <s v="Větrání tkáňové banky"/>
        <s v="Sety infuzní k mobilní parenterální pumpě Mini Rythmic PN+"/>
        <s v="Léčiva k terapii nemocí kostí 2021"/>
        <s v="Antineovaskularizační látky 2021"/>
        <s v="Žlučové kyseliny a deriváty 2021"/>
        <s v="Sety pro bezpečné podávání cytostatik k infuzním pumpám"/>
        <s v="Mikroskopy"/>
        <s v="Vysokoprůtoková ohřívačka infúzních roztoků"/>
        <s v="Parkoviště v areálu FN Olomouc"/>
        <s v="SÚ onkologické kliniky"/>
        <s v="Kotvička vstřebatelná pro stabilizaci  ramene"/>
        <s v="Kapsle enteroskopická zobrazovací k systému enteroskopickému výr. GIVEN IMAGING Ltd."/>
        <s v="Výměna 2ks dveří ve 3.NP budovy A II"/>
        <s v="Katetrizační systém ke katetrizační korekci mitrální regurgitace- Systém MitraClip kit"/>
        <s v="Tisk nemocničího magazínu"/>
        <s v="Terapeutická radiofarmaka 2021"/>
        <s v="Poskytování služeb pro provoz svolávacího systému"/>
        <s v="Stříkačky injekční dvojdílné"/>
        <s v="Krevní vaky a automat pro zpracování plné krve"/>
        <s v="Protéza cévní gelweave valsalva"/>
        <s v="Rigidní dlaha pro stabilizaci dolní krční páteře"/>
        <s v="Cholangioskopický materiál k Systému SpyGlass DS II."/>
        <s v="Kompresní zařízení pro zastavení krvácení po perkutánních výkonech na radiálních tepnách"/>
        <s v="Vyšetření krevního obrazu u dárců krve a vzorků transfuzních přípravků s výpůjčkou přístrojů"/>
        <s v="Stent biliární Hot Axios samoexpandibilní metalický"/>
        <s v="Kleště bioptické myokardiální jednorázové"/>
        <s v="Spektrometrická aparatura"/>
        <s v="PD - Fotovoltaické elektrárny v areálu FNOL"/>
        <s v="Motodlahy II."/>
        <s v="FN Olomouc - Malířské a natěračské práce"/>
        <s v="17. Flow divertery neurointervenční"/>
        <s v="16. Tekuté embolizační činidlo"/>
        <s v="23. Souprava k zajištění transjugulárního přístupu do žilního systému jaterního před TIPS"/>
        <s v="22. Protekční zařízení při intervencích na karotickém povodí"/>
        <s v="Radiofarmakum fludeoxyglukoza (18F) 2021"/>
        <s v="Interferony II. 2021"/>
        <s v="Imunosupresiva I. 2021"/>
        <s v="Chlazení budovy D1, 1.NP - 3.NP"/>
        <s v="Kanyly intubační endotracheální včetně výpůjčky 2 monitorů"/>
        <s v="Operační mikroskop"/>
        <s v="Poskytování daňového a účetního poradenství "/>
        <s v="9. Modelační balónkové katétry aortální"/>
        <s v="Turnikety II."/>
        <s v="Vyšetřovací světla"/>
        <s v="Shunt intrakoronární flexibilní"/>
        <s v="Systém implantabilní neurostimulační DBS nedobíjitelný pro NCHIR"/>
        <s v="Dodávka tiskáren"/>
        <s v="Látky tvořící cheláty se železem 2021"/>
        <s v="Léčivé přípravky ze skupiny cytostatik 2021"/>
        <s v="Materiál spotřební k harmonickému skalpelu - doplnění sortimentu"/>
        <s v="Samoexpandibilní stenty vaskulární "/>
        <s v="Kašlací asistent"/>
        <s v="Oprava parkoviště P1"/>
        <s v="Klipy a klipovací systém"/>
        <s v="20. Vaskulární plugy periferní"/>
        <s v="Mikroskop pro hodnocení spermiogramu"/>
        <s v="Oscilační pila"/>
        <s v="LP k terapii dermatitidy kromě kortikosteroidů 2021"/>
        <s v="Hormony příštítných tělísek a analoga 2021"/>
        <s v="Enzymy 2021"/>
        <s v="Traktorová sekačka"/>
        <s v="Obaly sterilizační jednorázové"/>
        <s v="Angiografický komplet pro intervenční radiologii"/>
        <s v="Stroj na počítání tablet"/>
        <s v="Výměna podhledů v 1.PP a 2.NP budovy R"/>
        <s v="Taxany 2021"/>
        <s v="LP s obsahem ambrisentanu 2021"/>
        <s v="LP s obsahem Azacitidinu 2021"/>
        <s v="Stenty biliární metalické samoexpadibilní"/>
        <s v="Kleště bioptické myokardiální jednorázové II."/>
        <s v="Přístroj na měření transkutánní teze kyslíku"/>
        <s v="Systém uzavřeného přepravního boxu pro endoskopy"/>
        <s v="Chladící a mrazící technika"/>
        <s v="37. Intrakraniální stenty vaskulární II. (Intervenční radiol.)"/>
        <s v="Drát vodící endoskopický pro ERCP"/>
        <s v="39. Vodící mikrodráty k vaskulárním neurointervencím V."/>
        <s v="Jednotka oftalmologická vyšetřovací"/>
        <s v="40. Systém pro mikrovlnné ablace tkání"/>
        <s v="Modernizace VPN FW a ISE"/>
        <s v="Tlakový holter"/>
        <s v="Mobilní spirometry napájené z baterie"/>
        <s v="Materiál pro ZTI"/>
        <s v="Klinický tympanometr"/>
        <s v="Ochranné štíty k RTG - sklopná stěna"/>
        <s v="Polohovač a Ofuk Blower Mister ke stabilizátoru pro operace srdce"/>
        <s v="Obaly sterilizační jednorázové II."/>
        <s v="PD – novostavba budovy C1 II."/>
        <s v="Spotřební materiál pro elektroanatomický 3D mapovací systém - sdružený nákup II."/>
        <s v="Výroba a montáž nábytku 2/2021 "/>
        <s v="Spy Glass  DS II – spotřební materiál "/>
        <s v="Dotační Program na zvýšení ochrany měkkých cílů v resortu zdravotnictví v roce 2021"/>
        <s v="Skříň na ohřev infuzních roztoků"/>
        <s v="Nástavce k laseru"/>
        <s v="LP s obsahem epoprostenolu 2021"/>
        <s v="Léčivé přípravky s obsahem brodalumabu 2021"/>
        <s v="Infuzní vitamíny 2021 - Sdružený nákup"/>
        <s v="Komplexní náhrada ramenního kloubu s možností konverze"/>
        <s v="Stavební úpravy budovy I – 1NP"/>
        <s v="Barvící automat"/>
        <s v="Sexuologický pletysmograf"/>
        <s v="PD - Stavební úpravy objektu L - Transfuzní oddělení"/>
        <s v="Ochranné štíty k RTG - sklopná stěna II."/>
        <s v="Diagnostika HOK II. 2021"/>
        <s v="Stabilizátory pro operace srdce bez mimotělního oběhu"/>
        <s v="Kardiostimulátor BIV ENITRA 8 HF - T- HIS včetně elektrod a příslušenství"/>
        <s v="Kancelářský papír 2021 "/>
        <s v="Kapilární elektroforéza"/>
        <s v="Kryostat"/>
        <s v="Toaletní papír a papírové ručníky Z-Z 2021"/>
        <s v="40. Systém pro mikrovlnné ablace tkání II."/>
        <s v="Vyhodnocení kvality a bezpečnosti poskytované péče"/>
        <s v="PD - SÚ pro zřízení infekčního oddělení FNOL"/>
        <s v="LP s obsahem treprostinilu 2021"/>
        <s v="Tiskárny podložních skel"/>
        <s v="Odstraňování havárií na vodovodních řadech a přípojkách ve FNOL"/>
        <s v="MEX grant 2021"/>
        <s v="Ultrarychlé multifunkční PCR POCT"/>
        <s v="Neinvazivní měření krevního tlaku a hemodynamiky"/>
        <s v="Přístroj pro neinvazivní vyšetření endoteliální dysfunkce"/>
        <s v="Servis úpraven vod"/>
        <s v="Výměna páteřního rozvodu vody – budova P2 a P1"/>
        <s v="Dermaestetický plazmový generátor"/>
        <s v="Staplery"/>
        <s v="Set pro endoskopický odběr žilního štěpu pro BY PASS - VASOVIEW HEMOPRO 2"/>
        <s v="Sfinkterotom trojlumenný - endoskopický"/>
        <s v="Jehly endosonografické pro FNA /FNB"/>
        <s v="Laminární box"/>
        <s v="Stavební úpravy objektu P - větrání chodby"/>
        <s v="Katetr pro standardní ERCP"/>
        <s v="Kartáček cytologický endoskopický"/>
        <s v="Macerator"/>
        <s v="Záznamové zařízení (MEX grant 2021)"/>
        <s v="Diagnostika HOK II. 2021/2"/>
        <s v="EKG Holter - snímač"/>
        <s v="Ochranná a zdravotnická obuv"/>
        <s v="Anesteziologické přístroje "/>
        <s v="Anesteziologické přístroje"/>
        <s v="PD – novostavba budovy C1 III."/>
        <s v="Angiografické systémy s příslušenstvím a stavebními úpravami"/>
        <s v="Sprchovací lehátko"/>
        <s v="DNA/RNA analyzátor - MEX grant 2021"/>
        <s v="15. Embolizační spirály IV."/>
        <s v="Kancelářský papír 2021 II. "/>
        <s v="Bronchoskop-fibroskop"/>
        <s v="LP s obsahem Tofacitinibu 2021"/>
        <s v="Antivirotika k léčbě infekce HCV 2021"/>
        <s v="Inhibitory protonové pumpy a LP s obsahem rivaroxabanu"/>
        <s v="Čistící prostředky a jiné drogistické zboží 2021"/>
        <s v="3. Pouzdra zaváděcí (Intervenční radiologie)"/>
        <s v="Dodávky dectů 2021"/>
        <s v="ZNJ - odstranění závad z BTK, budova A, M3"/>
        <s v="Monitory FNOL 2021 II"/>
        <s v="Plynový chromatograf"/>
        <s v="LP s obsahem Nivolumabu 2021"/>
        <s v="Svorka s adaptéry pro dětské pacienty"/>
        <s v="Antivirotika k léčbě infekce HCV II. 2021"/>
        <s v="Mixážní sprchový panel"/>
        <s v="Uroflowmetr"/>
        <s v="Termocycler"/>
        <s v="Štěrbinová lampa"/>
        <s v="5. Mikrokatétry (Intervenční Radiologie)"/>
        <s v="Ochranné štíty k RTG - sklopná stěna III"/>
        <s v="Výměna výplní vnějších otvorů – budova E"/>
        <s v="Chemodenzifektor videobronchoskopů II."/>
        <s v="13. Stentgrafty vaskulární"/>
        <s v="Stabilizátory pro operace srdce bez mimotělního oběhu II."/>
        <s v="LP ze skupiny koagulačních faktorů 2021"/>
        <s v="LP s obsahem emicizumabu 2021"/>
        <s v="ANTAGONISTÉ CGRP 2021"/>
        <s v="LP s obsahem kaplacizumabu 2021"/>
        <s v="Diagnostika PATOLOGIE I. 2021"/>
        <s v="LP ze skupiny bioflavanoidů 2021 - sdružený nákup"/>
        <s v="Minerální doplňky s obsahem vápníku a hořčíku 2021 - sdružený nákup"/>
        <s v="Systém pro kontrolu polohy pacienta a biometrické ověření pacienta"/>
        <s v="Cystostom, Sonda Cysto-Gastro Endo Flex  "/>
        <s v="Kancelářský papír III"/>
        <s v="Dodávka termotiskáren"/>
        <s v="Mixážní sprchový panel II"/>
        <s v="Vrtací jednotka"/>
        <s v="Centrifuga"/>
        <s v="Průběžná svářečka sterilizačních obalů s řezačkou"/>
        <s v="Lyofilizátor"/>
        <s v="Kardiostimulátor bezelektrodový Micra AV"/>
        <s v="Elektrokonvulzní přístroj"/>
        <s v="Košík extrakční endoskopický"/>
        <s v="Balónek dilatační biliární pro ERCP"/>
        <s v="Stroj na počítání tablet II"/>
        <s v="Rekonstrukce rozdělovače topné vody ve VS v budově M"/>
        <s v="Provedení stavebních úprav v budově H1, 2.NP a 3.NP"/>
        <s v="Protézy cévní"/>
        <s v="Multifunkční křeslo koženkové"/>
        <s v="Diagnostika GENETIKA 1. 2021"/>
        <s v="Diagnostika GENETIKA 2. 2021"/>
        <s v="Diagnostika GENETIKA 4. 2021"/>
        <s v="Diagnostika HOK III. 2021"/>
        <s v="Diagnostika HOK XI. 2021"/>
        <s v="Diagnostika HOK X. 2021"/>
        <s v="Antihypertenziva k léčbě PAH 2021"/>
        <s v="Jiná cytostatika 2021"/>
        <s v="Triazolové deriváty 2021"/>
        <s v="Inhibitory proteinkináz I. 2021"/>
        <s v="Balónek extrakční trojlumenný"/>
        <s v="Dodávky tiskáren II."/>
        <s v="Antidekubitní matrace"/>
        <s v="Přeložky IS"/>
        <s v="Fluorescenční RNA/DNA analyzátor - MEX grant 2021"/>
        <s v="Nádoby na ostrý odpad"/>
        <s v="Chronická dialýza"/>
        <s v="Ubytování a služby spojené s realizací odborné akce FN Olomouc – konference Veřejné zakázky ve zdravotnictví"/>
        <s v="Systém ohřevu pacienta"/>
        <s v="Dodávka a instalace chladících jednotek"/>
        <s v="Tlakové převodníky"/>
        <s v="PCR POCT s výpůjčkou analyzátoru"/>
        <s v="Výměna výplní vnějších otvorů - budova AYA"/>
        <s v="Toaletní papír a papírové ručníky Z-Z 2021 II"/>
        <s v="Provedení stavebních úprav v budově H1, 2.NP a 3.NP - II"/>
        <s v="Přepínač kolon"/>
        <s v="Vata buničitá"/>
        <s v="Jehly endosonografické pro FNA/FNB II."/>
        <s v="Přístroj na diagnostiku cystické fibrózy"/>
        <s v="Ultrarychlé multifunkční PCR POCT - MEX grant 2021 II."/>
        <s v="Renovace bytových jednotek – Etapa I. – budova AYD"/>
        <s v="Výroba a montáž nábytku 3/2021"/>
        <s v="Elektrický schodolez"/>
        <s v="Oprava hygienických zařízení ve 3.NP a 4.NP budovy C"/>
        <s v="Přestavba nákladního vozidla IVECO"/>
        <s v="Aktivní antidekubitní matrace pro pacienty s vyšší hmotností"/>
        <s v="Monitory vitálních funkcí"/>
        <s v="LP s obsahem bosentanu 2021 - sdružený nákup "/>
        <s v="Endoskopická věž a záznamové zařízení "/>
        <s v="Laserový přístroj a set pro morcelaci a enukleaci prostaty "/>
        <s v="Lůžka a lehátka"/>
        <s v="LP s obsahem Nivolumabu II. 2021"/>
        <s v="LP s obsahem Bevacizumabu 2021"/>
        <s v="5. Mikrokatétry (Intervenční Radiologie) II."/>
        <s v="12. Stenty vaskulární"/>
        <s v="Ubytování a služby spojené s realizací vzdělávací akce pro vedoucí zaměstnance FN Olomouc"/>
        <s v="Služby spojené s realizací odborné akce FN Olomouc - konference Veřejné zakázky ve zdravotnictví"/>
        <s v="Oprava výkonových vypínačů"/>
        <s v="PCR POCT s výpůjčkou analyzátoru II."/>
        <s v="Sanace 2ks lodžíí - budova Q"/>
        <s v="Bronchoskopy"/>
        <s v="Výměna výplní vnějších otvorů - budova E, YA, YC, YD"/>
        <s v="Pediatrický videokolonoskop"/>
        <s v="Endoskop pro operace nádorů v komorovém systému"/>
        <s v="26. Extraktory intravaskulární"/>
        <s v="Endosonografická katétrová sonda s pohonnou jednotkou"/>
        <s v="30. Materiál k perkutánním biopsiím"/>
        <s v="31. Drenážní katétry pro zevní drenáže žlučových cest"/>
        <s v="Oplachovací vodní peristaltická pumpa"/>
        <s v="34. Jícnové stenty"/>
        <s v="Odsávací pumpa"/>
        <s v="Diagnostika Genetika 3. 2021"/>
        <s v="Automatické odpouštění vody"/>
        <s v="Oprava kompresorové stanice - UZQ"/>
        <s v="Rouškovací sety pro Radiologii"/>
        <s v="LP ze skupiny cytostatik a imunumodulačních léčiv 2021"/>
        <s v="Oprava střešních plášťů"/>
        <s v="Oprava hygienických zařízení ve 3.NP a 4.NP budovy C II."/>
        <s v="Komunikační systém sestra-pacient, budova Q1"/>
        <s v="Novorozenecký sreening SMA s výpůjčkou analyzátoru"/>
        <s v="Triazolové deriváty II. 2021"/>
        <s v="PCR POCT s výpůjčkou analyzátoru III."/>
        <s v="Materiál spotřební pro NHF systém AIRVO 2"/>
        <s v="Odstraňování havárií na vodovodních řadech a přípojkách ve FNOL II."/>
        <s v="LP ze skupiny cytostatik II. 2021"/>
        <s v="Dostavba a rekonstrukce budovy X"/>
        <s v="Širokoúhlá fundus kamera"/>
        <s v="Elektrický schodolez II"/>
        <s v="Sanace průsaku vody v kolektoru"/>
        <s v="Diagnostika GENETIKA 4. 2021 II."/>
        <s v="Drát zaváděcí Emerald"/>
        <s v="24. Systémy pro uzavírání tepenných vstupů po perkutánních cévních výkonech"/>
        <s v="4. Diagnostické katétry"/>
        <s v="Trn aspirační Spike"/>
        <s v="Vyhodnocení kvality a bezpečnosti poskytované péče II."/>
        <s v="Synoptofor"/>
        <s v="Specifické proteiny OKB 2021 včetně výpůjčky analyzátoru"/>
        <s v="Antidekubitní pasivní matrace"/>
        <s v="Hysteroskopická pumpa k shaveru"/>
        <s v="Myčky"/>
        <s v="Stavební úpravy operačních sálů KÚČOCH"/>
        <s v="Flexibilní epifaryngolaryngoskop"/>
        <s v="Mikrochirurgický vrtací systém pro středoušní chirurgii"/>
        <s v="Diagnostika studie PREVAL II."/>
        <s v="Diagnostika Buněčná imunita PREVAL II."/>
        <s v="Kolektor - oprava napojení odbočných větví vodovodního řádu"/>
        <s v="Transportní ventilátor"/>
        <s v="EKG navigační systém"/>
        <s v="Provedení stavebních úprav v budově H1, 2.NP a 3.NP - III"/>
        <s v="Jiná antiepileptika 2021"/>
        <s v="Medicinální a technické plyny I. 2021"/>
        <s v="Modulární víceúčelové zdravotnické zařízení"/>
        <s v="Diskové pole pro zálohování"/>
        <s v="Vyhodnocení kvality a bezpečnosti poskytované péče III."/>
        <s v="Parkoviště kol"/>
        <s v="2. Vodící dráty k vaskulárním intervencím"/>
        <s v="Dodání automatické olepovačky hran s předfrézovací jednotkou"/>
        <s v="Jiná antipsychotika 2021 - sdružený nákup"/>
        <s v="LP ze skupiny anticholinergin 2021 - sdružený nákup"/>
        <s v="Balónek extrakční trojlumenný II"/>
        <s v="Materiál spotřební k monitorům Carescape B 850 a ventilátorům Carescape R 860"/>
        <s v="Láhve a dudlíky krmící jednorázové "/>
        <s v="Oprava EKV ve vybraných objektech FNOL"/>
        <s v="Synoptofor II"/>
        <s v="14. STENTGRAFTY AORTÁLNÍ "/>
        <s v="Vyšetření krevního obrazu u dárců krve a vzorků transfuzních přípravků s výpůjčkou přístrojů II."/>
        <s v="Katetr ultrazvukový ViewFlex Xtra"/>
        <s v="Zajištění prací spojených s odstraňováním havárií na vodovodních řadech a vodovodních přípojkách ve FNOL"/>
        <s v="Oprava obvodového pláště budovy L"/>
        <s v="Oprava skladovacích hal"/>
        <s v="Izolátor pro přípravu cytostatik"/>
        <s v="Svářečka"/>
        <s v="Balónexpandibilní stentgrafty vaskulární II./IV."/>
        <s v="Pec polymerační na fotokompozity"/>
        <s v="Materiál spotřební pro NHF systém AIRVO 2 II."/>
        <s v="Chladící deska pro ochlazování parafínových bloků"/>
        <s v="Polohovací a fixační pomůcky"/>
        <s v="6. Dilatační balónkové katétry vaskulární"/>
        <s v="Termocykler a 384-jamkový modul k termocykleru"/>
        <s v="Set  pro transapikální implantaci biologické mitrální chlopně prasečí"/>
        <s v="Náhradní díly pro komunikační systém sestra-pacient"/>
        <s v="Vyšetření karcinomu prostaty s výpůjčkou analyzátoru"/>
        <s v="Vyšetření tumormarkerů s výpůjčkou přístrojů"/>
        <s v="Stříkačky inflační a Y konektory pro PTCA"/>
        <s v="Bezdrátový ultrazvuk"/>
        <s v="Elektrochirurgické přístroje"/>
        <s v="Bezbariérové parkovací stání za budovou L"/>
        <s v="Medicinální a technické plyny II. 2021"/>
        <s v="Aktivní antidekubitní matrace pro pacienty s vyšší hmotností II"/>
        <s v="Péče o zeleň"/>
        <s v="Diagnostické monitory pro RTG"/>
        <s v="Pláště ošetřovatelské jednorázové"/>
        <s v="Renovace bytové jednotky na ubytovně"/>
        <s v="Cívka k magnetickému stimulátoru"/>
        <s v="Mikroskopy II"/>
        <s v="26. Extraktory intravaskulární III"/>
        <s v="Stavební úpravy pro zřízení infekčního oddělení FNOL"/>
        <s v="Výroba a montáž nábytku Dětská klinika 7.NP"/>
        <s v="Akumulátorové vrtací soupravy"/>
        <s v="Katetr a vodič pro rotační aterektomii (rotablaci)"/>
        <s v="Insuliny a analoga dlouze působící 2021 - sdružený nákup"/>
        <s v="LP ze skupiny cytostatik III. 2021"/>
        <s v="Imunosupresiva II. 2021"/>
        <s v="Stavební úpravy kompresorové stanice v budově UZQ"/>
        <s v="Izolátor pro přípravu radiofarmak PET"/>
        <s v="Trokar separační bez břitu"/>
        <s v="Diagnostika Genetika 3. 2021 II."/>
        <s v="KYMRIAH"/>
        <s v="Diagnostika OKB 2022"/>
        <s v="Protézy cévní II."/>
        <s v="Diagnostika pro vyšetření protilátek Studie PREVAL II."/>
        <s v="Inhibitory proteinkináz II. 2021"/>
        <s v=" "/>
        <s v="Detekce viru SARS-COV-2  s výpůjčkou  RT PCR"/>
        <s v="4. Diagnostické katetry II."/>
        <s v="Materiál pro plazmaferézu k přístroji OMNI - OMNI set TPE"/>
        <s v="Filtr antibakteriální a virový Pulmosafe "/>
        <s v="PET / CT"/>
        <s v="Sada kolimátorů"/>
        <s v="LP s obsahem kyseliny obeticholové 2021"/>
        <s v="Dudlíky krmící jednorázové"/>
        <s v="Nástroj laparoskopický ruční Endo Babcock"/>
        <s v="Externí klinický audit"/>
        <s v="Přístroj pro funkční vyšetření plic"/>
        <s v="Vibrační odběrový lipoaspirační systém"/>
        <s v="Cefalosporiny III. Generace 2021"/>
        <s v="LP ze skupiny cytostatik a imunomodulačních léčiv 2021 II."/>
        <s v="Opioidní analgetika (anodyna) 2021"/>
        <s v="Jiná systémová hemostatika 2021 II."/>
        <s v="Stentgraft aortální hrudní"/>
        <s v="Léčivé prostředky s obsahem abirateronu 2021"/>
        <m/>
        <s v="Oprava MaR ČOV" u="1"/>
        <s v="Spy Glass - Sonda pro EHL kompatibilní s Generátorem pro Litotripsii" u="1"/>
        <s v="Servis úpraven vody" u="1"/>
        <s v="LP s obsajhem Nivolumabu II. 2021" u="1"/>
        <s v="Diganotika HOK I. 2021" u="1"/>
        <s v="Vyšetření krevního obrazu u dárců krve a vzorků transfuzních přípravků s výpůjčko přístrojů" u="1"/>
        <s v="Záznamové zařízení" u="1"/>
        <s v="Monitor povrchové kontaminace rukou, nohou, oděvu " u="1"/>
        <s v="LP z ATC L02BA a J05AB14 2020" u="1"/>
        <s v="Hormony příštipných tělísek a analoga 2021" u="1"/>
        <s v="Servis lineárních urychlovačů Elekta Synergy včetně verifikačního systému" u="1"/>
        <s v="Hygienické zabezpečení vody budova P " u="1"/>
        <s v="Anesteziologické přístroje s monitorem vitálních funkcí" u="1"/>
        <s v="Laboratorní váhy II" u="1"/>
        <s v="Endoskopie" u="1"/>
        <s v="Medicinální a technické plyny 2021" u="1"/>
        <s v="FN Olomouc – novostavba hlavní budovy B – Projektová dokumentace II." u="1"/>
        <s v="Tonometr oční" u="1"/>
        <s v="Poskytování účetního a daňového poradenství" u="1"/>
        <s v="PD – demolice objektu B a přeložky IS " u="1"/>
        <s v="Oprava řízení VS budov M, K, D1, WP, C" u="1"/>
        <s v="Vyšetření protilátek proti viru SARS-CoV-2" u="1"/>
        <s v="Oprava MaR budova S,Q,R" u="1"/>
        <s v="Tonometr oční II." u="1"/>
        <s v="Polohovatelná křesla II." u="1"/>
        <s v="Cholangioskopický materiál - SpyGlass" u="1"/>
        <s v="LP ze skupiny cytostatik a imunomodulačních léčiv 2021" u="1"/>
        <s v="Neinvazivní vyšetření endoteliální dysfunkce" u="1"/>
        <s v="HW pro integrační platformu II." u="1"/>
        <s v="Opraa kompresorové stanice - UZQ" u="1"/>
        <s v="Realizace nástavby budovy A II." u="1"/>
        <s v="Fluorescenční RNA/DNA analyzátor" u="1"/>
        <s v="PD-Stavební úpravy operačních sálů KÚČOCH" u="1"/>
        <s v="Vodorozpustné nískoosmolární a isoosmolární nefrotropní rtg-kontrastní látky" u="1"/>
        <s v="Materiál spotřební pro NHF systém AIRVO 2 III." u="1"/>
        <s v="15. Embolizační spirály (intervenční radiologie), část IV." u="1"/>
        <s v="Katétr pro dočasnou stimulaci Pacel + Zavaděč pro dočasnou stimulaci FastCath" u="1"/>
        <s v="3T Magnetická rezonance" u="1"/>
        <s v="Senzory k měření cerebrální symetrie " u="1"/>
      </sharedItems>
    </cacheField>
    <cacheField name="Část" numFmtId="0">
      <sharedItems containsString="0" containsBlank="1" containsNumber="1" containsInteger="1" minValue="1" maxValue="13"/>
    </cacheField>
    <cacheField name="Název části VZ" numFmtId="0">
      <sharedItems containsBlank="1"/>
    </cacheField>
    <cacheField name="ATC kód u léčiv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44">
      <sharedItems containsString="0" containsBlank="1" containsNumber="1" minValue="11880" maxValue="431388000"/>
    </cacheField>
    <cacheField name="Druh VZ" numFmtId="0">
      <sharedItems containsBlank="1" count="6">
        <s v="OŘ"/>
        <s v="ZPŘ"/>
        <s v="VZMR"/>
        <s v="JŘBU"/>
        <m/>
        <s v="JŘBÚ" u="1"/>
      </sharedItems>
    </cacheField>
    <cacheField name="VZ vypsaná dne" numFmtId="0">
      <sharedItems containsNonDate="0" containsDate="1" containsString="0" containsBlank="1" minDate="2020-01-31T00:00:00" maxDate="2021-12-30T00:00:00"/>
    </cacheField>
    <cacheField name="Lhůta pro podání nabídek" numFmtId="0">
      <sharedItems containsNonDate="0" containsDate="1" containsString="0" containsBlank="1" minDate="2020-04-09T00:00:00" maxDate="2022-02-16T00:00:00"/>
    </cacheField>
    <cacheField name="Datum vyhodnocení VZ" numFmtId="0">
      <sharedItems containsDate="1" containsBlank="1" containsMixedTypes="1" minDate="2020-02-12T00:00:00" maxDate="2021-12-30T00:00:00"/>
    </cacheField>
    <cacheField name="Dodavatel / u zrušených stávající dodavatel" numFmtId="0">
      <sharedItems containsBlank="1"/>
    </cacheField>
    <cacheField name="postup po zrušení" numFmtId="0">
      <sharedItems containsBlank="1"/>
    </cacheField>
    <cacheField name="Vítězná cena bez DPH" numFmtId="44">
      <sharedItems containsString="0" containsBlank="1" containsNumber="1" minValue="12350.7" maxValue="415080820"/>
    </cacheField>
    <cacheField name="Vítězná cena s DPH" numFmtId="44">
      <sharedItems containsString="0" containsBlank="1" containsNumber="1" minValue="14944.35" maxValue="502247792.19999999"/>
    </cacheField>
    <cacheField name="Léčiva - Kód SUKL" numFmtId="49">
      <sharedItems containsNonDate="0" containsString="0" containsBlank="1"/>
    </cacheField>
    <cacheField name="Léčiva - Název přípravku" numFmtId="49">
      <sharedItems containsNonDate="0" containsString="0" containsBlank="1"/>
    </cacheField>
    <cacheField name="Léčiva - Výrobce" numFmtId="49">
      <sharedItems containsNonDate="0" containsString="0" containsBlank="1"/>
    </cacheField>
    <cacheField name="Datum předání smlouvy do WF" numFmtId="0">
      <sharedItems containsNonDate="0" containsDate="1" containsString="0" containsBlank="1" minDate="2020-02-15T00:00:00" maxDate="2021-12-30T00:00:00"/>
    </cacheField>
    <cacheField name="Číslo smlouvy z WF" numFmtId="44">
      <sharedItems containsBlank="1"/>
    </cacheField>
    <cacheField name="Smlouva podepsána" numFmtId="0">
      <sharedItems containsNonDate="0" containsDate="1" containsString="0" containsBlank="1" minDate="2020-12-28T00:00:00" maxDate="2022-01-01T00:00:00" count="169">
        <d v="2021-03-09T00:00:00"/>
        <d v="2021-08-09T00:00:00"/>
        <d v="2021-01-26T00:00:00"/>
        <d v="2021-02-04T00:00:00"/>
        <d v="2021-01-21T00:00:00"/>
        <d v="2021-01-29T00:00:00"/>
        <m/>
        <d v="2021-01-12T00:00:00"/>
        <d v="2021-03-12T00:00:00"/>
        <d v="2021-03-25T00:00:00"/>
        <d v="2021-01-08T00:00:00"/>
        <d v="2021-01-13T00:00:00"/>
        <d v="2021-04-08T00:00:00"/>
        <d v="2020-12-28T00:00:00"/>
        <d v="2021-03-03T00:00:00"/>
        <d v="2021-04-01T00:00:00"/>
        <d v="2021-03-31T00:00:00"/>
        <d v="2021-01-18T00:00:00"/>
        <d v="2021-01-14T00:00:00"/>
        <d v="2021-06-10T00:00:00"/>
        <d v="2021-03-23T00:00:00"/>
        <d v="2021-01-04T00:00:00"/>
        <d v="2021-03-19T00:00:00"/>
        <d v="2021-01-28T00:00:00"/>
        <d v="2021-03-18T00:00:00"/>
        <d v="2021-03-10T00:00:00"/>
        <d v="2021-04-06T00:00:00"/>
        <d v="2021-03-11T00:00:00"/>
        <d v="2021-03-02T00:00:00"/>
        <d v="2021-02-26T00:00:00"/>
        <d v="2021-02-03T00:00:00"/>
        <d v="2021-05-20T00:00:00"/>
        <d v="2021-05-11T00:00:00"/>
        <d v="2021-04-14T00:00:00"/>
        <d v="2021-05-12T00:00:00"/>
        <d v="2021-05-04T00:00:00"/>
        <d v="2021-02-02T00:00:00"/>
        <d v="2021-01-20T00:00:00"/>
        <d v="2021-03-15T00:00:00"/>
        <d v="2021-03-29T00:00:00"/>
        <d v="2021-01-22T00:00:00"/>
        <d v="2021-01-07T00:00:00"/>
        <d v="2021-02-24T00:00:00"/>
        <d v="2021-05-26T00:00:00"/>
        <d v="2021-01-19T00:00:00"/>
        <d v="2021-02-22T00:00:00"/>
        <d v="2021-04-28T00:00:00"/>
        <d v="2021-02-01T00:00:00"/>
        <d v="2021-02-25T00:00:00"/>
        <d v="2021-02-18T00:00:00"/>
        <d v="2021-07-16T00:00:00"/>
        <d v="2021-07-13T00:00:00"/>
        <d v="2021-07-19T00:00:00"/>
        <d v="2021-06-02T00:00:00"/>
        <d v="2021-04-12T00:00:00"/>
        <d v="2021-06-15T00:00:00"/>
        <d v="2021-05-10T00:00:00"/>
        <d v="2021-04-23T00:00:00"/>
        <d v="2021-07-14T00:00:00"/>
        <d v="2021-06-25T00:00:00"/>
        <d v="2021-04-26T00:00:00"/>
        <d v="2021-04-21T00:00:00"/>
        <d v="2021-08-23T00:00:00"/>
        <d v="2021-04-29T00:00:00"/>
        <d v="2021-11-05T00:00:00"/>
        <d v="2021-12-07T00:00:00"/>
        <d v="2021-06-11T00:00:00"/>
        <d v="2021-06-03T00:00:00"/>
        <d v="2021-03-17T00:00:00"/>
        <d v="2021-05-13T00:00:00"/>
        <d v="2021-06-14T00:00:00"/>
        <d v="2021-05-19T00:00:00"/>
        <d v="2021-07-22T00:00:00"/>
        <d v="2021-05-05T00:00:00"/>
        <d v="2021-05-28T00:00:00"/>
        <d v="2021-08-25T00:00:00"/>
        <d v="2021-06-23T00:00:00"/>
        <d v="2021-06-16T00:00:00"/>
        <d v="2021-06-21T00:00:00"/>
        <d v="2021-06-28T00:00:00"/>
        <d v="2021-05-27T00:00:00"/>
        <d v="2021-05-17T00:00:00"/>
        <d v="2021-04-27T00:00:00"/>
        <d v="2021-06-22T00:00:00"/>
        <d v="2021-10-06T00:00:00"/>
        <d v="2021-05-31T00:00:00"/>
        <d v="2021-06-08T00:00:00"/>
        <d v="2021-05-25T00:00:00"/>
        <d v="2021-06-04T00:00:00"/>
        <d v="2021-06-07T00:00:00"/>
        <d v="2021-07-08T00:00:00"/>
        <d v="2021-07-27T00:00:00"/>
        <d v="2021-07-15T00:00:00"/>
        <d v="2021-06-30T00:00:00"/>
        <d v="2021-07-23T00:00:00"/>
        <d v="2021-06-01T00:00:00"/>
        <d v="2021-09-24T00:00:00"/>
        <d v="2021-09-16T00:00:00"/>
        <d v="2021-05-14T00:00:00"/>
        <d v="2021-08-12T00:00:00"/>
        <d v="2021-06-17T00:00:00"/>
        <d v="2021-10-13T00:00:00"/>
        <d v="2021-09-01T00:00:00"/>
        <d v="2021-10-11T00:00:00"/>
        <d v="2021-11-18T00:00:00"/>
        <d v="2021-07-21T00:00:00"/>
        <d v="2021-08-06T00:00:00"/>
        <d v="2021-07-28T00:00:00"/>
        <d v="2021-08-30T00:00:00"/>
        <d v="2021-09-23T00:00:00"/>
        <d v="2021-07-02T00:00:00"/>
        <d v="2021-09-13T00:00:00"/>
        <d v="2021-07-20T00:00:00"/>
        <d v="2021-09-15T00:00:00"/>
        <d v="2021-09-07T00:00:00"/>
        <d v="2021-08-19T00:00:00"/>
        <d v="2021-11-30T00:00:00"/>
        <d v="2021-09-03T00:00:00"/>
        <d v="2021-10-04T00:00:00"/>
        <d v="2021-08-11T00:00:00"/>
        <d v="2021-07-30T00:00:00"/>
        <d v="2021-08-16T00:00:00"/>
        <d v="2021-08-10T00:00:00"/>
        <d v="2021-12-13T00:00:00"/>
        <d v="2021-12-15T00:00:00"/>
        <d v="2021-08-31T00:00:00"/>
        <d v="2021-11-08T00:00:00"/>
        <d v="2021-08-17T00:00:00"/>
        <d v="2021-11-16T00:00:00"/>
        <d v="2021-08-26T00:00:00"/>
        <d v="2021-09-10T00:00:00"/>
        <d v="2021-10-05T00:00:00"/>
        <d v="2021-11-10T00:00:00"/>
        <d v="2021-12-23T00:00:00"/>
        <d v="2021-12-22T00:00:00"/>
        <d v="2021-11-15T00:00:00"/>
        <d v="2021-11-09T00:00:00"/>
        <d v="2021-10-20T00:00:00"/>
        <d v="2021-10-15T00:00:00"/>
        <d v="2021-09-21T00:00:00"/>
        <d v="2021-10-25T00:00:00"/>
        <d v="2021-11-19T00:00:00"/>
        <d v="2021-10-14T00:00:00"/>
        <d v="2021-11-29T00:00:00"/>
        <d v="2021-09-29T00:00:00"/>
        <d v="2021-11-01T00:00:00"/>
        <d v="2021-12-09T00:00:00"/>
        <d v="2021-09-20T00:00:00"/>
        <d v="2021-12-21T00:00:00"/>
        <d v="2021-12-06T00:00:00"/>
        <d v="2021-12-14T00:00:00"/>
        <d v="2021-11-04T00:00:00"/>
        <d v="2021-11-25T00:00:00"/>
        <d v="2021-11-22T00:00:00"/>
        <d v="2021-10-01T00:00:00"/>
        <d v="2021-12-27T00:00:00"/>
        <d v="2021-11-12T00:00:00"/>
        <d v="2021-12-03T00:00:00"/>
        <d v="2021-11-11T00:00:00"/>
        <d v="2021-12-08T00:00:00"/>
        <d v="2021-11-02T00:00:00"/>
        <d v="2021-12-02T00:00:00"/>
        <d v="2021-11-26T00:00:00"/>
        <d v="2021-11-23T00:00:00"/>
        <d v="2021-12-20T00:00:00"/>
        <d v="2021-12-17T00:00:00"/>
        <d v="2021-12-16T00:00:00"/>
        <d v="2021-12-31T00:00:00"/>
        <d v="2021-02-06T00:00:00" u="1"/>
      </sharedItems>
    </cacheField>
    <cacheField name="Smlouva , Písemná zpráva zadavatele              Profil zadavatele" numFmtId="0">
      <sharedItems containsNonDate="0" containsDate="1" containsString="0" containsBlank="1" minDate="2020-02-05T00:00:00" maxDate="2022-03-03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20833337" createdVersion="6" refreshedVersion="6" minRefreshableVersion="3" recordCount="1282" xr:uid="{8C976B8B-3177-4650-AD6D-14C85E8F09B2}">
  <cacheSource type="worksheet">
    <worksheetSource ref="A8:Y1290" sheet="VZ-2022"/>
  </cacheSource>
  <cacheFields count="25">
    <cacheField name="Datum předání na OVZ" numFmtId="0">
      <sharedItems containsDate="1" containsBlank="1" containsMixedTypes="1" minDate="2021-04-01T00:00:00" maxDate="2022-12-22T00:00:00"/>
    </cacheField>
    <cacheField name="Interní evidenční číslo" numFmtId="0">
      <sharedItems containsBlank="1"/>
    </cacheField>
    <cacheField name="Zadáv. prac." numFmtId="0">
      <sharedItems containsBlank="1" count="26">
        <s v="ZM"/>
        <s v="LÉK"/>
        <s v="INV"/>
        <s v="REACT"/>
        <s v="ZT"/>
        <s v="ENERG"/>
        <s v="VŠEOB"/>
        <s v="EKOLOG"/>
        <s v="OSB"/>
        <s v="INF"/>
        <s v="REACT VL"/>
        <s v="KVALITA"/>
        <s v="OSB "/>
        <s v="EKON"/>
        <s v="INV SFŽP"/>
        <s v="MARKET"/>
        <s v="DOPR"/>
        <s v="PERS"/>
        <s v="NTMC"/>
        <s v="PROVOZ"/>
        <s v="SERVIS"/>
        <s v="ZT - MEX"/>
        <s v="ZT "/>
        <m/>
        <s v="IT" u="1"/>
        <s v="TELEM" u="1"/>
      </sharedItems>
    </cacheField>
    <cacheField name="Osoba pověřená pro zadávací řízení" numFmtId="0">
      <sharedItems containsBlank="1"/>
    </cacheField>
    <cacheField name="Předmět plnění - název zakázky" numFmtId="0">
      <sharedItems containsBlank="1" count="636">
        <s v="Krevní vaky a automat pro zpracování plné krve"/>
        <s v="Infuzní vitamíny 2021 - Sdružený nákup"/>
        <s v="PD - Stavební úpravy objektu L - Transfuzní oddělení"/>
        <s v="Treprostinil k léčbě plicní arteriální hypertenze (PAH)"/>
        <s v="Staplery"/>
        <s v="Anesteziologické přístroje "/>
        <s v="Anesteziologické přístroje"/>
        <s v="PD – novostavba budovy C1 III."/>
        <s v="LP s obsahem emicizumabu 2021"/>
        <s v="ANTAGONISTÉ CGRP 2021"/>
        <s v="LP ze skupiny bioflavanoidů 2021 - sdružený nákup"/>
        <s v="Minerální doplňky s obsahem vápníku a hořčíku 2021 - sdružený nákup"/>
        <s v="Přeložky IS"/>
        <s v="Chronická dialýza"/>
        <s v="Ultrazvukové přístroje"/>
        <s v="Dodávka a instalace chladících jednotek"/>
        <s v="Tlakové převodníky"/>
        <s v="LP s obsahem bosentanu 2021 - sdružený nákup "/>
        <s v="Laserový přístroj a set pro morcelaci a enukleaci prostaty "/>
        <s v="12. Stenty vaskulární"/>
        <s v="Rouškovací sety pro Radiologii"/>
        <s v="LP ze skupiny cytostatik a imunumodulačních léčiv 2021"/>
        <s v="Triazolové deriváty II. 2021"/>
        <s v="LP ze skupiny cytostatik II. 2021"/>
        <s v="Dostavba a rekonstrukce budovy X"/>
        <s v="Širokoúhlá fundus kamera"/>
        <s v="Diagnostika GENETIKA 4. 2021 II."/>
        <s v="Drát zaváděcí Emerald"/>
        <s v="24. Systémy pro uzavírání tepenných vstupů po perkutánních cévních výkonech"/>
        <s v="4. Diagnostické katétry"/>
        <s v="Trn aspirační Spike"/>
        <s v="Specifické proteiny OKB 2021 včetně výpůjčky analyzátoru"/>
        <s v="Stavební úpravy operačních sálů KÚČOCH"/>
        <s v="Diagnostika Buněčná imunita PREVAL II."/>
        <s v="Kolektor - oprava napojení odbočných větví vodovodního řádu"/>
        <s v="Jiná antiepileptika 2021"/>
        <s v="Medicinální a technické plyny I. 2021"/>
        <s v="Modulární víceúčelové zdravotnické zařízení"/>
        <s v="Parkoviště kol"/>
        <s v="2. Vodící dráty k vaskulárním intervencím"/>
        <s v="Jiná antipsychotika 2021 - sdružený nákup"/>
        <s v="LP ze skupiny anticholinergik 2021 - sdružený nákup"/>
        <s v="Láhve a dudlíky krmící jednorázové "/>
        <s v="14. STENTGRAFTY AORTÁLNÍ "/>
        <s v="Vyšetření krevního obrazu u dárců krve a vzorků transfuzních přípravků s výpůjčkou přístrojů II."/>
        <s v="Katetr ultrazvukový ViewFlex Xtra"/>
        <s v="Zajištění prací spojených s odstraňováním havárií na vodovodních řadech a vodovodních přípojkách ve FNOL"/>
        <s v="Oprava obvodového pláště budovy L"/>
        <s v="Oprava skladovacích hal"/>
        <s v="Izolátor pro přípravu cytostatik"/>
        <s v="Svářečka"/>
        <s v="Balónexpandibilní stentgrafty vaskulární II./IV."/>
        <s v="6. Dilatační balónkové katétry vaskulární"/>
        <s v="Termocykler a 384-jamkový modul k termocykleru"/>
        <s v="Set  pro transapikální implantaci biologické mitrální chlopně prasečí"/>
        <s v="Vyšetření karcinomu prostaty s výpůjčkou analyzátoru"/>
        <s v="Stříkačky inflační a Y konektory pro PTCA"/>
        <s v="Bezdrátový ultrazvuk"/>
        <s v="Elektrochirurgické přístroje"/>
        <s v="Bezbariérové parkovací stání za budovou L"/>
        <s v="Medicinální a technické plyny II. 2021"/>
        <s v="Diagnostické monitory pro RTG"/>
        <s v="Pláště ošetřovatelské jednorázové"/>
        <s v="Renovace bytové jednotky na ubytovně"/>
        <s v="Cívka k magnetickému stimulátoru"/>
        <s v="26. Extraktory intravaskulární III"/>
        <s v="Stavební úpravy pro zřízení infekčního oddělení FNOL"/>
        <s v="Výroba a montáž nábytku Dětská klinika 7.NP"/>
        <s v="Katetr a vodič pro rotační aterektomii (rotablaci)"/>
        <s v="LP ze skupiny cytostatik III. 2021"/>
        <s v="Imunosupresiva II. 2021"/>
        <s v="Stavební úpravy kompresorové stanice v budově UZQ"/>
        <s v="Trokar separační bez břitu"/>
        <s v="Diagnostika Genetika 3. 2021 II."/>
        <s v="KYMRIAH"/>
        <s v="Diagnostika OKB 2022"/>
        <s v="Protézy cévní II."/>
        <s v="Diagnostika pro vyšetření protilátek Studie PREVAL II."/>
        <s v="Inhibitory proteinkináz II. 2021"/>
        <s v="Detekce viru SARS-COV-2  s výpůjčkou  RT PCR"/>
        <s v="4. Diagnostické katetry II."/>
        <s v="Materiál pro plazmaferézu k přístroji OMNI - OMNI set TPE"/>
        <s v="Filtr antibakteriální a virový Pulmosafe "/>
        <s v="Sada kolimátorů"/>
        <s v="LP s obsahem kyseliny obeticholové 2021"/>
        <s v="Dudlíky krmící jednorázové"/>
        <s v="Nástroj laparoskopický ruční Endo Babcock"/>
        <s v="Externí klinický audit"/>
        <s v="Přístroj pro funkční vyšetření plic"/>
        <s v="Vibrační odběrový lipoaspirační systém"/>
        <s v="Cefalosporiny III. Generace 2021"/>
        <s v="LP ze skupiny cytostatik a imunomodulačních léčiv 2021 II."/>
        <s v="Opioidní analgetika (anodyna) 2021"/>
        <s v="Jiná systémová hemostatika 2021 II."/>
        <s v="Stentgraft aortální hrudní"/>
        <s v="Léčivé prostředky s obsahem abirateronu 2021"/>
        <s v="Automatický analyzátor"/>
        <s v="Materiál spotřební pro NHF systém AIRVO 2 III."/>
        <s v="Rukavice vyšetřovací nitrilové bez pudru"/>
        <s v="Izolátor pro přípravu radiofarmak PET"/>
        <s v="PET / CT"/>
        <s v="Vrtací a pilové soupravy"/>
        <s v="Stříkačka injekční předplněná ORISE gel"/>
        <s v="Ochranná a  zdravotnická obuv II."/>
        <s v="Síťka extrakční na polypy endoskopická"/>
        <s v="LP s obsahem lenalidomidu 2022"/>
        <s v="LP s obsahem trastuzumabu 2022 - sdružený nákup  "/>
        <s v="LP s obsahem macitentanu 2022"/>
        <s v="Nástroje  endoskopické pro Urologickou kliniku"/>
        <s v="Přístroj pro zpracování tepelně tvarovatelných fólií "/>
        <s v="Náhradní díly pro komunikační systém sestra-pacient"/>
        <s v="Malá kamera pro dozimetrii"/>
        <s v="Hemodynamický monitor"/>
        <s v="Pozáruční servis IBM"/>
        <s v="Set pro uchovávání krve pro kryokonzervaci / kultivaci  "/>
        <s v="Čidlo saturační na čelo Oxi-max"/>
        <s v="Bioanalyzér"/>
        <s v="EEG přístroj s příslušenstvím"/>
        <s v="Plicní ventilátory"/>
        <s v="Kardioplegický set pro krevní kardioplegii"/>
        <s v="Ohřev krevních přípravků"/>
        <s v="Materiál spotřební k anesteziologickým přístrojům"/>
        <s v="Respirátory FFP2 bez výdechového ventilu"/>
        <s v="Pozáruční servis aktivních prvků"/>
        <s v="Filtr jednorázový pro analyzátor Hypair FeNO+"/>
        <s v="15. Embolizační spirály odpoutatelné neurointervenční"/>
        <s v="Poskytování služeb technické podpory a servisu telefonního systému "/>
        <s v="Izolátor DNA"/>
        <s v="Ligační zařízení pro endoskopii včetně aplikátoru 4.1."/>
        <s v="Dopa a její deriváty 2022"/>
        <s v="Úprava hygienického zařízení v 1.PP budovy R"/>
        <s v="Automaty pro zpracování tkání"/>
        <s v="27. Stenty biliární metalické samoexpadibilní II."/>
        <s v="Katetr balónkový kontrapulzační intraaortální"/>
        <s v="PC sestavy FNOL 2022"/>
        <s v="Systém pro analýzu obrazu"/>
        <s v="Vibrační odběrový lipoaspirační systém II."/>
        <s v="Selektivní imunosupresiva 2022"/>
        <s v="Inhibitory proteinkináz I. 2022"/>
        <s v="Inhibitory interleukinu 2022"/>
        <s v="Drát vodící k měření intrakoronárního tlaku - Pressure Wire X "/>
        <s v="LP z ATC J06BA02 a N04BC 2022"/>
        <s v="Jiná cytostatika  I.  2022"/>
        <s v="LP s obsahem glatiramer-acetátu 2022"/>
        <s v="Inhibitory proteinkináz II. 2022 "/>
        <s v="Monoklonální protilátky  2022"/>
        <s v="Monoklonální protilátky  II.  2022"/>
        <s v="LP s obsahem tafamidu 2022"/>
        <s v="Pec polymerační na fotokompozity"/>
        <s v="Lůžka a lehátka"/>
        <s v="Mikroskopy II"/>
        <s v="Sety pro bezpečné podávání cytostatik k infuzním pumpám"/>
        <s v="Přístroj pro perfuzi dárcovské ledviny"/>
        <s v="Laminární boxy II."/>
        <s v="Spektrofotometr na měření kvality DNA"/>
        <s v="Operační, zákroková a vyšetřovací svítidla"/>
        <s v="Akutní dialýza - roztoky, spotřební materiál"/>
        <s v="Antibakteriální léčiva pro systémovou aplikaci I. 2022"/>
        <s v="Antibakteriální léčiva pro systémovou aplikaci II. 2022"/>
        <s v="Ostraha přepravovaných cenných zásilek"/>
        <s v="Antibakteriální léčiva pro systémovou aplikaci III. 2022"/>
        <s v="Antibakteriální léčiva pro systémovou aplikaci IV. 2022"/>
        <s v="Antibakteriální léčiva pro systémovou aplikaci V. 2022"/>
        <s v="Antibakteriální léčiva pro systémovou aplikaci 2022 a LP s obsahem nimesulidu 2022"/>
        <s v="Oprava větrání a osvětlení technologického kanálu"/>
        <s v="Výměna výplní vnějších otvorů – budova E"/>
        <s v="Oprava podlah v budově D1 - 6.NP"/>
        <s v="Hemodynamické monitory"/>
        <s v="Bioanalyzér pro určení kvality DNA/RNA"/>
        <s v="Pilotní projekt VDI včetně rozšíření VMWare klastru"/>
        <s v="Morcellator jednorázový k elektrokoagulaci výr. OLYMPUS pro PORGYN"/>
        <s v="Rekombinantní faktor IX."/>
        <s v="LP ze skupiny anticholinergik 2022 - sdružený nákup"/>
        <s v="LP s obsahem adalimumabu 2022"/>
        <s v="LP s obsahem omalizumabu 2022 - sdružený nákup"/>
        <s v="LP s obsahem trastuzumab deruxtekanu 2022 - sdružený nákup"/>
        <s v="LP s obsahem remdesiviru 2022"/>
        <s v="Jiná imunostimulancia 2022"/>
        <s v="Interferony 2022"/>
        <s v="ELISA analyzátory"/>
        <s v="PD - Akutní infekční ambulance v budově A"/>
        <s v="Ergospirometrie s bicyklovým ergometrem"/>
        <s v="Mobilní infuzní pumpy pro parenterální výživu"/>
        <s v="4.4. Kleště koagulační endoskopické jednorázové"/>
        <s v="Neuronavigace"/>
        <s v="LP s obsahem sarilumabu 2022 - sdružený nákup"/>
        <s v="LP s obsahem anakinry 2022 - sdružený nákup"/>
        <s v="LP s obsahem kangreloru 2022 - sdružený nákup"/>
        <s v="LP s obsahem enzalutamidu 2022 - sdružený nákup"/>
        <s v="Nástroje pro COSS - I.CHIR - obnova a doplnění stávajícího instrumentária výr.AESCULAP"/>
        <s v="LP s obsahem akalabrutinibu 2022 - sdružený nákup"/>
        <s v="LP s obsahem ruxolitinibu 2022 - sdružený nákup"/>
        <s v="Staplery II."/>
        <s v="Mikrobiologické analyzátory"/>
        <s v="Navigovaná bronchoskopie"/>
        <s v="Vysokoobrátkové elektrické vrtačky"/>
        <s v="Imunologické analyzátory"/>
        <s v="FN Olomouc - fotovoltaické systémy"/>
        <s v="Hepariny 2022"/>
        <s v="Chladící a mrazící technika"/>
        <s v="Ultrazvukový aspirátor"/>
        <s v="Oprava podlahy ve skladovací hale č.2"/>
        <s v="Stavební úpravy P1 - vyšetřovna, kožní klinika"/>
        <s v="Rouškovací sety pro Ortopedickou kliniku"/>
        <s v="LP s obsahem lenalidomidu 2022 II."/>
        <s v="LP s obsahem lenalidomidu III. 2022"/>
        <s v="Jiná cytostatika II. 2022"/>
        <s v="Katetr zaváděcí koronární perifurní Guideliner"/>
        <s v="Ablační katetry pro pulzní katetrizační ablaci"/>
        <s v="4.5. Vodící katétry neurointervenční"/>
        <s v="Kličky polypektomické"/>
        <s v="Mamograf"/>
        <s v="Trokary"/>
        <s v="Centrifugy"/>
        <s v="Výroba a montáž nábytku 1/2022"/>
        <s v="Odborné konzultace a dozor při implementaci NIS"/>
        <s v="Materiál spotřební k separátorům krevních částic Trima Accel"/>
        <s v="Ubytování a služby spojené s organizací odborné akce FN Olomouc - konference Hospital management 2022"/>
        <s v="Myčky"/>
        <s v="8. Zaváděcí systém biliárních stentů"/>
        <s v="Odborné konzultace a dozor při implementaci nemocničního informačního systému II."/>
        <s v="Plechové šatní skříňky pro Nádstavbu budovy A"/>
        <s v="15. Embolizační spirály odpoutatelné neurointervenční II."/>
        <s v="Stomatologická souprava"/>
        <s v="Systém AtriClip pro uzávěr ouška levé srdeční síně (LAA)"/>
        <s v="Mikroskopy III"/>
        <s v="Operační mikroskop KÚČOCH"/>
        <s v="Materiál spotřební nCPAP k přístroji Babylog VN 500 Dräger"/>
        <s v="Elektroda defibrilační endokardiální PLEXA"/>
        <s v="LP s obsahem foskarnetu 2022 "/>
        <s v="Přímo působící antivirotika 2022"/>
        <s v="Triazolové deriváty 2022"/>
        <s v="LP s obsahem ofatumumabu 2022 - sdružený nákup"/>
        <s v="Selektivní imunosupresiva II. 2022"/>
        <s v="LP s obsahem teduglutidu 2022"/>
        <s v="LP s obsahem ekulizumabu 2022 - sdružený nákup"/>
        <s v="PCR"/>
        <s v="6. Nůž elektrochirurgický jednorázový"/>
        <s v="Inkubátory"/>
        <s v="2.4. Vodící mikrodráty k periferním vaskulárním intervencím"/>
        <s v="Nákup sanitních vozidel 2022"/>
        <s v="Rouškovací sety pro Kardiochirurgickou kliniku"/>
        <s v="Redukční ventily kyslíku, regulátory podtlaku, průtokoměry kyslíku a zvlhčovače k průtokoměrům kyslíku"/>
        <s v="Evusheld"/>
        <s v="ICD s možností vzdálené kontroly pacienta a časného upozornění hrozícího srdečního selhání a s automatickým exportem dat z programeru na zabezpečené cloudové úložiště"/>
        <s v="Rostlinné alkaloidy 2022"/>
        <s v="Injekční stříkačky třídílné - sdružený nákup"/>
        <s v="Defibrilátory"/>
        <s v="Klipy a aplikátory klipů"/>
        <s v="Výrobník ledu"/>
        <s v="Aeroskop pro mikrobiální monitorování vzduchu"/>
        <s v="Odběrová křesla"/>
        <s v="Katetry PHmetrické impedanční k přístroji Digitrapper"/>
        <s v="Ohřev krevních přípravků II"/>
        <s v="Vysokoobrátkové elektrické vrtačky II."/>
        <s v="Vozidlo na převoz krevních derivátů"/>
        <s v="Pumpa centrifugační k přístroji Stöckert S5"/>
        <s v="Operační, zákroková a vyšetřovací svítidla II."/>
        <s v="Novostavba budovy G"/>
        <s v="Napájecí zdroje k infuzním pumpám a lineárním dávkovačům"/>
        <s v="Hessovo plátno s příslušenstvím"/>
        <s v="Kazetový sterilizátor"/>
        <s v="Retraktorové systémy"/>
        <s v="Přístroj pro perfuzi dárcovské ledviny II."/>
        <s v="Odběrová křesla pro Radiologickou kliniku"/>
        <s v="Operační stoly KÚČOCH"/>
        <s v="EKG Holter - snímač"/>
        <s v="Anesteziologický přístroj"/>
        <s v="Materiál spotřební k injektorům kontrastní látky ACIST CVi"/>
        <s v="Poskytování licencí a služeb technické podpory a servisu informačního systému NextGENe a Genetický asistent"/>
        <s v="Mrazící box"/>
        <s v="Pec polymerační na fotokompozita II"/>
        <s v="Poskytování licencí, služeb technické podpory a servisu informačního systému eKLIN/ePOST"/>
        <s v="Ubytování a služby spojené s realizací vzdělávací akce pro vedoucí zaměstnance FN Olomouc"/>
        <s v="Dokumentační systém pro gelovou dokumentaci"/>
        <s v="Ruční fundus kamera"/>
        <s v="LP s obsahem rivaroxabanu"/>
        <s v="Dezinfekce myčky endoskopů 2022"/>
        <s v="Inhibitory proteinkináz III. 2022"/>
        <s v="Jiná periferně působící myorelaxancia 2022"/>
        <s v="Celotělové bodypletysmografy s příslušenstvím"/>
        <s v="Sanace 2ks lodžií - budova Q"/>
        <s v="Výměna stávajících dveří za automatizované - 2NP. - budova S"/>
        <s v="Trokary II."/>
        <s v="Aeroskop pro mikrobiální monitorování vzduchu II."/>
        <s v="Oprava obvodového pláště budovy L II."/>
        <s v="Převoz zemřelých"/>
        <s v="Oprava MaR ve výměníkových stanicích FNOl"/>
        <s v="Rentgenové přístroje "/>
        <s v="24. a 25. Stent pankreatický plastový"/>
        <s v="23. a 26. Stenty biliární plastové"/>
        <s v="Kolektor – výměna ventilů na vodovodním řádu"/>
        <s v="Time lapse system"/>
        <s v="Gallium-68 Generátory"/>
        <s v="Dezinfektor podložních mís"/>
        <s v="Likvidace odpadů z FN Olomouc"/>
        <s v="2.6.Vodící dráty k vaskulárním neurointervencím II."/>
        <s v="Diagnostická ultrazvuková sonda s příslušenstvím"/>
        <s v="LP s obsahem imatinibu 2022"/>
        <s v="LP s obsahem pazopanibu 2022 - sdružený nákup"/>
        <s v="Celotělový analyzátor"/>
        <s v="5.3. Mikrokatétry neurointervenční I."/>
        <s v="Jiná imunostimulancia II. 2022"/>
        <s v="ACE inhibitory 2022"/>
        <s v="Antibakteriální léčiva pro systémovou aplikaci VI. 2022"/>
        <s v="Flexibilní video-endoskopy"/>
        <s v="Poskytování licencí a služeb IS pro sběr a analýzu dat pro odhad radiační zátěže pacientů "/>
        <s v="Vozidlo na převoz krevních derivátů II."/>
        <s v="Sučička laboratorního skla"/>
        <s v="Systém Atriclip PRO2 k uzávěru ouška levé síně (LAA)"/>
        <s v="Analyzátor pro zpracování metody nepřímé imunofluorescence"/>
        <s v="Automatické odpouštění vody II"/>
        <s v="Systém pro odvod operačních zplodin"/>
        <s v="Servis hmotnostního spektrometru s plynovým chromatografem"/>
        <s v="Komfortní transportní vícesegmentová lehátka II"/>
        <s v="Aplikátor klipů a klipy (Cor-Knot) k ukotvení stehů chlopenní náhrady"/>
        <s v="Renovace bytových jednotek – Etapa II – budova AYD"/>
        <s v="Nábytek na míru – Infekční oddělení FNOL"/>
        <s v="Svářečky"/>
        <s v="Set k implantaci - chlopeň Intuity Elite bovinní bezstehová"/>
        <s v="Materiál spotřební nCPAP k přístroji Babylog VN 500 Dräger II"/>
        <s v="Endoskopy"/>
        <s v="Kit PSMA"/>
        <s v="Příslušenství k endoskopickým věžím"/>
        <s v="LP s obsahem lenalidomidu IV. 2022"/>
        <s v="Digitální transformace klinických procesů formou nemocničního informačního systému"/>
        <s v="Dodávka pneumatik pro osobní, dodávková a nákladní vozidla FNOL"/>
        <s v="PD - stavební úpravy budovy E"/>
        <s v="Servis EKV,EZS,CCTV"/>
        <s v="Dodávka kancelářských zařízení pro kopírování, skenování a tisk"/>
        <s v="Katetry radiofrekvenční včetně výpůjčky generátoru a fixační desky (WAVELINQ EndoAVF Systém)"/>
        <s v="Uzavřený odběrový systém"/>
        <s v="Myčka obuvi"/>
        <s v="Insulin  Lispro 2022"/>
        <s v="Vitamín K a jiná hemostatika 2022 "/>
        <s v="Jiná cytostatika III. 2022"/>
        <s v="12. Systém perkutánních endoskopických stomií PEG/PEJ"/>
        <s v="Systém pro intraoperační neuromonitorace"/>
        <s v="8. Injektory jednorázové endoskopické "/>
        <s v="Mykologický analyzátor II"/>
        <s v="Rigidní bronchoskopy pro tryskovou ventilaci Twinstream"/>
        <s v="Materiál spotřební k systému na stanovení ACT II"/>
        <s v="Aplikátory klipů a klipy (Cor-Knot) k ukotvení stehů chlopenní náhrady"/>
        <s v="Dodávka licencí zálohovacího SW"/>
        <s v="Osteosyntetický materiál pro TRAU pracoviště COS"/>
        <s v="Elektromyografický přístroj s evokovanými potenciály"/>
        <s v="Leštička s odsáváním a osvětlením pracovního prostoru"/>
        <s v="Kardiostimulátor pro optimalizaci průběhu kalciového gradientu u pacientů s pokročilým srdečním selháním"/>
        <s v="Monitory vitálních funkcí"/>
        <s v="Set HLS pro krátkodobou srdeční podporu k přístroji CARDIOHELP"/>
        <s v="Kanyly k oxygenerátorům"/>
        <s v="Enterální výživa - materiál spotřební k aplikaci "/>
        <s v="Jiná gynekologika 2022"/>
        <s v="Opioidní analgetika 2022"/>
        <s v="Perorální antidiabetika I. 2022"/>
        <s v="Perorální antidiabetika II. 2022"/>
        <s v="Systém detekční - gama sonda"/>
        <s v="Pacientská vážící podložka"/>
        <s v="Elektrochirurgické generátory)"/>
        <s v="Elektrochirurgické generátory"/>
        <s v="Dopplerovský monitor průtoku krve"/>
        <s v="Somatropin a agonisté somatropinu I. 2022 - sdružený nákup"/>
        <s v="Somatropin a agonisté somatropinu II. 2022 - sdružený nákup"/>
        <s v="LP s obsahem sufentanilu 2022 - sdružený nákup"/>
        <s v="Agonisté dopaminu I. 2022"/>
        <s v="Agonisté dopaminu II. 2022"/>
        <s v="Extrakty alergenů 2022"/>
        <s v="Úprava rozvodů ÚT - budova I - I.Etapa"/>
        <s v="Modernizace systémů MetaSystems"/>
        <s v="Kancelářský papír 2022"/>
        <s v="Vrtáky diamantové k vrtačce Midas Rex"/>
        <s v="LP s obsahem letermoviru 2022 - sdružený nákup"/>
        <s v="Antiagregancia 2022"/>
        <s v="LP s obsahem everolimu a deferasiroxu 2022"/>
        <s v="Systém pro kvantitativní koronární analýzu"/>
        <s v="Hybridní matrace"/>
        <s v="Modelace trávícího traktu"/>
        <s v="Analyzátor mateřského mléka MIRIS"/>
        <s v="Mikroskopy IV."/>
        <s v="Protézy cévní pletené se stříbrem a antimikrobiální látkou Triclosanem"/>
        <s v="LP s obsahem remdesiviru 2022 II."/>
        <s v="Kombinovaný přístroj elektroléčba a ultrazvuk "/>
        <s v="Systém pro katetrovou implantaci aortální chlopně (TAVI) - sdružený nákup "/>
        <s v="Flexibilní cystoskopy a ureterorenoskopy pro Urologickou kliniku"/>
        <s v="Kardiostimulátory biventrikulární s TVI pro I.IK"/>
        <s v="Katetr Zoll Icy 3 lumen k přístroji pro hypotermii ALSIUS THERMOGARD XP pro I.IK"/>
        <s v="Rouškovací sety pro Neurochirurgickou kliniku"/>
        <s v="Hlubokomrazící box"/>
        <s v="Upgrade telefonního systému"/>
        <s v="Automatické IHC a ISH barvení s výpůjčkou abarvících automatů"/>
        <s v="Gonadotropiny 2022"/>
        <s v="Blokátory receptorů pro angoitensin II 2022"/>
        <s v="Hormony zadního laloku hypofýzy 2022 "/>
        <s v="Jiná kardiaka 2022"/>
        <s v="Nákup sanitních vozidel 2022 II."/>
        <s v="Jiná antivirotika 2022"/>
        <s v="Alkylační látky 2022"/>
        <s v="Katetry  Fogarty"/>
        <s v="Drát vodící Amplatz extra-stiff  "/>
        <s v="Vyhodnocení kvality a bezpečnosti poskytované péče III."/>
        <s v="Roušky břišní NT speciál s RTG vláknem"/>
        <s v="Laryngoskop"/>
        <s v="Rehabilitační pomůcky"/>
        <s v="PCR II"/>
        <s v="Plynový chromatograf"/>
        <s v="Ubytování a služby spojené s realizací odborné akce FN Olomouc – konference Veřejné zakázky ve zdravotnictví"/>
        <s v="Automatický externí defibrilátor"/>
        <s v="PD - zateplení ubytoven a dětské kliniky FNOL"/>
        <s v="Oprava opláštění a střechy části skladovací haly"/>
        <s v="Jiná systémová hemostatika"/>
        <s v="Monoklonální protilátky III. 2022"/>
        <s v="LP s obsahem parathormonu a ravulizumabu"/>
        <s v="Inhibitory proteinkináz IV. 2022"/>
        <s v="Jiná cytostatika IV. 2022"/>
        <s v="Noční stolky a noční stolky s jídelní deskou "/>
        <s v="14. Stengrafty aortální II. "/>
        <s v="Infuzní technika"/>
        <s v="Jídelní stolky"/>
        <s v="Servis analyzátorů sítí"/>
        <s v="Katétr elektrofyziologický říditelný Livewire"/>
        <s v="Membránové oxygenátory včetně hadicových setů pro vedení mimotělního oběhu"/>
        <s v="Videolaryngoskop"/>
        <s v="Chodítko s elektrickým zdvihem"/>
        <s v="Podlahářské práce"/>
        <s v="Analyzátor mateřského mléka II"/>
        <s v="Přepojení splaškové kanalizace budovy XN, XM"/>
        <s v="Elektrochirurgický generátor pro Urologickou kliniku"/>
        <s v="Rouškovací sety pro POR-GYN kliniku"/>
        <s v="PD - Stavební úpravy budovy Q - ambulance a zázemí dětské kliniky"/>
        <s v="Demolice budovy B"/>
        <s v="Gallium-68 Generátory II."/>
        <s v="Rekonstrukce plotů, bran a opěrné zídky"/>
        <s v="Čtečky čárových kódů"/>
        <s v="Rozšíření licencí a poskytování podpory klinického farmakokinetického IS "/>
        <s v="Přístroj pro perfuzi dárcovské ledviny III"/>
        <s v="Dochlazení místností OPECH v 1.NP, budova A"/>
        <s v="Digitální morfologie"/>
        <s v="LP s obsahem afliberceptu 2022"/>
        <s v="LP s obsahem cinakalcetu 2022"/>
        <s v="Vyšetření krevního obrazu u dárců krve a vzorků transfuzních přípravků s výpůjčkou přístrojů III."/>
        <s v="LP s obsahem orfenadrinu 2022 - sdružený nákup"/>
        <s v="LP s obshem sugammadexu 2022 - sdružený nákup"/>
        <s v="LP s obsahem darolutamidu 2022 - sdružený nákup"/>
        <s v="Ubytování a služby spojené s realizací odborné akce FN Olomouc – konference Veřejné zakázky ve zdravotnictví II."/>
        <s v="Analyzátor otoakustických emisí"/>
        <s v="Chodítko s elektrickým zdvihem II"/>
        <s v="Oprava střechy budovy QZI1"/>
        <s v="Analoga gonadotropin-releasing hormonu a degarelix 2022"/>
        <s v="LP s obsahem tolvaptanu 2022 - sdružený nákup"/>
        <s v="LP s obsahem palivizumabu 2022 - sdružený nákup"/>
        <s v="Inhibitory aromatasy 2022"/>
        <s v="Antithymocitálení imunoglobuliny 2022"/>
        <s v="Katetry ICP pro měření nitrolebního tlaku "/>
        <s v="Podpora krátkodobá srdeční mechanická IMPELLA pro I. IK"/>
        <s v="6.Dilatační balónkové katétry vaskulární II."/>
        <s v="Fyziologický navigační systém pro zavádění elektrod při DBS operaci"/>
        <s v="SW pro hloubkovou mozkovou stimulaci (DBS)"/>
        <s v="Přímé inhibitory faktoru XA I. 2022"/>
        <s v="Inkubátor pro Oddělení nemocniční hygieny II"/>
        <s v="Podlahářské práce II."/>
        <s v="Bronchoskopy jednorázové"/>
        <s v="Operační svítidla ORL"/>
        <s v="Laminární boxy III."/>
        <s v="Oprava výtahů č. 63,82"/>
        <s v="Systém pro ohřev pacienta"/>
        <s v="Optický koherentní tomografický systém"/>
        <s v="Paramagnetické kontrastní látky 2022 "/>
        <s v="Ubytování a služby spojené s realizací odborné akce FN Olomouc – konference XIII. Luklův kardiologický den"/>
        <s v="Lůžka a lehátka II"/>
        <s v="7.Kleště bioptické jednorázové do gastroskopu/koloskopu"/>
        <s v="Manuální myčka endoskopů"/>
        <s v="Materiál spotřební k inokulačnímu automatu WASP"/>
        <s v="Nerezový mobiliář 2022"/>
        <s v="Servisní podpora SW aplikace CEVIS Shiftmaster"/>
        <s v="Kontejnery sterilizační a dekontaminační včetně příslušenství "/>
        <s v="Automatický extrerní defibrilátor II."/>
        <s v="Membránové oygenátory včetně hadicových setů pro vedení mimotělního oběhu II."/>
        <s v="Servis, opravy a údržba nákladních vozidel nad 3.500 Kg"/>
        <s v="Audit účetní závěrky státní příspěvkové organizace FN Olomouc za období 2022 - 2025"/>
        <s v="Jiná antianemika 2022 - sdružený nákup"/>
        <s v="LP s obsahem segelipasy alfa 2022"/>
        <s v="Hypertonické roztoky 2022"/>
        <s v="Chlopeň biologická perikardiální určená pro náhradu mitrální chlopně"/>
        <s v="Enterální výživa - materiál spotřební k aplikaci II."/>
        <s v="Insuliny a analoga dlouze působící 2022 - sdružený nákup"/>
        <s v="Uzávěr dezinfekčních k bezjehlovému vstupu se 70% IPA"/>
        <s v="Oprava střešního pláště budov RZE"/>
        <s v="Oprava opěrné zdi  a schodiště ubytovny AYH2"/>
        <s v="Sety k systému Centurion pro Oční kliniku"/>
        <s v="Bronchoskopy flexibilní jednorázové"/>
        <s v="LP ze skupiny koagulačních faktorů 2022"/>
        <s v="Intervenční kardiologie I."/>
        <s v="Nástroje chirurgické pro kliniky FNOL I. (výrobce  MEDIN )"/>
        <s v="Skříňové vozíky s prachostěnými dveřmi"/>
        <s v="Glukokortikoidy 2022"/>
        <s v="Vazopresin a analoga 2022"/>
        <s v="LP s obsahem dexmedetomidinu 2022"/>
        <s v="Oprava střešního pláště budovy WH"/>
        <s v="Nástroje chirurgické pro kliniky FNOL II."/>
        <s v="Nástroje chirurgické pro kliniky FNOL III."/>
        <s v="Oxygen Assist Module (OAM)"/>
        <s v="Oprava místního rozhlasu v budově U"/>
        <s v="Svářečky II."/>
        <s v="Kontrola a ověření kvality PET-SPECT zobrazení"/>
        <s v="Aquapaky sterilní vody"/>
        <s v="Rouškovací sety pro I. Interní kliniku "/>
        <s v="PD – Obnova nemovité kulturní památky Fort Tabulový vrch"/>
        <s v="Anestetika lokální 2022"/>
        <s v="Multienzymové přípravky 2022"/>
        <s v="Monotoring a hodnocení variability srdeční frekvence metodou spektrální analýzy"/>
        <s v="Nástroje chirurgické pro I.IK"/>
        <s v="Bronchoskopy jednorázové II"/>
        <s v="Úpravny vody"/>
        <s v="Nástroje chirurgické pro kliniky FNOL IV."/>
        <s v="Nemocniční standardní lůžka"/>
        <s v="Dodávka All-in-One pracovních stanic"/>
        <s v="Dodání a montáž konvektomatu v budově WD "/>
        <s v="Radiofarmakum fluorocholine (18F) 2022"/>
        <s v="Dodávka a zavedení síťové behaviorální analýzy"/>
        <s v="Chlazení místností ambulancí NCHIR v 1.NP, budova M3"/>
        <s v="LP s obsahem Adalimumabu 2022 II."/>
        <s v="Dodávka dectů 2022"/>
        <s v="Čistírna odpadních vod (ČOV) ve FNOL – oprava, rekonstrukce selektorů, aktivačních nádrží a technologie"/>
        <s v="LP s obsahem trifluridinu v kombinaci 2022"/>
        <s v="LP s obsahem tisagenlekleucelu 2022"/>
        <s v="ANTAGONISTÉ ALFA-ADRENERGNÍCH RECEPTORŮ 2022"/>
        <s v="Poskytování úklidových služeb"/>
        <s v="3D tiskárna s mycí a vytvrzovací stanicí"/>
        <s v="Přístroj pro perfuzi dárcovské ledviny IV."/>
        <s v="Spotřební materiál k artroskopické věži Arthrex"/>
        <s v="Cytometr"/>
        <s v="Sfinkterotom trojlumenný, rotační"/>
        <s v="CO2 Inkubátor pro Hemato-onkologickou kliniku II"/>
        <s v="Tabletový transportní vozík "/>
        <s v="Oprava rozvodu a zajištění tlaku v rozvodech studené vody v areálu FNOL "/>
        <s v="Servis automatických dvěří FNOL"/>
        <s v="Výměna kompresorů v budově A,M"/>
        <s v="LP ze skupiny cytostatik 2022"/>
        <s v="Materiál spotřební k neuromonitoru včetně výpůjčky přístroje pro ORL"/>
        <s v="LP s obsahem abirateronu 2022"/>
        <s v="Dodávka jehličkových tiskáren"/>
        <s v="Nástroje chirurgické pro NCHIR operační sály - rozšíření stávajícího instrumentária"/>
        <s v="Poskytnutí služeb auditora v oblasti kybernetické bezpečnosti"/>
        <s v="Oprava MaR P1,P2,Q1,M2,WE"/>
        <s v="PD – Stavební úpravy objektu J3 - KNM - lůžkové oddělení"/>
        <s v="Přímé inhibitory faktoru XA II. 2022 "/>
        <s v="Insulin Lispro II. 2022"/>
        <s v="Dodání tabletového transportního vozíku II"/>
        <s v="LP s obsahem cidofoviru 2022"/>
        <s v="KYSELINA AMINOSALICYLOVÁ A PODOBNÉ LÁTKY 2022"/>
        <s v="Dezinfekční přípravky na podlahy, povrchy a předměty 2022"/>
        <s v="Dezinfekce kůže a operačního pole 2022"/>
        <s v="Dezinfekce, mytí a ošetření rukou 2022, "/>
        <s v="Úprava hygienického zařízení v 1.NP budovy RZE"/>
        <s v="Dezinfekční přípravky 2022"/>
        <s v="Výměna výplní vnějších otvorů v budovách SZN, SZO, YB1"/>
        <s v="Vyšetření tumormakrerů s výpůjčkou přístroje"/>
        <s v="Termocyklér"/>
        <s v="Digitální dermatoskop"/>
        <s v="Spotřební materiál k artroskopické věži Johnson"/>
        <s v="STAVEBNÍ ÚPRAVY BUDOVY L – TRANSFUZNÍ ODDĚLENÍ"/>
        <s v="EKG"/>
        <s v="Nástroje chirurgické pro kliniky FNOL V."/>
        <s v="Servis přístrojů výrobce GE"/>
        <s v="Oprava střešního pláště budovy P2"/>
        <s v="Oprava unifikovaného shromažďovacího místa Xa v areálu FNOL"/>
        <s v="PD - stavební úpravy budov H1, H2"/>
        <s v="Radiofrekvenční elektrochirurgický generátor"/>
        <s v="Spinální implantáty"/>
        <s v="Nástroj laparoskopický k přístroji PlasmaJet pro PORGYN"/>
        <s v="Hematologický analyzátor sedimentace erytrocytů"/>
        <s v="Katetr radioablační - svorka bipolární"/>
        <s v="Mobilní úpravna vody na principu reverzní osmózy"/>
        <s v="Kleště ablační pro thorakoskopickou ablaci plicních žil"/>
        <s v="Přenosný elastomerní infuzní systém INFUSOR LV"/>
        <s v="Pozáruční servis imunohistochemického přístroje Ventana"/>
        <s v="Kancelářské potřeby papírové"/>
        <s v="Materiál spotřební k harmonickému skalpelu"/>
        <s v="Intervenční kardiologie II."/>
        <s v="Mísící zařízení"/>
        <s v="Oprava rozvodu a zajištění tlaku v rozvodech studené vody v areálu FNOL II"/>
        <s v="Intraorální přístroj s přímou digitalizací II"/>
        <s v="Nástroje chirurgické pro kliniky FNOL VI."/>
        <s v="Tlaková infuzní jednotka"/>
        <s v="Excimerový laser"/>
        <s v="PD – Novostavba budovy P4"/>
        <s v="38. Vodící dráty k vaskulárním neurointervencím"/>
        <s v="Antagonisté serotoninových 5TH3 receptorů 2022 - sdružený nákup"/>
        <s v="LP s obsahem sildenafilu 2022"/>
        <s v="Jiné hormony předního laloku hypofýzy a analoga 2022 - sdružený nákup"/>
        <s v="LP s obsahem mesalazinu 2022"/>
        <s v="LP s obsahem dexmedetomidinu 2022 II."/>
        <s v="Senzory k měření hemodynamiky"/>
        <s v="Čistíci prostředky a jiné drogistiské zboží 2023"/>
        <s v="Senzory k měření cerebrální oxymetrie "/>
        <s v="Set pro transapikální implantaci biologické mitrální chlopně prasečí "/>
        <s v="Analyzátor otoakustických emisí II"/>
        <s v="Sutura menisku-Kotva na meniskus-souprava"/>
        <s v="Nestabilita kolene - Šroub interferenční vstřebatelný pro rekonstrukci křížového vazu"/>
        <s v="Výroba a montáž nábytku 3/2022"/>
        <s v="Monitory"/>
        <s v="Servis ESSER + C4, NZS-Ero, instalační a montážní práce"/>
        <s v="Senzory k měření cerebrální oxymetrie k systémům INVOS"/>
        <s v="Sekvenování DNA"/>
        <s v="Regály pro OCS"/>
        <m/>
        <s v="Paramagntické kontrastní látky 2022 " u="1"/>
        <s v="Výměna výplní vnějších otvorů - budova AYA" u="1"/>
        <s v="Systém Articlip PRO2 k uzávěru ouška levé síně (LAA)" u="1"/>
        <s v="Termocycler" u="1"/>
        <s v="LP s obsahem olaparibu 2022" u="1"/>
        <s v="Péče o zeleň" u="1"/>
        <s v="LP s obsahem treprostinilu 2021" u="1"/>
        <s v="Nástroje chirurgické pro kliniky FNOL  - specifikované dle výrobce MEDIN " u="1"/>
        <s v="LP ze skupiny anticholinergin 2021 - sdružený nákup" u="1"/>
        <s v="Modul na přípravu mikroskopického preparátu" u="1"/>
        <s v="Spinální implatntáty" u="1"/>
        <s v="Novorozenecký sreening SMA s výpůjčkou analyzátoru" u="1"/>
        <s v="LP ze skupiny anticholinergik 2022-sdružený nákup" u="1"/>
        <s v="Aktivní antidekubitní matrace pro pacienty s vyšší hmotností II" u="1"/>
        <s v="Inhibitory interleukinu a LP s obsahem adalimumabu 2022" u="1"/>
        <s v="5.2. Kličky k diatermické polypektomii, jednorázové" u="1"/>
        <s v="Akumulátorové vrtací soupravy" u="1"/>
        <s v="LP s obsahem ekulizumabu 2022  sdružený nákup" u="1"/>
        <s v="Stenty biliární metalické samoexpadibilní II." u="1"/>
        <s v="Sučička skla" u="1"/>
        <s v="Chladící deska pro ochlazování parafínových bloků" u="1"/>
        <s v="Přímé ihibitory faktoru XA I. 2022" u="1"/>
        <s v="Inhibitory protonové pumpy a LP s obsahem rivaroxabanu" u="1"/>
        <s v="Insuliny a analoga dlouze působící 2021 - sdružený nákup" u="1"/>
        <s v="LP s obsahem glatimer-cetátu 2022" u="1"/>
        <s v="Nákup sanitních vozidel" u="1"/>
        <s v="SW pro hloubkou mozkovou stimulaci (DBS)" u="1"/>
        <s v="LP ze skupiny koagulačních faktorů 2021" u="1"/>
        <s v="Vyšetření tumormarkerů s výpůjčkou přístrojů" u="1"/>
        <s v="Servisní podpora informačního systému transfuzního oddělení" u="1"/>
      </sharedItems>
    </cacheField>
    <cacheField name="Část" numFmtId="0">
      <sharedItems containsString="0" containsBlank="1" containsNumber="1" containsInteger="1" minValue="1" maxValue="13"/>
    </cacheField>
    <cacheField name="Název části VZ" numFmtId="0">
      <sharedItems containsBlank="1"/>
    </cacheField>
    <cacheField name="ATC kód u léčiv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3362" maxValue="564800000"/>
    </cacheField>
    <cacheField name="Druh VZ" numFmtId="0">
      <sharedItems containsBlank="1" count="6">
        <s v="OŘ"/>
        <s v="ZPŘ"/>
        <s v="VZMR"/>
        <s v="JŘBU"/>
        <s v="DNS"/>
        <m/>
      </sharedItems>
    </cacheField>
    <cacheField name="VZ vypsaná dne" numFmtId="0">
      <sharedItems containsNonDate="0" containsDate="1" containsString="0" containsBlank="1" minDate="2021-04-27T00:00:00" maxDate="2022-12-30T00:00:00"/>
    </cacheField>
    <cacheField name="Lhůta pro podání nabídek" numFmtId="0">
      <sharedItems containsNonDate="0" containsDate="1" containsString="0" containsBlank="1" minDate="2021-07-12T00:00:00" maxDate="2023-02-09T00:00:00"/>
    </cacheField>
    <cacheField name="Datum vyhodnocení VZ" numFmtId="0">
      <sharedItems containsDate="1" containsBlank="1" containsMixedTypes="1" minDate="2021-11-02T00:00:00" maxDate="2022-12-30T00:00:00"/>
    </cacheField>
    <cacheField name="Dodavatel / u zrušených stávající dodavatel" numFmtId="0">
      <sharedItems containsBlank="1"/>
    </cacheField>
    <cacheField name="postup po zrušení" numFmtId="0">
      <sharedItems containsBlank="1"/>
    </cacheField>
    <cacheField name="Vítězná cena bez DPH" numFmtId="44">
      <sharedItems containsString="0" containsBlank="1" containsNumber="1" minValue="3309.8" maxValue="459200000"/>
    </cacheField>
    <cacheField name="Vítězná cena s DPH" numFmtId="44">
      <sharedItems containsBlank="1" containsMixedTypes="1" containsNumber="1" minValue="3640.78" maxValue="528080000"/>
    </cacheField>
    <cacheField name="Léčiva - Kód SUKL" numFmtId="49">
      <sharedItems containsNonDate="0" containsString="0" containsBlank="1"/>
    </cacheField>
    <cacheField name="Léčiva - Název přípravku" numFmtId="49">
      <sharedItems containsNonDate="0" containsString="0" containsBlank="1"/>
    </cacheField>
    <cacheField name="Léčiva - Výrobce" numFmtId="49">
      <sharedItems containsNonDate="0" containsString="0" containsBlank="1"/>
    </cacheField>
    <cacheField name="Datum předání smlouvy do WF" numFmtId="0">
      <sharedItems containsNonDate="0" containsDate="1" containsString="0" containsBlank="1" minDate="2021-11-02T00:00:00" maxDate="2022-12-30T00:00:00"/>
    </cacheField>
    <cacheField name="Číslo smlouvy z WF" numFmtId="0">
      <sharedItems containsBlank="1"/>
    </cacheField>
    <cacheField name="Smlouva podepsána" numFmtId="0">
      <sharedItems containsNonDate="0" containsDate="1" containsString="0" containsBlank="1" minDate="2022-01-03T00:00:00" maxDate="2022-12-28T00:00:00" count="194">
        <d v="2022-02-25T00:00:00"/>
        <d v="2022-01-03T00:00:00"/>
        <d v="2022-01-04T00:00:00"/>
        <d v="2022-05-17T00:00:00"/>
        <m/>
        <d v="2022-08-23T00:00:00"/>
        <d v="2022-06-20T00:00:00"/>
        <d v="2022-01-06T00:00:00"/>
        <d v="2022-06-23T00:00:00"/>
        <d v="2022-04-04T00:00:00"/>
        <d v="2022-04-26T00:00:00"/>
        <d v="2022-02-08T00:00:00"/>
        <d v="2022-02-03T00:00:00"/>
        <d v="2022-01-10T00:00:00"/>
        <d v="2022-03-17T00:00:00"/>
        <d v="2022-03-11T00:00:00"/>
        <d v="2022-03-21T00:00:00"/>
        <d v="2022-01-11T00:00:00"/>
        <d v="2022-01-20T00:00:00"/>
        <d v="2022-01-27T00:00:00"/>
        <d v="2022-04-06T00:00:00"/>
        <d v="2022-01-28T00:00:00"/>
        <d v="2022-01-17T00:00:00"/>
        <d v="2022-01-24T00:00:00"/>
        <d v="2022-03-16T00:00:00"/>
        <d v="2022-03-08T00:00:00"/>
        <d v="2022-03-28T00:00:00"/>
        <d v="2022-03-10T00:00:00"/>
        <d v="2022-03-15T00:00:00"/>
        <d v="2022-02-11T00:00:00"/>
        <d v="2022-01-12T00:00:00"/>
        <d v="2022-03-29T00:00:00"/>
        <d v="2022-01-21T00:00:00"/>
        <d v="2022-08-26T00:00:00"/>
        <d v="2022-03-14T00:00:00"/>
        <d v="2022-02-01T00:00:00"/>
        <d v="2022-01-18T00:00:00"/>
        <d v="2022-02-21T00:00:00"/>
        <d v="2022-06-13T00:00:00"/>
        <d v="2022-03-22T00:00:00"/>
        <d v="2022-03-03T00:00:00"/>
        <d v="2022-02-23T00:00:00"/>
        <d v="2022-04-12T00:00:00"/>
        <d v="2022-03-30T00:00:00"/>
        <d v="2022-01-05T00:00:00"/>
        <d v="2022-02-22T00:00:00"/>
        <d v="2022-02-24T00:00:00"/>
        <d v="2022-04-19T00:00:00"/>
        <d v="2022-02-09T00:00:00"/>
        <d v="2022-02-16T00:00:00"/>
        <d v="2022-04-13T00:00:00"/>
        <d v="2022-04-05T00:00:00"/>
        <d v="2022-08-01T00:00:00"/>
        <d v="2022-04-27T00:00:00"/>
        <d v="2022-02-14T00:00:00"/>
        <d v="2022-05-03T00:00:00"/>
        <d v="2022-02-15T00:00:00"/>
        <d v="2022-03-09T00:00:00"/>
        <d v="2022-05-02T00:00:00"/>
        <d v="2022-05-10T00:00:00"/>
        <d v="2022-05-05T00:00:00"/>
        <d v="2022-05-24T00:00:00"/>
        <d v="2022-05-20T00:00:00"/>
        <d v="2022-06-17T00:00:00"/>
        <d v="2022-03-04T00:00:00"/>
        <d v="2022-10-07T00:00:00"/>
        <d v="2022-10-18T00:00:00"/>
        <d v="2022-05-11T00:00:00"/>
        <d v="2022-04-21T00:00:00"/>
        <d v="2022-02-28T00:00:00"/>
        <d v="2022-05-13T00:00:00"/>
        <d v="2022-07-01T00:00:00"/>
        <d v="2022-06-07T00:00:00"/>
        <d v="2022-04-22T00:00:00"/>
        <d v="2022-02-17T00:00:00"/>
        <d v="2022-04-01T00:00:00"/>
        <d v="2022-06-01T00:00:00"/>
        <d v="2022-06-08T00:00:00"/>
        <d v="2022-05-16T00:00:00"/>
        <d v="2022-05-12T00:00:00"/>
        <d v="2022-06-28T00:00:00"/>
        <d v="2022-07-18T00:00:00"/>
        <d v="2022-04-29T00:00:00"/>
        <d v="2022-05-23T00:00:00"/>
        <d v="2022-05-04T00:00:00"/>
        <d v="2022-05-25T00:00:00"/>
        <d v="2022-05-30T00:00:00"/>
        <d v="2022-05-26T00:00:00"/>
        <d v="2022-05-31T00:00:00"/>
        <d v="2022-07-26T00:00:00"/>
        <d v="2022-07-04T00:00:00"/>
        <d v="2022-11-10T00:00:00"/>
        <d v="2022-12-19T00:00:00"/>
        <d v="2022-06-06T00:00:00"/>
        <d v="2022-03-23T00:00:00"/>
        <d v="2022-06-15T00:00:00"/>
        <d v="2022-04-20T00:00:00"/>
        <d v="2022-09-27T00:00:00"/>
        <d v="2022-09-22T00:00:00"/>
        <d v="2022-10-24T00:00:00"/>
        <d v="2022-05-19T00:00:00"/>
        <d v="2022-09-08T00:00:00"/>
        <d v="2022-07-19T00:00:00"/>
        <d v="2022-10-13T00:00:00"/>
        <d v="2022-07-22T00:00:00"/>
        <d v="2022-06-27T00:00:00"/>
        <d v="2022-07-27T00:00:00"/>
        <d v="2022-09-05T00:00:00"/>
        <d v="2022-09-02T00:00:00"/>
        <d v="2022-08-04T00:00:00"/>
        <d v="2022-08-05T00:00:00"/>
        <d v="2022-05-09T00:00:00"/>
        <d v="2022-12-23T00:00:00"/>
        <d v="2022-09-14T00:00:00"/>
        <d v="2022-05-27T00:00:00"/>
        <d v="2022-10-26T00:00:00"/>
        <d v="2022-10-11T00:00:00"/>
        <d v="2022-10-10T00:00:00"/>
        <d v="2022-09-26T00:00:00"/>
        <d v="2022-09-06T00:00:00"/>
        <d v="2022-09-15T00:00:00"/>
        <d v="2022-08-12T00:00:00"/>
        <d v="2022-07-11T00:00:00"/>
        <d v="2022-06-10T00:00:00"/>
        <d v="2022-07-12T00:00:00"/>
        <d v="2022-10-04T00:00:00"/>
        <d v="2022-07-28T00:00:00"/>
        <d v="2022-09-19T00:00:00"/>
        <d v="2022-09-07T00:00:00"/>
        <d v="2022-08-03T00:00:00"/>
        <d v="2022-12-15T00:00:00"/>
        <d v="2022-08-08T00:00:00"/>
        <d v="2022-08-10T00:00:00"/>
        <d v="2022-12-01T00:00:00"/>
        <d v="2022-12-06T00:00:00"/>
        <d v="2022-06-14T00:00:00"/>
        <d v="2022-07-20T00:00:00"/>
        <d v="2022-09-20T00:00:00"/>
        <d v="2022-07-29T00:00:00"/>
        <d v="2022-07-25T00:00:00"/>
        <d v="2022-06-09T00:00:00"/>
        <d v="2022-06-30T00:00:00"/>
        <d v="2022-07-13T00:00:00"/>
        <d v="2022-08-22T00:00:00"/>
        <d v="2022-11-02T00:00:00"/>
        <d v="2022-11-04T00:00:00"/>
        <d v="2022-11-11T00:00:00"/>
        <d v="2022-11-16T00:00:00"/>
        <d v="2022-08-11T00:00:00"/>
        <d v="2022-07-21T00:00:00"/>
        <d v="2022-11-01T00:00:00"/>
        <d v="2022-11-28T00:00:00"/>
        <d v="2022-11-24T00:00:00"/>
        <d v="2022-06-21T00:00:00"/>
        <d v="2022-07-14T00:00:00"/>
        <d v="2022-09-16T00:00:00"/>
        <d v="2022-10-05T00:00:00"/>
        <d v="2022-09-12T00:00:00"/>
        <d v="2022-08-31T00:00:00"/>
        <d v="2022-07-08T00:00:00"/>
        <d v="2022-10-03T00:00:00"/>
        <d v="2022-12-07T00:00:00"/>
        <d v="2022-10-25T00:00:00"/>
        <d v="2022-11-23T00:00:00"/>
        <d v="2022-12-12T00:00:00"/>
        <d v="2022-12-13T00:00:00"/>
        <d v="2022-08-18T00:00:00"/>
        <d v="2022-11-08T00:00:00"/>
        <d v="2022-08-02T00:00:00"/>
        <d v="2022-10-12T00:00:00"/>
        <d v="2022-08-16T00:00:00"/>
        <d v="2022-11-30T00:00:00"/>
        <d v="2022-10-19T00:00:00"/>
        <d v="2022-08-19T00:00:00"/>
        <d v="2022-11-03T00:00:00"/>
        <d v="2022-10-06T00:00:00"/>
        <d v="2022-12-02T00:00:00"/>
        <d v="2022-09-13T00:00:00"/>
        <d v="2022-09-09T00:00:00"/>
        <d v="2022-11-29T00:00:00"/>
        <d v="2022-11-25T00:00:00"/>
        <d v="2022-10-21T00:00:00"/>
        <d v="2022-12-20T00:00:00"/>
        <d v="2022-11-21T00:00:00"/>
        <d v="2022-12-08T00:00:00"/>
        <d v="2022-11-07T00:00:00"/>
        <d v="2022-12-27T00:00:00"/>
        <d v="2022-12-22T00:00:00"/>
        <d v="2022-11-18T00:00:00"/>
        <d v="2022-12-14T00:00:00"/>
        <d v="2022-12-16T00:00:00"/>
        <d v="2022-04-10T00:00:00" u="1"/>
        <d v="2022-09-17T00:00:00" u="1"/>
        <d v="2022-10-27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21064814" createdVersion="6" refreshedVersion="6" minRefreshableVersion="3" recordCount="1229" xr:uid="{A335EFD6-0AE8-4374-A422-4CDE9EB622F5}">
  <cacheSource type="worksheet">
    <worksheetSource ref="A8:Y1237" sheet="VZ-2022"/>
  </cacheSource>
  <cacheFields count="25">
    <cacheField name="Datum předání na OVZ" numFmtId="0">
      <sharedItems containsDate="1" containsBlank="1" containsMixedTypes="1" minDate="2021-04-01T00:00:00" maxDate="2022-12-22T00:00:00"/>
    </cacheField>
    <cacheField name="Interní evidenční číslo" numFmtId="0">
      <sharedItems containsBlank="1"/>
    </cacheField>
    <cacheField name="Zadáv. prac." numFmtId="0">
      <sharedItems containsBlank="1" count="26">
        <s v="ZM"/>
        <s v="LÉK"/>
        <s v="INV"/>
        <s v="REACT"/>
        <s v="ZT"/>
        <s v="ENERG"/>
        <s v="VŠEOB"/>
        <s v="EKOLOG"/>
        <s v="OSB"/>
        <s v="INF"/>
        <s v="REACT VL"/>
        <s v="KVALITA"/>
        <s v="OSB "/>
        <s v="EKON"/>
        <s v="INV SFŽP"/>
        <s v="MARKET"/>
        <s v="DOPR"/>
        <s v="PERS"/>
        <s v="NTMC"/>
        <s v="PROVOZ"/>
        <s v="SERVIS"/>
        <s v="ZT - MEX"/>
        <s v="ZT "/>
        <m/>
        <s v="IT" u="1"/>
        <s v="TELEM" u="1"/>
      </sharedItems>
    </cacheField>
    <cacheField name="Osoba pověřená pro zadávací řízení" numFmtId="0">
      <sharedItems containsBlank="1"/>
    </cacheField>
    <cacheField name="Předmět plnění - název zakázky" numFmtId="0">
      <sharedItems containsBlank="1" count="636">
        <s v="Krevní vaky a automat pro zpracování plné krve"/>
        <s v="Infuzní vitamíny 2021 - Sdružený nákup"/>
        <s v="PD - Stavební úpravy objektu L - Transfuzní oddělení"/>
        <s v="Treprostinil k léčbě plicní arteriální hypertenze (PAH)"/>
        <s v="Staplery"/>
        <s v="Anesteziologické přístroje "/>
        <s v="Anesteziologické přístroje"/>
        <s v="PD – novostavba budovy C1 III."/>
        <s v="LP s obsahem emicizumabu 2021"/>
        <s v="ANTAGONISTÉ CGRP 2021"/>
        <s v="LP ze skupiny bioflavanoidů 2021 - sdružený nákup"/>
        <s v="Minerální doplňky s obsahem vápníku a hořčíku 2021 - sdružený nákup"/>
        <s v="Přeložky IS"/>
        <s v="Chronická dialýza"/>
        <s v="Ultrazvukové přístroje"/>
        <s v="Dodávka a instalace chladících jednotek"/>
        <s v="Tlakové převodníky"/>
        <s v="LP s obsahem bosentanu 2021 - sdružený nákup "/>
        <s v="Laserový přístroj a set pro morcelaci a enukleaci prostaty "/>
        <s v="12. Stenty vaskulární"/>
        <s v="Rouškovací sety pro Radiologii"/>
        <s v="LP ze skupiny cytostatik a imunumodulačních léčiv 2021"/>
        <s v="Triazolové deriváty II. 2021"/>
        <s v="LP ze skupiny cytostatik II. 2021"/>
        <s v="Dostavba a rekonstrukce budovy X"/>
        <s v="Širokoúhlá fundus kamera"/>
        <s v="Diagnostika GENETIKA 4. 2021 II."/>
        <s v="Drát zaváděcí Emerald"/>
        <s v="24. Systémy pro uzavírání tepenných vstupů po perkutánních cévních výkonech"/>
        <s v="4. Diagnostické katétry"/>
        <s v="Trn aspirační Spike"/>
        <s v="Specifické proteiny OKB 2021 včetně výpůjčky analyzátoru"/>
        <s v="Stavební úpravy operačních sálů KÚČOCH"/>
        <s v="Diagnostika Buněčná imunita PREVAL II."/>
        <s v="Kolektor - oprava napojení odbočných větví vodovodního řádu"/>
        <s v="Jiná antiepileptika 2021"/>
        <s v="Medicinální a technické plyny I. 2021"/>
        <s v="Modulární víceúčelové zdravotnické zařízení"/>
        <s v="Parkoviště kol"/>
        <s v="2. Vodící dráty k vaskulárním intervencím"/>
        <s v="Jiná antipsychotika 2021 - sdružený nákup"/>
        <s v="LP ze skupiny anticholinergik 2021 - sdružený nákup"/>
        <s v="Láhve a dudlíky krmící jednorázové "/>
        <s v="14. STENTGRAFTY AORTÁLNÍ "/>
        <s v="Vyšetření krevního obrazu u dárců krve a vzorků transfuzních přípravků s výpůjčkou přístrojů II."/>
        <s v="Katetr ultrazvukový ViewFlex Xtra"/>
        <s v="Zajištění prací spojených s odstraňováním havárií na vodovodních řadech a vodovodních přípojkách ve FNOL"/>
        <s v="Oprava obvodového pláště budovy L"/>
        <s v="Oprava skladovacích hal"/>
        <s v="Izolátor pro přípravu cytostatik"/>
        <s v="Svářečka"/>
        <s v="Balónexpandibilní stentgrafty vaskulární II./IV."/>
        <s v="6. Dilatační balónkové katétry vaskulární"/>
        <s v="Termocykler a 384-jamkový modul k termocykleru"/>
        <s v="Set  pro transapikální implantaci biologické mitrální chlopně prasečí"/>
        <s v="Vyšetření karcinomu prostaty s výpůjčkou analyzátoru"/>
        <s v="Stříkačky inflační a Y konektory pro PTCA"/>
        <s v="Bezdrátový ultrazvuk"/>
        <s v="Elektrochirurgické přístroje"/>
        <s v="Bezbariérové parkovací stání za budovou L"/>
        <s v="Medicinální a technické plyny II. 2021"/>
        <s v="Diagnostické monitory pro RTG"/>
        <s v="Pláště ošetřovatelské jednorázové"/>
        <s v="Renovace bytové jednotky na ubytovně"/>
        <s v="Cívka k magnetickému stimulátoru"/>
        <s v="26. Extraktory intravaskulární III"/>
        <s v="Stavební úpravy pro zřízení infekčního oddělení FNOL"/>
        <s v="Výroba a montáž nábytku Dětská klinika 7.NP"/>
        <s v="Katetr a vodič pro rotační aterektomii (rotablaci)"/>
        <s v="LP ze skupiny cytostatik III. 2021"/>
        <s v="Imunosupresiva II. 2021"/>
        <s v="Stavební úpravy kompresorové stanice v budově UZQ"/>
        <s v="Trokar separační bez břitu"/>
        <s v="Diagnostika Genetika 3. 2021 II."/>
        <s v="KYMRIAH"/>
        <s v="Diagnostika OKB 2022"/>
        <s v="Protézy cévní II."/>
        <s v="Diagnostika pro vyšetření protilátek Studie PREVAL II."/>
        <s v="Inhibitory proteinkináz II. 2021"/>
        <s v="Detekce viru SARS-COV-2  s výpůjčkou  RT PCR"/>
        <s v="4. Diagnostické katetry II."/>
        <s v="Materiál pro plazmaferézu k přístroji OMNI - OMNI set TPE"/>
        <s v="Filtr antibakteriální a virový Pulmosafe "/>
        <s v="Sada kolimátorů"/>
        <s v="LP s obsahem kyseliny obeticholové 2021"/>
        <s v="Dudlíky krmící jednorázové"/>
        <s v="Nástroj laparoskopický ruční Endo Babcock"/>
        <s v="Externí klinický audit"/>
        <s v="Přístroj pro funkční vyšetření plic"/>
        <s v="Vibrační odběrový lipoaspirační systém"/>
        <s v="Cefalosporiny III. Generace 2021"/>
        <s v="LP ze skupiny cytostatik a imunomodulačních léčiv 2021 II."/>
        <s v="Opioidní analgetika (anodyna) 2021"/>
        <s v="Jiná systémová hemostatika 2021 II."/>
        <s v="Stentgraft aortální hrudní"/>
        <s v="Léčivé prostředky s obsahem abirateronu 2021"/>
        <s v="Automatický analyzátor"/>
        <s v="Materiál spotřební pro NHF systém AIRVO 2 III."/>
        <s v="Rukavice vyšetřovací nitrilové bez pudru"/>
        <s v="Izolátor pro přípravu radiofarmak PET"/>
        <s v="PET / CT"/>
        <s v="Vrtací a pilové soupravy"/>
        <s v="Stříkačka injekční předplněná ORISE gel"/>
        <s v="Ochranná a  zdravotnická obuv II."/>
        <s v="Síťka extrakční na polypy endoskopická"/>
        <s v="LP s obsahem lenalidomidu 2022"/>
        <s v="LP s obsahem trastuzumabu 2022 - sdružený nákup  "/>
        <s v="LP s obsahem macitentanu 2022"/>
        <s v="Nástroje  endoskopické pro Urologickou kliniku"/>
        <s v="Přístroj pro zpracování tepelně tvarovatelných fólií "/>
        <s v="Náhradní díly pro komunikační systém sestra-pacient"/>
        <s v="Malá kamera pro dozimetrii"/>
        <s v="Hemodynamický monitor"/>
        <s v="Pozáruční servis IBM"/>
        <s v="Set pro uchovávání krve pro kryokonzervaci / kultivaci  "/>
        <s v="Čidlo saturační na čelo Oxi-max"/>
        <s v="Bioanalyzér"/>
        <s v="EEG přístroj s příslušenstvím"/>
        <s v="Plicní ventilátory"/>
        <s v="Kardioplegický set pro krevní kardioplegii"/>
        <s v="Ohřev krevních přípravků"/>
        <s v="Materiál spotřební k anesteziologickým přístrojům"/>
        <s v="Respirátory FFP2 bez výdechového ventilu"/>
        <s v="Pozáruční servis aktivních prvků"/>
        <s v="Filtr jednorázový pro analyzátor Hypair FeNO+"/>
        <s v="15. Embolizační spirály odpoutatelné neurointervenční"/>
        <s v="Poskytování služeb technické podpory a servisu telefonního systému "/>
        <s v="Izolátor DNA"/>
        <s v="Ligační zařízení pro endoskopii včetně aplikátoru 4.1."/>
        <s v="Dopa a její deriváty 2022"/>
        <s v="Úprava hygienického zařízení v 1.PP budovy R"/>
        <s v="Automaty pro zpracování tkání"/>
        <s v="27. Stenty biliární metalické samoexpadibilní II."/>
        <s v="Katetr balónkový kontrapulzační intraaortální"/>
        <s v="PC sestavy FNOL 2022"/>
        <s v="Systém pro analýzu obrazu"/>
        <s v="Vibrační odběrový lipoaspirační systém II."/>
        <s v="Selektivní imunosupresiva 2022"/>
        <s v="Inhibitory proteinkináz I. 2022"/>
        <s v="Inhibitory interleukinu 2022"/>
        <s v="Drát vodící k měření intrakoronárního tlaku - Pressure Wire X "/>
        <s v="LP z ATC J06BA02 a N04BC 2022"/>
        <s v="Jiná cytostatika  I.  2022"/>
        <s v="LP s obsahem glatiramer-acetátu 2022"/>
        <s v="Inhibitory proteinkináz II. 2022 "/>
        <s v="Monoklonální protilátky  2022"/>
        <s v="Monoklonální protilátky  II.  2022"/>
        <s v="LP s obsahem tafamidu 2022"/>
        <s v="Pec polymerační na fotokompozity"/>
        <s v="Lůžka a lehátka"/>
        <s v="Mikroskopy II"/>
        <s v="Sety pro bezpečné podávání cytostatik k infuzním pumpám"/>
        <s v="Přístroj pro perfuzi dárcovské ledviny"/>
        <s v="Laminární boxy II."/>
        <s v="Spektrofotometr na měření kvality DNA"/>
        <s v="Operační, zákroková a vyšetřovací svítidla"/>
        <s v="Akutní dialýza - roztoky, spotřební materiál"/>
        <s v="Antibakteriální léčiva pro systémovou aplikaci I. 2022"/>
        <s v="Antibakteriální léčiva pro systémovou aplikaci II. 2022"/>
        <s v="Ostraha přepravovaných cenných zásilek"/>
        <s v="Antibakteriální léčiva pro systémovou aplikaci III. 2022"/>
        <s v="Antibakteriální léčiva pro systémovou aplikaci IV. 2022"/>
        <s v="Antibakteriální léčiva pro systémovou aplikaci V. 2022"/>
        <s v="Antibakteriální léčiva pro systémovou aplikaci 2022 a LP s obsahem nimesulidu 2022"/>
        <s v="Oprava větrání a osvětlení technologického kanálu"/>
        <s v="Výměna výplní vnějších otvorů – budova E"/>
        <s v="Oprava podlah v budově D1 - 6.NP"/>
        <s v="Hemodynamické monitory"/>
        <s v="Bioanalyzér pro určení kvality DNA/RNA"/>
        <s v="Pilotní projekt VDI včetně rozšíření VMWare klastru"/>
        <s v="Morcellator jednorázový k elektrokoagulaci výr. OLYMPUS pro PORGYN"/>
        <s v="Rekombinantní faktor IX."/>
        <s v="LP ze skupiny anticholinergik 2022 - sdružený nákup"/>
        <s v="LP s obsahem adalimumabu 2022"/>
        <s v="LP s obsahem omalizumabu 2022 - sdružený nákup"/>
        <s v="LP s obsahem trastuzumab deruxtekanu 2022 - sdružený nákup"/>
        <s v="LP s obsahem remdesiviru 2022"/>
        <s v="Jiná imunostimulancia 2022"/>
        <s v="Interferony 2022"/>
        <s v="ELISA analyzátory"/>
        <s v="PD - Akutní infekční ambulance v budově A"/>
        <s v="Ergospirometrie s bicyklovým ergometrem"/>
        <s v="Mobilní infuzní pumpy pro parenterální výživu"/>
        <s v="4.4. Kleště koagulační endoskopické jednorázové"/>
        <s v="Neuronavigace"/>
        <s v="LP s obsahem sarilumabu 2022 - sdružený nákup"/>
        <s v="LP s obsahem anakinry 2022 - sdružený nákup"/>
        <s v="LP s obsahem kangreloru 2022 - sdružený nákup"/>
        <s v="LP s obsahem enzalutamidu 2022 - sdružený nákup"/>
        <s v="Nástroje pro COSS - I.CHIR - obnova a doplnění stávajícího instrumentária výr.AESCULAP"/>
        <s v="LP s obsahem akalabrutinibu 2022 - sdružený nákup"/>
        <s v="LP s obsahem ruxolitinibu 2022 - sdružený nákup"/>
        <s v="Staplery II."/>
        <s v="Mikrobiologické analyzátory"/>
        <s v="Navigovaná bronchoskopie"/>
        <s v="Vysokoobrátkové elektrické vrtačky"/>
        <s v="Imunologické analyzátory"/>
        <s v="FN Olomouc - fotovoltaické systémy"/>
        <s v="Hepariny 2022"/>
        <s v="Chladící a mrazící technika"/>
        <s v="Ultrazvukový aspirátor"/>
        <s v="Oprava podlahy ve skladovací hale č.2"/>
        <s v="Stavební úpravy P1 - vyšetřovna, kožní klinika"/>
        <s v="Rouškovací sety pro Ortopedickou kliniku"/>
        <s v="LP s obsahem lenalidomidu 2022 II."/>
        <s v="LP s obsahem lenalidomidu III. 2022"/>
        <s v="Jiná cytostatika II. 2022"/>
        <s v="Katetr zaváděcí koronární perifurní Guideliner"/>
        <s v="Ablační katetry pro pulzní katetrizační ablaci"/>
        <s v="4.5. Vodící katétry neurointervenční"/>
        <s v="Kličky polypektomické"/>
        <s v="Mamograf"/>
        <s v="Trokary"/>
        <s v="Centrifugy"/>
        <s v="Výroba a montáž nábytku 1/2022"/>
        <s v="Odborné konzultace a dozor při implementaci NIS"/>
        <s v="Materiál spotřební k separátorům krevních částic Trima Accel"/>
        <s v="Ubytování a služby spojené s organizací odborné akce FN Olomouc - konference Hospital management 2022"/>
        <s v="Myčky"/>
        <s v="8. Zaváděcí systém biliárních stentů"/>
        <s v="Odborné konzultace a dozor při implementaci nemocničního informačního systému II."/>
        <s v="Plechové šatní skříňky pro Nádstavbu budovy A"/>
        <s v="15. Embolizační spirály odpoutatelné neurointervenční II."/>
        <s v="Stomatologická souprava"/>
        <s v="Systém AtriClip pro uzávěr ouška levé srdeční síně (LAA)"/>
        <s v="Mikroskopy III"/>
        <s v="Operační mikroskop KÚČOCH"/>
        <s v="Materiál spotřební nCPAP k přístroji Babylog VN 500 Dräger"/>
        <s v="Elektroda defibrilační endokardiální PLEXA"/>
        <s v="LP s obsahem foskarnetu 2022 "/>
        <s v="Přímo působící antivirotika 2022"/>
        <s v="Triazolové deriváty 2022"/>
        <s v="LP s obsahem ofatumumabu 2022 - sdružený nákup"/>
        <s v="Selektivní imunosupresiva II. 2022"/>
        <s v="LP s obsahem teduglutidu 2022"/>
        <s v="LP s obsahem ekulizumabu 2022 - sdružený nákup"/>
        <s v="PCR"/>
        <s v="6. Nůž elektrochirurgický jednorázový"/>
        <s v="Inkubátory"/>
        <s v="2.4. Vodící mikrodráty k periferním vaskulárním intervencím"/>
        <s v="Nákup sanitních vozidel 2022"/>
        <s v="Rouškovací sety pro Kardiochirurgickou kliniku"/>
        <s v="Redukční ventily kyslíku, regulátory podtlaku, průtokoměry kyslíku a zvlhčovače k průtokoměrům kyslíku"/>
        <s v="Evusheld"/>
        <s v="ICD s možností vzdálené kontroly pacienta a časného upozornění hrozícího srdečního selhání a s automatickým exportem dat z programeru na zabezpečené cloudové úložiště"/>
        <s v="Rostlinné alkaloidy 2022"/>
        <s v="Injekční stříkačky třídílné - sdružený nákup"/>
        <s v="Defibrilátory"/>
        <s v="Klipy a aplikátory klipů"/>
        <s v="Výrobník ledu"/>
        <s v="Aeroskop pro mikrobiální monitorování vzduchu"/>
        <s v="Odběrová křesla"/>
        <s v="Katetry PHmetrické impedanční k přístroji Digitrapper"/>
        <s v="Ohřev krevních přípravků II"/>
        <s v="Vysokoobrátkové elektrické vrtačky II."/>
        <s v="Vozidlo na převoz krevních derivátů"/>
        <s v="Pumpa centrifugační k přístroji Stöckert S5"/>
        <s v="Operační, zákroková a vyšetřovací svítidla II."/>
        <s v="Novostavba budovy G"/>
        <s v="Napájecí zdroje k infuzním pumpám a lineárním dávkovačům"/>
        <s v="Hessovo plátno s příslušenstvím"/>
        <s v="Kazetový sterilizátor"/>
        <s v="Retraktorové systémy"/>
        <s v="Přístroj pro perfuzi dárcovské ledviny II."/>
        <s v="Odběrová křesla pro Radiologickou kliniku"/>
        <s v="Operační stoly KÚČOCH"/>
        <s v="EKG Holter - snímač"/>
        <s v="Anesteziologický přístroj"/>
        <s v="Materiál spotřební k injektorům kontrastní látky ACIST CVi"/>
        <s v="Poskytování licencí a služeb technické podpory a servisu informačního systému NextGENe a Genetický asistent"/>
        <s v="Mrazící box"/>
        <s v="Pec polymerační na fotokompozita II"/>
        <s v="Poskytování licencí, služeb technické podpory a servisu informačního systému eKLIN/ePOST"/>
        <s v="Ubytování a služby spojené s realizací vzdělávací akce pro vedoucí zaměstnance FN Olomouc"/>
        <s v="Dokumentační systém pro gelovou dokumentaci"/>
        <s v="Ruční fundus kamera"/>
        <s v="LP s obsahem rivaroxabanu"/>
        <s v="Dezinfekce myčky endoskopů 2022"/>
        <s v="Inhibitory proteinkináz III. 2022"/>
        <s v="Jiná periferně působící myorelaxancia 2022"/>
        <s v="Celotělové bodypletysmografy s příslušenstvím"/>
        <s v="Sanace 2ks lodžií - budova Q"/>
        <s v="Výměna stávajících dveří za automatizované - 2NP. - budova S"/>
        <s v="Trokary II."/>
        <s v="Aeroskop pro mikrobiální monitorování vzduchu II."/>
        <s v="Oprava obvodového pláště budovy L II."/>
        <s v="Převoz zemřelých"/>
        <s v="Oprava MaR ve výměníkových stanicích FNOl"/>
        <s v="Rentgenové přístroje "/>
        <s v="24. a 25. Stent pankreatický plastový"/>
        <s v="23. a 26. Stenty biliární plastové"/>
        <s v="Kolektor – výměna ventilů na vodovodním řádu"/>
        <s v="Time lapse system"/>
        <s v="Gallium-68 Generátory"/>
        <s v="Dezinfektor podložních mís"/>
        <s v="Likvidace odpadů z FN Olomouc"/>
        <s v="2.6.Vodící dráty k vaskulárním neurointervencím II."/>
        <s v="Diagnostická ultrazvuková sonda s příslušenstvím"/>
        <s v="LP s obsahem imatinibu 2022"/>
        <s v="LP s obsahem pazopanibu 2022 - sdružený nákup"/>
        <s v="Celotělový analyzátor"/>
        <s v="5.3. Mikrokatétry neurointervenční I."/>
        <s v="Jiná imunostimulancia II. 2022"/>
        <s v="ACE inhibitory 2022"/>
        <s v="Antibakteriální léčiva pro systémovou aplikaci VI. 2022"/>
        <s v="Flexibilní video-endoskopy"/>
        <s v="Poskytování licencí a služeb IS pro sběr a analýzu dat pro odhad radiační zátěže pacientů "/>
        <s v="Vozidlo na převoz krevních derivátů II."/>
        <s v="Sučička laboratorního skla"/>
        <s v="Systém Atriclip PRO2 k uzávěru ouška levé síně (LAA)"/>
        <s v="Analyzátor pro zpracování metody nepřímé imunofluorescence"/>
        <s v="Automatické odpouštění vody II"/>
        <s v="Systém pro odvod operačních zplodin"/>
        <s v="Servis hmotnostního spektrometru s plynovým chromatografem"/>
        <s v="Komfortní transportní vícesegmentová lehátka II"/>
        <s v="Aplikátor klipů a klipy (Cor-Knot) k ukotvení stehů chlopenní náhrady"/>
        <s v="Renovace bytových jednotek – Etapa II – budova AYD"/>
        <s v="Nábytek na míru – Infekční oddělení FNOL"/>
        <s v="Svářečky"/>
        <s v="Set k implantaci - chlopeň Intuity Elite bovinní bezstehová"/>
        <s v="Materiál spotřební nCPAP k přístroji Babylog VN 500 Dräger II"/>
        <s v="Endoskopy"/>
        <s v="Kit PSMA"/>
        <s v="Příslušenství k endoskopickým věžím"/>
        <s v="LP s obsahem lenalidomidu IV. 2022"/>
        <s v="Digitální transformace klinických procesů formou nemocničního informačního systému"/>
        <s v="Dodávka pneumatik pro osobní, dodávková a nákladní vozidla FNOL"/>
        <s v="PD - stavební úpravy budovy E"/>
        <s v="Servis EKV,EZS,CCTV"/>
        <s v="Dodávka kancelářských zařízení pro kopírování, skenování a tisk"/>
        <s v="Katetry radiofrekvenční včetně výpůjčky generátoru a fixační desky (WAVELINQ EndoAVF Systém)"/>
        <s v="Uzavřený odběrový systém"/>
        <s v="Myčka obuvi"/>
        <s v="Insulin  Lispro 2022"/>
        <s v="Vitamín K a jiná hemostatika 2022 "/>
        <s v="Jiná cytostatika III. 2022"/>
        <s v="12. Systém perkutánních endoskopických stomií PEG/PEJ"/>
        <s v="Systém pro intraoperační neuromonitorace"/>
        <s v="8. Injektory jednorázové endoskopické "/>
        <s v="Mykologický analyzátor II"/>
        <s v="Rigidní bronchoskopy pro tryskovou ventilaci Twinstream"/>
        <s v="Materiál spotřební k systému na stanovení ACT II"/>
        <s v="Aplikátory klipů a klipy (Cor-Knot) k ukotvení stehů chlopenní náhrady"/>
        <s v="Dodávka licencí zálohovacího SW"/>
        <s v="Osteosyntetický materiál pro TRAU pracoviště COS"/>
        <s v="Elektromyografický přístroj s evokovanými potenciály"/>
        <s v="Leštička s odsáváním a osvětlením pracovního prostoru"/>
        <s v="Kardiostimulátor pro optimalizaci průběhu kalciového gradientu u pacientů s pokročilým srdečním selháním"/>
        <s v="Monitory vitálních funkcí"/>
        <s v="Set HLS pro krátkodobou srdeční podporu k přístroji CARDIOHELP"/>
        <s v="Kanyly k oxygenerátorům"/>
        <s v="Enterální výživa - materiál spotřební k aplikaci "/>
        <s v="Jiná gynekologika 2022"/>
        <s v="Opioidní analgetika 2022"/>
        <s v="Perorální antidiabetika I. 2022"/>
        <s v="Perorální antidiabetika II. 2022"/>
        <s v="Systém detekční - gama sonda"/>
        <s v="Pacientská vážící podložka"/>
        <s v="Elektrochirurgické generátory)"/>
        <s v="Elektrochirurgické generátory"/>
        <s v="Dopplerovský monitor průtoku krve"/>
        <s v="Somatropin a agonisté somatropinu I. 2022 - sdružený nákup"/>
        <s v="Somatropin a agonisté somatropinu II. 2022 - sdružený nákup"/>
        <s v="LP s obsahem sufentanilu 2022 - sdružený nákup"/>
        <s v="Agonisté dopaminu I. 2022"/>
        <s v="Agonisté dopaminu II. 2022"/>
        <s v="Extrakty alergenů 2022"/>
        <s v="Úprava rozvodů ÚT - budova I - I.Etapa"/>
        <s v="Modernizace systémů MetaSystems"/>
        <s v="Kancelářský papír 2022"/>
        <s v="Vrtáky diamantové k vrtačce Midas Rex"/>
        <s v="LP s obsahem letermoviru 2022 - sdružený nákup"/>
        <s v="Antiagregancia 2022"/>
        <s v="LP s obsahem everolimu a deferasiroxu 2022"/>
        <s v="Systém pro kvantitativní koronární analýzu"/>
        <s v="Hybridní matrace"/>
        <s v="Modelace trávícího traktu"/>
        <s v="Analyzátor mateřského mléka MIRIS"/>
        <s v="Mikroskopy IV."/>
        <s v="Protézy cévní pletené se stříbrem a antimikrobiální látkou Triclosanem"/>
        <s v="LP s obsahem remdesiviru 2022 II."/>
        <s v="Kombinovaný přístroj elektroléčba a ultrazvuk "/>
        <s v="Systém pro katetrovou implantaci aortální chlopně (TAVI) - sdružený nákup "/>
        <s v="Flexibilní cystoskopy a ureterorenoskopy pro Urologickou kliniku"/>
        <s v="Kardiostimulátory biventrikulární s TVI pro I.IK"/>
        <s v="Katetr Zoll Icy 3 lumen k přístroji pro hypotermii ALSIUS THERMOGARD XP pro I.IK"/>
        <s v="Rouškovací sety pro Neurochirurgickou kliniku"/>
        <s v="Hlubokomrazící box"/>
        <s v="Upgrade telefonního systému"/>
        <s v="Automatické IHC a ISH barvení s výpůjčkou abarvících automatů"/>
        <s v="Gonadotropiny 2022"/>
        <s v="Blokátory receptorů pro angoitensin II 2022"/>
        <s v="Hormony zadního laloku hypofýzy 2022 "/>
        <s v="Jiná kardiaka 2022"/>
        <s v="Nákup sanitních vozidel 2022 II."/>
        <s v="Jiná antivirotika 2022"/>
        <s v="Alkylační látky 2022"/>
        <s v="Katetry  Fogarty"/>
        <s v="Drát vodící Amplatz extra-stiff  "/>
        <s v="Vyhodnocení kvality a bezpečnosti poskytované péče III."/>
        <s v="Roušky břišní NT speciál s RTG vláknem"/>
        <s v="Laryngoskop"/>
        <s v="Rehabilitační pomůcky"/>
        <s v="PCR II"/>
        <s v="Plynový chromatograf"/>
        <s v="Ubytování a služby spojené s realizací odborné akce FN Olomouc – konference Veřejné zakázky ve zdravotnictví"/>
        <s v="Automatický externí defibrilátor"/>
        <s v="PD - zateplení ubytoven a dětské kliniky FNOL"/>
        <s v="Oprava opláštění a střechy části skladovací haly"/>
        <s v="Jiná systémová hemostatika"/>
        <s v="Monoklonální protilátky III. 2022"/>
        <s v="LP s obsahem parathormonu a ravulizumabu"/>
        <s v="Inhibitory proteinkináz IV. 2022"/>
        <s v="Jiná cytostatika IV. 2022"/>
        <s v="Noční stolky a noční stolky s jídelní deskou "/>
        <s v="14. Stengrafty aortální II. "/>
        <s v="Infuzní technika"/>
        <s v="Jídelní stolky"/>
        <s v="Servis analyzátorů sítí"/>
        <s v="Katétr elektrofyziologický říditelný Livewire"/>
        <s v="Membránové oxygenátory včetně hadicových setů pro vedení mimotělního oběhu"/>
        <s v="Videolaryngoskop"/>
        <s v="Chodítko s elektrickým zdvihem"/>
        <s v="Podlahářské práce"/>
        <s v="Analyzátor mateřského mléka II"/>
        <s v="Přepojení splaškové kanalizace budovy XN, XM"/>
        <s v="Elektrochirurgický generátor pro Urologickou kliniku"/>
        <s v="Rouškovací sety pro POR-GYN kliniku"/>
        <s v="PD - Stavební úpravy budovy Q - ambulance a zázemí dětské kliniky"/>
        <s v="Demolice budovy B"/>
        <s v="Gallium-68 Generátory II."/>
        <s v="Rekonstrukce plotů, bran a opěrné zídky"/>
        <s v="Čtečky čárových kódů"/>
        <s v="Rozšíření licencí a poskytování podpory klinického farmakokinetického IS "/>
        <s v="Přístroj pro perfuzi dárcovské ledviny III"/>
        <s v="Dochlazení místností OPECH v 1.NP, budova A"/>
        <s v="Digitální morfologie"/>
        <s v="LP s obsahem afliberceptu 2022"/>
        <s v="LP s obsahem cinakalcetu 2022"/>
        <s v="Vyšetření krevního obrazu u dárců krve a vzorků transfuzních přípravků s výpůjčkou přístrojů III."/>
        <s v="LP s obsahem orfenadrinu 2022 - sdružený nákup"/>
        <s v="LP s obshem sugammadexu 2022 - sdružený nákup"/>
        <s v="LP s obsahem darolutamidu 2022 - sdružený nákup"/>
        <s v="Ubytování a služby spojené s realizací odborné akce FN Olomouc – konference Veřejné zakázky ve zdravotnictví II."/>
        <s v="Analyzátor otoakustických emisí"/>
        <s v="Chodítko s elektrickým zdvihem II"/>
        <s v="Oprava střechy budovy QZI1"/>
        <s v="Analoga gonadotropin-releasing hormonu a degarelix 2022"/>
        <s v="LP s obsahem tolvaptanu 2022 - sdružený nákup"/>
        <s v="LP s obsahem palivizumabu 2022 - sdružený nákup"/>
        <s v="Inhibitory aromatasy 2022"/>
        <s v="Antithymocitálení imunoglobuliny 2022"/>
        <s v="Katetry ICP pro měření nitrolebního tlaku "/>
        <s v="Podpora krátkodobá srdeční mechanická IMPELLA pro I. IK"/>
        <s v="6.Dilatační balónkové katétry vaskulární II."/>
        <s v="Fyziologický navigační systém pro zavádění elektrod při DBS operaci"/>
        <s v="SW pro hloubkovou mozkovou stimulaci (DBS)"/>
        <s v="Přímé inhibitory faktoru XA I. 2022"/>
        <s v="Inkubátor pro Oddělení nemocniční hygieny II"/>
        <s v="Podlahářské práce II."/>
        <s v="Bronchoskopy jednorázové"/>
        <s v="Operační svítidla ORL"/>
        <s v="Laminární boxy III."/>
        <s v="Oprava výtahů č. 63,82"/>
        <s v="Systém pro ohřev pacienta"/>
        <s v="Optický koherentní tomografický systém"/>
        <s v="Paramagnetické kontrastní látky 2022 "/>
        <s v="Ubytování a služby spojené s realizací odborné akce FN Olomouc – konference XIII. Luklův kardiologický den"/>
        <s v="Lůžka a lehátka II"/>
        <s v="7.Kleště bioptické jednorázové do gastroskopu/koloskopu"/>
        <s v="Manuální myčka endoskopů"/>
        <s v="Materiál spotřební k inokulačnímu automatu WASP"/>
        <s v="Nerezový mobiliář 2022"/>
        <s v="Servisní podpora SW aplikace CEVIS Shiftmaster"/>
        <s v="Kontejnery sterilizační a dekontaminační včetně příslušenství "/>
        <s v="Automatický extrerní defibrilátor II."/>
        <s v="Membránové oygenátory včetně hadicových setů pro vedení mimotělního oběhu II."/>
        <s v="Servis, opravy a údržba nákladních vozidel nad 3.500 Kg"/>
        <s v="Audit účetní závěrky státní příspěvkové organizace FN Olomouc za období 2022 - 2025"/>
        <s v="Jiná antianemika 2022 - sdružený nákup"/>
        <s v="LP s obsahem segelipasy alfa 2022"/>
        <s v="Hypertonické roztoky 2022"/>
        <s v="Chlopeň biologická perikardiální určená pro náhradu mitrální chlopně"/>
        <s v="Enterální výživa - materiál spotřební k aplikaci II."/>
        <s v="Insuliny a analoga dlouze působící 2022 - sdružený nákup"/>
        <s v="Uzávěr dezinfekčních k bezjehlovému vstupu se 70% IPA"/>
        <s v="Oprava střešního pláště budov RZE"/>
        <s v="Oprava opěrné zdi  a schodiště ubytovny AYH2"/>
        <s v="Sety k systému Centurion pro Oční kliniku"/>
        <s v="Bronchoskopy flexibilní jednorázové"/>
        <s v="LP ze skupiny koagulačních faktorů 2022"/>
        <s v="Intervenční kardiologie I."/>
        <s v="Nástroje chirurgické pro kliniky FNOL I. (výrobce  MEDIN )"/>
        <s v="Skříňové vozíky s prachostěnými dveřmi"/>
        <s v="Glukokortikoidy 2022"/>
        <s v="Vazopresin a analoga 2022"/>
        <s v="LP s obsahem dexmedetomidinu 2022"/>
        <s v="Oprava střešního pláště budovy WH"/>
        <s v="Nástroje chirurgické pro kliniky FNOL II."/>
        <s v="Nástroje chirurgické pro kliniky FNOL III."/>
        <s v="Oxygen Assist Module (OAM)"/>
        <s v="Oprava místního rozhlasu v budově U"/>
        <s v="Svářečky II."/>
        <s v="Kontrola a ověření kvality PET-SPECT zobrazení"/>
        <s v="Aquapaky sterilní vody"/>
        <s v="Rouškovací sety pro I. Interní kliniku "/>
        <s v="PD – Obnova nemovité kulturní památky Fort Tabulový vrch"/>
        <s v="Anestetika lokální 2022"/>
        <s v="Multienzymové přípravky 2022"/>
        <s v="Monotoring a hodnocení variability srdeční frekvence metodou spektrální analýzy"/>
        <s v="Nástroje chirurgické pro I.IK"/>
        <s v="Bronchoskopy jednorázové II"/>
        <s v="Úpravny vody"/>
        <s v="Nástroje chirurgické pro kliniky FNOL IV."/>
        <s v="Nemocniční standardní lůžka"/>
        <s v="Dodávka All-in-One pracovních stanic"/>
        <s v="Dodání a montáž konvektomatu v budově WD "/>
        <s v="Radiofarmakum fluorocholine (18F) 2022"/>
        <s v="Dodávka a zavedení síťové behaviorální analýzy"/>
        <s v="Chlazení místností ambulancí NCHIR v 1.NP, budova M3"/>
        <s v="LP s obsahem Adalimumabu 2022 II."/>
        <s v="Dodávka dectů 2022"/>
        <s v="Čistírna odpadních vod (ČOV) ve FNOL – oprava, rekonstrukce selektorů, aktivačních nádrží a technologie"/>
        <s v="LP s obsahem trifluridinu v kombinaci 2022"/>
        <s v="LP s obsahem tisagenlekleucelu 2022"/>
        <s v="ANTAGONISTÉ ALFA-ADRENERGNÍCH RECEPTORŮ 2022"/>
        <s v="Poskytování úklidových služeb"/>
        <s v="3D tiskárna s mycí a vytvrzovací stanicí"/>
        <s v="Přístroj pro perfuzi dárcovské ledviny IV."/>
        <s v="Spotřební materiál k artroskopické věži Arthrex"/>
        <s v="Cytometr"/>
        <s v="Sfinkterotom trojlumenný, rotační"/>
        <s v="CO2 Inkubátor pro Hemato-onkologickou kliniku II"/>
        <s v="Tabletový transportní vozík "/>
        <s v="Oprava rozvodu a zajištění tlaku v rozvodech studené vody v areálu FNOL "/>
        <s v="Servis automatických dvěří FNOL"/>
        <s v="Výměna kompresorů v budově A,M"/>
        <s v="LP ze skupiny cytostatik 2022"/>
        <s v="Materiál spotřební k neuromonitoru včetně výpůjčky přístroje pro ORL"/>
        <s v="LP s obsahem abirateronu 2022"/>
        <s v="Dodávka jehličkových tiskáren"/>
        <s v="Nástroje chirurgické pro NCHIR operační sály - rozšíření stávajícího instrumentária"/>
        <s v="Poskytnutí služeb auditora v oblasti kybernetické bezpečnosti"/>
        <s v="Oprava MaR P1,P2,Q1,M2,WE"/>
        <s v="PD – Stavební úpravy objektu J3 - KNM - lůžkové oddělení"/>
        <s v="Přímé inhibitory faktoru XA II. 2022 "/>
        <s v="Insulin Lispro II. 2022"/>
        <s v="Dodání tabletového transportního vozíku II"/>
        <s v="LP s obsahem cidofoviru 2022"/>
        <s v="KYSELINA AMINOSALICYLOVÁ A PODOBNÉ LÁTKY 2022"/>
        <s v="Dezinfekční přípravky na podlahy, povrchy a předměty 2022"/>
        <s v="Dezinfekce kůže a operačního pole 2022"/>
        <s v="Dezinfekce, mytí a ošetření rukou 2022, "/>
        <s v="Úprava hygienického zařízení v 1.NP budovy RZE"/>
        <s v="Dezinfekční přípravky 2022"/>
        <s v="Výměna výplní vnějších otvorů v budovách SZN, SZO, YB1"/>
        <s v="Vyšetření tumormakrerů s výpůjčkou přístroje"/>
        <s v="Termocyklér"/>
        <s v="Digitální dermatoskop"/>
        <s v="Spotřební materiál k artroskopické věži Johnson"/>
        <s v="STAVEBNÍ ÚPRAVY BUDOVY L – TRANSFUZNÍ ODDĚLENÍ"/>
        <s v="EKG"/>
        <s v="Nástroje chirurgické pro kliniky FNOL V."/>
        <s v="Servis přístrojů výrobce GE"/>
        <s v="Oprava střešního pláště budovy P2"/>
        <s v="Oprava unifikovaného shromažďovacího místa Xa v areálu FNOL"/>
        <s v="PD - stavební úpravy budov H1, H2"/>
        <s v="Radiofrekvenční elektrochirurgický generátor"/>
        <s v="Spinální implantáty"/>
        <s v="Nástroj laparoskopický k přístroji PlasmaJet pro PORGYN"/>
        <s v="Hematologický analyzátor sedimentace erytrocytů"/>
        <s v="Katetr radioablační - svorka bipolární"/>
        <s v="Mobilní úpravna vody na principu reverzní osmózy"/>
        <s v="Kleště ablační pro thorakoskopickou ablaci plicních žil"/>
        <s v="Přenosný elastomerní infuzní systém INFUSOR LV"/>
        <s v="Pozáruční servis imunohistochemického přístroje Ventana"/>
        <s v="Kancelářské potřeby papírové"/>
        <s v="Materiál spotřební k harmonickému skalpelu"/>
        <s v="Intervenční kardiologie II."/>
        <s v="Mísící zařízení"/>
        <s v="Oprava rozvodu a zajištění tlaku v rozvodech studené vody v areálu FNOL II"/>
        <s v="Intraorální přístroj s přímou digitalizací II"/>
        <s v="Nástroje chirurgické pro kliniky FNOL VI."/>
        <s v="Tlaková infuzní jednotka"/>
        <s v="Excimerový laser"/>
        <s v="PD – Novostavba budovy P4"/>
        <s v="38. Vodící dráty k vaskulárním neurointervencím"/>
        <s v="Antagonisté serotoninových 5TH3 receptorů 2022 - sdružený nákup"/>
        <s v="LP s obsahem sildenafilu 2022"/>
        <s v="Jiné hormony předního laloku hypofýzy a analoga 2022 - sdružený nákup"/>
        <s v="LP s obsahem mesalazinu 2022"/>
        <s v="LP s obsahem dexmedetomidinu 2022 II."/>
        <s v="Senzory k měření hemodynamiky"/>
        <s v="Čistíci prostředky a jiné drogistiské zboží 2023"/>
        <s v="Senzory k měření cerebrální oxymetrie "/>
        <s v="Set pro transapikální implantaci biologické mitrální chlopně prasečí "/>
        <s v="Analyzátor otoakustických emisí II"/>
        <s v="Sutura menisku-Kotva na meniskus-souprava"/>
        <s v="Nestabilita kolene - Šroub interferenční vstřebatelný pro rekonstrukci křížového vazu"/>
        <s v="Výroba a montáž nábytku 3/2022"/>
        <s v="Monitory"/>
        <s v="Servis ESSER + C4, NZS-Ero, instalační a montážní práce"/>
        <s v="Senzory k měření cerebrální oxymetrie k systémům INVOS"/>
        <s v="Sekvenování DNA"/>
        <s v="Regály pro OCS"/>
        <m/>
        <s v="Paramagntické kontrastní látky 2022 " u="1"/>
        <s v="Výměna výplní vnějších otvorů - budova AYA" u="1"/>
        <s v="Systém Articlip PRO2 k uzávěru ouška levé síně (LAA)" u="1"/>
        <s v="Termocycler" u="1"/>
        <s v="LP s obsahem olaparibu 2022" u="1"/>
        <s v="Péče o zeleň" u="1"/>
        <s v="LP s obsahem treprostinilu 2021" u="1"/>
        <s v="Nástroje chirurgické pro kliniky FNOL  - specifikované dle výrobce MEDIN " u="1"/>
        <s v="LP ze skupiny anticholinergin 2021 - sdružený nákup" u="1"/>
        <s v="Modul na přípravu mikroskopického preparátu" u="1"/>
        <s v="Spinální implatntáty" u="1"/>
        <s v="Novorozenecký sreening SMA s výpůjčkou analyzátoru" u="1"/>
        <s v="LP ze skupiny anticholinergik 2022-sdružený nákup" u="1"/>
        <s v="Aktivní antidekubitní matrace pro pacienty s vyšší hmotností II" u="1"/>
        <s v="Inhibitory interleukinu a LP s obsahem adalimumabu 2022" u="1"/>
        <s v="5.2. Kličky k diatermické polypektomii, jednorázové" u="1"/>
        <s v="Akumulátorové vrtací soupravy" u="1"/>
        <s v="LP s obsahem ekulizumabu 2022  sdružený nákup" u="1"/>
        <s v="Stenty biliární metalické samoexpadibilní II." u="1"/>
        <s v="Sučička skla" u="1"/>
        <s v="Chladící deska pro ochlazování parafínových bloků" u="1"/>
        <s v="Přímé ihibitory faktoru XA I. 2022" u="1"/>
        <s v="Inhibitory protonové pumpy a LP s obsahem rivaroxabanu" u="1"/>
        <s v="Insuliny a analoga dlouze působící 2021 - sdružený nákup" u="1"/>
        <s v="LP s obsahem glatimer-cetátu 2022" u="1"/>
        <s v="Nákup sanitních vozidel" u="1"/>
        <s v="SW pro hloubkou mozkovou stimulaci (DBS)" u="1"/>
        <s v="LP ze skupiny koagulačních faktorů 2021" u="1"/>
        <s v="Vyšetření tumormarkerů s výpůjčkou přístrojů" u="1"/>
        <s v="Servisní podpora informačního systému transfuzního oddělení" u="1"/>
      </sharedItems>
    </cacheField>
    <cacheField name="Část" numFmtId="0">
      <sharedItems containsString="0" containsBlank="1" containsNumber="1" containsInteger="1" minValue="1" maxValue="13"/>
    </cacheField>
    <cacheField name="Název části VZ" numFmtId="0">
      <sharedItems containsBlank="1"/>
    </cacheField>
    <cacheField name="ATC kód u léčiv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3362" maxValue="564800000"/>
    </cacheField>
    <cacheField name="Druh VZ" numFmtId="0">
      <sharedItems containsBlank="1" count="6">
        <s v="OŘ"/>
        <s v="ZPŘ"/>
        <s v="VZMR"/>
        <s v="JŘBU"/>
        <s v="DNS"/>
        <m/>
      </sharedItems>
    </cacheField>
    <cacheField name="VZ vypsaná dne" numFmtId="0">
      <sharedItems containsNonDate="0" containsDate="1" containsString="0" containsBlank="1" minDate="2021-04-27T00:00:00" maxDate="2022-12-30T00:00:00"/>
    </cacheField>
    <cacheField name="Lhůta pro podání nabídek" numFmtId="0">
      <sharedItems containsNonDate="0" containsDate="1" containsString="0" containsBlank="1" minDate="2021-07-12T00:00:00" maxDate="2023-02-09T00:00:00"/>
    </cacheField>
    <cacheField name="Datum vyhodnocení VZ" numFmtId="0">
      <sharedItems containsDate="1" containsBlank="1" containsMixedTypes="1" minDate="2021-11-02T00:00:00" maxDate="2022-12-30T00:00:00"/>
    </cacheField>
    <cacheField name="Dodavatel / u zrušených stávající dodavatel" numFmtId="0">
      <sharedItems containsBlank="1"/>
    </cacheField>
    <cacheField name="postup po zrušení" numFmtId="0">
      <sharedItems containsBlank="1"/>
    </cacheField>
    <cacheField name="Vítězná cena bez DPH" numFmtId="44">
      <sharedItems containsString="0" containsBlank="1" containsNumber="1" minValue="3309.8" maxValue="459200000"/>
    </cacheField>
    <cacheField name="Vítězná cena s DPH" numFmtId="44">
      <sharedItems containsBlank="1" containsMixedTypes="1" containsNumber="1" minValue="3640.78" maxValue="528080000"/>
    </cacheField>
    <cacheField name="Léčiva - Kód SUKL" numFmtId="49">
      <sharedItems containsNonDate="0" containsString="0" containsBlank="1"/>
    </cacheField>
    <cacheField name="Léčiva - Název přípravku" numFmtId="49">
      <sharedItems containsNonDate="0" containsString="0" containsBlank="1"/>
    </cacheField>
    <cacheField name="Léčiva - Výrobce" numFmtId="49">
      <sharedItems containsNonDate="0" containsString="0" containsBlank="1"/>
    </cacheField>
    <cacheField name="Datum předání smlouvy do WF" numFmtId="0">
      <sharedItems containsNonDate="0" containsDate="1" containsString="0" containsBlank="1" minDate="2021-11-02T00:00:00" maxDate="2022-12-30T00:00:00"/>
    </cacheField>
    <cacheField name="Číslo smlouvy z WF" numFmtId="0">
      <sharedItems containsBlank="1"/>
    </cacheField>
    <cacheField name="Smlouva podepsána" numFmtId="0">
      <sharedItems containsNonDate="0" containsDate="1" containsString="0" containsBlank="1" minDate="2022-01-03T00:00:00" maxDate="2022-12-28T00:00:00" count="194">
        <d v="2022-02-25T00:00:00"/>
        <d v="2022-01-03T00:00:00"/>
        <d v="2022-01-04T00:00:00"/>
        <d v="2022-05-17T00:00:00"/>
        <m/>
        <d v="2022-08-23T00:00:00"/>
        <d v="2022-06-20T00:00:00"/>
        <d v="2022-01-06T00:00:00"/>
        <d v="2022-06-23T00:00:00"/>
        <d v="2022-04-04T00:00:00"/>
        <d v="2022-04-26T00:00:00"/>
        <d v="2022-02-08T00:00:00"/>
        <d v="2022-02-03T00:00:00"/>
        <d v="2022-01-10T00:00:00"/>
        <d v="2022-03-17T00:00:00"/>
        <d v="2022-03-11T00:00:00"/>
        <d v="2022-03-21T00:00:00"/>
        <d v="2022-01-11T00:00:00"/>
        <d v="2022-01-20T00:00:00"/>
        <d v="2022-01-27T00:00:00"/>
        <d v="2022-04-06T00:00:00"/>
        <d v="2022-01-28T00:00:00"/>
        <d v="2022-01-17T00:00:00"/>
        <d v="2022-01-24T00:00:00"/>
        <d v="2022-03-16T00:00:00"/>
        <d v="2022-03-08T00:00:00"/>
        <d v="2022-03-28T00:00:00"/>
        <d v="2022-03-10T00:00:00"/>
        <d v="2022-03-15T00:00:00"/>
        <d v="2022-02-11T00:00:00"/>
        <d v="2022-01-12T00:00:00"/>
        <d v="2022-03-29T00:00:00"/>
        <d v="2022-01-21T00:00:00"/>
        <d v="2022-08-26T00:00:00"/>
        <d v="2022-03-14T00:00:00"/>
        <d v="2022-02-01T00:00:00"/>
        <d v="2022-01-18T00:00:00"/>
        <d v="2022-02-21T00:00:00"/>
        <d v="2022-06-13T00:00:00"/>
        <d v="2022-03-22T00:00:00"/>
        <d v="2022-03-03T00:00:00"/>
        <d v="2022-02-23T00:00:00"/>
        <d v="2022-04-12T00:00:00"/>
        <d v="2022-03-30T00:00:00"/>
        <d v="2022-01-05T00:00:00"/>
        <d v="2022-02-22T00:00:00"/>
        <d v="2022-02-24T00:00:00"/>
        <d v="2022-04-19T00:00:00"/>
        <d v="2022-02-09T00:00:00"/>
        <d v="2022-02-16T00:00:00"/>
        <d v="2022-04-13T00:00:00"/>
        <d v="2022-04-05T00:00:00"/>
        <d v="2022-08-01T00:00:00"/>
        <d v="2022-04-27T00:00:00"/>
        <d v="2022-02-14T00:00:00"/>
        <d v="2022-05-03T00:00:00"/>
        <d v="2022-02-15T00:00:00"/>
        <d v="2022-03-09T00:00:00"/>
        <d v="2022-05-02T00:00:00"/>
        <d v="2022-05-10T00:00:00"/>
        <d v="2022-05-05T00:00:00"/>
        <d v="2022-05-24T00:00:00"/>
        <d v="2022-05-20T00:00:00"/>
        <d v="2022-06-17T00:00:00"/>
        <d v="2022-03-04T00:00:00"/>
        <d v="2022-10-07T00:00:00"/>
        <d v="2022-10-18T00:00:00"/>
        <d v="2022-05-11T00:00:00"/>
        <d v="2022-04-21T00:00:00"/>
        <d v="2022-02-28T00:00:00"/>
        <d v="2022-05-13T00:00:00"/>
        <d v="2022-07-01T00:00:00"/>
        <d v="2022-06-07T00:00:00"/>
        <d v="2022-04-22T00:00:00"/>
        <d v="2022-02-17T00:00:00"/>
        <d v="2022-04-01T00:00:00"/>
        <d v="2022-06-01T00:00:00"/>
        <d v="2022-06-08T00:00:00"/>
        <d v="2022-05-16T00:00:00"/>
        <d v="2022-05-12T00:00:00"/>
        <d v="2022-06-28T00:00:00"/>
        <d v="2022-07-18T00:00:00"/>
        <d v="2022-04-29T00:00:00"/>
        <d v="2022-05-23T00:00:00"/>
        <d v="2022-05-04T00:00:00"/>
        <d v="2022-05-25T00:00:00"/>
        <d v="2022-05-30T00:00:00"/>
        <d v="2022-05-26T00:00:00"/>
        <d v="2022-05-31T00:00:00"/>
        <d v="2022-07-26T00:00:00"/>
        <d v="2022-07-04T00:00:00"/>
        <d v="2022-11-10T00:00:00"/>
        <d v="2022-12-19T00:00:00"/>
        <d v="2022-06-06T00:00:00"/>
        <d v="2022-03-23T00:00:00"/>
        <d v="2022-06-15T00:00:00"/>
        <d v="2022-04-20T00:00:00"/>
        <d v="2022-09-27T00:00:00"/>
        <d v="2022-09-22T00:00:00"/>
        <d v="2022-10-24T00:00:00"/>
        <d v="2022-05-19T00:00:00"/>
        <d v="2022-09-08T00:00:00"/>
        <d v="2022-07-19T00:00:00"/>
        <d v="2022-10-13T00:00:00"/>
        <d v="2022-07-22T00:00:00"/>
        <d v="2022-06-27T00:00:00"/>
        <d v="2022-07-27T00:00:00"/>
        <d v="2022-09-05T00:00:00"/>
        <d v="2022-09-02T00:00:00"/>
        <d v="2022-08-04T00:00:00"/>
        <d v="2022-08-05T00:00:00"/>
        <d v="2022-05-09T00:00:00"/>
        <d v="2022-12-23T00:00:00"/>
        <d v="2022-09-14T00:00:00"/>
        <d v="2022-05-27T00:00:00"/>
        <d v="2022-10-26T00:00:00"/>
        <d v="2022-10-11T00:00:00"/>
        <d v="2022-10-10T00:00:00"/>
        <d v="2022-09-26T00:00:00"/>
        <d v="2022-09-06T00:00:00"/>
        <d v="2022-09-15T00:00:00"/>
        <d v="2022-08-12T00:00:00"/>
        <d v="2022-07-11T00:00:00"/>
        <d v="2022-06-10T00:00:00"/>
        <d v="2022-07-12T00:00:00"/>
        <d v="2022-10-04T00:00:00"/>
        <d v="2022-07-28T00:00:00"/>
        <d v="2022-09-19T00:00:00"/>
        <d v="2022-09-07T00:00:00"/>
        <d v="2022-08-03T00:00:00"/>
        <d v="2022-12-15T00:00:00"/>
        <d v="2022-08-08T00:00:00"/>
        <d v="2022-08-10T00:00:00"/>
        <d v="2022-12-01T00:00:00"/>
        <d v="2022-12-06T00:00:00"/>
        <d v="2022-06-14T00:00:00"/>
        <d v="2022-07-20T00:00:00"/>
        <d v="2022-09-20T00:00:00"/>
        <d v="2022-07-29T00:00:00"/>
        <d v="2022-07-25T00:00:00"/>
        <d v="2022-06-09T00:00:00"/>
        <d v="2022-06-30T00:00:00"/>
        <d v="2022-07-13T00:00:00"/>
        <d v="2022-08-22T00:00:00"/>
        <d v="2022-11-02T00:00:00"/>
        <d v="2022-11-04T00:00:00"/>
        <d v="2022-11-11T00:00:00"/>
        <d v="2022-11-16T00:00:00"/>
        <d v="2022-08-11T00:00:00"/>
        <d v="2022-07-21T00:00:00"/>
        <d v="2022-11-01T00:00:00"/>
        <d v="2022-11-28T00:00:00"/>
        <d v="2022-11-24T00:00:00"/>
        <d v="2022-06-21T00:00:00"/>
        <d v="2022-07-14T00:00:00"/>
        <d v="2022-09-16T00:00:00"/>
        <d v="2022-10-05T00:00:00"/>
        <d v="2022-09-12T00:00:00"/>
        <d v="2022-08-31T00:00:00"/>
        <d v="2022-07-08T00:00:00"/>
        <d v="2022-10-03T00:00:00"/>
        <d v="2022-12-07T00:00:00"/>
        <d v="2022-10-25T00:00:00"/>
        <d v="2022-11-23T00:00:00"/>
        <d v="2022-12-12T00:00:00"/>
        <d v="2022-12-13T00:00:00"/>
        <d v="2022-08-18T00:00:00"/>
        <d v="2022-11-08T00:00:00"/>
        <d v="2022-08-02T00:00:00"/>
        <d v="2022-10-12T00:00:00"/>
        <d v="2022-08-16T00:00:00"/>
        <d v="2022-11-30T00:00:00"/>
        <d v="2022-10-19T00:00:00"/>
        <d v="2022-08-19T00:00:00"/>
        <d v="2022-11-03T00:00:00"/>
        <d v="2022-10-06T00:00:00"/>
        <d v="2022-12-02T00:00:00"/>
        <d v="2022-09-13T00:00:00"/>
        <d v="2022-09-09T00:00:00"/>
        <d v="2022-11-29T00:00:00"/>
        <d v="2022-11-25T00:00:00"/>
        <d v="2022-10-21T00:00:00"/>
        <d v="2022-12-20T00:00:00"/>
        <d v="2022-11-21T00:00:00"/>
        <d v="2022-12-08T00:00:00"/>
        <d v="2022-11-07T00:00:00"/>
        <d v="2022-12-27T00:00:00"/>
        <d v="2022-12-22T00:00:00"/>
        <d v="2022-11-18T00:00:00"/>
        <d v="2022-12-14T00:00:00"/>
        <d v="2022-12-16T00:00:00"/>
        <d v="2022-04-10T00:00:00" u="1"/>
        <d v="2022-09-17T00:00:00" u="1"/>
        <d v="2022-10-27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21412037" createdVersion="3" refreshedVersion="6" minRefreshableVersion="3" recordCount="1264" xr:uid="{F87221F9-E842-41C0-A941-DDFEA6DD5A6D}">
  <cacheSource type="worksheet">
    <worksheetSource ref="C8:AC1618" sheet="VZ-2020"/>
  </cacheSource>
  <cacheFields count="27">
    <cacheField name="Datum předání na OVZ" numFmtId="0">
      <sharedItems containsDate="1" containsBlank="1" containsMixedTypes="1" minDate="2019-02-05T00:00:00" maxDate="2020-12-18T00:00:00"/>
    </cacheField>
    <cacheField name="Interní evidenční číslo" numFmtId="0">
      <sharedItems containsBlank="1"/>
    </cacheField>
    <cacheField name="Zadáv. prac." numFmtId="0">
      <sharedItems containsBlank="1"/>
    </cacheField>
    <cacheField name="Osoba pověřená pro zadávací řízení" numFmtId="0">
      <sharedItems containsBlank="1"/>
    </cacheField>
    <cacheField name="Předmět plnění - název zakázky" numFmtId="0">
      <sharedItems containsBlank="1" count="486">
        <s v="Vyšetřovací a operační rukavice"/>
        <s v="Antibakteriální léčiva pro systémovou aplikaci III."/>
        <s v="Separátory PCS2 a MCS+ včetně spotřebního materiálu"/>
        <s v="Krevní vaky a lisy"/>
        <s v="Antibakteriální léčiv pro systémovou aplikaci IV."/>
        <s v="Diagnostika OKB I. 2019"/>
        <s v="Diagnostika MIKRO I. 2019"/>
        <s v="Diagnostika MIKRO III. 2019"/>
        <s v="Diagnostika IMUNO I. 2019"/>
        <s v="Diagnostika  PATOLOGIE  2019"/>
        <s v="Diagnostika HOK III. 2019"/>
        <s v="Diagnostika GENETIKA I. 2019"/>
        <s v="Diagnostika EXP.MED a IVF I. 2019"/>
        <s v="Analyzátora otoakustických emisí III."/>
        <s v="Diagnostické soupravy pro imunohematologické vyšetření se zápůjčkou analyzátorů"/>
        <s v="MIDOSTAURIN 2019"/>
        <s v="Interferony 2019"/>
        <s v="Mikro-ultrazvukový přístroj pro navigaci biopsie prostaty II."/>
        <s v="Produkty na výrobu nápojů pro hospitalizované pacienty"/>
        <s v="Inhibitory interleukinu I. 2019/2"/>
        <s v="Blinatumomab - sdružený nákup 2019"/>
        <s v="Antitrombotika 2019/2"/>
        <s v="Antivirotika k léčbě infekce HCV 2019"/>
        <s v="Alemtuzumab - sdružený nákup 2019"/>
        <s v="Léčivý přípravek OCALIVA 2019"/>
        <s v="Teriflunomid 2019 - sdružený nákup"/>
        <s v="PŘENOSNÝ ELASTOMERNÍ INFUZNÍ SYSTÉM INFUSOR LV "/>
        <s v="Léčivé přípravky s obsahem ivakaftoru 2019"/>
        <s v="Jiná systémová hemostatika 2019"/>
        <s v="Oprava výtahů č.1,60 a 61"/>
        <s v="Cafeteria systém"/>
        <s v="Servisní podpora Identity Managementu CzechIdM ve FN Olomouc"/>
        <s v="Drát vodící k měření intrakoronárního tlaku Pressure Wire X"/>
        <s v="Léčivé přípravky s obsahem ambrisentanu 2019"/>
        <s v="Léčivé přípravky s obsahem abirateronu 2019"/>
        <s v="Léčivé přípravky pro léčbu plicní arteriální hypertenze a podání při systémové sklerodermii  2019"/>
        <s v="Opioidní analgetika (anodyna) 2019"/>
        <s v="Jiná cytostatika II 2019"/>
        <s v="Jiná imunostimulancia 2019"/>
        <s v="Inhibitory interleukinu II 2019"/>
        <s v="15. Embolizační spirály odpoutatelné neurointervenční"/>
        <s v="Cetuximab I. 2019"/>
        <s v="Výroba a montáž nábytku V/2019"/>
        <s v="Ultrazvukový přístroj"/>
        <s v="Porodní instrumentaria"/>
        <s v="FN Olomouc - Automatický vjezdový systém II."/>
        <s v="26. Extraktory intravaskulární III. "/>
        <s v="Systém přímé vizualizace žlučových cest s elektrohydraulickou litotripsií"/>
        <s v="Léčivé přípravky z ATC L04AA - selektivní imunosupresiva"/>
        <s v="Levodopa a inhibitor dekarboxylázy"/>
        <s v="Rouškovací sety pro radiologii"/>
        <s v="Mobilní datové terminály"/>
        <s v="Oprava MaR budova A, III. etapa"/>
        <s v="Vyšetřovací jednotka s elektrokoagulací, odsáváním a nosním sprejem"/>
        <s v="Zařízení lavážní pro HIPEC II"/>
        <s v="Digitalizace doručené listinné pacientské dokumentace"/>
        <s v="Kontejnery sterilizační a dekontaminační s příslušenstvím"/>
        <s v="Monoklonální protilátky  II. 2019"/>
        <s v="Léčivé přípravky z ATC N04BC - Agonisté dopaminu 2019"/>
        <s v="Inhibitory proteinkináz III. 2019"/>
        <s v="FN Olomouc - stavební úpravy ortopedické kliniky - pracoviště sterilizace v 1.PP"/>
        <s v="Zřízení předávací stanice v budově R"/>
        <s v="Oční laserové přístroje"/>
        <s v="Pojištění majetku, pojištění obecné a profesní odpovědnosti FN Olomouc"/>
        <s v="Servisní podpora personálního a mzdového systému"/>
        <s v="Informační systém Mamárního screeningu"/>
        <s v="Mycí a dezinfekční automat na operační obuv II."/>
        <s v="Instrumentárium pro ORTOP"/>
        <s v="FN Olomouc - obnova kardiologické SPECT kamery pro KNM"/>
        <s v="Imunochemická vyšetření s výpůjčkou analyzátoru"/>
        <s v="Láhve a dudlíky krmící jednorázové"/>
        <s v="Rekonstrukce topení a opravy podlah v bytech na ubytovně Albertova 26 II."/>
        <s v="Servisní služby - spektrometr Maldi Biotyper"/>
        <s v="Zajištění záložní internetové konektivity FNOL"/>
        <s v="Výměna rozvodů TV a CIR v budově R"/>
        <s v="Přístroj pro molekulární onkologickou diagnostiku II."/>
        <s v="Videolaryngoskop II."/>
        <s v="Inhibitory proteinkináz V. 2019"/>
        <s v="Fototerapeutická jednotka pro Novorozenecké oddělení"/>
        <s v="Monitory FNOL 2019"/>
        <s v="Hepariny 2019"/>
        <s v="Bronchoskopy"/>
        <s v="Elektrické polohovatelné křeslo s příslušenstvím"/>
        <s v="Rigidní bronchoskopy pro tryskovou ventilaci Twinstream"/>
        <s v="Demolice budov v areálu FN Olomouc"/>
        <s v="Pozáruční podpora systému AGFA IMPAX II."/>
        <s v="Inhibitory proteinkináz VI. 2019"/>
        <s v="Toaletní papír a papírové ručníky Z-Z"/>
        <s v="Kancelářský papír 2020"/>
        <s v="Integrační platforma"/>
        <s v="Hardware pro integrační platformu"/>
        <s v="Celková rekonstrukce TS3"/>
        <s v="Rekonstrukce chladící stanice"/>
        <s v="Léčiva s obsahem idelalisibu 2019 - sdružený nákup"/>
        <s v="Léčiva s obsahem omalizumabu 2019 - sdružený nákup"/>
        <s v="Léčivé přípravky z ATC H01A - Hormony předního laloku hypofýzy a analoga"/>
        <s v="Jiná cytostatika I 2019"/>
        <s v="Kardioangiografický komplet pro elektrofyziologii "/>
        <s v="Catering na ples FN Olomouc v r. 2020"/>
        <s v="Dodávky reagencií a spotřebního materiálu pro rutinní biochemická a imunochemická stanovení s výpůjčkou analytického systému"/>
        <s v="PD - Nástavba budovy A"/>
        <s v="Pozáruční servis aktivních prvků"/>
        <s v="Nástroje chirurgické pro Ortopedii"/>
        <s v="Spotřební materiál k separátorům krevních částic Trima Accel"/>
        <s v="Systém na odsávání sekretů"/>
        <s v="Elektrochirurgické a argonové generátory"/>
        <s v="Oční laser "/>
        <s v="FN Olomouc - obměna 3 ks lineárních urychlovačů a Thomayerova nemocnice - obměna 2 ks lineárních urychlovačů - Sdružený nákup II."/>
        <s v="Stanovení specifických IgE protilátek se zápůjčkou analyzátoru"/>
        <s v="Servis výtahů FNOL"/>
        <s v="Osmometr"/>
        <s v="Ultrazvukové sestavy FNOL"/>
        <s v="Výstavba chodníků v areálu FNOL"/>
        <s v="Diagnostika pro Real-Time PCR Termocykler "/>
        <s v="Systém pro katetrovou implantaci aortální chlopně (TAVI) - sdružený nákup"/>
        <s v="Nový vjezd do areálu FN Olomouc z ulice Hněvotínská"/>
        <s v="Kancelářské potřeby"/>
        <s v="Přímá digitalizace RTG pracoviště"/>
        <s v="Výroba a montáž nábytku HOK 2020"/>
        <s v="Monoklonální protilátky 2020 I."/>
        <s v="Monoklonální protilátky 2020 II."/>
        <s v="Sanace lodžie na Dětské klinice ve 3 a 4 NP"/>
        <s v="Repase oken na v budově Q2 ve 3 a 4 NP"/>
        <s v="Rekonstrukce hygienických zařízení v budově C ve 3NP"/>
        <s v="Čistící prostředky a jiné drogistické zboží"/>
        <s v="Kalibrace a validace měřidel a zařízení FN Olomouc"/>
        <s v="Stavební úpravy Kliniky plicních nemocí a tuberkulózy - H2 3.NP a 4.NP"/>
        <s v="Ultrazvukový aspirátor pro NCHIR"/>
        <s v="VRV chlazení FNOL 2020"/>
        <s v="Úprava vstupu a komunikace do budovy N"/>
        <s v="Fort Tafelberg, úprava jižního boku hlavního valu"/>
        <s v="Stříkačky proplachovací předplněné sterilním 0,9%NACl – sdružený nákup "/>
        <s v="Operační mikroskop pro NCHIR"/>
        <s v="Jiná imunosupresiva 2020"/>
        <s v="Selektivní imunosupresiva  2020"/>
        <s v="Stavební úpravy objektu Q2 - Dětská klinika"/>
        <s v="Rouškovací sety pro Ortopedii"/>
        <s v="Dodávky termotiskáren"/>
        <s v="Elektrody defibrilační jednorázové"/>
        <s v="Titanový sternální fixační systém "/>
        <s v="Rouškovací sety pro I. interní kliniku  - kardiologickou"/>
        <s v="Instrumentárium pro ORTOP (navýšení instrumentária)"/>
        <s v="Systém filtrační pro odstranění leukocytů  pro TO"/>
        <s v="Tísňový signalizační náramkový systém"/>
        <s v="Kardioplegické sety"/>
        <s v="Izolace DNA"/>
        <s v="Elektrický přívod z TS4 do budovy D1"/>
        <s v="Dodávkové vozidlo"/>
        <s v="Stavební úpravy budovy I - 2NP"/>
        <s v="Stavební úpravy 2.NP objektu A – provozní opatření"/>
        <s v="Úprava čistící místnosti v budově A na oddělení IPCHO"/>
        <s v="Kancelářský papír 2020 II"/>
        <s v="FNOL - Intervenční kardiologie"/>
        <s v="Čistící prostředky a jiné drogistické zboží 2020 II"/>
        <s v="Ubytování a služby spojené s realizací odborné akce FN Olomouc – konference XI. Luklův den"/>
        <s v="Ubytování a služby spojené s realizací odborné akce FN Olomouc – konference Hospital Management"/>
        <s v="Ubytování a služby spojené s realizací odborné akce FN Olomouc – konference Veřejné zakázky ve zdravotnictví"/>
        <s v="Shromažďovací místa odpadů"/>
        <s v="Příslušenství operačního stolu"/>
        <s v="Rozšíření/náhrada SW PDA modulu logistiky léků"/>
        <s v="Čekárenské lavice a konferenční židle pro HOK"/>
        <s v="Prodloužení a nákup licencí v rámci multilicenčních programů Microsoft "/>
        <s v="Dodávky dectů 2020"/>
        <s v="Kardioplegický set 4:1 se spirálou do ledové tříště"/>
        <s v="Kombinace koagulačních faktorů I. 2020"/>
        <s v="Kombinace koagulačních faktorů II. 2020"/>
        <s v="Léčivé přípravky z ATC L04AC a L01XE 2020"/>
        <s v="Inhibitory tumor nekrotizujícího faktoru 2020"/>
        <s v="Jiná léčiva respiračního systému z ATC R07AX 2020"/>
        <s v="Ubytování a služby spojené s realizací odborné akce FN Olomouc – konference Petřivalského Rapantovy dny"/>
        <s v="Dodávkové vozidlo II."/>
        <s v="Klinický stimulátor"/>
        <s v="RF generátor"/>
        <s v="HW NextGeneration Firewall v režimu HA"/>
        <s v="Materiál spotřební k tlakovým injektorům ULRICH"/>
        <s v="Zajištění živých přenosů z odborných pracovišť"/>
        <s v="Videolaryngoskop"/>
        <s v="Ústní rozvěrač pro robotickou chirurgii "/>
        <s v="Update softwaru karyotypovacích stanic"/>
        <s v="Stavební úpravy objektu U - klinika psychiatrie"/>
        <s v="Příslušenství k svislým rampám GeminaDUO"/>
        <s v="Zapojení lokální EPS budovy „U“ (PSY) do systému EsserNet"/>
        <s v="Membránové oxygenátory včetně hadicových setů pro vedení mimotělního oběhu "/>
        <s v="Rozšíření zálohovacích kapacit"/>
        <s v="Stabilizátor pro operace MIDCABG"/>
        <s v="Vyvolávací systémy FN Olomouc"/>
        <s v="Dodávka pneumatik pro osobní, dodávková a nákladní vozidla FNOL"/>
        <s v="Servisni podpora SW aplikace WISPI"/>
        <s v="FN Olomouc - obnova kardiologické SPECT kamery pro KNM II."/>
        <s v="Mycí stoly s dezinfekcí"/>
        <s v="Antikoagulancia 2020"/>
        <s v="LP z ATC B02B - Jiná hemostatika 2020"/>
        <s v="Zákrokové světla"/>
        <s v="Výměna lůžkových ramp - budova D1, 4.NP a 5.NP"/>
        <s v="Nerezový mobiliář"/>
        <s v="Léčiva s obsahem idelalisibu II. 2020 - sdružený nákup"/>
        <s v="Léčiva s obsahem karfilzomibu 2020 - sdružený nákup"/>
        <s v="FN Olomouc - Kardiostimulátory"/>
        <s v="Poskytování služby automatického rozesílání SMS"/>
        <s v="Systém filtrační pro odstranění leukocytů II"/>
        <s v="Servis, oprava a údržba sanitních, dodávkových a osobních vozidel FNOL 2020"/>
        <s v="Příslušenství k svislým rampám GeminaDUO II"/>
        <s v="FN Olomouc - Implantabilní kardiovertery-defibrilátory"/>
        <s v="Koagulace I. 2020"/>
        <s v="Oprava střešního pláště na budově garáže QZI1 a QZH1"/>
        <s v="3T Magnetická rezonance"/>
        <s v="Materiál spotřební k extrakorporální membránové oxygenaci ECMO"/>
        <s v="Materiál spotřební k systému na stanovení ACT"/>
        <s v="FN Olomouc - Koronární stenty"/>
        <s v="LP z ATC L03AA 2020"/>
        <s v="Jiná cytostatika II. 2020"/>
        <s v="Faktor VIII 2020 I."/>
        <s v="Faktor VIII 2020 II."/>
        <s v="Výměna rozvodů topení v M2 "/>
        <s v="Materiál spotřební(čidla saturační SpO2) k pulzním oxymetrům Masimo"/>
        <s v="Dodávka analogových telefonních licencí"/>
        <s v="Polohovatelná křesla"/>
        <s v="Servisní podpora SW MetaSystems s připuštěním náhrady "/>
        <s v="Materiál spotřební k systému na stanovení ACT + výpůjčka krevního analyzátoru"/>
        <s v="Shromažďovací místa pro odpadkové kontejnery"/>
        <s v="Argonové generátory"/>
        <s v="Intervenční radiologie - 14. Stengrafty aortální"/>
        <s v="Rekonstrukce TS5"/>
        <s v="FN Olomouc - Srdeční chlopně a anuloplastické prstence"/>
        <s v="Materiál spotřební k systému na stanovení ACT II."/>
        <s v="Dotační Program na zvýšení ochrany měkkých cílů v resortu zdravotnictví v roce 2020"/>
        <s v="Systém pro elektrofyziologické vyšetření intrakardiálních potenciálů"/>
        <s v="Multivitamínové šumivé tablety 2020"/>
        <s v="Periferně působící myorelaxancia 2020"/>
        <s v="Hypotalamické hormony 2020"/>
        <s v="Vinka alkaloidy a analoga 2020"/>
        <s v="Intervenční radiologie - 2. 6. Vodící dráty k vaskulárním neurointervencím"/>
        <s v="Intervenční radiologie - 5. Mikrokatétry neurointervenční"/>
        <s v="Imunoglobuliny normální lidské 2020"/>
        <s v="Tlakový holter"/>
        <s v="Vyšetření protilátek proti viru SARS-CoV-2"/>
        <s v="Servisni podpora SW aplikace WISPI s možností náhrady SW II"/>
        <s v="Stomatologická souprava a 6 sad kompresorů"/>
        <s v="Materiál spotřební pro peritoneální dialýzu"/>
        <s v="Materiál spotřební pro peritoneální dialýzu "/>
        <s v="Stabilizační systém pro operaci srdce bez mimotělního oběhu"/>
        <s v="Systém mikromotorů pro orální chirurgii"/>
        <s v="Stavební úpravy Radiologické kliniky"/>
        <s v="Přístroje funkční elektrostimulace"/>
        <s v="ECMO"/>
        <s v="Sety k separátoru krevních elementů Spectra Optia"/>
        <s v="Servisní podpora SW MetaSystems s připuštěním náhrady II"/>
        <s v="Mikroskop s manipulátory"/>
        <s v="Spotřební materiál pro elektroanatomický 3D mapovací systém"/>
        <s v="Záznamník EKG implantabilní BioMonitor III  "/>
        <s v="Průběžné svářečky sterilizačních obalů"/>
        <s v="Analyzátor na kontrolu kvality nukleových kyselin"/>
        <s v="pH-metr s impedancí"/>
        <s v="Servis a opravy automatizovaných dveří ve FN Olomouc"/>
        <s v="Enterální výživa I. 2020"/>
        <s v="Enterální výživa II. 2020"/>
        <s v="Poskytnutí služeb k zařízení Barracuda Networks"/>
        <s v="Set CT a MR kompatibilních aplikátorů pro gynekologickou vaginální brachyterapii"/>
        <s v="Klinický stimulátor II."/>
        <s v="Přístroj pro plnění mikrodestiček"/>
        <s v="Mikrofluidní systém"/>
        <s v="Spinální implantáty"/>
        <s v="Endoskopická vláknová Ramanova sonda "/>
        <s v="Vyhodnocovací konzole"/>
        <s v="Výroba a montáž nábytku "/>
        <s v="Sety k separátoru krevních elementů Spectra Optia II "/>
        <s v="Servisní podpora SW-Medicínská databáze pro porodnicko-gynekologickou péči-s připuštěním náhrady"/>
        <s v="Sanace průsaků vody v kolektoru"/>
        <s v="Dodávka notebooků 2020"/>
        <s v="Stavební úpravy pro přesun RTG přístroje"/>
        <s v="Videoduodenoskop"/>
        <s v="Dezinfekční přípravky na velké plochy, povrchy a předměty"/>
        <s v="Dezinfekce a mytí rukou"/>
        <s v="Dezinfekční přípravky k přímému použití pro rychlou dezinfekci"/>
        <s v="Role papírové s perforací na vyšetřovací lůžka"/>
        <s v="Podlahářské práce ve FNOL"/>
        <s v="Oprava střešního pláště na budově YH"/>
        <s v="Výměna oken na DK 1.etapa"/>
        <s v="Rekonstrukce obvodového pláště mezi M2 a M3"/>
        <s v="Pláště návštěvnické jednorázové "/>
        <s v="DNA izolátor na principu separace DNA pomocí magnetických partikul"/>
        <s v="Léčivé přípravky s obsahem Ivakaftoru 2020"/>
        <s v="Periferně působící myorelaxancia 2020 II."/>
        <s v="Masky operační – ústenky  "/>
        <s v="Respirátory FFP2 bez výdechového ventilu"/>
        <s v="Spotřební materiál k artroskopické věži Johnson"/>
        <s v="Spotřební  materiál k artroskopické věži Arthrex"/>
        <s v="Rekonstrukce kanalizace u budovy F"/>
        <s v="Respirátory FFP3 bez výdechového ventilu"/>
        <s v="Antiagregancia kromě heparinu   2020"/>
        <s v="Enterální výživa 2020  III."/>
        <s v="Kolektor - výměna ventilů na vodovodním řádu "/>
        <s v="Transportní monitor vitálních funkcí"/>
        <s v="PD – demolice objektu B a přeložky IS "/>
        <s v="Propojení navigačního systému s operačním mikroskopem"/>
        <s v="Enterální výživa IV. 2020"/>
        <s v="Rukavice vyšetřovací nitrilové bez pudru "/>
        <s v="Sternální pily"/>
        <s v="Automatický pipetovací systém - sdružený nákup"/>
        <s v="Chladící a mrazící technika"/>
        <s v="FN Olomouc - novostavba hlavní budovy B - projektová dokumentace"/>
        <s v="PCSK9 inhibitory 2020"/>
        <s v="Dodání bezolejových kompresorových jednotek-budova S "/>
        <s v="Kontrola zařízení elektrické požární signalizace s ústřednou ESSER"/>
        <s v="Ubytování a služby spojené s realizací odborné akce FN Olomouc – konference XI. Luklův den II"/>
        <s v="Ubytování a služby spojené s realizací odborné akce FN Olomouc – konference Veřejné zakázky ve zdravotnictví II"/>
        <s v="HW pro integrační platformu II."/>
        <s v="Polohovatelná křesla II."/>
        <s v="Analyzátor na kontrolu kvality nukleových kyselin II"/>
        <s v="Real Time PCR termocyklery "/>
        <s v="Vyšetření krevního obrazu s výpůjčkou hematologického analyzátoru"/>
        <s v="Oprava MaR budova A,IV.etapa&quot;"/>
        <s v="Filtry pro vzduchotechniku 2020-2023"/>
        <s v="Flowmon sonda"/>
        <s v="Úprava trafostanice TS3"/>
        <s v="PD- novostavba budovy F"/>
        <s v="Odstranění závad na zdrojových napájecích jednotkách – budovy A, M3"/>
        <s v="Materiál spotřební k systému na stanovení ACT + výpůjčka krevního analyzátoru II."/>
        <s v="Oprava hygienických zařízení na KÚČOCH v budově R v 1PP"/>
        <s v="Oprava hygienických zařízení na KZL v budově UZQ v 1PP"/>
        <s v="PD - novostavba budovy C1"/>
        <s v="Počítačová tomografie"/>
        <s v="PD - Parkoviště v areálu FN Olomouc"/>
        <s v="Materiál spotřební (čidla saturační SpO2) k pulzním oxymetrům MASIMO"/>
        <s v="Izolační kit NX-48 Viral NA Kit pro přístroj Nextractor "/>
        <s v="Kit pro real-time PCR detekci viru SARS-CoV-2 na přístroji Cycler CFX 96 "/>
        <s v="Testy Xpert Xpress SARS-CoV-2 pro přístroj Genexpert "/>
        <s v="Klipy a klipovací systém"/>
        <s v="Imunoglobuliny pro intravaskulární podání 2020"/>
        <s v="LP s obsahem infliximabu 2020"/>
        <s v="Léčiva s obsahem abemaciklibu 2020 - sdružený nákup"/>
        <s v="Nástroj pro centralizovaný sběr, ukládání a detailní analýzu logů z informačních systémů FN Olomouc"/>
        <s v="Taxany 2020"/>
        <s v="FNOL – Náplně do tiskáren "/>
        <s v="Oprava řízení VS budov M, K, D1, WP, C"/>
        <s v="Kit pro real-time PCR detekci viru SARS-CoV-2 na přístroji Cycler CFX 96 II."/>
        <s v="Izolace nukleových kyselin s výpůjčkou izolátoru"/>
        <s v="FN Olomouc - PC sestavy"/>
        <s v="Oprava výtahů č. 43, 44 a 55"/>
        <s v="Nouzové osvětlení"/>
        <s v="Inhibitory kalcineurinu 2020"/>
        <s v="Poskytování servisních služeb – Sterilizátory FNOL"/>
        <s v="Systém mikromotorů pro orální chirurgii II."/>
        <s v="Oprava obvodového pláště budov M,N "/>
        <s v="Oprava venkovního osvětlení v areálu FN Olomouc"/>
        <s v="Výměna lůžkových ramp-budova D1,3.NP,7.NP a 8.NP"/>
        <s v="Stavební úpravy objektu D - únikové cesty"/>
        <s v="Budova XA - výměna střešního pláště"/>
        <s v="Set CT a MR kompatibilních aplikátorů pro gynekologickou vaginální brachyterapii II"/>
        <s v="FN Olomouc - Neurostimulační systémy"/>
        <s v="Elektroforéza proteinů OKB 2020 včetně výpůjčky analyzátorů"/>
        <s v="Odstranění revizních závad na rozvodech MP-budova D2"/>
        <s v="Stavební úpravy objektu I - 1PP"/>
        <s v="Polohovatelná křesla III."/>
        <s v="Léčiva s obsahem erenumabu  2020  -  sdružený nákup"/>
        <s v="Léčiva s obsahem gemtuzumab ozogamicinu  2020  -  sdružený nákup"/>
        <s v="Pláště ošetřovatelské jednorázové"/>
        <s v="Odstraňování havárií na vodovodních řadech a přípojkách ve FNOL"/>
        <s v="Oprava MaR ČOV"/>
        <s v="Stropní osvětlení v prostoru COSS v budově A"/>
        <s v="Tonometr oční"/>
        <s v="Odborné konzultace a dozor při implementaci v rámci dodávky integrační platformy"/>
        <s v="Obnovení podpory zálohovacího software Veeam"/>
        <s v="Stolní izolátory nukleových kyselin"/>
        <s v="Výměna EKV výtahů FNOL"/>
        <s v="Monitor povrchové kontaminace rukou, nohou, oděvu "/>
        <s v="Dílčí opravy výtahů"/>
        <s v="Oprava MaR budova S,Q,R"/>
        <s v="Rekonstrukce obvodového pláště mezi budovami  M2 a M3"/>
        <s v="Termocykler pro HOK"/>
        <s v="Tiskárna podložních skel"/>
        <s v="Manuální sáňkový mikrotom"/>
        <s v="CPET - Spiroergometrie"/>
        <s v="Inzuliny rychle působící 2020"/>
        <s v="LP z ATC B01AC a A16AB 2020"/>
        <s v="Sety pro bezpečné podávání cytostatik k pumpám Infusomat Compact Plus"/>
        <s v="Izolátor nukleových kyselin"/>
        <s v="Ocelové konstrukce v kolektoru"/>
        <s v="FN Olomouc - stavební úpravy objektu WD - stravovací provoz"/>
        <s v="Kapilární hemodialyzátory syntetické, high flux "/>
        <s v="Realizace nástavby budovy &quot;A&quot;"/>
        <s v="Budova XA-výměna střešního pláště II"/>
        <s v="Rozšíření SW funkcionality LoadBalancerů Citrix ADC"/>
        <s v="Nástroje chirurgické pro kliniky FNOL"/>
        <s v="Dodávka serverů pro bezpečnostní infrastrukturu"/>
        <s v="Laboratorní váhy - nová VZ-2021-000015"/>
        <s v="Kancelářské zařízení pro kopírování, skenování a tisk"/>
        <s v="Hygienické zabezpečení vody budova P "/>
        <s v="L01A Alkylační látky 2020"/>
        <s v="Antibakteriální léčiva pro systémovou aplikaci 2020"/>
        <s v="LP ze skupiny inhalačních sympatomimetik 2020"/>
        <s v="Výměna vodoměrů a ovládání uzavíracích ventilů na vodovodním řádu"/>
        <s v="Materiál spotřební k pulzním oxymetrům MASIMO"/>
        <s v="Nové dopojení vody do Budovy R "/>
        <s v="Dodání a montáž chladících jednotek v budově A a T"/>
        <s v="Automatický pipetovací systém"/>
        <s v="LP z ATC L02BA 2020"/>
        <s v="Aspirační katétry intrakraniální k aspirační tromboktomii tepen mozkového povodí"/>
        <s v="Operační jednotka včetně 3D zobrazovacího systému a materiál spotřební pro chir.předního a zadního segmentu oka"/>
        <s v="Oprava páteřního rozvodu vody budova J1-J3 "/>
        <s v="Mukolytika 2020"/>
        <s v="LP ze skupiny inhalačních sympatomimetik 2020 II."/>
        <s v="Statické zajištění opěrné stěny na ul. Albertova"/>
        <s v="Jiná antimykotika pro systémovou aplikaci 2020"/>
        <s v="Spotřební materiál pro elektroanatomický 3D mapovací systém - sdružený nákup"/>
        <s v="Kardiostimulátory pro pacienty po extrakci pro závažné infekční komplikace výkonu a pro pacienty s vysokým potencionálním rizikem vzniku infekčních komplikací"/>
        <s v="Implatabilní kardiovertery-defibrilátory pro komplexní management pacientů s vysokým rizikem infekčních komplikací"/>
        <s v="FN Olomouc - Intervenční kardiologie II"/>
        <s v="Elektroforéza proteinů OKB 2020 včetně výpůjčky analyzátorů II."/>
        <s v="PD - přístavba budovy X"/>
        <s v="Extrakty alergenů 2020"/>
        <s v="Nukleosidy a nukleotidy 2020"/>
        <s v="Výroba a montáž nábytku pro Radiologii, budova A, H a Stravovací provoz, budova WD"/>
        <s v="Tonometr oční II."/>
        <s v="Tonometr oční III."/>
        <m/>
        <s v="Oprava výtahů č. 43, 44 a 54" u="1"/>
        <s v="Diagnostika pro Real-Time PCR Termocykler – 28.1.2020" u="1"/>
        <s v="Úprava vstupu a komunikace do budovy N – 17.2.2020" u="1"/>
        <s v="Tiskárny FNOL 2019" u="1"/>
        <s v="Termotiskárny - 25.2.2020" u="1"/>
        <s v="Přímá digitalizace RTG pracoviště – 27.1.2020" u="1"/>
        <s v="Dodávka dectů – 25.3.2020" u="1"/>
        <s v="Ultrazvukové sestava 2020 – 27.1.2020" u="1"/>
        <s v="Ultrazvukové sestavy FNOL – 27.1.2020" u="1"/>
        <s v="Elektroforéza OKB 2020 včetně výpůjčky analyzátorů" u="1"/>
        <s v="Rekonstrukce TS3" u="1"/>
        <s v="PD - novostavba budovy B" u="1"/>
        <s v="Oprava střešního pláště na budově AYH" u="1"/>
        <s v="Ultrazvukové sestavy" u="1"/>
        <s v="Komunikační a integrační platforma elektronizace FN Olomouc a regionálniho e-Health" u="1"/>
        <s v="Stavební úpravy budovy I - 2NP – 4.3.2020" u="1"/>
        <s v="Hepariny II. 2020" u="1"/>
        <s v="Zajištění občerstvení na plese FN Olomouc v r. 2020" u="1"/>
        <s v="LP z ATC L02BA a J05AB14 2020" u="1"/>
        <s v="Intervenční radiologie - 2. Vodící dráty k vaskulárním intervencím" u="1"/>
        <s v="Hněvotínská - 29.1.2020" u="1"/>
        <s v="Tisk edukačních a propagačních tiskovin" u="1"/>
        <s v="Intervenční radiologie - 5. Mikrokatétry" u="1"/>
        <s v="Čekárenské lavice a konferenční židle pro HOK - 18.3.2020" u="1"/>
        <s v="Stomatologická souprava" u="1"/>
        <s v="Rouškovací sety pro I. Interní kliniku – kardiologickou – 6.2.2020" u="1"/>
        <s v="Rouškovací sety pro I. Interní kliniku - kardiologickou" u="1"/>
        <s v="Servisní služby - RTG přístroje Ziehm a motodlahy Daniflex" u="1"/>
        <s v="Ubytování a služby spojené s realizací odborné akce FN Olomouc – konference Luklův den " u="1"/>
        <s v="Logistika léků - 10.3.2020" u="1"/>
        <s v="Rekonstrukce hygienických zařízení na PORGYN v 3.NP – 5.2.2020" u="1"/>
        <s v="Repase oken na budově Q2 ve 3 a 4 NP – 5.2.2020" u="1"/>
        <s v="Ocludery" u="1"/>
        <s v="Ubytování a služby spojené s realizací odborné akce FN Olomouc – konference Hospital Management " u="1"/>
        <s v="Kalibrace a validace měřidel a zařízení – 27.1.2020" u="1"/>
        <s v="3T Mgnetická rezonance" u="1"/>
        <s v="Dodávkový automobil" u="1"/>
        <s v="VRV Chlazení FNOL 2020 – 17.2.2020" u="1"/>
        <s v="Laboratorní váhy" u="1"/>
        <s v="Ubytování a služby spojené s realizací odborné akce FN Olomouc – konference Veřejné zakázky ve zdravotnictví " u="1"/>
        <s v="Multilicence Microsoft – 19.3.2020" u="1"/>
        <s v="Vodorozpustné nískoosmolární a isoosmolární nefrotropní rtg-kontrastní látky" u="1"/>
        <s v="Intervenční kardiologie" u="1"/>
        <s v="Jiné srdeční glycosidy 2020" u="1"/>
        <s v="Nábytek pro HOK  – 28.1.2020" u="1"/>
        <s v="Vysokofrekvenční ventilátor pro novorozence a malé děti II." u="1"/>
        <s v="FN Olomouc - obměna 3 ks lineárních urychlovačů a Thomayerova nemocnice - obměna 2 ks lineárních urychlovačů - sdružený nákup" u="1"/>
        <s v="Výstavba chodníků v areálu FNOL – 27.1.2020" u="1"/>
        <s v="Termotiskárny" u="1"/>
        <s v="Kontrola provozuschopnosti hasících přístrojů a zařízení pro zásobování požární vodou" u="1"/>
        <s v="HW a SW infrastruktura k ESB do datového centra" u="1"/>
        <s v="MitraClip" u="1"/>
        <s v="Chlazení budov A, T " u="1"/>
        <s v="Servis, opravy a údržba sanitních, dodávkových a osobních vozidel FNOL" u="1"/>
        <s v="Systém filtrační pro odstranění leukocytů ze směsi jednotek trombocytů z Buffy Coatu pro TO" u="1"/>
        <s v="Příslušenství operačního stolu – 9.3.2020" u="1"/>
        <s v="Membránové oxygenátory včetně hadicových setů pro vedení mimotělního oběhu – 12.2.2020" u="1"/>
        <s v="Termotiksárny" u="1"/>
        <s v="Kancelářské potřeby  - 24.1.2020" u="1"/>
        <s v="Rozšíření/náhrada SW PDA modulu logistiky léků – 10.3.2020" u="1"/>
        <s v="Konference Petřivalského Rapantovy dny – 14.2.2020" u="1"/>
        <s v="Stabilizátory pro operace srdce bez mimotělního oběhu" u="1"/>
        <s v="Servis lineárních urychlovačů Elekta Synergy včetně verifikačního systému" u="1"/>
        <s v="Systém filtrační pro odstranění leukocytů ze směsi jednotek trombocytů z Buffy Coatu pro TO – 28.2." u="1"/>
        <s v="Servis výtahové techniky" u="1"/>
        <s v="Ultrazvukové sestavy 2020" u="1"/>
        <s v="Čistící prostředky a jiné drogistické zboží – 27.1.2020" u="1"/>
        <s v="Titanový sternální fixační systém" u="1"/>
        <s v="Sanace lodžie na DK ve 3 a 4 NP – 5.2.2020" u="1"/>
        <s v="Kardioplegické sety – 12.2.2020" u="1"/>
      </sharedItems>
    </cacheField>
    <cacheField name="Část" numFmtId="0">
      <sharedItems containsString="0" containsBlank="1" containsNumber="1" containsInteger="1" minValue="1" maxValue="15"/>
    </cacheField>
    <cacheField name="Název části VZ" numFmtId="0">
      <sharedItems containsBlank="1"/>
    </cacheField>
    <cacheField name="ATC kód u léčiv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44">
      <sharedItems containsString="0" containsBlank="1" containsNumber="1" minValue="1853" maxValue="431388000"/>
    </cacheField>
    <cacheField name="Druh VZ" numFmtId="0">
      <sharedItems containsBlank="1" count="5">
        <s v="OŘ"/>
        <s v="ZPŘ"/>
        <s v="VZMR"/>
        <s v="JŘBÚ"/>
        <m/>
      </sharedItems>
    </cacheField>
    <cacheField name="VZ vypsaná dne" numFmtId="0">
      <sharedItems containsNonDate="0" containsDate="1" containsString="0" containsBlank="1" minDate="2019-03-29T00:00:00" maxDate="2021-01-01T00:00:00"/>
    </cacheField>
    <cacheField name="Lhůta pro podání nabídek" numFmtId="0">
      <sharedItems containsNonDate="0" containsDate="1" containsString="0" containsBlank="1" minDate="2019-07-08T00:00:00" maxDate="2021-01-30T00:00:00"/>
    </cacheField>
    <cacheField name="Datum vyhodnocení VZ" numFmtId="0">
      <sharedItems containsNonDate="0" containsDate="1" containsString="0" containsBlank="1" minDate="2019-10-04T00:00:00" maxDate="2020-12-23T00:00:00"/>
    </cacheField>
    <cacheField name="Dodavatel / u zrušených stávající dodavatel" numFmtId="0">
      <sharedItems containsBlank="1"/>
    </cacheField>
    <cacheField name="postup po zrušení" numFmtId="0">
      <sharedItems containsBlank="1"/>
    </cacheField>
    <cacheField name="Vítězná cena bez DPH" numFmtId="44">
      <sharedItems containsBlank="1" containsMixedTypes="1" containsNumber="1" minValue="1800" maxValue="415080820"/>
    </cacheField>
    <cacheField name="Vítězná cena s DPH" numFmtId="44">
      <sharedItems containsBlank="1" containsMixedTypes="1" containsNumber="1" minValue="2178" maxValue="502247792.19999999"/>
    </cacheField>
    <cacheField name="Léčiva - Kód SUKL" numFmtId="0">
      <sharedItems containsNonDate="0" containsString="0" containsBlank="1"/>
    </cacheField>
    <cacheField name="Léčiva - Název přípravku" numFmtId="0">
      <sharedItems containsNonDate="0" containsString="0" containsBlank="1"/>
    </cacheField>
    <cacheField name="Léčiva - Výrobce" numFmtId="0">
      <sharedItems containsNonDate="0" containsString="0" containsBlank="1"/>
    </cacheField>
    <cacheField name="Datum předání smlouvy do WF" numFmtId="0">
      <sharedItems containsNonDate="0" containsDate="1" containsString="0" containsBlank="1" minDate="2019-10-07T00:00:00" maxDate="2020-12-23T00:00:00"/>
    </cacheField>
    <cacheField name="Číslo smlouvy z WF" numFmtId="0">
      <sharedItems containsBlank="1"/>
    </cacheField>
    <cacheField name="Smlouva podepsána" numFmtId="0">
      <sharedItems containsNonDate="0" containsDate="1" containsString="0" containsBlank="1" minDate="2020-01-06T00:00:00" maxDate="2022-10-31T00:00:00" count="152">
        <m/>
        <d v="2020-02-24T00:00:00"/>
        <d v="2020-03-02T00:00:00"/>
        <d v="2020-07-23T00:00:00"/>
        <d v="2020-01-06T00:00:00"/>
        <d v="2020-01-24T00:00:00"/>
        <d v="2020-02-19T00:00:00"/>
        <d v="2020-02-25T00:00:00"/>
        <d v="2020-02-26T00:00:00"/>
        <d v="2020-01-20T00:00:00"/>
        <d v="2020-01-29T00:00:00"/>
        <d v="2020-01-13T00:00:00"/>
        <d v="2020-02-13T00:00:00"/>
        <d v="2020-02-17T00:00:00"/>
        <d v="2020-03-11T00:00:00"/>
        <d v="2020-02-10T00:00:00"/>
        <d v="2020-01-17T00:00:00"/>
        <d v="2020-03-13T00:00:00"/>
        <d v="2020-03-20T00:00:00"/>
        <d v="2020-03-12T00:00:00"/>
        <d v="2020-01-31T00:00:00"/>
        <d v="2020-05-14T00:00:00"/>
        <d v="2020-01-09T00:00:00"/>
        <d v="2020-02-05T00:00:00"/>
        <d v="2020-01-15T00:00:00"/>
        <d v="2020-05-12T00:00:00"/>
        <d v="2020-01-22T00:00:00"/>
        <d v="2020-01-30T00:00:00"/>
        <d v="2020-01-14T00:00:00"/>
        <d v="2020-02-28T00:00:00"/>
        <d v="2020-05-20T00:00:00"/>
        <d v="2020-05-06T00:00:00"/>
        <d v="2020-04-27T00:00:00"/>
        <d v="2020-03-18T00:00:00"/>
        <d v="2020-01-10T00:00:00"/>
        <d v="2020-02-04T00:00:00"/>
        <d v="2020-02-21T00:00:00"/>
        <d v="2020-05-04T00:00:00"/>
        <d v="2020-04-23T00:00:00"/>
        <d v="2020-03-05T00:00:00"/>
        <d v="2020-02-11T00:00:00"/>
        <d v="2020-04-17T00:00:00"/>
        <d v="2020-03-31T00:00:00"/>
        <d v="2020-06-08T00:00:00"/>
        <d v="2020-02-27T00:00:00"/>
        <d v="2020-01-21T00:00:00"/>
        <d v="2020-04-21T00:00:00"/>
        <d v="2020-03-09T00:00:00"/>
        <d v="2020-06-01T00:00:00"/>
        <d v="2020-11-26T00:00:00"/>
        <d v="2020-03-24T00:00:00"/>
        <d v="2020-07-01T00:00:00"/>
        <d v="2020-07-21T00:00:00"/>
        <d v="2020-07-07T00:00:00"/>
        <d v="2020-04-20T00:00:00"/>
        <d v="2020-05-22T00:00:00"/>
        <d v="2020-03-26T00:00:00"/>
        <d v="2020-06-24T00:00:00"/>
        <d v="2020-04-08T00:00:00"/>
        <d v="2020-02-14T00:00:00"/>
        <d v="2020-05-25T00:00:00"/>
        <d v="2020-08-07T00:00:00"/>
        <d v="2020-03-19T00:00:00"/>
        <d v="2020-07-24T00:00:00"/>
        <d v="2020-04-28T00:00:00"/>
        <d v="2020-05-19T00:00:00"/>
        <d v="2020-05-11T00:00:00"/>
        <d v="2020-04-06T00:00:00"/>
        <d v="2020-10-27T00:00:00"/>
        <d v="2020-08-11T00:00:00"/>
        <d v="2020-07-20T00:00:00"/>
        <d v="2020-07-28T00:00:00"/>
        <d v="2020-08-12T00:00:00"/>
        <d v="2020-04-29T00:00:00"/>
        <d v="2020-06-29T00:00:00"/>
        <d v="2020-05-29T00:00:00"/>
        <d v="2020-05-13T00:00:00"/>
        <d v="2020-10-30T00:00:00"/>
        <d v="2020-11-02T00:00:00"/>
        <d v="2020-05-05T00:00:00"/>
        <d v="2020-05-26T00:00:00"/>
        <d v="2020-09-29T00:00:00"/>
        <d v="2020-09-22T00:00:00"/>
        <d v="2020-09-11T00:00:00"/>
        <d v="2020-08-14T00:00:00"/>
        <d v="2020-08-19T00:00:00"/>
        <d v="2020-06-22T00:00:00"/>
        <d v="2020-07-17T00:00:00"/>
        <d v="2020-07-08T00:00:00"/>
        <d v="2020-07-16T00:00:00"/>
        <d v="2020-09-01T00:00:00"/>
        <d v="2020-06-12T00:00:00"/>
        <d v="2020-08-17T00:00:00"/>
        <d v="2020-11-04T00:00:00"/>
        <d v="2020-11-13T00:00:00"/>
        <d v="2020-08-27T00:00:00"/>
        <d v="2020-12-14T00:00:00"/>
        <d v="2020-07-02T00:00:00"/>
        <d v="2020-10-16T00:00:00"/>
        <d v="2020-09-23T00:00:00"/>
        <d v="2020-08-06T00:00:00"/>
        <d v="2020-11-20T00:00:00"/>
        <d v="2020-12-02T00:00:00"/>
        <d v="2020-09-16T00:00:00"/>
        <d v="2020-11-16T00:00:00"/>
        <d v="2020-12-23T00:00:00"/>
        <d v="2020-11-25T00:00:00"/>
        <d v="2020-09-04T00:00:00"/>
        <d v="2020-10-26T00:00:00"/>
        <d v="2020-10-01T00:00:00"/>
        <d v="2020-11-11T00:00:00"/>
        <d v="2020-07-22T00:00:00"/>
        <d v="2020-10-14T00:00:00"/>
        <d v="2020-10-08T00:00:00"/>
        <d v="2020-08-10T00:00:00"/>
        <d v="2020-09-09T00:00:00"/>
        <d v="2020-10-12T00:00:00"/>
        <d v="2020-09-25T00:00:00"/>
        <d v="2020-10-22T00:00:00"/>
        <d v="2020-08-13T00:00:00"/>
        <d v="2020-08-25T00:00:00"/>
        <d v="2020-09-21T00:00:00"/>
        <d v="2020-10-05T00:00:00"/>
        <d v="2020-09-03T00:00:00"/>
        <d v="2020-07-31T00:00:00"/>
        <d v="2020-10-29T00:00:00"/>
        <d v="2020-10-09T00:00:00"/>
        <d v="2020-09-17T00:00:00"/>
        <d v="2020-08-31T00:00:00"/>
        <d v="2020-09-10T00:00:00"/>
        <d v="2020-10-13T00:00:00"/>
        <d v="2020-09-15T00:00:00"/>
        <d v="2020-10-06T00:00:00"/>
        <d v="2020-09-14T00:00:00"/>
        <d v="2020-10-20T00:00:00"/>
        <d v="2020-12-08T00:00:00"/>
        <d v="2020-09-30T00:00:00"/>
        <d v="2020-12-21T00:00:00"/>
        <d v="2020-12-07T00:00:00"/>
        <d v="2020-12-18T00:00:00"/>
        <d v="2020-12-17T00:00:00"/>
        <d v="2020-10-15T00:00:00"/>
        <d v="2020-12-15T00:00:00"/>
        <d v="2020-11-10T00:00:00"/>
        <d v="2020-10-23T00:00:00"/>
        <d v="2020-11-30T00:00:00"/>
        <d v="2020-12-30T00:00:00"/>
        <d v="2020-11-06T00:00:00"/>
        <d v="2020-12-28T00:00:00"/>
        <d v="2020-12-04T00:00:00"/>
        <d v="2022-10-30T00:00:00" u="1"/>
        <d v="2020-02-12T00:00:00" u="1"/>
      </sharedItems>
    </cacheField>
    <cacheField name="Smlouva , Písemná zpráva zadavatele              Profil zadavatele" numFmtId="0">
      <sharedItems containsNonDate="0" containsDate="1" containsString="0" containsBlank="1" minDate="2020-01-07T00:00:00" maxDate="2021-01-16T00:00:00"/>
    </cacheField>
    <cacheField name="Platnost smlouvy / Datum dodání" numFmtId="0">
      <sharedItems containsDate="1" containsBlank="1" containsMixedTypes="1" minDate="2020-02-15T00:00:00" maxDate="2029-04-04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6319442" createdVersion="3" refreshedVersion="6" minRefreshableVersion="3" recordCount="1264" xr:uid="{65848B13-84F6-4ED0-9837-F6D1DE18CE16}">
  <cacheSource type="worksheet">
    <worksheetSource ref="C8:AC1552" sheet="VZ-2020"/>
  </cacheSource>
  <cacheFields count="27">
    <cacheField name="Datum předání na OVZ" numFmtId="0">
      <sharedItems containsDate="1" containsBlank="1" containsMixedTypes="1" minDate="2019-02-05T00:00:00" maxDate="2020-12-18T00:00:00"/>
    </cacheField>
    <cacheField name="Interní evidenční číslo" numFmtId="0">
      <sharedItems containsBlank="1"/>
    </cacheField>
    <cacheField name="Zadáv. prac." numFmtId="0">
      <sharedItems containsBlank="1" count="28">
        <s v="ZM"/>
        <s v="LÉK"/>
        <s v="IROP"/>
        <s v="ZT"/>
        <s v="OLV"/>
        <s v="ENERG"/>
        <s v="PERS"/>
        <s v="INF"/>
        <s v="VŠEOB"/>
        <s v="INV"/>
        <s v="OSB"/>
        <s v="PRAV"/>
        <s v="ISPROFIN"/>
        <s v="SERVIS"/>
        <s v="REACT"/>
        <s v="IROP26"/>
        <s v="MARKET"/>
        <s v="METR"/>
        <s v="DOPR"/>
        <s v="EKOLOG"/>
        <s v="BOZP"/>
        <s v="OVZ"/>
        <s v="KRIZ"/>
        <s v="NIT"/>
        <s v="KIPE"/>
        <m/>
        <s v="UHTS" u="1"/>
        <s v="KVAL" u="1"/>
      </sharedItems>
    </cacheField>
    <cacheField name="Osoba pověřená pro zadávací řízení" numFmtId="0">
      <sharedItems containsBlank="1"/>
    </cacheField>
    <cacheField name="Předmět plnění - název zakázky" numFmtId="0">
      <sharedItems containsBlank="1" count="486">
        <s v="Vyšetřovací a operační rukavice"/>
        <s v="Antibakteriální léčiva pro systémovou aplikaci III."/>
        <s v="Separátory PCS2 a MCS+ včetně spotřebního materiálu"/>
        <s v="Krevní vaky a lisy"/>
        <s v="Antibakteriální léčiv pro systémovou aplikaci IV."/>
        <s v="Diagnostika OKB I. 2019"/>
        <s v="Diagnostika MIKRO I. 2019"/>
        <s v="Diagnostika MIKRO III. 2019"/>
        <s v="Diagnostika IMUNO I. 2019"/>
        <s v="Diagnostika  PATOLOGIE  2019"/>
        <s v="Diagnostika HOK III. 2019"/>
        <s v="Diagnostika GENETIKA I. 2019"/>
        <s v="Diagnostika EXP.MED a IVF I. 2019"/>
        <s v="Analyzátora otoakustických emisí III."/>
        <s v="Diagnostické soupravy pro imunohematologické vyšetření se zápůjčkou analyzátorů"/>
        <s v="MIDOSTAURIN 2019"/>
        <s v="Interferony 2019"/>
        <s v="Mikro-ultrazvukový přístroj pro navigaci biopsie prostaty II."/>
        <s v="Produkty na výrobu nápojů pro hospitalizované pacienty"/>
        <s v="Inhibitory interleukinu I. 2019/2"/>
        <s v="Blinatumomab - sdružený nákup 2019"/>
        <s v="Antitrombotika 2019/2"/>
        <s v="Antivirotika k léčbě infekce HCV 2019"/>
        <s v="Alemtuzumab - sdružený nákup 2019"/>
        <s v="Léčivý přípravek OCALIVA 2019"/>
        <s v="Teriflunomid 2019 - sdružený nákup"/>
        <s v="PŘENOSNÝ ELASTOMERNÍ INFUZNÍ SYSTÉM INFUSOR LV "/>
        <s v="Léčivé přípravky s obsahem ivakaftoru 2019"/>
        <s v="Jiná systémová hemostatika 2019"/>
        <s v="Oprava výtahů č.1,60 a 61"/>
        <s v="Cafeteria systém"/>
        <s v="Servisní podpora Identity Managementu CzechIdM ve FN Olomouc"/>
        <s v="Drát vodící k měření intrakoronárního tlaku Pressure Wire X"/>
        <s v="Léčivé přípravky s obsahem ambrisentanu 2019"/>
        <s v="Léčivé přípravky s obsahem abirateronu 2019"/>
        <s v="Léčivé přípravky pro léčbu plicní arteriální hypertenze a podání při systémové sklerodermii  2019"/>
        <s v="Opioidní analgetika (anodyna) 2019"/>
        <s v="Jiná cytostatika II 2019"/>
        <s v="Jiná imunostimulancia 2019"/>
        <s v="Inhibitory interleukinu II 2019"/>
        <s v="15. Embolizační spirály odpoutatelné neurointervenční"/>
        <s v="Cetuximab I. 2019"/>
        <s v="Výroba a montáž nábytku V/2019"/>
        <s v="Ultrazvukový přístroj"/>
        <s v="Porodní instrumentaria"/>
        <s v="FN Olomouc - Automatický vjezdový systém II."/>
        <s v="26. Extraktory intravaskulární III. "/>
        <s v="Systém přímé vizualizace žlučových cest s elektrohydraulickou litotripsií"/>
        <s v="Léčivé přípravky z ATC L04AA - selektivní imunosupresiva"/>
        <s v="Levodopa a inhibitor dekarboxylázy"/>
        <s v="Rouškovací sety pro radiologii"/>
        <s v="Mobilní datové terminály"/>
        <s v="Oprava MaR budova A, III. etapa"/>
        <s v="Vyšetřovací jednotka s elektrokoagulací, odsáváním a nosním sprejem"/>
        <s v="Zařízení lavážní pro HIPEC II"/>
        <s v="Digitalizace doručené listinné pacientské dokumentace"/>
        <s v="Kontejnery sterilizační a dekontaminační s příslušenstvím"/>
        <s v="Monoklonální protilátky  II. 2019"/>
        <s v="Léčivé přípravky z ATC N04BC - Agonisté dopaminu 2019"/>
        <s v="Inhibitory proteinkináz III. 2019"/>
        <s v="FN Olomouc - stavební úpravy ortopedické kliniky - pracoviště sterilizace v 1.PP"/>
        <s v="Zřízení předávací stanice v budově R"/>
        <s v="Oční laserové přístroje"/>
        <s v="Pojištění majetku, pojištění obecné a profesní odpovědnosti FN Olomouc"/>
        <s v="Servisní podpora personálního a mzdového systému"/>
        <s v="Informační systém Mamárního screeningu"/>
        <s v="Mycí a dezinfekční automat na operační obuv II."/>
        <s v="Instrumentárium pro ORTOP"/>
        <s v="FN Olomouc - obnova kardiologické SPECT kamery pro KNM"/>
        <s v="Imunochemická vyšetření s výpůjčkou analyzátoru"/>
        <s v="Láhve a dudlíky krmící jednorázové"/>
        <s v="Rekonstrukce topení a opravy podlah v bytech na ubytovně Albertova 26 II."/>
        <s v="Servisní služby - spektrometr Maldi Biotyper"/>
        <s v="Zajištění záložní internetové konektivity FNOL"/>
        <s v="Výměna rozvodů TV a CIR v budově R"/>
        <s v="Přístroj pro molekulární onkologickou diagnostiku II."/>
        <s v="Videolaryngoskop II."/>
        <s v="Inhibitory proteinkináz V. 2019"/>
        <s v="Fototerapeutická jednotka pro Novorozenecké oddělení"/>
        <s v="Monitory FNOL 2019"/>
        <s v="Hepariny 2019"/>
        <s v="Bronchoskopy"/>
        <s v="Elektrické polohovatelné křeslo s příslušenstvím"/>
        <s v="Rigidní bronchoskopy pro tryskovou ventilaci Twinstream"/>
        <s v="Demolice budov v areálu FN Olomouc"/>
        <s v="Pozáruční podpora systému AGFA IMPAX II."/>
        <s v="Inhibitory proteinkináz VI. 2019"/>
        <s v="Toaletní papír a papírové ručníky Z-Z"/>
        <s v="Kancelářský papír 2020"/>
        <s v="Integrační platforma"/>
        <s v="Hardware pro integrační platformu"/>
        <s v="Celková rekonstrukce TS3"/>
        <s v="Rekonstrukce chladící stanice"/>
        <s v="Léčiva s obsahem idelalisibu 2019 - sdružený nákup"/>
        <s v="Léčiva s obsahem omalizumabu 2019 - sdružený nákup"/>
        <s v="Léčivé přípravky z ATC H01A - Hormony předního laloku hypofýzy a analoga"/>
        <s v="Jiná cytostatika I 2019"/>
        <s v="Kardioangiografický komplet pro elektrofyziologii "/>
        <s v="Catering na ples FN Olomouc v r. 2020"/>
        <s v="Dodávky reagencií a spotřebního materiálu pro rutinní biochemická a imunochemická stanovení s výpůjčkou analytického systému"/>
        <s v="PD - Nástavba budovy A"/>
        <s v="Pozáruční servis aktivních prvků"/>
        <s v="Nástroje chirurgické pro Ortopedii"/>
        <s v="Spotřební materiál k separátorům krevních částic Trima Accel"/>
        <s v="Systém na odsávání sekretů"/>
        <s v="Elektrochirurgické a argonové generátory"/>
        <s v="Oční laser "/>
        <s v="FN Olomouc - obměna 3 ks lineárních urychlovačů a Thomayerova nemocnice - obměna 2 ks lineárních urychlovačů - Sdružený nákup II."/>
        <s v="Stanovení specifických IgE protilátek se zápůjčkou analyzátoru"/>
        <s v="Servis výtahů FNOL"/>
        <s v="Osmometr"/>
        <s v="Ultrazvukové sestavy FNOL"/>
        <s v="Výstavba chodníků v areálu FNOL"/>
        <s v="Diagnostika pro Real-Time PCR Termocykler "/>
        <s v="Systém pro katetrovou implantaci aortální chlopně (TAVI) - sdružený nákup"/>
        <s v="Nový vjezd do areálu FN Olomouc z ulice Hněvotínská"/>
        <s v="Kancelářské potřeby"/>
        <s v="Přímá digitalizace RTG pracoviště"/>
        <s v="Výroba a montáž nábytku HOK 2020"/>
        <s v="Monoklonální protilátky 2020 I."/>
        <s v="Monoklonální protilátky 2020 II."/>
        <s v="Sanace lodžie na Dětské klinice ve 3 a 4 NP"/>
        <s v="Repase oken na v budově Q2 ve 3 a 4 NP"/>
        <s v="Rekonstrukce hygienických zařízení v budově C ve 3NP"/>
        <s v="Čistící prostředky a jiné drogistické zboží"/>
        <s v="Kalibrace a validace měřidel a zařízení FN Olomouc"/>
        <s v="Stavební úpravy Kliniky plicních nemocí a tuberkulózy - H2 3.NP a 4.NP"/>
        <s v="Ultrazvukový aspirátor pro NCHIR"/>
        <s v="VRV chlazení FNOL 2020"/>
        <s v="Úprava vstupu a komunikace do budovy N"/>
        <s v="Fort Tafelberg, úprava jižního boku hlavního valu"/>
        <s v="Stříkačky proplachovací předplněné sterilním 0,9%NACl – sdružený nákup "/>
        <s v="Operační mikroskop pro NCHIR"/>
        <s v="Jiná imunosupresiva 2020"/>
        <s v="Selektivní imunosupresiva  2020"/>
        <s v="Stavební úpravy objektu Q2 - Dětská klinika"/>
        <s v="Rouškovací sety pro Ortopedii"/>
        <s v="Dodávky termotiskáren"/>
        <s v="Elektrody defibrilační jednorázové"/>
        <s v="Titanový sternální fixační systém "/>
        <s v="Rouškovací sety pro I. interní kliniku  - kardiologickou"/>
        <s v="Instrumentárium pro ORTOP (navýšení instrumentária)"/>
        <s v="Systém filtrační pro odstranění leukocytů  pro TO"/>
        <s v="Tísňový signalizační náramkový systém"/>
        <s v="Kardioplegické sety"/>
        <s v="Izolace DNA"/>
        <s v="Elektrický přívod z TS4 do budovy D1"/>
        <s v="Dodávkové vozidlo"/>
        <s v="Stavební úpravy budovy I - 2NP"/>
        <s v="Stavební úpravy 2.NP objektu A – provozní opatření"/>
        <s v="Úprava čistící místnosti v budově A na oddělení IPCHO"/>
        <s v="Kancelářský papír 2020 II"/>
        <s v="FNOL - Intervenční kardiologie"/>
        <s v="Čistící prostředky a jiné drogistické zboží 2020 II"/>
        <s v="Ubytování a služby spojené s realizací odborné akce FN Olomouc – konference XI. Luklův den"/>
        <s v="Ubytování a služby spojené s realizací odborné akce FN Olomouc – konference Hospital Management"/>
        <s v="Ubytování a služby spojené s realizací odborné akce FN Olomouc – konference Veřejné zakázky ve zdravotnictví"/>
        <s v="Shromažďovací místa odpadů"/>
        <s v="Příslušenství operačního stolu"/>
        <s v="Rozšíření/náhrada SW PDA modulu logistiky léků"/>
        <s v="Čekárenské lavice a konferenční židle pro HOK"/>
        <s v="Prodloužení a nákup licencí v rámci multilicenčních programů Microsoft "/>
        <s v="Dodávky dectů 2020"/>
        <s v="Kardioplegický set 4:1 se spirálou do ledové tříště"/>
        <s v="Kombinace koagulačních faktorů I. 2020"/>
        <s v="Kombinace koagulačních faktorů II. 2020"/>
        <s v="Léčivé přípravky z ATC L04AC a L01XE 2020"/>
        <s v="Inhibitory tumor nekrotizujícího faktoru 2020"/>
        <s v="Jiná léčiva respiračního systému z ATC R07AX 2020"/>
        <s v="Ubytování a služby spojené s realizací odborné akce FN Olomouc – konference Petřivalského Rapantovy dny"/>
        <s v="Dodávkové vozidlo II."/>
        <s v="Klinický stimulátor"/>
        <s v="RF generátor"/>
        <s v="HW NextGeneration Firewall v režimu HA"/>
        <s v="Materiál spotřební k tlakovým injektorům ULRICH"/>
        <s v="Zajištění živých přenosů z odborných pracovišť"/>
        <s v="Videolaryngoskop"/>
        <s v="Ústní rozvěrač pro robotickou chirurgii "/>
        <s v="Update softwaru karyotypovacích stanic"/>
        <s v="Stavební úpravy objektu U - klinika psychiatrie"/>
        <s v="Příslušenství k svislým rampám GeminaDUO"/>
        <s v="Zapojení lokální EPS budovy „U“ (PSY) do systému EsserNet"/>
        <s v="Membránové oxygenátory včetně hadicových setů pro vedení mimotělního oběhu "/>
        <s v="Rozšíření zálohovacích kapacit"/>
        <s v="Stabilizátor pro operace MIDCABG"/>
        <s v="Vyvolávací systémy FN Olomouc"/>
        <s v="Dodávka pneumatik pro osobní, dodávková a nákladní vozidla FNOL"/>
        <s v="Servisni podpora SW aplikace WISPI"/>
        <s v="FN Olomouc - obnova kardiologické SPECT kamery pro KNM II."/>
        <s v="Mycí stoly s dezinfekcí"/>
        <s v="Antikoagulancia 2020"/>
        <s v="LP z ATC B02B - Jiná hemostatika 2020"/>
        <s v="Zákrokové světla"/>
        <s v="Výměna lůžkových ramp - budova D1, 4.NP a 5.NP"/>
        <s v="Nerezový mobiliář"/>
        <s v="Léčiva s obsahem idelalisibu II. 2020 - sdružený nákup"/>
        <s v="Léčiva s obsahem karfilzomibu 2020 - sdružený nákup"/>
        <s v="FN Olomouc - Kardiostimulátory"/>
        <s v="Poskytování služby automatického rozesílání SMS"/>
        <s v="Systém filtrační pro odstranění leukocytů II"/>
        <s v="Servis, oprava a údržba sanitních, dodávkových a osobních vozidel FNOL 2020"/>
        <s v="Příslušenství k svislým rampám GeminaDUO II"/>
        <s v="FN Olomouc - Implantabilní kardiovertery-defibrilátory"/>
        <s v="Koagulace I. 2020"/>
        <s v="Oprava střešního pláště na budově garáže QZI1 a QZH1"/>
        <s v="3T Magnetická rezonance"/>
        <s v="Materiál spotřební k extrakorporální membránové oxygenaci ECMO"/>
        <s v="Materiál spotřební k systému na stanovení ACT"/>
        <s v="FN Olomouc - Koronární stenty"/>
        <s v="LP z ATC L03AA 2020"/>
        <s v="Jiná cytostatika II. 2020"/>
        <s v="Faktor VIII 2020 I."/>
        <s v="Faktor VIII 2020 II."/>
        <s v="Výměna rozvodů topení v M2 "/>
        <s v="Materiál spotřební(čidla saturační SpO2) k pulzním oxymetrům Masimo"/>
        <s v="Dodávka analogových telefonních licencí"/>
        <s v="Polohovatelná křesla"/>
        <s v="Servisní podpora SW MetaSystems s připuštěním náhrady "/>
        <s v="Materiál spotřební k systému na stanovení ACT + výpůjčka krevního analyzátoru"/>
        <s v="Shromažďovací místa pro odpadkové kontejnery"/>
        <s v="Argonové generátory"/>
        <s v="Intervenční radiologie - 14. Stengrafty aortální"/>
        <s v="Rekonstrukce TS5"/>
        <s v="FN Olomouc - Srdeční chlopně a anuloplastické prstence"/>
        <s v="Materiál spotřební k systému na stanovení ACT II."/>
        <s v="Dotační Program na zvýšení ochrany měkkých cílů v resortu zdravotnictví v roce 2020"/>
        <s v="Systém pro elektrofyziologické vyšetření intrakardiálních potenciálů"/>
        <s v="Multivitamínové šumivé tablety 2020"/>
        <s v="Periferně působící myorelaxancia 2020"/>
        <s v="Hypotalamické hormony 2020"/>
        <s v="Vinka alkaloidy a analoga 2020"/>
        <s v="Intervenční radiologie - 2. 6. Vodící dráty k vaskulárním neurointervencím"/>
        <s v="Intervenční radiologie - 5. Mikrokatétry neurointervenční"/>
        <s v="Imunoglobuliny normální lidské 2020"/>
        <s v="Tlakový holter"/>
        <s v="Vyšetření protilátek proti viru SARS-CoV-2"/>
        <s v="Servisni podpora SW aplikace WISPI s možností náhrady SW II"/>
        <s v="Stomatologická souprava a 6 sad kompresorů"/>
        <s v="Materiál spotřební pro peritoneální dialýzu"/>
        <s v="Materiál spotřební pro peritoneální dialýzu "/>
        <s v="Stabilizační systém pro operaci srdce bez mimotělního oběhu"/>
        <s v="Systém mikromotorů pro orální chirurgii"/>
        <s v="Stavební úpravy Radiologické kliniky"/>
        <s v="Přístroje funkční elektrostimulace"/>
        <s v="ECMO"/>
        <s v="Sety k separátoru krevních elementů Spectra Optia"/>
        <s v="Servisní podpora SW MetaSystems s připuštěním náhrady II"/>
        <s v="Mikroskop s manipulátory"/>
        <s v="Spotřební materiál pro elektroanatomický 3D mapovací systém"/>
        <s v="Záznamník EKG implantabilní BioMonitor III  "/>
        <s v="Průběžné svářečky sterilizačních obalů"/>
        <s v="Analyzátor na kontrolu kvality nukleových kyselin"/>
        <s v="pH-metr s impedancí"/>
        <s v="Servis a opravy automatizovaných dveří ve FN Olomouc"/>
        <s v="Enterální výživa I. 2020"/>
        <s v="Enterální výživa II. 2020"/>
        <s v="Poskytnutí služeb k zařízení Barracuda Networks"/>
        <s v="Set CT a MR kompatibilních aplikátorů pro gynekologickou vaginální brachyterapii"/>
        <s v="Klinický stimulátor II."/>
        <s v="Přístroj pro plnění mikrodestiček"/>
        <s v="Mikrofluidní systém"/>
        <s v="Spinální implantáty"/>
        <s v="Endoskopická vláknová Ramanova sonda "/>
        <s v="Vyhodnocovací konzole"/>
        <s v="Výroba a montáž nábytku "/>
        <s v="Sety k separátoru krevních elementů Spectra Optia II "/>
        <s v="Servisní podpora SW-Medicínská databáze pro porodnicko-gynekologickou péči-s připuštěním náhrady"/>
        <s v="Sanace průsaků vody v kolektoru"/>
        <s v="Dodávka notebooků 2020"/>
        <s v="Stavební úpravy pro přesun RTG přístroje"/>
        <s v="Videoduodenoskop"/>
        <s v="Dezinfekční přípravky na velké plochy, povrchy a předměty"/>
        <s v="Dezinfekce a mytí rukou"/>
        <s v="Dezinfekční přípravky k přímému použití pro rychlou dezinfekci"/>
        <s v="Role papírové s perforací na vyšetřovací lůžka"/>
        <s v="Podlahářské práce ve FNOL"/>
        <s v="Oprava střešního pláště na budově YH"/>
        <s v="Výměna oken na DK 1.etapa"/>
        <s v="Rekonstrukce obvodového pláště mezi M2 a M3"/>
        <s v="Pláště návštěvnické jednorázové "/>
        <s v="DNA izolátor na principu separace DNA pomocí magnetických partikul"/>
        <s v="Léčivé přípravky s obsahem Ivakaftoru 2020"/>
        <s v="Periferně působící myorelaxancia 2020 II."/>
        <s v="Masky operační – ústenky  "/>
        <s v="Respirátory FFP2 bez výdechového ventilu"/>
        <s v="Spotřební materiál k artroskopické věži Johnson"/>
        <s v="Spotřební  materiál k artroskopické věži Arthrex"/>
        <s v="Rekonstrukce kanalizace u budovy F"/>
        <s v="Respirátory FFP3 bez výdechového ventilu"/>
        <s v="Antiagregancia kromě heparinu   2020"/>
        <s v="Enterální výživa 2020  III."/>
        <s v="Kolektor - výměna ventilů na vodovodním řádu "/>
        <s v="Transportní monitor vitálních funkcí"/>
        <s v="PD – demolice objektu B a přeložky IS "/>
        <s v="Propojení navigačního systému s operačním mikroskopem"/>
        <s v="Enterální výživa IV. 2020"/>
        <s v="Rukavice vyšetřovací nitrilové bez pudru "/>
        <s v="Sternální pily"/>
        <s v="Automatický pipetovací systém - sdružený nákup"/>
        <s v="Chladící a mrazící technika"/>
        <s v="FN Olomouc - novostavba hlavní budovy B - projektová dokumentace"/>
        <s v="PCSK9 inhibitory 2020"/>
        <s v="Dodání bezolejových kompresorových jednotek-budova S "/>
        <s v="Kontrola zařízení elektrické požární signalizace s ústřednou ESSER"/>
        <s v="Ubytování a služby spojené s realizací odborné akce FN Olomouc – konference XI. Luklův den II"/>
        <s v="Ubytování a služby spojené s realizací odborné akce FN Olomouc – konference Veřejné zakázky ve zdravotnictví II"/>
        <s v="HW pro integrační platformu II."/>
        <s v="Polohovatelná křesla II."/>
        <s v="Analyzátor na kontrolu kvality nukleových kyselin II"/>
        <s v="Real Time PCR termocyklery "/>
        <s v="Vyšetření krevního obrazu s výpůjčkou hematologického analyzátoru"/>
        <s v="Oprava MaR budova A,IV.etapa&quot;"/>
        <s v="Filtry pro vzduchotechniku 2020-2023"/>
        <s v="Flowmon sonda"/>
        <s v="Úprava trafostanice TS3"/>
        <s v="PD- novostavba budovy F"/>
        <s v="Odstranění závad na zdrojových napájecích jednotkách – budovy A, M3"/>
        <s v="Materiál spotřební k systému na stanovení ACT + výpůjčka krevního analyzátoru II."/>
        <s v="Oprava hygienických zařízení na KÚČOCH v budově R v 1PP"/>
        <s v="Oprava hygienických zařízení na KZL v budově UZQ v 1PP"/>
        <s v="PD - novostavba budovy C1"/>
        <s v="Počítačová tomografie"/>
        <s v="PD - Parkoviště v areálu FN Olomouc"/>
        <s v="Materiál spotřební (čidla saturační SpO2) k pulzním oxymetrům MASIMO"/>
        <s v="Izolační kit NX-48 Viral NA Kit pro přístroj Nextractor "/>
        <s v="Kit pro real-time PCR detekci viru SARS-CoV-2 na přístroji Cycler CFX 96 "/>
        <s v="Testy Xpert Xpress SARS-CoV-2 pro přístroj Genexpert "/>
        <s v="Klipy a klipovací systém"/>
        <s v="Imunoglobuliny pro intravaskulární podání 2020"/>
        <s v="LP s obsahem infliximabu 2020"/>
        <s v="Léčiva s obsahem abemaciklibu 2020 - sdružený nákup"/>
        <s v="Nástroj pro centralizovaný sběr, ukládání a detailní analýzu logů z informačních systémů FN Olomouc"/>
        <s v="Taxany 2020"/>
        <s v="FNOL – Náplně do tiskáren "/>
        <s v="Oprava řízení VS budov M, K, D1, WP, C"/>
        <s v="Kit pro real-time PCR detekci viru SARS-CoV-2 na přístroji Cycler CFX 96 II."/>
        <s v="Izolace nukleových kyselin s výpůjčkou izolátoru"/>
        <s v="FN Olomouc - PC sestavy"/>
        <s v="Oprava výtahů č. 43, 44 a 55"/>
        <s v="Nouzové osvětlení"/>
        <s v="Inhibitory kalcineurinu 2020"/>
        <s v="Poskytování servisních služeb – Sterilizátory FNOL"/>
        <s v="Systém mikromotorů pro orální chirurgii II."/>
        <s v="Oprava obvodového pláště budov M,N "/>
        <s v="Oprava venkovního osvětlení v areálu FN Olomouc"/>
        <s v="Výměna lůžkových ramp-budova D1,3.NP,7.NP a 8.NP"/>
        <s v="Stavební úpravy objektu D - únikové cesty"/>
        <s v="Budova XA - výměna střešního pláště"/>
        <s v="Set CT a MR kompatibilních aplikátorů pro gynekologickou vaginální brachyterapii II"/>
        <s v="FN Olomouc - Neurostimulační systémy"/>
        <s v="Elektroforéza proteinů OKB 2020 včetně výpůjčky analyzátorů"/>
        <s v="Odstranění revizních závad na rozvodech MP-budova D2"/>
        <s v="Stavební úpravy objektu I - 1PP"/>
        <s v="Polohovatelná křesla III."/>
        <s v="Léčiva s obsahem erenumabu  2020  -  sdružený nákup"/>
        <s v="Léčiva s obsahem gemtuzumab ozogamicinu  2020  -  sdružený nákup"/>
        <s v="Pláště ošetřovatelské jednorázové"/>
        <s v="Odstraňování havárií na vodovodních řadech a přípojkách ve FNOL"/>
        <s v="Oprava MaR ČOV"/>
        <s v="Stropní osvětlení v prostoru COSS v budově A"/>
        <s v="Tonometr oční"/>
        <s v="Odborné konzultace a dozor při implementaci v rámci dodávky integrační platformy"/>
        <s v="Obnovení podpory zálohovacího software Veeam"/>
        <s v="Stolní izolátory nukleových kyselin"/>
        <s v="Výměna EKV výtahů FNOL"/>
        <s v="Monitor povrchové kontaminace rukou, nohou, oděvu "/>
        <s v="Dílčí opravy výtahů"/>
        <s v="Oprava MaR budova S,Q,R"/>
        <s v="Rekonstrukce obvodového pláště mezi budovami  M2 a M3"/>
        <s v="Termocykler pro HOK"/>
        <s v="Tiskárna podložních skel"/>
        <s v="Manuální sáňkový mikrotom"/>
        <s v="CPET - Spiroergometrie"/>
        <s v="Inzuliny rychle působící 2020"/>
        <s v="LP z ATC B01AC a A16AB 2020"/>
        <s v="Sety pro bezpečné podávání cytostatik k pumpám Infusomat Compact Plus"/>
        <s v="Izolátor nukleových kyselin"/>
        <s v="Ocelové konstrukce v kolektoru"/>
        <s v="FN Olomouc - stavební úpravy objektu WD - stravovací provoz"/>
        <s v="Kapilární hemodialyzátory syntetické, high flux "/>
        <s v="Realizace nástavby budovy &quot;A&quot;"/>
        <s v="Budova XA-výměna střešního pláště II"/>
        <s v="Rozšíření SW funkcionality LoadBalancerů Citrix ADC"/>
        <s v="Nástroje chirurgické pro kliniky FNOL"/>
        <s v="Dodávka serverů pro bezpečnostní infrastrukturu"/>
        <s v="Laboratorní váhy - nová VZ-2021-000015"/>
        <s v="Kancelářské zařízení pro kopírování, skenování a tisk"/>
        <s v="Hygienické zabezpečení vody budova P "/>
        <s v="L01A Alkylační látky 2020"/>
        <s v="Antibakteriální léčiva pro systémovou aplikaci 2020"/>
        <s v="LP ze skupiny inhalačních sympatomimetik 2020"/>
        <s v="Výměna vodoměrů a ovládání uzavíracích ventilů na vodovodním řádu"/>
        <s v="Materiál spotřební k pulzním oxymetrům MASIMO"/>
        <s v="Nové dopojení vody do Budovy R "/>
        <s v="Dodání a montáž chladících jednotek v budově A a T"/>
        <s v="Automatický pipetovací systém"/>
        <s v="LP z ATC L02BA 2020"/>
        <s v="Aspirační katétry intrakraniální k aspirační tromboktomii tepen mozkového povodí"/>
        <s v="Operační jednotka včetně 3D zobrazovacího systému a materiál spotřební pro chir.předního a zadního segmentu oka"/>
        <s v="Oprava páteřního rozvodu vody budova J1-J3 "/>
        <s v="Mukolytika 2020"/>
        <s v="LP ze skupiny inhalačních sympatomimetik 2020 II."/>
        <s v="Statické zajištění opěrné stěny na ul. Albertova"/>
        <s v="Jiná antimykotika pro systémovou aplikaci 2020"/>
        <s v="Spotřební materiál pro elektroanatomický 3D mapovací systém - sdružený nákup"/>
        <s v="Kardiostimulátory pro pacienty po extrakci pro závažné infekční komplikace výkonu a pro pacienty s vysokým potencionálním rizikem vzniku infekčních komplikací"/>
        <s v="Implatabilní kardiovertery-defibrilátory pro komplexní management pacientů s vysokým rizikem infekčních komplikací"/>
        <s v="FN Olomouc - Intervenční kardiologie II"/>
        <s v="Elektroforéza proteinů OKB 2020 včetně výpůjčky analyzátorů II."/>
        <s v="PD - přístavba budovy X"/>
        <s v="Extrakty alergenů 2020"/>
        <s v="Nukleosidy a nukleotidy 2020"/>
        <s v="Výroba a montáž nábytku pro Radiologii, budova A, H a Stravovací provoz, budova WD"/>
        <s v="Tonometr oční II."/>
        <s v="Tonometr oční III."/>
        <m/>
        <s v="Oprava výtahů č. 43, 44 a 54" u="1"/>
        <s v="Diagnostika pro Real-Time PCR Termocykler – 28.1.2020" u="1"/>
        <s v="Úprava vstupu a komunikace do budovy N – 17.2.2020" u="1"/>
        <s v="Tiskárny FNOL 2019" u="1"/>
        <s v="Termotiskárny - 25.2.2020" u="1"/>
        <s v="Přímá digitalizace RTG pracoviště – 27.1.2020" u="1"/>
        <s v="Dodávka dectů – 25.3.2020" u="1"/>
        <s v="Ultrazvukové sestava 2020 – 27.1.2020" u="1"/>
        <s v="Ultrazvukové sestavy FNOL – 27.1.2020" u="1"/>
        <s v="Elektroforéza OKB 2020 včetně výpůjčky analyzátorů" u="1"/>
        <s v="Rekonstrukce TS3" u="1"/>
        <s v="PD - novostavba budovy B" u="1"/>
        <s v="Oprava střešního pláště na budově AYH" u="1"/>
        <s v="Ultrazvukové sestavy" u="1"/>
        <s v="Komunikační a integrační platforma elektronizace FN Olomouc a regionálniho e-Health" u="1"/>
        <s v="Stavební úpravy budovy I - 2NP – 4.3.2020" u="1"/>
        <s v="Hepariny II. 2020" u="1"/>
        <s v="Zajištění občerstvení na plese FN Olomouc v r. 2020" u="1"/>
        <s v="LP z ATC L02BA a J05AB14 2020" u="1"/>
        <s v="Intervenční radiologie - 2. Vodící dráty k vaskulárním intervencím" u="1"/>
        <s v="Hněvotínská - 29.1.2020" u="1"/>
        <s v="Tisk edukačních a propagačních tiskovin" u="1"/>
        <s v="Intervenční radiologie - 5. Mikrokatétry" u="1"/>
        <s v="Čekárenské lavice a konferenční židle pro HOK - 18.3.2020" u="1"/>
        <s v="Stomatologická souprava" u="1"/>
        <s v="Rouškovací sety pro I. Interní kliniku – kardiologickou – 6.2.2020" u="1"/>
        <s v="Rouškovací sety pro I. Interní kliniku - kardiologickou" u="1"/>
        <s v="Servisní služby - RTG přístroje Ziehm a motodlahy Daniflex" u="1"/>
        <s v="Ubytování a služby spojené s realizací odborné akce FN Olomouc – konference Luklův den " u="1"/>
        <s v="Logistika léků - 10.3.2020" u="1"/>
        <s v="Rekonstrukce hygienických zařízení na PORGYN v 3.NP – 5.2.2020" u="1"/>
        <s v="Repase oken na budově Q2 ve 3 a 4 NP – 5.2.2020" u="1"/>
        <s v="Ocludery" u="1"/>
        <s v="Ubytování a služby spojené s realizací odborné akce FN Olomouc – konference Hospital Management " u="1"/>
        <s v="Kalibrace a validace měřidel a zařízení – 27.1.2020" u="1"/>
        <s v="3T Mgnetická rezonance" u="1"/>
        <s v="Dodávkový automobil" u="1"/>
        <s v="VRV Chlazení FNOL 2020 – 17.2.2020" u="1"/>
        <s v="Laboratorní váhy" u="1"/>
        <s v="Ubytování a služby spojené s realizací odborné akce FN Olomouc – konference Veřejné zakázky ve zdravotnictví " u="1"/>
        <s v="Multilicence Microsoft – 19.3.2020" u="1"/>
        <s v="Vodorozpustné nískoosmolární a isoosmolární nefrotropní rtg-kontrastní látky" u="1"/>
        <s v="Intervenční kardiologie" u="1"/>
        <s v="Jiné srdeční glycosidy 2020" u="1"/>
        <s v="Nábytek pro HOK  – 28.1.2020" u="1"/>
        <s v="Vysokofrekvenční ventilátor pro novorozence a malé děti II." u="1"/>
        <s v="FN Olomouc - obměna 3 ks lineárních urychlovačů a Thomayerova nemocnice - obměna 2 ks lineárních urychlovačů - sdružený nákup" u="1"/>
        <s v="Výstavba chodníků v areálu FNOL – 27.1.2020" u="1"/>
        <s v="Termotiskárny" u="1"/>
        <s v="Kontrola provozuschopnosti hasících přístrojů a zařízení pro zásobování požární vodou" u="1"/>
        <s v="HW a SW infrastruktura k ESB do datového centra" u="1"/>
        <s v="MitraClip" u="1"/>
        <s v="Chlazení budov A, T " u="1"/>
        <s v="Servis, opravy a údržba sanitních, dodávkových a osobních vozidel FNOL" u="1"/>
        <s v="Systém filtrační pro odstranění leukocytů ze směsi jednotek trombocytů z Buffy Coatu pro TO" u="1"/>
        <s v="Příslušenství operačního stolu – 9.3.2020" u="1"/>
        <s v="Membránové oxygenátory včetně hadicových setů pro vedení mimotělního oběhu – 12.2.2020" u="1"/>
        <s v="Termotiksárny" u="1"/>
        <s v="Kancelářské potřeby  - 24.1.2020" u="1"/>
        <s v="Rozšíření/náhrada SW PDA modulu logistiky léků – 10.3.2020" u="1"/>
        <s v="Konference Petřivalského Rapantovy dny – 14.2.2020" u="1"/>
        <s v="Stabilizátory pro operace srdce bez mimotělního oběhu" u="1"/>
        <s v="Servis lineárních urychlovačů Elekta Synergy včetně verifikačního systému" u="1"/>
        <s v="Systém filtrační pro odstranění leukocytů ze směsi jednotek trombocytů z Buffy Coatu pro TO – 28.2." u="1"/>
        <s v="Servis výtahové techniky" u="1"/>
        <s v="Ultrazvukové sestavy 2020" u="1"/>
        <s v="Čistící prostředky a jiné drogistické zboží – 27.1.2020" u="1"/>
        <s v="Titanový sternální fixační systém" u="1"/>
        <s v="Sanace lodžie na DK ve 3 a 4 NP – 5.2.2020" u="1"/>
        <s v="Kardioplegické sety – 12.2.2020" u="1"/>
      </sharedItems>
    </cacheField>
    <cacheField name="Část" numFmtId="0">
      <sharedItems containsString="0" containsBlank="1" containsNumber="1" containsInteger="1" minValue="1" maxValue="15"/>
    </cacheField>
    <cacheField name="Název části VZ" numFmtId="0">
      <sharedItems containsBlank="1"/>
    </cacheField>
    <cacheField name="ATC kód u léčiv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44">
      <sharedItems containsString="0" containsBlank="1" containsNumber="1" minValue="1853" maxValue="431388000"/>
    </cacheField>
    <cacheField name="Druh VZ" numFmtId="0">
      <sharedItems containsBlank="1" count="5">
        <s v="OŘ"/>
        <s v="ZPŘ"/>
        <s v="VZMR"/>
        <s v="JŘBÚ"/>
        <m/>
      </sharedItems>
    </cacheField>
    <cacheField name="VZ vypsaná dne" numFmtId="0">
      <sharedItems containsNonDate="0" containsDate="1" containsString="0" containsBlank="1" minDate="2019-03-29T00:00:00" maxDate="2021-01-01T00:00:00"/>
    </cacheField>
    <cacheField name="Lhůta pro podání nabídek" numFmtId="0">
      <sharedItems containsNonDate="0" containsDate="1" containsString="0" containsBlank="1" minDate="2019-07-08T00:00:00" maxDate="2021-01-30T00:00:00"/>
    </cacheField>
    <cacheField name="Datum vyhodnocení VZ" numFmtId="0">
      <sharedItems containsNonDate="0" containsDate="1" containsString="0" containsBlank="1" minDate="2019-10-04T00:00:00" maxDate="2020-12-23T00:00:00"/>
    </cacheField>
    <cacheField name="Dodavatel / u zrušených stávající dodavatel" numFmtId="0">
      <sharedItems containsBlank="1"/>
    </cacheField>
    <cacheField name="postup po zrušení" numFmtId="0">
      <sharedItems containsBlank="1"/>
    </cacheField>
    <cacheField name="Vítězná cena bez DPH" numFmtId="44">
      <sharedItems containsBlank="1" containsMixedTypes="1" containsNumber="1" minValue="1800" maxValue="415080820"/>
    </cacheField>
    <cacheField name="Vítězná cena s DPH" numFmtId="44">
      <sharedItems containsBlank="1" containsMixedTypes="1" containsNumber="1" minValue="2178" maxValue="502247792.19999999"/>
    </cacheField>
    <cacheField name="Léčiva - Kód SUKL" numFmtId="0">
      <sharedItems containsNonDate="0" containsString="0" containsBlank="1"/>
    </cacheField>
    <cacheField name="Léčiva - Název přípravku" numFmtId="0">
      <sharedItems containsNonDate="0" containsString="0" containsBlank="1"/>
    </cacheField>
    <cacheField name="Léčiva - Výrobce" numFmtId="0">
      <sharedItems containsNonDate="0" containsString="0" containsBlank="1"/>
    </cacheField>
    <cacheField name="Datum předání smlouvy do WF" numFmtId="0">
      <sharedItems containsNonDate="0" containsDate="1" containsString="0" containsBlank="1" minDate="2019-10-07T00:00:00" maxDate="2020-12-23T00:00:00"/>
    </cacheField>
    <cacheField name="Číslo smlouvy z WF" numFmtId="0">
      <sharedItems containsBlank="1"/>
    </cacheField>
    <cacheField name="Smlouva podepsána" numFmtId="0">
      <sharedItems containsNonDate="0" containsDate="1" containsString="0" containsBlank="1" minDate="2020-01-06T00:00:00" maxDate="2022-10-31T00:00:00" count="152">
        <m/>
        <d v="2020-02-24T00:00:00"/>
        <d v="2020-03-02T00:00:00"/>
        <d v="2020-07-23T00:00:00"/>
        <d v="2020-01-06T00:00:00"/>
        <d v="2020-01-24T00:00:00"/>
        <d v="2020-02-19T00:00:00"/>
        <d v="2020-02-25T00:00:00"/>
        <d v="2020-02-26T00:00:00"/>
        <d v="2020-01-20T00:00:00"/>
        <d v="2020-01-29T00:00:00"/>
        <d v="2020-01-13T00:00:00"/>
        <d v="2020-02-13T00:00:00"/>
        <d v="2020-02-17T00:00:00"/>
        <d v="2020-03-11T00:00:00"/>
        <d v="2020-02-10T00:00:00"/>
        <d v="2020-01-17T00:00:00"/>
        <d v="2020-03-13T00:00:00"/>
        <d v="2020-03-20T00:00:00"/>
        <d v="2020-03-12T00:00:00"/>
        <d v="2020-01-31T00:00:00"/>
        <d v="2020-05-14T00:00:00"/>
        <d v="2020-01-09T00:00:00"/>
        <d v="2020-02-05T00:00:00"/>
        <d v="2020-01-15T00:00:00"/>
        <d v="2020-05-12T00:00:00"/>
        <d v="2020-01-22T00:00:00"/>
        <d v="2020-01-30T00:00:00"/>
        <d v="2020-01-14T00:00:00"/>
        <d v="2020-02-28T00:00:00"/>
        <d v="2020-05-20T00:00:00"/>
        <d v="2020-05-06T00:00:00"/>
        <d v="2020-04-27T00:00:00"/>
        <d v="2020-03-18T00:00:00"/>
        <d v="2020-01-10T00:00:00"/>
        <d v="2020-02-04T00:00:00"/>
        <d v="2020-02-21T00:00:00"/>
        <d v="2020-05-04T00:00:00"/>
        <d v="2020-04-23T00:00:00"/>
        <d v="2020-03-05T00:00:00"/>
        <d v="2020-02-11T00:00:00"/>
        <d v="2020-04-17T00:00:00"/>
        <d v="2020-03-31T00:00:00"/>
        <d v="2020-06-08T00:00:00"/>
        <d v="2020-02-27T00:00:00"/>
        <d v="2020-01-21T00:00:00"/>
        <d v="2020-04-21T00:00:00"/>
        <d v="2020-03-09T00:00:00"/>
        <d v="2020-06-01T00:00:00"/>
        <d v="2020-11-26T00:00:00"/>
        <d v="2020-03-24T00:00:00"/>
        <d v="2020-07-01T00:00:00"/>
        <d v="2020-07-21T00:00:00"/>
        <d v="2020-07-07T00:00:00"/>
        <d v="2020-04-20T00:00:00"/>
        <d v="2020-05-22T00:00:00"/>
        <d v="2020-03-26T00:00:00"/>
        <d v="2020-06-24T00:00:00"/>
        <d v="2020-04-08T00:00:00"/>
        <d v="2020-02-14T00:00:00"/>
        <d v="2020-05-25T00:00:00"/>
        <d v="2020-08-07T00:00:00"/>
        <d v="2020-03-19T00:00:00"/>
        <d v="2020-07-24T00:00:00"/>
        <d v="2020-04-28T00:00:00"/>
        <d v="2020-05-19T00:00:00"/>
        <d v="2020-05-11T00:00:00"/>
        <d v="2020-04-06T00:00:00"/>
        <d v="2020-10-27T00:00:00"/>
        <d v="2020-08-11T00:00:00"/>
        <d v="2020-07-20T00:00:00"/>
        <d v="2020-07-28T00:00:00"/>
        <d v="2020-08-12T00:00:00"/>
        <d v="2020-04-29T00:00:00"/>
        <d v="2020-06-29T00:00:00"/>
        <d v="2020-05-29T00:00:00"/>
        <d v="2020-05-13T00:00:00"/>
        <d v="2020-10-30T00:00:00"/>
        <d v="2020-11-02T00:00:00"/>
        <d v="2020-05-05T00:00:00"/>
        <d v="2020-05-26T00:00:00"/>
        <d v="2020-09-29T00:00:00"/>
        <d v="2020-09-22T00:00:00"/>
        <d v="2020-09-11T00:00:00"/>
        <d v="2020-08-14T00:00:00"/>
        <d v="2020-08-19T00:00:00"/>
        <d v="2020-06-22T00:00:00"/>
        <d v="2020-07-17T00:00:00"/>
        <d v="2020-07-08T00:00:00"/>
        <d v="2020-07-16T00:00:00"/>
        <d v="2020-09-01T00:00:00"/>
        <d v="2020-06-12T00:00:00"/>
        <d v="2020-08-17T00:00:00"/>
        <d v="2020-11-04T00:00:00"/>
        <d v="2020-11-13T00:00:00"/>
        <d v="2020-08-27T00:00:00"/>
        <d v="2020-12-14T00:00:00"/>
        <d v="2020-07-02T00:00:00"/>
        <d v="2020-10-16T00:00:00"/>
        <d v="2020-09-23T00:00:00"/>
        <d v="2020-08-06T00:00:00"/>
        <d v="2020-11-20T00:00:00"/>
        <d v="2020-12-02T00:00:00"/>
        <d v="2020-09-16T00:00:00"/>
        <d v="2020-11-16T00:00:00"/>
        <d v="2020-12-23T00:00:00"/>
        <d v="2020-11-25T00:00:00"/>
        <d v="2020-09-04T00:00:00"/>
        <d v="2020-10-26T00:00:00"/>
        <d v="2020-10-01T00:00:00"/>
        <d v="2020-11-11T00:00:00"/>
        <d v="2020-07-22T00:00:00"/>
        <d v="2020-10-14T00:00:00"/>
        <d v="2020-10-08T00:00:00"/>
        <d v="2020-08-10T00:00:00"/>
        <d v="2020-09-09T00:00:00"/>
        <d v="2020-10-12T00:00:00"/>
        <d v="2020-09-25T00:00:00"/>
        <d v="2020-10-22T00:00:00"/>
        <d v="2020-08-13T00:00:00"/>
        <d v="2020-08-25T00:00:00"/>
        <d v="2020-09-21T00:00:00"/>
        <d v="2020-10-05T00:00:00"/>
        <d v="2020-09-03T00:00:00"/>
        <d v="2020-07-31T00:00:00"/>
        <d v="2020-10-29T00:00:00"/>
        <d v="2020-10-09T00:00:00"/>
        <d v="2020-09-17T00:00:00"/>
        <d v="2020-08-31T00:00:00"/>
        <d v="2020-09-10T00:00:00"/>
        <d v="2020-10-13T00:00:00"/>
        <d v="2020-09-15T00:00:00"/>
        <d v="2020-10-06T00:00:00"/>
        <d v="2020-09-14T00:00:00"/>
        <d v="2020-10-20T00:00:00"/>
        <d v="2020-12-08T00:00:00"/>
        <d v="2020-09-30T00:00:00"/>
        <d v="2020-12-21T00:00:00"/>
        <d v="2020-12-07T00:00:00"/>
        <d v="2020-12-18T00:00:00"/>
        <d v="2020-12-17T00:00:00"/>
        <d v="2020-10-15T00:00:00"/>
        <d v="2020-12-15T00:00:00"/>
        <d v="2020-11-10T00:00:00"/>
        <d v="2020-10-23T00:00:00"/>
        <d v="2020-11-30T00:00:00"/>
        <d v="2020-12-30T00:00:00"/>
        <d v="2020-11-06T00:00:00"/>
        <d v="2020-12-28T00:00:00"/>
        <d v="2020-12-04T00:00:00"/>
        <d v="2022-10-30T00:00:00" u="1"/>
        <d v="2020-02-12T00:00:00" u="1"/>
      </sharedItems>
    </cacheField>
    <cacheField name="Smlouva , Písemná zpráva zadavatele              Profil zadavatele" numFmtId="0">
      <sharedItems containsNonDate="0" containsDate="1" containsString="0" containsBlank="1" minDate="2020-01-07T00:00:00" maxDate="2021-01-16T00:00:00"/>
    </cacheField>
    <cacheField name="Platnost smlouvy / Datum dodání" numFmtId="0">
      <sharedItems containsDate="1" containsBlank="1" containsMixedTypes="1" minDate="2020-02-15T00:00:00" maxDate="2029-04-04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6435188" createdVersion="6" refreshedVersion="6" minRefreshableVersion="3" recordCount="1168" xr:uid="{940C8432-DAB7-4389-A4F4-0FAF9F91130E}">
  <cacheSource type="worksheet">
    <worksheetSource ref="A8:Z1176" sheet="VZ-2024"/>
  </cacheSource>
  <cacheFields count="26">
    <cacheField name="Datum předání na OVZ" numFmtId="0">
      <sharedItems containsDate="1" containsBlank="1" containsMixedTypes="1" minDate="2023-03-01T00:00:00" maxDate="2024-12-21T00:00:00"/>
    </cacheField>
    <cacheField name="Interní evidenční číslo" numFmtId="0">
      <sharedItems containsBlank="1"/>
    </cacheField>
    <cacheField name="Zadáv. prac." numFmtId="0">
      <sharedItems containsBlank="1" count="19">
        <s v="INV"/>
        <s v="LP"/>
        <s v="ZT"/>
        <s v="DG"/>
        <s v="VSEOB"/>
        <s v="ZM"/>
        <s v="ENG"/>
        <s v="IT"/>
        <s v="DHM"/>
        <s v="NTMC"/>
        <s v="SERVIS"/>
        <s v="DOPR"/>
        <s v="EKOLOG"/>
        <s v="MAR"/>
        <s v="EKON"/>
        <s v="PERS"/>
        <m/>
        <s v="ENERG" u="1"/>
        <s v="NPO" u="1"/>
      </sharedItems>
    </cacheField>
    <cacheField name="Osoba pověřená pro zadávací řízení" numFmtId="0">
      <sharedItems containsBlank="1"/>
    </cacheField>
    <cacheField name="Administrátor" numFmtId="0">
      <sharedItems containsBlank="1"/>
    </cacheField>
    <cacheField name="Předmět plnění - název zakázky" numFmtId="0">
      <sharedItems containsBlank="1" count="509">
        <s v="NOVOSTAVBA HLAVNÍ BUDOVY B A VNITŘNÍ DOSTAVBA NÍZKOPRAHOVÉHO URGENTNÍHO PŘÍJMU"/>
        <s v="R03AK LP ze skupiny inhalačních sympatomimetik 2024 II"/>
        <s v="Mukolytika 2024"/>
        <s v="Optimalizace dopravního řešení"/>
        <s v="R03AL LP ze skupiny inhalačních sympatomimetik 2024 III"/>
        <s v="Úpravna vody"/>
        <s v="Molekulárně biologické vyšetření u dárců krve a plazmy - NAT s výpůjčkou analyzátorů - sdružený nákup"/>
        <s v="Operační stoly"/>
        <s v="EKG"/>
        <s v="Univerzální elektrická lůžka"/>
        <s v="Konfokální sítnicový oftalmoskop"/>
        <s v="NOVOSTAVBA BUDOVY P4"/>
        <s v="Antibakteriální léčiva pro systémovou aplikaci VI. 2024"/>
        <s v="LP s obsahem cyklofosfamidu 2024"/>
        <s v="LP s obsahem fulvestrantu 2024"/>
        <s v="LP s obsahem busulfanu 2024"/>
        <s v="Videolaryngoskop"/>
        <s v="Léčiva k terapii nemocí kostí 2024"/>
        <s v="LP s obsahem dupilumabu 2024"/>
        <s v="Kancelářské potřeby papírové"/>
        <s v="Kardioangiografický systém na strukturální srdeční intervence"/>
        <s v="Kleště koagulační endoskopické jednorázové"/>
        <s v="Čočky nitrooční typ EDOF pro Oční kliniku"/>
        <s v="Handpiece k ultrazvukovému aspirátoru"/>
        <s v="Endoskopy"/>
        <s v="Kancelářský papír 2024"/>
        <s v="Stříkačky injekční dvoudílné"/>
        <s v="LP s obsahem loratinibu 2024"/>
        <s v="Diagnostika pro koagulační vyšetření s výpůjčkou"/>
        <s v="LP s obsahem ifosfamidu"/>
        <s v="Operační mikroskop"/>
        <s v="LP s obsahem tamoxifenu 2024"/>
        <s v="Chlorid vápenatý infuzní 2024"/>
        <s v="Chladící a mrazící technika"/>
        <s v="Bezpečnostní infrastruktura FNOL"/>
        <s v="Videomanagement "/>
        <s v="Čistící prostředky a jiné drogistické zboží"/>
        <s v="Konkektor bezjehlový"/>
        <s v="LP s obsahem teriparatidu 2024"/>
        <s v="Interferony beta-1A 2024"/>
        <s v="Léčiva respiračního systému z ATC R07AX30 a R07AX31 2024, část I. IVAKAFTOR A TEZAKAFTOR"/>
        <s v="Mobilní ultrazvukový přístroj s fúzní jednotkou"/>
        <s v="TAVI - Aortální chlopně biologické samoexpandibilní s možností repozice"/>
        <s v="Komplexní softwarová podpora klinické farmacie"/>
        <s v="Materiál spotřební k pipetovacímu automatu Sciclone NGSx iQ"/>
        <s v="LP s obsahem amivantamabu 2024"/>
        <s v="LP s obsahem ponesimodu 2024"/>
        <s v="LP s obsahem ceritinibu 2024"/>
        <s v="Dynamický nákupní systém na dodávky chirurgických nástrojů"/>
        <s v="Katétry pro návrat do pravého lumén cévy"/>
        <s v="Čističky vzduchu"/>
        <s v="Dynamický nákupní systém na výrobu a montáž nábytku pro FN Olomouc"/>
        <s v="Farmaceutická lednice a chladící skříň"/>
        <s v="Sety ke katetrizační korekci mitrální regurgitace - Systém MitraClip kit"/>
        <s v="Úpravna vody II"/>
        <s v="Novostavba budovy B - správce stavby"/>
        <s v="Mobilní telefonní přístroje"/>
        <s v="LP s obsahem oxaliplatiny 2024"/>
        <s v="Tekuté embolizační činidlo"/>
        <s v="Systém hydrocephální drenážní pro NCHIR"/>
        <s v="Výroba a montáž nábytku 01/2024"/>
        <s v="LP s obsahem methylprednisonu 2024"/>
        <s v="Bariatrické lůžko"/>
        <s v="Sítnicový laser "/>
        <s v="Chladící deska"/>
        <s v="Mikrotom"/>
        <s v="Set pro krátkodobou srdeční podporu ECMO"/>
        <s v="Kleště bioptické myokardiální jednorázové"/>
        <s v="LP s obsahem ambrisentanu 2024"/>
        <s v="Embolizační spirály mechanicky odpoutatelné"/>
        <s v="Okluzní balónkové katétry neurovaskulární DMSO"/>
        <s v="Samoexpandibilní stent vaskulární I."/>
        <s v="LP Yescarta a Tecartus 2024 "/>
        <s v="Průzkum postojů zdravotnických profesionálů a veřejnosti k telemedicíně"/>
        <s v="FNOL – Revizní náhrady kolenního kloubu (TEP)"/>
        <s v="17. Flow divertery neurointervenční"/>
        <s v="Nákup a dodání stavebního materiálu "/>
        <s v="Stent biliárni samoexpandibilní metalický pletený pro drenáž žlučových cest "/>
        <s v="Parenterální výživa pro domácí použití 2024"/>
        <s v="Katetr CVC 1 lumen-PICC vysokotlaký set"/>
        <s v="Intrakraniální stenty vaskulární II."/>
        <s v="Ultrazvukové systémy"/>
        <s v="Přístroj pro elektroakupunkturu"/>
        <s v="Modelační balónkové katétry"/>
        <s v="LP s obsahem niraparibu 2024"/>
        <s v="Čističky vzduchu II."/>
        <s v="Servis EKV, EZS, CCTV"/>
        <s v="Kleště bioptické myokardiální jednorázové II."/>
        <s v="Servis zdravotnických přístrojů výrobce Siemens"/>
        <s v="Katetr arteriální pro radiální přístup"/>
        <s v="Zavaděč s trhacím tělem pro implantaci elektrod ( Peel-Away )"/>
        <s v="Univerzální elektrická lůžka II."/>
        <s v="FN Olomouc - Totální endoprotézy kyčelního a kolenního kloubu"/>
        <s v="Elektroda defibrilační stimulační epikardiální"/>
        <s v="Zaváděcí systém biliárních stentů"/>
        <s v="Vozidlo na zimní údržbu"/>
        <s v="Injektory jednorázové endoskopické"/>
        <s v="LP s obsahem trastuzumabu 2024"/>
        <s v="96-ti jamkový modul k termocycleru"/>
        <s v="Analyzátory acidobazické rovnováhy s výpůjčkou "/>
        <s v="Pluvicto  2024"/>
        <s v="LP s obsahem Efgartigimodu alfa  2024"/>
        <s v="LP s obsahem brodalumabu 2024"/>
        <s v="Endosonografie"/>
        <s v="Obaly sterilizační jednorázové"/>
        <s v="Nůž elektrochirurgický jednorázový"/>
        <s v="Oprava havarijních radiačních nádrží ČOV  ve FNOL "/>
        <s v="LP s obsahem tamsulosinu v monoterapii a fixní kombinaci 2024"/>
        <s v="Drenážní sety pro perkutánní drenáže"/>
        <s v="Vrtací a pillové systémy"/>
        <s v="Myčky"/>
        <s v="Čítač částic vzduchu"/>
        <s v="Vaskulární plugy periferní"/>
        <s v="Jiná antimykotika pro systémovou aplikaci 2024"/>
        <s v="Štěrbinová lampa"/>
        <s v="Nebulizer"/>
        <s v="Defibrilátor subkutánní s detekcí povrchového signálu"/>
        <s v="Polohovač a Ofuk ke stabilizátoru pro operace srdce "/>
        <s v="Set pro endoskopický odběr žilního štěpu pro BY PASS"/>
        <s v="Embolizační spirály IV."/>
        <s v="Kroužek anuloplastický mitrální semirigidní"/>
        <s v="Modernizace prostor lůžkového oddělení v 7.NP budovy D2 "/>
        <s v="Katetr koronární pro intravaskulární litotrypsi včetně výpůjčky přístroje"/>
        <s v="Systém AtriClip pro uzávěr ouška levé síně (LAA) s otevřeným koncem"/>
        <s v="Rekonstrukce bytových jednotek v budově YA – Etapa III."/>
        <s v="Projektový manažer BIM a správce CDE – Novostavba budovy P4"/>
        <s v="Katetr pro intrakoronární ultrazvukové vyšetření IVUS"/>
        <s v="Obaly sterilizační jednorázové II."/>
        <s v="FLUDEOXYGLUKÓZA S DODÁVKOU KONTEJNERŮ 2024 "/>
        <s v="Reprezenační ples FN Olomouc 2025"/>
        <s v="Koagulace"/>
        <s v="Malířské a natěračské práce 2024"/>
        <s v="Přijímání platebních karet při placení zboží a služeb "/>
        <s v="Renovace bytu v objektu AYH1"/>
        <s v="Toaletní papír a ZZ ručníky 2024"/>
        <s v="LP s obsahem valgancikloviru 2024"/>
        <s v="Poskytování služeb technické podpory a servisu SW pro tkáňové banky "/>
        <s v="Kontejnery sterilizační včetně příslušenství pro ORTOP (doplnění stávajícího vybavení výr. AESCULAP)"/>
        <s v="Jiná terapeutická radiofarmaka V10X 2024"/>
        <s v="Radium-(223RA)-Dichlorid V10XX03 2024"/>
        <s v="LP s obsahem oxaliplatiny II. 2024"/>
        <s v="Vitamíny B05XC 2024"/>
        <s v="Cyklosporin 2024"/>
        <s v="LP s obsahem cemiplimabu 2024"/>
        <s v="LP s obsahem abirateronu 2024"/>
        <s v="LP s obsahem azacitidinu 2024"/>
        <s v="FN Olomouc - Elektrofyziologie"/>
        <s v="LP s obsahem treprostinilu 2024"/>
        <s v="Přístroj pro měření respiračních tlaků"/>
        <s v="Dodávka čteček čárových kódů"/>
        <s v="Výměna oken a vnějších dveří v objektu AYH"/>
        <s v="Sondy k litotriptoru ShockPulse-SE pro UROL "/>
        <s v="LP s obsahem galkanezumabu 2024"/>
        <s v="Mycí a dezinfekční automaty, sušící skříň pro endoskopy"/>
        <s v="Nákup sanitních vozidel - DNR typu A2"/>
        <s v="Spektrofotometr"/>
        <s v="Ubytování a služby spojené s realizací vzdělávací akce pro vedoucí zaměstnance FN Olomouc"/>
        <s v="Fyziologické roztoky pro parenterální použití 2024"/>
        <s v="LP s obsahem riociguátu 2024"/>
        <s v="Nádoba pro skladování biologického materiálu v tekutém dusíku"/>
        <s v="Generátor dusíku"/>
        <s v="Motorizované zařízení k uložení kolene"/>
        <s v="Prodloužení technické podpory a servisu prostředí Microsoft"/>
        <s v="Podpora krátkodobá mikroaxilární katetrová srdeční mechanická  pro I.IK "/>
        <s v="Mikroskop"/>
        <s v="Magnetická rezonance"/>
        <s v="LP s obsahem teklistamabu 2024"/>
        <s v="LP s obsahem sacituzumabu govitekan 2024"/>
        <s v="LP s obsahem GLEKAPREVIRu A PIBRENTASVIRu 2024"/>
        <s v="LP s obsahem idelalisibu 2024"/>
        <s v="Komplex koagulačních faktorů 2024"/>
        <s v="Dezinfekce kůže a operačního pole s obsahem PVP - jódu 2024"/>
        <s v="Imunoglobuliny pro intravaskulární podání 2024"/>
        <s v="LP s obsahem ivakaftoru 2024"/>
        <s v="Dodávka dectů"/>
        <s v="Injekční acetylcystein 2024"/>
        <s v="Helma operační s příslušenstvím a kukla k operační helmě"/>
        <s v="Inzulíny 2024"/>
        <s v="Interferony beta - 1A 2024 II"/>
        <s v="Drát vodící ke kanylaci žlučových a pankreatických cest  ERCP"/>
        <s v="Výměna oken a vnějších dveří v objektu AYH - II."/>
        <s v="Stavební úpravy výukových místností – budova UZQ"/>
        <s v="Dynamický nákupní systém na dodávky zboží určené pro dezinfekci "/>
        <s v="Dynamický nákupní systém na dodávky laboratorních diagnostik "/>
        <s v="LP ze skupiny inhalačních sympatomimetik 2024"/>
        <s v="Operační stoly II."/>
        <s v="Ohnisková dezinfekce 2024"/>
        <s v="PD - Zastřešení komunikace před budovou A"/>
        <s v="Kancelářské židle 2024"/>
        <s v="Úprava vjezdu do areálu FNOL z ul. Hněvotínská"/>
        <s v="Dodávky televizorů 2024"/>
        <s v="Odvlhčení vybraných VZT zařízení, budova Z"/>
        <s v="Větrání a dochlazení místností v budově P"/>
        <s v="LP s obsahem molnupiraviru 2024"/>
        <s v="Nástroje chirurgické pro Centrální operační sály "/>
        <s v="Mikrokatétry k periferním vaskulárním intervencím I. "/>
        <s v="Dezinfekční prostředky na plochy, předměty 2024"/>
        <s v="Stabilizátory pro operace srdce bez mimotělního oběhu"/>
        <s v="Laboratorní váha"/>
        <s v="Kardiostimulátory pro fyziologickou trvalou kardiostimulaci"/>
        <s v="Výroba a montáž nábytku 04/2024"/>
        <s v="Montáž ochranných prvků ve Fakultní nemocnici Olomouc"/>
        <s v="Kotva vstřebatelná pro stabilizaci ramenního kloubu"/>
        <s v="Záchranářské oblečení - Urgentní příjem"/>
        <s v="Monitory vitálních funkcí HOK"/>
        <s v="Úprava ambulance I. interní kliniky, 1.np budova D1 "/>
        <s v="PD - SÚ budovy Q - zákrokový sál"/>
        <s v="Flexibilní videoendoskop"/>
        <s v="Vybudování informační a komunikační platformy pro telemedicínu Telemedicínského centra"/>
        <s v="Roztoky oplachové pro použití na operačních sálech 2024"/>
        <s v="Dodávky dectů"/>
        <s v="LP s obsahem alektinibu 2024"/>
        <s v="Systém neurostimulační SCS nedobíjitelný MRI s adaptivní stimulací"/>
        <s v="LP s obsahem palbociklibu 2024"/>
        <s v="AMIDY 2024"/>
        <s v="Společné datové prostředí - CDE"/>
        <s v="LP s obsahem kyseliny aminolevulové 2024"/>
        <s v="Antivirotika k léčbě infekce HCV 2024"/>
        <s v="LP s obsahem polatuzumab vedotinu 2024"/>
        <s v="Joflupan - (123) V09AB03 2024"/>
        <s v="LP s obsahem brivaracetamu 2024"/>
        <s v="Balonek extrakční trojlumenný I."/>
        <s v="Automatický koagulometr"/>
        <s v="Endosonografie II."/>
        <s v="Stavební úpravy budovy C - porodní sály"/>
        <s v="Sfinkterotom ( papilotom) trojlumenný endoskopický I."/>
        <s v="Nástavce k TRS"/>
        <s v="Diagnostika imunologie"/>
        <s v="LP s obsahem kabozantinibu 2024"/>
        <s v="LP s obsahem buprenorfinu 2024"/>
        <s v="Manometr automatický ke kontrole tlaku v obturační manžetě u ventilovaných pacientů"/>
        <s v="Implantát oční drenážní glaukomový"/>
        <s v="Vata buničitá"/>
        <s v="Notebooky 2024"/>
        <s v="Kazeta se sterilizačním mediem pro sterilizátor STERRAD 100NX"/>
        <s v="XV. Luklův kardiologický den"/>
        <s v="LP s obsahem fentanylu 2024"/>
        <s v="Antiepileptika 2024"/>
        <s v="LP s obsahem teriflunomidu 2024"/>
        <s v="LP s obsahem rivaroxabanu 2024"/>
        <s v="Infuzní technika"/>
        <s v="Forma na globule"/>
        <s v="Oprava chodníku kolem budovy J"/>
        <s v="Shaver"/>
        <s v="Vršek 2024"/>
        <s v="Protéza hlasová"/>
        <s v="Enterální výživa 2024"/>
        <s v="Flexibilní laryngoskop"/>
        <s v="LP s obsahem efgartigimodu alfa II.   2024"/>
        <s v="Pumpa proplachovací dvoukomorová včetně spotřebního materiálu"/>
        <s v="PD – Novostavba budovy geriatrie"/>
        <s v="LP s obsahem busulfanu II. 2024"/>
        <s v="Stengrafty vaskulární"/>
        <s v="Dodání a montáž gastro vybavení kuchyně 2024"/>
        <s v="Kryosprej"/>
        <s v="Kombinovaný přístroj el. léčba + UZV"/>
        <s v="Upgrade mamografie"/>
        <s v="Dodávka pneumatik pro osobní, dodávková a nákladní vozidla FNOL  "/>
        <s v="Diagnostika a software pro detekci somatických a germinálních sekvenčních variant"/>
        <s v="Konference Veřejné zakázky ve zdravotnictví 2024"/>
        <s v="Pronájem prostor - reprezentační ples FNOL 2025"/>
        <s v="Chladící a mrazící technika II"/>
        <s v="Vestavba do skladovacího kontejneru"/>
        <s v="LP s obsahem nivolumabu 2024"/>
        <s v="Výroba a montáž nábytku - porodní sály"/>
        <s v="Redukční ventily kyslíku, regulátory podtlaku s bezpečnostními lahvemi proti přesátí, průtokoměry kyslíku a zvlhčovače k průtokoměru kyslíku"/>
        <s v="Zajištění živých přenosů - XV. Luklův den 2024"/>
        <s v="LP s obsahem kanabidiolu 2024"/>
        <s v="LP s obsahem defibrotidu 2024 "/>
        <s v="LP s obsahem zanubrutinibu 2024"/>
        <s v="Stenty biliární  plastové"/>
        <s v="Tekuté embolizační činidlo II."/>
        <s v="Samoexpandibilní stent vaskulární II."/>
        <s v="Lidský inhibitor alfa1 - proteinasy 2024"/>
        <s v="LP s obsahem bevacizumabu 2024"/>
        <s v="18F Fluoromisonidazolum 2024"/>
        <s v="Antidekubitní hybridní matrace"/>
        <s v="LP s obsahem pantoprazolu 2024"/>
        <s v="LP s obsahem alteplasy 2024"/>
        <s v="Rekonstrukce kanalizace u budov U, Q, S, E teoretické ústavy v areálu FNOL "/>
        <s v="LP s obsahem omeprazolu 2024"/>
        <s v="Sterilizační technika"/>
        <s v="Oprava schodiště u jižního štítu budovy D1"/>
        <s v="Pořízení elektromobilů – modernizace a obnova vozidel FNOL "/>
        <s v="PD - SÚ budovy Q - zákrokový sál II"/>
        <s v="Set rouškovací základní oční sterilní STANDARD"/>
        <s v="LP S OBSAHEM EPOPROSTENOLU 2024"/>
        <s v="Joflupan - (123I) V09AB03 2024"/>
        <s v="LP s obsahem ivakaftoru II. 2024"/>
        <s v="Dodávka diagnostických monitorů pro RTG"/>
        <s v="SPECT/CT"/>
        <s v="Jodid - (131I) sodný 2024"/>
        <s v="Papír na vyšetřovací lůžka"/>
        <s v="Tablet Thermoline a jeho příslušenství"/>
        <s v="Kličky polypektomické"/>
        <s v="LP s obsahem pirtobrutinibu 2024"/>
        <s v="MR kompatibilní neurofyziologický systém"/>
        <s v="LP s obsahem nirmatrelvitru/ritonaviru 2024 - sdružený nákup"/>
        <s v="Jícnové stenty"/>
        <s v="LP s obsahem ozanimodu 2024  -  sdružený nákup"/>
        <s v="Nástroje chirurgické pro Ortopedickou kliniku"/>
        <s v="Materiál spotřební k monitorům Carescape B 850 a ventilátorům Carescape R 860"/>
        <s v="Přístrojová lymfodrenáž"/>
        <s v="Úprava zdroje chladu, budova Y"/>
        <s v="Větrání laboratoře, budova I "/>
        <s v="Elektrokauter"/>
        <s v="Materiál spotřební k systému na stanovení ACT"/>
        <s v="Manometr automatický ke kontrole tlaku v obturační manžetě u ventilovaných pacientů II."/>
        <s v="Budova F - výměna oken"/>
        <s v="Servis RTG přístrrojů výrobce Philips"/>
        <s v="Pláště návštěvnické jednorázové"/>
        <s v="Nástavce k TRS II."/>
        <s v="Oblečení operační jednorázové (haleny a kalhoty)"/>
        <s v="Rouška bariérová absorpční v roli"/>
        <s v="LP s obsahem efgartigimodu alfa III. 2024"/>
        <s v="Zmrazovací zařízení"/>
        <s v="Diagnostika pro vyšetření autoprotilátek"/>
        <s v="Diagnostika pro HLA genotypizaci"/>
        <s v="Drenážní katétry pro zevní drenáže žlučových cest"/>
        <s v="Diagnostika digitální MLPA"/>
        <s v="Magistraliter příprava - polotuhé formy 2024"/>
        <s v="Projektový manažer BIM a správce CDE – Novostavba budovy geriatrie"/>
        <s v="LP s obsahem takrolimu 2024"/>
        <s v="Infuzní technika II."/>
        <s v="FN Olomouc - Elektrofyziologie II."/>
        <s v="LP s obsahem anifrolumabu 2024"/>
        <s v="LP s obsahem tukatinibu 2024"/>
        <s v="LP s obsahem foskarnetu 2024"/>
        <s v="LP s obsahem luspaterceptu 2024  -  sdružený nákup"/>
        <s v="LP s obsahem selperkatinibu 2024"/>
        <s v="Statimové vyšetření virů HCV, HBV, HIV s výpůjčkou analyzátoru"/>
        <s v="LP s obsahem mavakamtenu 2024"/>
        <s v="LP s obsahem kabotegraviru 2024 - sdružený nákup"/>
        <s v="FN Olomouc – Totální endoprotézy kyčelního kloubu"/>
        <s v="LP s obsahem fampiridinu 2024"/>
        <s v="LP s obsahem azacitidinu 2024 II."/>
        <s v="C-rameno"/>
        <s v="Fokusovaná rázová vlna"/>
        <s v="Křeslo ke stimulaci panevního dna"/>
        <s v="Vysokofrekvenční radioterapie"/>
        <s v="Vysokoindukční systém"/>
        <s v="Novostavba budovy D4"/>
        <s v="LP s obsahem  sugammadexu 2024"/>
        <s v="LP s obsahem liraglutidu 2024"/>
        <s v="Tiskařské služby - tisk reklamních materiálů"/>
        <s v="Kardiostimulátor bezelektrodový AV"/>
        <s v="Stavební úpravy prostor v budově WG2"/>
        <s v="Rouškovací sety pro KÚČOCH"/>
        <s v="Resuscitátor"/>
        <s v="LP s obsahem ivakaftoru, tezakaftoru a elexakaftoru 2024 "/>
        <s v="Přikrývka zahřívací aktivní"/>
        <s v="Vysokovýkonový laser"/>
        <s v="Přístroj na diagnostiku cystické fibrózy"/>
        <s v="Ultrazvukové systémy II"/>
        <s v="Podložky pod nemocné jednorázové"/>
        <s v="Spektrální cytometr"/>
        <s v="Dezinfekce kůže před odběrem biologického materiálu v procesu výroby léčiv; Ohnisková dezinfekce 2024"/>
        <s v="Pouzdra zaváděcí"/>
        <s v="Služba pro analýzu a sledování hormonálních změn a integraci tkáně na zvířecím modelu"/>
        <s v="Submukózní injekční systém"/>
        <s v="Mikrokátétry intervenční"/>
        <s v="LP s obsahem vorikonazolu  2024"/>
        <s v="Materiál k perkutánním biopsiím"/>
        <s v="Systém implantabilní neurostimulační DBS nedobíjitelný "/>
        <s v="Infuzní technika III."/>
        <s v="ELISA reader"/>
        <s v="18F - Fludeoxythymidin 2024"/>
        <s v="LP s obsahem fedratinibu 2024"/>
        <s v="Antiepileptika II 2024"/>
        <s v="Urgentní vyšetření respiračních virů s výpůjčkou analyzátorů"/>
        <s v="Chladící a mrazící technika III"/>
        <s v="LP s obsahem paklitaxelu 2024"/>
        <s v="Lupové brýle"/>
        <s v="LP s obsahem fluocinolon-acetonidu 2024"/>
        <s v="LP s obsahem tocilizumabu 2024"/>
        <s v="Prostěradlo jednorázové SMS, nesterilní 80x220 cm"/>
        <s v="Diagnostika pro MAIPA assay s výpůjčkou"/>
        <s v="LP s obsahem teriflunomidu II 2024"/>
        <s v="Pluvicto II. 2024"/>
        <s v="Oprava MaR v budovách D1,D2,H1,H2,WZ"/>
        <s v="Hospital management 2024"/>
        <s v="Novostavba budovy D4 II."/>
        <s v="Rekonstrukce bytových jednotek v budově YA – Etapa IV."/>
        <s v="Demolice a oprava komínových těles - budova UZQ"/>
        <s v="Nerezový mobiliář"/>
        <s v="Zdravotnické resuscitační, převazové, lékové, anesteziologické, pečovatelské a multifunkční vozíky"/>
        <s v="Bezdrátový UZV"/>
        <s v="Dynamický nákupní systém pro průběžné dodávky léčivých přípravků s využitím Systému flexibilního tendrování léčiv (SFTL)"/>
        <s v="Projektový manažer BIM a správce CDE – Novostavba budovy D4 - II"/>
        <s v="LP s obsahem amfotericinu B 2024"/>
        <s v="Systém pro vizuálně-motorickou stimulaci "/>
        <s v="Chodící pás interaktivní "/>
        <s v="Chodící pás se zpětnou vazbou"/>
        <s v="LP s obsahem empagliflozinu 2024"/>
        <s v="Systém pro terapii a vyšetření stability"/>
        <s v="Resuscitátor II."/>
        <s v="Lehátka"/>
        <s v="Komplexní náhrada ramenního kloubu s možností konverze"/>
        <s v="Halena s dlouhým rukávem oteplovací "/>
        <s v="Vyšetření infekčních markerů u dárců krve s výpůjčkou"/>
        <s v="LP s obsahem mavakamtenu II 2024"/>
        <s v="Vyšetření krevního obrazu u dárců krve a vzorků transfuz. přípravků s výpůjčkou"/>
        <s v="Očkovací látky I 2024 "/>
        <s v="LP s obsahem pirtobrutinibu II. 2024"/>
        <s v="FN Olomouc - Elektrofyziologie III. - Katetr intrakardiální ultrazvukový, včetně výpůjčky"/>
        <s v="Očkovací látky II 2024 "/>
        <s v="Magistraliter příprava - tekuté formy 2024"/>
        <s v="Radionuklidové generátory (81Rb/81mKr) k provádění vyšetření plicní ventilace s výpůjčkou aplikační jednotky 2024"/>
        <s v="Stabilizátory pro operace srdce bez mimotělního oběhu "/>
        <s v="Staplery I."/>
        <s v="Magistraliter příprava - pevné formy 2024"/>
        <s v="Mléčná kojenecká výživa 2024"/>
        <s v="Oprava rampy – budova L"/>
        <s v="LP s obsahem tadalafilu 2024 - sdružený nákup"/>
        <s v="Diagnostika pro analýzu lipidomu"/>
        <s v="LP s obsahem vápníku v kombinaci 2024 - sdružený nákup"/>
        <s v="Robotický operační systém"/>
        <s v="LP s obsahem semaglutidu 2024"/>
        <s v="Zamrazovací zařízení II."/>
        <s v="LP s obsahem Afatinibu a Osimertinibu 2024"/>
        <s v="Lupové brýle II."/>
        <s v="Aktualizace centrálního databázového serveru monitorovacího systému "/>
        <s v="Objektivy k mikroskopům"/>
        <s v="Reometr"/>
        <s v="TK holter"/>
        <s v="LP s obsahem lenalidomidu 2024"/>
        <s v="LP s obsahem vorikonazolu i.v. 2024"/>
        <s v="Vysokoúčinný kapalinový chromatograf s hmotnostním spektrometrem typu trojitý kvadrupól (UHPLC-MS-QQQ)"/>
        <s v="Operační čelní světla"/>
        <s v="Operační panoramatické brýle včetně světla"/>
        <s v="Monitorovací systém Novorozenecké oddělení"/>
        <s v="Oprava výtahu a instalace plošin pro budovu WJ"/>
        <s v="Cryosonda jednorázová flexibilní k přístroji ERBECRYO 2 pro Plicní kliniku"/>
        <s v="Dezinfekční ubrousky pro čištění zdravotnických prostředků, zejména intravenózních spojů 2024"/>
        <s v="Pulzní oxymetr"/>
        <s v="Instrumentárium "/>
        <s v="Dezinfekce vyššího stupně 2024"/>
        <s v="Pneumatický turniket"/>
        <s v="Materiál spotřební k systému na stanovení ACT II."/>
        <s v="Formaldehydový sterilizátor"/>
        <s v="Systém  k rekanalizaci při embolii do a. pulmonalis pro Radiol. kliniku"/>
        <s v="Extraktory intravaskulární I."/>
        <s v="LP s obsahem ponesimodu II. 2024"/>
        <s v="Radiofarmakum JOBENGUAN - (123I)  2024"/>
        <s v="Radiofarmakum FLUTEMETANOL - (18F) 2024"/>
        <s v="Nástroj laparoskopický k přístroji PlasmaJet pro PORGYN"/>
        <s v="Výměna dveří v 1.PP budovy R"/>
        <s v="Diagnostické katétry"/>
        <s v="Systém pro reaktivní posturální odpověď"/>
        <s v="Exoskelet pro terapii horní končetiny s vizuální zpětnou vazbou"/>
        <s v="Telemetrický systém polyEMG"/>
        <s v="Systém virtuální reality"/>
        <s v="Kombinovaný přístroj elektroléčba a ultrazvuk"/>
        <s v="LP s obsahem lamotriginu 2024"/>
        <s v="Stavební úpravy v 1.PP budovy Q"/>
        <s v="Návlek na mikroskop operační"/>
        <s v="LP s obsahem pregabalinu 2024"/>
        <s v="Masky a podložky termoplastické k fixaci hlavy k lineárnímu urychlovači TrueBeam výr. Varian Medical Systems"/>
        <s v="Kleště bioptické jednorázové do gastroskopu/koloskopu"/>
        <s v="Optický nástavec na operační mikroskop"/>
        <s v="Kotvička šicí vstřebatelná"/>
        <s v="LP s obsahem inklisiranu 2024"/>
        <s v="Zařízení pro správu a archivaci endoskopických vyšetření"/>
        <s v="Přístroj na diagnostiku cystické fibrózy II"/>
        <s v="Dochlazování budovy J, 1.NP - 4.NP"/>
        <s v="LP s obsahem gabapentinu 2024"/>
        <s v="Sklo podložní mikroskopické k tiskárně výr. SAKURA"/>
        <s v="Stenty vaskulární"/>
        <s v="Oblečení operační základní"/>
        <s v="Rekonstrukce kanalizace u budov U, Q, teoretické ústavy, garáže u budovy G v areálu FNOL "/>
        <s v="Výroba a montáž nábytk"/>
        <s v="Dodávka All-in-One pracovních stanic"/>
        <s v="LUTECIUM (177LU) OXODOTREOTID 2024"/>
        <s v="Operační panoramatické brýle včetně světla II."/>
        <s v="Pulzní oxymetr II."/>
        <s v="Analytické váhy"/>
        <s v="Diagnostické katétry I."/>
        <s v="Budovy WF a WG - výměna oken"/>
        <s v="Oprava havarijního stavu tkáňové banky"/>
        <s v="Oprava prostorů budovy WE"/>
        <s v="Jehla vakuová s kontrolním okénkem pro detekci krve"/>
        <s v="Radiofarmakum JOBENGUAN - (123I) II 2024"/>
        <s v="Systémy pro uzavírání tepenných vstupů po perkutánních cévních výkonech"/>
        <s v="Nástroj laparoskopický Endo Babcock jednorázový"/>
        <s v="Antiepileptika  III 2024"/>
        <s v="Oprava rozvodu tepla v budově WJ"/>
        <s v="Okruh dýchací anesteziologický jednorázový"/>
        <s v="Destička mikrotitrační U jednorázová"/>
        <s v="Stavební úpravy budovy ZH1"/>
        <s v="LP s obsahem darvadstrocelu 2024"/>
        <s v="Demolice budovy WN"/>
        <s v="LP s obsahem ibrutinibu 2024"/>
        <s v="LP s obsahem vandetanibu 2024"/>
        <s v="Jiná imunostimulancia 2024"/>
        <s v="Ultrazvukové systémy III"/>
        <s v="Oprava automyčky ve FNOL (žlutá hala)"/>
        <m/>
        <s v="Výroba a montáž nábytku" u="1"/>
        <s v="LP s obsahem takatinibu 2024" u="1"/>
        <s v="Set HLS ECMO CARDIOHELP BE-HLS 7050  Advanced 7.0, pro krátkodobou srdeční podporu" u="1"/>
        <s v="R03AK LP ze skupiny inhalačních sympatomimetik 2023 II" u="1"/>
        <s v="Očkovací látky proti klíšťové encefalitidě 2024 - sdružený nákup" u="1"/>
        <s v="AVI - Aortální chlopně biologické samoexpandibilní s možností repozice" u="1"/>
        <s v="EFGARTIGIMOD ALFA" u="1"/>
        <s v="Zavedení dynamického nákupního systému pro průběžné dodávky léčivých přípravků s využitím Systému flexibilního tendrování léčiv (SFTL)" u="1"/>
        <s v="Diagnostika pro koagulační vyšetření s výpůjčkou analyzátoru II." u="1"/>
        <s v=" Kardioangiografický systém na strukturální srdeční intervence" u="1"/>
        <s v="Očkovací látka II 2024 " u="1"/>
        <s v="Radiofarmakum fludeoxyglukóza 18F“ s dodávkou kontejnerů" u="1"/>
      </sharedItems>
    </cacheField>
    <cacheField name="Část" numFmtId="0">
      <sharedItems containsString="0" containsBlank="1" containsNumber="1" containsInteger="1" minValue="1" maxValue="8"/>
    </cacheField>
    <cacheField name="Název části VZ" numFmtId="0">
      <sharedItems containsBlank="1"/>
    </cacheField>
    <cacheField name="Stav VZ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1610" maxValue="3495000000"/>
    </cacheField>
    <cacheField name="Druh VZ" numFmtId="0">
      <sharedItems containsBlank="1" count="7">
        <s v="OŘ"/>
        <s v="VZMR"/>
        <s v="ZPŘ"/>
        <s v="UŘ"/>
        <s v="DNS"/>
        <s v="JŘBU"/>
        <m/>
      </sharedItems>
    </cacheField>
    <cacheField name="VZ vypsaná dne" numFmtId="0">
      <sharedItems containsNonDate="0" containsDate="1" containsString="0" containsBlank="1" minDate="2023-12-19T00:00:00" maxDate="2024-10-16T00:00:00"/>
    </cacheField>
    <cacheField name="Lhůta pro podání nabídek" numFmtId="0">
      <sharedItems containsNonDate="0" containsDate="1" containsString="0" containsBlank="1" minDate="2024-01-15T00:00:00" maxDate="2024-12-05T00:00:00"/>
    </cacheField>
    <cacheField name="Datum vyhodnocení VZ" numFmtId="0">
      <sharedItems containsDate="1" containsBlank="1" containsMixedTypes="1" minDate="2024-01-19T00:00:00" maxDate="2024-10-16T00:00:00"/>
    </cacheField>
    <cacheField name="Dodavatel " numFmtId="0">
      <sharedItems containsBlank="1"/>
    </cacheField>
    <cacheField name="postup po zrušení" numFmtId="0">
      <sharedItems containsBlank="1"/>
    </cacheField>
    <cacheField name="Vítězná cena bez DPH" numFmtId="44">
      <sharedItems containsString="0" containsBlank="1" containsNumber="1" minValue="9302.4" maxValue="3479900000"/>
    </cacheField>
    <cacheField name="Vítězná cena s DPH" numFmtId="44">
      <sharedItems containsString="0" containsBlank="1" containsNumber="1" minValue="10418.69" maxValue="4210679000"/>
    </cacheField>
    <cacheField name="Léčiva - Kód SUKL" numFmtId="49">
      <sharedItems containsNonDate="0" containsString="0" containsBlank="1"/>
    </cacheField>
    <cacheField name="Léčiva - Název přípravku" numFmtId="49">
      <sharedItems containsNonDate="0" containsString="0" containsBlank="1"/>
    </cacheField>
    <cacheField name="Léčiva - Výrobce" numFmtId="49">
      <sharedItems containsNonDate="0" containsString="0" containsBlank="1"/>
    </cacheField>
    <cacheField name="Datum předání smlouvy do WF" numFmtId="0">
      <sharedItems containsNonDate="0" containsDate="1" containsString="0" containsBlank="1" minDate="2023-02-23T00:00:00" maxDate="2024-10-16T00:00:00"/>
    </cacheField>
    <cacheField name="Číslo smlouvy z WF" numFmtId="0">
      <sharedItems containsBlank="1"/>
    </cacheField>
    <cacheField name="Smlouva podepsána" numFmtId="0">
      <sharedItems containsNonDate="0" containsDate="1" containsString="0" containsBlank="1" minDate="2024-01-31T00:00:00" maxDate="2024-10-31T00:00:00" count="105">
        <d v="2024-09-30T00:00:00"/>
        <d v="2024-05-17T00:00:00"/>
        <m/>
        <d v="2024-04-22T00:00:00"/>
        <d v="2024-02-06T00:00:00"/>
        <d v="2024-05-24T00:00:00"/>
        <d v="2024-05-23T00:00:00"/>
        <d v="2024-04-24T00:00:00"/>
        <d v="2024-02-13T00:00:00"/>
        <d v="2024-01-31T00:00:00"/>
        <d v="2024-08-16T00:00:00"/>
        <d v="2024-03-13T00:00:00"/>
        <d v="2024-02-28T00:00:00"/>
        <d v="2024-02-23T00:00:00"/>
        <d v="2024-04-04T00:00:00"/>
        <d v="2024-03-19T00:00:00"/>
        <d v="2024-02-20T00:00:00"/>
        <d v="2024-02-09T00:00:00"/>
        <d v="2024-04-18T00:00:00"/>
        <d v="2024-05-13T00:00:00"/>
        <d v="2024-05-07T00:00:00"/>
        <d v="2024-04-02T00:00:00"/>
        <d v="2024-04-16T00:00:00"/>
        <d v="2024-02-16T00:00:00"/>
        <d v="2024-03-06T00:00:00"/>
        <d v="2024-03-01T00:00:00"/>
        <d v="2024-04-30T00:00:00"/>
        <d v="2024-08-27T00:00:00"/>
        <d v="2024-04-12T00:00:00"/>
        <d v="2024-02-27T00:00:00"/>
        <d v="2024-04-23T00:00:00"/>
        <d v="2024-03-25T00:00:00"/>
        <d v="2024-08-06T00:00:00"/>
        <d v="2024-05-21T00:00:00"/>
        <d v="2024-03-15T00:00:00"/>
        <d v="2024-03-27T00:00:00"/>
        <d v="2024-03-21T00:00:00"/>
        <d v="2024-07-04T00:00:00"/>
        <d v="2024-05-15T00:00:00"/>
        <d v="2024-05-27T00:00:00"/>
        <d v="2024-05-06T00:00:00"/>
        <d v="2024-04-09T00:00:00"/>
        <d v="2024-05-03T00:00:00"/>
        <d v="2024-07-23T00:00:00"/>
        <d v="2024-04-26T00:00:00"/>
        <d v="2024-09-16T00:00:00"/>
        <d v="2024-06-07T00:00:00"/>
        <d v="2024-04-11T00:00:00"/>
        <d v="2024-06-19T00:00:00"/>
        <d v="2024-06-04T00:00:00"/>
        <d v="2024-04-25T00:00:00"/>
        <d v="2024-05-28T00:00:00"/>
        <d v="2024-05-29T00:00:00"/>
        <d v="2024-06-12T00:00:00"/>
        <d v="2024-08-09T00:00:00"/>
        <d v="2024-06-28T00:00:00"/>
        <d v="2024-05-02T00:00:00"/>
        <d v="2024-06-11T00:00:00"/>
        <d v="2024-07-19T00:00:00"/>
        <d v="2024-07-16T00:00:00"/>
        <d v="2024-07-30T00:00:00"/>
        <d v="2024-08-02T00:00:00"/>
        <d v="2024-06-25T00:00:00"/>
        <d v="2024-08-30T00:00:00"/>
        <d v="2024-05-22T00:00:00"/>
        <d v="2024-08-01T00:00:00"/>
        <d v="2024-06-21T00:00:00"/>
        <d v="2024-09-20T00:00:00"/>
        <d v="2024-10-14T00:00:00"/>
        <d v="2024-07-17T00:00:00"/>
        <d v="2024-08-23T00:00:00"/>
        <d v="2024-06-14T00:00:00"/>
        <d v="2024-08-19T00:00:00"/>
        <d v="2024-09-03T00:00:00"/>
        <d v="2024-08-13T00:00:00"/>
        <d v="2024-09-06T00:00:00"/>
        <d v="2024-08-05T00:00:00"/>
        <d v="2024-09-27T00:00:00"/>
        <d v="2024-06-26T00:00:00"/>
        <d v="2024-05-31T00:00:00"/>
        <d v="2024-08-21T00:00:00"/>
        <d v="2024-07-12T00:00:00"/>
        <d v="2024-08-28T00:00:00"/>
        <d v="2024-09-13T00:00:00"/>
        <d v="2024-06-27T00:00:00"/>
        <d v="2024-07-01T00:00:00"/>
        <d v="2024-09-09T00:00:00"/>
        <d v="2024-09-05T00:00:00"/>
        <d v="2024-07-15T00:00:00"/>
        <d v="2024-07-22T00:00:00"/>
        <d v="2024-08-12T00:00:00"/>
        <d v="2024-07-09T00:00:00"/>
        <d v="2024-07-26T00:00:00"/>
        <d v="2024-09-04T00:00:00"/>
        <d v="2024-10-03T00:00:00"/>
        <d v="2024-10-09T00:00:00"/>
        <d v="2024-07-25T00:00:00"/>
        <d v="2024-08-15T00:00:00"/>
        <d v="2024-08-08T00:00:00"/>
        <d v="2024-09-24T00:00:00"/>
        <d v="2024-08-14T00:00:00"/>
        <d v="2024-08-07T00:00:00"/>
        <d v="2024-10-04T00:00:00"/>
        <d v="2024-10-02T00:00:00"/>
        <d v="2024-10-30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6666665" createdVersion="6" refreshedVersion="6" minRefreshableVersion="3" recordCount="1168" xr:uid="{C2780473-4A9C-48E5-B883-5EB85573C25F}">
  <cacheSource type="worksheet">
    <worksheetSource ref="A8:AB1176" sheet="VZ-2024"/>
  </cacheSource>
  <cacheFields count="28">
    <cacheField name="Datum předání na OVZ" numFmtId="0">
      <sharedItems containsDate="1" containsBlank="1" containsMixedTypes="1" minDate="2023-03-01T00:00:00" maxDate="2024-12-21T00:00:00"/>
    </cacheField>
    <cacheField name="Interní evidenční číslo" numFmtId="0">
      <sharedItems containsBlank="1"/>
    </cacheField>
    <cacheField name="Zadáv. prac." numFmtId="0">
      <sharedItems containsBlank="1" count="21">
        <s v="INV"/>
        <s v="LP"/>
        <s v="ZT"/>
        <s v="DG"/>
        <s v="VSEOB"/>
        <s v="ZM"/>
        <s v="ENG"/>
        <s v="IT"/>
        <s v="DHM"/>
        <s v="NTMC"/>
        <s v="SERVIS"/>
        <s v="DOPR"/>
        <s v="EKOLOG"/>
        <s v="MAR"/>
        <s v="EKON"/>
        <s v="PERS"/>
        <m/>
        <s v="LÉK" u="1"/>
        <s v="DIAG" u="1"/>
        <s v="ENERG" u="1"/>
        <s v="NPO" u="1"/>
      </sharedItems>
    </cacheField>
    <cacheField name="Osoba pověřená pro zadávací řízení" numFmtId="0">
      <sharedItems containsBlank="1"/>
    </cacheField>
    <cacheField name="Administrátor" numFmtId="0">
      <sharedItems containsBlank="1"/>
    </cacheField>
    <cacheField name="Předmět plnění - název zakázky" numFmtId="0">
      <sharedItems containsBlank="1" count="510">
        <s v="NOVOSTAVBA HLAVNÍ BUDOVY B A VNITŘNÍ DOSTAVBA NÍZKOPRAHOVÉHO URGENTNÍHO PŘÍJMU"/>
        <s v="R03AK LP ze skupiny inhalačních sympatomimetik 2024 II"/>
        <s v="Mukolytika 2024"/>
        <s v="Optimalizace dopravního řešení"/>
        <s v="R03AL LP ze skupiny inhalačních sympatomimetik 2024 III"/>
        <s v="Úpravna vody"/>
        <s v="Molekulárně biologické vyšetření u dárců krve a plazmy - NAT s výpůjčkou analyzátorů - sdružený nákup"/>
        <s v="Operační stoly"/>
        <s v="EKG"/>
        <s v="Univerzální elektrická lůžka"/>
        <s v="Konfokální sítnicový oftalmoskop"/>
        <s v="NOVOSTAVBA BUDOVY P4"/>
        <s v="Antibakteriální léčiva pro systémovou aplikaci VI. 2024"/>
        <s v="LP s obsahem cyklofosfamidu 2024"/>
        <s v="LP s obsahem fulvestrantu 2024"/>
        <s v="LP s obsahem busulfanu 2024"/>
        <s v="Videolaryngoskop"/>
        <s v="Léčiva k terapii nemocí kostí 2024"/>
        <s v="LP s obsahem dupilumabu 2024"/>
        <s v="Kancelářské potřeby papírové"/>
        <s v="Kardioangiografický systém na strukturální srdeční intervence"/>
        <s v="Kleště koagulační endoskopické jednorázové"/>
        <s v="Čočky nitrooční typ EDOF pro Oční kliniku"/>
        <s v="Handpiece k ultrazvukovému aspirátoru"/>
        <s v="Endoskopy"/>
        <s v="Kancelářský papír 2024"/>
        <s v="Stříkačky injekční dvoudílné"/>
        <s v="LP s obsahem loratinibu 2024"/>
        <s v="Diagnostika pro koagulační vyšetření s výpůjčkou"/>
        <s v="LP s obsahem ifosfamidu"/>
        <s v="Operační mikroskop"/>
        <s v="LP s obsahem tamoxifenu 2024"/>
        <s v="Chlorid vápenatý infuzní 2024"/>
        <s v="Chladící a mrazící technika"/>
        <s v="Bezpečnostní infrastruktura FNOL"/>
        <s v="Videomanagement "/>
        <s v="Čistící prostředky a jiné drogistické zboží"/>
        <s v="Konkektor bezjehlový"/>
        <s v="LP s obsahem teriparatidu 2024"/>
        <s v="Interferony beta-1A 2024"/>
        <s v="Léčiva respiračního systému z ATC R07AX30 a R07AX31 2024, část I. IVAKAFTOR A TEZAKAFTOR"/>
        <s v="Mobilní ultrazvukový přístroj s fúzní jednotkou"/>
        <s v="TAVI - Aortální chlopně biologické samoexpandibilní s možností repozice"/>
        <s v="Komplexní softwarová podpora klinické farmacie"/>
        <s v="Materiál spotřební k pipetovacímu automatu Sciclone NGSx iQ"/>
        <s v="LP s obsahem amivantamabu 2024"/>
        <s v="LP s obsahem ponesimodu 2024"/>
        <s v="LP s obsahem ceritinibu 2024"/>
        <s v="Dynamický nákupní systém na dodávky chirurgických nástrojů"/>
        <s v="Katétry pro návrat do pravého lumén cévy"/>
        <s v="Čističky vzduchu"/>
        <s v="Dynamický nákupní systém na výrobu a montáž nábytku pro FN Olomouc"/>
        <s v="Farmaceutická lednice a chladící skříň"/>
        <s v="Sety ke katetrizační korekci mitrální regurgitace - Systém MitraClip kit"/>
        <s v="Úpravna vody II"/>
        <s v="Novostavba budovy B - správce stavby"/>
        <s v="Mobilní telefonní přístroje"/>
        <s v="LP s obsahem oxaliplatiny 2024"/>
        <s v="Tekuté embolizační činidlo"/>
        <s v="Systém hydrocephální drenážní pro NCHIR"/>
        <s v="Výroba a montáž nábytku 01/2024"/>
        <s v="LP s obsahem methylprednisonu 2024"/>
        <s v="Bariatrické lůžko"/>
        <s v="Sítnicový laser "/>
        <s v="Chladící deska"/>
        <s v="Mikrotom"/>
        <s v="Set pro krátkodobou srdeční podporu ECMO"/>
        <s v="Kleště bioptické myokardiální jednorázové"/>
        <s v="LP s obsahem ambrisentanu 2024"/>
        <s v="Embolizační spirály mechanicky odpoutatelné"/>
        <s v="Okluzní balónkové katétry neurovaskulární DMSO"/>
        <s v="Samoexpandibilní stent vaskulární I."/>
        <s v="LP Yescarta a Tecartus 2024 "/>
        <s v="Průzkum postojů zdravotnických profesionálů a veřejnosti k telemedicíně"/>
        <s v="FNOL – Revizní náhrady kolenního kloubu (TEP)"/>
        <s v="17. Flow divertery neurointervenční"/>
        <s v="Nákup a dodání stavebního materiálu "/>
        <s v="Stent biliárni samoexpandibilní metalický pletený pro drenáž žlučových cest "/>
        <s v="Parenterální výživa pro domácí použití 2024"/>
        <s v="Katetr CVC 1 lumen-PICC vysokotlaký set"/>
        <s v="Intrakraniální stenty vaskulární II."/>
        <s v="Ultrazvukové systémy"/>
        <s v="Přístroj pro elektroakupunkturu"/>
        <s v="Modelační balónkové katétry"/>
        <s v="LP s obsahem niraparibu 2024"/>
        <s v="Čističky vzduchu II."/>
        <s v="Servis EKV, EZS, CCTV"/>
        <s v="Kleště bioptické myokardiální jednorázové II."/>
        <s v="Servis zdravotnických přístrojů výrobce Siemens"/>
        <s v="Katetr arteriální pro radiální přístup"/>
        <s v="Zavaděč s trhacím tělem pro implantaci elektrod ( Peel-Away )"/>
        <s v="Univerzální elektrická lůžka II."/>
        <s v="FN Olomouc - Totální endoprotézy kyčelního a kolenního kloubu"/>
        <s v="Elektroda defibrilační stimulační epikardiální"/>
        <s v="Zaváděcí systém biliárních stentů"/>
        <s v="Vozidlo na zimní údržbu"/>
        <s v="Injektory jednorázové endoskopické"/>
        <s v="LP s obsahem trastuzumabu 2024"/>
        <s v="96-ti jamkový modul k termocycleru"/>
        <s v="Analyzátory acidobazické rovnováhy s výpůjčkou "/>
        <s v="Pluvicto  2024"/>
        <s v="LP s obsahem Efgartigimodu alfa  2024"/>
        <s v="LP s obsahem brodalumabu 2024"/>
        <s v="Endosonografie"/>
        <s v="Obaly sterilizační jednorázové"/>
        <s v="Nůž elektrochirurgický jednorázový"/>
        <s v="Oprava havarijních radiačních nádrží ČOV  ve FNOL "/>
        <s v="LP s obsahem tamsulosinu v monoterapii a fixní kombinaci 2024"/>
        <s v="Drenážní sety pro perkutánní drenáže"/>
        <s v="Vrtací a pillové systémy"/>
        <s v="Myčky"/>
        <s v="Čítač částic vzduchu"/>
        <s v="Vaskulární plugy periferní"/>
        <s v="Jiná antimykotika pro systémovou aplikaci 2024"/>
        <s v="Štěrbinová lampa"/>
        <s v="Nebulizer"/>
        <s v="Defibrilátor subkutánní s detekcí povrchového signálu"/>
        <s v="Polohovač a Ofuk ke stabilizátoru pro operace srdce "/>
        <s v="Set pro endoskopický odběr žilního štěpu pro BY PASS"/>
        <s v="Embolizační spirály IV."/>
        <s v="Kroužek anuloplastický mitrální semirigidní"/>
        <s v="Modernizace prostor lůžkového oddělení v 7.NP budovy D2 "/>
        <s v="Katetr koronární pro intravaskulární litotrypsi včetně výpůjčky přístroje"/>
        <s v="Systém AtriClip pro uzávěr ouška levé síně (LAA) s otevřeným koncem"/>
        <s v="Rekonstrukce bytových jednotek v budově YA – Etapa III."/>
        <s v="Projektový manažer BIM a správce CDE – Novostavba budovy P4"/>
        <s v="Katetr pro intrakoronární ultrazvukové vyšetření IVUS"/>
        <s v="Obaly sterilizační jednorázové II."/>
        <s v="FLUDEOXYGLUKÓZA S DODÁVKOU KONTEJNERŮ 2024 "/>
        <s v="Reprezenační ples FN Olomouc 2025"/>
        <s v="Koagulace"/>
        <s v="Malířské a natěračské práce 2024"/>
        <s v="Přijímání platebních karet při placení zboží a služeb "/>
        <s v="Renovace bytu v objektu AYH1"/>
        <s v="Toaletní papír a ZZ ručníky 2024"/>
        <s v="LP s obsahem valgancikloviru 2024"/>
        <s v="Poskytování služeb technické podpory a servisu SW pro tkáňové banky "/>
        <s v="Kontejnery sterilizační včetně příslušenství pro ORTOP (doplnění stávajícího vybavení výr. AESCULAP)"/>
        <s v="Jiná terapeutická radiofarmaka V10X 2024"/>
        <s v="Radium-(223RA)-Dichlorid V10XX03 2024"/>
        <s v="LP s obsahem oxaliplatiny II. 2024"/>
        <s v="Vitamíny B05XC 2024"/>
        <s v="Cyklosporin 2024"/>
        <s v="LP s obsahem cemiplimabu 2024"/>
        <s v="LP s obsahem abirateronu 2024"/>
        <s v="LP s obsahem azacitidinu 2024"/>
        <s v="FN Olomouc - Elektrofyziologie"/>
        <s v="LP s obsahem treprostinilu 2024"/>
        <s v="Přístroj pro měření respiračních tlaků"/>
        <s v="Dodávka čteček čárových kódů"/>
        <s v="Výměna oken a vnějších dveří v objektu AYH"/>
        <s v="Sondy k litotriptoru ShockPulse-SE pro UROL "/>
        <s v="LP s obsahem galkanezumabu 2024"/>
        <s v="Mycí a dezinfekční automaty, sušící skříň pro endoskopy"/>
        <s v="Nákup sanitních vozidel - DNR typu A2"/>
        <s v="Spektrofotometr"/>
        <s v="Ubytování a služby spojené s realizací vzdělávací akce pro vedoucí zaměstnance FN Olomouc"/>
        <s v="Fyziologické roztoky pro parenterální použití 2024"/>
        <s v="LP s obsahem riociguátu 2024"/>
        <s v="Nádoba pro skladování biologického materiálu v tekutém dusíku"/>
        <s v="Generátor dusíku"/>
        <s v="Motorizované zařízení k uložení kolene"/>
        <s v="Prodloužení technické podpory a servisu prostředí Microsoft"/>
        <s v="Podpora krátkodobá mikroaxilární katetrová srdeční mechanická  pro I.IK "/>
        <s v="Mikroskop"/>
        <s v="Magnetická rezonance"/>
        <s v="LP s obsahem teklistamabu 2024"/>
        <s v="LP s obsahem sacituzumabu govitekan 2024"/>
        <s v="LP s obsahem GLEKAPREVIRu A PIBRENTASVIRu 2024"/>
        <s v="LP s obsahem idelalisibu 2024"/>
        <s v="Komplex koagulačních faktorů 2024"/>
        <s v="Dezinfekce kůže a operačního pole s obsahem PVP - jódu 2024"/>
        <s v="Imunoglobuliny pro intravaskulární podání 2024"/>
        <s v="LP s obsahem ivakaftoru 2024"/>
        <s v="Dodávka dectů"/>
        <s v="Injekční acetylcystein 2024"/>
        <s v="Helma operační s příslušenstvím a kukla k operační helmě"/>
        <s v="Inzulíny 2024"/>
        <s v="Interferony beta - 1A 2024 II"/>
        <s v="Drát vodící ke kanylaci žlučových a pankreatických cest  ERCP"/>
        <s v="Výměna oken a vnějších dveří v objektu AYH - II."/>
        <s v="Stavební úpravy výukových místností – budova UZQ"/>
        <s v="Dynamický nákupní systém na dodávky zboží určené pro dezinfekci "/>
        <s v="Dynamický nákupní systém na dodávky laboratorních diagnostik "/>
        <s v="LP ze skupiny inhalačních sympatomimetik 2024"/>
        <s v="Operační stoly II."/>
        <s v="Ohnisková dezinfekce 2024"/>
        <s v="PD - Zastřešení komunikace před budovou A"/>
        <s v="Kancelářské židle 2024"/>
        <s v="Úprava vjezdu do areálu FNOL z ul. Hněvotínská"/>
        <s v="Dodávky televizorů 2024"/>
        <s v="Odvlhčení vybraných VZT zařízení, budova Z"/>
        <s v="Větrání a dochlazení místností v budově P"/>
        <s v="LP s obsahem molnupiraviru 2024"/>
        <s v="Nástroje chirurgické pro Centrální operační sály "/>
        <s v="Mikrokatétry k periferním vaskulárním intervencím I. "/>
        <s v="Dezinfekční prostředky na plochy, předměty 2024"/>
        <s v="Stabilizátory pro operace srdce bez mimotělního oběhu"/>
        <s v="Laboratorní váha"/>
        <s v="Kardiostimulátory pro fyziologickou trvalou kardiostimulaci"/>
        <s v="Výroba a montáž nábytku 04/2024"/>
        <s v="Montáž ochranných prvků ve Fakultní nemocnici Olomouc"/>
        <s v="Kotva vstřebatelná pro stabilizaci ramenního kloubu"/>
        <s v="Záchranářské oblečení - Urgentní příjem"/>
        <s v="Monitory vitálních funkcí HOK"/>
        <s v="Úprava ambulance I. interní kliniky, 1.np budova D1 "/>
        <s v="PD - SÚ budovy Q - zákrokový sál"/>
        <s v="Flexibilní videoendoskop"/>
        <s v="Vybudování informační a komunikační platformy pro telemedicínu Telemedicínského centra"/>
        <s v="Roztoky oplachové pro použití na operačních sálech 2024"/>
        <s v="Dodávky dectů"/>
        <s v="LP s obsahem alektinibu 2024"/>
        <s v="Systém neurostimulační SCS nedobíjitelný MRI s adaptivní stimulací"/>
        <s v="LP s obsahem palbociklibu 2024"/>
        <s v="AMIDY 2024"/>
        <s v="Společné datové prostředí - CDE"/>
        <s v="LP s obsahem kyseliny aminolevulové 2024"/>
        <s v="Antivirotika k léčbě infekce HCV 2024"/>
        <s v="LP s obsahem polatuzumab vedotinu 2024"/>
        <s v="Joflupan - (123) V09AB03 2024"/>
        <s v="LP s obsahem brivaracetamu 2024"/>
        <s v="Balonek extrakční trojlumenný I."/>
        <s v="Automatický koagulometr"/>
        <s v="Endosonografie II."/>
        <s v="Stavební úpravy budovy C - porodní sály"/>
        <s v="Sfinkterotom ( papilotom) trojlumenný endoskopický I."/>
        <s v="Nástavce k TRS"/>
        <s v="Diagnostika imunologie"/>
        <s v="LP s obsahem kabozantinibu 2024"/>
        <s v="LP s obsahem buprenorfinu 2024"/>
        <s v="Manometr automatický ke kontrole tlaku v obturační manžetě u ventilovaných pacientů"/>
        <s v="Implantát oční drenážní glaukomový"/>
        <s v="Vata buničitá"/>
        <s v="Notebooky 2024"/>
        <s v="Kazeta se sterilizačním mediem pro sterilizátor STERRAD 100NX"/>
        <s v="XV. Luklův kardiologický den"/>
        <s v="LP s obsahem fentanylu 2024"/>
        <s v="Antiepileptika 2024"/>
        <s v="LP s obsahem teriflunomidu 2024"/>
        <s v="LP s obsahem rivaroxabanu 2024"/>
        <s v="Infuzní technika"/>
        <s v="Forma na globule"/>
        <s v="Oprava chodníku kolem budovy J"/>
        <s v="Shaver"/>
        <s v="Vršek 2024"/>
        <s v="Protéza hlasová"/>
        <s v="Enterální výživa 2024"/>
        <s v="Flexibilní laryngoskop"/>
        <s v="LP s obsahem efgartigimodu alfa II.   2024"/>
        <s v="Pumpa proplachovací dvoukomorová včetně spotřebního materiálu"/>
        <s v="PD – Novostavba budovy geriatrie"/>
        <s v="LP s obsahem busulfanu II. 2024"/>
        <s v="Stengrafty vaskulární"/>
        <s v="Dodání a montáž gastro vybavení kuchyně 2024"/>
        <s v="Kryosprej"/>
        <s v="Kombinovaný přístroj el. léčba + UZV"/>
        <s v="Upgrade mamografie"/>
        <s v="Dodávka pneumatik pro osobní, dodávková a nákladní vozidla FNOL  "/>
        <s v="Diagnostika a software pro detekci somatických a germinálních sekvenčních variant"/>
        <s v="Konference Veřejné zakázky ve zdravotnictví 2024"/>
        <s v="Pronájem prostor - reprezentační ples FNOL 2025"/>
        <s v="Chladící a mrazící technika II"/>
        <s v="Vestavba do skladovacího kontejneru"/>
        <s v="LP s obsahem nivolumabu 2024"/>
        <s v="Výroba a montáž nábytku - porodní sály"/>
        <s v="Redukční ventily kyslíku, regulátory podtlaku s bezpečnostními lahvemi proti přesátí, průtokoměry kyslíku a zvlhčovače k průtokoměru kyslíku"/>
        <s v="Zajištění živých přenosů - XV. Luklův den 2024"/>
        <s v="LP s obsahem kanabidiolu 2024"/>
        <s v="LP s obsahem defibrotidu 2024 "/>
        <s v="LP s obsahem zanubrutinibu 2024"/>
        <s v="Stenty biliární  plastové"/>
        <s v="Tekuté embolizační činidlo II."/>
        <s v="Samoexpandibilní stent vaskulární II."/>
        <s v="Lidský inhibitor alfa1 - proteinasy 2024"/>
        <s v="LP s obsahem bevacizumabu 2024"/>
        <s v="18F Fluoromisonidazolum 2024"/>
        <s v="Antidekubitní hybridní matrace"/>
        <s v="LP s obsahem pantoprazolu 2024"/>
        <s v="LP s obsahem alteplasy 2024"/>
        <s v="Rekonstrukce kanalizace u budov U, Q, S, E teoretické ústavy v areálu FNOL "/>
        <s v="LP s obsahem omeprazolu 2024"/>
        <s v="Sterilizační technika"/>
        <s v="Oprava schodiště u jižního štítu budovy D1"/>
        <s v="Pořízení elektromobilů – modernizace a obnova vozidel FNOL "/>
        <s v="PD - SÚ budovy Q - zákrokový sál II"/>
        <s v="Set rouškovací základní oční sterilní STANDARD"/>
        <s v="LP S OBSAHEM EPOPROSTENOLU 2024"/>
        <s v="Joflupan - (123I) V09AB03 2024"/>
        <s v="LP s obsahem ivakaftoru II. 2024"/>
        <s v="Dodávka diagnostických monitorů pro RTG"/>
        <s v="SPECT/CT"/>
        <s v="Jodid - (131I) sodný 2024"/>
        <s v="Papír na vyšetřovací lůžka"/>
        <s v="Tablet Thermoline a jeho příslušenství"/>
        <s v="Kličky polypektomické"/>
        <s v="LP s obsahem pirtobrutinibu 2024"/>
        <s v="MR kompatibilní neurofyziologický systém"/>
        <s v="LP s obsahem nirmatrelvitru/ritonaviru 2024 - sdružený nákup"/>
        <s v="Jícnové stenty"/>
        <s v="LP s obsahem ozanimodu 2024  -  sdružený nákup"/>
        <s v="Nástroje chirurgické pro Ortopedickou kliniku"/>
        <s v="Materiál spotřební k monitorům Carescape B 850 a ventilátorům Carescape R 860"/>
        <s v="Přístrojová lymfodrenáž"/>
        <s v="Úprava zdroje chladu, budova Y"/>
        <s v="Větrání laboratoře, budova I "/>
        <s v="Elektrokauter"/>
        <s v="Materiál spotřební k systému na stanovení ACT"/>
        <s v="Manometr automatický ke kontrole tlaku v obturační manžetě u ventilovaných pacientů II."/>
        <s v="Budova F - výměna oken"/>
        <s v="Servis RTG přístrrojů výrobce Philips"/>
        <s v="Pláště návštěvnické jednorázové"/>
        <s v="Nástavce k TRS II."/>
        <s v="Oblečení operační jednorázové (haleny a kalhoty)"/>
        <s v="Rouška bariérová absorpční v roli"/>
        <s v="LP s obsahem efgartigimodu alfa III. 2024"/>
        <s v="Zmrazovací zařízení"/>
        <s v="Diagnostika pro vyšetření autoprotilátek"/>
        <s v="Diagnostika pro HLA genotypizaci"/>
        <s v="Drenážní katétry pro zevní drenáže žlučových cest"/>
        <s v="Diagnostika digitální MLPA"/>
        <s v="Magistraliter příprava - polotuhé formy 2024"/>
        <s v="Projektový manažer BIM a správce CDE – Novostavba budovy geriatrie"/>
        <s v="LP s obsahem takrolimu 2024"/>
        <s v="Infuzní technika II."/>
        <s v="FN Olomouc - Elektrofyziologie II."/>
        <s v="LP s obsahem anifrolumabu 2024"/>
        <s v="LP s obsahem tukatinibu 2024"/>
        <s v="LP s obsahem foskarnetu 2024"/>
        <s v="LP s obsahem luspaterceptu 2024  -  sdružený nákup"/>
        <s v="LP s obsahem selperkatinibu 2024"/>
        <s v="Statimové vyšetření virů HCV, HBV, HIV s výpůjčkou analyzátoru"/>
        <s v="LP s obsahem mavakamtenu 2024"/>
        <s v="LP s obsahem kabotegraviru 2024 - sdružený nákup"/>
        <s v="FN Olomouc – Totální endoprotézy kyčelního kloubu"/>
        <s v="LP s obsahem fampiridinu 2024"/>
        <s v="LP s obsahem azacitidinu 2024 II."/>
        <s v="C-rameno"/>
        <s v="Fokusovaná rázová vlna"/>
        <s v="Křeslo ke stimulaci panevního dna"/>
        <s v="Vysokofrekvenční radioterapie"/>
        <s v="Vysokoindukční systém"/>
        <s v="Novostavba budovy D4"/>
        <s v="LP s obsahem  sugammadexu 2024"/>
        <s v="LP s obsahem liraglutidu 2024"/>
        <s v="Tiskařské služby - tisk reklamních materiálů"/>
        <s v="Kardiostimulátor bezelektrodový AV"/>
        <s v="Stavební úpravy prostor v budově WG2"/>
        <s v="Rouškovací sety pro KÚČOCH"/>
        <s v="Resuscitátor"/>
        <s v="LP s obsahem ivakaftoru, tezakaftoru a elexakaftoru 2024 "/>
        <s v="Přikrývka zahřívací aktivní"/>
        <s v="Vysokovýkonový laser"/>
        <s v="Přístroj na diagnostiku cystické fibrózy"/>
        <s v="Ultrazvukové systémy II"/>
        <s v="Podložky pod nemocné jednorázové"/>
        <s v="Spektrální cytometr"/>
        <s v="Dezinfekce kůže před odběrem biologického materiálu v procesu výroby léčiv; Ohnisková dezinfekce 2024"/>
        <s v="Pouzdra zaváděcí"/>
        <s v="Služba pro analýzu a sledování hormonálních změn a integraci tkáně na zvířecím modelu"/>
        <s v="Submukózní injekční systém"/>
        <s v="Mikrokátétry intervenční"/>
        <s v="LP s obsahem vorikonazolu  2024"/>
        <s v="Materiál k perkutánním biopsiím"/>
        <s v="Systém implantabilní neurostimulační DBS nedobíjitelný "/>
        <s v="Infuzní technika III."/>
        <s v="ELISA reader"/>
        <s v="18F - Fludeoxythymidin 2024"/>
        <s v="LP s obsahem fedratinibu 2024"/>
        <s v="Antiepileptika II 2024"/>
        <s v="Urgentní vyšetření respiračních virů s výpůjčkou analyzátorů"/>
        <s v="Chladící a mrazící technika III"/>
        <s v="LP s obsahem paklitaxelu 2024"/>
        <s v="Lupové brýle"/>
        <s v="LP s obsahem fluocinolon-acetonidu 2024"/>
        <s v="LP s obsahem tocilizumabu 2024"/>
        <s v="Prostěradlo jednorázové SMS, nesterilní 80x220 cm"/>
        <s v="Diagnostika pro MAIPA assay s výpůjčkou"/>
        <s v="LP s obsahem teriflunomidu II 2024"/>
        <s v="Pluvicto II. 2024"/>
        <s v="Oprava MaR v budovách D1,D2,H1,H2,WZ"/>
        <s v="Hospital management 2024"/>
        <s v="Novostavba budovy D4 II."/>
        <s v="Rekonstrukce bytových jednotek v budově YA – Etapa IV."/>
        <s v="Demolice a oprava komínových těles - budova UZQ"/>
        <s v="Nerezový mobiliář"/>
        <s v="Zdravotnické resuscitační, převazové, lékové, anesteziologické, pečovatelské a multifunkční vozíky"/>
        <s v="Bezdrátový UZV"/>
        <s v="Dynamický nákupní systém pro průběžné dodávky léčivých přípravků s využitím Systému flexibilního tendrování léčiv (SFTL)"/>
        <s v="Projektový manažer BIM a správce CDE – Novostavba budovy D4 - II"/>
        <s v="LP s obsahem amfotericinu B 2024"/>
        <s v="Systém pro vizuálně-motorickou stimulaci "/>
        <s v="Chodící pás interaktivní "/>
        <s v="Chodící pás se zpětnou vazbou"/>
        <s v="LP s obsahem empagliflozinu 2024"/>
        <s v="Systém pro terapii a vyšetření stability"/>
        <s v="Resuscitátor II."/>
        <s v="Lehátka"/>
        <s v="Komplexní náhrada ramenního kloubu s možností konverze"/>
        <s v="Halena s dlouhým rukávem oteplovací "/>
        <s v="Vyšetření infekčních markerů u dárců krve s výpůjčkou"/>
        <s v="LP s obsahem mavakamtenu II 2024"/>
        <s v="Vyšetření krevního obrazu u dárců krve a vzorků transfuz. přípravků s výpůjčkou"/>
        <s v="Očkovací látky I 2024 "/>
        <s v="LP s obsahem pirtobrutinibu II. 2024"/>
        <s v="FN Olomouc - Elektrofyziologie III. - Katetr intrakardiální ultrazvukový, včetně výpůjčky"/>
        <s v="Očkovací látky II 2024 "/>
        <s v="Magistraliter příprava - tekuté formy 2024"/>
        <s v="Radionuklidové generátory (81Rb/81mKr) k provádění vyšetření plicní ventilace s výpůjčkou aplikační jednotky 2024"/>
        <s v="Stabilizátory pro operace srdce bez mimotělního oběhu "/>
        <s v="Staplery I."/>
        <s v="Magistraliter příprava - pevné formy 2024"/>
        <s v="Mléčná kojenecká výživa 2024"/>
        <s v="Oprava rampy – budova L"/>
        <s v="LP s obsahem tadalafilu 2024 - sdružený nákup"/>
        <s v="Diagnostika pro analýzu lipidomu"/>
        <s v="LP s obsahem vápníku v kombinaci 2024 - sdružený nákup"/>
        <s v="Robotický operační systém"/>
        <s v="LP s obsahem semaglutidu 2024"/>
        <s v="Zamrazovací zařízení II."/>
        <s v="LP s obsahem Afatinibu a Osimertinibu 2024"/>
        <s v="Lupové brýle II."/>
        <s v="Aktualizace centrálního databázového serveru monitorovacího systému "/>
        <s v="Objektivy k mikroskopům"/>
        <s v="Reometr"/>
        <s v="TK holter"/>
        <s v="LP s obsahem lenalidomidu 2024"/>
        <s v="LP s obsahem vorikonazolu i.v. 2024"/>
        <s v="Vysokoúčinný kapalinový chromatograf s hmotnostním spektrometrem typu trojitý kvadrupól (UHPLC-MS-QQQ)"/>
        <s v="Operační čelní světla"/>
        <s v="Operační panoramatické brýle včetně světla"/>
        <s v="Monitorovací systém Novorozenecké oddělení"/>
        <s v="Oprava výtahu a instalace plošin pro budovu WJ"/>
        <s v="Cryosonda jednorázová flexibilní k přístroji ERBECRYO 2 pro Plicní kliniku"/>
        <s v="Dezinfekční ubrousky pro čištění zdravotnických prostředků, zejména intravenózních spojů 2024"/>
        <s v="Pulzní oxymetr"/>
        <s v="Instrumentárium "/>
        <s v="Dezinfekce vyššího stupně 2024"/>
        <s v="Pneumatický turniket"/>
        <s v="Materiál spotřební k systému na stanovení ACT II."/>
        <s v="Formaldehydový sterilizátor"/>
        <s v="Systém  k rekanalizaci při embolii do a. pulmonalis pro Radiol. kliniku"/>
        <s v="Extraktory intravaskulární I."/>
        <s v="LP s obsahem ponesimodu II. 2024"/>
        <s v="Radiofarmakum JOBENGUAN - (123I)  2024"/>
        <s v="Radiofarmakum FLUTEMETANOL - (18F) 2024"/>
        <s v="Nástroj laparoskopický k přístroji PlasmaJet pro PORGYN"/>
        <s v="Výměna dveří v 1.PP budovy R"/>
        <s v="Diagnostické katétry"/>
        <s v="Systém pro reaktivní posturální odpověď"/>
        <s v="Exoskelet pro terapii horní končetiny s vizuální zpětnou vazbou"/>
        <s v="Telemetrický systém polyEMG"/>
        <s v="Systém virtuální reality"/>
        <s v="Kombinovaný přístroj elektroléčba a ultrazvuk"/>
        <s v="LP s obsahem lamotriginu 2024"/>
        <s v="Stavební úpravy v 1.PP budovy Q"/>
        <s v="Návlek na mikroskop operační"/>
        <s v="LP s obsahem pregabalinu 2024"/>
        <s v="Masky a podložky termoplastické k fixaci hlavy k lineárnímu urychlovači TrueBeam výr. Varian Medical Systems"/>
        <s v="Kleště bioptické jednorázové do gastroskopu/koloskopu"/>
        <s v="Optický nástavec na operační mikroskop"/>
        <s v="Kotvička šicí vstřebatelná"/>
        <s v="LP s obsahem inklisiranu 2024"/>
        <s v="Zařízení pro správu a archivaci endoskopických vyšetření"/>
        <s v="Přístroj na diagnostiku cystické fibrózy II"/>
        <s v="Dochlazování budovy J, 1.NP - 4.NP"/>
        <s v="LP s obsahem gabapentinu 2024"/>
        <s v="Sklo podložní mikroskopické k tiskárně výr. SAKURA"/>
        <s v="Stenty vaskulární"/>
        <s v="Oblečení operační základní"/>
        <s v="Rekonstrukce kanalizace u budov U, Q, teoretické ústavy, garáže u budovy G v areálu FNOL "/>
        <s v="Výroba a montáž nábytk"/>
        <s v="Dodávka All-in-One pracovních stanic"/>
        <s v="LUTECIUM (177LU) OXODOTREOTID 2024"/>
        <s v="Operační panoramatické brýle včetně světla II."/>
        <s v="Pulzní oxymetr II."/>
        <s v="Analytické váhy"/>
        <s v="Diagnostické katétry I."/>
        <s v="Budovy WF a WG - výměna oken"/>
        <s v="Oprava havarijního stavu tkáňové banky"/>
        <s v="Oprava prostorů budovy WE"/>
        <s v="Jehla vakuová s kontrolním okénkem pro detekci krve"/>
        <s v="Radiofarmakum JOBENGUAN - (123I) II 2024"/>
        <s v="Systémy pro uzavírání tepenných vstupů po perkutánních cévních výkonech"/>
        <s v="Nástroj laparoskopický Endo Babcock jednorázový"/>
        <s v="Antiepileptika  III 2024"/>
        <s v="Oprava rozvodu tepla v budově WJ"/>
        <s v="Okruh dýchací anesteziologický jednorázový"/>
        <s v="Destička mikrotitrační U jednorázová"/>
        <s v="Stavební úpravy budovy ZH1"/>
        <s v="LP s obsahem darvadstrocelu 2024"/>
        <s v="Demolice budovy WN"/>
        <s v="LP s obsahem ibrutinibu 2024"/>
        <s v="LP s obsahem vandetanibu 2024"/>
        <s v="Jiná imunostimulancia 2024"/>
        <s v="Ultrazvukové systémy III"/>
        <s v="Oprava automyčky ve FNOL (žlutá hala)"/>
        <m/>
        <s v="Výroba a montáž nábytku" u="1"/>
        <s v="LP s obsahem takatinibu 2024" u="1"/>
        <s v="Set HLS ECMO CARDIOHELP BE-HLS 7050  Advanced 7.0, pro krátkodobou srdeční podporu" u="1"/>
        <s v="R03AK LP ze skupiny inhalačních sympatomimetik 2023 II" u="1"/>
        <s v="Očkovací látky proti klíšťové encefalitidě 2024 - sdružený nákup" u="1"/>
        <s v="AVI - Aortální chlopně biologické samoexpandibilní s možností repozice" u="1"/>
        <s v="EFGARTIGIMOD ALFA" u="1"/>
        <s v="Zavedení dynamického nákupního systému pro průběžné dodávky léčivých přípravků s využitím Systému flexibilního tendrování léčiv (SFTL)" u="1"/>
        <s v="Diagnostika pro koagulační vyšetření s výpůjčkou analyzátoru II." u="1"/>
        <s v=" Kardioangiografický systém na strukturální srdeční intervence" u="1"/>
        <s v="Očkovací látka II 2024 " u="1"/>
        <s v="Radiofarmakum fludeoxyglukóza 18F“ s dodávkou kontejnerů" u="1"/>
        <s v="LP s obsahem dupilamumabu 2024" u="1"/>
      </sharedItems>
    </cacheField>
    <cacheField name="Část" numFmtId="0">
      <sharedItems containsString="0" containsBlank="1" containsNumber="1" containsInteger="1" minValue="1" maxValue="8" count="9">
        <m/>
        <n v="1"/>
        <n v="2"/>
        <n v="3"/>
        <n v="4"/>
        <n v="5"/>
        <n v="6"/>
        <n v="7"/>
        <n v="8"/>
      </sharedItems>
    </cacheField>
    <cacheField name="Název části VZ" numFmtId="0">
      <sharedItems containsBlank="1"/>
    </cacheField>
    <cacheField name="Stav VZ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1610" maxValue="3495000000"/>
    </cacheField>
    <cacheField name="Druh VZ" numFmtId="0">
      <sharedItems containsBlank="1" count="7">
        <s v="OŘ"/>
        <s v="VZMR"/>
        <s v="ZPŘ"/>
        <s v="UŘ"/>
        <s v="DNS"/>
        <s v="JŘBU"/>
        <m/>
      </sharedItems>
    </cacheField>
    <cacheField name="VZ vypsaná dne" numFmtId="0">
      <sharedItems containsNonDate="0" containsDate="1" containsString="0" containsBlank="1" minDate="2023-12-19T00:00:00" maxDate="2024-10-16T00:00:00"/>
    </cacheField>
    <cacheField name="Lhůta pro podání nabídek" numFmtId="0">
      <sharedItems containsNonDate="0" containsDate="1" containsString="0" containsBlank="1" minDate="2024-01-15T00:00:00" maxDate="2024-12-05T00:00:00"/>
    </cacheField>
    <cacheField name="Datum vyhodnocení VZ" numFmtId="0">
      <sharedItems containsDate="1" containsBlank="1" containsMixedTypes="1" minDate="2024-01-19T00:00:00" maxDate="2024-10-16T00:00:00"/>
    </cacheField>
    <cacheField name="Dodavatel " numFmtId="0">
      <sharedItems containsBlank="1"/>
    </cacheField>
    <cacheField name="postup po zrušení" numFmtId="0">
      <sharedItems containsBlank="1"/>
    </cacheField>
    <cacheField name="Vítězná cena bez DPH" numFmtId="44">
      <sharedItems containsString="0" containsBlank="1" containsNumber="1" minValue="9302.4" maxValue="3479900000"/>
    </cacheField>
    <cacheField name="Vítězná cena s DPH" numFmtId="44">
      <sharedItems containsString="0" containsBlank="1" containsNumber="1" minValue="10418.69" maxValue="4210679000"/>
    </cacheField>
    <cacheField name="Léčiva - Kód SUKL" numFmtId="49">
      <sharedItems containsNonDate="0" containsString="0" containsBlank="1"/>
    </cacheField>
    <cacheField name="Léčiva - Název přípravku" numFmtId="49">
      <sharedItems containsNonDate="0" containsString="0" containsBlank="1"/>
    </cacheField>
    <cacheField name="Léčiva - Výrobce" numFmtId="49">
      <sharedItems containsNonDate="0" containsString="0" containsBlank="1"/>
    </cacheField>
    <cacheField name="Datum předání smlouvy do WF" numFmtId="0">
      <sharedItems containsNonDate="0" containsDate="1" containsString="0" containsBlank="1" minDate="2023-02-23T00:00:00" maxDate="2024-10-16T00:00:00"/>
    </cacheField>
    <cacheField name="Číslo smlouvy z WF" numFmtId="0">
      <sharedItems containsBlank="1"/>
    </cacheField>
    <cacheField name="Smlouva podepsána" numFmtId="0">
      <sharedItems containsNonDate="0" containsDate="1" containsString="0" containsBlank="1" minDate="2024-01-31T00:00:00" maxDate="2024-10-31T00:00:00" count="105">
        <d v="2024-09-30T00:00:00"/>
        <d v="2024-05-17T00:00:00"/>
        <m/>
        <d v="2024-04-22T00:00:00"/>
        <d v="2024-02-06T00:00:00"/>
        <d v="2024-05-24T00:00:00"/>
        <d v="2024-05-23T00:00:00"/>
        <d v="2024-04-24T00:00:00"/>
        <d v="2024-02-13T00:00:00"/>
        <d v="2024-01-31T00:00:00"/>
        <d v="2024-08-16T00:00:00"/>
        <d v="2024-03-13T00:00:00"/>
        <d v="2024-02-28T00:00:00"/>
        <d v="2024-02-23T00:00:00"/>
        <d v="2024-04-04T00:00:00"/>
        <d v="2024-03-19T00:00:00"/>
        <d v="2024-02-20T00:00:00"/>
        <d v="2024-02-09T00:00:00"/>
        <d v="2024-04-18T00:00:00"/>
        <d v="2024-05-13T00:00:00"/>
        <d v="2024-05-07T00:00:00"/>
        <d v="2024-04-02T00:00:00"/>
        <d v="2024-04-16T00:00:00"/>
        <d v="2024-02-16T00:00:00"/>
        <d v="2024-03-06T00:00:00"/>
        <d v="2024-03-01T00:00:00"/>
        <d v="2024-04-30T00:00:00"/>
        <d v="2024-08-27T00:00:00"/>
        <d v="2024-04-12T00:00:00"/>
        <d v="2024-02-27T00:00:00"/>
        <d v="2024-04-23T00:00:00"/>
        <d v="2024-03-25T00:00:00"/>
        <d v="2024-08-06T00:00:00"/>
        <d v="2024-05-21T00:00:00"/>
        <d v="2024-03-15T00:00:00"/>
        <d v="2024-03-27T00:00:00"/>
        <d v="2024-03-21T00:00:00"/>
        <d v="2024-07-04T00:00:00"/>
        <d v="2024-05-15T00:00:00"/>
        <d v="2024-05-27T00:00:00"/>
        <d v="2024-05-06T00:00:00"/>
        <d v="2024-04-09T00:00:00"/>
        <d v="2024-05-03T00:00:00"/>
        <d v="2024-07-23T00:00:00"/>
        <d v="2024-04-26T00:00:00"/>
        <d v="2024-09-16T00:00:00"/>
        <d v="2024-06-07T00:00:00"/>
        <d v="2024-04-11T00:00:00"/>
        <d v="2024-06-19T00:00:00"/>
        <d v="2024-06-04T00:00:00"/>
        <d v="2024-04-25T00:00:00"/>
        <d v="2024-05-28T00:00:00"/>
        <d v="2024-05-29T00:00:00"/>
        <d v="2024-06-12T00:00:00"/>
        <d v="2024-08-09T00:00:00"/>
        <d v="2024-06-28T00:00:00"/>
        <d v="2024-05-02T00:00:00"/>
        <d v="2024-06-11T00:00:00"/>
        <d v="2024-07-19T00:00:00"/>
        <d v="2024-07-16T00:00:00"/>
        <d v="2024-07-30T00:00:00"/>
        <d v="2024-08-02T00:00:00"/>
        <d v="2024-06-25T00:00:00"/>
        <d v="2024-08-30T00:00:00"/>
        <d v="2024-05-22T00:00:00"/>
        <d v="2024-08-01T00:00:00"/>
        <d v="2024-06-21T00:00:00"/>
        <d v="2024-09-20T00:00:00"/>
        <d v="2024-10-14T00:00:00"/>
        <d v="2024-07-17T00:00:00"/>
        <d v="2024-08-23T00:00:00"/>
        <d v="2024-06-14T00:00:00"/>
        <d v="2024-08-19T00:00:00"/>
        <d v="2024-09-03T00:00:00"/>
        <d v="2024-08-13T00:00:00"/>
        <d v="2024-09-06T00:00:00"/>
        <d v="2024-08-05T00:00:00"/>
        <d v="2024-09-27T00:00:00"/>
        <d v="2024-06-26T00:00:00"/>
        <d v="2024-05-31T00:00:00"/>
        <d v="2024-08-21T00:00:00"/>
        <d v="2024-07-12T00:00:00"/>
        <d v="2024-08-28T00:00:00"/>
        <d v="2024-09-13T00:00:00"/>
        <d v="2024-06-27T00:00:00"/>
        <d v="2024-07-01T00:00:00"/>
        <d v="2024-09-09T00:00:00"/>
        <d v="2024-09-05T00:00:00"/>
        <d v="2024-07-15T00:00:00"/>
        <d v="2024-07-22T00:00:00"/>
        <d v="2024-08-12T00:00:00"/>
        <d v="2024-07-09T00:00:00"/>
        <d v="2024-07-26T00:00:00"/>
        <d v="2024-09-04T00:00:00"/>
        <d v="2024-10-03T00:00:00"/>
        <d v="2024-10-09T00:00:00"/>
        <d v="2024-07-25T00:00:00"/>
        <d v="2024-08-15T00:00:00"/>
        <d v="2024-08-08T00:00:00"/>
        <d v="2024-09-24T00:00:00"/>
        <d v="2024-08-14T00:00:00"/>
        <d v="2024-08-07T00:00:00"/>
        <d v="2024-10-04T00:00:00"/>
        <d v="2024-10-02T00:00:00"/>
        <d v="2024-10-30T00:00:00" u="1"/>
      </sharedItems>
    </cacheField>
    <cacheField name="Smlouva , Písemná zpráva zadavatele              Profil zadavatele" numFmtId="0">
      <sharedItems containsNonDate="0" containsDate="1" containsString="0" containsBlank="1" minDate="2024-01-31T00:00:00" maxDate="2024-10-16T00:00:00"/>
    </cacheField>
    <cacheField name="Platnost smlouvy / Datum dodání" numFmtId="0">
      <sharedItems containsDate="1" containsBlank="1" containsMixedTypes="1" minDate="2024-02-14T00:00:00" maxDate="2029-01-2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7245373" createdVersion="6" refreshedVersion="6" minRefreshableVersion="3" recordCount="930" xr:uid="{33C02BB0-3F2C-4C7F-9E93-D5194986667E}">
  <cacheSource type="worksheet">
    <worksheetSource ref="A8:Z1517" sheet="VZ-2023"/>
  </cacheSource>
  <cacheFields count="26">
    <cacheField name="Datum předání na OVZ" numFmtId="0">
      <sharedItems containsDate="1" containsBlank="1" containsMixedTypes="1" minDate="2022-02-08T00:00:00" maxDate="2023-12-29T00:00:00"/>
    </cacheField>
    <cacheField name="Interní evidenční číslo" numFmtId="0">
      <sharedItems containsBlank="1"/>
    </cacheField>
    <cacheField name="Zadáv. prac." numFmtId="0">
      <sharedItems containsBlank="1" count="27">
        <s v="LÉK"/>
        <s v="EKOLOG"/>
        <s v="ZM"/>
        <s v="ZT"/>
        <s v="EKON"/>
        <s v="INV"/>
        <s v="PROVOZ"/>
        <s v="REACT"/>
        <s v="ENERG"/>
        <s v="SERVIS"/>
        <s v="OSB"/>
        <s v="VŠEOB"/>
        <s v="DIAG"/>
        <s v="IT"/>
        <s v="KVALITA"/>
        <s v="DOPR"/>
        <s v="PERS"/>
        <s v="PRAV"/>
        <s v="NLP"/>
        <s v="MARKET"/>
        <s v="BOZP"/>
        <s v="ZT "/>
        <s v="PERSON"/>
        <s v="OSB "/>
        <m/>
        <s v="MARKETING" u="1"/>
        <s v="INF" u="1"/>
      </sharedItems>
    </cacheField>
    <cacheField name="Osoba pověřená pro zadávací řízení" numFmtId="0">
      <sharedItems containsBlank="1"/>
    </cacheField>
    <cacheField name="Administrátor" numFmtId="0">
      <sharedItems containsBlank="1"/>
    </cacheField>
    <cacheField name="Předmět plnění - název zakázky" numFmtId="0">
      <sharedItems containsBlank="1" count="637">
        <s v="LP ze skupiny anticholinergik 2022 - sdružený nákup"/>
        <s v="LP s obsahem trastuzumab deruxtekanu 2022 - sdružený nákup"/>
        <s v="LP s obsahem sarilumabu 2022 - sdružený nákup"/>
        <s v="LP s obsahem anakinry 2022 - sdružený nákup"/>
        <s v="LP s obsahem akalabrutinibu 2022 - sdružený nákup"/>
        <s v="LP s obsahem ruxolitinibu 2022 - sdružený nákup"/>
        <s v="LP s obsahem ofatumumabu 2022 - sdružený nákup"/>
        <s v="LP s obsahem ekulizumabu 2022 - sdružený nákup"/>
        <s v="Rostlinné alkaloidy 2022"/>
        <s v="Likvidace odpadů z FN Olomouc"/>
        <s v="Kit PSMA"/>
        <s v="Somatropin a agonisté somatropinu I. 2022 - sdružený nákup"/>
        <s v="Somatropin a agonisté somatropinu II. 2022 - sdružený nákup"/>
        <s v="LP s obsahem sufentanilu 2022 - sdružený nákup"/>
        <s v="LP s obsahem letermoviru 2022 - sdružený nákup"/>
        <s v="LP s obsahem remdesiviru 2022 II."/>
        <s v="Automatické IHC a ISH barvení s výpůjčkou abarvících automatů"/>
        <s v="Monoklonální protilátky III. 2022"/>
        <s v="Jiná cytostatika IV. 2022"/>
        <s v="Katétr elektrofyziologický říditelný Livewire"/>
        <s v="Membránové oxygenátory včetně hadicových setů pro vedení mimotělního oběhu"/>
        <s v="LP s obsahem orfenadrinu 2022 - sdružený nákup"/>
        <s v="LP s obshem sugammadexu 2022 - sdružený nákup"/>
        <s v="LP s obsahem darolutamidu 2022 - sdružený nákup"/>
        <s v="LP s obsahem tolvaptanu 2022 - sdružený nákup"/>
        <s v="LP s obsahem palivizumabu 2022 - sdružený nákup"/>
        <s v="Inhibitory aromatasy 2022"/>
        <s v="6.Dilatační balónkové katétry vaskulární II."/>
        <s v="Přímé inhibitory faktoru XA I. 2022"/>
        <s v="Operační svítidla ORL"/>
        <s v="Paramagnetické kontrastní látky 2022 "/>
        <s v="Lůžka a lehátka II"/>
        <s v="7.Kleště bioptické jednorázové do gastroskopu/koloskopu"/>
        <s v="Membránové oygenátory včetně hadicových setů pro vedení mimotělního oběhu II."/>
        <s v="Audit účetní závěrky státní příspěvkové organizace FN Olomouc za období 2022 - 2025"/>
        <s v="Jiná antianemika 2022 - sdružený nákup"/>
        <s v="Hypertonické roztoky 2022"/>
        <s v="Insuliny a analoga dlouze působící 2022 - sdružený nákup"/>
        <s v="Intervenční kardiologie I."/>
        <s v="Nástroje chirurgické pro kliniky FNOL I. (výrobce  MEDIN )"/>
        <s v="Glukokortikoidy 2022"/>
        <s v="Vazopresin a analoga 2022"/>
        <s v="Nástroje chirurgické pro kliniky FNOL II."/>
        <s v="Nástroje chirurgické pro kliniky FNOL III."/>
        <s v="PD – Obnova nemovité kulturní památky Fort Tabulový vrch"/>
        <s v="Anestetika lokální 2022"/>
        <s v="Multienzymové přípravky 2022"/>
        <s v="Nástroje chirurgické pro I.IK"/>
        <s v="Nástroje chirurgické pro kliniky FNOL IV."/>
        <s v="Radiofarmakum fluorocholine (18F) 2022"/>
        <s v="LP s obsahem Adalimumabu 2022 II."/>
        <s v="LP s obsahem trifluridinu v kombinaci 2022"/>
        <s v="ANTAGONISTÉ ALFA-ADRENERGNÍCH RECEPTORŮ 2022"/>
        <s v="Poskytování úklidových služeb"/>
        <s v="Přístroj pro perfuzi dárcovské ledviny IV."/>
        <s v="Spotřební materiál k artroskopické věži Arthrex"/>
        <s v="Cytometr"/>
        <s v="CO2 Inkubátor pro Hemato-onkologickou kliniku II"/>
        <s v="Servis automatických dvěří FNOL"/>
        <s v="Hepariny 2022"/>
        <s v="LP ze skupiny cytostatik 2022"/>
        <s v="LP s obsahem abirateronu 2022"/>
        <s v="Nástroje chirurgické pro NCHIR operační sály - rozšíření stávajícího instrumentária"/>
        <s v="Oprava MaR P1,P2,Q1,M2,WE"/>
        <s v="PD – Stavební úpravy objektu J3 - KNM - lůžkové oddělení"/>
        <s v="Přímé inhibitory faktoru XA II. 2022 "/>
        <s v="Insulin Lispro II. 2022"/>
        <s v="LP s obsahem cidofoviru 2022"/>
        <s v="Výměna kompresorů v budově A,M"/>
        <s v="Vyšetření tumormakrerů s výpůjčkou přístroje"/>
        <s v="Materiál spotřební k neuromonitoru včetně výpůjčky přístroje pro ORL"/>
        <s v="Termocyklér"/>
        <s v="Spotřební materiál k artroskopické věži Johnson"/>
        <s v="STAVEBNÍ ÚPRAVY BUDOVY L – TRANSFUZNÍ ODDĚLENÍ"/>
        <s v="EKG"/>
        <s v="Nástroje chirurgické pro kliniky FNOL V."/>
        <s v="Servis přístrojů výrobce GE"/>
        <s v="Oprava střešního pláště budovy P2"/>
        <s v="PD - stavební úpravy budov H1, H2"/>
        <s v="Radiofrekvenční elektrochirurgický generátor"/>
        <s v="Spinální implantáty"/>
        <s v="Nástroj laparoskopický k přístroji PlasmaJet pro PORGYN"/>
        <s v="Hematologický analyzátor sedimentace erytrocytů"/>
        <s v="Katetr radioablační - svorka bipolární"/>
        <s v="Mobilní úpravna vody na principu reverzní osmózy"/>
        <s v="Kleště ablační pro thorakoskopickou ablaci plicních žil"/>
        <s v="Přenosný elastomerní infuzní systém INFUSOR LV"/>
        <s v="Pozáruční servis imunohistochemického přístroje Ventana"/>
        <s v="Materiál spotřební k harmonickému skalpelu"/>
        <s v="Intervenční kardiologie II."/>
        <s v="Intraorální přístroj s přímou digitalizací II"/>
        <s v="Nástroje chirurgické pro kliniky FNOL VI."/>
        <s v="Tlaková infuzní jednotka"/>
        <s v="Excimerový laser"/>
        <s v="PD – Novostavba budovy P4"/>
        <s v="38. Vodící dráty k vaskulárním neurointervencím"/>
        <s v="LP s obsahem sildenafilu 2022"/>
        <s v="LP s obsahem dexmedetomidinu 2022 II."/>
        <s v="Senzory k měření hemodynamiky"/>
        <s v="Čistíci prostředky a jiné drogistiské zboží 2023"/>
        <s v="Senzory k měření cerebrální oxymetrie "/>
        <s v="Set pro transapikální implantaci biologické mitrální chlopně prasečí "/>
        <s v="Analyzátor otoakustických emisí II"/>
        <s v="Sutura menisku-Kotva na meniskus-souprava"/>
        <s v="Nestabilita kolene - Šroub interferenční vstřebatelný pro rekonstrukci křížového vazu"/>
        <s v="Výroba a montáž nábytku 3/2022"/>
        <s v="Monitory"/>
        <s v="Servis ESSER + C4, NZS-Ero, instalační a montážní práce"/>
        <s v="Senzory k měření cerebrální oxymetrie k systémům INVOS"/>
        <s v="Sekvenování DNA"/>
        <s v="Regály pro OCS"/>
        <s v="Kancelářské potřeby papírové 2023"/>
        <s v="Stanovení glykovaného hemoglobinu s výpůjčkou analyzátoru"/>
        <s v="Elektroforéza proteinů OKB 2022 včetně výpůjčky analyzátorů"/>
        <s v="Diagnostická radiofarmaka"/>
        <s v="Parenterální výživa I."/>
        <s v="Parenterální výživa II."/>
        <s v="Parenterální výživa III."/>
        <s v="Parenterální výživa IV."/>
        <s v="Parenterální výživa V."/>
        <s v="Parenterální výživa VI."/>
        <s v="Pipetovací automat"/>
        <s v="Parenterální výživa VII."/>
        <s v="Zajištění pozáručního servisu IBM zařízení"/>
        <s v="EEG modul pro stávající intraoperační neuromonitoraci"/>
        <s v="Servisní podpora informačního systému transfuzního oddělení"/>
        <s v="Centrifuga"/>
        <s v="Katétr pro dočasnou stimulaci Pacel a zavaděč EF katetrů perkutánní pro dočasnou stimulaci Fastcath"/>
        <s v="Rukavice vyšetřovací nitrilové"/>
        <s v="Katetry BARRX pro radiofrekvenční ablaci při léčbě Barretova jícnu"/>
        <s v="Velkokapacitní forma na čípky"/>
        <s v="Echokardiografický systém"/>
        <s v="Obnovení podpory zálohovacího software Veeam"/>
        <s v="Instrumentárium LigaSure"/>
        <s v="Úprava hygienického zařízení v 2.NP budovy R"/>
        <s v="Systém k endovaskulárnímu zajištění fixace aortálních stentgraftů"/>
        <s v="Monitory vitálních funkcí"/>
        <s v="Servis klíčového depozitu"/>
        <s v="Hadičky spojovací pro infuzní terapi"/>
        <s v="Systém k uzávěru ouška levé síně"/>
        <s v="Centrálně působící sympatomimetika 2023"/>
        <s v="Dezinfekce, mytí a ošetření rukou 2023"/>
        <s v="Dezinfekční přípravky 2023"/>
        <s v="Dezinfekce operačního pole a kůže před vpichem, dezinfekce sliznic 2023"/>
        <s v="Dezinfekční přípravky na podklady, povrchy a předměty 2023"/>
        <s v="Rouškovací sety pro I. Interní kliniku"/>
        <s v="Jiné hormony předního laloku hypofýzy a analoga 2022 - sdružený nákup"/>
        <s v="Antagonisté serotoninových 5TH3 receptorů 2022 - sdružený nákup"/>
        <s v="Stavební úpravy v budově YA"/>
        <s v="Značení radionuklidem pomocí 68Ga"/>
        <s v="Likvidace ostatních odpadů ve FNOL - kuchyň"/>
        <s v="Likvidace ostatních odpadů ve FNOL - papír"/>
        <s v="Likvidace ostatních odpadů ve FNOL - areál FNOL"/>
        <s v="Pozáruční servisní podpory pro zařízení Barracuda Networks "/>
        <s v="PD - Stavební úpravy budovy C – Novorozenecké oddělení"/>
        <s v="PD - Optimalizace dopravního řešení v areálu FN Olomouc"/>
        <s v="Digitální transformace klinických procesů formou nemocničního informačního systému II."/>
        <s v="LP s obsahem tisagenlekleucelu 2023"/>
        <s v="LP s obsahem emicizumabu 2023"/>
        <s v="Jiná hemostatika 2023"/>
        <s v="Systém pro odvod operačních zplodin"/>
        <s v="LP s obsahem pembrolizumabu 2023"/>
        <s v="LP s obsahem desfluranu 2023"/>
        <s v="Myčky"/>
        <s v="Nástroje chirurgické pro kliniky FNOL-obnova a doplnění instrumentária"/>
        <s v="Toaletní papír a papírové ručníky Z-Z 2023"/>
        <s v="Kancelářský papír 2023"/>
        <s v="Laboratorní rozbory vod"/>
        <s v="Oprava unifikovaného shromažďovacího místa Xa v areálu FNOL-II"/>
        <s v="Rouškovací sety pro Neurochirurgickou kliniku"/>
        <s v="Revize vyhrazených elektrických zařízení"/>
        <s v="PD – demolice a novostavba budovy WA v areálu FNOL"/>
        <s v="LP s obsahem pirfenidonu 2023"/>
        <s v="LP s obsahem kladribinu 2023"/>
        <s v="LP s obsahem afliberceptu 2023"/>
        <s v="LP s obsahem dasatinibu 2023"/>
        <s v="LP s obsahem nirmatrelviru/ritonaviru a molnupiraviru 2023 - sdružený nákup"/>
        <s v="29. Stent biliární samoexpandibilní metalický"/>
        <s v="Heliport FNOL - doplňkový požární únik"/>
        <s v="Vyšetřovací jednotky s příslušenstvím"/>
        <s v="Instrumentárium pro miniinvazivní kardiochirurgii (MICS)"/>
        <s v="Nákup sanitních vozidel 2023"/>
        <s v="Renovace bytových jednotek – Etapa III. – budova AYD"/>
        <s v="Poskytování služeb informačního systému pro evidenci a zpracování výsledků vědy a výzkumu"/>
        <s v="Systém sternální fixační titanový"/>
        <s v="Defibrilátory"/>
        <s v="Lupové brýle"/>
        <s v="Měření kotníkových tlaků"/>
        <s v="Myčky obuvi II."/>
        <s v="Kotvičky k ASK operacím - rekonstrukce ramene"/>
        <s v="NOVOSTAVBA HLAVNÍ BUDOVY B A VNITŘNÍ DOSTAVBA NÍZKOPRAHOVÉHO URGENTNÍHO PŘÍJMU"/>
        <s v="Farmaceutická lednice"/>
        <s v="Nábytek na míru - KNM + D1"/>
        <s v="Okludery určené ke katetrizačnímu uzávěru defektu septa síní (ASD) a otevřeného (patentního) foramen ovale (PFO)"/>
        <s v="Okludery určené ke katetrizačnímu uzávěru defektu septa síní (ASD) a otevřeného (patentního) foramen ovale (PFO"/>
        <s v="Sety hadicové irigační pro HAMOU endomat výr. KARL STORZ"/>
        <s v="Přístroj pro spánkovou analýzu"/>
        <s v="Pozáruční servis aktivních prvků"/>
        <s v="Bezdrátový UZV"/>
        <s v="Váhy"/>
        <s v="LP s obsahem fingolimodu"/>
        <s v="KYSELINA AMINOSALICYLOVÁ A PODOBNÉ LÁTKY 2023"/>
        <s v="Laboratorní rozbory vod II"/>
        <s v="Náplně do tiskáren – FN Olomouc"/>
        <s v="Stříkačky ABR"/>
        <s v="Dermatomy"/>
        <s v="Servis hmotnostního spektrometru s plynovým chromatografem"/>
        <s v="Zateplení ubytoven a dětské kliniky FNOL"/>
        <s v="Imunochemická vyšetření s výpůjčkou přístroje"/>
        <s v="Spotřební materiál k Artroskopické věži včetně její výpůjčky"/>
        <s v="Parenterální výživa VIII. 2023"/>
        <s v="Parenterální výživa IX. 2023"/>
        <s v="Čekárenské lavice a konferenční židle - Projekt budovy G, Projekt budovy X"/>
        <s v="Kancelářské židle 2023"/>
        <s v="Regály pro OCS II."/>
        <s v="LP s obsahem lanreotidu 2023"/>
        <s v="LP s obsahem oktreotidu 2023"/>
        <s v="LP s obsahem teriflunomidu 2023"/>
        <s v="LP s obsahem baricitinibu 2023"/>
        <s v="LP s obsahem dabrafenibu 2023"/>
        <s v="Vrtáky kuličkové k vrtačce Midas Rex"/>
        <s v="Poskytování služeb pro analýzu celogenomových dat"/>
        <s v="Dodávka mobilních terminálů"/>
        <s v="Oprava přístupové lávky do objektu L"/>
        <s v="Multivitamínové šumivé tablety 2023"/>
        <s v="Výrobník ledové drtě"/>
        <s v="LP s obsahem sorafenibu pro ca štítné žlázy 2023"/>
        <s v="Nábytek - stavební úpravy  Kliniky neurochirurgie 3.NP – operační sál č.2"/>
        <s v="Servisní podpora úhradového modulu"/>
        <s v="Dodávka televizorů 2023"/>
        <s v="Novostavba budovy B - správce stavby"/>
        <s v="STAVEBNÍ ÚPRAVY NCHIR - OS 2"/>
        <s v="Chladící a mrazící technika"/>
        <s v="Prodloužení platnosti licencí a rozšíření funkcionalit AV a EDR"/>
        <s v="LP s obsahem treprostinilu I. 2023"/>
        <s v="LP s obsahem treprostinilu II. 2023"/>
        <s v="Laserový přístroj a set pro morcelaci a enukleaci prostaty"/>
        <s v="Analyzátor předního segmentu oka"/>
        <s v="Sítnicový laser "/>
        <s v="TEP – Revizní náhrady kolenního kloubu "/>
        <s v="Hemofilie A - Rekombinantní fkator VIII. 2023"/>
        <s v="Imunoglobuliny normální lidské 2023"/>
        <s v="LP s obsahem tixagevimabu a cilgavimabu 2023 - sdružený nákup "/>
        <s v="Dezinfekce sliznic 2023"/>
        <s v="Komplex koagulačních faktorů 2023"/>
        <s v="I. Cholangioskopický matriál k systému SpyGlass DS II."/>
        <s v="Opravy výtahů č. 22,23,24,46,47,49,71,72"/>
        <s v="Laboratorní inkubátor/sušárna"/>
        <s v="Minicentrifuga"/>
        <s v="Laminární box"/>
        <s v="Neviditelná rovnátka"/>
        <s v="Okruhy zvlhčovací včetně výpůjčky zvlhčovačů pro NOVO"/>
        <s v="Ureterorenoskopy jednorázové flexibilní včetně výpůjčky pracovní stanice s monitorem"/>
        <s v="Terapie a prevence von Wilebrandovy choroby 2023"/>
        <s v="Hemofilie B - faktor IX. vyráběný z plasmy 2023"/>
        <s v="Elektromyografický přístroj"/>
        <s v="Ubytování a služby spojené s realizací vzdělávací akce pro vedoucí zaměstnance FN Olomouc"/>
        <s v="Tkáňový procesor"/>
        <s v="Spirometr"/>
        <s v="Modernizace vyšetřoven centra neinvazivních metod I. interní kliniky v budově D2"/>
        <s v="Dokumentační systém"/>
        <s v="Mikroskopy"/>
        <s v="Manuální sáňkový mikrotom"/>
        <s v="Přístroj pro spánkovou analýzu II"/>
        <s v="Kardiostimulátory"/>
        <s v="Implantabilní kardiovertery-implantáty"/>
        <s v="EKG holter"/>
        <s v="1. Katétr pro standardní ERCP"/>
        <s v="Klipovací systém pro endoskopické stavění krvácení"/>
        <s v="Kolony imunoadsorpční pro léčebné aferézy pro opakované použití"/>
        <s v="Vybavení pro mikrochirurgii"/>
        <s v="Stavební úpravy budovy E – zázemí a OPS oční a ORL kliniky"/>
        <s v="Stíněné nádoby"/>
        <s v="Izotopový kalibrátor"/>
        <s v="Měřiče povrchové kontaminace "/>
        <s v="Drát vodící hydrofilní PTA/PTCA APT"/>
        <s v="Dezinfektor podložních mís"/>
        <s v="Stavebně-montážní pojištění pro FN Olomouc"/>
        <s v="Záznamník EKG implantabilní BioMonitor III"/>
        <s v="Dodávka serverů, rozšíření kapacit a dodávka expanzí diskových polí pro informační systémy"/>
        <s v="Sfinkterotom ( papilotom) trojlumenný endoskopický"/>
        <s v="Parní sterilizátory"/>
        <s v="LP s obsahem ranibizumabu 2023"/>
        <s v="LP s obsahem etanerceptu 2023"/>
        <s v="Endoskopie"/>
        <s v="Čistící a dezinfekční přípravky pro mycí a dezinfekční automaty flexibilních endoskopů 2023"/>
        <s v="Perorální antidiabetika 2023"/>
        <s v="Hypertonické roztoky 2023"/>
        <s v="LP s obsahem mesalazinu 2023"/>
        <s v="LP s obsahem lidského fibrinogenu 2023"/>
        <s v="Poskytování úklidových služeb II."/>
        <s v="Dewarova nádoba včetně příslušenství"/>
        <s v="Dodávka mobilních terminálů II."/>
        <s v="Drát vodící endoskopický pro ERCP"/>
        <s v="LP s obsahem methylprednisolonu inj"/>
        <s v="Roztoky ovlivňující rovnováhu elektrolytů I. 2023"/>
        <s v="Roztoky ovlivňující rovnováhu elektrolytů II. 2023"/>
        <s v="Fyziologické roztoky pro parenterální použití I. 2023"/>
        <s v="Fyziologické roztoky pro parenterální použití II. 2023"/>
        <s v="Vyšetření array komparativní genomová hybridizace (arrayCGH) s výpůjčkou přístroje"/>
        <s v="Vyšetření infekčních markerů u dárců krve s výpůjčkou"/>
        <s v="Rehabilitační pomůcky"/>
        <s v="Uzávěr dezinfekční k bezjehlovému vstupu se 70% IPA"/>
        <s v="II. Cholangioskopický materiál k Systému SpyGlass DS II"/>
        <s v="EKG 2023"/>
        <s v="LP s obsahem golimumabu  2023"/>
        <s v="LP s obsahem certolizumab pegolu  2023"/>
        <s v="Provádění BTK ZNJ výrobců Daniševský, GCE, MZ Liberec, Dräger"/>
        <s v="Implementace klinického protokolu"/>
        <s v="Rekonstrukce plotů, bran a opěrných zídek na ulici Hněvotínská a Jana Zrzavého"/>
        <s v="Stolní počítače FNOL 2023"/>
        <s v="LP s obsahem karfilzomibu 2023"/>
        <s v="Servisní podpora lékárenského informačního systému"/>
        <s v="Stříkačky předplněné sterilním 0,9% NaCl - sdružený nákup"/>
        <s v="Lamela rohovková pro DMEK-PDMEK manuálně preparovaná "/>
        <s v="Vrtací a pilové soupravy "/>
        <s v="Stavební úpravy v 1.PP– budova Q3 "/>
        <s v="Stavební úpravy v 1.NP – budova R2"/>
        <s v="Skartace - likvidace dokumentů a ostatních nosičů dat informací"/>
        <s v="Ultrazvukové systémy"/>
        <s v="Vodorozpustné isoosmolární nefrotropní rtg-kontrastní látky"/>
        <s v="Kukla operační k helmě TotalShield"/>
        <s v="Sety bezpečnostní pro gravitační a přetlakovou infuzi k pumpám Spaceplus "/>
        <s v="Rekonstrukce bytových jednotek v budově YA"/>
        <s v="Lehátka"/>
        <s v="Chladící a mrazící technika II"/>
        <s v="Modul pro odparafinování a odmaskování epitopů"/>
        <s v="Oprava střešní lávky budova D2"/>
        <s v="Oprava střešního pláště budova X"/>
        <s v="Nástroje chirurgické pro COSS "/>
        <s v="Nerezová skříň s odvodem toxických výparů"/>
        <s v="Elekro-hydraulický vozík pro zemřelé"/>
        <s v="Stanovení infekčních onemocnění s výpůjčkou POCT přístroje"/>
        <s v="Diagnostika Lymeské borreliózy s výpůjčkou přístroje"/>
        <s v="Renovace bytu v 1.NP budovy AYB1 "/>
        <s v="Dewarova nádoba včetně příslušenství II"/>
        <s v="Videomanagement "/>
        <s v="Sportovně-kulturní akce pro zaměst. FNOl Z vršku do vršku"/>
        <s v="Hydromasážní vana"/>
        <s v="Nástroje pro ORL"/>
        <s v="Přístroj pro měření rychlosti pulzové vlny"/>
        <s v="Podtlaková terapie jednorázová"/>
        <s v="Mobilní sprchovací systém "/>
        <s v="Software pro průtokový cytometr Omnicyt"/>
        <s v="Hadičky spojovací pro infuzní terapii - hadičky Heidelberg"/>
        <s v="Ubytování a služby spojené s realizací odborné akce FN Olomouc – konference XIV. Luklův kardiologický den"/>
        <s v="SÚ budovy Q - ambulance a zázemí dětské kliniky"/>
        <s v="Monitory FNOL 2023"/>
        <s v="Nástroje pro ORL II."/>
        <s v="LP s obsahem elotuzumabu 2023"/>
        <s v="LP s obashem tikagreloru 2023"/>
        <s v="Miska emitní jednorázová"/>
        <s v="Oprava podhledů budova F"/>
        <s v="Servisní podpora lékárenského informačního systému II."/>
        <s v="Vinka alkaloidy a analoga 2023"/>
        <s v="Roztoky pro parenterální použití 2023"/>
        <s v="Reagencie pro NGS sekvenování"/>
        <s v="Diangostika pro sekvenační knihovny"/>
        <s v="LP s obsahem inklisiranu 2023"/>
        <s v="Budova F - výměna podlahové krytiny"/>
        <s v="Kartáček cytologický endoskopický pro ERCP "/>
        <s v="Šatní skříňky plechové - budova F"/>
        <s v="Servis UZ přístrojů výrobce GE Healthcare"/>
        <s v="Nástroje pro ORL III."/>
        <s v="Kanyly intubační endotracheální včetně výpůjčky monitorů"/>
        <s v="Katetry Fogarty"/>
        <s v="Koronární lékové stenty"/>
        <s v="Protézy cévní pletené se stříbrem a antimikrobiální látkou Triclosanem"/>
        <s v="Videolaryngoskop"/>
        <s v="REKONSTRUKCE KANALIZACE U BUDOVY F"/>
        <s v="Sérologická vyšetření infkečních markerů s výpůjčkou"/>
        <s v="LP s obsahem Azacitidinu 2023"/>
        <s v="LP s obsahem posakonazolu 2023"/>
        <s v="Celotělová resuscitační figurína"/>
        <s v="Motomed"/>
        <s v="Modul pro neinvazivní měření tlaku"/>
        <s v="Sprchovací lehátko"/>
        <s v="Kombinovaný přístroj elektroléčba a ultrazvuk"/>
        <s v="LP s obsahem Albuminu 2023"/>
        <s v="Bezvýkopová oprava kanalizace u budovy Q v areálu FNOL"/>
        <s v="Monitory vitální funkcí II."/>
        <s v="Srdeční chlopně a anuloplatické prstence"/>
        <s v="LP s obsahem evolokumabu 2023 "/>
        <s v="LP s obsahem alirokumabu 2023"/>
        <s v="Budova H1-oprava komunikace u nákladní rampy"/>
        <s v="Kontrolní činnost na plynovém stabilním hasicím zařízení"/>
        <s v="Sety pro hygienu dutiny ústní"/>
        <s v="Architektonicko-dispoziční studie – dostavba kardiovaskulárního centra"/>
        <s v="Úprava rozvodů ÚT – budova I – II. Etapa"/>
        <s v="LP s obsahem paklitaxelu 2023"/>
        <s v="LP s obsahem filgrastimu 2023"/>
        <s v="EKG holter - Neurologická klinika"/>
        <s v="Metrologie"/>
        <s v="Sada objektivů včetně revolverového nosiče"/>
        <s v="Rekonstrukce kanalizace u budovy U, R, P, XG a YB"/>
        <s v="SET rouškovací základní STANDARD"/>
        <s v="Rouškovací sety pro KÚČOCH"/>
        <s v="LP s obsahem sotorasibu  2023"/>
        <s v="LP s obsahem filgotinibu 2023"/>
        <s v="Ubytování a služby spojené s realizací odborné akce FN Olomouc – konference Veřejné zakázky ve zdravotnictví"/>
        <s v="Poskytování služeb informačního systému pro genomickou analýzu"/>
        <s v="Novostavba – dílny UTZ"/>
        <s v="Bezpečnostní infrastruktura FNOL"/>
        <s v="Odborné konzultace v projektu: Podpora projektů pro inovační technologie ve zdravotnictví – telemedicína"/>
        <s v="Koordinátor BOZP – zateplení ubytoven a dětské kliniky FNOL"/>
        <s v="Operační stoly"/>
        <s v="Motomed II"/>
        <s v="Košík extrakční endoskopický"/>
        <s v="CO2 Inkubátor pro Hemato-onkologickou kliniku"/>
        <s v="Centrifuga nechlazená pro Hemato-onkologickou kliniku"/>
        <s v="LP s obsahem izatuximabu 2023"/>
        <s v="Endoskopie II."/>
        <s v="Oscilační pila"/>
        <s v="Polohovací a fixační pomůcky"/>
        <s v="Motodlahy "/>
        <s v="Lehátka II."/>
        <s v="LP s obsahem asciminib 2023"/>
        <s v="Enzymy 2023"/>
        <s v="Nástroje chirurgické pro PCHIR"/>
        <s v="Centrifuga nechlazená (HOK)"/>
        <s v="Nástroje chirurgické pro ORTOP operační sály"/>
        <s v="Sonda ablační Cryoflex"/>
        <s v="Porty veózní implantabilní"/>
        <s v="LP ze skupiny inhalačních sympatomimetik 2023"/>
        <s v="LP s obsahem palonosetronu v kombinaci 2023 - sduržený nákup"/>
        <s v="LP s bosahem sirolimu 2023 - sdružený nákup"/>
        <s v="Drát vodící endoskopický pro ERCP II."/>
        <s v="Výroba a montáž nábytku 3/2023"/>
        <s v="Materiál spotřební k přístroji Babylog VN 500 Drager"/>
        <s v="Kontrola a údržba hasicích přístrojů, kontrola zařízení pro zásobování vodou"/>
        <s v="Univerzální elektrická lůžka"/>
        <s v="Sonda Cysto-Gastro Endo Flex "/>
        <s v="PD - Dostavba a rekonstrukce budovy U"/>
        <s v="LP s obsahem kapmatinibu 2023"/>
        <s v="LP s obsahem tepotinibu 2023"/>
        <s v="Periferně působící myorelaxancia 2023"/>
        <s v="Jiná imunosupresiva 2023"/>
        <s v="Chladící a mrazící technika III"/>
        <s v="Software pro plánování osteotomie v oblasti kolene"/>
        <s v="Nástroje chirurgické pro operační sály ORTOP - rozšíření stávajícího instrumentária"/>
        <s v="Navigované nástroje pro spinální výkony"/>
        <s v="Ultrazvukové systémy II"/>
        <s v="Ergometry"/>
        <s v="Srdeční aortální chlopně mechanické pro nižší hladinu antikoagulace (INR 1,5-2)"/>
        <s v="Vrtací a pilové systémy II."/>
        <s v="Mechanické extraktory srdečních a defibrilačních elektrod včetně fixačního vodiče"/>
        <s v="Sonda Cysto-Gastro "/>
        <s v="Jehly aspirační endosonografické"/>
        <s v="Stavební úpravy 9.NP budovy D2 – uzavření prostoru před výtahy"/>
        <s v="Bezvýkopová oprava havarijní kanalizace areál Hněvotínská ulice (Žlutá hala)"/>
        <s v="LP s obsahem infliximabu 2023"/>
        <s v="LP s obsahem pasireotidu 2023"/>
        <s v="Jiná cytostatika 2023 "/>
        <s v="LP s obsahem methylprednisonu  II. 2023"/>
        <s v="LP s obsahem elotuzumabu II. 2023"/>
        <s v="LP s obsahem imatinibu 2023"/>
        <s v="Kit PSMA 2023"/>
        <s v="Dezinfekce myček endoskopů 2023 II."/>
        <s v="Automatické počítadlo buněk"/>
        <s v="Příslušenství k vrtacímu systému OsseoDuo a OsseoSTAP výr. Bien Air"/>
        <s v="Forma na globule"/>
        <s v="Komunikační systém sestra-pacient, budova S"/>
        <s v="Balónek dilatační pro ERCP"/>
        <s v="Hypertonické roztoky II. 2023"/>
        <s v="Drát vodící endoskopický pro ERCP III."/>
        <s v="Ubytování a služby spojené s realizací odborné akce FN Olomouc – konference Hospital Management"/>
        <s v="Software pro plánování osteotomie v oblasti kolene II"/>
        <s v="Dodávka mycích a oplachovacích prostředků "/>
        <s v="Set pro flexibilní endoskopii FTRD"/>
        <s v="Termotiskárny"/>
        <s v="Kapilární elektroforéza"/>
        <s v="Oprava MaR budova WE"/>
        <s v="Technická opatření proti bakterii Legionella"/>
        <s v="SET rouškovací základní oční STANDARD"/>
        <s v="LP s obsahem brigatinibu 2023 "/>
        <s v="Žlučové kyseliny a deriváty 2023 "/>
        <s v="Kanyla periferní venózní s portem, křidélky a bezpečnostním prvkem "/>
        <s v="Sekvenování malých panelů genů s výpůjčkou sekvenátoru "/>
        <s v="Analýza velkých panelů genů s výpůjčkou sekvenátoru"/>
        <s v="Dodání 2 ks tabletových transportních vozíků"/>
        <s v="Chladící a mrazící technika III. II."/>
        <s v="Insuliny rychle působící 2023"/>
        <s v="LP s obsahem afliberceptu 2023 - sdružený nákup"/>
        <s v="Molekulárně biologické vyšetření u dárců krve a plazmy - NAT s výpůjčkou analyzátoru"/>
        <s v="Oprava střešního pláště budova WE"/>
        <s v="C - rameno"/>
        <s v="Sekundární akviziční stanice (CMS) pro Radiologickou kliniku"/>
        <s v="Ubytování a služby spojené s realizací odborné akce FN Olomouc – konference Hospital Management II"/>
        <s v="Systém pro redukci chirurgického kouře"/>
        <s v="LP s obsahem lurasidonu 2023 - sdružený nákup"/>
        <s v="LP s obsahem vortioxetinu 2023 - sdružený nákup"/>
        <s v="LP s obsahem paliperidonu 2023 - sdružený nákup"/>
        <s v="PD – Novostavba budovy D4"/>
        <s v="Úprava Laboratoří tkáňových kultur"/>
        <s v="Systém k přímé endoskopické nekrosektomii v zažívacím traktu"/>
        <s v="Antikoagulancia 2023"/>
        <s v="Servisní podpora personálního a mzdového informačního systému II."/>
        <s v="Váhy pro Lékárnu"/>
        <s v="LP s obsahem sevofluranu s výpůjčkou odpařovačů 2023"/>
        <s v="Výměna 2 ks dveří ve 4.NP v budově S"/>
        <s v="LP s obsahem tramazolinu 2023 - sdružený nákup"/>
        <s v="LP s obsahem valgancikloviru 2023"/>
        <s v="ICD pro pacienty s vysokým rizikem infekce"/>
        <s v="Materiál spotřební k pupilometru"/>
        <s v="LP s obsahem tezepelumabu  2023"/>
        <s v="Fluoroscenční cellometer "/>
        <s v="LP s o bsahem dasatinibu II. 2023"/>
        <s v="Roztoky ovlivňující rovnováhu elektrolytů III. 2023"/>
        <s v="Inkubátor"/>
        <s v="LP s obsahem tildrakizumabu 2023 - sdružený nákup"/>
        <s v="Výměna vstupních dveří do budovy D1"/>
        <s v="PD-stavební úpravy budovy ZH1"/>
        <s v="Dezinfekce kůže a operačního pole s obsahem PVP - jódu  2023"/>
        <s v="LP s obsahem ozanimodu 2023 - sdružený nákup"/>
        <s v="Balónek extrakční trojlumenný"/>
        <s v="Jehly aspirační endosonografické II"/>
        <s v="LP s obsahem lidského fibrinogenu II. 2023"/>
        <s v="LP s obsahem abrocitinibu 2023 - sdružený nákup"/>
        <s v="Terapie a prevence von Willebrandovy choroby 2023 II."/>
        <s v="Rekonstrukce kanalizace u budov S, WD, WF, WJ, kotelny, F"/>
        <s v="Dodávka reagencií s výpůjčkou analyzátoru pro stratifikaci pacientů URGENTu"/>
        <s v="Kryochirurgický přístroj s příslušenstvím pro Oční kliniku "/>
        <s v="Enteroskopie"/>
        <s v="Renovace bytových jednotek – Etapa IV. – budova AYD"/>
        <s v="Provoz multimediálních obrazovek ve FNOL"/>
        <s v="Pronájem prostor - ples FNOL 2024"/>
        <s v="EKG holter - Ambulance aktivního zdraví"/>
        <s v="Tromboelestograf"/>
        <s v="Sety ke katetrizační korekci trikuspidální regurgitace"/>
        <s v="Krytí intravenózních vstupů transparentní s chlorhexidin glukonátem"/>
        <s v="Rozšíření a obnovení podpory zálohovacího software IBM Storage Protect Extended Edition"/>
        <s v="Stavební úpravy objektu J3 – KNM – Lůžkové oddělení"/>
        <s v="Váhy pro Lékárnu II"/>
        <s v="Výměna dvojice dveří – JIP Novovrozenecké odd. budova C"/>
        <s v="Oprava havarijních poklopů na radiační nádrže ČOV ve FNOL"/>
        <s v="LP s obsahem trabektedinu 2023"/>
        <s v="LP s obsahem ibuprofenu 2023"/>
        <s v="Oscilační pila II."/>
        <s v="Genetický analyzátor pro sekvenování nové generace (NGS) kompaktního formátu"/>
        <s v="Lékárenský robot"/>
        <s v="Systém k přímé endoskopické nekrosektomii v zažívacím traktu II"/>
        <s v="Chladící a mrazící zařízení IV."/>
        <s v="PD-stavební úpravy budovy ZH1-II"/>
        <s v="Mobilní ultrazvuk"/>
        <s v="Skříň s odtahem pro chemické látky"/>
        <s v="Rekonstrukce bytových jednotek v budově YA-Etapa II"/>
        <s v="LP s ATC skupinou L04AC02 a L01BB04 2023"/>
        <s v="LP s obsahem selexipagu 2023"/>
        <s v="Celotělový analyzátor"/>
        <s v="Stavební úpravy budovy YA - sanace vlhkosti spodní stavby"/>
        <s v="Metrologie - Kalibrace a validace monitorovacího systému ConWin"/>
        <s v="Materiál spotřební k systému pro redukci chirurgického kouře (robotické operace)"/>
        <s v="TEP – Revizní náhrady kolenního kloubu II."/>
        <s v="LP s obsahem ixekizumabu 2023"/>
        <s v="LP s obsahem okrelizumabu 2023"/>
        <s v="Stavební úpravy - dopravní oddělení (Žlutá hala)"/>
        <s v="Kryo-ablační přístroj"/>
        <s v="Opravy výtahů č.73,74,75"/>
        <s v="Stavební úpravy budovy WE"/>
        <s v="Servis hematoonkologického analyzátoru"/>
        <s v="Kontrola provozuschopnosti a údržba požárních uzávěrů vzduchotechnických zařízení a ventilačních systémů"/>
        <s v="Objektiv k vyhledávači metafer"/>
        <s v="STAVEBNÍ ÚPRAVY BUDOVY C – NOVOROZENECKÉ ODDĚLENÍ"/>
        <s v="Koncentrát dialyzační kyselý pro bikarbonátovoun dialýzu"/>
        <s v="Komplex koagulačních faktorů II. 2023"/>
        <s v="Enterální výživa II. 2023"/>
        <s v="Enterální výživa I. 2023"/>
        <s v="Lehátka pro odd. rehabilitace II"/>
        <s v="Kancelářské zařízení pro kopírování, skenování a tisk dokumentů "/>
        <s v="Imunoglobuliny normální lidské s výpůjčkou pump 2023"/>
        <s v="Tiskárny FNOL "/>
        <s v="Andexanet alfa 2023"/>
        <s v="Imunoglobuliny pro intravaskulární podání 2023"/>
        <s v="Set sací a irigační pro laparo pumpu"/>
        <s v="Integrační server pro výměnu dat služeb integrované péče v Ol. kraji"/>
        <s v="Kapsle enteroskopická zobrazovací k systému enteroskopickému výr. GIVEN IMAGING Ltd."/>
        <s v="Defibrilátory II."/>
        <s v="Kardioangiografický systém"/>
        <s v="Sada pro uzavírání femorálních cév"/>
        <s v="Sérologická vyšetření infekčních markerů s výpůjčkou II."/>
        <s v="Inzulíny 2023"/>
        <s v="Protézy cévní Gelweave Valsalva"/>
        <s v="Kompresní zařízení pro zastavení krvácení po perkutánních výkonech na radiálních tepnách"/>
        <s v="Catering na ples FN Olomouc 2024"/>
        <s v="IPL – zdroj intenzivního širokopásmového pulsního světla"/>
        <s v="Rozvěrač pro TEP v poloze na zádech"/>
        <s v="Digitální dermatoskopy"/>
        <s v="Aspirační katétry intrakraniální k aspirační trombektomii tepen mozkového povodí"/>
        <s v="Endoskopie III"/>
        <s v="Dodávky tiskáren II"/>
        <s v="Dynamický nákupní systém na dodávky léčivých přípravků"/>
        <s v="PD - Stavební úpravy budovy C – porodní sály"/>
        <s v="Servisní podpora personálního a mzdového informačního systému III."/>
        <s v="Nerezový mobiliář 2023"/>
        <s v="Antibakteriální léčiva pro systémovou aplikaci IV. 2023"/>
        <s v="Antibakteriální léčiva pro systémovou aplikaci I. 2023"/>
        <s v="Antibakteriální léčiva pro systémovou aplikaci II. 2023"/>
        <s v="Souprava na odběr deleukotizovaných erytrocytárních TP na separátoru Haemonetics MCS+"/>
        <s v="Antibakteriální léčiva pro systémovou aplikaci III. 2023"/>
        <s v="Transportní monitor vitálních funkcí"/>
        <s v="Jiná antimykotika pro systémovou aplikaci 2023"/>
        <s v="Novostavba budovy P4"/>
        <s v="Extrakty alergenů 2023"/>
        <s v="Nukleosidy a nukleotidy 2023"/>
        <s v="Integrační server pro výměnu dat služeb integrované péče v Ol. kraji II"/>
        <m/>
        <s v="Balónek dilatační jícnový pro ERCP" u="1"/>
        <s v="Desinfekce myček endoskopů 2023" u="1"/>
        <s v="Dezinfekční přípravky na podklay, povrchy a předměty 202" u="1"/>
        <s v=" Systém k přímé endoskopické nekrosektomii v zažívacím traktu" u="1"/>
        <s v="Výroba a montáž nábytku 1/2023" u="1"/>
        <s v="Roztoky ovlivňující rovnováhuá elektrolytů III. 2023" u="1"/>
        <s v="Rouškovací sety pro POR-GYN kliniku" u="1"/>
        <s v="Systém digitálního zobrazovacího zařízení ve FNOL" u="1"/>
        <s v="Balónek dilatační biliární pro ERCP" u="1"/>
        <s v="R03AK LP ze skupiny inhalačních sympatomimetik 2023 II" u="1"/>
        <s v="LP s obsahem mesalazinu 2022" u="1"/>
        <s v="LP s obsahem triflunomidu 2023" u="1"/>
        <s v="LP s obsahem methylprednisonu 2023" u="1"/>
        <s v="Srdeční aortální chlopně mechanické pro nižší hladinu antikoagulace (INR 1,5-2) – opakovaná VZ" u="1"/>
        <s v="Dezinfekce kůže a operačního pole 2023" u="1"/>
        <s v="Oprava rozvodu a zajištění tlaku v rozvodech studené vody v areálu FNOL II" u="1"/>
        <s v="Spinální implatntáty" u="1"/>
        <s v="Modernizace automyčky ve FNOL" u="1"/>
        <s v="Dodávky televizorů 2023" u="1"/>
        <s v="Rouškovací sety pro Ortopedickou kliniku" u="1"/>
        <s v="Mísící zařízení" u="1"/>
        <s v="KYSELINA AMINOSALICYLOVÁ A PODOBNÉ LÁTKY 2022" u="1"/>
        <s v="Zajištění živého přenosu konference XIV. Luklův kardiologický den vč. výkonů z operačních sálů" u="1"/>
        <s v="Optimalizace dopravního řešení – část 1" u="1"/>
        <s v="Mukolytika 2023" u="1"/>
        <s v="Mukolytika 2024" u="1"/>
        <s v="Oprava automyčky ve FNOL" u="1"/>
        <s v="Nástroje chirurgické pro COSS - specifikováno dle katalogu OLYMPUS CZECH GROUP, S.R.O., ČLEN KONCERNU" u="1"/>
        <s v="Digitální dermatoskop" u="1"/>
        <s v="Nemocniční standardní lůžka" u="1"/>
        <s v="Svářečky II." u="1"/>
      </sharedItems>
    </cacheField>
    <cacheField name="Část" numFmtId="0">
      <sharedItems containsString="0" containsBlank="1" containsNumber="1" containsInteger="1" minValue="1" maxValue="13"/>
    </cacheField>
    <cacheField name="Název části VZ" numFmtId="0">
      <sharedItems containsBlank="1" longText="1"/>
    </cacheField>
    <cacheField name="Stav VZ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609" maxValue="3495000000"/>
    </cacheField>
    <cacheField name="Druh VZ" numFmtId="0">
      <sharedItems containsBlank="1" count="7">
        <s v="OŘ"/>
        <s v="ZPŘ"/>
        <s v="VZMR"/>
        <s v="UŘ"/>
        <m/>
        <s v="DNS - UŘ" u="1"/>
        <s v="DNS" u="1"/>
      </sharedItems>
    </cacheField>
    <cacheField name="VZ vypsaná dne" numFmtId="0">
      <sharedItems containsNonDate="0" containsDate="1" containsString="0" containsBlank="1" minDate="2022-04-11T00:00:00" maxDate="2023-12-29T00:00:00"/>
    </cacheField>
    <cacheField name="Lhůta pro podání nabídek" numFmtId="0">
      <sharedItems containsNonDate="0" containsDate="1" containsString="0" containsBlank="1" minDate="2022-07-20T00:00:00" maxDate="2024-06-08T00:00:00"/>
    </cacheField>
    <cacheField name="Datum vyhodnocení VZ" numFmtId="0">
      <sharedItems containsDate="1" containsBlank="1" containsMixedTypes="1" minDate="2022-09-19T00:00:00" maxDate="2024-06-26T00:00:00"/>
    </cacheField>
    <cacheField name="Dodavatel / u zrušených stávající dodavatel" numFmtId="0">
      <sharedItems containsBlank="1"/>
    </cacheField>
    <cacheField name="postup po zrušení" numFmtId="0">
      <sharedItems containsBlank="1"/>
    </cacheField>
    <cacheField name="Vítězná cena bez DPH" numFmtId="44">
      <sharedItems containsBlank="1" containsMixedTypes="1" containsNumber="1" minValue="467.82" maxValue="3479900000"/>
    </cacheField>
    <cacheField name="Vítězná cena s DPH" numFmtId="44">
      <sharedItems containsBlank="1" containsMixedTypes="1" containsNumber="1" minValue="523.96" maxValue="4210679000"/>
    </cacheField>
    <cacheField name="Léčiva - Kód SUKL" numFmtId="49">
      <sharedItems containsNonDate="0" containsString="0" containsBlank="1"/>
    </cacheField>
    <cacheField name="Léčiva - Název přípravku" numFmtId="49">
      <sharedItems containsNonDate="0" containsString="0" containsBlank="1"/>
    </cacheField>
    <cacheField name="Léčiva - Výrobce" numFmtId="49">
      <sharedItems containsNonDate="0" containsString="0" containsBlank="1"/>
    </cacheField>
    <cacheField name="Datum předání smlouvy do WF" numFmtId="0">
      <sharedItems containsNonDate="0" containsDate="1" containsString="0" containsBlank="1" minDate="2022-09-19T00:00:00" maxDate="2024-06-27T00:00:00"/>
    </cacheField>
    <cacheField name="Číslo smlouvy z WF" numFmtId="44">
      <sharedItems containsBlank="1"/>
    </cacheField>
    <cacheField name="Smlouva podepsána" numFmtId="0">
      <sharedItems containsNonDate="0" containsDate="1" containsString="0" containsBlank="1" minDate="2023-01-02T00:00:00" maxDate="2028-04-05T00:00:00" count="202">
        <d v="2023-03-07T00:00:00"/>
        <d v="2023-03-06T00:00:00"/>
        <d v="2023-03-22T00:00:00"/>
        <d v="2023-03-30T00:00:00"/>
        <d v="2023-02-01T00:00:00"/>
        <d v="2023-01-10T00:00:00"/>
        <d v="2023-02-06T00:00:00"/>
        <d v="2023-02-13T00:00:00"/>
        <d v="2023-02-08T00:00:00"/>
        <d v="2023-01-13T00:00:00"/>
        <m/>
        <d v="2023-01-20T00:00:00"/>
        <d v="2023-02-03T00:00:00"/>
        <d v="2023-01-26T00:00:00"/>
        <d v="2023-01-03T00:00:00"/>
        <d v="2023-01-23T00:00:00"/>
        <d v="2023-02-27T00:00:00"/>
        <d v="2023-01-09T00:00:00"/>
        <d v="2023-06-01T00:00:00"/>
        <d v="2023-04-06T00:00:00"/>
        <d v="2023-01-27T00:00:00"/>
        <d v="2023-03-20T00:00:00"/>
        <d v="2023-04-14T00:00:00"/>
        <d v="2023-01-04T00:00:00"/>
        <d v="2023-01-18T00:00:00"/>
        <d v="2023-02-09T00:00:00"/>
        <d v="2023-01-31T00:00:00"/>
        <d v="2023-05-19T00:00:00"/>
        <d v="2023-02-14T00:00:00"/>
        <d v="2023-02-20T00:00:00"/>
        <d v="2023-01-16T00:00:00"/>
        <d v="2023-02-23T00:00:00"/>
        <d v="2023-04-28T00:00:00"/>
        <d v="2023-04-26T00:00:00"/>
        <d v="2023-01-12T00:00:00"/>
        <d v="2023-02-24T00:00:00"/>
        <d v="2023-05-10T00:00:00"/>
        <d v="2023-01-06T00:00:00"/>
        <d v="2023-01-25T00:00:00"/>
        <d v="2023-03-28T00:00:00"/>
        <d v="2023-04-24T00:00:00"/>
        <d v="2023-03-14T00:00:00"/>
        <d v="2023-05-05T00:00:00"/>
        <d v="2023-02-22T00:00:00"/>
        <d v="2023-02-28T00:00:00"/>
        <d v="2023-01-02T00:00:00"/>
        <d v="2023-04-11T00:00:00"/>
        <d v="2023-03-13T00:00:00"/>
        <d v="2023-03-09T00:00:00"/>
        <d v="2023-04-03T00:00:00"/>
        <d v="2023-03-29T00:00:00"/>
        <d v="2023-03-21T00:00:00"/>
        <d v="2023-05-17T00:00:00"/>
        <d v="2023-05-03T00:00:00"/>
        <d v="2023-03-31T00:00:00"/>
        <d v="2023-03-02T00:00:00"/>
        <d v="2023-02-17T00:00:00"/>
        <d v="2023-01-30T00:00:00"/>
        <d v="2023-07-19T00:00:00"/>
        <d v="2023-06-06T00:00:00"/>
        <d v="2023-09-06T00:00:00"/>
        <d v="2023-07-31T00:00:00"/>
        <d v="2023-06-09T00:00:00"/>
        <d v="2023-04-25T00:00:00"/>
        <d v="2023-02-15T00:00:00"/>
        <d v="2023-02-10T00:00:00"/>
        <d v="2023-05-24T00:00:00"/>
        <d v="2023-05-29T00:00:00"/>
        <d v="2023-12-13T00:00:00"/>
        <d v="2023-11-28T00:00:00"/>
        <d v="2023-11-21T00:00:00"/>
        <d v="2024-05-07T00:00:00"/>
        <d v="2023-08-09T00:00:00"/>
        <d v="2023-08-15T00:00:00"/>
        <d v="2023-05-18T00:00:00"/>
        <d v="2023-06-19T00:00:00"/>
        <d v="2023-05-30T00:00:00"/>
        <d v="2023-03-08T00:00:00"/>
        <d v="2023-03-23T00:00:00"/>
        <d v="2023-10-11T00:00:00"/>
        <d v="2023-06-13T00:00:00"/>
        <d v="2023-06-07T00:00:00"/>
        <d v="2023-06-30T00:00:00"/>
        <d v="2023-09-19T00:00:00"/>
        <d v="2023-05-22T00:00:00"/>
        <d v="2023-07-11T00:00:00"/>
        <d v="2023-06-05T00:00:00"/>
        <d v="2023-09-08T00:00:00"/>
        <d v="2023-06-02T00:00:00"/>
        <d v="2023-05-02T00:00:00"/>
        <d v="2023-06-20T00:00:00"/>
        <d v="2024-01-09T00:00:00"/>
        <d v="2023-08-07T00:00:00"/>
        <d v="2023-08-01T00:00:00"/>
        <d v="2023-05-26T00:00:00"/>
        <d v="2023-07-13T00:00:00"/>
        <d v="2023-05-11T00:00:00"/>
        <d v="2023-08-11T00:00:00"/>
        <d v="2023-05-09T00:00:00"/>
        <d v="2023-06-28T00:00:00"/>
        <d v="2023-08-31T00:00:00"/>
        <d v="2023-09-04T00:00:00"/>
        <d v="2023-08-28T00:00:00"/>
        <d v="2023-07-14T00:00:00"/>
        <d v="2023-10-25T00:00:00"/>
        <d v="2023-05-25T00:00:00"/>
        <d v="2023-06-14T00:00:00"/>
        <d v="2023-12-04T00:00:00"/>
        <d v="2023-10-24T00:00:00"/>
        <d v="2023-07-18T00:00:00"/>
        <d v="2023-07-10T00:00:00"/>
        <d v="2023-07-21T00:00:00"/>
        <d v="2023-06-23T00:00:00"/>
        <d v="2023-09-14T00:00:00"/>
        <d v="2023-09-13T00:00:00"/>
        <d v="2023-07-24T00:00:00"/>
        <d v="2023-10-31T00:00:00"/>
        <d v="2023-11-24T00:00:00"/>
        <d v="2024-01-19T00:00:00"/>
        <d v="2023-10-04T00:00:00"/>
        <d v="2023-07-28T00:00:00"/>
        <d v="2023-09-05T00:00:00"/>
        <d v="2023-08-22T00:00:00"/>
        <d v="2023-09-01T00:00:00"/>
        <d v="2023-12-08T00:00:00"/>
        <d v="2023-08-30T00:00:00"/>
        <d v="2023-06-26T00:00:00"/>
        <d v="2023-07-04T00:00:00"/>
        <d v="2023-12-21T00:00:00"/>
        <d v="2024-01-17T00:00:00"/>
        <d v="2024-01-02T00:00:00"/>
        <d v="2023-08-04T00:00:00"/>
        <d v="2023-07-25T00:00:00"/>
        <d v="2023-10-10T00:00:00"/>
        <d v="2023-08-23T00:00:00"/>
        <d v="2023-09-27T00:00:00"/>
        <d v="2023-10-18T00:00:00"/>
        <d v="2023-09-22T00:00:00"/>
        <d v="2023-10-06T00:00:00"/>
        <d v="2023-11-07T00:00:00"/>
        <d v="2023-08-02T00:00:00"/>
        <d v="2023-09-18T00:00:00"/>
        <d v="2023-11-08T00:00:00"/>
        <d v="2023-11-09T00:00:00"/>
        <d v="2023-11-02T00:00:00"/>
        <d v="2023-08-21T00:00:00"/>
        <d v="2023-10-19T00:00:00"/>
        <d v="2023-09-12T00:00:00"/>
        <d v="2023-12-15T00:00:00"/>
        <d v="2023-10-13T00:00:00"/>
        <d v="2024-02-01T00:00:00"/>
        <d v="2024-01-16T00:00:00"/>
        <d v="2024-02-14T00:00:00"/>
        <d v="2023-10-27T00:00:00"/>
        <d v="2023-11-16T00:00:00"/>
        <d v="2024-01-26T00:00:00"/>
        <d v="2023-11-10T00:00:00"/>
        <d v="2024-02-06T00:00:00"/>
        <d v="2023-11-14T00:00:00"/>
        <d v="2023-11-22T00:00:00"/>
        <d v="2023-12-28T00:00:00"/>
        <d v="2024-01-12T00:00:00"/>
        <d v="2023-12-12T00:00:00"/>
        <d v="2023-12-18T00:00:00"/>
        <d v="2023-10-20T00:00:00"/>
        <d v="2023-12-06T00:00:00"/>
        <d v="2023-12-22T00:00:00"/>
        <d v="2023-10-12T00:00:00"/>
        <d v="2024-03-01T00:00:00"/>
        <d v="2023-12-20T00:00:00"/>
        <d v="2024-02-16T00:00:00"/>
        <d v="2023-11-01T00:00:00"/>
        <d v="2023-11-15T00:00:00"/>
        <d v="2024-03-26T00:00:00"/>
        <d v="2024-05-03T00:00:00"/>
        <d v="2024-01-22T00:00:00"/>
        <d v="2024-03-15T00:00:00"/>
        <d v="2024-04-04T00:00:00"/>
        <d v="2024-02-09T00:00:00"/>
        <d v="2024-01-24T00:00:00"/>
        <d v="2024-03-13T00:00:00"/>
        <d v="2024-04-23T00:00:00"/>
        <d v="2024-02-20T00:00:00"/>
        <d v="2024-01-31T00:00:00"/>
        <d v="2024-01-10T00:00:00"/>
        <d v="2024-03-06T00:00:00"/>
        <d v="2024-01-04T00:00:00"/>
        <d v="2024-04-16T00:00:00"/>
        <d v="2024-04-30T00:00:00"/>
        <d v="2024-05-17T00:00:00"/>
        <d v="2024-01-30T00:00:00"/>
        <d v="2024-03-27T00:00:00"/>
        <d v="2024-03-19T00:00:00"/>
        <d v="2024-02-08T00:00:00"/>
        <d v="2024-01-25T00:00:00"/>
        <d v="2023-12-19T00:00:00"/>
        <d v="2024-05-28T00:00:00"/>
        <d v="2024-03-12T00:00:00"/>
        <d v="2024-04-02T00:00:00"/>
        <d v="2024-03-11T00:00:00"/>
        <d v="2024-03-14T00:00:00" u="1"/>
        <d v="2028-04-04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747685" createdVersion="6" refreshedVersion="6" minRefreshableVersion="3" recordCount="761" xr:uid="{2FEBA7A5-62F4-4E1B-8B37-F3AB363A7BAC}">
  <cacheSource type="worksheet">
    <worksheetSource ref="A8:R769" sheet="Doby etap"/>
  </cacheSource>
  <cacheFields count="18">
    <cacheField name="Datum předání na OVZ" numFmtId="0">
      <sharedItems containsDate="1" containsBlank="1" containsMixedTypes="1" minDate="2020-07-13T00:00:00" maxDate="2021-12-14T00:00:00"/>
    </cacheField>
    <cacheField name="Interní evidenční číslo" numFmtId="0">
      <sharedItems/>
    </cacheField>
    <cacheField name="Zadáv. prac." numFmtId="0">
      <sharedItems count="21">
        <s v="LÉK"/>
        <s v="ZT"/>
        <s v="ZM"/>
        <s v="INV"/>
        <s v="ENERG"/>
        <s v="INF"/>
        <s v="SERVIS"/>
        <s v="KIPE"/>
        <s v="OSB"/>
        <s v="EKOLOG"/>
        <s v="VŠEOB"/>
        <s v="REACT"/>
        <s v="KONTR."/>
        <s v="KVAL"/>
        <s v="MARKET"/>
        <s v="OEF"/>
        <s v="SHAPES"/>
        <s v="KRIZE"/>
        <s v="KVALITA"/>
        <s v="DOPR"/>
        <s v="PERS"/>
      </sharedItems>
    </cacheField>
    <cacheField name="Předpokládaná hodnota VZ bez DPH" numFmtId="44">
      <sharedItems containsSemiMixedTypes="0" containsString="0" containsNumber="1" minValue="11880" maxValue="431388000"/>
    </cacheField>
    <cacheField name="Druh VZ" numFmtId="0">
      <sharedItems count="3">
        <s v="OŘ"/>
        <s v="ZPŘ"/>
        <s v="VZMR"/>
      </sharedItems>
    </cacheField>
    <cacheField name="VZ vypsaná dne" numFmtId="0">
      <sharedItems containsNonDate="0" containsDate="1" containsString="0" containsBlank="1" minDate="2020-01-31T00:00:00" maxDate="2021-12-24T00:00:00"/>
    </cacheField>
    <cacheField name="Lhůta pro podání nabídek" numFmtId="0">
      <sharedItems containsNonDate="0" containsDate="1" containsString="0" containsBlank="1" minDate="2020-04-09T00:00:00" maxDate="2022-02-16T00:00:00"/>
    </cacheField>
    <cacheField name="Datum vyhodnocení VZ" numFmtId="0">
      <sharedItems containsDate="1" containsBlank="1" containsMixedTypes="1" minDate="2020-02-12T00:00:00" maxDate="2021-12-24T00:00:00"/>
    </cacheField>
    <cacheField name="Léčiva - Kód SUKL" numFmtId="49">
      <sharedItems containsNonDate="0" containsString="0" containsBlank="1"/>
    </cacheField>
    <cacheField name="Léčiva - Název přípravku" numFmtId="49">
      <sharedItems containsNonDate="0" containsString="0" containsBlank="1"/>
    </cacheField>
    <cacheField name="Léčiva - Výrobce" numFmtId="49">
      <sharedItems containsNonDate="0" containsString="0" containsBlank="1"/>
    </cacheField>
    <cacheField name="Datum předání smlouvy do WF" numFmtId="0">
      <sharedItems containsNonDate="0" containsDate="1" containsString="0" containsBlank="1" minDate="2020-02-15T00:00:00" maxDate="2021-12-24T00:00:00"/>
    </cacheField>
    <cacheField name="Smlouva podepsána" numFmtId="0">
      <sharedItems containsNonDate="0" containsDate="1" containsString="0" containsBlank="1" minDate="2020-12-28T00:00:00" maxDate="2022-01-01T00:00:00"/>
    </cacheField>
    <cacheField name="Doba od obdržení podkladů pro vypsání" numFmtId="1">
      <sharedItems containsBlank="1" containsMixedTypes="1" containsNumber="1" containsInteger="1" minValue="0" maxValue="114"/>
    </cacheField>
    <cacheField name="Doba od vypsání po nabídky" numFmtId="1">
      <sharedItems containsString="0" containsBlank="1" containsNumber="1" containsInteger="1" minValue="3" maxValue="125"/>
    </cacheField>
    <cacheField name="Doba od nabídek po vyhodnocení" numFmtId="1">
      <sharedItems containsString="0" containsBlank="1" containsNumber="1" containsInteger="1" minValue="-292" maxValue="265"/>
    </cacheField>
    <cacheField name="Doba od vyhodnocení po uzavření smlouvy" numFmtId="1">
      <sharedItems containsString="0" containsBlank="1" containsNumber="1" containsInteger="1" minValue="0" maxValue="414"/>
    </cacheField>
    <cacheField name="Doba od obdržení podkladů po uzavření smlouvy" numFmtId="1">
      <sharedItems containsString="0" containsBlank="1" containsNumber="1" containsInteger="1" minValue="9" maxValue="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7592596" createdVersion="3" refreshedVersion="6" minRefreshableVersion="3" recordCount="1166" xr:uid="{00000000-000A-0000-FFFF-FFFF0A000000}">
  <cacheSource type="worksheet">
    <worksheetSource ref="A8:AC1269" sheet="VZ-2019"/>
  </cacheSource>
  <cacheFields count="29">
    <cacheField name="Položka plánu VZ " numFmtId="0">
      <sharedItems containsBlank="1"/>
    </cacheField>
    <cacheField name="Datum vyžádání technické specifikace" numFmtId="0">
      <sharedItems containsBlank="1"/>
    </cacheField>
    <cacheField name="Datum předání na OVZ" numFmtId="0">
      <sharedItems containsDate="1" containsBlank="1" containsMixedTypes="1" minDate="2018-06-01T00:00:00" maxDate="2019-12-21T00:00:00"/>
    </cacheField>
    <cacheField name="Interní evidenční číslo" numFmtId="0">
      <sharedItems containsBlank="1"/>
    </cacheField>
    <cacheField name="Zadáv. prac." numFmtId="0">
      <sharedItems containsBlank="1"/>
    </cacheField>
    <cacheField name="Osoba pověřená pro zadávací řízení" numFmtId="0">
      <sharedItems containsBlank="1"/>
    </cacheField>
    <cacheField name="Předmět plnění - název zakázky" numFmtId="0">
      <sharedItems containsBlank="1" count="622">
        <s v="Intervenční kardiologie"/>
        <s v="Totální endoprotézy"/>
        <s v="Neurostimulační systémy"/>
        <s v="Náplně do tiskáren"/>
        <s v="Srdeční chlopně a anuloplastické prstence"/>
        <s v="IROP – Ventilační a resuscitační technika"/>
        <s v="IROP - Inkubátory"/>
        <s v="Spinální implantáty"/>
        <s v="Rouškovací sety pro ortopedii"/>
        <s v="Revize vyhrazených elektrických zařízení"/>
        <s v="Elektrofyziologie"/>
        <s v="Přístroje pro monitoring životních funkcí plodu"/>
        <s v="Monitory životních a mozkových funkcí"/>
        <s v="Paramagnetické kontrastní látky"/>
        <s v="Přístroje pro plicní ventilaci"/>
        <s v="Mobilní RTG"/>
        <s v="Tromboelastograf"/>
        <s v="Léčivé přípravky s účinnou látkou fentanyl - citrát 2018"/>
        <s v="Katetrizační systém ke katetrizační korekci mitrálni regurgitace – Systém MitraClip kit"/>
        <s v="Sonda ablační Cryoflex "/>
        <s v="Somatropin"/>
        <s v="Léčivé přípravky pro léčbu plicní arteriální hypertenze"/>
        <s v="Interferony 2018"/>
        <s v="Antivirotika pro systémovou aplikaci-antihepatitidová"/>
        <s v="Anestetika celková-halogenované uhlovodíky"/>
        <s v="Materiál spotřební k harmonickému skalpelu"/>
        <s v="Realizace parkoviště pod Dětskou klinikou a u lékárny"/>
        <s v="Stříkačky proplachovací předplněné fyziologickým roztokem"/>
        <s v="Radiální endosonografie"/>
        <s v="Pomůcky polohovací a antidekubitní"/>
        <s v="Novostavba pavilonu HOK - Olomouc"/>
        <s v="Komplexní servis prádla pro FN Olomouc"/>
        <s v="Mycí a oplachová chemie do profesionálních mycích strojů pro kuchyň"/>
        <s v="Přístupový systém pro výtah č.75"/>
        <s v="Senzory k měření cerebrální oxymetrie"/>
        <s v="Transientní elastograf"/>
        <s v="Mikro-ultrazvukový přístroj pro navigaci biopsie prostaty"/>
        <s v="Kapilární hemodialyzátory 2018"/>
        <s v="Kalibrace a validace měřidel a zařízení 2019"/>
        <s v="Odstranění závad z revize medicinálních plynů, budova S2"/>
        <s v="Operační mikroskop"/>
        <s v="Radiofarmakum fludeoxyglukóza 18F"/>
        <s v="Čočky nitrooční"/>
        <s v="Macerátory"/>
        <s v="Lokální hemostatika a parenterální přípravky s obsahem železa"/>
        <s v="Digitální dermatoskop s celotělovým skenerem"/>
        <s v="Chladící a mrazící zařízení"/>
        <s v="LP s obsahem účinné látky alteplasa, degarelix-acetát, abirateron-acetát"/>
        <s v="Rekonstrukce zákrokového sálu ortopedie"/>
        <s v="Toaletní papír a papírové ručníky Z-Z"/>
        <s v="Jiná systémová hemostatika a látky tvořící cheláty se železem"/>
        <s v="Výměna protipožárních dveří v budově L na TO a HOK"/>
        <s v="Monoklonální protilátky s obsahem účinné látky rituximab"/>
        <s v="Senzory k měření hemodynamiky II"/>
        <s v="Chlazení boxů na patologii"/>
        <s v="Ověřovací studie PD &quot;Rekonstrukce a dostavba hlavní budovy FJ&quot;"/>
        <s v="Ergonomické osvětlení operačních sálů"/>
        <s v="Diagnostika a spotřební materiál pro vyšetřní presepsinu se zápůjčkou analyzátoru"/>
        <s v="Medicinální a technické plyny"/>
        <s v="Zřízení ovládání výtahů č.74,75 do systému Duplex"/>
        <s v="Servisní podpora IS eKLIN/ePOST II."/>
        <s v="Kancelářský papír"/>
        <s v="Flexibilní ureteroskopy a cystoskop"/>
        <s v="Konektor bezjehlovy"/>
        <s v="Servisní podpora IS pro plánování, objednávání a dokumentaci chemoterapií a gavemetrickou přípravu medikací s obsahme cytostatik"/>
        <s v="Instrumentaria"/>
        <s v="Kalibrace a validace měřidel a zařízení II.2019"/>
        <s v="Výroba a montáž nábytku 1/2019"/>
        <s v="Chladící zařízení"/>
        <s v="Zařízení lavážní pro HIPEC"/>
        <s v="Flexibilní ureteroskopy a cystoskop II."/>
        <s v="Komplexní servis MaR a EBI, Arena, Energy Vision"/>
        <s v="Zřízení ovládání výtahů č.74,75 do systému Duplex II."/>
        <s v="Centrálně působící sympatomimetika, antagonisté alfa - adrenergních receptorů, hořčík a léčivé přípravky s obsahem teriparatidu"/>
        <s v="Analoga pyrimidinu"/>
        <s v="Specifické imunoglobuliny"/>
        <s v="Statické zajištění budovy RZA - šatny a sklady"/>
        <s v="Stoly operační a zákrokové"/>
        <s v="Novorozenecké postýlky"/>
        <s v="Dodávka dectů 2019"/>
        <s v="e-Learning - modul systému pro řízení vzdělávání a školení ve FNOL"/>
        <s v="Kancelářské potřeby 2019"/>
        <s v="Demolice budovy &quot;G&quot; v areálu FN Olomouc"/>
        <s v="Demolice staré vrátnice FNOL z ulice I.P.Pavlova"/>
        <s v="TEP - Revizní náhrady kolenního kloubu"/>
        <s v="Poskytování servisních služeb u přístrojů GE Datex - Ohmeda"/>
        <s v="Přístroj pro řízenou hypotermii"/>
        <s v="Jiné antiparatyreoidální látky 2019"/>
        <s v="Stanovení nukleové kyseliny viru hepatitidy C se zápůjčkou analyzátoru"/>
        <s v="EEG"/>
        <s v="Vyšetřovací a operační rukavice"/>
        <s v="Hadičky spojovací pro infuzní terapii"/>
        <s v="Katetry BARRX pro radiofrekvenční ablaci při léčbě Barretova jícnu"/>
        <s v="Dodávka diagnostických stanic pro RTG"/>
        <s v="Poskytování servisních služeb u přístrojů Miele"/>
        <s v="Malířské a natěračské práce"/>
        <s v="Kapalinový chromatograf / hmotnostní spektrometrie"/>
        <s v="Poskytování servisních služeb u přístrojů Philips"/>
        <s v="Poskytování servisních služeb u přístrojů Dräger"/>
        <s v="Pozáruční podpora systému AGFA IMPAX "/>
        <s v="Rozmrazovač krevní plazmy"/>
        <s v="Ventilační a resuscitační technika - přístroj pro podporu dýchání"/>
        <s v="Křesla, lehátka"/>
        <s v="Elektrokoagulace"/>
        <s v="PD-stavební úpravy objektu &quot;WD&quot; - Stravovací provoz - 1.PP"/>
        <s v="EKG"/>
        <s v="Kompresní zařízení pro zastavení krvácení po perkutánních výkonech na radiálních tepnách"/>
        <s v="Polohovací a antidekubitní pomůcky"/>
        <s v="Stříkačky inflační a Y konektory pro PTCA"/>
        <s v="Odstranění revizních závad na rozvodech medicinálních plynů - budova A"/>
        <s v="Materiál spotřební k tlakovým injektorům ULRICH a Medrad"/>
        <s v="Úprava povrchu stěn operačního sálu"/>
        <s v="PD-Stavební úpravy kliniky neurochirugie-operační sál č.2 v 3NP"/>
        <s v="Servisní podpora IS pro plánování, objednávání a dokumentaci chemoterapií a gavemetrickou přípravu medikací s obsahem cytostatik II.  "/>
        <s v="Dodávky termotiskáren"/>
        <s v="Dodávky notebooků"/>
        <s v="Stolní sterilizátory"/>
        <s v="Prověření nároku na odpočet DPH za období let 2016 a 2017"/>
        <s v="Chlazení vyšetřoven budova M1 a C"/>
        <s v="2. Vodící dráty k vaskulárním intervencím"/>
        <s v="Katetr radioablační pro KCHIR"/>
        <s v="Léčivé přípravky z ATC L04"/>
        <s v="Přenosné přístroje pro defibrilaci "/>
        <s v="Analyzátora otoakustickýh emisí"/>
        <s v="Ikterometr"/>
        <s v="Monitor pro měření hemodynamiky II."/>
        <s v="Servis RTG přístrojů Philips"/>
        <s v="Servisní podpora SW pro navrhování, projektování a simulaci stavby"/>
        <s v="4. Diagnostické katétry"/>
        <s v="3. Pouzdra zaváděcí"/>
        <s v="Ohřívací jednotka"/>
        <s v="Poskytování servisních služeb u přístrojů Gambro"/>
        <s v="Redukční ventily a průtokoměry kyslíku, regulátory podtlaku"/>
        <s v="Tisk nemocničního časopisu"/>
        <s v="Materiál spotřební k tlakovým injektorům ULRICH"/>
        <s v="PD - Meření spotřeby energií v areálu FN Olomouc"/>
        <s v="Úprava povrchu stěn operačního sálu II."/>
        <s v="13. Stentgrafty vaskulární"/>
        <s v="12. Stenty vaskulární"/>
        <s v="5. Mikrokatétry"/>
        <s v="Výroba a montáž nábytku II/2019"/>
        <s v="Optimalizace procesů na operačních sálech"/>
        <s v="Servisní podpora SW pro navrhování, projektování a simulaci stavby II"/>
        <s v="Dodávka kancelářských zařízení pro kopírování, skenování a tisk dokumentů"/>
        <s v="Katetry balónkové intraaortální kontrapulzační"/>
        <s v="Vrtací systém pro rekonstrukční chirurgii"/>
        <s v="Přenosné/bedside EEG a hlavice"/>
        <s v="Antitrombotika 2019"/>
        <s v="Norepinefrin a Enzymové přípravky 2019"/>
        <s v="Cytostatika s obsahem nivolumabu"/>
        <s v="Implementace zákona o kybernetické bezpečnosti a ISMS"/>
        <s v="24. Systémy pro uzavírání tepenných vstupů po perkutánních cévních výkonech"/>
        <s v="21. Mechanické zařízení k extrakci trombů/embolů při ICMP"/>
        <s v="Instalace vyvolávacích systémů"/>
        <s v="Centrifugy"/>
        <s v="VRV chlazení - budova D1 - 6.-8.NP"/>
        <s v="15.a 18. Embolizační spirály"/>
        <s v="17. Flow divertery neurointervenční"/>
        <s v="Triazolové deriváty 2019"/>
        <s v="Antibakteriální léčiva pro systémovou aplikaci I."/>
        <s v="Antibakteriální léčiva pro systémovou aplikaci II."/>
        <s v="Antibakteriální léčiva pro systémovou aplikaci III."/>
        <s v="Štěrbinové lampy"/>
        <s v="14. Stentgrafty aortální"/>
        <s v="Rekonstrukce hygienických zařízení na PORGYN v budově C ve 2NP"/>
        <s v="Poskytování servisních služeb u přístrojů Miele II"/>
        <s v="Medicinální a technické plyny 2019"/>
        <s v="Akumulátorové sestavy vrtačka a oscilační pila pro endoprotetiku"/>
        <s v="Výroba a montáž nábytku III/2019"/>
        <s v="Vyšetření moči se zápůjčkou analyzátorů 2019"/>
        <s v="Protéza cévní Gelweave Valsalva"/>
        <s v="Polohovač a ofuk Blower Mister"/>
        <s v="PODPORA MECHANICKÁ SRDEČNÍ -  CENTRIFUGÁLNÍ PUMPA STOECKERT SPIN"/>
        <s v="Intrakoronární shunty flexibilní"/>
        <s v="Sanitní vozidla"/>
        <s v="Havarijní oprava kanalizace na ulici Profesora Fuky"/>
        <s v="Stabilizátory pro operace srdce bez mimotělního oběhu"/>
        <s v="IROP - Stoly operační II."/>
        <s v="Servis chladící techniky FNOL"/>
        <s v="Oprava MaR - budova A, II. Etapa"/>
        <s v="Monitorovací systém vitálních funkcí FNOL"/>
        <s v="Separátory PCS2 a MCS+ včetně spotřebního materiálu"/>
        <s v="Poskytování servisních služeb u přístroje pro terapeutické dávkování NO"/>
        <s v="Nástroje chirurgické pro operační sály - doplnění sít"/>
        <s v="Kleště bioptické myokardiální"/>
        <s v="Dezinfektor podložních mís"/>
        <s v="Automat pro PCR diagnostiku neuroinfekcí"/>
        <s v="6. Dilatační balónkové katétry vaskulární"/>
        <s v="Sonda jícnová manometrická"/>
        <s v="Poskytování servisních služeb u přístrojů Miele III"/>
        <s v="Krevní vaky a lisy"/>
        <s v="17. Flow divertery neurointervenční II."/>
        <s v="Výměna chladící jednotky v budově C"/>
        <s v="Komplexní monitorační systém pro ECMO"/>
        <s v="16. Tekuté embolizační činidlo"/>
        <s v="Gynekologické vyšetřovací křeslo s příslušenstvím"/>
        <s v="Dezinfektor podložních mís a močových láhví "/>
        <s v="Centrifugální pumpa Stockert Spin"/>
        <s v="Intrakoronární shunty flexibilní II."/>
        <s v="11. Katétry pro návrat do pravého lumen cévy"/>
        <s v="7. Aspirační katétry intrakraniální"/>
        <s v="20. Vaskulární plugy periferní"/>
        <s v="22. Protekční zařízení při intervencích na karotickém povodí"/>
        <s v="23. Souprava k zajištění transjugulárního přístupu do žilního systému jaterního před TIPS"/>
        <s v="Antibakteriální léčiv pro systémovou aplikaci IV."/>
        <s v="Diagnostika OKB I. 2019"/>
        <s v="Diagnostika OKB II. 2019"/>
        <s v="Diagnostika OKB III. 2019"/>
        <s v="Diagnostika OKB IV. 2019"/>
        <s v="Diagnostika OKB V. 2019"/>
        <s v="Diagnostika MIKRO I. 2019"/>
        <s v="Diagnostika MIKRO II. 2019"/>
        <s v="Diagnostika MIKRO III. 2019"/>
        <s v="Diagnostika IMUNO I. 2019"/>
        <s v="Diagnostika IMUNO II. 2019"/>
        <s v="Diagnostika IMUNO III. 2019"/>
        <s v="Diagnostika  PATOLOGIE  2019"/>
        <s v="Prodloužení a sjednocení licencí SW Veeam Backup Enterprise"/>
        <s v="Cardiomessengery s implantabilním EKG biomonitorem - studie SurHyb"/>
        <s v="Poskytování servisních služeb u přístroje pro terapeutické dávkování NO II."/>
        <s v="Přístroj pH-metr s impedancí"/>
        <s v="28. Y-Adaptéry"/>
        <s v="31. Drenážní katétry pro zevní derenáže žlučových cest"/>
        <s v="9. Modelační balónkové katétry aortální"/>
        <s v="8. Okluzní balónkové katétry neurointervenční"/>
        <s v="Dětská nemocniční standardní lůžka"/>
        <s v="Nástroje chirurgické pro COSS"/>
        <s v="Chlazení VRV - budova D1 - 6.-8.NP II."/>
        <s v="Rozmrazovač krevní plazmy II."/>
        <s v="30. Materiál k perkutánním biopsiím"/>
        <s v="34. Jícnové stenty"/>
        <s v="26. Extraktory intravaskulární"/>
        <s v="Výměna chladící jednotky v budově C II."/>
        <s v="Analyzátora otoakustických emisí II."/>
        <s v="Diagnostika HOK I. 2019"/>
        <s v="Diagnostika HOK II. 2019"/>
        <s v="Diagnostika HOK III. 2019"/>
        <s v="Diagnostika GENETIKA I. 2019"/>
        <s v="Diagnostika EXP.MED a IVF I. 2019"/>
        <s v="Operační světla"/>
        <s v="Filtry pro vzduchotechniku 2019"/>
        <s v="Prověření nároku na odpočet DPH za období let 2016, 2017 a 2018"/>
        <s v="Sanitní vozidla II."/>
        <s v="Cardiomessengery s implantabilním EKG biomonitorem - studie SurHyb II"/>
        <s v="29. Drenážní sety pro perkutánní výkony"/>
        <s v="Dodávka pneumatik pro osobní, dodávková a nákladní vozidla FNOL"/>
        <s v="Analyzátora otoakustických emisí III."/>
        <s v="Oxymetry"/>
        <s v="Monitor pro měření hemodynamiky III."/>
        <s v="EKG II."/>
        <s v="Stavební úpravy dospávací haly v objektu „A“ – 2.NP"/>
        <s v="Vybudování unifikovaných shromaždišť odpadů "/>
        <s v="Drát zaváděcí EMERALD "/>
        <s v="Inhibitory interleukinu I. 2019"/>
        <s v="Léčiva s obsahem karfilzomibu 2019"/>
        <s v="Inhibitory proteinkináz II. 2019 "/>
        <s v="Komplexní monitorační systém pro ECMO II."/>
        <s v="Monoklonální protilátky 2019"/>
        <s v="Inhibitory proteinkináz I.  2019"/>
        <s v="Poskytování servisních služeb u přístrojů Olympus"/>
        <s v="31.Drenážní katétry pro zevní drenáže žlučových cest II"/>
        <s v="Přístroj pH-metr s impedancí II"/>
        <s v="29. Drenážní sety pro perkutánní drenáže II"/>
        <s v="7. Aspirační katétry intrakraniální II"/>
        <s v="FN Olomouc - obměna 3 ks lineárních urychlovačů a Thomayerova nemocnice - obměna 2 ks lineárních urychlovačů - sdružený nákup"/>
        <s v="EKG biomonitory"/>
        <s v="Diagnostické soupravy pro imunohematologické vyšetření se zápůjčkou analyzátorů"/>
        <s v="MIDOSTAURIN 2019"/>
        <s v="N05CM18 Dexmedetomidin 2019"/>
        <s v="Interferony 2019"/>
        <s v="Odlučovač tuků"/>
        <s v="Rekonstrukce topení a ohřevu vody v bytech na ubytovně Albertova"/>
        <s v="28. Y-Adaptéry II."/>
        <s v="FN Olomouc - Automatický vjezdový systém"/>
        <s v="Jiná imunosupresiva 2019"/>
        <s v="Mikro-ultrazvukový přístroj pro navigaci biopsie prostaty II."/>
        <s v="34. Jícnové stenty II."/>
        <s v="Sanace lodžie v budově Q204  na Dětské klinice "/>
        <s v="Přístroj pro lymfodrenáž včetně příslušenství"/>
        <s v="Mrazící boxy, chladnice a lednice FNOL"/>
        <s v="Zpracování generelu rozvoje areálu FN Olomouc"/>
        <s v="ELISA readery a procesory"/>
        <s v="Audiometry"/>
        <s v="Mycí a dezinfekční automat na operační obuv"/>
        <s v="Oprava přístupové rampy k přistávací ploše"/>
        <s v="Instalace vyvolávacích systémů II."/>
        <s v="Produkty na výrobu nápojů pro hospitalizované pacienty"/>
        <s v="Oprava elektroinstalace na operačních sálech Ortopedie"/>
        <s v="31.Drenážní katétry pro zevní drenáže žlučových cest III"/>
        <s v="Termocyklery"/>
        <s v="Ultrazvukové sestavy"/>
        <s v="34. Jícnové stenty III."/>
        <s v="Laboratorní chlazená centrifuga"/>
        <s v="Dodání a instalace formátovací pily"/>
        <s v="Pozáruční servis IBM zařízení"/>
        <s v="PD-Stavební úpravy objektu &quot;D&quot;-únikové cesty"/>
        <s v="Zabezpečení správy, aktualizace a rozvoj stávajícího webového řešení klienta"/>
        <s v="Akumulátorové sestavy vrtačka a oscilační pila pro endoprotetiku II."/>
        <s v="Inhibitory interleukinu I. 2019/2"/>
        <s v="Inhibitory proteinkináz IV. 2019"/>
        <s v="Automat pro PCR diagnostiku neuroinfekcí II."/>
        <s v="Update software karyotypovacích kamer"/>
        <s v="Gynekologické vyšetřovací křeslo s příslušenstvím II."/>
        <s v="Břišní rozvěrač"/>
        <s v="Optimalizace operačních procesů ve FNOL"/>
        <s v="Transportní monitor vitálních funkcí"/>
        <s v="Mobilní RTG přístroje"/>
        <s v="Servisní podpora informačních systémů: Mikrobiologie, Patologie, Distribuční portál, Akreditační nadstavba, Specializované ambulantní moduly"/>
        <s v="Blinatumomab - sdružený nákup 2019"/>
        <s v="ELISA readery a procesory II"/>
        <s v="Antitrombotika 2019/2"/>
        <s v="Antivirotika k léčbě infekce HCV 2019"/>
        <s v="Alemtuzumab - sdružený nákup 2019"/>
        <s v="Stavební úpravy 1.NP a 1.PP objektu E-kliniky ORL"/>
        <s v="Testery pevnosti a rozpadavosti tablet"/>
        <s v="Prokládací mycí a dezinfekční automaty na nástroje"/>
        <s v="Léčivý přípravek OCALIVA 2019"/>
        <s v="Měření spotřeby energií"/>
        <s v="Laboratorní chlazená centrifuga II."/>
        <s v="2k jednoblokových termocyklerů"/>
        <s v="Hlubokomrazící boxy"/>
        <s v="EKG III."/>
        <s v="Prověření nároku na odpočet DPH za období let 2016 až 2018"/>
        <s v="Teriflunomid 2019 - sdružený nákup"/>
        <s v="PŘENOSNÝ ELASTOMERNÍ INFUZNÍ SYSTÉM INFUSOR LV "/>
        <s v="Léčivé přípravky s obsahem ivakaftoru 2019"/>
        <s v="Jiná systémová hemostatika 2019"/>
        <s v="Rozšíření telefonního systému"/>
        <s v="Sternální systém ZIPFIX (materiál peek) pro rychlou stabilizaci a fixaci sterna"/>
        <s v="Norepinefrin 2019"/>
        <s v="Ohřívací jednotka II."/>
        <s v="Servis, opravy a údržba sanitních, dodávkových a osobních vozidel FNOL"/>
        <s v="PC sestavy FNOL"/>
        <s v="Oprava výtahů č.1,60 a 61"/>
        <s v="Hygienické zabezpečení vody v budově Y"/>
        <s v="Cafeteria systém"/>
        <s v="Servisní podpora Identity Managementu CzechIdM ve FN Olomouc"/>
        <s v="Servisní podpora informačního systému EFA"/>
        <s v="Drát vodící k měření intrakoronárního tlaku Pressure Wire X"/>
        <s v="Ultrazvukový aspirátor"/>
        <s v="Sušící skříň"/>
        <s v="Síťové aktivní prvky"/>
        <s v="HW Application Delivery Controller"/>
        <s v="Hematologický analyzátor výrobce Sysmex - servisní služby"/>
        <s v="Servisní služby - RTG přístroje Ziehm a motodlahy Daniflex"/>
        <s v="Flexibilní endoskopy"/>
        <s v="Léčivé přípravky s obsahem ambrisentanu 2019"/>
        <s v="Léčivé přípravky s obsahem abirateronu 2019"/>
        <s v="Léčivé přípravky pro léčbu plicní arteriální hypertenze a podání při systémové sklerodermii  2019"/>
        <s v="Opioidní analgetika (anodyna) 2019"/>
        <s v="Jiná cytostatika II 2019"/>
        <s v="Jiná cytostatika I 2019 - VZ-2020-000008"/>
        <s v="Jiná imunostimulancia 2019"/>
        <s v="Inhibitory interleukinu II 2019"/>
        <s v="15. Embolizační spirály odpoutatelné neurointervenční"/>
        <s v="Cetuximab I. 2019"/>
        <s v="Kobimetinib fumarát 2019 "/>
        <s v="PD - Stavební úpravy Radiologické kliniky v budově A - 1.PP "/>
        <s v="Jiná léčiva nervového systému 2019"/>
        <s v="PD na rekonstrukci chladící stanice PS20"/>
        <s v="Výroba a montáž nábytku V/2019"/>
        <s v="Výměna komunikačního systému sestra pacient na DK 21B"/>
        <s v="Instalace ochranných prvků"/>
        <s v="Materiál spotřební k tlakovým injektorům ULRICH II."/>
        <s v="Ultrazvukový přístroj"/>
        <s v="Fototerapeutická jednotka"/>
        <s v="Porodní instrumentaria"/>
        <s v="FN Olomouc - Automatický vjezdový systém II."/>
        <s v="Stanovení specifických IgE protilátek se zápůjčkou analyzátoru"/>
        <s v="Stříkačky inflační a trojcestné kohouty pro PTCA pro Radiologii"/>
        <s v="26. Extraktory intravaskulární III. "/>
        <s v="Elektrochirurgické a argonové generátory"/>
        <s v="Vysokofrekvenční ventilátor pro novorozence a malé děti"/>
        <s v="Systém přímé vizualizace žlučových cest s elektrohydraulickou litotripsií"/>
        <s v="Manuální rotační mikrotom"/>
        <s v="Generátor ultrazvukový se sacím systémem pro terapii urolitiázy"/>
        <s v="Stříkačky proplachovací předplněné sterilním 0,9%NACl – sdružený nákup "/>
        <s v="Léčivé přípravky z ATC L04AA - selektivní imunosupresiva"/>
        <s v="Levodopa a inhibitor dekarboxylázy"/>
        <s v="Kontrola provozuschopnosti hasících přístrojů a zařízení pro zásobování požární vodou"/>
        <s v="Snímání CO v kompresorových stanicích"/>
        <s v="Oprava střešního pláště budovy RZH a RZJ"/>
        <s v="Systém pro léčbu nehojících se ran "/>
        <s v="Kardioangiografický komplet pro elektrofyziologii VZ-2020-000013"/>
        <s v="Rouškovací sety pro radiologii"/>
        <s v="Mobilní datové terminály"/>
        <s v="Ubytování a služby spojené s realizací vzdělávací akce pro vedoucí zaměstnance FN Olomouc"/>
        <s v="Systém na odsávání sekretů"/>
        <s v="Přístroje funkční elektrostimulace"/>
        <s v="Vysokofrekvenční ventilátor pro novorozence a malé děti II."/>
        <s v="Nástroje chirurgické pro Ortopedii"/>
        <s v="Rouškovací sety pro I. Interní kliniku - kardiologickou"/>
        <s v="Nerezový mobiliář"/>
        <s v="Oprava MaR budova A, III. etapa"/>
        <s v="Přístroj pro molekulární onkologickou diagnostiku"/>
        <s v="Vyšetřovací jednotka s elektrokoagulací, odsáváním a nosním sprejem"/>
        <s v="Zařízení lavážní pro HIPEC II"/>
        <s v="Digitalizace doručené listinné pacientské dokumentace"/>
        <s v="Výměna stávajícího dorozumívacího systému sestra pacient na PSY"/>
        <s v="Kontejnery sterilizační a dekontaminační s příslušenstvím"/>
        <s v="Elektrody defibrilační jednorázové"/>
        <s v="Monoklonální protilátky  II. 2019"/>
        <s v="Léčivé přípravky z ATC N04BC - Agonisté dopaminu 2019"/>
        <s v="Inhibitory proteinkináz III. 2019"/>
        <s v="FN Olomouc - stavební úpravy ortopedické kliniky - pracoviště sterilizace v 1.PP"/>
        <s v="Rekonstrukce topení a opravy podlah v bytech na ubytovně Albertova 26"/>
        <s v="Zřízení předávací stanice v budově R"/>
        <s v="Oční laserové přístroje"/>
        <s v="Videolaryngoskop"/>
        <s v="Pojištění majetku, pojištění obecné a profesní odpovědnosti FN Olomouc"/>
        <s v="Servisní podpora personálního a mzdového systému"/>
        <s v="Informační systém Mamárního screeningu"/>
        <s v="Mycí a dezinfekční automat na operační obuv II."/>
        <s v="Instrumentárium pro ORTOP"/>
        <s v="FN Olomouc - obnova kardiologické SPECT kamery pro KNM"/>
        <s v="Celogenomové sekvenování vzorků humánního genu"/>
        <s v="Imunochemická vyšetření s výpůjčkou analyzátoru"/>
        <s v="Láhve a dudlíky krmící jednorázové"/>
        <s v="Rekonstrukce topení a opravy podlah v bytech na ubytovně Albertova 26 II."/>
        <s v="Servisní služby - spektrometr Maldi Biotyper"/>
        <s v="Titanový sternální fixační systém - VZ-2020-000195"/>
        <s v="Zajištění záložní internetové konektivity FNOL"/>
        <s v="Výměna rozvodů TV a CIR v budově R"/>
        <s v="Tiskárny FNOL 2019"/>
        <s v="PD - Nástavba budovy A -"/>
        <s v="Léčiva s obsahem omalizumabu 2019 - sdružený nákup "/>
        <s v="Léčiva s obsahem idelalisibu 2019 - sdružený nákup "/>
        <s v="Léčivé přípravky z ATC H01A - Hormony předního laloku hypofýzy a analoga"/>
        <s v="Přístroj pro molekulární onkologickou diagnostiku II."/>
        <s v="Servis výtahové techniky - VZ-2020-000057"/>
        <s v="Videolaryngoskop II."/>
        <s v="Inhibitory proteinkináz V. 2019"/>
        <s v="Fototerapeutická jednotka pro Novorozenecké oddělení"/>
        <s v="Monitory FNOL 2019"/>
        <s v="Hepariny 2019"/>
        <s v="Rekonstrukce chladící stanice - VZ-2020-000004"/>
        <s v="Bronchoskopy"/>
        <s v="Elektrické polohovatelné křeslo s příslušenstvím"/>
        <s v="Rigidní bronchoskopy pro tryskovou ventilaci Twinstream"/>
        <s v="Stomatologická souprava"/>
        <s v="Demolice budov v areálu FN Olomouc"/>
        <s v="Dodávkový automobil"/>
        <s v="Celková rekonstrukce TS3 - VZ-2020-000003"/>
        <s v="Pozáruční podpora systému AGFA IMPAX II."/>
        <s v="Inhibitory proteinkináz VI. 2019"/>
        <s v="Kancelářský papír 2020"/>
        <m/>
        <s v="LP s obsahem účinné látky alteplasa, degarelix-acetát, abirateron-acetát, - II." u="1"/>
        <s v="Akumulátorové sestavy vrtačka a oscilační pila pro endoprotetiku " u="1"/>
        <s v="Totální endoprotézy - část V. TEP koleního kloubu - speciál I." u="1"/>
        <s v="Flow divertery neurointervenční" u="1"/>
        <s v="Stoly operační a zákrokové - část II. Operační stoly" u="1"/>
        <s v="Kontejnery sterilizační pro ORTOP a COSS" u="1"/>
        <s v="Realizace parkoviště pod Dětskou klinikou a u lékárny - část I. DK" u="1"/>
        <s v="Servis výtahové techniky" u="1"/>
        <s v="Intervenční kardiologie - část II." u="1"/>
        <s v="Kobemitinib fumarát 2019 " u="1"/>
        <s v="Spinální implantáty - část III." u="1"/>
        <s v="Srdeční chlopně a anuloplastické prstence - část VII." u="1"/>
        <s v="Jiná systémová hemostatika a látky tvořící cheláty se železem - část VI." u="1"/>
        <s v="Chladící a mrazící zařízení - část I. Chladnice a lednice" u="1"/>
        <s v="Přístroje pro plicní ventilaci - část II. Transportní ventilátory" u="1"/>
        <s v="Elektrofyziologie - část VIII." u="1"/>
        <s v="Realizace parkoviště pod Dětskou klinikou a u lékárny - část II. Lékárna" u="1"/>
        <s v="LP s obsahem účinné látky alteplasa, degarelix-acetát, abirateron-acetát, - V." u="1"/>
        <s v="Elektrofyziologie - část V" u="1"/>
        <s v="Elektrofyziologie - část X" u="1"/>
        <s v="Jiná systémová hemostatika a látky tvořící cheláty se železem - část III." u="1"/>
        <s v="Somatropin - část V. Omnitrope" u="1"/>
        <s v="Totální endoprotézy - část III. TEP kyčelního kloubu - speciál II." u="1"/>
        <s v="Servisní podpora mzdového a personálního systému" u="1"/>
        <s v="Spinální implantáty - část II." u="1"/>
        <s v="Antivirotika pro systémovou aplikaci-antihepatitidová - část V. Sofosbuvir/ledipasvir" u="1"/>
        <s v="Servisní podpora produktu VEMA" u="1"/>
        <s v="Totální endoprotézy - část VI. TEP koleního kloubu - speciál II." u="1"/>
        <s v="Somatropin - část VII. Zomacton" u="1"/>
        <s v="Novostavba lapáku tuků oleje" u="1"/>
        <s v="Mobilní terminály" u="1"/>
        <s v="Spinální implantáty - část VIII." u="1"/>
        <s v="Paramagnetické kontrastní látky - část III." u="1"/>
        <s v="Srdeční chlopně a anuloplastické prstence - část I." u="1"/>
        <s v="Lokální hemostatika a parenterální přípravky s obsahem železa - část V." u="1"/>
        <s v="LP s obsahem účinné látky alteplasa, degarelix-acetát, abirateron-acetát, - IV." u="1"/>
        <s v="Elektrofyziologie - část IV." u="1"/>
        <s v="Chladící a mrazící zařízení - číst II. Hlubokomrazící boxy" u="1"/>
        <s v="Elektrofyziologie - část III." u="1"/>
        <s v="Optimalizace procesů na operačních sálech II." u="1"/>
        <s v="Celková rekonstrukce TS3" u="1"/>
        <s v="Interferony 2018 - část III. Interferon beta-1a II" u="1"/>
        <s v="Neurostimulační systémy - část V." u="1"/>
        <s v="Antivirotika pro systémovou aplikaci-antihepatitidová - část I. Ribarvin" u="1"/>
        <s v="Elektrofyziologie - část VII." u="1"/>
        <s v="Antivirotika pro systémovou aplikaci-antihepatitidová - část VI.Sofosbuvir/velpatasvir" u="1"/>
        <s v="Elektrofyziologie - část XII." u="1"/>
        <s v="PD - Meření spotřeby enerfií v areálu FN Olomouc" u="1"/>
        <s v="30. Bioptické jehly " u="1"/>
        <s v="Rekonstrukce chladící stanice" u="1"/>
        <s v="Spinální implantáty - část XIII." u="1"/>
        <s v="Jiná systémová hemostatika a látky tvořící cheláty se železem - část II." u="1"/>
        <s v="IROP – Ventilační a resuscitační technika - část IV. Zvlhčovací kanyla" u="1"/>
        <s v="Intervenční kardiologie - část XVIII." u="1"/>
        <s v="Intervenční kardiologie - část XXI." u="1"/>
        <s v="Monitor pro měření hemodynamiky" u="1"/>
        <s v="Srdeční chlopně a anuloplastické prstence - část VI." u="1"/>
        <s v="Servisní služby u přístrojů Olympus" u="1"/>
        <s v="Somatropin - část IV. Nutropinaq" u="1"/>
        <s v="IROP – Ventilační a resuscitační technika - část III. Přístroj pro podporu dýchání" u="1"/>
        <s v="Přístroje pro monitoring životních funkcí plodu - část II. ST analyzátor" u="1"/>
        <s v="Lokální hemostatika a parenterální přípravky s obsahem železa - část IV." u="1"/>
        <s v="Intervenční kardiologie " u="1"/>
        <s v="Elektrofyziologie - část IX." u="1"/>
        <s v="Konektor bezjehlový 2018" u="1"/>
        <s v="Neurostimulační systémy - část IV." u="1"/>
        <s v="Jiná cytostatika I 2019" u="1"/>
        <s v="Intervenční kardiologie - část XVI." u="1"/>
        <s v="Senzory k měření cerebrální oxymetrie - část II. Fore-sight ELITE dual velký" u="1"/>
        <s v="Lokální hemostatika a parenterální přípravky s obsahem železa - část VII." u="1"/>
        <s v="Elektrofyziologie - část II." u="1"/>
        <s v="Prověření nároku na odpočet DPH za období let 2017 a 2018" u="1"/>
        <s v="IROP - Inkubátory - část III. Inkubátor transportní" u="1"/>
        <s v="Srdeční chlopně a anuloplastické prstence - část III." u="1"/>
        <s v="Lokální hemostatika a parenterální přípravky s obsahem železa - část I." u="1"/>
        <s v="Elektrofyziologie - část VI." u="1"/>
        <s v="Elektrofyziologie - část XI." u="1"/>
        <s v="Analyzátora otoakustickýh emisí II." u="1"/>
        <s v="Léčivé přípravky pro léčbu plicní arteriální hypertenze - část I." u="1"/>
        <s v="Lineární urychlovače" u="1"/>
        <s v="Antivirotika pro systémovou aplikaci-antihepatitidová - část II. Tenofovir" u="1"/>
        <s v="Neurostimulační systémy - část I." u="1"/>
        <s v="Antivirotika pro systémovou aplikaci-antihepatitidová - část IV. Ombitasvir" u="1"/>
        <s v="Monoklonální protilátky s obsahem účinné látky rituximab - část II. " u="1"/>
        <s v="Léčivé přípravky pro léčbu plicní arteriální hypertenze - část V." u="1"/>
        <s v="Spinální implantáty - část VII." u="1"/>
        <s v="Antivirotika pro systémovou aplikaci-antihepatitidová - část VIII. Elbasvir" u="1"/>
        <s v="Srdeční chlopně a anuloplastické prstence - část IV." u="1"/>
        <s v="Intervenční kardiologie - část XX." u="1"/>
        <s v="Antivirotika pro systémovou aplikaci-antihepatitidová - část VII. Sofosbuvir/…" u="1"/>
        <s v="Embolizační spirály" u="1"/>
        <s v="Titanový sternální fixační systém" u="1"/>
        <s v="LP s obsahem účinné látky alteplasa, degarelix-acetát, abirateron-acetát, - I." u="1"/>
        <s v="Intervenční kardiologie - část V." u="1"/>
        <s v="Flowmon sonda" u="1"/>
        <s v="Totální endoprotézy - část II. TEP kyčelního kloubu - speciál I." u="1"/>
        <s v="Ohřívací jednotka pro jednotku intermediální péče" u="1"/>
        <s v="Léčivé přípravky pro léčbu plicní arteriální hypertenze - část VIII." u="1"/>
        <s v="Spinální implantáty - část VI." u="1"/>
        <s v="Intervenční kardiologie - část XV." u="1"/>
        <s v="Přístroje pro plicní ventilaci - část I. Plicní ventilátory" u="1"/>
        <s v="Kapilární hemodialyzátory 2018 - část II. High Flux" u="1"/>
        <s v="Intervenční kardiologie - část IX." u="1"/>
        <s v="Prověření nároku na odpočet DPH za období let 20167 až 2018" u="1"/>
        <s v="Lokální hemostatika a parenterální přípravky s obsahem železa - část VI." u="1"/>
        <s v="Totální endoprotézy - část IV. TEP koleního kloubu ." u="1"/>
        <s v="Somatropin - část III. Norditropin" u="1"/>
        <s v="Monoklonální protilátky s obsahem účinné látky rituximab - část I. " u="1"/>
        <s v="Servisní podpora Identity Managementu ve FNOL" u="1"/>
        <s v="Srdeční chlopně a anuloplastické prstence - část IX." u="1"/>
        <s v="Lokální hemostatika a parenterální přípravky s obsahem železa - část III." u="1"/>
        <s v="Přístroje pro plicní ventilaci - část III. Neinvazivní plicní ventilátor" u="1"/>
        <s v="Spinální implantáty - část XI." u="1"/>
        <s v="Totální endoprotézy - část I. TEP kyčelního kloubu" u="1"/>
        <s v="Neurostimulační systémy - část III." u="1"/>
        <s v="LP s obsahem účinné látky alteplasa, degarelix-acetát, abirateron-acetát, - VI." u="1"/>
        <s v="Intervenční kardiologie - část X." u="1"/>
        <s v="Somatropin - část VI. Saizen" u="1"/>
        <s v="Kalibrace a validace měřidel a zařízení 2019- část I." u="1"/>
        <s v="Intervenční kardiologie - - část IV." u="1"/>
        <s v="Kalibrace a validace měřidel a zařízení 2019 - část II. ConWin" u="1"/>
        <s v="Anestetika celková-halogenované uhlovodíky - část I. Desfluran" u="1"/>
        <s v="Somatropin - část I. Genotropin" u="1"/>
        <s v="Interferony 2018 - část II. Interferon beta-1a I" u="1"/>
        <s v="Léčivé přípravky pro léčbu plicní arteriální hypertenze - část IV." u="1"/>
        <s v="Léčivé přípravky pro léčbu plicní arteriální hypertenze - část III." u="1"/>
        <s v="Srdeční chlopně a anuloplastické prstence - část II." u="1"/>
        <s v="Kardioangiografický komplet pro elektrofyziologii " u="1"/>
        <s v="Intervenční kardiologie - část VII." u="1"/>
        <s v="IROP – Ventilační a resuscitační technika - část II. Plicní ventilátor" u="1"/>
        <s v="Léčivé přípravky pro léčbu plicní arteriální hypertenze - část VII." u="1"/>
        <s v="Intervenční kardiologie - část I." u="1"/>
        <s v="Jiná systémová hemostatika a látky tvořící cheláty se železem - část V." u="1"/>
        <s v="Interferony 2018 - část VI. Peginterferon beta-1a" u="1"/>
        <s v="Stavební úpravy Radiologické kliniky v budově A - 1.PP " u="1"/>
        <s v="Kapilární hemodialyzátory 2018 - část I. Low Flux" u="1"/>
        <s v="Monitory životních a mozkových funkcí - část I." u="1"/>
        <s v="PD - Nástavba budovy A" u="1"/>
        <s v="Lokální hemostatika a parenterální přípravky s obsahem železa - část II." u="1"/>
        <s v="Neurostimulační systémy - část II." u="1"/>
        <s v="Přístroje pro monitoring životních funkcí plodu - část I. KTG" u="1"/>
        <s v="Intervenční kardiologie - část XII." u="1"/>
        <s v="Anestetika celková-halogenované uhlovodíky - část II. Sevofluran" u="1"/>
        <s v="LP s obsahem účinné látky alteplasa, degarelix-acetát, abirateron-acetát, - III." u="1"/>
        <s v="Antivirotika pro systémovou aplikaci-antihepatitidová - část III. Monohydrát" u="1"/>
        <s v="Ověřovací studie PD &quot;Rekonstrukce a dostavba hlvaní budovy FJ&quot;" u="1"/>
        <s v="Senzory k měření cerebrální oxymetrie - část I. Somasensor INVOS pro dospěle" u="1"/>
        <s v="Léčivé přípravky pro léčbu plicní arteriální hypertenze - část II." u="1"/>
        <s v="Intervenční kardiologie - část  VIII." u="1"/>
        <s v="Intervenční kardiologie - část VI." u="1"/>
        <s v="Jiná systémová hemostatika a látky tvořící cheláty se železem - část IV." u="1"/>
        <s v="Monitory životních a mozkových funkcí - část III." u="1"/>
        <s v="Léčivé přípravky pro léčbu plicní arteriální hypertenze - část VI." u="1"/>
        <s v="Spinální implantáty - část V." u="1"/>
        <s v="Intervenční kardiologie - část XVII." u="1"/>
        <s v="Intervenční kardiologie - část III." u="1"/>
        <s v="Spinální implantáty - část IX." u="1"/>
        <s v="Paramagnetické kontrastní látky - část II." u="1"/>
        <s v="Intervenční kardiologie - část XIV." u="1"/>
        <s v="Elektrochirurgický generátor včetně pokročilé bipolární koagulace" u="1"/>
        <s v="Intervenční kardiologie - část XIX." u="1"/>
        <s v="Vodící dráty k vaskulárním intervencím" u="1"/>
        <s v="Léčiva s obsahem idelalisibu 2019 - sdružený nákup" u="1"/>
        <s v="Léčiva s obsahem omalizumabu 2019 - sdružený nákup" u="1"/>
        <s v="Spinální implantáty - část X." u="1"/>
        <s v="Jiná systémová hemostatika a látky tvořící cheláty se železem - část I." u="1"/>
        <s v="Spinální implantáty - část IV." u="1"/>
        <s v="Paramagnetické kontrastní látky - část I." u="1"/>
        <s v="Somatropin - část II. Humatrope" u="1"/>
        <s v="Intervenční kardiologie - část XI." u="1"/>
        <s v="Servisní podpora informačních systémů (LAB-IS)" u="1"/>
        <s v="Elektrofyziologie - část I." u="1"/>
        <s v="Monitory životních a mozkových funkcí - část II." u="1"/>
        <s v="IROP – Ventilační a resuscitační technika - část I. Resuscitační přístroj" u="1"/>
        <s v="Stoly operační a zákrokové - část I. Stůl zákrokový" u="1"/>
      </sharedItems>
    </cacheField>
    <cacheField name="Část" numFmtId="0">
      <sharedItems containsString="0" containsBlank="1" containsNumber="1" containsInteger="1" minValue="1" maxValue="18"/>
    </cacheField>
    <cacheField name="Název části VZ" numFmtId="0">
      <sharedItems containsBlank="1"/>
    </cacheField>
    <cacheField name="ATC kód u léčiv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1853" maxValue="467173553"/>
    </cacheField>
    <cacheField name="Druh VZ" numFmtId="0">
      <sharedItems containsBlank="1" count="4">
        <s v="OŘ"/>
        <s v="ZPŘ"/>
        <s v="VZMR"/>
        <m/>
      </sharedItems>
    </cacheField>
    <cacheField name="VZ vypsaná dne" numFmtId="0">
      <sharedItems containsNonDate="0" containsDate="1" containsString="0" containsBlank="1" minDate="2018-04-19T00:00:00" maxDate="2019-12-31T00:00:00"/>
    </cacheField>
    <cacheField name="Lhůta pro podání nabídek" numFmtId="0">
      <sharedItems containsNonDate="0" containsDate="1" containsString="0" containsBlank="1" minDate="2018-05-31T00:00:00" maxDate="2020-01-28T00:00:00"/>
    </cacheField>
    <cacheField name="Datum vyhodnocení VZ" numFmtId="0">
      <sharedItems containsDate="1" containsBlank="1" containsMixedTypes="1" minDate="2018-09-05T00:00:00" maxDate="2019-12-20T00:00:00"/>
    </cacheField>
    <cacheField name="Dodavatel / u zrušených stávající dodavatel" numFmtId="0">
      <sharedItems containsBlank="1"/>
    </cacheField>
    <cacheField name="postup po zrušení" numFmtId="0">
      <sharedItems containsBlank="1"/>
    </cacheField>
    <cacheField name="Vítězná cena bez DPH" numFmtId="44">
      <sharedItems containsBlank="1" containsMixedTypes="1" containsNumber="1" minValue="1800" maxValue="128990069.95999999"/>
    </cacheField>
    <cacheField name="Vítězná cena s DPH" numFmtId="44">
      <sharedItems containsBlank="1" containsMixedTypes="1" containsNumber="1" minValue="2178" maxValue="156077984.65159997"/>
    </cacheField>
    <cacheField name="Léčiva - Kód SUKL" numFmtId="49">
      <sharedItems containsBlank="1"/>
    </cacheField>
    <cacheField name="Léčiva - Název přípravku" numFmtId="49">
      <sharedItems containsBlank="1"/>
    </cacheField>
    <cacheField name="Léčiva - Výrobce" numFmtId="49">
      <sharedItems containsBlank="1"/>
    </cacheField>
    <cacheField name="Datum předání smlouvy do WF" numFmtId="0">
      <sharedItems containsDate="1" containsBlank="1" containsMixedTypes="1" minDate="2018-01-14T00:00:00" maxDate="2019-12-21T00:00:00"/>
    </cacheField>
    <cacheField name="Číslo smlouvy z WF" numFmtId="0">
      <sharedItems containsBlank="1"/>
    </cacheField>
    <cacheField name="Smlouva podepsána" numFmtId="0">
      <sharedItems containsNonDate="0" containsDate="1" containsString="0" containsBlank="1" minDate="2018-12-20T00:00:00" maxDate="2019-12-24T00:00:00" count="149">
        <m/>
        <d v="2019-01-04T00:00:00"/>
        <d v="2019-03-15T00:00:00"/>
        <d v="2019-03-11T00:00:00"/>
        <d v="2019-06-28T00:00:00"/>
        <d v="2019-01-11T00:00:00"/>
        <d v="2019-01-21T00:00:00"/>
        <d v="2019-02-06T00:00:00"/>
        <d v="2019-02-12T00:00:00"/>
        <d v="2019-01-24T00:00:00"/>
        <d v="2019-02-04T00:00:00"/>
        <d v="2019-02-08T00:00:00"/>
        <d v="2019-03-28T00:00:00"/>
        <d v="2019-03-25T00:00:00"/>
        <d v="2019-02-26T00:00:00"/>
        <d v="2019-03-18T00:00:00"/>
        <d v="2019-01-07T00:00:00"/>
        <d v="2019-02-19T00:00:00"/>
        <d v="2019-01-14T00:00:00"/>
        <d v="2019-02-05T00:00:00"/>
        <d v="2019-01-10T00:00:00"/>
        <d v="2019-04-01T00:00:00"/>
        <d v="2019-04-03T00:00:00"/>
        <d v="2019-04-12T00:00:00"/>
        <d v="2019-01-02T00:00:00"/>
        <d v="2019-01-09T00:00:00"/>
        <d v="2019-03-06T00:00:00"/>
        <d v="2019-01-22T00:00:00"/>
        <d v="2019-01-17T00:00:00"/>
        <d v="2019-03-19T00:00:00"/>
        <d v="2019-02-14T00:00:00"/>
        <d v="2019-05-14T00:00:00"/>
        <d v="2019-05-06T00:00:00"/>
        <d v="2019-02-25T00:00:00"/>
        <d v="2019-02-22T00:00:00"/>
        <d v="2019-04-15T00:00:00"/>
        <d v="2019-02-15T00:00:00"/>
        <d v="2019-02-18T00:00:00"/>
        <d v="2019-04-02T00:00:00"/>
        <d v="2019-02-28T00:00:00"/>
        <d v="2019-03-05T00:00:00"/>
        <d v="2019-05-17T00:00:00"/>
        <d v="2019-04-10T00:00:00"/>
        <d v="2019-03-26T00:00:00"/>
        <d v="2019-03-08T00:00:00"/>
        <d v="2019-03-12T00:00:00"/>
        <d v="2019-04-08T00:00:00"/>
        <d v="2019-07-02T00:00:00"/>
        <d v="2019-06-18T00:00:00"/>
        <d v="2019-04-04T00:00:00"/>
        <d v="2019-03-22T00:00:00"/>
        <d v="2019-06-05T00:00:00"/>
        <d v="2019-08-16T00:00:00"/>
        <d v="2019-05-22T00:00:00"/>
        <d v="2019-05-02T00:00:00"/>
        <d v="2019-04-23T00:00:00"/>
        <d v="2019-04-25T00:00:00"/>
        <d v="2019-04-17T00:00:00"/>
        <d v="2019-07-09T00:00:00"/>
        <d v="2019-05-09T00:00:00"/>
        <d v="2019-04-30T00:00:00"/>
        <d v="2019-09-17T00:00:00"/>
        <d v="2019-06-10T00:00:00"/>
        <d v="2019-06-03T00:00:00"/>
        <d v="2019-05-07T00:00:00"/>
        <d v="2019-10-25T00:00:00"/>
        <d v="2019-06-11T00:00:00"/>
        <d v="2019-06-25T00:00:00"/>
        <d v="2019-08-19T00:00:00"/>
        <d v="2019-08-28T00:00:00"/>
        <d v="2019-11-01T00:00:00"/>
        <d v="2019-08-29T00:00:00"/>
        <d v="2019-05-24T00:00:00"/>
        <d v="2019-09-04T00:00:00"/>
        <d v="2019-08-22T00:00:00"/>
        <d v="2019-08-01T00:00:00"/>
        <d v="2019-05-23T00:00:00"/>
        <d v="2019-06-12T00:00:00"/>
        <d v="2019-06-24T00:00:00"/>
        <d v="2019-09-23T00:00:00"/>
        <d v="2019-09-10T00:00:00"/>
        <d v="2019-05-21T00:00:00"/>
        <d v="2019-10-14T00:00:00"/>
        <d v="2019-05-27T00:00:00"/>
        <d v="2019-11-30T00:00:00"/>
        <d v="2019-10-07T00:00:00"/>
        <d v="2019-09-30T00:00:00"/>
        <d v="2019-06-14T00:00:00"/>
        <d v="2019-11-25T00:00:00"/>
        <d v="2019-06-07T00:00:00"/>
        <d v="2019-07-30T00:00:00"/>
        <d v="2019-07-24T00:00:00"/>
        <d v="2019-12-23T00:00:00"/>
        <d v="2019-09-27T00:00:00"/>
        <d v="2019-10-24T00:00:00"/>
        <d v="2019-08-27T00:00:00"/>
        <d v="2019-08-08T00:00:00"/>
        <d v="2019-06-26T00:00:00"/>
        <d v="2019-08-06T00:00:00"/>
        <d v="2019-07-17T00:00:00"/>
        <d v="2019-11-29T00:00:00"/>
        <d v="2019-10-08T00:00:00"/>
        <d v="2019-11-18T00:00:00"/>
        <d v="2019-11-13T00:00:00"/>
        <d v="2019-11-07T00:00:00"/>
        <d v="2019-11-27T00:00:00"/>
        <d v="2019-11-05T00:00:00"/>
        <d v="2019-12-18T00:00:00"/>
        <d v="2019-07-01T00:00:00"/>
        <d v="2019-07-19T00:00:00"/>
        <d v="2019-07-15T00:00:00"/>
        <d v="2019-09-16T00:00:00"/>
        <d v="2019-09-12T00:00:00"/>
        <d v="2019-07-12T00:00:00"/>
        <d v="2019-12-09T00:00:00"/>
        <d v="2019-07-25T00:00:00"/>
        <d v="2019-10-01T00:00:00"/>
        <d v="2019-06-20T00:00:00"/>
        <d v="2019-12-10T00:00:00"/>
        <d v="2019-08-13T00:00:00"/>
        <d v="2019-10-21T00:00:00"/>
        <d v="2019-11-26T00:00:00"/>
        <d v="2019-10-09T00:00:00"/>
        <d v="2019-11-06T00:00:00"/>
        <d v="2019-09-18T00:00:00"/>
        <d v="2019-07-26T00:00:00"/>
        <d v="2019-08-14T00:00:00"/>
        <d v="2019-09-20T00:00:00"/>
        <d v="2019-10-02T00:00:00"/>
        <d v="2019-10-03T00:00:00"/>
        <d v="2019-08-05T00:00:00"/>
        <d v="2019-12-13T00:00:00"/>
        <d v="2019-12-17T00:00:00"/>
        <d v="2019-10-15T00:00:00"/>
        <d v="2019-11-19T00:00:00"/>
        <d v="2019-08-20T00:00:00"/>
        <d v="2019-12-03T00:00:00"/>
        <d v="2019-09-25T00:00:00"/>
        <d v="2019-09-13T00:00:00"/>
        <d v="2019-12-11T00:00:00"/>
        <d v="2019-10-16T00:00:00"/>
        <d v="2019-10-23T00:00:00"/>
        <d v="2019-10-17T00:00:00"/>
        <d v="2019-11-15T00:00:00"/>
        <d v="2019-12-16T00:00:00"/>
        <d v="2019-12-06T00:00:00"/>
        <d v="2019-11-04T00:00:00"/>
        <d v="2019-11-28T00:00:00"/>
        <d v="2018-12-20T00:00:00" u="1"/>
      </sharedItems>
    </cacheField>
    <cacheField name="Smlouva , Písemná zpráva zadavatele              Profil zadavatele" numFmtId="0">
      <sharedItems containsDate="1" containsBlank="1" containsMixedTypes="1" minDate="2019-01-04T00:00:00" maxDate="2020-02-08T00:00:00"/>
    </cacheField>
    <cacheField name="Platnost smlouvy / Datum dodání" numFmtId="0">
      <sharedItems containsDate="1" containsBlank="1" containsMixedTypes="1" minDate="2019-02-28T00:00:00" maxDate="2027-06-30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7939812" createdVersion="3" refreshedVersion="6" minRefreshableVersion="3" recordCount="1166" xr:uid="{00000000-000A-0000-FFFF-FFFF09000000}">
  <cacheSource type="worksheet">
    <worksheetSource ref="A8:AC1587" sheet="VZ-2019"/>
  </cacheSource>
  <cacheFields count="29">
    <cacheField name="Položka plánu VZ " numFmtId="0">
      <sharedItems containsBlank="1"/>
    </cacheField>
    <cacheField name="Datum vyžádání technické specifikace" numFmtId="0">
      <sharedItems containsBlank="1"/>
    </cacheField>
    <cacheField name="Datum předání na OVZ" numFmtId="0">
      <sharedItems containsDate="1" containsBlank="1" containsMixedTypes="1" minDate="2018-06-01T00:00:00" maxDate="2019-12-21T00:00:00"/>
    </cacheField>
    <cacheField name="Interní evidenční číslo" numFmtId="0">
      <sharedItems containsBlank="1"/>
    </cacheField>
    <cacheField name="Zadáv. prac." numFmtId="0">
      <sharedItems containsBlank="1" count="28">
        <s v="ZM"/>
        <s v="INF"/>
        <s v="IROP"/>
        <s v="VŠEOB"/>
        <s v="ENERG"/>
        <s v="LÉK"/>
        <s v="ZT"/>
        <s v="INV"/>
        <s v="PROVOZ"/>
        <s v="METR"/>
        <s v="OSB "/>
        <s v="SERVIS"/>
        <s v="EKON"/>
        <s v="MARK"/>
        <s v="OBN"/>
        <s v="DOPR"/>
        <s v="OSB"/>
        <s v="UHTS"/>
        <s v="OLV"/>
        <s v="PERS"/>
        <s v="KVAL"/>
        <s v="ZP"/>
        <s v="PRAV"/>
        <s v="ISPROFIN"/>
        <s v="IMUNO"/>
        <m/>
        <s v="IT" u="1"/>
        <s v="ZT " u="1"/>
      </sharedItems>
    </cacheField>
    <cacheField name="Osoba pověřená pro zadávací řízení" numFmtId="0">
      <sharedItems containsBlank="1"/>
    </cacheField>
    <cacheField name="Předmět plnění - název zakázky" numFmtId="0">
      <sharedItems containsBlank="1" count="622">
        <s v="Intervenční kardiologie"/>
        <s v="Totální endoprotézy"/>
        <s v="Neurostimulační systémy"/>
        <s v="Náplně do tiskáren"/>
        <s v="Srdeční chlopně a anuloplastické prstence"/>
        <s v="IROP – Ventilační a resuscitační technika"/>
        <s v="IROP - Inkubátory"/>
        <s v="Spinální implantáty"/>
        <s v="Rouškovací sety pro ortopedii"/>
        <s v="Revize vyhrazených elektrických zařízení"/>
        <s v="Elektrofyziologie"/>
        <s v="Přístroje pro monitoring životních funkcí plodu"/>
        <s v="Monitory životních a mozkových funkcí"/>
        <s v="Paramagnetické kontrastní látky"/>
        <s v="Přístroje pro plicní ventilaci"/>
        <s v="Mobilní RTG"/>
        <s v="Tromboelastograf"/>
        <s v="Léčivé přípravky s účinnou látkou fentanyl - citrát 2018"/>
        <s v="Katetrizační systém ke katetrizační korekci mitrálni regurgitace – Systém MitraClip kit"/>
        <s v="Sonda ablační Cryoflex "/>
        <s v="Somatropin"/>
        <s v="Léčivé přípravky pro léčbu plicní arteriální hypertenze"/>
        <s v="Interferony 2018"/>
        <s v="Antivirotika pro systémovou aplikaci-antihepatitidová"/>
        <s v="Anestetika celková-halogenované uhlovodíky"/>
        <s v="Materiál spotřební k harmonickému skalpelu"/>
        <s v="Realizace parkoviště pod Dětskou klinikou a u lékárny"/>
        <s v="Stříkačky proplachovací předplněné fyziologickým roztokem"/>
        <s v="Radiální endosonografie"/>
        <s v="Pomůcky polohovací a antidekubitní"/>
        <s v="Novostavba pavilonu HOK - Olomouc"/>
        <s v="Komplexní servis prádla pro FN Olomouc"/>
        <s v="Mycí a oplachová chemie do profesionálních mycích strojů pro kuchyň"/>
        <s v="Přístupový systém pro výtah č.75"/>
        <s v="Senzory k měření cerebrální oxymetrie"/>
        <s v="Transientní elastograf"/>
        <s v="Mikro-ultrazvukový přístroj pro navigaci biopsie prostaty"/>
        <s v="Kapilární hemodialyzátory 2018"/>
        <s v="Kalibrace a validace měřidel a zařízení 2019"/>
        <s v="Odstranění závad z revize medicinálních plynů, budova S2"/>
        <s v="Operační mikroskop"/>
        <s v="Radiofarmakum fludeoxyglukóza 18F"/>
        <s v="Čočky nitrooční"/>
        <s v="Macerátory"/>
        <s v="Lokální hemostatika a parenterální přípravky s obsahem železa"/>
        <s v="Digitální dermatoskop s celotělovým skenerem"/>
        <s v="Chladící a mrazící zařízení"/>
        <s v="LP s obsahem účinné látky alteplasa, degarelix-acetát, abirateron-acetát"/>
        <s v="Rekonstrukce zákrokového sálu ortopedie"/>
        <s v="Toaletní papír a papírové ručníky Z-Z"/>
        <s v="Jiná systémová hemostatika a látky tvořící cheláty se železem"/>
        <s v="Výměna protipožárních dveří v budově L na TO a HOK"/>
        <s v="Monoklonální protilátky s obsahem účinné látky rituximab"/>
        <s v="Senzory k měření hemodynamiky II"/>
        <s v="Chlazení boxů na patologii"/>
        <s v="Ověřovací studie PD &quot;Rekonstrukce a dostavba hlavní budovy FJ&quot;"/>
        <s v="Ergonomické osvětlení operačních sálů"/>
        <s v="Diagnostika a spotřební materiál pro vyšetřní presepsinu se zápůjčkou analyzátoru"/>
        <s v="Medicinální a technické plyny"/>
        <s v="Zřízení ovládání výtahů č.74,75 do systému Duplex"/>
        <s v="Servisní podpora IS eKLIN/ePOST II."/>
        <s v="Kancelářský papír"/>
        <s v="Flexibilní ureteroskopy a cystoskop"/>
        <s v="Konektor bezjehlovy"/>
        <s v="Servisní podpora IS pro plánování, objednávání a dokumentaci chemoterapií a gavemetrickou přípravu medikací s obsahme cytostatik"/>
        <s v="Instrumentaria"/>
        <s v="Kalibrace a validace měřidel a zařízení II.2019"/>
        <s v="Výroba a montáž nábytku 1/2019"/>
        <s v="Chladící zařízení"/>
        <s v="Zařízení lavážní pro HIPEC"/>
        <s v="Flexibilní ureteroskopy a cystoskop II."/>
        <s v="Komplexní servis MaR a EBI, Arena, Energy Vision"/>
        <s v="Zřízení ovládání výtahů č.74,75 do systému Duplex II."/>
        <s v="Centrálně působící sympatomimetika, antagonisté alfa - adrenergních receptorů, hořčík a léčivé přípravky s obsahem teriparatidu"/>
        <s v="Analoga pyrimidinu"/>
        <s v="Specifické imunoglobuliny"/>
        <s v="Statické zajištění budovy RZA - šatny a sklady"/>
        <s v="Stoly operační a zákrokové"/>
        <s v="Novorozenecké postýlky"/>
        <s v="Dodávka dectů 2019"/>
        <s v="e-Learning - modul systému pro řízení vzdělávání a školení ve FNOL"/>
        <s v="Kancelářské potřeby 2019"/>
        <s v="Demolice budovy &quot;G&quot; v areálu FN Olomouc"/>
        <s v="Demolice staré vrátnice FNOL z ulice I.P.Pavlova"/>
        <s v="TEP - Revizní náhrady kolenního kloubu"/>
        <s v="Poskytování servisních služeb u přístrojů GE Datex - Ohmeda"/>
        <s v="Přístroj pro řízenou hypotermii"/>
        <s v="Jiné antiparatyreoidální látky 2019"/>
        <s v="Stanovení nukleové kyseliny viru hepatitidy C se zápůjčkou analyzátoru"/>
        <s v="EEG"/>
        <s v="Vyšetřovací a operační rukavice"/>
        <s v="Hadičky spojovací pro infuzní terapii"/>
        <s v="Katetry BARRX pro radiofrekvenční ablaci při léčbě Barretova jícnu"/>
        <s v="Dodávka diagnostických stanic pro RTG"/>
        <s v="Poskytování servisních služeb u přístrojů Miele"/>
        <s v="Malířské a natěračské práce"/>
        <s v="Kapalinový chromatograf / hmotnostní spektrometrie"/>
        <s v="Poskytování servisních služeb u přístrojů Philips"/>
        <s v="Poskytování servisních služeb u přístrojů Dräger"/>
        <s v="Pozáruční podpora systému AGFA IMPAX "/>
        <s v="Rozmrazovač krevní plazmy"/>
        <s v="Ventilační a resuscitační technika - přístroj pro podporu dýchání"/>
        <s v="Křesla, lehátka"/>
        <s v="Elektrokoagulace"/>
        <s v="PD-stavební úpravy objektu &quot;WD&quot; - Stravovací provoz - 1.PP"/>
        <s v="EKG"/>
        <s v="Kompresní zařízení pro zastavení krvácení po perkutánních výkonech na radiálních tepnách"/>
        <s v="Polohovací a antidekubitní pomůcky"/>
        <s v="Stříkačky inflační a Y konektory pro PTCA"/>
        <s v="Odstranění revizních závad na rozvodech medicinálních plynů - budova A"/>
        <s v="Materiál spotřební k tlakovým injektorům ULRICH a Medrad"/>
        <s v="Úprava povrchu stěn operačního sálu"/>
        <s v="PD-Stavební úpravy kliniky neurochirugie-operační sál č.2 v 3NP"/>
        <s v="Servisní podpora IS pro plánování, objednávání a dokumentaci chemoterapií a gavemetrickou přípravu medikací s obsahem cytostatik II.  "/>
        <s v="Dodávky termotiskáren"/>
        <s v="Dodávky notebooků"/>
        <s v="Stolní sterilizátory"/>
        <s v="Prověření nároku na odpočet DPH za období let 2016 a 2017"/>
        <s v="Chlazení vyšetřoven budova M1 a C"/>
        <s v="2. Vodící dráty k vaskulárním intervencím"/>
        <s v="Katetr radioablační pro KCHIR"/>
        <s v="Léčivé přípravky z ATC L04"/>
        <s v="Přenosné přístroje pro defibrilaci "/>
        <s v="Analyzátora otoakustickýh emisí"/>
        <s v="Ikterometr"/>
        <s v="Monitor pro měření hemodynamiky II."/>
        <s v="Servis RTG přístrojů Philips"/>
        <s v="Servisní podpora SW pro navrhování, projektování a simulaci stavby"/>
        <s v="4. Diagnostické katétry"/>
        <s v="3. Pouzdra zaváděcí"/>
        <s v="Ohřívací jednotka"/>
        <s v="Poskytování servisních služeb u přístrojů Gambro"/>
        <s v="Redukční ventily a průtokoměry kyslíku, regulátory podtlaku"/>
        <s v="Tisk nemocničního časopisu"/>
        <s v="Materiál spotřební k tlakovým injektorům ULRICH"/>
        <s v="PD - Meření spotřeby energií v areálu FN Olomouc"/>
        <s v="Úprava povrchu stěn operačního sálu II."/>
        <s v="13. Stentgrafty vaskulární"/>
        <s v="12. Stenty vaskulární"/>
        <s v="5. Mikrokatétry"/>
        <s v="Výroba a montáž nábytku II/2019"/>
        <s v="Optimalizace procesů na operačních sálech"/>
        <s v="Servisní podpora SW pro navrhování, projektování a simulaci stavby II"/>
        <s v="Dodávka kancelářských zařízení pro kopírování, skenování a tisk dokumentů"/>
        <s v="Katetry balónkové intraaortální kontrapulzační"/>
        <s v="Vrtací systém pro rekonstrukční chirurgii"/>
        <s v="Přenosné/bedside EEG a hlavice"/>
        <s v="Antitrombotika 2019"/>
        <s v="Norepinefrin a Enzymové přípravky 2019"/>
        <s v="Cytostatika s obsahem nivolumabu"/>
        <s v="Implementace zákona o kybernetické bezpečnosti a ISMS"/>
        <s v="24. Systémy pro uzavírání tepenných vstupů po perkutánních cévních výkonech"/>
        <s v="21. Mechanické zařízení k extrakci trombů/embolů při ICMP"/>
        <s v="Instalace vyvolávacích systémů"/>
        <s v="Centrifugy"/>
        <s v="VRV chlazení - budova D1 - 6.-8.NP"/>
        <s v="15.a 18. Embolizační spirály"/>
        <s v="17. Flow divertery neurointervenční"/>
        <s v="Triazolové deriváty 2019"/>
        <s v="Antibakteriální léčiva pro systémovou aplikaci I."/>
        <s v="Antibakteriální léčiva pro systémovou aplikaci II."/>
        <s v="Antibakteriální léčiva pro systémovou aplikaci III."/>
        <s v="Štěrbinové lampy"/>
        <s v="14. Stentgrafty aortální"/>
        <s v="Rekonstrukce hygienických zařízení na PORGYN v budově C ve 2NP"/>
        <s v="Poskytování servisních služeb u přístrojů Miele II"/>
        <s v="Medicinální a technické plyny 2019"/>
        <s v="Akumulátorové sestavy vrtačka a oscilační pila pro endoprotetiku"/>
        <s v="Výroba a montáž nábytku III/2019"/>
        <s v="Vyšetření moči se zápůjčkou analyzátorů 2019"/>
        <s v="Protéza cévní Gelweave Valsalva"/>
        <s v="Polohovač a ofuk Blower Mister"/>
        <s v="PODPORA MECHANICKÁ SRDEČNÍ -  CENTRIFUGÁLNÍ PUMPA STOECKERT SPIN"/>
        <s v="Intrakoronární shunty flexibilní"/>
        <s v="Sanitní vozidla"/>
        <s v="Havarijní oprava kanalizace na ulici Profesora Fuky"/>
        <s v="Stabilizátory pro operace srdce bez mimotělního oběhu"/>
        <s v="IROP - Stoly operační II."/>
        <s v="Servis chladící techniky FNOL"/>
        <s v="Oprava MaR - budova A, II. Etapa"/>
        <s v="Monitorovací systém vitálních funkcí FNOL"/>
        <s v="Separátory PCS2 a MCS+ včetně spotřebního materiálu"/>
        <s v="Poskytování servisních služeb u přístroje pro terapeutické dávkování NO"/>
        <s v="Nástroje chirurgické pro operační sály - doplnění sít"/>
        <s v="Kleště bioptické myokardiální"/>
        <s v="Dezinfektor podložních mís"/>
        <s v="Automat pro PCR diagnostiku neuroinfekcí"/>
        <s v="6. Dilatační balónkové katétry vaskulární"/>
        <s v="Sonda jícnová manometrická"/>
        <s v="Poskytování servisních služeb u přístrojů Miele III"/>
        <s v="Krevní vaky a lisy"/>
        <s v="17. Flow divertery neurointervenční II."/>
        <s v="Výměna chladící jednotky v budově C"/>
        <s v="Komplexní monitorační systém pro ECMO"/>
        <s v="16. Tekuté embolizační činidlo"/>
        <s v="Gynekologické vyšetřovací křeslo s příslušenstvím"/>
        <s v="Dezinfektor podložních mís a močových láhví "/>
        <s v="Centrifugální pumpa Stockert Spin"/>
        <s v="Intrakoronární shunty flexibilní II."/>
        <s v="11. Katétry pro návrat do pravého lumen cévy"/>
        <s v="7. Aspirační katétry intrakraniální"/>
        <s v="20. Vaskulární plugy periferní"/>
        <s v="22. Protekční zařízení při intervencích na karotickém povodí"/>
        <s v="23. Souprava k zajištění transjugulárního přístupu do žilního systému jaterního před TIPS"/>
        <s v="Antibakteriální léčiv pro systémovou aplikaci IV."/>
        <s v="Diagnostika OKB I. 2019"/>
        <s v="Diagnostika OKB II. 2019"/>
        <s v="Diagnostika OKB III. 2019"/>
        <s v="Diagnostika OKB IV. 2019"/>
        <s v="Diagnostika OKB V. 2019"/>
        <s v="Diagnostika MIKRO I. 2019"/>
        <s v="Diagnostika MIKRO II. 2019"/>
        <s v="Diagnostika MIKRO III. 2019"/>
        <s v="Diagnostika IMUNO I. 2019"/>
        <s v="Diagnostika IMUNO II. 2019"/>
        <s v="Diagnostika IMUNO III. 2019"/>
        <s v="Diagnostika  PATOLOGIE  2019"/>
        <s v="Prodloužení a sjednocení licencí SW Veeam Backup Enterprise"/>
        <s v="Cardiomessengery s implantabilním EKG biomonitorem - studie SurHyb"/>
        <s v="Poskytování servisních služeb u přístroje pro terapeutické dávkování NO II."/>
        <s v="Přístroj pH-metr s impedancí"/>
        <s v="28. Y-Adaptéry"/>
        <s v="31. Drenážní katétry pro zevní derenáže žlučových cest"/>
        <s v="9. Modelační balónkové katétry aortální"/>
        <s v="8. Okluzní balónkové katétry neurointervenční"/>
        <s v="Dětská nemocniční standardní lůžka"/>
        <s v="Nástroje chirurgické pro COSS"/>
        <s v="Chlazení VRV - budova D1 - 6.-8.NP II."/>
        <s v="Rozmrazovač krevní plazmy II."/>
        <s v="30. Materiál k perkutánním biopsiím"/>
        <s v="34. Jícnové stenty"/>
        <s v="26. Extraktory intravaskulární"/>
        <s v="Výměna chladící jednotky v budově C II."/>
        <s v="Analyzátora otoakustických emisí II."/>
        <s v="Diagnostika HOK I. 2019"/>
        <s v="Diagnostika HOK II. 2019"/>
        <s v="Diagnostika HOK III. 2019"/>
        <s v="Diagnostika GENETIKA I. 2019"/>
        <s v="Diagnostika EXP.MED a IVF I. 2019"/>
        <s v="Operační světla"/>
        <s v="Filtry pro vzduchotechniku 2019"/>
        <s v="Prověření nároku na odpočet DPH za období let 2016, 2017 a 2018"/>
        <s v="Sanitní vozidla II."/>
        <s v="Cardiomessengery s implantabilním EKG biomonitorem - studie SurHyb II"/>
        <s v="29. Drenážní sety pro perkutánní výkony"/>
        <s v="Dodávka pneumatik pro osobní, dodávková a nákladní vozidla FNOL"/>
        <s v="Analyzátora otoakustických emisí III."/>
        <s v="Oxymetry"/>
        <s v="Monitor pro měření hemodynamiky III."/>
        <s v="EKG II."/>
        <s v="Stavební úpravy dospávací haly v objektu „A“ – 2.NP"/>
        <s v="Vybudování unifikovaných shromaždišť odpadů "/>
        <s v="Drát zaváděcí EMERALD "/>
        <s v="Inhibitory interleukinu I. 2019"/>
        <s v="Léčiva s obsahem karfilzomibu 2019"/>
        <s v="Inhibitory proteinkináz II. 2019 "/>
        <s v="Komplexní monitorační systém pro ECMO II."/>
        <s v="Monoklonální protilátky 2019"/>
        <s v="Inhibitory proteinkináz I.  2019"/>
        <s v="Poskytování servisních služeb u přístrojů Olympus"/>
        <s v="31.Drenážní katétry pro zevní drenáže žlučových cest II"/>
        <s v="Přístroj pH-metr s impedancí II"/>
        <s v="29. Drenážní sety pro perkutánní drenáže II"/>
        <s v="7. Aspirační katétry intrakraniální II"/>
        <s v="FN Olomouc - obměna 3 ks lineárních urychlovačů a Thomayerova nemocnice - obměna 2 ks lineárních urychlovačů - sdružený nákup"/>
        <s v="EKG biomonitory"/>
        <s v="Diagnostické soupravy pro imunohematologické vyšetření se zápůjčkou analyzátorů"/>
        <s v="MIDOSTAURIN 2019"/>
        <s v="N05CM18 Dexmedetomidin 2019"/>
        <s v="Interferony 2019"/>
        <s v="Odlučovač tuků"/>
        <s v="Rekonstrukce topení a ohřevu vody v bytech na ubytovně Albertova"/>
        <s v="28. Y-Adaptéry II."/>
        <s v="FN Olomouc - Automatický vjezdový systém"/>
        <s v="Jiná imunosupresiva 2019"/>
        <s v="Mikro-ultrazvukový přístroj pro navigaci biopsie prostaty II."/>
        <s v="34. Jícnové stenty II."/>
        <s v="Sanace lodžie v budově Q204  na Dětské klinice "/>
        <s v="Přístroj pro lymfodrenáž včetně příslušenství"/>
        <s v="Mrazící boxy, chladnice a lednice FNOL"/>
        <s v="Zpracování generelu rozvoje areálu FN Olomouc"/>
        <s v="ELISA readery a procesory"/>
        <s v="Audiometry"/>
        <s v="Mycí a dezinfekční automat na operační obuv"/>
        <s v="Oprava přístupové rampy k přistávací ploše"/>
        <s v="Instalace vyvolávacích systémů II."/>
        <s v="Produkty na výrobu nápojů pro hospitalizované pacienty"/>
        <s v="Oprava elektroinstalace na operačních sálech Ortopedie"/>
        <s v="31.Drenážní katétry pro zevní drenáže žlučových cest III"/>
        <s v="Termocyklery"/>
        <s v="Ultrazvukové sestavy"/>
        <s v="34. Jícnové stenty III."/>
        <s v="Laboratorní chlazená centrifuga"/>
        <s v="Dodání a instalace formátovací pily"/>
        <s v="Pozáruční servis IBM zařízení"/>
        <s v="PD-Stavební úpravy objektu &quot;D&quot;-únikové cesty"/>
        <s v="Zabezpečení správy, aktualizace a rozvoj stávajícího webového řešení klienta"/>
        <s v="Akumulátorové sestavy vrtačka a oscilační pila pro endoprotetiku II."/>
        <s v="Inhibitory interleukinu I. 2019/2"/>
        <s v="Inhibitory proteinkináz IV. 2019"/>
        <s v="Automat pro PCR diagnostiku neuroinfekcí II."/>
        <s v="Update software karyotypovacích kamer"/>
        <s v="Gynekologické vyšetřovací křeslo s příslušenstvím II."/>
        <s v="Břišní rozvěrač"/>
        <s v="Optimalizace operačních procesů ve FNOL"/>
        <s v="Transportní monitor vitálních funkcí"/>
        <s v="Mobilní RTG přístroje"/>
        <s v="Servisní podpora informačních systémů: Mikrobiologie, Patologie, Distribuční portál, Akreditační nadstavba, Specializované ambulantní moduly"/>
        <s v="Blinatumomab - sdružený nákup 2019"/>
        <s v="ELISA readery a procesory II"/>
        <s v="Antitrombotika 2019/2"/>
        <s v="Antivirotika k léčbě infekce HCV 2019"/>
        <s v="Alemtuzumab - sdružený nákup 2019"/>
        <s v="Stavební úpravy 1.NP a 1.PP objektu E-kliniky ORL"/>
        <s v="Testery pevnosti a rozpadavosti tablet"/>
        <s v="Prokládací mycí a dezinfekční automaty na nástroje"/>
        <s v="Léčivý přípravek OCALIVA 2019"/>
        <s v="Měření spotřeby energií"/>
        <s v="Laboratorní chlazená centrifuga II."/>
        <s v="2k jednoblokových termocyklerů"/>
        <s v="Hlubokomrazící boxy"/>
        <s v="EKG III."/>
        <s v="Prověření nároku na odpočet DPH za období let 2016 až 2018"/>
        <s v="Teriflunomid 2019 - sdružený nákup"/>
        <s v="PŘENOSNÝ ELASTOMERNÍ INFUZNÍ SYSTÉM INFUSOR LV "/>
        <s v="Léčivé přípravky s obsahem ivakaftoru 2019"/>
        <s v="Jiná systémová hemostatika 2019"/>
        <s v="Rozšíření telefonního systému"/>
        <s v="Sternální systém ZIPFIX (materiál peek) pro rychlou stabilizaci a fixaci sterna"/>
        <s v="Norepinefrin 2019"/>
        <s v="Ohřívací jednotka II."/>
        <s v="Servis, opravy a údržba sanitních, dodávkových a osobních vozidel FNOL"/>
        <s v="PC sestavy FNOL"/>
        <s v="Oprava výtahů č.1,60 a 61"/>
        <s v="Hygienické zabezpečení vody v budově Y"/>
        <s v="Cafeteria systém"/>
        <s v="Servisní podpora Identity Managementu CzechIdM ve FN Olomouc"/>
        <s v="Servisní podpora informačního systému EFA"/>
        <s v="Drát vodící k měření intrakoronárního tlaku Pressure Wire X"/>
        <s v="Ultrazvukový aspirátor"/>
        <s v="Sušící skříň"/>
        <s v="Síťové aktivní prvky"/>
        <s v="HW Application Delivery Controller"/>
        <s v="Hematologický analyzátor výrobce Sysmex - servisní služby"/>
        <s v="Servisní služby - RTG přístroje Ziehm a motodlahy Daniflex"/>
        <s v="Flexibilní endoskopy"/>
        <s v="Léčivé přípravky s obsahem ambrisentanu 2019"/>
        <s v="Léčivé přípravky s obsahem abirateronu 2019"/>
        <s v="Léčivé přípravky pro léčbu plicní arteriální hypertenze a podání při systémové sklerodermii  2019"/>
        <s v="Opioidní analgetika (anodyna) 2019"/>
        <s v="Jiná cytostatika II 2019"/>
        <s v="Jiná cytostatika I 2019 - VZ-2020-000008"/>
        <s v="Jiná imunostimulancia 2019"/>
        <s v="Inhibitory interleukinu II 2019"/>
        <s v="15. Embolizační spirály odpoutatelné neurointervenční"/>
        <s v="Cetuximab I. 2019"/>
        <s v="Kobimetinib fumarát 2019 "/>
        <s v="PD - Stavební úpravy Radiologické kliniky v budově A - 1.PP "/>
        <s v="Jiná léčiva nervového systému 2019"/>
        <s v="PD na rekonstrukci chladící stanice PS20"/>
        <s v="Výroba a montáž nábytku V/2019"/>
        <s v="Výměna komunikačního systému sestra pacient na DK 21B"/>
        <s v="Instalace ochranných prvků"/>
        <s v="Materiál spotřební k tlakovým injektorům ULRICH II."/>
        <s v="Ultrazvukový přístroj"/>
        <s v="Fototerapeutická jednotka"/>
        <s v="Porodní instrumentaria"/>
        <s v="FN Olomouc - Automatický vjezdový systém II."/>
        <s v="Stanovení specifických IgE protilátek se zápůjčkou analyzátoru"/>
        <s v="Stříkačky inflační a trojcestné kohouty pro PTCA pro Radiologii"/>
        <s v="26. Extraktory intravaskulární III. "/>
        <s v="Elektrochirurgické a argonové generátory"/>
        <s v="Vysokofrekvenční ventilátor pro novorozence a malé děti"/>
        <s v="Systém přímé vizualizace žlučových cest s elektrohydraulickou litotripsií"/>
        <s v="Manuální rotační mikrotom"/>
        <s v="Generátor ultrazvukový se sacím systémem pro terapii urolitiázy"/>
        <s v="Stříkačky proplachovací předplněné sterilním 0,9%NACl – sdružený nákup "/>
        <s v="Léčivé přípravky z ATC L04AA - selektivní imunosupresiva"/>
        <s v="Levodopa a inhibitor dekarboxylázy"/>
        <s v="Kontrola provozuschopnosti hasících přístrojů a zařízení pro zásobování požární vodou"/>
        <s v="Snímání CO v kompresorových stanicích"/>
        <s v="Oprava střešního pláště budovy RZH a RZJ"/>
        <s v="Systém pro léčbu nehojících se ran "/>
        <s v="Kardioangiografický komplet pro elektrofyziologii VZ-2020-000013"/>
        <s v="Rouškovací sety pro radiologii"/>
        <s v="Mobilní datové terminály"/>
        <s v="Ubytování a služby spojené s realizací vzdělávací akce pro vedoucí zaměstnance FN Olomouc"/>
        <s v="Systém na odsávání sekretů"/>
        <s v="Přístroje funkční elektrostimulace"/>
        <s v="Vysokofrekvenční ventilátor pro novorozence a malé děti II."/>
        <s v="Nástroje chirurgické pro Ortopedii"/>
        <s v="Rouškovací sety pro I. Interní kliniku - kardiologickou"/>
        <s v="Nerezový mobiliář"/>
        <s v="Oprava MaR budova A, III. etapa"/>
        <s v="Přístroj pro molekulární onkologickou diagnostiku"/>
        <s v="Vyšetřovací jednotka s elektrokoagulací, odsáváním a nosním sprejem"/>
        <s v="Zařízení lavážní pro HIPEC II"/>
        <s v="Digitalizace doručené listinné pacientské dokumentace"/>
        <s v="Výměna stávajícího dorozumívacího systému sestra pacient na PSY"/>
        <s v="Kontejnery sterilizační a dekontaminační s příslušenstvím"/>
        <s v="Elektrody defibrilační jednorázové"/>
        <s v="Monoklonální protilátky  II. 2019"/>
        <s v="Léčivé přípravky z ATC N04BC - Agonisté dopaminu 2019"/>
        <s v="Inhibitory proteinkináz III. 2019"/>
        <s v="FN Olomouc - stavební úpravy ortopedické kliniky - pracoviště sterilizace v 1.PP"/>
        <s v="Rekonstrukce topení a opravy podlah v bytech na ubytovně Albertova 26"/>
        <s v="Zřízení předávací stanice v budově R"/>
        <s v="Oční laserové přístroje"/>
        <s v="Videolaryngoskop"/>
        <s v="Pojištění majetku, pojištění obecné a profesní odpovědnosti FN Olomouc"/>
        <s v="Servisní podpora personálního a mzdového systému"/>
        <s v="Informační systém Mamárního screeningu"/>
        <s v="Mycí a dezinfekční automat na operační obuv II."/>
        <s v="Instrumentárium pro ORTOP"/>
        <s v="FN Olomouc - obnova kardiologické SPECT kamery pro KNM"/>
        <s v="Celogenomové sekvenování vzorků humánního genu"/>
        <s v="Imunochemická vyšetření s výpůjčkou analyzátoru"/>
        <s v="Láhve a dudlíky krmící jednorázové"/>
        <s v="Rekonstrukce topení a opravy podlah v bytech na ubytovně Albertova 26 II."/>
        <s v="Servisní služby - spektrometr Maldi Biotyper"/>
        <s v="Titanový sternální fixační systém - VZ-2020-000195"/>
        <s v="Zajištění záložní internetové konektivity FNOL"/>
        <s v="Výměna rozvodů TV a CIR v budově R"/>
        <s v="Tiskárny FNOL 2019"/>
        <s v="PD - Nástavba budovy A -"/>
        <s v="Léčiva s obsahem omalizumabu 2019 - sdružený nákup "/>
        <s v="Léčiva s obsahem idelalisibu 2019 - sdružený nákup "/>
        <s v="Léčivé přípravky z ATC H01A - Hormony předního laloku hypofýzy a analoga"/>
        <s v="Přístroj pro molekulární onkologickou diagnostiku II."/>
        <s v="Servis výtahové techniky - VZ-2020-000057"/>
        <s v="Videolaryngoskop II."/>
        <s v="Inhibitory proteinkináz V. 2019"/>
        <s v="Fototerapeutická jednotka pro Novorozenecké oddělení"/>
        <s v="Monitory FNOL 2019"/>
        <s v="Hepariny 2019"/>
        <s v="Rekonstrukce chladící stanice - VZ-2020-000004"/>
        <s v="Bronchoskopy"/>
        <s v="Elektrické polohovatelné křeslo s příslušenstvím"/>
        <s v="Rigidní bronchoskopy pro tryskovou ventilaci Twinstream"/>
        <s v="Stomatologická souprava"/>
        <s v="Demolice budov v areálu FN Olomouc"/>
        <s v="Dodávkový automobil"/>
        <s v="Celková rekonstrukce TS3 - VZ-2020-000003"/>
        <s v="Pozáruční podpora systému AGFA IMPAX II."/>
        <s v="Inhibitory proteinkináz VI. 2019"/>
        <s v="Kancelářský papír 2020"/>
        <m/>
        <s v="LP s obsahem účinné látky alteplasa, degarelix-acetát, abirateron-acetát, - II." u="1"/>
        <s v="Akumulátorové sestavy vrtačka a oscilační pila pro endoprotetiku " u="1"/>
        <s v="Totální endoprotézy - část V. TEP koleního kloubu - speciál I." u="1"/>
        <s v="Flow divertery neurointervenční" u="1"/>
        <s v="Stoly operační a zákrokové - část II. Operační stoly" u="1"/>
        <s v="Kontejnery sterilizační pro ORTOP a COSS" u="1"/>
        <s v="Realizace parkoviště pod Dětskou klinikou a u lékárny - část I. DK" u="1"/>
        <s v="Servis výtahové techniky" u="1"/>
        <s v="Intervenční kardiologie - část II." u="1"/>
        <s v="Kobemitinib fumarát 2019 " u="1"/>
        <s v="Spinální implantáty - část III." u="1"/>
        <s v="Srdeční chlopně a anuloplastické prstence - část VII." u="1"/>
        <s v="Jiná systémová hemostatika a látky tvořící cheláty se železem - část VI." u="1"/>
        <s v="Chladící a mrazící zařízení - část I. Chladnice a lednice" u="1"/>
        <s v="Přístroje pro plicní ventilaci - část II. Transportní ventilátory" u="1"/>
        <s v="Elektrofyziologie - část VIII." u="1"/>
        <s v="Realizace parkoviště pod Dětskou klinikou a u lékárny - část II. Lékárna" u="1"/>
        <s v="LP s obsahem účinné látky alteplasa, degarelix-acetát, abirateron-acetát, - V." u="1"/>
        <s v="Elektrofyziologie - část V" u="1"/>
        <s v="Elektrofyziologie - část X" u="1"/>
        <s v="Jiná systémová hemostatika a látky tvořící cheláty se železem - část III." u="1"/>
        <s v="Somatropin - část V. Omnitrope" u="1"/>
        <s v="Totální endoprotézy - část III. TEP kyčelního kloubu - speciál II." u="1"/>
        <s v="Servisní podpora mzdového a personálního systému" u="1"/>
        <s v="Spinální implantáty - část II." u="1"/>
        <s v="Antivirotika pro systémovou aplikaci-antihepatitidová - část V. Sofosbuvir/ledipasvir" u="1"/>
        <s v="Servisní podpora produktu VEMA" u="1"/>
        <s v="Totální endoprotézy - část VI. TEP koleního kloubu - speciál II." u="1"/>
        <s v="Somatropin - část VII. Zomacton" u="1"/>
        <s v="Novostavba lapáku tuků oleje" u="1"/>
        <s v="Mobilní terminály" u="1"/>
        <s v="Spinální implantáty - část VIII." u="1"/>
        <s v="Paramagnetické kontrastní látky - část III." u="1"/>
        <s v="Srdeční chlopně a anuloplastické prstence - část I." u="1"/>
        <s v="Lokální hemostatika a parenterální přípravky s obsahem železa - část V." u="1"/>
        <s v="LP s obsahem účinné látky alteplasa, degarelix-acetát, abirateron-acetát, - IV." u="1"/>
        <s v="Elektrofyziologie - část IV." u="1"/>
        <s v="Chladící a mrazící zařízení - číst II. Hlubokomrazící boxy" u="1"/>
        <s v="Elektrofyziologie - část III." u="1"/>
        <s v="Optimalizace procesů na operačních sálech II." u="1"/>
        <s v="Celková rekonstrukce TS3" u="1"/>
        <s v="Interferony 2018 - část III. Interferon beta-1a II" u="1"/>
        <s v="Neurostimulační systémy - část V." u="1"/>
        <s v="Antivirotika pro systémovou aplikaci-antihepatitidová - část I. Ribarvin" u="1"/>
        <s v="Elektrofyziologie - část VII." u="1"/>
        <s v="Antivirotika pro systémovou aplikaci-antihepatitidová - část VI.Sofosbuvir/velpatasvir" u="1"/>
        <s v="Elektrofyziologie - část XII." u="1"/>
        <s v="PD - Meření spotřeby enerfií v areálu FN Olomouc" u="1"/>
        <s v="30. Bioptické jehly " u="1"/>
        <s v="Rekonstrukce chladící stanice" u="1"/>
        <s v="Spinální implantáty - část XIII." u="1"/>
        <s v="Jiná systémová hemostatika a látky tvořící cheláty se železem - část II." u="1"/>
        <s v="IROP – Ventilační a resuscitační technika - část IV. Zvlhčovací kanyla" u="1"/>
        <s v="Intervenční kardiologie - část XVIII." u="1"/>
        <s v="Intervenční kardiologie - část XXI." u="1"/>
        <s v="Monitor pro měření hemodynamiky" u="1"/>
        <s v="Srdeční chlopně a anuloplastické prstence - část VI." u="1"/>
        <s v="Servisní služby u přístrojů Olympus" u="1"/>
        <s v="Somatropin - část IV. Nutropinaq" u="1"/>
        <s v="IROP – Ventilační a resuscitační technika - část III. Přístroj pro podporu dýchání" u="1"/>
        <s v="Přístroje pro monitoring životních funkcí plodu - část II. ST analyzátor" u="1"/>
        <s v="Lokální hemostatika a parenterální přípravky s obsahem železa - část IV." u="1"/>
        <s v="Intervenční kardiologie " u="1"/>
        <s v="Elektrofyziologie - část IX." u="1"/>
        <s v="Konektor bezjehlový 2018" u="1"/>
        <s v="Neurostimulační systémy - část IV." u="1"/>
        <s v="Jiná cytostatika I 2019" u="1"/>
        <s v="Intervenční kardiologie - část XVI." u="1"/>
        <s v="Senzory k měření cerebrální oxymetrie - část II. Fore-sight ELITE dual velký" u="1"/>
        <s v="Lokální hemostatika a parenterální přípravky s obsahem železa - část VII." u="1"/>
        <s v="Elektrofyziologie - část II." u="1"/>
        <s v="Prověření nároku na odpočet DPH za období let 2017 a 2018" u="1"/>
        <s v="IROP - Inkubátory - část III. Inkubátor transportní" u="1"/>
        <s v="Srdeční chlopně a anuloplastické prstence - část III." u="1"/>
        <s v="Lokální hemostatika a parenterální přípravky s obsahem železa - část I." u="1"/>
        <s v="Elektrofyziologie - část VI." u="1"/>
        <s v="Elektrofyziologie - část XI." u="1"/>
        <s v="Analyzátora otoakustickýh emisí II." u="1"/>
        <s v="Léčivé přípravky pro léčbu plicní arteriální hypertenze - část I." u="1"/>
        <s v="Lineární urychlovače" u="1"/>
        <s v="Antivirotika pro systémovou aplikaci-antihepatitidová - část II. Tenofovir" u="1"/>
        <s v="Neurostimulační systémy - část I." u="1"/>
        <s v="Antivirotika pro systémovou aplikaci-antihepatitidová - část IV. Ombitasvir" u="1"/>
        <s v="Monoklonální protilátky s obsahem účinné látky rituximab - část II. " u="1"/>
        <s v="Léčivé přípravky pro léčbu plicní arteriální hypertenze - část V." u="1"/>
        <s v="Spinální implantáty - část VII." u="1"/>
        <s v="Antivirotika pro systémovou aplikaci-antihepatitidová - část VIII. Elbasvir" u="1"/>
        <s v="Srdeční chlopně a anuloplastické prstence - část IV." u="1"/>
        <s v="Intervenční kardiologie - část XX." u="1"/>
        <s v="Antivirotika pro systémovou aplikaci-antihepatitidová - část VII. Sofosbuvir/…" u="1"/>
        <s v="Embolizační spirály" u="1"/>
        <s v="Titanový sternální fixační systém" u="1"/>
        <s v="LP s obsahem účinné látky alteplasa, degarelix-acetát, abirateron-acetát, - I." u="1"/>
        <s v="Intervenční kardiologie - část V." u="1"/>
        <s v="Flowmon sonda" u="1"/>
        <s v="Totální endoprotézy - část II. TEP kyčelního kloubu - speciál I." u="1"/>
        <s v="Ohřívací jednotka pro jednotku intermediální péče" u="1"/>
        <s v="Léčivé přípravky pro léčbu plicní arteriální hypertenze - část VIII." u="1"/>
        <s v="Spinální implantáty - část VI." u="1"/>
        <s v="Intervenční kardiologie - část XV." u="1"/>
        <s v="Přístroje pro plicní ventilaci - část I. Plicní ventilátory" u="1"/>
        <s v="Kapilární hemodialyzátory 2018 - část II. High Flux" u="1"/>
        <s v="Intervenční kardiologie - část IX." u="1"/>
        <s v="Prověření nároku na odpočet DPH za období let 20167 až 2018" u="1"/>
        <s v="Lokální hemostatika a parenterální přípravky s obsahem železa - část VI." u="1"/>
        <s v="Totální endoprotézy - část IV. TEP koleního kloubu ." u="1"/>
        <s v="Somatropin - část III. Norditropin" u="1"/>
        <s v="Monoklonální protilátky s obsahem účinné látky rituximab - část I. " u="1"/>
        <s v="Servisní podpora Identity Managementu ve FNOL" u="1"/>
        <s v="Srdeční chlopně a anuloplastické prstence - část IX." u="1"/>
        <s v="Lokální hemostatika a parenterální přípravky s obsahem železa - část III." u="1"/>
        <s v="Přístroje pro plicní ventilaci - část III. Neinvazivní plicní ventilátor" u="1"/>
        <s v="Spinální implantáty - část XI." u="1"/>
        <s v="Totální endoprotézy - část I. TEP kyčelního kloubu" u="1"/>
        <s v="Neurostimulační systémy - část III." u="1"/>
        <s v="LP s obsahem účinné látky alteplasa, degarelix-acetát, abirateron-acetát, - VI." u="1"/>
        <s v="Intervenční kardiologie - část X." u="1"/>
        <s v="Somatropin - část VI. Saizen" u="1"/>
        <s v="Kalibrace a validace měřidel a zařízení 2019- část I." u="1"/>
        <s v="Intervenční kardiologie - - část IV." u="1"/>
        <s v="Kalibrace a validace měřidel a zařízení 2019 - část II. ConWin" u="1"/>
        <s v="Anestetika celková-halogenované uhlovodíky - část I. Desfluran" u="1"/>
        <s v="Somatropin - část I. Genotropin" u="1"/>
        <s v="Interferony 2018 - část II. Interferon beta-1a I" u="1"/>
        <s v="Léčivé přípravky pro léčbu plicní arteriální hypertenze - část IV." u="1"/>
        <s v="Léčivé přípravky pro léčbu plicní arteriální hypertenze - část III." u="1"/>
        <s v="Srdeční chlopně a anuloplastické prstence - část II." u="1"/>
        <s v="Kardioangiografický komplet pro elektrofyziologii " u="1"/>
        <s v="Intervenční kardiologie - část VII." u="1"/>
        <s v="IROP – Ventilační a resuscitační technika - část II. Plicní ventilátor" u="1"/>
        <s v="Léčivé přípravky pro léčbu plicní arteriální hypertenze - část VII." u="1"/>
        <s v="Intervenční kardiologie - část I." u="1"/>
        <s v="Jiná systémová hemostatika a látky tvořící cheláty se železem - část V." u="1"/>
        <s v="Interferony 2018 - část VI. Peginterferon beta-1a" u="1"/>
        <s v="Stavební úpravy Radiologické kliniky v budově A - 1.PP " u="1"/>
        <s v="Kapilární hemodialyzátory 2018 - část I. Low Flux" u="1"/>
        <s v="Monitory životních a mozkových funkcí - část I." u="1"/>
        <s v="PD - Nástavba budovy A" u="1"/>
        <s v="Lokální hemostatika a parenterální přípravky s obsahem železa - část II." u="1"/>
        <s v="Neurostimulační systémy - část II." u="1"/>
        <s v="Přístroje pro monitoring životních funkcí plodu - část I. KTG" u="1"/>
        <s v="Intervenční kardiologie - část XII." u="1"/>
        <s v="Anestetika celková-halogenované uhlovodíky - část II. Sevofluran" u="1"/>
        <s v="LP s obsahem účinné látky alteplasa, degarelix-acetát, abirateron-acetát, - III." u="1"/>
        <s v="Antivirotika pro systémovou aplikaci-antihepatitidová - část III. Monohydrát" u="1"/>
        <s v="Ověřovací studie PD &quot;Rekonstrukce a dostavba hlvaní budovy FJ&quot;" u="1"/>
        <s v="Senzory k měření cerebrální oxymetrie - část I. Somasensor INVOS pro dospěle" u="1"/>
        <s v="Léčivé přípravky pro léčbu plicní arteriální hypertenze - část II." u="1"/>
        <s v="Intervenční kardiologie - část  VIII." u="1"/>
        <s v="Intervenční kardiologie - část VI." u="1"/>
        <s v="Jiná systémová hemostatika a látky tvořící cheláty se železem - část IV." u="1"/>
        <s v="Monitory životních a mozkových funkcí - část III." u="1"/>
        <s v="Léčivé přípravky pro léčbu plicní arteriální hypertenze - část VI." u="1"/>
        <s v="Spinální implantáty - část V." u="1"/>
        <s v="Intervenční kardiologie - část XVII." u="1"/>
        <s v="Intervenční kardiologie - část III." u="1"/>
        <s v="Spinální implantáty - část IX." u="1"/>
        <s v="Paramagnetické kontrastní látky - část II." u="1"/>
        <s v="Intervenční kardiologie - část XIV." u="1"/>
        <s v="Elektrochirurgický generátor včetně pokročilé bipolární koagulace" u="1"/>
        <s v="Intervenční kardiologie - část XIX." u="1"/>
        <s v="Vodící dráty k vaskulárním intervencím" u="1"/>
        <s v="Léčiva s obsahem idelalisibu 2019 - sdružený nákup" u="1"/>
        <s v="Léčiva s obsahem omalizumabu 2019 - sdružený nákup" u="1"/>
        <s v="Spinální implantáty - část X." u="1"/>
        <s v="Jiná systémová hemostatika a látky tvořící cheláty se železem - část I." u="1"/>
        <s v="Spinální implantáty - část IV." u="1"/>
        <s v="Paramagnetické kontrastní látky - část I." u="1"/>
        <s v="Somatropin - část II. Humatrope" u="1"/>
        <s v="Intervenční kardiologie - část XI." u="1"/>
        <s v="Servisní podpora informačních systémů (LAB-IS)" u="1"/>
        <s v="Elektrofyziologie - část I." u="1"/>
        <s v="Monitory životních a mozkových funkcí - část II." u="1"/>
        <s v="IROP – Ventilační a resuscitační technika - část I. Resuscitační přístroj" u="1"/>
        <s v="Stoly operační a zákrokové - část I. Stůl zákrokový" u="1"/>
      </sharedItems>
    </cacheField>
    <cacheField name="Část" numFmtId="0">
      <sharedItems containsString="0" containsBlank="1" containsNumber="1" containsInteger="1" minValue="1" maxValue="18"/>
    </cacheField>
    <cacheField name="Název části VZ" numFmtId="0">
      <sharedItems containsBlank="1"/>
    </cacheField>
    <cacheField name="ATC kód u léčiv" numFmtId="0">
      <sharedItems containsBlank="1"/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1853" maxValue="467173553"/>
    </cacheField>
    <cacheField name="Druh VZ" numFmtId="0">
      <sharedItems containsBlank="1" count="4">
        <s v="OŘ"/>
        <s v="ZPŘ"/>
        <s v="VZMR"/>
        <m/>
      </sharedItems>
    </cacheField>
    <cacheField name="VZ vypsaná dne" numFmtId="0">
      <sharedItems containsNonDate="0" containsDate="1" containsString="0" containsBlank="1" minDate="2018-04-19T00:00:00" maxDate="2019-12-31T00:00:00"/>
    </cacheField>
    <cacheField name="Lhůta pro podání nabídek" numFmtId="0">
      <sharedItems containsNonDate="0" containsDate="1" containsString="0" containsBlank="1" minDate="2018-05-31T00:00:00" maxDate="2020-01-28T00:00:00"/>
    </cacheField>
    <cacheField name="Datum vyhodnocení VZ" numFmtId="0">
      <sharedItems containsDate="1" containsBlank="1" containsMixedTypes="1" minDate="2018-09-05T00:00:00" maxDate="2019-12-20T00:00:00"/>
    </cacheField>
    <cacheField name="Dodavatel / u zrušených stávající dodavatel" numFmtId="0">
      <sharedItems containsBlank="1"/>
    </cacheField>
    <cacheField name="postup po zrušení" numFmtId="0">
      <sharedItems containsBlank="1"/>
    </cacheField>
    <cacheField name="Vítězná cena bez DPH" numFmtId="44">
      <sharedItems containsBlank="1" containsMixedTypes="1" containsNumber="1" minValue="1800" maxValue="128990069.95999999"/>
    </cacheField>
    <cacheField name="Vítězná cena s DPH" numFmtId="44">
      <sharedItems containsBlank="1" containsMixedTypes="1" containsNumber="1" minValue="2178" maxValue="156077984.65159997"/>
    </cacheField>
    <cacheField name="Léčiva - Kód SUKL" numFmtId="49">
      <sharedItems containsBlank="1"/>
    </cacheField>
    <cacheField name="Léčiva - Název přípravku" numFmtId="49">
      <sharedItems containsBlank="1"/>
    </cacheField>
    <cacheField name="Léčiva - Výrobce" numFmtId="49">
      <sharedItems containsBlank="1"/>
    </cacheField>
    <cacheField name="Datum předání smlouvy do WF" numFmtId="0">
      <sharedItems containsDate="1" containsBlank="1" containsMixedTypes="1" minDate="2018-01-14T00:00:00" maxDate="2019-12-21T00:00:00"/>
    </cacheField>
    <cacheField name="Číslo smlouvy z WF" numFmtId="0">
      <sharedItems containsBlank="1"/>
    </cacheField>
    <cacheField name="Smlouva podepsána" numFmtId="0">
      <sharedItems containsNonDate="0" containsDate="1" containsString="0" containsBlank="1" minDate="2018-12-20T00:00:00" maxDate="2019-12-24T00:00:00" count="149">
        <m/>
        <d v="2019-01-04T00:00:00"/>
        <d v="2019-03-15T00:00:00"/>
        <d v="2019-03-11T00:00:00"/>
        <d v="2019-06-28T00:00:00"/>
        <d v="2019-01-11T00:00:00"/>
        <d v="2019-01-21T00:00:00"/>
        <d v="2019-02-06T00:00:00"/>
        <d v="2019-02-12T00:00:00"/>
        <d v="2019-01-24T00:00:00"/>
        <d v="2019-02-04T00:00:00"/>
        <d v="2019-02-08T00:00:00"/>
        <d v="2019-03-28T00:00:00"/>
        <d v="2019-03-25T00:00:00"/>
        <d v="2019-02-26T00:00:00"/>
        <d v="2019-03-18T00:00:00"/>
        <d v="2019-01-07T00:00:00"/>
        <d v="2019-02-19T00:00:00"/>
        <d v="2019-01-14T00:00:00"/>
        <d v="2019-02-05T00:00:00"/>
        <d v="2019-01-10T00:00:00"/>
        <d v="2019-04-01T00:00:00"/>
        <d v="2019-04-03T00:00:00"/>
        <d v="2019-04-12T00:00:00"/>
        <d v="2019-01-02T00:00:00"/>
        <d v="2019-01-09T00:00:00"/>
        <d v="2019-03-06T00:00:00"/>
        <d v="2019-01-22T00:00:00"/>
        <d v="2019-01-17T00:00:00"/>
        <d v="2019-03-19T00:00:00"/>
        <d v="2019-02-14T00:00:00"/>
        <d v="2019-05-14T00:00:00"/>
        <d v="2019-05-06T00:00:00"/>
        <d v="2019-02-25T00:00:00"/>
        <d v="2019-02-22T00:00:00"/>
        <d v="2019-04-15T00:00:00"/>
        <d v="2019-02-15T00:00:00"/>
        <d v="2019-02-18T00:00:00"/>
        <d v="2019-04-02T00:00:00"/>
        <d v="2019-02-28T00:00:00"/>
        <d v="2019-03-05T00:00:00"/>
        <d v="2019-05-17T00:00:00"/>
        <d v="2019-04-10T00:00:00"/>
        <d v="2019-03-26T00:00:00"/>
        <d v="2019-03-08T00:00:00"/>
        <d v="2019-03-12T00:00:00"/>
        <d v="2019-04-08T00:00:00"/>
        <d v="2019-07-02T00:00:00"/>
        <d v="2019-06-18T00:00:00"/>
        <d v="2019-04-04T00:00:00"/>
        <d v="2019-03-22T00:00:00"/>
        <d v="2019-06-05T00:00:00"/>
        <d v="2019-08-16T00:00:00"/>
        <d v="2019-05-22T00:00:00"/>
        <d v="2019-05-02T00:00:00"/>
        <d v="2019-04-23T00:00:00"/>
        <d v="2019-04-25T00:00:00"/>
        <d v="2019-04-17T00:00:00"/>
        <d v="2019-07-09T00:00:00"/>
        <d v="2019-05-09T00:00:00"/>
        <d v="2019-04-30T00:00:00"/>
        <d v="2019-09-17T00:00:00"/>
        <d v="2019-06-10T00:00:00"/>
        <d v="2019-06-03T00:00:00"/>
        <d v="2019-05-07T00:00:00"/>
        <d v="2019-10-25T00:00:00"/>
        <d v="2019-06-11T00:00:00"/>
        <d v="2019-06-25T00:00:00"/>
        <d v="2019-08-19T00:00:00"/>
        <d v="2019-08-28T00:00:00"/>
        <d v="2019-11-01T00:00:00"/>
        <d v="2019-08-29T00:00:00"/>
        <d v="2019-05-24T00:00:00"/>
        <d v="2019-09-04T00:00:00"/>
        <d v="2019-08-22T00:00:00"/>
        <d v="2019-08-01T00:00:00"/>
        <d v="2019-05-23T00:00:00"/>
        <d v="2019-06-12T00:00:00"/>
        <d v="2019-06-24T00:00:00"/>
        <d v="2019-09-23T00:00:00"/>
        <d v="2019-09-10T00:00:00"/>
        <d v="2019-05-21T00:00:00"/>
        <d v="2019-10-14T00:00:00"/>
        <d v="2019-05-27T00:00:00"/>
        <d v="2019-11-30T00:00:00"/>
        <d v="2019-10-07T00:00:00"/>
        <d v="2019-09-30T00:00:00"/>
        <d v="2019-06-14T00:00:00"/>
        <d v="2019-11-25T00:00:00"/>
        <d v="2019-06-07T00:00:00"/>
        <d v="2019-07-30T00:00:00"/>
        <d v="2019-07-24T00:00:00"/>
        <d v="2019-12-23T00:00:00"/>
        <d v="2019-09-27T00:00:00"/>
        <d v="2019-10-24T00:00:00"/>
        <d v="2019-08-27T00:00:00"/>
        <d v="2019-08-08T00:00:00"/>
        <d v="2019-06-26T00:00:00"/>
        <d v="2019-08-06T00:00:00"/>
        <d v="2019-07-17T00:00:00"/>
        <d v="2019-11-29T00:00:00"/>
        <d v="2019-10-08T00:00:00"/>
        <d v="2019-11-18T00:00:00"/>
        <d v="2019-11-13T00:00:00"/>
        <d v="2019-11-07T00:00:00"/>
        <d v="2019-11-27T00:00:00"/>
        <d v="2019-11-05T00:00:00"/>
        <d v="2019-12-18T00:00:00"/>
        <d v="2019-07-01T00:00:00"/>
        <d v="2019-07-19T00:00:00"/>
        <d v="2019-07-15T00:00:00"/>
        <d v="2019-09-16T00:00:00"/>
        <d v="2019-09-12T00:00:00"/>
        <d v="2019-07-12T00:00:00"/>
        <d v="2019-12-09T00:00:00"/>
        <d v="2019-07-25T00:00:00"/>
        <d v="2019-10-01T00:00:00"/>
        <d v="2019-06-20T00:00:00"/>
        <d v="2019-12-10T00:00:00"/>
        <d v="2019-08-13T00:00:00"/>
        <d v="2019-10-21T00:00:00"/>
        <d v="2019-11-26T00:00:00"/>
        <d v="2019-10-09T00:00:00"/>
        <d v="2019-11-06T00:00:00"/>
        <d v="2019-09-18T00:00:00"/>
        <d v="2019-07-26T00:00:00"/>
        <d v="2019-08-14T00:00:00"/>
        <d v="2019-09-20T00:00:00"/>
        <d v="2019-10-02T00:00:00"/>
        <d v="2019-10-03T00:00:00"/>
        <d v="2019-08-05T00:00:00"/>
        <d v="2019-12-13T00:00:00"/>
        <d v="2019-12-17T00:00:00"/>
        <d v="2019-10-15T00:00:00"/>
        <d v="2019-11-19T00:00:00"/>
        <d v="2019-08-20T00:00:00"/>
        <d v="2019-12-03T00:00:00"/>
        <d v="2019-09-25T00:00:00"/>
        <d v="2019-09-13T00:00:00"/>
        <d v="2019-12-11T00:00:00"/>
        <d v="2019-10-16T00:00:00"/>
        <d v="2019-10-23T00:00:00"/>
        <d v="2019-10-17T00:00:00"/>
        <d v="2019-11-15T00:00:00"/>
        <d v="2019-12-16T00:00:00"/>
        <d v="2019-12-06T00:00:00"/>
        <d v="2019-11-04T00:00:00"/>
        <d v="2019-11-28T00:00:00"/>
        <d v="2018-12-20T00:00:00" u="1"/>
      </sharedItems>
    </cacheField>
    <cacheField name="Smlouva , Písemná zpráva zadavatele              Profil zadavatele" numFmtId="0">
      <sharedItems containsDate="1" containsBlank="1" containsMixedTypes="1" minDate="2019-01-04T00:00:00" maxDate="2020-02-08T00:00:00"/>
    </cacheField>
    <cacheField name="Platnost smlouvy / Datum dodání" numFmtId="0">
      <sharedItems containsDate="1" containsBlank="1" containsMixedTypes="1" minDate="2019-02-28T00:00:00" maxDate="2027-06-30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čkal Pavel, Ing." refreshedDate="45580.675418749997" createdVersion="3" refreshedVersion="6" minRefreshableVersion="3" recordCount="688" xr:uid="{00000000-000A-0000-FFFF-FFFF08000000}">
  <cacheSource type="worksheet">
    <worksheetSource ref="A6:N822" sheet="VZ 2018"/>
  </cacheSource>
  <cacheFields count="14">
    <cacheField name="Interní evidenční číslo" numFmtId="0">
      <sharedItems containsBlank="1"/>
    </cacheField>
    <cacheField name="Zadáv. prac." numFmtId="0">
      <sharedItems containsBlank="1" count="25">
        <s v="EKOL"/>
        <s v="ZM "/>
        <s v="LÉK"/>
        <s v="IROP"/>
        <s v="ENERG"/>
        <s v="DOPR"/>
        <s v="VŠEOB"/>
        <s v="ZT"/>
        <s v="KVAL"/>
        <s v="INF"/>
        <s v="ZM"/>
        <s v="INV"/>
        <s v="OSB "/>
        <s v="PROVOZ"/>
        <s v="ÚHTS"/>
        <s v="SERV"/>
        <s v="OLV"/>
        <s v="MARKET"/>
        <s v="OBN"/>
        <s v="OEF"/>
        <s v="EU"/>
        <s v="PERS"/>
        <s v="METR"/>
        <s v="ZT "/>
        <m/>
      </sharedItems>
    </cacheField>
    <cacheField name="Osoba pověřená pro zadávací řízení" numFmtId="0">
      <sharedItems containsBlank="1"/>
    </cacheField>
    <cacheField name="Předmět plnění - název zakázky" numFmtId="0">
      <sharedItems containsBlank="1" count="509">
        <s v="Dávkovací zařízení biocidu"/>
        <s v="Konektor bezjehlový 2017"/>
        <s v="Analoga kyseliny listové 2017 - část I. Pemetrexed"/>
        <s v="Analoga kyseliny listové 2017 - část II. Methotrexát I."/>
        <s v="Kity pro vyšetření biotinidázy 2017"/>
        <s v="Lůžka II."/>
        <s v="Ultrazvukový přístroj"/>
        <s v="Plicní ventilátory"/>
        <s v="Výměna hořáku plynového kotle II"/>
        <s v="Inhibitory TNF 2017 - část I. Certolizumab pegol"/>
        <s v="Inhibitory TNF 2017 - část II. Etanercept"/>
        <s v="Inhibitory TNF 2017 - část IV. Adalimumab II"/>
        <s v="Inhibitory TNF 2017 - část V. Infliximab"/>
        <s v="Inhibitory TNF 2017 - část VI. Golimumab"/>
        <s v="Hepariny 2017 - část II. Enoxaparin"/>
        <s v="Servis, opravy a údržba sanitních, dodávkových a osobních vozidel - část I."/>
        <s v="Servis, opravy a údržba sanitních, dodávkových a osobních vozidel - část II."/>
        <s v="Servis, opravy a údržba sanitních, dodávkových a osobních vozidel - část III."/>
        <s v="Diagnostika pro vyšetření krevního obrazu a výpůjčka hematologické linky II."/>
        <s v="Imunoglobuliny normální lidské 2017 - část I."/>
        <s v="Imunoglobuliny normální lidské 2017 - část III."/>
        <s v="Výroba a montáž nábytkového vybavení pracovišť"/>
        <s v="Jiná léčiva nervového systému 2017 - část I. Dimethyl-fumarát"/>
        <s v="Jiná léčiva nervového systému 2017 - část II. Fampridin"/>
        <s v="Jiná léčiva nervového systému 2017 - část III. Tetrabenazin"/>
        <s v="Jiná léčiva nervového systému 2017 - část IV. Riluzol"/>
        <s v="Cytostatika k perorálnímu podání 2017 - část I. Hydroxykarbamid"/>
        <s v="Cytostatika k perorálnímu podání 2017 - část II. Anagrelid hydrochlorid"/>
        <s v="Cytostatika k perorálnímu podání 2017 - část III. Vismodegib"/>
        <s v="Cytostatika k perorálnímu podání 2017 - část IV. Olaparib"/>
        <s v="Cytostatika k perorálnímu podání 2017 - část V. Idelalisib"/>
        <s v="Inhibitory interleukinu 2017 - část I. Basiliximab"/>
        <s v="Inhibitory interleukinu 2017 - část III. Ustekinumab"/>
        <s v="Inhibitory interleukinu 2017 - část IV. Tocilizumab"/>
        <s v="Inhibitory interleukinu 2017 - část V. Sekukinumab"/>
        <s v="Jiná periferně působící myorelaxancia - část I."/>
        <s v="Jiná periferně působící myorelaxancia - část II."/>
        <s v="Jiná periferně působící myorelaxancia - část III."/>
        <s v="Automatický rozplňovač radiofarmak"/>
        <s v="Provedení akreditace systému řízení kvality a bezpečí zdravotních služeb"/>
        <s v="Erytropoetin 2017"/>
        <s v="Inhibitory kalcineurinu 2017 - část I. Cyklosporin"/>
        <s v="Inhibitory kalcineurinu 2017 - část II. Takrolimus monohydrát"/>
        <s v="Imunostimulancia 2017 - část I. Filgrastim"/>
        <s v="Imunostimulancia 2017 - část II. Pegfilgrastim / Lipefilgrastim"/>
        <s v="Inhibitory proteinkináz I. 2017 - část I. Imatinib pro indikaci GIST"/>
        <s v="Inhibitory proteinkináz I. 2017 - část II. Gefitinib"/>
        <s v="Inhibitory proteinkináz I. 2017 - část III. Erlotinib"/>
        <s v="Inhibitory proteinkináz I. 2017 - část IV. Sunitinib"/>
        <s v="Inhibitory proteinkináz I. 2017 - část V. Sorafenib"/>
        <s v="Inhibitory proteinkináz I. 2017 - část VI. Dasatinib"/>
        <s v="Inhibitory proteinkináz I. 2017 - část VII. Lapatinib"/>
        <s v="Inhibitory proteinkináz 2017 II. - část I. Nilotinib"/>
        <s v="Inhibitory proteinkináz 2017 II. - část II. Everolimus"/>
        <s v="Inhibitory proteinkináz 2017 II. - část III. Pazopanib"/>
        <s v="Inhibitory proteinkináz 2017 II. - část V. Afatinib"/>
        <s v="Inhibitory proteinkináz 2017 II. - část VI. Vemurafenib"/>
        <s v="Inhibitory proteinkináz 2017 II. - část VII. Axitinib"/>
        <s v="Inhibitory proteinkináz 2017 II. - část IV. Vandetanib"/>
        <s v="Dodávky náplní do tiskáren"/>
        <s v="Intubační fibrobronchoskopy"/>
        <s v="Jiná imunosupresiva 2017 - část I.  Methotrexát I."/>
        <s v="Jiná imunosupresiva 2017 - část II. Methotrexát II."/>
        <s v="Jiná imunosupresiva 2017 - část III. Pirfenidon"/>
        <s v="Jiná imunosupresiva 2017 - část IV. Pomalidomid"/>
        <s v="Jiná imunosupresiva 2017 - část V. Lenalidomid"/>
        <s v="Systém pro kompletní klinická vestibulární a okulomotorická vyšetření"/>
        <s v="Nouzový zdroj pro 3IK a laboratoře DMP"/>
        <s v="Dodávka handheld datových terminálů"/>
        <s v="Láhve a dudlíky kojenecké krmící a láhve na kolostrum - část I. Láhve"/>
        <s v="Láhve a dudlíky kojenecké krmící a láhve na kolostrum - část III. Kolostrum"/>
        <s v="Láhve a dudlíky kojenecké krmící a láhve na kolostrum - část II. Dudlíky"/>
        <s v="Cytostatika k parenterálnímu podání - část II. Bortezomib"/>
        <s v="Cytostatika k parenterálnímu podání - část IV. Irinotekan"/>
        <s v="Cytostatika k parenterálnímu podání - část V. Eribulin - mesylát"/>
        <s v="Cytostatika k parenterálnímu podání - část VIII. Karfilzomib"/>
        <s v="Cytostatika k parenterálnímu podání - část VI. Oxid arsenitý"/>
        <s v="Cytostatika k parenterálnímu podání - část I. Aparaginas produkovaná Erwinia chrysanthemi"/>
        <s v="Cytostatika k parenterálnímu podání - část III. Pegaspargasa"/>
        <s v="Cytostatika k parenterálnímu podání - část VII. Aflibercept"/>
        <s v="Selektivní imunosupresiva - část I. Natalizumab"/>
        <s v="Selektivní imunosupresiva - část III. Fingolimodum"/>
        <s v="Selektivní imunosupresiva - část IV. Teriflunomid"/>
        <s v="Selektivní imunosupresiva - část V. Alemtuzumab"/>
        <s v="Selektivní imunosupresiva - část II. Immunoglobulinum antithymocytarum"/>
        <s v="Jednotka NIP a DIOP v budově D2"/>
        <s v="Přípojka nn pro budovu II.IK a NTMC"/>
        <s v="Elektrokoagulační bipolární přístroj II."/>
        <s v="Rekonstrukce sálů HDS v budově J2-III"/>
        <s v="Pásová myčka tabletů II."/>
        <s v="Hadičky pro infuzní terapii"/>
        <s v="Inhibitory proteinkináz III. - část VII. Nintedanib"/>
        <s v="Inhibitory proteinkináz III. - část I. Ruxolitinib"/>
        <s v="Inhibitory proteinkináz III. - část II.Regorafenib"/>
        <s v="Inhibitory proteinkináz III. - část III. Dabrafenib"/>
        <s v="Inhibitory proteinkináz III. - část VI. Ibrutinib"/>
        <s v="Inhibitory proteinkináz III. - část VIII. Osimertinib-mesilát"/>
        <s v="Inhibitory proteinkináz III. - část IV. Ponatinib-hydrochlorid"/>
        <s v="Inhibitory proteinkináz III. - část V. Cabozantinib"/>
        <s v="Aktivní prvky pro novostavbu 2IK + GER"/>
        <s v="PD - Stavební úpravy objektu „Q2“"/>
        <s v="Chirurgický telemanipulátor"/>
        <s v="Převoz zemřelých"/>
        <s v="Myčka chirurgických nástrojů"/>
        <s v="Thuliový laser"/>
        <s v="Elektrická přípojka nn pro II. IK"/>
        <s v="Hluboký břišní rozvěrač"/>
        <s v="Likvidace odpadů z FN Olomouc"/>
        <s v="Náhradní díly a spotřební materiál pro potrubní poštu - část I. ND"/>
        <s v="Náhradní díly a spotřební materiál pro potrubní poštu - část II. Spotřební mat."/>
        <s v="Anesteziologické přístroje - část I. střední třídy 9ks"/>
        <s v="Anesteziologické přístroje - část II. vyšší třídy 5 ks"/>
        <s v="Výroba a montáž nábytku"/>
        <s v="Implantabilní kardiovertery - defibrilátory - část I."/>
        <s v="Implantabilní kardiovertery - defibrilátory - část II."/>
        <s v="Implantabilní kardiovertery - defibrilátory - část III."/>
        <s v="Implantabilní kardiovertery - defibrilátory - část IV."/>
        <s v="Implantabilní kardiovertery - defibrilátory - část V."/>
        <s v="Implantabilní kardiovertery - defibrilátory - část VI."/>
        <s v="PD- rekonstrukce zákrokového sálu ortopedie"/>
        <s v="Rekonstrukce hygienických zařízení na 1. Chirurgické klinice na oddělení 9"/>
        <s v="Ložní prádlo 2018"/>
        <s v="Kardiostimulátory - část I."/>
        <s v="Kardiostimulátory - část III."/>
        <s v="Kardiostimulátory - část IV."/>
        <s v="Kardiostimulátory - část V."/>
        <s v="Kardiostimulátory - část II."/>
        <s v="Kancelářské židle 1/2018"/>
        <s v="Posílení stávající technologie potrubní pošty"/>
        <s v="Technologie k detekci sentinelových uzlin"/>
        <s v="Průmyslové kuchyňské zařízení - část I. Konvektomat"/>
        <s v="Průmyslové kuchyňské zařízení - část II.  Mlýnek na maso"/>
        <s v="Průmyslové kuchyňské zařízení - část III. Robot"/>
        <s v="Gynekologický vyšetřovací stůl"/>
        <s v="Servisní služby u odsávaček a elektrokoagulace"/>
        <s v="Servisní služby u inkubátorů, ventilátorů, lůžek a zvedáku"/>
        <s v="Instalace ochranných prvků"/>
        <s v="Sanace schodiště mezi budovami A a E"/>
        <s v="Laparoskopická věž 2D"/>
        <s v="Laparoskopická věž 3D - ICG"/>
        <s v="Servisní služby u elektrických odsávaček"/>
        <s v="Servis regulátorů podtlaku, redukčních ventilů, dávkovačů a průtokoměrů kyslíku"/>
        <s v="Stativy"/>
        <s v="Operační světla II."/>
        <s v="Intervenční kardiologie - část I."/>
        <s v="Intervenční kardiologie - část II."/>
        <s v="Intervenční kardiologie - část III."/>
        <s v="Intervenční kardiologie - - část IV."/>
        <s v="Intervenční kardiologie - část VII."/>
        <s v="Intervenční kardiologie - část  VIII."/>
        <s v="Intervenční kardiologie - část IX."/>
        <s v="Intervenční kardiologie - část X."/>
        <s v="Intervenční kardiologie - část XI."/>
        <s v="Intervenční kardiologie - část XII."/>
        <s v="Intervenční kardiologie - část XIV."/>
        <s v="Intervenční kardiologie - část XV."/>
        <s v="Intervenční kardiologie - část XVI."/>
        <s v="Intervenční kardiologie - část XVII."/>
        <s v="Intervenční kardiologie - část XIX."/>
        <s v="Intervenční kardiologie - část XX."/>
        <s v="Intervenční kardiologie - část XXI."/>
        <s v="Intervenční kardiologie - část V."/>
        <s v="Intervenční kardiologie - část VI."/>
        <s v="Intervenční kardiologie - část XIII."/>
        <s v="Intervenční kardiologie - část XVIII."/>
        <s v="Servis, opravy a údržba nákladních vozidel nad 3 500 kg"/>
        <s v="Nápoje pro pacienty"/>
        <s v="Certifikace systémů managementu hospodaření s energií"/>
        <s v="Obaly sterilizační jednorázové"/>
        <s v="Servisní služby u přístrojů Hocoma, Zebris, Motekforce"/>
        <s v="Servisní služby u přístrojů KLS Martin, Franke, Waldmann"/>
        <s v="Servis terapeutického rtg, spektrometru, dozimetrie,detektorového systému - I."/>
        <s v="Servis terapeutického rtg, spektrometru, dozimetrie,detektorového systému - II."/>
        <s v="Elektrochirurgický generátor včetně pokročilé bipolární koagulace"/>
        <s v="Elektrochirurgický generátor včetně pokročilé bipolární koagulace – argon plazmová koagulace"/>
        <s v="Transportní lehátko hydraulické"/>
        <s v="PD - dochlazení budov D1 a L"/>
        <s v="Opravy výtahů č. 71 - 76"/>
        <s v="Výroba a montáž nábytku II"/>
        <s v="Karbonová prodlužovací deska pro operační stůl"/>
        <s v="Sterilizátor nízkoteplotní plazmový"/>
        <s v="Vnitřní orientační systém"/>
        <s v="Instalace ochranných prvků II."/>
        <s v="Operační světla s LED"/>
        <s v="Servis chladící techniky FNOL"/>
        <s v="Pronájem prostor - ples FNOL 2019"/>
        <s v="Dodávky ELU 31/4 karet a BS DB1"/>
        <s v="Oxygenerátory - část II. Oxygenerátory pro kombinované srdeční operace"/>
        <s v="Oxygenerátory - část III. Minisystém pro mimotělní oběh pro výkony na otevřeném srdci"/>
        <s v="Oxygenerátory - část I. Oxygenerátory pro jednoduché srdeční operace"/>
        <s v="Poskytování servisních služeb u XE-5000i"/>
        <s v="Antidekubitní a polohovací gelové pomůcky"/>
        <s v="Rekonstrukce hygienických zařízení na 1.Chir.kl. - odd.9"/>
        <s v="Antimykotika pro systémovou aplikaci - část I. Amfotericin B"/>
        <s v="Antimykotika pro systémovou aplikaci - část II. Echinocandinová antimykotika pro dospělé"/>
        <s v="Antimykotika pro systémovou aplikaci - část III. Echinocandinové antimykotikum pro systémovou aplikaci pro dospělé i dětské pacienty"/>
        <s v="Stůl operační pro robotický systém"/>
        <s v="Oprava MaR budova A"/>
        <s v="EKG 12-ti svodové"/>
        <s v="Odsávačky mateřského mléka"/>
        <s v="Mlýnek na maso"/>
        <s v="Spotřební materiál k rozplňovačům radiofarmak DDS-A a KARI100"/>
        <s v="Sledování spokojenosti hospit. pacientů 2018 až 2022"/>
        <s v="Strategický a validační workshop"/>
        <s v="Infuzní pumpy"/>
        <s v="Plasmová koagulace"/>
        <s v="Totální endoprotézy - část I. TEP kyčelního kloubu"/>
        <s v="Totální endoprotézy - část II. TEP kyčelního kloubu - speciál I."/>
        <s v="Totální endoprotézy - část III. TEP kyčelního kloubu - speciál II."/>
        <s v="Totální endoprotézy - část IV. TEP koleního kloubu ."/>
        <s v="Totální endoprotézy - část V. TEP koleního kloubu - speciál I."/>
        <s v="Totální endoprotézy - část VI. TEP koleního kloubu - speciál II."/>
        <s v="Totální endoprotézy - část VII. TEP koleního kloubu - speciál III."/>
        <s v="Sestava na mytí endoskopů"/>
        <s v="Výměna podlahových krytin v budově S"/>
        <s v="Překládka komunikačního vedení SEK"/>
        <s v="Spotřební materiál k excimerovému laserovému systému Spectranetics CVX300"/>
        <s v="Katetry trombektomické"/>
        <s v="Role papírové s perforací"/>
        <s v="Chlazení VRV - budova L"/>
        <s v="Sterilizátor nízkoteplotní plazmový II."/>
        <s v="Výměna transformátoru v trafostanici  TS1"/>
        <s v="Systém prokatetrovou implantaci aortální chlopně (TAVI) - část I. "/>
        <s v="Systém prokatetrovou implantaci aortální chlopně (TAVI) - část III. "/>
        <s v="Systém prokatetrovou implantaci aortální chlopně (TAVI) - část II. "/>
        <s v="Kardioplegické sety - část II. Kardioplegické sety se spirálou"/>
        <s v="Kardioplegické sety - část I. Kardioplegické sety s výměníkem tepla"/>
        <s v="RTG ochranné pomůcky 2018"/>
        <s v="Myčky chirurgických nástrojů"/>
        <s v="Křesla pro kardiaky"/>
        <s v="Laboratorní chladničky"/>
        <s v="Neurostimulační systémy - část I."/>
        <s v="Neurostimulační systémy - část II."/>
        <s v="Neurostimulační systémy - část III."/>
        <s v="Neurostimulační systémy - část IV."/>
        <s v="Neurostimulační systémy - část V."/>
        <s v="Náplně do tiskáren"/>
        <s v="Skříně k ukládání čistých podložních mís a močových lahví"/>
        <s v="Mechanické transvenózní extrakční systémy srdečních elektrod"/>
        <s v="Filtry pro vzduchotechniku 2018"/>
        <s v="Klimatizační jednotky 2018"/>
        <s v="RTG přístroj pro provádění ERCP - sklopná stěna "/>
        <s v="Srdeční chlopně a anuloplastické prstence - část I."/>
        <s v="Srdeční chlopně a anuloplastické prstence - část II."/>
        <s v="Srdeční chlopně a anuloplastické prstence - část III."/>
        <s v="Srdeční chlopně a anuloplastické prstence - část IV."/>
        <s v="Srdeční chlopně a anuloplastické prstence - část V."/>
        <s v="Srdeční chlopně a anuloplastické prstence - část VI."/>
        <s v="Srdeční chlopně a anuloplastické prstence - část VII."/>
        <s v="Srdeční chlopně a anuloplastické prstence - část VIII."/>
        <s v="Srdeční chlopně a anuloplastické prstence - část IX."/>
        <s v="Vakcíny - část I. Očkovací látky I."/>
        <s v="Vakcíny - část II. Tetanický toxoid"/>
        <s v="Vakcíny - část III. Očkovací látky II."/>
        <s v="Vakcíny - část IV. Vakcína proti chřipce"/>
        <s v="Vakcíny - část V. Vakcína proti hepatitidě A"/>
        <s v="PD- posílení a rozšíření potrubní pošty"/>
        <s v="Transportní lehátka"/>
        <s v="Vyšetřovací lehátka"/>
        <s v="IROP – Ventilační a resuscitační technika - část I. Resuscitační přístroj"/>
        <s v="IROP – Ventilační a resuscitační technika - část II. Plicní ventilátor"/>
        <s v="IROP – Ventilační a resuscitační technika - část III. Přístroj pro podporu dýchání"/>
        <s v="IROP – Ventilační a resuscitační technika - část IV. Zvlhčovací kanyla"/>
        <s v="IROP - Lůžka, křesla, lehátka, vozíky - část I. Vyšetřovací křeslo"/>
        <s v="IROP - Lůžka, křesla, lehátka, vozíky - část II. Vyšetřovací lehátko"/>
        <s v="IROP - Lůžka, křesla, lehátka, vozíky - část III. Porodní lůžko"/>
        <s v="IROP - Lůžka, křesla, lehátka, vozíky - část IV. Resuscitační vozík"/>
        <s v="IROP - Lůžka, křesla, lehátka, vozíky - část V. Transportní křeslo"/>
        <s v="IROP - Lůžka, křesla, lehátka, vozíky - část VI. Transportní lehátko"/>
        <s v="IROP - Lůžka, křesla, lehátka, vozíky - část VII. Standardní lůžka"/>
        <s v="IROP - Lůžka, křesla, lehátka, vozíky - část VIII. Resuscitační lůžka"/>
        <s v="Výměna chladící jednotky D1"/>
        <s v="Jiná antivirotika pro systémovou aplikaci - část II. Ganciklovir"/>
        <s v="Jiná antivirotika pro systémovou aplikaci - část I. Aciklovir"/>
        <s v="Jiná antivirotika pro systémovou aplikaci - část III. Valaciklovir"/>
        <s v="Jiná antivirotika pro systémovou aplikaci - část IV. Valganciklovir"/>
        <s v="Jiná antivirotika pro systémovou aplikaci - část V. Oseltamivir"/>
        <s v="Jiná antivirotika pro systémovou aplikaci - část VI. Inosin pranobex"/>
        <s v="IROP - Inkubátory - část I. Inkubátor kombinovaný"/>
        <s v="IROP - Inkubátory - část II. Inkubátor resuscitační"/>
        <s v="IROP - Inkubátory - část III. Inkubátor transportní"/>
        <s v="Servisní podpora pro komplet IPS"/>
        <s v="Spinální implantáty - část I."/>
        <s v="Spinální implantáty - část II."/>
        <s v="Spinální implantáty - část III."/>
        <s v="Spinální implantáty - část IV."/>
        <s v="Spinální implantáty - část V."/>
        <s v="Spinální implantáty - část VI."/>
        <s v="Spinální implantáty - část VII."/>
        <s v="Spinální implantáty - část VIII."/>
        <s v="Spinální implantáty - část IX."/>
        <s v="Spinální implantáty - část X."/>
        <s v="Spinální implantáty - část XI."/>
        <s v="Spinální implantáty - část XII."/>
        <s v="Spinální implantáty - část XIII."/>
        <s v="Rouškovací sety pro ortopedii"/>
        <s v="Jídelní stolky"/>
        <s v="Ultrazvuková čistička"/>
        <s v="Vysoušeče vlasů a rukou"/>
        <s v="Noční stolky a noční stolky s jídelní deskou"/>
        <s v="Genetický a epigenitický analyzátor nukleových kyselin"/>
        <s v="Křesla pro kardiaky II."/>
        <s v="Kapičkový digitální PCR systém"/>
        <s v="Servis a opravy automatizovaných dveří"/>
        <s v="Standardní a intenzivní nemocniční lůžka - část I. Standardní lůžka"/>
        <s v="Standardní a intenzivní nemocniční lůžka - část II. Intenzivní lůžka"/>
        <s v="Větrání trafostanice TS1"/>
        <s v="Dodávka rackových UPS stanic"/>
        <s v="Výměna podhledů a dveří na OPS Oční kliniky"/>
        <s v="Aktivní prvky "/>
        <s v="Materiál spotřební k extrakorporální membránové oxygenaci ECMO"/>
        <s v="Instrumentarium LigaSure"/>
        <s v="Inkubátory CO2 - část I. 60l"/>
        <s v="Inkubátory CO2 - část II. 240 l"/>
        <s v="Vrtačky"/>
        <s v="Revize vyhrazených elektrických zařízení"/>
        <s v="Výroba a montáž nábytku III."/>
        <s v="Přezkoumání hospodaření státní příspěvkové organizace za období 2018-2021"/>
        <s v="Sekvenátor pro masívně paralelní sekvenci s bioinformatickou vyhodnocovací stanicí pro NGS analýzy"/>
        <s v="Elektrofyziologie - část I."/>
        <s v="Elektrofyziologie - část II."/>
        <s v="Elektrofyziologie - část III."/>
        <s v="Elektrofyziologie - část IV."/>
        <s v="Elektrofyziologie - část V"/>
        <s v="Elektrofyziologie - část VI."/>
        <s v="Elektrofyziologie - část VII."/>
        <s v="Elektrofyziologie - část VIII."/>
        <s v="Elektrofyziologie - část IX."/>
        <s v="Elektrofyziologie - část X"/>
        <s v="Elektrofyziologie - část XI."/>
        <s v="Elektrofyziologie - část XII."/>
        <s v="Endoskopické vybavení II. Interní kliniky - část I. Endoskopický systém"/>
        <s v="Endoskopické vybavení II. Interní kliniky - část II. Dovybavení end. Věže"/>
        <s v="Dezinfektory podložních mís"/>
        <s v="Mixážní sprchový panel"/>
        <s v="Monitorovací systém vitálních funkcí"/>
        <s v="Přístroje pro monitoring životních funkcí plodu - část I. KTG"/>
        <s v="Přístroje pro monitoring životních funkcí plodu - část II. ST analyzátor"/>
        <s v="Tryskový ventilátor"/>
        <s v="Skříně na sušení endoskopů"/>
        <s v="Realizace parkoviště u lékárny FNOL"/>
        <s v="Repas operačního stolu Maquet"/>
        <s v="Monitory životních a mozkových funkcí - část I."/>
        <s v="Monitory životních a mozkových funkcí - část II."/>
        <s v="Monitory životních a mozkových funkcí - část III."/>
        <s v="Monitory životních a mozkových funkcí - část IV."/>
        <s v="Paramagnetické kontrastní látky - část I."/>
        <s v="Paramagnetické kontrastní látky - část II."/>
        <s v="Paramagnetické kontrastní látky - část III."/>
        <s v="Materiál spotřební k separátorům krevních čístic Trima Accel"/>
        <s v="Sety k separátoru krevních elementů Spectra Optia"/>
        <s v="Katetry trombektomické II."/>
        <s v="Ultrazvukový aspirátor"/>
        <s v="Přístroje pro plicní ventilaci - část I. Plicní ventilátory"/>
        <s v="Přístroje pro plicní ventilaci - část II. Transportní ventilátory"/>
        <s v="Přístroje pro plicní ventilaci - část III. Neinvazivní plicní ventilátor"/>
        <s v="Úhradový modul"/>
        <s v="Zřízení jídelny, šatny a hygienického zařízení pro zaměstnance"/>
        <s v="Demolice objektů v areálu FNOL"/>
        <s v="Mobilní RTG"/>
        <s v="Tromboelastograf"/>
        <s v="Nerezový mobiliář"/>
        <s v="Podlahářské práce"/>
        <s v="Převazové vozíky"/>
        <s v="Chlazení laboratoří Ústavu imunologie - 4.NP"/>
        <s v="Úprava místností pro technický dispečink"/>
        <s v="Inkubátory CO2 - objem 150l"/>
        <s v="Mycí a dezinfekční automaty pro flexibilní endoskopy s příslušenstvím"/>
        <s v="Výměna chladící jednotky v budově D1"/>
        <s v="Léčivé přípravky s účinnou látkou fentanyl - citrát 2018"/>
        <s v="Sprchovací technika"/>
        <s v="Katetrizační systém ke katetrizační korekci mitrálni regurgitace – Systém MitraClip kit"/>
        <s v="Rekonstrukce topného kanálu"/>
        <s v="Křesla pro kardiaky III."/>
        <s v="Sonda ablační Cryoflex "/>
        <s v="Kleště ablační pro thoraskopickou ablaci plicních žil"/>
        <s v="Okludery určené ke katetrizačnímu uzávěru ….. "/>
        <s v="Úprava místností pro technický dispečink II"/>
        <s v="Výměna protipožárních dveří v kolektoru"/>
        <s v="Dodávka diagnostických stanic pro RTG"/>
        <s v="Somatropin - část I. Genotropin"/>
        <s v="Somatropin - část II. Humatrope"/>
        <s v="Somatropin - část III. Norditropin"/>
        <s v="Somatropin - část IV. Nutropinaq"/>
        <s v="Somatropin - část V. Omnitrope"/>
        <s v="Somatropin - část VI. Saizen"/>
        <s v="Somatropin - část VII. Zomacton"/>
        <s v="Antianemika 2018 -  část I. Erytropoetin nebo darbepoetin alfa pro léčbu symptomatické anémie při chronickém selhání ledvin"/>
        <s v="Antianemika 2018 - část II. Pegepoetin beta"/>
        <s v="Léčivé přípravky pro léčbu plicní arteriální hypertenze - část I."/>
        <s v="Léčivé přípravky pro léčbu plicní arteriální hypertenze - část II."/>
        <s v="Léčivé přípravky pro léčbu plicní arteriální hypertenze - část III."/>
        <s v="Léčivé přípravky pro léčbu plicní arteriální hypertenze - část IV."/>
        <s v="Léčivé přípravky pro léčbu plicní arteriální hypertenze - část V."/>
        <s v="Léčivé přípravky pro léčbu plicní arteriální hypertenze - část VI."/>
        <s v="Léčivé přípravky pro léčbu plicní arteriální hypertenze - část VII."/>
        <s v="Léčivé přípravky pro léčbu plicní arteriální hypertenze - část VIII."/>
        <s v="Interferony 2018 - část I. Interferon alfa 2b"/>
        <s v="Interferony 2018 - část II. Interferon beta-1a I"/>
        <s v="Interferony 2018 - část III. Interferon beta-1a II"/>
        <s v="Interferony 2018 - část IV. nterferon beta-1b"/>
        <s v="Interferony 2018 - část V. Peginterferon alfa"/>
        <s v="Interferony 2018 - část VI. Peginterferon beta-1a"/>
        <s v="Antivirotika pro systémovou aplikaci-antihepatitidová - část I. Ribarvin"/>
        <s v="Antivirotika pro systémovou aplikaci-antihepatitidová - část II. Tenofovir"/>
        <s v="Antivirotika pro systémovou aplikaci-antihepatitidová - část III. Monohydrát"/>
        <s v="Antivirotika pro systémovou aplikaci-antihepatitidová - část IV. Ombitasvir"/>
        <s v="Antivirotika pro systémovou aplikaci-antihepatitidová - část V. Sofosbuvir/ledipasvir"/>
        <s v="Antivirotika pro systémovou aplikaci-antihepatitidová - část VI.Sofosbuvir/velpatasvir"/>
        <s v="Antivirotika pro systémovou aplikaci-antihepatitidová - část VII. Sofosbuvir/…"/>
        <s v="Antivirotika pro systémovou aplikaci-antihepatitidová - část VIII. Elbasvir"/>
        <s v="Anestetika celková-halogenované uhlovodíky - část I. Desfluran"/>
        <s v="Anestetika celková-halogenované uhlovodíky - část II. Sevofluran"/>
        <s v="Endoskopické vybavení II. Interní kliniky - II. - část I. Endoskopický systém"/>
        <s v="Endoskopické vybavení II. Interní kliniky - II. - část II. Dovybavení endoskop.věže"/>
        <s v="Materiál spotřební k harmonickému skalpelu"/>
        <s v="Mobilní zvedací systém"/>
        <s v="Realizace parkoviště pod Dětskou klinikou a u lékárny - část I. DK"/>
        <s v="Realizace parkoviště pod Dětskou klinikou a u lékárny - část II. Lékárna"/>
        <s v="Stříkačky proplachovací předplněné fyziologickým roztokem"/>
        <s v="Operační jednotka a spotřební materiál pro chirurgii předního a zadního segmentu oka"/>
        <s v="Rekonstrukce osvětlení budova A"/>
        <s v="Lůžko bariatrické s antidekubitní matrací"/>
        <s v="Radiální endosonografie"/>
        <s v="Pomůcky polohovací a antidekubitní"/>
        <s v="Sprchovací technika II"/>
        <s v="Vozíky k uložení léčiv a zdravotnického materiálu"/>
        <s v="Přístroj pro měření hemodynamiky"/>
        <s v="Větrání tkáňové banky"/>
        <s v="Novostavba pavilonu HOK - Olomouc"/>
        <s v="EKG holter"/>
        <s v="Úprava vstupu do budovy D1 a D2"/>
        <s v="Servisní podpora informačního systému eKLIN/ePOST ve Fakultní nemocnici Olomouc"/>
        <s v="Dodávka monitorů"/>
        <s v="Sanace průsaku vody v kolektoru"/>
        <s v="Výměna požárních dveří v budově L"/>
        <s v="Úpravy Neurologické kliniky v budově M1 a M2 "/>
        <s v="Komplexní servis prádla pro FN Olomouc"/>
        <s v="Toaletní a sprchovací křesla a židle"/>
        <s v="Flowmon sonda"/>
        <s v="Ubytování a služby spojené s realizací vzdělávací akce pro vedoucí zaměstnance FN Olomouc"/>
        <s v="Mycí a oplachová chemie do profesionálních mycích strojů pro kuchyň"/>
        <s v="Přístupový systém pro výtah č.75"/>
        <s v="Senzory k měření hemodynamiky"/>
        <s v="Senzory k měření cerebrální oxymetrie - část I. Somasensor INVOS pro dospěle"/>
        <s v="Senzory k měření cerebrální oxymetrie - část II. Fore-sight ELITE dual velký"/>
        <s v="Kleště bioptické myokardiální"/>
        <s v="Transientní elastograf"/>
        <s v="Mikro-ultrazvukový přístroj pro navigaci biopsie prostaty"/>
        <s v="Kapilární hemodialyzátory 2018 - část I. Low Flux"/>
        <s v="Kapilární hemodialyzátory 2018 - část II. High Flux"/>
        <s v="Kalibrace a validace měřidel a zařízení 2019- část I."/>
        <s v="Kalibrace a validace měřidel a zařízení 2019 - část II. ConWin"/>
        <s v="Odstranění závad z revize medicinálních plynů, budova S2"/>
        <s v="Operační mikroskop"/>
        <s v="Radiofarmakum fludeoxyglukóza 18F"/>
        <s v="Čočky nitrooční"/>
        <s v="Macerátory"/>
        <s v="Flexibilní ureteroskopy a cytoskop"/>
        <s v="Sety infuzní pro podání světlocitlivých cytostatik"/>
        <s v="Lokální hemostatika a parenterální přípravky s obsahem železa - část I."/>
        <s v="Lokální hemostatika a parenterální přípravky s obsahem železa - část II."/>
        <s v="Lokální hemostatika a parenterální přípravky s obsahem železa - část III."/>
        <s v="Lokální hemostatika a parenterální přípravky s obsahem železa - část IV."/>
        <s v="Lokální hemostatika a parenterální přípravky s obsahem železa - část V."/>
        <s v="Lokální hemostatika a parenterální přípravky s obsahem železa - část VI."/>
        <s v="Lokální hemostatika a parenterální přípravky s obsahem železa - část VII."/>
        <s v="Digitální dermatoskop s celotělovým skenerem"/>
        <s v="Chladící a mrazící zařízení - část I. Chladnice a lednice"/>
        <s v="Chladící a mrazící zařízení - číst II. Hlubokomrazící boxy"/>
        <s v="LP s obsahem účinné látky alteplasa, degarelix-acetát, abirateron-acetát, - I."/>
        <s v="LP s obsahem účinné látky alteplasa, degarelix-acetát, abirateron-acetát, - II."/>
        <s v="LP s obsahem účinné látky alteplasa, degarelix-acetát, abirateron-acetát, - III."/>
        <s v="LP s obsahem účinné látky alteplasa, degarelix-acetát, abirateron-acetát, - IV."/>
        <s v="LP s obsahem účinné látky alteplasa, degarelix-acetát, abirateron-acetát, - V."/>
        <s v="LP s obsahem účinné látky alteplasa, degarelix-acetát, abirateron-acetát, - VI."/>
        <s v="Rekonstrukce zákrokového sálu ortopedie"/>
        <s v="Toaletní papír a papírové ručníky Z-Z"/>
        <s v="Jiná systémová hemostatika a látky tvořící cheláty se železem - část I."/>
        <s v="Jiná systémová hemostatika a látky tvořící cheláty se železem - část II."/>
        <s v="Jiná systémová hemostatika a látky tvořící cheláty se železem - část III."/>
        <s v="Jiná systémová hemostatika a látky tvořící cheláty se železem - část IV."/>
        <s v="Jiná systémová hemostatika a látky tvořící cheláty se železem - část V."/>
        <s v="Jiná systémová hemostatika a látky tvořící cheláty se železem - část VI."/>
        <s v="Výměna protipožárních dveří v budově L na TO a HOK"/>
        <s v="Monoklonální protilátky s obsahem účinné látky rituximab - část I. "/>
        <s v="Monoklonální protilátky s obsahem účinné látky rituximab - část II. "/>
        <s v="Senzory k měření hemodynamiky II"/>
        <s v="EEG"/>
        <s v="Chlazení boxů na patologii"/>
        <s v="Ověřovací studie PD &quot;Rekonstrukce a dostavba hlvaní budovy FJ&quot;"/>
        <m/>
        <s v="Aktualizace SW ArchiCAD" u="1"/>
        <s v="Stoly operační a zákrokové - část II. Operační stoly" u="1"/>
        <s v="Kancelářský papír" u="1"/>
        <s v="Stabilizátory pro operace srdce bez mimotělního oběhu" u="1"/>
        <s v="Konektor bezjehlový 2018" u="1"/>
        <s v="Senzory k měření cerebrální oxymetrie" u="1"/>
        <s v="Chladící a mrazící zařízení" u="1"/>
        <s v="Ergonomické osvětlení operačních sálů" u="1"/>
        <s v="Servisní podpora informačních systémů: Mirkobiologie, Patologie, Distribuční portál, Akreditační nadstavba, Specializované ambulantní moduly" u="1"/>
        <s v="Stabilizátory pro operace srdce bez mimotělního oběhu - část I. (tvarovatelné)" u="1"/>
        <s v="Diagnostika a spotřební materiál pro vyšetřní presepsinu se zápůjčkou analyzátoru" u="1"/>
        <s v="Stabilizátory pro operace srdce bez mimotělního oběhu - část I. (pevné)" u="1"/>
        <s v="Servisní podpora Identity Managementu CzechIdM" u="1"/>
        <s v="Poskytování servisních služeb na přístroje firmy Miele" u="1"/>
        <s v="Micro-ultrazvukový přístroj pro navigaci biopsie prostaty" u="1"/>
        <s v="Medicinální a technické plyny" u="1"/>
        <s v="Stoly operační a zákrokové - část I. Stůl zákrokový" u="1"/>
      </sharedItems>
    </cacheField>
    <cacheField name="CPV kód" numFmtId="0">
      <sharedItems containsBlank="1"/>
    </cacheField>
    <cacheField name="Položka invest. plánu" numFmtId="0">
      <sharedItems containsBlank="1"/>
    </cacheField>
    <cacheField name="Předpokládaná hodnota VZ bez DPH" numFmtId="0">
      <sharedItems containsString="0" containsBlank="1" containsNumber="1" minValue="3061" maxValue="129840000"/>
    </cacheField>
    <cacheField name="Druh VZ" numFmtId="0">
      <sharedItems containsBlank="1" count="4">
        <s v="VZMR"/>
        <s v="OŘ"/>
        <s v="ZPŘ"/>
        <m/>
      </sharedItems>
    </cacheField>
    <cacheField name="VZ vypsaná dne" numFmtId="0">
      <sharedItems containsNonDate="0" containsDate="1" containsString="0" containsBlank="1" minDate="2017-06-16T00:00:00" maxDate="2018-12-21T00:00:00"/>
    </cacheField>
    <cacheField name="Lhůta pro podání nabídek" numFmtId="0">
      <sharedItems containsNonDate="0" containsDate="1" containsString="0" containsBlank="1" minDate="2017-06-30T00:00:00" maxDate="2019-01-19T00:00:00"/>
    </cacheField>
    <cacheField name="Dodavatel" numFmtId="0">
      <sharedItems containsBlank="1"/>
    </cacheField>
    <cacheField name="Vítězná cena bez DPH" numFmtId="0">
      <sharedItems containsBlank="1" containsMixedTypes="1" containsNumber="1" minValue="13000" maxValue="129840000"/>
    </cacheField>
    <cacheField name="Vítězná cena s DPH" numFmtId="0">
      <sharedItems containsBlank="1" containsMixedTypes="1" containsNumber="1" minValue="15730" maxValue="149316000"/>
    </cacheField>
    <cacheField name="Smlouva podepsána" numFmtId="0">
      <sharedItems containsNonDate="0" containsDate="1" containsString="0" containsBlank="1" minDate="2018-01-02T00:00:00" maxDate="2018-12-21T00:00:00" count="117">
        <d v="2018-01-15T00:00:00"/>
        <d v="2018-02-12T00:00:00"/>
        <d v="2018-01-04T00:00:00"/>
        <d v="2018-02-13T00:00:00"/>
        <d v="2018-01-08T00:00:00"/>
        <d v="2018-02-02T00:00:00"/>
        <d v="2018-05-18T00:00:00"/>
        <d v="2018-03-21T00:00:00"/>
        <d v="2018-02-27T00:00:00"/>
        <d v="2018-04-16T00:00:00"/>
        <d v="2018-01-10T00:00:00"/>
        <d v="2018-01-30T00:00:00"/>
        <d v="2018-01-09T00:00:00"/>
        <d v="2018-01-16T00:00:00"/>
        <d v="2018-02-15T00:00:00"/>
        <d v="2018-03-07T00:00:00"/>
        <d v="2018-01-17T00:00:00"/>
        <d v="2018-01-02T00:00:00"/>
        <m/>
        <d v="2018-03-15T00:00:00"/>
        <d v="2018-04-09T00:00:00"/>
        <d v="2018-02-23T00:00:00"/>
        <d v="2018-03-22T00:00:00"/>
        <d v="2018-02-01T00:00:00"/>
        <d v="2018-02-16T00:00:00"/>
        <d v="2018-04-13T00:00:00"/>
        <d v="2018-02-28T00:00:00"/>
        <d v="2018-02-26T00:00:00"/>
        <d v="2018-03-02T00:00:00"/>
        <d v="2018-03-20T00:00:00"/>
        <d v="2018-04-11T00:00:00"/>
        <d v="2018-06-28T00:00:00"/>
        <d v="2018-06-21T00:00:00"/>
        <d v="2018-08-03T00:00:00"/>
        <d v="2018-09-12T00:00:00"/>
        <d v="2018-05-31T00:00:00"/>
        <d v="2018-05-21T00:00:00"/>
        <d v="2018-05-16T00:00:00"/>
        <d v="2018-08-07T00:00:00"/>
        <d v="2018-04-05T00:00:00"/>
        <d v="2018-03-29T00:00:00"/>
        <d v="2018-08-01T00:00:00"/>
        <d v="2018-03-26T00:00:00"/>
        <d v="2018-09-17T00:00:00"/>
        <d v="2018-04-24T00:00:00"/>
        <d v="2018-08-20T00:00:00"/>
        <d v="2018-04-18T00:00:00"/>
        <d v="2018-04-10T00:00:00"/>
        <d v="2018-04-30T00:00:00"/>
        <d v="2018-06-29T00:00:00"/>
        <d v="2018-06-15T00:00:00"/>
        <d v="2018-12-20T00:00:00"/>
        <d v="2018-05-07T00:00:00"/>
        <d v="2018-06-26T00:00:00"/>
        <d v="2018-05-23T00:00:00"/>
        <d v="2018-05-14T00:00:00"/>
        <d v="2018-07-09T00:00:00"/>
        <d v="2018-09-14T00:00:00"/>
        <d v="2018-04-25T00:00:00"/>
        <d v="2018-04-19T00:00:00"/>
        <d v="2018-09-21T00:00:00"/>
        <d v="2018-07-23T00:00:00"/>
        <d v="2018-07-26T00:00:00"/>
        <d v="2018-07-25T00:00:00"/>
        <d v="2018-10-04T00:00:00"/>
        <d v="2018-05-28T00:00:00"/>
        <d v="2018-08-27T00:00:00"/>
        <d v="2018-05-25T00:00:00"/>
        <d v="2018-07-16T00:00:00"/>
        <d v="2018-07-27T00:00:00"/>
        <d v="2018-06-13T00:00:00"/>
        <d v="2018-06-12T00:00:00"/>
        <d v="2018-11-02T00:00:00"/>
        <d v="2018-11-12T00:00:00"/>
        <d v="2018-11-28T00:00:00"/>
        <d v="2018-07-20T00:00:00"/>
        <d v="2018-08-31T00:00:00"/>
        <d v="2018-07-11T00:00:00"/>
        <d v="2018-08-30T00:00:00"/>
        <d v="2018-09-20T00:00:00"/>
        <d v="2018-12-06T00:00:00"/>
        <d v="2018-12-04T00:00:00"/>
        <d v="2018-09-19T00:00:00"/>
        <d v="2018-11-16T00:00:00"/>
        <d v="2018-11-19T00:00:00"/>
        <d v="2018-10-12T00:00:00"/>
        <d v="2018-10-09T00:00:00"/>
        <d v="2018-10-17T00:00:00"/>
        <d v="2018-10-11T00:00:00"/>
        <d v="2018-09-07T00:00:00"/>
        <d v="2018-08-22T00:00:00"/>
        <d v="2018-09-06T00:00:00"/>
        <d v="2018-11-13T00:00:00"/>
        <d v="2018-10-25T00:00:00"/>
        <d v="2018-09-05T00:00:00"/>
        <d v="2018-11-20T00:00:00"/>
        <d v="2018-09-10T00:00:00"/>
        <d v="2018-10-29T00:00:00"/>
        <d v="2018-12-18T00:00:00"/>
        <d v="2018-10-01T00:00:00"/>
        <d v="2018-10-05T00:00:00"/>
        <d v="2018-11-29T00:00:00"/>
        <d v="2018-11-15T00:00:00"/>
        <d v="2018-10-15T00:00:00"/>
        <d v="2018-12-07T00:00:00"/>
        <d v="2018-11-09T00:00:00"/>
        <d v="2018-11-27T00:00:00"/>
        <d v="2018-10-18T00:00:00"/>
        <d v="2018-11-26T00:00:00"/>
        <d v="2018-12-03T00:00:00"/>
        <d v="2018-12-10T00:00:00"/>
        <d v="2018-11-22T00:00:00"/>
        <d v="2018-11-23T00:00:00"/>
        <d v="2018-12-11T00:00:00"/>
        <d v="2018-11-30T00:00:00"/>
        <d v="2018-12-17T00:00:00"/>
        <d v="2018-12-19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5">
  <r>
    <s v="37/2014"/>
    <s v="ZT"/>
    <s v="Čech"/>
    <x v="0"/>
    <s v="33694000-1"/>
    <m/>
    <n v="2350000"/>
    <x v="0"/>
    <d v="2014-12-02T00:00:00"/>
    <d v="2014-12-18T00:00:00"/>
    <s v="PharmaTech s.r.o."/>
    <n v="2345985"/>
    <n v="2838642"/>
    <x v="0"/>
  </r>
  <r>
    <s v="VZ-2015-000164"/>
    <s v="OHM"/>
    <s v="Gregor"/>
    <x v="1"/>
    <s v="50421200-4"/>
    <m/>
    <n v="36000000"/>
    <x v="1"/>
    <d v="2015-10-27T00:00:00"/>
    <d v="2015-12-22T00:00:00"/>
    <s v="zrušeno - pouze j nabídka nesplnění zadávacích podmínek, zásah do smlouvy"/>
    <m/>
    <m/>
    <x v="1"/>
  </r>
  <r>
    <s v="VZ-2015-000171"/>
    <s v="OEIS"/>
    <s v="Berger"/>
    <x v="2"/>
    <s v="72250000-2"/>
    <m/>
    <n v="6000000"/>
    <x v="1"/>
    <d v="2015-10-12T00:00:00"/>
    <d v="2015-12-07T00:00:00"/>
    <s v="OR-NEXT s.r.o."/>
    <n v="5980000"/>
    <n v="7235800"/>
    <x v="2"/>
  </r>
  <r>
    <s v="VZ-2015-000223"/>
    <s v="EKOL"/>
    <s v="Zapletálek"/>
    <x v="3"/>
    <s v="90524400-0"/>
    <m/>
    <n v="12315000"/>
    <x v="1"/>
    <s v="nerealizováno - bude připravena nová VZ  (VZ-2016-000602)"/>
    <m/>
    <m/>
    <m/>
    <m/>
    <x v="1"/>
  </r>
  <r>
    <s v="VZ-2015-000270"/>
    <s v="ZT"/>
    <s v="Čech"/>
    <x v="4"/>
    <s v="33694000-1"/>
    <m/>
    <n v="1900000"/>
    <x v="2"/>
    <d v="2015-06-24T00:00:00"/>
    <d v="2015-07-08T00:00:00"/>
    <s v="HPST s.r.o."/>
    <n v="1982405.77"/>
    <n v="2398710.98"/>
    <x v="3"/>
  </r>
  <r>
    <s v="VZ-2015-000329"/>
    <s v="DOPR"/>
    <s v="Solovský"/>
    <x v="5"/>
    <s v="34300000-0"/>
    <m/>
    <n v="3000000"/>
    <x v="1"/>
    <d v="2015-07-07T00:00:00"/>
    <d v="2015-11-18T00:00:00"/>
    <s v="Jiří Klanica"/>
    <n v="1590000"/>
    <n v="1923900"/>
    <x v="4"/>
  </r>
  <r>
    <s v="VZ-2015-000329"/>
    <s v="DOPR"/>
    <s v="Solovský"/>
    <x v="6"/>
    <s v="50110000-9"/>
    <m/>
    <n v="1600000"/>
    <x v="1"/>
    <d v="2015-07-07T00:00:00"/>
    <d v="2015-11-18T00:00:00"/>
    <s v="Jiří Klanica"/>
    <n v="240080"/>
    <n v="290496.8"/>
    <x v="4"/>
  </r>
  <r>
    <s v="VZ-2015-000362"/>
    <s v="OBN"/>
    <s v="Ing. Merta"/>
    <x v="7"/>
    <s v="35261100-2"/>
    <m/>
    <n v="1990000"/>
    <x v="3"/>
    <d v="2016-01-07T00:00:00"/>
    <d v="2016-01-19T00:00:00"/>
    <s v="zrušeno - pouze 1 nabídka, která překročila max. a nepřekročitelnou předpokládanou hodnotu VZ"/>
    <m/>
    <m/>
    <x v="1"/>
  </r>
  <r>
    <s v="VZ-2015-000376"/>
    <s v="INV"/>
    <s v="Kvapil"/>
    <x v="8"/>
    <s v="45215100-8"/>
    <s v="1.1.2./2015"/>
    <n v="19850000"/>
    <x v="1"/>
    <d v="2015-11-20T00:00:00"/>
    <d v="2015-12-21T00:00:00"/>
    <s v="OHL ŽS a.s."/>
    <n v="18861585"/>
    <n v="22822518"/>
    <x v="5"/>
  </r>
  <r>
    <s v="VZ-2015-000408"/>
    <s v="ZT"/>
    <s v="Čech"/>
    <x v="9"/>
    <s v="42900000-5"/>
    <s v="2.3.56/2015"/>
    <n v="1900000"/>
    <x v="3"/>
    <d v="2015-09-11T00:00:00"/>
    <d v="2015-09-24T00:00:00"/>
    <s v="Riva Europe Ltd."/>
    <n v="1912000"/>
    <n v="1912000"/>
    <x v="4"/>
  </r>
  <r>
    <s v="VZ-2015-000429"/>
    <s v="INV"/>
    <s v="Kvapil"/>
    <x v="10"/>
    <s v="71000000-8"/>
    <s v="1.2.1/2015"/>
    <n v="8000000"/>
    <x v="1"/>
    <d v="2015-11-05T00:00:00"/>
    <d v="2016-01-04T00:00:00"/>
    <s v="Adam Rujbr Architects"/>
    <n v="5950000"/>
    <n v="7199500"/>
    <x v="6"/>
  </r>
  <r>
    <s v="VZ-2015-000438"/>
    <s v="ZT"/>
    <s v="Čech"/>
    <x v="11"/>
    <s v="33694000-1"/>
    <m/>
    <n v="9222500"/>
    <x v="1"/>
    <d v="2015-11-09T00:00:00"/>
    <d v="2016-01-08T00:00:00"/>
    <s v="Biomedica ČS s.r.o."/>
    <n v="9170103.8699999992"/>
    <n v="11095825.68"/>
    <x v="7"/>
  </r>
  <r>
    <s v="VZ-2015-000479"/>
    <s v="OHM"/>
    <s v="Rozehnal"/>
    <x v="12"/>
    <s v="32570000-9"/>
    <s v="2.1.28./2015"/>
    <n v="4825000"/>
    <x v="1"/>
    <d v="2015-10-15T00:00:00"/>
    <d v="2015-12-08T00:00:00"/>
    <s v="První chráněná dílna"/>
    <n v="4819538.99"/>
    <n v="5831642.1799999997"/>
    <x v="7"/>
  </r>
  <r>
    <s v="VZ-2015-000483"/>
    <s v="INF"/>
    <s v="Oravec"/>
    <x v="13"/>
    <s v="32552310-3               45314310-7"/>
    <s v="2016"/>
    <n v="10250000"/>
    <x v="1"/>
    <d v="2016-04-13T00:00:00"/>
    <d v="2016-07-14T00:00:00"/>
    <s v="Eriserv spol.s r.o."/>
    <n v="9019945"/>
    <n v="10914133.449999999"/>
    <x v="8"/>
  </r>
  <r>
    <s v="VZ-2015-000519"/>
    <s v="INF"/>
    <s v="Oravec"/>
    <x v="14"/>
    <s v="30233141-1"/>
    <s v="1.4.3./2015"/>
    <n v="1970000"/>
    <x v="4"/>
    <d v="2015-11-20T00:00:00"/>
    <d v="2015-12-01T00:00:00"/>
    <s v="Notes CS a.s."/>
    <n v="1959575.21"/>
    <n v="2371086"/>
    <x v="9"/>
  </r>
  <r>
    <s v="VZ-2015-000530"/>
    <s v="OHM"/>
    <s v="Holibka"/>
    <x v="15"/>
    <s v="44161110-0"/>
    <s v="1.2.36/2015"/>
    <n v="230000"/>
    <x v="3"/>
    <d v="2015-11-12T00:00:00"/>
    <d v="2015-11-26T00:00:00"/>
    <s v="Dräger Medical s.r.o."/>
    <n v="197906"/>
    <n v="239466"/>
    <x v="10"/>
  </r>
  <r>
    <s v="VZ-2015-000538"/>
    <s v="LÉK"/>
    <s v="Ondráčková"/>
    <x v="16"/>
    <s v="33621300-2"/>
    <m/>
    <n v="1363270.02"/>
    <x v="0"/>
    <d v="2015-12-21T00:00:00"/>
    <d v="2016-01-12T00:00:00"/>
    <s v="zrušeno - pouze 1 nabídka, která překročila max. a nepřekročitelnou předpokládanou hodnotu VZ"/>
    <m/>
    <m/>
    <x v="1"/>
  </r>
  <r>
    <s v="VZ-2015-000538"/>
    <s v="LÉK"/>
    <s v="Ondráčková"/>
    <x v="17"/>
    <s v="33621300-2"/>
    <m/>
    <n v="685458.68"/>
    <x v="0"/>
    <d v="2015-12-21T00:00:00"/>
    <d v="2016-01-12T00:00:00"/>
    <s v="AMGEN s.r.o."/>
    <n v="693664.8"/>
    <n v="763031.28"/>
    <x v="11"/>
  </r>
  <r>
    <s v="VZ-2015-000538"/>
    <s v="LÉK"/>
    <s v="Ondráčková"/>
    <x v="18"/>
    <s v="33621300-2"/>
    <m/>
    <n v="1334851.18"/>
    <x v="0"/>
    <d v="2015-12-21T00:00:00"/>
    <d v="2016-01-12T00:00:00"/>
    <s v="PHOENIX"/>
    <n v="1324263.6000000001"/>
    <n v="1456689.96"/>
    <x v="11"/>
  </r>
  <r>
    <s v="VZ-2015-000543"/>
    <s v="ZM "/>
    <s v="Dočkalová"/>
    <x v="19"/>
    <s v="33681000-7"/>
    <m/>
    <n v="1980000"/>
    <x v="3"/>
    <d v="2015-11-19T00:00:00"/>
    <d v="2015-12-02T00:00:00"/>
    <s v="S.A.B. Impex s.r.o."/>
    <n v="2186970"/>
    <n v="2646233.7000000002"/>
    <x v="12"/>
  </r>
  <r>
    <s v="VZ-2015-000544"/>
    <s v="OSB "/>
    <s v="Vaida"/>
    <x v="20"/>
    <s v="45421100-5"/>
    <m/>
    <n v="550000"/>
    <x v="3"/>
    <d v="2015-11-24T00:00:00"/>
    <d v="2015-12-11T00:00:00"/>
    <s v="DEC - PLAST s.r.o."/>
    <n v="730775.36363636365"/>
    <n v="884238.19"/>
    <x v="13"/>
  </r>
  <r>
    <s v="VZ-2015-000551"/>
    <s v="ZM "/>
    <s v="Dočkalová"/>
    <x v="21"/>
    <s v="33140000-3"/>
    <m/>
    <n v="1130000"/>
    <x v="3"/>
    <d v="2015-11-25T00:00:00"/>
    <d v="2015-12-03T00:00:00"/>
    <s v="RADIOMETER s.r.o."/>
    <n v="1124200"/>
    <n v="1360282"/>
    <x v="14"/>
  </r>
  <r>
    <s v="VZ-2015-000556"/>
    <s v="ZT"/>
    <s v="Novák"/>
    <x v="22"/>
    <s v="33162100-4"/>
    <m/>
    <n v="120000"/>
    <x v="3"/>
    <d v="2015-12-07T00:00:00"/>
    <d v="2015-12-17T00:00:00"/>
    <s v="Johnson &amp; Johnson"/>
    <n v="118846.36363636365"/>
    <n v="143804.1"/>
    <x v="15"/>
  </r>
  <r>
    <s v="VZ-2015-000565"/>
    <s v="OEC"/>
    <s v="Štýbnarová"/>
    <x v="23"/>
    <s v="34927000-1"/>
    <s v="4.1.1./2016"/>
    <n v="135000"/>
    <x v="3"/>
    <d v="2015-12-07T00:00:00"/>
    <d v="2015-12-17T00:00:00"/>
    <s v="IDENTCODE s.r.o."/>
    <n v="139600"/>
    <n v="168916"/>
    <x v="10"/>
  </r>
  <r>
    <s v="VZ-2015-000568"/>
    <s v="ZT"/>
    <s v="Novák"/>
    <x v="24"/>
    <s v="33128000-3"/>
    <m/>
    <n v="500000"/>
    <x v="3"/>
    <d v="2015-12-18T00:00:00"/>
    <d v="2016-01-08T00:00:00"/>
    <s v="GRANE s.r.o."/>
    <n v="429500"/>
    <n v="519695"/>
    <x v="6"/>
  </r>
  <r>
    <s v="VZ-2015-000569"/>
    <s v="LÉK"/>
    <s v="Koranda"/>
    <x v="25"/>
    <s v="09343000-5"/>
    <m/>
    <n v="39182000"/>
    <x v="1"/>
    <d v="2016-04-04T00:00:00"/>
    <d v="2016-07-08T00:00:00"/>
    <s v="RadioMedic s.r.o."/>
    <n v="33976800"/>
    <n v="37374480"/>
    <x v="16"/>
  </r>
  <r>
    <s v="VZ-2015-000570"/>
    <s v="DOPR"/>
    <s v="Solovský"/>
    <x v="26"/>
    <s v="34114110-3"/>
    <s v="4.1.2./2016"/>
    <n v="1900000"/>
    <x v="1"/>
    <d v="2016-01-15T00:00:00"/>
    <d v="2016-03-18T00:00:00"/>
    <s v="Autodružstvo Podbabská "/>
    <n v="1776000"/>
    <n v="2148960"/>
    <x v="17"/>
  </r>
  <r>
    <s v="VZ-2015-000570"/>
    <s v="DOPR"/>
    <s v="Solovský"/>
    <x v="27"/>
    <s v="34114110-3"/>
    <s v="4.1.3./2016"/>
    <n v="1250000"/>
    <x v="1"/>
    <d v="2016-01-15T00:00:00"/>
    <d v="2016-03-18T00:00:00"/>
    <s v="Autodružstvo Podbabská "/>
    <n v="1233000"/>
    <n v="1491930"/>
    <x v="17"/>
  </r>
  <r>
    <s v="VZ-2015-000575"/>
    <s v="ZM "/>
    <s v="Čech"/>
    <x v="28"/>
    <s v="33731110-7"/>
    <m/>
    <n v="3174500"/>
    <x v="0"/>
    <d v="2015-12-11T00:00:00"/>
    <d v="2016-01-05T00:00:00"/>
    <s v="ALCON Pharmaceuticals"/>
    <n v="3174265"/>
    <n v="3650404.75"/>
    <x v="18"/>
  </r>
  <r>
    <s v="VZ-2015-000579"/>
    <s v="DOPR"/>
    <s v="Solovský"/>
    <x v="29"/>
    <s v="42415200-0"/>
    <s v="4.1.4. + 4.1.5./2016"/>
    <n v="4500000"/>
    <x v="1"/>
    <d v="2016-02-02T00:00:00"/>
    <d v="2016-03-29T00:00:00"/>
    <s v="zrušeno - bez nabídky"/>
    <m/>
    <m/>
    <x v="1"/>
  </r>
  <r>
    <s v="VZ-2016-000003"/>
    <s v="INF"/>
    <s v="Oravec"/>
    <x v="30"/>
    <s v="33197000-7"/>
    <s v="1.4.4./2015"/>
    <n v="1980000"/>
    <x v="3"/>
    <d v="2016-01-07T00:00:00"/>
    <d v="2016-01-19T00:00:00"/>
    <s v="První chráněná dílna"/>
    <n v="1894554"/>
    <n v="2292410.34"/>
    <x v="6"/>
  </r>
  <r>
    <s v="VZ-2016-000005"/>
    <s v="EKOL"/>
    <s v="Zapletálek"/>
    <x v="31"/>
    <s v="90621000-9"/>
    <m/>
    <n v="1160000"/>
    <x v="5"/>
    <d v="2016-01-11T00:00:00"/>
    <d v="2016-01-20T00:00:00"/>
    <s v="Ratex v.o.s."/>
    <n v="234170.00000000003"/>
    <n v="283345.7"/>
    <x v="0"/>
  </r>
  <r>
    <s v="VZ-2016-000010"/>
    <s v="INF"/>
    <s v="Oravec"/>
    <x v="32"/>
    <s v="30232110-8"/>
    <m/>
    <n v="756200"/>
    <x v="4"/>
    <d v="2016-01-29T00:00:00"/>
    <d v="2016-02-09T00:00:00"/>
    <s v="AutoCont CZ a.s."/>
    <n v="633000"/>
    <n v="765990"/>
    <x v="19"/>
  </r>
  <r>
    <s v="VZ-2016-000018"/>
    <s v="ZT"/>
    <s v="Novák"/>
    <x v="33"/>
    <s v="33192340-7"/>
    <m/>
    <n v="1400000"/>
    <x v="3"/>
    <d v="2016-01-25T00:00:00"/>
    <d v="2016-02-04T00:00:00"/>
    <s v="MARO-Mader s.r.o."/>
    <n v="1077477"/>
    <n v="1303730"/>
    <x v="20"/>
  </r>
  <r>
    <s v="VZ-2016-000025"/>
    <s v="INF"/>
    <s v="Oravec"/>
    <x v="34"/>
    <s v="30216130-6"/>
    <m/>
    <n v="107500"/>
    <x v="4"/>
    <d v="2016-02-16T00:00:00"/>
    <d v="2016-02-24T00:00:00"/>
    <s v="C SYSTEM CZ a.s."/>
    <n v="111000"/>
    <n v="134310"/>
    <x v="21"/>
  </r>
  <r>
    <s v="VZ-2016-000026"/>
    <s v="ZT"/>
    <s v="Novák"/>
    <x v="35"/>
    <s v="34911100-7"/>
    <m/>
    <n v="410000"/>
    <x v="3"/>
    <d v="2016-01-27T00:00:00"/>
    <d v="2016-02-10T00:00:00"/>
    <s v="Proma Reha s.r.o."/>
    <n v="378248"/>
    <n v="457681"/>
    <x v="22"/>
  </r>
  <r>
    <s v="VZ-2016-000027"/>
    <s v="ZT"/>
    <s v="Novák"/>
    <x v="36"/>
    <s v="33193120-6"/>
    <m/>
    <n v="330000"/>
    <x v="3"/>
    <d v="2016-01-27T00:00:00"/>
    <d v="2016-02-09T00:00:00"/>
    <s v="AUDY s.r.o."/>
    <n v="258372"/>
    <n v="297128"/>
    <x v="23"/>
  </r>
  <r>
    <s v="VZ-2016-000031"/>
    <s v="LÉK"/>
    <s v="Ondráčková"/>
    <x v="37"/>
    <s v="33694000-1"/>
    <m/>
    <n v="1707247"/>
    <x v="3"/>
    <d v="2016-01-28T00:00:00"/>
    <d v="2016-02-05T00:00:00"/>
    <s v="Lacomed s.r.o."/>
    <n v="1592118"/>
    <n v="1926463"/>
    <x v="24"/>
  </r>
  <r>
    <s v="VZ-2016-000040"/>
    <s v="INF"/>
    <s v="Oravec"/>
    <x v="38"/>
    <s v="30231310-3"/>
    <m/>
    <n v="794000"/>
    <x v="4"/>
    <d v="2016-02-18T00:00:00"/>
    <d v="2016-03-17T00:00:00"/>
    <s v="Notes CS a.s."/>
    <n v="713740"/>
    <n v="863625.4"/>
    <x v="25"/>
  </r>
  <r>
    <s v="VZ-2016-000041"/>
    <s v="ZT"/>
    <s v="Novák"/>
    <x v="39"/>
    <s v="33169100-3"/>
    <s v="2.3.82."/>
    <n v="1800000"/>
    <x v="3"/>
    <d v="2016-02-03T00:00:00"/>
    <d v="2016-02-15T00:00:00"/>
    <s v="HOSPIMED s.r.o."/>
    <n v="1318328"/>
    <n v="1595176.88"/>
    <x v="26"/>
  </r>
  <r>
    <s v="VZ-2016-000049"/>
    <s v="OBN"/>
    <s v="Merta"/>
    <x v="40"/>
    <s v="35261100-2"/>
    <m/>
    <n v="1990000"/>
    <x v="3"/>
    <d v="2016-02-05T00:00:00"/>
    <d v="2016-02-17T00:00:00"/>
    <s v="Active Vision SE"/>
    <n v="994200"/>
    <n v="1202982"/>
    <x v="27"/>
  </r>
  <r>
    <s v="VZ-2016-000055"/>
    <s v="ZT"/>
    <s v="Novák"/>
    <x v="41"/>
    <s v="38434500-1"/>
    <s v="2.2.18."/>
    <n v="330000"/>
    <x v="3"/>
    <d v="2016-02-09T00:00:00"/>
    <d v="2016-02-17T00:00:00"/>
    <s v="Laboratory Imaging s.r.o."/>
    <n v="331256"/>
    <n v="400819.8"/>
    <x v="28"/>
  </r>
  <r>
    <s v="VZ-2016-000062"/>
    <s v="INV"/>
    <s v="Kvapil"/>
    <x v="42"/>
    <s v="45215100-8"/>
    <m/>
    <n v="148500"/>
    <x v="6"/>
    <d v="2016-02-09T00:00:00"/>
    <d v="2016-02-09T00:00:00"/>
    <s v="OHL ŽS a.s."/>
    <n v="148500"/>
    <n v="179685"/>
    <x v="29"/>
  </r>
  <r>
    <s v="VZ-2016-000067"/>
    <s v="ZT"/>
    <s v="Novák"/>
    <x v="43"/>
    <s v="33192300-5"/>
    <s v="2.2.25."/>
    <n v="775000"/>
    <x v="3"/>
    <d v="2016-02-12T00:00:00"/>
    <d v="2016-02-23T00:00:00"/>
    <s v="HOSPIMED s.r.o."/>
    <n v="557300"/>
    <n v="674333"/>
    <x v="30"/>
  </r>
  <r>
    <s v="VZ-2016-000067"/>
    <s v="ZT"/>
    <s v="Novák"/>
    <x v="44"/>
    <s v="33192300-5"/>
    <s v="2.2.25."/>
    <n v="50000"/>
    <x v="3"/>
    <d v="2016-02-12T00:00:00"/>
    <d v="2016-02-23T00:00:00"/>
    <s v="RQL s.r.o."/>
    <n v="42999"/>
    <n v="52028.79"/>
    <x v="31"/>
  </r>
  <r>
    <s v="VZ-2016-000072"/>
    <s v="ZT"/>
    <s v="Novák"/>
    <x v="45"/>
    <s v="33122000-1 "/>
    <s v="2.3.110."/>
    <n v="1157000"/>
    <x v="3"/>
    <d v="2016-02-12T00:00:00"/>
    <d v="2016-02-25T00:00:00"/>
    <s v="Carl Zeiss s.r.o."/>
    <n v="1108000"/>
    <n v="1340680"/>
    <x v="32"/>
  </r>
  <r>
    <s v="VZ-2016-000074"/>
    <s v="LÉK"/>
    <s v="Ondráčková"/>
    <x v="46"/>
    <s v="33694000-1"/>
    <m/>
    <n v="7880000"/>
    <x v="1"/>
    <d v="2016-04-28T00:00:00"/>
    <d v="2016-08-16T00:00:00"/>
    <s v="Medista s.r.o."/>
    <n v="2996000"/>
    <n v="3625160"/>
    <x v="33"/>
  </r>
  <r>
    <s v="VZ-2016-000085"/>
    <s v="LÉK"/>
    <s v="Ondráčková"/>
    <x v="47"/>
    <s v="33652300-8"/>
    <m/>
    <n v="1289848.5"/>
    <x v="1"/>
    <d v="2016-04-01T00:00:00"/>
    <d v="2016-08-17T00:00:00"/>
    <s v="Alliance Healthcare s.r.o."/>
    <n v="1289590.5"/>
    <n v="1418549.55"/>
    <x v="34"/>
  </r>
  <r>
    <s v="VZ-2016-000085"/>
    <s v="LÉK"/>
    <s v="Ondráčková"/>
    <x v="48"/>
    <s v="33652300-8"/>
    <m/>
    <n v="11063526.720000001"/>
    <x v="1"/>
    <d v="2016-04-01T00:00:00"/>
    <d v="2016-08-17T00:00:00"/>
    <s v="PHOENIX lék. Velkoobchod"/>
    <n v="11063526.720000001"/>
    <n v="12169879.392000001"/>
    <x v="34"/>
  </r>
  <r>
    <s v="VZ-2016-000085"/>
    <s v="LÉK"/>
    <s v="Ondráčková"/>
    <x v="49"/>
    <s v="33652300-8"/>
    <m/>
    <n v="7226832.7999999998"/>
    <x v="1"/>
    <d v="2016-04-01T00:00:00"/>
    <d v="2016-08-17T00:00:00"/>
    <s v="zrušeno - bez nabídky"/>
    <m/>
    <m/>
    <x v="1"/>
  </r>
  <r>
    <s v="VZ-2016-000085"/>
    <s v="LÉK"/>
    <s v="Ondráčková"/>
    <x v="50"/>
    <s v="33652300-8"/>
    <m/>
    <n v="17433348.600000001"/>
    <x v="1"/>
    <d v="2016-04-01T00:00:00"/>
    <d v="2016-08-17T00:00:00"/>
    <s v="Alliance Healthcare s.r.o."/>
    <n v="17673481.199999999"/>
    <n v="19440829.32"/>
    <x v="34"/>
  </r>
  <r>
    <s v="VZ-2016-000085"/>
    <s v="LÉK"/>
    <s v="Ondráčková"/>
    <x v="51"/>
    <s v="33652300-8"/>
    <m/>
    <n v="18845952"/>
    <x v="1"/>
    <d v="2016-04-01T00:00:00"/>
    <d v="2016-08-17T00:00:00"/>
    <s v="ViaPharma  s.r.o."/>
    <n v="18147607.039999999"/>
    <n v="19962367.743999999"/>
    <x v="34"/>
  </r>
  <r>
    <s v="VZ-2016-000085"/>
    <s v="LÉK"/>
    <s v="Ondráčková"/>
    <x v="52"/>
    <s v="33652300-8"/>
    <m/>
    <n v="1757174.4"/>
    <x v="1"/>
    <d v="2016-04-01T00:00:00"/>
    <d v="2016-08-17T00:00:00"/>
    <s v="zrušeno - bez nabídky"/>
    <m/>
    <m/>
    <x v="1"/>
  </r>
  <r>
    <s v="VZ-2016-000085"/>
    <s v="LÉK"/>
    <s v="Ondráčková"/>
    <x v="53"/>
    <s v="33652300-8"/>
    <m/>
    <n v="1447902.6"/>
    <x v="1"/>
    <d v="2016-04-01T00:00:00"/>
    <d v="2016-08-17T00:00:00"/>
    <s v="Alliance Healthcare s.r.o."/>
    <n v="1447920"/>
    <n v="1592712.0000000002"/>
    <x v="34"/>
  </r>
  <r>
    <s v="VZ-2016-000085"/>
    <s v="LÉK"/>
    <s v="Ondráčková"/>
    <x v="54"/>
    <s v="33652300-8"/>
    <m/>
    <n v="7967565"/>
    <x v="1"/>
    <d v="2016-04-01T00:00:00"/>
    <d v="2016-08-17T00:00:00"/>
    <s v="Alliance Healthcare s.r.o."/>
    <n v="7965973.3499999996"/>
    <n v="8762570.6850000005"/>
    <x v="34"/>
  </r>
  <r>
    <s v="VZ-2016-000091"/>
    <s v="DOPR"/>
    <s v="Solovský"/>
    <x v="55"/>
    <s v="50114000-7"/>
    <m/>
    <n v="1400000"/>
    <x v="5"/>
    <d v="2016-03-03T00:00:00"/>
    <d v="2016-03-15T00:00:00"/>
    <s v="DS správa servisů s.r.o."/>
    <n v="359"/>
    <n v="434.39"/>
    <x v="35"/>
  </r>
  <r>
    <s v="VZ-2016-000093"/>
    <s v="INV"/>
    <s v="Kvapil"/>
    <x v="56"/>
    <s v="45215100-8"/>
    <s v="1.2.15.+1.2.44."/>
    <n v="4850000"/>
    <x v="3"/>
    <d v="2016-03-17T00:00:00"/>
    <d v="2016-04-04T00:00:00"/>
    <s v="AZ stavby s.r.o."/>
    <n v="3445805.92"/>
    <n v="4169425.16"/>
    <x v="36"/>
  </r>
  <r>
    <s v="VZ-2016-000101"/>
    <s v="INF"/>
    <s v="Oravec"/>
    <x v="57"/>
    <s v="33124000-5"/>
    <s v="3.2.2."/>
    <n v="1490000"/>
    <x v="3"/>
    <d v="2016-03-08T00:00:00"/>
    <d v="2016-03-18T00:00:00"/>
    <s v="Medisolve  Medical Solutions s.r.o."/>
    <n v="1465800"/>
    <n v="1773618"/>
    <x v="37"/>
  </r>
  <r>
    <s v="VZ-2016-000102"/>
    <s v="ZT"/>
    <s v="Čech"/>
    <x v="58"/>
    <s v="33162100-4 "/>
    <s v="2.1.13."/>
    <n v="2479000"/>
    <x v="0"/>
    <d v="2016-03-21T00:00:00"/>
    <d v="2016-04-12T00:00:00"/>
    <s v="zrušeno - k hodnocení zbyla pouze 1 nabídka "/>
    <m/>
    <m/>
    <x v="1"/>
  </r>
  <r>
    <s v="VZ-2016-000108"/>
    <s v="INF"/>
    <s v="Oravec"/>
    <x v="59"/>
    <s v="30213300-8"/>
    <m/>
    <n v="6316116"/>
    <x v="4"/>
    <d v="2016-03-10T00:00:00"/>
    <d v="2016-04-12T00:00:00"/>
    <s v="AuroCont CZ a.s."/>
    <n v="5680081"/>
    <n v="6872898"/>
    <x v="38"/>
  </r>
  <r>
    <s v="VZ-2016-000109"/>
    <s v="INF"/>
    <s v="Oravec"/>
    <x v="60"/>
    <s v="30232100-5 "/>
    <m/>
    <n v="202314"/>
    <x v="4"/>
    <d v="2016-03-10T00:00:00"/>
    <d v="2016-04-08T00:00:00"/>
    <s v="C SYSTEM CZ a.s."/>
    <n v="202500"/>
    <n v="245025"/>
    <x v="38"/>
  </r>
  <r>
    <s v="VZ-2016-000110"/>
    <s v="ZT"/>
    <s v="Novák"/>
    <x v="61"/>
    <s v="33191000-5"/>
    <s v="2.2.28."/>
    <n v="330600"/>
    <x v="3"/>
    <d v="2016-03-18T00:00:00"/>
    <d v="2016-03-31T00:00:00"/>
    <s v="Miele s.r.o."/>
    <n v="286631.86"/>
    <n v="346825"/>
    <x v="39"/>
  </r>
  <r>
    <s v="VZ-2016-000111"/>
    <s v="ZT"/>
    <s v="Čech"/>
    <x v="62"/>
    <s v="33157400-9"/>
    <s v="2.3.119."/>
    <n v="825000"/>
    <x v="3"/>
    <d v="2016-03-31T00:00:00"/>
    <d v="2016-04-14T00:00:00"/>
    <s v="Dartin s.r.o."/>
    <n v="1051105"/>
    <n v="1271837.05"/>
    <x v="1"/>
  </r>
  <r>
    <s v="VZ-2016-000116"/>
    <s v="VYHRAZ"/>
    <s v="Holibka"/>
    <x v="63"/>
    <s v="42416120-2"/>
    <s v="1.2.21+4.1.16"/>
    <n v="2430000"/>
    <x v="0"/>
    <d v="2016-03-21T00:00:00"/>
    <d v="2016-04-14T00:00:00"/>
    <s v="zrušeno - pouze 1 nabídka, která překročila max. a nepřekročitelnou předpokládanou hodnotu VZ"/>
    <m/>
    <m/>
    <x v="1"/>
  </r>
  <r>
    <s v="VZ-2016-000121"/>
    <s v="ZT"/>
    <s v="Novák"/>
    <x v="64"/>
    <s v="33192160-1"/>
    <m/>
    <n v="610000"/>
    <x v="3"/>
    <d v="2016-03-22T00:00:00"/>
    <d v="2016-03-30T00:00:00"/>
    <s v="Proma Reha s.r.o."/>
    <n v="450396"/>
    <n v="544979"/>
    <x v="40"/>
  </r>
  <r>
    <s v="VZ-2016-000122"/>
    <s v="ZT"/>
    <s v="Novák"/>
    <x v="65"/>
    <s v="33192160-1"/>
    <m/>
    <n v="260000"/>
    <x v="3"/>
    <s v="22.32016"/>
    <d v="2016-03-29T00:00:00"/>
    <s v="Proma Reha s.r.o."/>
    <n v="278461"/>
    <n v="336937"/>
    <x v="41"/>
  </r>
  <r>
    <s v="VZ-2016-000123"/>
    <s v="ZT"/>
    <s v="Novák"/>
    <x v="66"/>
    <s v="33100000-1"/>
    <s v="4.1.19"/>
    <n v="2310000"/>
    <x v="0"/>
    <d v="2016-04-29T00:00:00"/>
    <d v="2016-05-27T00:00:00"/>
    <s v="Fénix Brno s.r.o."/>
    <n v="2194277"/>
    <n v="2655075.2000000002"/>
    <x v="42"/>
  </r>
  <r>
    <s v="VZ-2016-000125"/>
    <s v="INF"/>
    <s v="Marek"/>
    <x v="67"/>
    <s v="79314000-8"/>
    <m/>
    <n v="450000"/>
    <x v="3"/>
    <d v="2016-03-22T00:00:00"/>
    <d v="2016-03-30T00:00:00"/>
    <s v="Ernst &amp; Young s.r.o."/>
    <n v="320000"/>
    <n v="387200"/>
    <x v="43"/>
  </r>
  <r>
    <s v="VZ-2016-000130"/>
    <s v="VYHRAZ"/>
    <s v="Srovnal"/>
    <x v="68"/>
    <s v="42513290-4"/>
    <s v="4.1.20"/>
    <n v="1145000"/>
    <x v="3"/>
    <d v="2016-03-23T00:00:00"/>
    <d v="2016-04-14T00:00:00"/>
    <s v="Air - Klimont s.r.o."/>
    <n v="614272"/>
    <n v="743269"/>
    <x v="40"/>
  </r>
  <r>
    <s v="VZ-2016-000147"/>
    <s v="VYHRAZ"/>
    <s v="Holibka"/>
    <x v="69"/>
    <s v="42514310-8"/>
    <m/>
    <n v="430000"/>
    <x v="3"/>
    <d v="2016-03-31T00:00:00"/>
    <d v="2016-04-14T00:00:00"/>
    <s v="Ekofiltr s.r.o."/>
    <n v="359106"/>
    <n v="434518"/>
    <x v="44"/>
  </r>
  <r>
    <s v="VZ-2016-000148"/>
    <s v="ZT"/>
    <s v="Novák"/>
    <x v="70"/>
    <s v="33194100-7 "/>
    <m/>
    <n v="1075000"/>
    <x v="3"/>
    <d v="2016-04-05T00:00:00"/>
    <d v="2016-04-21T00:00:00"/>
    <s v="B. Braun Medical s.r.o."/>
    <n v="1516850"/>
    <n v="1835388.5"/>
    <x v="45"/>
  </r>
  <r>
    <s v="VZ-2016-000161"/>
    <s v="INF"/>
    <s v="Marek"/>
    <x v="71"/>
    <s v="48180000-3"/>
    <s v="3.2.13."/>
    <n v="140500"/>
    <x v="3"/>
    <d v="2016-04-07T00:00:00"/>
    <d v="2016-04-19T00:00:00"/>
    <s v="Camosci Czech s.r.o."/>
    <n v="138932"/>
    <n v="168108"/>
    <x v="38"/>
  </r>
  <r>
    <s v="VZ-2016-000175"/>
    <s v="INF"/>
    <s v="Marek"/>
    <x v="72"/>
    <s v="48329000-0"/>
    <m/>
    <n v="7000000"/>
    <x v="1"/>
    <d v="2016-04-11T00:00:00"/>
    <d v="2016-11-02T00:00:00"/>
    <s v="TECHNISERV IT spol. s r.o."/>
    <n v="6997777"/>
    <n v="8467310.1699999999"/>
    <x v="1"/>
  </r>
  <r>
    <s v="VZ-2016-000177"/>
    <s v="SERV"/>
    <s v="Zemánek"/>
    <x v="73"/>
    <s v="50421200-4"/>
    <m/>
    <n v="1900000"/>
    <x v="3"/>
    <d v="2016-05-13T00:00:00"/>
    <d v="2016-05-25T00:00:00"/>
    <s v="zrušeno - bez nabídky"/>
    <m/>
    <m/>
    <x v="1"/>
  </r>
  <r>
    <s v="VZ-2016-000178"/>
    <s v="LÉK"/>
    <s v="Běhal"/>
    <x v="74"/>
    <s v="42900000-5"/>
    <m/>
    <n v="1990000"/>
    <x v="3"/>
    <d v="2016-04-20T00:00:00"/>
    <d v="2016-05-10T00:00:00"/>
    <s v="ARCON Machinery a.s."/>
    <n v="1970000"/>
    <n v="2383700"/>
    <x v="46"/>
  </r>
  <r>
    <s v="VZ-2016-000179"/>
    <s v="INV"/>
    <s v="Kvapil"/>
    <x v="75"/>
    <s v="45215100-8"/>
    <s v="1.2.3"/>
    <n v="3390000"/>
    <x v="3"/>
    <d v="2016-04-12T00:00:00"/>
    <d v="2016-05-02T00:00:00"/>
    <s v="SANBON spol.s r .o."/>
    <n v="2699520"/>
    <n v="3266419.2"/>
    <x v="47"/>
  </r>
  <r>
    <s v="VZ-2016-000183"/>
    <s v="ZT"/>
    <s v="Čech"/>
    <x v="76"/>
    <s v="38432210-7"/>
    <s v="2.3.122."/>
    <n v="2890000"/>
    <x v="0"/>
    <d v="2016-04-28T00:00:00"/>
    <d v="2016-06-21T00:00:00"/>
    <s v="zrušeno"/>
    <m/>
    <m/>
    <x v="1"/>
  </r>
  <r>
    <s v="VZ-2016-000185"/>
    <s v="STRAV"/>
    <s v="Molek"/>
    <x v="77"/>
    <s v="39314000-6"/>
    <s v="4.1.13+4.1.14"/>
    <n v="490000"/>
    <x v="3"/>
    <d v="2016-04-15T00:00:00"/>
    <d v="2016-04-29T00:00:00"/>
    <s v="Jiří Ruček SET-ES"/>
    <n v="380500"/>
    <n v="460405"/>
    <x v="38"/>
  </r>
  <r>
    <s v="VZ-2016-000187"/>
    <s v="LÉK"/>
    <s v="Ondráčková"/>
    <x v="78"/>
    <s v="33652000-5"/>
    <m/>
    <n v="7156443.3200000003"/>
    <x v="1"/>
    <d v="2016-04-15T00:00:00"/>
    <d v="2016-07-19T00:00:00"/>
    <s v="ViaPharma  s.r.o."/>
    <n v="2581893.9500000002"/>
    <n v="2840083.35"/>
    <x v="48"/>
  </r>
  <r>
    <s v="VZ-2016-000187"/>
    <s v="LÉK"/>
    <s v="Ondráčková"/>
    <x v="79"/>
    <s v="33652000-5"/>
    <m/>
    <n v="129499.51"/>
    <x v="1"/>
    <d v="2016-04-15T00:00:00"/>
    <d v="2016-07-14T00:00:00"/>
    <s v="zrušena část  II. Ještě před podáním nabídek - dlouhodobý výpadek účinné látky"/>
    <m/>
    <m/>
    <x v="1"/>
  </r>
  <r>
    <s v="VZ-2016-000196"/>
    <s v="INF"/>
    <s v="Oravec"/>
    <x v="80"/>
    <s v="32552110-1"/>
    <m/>
    <n v="431405"/>
    <x v="5"/>
    <d v="2016-04-20T00:00:00"/>
    <d v="2016-04-29T00:00:00"/>
    <s v="Eriserv spol.s r.o."/>
    <n v="440000"/>
    <n v="532400"/>
    <x v="49"/>
  </r>
  <r>
    <s v="VZ-2016-000197"/>
    <s v="ZT"/>
    <s v="Novák"/>
    <x v="81"/>
    <s v="42513000-5"/>
    <s v="2.2.47"/>
    <n v="315000"/>
    <x v="3"/>
    <d v="2016-04-20T00:00:00"/>
    <d v="2016-05-05T00:00:00"/>
    <s v="zrušeno - bez nabídky"/>
    <m/>
    <m/>
    <x v="1"/>
  </r>
  <r>
    <s v="VZ-2016-000199"/>
    <s v="STRAV"/>
    <s v="Molek"/>
    <x v="82"/>
    <s v="39314000-6"/>
    <s v="4.1.7."/>
    <n v="148761"/>
    <x v="3"/>
    <d v="2016-04-21T00:00:00"/>
    <d v="2016-05-04T00:00:00"/>
    <s v="Megastro CZ s.r.o."/>
    <n v="139500"/>
    <n v="168795"/>
    <x v="50"/>
  </r>
  <r>
    <s v="VZ-2016-000205"/>
    <s v="DOPR"/>
    <s v="Solovský"/>
    <x v="83"/>
    <s v="42415200-0"/>
    <s v="4.1.4. + 4.1.5."/>
    <n v="5240000"/>
    <x v="1"/>
    <d v="2016-04-27T00:00:00"/>
    <d v="2016-06-23T00:00:00"/>
    <s v="AGROTEC a.s."/>
    <n v="5095000"/>
    <n v="6164950"/>
    <x v="51"/>
  </r>
  <r>
    <s v="VZ-2016-000206"/>
    <s v="ZT"/>
    <s v="Novák"/>
    <x v="84"/>
    <s v="33125000-2"/>
    <s v="2.3.153"/>
    <n v="530000"/>
    <x v="3"/>
    <d v="2016-05-13T00:00:00"/>
    <d v="2016-05-25T00:00:00"/>
    <s v="zrušeno - bez nabídky"/>
    <m/>
    <m/>
    <x v="1"/>
  </r>
  <r>
    <s v="VZ-2016-000206"/>
    <s v="ZT"/>
    <s v="Novák"/>
    <x v="85"/>
    <s v="33125000-2"/>
    <s v="2.3.153"/>
    <n v="90000"/>
    <x v="3"/>
    <d v="2016-05-13T00:00:00"/>
    <d v="2016-05-25T00:00:00"/>
    <s v="RQL s.r.o."/>
    <n v="84499"/>
    <n v="102243.79"/>
    <x v="52"/>
  </r>
  <r>
    <s v="VZ-2016-000207"/>
    <s v="ZT"/>
    <s v="Novák"/>
    <x v="86"/>
    <s v="33162100-4"/>
    <s v="2.3.150"/>
    <n v="415000"/>
    <x v="3"/>
    <d v="2016-05-13T00:00:00"/>
    <d v="2016-06-02T00:00:00"/>
    <s v="Radix CZ s.r.o."/>
    <n v="358034.71074380167"/>
    <n v="433222"/>
    <x v="53"/>
  </r>
  <r>
    <s v="VZ-2016-000208"/>
    <s v="VYHRAZ"/>
    <s v="Holibka"/>
    <x v="87"/>
    <s v="42416120-2"/>
    <s v="1.2.21+4.1.16"/>
    <n v="3100000"/>
    <x v="0"/>
    <d v="2016-04-25T00:00:00"/>
    <d v="2016-05-17T00:00:00"/>
    <s v="Výtahy Výmyslický s.r.o."/>
    <n v="3104021"/>
    <n v="3755865"/>
    <x v="54"/>
  </r>
  <r>
    <s v="VZ-2016-000212"/>
    <s v="ZT"/>
    <s v="Čech"/>
    <x v="88"/>
    <s v="33111400-5"/>
    <s v="2.2.32"/>
    <n v="6190000"/>
    <x v="1"/>
    <d v="2016-04-25T00:00:00"/>
    <d v="2016-10-25T00:00:00"/>
    <s v="Foma Medical s.r.o."/>
    <n v="7216190"/>
    <n v="8731589.5"/>
    <x v="55"/>
  </r>
  <r>
    <s v="VZ-2016-000213"/>
    <s v="ZT"/>
    <s v="Čech"/>
    <x v="89"/>
    <s v="33195100-4"/>
    <s v="2.3.136"/>
    <n v="3950000"/>
    <x v="1"/>
    <d v="2016-04-25T00:00:00"/>
    <d v="2016-10-26T00:00:00"/>
    <s v="S + T Plus s.r.o."/>
    <n v="3305000"/>
    <n v="3999050"/>
    <x v="56"/>
  </r>
  <r>
    <s v="VZ-2016-000214"/>
    <s v="INF"/>
    <s v="Oravec"/>
    <x v="90"/>
    <s v="48823000-3"/>
    <s v="3.2.5"/>
    <n v="2809917"/>
    <x v="4"/>
    <d v="2016-04-26T00:00:00"/>
    <d v="2016-05-27T00:00:00"/>
    <s v="Merit Group a.s."/>
    <n v="2751426"/>
    <n v="3329226"/>
    <x v="57"/>
  </r>
  <r>
    <s v="VZ-2016-000218"/>
    <s v="OSB "/>
    <s v="Vaida"/>
    <x v="91"/>
    <s v="45330000-9"/>
    <s v="4.1.37"/>
    <n v="3110000"/>
    <x v="3"/>
    <d v="2016-04-28T00:00:00"/>
    <d v="2016-05-10T00:00:00"/>
    <s v="S.M. - Olomouc s.r.o."/>
    <n v="2123505.88"/>
    <n v="2569442.11"/>
    <x v="22"/>
  </r>
  <r>
    <s v="VZ-2016-000219"/>
    <s v="OSB "/>
    <s v="Vaida"/>
    <x v="92"/>
    <s v="50850000-8"/>
    <m/>
    <n v="450000"/>
    <x v="3"/>
    <d v="2016-05-04T00:00:00"/>
    <d v="2016-05-17T00:00:00"/>
    <s v="JeS Interiér výroba nábytku"/>
    <n v="280220"/>
    <n v="339066.2"/>
    <x v="58"/>
  </r>
  <r>
    <s v="VZ-2016-000221"/>
    <s v="INF"/>
    <s v="Oravec"/>
    <x v="93"/>
    <s v="30121100-4"/>
    <m/>
    <n v="90909"/>
    <x v="4"/>
    <d v="2016-04-26T00:00:00"/>
    <d v="2016-05-26T00:00:00"/>
    <s v="AutoCont CZ a.s."/>
    <n v="90000"/>
    <n v="108900"/>
    <x v="0"/>
  </r>
  <r>
    <s v="VZ-2016-000224"/>
    <s v="VYHRAZ"/>
    <s v="Srovnal"/>
    <x v="94"/>
    <s v="42512200-0"/>
    <s v="4.1.21"/>
    <n v="2780000"/>
    <x v="0"/>
    <d v="2016-05-05T00:00:00"/>
    <d v="2016-05-24T00:00:00"/>
    <s v="Climart  s.r.o."/>
    <n v="1896083"/>
    <n v="2294260.4300000002"/>
    <x v="0"/>
  </r>
  <r>
    <s v="VZ-2016-000224"/>
    <s v="VYHRAZ"/>
    <s v="Srovnal"/>
    <x v="95"/>
    <s v="42512200-0"/>
    <s v="4.1.21"/>
    <n v="800000"/>
    <x v="0"/>
    <d v="2016-05-05T00:00:00"/>
    <d v="2016-05-24T00:00:00"/>
    <s v="THERMO s.r.o."/>
    <n v="789760"/>
    <n v="955610"/>
    <x v="0"/>
  </r>
  <r>
    <s v="VZ-2016-000226"/>
    <s v="ZT"/>
    <s v="Novák"/>
    <x v="96"/>
    <s v="33182100-0"/>
    <m/>
    <n v="600000"/>
    <x v="3"/>
    <d v="2016-05-03T00:00:00"/>
    <d v="2016-05-19T00:00:00"/>
    <s v="Medsol spol. s r.o."/>
    <n v="683000"/>
    <n v="826430"/>
    <x v="46"/>
  </r>
  <r>
    <s v="VZ-2016-000230"/>
    <s v="OEC"/>
    <s v="Štýbnarová"/>
    <x v="97"/>
    <s v="34927000-1"/>
    <s v="4.1.1."/>
    <n v="280000"/>
    <x v="3"/>
    <d v="2016-05-03T00:00:00"/>
    <d v="2016-05-12T00:00:00"/>
    <s v="IDENTCODE s.r.o."/>
    <n v="274600"/>
    <n v="332266"/>
    <x v="59"/>
  </r>
  <r>
    <s v="VZ-2016-000232"/>
    <s v="STRAV"/>
    <s v="Molek"/>
    <x v="98"/>
    <s v="39314000-6"/>
    <s v="4.1.15"/>
    <n v="100000"/>
    <x v="3"/>
    <d v="2016-05-04T00:00:00"/>
    <d v="2016-05-13T00:00:00"/>
    <s v="Jiří Ruček SET-ES"/>
    <n v="96210"/>
    <n v="116414"/>
    <x v="59"/>
  </r>
  <r>
    <s v="VZ-2016-000233"/>
    <s v="OSB "/>
    <s v="Vaida"/>
    <x v="99"/>
    <s v="44411000-4"/>
    <m/>
    <n v="490000"/>
    <x v="3"/>
    <d v="2016-05-04T00:00:00"/>
    <d v="2016-05-16T00:00:00"/>
    <s v="zrušeno - bez nabídky"/>
    <m/>
    <m/>
    <x v="1"/>
  </r>
  <r>
    <s v="VZ-2016-000234"/>
    <s v="OSB "/>
    <s v="Vaida"/>
    <x v="100"/>
    <s v="44523000-2"/>
    <m/>
    <n v="310000"/>
    <x v="3"/>
    <d v="2016-05-04T00:00:00"/>
    <d v="2016-05-16T00:00:00"/>
    <s v="zrušeno - nutno upřesnit zadání"/>
    <m/>
    <m/>
    <x v="1"/>
  </r>
  <r>
    <s v="VZ-2016-000235"/>
    <s v="VYHRAZ"/>
    <s v="Srovnal"/>
    <x v="101"/>
    <s v="42512200-0"/>
    <s v="4.1.40"/>
    <n v="50000"/>
    <x v="3"/>
    <d v="2016-05-05T00:00:00"/>
    <d v="2016-05-10T00:00:00"/>
    <s v="Air - Klimont s.r.o."/>
    <n v="39450"/>
    <n v="47735"/>
    <x v="60"/>
  </r>
  <r>
    <s v="VZ-2016-000244"/>
    <s v="ZM "/>
    <s v="Dočkalová"/>
    <x v="102"/>
    <s v="33140000-3"/>
    <m/>
    <n v="533000"/>
    <x v="3"/>
    <d v="2016-05-12T00:00:00"/>
    <d v="2016-05-27T00:00:00"/>
    <s v="MSM spol. s r.o."/>
    <n v="547200"/>
    <n v="662112"/>
    <x v="46"/>
  </r>
  <r>
    <s v="VZ-2016-000246"/>
    <s v="LÉK"/>
    <s v="Ondráčková"/>
    <x v="103"/>
    <s v="33711400-1"/>
    <m/>
    <n v="300000"/>
    <x v="3"/>
    <d v="2016-05-12T00:00:00"/>
    <d v="2016-05-19T00:00:00"/>
    <s v="PHOENIX"/>
    <n v="138615.19008264464"/>
    <n v="167724.38"/>
    <x v="61"/>
  </r>
  <r>
    <s v="VZ-2016-000246"/>
    <s v="LÉK"/>
    <s v="Ondráčková"/>
    <x v="104"/>
    <s v="33711400-1"/>
    <m/>
    <n v="88500"/>
    <x v="3"/>
    <d v="2016-05-12T00:00:00"/>
    <d v="2016-05-19T00:00:00"/>
    <s v="PHOENIX"/>
    <n v="57751.471074380162"/>
    <n v="69879.28"/>
    <x v="61"/>
  </r>
  <r>
    <s v="VZ-2016-000247"/>
    <s v="ZT"/>
    <s v="Novák"/>
    <x v="105"/>
    <s v="42513000-5"/>
    <s v="2.2.47"/>
    <n v="315000"/>
    <x v="3"/>
    <d v="2016-05-13T00:00:00"/>
    <d v="2016-05-25T00:00:00"/>
    <s v="zrušeno - bez nabídky"/>
    <m/>
    <m/>
    <x v="1"/>
  </r>
  <r>
    <s v="VZ-2016-000248"/>
    <s v="VYHRAZ"/>
    <s v="Srovnal"/>
    <x v="106"/>
    <s v="42531000-7"/>
    <s v="4.1.18"/>
    <n v="495000"/>
    <x v="3"/>
    <d v="2016-05-16T00:00:00"/>
    <d v="2016-05-26T00:00:00"/>
    <s v="Vodo topo instalace s.r.o."/>
    <n v="359948.51239669422"/>
    <n v="435537.7"/>
    <x v="0"/>
  </r>
  <r>
    <s v="VZ-2016-000251"/>
    <s v="VYHRAZ"/>
    <s v="Srovnal"/>
    <x v="107"/>
    <s v="42512200-0"/>
    <s v="4.1.41"/>
    <n v="80000"/>
    <x v="3"/>
    <d v="2016-05-16T00:00:00"/>
    <d v="2016-05-24T00:00:00"/>
    <s v="ILMASTON s.r.o."/>
    <n v="50529.752066115703"/>
    <n v="61141"/>
    <x v="22"/>
  </r>
  <r>
    <s v="VZ-2016-000255"/>
    <s v="INF"/>
    <s v="Oravec"/>
    <x v="108"/>
    <s v="30233132-5"/>
    <m/>
    <n v="67769"/>
    <x v="4"/>
    <d v="2016-05-13T00:00:00"/>
    <d v="2016-06-27T00:00:00"/>
    <s v="C SYSTEM CZ a.s."/>
    <n v="68900"/>
    <n v="83369"/>
    <x v="51"/>
  </r>
  <r>
    <s v="VZ-2016-000258"/>
    <s v="INF"/>
    <s v="Oravec"/>
    <x v="109"/>
    <s v="30232120-1 "/>
    <m/>
    <n v="144628"/>
    <x v="4"/>
    <d v="2016-05-16T00:00:00"/>
    <d v="2016-06-27T00:00:00"/>
    <s v="zrušeno - bez nabídky"/>
    <m/>
    <m/>
    <x v="1"/>
  </r>
  <r>
    <s v="VZ-2016-000259"/>
    <s v="OSB "/>
    <s v="Vaida"/>
    <x v="110"/>
    <s v="44523000-2"/>
    <m/>
    <n v="310000"/>
    <x v="3"/>
    <d v="2016-05-19T00:00:00"/>
    <d v="2016-06-25T00:00:00"/>
    <s v="AB Tábor s.r.o."/>
    <n v="162388.26446280992"/>
    <n v="196489.8"/>
    <x v="58"/>
  </r>
  <r>
    <s v="VZ-2016-000260"/>
    <s v="ZM "/>
    <s v="Dočkalová"/>
    <x v="111"/>
    <s v="18424300-0"/>
    <m/>
    <n v="3600000"/>
    <x v="0"/>
    <d v="2016-06-08T00:00:00"/>
    <d v="2016-06-29T00:00:00"/>
    <s v="Chráněná dílna TiRo Blansko s.r.o."/>
    <n v="3477000"/>
    <n v="4207170"/>
    <x v="62"/>
  </r>
  <r>
    <s v="VZ-2016-000266"/>
    <s v="ZT"/>
    <s v="Novák"/>
    <x v="112"/>
    <s v="38510000-3 "/>
    <s v="2.3.137"/>
    <n v="395000"/>
    <x v="3"/>
    <d v="2016-05-19T00:00:00"/>
    <d v="2016-05-30T00:00:00"/>
    <s v="Intraco micro spol. s r.o."/>
    <n v="179160"/>
    <n v="216783.6"/>
    <x v="46"/>
  </r>
  <r>
    <s v="VZ-2016-000268"/>
    <s v="OSB "/>
    <s v="Vaida"/>
    <x v="113"/>
    <s v="44411000-4"/>
    <m/>
    <n v="490000"/>
    <x v="3"/>
    <d v="2016-05-18T00:00:00"/>
    <d v="2016-05-26T00:00:00"/>
    <s v="VK-AQUA trading s.r.o."/>
    <n v="411849"/>
    <n v="498337.29"/>
    <x v="58"/>
  </r>
  <r>
    <s v="VZ-2016-000269"/>
    <s v="ZT"/>
    <s v="Novák"/>
    <x v="114"/>
    <s v="33123200-0 "/>
    <s v="2.3.121; 2.3.129; 2.3.154"/>
    <n v="350000"/>
    <x v="3"/>
    <d v="2016-05-19T00:00:00"/>
    <d v="2016-05-31T00:00:00"/>
    <s v="BTL zdrav. technika a.s."/>
    <n v="468875"/>
    <n v="567338.75"/>
    <x v="46"/>
  </r>
  <r>
    <s v="VZ-2016-000270"/>
    <s v="OSB "/>
    <s v="Vaida"/>
    <x v="115"/>
    <s v="42131142-3"/>
    <m/>
    <n v="481818"/>
    <x v="3"/>
    <d v="2016-05-19T00:00:00"/>
    <d v="2016-06-06T00:00:00"/>
    <s v="Vodo topo instalace s.r.o."/>
    <n v="478055.59"/>
    <n v="578447.27"/>
    <x v="42"/>
  </r>
  <r>
    <s v="VZ-2016-000271"/>
    <s v="OSB "/>
    <s v="Vaida"/>
    <x v="116"/>
    <s v="45330000-9"/>
    <m/>
    <n v="1223000"/>
    <x v="3"/>
    <d v="2016-05-23T00:00:00"/>
    <d v="2016-06-07T00:00:00"/>
    <s v="SANBON spol.s r .o."/>
    <n v="858585.85"/>
    <n v="1038888.88"/>
    <x v="46"/>
  </r>
  <r>
    <s v="VZ-2016-000278"/>
    <s v="VYHRAZ"/>
    <s v="Srovnal"/>
    <x v="117"/>
    <s v="98395000-8"/>
    <m/>
    <n v="1800000"/>
    <x v="3"/>
    <m/>
    <m/>
    <m/>
    <m/>
    <m/>
    <x v="1"/>
  </r>
  <r>
    <s v="VZ-2016-000280"/>
    <s v="ENERG"/>
    <s v="Eyer"/>
    <x v="118"/>
    <s v="71321000-4"/>
    <s v="4.1.22.; 4.1.33."/>
    <n v="215000"/>
    <x v="3"/>
    <d v="2016-05-25T00:00:00"/>
    <d v="2016-06-03T00:00:00"/>
    <s v="ELPREMO s.r.o."/>
    <n v="280000"/>
    <n v="338800"/>
    <x v="54"/>
  </r>
  <r>
    <s v="VZ-2016-000280"/>
    <s v="ENERG"/>
    <s v="Eyer"/>
    <x v="119"/>
    <s v="71321000-4"/>
    <s v="4.1.26.; 4.1.28."/>
    <n v="800000"/>
    <x v="3"/>
    <d v="2016-05-25T00:00:00"/>
    <d v="2016-06-03T00:00:00"/>
    <s v="ELPREMO s.r.o."/>
    <n v="992000"/>
    <n v="1200320"/>
    <x v="54"/>
  </r>
  <r>
    <s v="VZ-2016-000280"/>
    <s v="ENERG"/>
    <s v="Eyer"/>
    <x v="120"/>
    <s v="71321000-4"/>
    <s v="4.1.31"/>
    <n v="50000"/>
    <x v="3"/>
    <d v="2016-05-25T00:00:00"/>
    <d v="2016-06-03T00:00:00"/>
    <s v="Milan Vician"/>
    <n v="17800"/>
    <n v="17800"/>
    <x v="46"/>
  </r>
  <r>
    <s v="VZ-2016-000281"/>
    <s v="INF"/>
    <s v="Oravec"/>
    <x v="121"/>
    <s v="30213200-7 "/>
    <m/>
    <n v="133000"/>
    <x v="4"/>
    <d v="2016-05-23T00:00:00"/>
    <d v="2016-07-20T00:00:00"/>
    <s v="zrušeno - ani jedna nabídka"/>
    <m/>
    <m/>
    <x v="1"/>
  </r>
  <r>
    <s v="VZ-2016-000282"/>
    <s v="ZM "/>
    <s v="Dočkalová"/>
    <x v="122"/>
    <s v="33141000-0 "/>
    <m/>
    <n v="890000"/>
    <x v="3"/>
    <d v="2016-05-25T00:00:00"/>
    <d v="2016-06-07T00:00:00"/>
    <s v="Gatebo s.r.o."/>
    <n v="901919.4"/>
    <n v="1091322.4739999999"/>
    <x v="1"/>
  </r>
  <r>
    <s v="VZ-2016-000288"/>
    <s v="ZT"/>
    <s v="Novák"/>
    <x v="123"/>
    <s v="33125000-2"/>
    <s v="2.3.153"/>
    <n v="530000"/>
    <x v="3"/>
    <d v="2016-05-26T00:00:00"/>
    <d v="2016-06-03T00:00:00"/>
    <s v="Medkonsult s.r.o."/>
    <n v="558050"/>
    <n v="675240.5"/>
    <x v="63"/>
  </r>
  <r>
    <s v="VZ-2016-000290"/>
    <s v="LÉK"/>
    <s v="Ondráčková"/>
    <x v="124"/>
    <s v="33652100-6"/>
    <m/>
    <n v="5583168.6100000003"/>
    <x v="1"/>
    <d v="2016-05-26T00:00:00"/>
    <d v="2016-09-20T00:00:00"/>
    <s v="ROCHE s.r.o."/>
    <n v="5293970.6100000003"/>
    <n v="5823367.671000001"/>
    <x v="64"/>
  </r>
  <r>
    <s v="VZ-2016-000290"/>
    <s v="LÉK"/>
    <s v="Ondráčková"/>
    <x v="125"/>
    <s v="33652100-6"/>
    <m/>
    <n v="11182570.199999999"/>
    <x v="1"/>
    <d v="2016-05-26T00:00:00"/>
    <d v="2016-09-20T00:00:00"/>
    <s v="zrušena -bez nabídky"/>
    <m/>
    <m/>
    <x v="1"/>
  </r>
  <r>
    <s v="VZ-2016-000290"/>
    <s v="LÉK"/>
    <s v="Ondráčková"/>
    <x v="126"/>
    <s v="33652100-6"/>
    <m/>
    <n v="5900996.6399999997"/>
    <x v="1"/>
    <d v="2016-05-26T00:00:00"/>
    <d v="2016-09-20T00:00:00"/>
    <s v="AMGEN s.r.o."/>
    <n v="5900996.6399999997"/>
    <n v="6491096.3040000005"/>
    <x v="64"/>
  </r>
  <r>
    <s v="VZ-2016-000290"/>
    <s v="LÉK"/>
    <s v="Ondráčková"/>
    <x v="127"/>
    <s v="33652100-6"/>
    <m/>
    <n v="45448123.82"/>
    <x v="1"/>
    <d v="2016-05-26T00:00:00"/>
    <d v="2016-09-20T00:00:00"/>
    <s v="zrušeno - bez hodnocené nabídky"/>
    <m/>
    <m/>
    <x v="1"/>
  </r>
  <r>
    <s v="VZ-2016-000290"/>
    <s v="LÉK"/>
    <s v="Ondráčková"/>
    <x v="128"/>
    <s v="33652100-6"/>
    <m/>
    <n v="35163927.340000004"/>
    <x v="1"/>
    <d v="2016-05-26T00:00:00"/>
    <d v="2016-09-20T00:00:00"/>
    <s v="Pharmos, a.s."/>
    <n v="34991870.380000003"/>
    <n v="38491057.418000005"/>
    <x v="64"/>
  </r>
  <r>
    <s v="VZ-2016-000291"/>
    <s v="VYHRAZ"/>
    <s v="Holibka"/>
    <x v="129"/>
    <s v="50700000-2"/>
    <m/>
    <n v="490000"/>
    <x v="3"/>
    <d v="2016-05-30T00:00:00"/>
    <d v="2016-06-10T00:00:00"/>
    <s v="Liftmont CZ s.r.o."/>
    <n v="526900"/>
    <n v="637549"/>
    <x v="46"/>
  </r>
  <r>
    <s v="VZ-2016-000293"/>
    <s v="LÉK"/>
    <s v="Ondráčková"/>
    <x v="130"/>
    <s v="33662100-9"/>
    <m/>
    <n v="252739.4"/>
    <x v="1"/>
    <d v="2016-05-26T00:00:00"/>
    <d v="2016-09-02T00:00:00"/>
    <s v="Alliance Healthcare s.r.o."/>
    <n v="252739.4"/>
    <n v="278013.34000000003"/>
    <x v="65"/>
  </r>
  <r>
    <s v="VZ-2016-000293"/>
    <s v="LÉK"/>
    <s v="Ondráčková"/>
    <x v="131"/>
    <s v="33662100-9"/>
    <m/>
    <n v="24745865.789999999"/>
    <x v="1"/>
    <d v="2016-05-26T00:00:00"/>
    <d v="2016-09-02T00:00:00"/>
    <s v="zrušeno - bez hodnocené nabídky"/>
    <m/>
    <m/>
    <x v="1"/>
  </r>
  <r>
    <s v="VZ-2016-000293"/>
    <s v="LÉK"/>
    <s v="Ondráčková"/>
    <x v="132"/>
    <s v="33662100-9"/>
    <m/>
    <n v="2248473.4300000002"/>
    <x v="1"/>
    <d v="2016-05-26T00:00:00"/>
    <d v="2016-09-02T00:00:00"/>
    <s v="zrušeno - bez hodnocené nabídky"/>
    <m/>
    <m/>
    <x v="1"/>
  </r>
  <r>
    <s v="VZ-2016-000294"/>
    <s v="LÉK"/>
    <s v="Ondráčková"/>
    <x v="133"/>
    <s v="33652000-5"/>
    <m/>
    <n v="93982833.340000004"/>
    <x v="1"/>
    <d v="2016-05-27T00:00:00"/>
    <d v="2016-09-21T00:00:00"/>
    <s v="Alliance Healthcare s.r.o."/>
    <n v="93025912.870000005"/>
    <n v="102328504.15700002"/>
    <x v="66"/>
  </r>
  <r>
    <s v="VZ-2016-000294"/>
    <s v="LÉK"/>
    <s v="Ondráčková"/>
    <x v="134"/>
    <s v="33652000-5"/>
    <m/>
    <n v="4214160.55"/>
    <x v="1"/>
    <d v="2016-05-27T00:00:00"/>
    <d v="2016-09-21T00:00:00"/>
    <s v="zrušeno - bez nabídky"/>
    <m/>
    <m/>
    <x v="1"/>
  </r>
  <r>
    <s v="VZ-2016-000294"/>
    <s v="LÉK"/>
    <s v="Ondráčková"/>
    <x v="135"/>
    <s v="33652000-5"/>
    <m/>
    <n v="12508661.18"/>
    <x v="1"/>
    <d v="2016-05-27T00:00:00"/>
    <d v="2016-09-21T00:00:00"/>
    <s v="zrušeno - bez hodnocené nabídky"/>
    <m/>
    <m/>
    <x v="1"/>
  </r>
  <r>
    <s v="VZ-2016-000294"/>
    <s v="LÉK"/>
    <s v="Ondráčková"/>
    <x v="136"/>
    <s v="33652000-5"/>
    <m/>
    <n v="17617137.989999998"/>
    <x v="1"/>
    <d v="2016-05-27T00:00:00"/>
    <d v="2016-09-21T00:00:00"/>
    <s v="zrušeno - bez nabídky"/>
    <m/>
    <m/>
    <x v="1"/>
  </r>
  <r>
    <s v="VZ-2016-000294"/>
    <s v="LÉK"/>
    <s v="Ondráčková"/>
    <x v="137"/>
    <s v="33652000-5"/>
    <m/>
    <n v="1218235.1399999999"/>
    <x v="1"/>
    <d v="2016-05-27T00:00:00"/>
    <d v="2016-09-21T00:00:00"/>
    <s v="zrušeno - bez nabídky"/>
    <m/>
    <m/>
    <x v="1"/>
  </r>
  <r>
    <s v="VZ-2016-000294"/>
    <s v="LÉK"/>
    <s v="Ondráčková"/>
    <x v="138"/>
    <s v="33652000-5"/>
    <m/>
    <n v="15463000"/>
    <x v="1"/>
    <d v="2016-05-27T00:00:00"/>
    <d v="2016-09-21T00:00:00"/>
    <s v="ViaPharma  s.r.o."/>
    <n v="15663797.1"/>
    <n v="17230176.810000002"/>
    <x v="66"/>
  </r>
  <r>
    <s v="VZ-2016-000294"/>
    <s v="LÉK"/>
    <s v="Ondráčková"/>
    <x v="139"/>
    <s v="33652000-5"/>
    <m/>
    <n v="147066.29"/>
    <x v="1"/>
    <d v="2016-05-27T00:00:00"/>
    <d v="2016-09-21T00:00:00"/>
    <s v="Alliance Healthcare s.r.o."/>
    <n v="164683.68"/>
    <n v="181152.04800000001"/>
    <x v="66"/>
  </r>
  <r>
    <s v="VZ-2016-000294"/>
    <s v="LÉK"/>
    <s v="Ondráčková"/>
    <x v="140"/>
    <s v="33652000-5"/>
    <m/>
    <n v="11533338.02"/>
    <x v="1"/>
    <d v="2016-05-27T00:00:00"/>
    <d v="2016-09-21T00:00:00"/>
    <s v="Alliance Healthcare s.r.o."/>
    <n v="11523198.050000001"/>
    <n v="12675517.855000002"/>
    <x v="66"/>
  </r>
  <r>
    <s v="VZ-2016-000294"/>
    <s v="LÉK"/>
    <s v="Ondráčková"/>
    <x v="141"/>
    <s v="33652000-5"/>
    <m/>
    <n v="189690.2"/>
    <x v="1"/>
    <d v="2016-05-27T00:00:00"/>
    <d v="2016-09-21T00:00:00"/>
    <s v="zrušeno - bez nabídky"/>
    <m/>
    <m/>
    <x v="1"/>
  </r>
  <r>
    <s v="VZ-2016-000294"/>
    <s v="LÉK"/>
    <s v="Ondráčková"/>
    <x v="142"/>
    <s v="33652000-5"/>
    <m/>
    <n v="1189152.51"/>
    <x v="1"/>
    <d v="2016-05-27T00:00:00"/>
    <d v="2016-09-21T00:00:00"/>
    <s v="zrušeno - bez nabídky"/>
    <m/>
    <m/>
    <x v="1"/>
  </r>
  <r>
    <s v="VZ-2016-000310"/>
    <s v="LÉK"/>
    <s v="Ondráčková"/>
    <x v="143"/>
    <s v="33652100-6"/>
    <m/>
    <n v="5612521.5999999996"/>
    <x v="1"/>
    <d v="2016-06-06T00:00:00"/>
    <d v="2016-09-14T00:00:00"/>
    <s v="Avenier a.s."/>
    <n v="5552359.04"/>
    <n v="6107594.9400000004"/>
    <x v="67"/>
  </r>
  <r>
    <s v="VZ-2016-000310"/>
    <s v="LÉK"/>
    <s v="Ondráčková"/>
    <x v="144"/>
    <s v="33652100-6"/>
    <m/>
    <n v="4245022.46"/>
    <x v="1"/>
    <d v="2016-06-06T00:00:00"/>
    <d v="2016-09-14T00:00:00"/>
    <s v="zrušeno - ani jedna nabídka"/>
    <m/>
    <m/>
    <x v="1"/>
  </r>
  <r>
    <s v="VZ-2016-000310"/>
    <s v="LÉK"/>
    <s v="Ondráčková"/>
    <x v="145"/>
    <s v="33652100-6"/>
    <m/>
    <n v="5420981.1200000001"/>
    <x v="1"/>
    <d v="2016-06-06T00:00:00"/>
    <d v="2016-09-14T00:00:00"/>
    <s v="ROCHE s.r.o."/>
    <n v="5420981.1200000001"/>
    <n v="5963079.2300000004"/>
    <x v="68"/>
  </r>
  <r>
    <s v="VZ-2016-000310"/>
    <s v="LÉK"/>
    <s v="Ondráčková"/>
    <x v="146"/>
    <s v="33652100-6"/>
    <m/>
    <n v="22659250.25"/>
    <x v="1"/>
    <d v="2016-06-06T00:00:00"/>
    <d v="2016-09-14T00:00:00"/>
    <s v="zrušeno - bez hodnocené nabídky"/>
    <m/>
    <m/>
    <x v="1"/>
  </r>
  <r>
    <s v="VZ-2016-000315"/>
    <s v="ZT"/>
    <s v="Novák"/>
    <x v="147"/>
    <s v="42931100-2"/>
    <s v="2.3.106; 2.3.126; 2.3.157"/>
    <n v="490000"/>
    <x v="3"/>
    <d v="2016-06-09T00:00:00"/>
    <d v="2016-06-22T00:00:00"/>
    <s v="MEDESA s.r.o."/>
    <n v="528322.50413223135"/>
    <n v="639270.23"/>
    <x v="69"/>
  </r>
  <r>
    <s v="VZ-2016-000315"/>
    <s v="ZT"/>
    <s v="Novák"/>
    <x v="148"/>
    <s v="42931100-2"/>
    <s v="2.3.94"/>
    <n v="250000"/>
    <x v="3"/>
    <d v="2016-06-09T00:00:00"/>
    <d v="2016-06-22T00:00:00"/>
    <s v="KRD s.r.o."/>
    <n v="242311.77685950414"/>
    <n v="293197.25"/>
    <x v="70"/>
  </r>
  <r>
    <s v="VZ-2016-000315"/>
    <s v="ZT"/>
    <s v="Novák"/>
    <x v="149"/>
    <s v="42931100-2"/>
    <s v="2.3.127"/>
    <n v="250000"/>
    <x v="3"/>
    <d v="2016-06-09T00:00:00"/>
    <d v="2016-06-22T00:00:00"/>
    <s v="UNIMED s.r.o."/>
    <n v="120639"/>
    <n v="145973.19"/>
    <x v="69"/>
  </r>
  <r>
    <s v="VZ-2016-000316"/>
    <s v="ENERG"/>
    <s v="Zbořil"/>
    <x v="150"/>
    <s v="45310000-4"/>
    <m/>
    <n v="25600000"/>
    <x v="1"/>
    <d v="2016-06-06T00:00:00"/>
    <m/>
    <m/>
    <m/>
    <m/>
    <x v="1"/>
  </r>
  <r>
    <s v="VZ-2016-000321"/>
    <s v="INV"/>
    <s v="Junek"/>
    <x v="151"/>
    <s v="45215120-4"/>
    <m/>
    <n v="298000000"/>
    <x v="1"/>
    <d v="2016-06-07T00:00:00"/>
    <d v="2016-12-06T00:00:00"/>
    <s v="OHL ŽS a.s."/>
    <n v="276902126"/>
    <n v="335051572"/>
    <x v="1"/>
  </r>
  <r>
    <s v="VZ-2016-000328"/>
    <s v="LÉK"/>
    <s v="Ondráčková"/>
    <x v="152"/>
    <s v="33652300-8"/>
    <m/>
    <n v="16953800"/>
    <x v="1"/>
    <d v="2016-06-13T00:00:00"/>
    <d v="2016-09-15T00:00:00"/>
    <s v="Avenier a.s."/>
    <n v="16952770"/>
    <n v="18648047"/>
    <x v="66"/>
  </r>
  <r>
    <s v="VZ-2016-000328"/>
    <s v="LÉK"/>
    <s v="Ondráčková"/>
    <x v="153"/>
    <s v="33652300-8"/>
    <m/>
    <n v="1351634.13"/>
    <x v="1"/>
    <d v="2016-06-13T00:00:00"/>
    <d v="2016-09-15T00:00:00"/>
    <s v="zrušeno - bez nabídky"/>
    <m/>
    <m/>
    <x v="1"/>
  </r>
  <r>
    <s v="VZ-2016-000328"/>
    <s v="LÉK"/>
    <s v="Ondráčková"/>
    <x v="154"/>
    <s v="33652300-8"/>
    <m/>
    <n v="8358083.1500000004"/>
    <x v="1"/>
    <d v="2016-06-13T00:00:00"/>
    <d v="2016-09-15T00:00:00"/>
    <s v="zrušeno - bez nabídky"/>
    <m/>
    <m/>
    <x v="1"/>
  </r>
  <r>
    <s v="VZ-2016-000328"/>
    <s v="LÉK"/>
    <s v="Ondráčková"/>
    <x v="155"/>
    <s v="33652300-8"/>
    <m/>
    <n v="807352.72"/>
    <x v="1"/>
    <d v="2016-06-13T00:00:00"/>
    <d v="2016-09-15T00:00:00"/>
    <s v="Pharmos, a.s."/>
    <n v="792155.38"/>
    <n v="871370.91800000006"/>
    <x v="66"/>
  </r>
  <r>
    <s v="VZ-2016-000328"/>
    <s v="LÉK"/>
    <s v="Ondráčková"/>
    <x v="156"/>
    <s v="33652300-8"/>
    <m/>
    <n v="28194969.280000001"/>
    <x v="1"/>
    <d v="2016-06-13T00:00:00"/>
    <d v="2016-09-15T00:00:00"/>
    <s v="Alliance Healthcare s.r.o."/>
    <n v="28194969.280000001"/>
    <n v="31014466.208000004"/>
    <x v="66"/>
  </r>
  <r>
    <s v="VZ-2016-000328"/>
    <s v="LÉK"/>
    <s v="Ondráčková"/>
    <x v="157"/>
    <s v="33652300-8"/>
    <m/>
    <n v="9743354.4000000004"/>
    <x v="1"/>
    <d v="2016-06-13T00:00:00"/>
    <d v="2016-09-15T00:00:00"/>
    <s v="zrušeno - bez nabídky"/>
    <m/>
    <m/>
    <x v="1"/>
  </r>
  <r>
    <s v="VZ-2016-000333"/>
    <s v="ZT"/>
    <s v="Novák"/>
    <x v="158"/>
    <s v="33168000-5 "/>
    <s v="2.2.30"/>
    <n v="300000"/>
    <x v="3"/>
    <d v="2016-06-14T00:00:00"/>
    <d v="2016-06-28T00:00:00"/>
    <s v="Olympus Czcech Group s.r.o."/>
    <n v="289149"/>
    <n v="349870.2"/>
    <x v="71"/>
  </r>
  <r>
    <s v="VZ-2016-000335"/>
    <s v="ENERG"/>
    <s v="Zbořil"/>
    <x v="159"/>
    <s v="45315700-5"/>
    <s v="1.2.28"/>
    <n v="500000"/>
    <x v="3"/>
    <d v="2016-06-16T00:00:00"/>
    <d v="2016-06-28T00:00:00"/>
    <s v="Opluštil-Stavby s.r.o."/>
    <n v="293212"/>
    <n v="354787"/>
    <x v="72"/>
  </r>
  <r>
    <s v="VZ-2016-000336"/>
    <s v="ZT"/>
    <s v="Novák"/>
    <x v="160"/>
    <s v="42513000-5"/>
    <s v="2.2.47"/>
    <n v="315000"/>
    <x v="3"/>
    <d v="2016-06-17T00:00:00"/>
    <d v="2016-06-28T00:00:00"/>
    <s v="Prodispa s.r.o."/>
    <n v="160000"/>
    <n v="193600"/>
    <x v="73"/>
  </r>
  <r>
    <s v="VZ-2016-000342"/>
    <s v="INF"/>
    <s v="Oravec"/>
    <x v="161"/>
    <s v="30233180-6 "/>
    <m/>
    <n v="58967"/>
    <x v="4"/>
    <d v="2016-06-21T00:00:00"/>
    <d v="2016-08-03T00:00:00"/>
    <s v="zrušeno - ani jedna nabídka"/>
    <m/>
    <m/>
    <x v="1"/>
  </r>
  <r>
    <s v="VZ-2016-000343"/>
    <s v="OSB "/>
    <s v="Vaida"/>
    <x v="162"/>
    <s v="45261210-9"/>
    <m/>
    <n v="400000"/>
    <x v="3"/>
    <d v="2016-07-13T00:00:00"/>
    <d v="2016-07-20T00:00:00"/>
    <s v="SOPAT CZ "/>
    <n v="199054.5"/>
    <n v="240855.94500000001"/>
    <x v="74"/>
  </r>
  <r>
    <s v="VZ-2016-000345"/>
    <s v="OÚ"/>
    <s v="Gregor"/>
    <x v="163"/>
    <s v="50421200-4"/>
    <m/>
    <n v="36000000"/>
    <x v="1"/>
    <m/>
    <m/>
    <m/>
    <m/>
    <m/>
    <x v="1"/>
  </r>
  <r>
    <s v="VZ-2016-000350"/>
    <s v="LÉK"/>
    <s v="Ondráčková"/>
    <x v="164"/>
    <s v="33652000-5"/>
    <m/>
    <n v="8103358.75"/>
    <x v="1"/>
    <d v="2016-06-24T00:00:00"/>
    <d v="2016-10-07T00:00:00"/>
    <s v="Alliance Healthcare s.r.o."/>
    <n v="8103328"/>
    <n v="8913660.8000000007"/>
    <x v="75"/>
  </r>
  <r>
    <s v="VZ-2016-000350"/>
    <s v="LÉK"/>
    <s v="Ondráčková"/>
    <x v="165"/>
    <s v="33652000-5"/>
    <m/>
    <n v="2654549.6800000002"/>
    <x v="1"/>
    <d v="2016-06-24T00:00:00"/>
    <d v="2016-10-07T00:00:00"/>
    <s v="Alliance Healthcare s.r.o."/>
    <n v="2737208"/>
    <n v="3010928.8000000003"/>
    <x v="75"/>
  </r>
  <r>
    <s v="VZ-2016-000350"/>
    <s v="LÉK"/>
    <s v="Ondráčková"/>
    <x v="166"/>
    <s v="33652000-5"/>
    <m/>
    <n v="1178152.25"/>
    <x v="1"/>
    <d v="2016-06-24T00:00:00"/>
    <d v="2016-10-07T00:00:00"/>
    <s v="zrušeno - bez nabídky"/>
    <m/>
    <m/>
    <x v="1"/>
  </r>
  <r>
    <s v="VZ-2016-000350"/>
    <s v="LÉK"/>
    <s v="Ondráčková"/>
    <x v="167"/>
    <s v="33652000-5"/>
    <m/>
    <n v="1122856.02"/>
    <x v="1"/>
    <d v="2016-06-24T00:00:00"/>
    <d v="2016-10-07T00:00:00"/>
    <s v="Pharmos, a.s."/>
    <n v="1101262.6200000001"/>
    <n v="1211388.8820000002"/>
    <x v="75"/>
  </r>
  <r>
    <s v="VZ-2016-000350"/>
    <s v="LÉK"/>
    <s v="Ondráčková"/>
    <x v="168"/>
    <s v="33652000-5"/>
    <m/>
    <n v="3772001.4"/>
    <x v="1"/>
    <d v="2016-06-24T00:00:00"/>
    <d v="2016-10-07T00:00:00"/>
    <s v="PHOENIX lék. Velkoobchod"/>
    <n v="3772001.4"/>
    <n v="4149201.54"/>
    <x v="75"/>
  </r>
  <r>
    <s v="VZ-2016-000350"/>
    <s v="LÉK"/>
    <s v="Ondráčková"/>
    <x v="169"/>
    <s v="33652000-5"/>
    <m/>
    <n v="5817497.1900000004"/>
    <x v="1"/>
    <d v="2016-06-24T00:00:00"/>
    <d v="2016-10-07T00:00:00"/>
    <s v="PHOENIX lék. Velkoobchod"/>
    <n v="5817497.1900000004"/>
    <n v="6399246.9090000009"/>
    <x v="75"/>
  </r>
  <r>
    <s v="VZ-2016-000350"/>
    <s v="LÉK"/>
    <s v="Ondráčková"/>
    <x v="170"/>
    <s v="33652000-5"/>
    <m/>
    <n v="4585135.28"/>
    <x v="1"/>
    <d v="2016-06-24T00:00:00"/>
    <d v="2016-10-07T00:00:00"/>
    <s v="Alliance Healthcare s.r.o."/>
    <n v="4581690.4000000004"/>
    <n v="5039859.4400000004"/>
    <x v="75"/>
  </r>
  <r>
    <s v="VZ-2016-000350"/>
    <s v="LÉK"/>
    <s v="Ondráčková"/>
    <x v="171"/>
    <s v="33652000-5"/>
    <m/>
    <n v="2781935.67"/>
    <x v="1"/>
    <d v="2016-06-24T00:00:00"/>
    <d v="2016-10-07T00:00:00"/>
    <s v="zrušeno - bez nabídky"/>
    <m/>
    <m/>
    <x v="1"/>
  </r>
  <r>
    <s v="VZ-2016-000350"/>
    <s v="LÉK"/>
    <s v="Ondráčková"/>
    <x v="172"/>
    <s v="33652000-5"/>
    <m/>
    <n v="684987.92"/>
    <x v="1"/>
    <d v="2016-06-24T00:00:00"/>
    <d v="2016-10-07T00:00:00"/>
    <s v="Alliance Healthcare s.r.o."/>
    <n v="681580"/>
    <n v="749738.00000000012"/>
    <x v="75"/>
  </r>
  <r>
    <s v="VZ-2016-000350"/>
    <s v="LÉK"/>
    <s v="Ondráčková"/>
    <x v="173"/>
    <s v="33652000-5"/>
    <m/>
    <n v="840000"/>
    <x v="1"/>
    <d v="2016-06-24T00:00:00"/>
    <d v="2016-10-07T00:00:00"/>
    <s v="zrušeno - bez nabídky"/>
    <m/>
    <m/>
    <x v="1"/>
  </r>
  <r>
    <s v="VZ-2016-000350"/>
    <s v="LÉK"/>
    <s v="Ondráčková"/>
    <x v="174"/>
    <s v="33652000-5"/>
    <m/>
    <n v="7870500"/>
    <x v="1"/>
    <d v="2016-06-24T00:00:00"/>
    <d v="2016-10-07T00:00:00"/>
    <s v="Janssen - Cilag s.r.o."/>
    <n v="7870500"/>
    <n v="8657550"/>
    <x v="75"/>
  </r>
  <r>
    <s v="VZ-2016-000352"/>
    <s v="LÉK"/>
    <s v="Ondráčková"/>
    <x v="175"/>
    <s v="33652000-5"/>
    <m/>
    <n v="28321751.899999999"/>
    <x v="1"/>
    <d v="2016-06-24T00:00:00"/>
    <d v="2016-10-06T00:00:00"/>
    <s v="PHOENIX lék. Velkoobchod"/>
    <n v="28392204.359999999"/>
    <n v="31231424.796"/>
    <x v="76"/>
  </r>
  <r>
    <s v="VZ-2016-000352"/>
    <s v="LÉK"/>
    <s v="Ondráčková"/>
    <x v="176"/>
    <s v="33652000-5"/>
    <m/>
    <n v="8218926.5"/>
    <x v="1"/>
    <d v="2016-06-24T00:00:00"/>
    <d v="2016-10-06T00:00:00"/>
    <s v="ROCHE s.r.o."/>
    <n v="8182514.1600000001"/>
    <n v="9000765.5760000013"/>
    <x v="77"/>
  </r>
  <r>
    <s v="VZ-2016-000352"/>
    <s v="LÉK"/>
    <s v="Ondráčková"/>
    <x v="177"/>
    <s v="33652000-5"/>
    <m/>
    <n v="2033488.8"/>
    <x v="1"/>
    <d v="2016-06-24T00:00:00"/>
    <d v="2016-10-06T00:00:00"/>
    <s v="PHOENIX lék. Velkoobchod"/>
    <n v="2033488.8"/>
    <n v="2236837.6800000002"/>
    <x v="76"/>
  </r>
  <r>
    <s v="VZ-2016-000357"/>
    <s v="ENERG"/>
    <s v="Zbořil"/>
    <x v="178"/>
    <s v="45310000-3"/>
    <m/>
    <n v="500000"/>
    <x v="3"/>
    <d v="2016-06-27T00:00:00"/>
    <d v="2016-07-05T00:00:00"/>
    <s v="Opluštil-Stavby s.r.o."/>
    <n v="312876"/>
    <n v="378579.96"/>
    <x v="47"/>
  </r>
  <r>
    <s v="VZ-2016-000364"/>
    <s v="LÉK"/>
    <s v="Ondráčková"/>
    <x v="179"/>
    <s v="33632200-1"/>
    <m/>
    <n v="6123633.3399999999"/>
    <x v="1"/>
    <d v="2016-07-11T00:00:00"/>
    <d v="2016-11-16T00:00:00"/>
    <s v="zrušeno - bez nabídky"/>
    <m/>
    <m/>
    <x v="1"/>
  </r>
  <r>
    <s v="VZ-2016-000365"/>
    <s v="INV"/>
    <s v="Kvapil"/>
    <x v="180"/>
    <s v="45111100-9"/>
    <m/>
    <n v="5000000"/>
    <x v="3"/>
    <d v="2016-07-07T00:00:00"/>
    <d v="2016-07-21T00:00:00"/>
    <s v="PB SCOM s.r.o."/>
    <n v="2419711.4300000002"/>
    <n v="2927850.8303"/>
    <x v="78"/>
  </r>
  <r>
    <s v="VZ-2016-000368"/>
    <s v="ZT"/>
    <s v="Čech"/>
    <x v="181"/>
    <s v="33124120-2"/>
    <s v="2.3.118"/>
    <n v="2890000"/>
    <x v="0"/>
    <d v="2016-07-12T00:00:00"/>
    <d v="2016-08-12T00:00:00"/>
    <s v="MANLOMKA s.r.o."/>
    <n v="1849958.0000000002"/>
    <n v="2238449.1800000002"/>
    <x v="33"/>
  </r>
  <r>
    <s v="VZ-2016-000368"/>
    <s v="ZT"/>
    <s v="Čech"/>
    <x v="182"/>
    <s v="33124120-2"/>
    <s v="2.3.149"/>
    <n v="660000"/>
    <x v="0"/>
    <d v="2016-07-12T00:00:00"/>
    <d v="2016-08-12T00:00:00"/>
    <s v="EMS s.r.o."/>
    <n v="659500"/>
    <n v="797995"/>
    <x v="33"/>
  </r>
  <r>
    <s v="VZ-2016-000370"/>
    <s v="ZT"/>
    <s v="Čech"/>
    <x v="183"/>
    <s v="38000000-5"/>
    <m/>
    <n v="7000000"/>
    <x v="1"/>
    <d v="2016-07-04T00:00:00"/>
    <m/>
    <m/>
    <m/>
    <m/>
    <x v="1"/>
  </r>
  <r>
    <s v="VZ-2016-000371"/>
    <s v="OSB "/>
    <s v="Vaida"/>
    <x v="184"/>
    <s v="45215100-8"/>
    <m/>
    <n v="1320000"/>
    <x v="3"/>
    <d v="2016-07-12T00:00:00"/>
    <d v="2016-07-21T00:00:00"/>
    <s v="Stavitelství Pospíšil s.r.o."/>
    <n v="1635400"/>
    <n v="1978834"/>
    <x v="79"/>
  </r>
  <r>
    <s v="VZ-2016-000372"/>
    <s v="ZT"/>
    <s v="Novák"/>
    <x v="185"/>
    <s v="33120000-7"/>
    <m/>
    <n v="1320000"/>
    <x v="3"/>
    <d v="2016-07-11T00:00:00"/>
    <d v="2016-07-25T00:00:00"/>
    <s v="zrušeno"/>
    <m/>
    <m/>
    <x v="1"/>
  </r>
  <r>
    <s v="VZ-2016-000373"/>
    <s v="LÉK"/>
    <s v="Ondráčková"/>
    <x v="186"/>
    <s v="33652000-5"/>
    <m/>
    <n v="25916941.190000001"/>
    <x v="1"/>
    <d v="2016-07-12T00:00:00"/>
    <d v="2016-11-01T00:00:00"/>
    <s v="zrušeno"/>
    <m/>
    <m/>
    <x v="1"/>
  </r>
  <r>
    <s v="VZ-2016-000374"/>
    <s v="LÉK"/>
    <s v="Ondráčková"/>
    <x v="187"/>
    <s v="33652300-8"/>
    <m/>
    <n v="2561878"/>
    <x v="1"/>
    <d v="2016-07-12T00:00:00"/>
    <d v="2016-09-16T00:00:00"/>
    <s v="zrušeno  - bez nabídky"/>
    <m/>
    <m/>
    <x v="1"/>
  </r>
  <r>
    <s v="VZ-2016-000374"/>
    <s v="LÉK"/>
    <s v="Ondráčková"/>
    <x v="188"/>
    <s v="33652300-8"/>
    <m/>
    <n v="814135.96"/>
    <x v="1"/>
    <d v="2016-07-12T00:00:00"/>
    <d v="2016-09-16T00:00:00"/>
    <s v="Alliance Healthcare s.r.o."/>
    <n v="815434.34"/>
    <n v="896977.77"/>
    <x v="80"/>
  </r>
  <r>
    <s v="VZ-2016-000378"/>
    <s v="ZT"/>
    <s v="Čech"/>
    <x v="189"/>
    <s v="33162100-4 "/>
    <s v="2.1.13."/>
    <n v="2479000"/>
    <x v="0"/>
    <d v="2016-07-26T00:00:00"/>
    <d v="2016-08-11T00:00:00"/>
    <s v="Carl Zeiss s.r.o."/>
    <n v="2700500"/>
    <n v="3267605"/>
    <x v="81"/>
  </r>
  <r>
    <s v="VZ-2016-000380"/>
    <s v="ZM "/>
    <s v="Dočkalová"/>
    <x v="190"/>
    <s v="33181200-4 "/>
    <m/>
    <n v="2222200"/>
    <x v="0"/>
    <d v="2016-07-18T00:00:00"/>
    <d v="2016-08-04T00:00:00"/>
    <s v="První chráněná dílna"/>
    <n v="2494800"/>
    <n v="3018708"/>
    <x v="65"/>
  </r>
  <r>
    <s v="VZ-2016-000384"/>
    <s v="ZT"/>
    <s v="Čech"/>
    <x v="191"/>
    <s v="33150000-6"/>
    <s v="2.3.162"/>
    <n v="12396500"/>
    <x v="1"/>
    <d v="2016-11-15T00:00:00"/>
    <d v="2016-12-06T00:00:00"/>
    <s v="LaparoTech Instruments s.r.o."/>
    <n v="18156196"/>
    <n v="21968997.16"/>
    <x v="1"/>
  </r>
  <r>
    <s v="VZ-2016-000386"/>
    <s v="STRAV"/>
    <s v="Molek"/>
    <x v="192"/>
    <s v="39314000-6"/>
    <s v="4.1.42"/>
    <n v="73000"/>
    <x v="3"/>
    <d v="2016-07-28T00:00:00"/>
    <d v="2016-08-05T00:00:00"/>
    <s v="Technology Morava s.r.o."/>
    <n v="44900"/>
    <n v="54329"/>
    <x v="82"/>
  </r>
  <r>
    <s v="VZ-2016-000386"/>
    <s v="STRAV"/>
    <s v="Molek"/>
    <x v="193"/>
    <s v="39314000-6"/>
    <s v="4.1.43"/>
    <n v="62000"/>
    <x v="3"/>
    <d v="2016-07-28T00:00:00"/>
    <d v="2016-08-05T00:00:00"/>
    <s v="Megastro CZ s.r.o."/>
    <n v="53000"/>
    <n v="64130"/>
    <x v="83"/>
  </r>
  <r>
    <s v="VZ-2016-000390"/>
    <s v="OSB "/>
    <s v="Vaida"/>
    <x v="194"/>
    <s v="45261210-9"/>
    <m/>
    <n v="231405"/>
    <x v="3"/>
    <d v="2016-07-27T00:00:00"/>
    <d v="2016-08-05T00:00:00"/>
    <s v="Izotech Moravia spol. s r.o."/>
    <n v="149327"/>
    <n v="180685.66999999998"/>
    <x v="48"/>
  </r>
  <r>
    <s v="VZ-2016-000391"/>
    <s v="OSB "/>
    <s v="Vaida"/>
    <x v="195"/>
    <s v="45421110-8"/>
    <m/>
    <n v="240000"/>
    <x v="3"/>
    <d v="2016-07-27T00:00:00"/>
    <d v="2016-08-05T00:00:00"/>
    <s v="zrušeno - ani jedna nabídka"/>
    <m/>
    <m/>
    <x v="1"/>
  </r>
  <r>
    <s v="VZ-2016-000392"/>
    <s v="OSB "/>
    <s v="Vaida"/>
    <x v="196"/>
    <s v="44221220-3"/>
    <m/>
    <n v="320000"/>
    <x v="3"/>
    <d v="2016-07-27T00:00:00"/>
    <d v="2016-08-15T00:00:00"/>
    <s v="Stavitelství Pospíšil s.r.o."/>
    <n v="553747"/>
    <n v="670033.87"/>
    <x v="82"/>
  </r>
  <r>
    <s v="VZ-2016-000395"/>
    <s v="INF"/>
    <s v="Oravec"/>
    <x v="197"/>
    <s v="32422000-7"/>
    <s v="3.2.3."/>
    <n v="1230000"/>
    <x v="3"/>
    <d v="2016-08-04T00:00:00"/>
    <d v="2016-08-10T00:00:00"/>
    <s v="Merit Group a.s."/>
    <n v="1203100"/>
    <n v="1455751.4"/>
    <x v="84"/>
  </r>
  <r>
    <s v="VZ-2016-000398"/>
    <s v="ENERG"/>
    <s v="Eyer"/>
    <x v="198"/>
    <s v="45310000-3"/>
    <s v="4.1.31."/>
    <n v="1650000"/>
    <x v="3"/>
    <d v="2016-08-02T00:00:00"/>
    <d v="2016-08-08T00:00:00"/>
    <s v="ELPREMO s.r.o."/>
    <n v="919899"/>
    <n v="1113078"/>
    <x v="85"/>
  </r>
  <r>
    <s v="VZ-2016-000410"/>
    <s v="STRAV"/>
    <s v="Molek"/>
    <x v="199"/>
    <s v="39314000-6"/>
    <s v="4.1.44."/>
    <n v="65000"/>
    <x v="3"/>
    <d v="2016-08-10T00:00:00"/>
    <d v="2016-08-19T00:00:00"/>
    <s v="Megastro CZ s.r.o."/>
    <n v="56000"/>
    <n v="67760"/>
    <x v="82"/>
  </r>
  <r>
    <s v="VZ-2016-000412"/>
    <s v="OSB "/>
    <s v="Vaida"/>
    <x v="200"/>
    <s v="45215100-8"/>
    <s v="1.2.32."/>
    <n v="1074380"/>
    <x v="3"/>
    <d v="2016-08-11T00:00:00"/>
    <d v="2016-08-22T00:00:00"/>
    <s v="zrušeno"/>
    <m/>
    <m/>
    <x v="1"/>
  </r>
  <r>
    <s v="VZ-2016-000413"/>
    <s v="OU"/>
    <s v="Nerudová"/>
    <x v="201"/>
    <s v="39150000-5"/>
    <s v="1.2.32."/>
    <n v="1200000"/>
    <x v="0"/>
    <d v="2016-08-22T00:00:00"/>
    <d v="2016-09-07T00:00:00"/>
    <s v="zrušeno"/>
    <m/>
    <m/>
    <x v="1"/>
  </r>
  <r>
    <s v="VZ-2016-000414"/>
    <s v="ZT"/>
    <s v="Čech"/>
    <x v="202"/>
    <s v="33151400-7"/>
    <s v="2.2.21."/>
    <n v="510000"/>
    <x v="3"/>
    <d v="2016-08-16T00:00:00"/>
    <d v="2016-08-30T00:00:00"/>
    <s v="Transkontakt Medical"/>
    <n v="847420"/>
    <n v="1025378"/>
    <x v="86"/>
  </r>
  <r>
    <s v="VZ-2016-000415"/>
    <s v="ZT"/>
    <s v="Čech"/>
    <x v="203"/>
    <s v="33151400-7"/>
    <s v="2.2.22."/>
    <n v="1650000"/>
    <x v="3"/>
    <d v="2016-08-16T00:00:00"/>
    <d v="2016-08-30T00:00:00"/>
    <s v="zrušeno - překročen limit VZMR"/>
    <m/>
    <m/>
    <x v="1"/>
  </r>
  <r>
    <s v="VZ-2016-000416"/>
    <s v="ZT"/>
    <s v="Čech"/>
    <x v="204"/>
    <s v="33168100-6"/>
    <s v="2.2.24."/>
    <n v="925000"/>
    <x v="3"/>
    <d v="2016-08-16T00:00:00"/>
    <d v="2016-08-30T00:00:00"/>
    <s v="Olympus Czcech Group s.r.o."/>
    <n v="901880.00000000012"/>
    <n v="1091274.8"/>
    <x v="87"/>
  </r>
  <r>
    <s v="VZ-2016-000417"/>
    <s v="ZT"/>
    <s v="Čech"/>
    <x v="205"/>
    <s v="33121100-5"/>
    <s v="2.3.138.; 2.3.139."/>
    <n v="990000"/>
    <x v="3"/>
    <d v="2016-08-18T00:00:00"/>
    <d v="2016-08-31T00:00:00"/>
    <s v="Alien Technik s.r.o."/>
    <n v="1365100"/>
    <n v="1651771"/>
    <x v="87"/>
  </r>
  <r>
    <s v="VZ-2016-000418"/>
    <s v="ENERG"/>
    <s v="Eyer"/>
    <x v="206"/>
    <s v="72511000-0"/>
    <s v="1.1.14"/>
    <n v="825000"/>
    <x v="3"/>
    <d v="2016-08-29T00:00:00"/>
    <d v="2016-09-09T00:00:00"/>
    <s v="ELMAR group s.r.o."/>
    <n v="1021408"/>
    <n v="1235903.68"/>
    <x v="88"/>
  </r>
  <r>
    <s v="VZ-2016-000421"/>
    <s v="LÉK"/>
    <s v="Ondráčková"/>
    <x v="207"/>
    <s v="33651100-9"/>
    <m/>
    <n v="94548.27"/>
    <x v="1"/>
    <d v="2016-09-15T00:00:00"/>
    <d v="2016-12-20T00:00:00"/>
    <s v="zrušeno - bez hodnocené nabídky"/>
    <m/>
    <m/>
    <x v="1"/>
  </r>
  <r>
    <s v="VZ-2016-000421"/>
    <s v="LÉK"/>
    <s v="Ondráčková"/>
    <x v="208"/>
    <s v="33651100-9"/>
    <m/>
    <n v="469811"/>
    <x v="1"/>
    <d v="2016-09-15T00:00:00"/>
    <d v="2016-12-20T00:00:00"/>
    <s v="zrušeno - bez nabídky"/>
    <m/>
    <m/>
    <x v="1"/>
  </r>
  <r>
    <s v="VZ-2016-000421"/>
    <s v="LÉK"/>
    <s v="Ondráčková"/>
    <x v="209"/>
    <s v="33651100-9"/>
    <m/>
    <n v="10106.16"/>
    <x v="1"/>
    <d v="2016-09-15T00:00:00"/>
    <d v="2016-12-20T00:00:00"/>
    <s v="Pharmos, a.s."/>
    <n v="9900.7999999999993"/>
    <n v="10890.88"/>
    <x v="1"/>
  </r>
  <r>
    <s v="VZ-2016-000421"/>
    <s v="LÉK"/>
    <s v="Ondráčková"/>
    <x v="210"/>
    <s v="33651100-9"/>
    <m/>
    <n v="10209.6"/>
    <x v="1"/>
    <d v="2016-09-15T00:00:00"/>
    <d v="2016-12-20T00:00:00"/>
    <s v="Fresenius Kabi s.r.o."/>
    <n v="9600"/>
    <n v="10560"/>
    <x v="1"/>
  </r>
  <r>
    <s v="VZ-2016-000421"/>
    <s v="LÉK"/>
    <s v="Ondráčková"/>
    <x v="211"/>
    <s v="33651100-9"/>
    <m/>
    <n v="424787"/>
    <x v="1"/>
    <d v="2016-09-15T00:00:00"/>
    <d v="2016-12-20T00:00:00"/>
    <s v="Fresenius Kabi s.r.o."/>
    <n v="343100"/>
    <n v="377410.00000000006"/>
    <x v="1"/>
  </r>
  <r>
    <s v="VZ-2016-000421"/>
    <s v="LÉK"/>
    <s v="Ondráčková"/>
    <x v="212"/>
    <s v="33651100-9"/>
    <m/>
    <n v="578389.66"/>
    <x v="1"/>
    <d v="2016-09-15T00:00:00"/>
    <d v="2016-12-20T00:00:00"/>
    <s v="PHOENIX lék. Velkoobchod"/>
    <n v="554307.64"/>
    <n v="609738.4040000001"/>
    <x v="1"/>
  </r>
  <r>
    <s v="VZ-2016-000421"/>
    <s v="LÉK"/>
    <s v="Ondráčková"/>
    <x v="213"/>
    <s v="33651100-9"/>
    <m/>
    <n v="309207.7"/>
    <x v="1"/>
    <d v="2016-09-15T00:00:00"/>
    <d v="2016-12-20T00:00:00"/>
    <s v="zrušeno - bez hodnocené nabídky"/>
    <m/>
    <m/>
    <x v="1"/>
  </r>
  <r>
    <s v="VZ-2016-000421"/>
    <s v="LÉK"/>
    <s v="Ondráčková"/>
    <x v="214"/>
    <s v="33651100-9"/>
    <m/>
    <n v="881921.09"/>
    <x v="1"/>
    <d v="2016-09-15T00:00:00"/>
    <d v="2016-12-20T00:00:00"/>
    <s v="PHOENIX lék. Velkoobchod"/>
    <n v="880308"/>
    <n v="968338.8"/>
    <x v="1"/>
  </r>
  <r>
    <s v="VZ-2016-000421"/>
    <s v="LÉK"/>
    <s v="Ondráčková"/>
    <x v="215"/>
    <s v="33651100-9"/>
    <m/>
    <n v="444496"/>
    <x v="1"/>
    <d v="2016-09-15T00:00:00"/>
    <d v="2016-12-20T00:00:00"/>
    <s v="PHOENIX lék. Velkoobchod"/>
    <n v="337816.96"/>
    <n v="371598.65600000008"/>
    <x v="1"/>
  </r>
  <r>
    <s v="VZ-2016-000421"/>
    <s v="LÉK"/>
    <s v="Ondráčková"/>
    <x v="216"/>
    <s v="33651100-9"/>
    <m/>
    <n v="377200"/>
    <x v="1"/>
    <d v="2016-09-15T00:00:00"/>
    <d v="2016-12-20T00:00:00"/>
    <s v="Pharmos, a.s."/>
    <n v="168296.8"/>
    <n v="185126.48"/>
    <x v="1"/>
  </r>
  <r>
    <s v="VZ-2016-000422"/>
    <s v="LÉK"/>
    <s v="Ondráčková"/>
    <x v="217"/>
    <s v="33651100-9"/>
    <m/>
    <n v="424760"/>
    <x v="1"/>
    <d v="2016-09-15T00:00:00"/>
    <d v="2016-12-21T00:00:00"/>
    <s v="???"/>
    <n v="365900.4"/>
    <n v="402490.44000000006"/>
    <x v="1"/>
  </r>
  <r>
    <s v="VZ-2016-000422"/>
    <s v="LÉK"/>
    <s v="Ondráčková"/>
    <x v="218"/>
    <s v="33651100-9"/>
    <m/>
    <n v="377402.6"/>
    <x v="1"/>
    <d v="2016-09-15T00:00:00"/>
    <d v="2016-12-21T00:00:00"/>
    <s v="PHOENIX lék. Velkoobchod"/>
    <n v="348734"/>
    <n v="383607.4"/>
    <x v="1"/>
  </r>
  <r>
    <s v="VZ-2016-000422"/>
    <s v="LÉK"/>
    <s v="Ondráčková"/>
    <x v="219"/>
    <s v="33651100-9"/>
    <m/>
    <n v="189388.16"/>
    <x v="1"/>
    <d v="2016-09-15T00:00:00"/>
    <d v="2016-12-21T00:00:00"/>
    <s v="Pharmos, a.s."/>
    <n v="159460.48000000001"/>
    <n v="175406.52800000002"/>
    <x v="1"/>
  </r>
  <r>
    <s v="VZ-2016-000422"/>
    <s v="LÉK"/>
    <s v="Ondráčková"/>
    <x v="220"/>
    <s v="33651100-9"/>
    <m/>
    <n v="394713.2"/>
    <x v="1"/>
    <d v="2016-09-15T00:00:00"/>
    <d v="2016-12-21T00:00:00"/>
    <s v="zrušeno - bez hodnocené nabídky"/>
    <m/>
    <m/>
    <x v="1"/>
  </r>
  <r>
    <s v="VZ-2016-000422"/>
    <s v="LÉK"/>
    <s v="Ondráčková"/>
    <x v="221"/>
    <s v="33651100-9"/>
    <m/>
    <n v="59064.6"/>
    <x v="1"/>
    <d v="2016-09-15T00:00:00"/>
    <d v="2016-12-21T00:00:00"/>
    <s v="zrušeno - bez hodnocené nabídky"/>
    <m/>
    <m/>
    <x v="1"/>
  </r>
  <r>
    <s v="VZ-2016-000422"/>
    <s v="LÉK"/>
    <s v="Ondráčková"/>
    <x v="222"/>
    <s v="33651100-9"/>
    <m/>
    <n v="74704.75"/>
    <x v="1"/>
    <d v="2016-09-15T00:00:00"/>
    <d v="2016-12-21T00:00:00"/>
    <s v="PHOENIX lék. Velkoobchod"/>
    <n v="43111.199999999997"/>
    <n v="47422.32"/>
    <x v="1"/>
  </r>
  <r>
    <s v="VZ-2016-000422"/>
    <s v="LÉK"/>
    <s v="Ondráčková"/>
    <x v="223"/>
    <s v="33651100-9"/>
    <m/>
    <n v="43588.92"/>
    <x v="1"/>
    <d v="2016-09-15T00:00:00"/>
    <d v="2016-12-21T00:00:00"/>
    <s v="Alliance Healthcare s.r.o."/>
    <n v="40743.74"/>
    <n v="44818.114000000001"/>
    <x v="1"/>
  </r>
  <r>
    <s v="VZ-2016-000422"/>
    <s v="LÉK"/>
    <s v="Ondráčková"/>
    <x v="224"/>
    <s v="33651100-9"/>
    <m/>
    <n v="117510.07"/>
    <x v="1"/>
    <d v="2016-09-15T00:00:00"/>
    <d v="2016-12-21T00:00:00"/>
    <s v="zrušeno - bez nabídky"/>
    <m/>
    <m/>
    <x v="1"/>
  </r>
  <r>
    <s v="VZ-2016-000423"/>
    <s v="LÉK"/>
    <s v="Ondráčková"/>
    <x v="225"/>
    <s v="33651100-9"/>
    <m/>
    <n v="7791989.4000000004"/>
    <x v="1"/>
    <s v="15.9 2016"/>
    <d v="2017-01-09T00:00:00"/>
    <m/>
    <m/>
    <m/>
    <x v="1"/>
  </r>
  <r>
    <s v="VZ-2016-000423"/>
    <s v="LÉK"/>
    <s v="Ondráčková"/>
    <x v="226"/>
    <s v="33651100-9"/>
    <m/>
    <n v="427.86"/>
    <x v="1"/>
    <s v="15.9 2016"/>
    <d v="2017-01-09T00:00:00"/>
    <m/>
    <m/>
    <m/>
    <x v="1"/>
  </r>
  <r>
    <s v="VZ-2016-000423"/>
    <s v="LÉK"/>
    <s v="Ondráčková"/>
    <x v="227"/>
    <s v="33651100-9"/>
    <m/>
    <n v="154680.66"/>
    <x v="1"/>
    <s v="15.9 2016"/>
    <d v="2017-01-09T00:00:00"/>
    <m/>
    <m/>
    <m/>
    <x v="1"/>
  </r>
  <r>
    <s v="VZ-2016-000423"/>
    <s v="LÉK"/>
    <s v="Ondráčková"/>
    <x v="228"/>
    <s v="33651100-9"/>
    <m/>
    <n v="125572.64"/>
    <x v="1"/>
    <s v="15.9 2016"/>
    <d v="2017-01-09T00:00:00"/>
    <m/>
    <m/>
    <m/>
    <x v="1"/>
  </r>
  <r>
    <s v="VZ-2016-000423"/>
    <s v="LÉK"/>
    <s v="Ondráčková"/>
    <x v="229"/>
    <s v="33651100-9"/>
    <m/>
    <n v="44000"/>
    <x v="1"/>
    <s v="15.9 2016"/>
    <d v="2017-01-09T00:00:00"/>
    <m/>
    <m/>
    <m/>
    <x v="1"/>
  </r>
  <r>
    <s v="VZ-2016-000423"/>
    <s v="LÉK"/>
    <s v="Ondráčková"/>
    <x v="230"/>
    <s v="33651100-9"/>
    <m/>
    <n v="8161.78"/>
    <x v="1"/>
    <s v="15.9 2016"/>
    <d v="2017-01-09T00:00:00"/>
    <m/>
    <m/>
    <m/>
    <x v="1"/>
  </r>
  <r>
    <s v="VZ-2016-000423"/>
    <s v="LÉK"/>
    <s v="Ondráčková"/>
    <x v="231"/>
    <s v="33651100-9"/>
    <m/>
    <n v="10120"/>
    <x v="1"/>
    <s v="15.9 2016"/>
    <d v="2017-01-09T00:00:00"/>
    <m/>
    <m/>
    <m/>
    <x v="1"/>
  </r>
  <r>
    <s v="VZ-2016-000423"/>
    <s v="LÉK"/>
    <s v="Ondráčková"/>
    <x v="232"/>
    <s v="33651100-9"/>
    <m/>
    <n v="112926"/>
    <x v="1"/>
    <s v="15.9 2016"/>
    <d v="2017-01-09T00:00:00"/>
    <m/>
    <m/>
    <m/>
    <x v="1"/>
  </r>
  <r>
    <s v="VZ-2016-000423"/>
    <s v="LÉK"/>
    <s v="Ondráčková"/>
    <x v="233"/>
    <s v="33651100-9"/>
    <m/>
    <n v="328860.98"/>
    <x v="1"/>
    <s v="15.9 2016"/>
    <d v="2017-01-09T00:00:00"/>
    <m/>
    <m/>
    <m/>
    <x v="1"/>
  </r>
  <r>
    <s v="VZ-2016-000423"/>
    <s v="LÉK"/>
    <s v="Ondráčková"/>
    <x v="234"/>
    <s v="33651100-9"/>
    <m/>
    <n v="1862631"/>
    <x v="1"/>
    <s v="15.9 2016"/>
    <d v="2017-01-09T00:00:00"/>
    <m/>
    <m/>
    <m/>
    <x v="1"/>
  </r>
  <r>
    <s v="VZ-2016-000423"/>
    <s v="LÉK"/>
    <s v="Ondráčková"/>
    <x v="235"/>
    <s v="33651100-9"/>
    <m/>
    <n v="2349480"/>
    <x v="1"/>
    <d v="2016-09-15T00:00:00"/>
    <d v="2017-01-09T00:00:00"/>
    <m/>
    <m/>
    <m/>
    <x v="1"/>
  </r>
  <r>
    <s v="VZ-2016-000433"/>
    <s v="ZT"/>
    <s v="Novák"/>
    <x v="236"/>
    <s v="42931100-2"/>
    <s v="2.2.57."/>
    <n v="250000"/>
    <x v="3"/>
    <d v="2016-09-27T00:00:00"/>
    <d v="2016-10-06T00:00:00"/>
    <s v="MEDESA s.r.o."/>
    <n v="233767.8"/>
    <n v="282859.03999999998"/>
    <x v="89"/>
  </r>
  <r>
    <s v="VZ-2016-000433"/>
    <s v="ZT"/>
    <s v="Novák"/>
    <x v="237"/>
    <s v="42931100-2"/>
    <s v="2.3.174."/>
    <n v="620000"/>
    <x v="3"/>
    <d v="2016-09-27T00:00:00"/>
    <d v="2016-10-06T00:00:00"/>
    <s v="Trigon Plus s.r.o."/>
    <n v="428400"/>
    <n v="518364"/>
    <x v="90"/>
  </r>
  <r>
    <s v="VZ-2016-000435"/>
    <s v="SERV"/>
    <s v="Zemánek"/>
    <x v="238"/>
    <s v="50400000-9"/>
    <m/>
    <n v="1920000"/>
    <x v="3"/>
    <d v="2016-08-24T00:00:00"/>
    <d v="2016-09-06T00:00:00"/>
    <s v="zrušeno"/>
    <m/>
    <m/>
    <x v="1"/>
  </r>
  <r>
    <s v="VZ-2016-000436"/>
    <s v="ZT"/>
    <s v="Čech"/>
    <x v="239"/>
    <s v="39180000-7"/>
    <s v="2.2.43, 2.3.133"/>
    <n v="170000"/>
    <x v="3"/>
    <m/>
    <m/>
    <m/>
    <m/>
    <m/>
    <x v="1"/>
  </r>
  <r>
    <s v="VZ-2016-000440"/>
    <s v="PRAV"/>
    <s v="Procházková"/>
    <x v="240"/>
    <s v="66510000-8"/>
    <m/>
    <n v="12000000"/>
    <x v="1"/>
    <d v="2016-08-24T00:00:00"/>
    <d v="2016-12-20T00:00:00"/>
    <s v="Kooperativa pojišťovna a.s."/>
    <n v="8282512"/>
    <n v="8282512"/>
    <x v="1"/>
  </r>
  <r>
    <s v="VZ-2016-000440"/>
    <s v="PRAV"/>
    <s v="Procházková"/>
    <x v="241"/>
    <s v="66515200-5"/>
    <m/>
    <n v="4000000"/>
    <x v="1"/>
    <d v="2016-08-24T00:00:00"/>
    <d v="2016-12-20T00:00:00"/>
    <s v="Kooperativa pojišťovna a.s."/>
    <n v="509044"/>
    <n v="509044"/>
    <x v="1"/>
  </r>
  <r>
    <s v="VZ-2016-000440"/>
    <s v="PRAV"/>
    <s v="Procházková"/>
    <x v="242"/>
    <s v="66516000-0"/>
    <m/>
    <n v="8000000"/>
    <x v="1"/>
    <d v="2016-08-24T00:00:00"/>
    <d v="2016-12-20T00:00:00"/>
    <s v="Česká pojišťovna a.s."/>
    <n v="698534"/>
    <n v="698534"/>
    <x v="1"/>
  </r>
  <r>
    <s v="VZ-2016-000441"/>
    <s v="OSB "/>
    <s v="Vaida"/>
    <x v="243"/>
    <s v="45421132-8"/>
    <s v="4.1.38."/>
    <n v="4390000"/>
    <x v="3"/>
    <d v="2016-08-24T00:00:00"/>
    <d v="2016-09-08T00:00:00"/>
    <s v="Stavební spol. Navrátil s.r.o."/>
    <n v="2862669.63"/>
    <n v="3463830.25"/>
    <x v="91"/>
  </r>
  <r>
    <s v="VZ-2016-000442"/>
    <s v="INV"/>
    <s v="Kvapil"/>
    <x v="244"/>
    <m/>
    <m/>
    <n v="4950000"/>
    <x v="3"/>
    <d v="2016-08-24T00:00:00"/>
    <d v="2016-09-02T00:00:00"/>
    <s v="OHL ŽS a.s."/>
    <n v="3420092.67"/>
    <n v="4138312.1306999996"/>
    <x v="92"/>
  </r>
  <r>
    <s v="VZ-2016-000443"/>
    <s v="INF"/>
    <s v="Oravec"/>
    <x v="245"/>
    <s v="30233141-1"/>
    <s v="3.2.4."/>
    <n v="3245000"/>
    <x v="4"/>
    <d v="2016-08-24T00:00:00"/>
    <d v="2016-10-24T00:00:00"/>
    <s v="Merit Group a.s."/>
    <n v="3349098"/>
    <n v="4052408.58"/>
    <x v="1"/>
  </r>
  <r>
    <s v="VZ-2016-000444"/>
    <s v="ZT"/>
    <s v="Čech"/>
    <x v="246"/>
    <s v="38341600-3 "/>
    <s v="2.3.132, 2.2.50, 2.3.134, 2.2.44, 2.2.48, 2.2.49, 2.2.51"/>
    <n v="3200000"/>
    <x v="0"/>
    <m/>
    <m/>
    <m/>
    <m/>
    <m/>
    <x v="1"/>
  </r>
  <r>
    <s v="VZ-2016-000446"/>
    <s v="ZT"/>
    <s v="Čech"/>
    <x v="247"/>
    <s v="33162100-4"/>
    <s v="2.3.111"/>
    <n v="580000"/>
    <x v="3"/>
    <d v="2016-08-30T00:00:00"/>
    <d v="2016-09-07T00:00:00"/>
    <s v="Carl Zeiss s.r.o."/>
    <n v="1106000"/>
    <n v="1338260"/>
    <x v="93"/>
  </r>
  <r>
    <s v="VZ-2016-000448"/>
    <s v="INF"/>
    <s v="Oravec"/>
    <x v="248"/>
    <s v="30213100-6"/>
    <m/>
    <n v="99200"/>
    <x v="4"/>
    <d v="2016-08-25T00:00:00"/>
    <d v="2016-09-21T00:00:00"/>
    <s v="C SYSTEM CZ a.s."/>
    <n v="93300"/>
    <n v="112893"/>
    <x v="94"/>
  </r>
  <r>
    <s v="VZ-2016-000449"/>
    <s v="ZT"/>
    <s v="Čech"/>
    <x v="249"/>
    <s v="33120000-7"/>
    <m/>
    <n v="800000"/>
    <x v="3"/>
    <d v="2016-09-12T00:00:00"/>
    <d v="2016-09-21T00:00:00"/>
    <s v="KURKA MED s.r.o."/>
    <n v="1052648"/>
    <n v="1273704.08"/>
    <x v="89"/>
  </r>
  <r>
    <s v="VZ-2016-000449"/>
    <s v="ZT"/>
    <s v="Čech"/>
    <x v="250"/>
    <s v="33120000-7"/>
    <m/>
    <n v="520000"/>
    <x v="3"/>
    <d v="2016-09-12T00:00:00"/>
    <d v="2016-09-21T00:00:00"/>
    <s v="KURKA MED s.r.o."/>
    <n v="657669"/>
    <n v="795779.49"/>
    <x v="89"/>
  </r>
  <r>
    <s v="VZ-2016-000450"/>
    <s v="INV"/>
    <s v="Kvapil"/>
    <x v="251"/>
    <s v="71251000-2"/>
    <s v="1.2.45."/>
    <n v="540000"/>
    <x v="3"/>
    <d v="2016-08-29T00:00:00"/>
    <d v="2016-09-02T00:00:00"/>
    <s v="LT Projekt a.s."/>
    <n v="580000"/>
    <n v="701800"/>
    <x v="95"/>
  </r>
  <r>
    <s v="VZ-2016-000452"/>
    <s v="VYHRAZ"/>
    <s v="Srovnal"/>
    <x v="252"/>
    <s v="31000000-6"/>
    <m/>
    <n v="990000"/>
    <x v="3"/>
    <d v="2016-08-31T00:00:00"/>
    <d v="2016-09-09T00:00:00"/>
    <s v="ELMAR group s.r.o."/>
    <n v="658923"/>
    <n v="797296.83"/>
    <x v="87"/>
  </r>
  <r>
    <s v="VZ-2016-000453"/>
    <s v="ZT"/>
    <s v="Novák"/>
    <x v="253"/>
    <s v="33123200-0"/>
    <s v="2.3.165."/>
    <n v="80000"/>
    <x v="3"/>
    <d v="2016-08-31T00:00:00"/>
    <d v="2016-09-12T00:00:00"/>
    <s v="BTL zdrav. technika a.s."/>
    <n v="97775"/>
    <n v="118307.75"/>
    <x v="65"/>
  </r>
  <r>
    <s v="VZ-2016-000458"/>
    <s v="ZT"/>
    <s v="Novák"/>
    <x v="254"/>
    <s v="33125000-2"/>
    <s v="2.3.113.; 2.3.114.; 2.3.115."/>
    <n v="790000"/>
    <x v="3"/>
    <d v="2016-09-01T00:00:00"/>
    <d v="2016-09-14T00:00:00"/>
    <s v="Olympus Czcech Group s.r.o."/>
    <n v="444793"/>
    <n v="538199.53"/>
    <x v="33"/>
  </r>
  <r>
    <s v="VZ-2016-000459"/>
    <s v="ZT"/>
    <s v="Novák"/>
    <x v="255"/>
    <s v="33125000-2"/>
    <s v="2.3.112."/>
    <n v="1265000"/>
    <x v="3"/>
    <d v="2016-09-01T00:00:00"/>
    <d v="2016-09-13T00:00:00"/>
    <s v="Olympus Czcech Group s.r.o."/>
    <n v="1315670"/>
    <n v="1591960.7"/>
    <x v="93"/>
  </r>
  <r>
    <s v="VZ-2016-000460"/>
    <s v="ZT"/>
    <s v="Novák"/>
    <x v="256"/>
    <s v="33124100-6"/>
    <s v="2.2.56."/>
    <n v="825000"/>
    <x v="3"/>
    <d v="2016-09-01T00:00:00"/>
    <d v="2016-09-12T00:00:00"/>
    <s v="Medinet s.r.o."/>
    <n v="968200"/>
    <n v="1171522"/>
    <x v="76"/>
  </r>
  <r>
    <s v="VZ-2016-000464"/>
    <s v="ZT"/>
    <s v="Novák"/>
    <x v="257"/>
    <s v="33157400-9"/>
    <s v="2.3.97."/>
    <n v="325000"/>
    <x v="3"/>
    <d v="2016-09-07T00:00:00"/>
    <d v="2016-09-19T00:00:00"/>
    <s v="Dartin s.r.o."/>
    <n v="944314"/>
    <n v="1142619.94"/>
    <x v="96"/>
  </r>
  <r>
    <s v="VZ-2016-000465"/>
    <s v="ZT"/>
    <s v="Novák"/>
    <x v="258"/>
    <s v="33191000-5"/>
    <s v="2.3.161."/>
    <n v="745000"/>
    <x v="3"/>
    <d v="2016-09-07T00:00:00"/>
    <d v="2016-09-19T00:00:00"/>
    <s v="ENUS Medical s.r.o."/>
    <n v="760750"/>
    <n v="920508"/>
    <x v="34"/>
  </r>
  <r>
    <s v="VZ-2016-000466"/>
    <s v="ZT"/>
    <s v="Novák"/>
    <x v="259"/>
    <s v="38510000-3"/>
    <s v="2.2.58.; 2.3.167."/>
    <n v="280000"/>
    <x v="3"/>
    <d v="2016-09-12T00:00:00"/>
    <d v="2016-09-21T00:00:00"/>
    <s v="Olympus Czcech Group s.r.o."/>
    <n v="357346.35"/>
    <n v="432389"/>
    <x v="33"/>
  </r>
  <r>
    <s v="VZ-2016-000469"/>
    <s v="INV"/>
    <s v="Kvapil"/>
    <x v="260"/>
    <s v="45215100-8"/>
    <m/>
    <n v="438469"/>
    <x v="7"/>
    <s v="xxx"/>
    <s v="xxx"/>
    <s v="OHL ŽS a.s."/>
    <n v="438469"/>
    <n v="530547.49"/>
    <x v="84"/>
  </r>
  <r>
    <s v="VZ-2016-000472"/>
    <s v="MLUV"/>
    <s v="Havrlant"/>
    <x v="261"/>
    <m/>
    <m/>
    <m/>
    <x v="8"/>
    <m/>
    <m/>
    <s v="nerealizováno"/>
    <m/>
    <m/>
    <x v="1"/>
  </r>
  <r>
    <s v="VZ-2016-000475"/>
    <s v="ZT"/>
    <s v="Novák"/>
    <x v="262"/>
    <s v="33157400-9"/>
    <s v="2.3.148."/>
    <n v="290000"/>
    <x v="3"/>
    <d v="2016-09-12T00:00:00"/>
    <d v="2016-09-20T00:00:00"/>
    <s v="S + T Plus s.r.o."/>
    <n v="327095"/>
    <n v="395785"/>
    <x v="97"/>
  </r>
  <r>
    <s v="VZ-2016-000494"/>
    <s v="LÉK"/>
    <s v="Ondráčková"/>
    <x v="263"/>
    <s v="33651400-2"/>
    <m/>
    <n v="402104.17"/>
    <x v="1"/>
    <d v="2016-12-01T00:00:00"/>
    <d v="2017-01-10T00:00:00"/>
    <m/>
    <m/>
    <m/>
    <x v="1"/>
  </r>
  <r>
    <s v="VZ-2016-000494"/>
    <s v="LÉK"/>
    <s v="Ondráčková"/>
    <x v="264"/>
    <s v="33651400-2"/>
    <m/>
    <n v="254142.16"/>
    <x v="1"/>
    <d v="2016-12-01T00:00:00"/>
    <d v="2017-01-10T00:00:00"/>
    <m/>
    <m/>
    <m/>
    <x v="1"/>
  </r>
  <r>
    <s v="VZ-2016-000494"/>
    <s v="LÉK"/>
    <s v="Ondráčková"/>
    <x v="265"/>
    <s v="33651400-2"/>
    <m/>
    <n v="486689.96"/>
    <x v="1"/>
    <d v="2016-12-01T00:00:00"/>
    <d v="2017-01-10T00:00:00"/>
    <m/>
    <m/>
    <m/>
    <x v="1"/>
  </r>
  <r>
    <s v="VZ-2016-000494"/>
    <s v="LÉK"/>
    <s v="Ondráčková"/>
    <x v="266"/>
    <s v="33651400-2"/>
    <m/>
    <n v="4892335"/>
    <x v="1"/>
    <d v="2016-12-01T00:00:00"/>
    <d v="2017-01-10T00:00:00"/>
    <m/>
    <m/>
    <m/>
    <x v="1"/>
  </r>
  <r>
    <s v="VZ-2016-000494"/>
    <s v="LÉK"/>
    <s v="Ondráčková"/>
    <x v="267"/>
    <s v="33651400-2"/>
    <m/>
    <n v="27677.68"/>
    <x v="1"/>
    <d v="2016-12-01T00:00:00"/>
    <d v="2017-01-10T00:00:00"/>
    <m/>
    <m/>
    <m/>
    <x v="1"/>
  </r>
  <r>
    <s v="VZ-2016-000494"/>
    <s v="LÉK"/>
    <s v="Ondráčková"/>
    <x v="268"/>
    <s v="33651400-2"/>
    <m/>
    <n v="205112.5"/>
    <x v="1"/>
    <d v="2016-12-01T00:00:00"/>
    <d v="2017-01-10T00:00:00"/>
    <m/>
    <m/>
    <m/>
    <x v="1"/>
  </r>
  <r>
    <s v="VZ-2016-000495"/>
    <s v="LÉK"/>
    <s v="Ondráčková"/>
    <x v="269"/>
    <s v="33651200-0"/>
    <m/>
    <n v="273680"/>
    <x v="1"/>
    <d v="2016-12-01T00:00:00"/>
    <d v="2017-01-11T00:00:00"/>
    <m/>
    <m/>
    <m/>
    <x v="1"/>
  </r>
  <r>
    <s v="VZ-2016-000495"/>
    <s v="LÉK"/>
    <s v="Ondráčková"/>
    <x v="270"/>
    <s v="33651200-0"/>
    <m/>
    <n v="52571.199999999997"/>
    <x v="1"/>
    <d v="2016-12-01T00:00:00"/>
    <d v="2017-01-11T00:00:00"/>
    <m/>
    <m/>
    <m/>
    <x v="1"/>
  </r>
  <r>
    <s v="VZ-2016-000495"/>
    <s v="LÉK"/>
    <s v="Ondráčková"/>
    <x v="271"/>
    <s v="33651200-0"/>
    <m/>
    <n v="1673000"/>
    <x v="1"/>
    <d v="2016-12-01T00:00:00"/>
    <d v="2017-01-11T00:00:00"/>
    <m/>
    <m/>
    <m/>
    <x v="1"/>
  </r>
  <r>
    <s v="VZ-2016-000495"/>
    <s v="LÉK"/>
    <s v="Ondráčková"/>
    <x v="272"/>
    <s v="33651200-0"/>
    <m/>
    <n v="6615485.8200000003"/>
    <x v="1"/>
    <d v="2016-12-01T00:00:00"/>
    <d v="2017-01-11T00:00:00"/>
    <m/>
    <m/>
    <m/>
    <x v="1"/>
  </r>
  <r>
    <s v="VZ-2016-000496"/>
    <s v="LÉK"/>
    <s v="Ondráčková"/>
    <x v="273"/>
    <s v="33651400-2"/>
    <m/>
    <n v="384458.22"/>
    <x v="1"/>
    <d v="2016-12-05T00:00:00"/>
    <d v="2017-01-12T00:00:00"/>
    <m/>
    <m/>
    <m/>
    <x v="1"/>
  </r>
  <r>
    <s v="VZ-2016-000496"/>
    <s v="LÉK"/>
    <s v="Ondráčková"/>
    <x v="274"/>
    <s v="33651400-2"/>
    <m/>
    <n v="750337.68"/>
    <x v="1"/>
    <d v="2016-12-05T00:00:00"/>
    <d v="2017-01-12T00:00:00"/>
    <m/>
    <m/>
    <m/>
    <x v="1"/>
  </r>
  <r>
    <s v="VZ-2016-000496"/>
    <s v="LÉK"/>
    <s v="Ondráčková"/>
    <x v="275"/>
    <s v="33651400-2"/>
    <m/>
    <n v="304720.8"/>
    <x v="1"/>
    <d v="2016-12-05T00:00:00"/>
    <d v="2017-01-12T00:00:00"/>
    <m/>
    <m/>
    <m/>
    <x v="1"/>
  </r>
  <r>
    <s v="VZ-2016-000496"/>
    <s v="LÉK"/>
    <s v="Ondráčková"/>
    <x v="276"/>
    <s v="33651400-2"/>
    <m/>
    <n v="1668975"/>
    <x v="1"/>
    <d v="2016-12-05T00:00:00"/>
    <d v="2017-01-12T00:00:00"/>
    <m/>
    <m/>
    <m/>
    <x v="1"/>
  </r>
  <r>
    <s v="VZ-2016-000496"/>
    <s v="LÉK"/>
    <s v="Ondráčková"/>
    <x v="277"/>
    <s v="33651400-2"/>
    <m/>
    <n v="207321.45"/>
    <x v="1"/>
    <d v="2016-12-05T00:00:00"/>
    <d v="2017-01-12T00:00:00"/>
    <m/>
    <m/>
    <m/>
    <x v="1"/>
  </r>
  <r>
    <s v="VZ-2016-000496"/>
    <s v="LÉK"/>
    <s v="Ondráčková"/>
    <x v="278"/>
    <s v="33651400-2"/>
    <m/>
    <n v="71857.649999999994"/>
    <x v="1"/>
    <d v="2016-12-05T00:00:00"/>
    <d v="2017-01-12T00:00:00"/>
    <m/>
    <m/>
    <m/>
    <x v="1"/>
  </r>
  <r>
    <s v="VZ-2016-000496"/>
    <s v="LÉK"/>
    <s v="Ondráčková"/>
    <x v="279"/>
    <s v="33651400-2"/>
    <m/>
    <n v="1381911.23"/>
    <x v="1"/>
    <d v="2016-12-05T00:00:00"/>
    <d v="2017-01-12T00:00:00"/>
    <m/>
    <m/>
    <m/>
    <x v="1"/>
  </r>
  <r>
    <s v="VZ-2016-000496"/>
    <s v="LÉK"/>
    <s v="Ondráčková"/>
    <x v="280"/>
    <s v="33651400-2"/>
    <m/>
    <n v="1838198.4"/>
    <x v="1"/>
    <d v="2016-12-05T00:00:00"/>
    <d v="2017-01-12T00:00:00"/>
    <m/>
    <m/>
    <m/>
    <x v="1"/>
  </r>
  <r>
    <s v="VZ-2016-000496"/>
    <s v="LÉK"/>
    <s v="Ondráčková"/>
    <x v="281"/>
    <s v="33651400-2"/>
    <m/>
    <n v="111393.24"/>
    <x v="1"/>
    <d v="2016-12-05T00:00:00"/>
    <d v="2017-01-12T00:00:00"/>
    <m/>
    <m/>
    <m/>
    <x v="1"/>
  </r>
  <r>
    <s v="VZ-2016-000496"/>
    <s v="LÉK"/>
    <s v="Ondráčková"/>
    <x v="282"/>
    <s v="33651400-2"/>
    <m/>
    <n v="1252369.6000000001"/>
    <x v="1"/>
    <d v="2016-12-05T00:00:00"/>
    <d v="2017-01-12T00:00:00"/>
    <m/>
    <m/>
    <m/>
    <x v="1"/>
  </r>
  <r>
    <s v="VZ-2016-000497"/>
    <s v="OSB "/>
    <s v="Vaida"/>
    <x v="283"/>
    <s v="45432130-4"/>
    <m/>
    <n v="495000"/>
    <x v="3"/>
    <d v="2016-09-15T00:00:00"/>
    <d v="2016-09-21T00:00:00"/>
    <s v="Faraon Podlahy s.r.o."/>
    <n v="262632.5"/>
    <n v="317785.32500000001"/>
    <x v="98"/>
  </r>
  <r>
    <s v="VZ-2016-000499"/>
    <s v="ZT"/>
    <s v="Novák"/>
    <x v="114"/>
    <s v="33123200-0"/>
    <s v="2.4.38."/>
    <n v="66000"/>
    <x v="3"/>
    <d v="2016-09-19T00:00:00"/>
    <d v="2016-09-30T00:00:00"/>
    <s v="BTL zdrav. technika a.s."/>
    <n v="97775"/>
    <n v="118307.75"/>
    <x v="1"/>
  </r>
  <r>
    <s v="VZ-2016-000500"/>
    <s v="ZT"/>
    <s v="Novák"/>
    <x v="284"/>
    <s v="33168100-6"/>
    <s v="2.3.164."/>
    <n v="700000"/>
    <x v="3"/>
    <d v="2016-09-19T00:00:00"/>
    <d v="2016-09-30T00:00:00"/>
    <s v="Olympus Czcech Group s.r.o."/>
    <n v="741680"/>
    <n v="897432.8"/>
    <x v="97"/>
  </r>
  <r>
    <s v="VZ-2016-000514"/>
    <s v="OSB "/>
    <s v="Vaida"/>
    <x v="285"/>
    <s v="45215100-8"/>
    <m/>
    <n v="1425000"/>
    <x v="3"/>
    <d v="2016-09-23T00:00:00"/>
    <d v="2016-10-03T00:00:00"/>
    <s v="OHL ŽS a.s."/>
    <n v="1473307"/>
    <n v="1782701.47"/>
    <x v="65"/>
  </r>
  <r>
    <s v="VZ-2016-000515"/>
    <s v="INV"/>
    <s v="Kvapil"/>
    <x v="286"/>
    <s v="71251000-2"/>
    <s v="1.2.46."/>
    <n v="330000"/>
    <x v="3"/>
    <d v="2016-09-20T00:00:00"/>
    <d v="2016-09-27T00:00:00"/>
    <s v="LT Projekt a.s."/>
    <n v="350000"/>
    <n v="423500"/>
    <x v="86"/>
  </r>
  <r>
    <s v="VZ-2016-000520"/>
    <s v="ZT"/>
    <s v="Novák"/>
    <x v="287"/>
    <s v="38000000-5"/>
    <s v="3.2.5."/>
    <n v="565000"/>
    <x v="3"/>
    <d v="2016-09-29T00:00:00"/>
    <d v="2016-10-11T00:00:00"/>
    <s v="MEDESA s.r.o."/>
    <n v="408800"/>
    <n v="494648"/>
    <x v="16"/>
  </r>
  <r>
    <s v="VZ-2016-000521"/>
    <s v="ZT"/>
    <s v="Novák"/>
    <x v="288"/>
    <s v="33124100-6"/>
    <s v="2.2.62.; 2.3.163."/>
    <n v="600000"/>
    <x v="3"/>
    <d v="2016-09-29T00:00:00"/>
    <d v="2016-10-12T00:00:00"/>
    <s v="Medinet s.r.o."/>
    <n v="602675"/>
    <n v="729236.75"/>
    <x v="99"/>
  </r>
  <r>
    <s v="VZ-2016-000522"/>
    <s v="ZT"/>
    <s v="Novák"/>
    <x v="289"/>
    <s v="33182000-9"/>
    <s v="2.3.166."/>
    <n v="700000"/>
    <x v="3"/>
    <d v="2016-09-29T00:00:00"/>
    <d v="2016-10-05T00:00:00"/>
    <s v="Teleflex Medical s.r.o."/>
    <n v="610743.80000000005"/>
    <n v="739000"/>
    <x v="100"/>
  </r>
  <r>
    <s v="VZ-2016-000528"/>
    <s v="ENERG"/>
    <s v="Eyer"/>
    <x v="290"/>
    <s v="45331000-6"/>
    <s v="4.1.25."/>
    <n v="360000"/>
    <x v="3"/>
    <d v="2016-09-27T00:00:00"/>
    <d v="2016-10-05T00:00:00"/>
    <s v="ECOONE CZECH s.r.o."/>
    <n v="363636.36"/>
    <n v="440000"/>
    <x v="101"/>
  </r>
  <r>
    <s v="VZ-2016-000531"/>
    <s v="OU"/>
    <s v="Nerudová"/>
    <x v="291"/>
    <s v="39150000-5"/>
    <s v="1.2.32."/>
    <n v="1150000"/>
    <x v="0"/>
    <d v="2016-09-27T00:00:00"/>
    <d v="2016-10-14T00:00:00"/>
    <s v="Basco SK s.r.o."/>
    <n v="891000.01"/>
    <n v="1078110.01"/>
    <x v="76"/>
  </r>
  <r>
    <s v="VZ-2016-000536"/>
    <s v="ZT"/>
    <s v="Novák"/>
    <x v="292"/>
    <s v="33169100-3"/>
    <m/>
    <n v="2065000"/>
    <x v="0"/>
    <d v="2016-09-27T00:00:00"/>
    <d v="2016-10-21T00:00:00"/>
    <s v="Beneficium Euro Ltd s.r.o."/>
    <n v="601100"/>
    <n v="727331"/>
    <x v="96"/>
  </r>
  <r>
    <s v="VZ-2016-000537"/>
    <s v="ZT"/>
    <s v="Novák"/>
    <x v="293"/>
    <s v="33125000-2"/>
    <s v="2.3.173."/>
    <n v="620000"/>
    <x v="3"/>
    <d v="2016-10-05T00:00:00"/>
    <d v="2016-10-17T00:00:00"/>
    <s v="Medkonsult s.r.o."/>
    <n v="622529"/>
    <n v="753260.09"/>
    <x v="102"/>
  </r>
  <r>
    <s v="VZ-2016-000539"/>
    <s v="METR."/>
    <s v="Filip"/>
    <x v="294"/>
    <s v="50411000-9"/>
    <m/>
    <n v="1200000"/>
    <x v="0"/>
    <d v="2016-09-30T00:00:00"/>
    <d v="2016-10-17T00:00:00"/>
    <s v="Kalist AKL s.r.o."/>
    <n v="532420"/>
    <n v="644228.19999999995"/>
    <x v="103"/>
  </r>
  <r>
    <s v="VZ-2016-000539"/>
    <s v="METR."/>
    <s v="Filip"/>
    <x v="295"/>
    <s v="50411000-9"/>
    <m/>
    <n v="2000000"/>
    <x v="0"/>
    <d v="2016-09-30T00:00:00"/>
    <d v="2016-10-17T00:00:00"/>
    <s v="Kalist AKL s.r.o."/>
    <n v="1605170"/>
    <n v="1942255.7"/>
    <x v="103"/>
  </r>
  <r>
    <s v="VZ-2016-000541"/>
    <s v="ZT"/>
    <s v="Novák"/>
    <x v="204"/>
    <s v="33168100-6"/>
    <s v="2.3.176."/>
    <n v="370000"/>
    <x v="3"/>
    <d v="2016-10-05T00:00:00"/>
    <d v="2016-10-17T00:00:00"/>
    <s v="Olympus Czcech Group s.r.o."/>
    <n v="406280"/>
    <n v="491598.8"/>
    <x v="100"/>
  </r>
  <r>
    <s v="VZ-2016-000544"/>
    <s v="ZT"/>
    <s v="Novák"/>
    <x v="296"/>
    <s v="33168100-6"/>
    <s v="2.3.168.; 2.3.170."/>
    <n v="225000"/>
    <x v="3"/>
    <d v="2016-10-05T00:00:00"/>
    <d v="2016-10-17T00:00:00"/>
    <s v="Olympus Czcech Group s.r.o."/>
    <n v="302609"/>
    <n v="366156.89"/>
    <x v="100"/>
  </r>
  <r>
    <s v="VZ-2016-000550"/>
    <s v="VYHRAZ"/>
    <s v="Srovnal"/>
    <x v="297"/>
    <s v="50532000-3"/>
    <m/>
    <n v="1650000"/>
    <x v="3"/>
    <d v="2016-11-18T00:00:00"/>
    <d v="2016-11-30T00:00:00"/>
    <s v="ELMAR group s.r.o."/>
    <n v="657320"/>
    <n v="795357.2"/>
    <x v="104"/>
  </r>
  <r>
    <s v="VZ-2016-000554"/>
    <s v="ZT"/>
    <s v="Novák"/>
    <x v="298"/>
    <s v="39162200-7"/>
    <s v="2.2.60."/>
    <n v="3390000"/>
    <x v="0"/>
    <d v="2016-11-08T00:00:00"/>
    <d v="2016-11-25T00:00:00"/>
    <s v="S + T Plus s.r.o."/>
    <n v="3379830"/>
    <n v="4089594.3"/>
    <x v="105"/>
  </r>
  <r>
    <s v="VZ-2016-000560"/>
    <s v="PERS."/>
    <s v="Odehnalová"/>
    <x v="299"/>
    <s v="55110000-4"/>
    <m/>
    <n v="400000"/>
    <x v="3"/>
    <d v="2016-10-19T00:00:00"/>
    <d v="2016-10-24T00:00:00"/>
    <s v="SNĚŽNÍK, a.s."/>
    <n v="328206.61157024791"/>
    <n v="397130"/>
    <x v="80"/>
  </r>
  <r>
    <s v="VZ-2016-000566"/>
    <s v="ZT"/>
    <s v="Novák"/>
    <x v="300"/>
    <s v="33192410-9"/>
    <s v="2.3.179."/>
    <n v="745000"/>
    <x v="3"/>
    <d v="2016-10-19T00:00:00"/>
    <d v="2016-11-04T00:00:00"/>
    <s v="Spofadental s.r.o."/>
    <n v="879727.99999999988"/>
    <n v="1064470.8799999999"/>
    <x v="103"/>
  </r>
  <r>
    <s v="VZ-2016-000568"/>
    <s v="ZT"/>
    <s v="Novák"/>
    <x v="301"/>
    <s v="33162100-4"/>
    <s v="2.2.27."/>
    <n v="660000"/>
    <x v="3"/>
    <d v="2016-10-19T00:00:00"/>
    <d v="2016-10-31T00:00:00"/>
    <s v="Medtronic Czechia s.r.o."/>
    <n v="707188.58"/>
    <n v="855698.18"/>
    <x v="104"/>
  </r>
  <r>
    <s v="VZ-2016-000591"/>
    <s v="LÉK"/>
    <s v="Ondráčková"/>
    <x v="302"/>
    <s v="33616000-1"/>
    <m/>
    <n v="231200"/>
    <x v="3"/>
    <d v="2016-10-27T00:00:00"/>
    <d v="2016-11-02T00:00:00"/>
    <s v="Green Swan Pharmaceuticals"/>
    <n v="224034.71074380167"/>
    <n v="271082"/>
    <x v="106"/>
  </r>
  <r>
    <s v="VZ-2016-000596"/>
    <s v="OSB "/>
    <s v="Vaida"/>
    <x v="303"/>
    <s v="45454100-5"/>
    <s v="4.1.11."/>
    <n v="300000"/>
    <x v="3"/>
    <d v="2016-11-07T00:00:00"/>
    <d v="2016-11-14T00:00:00"/>
    <s v="OHL ŽS a.s."/>
    <n v="399556.53"/>
    <n v="483463.40130000003"/>
    <x v="90"/>
  </r>
  <r>
    <s v="VZ-2016-000602"/>
    <s v="EKOL"/>
    <s v="Dudík"/>
    <x v="304"/>
    <s v="90524400-0"/>
    <m/>
    <n v="13145000"/>
    <x v="1"/>
    <m/>
    <m/>
    <m/>
    <m/>
    <m/>
    <x v="1"/>
  </r>
  <r>
    <s v="VZ-2016-000603"/>
    <s v="KVAL"/>
    <s v="Cáhliková"/>
    <x v="305"/>
    <s v="79212110-7"/>
    <m/>
    <n v="150000"/>
    <x v="3"/>
    <d v="2016-11-11T00:00:00"/>
    <d v="2016-11-21T00:00:00"/>
    <s v="DNV GL Business Assurance…"/>
    <n v="69316"/>
    <n v="83872.36"/>
    <x v="1"/>
  </r>
  <r>
    <s v="VZ-2016-000604"/>
    <s v="LÉK"/>
    <s v="Ondráčková"/>
    <x v="306"/>
    <s v="33651100-9"/>
    <m/>
    <n v="373380.28"/>
    <x v="1"/>
    <d v="2016-12-07T00:00:00"/>
    <d v="2017-01-24T00:00:00"/>
    <m/>
    <m/>
    <m/>
    <x v="1"/>
  </r>
  <r>
    <s v="VZ-2016-000604"/>
    <s v="LÉK"/>
    <s v="Ondráčková"/>
    <x v="307"/>
    <s v="33651100-9"/>
    <m/>
    <n v="1063557.69"/>
    <x v="1"/>
    <d v="2016-12-07T00:00:00"/>
    <d v="2017-01-24T00:00:00"/>
    <m/>
    <m/>
    <m/>
    <x v="1"/>
  </r>
  <r>
    <s v="VZ-2016-000604"/>
    <s v="LÉK"/>
    <s v="Ondráčková"/>
    <x v="308"/>
    <s v="33651100-9"/>
    <m/>
    <n v="3978.41"/>
    <x v="1"/>
    <d v="2016-12-07T00:00:00"/>
    <d v="2017-01-24T00:00:00"/>
    <m/>
    <m/>
    <m/>
    <x v="1"/>
  </r>
  <r>
    <s v="VZ-2016-000604"/>
    <s v="LÉK"/>
    <s v="Ondráčková"/>
    <x v="309"/>
    <s v="33651100-9"/>
    <m/>
    <n v="516774"/>
    <x v="1"/>
    <d v="2016-12-07T00:00:00"/>
    <d v="2017-01-24T00:00:00"/>
    <m/>
    <m/>
    <m/>
    <x v="1"/>
  </r>
  <r>
    <s v="VZ-2016-000604"/>
    <s v="LÉK"/>
    <s v="Ondráčková"/>
    <x v="310"/>
    <s v="33651100-9"/>
    <m/>
    <n v="4647513.84"/>
    <x v="1"/>
    <d v="2016-12-07T00:00:00"/>
    <d v="2017-01-24T00:00:00"/>
    <m/>
    <m/>
    <m/>
    <x v="1"/>
  </r>
  <r>
    <s v="VZ-2016-000604"/>
    <s v="LÉK"/>
    <s v="Ondráčková"/>
    <x v="311"/>
    <s v="33651100-9"/>
    <m/>
    <n v="744531.52"/>
    <x v="1"/>
    <d v="2016-12-07T00:00:00"/>
    <d v="2017-01-24T00:00:00"/>
    <m/>
    <m/>
    <m/>
    <x v="1"/>
  </r>
  <r>
    <s v="VZ-2016-000604"/>
    <s v="LÉK"/>
    <s v="Ondráčková"/>
    <x v="312"/>
    <s v="33651100-9"/>
    <m/>
    <n v="554887.48"/>
    <x v="1"/>
    <d v="2016-12-07T00:00:00"/>
    <d v="2017-01-24T00:00:00"/>
    <m/>
    <m/>
    <m/>
    <x v="1"/>
  </r>
  <r>
    <s v="VZ-2016-000606"/>
    <s v="PROVOZ"/>
    <s v="Hýža"/>
    <x v="313"/>
    <s v="39312000-2"/>
    <s v="4.1.6."/>
    <n v="1170000"/>
    <x v="3"/>
    <d v="2016-11-16T00:00:00"/>
    <d v="2016-11-28T00:00:00"/>
    <s v="Gastro Mach s.r.o."/>
    <n v="797517.16"/>
    <n v="964996.16"/>
    <x v="107"/>
  </r>
  <r>
    <s v="VZ-2016-000619"/>
    <s v="PRÁD"/>
    <s v="Švrdlíková"/>
    <x v="314"/>
    <s v="39831000-6"/>
    <m/>
    <n v="1869600"/>
    <x v="5"/>
    <d v="2016-12-12T00:00:00"/>
    <d v="2016-12-21T00:00:00"/>
    <s v="Christeyns s.r.o."/>
    <n v="1846800"/>
    <n v="2234628"/>
    <x v="1"/>
  </r>
  <r>
    <s v="VZ-2016-000624"/>
    <s v="INV"/>
    <s v="Kvapil"/>
    <x v="315"/>
    <s v="45215100-8 "/>
    <s v="1.3.7."/>
    <n v="16520000"/>
    <x v="1"/>
    <d v="2016-12-12T00:00:00"/>
    <d v="2017-01-05T00:00:00"/>
    <m/>
    <m/>
    <m/>
    <x v="1"/>
  </r>
  <r>
    <s v="VZ-2016-000632"/>
    <s v="DOPR"/>
    <s v="Solovský"/>
    <x v="316"/>
    <s v="34351100-3"/>
    <m/>
    <n v="460000"/>
    <x v="3"/>
    <d v="2016-12-01T00:00:00"/>
    <d v="2016-12-21T00:00:00"/>
    <s v="Pneucentrum N&amp;N s.r.o."/>
    <n v="466400"/>
    <n v="564344"/>
    <x v="1"/>
  </r>
  <r>
    <s v="VZ-2016-000639"/>
    <s v="INF"/>
    <s v="Oravec"/>
    <x v="317"/>
    <s v="32428000-9"/>
    <s v="3.2.3."/>
    <n v="2430000"/>
    <x v="0"/>
    <d v="2016-12-15T00:00:00"/>
    <d v="2017-01-13T00:00:00"/>
    <m/>
    <m/>
    <m/>
    <x v="1"/>
  </r>
  <r>
    <s v="VZ-2016-000640"/>
    <s v="OSB "/>
    <s v="Vaida"/>
    <x v="318"/>
    <s v="45454100-5"/>
    <s v="4.1.9."/>
    <n v="700000"/>
    <x v="3"/>
    <d v="2016-12-02T00:00:00"/>
    <d v="2016-12-12T00:00:00"/>
    <s v="Stavitelství Pospíšil s.r.o."/>
    <n v="886690.88"/>
    <n v="1072895.9648"/>
    <x v="1"/>
  </r>
  <r>
    <s v="VZ-2016-000643"/>
    <s v="ZT"/>
    <s v="Novák"/>
    <x v="319"/>
    <s v="33168000-5"/>
    <s v="2.2.36."/>
    <n v="2750000"/>
    <x v="0"/>
    <d v="2016-12-02T00:00:00"/>
    <d v="2017-01-04T00:00:00"/>
    <s v="zrušeno"/>
    <m/>
    <m/>
    <x v="1"/>
  </r>
  <r>
    <s v="VZ-2016-000650"/>
    <s v="SERV"/>
    <s v="Zemánek"/>
    <x v="320"/>
    <s v="50421200-4"/>
    <m/>
    <n v="1900000"/>
    <x v="3"/>
    <d v="2016-12-19T00:00:00"/>
    <d v="2017-01-05T00:00:00"/>
    <m/>
    <m/>
    <m/>
    <x v="1"/>
  </r>
  <r>
    <s v="VZ-2016-000652"/>
    <s v="ZT"/>
    <s v="Čech"/>
    <x v="321"/>
    <s v="38432210-7"/>
    <s v="2.3.122."/>
    <n v="3120000"/>
    <x v="0"/>
    <d v="2016-12-07T00:00:00"/>
    <d v="2017-01-04T00:00:00"/>
    <m/>
    <m/>
    <m/>
    <x v="1"/>
  </r>
  <r>
    <s v="VZ-2016-000656"/>
    <s v="INV"/>
    <s v="Kvapil"/>
    <x v="322"/>
    <s v="45314300-4"/>
    <m/>
    <n v="265000"/>
    <x v="3"/>
    <d v="2016-12-09T00:00:00"/>
    <d v="2016-12-16T00:00:00"/>
    <s v="SITEL spol. s r.o."/>
    <n v="218348"/>
    <n v="264201.08"/>
    <x v="1"/>
  </r>
  <r>
    <s v="VZ-2016-000657"/>
    <s v="SERV"/>
    <s v="Zemánek"/>
    <x v="323"/>
    <s v="50421000-2"/>
    <m/>
    <n v="1100000"/>
    <x v="3"/>
    <d v="2016-12-19T00:00:00"/>
    <d v="2017-01-05T00:00:00"/>
    <m/>
    <m/>
    <m/>
    <x v="1"/>
  </r>
  <r>
    <s v="VZ-2016-000662"/>
    <s v="SERV"/>
    <s v="Zemánek"/>
    <x v="324"/>
    <s v="50421000-2"/>
    <m/>
    <n v="1000000"/>
    <x v="3"/>
    <d v="2016-12-19T00:00:00"/>
    <d v="2017-01-05T00:00:00"/>
    <m/>
    <m/>
    <m/>
    <x v="1"/>
  </r>
  <r>
    <s v="VZ-2016-000670"/>
    <s v="INV"/>
    <s v="Kvapil"/>
    <x v="325"/>
    <s v="71251000-2"/>
    <m/>
    <n v="412000"/>
    <x v="3"/>
    <d v="2016-12-09T00:00:00"/>
    <d v="2016-12-21T00:00:00"/>
    <s v="MAVA spol. s r.o."/>
    <n v="748000"/>
    <n v="905080"/>
    <x v="1"/>
  </r>
  <r>
    <s v="VZ-2016-000672"/>
    <s v="LÉK"/>
    <s v="Ondráčková"/>
    <x v="326"/>
    <s v="33651100-9"/>
    <m/>
    <n v="3364107.4"/>
    <x v="1"/>
    <d v="2016-12-15T00:00:00"/>
    <d v="2017-01-24T00:00:00"/>
    <m/>
    <m/>
    <m/>
    <x v="1"/>
  </r>
  <r>
    <s v="VZ-2016-000672"/>
    <s v="LÉK"/>
    <s v="Ondráčková"/>
    <x v="327"/>
    <s v="33651100-9"/>
    <m/>
    <n v="106063.81"/>
    <x v="1"/>
    <d v="2016-12-15T00:00:00"/>
    <d v="2017-01-24T00:00:00"/>
    <m/>
    <m/>
    <m/>
    <x v="1"/>
  </r>
  <r>
    <s v="VZ-2016-000672"/>
    <s v="LÉK"/>
    <s v="Ondráčková"/>
    <x v="328"/>
    <s v="33651100-9"/>
    <m/>
    <n v="404252.15999999997"/>
    <x v="1"/>
    <d v="2016-12-15T00:00:00"/>
    <d v="2017-01-24T00:00:00"/>
    <m/>
    <m/>
    <m/>
    <x v="1"/>
  </r>
  <r>
    <s v="VZ-2016-000674"/>
    <s v="ZT"/>
    <s v="Novák"/>
    <x v="329"/>
    <s v="33194210-1"/>
    <s v="2.4.40."/>
    <n v="470000"/>
    <x v="3"/>
    <m/>
    <m/>
    <m/>
    <m/>
    <m/>
    <x v="1"/>
  </r>
  <r>
    <s v="VZ-2016-000675"/>
    <s v="ZT"/>
    <s v="Novák"/>
    <x v="330"/>
    <s v="42513000-5 "/>
    <s v="2.4.33.;2.4.34.;2.4.35.; 2.4.37."/>
    <n v="810000"/>
    <x v="3"/>
    <m/>
    <m/>
    <m/>
    <m/>
    <m/>
    <x v="1"/>
  </r>
  <r>
    <s v="VZ-2016-000682"/>
    <s v="LÉK"/>
    <s v="Ondráčková"/>
    <x v="331"/>
    <s v="33652000-5"/>
    <m/>
    <n v="1014308.37"/>
    <x v="1"/>
    <m/>
    <m/>
    <m/>
    <m/>
    <m/>
    <x v="1"/>
  </r>
  <r>
    <s v="VZ-2016-000682"/>
    <s v="LÉK"/>
    <s v="Ondráčková"/>
    <x v="332"/>
    <s v="33652000-5"/>
    <m/>
    <n v="23541274.949999999"/>
    <x v="1"/>
    <m/>
    <m/>
    <m/>
    <m/>
    <m/>
    <x v="1"/>
  </r>
  <r>
    <s v="VZ-2016-000682"/>
    <s v="LÉK"/>
    <s v="Ondráčková"/>
    <x v="333"/>
    <s v="33652000-5"/>
    <m/>
    <n v="29322213.719999999"/>
    <x v="1"/>
    <m/>
    <m/>
    <m/>
    <m/>
    <m/>
    <x v="1"/>
  </r>
  <r>
    <s v="VZ-2016-000682"/>
    <s v="LÉK"/>
    <s v="Ondráčková"/>
    <x v="334"/>
    <s v="33652000-5"/>
    <m/>
    <n v="4851018.4800000004"/>
    <x v="1"/>
    <m/>
    <m/>
    <m/>
    <m/>
    <m/>
    <x v="1"/>
  </r>
  <r>
    <s v="VZ-2016-000682"/>
    <s v="LÉK"/>
    <s v="Ondráčková"/>
    <x v="335"/>
    <s v="33652000-5"/>
    <m/>
    <n v="1816885.87"/>
    <x v="1"/>
    <m/>
    <m/>
    <m/>
    <m/>
    <m/>
    <x v="1"/>
  </r>
  <r>
    <s v="VZ-2016-000683"/>
    <s v="LÉK"/>
    <s v="Ondráčková"/>
    <x v="336"/>
    <s v="33696800-3"/>
    <m/>
    <n v="1012770"/>
    <x v="1"/>
    <m/>
    <m/>
    <m/>
    <m/>
    <m/>
    <x v="1"/>
  </r>
  <r>
    <s v="VZ-2016-000683"/>
    <s v="LÉK"/>
    <s v="Ondráčková"/>
    <x v="337"/>
    <s v="33696800-3"/>
    <m/>
    <n v="533439.48"/>
    <x v="1"/>
    <m/>
    <m/>
    <m/>
    <m/>
    <m/>
    <x v="1"/>
  </r>
  <r>
    <s v="VZ-2016-000683"/>
    <s v="LÉK"/>
    <s v="Ondráčková"/>
    <x v="338"/>
    <s v="33696800-3"/>
    <m/>
    <n v="1066643.1000000001"/>
    <x v="1"/>
    <m/>
    <m/>
    <m/>
    <m/>
    <m/>
    <x v="1"/>
  </r>
  <r>
    <s v="VZ-2016-000684"/>
    <s v="LÉK"/>
    <s v="Ondráčková"/>
    <x v="339"/>
    <s v="33696800-3"/>
    <m/>
    <n v="34749"/>
    <x v="1"/>
    <m/>
    <m/>
    <m/>
    <m/>
    <m/>
    <x v="1"/>
  </r>
  <r>
    <s v="VZ-2016-000684"/>
    <s v="LÉK"/>
    <s v="Ondráčková"/>
    <x v="340"/>
    <s v="33696800-3"/>
    <m/>
    <n v="1299825"/>
    <x v="1"/>
    <m/>
    <m/>
    <m/>
    <m/>
    <m/>
    <x v="1"/>
  </r>
  <r>
    <s v="VZ-2016-000684"/>
    <s v="LÉK"/>
    <s v="Ondráčková"/>
    <x v="341"/>
    <s v="33696800-3"/>
    <m/>
    <n v="4616020"/>
    <x v="1"/>
    <m/>
    <m/>
    <m/>
    <m/>
    <m/>
    <x v="1"/>
  </r>
  <r>
    <s v="VZ-2016-000685"/>
    <s v="ZT"/>
    <s v="Novák"/>
    <x v="342"/>
    <s v="33182100-0"/>
    <s v="2.2.63."/>
    <n v="330000"/>
    <x v="3"/>
    <d v="2016-12-22T00:00:00"/>
    <d v="2017-01-10T00:00:00"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  <r>
    <m/>
    <m/>
    <m/>
    <x v="343"/>
    <m/>
    <m/>
    <m/>
    <x v="8"/>
    <m/>
    <m/>
    <m/>
    <m/>
    <m/>
    <x v="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">
  <r>
    <s v="INF"/>
    <s v="Oravec"/>
    <s v="VZ-2014-000036"/>
    <x v="0"/>
    <s v="48814000-7 "/>
    <s v="1.3.2."/>
    <n v="1900000"/>
    <x v="0"/>
    <d v="2014-12-11T00:00:00"/>
    <d v="2015-01-14T00:00:00"/>
    <s v="Stapro s.r.o."/>
    <n v="1205000"/>
    <n v="1458050"/>
    <x v="0"/>
    <d v="2015-05-28T00:00:00"/>
  </r>
  <r>
    <s v="INF"/>
    <s v="Oravec"/>
    <s v="VZ-2015-000015"/>
    <x v="1"/>
    <s v="30121000-3 "/>
    <s v="1.3.5."/>
    <n v="505000"/>
    <x v="1"/>
    <d v="2015-01-22T00:00:00"/>
    <d v="2015-02-17T00:00:00"/>
    <s v="Autocont CZ a.s."/>
    <n v="506000"/>
    <n v="612260"/>
    <x v="1"/>
    <d v="2015-05-04T00:00:00"/>
  </r>
  <r>
    <s v="INF"/>
    <s v="Oravec"/>
    <s v="VZ-2015-000018"/>
    <x v="2"/>
    <s v="30231310-3"/>
    <m/>
    <n v="694215"/>
    <x v="1"/>
    <d v="2015-01-29T00:00:00"/>
    <d v="2015-02-24T00:00:00"/>
    <s v="Notes CS a.s."/>
    <n v="789680"/>
    <n v="955512.8"/>
    <x v="2"/>
    <d v="2015-04-08T00:00:00"/>
  </r>
  <r>
    <s v="INF"/>
    <s v="Oravec"/>
    <s v="VZ-2015-000024"/>
    <x v="3"/>
    <s v="30232100-5"/>
    <m/>
    <n v="74380"/>
    <x v="1"/>
    <d v="2015-01-29T00:00:00"/>
    <d v="2015-02-24T00:00:00"/>
    <s v="C SYSTEM CZ a.s."/>
    <n v="74774.21487603306"/>
    <n v="90476.800000000003"/>
    <x v="3"/>
    <d v="2015-03-26T00:00:00"/>
  </r>
  <r>
    <s v="INF"/>
    <s v="Oravec"/>
    <s v="VZ-2015-000059"/>
    <x v="4"/>
    <s v="30213100-6"/>
    <m/>
    <n v="250413"/>
    <x v="1"/>
    <d v="2015-02-18T00:00:00"/>
    <d v="2015-03-19T00:00:00"/>
    <s v="Autocont CZ a.s."/>
    <n v="248504.13223140495"/>
    <n v="300690"/>
    <x v="4"/>
    <d v="2015-05-06T00:00:00"/>
  </r>
  <r>
    <s v="INF"/>
    <s v="Oravec"/>
    <s v="VZ-2015-000081"/>
    <x v="5"/>
    <s v="30232100-5"/>
    <m/>
    <n v="5720000"/>
    <x v="1"/>
    <d v="2015-03-03T00:00:00"/>
    <d v="2015-03-27T00:00:00"/>
    <s v="Caleum a.s."/>
    <n v="5623000"/>
    <n v="6803830"/>
    <x v="5"/>
    <d v="2015-05-11T00:00:00"/>
  </r>
  <r>
    <s v="INF"/>
    <s v="Oravec"/>
    <s v="VZ-2015-000160"/>
    <x v="6"/>
    <n v="325521101"/>
    <m/>
    <n v="890000"/>
    <x v="2"/>
    <d v="2015-04-28T00:00:00"/>
    <d v="2015-05-12T00:00:00"/>
    <s v="ERISERV spol. s r.o."/>
    <n v="863810"/>
    <n v="1045210.1"/>
    <x v="6"/>
    <d v="2015-05-28T00:00:00"/>
  </r>
  <r>
    <s v="INF"/>
    <s v="Oravec"/>
    <s v="VZ-2015-000229"/>
    <x v="7"/>
    <s v="72313000-2"/>
    <m/>
    <n v="785000"/>
    <x v="0"/>
    <d v="2015-05-28T00:00:00"/>
    <d v="2015-06-04T00:00:00"/>
    <s v="zrušeno - bez nabídky"/>
    <m/>
    <m/>
    <x v="7"/>
    <m/>
  </r>
  <r>
    <s v="INF"/>
    <s v="Oravec"/>
    <s v="VZ-2015-000229"/>
    <x v="7"/>
    <s v="72313000-2"/>
    <m/>
    <n v="785000"/>
    <x v="0"/>
    <d v="2015-06-08T00:00:00"/>
    <d v="2015-06-16T00:00:00"/>
    <s v="MERIT GROUP a.s."/>
    <n v="719957"/>
    <n v="871147.97"/>
    <x v="8"/>
    <d v="2015-07-14T00:00:00"/>
  </r>
  <r>
    <s v="INF"/>
    <s v="Oravec"/>
    <s v="VZ-2015-000318"/>
    <x v="8"/>
    <s v="30232100-5"/>
    <m/>
    <n v="210000"/>
    <x v="1"/>
    <d v="2015-06-25T00:00:00"/>
    <d v="2015-08-10T00:00:00"/>
    <s v="Autocont CZ a.s."/>
    <n v="182171"/>
    <n v="220426.91"/>
    <x v="9"/>
    <d v="2015-09-04T00:00:00"/>
  </r>
  <r>
    <s v="INF"/>
    <s v="Oravec"/>
    <s v="VZ-2015-000327"/>
    <x v="9"/>
    <s v="48814000-7 "/>
    <s v="1.4.7."/>
    <n v="1240000"/>
    <x v="3"/>
    <d v="2015-07-10T00:00:00"/>
    <d v="2015-07-28T00:00:00"/>
    <s v="zrušeno"/>
    <m/>
    <m/>
    <x v="7"/>
    <m/>
  </r>
  <r>
    <s v="INF"/>
    <s v="Oravec"/>
    <s v="VZ-2015-000405"/>
    <x v="10"/>
    <s v="48219300-9"/>
    <s v="1.4.7"/>
    <n v="580000"/>
    <x v="0"/>
    <d v="2015-09-02T00:00:00"/>
    <d v="2015-09-15T00:00:00"/>
    <s v="MERIT GROUP a.s."/>
    <n v="233496.69421487604"/>
    <n v="282531"/>
    <x v="10"/>
    <d v="2015-10-21T00:00:00"/>
  </r>
  <r>
    <s v="INF"/>
    <s v="Gartner"/>
    <s v="VZ-2015-000471"/>
    <x v="11"/>
    <s v="79417000-0"/>
    <m/>
    <n v="415000"/>
    <x v="0"/>
    <d v="2015-10-21T00:00:00"/>
    <d v="2015-11-05T00:00:00"/>
    <s v="RELSIE s.r.o."/>
    <n v="80000"/>
    <n v="96800"/>
    <x v="11"/>
    <s v="xxx"/>
  </r>
  <r>
    <s v="INF"/>
    <s v="Oravec"/>
    <s v="VZ-2015-000491"/>
    <x v="12"/>
    <s v="32423000-4"/>
    <m/>
    <n v="1965000"/>
    <x v="0"/>
    <d v="2015-10-19T00:00:00"/>
    <d v="2015-11-02T00:00:00"/>
    <s v="MERIT GROUP a.s."/>
    <n v="1797951.2396694215"/>
    <n v="2175521"/>
    <x v="12"/>
    <d v="2015-11-26T00:00:00"/>
  </r>
  <r>
    <s v="INF"/>
    <s v="Oravec"/>
    <s v="VZ-2015-000477"/>
    <x v="13"/>
    <s v="72611000-6"/>
    <m/>
    <n v="2200000"/>
    <x v="0"/>
    <d v="2015-10-13T00:00:00"/>
    <d v="2015-10-21T00:00:00"/>
    <s v="Microshop s.r.o."/>
    <n v="1210000"/>
    <n v="1464100"/>
    <x v="13"/>
    <d v="2015-11-27T00:00:00"/>
  </r>
  <r>
    <s v="INF"/>
    <s v="Oravec"/>
    <s v="VZ-2015-000483"/>
    <x v="14"/>
    <s v="32552310-3               45314310-7"/>
    <s v="2016"/>
    <n v="8265000"/>
    <x v="4"/>
    <m/>
    <m/>
    <m/>
    <m/>
    <m/>
    <x v="7"/>
    <m/>
  </r>
  <r>
    <s v="INF"/>
    <s v="Oravec"/>
    <s v="VZ-2015-000517"/>
    <x v="15"/>
    <s v="30232100-5"/>
    <s v="1.3.5."/>
    <n v="124000"/>
    <x v="1"/>
    <d v="2015-11-23T00:00:00"/>
    <d v="2015-12-01T00:00:00"/>
    <s v="C SYSTEM CZ a.s."/>
    <n v="114900"/>
    <n v="139029"/>
    <x v="14"/>
    <d v="2015-12-21T00:00:00"/>
  </r>
  <r>
    <s v="INF"/>
    <s v="Oravec"/>
    <s v="VZ-2015-000519"/>
    <x v="16"/>
    <s v="30233141-1"/>
    <s v="1.4.3."/>
    <n v="1970000"/>
    <x v="1"/>
    <d v="2015-11-20T00:00:00"/>
    <d v="2015-12-01T00:00:00"/>
    <s v="Notes CS a.s."/>
    <n v="1959575.21"/>
    <n v="2371086"/>
    <x v="15"/>
    <d v="2016-01-06T00:00:00"/>
  </r>
  <r>
    <s v="INF"/>
    <s v="Oravec"/>
    <s v="VZ-2015-000520"/>
    <x v="17"/>
    <s v="48823000-3"/>
    <s v="1.4.2.,1.4.4."/>
    <n v="1985000"/>
    <x v="1"/>
    <d v="2015-11-20T00:00:00"/>
    <d v="2015-12-01T00:00:00"/>
    <s v="MERIT GROUP a.s."/>
    <n v="1959928"/>
    <n v="2371512.88"/>
    <x v="16"/>
    <d v="2015-12-28T00:00:00"/>
  </r>
  <r>
    <s v="INF"/>
    <s v="Oravec"/>
    <s v="VZ-2015-000523"/>
    <x v="18"/>
    <s v="30216130-6 "/>
    <m/>
    <n v="4700"/>
    <x v="1"/>
    <d v="2015-11-23T00:00:00"/>
    <d v="2015-12-01T00:00:00"/>
    <s v="zrušeno - bez nabídky"/>
    <m/>
    <m/>
    <x v="7"/>
    <m/>
  </r>
  <r>
    <m/>
    <m/>
    <m/>
    <x v="19"/>
    <m/>
    <m/>
    <m/>
    <x v="5"/>
    <m/>
    <m/>
    <m/>
    <m/>
    <m/>
    <x v="7"/>
    <m/>
  </r>
  <r>
    <s v="INV"/>
    <s v="Kvapil, Říha"/>
    <s v="VZ-2015-000055"/>
    <x v="20"/>
    <s v="45215100-8"/>
    <s v="1.1.3."/>
    <n v="25748000"/>
    <x v="4"/>
    <d v="2015-03-19T00:00:00"/>
    <d v="2015-05-05T00:00:00"/>
    <s v="OHL ŽS"/>
    <n v="16995707.43801653"/>
    <n v="20564806"/>
    <x v="17"/>
    <d v="2015-06-11T00:00:00"/>
  </r>
  <r>
    <s v="INV"/>
    <s v="Kvapil"/>
    <s v="VZ-2015-000155"/>
    <x v="21"/>
    <s v="71322000-1"/>
    <s v="1.1.7."/>
    <n v="450000"/>
    <x v="0"/>
    <d v="2015-04-24T00:00:00"/>
    <d v="2015-04-30T00:00:00"/>
    <s v="Ing. Luděk Vrba"/>
    <n v="288677.68595041323"/>
    <n v="349300"/>
    <x v="6"/>
    <s v="xxx"/>
  </r>
  <r>
    <s v="INV"/>
    <s v="Kvapil "/>
    <s v="VZ-2015-000296"/>
    <x v="22"/>
    <s v="71200000-0"/>
    <m/>
    <n v="420000"/>
    <x v="0"/>
    <d v="2015-06-16T00:00:00"/>
    <d v="2015-06-22T00:00:00"/>
    <s v="Adam Rujbr Architects"/>
    <n v="620000"/>
    <n v="750200"/>
    <x v="18"/>
    <d v="2015-07-27T00:00:00"/>
  </r>
  <r>
    <s v="INV"/>
    <s v="Kvapil"/>
    <s v="VZ-2015-000334"/>
    <x v="23"/>
    <s v="45215120-4    71320000-7   71250000-5"/>
    <m/>
    <n v="250000000"/>
    <x v="4"/>
    <m/>
    <m/>
    <s v=" zrušeno - MZ zdravotnictví nepovolilo metodu design and build"/>
    <m/>
    <m/>
    <x v="7"/>
    <m/>
  </r>
  <r>
    <s v="INV"/>
    <s v="Kvapil"/>
    <s v="VZ-2015-000376"/>
    <x v="24"/>
    <s v="45215100-8"/>
    <s v="1.1.2."/>
    <n v="19850000"/>
    <x v="4"/>
    <d v="2015-11-20T00:00:00"/>
    <d v="2015-12-21T00:00:00"/>
    <m/>
    <m/>
    <m/>
    <x v="7"/>
    <m/>
  </r>
  <r>
    <s v="INV"/>
    <s v="Kvapil"/>
    <s v="VZ-2015-000429"/>
    <x v="25"/>
    <s v="71000000-8"/>
    <s v="1.2.1"/>
    <n v="8000000"/>
    <x v="4"/>
    <d v="2015-11-05T00:00:00"/>
    <d v="2016-01-04T00:00:00"/>
    <m/>
    <m/>
    <m/>
    <x v="7"/>
    <m/>
  </r>
  <r>
    <s v="INV"/>
    <s v="Kvapil"/>
    <s v="VZ-2015-000566"/>
    <x v="26"/>
    <s v="45215100-8"/>
    <m/>
    <n v="609208"/>
    <x v="6"/>
    <d v="2015-11-02T00:00:00"/>
    <d v="2015-11-12T00:00:00"/>
    <s v="OHL ŽS"/>
    <n v="609208"/>
    <n v="737141.67999999993"/>
    <x v="12"/>
    <d v="2015-11-27T00:00:00"/>
  </r>
  <r>
    <s v="INV"/>
    <s v="Kvapil"/>
    <s v="VZ-2015-000588"/>
    <x v="27"/>
    <s v="45215100-8"/>
    <m/>
    <n v="1413212"/>
    <x v="6"/>
    <d v="2015-12-02T00:00:00"/>
    <d v="2015-12-02T00:00:00"/>
    <s v="OHL ŽS"/>
    <n v="1413212"/>
    <n v="1709986.52"/>
    <x v="19"/>
    <d v="2015-12-21T00:00:00"/>
  </r>
  <r>
    <m/>
    <m/>
    <m/>
    <x v="19"/>
    <m/>
    <m/>
    <m/>
    <x v="5"/>
    <m/>
    <m/>
    <m/>
    <m/>
    <m/>
    <x v="7"/>
    <m/>
  </r>
  <r>
    <s v="OHM"/>
    <s v="Gregor"/>
    <s v="VZ-2015-000164"/>
    <x v="28"/>
    <s v="50421200-4"/>
    <m/>
    <n v="36000000"/>
    <x v="4"/>
    <d v="2015-10-27T00:00:00"/>
    <d v="2015-12-22T00:00:00"/>
    <m/>
    <m/>
    <m/>
    <x v="7"/>
    <m/>
  </r>
  <r>
    <s v="OHM"/>
    <s v="Rozehnal"/>
    <s v="VZ-2015-000049"/>
    <x v="29"/>
    <s v="32570000-9"/>
    <s v="2.1.28."/>
    <n v="5845168"/>
    <x v="4"/>
    <d v="2015-04-21T00:00:00"/>
    <d v="2015-08-11T00:00:00"/>
    <s v="zrušeno"/>
    <m/>
    <m/>
    <x v="7"/>
    <d v="2015-08-21T00:00:00"/>
  </r>
  <r>
    <s v="OHM"/>
    <s v="Holibka"/>
    <s v="VZ-2015-000187"/>
    <x v="30"/>
    <s v="42416120-2"/>
    <s v="1.2.21."/>
    <n v="1950000"/>
    <x v="0"/>
    <d v="2015-05-12T00:00:00"/>
    <d v="2015-05-26T00:00:00"/>
    <s v="LIFTMONT CZ s.r.o."/>
    <n v="1587000"/>
    <n v="1920270"/>
    <x v="20"/>
    <d v="2015-06-18T00:00:00"/>
  </r>
  <r>
    <s v="OHM"/>
    <s v="Gregor, Srovnal"/>
    <s v="VZ-2015-000075 "/>
    <x v="31"/>
    <s v="39717200-3"/>
    <m/>
    <n v="1400000"/>
    <x v="2"/>
    <d v="2015-04-07T00:00:00"/>
    <s v=" 21.4.2015 "/>
    <s v="Thermo spol. s r.o."/>
    <n v="1138640"/>
    <n v="1377754.4"/>
    <x v="21"/>
    <d v="2015-05-18T00:00:00"/>
  </r>
  <r>
    <s v="OHM"/>
    <s v="Filip"/>
    <s v="VZ-2015-000088"/>
    <x v="32"/>
    <s v="50411000-9"/>
    <m/>
    <n v="1250000"/>
    <x v="0"/>
    <d v="2015-03-19T00:00:00"/>
    <d v="2015-03-27T00:00:00"/>
    <s v="KALIST"/>
    <n v="453320"/>
    <n v="548517.19999999995"/>
    <x v="22"/>
    <s v="xxx"/>
  </r>
  <r>
    <s v="OHM"/>
    <s v="Srovnal"/>
    <s v="VZ-2015-000319"/>
    <x v="33"/>
    <s v="42500000-1"/>
    <s v="1.1.3."/>
    <n v="1240000"/>
    <x v="0"/>
    <d v="2015-07-02T00:00:00"/>
    <d v="2015-07-21T00:00:00"/>
    <s v="Climart s.r.o."/>
    <n v="883102"/>
    <n v="1068553"/>
    <x v="23"/>
    <d v="2015-08-24T00:00:00"/>
  </r>
  <r>
    <s v="OHM"/>
    <s v="Srovnal"/>
    <s v="VZ-2015-000357"/>
    <x v="34"/>
    <s v="31700000-3"/>
    <m/>
    <n v="830000"/>
    <x v="0"/>
    <d v="2015-08-03T00:00:00"/>
    <d v="2015-08-14T00:00:00"/>
    <s v="Elmar Group s.r.o."/>
    <n v="648538"/>
    <n v="784731"/>
    <x v="24"/>
    <d v="2015-09-16T00:00:00"/>
  </r>
  <r>
    <s v="OHM"/>
    <s v="Filip"/>
    <s v="VZ-2015-000401"/>
    <x v="35"/>
    <s v="50411000-9"/>
    <m/>
    <n v="1900000"/>
    <x v="3"/>
    <d v="2015-09-23T00:00:00"/>
    <d v="2015-10-12T00:00:00"/>
    <s v="KALIST"/>
    <n v="1546270"/>
    <n v="1870986.7"/>
    <x v="25"/>
    <d v="2015-11-30T00:00:00"/>
  </r>
  <r>
    <s v="OHM"/>
    <s v="Srovnal"/>
    <s v="VZ-2015-000431"/>
    <x v="36"/>
    <s v="42531000-7"/>
    <s v="1.2.20"/>
    <n v="900000"/>
    <x v="0"/>
    <d v="2015-09-21T00:00:00"/>
    <d v="2015-10-01T00:00:00"/>
    <s v="EQOS Eenrgie Česko"/>
    <n v="762056.43"/>
    <n v="922088.33"/>
    <x v="26"/>
    <d v="2015-10-21T00:00:00"/>
  </r>
  <r>
    <s v="OHM"/>
    <s v="Rozehnal"/>
    <s v="VZ-2015-000479"/>
    <x v="37"/>
    <s v="32570000-9"/>
    <s v="2.1.28."/>
    <n v="4825000"/>
    <x v="4"/>
    <d v="2015-10-15T00:00:00"/>
    <d v="2015-12-08T00:00:00"/>
    <m/>
    <m/>
    <m/>
    <x v="7"/>
    <m/>
  </r>
  <r>
    <s v="OHM"/>
    <s v="Holibka"/>
    <s v="VZ-2015-000530"/>
    <x v="38"/>
    <s v="44161110-0"/>
    <s v="1.2.36"/>
    <n v="230000"/>
    <x v="0"/>
    <d v="2015-11-12T00:00:00"/>
    <d v="2015-11-26T00:00:00"/>
    <s v="Dräger Medical s.r.o."/>
    <n v="197906"/>
    <n v="239466"/>
    <x v="7"/>
    <m/>
  </r>
  <r>
    <m/>
    <m/>
    <m/>
    <x v="19"/>
    <m/>
    <m/>
    <m/>
    <x v="5"/>
    <m/>
    <m/>
    <m/>
    <m/>
    <m/>
    <x v="7"/>
    <m/>
  </r>
  <r>
    <s v="STRAV"/>
    <s v="Molek "/>
    <s v="VZ-2015-000068 "/>
    <x v="39"/>
    <s v="39312000-2"/>
    <s v="1.2.18."/>
    <n v="91000"/>
    <x v="0"/>
    <d v="2015-03-02T00:00:00"/>
    <d v="2015-03-12T00:00:00"/>
    <s v="zrušeno "/>
    <m/>
    <m/>
    <x v="7"/>
    <m/>
  </r>
  <r>
    <s v="STRAV"/>
    <s v="Molek "/>
    <s v="VZ-2015-000068 "/>
    <x v="40"/>
    <s v="39312000-2"/>
    <s v="1.2.18."/>
    <n v="91000"/>
    <x v="0"/>
    <d v="2015-03-17T00:00:00"/>
    <d v="2015-03-27T00:00:00"/>
    <s v="MULTI CZ s.r.o."/>
    <n v="77900"/>
    <n v="94259"/>
    <x v="22"/>
    <s v="xxx"/>
  </r>
  <r>
    <s v="STRAV"/>
    <s v="Molek "/>
    <s v="VZ-2015-000069"/>
    <x v="41"/>
    <s v="39312000-2"/>
    <s v="1.2.17."/>
    <n v="745000"/>
    <x v="0"/>
    <d v="2015-02-20T00:00:00"/>
    <d v="2015-03-12T00:00:00"/>
    <s v="MULTI CZ s.r.o."/>
    <n v="544900"/>
    <n v="659329"/>
    <x v="27"/>
    <d v="2015-03-27T00:00:00"/>
  </r>
  <r>
    <s v="STRAV"/>
    <s v="Molek "/>
    <s v="VZ-2015-000096"/>
    <x v="42"/>
    <s v="39314000-6"/>
    <s v="1.1.19."/>
    <n v="1850000"/>
    <x v="0"/>
    <d v="2015-03-17T00:00:00"/>
    <d v="2015-03-31T00:00:00"/>
    <s v="Jiří Ruček – SET-ES "/>
    <n v="1435000"/>
    <n v="1736350"/>
    <x v="21"/>
    <d v="2015-05-18T00:00:00"/>
  </r>
  <r>
    <s v="STRAV"/>
    <s v="Molek "/>
    <s v="VZ-2015-000320"/>
    <x v="43"/>
    <s v="39314000-6"/>
    <s v="1.2.33"/>
    <n v="270000"/>
    <x v="0"/>
    <d v="2015-06-30T00:00:00"/>
    <d v="2015-07-18T00:00:00"/>
    <s v="MULTI CZ s.r.o."/>
    <n v="235500"/>
    <n v="284955"/>
    <x v="28"/>
    <s v="xxx"/>
  </r>
  <r>
    <m/>
    <m/>
    <m/>
    <x v="19"/>
    <m/>
    <m/>
    <m/>
    <x v="5"/>
    <m/>
    <m/>
    <m/>
    <m/>
    <m/>
    <x v="7"/>
    <m/>
  </r>
  <r>
    <s v="OSB "/>
    <s v="Vaida"/>
    <s v="VZ-2015-000107"/>
    <x v="44"/>
    <s v="45442100-8 "/>
    <m/>
    <n v="2800000"/>
    <x v="0"/>
    <d v="2015-03-25T00:00:00"/>
    <d v="2015-04-07T00:00:00"/>
    <s v="ZAMASTAV TRADE s.r.o."/>
    <n v="2359523"/>
    <n v="2855023"/>
    <x v="29"/>
    <d v="2015-05-18T00:00:00"/>
  </r>
  <r>
    <s v="OSB "/>
    <s v="Vaida"/>
    <s v="VZ-2015-000108"/>
    <x v="45"/>
    <s v="45231300-8"/>
    <m/>
    <n v="900000"/>
    <x v="0"/>
    <d v="2015-03-26T00:00:00"/>
    <d v="2015-04-09T00:00:00"/>
    <s v="Vodo-topo instalace s.r.o."/>
    <n v="309516.09999999998"/>
    <n v="374514.5"/>
    <x v="30"/>
    <s v="xxx"/>
  </r>
  <r>
    <s v="OSB "/>
    <s v="Vaida"/>
    <s v="VZ-2015-000112"/>
    <x v="46"/>
    <s v="45215100-8"/>
    <s v="1.2.24."/>
    <n v="450000"/>
    <x v="0"/>
    <d v="2015-03-27T00:00:00"/>
    <d v="2015-04-10T00:00:00"/>
    <s v="Stavona Olomouc s.r.o."/>
    <n v="418688.42"/>
    <n v="506612.99"/>
    <x v="31"/>
    <s v="xxx"/>
  </r>
  <r>
    <s v="OSB "/>
    <s v="Vaida"/>
    <s v="VZ-2015-000115"/>
    <x v="47"/>
    <s v="45231300-8"/>
    <m/>
    <n v="480000"/>
    <x v="0"/>
    <d v="2015-04-02T00:00:00"/>
    <d v="2015-04-16T00:00:00"/>
    <s v="LXM Group a.s."/>
    <n v="295235"/>
    <n v="357234.35"/>
    <x v="32"/>
    <s v="xxx"/>
  </r>
  <r>
    <s v="OSB "/>
    <s v="Vaida"/>
    <s v="VZ-2015-000204"/>
    <x v="48"/>
    <s v="45215100-8"/>
    <m/>
    <n v="490000"/>
    <x v="0"/>
    <d v="2015-05-15T00:00:00"/>
    <d v="2015-05-27T00:00:00"/>
    <s v="MOPED s.r.o."/>
    <n v="372718.46"/>
    <n v="450989.33660000004"/>
    <x v="33"/>
    <s v="xxx"/>
  </r>
  <r>
    <s v="OSB "/>
    <s v="Vaida"/>
    <s v="VZ-2015-000285"/>
    <x v="49"/>
    <s v="45215100-8"/>
    <m/>
    <n v="900000"/>
    <x v="0"/>
    <d v="2015-06-10T00:00:00"/>
    <d v="2015-06-19T00:00:00"/>
    <s v="zrušeno - bez nabídek"/>
    <m/>
    <m/>
    <x v="7"/>
    <m/>
  </r>
  <r>
    <s v="OSB "/>
    <s v="Vaida"/>
    <s v="VZ-2015-000313"/>
    <x v="50"/>
    <s v="45261000-4"/>
    <m/>
    <n v="850000"/>
    <x v="0"/>
    <d v="2015-06-25T00:00:00"/>
    <d v="2015-07-14T00:00:00"/>
    <s v="IZOTECH Moravia s.r.o."/>
    <n v="374396.69421487604"/>
    <n v="453020"/>
    <x v="34"/>
    <d v="2015-09-14T00:00:00"/>
  </r>
  <r>
    <s v="OSB "/>
    <s v="Vaida"/>
    <s v="VZ-2015-000314"/>
    <x v="51"/>
    <s v="42510000-4    45421146-9"/>
    <m/>
    <n v="1900000"/>
    <x v="0"/>
    <d v="2015-06-24T00:00:00"/>
    <d v="2015-07-15T00:00:00"/>
    <s v="Climart s.r.o."/>
    <n v="1236752.8925619835"/>
    <n v="1496471"/>
    <x v="23"/>
    <d v="2015-08-24T00:00:00"/>
  </r>
  <r>
    <s v="OSB "/>
    <s v="Vaida"/>
    <s v="VZ-2015-000316"/>
    <x v="52"/>
    <s v="45215100-8"/>
    <m/>
    <n v="900000"/>
    <x v="0"/>
    <d v="2015-06-30T00:00:00"/>
    <d v="2015-07-15T00:00:00"/>
    <s v="Sanatěs Olomouc"/>
    <n v="631830.78"/>
    <n v="764515.28"/>
    <x v="35"/>
    <d v="2015-08-18T00:00:00"/>
  </r>
  <r>
    <s v="OSB "/>
    <s v="Vaida"/>
    <s v="VZ-2015-000326"/>
    <x v="53"/>
    <s v="45421146-9"/>
    <m/>
    <n v="499000"/>
    <x v="0"/>
    <d v="2015-07-08T00:00:00"/>
    <d v="2015-07-22T00:00:00"/>
    <s v="Stavitelství Pospíšil s.r.o."/>
    <n v="540000"/>
    <n v="653400"/>
    <x v="36"/>
    <d v="2015-08-12T00:00:00"/>
  </r>
  <r>
    <s v="OSB "/>
    <s v="Vaida"/>
    <s v="VZ-2015-000370"/>
    <x v="54"/>
    <s v="45261000-4"/>
    <m/>
    <n v="415000"/>
    <x v="0"/>
    <d v="2015-08-07T00:00:00"/>
    <d v="2015-08-20T00:00:00"/>
    <s v="Milan Oračko"/>
    <n v="713317"/>
    <n v="863113.57"/>
    <x v="37"/>
    <d v="2015-11-03T00:00:00"/>
  </r>
  <r>
    <s v="OSB "/>
    <s v="Vaida"/>
    <s v="VZ-2015-000371"/>
    <x v="55"/>
    <s v="45261000-4"/>
    <m/>
    <n v="400000"/>
    <x v="0"/>
    <d v="2015-08-07T00:00:00"/>
    <d v="2015-08-21T00:00:00"/>
    <s v="IZOTECH Moravia s.r.o."/>
    <n v="319684"/>
    <n v="386818"/>
    <x v="24"/>
    <d v="2015-09-16T00:00:00"/>
  </r>
  <r>
    <s v="OSB "/>
    <s v="Vaida"/>
    <s v="VZ-2015-000442"/>
    <x v="56"/>
    <s v="45421100-5"/>
    <m/>
    <n v="550000"/>
    <x v="0"/>
    <d v="2015-09-25T00:00:00"/>
    <d v="2015-10-05T00:00:00"/>
    <s v="zrušeno - jedna nabídka, nesplnila podmínky zadání"/>
    <m/>
    <m/>
    <x v="7"/>
    <m/>
  </r>
  <r>
    <s v="OSB "/>
    <s v="Vaida"/>
    <s v="VZ-2015-000461"/>
    <x v="57"/>
    <s v="45215100-8"/>
    <m/>
    <n v="500000"/>
    <x v="0"/>
    <d v="2015-10-01T00:00:00"/>
    <d v="2015-10-12T00:00:00"/>
    <s v="Sanatěs Olomouc"/>
    <n v="451671"/>
    <n v="546522"/>
    <x v="37"/>
    <s v="xxx"/>
  </r>
  <r>
    <s v="OSB "/>
    <s v="Vaida"/>
    <s v="VZ-2015-000462"/>
    <x v="58"/>
    <s v="45212420-6"/>
    <m/>
    <n v="300000"/>
    <x v="0"/>
    <d v="2015-10-01T00:00:00"/>
    <d v="2015-10-12T00:00:00"/>
    <s v="Marek Alt - Pňovice"/>
    <n v="389234.13"/>
    <n v="470973"/>
    <x v="38"/>
    <s v="xxx"/>
  </r>
  <r>
    <s v="OSB "/>
    <s v="Vaida"/>
    <s v="VZ-2015-000506"/>
    <x v="59"/>
    <s v="45231300-8"/>
    <m/>
    <n v="550000"/>
    <x v="0"/>
    <d v="2015-11-02T00:00:00"/>
    <d v="2015-11-10T00:00:00"/>
    <s v="Vodo-topo instalace s.r.o."/>
    <n v="519155.9"/>
    <n v="628178.6"/>
    <x v="12"/>
    <d v="2015-11-26T00:00:00"/>
  </r>
  <r>
    <s v="OSB "/>
    <s v="Vaida"/>
    <s v="VZ-2015-000544"/>
    <x v="60"/>
    <s v="45421100-5"/>
    <m/>
    <n v="550000"/>
    <x v="0"/>
    <d v="2015-11-24T00:00:00"/>
    <d v="2015-12-11T00:00:00"/>
    <m/>
    <m/>
    <m/>
    <x v="7"/>
    <m/>
  </r>
  <r>
    <m/>
    <m/>
    <m/>
    <x v="19"/>
    <m/>
    <m/>
    <m/>
    <x v="5"/>
    <m/>
    <m/>
    <m/>
    <m/>
    <m/>
    <x v="7"/>
    <m/>
  </r>
  <r>
    <s v="OEIS"/>
    <s v="Berger"/>
    <s v="VZ-2015-000001"/>
    <x v="61"/>
    <s v="72268000-1"/>
    <m/>
    <n v="2000000"/>
    <x v="4"/>
    <d v="2015-01-06T00:00:00"/>
    <d v="2015-03-03T00:00:00"/>
    <s v="zrušeno"/>
    <m/>
    <m/>
    <x v="7"/>
    <d v="2015-05-05T00:00:00"/>
  </r>
  <r>
    <s v="OEIS"/>
    <s v="Berger"/>
    <s v="VZ-2015-000158"/>
    <x v="62"/>
    <s v="72268000-1 "/>
    <m/>
    <n v="1850000"/>
    <x v="0"/>
    <d v="2015-05-06T00:00:00"/>
    <d v="2015-05-22T00:00:00"/>
    <s v="zrušeno"/>
    <m/>
    <m/>
    <x v="7"/>
    <m/>
  </r>
  <r>
    <s v="OEIS"/>
    <s v="Berger"/>
    <s v="VZ-2015-000351"/>
    <x v="63"/>
    <s v="72268000-1 "/>
    <m/>
    <n v="1800000"/>
    <x v="0"/>
    <d v="2015-07-21T00:00:00"/>
    <d v="2015-08-04T00:00:00"/>
    <s v="OR-NEXT s.r.o."/>
    <n v="1540000"/>
    <n v="1863400"/>
    <x v="39"/>
    <d v="2015-09-21T00:00:00"/>
  </r>
  <r>
    <s v="OEIS"/>
    <s v="Berger"/>
    <s v="VZ-2015-000171"/>
    <x v="64"/>
    <s v="72250000-2"/>
    <m/>
    <n v="6000000"/>
    <x v="4"/>
    <d v="2015-10-12T00:00:00"/>
    <d v="2015-12-07T00:00:00"/>
    <s v="OR-NEXT s.r.o."/>
    <n v="5980000"/>
    <n v="7235800"/>
    <x v="7"/>
    <m/>
  </r>
  <r>
    <m/>
    <m/>
    <m/>
    <x v="19"/>
    <m/>
    <m/>
    <m/>
    <x v="5"/>
    <m/>
    <m/>
    <m/>
    <m/>
    <m/>
    <x v="7"/>
    <m/>
  </r>
  <r>
    <s v="ZT"/>
    <s v="Čech"/>
    <s v="VZ-2015-000027"/>
    <x v="65"/>
    <s v="33694000-1"/>
    <s v="2.4.3."/>
    <n v="5950000"/>
    <x v="4"/>
    <d v="2015-02-03T00:00:00"/>
    <d v="2015-03-31T00:00:00"/>
    <s v="RADIOMETER s.r.o."/>
    <n v="4591178.396694215"/>
    <n v="5555325.8600000003"/>
    <x v="40"/>
    <d v="2015-05-19T00:00:00"/>
  </r>
  <r>
    <s v="ZT"/>
    <s v="Novák"/>
    <s v="VZ-2015-000134"/>
    <x v="66"/>
    <s v="33162100-4"/>
    <s v="2.1.45."/>
    <n v="4580000"/>
    <x v="4"/>
    <d v="2015-06-03T00:00:00"/>
    <d v="2015-08-04T00:00:00"/>
    <s v="Fénix Brno s.r.o."/>
    <n v="1590000"/>
    <n v="1923900"/>
    <x v="41"/>
    <d v="2015-09-22T00:00:00"/>
  </r>
  <r>
    <s v="ZT"/>
    <s v="Dočkal "/>
    <s v="VZ-2015-000135"/>
    <x v="67"/>
    <s v="33157400-9"/>
    <s v="2.1.25.; 2.3.38."/>
    <n v="1100000"/>
    <x v="4"/>
    <d v="2015-06-22T00:00:00"/>
    <d v="2015-07-15T00:00:00"/>
    <s v="Dräger Medical s.r.o."/>
    <n v="1362600"/>
    <n v="1648746"/>
    <x v="42"/>
    <d v="2015-10-15T00:00:00"/>
  </r>
  <r>
    <s v="ZT"/>
    <s v="Čech"/>
    <s v="VZ-2015-000060"/>
    <x v="68"/>
    <s v="33111400-5 "/>
    <s v="2.3.26."/>
    <n v="3000000"/>
    <x v="4"/>
    <d v="2015-03-23T00:00:00"/>
    <d v="2015-04-16T00:00:00"/>
    <s v="AURA medical s.r.o."/>
    <n v="2700000"/>
    <n v="3267000"/>
    <x v="43"/>
    <d v="2015-06-01T00:00:00"/>
  </r>
  <r>
    <s v="ZT"/>
    <s v="Čech"/>
    <s v="VZ-2015-000065"/>
    <x v="69"/>
    <s v="33122000-1"/>
    <s v="2.2.6."/>
    <n v="3260000"/>
    <x v="4"/>
    <d v="2015-03-23T00:00:00"/>
    <d v="2015-04-17T00:00:00"/>
    <s v="ASKIN s.r.o."/>
    <n v="3415000"/>
    <n v="4132150"/>
    <x v="6"/>
    <d v="2015-06-01T00:00:00"/>
  </r>
  <r>
    <s v="ZT"/>
    <s v="Čech"/>
    <s v="VZ-2015-000066"/>
    <x v="70"/>
    <s v="33124120-2 "/>
    <s v="2.3.11."/>
    <n v="2060000"/>
    <x v="4"/>
    <d v="2015-03-23T00:00:00"/>
    <d v="2015-04-16T00:00:00"/>
    <s v="S+T Plus s.r.o."/>
    <n v="1901200"/>
    <n v="2300452"/>
    <x v="44"/>
    <d v="2015-06-18T00:00:00"/>
  </r>
  <r>
    <s v="ZT"/>
    <s v="Novák"/>
    <s v="VZ-2015-000139"/>
    <x v="71"/>
    <s v="33195100-4"/>
    <s v="2.1.23; 2.1.24; 2.3.10; 2.3.21; 2.3.36; 2.3.37"/>
    <n v="3925000"/>
    <x v="4"/>
    <d v="2015-06-24T00:00:00"/>
    <d v="2015-08-18T00:00:00"/>
    <s v="S+T Plus s.r.o."/>
    <n v="4280000"/>
    <n v="5178800"/>
    <x v="42"/>
    <d v="2015-10-15T00:00:00"/>
  </r>
  <r>
    <s v="ZT"/>
    <s v="Novák"/>
    <s v="VZ-2015-000163"/>
    <x v="72"/>
    <s v="42900000-5"/>
    <s v="2.3.56."/>
    <n v="1650000"/>
    <x v="4"/>
    <d v="2015-06-08T00:00:00"/>
    <d v="2015-07-01T00:00:00"/>
    <s v="zrušeno - bez nabídek"/>
    <m/>
    <m/>
    <x v="7"/>
    <d v="2015-07-02T00:00:00"/>
  </r>
  <r>
    <s v="ZT"/>
    <s v="Čech"/>
    <s v="VZ-2015-000010"/>
    <x v="73"/>
    <s v="42122500-5 "/>
    <s v="2.1.17."/>
    <n v="1200000"/>
    <x v="0"/>
    <d v="2015-01-19T00:00:00"/>
    <d v="2015-02-03T00:00:00"/>
    <s v="Baxter Czech spol. s r.o."/>
    <n v="890000"/>
    <n v="1076900"/>
    <x v="45"/>
    <d v="2015-05-20T00:00:00"/>
  </r>
  <r>
    <s v="ZT"/>
    <s v="Čech"/>
    <s v="VZ-2015-000019"/>
    <x v="74"/>
    <s v="39181000-4 "/>
    <s v="2.3.58."/>
    <n v="590400"/>
    <x v="0"/>
    <d v="2015-01-26T00:00:00"/>
    <d v="2015-02-13T00:00:00"/>
    <s v="SpofaDental a.s."/>
    <n v="720000"/>
    <n v="871200"/>
    <x v="46"/>
    <d v="2015-03-20T00:00:00"/>
  </r>
  <r>
    <s v="ZT"/>
    <s v="Dočkal "/>
    <s v="VZ-2015-000057"/>
    <x v="75"/>
    <s v="33115100-0  "/>
    <s v="2.3.46."/>
    <n v="1735000"/>
    <x v="0"/>
    <d v="2015-02-17T00:00:00"/>
    <s v="5.3 2015 "/>
    <s v="zrušeno"/>
    <m/>
    <m/>
    <x v="7"/>
    <m/>
  </r>
  <r>
    <s v="ZT"/>
    <s v="Dočkal "/>
    <s v="VZ-2015-000058"/>
    <x v="76"/>
    <s v="33111500-6 "/>
    <s v="2.3.47."/>
    <n v="1485000"/>
    <x v="0"/>
    <d v="2015-02-17T00:00:00"/>
    <d v="2015-03-05T00:00:00"/>
    <s v="BELdental, s.r.o."/>
    <n v="619008.26446280989"/>
    <n v="749000"/>
    <x v="47"/>
    <d v="2015-06-16T00:00:00"/>
  </r>
  <r>
    <s v="ZT"/>
    <s v="Novák"/>
    <s v="VZ-2015-000073"/>
    <x v="77"/>
    <s v="33196200-2 "/>
    <s v="2.3.59 2.3.60             "/>
    <n v="330000"/>
    <x v="0"/>
    <d v="2015-02-25T00:00:00"/>
    <d v="2015-03-12T00:00:00"/>
    <s v="Hospimed, spol. s r.o."/>
    <n v="340000"/>
    <n v="411400"/>
    <x v="48"/>
    <s v="xxx"/>
  </r>
  <r>
    <s v="ZT"/>
    <s v="Novák"/>
    <s v="VZ-2015-000098"/>
    <x v="78"/>
    <s v="33182100-0 "/>
    <s v="2.3.1."/>
    <n v="400000"/>
    <x v="0"/>
    <d v="2015-03-17T00:00:00"/>
    <d v="2015-03-30T00:00:00"/>
    <s v="Medsol s.r.o."/>
    <n v="412800"/>
    <n v="499488"/>
    <x v="4"/>
    <s v="xxx"/>
  </r>
  <r>
    <s v="ZT"/>
    <s v="Novák"/>
    <s v="VZ-2015-000086"/>
    <x v="79"/>
    <s v="33121500-9 "/>
    <s v="2.1.16."/>
    <n v="305000"/>
    <x v="0"/>
    <d v="2015-03-04T00:00:00"/>
    <d v="2015-03-19T00:00:00"/>
    <s v="S+T Plus s.r.o."/>
    <n v="348743.80165289261"/>
    <n v="421980"/>
    <x v="4"/>
    <s v="xxx"/>
  </r>
  <r>
    <s v="ZT"/>
    <s v="Novák"/>
    <s v="VZ-2015-000082"/>
    <x v="80"/>
    <s v="33192160-1 "/>
    <s v="2.3.48."/>
    <n v="470000"/>
    <x v="0"/>
    <d v="2015-03-05T00:00:00"/>
    <d v="2015-03-16T00:00:00"/>
    <s v="zrušeno"/>
    <m/>
    <m/>
    <x v="7"/>
    <m/>
  </r>
  <r>
    <s v="ZT"/>
    <s v="Novák"/>
    <s v="VZ-2015-000082"/>
    <x v="81"/>
    <s v="33192160-1 "/>
    <s v="2.3.48."/>
    <n v="470000"/>
    <x v="0"/>
    <d v="2015-03-31T00:00:00"/>
    <d v="2015-04-14T00:00:00"/>
    <s v="zrušeno"/>
    <m/>
    <m/>
    <x v="7"/>
    <m/>
  </r>
  <r>
    <s v="ZT"/>
    <s v="Novák"/>
    <s v="VZ-2015-000228"/>
    <x v="82"/>
    <s v="33192160-2"/>
    <s v="2.3.48."/>
    <n v="470000"/>
    <x v="0"/>
    <d v="2015-06-19T00:00:00"/>
    <d v="2015-07-08T00:00:00"/>
    <s v="LINET s.r.o."/>
    <n v="340000"/>
    <n v="411400"/>
    <x v="49"/>
    <s v="xxx"/>
  </r>
  <r>
    <s v="ZT"/>
    <s v="Novák"/>
    <s v="VZ-2015-000122"/>
    <x v="83"/>
    <s v="33192130-2 "/>
    <s v="2.3.35"/>
    <n v="895000"/>
    <x v="0"/>
    <d v="2015-04-07T00:00:00"/>
    <d v="2015-04-21T00:00:00"/>
    <s v="Dartin s.r.o. "/>
    <n v="954217"/>
    <n v="1154602.57"/>
    <x v="50"/>
    <d v="2015-06-17T00:00:00"/>
  </r>
  <r>
    <s v="ZT"/>
    <s v="Novák"/>
    <s v="VZ-2015-000161"/>
    <x v="84"/>
    <s v="33168100-6 "/>
    <s v="2.3.3."/>
    <n v="1420000"/>
    <x v="0"/>
    <d v="2015-04-24T00:00:00"/>
    <d v="2015-05-07T00:00:00"/>
    <s v="Medinet s.r.o."/>
    <n v="696000"/>
    <n v="842160"/>
    <x v="51"/>
    <d v="2015-07-27T00:00:00"/>
  </r>
  <r>
    <s v="ZT"/>
    <s v="Novák"/>
    <s v="VZ-2015-000189"/>
    <x v="85"/>
    <s v="33124110-9 "/>
    <s v="2.2.5."/>
    <n v="315000"/>
    <x v="0"/>
    <d v="2015-05-12T00:00:00"/>
    <d v="2015-05-20T00:00:00"/>
    <s v="Fresenius "/>
    <n v="288000"/>
    <n v="348480"/>
    <x v="32"/>
    <s v="xxx"/>
  </r>
  <r>
    <s v="ZT"/>
    <s v="Novák"/>
    <s v="VZ-2015-000201"/>
    <x v="86"/>
    <s v="33162000-3"/>
    <s v="2.3.29."/>
    <n v="480000"/>
    <x v="0"/>
    <d v="2015-05-12T00:00:00"/>
    <d v="2015-05-26T00:00:00"/>
    <s v="Adyton s.r.o."/>
    <n v="510000"/>
    <n v="617100"/>
    <x v="52"/>
    <d v="2015-07-09T00:00:00"/>
  </r>
  <r>
    <s v="ZT"/>
    <s v="Novák"/>
    <s v="VZ-2015-000202"/>
    <x v="87"/>
    <s v="33151400-7"/>
    <s v="2.2.1."/>
    <n v="630000"/>
    <x v="0"/>
    <d v="2015-05-12T00:00:00"/>
    <d v="2015-05-28T00:00:00"/>
    <s v="Elekta Services s.r.o."/>
    <n v="769450"/>
    <n v="931034"/>
    <x v="53"/>
    <d v="2015-07-21T00:00:00"/>
  </r>
  <r>
    <s v="ZT"/>
    <s v="Novák"/>
    <s v="VZ-2015-000212"/>
    <x v="88"/>
    <s v="33191000-5"/>
    <s v="2.3.42."/>
    <n v="350000"/>
    <x v="0"/>
    <d v="2015-05-21T00:00:00"/>
    <d v="2015-06-02T00:00:00"/>
    <s v="Miele spol. s r.o."/>
    <n v="328790.90909090912"/>
    <n v="397837"/>
    <x v="54"/>
    <s v="xxx"/>
  </r>
  <r>
    <s v="ZT"/>
    <s v="Novák"/>
    <s v="VZ-2015-000214"/>
    <x v="89"/>
    <s v="31524110-9"/>
    <s v="2.1.22., 2.3.13"/>
    <n v="480000"/>
    <x v="0"/>
    <d v="2015-05-21T00:00:00"/>
    <d v="2015-06-03T00:00:00"/>
    <s v="Enus medical s.r.o."/>
    <n v="452200"/>
    <n v="547162"/>
    <x v="54"/>
    <s v="xxx"/>
  </r>
  <r>
    <s v="ZT"/>
    <s v="Novák"/>
    <s v="VZ-2015-000218"/>
    <x v="90"/>
    <s v="33100000-1"/>
    <s v="2.1.44."/>
    <n v="595000"/>
    <x v="0"/>
    <d v="2015-05-21T00:00:00"/>
    <d v="2015-06-02T00:00:00"/>
    <s v="Dräger Medical s.r.o."/>
    <n v="462890.08264462813"/>
    <n v="560097"/>
    <x v="51"/>
    <s v="xxx"/>
  </r>
  <r>
    <s v="ZT"/>
    <s v="Čech"/>
    <s v="VZ-2015-000270"/>
    <x v="91"/>
    <m/>
    <m/>
    <n v="1900000"/>
    <x v="7"/>
    <d v="2015-06-24T00:00:00"/>
    <d v="2015-07-08T00:00:00"/>
    <s v="HPST s.r.o."/>
    <n v="1982405.77"/>
    <n v="2398710.98"/>
    <x v="55"/>
    <s v="xxx"/>
  </r>
  <r>
    <s v="ZT"/>
    <s v="Dočkal "/>
    <s v="VZ-2015-000278"/>
    <x v="92"/>
    <s v="33115100-0"/>
    <s v="2.3.46."/>
    <n v="3100000"/>
    <x v="3"/>
    <d v="2015-06-17T00:00:00"/>
    <d v="2015-07-07T00:00:00"/>
    <s v="CAMOSCI CZECH s.r.o."/>
    <n v="2478787.6"/>
    <n v="2999333"/>
    <x v="56"/>
    <d v="2015-09-01T00:00:00"/>
  </r>
  <r>
    <s v="ZT"/>
    <s v="Novák"/>
    <s v="VZ-2015-000289"/>
    <x v="93"/>
    <s v="33192130-2 "/>
    <s v="2.1.19; 2.1.20; 2.3.18"/>
    <n v="1260000"/>
    <x v="0"/>
    <d v="2015-06-12T00:00:00"/>
    <d v="2015-06-30T00:00:00"/>
    <s v="LINET s.r.o."/>
    <n v="961297.27"/>
    <n v="1105487.26"/>
    <x v="57"/>
    <d v="2015-08-18T00:00:00"/>
  </r>
  <r>
    <s v="ZT"/>
    <s v="Novák"/>
    <s v="VZ-2015-000291"/>
    <x v="94"/>
    <s v="38951000-6 "/>
    <s v="2.2.14"/>
    <n v="515000"/>
    <x v="0"/>
    <d v="2015-06-17T00:00:00"/>
    <d v="2015-06-25T00:00:00"/>
    <s v="BIO-RAD s.r.o."/>
    <n v="500000"/>
    <n v="605000"/>
    <x v="58"/>
    <d v="2015-08-04T00:00:00"/>
  </r>
  <r>
    <s v="ZT"/>
    <s v="Novák"/>
    <s v="VZ-2015-000298"/>
    <x v="95"/>
    <s v="33929000-8"/>
    <s v="2.3.43"/>
    <n v="350000"/>
    <x v="0"/>
    <d v="2015-06-19T00:00:00"/>
    <d v="2015-07-02T00:00:00"/>
    <s v="ZENA-R"/>
    <n v="339200"/>
    <n v="410432"/>
    <x v="57"/>
    <s v="xxx"/>
  </r>
  <r>
    <s v="ZT"/>
    <s v="Novák"/>
    <s v="VZ-2015-000301"/>
    <x v="96"/>
    <s v="38434000-6"/>
    <s v="2.2.15"/>
    <n v="320000"/>
    <x v="0"/>
    <d v="2015-06-19T00:00:00"/>
    <d v="2015-07-02T00:00:00"/>
    <s v="zrušeno - překročen fin. limit VZMR"/>
    <m/>
    <m/>
    <x v="7"/>
    <m/>
  </r>
  <r>
    <s v="ZT"/>
    <s v="Novák"/>
    <s v="VZ-2015-000303"/>
    <x v="97"/>
    <s v="33195100-4"/>
    <s v="2.3.78"/>
    <n v="400000"/>
    <x v="0"/>
    <d v="2015-06-19T00:00:00"/>
    <d v="2015-07-03T00:00:00"/>
    <s v="S+T Plus s.r.o."/>
    <n v="479000"/>
    <n v="579590"/>
    <x v="57"/>
    <s v="xxx"/>
  </r>
  <r>
    <s v="ZT"/>
    <s v="Novák"/>
    <s v="VZ-2015-000317"/>
    <x v="98"/>
    <s v="33194000-6"/>
    <s v="2.3.77;2.4.13"/>
    <n v="2300000"/>
    <x v="3"/>
    <d v="2015-08-07T00:00:00"/>
    <d v="2015-08-27T00:00:00"/>
    <s v="Terumo BCT Europe N.V."/>
    <n v="2400000"/>
    <n v="2904000"/>
    <x v="59"/>
    <d v="2015-10-09T00:00:00"/>
  </r>
  <r>
    <s v="ZT"/>
    <s v="Novák"/>
    <s v="VZ-2015-000343"/>
    <x v="99"/>
    <s v="33168000-5"/>
    <s v="2.2.18"/>
    <n v="850000"/>
    <x v="0"/>
    <d v="2015-07-21T00:00:00"/>
    <d v="2015-08-05T00:00:00"/>
    <s v="Olympus Czech group"/>
    <n v="1954412"/>
    <n v="2364838"/>
    <x v="60"/>
    <d v="2015-11-11T00:00:00"/>
  </r>
  <r>
    <s v="ZT"/>
    <s v="Čech"/>
    <s v="VZ-2015-000344"/>
    <x v="100"/>
    <s v="38434000-6"/>
    <s v="2.2.15"/>
    <n v="3400000"/>
    <x v="4"/>
    <d v="2015-09-09T00:00:00"/>
    <d v="2015-11-03T00:00:00"/>
    <s v="LifeTechnologies"/>
    <n v="3399183.08"/>
    <n v="4113011.53"/>
    <x v="12"/>
    <d v="2015-11-27T00:00:00"/>
  </r>
  <r>
    <s v="ZT"/>
    <s v="Novák"/>
    <s v="VZ-2015-000347"/>
    <x v="101"/>
    <s v="33192600-8"/>
    <s v="2.4.12"/>
    <n v="300000"/>
    <x v="0"/>
    <d v="2015-07-21T00:00:00"/>
    <d v="2015-08-03T00:00:00"/>
    <s v="zrušeno - bez nabídek"/>
    <m/>
    <m/>
    <x v="7"/>
    <m/>
  </r>
  <r>
    <s v="ZT"/>
    <s v="Novák"/>
    <s v="VZ-2015-000396"/>
    <x v="102"/>
    <s v="33192600-8"/>
    <s v="2.4.12"/>
    <n v="150000"/>
    <x v="0"/>
    <d v="2015-08-28T00:00:00"/>
    <d v="2015-09-07T00:00:00"/>
    <s v="Dartin s.r.o. "/>
    <n v="200336.65289256201"/>
    <n v="242407.35"/>
    <x v="38"/>
    <s v="xxx"/>
  </r>
  <r>
    <s v="ZT"/>
    <s v="Novák"/>
    <s v="VZ-2015-000396"/>
    <x v="103"/>
    <s v="33192600-8"/>
    <s v="2.4.12"/>
    <n v="150000"/>
    <x v="0"/>
    <d v="2015-08-28T00:00:00"/>
    <d v="2015-09-07T00:00:00"/>
    <s v="Šance o.p.s. (DK)"/>
    <n v="200336.65289256201"/>
    <n v="242407.35"/>
    <x v="61"/>
    <s v="xxx"/>
  </r>
  <r>
    <s v="ZT"/>
    <s v="Novák"/>
    <s v="VZ-2015-000348"/>
    <x v="104"/>
    <s v="33162100-4"/>
    <s v="2.3.85"/>
    <n v="440000"/>
    <x v="0"/>
    <d v="2015-07-21T00:00:00"/>
    <d v="2015-08-05T00:00:00"/>
    <s v="B.Braun Medical s.r.o."/>
    <n v="691415.70247933886"/>
    <n v="836613"/>
    <x v="62"/>
    <d v="2015-10-22T00:00:00"/>
  </r>
  <r>
    <s v="ZT"/>
    <s v="Novák"/>
    <s v="VZ-2015-000348"/>
    <x v="105"/>
    <m/>
    <s v="2.3.84"/>
    <n v="440000"/>
    <x v="0"/>
    <d v="2015-07-21T00:00:00"/>
    <d v="2015-08-05T00:00:00"/>
    <s v="Surgipa Medical s.r.o."/>
    <n v="303803.76859504136"/>
    <n v="367602.56"/>
    <x v="63"/>
    <d v="2015-12-04T00:00:00"/>
  </r>
  <r>
    <s v="ZT"/>
    <s v="Novák"/>
    <s v="VZ-2015-000360"/>
    <x v="106"/>
    <s v="33168100-6"/>
    <s v="2.3.3"/>
    <n v="400000"/>
    <x v="0"/>
    <d v="2015-08-07T00:00:00"/>
    <d v="2015-08-17T00:00:00"/>
    <s v="Olympus Czech group"/>
    <n v="367500"/>
    <n v="444675"/>
    <x v="64"/>
    <s v="xxx"/>
  </r>
  <r>
    <s v="ZT"/>
    <s v="Novák"/>
    <s v="VZ-2015-000390"/>
    <x v="107"/>
    <s v="33157000-5"/>
    <s v="2.3.79"/>
    <n v="495000"/>
    <x v="0"/>
    <d v="2015-08-28T00:00:00"/>
    <d v="2015-09-07T00:00:00"/>
    <s v="Messer Technogas s.r.o."/>
    <n v="728910"/>
    <n v="881981.1"/>
    <x v="65"/>
    <d v="2015-10-13T00:00:00"/>
  </r>
  <r>
    <s v="ZT"/>
    <s v="Novák"/>
    <s v="VZ-2015-000391"/>
    <x v="108"/>
    <s v="38636100-3"/>
    <s v="2.3.30"/>
    <n v="1240000"/>
    <x v="0"/>
    <d v="2015-08-28T00:00:00"/>
    <d v="2015-09-10T00:00:00"/>
    <s v="Ybux s.r.o."/>
    <n v="1502474"/>
    <n v="1817993.54"/>
    <x v="42"/>
    <d v="2015-10-09T00:00:00"/>
  </r>
  <r>
    <s v="ZT"/>
    <s v="Čech"/>
    <s v="VZ-2015-000364"/>
    <x v="109"/>
    <s v="33124120-2"/>
    <s v="2.3.80"/>
    <n v="1240000"/>
    <x v="4"/>
    <d v="2015-09-09T00:00:00"/>
    <d v="2015-11-04T00:00:00"/>
    <s v="Medkonsult s.r.o."/>
    <n v="1238800"/>
    <n v="1498948"/>
    <x v="63"/>
    <d v="2015-12-08T00:00:00"/>
  </r>
  <r>
    <s v="ZT"/>
    <s v="Čech"/>
    <s v="VZ-2015-000408"/>
    <x v="110"/>
    <s v="42900000-5"/>
    <s v="2.3.56"/>
    <n v="1900000"/>
    <x v="0"/>
    <d v="2015-09-11T00:00:00"/>
    <d v="2015-09-24T00:00:00"/>
    <s v="Riva Europe Ltd."/>
    <n v="1912000"/>
    <n v="1912000"/>
    <x v="7"/>
    <m/>
  </r>
  <r>
    <s v="ZT"/>
    <s v="Novák"/>
    <s v="VZ-2015-000420"/>
    <x v="111"/>
    <s v="33192100-3"/>
    <s v="2.3.96"/>
    <n v="900000"/>
    <x v="0"/>
    <d v="2015-09-11T00:00:00"/>
    <d v="2015-09-23T00:00:00"/>
    <s v="LINET s.r.o."/>
    <n v="864077.5"/>
    <n v="993689.12"/>
    <x v="66"/>
    <d v="2015-10-19T00:00:00"/>
  </r>
  <r>
    <s v="ZT"/>
    <s v="Novák"/>
    <s v="VZ-2015-000425"/>
    <x v="112"/>
    <s v="33152000-0"/>
    <s v="2.3.31"/>
    <n v="750000"/>
    <x v="0"/>
    <d v="2015-09-17T00:00:00"/>
    <d v="2015-09-29T00:00:00"/>
    <s v="Ybux s.r.o."/>
    <n v="480000"/>
    <n v="580800"/>
    <x v="62"/>
    <d v="2015-10-22T00:00:00"/>
  </r>
  <r>
    <s v="ZT"/>
    <s v="Novák"/>
    <s v="VZ-2015-000427"/>
    <x v="113"/>
    <s v="38510000-3"/>
    <s v="2.2.9, 2.3.6, "/>
    <n v="420000"/>
    <x v="0"/>
    <d v="2015-09-17T00:00:00"/>
    <d v="2015-09-30T00:00:00"/>
    <s v="Olympus Czech group"/>
    <n v="406172.72727272729"/>
    <n v="491469"/>
    <x v="67"/>
    <s v="xxx"/>
  </r>
  <r>
    <s v="ZT"/>
    <s v="Novák"/>
    <s v="VZ-2015-000430"/>
    <x v="114"/>
    <s v="33162000-3"/>
    <s v="2.3.91"/>
    <n v="300000"/>
    <x v="0"/>
    <d v="2015-09-17T00:00:00"/>
    <d v="2015-10-01T00:00:00"/>
    <s v="zrušeno - bez nabídky"/>
    <m/>
    <m/>
    <x v="7"/>
    <m/>
  </r>
  <r>
    <s v="ZT"/>
    <s v="Čech"/>
    <s v="VZ-2015-000446"/>
    <x v="115"/>
    <s v="33195100-4"/>
    <s v="2.3.95"/>
    <n v="302000"/>
    <x v="7"/>
    <d v="2015-09-23T00:00:00"/>
    <d v="2015-09-29T00:00:00"/>
    <s v="S+T Plus s.r.o."/>
    <n v="342000"/>
    <n v="413820"/>
    <x v="68"/>
    <s v="xxx"/>
  </r>
  <r>
    <s v="ZT"/>
    <s v="Novák"/>
    <s v="VZ-2015-000449"/>
    <x v="116"/>
    <s v="33192120-9"/>
    <m/>
    <n v="1300000"/>
    <x v="0"/>
    <d v="2015-09-29T00:00:00"/>
    <d v="2015-10-09T00:00:00"/>
    <s v="LINET s.r.o."/>
    <n v="1180800"/>
    <n v="1357920"/>
    <x v="69"/>
    <d v="2015-10-16T00:00:00"/>
  </r>
  <r>
    <s v="ZT"/>
    <s v="Čech"/>
    <s v="VZ-2015-000438"/>
    <x v="117"/>
    <s v="33694000-1"/>
    <m/>
    <n v="9222500"/>
    <x v="4"/>
    <d v="2015-11-09T00:00:00"/>
    <d v="2016-01-08T00:00:00"/>
    <m/>
    <m/>
    <m/>
    <x v="7"/>
    <m/>
  </r>
  <r>
    <s v="ZT"/>
    <s v="Novák"/>
    <s v="VZ-2015-000468"/>
    <x v="118"/>
    <s v="33162000-3"/>
    <s v="2.3.91"/>
    <n v="300000"/>
    <x v="0"/>
    <d v="2015-10-06T00:00:00"/>
    <d v="2015-10-19T00:00:00"/>
    <s v=" BORCAD cz s.r.o."/>
    <n v="295302"/>
    <n v="357315.42"/>
    <x v="70"/>
    <s v="xxx"/>
  </r>
  <r>
    <s v="ZT"/>
    <s v="Novák"/>
    <s v="VZ-2015-000489"/>
    <x v="119"/>
    <s v="33195100-4"/>
    <m/>
    <n v="265000"/>
    <x v="0"/>
    <d v="2015-10-19T00:00:00"/>
    <d v="2015-10-29T00:00:00"/>
    <s v="Polymed medical CZ, a.s."/>
    <n v="248735"/>
    <n v="300969"/>
    <x v="60"/>
    <s v="xxx"/>
  </r>
  <r>
    <s v="ZT"/>
    <s v="Novák"/>
    <s v="VZ-2015-000501"/>
    <x v="120"/>
    <s v="39143123-4"/>
    <m/>
    <n v="360000"/>
    <x v="0"/>
    <d v="2015-10-22T00:00:00"/>
    <d v="2015-11-05T00:00:00"/>
    <s v="LINET s.r.o."/>
    <n v="427520"/>
    <n v="517299.20000000001"/>
    <x v="63"/>
    <s v="xxx"/>
  </r>
  <r>
    <s v="ZT"/>
    <s v="Čech"/>
    <s v="VZ-2015-000556"/>
    <x v="121"/>
    <s v="33162100-4"/>
    <m/>
    <n v="120000"/>
    <x v="0"/>
    <d v="2015-12-07T00:00:00"/>
    <d v="2015-12-17T00:00:00"/>
    <m/>
    <m/>
    <m/>
    <x v="7"/>
    <m/>
  </r>
  <r>
    <s v="ZT"/>
    <s v="Čech"/>
    <s v="VZ-2015-000568"/>
    <x v="122"/>
    <s v="33128000-3"/>
    <m/>
    <n v="500000"/>
    <x v="0"/>
    <d v="2015-12-18T00:00:00"/>
    <d v="2016-01-08T00:00:00"/>
    <m/>
    <m/>
    <m/>
    <x v="7"/>
    <m/>
  </r>
  <r>
    <m/>
    <m/>
    <m/>
    <x v="19"/>
    <m/>
    <m/>
    <m/>
    <x v="5"/>
    <m/>
    <m/>
    <m/>
    <m/>
    <m/>
    <x v="7"/>
    <m/>
  </r>
  <r>
    <s v="ZM "/>
    <s v="Dočkalová"/>
    <s v="VZ-2015-000168"/>
    <x v="123"/>
    <s v="18424300-0 "/>
    <m/>
    <n v="3245000"/>
    <x v="3"/>
    <d v="2015-04-28T00:00:00"/>
    <d v="2015-05-22T00:00:00"/>
    <s v="RAUDO - výr.družstvo"/>
    <n v="3465000"/>
    <n v="4192650"/>
    <x v="52"/>
    <d v="2015-07-10T00:00:00"/>
  </r>
  <r>
    <s v="ZM "/>
    <s v="Dočkalová"/>
    <s v="VZ-2015-000072"/>
    <x v="124"/>
    <s v="39515200-7"/>
    <m/>
    <n v="480000"/>
    <x v="0"/>
    <d v="2015-03-03T00:00:00"/>
    <d v="2015-03-17T00:00:00"/>
    <s v="zrušeno"/>
    <m/>
    <m/>
    <x v="7"/>
    <m/>
  </r>
  <r>
    <s v="ZM "/>
    <s v="Dočkalová"/>
    <s v="VZ-2015-000136"/>
    <x v="125"/>
    <s v="33141000-0"/>
    <m/>
    <n v="900000"/>
    <x v="0"/>
    <d v="2014-10-01T00:00:00"/>
    <d v="2014-10-22T00:00:00"/>
    <s v="Lemessiana s.r.o."/>
    <n v="747054"/>
    <n v="903935.34"/>
    <x v="43"/>
    <d v="2015-05-27T00:00:00"/>
  </r>
  <r>
    <s v="ZM "/>
    <s v="Dočkalová"/>
    <s v="VZ-2015-000157"/>
    <x v="126"/>
    <s v="39515200-7"/>
    <m/>
    <n v="460000"/>
    <x v="0"/>
    <d v="2015-04-20T00:00:00"/>
    <d v="2015-04-30T00:00:00"/>
    <s v="Marta Mlatečková"/>
    <n v="403192"/>
    <n v="487862.32"/>
    <x v="71"/>
    <s v="xxx"/>
  </r>
  <r>
    <s v="ZM "/>
    <s v="Dočkalová"/>
    <s v="VZ-2015-000283"/>
    <x v="127"/>
    <s v="33181200-4"/>
    <m/>
    <n v="1950000"/>
    <x v="0"/>
    <d v="2015-06-22T00:00:00"/>
    <d v="2015-07-16T00:00:00"/>
    <s v="GML Health Care s.r.o."/>
    <n v="1867894.6280991735"/>
    <n v="2260152.5"/>
    <x v="72"/>
    <d v="2015-10-01T00:00:00"/>
  </r>
  <r>
    <s v="ZM "/>
    <s v="Dočkalová"/>
    <s v="VZ-2015-000476"/>
    <x v="128"/>
    <s v="33681000-7"/>
    <m/>
    <n v="1980000"/>
    <x v="0"/>
    <d v="2015-10-15T00:00:00"/>
    <d v="2015-10-30T00:00:00"/>
    <s v="zrušeno"/>
    <m/>
    <m/>
    <x v="7"/>
    <m/>
  </r>
  <r>
    <s v="ZM "/>
    <s v="Dočkalová"/>
    <s v="VZ-2015-000543"/>
    <x v="129"/>
    <s v="33681000-7"/>
    <m/>
    <n v="1980000"/>
    <x v="0"/>
    <d v="2015-11-19T00:00:00"/>
    <d v="2015-12-02T00:00:00"/>
    <s v="S.A.B. Impex s.r.o."/>
    <n v="2186970"/>
    <n v="2646233.7000000002"/>
    <x v="73"/>
    <d v="2016-01-07T00:00:00"/>
  </r>
  <r>
    <s v="ZM "/>
    <s v="Dočkalová"/>
    <s v="VZ-2015-000551"/>
    <x v="130"/>
    <s v="33140000-3"/>
    <m/>
    <n v="1130000"/>
    <x v="0"/>
    <d v="2015-11-25T00:00:00"/>
    <d v="2015-12-03T00:00:00"/>
    <s v="RADIOMETER s.r.o."/>
    <n v="1124200"/>
    <n v="1360282"/>
    <x v="7"/>
    <m/>
  </r>
  <r>
    <s v="ZM "/>
    <s v="Čech"/>
    <s v="VZ-2015-000575"/>
    <x v="131"/>
    <s v="33731110-7"/>
    <m/>
    <n v="3174500"/>
    <x v="3"/>
    <d v="2015-12-11T00:00:00"/>
    <d v="2016-01-05T00:00:00"/>
    <m/>
    <m/>
    <m/>
    <x v="7"/>
    <m/>
  </r>
  <r>
    <m/>
    <m/>
    <m/>
    <x v="19"/>
    <m/>
    <m/>
    <m/>
    <x v="5"/>
    <m/>
    <m/>
    <m/>
    <m/>
    <m/>
    <x v="7"/>
    <m/>
  </r>
  <r>
    <s v="LÉK"/>
    <s v="Ondráčková"/>
    <s v="VZ-2015-000109"/>
    <x v="132"/>
    <s v="33652300-8"/>
    <m/>
    <n v="786093"/>
    <x v="4"/>
    <d v="2015-04-15T00:00:00"/>
    <d v="2015-09-17T00:00:00"/>
    <s v="zrušeno - bez nabídky"/>
    <m/>
    <m/>
    <x v="7"/>
    <d v="2015-09-22T00:00:00"/>
  </r>
  <r>
    <s v="LÉK"/>
    <s v="Ondráčková"/>
    <s v="VZ-2015-000109"/>
    <x v="133"/>
    <s v="33652300-8"/>
    <m/>
    <n v="28950046.32"/>
    <x v="4"/>
    <d v="2015-04-15T00:00:00"/>
    <d v="2015-09-17T00:00:00"/>
    <s v="zrušeno - bez nabídky"/>
    <m/>
    <m/>
    <x v="7"/>
    <d v="2015-09-22T00:00:00"/>
  </r>
  <r>
    <s v="LÉK"/>
    <s v="Ondráčková"/>
    <s v="VZ-2015-000109"/>
    <x v="134"/>
    <s v="33652300-8"/>
    <m/>
    <n v="3440431.91"/>
    <x v="4"/>
    <d v="2015-04-15T00:00:00"/>
    <d v="2015-09-17T00:00:00"/>
    <s v="Roche s.r.o."/>
    <n v="3622829.36"/>
    <n v="3985112.2960000001"/>
    <x v="63"/>
    <d v="2015-12-08T00:00:00"/>
  </r>
  <r>
    <s v="LÉK"/>
    <s v="Ondráčková"/>
    <s v="VZ-2015-000109"/>
    <x v="135"/>
    <s v="33652300-8"/>
    <m/>
    <n v="4043210.08"/>
    <x v="4"/>
    <d v="2015-04-15T00:00:00"/>
    <d v="2015-09-17T00:00:00"/>
    <s v="Janssen Cilag s.r.o."/>
    <n v="6064769.6200000001"/>
    <n v="6671246.5820000004"/>
    <x v="63"/>
    <d v="2015-12-08T00:00:00"/>
  </r>
  <r>
    <s v="LÉK"/>
    <s v="Ondráčková"/>
    <s v="VZ-2015-000110"/>
    <x v="136"/>
    <s v="33652100-6"/>
    <m/>
    <n v="17790572.760000002"/>
    <x v="4"/>
    <d v="2015-04-15T00:00:00"/>
    <d v="2015-10-01T00:00:00"/>
    <s v="Alliance Healthcare s.r.o."/>
    <n v="9397200"/>
    <n v="10336920"/>
    <x v="74"/>
    <d v="2015-12-21T00:00:00"/>
  </r>
  <r>
    <s v="LÉK"/>
    <s v="Ondráčková"/>
    <s v="VZ-2015-000110"/>
    <x v="137"/>
    <s v="33652100-6"/>
    <m/>
    <n v="576267.9"/>
    <x v="4"/>
    <d v="2015-04-15T00:00:00"/>
    <d v="2015-10-01T00:00:00"/>
    <s v="zrušeno - bez nabídky"/>
    <m/>
    <m/>
    <x v="7"/>
    <d v="2015-10-05T00:00:00"/>
  </r>
  <r>
    <s v="LÉK"/>
    <s v="Ondráčková"/>
    <s v="VZ-2015-000111"/>
    <x v="138"/>
    <s v="33652100-6"/>
    <m/>
    <n v="9865636.6500000004"/>
    <x v="4"/>
    <d v="2015-05-19T00:00:00"/>
    <d v="2015-09-22T00:00:00"/>
    <s v="zrušeno - bez nabídky"/>
    <m/>
    <m/>
    <x v="7"/>
    <d v="2015-09-24T00:00:00"/>
  </r>
  <r>
    <s v="LÉK"/>
    <s v="Ondráčková"/>
    <s v="VZ-2015-000111"/>
    <x v="139"/>
    <s v="33652100-6"/>
    <m/>
    <n v="3742855.69"/>
    <x v="4"/>
    <d v="2015-05-19T00:00:00"/>
    <d v="2015-09-22T00:00:00"/>
    <s v="zrušeno - bez nabídky"/>
    <m/>
    <m/>
    <x v="7"/>
    <d v="2015-09-24T00:00:00"/>
  </r>
  <r>
    <s v="LÉK"/>
    <s v="Ondráčková"/>
    <s v="VZ-2015-000111"/>
    <x v="140"/>
    <s v="33652100-6"/>
    <m/>
    <n v="29371692.5"/>
    <x v="4"/>
    <d v="2015-05-19T00:00:00"/>
    <d v="2015-09-22T00:00:00"/>
    <s v="Roche s.r.o."/>
    <n v="29371692.5"/>
    <n v="32308861.750000004"/>
    <x v="63"/>
    <d v="2015-12-08T00:00:00"/>
  </r>
  <r>
    <s v="LÉK"/>
    <s v="Ondráčková"/>
    <s v="VZ-2015-000137"/>
    <x v="141"/>
    <s v="33651000-8"/>
    <m/>
    <n v="1548309"/>
    <x v="4"/>
    <d v="2015-04-16T00:00:00"/>
    <d v="2015-09-16T00:00:00"/>
    <s v="zrušeno - bez nabídky"/>
    <m/>
    <m/>
    <x v="7"/>
    <d v="2015-09-21T00:00:00"/>
  </r>
  <r>
    <s v="LÉK"/>
    <s v="Ondráčková"/>
    <s v="VZ-2015-000137"/>
    <x v="142"/>
    <s v="33651000-8"/>
    <m/>
    <n v="76897.039999999994"/>
    <x v="4"/>
    <d v="2015-04-16T00:00:00"/>
    <d v="2015-09-16T00:00:00"/>
    <s v="B.Braun Medical s.r.o."/>
    <n v="108020"/>
    <n v="118822.00000000001"/>
    <x v="75"/>
    <d v="2015-12-11T00:00:00"/>
  </r>
  <r>
    <s v="LÉK"/>
    <s v="Ondráčková"/>
    <s v="VZ-2015-000137"/>
    <x v="143"/>
    <s v="33651000-8"/>
    <m/>
    <n v="25263.200000000001"/>
    <x v="4"/>
    <d v="2015-04-16T00:00:00"/>
    <d v="2015-09-16T00:00:00"/>
    <s v="PHOENIX"/>
    <n v="441545.93"/>
    <n v="485700.52300000004"/>
    <x v="75"/>
    <d v="2015-12-11T00:00:00"/>
  </r>
  <r>
    <s v="LÉK"/>
    <s v="Ondráčková"/>
    <s v="VZ-2015-000137"/>
    <x v="144"/>
    <s v="33651000-8"/>
    <m/>
    <n v="113158.8"/>
    <x v="4"/>
    <d v="2015-04-16T00:00:00"/>
    <d v="2015-09-16T00:00:00"/>
    <s v="B.Braun Medical s.r.o."/>
    <n v="116100"/>
    <n v="127710.00000000001"/>
    <x v="75"/>
    <d v="2015-12-11T00:00:00"/>
  </r>
  <r>
    <s v="LÉK"/>
    <s v="Ondráčková"/>
    <s v="VZ-2015-000137"/>
    <x v="145"/>
    <s v="33651000-8"/>
    <m/>
    <n v="1500185.6000000001"/>
    <x v="4"/>
    <d v="2015-04-16T00:00:00"/>
    <d v="2015-09-16T00:00:00"/>
    <s v="PHOENIX"/>
    <n v="1616704.1"/>
    <n v="1778374.5100000002"/>
    <x v="75"/>
    <d v="2015-12-11T00:00:00"/>
  </r>
  <r>
    <s v="LÉK"/>
    <s v="Ondráčková"/>
    <s v="VZ-2015-000137"/>
    <x v="146"/>
    <s v="33651000-8"/>
    <m/>
    <n v="4158000"/>
    <x v="4"/>
    <d v="2015-04-16T00:00:00"/>
    <d v="2015-09-16T00:00:00"/>
    <s v="zrušeno - bez nabídky"/>
    <m/>
    <m/>
    <x v="7"/>
    <d v="2015-09-21T00:00:00"/>
  </r>
  <r>
    <s v="LÉK"/>
    <s v="Ondráčková"/>
    <s v="VZ-2015-000137"/>
    <x v="147"/>
    <s v="33651000-8"/>
    <m/>
    <n v="60738"/>
    <x v="4"/>
    <d v="2015-04-16T00:00:00"/>
    <d v="2015-09-16T00:00:00"/>
    <s v="zrušeno - bez nabídky"/>
    <m/>
    <m/>
    <x v="7"/>
    <d v="2015-09-21T00:00:00"/>
  </r>
  <r>
    <s v="LÉK"/>
    <s v="Ondráčková"/>
    <s v="VZ-2015-000137"/>
    <x v="148"/>
    <s v="33651000-8"/>
    <m/>
    <n v="3273139.2"/>
    <x v="4"/>
    <d v="2015-04-16T00:00:00"/>
    <d v="2015-09-16T00:00:00"/>
    <s v="Alliance Healthcare s.r.o."/>
    <n v="3683016"/>
    <n v="4051317.6000000006"/>
    <x v="75"/>
    <d v="2015-12-11T00:00:00"/>
  </r>
  <r>
    <s v="LÉK"/>
    <s v="Ondráčková"/>
    <s v="VZ-2015-000137"/>
    <x v="149"/>
    <s v="33651000-8"/>
    <m/>
    <n v="160302.1"/>
    <x v="4"/>
    <d v="2015-04-16T00:00:00"/>
    <d v="2015-09-16T00:00:00"/>
    <s v="PHOENIX"/>
    <n v="1194514.1000000001"/>
    <n v="1313965.5100000002"/>
    <x v="75"/>
    <d v="2015-12-11T00:00:00"/>
  </r>
  <r>
    <s v="LÉK"/>
    <s v="Ondráčková"/>
    <s v="VZ-2015-000137"/>
    <x v="150"/>
    <s v="33651000-8"/>
    <m/>
    <n v="2868323.04"/>
    <x v="4"/>
    <d v="2015-04-16T00:00:00"/>
    <d v="2015-09-16T00:00:00"/>
    <s v="PHOENIX"/>
    <n v="2930320.8"/>
    <n v="3223352.88"/>
    <x v="75"/>
    <d v="2015-12-11T00:00:00"/>
  </r>
  <r>
    <s v="LÉK"/>
    <s v="Ondráčková"/>
    <s v="VZ-2015-000170"/>
    <x v="151"/>
    <s v="33652000-5"/>
    <m/>
    <n v="24807092.620000001"/>
    <x v="4"/>
    <d v="2015-05-04T00:00:00"/>
    <d v="2015-10-09T00:00:00"/>
    <s v="MERCK s.r.o."/>
    <n v="24765201.472727273"/>
    <n v="27241721.620000001"/>
    <x v="75"/>
    <d v="2015-12-11T00:00:00"/>
  </r>
  <r>
    <s v="LÉK"/>
    <s v="Ondráčková"/>
    <s v="VZ-2015-000170"/>
    <x v="152"/>
    <s v="33652000-5"/>
    <m/>
    <n v="27730590.539999999"/>
    <x v="4"/>
    <d v="2015-05-04T00:00:00"/>
    <d v="2015-10-09T00:00:00"/>
    <s v="AVENIER a.s."/>
    <n v="27730215"/>
    <n v="30503236.500000004"/>
    <x v="75"/>
    <d v="2015-12-11T00:00:00"/>
  </r>
  <r>
    <s v="LÉK"/>
    <s v="Ondráčková"/>
    <s v="VZ-2015-000170"/>
    <x v="153"/>
    <s v="33652000-5"/>
    <m/>
    <n v="4410000"/>
    <x v="4"/>
    <d v="2015-05-04T00:00:00"/>
    <d v="2015-10-09T00:00:00"/>
    <s v="Alliance Healthcare s.r.o."/>
    <n v="4630500"/>
    <n v="5093550"/>
    <x v="75"/>
    <d v="2015-12-11T00:00:00"/>
  </r>
  <r>
    <s v="LÉK"/>
    <s v="Ondráčková"/>
    <s v="VZ-2015-000170"/>
    <x v="154"/>
    <s v="33652000-5"/>
    <m/>
    <n v="2894694.39"/>
    <x v="4"/>
    <d v="2015-05-04T00:00:00"/>
    <d v="2015-10-09T00:00:00"/>
    <s v="PHOENIX"/>
    <n v="2894694.73"/>
    <n v="3184164.2030000002"/>
    <x v="75"/>
    <d v="2015-12-11T00:00:00"/>
  </r>
  <r>
    <s v="LÉK"/>
    <s v="Ondráčková"/>
    <s v="VZ-2015-000170"/>
    <x v="155"/>
    <s v="33652000-5"/>
    <m/>
    <n v="3232117.2"/>
    <x v="4"/>
    <d v="2015-05-04T00:00:00"/>
    <d v="2015-10-09T00:00:00"/>
    <s v="zrušeno - bez nabídky"/>
    <m/>
    <m/>
    <x v="7"/>
    <d v="2015-10-13T00:00:00"/>
  </r>
  <r>
    <s v="LÉK"/>
    <s v="Ondráčková"/>
    <s v="VZ-2015-000170"/>
    <x v="156"/>
    <s v="33652000-5"/>
    <m/>
    <n v="23091145.399999999"/>
    <x v="4"/>
    <d v="2015-05-04T00:00:00"/>
    <d v="2015-10-09T00:00:00"/>
    <s v="zrušeno - bez nabídky"/>
    <m/>
    <m/>
    <x v="7"/>
    <d v="2015-10-13T00:00:00"/>
  </r>
  <r>
    <s v="LÉK"/>
    <s v="Ondráčková"/>
    <s v="VZ-2015-000231"/>
    <x v="157"/>
    <s v="33652000-5"/>
    <m/>
    <n v="7105683.7999999998"/>
    <x v="4"/>
    <d v="2015-05-26T00:00:00"/>
    <d v="2015-09-25T00:00:00"/>
    <s v="zrušeno - bez nabídky"/>
    <m/>
    <m/>
    <x v="7"/>
    <d v="2015-10-02T00:00:00"/>
  </r>
  <r>
    <s v="LÉK"/>
    <s v="Ondráčková"/>
    <s v="VZ-2015-000231"/>
    <x v="158"/>
    <s v="33652000-5"/>
    <m/>
    <n v="13029000"/>
    <x v="4"/>
    <d v="2015-05-26T00:00:00"/>
    <d v="2015-09-25T00:00:00"/>
    <s v="Alliance Healthcare s.r.o."/>
    <n v="13055058"/>
    <n v="14360563.800000001"/>
    <x v="74"/>
    <d v="2015-12-21T00:00:00"/>
  </r>
  <r>
    <s v="LÉK"/>
    <s v="Ondráčková"/>
    <s v="VZ-2015-000231"/>
    <x v="159"/>
    <s v="33652000-5"/>
    <m/>
    <n v="5737513.6500000004"/>
    <x v="4"/>
    <d v="2015-05-26T00:00:00"/>
    <d v="2015-09-25T00:00:00"/>
    <s v="zrušeno - bez nabídky"/>
    <m/>
    <m/>
    <x v="7"/>
    <d v="2015-10-02T00:00:00"/>
  </r>
  <r>
    <s v="LÉK"/>
    <s v="Ondráčková"/>
    <s v="VZ-2015-000231"/>
    <x v="160"/>
    <s v="33652000-5"/>
    <m/>
    <n v="503321.28"/>
    <x v="4"/>
    <d v="2015-05-26T00:00:00"/>
    <d v="2015-09-25T00:00:00"/>
    <s v="Alliance Healthcare s.r.o."/>
    <n v="528487.43999999994"/>
    <n v="581336.18400000001"/>
    <x v="74"/>
    <d v="2015-12-21T00:00:00"/>
  </r>
  <r>
    <s v="LÉK"/>
    <s v="Ondráčková"/>
    <s v="VZ-2015-000231"/>
    <x v="161"/>
    <s v="33652000-5"/>
    <m/>
    <n v="2766134.36"/>
    <x v="4"/>
    <d v="2015-05-26T00:00:00"/>
    <d v="2015-09-25T00:00:00"/>
    <s v="zrušeno - bez nabídky"/>
    <m/>
    <m/>
    <x v="7"/>
    <d v="2015-10-02T00:00:00"/>
  </r>
  <r>
    <s v="LÉK"/>
    <s v="Ondráčková"/>
    <s v="VZ-2015-000231"/>
    <x v="162"/>
    <s v="33652000-5"/>
    <m/>
    <n v="19449675.510000002"/>
    <x v="4"/>
    <d v="2015-05-26T00:00:00"/>
    <d v="2015-09-25T00:00:00"/>
    <s v="zrušeno - bez nabídky"/>
    <m/>
    <m/>
    <x v="7"/>
    <d v="2015-10-02T00:00:00"/>
  </r>
  <r>
    <s v="LÉK"/>
    <s v="Ondráčková"/>
    <s v="VZ-2015-000231"/>
    <x v="163"/>
    <s v="33652000-5"/>
    <m/>
    <n v="4984496"/>
    <x v="4"/>
    <d v="2015-05-26T00:00:00"/>
    <d v="2015-09-25T00:00:00"/>
    <s v="Alliance Healthcare s.r.o."/>
    <n v="5129631.2"/>
    <n v="5642594.3200000003"/>
    <x v="74"/>
    <d v="2015-12-21T00:00:00"/>
  </r>
  <r>
    <s v="LÉK"/>
    <s v="Ondráčková"/>
    <s v="VZ-2015-000231"/>
    <x v="164"/>
    <s v="33652000-5"/>
    <m/>
    <n v="830434.6"/>
    <x v="4"/>
    <d v="2015-05-26T00:00:00"/>
    <d v="2015-09-25T00:00:00"/>
    <s v="zrušeno - bez nabídky"/>
    <m/>
    <m/>
    <x v="7"/>
    <d v="2015-10-02T00:00:00"/>
  </r>
  <r>
    <s v="LÉK"/>
    <s v="Ondráčková"/>
    <s v="VZ-2015-000279"/>
    <x v="165"/>
    <s v="33652000-5"/>
    <m/>
    <n v="1096900"/>
    <x v="4"/>
    <d v="2015-06-10T00:00:00"/>
    <d v="2015-10-15T00:00:00"/>
    <s v="PHOENIX"/>
    <n v="1296622.25"/>
    <n v="1426284.4750000001"/>
    <x v="63"/>
    <d v="2015-12-09T00:00:00"/>
  </r>
  <r>
    <s v="LÉK"/>
    <s v="Ondráčková"/>
    <s v="VZ-2015-000279"/>
    <x v="166"/>
    <s v="33652000-5"/>
    <m/>
    <n v="3429010"/>
    <x v="4"/>
    <d v="2015-06-10T00:00:00"/>
    <d v="2015-10-15T00:00:00"/>
    <s v="Amgen s.r.o."/>
    <n v="3429010"/>
    <n v="3771911.0000000005"/>
    <x v="63"/>
    <d v="2015-12-09T00:00:00"/>
  </r>
  <r>
    <s v="LÉK"/>
    <s v="Ondráčková"/>
    <s v="VZ-2015-000279"/>
    <x v="167"/>
    <s v="33652000-5"/>
    <m/>
    <n v="254090.8"/>
    <x v="4"/>
    <d v="2015-06-10T00:00:00"/>
    <d v="2015-10-15T00:00:00"/>
    <s v="zrušeno - bez nabídky"/>
    <m/>
    <m/>
    <x v="7"/>
    <d v="2015-10-16T00:00:00"/>
  </r>
  <r>
    <s v="LÉK"/>
    <s v="Ondráčková"/>
    <s v="VZ-2015-000500"/>
    <x v="168"/>
    <s v="33711700-4"/>
    <m/>
    <n v="407600"/>
    <x v="0"/>
    <d v="2015-10-29T00:00:00"/>
    <d v="2015-11-04T00:00:00"/>
    <s v="Maxpharma servis s.r.o."/>
    <n v="305700"/>
    <n v="369897"/>
    <x v="70"/>
    <s v="xxx"/>
  </r>
  <r>
    <s v="LÉK"/>
    <s v="Ondráčková"/>
    <s v="VZ-2015-000538"/>
    <x v="169"/>
    <s v="33621300-2"/>
    <m/>
    <n v="3383579.88"/>
    <x v="3"/>
    <d v="2015-12-21T00:00:00"/>
    <d v="2016-01-12T00:00:00"/>
    <m/>
    <m/>
    <m/>
    <x v="7"/>
    <m/>
  </r>
  <r>
    <s v="LÉK"/>
    <s v="Koranda"/>
    <s v="VZ-2015-000569"/>
    <x v="170"/>
    <s v="09343000-5"/>
    <m/>
    <n v="39182000"/>
    <x v="4"/>
    <m/>
    <m/>
    <m/>
    <m/>
    <m/>
    <x v="7"/>
    <m/>
  </r>
  <r>
    <m/>
    <m/>
    <m/>
    <x v="19"/>
    <m/>
    <m/>
    <m/>
    <x v="5"/>
    <m/>
    <m/>
    <m/>
    <m/>
    <m/>
    <x v="7"/>
    <m/>
  </r>
  <r>
    <s v="OK"/>
    <s v="Cahlíková"/>
    <s v="VZ-2015-000017"/>
    <x v="171"/>
    <s v="72225000-8"/>
    <m/>
    <n v="500000"/>
    <x v="0"/>
    <d v="2015-01-23T00:00:00"/>
    <d v="2015-02-03T00:00:00"/>
    <s v="CSAS - Renata Podstatová"/>
    <n v="225000"/>
    <n v="272250"/>
    <x v="76"/>
    <s v="xxx"/>
  </r>
  <r>
    <s v="OK"/>
    <s v="Cahlíková"/>
    <s v="VZ-2015-000288"/>
    <x v="172"/>
    <s v="72225000-8"/>
    <m/>
    <n v="100000"/>
    <x v="0"/>
    <d v="2015-06-12T00:00:00"/>
    <d v="2015-06-29T00:00:00"/>
    <s v="CERTLINE s.r.o."/>
    <n v="89000"/>
    <n v="107690"/>
    <x v="77"/>
    <s v="xxx"/>
  </r>
  <r>
    <s v="OK"/>
    <s v="Cahlíková"/>
    <s v="VZ-2015-000372"/>
    <x v="173"/>
    <s v="79212300-6"/>
    <m/>
    <n v="200000"/>
    <x v="0"/>
    <d v="2015-08-10T00:00:00"/>
    <d v="2015-08-20T00:00:00"/>
    <s v="Ole audity s.r.o."/>
    <n v="197200"/>
    <n v="238612"/>
    <x v="78"/>
    <s v="xxx"/>
  </r>
  <r>
    <s v="OK"/>
    <s v="Cahlíková"/>
    <m/>
    <x v="174"/>
    <s v="79212300-6"/>
    <m/>
    <n v="600000"/>
    <x v="0"/>
    <d v="2015-08-10T00:00:00"/>
    <d v="2015-08-20T00:00:00"/>
    <s v="ČSFM o.s."/>
    <n v="465000"/>
    <n v="465000"/>
    <x v="78"/>
    <s v="xxx"/>
  </r>
  <r>
    <m/>
    <m/>
    <m/>
    <x v="19"/>
    <m/>
    <m/>
    <m/>
    <x v="5"/>
    <m/>
    <m/>
    <m/>
    <m/>
    <m/>
    <x v="7"/>
    <m/>
  </r>
  <r>
    <s v="DOPR"/>
    <s v="Solovský"/>
    <s v="VZ-2015-000272"/>
    <x v="175"/>
    <s v="33192160-1"/>
    <s v="1.2.29; 1.2.30"/>
    <n v="200000"/>
    <x v="0"/>
    <d v="2015-06-15T00:00:00"/>
    <d v="2015-06-26T00:00:00"/>
    <s v="Medirols.r.o."/>
    <n v="197776.12"/>
    <n v="239309.11"/>
    <x v="23"/>
    <s v="xxx"/>
  </r>
  <r>
    <s v="DOPR"/>
    <s v="Solovský"/>
    <s v="VZ-2015-000329"/>
    <x v="176"/>
    <s v="34300000-0"/>
    <m/>
    <n v="3000000"/>
    <x v="4"/>
    <d v="2015-07-07T00:00:00"/>
    <d v="2015-11-18T00:00:00"/>
    <s v="Jiří Klanica"/>
    <n v="1590000"/>
    <n v="1923900"/>
    <x v="79"/>
    <m/>
  </r>
  <r>
    <s v="DOPR"/>
    <s v="Solovský"/>
    <s v="VZ-2015-000329"/>
    <x v="177"/>
    <s v="50110000-9"/>
    <m/>
    <n v="1600000"/>
    <x v="4"/>
    <d v="2015-07-07T00:00:00"/>
    <d v="2015-11-18T00:00:00"/>
    <s v="Jiří Klanica"/>
    <n v="240080"/>
    <n v="290496.8"/>
    <x v="79"/>
    <m/>
  </r>
  <r>
    <s v="DOPR"/>
    <s v="Solovský"/>
    <s v="VZ-2015-000415"/>
    <x v="178"/>
    <s v="34351100-3"/>
    <m/>
    <n v="560000"/>
    <x v="0"/>
    <d v="2015-09-09T00:00:00"/>
    <d v="2015-09-24T00:00:00"/>
    <s v="Skarab s.r.o."/>
    <n v="459828"/>
    <n v="556391.88"/>
    <x v="37"/>
    <d v="2015-11-04T00:00:00"/>
  </r>
  <r>
    <s v="DOPR"/>
    <s v="Solovský"/>
    <s v="VZ-2015-000570"/>
    <x v="179"/>
    <s v="34114110-3"/>
    <s v="2016"/>
    <n v="3150000"/>
    <x v="4"/>
    <m/>
    <m/>
    <m/>
    <m/>
    <m/>
    <x v="7"/>
    <m/>
  </r>
  <r>
    <s v="DOPR"/>
    <s v="Solovský"/>
    <s v="VZ-2015-000579"/>
    <x v="180"/>
    <s v="42415200-0"/>
    <s v="2016"/>
    <n v="4500000"/>
    <x v="4"/>
    <m/>
    <m/>
    <m/>
    <m/>
    <m/>
    <x v="7"/>
    <m/>
  </r>
  <r>
    <m/>
    <m/>
    <m/>
    <x v="19"/>
    <m/>
    <m/>
    <m/>
    <x v="5"/>
    <m/>
    <m/>
    <m/>
    <m/>
    <m/>
    <x v="7"/>
    <m/>
  </r>
  <r>
    <s v="PRAD"/>
    <s v="Švrdlíková, Simon"/>
    <s v="VZ-2015-000143"/>
    <x v="181"/>
    <s v="39831000-6"/>
    <m/>
    <n v="1480000"/>
    <x v="2"/>
    <d v="2015-05-05T00:00:00"/>
    <d v="2015-05-13T00:00:00"/>
    <s v="Christeyns s.r.o."/>
    <n v="1480100"/>
    <n v="1786950"/>
    <x v="51"/>
    <d v="2015-07-27T00:00:00"/>
  </r>
  <r>
    <s v="EKOL"/>
    <s v="Zapletálek"/>
    <s v="VZ-2015-000223"/>
    <x v="182"/>
    <s v="90524400-0"/>
    <m/>
    <n v="12315000"/>
    <x v="4"/>
    <m/>
    <m/>
    <m/>
    <m/>
    <m/>
    <x v="7"/>
    <m/>
  </r>
  <r>
    <s v="NLP"/>
    <s v="Šamaj"/>
    <s v="VZ-2015-000095"/>
    <x v="183"/>
    <s v="45231510-3"/>
    <s v="1.1.9.; 1.1.10. "/>
    <n v="85000000"/>
    <x v="8"/>
    <d v="2015-04-23T00:00:00"/>
    <d v="2015-07-27T00:00:00"/>
    <s v="PROFITERM"/>
    <n v="86954208.549999997"/>
    <n v="105214592.34999999"/>
    <x v="80"/>
    <d v="2015-09-08T00:00:00"/>
  </r>
  <r>
    <s v="MLUVČÍ"/>
    <s v="Havrlant"/>
    <s v="VZ-2015-000362"/>
    <x v="184"/>
    <s v="35261100-2"/>
    <m/>
    <n v="1990000"/>
    <x v="0"/>
    <m/>
    <m/>
    <m/>
    <m/>
    <m/>
    <x v="7"/>
    <m/>
  </r>
  <r>
    <s v="OPS"/>
    <s v="Simon"/>
    <s v="VZ-2015-000472"/>
    <x v="185"/>
    <s v="98341130-5"/>
    <m/>
    <n v="600000"/>
    <x v="0"/>
    <d v="2015-10-22T00:00:00"/>
    <d v="2015-11-03T00:00:00"/>
    <s v="LIMA úklid"/>
    <s v="70,- Kč / hodina"/>
    <s v="84,70 Kč / hodina"/>
    <x v="14"/>
    <d v="2015-12-21T00:00:00"/>
  </r>
  <r>
    <s v="OEC"/>
    <s v="Štýbnarová"/>
    <s v="VZ-2015-000565"/>
    <x v="186"/>
    <s v="34927000-1"/>
    <s v="2016"/>
    <n v="135000"/>
    <x v="0"/>
    <d v="2015-12-07T00:00:00"/>
    <d v="2015-12-17T00:00:00"/>
    <s v="IDENTCODE s.r.o."/>
    <n v="139600"/>
    <n v="168916"/>
    <x v="7"/>
    <s v="xxx"/>
  </r>
  <r>
    <m/>
    <m/>
    <m/>
    <x v="19"/>
    <m/>
    <m/>
    <m/>
    <x v="5"/>
    <m/>
    <m/>
    <m/>
    <m/>
    <m/>
    <x v="7"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">
  <r>
    <s v="37/2014"/>
    <s v="ZT"/>
    <s v="Čech"/>
    <x v="0"/>
    <s v="33694000-1"/>
    <m/>
    <n v="2350000"/>
    <x v="0"/>
    <d v="2014-12-02T00:00:00"/>
    <d v="2014-12-18T00:00:00"/>
    <s v="PharmaTech s.r.o."/>
    <n v="2345985"/>
    <n v="2838642"/>
    <x v="0"/>
    <d v="2016-06-30T00:00:00"/>
    <d v="2017-03-09T00:00:00"/>
  </r>
  <r>
    <s v="VZ-2015-000164"/>
    <s v="OHM"/>
    <s v="Gregor"/>
    <x v="1"/>
    <s v="50421200-4"/>
    <m/>
    <n v="36000000"/>
    <x v="1"/>
    <d v="2015-10-27T00:00:00"/>
    <d v="2015-12-22T00:00:00"/>
    <s v="zrušeno - pouze j nabídka nesplnění zadávacích podmínek, zásah do smlouvy"/>
    <m/>
    <m/>
    <x v="1"/>
    <d v="2016-02-02T00:00:00"/>
    <m/>
  </r>
  <r>
    <s v="VZ-2015-000171"/>
    <s v="OEIS"/>
    <s v="Berger"/>
    <x v="2"/>
    <s v="72250000-2"/>
    <m/>
    <n v="6000000"/>
    <x v="1"/>
    <d v="2015-10-12T00:00:00"/>
    <d v="2015-12-07T00:00:00"/>
    <s v="OR-NEXT s.r.o."/>
    <n v="5980000"/>
    <n v="7235800"/>
    <x v="2"/>
    <d v="2016-02-10T00:00:00"/>
    <d v="2017-03-03T00:00:00"/>
  </r>
  <r>
    <s v="VZ-2015-000223"/>
    <s v="EKOL"/>
    <s v="Zapletálek"/>
    <x v="3"/>
    <s v="90524400-0"/>
    <m/>
    <n v="12315000"/>
    <x v="1"/>
    <s v="nerealizováno - bude připravena nová VZ  (VZ-2016-000602)"/>
    <m/>
    <m/>
    <m/>
    <m/>
    <x v="1"/>
    <m/>
    <m/>
  </r>
  <r>
    <s v="VZ-2015-000270"/>
    <s v="ZT"/>
    <s v="Čech"/>
    <x v="4"/>
    <s v="33694000-1"/>
    <m/>
    <n v="1900000"/>
    <x v="2"/>
    <d v="2015-06-24T00:00:00"/>
    <d v="2015-07-08T00:00:00"/>
    <s v="HPST s.r.o."/>
    <n v="1982405.77"/>
    <n v="2398710.98"/>
    <x v="3"/>
    <s v="xxx"/>
    <s v="xxx"/>
  </r>
  <r>
    <s v="VZ-2015-000329"/>
    <s v="DOPR"/>
    <s v="Solovský"/>
    <x v="5"/>
    <s v="34300000-0"/>
    <m/>
    <n v="3000000"/>
    <x v="1"/>
    <d v="2015-07-07T00:00:00"/>
    <d v="2015-11-18T00:00:00"/>
    <s v="Jiří Klanica"/>
    <n v="1590000"/>
    <n v="1923900"/>
    <x v="4"/>
    <d v="2016-01-08T00:00:00"/>
    <d v="2016-03-06T00:00:00"/>
  </r>
  <r>
    <s v="VZ-2015-000329"/>
    <s v="DOPR"/>
    <s v="Solovský"/>
    <x v="6"/>
    <s v="50110000-9"/>
    <m/>
    <n v="1600000"/>
    <x v="1"/>
    <d v="2015-07-07T00:00:00"/>
    <d v="2015-11-18T00:00:00"/>
    <s v="Jiří Klanica"/>
    <n v="240080"/>
    <n v="290496.8"/>
    <x v="4"/>
    <d v="2016-01-08T00:00:00"/>
    <d v="2016-03-06T00:00:00"/>
  </r>
  <r>
    <s v="VZ-2015-000362"/>
    <s v="OBN"/>
    <s v="Ing. Merta"/>
    <x v="7"/>
    <s v="35261100-2"/>
    <m/>
    <n v="1990000"/>
    <x v="3"/>
    <d v="2016-01-07T00:00:00"/>
    <d v="2016-01-19T00:00:00"/>
    <s v="zrušeno - pouze 1 nabídka, která překročila max. a nepřekročitelnou předpokládanou hodnotu VZ"/>
    <m/>
    <m/>
    <x v="1"/>
    <s v="xxx"/>
    <s v="xxx"/>
  </r>
  <r>
    <s v="VZ-2015-000376"/>
    <s v="INV"/>
    <s v="Kvapil"/>
    <x v="8"/>
    <s v="45215100-8"/>
    <s v="1.1.2./2015"/>
    <n v="19850000"/>
    <x v="1"/>
    <d v="2015-11-20T00:00:00"/>
    <d v="2015-12-21T00:00:00"/>
    <s v="OHL ŽS a.s."/>
    <n v="18861585"/>
    <n v="22822518"/>
    <x v="5"/>
    <d v="2016-03-03T00:00:00"/>
    <d v="2016-11-04T00:00:00"/>
  </r>
  <r>
    <s v="VZ-2015-000408"/>
    <s v="ZT"/>
    <s v="Čech"/>
    <x v="9"/>
    <s v="42900000-5"/>
    <s v="2.3.56/2015"/>
    <n v="1900000"/>
    <x v="3"/>
    <d v="2015-09-11T00:00:00"/>
    <d v="2015-09-24T00:00:00"/>
    <s v="Riva Europe Ltd."/>
    <n v="1912000"/>
    <n v="1912000"/>
    <x v="4"/>
    <d v="2016-01-07T00:00:00"/>
    <s v="xxx"/>
  </r>
  <r>
    <s v="VZ-2015-000429"/>
    <s v="INV"/>
    <s v="Kvapil"/>
    <x v="10"/>
    <s v="71000000-8"/>
    <s v="1.2.1/2015"/>
    <n v="8000000"/>
    <x v="1"/>
    <d v="2015-11-05T00:00:00"/>
    <d v="2016-01-04T00:00:00"/>
    <s v="Adam Rujbr Architects"/>
    <n v="5950000"/>
    <n v="7199500"/>
    <x v="6"/>
    <d v="2016-02-15T00:00:00"/>
    <d v="2019-03-28T00:00:00"/>
  </r>
  <r>
    <s v="VZ-2015-000438"/>
    <s v="ZT"/>
    <s v="Čech"/>
    <x v="11"/>
    <s v="33694000-1"/>
    <m/>
    <n v="9222500"/>
    <x v="1"/>
    <d v="2015-11-09T00:00:00"/>
    <d v="2016-01-08T00:00:00"/>
    <s v="BIOMEDICA ČS, s.r.o."/>
    <n v="9170103.8699999992"/>
    <n v="11095825.68"/>
    <x v="7"/>
    <d v="2016-02-17T00:00:00"/>
    <d v="2017-03-09T00:00:00"/>
  </r>
  <r>
    <s v="VZ-2015-000479"/>
    <s v="OHM"/>
    <s v="Rozehnal"/>
    <x v="12"/>
    <s v="32570000-9"/>
    <s v="2.1.28./2015"/>
    <n v="4825000"/>
    <x v="1"/>
    <d v="2015-10-15T00:00:00"/>
    <d v="2015-12-08T00:00:00"/>
    <s v="První chráněná dílna"/>
    <n v="4819538.99"/>
    <n v="5831642.1799999997"/>
    <x v="7"/>
    <d v="2016-02-17T00:00:00"/>
    <d v="2017-03-06T00:00:00"/>
  </r>
  <r>
    <s v="VZ-2015-000483"/>
    <s v="INF"/>
    <s v="Oravec"/>
    <x v="13"/>
    <s v="32552310-3               45314310-7"/>
    <s v="2016"/>
    <n v="10250000"/>
    <x v="1"/>
    <d v="2016-04-13T00:00:00"/>
    <d v="2016-07-14T00:00:00"/>
    <s v="Eriserv spol.s r.o."/>
    <n v="9019945"/>
    <n v="10914133.449999999"/>
    <x v="8"/>
    <d v="2016-09-12T00:00:00"/>
    <d v="2017-06-05T00:00:00"/>
  </r>
  <r>
    <s v="VZ-2015-000519"/>
    <s v="INF"/>
    <s v="Oravec"/>
    <x v="14"/>
    <s v="30233141-1"/>
    <s v="1.4.3./2015"/>
    <n v="1970000"/>
    <x v="4"/>
    <d v="2015-11-20T00:00:00"/>
    <d v="2015-12-01T00:00:00"/>
    <s v="Notes CS a.s."/>
    <n v="1959575.21"/>
    <n v="2371086"/>
    <x v="9"/>
    <d v="2016-01-06T00:00:00"/>
    <d v="2016-03-31T00:00:00"/>
  </r>
  <r>
    <s v="VZ-2015-000530"/>
    <s v="OHM"/>
    <s v="Holibka"/>
    <x v="15"/>
    <s v="44161110-0"/>
    <s v="1.2.36/2015"/>
    <n v="230000"/>
    <x v="3"/>
    <d v="2015-11-12T00:00:00"/>
    <d v="2015-11-26T00:00:00"/>
    <s v="Dräger Medical s.r.o."/>
    <n v="197906"/>
    <n v="239466"/>
    <x v="10"/>
    <s v="xxx"/>
    <s v="xxx"/>
  </r>
  <r>
    <s v="VZ-2015-000538"/>
    <s v="LÉK"/>
    <s v="Ondráčková"/>
    <x v="16"/>
    <s v="33621300-2"/>
    <m/>
    <n v="1363270.02"/>
    <x v="0"/>
    <d v="2015-12-21T00:00:00"/>
    <d v="2016-01-12T00:00:00"/>
    <s v="zrušeno - pouze 1 nabídka, která překročila max. a nepřekročitelnou předpokládanou hodnotu VZ"/>
    <m/>
    <m/>
    <x v="1"/>
    <d v="2016-01-14T00:00:00"/>
    <m/>
  </r>
  <r>
    <s v="VZ-2015-000538"/>
    <s v="LÉK"/>
    <s v="Ondráčková"/>
    <x v="17"/>
    <s v="33621300-2"/>
    <m/>
    <n v="685458.68"/>
    <x v="0"/>
    <d v="2015-12-21T00:00:00"/>
    <d v="2016-01-12T00:00:00"/>
    <s v="AMGEN s.r.o."/>
    <n v="693664.8"/>
    <n v="763031.28"/>
    <x v="11"/>
    <d v="2016-03-08T00:00:00"/>
    <d v="2017-03-24T00:00:00"/>
  </r>
  <r>
    <s v="VZ-2015-000538"/>
    <s v="LÉK"/>
    <s v="Ondráčková"/>
    <x v="18"/>
    <s v="33621300-2"/>
    <m/>
    <n v="1334851.18"/>
    <x v="0"/>
    <d v="2015-12-21T00:00:00"/>
    <d v="2016-01-12T00:00:00"/>
    <s v="PHOENIX"/>
    <n v="1324263.6000000001"/>
    <n v="1456689.96"/>
    <x v="11"/>
    <d v="2016-03-08T00:00:00"/>
    <d v="2017-03-24T00:00:00"/>
  </r>
  <r>
    <s v="VZ-2015-000543"/>
    <s v="ZM "/>
    <s v="Dočkalová"/>
    <x v="19"/>
    <s v="33681000-7"/>
    <m/>
    <n v="1980000"/>
    <x v="3"/>
    <d v="2015-11-19T00:00:00"/>
    <d v="2015-12-02T00:00:00"/>
    <s v="S.A.B. Impex s.r.o."/>
    <n v="2186970"/>
    <n v="2646233.7000000002"/>
    <x v="12"/>
    <d v="2016-01-07T00:00:00"/>
    <s v="xxx"/>
  </r>
  <r>
    <s v="VZ-2015-000544"/>
    <s v="OSB "/>
    <s v="Vaida"/>
    <x v="20"/>
    <s v="45421100-5"/>
    <m/>
    <n v="550000"/>
    <x v="3"/>
    <d v="2015-11-24T00:00:00"/>
    <d v="2015-12-11T00:00:00"/>
    <s v="DEC - PLAST s.r.o."/>
    <n v="730775.36363636365"/>
    <n v="884238.19"/>
    <x v="13"/>
    <d v="2016-02-18T00:00:00"/>
    <s v="xxx"/>
  </r>
  <r>
    <s v="VZ-2015-000551"/>
    <s v="ZM "/>
    <s v="Dočkalová"/>
    <x v="21"/>
    <s v="33140000-3"/>
    <m/>
    <n v="1130000"/>
    <x v="3"/>
    <d v="2015-11-25T00:00:00"/>
    <d v="2015-12-03T00:00:00"/>
    <s v="RADIOMETER s.r.o."/>
    <n v="1124200"/>
    <n v="1360282"/>
    <x v="14"/>
    <d v="2016-01-18T00:00:00"/>
    <s v="xxx"/>
  </r>
  <r>
    <s v="VZ-2015-000556"/>
    <s v="ZT"/>
    <s v="Novák"/>
    <x v="22"/>
    <s v="33162100-4"/>
    <m/>
    <n v="120000"/>
    <x v="3"/>
    <d v="2015-12-07T00:00:00"/>
    <d v="2015-12-17T00:00:00"/>
    <s v="Johnson &amp; Johnson"/>
    <n v="118846.36363636365"/>
    <n v="143804.1"/>
    <x v="15"/>
    <s v="xxx"/>
    <s v="xxx"/>
  </r>
  <r>
    <s v="VZ-2015-000565"/>
    <s v="OEC"/>
    <s v="Štýbnarová"/>
    <x v="23"/>
    <s v="34927000-1"/>
    <s v="4.1.1./2016"/>
    <n v="135000"/>
    <x v="3"/>
    <d v="2015-12-07T00:00:00"/>
    <d v="2015-12-17T00:00:00"/>
    <s v="IDENTCODE s.r.o."/>
    <n v="139600"/>
    <n v="168916"/>
    <x v="10"/>
    <s v="xxx"/>
    <s v="xxx"/>
  </r>
  <r>
    <s v="VZ-2015-000568"/>
    <s v="ZT"/>
    <s v="Novák"/>
    <x v="24"/>
    <s v="33128000-3"/>
    <m/>
    <n v="500000"/>
    <x v="3"/>
    <d v="2015-12-18T00:00:00"/>
    <d v="2016-01-08T00:00:00"/>
    <s v="GRANE s.r.o."/>
    <n v="429500"/>
    <n v="519695"/>
    <x v="6"/>
    <s v="xxx"/>
    <s v="xxx"/>
  </r>
  <r>
    <s v="VZ-2015-000569"/>
    <s v="LÉK"/>
    <s v="Koranda"/>
    <x v="25"/>
    <s v="09343000-5"/>
    <m/>
    <n v="39182000"/>
    <x v="1"/>
    <d v="2016-04-04T00:00:00"/>
    <d v="2016-07-08T00:00:00"/>
    <s v="RadioMedic s.r.o."/>
    <n v="33976800"/>
    <n v="37374480"/>
    <x v="16"/>
    <d v="2016-12-06T00:00:00"/>
    <d v="2019-06-03T00:00:00"/>
  </r>
  <r>
    <s v="VZ-2015-000570"/>
    <s v="DOPR"/>
    <s v="Solovský"/>
    <x v="26"/>
    <s v="34114110-3"/>
    <s v="4.1.2./2016"/>
    <n v="1900000"/>
    <x v="1"/>
    <d v="2016-01-15T00:00:00"/>
    <d v="2016-03-18T00:00:00"/>
    <s v="Autodružstvo Podbabská "/>
    <n v="1776000"/>
    <n v="2148960"/>
    <x v="17"/>
    <d v="2016-05-25T00:00:00"/>
    <d v="2016-11-28T00:00:00"/>
  </r>
  <r>
    <s v="VZ-2015-000570"/>
    <s v="DOPR"/>
    <s v="Solovský"/>
    <x v="27"/>
    <s v="34114110-3"/>
    <s v="4.1.3./2016"/>
    <n v="1250000"/>
    <x v="1"/>
    <d v="2016-01-15T00:00:00"/>
    <d v="2016-03-18T00:00:00"/>
    <s v="Autodružstvo Podbabská "/>
    <n v="1233000"/>
    <n v="1491930"/>
    <x v="17"/>
    <d v="2016-05-25T00:00:00"/>
    <d v="2017-01-23T00:00:00"/>
  </r>
  <r>
    <s v="VZ-2015-000575"/>
    <s v="ZM "/>
    <s v="Čech"/>
    <x v="28"/>
    <s v="33731110-7"/>
    <m/>
    <n v="3174500"/>
    <x v="0"/>
    <d v="2015-12-11T00:00:00"/>
    <d v="2016-01-05T00:00:00"/>
    <s v="ALCON Pharmaceuticals"/>
    <n v="3174265"/>
    <n v="3650404.75"/>
    <x v="18"/>
    <d v="2016-02-08T00:00:00"/>
    <d v="2017-03-06T00:00:00"/>
  </r>
  <r>
    <s v="VZ-2015-000579"/>
    <s v="DOPR"/>
    <s v="Solovský"/>
    <x v="29"/>
    <s v="42415200-0"/>
    <s v="4.1.4. + 4.1.5./2016"/>
    <n v="4500000"/>
    <x v="1"/>
    <d v="2016-02-02T00:00:00"/>
    <d v="2016-03-29T00:00:00"/>
    <s v="zrušeno - bez nabídky"/>
    <m/>
    <m/>
    <x v="1"/>
    <d v="2016-03-30T00:00:00"/>
    <m/>
  </r>
  <r>
    <s v="VZ-2016-000003"/>
    <s v="INF"/>
    <s v="Oravec"/>
    <x v="30"/>
    <s v="33197000-7"/>
    <s v="1.4.4./2015"/>
    <n v="1980000"/>
    <x v="3"/>
    <d v="2016-01-07T00:00:00"/>
    <d v="2016-01-19T00:00:00"/>
    <s v="První chráněná dílna"/>
    <n v="1894554"/>
    <n v="2292410.34"/>
    <x v="6"/>
    <d v="2016-02-12T00:00:00"/>
    <s v="xxx"/>
  </r>
  <r>
    <s v="VZ-2016-000005"/>
    <s v="EKOL"/>
    <s v="Zapletálek"/>
    <x v="31"/>
    <s v="90621000-9"/>
    <m/>
    <n v="1160000"/>
    <x v="5"/>
    <d v="2016-01-11T00:00:00"/>
    <d v="2016-01-20T00:00:00"/>
    <s v="Ratex v.o.s."/>
    <n v="234170.00000000003"/>
    <n v="283345.7"/>
    <x v="0"/>
    <s v="xxx"/>
    <s v="xxx"/>
  </r>
  <r>
    <s v="VZ-2016-000010"/>
    <s v="INF"/>
    <s v="Oravec"/>
    <x v="32"/>
    <s v="30232110-8"/>
    <m/>
    <n v="756200"/>
    <x v="4"/>
    <d v="2016-01-29T00:00:00"/>
    <d v="2016-02-09T00:00:00"/>
    <s v="AutoCont CZ a.s."/>
    <n v="633000"/>
    <n v="765990"/>
    <x v="19"/>
    <d v="2016-02-24T00:00:00"/>
    <d v="2017-01-23T00:00:00"/>
  </r>
  <r>
    <s v="VZ-2016-000018"/>
    <s v="ZT"/>
    <s v="Novák"/>
    <x v="33"/>
    <s v="33192340-7"/>
    <m/>
    <n v="1400000"/>
    <x v="3"/>
    <d v="2016-01-25T00:00:00"/>
    <d v="2016-02-04T00:00:00"/>
    <s v="MARO-Mader s.r.o."/>
    <n v="1077477"/>
    <n v="1303730"/>
    <x v="20"/>
    <d v="2016-02-25T00:00:00"/>
    <s v="xxx"/>
  </r>
  <r>
    <s v="VZ-2016-000025"/>
    <s v="INF"/>
    <s v="Oravec"/>
    <x v="34"/>
    <s v="30216130-6"/>
    <m/>
    <n v="107500"/>
    <x v="4"/>
    <d v="2016-02-16T00:00:00"/>
    <d v="2016-02-24T00:00:00"/>
    <s v="C SYSTEM CZ a.s."/>
    <n v="111000"/>
    <n v="134310"/>
    <x v="21"/>
    <d v="2016-03-16T00:00:00"/>
    <d v="2017-03-06T00:00:00"/>
  </r>
  <r>
    <s v="VZ-2016-000026"/>
    <s v="ZT"/>
    <s v="Novák"/>
    <x v="35"/>
    <s v="34911100-7"/>
    <m/>
    <n v="410000"/>
    <x v="3"/>
    <d v="2016-01-27T00:00:00"/>
    <d v="2016-02-10T00:00:00"/>
    <s v="Proma Reha s.r.o."/>
    <n v="378248"/>
    <n v="457681"/>
    <x v="22"/>
    <s v="xxx"/>
    <s v="xxx"/>
  </r>
  <r>
    <s v="VZ-2016-000027"/>
    <s v="ZT"/>
    <s v="Novák"/>
    <x v="36"/>
    <s v="33193120-6"/>
    <m/>
    <n v="330000"/>
    <x v="3"/>
    <d v="2016-01-27T00:00:00"/>
    <d v="2016-02-09T00:00:00"/>
    <s v="AUDY s.r.o."/>
    <n v="258372"/>
    <n v="297128"/>
    <x v="23"/>
    <s v="xxx"/>
    <s v="xxx"/>
  </r>
  <r>
    <s v="VZ-2016-000031"/>
    <s v="LÉK"/>
    <s v="Ondráčková"/>
    <x v="37"/>
    <s v="33694000-1"/>
    <m/>
    <n v="1707247"/>
    <x v="3"/>
    <d v="2016-01-28T00:00:00"/>
    <d v="2016-02-05T00:00:00"/>
    <s v="Lacomed s.r.o."/>
    <n v="1592118"/>
    <n v="1926463"/>
    <x v="24"/>
    <d v="2016-03-10T00:00:00"/>
    <s v="xxx"/>
  </r>
  <r>
    <s v="VZ-2016-000040"/>
    <s v="INF"/>
    <s v="Oravec"/>
    <x v="38"/>
    <s v="30231310-3"/>
    <m/>
    <n v="794000"/>
    <x v="4"/>
    <d v="2016-02-18T00:00:00"/>
    <d v="2016-03-17T00:00:00"/>
    <s v="Notes CS a.s."/>
    <n v="713740"/>
    <n v="863625.4"/>
    <x v="25"/>
    <d v="2016-04-07T00:00:00"/>
    <d v="2017-02-13T00:00:00"/>
  </r>
  <r>
    <s v="VZ-2016-000041"/>
    <s v="ZT"/>
    <s v="Novák"/>
    <x v="39"/>
    <s v="33169100-3"/>
    <s v="2.3.82."/>
    <n v="1800000"/>
    <x v="3"/>
    <d v="2016-02-03T00:00:00"/>
    <d v="2016-02-15T00:00:00"/>
    <s v="HOSPIMED s.r.o."/>
    <n v="1318328"/>
    <n v="1595176.88"/>
    <x v="26"/>
    <d v="2016-03-24T00:00:00"/>
    <s v="xxx"/>
  </r>
  <r>
    <s v="VZ-2016-000049"/>
    <s v="OBN"/>
    <s v="Merta"/>
    <x v="40"/>
    <s v="35261100-2"/>
    <m/>
    <n v="1990000"/>
    <x v="3"/>
    <d v="2016-02-05T00:00:00"/>
    <d v="2016-02-17T00:00:00"/>
    <s v="Active Vision SE"/>
    <n v="994200"/>
    <n v="1202982"/>
    <x v="27"/>
    <d v="2016-08-12T00:00:00"/>
    <d v="2018-05-29T00:00:00"/>
  </r>
  <r>
    <s v="VZ-2016-000055"/>
    <s v="ZT"/>
    <s v="Novák"/>
    <x v="41"/>
    <s v="38434500-1"/>
    <s v="2.2.18."/>
    <n v="330000"/>
    <x v="3"/>
    <d v="2016-02-09T00:00:00"/>
    <d v="2016-02-17T00:00:00"/>
    <s v="Laboratory Imaging s.r.o."/>
    <n v="331256"/>
    <n v="400819.8"/>
    <x v="28"/>
    <s v="xxx"/>
    <s v="xxx"/>
  </r>
  <r>
    <s v="VZ-2016-000062"/>
    <s v="INV"/>
    <s v="Kvapil"/>
    <x v="42"/>
    <s v="45215100-8"/>
    <m/>
    <n v="148500"/>
    <x v="6"/>
    <d v="2016-02-09T00:00:00"/>
    <d v="2016-02-09T00:00:00"/>
    <s v="OHL ŽS a.s."/>
    <n v="148500"/>
    <n v="179685"/>
    <x v="29"/>
    <d v="2016-02-10T00:00:00"/>
    <d v="2021-01-04T00:00:00"/>
  </r>
  <r>
    <s v="VZ-2016-000067"/>
    <s v="ZT"/>
    <s v="Novák"/>
    <x v="43"/>
    <s v="33192300-5"/>
    <s v="2.2.25."/>
    <n v="775000"/>
    <x v="3"/>
    <d v="2016-02-12T00:00:00"/>
    <d v="2016-02-23T00:00:00"/>
    <s v="HOSPIMED s.r.o."/>
    <n v="557300"/>
    <n v="674333"/>
    <x v="30"/>
    <d v="2016-03-31T00:00:00"/>
    <s v="xxx"/>
  </r>
  <r>
    <s v="VZ-2016-000067"/>
    <s v="ZT"/>
    <s v="Novák"/>
    <x v="44"/>
    <s v="33192300-5"/>
    <s v="2.2.25."/>
    <n v="50000"/>
    <x v="3"/>
    <d v="2016-02-12T00:00:00"/>
    <d v="2016-02-23T00:00:00"/>
    <s v="RQL s.r.o."/>
    <n v="42999"/>
    <n v="52028.79"/>
    <x v="31"/>
    <d v="2016-03-31T00:00:00"/>
    <s v="xxx"/>
  </r>
  <r>
    <s v="VZ-2016-000072"/>
    <s v="ZT"/>
    <s v="Novák"/>
    <x v="45"/>
    <s v="33122000-1 "/>
    <s v="2.3.110."/>
    <n v="1157000"/>
    <x v="3"/>
    <d v="2016-02-12T00:00:00"/>
    <d v="2016-02-25T00:00:00"/>
    <s v="Carl Zeiss s.r.o."/>
    <n v="1108000"/>
    <n v="1340680"/>
    <x v="32"/>
    <d v="2016-03-21T00:00:00"/>
    <s v="xxx"/>
  </r>
  <r>
    <s v="VZ-2016-000074"/>
    <s v="LÉK"/>
    <s v="Ondráčková"/>
    <x v="46"/>
    <s v="33694000-1"/>
    <m/>
    <n v="7880000"/>
    <x v="1"/>
    <d v="2016-04-28T00:00:00"/>
    <d v="2016-08-16T00:00:00"/>
    <s v="Medista s.r.o."/>
    <n v="2996000"/>
    <n v="3625160"/>
    <x v="33"/>
    <d v="2016-10-26T00:00:00"/>
    <s v="xxx"/>
  </r>
  <r>
    <s v="VZ-2016-000085"/>
    <s v="LÉK"/>
    <s v="Ondráčková"/>
    <x v="47"/>
    <s v="33652300-8"/>
    <m/>
    <n v="1289848.5"/>
    <x v="1"/>
    <d v="2016-04-01T00:00:00"/>
    <d v="2016-08-17T00:00:00"/>
    <s v="Alliance Healthcare s.r.o."/>
    <n v="1289590.5"/>
    <n v="1418549.55"/>
    <x v="34"/>
    <d v="2016-11-10T00:00:00"/>
    <d v="2017-03-24T00:00:00"/>
  </r>
  <r>
    <s v="VZ-2016-000085"/>
    <s v="LÉK"/>
    <s v="Ondráčková"/>
    <x v="48"/>
    <s v="33652300-8"/>
    <m/>
    <n v="11063526.720000001"/>
    <x v="1"/>
    <d v="2016-04-01T00:00:00"/>
    <d v="2016-08-17T00:00:00"/>
    <s v="PHOENIX lék. Velkoobchod"/>
    <n v="11063526.720000001"/>
    <n v="12169879.392000001"/>
    <x v="34"/>
    <d v="2016-11-10T00:00:00"/>
    <d v="2017-03-24T00:00:00"/>
  </r>
  <r>
    <s v="VZ-2016-000085"/>
    <s v="LÉK"/>
    <s v="Ondráčková"/>
    <x v="49"/>
    <s v="33652300-8"/>
    <m/>
    <n v="7226832.7999999998"/>
    <x v="1"/>
    <d v="2016-04-01T00:00:00"/>
    <d v="2016-08-17T00:00:00"/>
    <s v="zrušeno - bez nabídky"/>
    <m/>
    <m/>
    <x v="1"/>
    <m/>
    <m/>
  </r>
  <r>
    <s v="VZ-2016-000085"/>
    <s v="LÉK"/>
    <s v="Ondráčková"/>
    <x v="50"/>
    <s v="33652300-8"/>
    <m/>
    <n v="17433348.600000001"/>
    <x v="1"/>
    <d v="2016-04-01T00:00:00"/>
    <d v="2016-08-17T00:00:00"/>
    <s v="Alliance Healthcare s.r.o."/>
    <n v="17673481.199999999"/>
    <n v="19440829.32"/>
    <x v="34"/>
    <d v="2016-11-10T00:00:00"/>
    <d v="2017-03-24T00:00:00"/>
  </r>
  <r>
    <s v="VZ-2016-000085"/>
    <s v="LÉK"/>
    <s v="Ondráčková"/>
    <x v="51"/>
    <s v="33652300-8"/>
    <m/>
    <n v="18845952"/>
    <x v="1"/>
    <d v="2016-04-01T00:00:00"/>
    <d v="2016-08-17T00:00:00"/>
    <s v="ViaPharma  s.r.o."/>
    <n v="18147607.039999999"/>
    <n v="19962367.743999999"/>
    <x v="34"/>
    <d v="2016-11-10T00:00:00"/>
    <d v="2017-03-24T00:00:00"/>
  </r>
  <r>
    <s v="VZ-2016-000085"/>
    <s v="LÉK"/>
    <s v="Ondráčková"/>
    <x v="52"/>
    <s v="33652300-8"/>
    <m/>
    <n v="1757174.4"/>
    <x v="1"/>
    <d v="2016-04-01T00:00:00"/>
    <d v="2016-08-17T00:00:00"/>
    <s v="zrušeno - bez nabídky"/>
    <m/>
    <m/>
    <x v="1"/>
    <m/>
    <m/>
  </r>
  <r>
    <s v="VZ-2016-000085"/>
    <s v="LÉK"/>
    <s v="Ondráčková"/>
    <x v="53"/>
    <s v="33652300-8"/>
    <m/>
    <n v="1447902.6"/>
    <x v="1"/>
    <d v="2016-04-01T00:00:00"/>
    <d v="2016-08-17T00:00:00"/>
    <s v="Alliance Healthcare s.r.o."/>
    <n v="1447920"/>
    <n v="1592712.0000000002"/>
    <x v="34"/>
    <d v="2016-11-10T00:00:00"/>
    <d v="2017-03-24T00:00:00"/>
  </r>
  <r>
    <s v="VZ-2016-000085"/>
    <s v="LÉK"/>
    <s v="Ondráčková"/>
    <x v="54"/>
    <s v="33652300-8"/>
    <m/>
    <n v="7967565"/>
    <x v="1"/>
    <d v="2016-04-01T00:00:00"/>
    <d v="2016-08-17T00:00:00"/>
    <s v="Alliance Healthcare s.r.o."/>
    <n v="7965973.3499999996"/>
    <n v="8762570.6850000005"/>
    <x v="34"/>
    <d v="2016-11-10T00:00:00"/>
    <d v="2017-03-24T00:00:00"/>
  </r>
  <r>
    <s v="VZ-2016-000091"/>
    <s v="DOPR"/>
    <s v="Solovský"/>
    <x v="55"/>
    <s v="50114000-7"/>
    <m/>
    <n v="1400000"/>
    <x v="5"/>
    <d v="2016-03-03T00:00:00"/>
    <d v="2016-03-15T00:00:00"/>
    <s v="DS správa servisů s.r.o."/>
    <n v="359"/>
    <n v="434.39"/>
    <x v="35"/>
    <d v="2016-04-29T00:00:00"/>
    <s v="xxx"/>
  </r>
  <r>
    <s v="VZ-2016-000093"/>
    <s v="INV"/>
    <s v="Kvapil"/>
    <x v="56"/>
    <s v="45215100-8"/>
    <s v="1.2.15.+1.2.44."/>
    <n v="4850000"/>
    <x v="3"/>
    <d v="2016-03-17T00:00:00"/>
    <d v="2016-04-04T00:00:00"/>
    <s v="AZ stavby s.r.o."/>
    <n v="3445805.92"/>
    <n v="4169425.16"/>
    <x v="36"/>
    <d v="2016-04-27T00:00:00"/>
    <s v="xxx"/>
  </r>
  <r>
    <s v="VZ-2016-000101"/>
    <s v="INF"/>
    <s v="Oravec"/>
    <x v="57"/>
    <s v="33124000-5"/>
    <s v="3.2.2."/>
    <n v="1490000"/>
    <x v="3"/>
    <d v="2016-03-08T00:00:00"/>
    <d v="2016-03-18T00:00:00"/>
    <s v="Medisolve  Medical Solutions s.r.o."/>
    <n v="1465800"/>
    <n v="1773618"/>
    <x v="37"/>
    <d v="2016-05-10T00:00:00"/>
    <d v="2016-11-03T00:00:00"/>
  </r>
  <r>
    <s v="VZ-2016-000102"/>
    <s v="ZT"/>
    <s v="Čech"/>
    <x v="58"/>
    <s v="33162100-4 "/>
    <s v="2.1.13."/>
    <n v="2479000"/>
    <x v="0"/>
    <d v="2016-03-21T00:00:00"/>
    <d v="2016-04-12T00:00:00"/>
    <s v="zrušeno - k hodnocení zbyla pouze 1 nabídka "/>
    <m/>
    <m/>
    <x v="1"/>
    <m/>
    <m/>
  </r>
  <r>
    <s v="VZ-2016-000108"/>
    <s v="INF"/>
    <s v="Oravec"/>
    <x v="59"/>
    <s v="30213300-8"/>
    <m/>
    <n v="6316116"/>
    <x v="4"/>
    <d v="2016-03-10T00:00:00"/>
    <d v="2016-04-12T00:00:00"/>
    <s v="AuroCont CZ a.s."/>
    <n v="5680081"/>
    <n v="6872898"/>
    <x v="38"/>
    <d v="2016-05-17T00:00:00"/>
    <d v="2017-03-13T00:00:00"/>
  </r>
  <r>
    <s v="VZ-2016-000109"/>
    <s v="INF"/>
    <s v="Oravec"/>
    <x v="60"/>
    <s v="30232100-5 "/>
    <m/>
    <n v="202314"/>
    <x v="4"/>
    <d v="2016-03-10T00:00:00"/>
    <d v="2016-04-08T00:00:00"/>
    <s v="C SYSTEM CZ a.s."/>
    <n v="202500"/>
    <n v="245025"/>
    <x v="38"/>
    <d v="2016-05-19T00:00:00"/>
    <d v="2016-11-21T00:00:00"/>
  </r>
  <r>
    <s v="VZ-2016-000110"/>
    <s v="ZT"/>
    <s v="Novák"/>
    <x v="61"/>
    <s v="33191000-5"/>
    <s v="2.2.28."/>
    <n v="330600"/>
    <x v="3"/>
    <d v="2016-03-18T00:00:00"/>
    <d v="2016-03-31T00:00:00"/>
    <s v="Miele s.r.o."/>
    <n v="286631.86"/>
    <n v="346825"/>
    <x v="39"/>
    <s v="xxx"/>
    <s v="xxx"/>
  </r>
  <r>
    <s v="VZ-2016-000111"/>
    <s v="ZT"/>
    <s v="Čech"/>
    <x v="62"/>
    <s v="33157400-9"/>
    <s v="2.3.119."/>
    <n v="825000"/>
    <x v="3"/>
    <d v="2016-03-31T00:00:00"/>
    <d v="2016-04-14T00:00:00"/>
    <s v="Dartin s.r.o."/>
    <n v="1051105"/>
    <n v="1271837.05"/>
    <x v="1"/>
    <m/>
    <s v="xxx"/>
  </r>
  <r>
    <s v="VZ-2016-000116"/>
    <s v="VYHRAZ"/>
    <s v="Holibka"/>
    <x v="63"/>
    <s v="42416120-2"/>
    <s v="1.2.21+4.1.16"/>
    <n v="2430000"/>
    <x v="0"/>
    <d v="2016-03-21T00:00:00"/>
    <d v="2016-04-14T00:00:00"/>
    <s v="zrušeno - pouze 1 nabídka, která překročila max. a nepřekročitelnou předpokládanou hodnotu VZ"/>
    <m/>
    <m/>
    <x v="1"/>
    <d v="2016-04-18T00:00:00"/>
    <m/>
  </r>
  <r>
    <s v="VZ-2016-000121"/>
    <s v="ZT"/>
    <s v="Novák"/>
    <x v="64"/>
    <s v="33192160-1"/>
    <m/>
    <n v="610000"/>
    <x v="3"/>
    <d v="2016-03-22T00:00:00"/>
    <d v="2016-03-30T00:00:00"/>
    <s v="Proma Reha s.r.o."/>
    <n v="450396"/>
    <n v="544979"/>
    <x v="40"/>
    <d v="2016-05-23T00:00:00"/>
    <d v="2016-11-03T00:00:00"/>
  </r>
  <r>
    <s v="VZ-2016-000122"/>
    <s v="ZT"/>
    <s v="Novák"/>
    <x v="65"/>
    <s v="33192160-1"/>
    <m/>
    <n v="260000"/>
    <x v="3"/>
    <s v="22.32016"/>
    <d v="2016-03-29T00:00:00"/>
    <s v="Proma Reha s.r.o."/>
    <n v="278461"/>
    <n v="336937"/>
    <x v="41"/>
    <s v="xxx"/>
    <s v="xxx"/>
  </r>
  <r>
    <s v="VZ-2016-000123"/>
    <s v="ZT"/>
    <s v="Novák"/>
    <x v="66"/>
    <s v="33100000-1"/>
    <s v="4.1.19"/>
    <n v="2310000"/>
    <x v="0"/>
    <d v="2016-04-29T00:00:00"/>
    <d v="2016-05-27T00:00:00"/>
    <s v="Fénix Brno s.r.o."/>
    <n v="2194277"/>
    <n v="2655075.2000000002"/>
    <x v="42"/>
    <d v="2016-07-13T00:00:00"/>
    <d v="2017-03-06T00:00:00"/>
  </r>
  <r>
    <s v="VZ-2016-000125"/>
    <s v="INF"/>
    <s v="Marek"/>
    <x v="67"/>
    <s v="79314000-8"/>
    <m/>
    <n v="450000"/>
    <x v="3"/>
    <d v="2016-03-22T00:00:00"/>
    <d v="2016-03-30T00:00:00"/>
    <s v="Ernst &amp; Young s.r.o."/>
    <n v="320000"/>
    <n v="387200"/>
    <x v="43"/>
    <s v="xxx"/>
    <s v="xxx"/>
  </r>
  <r>
    <s v="VZ-2016-000130"/>
    <s v="VYHRAZ"/>
    <s v="Srovnal"/>
    <x v="68"/>
    <s v="42513290-4"/>
    <s v="4.1.20"/>
    <n v="1145000"/>
    <x v="3"/>
    <d v="2016-03-23T00:00:00"/>
    <d v="2016-04-14T00:00:00"/>
    <s v="Air - Klimont s.r.o."/>
    <n v="614272"/>
    <n v="743269"/>
    <x v="40"/>
    <d v="2016-05-20T00:00:00"/>
    <d v="2016-11-03T00:00:00"/>
  </r>
  <r>
    <s v="VZ-2016-000147"/>
    <s v="VYHRAZ"/>
    <s v="Holibka"/>
    <x v="69"/>
    <s v="42514310-8"/>
    <m/>
    <n v="430000"/>
    <x v="3"/>
    <d v="2016-03-31T00:00:00"/>
    <d v="2016-04-14T00:00:00"/>
    <s v="Ekofiltr s.r.o."/>
    <n v="359106"/>
    <n v="434518"/>
    <x v="44"/>
    <s v="xxx"/>
    <s v="xxx"/>
  </r>
  <r>
    <s v="VZ-2016-000148"/>
    <s v="ZT"/>
    <s v="Novák"/>
    <x v="70"/>
    <s v="33194100-7 "/>
    <m/>
    <n v="1075000"/>
    <x v="3"/>
    <d v="2016-04-05T00:00:00"/>
    <d v="2016-04-21T00:00:00"/>
    <s v="B. Braun Medical s.r.o."/>
    <n v="1516850"/>
    <n v="1835388.5"/>
    <x v="45"/>
    <d v="2016-06-23T00:00:00"/>
    <d v="2016-11-03T00:00:00"/>
  </r>
  <r>
    <s v="VZ-2016-000161"/>
    <s v="INF"/>
    <s v="Marek"/>
    <x v="71"/>
    <s v="48180000-3"/>
    <s v="3.2.13."/>
    <n v="140500"/>
    <x v="3"/>
    <d v="2016-04-07T00:00:00"/>
    <d v="2016-04-19T00:00:00"/>
    <s v="Camosci Czech s.r.o."/>
    <n v="138932"/>
    <n v="168108"/>
    <x v="38"/>
    <s v="xxx"/>
    <s v="xxx"/>
  </r>
  <r>
    <s v="VZ-2016-000175"/>
    <s v="INF"/>
    <s v="Marek"/>
    <x v="72"/>
    <s v="48329000-0"/>
    <m/>
    <n v="7000000"/>
    <x v="1"/>
    <d v="2016-04-11T00:00:00"/>
    <d v="2016-11-02T00:00:00"/>
    <s v="TECHNISERV IT spol. s r.o."/>
    <n v="6997777"/>
    <n v="8467310.1699999999"/>
    <x v="1"/>
    <m/>
    <m/>
  </r>
  <r>
    <s v="VZ-2016-000177"/>
    <s v="SERV"/>
    <s v="Zemánek"/>
    <x v="73"/>
    <s v="50421200-4"/>
    <m/>
    <n v="1900000"/>
    <x v="3"/>
    <d v="2016-05-13T00:00:00"/>
    <d v="2016-05-25T00:00:00"/>
    <s v="zrušeno - bez nabídky"/>
    <m/>
    <m/>
    <x v="1"/>
    <m/>
    <s v="xxx"/>
  </r>
  <r>
    <s v="VZ-2016-000178"/>
    <s v="LÉK"/>
    <s v="Běhal"/>
    <x v="74"/>
    <s v="42900000-5"/>
    <m/>
    <n v="1990000"/>
    <x v="3"/>
    <d v="2016-04-20T00:00:00"/>
    <d v="2016-05-10T00:00:00"/>
    <s v="ARCON Machinery a.s."/>
    <n v="1970000"/>
    <n v="2383700"/>
    <x v="46"/>
    <d v="2016-07-04T00:00:00"/>
    <d v="2017-03-03T00:00:00"/>
  </r>
  <r>
    <s v="VZ-2016-000179"/>
    <s v="INV"/>
    <s v="Kvapil"/>
    <x v="75"/>
    <s v="45215100-8"/>
    <s v="1.2.3"/>
    <n v="3390000"/>
    <x v="3"/>
    <d v="2016-04-12T00:00:00"/>
    <d v="2016-05-02T00:00:00"/>
    <s v="SANBON spol.s r .o."/>
    <n v="2699520"/>
    <n v="3266419.2"/>
    <x v="47"/>
    <d v="2016-07-13T00:00:00"/>
    <d v="2016-12-05T00:00:00"/>
  </r>
  <r>
    <s v="VZ-2016-000183"/>
    <s v="ZT"/>
    <s v="Čech"/>
    <x v="76"/>
    <s v="38432210-7"/>
    <s v="2.3.122."/>
    <n v="2890000"/>
    <x v="0"/>
    <d v="2016-04-28T00:00:00"/>
    <d v="2016-06-21T00:00:00"/>
    <s v="zrušeno"/>
    <m/>
    <m/>
    <x v="1"/>
    <m/>
    <m/>
  </r>
  <r>
    <s v="VZ-2016-000185"/>
    <s v="STRAV"/>
    <s v="Molek"/>
    <x v="77"/>
    <s v="39314000-6"/>
    <s v="4.1.13+4.1.14"/>
    <n v="490000"/>
    <x v="3"/>
    <d v="2016-04-15T00:00:00"/>
    <d v="2016-04-29T00:00:00"/>
    <s v="Jiří Ruček SET-ES"/>
    <n v="380500"/>
    <n v="460405"/>
    <x v="38"/>
    <s v="xxx"/>
    <s v="xxx"/>
  </r>
  <r>
    <s v="VZ-2016-000187"/>
    <s v="LÉK"/>
    <s v="Ondráčková"/>
    <x v="78"/>
    <s v="33652000-5"/>
    <m/>
    <n v="7156443.3200000003"/>
    <x v="1"/>
    <d v="2016-04-15T00:00:00"/>
    <d v="2016-07-19T00:00:00"/>
    <s v="ViaPharma  s.r.o."/>
    <n v="2581893.9500000002"/>
    <n v="2840083.35"/>
    <x v="48"/>
    <d v="2016-08-29T00:00:00"/>
    <d v="2017-03-24T00:00:00"/>
  </r>
  <r>
    <s v="VZ-2016-000187"/>
    <s v="LÉK"/>
    <s v="Ondráčková"/>
    <x v="79"/>
    <s v="33652000-5"/>
    <m/>
    <n v="129499.51"/>
    <x v="1"/>
    <d v="2016-04-15T00:00:00"/>
    <d v="2016-07-14T00:00:00"/>
    <s v="zrušena část  II. Ještě před podáním nabídek - dlouhodobý výpadek účinné látky"/>
    <m/>
    <m/>
    <x v="1"/>
    <m/>
    <s v="xxx"/>
  </r>
  <r>
    <s v="VZ-2016-000196"/>
    <s v="INF"/>
    <s v="Oravec"/>
    <x v="80"/>
    <s v="32552110-1"/>
    <m/>
    <n v="431405"/>
    <x v="5"/>
    <d v="2016-04-20T00:00:00"/>
    <d v="2016-04-29T00:00:00"/>
    <s v="Eriserv spol.s r.o."/>
    <n v="440000"/>
    <n v="532400"/>
    <x v="49"/>
    <d v="2016-05-19T00:00:00"/>
    <s v="xxx"/>
  </r>
  <r>
    <s v="VZ-2016-000197"/>
    <s v="ZT"/>
    <s v="Novák"/>
    <x v="81"/>
    <s v="42513000-5"/>
    <s v="2.2.47"/>
    <n v="315000"/>
    <x v="3"/>
    <d v="2016-04-20T00:00:00"/>
    <d v="2016-05-05T00:00:00"/>
    <s v="zrušeno - bez nabídky"/>
    <m/>
    <m/>
    <x v="1"/>
    <s v="xxx"/>
    <s v="xxx"/>
  </r>
  <r>
    <s v="VZ-2016-000199"/>
    <s v="STRAV"/>
    <s v="Molek"/>
    <x v="82"/>
    <s v="39314000-6"/>
    <s v="4.1.7."/>
    <n v="148761"/>
    <x v="3"/>
    <d v="2016-04-21T00:00:00"/>
    <d v="2016-05-04T00:00:00"/>
    <s v="Megastro CZ s.r.o."/>
    <n v="139500"/>
    <n v="168795"/>
    <x v="50"/>
    <s v="xxx"/>
    <s v="xxx"/>
  </r>
  <r>
    <s v="VZ-2016-000205"/>
    <s v="DOPR"/>
    <s v="Solovský"/>
    <x v="83"/>
    <s v="42415200-0"/>
    <s v="4.1.4. + 4.1.5."/>
    <n v="5240000"/>
    <x v="1"/>
    <d v="2016-04-27T00:00:00"/>
    <d v="2016-06-23T00:00:00"/>
    <s v="AGROTEC a.s."/>
    <n v="5095000"/>
    <n v="6164950"/>
    <x v="51"/>
    <d v="2016-07-29T00:00:00"/>
    <d v="2017-03-03T00:00:00"/>
  </r>
  <r>
    <s v="VZ-2016-000206"/>
    <s v="ZT"/>
    <s v="Novák"/>
    <x v="84"/>
    <s v="33125000-2"/>
    <s v="2.3.153"/>
    <n v="530000"/>
    <x v="3"/>
    <d v="2016-05-13T00:00:00"/>
    <d v="2016-05-25T00:00:00"/>
    <s v="zrušeno - bez nabídky"/>
    <m/>
    <m/>
    <x v="1"/>
    <m/>
    <s v="xxx"/>
  </r>
  <r>
    <s v="VZ-2016-000206"/>
    <s v="ZT"/>
    <s v="Novák"/>
    <x v="85"/>
    <s v="33125000-2"/>
    <s v="2.3.153"/>
    <n v="90000"/>
    <x v="3"/>
    <d v="2016-05-13T00:00:00"/>
    <d v="2016-05-25T00:00:00"/>
    <s v="RQL s.r.o."/>
    <n v="84499"/>
    <n v="102243.79"/>
    <x v="52"/>
    <d v="2016-07-21T00:00:00"/>
    <d v="2016-11-03T00:00:00"/>
  </r>
  <r>
    <s v="VZ-2016-000207"/>
    <s v="ZT"/>
    <s v="Novák"/>
    <x v="86"/>
    <s v="33162100-4"/>
    <s v="2.3.150"/>
    <n v="415000"/>
    <x v="3"/>
    <d v="2016-05-13T00:00:00"/>
    <d v="2016-06-02T00:00:00"/>
    <s v="Radix CZ s.r.o."/>
    <n v="358034.71074380167"/>
    <n v="433222"/>
    <x v="53"/>
    <s v="xxx"/>
    <s v="xxx"/>
  </r>
  <r>
    <s v="VZ-2016-000208"/>
    <s v="VYHRAZ"/>
    <s v="Holibka"/>
    <x v="87"/>
    <s v="42416120-2"/>
    <s v="1.2.21+4.1.16"/>
    <n v="3100000"/>
    <x v="0"/>
    <d v="2016-04-25T00:00:00"/>
    <d v="2016-05-17T00:00:00"/>
    <s v="Výtahy Výmyslický s.r.o."/>
    <n v="3104021"/>
    <n v="3755865"/>
    <x v="54"/>
    <d v="2016-07-14T00:00:00"/>
    <d v="2017-01-30T00:00:00"/>
  </r>
  <r>
    <s v="VZ-2016-000212"/>
    <s v="ZT"/>
    <s v="Čech"/>
    <x v="88"/>
    <s v="33111400-5"/>
    <s v="2.2.32"/>
    <n v="6190000"/>
    <x v="1"/>
    <d v="2016-04-25T00:00:00"/>
    <d v="2016-10-25T00:00:00"/>
    <s v="Foma Medical s.r.o."/>
    <n v="7216190"/>
    <n v="8731589.5"/>
    <x v="55"/>
    <d v="2016-12-21T00:00:00"/>
    <d v="2017-03-24T00:00:00"/>
  </r>
  <r>
    <s v="VZ-2016-000213"/>
    <s v="ZT"/>
    <s v="Čech"/>
    <x v="89"/>
    <s v="33195100-4"/>
    <s v="2.3.136"/>
    <n v="3950000"/>
    <x v="1"/>
    <d v="2016-04-25T00:00:00"/>
    <d v="2016-10-26T00:00:00"/>
    <s v="S + T Plus s.r.o."/>
    <n v="3305000"/>
    <n v="3999050"/>
    <x v="56"/>
    <d v="2017-01-03T00:00:00"/>
    <d v="2017-03-03T00:00:00"/>
  </r>
  <r>
    <s v="VZ-2016-000214"/>
    <s v="INF"/>
    <s v="Oravec"/>
    <x v="90"/>
    <s v="48823000-3"/>
    <s v="3.2.5"/>
    <n v="2809917"/>
    <x v="4"/>
    <d v="2016-04-26T00:00:00"/>
    <d v="2016-05-27T00:00:00"/>
    <s v="Merit Group a.s."/>
    <n v="2751426"/>
    <n v="3329226"/>
    <x v="57"/>
    <d v="2016-06-27T00:00:00"/>
    <d v="2016-11-03T00:00:00"/>
  </r>
  <r>
    <s v="VZ-2016-000218"/>
    <s v="OSB "/>
    <s v="Vaida"/>
    <x v="91"/>
    <s v="45330000-9"/>
    <s v="4.1.37"/>
    <n v="3110000"/>
    <x v="3"/>
    <d v="2016-04-28T00:00:00"/>
    <d v="2016-05-10T00:00:00"/>
    <s v="S.M. - Olomouc s.r.o."/>
    <n v="2123505.88"/>
    <n v="2569442.11"/>
    <x v="22"/>
    <d v="2016-06-06T00:00:00"/>
    <s v="xxx"/>
  </r>
  <r>
    <s v="VZ-2016-000219"/>
    <s v="OSB "/>
    <s v="Vaida"/>
    <x v="92"/>
    <s v="50850000-8"/>
    <m/>
    <n v="450000"/>
    <x v="3"/>
    <d v="2016-05-04T00:00:00"/>
    <d v="2016-05-17T00:00:00"/>
    <s v="JeS Interiér výroba nábytku"/>
    <n v="280220"/>
    <n v="339066.2"/>
    <x v="58"/>
    <s v="xxx"/>
    <s v="xxx"/>
  </r>
  <r>
    <s v="VZ-2016-000221"/>
    <s v="INF"/>
    <s v="Oravec"/>
    <x v="93"/>
    <s v="30121100-4"/>
    <m/>
    <n v="90909"/>
    <x v="4"/>
    <d v="2016-04-26T00:00:00"/>
    <d v="2016-05-26T00:00:00"/>
    <s v="AutoCont CZ a.s."/>
    <n v="90000"/>
    <n v="108900"/>
    <x v="0"/>
    <d v="2016-06-29T00:00:00"/>
    <d v="2017-01-23T00:00:00"/>
  </r>
  <r>
    <s v="VZ-2016-000224"/>
    <s v="VYHRAZ"/>
    <s v="Srovnal"/>
    <x v="94"/>
    <s v="42512200-0"/>
    <s v="4.1.21"/>
    <n v="2780000"/>
    <x v="0"/>
    <d v="2016-05-05T00:00:00"/>
    <d v="2016-05-24T00:00:00"/>
    <s v="Climart  s.r.o."/>
    <n v="1896083"/>
    <n v="2294260.4300000002"/>
    <x v="0"/>
    <d v="2016-07-01T00:00:00"/>
    <d v="2016-11-21T00:00:00"/>
  </r>
  <r>
    <s v="VZ-2016-000224"/>
    <s v="VYHRAZ"/>
    <s v="Srovnal"/>
    <x v="95"/>
    <s v="42512200-0"/>
    <s v="4.1.21"/>
    <n v="800000"/>
    <x v="0"/>
    <d v="2016-05-05T00:00:00"/>
    <d v="2016-05-24T00:00:00"/>
    <s v="THERMO s.r.o."/>
    <n v="789760"/>
    <n v="955610"/>
    <x v="0"/>
    <d v="2016-07-01T00:00:00"/>
    <d v="2017-03-24T00:00:00"/>
  </r>
  <r>
    <s v="VZ-2016-000226"/>
    <s v="ZT"/>
    <s v="Novák"/>
    <x v="96"/>
    <s v="33182100-0"/>
    <m/>
    <n v="600000"/>
    <x v="3"/>
    <d v="2016-05-03T00:00:00"/>
    <d v="2016-05-19T00:00:00"/>
    <s v="Medsol spol. s r.o."/>
    <n v="683000"/>
    <n v="826430"/>
    <x v="46"/>
    <d v="2016-06-30T00:00:00"/>
    <d v="2016-11-03T00:00:00"/>
  </r>
  <r>
    <s v="VZ-2016-000230"/>
    <s v="OEC"/>
    <s v="Štýbnarová"/>
    <x v="97"/>
    <s v="34927000-1"/>
    <s v="4.1.1."/>
    <n v="280000"/>
    <x v="3"/>
    <d v="2016-05-03T00:00:00"/>
    <d v="2016-05-12T00:00:00"/>
    <s v="IDENTCODE s.r.o."/>
    <n v="274600"/>
    <n v="332266"/>
    <x v="59"/>
    <s v="xxx"/>
    <s v="xxx"/>
  </r>
  <r>
    <s v="VZ-2016-000232"/>
    <s v="STRAV"/>
    <s v="Molek"/>
    <x v="98"/>
    <s v="39314000-6"/>
    <s v="4.1.15"/>
    <n v="100000"/>
    <x v="3"/>
    <d v="2016-05-04T00:00:00"/>
    <d v="2016-05-13T00:00:00"/>
    <s v="Jiří Ruček SET-ES"/>
    <n v="96210"/>
    <n v="116414"/>
    <x v="59"/>
    <s v="xxx"/>
    <s v="xxx"/>
  </r>
  <r>
    <s v="VZ-2016-000233"/>
    <s v="OSB "/>
    <s v="Vaida"/>
    <x v="99"/>
    <s v="44411000-4"/>
    <m/>
    <n v="490000"/>
    <x v="3"/>
    <d v="2016-05-04T00:00:00"/>
    <d v="2016-05-16T00:00:00"/>
    <s v="zrušeno - bez nabídky"/>
    <m/>
    <m/>
    <x v="1"/>
    <s v="xxx"/>
    <s v="xxx"/>
  </r>
  <r>
    <s v="VZ-2016-000234"/>
    <s v="OSB "/>
    <s v="Vaida"/>
    <x v="100"/>
    <s v="44523000-2"/>
    <m/>
    <n v="310000"/>
    <x v="3"/>
    <d v="2016-05-04T00:00:00"/>
    <d v="2016-05-16T00:00:00"/>
    <s v="zrušeno - nutno upřesnit zadání"/>
    <m/>
    <m/>
    <x v="1"/>
    <s v="xxx"/>
    <s v="xxx"/>
  </r>
  <r>
    <s v="VZ-2016-000235"/>
    <s v="VYHRAZ"/>
    <s v="Srovnal"/>
    <x v="101"/>
    <s v="42512200-0"/>
    <s v="4.1.40"/>
    <n v="50000"/>
    <x v="3"/>
    <d v="2016-05-05T00:00:00"/>
    <d v="2016-05-10T00:00:00"/>
    <s v="Air - Klimont s.r.o."/>
    <n v="39450"/>
    <n v="47735"/>
    <x v="60"/>
    <s v="xxx"/>
    <s v="xxx"/>
  </r>
  <r>
    <s v="VZ-2016-000244"/>
    <s v="ZM "/>
    <s v="Dočkalová"/>
    <x v="102"/>
    <s v="33140000-3"/>
    <m/>
    <n v="533000"/>
    <x v="3"/>
    <d v="2016-05-12T00:00:00"/>
    <d v="2016-05-27T00:00:00"/>
    <s v="MSM spol. s r.o."/>
    <n v="547200"/>
    <n v="662112"/>
    <x v="46"/>
    <d v="2016-07-07T00:00:00"/>
    <s v="xxx"/>
  </r>
  <r>
    <s v="VZ-2016-000246"/>
    <s v="LÉK"/>
    <s v="Ondráčková"/>
    <x v="103"/>
    <s v="33711400-1"/>
    <m/>
    <n v="300000"/>
    <x v="3"/>
    <d v="2016-05-12T00:00:00"/>
    <d v="2016-05-19T00:00:00"/>
    <s v="PHOENIX"/>
    <n v="138615.19008264464"/>
    <n v="167724.38"/>
    <x v="61"/>
    <s v="xxx"/>
    <s v="xxx"/>
  </r>
  <r>
    <s v="VZ-2016-000246"/>
    <s v="LÉK"/>
    <s v="Ondráčková"/>
    <x v="104"/>
    <s v="33711400-1"/>
    <m/>
    <n v="88500"/>
    <x v="3"/>
    <d v="2016-05-12T00:00:00"/>
    <d v="2016-05-19T00:00:00"/>
    <s v="PHOENIX"/>
    <n v="57751.471074380162"/>
    <n v="69879.28"/>
    <x v="61"/>
    <s v="xxx"/>
    <s v="xxx"/>
  </r>
  <r>
    <s v="VZ-2016-000247"/>
    <s v="ZT"/>
    <s v="Novák"/>
    <x v="105"/>
    <s v="42513000-5"/>
    <s v="2.2.47"/>
    <n v="315000"/>
    <x v="3"/>
    <d v="2016-05-13T00:00:00"/>
    <d v="2016-05-25T00:00:00"/>
    <s v="zrušeno - bez nabídky"/>
    <m/>
    <m/>
    <x v="1"/>
    <s v="xxx"/>
    <s v="xxx"/>
  </r>
  <r>
    <s v="VZ-2016-000248"/>
    <s v="VYHRAZ"/>
    <s v="Srovnal"/>
    <x v="106"/>
    <s v="42531000-7"/>
    <s v="4.1.18"/>
    <n v="495000"/>
    <x v="3"/>
    <d v="2016-05-16T00:00:00"/>
    <d v="2016-05-26T00:00:00"/>
    <s v="Vodo topo instalace s.r.o."/>
    <n v="359948.51239669422"/>
    <n v="435537.7"/>
    <x v="0"/>
    <s v="xxx"/>
    <s v="xxx"/>
  </r>
  <r>
    <s v="VZ-2016-000251"/>
    <s v="VYHRAZ"/>
    <s v="Srovnal"/>
    <x v="107"/>
    <s v="42512200-0"/>
    <s v="4.1.41"/>
    <n v="80000"/>
    <x v="3"/>
    <d v="2016-05-16T00:00:00"/>
    <d v="2016-05-24T00:00:00"/>
    <s v="ILMASTON s.r.o."/>
    <n v="50529.752066115703"/>
    <n v="61141"/>
    <x v="22"/>
    <s v="xxx"/>
    <s v="xxx"/>
  </r>
  <r>
    <s v="VZ-2016-000255"/>
    <s v="INF"/>
    <s v="Oravec"/>
    <x v="108"/>
    <s v="30233132-5"/>
    <m/>
    <n v="67769"/>
    <x v="4"/>
    <d v="2016-05-13T00:00:00"/>
    <d v="2016-06-27T00:00:00"/>
    <s v="C SYSTEM CZ a.s."/>
    <n v="68900"/>
    <n v="83369"/>
    <x v="51"/>
    <d v="2016-08-02T00:00:00"/>
    <d v="2016-11-03T00:00:00"/>
  </r>
  <r>
    <s v="VZ-2016-000258"/>
    <s v="INF"/>
    <s v="Oravec"/>
    <x v="109"/>
    <s v="30232120-1 "/>
    <m/>
    <n v="144628"/>
    <x v="4"/>
    <d v="2016-05-16T00:00:00"/>
    <d v="2016-06-27T00:00:00"/>
    <s v="zrušeno - bez nabídky"/>
    <m/>
    <m/>
    <x v="1"/>
    <m/>
    <m/>
  </r>
  <r>
    <s v="VZ-2016-000259"/>
    <s v="OSB "/>
    <s v="Vaida"/>
    <x v="110"/>
    <s v="44523000-2"/>
    <m/>
    <n v="310000"/>
    <x v="3"/>
    <d v="2016-05-19T00:00:00"/>
    <d v="2016-06-25T00:00:00"/>
    <s v="AB Tábor s.r.o."/>
    <n v="162388.26446280992"/>
    <n v="196489.8"/>
    <x v="58"/>
    <s v="xxx"/>
    <s v="xxx"/>
  </r>
  <r>
    <s v="VZ-2016-000260"/>
    <s v="ZM "/>
    <s v="Dočkalová"/>
    <x v="111"/>
    <s v="18424300-0"/>
    <m/>
    <n v="3600000"/>
    <x v="0"/>
    <d v="2016-06-08T00:00:00"/>
    <d v="2016-06-29T00:00:00"/>
    <s v="Chráněná dílna TiRo Blansko s.r.o."/>
    <n v="3477000"/>
    <n v="4207170"/>
    <x v="62"/>
    <d v="2016-10-04T00:00:00"/>
    <d v="2017-03-06T00:00:00"/>
  </r>
  <r>
    <s v="VZ-2016-000266"/>
    <s v="ZT"/>
    <s v="Novák"/>
    <x v="112"/>
    <s v="38510000-3 "/>
    <s v="2.3.137"/>
    <n v="395000"/>
    <x v="3"/>
    <d v="2016-05-19T00:00:00"/>
    <d v="2016-05-30T00:00:00"/>
    <s v="Intraco micro spol. s r.o."/>
    <n v="179160"/>
    <n v="216783.6"/>
    <x v="46"/>
    <s v="xxx"/>
    <s v="xxx"/>
  </r>
  <r>
    <s v="VZ-2016-000268"/>
    <s v="OSB "/>
    <s v="Vaida"/>
    <x v="113"/>
    <s v="44411000-4"/>
    <m/>
    <n v="490000"/>
    <x v="3"/>
    <d v="2016-05-18T00:00:00"/>
    <d v="2016-05-26T00:00:00"/>
    <s v="VK-AQUA trading s.r.o."/>
    <n v="411849"/>
    <n v="498337.29"/>
    <x v="58"/>
    <s v="xxx"/>
    <s v="xxx"/>
  </r>
  <r>
    <s v="VZ-2016-000269"/>
    <s v="ZT"/>
    <s v="Novák"/>
    <x v="114"/>
    <s v="33123200-0 "/>
    <s v="2.3.121; 2.3.129; 2.3.154"/>
    <n v="350000"/>
    <x v="3"/>
    <d v="2016-05-19T00:00:00"/>
    <d v="2016-05-31T00:00:00"/>
    <s v="BTL zdrav. technika a.s."/>
    <n v="468875"/>
    <n v="567338.75"/>
    <x v="46"/>
    <s v="xxx"/>
    <s v="xxx"/>
  </r>
  <r>
    <s v="VZ-2016-000270"/>
    <s v="OSB "/>
    <s v="Vaida"/>
    <x v="115"/>
    <s v="42131142-3"/>
    <m/>
    <n v="481818"/>
    <x v="3"/>
    <d v="2016-05-19T00:00:00"/>
    <d v="2016-06-06T00:00:00"/>
    <s v="Vodo topo instalace s.r.o."/>
    <n v="478055.59"/>
    <n v="578447.27"/>
    <x v="42"/>
    <s v="xxx"/>
    <s v="xxx"/>
  </r>
  <r>
    <s v="VZ-2016-000271"/>
    <s v="OSB "/>
    <s v="Vaida"/>
    <x v="116"/>
    <s v="45330000-9"/>
    <m/>
    <n v="1223000"/>
    <x v="3"/>
    <d v="2016-05-23T00:00:00"/>
    <d v="2016-06-07T00:00:00"/>
    <s v="SANBON spol.s r .o."/>
    <n v="858585.85"/>
    <n v="1038888.88"/>
    <x v="46"/>
    <d v="2016-07-01T00:00:00"/>
    <d v="2016-11-07T00:00:00"/>
  </r>
  <r>
    <s v="VZ-2016-000278"/>
    <s v="VYHRAZ"/>
    <s v="Srovnal"/>
    <x v="117"/>
    <s v="98395000-8"/>
    <m/>
    <n v="1800000"/>
    <x v="3"/>
    <m/>
    <m/>
    <m/>
    <m/>
    <m/>
    <x v="1"/>
    <m/>
    <s v="xxx"/>
  </r>
  <r>
    <s v="VZ-2016-000280"/>
    <s v="ENERG"/>
    <s v="Eyer"/>
    <x v="118"/>
    <s v="71321000-4"/>
    <s v="4.1.22.; 4.1.33."/>
    <n v="215000"/>
    <x v="3"/>
    <d v="2016-05-25T00:00:00"/>
    <d v="2016-06-03T00:00:00"/>
    <s v="ELPREMO s.r.o."/>
    <n v="280000"/>
    <n v="338800"/>
    <x v="54"/>
    <d v="2016-07-11T00:00:00"/>
    <d v="2016-11-28T00:00:00"/>
  </r>
  <r>
    <s v="VZ-2016-000280"/>
    <s v="ENERG"/>
    <s v="Eyer"/>
    <x v="119"/>
    <s v="71321000-4"/>
    <s v="4.1.26.; 4.1.28."/>
    <n v="800000"/>
    <x v="3"/>
    <d v="2016-05-25T00:00:00"/>
    <d v="2016-06-03T00:00:00"/>
    <s v="ELPREMO s.r.o."/>
    <n v="992000"/>
    <n v="1200320"/>
    <x v="54"/>
    <d v="2016-07-11T00:00:00"/>
    <d v="2017-02-13T00:00:00"/>
  </r>
  <r>
    <s v="VZ-2016-000280"/>
    <s v="ENERG"/>
    <s v="Eyer"/>
    <x v="120"/>
    <s v="71321000-4"/>
    <s v="4.1.31"/>
    <n v="50000"/>
    <x v="3"/>
    <d v="2016-05-25T00:00:00"/>
    <d v="2016-06-03T00:00:00"/>
    <s v="Milan Vician"/>
    <n v="17800"/>
    <n v="17800"/>
    <x v="46"/>
    <d v="2016-07-01T00:00:00"/>
    <d v="2016-11-03T00:00:00"/>
  </r>
  <r>
    <s v="VZ-2016-000281"/>
    <s v="INF"/>
    <s v="Oravec"/>
    <x v="121"/>
    <s v="30213200-7 "/>
    <m/>
    <n v="133000"/>
    <x v="4"/>
    <d v="2016-05-23T00:00:00"/>
    <d v="2016-07-20T00:00:00"/>
    <s v="zrušeno - ani jedna nabídka"/>
    <m/>
    <m/>
    <x v="1"/>
    <m/>
    <m/>
  </r>
  <r>
    <s v="VZ-2016-000282"/>
    <s v="ZM "/>
    <s v="Dočkalová"/>
    <x v="122"/>
    <s v="33141000-0 "/>
    <m/>
    <n v="890000"/>
    <x v="3"/>
    <d v="2016-05-25T00:00:00"/>
    <d v="2016-06-07T00:00:00"/>
    <s v="Gatebo s.r.o."/>
    <n v="901919.4"/>
    <n v="1091322.4739999999"/>
    <x v="1"/>
    <m/>
    <s v="xxx"/>
  </r>
  <r>
    <s v="VZ-2016-000288"/>
    <s v="ZT"/>
    <s v="Novák"/>
    <x v="123"/>
    <s v="33125000-2"/>
    <s v="2.3.153"/>
    <n v="530000"/>
    <x v="3"/>
    <d v="2016-05-26T00:00:00"/>
    <d v="2016-06-03T00:00:00"/>
    <s v="Medkonsult s.r.o."/>
    <n v="558050"/>
    <n v="675240.5"/>
    <x v="63"/>
    <d v="2016-07-07T00:00:00"/>
    <d v="2016-11-03T00:00:00"/>
  </r>
  <r>
    <s v="VZ-2016-000290"/>
    <s v="LÉK"/>
    <s v="Ondráčková"/>
    <x v="124"/>
    <s v="33652100-6"/>
    <m/>
    <n v="5583168.6100000003"/>
    <x v="1"/>
    <d v="2016-05-26T00:00:00"/>
    <d v="2016-09-20T00:00:00"/>
    <s v="ROCHE s.r.o."/>
    <n v="5293970.6100000003"/>
    <n v="5823367.671000001"/>
    <x v="64"/>
    <d v="2016-11-21T00:00:00"/>
    <d v="2017-03-24T00:00:00"/>
  </r>
  <r>
    <s v="VZ-2016-000290"/>
    <s v="LÉK"/>
    <s v="Ondráčková"/>
    <x v="125"/>
    <s v="33652100-6"/>
    <m/>
    <n v="11182570.199999999"/>
    <x v="1"/>
    <d v="2016-05-26T00:00:00"/>
    <d v="2016-09-20T00:00:00"/>
    <s v="zrušena -bez nabídky"/>
    <m/>
    <m/>
    <x v="1"/>
    <m/>
    <m/>
  </r>
  <r>
    <s v="VZ-2016-000290"/>
    <s v="LÉK"/>
    <s v="Ondráčková"/>
    <x v="126"/>
    <s v="33652100-6"/>
    <m/>
    <n v="5900996.6399999997"/>
    <x v="1"/>
    <d v="2016-05-26T00:00:00"/>
    <d v="2016-09-20T00:00:00"/>
    <s v="AMGEN s.r.o."/>
    <n v="5900996.6399999997"/>
    <n v="6491096.3040000005"/>
    <x v="64"/>
    <d v="2016-11-21T00:00:00"/>
    <d v="2017-03-24T00:00:00"/>
  </r>
  <r>
    <s v="VZ-2016-000290"/>
    <s v="LÉK"/>
    <s v="Ondráčková"/>
    <x v="127"/>
    <s v="33652100-6"/>
    <m/>
    <n v="45448123.82"/>
    <x v="1"/>
    <d v="2016-05-26T00:00:00"/>
    <d v="2016-09-20T00:00:00"/>
    <s v="zrušeno - bez hodnocené nabídky"/>
    <m/>
    <m/>
    <x v="1"/>
    <m/>
    <m/>
  </r>
  <r>
    <s v="VZ-2016-000290"/>
    <s v="LÉK"/>
    <s v="Ondráčková"/>
    <x v="128"/>
    <s v="33652100-6"/>
    <m/>
    <n v="35163927.340000004"/>
    <x v="1"/>
    <d v="2016-05-26T00:00:00"/>
    <d v="2016-09-20T00:00:00"/>
    <s v="Pharmos, a.s."/>
    <n v="34991870.380000003"/>
    <n v="38491057.418000005"/>
    <x v="64"/>
    <d v="2016-11-21T00:00:00"/>
    <d v="2017-03-24T00:00:00"/>
  </r>
  <r>
    <s v="VZ-2016-000291"/>
    <s v="VYHRAZ"/>
    <s v="Holibka"/>
    <x v="129"/>
    <s v="50700000-2"/>
    <m/>
    <n v="490000"/>
    <x v="3"/>
    <d v="2016-05-30T00:00:00"/>
    <d v="2016-06-10T00:00:00"/>
    <s v="Liftmont CZ s.r.o."/>
    <n v="526900"/>
    <n v="637549"/>
    <x v="46"/>
    <d v="2016-07-01T00:00:00"/>
    <s v="xxx"/>
  </r>
  <r>
    <s v="VZ-2016-000293"/>
    <s v="LÉK"/>
    <s v="Ondráčková"/>
    <x v="130"/>
    <s v="33662100-9"/>
    <m/>
    <n v="252739.4"/>
    <x v="1"/>
    <d v="2016-05-26T00:00:00"/>
    <d v="2016-09-02T00:00:00"/>
    <s v="Alliance Healthcare s.r.o."/>
    <n v="252739.4"/>
    <n v="278013.34000000003"/>
    <x v="65"/>
    <d v="2016-10-17T00:00:00"/>
    <d v="2017-03-24T00:00:00"/>
  </r>
  <r>
    <s v="VZ-2016-000293"/>
    <s v="LÉK"/>
    <s v="Ondráčková"/>
    <x v="131"/>
    <s v="33662100-9"/>
    <m/>
    <n v="24745865.789999999"/>
    <x v="1"/>
    <d v="2016-05-26T00:00:00"/>
    <d v="2016-09-02T00:00:00"/>
    <s v="zrušeno - bez hodnocené nabídky"/>
    <m/>
    <m/>
    <x v="1"/>
    <m/>
    <m/>
  </r>
  <r>
    <s v="VZ-2016-000293"/>
    <s v="LÉK"/>
    <s v="Ondráčková"/>
    <x v="132"/>
    <s v="33662100-9"/>
    <m/>
    <n v="2248473.4300000002"/>
    <x v="1"/>
    <d v="2016-05-26T00:00:00"/>
    <d v="2016-09-02T00:00:00"/>
    <s v="zrušeno - bez hodnocené nabídky"/>
    <m/>
    <m/>
    <x v="1"/>
    <m/>
    <m/>
  </r>
  <r>
    <s v="VZ-2016-000294"/>
    <s v="LÉK"/>
    <s v="Ondráčková"/>
    <x v="133"/>
    <s v="33652000-5"/>
    <m/>
    <n v="93982833.340000004"/>
    <x v="1"/>
    <d v="2016-05-27T00:00:00"/>
    <d v="2016-09-21T00:00:00"/>
    <s v="Alliance Healthcare s.r.o."/>
    <n v="93025912.870000005"/>
    <n v="102328504.15700002"/>
    <x v="66"/>
    <d v="2016-11-14T00:00:00"/>
    <d v="2017-03-24T00:00:00"/>
  </r>
  <r>
    <s v="VZ-2016-000294"/>
    <s v="LÉK"/>
    <s v="Ondráčková"/>
    <x v="134"/>
    <s v="33652000-5"/>
    <m/>
    <n v="4214160.55"/>
    <x v="1"/>
    <d v="2016-05-27T00:00:00"/>
    <d v="2016-09-21T00:00:00"/>
    <s v="zrušeno - bez nabídky"/>
    <m/>
    <m/>
    <x v="1"/>
    <m/>
    <m/>
  </r>
  <r>
    <s v="VZ-2016-000294"/>
    <s v="LÉK"/>
    <s v="Ondráčková"/>
    <x v="135"/>
    <s v="33652000-5"/>
    <m/>
    <n v="12508661.18"/>
    <x v="1"/>
    <d v="2016-05-27T00:00:00"/>
    <d v="2016-09-21T00:00:00"/>
    <s v="zrušeno - bez hodnocené nabídky"/>
    <m/>
    <m/>
    <x v="1"/>
    <m/>
    <m/>
  </r>
  <r>
    <s v="VZ-2016-000294"/>
    <s v="LÉK"/>
    <s v="Ondráčková"/>
    <x v="136"/>
    <s v="33652000-5"/>
    <m/>
    <n v="17617137.989999998"/>
    <x v="1"/>
    <d v="2016-05-27T00:00:00"/>
    <d v="2016-09-21T00:00:00"/>
    <s v="zrušeno - bez nabídky"/>
    <m/>
    <m/>
    <x v="1"/>
    <m/>
    <m/>
  </r>
  <r>
    <s v="VZ-2016-000294"/>
    <s v="LÉK"/>
    <s v="Ondráčková"/>
    <x v="137"/>
    <s v="33652000-5"/>
    <m/>
    <n v="1218235.1399999999"/>
    <x v="1"/>
    <d v="2016-05-27T00:00:00"/>
    <d v="2016-09-21T00:00:00"/>
    <s v="zrušeno - bez nabídky"/>
    <m/>
    <m/>
    <x v="1"/>
    <m/>
    <m/>
  </r>
  <r>
    <s v="VZ-2016-000294"/>
    <s v="LÉK"/>
    <s v="Ondráčková"/>
    <x v="138"/>
    <s v="33652000-5"/>
    <m/>
    <n v="15463000"/>
    <x v="1"/>
    <d v="2016-05-27T00:00:00"/>
    <d v="2016-09-21T00:00:00"/>
    <s v="ViaPharma  s.r.o."/>
    <n v="15663797.1"/>
    <n v="17230176.810000002"/>
    <x v="66"/>
    <d v="2016-11-14T00:00:00"/>
    <d v="2017-03-24T00:00:00"/>
  </r>
  <r>
    <s v="VZ-2016-000294"/>
    <s v="LÉK"/>
    <s v="Ondráčková"/>
    <x v="139"/>
    <s v="33652000-5"/>
    <m/>
    <n v="147066.29"/>
    <x v="1"/>
    <d v="2016-05-27T00:00:00"/>
    <d v="2016-09-21T00:00:00"/>
    <s v="Alliance Healthcare s.r.o."/>
    <n v="164683.68"/>
    <n v="181152.04800000001"/>
    <x v="66"/>
    <d v="2016-11-14T00:00:00"/>
    <s v="xxx"/>
  </r>
  <r>
    <s v="VZ-2016-000294"/>
    <s v="LÉK"/>
    <s v="Ondráčková"/>
    <x v="140"/>
    <s v="33652000-5"/>
    <m/>
    <n v="11533338.02"/>
    <x v="1"/>
    <d v="2016-05-27T00:00:00"/>
    <d v="2016-09-21T00:00:00"/>
    <s v="Alliance Healthcare s.r.o."/>
    <n v="11523198.050000001"/>
    <n v="12675517.855000002"/>
    <x v="66"/>
    <d v="2016-11-14T00:00:00"/>
    <d v="2017-03-24T00:00:00"/>
  </r>
  <r>
    <s v="VZ-2016-000294"/>
    <s v="LÉK"/>
    <s v="Ondráčková"/>
    <x v="141"/>
    <s v="33652000-5"/>
    <m/>
    <n v="189690.2"/>
    <x v="1"/>
    <d v="2016-05-27T00:00:00"/>
    <d v="2016-09-21T00:00:00"/>
    <s v="zrušeno - bez nabídky"/>
    <m/>
    <m/>
    <x v="1"/>
    <m/>
    <m/>
  </r>
  <r>
    <s v="VZ-2016-000294"/>
    <s v="LÉK"/>
    <s v="Ondráčková"/>
    <x v="142"/>
    <s v="33652000-5"/>
    <m/>
    <n v="1189152.51"/>
    <x v="1"/>
    <d v="2016-05-27T00:00:00"/>
    <d v="2016-09-21T00:00:00"/>
    <s v="zrušeno - bez nabídky"/>
    <m/>
    <m/>
    <x v="1"/>
    <m/>
    <m/>
  </r>
  <r>
    <s v="VZ-2016-000310"/>
    <s v="LÉK"/>
    <s v="Ondráčková"/>
    <x v="143"/>
    <s v="33652100-6"/>
    <m/>
    <n v="5612521.5999999996"/>
    <x v="1"/>
    <d v="2016-06-06T00:00:00"/>
    <d v="2016-09-14T00:00:00"/>
    <s v="Avenier a.s."/>
    <n v="5552359.04"/>
    <n v="6107594.9400000004"/>
    <x v="67"/>
    <d v="2016-11-11T00:00:00"/>
    <d v="2017-03-24T00:00:00"/>
  </r>
  <r>
    <s v="VZ-2016-000310"/>
    <s v="LÉK"/>
    <s v="Ondráčková"/>
    <x v="144"/>
    <s v="33652100-6"/>
    <m/>
    <n v="4245022.46"/>
    <x v="1"/>
    <d v="2016-06-06T00:00:00"/>
    <d v="2016-09-14T00:00:00"/>
    <s v="zrušeno - ani jedna nabídka"/>
    <m/>
    <m/>
    <x v="1"/>
    <m/>
    <s v="za rok 2016"/>
  </r>
  <r>
    <s v="VZ-2016-000310"/>
    <s v="LÉK"/>
    <s v="Ondráčková"/>
    <x v="145"/>
    <s v="33652100-6"/>
    <m/>
    <n v="5420981.1200000001"/>
    <x v="1"/>
    <d v="2016-06-06T00:00:00"/>
    <d v="2016-09-14T00:00:00"/>
    <s v="ROCHE s.r.o."/>
    <n v="5420981.1200000001"/>
    <n v="5963079.2300000004"/>
    <x v="68"/>
    <d v="2016-11-11T00:00:00"/>
    <n v="0"/>
  </r>
  <r>
    <s v="VZ-2016-000310"/>
    <s v="LÉK"/>
    <s v="Ondráčková"/>
    <x v="146"/>
    <s v="33652100-6"/>
    <m/>
    <n v="22659250.25"/>
    <x v="1"/>
    <d v="2016-06-06T00:00:00"/>
    <d v="2016-09-14T00:00:00"/>
    <s v="zrušeno - bez hodnocené nabídky"/>
    <m/>
    <m/>
    <x v="1"/>
    <m/>
    <s v="za rok 2016"/>
  </r>
  <r>
    <s v="VZ-2016-000315"/>
    <s v="ZT"/>
    <s v="Novák"/>
    <x v="147"/>
    <s v="42931100-2"/>
    <s v="2.3.106; 2.3.126; 2.3.157"/>
    <n v="490000"/>
    <x v="3"/>
    <d v="2016-06-09T00:00:00"/>
    <d v="2016-06-22T00:00:00"/>
    <s v="MEDESA s.r.o."/>
    <n v="528322.50413223135"/>
    <n v="639270.23"/>
    <x v="69"/>
    <d v="2016-09-22T00:00:00"/>
    <d v="2016-12-19T00:00:00"/>
  </r>
  <r>
    <s v="VZ-2016-000315"/>
    <s v="ZT"/>
    <s v="Novák"/>
    <x v="148"/>
    <s v="42931100-2"/>
    <s v="2.3.94"/>
    <n v="250000"/>
    <x v="3"/>
    <d v="2016-06-09T00:00:00"/>
    <d v="2016-06-22T00:00:00"/>
    <s v="KRD s.r.o."/>
    <n v="242311.77685950414"/>
    <n v="293197.25"/>
    <x v="70"/>
    <d v="2016-09-22T00:00:00"/>
    <d v="2017-01-02T00:00:00"/>
  </r>
  <r>
    <s v="VZ-2016-000315"/>
    <s v="ZT"/>
    <s v="Novák"/>
    <x v="149"/>
    <s v="42931100-2"/>
    <s v="2.3.127"/>
    <n v="250000"/>
    <x v="3"/>
    <d v="2016-06-09T00:00:00"/>
    <d v="2016-06-22T00:00:00"/>
    <s v="UNIMED s.r.o."/>
    <n v="120639"/>
    <n v="145973.19"/>
    <x v="69"/>
    <d v="2016-09-22T00:00:00"/>
    <d v="2017-01-02T00:00:00"/>
  </r>
  <r>
    <s v="VZ-2016-000316"/>
    <s v="ENERG"/>
    <s v="Zbořil"/>
    <x v="150"/>
    <s v="45310000-4"/>
    <m/>
    <n v="25600000"/>
    <x v="1"/>
    <d v="2016-06-06T00:00:00"/>
    <m/>
    <m/>
    <m/>
    <m/>
    <x v="1"/>
    <m/>
    <m/>
  </r>
  <r>
    <s v="VZ-2016-000321"/>
    <s v="INV"/>
    <s v="Junek"/>
    <x v="151"/>
    <s v="45215120-4"/>
    <m/>
    <n v="298000000"/>
    <x v="1"/>
    <d v="2016-06-07T00:00:00"/>
    <d v="2016-12-06T00:00:00"/>
    <s v="OHL ŽS a.s."/>
    <n v="276902126"/>
    <n v="335051572"/>
    <x v="1"/>
    <m/>
    <m/>
  </r>
  <r>
    <s v="VZ-2016-000328"/>
    <s v="LÉK"/>
    <s v="Ondráčková"/>
    <x v="152"/>
    <s v="33652300-8"/>
    <m/>
    <n v="16953800"/>
    <x v="1"/>
    <d v="2016-06-13T00:00:00"/>
    <d v="2016-09-15T00:00:00"/>
    <s v="Avenier a.s."/>
    <n v="16952770"/>
    <n v="18648047"/>
    <x v="66"/>
    <d v="2016-11-14T00:00:00"/>
    <d v="2017-03-24T00:00:00"/>
  </r>
  <r>
    <s v="VZ-2016-000328"/>
    <s v="LÉK"/>
    <s v="Ondráčková"/>
    <x v="153"/>
    <s v="33652300-8"/>
    <m/>
    <n v="1351634.13"/>
    <x v="1"/>
    <d v="2016-06-13T00:00:00"/>
    <d v="2016-09-15T00:00:00"/>
    <s v="zrušeno - bez nabídky"/>
    <m/>
    <m/>
    <x v="1"/>
    <m/>
    <m/>
  </r>
  <r>
    <s v="VZ-2016-000328"/>
    <s v="LÉK"/>
    <s v="Ondráčková"/>
    <x v="154"/>
    <s v="33652300-8"/>
    <m/>
    <n v="8358083.1500000004"/>
    <x v="1"/>
    <d v="2016-06-13T00:00:00"/>
    <d v="2016-09-15T00:00:00"/>
    <s v="zrušeno - bez nabídky"/>
    <m/>
    <m/>
    <x v="1"/>
    <m/>
    <m/>
  </r>
  <r>
    <s v="VZ-2016-000328"/>
    <s v="LÉK"/>
    <s v="Ondráčková"/>
    <x v="155"/>
    <s v="33652300-8"/>
    <m/>
    <n v="807352.72"/>
    <x v="1"/>
    <d v="2016-06-13T00:00:00"/>
    <d v="2016-09-15T00:00:00"/>
    <s v="Pharmos, a.s."/>
    <n v="792155.38"/>
    <n v="871370.91800000006"/>
    <x v="66"/>
    <d v="2016-11-14T00:00:00"/>
    <d v="2017-03-24T00:00:00"/>
  </r>
  <r>
    <s v="VZ-2016-000328"/>
    <s v="LÉK"/>
    <s v="Ondráčková"/>
    <x v="156"/>
    <s v="33652300-8"/>
    <m/>
    <n v="28194969.280000001"/>
    <x v="1"/>
    <d v="2016-06-13T00:00:00"/>
    <d v="2016-09-15T00:00:00"/>
    <s v="Alliance Healthcare s.r.o."/>
    <n v="28194969.280000001"/>
    <n v="31014466.208000004"/>
    <x v="66"/>
    <d v="2016-11-14T00:00:00"/>
    <d v="2017-03-24T00:00:00"/>
  </r>
  <r>
    <s v="VZ-2016-000328"/>
    <s v="LÉK"/>
    <s v="Ondráčková"/>
    <x v="157"/>
    <s v="33652300-8"/>
    <m/>
    <n v="9743354.4000000004"/>
    <x v="1"/>
    <d v="2016-06-13T00:00:00"/>
    <d v="2016-09-15T00:00:00"/>
    <s v="zrušeno - bez nabídky"/>
    <m/>
    <m/>
    <x v="1"/>
    <m/>
    <m/>
  </r>
  <r>
    <s v="VZ-2016-000333"/>
    <s v="ZT"/>
    <s v="Novák"/>
    <x v="158"/>
    <s v="33168000-5 "/>
    <s v="2.2.30"/>
    <n v="300000"/>
    <x v="3"/>
    <d v="2016-06-14T00:00:00"/>
    <d v="2016-06-28T00:00:00"/>
    <s v="Olympus Czcech Group s.r.o."/>
    <n v="289149"/>
    <n v="349870.2"/>
    <x v="71"/>
    <s v="xxx"/>
    <s v="xxx"/>
  </r>
  <r>
    <s v="VZ-2016-000335"/>
    <s v="ENERG"/>
    <s v="Zbořil"/>
    <x v="159"/>
    <s v="45315700-5"/>
    <s v="1.2.28"/>
    <n v="500000"/>
    <x v="3"/>
    <d v="2016-06-16T00:00:00"/>
    <d v="2016-06-28T00:00:00"/>
    <s v="Opluštil-Stavby s.r.o."/>
    <n v="293212"/>
    <n v="354787"/>
    <x v="72"/>
    <d v="2016-07-21T00:00:00"/>
    <d v="2016-12-05T00:00:00"/>
  </r>
  <r>
    <s v="VZ-2016-000336"/>
    <s v="ZT"/>
    <s v="Novák"/>
    <x v="160"/>
    <s v="42513000-5"/>
    <s v="2.2.47"/>
    <n v="315000"/>
    <x v="3"/>
    <d v="2016-06-17T00:00:00"/>
    <d v="2016-06-28T00:00:00"/>
    <s v="Prodispa s.r.o."/>
    <n v="160000"/>
    <n v="193600"/>
    <x v="73"/>
    <s v="xxx"/>
    <s v="xxx"/>
  </r>
  <r>
    <s v="VZ-2016-000342"/>
    <s v="INF"/>
    <s v="Oravec"/>
    <x v="161"/>
    <s v="30233180-6 "/>
    <m/>
    <n v="58967"/>
    <x v="4"/>
    <d v="2016-06-21T00:00:00"/>
    <d v="2016-08-03T00:00:00"/>
    <s v="zrušeno - ani jedna nabídka"/>
    <m/>
    <m/>
    <x v="1"/>
    <m/>
    <m/>
  </r>
  <r>
    <s v="VZ-2016-000343"/>
    <s v="OSB "/>
    <s v="Vaida"/>
    <x v="162"/>
    <s v="45261210-9"/>
    <m/>
    <n v="400000"/>
    <x v="3"/>
    <d v="2016-07-13T00:00:00"/>
    <d v="2016-07-20T00:00:00"/>
    <s v="SOPAT CZ "/>
    <n v="199054.5"/>
    <n v="240855.94500000001"/>
    <x v="74"/>
    <s v="xxx"/>
    <s v="xxx"/>
  </r>
  <r>
    <s v="VZ-2016-000345"/>
    <s v="OÚ"/>
    <s v="Gregor"/>
    <x v="163"/>
    <s v="50421200-4"/>
    <m/>
    <n v="36000000"/>
    <x v="1"/>
    <m/>
    <m/>
    <m/>
    <m/>
    <m/>
    <x v="1"/>
    <m/>
    <m/>
  </r>
  <r>
    <s v="VZ-2016-000350"/>
    <s v="LÉK"/>
    <s v="Ondráčková"/>
    <x v="164"/>
    <s v="33652000-5"/>
    <m/>
    <n v="8103358.75"/>
    <x v="1"/>
    <d v="2016-06-24T00:00:00"/>
    <d v="2016-10-07T00:00:00"/>
    <s v="Alliance Healthcare s.r.o."/>
    <n v="8103328"/>
    <n v="8913660.8000000007"/>
    <x v="75"/>
    <d v="2016-11-18T00:00:00"/>
    <d v="2017-03-24T00:00:00"/>
  </r>
  <r>
    <s v="VZ-2016-000350"/>
    <s v="LÉK"/>
    <s v="Ondráčková"/>
    <x v="165"/>
    <s v="33652000-5"/>
    <m/>
    <n v="2654549.6800000002"/>
    <x v="1"/>
    <d v="2016-06-24T00:00:00"/>
    <d v="2016-10-07T00:00:00"/>
    <s v="Alliance Healthcare s.r.o."/>
    <n v="2737208"/>
    <n v="3010928.8000000003"/>
    <x v="75"/>
    <d v="2016-11-18T00:00:00"/>
    <d v="2017-03-24T00:00:00"/>
  </r>
  <r>
    <s v="VZ-2016-000350"/>
    <s v="LÉK"/>
    <s v="Ondráčková"/>
    <x v="166"/>
    <s v="33652000-5"/>
    <m/>
    <n v="1178152.25"/>
    <x v="1"/>
    <d v="2016-06-24T00:00:00"/>
    <d v="2016-10-07T00:00:00"/>
    <s v="zrušeno - bez nabídky"/>
    <m/>
    <m/>
    <x v="1"/>
    <m/>
    <m/>
  </r>
  <r>
    <s v="VZ-2016-000350"/>
    <s v="LÉK"/>
    <s v="Ondráčková"/>
    <x v="167"/>
    <s v="33652000-5"/>
    <m/>
    <n v="1122856.02"/>
    <x v="1"/>
    <d v="2016-06-24T00:00:00"/>
    <d v="2016-10-07T00:00:00"/>
    <s v="Pharmos, a.s."/>
    <n v="1101262.6200000001"/>
    <n v="1211388.8820000002"/>
    <x v="75"/>
    <d v="2016-11-18T00:00:00"/>
    <n v="0"/>
  </r>
  <r>
    <s v="VZ-2016-000350"/>
    <s v="LÉK"/>
    <s v="Ondráčková"/>
    <x v="168"/>
    <s v="33652000-5"/>
    <m/>
    <n v="3772001.4"/>
    <x v="1"/>
    <d v="2016-06-24T00:00:00"/>
    <d v="2016-10-07T00:00:00"/>
    <s v="PHOENIX lék. Velkoobchod"/>
    <n v="3772001.4"/>
    <n v="4149201.54"/>
    <x v="75"/>
    <d v="2016-11-18T00:00:00"/>
    <d v="2017-03-24T00:00:00"/>
  </r>
  <r>
    <s v="VZ-2016-000350"/>
    <s v="LÉK"/>
    <s v="Ondráčková"/>
    <x v="169"/>
    <s v="33652000-5"/>
    <m/>
    <n v="5817497.1900000004"/>
    <x v="1"/>
    <d v="2016-06-24T00:00:00"/>
    <d v="2016-10-07T00:00:00"/>
    <s v="PHOENIX lék. Velkoobchod"/>
    <n v="5817497.1900000004"/>
    <n v="6399246.9090000009"/>
    <x v="75"/>
    <d v="2016-11-18T00:00:00"/>
    <n v="0"/>
  </r>
  <r>
    <s v="VZ-2016-000350"/>
    <s v="LÉK"/>
    <s v="Ondráčková"/>
    <x v="170"/>
    <s v="33652000-5"/>
    <m/>
    <n v="4585135.28"/>
    <x v="1"/>
    <d v="2016-06-24T00:00:00"/>
    <d v="2016-10-07T00:00:00"/>
    <s v="Alliance Healthcare s.r.o."/>
    <n v="4581690.4000000004"/>
    <n v="5039859.4400000004"/>
    <x v="75"/>
    <d v="2016-11-18T00:00:00"/>
    <d v="2017-03-24T00:00:00"/>
  </r>
  <r>
    <s v="VZ-2016-000350"/>
    <s v="LÉK"/>
    <s v="Ondráčková"/>
    <x v="171"/>
    <s v="33652000-5"/>
    <m/>
    <n v="2781935.67"/>
    <x v="1"/>
    <d v="2016-06-24T00:00:00"/>
    <d v="2016-10-07T00:00:00"/>
    <s v="zrušeno - bez nabídky"/>
    <m/>
    <m/>
    <x v="1"/>
    <m/>
    <m/>
  </r>
  <r>
    <s v="VZ-2016-000350"/>
    <s v="LÉK"/>
    <s v="Ondráčková"/>
    <x v="172"/>
    <s v="33652000-5"/>
    <m/>
    <n v="684987.92"/>
    <x v="1"/>
    <d v="2016-06-24T00:00:00"/>
    <d v="2016-10-07T00:00:00"/>
    <s v="Alliance Healthcare s.r.o."/>
    <n v="681580"/>
    <n v="749738.00000000012"/>
    <x v="75"/>
    <d v="2016-11-18T00:00:00"/>
    <d v="2017-03-24T00:00:00"/>
  </r>
  <r>
    <s v="VZ-2016-000350"/>
    <s v="LÉK"/>
    <s v="Ondráčková"/>
    <x v="173"/>
    <s v="33652000-5"/>
    <m/>
    <n v="840000"/>
    <x v="1"/>
    <d v="2016-06-24T00:00:00"/>
    <d v="2016-10-07T00:00:00"/>
    <s v="zrušeno - bez nabídky"/>
    <m/>
    <m/>
    <x v="1"/>
    <m/>
    <m/>
  </r>
  <r>
    <s v="VZ-2016-000350"/>
    <s v="LÉK"/>
    <s v="Ondráčková"/>
    <x v="174"/>
    <s v="33652000-5"/>
    <m/>
    <n v="7870500"/>
    <x v="1"/>
    <d v="2016-06-24T00:00:00"/>
    <d v="2016-10-07T00:00:00"/>
    <s v="Janssen - Cilag s.r.o."/>
    <n v="7870500"/>
    <n v="8657550"/>
    <x v="75"/>
    <d v="2016-11-18T00:00:00"/>
    <d v="2017-03-24T00:00:00"/>
  </r>
  <r>
    <s v="VZ-2016-000352"/>
    <s v="LÉK"/>
    <s v="Ondráčková"/>
    <x v="175"/>
    <s v="33652000-5"/>
    <m/>
    <n v="28321751.899999999"/>
    <x v="1"/>
    <d v="2016-06-24T00:00:00"/>
    <d v="2016-10-06T00:00:00"/>
    <s v="PHOENIX lék. Velkoobchod"/>
    <n v="28392204.359999999"/>
    <n v="31231424.796"/>
    <x v="76"/>
    <d v="2016-11-23T00:00:00"/>
    <d v="2017-03-24T00:00:00"/>
  </r>
  <r>
    <s v="VZ-2016-000352"/>
    <s v="LÉK"/>
    <s v="Ondráčková"/>
    <x v="176"/>
    <s v="33652000-5"/>
    <m/>
    <n v="8218926.5"/>
    <x v="1"/>
    <d v="2016-06-24T00:00:00"/>
    <d v="2016-10-06T00:00:00"/>
    <s v="ROCHE s.r.o."/>
    <n v="8182514.1600000001"/>
    <n v="9000765.5760000013"/>
    <x v="77"/>
    <d v="2016-11-23T00:00:00"/>
    <d v="2017-03-24T00:00:00"/>
  </r>
  <r>
    <s v="VZ-2016-000352"/>
    <s v="LÉK"/>
    <s v="Ondráčková"/>
    <x v="177"/>
    <s v="33652000-5"/>
    <m/>
    <n v="2033488.8"/>
    <x v="1"/>
    <d v="2016-06-24T00:00:00"/>
    <d v="2016-10-06T00:00:00"/>
    <s v="PHOENIX lék. Velkoobchod"/>
    <n v="2033488.8"/>
    <n v="2236837.6800000002"/>
    <x v="76"/>
    <d v="2016-11-23T00:00:00"/>
    <d v="2017-03-24T00:00:00"/>
  </r>
  <r>
    <s v="VZ-2016-000357"/>
    <s v="ENERG"/>
    <s v="Zbořil"/>
    <x v="178"/>
    <s v="45310000-3"/>
    <m/>
    <n v="500000"/>
    <x v="3"/>
    <d v="2016-06-27T00:00:00"/>
    <d v="2016-07-05T00:00:00"/>
    <s v="Opluštil-Stavby s.r.o."/>
    <n v="312876"/>
    <n v="378579.96"/>
    <x v="47"/>
    <d v="2016-07-14T00:00:00"/>
    <s v="xxx"/>
  </r>
  <r>
    <s v="VZ-2016-000364"/>
    <s v="LÉK"/>
    <s v="Ondráčková"/>
    <x v="179"/>
    <s v="33632200-1"/>
    <m/>
    <n v="6123633.3399999999"/>
    <x v="1"/>
    <d v="2016-07-11T00:00:00"/>
    <d v="2016-11-16T00:00:00"/>
    <s v="zrušeno - bez nabídky"/>
    <m/>
    <m/>
    <x v="1"/>
    <m/>
    <m/>
  </r>
  <r>
    <s v="VZ-2016-000365"/>
    <s v="INV"/>
    <s v="Kvapil"/>
    <x v="180"/>
    <s v="45111100-9"/>
    <m/>
    <n v="5000000"/>
    <x v="3"/>
    <d v="2016-07-07T00:00:00"/>
    <d v="2016-07-21T00:00:00"/>
    <s v="PB SCOM s.r.o."/>
    <n v="2419711.4300000002"/>
    <n v="2927850.8303"/>
    <x v="78"/>
    <d v="2016-08-23T00:00:00"/>
    <s v="xxx"/>
  </r>
  <r>
    <s v="VZ-2016-000368"/>
    <s v="ZT"/>
    <s v="Čech"/>
    <x v="181"/>
    <s v="33124120-2"/>
    <s v="2.3.118"/>
    <n v="2890000"/>
    <x v="0"/>
    <d v="2016-07-12T00:00:00"/>
    <d v="2016-08-12T00:00:00"/>
    <s v="MANLOMKA s.r.o."/>
    <n v="1849958.0000000002"/>
    <n v="2238449.1800000002"/>
    <x v="33"/>
    <d v="2016-10-19T00:00:00"/>
    <d v="2017-02-07T00:00:00"/>
  </r>
  <r>
    <s v="VZ-2016-000368"/>
    <s v="ZT"/>
    <s v="Čech"/>
    <x v="182"/>
    <s v="33124120-2"/>
    <s v="2.3.149"/>
    <n v="660000"/>
    <x v="0"/>
    <d v="2016-07-12T00:00:00"/>
    <d v="2016-08-12T00:00:00"/>
    <s v="EMS s.r.o."/>
    <n v="659500"/>
    <n v="797995"/>
    <x v="33"/>
    <d v="2016-10-19T00:00:00"/>
    <d v="2017-02-07T00:00:00"/>
  </r>
  <r>
    <s v="VZ-2016-000370"/>
    <s v="ZT"/>
    <s v="Čech"/>
    <x v="183"/>
    <s v="38000000-5"/>
    <m/>
    <n v="7000000"/>
    <x v="1"/>
    <d v="2016-07-04T00:00:00"/>
    <m/>
    <m/>
    <m/>
    <m/>
    <x v="1"/>
    <m/>
    <m/>
  </r>
  <r>
    <s v="VZ-2016-000371"/>
    <s v="OSB "/>
    <s v="Vaida"/>
    <x v="184"/>
    <s v="45215100-8"/>
    <m/>
    <n v="1320000"/>
    <x v="3"/>
    <d v="2016-07-12T00:00:00"/>
    <d v="2016-07-21T00:00:00"/>
    <s v="Stavitelství Pospíšil s.r.o."/>
    <n v="1635400"/>
    <n v="1978834"/>
    <x v="79"/>
    <d v="2016-08-10T00:00:00"/>
    <d v="2017-03-13T00:00:00"/>
  </r>
  <r>
    <s v="VZ-2016-000372"/>
    <s v="ZT"/>
    <s v="Novák"/>
    <x v="185"/>
    <s v="33120000-7"/>
    <m/>
    <n v="1320000"/>
    <x v="3"/>
    <d v="2016-07-11T00:00:00"/>
    <d v="2016-07-25T00:00:00"/>
    <s v="zrušeno"/>
    <m/>
    <m/>
    <x v="1"/>
    <m/>
    <m/>
  </r>
  <r>
    <s v="VZ-2016-000373"/>
    <s v="LÉK"/>
    <s v="Ondráčková"/>
    <x v="186"/>
    <s v="33652000-5"/>
    <m/>
    <n v="25916941.190000001"/>
    <x v="1"/>
    <d v="2016-07-12T00:00:00"/>
    <d v="2016-11-01T00:00:00"/>
    <s v="zrušeno"/>
    <m/>
    <m/>
    <x v="1"/>
    <m/>
    <m/>
  </r>
  <r>
    <s v="VZ-2016-000374"/>
    <s v="LÉK"/>
    <s v="Ondráčková"/>
    <x v="187"/>
    <s v="33652300-8"/>
    <m/>
    <n v="2561878"/>
    <x v="1"/>
    <d v="2016-07-12T00:00:00"/>
    <d v="2016-09-16T00:00:00"/>
    <s v="zrušeno  - bez nabídky"/>
    <m/>
    <m/>
    <x v="1"/>
    <m/>
    <m/>
  </r>
  <r>
    <s v="VZ-2016-000374"/>
    <s v="LÉK"/>
    <s v="Ondráčková"/>
    <x v="188"/>
    <s v="33652300-8"/>
    <m/>
    <n v="814135.96"/>
    <x v="1"/>
    <d v="2016-07-12T00:00:00"/>
    <d v="2016-09-16T00:00:00"/>
    <s v="Alliance Healthcare s.r.o."/>
    <n v="815434.34"/>
    <n v="896977.77"/>
    <x v="80"/>
    <d v="2016-11-11T00:00:00"/>
    <d v="2017-03-24T00:00:00"/>
  </r>
  <r>
    <s v="VZ-2016-000378"/>
    <s v="ZT"/>
    <s v="Čech"/>
    <x v="189"/>
    <s v="33162100-4 "/>
    <s v="2.1.13."/>
    <n v="2479000"/>
    <x v="0"/>
    <d v="2016-07-26T00:00:00"/>
    <d v="2016-08-11T00:00:00"/>
    <s v="Carl Zeiss s.r.o."/>
    <n v="2700500"/>
    <n v="3267605"/>
    <x v="81"/>
    <d v="2016-09-14T00:00:00"/>
    <d v="2017-01-02T00:00:00"/>
  </r>
  <r>
    <s v="VZ-2016-000380"/>
    <s v="ZM "/>
    <s v="Dočkalová"/>
    <x v="190"/>
    <s v="33181200-4 "/>
    <m/>
    <n v="2222200"/>
    <x v="0"/>
    <d v="2016-07-18T00:00:00"/>
    <d v="2016-08-04T00:00:00"/>
    <s v="První chráněná dílna"/>
    <n v="2494800"/>
    <n v="3018708"/>
    <x v="65"/>
    <d v="2016-10-17T00:00:00"/>
    <d v="2017-03-06T00:00:00"/>
  </r>
  <r>
    <s v="VZ-2016-000384"/>
    <s v="ZT"/>
    <s v="Čech"/>
    <x v="191"/>
    <s v="33150000-6"/>
    <s v="2.3.162"/>
    <n v="12396500"/>
    <x v="1"/>
    <d v="2016-11-15T00:00:00"/>
    <d v="2016-12-06T00:00:00"/>
    <s v="LaparoTech Instruments s.r.o."/>
    <n v="18156196"/>
    <n v="21968997.16"/>
    <x v="1"/>
    <m/>
    <m/>
  </r>
  <r>
    <s v="VZ-2016-000386"/>
    <s v="STRAV"/>
    <s v="Molek"/>
    <x v="192"/>
    <s v="39314000-6"/>
    <s v="4.1.42"/>
    <n v="73000"/>
    <x v="3"/>
    <d v="2016-07-28T00:00:00"/>
    <d v="2016-08-05T00:00:00"/>
    <s v="Technology Morava s.r.o."/>
    <n v="44900"/>
    <n v="54329"/>
    <x v="82"/>
    <s v="xxx"/>
    <s v="xxx"/>
  </r>
  <r>
    <s v="VZ-2016-000386"/>
    <s v="STRAV"/>
    <s v="Molek"/>
    <x v="193"/>
    <s v="39314000-6"/>
    <s v="4.1.43"/>
    <n v="62000"/>
    <x v="3"/>
    <d v="2016-07-28T00:00:00"/>
    <d v="2016-08-05T00:00:00"/>
    <s v="Megastro CZ s.r.o."/>
    <n v="53000"/>
    <n v="64130"/>
    <x v="83"/>
    <s v="xxx"/>
    <s v="xxx"/>
  </r>
  <r>
    <s v="VZ-2016-000390"/>
    <s v="OSB "/>
    <s v="Vaida"/>
    <x v="194"/>
    <s v="45261210-9"/>
    <m/>
    <n v="231405"/>
    <x v="3"/>
    <d v="2016-07-27T00:00:00"/>
    <d v="2016-08-05T00:00:00"/>
    <s v="Izotech Moravia spol. s r.o."/>
    <n v="149327"/>
    <n v="180685.66999999998"/>
    <x v="48"/>
    <s v="xxx"/>
    <s v="xxx"/>
  </r>
  <r>
    <s v="VZ-2016-000391"/>
    <s v="OSB "/>
    <s v="Vaida"/>
    <x v="195"/>
    <s v="45421110-8"/>
    <m/>
    <n v="240000"/>
    <x v="3"/>
    <d v="2016-07-27T00:00:00"/>
    <d v="2016-08-05T00:00:00"/>
    <s v="zrušeno - ani jedna nabídka"/>
    <m/>
    <m/>
    <x v="1"/>
    <s v="xxx"/>
    <s v="xxx"/>
  </r>
  <r>
    <s v="VZ-2016-000392"/>
    <s v="OSB "/>
    <s v="Vaida"/>
    <x v="196"/>
    <s v="44221220-3"/>
    <m/>
    <n v="320000"/>
    <x v="3"/>
    <d v="2016-07-27T00:00:00"/>
    <d v="2016-08-15T00:00:00"/>
    <s v="Stavitelství Pospíšil s.r.o."/>
    <n v="553747"/>
    <n v="670033.87"/>
    <x v="82"/>
    <s v="xxx"/>
    <s v="xxx"/>
  </r>
  <r>
    <s v="VZ-2016-000395"/>
    <s v="INF"/>
    <s v="Oravec"/>
    <x v="197"/>
    <s v="32422000-7"/>
    <s v="3.2.3."/>
    <n v="1230000"/>
    <x v="3"/>
    <d v="2016-08-04T00:00:00"/>
    <d v="2016-08-10T00:00:00"/>
    <s v="Merit Group a.s."/>
    <n v="1203100"/>
    <n v="1455751.4"/>
    <x v="84"/>
    <d v="2016-08-30T00:00:00"/>
    <d v="2016-12-05T00:00:00"/>
  </r>
  <r>
    <s v="VZ-2016-000398"/>
    <s v="ENERG"/>
    <s v="Eyer"/>
    <x v="198"/>
    <s v="45310000-3"/>
    <s v="4.1.31."/>
    <n v="1650000"/>
    <x v="3"/>
    <d v="2016-08-02T00:00:00"/>
    <d v="2016-08-08T00:00:00"/>
    <s v="ELPREMO s.r.o."/>
    <n v="919899"/>
    <n v="1113078"/>
    <x v="85"/>
    <d v="2016-08-16T00:00:00"/>
    <d v="2016-12-19T00:00:00"/>
  </r>
  <r>
    <s v="VZ-2016-000410"/>
    <s v="STRAV"/>
    <s v="Molek"/>
    <x v="199"/>
    <s v="39314000-6"/>
    <s v="4.1.44."/>
    <n v="65000"/>
    <x v="3"/>
    <d v="2016-08-10T00:00:00"/>
    <d v="2016-08-19T00:00:00"/>
    <s v="Megastro CZ s.r.o."/>
    <n v="56000"/>
    <n v="67760"/>
    <x v="82"/>
    <s v="xxx"/>
    <s v="xxx"/>
  </r>
  <r>
    <s v="VZ-2016-000412"/>
    <s v="OSB "/>
    <s v="Vaida"/>
    <x v="200"/>
    <s v="45215100-8"/>
    <s v="1.2.32."/>
    <n v="1074380"/>
    <x v="3"/>
    <d v="2016-08-11T00:00:00"/>
    <d v="2016-08-22T00:00:00"/>
    <s v="zrušeno"/>
    <m/>
    <m/>
    <x v="1"/>
    <m/>
    <s v="xxx"/>
  </r>
  <r>
    <s v="VZ-2016-000413"/>
    <s v="OU"/>
    <s v="Nerudová"/>
    <x v="201"/>
    <s v="39150000-5"/>
    <s v="1.2.32."/>
    <n v="1200000"/>
    <x v="0"/>
    <d v="2016-08-22T00:00:00"/>
    <d v="2016-09-07T00:00:00"/>
    <s v="zrušeno"/>
    <m/>
    <m/>
    <x v="1"/>
    <m/>
    <m/>
  </r>
  <r>
    <s v="VZ-2016-000414"/>
    <s v="ZT"/>
    <s v="Čech"/>
    <x v="202"/>
    <s v="33151400-7"/>
    <s v="2.2.21."/>
    <n v="510000"/>
    <x v="3"/>
    <d v="2016-08-16T00:00:00"/>
    <d v="2016-08-30T00:00:00"/>
    <s v="Transkontakt Medical"/>
    <n v="847420"/>
    <n v="1025378"/>
    <x v="86"/>
    <d v="2016-10-31T00:00:00"/>
    <d v="2017-03-03T00:00:00"/>
  </r>
  <r>
    <s v="VZ-2016-000415"/>
    <s v="ZT"/>
    <s v="Čech"/>
    <x v="203"/>
    <s v="33151400-7"/>
    <s v="2.2.22."/>
    <n v="1650000"/>
    <x v="3"/>
    <d v="2016-08-16T00:00:00"/>
    <d v="2016-08-30T00:00:00"/>
    <s v="zrušeno - překročen limit VZMR"/>
    <m/>
    <m/>
    <x v="1"/>
    <m/>
    <s v="xxx"/>
  </r>
  <r>
    <s v="VZ-2016-000416"/>
    <s v="ZT"/>
    <s v="Čech"/>
    <x v="204"/>
    <s v="33168100-6"/>
    <s v="2.2.24."/>
    <n v="925000"/>
    <x v="3"/>
    <d v="2016-08-16T00:00:00"/>
    <d v="2016-08-30T00:00:00"/>
    <s v="Olympus Czcech Group s.r.o."/>
    <n v="901880.00000000012"/>
    <n v="1091274.8"/>
    <x v="87"/>
    <d v="2016-10-06T00:00:00"/>
    <d v="2016-12-19T00:00:00"/>
  </r>
  <r>
    <s v="VZ-2016-000417"/>
    <s v="ZT"/>
    <s v="Čech"/>
    <x v="205"/>
    <s v="33121100-5"/>
    <s v="2.3.138.; 2.3.139."/>
    <n v="990000"/>
    <x v="3"/>
    <d v="2016-08-18T00:00:00"/>
    <d v="2016-08-31T00:00:00"/>
    <s v="Alien Technik s.r.o."/>
    <n v="1365100"/>
    <n v="1651771"/>
    <x v="87"/>
    <d v="2016-10-06T00:00:00"/>
    <d v="2017-02-13T00:00:00"/>
  </r>
  <r>
    <s v="VZ-2016-000418"/>
    <s v="ENERG"/>
    <s v="Eyer"/>
    <x v="206"/>
    <s v="72511000-0"/>
    <s v="1.1.14"/>
    <n v="825000"/>
    <x v="3"/>
    <d v="2016-08-29T00:00:00"/>
    <d v="2016-09-09T00:00:00"/>
    <s v="ELMAR group s.r.o."/>
    <n v="1021408"/>
    <n v="1235903.68"/>
    <x v="88"/>
    <d v="2016-11-03T00:00:00"/>
    <d v="2017-01-02T00:00:00"/>
  </r>
  <r>
    <s v="VZ-2016-000421"/>
    <s v="LÉK"/>
    <s v="Ondráčková"/>
    <x v="207"/>
    <s v="33651100-9"/>
    <m/>
    <n v="94548.27"/>
    <x v="1"/>
    <d v="2016-09-15T00:00:00"/>
    <d v="2016-12-20T00:00:00"/>
    <s v="zrušeno - bez hodnocené nabídky"/>
    <m/>
    <m/>
    <x v="1"/>
    <m/>
    <m/>
  </r>
  <r>
    <s v="VZ-2016-000421"/>
    <s v="LÉK"/>
    <s v="Ondráčková"/>
    <x v="208"/>
    <s v="33651100-9"/>
    <m/>
    <n v="469811"/>
    <x v="1"/>
    <d v="2016-09-15T00:00:00"/>
    <d v="2016-12-20T00:00:00"/>
    <s v="zrušeno - bez nabídky"/>
    <m/>
    <m/>
    <x v="1"/>
    <m/>
    <m/>
  </r>
  <r>
    <s v="VZ-2016-000421"/>
    <s v="LÉK"/>
    <s v="Ondráčková"/>
    <x v="209"/>
    <s v="33651100-9"/>
    <m/>
    <n v="10106.16"/>
    <x v="1"/>
    <d v="2016-09-15T00:00:00"/>
    <d v="2016-12-20T00:00:00"/>
    <s v="Pharmos, a.s."/>
    <n v="9900.7999999999993"/>
    <n v="10890.88"/>
    <x v="1"/>
    <m/>
    <s v="za rok 2017"/>
  </r>
  <r>
    <s v="VZ-2016-000421"/>
    <s v="LÉK"/>
    <s v="Ondráčková"/>
    <x v="210"/>
    <s v="33651100-9"/>
    <m/>
    <n v="10209.6"/>
    <x v="1"/>
    <d v="2016-09-15T00:00:00"/>
    <d v="2016-12-20T00:00:00"/>
    <s v="Fresenius Kabi s.r.o."/>
    <n v="9600"/>
    <n v="10560"/>
    <x v="1"/>
    <m/>
    <s v="za rok 2017"/>
  </r>
  <r>
    <s v="VZ-2016-000421"/>
    <s v="LÉK"/>
    <s v="Ondráčková"/>
    <x v="211"/>
    <s v="33651100-9"/>
    <m/>
    <n v="424787"/>
    <x v="1"/>
    <d v="2016-09-15T00:00:00"/>
    <d v="2016-12-20T00:00:00"/>
    <s v="Fresenius Kabi s.r.o."/>
    <n v="343100"/>
    <n v="377410.00000000006"/>
    <x v="1"/>
    <m/>
    <s v="za rok 2017"/>
  </r>
  <r>
    <s v="VZ-2016-000421"/>
    <s v="LÉK"/>
    <s v="Ondráčková"/>
    <x v="212"/>
    <s v="33651100-9"/>
    <m/>
    <n v="578389.66"/>
    <x v="1"/>
    <d v="2016-09-15T00:00:00"/>
    <d v="2016-12-20T00:00:00"/>
    <s v="PHOENIX lék. Velkoobchod"/>
    <n v="554307.64"/>
    <n v="609738.4040000001"/>
    <x v="1"/>
    <m/>
    <s v="za rok 2017"/>
  </r>
  <r>
    <s v="VZ-2016-000421"/>
    <s v="LÉK"/>
    <s v="Ondráčková"/>
    <x v="213"/>
    <s v="33651100-9"/>
    <m/>
    <n v="309207.7"/>
    <x v="1"/>
    <d v="2016-09-15T00:00:00"/>
    <d v="2016-12-20T00:00:00"/>
    <s v="zrušeno - bez hodnocené nabídky"/>
    <m/>
    <m/>
    <x v="1"/>
    <m/>
    <m/>
  </r>
  <r>
    <s v="VZ-2016-000421"/>
    <s v="LÉK"/>
    <s v="Ondráčková"/>
    <x v="214"/>
    <s v="33651100-9"/>
    <m/>
    <n v="881921.09"/>
    <x v="1"/>
    <d v="2016-09-15T00:00:00"/>
    <d v="2016-12-20T00:00:00"/>
    <s v="PHOENIX lék. Velkoobchod"/>
    <n v="880308"/>
    <n v="968338.8"/>
    <x v="1"/>
    <m/>
    <s v="za rok 2017"/>
  </r>
  <r>
    <s v="VZ-2016-000421"/>
    <s v="LÉK"/>
    <s v="Ondráčková"/>
    <x v="215"/>
    <s v="33651100-9"/>
    <m/>
    <n v="444496"/>
    <x v="1"/>
    <d v="2016-09-15T00:00:00"/>
    <d v="2016-12-20T00:00:00"/>
    <s v="PHOENIX lék. Velkoobchod"/>
    <n v="337816.96"/>
    <n v="371598.65600000008"/>
    <x v="1"/>
    <m/>
    <s v="za rok 2017"/>
  </r>
  <r>
    <s v="VZ-2016-000421"/>
    <s v="LÉK"/>
    <s v="Ondráčková"/>
    <x v="216"/>
    <s v="33651100-9"/>
    <m/>
    <n v="377200"/>
    <x v="1"/>
    <d v="2016-09-15T00:00:00"/>
    <d v="2016-12-20T00:00:00"/>
    <s v="Pharmos, a.s."/>
    <n v="168296.8"/>
    <n v="185126.48"/>
    <x v="1"/>
    <m/>
    <s v="za rok 2017"/>
  </r>
  <r>
    <s v="VZ-2016-000422"/>
    <s v="LÉK"/>
    <s v="Ondráčková"/>
    <x v="217"/>
    <s v="33651100-9"/>
    <m/>
    <n v="424760"/>
    <x v="1"/>
    <d v="2016-09-15T00:00:00"/>
    <d v="2016-12-21T00:00:00"/>
    <s v="???"/>
    <n v="365900.4"/>
    <n v="402490.44000000006"/>
    <x v="1"/>
    <m/>
    <s v="za rok 2017"/>
  </r>
  <r>
    <s v="VZ-2016-000422"/>
    <s v="LÉK"/>
    <s v="Ondráčková"/>
    <x v="218"/>
    <s v="33651100-9"/>
    <m/>
    <n v="377402.6"/>
    <x v="1"/>
    <d v="2016-09-15T00:00:00"/>
    <d v="2016-12-21T00:00:00"/>
    <s v="PHOENIX lék. Velkoobchod"/>
    <n v="348734"/>
    <n v="383607.4"/>
    <x v="1"/>
    <m/>
    <s v="za rok 2017"/>
  </r>
  <r>
    <s v="VZ-2016-000422"/>
    <s v="LÉK"/>
    <s v="Ondráčková"/>
    <x v="219"/>
    <s v="33651100-9"/>
    <m/>
    <n v="189388.16"/>
    <x v="1"/>
    <d v="2016-09-15T00:00:00"/>
    <d v="2016-12-21T00:00:00"/>
    <s v="Pharmos, a.s."/>
    <n v="159460.48000000001"/>
    <n v="175406.52800000002"/>
    <x v="1"/>
    <m/>
    <s v="za rok 2017"/>
  </r>
  <r>
    <s v="VZ-2016-000422"/>
    <s v="LÉK"/>
    <s v="Ondráčková"/>
    <x v="220"/>
    <s v="33651100-9"/>
    <m/>
    <n v="394713.2"/>
    <x v="1"/>
    <d v="2016-09-15T00:00:00"/>
    <d v="2016-12-21T00:00:00"/>
    <s v="zrušeno - bez hodnocené nabídky"/>
    <m/>
    <m/>
    <x v="1"/>
    <m/>
    <m/>
  </r>
  <r>
    <s v="VZ-2016-000422"/>
    <s v="LÉK"/>
    <s v="Ondráčková"/>
    <x v="221"/>
    <s v="33651100-9"/>
    <m/>
    <n v="59064.6"/>
    <x v="1"/>
    <d v="2016-09-15T00:00:00"/>
    <d v="2016-12-21T00:00:00"/>
    <s v="zrušeno - bez hodnocené nabídky"/>
    <m/>
    <m/>
    <x v="1"/>
    <m/>
    <m/>
  </r>
  <r>
    <s v="VZ-2016-000422"/>
    <s v="LÉK"/>
    <s v="Ondráčková"/>
    <x v="222"/>
    <s v="33651100-9"/>
    <m/>
    <n v="74704.75"/>
    <x v="1"/>
    <d v="2016-09-15T00:00:00"/>
    <d v="2016-12-21T00:00:00"/>
    <s v="PHOENIX lék. Velkoobchod"/>
    <n v="43111.199999999997"/>
    <n v="47422.32"/>
    <x v="1"/>
    <m/>
    <s v="za rok 2017"/>
  </r>
  <r>
    <s v="VZ-2016-000422"/>
    <s v="LÉK"/>
    <s v="Ondráčková"/>
    <x v="223"/>
    <s v="33651100-9"/>
    <m/>
    <n v="43588.92"/>
    <x v="1"/>
    <d v="2016-09-15T00:00:00"/>
    <d v="2016-12-21T00:00:00"/>
    <s v="Alliance Healthcare s.r.o."/>
    <n v="40743.74"/>
    <n v="44818.114000000001"/>
    <x v="1"/>
    <m/>
    <s v="za rok 2017"/>
  </r>
  <r>
    <s v="VZ-2016-000422"/>
    <s v="LÉK"/>
    <s v="Ondráčková"/>
    <x v="224"/>
    <s v="33651100-9"/>
    <m/>
    <n v="117510.07"/>
    <x v="1"/>
    <d v="2016-09-15T00:00:00"/>
    <d v="2016-12-21T00:00:00"/>
    <s v="zrušeno - bez nabídky"/>
    <m/>
    <m/>
    <x v="1"/>
    <m/>
    <m/>
  </r>
  <r>
    <s v="VZ-2016-000423"/>
    <s v="LÉK"/>
    <s v="Ondráčková"/>
    <x v="225"/>
    <s v="33651100-9"/>
    <m/>
    <n v="7791989.4000000004"/>
    <x v="1"/>
    <s v="15.9 2016"/>
    <d v="2017-01-09T00:00:00"/>
    <m/>
    <m/>
    <m/>
    <x v="1"/>
    <m/>
    <s v="za rok 2017"/>
  </r>
  <r>
    <s v="VZ-2016-000423"/>
    <s v="LÉK"/>
    <s v="Ondráčková"/>
    <x v="226"/>
    <s v="33651100-9"/>
    <m/>
    <n v="427.86"/>
    <x v="1"/>
    <s v="15.9 2016"/>
    <d v="2017-01-09T00:00:00"/>
    <m/>
    <m/>
    <m/>
    <x v="1"/>
    <m/>
    <s v="za rok 2017"/>
  </r>
  <r>
    <s v="VZ-2016-000423"/>
    <s v="LÉK"/>
    <s v="Ondráčková"/>
    <x v="227"/>
    <s v="33651100-9"/>
    <m/>
    <n v="154680.66"/>
    <x v="1"/>
    <s v="15.9 2016"/>
    <d v="2017-01-09T00:00:00"/>
    <m/>
    <m/>
    <m/>
    <x v="1"/>
    <m/>
    <s v="za rok 2017"/>
  </r>
  <r>
    <s v="VZ-2016-000423"/>
    <s v="LÉK"/>
    <s v="Ondráčková"/>
    <x v="228"/>
    <s v="33651100-9"/>
    <m/>
    <n v="125572.64"/>
    <x v="1"/>
    <s v="15.9 2016"/>
    <d v="2017-01-09T00:00:00"/>
    <m/>
    <m/>
    <m/>
    <x v="1"/>
    <m/>
    <s v="za rok 2017"/>
  </r>
  <r>
    <s v="VZ-2016-000423"/>
    <s v="LÉK"/>
    <s v="Ondráčková"/>
    <x v="229"/>
    <s v="33651100-9"/>
    <m/>
    <n v="44000"/>
    <x v="1"/>
    <s v="15.9 2016"/>
    <d v="2017-01-09T00:00:00"/>
    <m/>
    <m/>
    <m/>
    <x v="1"/>
    <m/>
    <s v="za rok 2017"/>
  </r>
  <r>
    <s v="VZ-2016-000423"/>
    <s v="LÉK"/>
    <s v="Ondráčková"/>
    <x v="230"/>
    <s v="33651100-9"/>
    <m/>
    <n v="8161.78"/>
    <x v="1"/>
    <s v="15.9 2016"/>
    <d v="2017-01-09T00:00:00"/>
    <m/>
    <m/>
    <m/>
    <x v="1"/>
    <m/>
    <s v="za rok 2017"/>
  </r>
  <r>
    <s v="VZ-2016-000423"/>
    <s v="LÉK"/>
    <s v="Ondráčková"/>
    <x v="231"/>
    <s v="33651100-9"/>
    <m/>
    <n v="10120"/>
    <x v="1"/>
    <s v="15.9 2016"/>
    <d v="2017-01-09T00:00:00"/>
    <m/>
    <m/>
    <m/>
    <x v="1"/>
    <m/>
    <s v="za rok 2017"/>
  </r>
  <r>
    <s v="VZ-2016-000423"/>
    <s v="LÉK"/>
    <s v="Ondráčková"/>
    <x v="232"/>
    <s v="33651100-9"/>
    <m/>
    <n v="112926"/>
    <x v="1"/>
    <s v="15.9 2016"/>
    <d v="2017-01-09T00:00:00"/>
    <m/>
    <m/>
    <m/>
    <x v="1"/>
    <m/>
    <s v="za rok 2017"/>
  </r>
  <r>
    <s v="VZ-2016-000423"/>
    <s v="LÉK"/>
    <s v="Ondráčková"/>
    <x v="233"/>
    <s v="33651100-9"/>
    <m/>
    <n v="328860.98"/>
    <x v="1"/>
    <s v="15.9 2016"/>
    <d v="2017-01-09T00:00:00"/>
    <m/>
    <m/>
    <m/>
    <x v="1"/>
    <m/>
    <s v="za rok 2017"/>
  </r>
  <r>
    <s v="VZ-2016-000423"/>
    <s v="LÉK"/>
    <s v="Ondráčková"/>
    <x v="234"/>
    <s v="33651100-9"/>
    <m/>
    <n v="1862631"/>
    <x v="1"/>
    <s v="15.9 2016"/>
    <d v="2017-01-09T00:00:00"/>
    <m/>
    <m/>
    <m/>
    <x v="1"/>
    <m/>
    <s v="za rok 2017"/>
  </r>
  <r>
    <s v="VZ-2016-000423"/>
    <s v="LÉK"/>
    <s v="Ondráčková"/>
    <x v="235"/>
    <s v="33651100-9"/>
    <m/>
    <n v="2349480"/>
    <x v="1"/>
    <d v="2016-09-15T00:00:00"/>
    <d v="2017-01-09T00:00:00"/>
    <m/>
    <m/>
    <m/>
    <x v="1"/>
    <m/>
    <s v="za rok 2017"/>
  </r>
  <r>
    <s v="VZ-2016-000433"/>
    <s v="ZT"/>
    <s v="Novák"/>
    <x v="236"/>
    <s v="42931100-2"/>
    <s v="2.2.57."/>
    <n v="250000"/>
    <x v="3"/>
    <d v="2016-09-27T00:00:00"/>
    <d v="2016-10-06T00:00:00"/>
    <s v="MEDESA s.r.o."/>
    <n v="233767.8"/>
    <n v="282859.03999999998"/>
    <x v="89"/>
    <d v="2016-12-08T00:00:00"/>
    <d v="2017-02-20T00:00:00"/>
  </r>
  <r>
    <s v="VZ-2016-000433"/>
    <s v="ZT"/>
    <s v="Novák"/>
    <x v="237"/>
    <s v="42931100-2"/>
    <s v="2.3.174."/>
    <n v="620000"/>
    <x v="3"/>
    <d v="2016-09-27T00:00:00"/>
    <d v="2016-10-06T00:00:00"/>
    <s v="Trigon Plus s.r.o."/>
    <n v="428400"/>
    <n v="518364"/>
    <x v="90"/>
    <d v="2016-12-13T00:00:00"/>
    <d v="2017-05-02T00:00:00"/>
  </r>
  <r>
    <s v="VZ-2016-000435"/>
    <s v="SERV"/>
    <s v="Zemánek"/>
    <x v="238"/>
    <s v="50400000-9"/>
    <m/>
    <n v="1920000"/>
    <x v="3"/>
    <d v="2016-08-24T00:00:00"/>
    <d v="2016-09-06T00:00:00"/>
    <s v="zrušeno"/>
    <m/>
    <m/>
    <x v="1"/>
    <m/>
    <s v="xxx"/>
  </r>
  <r>
    <s v="VZ-2016-000436"/>
    <s v="ZT"/>
    <s v="Čech"/>
    <x v="239"/>
    <s v="39180000-7"/>
    <s v="2.2.43, 2.3.133"/>
    <n v="170000"/>
    <x v="3"/>
    <m/>
    <m/>
    <m/>
    <m/>
    <m/>
    <x v="1"/>
    <m/>
    <m/>
  </r>
  <r>
    <s v="VZ-2016-000440"/>
    <s v="PRAV"/>
    <s v="Procházková"/>
    <x v="240"/>
    <s v="66510000-8"/>
    <m/>
    <n v="12000000"/>
    <x v="1"/>
    <d v="2016-08-24T00:00:00"/>
    <d v="2016-12-20T00:00:00"/>
    <s v="Kooperativa pojišťovna a.s."/>
    <n v="8282512"/>
    <n v="8282512"/>
    <x v="1"/>
    <m/>
    <m/>
  </r>
  <r>
    <s v="VZ-2016-000440"/>
    <s v="PRAV"/>
    <s v="Procházková"/>
    <x v="241"/>
    <s v="66515200-5"/>
    <m/>
    <n v="4000000"/>
    <x v="1"/>
    <d v="2016-08-24T00:00:00"/>
    <d v="2016-12-20T00:00:00"/>
    <s v="Kooperativa pojišťovna a.s."/>
    <n v="509044"/>
    <n v="509044"/>
    <x v="1"/>
    <m/>
    <m/>
  </r>
  <r>
    <s v="VZ-2016-000440"/>
    <s v="PRAV"/>
    <s v="Procházková"/>
    <x v="242"/>
    <s v="66516000-0"/>
    <m/>
    <n v="8000000"/>
    <x v="1"/>
    <d v="2016-08-24T00:00:00"/>
    <d v="2016-12-20T00:00:00"/>
    <s v="Česká pojišťovna a.s."/>
    <n v="698534"/>
    <n v="698534"/>
    <x v="1"/>
    <m/>
    <m/>
  </r>
  <r>
    <s v="VZ-2016-000441"/>
    <s v="OSB "/>
    <s v="Vaida"/>
    <x v="243"/>
    <s v="45421132-8"/>
    <s v="4.1.38."/>
    <n v="4390000"/>
    <x v="3"/>
    <d v="2016-08-24T00:00:00"/>
    <d v="2016-09-08T00:00:00"/>
    <s v="Stavební spol. Navrátil s.r.o."/>
    <n v="2862669.63"/>
    <n v="3463830.25"/>
    <x v="91"/>
    <d v="2016-09-27T00:00:00"/>
    <s v="xxx"/>
  </r>
  <r>
    <s v="VZ-2016-000442"/>
    <s v="INV"/>
    <s v="Kvapil"/>
    <x v="244"/>
    <m/>
    <m/>
    <n v="4950000"/>
    <x v="3"/>
    <d v="2016-08-24T00:00:00"/>
    <d v="2016-09-02T00:00:00"/>
    <s v="OHL ŽS a.s."/>
    <n v="3420092.67"/>
    <n v="4138312.1306999996"/>
    <x v="92"/>
    <d v="2016-09-29T00:00:00"/>
    <s v="xxx"/>
  </r>
  <r>
    <s v="VZ-2016-000443"/>
    <s v="INF"/>
    <s v="Oravec"/>
    <x v="245"/>
    <s v="30233141-1"/>
    <s v="3.2.4."/>
    <n v="3245000"/>
    <x v="4"/>
    <d v="2016-08-24T00:00:00"/>
    <d v="2016-10-24T00:00:00"/>
    <s v="Merit Group a.s."/>
    <n v="3349098"/>
    <n v="4052408.58"/>
    <x v="1"/>
    <m/>
    <m/>
  </r>
  <r>
    <s v="VZ-2016-000444"/>
    <s v="ZT"/>
    <s v="Čech"/>
    <x v="246"/>
    <s v="38341600-3 "/>
    <s v="2.3.132, 2.2.50, 2.3.134, 2.2.44, 2.2.48, 2.2.49, 2.2.51"/>
    <n v="3200000"/>
    <x v="0"/>
    <m/>
    <m/>
    <m/>
    <m/>
    <m/>
    <x v="1"/>
    <m/>
    <m/>
  </r>
  <r>
    <s v="VZ-2016-000446"/>
    <s v="ZT"/>
    <s v="Čech"/>
    <x v="247"/>
    <s v="33162100-4"/>
    <s v="2.3.111"/>
    <n v="580000"/>
    <x v="3"/>
    <d v="2016-08-30T00:00:00"/>
    <d v="2016-09-07T00:00:00"/>
    <s v="Carl Zeiss s.r.o."/>
    <n v="1106000"/>
    <n v="1338260"/>
    <x v="93"/>
    <d v="2016-10-18T00:00:00"/>
    <s v="xxx"/>
  </r>
  <r>
    <s v="VZ-2016-000448"/>
    <s v="INF"/>
    <s v="Oravec"/>
    <x v="248"/>
    <s v="30213100-6"/>
    <m/>
    <n v="99200"/>
    <x v="4"/>
    <d v="2016-08-25T00:00:00"/>
    <d v="2016-09-21T00:00:00"/>
    <s v="C SYSTEM CZ a.s."/>
    <n v="93300"/>
    <n v="112893"/>
    <x v="94"/>
    <d v="2016-10-26T00:00:00"/>
    <d v="2017-03-06T00:00:00"/>
  </r>
  <r>
    <s v="VZ-2016-000449"/>
    <s v="ZT"/>
    <s v="Čech"/>
    <x v="249"/>
    <s v="33120000-7"/>
    <m/>
    <n v="800000"/>
    <x v="3"/>
    <d v="2016-09-12T00:00:00"/>
    <d v="2016-09-21T00:00:00"/>
    <s v="KURKA MED s.r.o."/>
    <n v="1052648"/>
    <n v="1273704.08"/>
    <x v="89"/>
    <d v="2016-12-06T00:00:00"/>
    <d v="2017-03-06T00:00:00"/>
  </r>
  <r>
    <s v="VZ-2016-000449"/>
    <s v="ZT"/>
    <s v="Čech"/>
    <x v="250"/>
    <s v="33120000-7"/>
    <m/>
    <n v="520000"/>
    <x v="3"/>
    <d v="2016-09-12T00:00:00"/>
    <d v="2016-09-21T00:00:00"/>
    <s v="KURKA MED s.r.o."/>
    <n v="657669"/>
    <n v="795779.49"/>
    <x v="89"/>
    <d v="2016-12-06T00:00:00"/>
    <d v="2017-03-06T00:00:00"/>
  </r>
  <r>
    <s v="VZ-2016-000450"/>
    <s v="INV"/>
    <s v="Kvapil"/>
    <x v="251"/>
    <s v="71251000-2"/>
    <s v="1.2.45."/>
    <n v="540000"/>
    <x v="3"/>
    <d v="2016-08-29T00:00:00"/>
    <d v="2016-09-02T00:00:00"/>
    <s v="LT Projekt a.s."/>
    <n v="580000"/>
    <n v="701800"/>
    <x v="95"/>
    <d v="2016-10-17T00:00:00"/>
    <s v="xxx"/>
  </r>
  <r>
    <s v="VZ-2016-000452"/>
    <s v="VYHRAZ"/>
    <s v="Srovnal"/>
    <x v="252"/>
    <s v="31000000-6"/>
    <m/>
    <n v="990000"/>
    <x v="3"/>
    <d v="2016-08-31T00:00:00"/>
    <d v="2016-09-09T00:00:00"/>
    <s v="ELMAR group s.r.o."/>
    <n v="658923"/>
    <n v="797296.83"/>
    <x v="87"/>
    <d v="2016-10-05T00:00:00"/>
    <d v="2017-01-16T00:00:00"/>
  </r>
  <r>
    <s v="VZ-2016-000453"/>
    <s v="ZT"/>
    <s v="Novák"/>
    <x v="253"/>
    <s v="33123200-0"/>
    <s v="2.3.165."/>
    <n v="80000"/>
    <x v="3"/>
    <d v="2016-08-31T00:00:00"/>
    <d v="2016-09-12T00:00:00"/>
    <s v="BTL zdrav. technika a.s."/>
    <n v="97775"/>
    <n v="118307.75"/>
    <x v="65"/>
    <d v="2016-10-17T00:00:00"/>
    <s v="xxx"/>
  </r>
  <r>
    <s v="VZ-2016-000458"/>
    <s v="ZT"/>
    <s v="Novák"/>
    <x v="254"/>
    <s v="33125000-2"/>
    <s v="2.3.113.; 2.3.114.; 2.3.115."/>
    <n v="790000"/>
    <x v="3"/>
    <d v="2016-09-01T00:00:00"/>
    <d v="2016-09-14T00:00:00"/>
    <s v="Olympus Czcech Group s.r.o."/>
    <n v="444793"/>
    <n v="538199.53"/>
    <x v="33"/>
    <d v="2016-10-25T00:00:00"/>
    <d v="2017-01-16T00:00:00"/>
  </r>
  <r>
    <s v="VZ-2016-000459"/>
    <s v="ZT"/>
    <s v="Novák"/>
    <x v="255"/>
    <s v="33125000-2"/>
    <s v="2.3.112."/>
    <n v="1265000"/>
    <x v="3"/>
    <d v="2016-09-01T00:00:00"/>
    <d v="2016-09-13T00:00:00"/>
    <s v="Olympus Czcech Group s.r.o."/>
    <n v="1315670"/>
    <n v="1591960.7"/>
    <x v="93"/>
    <d v="2016-10-25T00:00:00"/>
    <s v="xxx"/>
  </r>
  <r>
    <s v="VZ-2016-000460"/>
    <s v="ZT"/>
    <s v="Novák"/>
    <x v="256"/>
    <s v="33124100-6"/>
    <s v="2.2.56."/>
    <n v="825000"/>
    <x v="3"/>
    <d v="2016-09-01T00:00:00"/>
    <d v="2016-09-12T00:00:00"/>
    <s v="Medinet s.r.o."/>
    <n v="968200"/>
    <n v="1171522"/>
    <x v="76"/>
    <d v="2016-11-24T00:00:00"/>
    <d v="2017-02-20T00:00:00"/>
  </r>
  <r>
    <s v="VZ-2016-000464"/>
    <s v="ZT"/>
    <s v="Novák"/>
    <x v="257"/>
    <s v="33157400-9"/>
    <s v="2.3.97."/>
    <n v="325000"/>
    <x v="3"/>
    <d v="2016-09-07T00:00:00"/>
    <d v="2016-09-19T00:00:00"/>
    <s v="Dartin s.r.o."/>
    <n v="944314"/>
    <n v="1142619.94"/>
    <x v="96"/>
    <s v="xxx"/>
    <s v="xxx"/>
  </r>
  <r>
    <s v="VZ-2016-000465"/>
    <s v="ZT"/>
    <s v="Novák"/>
    <x v="258"/>
    <s v="33191000-5"/>
    <s v="2.3.161."/>
    <n v="745000"/>
    <x v="3"/>
    <d v="2016-09-07T00:00:00"/>
    <d v="2016-09-19T00:00:00"/>
    <s v="ENUS Medical s.r.o."/>
    <n v="760750"/>
    <n v="920508"/>
    <x v="34"/>
    <d v="2016-11-09T00:00:00"/>
    <d v="2017-01-23T00:00:00"/>
  </r>
  <r>
    <s v="VZ-2016-000466"/>
    <s v="ZT"/>
    <s v="Novák"/>
    <x v="259"/>
    <s v="38510000-3"/>
    <s v="2.2.58.; 2.3.167."/>
    <n v="280000"/>
    <x v="3"/>
    <d v="2016-09-12T00:00:00"/>
    <d v="2016-09-21T00:00:00"/>
    <s v="Olympus Czcech Group s.r.o."/>
    <n v="357346.35"/>
    <n v="432389"/>
    <x v="33"/>
    <s v="xxx"/>
    <s v="xxx"/>
  </r>
  <r>
    <s v="VZ-2016-000469"/>
    <s v="INV"/>
    <s v="Kvapil"/>
    <x v="260"/>
    <s v="45215100-8"/>
    <m/>
    <n v="438469"/>
    <x v="7"/>
    <s v="xxx"/>
    <s v="xxx"/>
    <s v="OHL ŽS a.s."/>
    <n v="438469"/>
    <n v="530547.49"/>
    <x v="84"/>
    <d v="2016-09-06T00:00:00"/>
    <s v="xxx"/>
  </r>
  <r>
    <s v="VZ-2016-000472"/>
    <s v="MLUV"/>
    <s v="Havrlant"/>
    <x v="261"/>
    <m/>
    <m/>
    <m/>
    <x v="8"/>
    <m/>
    <m/>
    <s v="nerealizováno"/>
    <m/>
    <m/>
    <x v="1"/>
    <m/>
    <m/>
  </r>
  <r>
    <s v="VZ-2016-000475"/>
    <s v="ZT"/>
    <s v="Novák"/>
    <x v="262"/>
    <s v="33157400-9"/>
    <s v="2.3.148."/>
    <n v="290000"/>
    <x v="3"/>
    <d v="2016-09-12T00:00:00"/>
    <d v="2016-09-20T00:00:00"/>
    <s v="S + T Plus s.r.o."/>
    <n v="327095"/>
    <n v="395785"/>
    <x v="97"/>
    <s v="xxx"/>
    <s v="xxx"/>
  </r>
  <r>
    <s v="VZ-2016-000494"/>
    <s v="LÉK"/>
    <s v="Ondráčková"/>
    <x v="263"/>
    <s v="33651400-2"/>
    <m/>
    <n v="402104.17"/>
    <x v="1"/>
    <d v="2016-12-01T00:00:00"/>
    <d v="2017-01-10T00:00:00"/>
    <m/>
    <m/>
    <m/>
    <x v="1"/>
    <m/>
    <s v="za rok 2017"/>
  </r>
  <r>
    <s v="VZ-2016-000494"/>
    <s v="LÉK"/>
    <s v="Ondráčková"/>
    <x v="264"/>
    <s v="33651400-2"/>
    <m/>
    <n v="254142.16"/>
    <x v="1"/>
    <d v="2016-12-01T00:00:00"/>
    <d v="2017-01-10T00:00:00"/>
    <m/>
    <m/>
    <m/>
    <x v="1"/>
    <m/>
    <s v="za rok 2017"/>
  </r>
  <r>
    <s v="VZ-2016-000494"/>
    <s v="LÉK"/>
    <s v="Ondráčková"/>
    <x v="265"/>
    <s v="33651400-2"/>
    <m/>
    <n v="486689.96"/>
    <x v="1"/>
    <d v="2016-12-01T00:00:00"/>
    <d v="2017-01-10T00:00:00"/>
    <m/>
    <m/>
    <m/>
    <x v="1"/>
    <m/>
    <s v="za rok 2017"/>
  </r>
  <r>
    <s v="VZ-2016-000494"/>
    <s v="LÉK"/>
    <s v="Ondráčková"/>
    <x v="266"/>
    <s v="33651400-2"/>
    <m/>
    <n v="4892335"/>
    <x v="1"/>
    <d v="2016-12-01T00:00:00"/>
    <d v="2017-01-10T00:00:00"/>
    <m/>
    <m/>
    <m/>
    <x v="1"/>
    <m/>
    <s v="za rok 2017"/>
  </r>
  <r>
    <s v="VZ-2016-000494"/>
    <s v="LÉK"/>
    <s v="Ondráčková"/>
    <x v="267"/>
    <s v="33651400-2"/>
    <m/>
    <n v="27677.68"/>
    <x v="1"/>
    <d v="2016-12-01T00:00:00"/>
    <d v="2017-01-10T00:00:00"/>
    <m/>
    <m/>
    <m/>
    <x v="1"/>
    <m/>
    <s v="za rok 2017"/>
  </r>
  <r>
    <s v="VZ-2016-000494"/>
    <s v="LÉK"/>
    <s v="Ondráčková"/>
    <x v="268"/>
    <s v="33651400-2"/>
    <m/>
    <n v="205112.5"/>
    <x v="1"/>
    <d v="2016-12-01T00:00:00"/>
    <d v="2017-01-10T00:00:00"/>
    <m/>
    <m/>
    <m/>
    <x v="1"/>
    <m/>
    <s v="za rok 2017"/>
  </r>
  <r>
    <s v="VZ-2016-000495"/>
    <s v="LÉK"/>
    <s v="Ondráčková"/>
    <x v="269"/>
    <s v="33651200-0"/>
    <m/>
    <n v="273680"/>
    <x v="1"/>
    <d v="2016-12-01T00:00:00"/>
    <d v="2017-01-11T00:00:00"/>
    <m/>
    <m/>
    <m/>
    <x v="1"/>
    <m/>
    <s v="za rok 2017"/>
  </r>
  <r>
    <s v="VZ-2016-000495"/>
    <s v="LÉK"/>
    <s v="Ondráčková"/>
    <x v="270"/>
    <s v="33651200-0"/>
    <m/>
    <n v="52571.199999999997"/>
    <x v="1"/>
    <d v="2016-12-01T00:00:00"/>
    <d v="2017-01-11T00:00:00"/>
    <m/>
    <m/>
    <m/>
    <x v="1"/>
    <m/>
    <s v="za rok 2017"/>
  </r>
  <r>
    <s v="VZ-2016-000495"/>
    <s v="LÉK"/>
    <s v="Ondráčková"/>
    <x v="271"/>
    <s v="33651200-0"/>
    <m/>
    <n v="1673000"/>
    <x v="1"/>
    <d v="2016-12-01T00:00:00"/>
    <d v="2017-01-11T00:00:00"/>
    <m/>
    <m/>
    <m/>
    <x v="1"/>
    <m/>
    <s v="za rok 2017"/>
  </r>
  <r>
    <s v="VZ-2016-000495"/>
    <s v="LÉK"/>
    <s v="Ondráčková"/>
    <x v="272"/>
    <s v="33651200-0"/>
    <m/>
    <n v="6615485.8200000003"/>
    <x v="1"/>
    <d v="2016-12-01T00:00:00"/>
    <d v="2017-01-11T00:00:00"/>
    <m/>
    <m/>
    <m/>
    <x v="1"/>
    <m/>
    <s v="za rok 2017"/>
  </r>
  <r>
    <s v="VZ-2016-000496"/>
    <s v="LÉK"/>
    <s v="Ondráčková"/>
    <x v="273"/>
    <s v="33651400-2"/>
    <m/>
    <n v="384458.22"/>
    <x v="1"/>
    <d v="2016-12-05T00:00:00"/>
    <d v="2017-01-12T00:00:00"/>
    <m/>
    <m/>
    <m/>
    <x v="1"/>
    <m/>
    <s v="za rok 2017"/>
  </r>
  <r>
    <s v="VZ-2016-000496"/>
    <s v="LÉK"/>
    <s v="Ondráčková"/>
    <x v="274"/>
    <s v="33651400-2"/>
    <m/>
    <n v="750337.68"/>
    <x v="1"/>
    <d v="2016-12-05T00:00:00"/>
    <d v="2017-01-12T00:00:00"/>
    <m/>
    <m/>
    <m/>
    <x v="1"/>
    <m/>
    <s v="za rok 2017"/>
  </r>
  <r>
    <s v="VZ-2016-000496"/>
    <s v="LÉK"/>
    <s v="Ondráčková"/>
    <x v="275"/>
    <s v="33651400-2"/>
    <m/>
    <n v="304720.8"/>
    <x v="1"/>
    <d v="2016-12-05T00:00:00"/>
    <d v="2017-01-12T00:00:00"/>
    <m/>
    <m/>
    <m/>
    <x v="1"/>
    <m/>
    <s v="za rok 2017"/>
  </r>
  <r>
    <s v="VZ-2016-000496"/>
    <s v="LÉK"/>
    <s v="Ondráčková"/>
    <x v="276"/>
    <s v="33651400-2"/>
    <m/>
    <n v="1668975"/>
    <x v="1"/>
    <d v="2016-12-05T00:00:00"/>
    <d v="2017-01-12T00:00:00"/>
    <m/>
    <m/>
    <m/>
    <x v="1"/>
    <m/>
    <s v="za rok 2017"/>
  </r>
  <r>
    <s v="VZ-2016-000496"/>
    <s v="LÉK"/>
    <s v="Ondráčková"/>
    <x v="277"/>
    <s v="33651400-2"/>
    <m/>
    <n v="207321.45"/>
    <x v="1"/>
    <d v="2016-12-05T00:00:00"/>
    <d v="2017-01-12T00:00:00"/>
    <m/>
    <m/>
    <m/>
    <x v="1"/>
    <m/>
    <s v="za rok 2017"/>
  </r>
  <r>
    <s v="VZ-2016-000496"/>
    <s v="LÉK"/>
    <s v="Ondráčková"/>
    <x v="278"/>
    <s v="33651400-2"/>
    <m/>
    <n v="71857.649999999994"/>
    <x v="1"/>
    <d v="2016-12-05T00:00:00"/>
    <d v="2017-01-12T00:00:00"/>
    <m/>
    <m/>
    <m/>
    <x v="1"/>
    <m/>
    <s v="za rok 2017"/>
  </r>
  <r>
    <s v="VZ-2016-000496"/>
    <s v="LÉK"/>
    <s v="Ondráčková"/>
    <x v="279"/>
    <s v="33651400-2"/>
    <m/>
    <n v="1381911.23"/>
    <x v="1"/>
    <d v="2016-12-05T00:00:00"/>
    <d v="2017-01-12T00:00:00"/>
    <m/>
    <m/>
    <m/>
    <x v="1"/>
    <m/>
    <s v="za rok 2017"/>
  </r>
  <r>
    <s v="VZ-2016-000496"/>
    <s v="LÉK"/>
    <s v="Ondráčková"/>
    <x v="280"/>
    <s v="33651400-2"/>
    <m/>
    <n v="1838198.4"/>
    <x v="1"/>
    <d v="2016-12-05T00:00:00"/>
    <d v="2017-01-12T00:00:00"/>
    <m/>
    <m/>
    <m/>
    <x v="1"/>
    <m/>
    <s v="za rok 2017"/>
  </r>
  <r>
    <s v="VZ-2016-000496"/>
    <s v="LÉK"/>
    <s v="Ondráčková"/>
    <x v="281"/>
    <s v="33651400-2"/>
    <m/>
    <n v="111393.24"/>
    <x v="1"/>
    <d v="2016-12-05T00:00:00"/>
    <d v="2017-01-12T00:00:00"/>
    <m/>
    <m/>
    <m/>
    <x v="1"/>
    <m/>
    <s v="za rok 2017"/>
  </r>
  <r>
    <s v="VZ-2016-000496"/>
    <s v="LÉK"/>
    <s v="Ondráčková"/>
    <x v="282"/>
    <s v="33651400-2"/>
    <m/>
    <n v="1252369.6000000001"/>
    <x v="1"/>
    <d v="2016-12-05T00:00:00"/>
    <d v="2017-01-12T00:00:00"/>
    <m/>
    <m/>
    <m/>
    <x v="1"/>
    <m/>
    <s v="za rok 2017"/>
  </r>
  <r>
    <s v="VZ-2016-000497"/>
    <s v="OSB "/>
    <s v="Vaida"/>
    <x v="283"/>
    <s v="45432130-4"/>
    <m/>
    <n v="495000"/>
    <x v="3"/>
    <d v="2016-09-15T00:00:00"/>
    <d v="2016-09-21T00:00:00"/>
    <s v="Faraon Podlahy s.r.o."/>
    <n v="262632.5"/>
    <n v="317785.32500000001"/>
    <x v="98"/>
    <s v="xxx"/>
    <s v="xxx"/>
  </r>
  <r>
    <s v="VZ-2016-000499"/>
    <s v="ZT"/>
    <s v="Novák"/>
    <x v="114"/>
    <s v="33123200-0"/>
    <s v="2.4.38."/>
    <n v="66000"/>
    <x v="3"/>
    <d v="2016-09-19T00:00:00"/>
    <d v="2016-09-30T00:00:00"/>
    <s v="BTL zdrav. technika a.s."/>
    <n v="97775"/>
    <n v="118307.75"/>
    <x v="1"/>
    <m/>
    <m/>
  </r>
  <r>
    <s v="VZ-2016-000500"/>
    <s v="ZT"/>
    <s v="Novák"/>
    <x v="284"/>
    <s v="33168100-6"/>
    <s v="2.3.164."/>
    <n v="700000"/>
    <x v="3"/>
    <d v="2016-09-19T00:00:00"/>
    <d v="2016-09-30T00:00:00"/>
    <s v="Olympus Czcech Group s.r.o."/>
    <n v="741680"/>
    <n v="897432.8"/>
    <x v="97"/>
    <d v="2016-11-21T00:00:00"/>
    <d v="2017-01-30T00:00:00"/>
  </r>
  <r>
    <s v="VZ-2016-000514"/>
    <s v="OSB "/>
    <s v="Vaida"/>
    <x v="285"/>
    <s v="45215100-8"/>
    <m/>
    <n v="1425000"/>
    <x v="3"/>
    <d v="2016-09-23T00:00:00"/>
    <d v="2016-10-03T00:00:00"/>
    <s v="OHL ŽS a.s."/>
    <n v="1473307"/>
    <n v="1782701.47"/>
    <x v="65"/>
    <d v="2016-10-17T00:00:00"/>
    <d v="2017-02-20T00:00:00"/>
  </r>
  <r>
    <s v="VZ-2016-000515"/>
    <s v="INV"/>
    <s v="Kvapil"/>
    <x v="286"/>
    <s v="71251000-2"/>
    <s v="1.2.46."/>
    <n v="330000"/>
    <x v="3"/>
    <d v="2016-09-20T00:00:00"/>
    <d v="2016-09-27T00:00:00"/>
    <s v="LT Projekt a.s."/>
    <n v="350000"/>
    <n v="423500"/>
    <x v="86"/>
    <s v="xxx"/>
    <s v="xxx"/>
  </r>
  <r>
    <s v="VZ-2016-000520"/>
    <s v="ZT"/>
    <s v="Novák"/>
    <x v="287"/>
    <s v="38000000-5"/>
    <s v="3.2.5."/>
    <n v="565000"/>
    <x v="3"/>
    <d v="2016-09-29T00:00:00"/>
    <d v="2016-10-11T00:00:00"/>
    <s v="MEDESA s.r.o."/>
    <n v="408800"/>
    <n v="494648"/>
    <x v="16"/>
    <d v="2016-12-05T00:00:00"/>
    <s v="odstoupení od smlouvy"/>
  </r>
  <r>
    <s v="VZ-2016-000521"/>
    <s v="ZT"/>
    <s v="Novák"/>
    <x v="288"/>
    <s v="33124100-6"/>
    <s v="2.2.62.; 2.3.163."/>
    <n v="600000"/>
    <x v="3"/>
    <d v="2016-09-29T00:00:00"/>
    <d v="2016-10-12T00:00:00"/>
    <s v="Medinet s.r.o."/>
    <n v="602675"/>
    <n v="729236.75"/>
    <x v="99"/>
    <d v="2016-11-23T00:00:00"/>
    <d v="2017-02-20T00:00:00"/>
  </r>
  <r>
    <s v="VZ-2016-000522"/>
    <s v="ZT"/>
    <s v="Novák"/>
    <x v="289"/>
    <s v="33182000-9"/>
    <s v="2.3.166."/>
    <n v="700000"/>
    <x v="3"/>
    <d v="2016-09-29T00:00:00"/>
    <d v="2016-10-05T00:00:00"/>
    <s v="Teleflex Medical s.r.o."/>
    <n v="610743.80000000005"/>
    <n v="739000"/>
    <x v="100"/>
    <d v="2016-12-08T00:00:00"/>
    <d v="2017-02-13T00:00:00"/>
  </r>
  <r>
    <s v="VZ-2016-000528"/>
    <s v="ENERG"/>
    <s v="Eyer"/>
    <x v="290"/>
    <s v="45331000-6"/>
    <s v="4.1.25."/>
    <n v="360000"/>
    <x v="3"/>
    <d v="2016-09-27T00:00:00"/>
    <d v="2016-10-05T00:00:00"/>
    <s v="ECOONE CZECH s.r.o."/>
    <n v="363636.36"/>
    <n v="440000"/>
    <x v="101"/>
    <s v="xxx"/>
    <s v="xxx"/>
  </r>
  <r>
    <s v="VZ-2016-000531"/>
    <s v="OU"/>
    <s v="Nerudová"/>
    <x v="291"/>
    <s v="39150000-5"/>
    <s v="1.2.32."/>
    <n v="1150000"/>
    <x v="0"/>
    <d v="2016-09-27T00:00:00"/>
    <d v="2016-10-14T00:00:00"/>
    <s v="Basco SK s.r.o."/>
    <n v="891000.01"/>
    <n v="1078110.01"/>
    <x v="76"/>
    <d v="2016-11-22T00:00:00"/>
    <d v="2017-03-24T00:00:00"/>
  </r>
  <r>
    <s v="VZ-2016-000536"/>
    <s v="ZT"/>
    <s v="Novák"/>
    <x v="292"/>
    <s v="33169100-3"/>
    <m/>
    <n v="2065000"/>
    <x v="0"/>
    <d v="2016-09-27T00:00:00"/>
    <d v="2016-10-21T00:00:00"/>
    <s v="Beneficium Euro Ltd s.r.o."/>
    <n v="601100"/>
    <n v="727331"/>
    <x v="96"/>
    <d v="2016-12-07T00:00:00"/>
    <d v="2017-02-13T00:00:00"/>
  </r>
  <r>
    <s v="VZ-2016-000537"/>
    <s v="ZT"/>
    <s v="Novák"/>
    <x v="293"/>
    <s v="33125000-2"/>
    <s v="2.3.173."/>
    <n v="620000"/>
    <x v="3"/>
    <d v="2016-10-05T00:00:00"/>
    <d v="2016-10-17T00:00:00"/>
    <s v="Medkonsult s.r.o."/>
    <n v="622529"/>
    <n v="753260.09"/>
    <x v="102"/>
    <d v="2016-11-24T00:00:00"/>
    <d v="2017-02-07T00:00:00"/>
  </r>
  <r>
    <s v="VZ-2016-000539"/>
    <s v="METR."/>
    <s v="Filip"/>
    <x v="294"/>
    <s v="50411000-9"/>
    <m/>
    <n v="1200000"/>
    <x v="0"/>
    <d v="2016-09-30T00:00:00"/>
    <d v="2016-10-17T00:00:00"/>
    <s v="Kalist AKL s.r.o."/>
    <n v="532420"/>
    <n v="644228.19999999995"/>
    <x v="103"/>
    <d v="2016-12-01T00:00:00"/>
    <d v="2018-03-22T00:00:00"/>
  </r>
  <r>
    <s v="VZ-2016-000539"/>
    <s v="METR."/>
    <s v="Filip"/>
    <x v="295"/>
    <s v="50411000-9"/>
    <m/>
    <n v="2000000"/>
    <x v="0"/>
    <d v="2016-09-30T00:00:00"/>
    <d v="2016-10-17T00:00:00"/>
    <s v="Kalist AKL s.r.o."/>
    <n v="1605170"/>
    <n v="1942255.7"/>
    <x v="103"/>
    <d v="2016-12-01T00:00:00"/>
    <d v="2018-03-22T00:00:00"/>
  </r>
  <r>
    <s v="VZ-2016-000541"/>
    <s v="ZT"/>
    <s v="Novák"/>
    <x v="204"/>
    <s v="33168100-6"/>
    <s v="2.3.176."/>
    <n v="370000"/>
    <x v="3"/>
    <d v="2016-10-05T00:00:00"/>
    <d v="2016-10-17T00:00:00"/>
    <s v="Olympus Czcech Group s.r.o."/>
    <n v="406280"/>
    <n v="491598.8"/>
    <x v="100"/>
    <s v="xxx"/>
    <s v="xxx"/>
  </r>
  <r>
    <s v="VZ-2016-000544"/>
    <s v="ZT"/>
    <s v="Novák"/>
    <x v="296"/>
    <s v="33168100-6"/>
    <s v="2.3.168.; 2.3.170."/>
    <n v="225000"/>
    <x v="3"/>
    <d v="2016-10-05T00:00:00"/>
    <d v="2016-10-17T00:00:00"/>
    <s v="Olympus Czcech Group s.r.o."/>
    <n v="302609"/>
    <n v="366156.89"/>
    <x v="100"/>
    <s v="xxx"/>
    <s v="xxx"/>
  </r>
  <r>
    <s v="VZ-2016-000550"/>
    <s v="VYHRAZ"/>
    <s v="Srovnal"/>
    <x v="297"/>
    <s v="50532000-3"/>
    <m/>
    <n v="1650000"/>
    <x v="3"/>
    <d v="2016-11-18T00:00:00"/>
    <d v="2016-11-30T00:00:00"/>
    <s v="ELMAR group s.r.o."/>
    <n v="657320"/>
    <n v="795357.2"/>
    <x v="104"/>
    <d v="2016-12-22T00:00:00"/>
    <d v="2018-03-22T00:00:00"/>
  </r>
  <r>
    <s v="VZ-2016-000554"/>
    <s v="ZT"/>
    <s v="Novák"/>
    <x v="298"/>
    <s v="39162200-7"/>
    <s v="2.2.60."/>
    <n v="3390000"/>
    <x v="0"/>
    <d v="2016-11-08T00:00:00"/>
    <d v="2016-11-25T00:00:00"/>
    <s v="S + T Plus s.r.o."/>
    <n v="3379830"/>
    <n v="4089594.3"/>
    <x v="105"/>
    <d v="2017-01-10T00:00:00"/>
    <d v="2017-03-06T00:00:00"/>
  </r>
  <r>
    <s v="VZ-2016-000560"/>
    <s v="PERS."/>
    <s v="Odehnalová"/>
    <x v="299"/>
    <s v="55110000-4"/>
    <m/>
    <n v="400000"/>
    <x v="3"/>
    <d v="2016-10-19T00:00:00"/>
    <d v="2016-10-24T00:00:00"/>
    <s v="SNĚŽNÍK, a.s."/>
    <n v="328206.61157024791"/>
    <n v="397130"/>
    <x v="80"/>
    <s v="xxx"/>
    <s v="xxx"/>
  </r>
  <r>
    <s v="VZ-2016-000566"/>
    <s v="ZT"/>
    <s v="Novák"/>
    <x v="300"/>
    <s v="33192410-9"/>
    <s v="2.3.179."/>
    <n v="745000"/>
    <x v="3"/>
    <d v="2016-10-19T00:00:00"/>
    <d v="2016-11-04T00:00:00"/>
    <s v="Spofadental s.r.o."/>
    <n v="879727.99999999988"/>
    <n v="1064470.8799999999"/>
    <x v="103"/>
    <d v="2016-12-06T00:00:00"/>
    <d v="2017-05-09T00:00:00"/>
  </r>
  <r>
    <s v="VZ-2016-000568"/>
    <s v="ZT"/>
    <s v="Novák"/>
    <x v="301"/>
    <s v="33162100-4"/>
    <s v="2.2.27."/>
    <n v="660000"/>
    <x v="3"/>
    <d v="2016-10-19T00:00:00"/>
    <d v="2016-10-31T00:00:00"/>
    <s v="Medtronic Czechia s.r.o."/>
    <n v="707188.58"/>
    <n v="855698.18"/>
    <x v="104"/>
    <d v="2016-12-22T00:00:00"/>
    <d v="2017-03-13T00:00:00"/>
  </r>
  <r>
    <s v="VZ-2016-000591"/>
    <s v="LÉK"/>
    <s v="Ondráčková"/>
    <x v="302"/>
    <s v="33616000-1"/>
    <m/>
    <n v="231200"/>
    <x v="3"/>
    <d v="2016-10-27T00:00:00"/>
    <d v="2016-11-02T00:00:00"/>
    <s v="Green Swan Pharmaceuticals"/>
    <n v="224034.71074380167"/>
    <n v="271082"/>
    <x v="106"/>
    <s v="xxx"/>
    <s v="xxx"/>
  </r>
  <r>
    <s v="VZ-2016-000596"/>
    <s v="OSB "/>
    <s v="Vaida"/>
    <x v="303"/>
    <s v="45454100-5"/>
    <s v="4.1.11."/>
    <n v="300000"/>
    <x v="3"/>
    <d v="2016-11-07T00:00:00"/>
    <d v="2016-11-14T00:00:00"/>
    <s v="OHL ŽS a.s."/>
    <n v="399556.53"/>
    <n v="483463.40130000003"/>
    <x v="90"/>
    <d v="2016-12-12T00:00:00"/>
    <d v="2017-03-27T00:00:00"/>
  </r>
  <r>
    <s v="VZ-2016-000602"/>
    <s v="EKOL"/>
    <s v="Dudík"/>
    <x v="304"/>
    <s v="90524400-0"/>
    <m/>
    <n v="13145000"/>
    <x v="1"/>
    <m/>
    <m/>
    <m/>
    <m/>
    <m/>
    <x v="1"/>
    <m/>
    <m/>
  </r>
  <r>
    <s v="VZ-2016-000603"/>
    <s v="KVAL"/>
    <s v="Cáhliková"/>
    <x v="305"/>
    <s v="79212110-7"/>
    <m/>
    <n v="150000"/>
    <x v="3"/>
    <d v="2016-11-11T00:00:00"/>
    <d v="2016-11-21T00:00:00"/>
    <s v="DNV GL Business Assurance…"/>
    <n v="69316"/>
    <n v="83872.36"/>
    <x v="1"/>
    <s v="xxx"/>
    <s v="xxx"/>
  </r>
  <r>
    <s v="VZ-2016-000604"/>
    <s v="LÉK"/>
    <s v="Ondráčková"/>
    <x v="306"/>
    <s v="33651100-9"/>
    <m/>
    <n v="373380.28"/>
    <x v="1"/>
    <d v="2016-12-07T00:00:00"/>
    <d v="2017-01-24T00:00:00"/>
    <m/>
    <m/>
    <m/>
    <x v="1"/>
    <m/>
    <m/>
  </r>
  <r>
    <s v="VZ-2016-000604"/>
    <s v="LÉK"/>
    <s v="Ondráčková"/>
    <x v="307"/>
    <s v="33651100-9"/>
    <m/>
    <n v="1063557.69"/>
    <x v="1"/>
    <d v="2016-12-07T00:00:00"/>
    <d v="2017-01-24T00:00:00"/>
    <m/>
    <m/>
    <m/>
    <x v="1"/>
    <m/>
    <m/>
  </r>
  <r>
    <s v="VZ-2016-000604"/>
    <s v="LÉK"/>
    <s v="Ondráčková"/>
    <x v="308"/>
    <s v="33651100-9"/>
    <m/>
    <n v="3978.41"/>
    <x v="1"/>
    <d v="2016-12-07T00:00:00"/>
    <d v="2017-01-24T00:00:00"/>
    <m/>
    <m/>
    <m/>
    <x v="1"/>
    <m/>
    <m/>
  </r>
  <r>
    <s v="VZ-2016-000604"/>
    <s v="LÉK"/>
    <s v="Ondráčková"/>
    <x v="309"/>
    <s v="33651100-9"/>
    <m/>
    <n v="516774"/>
    <x v="1"/>
    <d v="2016-12-07T00:00:00"/>
    <d v="2017-01-24T00:00:00"/>
    <m/>
    <m/>
    <m/>
    <x v="1"/>
    <m/>
    <m/>
  </r>
  <r>
    <s v="VZ-2016-000604"/>
    <s v="LÉK"/>
    <s v="Ondráčková"/>
    <x v="310"/>
    <s v="33651100-9"/>
    <m/>
    <n v="4647513.84"/>
    <x v="1"/>
    <d v="2016-12-07T00:00:00"/>
    <d v="2017-01-24T00:00:00"/>
    <m/>
    <m/>
    <m/>
    <x v="1"/>
    <m/>
    <m/>
  </r>
  <r>
    <s v="VZ-2016-000604"/>
    <s v="LÉK"/>
    <s v="Ondráčková"/>
    <x v="311"/>
    <s v="33651100-9"/>
    <m/>
    <n v="744531.52"/>
    <x v="1"/>
    <d v="2016-12-07T00:00:00"/>
    <d v="2017-01-24T00:00:00"/>
    <m/>
    <m/>
    <m/>
    <x v="1"/>
    <m/>
    <m/>
  </r>
  <r>
    <s v="VZ-2016-000604"/>
    <s v="LÉK"/>
    <s v="Ondráčková"/>
    <x v="312"/>
    <s v="33651100-9"/>
    <m/>
    <n v="554887.48"/>
    <x v="1"/>
    <d v="2016-12-07T00:00:00"/>
    <d v="2017-01-24T00:00:00"/>
    <m/>
    <m/>
    <m/>
    <x v="1"/>
    <m/>
    <m/>
  </r>
  <r>
    <s v="VZ-2016-000606"/>
    <s v="PROVOZ"/>
    <s v="Hýža"/>
    <x v="313"/>
    <s v="39312000-2"/>
    <s v="4.1.6."/>
    <n v="1170000"/>
    <x v="3"/>
    <d v="2016-11-16T00:00:00"/>
    <d v="2016-11-28T00:00:00"/>
    <s v="Gastro Mach s.r.o."/>
    <n v="797517.16"/>
    <n v="964996.16"/>
    <x v="107"/>
    <d v="2016-12-22T00:00:00"/>
    <d v="2017-07-10T00:00:00"/>
  </r>
  <r>
    <s v="VZ-2016-000619"/>
    <s v="PRÁD"/>
    <s v="Švrdlíková"/>
    <x v="314"/>
    <s v="39831000-6"/>
    <m/>
    <n v="1869600"/>
    <x v="5"/>
    <d v="2016-12-12T00:00:00"/>
    <d v="2016-12-21T00:00:00"/>
    <s v="Christeyns s.r.o."/>
    <n v="1846800"/>
    <n v="2234628"/>
    <x v="1"/>
    <m/>
    <m/>
  </r>
  <r>
    <s v="VZ-2016-000624"/>
    <s v="INV"/>
    <s v="Kvapil"/>
    <x v="315"/>
    <s v="45215100-8 "/>
    <s v="1.3.7."/>
    <n v="16520000"/>
    <x v="1"/>
    <d v="2016-12-12T00:00:00"/>
    <d v="2017-01-05T00:00:00"/>
    <m/>
    <m/>
    <m/>
    <x v="1"/>
    <m/>
    <m/>
  </r>
  <r>
    <s v="VZ-2016-000632"/>
    <s v="DOPR"/>
    <s v="Solovský"/>
    <x v="316"/>
    <s v="34351100-3"/>
    <m/>
    <n v="460000"/>
    <x v="3"/>
    <d v="2016-12-01T00:00:00"/>
    <d v="2016-12-21T00:00:00"/>
    <s v="Pneucentrum N&amp;N s.r.o."/>
    <n v="466400"/>
    <n v="564344"/>
    <x v="1"/>
    <s v="xxx"/>
    <s v="xxx"/>
  </r>
  <r>
    <s v="VZ-2016-000639"/>
    <s v="INF"/>
    <s v="Oravec"/>
    <x v="317"/>
    <s v="32428000-9"/>
    <s v="3.2.3."/>
    <n v="2430000"/>
    <x v="0"/>
    <d v="2016-12-15T00:00:00"/>
    <d v="2017-01-13T00:00:00"/>
    <m/>
    <m/>
    <m/>
    <x v="1"/>
    <m/>
    <m/>
  </r>
  <r>
    <s v="VZ-2016-000640"/>
    <s v="OSB "/>
    <s v="Vaida"/>
    <x v="318"/>
    <s v="45454100-5"/>
    <s v="4.1.9."/>
    <n v="700000"/>
    <x v="3"/>
    <d v="2016-12-02T00:00:00"/>
    <d v="2016-12-12T00:00:00"/>
    <s v="Stavitelství Pospíšil s.r.o."/>
    <n v="886690.88"/>
    <n v="1072895.9648"/>
    <x v="1"/>
    <m/>
    <m/>
  </r>
  <r>
    <s v="VZ-2016-000643"/>
    <s v="ZT"/>
    <s v="Novák"/>
    <x v="319"/>
    <s v="33168000-5"/>
    <s v="2.2.36."/>
    <n v="2750000"/>
    <x v="0"/>
    <d v="2016-12-02T00:00:00"/>
    <d v="2017-01-04T00:00:00"/>
    <s v="zrušeno"/>
    <m/>
    <m/>
    <x v="1"/>
    <m/>
    <m/>
  </r>
  <r>
    <s v="VZ-2016-000650"/>
    <s v="SERV"/>
    <s v="Zemánek"/>
    <x v="320"/>
    <s v="50421200-4"/>
    <m/>
    <n v="1900000"/>
    <x v="3"/>
    <d v="2016-12-19T00:00:00"/>
    <d v="2017-01-05T00:00:00"/>
    <m/>
    <m/>
    <m/>
    <x v="1"/>
    <m/>
    <m/>
  </r>
  <r>
    <s v="VZ-2016-000652"/>
    <s v="ZT"/>
    <s v="Čech"/>
    <x v="321"/>
    <s v="38432210-7"/>
    <s v="2.3.122."/>
    <n v="3120000"/>
    <x v="0"/>
    <d v="2016-12-07T00:00:00"/>
    <d v="2017-01-04T00:00:00"/>
    <m/>
    <m/>
    <m/>
    <x v="1"/>
    <m/>
    <m/>
  </r>
  <r>
    <s v="VZ-2016-000656"/>
    <s v="INV"/>
    <s v="Kvapil"/>
    <x v="322"/>
    <s v="45314300-4"/>
    <m/>
    <n v="265000"/>
    <x v="3"/>
    <d v="2016-12-09T00:00:00"/>
    <d v="2016-12-16T00:00:00"/>
    <s v="SITEL spol. s r.o."/>
    <n v="218348"/>
    <n v="264201.08"/>
    <x v="1"/>
    <s v="xxx"/>
    <s v="xxx"/>
  </r>
  <r>
    <s v="VZ-2016-000657"/>
    <s v="SERV"/>
    <s v="Zemánek"/>
    <x v="323"/>
    <s v="50421000-2"/>
    <m/>
    <n v="1100000"/>
    <x v="3"/>
    <d v="2016-12-19T00:00:00"/>
    <d v="2017-01-05T00:00:00"/>
    <m/>
    <m/>
    <m/>
    <x v="1"/>
    <m/>
    <m/>
  </r>
  <r>
    <s v="VZ-2016-000662"/>
    <s v="SERV"/>
    <s v="Zemánek"/>
    <x v="324"/>
    <s v="50421000-2"/>
    <m/>
    <n v="1000000"/>
    <x v="3"/>
    <d v="2016-12-19T00:00:00"/>
    <d v="2017-01-05T00:00:00"/>
    <m/>
    <m/>
    <m/>
    <x v="1"/>
    <m/>
    <m/>
  </r>
  <r>
    <s v="VZ-2016-000670"/>
    <s v="INV"/>
    <s v="Kvapil"/>
    <x v="325"/>
    <s v="71251000-2"/>
    <m/>
    <n v="412000"/>
    <x v="3"/>
    <d v="2016-12-09T00:00:00"/>
    <d v="2016-12-21T00:00:00"/>
    <s v="MAVA spol. s r.o."/>
    <n v="748000"/>
    <n v="905080"/>
    <x v="1"/>
    <m/>
    <m/>
  </r>
  <r>
    <s v="VZ-2016-000672"/>
    <s v="LÉK"/>
    <s v="Ondráčková"/>
    <x v="326"/>
    <s v="33651100-9"/>
    <m/>
    <n v="3364107.4"/>
    <x v="1"/>
    <d v="2016-12-15T00:00:00"/>
    <d v="2017-01-24T00:00:00"/>
    <m/>
    <m/>
    <m/>
    <x v="1"/>
    <m/>
    <m/>
  </r>
  <r>
    <s v="VZ-2016-000672"/>
    <s v="LÉK"/>
    <s v="Ondráčková"/>
    <x v="327"/>
    <s v="33651100-9"/>
    <m/>
    <n v="106063.81"/>
    <x v="1"/>
    <d v="2016-12-15T00:00:00"/>
    <d v="2017-01-24T00:00:00"/>
    <m/>
    <m/>
    <m/>
    <x v="1"/>
    <m/>
    <m/>
  </r>
  <r>
    <s v="VZ-2016-000672"/>
    <s v="LÉK"/>
    <s v="Ondráčková"/>
    <x v="328"/>
    <s v="33651100-9"/>
    <m/>
    <n v="404252.15999999997"/>
    <x v="1"/>
    <d v="2016-12-15T00:00:00"/>
    <d v="2017-01-24T00:00:00"/>
    <m/>
    <m/>
    <m/>
    <x v="1"/>
    <m/>
    <m/>
  </r>
  <r>
    <s v="VZ-2016-000674"/>
    <s v="ZT"/>
    <s v="Novák"/>
    <x v="329"/>
    <s v="33194210-1"/>
    <s v="2.4.40."/>
    <n v="470000"/>
    <x v="3"/>
    <m/>
    <m/>
    <m/>
    <m/>
    <m/>
    <x v="1"/>
    <m/>
    <m/>
  </r>
  <r>
    <s v="VZ-2016-000675"/>
    <s v="ZT"/>
    <s v="Novák"/>
    <x v="330"/>
    <s v="42513000-5 "/>
    <s v="2.4.33.;2.4.34.;2.4.35.; 2.4.37."/>
    <n v="810000"/>
    <x v="3"/>
    <m/>
    <m/>
    <m/>
    <m/>
    <m/>
    <x v="1"/>
    <m/>
    <m/>
  </r>
  <r>
    <s v="VZ-2016-000682"/>
    <s v="LÉK"/>
    <s v="Ondráčková"/>
    <x v="331"/>
    <s v="33652000-5"/>
    <m/>
    <n v="1014308.37"/>
    <x v="1"/>
    <m/>
    <m/>
    <m/>
    <m/>
    <m/>
    <x v="1"/>
    <m/>
    <m/>
  </r>
  <r>
    <s v="VZ-2016-000682"/>
    <s v="LÉK"/>
    <s v="Ondráčková"/>
    <x v="332"/>
    <s v="33652000-5"/>
    <m/>
    <n v="23541274.949999999"/>
    <x v="1"/>
    <m/>
    <m/>
    <m/>
    <m/>
    <m/>
    <x v="1"/>
    <m/>
    <m/>
  </r>
  <r>
    <s v="VZ-2016-000682"/>
    <s v="LÉK"/>
    <s v="Ondráčková"/>
    <x v="333"/>
    <s v="33652000-5"/>
    <m/>
    <n v="29322213.719999999"/>
    <x v="1"/>
    <m/>
    <m/>
    <m/>
    <m/>
    <m/>
    <x v="1"/>
    <m/>
    <m/>
  </r>
  <r>
    <s v="VZ-2016-000682"/>
    <s v="LÉK"/>
    <s v="Ondráčková"/>
    <x v="334"/>
    <s v="33652000-5"/>
    <m/>
    <n v="4851018.4800000004"/>
    <x v="1"/>
    <m/>
    <m/>
    <m/>
    <m/>
    <m/>
    <x v="1"/>
    <m/>
    <m/>
  </r>
  <r>
    <s v="VZ-2016-000682"/>
    <s v="LÉK"/>
    <s v="Ondráčková"/>
    <x v="335"/>
    <s v="33652000-5"/>
    <m/>
    <n v="1816885.87"/>
    <x v="1"/>
    <m/>
    <m/>
    <m/>
    <m/>
    <m/>
    <x v="1"/>
    <m/>
    <m/>
  </r>
  <r>
    <s v="VZ-2016-000683"/>
    <s v="LÉK"/>
    <s v="Ondráčková"/>
    <x v="336"/>
    <s v="33696800-3"/>
    <m/>
    <n v="1012770"/>
    <x v="1"/>
    <m/>
    <m/>
    <m/>
    <m/>
    <m/>
    <x v="1"/>
    <m/>
    <m/>
  </r>
  <r>
    <s v="VZ-2016-000683"/>
    <s v="LÉK"/>
    <s v="Ondráčková"/>
    <x v="337"/>
    <s v="33696800-3"/>
    <m/>
    <n v="533439.48"/>
    <x v="1"/>
    <m/>
    <m/>
    <m/>
    <m/>
    <m/>
    <x v="1"/>
    <m/>
    <m/>
  </r>
  <r>
    <s v="VZ-2016-000683"/>
    <s v="LÉK"/>
    <s v="Ondráčková"/>
    <x v="338"/>
    <s v="33696800-3"/>
    <m/>
    <n v="1066643.1000000001"/>
    <x v="1"/>
    <m/>
    <m/>
    <m/>
    <m/>
    <m/>
    <x v="1"/>
    <m/>
    <m/>
  </r>
  <r>
    <s v="VZ-2016-000684"/>
    <s v="LÉK"/>
    <s v="Ondráčková"/>
    <x v="339"/>
    <s v="33696800-3"/>
    <m/>
    <n v="34749"/>
    <x v="1"/>
    <m/>
    <m/>
    <m/>
    <m/>
    <m/>
    <x v="1"/>
    <m/>
    <m/>
  </r>
  <r>
    <s v="VZ-2016-000684"/>
    <s v="LÉK"/>
    <s v="Ondráčková"/>
    <x v="340"/>
    <s v="33696800-3"/>
    <m/>
    <n v="1299825"/>
    <x v="1"/>
    <m/>
    <m/>
    <m/>
    <m/>
    <m/>
    <x v="1"/>
    <m/>
    <m/>
  </r>
  <r>
    <s v="VZ-2016-000684"/>
    <s v="LÉK"/>
    <s v="Ondráčková"/>
    <x v="341"/>
    <s v="33696800-3"/>
    <m/>
    <n v="4616020"/>
    <x v="1"/>
    <m/>
    <m/>
    <m/>
    <m/>
    <m/>
    <x v="1"/>
    <m/>
    <m/>
  </r>
  <r>
    <s v="VZ-2016-000685"/>
    <s v="ZT"/>
    <s v="Novák"/>
    <x v="342"/>
    <s v="33182100-0"/>
    <s v="2.2.63."/>
    <n v="330000"/>
    <x v="3"/>
    <d v="2016-12-22T00:00:00"/>
    <d v="2017-01-10T00:00:00"/>
    <m/>
    <m/>
    <m/>
    <x v="1"/>
    <m/>
    <m/>
  </r>
  <r>
    <m/>
    <m/>
    <m/>
    <x v="343"/>
    <m/>
    <m/>
    <m/>
    <x v="8"/>
    <m/>
    <m/>
    <m/>
    <m/>
    <m/>
    <x v="1"/>
    <m/>
    <m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3">
  <r>
    <s v="VZ-2016-000111"/>
    <s v="ZT"/>
    <s v="Čech"/>
    <x v="0"/>
    <s v="33157400-9"/>
    <s v="2.3.119."/>
    <n v="825000"/>
    <x v="0"/>
    <d v="2016-03-31T00:00:00"/>
    <d v="2016-04-14T00:00:00"/>
    <s v="zrušeno"/>
    <m/>
    <m/>
    <x v="0"/>
    <m/>
    <s v="xxx"/>
  </r>
  <r>
    <s v="VZ-2016-000175"/>
    <s v="INF"/>
    <s v="Marek"/>
    <x v="1"/>
    <s v="48329000-0"/>
    <m/>
    <n v="7000000"/>
    <x v="1"/>
    <d v="2016-04-11T00:00:00"/>
    <d v="2016-11-02T00:00:00"/>
    <s v="TECHNISERV IT spol. s r.o."/>
    <n v="6997777"/>
    <n v="8467310.1699999999"/>
    <x v="1"/>
    <m/>
    <d v="2017-04-11T00:00:00"/>
  </r>
  <r>
    <s v="VZ-2016-000213"/>
    <s v="ZT"/>
    <s v="Čech"/>
    <x v="2"/>
    <s v="33195100-4"/>
    <s v="2.3.136"/>
    <n v="3950000"/>
    <x v="1"/>
    <d v="2016-04-25T00:00:00"/>
    <d v="2016-10-26T00:00:00"/>
    <s v="S + T Plus s.r.o."/>
    <n v="3305000"/>
    <n v="3999050"/>
    <x v="2"/>
    <m/>
    <d v="2017-01-03T00:00:00"/>
  </r>
  <r>
    <s v="VZ-2016-000282"/>
    <s v="ZM "/>
    <s v="Dočkalová"/>
    <x v="3"/>
    <s v="33141000-0 "/>
    <m/>
    <n v="890000"/>
    <x v="0"/>
    <d v="2016-05-25T00:00:00"/>
    <d v="2016-06-07T00:00:00"/>
    <s v="Gatebo s.r.o."/>
    <n v="901919.4"/>
    <n v="1091322.4739999999"/>
    <x v="3"/>
    <m/>
    <d v="2017-02-14T00:00:00"/>
  </r>
  <r>
    <s v="VZ-2016-000321"/>
    <s v="INV"/>
    <s v="Junek"/>
    <x v="4"/>
    <s v="45215120-4"/>
    <s v="1.3.2."/>
    <n v="298000000"/>
    <x v="1"/>
    <d v="2016-06-07T00:00:00"/>
    <d v="2016-12-06T00:00:00"/>
    <s v="OHL ŽS a.s."/>
    <n v="276902126"/>
    <n v="335051572"/>
    <x v="4"/>
    <m/>
    <d v="2017-02-22T00:00:00"/>
  </r>
  <r>
    <s v="VZ-2016-000384"/>
    <s v="ZT"/>
    <s v="Čech"/>
    <x v="5"/>
    <s v="33150000-6"/>
    <s v="2.3.162"/>
    <n v="12396500"/>
    <x v="1"/>
    <d v="2016-11-15T00:00:00"/>
    <d v="2016-12-06T00:00:00"/>
    <s v="LaparoTech Instruments s.r.o."/>
    <n v="18156196"/>
    <n v="21968997.16"/>
    <x v="5"/>
    <m/>
    <d v="2017-02-02T00:00:00"/>
  </r>
  <r>
    <s v="VZ-2016-000421"/>
    <s v="LÉK"/>
    <s v="Ondráčková"/>
    <x v="6"/>
    <s v="33651100-9"/>
    <m/>
    <n v="94548.27"/>
    <x v="1"/>
    <d v="2016-09-15T00:00:00"/>
    <d v="2016-12-20T00:00:00"/>
    <s v="zrušeno - bez hodnocené nabídky"/>
    <m/>
    <m/>
    <x v="0"/>
    <m/>
    <d v="2017-01-30T00:00:00"/>
  </r>
  <r>
    <s v="VZ-2016-000421"/>
    <s v="LÉK"/>
    <s v="Ondráčková"/>
    <x v="7"/>
    <s v="33651100-9"/>
    <m/>
    <n v="469811"/>
    <x v="1"/>
    <d v="2016-09-15T00:00:00"/>
    <d v="2016-12-20T00:00:00"/>
    <s v="zrušeno - bez nabídky"/>
    <m/>
    <m/>
    <x v="0"/>
    <m/>
    <d v="2017-12-23T00:00:00"/>
  </r>
  <r>
    <s v="VZ-2016-000421"/>
    <s v="LÉK"/>
    <s v="Ondráčková"/>
    <x v="8"/>
    <s v="33651100-9"/>
    <m/>
    <n v="10106.16"/>
    <x v="1"/>
    <d v="2016-09-15T00:00:00"/>
    <d v="2016-12-20T00:00:00"/>
    <s v="Pharmos, a.s."/>
    <n v="9900.7999999999993"/>
    <n v="10890.88"/>
    <x v="6"/>
    <m/>
    <d v="2017-03-28T00:00:00"/>
  </r>
  <r>
    <s v="VZ-2016-000421"/>
    <s v="LÉK"/>
    <s v="Ondráčková"/>
    <x v="9"/>
    <s v="33651100-9"/>
    <m/>
    <n v="10209.6"/>
    <x v="1"/>
    <d v="2016-09-15T00:00:00"/>
    <d v="2016-12-20T00:00:00"/>
    <s v="zrušeno"/>
    <m/>
    <m/>
    <x v="0"/>
    <m/>
    <d v="2017-03-07T00:00:00"/>
  </r>
  <r>
    <s v="VZ-2016-000421"/>
    <s v="LÉK"/>
    <s v="Ondráčková"/>
    <x v="10"/>
    <s v="33651100-9"/>
    <m/>
    <n v="424787"/>
    <x v="1"/>
    <d v="2016-09-15T00:00:00"/>
    <d v="2016-12-20T00:00:00"/>
    <s v="Fresenius Kabi s.r.o."/>
    <n v="343100"/>
    <n v="377410.00000000006"/>
    <x v="6"/>
    <m/>
    <d v="2017-03-28T00:00:00"/>
  </r>
  <r>
    <s v="VZ-2016-000421"/>
    <s v="LÉK"/>
    <s v="Ondráčková"/>
    <x v="11"/>
    <s v="33651100-9"/>
    <m/>
    <n v="578389.66"/>
    <x v="1"/>
    <d v="2016-09-15T00:00:00"/>
    <d v="2016-12-20T00:00:00"/>
    <s v="PHOENIX lék. Velkoobchod"/>
    <n v="554307.64"/>
    <n v="609738.4040000001"/>
    <x v="7"/>
    <m/>
    <d v="2017-03-28T00:00:00"/>
  </r>
  <r>
    <s v="VZ-2016-000421"/>
    <s v="LÉK"/>
    <s v="Ondráčková"/>
    <x v="12"/>
    <s v="33651100-9"/>
    <m/>
    <n v="309207.7"/>
    <x v="1"/>
    <d v="2016-09-15T00:00:00"/>
    <d v="2016-12-20T00:00:00"/>
    <s v="zrušeno - bez hodnocené nabídky"/>
    <m/>
    <m/>
    <x v="0"/>
    <m/>
    <d v="2017-01-30T00:00:00"/>
  </r>
  <r>
    <s v="VZ-2016-000421"/>
    <s v="LÉK"/>
    <s v="Ondráčková"/>
    <x v="13"/>
    <s v="33651100-9"/>
    <m/>
    <n v="881921.09"/>
    <x v="1"/>
    <d v="2016-09-15T00:00:00"/>
    <d v="2016-12-20T00:00:00"/>
    <s v="PHOENIX lék. Velkoobchod"/>
    <n v="880308"/>
    <n v="968338.8"/>
    <x v="7"/>
    <m/>
    <d v="2017-03-28T00:00:00"/>
  </r>
  <r>
    <s v="VZ-2016-000421"/>
    <s v="LÉK"/>
    <s v="Ondráčková"/>
    <x v="14"/>
    <s v="33651100-9"/>
    <m/>
    <n v="444496"/>
    <x v="1"/>
    <d v="2016-09-15T00:00:00"/>
    <d v="2016-12-20T00:00:00"/>
    <s v="PHOENIX lék. Velkoobchod"/>
    <n v="337816.96"/>
    <n v="371598.65600000008"/>
    <x v="7"/>
    <m/>
    <d v="2017-03-28T00:00:00"/>
  </r>
  <r>
    <s v="VZ-2016-000421"/>
    <s v="LÉK"/>
    <s v="Ondráčková"/>
    <x v="15"/>
    <s v="33651100-9"/>
    <m/>
    <n v="377200"/>
    <x v="1"/>
    <d v="2016-09-15T00:00:00"/>
    <d v="2016-12-20T00:00:00"/>
    <s v="Pharmos, a.s."/>
    <n v="168296.8"/>
    <n v="185126.48"/>
    <x v="6"/>
    <m/>
    <d v="2017-03-28T00:00:00"/>
  </r>
  <r>
    <s v="VZ-2016-000422"/>
    <s v="LÉK"/>
    <s v="Ondráčková"/>
    <x v="16"/>
    <s v="33651100-9"/>
    <m/>
    <n v="424760"/>
    <x v="1"/>
    <d v="2016-09-15T00:00:00"/>
    <d v="2016-12-21T00:00:00"/>
    <s v="PHOENIX lék. Velkoobchod"/>
    <n v="365900.4"/>
    <n v="402490.44000000006"/>
    <x v="7"/>
    <m/>
    <d v="2017-03-31T00:00:00"/>
  </r>
  <r>
    <s v="VZ-2016-000422"/>
    <s v="LÉK"/>
    <s v="Ondráčková"/>
    <x v="17"/>
    <s v="33651100-9"/>
    <m/>
    <n v="377402.6"/>
    <x v="1"/>
    <d v="2016-09-15T00:00:00"/>
    <d v="2016-12-21T00:00:00"/>
    <s v="PHOENIX lék. Velkoobchod"/>
    <n v="348734"/>
    <n v="383607.4"/>
    <x v="7"/>
    <m/>
    <d v="2017-03-31T00:00:00"/>
  </r>
  <r>
    <s v="VZ-2016-000422"/>
    <s v="LÉK"/>
    <s v="Ondráčková"/>
    <x v="18"/>
    <s v="33651100-9"/>
    <m/>
    <n v="189388.16"/>
    <x v="1"/>
    <d v="2016-09-15T00:00:00"/>
    <d v="2016-12-21T00:00:00"/>
    <s v="Pharmos, a.s."/>
    <n v="159460.48000000001"/>
    <n v="175406.52800000002"/>
    <x v="8"/>
    <m/>
    <d v="2017-03-31T00:00:00"/>
  </r>
  <r>
    <s v="VZ-2016-000422"/>
    <s v="LÉK"/>
    <s v="Ondráčková"/>
    <x v="19"/>
    <s v="33651100-9"/>
    <m/>
    <n v="394713.2"/>
    <x v="1"/>
    <d v="2016-09-15T00:00:00"/>
    <d v="2016-12-21T00:00:00"/>
    <s v="zrušeno"/>
    <m/>
    <m/>
    <x v="0"/>
    <m/>
    <d v="2017-02-10T00:00:00"/>
  </r>
  <r>
    <s v="VZ-2016-000422"/>
    <s v="LÉK"/>
    <s v="Ondráčková"/>
    <x v="20"/>
    <s v="33651100-9"/>
    <m/>
    <n v="59064.6"/>
    <x v="1"/>
    <d v="2016-09-15T00:00:00"/>
    <d v="2016-12-21T00:00:00"/>
    <s v="zrušeno"/>
    <m/>
    <m/>
    <x v="0"/>
    <m/>
    <d v="2017-02-10T00:00:00"/>
  </r>
  <r>
    <s v="VZ-2016-000422"/>
    <s v="LÉK"/>
    <s v="Ondráčková"/>
    <x v="21"/>
    <s v="33651100-9"/>
    <m/>
    <n v="74704.75"/>
    <x v="1"/>
    <d v="2016-09-15T00:00:00"/>
    <d v="2016-12-21T00:00:00"/>
    <s v="PHOENIX lék. Velkoobchod"/>
    <n v="43111.199999999997"/>
    <n v="47422.32"/>
    <x v="7"/>
    <m/>
    <d v="2017-03-31T00:00:00"/>
  </r>
  <r>
    <s v="VZ-2016-000422"/>
    <s v="LÉK"/>
    <s v="Ondráčková"/>
    <x v="22"/>
    <s v="33651100-9"/>
    <m/>
    <n v="43588.92"/>
    <x v="1"/>
    <d v="2016-09-15T00:00:00"/>
    <d v="2016-12-21T00:00:00"/>
    <s v="Alliance Healthcare s.r.o."/>
    <n v="40743.74"/>
    <n v="44818.114000000001"/>
    <x v="9"/>
    <m/>
    <d v="2017-03-31T00:00:00"/>
  </r>
  <r>
    <s v="VZ-2016-000422"/>
    <s v="LÉK"/>
    <s v="Ondráčková"/>
    <x v="23"/>
    <s v="33651100-9"/>
    <m/>
    <n v="117510.07"/>
    <x v="1"/>
    <d v="2016-09-15T00:00:00"/>
    <d v="2016-12-21T00:00:00"/>
    <s v="zrušeno"/>
    <m/>
    <m/>
    <x v="0"/>
    <m/>
    <d v="2017-01-23T00:00:00"/>
  </r>
  <r>
    <s v="VZ-2016-000423"/>
    <s v="LÉK"/>
    <s v="Ondráčková"/>
    <x v="24"/>
    <s v="33651100-9"/>
    <m/>
    <n v="7791989.4000000004"/>
    <x v="1"/>
    <s v="15.9 2016"/>
    <d v="2017-01-09T00:00:00"/>
    <s v="Alliance Healthcare s.r.o."/>
    <n v="7771842"/>
    <n v="8549026.2000000011"/>
    <x v="9"/>
    <m/>
    <d v="2017-04-13T00:00:00"/>
  </r>
  <r>
    <s v="VZ-2016-000423"/>
    <s v="LÉK"/>
    <s v="Ondráčková"/>
    <x v="25"/>
    <s v="33651100-9"/>
    <m/>
    <n v="427.86"/>
    <x v="1"/>
    <s v="15.9 2016"/>
    <d v="2017-01-09T00:00:00"/>
    <s v="Pharmos, a.s."/>
    <n v="428.28"/>
    <n v="471.108"/>
    <x v="6"/>
    <m/>
    <d v="2017-04-13T00:00:00"/>
  </r>
  <r>
    <s v="VZ-2016-000423"/>
    <s v="LÉK"/>
    <s v="Ondráčková"/>
    <x v="26"/>
    <s v="33651100-9"/>
    <m/>
    <n v="154680.66"/>
    <x v="1"/>
    <s v="15.9 2016"/>
    <d v="2017-01-09T00:00:00"/>
    <s v="zrušeno"/>
    <m/>
    <m/>
    <x v="0"/>
    <m/>
    <d v="2017-02-10T00:00:00"/>
  </r>
  <r>
    <s v="VZ-2016-000423"/>
    <s v="LÉK"/>
    <s v="Ondráčková"/>
    <x v="27"/>
    <s v="33651100-9"/>
    <m/>
    <n v="125572.64"/>
    <x v="1"/>
    <s v="15.9 2016"/>
    <d v="2017-01-09T00:00:00"/>
    <s v="zrušeno"/>
    <m/>
    <m/>
    <x v="0"/>
    <m/>
    <d v="2017-02-10T00:00:00"/>
  </r>
  <r>
    <s v="VZ-2016-000423"/>
    <s v="LÉK"/>
    <s v="Ondráčková"/>
    <x v="28"/>
    <s v="33651100-9"/>
    <m/>
    <n v="44000"/>
    <x v="1"/>
    <s v="15.9 2016"/>
    <d v="2017-01-09T00:00:00"/>
    <s v="zrušeno"/>
    <m/>
    <m/>
    <x v="0"/>
    <m/>
    <d v="2017-01-25T00:00:00"/>
  </r>
  <r>
    <s v="VZ-2016-000423"/>
    <s v="LÉK"/>
    <s v="Ondráčková"/>
    <x v="29"/>
    <s v="33651100-9"/>
    <m/>
    <n v="8161.78"/>
    <x v="1"/>
    <s v="15.9 2016"/>
    <d v="2017-01-09T00:00:00"/>
    <s v="zrušeno"/>
    <m/>
    <m/>
    <x v="0"/>
    <m/>
    <d v="2017-02-10T00:00:00"/>
  </r>
  <r>
    <s v="VZ-2016-000423"/>
    <s v="LÉK"/>
    <s v="Ondráčková"/>
    <x v="30"/>
    <s v="33651100-9"/>
    <m/>
    <n v="10120"/>
    <x v="1"/>
    <s v="15.9 2016"/>
    <d v="2017-01-09T00:00:00"/>
    <s v="zrušeno"/>
    <m/>
    <m/>
    <x v="0"/>
    <m/>
    <d v="2017-01-25T00:00:00"/>
  </r>
  <r>
    <s v="VZ-2016-000423"/>
    <s v="LÉK"/>
    <s v="Ondráčková"/>
    <x v="31"/>
    <s v="33651100-9"/>
    <m/>
    <n v="112926"/>
    <x v="1"/>
    <s v="15.9 2016"/>
    <d v="2017-01-09T00:00:00"/>
    <s v="zrušeno"/>
    <m/>
    <m/>
    <x v="0"/>
    <m/>
    <d v="2017-03-29T00:00:00"/>
  </r>
  <r>
    <s v="VZ-2016-000423"/>
    <s v="LÉK"/>
    <s v="Ondráčková"/>
    <x v="32"/>
    <s v="33651100-9"/>
    <m/>
    <n v="328860.98"/>
    <x v="1"/>
    <s v="15.9 2016"/>
    <d v="2017-01-09T00:00:00"/>
    <s v="zrušeno"/>
    <m/>
    <m/>
    <x v="0"/>
    <m/>
    <d v="2017-02-10T00:00:00"/>
  </r>
  <r>
    <s v="VZ-2016-000423"/>
    <s v="LÉK"/>
    <s v="Ondráčková"/>
    <x v="33"/>
    <s v="33651100-9"/>
    <m/>
    <n v="1862631"/>
    <x v="1"/>
    <s v="15.9 2016"/>
    <d v="2017-01-09T00:00:00"/>
    <s v="Alliance Healthcare s.r.o."/>
    <n v="4270834.4000000004"/>
    <n v="4697917.8400000008"/>
    <x v="9"/>
    <m/>
    <d v="2017-04-13T00:00:00"/>
  </r>
  <r>
    <s v="VZ-2016-000423"/>
    <s v="LÉK"/>
    <s v="Ondráčková"/>
    <x v="34"/>
    <s v="33651100-9"/>
    <m/>
    <n v="2349480"/>
    <x v="1"/>
    <d v="2016-09-15T00:00:00"/>
    <d v="2017-01-09T00:00:00"/>
    <s v="Fresenius Kabi s.r.o."/>
    <n v="2332698"/>
    <n v="2565967.8000000003"/>
    <x v="10"/>
    <m/>
    <d v="2017-04-13T00:00:00"/>
  </r>
  <r>
    <s v="VZ-2016-000440"/>
    <s v="PRAV"/>
    <s v="Procházková"/>
    <x v="35"/>
    <s v="66510000-8"/>
    <m/>
    <n v="12000000"/>
    <x v="1"/>
    <d v="2016-08-24T00:00:00"/>
    <d v="2016-12-20T00:00:00"/>
    <s v="Kooperativa pojišťovna a.s."/>
    <n v="8282512"/>
    <n v="8282512"/>
    <x v="11"/>
    <m/>
    <d v="2017-05-30T00:00:00"/>
  </r>
  <r>
    <s v="VZ-2016-000440"/>
    <s v="PRAV"/>
    <s v="Procházková"/>
    <x v="36"/>
    <s v="66515200-5"/>
    <m/>
    <n v="4000000"/>
    <x v="1"/>
    <d v="2016-08-24T00:00:00"/>
    <d v="2016-12-20T00:00:00"/>
    <s v="Kooperativa pojišťovna a.s."/>
    <n v="509044"/>
    <n v="509044"/>
    <x v="11"/>
    <m/>
    <d v="2017-05-30T00:00:00"/>
  </r>
  <r>
    <s v="VZ-2016-000440"/>
    <s v="PRAV"/>
    <s v="Procházková"/>
    <x v="37"/>
    <s v="66516000-0"/>
    <m/>
    <n v="8000000"/>
    <x v="1"/>
    <d v="2016-08-24T00:00:00"/>
    <d v="2016-12-20T00:00:00"/>
    <s v="zrušeno"/>
    <m/>
    <m/>
    <x v="0"/>
    <m/>
    <d v="2017-05-30T00:00:00"/>
  </r>
  <r>
    <s v="VZ-2016-000443"/>
    <s v="INF"/>
    <s v="Oravec"/>
    <x v="38"/>
    <s v="30233141-1"/>
    <s v="3.2.4."/>
    <n v="3245000"/>
    <x v="2"/>
    <d v="2016-08-24T00:00:00"/>
    <d v="2016-10-24T00:00:00"/>
    <s v="Merit Group a.s."/>
    <n v="3349098"/>
    <n v="4052408.58"/>
    <x v="5"/>
    <m/>
    <d v="2017-01-31T00:00:00"/>
  </r>
  <r>
    <s v="VZ-2016-000494"/>
    <s v="LÉK"/>
    <s v="Ondráčková"/>
    <x v="39"/>
    <s v="33651400-2"/>
    <m/>
    <n v="402104.17"/>
    <x v="1"/>
    <d v="2016-12-01T00:00:00"/>
    <d v="2017-01-10T00:00:00"/>
    <s v="PHOENIX lék. Velkoobchod"/>
    <n v="398812.68"/>
    <n v="438693.94800000003"/>
    <x v="7"/>
    <m/>
    <d v="2017-03-27T00:00:00"/>
  </r>
  <r>
    <s v="VZ-2016-000494"/>
    <s v="LÉK"/>
    <s v="Ondráčková"/>
    <x v="40"/>
    <s v="33651400-2"/>
    <m/>
    <n v="254142.16"/>
    <x v="1"/>
    <d v="2016-12-01T00:00:00"/>
    <d v="2017-01-10T00:00:00"/>
    <s v="PHOENIX lék. Velkoobchod"/>
    <n v="253353.16"/>
    <n v="278688.47600000002"/>
    <x v="7"/>
    <m/>
    <d v="2017-03-27T00:00:00"/>
  </r>
  <r>
    <s v="VZ-2016-000494"/>
    <s v="LÉK"/>
    <s v="Ondráčková"/>
    <x v="41"/>
    <s v="33651400-2"/>
    <m/>
    <n v="486689.96"/>
    <x v="1"/>
    <d v="2016-12-01T00:00:00"/>
    <d v="2017-01-10T00:00:00"/>
    <s v="PHOENIX lék. Velkoobchod"/>
    <n v="210465.94"/>
    <n v="231512.53400000001"/>
    <x v="7"/>
    <m/>
    <d v="2017-03-27T00:00:00"/>
  </r>
  <r>
    <s v="VZ-2016-000494"/>
    <s v="LÉK"/>
    <s v="Ondráčková"/>
    <x v="42"/>
    <s v="33651400-2"/>
    <m/>
    <n v="4892335"/>
    <x v="1"/>
    <d v="2016-12-01T00:00:00"/>
    <d v="2017-01-10T00:00:00"/>
    <s v="zrušeno"/>
    <m/>
    <m/>
    <x v="0"/>
    <m/>
    <d v="2017-01-31T00:00:00"/>
  </r>
  <r>
    <s v="VZ-2016-000494"/>
    <s v="LÉK"/>
    <s v="Ondráčková"/>
    <x v="43"/>
    <s v="33651400-2"/>
    <m/>
    <n v="27677.68"/>
    <x v="1"/>
    <d v="2016-12-01T00:00:00"/>
    <d v="2017-01-10T00:00:00"/>
    <s v="Pharmos, a.s."/>
    <n v="27633.599999999999"/>
    <n v="30396.959999999999"/>
    <x v="6"/>
    <m/>
    <d v="2017-03-27T00:00:00"/>
  </r>
  <r>
    <s v="VZ-2016-000494"/>
    <s v="LÉK"/>
    <s v="Ondráčková"/>
    <x v="44"/>
    <s v="33651400-2"/>
    <m/>
    <n v="205112.5"/>
    <x v="1"/>
    <d v="2016-12-01T00:00:00"/>
    <d v="2017-01-10T00:00:00"/>
    <s v="PHOENIX lék. Velkoobchod"/>
    <n v="204462.5"/>
    <n v="224908.75000000003"/>
    <x v="7"/>
    <m/>
    <d v="2017-03-27T00:00:00"/>
  </r>
  <r>
    <s v="VZ-2016-000495"/>
    <s v="LÉK"/>
    <s v="Ondráčková"/>
    <x v="45"/>
    <s v="33651200-0"/>
    <m/>
    <n v="273680"/>
    <x v="1"/>
    <d v="2016-12-01T00:00:00"/>
    <d v="2017-01-11T00:00:00"/>
    <s v="Fresenius Kabi s.r.o."/>
    <n v="256136"/>
    <n v="281749.60000000003"/>
    <x v="6"/>
    <d v="2019-03-14T00:00:00"/>
    <d v="2017-04-04T00:00:00"/>
  </r>
  <r>
    <s v="VZ-2016-000495"/>
    <s v="LÉK"/>
    <s v="Ondráčková"/>
    <x v="46"/>
    <s v="33651200-0"/>
    <m/>
    <n v="52571.199999999997"/>
    <x v="1"/>
    <d v="2016-12-01T00:00:00"/>
    <d v="2017-01-11T00:00:00"/>
    <s v="PHOENIX lék. Velkoobchod"/>
    <n v="50860.92"/>
    <n v="55947.012000000002"/>
    <x v="7"/>
    <d v="2019-03-22T00:00:00"/>
    <d v="2017-04-04T00:00:00"/>
  </r>
  <r>
    <s v="VZ-2016-000495"/>
    <s v="LÉK"/>
    <s v="Ondráčková"/>
    <x v="47"/>
    <s v="33651200-0"/>
    <m/>
    <n v="1673000"/>
    <x v="1"/>
    <d v="2016-12-01T00:00:00"/>
    <d v="2017-01-11T00:00:00"/>
    <s v="Alliance Healthcare s.r.o."/>
    <n v="665854"/>
    <n v="732439.4"/>
    <x v="9"/>
    <d v="2019-03-29T00:00:00"/>
    <d v="2017-04-04T00:00:00"/>
  </r>
  <r>
    <s v="VZ-2016-000495"/>
    <s v="LÉK"/>
    <s v="Ondráčková"/>
    <x v="48"/>
    <s v="33651200-0"/>
    <m/>
    <n v="6615485.8200000003"/>
    <x v="1"/>
    <d v="2016-12-01T00:00:00"/>
    <d v="2017-01-11T00:00:00"/>
    <s v="ViaPharma s.r.o."/>
    <n v="6599837.4199999999"/>
    <n v="7259821.1620000005"/>
    <x v="6"/>
    <d v="2019-03-14T00:00:00"/>
    <d v="2017-04-04T00:00:00"/>
  </r>
  <r>
    <s v="VZ-2016-000496"/>
    <s v="LÉK"/>
    <s v="Ondráčková"/>
    <x v="49"/>
    <s v="33651400-2"/>
    <m/>
    <n v="384458.22"/>
    <x v="1"/>
    <d v="2016-12-05T00:00:00"/>
    <d v="2017-01-12T00:00:00"/>
    <s v="PHOENIX lék. Velkoobchod"/>
    <n v="262567.14"/>
    <n v="288823.85400000005"/>
    <x v="7"/>
    <m/>
    <d v="2017-04-03T00:00:00"/>
  </r>
  <r>
    <s v="VZ-2016-000496"/>
    <s v="LÉK"/>
    <s v="Ondráčková"/>
    <x v="50"/>
    <s v="33651400-2"/>
    <m/>
    <n v="750337.68"/>
    <x v="1"/>
    <d v="2016-12-05T00:00:00"/>
    <d v="2017-01-12T00:00:00"/>
    <s v="zrušeno"/>
    <m/>
    <m/>
    <x v="0"/>
    <m/>
    <d v="2017-02-01T00:00:00"/>
  </r>
  <r>
    <s v="VZ-2016-000496"/>
    <s v="LÉK"/>
    <s v="Ondráčková"/>
    <x v="51"/>
    <s v="33651400-2"/>
    <m/>
    <n v="304720.8"/>
    <x v="1"/>
    <d v="2016-12-05T00:00:00"/>
    <d v="2017-01-12T00:00:00"/>
    <s v="PHOENIX lék. Velkoobchod"/>
    <n v="304114.14"/>
    <n v="334525.55400000006"/>
    <x v="7"/>
    <m/>
    <d v="2017-04-03T00:00:00"/>
  </r>
  <r>
    <s v="VZ-2016-000496"/>
    <s v="LÉK"/>
    <s v="Ondráčková"/>
    <x v="52"/>
    <s v="33651400-2"/>
    <m/>
    <n v="1668975"/>
    <x v="1"/>
    <d v="2016-12-05T00:00:00"/>
    <d v="2017-01-12T00:00:00"/>
    <s v="zrušeno"/>
    <m/>
    <m/>
    <x v="0"/>
    <m/>
    <d v="2017-02-01T00:00:00"/>
  </r>
  <r>
    <s v="VZ-2016-000496"/>
    <s v="LÉK"/>
    <s v="Ondráčková"/>
    <x v="53"/>
    <s v="33651400-2"/>
    <m/>
    <n v="207321.45"/>
    <x v="1"/>
    <d v="2016-12-05T00:00:00"/>
    <d v="2017-01-12T00:00:00"/>
    <s v="Pharmos, a.s."/>
    <n v="165642.04999999999"/>
    <n v="182206.255"/>
    <x v="6"/>
    <m/>
    <d v="2017-04-03T00:00:00"/>
  </r>
  <r>
    <s v="VZ-2016-000496"/>
    <s v="LÉK"/>
    <s v="Ondráčková"/>
    <x v="54"/>
    <s v="33651400-2"/>
    <m/>
    <n v="71857.649999999994"/>
    <x v="1"/>
    <d v="2016-12-05T00:00:00"/>
    <d v="2017-01-12T00:00:00"/>
    <s v="PHOENIX lék. Velkoobchod"/>
    <n v="71622.880000000005"/>
    <n v="78785.168000000005"/>
    <x v="7"/>
    <m/>
    <d v="2017-04-03T00:00:00"/>
  </r>
  <r>
    <s v="VZ-2016-000496"/>
    <s v="LÉK"/>
    <s v="Ondráčková"/>
    <x v="55"/>
    <s v="33651400-2"/>
    <m/>
    <n v="1381911.23"/>
    <x v="1"/>
    <d v="2016-12-05T00:00:00"/>
    <d v="2017-01-12T00:00:00"/>
    <s v="Avenier a.s."/>
    <n v="1381894.3"/>
    <n v="1520083.7300000002"/>
    <x v="6"/>
    <m/>
    <d v="2017-04-03T00:00:00"/>
  </r>
  <r>
    <s v="VZ-2016-000496"/>
    <s v="LÉK"/>
    <s v="Ondráčková"/>
    <x v="56"/>
    <s v="33651400-2"/>
    <m/>
    <n v="1838198.4"/>
    <x v="1"/>
    <d v="2016-12-05T00:00:00"/>
    <d v="2017-01-12T00:00:00"/>
    <s v="zrušeno"/>
    <m/>
    <m/>
    <x v="0"/>
    <m/>
    <d v="2017-02-01T00:00:00"/>
  </r>
  <r>
    <s v="VZ-2016-000496"/>
    <s v="LÉK"/>
    <s v="Ondráčková"/>
    <x v="57"/>
    <s v="33651400-2"/>
    <m/>
    <n v="111393.24"/>
    <x v="1"/>
    <d v="2016-12-05T00:00:00"/>
    <d v="2017-01-12T00:00:00"/>
    <s v="Alliance Healthcare s.r.o."/>
    <n v="111393.24"/>
    <n v="122532.56400000001"/>
    <x v="9"/>
    <m/>
    <d v="2017-04-03T00:00:00"/>
  </r>
  <r>
    <s v="VZ-2016-000496"/>
    <s v="LÉK"/>
    <s v="Ondráčková"/>
    <x v="58"/>
    <s v="33651400-2"/>
    <m/>
    <n v="1252369.6000000001"/>
    <x v="1"/>
    <d v="2016-12-05T00:00:00"/>
    <d v="2017-01-12T00:00:00"/>
    <s v="Alliance Healthcare s.r.o."/>
    <n v="1252369.48"/>
    <n v="1377606.4280000001"/>
    <x v="9"/>
    <m/>
    <d v="2017-04-03T00:00:00"/>
  </r>
  <r>
    <s v="VZ-2016-000499"/>
    <s v="ZT"/>
    <s v="Novák"/>
    <x v="59"/>
    <s v="33123200-0"/>
    <s v="2.4.38."/>
    <n v="66000"/>
    <x v="0"/>
    <d v="2016-09-19T00:00:00"/>
    <d v="2016-09-30T00:00:00"/>
    <s v="BTL zdrav. technika a.s."/>
    <n v="97775"/>
    <n v="118307.75"/>
    <x v="12"/>
    <m/>
    <s v="xxx"/>
  </r>
  <r>
    <s v="VZ-2016-000554"/>
    <s v="ZT"/>
    <s v="Novák"/>
    <x v="60"/>
    <s v="39162200-7"/>
    <s v="2.2.60."/>
    <n v="3390000"/>
    <x v="3"/>
    <d v="2016-11-08T00:00:00"/>
    <d v="2016-11-25T00:00:00"/>
    <s v="S + T Plus s.r.o."/>
    <n v="3379830"/>
    <n v="4089594.3"/>
    <x v="13"/>
    <m/>
    <d v="2017-01-10T00:00:00"/>
  </r>
  <r>
    <s v="VZ-2016-000603"/>
    <s v="KVAL"/>
    <s v="Cahlíková"/>
    <x v="61"/>
    <s v="79212110-7"/>
    <m/>
    <n v="150000"/>
    <x v="0"/>
    <d v="2016-11-11T00:00:00"/>
    <d v="2016-11-21T00:00:00"/>
    <s v="DNV GL Business Assurance…"/>
    <n v="69316"/>
    <n v="83872.36"/>
    <x v="14"/>
    <m/>
    <s v="xxx"/>
  </r>
  <r>
    <s v="VZ-2016-000604"/>
    <s v="LÉK"/>
    <s v="Ondráčková"/>
    <x v="62"/>
    <s v="33651100-9"/>
    <m/>
    <n v="373380.28"/>
    <x v="1"/>
    <d v="2016-12-07T00:00:00"/>
    <d v="2017-02-20T00:00:00"/>
    <s v="PHOENIX lék. Velkoobchod"/>
    <n v="363468.3"/>
    <n v="399815.13"/>
    <x v="15"/>
    <d v="2019-04-17T00:00:00"/>
    <d v="2017-04-20T00:00:00"/>
  </r>
  <r>
    <s v="VZ-2016-000604"/>
    <s v="LÉK"/>
    <s v="Ondráčková"/>
    <x v="63"/>
    <s v="33651100-9"/>
    <m/>
    <n v="1063557.69"/>
    <x v="1"/>
    <d v="2016-12-07T00:00:00"/>
    <d v="2017-02-20T00:00:00"/>
    <s v="zrušeno"/>
    <m/>
    <m/>
    <x v="0"/>
    <m/>
    <d v="2017-02-22T00:00:00"/>
  </r>
  <r>
    <s v="VZ-2016-000604"/>
    <s v="LÉK"/>
    <s v="Ondráčková"/>
    <x v="64"/>
    <s v="33651100-9"/>
    <m/>
    <n v="3978.41"/>
    <x v="1"/>
    <d v="2016-12-07T00:00:00"/>
    <d v="2017-02-20T00:00:00"/>
    <s v="zrušeno"/>
    <m/>
    <m/>
    <x v="0"/>
    <m/>
    <d v="2017-02-22T00:00:00"/>
  </r>
  <r>
    <s v="VZ-2016-000604"/>
    <s v="LÉK"/>
    <s v="Ondráčková"/>
    <x v="65"/>
    <s v="33651100-9"/>
    <m/>
    <n v="516774"/>
    <x v="1"/>
    <d v="2016-12-07T00:00:00"/>
    <d v="2017-02-20T00:00:00"/>
    <s v="Fresenius Kabi s.r.o."/>
    <n v="416506"/>
    <n v="458156.60000000003"/>
    <x v="15"/>
    <d v="2019-04-17T00:00:00"/>
    <d v="2017-04-20T00:00:00"/>
  </r>
  <r>
    <s v="VZ-2016-000604"/>
    <s v="LÉK"/>
    <s v="Ondráčková"/>
    <x v="66"/>
    <s v="33651100-9"/>
    <m/>
    <n v="4647513.84"/>
    <x v="1"/>
    <d v="2016-12-07T00:00:00"/>
    <d v="2017-02-20T00:00:00"/>
    <s v="Alliance Healthcare s.r.o."/>
    <n v="4644618.2400000002"/>
    <n v="5109080.0640000002"/>
    <x v="15"/>
    <d v="2019-04-17T00:00:00"/>
    <d v="2017-04-20T00:00:00"/>
  </r>
  <r>
    <s v="VZ-2016-000604"/>
    <s v="LÉK"/>
    <s v="Ondráčková"/>
    <x v="67"/>
    <s v="33651100-9"/>
    <m/>
    <n v="744531.52"/>
    <x v="1"/>
    <d v="2016-12-07T00:00:00"/>
    <d v="2017-02-20T00:00:00"/>
    <s v="zrušeno"/>
    <m/>
    <m/>
    <x v="0"/>
    <m/>
    <d v="2017-02-22T00:00:00"/>
  </r>
  <r>
    <s v="VZ-2016-000604"/>
    <s v="LÉK"/>
    <s v="Ondráčková"/>
    <x v="68"/>
    <s v="33651100-9"/>
    <m/>
    <n v="554887.48"/>
    <x v="1"/>
    <d v="2016-12-07T00:00:00"/>
    <d v="2017-02-20T00:00:00"/>
    <s v="Pharmos, a.s."/>
    <n v="553586.19999999995"/>
    <n v="608944.81999999995"/>
    <x v="15"/>
    <d v="2019-04-17T00:00:00"/>
    <d v="2017-04-20T00:00:00"/>
  </r>
  <r>
    <s v="VZ-2016-000619"/>
    <s v="PRÁD"/>
    <s v="Švrdlíková"/>
    <x v="69"/>
    <s v="39831000-6"/>
    <m/>
    <n v="1869600"/>
    <x v="0"/>
    <d v="2016-12-12T00:00:00"/>
    <d v="2016-12-21T00:00:00"/>
    <s v="Christeyns s.r.o."/>
    <n v="1846800"/>
    <n v="2234628"/>
    <x v="16"/>
    <m/>
    <d v="2017-03-10T00:00:00"/>
  </r>
  <r>
    <s v="VZ-2016-000624"/>
    <s v="INV"/>
    <s v="Kvapil"/>
    <x v="70"/>
    <s v="45215100-8 "/>
    <s v="1.3.7."/>
    <n v="16520000"/>
    <x v="3"/>
    <d v="2016-12-12T00:00:00"/>
    <d v="2017-01-05T00:00:00"/>
    <s v="OHL ŽS a.s."/>
    <n v="15908373.779999999"/>
    <n v="19249132.273799997"/>
    <x v="17"/>
    <m/>
    <d v="2017-02-17T00:00:00"/>
  </r>
  <r>
    <s v="VZ-2016-000632"/>
    <s v="DOPR"/>
    <s v="Solovský"/>
    <x v="71"/>
    <s v="34351100-3"/>
    <m/>
    <n v="460000"/>
    <x v="0"/>
    <d v="2016-12-01T00:00:00"/>
    <d v="2016-12-21T00:00:00"/>
    <s v="Pneucentrum N&amp;N s.r.o."/>
    <n v="466400"/>
    <n v="564344"/>
    <x v="4"/>
    <m/>
    <s v="xxx"/>
  </r>
  <r>
    <s v="VZ-2016-000639"/>
    <s v="INF"/>
    <s v="Oravec"/>
    <x v="72"/>
    <s v="32428000-9"/>
    <s v="3.2.3."/>
    <n v="2430000"/>
    <x v="3"/>
    <d v="2016-12-15T00:00:00"/>
    <d v="2017-01-13T00:00:00"/>
    <s v="Merit Group a.s."/>
    <n v="2255043"/>
    <n v="2728602.03"/>
    <x v="18"/>
    <m/>
    <d v="2017-02-21T00:00:00"/>
  </r>
  <r>
    <s v="VZ-2016-000640"/>
    <s v="OSB "/>
    <s v="Vaida"/>
    <x v="73"/>
    <s v="45454100-5"/>
    <s v="4.1.9."/>
    <n v="700000"/>
    <x v="0"/>
    <d v="2016-12-02T00:00:00"/>
    <d v="2016-12-12T00:00:00"/>
    <s v="zrušeno"/>
    <m/>
    <m/>
    <x v="0"/>
    <m/>
    <s v="xxx"/>
  </r>
  <r>
    <s v="VZ-2016-000650"/>
    <s v="SERV"/>
    <s v="Zemánek"/>
    <x v="74"/>
    <s v="50421200-4"/>
    <m/>
    <n v="1900000"/>
    <x v="0"/>
    <d v="2016-12-19T00:00:00"/>
    <d v="2017-01-05T00:00:00"/>
    <s v="Philips ČR  s.r.o."/>
    <n v="1865960"/>
    <n v="2257811.6"/>
    <x v="19"/>
    <m/>
    <d v="2017-03-08T00:00:00"/>
  </r>
  <r>
    <s v="VZ-2016-000652"/>
    <s v="ZT"/>
    <s v="Čech"/>
    <x v="75"/>
    <s v="38432210-7"/>
    <s v="2.3.122."/>
    <n v="3120000"/>
    <x v="3"/>
    <d v="2016-12-07T00:00:00"/>
    <d v="2017-01-04T00:00:00"/>
    <s v="Bruker s.r.o."/>
    <n v="3119870"/>
    <n v="3775042.6999999997"/>
    <x v="20"/>
    <m/>
    <d v="2017-02-16T00:00:00"/>
  </r>
  <r>
    <s v="VZ-2016-000656"/>
    <s v="INV"/>
    <s v="Kvapil"/>
    <x v="76"/>
    <s v="45314300-4"/>
    <m/>
    <n v="265000"/>
    <x v="0"/>
    <d v="2016-12-09T00:00:00"/>
    <d v="2016-12-16T00:00:00"/>
    <s v="SITEL spol. s r.o."/>
    <n v="218348"/>
    <n v="264201.08"/>
    <x v="21"/>
    <m/>
    <s v="xxx"/>
  </r>
  <r>
    <s v="VZ-2016-000657"/>
    <s v="SERV"/>
    <s v="Zemánek"/>
    <x v="77"/>
    <s v="50421000-2"/>
    <m/>
    <n v="1100000"/>
    <x v="0"/>
    <d v="2016-12-19T00:00:00"/>
    <d v="2017-01-05T00:00:00"/>
    <s v="S+T Plus s.r.o."/>
    <n v="1201662"/>
    <n v="1454011.02"/>
    <x v="22"/>
    <m/>
    <d v="2017-04-19T00:00:00"/>
  </r>
  <r>
    <s v="VZ-2016-000662"/>
    <s v="SERV"/>
    <s v="Zemánek"/>
    <x v="78"/>
    <s v="50421000-2"/>
    <m/>
    <n v="1000000"/>
    <x v="0"/>
    <d v="2016-12-19T00:00:00"/>
    <d v="2017-01-05T00:00:00"/>
    <s v="Medisap s.r.o."/>
    <n v="1597198"/>
    <n v="1932609.5799999998"/>
    <x v="23"/>
    <m/>
    <d v="2017-03-08T00:00:00"/>
  </r>
  <r>
    <s v="VZ-2016-000670"/>
    <s v="INV"/>
    <s v="Kvapil"/>
    <x v="79"/>
    <s v="71251000-2"/>
    <m/>
    <n v="412000"/>
    <x v="0"/>
    <d v="2016-12-09T00:00:00"/>
    <d v="2016-12-21T00:00:00"/>
    <s v="MAVA spol. s r.o."/>
    <n v="748000"/>
    <n v="905080"/>
    <x v="24"/>
    <m/>
    <d v="2017-01-30T00:00:00"/>
  </r>
  <r>
    <s v="VZ-2016-000672"/>
    <s v="LÉK"/>
    <s v="Ondráčková"/>
    <x v="80"/>
    <s v="33651100-9"/>
    <m/>
    <n v="3364107.4"/>
    <x v="1"/>
    <d v="2016-12-15T00:00:00"/>
    <d v="2017-01-24T00:00:00"/>
    <s v="Pharmos, a.s."/>
    <n v="3316820.6"/>
    <n v="3648502.6600000006"/>
    <x v="6"/>
    <d v="2019-03-14T00:00:00"/>
    <d v="2017-03-21T00:00:00"/>
  </r>
  <r>
    <s v="VZ-2016-000672"/>
    <s v="LÉK"/>
    <s v="Ondráčková"/>
    <x v="81"/>
    <s v="33651100-9"/>
    <m/>
    <n v="106063.81"/>
    <x v="1"/>
    <d v="2016-12-15T00:00:00"/>
    <d v="2017-01-24T00:00:00"/>
    <s v="Pharmos, a.s."/>
    <n v="105885.96"/>
    <n v="116474.55600000001"/>
    <x v="6"/>
    <d v="2019-03-14T00:00:00"/>
    <d v="2017-03-21T00:00:00"/>
  </r>
  <r>
    <s v="VZ-2016-000672"/>
    <s v="LÉK"/>
    <s v="Ondráčková"/>
    <x v="82"/>
    <s v="33651100-9"/>
    <m/>
    <n v="404252.15999999997"/>
    <x v="1"/>
    <d v="2016-12-15T00:00:00"/>
    <d v="2017-01-24T00:00:00"/>
    <s v="zrušeno"/>
    <m/>
    <m/>
    <x v="0"/>
    <m/>
    <d v="2017-02-21T00:00:00"/>
  </r>
  <r>
    <s v="VZ-2016-000674"/>
    <s v="ZT"/>
    <s v="Novák"/>
    <x v="83"/>
    <s v="33194210-1"/>
    <s v="2.4.40."/>
    <n v="470000"/>
    <x v="0"/>
    <d v="2017-01-10T00:00:00"/>
    <d v="2017-01-20T00:00:00"/>
    <s v="Medista s.r.o."/>
    <n v="451200"/>
    <n v="545952"/>
    <x v="23"/>
    <m/>
    <s v="xxx"/>
  </r>
  <r>
    <s v="VZ-2016-000675"/>
    <s v="ZT"/>
    <s v="Novák"/>
    <x v="84"/>
    <s v="42513000-5 "/>
    <s v="2.4.33.;2.4.34.;2.4.35.; 2.4.37."/>
    <n v="210000"/>
    <x v="0"/>
    <d v="2017-01-10T00:00:00"/>
    <d v="2017-01-25T00:00:00"/>
    <s v="KRD s.r.o."/>
    <n v="110945"/>
    <n v="134243.44999999998"/>
    <x v="23"/>
    <m/>
    <d v="2017-03-08T00:00:00"/>
  </r>
  <r>
    <s v="VZ-2016-000675"/>
    <s v="ZT"/>
    <s v="Novák"/>
    <x v="85"/>
    <s v="42513000-5"/>
    <s v="2.4.33.;2.4.34.;2.4.35.; 2.4.37."/>
    <n v="600000"/>
    <x v="0"/>
    <d v="2017-01-10T00:00:00"/>
    <d v="2017-01-25T00:00:00"/>
    <s v="KRD s.r.o."/>
    <n v="392115"/>
    <n v="474459.14999999997"/>
    <x v="23"/>
    <m/>
    <d v="2017-03-08T00:00:00"/>
  </r>
  <r>
    <s v="VZ-2016-000682"/>
    <s v="LÉK"/>
    <s v="Ondráčková"/>
    <x v="86"/>
    <s v="33652000-5"/>
    <m/>
    <n v="1014308.37"/>
    <x v="1"/>
    <d v="2017-01-09T00:00:00"/>
    <d v="2017-02-16T00:00:00"/>
    <s v="zrušeno"/>
    <m/>
    <m/>
    <x v="0"/>
    <m/>
    <d v="2017-01-31T00:00:00"/>
  </r>
  <r>
    <s v="VZ-2016-000682"/>
    <s v="LÉK"/>
    <s v="Ondráčková"/>
    <x v="87"/>
    <s v="33652000-5"/>
    <m/>
    <n v="23541274.949999999"/>
    <x v="1"/>
    <d v="2017-01-09T00:00:00"/>
    <d v="2017-02-16T00:00:00"/>
    <s v="zrušeno"/>
    <m/>
    <m/>
    <x v="0"/>
    <m/>
    <d v="2017-03-22T00:00:00"/>
  </r>
  <r>
    <s v="VZ-2016-000682"/>
    <s v="LÉK"/>
    <s v="Ondráčková"/>
    <x v="88"/>
    <s v="33652000-5"/>
    <m/>
    <n v="29322213.719999999"/>
    <x v="1"/>
    <d v="2017-01-09T00:00:00"/>
    <d v="2017-02-16T00:00:00"/>
    <s v="Avenier a.s."/>
    <n v="29322188"/>
    <n v="32254406.800000001"/>
    <x v="15"/>
    <m/>
    <d v="2017-04-20T00:00:00"/>
  </r>
  <r>
    <s v="VZ-2016-000682"/>
    <s v="LÉK"/>
    <s v="Ondráčková"/>
    <x v="89"/>
    <s v="33652000-5"/>
    <m/>
    <n v="4851018.4800000004"/>
    <x v="1"/>
    <d v="2017-01-09T00:00:00"/>
    <d v="2017-02-16T00:00:00"/>
    <s v="Alliance Healthcare s.r.o."/>
    <n v="4851000"/>
    <n v="5336100"/>
    <x v="15"/>
    <m/>
    <d v="2017-04-20T00:00:00"/>
  </r>
  <r>
    <s v="VZ-2016-000682"/>
    <s v="LÉK"/>
    <s v="Ondráčková"/>
    <x v="90"/>
    <s v="33652000-5"/>
    <m/>
    <n v="1816885.87"/>
    <x v="1"/>
    <d v="2017-01-09T00:00:00"/>
    <d v="2017-02-16T00:00:00"/>
    <s v="zrušeno"/>
    <m/>
    <m/>
    <x v="0"/>
    <m/>
    <d v="2017-02-17T00:00:00"/>
  </r>
  <r>
    <s v="VZ-2016-000683"/>
    <s v="LÉK"/>
    <s v="Ondráčková"/>
    <x v="91"/>
    <s v="33696800-3"/>
    <m/>
    <n v="1012770"/>
    <x v="1"/>
    <d v="2017-01-09T00:00:00"/>
    <d v="2017-02-15T00:00:00"/>
    <s v="zrušeno"/>
    <m/>
    <m/>
    <x v="0"/>
    <m/>
    <d v="2017-03-17T00:00:00"/>
  </r>
  <r>
    <s v="VZ-2016-000683"/>
    <s v="LÉK"/>
    <s v="Ondráčková"/>
    <x v="92"/>
    <s v="33696800-3"/>
    <m/>
    <n v="533439.48"/>
    <x v="1"/>
    <d v="2017-01-09T00:00:00"/>
    <d v="2017-02-15T00:00:00"/>
    <s v="Bracco Imaging s.r.o."/>
    <n v="533241.80000000005"/>
    <n v="586565.9800000001"/>
    <x v="25"/>
    <m/>
    <d v="2017-04-26T00:00:00"/>
  </r>
  <r>
    <s v="VZ-2016-000683"/>
    <s v="LÉK"/>
    <s v="Ondráčková"/>
    <x v="93"/>
    <s v="33696800-3"/>
    <m/>
    <n v="1066687.24"/>
    <x v="1"/>
    <d v="2017-01-09T00:00:00"/>
    <d v="2017-02-15T00:00:00"/>
    <s v="Bayer s.r.o."/>
    <n v="1066687.24"/>
    <n v="1173355.9640000002"/>
    <x v="26"/>
    <m/>
    <d v="2017-04-26T00:00:00"/>
  </r>
  <r>
    <s v="VZ-2016-000684"/>
    <s v="LÉK"/>
    <s v="Ondráčková"/>
    <x v="94"/>
    <s v="33696800-3"/>
    <m/>
    <n v="34749"/>
    <x v="1"/>
    <d v="2017-01-05T00:00:00"/>
    <d v="2017-02-14T00:00:00"/>
    <s v="zrušeno"/>
    <m/>
    <m/>
    <x v="0"/>
    <m/>
    <d v="2017-03-07T00:00:00"/>
  </r>
  <r>
    <s v="VZ-2016-000684"/>
    <s v="LÉK"/>
    <s v="Ondráčková"/>
    <x v="95"/>
    <s v="33696800-3"/>
    <m/>
    <n v="1299825"/>
    <x v="1"/>
    <d v="2017-01-05T00:00:00"/>
    <d v="2017-02-14T00:00:00"/>
    <s v="zrušeno"/>
    <m/>
    <m/>
    <x v="0"/>
    <m/>
    <d v="2017-02-16T00:00:00"/>
  </r>
  <r>
    <s v="VZ-2016-000684"/>
    <s v="LÉK"/>
    <s v="Ondráčková"/>
    <x v="96"/>
    <s v="33696800-3"/>
    <m/>
    <n v="4616020"/>
    <x v="1"/>
    <d v="2017-01-05T00:00:00"/>
    <d v="2017-02-14T00:00:00"/>
    <s v="Bayer s.r.o."/>
    <n v="4616020"/>
    <n v="5077622"/>
    <x v="27"/>
    <m/>
    <d v="2017-03-21T00:00:00"/>
  </r>
  <r>
    <s v="VZ-2016-000685"/>
    <s v="ZT"/>
    <s v="Novák"/>
    <x v="97"/>
    <s v="33182100-0"/>
    <s v="2.2.63."/>
    <n v="330000"/>
    <x v="0"/>
    <d v="2016-12-22T00:00:00"/>
    <d v="2017-01-10T00:00:00"/>
    <s v="Cheirón a.s."/>
    <n v="726243.03"/>
    <n v="878754.06630000006"/>
    <x v="17"/>
    <m/>
    <s v="xxx"/>
  </r>
  <r>
    <s v="VZ-2017-000008"/>
    <s v="INV"/>
    <s v="Kvapil"/>
    <x v="98"/>
    <s v="45454100-5"/>
    <s v="1.2.46./16"/>
    <n v="4380000"/>
    <x v="0"/>
    <d v="2017-01-09T00:00:00"/>
    <d v="2017-01-25T00:00:00"/>
    <s v="OHL ŽS a.s."/>
    <n v="5350133.57"/>
    <n v="6473661.6200000001"/>
    <x v="23"/>
    <m/>
    <d v="2017-03-10T00:00:00"/>
  </r>
  <r>
    <s v="VZ-2017-000011"/>
    <s v="INV"/>
    <s v="Kvapil"/>
    <x v="99"/>
    <s v="45454100-5"/>
    <s v="1.2.45./16"/>
    <n v="14170000"/>
    <x v="3"/>
    <d v="2017-01-24T00:00:00"/>
    <d v="2017-02-10T00:00:00"/>
    <s v="OHL ŽS a.s."/>
    <n v="14110893"/>
    <n v="17074180.530000001"/>
    <x v="28"/>
    <m/>
    <d v="2017-04-03T00:00:00"/>
  </r>
  <r>
    <s v="VZ-2017-000016"/>
    <s v="ZT"/>
    <s v="Čech"/>
    <x v="100"/>
    <s v="33168000-5"/>
    <s v="2.2.36./16"/>
    <n v="2725000"/>
    <x v="3"/>
    <d v="2017-01-09T00:00:00"/>
    <d v="2017-02-09T00:00:00"/>
    <s v="Olympus Czech Rep."/>
    <n v="2677121"/>
    <n v="3239315"/>
    <x v="29"/>
    <m/>
    <d v="2017-08-24T00:00:00"/>
  </r>
  <r>
    <s v="VZ-2017-000019"/>
    <s v="ELZAR"/>
    <s v="Žůrek"/>
    <x v="101"/>
    <s v="34923000-3"/>
    <s v="4.3.1."/>
    <n v="7700000"/>
    <x v="1"/>
    <d v="2017-02-17T00:00:00"/>
    <d v="2017-04-04T00:00:00"/>
    <s v="zrušeno"/>
    <m/>
    <m/>
    <x v="0"/>
    <m/>
    <d v="2017-05-02T00:00:00"/>
  </r>
  <r>
    <s v="VZ-2017-000022"/>
    <s v="OSB "/>
    <s v="Vaida"/>
    <x v="102"/>
    <s v="45454100-5"/>
    <s v="4.1.9."/>
    <n v="700000"/>
    <x v="0"/>
    <d v="2017-01-11T00:00:00"/>
    <d v="2017-01-30T00:00:00"/>
    <s v="zrušeno"/>
    <m/>
    <m/>
    <x v="0"/>
    <m/>
    <d v="2017-05-02T00:00:00"/>
  </r>
  <r>
    <s v="VZ-2017-000037"/>
    <s v="ZT"/>
    <s v="Novák"/>
    <x v="103"/>
    <s v="38000000-5"/>
    <s v="3.2.5."/>
    <n v="565000"/>
    <x v="0"/>
    <d v="2017-01-19T00:00:00"/>
    <d v="2017-01-30T00:00:00"/>
    <s v="Medesa s.r.o."/>
    <n v="376800"/>
    <n v="455928"/>
    <x v="30"/>
    <m/>
    <d v="2017-03-08T00:00:00"/>
  </r>
  <r>
    <s v="VZ-2017-000047"/>
    <s v="ZT"/>
    <s v="Čech"/>
    <x v="104"/>
    <s v="39180000-7"/>
    <s v="2.2.43/16 2.3.133/16"/>
    <n v="170000"/>
    <x v="0"/>
    <d v="2017-02-14T00:00:00"/>
    <d v="2017-02-27T00:00:00"/>
    <s v="NUVIA a.s."/>
    <n v="78000"/>
    <n v="94380"/>
    <x v="22"/>
    <m/>
    <s v="xxx"/>
  </r>
  <r>
    <s v="VZ-2017-000048"/>
    <s v="ZT"/>
    <s v="Čech"/>
    <x v="105"/>
    <s v="42931100-2"/>
    <s v="2.2.52/16"/>
    <n v="250000"/>
    <x v="0"/>
    <d v="2017-02-14T00:00:00"/>
    <d v="2017-02-27T00:00:00"/>
    <s v="KRD s.r.o."/>
    <n v="132275"/>
    <n v="160052.75"/>
    <x v="22"/>
    <m/>
    <s v="xxx"/>
  </r>
  <r>
    <s v="VZ-2017-000054"/>
    <s v="ZT"/>
    <s v="Čech"/>
    <x v="106"/>
    <s v="38000000-5"/>
    <s v="2.3.130/16 2.3.131/16"/>
    <n v="7000000"/>
    <x v="1"/>
    <d v="2017-02-14T00:00:00"/>
    <d v="2017-03-31T00:00:00"/>
    <s v="Canberra Packard s.r.o."/>
    <n v="5618800"/>
    <n v="6798748"/>
    <x v="31"/>
    <m/>
    <d v="2017-05-23T00:00:00"/>
  </r>
  <r>
    <s v="VZ-2017-000055"/>
    <s v="ZT"/>
    <s v="Čech"/>
    <x v="107"/>
    <s v="38341600-3"/>
    <s v="2.3.132; 2.2.50; 2.3.134; 2.2.44;2.2.48; 2.2.49; 2.2.51/2016"/>
    <n v="3200000"/>
    <x v="3"/>
    <d v="2017-02-14T00:00:00"/>
    <d v="2017-03-21T00:00:00"/>
    <s v="Canberra Packard s.r.o."/>
    <n v="5309800"/>
    <n v="6424858"/>
    <x v="32"/>
    <m/>
    <d v="2017-05-11T00:00:00"/>
  </r>
  <r>
    <s v="VZ-2017-000058"/>
    <s v="DOPR"/>
    <s v="Solovská"/>
    <x v="108"/>
    <s v="48810000-9"/>
    <m/>
    <n v="580000"/>
    <x v="0"/>
    <d v="2017-02-07T00:00:00"/>
    <d v="2017-02-20T00:00:00"/>
    <s v="Ivo Bolcek"/>
    <n v="625000"/>
    <n v="756250"/>
    <x v="15"/>
    <s v="na dobu neurčitou"/>
    <d v="2017-04-18T00:00:00"/>
  </r>
  <r>
    <s v="VZ-2017-000063"/>
    <s v="LÉK"/>
    <s v="Ondráčková"/>
    <x v="109"/>
    <s v="33696500-0"/>
    <m/>
    <n v="8600000"/>
    <x v="1"/>
    <d v="2017-02-01T00:00:00"/>
    <d v="2017-03-09T00:00:00"/>
    <s v="zrušeno"/>
    <m/>
    <m/>
    <x v="0"/>
    <m/>
    <d v="2017-05-15T00:00:00"/>
  </r>
  <r>
    <s v="VZ-2017-000069"/>
    <s v="ZM "/>
    <s v="Čech"/>
    <x v="110"/>
    <s v="33731110-7 "/>
    <m/>
    <n v="26000000"/>
    <x v="1"/>
    <d v="2017-02-17T00:00:00"/>
    <d v="2017-03-29T00:00:00"/>
    <s v="zrušeno -  ani jedna nabídka"/>
    <m/>
    <m/>
    <x v="0"/>
    <m/>
    <d v="2017-03-31T00:00:00"/>
  </r>
  <r>
    <s v="VZ-2017-000076"/>
    <s v="ZT"/>
    <s v="Čech"/>
    <x v="111"/>
    <s v="33124120-2"/>
    <s v="2.3.101."/>
    <n v="2150000"/>
    <x v="1"/>
    <d v="2017-02-02T00:00:00"/>
    <d v="2017-03-14T00:00:00"/>
    <s v="EMS s.r.o."/>
    <n v="2352280"/>
    <n v="2846258.8"/>
    <x v="33"/>
    <m/>
    <d v="2017-05-25T00:00:00"/>
  </r>
  <r>
    <s v="VZ-2017-000076"/>
    <s v="ZT"/>
    <s v="Čech"/>
    <x v="112"/>
    <s v="33124120-2"/>
    <s v="2.2.59."/>
    <n v="330000"/>
    <x v="1"/>
    <d v="2017-02-02T00:00:00"/>
    <d v="2017-03-14T00:00:00"/>
    <s v="EMS s.r.o."/>
    <n v="429480"/>
    <n v="519670.8"/>
    <x v="33"/>
    <m/>
    <d v="2017-05-25T00:00:00"/>
  </r>
  <r>
    <s v="VZ-2017-000076"/>
    <s v="ZT"/>
    <s v="Čech"/>
    <x v="113"/>
    <s v="33124120-2"/>
    <s v="2.2.61."/>
    <n v="245000"/>
    <x v="1"/>
    <d v="2017-02-02T00:00:00"/>
    <d v="2017-03-14T00:00:00"/>
    <s v="EMS s.r.o."/>
    <n v="354580"/>
    <n v="429041.8"/>
    <x v="33"/>
    <m/>
    <d v="2017-05-25T00:00:00"/>
  </r>
  <r>
    <s v="VZ-2017-000077"/>
    <s v="OSB "/>
    <s v="Vaida"/>
    <x v="114"/>
    <s v="45454100-5"/>
    <s v="4.1.9. 2016"/>
    <n v="930000"/>
    <x v="0"/>
    <d v="2017-02-20T00:00:00"/>
    <d v="2017-03-06T00:00:00"/>
    <s v="Stavitelství Pospíšil"/>
    <n v="948624"/>
    <n v="1147835"/>
    <x v="34"/>
    <m/>
    <d v="2017-04-05T00:00:00"/>
  </r>
  <r>
    <s v="VZ-2017-000089"/>
    <s v="SERV"/>
    <s v="Zemánek"/>
    <x v="115"/>
    <s v="50421000-2"/>
    <m/>
    <n v="800000"/>
    <x v="0"/>
    <d v="2017-02-10T00:00:00"/>
    <d v="2017-02-27T00:00:00"/>
    <s v="BioVendor-Laboratorní medicína"/>
    <n v="759998.4"/>
    <n v="919598.06400000001"/>
    <x v="35"/>
    <s v="na dobu neurčitou"/>
    <d v="2017-04-06T00:00:00"/>
  </r>
  <r>
    <s v="VZ-2017-000090"/>
    <s v="SERV"/>
    <s v="Zemánek"/>
    <x v="116"/>
    <s v="50421000-2"/>
    <m/>
    <n v="1000000"/>
    <x v="0"/>
    <d v="2017-02-24T00:00:00"/>
    <d v="2017-03-10T00:00:00"/>
    <s v="zrušeno"/>
    <m/>
    <m/>
    <x v="0"/>
    <m/>
    <s v="xxx"/>
  </r>
  <r>
    <s v="VZ-2017-000091"/>
    <s v="SERV"/>
    <s v="Zemánek"/>
    <x v="117"/>
    <s v="50421000-2"/>
    <m/>
    <n v="3200000"/>
    <x v="3"/>
    <d v="2017-02-15T00:00:00"/>
    <d v="2017-03-07T00:00:00"/>
    <s v="Linet s.r.o."/>
    <n v="3168088"/>
    <n v="3758570.32"/>
    <x v="10"/>
    <s v="na dobu neurčitou"/>
    <d v="2017-04-13T00:00:00"/>
  </r>
  <r>
    <s v="VZ-2017-000095"/>
    <s v="OEC"/>
    <s v="Havlíček"/>
    <x v="118"/>
    <s v="79221000-9"/>
    <m/>
    <n v="500000"/>
    <x v="0"/>
    <d v="2017-02-10T00:00:00"/>
    <d v="2017-02-28T00:00:00"/>
    <s v="CGB Consult s.r.o."/>
    <n v="456000"/>
    <n v="551760"/>
    <x v="6"/>
    <d v="2021-04-30T00:00:00"/>
    <d v="2017-03-16T00:00:00"/>
  </r>
  <r>
    <s v="VZ-2017-000103"/>
    <s v="OSB "/>
    <s v="Vaida"/>
    <x v="119"/>
    <s v="71251000-2"/>
    <m/>
    <n v="300000"/>
    <x v="0"/>
    <d v="2017-02-20T00:00:00"/>
    <d v="2017-03-02T00:00:00"/>
    <s v="zrušeno"/>
    <m/>
    <m/>
    <x v="0"/>
    <m/>
    <s v="xxx"/>
  </r>
  <r>
    <s v="VZ-2017-000103"/>
    <s v="OSB "/>
    <s v="Vaida"/>
    <x v="120"/>
    <s v="71251000-2"/>
    <m/>
    <n v="300000"/>
    <x v="0"/>
    <d v="2017-02-20T00:00:00"/>
    <d v="2017-03-02T00:00:00"/>
    <s v="zrušeno"/>
    <m/>
    <m/>
    <x v="0"/>
    <m/>
    <s v="xxx"/>
  </r>
  <r>
    <s v="VZ-2017-000109"/>
    <s v="KVAL"/>
    <s v="Cahlíková"/>
    <x v="121"/>
    <s v="71900000-7"/>
    <m/>
    <n v="520000"/>
    <x v="0"/>
    <d v="2017-03-20T00:00:00"/>
    <d v="2017-03-28T00:00:00"/>
    <s v="Zdravotní ústav v Ostravě"/>
    <n v="446660"/>
    <n v="540458.6"/>
    <x v="31"/>
    <d v="2021-05-17T00:00:00"/>
    <d v="2017-05-19T00:00:00"/>
  </r>
  <r>
    <s v="VZ-2017-000112"/>
    <s v="ENERG"/>
    <s v="Eyer"/>
    <x v="122"/>
    <s v="79212200-5"/>
    <m/>
    <n v="300000"/>
    <x v="0"/>
    <d v="2017-03-08T00:00:00"/>
    <d v="2017-03-17T00:00:00"/>
    <s v="ENSYTRA s.r.o."/>
    <n v="189000"/>
    <n v="228690"/>
    <x v="36"/>
    <m/>
    <s v="xxx"/>
  </r>
  <r>
    <s v="VZ-2017-000113"/>
    <s v="ZT"/>
    <s v="Čech"/>
    <x v="123"/>
    <s v="33169100-3"/>
    <s v="2.3.187."/>
    <n v="2480000"/>
    <x v="3"/>
    <d v="2017-02-24T00:00:00"/>
    <d v="2017-04-03T00:00:00"/>
    <s v="zrušeno"/>
    <m/>
    <m/>
    <x v="0"/>
    <m/>
    <d v="2017-03-31T00:00:00"/>
  </r>
  <r>
    <s v="VZ-2017-000117"/>
    <s v="ZT"/>
    <s v="Čech"/>
    <x v="124"/>
    <s v="33182600-9"/>
    <s v="2.3.268"/>
    <n v="660000"/>
    <x v="0"/>
    <d v="2017-02-24T00:00:00"/>
    <d v="2017-03-10T00:00:00"/>
    <s v="VIVACOM s.r.o."/>
    <n v="572808"/>
    <n v="693097.68"/>
    <x v="37"/>
    <m/>
    <d v="2017-04-25T00:00:00"/>
  </r>
  <r>
    <s v="VZ-2017-000118"/>
    <s v="ZT"/>
    <s v="Čech"/>
    <x v="125"/>
    <s v="3312200-1"/>
    <s v="2.3.204"/>
    <n v="390000"/>
    <x v="0"/>
    <d v="2017-02-28T00:00:00"/>
    <d v="2017-03-13T00:00:00"/>
    <s v="CMI s.r.o."/>
    <n v="403160"/>
    <n v="487823.6"/>
    <x v="38"/>
    <m/>
    <s v="xxx"/>
  </r>
  <r>
    <s v="VZ-2017-000119"/>
    <s v="ZT"/>
    <s v="Čech"/>
    <x v="126"/>
    <s v="42131141-6"/>
    <m/>
    <n v="375000"/>
    <x v="0"/>
    <d v="2017-03-07T00:00:00"/>
    <d v="2017-03-17T00:00:00"/>
    <s v="VDI Metros "/>
    <n v="563294.9"/>
    <n v="681586.4"/>
    <x v="22"/>
    <m/>
    <s v="xxx"/>
  </r>
  <r>
    <s v="VZ-2017-000124"/>
    <s v="OSB "/>
    <s v="Vaida"/>
    <x v="127"/>
    <s v="45453000-7"/>
    <m/>
    <n v="3500000"/>
    <x v="0"/>
    <d v="2017-02-28T00:00:00"/>
    <d v="2017-03-07T00:00:00"/>
    <s v="zrušeno - ani jedna nabídka"/>
    <m/>
    <m/>
    <x v="0"/>
    <m/>
    <s v="xxx"/>
  </r>
  <r>
    <s v="VZ-2017-000125"/>
    <s v="OSB "/>
    <s v="Vaida"/>
    <x v="128"/>
    <s v="45453000-7"/>
    <m/>
    <n v="3500000"/>
    <x v="0"/>
    <d v="2017-02-28T00:00:00"/>
    <d v="2017-03-10T00:00:00"/>
    <s v="zrušeno"/>
    <m/>
    <m/>
    <x v="0"/>
    <m/>
    <s v="xxx"/>
  </r>
  <r>
    <s v="VZ-2017-000131"/>
    <s v="PROVOZ"/>
    <s v="Benešová"/>
    <x v="129"/>
    <s v="39314000-6"/>
    <s v="4.2.8."/>
    <n v="145000"/>
    <x v="0"/>
    <d v="2017-03-02T00:00:00"/>
    <d v="2017-03-13T00:00:00"/>
    <s v="Hospimed spol. s r.o."/>
    <n v="125052"/>
    <n v="151312.92000000001"/>
    <x v="34"/>
    <m/>
    <s v="xxx"/>
  </r>
  <r>
    <s v="VZ-2017-000131"/>
    <s v="PROVOZ"/>
    <s v="Benešová"/>
    <x v="130"/>
    <s v="39314000-6"/>
    <s v="4.2.10."/>
    <n v="128000"/>
    <x v="0"/>
    <d v="2017-03-02T00:00:00"/>
    <d v="2017-03-13T00:00:00"/>
    <s v="TREFA s.r.o."/>
    <n v="114900"/>
    <n v="139029"/>
    <x v="34"/>
    <m/>
    <s v="xxx"/>
  </r>
  <r>
    <s v="VZ-2017-000132"/>
    <s v="PROVOZ"/>
    <s v="Benešová"/>
    <x v="131"/>
    <s v="39314000-6"/>
    <s v="4.2.9."/>
    <n v="744000"/>
    <x v="0"/>
    <d v="2017-03-02T00:00:00"/>
    <d v="2017-03-15T00:00:00"/>
    <s v="Multi CZ s.r.o."/>
    <n v="623070"/>
    <n v="753914.7"/>
    <x v="22"/>
    <m/>
    <d v="2017-04-20T00:00:00"/>
  </r>
  <r>
    <s v="VZ-2017-000133"/>
    <s v="DOPR"/>
    <s v="Solovský"/>
    <x v="132"/>
    <s v="42415200-0"/>
    <s v="4.2.1."/>
    <n v="1470000"/>
    <x v="0"/>
    <d v="2017-03-01T00:00:00"/>
    <d v="2017-03-20T00:00:00"/>
    <s v="zrušeno"/>
    <m/>
    <m/>
    <x v="0"/>
    <m/>
    <s v="xxx"/>
  </r>
  <r>
    <s v="VZ-2017-000134"/>
    <s v="KOMSTYL"/>
    <s v="Havrlant"/>
    <x v="133"/>
    <s v="79800000-2"/>
    <m/>
    <n v="550000"/>
    <x v="0"/>
    <d v="2017-02-28T00:00:00"/>
    <d v="2017-03-06T00:00:00"/>
    <s v="Intergraf, s.r.o."/>
    <n v="424000"/>
    <n v="466400"/>
    <x v="39"/>
    <d v="2019-03-27T00:00:00"/>
    <d v="2017-03-29T00:00:00"/>
  </r>
  <r>
    <s v="VZ-2017-000143"/>
    <s v="IROP"/>
    <s v="Neudorflörová"/>
    <x v="134"/>
    <s v="33192120-9"/>
    <s v="2.3.255.;2.3.256"/>
    <n v="3901849"/>
    <x v="1"/>
    <d v="2017-03-08T00:00:00"/>
    <d v="2017-04-19T00:00:00"/>
    <s v="Linet s.r.o."/>
    <n v="3517773"/>
    <n v="4256505.33"/>
    <x v="40"/>
    <m/>
    <d v="2017-08-09T00:00:00"/>
  </r>
  <r>
    <s v="VZ-2017-000143"/>
    <s v="IROP"/>
    <s v="Neudorflörová"/>
    <x v="135"/>
    <s v="33192120-9"/>
    <s v="2.3.254."/>
    <n v="11705547"/>
    <x v="1"/>
    <d v="2017-03-08T00:00:00"/>
    <d v="2017-04-19T00:00:00"/>
    <s v="zrušeno"/>
    <m/>
    <m/>
    <x v="0"/>
    <m/>
    <d v="2017-06-26T00:00:00"/>
  </r>
  <r>
    <s v="VZ-2017-000153"/>
    <s v="INV"/>
    <s v="Junek"/>
    <x v="136"/>
    <s v="71000000-8 "/>
    <s v="1.3.10."/>
    <n v="1200000"/>
    <x v="0"/>
    <d v="2017-03-09T00:00:00"/>
    <d v="2017-03-16T00:00:00"/>
    <s v="PPS KANIA s.r.o."/>
    <n v="693000"/>
    <n v="838530"/>
    <x v="37"/>
    <m/>
    <d v="2017-04-21T00:00:00"/>
  </r>
  <r>
    <s v="VZ-2017-000154"/>
    <s v="DOPR"/>
    <s v="Solovský"/>
    <x v="137"/>
    <s v="34114110-3 "/>
    <s v="4.2.2."/>
    <n v="2730000"/>
    <x v="1"/>
    <d v="2017-03-15T00:00:00"/>
    <d v="2017-05-04T00:00:00"/>
    <s v="První chráněnná dílna"/>
    <n v="2876784"/>
    <n v="3480908.64"/>
    <x v="41"/>
    <m/>
    <d v="2017-06-16T00:00:00"/>
  </r>
  <r>
    <s v="VZ-2017-000154"/>
    <s v="DOPR"/>
    <s v="Solovský"/>
    <x v="138"/>
    <s v="34114110-3 "/>
    <s v="4.2.3."/>
    <n v="2480000"/>
    <x v="1"/>
    <d v="2017-03-15T00:00:00"/>
    <d v="2017-05-04T00:00:00"/>
    <s v="První chráněnná dílna"/>
    <n v="2753107"/>
    <n v="3331259.47"/>
    <x v="41"/>
    <m/>
    <d v="2017-06-16T00:00:00"/>
  </r>
  <r>
    <s v="VZ-2017-000155"/>
    <s v="OSB "/>
    <s v="Vaida"/>
    <x v="139"/>
    <s v="45453000-7"/>
    <m/>
    <n v="3500000"/>
    <x v="0"/>
    <d v="2017-03-10T00:00:00"/>
    <d v="2017-03-22T00:00:00"/>
    <s v="GATLIN s.r.o."/>
    <n v="3367611"/>
    <n v="4074809"/>
    <x v="26"/>
    <m/>
    <d v="2017-04-21T00:00:00"/>
  </r>
  <r>
    <s v="VZ-2017-000162"/>
    <s v="ZT"/>
    <s v="Čech"/>
    <x v="140"/>
    <s v="33195110-7"/>
    <s v="2.3.248.; 2.2.70."/>
    <n v="495000"/>
    <x v="0"/>
    <d v="2017-03-14T00:00:00"/>
    <d v="2017-03-24T00:00:00"/>
    <s v="zrušeno"/>
    <m/>
    <m/>
    <x v="0"/>
    <m/>
    <s v="xxx"/>
  </r>
  <r>
    <s v="VZ-2017-000169"/>
    <s v="OSB "/>
    <s v="Vaida"/>
    <x v="141"/>
    <s v="71251000-2"/>
    <m/>
    <n v="300000"/>
    <x v="0"/>
    <d v="2017-03-15T00:00:00"/>
    <d v="2017-03-27T00:00:00"/>
    <s v="Ing.arch. Jan Dohnal"/>
    <n v="159000"/>
    <n v="159000"/>
    <x v="37"/>
    <m/>
    <s v="xxx"/>
  </r>
  <r>
    <s v="VZ-2017-000170"/>
    <s v="OSB "/>
    <s v="Vaida"/>
    <x v="142"/>
    <s v="71251000-2"/>
    <m/>
    <n v="300000"/>
    <x v="0"/>
    <d v="2017-03-15T00:00:00"/>
    <d v="2017-03-27T00:00:00"/>
    <s v="Ing.arch. Jan Dohnal"/>
    <n v="185000"/>
    <n v="185000"/>
    <x v="42"/>
    <m/>
    <s v="xxx"/>
  </r>
  <r>
    <s v="VZ-2017-000179"/>
    <s v="ZT"/>
    <s v="Čech"/>
    <x v="143"/>
    <s v="33192410-9"/>
    <s v="2.3.251.; 2.3.252."/>
    <n v="1485000"/>
    <x v="0"/>
    <d v="2017-03-17T00:00:00"/>
    <d v="2017-03-28T00:00:00"/>
    <s v="SpofaDental a.s."/>
    <n v="926284"/>
    <n v="1120803.6399999999"/>
    <x v="36"/>
    <m/>
    <d v="2017-04-27T00:00:00"/>
  </r>
  <r>
    <s v="VZ-2017-000183"/>
    <s v="LÉK"/>
    <s v="Ondráčková"/>
    <x v="144"/>
    <s v="33652000-5"/>
    <m/>
    <n v="41132394.359999999"/>
    <x v="0"/>
    <d v="2017-03-24T00:00:00"/>
    <d v="2017-05-09T00:00:00"/>
    <s v="zrušeno"/>
    <m/>
    <m/>
    <x v="0"/>
    <m/>
    <d v="2017-06-13T00:00:00"/>
  </r>
  <r>
    <s v="VZ-2017-000183"/>
    <s v="LÉK"/>
    <s v="Ondráčková"/>
    <x v="145"/>
    <s v="33652000-5"/>
    <m/>
    <n v="64403700.939999998"/>
    <x v="0"/>
    <d v="2017-03-24T00:00:00"/>
    <d v="2017-05-09T00:00:00"/>
    <s v="ViaPharma s.r.o."/>
    <n v="8531382.8599999994"/>
    <n v="9384521.1459999997"/>
    <x v="43"/>
    <d v="2019-06-08T00:00:00"/>
    <d v="2017-06-13T00:00:00"/>
  </r>
  <r>
    <s v="VZ-2017-000184"/>
    <s v="ZT"/>
    <s v="Čech"/>
    <x v="146"/>
    <s v="38000000-5"/>
    <s v="2.3.225"/>
    <n v="535000"/>
    <x v="0"/>
    <d v="2017-03-20T00:00:00"/>
    <d v="2017-03-28T00:00:00"/>
    <s v="ZENA-R spol. s r.o."/>
    <n v="445500"/>
    <n v="539055"/>
    <x v="32"/>
    <m/>
    <d v="2017-05-09T00:00:00"/>
  </r>
  <r>
    <s v="VZ-2017-000193"/>
    <s v="OSB "/>
    <s v="Vaida"/>
    <x v="147"/>
    <s v="45442100-8"/>
    <m/>
    <n v="3500000"/>
    <x v="0"/>
    <d v="2017-03-30T00:00:00"/>
    <d v="2017-04-11T00:00:00"/>
    <s v="Stavnemo"/>
    <n v="4897769"/>
    <n v="5926300.4900000002"/>
    <x v="38"/>
    <d v="2019-05-31T00:00:00"/>
    <d v="2017-05-12T00:00:00"/>
  </r>
  <r>
    <s v="VZ-2017-000194"/>
    <s v="IT"/>
    <s v="Miklík"/>
    <x v="148"/>
    <s v="32428000-9"/>
    <m/>
    <n v="1900000"/>
    <x v="0"/>
    <d v="2017-04-07T00:00:00"/>
    <d v="2017-04-19T00:00:00"/>
    <s v="zrušeno"/>
    <m/>
    <m/>
    <x v="0"/>
    <m/>
    <s v="xxx"/>
  </r>
  <r>
    <s v="VZ-2017-000195"/>
    <s v="OSB "/>
    <s v="Vaida"/>
    <x v="149"/>
    <s v="45453000-7"/>
    <m/>
    <n v="3500000"/>
    <x v="0"/>
    <d v="2017-03-21T00:00:00"/>
    <d v="2017-03-31T00:00:00"/>
    <s v="zrušeno"/>
    <m/>
    <m/>
    <x v="0"/>
    <m/>
    <s v="xxx"/>
  </r>
  <r>
    <s v="VZ-2017-000197"/>
    <s v="LÉK"/>
    <s v="Ondráčková"/>
    <x v="150"/>
    <s v="33694000-1"/>
    <m/>
    <n v="193500"/>
    <x v="0"/>
    <d v="2017-03-22T00:00:00"/>
    <d v="2017-04-07T00:00:00"/>
    <s v="Biohem spol. s r.o."/>
    <n v="193500"/>
    <n v="234135"/>
    <x v="31"/>
    <m/>
    <s v="xxx"/>
  </r>
  <r>
    <s v="VZ-2017-000197"/>
    <s v="LÉK"/>
    <s v="Ondráčková"/>
    <x v="151"/>
    <s v="33694000-1"/>
    <m/>
    <n v="31200"/>
    <x v="0"/>
    <d v="2017-03-22T00:00:00"/>
    <d v="2017-04-07T00:00:00"/>
    <s v="Pentagen s.r.o."/>
    <n v="31200"/>
    <n v="37752"/>
    <x v="44"/>
    <m/>
    <s v="xxx"/>
  </r>
  <r>
    <s v="VZ-2017-000205"/>
    <s v="INV"/>
    <s v="Junek"/>
    <x v="152"/>
    <s v="71000000-8"/>
    <s v="1.3.11."/>
    <n v="2500000"/>
    <x v="3"/>
    <d v="2017-03-27T00:00:00"/>
    <d v="2017-04-18T00:00:00"/>
    <s v="Adam Rujbr Architects s.r.o."/>
    <n v="2488000"/>
    <n v="3010480"/>
    <x v="45"/>
    <m/>
    <d v="2017-07-10T00:00:00"/>
  </r>
  <r>
    <s v="VZ-2017-000206"/>
    <s v="LÉK"/>
    <s v="Ondráčková"/>
    <x v="153"/>
    <s v="33652000-5"/>
    <m/>
    <n v="1020387.53"/>
    <x v="1"/>
    <d v="2017-03-24T00:00:00"/>
    <d v="2017-05-02T00:00:00"/>
    <s v="zrušeno"/>
    <m/>
    <m/>
    <x v="0"/>
    <m/>
    <d v="2017-06-14T00:00:00"/>
  </r>
  <r>
    <s v="VZ-2017-000206"/>
    <s v="LÉK"/>
    <s v="Ondráčková"/>
    <x v="154"/>
    <s v="33652000-5"/>
    <m/>
    <n v="1816903.44"/>
    <x v="1"/>
    <d v="2017-03-24T00:00:00"/>
    <d v="2017-05-02T00:00:00"/>
    <s v="zrušeno"/>
    <m/>
    <m/>
    <x v="0"/>
    <m/>
    <d v="2017-06-14T00:00:00"/>
  </r>
  <r>
    <s v="VZ-2017-000206"/>
    <s v="LÉK"/>
    <s v="Ondráčková"/>
    <x v="155"/>
    <s v="33652000-5"/>
    <m/>
    <n v="1916448.3"/>
    <x v="1"/>
    <d v="2017-03-24T00:00:00"/>
    <d v="2017-05-02T00:00:00"/>
    <s v="Avenier a.s."/>
    <n v="1913615.7"/>
    <n v="2104977.27"/>
    <x v="46"/>
    <m/>
    <d v="2017-06-14T00:00:00"/>
  </r>
  <r>
    <s v="VZ-2017-000210"/>
    <s v="DOPR"/>
    <s v="Solovský"/>
    <x v="156"/>
    <s v="42415200-0"/>
    <s v="4.2.1."/>
    <n v="1470000"/>
    <x v="0"/>
    <d v="2017-03-24T00:00:00"/>
    <d v="2017-03-31T00:00:00"/>
    <s v="Agrotec a.s."/>
    <n v="1459000"/>
    <n v="1765390"/>
    <x v="47"/>
    <m/>
    <d v="2017-04-28T00:00:00"/>
  </r>
  <r>
    <s v="VZ-2017-000214"/>
    <s v="OPRAV"/>
    <s v="Srovnal"/>
    <x v="157"/>
    <s v="50400000-9"/>
    <m/>
    <n v="860000"/>
    <x v="0"/>
    <d v="2017-04-04T00:00:00"/>
    <d v="2017-04-12T00:00:00"/>
    <s v="Dräger Medical s.r.o."/>
    <n v="696620"/>
    <n v="842910.2"/>
    <x v="38"/>
    <m/>
    <d v="2017-05-15T00:00:00"/>
  </r>
  <r>
    <s v="VZ-2017-000214"/>
    <s v="OPRAV"/>
    <s v="Srovnal"/>
    <x v="158"/>
    <s v="50400000-9"/>
    <m/>
    <n v="100000"/>
    <x v="0"/>
    <d v="2017-04-04T00:00:00"/>
    <d v="2017-04-12T00:00:00"/>
    <s v="Dräger Medical s.r.o."/>
    <n v="68200"/>
    <n v="82522"/>
    <x v="38"/>
    <m/>
    <d v="2017-05-15T00:00:00"/>
  </r>
  <r>
    <s v="VZ-2017-000215"/>
    <s v="OPRAV"/>
    <s v="Srovnal"/>
    <x v="159"/>
    <s v="45333000-0"/>
    <s v="4.2.44.,4.2.45.,4.2.42.,4.2.43."/>
    <n v="3990000"/>
    <x v="0"/>
    <d v="2017-04-05T00:00:00"/>
    <d v="2017-04-19T00:00:00"/>
    <s v="Dräger Medical s.r.o."/>
    <n v="3175866"/>
    <n v="3842798"/>
    <x v="48"/>
    <m/>
    <d v="2017-05-30T00:00:00"/>
  </r>
  <r>
    <s v="VZ-2017-000224"/>
    <s v="OSB "/>
    <s v="Vaida"/>
    <x v="160"/>
    <s v="45453000-7"/>
    <m/>
    <n v="700000"/>
    <x v="0"/>
    <d v="2017-03-30T00:00:00"/>
    <d v="2017-04-10T00:00:00"/>
    <s v="zrušeno"/>
    <m/>
    <m/>
    <x v="0"/>
    <m/>
    <s v="xxx"/>
  </r>
  <r>
    <s v="VZ-2017-000234"/>
    <s v="OPRAV"/>
    <s v="Srovnal"/>
    <x v="161"/>
    <s v="42513290-4 "/>
    <s v="4.2.29.-4.2.32."/>
    <n v="6670000"/>
    <x v="1"/>
    <d v="2017-03-29T00:00:00"/>
    <d v="2017-05-09T00:00:00"/>
    <s v="Climart"/>
    <n v="3693458"/>
    <n v="4469084.18"/>
    <x v="49"/>
    <m/>
    <d v="2017-06-21T00:00:00"/>
  </r>
  <r>
    <s v="VZ-2017-000241"/>
    <s v="INF"/>
    <s v="Marek"/>
    <x v="162"/>
    <s v="48814000-7"/>
    <s v="3.3.7."/>
    <n v="14900000"/>
    <x v="1"/>
    <d v="2017-04-24T00:00:00"/>
    <d v="2017-06-14T00:00:00"/>
    <s v="OR-CZ spol. s r.o."/>
    <n v="7758000"/>
    <n v="9387180"/>
    <x v="50"/>
    <m/>
    <d v="2017-12-19T00:00:00"/>
  </r>
  <r>
    <s v="VZ-2017-000244"/>
    <s v="ZM "/>
    <s v="Čech"/>
    <x v="163"/>
    <s v="33731110-7 "/>
    <m/>
    <n v="26000000"/>
    <x v="1"/>
    <d v="2017-04-03T00:00:00"/>
    <d v="2017-05-10T00:00:00"/>
    <s v="Alcon Pharmaceuticals"/>
    <n v="25438500"/>
    <n v="29254274.999999996"/>
    <x v="51"/>
    <s v="doba neurčitá"/>
    <d v="2017-07-03T00:00:00"/>
  </r>
  <r>
    <s v="VZ-2017-000252"/>
    <s v="OSB "/>
    <s v="Vaida"/>
    <x v="164"/>
    <s v="50850000-8"/>
    <m/>
    <n v="1200000"/>
    <x v="0"/>
    <d v="2017-04-07T00:00:00"/>
    <d v="2017-04-20T00:00:00"/>
    <s v="JeS Interier Jevgenij Salašnyj"/>
    <n v="670630"/>
    <n v="811462.29999999993"/>
    <x v="52"/>
    <d v="2019-05-31T00:00:00"/>
    <d v="2017-05-09T00:00:00"/>
  </r>
  <r>
    <s v="VZ-2017-000253"/>
    <s v="IROP"/>
    <s v="Neudorflörová"/>
    <x v="165"/>
    <s v="33191100-6"/>
    <s v="2.3.264."/>
    <n v="2876848.76"/>
    <x v="1"/>
    <d v="2017-04-05T00:00:00"/>
    <d v="2017-05-18T00:00:00"/>
    <s v="BMT Medical Technology s.r.o."/>
    <n v="2845552"/>
    <n v="3443117.92"/>
    <x v="53"/>
    <m/>
    <d v="2017-07-14T00:00:00"/>
  </r>
  <r>
    <s v="VZ-2017-000255"/>
    <s v="IROP"/>
    <s v="Neudorflörová"/>
    <x v="166"/>
    <s v="33192340-7"/>
    <s v="2.3.263."/>
    <n v="4238343.8"/>
    <x v="1"/>
    <d v="2017-04-05T00:00:00"/>
    <d v="2017-05-16T00:00:00"/>
    <s v="AKC konstrukce s.r.o."/>
    <n v="2976000"/>
    <n v="3600960"/>
    <x v="53"/>
    <m/>
    <d v="2017-07-14T00:00:00"/>
  </r>
  <r>
    <s v="VZ-2017-000257"/>
    <s v="SERV"/>
    <s v="Zemánek"/>
    <x v="167"/>
    <s v="50421000-2"/>
    <m/>
    <n v="600000"/>
    <x v="0"/>
    <d v="2017-04-11T00:00:00"/>
    <d v="2017-04-27T00:00:00"/>
    <s v="zrušeno"/>
    <m/>
    <m/>
    <x v="0"/>
    <m/>
    <s v="xxx"/>
  </r>
  <r>
    <s v="VZ-2017-000258"/>
    <s v="SERV"/>
    <s v="Zemánek"/>
    <x v="168"/>
    <s v="50421000-2"/>
    <m/>
    <n v="920000"/>
    <x v="0"/>
    <d v="2017-04-07T00:00:00"/>
    <d v="2017-04-20T00:00:00"/>
    <s v="zrušeno"/>
    <m/>
    <m/>
    <x v="0"/>
    <m/>
    <s v="xxx"/>
  </r>
  <r>
    <s v="VZ-2017-000260"/>
    <s v="SERV"/>
    <s v="Zemánek"/>
    <x v="169"/>
    <s v="50400000-9"/>
    <m/>
    <n v="480000"/>
    <x v="0"/>
    <d v="2017-04-21T00:00:00"/>
    <d v="2017-05-04T00:00:00"/>
    <s v="Prodispa s.r.o."/>
    <n v="61200"/>
    <n v="74052"/>
    <x v="54"/>
    <m/>
    <s v="xxx"/>
  </r>
  <r>
    <s v="VZ-2017-000261"/>
    <s v="SERV"/>
    <s v="Zemánek"/>
    <x v="170"/>
    <s v="50400000-9"/>
    <m/>
    <n v="880000"/>
    <x v="0"/>
    <d v="2017-04-21T00:00:00"/>
    <d v="2017-05-04T00:00:00"/>
    <s v="zrušeno"/>
    <m/>
    <m/>
    <x v="0"/>
    <m/>
    <s v="xxx"/>
  </r>
  <r>
    <s v="VZ-2017-000262"/>
    <s v="OPRAV"/>
    <s v="Srovnal"/>
    <x v="171"/>
    <s v="71320000-7"/>
    <s v="4.2.34.;4.2.35."/>
    <n v="450000"/>
    <x v="0"/>
    <d v="2017-04-19T00:00:00"/>
    <d v="2017-04-28T00:00:00"/>
    <s v="Ing. Zdeněk Smolka"/>
    <n v="272400"/>
    <n v="272400"/>
    <x v="55"/>
    <m/>
    <s v="xxx"/>
  </r>
  <r>
    <s v="VZ-2017-000272"/>
    <s v="OSB "/>
    <s v="Vaida"/>
    <x v="172"/>
    <s v="45430000-0"/>
    <m/>
    <n v="450000"/>
    <x v="0"/>
    <d v="2017-04-10T00:00:00"/>
    <d v="2017-04-26T00:00:00"/>
    <s v="Stavona Olomouc s.r.o."/>
    <n v="311985"/>
    <n v="377501.85"/>
    <x v="56"/>
    <m/>
    <s v="xxx"/>
  </r>
  <r>
    <s v="VZ-2017-000277"/>
    <s v="OSB "/>
    <s v="Vaida"/>
    <x v="173"/>
    <s v="45432110-8"/>
    <m/>
    <n v="500000"/>
    <x v="0"/>
    <d v="2017-04-11T00:00:00"/>
    <d v="2017-04-20T00:00:00"/>
    <s v="zrušeno"/>
    <m/>
    <m/>
    <x v="0"/>
    <m/>
    <s v="xxx"/>
  </r>
  <r>
    <s v="VZ-2017-000278"/>
    <s v="ZT"/>
    <s v="Čech"/>
    <x v="174"/>
    <s v="38000000-5 "/>
    <m/>
    <n v="450000"/>
    <x v="1"/>
    <d v="2017-04-25T00:00:00"/>
    <d v="2017-06-05T00:00:00"/>
    <s v="Canberra Packard s.r.o."/>
    <n v="639800"/>
    <n v="774158"/>
    <x v="57"/>
    <m/>
    <d v="2017-07-07T00:00:00"/>
  </r>
  <r>
    <s v="VZ-2017-000280"/>
    <s v="ZT"/>
    <s v="Čech"/>
    <x v="175"/>
    <s v="33162100-4"/>
    <s v="2.3.203."/>
    <n v="3900000"/>
    <x v="1"/>
    <d v="2017-04-13T00:00:00"/>
    <d v="2017-05-25T00:00:00"/>
    <s v="Spirit Medical spol. s r.o."/>
    <n v="3504880"/>
    <n v="4234605"/>
    <x v="58"/>
    <m/>
    <d v="2017-07-13T00:00:00"/>
  </r>
  <r>
    <s v="VZ-2017-000282"/>
    <s v="INV"/>
    <s v="Gottwald"/>
    <x v="176"/>
    <s v="45453000-7"/>
    <s v="1.3.9."/>
    <n v="30000000"/>
    <x v="3"/>
    <d v="2017-04-26T00:00:00"/>
    <d v="2017-05-18T00:00:00"/>
    <s v="OHL ŽS a.s."/>
    <n v="28933999.07"/>
    <n v="35010138.869999997"/>
    <x v="59"/>
    <m/>
    <d v="2017-07-12T00:00:00"/>
  </r>
  <r>
    <s v="VZ-2017-000298"/>
    <s v="ZT"/>
    <s v="Čech"/>
    <x v="177"/>
    <s v="38000000-5"/>
    <s v="2.3.175.;2.3.176."/>
    <n v="1850000"/>
    <x v="3"/>
    <d v="2017-04-21T00:00:00"/>
    <d v="2017-05-17T00:00:00"/>
    <s v="Becton Dickinson Czechia s.r.o."/>
    <n v="1938840"/>
    <n v="2345996.4"/>
    <x v="51"/>
    <m/>
    <d v="2017-07-07T00:00:00"/>
  </r>
  <r>
    <s v="VZ-2017-000298"/>
    <s v="ZT"/>
    <s v="Čech"/>
    <x v="178"/>
    <s v="38000000-5"/>
    <s v="2.3.175.;2.3.176."/>
    <n v="795000"/>
    <x v="3"/>
    <d v="2017-04-21T00:00:00"/>
    <d v="2017-05-17T00:00:00"/>
    <s v="Becton Dickinson Czechia s.r.o."/>
    <n v="843840"/>
    <n v="1021046.4"/>
    <x v="51"/>
    <m/>
    <d v="2017-07-07T00:00:00"/>
  </r>
  <r>
    <s v="VZ-2017-000299"/>
    <s v="OSB "/>
    <s v="Vaida"/>
    <x v="179"/>
    <s v="45453000-7"/>
    <s v="1.2.50."/>
    <n v="4300000"/>
    <x v="0"/>
    <d v="2017-04-21T00:00:00"/>
    <d v="2017-05-04T00:00:00"/>
    <s v="OHL ŽS a.s."/>
    <n v="4206935.4000000004"/>
    <n v="5090391.8340000007"/>
    <x v="60"/>
    <m/>
    <d v="2017-06-15T00:00:00"/>
  </r>
  <r>
    <s v="VZ-2017-000300"/>
    <s v="OSB "/>
    <s v="Vaida"/>
    <x v="180"/>
    <s v="45453000-7"/>
    <m/>
    <n v="900000"/>
    <x v="0"/>
    <d v="2017-04-21T00:00:00"/>
    <d v="2017-05-04T00:00:00"/>
    <s v="Stavitelství Pospíšil s.r.o."/>
    <n v="883167"/>
    <n v="1068632"/>
    <x v="54"/>
    <m/>
    <d v="2017-06-06T00:00:00"/>
  </r>
  <r>
    <s v="VZ-2017-000301"/>
    <s v="BOZP"/>
    <s v="Kotzot"/>
    <x v="181"/>
    <s v="50413200-5 "/>
    <m/>
    <n v="360000"/>
    <x v="0"/>
    <d v="2017-04-26T00:00:00"/>
    <d v="2017-05-09T00:00:00"/>
    <s v="PERFECTED s.r.o."/>
    <n v="241340"/>
    <n v="292021.39999999997"/>
    <x v="46"/>
    <m/>
    <s v="xxx"/>
  </r>
  <r>
    <s v="VZ-2017-000305"/>
    <s v="OPRAV"/>
    <s v="Srovnal"/>
    <x v="182"/>
    <s v="39717200-3"/>
    <s v="4.2.36; 4.2.37"/>
    <n v="480000"/>
    <x v="0"/>
    <d v="2017-04-27T00:00:00"/>
    <d v="2017-05-10T00:00:00"/>
    <s v="Thermo spol. s r.o."/>
    <n v="355096"/>
    <n v="429666"/>
    <x v="56"/>
    <m/>
    <s v="xxx"/>
  </r>
  <r>
    <s v="VZ-2017-000317"/>
    <s v="INF"/>
    <s v="Oravec"/>
    <x v="183"/>
    <s v="30231310-3 "/>
    <m/>
    <n v="720000"/>
    <x v="0"/>
    <d v="2017-05-04T00:00:00"/>
    <d v="2017-05-16T00:00:00"/>
    <s v="AutoCont CZ a.s."/>
    <n v="653040"/>
    <n v="790250"/>
    <x v="61"/>
    <m/>
    <d v="2017-06-02T00:00:00"/>
  </r>
  <r>
    <s v="VZ-2017-000320"/>
    <s v="OPRAV"/>
    <s v="Srovnal"/>
    <x v="184"/>
    <s v="42514310-8"/>
    <m/>
    <n v="500000"/>
    <x v="0"/>
    <d v="2017-05-05T00:00:00"/>
    <d v="2017-05-15T00:00:00"/>
    <s v="KS Klima - Service a.s."/>
    <n v="335118"/>
    <n v="405492.77999999997"/>
    <x v="43"/>
    <m/>
    <d v="2017-06-09T00:00:00"/>
  </r>
  <r>
    <s v="VZ-2017-000332"/>
    <s v="OSB "/>
    <s v="Vaida"/>
    <x v="185"/>
    <s v="45432110-8"/>
    <m/>
    <n v="500000"/>
    <x v="0"/>
    <d v="2017-05-15T00:00:00"/>
    <d v="2017-05-23T00:00:00"/>
    <s v="Assa Abloy s.r.o."/>
    <n v="459410"/>
    <n v="555887"/>
    <x v="62"/>
    <m/>
    <d v="2017-06-27T00:00:00"/>
  </r>
  <r>
    <s v="VZ-2017-000336"/>
    <s v="OPRAV"/>
    <s v="Srovnal"/>
    <x v="186"/>
    <s v="50750000-7"/>
    <m/>
    <n v="1800000"/>
    <x v="0"/>
    <d v="2017-05-17T00:00:00"/>
    <d v="2017-05-25T00:00:00"/>
    <s v="Liftmont s.r.o."/>
    <n v="384555.12"/>
    <n v="465311.7"/>
    <x v="45"/>
    <m/>
    <d v="2017-07-13T00:00:00"/>
  </r>
  <r>
    <s v="VZ-2017-000344"/>
    <s v="ENERG"/>
    <s v="Urbiš"/>
    <x v="187"/>
    <s v="45262610-0"/>
    <s v="4.2.17."/>
    <n v="620000"/>
    <x v="0"/>
    <d v="2017-05-24T00:00:00"/>
    <d v="2017-06-13T00:00:00"/>
    <s v="Bosch Termotechnika s.r.o."/>
    <n v="1711800"/>
    <n v="2071278"/>
    <x v="63"/>
    <m/>
    <d v="2017-07-20T00:00:00"/>
  </r>
  <r>
    <s v="VZ-2017-000350"/>
    <s v="ZT"/>
    <s v="Čech"/>
    <x v="188"/>
    <s v="33123200-0"/>
    <s v="viz. IP"/>
    <n v="1750000"/>
    <x v="0"/>
    <d v="2017-05-18T00:00:00"/>
    <d v="2017-05-30T00:00:00"/>
    <s v="BTL zdrav. technika a.s."/>
    <n v="1737150"/>
    <n v="2101951.5"/>
    <x v="64"/>
    <m/>
    <d v="2017-07-26T00:00:00"/>
  </r>
  <r>
    <s v="VZ-2017-000352"/>
    <s v="ZT"/>
    <s v="Čech"/>
    <x v="189"/>
    <s v="33182210-4"/>
    <s v="2.3.243."/>
    <n v="395000"/>
    <x v="0"/>
    <d v="2017-05-19T00:00:00"/>
    <d v="2017-06-07T00:00:00"/>
    <s v="zrušeno"/>
    <m/>
    <m/>
    <x v="0"/>
    <m/>
    <s v="xxx"/>
  </r>
  <r>
    <s v="VZ-2017-000353"/>
    <s v="ZT "/>
    <s v="Čech"/>
    <x v="190"/>
    <s v="42931100-2"/>
    <s v="2.3.227.;2.3.201.;2.3.226.;2.3.192."/>
    <n v="965000"/>
    <x v="0"/>
    <d v="2017-05-19T00:00:00"/>
    <d v="2017-06-07T00:00:00"/>
    <s v="Unimed Praha s.r.o."/>
    <n v="513522"/>
    <n v="621361.62"/>
    <x v="65"/>
    <m/>
    <d v="2017-09-13T00:00:00"/>
  </r>
  <r>
    <s v="VZ-2017-000357"/>
    <s v="OSB "/>
    <s v="Vaida"/>
    <x v="191"/>
    <s v="45453000-7"/>
    <m/>
    <n v="1200000"/>
    <x v="0"/>
    <d v="2017-05-19T00:00:00"/>
    <d v="2017-05-30T00:00:00"/>
    <s v="Stavitelství Pospíšil s.r.o."/>
    <n v="1597157"/>
    <n v="1932559.97"/>
    <x v="57"/>
    <m/>
    <d v="2017-06-30T00:00:00"/>
  </r>
  <r>
    <s v="VZ-2017-000358"/>
    <s v="OSB "/>
    <s v="Vaida"/>
    <x v="192"/>
    <s v="45453000-7"/>
    <s v="4.3.5."/>
    <n v="3300000"/>
    <x v="0"/>
    <d v="2017-05-24T00:00:00"/>
    <d v="2017-06-05T00:00:00"/>
    <s v="Stavitelství Pospíšil s.r.o."/>
    <n v="5521389"/>
    <n v="6680881"/>
    <x v="62"/>
    <m/>
    <d v="2017-06-26T00:00:00"/>
  </r>
  <r>
    <s v="VZ-2017-000367"/>
    <s v="INF"/>
    <s v="Marek"/>
    <x v="193"/>
    <s v="72261000-2 "/>
    <m/>
    <n v="290000"/>
    <x v="0"/>
    <d v="2017-05-29T00:00:00"/>
    <d v="2017-06-08T00:00:00"/>
    <s v="Mediso Art s.r.o."/>
    <n v="342000"/>
    <n v="413820"/>
    <x v="45"/>
    <m/>
    <s v="xxx"/>
  </r>
  <r>
    <s v="VZ-2017-000369"/>
    <s v="INF"/>
    <s v="Marek"/>
    <x v="194"/>
    <s v="72268000-1"/>
    <m/>
    <n v="27275000"/>
    <x v="1"/>
    <d v="2017-05-25T00:00:00"/>
    <d v="2017-07-13T00:00:00"/>
    <s v="SoftwareOne Czech Rep. s.r.o."/>
    <n v="26996343"/>
    <n v="32665575.029999997"/>
    <x v="66"/>
    <m/>
    <d v="2017-08-21T00:00:00"/>
  </r>
  <r>
    <s v="VZ-2017-000370"/>
    <s v="SERV"/>
    <s v="Zemánek"/>
    <x v="195"/>
    <s v="50421000-2"/>
    <m/>
    <n v="800000"/>
    <x v="0"/>
    <d v="2017-05-22T00:00:00"/>
    <d v="2017-06-01T00:00:00"/>
    <s v="Schafferová s.r.o."/>
    <n v="138060"/>
    <n v="167052.6"/>
    <x v="57"/>
    <s v="doba neurčitá"/>
    <d v="2017-06-30T00:00:00"/>
  </r>
  <r>
    <s v="VZ-2017-000377"/>
    <s v="ZT"/>
    <s v="Čech"/>
    <x v="196"/>
    <s v="33168000-5"/>
    <s v="2.2.37;2.2.38;2.2.39"/>
    <n v="300000"/>
    <x v="0"/>
    <d v="2017-05-26T00:00:00"/>
    <d v="2017-06-07T00:00:00"/>
    <s v="B. Braun Medical  s.r.o."/>
    <n v="298409"/>
    <n v="361074.89"/>
    <x v="63"/>
    <m/>
    <s v="xxx"/>
  </r>
  <r>
    <s v="VZ-2017-000378"/>
    <s v="ZT"/>
    <s v="Čech"/>
    <x v="197"/>
    <s v="33121300-7 "/>
    <s v="2.3.244."/>
    <n v="990000"/>
    <x v="0"/>
    <d v="2017-05-26T00:00:00"/>
    <d v="2017-06-07T00:00:00"/>
    <s v="Allien Technik s.r.o."/>
    <n v="693024.2"/>
    <n v="839089.3"/>
    <x v="63"/>
    <m/>
    <d v="2017-07-18T00:00:00"/>
  </r>
  <r>
    <s v="VZ-2017-000379"/>
    <s v="ZT"/>
    <s v="Čech"/>
    <x v="198"/>
    <s v="33162100-4 "/>
    <s v="2.3.250."/>
    <n v="455000"/>
    <x v="0"/>
    <d v="2017-06-30T00:00:00"/>
    <d v="2017-06-08T00:00:00"/>
    <s v="zrušeno"/>
    <m/>
    <m/>
    <x v="0"/>
    <m/>
    <s v="xxx"/>
  </r>
  <r>
    <s v="VZ-2017-000380"/>
    <s v="ZT"/>
    <s v="Čech"/>
    <x v="199"/>
    <s v="33192300-5"/>
    <s v="2.2.99."/>
    <n v="400000"/>
    <x v="0"/>
    <d v="2017-05-26T00:00:00"/>
    <d v="2017-06-07T00:00:00"/>
    <s v="CHIS, s.r.o."/>
    <n v="316120"/>
    <n v="382505.2"/>
    <x v="67"/>
    <m/>
    <s v="xxx"/>
  </r>
  <r>
    <s v="VZ-2017-000385"/>
    <s v="ZT"/>
    <s v="Čech"/>
    <x v="200"/>
    <s v="33195110-7"/>
    <s v="2.3.248.;2.2.70."/>
    <n v="640000"/>
    <x v="0"/>
    <d v="2017-05-26T00:00:00"/>
    <d v="2017-06-08T00:00:00"/>
    <s v="ASCOMED s.r.o."/>
    <n v="1045356"/>
    <n v="1264880.76"/>
    <x v="58"/>
    <m/>
    <d v="2017-07-07T00:00:00"/>
  </r>
  <r>
    <s v="VZ-2017-000397"/>
    <s v="ZT"/>
    <s v="Čech"/>
    <x v="201"/>
    <s v="39711100-0"/>
    <s v="2.2.101-103,228-231,"/>
    <n v="365000"/>
    <x v="0"/>
    <d v="2017-05-31T00:00:00"/>
    <d v="2017-06-20T00:00:00"/>
    <s v="zrušeno"/>
    <m/>
    <m/>
    <x v="0"/>
    <m/>
    <s v="xxx"/>
  </r>
  <r>
    <s v="VZ-2017-000397"/>
    <s v="ZT"/>
    <s v="Čech"/>
    <x v="202"/>
    <s v="39711100-0"/>
    <s v="2.2.101-103,228-231,"/>
    <n v="300000"/>
    <x v="0"/>
    <d v="2017-05-31T00:00:00"/>
    <d v="2017-06-20T00:00:00"/>
    <s v="Schoeller Instruments s.r.o."/>
    <n v="384220"/>
    <n v="464906.2"/>
    <x v="65"/>
    <m/>
    <d v="2017-09-12T00:00:00"/>
  </r>
  <r>
    <s v="VZ-2017-000397"/>
    <s v="ZT"/>
    <s v="Čech"/>
    <x v="203"/>
    <s v="39711100-0"/>
    <s v="2.2.101-103,228-231,"/>
    <n v="300000"/>
    <x v="0"/>
    <d v="2017-05-31T00:00:00"/>
    <d v="2017-06-20T00:00:00"/>
    <s v="KRD s.r.o."/>
    <n v="681635"/>
    <n v="824778.35"/>
    <x v="68"/>
    <m/>
    <d v="2017-09-18T00:00:00"/>
  </r>
  <r>
    <s v="VZ-2017-000398"/>
    <s v="ELZAR"/>
    <s v="Žůrek"/>
    <x v="204"/>
    <s v="34923000-3"/>
    <s v="4.3.1."/>
    <n v="8450000"/>
    <x v="1"/>
    <d v="2017-05-30T00:00:00"/>
    <d v="2017-07-10T00:00:00"/>
    <s v="První chráněnná dílna"/>
    <n v="8400000"/>
    <n v="10164000"/>
    <x v="69"/>
    <m/>
    <d v="2017-10-04T00:00:00"/>
  </r>
  <r>
    <s v="VZ-2017-000399"/>
    <s v="LÉK"/>
    <s v="Ondráčková"/>
    <x v="205"/>
    <s v="33621300-2"/>
    <m/>
    <n v="2800423.66"/>
    <x v="1"/>
    <d v="2017-05-31T00:00:00"/>
    <d v="2017-07-27T00:00:00"/>
    <s v="zrušeno"/>
    <m/>
    <m/>
    <x v="0"/>
    <m/>
    <d v="2017-07-31T00:00:00"/>
  </r>
  <r>
    <s v="VZ-2017-000399"/>
    <s v="LÉK"/>
    <s v="Ondráčková"/>
    <x v="206"/>
    <s v="33621300-2"/>
    <m/>
    <n v="1373817.6"/>
    <x v="1"/>
    <d v="2017-05-31T00:00:00"/>
    <d v="2017-07-27T00:00:00"/>
    <s v="Amgen s.r.o."/>
    <n v="1373817.6"/>
    <n v="1511199.36"/>
    <x v="70"/>
    <d v="2019-09-06T00:00:00"/>
    <d v="2017-09-11T00:00:00"/>
  </r>
  <r>
    <s v="VZ-2017-000399"/>
    <s v="LÉK"/>
    <s v="Ondráčková"/>
    <x v="207"/>
    <s v="33621300-2"/>
    <m/>
    <n v="4822804.8"/>
    <x v="1"/>
    <d v="2017-05-31T00:00:00"/>
    <d v="2017-07-27T00:00:00"/>
    <s v="Promedica Praha Group, a.s."/>
    <n v="4822804.8"/>
    <n v="5305085.28"/>
    <x v="70"/>
    <d v="2018-04-01T00:00:00"/>
    <d v="2017-09-11T00:00:00"/>
  </r>
  <r>
    <s v="VZ-2017-000399"/>
    <s v="LÉK"/>
    <s v="Ondráčková"/>
    <x v="208"/>
    <s v="33621300-2"/>
    <m/>
    <n v="953125.92"/>
    <x v="1"/>
    <d v="2017-05-31T00:00:00"/>
    <d v="2017-07-27T00:00:00"/>
    <s v="zrušeno"/>
    <m/>
    <m/>
    <x v="0"/>
    <m/>
    <d v="2017-07-31T00:00:00"/>
  </r>
  <r>
    <s v="VZ-2017-000408"/>
    <s v="ZT"/>
    <s v="Čech"/>
    <x v="209"/>
    <s v="33169100-3"/>
    <s v="2.3.187."/>
    <n v="2480000"/>
    <x v="3"/>
    <d v="2017-06-01T00:00:00"/>
    <d v="2017-06-22T00:00:00"/>
    <s v="Hospimed spol. s r.o."/>
    <n v="1795080"/>
    <n v="2172046.7999999998"/>
    <x v="65"/>
    <m/>
    <d v="2017-09-15T00:00:00"/>
  </r>
  <r>
    <s v="VZ-2017-000411"/>
    <s v="OSB "/>
    <s v="Vaida"/>
    <x v="210"/>
    <s v="45453000-7"/>
    <m/>
    <n v="450000"/>
    <x v="0"/>
    <d v="2017-06-01T00:00:00"/>
    <d v="2017-06-09T00:00:00"/>
    <s v="A-Z stavby s.r.o."/>
    <n v="666853.41"/>
    <n v="806892.62609999999"/>
    <x v="71"/>
    <m/>
    <d v="2017-07-03T00:00:00"/>
  </r>
  <r>
    <s v="VZ-2017-000412"/>
    <s v="INF"/>
    <s v="Oravec"/>
    <x v="211"/>
    <s v="48823000-3"/>
    <s v="3.2.19."/>
    <n v="3015000"/>
    <x v="1"/>
    <d v="2017-06-14T00:00:00"/>
    <d v="2017-07-12T00:00:00"/>
    <s v="Merit Group a.s."/>
    <n v="2893356"/>
    <n v="3500960.76"/>
    <x v="72"/>
    <m/>
    <d v="2017-10-10T00:00:00"/>
  </r>
  <r>
    <s v="VZ-2017-000414"/>
    <s v="OPRAV"/>
    <s v="Srovnal"/>
    <x v="212"/>
    <s v="42416100-6 "/>
    <s v="4.2.47.;4.2.48."/>
    <n v="1900000"/>
    <x v="0"/>
    <d v="2017-06-13T00:00:00"/>
    <d v="2017-07-07T00:00:00"/>
    <s v="Liftmont s.r.o."/>
    <n v="1060000"/>
    <n v="1282600"/>
    <x v="73"/>
    <m/>
    <d v="2017-08-17T00:00:00"/>
  </r>
  <r>
    <s v="VZ-2017-000417"/>
    <s v="OPRAV"/>
    <s v="Srovnal"/>
    <x v="213"/>
    <s v="33190000-8"/>
    <s v="4.2.40."/>
    <n v="540000"/>
    <x v="0"/>
    <d v="2017-06-08T00:00:00"/>
    <d v="2017-06-22T00:00:00"/>
    <s v="MZ Liberec a.s."/>
    <n v="421309"/>
    <n v="509783.89"/>
    <x v="74"/>
    <m/>
    <d v="2017-08-09T00:00:00"/>
  </r>
  <r>
    <s v="VZ-2017-000418"/>
    <s v="EKOL"/>
    <s v="Dudík"/>
    <x v="214"/>
    <s v="65100000-4"/>
    <s v="4.3.7."/>
    <n v="1990000"/>
    <x v="0"/>
    <d v="2017-10-17T00:00:00"/>
    <d v="2017-11-26T00:00:00"/>
    <s v="AQUA Cleer, s.r.o."/>
    <n v="1782746"/>
    <n v="2157123"/>
    <x v="0"/>
    <m/>
    <m/>
  </r>
  <r>
    <s v="VZ-2017-000421"/>
    <s v="OPRAV"/>
    <s v="Srovnal"/>
    <x v="215"/>
    <s v="42163000-9"/>
    <s v="4.1.17."/>
    <n v="1529000"/>
    <x v="0"/>
    <d v="2017-06-08T00:00:00"/>
    <d v="2017-06-20T00:00:00"/>
    <s v="SCHIFF und STERN, spol. s r.o."/>
    <n v="1430000"/>
    <n v="1730300"/>
    <x v="75"/>
    <m/>
    <d v="2017-07-18T00:00:00"/>
  </r>
  <r>
    <s v="VZ-2017-000422"/>
    <s v="ZT"/>
    <s v="Čech"/>
    <x v="216"/>
    <s v="33111400-5"/>
    <s v="2.3.183.;2.3.217."/>
    <n v="11320000"/>
    <x v="1"/>
    <d v="2017-06-08T00:00:00"/>
    <d v="2017-07-17T00:00:00"/>
    <s v="Siemens Healthcare, s.r.o."/>
    <n v="6870870"/>
    <n v="8313752.7000000002"/>
    <x v="76"/>
    <m/>
    <d v="2017-10-16T00:00:00"/>
  </r>
  <r>
    <s v="VZ-2017-000422"/>
    <s v="ZT"/>
    <s v="Čech"/>
    <x v="217"/>
    <s v="33111400-5"/>
    <s v="2.3.183.;2.3.217."/>
    <n v="8840000"/>
    <x v="1"/>
    <d v="2017-06-08T00:00:00"/>
    <d v="2017-07-17T00:00:00"/>
    <s v="Exray s.r.o."/>
    <n v="5485900"/>
    <n v="6637939"/>
    <x v="77"/>
    <m/>
    <d v="2017-12-06T00:00:00"/>
  </r>
  <r>
    <s v="VZ-2017-000424"/>
    <s v="OSB "/>
    <s v="Vaida"/>
    <x v="218"/>
    <s v="45453000-7"/>
    <s v="4.2.11."/>
    <n v="1230000"/>
    <x v="0"/>
    <d v="2017-06-08T00:00:00"/>
    <d v="2017-06-16T00:00:00"/>
    <s v="Stavitelství Pospíšil s.r.o."/>
    <n v="1421979"/>
    <n v="1720594.5899999999"/>
    <x v="45"/>
    <m/>
    <d v="2017-06-30T00:00:00"/>
  </r>
  <r>
    <s v="VZ-2017-000425"/>
    <s v="OSB "/>
    <s v="Vaida"/>
    <x v="219"/>
    <s v="45453000-7"/>
    <s v="4.3.4."/>
    <n v="2950000"/>
    <x v="0"/>
    <d v="2017-06-08T00:00:00"/>
    <d v="2017-06-16T00:00:00"/>
    <s v="Elektropráce Spáčil s.r.o."/>
    <n v="2850000"/>
    <n v="3448500"/>
    <x v="53"/>
    <m/>
    <d v="2017-07-13T00:00:00"/>
  </r>
  <r>
    <s v="VZ-2017-000427"/>
    <s v="LÉK"/>
    <s v="Ondráčková"/>
    <x v="220"/>
    <s v="33694000-1"/>
    <m/>
    <n v="8430840"/>
    <x v="1"/>
    <d v="2017-08-01T00:00:00"/>
    <d v="2017-09-07T00:00:00"/>
    <s v="The Binding Site s.r.o."/>
    <n v="8394430"/>
    <n v="10157266.300000001"/>
    <x v="78"/>
    <d v="2021-11-07T00:00:00"/>
    <d v="2017-11-10T00:00:00"/>
  </r>
  <r>
    <s v="VZ-2017-000429"/>
    <s v="ENERG"/>
    <s v="Eyer"/>
    <x v="221"/>
    <s v="51135100-8"/>
    <s v="4.2.18."/>
    <n v="3000000"/>
    <x v="3"/>
    <d v="2017-06-22T00:00:00"/>
    <d v="2017-08-14T00:00:00"/>
    <s v="zrušeno"/>
    <m/>
    <m/>
    <x v="0"/>
    <m/>
    <d v="2017-08-16T00:00:00"/>
  </r>
  <r>
    <s v="VZ-2017-000435"/>
    <s v="ZT"/>
    <s v="Čech"/>
    <x v="222"/>
    <s v="33182100-0"/>
    <s v="2.2.88, 2.3.195, 2.3.200, 2.3.205, 2.3.212, 2.3.232, 2.3.236, 2.3.240, 2.3.242, 2.3.246, 2.3.277"/>
    <n v="4300000"/>
    <x v="1"/>
    <d v="2017-06-13T00:00:00"/>
    <d v="2017-07-26T00:00:00"/>
    <s v="Medsol s.r.o."/>
    <n v="3089540"/>
    <n v="3738343.4"/>
    <x v="79"/>
    <m/>
    <d v="2017-10-19T00:00:00"/>
  </r>
  <r>
    <s v="VZ-2017-000437"/>
    <s v="INF"/>
    <s v="Oravec"/>
    <x v="223"/>
    <s v="30213300-8"/>
    <m/>
    <n v="5785000"/>
    <x v="1"/>
    <d v="2017-06-13T00:00:00"/>
    <d v="2017-07-20T00:00:00"/>
    <s v="AutoCont CZ a.s."/>
    <n v="5465950"/>
    <n v="6613799.5"/>
    <x v="70"/>
    <d v="2018-09-06T00:00:00"/>
    <d v="2017-09-08T00:00:00"/>
  </r>
  <r>
    <s v="VZ-2017-000446"/>
    <s v="IROP"/>
    <s v="Neudorflörová"/>
    <x v="224"/>
    <s v="33111000-1 "/>
    <s v="2.3.257"/>
    <n v="8261978"/>
    <x v="1"/>
    <d v="2017-07-14T00:00:00"/>
    <d v="2017-08-29T00:00:00"/>
    <s v="North Med s.r.o."/>
    <n v="5667000"/>
    <n v="6857070"/>
    <x v="80"/>
    <m/>
    <d v="2017-12-12T00:00:00"/>
  </r>
  <r>
    <s v="VZ-2017-000460"/>
    <s v="ZM "/>
    <s v="Dočkalová"/>
    <x v="225"/>
    <s v="33140000-3"/>
    <m/>
    <n v="611000"/>
    <x v="0"/>
    <d v="2017-06-16T00:00:00"/>
    <d v="2017-06-30T00:00:00"/>
    <m/>
    <m/>
    <m/>
    <x v="0"/>
    <m/>
    <m/>
  </r>
  <r>
    <s v="VZ-2017-000461"/>
    <s v="ZT"/>
    <s v="Čech"/>
    <x v="226"/>
    <s v="33182210-4"/>
    <s v="2.3.243."/>
    <n v="250000"/>
    <x v="0"/>
    <d v="2017-06-19T00:00:00"/>
    <d v="2017-06-30T00:00:00"/>
    <s v="Biotronik Praha spol.s  r.o."/>
    <n v="245200"/>
    <n v="296692"/>
    <x v="81"/>
    <m/>
    <s v="xxx"/>
  </r>
  <r>
    <s v="VZ-2017-000461"/>
    <s v="ZT"/>
    <s v="Čech"/>
    <x v="227"/>
    <s v="33182210-4"/>
    <s v="2.3.243."/>
    <n v="145000"/>
    <x v="0"/>
    <d v="2017-06-19T00:00:00"/>
    <d v="2017-06-30T00:00:00"/>
    <s v="Biotronik Praha spol.s  r.o."/>
    <n v="108400"/>
    <n v="131164"/>
    <x v="81"/>
    <m/>
    <s v="xxx"/>
  </r>
  <r>
    <s v="VZ-2017-000463"/>
    <s v="ZT"/>
    <s v="Čech"/>
    <x v="228"/>
    <s v="33116100-6"/>
    <s v="2.3.196."/>
    <n v="370000"/>
    <x v="0"/>
    <d v="2017-06-19T00:00:00"/>
    <d v="2017-06-30T00:00:00"/>
    <s v="zrušeno"/>
    <m/>
    <m/>
    <x v="0"/>
    <m/>
    <s v="xxx"/>
  </r>
  <r>
    <s v="VZ-2017-000465"/>
    <s v="ZT"/>
    <s v="Čech"/>
    <x v="229"/>
    <s v="38000000-5"/>
    <s v="2.3.278"/>
    <n v="660000"/>
    <x v="0"/>
    <d v="2017-06-21T00:00:00"/>
    <d v="2017-06-30T00:00:00"/>
    <s v="Bio-Rad spol. s r.o."/>
    <n v="787100"/>
    <n v="952391"/>
    <x v="82"/>
    <m/>
    <d v="2017-08-31T00:00:00"/>
  </r>
  <r>
    <s v="VZ-2017-000484"/>
    <s v="ISPROFIN"/>
    <s v="Neudorflörová"/>
    <x v="230"/>
    <s v="33111400-5"/>
    <s v="2.3.273."/>
    <n v="30334200"/>
    <x v="1"/>
    <d v="2017-08-02T00:00:00"/>
    <d v="2017-09-11T00:00:00"/>
    <s v="Medtronic Czechia s.r.o."/>
    <n v="30309200"/>
    <n v="36674132"/>
    <x v="79"/>
    <m/>
    <d v="2017-10-19T00:00:00"/>
  </r>
  <r>
    <s v="VZ-2017-000490"/>
    <s v="ZT"/>
    <s v="Čech"/>
    <x v="231"/>
    <s v="33162100-4"/>
    <s v="2.3.208."/>
    <n v="825000"/>
    <x v="0"/>
    <d v="2017-06-23T00:00:00"/>
    <d v="2017-07-11T00:00:00"/>
    <s v="zrušeno"/>
    <m/>
    <m/>
    <x v="0"/>
    <m/>
    <s v="xxx"/>
  </r>
  <r>
    <s v="VZ-2017-000491"/>
    <s v="ZT"/>
    <s v="Čech"/>
    <x v="232"/>
    <s v="33162100-4"/>
    <s v="2.3.250."/>
    <n v="550000"/>
    <x v="0"/>
    <d v="2017-06-23T00:00:00"/>
    <d v="2017-07-07T00:00:00"/>
    <s v="Hospimed spol. s r.o."/>
    <n v="552543"/>
    <n v="668577.03"/>
    <x v="83"/>
    <m/>
    <d v="2017-08-15T00:00:00"/>
  </r>
  <r>
    <s v="VZ-2017-000494"/>
    <s v="OPRAV"/>
    <s v="Srovnal"/>
    <x v="233"/>
    <s v="42513290-4 "/>
    <s v="4.2.34."/>
    <n v="5800000"/>
    <x v="1"/>
    <d v="2017-06-23T00:00:00"/>
    <d v="2017-08-02T00:00:00"/>
    <s v="ENCOFA SERVIS s.r.o."/>
    <n v="6578307"/>
    <n v="7959751.4699999997"/>
    <x v="84"/>
    <m/>
    <d v="2017-09-15T00:00:00"/>
  </r>
  <r>
    <s v="VZ-2017-000495"/>
    <s v="INV"/>
    <s v="Kvapil"/>
    <x v="234"/>
    <s v="71322000-1"/>
    <s v="1.3.16."/>
    <n v="300000"/>
    <x v="0"/>
    <d v="2017-07-14T00:00:00"/>
    <d v="2017-07-25T00:00:00"/>
    <s v="zrušeno"/>
    <m/>
    <m/>
    <x v="0"/>
    <m/>
    <s v="xxx"/>
  </r>
  <r>
    <s v="VZ-2017-000495"/>
    <s v="INV"/>
    <s v="Kvapil"/>
    <x v="235"/>
    <s v="71322000-1"/>
    <s v=" 1.3.17."/>
    <n v="150000"/>
    <x v="0"/>
    <d v="2017-07-14T00:00:00"/>
    <d v="2017-07-25T00:00:00"/>
    <s v="zrušeno"/>
    <m/>
    <m/>
    <x v="0"/>
    <m/>
    <s v="xxx"/>
  </r>
  <r>
    <s v="VZ-2017-000498"/>
    <s v="ZT"/>
    <s v="Čech"/>
    <x v="236"/>
    <s v="33164100-8"/>
    <s v="2.2.71."/>
    <n v="710000"/>
    <x v="0"/>
    <d v="2017-06-27T00:00:00"/>
    <d v="2017-07-12T00:00:00"/>
    <s v="Radix CZ s.r.o."/>
    <n v="770003"/>
    <n v="931703.63"/>
    <x v="29"/>
    <m/>
    <d v="2017-08-22T00:00:00"/>
  </r>
  <r>
    <s v="VZ-2017-000508"/>
    <s v="OSB "/>
    <s v="Vaida"/>
    <x v="237"/>
    <s v="45453000-7"/>
    <s v="4.3.3."/>
    <n v="4500000"/>
    <x v="0"/>
    <d v="2017-07-14T00:00:00"/>
    <d v="2017-07-25T00:00:00"/>
    <s v="zrušeno"/>
    <m/>
    <m/>
    <x v="0"/>
    <m/>
    <s v="xxx"/>
  </r>
  <r>
    <s v="VZ-2017-000509"/>
    <s v="IROP"/>
    <s v="Neudorflörová"/>
    <x v="238"/>
    <s v="33167000-8"/>
    <s v="2.3.261."/>
    <n v="6490962.8099999996"/>
    <x v="1"/>
    <d v="2017-06-30T00:00:00"/>
    <d v="2017-09-06T00:00:00"/>
    <s v="zrušeno"/>
    <m/>
    <m/>
    <x v="0"/>
    <m/>
    <d v="2017-09-27T00:00:00"/>
  </r>
  <r>
    <s v="VZ-2017-000510"/>
    <s v="ZT"/>
    <s v="Čech"/>
    <x v="239"/>
    <s v="33124120-2 "/>
    <s v="2.3.218"/>
    <n v="2525000"/>
    <x v="1"/>
    <d v="2017-06-29T00:00:00"/>
    <d v="2017-08-11T00:00:00"/>
    <s v="Nimotech s.r.o."/>
    <n v="2091536.1"/>
    <n v="2530758.6809999999"/>
    <x v="85"/>
    <m/>
    <d v="2017-09-22T00:00:00"/>
  </r>
  <r>
    <s v="VZ-2017-000510"/>
    <s v="ZT"/>
    <s v="Čech"/>
    <x v="240"/>
    <s v="33124120-2 "/>
    <s v="2.4.80."/>
    <n v="275000"/>
    <x v="1"/>
    <d v="2017-06-29T00:00:00"/>
    <d v="2017-08-11T00:00:00"/>
    <s v="Promedica Praha Group, a.s."/>
    <n v="309564"/>
    <n v="374572.44"/>
    <x v="85"/>
    <m/>
    <d v="2017-09-22T00:00:00"/>
  </r>
  <r>
    <s v="VZ-2017-000514"/>
    <s v="INF"/>
    <s v="Marek"/>
    <x v="241"/>
    <m/>
    <s v="3.2.14."/>
    <n v="1000000"/>
    <x v="0"/>
    <d v="2017-07-24T00:00:00"/>
    <d v="2017-08-02T00:00:00"/>
    <s v="zrušeno"/>
    <m/>
    <m/>
    <x v="0"/>
    <m/>
    <s v="xxx"/>
  </r>
  <r>
    <s v="VZ-2017-000515"/>
    <s v="ENERG"/>
    <s v="Zbořil"/>
    <x v="242"/>
    <s v="45310000-3"/>
    <s v="4.1.33."/>
    <n v="930000"/>
    <x v="0"/>
    <d v="2017-07-13T00:00:00"/>
    <d v="2017-07-25T00:00:00"/>
    <s v="TC servis, s.r.o."/>
    <n v="697204"/>
    <n v="843616.84"/>
    <x v="83"/>
    <m/>
    <d v="2017-08-14T00:00:00"/>
  </r>
  <r>
    <s v="VZ-2017-000517"/>
    <s v="ZM "/>
    <s v="Dočkalová"/>
    <x v="243"/>
    <s v="18424300-0"/>
    <m/>
    <n v="3900000"/>
    <x v="1"/>
    <d v="2017-07-20T00:00:00"/>
    <d v="2017-08-31T00:00:00"/>
    <s v="Gatebo s.r.o."/>
    <n v="3504666.4"/>
    <n v="4240646.3439999996"/>
    <x v="77"/>
    <m/>
    <d v="2017-12-06T00:00:00"/>
  </r>
  <r>
    <s v="VZ-2017-000522"/>
    <s v="ZM "/>
    <s v="Dočkalová"/>
    <x v="244"/>
    <s v="33181200-4 "/>
    <m/>
    <n v="1165000"/>
    <x v="3"/>
    <d v="2017-08-21T00:00:00"/>
    <d v="2017-10-04T00:00:00"/>
    <s v="Globaltek Group s.r.o."/>
    <n v="1143360"/>
    <n v="1383465.6"/>
    <x v="77"/>
    <d v="2019-03-19T00:00:00"/>
    <d v="2017-12-06T00:00:00"/>
  </r>
  <r>
    <s v="VZ-2017-000522"/>
    <s v="ZM "/>
    <s v="Dočkalová"/>
    <x v="245"/>
    <s v="33181200-4 "/>
    <m/>
    <n v="1275000"/>
    <x v="3"/>
    <d v="2017-08-21T00:00:00"/>
    <d v="2017-10-04T00:00:00"/>
    <s v="Gatebo s.r.o."/>
    <n v="999000"/>
    <n v="1208790"/>
    <x v="77"/>
    <d v="2019-03-18T00:00:00"/>
    <d v="2017-12-06T00:00:00"/>
  </r>
  <r>
    <s v="VZ-2017-000523"/>
    <s v="INF"/>
    <s v="Oravec"/>
    <x v="246"/>
    <s v="30232110-8; 30232150-0"/>
    <m/>
    <n v="825000"/>
    <x v="0"/>
    <d v="2017-08-14T00:00:00"/>
    <d v="2017-08-23T00:00:00"/>
    <s v="AutoCont CZ a.s."/>
    <n v="643150"/>
    <n v="778210"/>
    <x v="86"/>
    <m/>
    <d v="2017-10-02T00:00:00"/>
  </r>
  <r>
    <s v="VZ-2017-000530"/>
    <s v="INF"/>
    <s v="Miklík"/>
    <x v="247"/>
    <s v="72261000-2"/>
    <m/>
    <n v="402000"/>
    <x v="0"/>
    <d v="2017-07-25T00:00:00"/>
    <d v="2017-08-03T00:00:00"/>
    <s v="DATA-INTER s.r.o."/>
    <n v="485900"/>
    <n v="587939"/>
    <x v="29"/>
    <m/>
    <s v="xxx"/>
  </r>
  <r>
    <s v="VZ-2017-000532"/>
    <s v="OSB "/>
    <s v="Vaida"/>
    <x v="248"/>
    <s v="45432130-4"/>
    <m/>
    <n v="500000"/>
    <x v="0"/>
    <d v="2017-08-27T00:00:00"/>
    <d v="2017-08-14T00:00:00"/>
    <s v="Stavona Olomouc s.r.o."/>
    <n v="400595"/>
    <n v="484719.95"/>
    <x v="87"/>
    <d v="2018-08-31T00:00:00"/>
    <d v="2017-09-01T00:00:00"/>
  </r>
  <r>
    <s v="VZ-2017-000533"/>
    <s v="IROP"/>
    <s v="Neudorflörová"/>
    <x v="249"/>
    <s v="33192230-3"/>
    <s v="2.3.260."/>
    <n v="18526962"/>
    <x v="1"/>
    <d v="2017-08-24T00:00:00"/>
    <d v="2017-10-03T00:00:00"/>
    <s v="Maquet s.r.o."/>
    <n v="12953570"/>
    <n v="15673819.699999999"/>
    <x v="88"/>
    <m/>
    <d v="2017-12-07T00:00:00"/>
  </r>
  <r>
    <s v="VZ-2017-000536"/>
    <s v="INF"/>
    <s v="Oravec"/>
    <x v="250"/>
    <s v="72611000-6"/>
    <m/>
    <n v="660000"/>
    <x v="0"/>
    <d v="2017-08-27T00:00:00"/>
    <d v="2017-08-08T00:00:00"/>
    <s v="Microshop s.r.o."/>
    <n v="394000"/>
    <n v="476740"/>
    <x v="87"/>
    <m/>
    <d v="2017-09-01T00:00:00"/>
  </r>
  <r>
    <s v="VZ-2017-000537"/>
    <s v="LÉK"/>
    <s v="Ondráčková"/>
    <x v="251"/>
    <s v="33662100-9"/>
    <m/>
    <n v="1364792.76"/>
    <x v="1"/>
    <d v="2017-08-01T00:00:00"/>
    <d v="2017-09-08T00:00:00"/>
    <s v="Alliance Healthcare s.r.o."/>
    <n v="1364792.76"/>
    <n v="1501272.0360000001"/>
    <x v="89"/>
    <d v="2019-10-23T00:00:00"/>
    <d v="2017-10-25T00:00:00"/>
  </r>
  <r>
    <s v="VZ-2017-000537"/>
    <s v="LÉK"/>
    <s v="Ondráčková"/>
    <x v="252"/>
    <s v="33662100-9"/>
    <m/>
    <n v="67601042.040000007"/>
    <x v="1"/>
    <d v="2017-08-01T00:00:00"/>
    <d v="2017-09-08T00:00:00"/>
    <s v="Alliance Healthcare s.r.o."/>
    <n v="67601042.040000007"/>
    <n v="74361146.244000018"/>
    <x v="89"/>
    <d v="2019-10-23T00:00:00"/>
    <d v="2017-10-25T00:00:00"/>
  </r>
  <r>
    <s v="VZ-2017-000537"/>
    <s v="LÉK"/>
    <s v="Ondráčková"/>
    <x v="253"/>
    <s v="33662100-9"/>
    <m/>
    <n v="14623775.52"/>
    <x v="1"/>
    <d v="2017-08-01T00:00:00"/>
    <d v="2017-09-08T00:00:00"/>
    <s v="Bayer s.r.o."/>
    <n v="14800119.52"/>
    <n v="16280131.472000001"/>
    <x v="89"/>
    <d v="2019-10-23T00:00:00"/>
    <d v="2017-10-25T00:00:00"/>
  </r>
  <r>
    <s v="VZ-2017-000538"/>
    <s v="LÉK"/>
    <s v="Ondráčková"/>
    <x v="254"/>
    <s v="33652000-5"/>
    <m/>
    <n v="6503641.7999999998"/>
    <x v="1"/>
    <d v="2017-08-16T00:00:00"/>
    <d v="2017-09-26T00:00:00"/>
    <s v="Fresenius Kabi s.r.o."/>
    <n v="1087227.6000000001"/>
    <n v="1195950.3600000001"/>
    <x v="0"/>
    <m/>
    <m/>
  </r>
  <r>
    <s v="VZ-2017-000538"/>
    <s v="LÉK"/>
    <s v="Ondráčková"/>
    <x v="255"/>
    <s v="33652000-5"/>
    <m/>
    <n v="381074.24"/>
    <x v="1"/>
    <d v="2017-08-16T00:00:00"/>
    <d v="2017-09-26T00:00:00"/>
    <s v="Pharmos, a.s."/>
    <n v="378320.36"/>
    <n v="416152.39600000001"/>
    <x v="0"/>
    <m/>
    <m/>
  </r>
  <r>
    <s v="VZ-2017-000538"/>
    <s v="LÉK"/>
    <s v="Ondráčková"/>
    <x v="256"/>
    <s v="33652000-5"/>
    <m/>
    <n v="74800"/>
    <x v="1"/>
    <d v="2017-08-16T00:00:00"/>
    <d v="2017-09-26T00:00:00"/>
    <s v="zrušeno bez nabídky"/>
    <m/>
    <m/>
    <x v="0"/>
    <m/>
    <d v="2017-09-29T00:00:00"/>
  </r>
  <r>
    <s v="VZ-2017-000544"/>
    <s v="ENERG"/>
    <s v="Eyer"/>
    <x v="257"/>
    <s v="71322000-1"/>
    <m/>
    <n v="500000"/>
    <x v="0"/>
    <d v="2017-07-31T00:00:00"/>
    <d v="2017-08-15T00:00:00"/>
    <s v="Elpremo s.r.o."/>
    <n v="149870"/>
    <n v="181343"/>
    <x v="90"/>
    <m/>
    <d v="2017-09-27T00:00:00"/>
  </r>
  <r>
    <s v="VZ-2017-000546"/>
    <s v="LÉK"/>
    <s v="Ondráčková"/>
    <x v="258"/>
    <s v="33652000-5"/>
    <m/>
    <n v="6632848.2800000003"/>
    <x v="1"/>
    <d v="2017-08-11T00:00:00"/>
    <d v="2017-09-18T00:00:00"/>
    <s v="zrušeno bez nabídky"/>
    <m/>
    <m/>
    <x v="0"/>
    <m/>
    <d v="2017-09-22T00:00:00"/>
  </r>
  <r>
    <s v="VZ-2017-000546"/>
    <s v="LÉK"/>
    <s v="Ondráčková"/>
    <x v="259"/>
    <s v="33652000-5"/>
    <m/>
    <n v="7051294.7999999998"/>
    <x v="1"/>
    <d v="2017-08-11T00:00:00"/>
    <d v="2017-09-18T00:00:00"/>
    <s v="Avenier a.s."/>
    <n v="7051294.7999999998"/>
    <n v="7756424.2800000003"/>
    <x v="91"/>
    <d v="2019-10-30T00:00:00"/>
    <d v="2017-11-01T00:00:00"/>
  </r>
  <r>
    <s v="VZ-2017-000546"/>
    <s v="LÉK"/>
    <s v="Ondráčková"/>
    <x v="260"/>
    <s v="33652000-5"/>
    <m/>
    <n v="55890699.060000002"/>
    <x v="1"/>
    <d v="2017-08-11T00:00:00"/>
    <d v="2017-09-18T00:00:00"/>
    <s v="ROCHE s.r.o."/>
    <n v="55890699.060000002"/>
    <n v="61479768.969999999"/>
    <x v="91"/>
    <d v="2019-10-30T00:00:00"/>
    <d v="2017-11-01T00:00:00"/>
  </r>
  <r>
    <s v="VZ-2017-000546"/>
    <s v="LÉK"/>
    <s v="Ondráčková"/>
    <x v="261"/>
    <s v="33652000-5"/>
    <m/>
    <n v="14441053.779999999"/>
    <x v="1"/>
    <d v="2017-08-11T00:00:00"/>
    <d v="2017-09-18T00:00:00"/>
    <s v="ROCHE s.r.o."/>
    <n v="14427606.699999999"/>
    <n v="15870367.369999999"/>
    <x v="91"/>
    <d v="2019-10-30T00:00:00"/>
    <d v="2017-11-01T00:00:00"/>
  </r>
  <r>
    <s v="VZ-2017-000546"/>
    <s v="LÉK"/>
    <s v="Ondráčková"/>
    <x v="262"/>
    <s v="33652000-5"/>
    <m/>
    <n v="3049301.88"/>
    <x v="1"/>
    <d v="2017-08-11T00:00:00"/>
    <d v="2017-09-18T00:00:00"/>
    <s v="ROCHE s.r.o."/>
    <n v="3049301.88"/>
    <n v="3354232.07"/>
    <x v="91"/>
    <d v="2019-10-30T00:00:00"/>
    <d v="2017-11-01T00:00:00"/>
  </r>
  <r>
    <s v="VZ-2017-000546"/>
    <s v="LÉK"/>
    <s v="Ondráčková"/>
    <x v="263"/>
    <s v="33652000-5"/>
    <m/>
    <n v="4687531.68"/>
    <x v="1"/>
    <d v="2017-08-11T00:00:00"/>
    <d v="2017-09-18T00:00:00"/>
    <s v="zrušeno bez nabídky"/>
    <m/>
    <m/>
    <x v="0"/>
    <m/>
    <d v="2017-09-22T00:00:00"/>
  </r>
  <r>
    <s v="VZ-2017-000550"/>
    <s v="ZT"/>
    <s v="Čech"/>
    <x v="264"/>
    <s v="33151400-7"/>
    <s v="2.3.189."/>
    <n v="455000"/>
    <x v="0"/>
    <d v="2017-08-11T00:00:00"/>
    <d v="2017-08-23T00:00:00"/>
    <s v="Transkontakt medical s.r.o."/>
    <n v="523815.75"/>
    <n v="633817.0575"/>
    <x v="92"/>
    <m/>
    <s v="xxx"/>
  </r>
  <r>
    <s v="VZ-2017-000554"/>
    <s v="ZT"/>
    <s v="Čech"/>
    <x v="265"/>
    <s v="33151400-7"/>
    <s v="2.2.22."/>
    <n v="1650000"/>
    <x v="0"/>
    <d v="2017-08-07T00:00:00"/>
    <d v="2017-08-17T00:00:00"/>
    <s v="zrušeno - bez nabídky"/>
    <m/>
    <m/>
    <x v="0"/>
    <m/>
    <s v="xxx"/>
  </r>
  <r>
    <s v="VZ-2017-000557"/>
    <s v="ZT"/>
    <s v="Čech"/>
    <x v="266"/>
    <s v="38311000-8"/>
    <s v="2.2.78."/>
    <n v="290000"/>
    <x v="0"/>
    <d v="2017-08-11T00:00:00"/>
    <d v="2017-08-23T00:00:00"/>
    <s v="Lékárna -invest s.r.o."/>
    <n v="313200"/>
    <n v="378972"/>
    <x v="90"/>
    <m/>
    <s v="xxx"/>
  </r>
  <r>
    <s v="VZ-2017-000559"/>
    <s v="ZT"/>
    <s v="Čech"/>
    <x v="267"/>
    <s v="33157400-9"/>
    <s v="2.3.283."/>
    <n v="305000"/>
    <x v="0"/>
    <d v="2017-08-11T00:00:00"/>
    <d v="2017-08-22T00:00:00"/>
    <s v="DARTIN spol. s r.o."/>
    <n v="437341"/>
    <n v="529182.61"/>
    <x v="93"/>
    <m/>
    <s v="xxx"/>
  </r>
  <r>
    <s v="VZ-2017-000560"/>
    <s v="LÉK"/>
    <s v="Ondráčková"/>
    <x v="268"/>
    <s v="33652100-6"/>
    <m/>
    <n v="33004807.5"/>
    <x v="1"/>
    <d v="2017-08-16T00:00:00"/>
    <d v="2017-09-25T00:00:00"/>
    <s v="Alliance Healthcare s.r.o."/>
    <n v="32678026.5"/>
    <n v="35945829.150000006"/>
    <x v="94"/>
    <d v="2019-11-15T00:00:00"/>
    <d v="2017-11-21T00:00:00"/>
  </r>
  <r>
    <s v="VZ-2017-000560"/>
    <s v="LÉK"/>
    <s v="Ondráčková"/>
    <x v="269"/>
    <s v="33652100-6"/>
    <m/>
    <n v="9844705.6999999993"/>
    <x v="1"/>
    <d v="2017-08-16T00:00:00"/>
    <d v="2017-09-25T00:00:00"/>
    <s v="ROCHE s.r.o."/>
    <n v="9844250"/>
    <n v="10828675"/>
    <x v="94"/>
    <d v="2019-11-15T00:00:00"/>
    <d v="2017-11-21T00:00:00"/>
  </r>
  <r>
    <s v="VZ-2017-000560"/>
    <s v="LÉK"/>
    <s v="Ondráčková"/>
    <x v="270"/>
    <s v="33652100-6"/>
    <m/>
    <n v="15902036.4"/>
    <x v="1"/>
    <d v="2017-08-16T00:00:00"/>
    <d v="2017-09-25T00:00:00"/>
    <s v="Amgen s.r.o."/>
    <n v="15902036.4"/>
    <n v="17492240.040000003"/>
    <x v="94"/>
    <d v="2019-11-15T00:00:00"/>
    <d v="2017-11-21T00:00:00"/>
  </r>
  <r>
    <s v="VZ-2017-000560"/>
    <s v="LÉK"/>
    <s v="Ondráčková"/>
    <x v="271"/>
    <s v="33652100-6"/>
    <m/>
    <n v="4317966.9000000004"/>
    <x v="1"/>
    <d v="2017-08-16T00:00:00"/>
    <d v="2017-09-25T00:00:00"/>
    <s v="Alliance Healthcare s.r.o."/>
    <n v="2139104.5"/>
    <n v="2353014.9500000002"/>
    <x v="94"/>
    <d v="2019-11-15T00:00:00"/>
    <d v="2017-11-21T00:00:00"/>
  </r>
  <r>
    <s v="VZ-2017-000561"/>
    <s v="LÉK"/>
    <s v="Ondráčková"/>
    <x v="272"/>
    <s v="33694000-1"/>
    <m/>
    <n v="3381000"/>
    <x v="3"/>
    <d v="2017-08-25T00:00:00"/>
    <d v="2017-09-19T00:00:00"/>
    <s v="PharmaTech s.r.o."/>
    <n v="3381000"/>
    <n v="4091010"/>
    <x v="0"/>
    <m/>
    <m/>
  </r>
  <r>
    <s v="VZ-2017-000563"/>
    <s v="ZT"/>
    <s v="Čech"/>
    <x v="273"/>
    <s v="38000000-5"/>
    <s v="2.3.282."/>
    <n v="990000"/>
    <x v="0"/>
    <d v="2017-08-11T00:00:00"/>
    <d v="2017-08-22T00:00:00"/>
    <s v="INTER META Ostrava s.r.o."/>
    <n v="1109550"/>
    <n v="1342555.5"/>
    <x v="95"/>
    <m/>
    <d v="2017-10-02T00:00:00"/>
  </r>
  <r>
    <s v="VZ-2017-000565"/>
    <s v="IROP"/>
    <s v="Neudorflörová"/>
    <x v="274"/>
    <s v="33192120-9"/>
    <s v="2.3.254."/>
    <n v="11705547"/>
    <x v="1"/>
    <d v="2017-09-07T00:00:00"/>
    <d v="2017-10-19T00:00:00"/>
    <s v="Linet s.r.o."/>
    <n v="14909928.1"/>
    <n v="18041013.000999998"/>
    <x v="0"/>
    <m/>
    <m/>
  </r>
  <r>
    <s v="VZ-2017-000571"/>
    <s v="INV"/>
    <s v="Kvapil"/>
    <x v="275"/>
    <s v="71322000-1"/>
    <s v="1.3.16."/>
    <n v="300000"/>
    <x v="0"/>
    <d v="2017-08-21T00:00:00"/>
    <d v="2017-08-30T00:00:00"/>
    <s v="Ing. Luděk Vrba"/>
    <n v="298100"/>
    <n v="298100"/>
    <x v="96"/>
    <m/>
    <s v="xxx"/>
  </r>
  <r>
    <s v="VZ-2017-000571"/>
    <s v="INV"/>
    <s v="Kvapil"/>
    <x v="276"/>
    <s v="71322000-1"/>
    <s v=" 1.3.17."/>
    <n v="150000"/>
    <x v="0"/>
    <d v="2017-08-21T00:00:00"/>
    <d v="2017-08-30T00:00:00"/>
    <s v="Ing. Luděk Vrba"/>
    <n v="160400"/>
    <n v="160400"/>
    <x v="96"/>
    <m/>
    <s v="xxx"/>
  </r>
  <r>
    <s v="VZ-2017-000573"/>
    <s v="IROP"/>
    <s v="Neudorflörová"/>
    <x v="277"/>
    <s v="33124120-2"/>
    <m/>
    <n v="24819752"/>
    <x v="1"/>
    <d v="2017-10-02T00:00:00"/>
    <d v="2017-11-09T00:00:00"/>
    <s v="EMS s.r.o."/>
    <n v="23792140"/>
    <n v="28788489.399999999"/>
    <x v="0"/>
    <m/>
    <m/>
  </r>
  <r>
    <s v="VZ-2017-000578"/>
    <s v="VŠEOB"/>
    <s v="Nerudová"/>
    <x v="278"/>
    <s v="39120000-9"/>
    <m/>
    <n v="230000"/>
    <x v="3"/>
    <d v="2017-08-22T00:00:00"/>
    <d v="2017-09-13T00:00:00"/>
    <s v="KSK nábytek s.r.o."/>
    <n v="162127"/>
    <n v="196173.67"/>
    <x v="97"/>
    <m/>
    <d v="2017-11-06T00:00:00"/>
  </r>
  <r>
    <s v="VZ-2017-000579"/>
    <s v="IROP"/>
    <s v="Neudorflörová"/>
    <x v="279"/>
    <s v="33157400-9 "/>
    <s v="2.3.259."/>
    <n v="11203695.869999999"/>
    <x v="1"/>
    <d v="2017-10-04T00:00:00"/>
    <d v="2018-01-03T00:00:00"/>
    <m/>
    <m/>
    <m/>
    <x v="0"/>
    <m/>
    <m/>
  </r>
  <r>
    <s v="VZ-2017-000582"/>
    <s v="ZT"/>
    <s v="Novák"/>
    <x v="280"/>
    <s v="33116100-6"/>
    <s v="2.3.196."/>
    <n v="370000"/>
    <x v="0"/>
    <d v="2017-08-22T00:00:00"/>
    <d v="2017-09-05T00:00:00"/>
    <s v="Fénix Brno s.r.o."/>
    <n v="497942"/>
    <n v="602509.81999999995"/>
    <x v="98"/>
    <m/>
    <s v="xxx"/>
  </r>
  <r>
    <s v="VZ-2017-000585"/>
    <s v="ENERG"/>
    <s v="Eyer"/>
    <x v="281"/>
    <s v="45331100-7"/>
    <s v="4.2.19, 4.1.28"/>
    <n v="1500000"/>
    <x v="0"/>
    <d v="2017-08-28T00:00:00"/>
    <d v="2017-09-07T00:00:00"/>
    <s v="MIZ Olomouc s.r.o."/>
    <n v="1911804.94"/>
    <n v="2313283.9773999997"/>
    <x v="99"/>
    <m/>
    <d v="2017-10-10T00:00:00"/>
  </r>
  <r>
    <s v="VZ-2017-000587"/>
    <s v="ZT"/>
    <s v="Čech"/>
    <x v="282"/>
    <s v="33124120-2"/>
    <s v="2.3.210."/>
    <n v="1115000"/>
    <x v="0"/>
    <d v="2017-08-28T00:00:00"/>
    <d v="2017-09-07T00:00:00"/>
    <s v="EMS s.r.o."/>
    <n v="398340"/>
    <n v="481991.4"/>
    <x v="100"/>
    <m/>
    <d v="2017-10-17T00:00:00"/>
  </r>
  <r>
    <s v="VZ-2017-000589 "/>
    <s v="ENERG"/>
    <s v="Eyer"/>
    <x v="283"/>
    <s v="51135100-8"/>
    <s v="4.2.18."/>
    <n v="3500000"/>
    <x v="3"/>
    <d v="2017-08-30T00:00:00"/>
    <d v="2017-09-20T00:00:00"/>
    <s v="Bosch Termotechnika s.r.o."/>
    <n v="3220530"/>
    <n v="3896841.3"/>
    <x v="0"/>
    <m/>
    <m/>
  </r>
  <r>
    <s v="VZ-2017-000592"/>
    <s v="BOZP"/>
    <s v="Kotzot"/>
    <x v="284"/>
    <s v="71320000-7 "/>
    <m/>
    <n v="40000"/>
    <x v="0"/>
    <d v="2017-09-04T00:00:00"/>
    <d v="2017-09-26T00:00:00"/>
    <s v="Michal Raška"/>
    <n v="36400"/>
    <n v="44044"/>
    <x v="101"/>
    <m/>
    <s v="xxx"/>
  </r>
  <r>
    <s v="VZ-2017-000597"/>
    <s v="ZT"/>
    <s v="Čech"/>
    <x v="285"/>
    <s v="33124110-9"/>
    <s v="2.3.185."/>
    <n v="5200000"/>
    <x v="1"/>
    <d v="2017-09-08T00:00:00"/>
    <d v="2017-10-18T00:00:00"/>
    <s v="Medinet s.r.o."/>
    <n v="5282600"/>
    <n v="6391946"/>
    <x v="102"/>
    <m/>
    <d v="2018-01-03T00:00:00"/>
  </r>
  <r>
    <s v="VZ-2017-000599"/>
    <s v="PROVOZ"/>
    <s v="Hyža"/>
    <x v="286"/>
    <s v="39314000-6"/>
    <s v="4.2.7."/>
    <n v="2800000"/>
    <x v="3"/>
    <d v="2017-09-19T00:00:00"/>
    <d v="2017-10-10T00:00:00"/>
    <s v="zrušena"/>
    <m/>
    <m/>
    <x v="0"/>
    <m/>
    <d v="2017-11-08T00:00:00"/>
  </r>
  <r>
    <s v="VZ-2017-000606"/>
    <s v="ZT"/>
    <s v="Čech"/>
    <x v="287"/>
    <s v="39711100-0"/>
    <s v="2.2.101-103,228-231,"/>
    <n v="365000"/>
    <x v="0"/>
    <d v="2017-09-12T00:00:00"/>
    <d v="2017-09-21T00:00:00"/>
    <s v="KRD s.r.o."/>
    <n v="370975"/>
    <n v="448879.75"/>
    <x v="103"/>
    <m/>
    <s v="xxx"/>
  </r>
  <r>
    <s v="VZ-2017-000613"/>
    <s v="OPRAV"/>
    <s v="Srovnal"/>
    <x v="288"/>
    <s v="31000000-6 "/>
    <s v="4.2.38.,4.2.39."/>
    <n v="1157000"/>
    <x v="0"/>
    <d v="2017-09-15T00:00:00"/>
    <d v="2017-09-26T00:00:00"/>
    <s v="Elmar group s.r.o."/>
    <n v="699660"/>
    <n v="846588.6"/>
    <x v="104"/>
    <m/>
    <d v="2017-10-23T00:00:00"/>
  </r>
  <r>
    <s v="VZ-2017-000621"/>
    <s v="ZT"/>
    <s v="Čech"/>
    <x v="289"/>
    <s v="33123200-0 "/>
    <s v="2.4.78."/>
    <n v="275000"/>
    <x v="0"/>
    <d v="2017-09-20T00:00:00"/>
    <d v="2017-10-06T00:00:00"/>
    <s v="BTL zdrav. technika a.s."/>
    <n v="332750"/>
    <n v="402627.5"/>
    <x v="105"/>
    <m/>
    <s v="xxx"/>
  </r>
  <r>
    <s v="VZ-2017-000625"/>
    <s v="OSB "/>
    <s v="Vaida"/>
    <x v="290"/>
    <s v="45332300-6"/>
    <s v="4.2.12."/>
    <n v="900000"/>
    <x v="0"/>
    <d v="2017-09-15T00:00:00"/>
    <d v="2017-09-27T00:00:00"/>
    <s v="VALTR generální dodavatel st."/>
    <n v="666396.06999999995"/>
    <n v="806339.24469999992"/>
    <x v="106"/>
    <m/>
    <d v="2017-11-06T00:00:00"/>
  </r>
  <r>
    <s v="VZ-2017-000626"/>
    <s v="LÉK"/>
    <s v="Ondráčková"/>
    <x v="291"/>
    <s v="33696200-7"/>
    <m/>
    <n v="977760"/>
    <x v="0"/>
    <d v="2017-12-08T00:00:00"/>
    <d v="2018-01-04T00:00:00"/>
    <s v="zrušeno"/>
    <m/>
    <m/>
    <x v="0"/>
    <m/>
    <s v="xxx"/>
  </r>
  <r>
    <s v="VZ-2017-000627"/>
    <s v="LÉK"/>
    <s v="Ondráčková"/>
    <x v="292"/>
    <s v="33652300-8"/>
    <m/>
    <n v="2854864.68"/>
    <x v="1"/>
    <d v="2017-10-09T00:00:00"/>
    <d v="2017-11-23T00:00:00"/>
    <s v="Alliance Healthcare s.r.o."/>
    <n v="2854864.68"/>
    <n v="3140351.1480000005"/>
    <x v="0"/>
    <m/>
    <m/>
  </r>
  <r>
    <s v="VZ-2017-000627"/>
    <s v="LÉK"/>
    <s v="Ondráčková"/>
    <x v="293"/>
    <s v="33652300-8"/>
    <m/>
    <n v="22808400"/>
    <x v="1"/>
    <d v="2017-10-09T00:00:00"/>
    <d v="2017-11-23T00:00:00"/>
    <s v="PHOENIX lék. Velkoobchod"/>
    <n v="22780920"/>
    <n v="25059012.000000004"/>
    <x v="0"/>
    <m/>
    <m/>
  </r>
  <r>
    <s v="VZ-2017-000627"/>
    <s v="LÉK"/>
    <s v="Ondráčková"/>
    <x v="294"/>
    <s v="33652300-8"/>
    <m/>
    <n v="19808012.399999999"/>
    <x v="1"/>
    <d v="2017-10-09T00:00:00"/>
    <d v="2017-11-23T00:00:00"/>
    <s v="zrušeno bez nabídky"/>
    <m/>
    <m/>
    <x v="0"/>
    <m/>
    <d v="2017-12-28T00:00:00"/>
  </r>
  <r>
    <s v="VZ-2017-000627"/>
    <s v="LÉK"/>
    <s v="Ondráčková"/>
    <x v="295"/>
    <s v="33652300-8"/>
    <m/>
    <n v="47998332"/>
    <x v="1"/>
    <d v="2017-10-09T00:00:00"/>
    <d v="2017-11-23T00:00:00"/>
    <s v="Alliance Healthcare s.r.o."/>
    <n v="48195114.479999997"/>
    <n v="53014625.928000003"/>
    <x v="0"/>
    <m/>
    <m/>
  </r>
  <r>
    <s v="VZ-2017-000627"/>
    <s v="LÉK"/>
    <s v="Ondráčková"/>
    <x v="296"/>
    <s v="33652300-8"/>
    <m/>
    <n v="42201746.560000002"/>
    <x v="1"/>
    <d v="2017-10-09T00:00:00"/>
    <d v="2017-11-23T00:00:00"/>
    <s v="ViaPharma s.r.o."/>
    <n v="41814288"/>
    <n v="45995716.800000004"/>
    <x v="0"/>
    <m/>
    <m/>
  </r>
  <r>
    <s v="VZ-2017-000627"/>
    <s v="LÉK"/>
    <s v="Ondráčková"/>
    <x v="297"/>
    <s v="33652300-8"/>
    <m/>
    <n v="15420550.880000001"/>
    <x v="1"/>
    <d v="2017-10-09T00:00:00"/>
    <d v="2017-11-23T00:00:00"/>
    <s v="Merck Sharp &amp; Dohme s.r.o."/>
    <n v="15485324.960000001"/>
    <n v="17033858.199999999"/>
    <x v="0"/>
    <m/>
    <m/>
  </r>
  <r>
    <s v="VZ-2017-000628"/>
    <s v="LÉK"/>
    <s v="Ondráčková"/>
    <x v="298"/>
    <s v="33141550-0"/>
    <m/>
    <n v="2450711.06"/>
    <x v="1"/>
    <d v="2017-09-19T00:00:00"/>
    <d v="2017-10-26T00:00:00"/>
    <s v="Alliance Healthcare s.r.o."/>
    <n v="2428391.42"/>
    <n v="2671230.5619999999"/>
    <x v="107"/>
    <d v="2019-12-18T00:00:00"/>
    <d v="2018-01-17T00:00:00"/>
  </r>
  <r>
    <s v="VZ-2017-000628"/>
    <s v="LÉK"/>
    <s v="Ondráčková"/>
    <x v="299"/>
    <s v="33141550-0"/>
    <m/>
    <n v="998754.74239839998"/>
    <x v="1"/>
    <d v="2017-09-19T00:00:00"/>
    <d v="2017-10-26T00:00:00"/>
    <s v="Sanofi-Aventis"/>
    <n v="998719"/>
    <n v="1098590.9000000001"/>
    <x v="0"/>
    <m/>
    <m/>
  </r>
  <r>
    <s v="VZ-2017-000628"/>
    <s v="LÉK"/>
    <s v="Ondráčková"/>
    <x v="300"/>
    <s v="33141550-0"/>
    <m/>
    <n v="29114032.180000003"/>
    <x v="1"/>
    <d v="2017-09-19T00:00:00"/>
    <d v="2017-10-26T00:00:00"/>
    <s v="PHOENIX lék. Velkoobchod"/>
    <n v="29114032.18"/>
    <n v="32025435.398000002"/>
    <x v="107"/>
    <d v="2019-12-18T00:00:00"/>
    <d v="2018-01-17T00:00:00"/>
  </r>
  <r>
    <s v="VZ-2017-000628"/>
    <s v="LÉK"/>
    <s v="Ondráčková"/>
    <x v="301"/>
    <s v="33141550-0"/>
    <m/>
    <n v="1297495.2862"/>
    <x v="1"/>
    <d v="2017-09-19T00:00:00"/>
    <d v="2017-10-26T00:00:00"/>
    <s v="zrušeno"/>
    <m/>
    <m/>
    <x v="0"/>
    <m/>
    <d v="2017-11-08T00:00:00"/>
  </r>
  <r>
    <s v="VZ-2017-000631"/>
    <s v="ZT"/>
    <s v="Čech"/>
    <x v="302"/>
    <s v="33195100-4"/>
    <s v="2.3.199.,2.3.209.,23.3.216.,2.3.220.,2.3.233."/>
    <n v="1240000"/>
    <x v="0"/>
    <d v="2017-10-02T00:00:00"/>
    <d v="2017-10-13T00:00:00"/>
    <s v="S+T Plus s.r.o."/>
    <n v="1150800"/>
    <n v="1392468"/>
    <x v="103"/>
    <d v="2020-02-26T00:00:00"/>
    <d v="2017-11-15T00:00:00"/>
  </r>
  <r>
    <s v="VZ-2017-000631"/>
    <s v="ZT"/>
    <s v="Čech"/>
    <x v="303"/>
    <s v="33195100-4"/>
    <m/>
    <m/>
    <x v="0"/>
    <d v="2017-10-02T00:00:00"/>
    <d v="2017-10-13T00:00:00"/>
    <s v="Medisap s.r.o."/>
    <n v="125030"/>
    <n v="151286.29999999999"/>
    <x v="77"/>
    <d v="2020-02-26T00:00:00"/>
    <d v="2017-12-05T00:00:00"/>
  </r>
  <r>
    <s v="VZ-2017-000633"/>
    <s v="OPRAV"/>
    <s v="Srovnal"/>
    <x v="304"/>
    <s v="45333000-0"/>
    <m/>
    <n v="250000"/>
    <x v="0"/>
    <d v="2017-09-15T00:00:00"/>
    <d v="2017-09-22T00:00:00"/>
    <s v="Dräger Medical s.r.o."/>
    <n v="227823"/>
    <n v="275665.83"/>
    <x v="108"/>
    <d v="2020-02-26T00:00:00"/>
    <s v="xxx"/>
  </r>
  <r>
    <s v="VZ-2017-000633"/>
    <s v="OPRAV"/>
    <s v="Srovnal"/>
    <x v="305"/>
    <s v="45333000-0"/>
    <m/>
    <n v="120000"/>
    <x v="0"/>
    <d v="2017-09-15T00:00:00"/>
    <d v="2017-09-22T00:00:00"/>
    <s v="Dräger Medical s.r.o."/>
    <n v="70671"/>
    <n v="85511.91"/>
    <x v="108"/>
    <d v="2020-02-26T00:00:00"/>
    <s v="xxx"/>
  </r>
  <r>
    <s v="VZ-2017-000641"/>
    <s v="DOPR"/>
    <s v="Solovský"/>
    <x v="306"/>
    <s v="34300000-0; 50110000-9"/>
    <m/>
    <n v="2700000"/>
    <x v="1"/>
    <d v="2017-10-11T00:00:00"/>
    <d v="2017-11-21T00:00:00"/>
    <s v="Auto Čechák s.r.o."/>
    <s v="jednotkové ceny"/>
    <m/>
    <x v="0"/>
    <m/>
    <m/>
  </r>
  <r>
    <s v="VZ-2017-000641"/>
    <s v="DOPR"/>
    <s v="Solovský"/>
    <x v="307"/>
    <s v="34300000-0; 50110000-9"/>
    <m/>
    <n v="1150000"/>
    <x v="1"/>
    <d v="2017-10-11T00:00:00"/>
    <d v="2017-11-21T00:00:00"/>
    <s v="Jiří Klanica"/>
    <s v="jednotkové ceny"/>
    <m/>
    <x v="0"/>
    <m/>
    <m/>
  </r>
  <r>
    <s v="VZ-2017-000641"/>
    <s v="DOPR"/>
    <s v="Solovský"/>
    <x v="308"/>
    <s v="34300000-0; 50110000-9"/>
    <m/>
    <n v="150000"/>
    <x v="1"/>
    <d v="2017-10-11T00:00:00"/>
    <d v="2017-11-21T00:00:00"/>
    <s v="Auto Čechák s.r.o."/>
    <s v="jednotkové ceny"/>
    <m/>
    <x v="0"/>
    <m/>
    <m/>
  </r>
  <r>
    <s v="VZ-2017-000645"/>
    <s v="OSB "/>
    <s v="Vaida"/>
    <x v="309"/>
    <s v="45453000-7"/>
    <s v="4.2.59."/>
    <n v="420000"/>
    <x v="0"/>
    <d v="2017-09-22T00:00:00"/>
    <d v="2017-10-03T00:00:00"/>
    <s v="VALTR generální dodavatel st."/>
    <n v="509700"/>
    <n v="616737"/>
    <x v="106"/>
    <m/>
    <d v="2017-11-06T00:00:00"/>
  </r>
  <r>
    <s v="VZ-2017-000646"/>
    <s v="OSB "/>
    <s v="Vaida"/>
    <x v="310"/>
    <s v="45421131-1"/>
    <s v="4.2.57."/>
    <n v="290000"/>
    <x v="0"/>
    <d v="2017-09-22T00:00:00"/>
    <d v="2017-10-03T00:00:00"/>
    <s v="zrušeno bez nabídky"/>
    <m/>
    <m/>
    <x v="0"/>
    <m/>
    <s v="xxx"/>
  </r>
  <r>
    <s v="VZ-2017-000647"/>
    <s v="INF"/>
    <s v="Marek"/>
    <x v="311"/>
    <s v="79314000-8"/>
    <m/>
    <n v="1990000"/>
    <x v="0"/>
    <d v="2017-09-22T00:00:00"/>
    <d v="2017-10-03T00:00:00"/>
    <s v="Euro Enterprise Develop. s.r.o."/>
    <n v="1880000"/>
    <n v="2274800"/>
    <x v="109"/>
    <m/>
    <d v="2017-10-18T00:00:00"/>
  </r>
  <r>
    <s v="VZ-2017-000649"/>
    <s v="ZT"/>
    <s v="Čech"/>
    <x v="312"/>
    <s v="33194100-7 "/>
    <m/>
    <n v="42880000"/>
    <x v="1"/>
    <d v="2017-09-25T00:00:00"/>
    <d v="2017-11-10T00:00:00"/>
    <s v="První chráněnná dílna"/>
    <n v="35749398.539999999"/>
    <n v="43256772.233399995"/>
    <x v="80"/>
    <m/>
    <d v="2017-12-12T00:00:00"/>
  </r>
  <r>
    <s v="VZ-2017-000657"/>
    <s v="VŠEOB"/>
    <s v="Nerudová"/>
    <x v="313"/>
    <s v="39120000-9"/>
    <m/>
    <n v="400000"/>
    <x v="3"/>
    <d v="2017-09-26T00:00:00"/>
    <d v="2017-10-16T00:00:00"/>
    <s v="Langer Interiéry s.r.o."/>
    <n v="298968"/>
    <n v="361751.28"/>
    <x v="110"/>
    <m/>
    <d v="2017-11-28T00:00:00"/>
  </r>
  <r>
    <s v="VZ-2017-000659"/>
    <s v="ENERG"/>
    <s v="Eyer"/>
    <x v="314"/>
    <s v="48900000-7"/>
    <s v="4.2.20."/>
    <n v="500000"/>
    <x v="0"/>
    <d v="2017-09-27T00:00:00"/>
    <d v="2017-10-10T00:00:00"/>
    <s v="Elmar group s.r.o."/>
    <n v="564260"/>
    <n v="682754.6"/>
    <x v="103"/>
    <m/>
    <d v="2017-11-16T00:00:00"/>
  </r>
  <r>
    <s v="VZ-2017-000660"/>
    <s v="LÉK"/>
    <s v="Ondráčková"/>
    <x v="315"/>
    <s v="33652000-5"/>
    <m/>
    <n v="62306843.039999999"/>
    <x v="1"/>
    <d v="2017-09-27T00:00:00"/>
    <d v="2017-11-03T00:00:00"/>
    <s v="TEVA Pharmaceuticals ČR s.r.o."/>
    <n v="62306843.039999999"/>
    <n v="68537527.344000012"/>
    <x v="107"/>
    <d v="2019-12-18T00:00:00"/>
    <d v="2017-12-20T00:00:00"/>
  </r>
  <r>
    <s v="VZ-2017-000660"/>
    <s v="LÉK"/>
    <s v="Ondráčková"/>
    <x v="316"/>
    <s v="33652000-5"/>
    <m/>
    <n v="6082017.4000000004"/>
    <x v="1"/>
    <d v="2017-09-27T00:00:00"/>
    <d v="2017-11-03T00:00:00"/>
    <s v="PHOENIX lék. Velkoobchod"/>
    <n v="605196.69999999995"/>
    <n v="665716.37"/>
    <x v="107"/>
    <d v="2019-12-18T00:00:00"/>
    <d v="2017-12-20T00:00:00"/>
  </r>
  <r>
    <s v="VZ-2017-000660"/>
    <s v="LÉK"/>
    <s v="Ondráčková"/>
    <x v="317"/>
    <s v="33652000-5"/>
    <m/>
    <n v="1622552.64"/>
    <x v="1"/>
    <d v="2017-09-27T00:00:00"/>
    <d v="2017-11-03T00:00:00"/>
    <s v="zrušeno"/>
    <m/>
    <m/>
    <x v="0"/>
    <m/>
    <d v="2017-11-08T00:00:00"/>
  </r>
  <r>
    <s v="VZ-2017-000661"/>
    <s v="INF"/>
    <s v="Oravec"/>
    <x v="318"/>
    <s v="30233141-1"/>
    <s v="3.2.18."/>
    <n v="3674000"/>
    <x v="3"/>
    <d v="2017-10-02T00:00:00"/>
    <d v="2017-10-19T00:00:00"/>
    <s v="Merit Group a.s."/>
    <n v="3597858"/>
    <n v="4353408.18"/>
    <x v="111"/>
    <m/>
    <d v="2017-11-10T00:00:00"/>
  </r>
  <r>
    <s v="VZ-2017-000663"/>
    <s v="ZT"/>
    <s v="Čech"/>
    <x v="319"/>
    <s v="39143112-4"/>
    <m/>
    <n v="1400000"/>
    <x v="0"/>
    <d v="2017-09-27T00:00:00"/>
    <d v="2017-10-06T00:00:00"/>
    <s v="LB Bohemia s.r.o."/>
    <n v="985500"/>
    <n v="1192455"/>
    <x v="106"/>
    <m/>
    <d v="2017-11-06T00:00:00"/>
  </r>
  <r>
    <s v="VZ-2017-000667"/>
    <s v="OSB "/>
    <s v="Vaida"/>
    <x v="320"/>
    <s v="45453000-7"/>
    <s v="4.2.13."/>
    <n v="1500000"/>
    <x v="0"/>
    <d v="2017-09-27T00:00:00"/>
    <d v="2017-10-10T00:00:00"/>
    <s v="Elektropráce Spáčil s.r.o."/>
    <n v="1458414.38"/>
    <n v="1764681.3997999998"/>
    <x v="103"/>
    <m/>
    <d v="2017-11-16T00:00:00"/>
  </r>
  <r>
    <s v="VZ-2017-000668"/>
    <s v="OSB "/>
    <s v="Vaida"/>
    <x v="321"/>
    <s v="45261214-7"/>
    <m/>
    <n v="1300000"/>
    <x v="0"/>
    <d v="2017-10-02T00:00:00"/>
    <d v="2017-10-10T00:00:00"/>
    <s v="Izotech Moravia s.r.o."/>
    <n v="689401"/>
    <n v="834175.21"/>
    <x v="112"/>
    <m/>
    <d v="2017-11-14T00:00:00"/>
  </r>
  <r>
    <s v="VZ-2017-000669"/>
    <s v="OSB "/>
    <s v="Vaida"/>
    <x v="322"/>
    <s v="45453000-7"/>
    <m/>
    <n v="330000"/>
    <x v="0"/>
    <d v="2017-09-27T00:00:00"/>
    <d v="2017-10-10T00:00:00"/>
    <s v="zrušeno"/>
    <m/>
    <m/>
    <x v="0"/>
    <m/>
    <s v="xxx"/>
  </r>
  <r>
    <s v="VZ-2017-000670"/>
    <s v="ELZAR"/>
    <s v="Žůrek"/>
    <x v="323"/>
    <s v="45316200-7"/>
    <s v="4.2.52."/>
    <n v="1325000"/>
    <x v="0"/>
    <d v="2017-11-08T00:00:00"/>
    <d v="2017-11-16T00:00:00"/>
    <s v="zrušeno"/>
    <m/>
    <m/>
    <x v="0"/>
    <m/>
    <s v="xxx"/>
  </r>
  <r>
    <s v="VZ-2017-000677"/>
    <s v="ZT"/>
    <s v="Čech"/>
    <x v="324"/>
    <s v="33120000-7"/>
    <s v="2.3.295."/>
    <n v="455000"/>
    <x v="0"/>
    <d v="2017-10-05T00:00:00"/>
    <d v="2017-10-17T00:00:00"/>
    <s v="BTL zdrav. technika a.s."/>
    <n v="493750"/>
    <n v="597437.5"/>
    <x v="105"/>
    <m/>
    <s v="xxx"/>
  </r>
  <r>
    <s v="VZ-2017-000679"/>
    <s v="LÉK"/>
    <s v="Ondráčková"/>
    <x v="325"/>
    <s v="33696500-0"/>
    <m/>
    <n v="8700000"/>
    <x v="1"/>
    <d v="2017-10-20T00:00:00"/>
    <d v="2017-11-30T00:00:00"/>
    <s v="Promedica Praha Group, a.s."/>
    <n v="8612882"/>
    <n v="10421587.220000001"/>
    <x v="0"/>
    <m/>
    <m/>
  </r>
  <r>
    <s v="VZ-2017-000680"/>
    <s v="PERS"/>
    <s v="Odehnalová"/>
    <x v="326"/>
    <s v="55110000-4"/>
    <m/>
    <n v="400000"/>
    <x v="0"/>
    <d v="2017-10-13T00:00:00"/>
    <d v="2017-10-20T00:00:00"/>
    <s v="Quiet Home Agency s.r.o."/>
    <n v="325945.5"/>
    <n v="379200"/>
    <x v="113"/>
    <m/>
    <s v="xxx"/>
  </r>
  <r>
    <s v="VZ-2017-000685"/>
    <s v="INF"/>
    <s v="Oravec"/>
    <x v="327"/>
    <s v="32552110-1"/>
    <m/>
    <n v="360000"/>
    <x v="0"/>
    <d v="2017-10-11T00:00:00"/>
    <d v="2017-10-18T00:00:00"/>
    <s v="Eriserv, spol. s r.o."/>
    <n v="362500"/>
    <n v="438625"/>
    <x v="114"/>
    <m/>
    <s v="xxx"/>
  </r>
  <r>
    <s v="VZ-2017-000689"/>
    <s v="ZT"/>
    <s v="Čech"/>
    <x v="328"/>
    <s v="33192300-5"/>
    <m/>
    <n v="1175000"/>
    <x v="0"/>
    <d v="2017-10-09T00:00:00"/>
    <d v="2017-10-18T00:00:00"/>
    <s v="Pro-Charitu s.r.o."/>
    <n v="933362"/>
    <n v="1129406"/>
    <x v="106"/>
    <m/>
    <d v="2017-11-06T00:00:00"/>
  </r>
  <r>
    <s v="VZ-2017-000691"/>
    <s v="LÉK"/>
    <s v="Ondráčková"/>
    <x v="329"/>
    <s v="33651520-9"/>
    <m/>
    <n v="3910221.46"/>
    <x v="1"/>
    <d v="2017-10-12T00:00:00"/>
    <d v="2017-11-22T00:00:00"/>
    <s v="PHOENIX lék. Velkoobchod"/>
    <n v="3910198.44"/>
    <n v="4301218.28"/>
    <x v="0"/>
    <m/>
    <m/>
  </r>
  <r>
    <s v="VZ-2017-000691"/>
    <s v="LÉK"/>
    <s v="Ondráčková"/>
    <x v="330"/>
    <s v="33651520-9"/>
    <m/>
    <n v="1359101.04"/>
    <x v="1"/>
    <d v="2017-10-12T00:00:00"/>
    <d v="2017-11-22T00:00:00"/>
    <s v="zrušeno - bez nabídky"/>
    <m/>
    <m/>
    <x v="0"/>
    <m/>
    <d v="2017-12-28T00:00:00"/>
  </r>
  <r>
    <s v="VZ-2017-000691"/>
    <s v="LÉK"/>
    <s v="Ondráčková"/>
    <x v="331"/>
    <s v="33651520-9"/>
    <m/>
    <n v="744173.64"/>
    <x v="1"/>
    <d v="2017-10-12T00:00:00"/>
    <d v="2017-11-22T00:00:00"/>
    <s v="SHIRE CZECH s.r.o."/>
    <n v="744167.52"/>
    <n v="818584.27"/>
    <x v="0"/>
    <m/>
    <m/>
  </r>
  <r>
    <s v="VZ-2017-000699"/>
    <s v="SERV"/>
    <s v="Zemánek"/>
    <x v="332"/>
    <s v="50400000-9"/>
    <m/>
    <n v="650000"/>
    <x v="0"/>
    <d v="2017-10-18T00:00:00"/>
    <d v="2017-10-31T00:00:00"/>
    <s v="Elekta Services s.r.o."/>
    <n v="639282.6"/>
    <n v="773531.95"/>
    <x v="110"/>
    <m/>
    <d v="2017-11-29T00:00:00"/>
  </r>
  <r>
    <s v="VZ2017-000704"/>
    <s v="VŠEOB"/>
    <s v="Nerudová"/>
    <x v="333"/>
    <s v="39120000-9"/>
    <m/>
    <n v="380000"/>
    <x v="3"/>
    <d v="2017-10-18T00:00:00"/>
    <d v="2017-11-08T00:00:00"/>
    <s v="KSK nábytek s.r.o."/>
    <n v="316570"/>
    <n v="383049.7"/>
    <x v="0"/>
    <m/>
    <m/>
  </r>
  <r>
    <s v="VZ-2017-000710"/>
    <s v="METR"/>
    <s v="Filip"/>
    <x v="334"/>
    <s v="50411000-9 "/>
    <m/>
    <n v="2600000"/>
    <x v="3"/>
    <d v="2017-10-19T00:00:00"/>
    <d v="2017-11-13T00:00:00"/>
    <s v="KALIST AKL s.r.o."/>
    <n v="1803340"/>
    <n v="2182041.4"/>
    <x v="102"/>
    <m/>
    <d v="2017-12-28T00:00:00"/>
  </r>
  <r>
    <s v="VZ-2017-000710"/>
    <s v="METR"/>
    <s v="Filip"/>
    <x v="335"/>
    <s v="50411000-9 "/>
    <m/>
    <n v="800000"/>
    <x v="3"/>
    <d v="2017-10-19T00:00:00"/>
    <d v="2017-11-13T00:00:00"/>
    <s v="KALIST AKL s.r.o."/>
    <n v="718800"/>
    <n v="869748"/>
    <x v="102"/>
    <m/>
    <d v="2017-12-28T00:00:00"/>
  </r>
  <r>
    <s v="VZ-2017-000711"/>
    <s v="OSB "/>
    <s v="Vaida"/>
    <x v="336"/>
    <s v="45421100-5"/>
    <m/>
    <n v="350000"/>
    <x v="0"/>
    <d v="2017-10-24T00:00:00"/>
    <d v="2017-11-03T00:00:00"/>
    <s v="INWORK s.r.o."/>
    <n v="410892.09"/>
    <n v="497179.4289"/>
    <x v="77"/>
    <m/>
    <s v="xxx"/>
  </r>
  <r>
    <s v="VZ-2017-000713"/>
    <s v="INF"/>
    <s v="Oravec"/>
    <x v="337"/>
    <s v="32428000-9"/>
    <s v="3.3.2."/>
    <n v="3670000"/>
    <x v="3"/>
    <d v="2017-10-18T00:00:00"/>
    <d v="2017-11-07T00:00:00"/>
    <s v="Merit Group a.s."/>
    <n v="3661450"/>
    <n v="4430354.4000000004"/>
    <x v="80"/>
    <m/>
    <d v="2017-12-12T00:00:00"/>
  </r>
  <r>
    <s v="VZ-2017-000715"/>
    <s v="OBN"/>
    <s v="Merta"/>
    <x v="338"/>
    <s v="73420000-2"/>
    <s v="1.3.1."/>
    <n v="1990000"/>
    <x v="0"/>
    <d v="2017-10-31T00:00:00"/>
    <d v="2017-11-10T00:00:00"/>
    <s v="SALSO s.r.o."/>
    <n v="1990000"/>
    <n v="2407900"/>
    <x v="115"/>
    <m/>
    <d v="2018-01-02T00:00:00"/>
  </r>
  <r>
    <s v="VZ-2017-000723"/>
    <s v="SERV"/>
    <s v="Zemánek"/>
    <x v="339"/>
    <s v="50400000-9"/>
    <m/>
    <n v="1100000"/>
    <x v="0"/>
    <d v="2017-10-23T00:00:00"/>
    <d v="2017-11-03T00:00:00"/>
    <s v="Transkontakt medical s.r.o."/>
    <n v="1017773.26"/>
    <n v="1231506"/>
    <x v="116"/>
    <m/>
    <d v="2017-11-23T00:00:00"/>
  </r>
  <r>
    <s v="VZ-2017-000726"/>
    <s v="SERV"/>
    <s v="Zemánek"/>
    <x v="340"/>
    <s v="50421000-2"/>
    <m/>
    <n v="1800000"/>
    <x v="0"/>
    <d v="2017-11-01T00:00:00"/>
    <d v="2017-11-14T00:00:00"/>
    <s v="BMT Medical Technology s.r.o."/>
    <n v="602674"/>
    <n v="729235.53999999992"/>
    <x v="117"/>
    <m/>
    <d v="2017-12-11T00:00:00"/>
  </r>
  <r>
    <s v="VZ-2017-000730"/>
    <s v="SERV"/>
    <s v="Zemánek"/>
    <x v="341"/>
    <s v="50421000-2"/>
    <m/>
    <n v="900000"/>
    <x v="0"/>
    <d v="2017-11-07T00:00:00"/>
    <d v="2017-11-14T00:00:00"/>
    <s v="Transkontakt medical s.r.o."/>
    <n v="839000"/>
    <n v="1015190"/>
    <x v="118"/>
    <m/>
    <d v="2017-12-13T00:00:00"/>
  </r>
  <r>
    <s v="VZ-2017-000733"/>
    <s v="SERV"/>
    <s v="Zemánek"/>
    <x v="342"/>
    <s v="50421000-2"/>
    <m/>
    <n v="560000"/>
    <x v="0"/>
    <d v="2017-10-31T00:00:00"/>
    <d v="2017-11-14T00:00:00"/>
    <s v="OMS-Dent s.r.o."/>
    <n v="27600"/>
    <n v="33396"/>
    <x v="119"/>
    <s v="doba neurčitá"/>
    <d v="2017-12-21T00:00:00"/>
  </r>
  <r>
    <s v="VZ-2017-000734"/>
    <s v="LÉK"/>
    <s v="Ondráčková"/>
    <x v="343"/>
    <s v="33661700-8"/>
    <m/>
    <n v="27876213.379999999"/>
    <x v="1"/>
    <d v="2017-11-03T00:00:00"/>
    <d v="2017-12-11T00:00:00"/>
    <s v="PHOENIX lék. Velkoobchod"/>
    <n v="27821554.02"/>
    <n v="30603709.422000002"/>
    <x v="0"/>
    <m/>
    <m/>
  </r>
  <r>
    <s v="VZ-2017-000734"/>
    <s v="LÉK"/>
    <s v="Ondráčková"/>
    <x v="344"/>
    <s v="33661700-8"/>
    <m/>
    <n v="146844"/>
    <x v="1"/>
    <d v="2017-11-03T00:00:00"/>
    <d v="2017-12-11T00:00:00"/>
    <s v="PHOENIX lék. Velkoobchod"/>
    <n v="146844"/>
    <n v="161528.40000000002"/>
    <x v="0"/>
    <m/>
    <m/>
  </r>
  <r>
    <s v="VZ-2017-000734"/>
    <s v="LÉK"/>
    <s v="Ondráčková"/>
    <x v="345"/>
    <s v="33661700-8"/>
    <m/>
    <n v="300384"/>
    <x v="1"/>
    <d v="2017-11-03T00:00:00"/>
    <d v="2017-12-11T00:00:00"/>
    <s v="Alliance Healthcare s.r.o."/>
    <n v="298302"/>
    <n v="328132.2"/>
    <x v="0"/>
    <m/>
    <m/>
  </r>
  <r>
    <s v="VZ-2017-000734"/>
    <s v="LÉK"/>
    <s v="Ondráčková"/>
    <x v="346"/>
    <s v="33661700-8"/>
    <m/>
    <n v="159122"/>
    <x v="1"/>
    <d v="2017-11-03T00:00:00"/>
    <d v="2017-12-11T00:00:00"/>
    <s v="PHOENIX lék. Velkoobchod"/>
    <n v="157830"/>
    <n v="173613"/>
    <x v="0"/>
    <m/>
    <m/>
  </r>
  <r>
    <s v="VZ-2017-000735"/>
    <s v="LÉK"/>
    <s v="Ondráčková"/>
    <x v="347"/>
    <s v="33652100-6 "/>
    <m/>
    <n v="425317.92"/>
    <x v="1"/>
    <d v="2017-11-16T00:00:00"/>
    <d v="2018-01-05T00:00:00"/>
    <m/>
    <m/>
    <m/>
    <x v="0"/>
    <m/>
    <m/>
  </r>
  <r>
    <s v="VZ-2017-000735"/>
    <s v="LÉK"/>
    <s v="Ondráčková"/>
    <x v="348"/>
    <s v="33652100-6"/>
    <m/>
    <n v="4104326.9"/>
    <x v="1"/>
    <d v="2017-11-16T00:00:00"/>
    <d v="2018-01-05T00:00:00"/>
    <m/>
    <m/>
    <m/>
    <x v="0"/>
    <m/>
    <m/>
  </r>
  <r>
    <s v="VZ-2017-000735"/>
    <s v="LÉK"/>
    <s v="Ondráčková"/>
    <x v="349"/>
    <s v="33652100-6"/>
    <m/>
    <n v="4551397.9400000004"/>
    <x v="1"/>
    <d v="2017-11-16T00:00:00"/>
    <d v="2018-01-05T00:00:00"/>
    <m/>
    <m/>
    <m/>
    <x v="0"/>
    <m/>
    <m/>
  </r>
  <r>
    <s v="VZ-2017-000735"/>
    <s v="LÉK"/>
    <s v="Ondráčková"/>
    <x v="350"/>
    <s v="33652100-6"/>
    <m/>
    <n v="8263134"/>
    <x v="1"/>
    <d v="2017-11-16T00:00:00"/>
    <d v="2018-01-05T00:00:00"/>
    <m/>
    <m/>
    <m/>
    <x v="0"/>
    <m/>
    <m/>
  </r>
  <r>
    <s v="VZ-2017-000735"/>
    <s v="LÉK"/>
    <s v="Ondráčková"/>
    <x v="351"/>
    <s v="33652100-6"/>
    <m/>
    <n v="17024000"/>
    <x v="1"/>
    <d v="2017-11-16T00:00:00"/>
    <d v="2018-01-05T00:00:00"/>
    <m/>
    <m/>
    <m/>
    <x v="0"/>
    <m/>
    <m/>
  </r>
  <r>
    <s v="VZ-2017-000736"/>
    <s v="LÉK"/>
    <s v="Ondráčková"/>
    <x v="352"/>
    <s v="33652300-8"/>
    <m/>
    <n v="2424242"/>
    <x v="1"/>
    <d v="2017-11-09T00:00:00"/>
    <d v="2017-12-20T00:00:00"/>
    <s v="Alliance Healthcare s.r.o."/>
    <n v="2424242"/>
    <n v="2666666.2000000002"/>
    <x v="0"/>
    <m/>
    <m/>
  </r>
  <r>
    <s v="VZ-2017-000736"/>
    <s v="LÉK"/>
    <s v="Ondráčková"/>
    <x v="353"/>
    <s v="33652300-8"/>
    <m/>
    <n v="1572186"/>
    <x v="1"/>
    <d v="2017-11-09T00:00:00"/>
    <d v="2017-12-20T00:00:00"/>
    <s v="zrušeno, bez nabídky"/>
    <m/>
    <m/>
    <x v="0"/>
    <m/>
    <d v="2018-01-23T00:00:00"/>
  </r>
  <r>
    <s v="VZ-2017-000736"/>
    <s v="LÉK"/>
    <s v="Ondráčková"/>
    <x v="354"/>
    <s v="33652300-8"/>
    <m/>
    <n v="12396122.52"/>
    <x v="1"/>
    <d v="2017-11-09T00:00:00"/>
    <d v="2017-12-20T00:00:00"/>
    <s v="Janssen-Cilag s.r.o."/>
    <n v="12396122.52"/>
    <n v="13635734.772"/>
    <x v="0"/>
    <m/>
    <m/>
  </r>
  <r>
    <s v="VZ-2017-000736"/>
    <s v="LÉK"/>
    <s v="Ondráčková"/>
    <x v="355"/>
    <s v="33652300-8"/>
    <m/>
    <n v="6897081.4000000004"/>
    <x v="1"/>
    <d v="2017-11-09T00:00:00"/>
    <d v="2017-12-20T00:00:00"/>
    <s v="ViaPharma s.r.o."/>
    <n v="6800669.8899999997"/>
    <n v="7480736.8790000007"/>
    <x v="0"/>
    <m/>
    <m/>
  </r>
  <r>
    <s v="VZ-2017-000736"/>
    <s v="LÉK"/>
    <s v="Ondráčková"/>
    <x v="356"/>
    <s v="33652300-8"/>
    <m/>
    <n v="6660432"/>
    <x v="1"/>
    <d v="2017-11-09T00:00:00"/>
    <d v="2017-12-20T00:00:00"/>
    <s v="Alliance Healthcare s.r.o."/>
    <n v="6660432"/>
    <n v="7326475.2000000002"/>
    <x v="0"/>
    <m/>
    <m/>
  </r>
  <r>
    <s v="VZ-2017-000736"/>
    <s v="LÉK"/>
    <s v="Ondráčková"/>
    <x v="357"/>
    <s v="33652300-8"/>
    <m/>
    <n v="2237756.56"/>
    <x v="1"/>
    <d v="2017-11-09T00:00:00"/>
    <d v="2017-12-20T00:00:00"/>
    <s v="zrušeno, bez nabídky"/>
    <m/>
    <m/>
    <x v="0"/>
    <m/>
    <d v="2018-01-23T00:00:00"/>
  </r>
  <r>
    <s v="VZ-2017-000740"/>
    <s v="SERV"/>
    <s v="Zemánek"/>
    <x v="358"/>
    <s v="50421000-2"/>
    <m/>
    <n v="600000"/>
    <x v="0"/>
    <d v="2017-10-31T00:00:00"/>
    <d v="2017-11-14T00:00:00"/>
    <s v="LHL s.r.o."/>
    <n v="56450"/>
    <n v="68304.5"/>
    <x v="120"/>
    <s v="doba neurčitá"/>
    <d v="2017-12-27T00:00:00"/>
  </r>
  <r>
    <s v="VZ-2017-000741"/>
    <s v="SERV"/>
    <s v="Zemánek"/>
    <x v="359"/>
    <s v="50421000-2"/>
    <m/>
    <n v="400000"/>
    <x v="0"/>
    <d v="2017-10-31T00:00:00"/>
    <d v="2017-11-16T00:00:00"/>
    <s v="Hospimed spol. s r.o."/>
    <n v="207060"/>
    <n v="250542.6"/>
    <x v="102"/>
    <s v="doba neurčitá"/>
    <d v="2017-12-27T00:00:00"/>
  </r>
  <r>
    <s v="VZ-2017-000745"/>
    <s v="OSB "/>
    <s v="Vaida"/>
    <x v="360"/>
    <s v="45453000-7"/>
    <m/>
    <n v="450000"/>
    <x v="0"/>
    <d v="2017-10-30T00:00:00"/>
    <d v="2017-11-10T00:00:00"/>
    <s v="Elektropráce Spáčil s.r.o."/>
    <n v="599900"/>
    <n v="725879"/>
    <x v="121"/>
    <m/>
    <d v="2018-01-04T00:00:00"/>
  </r>
  <r>
    <s v="VZ-2017-000748"/>
    <s v="INF"/>
    <s v="Oravec"/>
    <x v="361"/>
    <s v="30232100-5 "/>
    <m/>
    <n v="255000"/>
    <x v="0"/>
    <d v="2017-11-01T00:00:00"/>
    <d v="2017-11-10T00:00:00"/>
    <s v="C SYSTEM a.s."/>
    <n v="272800"/>
    <n v="330088"/>
    <x v="105"/>
    <m/>
    <s v="xxx"/>
  </r>
  <r>
    <s v="VZ-2017-000749"/>
    <s v="ZT"/>
    <s v="Čech"/>
    <x v="362"/>
    <s v="33162100-4"/>
    <s v="2.3.292."/>
    <n v="1155000"/>
    <x v="0"/>
    <d v="2017-10-31T00:00:00"/>
    <d v="2017-11-10T00:00:00"/>
    <s v="Biomedica ČS s.r.o."/>
    <n v="1283300"/>
    <n v="1552793"/>
    <x v="88"/>
    <m/>
    <d v="2017-12-07T00:00:00"/>
  </r>
  <r>
    <s v="VZ-2017-000760"/>
    <s v="INF"/>
    <s v="Miklík"/>
    <x v="363"/>
    <s v="48710000-8"/>
    <s v="3.2.14."/>
    <n v="371900"/>
    <x v="0"/>
    <d v="2017-11-07T00:00:00"/>
    <d v="2017-11-10T00:00:00"/>
    <s v="DATA-INTER s.r.o."/>
    <n v="371300"/>
    <n v="449273"/>
    <x v="122"/>
    <m/>
    <s v="xxx"/>
  </r>
  <r>
    <s v="VZ-2017-000764"/>
    <s v="ENERG"/>
    <s v="Eyer"/>
    <x v="364"/>
    <s v="45316000-5"/>
    <s v="4.1.22."/>
    <n v="1240000"/>
    <x v="0"/>
    <d v="2017-11-08T00:00:00"/>
    <d v="2017-11-16T00:00:00"/>
    <s v="Elpremo s.r.o."/>
    <n v="977171"/>
    <n v="1182377"/>
    <x v="102"/>
    <m/>
    <d v="2017-12-28T00:00:00"/>
  </r>
  <r>
    <s v="VZ-2017-000784"/>
    <s v="LÉK"/>
    <s v="Ondráčková"/>
    <x v="365"/>
    <s v="33632200-1"/>
    <m/>
    <n v="2300220"/>
    <x v="1"/>
    <d v="2017-11-16T00:00:00"/>
    <d v="2017-12-28T00:00:00"/>
    <s v="PHOENIX lék. Velkoobchod"/>
    <n v="2281312.7999999998"/>
    <n v="2509444.08"/>
    <x v="0"/>
    <m/>
    <m/>
  </r>
  <r>
    <s v="VZ-2017-000784"/>
    <s v="LÉK"/>
    <s v="Ondráčková"/>
    <x v="366"/>
    <s v="33632200-1"/>
    <m/>
    <n v="7844306.4000000004"/>
    <x v="1"/>
    <d v="2017-11-16T00:00:00"/>
    <d v="2017-12-28T00:00:00"/>
    <s v="PHOENIX lék. Velkoobchod"/>
    <n v="7766640"/>
    <n v="8543304"/>
    <x v="0"/>
    <m/>
    <m/>
  </r>
  <r>
    <s v="VZ-2017-000784"/>
    <s v="LÉK"/>
    <s v="Ondráčková"/>
    <x v="367"/>
    <s v="33632200-1"/>
    <m/>
    <n v="5059432.22"/>
    <x v="1"/>
    <d v="2017-11-16T00:00:00"/>
    <d v="2017-12-28T00:00:00"/>
    <s v="Alliance Healthcare s.r.o."/>
    <n v="5014850.16"/>
    <n v="5516335.1760000009"/>
    <x v="0"/>
    <m/>
    <m/>
  </r>
  <r>
    <s v="VZ-2017-000787"/>
    <s v="ZT"/>
    <s v="Čech"/>
    <x v="368"/>
    <s v="33116100-6"/>
    <s v="2.3.294."/>
    <n v="305000"/>
    <x v="0"/>
    <d v="2017-11-13T00:00:00"/>
    <d v="2017-11-24T00:00:00"/>
    <s v="zrušeno"/>
    <m/>
    <m/>
    <x v="0"/>
    <m/>
    <s v="xxx"/>
  </r>
  <r>
    <s v="VZ-2017-000789"/>
    <s v="OSB "/>
    <s v="Vaida"/>
    <x v="369"/>
    <s v="45453000-7"/>
    <s v="4.3.3."/>
    <n v="5950000"/>
    <x v="0"/>
    <d v="2017-11-10T00:00:00"/>
    <d v="2017-11-24T00:00:00"/>
    <s v="zrušeno, bez nabídky"/>
    <m/>
    <m/>
    <x v="0"/>
    <m/>
    <s v="xxx"/>
  </r>
  <r>
    <s v="VZ-2017-000799"/>
    <s v="ZT"/>
    <s v="Čech"/>
    <x v="370"/>
    <s v="33124210-0"/>
    <s v="2.3.293."/>
    <n v="865000"/>
    <x v="0"/>
    <d v="2017-11-16T00:00:00"/>
    <d v="2017-11-29T00:00:00"/>
    <s v="Canberra Packard s.r.o."/>
    <n v="1669200"/>
    <n v="2019732"/>
    <x v="0"/>
    <m/>
    <m/>
  </r>
  <r>
    <s v="VZ-2017-000802"/>
    <s v="KVAL"/>
    <s v="Cahlíková"/>
    <x v="371"/>
    <s v="72225000-8"/>
    <m/>
    <n v="300000"/>
    <x v="0"/>
    <d v="2017-11-15T00:00:00"/>
    <d v="2017-11-24T00:00:00"/>
    <s v="Česká společnost pro akreditaci ve zdravotnictví"/>
    <n v="194000"/>
    <n v="234740"/>
    <x v="123"/>
    <m/>
    <s v="xxx"/>
  </r>
  <r>
    <s v="VZ-2017-000812"/>
    <s v="LÉK"/>
    <s v="Ondráčková"/>
    <x v="372"/>
    <s v="33621300-2"/>
    <m/>
    <n v="1702608"/>
    <x v="0"/>
    <d v="2017-12-14T00:00:00"/>
    <d v="2018-01-24T00:00:00"/>
    <m/>
    <m/>
    <m/>
    <x v="0"/>
    <m/>
    <m/>
  </r>
  <r>
    <s v="VZ-2017-000813"/>
    <s v="LÉK"/>
    <s v="Ondráčková"/>
    <x v="373"/>
    <s v="33652300-8"/>
    <m/>
    <n v="131673.32"/>
    <x v="1"/>
    <d v="2017-11-30T00:00:00"/>
    <d v="2018-01-09T00:00:00"/>
    <m/>
    <m/>
    <m/>
    <x v="0"/>
    <m/>
    <m/>
  </r>
  <r>
    <s v="VZ-2017-000813"/>
    <s v="LÉK"/>
    <s v="Ondráčková"/>
    <x v="374"/>
    <s v="33652300-8"/>
    <m/>
    <n v="16902723.82"/>
    <x v="1"/>
    <d v="2017-11-30T00:00:00"/>
    <d v="2018-01-09T00:00:00"/>
    <m/>
    <m/>
    <m/>
    <x v="0"/>
    <m/>
    <m/>
  </r>
  <r>
    <s v="VZ-2017-000814"/>
    <s v="LÉK"/>
    <s v="Ondráčková"/>
    <x v="375"/>
    <s v="33652000-5"/>
    <m/>
    <n v="2899656"/>
    <x v="1"/>
    <d v="2017-12-08T00:00:00"/>
    <d v="2018-01-16T00:00:00"/>
    <m/>
    <m/>
    <m/>
    <x v="0"/>
    <m/>
    <m/>
  </r>
  <r>
    <s v="VZ-2017-000814"/>
    <s v="LÉK"/>
    <s v="Ondráčková"/>
    <x v="376"/>
    <s v="33652000-5"/>
    <m/>
    <n v="4172051.48"/>
    <x v="1"/>
    <d v="2017-12-08T00:00:00"/>
    <d v="2018-01-16T00:00:00"/>
    <m/>
    <m/>
    <m/>
    <x v="0"/>
    <m/>
    <m/>
  </r>
  <r>
    <s v="VZ-2017-000815"/>
    <s v="LÉK"/>
    <s v="Ondráčková"/>
    <x v="377"/>
    <s v="33652000-5"/>
    <m/>
    <n v="39478800"/>
    <x v="1"/>
    <d v="2017-11-22T00:00:00"/>
    <d v="2018-01-03T00:00:00"/>
    <m/>
    <m/>
    <m/>
    <x v="0"/>
    <m/>
    <m/>
  </r>
  <r>
    <s v="VZ-2017-000815"/>
    <s v="LÉK"/>
    <s v="Ondráčková"/>
    <x v="378"/>
    <s v="33652000-5"/>
    <m/>
    <n v="11502108.060000001"/>
    <x v="1"/>
    <d v="2017-11-22T00:00:00"/>
    <d v="2018-01-03T00:00:00"/>
    <m/>
    <m/>
    <m/>
    <x v="0"/>
    <m/>
    <m/>
  </r>
  <r>
    <s v="VZ-2017-000815"/>
    <s v="LÉK"/>
    <s v="Ondráčková"/>
    <x v="379"/>
    <s v="33652000-5"/>
    <m/>
    <n v="12729355.68"/>
    <x v="1"/>
    <d v="2017-11-22T00:00:00"/>
    <d v="2018-01-03T00:00:00"/>
    <m/>
    <m/>
    <m/>
    <x v="0"/>
    <m/>
    <m/>
  </r>
  <r>
    <s v="VZ-2017-000815"/>
    <s v="LÉK"/>
    <s v="Ondráčková"/>
    <x v="380"/>
    <s v="33652000-5"/>
    <m/>
    <n v="46981891"/>
    <x v="1"/>
    <d v="2017-11-22T00:00:00"/>
    <d v="2018-01-03T00:00:00"/>
    <m/>
    <m/>
    <m/>
    <x v="0"/>
    <m/>
    <m/>
  </r>
  <r>
    <s v="VZ-2017-000815"/>
    <s v="LÉK"/>
    <s v="Ondráčková"/>
    <x v="381"/>
    <s v="33652000-5"/>
    <m/>
    <n v="3726366.8"/>
    <x v="1"/>
    <d v="2017-11-22T00:00:00"/>
    <d v="2018-01-03T00:00:00"/>
    <m/>
    <m/>
    <m/>
    <x v="0"/>
    <m/>
    <m/>
  </r>
  <r>
    <s v="VZ-2017-000815"/>
    <s v="LÉK"/>
    <s v="Ondráčková"/>
    <x v="382"/>
    <s v="33652000-5"/>
    <m/>
    <n v="23613480"/>
    <x v="1"/>
    <d v="2017-11-22T00:00:00"/>
    <d v="2018-01-03T00:00:00"/>
    <m/>
    <m/>
    <m/>
    <x v="0"/>
    <m/>
    <m/>
  </r>
  <r>
    <s v="VZ-2017-000815"/>
    <s v="LÉK"/>
    <s v="Ondráčková"/>
    <x v="383"/>
    <s v="33652000-5"/>
    <m/>
    <n v="846944.64"/>
    <x v="1"/>
    <d v="2017-11-22T00:00:00"/>
    <d v="2018-01-03T00:00:00"/>
    <m/>
    <m/>
    <m/>
    <x v="0"/>
    <m/>
    <m/>
  </r>
  <r>
    <s v="VZ-2017-000816"/>
    <s v="LÉK"/>
    <s v="Ondráčková"/>
    <x v="384"/>
    <s v="33652000-5"/>
    <m/>
    <n v="19704244.98"/>
    <x v="1"/>
    <d v="2017-11-30T00:00:00"/>
    <d v="2018-01-08T00:00:00"/>
    <m/>
    <m/>
    <m/>
    <x v="0"/>
    <m/>
    <m/>
  </r>
  <r>
    <s v="VZ-2017-000816"/>
    <s v="LÉK"/>
    <s v="Ondráčková"/>
    <x v="385"/>
    <s v="33652000-5"/>
    <m/>
    <n v="7155968.7599999998"/>
    <x v="1"/>
    <d v="2017-11-30T00:00:00"/>
    <d v="2018-01-08T00:00:00"/>
    <m/>
    <m/>
    <m/>
    <x v="0"/>
    <m/>
    <m/>
  </r>
  <r>
    <s v="VZ-2017-000816"/>
    <s v="LÉK"/>
    <s v="Ondráčková"/>
    <x v="386"/>
    <s v="33652000-5"/>
    <m/>
    <n v="3150972"/>
    <x v="1"/>
    <d v="2017-11-30T00:00:00"/>
    <d v="2018-01-08T00:00:00"/>
    <m/>
    <m/>
    <m/>
    <x v="0"/>
    <m/>
    <m/>
  </r>
  <r>
    <s v="VZ-2017-000816"/>
    <s v="LÉK"/>
    <s v="Ondráčková"/>
    <x v="387"/>
    <s v="33652000-5"/>
    <m/>
    <n v="1785220.92"/>
    <x v="1"/>
    <d v="2017-11-30T00:00:00"/>
    <d v="2018-01-08T00:00:00"/>
    <m/>
    <m/>
    <m/>
    <x v="0"/>
    <m/>
    <m/>
  </r>
  <r>
    <s v="VZ-2017-000816"/>
    <s v="LÉK"/>
    <s v="Ondráčková"/>
    <x v="388"/>
    <s v="33652000-5"/>
    <m/>
    <n v="6035861.1200000001"/>
    <x v="1"/>
    <d v="2017-11-30T00:00:00"/>
    <d v="2018-01-08T00:00:00"/>
    <m/>
    <m/>
    <m/>
    <x v="0"/>
    <m/>
    <m/>
  </r>
  <r>
    <s v="VZ-2017-000816"/>
    <s v="LÉK"/>
    <s v="Ondráčková"/>
    <x v="389"/>
    <s v="33652000-5"/>
    <m/>
    <n v="2516460"/>
    <x v="1"/>
    <d v="2017-11-30T00:00:00"/>
    <d v="2018-01-08T00:00:00"/>
    <m/>
    <m/>
    <m/>
    <x v="0"/>
    <m/>
    <m/>
  </r>
  <r>
    <s v="VZ-2017-000816"/>
    <s v="LÉK"/>
    <s v="Ondráčková"/>
    <x v="390"/>
    <s v="33652000-5"/>
    <m/>
    <n v="6451139.04"/>
    <x v="1"/>
    <d v="2017-11-30T00:00:00"/>
    <d v="2018-01-08T00:00:00"/>
    <m/>
    <m/>
    <m/>
    <x v="0"/>
    <m/>
    <m/>
  </r>
  <r>
    <s v="VZ-2017-000819"/>
    <s v="INF"/>
    <s v="Oravec"/>
    <x v="391"/>
    <s v="30125110-5"/>
    <m/>
    <n v="4145000"/>
    <x v="1"/>
    <d v="2017-11-29T00:00:00"/>
    <d v="2018-01-09T00:00:00"/>
    <m/>
    <m/>
    <m/>
    <x v="0"/>
    <m/>
    <m/>
  </r>
  <r>
    <s v="VZ-2017-000827"/>
    <s v="ZT"/>
    <s v="Čech"/>
    <x v="392"/>
    <s v="33171200-1 "/>
    <s v="2.3.299."/>
    <n v="380000"/>
    <x v="0"/>
    <d v="2017-11-22T00:00:00"/>
    <d v="2017-12-01T00:00:00"/>
    <s v="Olympus Czech Rep."/>
    <n v="321642"/>
    <n v="389186.82"/>
    <x v="0"/>
    <m/>
    <m/>
  </r>
  <r>
    <s v="VZ-2017-000834"/>
    <s v="LÉK"/>
    <s v="Ondráčková"/>
    <x v="393"/>
    <s v="33652300-8 "/>
    <m/>
    <n v="269641.59999999998"/>
    <x v="1"/>
    <d v="2017-11-28T00:00:00"/>
    <d v="2018-01-04T00:00:00"/>
    <m/>
    <m/>
    <m/>
    <x v="0"/>
    <m/>
    <m/>
  </r>
  <r>
    <s v="VZ-2017-000834"/>
    <s v="LÉK"/>
    <s v="Ondráčková"/>
    <x v="394"/>
    <s v="33652300-8 "/>
    <m/>
    <n v="961347.58"/>
    <x v="1"/>
    <d v="2017-11-28T00:00:00"/>
    <d v="2018-01-04T00:00:00"/>
    <m/>
    <m/>
    <m/>
    <x v="0"/>
    <m/>
    <m/>
  </r>
  <r>
    <s v="VZ-2017-000834"/>
    <s v="LÉK"/>
    <s v="Ondráčková"/>
    <x v="395"/>
    <s v="33652300-8 "/>
    <m/>
    <n v="21963590.640000001"/>
    <x v="1"/>
    <d v="2017-11-28T00:00:00"/>
    <d v="2018-01-04T00:00:00"/>
    <m/>
    <m/>
    <m/>
    <x v="0"/>
    <m/>
    <m/>
  </r>
  <r>
    <s v="VZ-2017-000834"/>
    <s v="LÉK"/>
    <s v="Ondráčková"/>
    <x v="396"/>
    <s v="33652300-8 "/>
    <m/>
    <n v="15393728.699999999"/>
    <x v="1"/>
    <d v="2017-11-28T00:00:00"/>
    <d v="2018-01-04T00:00:00"/>
    <m/>
    <m/>
    <m/>
    <x v="0"/>
    <m/>
    <m/>
  </r>
  <r>
    <s v="VZ-2017-000834"/>
    <s v="LÉK"/>
    <s v="Ondráčková"/>
    <x v="397"/>
    <s v="33652300-8 "/>
    <m/>
    <n v="100133671"/>
    <x v="1"/>
    <d v="2017-11-28T00:00:00"/>
    <d v="2018-01-04T00:00:00"/>
    <m/>
    <m/>
    <m/>
    <x v="0"/>
    <m/>
    <m/>
  </r>
  <r>
    <s v="VZ-2017-000836"/>
    <s v="ZT"/>
    <s v="Čech"/>
    <x v="398"/>
    <s v="33121400-8"/>
    <s v="2.3.298."/>
    <n v="1530000"/>
    <x v="0"/>
    <d v="2017-11-28T00:00:00"/>
    <d v="2017-12-12T00:00:00"/>
    <s v="Widex Line spol. s r.o."/>
    <n v="1239740"/>
    <n v="1500085.4"/>
    <x v="0"/>
    <m/>
    <m/>
  </r>
  <r>
    <s v="VZ-2017-000838"/>
    <s v="ENERG"/>
    <s v="Eyer"/>
    <x v="399"/>
    <s v="31154000-0"/>
    <s v="4.2.61."/>
    <n v="1035000"/>
    <x v="0"/>
    <d v="2017-11-30T00:00:00"/>
    <d v="2017-12-15T00:00:00"/>
    <s v="Firstpower a.s."/>
    <n v="950000"/>
    <n v="1149500"/>
    <x v="0"/>
    <m/>
    <m/>
  </r>
  <r>
    <s v="VZ-2017-000844"/>
    <s v="INF"/>
    <s v="Oravec"/>
    <x v="400"/>
    <s v="30213500-0"/>
    <m/>
    <n v="1080000"/>
    <x v="0"/>
    <d v="2017-12-14T00:00:00"/>
    <d v="2017-12-22T00:00:00"/>
    <s v="Datascan s.r.o."/>
    <n v="1080430"/>
    <n v="1307320.3"/>
    <x v="0"/>
    <m/>
    <m/>
  </r>
  <r>
    <s v="VZ-2017-000848"/>
    <s v="ZM"/>
    <s v="Dočkalová"/>
    <x v="401"/>
    <s v="33681000-7"/>
    <m/>
    <n v="1041000"/>
    <x v="0"/>
    <d v="2017-12-08T00:00:00"/>
    <d v="2017-12-28T00:00:00"/>
    <s v="Medical M spol. s r.o."/>
    <n v="908121.2"/>
    <n v="1098826.652"/>
    <x v="0"/>
    <m/>
    <m/>
  </r>
  <r>
    <s v="VZ-2017-000848"/>
    <s v="ZM"/>
    <s v="Dočkalová"/>
    <x v="402"/>
    <s v="33681000-7"/>
    <m/>
    <n v="485000"/>
    <x v="0"/>
    <d v="2017-12-08T00:00:00"/>
    <d v="2017-12-28T00:00:00"/>
    <s v="S.A.B. Impex  s.r.o."/>
    <n v="482819"/>
    <n v="584210.99"/>
    <x v="0"/>
    <m/>
    <m/>
  </r>
  <r>
    <s v="VZ-2017-000848"/>
    <s v="ZM"/>
    <s v="Dočkalová"/>
    <x v="403"/>
    <s v="33681000-7"/>
    <m/>
    <n v="15000"/>
    <x v="0"/>
    <d v="2017-12-08T00:00:00"/>
    <d v="2017-12-28T00:00:00"/>
    <s v="DN FORMED Brno s.r.o."/>
    <n v="13000"/>
    <n v="15730"/>
    <x v="0"/>
    <m/>
    <m/>
  </r>
  <r>
    <s v="VZ-2017-000849"/>
    <s v="OSB "/>
    <s v="Vaida"/>
    <x v="404"/>
    <s v="45453000-7"/>
    <s v="4.3.3."/>
    <n v="5950400"/>
    <x v="0"/>
    <d v="2017-11-30T00:00:00"/>
    <d v="2017-12-15T00:00:00"/>
    <s v="zrušeno"/>
    <m/>
    <m/>
    <x v="0"/>
    <m/>
    <s v="xxx"/>
  </r>
  <r>
    <s v="VZ-2017-000856"/>
    <s v="LÉK"/>
    <s v="Ondráčková"/>
    <x v="405"/>
    <s v="33652100-6"/>
    <m/>
    <n v="360876"/>
    <x v="1"/>
    <d v="2017-12-14T00:00:00"/>
    <d v="2018-01-23T00:00:00"/>
    <m/>
    <m/>
    <m/>
    <x v="0"/>
    <m/>
    <m/>
  </r>
  <r>
    <s v="VZ-2017-000856"/>
    <s v="LÉK"/>
    <s v="Ondráčková"/>
    <x v="406"/>
    <s v="33652100-6"/>
    <m/>
    <n v="2935333"/>
    <x v="1"/>
    <d v="2017-12-14T00:00:00"/>
    <d v="2018-01-23T00:00:00"/>
    <m/>
    <m/>
    <m/>
    <x v="0"/>
    <m/>
    <m/>
  </r>
  <r>
    <s v="VZ-2017-000856"/>
    <s v="LÉK"/>
    <s v="Ondráčková"/>
    <x v="407"/>
    <s v="33652100-6"/>
    <m/>
    <n v="1410369"/>
    <x v="1"/>
    <d v="2017-12-14T00:00:00"/>
    <d v="2018-01-23T00:00:00"/>
    <m/>
    <m/>
    <m/>
    <x v="0"/>
    <m/>
    <m/>
  </r>
  <r>
    <s v="VZ-2017-000856"/>
    <s v="LÉK"/>
    <s v="Ondráčková"/>
    <x v="408"/>
    <s v="33652100-6"/>
    <m/>
    <n v="807048"/>
    <x v="1"/>
    <d v="2017-12-14T00:00:00"/>
    <d v="2018-01-23T00:00:00"/>
    <m/>
    <m/>
    <m/>
    <x v="0"/>
    <m/>
    <m/>
  </r>
  <r>
    <s v="VZ-2017-000856"/>
    <s v="LÉK"/>
    <s v="Ondráčková"/>
    <x v="409"/>
    <s v="33652100-6"/>
    <m/>
    <n v="5890312"/>
    <x v="1"/>
    <d v="2017-12-14T00:00:00"/>
    <d v="2018-01-23T00:00:00"/>
    <m/>
    <m/>
    <m/>
    <x v="0"/>
    <m/>
    <m/>
  </r>
  <r>
    <s v="VZ-2017-000856"/>
    <s v="LÉK"/>
    <s v="Ondráčková"/>
    <x v="410"/>
    <s v="33652100-6"/>
    <m/>
    <n v="1493238"/>
    <x v="1"/>
    <d v="2017-12-14T00:00:00"/>
    <d v="2018-01-23T00:00:00"/>
    <m/>
    <m/>
    <m/>
    <x v="0"/>
    <m/>
    <m/>
  </r>
  <r>
    <s v="VZ-2017-000856"/>
    <s v="LÉK"/>
    <s v="Ondráčková"/>
    <x v="411"/>
    <s v="33652100-6"/>
    <m/>
    <n v="3703522"/>
    <x v="1"/>
    <d v="2017-12-14T00:00:00"/>
    <d v="2018-01-23T00:00:00"/>
    <m/>
    <m/>
    <m/>
    <x v="0"/>
    <m/>
    <m/>
  </r>
  <r>
    <s v="VZ-2017-000856"/>
    <s v="LÉK"/>
    <s v="Ondráčková"/>
    <x v="412"/>
    <s v="33652100-6"/>
    <m/>
    <n v="10176790"/>
    <x v="1"/>
    <d v="2017-12-14T00:00:00"/>
    <d v="2018-01-23T00:00:00"/>
    <m/>
    <m/>
    <m/>
    <x v="0"/>
    <m/>
    <m/>
  </r>
  <r>
    <s v="VZ-2017-000857"/>
    <s v="LÉK"/>
    <s v="Ondráčková"/>
    <x v="413"/>
    <s v="33652300-8"/>
    <m/>
    <n v="40489140"/>
    <x v="1"/>
    <d v="2017-12-12T00:00:00"/>
    <d v="2018-01-19T00:00:00"/>
    <m/>
    <m/>
    <m/>
    <x v="0"/>
    <m/>
    <m/>
  </r>
  <r>
    <s v="VZ-2017-000857"/>
    <s v="LÉK"/>
    <s v="Ondráčková"/>
    <x v="414"/>
    <s v="33652300-8"/>
    <m/>
    <n v="2068139"/>
    <x v="1"/>
    <d v="2017-12-12T00:00:00"/>
    <d v="2018-01-19T00:00:00"/>
    <m/>
    <m/>
    <m/>
    <x v="0"/>
    <m/>
    <m/>
  </r>
  <r>
    <s v="VZ-2017-000857"/>
    <s v="LÉK"/>
    <s v="Ondráčková"/>
    <x v="415"/>
    <s v="33652300-8"/>
    <m/>
    <n v="80635182"/>
    <x v="1"/>
    <d v="2017-12-12T00:00:00"/>
    <d v="2018-01-19T00:00:00"/>
    <m/>
    <m/>
    <m/>
    <x v="0"/>
    <m/>
    <m/>
  </r>
  <r>
    <s v="VZ-2017-000857"/>
    <s v="LÉK"/>
    <s v="Ondráčková"/>
    <x v="416"/>
    <s v="33652300-8"/>
    <m/>
    <n v="27845933"/>
    <x v="1"/>
    <d v="2017-12-12T00:00:00"/>
    <d v="2018-01-19T00:00:00"/>
    <m/>
    <m/>
    <m/>
    <x v="0"/>
    <m/>
    <m/>
  </r>
  <r>
    <s v="VZ-2017-000857"/>
    <s v="LÉK"/>
    <s v="Ondráčková"/>
    <x v="417"/>
    <s v="33652300-8"/>
    <m/>
    <n v="3061412"/>
    <x v="1"/>
    <d v="2017-12-12T00:00:00"/>
    <d v="2018-01-19T00:00:00"/>
    <m/>
    <m/>
    <m/>
    <x v="0"/>
    <m/>
    <m/>
  </r>
  <r>
    <s v="VZ-2017-000864"/>
    <s v="INV"/>
    <s v="Kvapil"/>
    <x v="418"/>
    <s v="45215100-8 "/>
    <s v="1.3.10."/>
    <n v="33000000"/>
    <x v="1"/>
    <m/>
    <m/>
    <m/>
    <m/>
    <m/>
    <x v="0"/>
    <m/>
    <m/>
  </r>
  <r>
    <s v="VZ-2017-000869"/>
    <s v="ENERG"/>
    <s v="Srovnal"/>
    <x v="419"/>
    <s v="45311000-0"/>
    <s v="4.2.16."/>
    <n v="3595950"/>
    <x v="0"/>
    <d v="2017-12-18T00:00:00"/>
    <d v="2018-01-05T00:00:00"/>
    <m/>
    <m/>
    <m/>
    <x v="0"/>
    <m/>
    <m/>
  </r>
  <r>
    <s v="VZ-2017-000875"/>
    <s v="ZT"/>
    <s v="Čech"/>
    <x v="420"/>
    <s v="33116100-6"/>
    <s v="2.3.294."/>
    <n v="305000"/>
    <x v="0"/>
    <d v="2017-12-18T00:00:00"/>
    <d v="2018-01-04T00:00:00"/>
    <m/>
    <m/>
    <m/>
    <x v="0"/>
    <m/>
    <s v="xxx"/>
  </r>
  <r>
    <s v="VZ-2017-000881"/>
    <s v="OSB "/>
    <s v="Vaida"/>
    <x v="421"/>
    <s v="45215100-8"/>
    <m/>
    <n v="6500000"/>
    <x v="3"/>
    <d v="2017-12-19T00:00:00"/>
    <d v="2018-01-10T00:00:00"/>
    <m/>
    <m/>
    <m/>
    <x v="0"/>
    <m/>
    <m/>
  </r>
  <r>
    <s v="VZ-2017-000883"/>
    <s v="PROVOZ"/>
    <s v="Hyža"/>
    <x v="422"/>
    <s v="39314000-6"/>
    <s v="4.2.7."/>
    <n v="1900000"/>
    <x v="0"/>
    <m/>
    <m/>
    <m/>
    <m/>
    <m/>
    <x v="0"/>
    <m/>
    <m/>
  </r>
  <r>
    <s v="VZ-2017-000884"/>
    <s v="ZM"/>
    <s v="Dočkalová"/>
    <x v="423"/>
    <s v="33141000-0 "/>
    <m/>
    <n v="1027000"/>
    <x v="0"/>
    <d v="2017-12-20T00:00:00"/>
    <d v="2018-01-10T00:00:00"/>
    <m/>
    <m/>
    <m/>
    <x v="0"/>
    <m/>
    <m/>
  </r>
  <r>
    <s v="VZ-2017-000885"/>
    <s v="LÉK"/>
    <s v="Ondráčková"/>
    <x v="424"/>
    <s v="33652000-5"/>
    <m/>
    <n v="15915347"/>
    <x v="1"/>
    <d v="2017-12-20T00:00:00"/>
    <d v="2018-02-05T00:00:00"/>
    <m/>
    <m/>
    <m/>
    <x v="0"/>
    <m/>
    <m/>
  </r>
  <r>
    <s v="VZ-2017-000885"/>
    <s v="LÉK"/>
    <s v="Ondráčková"/>
    <x v="425"/>
    <s v="33652000-5"/>
    <m/>
    <n v="2900994"/>
    <x v="1"/>
    <d v="2017-12-20T00:00:00"/>
    <d v="2018-02-05T00:00:00"/>
    <m/>
    <m/>
    <m/>
    <x v="0"/>
    <m/>
    <m/>
  </r>
  <r>
    <s v="VZ-2017-000885"/>
    <s v="LÉK"/>
    <s v="Ondráčková"/>
    <x v="426"/>
    <s v="33652000-5"/>
    <m/>
    <n v="12262903"/>
    <x v="1"/>
    <d v="2017-12-20T00:00:00"/>
    <d v="2018-02-05T00:00:00"/>
    <m/>
    <m/>
    <m/>
    <x v="0"/>
    <m/>
    <m/>
  </r>
  <r>
    <s v="VZ-2017-000885"/>
    <s v="LÉK"/>
    <s v="Ondráčková"/>
    <x v="427"/>
    <s v="33652000-5"/>
    <m/>
    <n v="3124080"/>
    <x v="1"/>
    <d v="2017-12-20T00:00:00"/>
    <d v="2018-02-05T00:00:00"/>
    <m/>
    <m/>
    <m/>
    <x v="0"/>
    <m/>
    <m/>
  </r>
  <r>
    <s v="VZ-2017-000885"/>
    <s v="LÉK"/>
    <s v="Ondráčková"/>
    <x v="428"/>
    <s v="33652000-5"/>
    <m/>
    <n v="4084640"/>
    <x v="1"/>
    <d v="2017-12-20T00:00:00"/>
    <d v="2018-02-05T00:00:00"/>
    <m/>
    <m/>
    <m/>
    <x v="0"/>
    <m/>
    <m/>
  </r>
  <r>
    <s v="VZ-2017-000885"/>
    <s v="LÉK"/>
    <s v="Ondráčková"/>
    <x v="429"/>
    <s v="33652000-5"/>
    <m/>
    <n v="50787000"/>
    <x v="1"/>
    <d v="2017-12-20T00:00:00"/>
    <d v="2018-02-05T00:00:00"/>
    <m/>
    <m/>
    <m/>
    <x v="0"/>
    <m/>
    <m/>
  </r>
  <r>
    <s v="VZ-2017-000885"/>
    <s v="LÉK"/>
    <s v="Ondráčková"/>
    <x v="430"/>
    <s v="33652000-5"/>
    <m/>
    <n v="14719291"/>
    <x v="1"/>
    <d v="2017-12-20T00:00:00"/>
    <d v="2018-02-05T00:00:00"/>
    <m/>
    <m/>
    <m/>
    <x v="0"/>
    <m/>
    <m/>
  </r>
  <r>
    <s v="VZ-2017-000885"/>
    <s v="LÉK"/>
    <s v="Ondráčková"/>
    <x v="431"/>
    <s v="33652000-5"/>
    <m/>
    <n v="4387442"/>
    <x v="1"/>
    <d v="2017-12-20T00:00:00"/>
    <d v="2018-02-05T00:00:00"/>
    <m/>
    <m/>
    <m/>
    <x v="0"/>
    <m/>
    <m/>
  </r>
  <r>
    <s v="VZ-2017-000891"/>
    <s v="INF"/>
    <s v="Oravec"/>
    <x v="432"/>
    <s v="32422000-7"/>
    <s v="3.2.24."/>
    <n v="3500000"/>
    <x v="3"/>
    <m/>
    <m/>
    <m/>
    <m/>
    <m/>
    <x v="0"/>
    <m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8">
  <r>
    <s v="VZ-2017-000418"/>
    <s v="EKOL"/>
    <s v="Dudík"/>
    <x v="0"/>
    <s v="65100000-4"/>
    <s v="4.3.7."/>
    <n v="1990000"/>
    <x v="0"/>
    <d v="2017-10-17T00:00:00"/>
    <d v="2017-10-26T00:00:00"/>
    <s v="AQUA Cleer, s.r.o."/>
    <n v="1782746"/>
    <n v="2157123"/>
    <x v="0"/>
    <m/>
    <d v="2018-01-15T00:00:00"/>
  </r>
  <r>
    <s v="VZ-2017-000460"/>
    <s v="ZM "/>
    <s v="Dočkalová"/>
    <x v="1"/>
    <s v="33140000-3"/>
    <m/>
    <n v="611000"/>
    <x v="0"/>
    <d v="2017-06-16T00:00:00"/>
    <d v="2017-06-30T00:00:00"/>
    <s v="Pro-Charitu s.r.o."/>
    <n v="605184"/>
    <n v="732272.64000000001"/>
    <x v="1"/>
    <m/>
    <d v="2018-02-13T00:00:00"/>
  </r>
  <r>
    <s v="VZ-2017-000538"/>
    <s v="LÉK"/>
    <s v="Ondráčková"/>
    <x v="2"/>
    <s v="33652000-5"/>
    <m/>
    <n v="6503641.7999999998"/>
    <x v="1"/>
    <d v="2017-08-16T00:00:00"/>
    <d v="2017-09-26T00:00:00"/>
    <s v="Fresenius Kabi s.r.o."/>
    <n v="1087227.6000000001"/>
    <n v="1195950.3600000001"/>
    <x v="2"/>
    <d v="2020-01-03T00:00:00"/>
    <d v="2018-01-04T00:00:00"/>
  </r>
  <r>
    <s v="VZ-2017-000538"/>
    <s v="LÉK"/>
    <s v="Ondráčková"/>
    <x v="3"/>
    <s v="33652000-5"/>
    <m/>
    <n v="381074.24"/>
    <x v="1"/>
    <d v="2017-08-16T00:00:00"/>
    <d v="2017-09-26T00:00:00"/>
    <s v="Pharmos, a.s."/>
    <n v="378320.36"/>
    <n v="416152.39600000001"/>
    <x v="2"/>
    <d v="2020-01-03T00:00:00"/>
    <d v="2018-01-04T00:00:00"/>
  </r>
  <r>
    <s v="VZ-2017-000561"/>
    <s v="LÉK"/>
    <s v="Ondráčková"/>
    <x v="4"/>
    <s v="33694000-1"/>
    <m/>
    <n v="3381000"/>
    <x v="2"/>
    <d v="2017-08-25T00:00:00"/>
    <d v="2017-09-19T00:00:00"/>
    <s v="PharmaTech s.r.o."/>
    <n v="3381000"/>
    <n v="4091010"/>
    <x v="3"/>
    <d v="2022-02-12T00:00:00"/>
    <d v="2018-02-21T00:00:00"/>
  </r>
  <r>
    <s v="VZ-2017-000565"/>
    <s v="IROP"/>
    <s v="Neudorflörová"/>
    <x v="5"/>
    <s v="33192120-9"/>
    <s v="2.3.254."/>
    <n v="11705547"/>
    <x v="1"/>
    <d v="2017-09-07T00:00:00"/>
    <d v="2017-10-19T00:00:00"/>
    <s v="Linet s.r.o."/>
    <n v="14909928.1"/>
    <n v="18041013.000999998"/>
    <x v="4"/>
    <m/>
    <d v="2018-01-10T00:00:00"/>
  </r>
  <r>
    <s v="VZ-2017-000573"/>
    <s v="IROP"/>
    <s v="Neudorflörová"/>
    <x v="6"/>
    <s v="33124120-2"/>
    <m/>
    <n v="24819752"/>
    <x v="1"/>
    <d v="2017-10-02T00:00:00"/>
    <d v="2017-11-09T00:00:00"/>
    <s v="EMS s.r.o."/>
    <n v="23792140"/>
    <n v="28788489.399999999"/>
    <x v="5"/>
    <m/>
    <d v="2018-02-12T00:00:00"/>
  </r>
  <r>
    <s v="VZ-2017-000579"/>
    <s v="IROP"/>
    <s v="Neudorflörová"/>
    <x v="7"/>
    <s v="33157400-9 "/>
    <s v="2.3.259."/>
    <n v="11203695.869999999"/>
    <x v="1"/>
    <d v="2017-10-04T00:00:00"/>
    <d v="2018-01-03T00:00:00"/>
    <s v="medisap s.r.o."/>
    <n v="9147640"/>
    <n v="11068644.4"/>
    <x v="6"/>
    <m/>
    <d v="2018-05-23T00:00:00"/>
  </r>
  <r>
    <s v="VZ-2017-000589 "/>
    <s v="ENERG"/>
    <s v="Eyer"/>
    <x v="8"/>
    <s v="51135100-8"/>
    <s v="4.2.18."/>
    <n v="3500000"/>
    <x v="2"/>
    <d v="2017-08-30T00:00:00"/>
    <d v="2017-09-20T00:00:00"/>
    <s v="Bosch Termotechnika s.r.o."/>
    <n v="3220530"/>
    <n v="3896841.3"/>
    <x v="7"/>
    <m/>
    <d v="2018-03-22T00:00:00"/>
  </r>
  <r>
    <s v="VZ-2017-000627"/>
    <s v="LÉK"/>
    <s v="Ondráčková"/>
    <x v="9"/>
    <s v="33652300-8"/>
    <m/>
    <n v="2854864.68"/>
    <x v="1"/>
    <d v="2017-10-09T00:00:00"/>
    <d v="2017-11-23T00:00:00"/>
    <s v="Alliance Healthcare s.r.o."/>
    <n v="2854864.68"/>
    <n v="3140351.1480000005"/>
    <x v="8"/>
    <d v="2020-02-26T00:00:00"/>
    <d v="2018-02-28T00:00:00"/>
  </r>
  <r>
    <s v="VZ-2017-000627"/>
    <s v="LÉK"/>
    <s v="Ondráčková"/>
    <x v="10"/>
    <s v="33652300-8"/>
    <m/>
    <n v="22808400"/>
    <x v="1"/>
    <d v="2017-10-09T00:00:00"/>
    <d v="2017-11-23T00:00:00"/>
    <s v="PHOENIX lék.velkoobchod, s.r.o."/>
    <n v="22780920"/>
    <n v="25059012.000000004"/>
    <x v="8"/>
    <d v="2020-02-26T00:00:00"/>
    <d v="2018-02-28T00:00:00"/>
  </r>
  <r>
    <s v="VZ-2017-000627"/>
    <s v="LÉK"/>
    <s v="Ondráčková"/>
    <x v="11"/>
    <s v="33652300-8"/>
    <m/>
    <n v="47998332"/>
    <x v="1"/>
    <d v="2017-10-09T00:00:00"/>
    <d v="2017-11-23T00:00:00"/>
    <s v="Alliance Healthcare s.r.o."/>
    <n v="48195114.479999997"/>
    <n v="53014625.928000003"/>
    <x v="8"/>
    <d v="2020-02-26T00:00:00"/>
    <d v="2018-02-28T00:00:00"/>
  </r>
  <r>
    <s v="VZ-2017-000627"/>
    <s v="LÉK"/>
    <s v="Ondráčková"/>
    <x v="12"/>
    <s v="33652300-8"/>
    <m/>
    <n v="42201746.560000002"/>
    <x v="1"/>
    <d v="2017-10-09T00:00:00"/>
    <d v="2017-11-23T00:00:00"/>
    <s v="ViaPharma s.r.o."/>
    <n v="41814288"/>
    <n v="45995716.800000004"/>
    <x v="8"/>
    <d v="2020-02-26T00:00:00"/>
    <d v="2018-02-28T00:00:00"/>
  </r>
  <r>
    <s v="VZ-2017-000627"/>
    <s v="LÉK"/>
    <s v="Ondráčková"/>
    <x v="13"/>
    <s v="33652300-8"/>
    <m/>
    <n v="15420550.880000001"/>
    <x v="1"/>
    <d v="2017-10-09T00:00:00"/>
    <d v="2017-11-23T00:00:00"/>
    <s v="Merck Sharp &amp; Dohme s.r.o."/>
    <n v="15485324.960000001"/>
    <n v="17033858.199999999"/>
    <x v="8"/>
    <d v="2020-02-26T00:00:00"/>
    <d v="2018-02-28T00:00:00"/>
  </r>
  <r>
    <s v="VZ-2017-000628"/>
    <s v="LÉK"/>
    <s v="Ondráčková"/>
    <x v="14"/>
    <s v="33141550-0"/>
    <m/>
    <n v="998754.74239839998"/>
    <x v="1"/>
    <d v="2017-09-19T00:00:00"/>
    <d v="2017-10-26T00:00:00"/>
    <s v="Sanofi-Aventis"/>
    <n v="998719"/>
    <n v="1098590.9000000001"/>
    <x v="9"/>
    <d v="2020-04-15T00:00:00"/>
    <d v="2018-04-17T00:00:00"/>
  </r>
  <r>
    <s v="VZ-2017-000641"/>
    <s v="DOPR"/>
    <s v="Solovský"/>
    <x v="15"/>
    <s v="34300000-0; 50110000-9"/>
    <m/>
    <n v="2700000"/>
    <x v="1"/>
    <d v="2017-10-11T00:00:00"/>
    <d v="2017-11-21T00:00:00"/>
    <s v="Auto Čechák s.r.o."/>
    <s v="jednotkové ceny"/>
    <s v="jednotkové ceny"/>
    <x v="10"/>
    <d v="2020-01-09T00:00:00"/>
    <d v="2018-01-11T00:00:00"/>
  </r>
  <r>
    <s v="VZ-2017-000641"/>
    <s v="DOPR"/>
    <s v="Solovský"/>
    <x v="16"/>
    <s v="34300000-0; 50110000-9"/>
    <m/>
    <n v="1150000"/>
    <x v="1"/>
    <d v="2017-10-11T00:00:00"/>
    <d v="2017-11-21T00:00:00"/>
    <s v="Jiří Klanica"/>
    <s v="jednotkové ceny"/>
    <s v="jednotkové ceny"/>
    <x v="10"/>
    <d v="2020-01-09T00:00:00"/>
    <d v="2018-01-11T00:00:00"/>
  </r>
  <r>
    <s v="VZ-2017-000641"/>
    <s v="DOPR"/>
    <s v="Solovský"/>
    <x v="17"/>
    <s v="34300000-0; 50110000-9"/>
    <m/>
    <n v="150000"/>
    <x v="1"/>
    <d v="2017-10-11T00:00:00"/>
    <d v="2017-11-21T00:00:00"/>
    <s v="Auto Čechák s.r.o."/>
    <s v="jednotkové ceny"/>
    <s v="jednotkové ceny"/>
    <x v="10"/>
    <d v="2020-01-09T00:00:00"/>
    <d v="2018-01-11T00:00:00"/>
  </r>
  <r>
    <s v="VZ-2017-000679"/>
    <s v="LÉK"/>
    <s v="Ondráčková"/>
    <x v="18"/>
    <s v="33696500-0"/>
    <m/>
    <n v="8700000"/>
    <x v="1"/>
    <d v="2017-10-20T00:00:00"/>
    <d v="2017-11-30T00:00:00"/>
    <s v="Promedica Praha Group, a.s."/>
    <n v="8612882"/>
    <n v="10421587.220000001"/>
    <x v="11"/>
    <s v="doba neurčitá"/>
    <d v="2018-01-31T00:00:00"/>
  </r>
  <r>
    <s v="VZ-2017-000691"/>
    <s v="LÉK"/>
    <s v="Ondráčková"/>
    <x v="19"/>
    <s v="33651520-9"/>
    <m/>
    <n v="3910221.46"/>
    <x v="1"/>
    <d v="2017-10-12T00:00:00"/>
    <d v="2017-11-22T00:00:00"/>
    <s v="PHOENIX lék.velkoobchod, s.r.o."/>
    <n v="3910198.44"/>
    <n v="4301218.28"/>
    <x v="3"/>
    <d v="2020-02-12T00:00:00"/>
    <d v="2018-02-22T00:00:00"/>
  </r>
  <r>
    <s v="VZ-2017-000691"/>
    <s v="LÉK"/>
    <s v="Ondráčková"/>
    <x v="20"/>
    <s v="33651520-9"/>
    <m/>
    <n v="744173.64"/>
    <x v="1"/>
    <d v="2017-10-12T00:00:00"/>
    <d v="2017-11-22T00:00:00"/>
    <s v="SHIRE CZECH s.r.o."/>
    <n v="744167.52"/>
    <n v="818584.27"/>
    <x v="3"/>
    <d v="2020-02-12T00:00:00"/>
    <d v="2018-02-22T00:00:00"/>
  </r>
  <r>
    <s v="VZ2017-000704"/>
    <s v="VŠEOB"/>
    <s v="Nerudová"/>
    <x v="21"/>
    <s v="39120000-9"/>
    <m/>
    <n v="380000"/>
    <x v="2"/>
    <d v="2017-10-18T00:00:00"/>
    <d v="2017-11-08T00:00:00"/>
    <s v="KSK nábytek s.r.o."/>
    <n v="316570"/>
    <n v="383049.7"/>
    <x v="12"/>
    <m/>
    <d v="2018-01-10T00:00:00"/>
  </r>
  <r>
    <s v="VZ-2017-000734"/>
    <s v="LÉK"/>
    <s v="Ondráčková"/>
    <x v="22"/>
    <s v="33661700-8"/>
    <m/>
    <n v="27876213.379999999"/>
    <x v="1"/>
    <d v="2017-11-03T00:00:00"/>
    <d v="2017-12-11T00:00:00"/>
    <s v="PHOENIX lék.velkoobchod, s.r.o."/>
    <n v="27821554.02"/>
    <n v="30603709.422000002"/>
    <x v="13"/>
    <d v="2020-01-15T00:00:00"/>
    <d v="2018-01-17T00:00:00"/>
  </r>
  <r>
    <s v="VZ-2017-000734"/>
    <s v="LÉK"/>
    <s v="Ondráčková"/>
    <x v="23"/>
    <s v="33661700-8"/>
    <m/>
    <n v="146844"/>
    <x v="1"/>
    <d v="2017-11-03T00:00:00"/>
    <d v="2017-12-11T00:00:00"/>
    <s v="PHOENIX lék.velkoobchod, s.r.o."/>
    <n v="146844"/>
    <n v="161528.40000000002"/>
    <x v="13"/>
    <d v="2020-01-15T00:00:00"/>
    <d v="2018-01-17T00:00:00"/>
  </r>
  <r>
    <s v="VZ-2017-000734"/>
    <s v="LÉK"/>
    <s v="Ondráčková"/>
    <x v="24"/>
    <s v="33661700-8"/>
    <m/>
    <n v="300384"/>
    <x v="1"/>
    <d v="2017-11-03T00:00:00"/>
    <d v="2017-12-11T00:00:00"/>
    <s v="Alliance Healthcare s.r.o."/>
    <n v="298302"/>
    <n v="328132.2"/>
    <x v="13"/>
    <d v="2020-01-15T00:00:00"/>
    <d v="2018-01-17T00:00:00"/>
  </r>
  <r>
    <s v="VZ-2017-000734"/>
    <s v="LÉK"/>
    <s v="Ondráčková"/>
    <x v="25"/>
    <s v="33661700-8"/>
    <m/>
    <n v="159122"/>
    <x v="1"/>
    <d v="2017-11-03T00:00:00"/>
    <d v="2017-12-11T00:00:00"/>
    <s v="PHOENIX lék.velkoobchod, s.r.o."/>
    <n v="157830"/>
    <n v="173613"/>
    <x v="13"/>
    <d v="2020-01-15T00:00:00"/>
    <d v="2018-01-17T00:00:00"/>
  </r>
  <r>
    <s v="VZ-2017-000735"/>
    <s v="LÉK"/>
    <s v="Ondráčková"/>
    <x v="26"/>
    <s v="33652100-6 "/>
    <m/>
    <n v="425317.92"/>
    <x v="1"/>
    <d v="2017-11-16T00:00:00"/>
    <d v="2017-12-29T00:00:00"/>
    <s v="PHOENIX lék.velkoobchod, s.r.o."/>
    <n v="421822.88"/>
    <n v="464005.16800000006"/>
    <x v="14"/>
    <d v="2020-02-14T00:00:00"/>
    <d v="2018-02-20T00:00:00"/>
  </r>
  <r>
    <s v="VZ-2017-000735"/>
    <s v="LÉK"/>
    <s v="Ondráčková"/>
    <x v="27"/>
    <s v="33652100-6"/>
    <m/>
    <n v="4104326.9"/>
    <x v="1"/>
    <d v="2017-11-16T00:00:00"/>
    <d v="2017-12-29T00:00:00"/>
    <s v="Alliance Healthcare s.r.o."/>
    <n v="4066536.34"/>
    <n v="4473189.9740000004"/>
    <x v="14"/>
    <d v="2020-02-14T00:00:00"/>
    <d v="2018-02-20T00:00:00"/>
  </r>
  <r>
    <s v="VZ-2017-000735"/>
    <s v="LÉK"/>
    <s v="Ondráčková"/>
    <x v="28"/>
    <s v="33652100-6"/>
    <m/>
    <n v="4551397.9400000004"/>
    <x v="1"/>
    <d v="2017-11-16T00:00:00"/>
    <d v="2017-12-29T00:00:00"/>
    <s v="ROCHE s.r.o."/>
    <n v="4454820.18"/>
    <n v="4900302.1979999999"/>
    <x v="14"/>
    <d v="2020-02-14T00:00:00"/>
    <d v="2018-02-20T00:00:00"/>
  </r>
  <r>
    <s v="VZ-2017-000735"/>
    <s v="LÉK"/>
    <s v="Ondráčková"/>
    <x v="29"/>
    <s v="33652100-6"/>
    <m/>
    <n v="8263134"/>
    <x v="1"/>
    <d v="2017-11-16T00:00:00"/>
    <d v="2017-12-29T00:00:00"/>
    <s v="PHOENIX lék.velkoobchod, s.r.o."/>
    <n v="8263134"/>
    <n v="9089447.4000000004"/>
    <x v="14"/>
    <d v="2020-02-14T00:00:00"/>
    <d v="2018-02-20T00:00:00"/>
  </r>
  <r>
    <s v="VZ-2017-000735"/>
    <s v="LÉK"/>
    <s v="Ondráčková"/>
    <x v="30"/>
    <s v="33652100-6"/>
    <m/>
    <n v="17024000"/>
    <x v="1"/>
    <d v="2017-11-16T00:00:00"/>
    <d v="2017-12-29T00:00:00"/>
    <s v="Gilead Sciences s.r.o."/>
    <n v="17024000"/>
    <n v="18726400"/>
    <x v="14"/>
    <d v="2020-02-14T00:00:00"/>
    <d v="2018-02-20T00:00:00"/>
  </r>
  <r>
    <s v="VZ-2017-000736"/>
    <s v="LÉK"/>
    <s v="Ondráčková"/>
    <x v="31"/>
    <s v="33652300-8"/>
    <m/>
    <n v="2424242"/>
    <x v="1"/>
    <d v="2017-11-09T00:00:00"/>
    <d v="2017-12-20T00:00:00"/>
    <s v="Alliance Healthcare s.r.o."/>
    <n v="2424242"/>
    <n v="2666666.2000000002"/>
    <x v="15"/>
    <d v="2020-03-06T00:00:00"/>
    <d v="2018-03-12T00:00:00"/>
  </r>
  <r>
    <s v="VZ-2017-000736"/>
    <s v="LÉK"/>
    <s v="Ondráčková"/>
    <x v="32"/>
    <s v="33652300-8"/>
    <m/>
    <n v="12396122.52"/>
    <x v="1"/>
    <d v="2017-11-09T00:00:00"/>
    <d v="2017-12-20T00:00:00"/>
    <s v="Janssen-Cilag s.r.o."/>
    <n v="12396122.52"/>
    <n v="13635734.772"/>
    <x v="15"/>
    <d v="2020-03-06T00:00:00"/>
    <d v="2018-03-12T00:00:00"/>
  </r>
  <r>
    <s v="VZ-2017-000736"/>
    <s v="LÉK"/>
    <s v="Ondráčková"/>
    <x v="33"/>
    <s v="33652300-8"/>
    <m/>
    <n v="6897081.4000000004"/>
    <x v="1"/>
    <d v="2017-11-09T00:00:00"/>
    <d v="2017-12-20T00:00:00"/>
    <s v="ViaPharma s.r.o."/>
    <n v="6800669.8899999997"/>
    <n v="7480736.8790000007"/>
    <x v="15"/>
    <d v="2020-03-06T00:00:00"/>
    <d v="2018-03-12T00:00:00"/>
  </r>
  <r>
    <s v="VZ-2017-000736"/>
    <s v="LÉK"/>
    <s v="Ondráčková"/>
    <x v="34"/>
    <s v="33652300-8"/>
    <m/>
    <n v="6660432"/>
    <x v="1"/>
    <d v="2017-11-09T00:00:00"/>
    <d v="2017-12-20T00:00:00"/>
    <s v="Alliance Healthcare s.r.o."/>
    <n v="6660432"/>
    <n v="7326475.2000000002"/>
    <x v="15"/>
    <d v="2020-03-06T00:00:00"/>
    <d v="2018-03-12T00:00:00"/>
  </r>
  <r>
    <s v="VZ-2017-000784"/>
    <s v="LÉK"/>
    <s v="Ondráčková"/>
    <x v="35"/>
    <s v="33632200-1"/>
    <m/>
    <n v="2300220"/>
    <x v="1"/>
    <d v="2017-11-16T00:00:00"/>
    <d v="2017-12-28T00:00:00"/>
    <s v="PHOENIX lék.velkoobchod, s.r.o."/>
    <n v="2281312.7999999998"/>
    <n v="2509444.08"/>
    <x v="3"/>
    <d v="2020-02-12T00:00:00"/>
    <d v="2018-02-16T00:00:00"/>
  </r>
  <r>
    <s v="VZ-2017-000784"/>
    <s v="LÉK"/>
    <s v="Ondráčková"/>
    <x v="36"/>
    <s v="33632200-1"/>
    <m/>
    <n v="7844306.4000000004"/>
    <x v="1"/>
    <d v="2017-11-16T00:00:00"/>
    <d v="2017-12-28T00:00:00"/>
    <s v="PHOENIX lék.velkoobchod, s.r.o."/>
    <n v="7766640"/>
    <n v="8543304"/>
    <x v="3"/>
    <d v="2020-02-12T00:00:00"/>
    <d v="2018-02-16T00:00:00"/>
  </r>
  <r>
    <s v="VZ-2017-000784"/>
    <s v="LÉK"/>
    <s v="Ondráčková"/>
    <x v="37"/>
    <s v="33632200-1"/>
    <m/>
    <n v="5059432.22"/>
    <x v="1"/>
    <d v="2017-11-16T00:00:00"/>
    <d v="2017-12-28T00:00:00"/>
    <s v="Alliance Healthcare s.r.o."/>
    <n v="5014850.16"/>
    <n v="5516335.1760000009"/>
    <x v="3"/>
    <d v="2020-02-12T00:00:00"/>
    <d v="2018-02-16T00:00:00"/>
  </r>
  <r>
    <s v="VZ-2017-000799"/>
    <s v="ZT"/>
    <s v="Čech"/>
    <x v="38"/>
    <s v="33124210-0"/>
    <s v="2.3.293."/>
    <n v="865000"/>
    <x v="0"/>
    <d v="2017-11-16T00:00:00"/>
    <d v="2017-11-29T00:00:00"/>
    <s v="Canberra Packard s.r.o."/>
    <n v="1669200"/>
    <n v="2019732"/>
    <x v="16"/>
    <m/>
    <d v="2018-01-17T00:00:00"/>
  </r>
  <r>
    <s v="VZ-2017-000802"/>
    <s v="KVAL"/>
    <s v="Cahlíková"/>
    <x v="39"/>
    <s v="72225000-8"/>
    <m/>
    <n v="300000"/>
    <x v="0"/>
    <d v="2017-11-15T00:00:00"/>
    <d v="2017-11-24T00:00:00"/>
    <s v="Česká společnost pro akreditaci ve zdravotnictví"/>
    <n v="194000"/>
    <n v="234740"/>
    <x v="17"/>
    <m/>
    <s v="xxx"/>
  </r>
  <r>
    <s v="VZ-2017-000812"/>
    <s v="LÉK"/>
    <s v="Ondráčková"/>
    <x v="40"/>
    <s v="33621300-2"/>
    <m/>
    <n v="1702608"/>
    <x v="0"/>
    <d v="2017-12-14T00:00:00"/>
    <d v="2018-01-24T00:00:00"/>
    <s v="zrušeno - překročení ceny"/>
    <m/>
    <m/>
    <x v="18"/>
    <m/>
    <d v="2018-01-26T00:00:00"/>
  </r>
  <r>
    <s v="VZ-2017-000813"/>
    <s v="LÉK"/>
    <s v="Ondráčková"/>
    <x v="41"/>
    <s v="33652300-8"/>
    <m/>
    <n v="131673.32"/>
    <x v="1"/>
    <d v="2017-11-30T00:00:00"/>
    <d v="2018-01-09T00:00:00"/>
    <s v="Alliance Healthcare s.r.o."/>
    <n v="131673.32"/>
    <n v="144840.65"/>
    <x v="19"/>
    <d v="2020-03-14T00:00:00"/>
    <d v="2018-03-16T00:00:00"/>
  </r>
  <r>
    <s v="VZ-2017-000813"/>
    <s v="LÉK"/>
    <s v="Ondráčková"/>
    <x v="42"/>
    <s v="33652300-8"/>
    <m/>
    <n v="16902723.82"/>
    <x v="1"/>
    <d v="2017-11-30T00:00:00"/>
    <d v="2018-01-09T00:00:00"/>
    <s v="Astellas Pharma s.r.o."/>
    <n v="16902723.82"/>
    <n v="18592996.199999999"/>
    <x v="19"/>
    <d v="2020-03-14T00:00:00"/>
    <d v="2018-03-16T00:00:00"/>
  </r>
  <r>
    <s v="VZ-2017-000814"/>
    <s v="LÉK"/>
    <s v="Ondráčková"/>
    <x v="43"/>
    <s v="33652000-5"/>
    <m/>
    <n v="2899656"/>
    <x v="1"/>
    <d v="2017-12-08T00:00:00"/>
    <d v="2018-01-16T00:00:00"/>
    <s v="Alliance Healthcare s.r.o."/>
    <n v="2038596"/>
    <n v="2242455.6"/>
    <x v="19"/>
    <d v="2020-03-14T00:00:00"/>
    <d v="2018-03-16T00:00:00"/>
  </r>
  <r>
    <s v="VZ-2017-000814"/>
    <s v="LÉK"/>
    <s v="Ondráčková"/>
    <x v="44"/>
    <s v="33652000-5"/>
    <m/>
    <n v="4172051.48"/>
    <x v="1"/>
    <d v="2017-12-08T00:00:00"/>
    <d v="2018-01-16T00:00:00"/>
    <s v="ViaPharma s.r.o."/>
    <n v="4152182.9"/>
    <n v="4567401.1900000004"/>
    <x v="19"/>
    <d v="2020-03-14T00:00:00"/>
    <d v="2018-03-16T00:00:00"/>
  </r>
  <r>
    <s v="VZ-2017-000815"/>
    <s v="LÉK"/>
    <s v="Ondráčková"/>
    <x v="45"/>
    <s v="33652000-5"/>
    <m/>
    <n v="39478800"/>
    <x v="1"/>
    <d v="2017-11-22T00:00:00"/>
    <d v="2018-01-03T00:00:00"/>
    <s v="Alliance Healthcare s.r.o."/>
    <n v="39474370"/>
    <n v="43421807"/>
    <x v="3"/>
    <d v="2020-02-12T00:00:00"/>
    <d v="2018-02-19T00:00:00"/>
  </r>
  <r>
    <s v="VZ-2017-000815"/>
    <s v="LÉK"/>
    <s v="Ondráčková"/>
    <x v="46"/>
    <s v="33652000-5"/>
    <m/>
    <n v="11502108.060000001"/>
    <x v="1"/>
    <d v="2017-11-22T00:00:00"/>
    <d v="2018-01-03T00:00:00"/>
    <s v="PHOENIX lék.velkoobchod, s.r.o."/>
    <n v="11502108.060000001"/>
    <n v="12652318.866000002"/>
    <x v="3"/>
    <d v="2020-02-12T00:00:00"/>
    <d v="2018-02-19T00:00:00"/>
  </r>
  <r>
    <s v="VZ-2017-000815"/>
    <s v="LÉK"/>
    <s v="Ondráčková"/>
    <x v="47"/>
    <s v="33652000-5"/>
    <m/>
    <n v="12729355.68"/>
    <x v="1"/>
    <d v="2017-11-22T00:00:00"/>
    <d v="2018-01-03T00:00:00"/>
    <s v="ROCHE s.r.o."/>
    <n v="12729355.68"/>
    <n v="14002291.248000002"/>
    <x v="3"/>
    <d v="2020-02-12T00:00:00"/>
    <d v="2018-02-19T00:00:00"/>
  </r>
  <r>
    <s v="VZ-2017-000815"/>
    <s v="LÉK"/>
    <s v="Ondráčková"/>
    <x v="48"/>
    <s v="33652000-5"/>
    <m/>
    <n v="46981891"/>
    <x v="1"/>
    <d v="2017-11-22T00:00:00"/>
    <d v="2018-01-03T00:00:00"/>
    <s v="PHOENIX lék.velkoobchod, s.r.o."/>
    <n v="46981891"/>
    <n v="51680080.100000001"/>
    <x v="3"/>
    <d v="2020-02-12T00:00:00"/>
    <d v="2018-02-19T00:00:00"/>
  </r>
  <r>
    <s v="VZ-2017-000815"/>
    <s v="LÉK"/>
    <s v="Ondráčková"/>
    <x v="49"/>
    <s v="33652000-5"/>
    <m/>
    <n v="3726366.8"/>
    <x v="1"/>
    <d v="2017-11-22T00:00:00"/>
    <d v="2018-01-03T00:00:00"/>
    <s v="BAYER s.r.o."/>
    <n v="3726366.28"/>
    <n v="4099002.9080000003"/>
    <x v="3"/>
    <d v="2020-02-12T00:00:00"/>
    <d v="2018-02-19T00:00:00"/>
  </r>
  <r>
    <s v="VZ-2017-000815"/>
    <s v="LÉK"/>
    <s v="Ondráčková"/>
    <x v="50"/>
    <s v="33652000-5"/>
    <m/>
    <n v="23613480"/>
    <x v="1"/>
    <d v="2017-11-22T00:00:00"/>
    <d v="2018-01-03T00:00:00"/>
    <s v="ViaPharma s.r.o."/>
    <n v="23613480"/>
    <n v="25974828.000000004"/>
    <x v="3"/>
    <d v="2020-02-12T00:00:00"/>
    <d v="2018-02-19T00:00:00"/>
  </r>
  <r>
    <s v="VZ-2017-000815"/>
    <s v="LÉK"/>
    <s v="Ondráčková"/>
    <x v="51"/>
    <s v="33652000-5"/>
    <m/>
    <n v="846944.64"/>
    <x v="1"/>
    <d v="2017-11-22T00:00:00"/>
    <d v="2018-01-03T00:00:00"/>
    <s v="Alliance Healthcare s.r.o."/>
    <n v="846764.64"/>
    <n v="931441.10400000005"/>
    <x v="3"/>
    <d v="2020-02-12T00:00:00"/>
    <d v="2018-02-19T00:00:00"/>
  </r>
  <r>
    <s v="VZ-2017-000816"/>
    <s v="LÉK"/>
    <s v="Ondráčková"/>
    <x v="52"/>
    <s v="33652000-5"/>
    <m/>
    <n v="19704244.98"/>
    <x v="1"/>
    <d v="2017-11-30T00:00:00"/>
    <d v="2018-01-08T00:00:00"/>
    <s v="Alliance Healthcare s.r.o."/>
    <n v="19702774.98"/>
    <n v="21673052.478000004"/>
    <x v="20"/>
    <d v="2020-04-08T00:00:00"/>
    <d v="2018-04-11T00:00:00"/>
  </r>
  <r>
    <s v="VZ-2017-000816"/>
    <s v="LÉK"/>
    <s v="Ondráčková"/>
    <x v="53"/>
    <s v="33652000-5"/>
    <m/>
    <n v="7155968.7599999998"/>
    <x v="1"/>
    <d v="2017-11-30T00:00:00"/>
    <d v="2018-01-08T00:00:00"/>
    <s v="Alliance Healthcare s.r.o."/>
    <n v="7155494.7599999998"/>
    <n v="7871044.2360000005"/>
    <x v="20"/>
    <d v="2020-04-08T00:00:00"/>
    <d v="2018-04-11T00:00:00"/>
  </r>
  <r>
    <s v="VZ-2017-000816"/>
    <s v="LÉK"/>
    <s v="Ondráčková"/>
    <x v="54"/>
    <s v="33652000-5"/>
    <m/>
    <n v="3150972"/>
    <x v="1"/>
    <d v="2017-11-30T00:00:00"/>
    <d v="2018-01-08T00:00:00"/>
    <s v="Alliance Healthcare s.r.o."/>
    <n v="3150552"/>
    <n v="3465607.2"/>
    <x v="20"/>
    <d v="2020-04-08T00:00:00"/>
    <d v="2018-04-11T00:00:00"/>
  </r>
  <r>
    <s v="VZ-2017-000816"/>
    <s v="LÉK"/>
    <s v="Ondráčková"/>
    <x v="55"/>
    <s v="33652000-5"/>
    <m/>
    <n v="6035861.1200000001"/>
    <x v="1"/>
    <d v="2017-11-30T00:00:00"/>
    <d v="2018-01-08T00:00:00"/>
    <s v="Boehringer Ingelheim, spol.s r.o."/>
    <n v="6035861.1200000001"/>
    <n v="6639447.2320000008"/>
    <x v="20"/>
    <d v="2020-04-08T00:00:00"/>
    <d v="2018-04-11T00:00:00"/>
  </r>
  <r>
    <s v="VZ-2017-000816"/>
    <s v="LÉK"/>
    <s v="Ondráčková"/>
    <x v="56"/>
    <s v="33652000-5"/>
    <m/>
    <n v="2516460"/>
    <x v="1"/>
    <d v="2017-11-30T00:00:00"/>
    <d v="2018-01-08T00:00:00"/>
    <s v="ROCHE s.r.o."/>
    <n v="2513968.2000000002"/>
    <n v="2765365.0200000005"/>
    <x v="20"/>
    <d v="2020-04-08T00:00:00"/>
    <d v="2018-04-11T00:00:00"/>
  </r>
  <r>
    <s v="VZ-2017-000816"/>
    <s v="LÉK"/>
    <s v="Ondráčková"/>
    <x v="57"/>
    <s v="33652000-5"/>
    <m/>
    <n v="6451139.04"/>
    <x v="1"/>
    <d v="2017-11-30T00:00:00"/>
    <d v="2018-01-08T00:00:00"/>
    <s v="PHOENIX lék.velkoobchod, s.r.o."/>
    <n v="6451139.04"/>
    <n v="7096252.9440000011"/>
    <x v="20"/>
    <d v="2020-04-08T00:00:00"/>
    <d v="2018-04-11T00:00:00"/>
  </r>
  <r>
    <s v="VZ-2017-000816"/>
    <s v="LÉK"/>
    <s v="Ondráčková"/>
    <x v="58"/>
    <s v="33652000-5"/>
    <m/>
    <n v="1785220.92"/>
    <x v="1"/>
    <d v="2017-11-30T00:00:00"/>
    <d v="2018-01-08T00:00:00"/>
    <s v="zrušeno bez nabídky"/>
    <m/>
    <m/>
    <x v="18"/>
    <m/>
    <d v="2018-02-20T00:00:00"/>
  </r>
  <r>
    <s v="VZ-2017-000819"/>
    <s v="INF"/>
    <s v="Oravec"/>
    <x v="59"/>
    <s v="30125110-5"/>
    <m/>
    <n v="4145000"/>
    <x v="1"/>
    <d v="2017-11-29T00:00:00"/>
    <d v="2018-01-09T00:00:00"/>
    <s v="zrušeno"/>
    <m/>
    <m/>
    <x v="18"/>
    <m/>
    <d v="2018-02-26T00:00:00"/>
  </r>
  <r>
    <s v="VZ-2017-000827"/>
    <s v="ZT"/>
    <s v="Čech"/>
    <x v="60"/>
    <s v="33171200-1 "/>
    <s v="2.3.299."/>
    <n v="380000"/>
    <x v="0"/>
    <d v="2017-11-22T00:00:00"/>
    <d v="2017-12-01T00:00:00"/>
    <s v="Olympus Czech Rep."/>
    <n v="321642"/>
    <n v="389186.82"/>
    <x v="21"/>
    <m/>
    <s v="xxx"/>
  </r>
  <r>
    <s v="VZ-2017-000834"/>
    <s v="LÉK"/>
    <s v="Ondráčková"/>
    <x v="61"/>
    <s v="33652300-8 "/>
    <m/>
    <n v="269641.59999999998"/>
    <x v="1"/>
    <d v="2017-11-28T00:00:00"/>
    <d v="2018-01-04T00:00:00"/>
    <s v="ViaPharma s.r.o."/>
    <n v="215084.44"/>
    <n v="236592.88400000002"/>
    <x v="22"/>
    <d v="2020-03-21T00:00:00"/>
    <d v="2018-03-27T00:00:00"/>
  </r>
  <r>
    <s v="VZ-2017-000834"/>
    <s v="LÉK"/>
    <s v="Ondráčková"/>
    <x v="62"/>
    <s v="33652300-8 "/>
    <m/>
    <n v="961347.58"/>
    <x v="1"/>
    <d v="2017-11-28T00:00:00"/>
    <d v="2018-01-04T00:00:00"/>
    <s v="Alliance Healthcare s.r.o."/>
    <n v="884156.96"/>
    <n v="972572.65600000008"/>
    <x v="22"/>
    <d v="2020-03-21T00:00:00"/>
    <d v="2018-03-27T00:00:00"/>
  </r>
  <r>
    <s v="VZ-2017-000834"/>
    <s v="LÉK"/>
    <s v="Ondráčková"/>
    <x v="63"/>
    <s v="33652300-8 "/>
    <m/>
    <n v="21963590.640000001"/>
    <x v="1"/>
    <d v="2017-11-28T00:00:00"/>
    <d v="2018-01-04T00:00:00"/>
    <s v="ROCHE s.r.o."/>
    <n v="21963590.640000001"/>
    <n v="24159949.704000004"/>
    <x v="22"/>
    <d v="2020-03-21T00:00:00"/>
    <d v="2018-03-27T00:00:00"/>
  </r>
  <r>
    <s v="VZ-2017-000834"/>
    <s v="LÉK"/>
    <s v="Ondráčková"/>
    <x v="64"/>
    <s v="33652300-8 "/>
    <m/>
    <n v="15393728.699999999"/>
    <x v="1"/>
    <d v="2017-11-28T00:00:00"/>
    <d v="2018-01-04T00:00:00"/>
    <s v="PHOENIX lék.velkoobchod, s.r.o."/>
    <n v="15393728.699999999"/>
    <n v="16933101.57"/>
    <x v="22"/>
    <d v="2020-03-21T00:00:00"/>
    <d v="2018-03-27T00:00:00"/>
  </r>
  <r>
    <s v="VZ-2017-000834"/>
    <s v="LÉK"/>
    <s v="Ondráčková"/>
    <x v="65"/>
    <s v="33652300-8 "/>
    <m/>
    <n v="100133671"/>
    <x v="1"/>
    <d v="2017-11-28T00:00:00"/>
    <d v="2018-01-04T00:00:00"/>
    <s v="PHOENIX lék.velkoobchod, s.r.o."/>
    <n v="100133671"/>
    <n v="110147038.10000001"/>
    <x v="22"/>
    <d v="2020-03-21T00:00:00"/>
    <d v="2018-03-27T00:00:00"/>
  </r>
  <r>
    <s v="VZ-2017-000836"/>
    <s v="ZT"/>
    <s v="Čech"/>
    <x v="66"/>
    <s v="33121400-8"/>
    <s v="2.3.298."/>
    <n v="1530000"/>
    <x v="0"/>
    <d v="2017-11-28T00:00:00"/>
    <d v="2017-12-12T00:00:00"/>
    <s v="Widex Line spol. s r.o."/>
    <n v="1239740"/>
    <n v="1500085.4"/>
    <x v="23"/>
    <m/>
    <d v="2018-02-01T00:00:00"/>
  </r>
  <r>
    <s v="VZ-2017-000838"/>
    <s v="ENERG"/>
    <s v="Eyer"/>
    <x v="67"/>
    <s v="31154000-0"/>
    <s v="4.2.61."/>
    <n v="1035000"/>
    <x v="0"/>
    <d v="2017-11-30T00:00:00"/>
    <d v="2017-12-15T00:00:00"/>
    <s v="Firstpower a.s."/>
    <n v="950000"/>
    <n v="1149500"/>
    <x v="12"/>
    <m/>
    <d v="2018-01-10T00:00:00"/>
  </r>
  <r>
    <s v="VZ-2017-000844"/>
    <s v="INF"/>
    <s v="Oravec"/>
    <x v="68"/>
    <s v="30213500-0"/>
    <m/>
    <n v="1080000"/>
    <x v="0"/>
    <d v="2017-12-14T00:00:00"/>
    <d v="2017-12-22T00:00:00"/>
    <s v="Datascan s.r.o."/>
    <n v="1080430"/>
    <n v="1307320.3"/>
    <x v="12"/>
    <m/>
    <d v="2018-01-10T00:00:00"/>
  </r>
  <r>
    <s v="VZ-2017-000848"/>
    <s v="ZM"/>
    <s v="Dočkalová"/>
    <x v="69"/>
    <s v="33681000-7"/>
    <m/>
    <n v="1041000"/>
    <x v="0"/>
    <d v="2017-12-08T00:00:00"/>
    <d v="2017-12-28T00:00:00"/>
    <s v="Medical M spol. s r.o."/>
    <n v="908121.2"/>
    <n v="1098826.652"/>
    <x v="1"/>
    <d v="2020-02-11T00:00:00"/>
    <d v="2018-02-13T00:00:00"/>
  </r>
  <r>
    <s v="VZ-2017-000848"/>
    <s v="ZM"/>
    <s v="Dočkalová"/>
    <x v="70"/>
    <s v="33681000-7"/>
    <m/>
    <n v="15000"/>
    <x v="0"/>
    <d v="2017-12-08T00:00:00"/>
    <d v="2017-12-28T00:00:00"/>
    <s v="DN FORMED Brno s.r.o."/>
    <n v="13000"/>
    <n v="15730"/>
    <x v="1"/>
    <d v="2020-02-11T00:00:00"/>
    <d v="2018-02-13T00:00:00"/>
  </r>
  <r>
    <s v="VZ-2017-000848"/>
    <s v="ZM"/>
    <s v="Dočkalová"/>
    <x v="71"/>
    <s v="33681000-7"/>
    <m/>
    <n v="485000"/>
    <x v="0"/>
    <d v="2017-12-08T00:00:00"/>
    <d v="2017-12-28T00:00:00"/>
    <s v="S.A.B. Impex  s.r.o."/>
    <n v="482819"/>
    <n v="584210.99"/>
    <x v="24"/>
    <d v="2020-02-15T00:00:00"/>
    <d v="2018-02-19T00:00:00"/>
  </r>
  <r>
    <s v="VZ-2017-000856"/>
    <s v="LÉK"/>
    <s v="Ondráčková"/>
    <x v="72"/>
    <s v="33652100-6"/>
    <m/>
    <n v="2935333"/>
    <x v="1"/>
    <d v="2017-12-14T00:00:00"/>
    <d v="2018-01-23T00:00:00"/>
    <s v="ViaPharma s.r.o."/>
    <n v="1706551.24"/>
    <n v="1877206.3640000001"/>
    <x v="7"/>
    <d v="2020-03-20T00:00:00"/>
    <d v="2018-03-28T00:00:00"/>
  </r>
  <r>
    <s v="VZ-2017-000856"/>
    <s v="LÉK"/>
    <s v="Ondráčková"/>
    <x v="73"/>
    <s v="33652100-6"/>
    <m/>
    <n v="807048"/>
    <x v="1"/>
    <d v="2017-12-14T00:00:00"/>
    <d v="2018-01-23T00:00:00"/>
    <s v="ViaPharma s.r.o."/>
    <n v="705125.42"/>
    <n v="775637.96200000006"/>
    <x v="7"/>
    <d v="2020-03-20T00:00:00"/>
    <d v="2018-03-28T00:00:00"/>
  </r>
  <r>
    <s v="VZ-2017-000856"/>
    <s v="LÉK"/>
    <s v="Ondráčková"/>
    <x v="74"/>
    <s v="33652100-6"/>
    <m/>
    <n v="5890312"/>
    <x v="1"/>
    <d v="2017-12-14T00:00:00"/>
    <d v="2018-01-23T00:00:00"/>
    <s v="Alliance Healthcare s.r.o."/>
    <n v="5838408.4000000004"/>
    <n v="6422249.2400000012"/>
    <x v="7"/>
    <d v="2020-03-20T00:00:00"/>
    <d v="2018-03-28T00:00:00"/>
  </r>
  <r>
    <s v="VZ-2017-000856"/>
    <s v="LÉK"/>
    <s v="Ondráčková"/>
    <x v="75"/>
    <s v="33652100-6"/>
    <m/>
    <n v="10176790"/>
    <x v="1"/>
    <d v="2017-12-14T00:00:00"/>
    <d v="2018-01-23T00:00:00"/>
    <s v="Amgen s.r.o."/>
    <n v="10176789.800000001"/>
    <n v="11194468.780000001"/>
    <x v="7"/>
    <d v="2020-03-20T00:00:00"/>
    <d v="2018-03-28T00:00:00"/>
  </r>
  <r>
    <s v="VZ-2017-000856"/>
    <s v="LÉK"/>
    <s v="Ondráčková"/>
    <x v="76"/>
    <s v="33652100-6"/>
    <m/>
    <n v="1493238"/>
    <x v="1"/>
    <d v="2017-12-14T00:00:00"/>
    <d v="2018-01-23T00:00:00"/>
    <s v="Alliance Healthcare s.r.o."/>
    <n v="1494426.6"/>
    <n v="12313915.658000002"/>
    <x v="20"/>
    <d v="2020-04-08T00:00:00"/>
    <d v="2018-04-19T00:00:00"/>
  </r>
  <r>
    <s v="VZ-2017-000856"/>
    <s v="LÉK"/>
    <s v="Ondráčková"/>
    <x v="77"/>
    <s v="33652100-6"/>
    <m/>
    <n v="360876"/>
    <x v="1"/>
    <d v="2017-12-14T00:00:00"/>
    <d v="2018-01-23T00:00:00"/>
    <s v="zrušeno bez nabídky"/>
    <m/>
    <m/>
    <x v="18"/>
    <m/>
    <d v="2018-02-12T00:00:00"/>
  </r>
  <r>
    <s v="VZ-2017-000856"/>
    <s v="LÉK"/>
    <s v="Ondráčková"/>
    <x v="78"/>
    <s v="33652100-6"/>
    <m/>
    <n v="1410369"/>
    <x v="1"/>
    <d v="2017-12-14T00:00:00"/>
    <d v="2018-01-23T00:00:00"/>
    <s v="zrušeno bez nabídky"/>
    <m/>
    <m/>
    <x v="18"/>
    <m/>
    <d v="2018-02-12T00:00:00"/>
  </r>
  <r>
    <s v="VZ-2017-000856"/>
    <s v="LÉK"/>
    <s v="Ondráčková"/>
    <x v="79"/>
    <s v="33652100-6"/>
    <m/>
    <n v="3703522"/>
    <x v="1"/>
    <d v="2017-12-14T00:00:00"/>
    <d v="2018-01-23T00:00:00"/>
    <s v="zrušeno bez nabídky"/>
    <m/>
    <m/>
    <x v="18"/>
    <m/>
    <d v="2018-02-12T00:00:00"/>
  </r>
  <r>
    <s v="VZ-2017-000857"/>
    <s v="LÉK"/>
    <s v="Ondráčková"/>
    <x v="80"/>
    <s v="33652300-8"/>
    <m/>
    <n v="40489140"/>
    <x v="1"/>
    <d v="2017-12-12T00:00:00"/>
    <d v="2018-01-22T00:00:00"/>
    <s v="Avenier a.s."/>
    <n v="40465770"/>
    <n v="44512347"/>
    <x v="7"/>
    <d v="2020-03-20T00:00:00"/>
    <d v="2018-03-23T00:00:00"/>
  </r>
  <r>
    <s v="VZ-2017-000857"/>
    <s v="LÉK"/>
    <s v="Ondráčková"/>
    <x v="81"/>
    <s v="33652300-8"/>
    <m/>
    <n v="80635182"/>
    <x v="1"/>
    <d v="2017-12-12T00:00:00"/>
    <d v="2018-01-22T00:00:00"/>
    <s v="Alliance Healthcare s.r.o."/>
    <n v="80635181.540000007"/>
    <n v="88698699.694000021"/>
    <x v="7"/>
    <d v="2020-03-20T00:00:00"/>
    <d v="2018-03-23T00:00:00"/>
  </r>
  <r>
    <s v="VZ-2017-000857"/>
    <s v="LÉK"/>
    <s v="Ondráčková"/>
    <x v="82"/>
    <s v="33652300-8"/>
    <m/>
    <n v="27845933"/>
    <x v="1"/>
    <d v="2017-12-12T00:00:00"/>
    <d v="2018-01-22T00:00:00"/>
    <s v="Sanofi-Aventis"/>
    <n v="27845932.800000001"/>
    <n v="30630526.080000002"/>
    <x v="7"/>
    <d v="2020-03-20T00:00:00"/>
    <d v="2018-03-23T00:00:00"/>
  </r>
  <r>
    <s v="VZ-2017-000857"/>
    <s v="LÉK"/>
    <s v="Ondráčková"/>
    <x v="83"/>
    <s v="33652300-8"/>
    <m/>
    <n v="3061412"/>
    <x v="1"/>
    <d v="2017-12-12T00:00:00"/>
    <d v="2018-01-22T00:00:00"/>
    <s v="Sanofi-Aventis"/>
    <n v="3061411.8"/>
    <n v="3367552.98"/>
    <x v="7"/>
    <d v="2020-03-20T00:00:00"/>
    <d v="2018-03-23T00:00:00"/>
  </r>
  <r>
    <s v="VZ-2017-000857"/>
    <s v="LÉK"/>
    <s v="Ondráčková"/>
    <x v="84"/>
    <s v="33652300-8"/>
    <m/>
    <n v="2068139"/>
    <x v="1"/>
    <d v="2017-12-12T00:00:00"/>
    <d v="2018-01-22T00:00:00"/>
    <s v="zrušeno - překročení ceny"/>
    <m/>
    <m/>
    <x v="18"/>
    <m/>
    <d v="2018-02-20T00:00:00"/>
  </r>
  <r>
    <s v="VZ-2017-000864"/>
    <s v="INV"/>
    <s v="Kvapil"/>
    <x v="85"/>
    <s v="45215100-8 "/>
    <s v="1.3.10."/>
    <n v="33000000"/>
    <x v="1"/>
    <d v="2018-01-11T00:00:00"/>
    <d v="2018-02-16T00:00:00"/>
    <s v="OHL ŽS, a.s."/>
    <n v="32998064.449999999"/>
    <n v="39927657.984499998"/>
    <x v="25"/>
    <m/>
    <d v="2018-04-19T00:00:00"/>
  </r>
  <r>
    <s v="VZ-2017-000869"/>
    <s v="ENERG"/>
    <s v="Srovnal"/>
    <x v="86"/>
    <s v="45311000-0"/>
    <s v="4.2.16."/>
    <n v="3595950"/>
    <x v="0"/>
    <d v="2017-12-18T00:00:00"/>
    <d v="2018-01-05T00:00:00"/>
    <s v="zrušeno - NTMC se nebude realizovat"/>
    <m/>
    <m/>
    <x v="18"/>
    <m/>
    <d v="2018-01-10T00:00:00"/>
  </r>
  <r>
    <s v="VZ-2017-000875"/>
    <s v="ZT"/>
    <s v="Čech"/>
    <x v="87"/>
    <s v="33116100-6"/>
    <s v="2.3.294."/>
    <n v="305000"/>
    <x v="0"/>
    <d v="2017-12-18T00:00:00"/>
    <d v="2018-01-04T00:00:00"/>
    <s v="Medtronic Czechia s.r.o."/>
    <n v="217271"/>
    <n v="262897.90999999997"/>
    <x v="26"/>
    <m/>
    <s v="xxx"/>
  </r>
  <r>
    <s v="VZ-2017-000881"/>
    <s v="OSB "/>
    <s v="Vaida"/>
    <x v="88"/>
    <s v="45215100-8"/>
    <m/>
    <n v="7200000"/>
    <x v="2"/>
    <d v="2017-12-19T00:00:00"/>
    <d v="2018-01-10T00:00:00"/>
    <s v="A-Z STAVBY s.r.o."/>
    <n v="7126872"/>
    <n v="8623515.1199999992"/>
    <x v="27"/>
    <m/>
    <d v="2018-02-28T00:00:00"/>
  </r>
  <r>
    <s v="VZ-2017-000883"/>
    <s v="PROVOZ"/>
    <s v="Hýža"/>
    <x v="89"/>
    <s v="39314000-6"/>
    <s v="4.2.7."/>
    <n v="1900000"/>
    <x v="0"/>
    <d v="2018-01-03T00:00:00"/>
    <d v="2018-01-16T00:00:00"/>
    <s v="Gastrocentrum s.r.o."/>
    <n v="1798000"/>
    <n v="2175580"/>
    <x v="24"/>
    <m/>
    <d v="2018-02-19T00:00:00"/>
  </r>
  <r>
    <s v="VZ-2017-000884"/>
    <s v="ZM"/>
    <s v="Dočkalová"/>
    <x v="90"/>
    <s v="33141000-0 "/>
    <m/>
    <n v="1027000"/>
    <x v="0"/>
    <d v="2017-12-20T00:00:00"/>
    <d v="2018-01-10T00:00:00"/>
    <s v="MEDIFORM spol. s r.o."/>
    <n v="971868"/>
    <n v="1176764.8999999999"/>
    <x v="9"/>
    <d v="2019-04-15T00:00:00"/>
    <d v="2018-04-17T00:00:00"/>
  </r>
  <r>
    <s v="VZ-2017-000885"/>
    <s v="LÉK"/>
    <s v="Ondráčková"/>
    <x v="91"/>
    <s v="33652000-5"/>
    <m/>
    <n v="14719291"/>
    <x v="1"/>
    <d v="2017-12-20T00:00:00"/>
    <d v="2018-02-20T00:00:00"/>
    <s v="Boehringer Ingelheim, spol.s r.o."/>
    <n v="14135582.060000001"/>
    <n v="15549140.266000003"/>
    <x v="9"/>
    <d v="2018-06-30T00:00:00"/>
    <d v="2018-04-18T00:00:00"/>
  </r>
  <r>
    <s v="VZ-2017-000885"/>
    <s v="LÉK"/>
    <s v="Ondráčková"/>
    <x v="92"/>
    <s v="33652000-5"/>
    <m/>
    <n v="15915347"/>
    <x v="1"/>
    <d v="2017-12-20T00:00:00"/>
    <d v="2018-02-20T00:00:00"/>
    <s v="Alliance Healthcare s.r.o."/>
    <n v="15914941.6"/>
    <n v="17506435.760000002"/>
    <x v="25"/>
    <d v="2020-04-12T00:00:00"/>
    <d v="2018-04-18T00:00:00"/>
  </r>
  <r>
    <s v="VZ-2017-000885"/>
    <s v="LÉK"/>
    <s v="Ondráčková"/>
    <x v="93"/>
    <s v="33652000-5"/>
    <m/>
    <n v="2900994"/>
    <x v="1"/>
    <d v="2017-12-20T00:00:00"/>
    <d v="2018-02-20T00:00:00"/>
    <s v="BAYER s.r.o."/>
    <n v="2900993.94"/>
    <n v="3191093.3340000003"/>
    <x v="9"/>
    <d v="2020-04-15T00:00:00"/>
    <d v="2018-04-18T00:00:00"/>
  </r>
  <r>
    <s v="VZ-2017-000885"/>
    <s v="LÉK"/>
    <s v="Ondráčková"/>
    <x v="94"/>
    <s v="33652000-5"/>
    <m/>
    <n v="12262903"/>
    <x v="1"/>
    <d v="2017-12-20T00:00:00"/>
    <d v="2018-02-20T00:00:00"/>
    <s v="Alliance Healthcare s.r.o."/>
    <n v="12262496"/>
    <n v="13488745.600000001"/>
    <x v="9"/>
    <d v="2020-04-15T00:00:00"/>
    <d v="2018-04-18T00:00:00"/>
  </r>
  <r>
    <s v="VZ-2017-000885"/>
    <s v="LÉK"/>
    <s v="Ondráčková"/>
    <x v="95"/>
    <s v="33652000-5"/>
    <m/>
    <n v="50787000"/>
    <x v="1"/>
    <d v="2017-12-20T00:00:00"/>
    <d v="2018-02-20T00:00:00"/>
    <s v="Janssen-Cilag s.r.o."/>
    <n v="50787000"/>
    <n v="55865700.000000007"/>
    <x v="9"/>
    <d v="2020-04-15T00:00:00"/>
    <d v="2018-04-18T00:00:00"/>
  </r>
  <r>
    <s v="VZ-2017-000885"/>
    <s v="LÉK"/>
    <s v="Ondráčková"/>
    <x v="96"/>
    <s v="33652000-5"/>
    <m/>
    <n v="4387442"/>
    <x v="1"/>
    <d v="2017-12-20T00:00:00"/>
    <d v="2018-02-20T00:00:00"/>
    <s v="PHOENIX lék.velkoobchod, s.r.o."/>
    <n v="4387441.76"/>
    <n v="4826185.9359999998"/>
    <x v="9"/>
    <d v="2020-04-15T00:00:00"/>
    <d v="2018-04-18T00:00:00"/>
  </r>
  <r>
    <s v="VZ-2017-000885"/>
    <s v="LÉK"/>
    <s v="Ondráčková"/>
    <x v="97"/>
    <s v="33652000-5"/>
    <m/>
    <n v="3124080"/>
    <x v="1"/>
    <d v="2017-12-20T00:00:00"/>
    <d v="2018-02-20T00:00:00"/>
    <s v="zrušeno - bez nabídky"/>
    <m/>
    <m/>
    <x v="18"/>
    <m/>
    <d v="2018-02-27T00:00:00"/>
  </r>
  <r>
    <s v="VZ-2017-000885"/>
    <s v="LÉK"/>
    <s v="Ondráčková"/>
    <x v="98"/>
    <s v="33652000-5"/>
    <m/>
    <n v="4084640"/>
    <x v="1"/>
    <d v="2017-12-20T00:00:00"/>
    <d v="2018-02-20T00:00:00"/>
    <s v="zrušeno - bez nabídky"/>
    <m/>
    <m/>
    <x v="18"/>
    <m/>
    <d v="2018-02-27T00:00:00"/>
  </r>
  <r>
    <s v="VZ-2017-000891"/>
    <s v="INF"/>
    <s v="Oravec"/>
    <x v="99"/>
    <s v="32422000-7"/>
    <s v="3.2.24."/>
    <n v="3500000"/>
    <x v="2"/>
    <d v="2018-01-08T00:00:00"/>
    <d v="2018-01-29T00:00:00"/>
    <s v="Merit Group, a.s."/>
    <n v="3481500"/>
    <n v="4212615"/>
    <x v="28"/>
    <m/>
    <d v="2018-03-02T00:00:00"/>
  </r>
  <r>
    <s v="VZ-2018-000006"/>
    <s v="INV"/>
    <s v="Junek"/>
    <x v="100"/>
    <s v="71000000-8"/>
    <s v="1.3.13."/>
    <n v="1000000"/>
    <x v="0"/>
    <d v="2018-01-16T00:00:00"/>
    <d v="2018-01-25T00:00:00"/>
    <s v="KANIA, a.s."/>
    <n v="1997500"/>
    <n v="2416975"/>
    <x v="29"/>
    <m/>
    <d v="2018-03-20T00:00:00"/>
  </r>
  <r>
    <s v="VZ-2018-000007"/>
    <s v="ZT"/>
    <s v="Čech"/>
    <x v="101"/>
    <s v="33162100-4"/>
    <s v="2.3.274."/>
    <n v="2628500"/>
    <x v="1"/>
    <d v="2018-02-26T00:00:00"/>
    <d v="2018-04-06T00:00:00"/>
    <s v="Intuitive Surgical Sarl"/>
    <n v="2628500"/>
    <n v="3180485"/>
    <x v="25"/>
    <m/>
    <d v="2018-04-16T00:00:00"/>
  </r>
  <r>
    <s v="VZ-2018-000008"/>
    <s v="PROVOZ"/>
    <s v="Hýža"/>
    <x v="102"/>
    <s v="98370000-7"/>
    <m/>
    <n v="1400000"/>
    <x v="0"/>
    <d v="2018-01-26T00:00:00"/>
    <d v="2018-02-06T00:00:00"/>
    <s v="MISERICORDIA s.r.o."/>
    <n v="1500000"/>
    <n v="1725000"/>
    <x v="30"/>
    <d v="2022-04-10T00:00:00"/>
    <d v="2018-04-11T00:00:00"/>
  </r>
  <r>
    <s v="VZ-2018-000013"/>
    <s v="IROP"/>
    <s v="Neudorflörová"/>
    <x v="103"/>
    <s v="33191000-5"/>
    <s v="2.2.111."/>
    <n v="1530435"/>
    <x v="1"/>
    <d v="2018-03-01T00:00:00"/>
    <d v="2018-04-18T00:00:00"/>
    <s v="MIELE, spol. s r.o."/>
    <n v="1690200"/>
    <n v="2045142"/>
    <x v="31"/>
    <m/>
    <d v="2018-06-29T00:00:00"/>
  </r>
  <r>
    <s v="VZ-2018-000014"/>
    <s v="IROP"/>
    <s v="Neudorflörová"/>
    <x v="104"/>
    <s v="33169100-3"/>
    <s v="2.2.109."/>
    <n v="2500000"/>
    <x v="1"/>
    <d v="2018-03-19T00:00:00"/>
    <d v="2018-04-26T00:00:00"/>
    <s v="HOSPIMED, spol. s r.o."/>
    <n v="2357657"/>
    <n v="2852764.9699999997"/>
    <x v="32"/>
    <m/>
    <d v="2018-06-21T00:00:00"/>
  </r>
  <r>
    <s v="VZ-2018-000019"/>
    <s v="ENERG"/>
    <s v="Srovnal"/>
    <x v="105"/>
    <s v="45311000-0 "/>
    <s v="4.2.16."/>
    <n v="1160000"/>
    <x v="0"/>
    <d v="2018-01-11T00:00:00"/>
    <d v="2018-01-18T00:00:00"/>
    <s v="ELPREMO, spol. s r.o."/>
    <n v="1128398"/>
    <n v="1365361.58"/>
    <x v="3"/>
    <m/>
    <d v="2018-02-14T00:00:00"/>
  </r>
  <r>
    <s v="VZ-2018-000030"/>
    <s v="IROP"/>
    <s v="Neudorflörová"/>
    <x v="106"/>
    <s v="33169000-2"/>
    <s v="2.2.107."/>
    <n v="205498"/>
    <x v="1"/>
    <d v="2018-04-16T00:00:00"/>
    <d v="2018-05-25T00:00:00"/>
    <s v="ProSpon spol. s r.o."/>
    <n v="190168"/>
    <n v="230103.28"/>
    <x v="33"/>
    <m/>
    <d v="2018-08-10T00:00:00"/>
  </r>
  <r>
    <s v="VZ-2018-000033"/>
    <s v="ÚHTS"/>
    <s v="Hýža"/>
    <x v="107"/>
    <s v="90500000-2"/>
    <m/>
    <n v="28842000"/>
    <x v="1"/>
    <d v="2018-02-07T00:00:00"/>
    <d v="2018-04-16T00:00:00"/>
    <s v="SUEZ Využití zdrojů a.s."/>
    <n v="25828432"/>
    <n v="31252402.719999999"/>
    <x v="34"/>
    <d v="2022-09-11T00:00:00"/>
    <d v="2018-09-14T00:00:00"/>
  </r>
  <r>
    <s v="VZ-2018-000046"/>
    <s v="ÚHTS"/>
    <s v="Hýža"/>
    <x v="108"/>
    <s v="34913000-0 "/>
    <m/>
    <n v="3000000"/>
    <x v="1"/>
    <d v="2018-02-21T00:00:00"/>
    <d v="2018-04-09T00:00:00"/>
    <s v="PROFITERM PROTECH s.r.o."/>
    <n v="2657498"/>
    <n v="3215572.58"/>
    <x v="35"/>
    <s v="na dobu neurčitou"/>
    <d v="2018-06-01T00:00:00"/>
  </r>
  <r>
    <s v="VZ-2018-000046"/>
    <s v="ÚHTS"/>
    <s v="Hýža"/>
    <x v="109"/>
    <s v="34913000-0 "/>
    <m/>
    <n v="5000000"/>
    <x v="1"/>
    <d v="2018-02-21T00:00:00"/>
    <d v="2018-04-09T00:00:00"/>
    <s v="PROFITERM PROTECH s.r.o."/>
    <n v="3880000"/>
    <n v="4694800"/>
    <x v="35"/>
    <s v="na dobu neurčitou"/>
    <d v="2018-06-01T00:00:00"/>
  </r>
  <r>
    <s v="VZ-2018-000052"/>
    <s v="IROP"/>
    <s v="Neudorflörová"/>
    <x v="110"/>
    <s v="33172100-7"/>
    <s v="2.3.258."/>
    <n v="11951508"/>
    <x v="1"/>
    <d v="2018-01-24T00:00:00"/>
    <d v="2018-03-06T00:00:00"/>
    <s v="medisap s.r.o."/>
    <n v="8103390"/>
    <n v="9805101.9000000004"/>
    <x v="36"/>
    <m/>
    <d v="2018-05-24T00:00:00"/>
  </r>
  <r>
    <s v="VZ-2018-000052"/>
    <s v="IROP"/>
    <s v="Neudorflörová"/>
    <x v="111"/>
    <s v="33172100-7"/>
    <s v="2.3.258."/>
    <n v="6639727"/>
    <x v="1"/>
    <d v="2018-01-24T00:00:00"/>
    <d v="2018-03-06T00:00:00"/>
    <s v="medisap s.r.o."/>
    <n v="6182390"/>
    <n v="7480691.8999999994"/>
    <x v="36"/>
    <m/>
    <d v="2018-05-24T00:00:00"/>
  </r>
  <r>
    <s v="VZ-2018-000064"/>
    <s v="VŠEOB"/>
    <s v="Nerudová"/>
    <x v="112"/>
    <s v="39120000-9"/>
    <m/>
    <n v="1000000"/>
    <x v="1"/>
    <d v="2018-02-01T00:00:00"/>
    <d v="2018-03-13T00:00:00"/>
    <s v="KSK nábytek s.r.o."/>
    <n v="839309"/>
    <n v="1015563.89"/>
    <x v="37"/>
    <m/>
    <d v="2018-05-17T00:00:00"/>
  </r>
  <r>
    <s v="VZ-2018-000070"/>
    <s v="ZM"/>
    <s v="Merta"/>
    <x v="113"/>
    <s v="33182100-0"/>
    <m/>
    <n v="129840000"/>
    <x v="1"/>
    <d v="2018-02-02T00:00:00"/>
    <d v="2018-03-22T00:00:00"/>
    <s v="Cardiomedical, s.r.o."/>
    <n v="129840000"/>
    <n v="149316000"/>
    <x v="38"/>
    <d v="2020-04-06T00:00:00"/>
    <d v="2018-08-22T00:00:00"/>
  </r>
  <r>
    <s v="VZ-2018-000070"/>
    <s v="ZM"/>
    <s v="Merta"/>
    <x v="114"/>
    <s v="33182100-0"/>
    <m/>
    <n v="2326000"/>
    <x v="1"/>
    <d v="2018-02-02T00:00:00"/>
    <d v="2018-03-22T00:00:00"/>
    <s v="Medtronic Czechia s.r.o."/>
    <n v="2324426.0499999998"/>
    <n v="2673089.96"/>
    <x v="38"/>
    <d v="2020-04-06T00:00:00"/>
    <d v="2018-08-22T00:00:00"/>
  </r>
  <r>
    <s v="VZ-2018-000070"/>
    <s v="ZM"/>
    <s v="Merta"/>
    <x v="115"/>
    <s v="33182100-0"/>
    <m/>
    <n v="28076000"/>
    <x v="1"/>
    <d v="2018-02-02T00:00:00"/>
    <d v="2018-03-22T00:00:00"/>
    <s v="Cardion s.r.o."/>
    <n v="27870300"/>
    <n v="32050845"/>
    <x v="38"/>
    <d v="2020-04-06T00:00:00"/>
    <d v="2018-08-22T00:00:00"/>
  </r>
  <r>
    <s v="VZ-2018-000070"/>
    <s v="ZM"/>
    <s v="Merta"/>
    <x v="116"/>
    <s v="33182100-0"/>
    <m/>
    <n v="24761000"/>
    <x v="1"/>
    <d v="2018-02-02T00:00:00"/>
    <d v="2018-03-22T00:00:00"/>
    <s v="Biomedica ČS s.r.o."/>
    <n v="24760000"/>
    <n v="28474000"/>
    <x v="38"/>
    <d v="2020-04-06T00:00:00"/>
    <d v="2018-08-22T00:00:00"/>
  </r>
  <r>
    <s v="VZ-2018-000070"/>
    <s v="ZM"/>
    <s v="Merta"/>
    <x v="117"/>
    <s v="33182100-0"/>
    <m/>
    <n v="6016000"/>
    <x v="1"/>
    <d v="2018-02-02T00:00:00"/>
    <d v="2018-03-22T00:00:00"/>
    <s v="INLAB Medical, s.r.o."/>
    <n v="5845500"/>
    <n v="6722325"/>
    <x v="38"/>
    <d v="2020-04-06T00:00:00"/>
    <d v="2018-08-22T00:00:00"/>
  </r>
  <r>
    <s v="VZ-2018-000070"/>
    <s v="ZM"/>
    <s v="Merta"/>
    <x v="118"/>
    <s v="33182100-0"/>
    <m/>
    <n v="23756000"/>
    <x v="1"/>
    <d v="2018-02-02T00:00:00"/>
    <d v="2018-03-22T00:00:00"/>
    <s v="INLAB Medical, s.r.o."/>
    <n v="23718020"/>
    <n v="27275723"/>
    <x v="38"/>
    <d v="2020-04-06T00:00:00"/>
    <d v="2018-08-22T00:00:00"/>
  </r>
  <r>
    <s v="VZ-2018-000078"/>
    <s v="INV"/>
    <s v="Valíček"/>
    <x v="119"/>
    <s v="71000000-8"/>
    <s v="1.2.52."/>
    <n v="350000"/>
    <x v="0"/>
    <d v="2018-02-19T00:00:00"/>
    <d v="2018-02-27T00:00:00"/>
    <s v="MEDICOPROJEKT s.r.o."/>
    <n v="266000"/>
    <n v="321860"/>
    <x v="39"/>
    <m/>
    <s v="xxx"/>
  </r>
  <r>
    <s v="VZ-2018-000085"/>
    <s v="OSB "/>
    <s v="Vaida"/>
    <x v="120"/>
    <s v="45215100-8"/>
    <s v="4.3.4."/>
    <n v="2800000"/>
    <x v="0"/>
    <d v="2018-02-13T00:00:00"/>
    <d v="2018-02-27T00:00:00"/>
    <s v="zrušeno"/>
    <m/>
    <m/>
    <x v="18"/>
    <m/>
    <d v="2018-03-26T00:00:00"/>
  </r>
  <r>
    <s v="VZ-2018-000087"/>
    <s v="VŠEOB"/>
    <s v="Nerudová"/>
    <x v="121"/>
    <s v="19231000-4"/>
    <m/>
    <n v="1400000"/>
    <x v="0"/>
    <d v="2018-02-13T00:00:00"/>
    <d v="2018-02-22T00:00:00"/>
    <s v="Kurýr JMP s.r.o."/>
    <n v="1079700"/>
    <n v="1306437"/>
    <x v="40"/>
    <m/>
    <d v="2018-04-03T00:00:00"/>
  </r>
  <r>
    <s v="VZ-2018-000089"/>
    <s v="ZM"/>
    <s v="Merta"/>
    <x v="122"/>
    <s v="33182210-4"/>
    <m/>
    <n v="27291000"/>
    <x v="1"/>
    <d v="2018-02-13T00:00:00"/>
    <d v="2018-04-11T00:00:00"/>
    <s v="Cardiomed, s.r.o."/>
    <n v="27290965"/>
    <n v="31384609.75"/>
    <x v="41"/>
    <d v="2020-03-31T00:00:00"/>
    <d v="2018-08-08T00:00:00"/>
  </r>
  <r>
    <s v="VZ-2018-000089"/>
    <s v="ZM"/>
    <s v="Merta"/>
    <x v="123"/>
    <s v="33182210-4"/>
    <m/>
    <n v="391000"/>
    <x v="1"/>
    <d v="2018-02-13T00:00:00"/>
    <d v="2018-04-11T00:00:00"/>
    <s v="CARDION s.r.o."/>
    <n v="390960.87"/>
    <n v="449605"/>
    <x v="41"/>
    <d v="2020-03-31T00:00:00"/>
    <d v="2018-08-08T00:00:00"/>
  </r>
  <r>
    <s v="VZ-2018-000089"/>
    <s v="ZM"/>
    <s v="Merta"/>
    <x v="124"/>
    <s v="33182210-4"/>
    <m/>
    <n v="6412000"/>
    <x v="1"/>
    <d v="2018-02-13T00:00:00"/>
    <d v="2018-04-11T00:00:00"/>
    <s v="MEDKOTECH s.r.o."/>
    <n v="6016920"/>
    <n v="6919458"/>
    <x v="41"/>
    <d v="2020-03-31T00:00:00"/>
    <d v="2018-08-08T00:00:00"/>
  </r>
  <r>
    <s v="VZ-2018-000089"/>
    <s v="ZM"/>
    <s v="Merta"/>
    <x v="125"/>
    <s v="33182210-4"/>
    <m/>
    <n v="6883000"/>
    <x v="1"/>
    <d v="2018-02-13T00:00:00"/>
    <d v="2018-04-11T00:00:00"/>
    <s v="Medtronic Czechia s.r.o."/>
    <n v="6200000"/>
    <n v="7130000"/>
    <x v="41"/>
    <d v="2020-03-31T00:00:00"/>
    <d v="2018-08-08T00:00:00"/>
  </r>
  <r>
    <s v="VZ-2018-000089"/>
    <s v="ZM"/>
    <s v="Merta"/>
    <x v="126"/>
    <s v="33182210-4"/>
    <m/>
    <n v="5956000"/>
    <x v="1"/>
    <d v="2018-02-13T00:00:00"/>
    <d v="2018-04-11T00:00:00"/>
    <s v="bez nabídky"/>
    <m/>
    <m/>
    <x v="18"/>
    <m/>
    <d v="2018-04-26T00:00:00"/>
  </r>
  <r>
    <s v="VZ-2018-000090"/>
    <s v="VŠEOB"/>
    <s v="Nerudová"/>
    <x v="127"/>
    <s v="39112000-0"/>
    <m/>
    <n v="720000"/>
    <x v="0"/>
    <d v="2018-02-19T00:00:00"/>
    <d v="2018-02-28T00:00:00"/>
    <s v="AJAX CZ s.r.o."/>
    <n v="634260"/>
    <n v="767454.6"/>
    <x v="42"/>
    <m/>
    <d v="2018-03-27T00:00:00"/>
  </r>
  <r>
    <s v="VZ-2018-000098"/>
    <s v="PROVOZ"/>
    <s v="Hýža"/>
    <x v="128"/>
    <s v="45231510-3"/>
    <s v="1.1.10."/>
    <n v="490000"/>
    <x v="0"/>
    <d v="2018-02-19T00:00:00"/>
    <d v="2018-02-28T00:00:00"/>
    <s v="PROFITERM PROCZECH s.r.o. "/>
    <n v="479015"/>
    <n v="579608.15"/>
    <x v="39"/>
    <m/>
    <s v="xxx"/>
  </r>
  <r>
    <s v="VZ-2018-000103"/>
    <s v="IROP"/>
    <s v="Neudorflörová"/>
    <x v="129"/>
    <s v="33124110-9"/>
    <s v="2.2.108"/>
    <n v="3998000"/>
    <x v="1"/>
    <d v="2018-05-10T00:00:00"/>
    <d v="2018-07-16T00:00:00"/>
    <s v="Laparotech Instruments s.r.o."/>
    <n v="3584980"/>
    <n v="4337825.8"/>
    <x v="43"/>
    <m/>
    <d v="2018-09-20T00:00:00"/>
  </r>
  <r>
    <s v="VZ-2018-000106"/>
    <s v="PROVOZ"/>
    <s v="Hýža"/>
    <x v="130"/>
    <s v="39314000-6"/>
    <s v=" 4.2.86."/>
    <n v="826000"/>
    <x v="0"/>
    <d v="2018-02-26T00:00:00"/>
    <d v="2018-03-09T00:00:00"/>
    <s v="GastroMach s.r.o."/>
    <n v="498700"/>
    <n v="603427"/>
    <x v="44"/>
    <m/>
    <d v="2018-04-24T00:00:00"/>
  </r>
  <r>
    <s v="VZ-2018-000106"/>
    <s v="PROVOZ"/>
    <s v="Hýža"/>
    <x v="131"/>
    <s v="39314000-6"/>
    <s v="4.2.83."/>
    <n v="37000"/>
    <x v="0"/>
    <d v="2018-02-26T00:00:00"/>
    <d v="2018-03-09T00:00:00"/>
    <s v="zrušeno"/>
    <m/>
    <m/>
    <x v="18"/>
    <m/>
    <s v="xxx"/>
  </r>
  <r>
    <s v="VZ-2018-000106"/>
    <s v="PROVOZ"/>
    <s v="Hýža"/>
    <x v="132"/>
    <s v="39314000-6"/>
    <s v="4.2.84."/>
    <n v="37000"/>
    <x v="0"/>
    <d v="2018-02-26T00:00:00"/>
    <d v="2018-03-09T00:00:00"/>
    <s v="Jiří Ruček SET ES"/>
    <n v="15817"/>
    <n v="19138.57"/>
    <x v="9"/>
    <m/>
    <d v="2018-04-17T00:00:00"/>
  </r>
  <r>
    <s v="VZ-2018-000107"/>
    <s v="IROP"/>
    <s v="Neudorflörová"/>
    <x v="133"/>
    <s v="33192200-4"/>
    <s v="2.3.290."/>
    <n v="1118895"/>
    <x v="1"/>
    <d v="2018-05-18T00:00:00"/>
    <d v="2018-06-27T00:00:00"/>
    <s v="RQL s.r.o."/>
    <n v="630492"/>
    <n v="762895.32"/>
    <x v="45"/>
    <m/>
    <d v="2018-08-27T00:00:00"/>
  </r>
  <r>
    <s v="VZ-2018-000108"/>
    <s v="SERV"/>
    <s v="Zemánek"/>
    <x v="134"/>
    <s v="50421000-2"/>
    <m/>
    <n v="190000"/>
    <x v="0"/>
    <d v="2018-03-07T00:00:00"/>
    <d v="2018-03-20T00:00:00"/>
    <s v="HZZ, a.s."/>
    <s v="jednotkové ceny"/>
    <s v="jednotkové ceny"/>
    <x v="46"/>
    <m/>
    <s v="xxx"/>
  </r>
  <r>
    <s v="VZ-2018-000112"/>
    <s v="SERV"/>
    <s v="Zemánek"/>
    <x v="135"/>
    <s v="50421000-2"/>
    <m/>
    <n v="370000"/>
    <x v="0"/>
    <d v="2018-03-12T00:00:00"/>
    <d v="2018-03-22T00:00:00"/>
    <s v="zrušeno"/>
    <m/>
    <m/>
    <x v="18"/>
    <m/>
    <s v="xxx"/>
  </r>
  <r>
    <s v="VZ-2018-000117"/>
    <s v="OSB "/>
    <s v="Vaida"/>
    <x v="136"/>
    <s v="45432210-9 "/>
    <m/>
    <n v="600000"/>
    <x v="0"/>
    <d v="2018-02-21T00:00:00"/>
    <d v="2018-03-01T00:00:00"/>
    <s v="zrušeno"/>
    <m/>
    <m/>
    <x v="18"/>
    <m/>
    <d v="2018-03-02T00:00:00"/>
  </r>
  <r>
    <s v="VZ-2018-000118"/>
    <s v="OSB "/>
    <s v="Vaida"/>
    <x v="137"/>
    <s v="45233160-8 "/>
    <m/>
    <n v="290000"/>
    <x v="0"/>
    <d v="2018-02-21T00:00:00"/>
    <d v="2018-03-01T00:00:00"/>
    <s v="Marek Alt"/>
    <n v="249740.62"/>
    <n v="302186.15019999997"/>
    <x v="47"/>
    <m/>
    <s v="xxx"/>
  </r>
  <r>
    <s v="VZ-2018-000120"/>
    <s v="IROP"/>
    <s v="Neudorflörová"/>
    <x v="138"/>
    <s v="33168000-5"/>
    <s v="2.3.285."/>
    <n v="1634460"/>
    <x v="1"/>
    <d v="2018-02-27T00:00:00"/>
    <d v="2018-04-10T00:00:00"/>
    <s v="Radix CZ s.r.o."/>
    <n v="1725030"/>
    <n v="2087287.2"/>
    <x v="32"/>
    <m/>
    <d v="2018-06-22T00:00:00"/>
  </r>
  <r>
    <s v="VZ-2018-000121"/>
    <s v="IROP"/>
    <s v="Neudorflörová"/>
    <x v="139"/>
    <s v="33168000-5 "/>
    <s v="2.3.286."/>
    <n v="8010122"/>
    <x v="1"/>
    <d v="2018-02-27T00:00:00"/>
    <d v="2018-04-11T00:00:00"/>
    <s v="Radix CZ s.r.o."/>
    <n v="9202080"/>
    <n v="11134518.199999999"/>
    <x v="32"/>
    <m/>
    <d v="2018-06-22T00:00:00"/>
  </r>
  <r>
    <s v="VZ-2018-000123"/>
    <s v="SERV"/>
    <s v="Zemánek"/>
    <x v="140"/>
    <s v="50400000-9"/>
    <m/>
    <n v="100000"/>
    <x v="0"/>
    <d v="2018-03-12T00:00:00"/>
    <d v="2018-03-22T00:00:00"/>
    <s v="MeWadia s.r.o."/>
    <s v="jednotkové ceny"/>
    <s v="jednotkové ceny"/>
    <x v="48"/>
    <m/>
    <s v="xxx"/>
  </r>
  <r>
    <s v="VZ-2018-000124"/>
    <s v="SERV"/>
    <s v="Zemánek"/>
    <x v="141"/>
    <s v="50400000-9"/>
    <m/>
    <n v="200000"/>
    <x v="0"/>
    <d v="2018-03-28T00:00:00"/>
    <d v="2018-04-10T00:00:00"/>
    <s v="Dräger Medical s.r.o."/>
    <s v="jednotkové ceny"/>
    <s v="jednotkové ceny"/>
    <x v="36"/>
    <m/>
    <s v="xxx"/>
  </r>
  <r>
    <s v="VZ-2018-000125"/>
    <s v="IROP"/>
    <s v="Neudorflörová"/>
    <x v="142"/>
    <s v="33162100-4"/>
    <s v="2.3.262."/>
    <n v="2434830"/>
    <x v="1"/>
    <d v="2018-02-27T00:00:00"/>
    <d v="2018-04-12T00:00:00"/>
    <s v="Dräger Medical s.r.o."/>
    <n v="1671060"/>
    <n v="2021982.6"/>
    <x v="49"/>
    <m/>
    <d v="2018-07-09T00:00:00"/>
  </r>
  <r>
    <s v="VZ-2018-000126"/>
    <s v="IROP"/>
    <s v="Neudorflörová"/>
    <x v="143"/>
    <s v="33167000-8"/>
    <s v="2.3.261."/>
    <n v="6490962"/>
    <x v="1"/>
    <d v="2018-02-27T00:00:00"/>
    <d v="2018-04-13T00:00:00"/>
    <s v="PRENCARE distribuční s.r.o."/>
    <n v="4307570"/>
    <n v="5212159.7"/>
    <x v="50"/>
    <m/>
    <d v="2018-06-15T00:00:00"/>
  </r>
  <r>
    <s v="VZ-2018-000127"/>
    <s v="ZM"/>
    <s v="Merta"/>
    <x v="144"/>
    <s v="33141210-5"/>
    <m/>
    <n v="1955000"/>
    <x v="1"/>
    <d v="2018-04-19T00:00:00"/>
    <d v="2018-05-31T00:00:00"/>
    <s v="INNOVA Medical s.r.o."/>
    <n v="1955000"/>
    <n v="2365550"/>
    <x v="51"/>
    <d v="2020-06-19T00:00:00"/>
    <d v="2019-01-18T00:00:00"/>
  </r>
  <r>
    <s v="VZ-2018-000127"/>
    <s v="ZM"/>
    <s v="Merta"/>
    <x v="145"/>
    <s v="33141210-5"/>
    <m/>
    <n v="214500"/>
    <x v="1"/>
    <d v="2018-04-19T00:00:00"/>
    <d v="2018-05-31T00:00:00"/>
    <s v="INNOVA Medical s.r.o."/>
    <n v="214500"/>
    <n v="259545"/>
    <x v="51"/>
    <d v="2020-06-19T00:00:00"/>
    <d v="2019-01-18T00:00:00"/>
  </r>
  <r>
    <s v="VZ-2018-000127"/>
    <s v="ZM"/>
    <s v="Merta"/>
    <x v="146"/>
    <s v="33141210-5"/>
    <m/>
    <n v="128700"/>
    <x v="1"/>
    <d v="2018-04-19T00:00:00"/>
    <d v="2018-05-31T00:00:00"/>
    <s v="INNOVA Medical s.r.o."/>
    <n v="128700"/>
    <n v="155727"/>
    <x v="51"/>
    <d v="2020-06-19T00:00:00"/>
    <d v="2019-01-18T00:00:00"/>
  </r>
  <r>
    <s v="VZ-2018-000127"/>
    <s v="ZM"/>
    <s v="Merta"/>
    <x v="147"/>
    <s v="33141210-5"/>
    <m/>
    <n v="3120000"/>
    <x v="1"/>
    <d v="2018-04-19T00:00:00"/>
    <d v="2018-05-31T00:00:00"/>
    <s v="INNOVA Medical s.r.o."/>
    <n v="3120000"/>
    <n v="3775200"/>
    <x v="51"/>
    <d v="2020-06-19T00:00:00"/>
    <d v="2019-01-18T00:00:00"/>
  </r>
  <r>
    <s v="VZ-2018-000127"/>
    <s v="ZM"/>
    <s v="Merta"/>
    <x v="148"/>
    <s v="33141210-5"/>
    <m/>
    <n v="890650"/>
    <x v="1"/>
    <d v="2018-04-19T00:00:00"/>
    <d v="2018-05-31T00:00:00"/>
    <s v="INNOVA Medical s.r.o."/>
    <n v="890650"/>
    <n v="1077686.5"/>
    <x v="51"/>
    <d v="2020-06-19T00:00:00"/>
    <d v="2019-01-18T00:00:00"/>
  </r>
  <r>
    <s v="VZ-2018-000127"/>
    <s v="ZM"/>
    <s v="Merta"/>
    <x v="149"/>
    <s v="33141210-5"/>
    <m/>
    <n v="2962500"/>
    <x v="1"/>
    <d v="2018-04-19T00:00:00"/>
    <d v="2018-05-31T00:00:00"/>
    <s v="S.A.B. Impex  s.r.o."/>
    <n v="1274250"/>
    <n v="1541842.5"/>
    <x v="51"/>
    <d v="2020-06-19T00:00:00"/>
    <d v="2019-01-18T00:00:00"/>
  </r>
  <r>
    <s v="VZ-2018-000127"/>
    <s v="ZM"/>
    <s v="Merta"/>
    <x v="150"/>
    <s v="33141210-5"/>
    <m/>
    <n v="4147500"/>
    <x v="1"/>
    <d v="2018-04-19T00:00:00"/>
    <d v="2018-05-31T00:00:00"/>
    <s v="BS Prague  Medical s.r.o."/>
    <n v="4147500"/>
    <n v="5018475"/>
    <x v="51"/>
    <d v="2020-06-19T00:00:00"/>
    <d v="2019-01-18T00:00:00"/>
  </r>
  <r>
    <s v="VZ-2018-000127"/>
    <s v="ZM"/>
    <s v="Merta"/>
    <x v="151"/>
    <s v="33141210-5"/>
    <m/>
    <n v="1209590"/>
    <x v="1"/>
    <d v="2018-04-19T00:00:00"/>
    <d v="2018-05-31T00:00:00"/>
    <s v="B. Braun Medical s.r.o."/>
    <n v="1209495"/>
    <n v="1463488.95"/>
    <x v="51"/>
    <d v="2020-06-19T00:00:00"/>
    <d v="2019-01-18T00:00:00"/>
  </r>
  <r>
    <s v="VZ-2018-000127"/>
    <s v="ZM"/>
    <s v="Merta"/>
    <x v="152"/>
    <s v="33141210-5"/>
    <m/>
    <n v="2625000"/>
    <x v="1"/>
    <d v="2018-04-19T00:00:00"/>
    <d v="2018-05-31T00:00:00"/>
    <s v="INNOVA Medical s.r.o."/>
    <n v="2625000"/>
    <n v="3176250"/>
    <x v="51"/>
    <d v="2020-06-19T00:00:00"/>
    <d v="2019-01-18T00:00:00"/>
  </r>
  <r>
    <s v="VZ-2018-000127"/>
    <s v="ZM"/>
    <s v="Merta"/>
    <x v="153"/>
    <s v="33141210-5"/>
    <m/>
    <n v="656250"/>
    <x v="1"/>
    <d v="2018-04-19T00:00:00"/>
    <d v="2018-05-31T00:00:00"/>
    <s v="Medtronic Czechia s.r.o."/>
    <n v="472500"/>
    <n v="571725"/>
    <x v="51"/>
    <d v="2020-06-19T00:00:00"/>
    <d v="2019-01-18T00:00:00"/>
  </r>
  <r>
    <s v="VZ-2018-000127"/>
    <s v="ZM"/>
    <s v="Merta"/>
    <x v="154"/>
    <s v="33141210-5"/>
    <m/>
    <n v="756000"/>
    <x v="1"/>
    <d v="2018-04-19T00:00:00"/>
    <d v="2018-05-31T00:00:00"/>
    <s v="INNOVA Medical s.r.o."/>
    <n v="744000"/>
    <n v="900240"/>
    <x v="51"/>
    <d v="2020-06-19T00:00:00"/>
    <d v="2019-01-18T00:00:00"/>
  </r>
  <r>
    <s v="VZ-2018-000127"/>
    <s v="ZM"/>
    <s v="Merta"/>
    <x v="155"/>
    <s v="33141210-5"/>
    <m/>
    <n v="2001000"/>
    <x v="1"/>
    <d v="2018-04-19T00:00:00"/>
    <d v="2018-05-31T00:00:00"/>
    <s v="Cardiomedical s.r.o."/>
    <n v="1817000"/>
    <n v="2089550"/>
    <x v="51"/>
    <d v="2020-06-19T00:00:00"/>
    <d v="2019-01-18T00:00:00"/>
  </r>
  <r>
    <s v="VZ-2018-000127"/>
    <s v="ZM"/>
    <s v="Merta"/>
    <x v="156"/>
    <s v="33141210-5"/>
    <m/>
    <n v="585000"/>
    <x v="1"/>
    <d v="2018-04-19T00:00:00"/>
    <d v="2018-05-31T00:00:00"/>
    <s v="Stimcare s.r.o."/>
    <n v="561000"/>
    <n v="645150"/>
    <x v="51"/>
    <d v="2020-06-19T00:00:00"/>
    <d v="2019-01-18T00:00:00"/>
  </r>
  <r>
    <s v="VZ-2018-000127"/>
    <s v="ZM"/>
    <s v="Merta"/>
    <x v="157"/>
    <s v="33141210-5"/>
    <m/>
    <n v="12675000"/>
    <x v="1"/>
    <d v="2018-04-19T00:00:00"/>
    <d v="2018-05-31T00:00:00"/>
    <s v="Cardiomedical s.r.o."/>
    <n v="12675000"/>
    <n v="14576250"/>
    <x v="51"/>
    <d v="2020-06-19T00:00:00"/>
    <d v="2019-01-18T00:00:00"/>
  </r>
  <r>
    <s v="VZ-2018-000127"/>
    <s v="ZM"/>
    <s v="Merta"/>
    <x v="158"/>
    <s v="33141210-5"/>
    <m/>
    <n v="1680000"/>
    <x v="1"/>
    <d v="2018-04-19T00:00:00"/>
    <d v="2018-05-31T00:00:00"/>
    <s v="B. Braun Medical s.r.o."/>
    <n v="1680000"/>
    <n v="1931999.9999999998"/>
    <x v="51"/>
    <d v="2020-06-19T00:00:00"/>
    <d v="2019-01-18T00:00:00"/>
  </r>
  <r>
    <s v="VZ-2018-000127"/>
    <s v="ZM"/>
    <s v="Merta"/>
    <x v="159"/>
    <s v="33141210-5"/>
    <m/>
    <n v="1950000"/>
    <x v="1"/>
    <d v="2018-04-19T00:00:00"/>
    <d v="2018-05-31T00:00:00"/>
    <s v="Stimcare s.r.o."/>
    <n v="1365000"/>
    <n v="1569749.9999999998"/>
    <x v="51"/>
    <d v="2020-06-19T00:00:00"/>
    <d v="2019-01-18T00:00:00"/>
  </r>
  <r>
    <s v="VZ-2018-000127"/>
    <s v="ZM"/>
    <s v="Merta"/>
    <x v="160"/>
    <s v="33141210-5"/>
    <m/>
    <n v="2114955"/>
    <x v="1"/>
    <d v="2018-04-19T00:00:00"/>
    <d v="2018-05-31T00:00:00"/>
    <s v="Cardiomedical s.r.o."/>
    <n v="1760850"/>
    <n v="2024977.4999999998"/>
    <x v="51"/>
    <d v="2020-06-19T00:00:00"/>
    <d v="2019-01-18T00:00:00"/>
  </r>
  <r>
    <s v="VZ-2018-000127"/>
    <s v="ZM"/>
    <s v="Merta"/>
    <x v="161"/>
    <s v="33141210-5"/>
    <m/>
    <n v="1995000"/>
    <x v="1"/>
    <d v="2018-04-19T00:00:00"/>
    <d v="2018-05-31T00:00:00"/>
    <s v="INLAB Medical, s.r.o."/>
    <n v="1974100"/>
    <n v="2388661"/>
    <x v="18"/>
    <m/>
    <m/>
  </r>
  <r>
    <s v="VZ-2018-000127"/>
    <s v="ZM"/>
    <s v="Merta"/>
    <x v="162"/>
    <s v="33141210-5"/>
    <m/>
    <n v="870000"/>
    <x v="1"/>
    <d v="2018-04-19T00:00:00"/>
    <d v="2018-05-31T00:00:00"/>
    <s v="INLAB Medical, s.r.o."/>
    <n v="870000"/>
    <n v="1052700"/>
    <x v="18"/>
    <m/>
    <m/>
  </r>
  <r>
    <s v="VZ-2018-000127"/>
    <s v="ZM"/>
    <s v="Merta"/>
    <x v="163"/>
    <s v="33141210-5"/>
    <m/>
    <n v="2529750"/>
    <x v="1"/>
    <d v="2018-04-19T00:00:00"/>
    <d v="2018-05-31T00:00:00"/>
    <s v="zrušeno"/>
    <m/>
    <m/>
    <x v="18"/>
    <m/>
    <d v="2018-05-23T00:00:00"/>
  </r>
  <r>
    <s v="VZ-2018-000127"/>
    <s v="ZM"/>
    <s v="Merta"/>
    <x v="164"/>
    <s v="33141210-5"/>
    <m/>
    <n v="11865750"/>
    <x v="1"/>
    <d v="2018-04-19T00:00:00"/>
    <d v="2018-05-31T00:00:00"/>
    <s v="INLAB Medical, s.r.o."/>
    <n v="11856000"/>
    <n v="13634399.999999998"/>
    <x v="18"/>
    <m/>
    <m/>
  </r>
  <r>
    <s v="VZ-2018-000128"/>
    <s v="DOPR"/>
    <s v="Solovský"/>
    <x v="165"/>
    <s v="50114000-7"/>
    <m/>
    <n v="1200000"/>
    <x v="0"/>
    <d v="2018-03-12T00:00:00"/>
    <d v="2018-03-22T00:00:00"/>
    <s v="KAR-mobil s.r.o."/>
    <n v="1200000"/>
    <n v="1452000"/>
    <x v="52"/>
    <d v="2022-05-06T00:00:00"/>
    <d v="2018-05-07T00:00:00"/>
  </r>
  <r>
    <s v="VZ-2018-000131"/>
    <s v="OLV"/>
    <s v="Kohutova"/>
    <x v="166"/>
    <s v="15980000-1 "/>
    <m/>
    <n v="4600000"/>
    <x v="1"/>
    <d v="2018-04-19T00:00:00"/>
    <d v="2018-05-30T00:00:00"/>
    <s v="zrušeno"/>
    <m/>
    <m/>
    <x v="18"/>
    <m/>
    <d v="2018-05-15T00:00:00"/>
  </r>
  <r>
    <s v="VZ-2018-000136"/>
    <s v="KVAL"/>
    <s v="Cahlíková"/>
    <x v="167"/>
    <s v="72225000-8 "/>
    <m/>
    <n v="450000"/>
    <x v="0"/>
    <d v="2018-04-11T00:00:00"/>
    <d v="2018-04-18T00:00:00"/>
    <s v="DNV GL s.r.o."/>
    <n v="81000"/>
    <n v="98010"/>
    <x v="53"/>
    <m/>
    <s v="xxx"/>
  </r>
  <r>
    <s v="VZ-2018-000138"/>
    <s v="ZM"/>
    <s v="Dočkalová"/>
    <x v="168"/>
    <s v="33140000-3"/>
    <m/>
    <n v="3031000"/>
    <x v="2"/>
    <d v="2018-03-02T00:00:00"/>
    <d v="2018-03-27T00:00:00"/>
    <s v="Bella Bohemia s.r.o. (TZMO)"/>
    <n v="1496348.19"/>
    <n v="1810581.31"/>
    <x v="41"/>
    <d v="2021-07-31T00:00:00"/>
    <d v="2018-08-03T00:00:00"/>
  </r>
  <r>
    <s v="VZ-2018-000139"/>
    <s v="SERV"/>
    <s v="Zemánek"/>
    <x v="169"/>
    <s v="50400000-9"/>
    <m/>
    <n v="1000000"/>
    <x v="0"/>
    <d v="2018-03-28T00:00:00"/>
    <d v="2018-04-10T00:00:00"/>
    <s v="Stargen EU s.r.o."/>
    <s v="jednotkové ceny"/>
    <s v="jednotkové ceny"/>
    <x v="54"/>
    <s v="na dobu neurčitou"/>
    <d v="2018-05-25T00:00:00"/>
  </r>
  <r>
    <s v="VZ-2018-000140"/>
    <s v="SERV"/>
    <s v="Zemánek"/>
    <x v="170"/>
    <s v="50400000-9"/>
    <m/>
    <n v="1900000"/>
    <x v="0"/>
    <d v="2018-04-11T00:00:00"/>
    <d v="2018-04-18T00:00:00"/>
    <s v="ZDRAVO s.r.o."/>
    <s v="jednotkové ceny"/>
    <s v="jednotkové ceny"/>
    <x v="55"/>
    <s v="na dobu neurčitou"/>
    <d v="2018-05-14T00:00:00"/>
  </r>
  <r>
    <s v="VZ-2018-000141"/>
    <s v="SERV"/>
    <s v="Zemánek"/>
    <x v="171"/>
    <s v="50400000-9"/>
    <m/>
    <n v="800000"/>
    <x v="0"/>
    <d v="2018-05-07T00:00:00"/>
    <d v="2018-05-21T00:00:00"/>
    <s v="Canberra Packard s.r.o."/>
    <n v="720000"/>
    <n v="871200"/>
    <x v="50"/>
    <s v="doba neurčitá"/>
    <d v="2018-06-19T00:00:00"/>
  </r>
  <r>
    <s v="VZ-2018-000141"/>
    <s v="SERV"/>
    <s v="Zemánek"/>
    <x v="172"/>
    <s v="50400000-9"/>
    <m/>
    <n v="500000"/>
    <x v="0"/>
    <d v="2018-05-07T00:00:00"/>
    <d v="2018-05-21T00:00:00"/>
    <s v="Canberra Packard s.r.o."/>
    <s v="jednotkové ceny"/>
    <s v="jednotkové ceny"/>
    <x v="56"/>
    <s v="doba neurčitá"/>
    <d v="2018-07-10T00:00:00"/>
  </r>
  <r>
    <s v="VZ-2018-000145"/>
    <s v="IROP"/>
    <s v="Neudorflörová"/>
    <x v="173"/>
    <s v="33161000-6"/>
    <s v="2.3.288."/>
    <n v="655390"/>
    <x v="1"/>
    <d v="2018-05-18T00:00:00"/>
    <d v="2018-07-20T00:00:00"/>
    <s v="MeWadia s.r.o."/>
    <n v="258500"/>
    <n v="312785"/>
    <x v="51"/>
    <m/>
    <d v="2018-12-28T00:00:00"/>
  </r>
  <r>
    <s v="VZ-2018-000146"/>
    <s v="IROP"/>
    <s v="Neudorflörová"/>
    <x v="174"/>
    <s v="33161000-6"/>
    <s v="2.3.289."/>
    <n v="657020"/>
    <x v="1"/>
    <d v="2018-05-18T00:00:00"/>
    <d v="2018-06-28T00:00:00"/>
    <s v="BioVendor a.s."/>
    <n v="547878"/>
    <n v="662932.43999999994"/>
    <x v="45"/>
    <m/>
    <d v="2018-08-28T00:00:00"/>
  </r>
  <r>
    <s v="VZ-2018-000147"/>
    <s v="IROP"/>
    <s v="Neudorflörová"/>
    <x v="175"/>
    <s v="33192160-1"/>
    <s v="2.3.291."/>
    <n v="254330.57"/>
    <x v="1"/>
    <d v="2018-05-10T00:00:00"/>
    <d v="2018-06-19T00:00:00"/>
    <s v="Sezame Product s.r.o."/>
    <n v="150740"/>
    <n v="182395.4"/>
    <x v="57"/>
    <m/>
    <d v="2018-10-02T00:00:00"/>
  </r>
  <r>
    <s v="VZ-2018-000154"/>
    <s v="ENERG"/>
    <s v="Srovnal"/>
    <x v="176"/>
    <s v="71320000-7"/>
    <s v="4.2.79."/>
    <n v="300000"/>
    <x v="0"/>
    <d v="2018-03-07T00:00:00"/>
    <d v="2018-03-20T00:00:00"/>
    <s v="Ing. Zdeněk Smolka"/>
    <n v="306200"/>
    <n v="370502"/>
    <x v="58"/>
    <m/>
    <s v="xxx"/>
  </r>
  <r>
    <s v="VZ-2018-000156"/>
    <s v="ENERG"/>
    <s v="Srovnal"/>
    <x v="177"/>
    <s v="50700000-2"/>
    <s v="4.2.70. - 4.2.75."/>
    <n v="2430000"/>
    <x v="2"/>
    <d v="2018-03-06T00:00:00"/>
    <d v="2018-04-05T00:00:00"/>
    <s v="Liftmont CZ s.r.o."/>
    <n v="2070000"/>
    <n v="2504700"/>
    <x v="50"/>
    <m/>
    <d v="2018-06-25T00:00:00"/>
  </r>
  <r>
    <s v="VZ-2018-000164"/>
    <s v="VŠEOB"/>
    <s v="Nerudová"/>
    <x v="178"/>
    <s v="39120000-9"/>
    <m/>
    <n v="800000"/>
    <x v="1"/>
    <d v="2018-03-15T00:00:00"/>
    <d v="2018-04-23T00:00:00"/>
    <s v="Basco SK s.r.o."/>
    <n v="765034"/>
    <n v="925691.14"/>
    <x v="41"/>
    <m/>
    <d v="2018-08-07T00:00:00"/>
  </r>
  <r>
    <s v="VZ-2018-000166"/>
    <s v="ZT"/>
    <s v="Rosulek"/>
    <x v="179"/>
    <s v="33192230-3"/>
    <s v="2.2.117."/>
    <n v="400000"/>
    <x v="0"/>
    <d v="2018-03-16T00:00:00"/>
    <d v="2018-03-28T00:00:00"/>
    <s v="B. Braun Medical s.r.o."/>
    <n v="278792"/>
    <n v="337338.32"/>
    <x v="59"/>
    <m/>
    <s v="xxx"/>
  </r>
  <r>
    <s v="VZ-2018-000167"/>
    <s v="ZT"/>
    <s v="Rosulek"/>
    <x v="180"/>
    <s v="33191000-5"/>
    <s v="2.3.353."/>
    <n v="2844000"/>
    <x v="2"/>
    <d v="2018-03-13T00:00:00"/>
    <d v="2018-04-18T00:00:00"/>
    <s v="zrušeno - překročen limit"/>
    <m/>
    <m/>
    <x v="18"/>
    <m/>
    <d v="2018-04-23T00:00:00"/>
  </r>
  <r>
    <s v="VZ-2018-000172"/>
    <s v="MARKET"/>
    <s v="Havrlant"/>
    <x v="181"/>
    <s v="31523200-0"/>
    <m/>
    <n v="2479000"/>
    <x v="2"/>
    <d v="2018-03-13T00:00:00"/>
    <d v="2018-04-10T00:00:00"/>
    <s v="P&amp;V rytecké práce, s.r.o."/>
    <s v="jednotkové ceny"/>
    <s v="jednotkové ceny"/>
    <x v="56"/>
    <m/>
    <d v="2018-07-10T00:00:00"/>
  </r>
  <r>
    <s v="VZ-2018-000173"/>
    <s v="OSB "/>
    <s v="Vaida"/>
    <x v="182"/>
    <s v="45432210-9 "/>
    <m/>
    <n v="600000"/>
    <x v="0"/>
    <d v="2018-03-22T00:00:00"/>
    <d v="2018-04-04T00:00:00"/>
    <s v="IVNISTA Craft  s.r.o."/>
    <n v="644485"/>
    <n v="779826.85"/>
    <x v="54"/>
    <m/>
    <d v="2018-05-25T00:00:00"/>
  </r>
  <r>
    <s v="VZ-2018-000176"/>
    <s v="IROP"/>
    <s v="Neudorflörová"/>
    <x v="183"/>
    <s v="33167000-8"/>
    <s v="2.3.287."/>
    <n v="2632001.64"/>
    <x v="1"/>
    <d v="2018-04-27T00:00:00"/>
    <d v="2018-07-10T00:00:00"/>
    <s v="PRENCARE distribuční s.r.o."/>
    <n v="1141230"/>
    <n v="1380888.3"/>
    <x v="60"/>
    <m/>
    <d v="2018-09-24T00:00:00"/>
  </r>
  <r>
    <s v="VZ-2018-000182"/>
    <s v="ENERG"/>
    <s v="Srovnal"/>
    <x v="184"/>
    <s v="50730000-1"/>
    <m/>
    <n v="1600000"/>
    <x v="0"/>
    <d v="2018-03-28T00:00:00"/>
    <d v="2018-04-17T00:00:00"/>
    <s v="Air Klimont s.r.o."/>
    <n v="882699"/>
    <n v="1068065.79"/>
    <x v="36"/>
    <m/>
    <d v="2018-05-23T00:00:00"/>
  </r>
  <r>
    <s v="VZ-2018-000183"/>
    <s v="MARKET"/>
    <s v="Jeřábková"/>
    <x v="185"/>
    <s v="79952100-3"/>
    <m/>
    <n v="300000"/>
    <x v="0"/>
    <d v="2018-03-27T00:00:00"/>
    <d v="2018-04-06T00:00:00"/>
    <s v="CPI Hotels a.s."/>
    <n v="239669.42148760331"/>
    <n v="290000"/>
    <x v="36"/>
    <m/>
    <s v="xxx"/>
  </r>
  <r>
    <s v="VZ-2018-000185"/>
    <s v="INF"/>
    <s v="Oravec"/>
    <x v="186"/>
    <s v="32429000-6"/>
    <s v="3.2.3."/>
    <n v="1598000"/>
    <x v="0"/>
    <d v="2018-04-25T00:00:00"/>
    <d v="2018-05-03T00:00:00"/>
    <s v="Eriserv s.r.o."/>
    <n v="1594260"/>
    <n v="1929054.5999999999"/>
    <x v="36"/>
    <m/>
    <d v="2018-05-22T00:00:00"/>
  </r>
  <r>
    <s v="VZ-2018-000196"/>
    <s v="ZM"/>
    <s v="Merta"/>
    <x v="187"/>
    <s v="33186100-8"/>
    <m/>
    <n v="6500835"/>
    <x v="1"/>
    <d v="2018-04-25T00:00:00"/>
    <d v="2018-06-14T00:00:00"/>
    <s v="CARDION s.r.o."/>
    <n v="6480000"/>
    <n v="7840000"/>
    <x v="45"/>
    <d v="2020-02-19T00:00:00"/>
    <d v="2018-08-28T00:00:00"/>
  </r>
  <r>
    <s v="VZ-2018-000196"/>
    <s v="ZM"/>
    <s v="Merta"/>
    <x v="188"/>
    <s v="33186100-8"/>
    <m/>
    <n v="546000"/>
    <x v="1"/>
    <d v="2018-04-25T00:00:00"/>
    <d v="2018-06-14T00:00:00"/>
    <s v="CARDION s.r.o."/>
    <n v="545454.6"/>
    <n v="660000"/>
    <x v="45"/>
    <d v="2020-02-19T00:00:00"/>
    <d v="2018-08-28T00:00:00"/>
  </r>
  <r>
    <s v="VZ-2018-000196"/>
    <s v="ZM"/>
    <s v="Merta"/>
    <x v="189"/>
    <s v="33186100-8"/>
    <m/>
    <n v="3815694"/>
    <x v="1"/>
    <d v="2018-04-25T00:00:00"/>
    <d v="2018-06-14T00:00:00"/>
    <s v="zrušeno - bez nabídky"/>
    <m/>
    <m/>
    <x v="18"/>
    <m/>
    <d v="2018-07-23T00:00:00"/>
  </r>
  <r>
    <s v="VZ-2018-000205"/>
    <s v="SERV"/>
    <s v="Zemánek"/>
    <x v="190"/>
    <s v="50400000-9"/>
    <m/>
    <n v="150000"/>
    <x v="0"/>
    <d v="2018-04-13T00:00:00"/>
    <d v="2018-04-25T00:00:00"/>
    <s v="zrušeno - bez nabídky"/>
    <m/>
    <m/>
    <x v="18"/>
    <m/>
    <s v="xxx"/>
  </r>
  <r>
    <s v="VZ-2018-000209"/>
    <s v="ZM"/>
    <s v="Dočkalová"/>
    <x v="191"/>
    <s v="33196000-0"/>
    <m/>
    <n v="700000"/>
    <x v="0"/>
    <d v="2018-04-16T00:00:00"/>
    <d v="2018-04-26T00:00:00"/>
    <s v="LINON CZ, s.r.o."/>
    <n v="348900"/>
    <n v="422169"/>
    <x v="56"/>
    <m/>
    <d v="2018-07-10T00:00:00"/>
  </r>
  <r>
    <s v="VZ-2018-000211"/>
    <s v="OSB "/>
    <s v="Vaida"/>
    <x v="192"/>
    <s v="45215100-8"/>
    <s v="4.3.4."/>
    <n v="2800000"/>
    <x v="0"/>
    <d v="2018-04-03T00:00:00"/>
    <d v="2018-04-12T00:00:00"/>
    <s v="Elektropráce Spáčil s.r.o."/>
    <n v="2798650.92"/>
    <n v="3386367.6132"/>
    <x v="35"/>
    <m/>
    <d v="2018-06-01T00:00:00"/>
  </r>
  <r>
    <s v="VZ-2018-000216"/>
    <s v="LÉK"/>
    <s v="Ondráčková"/>
    <x v="193"/>
    <s v="33651200-0"/>
    <m/>
    <n v="2071524"/>
    <x v="1"/>
    <d v="2018-04-10T00:00:00"/>
    <d v="2018-05-17T00:00:00"/>
    <s v="Alliance Healthcare s.r.o."/>
    <n v="2053268.8"/>
    <n v="2258595.6800000002"/>
    <x v="61"/>
    <d v="2020-07-22T00:00:00"/>
    <d v="2018-07-26T00:00:00"/>
  </r>
  <r>
    <s v="VZ-2018-000216"/>
    <s v="LÉK"/>
    <s v="Ondráčková"/>
    <x v="194"/>
    <s v="33651200-0"/>
    <m/>
    <n v="1778497"/>
    <x v="1"/>
    <d v="2018-04-10T00:00:00"/>
    <d v="2018-05-17T00:00:00"/>
    <s v="Alliance Healthcare s.r.o."/>
    <n v="1774950.3"/>
    <n v="1952445.33"/>
    <x v="61"/>
    <d v="2020-07-22T00:00:00"/>
    <d v="2018-07-26T00:00:00"/>
  </r>
  <r>
    <s v="VZ-2018-000216"/>
    <s v="LÉK"/>
    <s v="Ondráčková"/>
    <x v="195"/>
    <s v="33651200-0"/>
    <m/>
    <n v="6969600"/>
    <x v="1"/>
    <d v="2018-04-10T00:00:00"/>
    <d v="2018-05-17T00:00:00"/>
    <s v="zrušeno bez nabídky"/>
    <m/>
    <m/>
    <x v="18"/>
    <m/>
    <d v="2018-06-21T00:00:00"/>
  </r>
  <r>
    <s v="VZ-2018-000217"/>
    <s v="ZT"/>
    <s v="Rosulek"/>
    <x v="196"/>
    <s v="33192230-3"/>
    <s v="2.3.354."/>
    <n v="2650000"/>
    <x v="2"/>
    <d v="2018-04-18T00:00:00"/>
    <d v="2018-05-09T00:00:00"/>
    <s v="Hypokramed s.r.o."/>
    <n v="2743840"/>
    <n v="3320046.4"/>
    <x v="62"/>
    <m/>
    <d v="2018-07-27T00:00:00"/>
  </r>
  <r>
    <s v="VZ-2018-000221"/>
    <s v="ENERG"/>
    <s v="Srovnal"/>
    <x v="197"/>
    <s v="50532400-7 "/>
    <m/>
    <n v="2670000"/>
    <x v="2"/>
    <d v="2018-04-10T00:00:00"/>
    <d v="2018-04-25T00:00:00"/>
    <s v="Elmar Group s.r.o."/>
    <n v="2587249"/>
    <n v="3130571.29"/>
    <x v="63"/>
    <m/>
    <d v="2018-07-25T00:00:00"/>
  </r>
  <r>
    <s v="VZ-2018-000224"/>
    <s v="ZT"/>
    <s v="Rosulek"/>
    <x v="198"/>
    <s v="33123200-0"/>
    <s v="2.2.140.; 2.3.303.;2.4.98."/>
    <n v="305000"/>
    <x v="0"/>
    <d v="2018-07-16T00:00:00"/>
    <d v="2018-07-27T00:00:00"/>
    <s v="BTL zdravotnická technika a.s."/>
    <n v="273350"/>
    <n v="330753.5"/>
    <x v="64"/>
    <m/>
    <s v="xxx"/>
  </r>
  <r>
    <s v="VZ-2018-000227"/>
    <s v="ZT"/>
    <s v="Novák"/>
    <x v="199"/>
    <s v="33681000-7"/>
    <m/>
    <n v="275000"/>
    <x v="0"/>
    <d v="2018-04-16T00:00:00"/>
    <d v="2018-04-30T00:00:00"/>
    <s v="Medical M spol. s r.o."/>
    <n v="180500"/>
    <n v="218405"/>
    <x v="56"/>
    <m/>
    <s v="xxx"/>
  </r>
  <r>
    <s v="VZ-2018-000238"/>
    <s v="PROVOZ"/>
    <s v="Benešová"/>
    <x v="200"/>
    <s v="39314000-6"/>
    <s v="4.2.83."/>
    <n v="37000"/>
    <x v="0"/>
    <d v="2018-04-17T00:00:00"/>
    <d v="2018-04-27T00:00:00"/>
    <s v="Jiří Ruček SET ES"/>
    <n v="17968"/>
    <n v="21741.279999999999"/>
    <x v="65"/>
    <m/>
    <s v="xxx"/>
  </r>
  <r>
    <s v="VZ-2018-000250"/>
    <s v="ZM"/>
    <s v="Dočkalová"/>
    <x v="201"/>
    <m/>
    <m/>
    <n v="8000000"/>
    <x v="1"/>
    <d v="2018-04-19T00:00:00"/>
    <d v="2018-06-11T00:00:00"/>
    <s v="Canberra Packard s.r.o."/>
    <n v="8408000"/>
    <n v="10173680"/>
    <x v="61"/>
    <s v="doba neurčitá"/>
    <d v="2018-07-26T00:00:00"/>
  </r>
  <r>
    <s v="VZ-2018-000251"/>
    <s v="KVAL"/>
    <s v="Cahlíková"/>
    <x v="202"/>
    <s v="72225000-8 "/>
    <m/>
    <n v="300000"/>
    <x v="0"/>
    <d v="2018-04-24T00:00:00"/>
    <d v="2018-05-02T00:00:00"/>
    <s v="Respond &amp; Co s.r.o."/>
    <n v="225000"/>
    <n v="272250"/>
    <x v="66"/>
    <m/>
    <s v="xxx"/>
  </r>
  <r>
    <s v="VZ-2018-000252"/>
    <s v="OBN"/>
    <s v="Merta"/>
    <x v="203"/>
    <s v="80511000-9 "/>
    <m/>
    <n v="485000"/>
    <x v="0"/>
    <d v="2018-04-19T00:00:00"/>
    <d v="2018-04-26T00:00:00"/>
    <s v="Deloitte Advisory s.r.o."/>
    <n v="485000"/>
    <n v="586850"/>
    <x v="67"/>
    <m/>
    <s v="xxx"/>
  </r>
  <r>
    <s v="VZ-2018-000254"/>
    <s v="IROP"/>
    <s v="Neudorflörová"/>
    <x v="204"/>
    <s v="33194100-7 "/>
    <s v="2.2.112."/>
    <n v="200002.48"/>
    <x v="1"/>
    <d v="2018-05-10T00:00:00"/>
    <d v="2018-06-20T00:00:00"/>
    <s v="Fresenius Kabi s.r.o."/>
    <n v="186320"/>
    <n v="225447.19999999998"/>
    <x v="57"/>
    <m/>
    <d v="2018-09-20T00:00:00"/>
  </r>
  <r>
    <s v="VZ-2018-000255"/>
    <s v="IROP"/>
    <s v="Neudorflörová"/>
    <x v="205"/>
    <s v="33161000-6"/>
    <s v="2.3.289."/>
    <n v="2161200"/>
    <x v="1"/>
    <d v="2018-05-18T00:00:00"/>
    <d v="2018-06-26T00:00:00"/>
    <s v="Laparotech Instruments s.r.o."/>
    <n v="2369799.98"/>
    <n v="2867457.98"/>
    <x v="45"/>
    <m/>
    <d v="2018-08-27T00:00:00"/>
  </r>
  <r>
    <s v="VZ-2018-000267"/>
    <s v="ZM"/>
    <s v="Merta"/>
    <x v="206"/>
    <s v="33141750-2"/>
    <m/>
    <n v="17610000"/>
    <x v="1"/>
    <d v="2018-06-08T00:00:00"/>
    <d v="2018-08-01T00:00:00"/>
    <s v="ZIMMER Czech s.r.o."/>
    <n v="13797684.699999999"/>
    <n v="15867337.449999999"/>
    <x v="18"/>
    <m/>
    <m/>
  </r>
  <r>
    <s v="VZ-2018-000267"/>
    <s v="ZM"/>
    <s v="Merta"/>
    <x v="207"/>
    <s v="33141750-2"/>
    <m/>
    <n v="1650000"/>
    <x v="1"/>
    <d v="2018-06-08T00:00:00"/>
    <d v="2018-08-01T00:00:00"/>
    <s v="Johnson &amp; Johnson s.r.o."/>
    <n v="990000"/>
    <n v="1138500"/>
    <x v="18"/>
    <m/>
    <m/>
  </r>
  <r>
    <s v="VZ-2018-000267"/>
    <s v="ZM"/>
    <s v="Merta"/>
    <x v="208"/>
    <s v="33141750-2"/>
    <m/>
    <n v="2700000"/>
    <x v="1"/>
    <d v="2018-06-08T00:00:00"/>
    <d v="2018-08-01T00:00:00"/>
    <s v="ZIMMER Czech s.r.o."/>
    <n v="1677000"/>
    <n v="1928550"/>
    <x v="18"/>
    <m/>
    <m/>
  </r>
  <r>
    <s v="VZ-2018-000267"/>
    <s v="ZM"/>
    <s v="Merta"/>
    <x v="209"/>
    <s v="33141750-2"/>
    <m/>
    <n v="9420000"/>
    <x v="1"/>
    <d v="2018-06-08T00:00:00"/>
    <d v="2018-08-01T00:00:00"/>
    <s v="ZIMMER Czech s.r.o."/>
    <n v="7097500"/>
    <n v="8162125"/>
    <x v="18"/>
    <m/>
    <m/>
  </r>
  <r>
    <s v="VZ-2018-000267"/>
    <s v="ZM"/>
    <s v="Merta"/>
    <x v="210"/>
    <s v="33141750-2"/>
    <m/>
    <n v="1200000"/>
    <x v="1"/>
    <d v="2018-06-08T00:00:00"/>
    <d v="2018-08-01T00:00:00"/>
    <s v="ZIMMER Czech s.r.o."/>
    <n v="990000"/>
    <n v="1138500"/>
    <x v="18"/>
    <m/>
    <m/>
  </r>
  <r>
    <s v="VZ-2018-000267"/>
    <s v="ZM"/>
    <s v="Merta"/>
    <x v="211"/>
    <s v="33141750-2"/>
    <m/>
    <n v="2100000"/>
    <x v="1"/>
    <d v="2018-06-08T00:00:00"/>
    <d v="2018-08-01T00:00:00"/>
    <s v="ZIMMER Czech s.r.o."/>
    <n v="1650000"/>
    <n v="1897500"/>
    <x v="18"/>
    <m/>
    <m/>
  </r>
  <r>
    <s v="VZ-2018-000267"/>
    <s v="ZM"/>
    <s v="Merta"/>
    <x v="212"/>
    <s v="33141750-2"/>
    <m/>
    <n v="2400000"/>
    <x v="1"/>
    <d v="2018-06-08T00:00:00"/>
    <d v="2018-08-01T00:00:00"/>
    <s v="zrušeno"/>
    <m/>
    <m/>
    <x v="18"/>
    <m/>
    <d v="2018-11-09T00:00:00"/>
  </r>
  <r>
    <s v="VZ-2018-000272"/>
    <s v="ZT"/>
    <s v="Rosulek"/>
    <x v="213"/>
    <s v="33191000-5"/>
    <s v="2.2.152."/>
    <n v="850000"/>
    <x v="0"/>
    <d v="2018-04-25T00:00:00"/>
    <d v="2018-05-04T00:00:00"/>
    <s v="AKC konstrukce s.r.o."/>
    <n v="1045200"/>
    <n v="1264692"/>
    <x v="32"/>
    <m/>
    <d v="2018-06-25T00:00:00"/>
  </r>
  <r>
    <s v="VZ-2018-000283"/>
    <s v="OSB "/>
    <s v="Vaida"/>
    <x v="214"/>
    <s v="45432130-4"/>
    <m/>
    <n v="600000"/>
    <x v="0"/>
    <d v="2018-04-24T00:00:00"/>
    <d v="2018-05-04T00:00:00"/>
    <s v="STAVONA Olomouc, s.r.o."/>
    <n v="310716.90999999997"/>
    <n v="375967.46"/>
    <x v="35"/>
    <m/>
    <d v="2018-06-01T00:00:00"/>
  </r>
  <r>
    <s v="VZ-2018-000286"/>
    <s v="INV"/>
    <s v="Kvapil"/>
    <x v="215"/>
    <s v="32412000-4"/>
    <m/>
    <n v="255000"/>
    <x v="0"/>
    <d v="2018-05-16T00:00:00"/>
    <d v="2018-05-25T00:00:00"/>
    <s v="zrušeno - bez nabídky"/>
    <m/>
    <m/>
    <x v="18"/>
    <m/>
    <s v="xxx"/>
  </r>
  <r>
    <s v="VZ-2018-000287"/>
    <s v="ZM"/>
    <s v="Dočkalová"/>
    <x v="216"/>
    <s v="33140000-3"/>
    <m/>
    <n v="14300000"/>
    <x v="1"/>
    <d v="2018-04-26T00:00:00"/>
    <d v="2018-06-05T00:00:00"/>
    <s v="GioMed Group s.r.o."/>
    <n v="14294993.550000001"/>
    <n v="17296942.199999999"/>
    <x v="68"/>
    <s v="na dobu neurčitou"/>
    <d v="2018-07-17T00:00:00"/>
  </r>
  <r>
    <s v="VZ-2018-000289"/>
    <s v="ZM"/>
    <s v="Dočkalová"/>
    <x v="217"/>
    <s v="33140000-3"/>
    <m/>
    <n v="3700000"/>
    <x v="2"/>
    <d v="2018-04-26T00:00:00"/>
    <d v="2018-05-24T00:00:00"/>
    <s v="zrušit"/>
    <m/>
    <m/>
    <x v="18"/>
    <m/>
    <d v="2018-07-03T00:00:00"/>
  </r>
  <r>
    <s v="VZ-2018-000290"/>
    <s v="ZM"/>
    <s v="Dočkalová"/>
    <x v="218"/>
    <s v="33772000-2"/>
    <m/>
    <n v="800000"/>
    <x v="0"/>
    <d v="2018-04-25T00:00:00"/>
    <d v="2018-05-04T00:00:00"/>
    <s v="Europapier-Bohemia"/>
    <n v="747040"/>
    <n v="903918.4"/>
    <x v="69"/>
    <d v="2020-07-26T00:00:00"/>
    <d v="2018-07-30T00:00:00"/>
  </r>
  <r>
    <s v="VZ-2018-000296"/>
    <s v="ENERG"/>
    <s v="Srovnal"/>
    <x v="219"/>
    <s v="42513290-4 "/>
    <s v="4.2.78."/>
    <n v="2000000"/>
    <x v="2"/>
    <d v="2018-04-27T00:00:00"/>
    <d v="2018-05-22T00:00:00"/>
    <s v="Climart s.r.o."/>
    <n v="1820723"/>
    <n v="2203074.83"/>
    <x v="50"/>
    <m/>
    <d v="2018-06-18T00:00:00"/>
  </r>
  <r>
    <s v="VZ-2018-000298"/>
    <s v="ZT"/>
    <s v="Rosulek"/>
    <x v="220"/>
    <s v="33191000-5"/>
    <s v="2.3.353."/>
    <n v="4500000"/>
    <x v="1"/>
    <d v="2018-04-27T00:00:00"/>
    <d v="2018-06-04T00:00:00"/>
    <s v="UNIPRO-APLHA CS s.r.o."/>
    <n v="4398200"/>
    <n v="5321822"/>
    <x v="62"/>
    <m/>
    <d v="2018-07-27T00:00:00"/>
  </r>
  <r>
    <s v="VZ-2018-000299"/>
    <s v="SERV"/>
    <s v="Zemánek"/>
    <x v="190"/>
    <s v="50400000-9"/>
    <m/>
    <n v="150000"/>
    <x v="0"/>
    <d v="2018-05-02T00:00:00"/>
    <d v="2018-05-11T00:00:00"/>
    <s v="Promedica Praha Group, a.s."/>
    <n v="152800.95999999999"/>
    <n v="184889.16159999999"/>
    <x v="70"/>
    <m/>
    <s v="xxx"/>
  </r>
  <r>
    <s v="VZ-2018-000300"/>
    <s v="ENERG"/>
    <s v="Srovnal"/>
    <x v="221"/>
    <s v="31170000-8"/>
    <m/>
    <n v="1472000"/>
    <x v="0"/>
    <d v="2018-05-07T00:00:00"/>
    <d v="2018-05-21T00:00:00"/>
    <s v="ELPREMO, spol. s r.o."/>
    <n v="947077.5"/>
    <n v="1145963.78"/>
    <x v="71"/>
    <m/>
    <d v="2018-06-14T00:00:00"/>
  </r>
  <r>
    <s v="VZ-2018-000309"/>
    <s v="ZM"/>
    <s v="Merta"/>
    <x v="222"/>
    <s v="33182220-7"/>
    <m/>
    <n v="25180440"/>
    <x v="1"/>
    <d v="2018-05-25T00:00:00"/>
    <d v="2018-07-17T00:00:00"/>
    <s v="CARDION s.r.o."/>
    <n v="25152173.800000001"/>
    <n v="28925000"/>
    <x v="72"/>
    <d v="2020-05-01T00:00:00"/>
    <d v="2018-11-06T00:00:00"/>
  </r>
  <r>
    <s v="VZ-2018-000309"/>
    <s v="ZM"/>
    <s v="Merta"/>
    <x v="223"/>
    <s v="33182220-7"/>
    <m/>
    <n v="5870000"/>
    <x v="1"/>
    <d v="2018-05-25T00:00:00"/>
    <d v="2018-07-17T00:00:00"/>
    <s v="Edwards Lifesciences "/>
    <n v="5869565.25"/>
    <n v="6750000"/>
    <x v="72"/>
    <d v="2020-05-01T00:00:00"/>
    <d v="2018-11-06T00:00:00"/>
  </r>
  <r>
    <s v="VZ-2018-000309"/>
    <s v="ZM"/>
    <s v="Merta"/>
    <x v="224"/>
    <s v="33182220-7"/>
    <m/>
    <n v="2348000"/>
    <x v="1"/>
    <d v="2018-05-25T00:00:00"/>
    <d v="2018-07-17T00:00:00"/>
    <s v="zrušeno - bez nabídky"/>
    <m/>
    <m/>
    <x v="18"/>
    <m/>
    <d v="2018-10-01T00:00:00"/>
  </r>
  <r>
    <s v="VZ-2018-000310"/>
    <s v="ZM"/>
    <s v="Merta"/>
    <x v="225"/>
    <s v="33141220-8"/>
    <m/>
    <n v="244800"/>
    <x v="0"/>
    <d v="2018-08-27T00:00:00"/>
    <d v="2018-09-12T00:00:00"/>
    <s v="Allinex Kácovská s.r.o."/>
    <n v="235500"/>
    <n v="284955"/>
    <x v="73"/>
    <d v="2020-05-11T00:00:00"/>
    <d v="2018-11-15T00:00:00"/>
  </r>
  <r>
    <s v="VZ-2018-000310"/>
    <s v="ZM"/>
    <s v="Merta"/>
    <x v="226"/>
    <s v="33141220-8"/>
    <m/>
    <n v="1142400"/>
    <x v="0"/>
    <d v="2018-08-27T00:00:00"/>
    <d v="2018-09-12T00:00:00"/>
    <s v="Medtronic Czechia s.r.o."/>
    <n v="1142400"/>
    <n v="1382304"/>
    <x v="74"/>
    <d v="2020-05-27T00:00:00"/>
    <d v="2018-11-29T00:00:00"/>
  </r>
  <r>
    <s v="VZ-2018-000315"/>
    <s v="ZM"/>
    <s v="Dočkalová"/>
    <x v="227"/>
    <s v="35113420-9"/>
    <m/>
    <n v="700000"/>
    <x v="0"/>
    <d v="2018-05-10T00:00:00"/>
    <d v="2018-05-22T00:00:00"/>
    <s v="Brainhot Technologies, s.r.o."/>
    <n v="596800"/>
    <n v="722128"/>
    <x v="63"/>
    <m/>
    <d v="2018-07-30T00:00:00"/>
  </r>
  <r>
    <s v="VZ-2018-000316"/>
    <s v="ZT"/>
    <s v="Rosulek"/>
    <x v="228"/>
    <s v="33191000-5"/>
    <s v="2.3.315."/>
    <n v="3380000"/>
    <x v="1"/>
    <d v="2018-05-10T00:00:00"/>
    <d v="2018-06-19T00:00:00"/>
    <s v="MIELE, spol. s r.o."/>
    <n v="2750280"/>
    <n v="3327838.8"/>
    <x v="75"/>
    <m/>
    <d v="2018-07-23T00:00:00"/>
  </r>
  <r>
    <s v="VZ-2018-000317"/>
    <s v="ZT"/>
    <s v="Novák"/>
    <x v="229"/>
    <s v="33192300-5"/>
    <m/>
    <n v="560000"/>
    <x v="0"/>
    <d v="2018-05-17T00:00:00"/>
    <d v="2018-05-29T00:00:00"/>
    <s v="zrušeno"/>
    <m/>
    <m/>
    <x v="18"/>
    <m/>
    <d v="2018-06-05T00:00:00"/>
  </r>
  <r>
    <s v="VZ-2018-000319"/>
    <s v="ZT"/>
    <s v="Novák"/>
    <x v="230"/>
    <s v="39711100-0"/>
    <m/>
    <n v="690000"/>
    <x v="0"/>
    <d v="2018-05-17T00:00:00"/>
    <d v="2018-05-29T00:00:00"/>
    <s v="KRD - obchodní společnost s.r.o."/>
    <n v="630105"/>
    <n v="762427.04999999993"/>
    <x v="56"/>
    <m/>
    <d v="2018-07-10T00:00:00"/>
  </r>
  <r>
    <s v="VZ-2018-000332"/>
    <s v="ZM"/>
    <s v="Merta"/>
    <x v="231"/>
    <s v="33158210-7"/>
    <m/>
    <n v="4707330"/>
    <x v="1"/>
    <d v="2018-10-03T00:00:00"/>
    <d v="2018-11-06T00:00:00"/>
    <s v="Medifine a.s."/>
    <n v="4289133.8"/>
    <n v="4939616.2"/>
    <x v="18"/>
    <m/>
    <m/>
  </r>
  <r>
    <s v="VZ-2018-000332"/>
    <s v="ZM"/>
    <s v="Merta"/>
    <x v="232"/>
    <s v="33158210-7"/>
    <m/>
    <n v="27186970"/>
    <x v="1"/>
    <d v="2018-10-03T00:00:00"/>
    <d v="2018-11-06T00:00:00"/>
    <s v="Medifine a.s."/>
    <n v="25803589.02"/>
    <n v="29701249.710000001"/>
    <x v="18"/>
    <m/>
    <m/>
  </r>
  <r>
    <s v="VZ-2018-000332"/>
    <s v="ZM"/>
    <s v="Merta"/>
    <x v="233"/>
    <s v="33158210-7"/>
    <m/>
    <n v="7792000"/>
    <x v="1"/>
    <d v="2018-10-03T00:00:00"/>
    <d v="2018-11-06T00:00:00"/>
    <s v="Medifine a.s."/>
    <n v="7777523.2000000002"/>
    <n v="8960589.5999999996"/>
    <x v="18"/>
    <m/>
    <m/>
  </r>
  <r>
    <s v="VZ-2018-000332"/>
    <s v="ZM"/>
    <s v="Merta"/>
    <x v="234"/>
    <s v="33158210-7"/>
    <m/>
    <n v="2456000"/>
    <x v="1"/>
    <d v="2018-10-03T00:00:00"/>
    <d v="2018-11-06T00:00:00"/>
    <s v="Medifine a.s."/>
    <n v="2451609.56"/>
    <n v="2825040.84"/>
    <x v="18"/>
    <m/>
    <m/>
  </r>
  <r>
    <s v="VZ-2018-000332"/>
    <s v="ZM"/>
    <s v="Merta"/>
    <x v="235"/>
    <s v="33158210-7"/>
    <m/>
    <n v="3000000"/>
    <x v="1"/>
    <d v="2018-10-03T00:00:00"/>
    <d v="2018-11-06T00:00:00"/>
    <s v="Medifine a.s."/>
    <n v="2958928.04"/>
    <n v="3408015.94"/>
    <x v="18"/>
    <m/>
    <m/>
  </r>
  <r>
    <s v="VZ-2018-000334"/>
    <s v="INF"/>
    <s v="Oravec"/>
    <x v="236"/>
    <s v="30125110-5 "/>
    <m/>
    <n v="4942180"/>
    <x v="1"/>
    <d v="2018-05-25T00:00:00"/>
    <d v="2018-08-16T00:00:00"/>
    <s v="COMP´S spol. s r.o."/>
    <n v="4133552"/>
    <n v="5001597.92"/>
    <x v="18"/>
    <m/>
    <m/>
  </r>
  <r>
    <s v="VZ-2018-000335"/>
    <s v="ZT"/>
    <s v="Rosulek"/>
    <x v="237"/>
    <s v="39122100-4"/>
    <m/>
    <n v="700000"/>
    <x v="0"/>
    <d v="2018-05-31T00:00:00"/>
    <d v="2018-06-12T00:00:00"/>
    <s v="KLARO s.r.o."/>
    <n v="93000"/>
    <n v="112530"/>
    <x v="62"/>
    <m/>
    <d v="2018-07-30T00:00:00"/>
  </r>
  <r>
    <s v="VZ-2018-000337"/>
    <s v="ZM"/>
    <s v="Dočkalová"/>
    <x v="238"/>
    <s v="33140000-3"/>
    <m/>
    <n v="6900000"/>
    <x v="1"/>
    <d v="2018-05-25T00:00:00"/>
    <d v="2018-07-04T00:00:00"/>
    <s v="ARID obchodní společnost s.r.o."/>
    <n v="6518400"/>
    <n v="7887264"/>
    <x v="76"/>
    <s v="neurčito"/>
    <d v="2018-09-05T00:00:00"/>
  </r>
  <r>
    <s v="VZ-2018-000339"/>
    <s v="ENERG"/>
    <s v="Srovnal"/>
    <x v="239"/>
    <s v="42514310-8"/>
    <m/>
    <n v="500000"/>
    <x v="0"/>
    <d v="2018-05-29T00:00:00"/>
    <d v="2018-06-08T00:00:00"/>
    <s v="KS Klima service s.r.o."/>
    <n v="311066"/>
    <n v="374175.56"/>
    <x v="61"/>
    <m/>
    <d v="2018-07-23T00:00:00"/>
  </r>
  <r>
    <s v="VZ-2018-000340"/>
    <s v="ENERG"/>
    <s v="Srovnal"/>
    <x v="240"/>
    <s v="39717200-3"/>
    <m/>
    <n v="1000000"/>
    <x v="0"/>
    <d v="2018-05-29T00:00:00"/>
    <d v="2018-06-08T00:00:00"/>
    <s v="Air Klimont s.r.o."/>
    <n v="627201"/>
    <n v="758913.2"/>
    <x v="77"/>
    <m/>
    <d v="2018-07-11T00:00:00"/>
  </r>
  <r>
    <s v="VZ-2018-000345"/>
    <s v="ZT"/>
    <s v="Rosulek"/>
    <x v="241"/>
    <s v="33111400-5 "/>
    <m/>
    <n v="14000000"/>
    <x v="1"/>
    <d v="2018-05-28T00:00:00"/>
    <d v="2018-07-11T00:00:00"/>
    <s v="Siemens Healthcare s.r.o."/>
    <n v="11269600"/>
    <n v="13636216"/>
    <x v="76"/>
    <m/>
    <d v="2018-09-05T00:00:00"/>
  </r>
  <r>
    <s v="VZ-2018-000346"/>
    <s v="ZM"/>
    <s v="Merta"/>
    <x v="242"/>
    <s v="33182220-7"/>
    <m/>
    <n v="546210"/>
    <x v="1"/>
    <d v="2018-09-06T00:00:00"/>
    <d v="2018-10-11T00:00:00"/>
    <s v="CARDION s.r.o."/>
    <n v="540000"/>
    <n v="621000"/>
    <x v="18"/>
    <m/>
    <m/>
  </r>
  <r>
    <s v="VZ-2018-000346"/>
    <s v="ZM"/>
    <s v="Merta"/>
    <x v="243"/>
    <s v="33182220-7"/>
    <m/>
    <n v="225650"/>
    <x v="1"/>
    <d v="2018-09-06T00:00:00"/>
    <d v="2018-10-11T00:00:00"/>
    <s v="Meditrade  spol. s r.o."/>
    <n v="225650"/>
    <n v="259497.5"/>
    <x v="18"/>
    <m/>
    <m/>
  </r>
  <r>
    <s v="VZ-2018-000346"/>
    <s v="ZM"/>
    <s v="Merta"/>
    <x v="244"/>
    <s v="33182220-7"/>
    <m/>
    <n v="587800"/>
    <x v="1"/>
    <d v="2018-09-06T00:00:00"/>
    <d v="2018-10-11T00:00:00"/>
    <s v="CARDION s.r.o."/>
    <n v="580000"/>
    <n v="667000"/>
    <x v="18"/>
    <m/>
    <m/>
  </r>
  <r>
    <s v="VZ-2018-000346"/>
    <s v="ZM"/>
    <s v="Merta"/>
    <x v="245"/>
    <s v="33182220-7"/>
    <m/>
    <n v="6780480"/>
    <x v="1"/>
    <d v="2018-09-06T00:00:00"/>
    <d v="2018-10-11T00:00:00"/>
    <s v="CARDION s.r.o."/>
    <n v="6720000"/>
    <n v="7728000"/>
    <x v="18"/>
    <m/>
    <m/>
  </r>
  <r>
    <s v="VZ-2018-000346"/>
    <s v="ZM"/>
    <s v="Merta"/>
    <x v="246"/>
    <s v="33182220-7"/>
    <m/>
    <n v="847375"/>
    <x v="1"/>
    <d v="2018-09-06T00:00:00"/>
    <d v="2018-10-11T00:00:00"/>
    <s v="zrušeno - překročení ceny"/>
    <m/>
    <m/>
    <x v="18"/>
    <m/>
    <d v="2018-11-22T00:00:00"/>
  </r>
  <r>
    <s v="VZ-2018-000346"/>
    <s v="ZM"/>
    <s v="Merta"/>
    <x v="247"/>
    <s v="33182220-7"/>
    <m/>
    <n v="1792000"/>
    <x v="1"/>
    <d v="2018-09-06T00:00:00"/>
    <d v="2018-10-11T00:00:00"/>
    <s v="Edwards Lifesciences "/>
    <n v="1792000"/>
    <n v="2060799.9999999998"/>
    <x v="18"/>
    <m/>
    <m/>
  </r>
  <r>
    <s v="VZ-2018-000346"/>
    <s v="ZM"/>
    <s v="Merta"/>
    <x v="248"/>
    <s v="33182220-7"/>
    <m/>
    <n v="702150"/>
    <x v="1"/>
    <d v="2018-09-06T00:00:00"/>
    <d v="2018-10-11T00:00:00"/>
    <s v="CARDION s.r.o."/>
    <n v="700000"/>
    <n v="805000"/>
    <x v="18"/>
    <m/>
    <m/>
  </r>
  <r>
    <s v="VZ-2018-000346"/>
    <s v="ZM"/>
    <s v="Merta"/>
    <x v="249"/>
    <s v="33182220-7"/>
    <m/>
    <n v="398370"/>
    <x v="1"/>
    <d v="2018-09-06T00:00:00"/>
    <d v="2018-10-11T00:00:00"/>
    <s v="zrušeno - překročení ceny"/>
    <m/>
    <m/>
    <x v="18"/>
    <m/>
    <d v="2018-11-22T00:00:00"/>
  </r>
  <r>
    <s v="VZ-2018-000346"/>
    <s v="ZM"/>
    <s v="Merta"/>
    <x v="250"/>
    <s v="33182220-7"/>
    <m/>
    <n v="407460"/>
    <x v="1"/>
    <d v="2018-09-06T00:00:00"/>
    <d v="2018-10-11T00:00:00"/>
    <s v="Edwards Lifesciences "/>
    <n v="407460"/>
    <n v="468579"/>
    <x v="18"/>
    <m/>
    <m/>
  </r>
  <r>
    <s v="VZ-2018-000348"/>
    <s v="LÉK"/>
    <s v="Ondráčková"/>
    <x v="251"/>
    <s v="33651600-4"/>
    <m/>
    <n v="1383112"/>
    <x v="0"/>
    <d v="2018-06-20T00:00:00"/>
    <d v="2018-07-09T00:00:00"/>
    <s v="zrušeno"/>
    <m/>
    <m/>
    <x v="18"/>
    <m/>
    <d v="2018-08-13T00:00:00"/>
  </r>
  <r>
    <s v="VZ-2018-000348"/>
    <s v="LÉK"/>
    <s v="Ondráčková"/>
    <x v="252"/>
    <s v="33651600-4"/>
    <m/>
    <n v="83668"/>
    <x v="0"/>
    <d v="2018-06-20T00:00:00"/>
    <d v="2018-07-09T00:00:00"/>
    <s v="zrušeno"/>
    <m/>
    <m/>
    <x v="18"/>
    <m/>
    <d v="2018-08-13T00:00:00"/>
  </r>
  <r>
    <s v="VZ-2018-000348"/>
    <s v="LÉK"/>
    <s v="Ondráčková"/>
    <x v="253"/>
    <s v="33651600-4"/>
    <m/>
    <n v="25934"/>
    <x v="0"/>
    <d v="2018-06-20T00:00:00"/>
    <d v="2018-07-09T00:00:00"/>
    <s v="zrušeno"/>
    <m/>
    <m/>
    <x v="18"/>
    <m/>
    <d v="2018-08-13T00:00:00"/>
  </r>
  <r>
    <s v="VZ-2018-000348"/>
    <s v="LÉK"/>
    <s v="Ondráčková"/>
    <x v="254"/>
    <s v="33651600-4"/>
    <m/>
    <n v="31256"/>
    <x v="0"/>
    <d v="2018-06-20T00:00:00"/>
    <d v="2018-07-09T00:00:00"/>
    <s v="zrušeno"/>
    <m/>
    <m/>
    <x v="18"/>
    <m/>
    <d v="2018-08-13T00:00:00"/>
  </r>
  <r>
    <s v="VZ-2018-000348"/>
    <s v="LÉK"/>
    <s v="Ondráčková"/>
    <x v="255"/>
    <s v="33651600-4"/>
    <m/>
    <n v="3061"/>
    <x v="0"/>
    <d v="2018-06-20T00:00:00"/>
    <d v="2018-07-09T00:00:00"/>
    <s v="zrušeno"/>
    <m/>
    <m/>
    <x v="18"/>
    <m/>
    <d v="2018-08-13T00:00:00"/>
  </r>
  <r>
    <s v="VZ-2018-000353"/>
    <s v="INV"/>
    <s v="Kvapil"/>
    <x v="256"/>
    <s v="71000000-8 "/>
    <m/>
    <n v="525000"/>
    <x v="0"/>
    <d v="2018-06-08T00:00:00"/>
    <d v="2018-06-21T00:00:00"/>
    <s v="Adam Rujbr Architects s.r.o."/>
    <n v="482500"/>
    <n v="583825"/>
    <x v="57"/>
    <m/>
    <d v="2018-09-18T00:00:00"/>
  </r>
  <r>
    <s v="VZ-2018-000354"/>
    <s v="ZT"/>
    <s v="Novák"/>
    <x v="257"/>
    <s v="33192160-1"/>
    <m/>
    <n v="430000"/>
    <x v="0"/>
    <d v="2018-05-31T00:00:00"/>
    <d v="2018-06-12T00:00:00"/>
    <s v="Sezame Product s.r.o."/>
    <n v="401780"/>
    <n v="486153.8"/>
    <x v="78"/>
    <m/>
    <s v="xxx"/>
  </r>
  <r>
    <s v="VZ-2018-000355"/>
    <s v="ZT"/>
    <s v="Novák"/>
    <x v="258"/>
    <s v="33192160-1"/>
    <m/>
    <n v="930000"/>
    <x v="0"/>
    <d v="2018-06-07T00:00:00"/>
    <d v="2018-06-19T00:00:00"/>
    <s v="Sezame Product s.r.o."/>
    <n v="694340"/>
    <n v="840151.4"/>
    <x v="79"/>
    <m/>
    <d v="2018-09-25T00:00:00"/>
  </r>
  <r>
    <s v="VZ-2018-000356"/>
    <s v="IROP"/>
    <s v="Neudorflörová"/>
    <x v="259"/>
    <s v="33172200-8  "/>
    <s v="2.3.328."/>
    <n v="789537"/>
    <x v="1"/>
    <d v="2018-06-13T00:00:00"/>
    <d v="2018-09-10T00:00:00"/>
    <s v="medisap s.r.o."/>
    <n v="814390"/>
    <n v="985411.9"/>
    <x v="18"/>
    <m/>
    <m/>
  </r>
  <r>
    <s v="VZ-2018-000356"/>
    <s v="IROP"/>
    <s v="Neudorflörová"/>
    <x v="260"/>
    <s v="33172000-6"/>
    <s v="2.3.329."/>
    <n v="12102396"/>
    <x v="1"/>
    <d v="2018-06-13T00:00:00"/>
    <d v="2018-09-10T00:00:00"/>
    <s v="Dräger Medical s.r.o."/>
    <n v="10812100"/>
    <n v="13082641"/>
    <x v="18"/>
    <m/>
    <m/>
  </r>
  <r>
    <s v="VZ-2018-000356"/>
    <s v="IROP"/>
    <s v="Neudorflörová"/>
    <x v="261"/>
    <s v="33172000-6"/>
    <s v="2.3.330."/>
    <n v="2259338"/>
    <x v="1"/>
    <d v="2018-06-13T00:00:00"/>
    <d v="2018-09-10T00:00:00"/>
    <s v="medisap s.r.o."/>
    <n v="1743190"/>
    <n v="2109259.9"/>
    <x v="18"/>
    <m/>
    <m/>
  </r>
  <r>
    <s v="VZ-2018-000356"/>
    <s v="IROP"/>
    <s v="Neudorflörová"/>
    <x v="262"/>
    <s v="33172000-6"/>
    <s v="2.3.335."/>
    <n v="448283"/>
    <x v="1"/>
    <d v="2018-06-13T00:00:00"/>
    <d v="2018-09-10T00:00:00"/>
    <s v="Dartin spol. s r.o."/>
    <n v="665561.80000000005"/>
    <n v="805329.77800000005"/>
    <x v="18"/>
    <m/>
    <m/>
  </r>
  <r>
    <s v="VZ-2018-000357"/>
    <s v="IROP"/>
    <s v="Neudorflörová"/>
    <x v="263"/>
    <s v="33192000-2"/>
    <s v="2.3.340."/>
    <n v="442644"/>
    <x v="1"/>
    <d v="2018-06-15T00:00:00"/>
    <d v="2018-07-27T00:00:00"/>
    <s v="zrušeno bez nabídky"/>
    <m/>
    <m/>
    <x v="18"/>
    <m/>
    <d v="2018-08-03T00:00:00"/>
  </r>
  <r>
    <s v="VZ-2018-000357"/>
    <s v="IROP"/>
    <s v="Neudorflörová"/>
    <x v="264"/>
    <s v="33192160-1"/>
    <s v="2.3.341."/>
    <n v="330082"/>
    <x v="1"/>
    <d v="2018-06-15T00:00:00"/>
    <d v="2018-07-27T00:00:00"/>
    <s v="HOSPIMED, spol. s r.o."/>
    <n v="294880"/>
    <n v="356804.8"/>
    <x v="80"/>
    <m/>
    <d v="2018-12-14T00:00:00"/>
  </r>
  <r>
    <s v="VZ-2018-000357"/>
    <s v="IROP"/>
    <s v="Neudorflörová"/>
    <x v="265"/>
    <s v="33192100-3 "/>
    <s v="2.3.342."/>
    <n v="1818181"/>
    <x v="1"/>
    <d v="2018-06-15T00:00:00"/>
    <d v="2018-07-27T00:00:00"/>
    <s v="Linet s.r.o."/>
    <n v="1791363.5"/>
    <n v="2166885.88"/>
    <x v="80"/>
    <m/>
    <d v="2018-12-14T00:00:00"/>
  </r>
  <r>
    <s v="VZ-2018-000357"/>
    <s v="IROP"/>
    <s v="Neudorflörová"/>
    <x v="266"/>
    <s v="33192000-2"/>
    <s v="2.3.347."/>
    <n v="34958"/>
    <x v="1"/>
    <d v="2018-06-15T00:00:00"/>
    <d v="2018-07-27T00:00:00"/>
    <s v="KLARO s.r.o."/>
    <n v="33561"/>
    <n v="40608.81"/>
    <x v="81"/>
    <m/>
    <d v="2018-12-14T00:00:00"/>
  </r>
  <r>
    <s v="VZ-2018-000357"/>
    <s v="IROP"/>
    <s v="Neudorflörová"/>
    <x v="267"/>
    <s v="33192000-2"/>
    <s v="2.3.349."/>
    <n v="192785"/>
    <x v="1"/>
    <d v="2018-06-15T00:00:00"/>
    <d v="2018-07-27T00:00:00"/>
    <s v="zrušeno bez nabídky"/>
    <m/>
    <m/>
    <x v="18"/>
    <m/>
    <d v="2018-08-03T00:00:00"/>
  </r>
  <r>
    <s v="VZ-2018-000357"/>
    <s v="IROP"/>
    <s v="Neudorflörová"/>
    <x v="268"/>
    <s v="33192160-1"/>
    <s v="2.3.350."/>
    <n v="475207"/>
    <x v="1"/>
    <d v="2018-06-15T00:00:00"/>
    <d v="2018-07-27T00:00:00"/>
    <s v="zrušeno"/>
    <m/>
    <m/>
    <x v="18"/>
    <m/>
    <d v="2018-11-06T00:00:00"/>
  </r>
  <r>
    <s v="VZ-2018-000357"/>
    <s v="IROP"/>
    <s v="Neudorflörová"/>
    <x v="269"/>
    <s v="33192100-3 "/>
    <s v="2.3.344."/>
    <n v="3150660"/>
    <x v="1"/>
    <d v="2018-06-15T00:00:00"/>
    <d v="2018-07-27T00:00:00"/>
    <s v="INDUBIA s.r.o."/>
    <n v="2336290"/>
    <n v="2826910.9"/>
    <x v="81"/>
    <m/>
    <d v="2018-12-14T00:00:00"/>
  </r>
  <r>
    <s v="VZ-2018-000357"/>
    <s v="IROP"/>
    <s v="Neudorflörová"/>
    <x v="270"/>
    <s v="33192100-3 "/>
    <s v="2.3.344."/>
    <n v="498098"/>
    <x v="1"/>
    <d v="2018-06-15T00:00:00"/>
    <d v="2018-07-27T00:00:00"/>
    <s v="Linet s.r.o."/>
    <n v="506750"/>
    <n v="657012.5"/>
    <x v="81"/>
    <m/>
    <d v="2018-12-14T00:00:00"/>
  </r>
  <r>
    <s v="VZ-2018-000359"/>
    <s v="ENERG"/>
    <s v="Srovnal"/>
    <x v="271"/>
    <s v="42513290-4"/>
    <s v="4.2.60."/>
    <n v="750000"/>
    <x v="2"/>
    <d v="2018-06-05T00:00:00"/>
    <d v="2018-06-27T00:00:00"/>
    <s v="zrušeno"/>
    <m/>
    <m/>
    <x v="18"/>
    <m/>
    <d v="2018-07-18T00:00:00"/>
  </r>
  <r>
    <s v="VZ-2018-000360"/>
    <s v="LÉK"/>
    <s v="Ondráčková"/>
    <x v="272"/>
    <s v="33651400-2"/>
    <m/>
    <n v="780290"/>
    <x v="2"/>
    <d v="2018-06-01T00:00:00"/>
    <d v="2018-06-21T00:00:00"/>
    <s v="Pharmos, a.s."/>
    <n v="779932.8"/>
    <n v="857926.08"/>
    <x v="82"/>
    <d v="2019-04-30T00:00:00"/>
    <d v="2018-09-25T00:00:00"/>
  </r>
  <r>
    <s v="VZ-2018-000360"/>
    <s v="LÉK"/>
    <s v="Ondráčková"/>
    <x v="273"/>
    <s v="33651400-2"/>
    <m/>
    <n v="654848"/>
    <x v="2"/>
    <d v="2018-06-01T00:00:00"/>
    <d v="2018-06-21T00:00:00"/>
    <s v="Alliance Healthcare s.r.o."/>
    <n v="591578"/>
    <n v="650735.80000000005"/>
    <x v="82"/>
    <d v="2020-09-18T00:00:00"/>
    <d v="2018-09-25T00:00:00"/>
  </r>
  <r>
    <s v="VZ-2018-000360"/>
    <s v="LÉK"/>
    <s v="Ondráčková"/>
    <x v="274"/>
    <s v="33651400-2"/>
    <m/>
    <n v="362712"/>
    <x v="2"/>
    <d v="2018-06-01T00:00:00"/>
    <d v="2018-06-21T00:00:00"/>
    <s v="PHOENIX lék.velkoobchod, s.r.o."/>
    <n v="356240.08"/>
    <n v="391864.09"/>
    <x v="82"/>
    <d v="2020-09-18T00:00:00"/>
    <d v="2018-09-25T00:00:00"/>
  </r>
  <r>
    <s v="VZ-2018-000360"/>
    <s v="LÉK"/>
    <s v="Ondráčková"/>
    <x v="275"/>
    <s v="33651400-2"/>
    <m/>
    <n v="1010404"/>
    <x v="2"/>
    <d v="2018-06-01T00:00:00"/>
    <d v="2018-06-21T00:00:00"/>
    <s v="ViaPharma s.r.o."/>
    <n v="1000546.4"/>
    <n v="1100601.04"/>
    <x v="82"/>
    <d v="2020-09-18T00:00:00"/>
    <d v="2018-09-25T00:00:00"/>
  </r>
  <r>
    <s v="VZ-2018-000360"/>
    <s v="LÉK"/>
    <s v="Ondráčková"/>
    <x v="276"/>
    <s v="33651400-2"/>
    <m/>
    <n v="165590"/>
    <x v="2"/>
    <d v="2018-06-01T00:00:00"/>
    <d v="2018-06-21T00:00:00"/>
    <s v="Pharmos, a.s."/>
    <n v="164617.60000000001"/>
    <n v="181079.36"/>
    <x v="82"/>
    <d v="2020-09-18T00:00:00"/>
    <d v="2018-09-25T00:00:00"/>
  </r>
  <r>
    <s v="VZ-2018-000360"/>
    <s v="LÉK"/>
    <s v="Ondráčková"/>
    <x v="277"/>
    <s v="33651400-2"/>
    <m/>
    <n v="312763"/>
    <x v="2"/>
    <d v="2018-06-01T00:00:00"/>
    <d v="2018-06-21T00:00:00"/>
    <s v="PHOENIX lék.velkoobchod, s.r.o."/>
    <n v="312274.84000000003"/>
    <n v="343502.32"/>
    <x v="82"/>
    <d v="2020-09-18T00:00:00"/>
    <d v="2018-09-25T00:00:00"/>
  </r>
  <r>
    <s v="VZ-2018-000362"/>
    <s v="IROP"/>
    <s v="Neudorflörová"/>
    <x v="278"/>
    <s v="33152000-0 "/>
    <s v="3.2.323."/>
    <n v="9208264.2300000004"/>
    <x v="1"/>
    <d v="2018-06-15T00:00:00"/>
    <d v="2018-08-21T00:00:00"/>
    <s v="medisap s.r.o."/>
    <n v="9625799"/>
    <n v="11647216.789999999"/>
    <x v="83"/>
    <m/>
    <d v="2018-11-29T00:00:00"/>
  </r>
  <r>
    <s v="VZ-2018-000362"/>
    <s v="IROP"/>
    <s v="Neudorflörová"/>
    <x v="279"/>
    <s v="33152000-0 "/>
    <s v="3.2.324."/>
    <n v="861983.4"/>
    <x v="1"/>
    <d v="2018-06-15T00:00:00"/>
    <d v="2018-08-21T00:00:00"/>
    <s v="medisap s.r.o."/>
    <n v="946620"/>
    <n v="1145410.2"/>
    <x v="84"/>
    <m/>
    <d v="2018-11-29T00:00:00"/>
  </r>
  <r>
    <s v="VZ-2018-000362"/>
    <s v="IROP"/>
    <s v="Neudorflörová"/>
    <x v="280"/>
    <s v="33152000-0 "/>
    <s v="3.2.325."/>
    <n v="976033.35"/>
    <x v="1"/>
    <d v="2018-06-15T00:00:00"/>
    <d v="2018-08-21T00:00:00"/>
    <s v="Dartin spol. s r.o."/>
    <n v="1967572.28"/>
    <n v="2380762.4588000001"/>
    <x v="18"/>
    <m/>
    <m/>
  </r>
  <r>
    <s v="VZ-2018-000364"/>
    <s v="INF"/>
    <s v="Oravec"/>
    <x v="281"/>
    <s v="72261000-2"/>
    <m/>
    <n v="370000"/>
    <x v="0"/>
    <d v="2018-06-06T00:00:00"/>
    <d v="2018-06-15T00:00:00"/>
    <s v="CompuNet s.r.o."/>
    <n v="292114"/>
    <n v="353458"/>
    <x v="45"/>
    <m/>
    <s v="xxx"/>
  </r>
  <r>
    <s v="VZ-2018-000367"/>
    <s v="ZM"/>
    <s v="Čech"/>
    <x v="282"/>
    <s v="33184100-4"/>
    <m/>
    <n v="321000"/>
    <x v="1"/>
    <d v="2018-06-18T00:00:00"/>
    <d v="2018-08-03T00:00:00"/>
    <s v="zrušeno - bez nabídky"/>
    <m/>
    <m/>
    <x v="18"/>
    <m/>
    <d v="2018-10-11T00:00:00"/>
  </r>
  <r>
    <s v="VZ-2018-000367"/>
    <s v="ZM"/>
    <s v="Čech"/>
    <x v="283"/>
    <s v="33184100-4"/>
    <m/>
    <n v="3300000"/>
    <x v="1"/>
    <d v="2018-06-18T00:00:00"/>
    <d v="2018-08-03T00:00:00"/>
    <s v="BoneCare s.r.o."/>
    <n v="3240000"/>
    <n v="3726000"/>
    <x v="18"/>
    <m/>
    <m/>
  </r>
  <r>
    <s v="VZ-2018-000367"/>
    <s v="ZM"/>
    <s v="Čech"/>
    <x v="284"/>
    <s v="33184100-4"/>
    <m/>
    <n v="723000"/>
    <x v="1"/>
    <d v="2018-06-18T00:00:00"/>
    <d v="2018-08-03T00:00:00"/>
    <s v="Johnson &amp; Johnson s.r.o."/>
    <n v="276383"/>
    <n v="317840.45"/>
    <x v="18"/>
    <m/>
    <m/>
  </r>
  <r>
    <s v="VZ-2018-000367"/>
    <s v="ZM"/>
    <s v="Čech"/>
    <x v="285"/>
    <s v="33184100-4"/>
    <m/>
    <n v="419000"/>
    <x v="1"/>
    <d v="2018-06-18T00:00:00"/>
    <d v="2018-08-03T00:00:00"/>
    <s v="BoneCare s.r.o."/>
    <n v="398000"/>
    <n v="457700"/>
    <x v="18"/>
    <m/>
    <m/>
  </r>
  <r>
    <s v="VZ-2018-000367"/>
    <s v="ZM"/>
    <s v="Čech"/>
    <x v="286"/>
    <s v="33184100-4"/>
    <m/>
    <n v="1410000"/>
    <x v="1"/>
    <d v="2018-06-18T00:00:00"/>
    <d v="2018-08-03T00:00:00"/>
    <s v="BoneCare s.r.o."/>
    <n v="1410000"/>
    <n v="1621500"/>
    <x v="18"/>
    <m/>
    <m/>
  </r>
  <r>
    <s v="VZ-2018-000367"/>
    <s v="ZM"/>
    <s v="Čech"/>
    <x v="287"/>
    <s v="33184100-4"/>
    <m/>
    <n v="616000"/>
    <x v="1"/>
    <d v="2018-06-18T00:00:00"/>
    <d v="2018-08-03T00:00:00"/>
    <s v="BoneCare s.r.o."/>
    <n v="614250"/>
    <n v="706387.5"/>
    <x v="18"/>
    <m/>
    <m/>
  </r>
  <r>
    <s v="VZ-2018-000367"/>
    <s v="ZM"/>
    <s v="Čech"/>
    <x v="288"/>
    <s v="33184100-4"/>
    <m/>
    <n v="4280000"/>
    <x v="1"/>
    <d v="2018-06-18T00:00:00"/>
    <d v="2018-08-03T00:00:00"/>
    <s v="BoneCare s.r.o."/>
    <n v="2616000"/>
    <n v="3008400"/>
    <x v="18"/>
    <m/>
    <m/>
  </r>
  <r>
    <s v="VZ-2018-000367"/>
    <s v="ZM"/>
    <s v="Čech"/>
    <x v="289"/>
    <s v="33184100-4"/>
    <m/>
    <n v="4280000"/>
    <x v="1"/>
    <d v="2018-06-18T00:00:00"/>
    <d v="2018-08-03T00:00:00"/>
    <s v="BoneCare s.r.o."/>
    <n v="2160000"/>
    <n v="2484000"/>
    <x v="18"/>
    <m/>
    <m/>
  </r>
  <r>
    <s v="VZ-2018-000367"/>
    <s v="ZM"/>
    <s v="Čech"/>
    <x v="290"/>
    <s v="33184100-4"/>
    <m/>
    <n v="2817000"/>
    <x v="1"/>
    <d v="2018-06-18T00:00:00"/>
    <d v="2018-08-03T00:00:00"/>
    <s v="BoneCare s.r.o."/>
    <n v="2076000"/>
    <n v="2387400"/>
    <x v="18"/>
    <m/>
    <m/>
  </r>
  <r>
    <s v="VZ-2018-000367"/>
    <s v="ZM"/>
    <s v="Čech"/>
    <x v="291"/>
    <s v="33184100-4"/>
    <m/>
    <n v="1335000"/>
    <x v="1"/>
    <d v="2018-06-18T00:00:00"/>
    <d v="2018-08-03T00:00:00"/>
    <s v="BoneCare s.r.o."/>
    <n v="1320000"/>
    <n v="1518000"/>
    <x v="18"/>
    <m/>
    <m/>
  </r>
  <r>
    <s v="VZ-2018-000367"/>
    <s v="ZM"/>
    <s v="Čech"/>
    <x v="292"/>
    <s v="33184100-4"/>
    <m/>
    <n v="920000"/>
    <x v="1"/>
    <d v="2018-06-18T00:00:00"/>
    <d v="2018-08-03T00:00:00"/>
    <s v="Johnson &amp; Johnson s.r.o."/>
    <n v="904000"/>
    <n v="1039600"/>
    <x v="18"/>
    <m/>
    <m/>
  </r>
  <r>
    <s v="VZ-2018-000367"/>
    <s v="ZM"/>
    <s v="Čech"/>
    <x v="293"/>
    <s v="33184100-4"/>
    <m/>
    <n v="427000"/>
    <x v="1"/>
    <d v="2018-06-18T00:00:00"/>
    <d v="2018-08-03T00:00:00"/>
    <s v="zrušeno bez nabídky"/>
    <m/>
    <m/>
    <x v="18"/>
    <m/>
    <d v="2018-10-11T00:00:00"/>
  </r>
  <r>
    <s v="VZ-2018-000367"/>
    <s v="ZM"/>
    <s v="Čech"/>
    <x v="294"/>
    <s v="33184100-4"/>
    <m/>
    <n v="243000"/>
    <x v="1"/>
    <d v="2018-06-18T00:00:00"/>
    <d v="2018-08-03T00:00:00"/>
    <s v="Mediservis s.r.o."/>
    <n v="172740.4"/>
    <n v="198651.46"/>
    <x v="18"/>
    <m/>
    <m/>
  </r>
  <r>
    <s v="VZ-2018-000368"/>
    <s v="VŠEOB"/>
    <s v="Nerudová"/>
    <x v="295"/>
    <s v="33141620-2"/>
    <m/>
    <n v="12000000"/>
    <x v="1"/>
    <d v="2018-06-19T00:00:00"/>
    <d v="2018-09-05T00:00:00"/>
    <s v="Löhmann Rauscher s.r.o."/>
    <n v="8688800"/>
    <n v="9992120"/>
    <x v="18"/>
    <m/>
    <m/>
  </r>
  <r>
    <s v="VZ-2018-000373"/>
    <s v="ZT"/>
    <s v="Novák"/>
    <x v="296"/>
    <s v="33192000-1 "/>
    <m/>
    <n v="300000"/>
    <x v="0"/>
    <d v="2018-06-07T00:00:00"/>
    <d v="2018-06-19T00:00:00"/>
    <s v="Linet s.r.o."/>
    <n v="322203"/>
    <n v="389865.63"/>
    <x v="85"/>
    <m/>
    <s v="xxx"/>
  </r>
  <r>
    <s v="VZ-2018-000380"/>
    <s v="ZT"/>
    <s v="Rosulek"/>
    <x v="297"/>
    <s v="42943200-0"/>
    <s v="2.3.363."/>
    <n v="310000"/>
    <x v="0"/>
    <d v="2018-06-15T00:00:00"/>
    <d v="2018-06-26T00:00:00"/>
    <s v="Vistex Medical s..r.o."/>
    <n v="308110"/>
    <n v="372813.1"/>
    <x v="45"/>
    <m/>
    <s v="xxx"/>
  </r>
  <r>
    <s v="VZ-2018-000381"/>
    <s v="VŠEOB"/>
    <s v="Nerudová"/>
    <x v="298"/>
    <s v="39712210-1, 39712300"/>
    <m/>
    <n v="470000"/>
    <x v="0"/>
    <d v="2018-06-08T00:00:00"/>
    <d v="2018-06-19T00:00:00"/>
    <s v="zrušeno"/>
    <m/>
    <m/>
    <x v="18"/>
    <m/>
    <s v="xxx"/>
  </r>
  <r>
    <s v="VZ-2018-000382"/>
    <s v="ZT"/>
    <s v="Novák"/>
    <x v="299"/>
    <s v="33192000-2"/>
    <m/>
    <n v="950000"/>
    <x v="0"/>
    <d v="2018-06-07T00:00:00"/>
    <d v="2018-06-19T00:00:00"/>
    <s v="Sezame Product s.r.o."/>
    <n v="793360"/>
    <n v="959965.6"/>
    <x v="85"/>
    <m/>
    <d v="2018-10-17T00:00:00"/>
  </r>
  <r>
    <s v="VZ-2018-000386"/>
    <s v="ZT"/>
    <s v="Rosulek"/>
    <x v="300"/>
    <s v="38434000-6"/>
    <s v="2.2.185."/>
    <n v="4380000"/>
    <x v="1"/>
    <d v="2018-06-14T00:00:00"/>
    <d v="2018-07-24T00:00:00"/>
    <s v="Explorea s.r.o."/>
    <n v="5596040"/>
    <n v="6771208.4000000004"/>
    <x v="86"/>
    <m/>
    <d v="2018-10-23T00:00:00"/>
  </r>
  <r>
    <s v="VZ-2018-000387"/>
    <s v="ZT"/>
    <s v="Novák"/>
    <x v="301"/>
    <s v="33192300-5"/>
    <m/>
    <n v="500000"/>
    <x v="0"/>
    <d v="2018-06-14T00:00:00"/>
    <d v="2018-06-26T00:00:00"/>
    <s v="zrušeno"/>
    <m/>
    <m/>
    <x v="18"/>
    <m/>
    <d v="2018-08-15T00:00:00"/>
  </r>
  <r>
    <s v="VZ-2018-000388"/>
    <s v="ZT"/>
    <s v="Rosulek"/>
    <x v="302"/>
    <s v="38950000-9"/>
    <s v="2.2.183."/>
    <n v="3110000"/>
    <x v="2"/>
    <d v="2018-06-14T00:00:00"/>
    <d v="2018-07-03T00:00:00"/>
    <s v="BIO-RAD spol. s r.o."/>
    <n v="3108304"/>
    <n v="3761047.84"/>
    <x v="57"/>
    <m/>
    <d v="2018-09-18T00:00:00"/>
  </r>
  <r>
    <s v="VZ-2018-000392"/>
    <s v="OSB "/>
    <s v="Vaida"/>
    <x v="303"/>
    <s v="44221220-6"/>
    <m/>
    <n v="1200000"/>
    <x v="0"/>
    <d v="2018-06-18T00:00:00"/>
    <d v="2018-06-26T00:00:00"/>
    <s v="KONE a.s."/>
    <n v="1031010"/>
    <n v="1247522.0999999999"/>
    <x v="45"/>
    <d v="2020-08-19T00:00:00"/>
    <d v="2018-08-21T00:00:00"/>
  </r>
  <r>
    <s v="VZ-2018-000394"/>
    <s v="ZT"/>
    <s v="Rosulek"/>
    <x v="304"/>
    <s v="33192120-9"/>
    <s v="2.2.80.-81;2.2.145-146"/>
    <n v="15100000"/>
    <x v="1"/>
    <d v="2018-06-18T00:00:00"/>
    <d v="2018-07-25T00:00:00"/>
    <s v="Linet s.r.o."/>
    <n v="15079872.58"/>
    <n v="17401841.02"/>
    <x v="87"/>
    <m/>
    <d v="2018-10-22T00:00:00"/>
  </r>
  <r>
    <s v="VZ-2018-000394"/>
    <s v="ZT"/>
    <s v="Rosulek"/>
    <x v="305"/>
    <s v="33192120-9"/>
    <s v="2.2.80.-81;2.2.145-146"/>
    <n v="4215000"/>
    <x v="1"/>
    <d v="2018-06-18T00:00:00"/>
    <d v="2018-07-25T00:00:00"/>
    <s v="Linet s.r.o."/>
    <n v="4213714.5599999996"/>
    <n v="4858474.62"/>
    <x v="88"/>
    <m/>
    <d v="2018-10-22T00:00:00"/>
  </r>
  <r>
    <s v="VZ-2018-000397"/>
    <s v="ENERG"/>
    <s v="Srovnal"/>
    <x v="306"/>
    <s v="45331200-8"/>
    <s v="4.2.96."/>
    <n v="330000"/>
    <x v="0"/>
    <d v="2018-06-18T00:00:00"/>
    <d v="2018-06-26T00:00:00"/>
    <s v="Air Klimont s.r.o."/>
    <n v="314215"/>
    <n v="380200"/>
    <x v="61"/>
    <m/>
    <s v="xxx"/>
  </r>
  <r>
    <s v="VZ-2018-000398"/>
    <s v="INF"/>
    <s v="Oravec"/>
    <x v="307"/>
    <s v="31154000-0"/>
    <m/>
    <n v="255372"/>
    <x v="0"/>
    <d v="2018-06-19T00:00:00"/>
    <d v="2018-06-27T00:00:00"/>
    <s v="Data-Inter s.r.o."/>
    <n v="165400"/>
    <n v="200134"/>
    <x v="61"/>
    <m/>
    <s v="xxx"/>
  </r>
  <r>
    <s v="Vz-2018-000399"/>
    <s v="OSB "/>
    <s v="Vaida"/>
    <x v="308"/>
    <s v="45215100-8 "/>
    <m/>
    <n v="500000"/>
    <x v="0"/>
    <d v="2018-06-28T00:00:00"/>
    <d v="2018-07-13T00:00:00"/>
    <s v="Elektropráce Spáčil s.r.o."/>
    <n v="596000"/>
    <n v="721160"/>
    <x v="45"/>
    <m/>
    <d v="2018-08-21T00:00:00"/>
  </r>
  <r>
    <s v="VZ-2018-000401"/>
    <s v="INF"/>
    <s v="Oravec"/>
    <x v="309"/>
    <s v="32422000-7"/>
    <s v="3.2.3."/>
    <n v="1950000"/>
    <x v="1"/>
    <d v="2018-06-19T00:00:00"/>
    <d v="2018-07-30T00:00:00"/>
    <s v="Merit Group, a.s."/>
    <n v="1899022"/>
    <n v="2297816.62"/>
    <x v="89"/>
    <m/>
    <d v="2018-09-11T00:00:00"/>
  </r>
  <r>
    <s v="VZ-2018-000406"/>
    <s v="ZM"/>
    <s v="Čech"/>
    <x v="310"/>
    <s v="33140000-3 "/>
    <m/>
    <n v="3080000"/>
    <x v="2"/>
    <d v="2018-06-18T00:00:00"/>
    <d v="2018-07-12T00:00:00"/>
    <s v="MAQUET Czech Republic, s.r.o."/>
    <n v="3100920.18"/>
    <n v="3752112.74"/>
    <x v="76"/>
    <d v="2020-08-30T00:00:00"/>
    <d v="2018-09-05T00:00:00"/>
  </r>
  <r>
    <s v="VZ-2018-000407"/>
    <s v="ZM"/>
    <s v="Čech"/>
    <x v="311"/>
    <s v="33169000-2"/>
    <m/>
    <n v="3800000"/>
    <x v="2"/>
    <d v="2018-06-19T00:00:00"/>
    <d v="2018-07-13T00:00:00"/>
    <s v="Medtronic Czechia s.r.o."/>
    <n v="3732640"/>
    <n v="4516494.4000000004"/>
    <x v="82"/>
    <d v="2020-09-18T00:00:00"/>
    <d v="2018-09-24T00:00:00"/>
  </r>
  <r>
    <s v="VZ-2018-000408"/>
    <s v="ZT"/>
    <s v="Rosulek"/>
    <x v="312"/>
    <s v="33152000-0"/>
    <s v="2.3.308."/>
    <n v="300000"/>
    <x v="0"/>
    <d v="2018-06-22T00:00:00"/>
    <d v="2018-07-04T00:00:00"/>
    <s v="Ybux s.r.o."/>
    <n v="374982"/>
    <n v="453728.22"/>
    <x v="45"/>
    <m/>
    <d v="2018-08-23T00:00:00"/>
  </r>
  <r>
    <s v="VZ-2018-000408"/>
    <s v="ZT"/>
    <s v="Rosulek"/>
    <x v="313"/>
    <s v="33152000-0"/>
    <s v="2.3.308."/>
    <n v="600000"/>
    <x v="0"/>
    <d v="2018-06-22T00:00:00"/>
    <d v="2018-07-04T00:00:00"/>
    <s v="zrušeno"/>
    <m/>
    <m/>
    <x v="18"/>
    <m/>
    <s v="xxx"/>
  </r>
  <r>
    <s v="VZ-2018-000409"/>
    <s v="ZT"/>
    <s v="Rosulek"/>
    <x v="314"/>
    <s v="33162100-4"/>
    <s v="2.3.360."/>
    <n v="254000"/>
    <x v="0"/>
    <d v="2018-06-28T00:00:00"/>
    <d v="2018-07-13T00:00:00"/>
    <s v="Johnson &amp; Johnson s.r.o."/>
    <n v="241569.6"/>
    <n v="292299.21600000001"/>
    <x v="90"/>
    <m/>
    <s v="xxx"/>
  </r>
  <r>
    <s v="VZ-2018-000416"/>
    <s v="ENERG"/>
    <s v="Eyer"/>
    <x v="315"/>
    <s v="50710000-5"/>
    <m/>
    <n v="3000000"/>
    <x v="2"/>
    <d v="2018-10-09T00:00:00"/>
    <d v="2018-10-30T00:00:00"/>
    <s v="Otáhal Miloslav"/>
    <n v="1899072"/>
    <n v="1899072"/>
    <x v="18"/>
    <m/>
    <m/>
  </r>
  <r>
    <s v="VZ-2018-000419"/>
    <s v="VŠEOB"/>
    <s v="Nerudová"/>
    <x v="316"/>
    <s v="39120000-9"/>
    <m/>
    <n v="980000"/>
    <x v="1"/>
    <d v="2018-06-21T00:00:00"/>
    <d v="2018-08-02T00:00:00"/>
    <s v="KSK nábytek s.r.o."/>
    <n v="890317"/>
    <n v="1077283.57"/>
    <x v="64"/>
    <m/>
    <d v="2018-10-09T00:00:00"/>
  </r>
  <r>
    <s v="VZ-2018-000420"/>
    <s v="OEF"/>
    <s v="Buzkova"/>
    <x v="317"/>
    <s v="79212300-6 "/>
    <m/>
    <n v="640000"/>
    <x v="0"/>
    <d v="2018-06-28T00:00:00"/>
    <d v="2018-07-12T00:00:00"/>
    <s v="FIZA, a.s."/>
    <n v="640000"/>
    <n v="774400"/>
    <x v="91"/>
    <m/>
    <d v="2018-09-06T00:00:00"/>
  </r>
  <r>
    <s v="VZ-2018-000423"/>
    <s v="ZT"/>
    <s v="Rosulek"/>
    <x v="318"/>
    <s v="38434500-1"/>
    <s v="2.2.130.; 2.2.182."/>
    <n v="5330000"/>
    <x v="1"/>
    <d v="2018-06-22T00:00:00"/>
    <d v="2018-08-23T00:00:00"/>
    <s v="Life Technologies s.r.o."/>
    <n v="7692805.96"/>
    <n v="9308295.2200000007"/>
    <x v="92"/>
    <m/>
    <d v="2018-11-15T00:00:00"/>
  </r>
  <r>
    <s v="VZ-2018-000424"/>
    <s v="ZM"/>
    <s v="Merta"/>
    <x v="319"/>
    <s v="33141200-2 "/>
    <m/>
    <n v="19664900"/>
    <x v="1"/>
    <d v="2018-10-03T00:00:00"/>
    <d v="2018-12-14T00:00:00"/>
    <s v="EP SERVICES s.r.o."/>
    <n v="19664619.829999998"/>
    <n v="23794189.994299997"/>
    <x v="18"/>
    <m/>
    <m/>
  </r>
  <r>
    <s v="VZ-2018-000424"/>
    <s v="ZM"/>
    <s v="Merta"/>
    <x v="320"/>
    <s v="33141200-2 "/>
    <m/>
    <n v="3197500"/>
    <x v="1"/>
    <d v="2018-10-03T00:00:00"/>
    <d v="2018-12-14T00:00:00"/>
    <s v="Cardiomedical, s.r.o."/>
    <n v="3115500"/>
    <n v="3769755"/>
    <x v="18"/>
    <m/>
    <m/>
  </r>
  <r>
    <s v="VZ-2018-000424"/>
    <s v="ZM"/>
    <s v="Merta"/>
    <x v="321"/>
    <s v="33141200-2 "/>
    <m/>
    <n v="1202665"/>
    <x v="1"/>
    <d v="2018-10-03T00:00:00"/>
    <d v="2018-12-14T00:00:00"/>
    <s v="zrušeno - překročení ceny"/>
    <m/>
    <m/>
    <x v="18"/>
    <m/>
    <d v="2019-02-19T00:00:00"/>
  </r>
  <r>
    <s v="VZ-2018-000424"/>
    <s v="ZM"/>
    <s v="Merta"/>
    <x v="322"/>
    <s v="33141200-2 "/>
    <m/>
    <n v="600000"/>
    <x v="1"/>
    <d v="2018-10-03T00:00:00"/>
    <d v="2018-12-14T00:00:00"/>
    <s v="INLAB Medical, s.r.o."/>
    <n v="592500"/>
    <n v="716925"/>
    <x v="18"/>
    <m/>
    <m/>
  </r>
  <r>
    <s v="VZ-2018-000424"/>
    <s v="ZM"/>
    <s v="Merta"/>
    <x v="323"/>
    <s v="33141200-2 "/>
    <m/>
    <n v="3479000"/>
    <x v="1"/>
    <d v="2018-10-03T00:00:00"/>
    <d v="2018-12-14T00:00:00"/>
    <s v="CARDION s.r.o."/>
    <n v="3478512.4"/>
    <n v="4209000.0039999997"/>
    <x v="18"/>
    <m/>
    <m/>
  </r>
  <r>
    <s v="VZ-2018-000424"/>
    <s v="ZM"/>
    <s v="Merta"/>
    <x v="324"/>
    <s v="33141200-2 "/>
    <m/>
    <n v="654000"/>
    <x v="1"/>
    <d v="2018-10-03T00:00:00"/>
    <d v="2018-12-14T00:00:00"/>
    <s v="Cardiomedical, s.r.o."/>
    <n v="654000"/>
    <n v="791340"/>
    <x v="18"/>
    <m/>
    <m/>
  </r>
  <r>
    <s v="VZ-2018-000424"/>
    <s v="ZM"/>
    <s v="Merta"/>
    <x v="325"/>
    <s v="33141200-2 "/>
    <m/>
    <n v="677000"/>
    <x v="1"/>
    <d v="2018-10-03T00:00:00"/>
    <d v="2018-12-14T00:00:00"/>
    <s v="CARDION s.r.o."/>
    <n v="676644.63"/>
    <n v="818740.00229999993"/>
    <x v="18"/>
    <m/>
    <m/>
  </r>
  <r>
    <s v="VZ-2018-000424"/>
    <s v="ZM"/>
    <s v="Merta"/>
    <x v="326"/>
    <s v="33141200-2 "/>
    <m/>
    <n v="14126200"/>
    <x v="1"/>
    <d v="2018-10-03T00:00:00"/>
    <d v="2018-12-14T00:00:00"/>
    <s v="CARDION s.r.o."/>
    <n v="14126033.060000001"/>
    <n v="17092500.002599999"/>
    <x v="18"/>
    <m/>
    <m/>
  </r>
  <r>
    <s v="VZ-2018-000424"/>
    <s v="ZM"/>
    <s v="Merta"/>
    <x v="327"/>
    <s v="33141200-2 "/>
    <m/>
    <n v="3800000"/>
    <x v="1"/>
    <d v="2018-10-03T00:00:00"/>
    <d v="2018-12-14T00:00:00"/>
    <s v="CARDION s.r.o."/>
    <n v="3800000"/>
    <n v="4598000"/>
    <x v="18"/>
    <m/>
    <m/>
  </r>
  <r>
    <s v="VZ-2018-000424"/>
    <s v="ZM"/>
    <s v="Merta"/>
    <x v="328"/>
    <s v="33141200-2 "/>
    <m/>
    <n v="5625000"/>
    <x v="1"/>
    <d v="2018-10-03T00:00:00"/>
    <d v="2018-12-14T00:00:00"/>
    <s v="EP SERVICES s.r.o."/>
    <n v="5625000"/>
    <n v="6806250"/>
    <x v="18"/>
    <m/>
    <m/>
  </r>
  <r>
    <s v="VZ-2018-000424"/>
    <s v="ZM"/>
    <s v="Merta"/>
    <x v="329"/>
    <s v="33141200-2 "/>
    <m/>
    <n v="1875000"/>
    <x v="1"/>
    <d v="2018-10-03T00:00:00"/>
    <d v="2018-12-14T00:00:00"/>
    <s v="EP SERVICES s.r.o."/>
    <n v="1875000"/>
    <n v="2268750"/>
    <x v="18"/>
    <m/>
    <m/>
  </r>
  <r>
    <s v="VZ-2018-000424"/>
    <s v="ZM"/>
    <s v="Merta"/>
    <x v="330"/>
    <s v="33141200-2 "/>
    <m/>
    <n v="1156750"/>
    <x v="1"/>
    <d v="2018-10-03T00:00:00"/>
    <d v="2018-12-14T00:00:00"/>
    <s v="EP SERVICES s.r.o."/>
    <n v="1156605.3799999999"/>
    <n v="1399492.5097999999"/>
    <x v="18"/>
    <m/>
    <m/>
  </r>
  <r>
    <s v="VZ-2018-000426"/>
    <s v="ZT"/>
    <s v="Rosulek"/>
    <x v="331"/>
    <s v="33168000-5"/>
    <s v="2.2.142.;2.2.156.;2.2.159.;2.2.160.;2.2.163 -167.; 2.2.170.;2.2.176.; 2.3.306."/>
    <n v="19929850"/>
    <x v="1"/>
    <d v="2018-06-29T00:00:00"/>
    <d v="2018-08-08T00:00:00"/>
    <s v="zrušeno"/>
    <m/>
    <m/>
    <x v="18"/>
    <m/>
    <d v="2018-09-04T00:00:00"/>
  </r>
  <r>
    <s v="VZ-2018-000426"/>
    <s v="ZT"/>
    <s v="Rosulek"/>
    <x v="332"/>
    <m/>
    <s v="2.2.142.;2.2.156.;2.2.159.;2.2.160.;2.2.163 -167.; 2.2.170.;2.2.176.; 2.3.306."/>
    <n v="487600"/>
    <x v="1"/>
    <d v="2018-06-29T00:00:00"/>
    <d v="2018-08-08T00:00:00"/>
    <s v="zrušeno"/>
    <m/>
    <m/>
    <x v="18"/>
    <m/>
    <d v="2018-09-04T00:00:00"/>
  </r>
  <r>
    <s v="VZ-2018-000427"/>
    <s v="ZT"/>
    <s v="Rosulek"/>
    <x v="333"/>
    <s v="33191000-5"/>
    <s v="2.2.151, 2.3.304"/>
    <n v="966942"/>
    <x v="0"/>
    <d v="2018-07-12T00:00:00"/>
    <d v="2018-07-30T00:00:00"/>
    <s v="MEDISUN profi s.r.o."/>
    <n v="894120"/>
    <n v="1081885.2"/>
    <x v="66"/>
    <m/>
    <d v="2018-08-28T00:00:00"/>
  </r>
  <r>
    <s v="VZ-2018-000429"/>
    <s v="ZT"/>
    <s v="Rosulek"/>
    <x v="334"/>
    <s v="44411000-4"/>
    <s v="2.2.148."/>
    <n v="526000"/>
    <x v="0"/>
    <d v="2018-07-26T00:00:00"/>
    <d v="2018-08-07T00:00:00"/>
    <s v="ARJO Czech republic s.r.o."/>
    <n v="394480"/>
    <n v="477320.8"/>
    <x v="43"/>
    <m/>
    <d v="2018-09-18T00:00:00"/>
  </r>
  <r>
    <s v="VZ-2018-000440"/>
    <s v="ZT"/>
    <s v="Rosulek"/>
    <x v="335"/>
    <s v="33195000-3"/>
    <s v="2.2.83;2.2.149;2.3.321"/>
    <n v="12396595"/>
    <x v="1"/>
    <d v="2018-07-04T00:00:00"/>
    <d v="2018-08-10T00:00:00"/>
    <s v="S &amp; T Plus s.r.o."/>
    <n v="11432841"/>
    <n v="13833836"/>
    <x v="93"/>
    <m/>
    <d v="2018-10-30T00:00:00"/>
  </r>
  <r>
    <s v="VZ-2018-000441"/>
    <s v="IROP"/>
    <s v="Neudorflörová"/>
    <x v="336"/>
    <s v="33195000-3"/>
    <s v="2.3.339."/>
    <n v="5197355.32"/>
    <x v="1"/>
    <d v="2018-09-25T00:00:00"/>
    <d v="2018-11-05T00:00:00"/>
    <s v="S &amp; T Plus s.r.o."/>
    <n v="5279580"/>
    <n v="6388291.7999999998"/>
    <x v="18"/>
    <m/>
    <m/>
  </r>
  <r>
    <s v="VZ-2018-000441"/>
    <s v="IROP"/>
    <s v="Neudorflörová"/>
    <x v="337"/>
    <s v="33195000-3"/>
    <s v="2.3.343."/>
    <n v="3306944.71"/>
    <x v="1"/>
    <d v="2018-09-25T00:00:00"/>
    <d v="2018-11-05T00:00:00"/>
    <s v="MSM, spol. s r.o."/>
    <n v="2942292"/>
    <n v="3560173.66"/>
    <x v="18"/>
    <m/>
    <m/>
  </r>
  <r>
    <s v="VZ-2018-000455"/>
    <s v="ZT"/>
    <s v="Rosulek"/>
    <x v="338"/>
    <s v="33157400-9 "/>
    <s v="2.2.184."/>
    <n v="1257025"/>
    <x v="0"/>
    <d v="2018-07-13T00:00:00"/>
    <d v="2018-07-27T00:00:00"/>
    <s v="Dartin spol. s r.o."/>
    <n v="1349447"/>
    <n v="1632830.87"/>
    <x v="43"/>
    <m/>
    <d v="2018-09-19T00:00:00"/>
  </r>
  <r>
    <s v="VZ-2018-000456"/>
    <s v="ZT"/>
    <s v="Rosulek"/>
    <x v="339"/>
    <s v="33192000-2"/>
    <s v="2.2.156."/>
    <n v="1613000"/>
    <x v="0"/>
    <d v="2018-07-26T00:00:00"/>
    <d v="2018-08-08T00:00:00"/>
    <s v="Olympus Czech Rep."/>
    <n v="1569740"/>
    <n v="1899385.4"/>
    <x v="94"/>
    <m/>
    <d v="2018-09-07T00:00:00"/>
  </r>
  <r>
    <s v="VZ-2018-000457"/>
    <s v="INV"/>
    <s v="Spáčil"/>
    <x v="340"/>
    <s v="45223300-9"/>
    <s v="1.3.17."/>
    <n v="2950000"/>
    <x v="0"/>
    <d v="2018-07-16T00:00:00"/>
    <d v="2018-07-27T00:00:00"/>
    <s v="zrušeno"/>
    <m/>
    <m/>
    <x v="18"/>
    <m/>
    <d v="2018-08-24T00:00:00"/>
  </r>
  <r>
    <s v="VZ-2018-000459"/>
    <s v="SERV"/>
    <s v="Zemánek"/>
    <x v="341"/>
    <s v="50420000-5"/>
    <m/>
    <n v="800000"/>
    <x v="0"/>
    <d v="2018-09-10T00:00:00"/>
    <d v="2018-09-20T00:00:00"/>
    <s v="MAQUET Czech Republic, s.r.o."/>
    <n v="692565"/>
    <n v="838003.65"/>
    <x v="72"/>
    <m/>
    <d v="2018-11-06T00:00:00"/>
  </r>
  <r>
    <s v="VZ-2018-000462"/>
    <s v="IROP"/>
    <s v="Neudorflörová"/>
    <x v="342"/>
    <s v="33195100-4"/>
    <s v="2.3.326."/>
    <n v="3399173"/>
    <x v="1"/>
    <d v="2018-11-09T00:00:00"/>
    <d v="2019-01-07T00:00:00"/>
    <m/>
    <m/>
    <m/>
    <x v="18"/>
    <m/>
    <m/>
  </r>
  <r>
    <s v="VZ-2018-000462"/>
    <s v="IROP"/>
    <s v="Neudorflörová"/>
    <x v="343"/>
    <s v="33195100-4"/>
    <s v="2.3.327."/>
    <n v="518181"/>
    <x v="1"/>
    <d v="2018-11-09T00:00:00"/>
    <d v="2019-01-07T00:00:00"/>
    <m/>
    <m/>
    <m/>
    <x v="18"/>
    <m/>
    <m/>
  </r>
  <r>
    <s v="VZ-2018-000462"/>
    <s v="IROP"/>
    <s v="Neudorflörová"/>
    <x v="344"/>
    <s v="33195100-4"/>
    <s v="2.3.348."/>
    <n v="1882644"/>
    <x v="1"/>
    <d v="2018-11-09T00:00:00"/>
    <d v="2019-01-07T00:00:00"/>
    <m/>
    <m/>
    <m/>
    <x v="18"/>
    <m/>
    <m/>
  </r>
  <r>
    <s v="VZ-2018-000462"/>
    <s v="IROP"/>
    <s v="Neudorflörová"/>
    <x v="345"/>
    <s v="33195100-4"/>
    <s v="2.3.326."/>
    <n v="2757850"/>
    <x v="1"/>
    <d v="2018-11-09T00:00:00"/>
    <d v="2019-01-07T00:00:00"/>
    <m/>
    <m/>
    <m/>
    <x v="18"/>
    <m/>
    <m/>
  </r>
  <r>
    <s v="VZ-2018-000463"/>
    <s v="LÉK"/>
    <s v="Ondráčková"/>
    <x v="346"/>
    <s v="33696800-3"/>
    <m/>
    <n v="1705200"/>
    <x v="1"/>
    <d v="2018-07-18T00:00:00"/>
    <d v="2018-08-24T00:00:00"/>
    <s v="Diagnostic Pharmaceuticals a.s."/>
    <n v="1635600"/>
    <n v="1799160.0000000002"/>
    <x v="18"/>
    <m/>
    <m/>
  </r>
  <r>
    <s v="VZ-2018-000463"/>
    <s v="LÉK"/>
    <s v="Ondráčková"/>
    <x v="347"/>
    <s v="33696800-3"/>
    <m/>
    <n v="74100"/>
    <x v="1"/>
    <d v="2018-07-18T00:00:00"/>
    <d v="2018-08-24T00:00:00"/>
    <s v="Bracco Imaging Czech s.r.o."/>
    <n v="74090"/>
    <n v="81499"/>
    <x v="18"/>
    <m/>
    <m/>
  </r>
  <r>
    <s v="VZ-2018-000463"/>
    <s v="LÉK"/>
    <s v="Ondráčková"/>
    <x v="348"/>
    <s v="33696800-3"/>
    <m/>
    <n v="2302873"/>
    <x v="1"/>
    <d v="2018-07-18T00:00:00"/>
    <d v="2018-08-24T00:00:00"/>
    <s v="BAYER s.r.o."/>
    <n v="2302872.08"/>
    <n v="2533159.2880000002"/>
    <x v="18"/>
    <m/>
    <m/>
  </r>
  <r>
    <s v="VZ-2018-000466"/>
    <s v="ZM"/>
    <s v="Dočkalová"/>
    <x v="349"/>
    <s v="33140000-3"/>
    <m/>
    <n v="4613400"/>
    <x v="1"/>
    <d v="2018-07-25T00:00:00"/>
    <d v="2018-09-04T00:00:00"/>
    <s v="Terumo BCT Europe N.V."/>
    <n v="4613400"/>
    <n v="5582214"/>
    <x v="95"/>
    <d v="2019-11-19T00:00:00"/>
    <d v="2018-11-23T00:00:00"/>
  </r>
  <r>
    <s v="VZ-2018-000467"/>
    <s v="ZM"/>
    <s v="Dočkalová"/>
    <x v="350"/>
    <s v="33140000-3"/>
    <m/>
    <n v="2516000"/>
    <x v="2"/>
    <d v="2018-07-27T00:00:00"/>
    <d v="2018-08-22T00:00:00"/>
    <s v="Terumo BCT Europe N.V."/>
    <n v="2529000"/>
    <n v="3060090"/>
    <x v="95"/>
    <d v="2020-11-19T00:00:00"/>
    <d v="2018-11-23T00:00:00"/>
  </r>
  <r>
    <s v="VZ-2018-000469"/>
    <s v="ZM"/>
    <s v="Dočkalová"/>
    <x v="351"/>
    <s v="33140000-3"/>
    <m/>
    <n v="3700000"/>
    <x v="2"/>
    <d v="2018-07-17T00:00:00"/>
    <d v="2018-08-01T00:00:00"/>
    <s v="ADYTON s.r.o."/>
    <n v="3699739.44"/>
    <n v="4254700.4000000004"/>
    <x v="96"/>
    <s v="doba neurčitá"/>
    <d v="2018-09-11T00:00:00"/>
  </r>
  <r>
    <s v="VZ-2018-000470"/>
    <s v="ZT"/>
    <s v="Rosulek"/>
    <x v="352"/>
    <s v="33162100-4"/>
    <s v="2.3.208."/>
    <n v="2314050"/>
    <x v="2"/>
    <d v="2018-07-18T00:00:00"/>
    <d v="2018-08-15T00:00:00"/>
    <s v="zrušeno"/>
    <m/>
    <m/>
    <x v="18"/>
    <m/>
    <d v="2018-08-14T00:00:00"/>
  </r>
  <r>
    <s v="VZ-2018-000493"/>
    <s v="ZT"/>
    <s v="Rosulek"/>
    <x v="353"/>
    <s v="33157400-9"/>
    <s v="2.2.91;2.2.174"/>
    <n v="8049586"/>
    <x v="1"/>
    <d v="2018-07-25T00:00:00"/>
    <d v="2018-10-15T00:00:00"/>
    <s v="A.M.I.- Analytical Medical In."/>
    <n v="7125075"/>
    <n v="8621340.75"/>
    <x v="18"/>
    <m/>
    <m/>
  </r>
  <r>
    <s v="VZ-2018-000493"/>
    <s v="ZT"/>
    <s v="Rosulek"/>
    <x v="354"/>
    <s v="33157400-9"/>
    <s v="2.2.82; 2.2.175"/>
    <n v="1190082"/>
    <x v="1"/>
    <d v="2018-07-25T00:00:00"/>
    <d v="2018-10-15T00:00:00"/>
    <s v="Dräger Medical s.r.o."/>
    <n v="1184500"/>
    <n v="1433245"/>
    <x v="18"/>
    <m/>
    <m/>
  </r>
  <r>
    <s v="VZ-2018-000493"/>
    <s v="ZT"/>
    <s v="Rosulek"/>
    <x v="355"/>
    <s v="33157400-9"/>
    <s v="2.4.100"/>
    <n v="349256"/>
    <x v="1"/>
    <d v="2018-07-25T00:00:00"/>
    <d v="2018-10-15T00:00:00"/>
    <s v="Saegeling Medizintechnik"/>
    <n v="342828"/>
    <n v="397490.28"/>
    <x v="18"/>
    <m/>
    <m/>
  </r>
  <r>
    <s v="VZ-2018-000497"/>
    <s v="EU"/>
    <s v="Knápek"/>
    <x v="356"/>
    <s v="48180000-3"/>
    <s v="3.2.27."/>
    <n v="1990000"/>
    <x v="0"/>
    <d v="2018-07-27T00:00:00"/>
    <d v="2018-08-08T00:00:00"/>
    <s v="SEFIMA s.r.o."/>
    <n v="1940000"/>
    <n v="2347400"/>
    <x v="85"/>
    <m/>
    <d v="2018-10-17T00:00:00"/>
  </r>
  <r>
    <s v="VZ-2018-000503"/>
    <s v="OSB "/>
    <s v="Vaida"/>
    <x v="357"/>
    <s v="45213400-7"/>
    <s v="4.2.15."/>
    <n v="1322300"/>
    <x v="0"/>
    <d v="2018-08-02T00:00:00"/>
    <d v="2018-08-21T00:00:00"/>
    <s v="AZ stavby s.r.o."/>
    <n v="1700233.16"/>
    <n v="2057282.12"/>
    <x v="97"/>
    <m/>
    <d v="2018-10-30T00:00:00"/>
  </r>
  <r>
    <s v="VZ-2018-000505"/>
    <s v="INV"/>
    <s v="Spáčil"/>
    <x v="358"/>
    <s v="45111000-8"/>
    <m/>
    <n v="20000000"/>
    <x v="2"/>
    <d v="2018-10-05T00:00:00"/>
    <d v="2018-10-26T00:00:00"/>
    <s v="MORKUS Morava s.r.o."/>
    <n v="9766934.25"/>
    <n v="11817990.442499999"/>
    <x v="98"/>
    <m/>
    <d v="2018-12-28T00:00:00"/>
  </r>
  <r>
    <s v="VZ-2018-000508"/>
    <s v="IROP"/>
    <s v="Neudorflörová"/>
    <x v="359"/>
    <s v="33111000-1"/>
    <s v="2.3.337."/>
    <n v="2152066.1"/>
    <x v="1"/>
    <d v="2018-09-25T00:00:00"/>
    <d v="2018-10-31T00:00:00"/>
    <s v="FOMA Medical spol. s  r.o."/>
    <n v="2119510"/>
    <n v="2564607.1"/>
    <x v="18"/>
    <m/>
    <m/>
  </r>
  <r>
    <s v="VZ-2018-000509"/>
    <s v="IROP"/>
    <s v="Neudorflörová"/>
    <x v="360"/>
    <s v="33124100-6"/>
    <s v="2.3.351."/>
    <n v="971000"/>
    <x v="1"/>
    <d v="2018-11-09T00:00:00"/>
    <d v="2018-12-12T00:00:00"/>
    <s v="MEDISTA spol. s r.o."/>
    <n v="1351100"/>
    <n v="1634831"/>
    <x v="18"/>
    <m/>
    <m/>
  </r>
  <r>
    <s v="VZ-2018-000512"/>
    <s v="ZT"/>
    <s v="Novák"/>
    <x v="361"/>
    <s v="33192300-5 "/>
    <m/>
    <n v="1865000"/>
    <x v="0"/>
    <d v="2018-08-16T00:00:00"/>
    <d v="2018-08-29T00:00:00"/>
    <s v="MARO-Mader s.r.o."/>
    <n v="1455675"/>
    <n v="1761378"/>
    <x v="86"/>
    <m/>
    <d v="2018-10-16T00:00:00"/>
  </r>
  <r>
    <s v="VZ-2018-000513"/>
    <s v="OSB "/>
    <s v="Vaida"/>
    <x v="362"/>
    <s v="45430000-0 "/>
    <m/>
    <n v="1200000"/>
    <x v="0"/>
    <d v="2018-08-02T00:00:00"/>
    <d v="2018-08-16T00:00:00"/>
    <s v="BRADA Interiéry s.r.o."/>
    <n v="1223650"/>
    <n v="1480616.5"/>
    <x v="99"/>
    <m/>
    <d v="2018-10-03T00:00:00"/>
  </r>
  <r>
    <s v="VZ-2018-000523"/>
    <s v="ZT"/>
    <s v="Novák"/>
    <x v="363"/>
    <s v="34911100-7 "/>
    <m/>
    <n v="910000"/>
    <x v="0"/>
    <d v="2018-08-22T00:00:00"/>
    <d v="2018-09-06T00:00:00"/>
    <s v="KLARO s.r.o."/>
    <n v="698937"/>
    <n v="845713.77"/>
    <x v="95"/>
    <m/>
    <d v="2018-11-27T00:00:00"/>
  </r>
  <r>
    <s v="VZ-2018-000527"/>
    <s v="ENERG"/>
    <s v="Srovnal"/>
    <x v="364"/>
    <s v="39717200-3 "/>
    <s v="4.2.97."/>
    <n v="250000"/>
    <x v="0"/>
    <d v="2018-08-13T00:00:00"/>
    <d v="2018-08-24T00:00:00"/>
    <s v="Air Klimont s.r.o."/>
    <n v="215470"/>
    <n v="260718.69999999998"/>
    <x v="99"/>
    <m/>
    <s v="xxx"/>
  </r>
  <r>
    <s v="VZ-2018-000534"/>
    <s v="OSB "/>
    <s v="Vaida"/>
    <x v="365"/>
    <s v="45213400-7 "/>
    <s v="4.2.99."/>
    <n v="700000"/>
    <x v="0"/>
    <d v="2018-08-13T00:00:00"/>
    <d v="2018-08-24T00:00:00"/>
    <s v="zrušeno - bez nabídky"/>
    <m/>
    <m/>
    <x v="18"/>
    <m/>
    <d v="2018-08-28T00:00:00"/>
  </r>
  <r>
    <s v="VZ-2018-000535"/>
    <s v="ZT"/>
    <s v="Rosulek"/>
    <x v="366"/>
    <s v="33152000-0"/>
    <s v="2.3.308."/>
    <n v="534000"/>
    <x v="0"/>
    <d v="2018-08-17T00:00:00"/>
    <d v="2018-08-29T00:00:00"/>
    <s v="Trigon Plus s.r.o."/>
    <n v="714536"/>
    <n v="864588.55999999994"/>
    <x v="100"/>
    <m/>
    <d v="2018-10-16T00:00:00"/>
  </r>
  <r>
    <s v="VZ-2018-000556"/>
    <s v="ZT"/>
    <s v="Rosulek"/>
    <x v="367"/>
    <s v="33191000-5"/>
    <s v="2.2.150."/>
    <n v="5206612"/>
    <x v="1"/>
    <d v="2018-08-20T00:00:00"/>
    <d v="2018-10-11T00:00:00"/>
    <s v="Suppmed s.r.o."/>
    <n v="5030299.82"/>
    <n v="6086662.9299999997"/>
    <x v="101"/>
    <m/>
    <d v="2018-12-03T00:00:00"/>
  </r>
  <r>
    <s v="VZ-2018-000570"/>
    <s v="ENERG"/>
    <s v="Srovnal"/>
    <x v="368"/>
    <s v="42513290-4 "/>
    <s v="4.2.60."/>
    <n v="750000"/>
    <x v="2"/>
    <d v="2018-09-07T00:00:00"/>
    <d v="2018-09-25T00:00:00"/>
    <s v="Air Klimont s.r.o."/>
    <n v="675048"/>
    <n v="816808"/>
    <x v="102"/>
    <m/>
    <d v="2018-11-19T00:00:00"/>
  </r>
  <r>
    <s v="VZ-2018-000575"/>
    <s v="LÉK"/>
    <s v="Ondráčková"/>
    <x v="369"/>
    <s v="33661200-3"/>
    <m/>
    <n v="1862375"/>
    <x v="0"/>
    <d v="2018-08-22T00:00:00"/>
    <d v="2018-08-29T00:00:00"/>
    <s v="ViaPharma s.r.o."/>
    <n v="1833158.71"/>
    <n v="2016474.58"/>
    <x v="18"/>
    <m/>
    <m/>
  </r>
  <r>
    <s v="VZ-2018-000578"/>
    <s v="ZT"/>
    <s v="Rosulek"/>
    <x v="370"/>
    <s v="33192600-8"/>
    <s v="2.2.94, 2.2.95, 2.2.154, 2.2.155, 2.2.172"/>
    <n v="1740000"/>
    <x v="0"/>
    <d v="2018-08-27T00:00:00"/>
    <d v="2018-09-05T00:00:00"/>
    <s v="zrušeno "/>
    <m/>
    <m/>
    <x v="18"/>
    <m/>
    <d v="2018-09-06T00:00:00"/>
  </r>
  <r>
    <s v="VZ-2018-000586"/>
    <s v="ZM"/>
    <s v="Valtová"/>
    <x v="371"/>
    <s v="33140000-3"/>
    <m/>
    <n v="18039200"/>
    <x v="1"/>
    <d v="2018-10-03T00:00:00"/>
    <d v="2018-11-05T00:00:00"/>
    <s v="CARDION s.r.o."/>
    <n v="18039000"/>
    <n v="20744850"/>
    <x v="18"/>
    <m/>
    <m/>
  </r>
  <r>
    <s v="VZ-2018-000590"/>
    <s v="OSB "/>
    <s v="Vaida"/>
    <x v="372"/>
    <s v="45332000-3"/>
    <s v="4.2.63."/>
    <n v="1571000"/>
    <x v="0"/>
    <d v="2018-08-30T00:00:00"/>
    <d v="2018-09-14T00:00:00"/>
    <s v="INTOP Olomouc CZ s.r.o."/>
    <n v="1399548.52"/>
    <n v="1693453.71"/>
    <x v="103"/>
    <m/>
    <d v="2018-10-22T00:00:00"/>
  </r>
  <r>
    <s v="VZ-2018-000592"/>
    <s v="ZT"/>
    <s v="Novák"/>
    <x v="373"/>
    <s v="33192300-5"/>
    <m/>
    <n v="490000"/>
    <x v="0"/>
    <d v="2018-08-27T00:00:00"/>
    <d v="2018-09-07T00:00:00"/>
    <s v="INTER META Ostrava s.r.o."/>
    <n v="501592.84"/>
    <n v="577256"/>
    <x v="86"/>
    <m/>
    <d v="2018-10-16T00:00:00"/>
  </r>
  <r>
    <s v="VZ-2018-000593"/>
    <s v="ZM"/>
    <s v="Valtová"/>
    <x v="374"/>
    <s v="33140000-3"/>
    <m/>
    <n v="1115405"/>
    <x v="0"/>
    <d v="2018-08-27T00:00:00"/>
    <d v="2018-09-14T00:00:00"/>
    <s v="Medtronic Czechia s.r.o."/>
    <n v="900000"/>
    <n v="1089000"/>
    <x v="18"/>
    <m/>
    <m/>
  </r>
  <r>
    <s v="VZ-2018-000594"/>
    <s v="ZM"/>
    <s v="Valtová"/>
    <x v="375"/>
    <s v="33140000-3"/>
    <m/>
    <n v="1212500"/>
    <x v="0"/>
    <d v="2018-08-27T00:00:00"/>
    <d v="2018-09-12T00:00:00"/>
    <s v="Medtronic Czechia s.r.o."/>
    <n v="1212500"/>
    <n v="1467125"/>
    <x v="74"/>
    <d v="2020-11-27T00:00:00"/>
    <d v="2018-11-30T00:00:00"/>
  </r>
  <r>
    <s v="VZ-2018-000595"/>
    <s v="ZM"/>
    <s v="Valtová"/>
    <x v="376"/>
    <s v="33140000-3"/>
    <m/>
    <n v="5044317"/>
    <x v="1"/>
    <d v="2018-09-07T00:00:00"/>
    <d v="2018-10-12T00:00:00"/>
    <s v="INLAB Medical, s.r.o."/>
    <n v="5044290.99"/>
    <n v="5800934.6399999997"/>
    <x v="104"/>
    <d v="2020-06-06T00:00:00"/>
    <d v="2018-12-11T00:00:00"/>
  </r>
  <r>
    <s v="VZ-2018-000599"/>
    <s v="OSB "/>
    <s v="Vaida"/>
    <x v="377"/>
    <s v="45213400-7"/>
    <s v="4.2.99."/>
    <n v="700000"/>
    <x v="0"/>
    <d v="2018-09-03T00:00:00"/>
    <d v="2018-09-12T00:00:00"/>
    <s v="OHL ŽS, a.s."/>
    <n v="542032.61"/>
    <n v="655859.45809999993"/>
    <x v="88"/>
    <m/>
    <d v="2018-10-22T00:00:00"/>
  </r>
  <r>
    <s v="VZ-2018-000600"/>
    <s v="ENERG"/>
    <s v="Eyer"/>
    <x v="378"/>
    <s v="45421000-4"/>
    <s v="4.2.21."/>
    <n v="400000"/>
    <x v="0"/>
    <d v="2018-09-06T00:00:00"/>
    <d v="2018-09-17T00:00:00"/>
    <s v="MIZ- Olomouc s.r.o."/>
    <n v="515365"/>
    <n v="623591.65"/>
    <x v="103"/>
    <m/>
    <d v="2018-10-22T00:00:00"/>
  </r>
  <r>
    <s v="VZ-2018-000601"/>
    <s v="INF"/>
    <s v="Miklík"/>
    <x v="379"/>
    <s v="33124000-5"/>
    <s v="3.2.17."/>
    <n v="1570248"/>
    <x v="0"/>
    <d v="2018-09-05T00:00:00"/>
    <d v="2018-09-14T00:00:00"/>
    <s v="OR-CZ spol. s r.o."/>
    <n v="1290436"/>
    <n v="1561427.56"/>
    <x v="86"/>
    <m/>
    <d v="2018-10-16T00:00:00"/>
  </r>
  <r>
    <s v="VZ-2018-000603"/>
    <s v="LÉK"/>
    <s v="Ondráčková"/>
    <x v="380"/>
    <s v="33642100-3"/>
    <m/>
    <n v="41300323.960000001"/>
    <x v="1"/>
    <d v="2018-09-25T00:00:00"/>
    <d v="2018-10-31T00:00:00"/>
    <s v="PHOENIX lék.velkoobchod, s.r.o."/>
    <n v="41104437.479999997"/>
    <n v="45214881.228"/>
    <x v="18"/>
    <m/>
    <m/>
  </r>
  <r>
    <s v="VZ-2018-000603"/>
    <s v="LÉK"/>
    <s v="Ondráčková"/>
    <x v="381"/>
    <s v="33642100-3"/>
    <m/>
    <n v="18830180.890000001"/>
    <x v="1"/>
    <d v="2018-09-25T00:00:00"/>
    <d v="2018-10-31T00:00:00"/>
    <s v="PHOENIX lék.velkoobchod, s.r.o."/>
    <n v="18736351.109999999"/>
    <n v="20609986.221000001"/>
    <x v="18"/>
    <m/>
    <m/>
  </r>
  <r>
    <s v="VZ-2018-000603"/>
    <s v="LÉK"/>
    <s v="Ondráčková"/>
    <x v="382"/>
    <s v="33642100-3"/>
    <m/>
    <n v="42899036.450000003"/>
    <x v="1"/>
    <d v="2018-09-25T00:00:00"/>
    <d v="2018-10-31T00:00:00"/>
    <s v="ViaPharma s.r.o."/>
    <n v="42803439.280000001"/>
    <n v="47083783.208000004"/>
    <x v="18"/>
    <m/>
    <m/>
  </r>
  <r>
    <s v="VZ-2018-000603"/>
    <s v="LÉK"/>
    <s v="Ondráčková"/>
    <x v="383"/>
    <s v="33642100-3"/>
    <m/>
    <n v="5515900.9100000001"/>
    <x v="1"/>
    <d v="2018-09-25T00:00:00"/>
    <d v="2018-10-31T00:00:00"/>
    <s v="PHOENIX lék.velkoobchod, s.r.o."/>
    <n v="5485924"/>
    <n v="6034516.4000000004"/>
    <x v="18"/>
    <m/>
    <m/>
  </r>
  <r>
    <s v="VZ-2018-000603"/>
    <s v="LÉK"/>
    <s v="Ondráčková"/>
    <x v="384"/>
    <s v="33642100-3"/>
    <m/>
    <n v="16652654.73"/>
    <x v="1"/>
    <d v="2018-09-25T00:00:00"/>
    <d v="2018-10-31T00:00:00"/>
    <s v="Pharmos, a.s."/>
    <n v="16587621.630000001"/>
    <n v="18246383.793000001"/>
    <x v="18"/>
    <m/>
    <m/>
  </r>
  <r>
    <s v="VZ-2018-000603"/>
    <s v="LÉK"/>
    <s v="Ondráčková"/>
    <x v="385"/>
    <s v="33642100-3"/>
    <m/>
    <n v="12678937.16"/>
    <x v="1"/>
    <d v="2018-09-25T00:00:00"/>
    <d v="2018-10-31T00:00:00"/>
    <s v="PHOENIX lék.velkoobchod, s.r.o."/>
    <n v="12608680.5"/>
    <n v="13869548.550000001"/>
    <x v="18"/>
    <m/>
    <m/>
  </r>
  <r>
    <s v="VZ-2018-000603"/>
    <s v="LÉK"/>
    <s v="Ondráčková"/>
    <x v="386"/>
    <s v="33642100-3"/>
    <m/>
    <n v="11377554.689999999"/>
    <x v="1"/>
    <d v="2018-09-25T00:00:00"/>
    <d v="2018-10-31T00:00:00"/>
    <s v="ViaPharma s.r.o."/>
    <n v="11362478.16"/>
    <n v="12498725.976000002"/>
    <x v="18"/>
    <m/>
    <m/>
  </r>
  <r>
    <s v="VZ-2018-000604"/>
    <s v="LÉK"/>
    <s v="Ondráčková"/>
    <x v="387"/>
    <s v=" 33621300-2 "/>
    <m/>
    <n v="858526"/>
    <x v="2"/>
    <d v="2018-09-06T00:00:00"/>
    <d v="2018-09-24T00:00:00"/>
    <s v="Amgen s.r.o."/>
    <n v="851840.86"/>
    <n v="937024.94600000011"/>
    <x v="105"/>
    <d v="2019-11-08T00:00:00"/>
    <d v="2018-11-15T00:00:00"/>
  </r>
  <r>
    <s v="VZ-2018-000604"/>
    <s v="LÉK"/>
    <s v="Ondráčková"/>
    <x v="388"/>
    <s v="33621300-2"/>
    <m/>
    <n v="2200942"/>
    <x v="2"/>
    <d v="2018-09-06T00:00:00"/>
    <d v="2018-09-24T00:00:00"/>
    <s v="Promedica Praha Group, a.s."/>
    <n v="2200939.02"/>
    <n v="2421032.9220000003"/>
    <x v="105"/>
    <d v="2019-11-08T00:00:00"/>
    <d v="2018-11-15T00:00:00"/>
  </r>
  <r>
    <s v="VZ-2018-000605"/>
    <s v="LÉK"/>
    <s v="Ondráčková"/>
    <x v="389"/>
    <s v="33622200-8"/>
    <m/>
    <n v="2130154"/>
    <x v="1"/>
    <d v="2018-10-25T00:00:00"/>
    <d v="2018-11-30T00:00:00"/>
    <s v="Alliance Healthcare s.r.o."/>
    <n v="1636059.1"/>
    <n v="1799665.0100000002"/>
    <x v="18"/>
    <m/>
    <m/>
  </r>
  <r>
    <s v="VZ-2018-000605"/>
    <s v="LÉK"/>
    <s v="Ondráčková"/>
    <x v="390"/>
    <s v="33622200-8"/>
    <m/>
    <n v="298758"/>
    <x v="1"/>
    <d v="2018-10-25T00:00:00"/>
    <d v="2018-11-30T00:00:00"/>
    <s v="Alliance Healthcare s.r.o."/>
    <n v="207044.7"/>
    <n v="227749.17000000004"/>
    <x v="18"/>
    <m/>
    <m/>
  </r>
  <r>
    <s v="VZ-2018-000605"/>
    <s v="LÉK"/>
    <s v="Ondráčková"/>
    <x v="391"/>
    <s v="33622200-8"/>
    <m/>
    <n v="13588559"/>
    <x v="1"/>
    <d v="2018-10-25T00:00:00"/>
    <d v="2018-11-30T00:00:00"/>
    <s v="PHOENIX lék.velkoobchod, s.r.o."/>
    <n v="13426404.6"/>
    <n v="14769045.060000001"/>
    <x v="18"/>
    <m/>
    <m/>
  </r>
  <r>
    <s v="VZ-2018-000605"/>
    <s v="LÉK"/>
    <s v="Ondráčková"/>
    <x v="392"/>
    <s v="33622200-8"/>
    <m/>
    <n v="8837280"/>
    <x v="1"/>
    <d v="2018-10-25T00:00:00"/>
    <d v="2018-11-30T00:00:00"/>
    <s v="Alliance Healthcare s.r.o."/>
    <n v="8837280"/>
    <n v="9721008"/>
    <x v="18"/>
    <m/>
    <m/>
  </r>
  <r>
    <s v="VZ-2018-000605"/>
    <s v="LÉK"/>
    <s v="Ondráčková"/>
    <x v="393"/>
    <s v="33622200-8"/>
    <m/>
    <n v="3523471"/>
    <x v="1"/>
    <d v="2018-10-25T00:00:00"/>
    <d v="2018-11-30T00:00:00"/>
    <s v="ViaPharma s.r.o."/>
    <n v="3036656.2"/>
    <n v="3340321.8200000003"/>
    <x v="18"/>
    <m/>
    <m/>
  </r>
  <r>
    <s v="VZ-2018-000605"/>
    <s v="LÉK"/>
    <s v="Ondráčková"/>
    <x v="394"/>
    <s v="33622200-8"/>
    <m/>
    <n v="943725"/>
    <x v="1"/>
    <d v="2018-10-25T00:00:00"/>
    <d v="2018-11-30T00:00:00"/>
    <s v="zrušeno bez nabídky"/>
    <m/>
    <m/>
    <x v="18"/>
    <m/>
    <d v="2019-03-22T00:00:00"/>
  </r>
  <r>
    <s v="VZ-2018-000605"/>
    <s v="LÉK"/>
    <s v="Ondráčková"/>
    <x v="395"/>
    <s v="33622200-8"/>
    <m/>
    <n v="114957884"/>
    <x v="1"/>
    <d v="2018-10-25T00:00:00"/>
    <d v="2018-11-30T00:00:00"/>
    <s v="Alliance Healthcare s.r.o."/>
    <n v="114957882.56"/>
    <n v="126453670.81999999"/>
    <x v="18"/>
    <m/>
    <m/>
  </r>
  <r>
    <s v="VZ-2018-000605"/>
    <s v="LÉK"/>
    <s v="Ondráčková"/>
    <x v="396"/>
    <s v="33622200-8"/>
    <m/>
    <n v="2039696"/>
    <x v="1"/>
    <d v="2018-10-25T00:00:00"/>
    <d v="2018-11-30T00:00:00"/>
    <s v="Alliance Healthcare s.r.o."/>
    <n v="996934.08"/>
    <n v="1096627.49"/>
    <x v="18"/>
    <m/>
    <m/>
  </r>
  <r>
    <s v="VZ-2018-000606"/>
    <s v="LÉK"/>
    <s v="Ondráčková"/>
    <x v="397"/>
    <s v="33652000-5"/>
    <m/>
    <n v="2334404"/>
    <x v="1"/>
    <d v="2018-09-06T00:00:00"/>
    <d v="2018-10-10T00:00:00"/>
    <s v="zrušeno - bez nabídky"/>
    <m/>
    <m/>
    <x v="18"/>
    <m/>
    <d v="2018-11-22T00:00:00"/>
  </r>
  <r>
    <s v="VZ-2018-000606"/>
    <s v="LÉK"/>
    <s v="Ondráčková"/>
    <x v="398"/>
    <s v="33652000-5"/>
    <m/>
    <n v="35973112"/>
    <x v="1"/>
    <d v="2018-09-06T00:00:00"/>
    <d v="2018-10-10T00:00:00"/>
    <s v="zrušeno - překročení ceny"/>
    <m/>
    <m/>
    <x v="18"/>
    <m/>
    <d v="2018-12-21T00:00:00"/>
  </r>
  <r>
    <s v="VZ-2018-000606"/>
    <s v="LÉK"/>
    <s v="Ondráčková"/>
    <x v="399"/>
    <s v="33652000-5"/>
    <m/>
    <n v="41208280"/>
    <x v="1"/>
    <d v="2018-09-06T00:00:00"/>
    <d v="2018-10-10T00:00:00"/>
    <s v="Avenier a.s."/>
    <n v="41204810.799999997"/>
    <n v="45325291.880000003"/>
    <x v="18"/>
    <m/>
    <m/>
  </r>
  <r>
    <s v="VZ-2018-000606"/>
    <s v="LÉK"/>
    <s v="Ondráčková"/>
    <x v="400"/>
    <s v="33652000-5"/>
    <m/>
    <n v="5145020"/>
    <x v="1"/>
    <d v="2018-09-06T00:00:00"/>
    <d v="2018-10-10T00:00:00"/>
    <s v="zrušeno - bez nabídky"/>
    <m/>
    <m/>
    <x v="18"/>
    <m/>
    <d v="2018-11-22T00:00:00"/>
  </r>
  <r>
    <s v="VZ-2018-000606"/>
    <s v="LÉK"/>
    <s v="Ondráčková"/>
    <x v="401"/>
    <s v="33652000-5"/>
    <m/>
    <n v="542548"/>
    <x v="1"/>
    <d v="2018-09-06T00:00:00"/>
    <d v="2018-10-10T00:00:00"/>
    <s v="zrušeno - bez nabídky"/>
    <m/>
    <m/>
    <x v="18"/>
    <m/>
    <d v="2018-11-22T00:00:00"/>
  </r>
  <r>
    <s v="VZ-2018-000606"/>
    <s v="LÉK"/>
    <s v="Ondráčková"/>
    <x v="402"/>
    <s v="33652000-5"/>
    <m/>
    <n v="11440923"/>
    <x v="1"/>
    <d v="2018-09-06T00:00:00"/>
    <d v="2018-10-10T00:00:00"/>
    <s v="Avenier a.s."/>
    <n v="11439502.880000001"/>
    <n v="12583453.17"/>
    <x v="18"/>
    <m/>
    <m/>
  </r>
  <r>
    <s v="VZ-2018-000607"/>
    <s v="LÉK"/>
    <s v="Ondráčková"/>
    <x v="403"/>
    <s v="33651400-2"/>
    <m/>
    <n v="184729"/>
    <x v="1"/>
    <d v="2018-09-06T00:00:00"/>
    <d v="2018-10-17T00:00:00"/>
    <s v="Pharmos, a.s."/>
    <n v="184698"/>
    <n v="203167.8"/>
    <x v="18"/>
    <m/>
    <m/>
  </r>
  <r>
    <s v="VZ-2018-000607"/>
    <s v="LÉK"/>
    <s v="Ondráčková"/>
    <x v="404"/>
    <s v="33651400-2"/>
    <m/>
    <n v="41208"/>
    <x v="1"/>
    <d v="2018-09-06T00:00:00"/>
    <d v="2018-10-17T00:00:00"/>
    <s v="Alliance Healthcare s.r.o."/>
    <n v="41202.9"/>
    <n v="45323.19"/>
    <x v="18"/>
    <m/>
    <m/>
  </r>
  <r>
    <s v="VZ-2018-000607"/>
    <s v="LÉK"/>
    <s v="Ondráčková"/>
    <x v="405"/>
    <s v="33651400-2"/>
    <m/>
    <n v="445362"/>
    <x v="1"/>
    <d v="2018-09-06T00:00:00"/>
    <d v="2018-10-17T00:00:00"/>
    <s v="zrušeno - bez nabídky"/>
    <m/>
    <m/>
    <x v="18"/>
    <m/>
    <d v="2018-12-21T00:00:00"/>
  </r>
  <r>
    <s v="VZ-2018-000607"/>
    <s v="LÉK"/>
    <s v="Ondráčková"/>
    <x v="406"/>
    <s v="33651400-2"/>
    <m/>
    <n v="4884497"/>
    <x v="1"/>
    <d v="2018-09-06T00:00:00"/>
    <d v="2018-10-17T00:00:00"/>
    <s v="zrušeno - bez nabídky"/>
    <m/>
    <m/>
    <x v="18"/>
    <m/>
    <d v="2018-12-21T00:00:00"/>
  </r>
  <r>
    <s v="VZ-2018-000607"/>
    <s v="LÉK"/>
    <s v="Ondráčková"/>
    <x v="407"/>
    <s v="33651400-2"/>
    <m/>
    <n v="6271200"/>
    <x v="1"/>
    <d v="2018-09-06T00:00:00"/>
    <d v="2018-10-17T00:00:00"/>
    <s v="zrušeno - bez nabídky"/>
    <m/>
    <m/>
    <x v="18"/>
    <m/>
    <d v="2018-12-21T00:00:00"/>
  </r>
  <r>
    <s v="VZ-2018-000607"/>
    <s v="LÉK"/>
    <s v="Ondráčková"/>
    <x v="408"/>
    <s v="33651400-2"/>
    <m/>
    <n v="3054216"/>
    <x v="1"/>
    <d v="2018-09-06T00:00:00"/>
    <d v="2018-10-17T00:00:00"/>
    <s v="zrušeno - bez nabídky"/>
    <m/>
    <m/>
    <x v="18"/>
    <m/>
    <d v="2018-12-21T00:00:00"/>
  </r>
  <r>
    <s v="VZ-2018-000607"/>
    <s v="LÉK"/>
    <s v="Ondráčková"/>
    <x v="409"/>
    <s v="33651400-2"/>
    <m/>
    <n v="2169000"/>
    <x v="1"/>
    <d v="2018-09-06T00:00:00"/>
    <d v="2018-10-17T00:00:00"/>
    <s v="zrušeno - bez nabídky"/>
    <m/>
    <m/>
    <x v="18"/>
    <m/>
    <d v="2018-12-21T00:00:00"/>
  </r>
  <r>
    <s v="VZ-2018-000607"/>
    <s v="LÉK"/>
    <s v="Ondráčková"/>
    <x v="410"/>
    <s v="33651400-2"/>
    <m/>
    <n v="2894400"/>
    <x v="1"/>
    <d v="2018-09-06T00:00:00"/>
    <d v="2018-10-17T00:00:00"/>
    <s v="Merck Sharp &amp; Dohme s.r.o."/>
    <n v="2891520"/>
    <n v="3180672"/>
    <x v="18"/>
    <m/>
    <m/>
  </r>
  <r>
    <s v="VZ-2018-000608"/>
    <s v="LÉK"/>
    <s v="Ondráčková"/>
    <x v="411"/>
    <s v="33661100-2"/>
    <m/>
    <n v="952945"/>
    <x v="1"/>
    <d v="2018-09-25T00:00:00"/>
    <d v="2018-10-30T00:00:00"/>
    <s v="Promedica Praha Group, a.s."/>
    <n v="952944.48"/>
    <n v="1048238.9280000001"/>
    <x v="18"/>
    <m/>
    <m/>
  </r>
  <r>
    <s v="VZ-2018-000608"/>
    <s v="LÉK"/>
    <s v="Ondráčková"/>
    <x v="412"/>
    <s v="33661100-2"/>
    <m/>
    <n v="7533750"/>
    <x v="1"/>
    <d v="2018-09-25T00:00:00"/>
    <d v="2018-10-30T00:00:00"/>
    <s v="PHOENIX lék.velkoobchod, s.r.o."/>
    <n v="6608700"/>
    <n v="7269570.0000000009"/>
    <x v="18"/>
    <m/>
    <m/>
  </r>
  <r>
    <s v="VZ-2018-000609"/>
    <s v="ZT"/>
    <s v="Rosulek"/>
    <x v="413"/>
    <s v="33168000-5"/>
    <s v="2.2.142.;2.2.156.;2.2.159.;2.2.160.;2.2.163 -167.; 2.2.170.;2.2.176.; 2.3.306."/>
    <n v="28080100"/>
    <x v="1"/>
    <d v="2018-09-06T00:00:00"/>
    <d v="2018-10-08T00:00:00"/>
    <s v="zrušeno"/>
    <m/>
    <m/>
    <x v="18"/>
    <m/>
    <d v="2018-10-03T00:00:00"/>
  </r>
  <r>
    <s v="VZ-2018-000609"/>
    <s v="ZT"/>
    <s v="Rosulek"/>
    <x v="414"/>
    <m/>
    <s v="2.2.142.;2.2.156.;2.2.159.;2.2.160.;2.2.163 -167.; 2.2.170.;2.2.176.; 2.3.306."/>
    <n v="652900"/>
    <x v="1"/>
    <d v="2018-09-06T00:00:00"/>
    <d v="2018-10-08T00:00:00"/>
    <s v="zrušeno"/>
    <m/>
    <m/>
    <x v="18"/>
    <m/>
    <d v="2018-10-03T00:00:00"/>
  </r>
  <r>
    <s v="VZ-2018-000610"/>
    <s v="ZM"/>
    <s v="Dočkalová"/>
    <x v="415"/>
    <s v="33162200-5"/>
    <m/>
    <n v="7297000"/>
    <x v="1"/>
    <d v="2018-09-07T00:00:00"/>
    <d v="2018-10-09T00:00:00"/>
    <s v="Johnson &amp; Johnson s.r.o."/>
    <n v="6516492"/>
    <n v="7884956.6799999997"/>
    <x v="18"/>
    <m/>
    <m/>
  </r>
  <r>
    <s v="VZ-2018-000612"/>
    <s v="ZT"/>
    <s v="Rosulek"/>
    <x v="416"/>
    <s v="33192600-8"/>
    <s v="2.2.96.;2.2.162."/>
    <n v="983471"/>
    <x v="0"/>
    <d v="2018-09-05T00:00:00"/>
    <d v="2018-09-18T00:00:00"/>
    <s v="ARJO Czech republic s.r.o."/>
    <n v="1516694"/>
    <n v="1744198.1"/>
    <x v="106"/>
    <m/>
    <d v="2018-12-03T00:00:00"/>
  </r>
  <r>
    <s v="VZ-2018-000617"/>
    <s v="INV"/>
    <s v="Spáčil"/>
    <x v="417"/>
    <s v="45223300-9"/>
    <s v="1.3.16. "/>
    <n v="6500000"/>
    <x v="2"/>
    <d v="2018-09-07T00:00:00"/>
    <d v="2018-10-01T00:00:00"/>
    <s v="SWIETELSKY stavební s.r.o."/>
    <n v="9056056"/>
    <n v="10957827.76"/>
    <x v="18"/>
    <m/>
    <m/>
  </r>
  <r>
    <s v="VZ-2018-000617"/>
    <s v="INV"/>
    <s v="Spáčil"/>
    <x v="418"/>
    <s v="45223300-9"/>
    <s v=" 1.3.17. "/>
    <n v="2950000"/>
    <x v="2"/>
    <d v="2018-09-07T00:00:00"/>
    <d v="2018-10-01T00:00:00"/>
    <s v="SWIETELSKY stavební s.r.o."/>
    <n v="2432940"/>
    <n v="2943857.4"/>
    <x v="18"/>
    <m/>
    <m/>
  </r>
  <r>
    <s v="VZ-2018-000624"/>
    <s v="ZM"/>
    <s v="Dočkalová"/>
    <x v="419"/>
    <s v="33141310-6"/>
    <m/>
    <n v="3403900"/>
    <x v="2"/>
    <d v="2018-09-12T00:00:00"/>
    <d v="2018-10-03T00:00:00"/>
    <s v="MSM, spol. s r.o."/>
    <n v="3112192"/>
    <n v="3765752.3"/>
    <x v="18"/>
    <m/>
    <m/>
  </r>
  <r>
    <s v="VZ-2018-000630"/>
    <s v="ZM"/>
    <s v="Dočkalová"/>
    <x v="420"/>
    <s v="33140000-3"/>
    <m/>
    <n v="6321000"/>
    <x v="1"/>
    <d v="2018-09-12T00:00:00"/>
    <d v="2018-10-16T00:00:00"/>
    <s v="ALCON Pharmaceuticals"/>
    <n v="6311208"/>
    <n v="7636561.6799999997"/>
    <x v="104"/>
    <d v="2020-12-06T00:00:00"/>
    <d v="2018-12-10T00:00:00"/>
  </r>
  <r>
    <s v="VZ-2018-000637"/>
    <s v="IROP"/>
    <s v="Rosulek"/>
    <x v="413"/>
    <s v="33168000-5"/>
    <s v="2.2.142.;2.2.156.;2.2.159.;2.2.160.;2.2.163 -167.; 2.2.170.;2.2.176.; 2.3.306."/>
    <n v="28080100"/>
    <x v="1"/>
    <d v="2018-09-27T00:00:00"/>
    <d v="2018-10-30T00:00:00"/>
    <s v="Z Technik s.r.o."/>
    <n v="26911800"/>
    <n v="32563278"/>
    <x v="105"/>
    <m/>
    <d v="2018-11-13T00:00:00"/>
  </r>
  <r>
    <s v="VZ-2018-000637"/>
    <s v="IROP"/>
    <s v="Rosulek"/>
    <x v="414"/>
    <s v="33168000-5"/>
    <s v="2.2.142.;2.2.156.;2.2.159.;2.2.160.;2.2.163 -167.; 2.2.170.;2.2.176.; 2.3.306."/>
    <n v="652900"/>
    <x v="1"/>
    <d v="2018-09-27T00:00:00"/>
    <d v="2018-10-30T00:00:00"/>
    <s v="Z Technik s.r.o."/>
    <n v="676400"/>
    <n v="818444"/>
    <x v="105"/>
    <m/>
    <d v="2018-11-13T00:00:00"/>
  </r>
  <r>
    <s v="VZ-2018-000649"/>
    <s v="ENERG"/>
    <s v="Zbořil"/>
    <x v="421"/>
    <s v="45310000-3"/>
    <s v="4.1.33."/>
    <n v="400000"/>
    <x v="0"/>
    <d v="2018-09-17T00:00:00"/>
    <d v="2018-09-26T00:00:00"/>
    <s v="ELPREMO, spol. s r.o."/>
    <n v="618504"/>
    <n v="748390"/>
    <x v="107"/>
    <m/>
    <d v="2018-10-22T00:00:00"/>
  </r>
  <r>
    <s v="VZ-2018-000651"/>
    <s v="ZT"/>
    <s v="Rosulek"/>
    <x v="422"/>
    <s v="33192130-2"/>
    <s v="2.2.137.,2.2.147."/>
    <n v="942149"/>
    <x v="0"/>
    <d v="2018-09-18T00:00:00"/>
    <d v="2018-09-27T00:00:00"/>
    <s v="ARJO Czech republic s.r.o."/>
    <n v="991528"/>
    <n v="1140257.2"/>
    <x v="108"/>
    <m/>
    <d v="2018-11-28T00:00:00"/>
  </r>
  <r>
    <s v="VZ-2018-000656"/>
    <s v="ZT"/>
    <s v="Rosulek"/>
    <x v="423"/>
    <s v="33168000-5"/>
    <s v="2.2.118."/>
    <n v="3305785"/>
    <x v="1"/>
    <d v="2018-09-25T00:00:00"/>
    <d v="2018-10-29T00:00:00"/>
    <s v="Z Technik s.r.o."/>
    <n v="3302380"/>
    <n v="3995879.8"/>
    <x v="18"/>
    <m/>
    <m/>
  </r>
  <r>
    <s v="VZ-2018-000662"/>
    <s v="ZM"/>
    <s v="Dočkalová"/>
    <x v="424"/>
    <s v="33196000-0"/>
    <m/>
    <n v="900000"/>
    <x v="0"/>
    <d v="2018-09-25T00:00:00"/>
    <d v="2018-10-09T00:00:00"/>
    <s v="IF Facility a.s."/>
    <n v="1031338.64"/>
    <n v="1272119.75"/>
    <x v="18"/>
    <m/>
    <m/>
  </r>
  <r>
    <s v="VZ-2018-000663"/>
    <s v="ZT"/>
    <s v="Rosulek"/>
    <x v="425"/>
    <s v="33000000-0"/>
    <s v="2.2.94, 2.2.95, 2.2.154, 2.2.155, 2.2.172"/>
    <n v="1735536"/>
    <x v="0"/>
    <d v="2018-09-20T00:00:00"/>
    <d v="2018-10-01T00:00:00"/>
    <s v="ARJO Czech republic s.r.o."/>
    <n v="1908512"/>
    <n v="2141658.7999999998"/>
    <x v="108"/>
    <m/>
    <d v="2018-11-28T00:00:00"/>
  </r>
  <r>
    <s v="VZ-2018-000664"/>
    <s v="ZT"/>
    <s v="Novák"/>
    <x v="426"/>
    <s v="34911100-7"/>
    <m/>
    <n v="440000"/>
    <x v="0"/>
    <d v="2018-09-25T00:00:00"/>
    <d v="2018-10-05T00:00:00"/>
    <s v="KLARO s.r.o."/>
    <n v="426370"/>
    <n v="515907.7"/>
    <x v="109"/>
    <m/>
    <s v="xxx"/>
  </r>
  <r>
    <s v="VZ-2018-000665"/>
    <s v="IROP"/>
    <s v="Neudorflörová"/>
    <x v="427"/>
    <s v="33195100-4 "/>
    <s v="2.3.333."/>
    <n v="716200"/>
    <x v="1"/>
    <d v="2018-11-09T00:00:00"/>
    <d v="2018-12-12T00:00:00"/>
    <s v="zrušeno bez nabídky"/>
    <m/>
    <m/>
    <x v="18"/>
    <m/>
    <d v="2018-12-17T00:00:00"/>
  </r>
  <r>
    <s v="VZ-2018-000681"/>
    <s v="ENERG"/>
    <s v="Srovnal"/>
    <x v="428"/>
    <s v="45331200-8"/>
    <s v="4.2.101."/>
    <n v="413000"/>
    <x v="0"/>
    <d v="2018-10-03T00:00:00"/>
    <d v="2018-10-15T00:00:00"/>
    <s v="JK New product s.r.o."/>
    <n v="444131"/>
    <n v="537398"/>
    <x v="110"/>
    <m/>
    <d v="2018-12-12T00:00:00"/>
  </r>
  <r>
    <s v="VZ-2018-000685"/>
    <s v="INV"/>
    <s v="Kvapil"/>
    <x v="429"/>
    <s v="45215120-4"/>
    <s v="1.3.11."/>
    <n v="129510000"/>
    <x v="1"/>
    <d v="2018-10-23T00:00:00"/>
    <d v="2018-12-20T00:00:00"/>
    <m/>
    <m/>
    <m/>
    <x v="18"/>
    <m/>
    <m/>
  </r>
  <r>
    <s v="VZ-2018-000702"/>
    <s v="ZT"/>
    <s v="Rosulek"/>
    <x v="430"/>
    <s v="33123210-3"/>
    <s v="2.3.364."/>
    <n v="329752"/>
    <x v="0"/>
    <d v="2018-10-08T00:00:00"/>
    <d v="2018-10-17T00:00:00"/>
    <s v="S &amp; T Plus s.r.o."/>
    <n v="348060"/>
    <n v="421152.6"/>
    <x v="111"/>
    <m/>
    <s v="xxx"/>
  </r>
  <r>
    <s v="VZ-2018-000727"/>
    <s v="INV"/>
    <s v="Spáčil"/>
    <x v="431"/>
    <s v="45454100-5"/>
    <s v="1.2.42."/>
    <n v="3720000"/>
    <x v="0"/>
    <d v="2018-10-09T00:00:00"/>
    <d v="2018-10-19T00:00:00"/>
    <s v="OHL ŽS, a.s."/>
    <n v="5999986.1600000001"/>
    <n v="7259983"/>
    <x v="112"/>
    <m/>
    <d v="2018-11-28T00:00:00"/>
  </r>
  <r>
    <s v="VZ-2018-000728"/>
    <s v="INF"/>
    <s v="Oravec"/>
    <x v="432"/>
    <s v="72261000-2"/>
    <m/>
    <n v="2088000"/>
    <x v="2"/>
    <d v="2018-10-30T00:00:00"/>
    <d v="2018-11-21T00:00:00"/>
    <s v="zrušeno bez nabídky"/>
    <m/>
    <m/>
    <x v="18"/>
    <m/>
    <d v="2018-11-26T00:00:00"/>
  </r>
  <r>
    <s v="VZ-2018-000730"/>
    <s v="INF"/>
    <s v="Oravec"/>
    <x v="433"/>
    <s v="30231310-3"/>
    <m/>
    <n v="859504"/>
    <x v="0"/>
    <d v="2018-10-08T00:00:00"/>
    <d v="2018-10-16T00:00:00"/>
    <s v="AutoCont a.s."/>
    <n v="890825"/>
    <n v="1077898.25"/>
    <x v="92"/>
    <d v="2019-11-12T00:00:00"/>
    <d v="2018-11-14T00:00:00"/>
  </r>
  <r>
    <s v="VZ-2018-000731"/>
    <s v="ENERG"/>
    <s v="Eyer"/>
    <x v="434"/>
    <s v="45262340-6"/>
    <s v="4.2.65."/>
    <n v="320000"/>
    <x v="0"/>
    <d v="2018-10-15T00:00:00"/>
    <d v="2018-10-24T00:00:00"/>
    <s v="DEV COMPANY, spol. s r.o."/>
    <n v="305375"/>
    <n v="369503.75"/>
    <x v="113"/>
    <m/>
    <d v="2018-12-13T00:00:00"/>
  </r>
  <r>
    <s v="VZ-2018-000744"/>
    <s v="OSB "/>
    <s v="Vaida"/>
    <x v="435"/>
    <s v="45421100-5"/>
    <m/>
    <n v="500000"/>
    <x v="0"/>
    <d v="2018-10-15T00:00:00"/>
    <d v="2018-10-24T00:00:00"/>
    <s v="zrušeno bez nabídky"/>
    <m/>
    <m/>
    <x v="18"/>
    <m/>
    <d v="2018-10-26T00:00:00"/>
  </r>
  <r>
    <s v="VZ-2018-000745"/>
    <s v="OSB "/>
    <s v="Vaida"/>
    <x v="436"/>
    <s v="45453000-7"/>
    <m/>
    <n v="2800000"/>
    <x v="0"/>
    <d v="2018-10-15T00:00:00"/>
    <d v="2018-10-26T00:00:00"/>
    <s v="Pozemstav Prostějov a.s."/>
    <n v="2749217"/>
    <n v="3326552.57"/>
    <x v="114"/>
    <m/>
    <d v="2018-12-04T00:00:00"/>
  </r>
  <r>
    <s v="VZ-2018-000753"/>
    <s v="VŠEOB"/>
    <s v="Nerudová"/>
    <x v="437"/>
    <s v="98310000-9"/>
    <m/>
    <n v="120000000"/>
    <x v="1"/>
    <d v="2018-10-19T00:00:00"/>
    <d v="2018-12-18T00:00:00"/>
    <s v="RENATEX CZ a.s."/>
    <n v="114751628.15000001"/>
    <n v="138849470.06150001"/>
    <x v="18"/>
    <m/>
    <m/>
  </r>
  <r>
    <s v="VZ-2018-000771"/>
    <s v="ZT"/>
    <s v="Novák"/>
    <x v="438"/>
    <s v="34911100-7"/>
    <m/>
    <n v="335000"/>
    <x v="0"/>
    <d v="2018-10-26T00:00:00"/>
    <d v="2018-11-06T00:00:00"/>
    <s v="Ortoservis s.r.o."/>
    <n v="313942"/>
    <n v="361439.68"/>
    <x v="115"/>
    <m/>
    <d v="2018-12-19T00:00:00"/>
  </r>
  <r>
    <s v="VZ-2018-000772"/>
    <s v="INF"/>
    <s v="Miklík"/>
    <x v="439"/>
    <s v="48821000-9"/>
    <s v="3.2.30."/>
    <n v="1405000"/>
    <x v="0"/>
    <d v="2018-10-23T00:00:00"/>
    <d v="2018-11-01T00:00:00"/>
    <s v="AutoCont a.s."/>
    <n v="1362080"/>
    <n v="1648116.8"/>
    <x v="116"/>
    <m/>
    <d v="2018-12-20T00:00:00"/>
  </r>
  <r>
    <s v="VZ-2018-000775"/>
    <s v="PERS"/>
    <s v="Odehnalová"/>
    <x v="440"/>
    <s v="55110000-4"/>
    <m/>
    <n v="450000"/>
    <x v="0"/>
    <d v="2018-10-19T00:00:00"/>
    <d v="2018-10-26T00:00:00"/>
    <s v="zrušeno"/>
    <m/>
    <m/>
    <x v="18"/>
    <m/>
    <s v="xxx"/>
  </r>
  <r>
    <s v="VZ-2018-000783"/>
    <s v="PROVOZ"/>
    <s v="Benešová"/>
    <x v="441"/>
    <s v="39832000-3"/>
    <m/>
    <n v="1600000"/>
    <x v="0"/>
    <d v="2018-10-25T00:00:00"/>
    <d v="2018-11-05T00:00:00"/>
    <s v="Christeyns s.r.o."/>
    <n v="1081060"/>
    <n v="1308082.5999999999"/>
    <x v="18"/>
    <m/>
    <m/>
  </r>
  <r>
    <s v="VZ-2018-000818"/>
    <s v="PERS"/>
    <s v="Odehnalová"/>
    <x v="440"/>
    <s v="55110000-4"/>
    <m/>
    <n v="495000"/>
    <x v="0"/>
    <d v="2018-10-29T00:00:00"/>
    <d v="2018-11-02T00:00:00"/>
    <s v="Marie Hrochová"/>
    <n v="491735.53719008266"/>
    <n v="595000"/>
    <x v="101"/>
    <m/>
    <s v="xxx"/>
  </r>
  <r>
    <s v="VZ-2018-000821"/>
    <s v="ENERG"/>
    <s v="Srovnal"/>
    <x v="442"/>
    <s v="35120000-1"/>
    <s v="4.2.68., 4.2.69."/>
    <n v="420000"/>
    <x v="0"/>
    <d v="2018-11-02T00:00:00"/>
    <d v="2018-11-12T00:00:00"/>
    <s v="Merit Group, a.s."/>
    <n v="310243.3"/>
    <n v="375394.39299999998"/>
    <x v="18"/>
    <m/>
    <m/>
  </r>
  <r>
    <s v="VZ-2018-000830"/>
    <s v="ZM"/>
    <s v="Dočkalová"/>
    <x v="443"/>
    <s v="33140000-3"/>
    <m/>
    <n v="946000"/>
    <x v="0"/>
    <d v="2018-11-21T00:00:00"/>
    <d v="2018-11-30T00:00:00"/>
    <s v="zrušeno bez nabídky"/>
    <m/>
    <m/>
    <x v="18"/>
    <m/>
    <d v="2018-11-30T00:00:00"/>
  </r>
  <r>
    <s v="VZ-2018-000831"/>
    <s v="ZM"/>
    <s v="Dočkalová"/>
    <x v="444"/>
    <s v="33140000-3"/>
    <m/>
    <n v="437800"/>
    <x v="0"/>
    <d v="2018-11-20T00:00:00"/>
    <d v="2018-11-30T00:00:00"/>
    <s v="Medtronic Czechia s.r.o."/>
    <n v="437800"/>
    <n v="529738"/>
    <x v="18"/>
    <m/>
    <m/>
  </r>
  <r>
    <s v="VZ-2018-000831"/>
    <s v="ZM"/>
    <s v="Dočkalová"/>
    <x v="445"/>
    <s v="33140000-3"/>
    <m/>
    <n v="542640"/>
    <x v="0"/>
    <d v="2018-11-20T00:00:00"/>
    <d v="2018-11-30T00:00:00"/>
    <s v="Biomedica ČS s.r.o."/>
    <n v="542640"/>
    <n v="656594.4"/>
    <x v="18"/>
    <m/>
    <m/>
  </r>
  <r>
    <s v="VZ-2018-000832"/>
    <s v="ZM"/>
    <s v="Dočkalová"/>
    <x v="446"/>
    <s v="33162200-5"/>
    <m/>
    <n v="881000"/>
    <x v="0"/>
    <d v="2018-11-13T00:00:00"/>
    <d v="2018-11-21T00:00:00"/>
    <s v="zrušeno bez nabídky"/>
    <m/>
    <m/>
    <x v="18"/>
    <m/>
    <d v="2018-11-22T00:00:00"/>
  </r>
  <r>
    <s v="VZ-2018-000847"/>
    <s v="ZT"/>
    <s v="Rosulek"/>
    <x v="447"/>
    <s v="33124100-6"/>
    <s v="2.2.141."/>
    <n v="4600000"/>
    <x v="1"/>
    <d v="2018-11-09T00:00:00"/>
    <d v="2018-12-17T00:00:00"/>
    <s v="MEDATA spol. s r.o."/>
    <n v="2797000"/>
    <n v="3384370"/>
    <x v="18"/>
    <m/>
    <m/>
  </r>
  <r>
    <s v="VZ-2018-000849"/>
    <s v="ZT"/>
    <s v="Rosulek"/>
    <x v="448"/>
    <s v="33124120-2"/>
    <s v="2.2.69."/>
    <n v="4530000"/>
    <x v="1"/>
    <d v="2018-11-09T00:00:00"/>
    <d v="2018-12-14T00:00:00"/>
    <s v="Exact Imabing BVBA"/>
    <n v="6553201.2300000004"/>
    <n v="7929373.4699999997"/>
    <x v="18"/>
    <m/>
    <m/>
  </r>
  <r>
    <s v="VZ-2018-000862"/>
    <s v="ZM"/>
    <s v="Dočkalová"/>
    <x v="449"/>
    <s v="33181200-4"/>
    <m/>
    <n v="988520"/>
    <x v="2"/>
    <d v="2018-11-29T00:00:00"/>
    <d v="2018-12-19T00:00:00"/>
    <s v="Baxter Czech spol. s r.o. "/>
    <n v="814400"/>
    <n v="985424"/>
    <x v="18"/>
    <m/>
    <m/>
  </r>
  <r>
    <s v="VZ-2018-000862"/>
    <s v="ZM"/>
    <s v="Dočkalová"/>
    <x v="450"/>
    <s v="33181200-4"/>
    <m/>
    <n v="1036080"/>
    <x v="2"/>
    <d v="2018-11-29T00:00:00"/>
    <d v="2018-12-19T00:00:00"/>
    <s v="Fresenius Medical Care – ČR, s.r.o. "/>
    <n v="900828"/>
    <n v="1090001.8799999999"/>
    <x v="18"/>
    <m/>
    <m/>
  </r>
  <r>
    <s v="VZ-2018-000866"/>
    <s v="METR"/>
    <s v="Filip"/>
    <x v="451"/>
    <s v="50411000-9"/>
    <m/>
    <n v="2100000"/>
    <x v="2"/>
    <d v="2018-12-13T00:00:00"/>
    <d v="2019-01-10T00:00:00"/>
    <m/>
    <m/>
    <m/>
    <x v="18"/>
    <m/>
    <m/>
  </r>
  <r>
    <s v="VZ-2018-000866"/>
    <s v="METR"/>
    <s v="Filip"/>
    <x v="452"/>
    <s v="50411000-9"/>
    <m/>
    <n v="900000"/>
    <x v="2"/>
    <d v="2018-12-13T00:00:00"/>
    <d v="2019-01-10T00:00:00"/>
    <m/>
    <m/>
    <m/>
    <x v="18"/>
    <m/>
    <m/>
  </r>
  <r>
    <s v="VZ-2018-000872"/>
    <s v="ENERG"/>
    <s v="Srovnal"/>
    <x v="453"/>
    <s v="45333000-0"/>
    <s v="4.2.67."/>
    <n v="1300000"/>
    <x v="0"/>
    <d v="2018-12-07T00:00:00"/>
    <d v="2018-12-17T00:00:00"/>
    <s v="Dräger Medical s.r.o."/>
    <n v="1108850"/>
    <n v="1341708.5"/>
    <x v="18"/>
    <m/>
    <m/>
  </r>
  <r>
    <s v="VZ-2018-000873"/>
    <s v="ZT"/>
    <s v="Rosulek"/>
    <x v="454"/>
    <s v="33162100-4"/>
    <s v="2.2.132."/>
    <n v="2727000"/>
    <x v="2"/>
    <d v="2018-11-29T00:00:00"/>
    <d v="2019-01-09T00:00:00"/>
    <m/>
    <m/>
    <m/>
    <x v="18"/>
    <m/>
    <m/>
  </r>
  <r>
    <s v="VZ-2018-000883"/>
    <s v="LÉK"/>
    <s v="Ondráčková"/>
    <x v="455"/>
    <s v="09343000-5"/>
    <m/>
    <n v="33976800"/>
    <x v="1"/>
    <d v="2018-12-07T00:00:00"/>
    <d v="2019-01-18T00:00:00"/>
    <m/>
    <m/>
    <m/>
    <x v="18"/>
    <m/>
    <m/>
  </r>
  <r>
    <s v="VZ-2018-000887"/>
    <s v="ZM"/>
    <s v="Dočkalová"/>
    <x v="456"/>
    <s v="33731110-7"/>
    <m/>
    <n v="2898000"/>
    <x v="1"/>
    <d v="2018-11-29T00:00:00"/>
    <d v="2019-01-08T00:00:00"/>
    <m/>
    <m/>
    <m/>
    <x v="18"/>
    <m/>
    <m/>
  </r>
  <r>
    <s v="VZ-2018-000890"/>
    <s v="ZT"/>
    <s v="Rosulek"/>
    <x v="457"/>
    <s v="42996110-8"/>
    <s v="2.2.178."/>
    <n v="958909"/>
    <x v="0"/>
    <d v="2018-11-23T00:00:00"/>
    <d v="2018-11-30T00:00:00"/>
    <s v="S.A.B. Impex  s.r.o."/>
    <n v="847790"/>
    <n v="1025828"/>
    <x v="18"/>
    <m/>
    <m/>
  </r>
  <r>
    <s v="VZ-2018-000892"/>
    <s v="ZT"/>
    <s v="Rosulek"/>
    <x v="458"/>
    <s v="33168100-6"/>
    <s v="2.3.358.,2.3.359."/>
    <n v="438017"/>
    <x v="0"/>
    <d v="2018-11-23T00:00:00"/>
    <d v="2018-11-30T00:00:00"/>
    <s v="zrušeno - překročení ceny"/>
    <m/>
    <m/>
    <x v="18"/>
    <m/>
    <s v="xxx"/>
  </r>
  <r>
    <s v="VZ-2018-000904"/>
    <s v="ZM"/>
    <s v="Dočkalová"/>
    <x v="459"/>
    <s v="33140000-3"/>
    <m/>
    <n v="2360000"/>
    <x v="2"/>
    <d v="2018-12-04T00:00:00"/>
    <d v="2018-12-20T00:00:00"/>
    <s v="zrušeno - špatné zadání"/>
    <m/>
    <m/>
    <x v="18"/>
    <m/>
    <d v="2018-12-14T00:00:00"/>
  </r>
  <r>
    <s v="VZ-2018-000906"/>
    <s v="LÉK"/>
    <s v="Ondráčková"/>
    <x v="460"/>
    <s v="33621000-9"/>
    <m/>
    <n v="544671"/>
    <x v="1"/>
    <d v="2018-12-17T00:00:00"/>
    <d v="2019-01-18T00:00:00"/>
    <m/>
    <m/>
    <m/>
    <x v="18"/>
    <m/>
    <m/>
  </r>
  <r>
    <s v="VZ-2018-000906"/>
    <s v="LÉK"/>
    <s v="Ondráčková"/>
    <x v="461"/>
    <s v="33621000-9"/>
    <m/>
    <n v="7039638"/>
    <x v="1"/>
    <d v="2018-12-17T00:00:00"/>
    <d v="2019-01-18T00:00:00"/>
    <m/>
    <m/>
    <m/>
    <x v="18"/>
    <m/>
    <m/>
  </r>
  <r>
    <s v="VZ-2018-000906"/>
    <s v="LÉK"/>
    <s v="Ondráčková"/>
    <x v="462"/>
    <s v="33621000-9"/>
    <m/>
    <n v="149888.88"/>
    <x v="1"/>
    <d v="2018-12-17T00:00:00"/>
    <d v="2019-01-18T00:00:00"/>
    <m/>
    <m/>
    <m/>
    <x v="18"/>
    <m/>
    <m/>
  </r>
  <r>
    <s v="VZ-2018-000906"/>
    <s v="LÉK"/>
    <s v="Ondráčková"/>
    <x v="463"/>
    <s v="33621000-9"/>
    <m/>
    <n v="3489447.06"/>
    <x v="1"/>
    <d v="2018-12-17T00:00:00"/>
    <d v="2019-01-18T00:00:00"/>
    <m/>
    <m/>
    <m/>
    <x v="18"/>
    <m/>
    <m/>
  </r>
  <r>
    <s v="VZ-2018-000906"/>
    <s v="LÉK"/>
    <s v="Ondráčková"/>
    <x v="464"/>
    <s v="33621000-9"/>
    <m/>
    <n v="58090.2"/>
    <x v="1"/>
    <d v="2018-12-17T00:00:00"/>
    <d v="2019-01-18T00:00:00"/>
    <m/>
    <m/>
    <m/>
    <x v="18"/>
    <m/>
    <m/>
  </r>
  <r>
    <s v="VZ-2018-000906"/>
    <s v="LÉK"/>
    <s v="Ondráčková"/>
    <x v="465"/>
    <s v="33621000-9"/>
    <m/>
    <n v="2148542.5499999998"/>
    <x v="1"/>
    <d v="2018-12-17T00:00:00"/>
    <d v="2019-01-18T00:00:00"/>
    <m/>
    <m/>
    <m/>
    <x v="18"/>
    <m/>
    <m/>
  </r>
  <r>
    <s v="VZ-2018-000906"/>
    <s v="LÉK"/>
    <s v="Ondráčková"/>
    <x v="466"/>
    <s v="33621000-9"/>
    <m/>
    <n v="1998601.62"/>
    <x v="1"/>
    <d v="2018-12-17T00:00:00"/>
    <d v="2019-01-18T00:00:00"/>
    <m/>
    <m/>
    <m/>
    <x v="18"/>
    <m/>
    <m/>
  </r>
  <r>
    <s v="VZ-2018-000915"/>
    <s v="ZT"/>
    <s v="Rosulek"/>
    <x v="467"/>
    <s v="33166000-1"/>
    <s v="2.3.361."/>
    <n v="1024794"/>
    <x v="0"/>
    <d v="2018-12-04T00:00:00"/>
    <d v="2018-12-12T00:00:00"/>
    <s v="MediCom, a.s."/>
    <n v="1025350"/>
    <n v="1240673.5"/>
    <x v="18"/>
    <m/>
    <m/>
  </r>
  <r>
    <s v="VZ-2018-000919"/>
    <s v="ZT"/>
    <s v="Rosulek"/>
    <x v="468"/>
    <s v="39711100-0"/>
    <s v="2.2.131.,2.2.186.,2.2.189."/>
    <n v="180000"/>
    <x v="0"/>
    <d v="2018-12-07T00:00:00"/>
    <d v="2018-12-21T00:00:00"/>
    <s v="zrušeno - bez nabídky"/>
    <m/>
    <m/>
    <x v="18"/>
    <m/>
    <d v="2019-01-10T00:00:00"/>
  </r>
  <r>
    <s v="VZ-2018-000919"/>
    <s v="ZT "/>
    <s v="Rosulek"/>
    <x v="469"/>
    <s v="39711100-0"/>
    <s v="2.2.131.,2.2.186.,2.2.189."/>
    <n v="769000"/>
    <x v="0"/>
    <d v="2018-12-07T00:00:00"/>
    <d v="2018-12-21T00:00:00"/>
    <s v="Schoeller Instruments s.r.o."/>
    <n v="577000"/>
    <n v="698170"/>
    <x v="18"/>
    <m/>
    <m/>
  </r>
  <r>
    <s v="VZ-2018-000920"/>
    <s v="LÉK"/>
    <s v="Ondráčková"/>
    <x v="470"/>
    <s v="33621100-0"/>
    <m/>
    <n v="7413897"/>
    <x v="1"/>
    <d v="2018-12-05T00:00:00"/>
    <d v="2019-01-08T00:00:00"/>
    <m/>
    <m/>
    <m/>
    <x v="18"/>
    <m/>
    <m/>
  </r>
  <r>
    <s v="VZ-2018-000920"/>
    <s v="LÉK"/>
    <s v="Ondráčková"/>
    <x v="471"/>
    <s v="33642000-2"/>
    <m/>
    <n v="2433774"/>
    <x v="1"/>
    <d v="2018-12-05T00:00:00"/>
    <d v="2019-01-08T00:00:00"/>
    <m/>
    <m/>
    <m/>
    <x v="18"/>
    <m/>
    <m/>
  </r>
  <r>
    <s v="VZ-2018-000920"/>
    <s v="LÉK"/>
    <s v="Ondráčková"/>
    <x v="472"/>
    <s v="33642000-2"/>
    <m/>
    <n v="28298912"/>
    <x v="1"/>
    <d v="2018-12-05T00:00:00"/>
    <d v="2019-01-08T00:00:00"/>
    <m/>
    <m/>
    <m/>
    <x v="18"/>
    <m/>
    <m/>
  </r>
  <r>
    <s v="VZ-2018-000920"/>
    <s v="LÉK"/>
    <s v="Ondráčková"/>
    <x v="473"/>
    <s v="33632000-9"/>
    <m/>
    <n v="3364809"/>
    <x v="1"/>
    <d v="2018-12-05T00:00:00"/>
    <d v="2019-01-08T00:00:00"/>
    <m/>
    <m/>
    <m/>
    <x v="18"/>
    <m/>
    <m/>
  </r>
  <r>
    <s v="VZ-2018-000920"/>
    <s v="LÉK"/>
    <s v="Ondráčková"/>
    <x v="474"/>
    <s v="33632000-9"/>
    <m/>
    <n v="8895944"/>
    <x v="1"/>
    <d v="2018-12-05T00:00:00"/>
    <d v="2019-01-08T00:00:00"/>
    <m/>
    <m/>
    <m/>
    <x v="18"/>
    <m/>
    <m/>
  </r>
  <r>
    <s v="VZ-2018-000920"/>
    <s v="LÉK"/>
    <s v="Ondráčková"/>
    <x v="475"/>
    <s v="33670000-7"/>
    <m/>
    <n v="9364240"/>
    <x v="1"/>
    <d v="2018-12-05T00:00:00"/>
    <d v="2019-01-08T00:00:00"/>
    <m/>
    <m/>
    <m/>
    <x v="18"/>
    <m/>
    <m/>
  </r>
  <r>
    <s v="VZ-2018-000925"/>
    <s v="INV"/>
    <s v="Spáčil"/>
    <x v="476"/>
    <s v="45215100-8"/>
    <s v="1.2.52."/>
    <n v="9500000"/>
    <x v="2"/>
    <d v="2018-12-06T00:00:00"/>
    <d v="2018-12-27T00:00:00"/>
    <s v="EP Rožnov, a.s."/>
    <n v="8266536"/>
    <n v="10002508"/>
    <x v="18"/>
    <m/>
    <m/>
  </r>
  <r>
    <s v="VZ-2018-000928"/>
    <s v="VŠEOB"/>
    <s v="Nerudová"/>
    <x v="477"/>
    <s v="33772000-2"/>
    <m/>
    <n v="1900000"/>
    <x v="0"/>
    <d v="2018-12-20T00:00:00"/>
    <d v="2019-01-11T00:00:00"/>
    <m/>
    <m/>
    <m/>
    <x v="18"/>
    <m/>
    <m/>
  </r>
  <r>
    <s v="VZ-2018-000932"/>
    <s v="LÉK"/>
    <s v="Ondráčková"/>
    <x v="478"/>
    <s v="33621200-1"/>
    <m/>
    <n v="1360716"/>
    <x v="1"/>
    <d v="2018-12-05T00:00:00"/>
    <d v="2019-01-09T00:00:00"/>
    <m/>
    <m/>
    <m/>
    <x v="18"/>
    <m/>
    <m/>
  </r>
  <r>
    <s v="VZ-2018-000932"/>
    <s v="LÉK"/>
    <s v="Ondráčková"/>
    <x v="479"/>
    <s v="33621200-1"/>
    <m/>
    <n v="4808719"/>
    <x v="1"/>
    <d v="2018-12-05T00:00:00"/>
    <d v="2019-01-09T00:00:00"/>
    <m/>
    <m/>
    <m/>
    <x v="18"/>
    <m/>
    <m/>
  </r>
  <r>
    <s v="VZ-2018-000932"/>
    <s v="LÉK"/>
    <s v="Ondráčková"/>
    <x v="480"/>
    <s v="33621200-1"/>
    <m/>
    <n v="1434358"/>
    <x v="1"/>
    <d v="2018-12-05T00:00:00"/>
    <d v="2019-01-09T00:00:00"/>
    <m/>
    <m/>
    <m/>
    <x v="18"/>
    <m/>
    <m/>
  </r>
  <r>
    <s v="VZ-2018-000932"/>
    <s v="LÉK"/>
    <s v="Ondráčková"/>
    <x v="481"/>
    <s v="33693000-4"/>
    <m/>
    <n v="140033"/>
    <x v="1"/>
    <d v="2018-12-05T00:00:00"/>
    <d v="2019-01-09T00:00:00"/>
    <m/>
    <m/>
    <m/>
    <x v="18"/>
    <m/>
    <m/>
  </r>
  <r>
    <s v="VZ-2018-000932"/>
    <s v="LÉK"/>
    <s v="Ondráčková"/>
    <x v="482"/>
    <s v="33693000-4"/>
    <m/>
    <n v="472992"/>
    <x v="1"/>
    <d v="2018-12-05T00:00:00"/>
    <d v="2019-01-09T00:00:00"/>
    <m/>
    <m/>
    <m/>
    <x v="18"/>
    <m/>
    <m/>
  </r>
  <r>
    <s v="VZ-2018-000932"/>
    <s v="LÉK"/>
    <s v="Ondráčková"/>
    <x v="483"/>
    <s v="33693000-4"/>
    <m/>
    <n v="7845389"/>
    <x v="1"/>
    <d v="2018-12-05T00:00:00"/>
    <d v="2019-01-09T00:00:00"/>
    <m/>
    <m/>
    <m/>
    <x v="18"/>
    <m/>
    <m/>
  </r>
  <r>
    <s v="VZ-2018-000944"/>
    <s v="OSB "/>
    <s v="Vaida"/>
    <x v="484"/>
    <s v="45421100-5"/>
    <m/>
    <n v="500000"/>
    <x v="0"/>
    <d v="2018-12-13T00:00:00"/>
    <d v="2019-01-04T00:00:00"/>
    <m/>
    <m/>
    <m/>
    <x v="18"/>
    <m/>
    <m/>
  </r>
  <r>
    <s v="VZ-2018-000945"/>
    <s v="LÉK"/>
    <s v="Ondráčková"/>
    <x v="485"/>
    <s v="33652100-6"/>
    <m/>
    <n v="12688472"/>
    <x v="1"/>
    <d v="2018-12-13T00:00:00"/>
    <d v="2019-01-17T00:00:00"/>
    <m/>
    <m/>
    <m/>
    <x v="18"/>
    <m/>
    <m/>
  </r>
  <r>
    <s v="VZ-2018-000945"/>
    <s v="LÉK"/>
    <s v="Ondráčková"/>
    <x v="486"/>
    <s v="33652100-6"/>
    <m/>
    <n v="2543217"/>
    <x v="1"/>
    <d v="2018-12-13T00:00:00"/>
    <d v="2019-01-17T00:00:00"/>
    <m/>
    <m/>
    <m/>
    <x v="18"/>
    <m/>
    <m/>
  </r>
  <r>
    <s v="VZ-2018-000946"/>
    <s v="ZM"/>
    <s v="Dočkalová"/>
    <x v="487"/>
    <s v="33140000-3"/>
    <m/>
    <n v="946000"/>
    <x v="0"/>
    <d v="2018-12-11T00:00:00"/>
    <d v="2018-12-20T00:00:00"/>
    <m/>
    <m/>
    <m/>
    <x v="18"/>
    <m/>
    <m/>
  </r>
  <r>
    <s v="VZ-2018-000949"/>
    <s v="IROP"/>
    <s v="Neudorflörová"/>
    <x v="488"/>
    <s v="33195100-4"/>
    <s v="2.3.332."/>
    <n v="435534.46"/>
    <x v="1"/>
    <m/>
    <m/>
    <m/>
    <m/>
    <m/>
    <x v="18"/>
    <m/>
    <m/>
  </r>
  <r>
    <s v="VZ-2018-000952"/>
    <s v="ENERG"/>
    <s v="Srovnal"/>
    <x v="489"/>
    <s v="42500000-1"/>
    <s v="4.2.106."/>
    <n v="330000"/>
    <x v="0"/>
    <d v="2018-12-17T00:00:00"/>
    <d v="2019-01-04T00:00:00"/>
    <m/>
    <m/>
    <m/>
    <x v="18"/>
    <m/>
    <m/>
  </r>
  <r>
    <s v="VZ-2018-000953"/>
    <s v="INV"/>
    <s v="Valíček"/>
    <x v="490"/>
    <s v="71200000-0"/>
    <s v="1.3.1."/>
    <n v="1950000"/>
    <x v="0"/>
    <d v="2018-12-14T00:00:00"/>
    <d v="2018-12-28T00:00:00"/>
    <s v="LT PROJEKT a.s."/>
    <n v="1700000"/>
    <n v="2057000"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  <r>
    <m/>
    <m/>
    <m/>
    <x v="491"/>
    <m/>
    <m/>
    <m/>
    <x v="3"/>
    <m/>
    <m/>
    <m/>
    <m/>
    <m/>
    <x v="18"/>
    <m/>
    <m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4">
  <r>
    <s v="VZ-2016-000111"/>
    <x v="0"/>
    <s v="Čech"/>
    <x v="0"/>
    <s v="33157400-9"/>
    <s v="2.3.119."/>
    <n v="825000"/>
    <x v="0"/>
    <d v="2016-03-31T00:00:00"/>
    <d v="2016-04-14T00:00:00"/>
    <s v="zrušeno"/>
    <m/>
    <m/>
    <x v="0"/>
    <m/>
    <s v="xxx"/>
  </r>
  <r>
    <s v="VZ-2016-000175"/>
    <x v="1"/>
    <s v="Marek"/>
    <x v="1"/>
    <s v="48329000-0"/>
    <m/>
    <n v="7000000"/>
    <x v="1"/>
    <d v="2016-04-11T00:00:00"/>
    <d v="2016-11-02T00:00:00"/>
    <s v="TECHNISERV IT spol. s r.o."/>
    <n v="6997777"/>
    <n v="8467310.1699999999"/>
    <x v="1"/>
    <m/>
    <d v="2017-04-11T00:00:00"/>
  </r>
  <r>
    <s v="VZ-2016-000213"/>
    <x v="0"/>
    <s v="Čech"/>
    <x v="2"/>
    <s v="33195100-4"/>
    <s v="2.3.136"/>
    <n v="3950000"/>
    <x v="1"/>
    <d v="2016-04-25T00:00:00"/>
    <d v="2016-10-26T00:00:00"/>
    <s v="S + T Plus s.r.o."/>
    <n v="3305000"/>
    <n v="3999050"/>
    <x v="2"/>
    <m/>
    <d v="2017-01-03T00:00:00"/>
  </r>
  <r>
    <s v="VZ-2016-000282"/>
    <x v="2"/>
    <s v="Dočkalová"/>
    <x v="3"/>
    <s v="33141000-0 "/>
    <m/>
    <n v="890000"/>
    <x v="0"/>
    <d v="2016-05-25T00:00:00"/>
    <d v="2016-06-07T00:00:00"/>
    <s v="Gatebo s.r.o."/>
    <n v="901919.4"/>
    <n v="1091322.4739999999"/>
    <x v="3"/>
    <m/>
    <d v="2017-02-14T00:00:00"/>
  </r>
  <r>
    <s v="VZ-2016-000321"/>
    <x v="3"/>
    <s v="Junek"/>
    <x v="4"/>
    <s v="45215120-4"/>
    <s v="1.3.2."/>
    <n v="298000000"/>
    <x v="1"/>
    <d v="2016-06-07T00:00:00"/>
    <d v="2016-12-06T00:00:00"/>
    <s v="OHL ŽS a.s."/>
    <n v="276902126"/>
    <n v="335051572"/>
    <x v="4"/>
    <m/>
    <d v="2017-02-22T00:00:00"/>
  </r>
  <r>
    <s v="VZ-2016-000384"/>
    <x v="0"/>
    <s v="Čech"/>
    <x v="5"/>
    <s v="33150000-6"/>
    <s v="2.3.162"/>
    <n v="12396500"/>
    <x v="1"/>
    <d v="2016-11-15T00:00:00"/>
    <d v="2016-12-06T00:00:00"/>
    <s v="LaparoTech Instruments s.r.o."/>
    <n v="18156196"/>
    <n v="21968997.16"/>
    <x v="5"/>
    <m/>
    <d v="2017-02-02T00:00:00"/>
  </r>
  <r>
    <s v="VZ-2016-000421"/>
    <x v="4"/>
    <s v="Ondráčková"/>
    <x v="6"/>
    <s v="33651100-9"/>
    <m/>
    <n v="94548.27"/>
    <x v="1"/>
    <d v="2016-09-15T00:00:00"/>
    <d v="2016-12-20T00:00:00"/>
    <s v="zrušeno - bez hodnocené nabídky"/>
    <m/>
    <m/>
    <x v="0"/>
    <m/>
    <d v="2017-01-30T00:00:00"/>
  </r>
  <r>
    <s v="VZ-2016-000421"/>
    <x v="4"/>
    <s v="Ondráčková"/>
    <x v="7"/>
    <s v="33651100-9"/>
    <m/>
    <n v="469811"/>
    <x v="1"/>
    <d v="2016-09-15T00:00:00"/>
    <d v="2016-12-20T00:00:00"/>
    <s v="zrušeno - bez nabídky"/>
    <m/>
    <m/>
    <x v="0"/>
    <m/>
    <d v="2017-12-23T00:00:00"/>
  </r>
  <r>
    <s v="VZ-2016-000421"/>
    <x v="4"/>
    <s v="Ondráčková"/>
    <x v="8"/>
    <s v="33651100-9"/>
    <m/>
    <n v="10106.16"/>
    <x v="1"/>
    <d v="2016-09-15T00:00:00"/>
    <d v="2016-12-20T00:00:00"/>
    <s v="Pharmos, a.s."/>
    <n v="9900.7999999999993"/>
    <n v="10890.88"/>
    <x v="6"/>
    <m/>
    <d v="2017-03-28T00:00:00"/>
  </r>
  <r>
    <s v="VZ-2016-000421"/>
    <x v="4"/>
    <s v="Ondráčková"/>
    <x v="9"/>
    <s v="33651100-9"/>
    <m/>
    <n v="10209.6"/>
    <x v="1"/>
    <d v="2016-09-15T00:00:00"/>
    <d v="2016-12-20T00:00:00"/>
    <s v="zrušeno"/>
    <m/>
    <m/>
    <x v="0"/>
    <m/>
    <d v="2017-03-07T00:00:00"/>
  </r>
  <r>
    <s v="VZ-2016-000421"/>
    <x v="4"/>
    <s v="Ondráčková"/>
    <x v="10"/>
    <s v="33651100-9"/>
    <m/>
    <n v="424787"/>
    <x v="1"/>
    <d v="2016-09-15T00:00:00"/>
    <d v="2016-12-20T00:00:00"/>
    <s v="Fresenius Kabi s.r.o."/>
    <n v="343100"/>
    <n v="377410.00000000006"/>
    <x v="6"/>
    <m/>
    <d v="2017-03-28T00:00:00"/>
  </r>
  <r>
    <s v="VZ-2016-000421"/>
    <x v="4"/>
    <s v="Ondráčková"/>
    <x v="11"/>
    <s v="33651100-9"/>
    <m/>
    <n v="578389.66"/>
    <x v="1"/>
    <d v="2016-09-15T00:00:00"/>
    <d v="2016-12-20T00:00:00"/>
    <s v="PHOENIX lék. Velkoobchod"/>
    <n v="554307.64"/>
    <n v="609738.4040000001"/>
    <x v="7"/>
    <m/>
    <d v="2017-03-28T00:00:00"/>
  </r>
  <r>
    <s v="VZ-2016-000421"/>
    <x v="4"/>
    <s v="Ondráčková"/>
    <x v="12"/>
    <s v="33651100-9"/>
    <m/>
    <n v="309207.7"/>
    <x v="1"/>
    <d v="2016-09-15T00:00:00"/>
    <d v="2016-12-20T00:00:00"/>
    <s v="zrušeno - bez hodnocené nabídky"/>
    <m/>
    <m/>
    <x v="0"/>
    <m/>
    <d v="2017-01-30T00:00:00"/>
  </r>
  <r>
    <s v="VZ-2016-000421"/>
    <x v="4"/>
    <s v="Ondráčková"/>
    <x v="13"/>
    <s v="33651100-9"/>
    <m/>
    <n v="881921.09"/>
    <x v="1"/>
    <d v="2016-09-15T00:00:00"/>
    <d v="2016-12-20T00:00:00"/>
    <s v="PHOENIX lék. Velkoobchod"/>
    <n v="880308"/>
    <n v="968338.8"/>
    <x v="7"/>
    <m/>
    <d v="2017-03-28T00:00:00"/>
  </r>
  <r>
    <s v="VZ-2016-000421"/>
    <x v="4"/>
    <s v="Ondráčková"/>
    <x v="14"/>
    <s v="33651100-9"/>
    <m/>
    <n v="444496"/>
    <x v="1"/>
    <d v="2016-09-15T00:00:00"/>
    <d v="2016-12-20T00:00:00"/>
    <s v="PHOENIX lék. Velkoobchod"/>
    <n v="337816.96"/>
    <n v="371598.65600000008"/>
    <x v="7"/>
    <m/>
    <d v="2017-03-28T00:00:00"/>
  </r>
  <r>
    <s v="VZ-2016-000421"/>
    <x v="4"/>
    <s v="Ondráčková"/>
    <x v="15"/>
    <s v="33651100-9"/>
    <m/>
    <n v="377200"/>
    <x v="1"/>
    <d v="2016-09-15T00:00:00"/>
    <d v="2016-12-20T00:00:00"/>
    <s v="Pharmos, a.s."/>
    <n v="168296.8"/>
    <n v="185126.48"/>
    <x v="6"/>
    <m/>
    <d v="2017-03-28T00:00:00"/>
  </r>
  <r>
    <s v="VZ-2016-000422"/>
    <x v="4"/>
    <s v="Ondráčková"/>
    <x v="16"/>
    <s v="33651100-9"/>
    <m/>
    <n v="424760"/>
    <x v="1"/>
    <d v="2016-09-15T00:00:00"/>
    <d v="2016-12-21T00:00:00"/>
    <s v="PHOENIX lék. Velkoobchod"/>
    <n v="365900.4"/>
    <n v="402490.44000000006"/>
    <x v="7"/>
    <m/>
    <d v="2017-03-31T00:00:00"/>
  </r>
  <r>
    <s v="VZ-2016-000422"/>
    <x v="4"/>
    <s v="Ondráčková"/>
    <x v="17"/>
    <s v="33651100-9"/>
    <m/>
    <n v="377402.6"/>
    <x v="1"/>
    <d v="2016-09-15T00:00:00"/>
    <d v="2016-12-21T00:00:00"/>
    <s v="PHOENIX lék. Velkoobchod"/>
    <n v="348734"/>
    <n v="383607.4"/>
    <x v="7"/>
    <m/>
    <d v="2017-03-31T00:00:00"/>
  </r>
  <r>
    <s v="VZ-2016-000422"/>
    <x v="4"/>
    <s v="Ondráčková"/>
    <x v="18"/>
    <s v="33651100-9"/>
    <m/>
    <n v="189388.16"/>
    <x v="1"/>
    <d v="2016-09-15T00:00:00"/>
    <d v="2016-12-21T00:00:00"/>
    <s v="Pharmos, a.s."/>
    <n v="159460.48000000001"/>
    <n v="175406.52800000002"/>
    <x v="8"/>
    <m/>
    <d v="2017-03-31T00:00:00"/>
  </r>
  <r>
    <s v="VZ-2016-000422"/>
    <x v="4"/>
    <s v="Ondráčková"/>
    <x v="19"/>
    <s v="33651100-9"/>
    <m/>
    <n v="394713.2"/>
    <x v="1"/>
    <d v="2016-09-15T00:00:00"/>
    <d v="2016-12-21T00:00:00"/>
    <s v="zrušeno"/>
    <m/>
    <m/>
    <x v="0"/>
    <m/>
    <d v="2017-02-10T00:00:00"/>
  </r>
  <r>
    <s v="VZ-2016-000422"/>
    <x v="4"/>
    <s v="Ondráčková"/>
    <x v="20"/>
    <s v="33651100-9"/>
    <m/>
    <n v="59064.6"/>
    <x v="1"/>
    <d v="2016-09-15T00:00:00"/>
    <d v="2016-12-21T00:00:00"/>
    <s v="zrušeno"/>
    <m/>
    <m/>
    <x v="0"/>
    <m/>
    <d v="2017-02-10T00:00:00"/>
  </r>
  <r>
    <s v="VZ-2016-000422"/>
    <x v="4"/>
    <s v="Ondráčková"/>
    <x v="21"/>
    <s v="33651100-9"/>
    <m/>
    <n v="74704.75"/>
    <x v="1"/>
    <d v="2016-09-15T00:00:00"/>
    <d v="2016-12-21T00:00:00"/>
    <s v="PHOENIX lék. Velkoobchod"/>
    <n v="43111.199999999997"/>
    <n v="47422.32"/>
    <x v="7"/>
    <m/>
    <d v="2017-03-31T00:00:00"/>
  </r>
  <r>
    <s v="VZ-2016-000422"/>
    <x v="4"/>
    <s v="Ondráčková"/>
    <x v="22"/>
    <s v="33651100-9"/>
    <m/>
    <n v="43588.92"/>
    <x v="1"/>
    <d v="2016-09-15T00:00:00"/>
    <d v="2016-12-21T00:00:00"/>
    <s v="Alliance Healthcare s.r.o."/>
    <n v="40743.74"/>
    <n v="44818.114000000001"/>
    <x v="9"/>
    <m/>
    <d v="2017-03-31T00:00:00"/>
  </r>
  <r>
    <s v="VZ-2016-000422"/>
    <x v="4"/>
    <s v="Ondráčková"/>
    <x v="23"/>
    <s v="33651100-9"/>
    <m/>
    <n v="117510.07"/>
    <x v="1"/>
    <d v="2016-09-15T00:00:00"/>
    <d v="2016-12-21T00:00:00"/>
    <s v="zrušeno"/>
    <m/>
    <m/>
    <x v="0"/>
    <m/>
    <d v="2017-01-23T00:00:00"/>
  </r>
  <r>
    <s v="VZ-2016-000423"/>
    <x v="4"/>
    <s v="Ondráčková"/>
    <x v="24"/>
    <s v="33651100-9"/>
    <m/>
    <n v="7791989.4000000004"/>
    <x v="1"/>
    <s v="15.9 2016"/>
    <d v="2017-01-09T00:00:00"/>
    <s v="Alliance Healthcare s.r.o."/>
    <n v="7771842"/>
    <n v="8549026.2000000011"/>
    <x v="9"/>
    <m/>
    <d v="2017-04-13T00:00:00"/>
  </r>
  <r>
    <s v="VZ-2016-000423"/>
    <x v="4"/>
    <s v="Ondráčková"/>
    <x v="25"/>
    <s v="33651100-9"/>
    <m/>
    <n v="427.86"/>
    <x v="1"/>
    <s v="15.9 2016"/>
    <d v="2017-01-09T00:00:00"/>
    <s v="Pharmos, a.s."/>
    <n v="428.28"/>
    <n v="471.108"/>
    <x v="6"/>
    <m/>
    <d v="2017-04-13T00:00:00"/>
  </r>
  <r>
    <s v="VZ-2016-000423"/>
    <x v="4"/>
    <s v="Ondráčková"/>
    <x v="26"/>
    <s v="33651100-9"/>
    <m/>
    <n v="154680.66"/>
    <x v="1"/>
    <s v="15.9 2016"/>
    <d v="2017-01-09T00:00:00"/>
    <s v="zrušeno"/>
    <m/>
    <m/>
    <x v="0"/>
    <m/>
    <d v="2017-02-10T00:00:00"/>
  </r>
  <r>
    <s v="VZ-2016-000423"/>
    <x v="4"/>
    <s v="Ondráčková"/>
    <x v="27"/>
    <s v="33651100-9"/>
    <m/>
    <n v="125572.64"/>
    <x v="1"/>
    <s v="15.9 2016"/>
    <d v="2017-01-09T00:00:00"/>
    <s v="zrušeno"/>
    <m/>
    <m/>
    <x v="0"/>
    <m/>
    <d v="2017-02-10T00:00:00"/>
  </r>
  <r>
    <s v="VZ-2016-000423"/>
    <x v="4"/>
    <s v="Ondráčková"/>
    <x v="28"/>
    <s v="33651100-9"/>
    <m/>
    <n v="44000"/>
    <x v="1"/>
    <s v="15.9 2016"/>
    <d v="2017-01-09T00:00:00"/>
    <s v="zrušeno"/>
    <m/>
    <m/>
    <x v="0"/>
    <m/>
    <d v="2017-01-25T00:00:00"/>
  </r>
  <r>
    <s v="VZ-2016-000423"/>
    <x v="4"/>
    <s v="Ondráčková"/>
    <x v="29"/>
    <s v="33651100-9"/>
    <m/>
    <n v="8161.78"/>
    <x v="1"/>
    <s v="15.9 2016"/>
    <d v="2017-01-09T00:00:00"/>
    <s v="zrušeno"/>
    <m/>
    <m/>
    <x v="0"/>
    <m/>
    <d v="2017-02-10T00:00:00"/>
  </r>
  <r>
    <s v="VZ-2016-000423"/>
    <x v="4"/>
    <s v="Ondráčková"/>
    <x v="30"/>
    <s v="33651100-9"/>
    <m/>
    <n v="10120"/>
    <x v="1"/>
    <s v="15.9 2016"/>
    <d v="2017-01-09T00:00:00"/>
    <s v="zrušeno"/>
    <m/>
    <m/>
    <x v="0"/>
    <m/>
    <d v="2017-01-25T00:00:00"/>
  </r>
  <r>
    <s v="VZ-2016-000423"/>
    <x v="4"/>
    <s v="Ondráčková"/>
    <x v="31"/>
    <s v="33651100-9"/>
    <m/>
    <n v="112926"/>
    <x v="1"/>
    <s v="15.9 2016"/>
    <d v="2017-01-09T00:00:00"/>
    <s v="zrušeno"/>
    <m/>
    <m/>
    <x v="0"/>
    <m/>
    <d v="2017-03-29T00:00:00"/>
  </r>
  <r>
    <s v="VZ-2016-000423"/>
    <x v="4"/>
    <s v="Ondráčková"/>
    <x v="32"/>
    <s v="33651100-9"/>
    <m/>
    <n v="328860.98"/>
    <x v="1"/>
    <s v="15.9 2016"/>
    <d v="2017-01-09T00:00:00"/>
    <s v="zrušeno"/>
    <m/>
    <m/>
    <x v="0"/>
    <m/>
    <d v="2017-02-10T00:00:00"/>
  </r>
  <r>
    <s v="VZ-2016-000423"/>
    <x v="4"/>
    <s v="Ondráčková"/>
    <x v="33"/>
    <s v="33651100-9"/>
    <m/>
    <n v="1862631"/>
    <x v="1"/>
    <s v="15.9 2016"/>
    <d v="2017-01-09T00:00:00"/>
    <s v="Alliance Healthcare s.r.o."/>
    <n v="4270834.4000000004"/>
    <n v="4697917.8400000008"/>
    <x v="9"/>
    <m/>
    <d v="2017-04-13T00:00:00"/>
  </r>
  <r>
    <s v="VZ-2016-000423"/>
    <x v="4"/>
    <s v="Ondráčková"/>
    <x v="34"/>
    <s v="33651100-9"/>
    <m/>
    <n v="2349480"/>
    <x v="1"/>
    <d v="2016-09-15T00:00:00"/>
    <d v="2017-01-09T00:00:00"/>
    <s v="Fresenius Kabi s.r.o."/>
    <n v="2332698"/>
    <n v="2565967.8000000003"/>
    <x v="10"/>
    <m/>
    <d v="2017-04-13T00:00:00"/>
  </r>
  <r>
    <s v="VZ-2016-000440"/>
    <x v="5"/>
    <s v="Procházková"/>
    <x v="35"/>
    <s v="66510000-8"/>
    <m/>
    <n v="12000000"/>
    <x v="1"/>
    <d v="2016-08-24T00:00:00"/>
    <d v="2016-12-20T00:00:00"/>
    <s v="Kooperativa pojišťovna a.s."/>
    <n v="8282512"/>
    <n v="8282512"/>
    <x v="11"/>
    <m/>
    <d v="2017-05-30T00:00:00"/>
  </r>
  <r>
    <s v="VZ-2016-000440"/>
    <x v="5"/>
    <s v="Procházková"/>
    <x v="36"/>
    <s v="66515200-5"/>
    <m/>
    <n v="4000000"/>
    <x v="1"/>
    <d v="2016-08-24T00:00:00"/>
    <d v="2016-12-20T00:00:00"/>
    <s v="Kooperativa pojišťovna a.s."/>
    <n v="509044"/>
    <n v="509044"/>
    <x v="11"/>
    <m/>
    <d v="2017-05-30T00:00:00"/>
  </r>
  <r>
    <s v="VZ-2016-000440"/>
    <x v="5"/>
    <s v="Procházková"/>
    <x v="37"/>
    <s v="66516000-0"/>
    <m/>
    <n v="8000000"/>
    <x v="1"/>
    <d v="2016-08-24T00:00:00"/>
    <d v="2016-12-20T00:00:00"/>
    <s v="zrušeno"/>
    <m/>
    <m/>
    <x v="0"/>
    <m/>
    <d v="2017-05-30T00:00:00"/>
  </r>
  <r>
    <s v="VZ-2016-000443"/>
    <x v="1"/>
    <s v="Oravec"/>
    <x v="38"/>
    <s v="30233141-1"/>
    <s v="3.2.4."/>
    <n v="3245000"/>
    <x v="2"/>
    <d v="2016-08-24T00:00:00"/>
    <d v="2016-10-24T00:00:00"/>
    <s v="Merit Group a.s."/>
    <n v="3349098"/>
    <n v="4052408.58"/>
    <x v="5"/>
    <m/>
    <d v="2017-01-31T00:00:00"/>
  </r>
  <r>
    <s v="VZ-2016-000494"/>
    <x v="4"/>
    <s v="Ondráčková"/>
    <x v="39"/>
    <s v="33651400-2"/>
    <m/>
    <n v="402104.17"/>
    <x v="1"/>
    <d v="2016-12-01T00:00:00"/>
    <d v="2017-01-10T00:00:00"/>
    <s v="PHOENIX lék. Velkoobchod"/>
    <n v="398812.68"/>
    <n v="438693.94800000003"/>
    <x v="7"/>
    <m/>
    <d v="2017-03-27T00:00:00"/>
  </r>
  <r>
    <s v="VZ-2016-000494"/>
    <x v="4"/>
    <s v="Ondráčková"/>
    <x v="40"/>
    <s v="33651400-2"/>
    <m/>
    <n v="254142.16"/>
    <x v="1"/>
    <d v="2016-12-01T00:00:00"/>
    <d v="2017-01-10T00:00:00"/>
    <s v="PHOENIX lék. Velkoobchod"/>
    <n v="253353.16"/>
    <n v="278688.47600000002"/>
    <x v="7"/>
    <m/>
    <d v="2017-03-27T00:00:00"/>
  </r>
  <r>
    <s v="VZ-2016-000494"/>
    <x v="4"/>
    <s v="Ondráčková"/>
    <x v="41"/>
    <s v="33651400-2"/>
    <m/>
    <n v="486689.96"/>
    <x v="1"/>
    <d v="2016-12-01T00:00:00"/>
    <d v="2017-01-10T00:00:00"/>
    <s v="PHOENIX lék. Velkoobchod"/>
    <n v="210465.94"/>
    <n v="231512.53400000001"/>
    <x v="7"/>
    <m/>
    <d v="2017-03-27T00:00:00"/>
  </r>
  <r>
    <s v="VZ-2016-000494"/>
    <x v="4"/>
    <s v="Ondráčková"/>
    <x v="42"/>
    <s v="33651400-2"/>
    <m/>
    <n v="4892335"/>
    <x v="1"/>
    <d v="2016-12-01T00:00:00"/>
    <d v="2017-01-10T00:00:00"/>
    <s v="zrušeno"/>
    <m/>
    <m/>
    <x v="0"/>
    <m/>
    <d v="2017-01-31T00:00:00"/>
  </r>
  <r>
    <s v="VZ-2016-000494"/>
    <x v="4"/>
    <s v="Ondráčková"/>
    <x v="43"/>
    <s v="33651400-2"/>
    <m/>
    <n v="27677.68"/>
    <x v="1"/>
    <d v="2016-12-01T00:00:00"/>
    <d v="2017-01-10T00:00:00"/>
    <s v="Pharmos, a.s."/>
    <n v="27633.599999999999"/>
    <n v="30396.959999999999"/>
    <x v="6"/>
    <m/>
    <d v="2017-03-27T00:00:00"/>
  </r>
  <r>
    <s v="VZ-2016-000494"/>
    <x v="4"/>
    <s v="Ondráčková"/>
    <x v="44"/>
    <s v="33651400-2"/>
    <m/>
    <n v="205112.5"/>
    <x v="1"/>
    <d v="2016-12-01T00:00:00"/>
    <d v="2017-01-10T00:00:00"/>
    <s v="PHOENIX lék. Velkoobchod"/>
    <n v="204462.5"/>
    <n v="224908.75000000003"/>
    <x v="7"/>
    <m/>
    <d v="2017-03-27T00:00:00"/>
  </r>
  <r>
    <s v="VZ-2016-000495"/>
    <x v="4"/>
    <s v="Ondráčková"/>
    <x v="45"/>
    <s v="33651200-0"/>
    <m/>
    <n v="273680"/>
    <x v="1"/>
    <d v="2016-12-01T00:00:00"/>
    <d v="2017-01-11T00:00:00"/>
    <s v="Fresenius Kabi s.r.o."/>
    <n v="256136"/>
    <n v="281749.60000000003"/>
    <x v="6"/>
    <d v="2019-03-14T00:00:00"/>
    <d v="2017-04-04T00:00:00"/>
  </r>
  <r>
    <s v="VZ-2016-000495"/>
    <x v="4"/>
    <s v="Ondráčková"/>
    <x v="46"/>
    <s v="33651200-0"/>
    <m/>
    <n v="52571.199999999997"/>
    <x v="1"/>
    <d v="2016-12-01T00:00:00"/>
    <d v="2017-01-11T00:00:00"/>
    <s v="PHOENIX lék. Velkoobchod"/>
    <n v="50860.92"/>
    <n v="55947.012000000002"/>
    <x v="7"/>
    <d v="2019-03-22T00:00:00"/>
    <d v="2017-04-04T00:00:00"/>
  </r>
  <r>
    <s v="VZ-2016-000495"/>
    <x v="4"/>
    <s v="Ondráčková"/>
    <x v="47"/>
    <s v="33651200-0"/>
    <m/>
    <n v="1673000"/>
    <x v="1"/>
    <d v="2016-12-01T00:00:00"/>
    <d v="2017-01-11T00:00:00"/>
    <s v="Alliance Healthcare s.r.o."/>
    <n v="665854"/>
    <n v="732439.4"/>
    <x v="9"/>
    <d v="2019-03-29T00:00:00"/>
    <d v="2017-04-04T00:00:00"/>
  </r>
  <r>
    <s v="VZ-2016-000495"/>
    <x v="4"/>
    <s v="Ondráčková"/>
    <x v="48"/>
    <s v="33651200-0"/>
    <m/>
    <n v="6615485.8200000003"/>
    <x v="1"/>
    <d v="2016-12-01T00:00:00"/>
    <d v="2017-01-11T00:00:00"/>
    <s v="ViaPharma s.r.o."/>
    <n v="6599837.4199999999"/>
    <n v="7259821.1620000005"/>
    <x v="6"/>
    <d v="2019-03-14T00:00:00"/>
    <d v="2017-04-04T00:00:00"/>
  </r>
  <r>
    <s v="VZ-2016-000496"/>
    <x v="4"/>
    <s v="Ondráčková"/>
    <x v="49"/>
    <s v="33651400-2"/>
    <m/>
    <n v="384458.22"/>
    <x v="1"/>
    <d v="2016-12-05T00:00:00"/>
    <d v="2017-01-12T00:00:00"/>
    <s v="PHOENIX lék. Velkoobchod"/>
    <n v="262567.14"/>
    <n v="288823.85400000005"/>
    <x v="7"/>
    <m/>
    <d v="2017-04-03T00:00:00"/>
  </r>
  <r>
    <s v="VZ-2016-000496"/>
    <x v="4"/>
    <s v="Ondráčková"/>
    <x v="50"/>
    <s v="33651400-2"/>
    <m/>
    <n v="750337.68"/>
    <x v="1"/>
    <d v="2016-12-05T00:00:00"/>
    <d v="2017-01-12T00:00:00"/>
    <s v="zrušeno"/>
    <m/>
    <m/>
    <x v="0"/>
    <m/>
    <d v="2017-02-01T00:00:00"/>
  </r>
  <r>
    <s v="VZ-2016-000496"/>
    <x v="4"/>
    <s v="Ondráčková"/>
    <x v="51"/>
    <s v="33651400-2"/>
    <m/>
    <n v="304720.8"/>
    <x v="1"/>
    <d v="2016-12-05T00:00:00"/>
    <d v="2017-01-12T00:00:00"/>
    <s v="PHOENIX lék. Velkoobchod"/>
    <n v="304114.14"/>
    <n v="334525.55400000006"/>
    <x v="7"/>
    <m/>
    <d v="2017-04-03T00:00:00"/>
  </r>
  <r>
    <s v="VZ-2016-000496"/>
    <x v="4"/>
    <s v="Ondráčková"/>
    <x v="52"/>
    <s v="33651400-2"/>
    <m/>
    <n v="1668975"/>
    <x v="1"/>
    <d v="2016-12-05T00:00:00"/>
    <d v="2017-01-12T00:00:00"/>
    <s v="zrušeno"/>
    <m/>
    <m/>
    <x v="0"/>
    <m/>
    <d v="2017-02-01T00:00:00"/>
  </r>
  <r>
    <s v="VZ-2016-000496"/>
    <x v="4"/>
    <s v="Ondráčková"/>
    <x v="53"/>
    <s v="33651400-2"/>
    <m/>
    <n v="207321.45"/>
    <x v="1"/>
    <d v="2016-12-05T00:00:00"/>
    <d v="2017-01-12T00:00:00"/>
    <s v="Pharmos, a.s."/>
    <n v="165642.04999999999"/>
    <n v="182206.255"/>
    <x v="6"/>
    <m/>
    <d v="2017-04-03T00:00:00"/>
  </r>
  <r>
    <s v="VZ-2016-000496"/>
    <x v="4"/>
    <s v="Ondráčková"/>
    <x v="54"/>
    <s v="33651400-2"/>
    <m/>
    <n v="71857.649999999994"/>
    <x v="1"/>
    <d v="2016-12-05T00:00:00"/>
    <d v="2017-01-12T00:00:00"/>
    <s v="PHOENIX lék. Velkoobchod"/>
    <n v="71622.880000000005"/>
    <n v="78785.168000000005"/>
    <x v="7"/>
    <m/>
    <d v="2017-04-03T00:00:00"/>
  </r>
  <r>
    <s v="VZ-2016-000496"/>
    <x v="4"/>
    <s v="Ondráčková"/>
    <x v="55"/>
    <s v="33651400-2"/>
    <m/>
    <n v="1381911.23"/>
    <x v="1"/>
    <d v="2016-12-05T00:00:00"/>
    <d v="2017-01-12T00:00:00"/>
    <s v="Avenier a.s."/>
    <n v="1381894.3"/>
    <n v="1520083.7300000002"/>
    <x v="6"/>
    <m/>
    <d v="2017-04-03T00:00:00"/>
  </r>
  <r>
    <s v="VZ-2016-000496"/>
    <x v="4"/>
    <s v="Ondráčková"/>
    <x v="56"/>
    <s v="33651400-2"/>
    <m/>
    <n v="1838198.4"/>
    <x v="1"/>
    <d v="2016-12-05T00:00:00"/>
    <d v="2017-01-12T00:00:00"/>
    <s v="zrušeno"/>
    <m/>
    <m/>
    <x v="0"/>
    <m/>
    <d v="2017-02-01T00:00:00"/>
  </r>
  <r>
    <s v="VZ-2016-000496"/>
    <x v="4"/>
    <s v="Ondráčková"/>
    <x v="57"/>
    <s v="33651400-2"/>
    <m/>
    <n v="111393.24"/>
    <x v="1"/>
    <d v="2016-12-05T00:00:00"/>
    <d v="2017-01-12T00:00:00"/>
    <s v="Alliance Healthcare s.r.o."/>
    <n v="111393.24"/>
    <n v="122532.56400000001"/>
    <x v="9"/>
    <m/>
    <d v="2017-04-03T00:00:00"/>
  </r>
  <r>
    <s v="VZ-2016-000496"/>
    <x v="4"/>
    <s v="Ondráčková"/>
    <x v="58"/>
    <s v="33651400-2"/>
    <m/>
    <n v="1252369.6000000001"/>
    <x v="1"/>
    <d v="2016-12-05T00:00:00"/>
    <d v="2017-01-12T00:00:00"/>
    <s v="Alliance Healthcare s.r.o."/>
    <n v="1252369.48"/>
    <n v="1377606.4280000001"/>
    <x v="9"/>
    <m/>
    <d v="2017-04-03T00:00:00"/>
  </r>
  <r>
    <s v="VZ-2016-000499"/>
    <x v="0"/>
    <s v="Novák"/>
    <x v="59"/>
    <s v="33123200-0"/>
    <s v="2.4.38."/>
    <n v="66000"/>
    <x v="0"/>
    <d v="2016-09-19T00:00:00"/>
    <d v="2016-09-30T00:00:00"/>
    <s v="BTL zdrav. technika a.s."/>
    <n v="97775"/>
    <n v="118307.75"/>
    <x v="12"/>
    <m/>
    <s v="xxx"/>
  </r>
  <r>
    <s v="VZ-2016-000554"/>
    <x v="0"/>
    <s v="Novák"/>
    <x v="60"/>
    <s v="39162200-7"/>
    <s v="2.2.60."/>
    <n v="3390000"/>
    <x v="3"/>
    <d v="2016-11-08T00:00:00"/>
    <d v="2016-11-25T00:00:00"/>
    <s v="S + T Plus s.r.o."/>
    <n v="3379830"/>
    <n v="4089594.3"/>
    <x v="13"/>
    <m/>
    <d v="2017-01-10T00:00:00"/>
  </r>
  <r>
    <s v="VZ-2016-000603"/>
    <x v="6"/>
    <s v="Cahlíková"/>
    <x v="61"/>
    <s v="79212110-7"/>
    <m/>
    <n v="150000"/>
    <x v="0"/>
    <d v="2016-11-11T00:00:00"/>
    <d v="2016-11-21T00:00:00"/>
    <s v="DNV GL Business Assurance…"/>
    <n v="69316"/>
    <n v="83872.36"/>
    <x v="14"/>
    <m/>
    <s v="xxx"/>
  </r>
  <r>
    <s v="VZ-2016-000604"/>
    <x v="4"/>
    <s v="Ondráčková"/>
    <x v="62"/>
    <s v="33651100-9"/>
    <m/>
    <n v="373380.28"/>
    <x v="1"/>
    <d v="2016-12-07T00:00:00"/>
    <d v="2017-02-20T00:00:00"/>
    <s v="PHOENIX lék. Velkoobchod"/>
    <n v="363468.3"/>
    <n v="399815.13"/>
    <x v="15"/>
    <d v="2019-04-17T00:00:00"/>
    <d v="2017-04-20T00:00:00"/>
  </r>
  <r>
    <s v="VZ-2016-000604"/>
    <x v="4"/>
    <s v="Ondráčková"/>
    <x v="63"/>
    <s v="33651100-9"/>
    <m/>
    <n v="1063557.69"/>
    <x v="1"/>
    <d v="2016-12-07T00:00:00"/>
    <d v="2017-02-20T00:00:00"/>
    <s v="zrušeno"/>
    <m/>
    <m/>
    <x v="0"/>
    <m/>
    <d v="2017-02-22T00:00:00"/>
  </r>
  <r>
    <s v="VZ-2016-000604"/>
    <x v="4"/>
    <s v="Ondráčková"/>
    <x v="64"/>
    <s v="33651100-9"/>
    <m/>
    <n v="3978.41"/>
    <x v="1"/>
    <d v="2016-12-07T00:00:00"/>
    <d v="2017-02-20T00:00:00"/>
    <s v="zrušeno"/>
    <m/>
    <m/>
    <x v="0"/>
    <m/>
    <d v="2017-02-22T00:00:00"/>
  </r>
  <r>
    <s v="VZ-2016-000604"/>
    <x v="4"/>
    <s v="Ondráčková"/>
    <x v="65"/>
    <s v="33651100-9"/>
    <m/>
    <n v="516774"/>
    <x v="1"/>
    <d v="2016-12-07T00:00:00"/>
    <d v="2017-02-20T00:00:00"/>
    <s v="Fresenius Kabi s.r.o."/>
    <n v="416506"/>
    <n v="458156.60000000003"/>
    <x v="15"/>
    <d v="2019-04-17T00:00:00"/>
    <d v="2017-04-20T00:00:00"/>
  </r>
  <r>
    <s v="VZ-2016-000604"/>
    <x v="4"/>
    <s v="Ondráčková"/>
    <x v="66"/>
    <s v="33651100-9"/>
    <m/>
    <n v="4647513.84"/>
    <x v="1"/>
    <d v="2016-12-07T00:00:00"/>
    <d v="2017-02-20T00:00:00"/>
    <s v="Alliance Healthcare s.r.o."/>
    <n v="4644618.2400000002"/>
    <n v="5109080.0640000002"/>
    <x v="15"/>
    <d v="2019-04-17T00:00:00"/>
    <d v="2017-04-20T00:00:00"/>
  </r>
  <r>
    <s v="VZ-2016-000604"/>
    <x v="4"/>
    <s v="Ondráčková"/>
    <x v="67"/>
    <s v="33651100-9"/>
    <m/>
    <n v="744531.52"/>
    <x v="1"/>
    <d v="2016-12-07T00:00:00"/>
    <d v="2017-02-20T00:00:00"/>
    <s v="zrušeno"/>
    <m/>
    <m/>
    <x v="0"/>
    <m/>
    <d v="2017-02-22T00:00:00"/>
  </r>
  <r>
    <s v="VZ-2016-000604"/>
    <x v="4"/>
    <s v="Ondráčková"/>
    <x v="68"/>
    <s v="33651100-9"/>
    <m/>
    <n v="554887.48"/>
    <x v="1"/>
    <d v="2016-12-07T00:00:00"/>
    <d v="2017-02-20T00:00:00"/>
    <s v="Pharmos, a.s."/>
    <n v="553586.19999999995"/>
    <n v="608944.81999999995"/>
    <x v="15"/>
    <d v="2019-04-17T00:00:00"/>
    <d v="2017-04-20T00:00:00"/>
  </r>
  <r>
    <s v="VZ-2016-000619"/>
    <x v="7"/>
    <s v="Švrdlíková"/>
    <x v="69"/>
    <s v="39831000-6"/>
    <m/>
    <n v="1869600"/>
    <x v="0"/>
    <d v="2016-12-12T00:00:00"/>
    <d v="2016-12-21T00:00:00"/>
    <s v="Christeyns s.r.o."/>
    <n v="1846800"/>
    <n v="2234628"/>
    <x v="16"/>
    <m/>
    <d v="2017-03-10T00:00:00"/>
  </r>
  <r>
    <s v="VZ-2016-000624"/>
    <x v="3"/>
    <s v="Kvapil"/>
    <x v="70"/>
    <s v="45215100-8 "/>
    <s v="1.3.7."/>
    <n v="16520000"/>
    <x v="3"/>
    <d v="2016-12-12T00:00:00"/>
    <d v="2017-01-05T00:00:00"/>
    <s v="OHL ŽS a.s."/>
    <n v="15908373.779999999"/>
    <n v="19249132.273799997"/>
    <x v="17"/>
    <m/>
    <d v="2017-02-17T00:00:00"/>
  </r>
  <r>
    <s v="VZ-2016-000632"/>
    <x v="8"/>
    <s v="Solovský"/>
    <x v="71"/>
    <s v="34351100-3"/>
    <m/>
    <n v="460000"/>
    <x v="0"/>
    <d v="2016-12-01T00:00:00"/>
    <d v="2016-12-21T00:00:00"/>
    <s v="Pneucentrum N&amp;N s.r.o."/>
    <n v="466400"/>
    <n v="564344"/>
    <x v="4"/>
    <m/>
    <s v="xxx"/>
  </r>
  <r>
    <s v="VZ-2016-000639"/>
    <x v="1"/>
    <s v="Oravec"/>
    <x v="72"/>
    <s v="32428000-9"/>
    <s v="3.2.3."/>
    <n v="2430000"/>
    <x v="3"/>
    <d v="2016-12-15T00:00:00"/>
    <d v="2017-01-13T00:00:00"/>
    <s v="Merit Group a.s."/>
    <n v="2255043"/>
    <n v="2728602.03"/>
    <x v="18"/>
    <m/>
    <d v="2017-02-21T00:00:00"/>
  </r>
  <r>
    <s v="VZ-2016-000640"/>
    <x v="9"/>
    <s v="Vaida"/>
    <x v="73"/>
    <s v="45454100-5"/>
    <s v="4.1.9."/>
    <n v="700000"/>
    <x v="0"/>
    <d v="2016-12-02T00:00:00"/>
    <d v="2016-12-12T00:00:00"/>
    <s v="zrušeno"/>
    <m/>
    <m/>
    <x v="0"/>
    <m/>
    <s v="xxx"/>
  </r>
  <r>
    <s v="VZ-2016-000650"/>
    <x v="10"/>
    <s v="Zemánek"/>
    <x v="74"/>
    <s v="50421200-4"/>
    <m/>
    <n v="1900000"/>
    <x v="0"/>
    <d v="2016-12-19T00:00:00"/>
    <d v="2017-01-05T00:00:00"/>
    <s v="Philips ČR  s.r.o."/>
    <n v="1865960"/>
    <n v="2257811.6"/>
    <x v="19"/>
    <m/>
    <d v="2017-03-08T00:00:00"/>
  </r>
  <r>
    <s v="VZ-2016-000652"/>
    <x v="0"/>
    <s v="Čech"/>
    <x v="75"/>
    <s v="38432210-7"/>
    <s v="2.3.122."/>
    <n v="3120000"/>
    <x v="3"/>
    <d v="2016-12-07T00:00:00"/>
    <d v="2017-01-04T00:00:00"/>
    <s v="Bruker s.r.o."/>
    <n v="3119870"/>
    <n v="3775042.6999999997"/>
    <x v="20"/>
    <m/>
    <d v="2017-02-16T00:00:00"/>
  </r>
  <r>
    <s v="VZ-2016-000656"/>
    <x v="3"/>
    <s v="Kvapil"/>
    <x v="76"/>
    <s v="45314300-4"/>
    <m/>
    <n v="265000"/>
    <x v="0"/>
    <d v="2016-12-09T00:00:00"/>
    <d v="2016-12-16T00:00:00"/>
    <s v="SITEL spol. s r.o."/>
    <n v="218348"/>
    <n v="264201.08"/>
    <x v="21"/>
    <m/>
    <s v="xxx"/>
  </r>
  <r>
    <s v="VZ-2016-000657"/>
    <x v="10"/>
    <s v="Zemánek"/>
    <x v="77"/>
    <s v="50421000-2"/>
    <m/>
    <n v="1100000"/>
    <x v="0"/>
    <d v="2016-12-19T00:00:00"/>
    <d v="2017-01-05T00:00:00"/>
    <s v="S+T Plus s.r.o."/>
    <n v="1201662"/>
    <n v="1454011.02"/>
    <x v="22"/>
    <m/>
    <d v="2017-04-19T00:00:00"/>
  </r>
  <r>
    <s v="VZ-2016-000662"/>
    <x v="10"/>
    <s v="Zemánek"/>
    <x v="78"/>
    <s v="50421000-2"/>
    <m/>
    <n v="1000000"/>
    <x v="0"/>
    <d v="2016-12-19T00:00:00"/>
    <d v="2017-01-05T00:00:00"/>
    <s v="Medisap s.r.o."/>
    <n v="1597198"/>
    <n v="1932609.5799999998"/>
    <x v="23"/>
    <m/>
    <d v="2017-03-08T00:00:00"/>
  </r>
  <r>
    <s v="VZ-2016-000670"/>
    <x v="3"/>
    <s v="Kvapil"/>
    <x v="79"/>
    <s v="71251000-2"/>
    <m/>
    <n v="412000"/>
    <x v="0"/>
    <d v="2016-12-09T00:00:00"/>
    <d v="2016-12-21T00:00:00"/>
    <s v="MAVA spol. s r.o."/>
    <n v="748000"/>
    <n v="905080"/>
    <x v="24"/>
    <m/>
    <d v="2017-01-30T00:00:00"/>
  </r>
  <r>
    <s v="VZ-2016-000672"/>
    <x v="4"/>
    <s v="Ondráčková"/>
    <x v="80"/>
    <s v="33651100-9"/>
    <m/>
    <n v="3364107.4"/>
    <x v="1"/>
    <d v="2016-12-15T00:00:00"/>
    <d v="2017-01-24T00:00:00"/>
    <s v="Pharmos, a.s."/>
    <n v="3316820.6"/>
    <n v="3648502.6600000006"/>
    <x v="6"/>
    <d v="2019-03-14T00:00:00"/>
    <d v="2017-03-21T00:00:00"/>
  </r>
  <r>
    <s v="VZ-2016-000672"/>
    <x v="4"/>
    <s v="Ondráčková"/>
    <x v="81"/>
    <s v="33651100-9"/>
    <m/>
    <n v="106063.81"/>
    <x v="1"/>
    <d v="2016-12-15T00:00:00"/>
    <d v="2017-01-24T00:00:00"/>
    <s v="Pharmos, a.s."/>
    <n v="105885.96"/>
    <n v="116474.55600000001"/>
    <x v="6"/>
    <d v="2019-03-14T00:00:00"/>
    <d v="2017-03-21T00:00:00"/>
  </r>
  <r>
    <s v="VZ-2016-000672"/>
    <x v="4"/>
    <s v="Ondráčková"/>
    <x v="82"/>
    <s v="33651100-9"/>
    <m/>
    <n v="404252.15999999997"/>
    <x v="1"/>
    <d v="2016-12-15T00:00:00"/>
    <d v="2017-01-24T00:00:00"/>
    <s v="zrušeno"/>
    <m/>
    <m/>
    <x v="0"/>
    <m/>
    <d v="2017-02-21T00:00:00"/>
  </r>
  <r>
    <s v="VZ-2016-000674"/>
    <x v="0"/>
    <s v="Novák"/>
    <x v="83"/>
    <s v="33194210-1"/>
    <s v="2.4.40."/>
    <n v="470000"/>
    <x v="0"/>
    <d v="2017-01-10T00:00:00"/>
    <d v="2017-01-20T00:00:00"/>
    <s v="Medista s.r.o."/>
    <n v="451200"/>
    <n v="545952"/>
    <x v="23"/>
    <m/>
    <s v="xxx"/>
  </r>
  <r>
    <s v="VZ-2016-000675"/>
    <x v="0"/>
    <s v="Novák"/>
    <x v="84"/>
    <s v="42513000-5 "/>
    <s v="2.4.33.;2.4.34.;2.4.35.; 2.4.37."/>
    <n v="210000"/>
    <x v="0"/>
    <d v="2017-01-10T00:00:00"/>
    <d v="2017-01-25T00:00:00"/>
    <s v="KRD s.r.o."/>
    <n v="110945"/>
    <n v="134243.44999999998"/>
    <x v="23"/>
    <m/>
    <d v="2017-03-08T00:00:00"/>
  </r>
  <r>
    <s v="VZ-2016-000675"/>
    <x v="0"/>
    <s v="Novák"/>
    <x v="85"/>
    <s v="42513000-5"/>
    <s v="2.4.33.;2.4.34.;2.4.35.; 2.4.37."/>
    <n v="600000"/>
    <x v="0"/>
    <d v="2017-01-10T00:00:00"/>
    <d v="2017-01-25T00:00:00"/>
    <s v="KRD s.r.o."/>
    <n v="392115"/>
    <n v="474459.14999999997"/>
    <x v="23"/>
    <m/>
    <d v="2017-03-08T00:00:00"/>
  </r>
  <r>
    <s v="VZ-2016-000682"/>
    <x v="4"/>
    <s v="Ondráčková"/>
    <x v="86"/>
    <s v="33652000-5"/>
    <m/>
    <n v="1014308.37"/>
    <x v="1"/>
    <d v="2017-01-09T00:00:00"/>
    <d v="2017-02-16T00:00:00"/>
    <s v="zrušeno"/>
    <m/>
    <m/>
    <x v="0"/>
    <m/>
    <d v="2017-01-31T00:00:00"/>
  </r>
  <r>
    <s v="VZ-2016-000682"/>
    <x v="4"/>
    <s v="Ondráčková"/>
    <x v="87"/>
    <s v="33652000-5"/>
    <m/>
    <n v="23541274.949999999"/>
    <x v="1"/>
    <d v="2017-01-09T00:00:00"/>
    <d v="2017-02-16T00:00:00"/>
    <s v="zrušeno"/>
    <m/>
    <m/>
    <x v="0"/>
    <m/>
    <d v="2017-03-22T00:00:00"/>
  </r>
  <r>
    <s v="VZ-2016-000682"/>
    <x v="4"/>
    <s v="Ondráčková"/>
    <x v="88"/>
    <s v="33652000-5"/>
    <m/>
    <n v="29322213.719999999"/>
    <x v="1"/>
    <d v="2017-01-09T00:00:00"/>
    <d v="2017-02-16T00:00:00"/>
    <s v="Avenier a.s."/>
    <n v="29322188"/>
    <n v="32254406.800000001"/>
    <x v="15"/>
    <m/>
    <d v="2017-04-20T00:00:00"/>
  </r>
  <r>
    <s v="VZ-2016-000682"/>
    <x v="4"/>
    <s v="Ondráčková"/>
    <x v="89"/>
    <s v="33652000-5"/>
    <m/>
    <n v="4851018.4800000004"/>
    <x v="1"/>
    <d v="2017-01-09T00:00:00"/>
    <d v="2017-02-16T00:00:00"/>
    <s v="Alliance Healthcare s.r.o."/>
    <n v="4851000"/>
    <n v="5336100"/>
    <x v="15"/>
    <m/>
    <d v="2017-04-20T00:00:00"/>
  </r>
  <r>
    <s v="VZ-2016-000682"/>
    <x v="4"/>
    <s v="Ondráčková"/>
    <x v="90"/>
    <s v="33652000-5"/>
    <m/>
    <n v="1816885.87"/>
    <x v="1"/>
    <d v="2017-01-09T00:00:00"/>
    <d v="2017-02-16T00:00:00"/>
    <s v="zrušeno"/>
    <m/>
    <m/>
    <x v="0"/>
    <m/>
    <d v="2017-02-17T00:00:00"/>
  </r>
  <r>
    <s v="VZ-2016-000683"/>
    <x v="4"/>
    <s v="Ondráčková"/>
    <x v="91"/>
    <s v="33696800-3"/>
    <m/>
    <n v="1012770"/>
    <x v="1"/>
    <d v="2017-01-09T00:00:00"/>
    <d v="2017-02-15T00:00:00"/>
    <s v="zrušeno"/>
    <m/>
    <m/>
    <x v="0"/>
    <m/>
    <d v="2017-03-17T00:00:00"/>
  </r>
  <r>
    <s v="VZ-2016-000683"/>
    <x v="4"/>
    <s v="Ondráčková"/>
    <x v="92"/>
    <s v="33696800-3"/>
    <m/>
    <n v="533439.48"/>
    <x v="1"/>
    <d v="2017-01-09T00:00:00"/>
    <d v="2017-02-15T00:00:00"/>
    <s v="Bracco Imaging s.r.o."/>
    <n v="533241.80000000005"/>
    <n v="586565.9800000001"/>
    <x v="25"/>
    <m/>
    <d v="2017-04-26T00:00:00"/>
  </r>
  <r>
    <s v="VZ-2016-000683"/>
    <x v="4"/>
    <s v="Ondráčková"/>
    <x v="93"/>
    <s v="33696800-3"/>
    <m/>
    <n v="1066687.24"/>
    <x v="1"/>
    <d v="2017-01-09T00:00:00"/>
    <d v="2017-02-15T00:00:00"/>
    <s v="Bayer s.r.o."/>
    <n v="1066687.24"/>
    <n v="1173355.9640000002"/>
    <x v="26"/>
    <m/>
    <d v="2017-04-26T00:00:00"/>
  </r>
  <r>
    <s v="VZ-2016-000684"/>
    <x v="4"/>
    <s v="Ondráčková"/>
    <x v="94"/>
    <s v="33696800-3"/>
    <m/>
    <n v="34749"/>
    <x v="1"/>
    <d v="2017-01-05T00:00:00"/>
    <d v="2017-02-14T00:00:00"/>
    <s v="zrušeno"/>
    <m/>
    <m/>
    <x v="0"/>
    <m/>
    <d v="2017-03-07T00:00:00"/>
  </r>
  <r>
    <s v="VZ-2016-000684"/>
    <x v="4"/>
    <s v="Ondráčková"/>
    <x v="95"/>
    <s v="33696800-3"/>
    <m/>
    <n v="1299825"/>
    <x v="1"/>
    <d v="2017-01-05T00:00:00"/>
    <d v="2017-02-14T00:00:00"/>
    <s v="zrušeno"/>
    <m/>
    <m/>
    <x v="0"/>
    <m/>
    <d v="2017-02-16T00:00:00"/>
  </r>
  <r>
    <s v="VZ-2016-000684"/>
    <x v="4"/>
    <s v="Ondráčková"/>
    <x v="96"/>
    <s v="33696800-3"/>
    <m/>
    <n v="4616020"/>
    <x v="1"/>
    <d v="2017-01-05T00:00:00"/>
    <d v="2017-02-14T00:00:00"/>
    <s v="Bayer s.r.o."/>
    <n v="4616020"/>
    <n v="5077622"/>
    <x v="27"/>
    <m/>
    <d v="2017-03-21T00:00:00"/>
  </r>
  <r>
    <s v="VZ-2016-000685"/>
    <x v="0"/>
    <s v="Novák"/>
    <x v="97"/>
    <s v="33182100-0"/>
    <s v="2.2.63."/>
    <n v="330000"/>
    <x v="0"/>
    <d v="2016-12-22T00:00:00"/>
    <d v="2017-01-10T00:00:00"/>
    <s v="Cheirón a.s."/>
    <n v="726243.03"/>
    <n v="878754.06630000006"/>
    <x v="17"/>
    <m/>
    <s v="xxx"/>
  </r>
  <r>
    <s v="VZ-2017-000008"/>
    <x v="3"/>
    <s v="Kvapil"/>
    <x v="98"/>
    <s v="45454100-5"/>
    <s v="1.2.46./16"/>
    <n v="4380000"/>
    <x v="0"/>
    <d v="2017-01-09T00:00:00"/>
    <d v="2017-01-25T00:00:00"/>
    <s v="OHL ŽS a.s."/>
    <n v="5350133.57"/>
    <n v="6473661.6200000001"/>
    <x v="23"/>
    <m/>
    <d v="2017-03-10T00:00:00"/>
  </r>
  <r>
    <s v="VZ-2017-000011"/>
    <x v="3"/>
    <s v="Kvapil"/>
    <x v="99"/>
    <s v="45454100-5"/>
    <s v="1.2.45./16"/>
    <n v="14170000"/>
    <x v="3"/>
    <d v="2017-01-24T00:00:00"/>
    <d v="2017-02-10T00:00:00"/>
    <s v="OHL ŽS a.s."/>
    <n v="14110893"/>
    <n v="17074180.530000001"/>
    <x v="28"/>
    <m/>
    <d v="2017-04-03T00:00:00"/>
  </r>
  <r>
    <s v="VZ-2017-000016"/>
    <x v="0"/>
    <s v="Čech"/>
    <x v="100"/>
    <s v="33168000-5"/>
    <s v="2.2.36./16"/>
    <n v="2725000"/>
    <x v="3"/>
    <d v="2017-01-09T00:00:00"/>
    <d v="2017-02-09T00:00:00"/>
    <s v="Olympus Czech Rep."/>
    <n v="2677121"/>
    <n v="3239315"/>
    <x v="29"/>
    <m/>
    <d v="2017-08-24T00:00:00"/>
  </r>
  <r>
    <s v="VZ-2017-000019"/>
    <x v="11"/>
    <s v="Žůrek"/>
    <x v="101"/>
    <s v="34923000-3"/>
    <s v="4.3.1."/>
    <n v="7700000"/>
    <x v="1"/>
    <d v="2017-02-17T00:00:00"/>
    <d v="2017-04-04T00:00:00"/>
    <s v="zrušeno"/>
    <m/>
    <m/>
    <x v="0"/>
    <m/>
    <d v="2017-05-02T00:00:00"/>
  </r>
  <r>
    <s v="VZ-2017-000022"/>
    <x v="9"/>
    <s v="Vaida"/>
    <x v="102"/>
    <s v="45454100-5"/>
    <s v="4.1.9."/>
    <n v="700000"/>
    <x v="0"/>
    <d v="2017-01-11T00:00:00"/>
    <d v="2017-01-30T00:00:00"/>
    <s v="zrušeno"/>
    <m/>
    <m/>
    <x v="0"/>
    <m/>
    <d v="2017-05-02T00:00:00"/>
  </r>
  <r>
    <s v="VZ-2017-000037"/>
    <x v="0"/>
    <s v="Novák"/>
    <x v="103"/>
    <s v="38000000-5"/>
    <s v="3.2.5."/>
    <n v="565000"/>
    <x v="0"/>
    <d v="2017-01-19T00:00:00"/>
    <d v="2017-01-30T00:00:00"/>
    <s v="Medesa s.r.o."/>
    <n v="376800"/>
    <n v="455928"/>
    <x v="30"/>
    <m/>
    <d v="2017-03-08T00:00:00"/>
  </r>
  <r>
    <s v="VZ-2017-000047"/>
    <x v="0"/>
    <s v="Čech"/>
    <x v="104"/>
    <s v="39180000-7"/>
    <s v="2.2.43/16 2.3.133/16"/>
    <n v="170000"/>
    <x v="0"/>
    <d v="2017-02-14T00:00:00"/>
    <d v="2017-02-27T00:00:00"/>
    <s v="NUVIA a.s."/>
    <n v="78000"/>
    <n v="94380"/>
    <x v="22"/>
    <m/>
    <s v="xxx"/>
  </r>
  <r>
    <s v="VZ-2017-000048"/>
    <x v="0"/>
    <s v="Čech"/>
    <x v="105"/>
    <s v="42931100-2"/>
    <s v="2.2.52/16"/>
    <n v="250000"/>
    <x v="0"/>
    <d v="2017-02-14T00:00:00"/>
    <d v="2017-02-27T00:00:00"/>
    <s v="KRD s.r.o."/>
    <n v="132275"/>
    <n v="160052.75"/>
    <x v="22"/>
    <m/>
    <s v="xxx"/>
  </r>
  <r>
    <s v="VZ-2017-000054"/>
    <x v="0"/>
    <s v="Čech"/>
    <x v="106"/>
    <s v="38000000-5"/>
    <s v="2.3.130/16 2.3.131/16"/>
    <n v="7000000"/>
    <x v="1"/>
    <d v="2017-02-14T00:00:00"/>
    <d v="2017-03-31T00:00:00"/>
    <s v="Canberra Packard s.r.o."/>
    <n v="5618800"/>
    <n v="6798748"/>
    <x v="31"/>
    <m/>
    <d v="2017-05-23T00:00:00"/>
  </r>
  <r>
    <s v="VZ-2017-000055"/>
    <x v="0"/>
    <s v="Čech"/>
    <x v="107"/>
    <s v="38341600-3"/>
    <s v="2.3.132; 2.2.50; 2.3.134; 2.2.44;2.2.48; 2.2.49; 2.2.51/2016"/>
    <n v="3200000"/>
    <x v="3"/>
    <d v="2017-02-14T00:00:00"/>
    <d v="2017-03-21T00:00:00"/>
    <s v="Canberra Packard s.r.o."/>
    <n v="5309800"/>
    <n v="6424858"/>
    <x v="32"/>
    <m/>
    <d v="2017-05-11T00:00:00"/>
  </r>
  <r>
    <s v="VZ-2017-000058"/>
    <x v="8"/>
    <s v="Solovská"/>
    <x v="108"/>
    <s v="48810000-9"/>
    <m/>
    <n v="580000"/>
    <x v="0"/>
    <d v="2017-02-07T00:00:00"/>
    <d v="2017-02-20T00:00:00"/>
    <s v="Ivo Bolcek"/>
    <n v="625000"/>
    <n v="756250"/>
    <x v="15"/>
    <s v="na dobu neurčitou"/>
    <d v="2017-04-18T00:00:00"/>
  </r>
  <r>
    <s v="VZ-2017-000063"/>
    <x v="4"/>
    <s v="Ondráčková"/>
    <x v="109"/>
    <s v="33696500-0"/>
    <m/>
    <n v="8600000"/>
    <x v="1"/>
    <d v="2017-02-01T00:00:00"/>
    <d v="2017-03-09T00:00:00"/>
    <s v="zrušeno"/>
    <m/>
    <m/>
    <x v="0"/>
    <m/>
    <d v="2017-05-15T00:00:00"/>
  </r>
  <r>
    <s v="VZ-2017-000069"/>
    <x v="2"/>
    <s v="Čech"/>
    <x v="110"/>
    <s v="33731110-7 "/>
    <m/>
    <n v="26000000"/>
    <x v="1"/>
    <d v="2017-02-17T00:00:00"/>
    <d v="2017-03-29T00:00:00"/>
    <s v="zrušeno -  ani jedna nabídka"/>
    <m/>
    <m/>
    <x v="0"/>
    <m/>
    <d v="2017-03-31T00:00:00"/>
  </r>
  <r>
    <s v="VZ-2017-000076"/>
    <x v="0"/>
    <s v="Čech"/>
    <x v="111"/>
    <s v="33124120-2"/>
    <s v="2.3.101."/>
    <n v="2150000"/>
    <x v="1"/>
    <d v="2017-02-02T00:00:00"/>
    <d v="2017-03-14T00:00:00"/>
    <s v="EMS s.r.o."/>
    <n v="2352280"/>
    <n v="2846258.8"/>
    <x v="33"/>
    <m/>
    <d v="2017-05-25T00:00:00"/>
  </r>
  <r>
    <s v="VZ-2017-000076"/>
    <x v="0"/>
    <s v="Čech"/>
    <x v="112"/>
    <s v="33124120-2"/>
    <s v="2.2.59."/>
    <n v="330000"/>
    <x v="1"/>
    <d v="2017-02-02T00:00:00"/>
    <d v="2017-03-14T00:00:00"/>
    <s v="EMS s.r.o."/>
    <n v="429480"/>
    <n v="519670.8"/>
    <x v="33"/>
    <m/>
    <d v="2017-05-25T00:00:00"/>
  </r>
  <r>
    <s v="VZ-2017-000076"/>
    <x v="0"/>
    <s v="Čech"/>
    <x v="113"/>
    <s v="33124120-2"/>
    <s v="2.2.61."/>
    <n v="245000"/>
    <x v="1"/>
    <d v="2017-02-02T00:00:00"/>
    <d v="2017-03-14T00:00:00"/>
    <s v="EMS s.r.o."/>
    <n v="354580"/>
    <n v="429041.8"/>
    <x v="33"/>
    <m/>
    <d v="2017-05-25T00:00:00"/>
  </r>
  <r>
    <s v="VZ-2017-000077"/>
    <x v="9"/>
    <s v="Vaida"/>
    <x v="114"/>
    <s v="45454100-5"/>
    <s v="4.1.9. 2016"/>
    <n v="930000"/>
    <x v="0"/>
    <d v="2017-02-20T00:00:00"/>
    <d v="2017-03-06T00:00:00"/>
    <s v="Stavitelství Pospíšil"/>
    <n v="948624"/>
    <n v="1147835"/>
    <x v="34"/>
    <m/>
    <d v="2017-04-05T00:00:00"/>
  </r>
  <r>
    <s v="VZ-2017-000089"/>
    <x v="10"/>
    <s v="Zemánek"/>
    <x v="115"/>
    <s v="50421000-2"/>
    <m/>
    <n v="800000"/>
    <x v="0"/>
    <d v="2017-02-10T00:00:00"/>
    <d v="2017-02-27T00:00:00"/>
    <s v="BioVendor-Laboratorní medicína"/>
    <n v="759998.4"/>
    <n v="919598.06400000001"/>
    <x v="35"/>
    <s v="na dobu neurčitou"/>
    <d v="2017-04-06T00:00:00"/>
  </r>
  <r>
    <s v="VZ-2017-000090"/>
    <x v="10"/>
    <s v="Zemánek"/>
    <x v="116"/>
    <s v="50421000-2"/>
    <m/>
    <n v="1000000"/>
    <x v="0"/>
    <d v="2017-02-24T00:00:00"/>
    <d v="2017-03-10T00:00:00"/>
    <s v="zrušeno"/>
    <m/>
    <m/>
    <x v="0"/>
    <m/>
    <s v="xxx"/>
  </r>
  <r>
    <s v="VZ-2017-000091"/>
    <x v="10"/>
    <s v="Zemánek"/>
    <x v="117"/>
    <s v="50421000-2"/>
    <m/>
    <n v="3200000"/>
    <x v="3"/>
    <d v="2017-02-15T00:00:00"/>
    <d v="2017-03-07T00:00:00"/>
    <s v="Linet s.r.o."/>
    <n v="3168088"/>
    <n v="3758570.32"/>
    <x v="10"/>
    <s v="na dobu neurčitou"/>
    <d v="2017-04-13T00:00:00"/>
  </r>
  <r>
    <s v="VZ-2017-000095"/>
    <x v="12"/>
    <s v="Havlíček"/>
    <x v="118"/>
    <s v="79221000-9"/>
    <m/>
    <n v="500000"/>
    <x v="0"/>
    <d v="2017-02-10T00:00:00"/>
    <d v="2017-02-28T00:00:00"/>
    <s v="CGB Consult s.r.o."/>
    <n v="456000"/>
    <n v="551760"/>
    <x v="6"/>
    <d v="2021-04-30T00:00:00"/>
    <d v="2017-03-16T00:00:00"/>
  </r>
  <r>
    <s v="VZ-2017-000103"/>
    <x v="9"/>
    <s v="Vaida"/>
    <x v="119"/>
    <s v="71251000-2"/>
    <m/>
    <n v="300000"/>
    <x v="0"/>
    <d v="2017-02-20T00:00:00"/>
    <d v="2017-03-02T00:00:00"/>
    <s v="zrušeno"/>
    <m/>
    <m/>
    <x v="0"/>
    <m/>
    <s v="xxx"/>
  </r>
  <r>
    <s v="VZ-2017-000103"/>
    <x v="9"/>
    <s v="Vaida"/>
    <x v="120"/>
    <s v="71251000-2"/>
    <m/>
    <n v="300000"/>
    <x v="0"/>
    <d v="2017-02-20T00:00:00"/>
    <d v="2017-03-02T00:00:00"/>
    <s v="zrušeno"/>
    <m/>
    <m/>
    <x v="0"/>
    <m/>
    <s v="xxx"/>
  </r>
  <r>
    <s v="VZ-2017-000109"/>
    <x v="6"/>
    <s v="Cahlíková"/>
    <x v="121"/>
    <s v="71900000-7"/>
    <m/>
    <n v="520000"/>
    <x v="0"/>
    <d v="2017-03-20T00:00:00"/>
    <d v="2017-03-28T00:00:00"/>
    <s v="Zdravotní ústav v Ostravě"/>
    <n v="446660"/>
    <n v="540458.6"/>
    <x v="31"/>
    <d v="2021-05-17T00:00:00"/>
    <d v="2017-05-19T00:00:00"/>
  </r>
  <r>
    <s v="VZ-2017-000112"/>
    <x v="13"/>
    <s v="Eyer"/>
    <x v="122"/>
    <s v="79212200-5"/>
    <m/>
    <n v="300000"/>
    <x v="0"/>
    <d v="2017-03-08T00:00:00"/>
    <d v="2017-03-17T00:00:00"/>
    <s v="ENSYTRA s.r.o."/>
    <n v="189000"/>
    <n v="228690"/>
    <x v="36"/>
    <m/>
    <s v="xxx"/>
  </r>
  <r>
    <s v="VZ-2017-000113"/>
    <x v="0"/>
    <s v="Čech"/>
    <x v="123"/>
    <s v="33169100-3"/>
    <s v="2.3.187."/>
    <n v="2480000"/>
    <x v="3"/>
    <d v="2017-02-24T00:00:00"/>
    <d v="2017-04-03T00:00:00"/>
    <s v="zrušeno"/>
    <m/>
    <m/>
    <x v="0"/>
    <m/>
    <d v="2017-03-31T00:00:00"/>
  </r>
  <r>
    <s v="VZ-2017-000117"/>
    <x v="0"/>
    <s v="Čech"/>
    <x v="124"/>
    <s v="33182600-9"/>
    <s v="2.3.268"/>
    <n v="660000"/>
    <x v="0"/>
    <d v="2017-02-24T00:00:00"/>
    <d v="2017-03-10T00:00:00"/>
    <s v="VIVACOM s.r.o."/>
    <n v="572808"/>
    <n v="693097.68"/>
    <x v="37"/>
    <m/>
    <d v="2017-04-25T00:00:00"/>
  </r>
  <r>
    <s v="VZ-2017-000118"/>
    <x v="0"/>
    <s v="Čech"/>
    <x v="125"/>
    <s v="3312200-1"/>
    <s v="2.3.204"/>
    <n v="390000"/>
    <x v="0"/>
    <d v="2017-02-28T00:00:00"/>
    <d v="2017-03-13T00:00:00"/>
    <s v="CMI s.r.o."/>
    <n v="403160"/>
    <n v="487823.6"/>
    <x v="38"/>
    <m/>
    <s v="xxx"/>
  </r>
  <r>
    <s v="VZ-2017-000119"/>
    <x v="0"/>
    <s v="Čech"/>
    <x v="126"/>
    <s v="42131141-6"/>
    <m/>
    <n v="375000"/>
    <x v="0"/>
    <d v="2017-03-07T00:00:00"/>
    <d v="2017-03-17T00:00:00"/>
    <s v="VDI Metros "/>
    <n v="563294.9"/>
    <n v="681586.4"/>
    <x v="22"/>
    <m/>
    <s v="xxx"/>
  </r>
  <r>
    <s v="VZ-2017-000124"/>
    <x v="9"/>
    <s v="Vaida"/>
    <x v="127"/>
    <s v="45453000-7"/>
    <m/>
    <n v="3500000"/>
    <x v="0"/>
    <d v="2017-02-28T00:00:00"/>
    <d v="2017-03-07T00:00:00"/>
    <s v="zrušeno - ani jedna nabídka"/>
    <m/>
    <m/>
    <x v="0"/>
    <m/>
    <s v="xxx"/>
  </r>
  <r>
    <s v="VZ-2017-000125"/>
    <x v="9"/>
    <s v="Vaida"/>
    <x v="128"/>
    <s v="45453000-7"/>
    <m/>
    <n v="3500000"/>
    <x v="0"/>
    <d v="2017-02-28T00:00:00"/>
    <d v="2017-03-10T00:00:00"/>
    <s v="zrušeno"/>
    <m/>
    <m/>
    <x v="0"/>
    <m/>
    <s v="xxx"/>
  </r>
  <r>
    <s v="VZ-2017-000131"/>
    <x v="14"/>
    <s v="Benešová"/>
    <x v="129"/>
    <s v="39314000-6"/>
    <s v="4.2.8."/>
    <n v="145000"/>
    <x v="0"/>
    <d v="2017-03-02T00:00:00"/>
    <d v="2017-03-13T00:00:00"/>
    <s v="Hospimed spol. s r.o."/>
    <n v="125052"/>
    <n v="151312.92000000001"/>
    <x v="34"/>
    <m/>
    <s v="xxx"/>
  </r>
  <r>
    <s v="VZ-2017-000131"/>
    <x v="14"/>
    <s v="Benešová"/>
    <x v="130"/>
    <s v="39314000-6"/>
    <s v="4.2.10."/>
    <n v="128000"/>
    <x v="0"/>
    <d v="2017-03-02T00:00:00"/>
    <d v="2017-03-13T00:00:00"/>
    <s v="TREFA s.r.o."/>
    <n v="114900"/>
    <n v="139029"/>
    <x v="34"/>
    <m/>
    <s v="xxx"/>
  </r>
  <r>
    <s v="VZ-2017-000132"/>
    <x v="14"/>
    <s v="Benešová"/>
    <x v="131"/>
    <s v="39314000-6"/>
    <s v="4.2.9."/>
    <n v="744000"/>
    <x v="0"/>
    <d v="2017-03-02T00:00:00"/>
    <d v="2017-03-15T00:00:00"/>
    <s v="Multi CZ s.r.o."/>
    <n v="623070"/>
    <n v="753914.7"/>
    <x v="22"/>
    <m/>
    <d v="2017-04-20T00:00:00"/>
  </r>
  <r>
    <s v="VZ-2017-000133"/>
    <x v="8"/>
    <s v="Solovský"/>
    <x v="132"/>
    <s v="42415200-0"/>
    <s v="4.2.1."/>
    <n v="1470000"/>
    <x v="0"/>
    <d v="2017-03-01T00:00:00"/>
    <d v="2017-03-20T00:00:00"/>
    <s v="zrušeno"/>
    <m/>
    <m/>
    <x v="0"/>
    <m/>
    <s v="xxx"/>
  </r>
  <r>
    <s v="VZ-2017-000134"/>
    <x v="15"/>
    <s v="Havrlant"/>
    <x v="133"/>
    <s v="79800000-2"/>
    <m/>
    <n v="550000"/>
    <x v="0"/>
    <d v="2017-02-28T00:00:00"/>
    <d v="2017-03-06T00:00:00"/>
    <s v="Intergraf, s.r.o."/>
    <n v="424000"/>
    <n v="466400"/>
    <x v="39"/>
    <d v="2019-03-27T00:00:00"/>
    <d v="2017-03-29T00:00:00"/>
  </r>
  <r>
    <s v="VZ-2017-000143"/>
    <x v="16"/>
    <s v="Neudorflörová"/>
    <x v="134"/>
    <s v="33192120-9"/>
    <s v="2.3.255.;2.3.256"/>
    <n v="3901849"/>
    <x v="1"/>
    <d v="2017-03-08T00:00:00"/>
    <d v="2017-04-19T00:00:00"/>
    <s v="Linet s.r.o."/>
    <n v="3517773"/>
    <n v="4256505.33"/>
    <x v="40"/>
    <m/>
    <d v="2017-08-09T00:00:00"/>
  </r>
  <r>
    <s v="VZ-2017-000143"/>
    <x v="16"/>
    <s v="Neudorflörová"/>
    <x v="135"/>
    <s v="33192120-9"/>
    <s v="2.3.254."/>
    <n v="11705547"/>
    <x v="1"/>
    <d v="2017-03-08T00:00:00"/>
    <d v="2017-04-19T00:00:00"/>
    <s v="zrušeno"/>
    <m/>
    <m/>
    <x v="0"/>
    <m/>
    <d v="2017-06-26T00:00:00"/>
  </r>
  <r>
    <s v="VZ-2017-000153"/>
    <x v="3"/>
    <s v="Junek"/>
    <x v="136"/>
    <s v="71000000-8 "/>
    <s v="1.3.10."/>
    <n v="1200000"/>
    <x v="0"/>
    <d v="2017-03-09T00:00:00"/>
    <d v="2017-03-16T00:00:00"/>
    <s v="PPS KANIA s.r.o."/>
    <n v="693000"/>
    <n v="838530"/>
    <x v="37"/>
    <m/>
    <d v="2017-04-21T00:00:00"/>
  </r>
  <r>
    <s v="VZ-2017-000154"/>
    <x v="8"/>
    <s v="Solovský"/>
    <x v="137"/>
    <s v="34114110-3 "/>
    <s v="4.2.2."/>
    <n v="2730000"/>
    <x v="1"/>
    <d v="2017-03-15T00:00:00"/>
    <d v="2017-05-04T00:00:00"/>
    <s v="První chráněnná dílna"/>
    <n v="2876784"/>
    <n v="3480908.64"/>
    <x v="41"/>
    <m/>
    <d v="2017-06-16T00:00:00"/>
  </r>
  <r>
    <s v="VZ-2017-000154"/>
    <x v="8"/>
    <s v="Solovský"/>
    <x v="138"/>
    <s v="34114110-3 "/>
    <s v="4.2.3."/>
    <n v="2480000"/>
    <x v="1"/>
    <d v="2017-03-15T00:00:00"/>
    <d v="2017-05-04T00:00:00"/>
    <s v="První chráněnná dílna"/>
    <n v="2753107"/>
    <n v="3331259.47"/>
    <x v="41"/>
    <m/>
    <d v="2017-06-16T00:00:00"/>
  </r>
  <r>
    <s v="VZ-2017-000155"/>
    <x v="9"/>
    <s v="Vaida"/>
    <x v="139"/>
    <s v="45453000-7"/>
    <m/>
    <n v="3500000"/>
    <x v="0"/>
    <d v="2017-03-10T00:00:00"/>
    <d v="2017-03-22T00:00:00"/>
    <s v="GATLIN s.r.o."/>
    <n v="3367611"/>
    <n v="4074809"/>
    <x v="26"/>
    <m/>
    <d v="2017-04-21T00:00:00"/>
  </r>
  <r>
    <s v="VZ-2017-000162"/>
    <x v="0"/>
    <s v="Čech"/>
    <x v="140"/>
    <s v="33195110-7"/>
    <s v="2.3.248.; 2.2.70."/>
    <n v="495000"/>
    <x v="0"/>
    <d v="2017-03-14T00:00:00"/>
    <d v="2017-03-24T00:00:00"/>
    <s v="zrušeno"/>
    <m/>
    <m/>
    <x v="0"/>
    <m/>
    <s v="xxx"/>
  </r>
  <r>
    <s v="VZ-2017-000169"/>
    <x v="9"/>
    <s v="Vaida"/>
    <x v="141"/>
    <s v="71251000-2"/>
    <m/>
    <n v="300000"/>
    <x v="0"/>
    <d v="2017-03-15T00:00:00"/>
    <d v="2017-03-27T00:00:00"/>
    <s v="Ing.arch. Jan Dohnal"/>
    <n v="159000"/>
    <n v="159000"/>
    <x v="37"/>
    <m/>
    <s v="xxx"/>
  </r>
  <r>
    <s v="VZ-2017-000170"/>
    <x v="9"/>
    <s v="Vaida"/>
    <x v="142"/>
    <s v="71251000-2"/>
    <m/>
    <n v="300000"/>
    <x v="0"/>
    <d v="2017-03-15T00:00:00"/>
    <d v="2017-03-27T00:00:00"/>
    <s v="Ing.arch. Jan Dohnal"/>
    <n v="185000"/>
    <n v="185000"/>
    <x v="42"/>
    <m/>
    <s v="xxx"/>
  </r>
  <r>
    <s v="VZ-2017-000179"/>
    <x v="0"/>
    <s v="Čech"/>
    <x v="143"/>
    <s v="33192410-9"/>
    <s v="2.3.251.; 2.3.252."/>
    <n v="1485000"/>
    <x v="0"/>
    <d v="2017-03-17T00:00:00"/>
    <d v="2017-03-28T00:00:00"/>
    <s v="SpofaDental a.s."/>
    <n v="926284"/>
    <n v="1120803.6399999999"/>
    <x v="36"/>
    <m/>
    <d v="2017-04-27T00:00:00"/>
  </r>
  <r>
    <s v="VZ-2017-000183"/>
    <x v="4"/>
    <s v="Ondráčková"/>
    <x v="144"/>
    <s v="33652000-5"/>
    <m/>
    <n v="41132394.359999999"/>
    <x v="0"/>
    <d v="2017-03-24T00:00:00"/>
    <d v="2017-05-09T00:00:00"/>
    <s v="zrušeno"/>
    <m/>
    <m/>
    <x v="0"/>
    <m/>
    <d v="2017-06-13T00:00:00"/>
  </r>
  <r>
    <s v="VZ-2017-000183"/>
    <x v="4"/>
    <s v="Ondráčková"/>
    <x v="145"/>
    <s v="33652000-5"/>
    <m/>
    <n v="64403700.939999998"/>
    <x v="0"/>
    <d v="2017-03-24T00:00:00"/>
    <d v="2017-05-09T00:00:00"/>
    <s v="ViaPharma s.r.o."/>
    <n v="8531382.8599999994"/>
    <n v="9384521.1459999997"/>
    <x v="43"/>
    <d v="2019-06-08T00:00:00"/>
    <d v="2017-06-13T00:00:00"/>
  </r>
  <r>
    <s v="VZ-2017-000184"/>
    <x v="0"/>
    <s v="Čech"/>
    <x v="146"/>
    <s v="38000000-5"/>
    <s v="2.3.225"/>
    <n v="535000"/>
    <x v="0"/>
    <d v="2017-03-20T00:00:00"/>
    <d v="2017-03-28T00:00:00"/>
    <s v="ZENA-R spol. s r.o."/>
    <n v="445500"/>
    <n v="539055"/>
    <x v="32"/>
    <m/>
    <d v="2017-05-09T00:00:00"/>
  </r>
  <r>
    <s v="VZ-2017-000193"/>
    <x v="9"/>
    <s v="Vaida"/>
    <x v="147"/>
    <s v="45442100-8"/>
    <m/>
    <n v="3500000"/>
    <x v="0"/>
    <d v="2017-03-30T00:00:00"/>
    <d v="2017-04-11T00:00:00"/>
    <s v="Stavnemo"/>
    <n v="4897769"/>
    <n v="5926300.4900000002"/>
    <x v="38"/>
    <d v="2019-05-31T00:00:00"/>
    <d v="2017-05-12T00:00:00"/>
  </r>
  <r>
    <s v="VZ-2017-000194"/>
    <x v="17"/>
    <s v="Miklík"/>
    <x v="148"/>
    <s v="32428000-9"/>
    <m/>
    <n v="1900000"/>
    <x v="0"/>
    <d v="2017-04-07T00:00:00"/>
    <d v="2017-04-19T00:00:00"/>
    <s v="zrušeno"/>
    <m/>
    <m/>
    <x v="0"/>
    <m/>
    <s v="xxx"/>
  </r>
  <r>
    <s v="VZ-2017-000195"/>
    <x v="9"/>
    <s v="Vaida"/>
    <x v="149"/>
    <s v="45453000-7"/>
    <m/>
    <n v="3500000"/>
    <x v="0"/>
    <d v="2017-03-21T00:00:00"/>
    <d v="2017-03-31T00:00:00"/>
    <s v="zrušeno"/>
    <m/>
    <m/>
    <x v="0"/>
    <m/>
    <s v="xxx"/>
  </r>
  <r>
    <s v="VZ-2017-000197"/>
    <x v="4"/>
    <s v="Ondráčková"/>
    <x v="150"/>
    <s v="33694000-1"/>
    <m/>
    <n v="193500"/>
    <x v="0"/>
    <d v="2017-03-22T00:00:00"/>
    <d v="2017-04-07T00:00:00"/>
    <s v="Biohem spol. s r.o."/>
    <n v="193500"/>
    <n v="234135"/>
    <x v="31"/>
    <m/>
    <s v="xxx"/>
  </r>
  <r>
    <s v="VZ-2017-000197"/>
    <x v="4"/>
    <s v="Ondráčková"/>
    <x v="151"/>
    <s v="33694000-1"/>
    <m/>
    <n v="31200"/>
    <x v="0"/>
    <d v="2017-03-22T00:00:00"/>
    <d v="2017-04-07T00:00:00"/>
    <s v="Pentagen s.r.o."/>
    <n v="31200"/>
    <n v="37752"/>
    <x v="44"/>
    <m/>
    <s v="xxx"/>
  </r>
  <r>
    <s v="VZ-2017-000205"/>
    <x v="3"/>
    <s v="Junek"/>
    <x v="152"/>
    <s v="71000000-8"/>
    <s v="1.3.11."/>
    <n v="2500000"/>
    <x v="3"/>
    <d v="2017-03-27T00:00:00"/>
    <d v="2017-04-18T00:00:00"/>
    <s v="Adam Rujbr Architects s.r.o."/>
    <n v="2488000"/>
    <n v="3010480"/>
    <x v="45"/>
    <m/>
    <d v="2017-07-10T00:00:00"/>
  </r>
  <r>
    <s v="VZ-2017-000206"/>
    <x v="4"/>
    <s v="Ondráčková"/>
    <x v="153"/>
    <s v="33652000-5"/>
    <m/>
    <n v="1020387.53"/>
    <x v="1"/>
    <d v="2017-03-24T00:00:00"/>
    <d v="2017-05-02T00:00:00"/>
    <s v="zrušeno"/>
    <m/>
    <m/>
    <x v="0"/>
    <m/>
    <d v="2017-06-14T00:00:00"/>
  </r>
  <r>
    <s v="VZ-2017-000206"/>
    <x v="4"/>
    <s v="Ondráčková"/>
    <x v="154"/>
    <s v="33652000-5"/>
    <m/>
    <n v="1816903.44"/>
    <x v="1"/>
    <d v="2017-03-24T00:00:00"/>
    <d v="2017-05-02T00:00:00"/>
    <s v="zrušeno"/>
    <m/>
    <m/>
    <x v="0"/>
    <m/>
    <d v="2017-06-14T00:00:00"/>
  </r>
  <r>
    <s v="VZ-2017-000206"/>
    <x v="4"/>
    <s v="Ondráčková"/>
    <x v="155"/>
    <s v="33652000-5"/>
    <m/>
    <n v="1916448.3"/>
    <x v="1"/>
    <d v="2017-03-24T00:00:00"/>
    <d v="2017-05-02T00:00:00"/>
    <s v="Avenier a.s."/>
    <n v="1913615.7"/>
    <n v="2104977.27"/>
    <x v="46"/>
    <m/>
    <d v="2017-06-14T00:00:00"/>
  </r>
  <r>
    <s v="VZ-2017-000210"/>
    <x v="8"/>
    <s v="Solovský"/>
    <x v="156"/>
    <s v="42415200-0"/>
    <s v="4.2.1."/>
    <n v="1470000"/>
    <x v="0"/>
    <d v="2017-03-24T00:00:00"/>
    <d v="2017-03-31T00:00:00"/>
    <s v="Agrotec a.s."/>
    <n v="1459000"/>
    <n v="1765390"/>
    <x v="47"/>
    <m/>
    <d v="2017-04-28T00:00:00"/>
  </r>
  <r>
    <s v="VZ-2017-000214"/>
    <x v="18"/>
    <s v="Srovnal"/>
    <x v="157"/>
    <s v="50400000-9"/>
    <m/>
    <n v="860000"/>
    <x v="0"/>
    <d v="2017-04-04T00:00:00"/>
    <d v="2017-04-12T00:00:00"/>
    <s v="Dräger Medical s.r.o."/>
    <n v="696620"/>
    <n v="842910.2"/>
    <x v="38"/>
    <m/>
    <d v="2017-05-15T00:00:00"/>
  </r>
  <r>
    <s v="VZ-2017-000214"/>
    <x v="18"/>
    <s v="Srovnal"/>
    <x v="158"/>
    <s v="50400000-9"/>
    <m/>
    <n v="100000"/>
    <x v="0"/>
    <d v="2017-04-04T00:00:00"/>
    <d v="2017-04-12T00:00:00"/>
    <s v="Dräger Medical s.r.o."/>
    <n v="68200"/>
    <n v="82522"/>
    <x v="38"/>
    <m/>
    <d v="2017-05-15T00:00:00"/>
  </r>
  <r>
    <s v="VZ-2017-000215"/>
    <x v="18"/>
    <s v="Srovnal"/>
    <x v="159"/>
    <s v="45333000-0"/>
    <s v="4.2.44.,4.2.45.,4.2.42.,4.2.43."/>
    <n v="3990000"/>
    <x v="0"/>
    <d v="2017-04-05T00:00:00"/>
    <d v="2017-04-19T00:00:00"/>
    <s v="Dräger Medical s.r.o."/>
    <n v="3175866"/>
    <n v="3842798"/>
    <x v="48"/>
    <m/>
    <d v="2017-05-30T00:00:00"/>
  </r>
  <r>
    <s v="VZ-2017-000224"/>
    <x v="9"/>
    <s v="Vaida"/>
    <x v="160"/>
    <s v="45453000-7"/>
    <m/>
    <n v="700000"/>
    <x v="0"/>
    <d v="2017-03-30T00:00:00"/>
    <d v="2017-04-10T00:00:00"/>
    <s v="zrušeno"/>
    <m/>
    <m/>
    <x v="0"/>
    <m/>
    <s v="xxx"/>
  </r>
  <r>
    <s v="VZ-2017-000234"/>
    <x v="18"/>
    <s v="Srovnal"/>
    <x v="161"/>
    <s v="42513290-4 "/>
    <s v="4.2.29.-4.2.32."/>
    <n v="6670000"/>
    <x v="1"/>
    <d v="2017-03-29T00:00:00"/>
    <d v="2017-05-09T00:00:00"/>
    <s v="Climart"/>
    <n v="3693458"/>
    <n v="4469084.18"/>
    <x v="49"/>
    <m/>
    <d v="2017-06-21T00:00:00"/>
  </r>
  <r>
    <s v="VZ-2017-000241"/>
    <x v="1"/>
    <s v="Marek"/>
    <x v="162"/>
    <s v="48814000-7"/>
    <s v="3.3.7."/>
    <n v="14900000"/>
    <x v="1"/>
    <d v="2017-04-24T00:00:00"/>
    <d v="2017-06-14T00:00:00"/>
    <s v="OR-CZ spol. s r.o."/>
    <n v="7758000"/>
    <n v="9387180"/>
    <x v="50"/>
    <m/>
    <d v="2017-12-19T00:00:00"/>
  </r>
  <r>
    <s v="VZ-2017-000244"/>
    <x v="2"/>
    <s v="Čech"/>
    <x v="163"/>
    <s v="33731110-7 "/>
    <m/>
    <n v="26000000"/>
    <x v="1"/>
    <d v="2017-04-03T00:00:00"/>
    <d v="2017-05-10T00:00:00"/>
    <s v="Alcon Pharmaceuticals"/>
    <n v="25438500"/>
    <n v="29254274.999999996"/>
    <x v="51"/>
    <s v="doba neurčitá"/>
    <d v="2017-07-03T00:00:00"/>
  </r>
  <r>
    <s v="VZ-2017-000252"/>
    <x v="9"/>
    <s v="Vaida"/>
    <x v="164"/>
    <s v="50850000-8"/>
    <m/>
    <n v="1200000"/>
    <x v="0"/>
    <d v="2017-04-07T00:00:00"/>
    <d v="2017-04-20T00:00:00"/>
    <s v="JeS Interier Jevgenij Salašnyj"/>
    <n v="670630"/>
    <n v="811462.29999999993"/>
    <x v="52"/>
    <d v="2019-05-31T00:00:00"/>
    <d v="2017-05-09T00:00:00"/>
  </r>
  <r>
    <s v="VZ-2017-000253"/>
    <x v="16"/>
    <s v="Neudorflörová"/>
    <x v="165"/>
    <s v="33191100-6"/>
    <s v="2.3.264."/>
    <n v="2876848.76"/>
    <x v="1"/>
    <d v="2017-04-05T00:00:00"/>
    <d v="2017-05-18T00:00:00"/>
    <s v="BMT Medical Technology s.r.o."/>
    <n v="2845552"/>
    <n v="3443117.92"/>
    <x v="53"/>
    <m/>
    <d v="2017-07-14T00:00:00"/>
  </r>
  <r>
    <s v="VZ-2017-000255"/>
    <x v="16"/>
    <s v="Neudorflörová"/>
    <x v="166"/>
    <s v="33192340-7"/>
    <s v="2.3.263."/>
    <n v="4238343.8"/>
    <x v="1"/>
    <d v="2017-04-05T00:00:00"/>
    <d v="2017-05-16T00:00:00"/>
    <s v="AKC konstrukce s.r.o."/>
    <n v="2976000"/>
    <n v="3600960"/>
    <x v="53"/>
    <m/>
    <d v="2017-07-14T00:00:00"/>
  </r>
  <r>
    <s v="VZ-2017-000257"/>
    <x v="10"/>
    <s v="Zemánek"/>
    <x v="167"/>
    <s v="50421000-2"/>
    <m/>
    <n v="600000"/>
    <x v="0"/>
    <d v="2017-04-11T00:00:00"/>
    <d v="2017-04-27T00:00:00"/>
    <s v="zrušeno"/>
    <m/>
    <m/>
    <x v="0"/>
    <m/>
    <s v="xxx"/>
  </r>
  <r>
    <s v="VZ-2017-000258"/>
    <x v="10"/>
    <s v="Zemánek"/>
    <x v="168"/>
    <s v="50421000-2"/>
    <m/>
    <n v="920000"/>
    <x v="0"/>
    <d v="2017-04-07T00:00:00"/>
    <d v="2017-04-20T00:00:00"/>
    <s v="zrušeno"/>
    <m/>
    <m/>
    <x v="0"/>
    <m/>
    <s v="xxx"/>
  </r>
  <r>
    <s v="VZ-2017-000260"/>
    <x v="10"/>
    <s v="Zemánek"/>
    <x v="169"/>
    <s v="50400000-9"/>
    <m/>
    <n v="480000"/>
    <x v="0"/>
    <d v="2017-04-21T00:00:00"/>
    <d v="2017-05-04T00:00:00"/>
    <s v="Prodispa s.r.o."/>
    <n v="61200"/>
    <n v="74052"/>
    <x v="54"/>
    <m/>
    <s v="xxx"/>
  </r>
  <r>
    <s v="VZ-2017-000261"/>
    <x v="10"/>
    <s v="Zemánek"/>
    <x v="170"/>
    <s v="50400000-9"/>
    <m/>
    <n v="880000"/>
    <x v="0"/>
    <d v="2017-04-21T00:00:00"/>
    <d v="2017-05-04T00:00:00"/>
    <s v="zrušeno"/>
    <m/>
    <m/>
    <x v="0"/>
    <m/>
    <s v="xxx"/>
  </r>
  <r>
    <s v="VZ-2017-000262"/>
    <x v="18"/>
    <s v="Srovnal"/>
    <x v="171"/>
    <s v="71320000-7"/>
    <s v="4.2.34.;4.2.35."/>
    <n v="450000"/>
    <x v="0"/>
    <d v="2017-04-19T00:00:00"/>
    <d v="2017-04-28T00:00:00"/>
    <s v="Ing. Zdeněk Smolka"/>
    <n v="272400"/>
    <n v="272400"/>
    <x v="55"/>
    <m/>
    <s v="xxx"/>
  </r>
  <r>
    <s v="VZ-2017-000272"/>
    <x v="9"/>
    <s v="Vaida"/>
    <x v="172"/>
    <s v="45430000-0"/>
    <m/>
    <n v="450000"/>
    <x v="0"/>
    <d v="2017-04-10T00:00:00"/>
    <d v="2017-04-26T00:00:00"/>
    <s v="Stavona Olomouc s.r.o."/>
    <n v="311985"/>
    <n v="377501.85"/>
    <x v="56"/>
    <m/>
    <s v="xxx"/>
  </r>
  <r>
    <s v="VZ-2017-000277"/>
    <x v="9"/>
    <s v="Vaida"/>
    <x v="173"/>
    <s v="45432110-8"/>
    <m/>
    <n v="500000"/>
    <x v="0"/>
    <d v="2017-04-11T00:00:00"/>
    <d v="2017-04-20T00:00:00"/>
    <s v="zrušeno"/>
    <m/>
    <m/>
    <x v="0"/>
    <m/>
    <s v="xxx"/>
  </r>
  <r>
    <s v="VZ-2017-000278"/>
    <x v="0"/>
    <s v="Čech"/>
    <x v="174"/>
    <s v="38000000-5 "/>
    <m/>
    <n v="450000"/>
    <x v="1"/>
    <d v="2017-04-25T00:00:00"/>
    <d v="2017-06-05T00:00:00"/>
    <s v="Canberra Packard s.r.o."/>
    <n v="639800"/>
    <n v="774158"/>
    <x v="57"/>
    <m/>
    <d v="2017-07-07T00:00:00"/>
  </r>
  <r>
    <s v="VZ-2017-000280"/>
    <x v="0"/>
    <s v="Čech"/>
    <x v="175"/>
    <s v="33162100-4"/>
    <s v="2.3.203."/>
    <n v="3900000"/>
    <x v="1"/>
    <d v="2017-04-13T00:00:00"/>
    <d v="2017-05-25T00:00:00"/>
    <s v="Spirit Medical spol. s r.o."/>
    <n v="3504880"/>
    <n v="4234605"/>
    <x v="58"/>
    <m/>
    <d v="2017-07-13T00:00:00"/>
  </r>
  <r>
    <s v="VZ-2017-000282"/>
    <x v="3"/>
    <s v="Gottwald"/>
    <x v="176"/>
    <s v="45453000-7"/>
    <s v="1.3.9."/>
    <n v="30000000"/>
    <x v="3"/>
    <d v="2017-04-26T00:00:00"/>
    <d v="2017-05-18T00:00:00"/>
    <s v="OHL ŽS a.s."/>
    <n v="28933999.07"/>
    <n v="35010138.869999997"/>
    <x v="59"/>
    <m/>
    <d v="2017-07-12T00:00:00"/>
  </r>
  <r>
    <s v="VZ-2017-000298"/>
    <x v="0"/>
    <s v="Čech"/>
    <x v="177"/>
    <s v="38000000-5"/>
    <s v="2.3.175.;2.3.176."/>
    <n v="1850000"/>
    <x v="3"/>
    <d v="2017-04-21T00:00:00"/>
    <d v="2017-05-17T00:00:00"/>
    <s v="Becton Dickinson Czechia s.r.o."/>
    <n v="1938840"/>
    <n v="2345996.4"/>
    <x v="51"/>
    <m/>
    <d v="2017-07-07T00:00:00"/>
  </r>
  <r>
    <s v="VZ-2017-000298"/>
    <x v="0"/>
    <s v="Čech"/>
    <x v="178"/>
    <s v="38000000-5"/>
    <s v="2.3.175.;2.3.176."/>
    <n v="795000"/>
    <x v="3"/>
    <d v="2017-04-21T00:00:00"/>
    <d v="2017-05-17T00:00:00"/>
    <s v="Becton Dickinson Czechia s.r.o."/>
    <n v="843840"/>
    <n v="1021046.4"/>
    <x v="51"/>
    <m/>
    <d v="2017-07-07T00:00:00"/>
  </r>
  <r>
    <s v="VZ-2017-000299"/>
    <x v="9"/>
    <s v="Vaida"/>
    <x v="179"/>
    <s v="45453000-7"/>
    <s v="1.2.50."/>
    <n v="4300000"/>
    <x v="0"/>
    <d v="2017-04-21T00:00:00"/>
    <d v="2017-05-04T00:00:00"/>
    <s v="OHL ŽS a.s."/>
    <n v="4206935.4000000004"/>
    <n v="5090391.8340000007"/>
    <x v="60"/>
    <m/>
    <d v="2017-06-15T00:00:00"/>
  </r>
  <r>
    <s v="VZ-2017-000300"/>
    <x v="9"/>
    <s v="Vaida"/>
    <x v="180"/>
    <s v="45453000-7"/>
    <m/>
    <n v="900000"/>
    <x v="0"/>
    <d v="2017-04-21T00:00:00"/>
    <d v="2017-05-04T00:00:00"/>
    <s v="Stavitelství Pospíšil s.r.o."/>
    <n v="883167"/>
    <n v="1068632"/>
    <x v="54"/>
    <m/>
    <d v="2017-06-06T00:00:00"/>
  </r>
  <r>
    <s v="VZ-2017-000301"/>
    <x v="19"/>
    <s v="Kotzot"/>
    <x v="181"/>
    <s v="50413200-5 "/>
    <m/>
    <n v="360000"/>
    <x v="0"/>
    <d v="2017-04-26T00:00:00"/>
    <d v="2017-05-09T00:00:00"/>
    <s v="PERFECTED s.r.o."/>
    <n v="241340"/>
    <n v="292021.39999999997"/>
    <x v="46"/>
    <m/>
    <s v="xxx"/>
  </r>
  <r>
    <s v="VZ-2017-000305"/>
    <x v="18"/>
    <s v="Srovnal"/>
    <x v="182"/>
    <s v="39717200-3"/>
    <s v="4.2.36; 4.2.37"/>
    <n v="480000"/>
    <x v="0"/>
    <d v="2017-04-27T00:00:00"/>
    <d v="2017-05-10T00:00:00"/>
    <s v="Thermo spol. s r.o."/>
    <n v="355096"/>
    <n v="429666"/>
    <x v="56"/>
    <m/>
    <s v="xxx"/>
  </r>
  <r>
    <s v="VZ-2017-000317"/>
    <x v="1"/>
    <s v="Oravec"/>
    <x v="183"/>
    <s v="30231310-3 "/>
    <m/>
    <n v="720000"/>
    <x v="0"/>
    <d v="2017-05-04T00:00:00"/>
    <d v="2017-05-16T00:00:00"/>
    <s v="AutoCont CZ a.s."/>
    <n v="653040"/>
    <n v="790250"/>
    <x v="61"/>
    <m/>
    <d v="2017-06-02T00:00:00"/>
  </r>
  <r>
    <s v="VZ-2017-000320"/>
    <x v="18"/>
    <s v="Srovnal"/>
    <x v="184"/>
    <s v="42514310-8"/>
    <m/>
    <n v="500000"/>
    <x v="0"/>
    <d v="2017-05-05T00:00:00"/>
    <d v="2017-05-15T00:00:00"/>
    <s v="KS Klima - Service a.s."/>
    <n v="335118"/>
    <n v="405492.77999999997"/>
    <x v="43"/>
    <m/>
    <d v="2017-06-09T00:00:00"/>
  </r>
  <r>
    <s v="VZ-2017-000332"/>
    <x v="9"/>
    <s v="Vaida"/>
    <x v="185"/>
    <s v="45432110-8"/>
    <m/>
    <n v="500000"/>
    <x v="0"/>
    <d v="2017-05-15T00:00:00"/>
    <d v="2017-05-23T00:00:00"/>
    <s v="Assa Abloy s.r.o."/>
    <n v="459410"/>
    <n v="555887"/>
    <x v="62"/>
    <m/>
    <d v="2017-06-27T00:00:00"/>
  </r>
  <r>
    <s v="VZ-2017-000336"/>
    <x v="18"/>
    <s v="Srovnal"/>
    <x v="186"/>
    <s v="50750000-7"/>
    <m/>
    <n v="1800000"/>
    <x v="0"/>
    <d v="2017-05-17T00:00:00"/>
    <d v="2017-05-25T00:00:00"/>
    <s v="Liftmont s.r.o."/>
    <n v="384555.12"/>
    <n v="465311.7"/>
    <x v="45"/>
    <m/>
    <d v="2017-07-13T00:00:00"/>
  </r>
  <r>
    <s v="VZ-2017-000344"/>
    <x v="13"/>
    <s v="Urbiš"/>
    <x v="187"/>
    <s v="45262610-0"/>
    <s v="4.2.17."/>
    <n v="620000"/>
    <x v="0"/>
    <d v="2017-05-24T00:00:00"/>
    <d v="2017-06-13T00:00:00"/>
    <s v="Bosch Termotechnika s.r.o."/>
    <n v="1711800"/>
    <n v="2071278"/>
    <x v="63"/>
    <m/>
    <d v="2017-07-20T00:00:00"/>
  </r>
  <r>
    <s v="VZ-2017-000350"/>
    <x v="0"/>
    <s v="Čech"/>
    <x v="188"/>
    <s v="33123200-0"/>
    <s v="viz. IP"/>
    <n v="1750000"/>
    <x v="0"/>
    <d v="2017-05-18T00:00:00"/>
    <d v="2017-05-30T00:00:00"/>
    <s v="BTL zdrav. technika a.s."/>
    <n v="1737150"/>
    <n v="2101951.5"/>
    <x v="64"/>
    <m/>
    <d v="2017-07-26T00:00:00"/>
  </r>
  <r>
    <s v="VZ-2017-000352"/>
    <x v="0"/>
    <s v="Čech"/>
    <x v="189"/>
    <s v="33182210-4"/>
    <s v="2.3.243."/>
    <n v="395000"/>
    <x v="0"/>
    <d v="2017-05-19T00:00:00"/>
    <d v="2017-06-07T00:00:00"/>
    <s v="zrušeno"/>
    <m/>
    <m/>
    <x v="0"/>
    <m/>
    <s v="xxx"/>
  </r>
  <r>
    <s v="VZ-2017-000353"/>
    <x v="20"/>
    <s v="Čech"/>
    <x v="190"/>
    <s v="42931100-2"/>
    <s v="2.3.227.;2.3.201.;2.3.226.;2.3.192."/>
    <n v="965000"/>
    <x v="0"/>
    <d v="2017-05-19T00:00:00"/>
    <d v="2017-06-07T00:00:00"/>
    <s v="Unimed Praha s.r.o."/>
    <n v="513522"/>
    <n v="621361.62"/>
    <x v="65"/>
    <m/>
    <d v="2017-09-13T00:00:00"/>
  </r>
  <r>
    <s v="VZ-2017-000357"/>
    <x v="9"/>
    <s v="Vaida"/>
    <x v="191"/>
    <s v="45453000-7"/>
    <m/>
    <n v="1200000"/>
    <x v="0"/>
    <d v="2017-05-19T00:00:00"/>
    <d v="2017-05-30T00:00:00"/>
    <s v="Stavitelství Pospíšil s.r.o."/>
    <n v="1597157"/>
    <n v="1932559.97"/>
    <x v="57"/>
    <m/>
    <d v="2017-06-30T00:00:00"/>
  </r>
  <r>
    <s v="VZ-2017-000358"/>
    <x v="9"/>
    <s v="Vaida"/>
    <x v="192"/>
    <s v="45453000-7"/>
    <s v="4.3.5."/>
    <n v="3300000"/>
    <x v="0"/>
    <d v="2017-05-24T00:00:00"/>
    <d v="2017-06-05T00:00:00"/>
    <s v="Stavitelství Pospíšil s.r.o."/>
    <n v="5521389"/>
    <n v="6680881"/>
    <x v="62"/>
    <m/>
    <d v="2017-06-26T00:00:00"/>
  </r>
  <r>
    <s v="VZ-2017-000367"/>
    <x v="1"/>
    <s v="Marek"/>
    <x v="193"/>
    <s v="72261000-2 "/>
    <m/>
    <n v="290000"/>
    <x v="0"/>
    <d v="2017-05-29T00:00:00"/>
    <d v="2017-06-08T00:00:00"/>
    <s v="Mediso Art s.r.o."/>
    <n v="342000"/>
    <n v="413820"/>
    <x v="45"/>
    <m/>
    <s v="xxx"/>
  </r>
  <r>
    <s v="VZ-2017-000369"/>
    <x v="1"/>
    <s v="Marek"/>
    <x v="194"/>
    <s v="72268000-1"/>
    <m/>
    <n v="27275000"/>
    <x v="1"/>
    <d v="2017-05-25T00:00:00"/>
    <d v="2017-07-13T00:00:00"/>
    <s v="SoftwareOne Czech Rep. s.r.o."/>
    <n v="26996343"/>
    <n v="32665575.029999997"/>
    <x v="66"/>
    <m/>
    <d v="2017-08-21T00:00:00"/>
  </r>
  <r>
    <s v="VZ-2017-000370"/>
    <x v="10"/>
    <s v="Zemánek"/>
    <x v="195"/>
    <s v="50421000-2"/>
    <m/>
    <n v="800000"/>
    <x v="0"/>
    <d v="2017-05-22T00:00:00"/>
    <d v="2017-06-01T00:00:00"/>
    <s v="Schafferová s.r.o."/>
    <n v="138060"/>
    <n v="167052.6"/>
    <x v="57"/>
    <s v="doba neurčitá"/>
    <d v="2017-06-30T00:00:00"/>
  </r>
  <r>
    <s v="VZ-2017-000377"/>
    <x v="0"/>
    <s v="Čech"/>
    <x v="196"/>
    <s v="33168000-5"/>
    <s v="2.2.37;2.2.38;2.2.39"/>
    <n v="300000"/>
    <x v="0"/>
    <d v="2017-05-26T00:00:00"/>
    <d v="2017-06-07T00:00:00"/>
    <s v="B. Braun Medical  s.r.o."/>
    <n v="298409"/>
    <n v="361074.89"/>
    <x v="63"/>
    <m/>
    <s v="xxx"/>
  </r>
  <r>
    <s v="VZ-2017-000378"/>
    <x v="0"/>
    <s v="Čech"/>
    <x v="197"/>
    <s v="33121300-7 "/>
    <s v="2.3.244."/>
    <n v="990000"/>
    <x v="0"/>
    <d v="2017-05-26T00:00:00"/>
    <d v="2017-06-07T00:00:00"/>
    <s v="Allien Technik s.r.o."/>
    <n v="693024.2"/>
    <n v="839089.3"/>
    <x v="63"/>
    <m/>
    <d v="2017-07-18T00:00:00"/>
  </r>
  <r>
    <s v="VZ-2017-000379"/>
    <x v="0"/>
    <s v="Čech"/>
    <x v="198"/>
    <s v="33162100-4 "/>
    <s v="2.3.250."/>
    <n v="455000"/>
    <x v="0"/>
    <d v="2017-06-30T00:00:00"/>
    <d v="2017-06-08T00:00:00"/>
    <s v="zrušeno"/>
    <m/>
    <m/>
    <x v="0"/>
    <m/>
    <s v="xxx"/>
  </r>
  <r>
    <s v="VZ-2017-000380"/>
    <x v="0"/>
    <s v="Čech"/>
    <x v="199"/>
    <s v="33192300-5"/>
    <s v="2.2.99."/>
    <n v="400000"/>
    <x v="0"/>
    <d v="2017-05-26T00:00:00"/>
    <d v="2017-06-07T00:00:00"/>
    <s v="CHIS, s.r.o."/>
    <n v="316120"/>
    <n v="382505.2"/>
    <x v="67"/>
    <m/>
    <s v="xxx"/>
  </r>
  <r>
    <s v="VZ-2017-000385"/>
    <x v="0"/>
    <s v="Čech"/>
    <x v="200"/>
    <s v="33195110-7"/>
    <s v="2.3.248.;2.2.70."/>
    <n v="640000"/>
    <x v="0"/>
    <d v="2017-05-26T00:00:00"/>
    <d v="2017-06-08T00:00:00"/>
    <s v="ASCOMED s.r.o."/>
    <n v="1045356"/>
    <n v="1264880.76"/>
    <x v="58"/>
    <m/>
    <d v="2017-07-07T00:00:00"/>
  </r>
  <r>
    <s v="VZ-2017-000397"/>
    <x v="0"/>
    <s v="Čech"/>
    <x v="201"/>
    <s v="39711100-0"/>
    <s v="2.2.101-103,228-231,"/>
    <n v="365000"/>
    <x v="0"/>
    <d v="2017-05-31T00:00:00"/>
    <d v="2017-06-20T00:00:00"/>
    <s v="zrušeno"/>
    <m/>
    <m/>
    <x v="0"/>
    <m/>
    <s v="xxx"/>
  </r>
  <r>
    <s v="VZ-2017-000397"/>
    <x v="0"/>
    <s v="Čech"/>
    <x v="202"/>
    <s v="39711100-0"/>
    <s v="2.2.101-103,228-231,"/>
    <n v="300000"/>
    <x v="0"/>
    <d v="2017-05-31T00:00:00"/>
    <d v="2017-06-20T00:00:00"/>
    <s v="Schoeller Instruments s.r.o."/>
    <n v="384220"/>
    <n v="464906.2"/>
    <x v="65"/>
    <m/>
    <d v="2017-09-12T00:00:00"/>
  </r>
  <r>
    <s v="VZ-2017-000397"/>
    <x v="0"/>
    <s v="Čech"/>
    <x v="203"/>
    <s v="39711100-0"/>
    <s v="2.2.101-103,228-231,"/>
    <n v="300000"/>
    <x v="0"/>
    <d v="2017-05-31T00:00:00"/>
    <d v="2017-06-20T00:00:00"/>
    <s v="KRD s.r.o."/>
    <n v="681635"/>
    <n v="824778.35"/>
    <x v="68"/>
    <m/>
    <d v="2017-09-18T00:00:00"/>
  </r>
  <r>
    <s v="VZ-2017-000398"/>
    <x v="11"/>
    <s v="Žůrek"/>
    <x v="204"/>
    <s v="34923000-3"/>
    <s v="4.3.1."/>
    <n v="8450000"/>
    <x v="1"/>
    <d v="2017-05-30T00:00:00"/>
    <d v="2017-07-10T00:00:00"/>
    <s v="První chráněnná dílna"/>
    <n v="8400000"/>
    <n v="10164000"/>
    <x v="69"/>
    <m/>
    <d v="2017-10-04T00:00:00"/>
  </r>
  <r>
    <s v="VZ-2017-000399"/>
    <x v="4"/>
    <s v="Ondráčková"/>
    <x v="205"/>
    <s v="33621300-2"/>
    <m/>
    <n v="2800423.66"/>
    <x v="1"/>
    <d v="2017-05-31T00:00:00"/>
    <d v="2017-07-27T00:00:00"/>
    <s v="zrušeno"/>
    <m/>
    <m/>
    <x v="0"/>
    <m/>
    <d v="2017-07-31T00:00:00"/>
  </r>
  <r>
    <s v="VZ-2017-000399"/>
    <x v="4"/>
    <s v="Ondráčková"/>
    <x v="206"/>
    <s v="33621300-2"/>
    <m/>
    <n v="1373817.6"/>
    <x v="1"/>
    <d v="2017-05-31T00:00:00"/>
    <d v="2017-07-27T00:00:00"/>
    <s v="Amgen s.r.o."/>
    <n v="1373817.6"/>
    <n v="1511199.36"/>
    <x v="70"/>
    <d v="2019-09-06T00:00:00"/>
    <d v="2017-09-11T00:00:00"/>
  </r>
  <r>
    <s v="VZ-2017-000399"/>
    <x v="4"/>
    <s v="Ondráčková"/>
    <x v="207"/>
    <s v="33621300-2"/>
    <m/>
    <n v="4822804.8"/>
    <x v="1"/>
    <d v="2017-05-31T00:00:00"/>
    <d v="2017-07-27T00:00:00"/>
    <s v="Promedica Praha Group, a.s."/>
    <n v="4822804.8"/>
    <n v="5305085.28"/>
    <x v="70"/>
    <d v="2018-04-01T00:00:00"/>
    <d v="2017-09-11T00:00:00"/>
  </r>
  <r>
    <s v="VZ-2017-000399"/>
    <x v="4"/>
    <s v="Ondráčková"/>
    <x v="208"/>
    <s v="33621300-2"/>
    <m/>
    <n v="953125.92"/>
    <x v="1"/>
    <d v="2017-05-31T00:00:00"/>
    <d v="2017-07-27T00:00:00"/>
    <s v="zrušeno"/>
    <m/>
    <m/>
    <x v="0"/>
    <m/>
    <d v="2017-07-31T00:00:00"/>
  </r>
  <r>
    <s v="VZ-2017-000408"/>
    <x v="0"/>
    <s v="Čech"/>
    <x v="209"/>
    <s v="33169100-3"/>
    <s v="2.3.187."/>
    <n v="2480000"/>
    <x v="3"/>
    <d v="2017-06-01T00:00:00"/>
    <d v="2017-06-22T00:00:00"/>
    <s v="Hospimed spol. s r.o."/>
    <n v="1795080"/>
    <n v="2172046.7999999998"/>
    <x v="65"/>
    <m/>
    <d v="2017-09-15T00:00:00"/>
  </r>
  <r>
    <s v="VZ-2017-000411"/>
    <x v="9"/>
    <s v="Vaida"/>
    <x v="210"/>
    <s v="45453000-7"/>
    <m/>
    <n v="450000"/>
    <x v="0"/>
    <d v="2017-06-01T00:00:00"/>
    <d v="2017-06-09T00:00:00"/>
    <s v="A-Z stavby s.r.o."/>
    <n v="666853.41"/>
    <n v="806892.62609999999"/>
    <x v="71"/>
    <m/>
    <d v="2017-07-03T00:00:00"/>
  </r>
  <r>
    <s v="VZ-2017-000412"/>
    <x v="1"/>
    <s v="Oravec"/>
    <x v="211"/>
    <s v="48823000-3"/>
    <s v="3.2.19."/>
    <n v="3015000"/>
    <x v="1"/>
    <d v="2017-06-14T00:00:00"/>
    <d v="2017-07-12T00:00:00"/>
    <s v="Merit Group a.s."/>
    <n v="2893356"/>
    <n v="3500960.76"/>
    <x v="72"/>
    <m/>
    <d v="2017-10-10T00:00:00"/>
  </r>
  <r>
    <s v="VZ-2017-000414"/>
    <x v="18"/>
    <s v="Srovnal"/>
    <x v="212"/>
    <s v="42416100-6 "/>
    <s v="4.2.47.;4.2.48."/>
    <n v="1900000"/>
    <x v="0"/>
    <d v="2017-06-13T00:00:00"/>
    <d v="2017-07-07T00:00:00"/>
    <s v="Liftmont s.r.o."/>
    <n v="1060000"/>
    <n v="1282600"/>
    <x v="73"/>
    <m/>
    <d v="2017-08-17T00:00:00"/>
  </r>
  <r>
    <s v="VZ-2017-000417"/>
    <x v="18"/>
    <s v="Srovnal"/>
    <x v="213"/>
    <s v="33190000-8"/>
    <s v="4.2.40."/>
    <n v="540000"/>
    <x v="0"/>
    <d v="2017-06-08T00:00:00"/>
    <d v="2017-06-22T00:00:00"/>
    <s v="MZ Liberec a.s."/>
    <n v="421309"/>
    <n v="509783.89"/>
    <x v="74"/>
    <m/>
    <d v="2017-08-09T00:00:00"/>
  </r>
  <r>
    <s v="VZ-2017-000418"/>
    <x v="21"/>
    <s v="Dudík"/>
    <x v="214"/>
    <s v="65100000-4"/>
    <s v="4.3.7."/>
    <n v="1990000"/>
    <x v="0"/>
    <d v="2017-10-17T00:00:00"/>
    <d v="2017-11-26T00:00:00"/>
    <s v="AQUA Cleer, s.r.o."/>
    <n v="1782746"/>
    <n v="2157123"/>
    <x v="0"/>
    <m/>
    <m/>
  </r>
  <r>
    <s v="VZ-2017-000421"/>
    <x v="18"/>
    <s v="Srovnal"/>
    <x v="215"/>
    <s v="42163000-9"/>
    <s v="4.1.17."/>
    <n v="1529000"/>
    <x v="0"/>
    <d v="2017-06-08T00:00:00"/>
    <d v="2017-06-20T00:00:00"/>
    <s v="SCHIFF und STERN, spol. s r.o."/>
    <n v="1430000"/>
    <n v="1730300"/>
    <x v="75"/>
    <m/>
    <d v="2017-07-18T00:00:00"/>
  </r>
  <r>
    <s v="VZ-2017-000422"/>
    <x v="0"/>
    <s v="Čech"/>
    <x v="216"/>
    <s v="33111400-5"/>
    <s v="2.3.183.;2.3.217."/>
    <n v="11320000"/>
    <x v="1"/>
    <d v="2017-06-08T00:00:00"/>
    <d v="2017-07-17T00:00:00"/>
    <s v="Siemens Healthcare, s.r.o."/>
    <n v="6870870"/>
    <n v="8313752.7000000002"/>
    <x v="76"/>
    <m/>
    <d v="2017-10-16T00:00:00"/>
  </r>
  <r>
    <s v="VZ-2017-000422"/>
    <x v="0"/>
    <s v="Čech"/>
    <x v="217"/>
    <s v="33111400-5"/>
    <s v="2.3.183.;2.3.217."/>
    <n v="8840000"/>
    <x v="1"/>
    <d v="2017-06-08T00:00:00"/>
    <d v="2017-07-17T00:00:00"/>
    <s v="Exray s.r.o."/>
    <n v="5485900"/>
    <n v="6637939"/>
    <x v="77"/>
    <m/>
    <d v="2017-12-06T00:00:00"/>
  </r>
  <r>
    <s v="VZ-2017-000424"/>
    <x v="9"/>
    <s v="Vaida"/>
    <x v="218"/>
    <s v="45453000-7"/>
    <s v="4.2.11."/>
    <n v="1230000"/>
    <x v="0"/>
    <d v="2017-06-08T00:00:00"/>
    <d v="2017-06-16T00:00:00"/>
    <s v="Stavitelství Pospíšil s.r.o."/>
    <n v="1421979"/>
    <n v="1720594.5899999999"/>
    <x v="45"/>
    <m/>
    <d v="2017-06-30T00:00:00"/>
  </r>
  <r>
    <s v="VZ-2017-000425"/>
    <x v="9"/>
    <s v="Vaida"/>
    <x v="219"/>
    <s v="45453000-7"/>
    <s v="4.3.4."/>
    <n v="2950000"/>
    <x v="0"/>
    <d v="2017-06-08T00:00:00"/>
    <d v="2017-06-16T00:00:00"/>
    <s v="Elektropráce Spáčil s.r.o."/>
    <n v="2850000"/>
    <n v="3448500"/>
    <x v="53"/>
    <m/>
    <d v="2017-07-13T00:00:00"/>
  </r>
  <r>
    <s v="VZ-2017-000427"/>
    <x v="4"/>
    <s v="Ondráčková"/>
    <x v="220"/>
    <s v="33694000-1"/>
    <m/>
    <n v="8430840"/>
    <x v="1"/>
    <d v="2017-08-01T00:00:00"/>
    <d v="2017-09-07T00:00:00"/>
    <s v="The Binding Site s.r.o."/>
    <n v="8394430"/>
    <n v="10157266.300000001"/>
    <x v="78"/>
    <d v="2021-11-07T00:00:00"/>
    <d v="2017-11-10T00:00:00"/>
  </r>
  <r>
    <s v="VZ-2017-000429"/>
    <x v="13"/>
    <s v="Eyer"/>
    <x v="221"/>
    <s v="51135100-8"/>
    <s v="4.2.18."/>
    <n v="3000000"/>
    <x v="3"/>
    <d v="2017-06-22T00:00:00"/>
    <d v="2017-08-14T00:00:00"/>
    <s v="zrušeno"/>
    <m/>
    <m/>
    <x v="0"/>
    <m/>
    <d v="2017-08-16T00:00:00"/>
  </r>
  <r>
    <s v="VZ-2017-000435"/>
    <x v="0"/>
    <s v="Čech"/>
    <x v="222"/>
    <s v="33182100-0"/>
    <s v="2.2.88, 2.3.195, 2.3.200, 2.3.205, 2.3.212, 2.3.232, 2.3.236, 2.3.240, 2.3.242, 2.3.246, 2.3.277"/>
    <n v="4300000"/>
    <x v="1"/>
    <d v="2017-06-13T00:00:00"/>
    <d v="2017-07-26T00:00:00"/>
    <s v="Medsol s.r.o."/>
    <n v="3089540"/>
    <n v="3738343.4"/>
    <x v="79"/>
    <m/>
    <d v="2017-10-19T00:00:00"/>
  </r>
  <r>
    <s v="VZ-2017-000437"/>
    <x v="1"/>
    <s v="Oravec"/>
    <x v="223"/>
    <s v="30213300-8"/>
    <m/>
    <n v="5785000"/>
    <x v="1"/>
    <d v="2017-06-13T00:00:00"/>
    <d v="2017-07-20T00:00:00"/>
    <s v="AutoCont CZ a.s."/>
    <n v="5465950"/>
    <n v="6613799.5"/>
    <x v="70"/>
    <d v="2018-09-06T00:00:00"/>
    <d v="2017-09-08T00:00:00"/>
  </r>
  <r>
    <s v="VZ-2017-000446"/>
    <x v="16"/>
    <s v="Neudorflörová"/>
    <x v="224"/>
    <s v="33111000-1 "/>
    <s v="2.3.257"/>
    <n v="8261978"/>
    <x v="1"/>
    <d v="2017-07-14T00:00:00"/>
    <d v="2017-08-29T00:00:00"/>
    <s v="North Med s.r.o."/>
    <n v="5667000"/>
    <n v="6857070"/>
    <x v="80"/>
    <m/>
    <d v="2017-12-12T00:00:00"/>
  </r>
  <r>
    <s v="VZ-2017-000460"/>
    <x v="2"/>
    <s v="Dočkalová"/>
    <x v="225"/>
    <s v="33140000-3"/>
    <m/>
    <n v="611000"/>
    <x v="0"/>
    <d v="2017-06-16T00:00:00"/>
    <d v="2017-06-30T00:00:00"/>
    <m/>
    <m/>
    <m/>
    <x v="0"/>
    <m/>
    <m/>
  </r>
  <r>
    <s v="VZ-2017-000461"/>
    <x v="0"/>
    <s v="Čech"/>
    <x v="226"/>
    <s v="33182210-4"/>
    <s v="2.3.243."/>
    <n v="250000"/>
    <x v="0"/>
    <d v="2017-06-19T00:00:00"/>
    <d v="2017-06-30T00:00:00"/>
    <s v="Biotronik Praha spol.s  r.o."/>
    <n v="245200"/>
    <n v="296692"/>
    <x v="81"/>
    <m/>
    <s v="xxx"/>
  </r>
  <r>
    <s v="VZ-2017-000461"/>
    <x v="0"/>
    <s v="Čech"/>
    <x v="227"/>
    <s v="33182210-4"/>
    <s v="2.3.243."/>
    <n v="145000"/>
    <x v="0"/>
    <d v="2017-06-19T00:00:00"/>
    <d v="2017-06-30T00:00:00"/>
    <s v="Biotronik Praha spol.s  r.o."/>
    <n v="108400"/>
    <n v="131164"/>
    <x v="81"/>
    <m/>
    <s v="xxx"/>
  </r>
  <r>
    <s v="VZ-2017-000463"/>
    <x v="0"/>
    <s v="Čech"/>
    <x v="228"/>
    <s v="33116100-6"/>
    <s v="2.3.196."/>
    <n v="370000"/>
    <x v="0"/>
    <d v="2017-06-19T00:00:00"/>
    <d v="2017-06-30T00:00:00"/>
    <s v="zrušeno"/>
    <m/>
    <m/>
    <x v="0"/>
    <m/>
    <s v="xxx"/>
  </r>
  <r>
    <s v="VZ-2017-000465"/>
    <x v="0"/>
    <s v="Čech"/>
    <x v="229"/>
    <s v="38000000-5"/>
    <s v="2.3.278"/>
    <n v="660000"/>
    <x v="0"/>
    <d v="2017-06-21T00:00:00"/>
    <d v="2017-06-30T00:00:00"/>
    <s v="Bio-Rad spol. s r.o."/>
    <n v="787100"/>
    <n v="952391"/>
    <x v="82"/>
    <m/>
    <d v="2017-08-31T00:00:00"/>
  </r>
  <r>
    <s v="VZ-2017-000484"/>
    <x v="22"/>
    <s v="Neudorflörová"/>
    <x v="230"/>
    <s v="33111400-5"/>
    <s v="2.3.273."/>
    <n v="30334200"/>
    <x v="1"/>
    <d v="2017-08-02T00:00:00"/>
    <d v="2017-09-11T00:00:00"/>
    <s v="Medtronic Czechia s.r.o."/>
    <n v="30309200"/>
    <n v="36674132"/>
    <x v="79"/>
    <m/>
    <d v="2017-10-19T00:00:00"/>
  </r>
  <r>
    <s v="VZ-2017-000490"/>
    <x v="0"/>
    <s v="Čech"/>
    <x v="231"/>
    <s v="33162100-4"/>
    <s v="2.3.208."/>
    <n v="825000"/>
    <x v="0"/>
    <d v="2017-06-23T00:00:00"/>
    <d v="2017-07-11T00:00:00"/>
    <s v="zrušeno"/>
    <m/>
    <m/>
    <x v="0"/>
    <m/>
    <s v="xxx"/>
  </r>
  <r>
    <s v="VZ-2017-000491"/>
    <x v="0"/>
    <s v="Čech"/>
    <x v="232"/>
    <s v="33162100-4"/>
    <s v="2.3.250."/>
    <n v="550000"/>
    <x v="0"/>
    <d v="2017-06-23T00:00:00"/>
    <d v="2017-07-07T00:00:00"/>
    <s v="Hospimed spol. s r.o."/>
    <n v="552543"/>
    <n v="668577.03"/>
    <x v="83"/>
    <m/>
    <d v="2017-08-15T00:00:00"/>
  </r>
  <r>
    <s v="VZ-2017-000494"/>
    <x v="18"/>
    <s v="Srovnal"/>
    <x v="233"/>
    <s v="42513290-4 "/>
    <s v="4.2.34."/>
    <n v="5800000"/>
    <x v="1"/>
    <d v="2017-06-23T00:00:00"/>
    <d v="2017-08-02T00:00:00"/>
    <s v="ENCOFA SERVIS s.r.o."/>
    <n v="6578307"/>
    <n v="7959751.4699999997"/>
    <x v="84"/>
    <m/>
    <d v="2017-09-15T00:00:00"/>
  </r>
  <r>
    <s v="VZ-2017-000495"/>
    <x v="3"/>
    <s v="Kvapil"/>
    <x v="234"/>
    <s v="71322000-1"/>
    <s v="1.3.16."/>
    <n v="300000"/>
    <x v="0"/>
    <d v="2017-07-14T00:00:00"/>
    <d v="2017-07-25T00:00:00"/>
    <s v="zrušeno"/>
    <m/>
    <m/>
    <x v="0"/>
    <m/>
    <s v="xxx"/>
  </r>
  <r>
    <s v="VZ-2017-000495"/>
    <x v="3"/>
    <s v="Kvapil"/>
    <x v="235"/>
    <s v="71322000-1"/>
    <s v=" 1.3.17."/>
    <n v="150000"/>
    <x v="0"/>
    <d v="2017-07-14T00:00:00"/>
    <d v="2017-07-25T00:00:00"/>
    <s v="zrušeno"/>
    <m/>
    <m/>
    <x v="0"/>
    <m/>
    <s v="xxx"/>
  </r>
  <r>
    <s v="VZ-2017-000498"/>
    <x v="0"/>
    <s v="Čech"/>
    <x v="236"/>
    <s v="33164100-8"/>
    <s v="2.2.71."/>
    <n v="710000"/>
    <x v="0"/>
    <d v="2017-06-27T00:00:00"/>
    <d v="2017-07-12T00:00:00"/>
    <s v="Radix CZ s.r.o."/>
    <n v="770003"/>
    <n v="931703.63"/>
    <x v="29"/>
    <m/>
    <d v="2017-08-22T00:00:00"/>
  </r>
  <r>
    <s v="VZ-2017-000508"/>
    <x v="9"/>
    <s v="Vaida"/>
    <x v="237"/>
    <s v="45453000-7"/>
    <s v="4.3.3."/>
    <n v="4500000"/>
    <x v="0"/>
    <d v="2017-07-14T00:00:00"/>
    <d v="2017-07-25T00:00:00"/>
    <s v="zrušeno"/>
    <m/>
    <m/>
    <x v="0"/>
    <m/>
    <s v="xxx"/>
  </r>
  <r>
    <s v="VZ-2017-000509"/>
    <x v="16"/>
    <s v="Neudorflörová"/>
    <x v="238"/>
    <s v="33167000-8"/>
    <s v="2.3.261."/>
    <n v="6490962.8099999996"/>
    <x v="1"/>
    <d v="2017-06-30T00:00:00"/>
    <d v="2017-09-06T00:00:00"/>
    <s v="zrušeno"/>
    <m/>
    <m/>
    <x v="0"/>
    <m/>
    <d v="2017-09-27T00:00:00"/>
  </r>
  <r>
    <s v="VZ-2017-000510"/>
    <x v="0"/>
    <s v="Čech"/>
    <x v="239"/>
    <s v="33124120-2 "/>
    <s v="2.3.218"/>
    <n v="2525000"/>
    <x v="1"/>
    <d v="2017-06-29T00:00:00"/>
    <d v="2017-08-11T00:00:00"/>
    <s v="Nimotech s.r.o."/>
    <n v="2091536.1"/>
    <n v="2530758.6809999999"/>
    <x v="85"/>
    <m/>
    <d v="2017-09-22T00:00:00"/>
  </r>
  <r>
    <s v="VZ-2017-000510"/>
    <x v="0"/>
    <s v="Čech"/>
    <x v="240"/>
    <s v="33124120-2 "/>
    <s v="2.4.80."/>
    <n v="275000"/>
    <x v="1"/>
    <d v="2017-06-29T00:00:00"/>
    <d v="2017-08-11T00:00:00"/>
    <s v="Promedica Praha Group, a.s."/>
    <n v="309564"/>
    <n v="374572.44"/>
    <x v="85"/>
    <m/>
    <d v="2017-09-22T00:00:00"/>
  </r>
  <r>
    <s v="VZ-2017-000514"/>
    <x v="1"/>
    <s v="Marek"/>
    <x v="241"/>
    <m/>
    <s v="3.2.14."/>
    <n v="1000000"/>
    <x v="0"/>
    <d v="2017-07-24T00:00:00"/>
    <d v="2017-08-02T00:00:00"/>
    <s v="zrušeno"/>
    <m/>
    <m/>
    <x v="0"/>
    <m/>
    <s v="xxx"/>
  </r>
  <r>
    <s v="VZ-2017-000515"/>
    <x v="13"/>
    <s v="Zbořil"/>
    <x v="242"/>
    <s v="45310000-3"/>
    <s v="4.1.33."/>
    <n v="930000"/>
    <x v="0"/>
    <d v="2017-07-13T00:00:00"/>
    <d v="2017-07-25T00:00:00"/>
    <s v="TC servis, s.r.o."/>
    <n v="697204"/>
    <n v="843616.84"/>
    <x v="83"/>
    <m/>
    <d v="2017-08-14T00:00:00"/>
  </r>
  <r>
    <s v="VZ-2017-000517"/>
    <x v="2"/>
    <s v="Dočkalová"/>
    <x v="243"/>
    <s v="18424300-0"/>
    <m/>
    <n v="3900000"/>
    <x v="1"/>
    <d v="2017-07-20T00:00:00"/>
    <d v="2017-08-31T00:00:00"/>
    <s v="Gatebo s.r.o."/>
    <n v="3504666.4"/>
    <n v="4240646.3439999996"/>
    <x v="77"/>
    <m/>
    <d v="2017-12-06T00:00:00"/>
  </r>
  <r>
    <s v="VZ-2017-000522"/>
    <x v="2"/>
    <s v="Dočkalová"/>
    <x v="244"/>
    <s v="33181200-4 "/>
    <m/>
    <n v="1165000"/>
    <x v="3"/>
    <d v="2017-08-21T00:00:00"/>
    <d v="2017-10-04T00:00:00"/>
    <s v="Globaltek Group s.r.o."/>
    <n v="1143360"/>
    <n v="1383465.6"/>
    <x v="77"/>
    <d v="2019-03-19T00:00:00"/>
    <d v="2017-12-06T00:00:00"/>
  </r>
  <r>
    <s v="VZ-2017-000522"/>
    <x v="2"/>
    <s v="Dočkalová"/>
    <x v="245"/>
    <s v="33181200-4 "/>
    <m/>
    <n v="1275000"/>
    <x v="3"/>
    <d v="2017-08-21T00:00:00"/>
    <d v="2017-10-04T00:00:00"/>
    <s v="Gatebo s.r.o."/>
    <n v="999000"/>
    <n v="1208790"/>
    <x v="77"/>
    <d v="2019-03-18T00:00:00"/>
    <d v="2017-12-06T00:00:00"/>
  </r>
  <r>
    <s v="VZ-2017-000523"/>
    <x v="1"/>
    <s v="Oravec"/>
    <x v="246"/>
    <s v="30232110-8; 30232150-0"/>
    <m/>
    <n v="825000"/>
    <x v="0"/>
    <d v="2017-08-14T00:00:00"/>
    <d v="2017-08-23T00:00:00"/>
    <s v="AutoCont CZ a.s."/>
    <n v="643150"/>
    <n v="778210"/>
    <x v="86"/>
    <m/>
    <d v="2017-10-02T00:00:00"/>
  </r>
  <r>
    <s v="VZ-2017-000530"/>
    <x v="1"/>
    <s v="Miklík"/>
    <x v="247"/>
    <s v="72261000-2"/>
    <m/>
    <n v="402000"/>
    <x v="0"/>
    <d v="2017-07-25T00:00:00"/>
    <d v="2017-08-03T00:00:00"/>
    <s v="DATA-INTER s.r.o."/>
    <n v="485900"/>
    <n v="587939"/>
    <x v="29"/>
    <m/>
    <s v="xxx"/>
  </r>
  <r>
    <s v="VZ-2017-000532"/>
    <x v="9"/>
    <s v="Vaida"/>
    <x v="248"/>
    <s v="45432130-4"/>
    <m/>
    <n v="500000"/>
    <x v="0"/>
    <d v="2017-08-27T00:00:00"/>
    <d v="2017-08-14T00:00:00"/>
    <s v="Stavona Olomouc s.r.o."/>
    <n v="400595"/>
    <n v="484719.95"/>
    <x v="87"/>
    <d v="2018-08-31T00:00:00"/>
    <d v="2017-09-01T00:00:00"/>
  </r>
  <r>
    <s v="VZ-2017-000533"/>
    <x v="16"/>
    <s v="Neudorflörová"/>
    <x v="249"/>
    <s v="33192230-3"/>
    <s v="2.3.260."/>
    <n v="18526962"/>
    <x v="1"/>
    <d v="2017-08-24T00:00:00"/>
    <d v="2017-10-03T00:00:00"/>
    <s v="Maquet s.r.o."/>
    <n v="12953570"/>
    <n v="15673819.699999999"/>
    <x v="88"/>
    <m/>
    <d v="2017-12-07T00:00:00"/>
  </r>
  <r>
    <s v="VZ-2017-000536"/>
    <x v="1"/>
    <s v="Oravec"/>
    <x v="250"/>
    <s v="72611000-6"/>
    <m/>
    <n v="660000"/>
    <x v="0"/>
    <d v="2017-08-27T00:00:00"/>
    <d v="2017-08-08T00:00:00"/>
    <s v="Microshop s.r.o."/>
    <n v="394000"/>
    <n v="476740"/>
    <x v="87"/>
    <m/>
    <d v="2017-09-01T00:00:00"/>
  </r>
  <r>
    <s v="VZ-2017-000537"/>
    <x v="4"/>
    <s v="Ondráčková"/>
    <x v="251"/>
    <s v="33662100-9"/>
    <m/>
    <n v="1364792.76"/>
    <x v="1"/>
    <d v="2017-08-01T00:00:00"/>
    <d v="2017-09-08T00:00:00"/>
    <s v="Alliance Healthcare s.r.o."/>
    <n v="1364792.76"/>
    <n v="1501272.0360000001"/>
    <x v="89"/>
    <d v="2019-10-23T00:00:00"/>
    <d v="2017-10-25T00:00:00"/>
  </r>
  <r>
    <s v="VZ-2017-000537"/>
    <x v="4"/>
    <s v="Ondráčková"/>
    <x v="252"/>
    <s v="33662100-9"/>
    <m/>
    <n v="67601042.040000007"/>
    <x v="1"/>
    <d v="2017-08-01T00:00:00"/>
    <d v="2017-09-08T00:00:00"/>
    <s v="Alliance Healthcare s.r.o."/>
    <n v="67601042.040000007"/>
    <n v="74361146.244000018"/>
    <x v="89"/>
    <d v="2019-10-23T00:00:00"/>
    <d v="2017-10-25T00:00:00"/>
  </r>
  <r>
    <s v="VZ-2017-000537"/>
    <x v="4"/>
    <s v="Ondráčková"/>
    <x v="253"/>
    <s v="33662100-9"/>
    <m/>
    <n v="14623775.52"/>
    <x v="1"/>
    <d v="2017-08-01T00:00:00"/>
    <d v="2017-09-08T00:00:00"/>
    <s v="Bayer s.r.o."/>
    <n v="14800119.52"/>
    <n v="16280131.472000001"/>
    <x v="89"/>
    <d v="2019-10-23T00:00:00"/>
    <d v="2017-10-25T00:00:00"/>
  </r>
  <r>
    <s v="VZ-2017-000538"/>
    <x v="4"/>
    <s v="Ondráčková"/>
    <x v="254"/>
    <s v="33652000-5"/>
    <m/>
    <n v="6503641.7999999998"/>
    <x v="1"/>
    <d v="2017-08-16T00:00:00"/>
    <d v="2017-09-26T00:00:00"/>
    <s v="Fresenius Kabi s.r.o."/>
    <n v="1087227.6000000001"/>
    <n v="1195950.3600000001"/>
    <x v="0"/>
    <m/>
    <m/>
  </r>
  <r>
    <s v="VZ-2017-000538"/>
    <x v="4"/>
    <s v="Ondráčková"/>
    <x v="255"/>
    <s v="33652000-5"/>
    <m/>
    <n v="381074.24"/>
    <x v="1"/>
    <d v="2017-08-16T00:00:00"/>
    <d v="2017-09-26T00:00:00"/>
    <s v="Pharmos, a.s."/>
    <n v="378320.36"/>
    <n v="416152.39600000001"/>
    <x v="0"/>
    <m/>
    <m/>
  </r>
  <r>
    <s v="VZ-2017-000538"/>
    <x v="4"/>
    <s v="Ondráčková"/>
    <x v="256"/>
    <s v="33652000-5"/>
    <m/>
    <n v="74800"/>
    <x v="1"/>
    <d v="2017-08-16T00:00:00"/>
    <d v="2017-09-26T00:00:00"/>
    <s v="zrušeno bez nabídky"/>
    <m/>
    <m/>
    <x v="0"/>
    <m/>
    <d v="2017-09-29T00:00:00"/>
  </r>
  <r>
    <s v="VZ-2017-000544"/>
    <x v="13"/>
    <s v="Eyer"/>
    <x v="257"/>
    <s v="71322000-1"/>
    <m/>
    <n v="500000"/>
    <x v="0"/>
    <d v="2017-07-31T00:00:00"/>
    <d v="2017-08-15T00:00:00"/>
    <s v="Elpremo s.r.o."/>
    <n v="149870"/>
    <n v="181343"/>
    <x v="90"/>
    <m/>
    <d v="2017-09-27T00:00:00"/>
  </r>
  <r>
    <s v="VZ-2017-000546"/>
    <x v="4"/>
    <s v="Ondráčková"/>
    <x v="258"/>
    <s v="33652000-5"/>
    <m/>
    <n v="6632848.2800000003"/>
    <x v="1"/>
    <d v="2017-08-11T00:00:00"/>
    <d v="2017-09-18T00:00:00"/>
    <s v="zrušeno bez nabídky"/>
    <m/>
    <m/>
    <x v="0"/>
    <m/>
    <d v="2017-09-22T00:00:00"/>
  </r>
  <r>
    <s v="VZ-2017-000546"/>
    <x v="4"/>
    <s v="Ondráčková"/>
    <x v="259"/>
    <s v="33652000-5"/>
    <m/>
    <n v="7051294.7999999998"/>
    <x v="1"/>
    <d v="2017-08-11T00:00:00"/>
    <d v="2017-09-18T00:00:00"/>
    <s v="Avenier a.s."/>
    <n v="7051294.7999999998"/>
    <n v="7756424.2800000003"/>
    <x v="91"/>
    <d v="2019-10-30T00:00:00"/>
    <d v="2017-11-01T00:00:00"/>
  </r>
  <r>
    <s v="VZ-2017-000546"/>
    <x v="4"/>
    <s v="Ondráčková"/>
    <x v="260"/>
    <s v="33652000-5"/>
    <m/>
    <n v="55890699.060000002"/>
    <x v="1"/>
    <d v="2017-08-11T00:00:00"/>
    <d v="2017-09-18T00:00:00"/>
    <s v="ROCHE s.r.o."/>
    <n v="55890699.060000002"/>
    <n v="61479768.969999999"/>
    <x v="91"/>
    <d v="2019-10-30T00:00:00"/>
    <d v="2017-11-01T00:00:00"/>
  </r>
  <r>
    <s v="VZ-2017-000546"/>
    <x v="4"/>
    <s v="Ondráčková"/>
    <x v="261"/>
    <s v="33652000-5"/>
    <m/>
    <n v="14441053.779999999"/>
    <x v="1"/>
    <d v="2017-08-11T00:00:00"/>
    <d v="2017-09-18T00:00:00"/>
    <s v="ROCHE s.r.o."/>
    <n v="14427606.699999999"/>
    <n v="15870367.369999999"/>
    <x v="91"/>
    <d v="2019-10-30T00:00:00"/>
    <d v="2017-11-01T00:00:00"/>
  </r>
  <r>
    <s v="VZ-2017-000546"/>
    <x v="4"/>
    <s v="Ondráčková"/>
    <x v="262"/>
    <s v="33652000-5"/>
    <m/>
    <n v="3049301.88"/>
    <x v="1"/>
    <d v="2017-08-11T00:00:00"/>
    <d v="2017-09-18T00:00:00"/>
    <s v="ROCHE s.r.o."/>
    <n v="3049301.88"/>
    <n v="3354232.07"/>
    <x v="91"/>
    <d v="2019-10-30T00:00:00"/>
    <d v="2017-11-01T00:00:00"/>
  </r>
  <r>
    <s v="VZ-2017-000546"/>
    <x v="4"/>
    <s v="Ondráčková"/>
    <x v="263"/>
    <s v="33652000-5"/>
    <m/>
    <n v="4687531.68"/>
    <x v="1"/>
    <d v="2017-08-11T00:00:00"/>
    <d v="2017-09-18T00:00:00"/>
    <s v="zrušeno bez nabídky"/>
    <m/>
    <m/>
    <x v="0"/>
    <m/>
    <d v="2017-09-22T00:00:00"/>
  </r>
  <r>
    <s v="VZ-2017-000550"/>
    <x v="0"/>
    <s v="Čech"/>
    <x v="264"/>
    <s v="33151400-7"/>
    <s v="2.3.189."/>
    <n v="455000"/>
    <x v="0"/>
    <d v="2017-08-11T00:00:00"/>
    <d v="2017-08-23T00:00:00"/>
    <s v="Transkontakt medical s.r.o."/>
    <n v="523815.75"/>
    <n v="633817.0575"/>
    <x v="92"/>
    <m/>
    <s v="xxx"/>
  </r>
  <r>
    <s v="VZ-2017-000554"/>
    <x v="0"/>
    <s v="Čech"/>
    <x v="265"/>
    <s v="33151400-7"/>
    <s v="2.2.22."/>
    <n v="1650000"/>
    <x v="0"/>
    <d v="2017-08-07T00:00:00"/>
    <d v="2017-08-17T00:00:00"/>
    <s v="zrušeno - bez nabídky"/>
    <m/>
    <m/>
    <x v="0"/>
    <m/>
    <s v="xxx"/>
  </r>
  <r>
    <s v="VZ-2017-000557"/>
    <x v="0"/>
    <s v="Čech"/>
    <x v="266"/>
    <s v="38311000-8"/>
    <s v="2.2.78."/>
    <n v="290000"/>
    <x v="0"/>
    <d v="2017-08-11T00:00:00"/>
    <d v="2017-08-23T00:00:00"/>
    <s v="Lékárna -invest s.r.o."/>
    <n v="313200"/>
    <n v="378972"/>
    <x v="90"/>
    <m/>
    <s v="xxx"/>
  </r>
  <r>
    <s v="VZ-2017-000559"/>
    <x v="0"/>
    <s v="Čech"/>
    <x v="267"/>
    <s v="33157400-9"/>
    <s v="2.3.283."/>
    <n v="305000"/>
    <x v="0"/>
    <d v="2017-08-11T00:00:00"/>
    <d v="2017-08-22T00:00:00"/>
    <s v="DARTIN spol. s r.o."/>
    <n v="437341"/>
    <n v="529182.61"/>
    <x v="93"/>
    <m/>
    <s v="xxx"/>
  </r>
  <r>
    <s v="VZ-2017-000560"/>
    <x v="4"/>
    <s v="Ondráčková"/>
    <x v="268"/>
    <s v="33652100-6"/>
    <m/>
    <n v="33004807.5"/>
    <x v="1"/>
    <d v="2017-08-16T00:00:00"/>
    <d v="2017-09-25T00:00:00"/>
    <s v="Alliance Healthcare s.r.o."/>
    <n v="32678026.5"/>
    <n v="35945829.150000006"/>
    <x v="94"/>
    <d v="2019-11-15T00:00:00"/>
    <d v="2017-11-21T00:00:00"/>
  </r>
  <r>
    <s v="VZ-2017-000560"/>
    <x v="4"/>
    <s v="Ondráčková"/>
    <x v="269"/>
    <s v="33652100-6"/>
    <m/>
    <n v="9844705.6999999993"/>
    <x v="1"/>
    <d v="2017-08-16T00:00:00"/>
    <d v="2017-09-25T00:00:00"/>
    <s v="ROCHE s.r.o."/>
    <n v="9844250"/>
    <n v="10828675"/>
    <x v="94"/>
    <d v="2019-11-15T00:00:00"/>
    <d v="2017-11-21T00:00:00"/>
  </r>
  <r>
    <s v="VZ-2017-000560"/>
    <x v="4"/>
    <s v="Ondráčková"/>
    <x v="270"/>
    <s v="33652100-6"/>
    <m/>
    <n v="15902036.4"/>
    <x v="1"/>
    <d v="2017-08-16T00:00:00"/>
    <d v="2017-09-25T00:00:00"/>
    <s v="Amgen s.r.o."/>
    <n v="15902036.4"/>
    <n v="17492240.040000003"/>
    <x v="94"/>
    <d v="2019-11-15T00:00:00"/>
    <d v="2017-11-21T00:00:00"/>
  </r>
  <r>
    <s v="VZ-2017-000560"/>
    <x v="4"/>
    <s v="Ondráčková"/>
    <x v="271"/>
    <s v="33652100-6"/>
    <m/>
    <n v="4317966.9000000004"/>
    <x v="1"/>
    <d v="2017-08-16T00:00:00"/>
    <d v="2017-09-25T00:00:00"/>
    <s v="Alliance Healthcare s.r.o."/>
    <n v="2139104.5"/>
    <n v="2353014.9500000002"/>
    <x v="94"/>
    <d v="2019-11-15T00:00:00"/>
    <d v="2017-11-21T00:00:00"/>
  </r>
  <r>
    <s v="VZ-2017-000561"/>
    <x v="4"/>
    <s v="Ondráčková"/>
    <x v="272"/>
    <s v="33694000-1"/>
    <m/>
    <n v="3381000"/>
    <x v="3"/>
    <d v="2017-08-25T00:00:00"/>
    <d v="2017-09-19T00:00:00"/>
    <s v="PharmaTech s.r.o."/>
    <n v="3381000"/>
    <n v="4091010"/>
    <x v="0"/>
    <m/>
    <m/>
  </r>
  <r>
    <s v="VZ-2017-000563"/>
    <x v="0"/>
    <s v="Čech"/>
    <x v="273"/>
    <s v="38000000-5"/>
    <s v="2.3.282."/>
    <n v="990000"/>
    <x v="0"/>
    <d v="2017-08-11T00:00:00"/>
    <d v="2017-08-22T00:00:00"/>
    <s v="INTER META Ostrava s.r.o."/>
    <n v="1109550"/>
    <n v="1342555.5"/>
    <x v="95"/>
    <m/>
    <d v="2017-10-02T00:00:00"/>
  </r>
  <r>
    <s v="VZ-2017-000565"/>
    <x v="16"/>
    <s v="Neudorflörová"/>
    <x v="274"/>
    <s v="33192120-9"/>
    <s v="2.3.254."/>
    <n v="11705547"/>
    <x v="1"/>
    <d v="2017-09-07T00:00:00"/>
    <d v="2017-10-19T00:00:00"/>
    <s v="Linet s.r.o."/>
    <n v="14909928.1"/>
    <n v="18041013.000999998"/>
    <x v="0"/>
    <m/>
    <m/>
  </r>
  <r>
    <s v="VZ-2017-000571"/>
    <x v="3"/>
    <s v="Kvapil"/>
    <x v="275"/>
    <s v="71322000-1"/>
    <s v="1.3.16."/>
    <n v="300000"/>
    <x v="0"/>
    <d v="2017-08-21T00:00:00"/>
    <d v="2017-08-30T00:00:00"/>
    <s v="Ing. Luděk Vrba"/>
    <n v="298100"/>
    <n v="298100"/>
    <x v="96"/>
    <m/>
    <s v="xxx"/>
  </r>
  <r>
    <s v="VZ-2017-000571"/>
    <x v="3"/>
    <s v="Kvapil"/>
    <x v="276"/>
    <s v="71322000-1"/>
    <s v=" 1.3.17."/>
    <n v="150000"/>
    <x v="0"/>
    <d v="2017-08-21T00:00:00"/>
    <d v="2017-08-30T00:00:00"/>
    <s v="Ing. Luděk Vrba"/>
    <n v="160400"/>
    <n v="160400"/>
    <x v="96"/>
    <m/>
    <s v="xxx"/>
  </r>
  <r>
    <s v="VZ-2017-000573"/>
    <x v="16"/>
    <s v="Neudorflörová"/>
    <x v="277"/>
    <s v="33124120-2"/>
    <m/>
    <n v="24819752"/>
    <x v="1"/>
    <d v="2017-10-02T00:00:00"/>
    <d v="2017-11-09T00:00:00"/>
    <s v="EMS s.r.o."/>
    <n v="23792140"/>
    <n v="28788489.399999999"/>
    <x v="0"/>
    <m/>
    <m/>
  </r>
  <r>
    <s v="VZ-2017-000578"/>
    <x v="23"/>
    <s v="Nerudová"/>
    <x v="278"/>
    <s v="39120000-9"/>
    <m/>
    <n v="230000"/>
    <x v="3"/>
    <d v="2017-08-22T00:00:00"/>
    <d v="2017-09-13T00:00:00"/>
    <s v="KSK nábytek s.r.o."/>
    <n v="162127"/>
    <n v="196173.67"/>
    <x v="97"/>
    <m/>
    <d v="2017-11-06T00:00:00"/>
  </r>
  <r>
    <s v="VZ-2017-000579"/>
    <x v="16"/>
    <s v="Neudorflörová"/>
    <x v="279"/>
    <s v="33157400-9 "/>
    <s v="2.3.259."/>
    <n v="11203695.869999999"/>
    <x v="1"/>
    <d v="2017-10-04T00:00:00"/>
    <d v="2018-01-03T00:00:00"/>
    <m/>
    <m/>
    <m/>
    <x v="0"/>
    <m/>
    <m/>
  </r>
  <r>
    <s v="VZ-2017-000582"/>
    <x v="0"/>
    <s v="Novák"/>
    <x v="280"/>
    <s v="33116100-6"/>
    <s v="2.3.196."/>
    <n v="370000"/>
    <x v="0"/>
    <d v="2017-08-22T00:00:00"/>
    <d v="2017-09-05T00:00:00"/>
    <s v="Fénix Brno s.r.o."/>
    <n v="497942"/>
    <n v="602509.81999999995"/>
    <x v="98"/>
    <m/>
    <s v="xxx"/>
  </r>
  <r>
    <s v="VZ-2017-000585"/>
    <x v="13"/>
    <s v="Eyer"/>
    <x v="281"/>
    <s v="45331100-7"/>
    <s v="4.2.19, 4.1.28"/>
    <n v="1500000"/>
    <x v="0"/>
    <d v="2017-08-28T00:00:00"/>
    <d v="2017-09-07T00:00:00"/>
    <s v="MIZ Olomouc s.r.o."/>
    <n v="1911804.94"/>
    <n v="2313283.9773999997"/>
    <x v="99"/>
    <m/>
    <d v="2017-10-10T00:00:00"/>
  </r>
  <r>
    <s v="VZ-2017-000587"/>
    <x v="0"/>
    <s v="Čech"/>
    <x v="282"/>
    <s v="33124120-2"/>
    <s v="2.3.210."/>
    <n v="1115000"/>
    <x v="0"/>
    <d v="2017-08-28T00:00:00"/>
    <d v="2017-09-07T00:00:00"/>
    <s v="EMS s.r.o."/>
    <n v="398340"/>
    <n v="481991.4"/>
    <x v="100"/>
    <m/>
    <d v="2017-10-17T00:00:00"/>
  </r>
  <r>
    <s v="VZ-2017-000589 "/>
    <x v="13"/>
    <s v="Eyer"/>
    <x v="283"/>
    <s v="51135100-8"/>
    <s v="4.2.18."/>
    <n v="3500000"/>
    <x v="3"/>
    <d v="2017-08-30T00:00:00"/>
    <d v="2017-09-20T00:00:00"/>
    <s v="Bosch Termotechnika s.r.o."/>
    <n v="3220530"/>
    <n v="3896841.3"/>
    <x v="0"/>
    <m/>
    <m/>
  </r>
  <r>
    <s v="VZ-2017-000592"/>
    <x v="19"/>
    <s v="Kotzot"/>
    <x v="284"/>
    <s v="71320000-7 "/>
    <m/>
    <n v="40000"/>
    <x v="0"/>
    <d v="2017-09-04T00:00:00"/>
    <d v="2017-09-26T00:00:00"/>
    <s v="Michal Raška"/>
    <n v="36400"/>
    <n v="44044"/>
    <x v="101"/>
    <m/>
    <s v="xxx"/>
  </r>
  <r>
    <s v="VZ-2017-000597"/>
    <x v="0"/>
    <s v="Čech"/>
    <x v="285"/>
    <s v="33124110-9"/>
    <s v="2.3.185."/>
    <n v="5200000"/>
    <x v="1"/>
    <d v="2017-09-08T00:00:00"/>
    <d v="2017-10-18T00:00:00"/>
    <s v="Medinet s.r.o."/>
    <n v="5282600"/>
    <n v="6391946"/>
    <x v="102"/>
    <m/>
    <d v="2018-01-03T00:00:00"/>
  </r>
  <r>
    <s v="VZ-2017-000599"/>
    <x v="14"/>
    <s v="Hyža"/>
    <x v="286"/>
    <s v="39314000-6"/>
    <s v="4.2.7."/>
    <n v="2800000"/>
    <x v="3"/>
    <d v="2017-09-19T00:00:00"/>
    <d v="2017-10-10T00:00:00"/>
    <s v="zrušena"/>
    <m/>
    <m/>
    <x v="0"/>
    <m/>
    <d v="2017-11-08T00:00:00"/>
  </r>
  <r>
    <s v="VZ-2017-000606"/>
    <x v="0"/>
    <s v="Čech"/>
    <x v="287"/>
    <s v="39711100-0"/>
    <s v="2.2.101-103,228-231,"/>
    <n v="365000"/>
    <x v="0"/>
    <d v="2017-09-12T00:00:00"/>
    <d v="2017-09-21T00:00:00"/>
    <s v="KRD s.r.o."/>
    <n v="370975"/>
    <n v="448879.75"/>
    <x v="103"/>
    <m/>
    <s v="xxx"/>
  </r>
  <r>
    <s v="VZ-2017-000613"/>
    <x v="18"/>
    <s v="Srovnal"/>
    <x v="288"/>
    <s v="31000000-6 "/>
    <s v="4.2.38.,4.2.39."/>
    <n v="1157000"/>
    <x v="0"/>
    <d v="2017-09-15T00:00:00"/>
    <d v="2017-09-26T00:00:00"/>
    <s v="Elmar group s.r.o."/>
    <n v="699660"/>
    <n v="846588.6"/>
    <x v="104"/>
    <m/>
    <d v="2017-10-23T00:00:00"/>
  </r>
  <r>
    <s v="VZ-2017-000621"/>
    <x v="0"/>
    <s v="Čech"/>
    <x v="289"/>
    <s v="33123200-0 "/>
    <s v="2.4.78."/>
    <n v="275000"/>
    <x v="0"/>
    <d v="2017-09-20T00:00:00"/>
    <d v="2017-10-06T00:00:00"/>
    <s v="BTL zdrav. technika a.s."/>
    <n v="332750"/>
    <n v="402627.5"/>
    <x v="105"/>
    <m/>
    <s v="xxx"/>
  </r>
  <r>
    <s v="VZ-2017-000625"/>
    <x v="9"/>
    <s v="Vaida"/>
    <x v="290"/>
    <s v="45332300-6"/>
    <s v="4.2.12."/>
    <n v="900000"/>
    <x v="0"/>
    <d v="2017-09-15T00:00:00"/>
    <d v="2017-09-27T00:00:00"/>
    <s v="VALTR generální dodavatel st."/>
    <n v="666396.06999999995"/>
    <n v="806339.24469999992"/>
    <x v="106"/>
    <m/>
    <d v="2017-11-06T00:00:00"/>
  </r>
  <r>
    <s v="VZ-2017-000626"/>
    <x v="4"/>
    <s v="Ondráčková"/>
    <x v="291"/>
    <s v="33696200-7"/>
    <m/>
    <n v="977760"/>
    <x v="0"/>
    <d v="2017-12-08T00:00:00"/>
    <d v="2018-01-04T00:00:00"/>
    <s v="zrušeno"/>
    <m/>
    <m/>
    <x v="0"/>
    <m/>
    <s v="xxx"/>
  </r>
  <r>
    <s v="VZ-2017-000627"/>
    <x v="4"/>
    <s v="Ondráčková"/>
    <x v="292"/>
    <s v="33652300-8"/>
    <m/>
    <n v="2854864.68"/>
    <x v="1"/>
    <d v="2017-10-09T00:00:00"/>
    <d v="2017-11-23T00:00:00"/>
    <s v="Alliance Healthcare s.r.o."/>
    <n v="2854864.68"/>
    <n v="3140351.1480000005"/>
    <x v="0"/>
    <m/>
    <m/>
  </r>
  <r>
    <s v="VZ-2017-000627"/>
    <x v="4"/>
    <s v="Ondráčková"/>
    <x v="293"/>
    <s v="33652300-8"/>
    <m/>
    <n v="22808400"/>
    <x v="1"/>
    <d v="2017-10-09T00:00:00"/>
    <d v="2017-11-23T00:00:00"/>
    <s v="PHOENIX lék. Velkoobchod"/>
    <n v="22780920"/>
    <n v="25059012.000000004"/>
    <x v="0"/>
    <m/>
    <m/>
  </r>
  <r>
    <s v="VZ-2017-000627"/>
    <x v="4"/>
    <s v="Ondráčková"/>
    <x v="294"/>
    <s v="33652300-8"/>
    <m/>
    <n v="19808012.399999999"/>
    <x v="1"/>
    <d v="2017-10-09T00:00:00"/>
    <d v="2017-11-23T00:00:00"/>
    <s v="zrušeno bez nabídky"/>
    <m/>
    <m/>
    <x v="0"/>
    <m/>
    <d v="2017-12-28T00:00:00"/>
  </r>
  <r>
    <s v="VZ-2017-000627"/>
    <x v="4"/>
    <s v="Ondráčková"/>
    <x v="295"/>
    <s v="33652300-8"/>
    <m/>
    <n v="47998332"/>
    <x v="1"/>
    <d v="2017-10-09T00:00:00"/>
    <d v="2017-11-23T00:00:00"/>
    <s v="Alliance Healthcare s.r.o."/>
    <n v="48195114.479999997"/>
    <n v="53014625.928000003"/>
    <x v="0"/>
    <m/>
    <m/>
  </r>
  <r>
    <s v="VZ-2017-000627"/>
    <x v="4"/>
    <s v="Ondráčková"/>
    <x v="296"/>
    <s v="33652300-8"/>
    <m/>
    <n v="42201746.560000002"/>
    <x v="1"/>
    <d v="2017-10-09T00:00:00"/>
    <d v="2017-11-23T00:00:00"/>
    <s v="ViaPharma s.r.o."/>
    <n v="41814288"/>
    <n v="45995716.800000004"/>
    <x v="0"/>
    <m/>
    <m/>
  </r>
  <r>
    <s v="VZ-2017-000627"/>
    <x v="4"/>
    <s v="Ondráčková"/>
    <x v="297"/>
    <s v="33652300-8"/>
    <m/>
    <n v="15420550.880000001"/>
    <x v="1"/>
    <d v="2017-10-09T00:00:00"/>
    <d v="2017-11-23T00:00:00"/>
    <s v="Merck Sharp &amp; Dohme s.r.o."/>
    <n v="15485324.960000001"/>
    <n v="17033858.199999999"/>
    <x v="0"/>
    <m/>
    <m/>
  </r>
  <r>
    <s v="VZ-2017-000628"/>
    <x v="4"/>
    <s v="Ondráčková"/>
    <x v="298"/>
    <s v="33141550-0"/>
    <m/>
    <n v="2450711.06"/>
    <x v="1"/>
    <d v="2017-09-19T00:00:00"/>
    <d v="2017-10-26T00:00:00"/>
    <s v="Alliance Healthcare s.r.o."/>
    <n v="2428391.42"/>
    <n v="2671230.5619999999"/>
    <x v="107"/>
    <d v="2019-12-18T00:00:00"/>
    <d v="2018-01-17T00:00:00"/>
  </r>
  <r>
    <s v="VZ-2017-000628"/>
    <x v="4"/>
    <s v="Ondráčková"/>
    <x v="299"/>
    <s v="33141550-0"/>
    <m/>
    <n v="998754.74239839998"/>
    <x v="1"/>
    <d v="2017-09-19T00:00:00"/>
    <d v="2017-10-26T00:00:00"/>
    <s v="Sanofi-Aventis"/>
    <n v="998719"/>
    <n v="1098590.9000000001"/>
    <x v="0"/>
    <m/>
    <m/>
  </r>
  <r>
    <s v="VZ-2017-000628"/>
    <x v="4"/>
    <s v="Ondráčková"/>
    <x v="300"/>
    <s v="33141550-0"/>
    <m/>
    <n v="29114032.180000003"/>
    <x v="1"/>
    <d v="2017-09-19T00:00:00"/>
    <d v="2017-10-26T00:00:00"/>
    <s v="PHOENIX lék. Velkoobchod"/>
    <n v="29114032.18"/>
    <n v="32025435.398000002"/>
    <x v="107"/>
    <d v="2019-12-18T00:00:00"/>
    <d v="2018-01-17T00:00:00"/>
  </r>
  <r>
    <s v="VZ-2017-000628"/>
    <x v="4"/>
    <s v="Ondráčková"/>
    <x v="301"/>
    <s v="33141550-0"/>
    <m/>
    <n v="1297495.2862"/>
    <x v="1"/>
    <d v="2017-09-19T00:00:00"/>
    <d v="2017-10-26T00:00:00"/>
    <s v="zrušeno"/>
    <m/>
    <m/>
    <x v="0"/>
    <m/>
    <d v="2017-11-08T00:00:00"/>
  </r>
  <r>
    <s v="VZ-2017-000631"/>
    <x v="0"/>
    <s v="Čech"/>
    <x v="302"/>
    <s v="33195100-4"/>
    <s v="2.3.199.,2.3.209.,23.3.216.,2.3.220.,2.3.233."/>
    <n v="1240000"/>
    <x v="0"/>
    <d v="2017-10-02T00:00:00"/>
    <d v="2017-10-13T00:00:00"/>
    <s v="S+T Plus s.r.o."/>
    <n v="1150800"/>
    <n v="1392468"/>
    <x v="103"/>
    <d v="2020-02-26T00:00:00"/>
    <d v="2017-11-15T00:00:00"/>
  </r>
  <r>
    <s v="VZ-2017-000631"/>
    <x v="0"/>
    <s v="Čech"/>
    <x v="303"/>
    <s v="33195100-4"/>
    <m/>
    <m/>
    <x v="0"/>
    <d v="2017-10-02T00:00:00"/>
    <d v="2017-10-13T00:00:00"/>
    <s v="Medisap s.r.o."/>
    <n v="125030"/>
    <n v="151286.29999999999"/>
    <x v="77"/>
    <d v="2020-02-26T00:00:00"/>
    <d v="2017-12-05T00:00:00"/>
  </r>
  <r>
    <s v="VZ-2017-000633"/>
    <x v="18"/>
    <s v="Srovnal"/>
    <x v="304"/>
    <s v="45333000-0"/>
    <m/>
    <n v="250000"/>
    <x v="0"/>
    <d v="2017-09-15T00:00:00"/>
    <d v="2017-09-22T00:00:00"/>
    <s v="Dräger Medical s.r.o."/>
    <n v="227823"/>
    <n v="275665.83"/>
    <x v="108"/>
    <d v="2020-02-26T00:00:00"/>
    <s v="xxx"/>
  </r>
  <r>
    <s v="VZ-2017-000633"/>
    <x v="18"/>
    <s v="Srovnal"/>
    <x v="305"/>
    <s v="45333000-0"/>
    <m/>
    <n v="120000"/>
    <x v="0"/>
    <d v="2017-09-15T00:00:00"/>
    <d v="2017-09-22T00:00:00"/>
    <s v="Dräger Medical s.r.o."/>
    <n v="70671"/>
    <n v="85511.91"/>
    <x v="108"/>
    <d v="2020-02-26T00:00:00"/>
    <s v="xxx"/>
  </r>
  <r>
    <s v="VZ-2017-000641"/>
    <x v="8"/>
    <s v="Solovský"/>
    <x v="306"/>
    <s v="34300000-0; 50110000-9"/>
    <m/>
    <n v="2700000"/>
    <x v="1"/>
    <d v="2017-10-11T00:00:00"/>
    <d v="2017-11-21T00:00:00"/>
    <s v="Auto Čechák s.r.o."/>
    <s v="jednotkové ceny"/>
    <m/>
    <x v="0"/>
    <m/>
    <m/>
  </r>
  <r>
    <s v="VZ-2017-000641"/>
    <x v="8"/>
    <s v="Solovský"/>
    <x v="307"/>
    <s v="34300000-0; 50110000-9"/>
    <m/>
    <n v="1150000"/>
    <x v="1"/>
    <d v="2017-10-11T00:00:00"/>
    <d v="2017-11-21T00:00:00"/>
    <s v="Jiří Klanica"/>
    <s v="jednotkové ceny"/>
    <m/>
    <x v="0"/>
    <m/>
    <m/>
  </r>
  <r>
    <s v="VZ-2017-000641"/>
    <x v="8"/>
    <s v="Solovský"/>
    <x v="308"/>
    <s v="34300000-0; 50110000-9"/>
    <m/>
    <n v="150000"/>
    <x v="1"/>
    <d v="2017-10-11T00:00:00"/>
    <d v="2017-11-21T00:00:00"/>
    <s v="Auto Čechák s.r.o."/>
    <s v="jednotkové ceny"/>
    <m/>
    <x v="0"/>
    <m/>
    <m/>
  </r>
  <r>
    <s v="VZ-2017-000645"/>
    <x v="9"/>
    <s v="Vaida"/>
    <x v="309"/>
    <s v="45453000-7"/>
    <s v="4.2.59."/>
    <n v="420000"/>
    <x v="0"/>
    <d v="2017-09-22T00:00:00"/>
    <d v="2017-10-03T00:00:00"/>
    <s v="VALTR generální dodavatel st."/>
    <n v="509700"/>
    <n v="616737"/>
    <x v="106"/>
    <m/>
    <d v="2017-11-06T00:00:00"/>
  </r>
  <r>
    <s v="VZ-2017-000646"/>
    <x v="9"/>
    <s v="Vaida"/>
    <x v="310"/>
    <s v="45421131-1"/>
    <s v="4.2.57."/>
    <n v="290000"/>
    <x v="0"/>
    <d v="2017-09-22T00:00:00"/>
    <d v="2017-10-03T00:00:00"/>
    <s v="zrušeno bez nabídky"/>
    <m/>
    <m/>
    <x v="0"/>
    <m/>
    <s v="xxx"/>
  </r>
  <r>
    <s v="VZ-2017-000647"/>
    <x v="1"/>
    <s v="Marek"/>
    <x v="311"/>
    <s v="79314000-8"/>
    <m/>
    <n v="1990000"/>
    <x v="0"/>
    <d v="2017-09-22T00:00:00"/>
    <d v="2017-10-03T00:00:00"/>
    <s v="Euro Enterprise Develop. s.r.o."/>
    <n v="1880000"/>
    <n v="2274800"/>
    <x v="109"/>
    <m/>
    <d v="2017-10-18T00:00:00"/>
  </r>
  <r>
    <s v="VZ-2017-000649"/>
    <x v="0"/>
    <s v="Čech"/>
    <x v="312"/>
    <s v="33194100-7 "/>
    <m/>
    <n v="42880000"/>
    <x v="1"/>
    <d v="2017-09-25T00:00:00"/>
    <d v="2017-11-10T00:00:00"/>
    <s v="První chráněnná dílna"/>
    <n v="35749398.539999999"/>
    <n v="43256772.233399995"/>
    <x v="80"/>
    <m/>
    <d v="2017-12-12T00:00:00"/>
  </r>
  <r>
    <s v="VZ-2017-000657"/>
    <x v="23"/>
    <s v="Nerudová"/>
    <x v="313"/>
    <s v="39120000-9"/>
    <m/>
    <n v="400000"/>
    <x v="3"/>
    <d v="2017-09-26T00:00:00"/>
    <d v="2017-10-16T00:00:00"/>
    <s v="Langer Interiéry s.r.o."/>
    <n v="298968"/>
    <n v="361751.28"/>
    <x v="110"/>
    <m/>
    <d v="2017-11-28T00:00:00"/>
  </r>
  <r>
    <s v="VZ-2017-000659"/>
    <x v="13"/>
    <s v="Eyer"/>
    <x v="314"/>
    <s v="48900000-7"/>
    <s v="4.2.20."/>
    <n v="500000"/>
    <x v="0"/>
    <d v="2017-09-27T00:00:00"/>
    <d v="2017-10-10T00:00:00"/>
    <s v="Elmar group s.r.o."/>
    <n v="564260"/>
    <n v="682754.6"/>
    <x v="103"/>
    <m/>
    <d v="2017-11-16T00:00:00"/>
  </r>
  <r>
    <s v="VZ-2017-000660"/>
    <x v="4"/>
    <s v="Ondráčková"/>
    <x v="315"/>
    <s v="33652000-5"/>
    <m/>
    <n v="62306843.039999999"/>
    <x v="1"/>
    <d v="2017-09-27T00:00:00"/>
    <d v="2017-11-03T00:00:00"/>
    <s v="TEVA Pharmaceuticals ČR s.r.o."/>
    <n v="62306843.039999999"/>
    <n v="68537527.344000012"/>
    <x v="107"/>
    <d v="2019-12-18T00:00:00"/>
    <d v="2017-12-20T00:00:00"/>
  </r>
  <r>
    <s v="VZ-2017-000660"/>
    <x v="4"/>
    <s v="Ondráčková"/>
    <x v="316"/>
    <s v="33652000-5"/>
    <m/>
    <n v="6082017.4000000004"/>
    <x v="1"/>
    <d v="2017-09-27T00:00:00"/>
    <d v="2017-11-03T00:00:00"/>
    <s v="PHOENIX lék. Velkoobchod"/>
    <n v="605196.69999999995"/>
    <n v="665716.37"/>
    <x v="107"/>
    <d v="2019-12-18T00:00:00"/>
    <d v="2017-12-20T00:00:00"/>
  </r>
  <r>
    <s v="VZ-2017-000660"/>
    <x v="4"/>
    <s v="Ondráčková"/>
    <x v="317"/>
    <s v="33652000-5"/>
    <m/>
    <n v="1622552.64"/>
    <x v="1"/>
    <d v="2017-09-27T00:00:00"/>
    <d v="2017-11-03T00:00:00"/>
    <s v="zrušeno"/>
    <m/>
    <m/>
    <x v="0"/>
    <m/>
    <d v="2017-11-08T00:00:00"/>
  </r>
  <r>
    <s v="VZ-2017-000661"/>
    <x v="1"/>
    <s v="Oravec"/>
    <x v="318"/>
    <s v="30233141-1"/>
    <s v="3.2.18."/>
    <n v="3674000"/>
    <x v="3"/>
    <d v="2017-10-02T00:00:00"/>
    <d v="2017-10-19T00:00:00"/>
    <s v="Merit Group a.s."/>
    <n v="3597858"/>
    <n v="4353408.18"/>
    <x v="111"/>
    <m/>
    <d v="2017-11-10T00:00:00"/>
  </r>
  <r>
    <s v="VZ-2017-000663"/>
    <x v="0"/>
    <s v="Čech"/>
    <x v="319"/>
    <s v="39143112-4"/>
    <m/>
    <n v="1400000"/>
    <x v="0"/>
    <d v="2017-09-27T00:00:00"/>
    <d v="2017-10-06T00:00:00"/>
    <s v="LB Bohemia s.r.o."/>
    <n v="985500"/>
    <n v="1192455"/>
    <x v="106"/>
    <m/>
    <d v="2017-11-06T00:00:00"/>
  </r>
  <r>
    <s v="VZ-2017-000667"/>
    <x v="9"/>
    <s v="Vaida"/>
    <x v="320"/>
    <s v="45453000-7"/>
    <s v="4.2.13."/>
    <n v="1500000"/>
    <x v="0"/>
    <d v="2017-09-27T00:00:00"/>
    <d v="2017-10-10T00:00:00"/>
    <s v="Elektropráce Spáčil s.r.o."/>
    <n v="1458414.38"/>
    <n v="1764681.3997999998"/>
    <x v="103"/>
    <m/>
    <d v="2017-11-16T00:00:00"/>
  </r>
  <r>
    <s v="VZ-2017-000668"/>
    <x v="9"/>
    <s v="Vaida"/>
    <x v="321"/>
    <s v="45261214-7"/>
    <m/>
    <n v="1300000"/>
    <x v="0"/>
    <d v="2017-10-02T00:00:00"/>
    <d v="2017-10-10T00:00:00"/>
    <s v="Izotech Moravia s.r.o."/>
    <n v="689401"/>
    <n v="834175.21"/>
    <x v="112"/>
    <m/>
    <d v="2017-11-14T00:00:00"/>
  </r>
  <r>
    <s v="VZ-2017-000669"/>
    <x v="9"/>
    <s v="Vaida"/>
    <x v="322"/>
    <s v="45453000-7"/>
    <m/>
    <n v="330000"/>
    <x v="0"/>
    <d v="2017-09-27T00:00:00"/>
    <d v="2017-10-10T00:00:00"/>
    <s v="zrušeno"/>
    <m/>
    <m/>
    <x v="0"/>
    <m/>
    <s v="xxx"/>
  </r>
  <r>
    <s v="VZ-2017-000670"/>
    <x v="11"/>
    <s v="Žůrek"/>
    <x v="323"/>
    <s v="45316200-7"/>
    <s v="4.2.52."/>
    <n v="1325000"/>
    <x v="0"/>
    <d v="2017-11-08T00:00:00"/>
    <d v="2017-11-16T00:00:00"/>
    <s v="zrušeno"/>
    <m/>
    <m/>
    <x v="0"/>
    <m/>
    <s v="xxx"/>
  </r>
  <r>
    <s v="VZ-2017-000677"/>
    <x v="0"/>
    <s v="Čech"/>
    <x v="324"/>
    <s v="33120000-7"/>
    <s v="2.3.295."/>
    <n v="455000"/>
    <x v="0"/>
    <d v="2017-10-05T00:00:00"/>
    <d v="2017-10-17T00:00:00"/>
    <s v="BTL zdrav. technika a.s."/>
    <n v="493750"/>
    <n v="597437.5"/>
    <x v="105"/>
    <m/>
    <s v="xxx"/>
  </r>
  <r>
    <s v="VZ-2017-000679"/>
    <x v="4"/>
    <s v="Ondráčková"/>
    <x v="325"/>
    <s v="33696500-0"/>
    <m/>
    <n v="8700000"/>
    <x v="1"/>
    <d v="2017-10-20T00:00:00"/>
    <d v="2017-11-30T00:00:00"/>
    <s v="Promedica Praha Group, a.s."/>
    <n v="8612882"/>
    <n v="10421587.220000001"/>
    <x v="0"/>
    <m/>
    <m/>
  </r>
  <r>
    <s v="VZ-2017-000680"/>
    <x v="24"/>
    <s v="Odehnalová"/>
    <x v="326"/>
    <s v="55110000-4"/>
    <m/>
    <n v="400000"/>
    <x v="0"/>
    <d v="2017-10-13T00:00:00"/>
    <d v="2017-10-20T00:00:00"/>
    <s v="Quiet Home Agency s.r.o."/>
    <n v="325945.5"/>
    <n v="379200"/>
    <x v="113"/>
    <m/>
    <s v="xxx"/>
  </r>
  <r>
    <s v="VZ-2017-000685"/>
    <x v="1"/>
    <s v="Oravec"/>
    <x v="327"/>
    <s v="32552110-1"/>
    <m/>
    <n v="360000"/>
    <x v="0"/>
    <d v="2017-10-11T00:00:00"/>
    <d v="2017-10-18T00:00:00"/>
    <s v="Eriserv, spol. s r.o."/>
    <n v="362500"/>
    <n v="438625"/>
    <x v="114"/>
    <m/>
    <s v="xxx"/>
  </r>
  <r>
    <s v="VZ-2017-000689"/>
    <x v="0"/>
    <s v="Čech"/>
    <x v="328"/>
    <s v="33192300-5"/>
    <m/>
    <n v="1175000"/>
    <x v="0"/>
    <d v="2017-10-09T00:00:00"/>
    <d v="2017-10-18T00:00:00"/>
    <s v="Pro-Charitu s.r.o."/>
    <n v="933362"/>
    <n v="1129406"/>
    <x v="106"/>
    <m/>
    <d v="2017-11-06T00:00:00"/>
  </r>
  <r>
    <s v="VZ-2017-000691"/>
    <x v="4"/>
    <s v="Ondráčková"/>
    <x v="329"/>
    <s v="33651520-9"/>
    <m/>
    <n v="3910221.46"/>
    <x v="1"/>
    <d v="2017-10-12T00:00:00"/>
    <d v="2017-11-22T00:00:00"/>
    <s v="PHOENIX lék. Velkoobchod"/>
    <n v="3910198.44"/>
    <n v="4301218.28"/>
    <x v="0"/>
    <m/>
    <m/>
  </r>
  <r>
    <s v="VZ-2017-000691"/>
    <x v="4"/>
    <s v="Ondráčková"/>
    <x v="330"/>
    <s v="33651520-9"/>
    <m/>
    <n v="1359101.04"/>
    <x v="1"/>
    <d v="2017-10-12T00:00:00"/>
    <d v="2017-11-22T00:00:00"/>
    <s v="zrušeno - bez nabídky"/>
    <m/>
    <m/>
    <x v="0"/>
    <m/>
    <d v="2017-12-28T00:00:00"/>
  </r>
  <r>
    <s v="VZ-2017-000691"/>
    <x v="4"/>
    <s v="Ondráčková"/>
    <x v="331"/>
    <s v="33651520-9"/>
    <m/>
    <n v="744173.64"/>
    <x v="1"/>
    <d v="2017-10-12T00:00:00"/>
    <d v="2017-11-22T00:00:00"/>
    <s v="SHIRE CZECH s.r.o."/>
    <n v="744167.52"/>
    <n v="818584.27"/>
    <x v="0"/>
    <m/>
    <m/>
  </r>
  <r>
    <s v="VZ-2017-000699"/>
    <x v="10"/>
    <s v="Zemánek"/>
    <x v="332"/>
    <s v="50400000-9"/>
    <m/>
    <n v="650000"/>
    <x v="0"/>
    <d v="2017-10-18T00:00:00"/>
    <d v="2017-10-31T00:00:00"/>
    <s v="Elekta Services s.r.o."/>
    <n v="639282.6"/>
    <n v="773531.95"/>
    <x v="110"/>
    <m/>
    <d v="2017-11-29T00:00:00"/>
  </r>
  <r>
    <s v="VZ2017-000704"/>
    <x v="23"/>
    <s v="Nerudová"/>
    <x v="333"/>
    <s v="39120000-9"/>
    <m/>
    <n v="380000"/>
    <x v="3"/>
    <d v="2017-10-18T00:00:00"/>
    <d v="2017-11-08T00:00:00"/>
    <s v="KSK nábytek s.r.o."/>
    <n v="316570"/>
    <n v="383049.7"/>
    <x v="0"/>
    <m/>
    <m/>
  </r>
  <r>
    <s v="VZ-2017-000710"/>
    <x v="25"/>
    <s v="Filip"/>
    <x v="334"/>
    <s v="50411000-9 "/>
    <m/>
    <n v="2600000"/>
    <x v="3"/>
    <d v="2017-10-19T00:00:00"/>
    <d v="2017-11-13T00:00:00"/>
    <s v="KALIST AKL s.r.o."/>
    <n v="1803340"/>
    <n v="2182041.4"/>
    <x v="102"/>
    <m/>
    <d v="2017-12-28T00:00:00"/>
  </r>
  <r>
    <s v="VZ-2017-000710"/>
    <x v="25"/>
    <s v="Filip"/>
    <x v="335"/>
    <s v="50411000-9 "/>
    <m/>
    <n v="800000"/>
    <x v="3"/>
    <d v="2017-10-19T00:00:00"/>
    <d v="2017-11-13T00:00:00"/>
    <s v="KALIST AKL s.r.o."/>
    <n v="718800"/>
    <n v="869748"/>
    <x v="102"/>
    <m/>
    <d v="2017-12-28T00:00:00"/>
  </r>
  <r>
    <s v="VZ-2017-000711"/>
    <x v="9"/>
    <s v="Vaida"/>
    <x v="336"/>
    <s v="45421100-5"/>
    <m/>
    <n v="350000"/>
    <x v="0"/>
    <d v="2017-10-24T00:00:00"/>
    <d v="2017-11-03T00:00:00"/>
    <s v="INWORK s.r.o."/>
    <n v="410892.09"/>
    <n v="497179.4289"/>
    <x v="77"/>
    <m/>
    <s v="xxx"/>
  </r>
  <r>
    <s v="VZ-2017-000713"/>
    <x v="1"/>
    <s v="Oravec"/>
    <x v="337"/>
    <s v="32428000-9"/>
    <s v="3.3.2."/>
    <n v="3670000"/>
    <x v="3"/>
    <d v="2017-10-18T00:00:00"/>
    <d v="2017-11-07T00:00:00"/>
    <s v="Merit Group a.s."/>
    <n v="3661450"/>
    <n v="4430354.4000000004"/>
    <x v="80"/>
    <m/>
    <d v="2017-12-12T00:00:00"/>
  </r>
  <r>
    <s v="VZ-2017-000715"/>
    <x v="26"/>
    <s v="Merta"/>
    <x v="338"/>
    <s v="73420000-2"/>
    <s v="1.3.1."/>
    <n v="1990000"/>
    <x v="0"/>
    <d v="2017-10-31T00:00:00"/>
    <d v="2017-11-10T00:00:00"/>
    <s v="SALSO s.r.o."/>
    <n v="1990000"/>
    <n v="2407900"/>
    <x v="115"/>
    <m/>
    <d v="2018-01-02T00:00:00"/>
  </r>
  <r>
    <s v="VZ-2017-000723"/>
    <x v="10"/>
    <s v="Zemánek"/>
    <x v="339"/>
    <s v="50400000-9"/>
    <m/>
    <n v="1100000"/>
    <x v="0"/>
    <d v="2017-10-23T00:00:00"/>
    <d v="2017-11-03T00:00:00"/>
    <s v="Transkontakt medical s.r.o."/>
    <n v="1017773.26"/>
    <n v="1231506"/>
    <x v="116"/>
    <m/>
    <d v="2017-11-23T00:00:00"/>
  </r>
  <r>
    <s v="VZ-2017-000726"/>
    <x v="10"/>
    <s v="Zemánek"/>
    <x v="340"/>
    <s v="50421000-2"/>
    <m/>
    <n v="1800000"/>
    <x v="0"/>
    <d v="2017-11-01T00:00:00"/>
    <d v="2017-11-14T00:00:00"/>
    <s v="BMT Medical Technology s.r.o."/>
    <n v="602674"/>
    <n v="729235.53999999992"/>
    <x v="117"/>
    <m/>
    <d v="2017-12-11T00:00:00"/>
  </r>
  <r>
    <s v="VZ-2017-000730"/>
    <x v="10"/>
    <s v="Zemánek"/>
    <x v="341"/>
    <s v="50421000-2"/>
    <m/>
    <n v="900000"/>
    <x v="0"/>
    <d v="2017-11-07T00:00:00"/>
    <d v="2017-11-14T00:00:00"/>
    <s v="Transkontakt medical s.r.o."/>
    <n v="839000"/>
    <n v="1015190"/>
    <x v="118"/>
    <m/>
    <d v="2017-12-13T00:00:00"/>
  </r>
  <r>
    <s v="VZ-2017-000733"/>
    <x v="10"/>
    <s v="Zemánek"/>
    <x v="342"/>
    <s v="50421000-2"/>
    <m/>
    <n v="560000"/>
    <x v="0"/>
    <d v="2017-10-31T00:00:00"/>
    <d v="2017-11-14T00:00:00"/>
    <s v="OMS-Dent s.r.o."/>
    <n v="27600"/>
    <n v="33396"/>
    <x v="119"/>
    <s v="doba neurčitá"/>
    <d v="2017-12-21T00:00:00"/>
  </r>
  <r>
    <s v="VZ-2017-000734"/>
    <x v="4"/>
    <s v="Ondráčková"/>
    <x v="343"/>
    <s v="33661700-8"/>
    <m/>
    <n v="27876213.379999999"/>
    <x v="1"/>
    <d v="2017-11-03T00:00:00"/>
    <d v="2017-12-11T00:00:00"/>
    <s v="PHOENIX lék. Velkoobchod"/>
    <n v="27821554.02"/>
    <n v="30603709.422000002"/>
    <x v="0"/>
    <m/>
    <m/>
  </r>
  <r>
    <s v="VZ-2017-000734"/>
    <x v="4"/>
    <s v="Ondráčková"/>
    <x v="344"/>
    <s v="33661700-8"/>
    <m/>
    <n v="146844"/>
    <x v="1"/>
    <d v="2017-11-03T00:00:00"/>
    <d v="2017-12-11T00:00:00"/>
    <s v="PHOENIX lék. Velkoobchod"/>
    <n v="146844"/>
    <n v="161528.40000000002"/>
    <x v="0"/>
    <m/>
    <m/>
  </r>
  <r>
    <s v="VZ-2017-000734"/>
    <x v="4"/>
    <s v="Ondráčková"/>
    <x v="345"/>
    <s v="33661700-8"/>
    <m/>
    <n v="300384"/>
    <x v="1"/>
    <d v="2017-11-03T00:00:00"/>
    <d v="2017-12-11T00:00:00"/>
    <s v="Alliance Healthcare s.r.o."/>
    <n v="298302"/>
    <n v="328132.2"/>
    <x v="0"/>
    <m/>
    <m/>
  </r>
  <r>
    <s v="VZ-2017-000734"/>
    <x v="4"/>
    <s v="Ondráčková"/>
    <x v="346"/>
    <s v="33661700-8"/>
    <m/>
    <n v="159122"/>
    <x v="1"/>
    <d v="2017-11-03T00:00:00"/>
    <d v="2017-12-11T00:00:00"/>
    <s v="PHOENIX lék. Velkoobchod"/>
    <n v="157830"/>
    <n v="173613"/>
    <x v="0"/>
    <m/>
    <m/>
  </r>
  <r>
    <s v="VZ-2017-000735"/>
    <x v="4"/>
    <s v="Ondráčková"/>
    <x v="347"/>
    <s v="33652100-6 "/>
    <m/>
    <n v="425317.92"/>
    <x v="1"/>
    <d v="2017-11-16T00:00:00"/>
    <d v="2018-01-05T00:00:00"/>
    <m/>
    <m/>
    <m/>
    <x v="0"/>
    <m/>
    <m/>
  </r>
  <r>
    <s v="VZ-2017-000735"/>
    <x v="4"/>
    <s v="Ondráčková"/>
    <x v="348"/>
    <s v="33652100-6"/>
    <m/>
    <n v="4104326.9"/>
    <x v="1"/>
    <d v="2017-11-16T00:00:00"/>
    <d v="2018-01-05T00:00:00"/>
    <m/>
    <m/>
    <m/>
    <x v="0"/>
    <m/>
    <m/>
  </r>
  <r>
    <s v="VZ-2017-000735"/>
    <x v="4"/>
    <s v="Ondráčková"/>
    <x v="349"/>
    <s v="33652100-6"/>
    <m/>
    <n v="4551397.9400000004"/>
    <x v="1"/>
    <d v="2017-11-16T00:00:00"/>
    <d v="2018-01-05T00:00:00"/>
    <m/>
    <m/>
    <m/>
    <x v="0"/>
    <m/>
    <m/>
  </r>
  <r>
    <s v="VZ-2017-000735"/>
    <x v="4"/>
    <s v="Ondráčková"/>
    <x v="350"/>
    <s v="33652100-6"/>
    <m/>
    <n v="8263134"/>
    <x v="1"/>
    <d v="2017-11-16T00:00:00"/>
    <d v="2018-01-05T00:00:00"/>
    <m/>
    <m/>
    <m/>
    <x v="0"/>
    <m/>
    <m/>
  </r>
  <r>
    <s v="VZ-2017-000735"/>
    <x v="4"/>
    <s v="Ondráčková"/>
    <x v="351"/>
    <s v="33652100-6"/>
    <m/>
    <n v="17024000"/>
    <x v="1"/>
    <d v="2017-11-16T00:00:00"/>
    <d v="2018-01-05T00:00:00"/>
    <m/>
    <m/>
    <m/>
    <x v="0"/>
    <m/>
    <m/>
  </r>
  <r>
    <s v="VZ-2017-000736"/>
    <x v="4"/>
    <s v="Ondráčková"/>
    <x v="352"/>
    <s v="33652300-8"/>
    <m/>
    <n v="2424242"/>
    <x v="1"/>
    <d v="2017-11-09T00:00:00"/>
    <d v="2017-12-20T00:00:00"/>
    <s v="Alliance Healthcare s.r.o."/>
    <n v="2424242"/>
    <n v="2666666.2000000002"/>
    <x v="0"/>
    <m/>
    <m/>
  </r>
  <r>
    <s v="VZ-2017-000736"/>
    <x v="4"/>
    <s v="Ondráčková"/>
    <x v="353"/>
    <s v="33652300-8"/>
    <m/>
    <n v="1572186"/>
    <x v="1"/>
    <d v="2017-11-09T00:00:00"/>
    <d v="2017-12-20T00:00:00"/>
    <s v="zrušeno, bez nabídky"/>
    <m/>
    <m/>
    <x v="0"/>
    <m/>
    <d v="2018-01-23T00:00:00"/>
  </r>
  <r>
    <s v="VZ-2017-000736"/>
    <x v="4"/>
    <s v="Ondráčková"/>
    <x v="354"/>
    <s v="33652300-8"/>
    <m/>
    <n v="12396122.52"/>
    <x v="1"/>
    <d v="2017-11-09T00:00:00"/>
    <d v="2017-12-20T00:00:00"/>
    <s v="Janssen-Cilag s.r.o."/>
    <n v="12396122.52"/>
    <n v="13635734.772"/>
    <x v="0"/>
    <m/>
    <m/>
  </r>
  <r>
    <s v="VZ-2017-000736"/>
    <x v="4"/>
    <s v="Ondráčková"/>
    <x v="355"/>
    <s v="33652300-8"/>
    <m/>
    <n v="6897081.4000000004"/>
    <x v="1"/>
    <d v="2017-11-09T00:00:00"/>
    <d v="2017-12-20T00:00:00"/>
    <s v="ViaPharma s.r.o."/>
    <n v="6800669.8899999997"/>
    <n v="7480736.8790000007"/>
    <x v="0"/>
    <m/>
    <m/>
  </r>
  <r>
    <s v="VZ-2017-000736"/>
    <x v="4"/>
    <s v="Ondráčková"/>
    <x v="356"/>
    <s v="33652300-8"/>
    <m/>
    <n v="6660432"/>
    <x v="1"/>
    <d v="2017-11-09T00:00:00"/>
    <d v="2017-12-20T00:00:00"/>
    <s v="Alliance Healthcare s.r.o."/>
    <n v="6660432"/>
    <n v="7326475.2000000002"/>
    <x v="0"/>
    <m/>
    <m/>
  </r>
  <r>
    <s v="VZ-2017-000736"/>
    <x v="4"/>
    <s v="Ondráčková"/>
    <x v="357"/>
    <s v="33652300-8"/>
    <m/>
    <n v="2237756.56"/>
    <x v="1"/>
    <d v="2017-11-09T00:00:00"/>
    <d v="2017-12-20T00:00:00"/>
    <s v="zrušeno, bez nabídky"/>
    <m/>
    <m/>
    <x v="0"/>
    <m/>
    <d v="2018-01-23T00:00:00"/>
  </r>
  <r>
    <s v="VZ-2017-000740"/>
    <x v="10"/>
    <s v="Zemánek"/>
    <x v="358"/>
    <s v="50421000-2"/>
    <m/>
    <n v="600000"/>
    <x v="0"/>
    <d v="2017-10-31T00:00:00"/>
    <d v="2017-11-14T00:00:00"/>
    <s v="LHL s.r.o."/>
    <n v="56450"/>
    <n v="68304.5"/>
    <x v="120"/>
    <s v="doba neurčitá"/>
    <d v="2017-12-27T00:00:00"/>
  </r>
  <r>
    <s v="VZ-2017-000741"/>
    <x v="10"/>
    <s v="Zemánek"/>
    <x v="359"/>
    <s v="50421000-2"/>
    <m/>
    <n v="400000"/>
    <x v="0"/>
    <d v="2017-10-31T00:00:00"/>
    <d v="2017-11-16T00:00:00"/>
    <s v="Hospimed spol. s r.o."/>
    <n v="207060"/>
    <n v="250542.6"/>
    <x v="102"/>
    <s v="doba neurčitá"/>
    <d v="2017-12-27T00:00:00"/>
  </r>
  <r>
    <s v="VZ-2017-000745"/>
    <x v="9"/>
    <s v="Vaida"/>
    <x v="360"/>
    <s v="45453000-7"/>
    <m/>
    <n v="450000"/>
    <x v="0"/>
    <d v="2017-10-30T00:00:00"/>
    <d v="2017-11-10T00:00:00"/>
    <s v="Elektropráce Spáčil s.r.o."/>
    <n v="599900"/>
    <n v="725879"/>
    <x v="121"/>
    <m/>
    <d v="2018-01-04T00:00:00"/>
  </r>
  <r>
    <s v="VZ-2017-000748"/>
    <x v="1"/>
    <s v="Oravec"/>
    <x v="361"/>
    <s v="30232100-5 "/>
    <m/>
    <n v="255000"/>
    <x v="0"/>
    <d v="2017-11-01T00:00:00"/>
    <d v="2017-11-10T00:00:00"/>
    <s v="C SYSTEM a.s."/>
    <n v="272800"/>
    <n v="330088"/>
    <x v="105"/>
    <m/>
    <s v="xxx"/>
  </r>
  <r>
    <s v="VZ-2017-000749"/>
    <x v="0"/>
    <s v="Čech"/>
    <x v="362"/>
    <s v="33162100-4"/>
    <s v="2.3.292."/>
    <n v="1155000"/>
    <x v="0"/>
    <d v="2017-10-31T00:00:00"/>
    <d v="2017-11-10T00:00:00"/>
    <s v="Biomedica ČS s.r.o."/>
    <n v="1283300"/>
    <n v="1552793"/>
    <x v="88"/>
    <m/>
    <d v="2017-12-07T00:00:00"/>
  </r>
  <r>
    <s v="VZ-2017-000760"/>
    <x v="1"/>
    <s v="Miklík"/>
    <x v="363"/>
    <s v="48710000-8"/>
    <s v="3.2.14."/>
    <n v="371900"/>
    <x v="0"/>
    <d v="2017-11-07T00:00:00"/>
    <d v="2017-11-10T00:00:00"/>
    <s v="DATA-INTER s.r.o."/>
    <n v="371300"/>
    <n v="449273"/>
    <x v="122"/>
    <m/>
    <s v="xxx"/>
  </r>
  <r>
    <s v="VZ-2017-000764"/>
    <x v="13"/>
    <s v="Eyer"/>
    <x v="364"/>
    <s v="45316000-5"/>
    <s v="4.1.22."/>
    <n v="1240000"/>
    <x v="0"/>
    <d v="2017-11-08T00:00:00"/>
    <d v="2017-11-16T00:00:00"/>
    <s v="Elpremo s.r.o."/>
    <n v="977171"/>
    <n v="1182377"/>
    <x v="102"/>
    <m/>
    <d v="2017-12-28T00:00:00"/>
  </r>
  <r>
    <s v="VZ-2017-000784"/>
    <x v="4"/>
    <s v="Ondráčková"/>
    <x v="365"/>
    <s v="33632200-1"/>
    <m/>
    <n v="2300220"/>
    <x v="1"/>
    <d v="2017-11-16T00:00:00"/>
    <d v="2017-12-28T00:00:00"/>
    <s v="PHOENIX lék. Velkoobchod"/>
    <n v="2281312.7999999998"/>
    <n v="2509444.08"/>
    <x v="0"/>
    <m/>
    <m/>
  </r>
  <r>
    <s v="VZ-2017-000784"/>
    <x v="4"/>
    <s v="Ondráčková"/>
    <x v="366"/>
    <s v="33632200-1"/>
    <m/>
    <n v="7844306.4000000004"/>
    <x v="1"/>
    <d v="2017-11-16T00:00:00"/>
    <d v="2017-12-28T00:00:00"/>
    <s v="PHOENIX lék. Velkoobchod"/>
    <n v="7766640"/>
    <n v="8543304"/>
    <x v="0"/>
    <m/>
    <m/>
  </r>
  <r>
    <s v="VZ-2017-000784"/>
    <x v="4"/>
    <s v="Ondráčková"/>
    <x v="367"/>
    <s v="33632200-1"/>
    <m/>
    <n v="5059432.22"/>
    <x v="1"/>
    <d v="2017-11-16T00:00:00"/>
    <d v="2017-12-28T00:00:00"/>
    <s v="Alliance Healthcare s.r.o."/>
    <n v="5014850.16"/>
    <n v="5516335.1760000009"/>
    <x v="0"/>
    <m/>
    <m/>
  </r>
  <r>
    <s v="VZ-2017-000787"/>
    <x v="0"/>
    <s v="Čech"/>
    <x v="368"/>
    <s v="33116100-6"/>
    <s v="2.3.294."/>
    <n v="305000"/>
    <x v="0"/>
    <d v="2017-11-13T00:00:00"/>
    <d v="2017-11-24T00:00:00"/>
    <s v="zrušeno"/>
    <m/>
    <m/>
    <x v="0"/>
    <m/>
    <s v="xxx"/>
  </r>
  <r>
    <s v="VZ-2017-000789"/>
    <x v="9"/>
    <s v="Vaida"/>
    <x v="369"/>
    <s v="45453000-7"/>
    <s v="4.3.3."/>
    <n v="5950000"/>
    <x v="0"/>
    <d v="2017-11-10T00:00:00"/>
    <d v="2017-11-24T00:00:00"/>
    <s v="zrušeno, bez nabídky"/>
    <m/>
    <m/>
    <x v="0"/>
    <m/>
    <s v="xxx"/>
  </r>
  <r>
    <s v="VZ-2017-000799"/>
    <x v="0"/>
    <s v="Čech"/>
    <x v="370"/>
    <s v="33124210-0"/>
    <s v="2.3.293."/>
    <n v="865000"/>
    <x v="0"/>
    <d v="2017-11-16T00:00:00"/>
    <d v="2017-11-29T00:00:00"/>
    <s v="Canberra Packard s.r.o."/>
    <n v="1669200"/>
    <n v="2019732"/>
    <x v="0"/>
    <m/>
    <m/>
  </r>
  <r>
    <s v="VZ-2017-000802"/>
    <x v="6"/>
    <s v="Cahlíková"/>
    <x v="371"/>
    <s v="72225000-8"/>
    <m/>
    <n v="300000"/>
    <x v="0"/>
    <d v="2017-11-15T00:00:00"/>
    <d v="2017-11-24T00:00:00"/>
    <s v="Česká společnost pro akreditaci ve zdravotnictví"/>
    <n v="194000"/>
    <n v="234740"/>
    <x v="123"/>
    <m/>
    <s v="xxx"/>
  </r>
  <r>
    <s v="VZ-2017-000812"/>
    <x v="4"/>
    <s v="Ondráčková"/>
    <x v="372"/>
    <s v="33621300-2"/>
    <m/>
    <n v="1702608"/>
    <x v="0"/>
    <d v="2017-12-14T00:00:00"/>
    <d v="2018-01-24T00:00:00"/>
    <m/>
    <m/>
    <m/>
    <x v="0"/>
    <m/>
    <m/>
  </r>
  <r>
    <s v="VZ-2017-000813"/>
    <x v="4"/>
    <s v="Ondráčková"/>
    <x v="373"/>
    <s v="33652300-8"/>
    <m/>
    <n v="131673.32"/>
    <x v="1"/>
    <d v="2017-11-30T00:00:00"/>
    <d v="2018-01-09T00:00:00"/>
    <m/>
    <m/>
    <m/>
    <x v="0"/>
    <m/>
    <m/>
  </r>
  <r>
    <s v="VZ-2017-000813"/>
    <x v="4"/>
    <s v="Ondráčková"/>
    <x v="374"/>
    <s v="33652300-8"/>
    <m/>
    <n v="16902723.82"/>
    <x v="1"/>
    <d v="2017-11-30T00:00:00"/>
    <d v="2018-01-09T00:00:00"/>
    <m/>
    <m/>
    <m/>
    <x v="0"/>
    <m/>
    <m/>
  </r>
  <r>
    <s v="VZ-2017-000814"/>
    <x v="4"/>
    <s v="Ondráčková"/>
    <x v="375"/>
    <s v="33652000-5"/>
    <m/>
    <n v="2899656"/>
    <x v="1"/>
    <d v="2017-12-08T00:00:00"/>
    <d v="2018-01-16T00:00:00"/>
    <m/>
    <m/>
    <m/>
    <x v="0"/>
    <m/>
    <m/>
  </r>
  <r>
    <s v="VZ-2017-000814"/>
    <x v="4"/>
    <s v="Ondráčková"/>
    <x v="376"/>
    <s v="33652000-5"/>
    <m/>
    <n v="4172051.48"/>
    <x v="1"/>
    <d v="2017-12-08T00:00:00"/>
    <d v="2018-01-16T00:00:00"/>
    <m/>
    <m/>
    <m/>
    <x v="0"/>
    <m/>
    <m/>
  </r>
  <r>
    <s v="VZ-2017-000815"/>
    <x v="4"/>
    <s v="Ondráčková"/>
    <x v="377"/>
    <s v="33652000-5"/>
    <m/>
    <n v="39478800"/>
    <x v="1"/>
    <d v="2017-11-22T00:00:00"/>
    <d v="2018-01-03T00:00:00"/>
    <m/>
    <m/>
    <m/>
    <x v="0"/>
    <m/>
    <m/>
  </r>
  <r>
    <s v="VZ-2017-000815"/>
    <x v="4"/>
    <s v="Ondráčková"/>
    <x v="378"/>
    <s v="33652000-5"/>
    <m/>
    <n v="11502108.060000001"/>
    <x v="1"/>
    <d v="2017-11-22T00:00:00"/>
    <d v="2018-01-03T00:00:00"/>
    <m/>
    <m/>
    <m/>
    <x v="0"/>
    <m/>
    <m/>
  </r>
  <r>
    <s v="VZ-2017-000815"/>
    <x v="4"/>
    <s v="Ondráčková"/>
    <x v="379"/>
    <s v="33652000-5"/>
    <m/>
    <n v="12729355.68"/>
    <x v="1"/>
    <d v="2017-11-22T00:00:00"/>
    <d v="2018-01-03T00:00:00"/>
    <m/>
    <m/>
    <m/>
    <x v="0"/>
    <m/>
    <m/>
  </r>
  <r>
    <s v="VZ-2017-000815"/>
    <x v="4"/>
    <s v="Ondráčková"/>
    <x v="380"/>
    <s v="33652000-5"/>
    <m/>
    <n v="46981891"/>
    <x v="1"/>
    <d v="2017-11-22T00:00:00"/>
    <d v="2018-01-03T00:00:00"/>
    <m/>
    <m/>
    <m/>
    <x v="0"/>
    <m/>
    <m/>
  </r>
  <r>
    <s v="VZ-2017-000815"/>
    <x v="4"/>
    <s v="Ondráčková"/>
    <x v="381"/>
    <s v="33652000-5"/>
    <m/>
    <n v="3726366.8"/>
    <x v="1"/>
    <d v="2017-11-22T00:00:00"/>
    <d v="2018-01-03T00:00:00"/>
    <m/>
    <m/>
    <m/>
    <x v="0"/>
    <m/>
    <m/>
  </r>
  <r>
    <s v="VZ-2017-000815"/>
    <x v="4"/>
    <s v="Ondráčková"/>
    <x v="382"/>
    <s v="33652000-5"/>
    <m/>
    <n v="23613480"/>
    <x v="1"/>
    <d v="2017-11-22T00:00:00"/>
    <d v="2018-01-03T00:00:00"/>
    <m/>
    <m/>
    <m/>
    <x v="0"/>
    <m/>
    <m/>
  </r>
  <r>
    <s v="VZ-2017-000815"/>
    <x v="4"/>
    <s v="Ondráčková"/>
    <x v="383"/>
    <s v="33652000-5"/>
    <m/>
    <n v="846944.64"/>
    <x v="1"/>
    <d v="2017-11-22T00:00:00"/>
    <d v="2018-01-03T00:00:00"/>
    <m/>
    <m/>
    <m/>
    <x v="0"/>
    <m/>
    <m/>
  </r>
  <r>
    <s v="VZ-2017-000816"/>
    <x v="4"/>
    <s v="Ondráčková"/>
    <x v="384"/>
    <s v="33652000-5"/>
    <m/>
    <n v="19704244.98"/>
    <x v="1"/>
    <d v="2017-11-30T00:00:00"/>
    <d v="2018-01-08T00:00:00"/>
    <m/>
    <m/>
    <m/>
    <x v="0"/>
    <m/>
    <m/>
  </r>
  <r>
    <s v="VZ-2017-000816"/>
    <x v="4"/>
    <s v="Ondráčková"/>
    <x v="385"/>
    <s v="33652000-5"/>
    <m/>
    <n v="7155968.7599999998"/>
    <x v="1"/>
    <d v="2017-11-30T00:00:00"/>
    <d v="2018-01-08T00:00:00"/>
    <m/>
    <m/>
    <m/>
    <x v="0"/>
    <m/>
    <m/>
  </r>
  <r>
    <s v="VZ-2017-000816"/>
    <x v="4"/>
    <s v="Ondráčková"/>
    <x v="386"/>
    <s v="33652000-5"/>
    <m/>
    <n v="3150972"/>
    <x v="1"/>
    <d v="2017-11-30T00:00:00"/>
    <d v="2018-01-08T00:00:00"/>
    <m/>
    <m/>
    <m/>
    <x v="0"/>
    <m/>
    <m/>
  </r>
  <r>
    <s v="VZ-2017-000816"/>
    <x v="4"/>
    <s v="Ondráčková"/>
    <x v="387"/>
    <s v="33652000-5"/>
    <m/>
    <n v="1785220.92"/>
    <x v="1"/>
    <d v="2017-11-30T00:00:00"/>
    <d v="2018-01-08T00:00:00"/>
    <m/>
    <m/>
    <m/>
    <x v="0"/>
    <m/>
    <m/>
  </r>
  <r>
    <s v="VZ-2017-000816"/>
    <x v="4"/>
    <s v="Ondráčková"/>
    <x v="388"/>
    <s v="33652000-5"/>
    <m/>
    <n v="6035861.1200000001"/>
    <x v="1"/>
    <d v="2017-11-30T00:00:00"/>
    <d v="2018-01-08T00:00:00"/>
    <m/>
    <m/>
    <m/>
    <x v="0"/>
    <m/>
    <m/>
  </r>
  <r>
    <s v="VZ-2017-000816"/>
    <x v="4"/>
    <s v="Ondráčková"/>
    <x v="389"/>
    <s v="33652000-5"/>
    <m/>
    <n v="2516460"/>
    <x v="1"/>
    <d v="2017-11-30T00:00:00"/>
    <d v="2018-01-08T00:00:00"/>
    <m/>
    <m/>
    <m/>
    <x v="0"/>
    <m/>
    <m/>
  </r>
  <r>
    <s v="VZ-2017-000816"/>
    <x v="4"/>
    <s v="Ondráčková"/>
    <x v="390"/>
    <s v="33652000-5"/>
    <m/>
    <n v="6451139.04"/>
    <x v="1"/>
    <d v="2017-11-30T00:00:00"/>
    <d v="2018-01-08T00:00:00"/>
    <m/>
    <m/>
    <m/>
    <x v="0"/>
    <m/>
    <m/>
  </r>
  <r>
    <s v="VZ-2017-000819"/>
    <x v="1"/>
    <s v="Oravec"/>
    <x v="391"/>
    <s v="30125110-5"/>
    <m/>
    <n v="4145000"/>
    <x v="1"/>
    <d v="2017-11-29T00:00:00"/>
    <d v="2018-01-09T00:00:00"/>
    <m/>
    <m/>
    <m/>
    <x v="0"/>
    <m/>
    <m/>
  </r>
  <r>
    <s v="VZ-2017-000827"/>
    <x v="0"/>
    <s v="Čech"/>
    <x v="392"/>
    <s v="33171200-1 "/>
    <s v="2.3.299."/>
    <n v="380000"/>
    <x v="0"/>
    <d v="2017-11-22T00:00:00"/>
    <d v="2017-12-01T00:00:00"/>
    <s v="Olympus Czech Rep."/>
    <n v="321642"/>
    <n v="389186.82"/>
    <x v="0"/>
    <m/>
    <m/>
  </r>
  <r>
    <s v="VZ-2017-000834"/>
    <x v="4"/>
    <s v="Ondráčková"/>
    <x v="393"/>
    <s v="33652300-8 "/>
    <m/>
    <n v="269641.59999999998"/>
    <x v="1"/>
    <d v="2017-11-28T00:00:00"/>
    <d v="2018-01-04T00:00:00"/>
    <m/>
    <m/>
    <m/>
    <x v="0"/>
    <m/>
    <m/>
  </r>
  <r>
    <s v="VZ-2017-000834"/>
    <x v="4"/>
    <s v="Ondráčková"/>
    <x v="394"/>
    <s v="33652300-8 "/>
    <m/>
    <n v="961347.58"/>
    <x v="1"/>
    <d v="2017-11-28T00:00:00"/>
    <d v="2018-01-04T00:00:00"/>
    <m/>
    <m/>
    <m/>
    <x v="0"/>
    <m/>
    <m/>
  </r>
  <r>
    <s v="VZ-2017-000834"/>
    <x v="4"/>
    <s v="Ondráčková"/>
    <x v="395"/>
    <s v="33652300-8 "/>
    <m/>
    <n v="21963590.640000001"/>
    <x v="1"/>
    <d v="2017-11-28T00:00:00"/>
    <d v="2018-01-04T00:00:00"/>
    <m/>
    <m/>
    <m/>
    <x v="0"/>
    <m/>
    <m/>
  </r>
  <r>
    <s v="VZ-2017-000834"/>
    <x v="4"/>
    <s v="Ondráčková"/>
    <x v="396"/>
    <s v="33652300-8 "/>
    <m/>
    <n v="15393728.699999999"/>
    <x v="1"/>
    <d v="2017-11-28T00:00:00"/>
    <d v="2018-01-04T00:00:00"/>
    <m/>
    <m/>
    <m/>
    <x v="0"/>
    <m/>
    <m/>
  </r>
  <r>
    <s v="VZ-2017-000834"/>
    <x v="4"/>
    <s v="Ondráčková"/>
    <x v="397"/>
    <s v="33652300-8 "/>
    <m/>
    <n v="100133671"/>
    <x v="1"/>
    <d v="2017-11-28T00:00:00"/>
    <d v="2018-01-04T00:00:00"/>
    <m/>
    <m/>
    <m/>
    <x v="0"/>
    <m/>
    <m/>
  </r>
  <r>
    <s v="VZ-2017-000836"/>
    <x v="0"/>
    <s v="Čech"/>
    <x v="398"/>
    <s v="33121400-8"/>
    <s v="2.3.298."/>
    <n v="1530000"/>
    <x v="0"/>
    <d v="2017-11-28T00:00:00"/>
    <d v="2017-12-12T00:00:00"/>
    <s v="Widex Line spol. s r.o."/>
    <n v="1239740"/>
    <n v="1500085.4"/>
    <x v="0"/>
    <m/>
    <m/>
  </r>
  <r>
    <s v="VZ-2017-000838"/>
    <x v="13"/>
    <s v="Eyer"/>
    <x v="399"/>
    <s v="31154000-0"/>
    <s v="4.2.61."/>
    <n v="1035000"/>
    <x v="0"/>
    <d v="2017-11-30T00:00:00"/>
    <d v="2017-12-15T00:00:00"/>
    <s v="Firstpower a.s."/>
    <n v="950000"/>
    <n v="1149500"/>
    <x v="0"/>
    <m/>
    <m/>
  </r>
  <r>
    <s v="VZ-2017-000844"/>
    <x v="1"/>
    <s v="Oravec"/>
    <x v="400"/>
    <s v="30213500-0"/>
    <m/>
    <n v="1080000"/>
    <x v="0"/>
    <d v="2017-12-14T00:00:00"/>
    <d v="2017-12-22T00:00:00"/>
    <s v="Datascan s.r.o."/>
    <n v="1080430"/>
    <n v="1307320.3"/>
    <x v="0"/>
    <m/>
    <m/>
  </r>
  <r>
    <s v="VZ-2017-000848"/>
    <x v="27"/>
    <s v="Dočkalová"/>
    <x v="401"/>
    <s v="33681000-7"/>
    <m/>
    <n v="1041000"/>
    <x v="0"/>
    <d v="2017-12-08T00:00:00"/>
    <d v="2017-12-28T00:00:00"/>
    <s v="Medical M spol. s r.o."/>
    <n v="908121.2"/>
    <n v="1098826.652"/>
    <x v="0"/>
    <m/>
    <m/>
  </r>
  <r>
    <s v="VZ-2017-000848"/>
    <x v="27"/>
    <s v="Dočkalová"/>
    <x v="402"/>
    <s v="33681000-7"/>
    <m/>
    <n v="485000"/>
    <x v="0"/>
    <d v="2017-12-08T00:00:00"/>
    <d v="2017-12-28T00:00:00"/>
    <s v="S.A.B. Impex  s.r.o."/>
    <n v="482819"/>
    <n v="584210.99"/>
    <x v="0"/>
    <m/>
    <m/>
  </r>
  <r>
    <s v="VZ-2017-000848"/>
    <x v="27"/>
    <s v="Dočkalová"/>
    <x v="403"/>
    <s v="33681000-7"/>
    <m/>
    <n v="15000"/>
    <x v="0"/>
    <d v="2017-12-08T00:00:00"/>
    <d v="2017-12-28T00:00:00"/>
    <s v="DN FORMED Brno s.r.o."/>
    <n v="13000"/>
    <n v="15730"/>
    <x v="0"/>
    <m/>
    <m/>
  </r>
  <r>
    <s v="VZ-2017-000849"/>
    <x v="9"/>
    <s v="Vaida"/>
    <x v="404"/>
    <s v="45453000-7"/>
    <s v="4.3.3."/>
    <n v="5950400"/>
    <x v="0"/>
    <d v="2017-11-30T00:00:00"/>
    <d v="2017-12-15T00:00:00"/>
    <s v="zrušeno"/>
    <m/>
    <m/>
    <x v="0"/>
    <m/>
    <s v="xxx"/>
  </r>
  <r>
    <s v="VZ-2017-000856"/>
    <x v="4"/>
    <s v="Ondráčková"/>
    <x v="405"/>
    <s v="33652100-6"/>
    <m/>
    <n v="360876"/>
    <x v="1"/>
    <d v="2017-12-14T00:00:00"/>
    <d v="2018-01-23T00:00:00"/>
    <m/>
    <m/>
    <m/>
    <x v="0"/>
    <m/>
    <m/>
  </r>
  <r>
    <s v="VZ-2017-000856"/>
    <x v="4"/>
    <s v="Ondráčková"/>
    <x v="406"/>
    <s v="33652100-6"/>
    <m/>
    <n v="2935333"/>
    <x v="1"/>
    <d v="2017-12-14T00:00:00"/>
    <d v="2018-01-23T00:00:00"/>
    <m/>
    <m/>
    <m/>
    <x v="0"/>
    <m/>
    <m/>
  </r>
  <r>
    <s v="VZ-2017-000856"/>
    <x v="4"/>
    <s v="Ondráčková"/>
    <x v="407"/>
    <s v="33652100-6"/>
    <m/>
    <n v="1410369"/>
    <x v="1"/>
    <d v="2017-12-14T00:00:00"/>
    <d v="2018-01-23T00:00:00"/>
    <m/>
    <m/>
    <m/>
    <x v="0"/>
    <m/>
    <m/>
  </r>
  <r>
    <s v="VZ-2017-000856"/>
    <x v="4"/>
    <s v="Ondráčková"/>
    <x v="408"/>
    <s v="33652100-6"/>
    <m/>
    <n v="807048"/>
    <x v="1"/>
    <d v="2017-12-14T00:00:00"/>
    <d v="2018-01-23T00:00:00"/>
    <m/>
    <m/>
    <m/>
    <x v="0"/>
    <m/>
    <m/>
  </r>
  <r>
    <s v="VZ-2017-000856"/>
    <x v="4"/>
    <s v="Ondráčková"/>
    <x v="409"/>
    <s v="33652100-6"/>
    <m/>
    <n v="5890312"/>
    <x v="1"/>
    <d v="2017-12-14T00:00:00"/>
    <d v="2018-01-23T00:00:00"/>
    <m/>
    <m/>
    <m/>
    <x v="0"/>
    <m/>
    <m/>
  </r>
  <r>
    <s v="VZ-2017-000856"/>
    <x v="4"/>
    <s v="Ondráčková"/>
    <x v="410"/>
    <s v="33652100-6"/>
    <m/>
    <n v="1493238"/>
    <x v="1"/>
    <d v="2017-12-14T00:00:00"/>
    <d v="2018-01-23T00:00:00"/>
    <m/>
    <m/>
    <m/>
    <x v="0"/>
    <m/>
    <m/>
  </r>
  <r>
    <s v="VZ-2017-000856"/>
    <x v="4"/>
    <s v="Ondráčková"/>
    <x v="411"/>
    <s v="33652100-6"/>
    <m/>
    <n v="3703522"/>
    <x v="1"/>
    <d v="2017-12-14T00:00:00"/>
    <d v="2018-01-23T00:00:00"/>
    <m/>
    <m/>
    <m/>
    <x v="0"/>
    <m/>
    <m/>
  </r>
  <r>
    <s v="VZ-2017-000856"/>
    <x v="4"/>
    <s v="Ondráčková"/>
    <x v="412"/>
    <s v="33652100-6"/>
    <m/>
    <n v="10176790"/>
    <x v="1"/>
    <d v="2017-12-14T00:00:00"/>
    <d v="2018-01-23T00:00:00"/>
    <m/>
    <m/>
    <m/>
    <x v="0"/>
    <m/>
    <m/>
  </r>
  <r>
    <s v="VZ-2017-000857"/>
    <x v="4"/>
    <s v="Ondráčková"/>
    <x v="413"/>
    <s v="33652300-8"/>
    <m/>
    <n v="40489140"/>
    <x v="1"/>
    <d v="2017-12-12T00:00:00"/>
    <d v="2018-01-19T00:00:00"/>
    <m/>
    <m/>
    <m/>
    <x v="0"/>
    <m/>
    <m/>
  </r>
  <r>
    <s v="VZ-2017-000857"/>
    <x v="4"/>
    <s v="Ondráčková"/>
    <x v="414"/>
    <s v="33652300-8"/>
    <m/>
    <n v="2068139"/>
    <x v="1"/>
    <d v="2017-12-12T00:00:00"/>
    <d v="2018-01-19T00:00:00"/>
    <m/>
    <m/>
    <m/>
    <x v="0"/>
    <m/>
    <m/>
  </r>
  <r>
    <s v="VZ-2017-000857"/>
    <x v="4"/>
    <s v="Ondráčková"/>
    <x v="415"/>
    <s v="33652300-8"/>
    <m/>
    <n v="80635182"/>
    <x v="1"/>
    <d v="2017-12-12T00:00:00"/>
    <d v="2018-01-19T00:00:00"/>
    <m/>
    <m/>
    <m/>
    <x v="0"/>
    <m/>
    <m/>
  </r>
  <r>
    <s v="VZ-2017-000857"/>
    <x v="4"/>
    <s v="Ondráčková"/>
    <x v="416"/>
    <s v="33652300-8"/>
    <m/>
    <n v="27845933"/>
    <x v="1"/>
    <d v="2017-12-12T00:00:00"/>
    <d v="2018-01-19T00:00:00"/>
    <m/>
    <m/>
    <m/>
    <x v="0"/>
    <m/>
    <m/>
  </r>
  <r>
    <s v="VZ-2017-000857"/>
    <x v="4"/>
    <s v="Ondráčková"/>
    <x v="417"/>
    <s v="33652300-8"/>
    <m/>
    <n v="3061412"/>
    <x v="1"/>
    <d v="2017-12-12T00:00:00"/>
    <d v="2018-01-19T00:00:00"/>
    <m/>
    <m/>
    <m/>
    <x v="0"/>
    <m/>
    <m/>
  </r>
  <r>
    <s v="VZ-2017-000864"/>
    <x v="3"/>
    <s v="Kvapil"/>
    <x v="418"/>
    <s v="45215100-8 "/>
    <s v="1.3.10."/>
    <n v="33000000"/>
    <x v="1"/>
    <m/>
    <m/>
    <m/>
    <m/>
    <m/>
    <x v="0"/>
    <m/>
    <m/>
  </r>
  <r>
    <s v="VZ-2017-000869"/>
    <x v="13"/>
    <s v="Srovnal"/>
    <x v="419"/>
    <s v="45311000-0"/>
    <s v="4.2.16."/>
    <n v="3595950"/>
    <x v="0"/>
    <d v="2017-12-18T00:00:00"/>
    <d v="2018-01-05T00:00:00"/>
    <m/>
    <m/>
    <m/>
    <x v="0"/>
    <m/>
    <m/>
  </r>
  <r>
    <s v="VZ-2017-000875"/>
    <x v="0"/>
    <s v="Čech"/>
    <x v="420"/>
    <s v="33116100-6"/>
    <s v="2.3.294."/>
    <n v="305000"/>
    <x v="0"/>
    <d v="2017-12-18T00:00:00"/>
    <d v="2018-01-04T00:00:00"/>
    <m/>
    <m/>
    <m/>
    <x v="0"/>
    <m/>
    <s v="xxx"/>
  </r>
  <r>
    <s v="VZ-2017-000881"/>
    <x v="9"/>
    <s v="Vaida"/>
    <x v="421"/>
    <s v="45215100-8"/>
    <m/>
    <n v="6500000"/>
    <x v="3"/>
    <d v="2017-12-19T00:00:00"/>
    <d v="2018-01-10T00:00:00"/>
    <m/>
    <m/>
    <m/>
    <x v="0"/>
    <m/>
    <m/>
  </r>
  <r>
    <s v="VZ-2017-000883"/>
    <x v="14"/>
    <s v="Hyža"/>
    <x v="422"/>
    <s v="39314000-6"/>
    <s v="4.2.7."/>
    <n v="1900000"/>
    <x v="0"/>
    <m/>
    <m/>
    <m/>
    <m/>
    <m/>
    <x v="0"/>
    <m/>
    <m/>
  </r>
  <r>
    <s v="VZ-2017-000884"/>
    <x v="27"/>
    <s v="Dočkalová"/>
    <x v="423"/>
    <s v="33141000-0 "/>
    <m/>
    <n v="1027000"/>
    <x v="0"/>
    <d v="2017-12-20T00:00:00"/>
    <d v="2018-01-10T00:00:00"/>
    <m/>
    <m/>
    <m/>
    <x v="0"/>
    <m/>
    <m/>
  </r>
  <r>
    <s v="VZ-2017-000885"/>
    <x v="4"/>
    <s v="Ondráčková"/>
    <x v="424"/>
    <s v="33652000-5"/>
    <m/>
    <n v="15915347"/>
    <x v="1"/>
    <d v="2017-12-20T00:00:00"/>
    <d v="2018-02-05T00:00:00"/>
    <m/>
    <m/>
    <m/>
    <x v="0"/>
    <m/>
    <m/>
  </r>
  <r>
    <s v="VZ-2017-000885"/>
    <x v="4"/>
    <s v="Ondráčková"/>
    <x v="425"/>
    <s v="33652000-5"/>
    <m/>
    <n v="2900994"/>
    <x v="1"/>
    <d v="2017-12-20T00:00:00"/>
    <d v="2018-02-05T00:00:00"/>
    <m/>
    <m/>
    <m/>
    <x v="0"/>
    <m/>
    <m/>
  </r>
  <r>
    <s v="VZ-2017-000885"/>
    <x v="4"/>
    <s v="Ondráčková"/>
    <x v="426"/>
    <s v="33652000-5"/>
    <m/>
    <n v="12262903"/>
    <x v="1"/>
    <d v="2017-12-20T00:00:00"/>
    <d v="2018-02-05T00:00:00"/>
    <m/>
    <m/>
    <m/>
    <x v="0"/>
    <m/>
    <m/>
  </r>
  <r>
    <s v="VZ-2017-000885"/>
    <x v="4"/>
    <s v="Ondráčková"/>
    <x v="427"/>
    <s v="33652000-5"/>
    <m/>
    <n v="3124080"/>
    <x v="1"/>
    <d v="2017-12-20T00:00:00"/>
    <d v="2018-02-05T00:00:00"/>
    <m/>
    <m/>
    <m/>
    <x v="0"/>
    <m/>
    <m/>
  </r>
  <r>
    <s v="VZ-2017-000885"/>
    <x v="4"/>
    <s v="Ondráčková"/>
    <x v="428"/>
    <s v="33652000-5"/>
    <m/>
    <n v="4084640"/>
    <x v="1"/>
    <d v="2017-12-20T00:00:00"/>
    <d v="2018-02-05T00:00:00"/>
    <m/>
    <m/>
    <m/>
    <x v="0"/>
    <m/>
    <m/>
  </r>
  <r>
    <s v="VZ-2017-000885"/>
    <x v="4"/>
    <s v="Ondráčková"/>
    <x v="429"/>
    <s v="33652000-5"/>
    <m/>
    <n v="50787000"/>
    <x v="1"/>
    <d v="2017-12-20T00:00:00"/>
    <d v="2018-02-05T00:00:00"/>
    <m/>
    <m/>
    <m/>
    <x v="0"/>
    <m/>
    <m/>
  </r>
  <r>
    <s v="VZ-2017-000885"/>
    <x v="4"/>
    <s v="Ondráčková"/>
    <x v="430"/>
    <s v="33652000-5"/>
    <m/>
    <n v="14719291"/>
    <x v="1"/>
    <d v="2017-12-20T00:00:00"/>
    <d v="2018-02-05T00:00:00"/>
    <m/>
    <m/>
    <m/>
    <x v="0"/>
    <m/>
    <m/>
  </r>
  <r>
    <s v="VZ-2017-000885"/>
    <x v="4"/>
    <s v="Ondráčková"/>
    <x v="431"/>
    <s v="33652000-5"/>
    <m/>
    <n v="4387442"/>
    <x v="1"/>
    <d v="2017-12-20T00:00:00"/>
    <d v="2018-02-05T00:00:00"/>
    <m/>
    <m/>
    <m/>
    <x v="0"/>
    <m/>
    <m/>
  </r>
  <r>
    <s v="VZ-2017-000891"/>
    <x v="1"/>
    <s v="Oravec"/>
    <x v="432"/>
    <s v="32422000-7"/>
    <s v="3.2.24."/>
    <n v="3500000"/>
    <x v="3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  <r>
    <m/>
    <x v="28"/>
    <m/>
    <x v="433"/>
    <m/>
    <m/>
    <m/>
    <x v="4"/>
    <m/>
    <m/>
    <m/>
    <m/>
    <m/>
    <x v="0"/>
    <m/>
    <m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5">
  <r>
    <s v="xxx"/>
    <s v="VZ-2020-000020"/>
    <x v="0"/>
    <s v="Ondráčková"/>
    <x v="0"/>
    <m/>
    <m/>
    <m/>
    <s v="33694000-1"/>
    <m/>
    <n v="150000000"/>
    <x v="0"/>
    <d v="2020-01-31T00:00:00"/>
    <d v="2020-04-22T00:00:00"/>
    <d v="2021-01-26T00:00:00"/>
    <s v="Siemens Healthcare, s.r.o."/>
    <m/>
    <n v="81882239.526099995"/>
    <n v="99077509.826499999"/>
    <m/>
    <m/>
    <m/>
    <d v="2021-01-26T00:00:00"/>
    <s v="SMLN-2021-617-000023_x000a_SMLN-2021-616-000007_x000a_SMLN-2021-613-000008"/>
    <x v="0"/>
    <d v="2021-03-12T00:00:00"/>
    <s v="6 let + doba neurčitá"/>
  </r>
  <r>
    <d v="2019-10-02T00:00:00"/>
    <s v="VZ-2020-000032"/>
    <x v="1"/>
    <s v="Dočkalová"/>
    <x v="1"/>
    <m/>
    <m/>
    <m/>
    <s v="33140000-3"/>
    <m/>
    <n v="4382693"/>
    <x v="0"/>
    <d v="2020-04-20T00:00:00"/>
    <d v="2020-06-08T00:00:00"/>
    <d v="2021-05-31T00:00:00"/>
    <s v="POLYMED medical CZ, a.s. "/>
    <m/>
    <n v="2996960"/>
    <n v="3626321.6"/>
    <m/>
    <m/>
    <m/>
    <d v="2021-05-31T00:00:00"/>
    <s v="SMLN-2021-617-000277"/>
    <x v="1"/>
    <d v="2021-08-17T00:00:00"/>
    <s v="doba neurčitá"/>
  </r>
  <r>
    <s v="opakovaná VZ"/>
    <s v="VZ-2020-000051"/>
    <x v="2"/>
    <s v="Olejníček"/>
    <x v="2"/>
    <m/>
    <m/>
    <m/>
    <s v="31643100-6_x000a_33115100-0_x000a_50421000-2"/>
    <s v="2.3.420."/>
    <n v="431388000"/>
    <x v="0"/>
    <d v="2020-03-05T00:00:00"/>
    <d v="2020-04-09T00:00:00"/>
    <d v="2020-06-08T00:00:00"/>
    <s v="AMEDIS, spol. s r.o."/>
    <m/>
    <n v="415080820"/>
    <n v="502247792.19999999"/>
    <m/>
    <m/>
    <m/>
    <d v="2020-06-09T00:00:00"/>
    <s v="SMLN-2020-617-000230_x000a_SMLN-2020-612-000042_x000a_SMLN-2020-617-000232_x000a_SMLN-2020-612-000043"/>
    <x v="2"/>
    <d v="2021-01-29T00:00:00"/>
    <d v="2021-09-30T00:00:00"/>
  </r>
  <r>
    <d v="2020-07-13T00:00:00"/>
    <s v="VZ-2020-000744"/>
    <x v="1"/>
    <s v="Valtová"/>
    <x v="3"/>
    <n v="2"/>
    <s v="Rigidní dlaha pro stabilizaci dolní krční páteře předním přístupem monokortikálně"/>
    <m/>
    <s v="33184100-4"/>
    <m/>
    <n v="274000"/>
    <x v="0"/>
    <d v="2020-08-18T00:00:00"/>
    <d v="2020-10-16T00:00:00"/>
    <d v="2020-12-14T00:00:00"/>
    <s v="Johnson  &amp; Johnson s.r.o."/>
    <m/>
    <n v="272250"/>
    <n v="313087.5"/>
    <m/>
    <m/>
    <m/>
    <d v="2020-12-15T00:00:00"/>
    <s v="SMLN-2020-617-000564_x000a_SMLN-2020-614-000067_x000a_SMLN-2020-616-000070"/>
    <x v="3"/>
    <d v="2021-02-18T00:00:00"/>
    <d v="2023-02-03T00:00:00"/>
  </r>
  <r>
    <d v="2020-07-13T00:00:00"/>
    <s v="VZ-2020-000744"/>
    <x v="1"/>
    <s v="Valtová"/>
    <x v="3"/>
    <n v="3"/>
    <s v="Fúzní náhrada krční meziobratlové ploténky "/>
    <m/>
    <s v="33184100-4"/>
    <m/>
    <n v="5400000"/>
    <x v="0"/>
    <d v="2020-08-18T00:00:00"/>
    <d v="2020-10-16T00:00:00"/>
    <d v="2020-12-14T00:00:00"/>
    <s v="BoneCare s.r.o."/>
    <m/>
    <n v="5400000"/>
    <n v="6210000"/>
    <m/>
    <m/>
    <m/>
    <d v="2020-12-15T00:00:00"/>
    <s v="SMLN-2020-617-000565_x000a_SMLN-2020-614-000068_x000a_SMLN-2020-616-000071"/>
    <x v="4"/>
    <d v="2021-02-18T00:00:00"/>
    <d v="2023-01-20T00:00:00"/>
  </r>
  <r>
    <d v="2020-07-13T00:00:00"/>
    <s v="VZ-2020-000744"/>
    <x v="1"/>
    <s v="Valtová"/>
    <x v="3"/>
    <n v="4"/>
    <s v="Fúzní systém pro zadní stabilizaci krční páteře a okcipito-cervikální fixaci"/>
    <m/>
    <s v="33184100-4"/>
    <m/>
    <n v="964000"/>
    <x v="0"/>
    <d v="2020-08-18T00:00:00"/>
    <d v="2020-10-16T00:00:00"/>
    <d v="2020-12-14T00:00:00"/>
    <s v="Johnson  &amp; Johnson s.r.o."/>
    <m/>
    <n v="565680"/>
    <n v="650532"/>
    <m/>
    <m/>
    <m/>
    <d v="2020-12-15T00:00:00"/>
    <s v="SMLN-2020-617-000566_x000a_SMLN-2020-614-000069_x000a_SMLN-2020-616-000072"/>
    <x v="3"/>
    <d v="2021-02-18T00:00:00"/>
    <d v="2023-02-03T00:00:00"/>
  </r>
  <r>
    <d v="2020-07-13T00:00:00"/>
    <s v="VZ-2020-000744"/>
    <x v="1"/>
    <s v="Valtová"/>
    <x v="3"/>
    <n v="5"/>
    <s v="Fúzní náhrada bederní meziobratlové ploténky z předního přístupu (ALIF)"/>
    <m/>
    <s v="33184100-4"/>
    <m/>
    <n v="995000"/>
    <x v="0"/>
    <d v="2020-08-18T00:00:00"/>
    <d v="2020-10-16T00:00:00"/>
    <d v="2020-12-14T00:00:00"/>
    <s v="BoneCare s.r.o."/>
    <m/>
    <n v="995000"/>
    <n v="1144250"/>
    <m/>
    <m/>
    <m/>
    <d v="2020-12-15T00:00:00"/>
    <s v="SMLN-2020-617-000567_x000a_SMLN-2020-614-000070_x000a_SMLN-2020-616-000073"/>
    <x v="4"/>
    <d v="2021-02-18T00:00:00"/>
    <d v="2023-01-20T00:00:00"/>
  </r>
  <r>
    <d v="2020-07-13T00:00:00"/>
    <s v="VZ-2020-000744"/>
    <x v="1"/>
    <s v="Valtová"/>
    <x v="3"/>
    <n v="6"/>
    <s v="Fúzní náhrada bederní meziobratlové ploténky expandibilní z bočního přístupu (LLIF, XLIF)"/>
    <m/>
    <s v="33184100-4"/>
    <m/>
    <n v="2820000"/>
    <x v="0"/>
    <d v="2020-08-18T00:00:00"/>
    <d v="2020-10-16T00:00:00"/>
    <d v="2020-12-14T00:00:00"/>
    <s v="BoneCare s.r.o."/>
    <m/>
    <n v="2820000"/>
    <n v="3243000"/>
    <m/>
    <m/>
    <m/>
    <d v="2020-12-15T00:00:00"/>
    <s v="SMLN-2020-617-000568_x000a_SMLN-2020-614-000071_x000a_SMLN-2020-616-000074"/>
    <x v="4"/>
    <d v="2021-02-18T00:00:00"/>
    <d v="2023-01-20T00:00:00"/>
  </r>
  <r>
    <d v="2020-07-13T00:00:00"/>
    <s v="VZ-2020-000744"/>
    <x v="1"/>
    <s v="Valtová"/>
    <x v="3"/>
    <n v="7"/>
    <s v="Fúzní náhrada bederní meziobratlové ploténky expandibilní ze zadního přístupu páteřním kanálem (PLIF)"/>
    <m/>
    <s v="33184100-4"/>
    <m/>
    <n v="1365043"/>
    <x v="0"/>
    <d v="2020-08-18T00:00:00"/>
    <d v="2020-10-16T00:00:00"/>
    <d v="2020-12-14T00:00:00"/>
    <s v="BoneCare s.r.o."/>
    <m/>
    <n v="1365000"/>
    <n v="1569750"/>
    <m/>
    <m/>
    <m/>
    <d v="2020-12-15T00:00:00"/>
    <s v="SMLN-2020-617-000569_x000a_SMLN-2020-614-000072_x000a_SMLN-2020-616-000075"/>
    <x v="4"/>
    <d v="2021-02-18T00:00:00"/>
    <d v="2023-01-20T00:00:00"/>
  </r>
  <r>
    <d v="2020-07-13T00:00:00"/>
    <s v="VZ-2020-000744"/>
    <x v="1"/>
    <s v="Valtová"/>
    <x v="3"/>
    <n v="8"/>
    <s v="Fúzní systém pro transpedikulární stabilizaci bederní páteře u degenerativních onemocnění s možností repozice olistézy (translačního posunu)"/>
    <m/>
    <s v="33184100-4"/>
    <m/>
    <n v="7630000"/>
    <x v="0"/>
    <d v="2020-08-18T00:00:00"/>
    <d v="2020-10-16T00:00:00"/>
    <d v="2020-12-14T00:00:00"/>
    <s v="BoneCare s.r.o."/>
    <m/>
    <n v="7630000"/>
    <n v="8774500"/>
    <m/>
    <m/>
    <m/>
    <d v="2020-12-15T00:00:00"/>
    <s v="SMLN-2020-617-000570_x000a_SMLN-2020-614-000073_x000a_SMLN-2020-616-000076"/>
    <x v="4"/>
    <d v="2021-02-18T00:00:00"/>
    <d v="2023-01-20T00:00:00"/>
  </r>
  <r>
    <d v="2020-07-13T00:00:00"/>
    <s v="VZ-2020-000744"/>
    <x v="1"/>
    <s v="Valtová"/>
    <x v="3"/>
    <n v="9"/>
    <s v="Fúzní systém pro transpedikulární stabilizaci hrudní a bederní páteře u traumat"/>
    <m/>
    <s v="33184100-4"/>
    <m/>
    <n v="1800000"/>
    <x v="0"/>
    <d v="2020-08-18T00:00:00"/>
    <d v="2020-10-16T00:00:00"/>
    <d v="2020-12-14T00:00:00"/>
    <s v="BoneCare s.r.o."/>
    <m/>
    <n v="1720000"/>
    <n v="1978000"/>
    <m/>
    <m/>
    <m/>
    <d v="2020-12-15T00:00:00"/>
    <s v="SMLN-2020-617-000571_x000a_SMLN-2020-614-000074_x000a_SMLN-2020-616-000077"/>
    <x v="4"/>
    <d v="2021-02-18T00:00:00"/>
    <d v="2023-01-20T00:00:00"/>
  </r>
  <r>
    <d v="2020-07-13T00:00:00"/>
    <s v="VZ-2020-000744"/>
    <x v="1"/>
    <s v="Valtová"/>
    <x v="3"/>
    <n v="10"/>
    <s v="Fúzní systém pro transpedikulární stabilizaci hrudní a bederní páteře u osteoporotické páteře s možností aplikace cementu šroubem"/>
    <m/>
    <s v="33184100-4"/>
    <m/>
    <n v="3460000"/>
    <x v="0"/>
    <d v="2020-08-18T00:00:00"/>
    <d v="2020-10-16T00:00:00"/>
    <d v="2020-12-14T00:00:00"/>
    <s v="Johnson  &amp; Johnson s.r.o."/>
    <m/>
    <n v="2900000"/>
    <n v="3335000"/>
    <m/>
    <m/>
    <m/>
    <d v="2020-12-16T00:00:00"/>
    <s v="SMLN-2020-617-000572_x000a_SMLN-2020-614-000075_x000a_SMLN-2020-616-000078"/>
    <x v="3"/>
    <d v="2021-02-18T00:00:00"/>
    <d v="2023-02-03T00:00:00"/>
  </r>
  <r>
    <d v="2020-07-13T00:00:00"/>
    <s v="VZ-2020-000744"/>
    <x v="1"/>
    <s v="Valtová"/>
    <x v="3"/>
    <n v="11"/>
    <s v="Fúzní náhrada krčního, hrudního a bederního obratlového těla s možností mechanické expanze"/>
    <m/>
    <s v="33184100-4"/>
    <m/>
    <n v="2778000"/>
    <x v="0"/>
    <d v="2020-08-18T00:00:00"/>
    <d v="2020-10-16T00:00:00"/>
    <d v="2020-12-14T00:00:00"/>
    <s v="BoneCare s.r.o."/>
    <m/>
    <n v="2640000"/>
    <n v="3036000"/>
    <m/>
    <m/>
    <m/>
    <d v="2020-12-16T00:00:00"/>
    <s v="SMLN-2020-617-000573_x000a_SMLN-2020-614-000076_x000a_SMLN-2020-616-000079"/>
    <x v="4"/>
    <d v="2021-02-18T00:00:00"/>
    <d v="2023-01-20T00:00:00"/>
  </r>
  <r>
    <d v="2020-07-13T00:00:00"/>
    <s v="VZ-2020-000744"/>
    <x v="1"/>
    <s v="Valtová"/>
    <x v="3"/>
    <n v="12"/>
    <s v="Vertebroplastická sada k perkutánní vertebroplastice hrudního a bederního obratle cementem"/>
    <m/>
    <s v="33184100-4"/>
    <m/>
    <n v="2260000"/>
    <x v="0"/>
    <d v="2020-08-18T00:00:00"/>
    <d v="2020-10-16T00:00:00"/>
    <d v="2020-12-14T00:00:00"/>
    <s v="Johnson  &amp; Johnson s.r.o."/>
    <m/>
    <n v="2260000"/>
    <n v="2651800"/>
    <m/>
    <m/>
    <m/>
    <d v="2020-12-16T00:00:00"/>
    <s v="SMLN-2020-617-000574_x000a_SMLN-2020-614-000077_x000a_SMLN-2020-616-000080"/>
    <x v="3"/>
    <d v="2021-02-18T00:00:00"/>
    <d v="2023-02-03T00:00:00"/>
  </r>
  <r>
    <d v="2020-07-13T00:00:00"/>
    <s v="VZ-2020-000744"/>
    <x v="1"/>
    <s v="Valtová"/>
    <x v="3"/>
    <n v="13"/>
    <s v="Fúzní systém pro stabilizaci sakro-iliakálního (SI) skloubení"/>
    <m/>
    <s v="33184100-4"/>
    <m/>
    <n v="2070000"/>
    <x v="0"/>
    <d v="2020-08-18T00:00:00"/>
    <d v="2020-10-16T00:00:00"/>
    <d v="2020-12-14T00:00:00"/>
    <s v="Spinemedical s.r.o."/>
    <m/>
    <n v="2070000"/>
    <n v="2380500"/>
    <m/>
    <m/>
    <m/>
    <d v="2020-12-16T00:00:00"/>
    <s v="SMLN-2020-617-000575_x000a_SMLN-2020-614-000078_x000a_SMLN-2020-616-000081"/>
    <x v="4"/>
    <d v="2021-02-18T00:00:00"/>
    <d v="2023-01-20T00:00:00"/>
  </r>
  <r>
    <d v="2020-08-07T00:00:00"/>
    <s v="VZ-2020-000826"/>
    <x v="0"/>
    <s v="Ondráčková"/>
    <x v="4"/>
    <n v="2"/>
    <s v="Enterální výživa I."/>
    <m/>
    <s v="15880000-0"/>
    <m/>
    <n v="4474683"/>
    <x v="0"/>
    <d v="2020-08-14T00:00:00"/>
    <d v="2020-09-17T00:00:00"/>
    <d v="2020-12-17T00:00:00"/>
    <s v="PHARMOS, a.s."/>
    <m/>
    <n v="4452801.9000000004"/>
    <n v="4898082.09"/>
    <m/>
    <m/>
    <m/>
    <d v="2020-12-18T00:00:00"/>
    <s v="SMLN-2020-617-000580"/>
    <x v="5"/>
    <d v="2021-02-05T00:00:00"/>
    <d v="2024-01-28T00:00:00"/>
  </r>
  <r>
    <d v="2020-08-07T00:00:00"/>
    <s v="VZ-2020-000826"/>
    <x v="0"/>
    <s v="Ondráčková"/>
    <x v="4"/>
    <n v="3"/>
    <s v="Enterální výživa II."/>
    <m/>
    <s v="15880000-0"/>
    <m/>
    <n v="1138770"/>
    <x v="0"/>
    <d v="2020-08-14T00:00:00"/>
    <d v="2020-09-17T00:00:00"/>
    <d v="2020-12-17T00:00:00"/>
    <s v="PHARMOS, a.s."/>
    <m/>
    <n v="940666.44"/>
    <n v="1034733.08"/>
    <m/>
    <m/>
    <m/>
    <d v="2020-12-18T00:00:00"/>
    <s v="SMLN-2020-617-000581"/>
    <x v="5"/>
    <d v="2021-02-05T00:00:00"/>
    <d v="2024-01-28T00:00:00"/>
  </r>
  <r>
    <d v="2020-08-07T00:00:00"/>
    <s v="VZ-2020-000826"/>
    <x v="0"/>
    <s v="Ondráčková"/>
    <x v="4"/>
    <n v="4"/>
    <s v="Enterální výživa III."/>
    <m/>
    <s v="15880000-0"/>
    <m/>
    <n v="933372"/>
    <x v="0"/>
    <d v="2020-08-14T00:00:00"/>
    <d v="2020-09-17T00:00:00"/>
    <d v="2020-12-09T00:00:00"/>
    <s v="Fresenius Kabi s.r.o."/>
    <m/>
    <n v="933314.4"/>
    <n v="1026645.84"/>
    <m/>
    <m/>
    <m/>
    <d v="2020-12-09T00:00:00"/>
    <s v="SMLN-2020-617-000559"/>
    <x v="5"/>
    <d v="2021-02-05T00:00:00"/>
    <d v="2024-01-28T00:00:00"/>
  </r>
  <r>
    <d v="2020-08-14T00:00:00"/>
    <s v="VZ-2020-000869"/>
    <x v="3"/>
    <s v="Valíček"/>
    <x v="5"/>
    <m/>
    <m/>
    <m/>
    <s v="71000000-8"/>
    <s v="6.1."/>
    <n v="62500000"/>
    <x v="0"/>
    <d v="2020-11-12T00:00:00"/>
    <d v="2020-12-14T00:00:00"/>
    <m/>
    <s v="zrušeno - nutná úprava zadání"/>
    <s v="nová VZ-2021-000105"/>
    <m/>
    <m/>
    <m/>
    <m/>
    <m/>
    <m/>
    <m/>
    <x v="6"/>
    <d v="2021-01-29T00:00:00"/>
    <s v="28.1.2021 zrušeno"/>
  </r>
  <r>
    <d v="2020-08-25T00:00:00"/>
    <s v="VZ-2020-000900"/>
    <x v="4"/>
    <s v="Eyer"/>
    <x v="6"/>
    <m/>
    <m/>
    <m/>
    <s v="45232221-7"/>
    <s v="4.2.121."/>
    <n v="8650000"/>
    <x v="1"/>
    <d v="2020-09-15T00:00:00"/>
    <d v="2020-10-08T00:00:00"/>
    <d v="2020-11-12T00:00:00"/>
    <s v="ČEZ Energetické služby s.r.o."/>
    <m/>
    <n v="8127838.2699999996"/>
    <n v="9834684.3100000005"/>
    <m/>
    <m/>
    <m/>
    <d v="2020-11-13T00:00:00"/>
    <s v="SMLN-2020-618-000108"/>
    <x v="7"/>
    <d v="2021-01-19T00:00:00"/>
    <d v="2021-04-20T00:00:00"/>
  </r>
  <r>
    <d v="2020-08-26T00:00:00"/>
    <s v="VZ-2020-000907"/>
    <x v="3"/>
    <s v="Valíček"/>
    <x v="7"/>
    <m/>
    <m/>
    <m/>
    <s v="71000000-8"/>
    <s v="1.2.68."/>
    <n v="40000000"/>
    <x v="0"/>
    <d v="2020-09-04T00:00:00"/>
    <d v="2020-11-02T00:00:00"/>
    <d v="2021-02-05T00:00:00"/>
    <s v="PENTA PROJEKT s.r.o."/>
    <m/>
    <n v="25200000"/>
    <n v="30492000"/>
    <m/>
    <m/>
    <m/>
    <d v="2021-02-05T00:00:00"/>
    <s v="SMLN-2021-618-000008"/>
    <x v="8"/>
    <d v="2021-03-15T00:00:00"/>
    <d v="2021-11-12T00:00:00"/>
  </r>
  <r>
    <d v="2020-09-01T00:00:00"/>
    <s v="VZ-2020-000920"/>
    <x v="3"/>
    <s v="Valíček"/>
    <x v="8"/>
    <m/>
    <m/>
    <m/>
    <s v="71000000-8"/>
    <s v="1.2.67."/>
    <n v="40000000"/>
    <x v="0"/>
    <d v="2020-09-07T00:00:00"/>
    <d v="2020-11-06T00:00:00"/>
    <m/>
    <s v="zrušeno - úprava zadání"/>
    <s v="nová VZ-2021-000535"/>
    <m/>
    <m/>
    <m/>
    <m/>
    <m/>
    <m/>
    <m/>
    <x v="6"/>
    <d v="2021-04-15T00:00:00"/>
    <s v="22.3.2021 zrušeno"/>
  </r>
  <r>
    <d v="2020-09-01T00:00:00"/>
    <s v="VZ-2020-000922"/>
    <x v="2"/>
    <s v="Rosulek"/>
    <x v="9"/>
    <m/>
    <m/>
    <m/>
    <s v="33115100-0"/>
    <s v="2.2.275.,2.3.502."/>
    <n v="100000000"/>
    <x v="0"/>
    <d v="2020-12-17T00:00:00"/>
    <d v="2021-01-29T00:00:00"/>
    <d v="2021-02-19T00:00:00"/>
    <s v="Stargen EU s.r.o."/>
    <m/>
    <n v="110023000"/>
    <n v="133127830"/>
    <m/>
    <m/>
    <m/>
    <d v="2021-02-22T00:00:00"/>
    <s v="SMLN-2021-617-000079_x000a_SMLN-2021-612-000009"/>
    <x v="9"/>
    <d v="2021-03-29T00:00:00"/>
    <m/>
  </r>
  <r>
    <d v="2020-09-04T00:00:00"/>
    <s v="VZ-2020-000941"/>
    <x v="0"/>
    <s v="Ondráčková"/>
    <x v="10"/>
    <n v="1"/>
    <s v="KIOVIG"/>
    <m/>
    <s v="33651520-9"/>
    <m/>
    <n v="17281625"/>
    <x v="0"/>
    <d v="2020-09-07T00:00:00"/>
    <d v="2020-11-16T00:00:00"/>
    <d v="2020-12-18T00:00:00"/>
    <s v="Takeda Pharmaceuticals Czech Republic s.r.o."/>
    <m/>
    <n v="17281625"/>
    <n v="19009787.5"/>
    <m/>
    <m/>
    <m/>
    <d v="2020-12-18T00:00:00"/>
    <s v="SMLN-2020-617-000582"/>
    <x v="10"/>
    <d v="2021-01-12T00:00:00"/>
    <d v="2024-01-07T00:00:00"/>
  </r>
  <r>
    <d v="2020-09-04T00:00:00"/>
    <s v="VZ-2020-000941"/>
    <x v="0"/>
    <s v="Ondráčková"/>
    <x v="10"/>
    <n v="2"/>
    <s v="GAMMAGARD S/D"/>
    <m/>
    <s v="33651520-9"/>
    <m/>
    <n v="1223550"/>
    <x v="0"/>
    <d v="2020-09-07T00:00:00"/>
    <d v="2020-11-16T00:00:00"/>
    <d v="2020-12-18T00:00:00"/>
    <s v="Takeda Pharmaceuticals Czech Republic s.r.o."/>
    <m/>
    <n v="1223550"/>
    <n v="1345905"/>
    <m/>
    <m/>
    <m/>
    <d v="2020-12-18T00:00:00"/>
    <s v="SMLN-2020-617-000583"/>
    <x v="10"/>
    <d v="2021-01-12T00:00:00"/>
    <d v="2024-01-07T00:00:00"/>
  </r>
  <r>
    <d v="2020-09-04T00:00:00"/>
    <s v="VZ-2020-000941"/>
    <x v="0"/>
    <s v="Ondráčková"/>
    <x v="10"/>
    <n v="3"/>
    <s v="FLEBOGAMMA DIF"/>
    <m/>
    <s v="33651520-9"/>
    <m/>
    <n v="98897533"/>
    <x v="0"/>
    <d v="2020-09-07T00:00:00"/>
    <d v="2020-11-16T00:00:00"/>
    <d v="2020-12-18T00:00:00"/>
    <s v="Grfols s.r.o."/>
    <m/>
    <n v="98897532.5"/>
    <n v="108787285.75"/>
    <m/>
    <m/>
    <m/>
    <d v="2020-12-18T00:00:00"/>
    <s v="SMLN-2020-617-000584"/>
    <x v="10"/>
    <d v="2021-01-12T00:00:00"/>
    <d v="2024-01-07T00:00:00"/>
  </r>
  <r>
    <d v="2020-09-04T00:00:00"/>
    <s v="VZ-2020-000942"/>
    <x v="0"/>
    <s v="Ondráčková"/>
    <x v="11"/>
    <n v="1"/>
    <s v="INFLECTRA pro léčbu stávajících pacientů"/>
    <m/>
    <s v="33652300-8"/>
    <m/>
    <n v="26177675"/>
    <x v="0"/>
    <d v="2020-09-10T00:00:00"/>
    <d v="2020-10-14T00:00:00"/>
    <d v="2020-11-25T00:00:00"/>
    <s v="Alliance Healthcare s.r.o."/>
    <m/>
    <n v="25744379.5"/>
    <n v="28318817.449999999"/>
    <m/>
    <m/>
    <m/>
    <d v="2020-11-26T00:00:00"/>
    <s v="SMLN-2020-617-000536"/>
    <x v="11"/>
    <d v="2021-01-15T00:00:00"/>
    <d v="2026-01-12T00:00:00"/>
  </r>
  <r>
    <d v="2020-09-04T00:00:00"/>
    <s v="VZ-2020-000943"/>
    <x v="0"/>
    <s v="Ondráčková"/>
    <x v="12"/>
    <m/>
    <m/>
    <m/>
    <s v="33652300-8"/>
    <m/>
    <n v="8423486"/>
    <x v="0"/>
    <d v="2020-11-27T00:00:00"/>
    <d v="2021-02-22T00:00:00"/>
    <d v="2021-03-15T00:00:00"/>
    <s v="ELI LILLY ČR, s.r.o."/>
    <m/>
    <n v="8423483.2799999993"/>
    <n v="9265831.6099999994"/>
    <m/>
    <m/>
    <m/>
    <d v="2021-03-15T00:00:00"/>
    <s v="SMLN-2021-617-000108"/>
    <x v="12"/>
    <d v="2021-04-28T00:00:00"/>
    <d v="2025-04-07T00:00:00"/>
  </r>
  <r>
    <d v="2020-09-08T00:00:00"/>
    <s v="VZ-2020-000961"/>
    <x v="0"/>
    <s v="Ondráčková"/>
    <x v="13"/>
    <n v="1"/>
    <s v="ABRAXANE"/>
    <m/>
    <s v="33652100-6"/>
    <m/>
    <n v="15458000"/>
    <x v="0"/>
    <d v="2020-09-17T00:00:00"/>
    <d v="2020-10-19T00:00:00"/>
    <d v="2020-12-01T00:00:00"/>
    <s v="PHOENIX lék.velkoobchod, s.r.o."/>
    <m/>
    <n v="15457754.07"/>
    <n v="17003529.48"/>
    <m/>
    <m/>
    <m/>
    <d v="2020-12-01T00:00:00"/>
    <s v="SMLN-2020-617-000543"/>
    <x v="13"/>
    <d v="2021-01-11T00:00:00"/>
    <d v="2023-12-27T00:00:00"/>
  </r>
  <r>
    <d v="2020-09-04T00:00:00"/>
    <s v="VZ-2020-000962"/>
    <x v="5"/>
    <s v="Oravec"/>
    <x v="14"/>
    <m/>
    <m/>
    <m/>
    <s v="30125110-5 "/>
    <m/>
    <n v="4960000"/>
    <x v="0"/>
    <d v="2020-10-09T00:00:00"/>
    <d v="2021-01-13T00:00:00"/>
    <d v="2021-02-09T00:00:00"/>
    <s v="ProfiToner s.r.o."/>
    <m/>
    <n v="4982093"/>
    <n v="6028332.5300000003"/>
    <m/>
    <m/>
    <m/>
    <d v="2021-02-09T00:00:00"/>
    <s v="SMLN-2021-617-000053"/>
    <x v="14"/>
    <d v="2021-03-04T00:00:00"/>
    <d v="2023-03-02T00:00:00"/>
  </r>
  <r>
    <d v="2020-09-15T00:00:00"/>
    <s v="VZ-2020-000993"/>
    <x v="5"/>
    <s v="Oravec"/>
    <x v="15"/>
    <m/>
    <m/>
    <m/>
    <s v="30213300-8"/>
    <m/>
    <n v="7319250"/>
    <x v="0"/>
    <d v="2020-09-22T00:00:00"/>
    <d v="2020-11-30T00:00:00"/>
    <d v="2020-02-12T00:00:00"/>
    <s v="VKUS-BUSTAN s.r.o."/>
    <m/>
    <n v="7072650"/>
    <n v="8557906.5"/>
    <m/>
    <m/>
    <m/>
    <d v="2020-02-15T00:00:00"/>
    <s v="SMLN-2021-617-000057"/>
    <x v="15"/>
    <d v="2021-04-07T00:00:00"/>
    <d v="2022-03-31T00:00:00"/>
  </r>
  <r>
    <d v="2020-09-07T00:00:00"/>
    <s v="VZ-2020-000998"/>
    <x v="4"/>
    <s v="Srovnal"/>
    <x v="16"/>
    <m/>
    <m/>
    <m/>
    <s v="42416100-6"/>
    <m/>
    <n v="3500000"/>
    <x v="0"/>
    <d v="2020-10-06T00:00:00"/>
    <d v="2020-12-08T00:00:00"/>
    <d v="2021-01-04T00:00:00"/>
    <s v="LIFTMONT CZ s.r.o."/>
    <m/>
    <n v="2790000"/>
    <n v="3375900"/>
    <m/>
    <m/>
    <m/>
    <d v="2021-01-04T00:00:00"/>
    <s v="SMLN-2021-618-000001"/>
    <x v="16"/>
    <d v="2021-04-07T00:00:00"/>
    <m/>
  </r>
  <r>
    <d v="2020-09-16T00:00:00"/>
    <s v="VZ-2020-001003"/>
    <x v="0"/>
    <s v="Ondráčková"/>
    <x v="17"/>
    <n v="1"/>
    <s v="ADVAGRAF pro stávající pacienty"/>
    <m/>
    <s v="33652300-8"/>
    <m/>
    <n v="39747523"/>
    <x v="0"/>
    <d v="2020-09-22T00:00:00"/>
    <d v="2020-10-26T00:00:00"/>
    <d v="2020-12-02T00:00:00"/>
    <s v="PHOENIX lék.velkoobchod, s.r.o."/>
    <m/>
    <n v="39747521.100000001"/>
    <n v="43722273.210000001"/>
    <m/>
    <m/>
    <m/>
    <d v="2020-12-02T00:00:00"/>
    <s v="SMLN-2020-617-000549"/>
    <x v="17"/>
    <d v="2021-01-20T00:00:00"/>
    <d v="2026-01-17T00:00:00"/>
  </r>
  <r>
    <d v="2020-09-16T00:00:00"/>
    <s v="VZ-2020-001003"/>
    <x v="0"/>
    <s v="Ondráčková"/>
    <x v="17"/>
    <n v="2"/>
    <s v="PROGRAF pro stávající pacienty"/>
    <m/>
    <s v="33652300-8"/>
    <m/>
    <n v="2834659"/>
    <x v="0"/>
    <d v="2020-09-22T00:00:00"/>
    <d v="2020-10-26T00:00:00"/>
    <d v="2020-12-02T00:00:00"/>
    <s v="PHOENIX lék.velkoobchod, s.r.o."/>
    <m/>
    <n v="2834657.1"/>
    <n v="3118122.81"/>
    <m/>
    <m/>
    <m/>
    <d v="2020-12-02T00:00:00"/>
    <s v="SMLN-2020-617-000550"/>
    <x v="17"/>
    <d v="2021-01-20T00:00:00"/>
    <d v="2026-01-17T00:00:00"/>
  </r>
  <r>
    <d v="2020-09-16T00:00:00"/>
    <s v="VZ-2020-001003"/>
    <x v="0"/>
    <s v="Ondráčková"/>
    <x v="17"/>
    <n v="3"/>
    <s v="ENVARSUS  pro stávající pacienty"/>
    <m/>
    <s v="33652300-8"/>
    <m/>
    <n v="3091238"/>
    <x v="0"/>
    <d v="2020-09-22T00:00:00"/>
    <d v="2020-10-26T00:00:00"/>
    <d v="2020-12-02T00:00:00"/>
    <s v="PHOENIX lék.velkoobchod, s.r.o."/>
    <m/>
    <n v="3058371.85"/>
    <n v="3364209.04"/>
    <m/>
    <m/>
    <m/>
    <d v="2020-12-02T00:00:00"/>
    <s v="SMLN-2020-617-000551"/>
    <x v="17"/>
    <d v="2021-01-20T00:00:00"/>
    <d v="2026-01-17T00:00:00"/>
  </r>
  <r>
    <d v="2020-09-16T00:00:00"/>
    <s v="VZ-2020-001003"/>
    <x v="0"/>
    <s v="Ondráčková"/>
    <x v="17"/>
    <n v="4"/>
    <s v="DALIPORT pro nové pacienty po první transplantaci"/>
    <m/>
    <s v="33652300-8"/>
    <m/>
    <n v="4157967"/>
    <x v="0"/>
    <d v="2020-09-22T00:00:00"/>
    <d v="2020-10-26T00:00:00"/>
    <d v="2020-12-02T00:00:00"/>
    <s v="PHOENIX lék.velkoobchod, s.r.o."/>
    <m/>
    <n v="3978802.5"/>
    <n v="4376682.75"/>
    <m/>
    <m/>
    <m/>
    <d v="2020-12-02T00:00:00"/>
    <s v="SMLN-2020-617-000552"/>
    <x v="17"/>
    <d v="2021-01-20T00:00:00"/>
    <d v="2026-01-17T00:00:00"/>
  </r>
  <r>
    <d v="2020-09-16T00:00:00"/>
    <s v="VZ-2020-001003"/>
    <x v="0"/>
    <s v="Ondráčková"/>
    <x v="17"/>
    <n v="5"/>
    <s v="EQUORAL"/>
    <m/>
    <s v="33652300-8"/>
    <m/>
    <n v="1749662"/>
    <x v="0"/>
    <d v="2020-09-22T00:00:00"/>
    <d v="2020-10-26T00:00:00"/>
    <d v="2020-12-02T00:00:00"/>
    <s v="PHOENIX lék.velkoobchod, s.r.o."/>
    <m/>
    <n v="1745639.1"/>
    <n v="1920203.01"/>
    <m/>
    <m/>
    <m/>
    <d v="2020-12-02T00:00:00"/>
    <s v="SMLN-2020-617-000553"/>
    <x v="17"/>
    <d v="2021-01-20T00:00:00"/>
    <d v="2026-01-17T00:00:00"/>
  </r>
  <r>
    <d v="2020-09-16T00:00:00"/>
    <s v="VZ-2020-001003"/>
    <x v="0"/>
    <s v="Ondráčková"/>
    <x v="17"/>
    <n v="6"/>
    <s v="SANDIMMUN NEORAL"/>
    <m/>
    <s v="33652300-8"/>
    <m/>
    <n v="4479566"/>
    <x v="0"/>
    <d v="2020-09-22T00:00:00"/>
    <d v="2020-10-26T00:00:00"/>
    <d v="2020-12-02T00:00:00"/>
    <s v="Alliance Healthcare s.r.o."/>
    <m/>
    <n v="4479563.8"/>
    <n v="4927520.18"/>
    <m/>
    <m/>
    <m/>
    <d v="2020-12-02T00:00:00"/>
    <s v="SMLN-2020-617-000554"/>
    <x v="11"/>
    <d v="2021-01-20T00:00:00"/>
    <d v="2026-01-12T00:00:00"/>
  </r>
  <r>
    <d v="2020-09-08T00:00:00"/>
    <s v="VZ-2020-001007"/>
    <x v="6"/>
    <s v="Zemánek"/>
    <x v="18"/>
    <m/>
    <m/>
    <m/>
    <s v="50421000-2"/>
    <m/>
    <n v="3000000"/>
    <x v="1"/>
    <d v="2020-09-22T00:00:00"/>
    <d v="2020-10-14T00:00:00"/>
    <d v="2020-11-10T00:00:00"/>
    <s v="BMT Medical Technology s.r.o."/>
    <m/>
    <n v="368940"/>
    <n v="446417.4"/>
    <m/>
    <m/>
    <m/>
    <d v="2020-11-11T00:00:00"/>
    <s v="SMLN-2020-612-000115"/>
    <x v="18"/>
    <d v="2021-01-21T00:00:00"/>
    <s v="doba neurčitá"/>
  </r>
  <r>
    <s v="opakovaná VZ"/>
    <s v="VZ-2020-001012"/>
    <x v="2"/>
    <s v="Rosulek"/>
    <x v="19"/>
    <m/>
    <m/>
    <m/>
    <s v="33130000-0"/>
    <s v="2.3.390."/>
    <n v="3542148"/>
    <x v="1"/>
    <d v="2020-09-22T00:00:00"/>
    <d v="2020-10-15T00:00:00"/>
    <d v="2021-02-05T00:00:00"/>
    <s v="Fénix Dental s.r.o."/>
    <m/>
    <n v="1585336"/>
    <n v="1918256.56"/>
    <m/>
    <m/>
    <m/>
    <d v="2021-02-05T00:00:00"/>
    <s v="SMLN-2021-617-000038_x000a_SMLN-2021-617-000039_x000a_SMLN-2021-612-000005"/>
    <x v="19"/>
    <d v="2021-06-22T00:00:00"/>
    <d v="2021-07-08T00:00:00"/>
  </r>
  <r>
    <d v="2020-09-14T00:00:00"/>
    <s v="VZ-2020-001020"/>
    <x v="4"/>
    <s v="Srovnal"/>
    <x v="20"/>
    <m/>
    <m/>
    <m/>
    <s v="33190000-8"/>
    <m/>
    <n v="5800000"/>
    <x v="0"/>
    <d v="2020-10-07T00:00:00"/>
    <d v="2020-11-18T00:00:00"/>
    <d v="2020-11-30T00:00:00"/>
    <s v="Dräger Medical s.r.o."/>
    <m/>
    <n v="5085998"/>
    <n v="6154057.5800000001"/>
    <m/>
    <m/>
    <m/>
    <d v="2020-11-30T00:00:00"/>
    <s v="SMLN-2020-617-000540_x000a_SMLN-2020-612-000120_x000a_SMLN-2020-612-000121"/>
    <x v="2"/>
    <d v="2021-02-02T00:00:00"/>
    <d v="2021-04-06T00:00:00"/>
  </r>
  <r>
    <d v="2020-09-11T00:00:00"/>
    <s v="VZ-2020-001022"/>
    <x v="3"/>
    <s v="Langer"/>
    <x v="21"/>
    <m/>
    <m/>
    <m/>
    <s v="45215100-8"/>
    <s v="1.3.20."/>
    <n v="60000000"/>
    <x v="0"/>
    <d v="2020-09-23T00:00:00"/>
    <d v="2020-10-30T00:00:00"/>
    <d v="2020-11-23T00:00:00"/>
    <s v="OHL ŽS, a.s."/>
    <m/>
    <n v="59460506.189999998"/>
    <n v="71947212.489999995"/>
    <m/>
    <m/>
    <m/>
    <d v="2020-11-23T00:00:00"/>
    <s v="SMLN-2020-618-000114"/>
    <x v="11"/>
    <d v="2021-01-20T00:00:00"/>
    <d v="2022-04-08T00:00:00"/>
  </r>
  <r>
    <d v="2020-09-21T00:00:00"/>
    <s v="VZ-2020-001035"/>
    <x v="1"/>
    <s v="Merta"/>
    <x v="22"/>
    <n v="1"/>
    <s v="Impantabilní dvoukanálový neurostimulační systém k léčbě Hlubokou Mozkovou Stimulací (DBS) - MRI kompatibilní - dobíjitelný"/>
    <m/>
    <s v="33158210-7"/>
    <m/>
    <n v="13712000"/>
    <x v="0"/>
    <d v="2020-10-09T00:00:00"/>
    <d v="2020-11-11T00:00:00"/>
    <d v="2020-12-01T00:00:00"/>
    <s v="MEDIFINE a.s."/>
    <m/>
    <n v="13692775.68"/>
    <n v="15806771.359999999"/>
    <m/>
    <m/>
    <m/>
    <d v="2020-12-02T00:00:00"/>
    <s v="SMLN-2020-617-000544_x000a_SMLN-2020-614-000062_x000a_SMLN-2020-616-000064"/>
    <x v="4"/>
    <d v="2021-02-02T00:00:00"/>
    <s v="doba neurčitá"/>
  </r>
  <r>
    <d v="2020-09-21T00:00:00"/>
    <s v="VZ-2020-001035"/>
    <x v="1"/>
    <s v="Merta"/>
    <x v="22"/>
    <n v="2"/>
    <s v="Impantabilní dvoukanálový neurostimulační systém k léčbě Hlubokou Mozkovou Stimulací (DBS) - MRI kompatibilní - nedobíjitelný"/>
    <m/>
    <s v="33158210-7"/>
    <m/>
    <n v="82786000"/>
    <x v="0"/>
    <d v="2020-10-09T00:00:00"/>
    <d v="2020-11-11T00:00:00"/>
    <d v="2020-12-01T00:00:00"/>
    <s v="MEDIFINE a.s."/>
    <m/>
    <n v="81157914.239999995"/>
    <n v="93603937.439999998"/>
    <m/>
    <m/>
    <m/>
    <d v="2020-12-02T00:00:00"/>
    <s v="SMLN-2020-617-000545_x000a_SMLN-2020-614-000065"/>
    <x v="4"/>
    <d v="2021-02-02T00:00:00"/>
    <s v="doba neurčitá"/>
  </r>
  <r>
    <d v="2020-09-21T00:00:00"/>
    <s v="VZ-2020-001035"/>
    <x v="1"/>
    <s v="Merta"/>
    <x v="22"/>
    <n v="3"/>
    <s v="Implantabilní neurostimulační systém dvoukanálový k léčbě boelstivých stavů - MRI kompatibilní - nedobíjitelný"/>
    <m/>
    <s v="33158210-7"/>
    <m/>
    <n v="38800000"/>
    <x v="0"/>
    <d v="2020-10-09T00:00:00"/>
    <d v="2020-11-11T00:00:00"/>
    <m/>
    <s v="zrušeno - nesplnění kvalifikace"/>
    <s v="nová VZ-2021-000100"/>
    <m/>
    <m/>
    <m/>
    <m/>
    <m/>
    <m/>
    <m/>
    <x v="6"/>
    <d v="2021-02-02T00:00:00"/>
    <s v="18.1.2021 zrušeno"/>
  </r>
  <r>
    <d v="2020-09-21T00:00:00"/>
    <s v="VZ-2020-001035"/>
    <x v="1"/>
    <s v="Merta"/>
    <x v="22"/>
    <n v="4"/>
    <s v="Implantabilní neurostimulační systém dvoukanálový k léčbě boelstivých stavů - MRI kompatibilní - dobíjitelný"/>
    <m/>
    <s v="33158210-7"/>
    <m/>
    <n v="7344000"/>
    <x v="0"/>
    <d v="2020-10-09T00:00:00"/>
    <d v="2020-11-11T00:00:00"/>
    <m/>
    <s v="zrušeno - nesplnění kvalifikace"/>
    <s v="nová VZ-2021-000100"/>
    <m/>
    <m/>
    <m/>
    <m/>
    <m/>
    <m/>
    <m/>
    <x v="6"/>
    <d v="2021-02-02T00:00:00"/>
    <s v="18.1.2021 zrušeno"/>
  </r>
  <r>
    <d v="2020-09-21T00:00:00"/>
    <s v="VZ-2020-001035"/>
    <x v="1"/>
    <s v="Merta"/>
    <x v="22"/>
    <n v="5"/>
    <s v="Implantabilní programovatelné lékové pumpy"/>
    <m/>
    <s v="33158210-7"/>
    <m/>
    <n v="11816000"/>
    <x v="0"/>
    <d v="2020-10-09T00:00:00"/>
    <d v="2020-11-11T00:00:00"/>
    <m/>
    <s v="zrušeno - nesplnění kvalifikace"/>
    <s v="nová VZ-2021-000100"/>
    <m/>
    <m/>
    <m/>
    <m/>
    <m/>
    <m/>
    <m/>
    <x v="6"/>
    <d v="2021-02-02T00:00:00"/>
    <s v="18.1.2021 zrušeno"/>
  </r>
  <r>
    <d v="2020-10-01T00:00:00"/>
    <s v="VZ-2020-001077"/>
    <x v="0"/>
    <s v="Ondráčková"/>
    <x v="23"/>
    <n v="1"/>
    <s v="ERENUMAB "/>
    <m/>
    <s v="33661200-3"/>
    <m/>
    <n v="27930766"/>
    <x v="0"/>
    <d v="2020-11-26T00:00:00"/>
    <d v="2020-12-28T00:00:00"/>
    <d v="2021-01-20T00:00:00"/>
    <s v="Alliance Healthcare s.r.o."/>
    <m/>
    <n v="27857560"/>
    <n v="30643316"/>
    <m/>
    <m/>
    <m/>
    <d v="2021-01-20T00:00:00"/>
    <s v="SMLN-2021-617-000016"/>
    <x v="20"/>
    <d v="2021-04-15T00:00:00"/>
    <d v="2025-03-22T00:00:00"/>
  </r>
  <r>
    <d v="2020-10-01T00:00:00"/>
    <s v="VZ-2020-001078"/>
    <x v="0"/>
    <s v="Ondráčková"/>
    <x v="24"/>
    <n v="1"/>
    <s v="GEMTUZUMAB OZOGAMICIN "/>
    <m/>
    <s v="33652100-6"/>
    <m/>
    <n v="77771612"/>
    <x v="0"/>
    <d v="2020-11-24T00:00:00"/>
    <d v="2021-01-25T00:00:00"/>
    <d v="2021-02-22T00:00:00"/>
    <s v="PHOENIX lék.velkoobchod, s.r.o."/>
    <m/>
    <n v="77771612"/>
    <n v="85548773.200000003"/>
    <m/>
    <m/>
    <m/>
    <d v="2021-02-22T00:00:00"/>
    <s v="SMLN-2021-617-000078"/>
    <x v="20"/>
    <d v="2021-05-21T00:00:00"/>
    <d v="2025-03-22T00:00:00"/>
  </r>
  <r>
    <d v="2020-09-29T00:00:00"/>
    <s v="VZ-2020-001094"/>
    <x v="7"/>
    <s v="Hlavinka"/>
    <x v="25"/>
    <m/>
    <m/>
    <m/>
    <s v="72227000-2"/>
    <m/>
    <n v="1500000"/>
    <x v="2"/>
    <d v="2020-11-20T00:00:00"/>
    <d v="2020-12-07T00:00:00"/>
    <d v="2020-12-17T00:00:00"/>
    <s v="GROUWE, s.r.o."/>
    <m/>
    <n v="990000"/>
    <n v="1197900"/>
    <m/>
    <m/>
    <m/>
    <d v="2020-12-17T00:00:00"/>
    <s v="SMLN-2020-612-000127"/>
    <x v="21"/>
    <d v="2021-01-07T00:00:00"/>
    <s v="dle dodání a převzetí IP"/>
  </r>
  <r>
    <d v="2020-09-14T00:00:00"/>
    <s v="VZ-2020-001120"/>
    <x v="4"/>
    <s v="Srovnal"/>
    <x v="26"/>
    <m/>
    <m/>
    <m/>
    <s v="50700000-2"/>
    <m/>
    <n v="5160000"/>
    <x v="0"/>
    <d v="2020-10-19T00:00:00"/>
    <d v="2020-12-02T00:00:00"/>
    <d v="2021-01-12T00:00:00"/>
    <s v="LIFTMONT CZ s.r.o."/>
    <m/>
    <n v="5646475"/>
    <n v="6832234.75"/>
    <m/>
    <m/>
    <m/>
    <d v="2021-01-12T00:00:00"/>
    <s v="SMLN-2021-618-000002"/>
    <x v="22"/>
    <d v="2021-03-23T00:00:00"/>
    <m/>
  </r>
  <r>
    <d v="2020-10-16T00:00:00"/>
    <s v="VZ-2020-001143"/>
    <x v="8"/>
    <s v="Kadlec"/>
    <x v="27"/>
    <m/>
    <m/>
    <m/>
    <s v="45453100-8"/>
    <m/>
    <n v="2700000"/>
    <x v="2"/>
    <d v="2020-10-23T00:00:00"/>
    <d v="2020-11-03T00:00:00"/>
    <d v="2020-11-23T00:00:00"/>
    <s v="SEADON s.r.o."/>
    <m/>
    <n v="1925459.74"/>
    <n v="2329806.29"/>
    <m/>
    <m/>
    <m/>
    <d v="2020-11-23T00:00:00"/>
    <s v="SMLN-2020-618-000113"/>
    <x v="23"/>
    <d v="2021-02-01T00:00:00"/>
    <d v="2021-07-28T00:00:00"/>
  </r>
  <r>
    <d v="2020-11-30T00:00:00"/>
    <s v="VZ-2020-001153"/>
    <x v="2"/>
    <s v="Rosulek"/>
    <x v="28"/>
    <m/>
    <m/>
    <m/>
    <s v="38000000-5"/>
    <s v="2.3.482"/>
    <n v="1282000"/>
    <x v="2"/>
    <d v="2020-12-02T00:00:00"/>
    <d v="2020-12-18T00:00:00"/>
    <d v="2021-02-08T00:00:00"/>
    <s v="MEDESA care s.r.o."/>
    <m/>
    <n v="1182513.58"/>
    <n v="1393678"/>
    <m/>
    <m/>
    <m/>
    <d v="2021-02-08T00:00:00"/>
    <s v="SMLN-2021-617-000051_x000a_SMLN-2021-612-000006_x000a_SMLN-2021-617-000052"/>
    <x v="14"/>
    <d v="2021-03-08T00:00:00"/>
    <d v="2021-04-14T00:00:00"/>
  </r>
  <r>
    <d v="2020-11-23T00:00:00"/>
    <s v="VZ-2020-001154"/>
    <x v="2"/>
    <s v="Rosulek"/>
    <x v="29"/>
    <m/>
    <m/>
    <m/>
    <s v="38000000-5"/>
    <s v="2.2.273"/>
    <n v="330000"/>
    <x v="2"/>
    <d v="2020-11-25T00:00:00"/>
    <d v="2020-12-09T00:00:00"/>
    <d v="2021-01-11T00:00:00"/>
    <s v="BARIA, s.r.o."/>
    <m/>
    <n v="293980.17"/>
    <n v="355716"/>
    <m/>
    <m/>
    <m/>
    <d v="2021-01-11T00:00:00"/>
    <s v="SMLN-2021-617-000008_x000a_SMLN-2021-612-000002"/>
    <x v="23"/>
    <d v="2021-02-01T00:00:00"/>
    <d v="2021-03-11T00:00:00"/>
  </r>
  <r>
    <d v="2020-11-26T00:00:00"/>
    <s v="VZ-2020-001155"/>
    <x v="2"/>
    <s v="Rosulek"/>
    <x v="30"/>
    <m/>
    <m/>
    <m/>
    <s v="33155000-1"/>
    <s v="2.3.464"/>
    <n v="727000"/>
    <x v="2"/>
    <d v="2020-12-01T00:00:00"/>
    <d v="2020-12-11T00:00:00"/>
    <m/>
    <s v="zrušeno - nutná úprava zadání"/>
    <s v="nová VZ-2021-000161"/>
    <m/>
    <m/>
    <m/>
    <m/>
    <m/>
    <m/>
    <m/>
    <x v="6"/>
    <d v="2021-02-22T00:00:00"/>
    <s v="zrušeno"/>
  </r>
  <r>
    <d v="2020-10-19T00:00:00"/>
    <s v="VZ-2020-001157"/>
    <x v="0"/>
    <s v="Ondráčková"/>
    <x v="31"/>
    <n v="1"/>
    <s v="ACTRAPID PENFILL"/>
    <m/>
    <s v="33615100-5"/>
    <m/>
    <n v="3271950"/>
    <x v="0"/>
    <d v="2020-10-23T00:00:00"/>
    <d v="2020-12-23T00:00:00"/>
    <d v="2021-02-01T00:00:00"/>
    <s v="Alliance Healthcare s.r.o."/>
    <m/>
    <n v="3113409.15"/>
    <n v="3424750.07"/>
    <m/>
    <m/>
    <m/>
    <d v="2021-02-01T00:00:00"/>
    <s v="SMLN-2021-617-000029"/>
    <x v="24"/>
    <d v="2021-03-23T00:00:00"/>
    <d v="2024-03-17T00:00:00"/>
  </r>
  <r>
    <d v="2020-10-19T00:00:00"/>
    <s v="VZ-2020-001157"/>
    <x v="0"/>
    <s v="Ondráčková"/>
    <x v="31"/>
    <n v="2"/>
    <s v="HUMULIN R"/>
    <m/>
    <s v="33615100-5"/>
    <m/>
    <n v="1306500"/>
    <x v="0"/>
    <d v="2020-10-23T00:00:00"/>
    <d v="2020-12-23T00:00:00"/>
    <d v="2021-02-01T00:00:00"/>
    <s v="Alliance Healthcare s.r.o."/>
    <m/>
    <n v="1170972.96"/>
    <n v="1288070.26"/>
    <m/>
    <m/>
    <m/>
    <d v="2021-02-01T00:00:00"/>
    <s v="SMLN-2021-617-000030"/>
    <x v="24"/>
    <d v="2021-03-23T00:00:00"/>
    <d v="2024-03-17T00:00:00"/>
  </r>
  <r>
    <d v="2020-10-19T00:00:00"/>
    <s v="VZ-2020-001157"/>
    <x v="0"/>
    <s v="Ondráčková"/>
    <x v="31"/>
    <n v="3"/>
    <s v="HUMALOG"/>
    <m/>
    <s v="33615100-5"/>
    <m/>
    <n v="1129930"/>
    <x v="0"/>
    <d v="2020-10-23T00:00:00"/>
    <d v="2020-12-23T00:00:00"/>
    <d v="2021-03-15T00:00:00"/>
    <s v="Alliance Healthcare s.r.o."/>
    <m/>
    <n v="1128270.6000000001"/>
    <n v="1241097.6599999999"/>
    <m/>
    <m/>
    <m/>
    <d v="2021-03-15T00:00:00"/>
    <s v="SMLN-2021-617-000107"/>
    <x v="12"/>
    <d v="2021-04-12T00:00:00"/>
    <d v="2024-04-07T00:00:00"/>
  </r>
  <r>
    <d v="2020-10-19T00:00:00"/>
    <s v="VZ-2020-001157"/>
    <x v="0"/>
    <s v="Ondráčková"/>
    <x v="31"/>
    <n v="4"/>
    <s v="FIASP"/>
    <m/>
    <s v="33615100-5"/>
    <m/>
    <n v="1966708"/>
    <x v="0"/>
    <d v="2020-10-23T00:00:00"/>
    <d v="2020-12-23T00:00:00"/>
    <d v="2021-02-01T00:00:00"/>
    <s v="Alliance Healthcare s.r.o."/>
    <m/>
    <n v="2108378.79"/>
    <n v="2319216.67"/>
    <m/>
    <m/>
    <m/>
    <d v="2021-02-01T00:00:00"/>
    <s v="SMLN-2021-617-000032"/>
    <x v="24"/>
    <d v="2021-03-23T00:00:00"/>
    <d v="2024-03-17T00:00:00"/>
  </r>
  <r>
    <d v="2020-10-19T00:00:00"/>
    <s v="VZ-2020-001157"/>
    <x v="0"/>
    <s v="Ondráčková"/>
    <x v="31"/>
    <n v="5"/>
    <s v="NOVORAPID"/>
    <m/>
    <s v="33615100-5"/>
    <m/>
    <n v="10607165"/>
    <x v="0"/>
    <d v="2020-10-23T00:00:00"/>
    <d v="2020-12-23T00:00:00"/>
    <d v="2021-02-01T00:00:00"/>
    <s v="Alliance Healthcare s.r.o."/>
    <m/>
    <n v="11501194.83"/>
    <n v="12651314.310000001"/>
    <m/>
    <m/>
    <m/>
    <d v="2021-02-01T00:00:00"/>
    <s v="SMLN-2021-617-000033"/>
    <x v="24"/>
    <d v="2021-03-23T00:00:00"/>
    <d v="2024-03-17T00:00:00"/>
  </r>
  <r>
    <d v="2020-10-19T00:00:00"/>
    <s v="VZ-2020-001157"/>
    <x v="0"/>
    <s v="Ondráčková"/>
    <x v="31"/>
    <n v="6"/>
    <s v="APIDRA"/>
    <m/>
    <s v="33615100-5"/>
    <m/>
    <n v="339465"/>
    <x v="0"/>
    <d v="2020-10-23T00:00:00"/>
    <d v="2020-12-23T00:00:00"/>
    <d v="2021-02-01T00:00:00"/>
    <s v="ViaPharma s.r.o."/>
    <m/>
    <n v="339429.51"/>
    <n v="373372.46"/>
    <m/>
    <m/>
    <m/>
    <d v="2021-02-01T00:00:00"/>
    <s v="SMLN-2021-617-000034"/>
    <x v="25"/>
    <d v="2021-03-23T00:00:00"/>
    <d v="2024-03-09T00:00:00"/>
  </r>
  <r>
    <d v="2020-10-19T00:00:00"/>
    <s v="VZ-2020-001158"/>
    <x v="0"/>
    <s v="Ondráčková"/>
    <x v="32"/>
    <n v="1"/>
    <s v="SEBELIPASA ALFA"/>
    <m/>
    <s v="24965000-6; 33621100-0"/>
    <m/>
    <n v="125530696"/>
    <x v="0"/>
    <d v="2020-10-23T00:00:00"/>
    <d v="2020-12-28T00:00:00"/>
    <d v="2021-02-05T00:00:00"/>
    <s v="Swixx Biopharma s.r.o."/>
    <m/>
    <n v="125530695.36"/>
    <n v="138083764.90000001"/>
    <m/>
    <m/>
    <m/>
    <d v="2021-02-05T00:00:00"/>
    <s v="SMLN-2021-617-000044"/>
    <x v="26"/>
    <d v="2021-04-07T00:00:00"/>
    <d v="2024-04-05T00:00:00"/>
  </r>
  <r>
    <d v="2020-10-19T00:00:00"/>
    <s v="VZ-2020-001158"/>
    <x v="0"/>
    <s v="Ondráčková"/>
    <x v="32"/>
    <n v="2"/>
    <s v="SELEXIPAG "/>
    <m/>
    <s v="24965000-6; 33621100-0"/>
    <m/>
    <n v="41843610"/>
    <x v="0"/>
    <d v="2020-10-23T00:00:00"/>
    <d v="2020-12-28T00:00:00"/>
    <d v="2021-02-05T00:00:00"/>
    <s v="Janssen-Cilag s.r.o."/>
    <m/>
    <n v="41873605.859999999"/>
    <n v="46027966.450000003"/>
    <m/>
    <m/>
    <m/>
    <d v="2021-02-05T00:00:00"/>
    <s v="SMLN-2021-617-000043"/>
    <x v="27"/>
    <d v="2021-04-07T00:00:00"/>
    <d v="2024-03-10T00:00:00"/>
  </r>
  <r>
    <d v="2020-10-13T00:00:00"/>
    <s v="VZ-2020-001164"/>
    <x v="2"/>
    <s v="Rosulek"/>
    <x v="33"/>
    <m/>
    <m/>
    <m/>
    <s v="38950000-9"/>
    <s v="2.3.382."/>
    <n v="2010000"/>
    <x v="1"/>
    <d v="2020-10-30T00:00:00"/>
    <d v="2020-11-18T00:00:00"/>
    <d v="2021-01-22T00:00:00"/>
    <s v="BioVendor - Laboratorní medicína a.s."/>
    <m/>
    <n v="1703400"/>
    <n v="2061114"/>
    <m/>
    <m/>
    <m/>
    <d v="2021-01-22T00:00:00"/>
    <s v="SMLN-2021-617-000018_x000a_SMLN-2021-612-000004_x000a_SMLN-2021-617-000019"/>
    <x v="28"/>
    <d v="2021-03-05T00:00:00"/>
    <d v="2021-03-23T00:00:00"/>
  </r>
  <r>
    <d v="2020-10-13T00:00:00"/>
    <s v="VZ-2020-001170"/>
    <x v="3"/>
    <s v="Langer"/>
    <x v="34"/>
    <m/>
    <m/>
    <m/>
    <s v="45453000-7"/>
    <s v="1.2.70."/>
    <n v="40000000"/>
    <x v="1"/>
    <d v="2020-11-06T00:00:00"/>
    <d v="2020-12-02T00:00:00"/>
    <d v="2020-12-18T00:00:00"/>
    <s v="OHL ŽS, a.s."/>
    <m/>
    <n v="39893319.039999999"/>
    <n v="48270916.038399994"/>
    <m/>
    <m/>
    <m/>
    <d v="2020-12-18T00:00:00"/>
    <s v="SMLN-2020-618-000123"/>
    <x v="29"/>
    <d v="2021-03-04T00:00:00"/>
    <d v="2021-10-24T00:00:00"/>
  </r>
  <r>
    <d v="2020-10-16T00:00:00"/>
    <s v="VZ-2020-001180"/>
    <x v="3"/>
    <s v="Spáčil"/>
    <x v="35"/>
    <m/>
    <m/>
    <m/>
    <s v="45215100-8"/>
    <s v="1.3.25."/>
    <n v="106000000"/>
    <x v="0"/>
    <d v="2020-11-02T00:00:00"/>
    <d v="2021-01-11T00:00:00"/>
    <d v="2021-01-22T00:00:00"/>
    <s v="zrušeno - úprava zadání"/>
    <s v="nová VZ-2021-000140"/>
    <n v="105980370.34999999"/>
    <n v="128236248.12"/>
    <m/>
    <m/>
    <m/>
    <d v="2021-01-22T00:00:00"/>
    <s v="SMLN-2021-618-000005"/>
    <x v="6"/>
    <d v="2021-02-03T00:00:00"/>
    <s v="3.2.2021 zrušeno"/>
  </r>
  <r>
    <s v="opakovaná VZ"/>
    <s v="VZ-2020-001187"/>
    <x v="4"/>
    <s v="Srovnal"/>
    <x v="36"/>
    <m/>
    <m/>
    <m/>
    <s v="45261910-6"/>
    <m/>
    <n v="476720"/>
    <x v="2"/>
    <d v="2020-11-04T00:00:00"/>
    <d v="2020-11-13T00:00:00"/>
    <d v="2020-11-18T00:00:00"/>
    <s v="SEADON s.r.o."/>
    <m/>
    <n v="506218.61"/>
    <n v="612524.52"/>
    <m/>
    <m/>
    <m/>
    <d v="2020-11-18T00:00:00"/>
    <s v="SMLN-2020-618-000110"/>
    <x v="30"/>
    <d v="2021-02-03T00:00:00"/>
    <d v="2021-03-04T00:00:00"/>
  </r>
  <r>
    <d v="2020-10-29T00:00:00"/>
    <s v="VZ-2020-001195"/>
    <x v="1"/>
    <s v="Dočkalová"/>
    <x v="37"/>
    <n v="1"/>
    <s v="Chirurgické nástroje dle katalogového čísla výrobce AESCULAP AG"/>
    <m/>
    <s v="33162200-5"/>
    <m/>
    <n v="816000"/>
    <x v="0"/>
    <d v="2020-11-09T00:00:00"/>
    <d v="2021-01-04T00:00:00"/>
    <d v="2021-04-20T00:00:00"/>
    <s v="LaparoTech Instruments s.r.o."/>
    <m/>
    <n v="389200"/>
    <n v="470932"/>
    <m/>
    <m/>
    <m/>
    <d v="2021-04-20T00:00:00"/>
    <s v="SMLN-2021-617-000162"/>
    <x v="31"/>
    <d v="2021-06-02T00:00:00"/>
    <d v="2021-07-29T00:00:00"/>
  </r>
  <r>
    <d v="2020-10-29T00:00:00"/>
    <s v="VZ-2020-001195"/>
    <x v="1"/>
    <s v="Dočkalová"/>
    <x v="37"/>
    <n v="2"/>
    <s v="Chirurgické nástroje dle katalogového čísla výrobce MEDIN, a.s., Allgaier instrumente GmbH"/>
    <m/>
    <s v="33162200-5"/>
    <m/>
    <n v="3659405"/>
    <x v="0"/>
    <d v="2020-11-09T00:00:00"/>
    <d v="2021-01-04T00:00:00"/>
    <d v="2021-04-20T00:00:00"/>
    <s v="LaparoTech Instruments s.r.o."/>
    <m/>
    <n v="1791000"/>
    <n v="2167110"/>
    <m/>
    <m/>
    <m/>
    <d v="2021-04-20T00:00:00"/>
    <s v="SMLN-2021-617-000163"/>
    <x v="31"/>
    <d v="2021-06-02T00:00:00"/>
    <d v="2021-07-29T00:00:00"/>
  </r>
  <r>
    <d v="2020-10-29T00:00:00"/>
    <s v="VZ-2020-001195"/>
    <x v="1"/>
    <s v="Dočkalová"/>
    <x v="37"/>
    <n v="3"/>
    <s v="Chirurgické nástroje dle katalogového čísla výrobce KATENA PRODUCTS, INC."/>
    <m/>
    <s v="33162200-5"/>
    <m/>
    <n v="26000"/>
    <x v="0"/>
    <d v="2020-11-09T00:00:00"/>
    <d v="2021-01-04T00:00:00"/>
    <d v="2021-04-20T00:00:00"/>
    <s v="Medilas s.r.o."/>
    <m/>
    <n v="12350.7"/>
    <n v="14944.35"/>
    <m/>
    <m/>
    <m/>
    <d v="2021-04-20T00:00:00"/>
    <s v="SMLN-2021-617-000164"/>
    <x v="32"/>
    <d v="2021-05-13T00:00:00"/>
    <d v="2021-06-08T00:00:00"/>
  </r>
  <r>
    <d v="2020-10-29T00:00:00"/>
    <s v="VZ-2020-001195"/>
    <x v="1"/>
    <s v="Dočkalová"/>
    <x v="37"/>
    <n v="4"/>
    <s v="Chirurgické nástroje dle katalogového čísla výrobce Tekno-Medical, GmbH"/>
    <m/>
    <s v="33162200-5"/>
    <m/>
    <n v="72000"/>
    <x v="0"/>
    <d v="2020-11-09T00:00:00"/>
    <d v="2021-01-04T00:00:00"/>
    <d v="2021-03-09T00:00:00"/>
    <s v="MEDILAB ČR, s.r.o."/>
    <m/>
    <n v="37709.300000000003"/>
    <n v="45628.25"/>
    <m/>
    <m/>
    <m/>
    <d v="2021-03-09T00:00:00"/>
    <s v="SMLN-2021-617-000102"/>
    <x v="33"/>
    <d v="2021-05-13T00:00:00"/>
    <d v="2021-08-04T00:00:00"/>
  </r>
  <r>
    <d v="2020-10-29T00:00:00"/>
    <s v="VZ-2020-001195"/>
    <x v="1"/>
    <s v="Dočkalová"/>
    <x v="37"/>
    <n v="5"/>
    <s v="Chirurgické nástroje dle katalogového čísla výrobce ASANUS Medizintechnik GmbH"/>
    <m/>
    <s v="33162200-5"/>
    <m/>
    <n v="105000"/>
    <x v="0"/>
    <d v="2020-11-09T00:00:00"/>
    <d v="2021-01-04T00:00:00"/>
    <d v="2021-03-09T00:00:00"/>
    <s v="MEDILAB ČR, s.r.o."/>
    <m/>
    <n v="91760"/>
    <n v="111029.6"/>
    <m/>
    <m/>
    <m/>
    <d v="2021-03-09T00:00:00"/>
    <s v="SMLN-2021-617-000103"/>
    <x v="33"/>
    <d v="2021-05-13T00:00:00"/>
    <d v="2021-08-04T00:00:00"/>
  </r>
  <r>
    <d v="2020-10-29T00:00:00"/>
    <s v="VZ-2020-001195"/>
    <x v="1"/>
    <s v="Dočkalová"/>
    <x v="37"/>
    <n v="6"/>
    <s v="Chirurgické nástroje dle katalogového čísla výrobce Bausch &amp; Lomb, GmbH"/>
    <m/>
    <s v="33162200-5"/>
    <m/>
    <n v="337000"/>
    <x v="0"/>
    <d v="2020-11-09T00:00:00"/>
    <d v="2021-01-04T00:00:00"/>
    <d v="2021-04-20T00:00:00"/>
    <s v="MEDILAB ČR, s.r.o."/>
    <m/>
    <n v="237611"/>
    <n v="287509.31"/>
    <m/>
    <m/>
    <m/>
    <d v="2021-04-20T00:00:00"/>
    <s v="SMLN-2021-617-000165"/>
    <x v="34"/>
    <d v="2021-05-13T00:00:00"/>
    <d v="2021-09-01T00:00:00"/>
  </r>
  <r>
    <d v="2020-10-29T00:00:00"/>
    <s v="VZ-2020-001195"/>
    <x v="1"/>
    <s v="Dočkalová"/>
    <x v="37"/>
    <n v="7"/>
    <s v="Chirurgické nástroje dle katalogového čísla výrobce KARL STORZ GmbH, SPIGGLE &amp; THEIS Medizintechnik GmbH, MEDICON eG"/>
    <m/>
    <s v="33162200-5"/>
    <m/>
    <n v="330000"/>
    <x v="0"/>
    <d v="2020-11-09T00:00:00"/>
    <d v="2021-01-04T00:00:00"/>
    <d v="2021-03-26T00:00:00"/>
    <s v="RADIX CZ s.r.o."/>
    <m/>
    <n v="317194"/>
    <n v="383804.17"/>
    <m/>
    <m/>
    <m/>
    <d v="2021-03-26T00:00:00"/>
    <s v="SMLN-2021-617-000127"/>
    <x v="35"/>
    <d v="2021-05-13T00:00:00"/>
    <d v="2021-06-29T00:00:00"/>
  </r>
  <r>
    <d v="2020-10-27T00:00:00"/>
    <s v="VZ-2020-001200"/>
    <x v="5"/>
    <s v="Miklík"/>
    <x v="38"/>
    <m/>
    <m/>
    <m/>
    <s v="48823000-3"/>
    <s v="3.2.25."/>
    <n v="1035000"/>
    <x v="0"/>
    <d v="2020-11-13T00:00:00"/>
    <d v="2020-12-31T00:00:00"/>
    <d v="2021-01-08T00:00:00"/>
    <s v="DATASYS s.r.o."/>
    <m/>
    <n v="799035"/>
    <n v="966832.35"/>
    <m/>
    <m/>
    <m/>
    <d v="2021-01-08T00:00:00"/>
    <s v="SMLN-2021-617-000004"/>
    <x v="36"/>
    <d v="2021-02-08T00:00:00"/>
    <d v="2021-03-24T00:00:00"/>
  </r>
  <r>
    <d v="2020-11-11T00:00:00"/>
    <s v="VZ-2020-001222"/>
    <x v="5"/>
    <s v="Oravec"/>
    <x v="39"/>
    <m/>
    <m/>
    <m/>
    <s v="30121100-4"/>
    <m/>
    <n v="813800"/>
    <x v="2"/>
    <d v="2020-11-16T00:00:00"/>
    <d v="2020-12-02T00:00:00"/>
    <d v="2020-12-21T00:00:00"/>
    <s v="Can 21 s.r.o."/>
    <m/>
    <n v="796847.4"/>
    <n v="964185.35"/>
    <m/>
    <m/>
    <m/>
    <d v="2020-12-21T00:00:00"/>
    <s v="SMLN-2020-617-000585"/>
    <x v="37"/>
    <d v="2021-01-21T00:00:00"/>
    <d v="2022-01-19T00:00:00"/>
  </r>
  <r>
    <d v="2020-11-12T00:00:00"/>
    <s v="VZ-2020-001228"/>
    <x v="0"/>
    <s v="Ondráčková"/>
    <x v="40"/>
    <n v="1"/>
    <s v="MONOHYDRÁT CYKLOFOSFAMIDU"/>
    <m/>
    <s v="33652000-5"/>
    <m/>
    <n v="1887318"/>
    <x v="0"/>
    <d v="2020-12-28T00:00:00"/>
    <d v="2021-03-08T00:00:00"/>
    <d v="2021-04-09T00:00:00"/>
    <s v="PROMEDICA PRAHA GROUP, a.s."/>
    <m/>
    <n v="1887309.96"/>
    <n v="2076040.96"/>
    <m/>
    <m/>
    <m/>
    <d v="2021-04-09T00:00:00"/>
    <s v="SMLN-2021-617-000142"/>
    <x v="35"/>
    <d v="2021-05-05T00:00:00"/>
    <d v="2024-05-03T00:00:00"/>
  </r>
  <r>
    <d v="2020-11-12T00:00:00"/>
    <s v="VZ-2020-001228"/>
    <x v="0"/>
    <s v="Ondráčková"/>
    <x v="40"/>
    <n v="2"/>
    <s v="MELFALAN "/>
    <m/>
    <s v="33652000-5"/>
    <m/>
    <n v="3638257"/>
    <x v="0"/>
    <d v="2020-12-28T00:00:00"/>
    <d v="2021-03-08T00:00:00"/>
    <m/>
    <s v="zrušeno - bez nabídky"/>
    <m/>
    <m/>
    <m/>
    <m/>
    <m/>
    <m/>
    <m/>
    <m/>
    <x v="6"/>
    <d v="2021-05-05T00:00:00"/>
    <s v="7.4. 2021 zrušeno "/>
  </r>
  <r>
    <d v="2020-11-12T00:00:00"/>
    <s v="VZ-2020-001228"/>
    <x v="0"/>
    <s v="Ondráčková"/>
    <x v="40"/>
    <n v="3"/>
    <s v="IFOSFAMID "/>
    <m/>
    <s v="33652000-5"/>
    <m/>
    <n v="3777877"/>
    <x v="0"/>
    <d v="2020-12-28T00:00:00"/>
    <d v="2021-03-08T00:00:00"/>
    <d v="2021-04-09T00:00:00"/>
    <s v="PROMEDICA PRAHA GROUP, a.s."/>
    <m/>
    <n v="3777876"/>
    <n v="4155663.6"/>
    <m/>
    <m/>
    <m/>
    <d v="2021-04-09T00:00:00"/>
    <s v="SMLN-2021-617-000143"/>
    <x v="35"/>
    <d v="2021-05-05T00:00:00"/>
    <d v="2024-05-03T00:00:00"/>
  </r>
  <r>
    <d v="2020-11-12T00:00:00"/>
    <s v="VZ-2020-001228"/>
    <x v="0"/>
    <s v="Ondráčková"/>
    <x v="40"/>
    <n v="4"/>
    <s v="BUSULFAN"/>
    <m/>
    <s v="33652000-5"/>
    <m/>
    <n v="1920000"/>
    <x v="0"/>
    <d v="2020-12-28T00:00:00"/>
    <d v="2021-03-08T00:00:00"/>
    <d v="2021-04-09T00:00:00"/>
    <s v="Fresenius Kabi s.r.o."/>
    <m/>
    <n v="1920000"/>
    <n v="2112000"/>
    <m/>
    <m/>
    <m/>
    <d v="2021-04-09T00:00:00"/>
    <s v="SMLN-2021-617-000144"/>
    <x v="34"/>
    <d v="2021-05-17T00:00:00"/>
    <d v="2024-05-11T00:00:00"/>
  </r>
  <r>
    <d v="2020-11-12T00:00:00"/>
    <s v="VZ-2020-001228"/>
    <x v="0"/>
    <s v="Ondráčková"/>
    <x v="40"/>
    <n v="5"/>
    <s v="THIOTEPA"/>
    <m/>
    <s v="33652000-5"/>
    <m/>
    <n v="1622291"/>
    <x v="0"/>
    <d v="2020-12-28T00:00:00"/>
    <d v="2021-03-08T00:00:00"/>
    <d v="2021-04-09T00:00:00"/>
    <s v="ViaPharma s.r.o."/>
    <m/>
    <n v="1617676.98"/>
    <n v="1779444.68"/>
    <m/>
    <m/>
    <m/>
    <d v="2021-04-09T00:00:00"/>
    <s v="SMLN-2021-617-000145"/>
    <x v="35"/>
    <d v="2021-05-05T00:00:00"/>
    <d v="2024-05-03T00:00:00"/>
  </r>
  <r>
    <d v="2020-11-12T00:00:00"/>
    <s v="VZ-2020-001228"/>
    <x v="0"/>
    <s v="Ondráčková"/>
    <x v="40"/>
    <n v="6"/>
    <s v="KARMUSTIN"/>
    <m/>
    <s v="33652000-5"/>
    <m/>
    <n v="2338034"/>
    <x v="0"/>
    <d v="2020-12-28T00:00:00"/>
    <d v="2021-03-08T00:00:00"/>
    <d v="2021-04-09T00:00:00"/>
    <s v="PROMEDICA PRAHA GROUP, a.s."/>
    <m/>
    <n v="2245761"/>
    <n v="2470337.1"/>
    <m/>
    <m/>
    <m/>
    <d v="2021-04-09T00:00:00"/>
    <s v="SMLN-2021-617-000146"/>
    <x v="35"/>
    <d v="2021-05-05T00:00:00"/>
    <d v="2024-05-03T00:00:00"/>
  </r>
  <r>
    <d v="2020-11-12T00:00:00"/>
    <s v="VZ-2020-001229"/>
    <x v="0"/>
    <s v="Ondráčková"/>
    <x v="41"/>
    <n v="1"/>
    <s v="AMPICILIN A INHIBITOR BETA-LAKTAMASY "/>
    <m/>
    <s v="33651100-9"/>
    <m/>
    <n v="2465378"/>
    <x v="0"/>
    <d v="2020-12-04T00:00:00"/>
    <d v="2021-01-06T00:00:00"/>
    <d v="2021-02-23T00:00:00"/>
    <s v="Alliance Healthcare s.r.o."/>
    <m/>
    <n v="2247102"/>
    <n v="2471812.2000000002"/>
    <m/>
    <m/>
    <m/>
    <d v="2021-02-23T00:00:00"/>
    <s v="SMLN-2021-617-000083"/>
    <x v="20"/>
    <d v="2021-03-30T00:00:00"/>
    <d v="2024-03-22T00:00:00"/>
  </r>
  <r>
    <d v="2020-11-12T00:00:00"/>
    <s v="VZ-2020-001229"/>
    <x v="0"/>
    <s v="Ondráčková"/>
    <x v="41"/>
    <n v="2"/>
    <s v="PIPERACILIN A INHIBITOR BETA-LAKTAMASY "/>
    <m/>
    <s v="33651100-9"/>
    <m/>
    <n v="7121640"/>
    <x v="0"/>
    <d v="2020-12-04T00:00:00"/>
    <d v="2021-01-06T00:00:00"/>
    <d v="2021-02-23T00:00:00"/>
    <s v="PHARMOS, a.s."/>
    <m/>
    <n v="6912180"/>
    <n v="7603398"/>
    <m/>
    <m/>
    <m/>
    <d v="2021-02-23T00:00:00"/>
    <s v="SMLN-2021-617-000084"/>
    <x v="38"/>
    <d v="2021-03-30T00:00:00"/>
    <d v="2024-03-14T00:00:00"/>
  </r>
  <r>
    <d v="2020-11-12T00:00:00"/>
    <s v="VZ-2020-001229"/>
    <x v="0"/>
    <s v="Ondráčková"/>
    <x v="41"/>
    <n v="3"/>
    <s v="CEFTAZIDIM "/>
    <m/>
    <s v="33651100-9"/>
    <m/>
    <n v="2157101"/>
    <x v="0"/>
    <d v="2020-12-04T00:00:00"/>
    <d v="2021-01-06T00:00:00"/>
    <d v="2021-02-23T00:00:00"/>
    <s v="Fresenius Kabi s.r.o."/>
    <m/>
    <n v="2156938.7999999998"/>
    <n v="2372632.6800000002"/>
    <m/>
    <m/>
    <m/>
    <d v="2021-02-23T00:00:00"/>
    <s v="SMLN-2021-617-000085"/>
    <x v="39"/>
    <d v="2021-03-30T00:00:00"/>
    <d v="2024-03-28T00:00:00"/>
  </r>
  <r>
    <d v="2020-11-12T00:00:00"/>
    <s v="VZ-2020-001229"/>
    <x v="0"/>
    <s v="Ondráčková"/>
    <x v="41"/>
    <n v="5"/>
    <s v="CIPROFLOXACIN I.V."/>
    <m/>
    <s v="33651100-9"/>
    <m/>
    <n v="1789080"/>
    <x v="0"/>
    <d v="2020-12-04T00:00:00"/>
    <d v="2021-01-06T00:00:00"/>
    <d v="2021-02-23T00:00:00"/>
    <s v="Fresenius Kabi s.r.o."/>
    <m/>
    <n v="1405440"/>
    <n v="1545984"/>
    <m/>
    <m/>
    <m/>
    <d v="2021-02-23T00:00:00"/>
    <s v="SMLN-2021-617-000086"/>
    <x v="24"/>
    <d v="2021-03-30T00:00:00"/>
    <d v="2024-03-17T00:00:00"/>
  </r>
  <r>
    <d v="2020-11-12T00:00:00"/>
    <s v="VZ-2020-001229"/>
    <x v="0"/>
    <s v="Ondráčková"/>
    <x v="41"/>
    <n v="6"/>
    <s v="KOLISTIN "/>
    <m/>
    <s v="33651100-9"/>
    <m/>
    <n v="1317252"/>
    <x v="0"/>
    <d v="2020-12-04T00:00:00"/>
    <d v="2021-01-06T00:00:00"/>
    <d v="2021-02-23T00:00:00"/>
    <s v="PHARMOS, a.s."/>
    <m/>
    <n v="1297044.6000000001"/>
    <n v="1426749.06"/>
    <m/>
    <m/>
    <m/>
    <d v="2021-02-23T00:00:00"/>
    <s v="SMLN-2021-617-000087"/>
    <x v="38"/>
    <d v="2021-03-30T00:00:00"/>
    <d v="2024-03-14T00:00:00"/>
  </r>
  <r>
    <d v="2020-11-12T00:00:00"/>
    <s v="VZ-2020-001229"/>
    <x v="0"/>
    <s v="Ondráčková"/>
    <x v="41"/>
    <n v="7"/>
    <s v="KLARITHROMYCIN INF."/>
    <m/>
    <s v="33651100-9"/>
    <m/>
    <n v="5475600"/>
    <x v="0"/>
    <d v="2020-12-04T00:00:00"/>
    <d v="2021-01-06T00:00:00"/>
    <d v="2021-02-23T00:00:00"/>
    <s v="Alliance Healthcare s.r.o."/>
    <m/>
    <n v="5453940.96"/>
    <n v="5999335.0599999996"/>
    <m/>
    <m/>
    <m/>
    <d v="2021-02-23T00:00:00"/>
    <s v="SMLN-2021-617-000088"/>
    <x v="20"/>
    <d v="2021-03-30T00:00:00"/>
    <d v="2024-03-22T00:00:00"/>
  </r>
  <r>
    <d v="2020-11-12T00:00:00"/>
    <s v="VZ-2020-001230"/>
    <x v="0"/>
    <s v="Ondráčková"/>
    <x v="42"/>
    <n v="1"/>
    <s v="AIRFLUSAN"/>
    <m/>
    <s v="33670000-7"/>
    <m/>
    <n v="1551621"/>
    <x v="0"/>
    <d v="2020-12-04T00:00:00"/>
    <d v="2021-01-06T00:00:00"/>
    <d v="2021-02-22T00:00:00"/>
    <s v="PHARMOS, a.s."/>
    <m/>
    <n v="1540736.01"/>
    <n v="1694809.61"/>
    <m/>
    <m/>
    <m/>
    <d v="2021-02-22T00:00:00"/>
    <s v="SMLN-2021-617-000071"/>
    <x v="27"/>
    <d v="2021-03-24T00:00:00"/>
    <d v="2024-03-10T00:00:00"/>
  </r>
  <r>
    <d v="2020-11-12T00:00:00"/>
    <s v="VZ-2020-001230"/>
    <x v="0"/>
    <s v="Ondráčková"/>
    <x v="42"/>
    <n v="2"/>
    <s v="FULLHALE"/>
    <m/>
    <s v="33670000-7"/>
    <m/>
    <n v="419556"/>
    <x v="0"/>
    <d v="2020-12-04T00:00:00"/>
    <d v="2021-01-06T00:00:00"/>
    <d v="2021-02-22T00:00:00"/>
    <s v="PHARMOS, a.s."/>
    <m/>
    <n v="268618.28999999998"/>
    <n v="295480.12"/>
    <m/>
    <m/>
    <m/>
    <d v="2021-02-22T00:00:00"/>
    <s v="SMLN-2021-617-000072"/>
    <x v="27"/>
    <d v="2021-03-24T00:00:00"/>
    <d v="2024-03-10T00:00:00"/>
  </r>
  <r>
    <d v="2020-11-12T00:00:00"/>
    <s v="VZ-2020-001230"/>
    <x v="0"/>
    <s v="Ondráčková"/>
    <x v="42"/>
    <n v="3"/>
    <s v="SERETIDE"/>
    <m/>
    <s v="33670000-7"/>
    <m/>
    <n v="1811917"/>
    <x v="0"/>
    <d v="2020-12-04T00:00:00"/>
    <d v="2021-01-06T00:00:00"/>
    <d v="2021-02-22T00:00:00"/>
    <s v="Alliance Healthcare s.r.o."/>
    <m/>
    <n v="1800679.44"/>
    <n v="1980747.38"/>
    <m/>
    <m/>
    <m/>
    <d v="2021-02-22T00:00:00"/>
    <s v="SMLN-2021-617-000073"/>
    <x v="24"/>
    <d v="2021-03-24T00:00:00"/>
    <d v="2024-03-17T00:00:00"/>
  </r>
  <r>
    <d v="2020-11-12T00:00:00"/>
    <s v="VZ-2020-001230"/>
    <x v="0"/>
    <s v="Ondráčková"/>
    <x v="42"/>
    <n v="4"/>
    <s v="SYMBICORT"/>
    <m/>
    <s v="33670000-7"/>
    <m/>
    <n v="7429475"/>
    <x v="0"/>
    <d v="2020-12-04T00:00:00"/>
    <d v="2021-01-06T00:00:00"/>
    <d v="2021-02-22T00:00:00"/>
    <s v="PHOENIX lék.velkoobchod, s.r.o."/>
    <m/>
    <n v="5625242.4000000004"/>
    <n v="6178766.6399999997"/>
    <m/>
    <m/>
    <m/>
    <d v="2021-02-22T00:00:00"/>
    <s v="SMLN-2021-617-000074"/>
    <x v="20"/>
    <d v="2021-03-24T00:00:00"/>
    <d v="2024-03-22T00:00:00"/>
  </r>
  <r>
    <d v="2020-11-12T00:00:00"/>
    <s v="VZ-2020-001230"/>
    <x v="0"/>
    <s v="Ondráčková"/>
    <x v="42"/>
    <n v="5"/>
    <s v="VILANTEROL A FLUTIKASON-FUROÁT "/>
    <m/>
    <s v="33670000-7"/>
    <m/>
    <n v="4344271"/>
    <x v="0"/>
    <d v="2020-12-04T00:00:00"/>
    <d v="2021-01-06T00:00:00"/>
    <d v="2021-02-22T00:00:00"/>
    <s v="PHARMOS, a.s."/>
    <m/>
    <n v="4279057.2"/>
    <n v="4706962.92"/>
    <m/>
    <m/>
    <m/>
    <d v="2021-02-22T00:00:00"/>
    <s v="SMLN-2021-617-000075"/>
    <x v="27"/>
    <d v="2021-03-24T00:00:00"/>
    <d v="2024-03-10T00:00:00"/>
  </r>
  <r>
    <d v="2020-11-12T00:00:00"/>
    <s v="VZ-2020-001230"/>
    <x v="0"/>
    <s v="Ondráčková"/>
    <x v="42"/>
    <n v="6"/>
    <s v="FORMOTEROL A BEKLOMETASON "/>
    <m/>
    <s v="33670000-7"/>
    <m/>
    <n v="2837161"/>
    <x v="0"/>
    <d v="2020-12-04T00:00:00"/>
    <d v="2021-01-06T00:00:00"/>
    <d v="2021-02-22T00:00:00"/>
    <s v="PHARMOS, a.s."/>
    <m/>
    <n v="2791711.05"/>
    <n v="3070882.16"/>
    <m/>
    <m/>
    <m/>
    <d v="2021-02-22T00:00:00"/>
    <s v="SMLN-2021-617-000076"/>
    <x v="27"/>
    <d v="2021-03-24T00:00:00"/>
    <d v="2024-03-10T00:00:00"/>
  </r>
  <r>
    <d v="2020-11-12T00:00:00"/>
    <s v="VZ-2020-001230"/>
    <x v="0"/>
    <s v="Ondráčková"/>
    <x v="42"/>
    <n v="7"/>
    <s v="FORMOTEROL A FLUTIKASON"/>
    <m/>
    <s v="33670000-7"/>
    <m/>
    <n v="2236892"/>
    <x v="0"/>
    <d v="2020-12-04T00:00:00"/>
    <d v="2021-01-06T00:00:00"/>
    <d v="2021-02-22T00:00:00"/>
    <s v="PHARMOS, a.s."/>
    <m/>
    <n v="2154174.7200000002"/>
    <n v="2369592.19"/>
    <m/>
    <m/>
    <m/>
    <d v="2021-02-22T00:00:00"/>
    <s v="SMLN-2021-617-000077"/>
    <x v="27"/>
    <d v="2021-03-24T00:00:00"/>
    <d v="2024-03-10T00:00:00"/>
  </r>
  <r>
    <s v="opakovaná VZ"/>
    <s v="VZ-2020-001239"/>
    <x v="1"/>
    <s v="Dočkalová"/>
    <x v="43"/>
    <m/>
    <m/>
    <m/>
    <s v="33140000-3"/>
    <m/>
    <n v="2116000"/>
    <x v="1"/>
    <d v="2020-11-23T00:00:00"/>
    <d v="2020-12-09T00:00:00"/>
    <d v="2021-01-06T00:00:00"/>
    <s v="LHL s.r.o."/>
    <m/>
    <n v="2115360"/>
    <n v="2559585.6"/>
    <m/>
    <m/>
    <m/>
    <d v="2021-01-06T00:00:00"/>
    <s v="SMLN-2021-617-000001"/>
    <x v="30"/>
    <d v="2020-02-05T00:00:00"/>
    <s v="doba neurčitá"/>
  </r>
  <r>
    <d v="2020-11-16T00:00:00"/>
    <s v="VZ-2020-001240"/>
    <x v="9"/>
    <s v="Svozil"/>
    <x v="44"/>
    <m/>
    <m/>
    <m/>
    <s v="45332200-5"/>
    <m/>
    <n v="1350000"/>
    <x v="2"/>
    <d v="2020-11-23T00:00:00"/>
    <d v="2020-12-03T00:00:00"/>
    <d v="2020-12-16T00:00:00"/>
    <s v="LB 2000, s.r.o."/>
    <m/>
    <n v="458568"/>
    <n v="554868"/>
    <m/>
    <m/>
    <m/>
    <d v="2020-12-16T00:00:00"/>
    <s v="SMLN-2020-618-000119"/>
    <x v="40"/>
    <d v="2021-01-25T00:00:00"/>
    <d v="2021-04-16T00:00:00"/>
  </r>
  <r>
    <d v="2020-11-13T00:00:00"/>
    <s v="VZ-2020-001242"/>
    <x v="4"/>
    <s v="Srovnal"/>
    <x v="45"/>
    <m/>
    <m/>
    <m/>
    <s v="42512200-0"/>
    <s v="4.2.148, 149"/>
    <n v="720000"/>
    <x v="2"/>
    <d v="2020-11-23T00:00:00"/>
    <d v="2020-12-03T00:00:00"/>
    <d v="2020-12-08T00:00:00"/>
    <s v="Air - Klimont s.r.o."/>
    <m/>
    <n v="662355"/>
    <n v="801449"/>
    <m/>
    <m/>
    <m/>
    <d v="2020-12-09T00:00:00"/>
    <s v="SMLN-2020-618-000116"/>
    <x v="41"/>
    <d v="2021-01-12T00:00:00"/>
    <d v="2021-03-18T00:00:00"/>
  </r>
  <r>
    <s v="opakovaná VZ"/>
    <s v="VZ-2020-001248"/>
    <x v="2"/>
    <s v="Hajdúch"/>
    <x v="46"/>
    <m/>
    <m/>
    <m/>
    <s v="38000000-5"/>
    <m/>
    <n v="10100000"/>
    <x v="0"/>
    <d v="2020-11-24T00:00:00"/>
    <d v="2020-12-28T00:00:00"/>
    <d v="2021-01-08T00:00:00"/>
    <s v="Schoeller Instruments .s.r.o."/>
    <m/>
    <n v="10121328.4"/>
    <n v="12246807.359999999"/>
    <m/>
    <m/>
    <m/>
    <d v="2021-01-08T00:00:00"/>
    <s v="SMLN-2021-617-000005_x000a_SMLN-2021-612-000001_x000a_SMLN-2021-617-000006"/>
    <x v="42"/>
    <d v="2021-03-01T00:00:00"/>
    <d v="2021-06-30T00:00:00"/>
  </r>
  <r>
    <d v="2020-11-20T00:00:00"/>
    <s v="VZ-2020-001251"/>
    <x v="0"/>
    <s v="Ondráčková"/>
    <x v="47"/>
    <n v="1"/>
    <s v="TAMOXIFEN"/>
    <m/>
    <s v="33652200-7"/>
    <m/>
    <n v="1082451"/>
    <x v="0"/>
    <d v="2021-01-04T00:00:00"/>
    <d v="2021-04-23T00:00:00"/>
    <d v="2021-05-07T00:00:00"/>
    <s v="PHARMOS, a.s."/>
    <m/>
    <n v="1059090"/>
    <n v="1217953.5"/>
    <m/>
    <m/>
    <m/>
    <d v="2021-05-07T00:00:00"/>
    <s v="SMLN-2021-617-000217"/>
    <x v="43"/>
    <d v="2021-06-16T00:00:00"/>
    <d v="2024-05-25T00:00:00"/>
  </r>
  <r>
    <d v="2020-11-20T00:00:00"/>
    <s v="VZ-2020-001251"/>
    <x v="0"/>
    <s v="Ondráčková"/>
    <x v="47"/>
    <n v="2"/>
    <s v="FULVESTRANT"/>
    <m/>
    <s v="33652200-7"/>
    <m/>
    <n v="7967688"/>
    <x v="0"/>
    <d v="2021-01-04T00:00:00"/>
    <d v="2021-04-23T00:00:00"/>
    <d v="2021-05-07T00:00:00"/>
    <s v="Alliance Healthcare s.r.o."/>
    <m/>
    <n v="767332.35"/>
    <n v="882432.2"/>
    <m/>
    <m/>
    <m/>
    <d v="2021-05-07T00:00:00"/>
    <s v="SMLN-2021-617-000218"/>
    <x v="19"/>
    <d v="2021-06-16T00:00:00"/>
    <d v="2024-06-09T00:00:00"/>
  </r>
  <r>
    <d v="2020-11-24T00:00:00"/>
    <s v="VZ-2020-001257"/>
    <x v="1"/>
    <s v="Valtová"/>
    <x v="48"/>
    <m/>
    <m/>
    <m/>
    <s v="33140000-3"/>
    <m/>
    <n v="5785125"/>
    <x v="0"/>
    <d v="2020-12-03T00:00:00"/>
    <d v="2021-01-05T00:00:00"/>
    <m/>
    <s v="zrušeno - jediná nabídka nesplnila referenci"/>
    <s v="nová VZ-2021-000051"/>
    <m/>
    <m/>
    <m/>
    <m/>
    <m/>
    <m/>
    <m/>
    <x v="6"/>
    <d v="2021-01-27T00:00:00"/>
    <s v="18.1.2021 zrušeno"/>
  </r>
  <r>
    <d v="2020-11-20T00:00:00"/>
    <s v="VZ-2020-001258"/>
    <x v="1"/>
    <s v="Dočkalová"/>
    <x v="49"/>
    <m/>
    <m/>
    <m/>
    <s v="33140000-3"/>
    <m/>
    <n v="19019100"/>
    <x v="0"/>
    <d v="2020-12-08T00:00:00"/>
    <d v="2021-01-11T00:00:00"/>
    <d v="2021-02-05T00:00:00"/>
    <s v="Alcon Pharmaceuticals Czech Republic s.r.o."/>
    <m/>
    <n v="18301500"/>
    <n v="22144815"/>
    <m/>
    <m/>
    <m/>
    <d v="2021-02-05T00:00:00"/>
    <s v="SMLN-2021-617-000037_x000a_SMLN-2021-616-000010"/>
    <x v="38"/>
    <d v="2021-03-23T00:00:00"/>
    <d v="2026-03-14T00:00:00"/>
  </r>
  <r>
    <d v="2020-11-24T00:00:00"/>
    <s v="VZ-2020-001259"/>
    <x v="8"/>
    <s v="Kadlec"/>
    <x v="50"/>
    <m/>
    <m/>
    <m/>
    <s v="45332200-5"/>
    <m/>
    <n v="850000"/>
    <x v="2"/>
    <d v="2020-12-01T00:00:00"/>
    <d v="2020-12-11T00:00:00"/>
    <d v="2020-12-22T00:00:00"/>
    <s v="VV TOP s.r.o."/>
    <m/>
    <n v="584523"/>
    <n v="707272.83"/>
    <m/>
    <m/>
    <m/>
    <d v="2020-12-22T00:00:00"/>
    <s v="SMLN-2020-618-000124"/>
    <x v="44"/>
    <d v="2021-01-20T00:00:00"/>
    <d v="2021-02-12T00:00:00"/>
  </r>
  <r>
    <d v="2020-11-26T00:00:00"/>
    <s v="VZ-2020-001265"/>
    <x v="0"/>
    <s v="Ondráčková"/>
    <x v="51"/>
    <n v="1"/>
    <s v="ACC Injekt"/>
    <m/>
    <s v="33674000-5"/>
    <m/>
    <n v="1012484"/>
    <x v="0"/>
    <d v="2020-12-07T00:00:00"/>
    <d v="2021-01-08T00:00:00"/>
    <m/>
    <s v="zrušeno - bez nabídky"/>
    <m/>
    <m/>
    <m/>
    <m/>
    <m/>
    <m/>
    <m/>
    <m/>
    <x v="6"/>
    <d v="2021-02-16T00:00:00"/>
    <s v="18.1.2021 zrušení na podpis"/>
  </r>
  <r>
    <d v="2020-11-26T00:00:00"/>
    <s v="VZ-2020-001265"/>
    <x v="0"/>
    <s v="Ondráčková"/>
    <x v="51"/>
    <n v="2"/>
    <s v="AMBROBENE INJ."/>
    <m/>
    <s v="33674000-5"/>
    <m/>
    <n v="292383"/>
    <x v="0"/>
    <d v="2020-12-07T00:00:00"/>
    <d v="2021-01-08T00:00:00"/>
    <d v="2021-01-19T00:00:00"/>
    <s v="PHARMOS, a.s."/>
    <m/>
    <n v="288036"/>
    <n v="316839.59999999998"/>
    <m/>
    <m/>
    <m/>
    <d v="2021-01-19T00:00:00"/>
    <s v="SMLN-2021-617-000012"/>
    <x v="45"/>
    <d v="2021-02-25T00:00:00"/>
    <d v="2024-02-21T00:00:00"/>
  </r>
  <r>
    <d v="2020-11-26T00:00:00"/>
    <s v="VZ-2020-001265"/>
    <x v="0"/>
    <s v="Ondráčková"/>
    <x v="51"/>
    <n v="3"/>
    <s v="DORNASA ALFA "/>
    <m/>
    <s v="33674000-5"/>
    <m/>
    <n v="7136766"/>
    <x v="0"/>
    <d v="2020-12-07T00:00:00"/>
    <d v="2021-01-08T00:00:00"/>
    <d v="2021-01-19T00:00:00"/>
    <s v="PHARMOS, a.s."/>
    <m/>
    <n v="7031781.1799999997"/>
    <n v="7734959.2999999998"/>
    <m/>
    <m/>
    <m/>
    <d v="2021-01-19T00:00:00"/>
    <s v="SMLN-2021-617-000013"/>
    <x v="45"/>
    <d v="2021-02-25T00:00:00"/>
    <d v="2024-02-21T00:00:00"/>
  </r>
  <r>
    <d v="2020-11-26T00:00:00"/>
    <s v="VZ-2020-001265"/>
    <x v="0"/>
    <s v="Ondráčková"/>
    <x v="51"/>
    <n v="4"/>
    <s v="ERDOSTEIN "/>
    <m/>
    <s v="33674000-5"/>
    <m/>
    <n v="2915317"/>
    <x v="0"/>
    <d v="2020-12-07T00:00:00"/>
    <d v="2021-01-08T00:00:00"/>
    <d v="2021-01-19T00:00:00"/>
    <s v="PHARMOS, a.s."/>
    <m/>
    <n v="2866447.35"/>
    <n v="3153092.09"/>
    <m/>
    <m/>
    <m/>
    <d v="2021-01-19T00:00:00"/>
    <s v="SMLN-2021-617-000014"/>
    <x v="45"/>
    <d v="2021-02-25T00:00:00"/>
    <d v="2024-02-21T00:00:00"/>
  </r>
  <r>
    <d v="2020-11-26T00:00:00"/>
    <s v="VZ-2020-001266"/>
    <x v="0"/>
    <s v="Ondráčková"/>
    <x v="52"/>
    <n v="1"/>
    <s v="FENOTEROL A IPRATROPIUM-BROMID "/>
    <m/>
    <s v="33670000-7"/>
    <m/>
    <n v="1519736"/>
    <x v="0"/>
    <d v="2020-12-08T00:00:00"/>
    <d v="2021-01-26T00:00:00"/>
    <m/>
    <s v="zrušeno - bez nabídky"/>
    <m/>
    <m/>
    <m/>
    <m/>
    <m/>
    <m/>
    <m/>
    <m/>
    <x v="6"/>
    <d v="2021-03-26T00:00:00"/>
    <s v="2.3.2021 zrušeno"/>
  </r>
  <r>
    <d v="2020-11-26T00:00:00"/>
    <s v="VZ-2020-001266"/>
    <x v="0"/>
    <s v="Ondráčková"/>
    <x v="52"/>
    <n v="2"/>
    <s v="INDAKATEROL A GLYCOPYRRONIUM-BROMID "/>
    <m/>
    <s v="33670000-7"/>
    <m/>
    <n v="961257"/>
    <x v="0"/>
    <d v="2020-12-08T00:00:00"/>
    <d v="2021-01-26T00:00:00"/>
    <d v="2021-02-26T00:00:00"/>
    <s v="Alliance Healthcare s.r.o."/>
    <m/>
    <n v="961256.25"/>
    <n v="1057381.8799999999"/>
    <m/>
    <m/>
    <m/>
    <d v="2021-02-26T00:00:00"/>
    <s v="SMLN-2021-617-000091"/>
    <x v="20"/>
    <d v="2021-03-26T00:00:00"/>
    <d v="2024-03-22T00:00:00"/>
  </r>
  <r>
    <d v="2020-11-26T00:00:00"/>
    <s v="VZ-2020-001266"/>
    <x v="0"/>
    <s v="Ondráčková"/>
    <x v="52"/>
    <n v="3"/>
    <s v="BRIMICA GENUAIR"/>
    <m/>
    <s v="33670000-7"/>
    <m/>
    <n v="758692"/>
    <x v="0"/>
    <d v="2020-12-08T00:00:00"/>
    <d v="2021-01-26T00:00:00"/>
    <d v="2021-02-26T00:00:00"/>
    <s v="PHARMOS, a.s."/>
    <m/>
    <n v="563833.38"/>
    <n v="620216.72"/>
    <m/>
    <m/>
    <m/>
    <d v="2021-02-26T00:00:00"/>
    <s v="SMLN-2021-617-000092"/>
    <x v="24"/>
    <d v="2021-03-26T00:00:00"/>
    <d v="2024-03-17T00:00:00"/>
  </r>
  <r>
    <d v="2020-11-26T00:00:00"/>
    <s v="VZ-2020-001266"/>
    <x v="0"/>
    <s v="Ondráčková"/>
    <x v="52"/>
    <n v="4"/>
    <s v="DIHYDRÁT FORMOTEROL-FUMARÁTU  A GLYKOPYRRONIUM-BROMID"/>
    <m/>
    <s v="33670000-7"/>
    <m/>
    <n v="325365"/>
    <x v="0"/>
    <d v="2020-12-08T00:00:00"/>
    <d v="2021-01-26T00:00:00"/>
    <d v="2021-02-26T00:00:00"/>
    <s v="PHOENIX lék.velkoobchod, s.r.o."/>
    <m/>
    <n v="325365"/>
    <n v="357901.5"/>
    <m/>
    <m/>
    <m/>
    <d v="2021-02-26T00:00:00"/>
    <s v="SMLN-2021-617-000093"/>
    <x v="20"/>
    <d v="2021-03-26T00:00:00"/>
    <d v="2024-03-22T00:00:00"/>
  </r>
  <r>
    <d v="2020-11-26T00:00:00"/>
    <s v="VZ-2020-001266"/>
    <x v="0"/>
    <s v="Ondráčková"/>
    <x v="52"/>
    <n v="5"/>
    <s v="OLODATEROL A TIOTROPIUM-BROMID "/>
    <m/>
    <s v="33670000-7"/>
    <m/>
    <n v="3438683"/>
    <x v="0"/>
    <d v="2020-12-08T00:00:00"/>
    <d v="2021-01-26T00:00:00"/>
    <d v="2021-02-26T00:00:00"/>
    <s v="Boehringer Ingelheim, spol. s r.o."/>
    <m/>
    <n v="3505626.27"/>
    <n v="3856188.9"/>
    <m/>
    <m/>
    <m/>
    <d v="2021-02-26T00:00:00"/>
    <s v="SMLN-2021-617-000094"/>
    <x v="46"/>
    <d v="2021-04-30T00:00:00"/>
    <d v="2024-04-27T00:00:00"/>
  </r>
  <r>
    <d v="2020-11-27T00:00:00"/>
    <s v="VZ-2020-001269"/>
    <x v="3"/>
    <s v="Langer"/>
    <x v="53"/>
    <m/>
    <m/>
    <m/>
    <s v="45112000-5 "/>
    <m/>
    <n v="3500000"/>
    <x v="2"/>
    <d v="2020-12-02T00:00:00"/>
    <d v="2020-12-15T00:00:00"/>
    <d v="2020-12-17T00:00:00"/>
    <s v="DEV COMPANY, spol. s r.o."/>
    <m/>
    <n v="2697075.57"/>
    <n v="3263461.44"/>
    <m/>
    <m/>
    <m/>
    <d v="2020-12-17T00:00:00"/>
    <s v="SMLN-2020-618-000122"/>
    <x v="47"/>
    <d v="2021-02-02T00:00:00"/>
    <d v="2021-04-20T00:00:00"/>
  </r>
  <r>
    <d v="2020-11-27T00:00:00"/>
    <s v="VZ-2020-001275"/>
    <x v="0"/>
    <s v="Ondráčková"/>
    <x v="54"/>
    <n v="1"/>
    <s v="Mikafungin"/>
    <m/>
    <s v="33651200-0"/>
    <m/>
    <n v="5019815"/>
    <x v="0"/>
    <d v="2020-12-07T00:00:00"/>
    <d v="2021-01-08T00:00:00"/>
    <d v="2021-02-05T00:00:00"/>
    <s v="PHARMOS, a.s."/>
    <m/>
    <n v="2876532.75"/>
    <n v="3164186.03"/>
    <m/>
    <m/>
    <m/>
    <d v="2021-02-05T00:00:00"/>
    <s v="SMLN-2021-617-000041"/>
    <x v="48"/>
    <d v="2021-03-01T00:00:00"/>
    <d v="2024-02-24T00:00:00"/>
  </r>
  <r>
    <d v="2020-11-27T00:00:00"/>
    <s v="VZ-2020-001275"/>
    <x v="0"/>
    <s v="Ondráčková"/>
    <x v="54"/>
    <n v="2"/>
    <s v="Anidulafungin"/>
    <m/>
    <s v="33651200-0"/>
    <m/>
    <n v="3706073"/>
    <x v="0"/>
    <d v="2020-12-07T00:00:00"/>
    <d v="2021-01-08T00:00:00"/>
    <d v="2021-02-05T00:00:00"/>
    <s v="PHARMOS, a.s."/>
    <m/>
    <n v="3529227.68"/>
    <n v="3882150.43"/>
    <m/>
    <m/>
    <m/>
    <d v="2021-02-05T00:00:00"/>
    <s v="SMLN-2021-617-000042"/>
    <x v="48"/>
    <d v="2021-03-01T00:00:00"/>
    <d v="2024-02-24T00:00:00"/>
  </r>
  <r>
    <s v="opakovaná VZ"/>
    <s v="VZ-2020-001283"/>
    <x v="1"/>
    <s v="Merta"/>
    <x v="55"/>
    <m/>
    <m/>
    <m/>
    <s v="33182210-4"/>
    <m/>
    <n v="3103825"/>
    <x v="0"/>
    <d v="2020-12-15T00:00:00"/>
    <d v="2021-01-18T00:00:00"/>
    <d v="2021-01-22T00:00:00"/>
    <s v="Medtronic Czechia s.r.o."/>
    <m/>
    <n v="3103825"/>
    <n v="3569398.7499999995"/>
    <m/>
    <m/>
    <m/>
    <d v="2021-01-22T00:00:00"/>
    <s v="SMLN-2021-617-000020_x000a_SMLN-2021-614-000001_x000a_SMLN-2021-616-000004"/>
    <x v="0"/>
    <d v="2021-03-12T00:00:00"/>
    <d v="2024-03-08T00:00:00"/>
  </r>
  <r>
    <s v="opakovaná VZ"/>
    <s v="VZ-2020-001285"/>
    <x v="1"/>
    <s v="Merta"/>
    <x v="56"/>
    <m/>
    <m/>
    <m/>
    <s v="33182100-0"/>
    <m/>
    <n v="25040000"/>
    <x v="0"/>
    <d v="2020-12-16T00:00:00"/>
    <d v="2021-01-18T00:00:00"/>
    <d v="2021-01-22T00:00:00"/>
    <s v="Medtronic Czechia s.r.o."/>
    <m/>
    <n v="25040000"/>
    <n v="28795999.999999996"/>
    <m/>
    <m/>
    <m/>
    <d v="2021-01-25T00:00:00"/>
    <s v="SMLN-2021-617-000021_x000a_SMLN-2021-614-000002_x000a_SMLN-2021-616-000006"/>
    <x v="0"/>
    <d v="2021-03-12T00:00:00"/>
    <d v="2024-03-08T00:00:00"/>
  </r>
  <r>
    <s v="opakovaná VZ"/>
    <s v="VZ-2020-001299"/>
    <x v="1"/>
    <s v="Merta"/>
    <x v="57"/>
    <n v="1"/>
    <s v="Zavaděč - sety pro radiální přístup 5F a 6F (sheathy)"/>
    <m/>
    <s v="33141240-4"/>
    <m/>
    <n v="2762500"/>
    <x v="0"/>
    <d v="2020-12-10T00:00:00"/>
    <d v="2021-01-11T00:00:00"/>
    <d v="2021-02-19T00:00:00"/>
    <s v="Innova Medical s.r.o."/>
    <m/>
    <n v="2762500"/>
    <n v="3342625"/>
    <m/>
    <m/>
    <m/>
    <d v="2021-02-19T00:00:00"/>
    <s v="SMLN-2021-617-000066_x000a_SMLN-2021-614-000004"/>
    <x v="27"/>
    <d v="2021-03-15T00:00:00"/>
    <d v="2023-03-10T00:00:00"/>
  </r>
  <r>
    <s v="opakovaná VZ"/>
    <s v="VZ-2020-001299"/>
    <x v="1"/>
    <s v="Merta"/>
    <x v="57"/>
    <n v="2"/>
    <s v="Diagnostické katetry angiografické koronární - Katetry 5F a 6F "/>
    <m/>
    <s v="33141200-2"/>
    <m/>
    <n v="264000"/>
    <x v="0"/>
    <d v="2020-12-10T00:00:00"/>
    <d v="2021-01-11T00:00:00"/>
    <d v="2021-02-19T00:00:00"/>
    <s v="Innova Medical s.r.o."/>
    <m/>
    <n v="248000"/>
    <n v="300080"/>
    <m/>
    <m/>
    <m/>
    <d v="2021-02-19T00:00:00"/>
    <s v="SMLN-2021-617-000067_x000a_SMLN-2021-614-000005"/>
    <x v="27"/>
    <d v="2021-03-15T00:00:00"/>
    <d v="2023-03-10T00:00:00"/>
  </r>
  <r>
    <s v="opakovaná VZ"/>
    <s v="VZ-2020-001299"/>
    <x v="1"/>
    <s v="Merta"/>
    <x v="57"/>
    <n v="3"/>
    <s v="Diagnostické katetry angiografické koronární - Diagnostické radiální katetry  5F dedikované pro oboustrannou katetrizaci "/>
    <m/>
    <s v="33141200-2"/>
    <m/>
    <n v="4290000"/>
    <x v="0"/>
    <d v="2020-12-10T00:00:00"/>
    <d v="2021-01-11T00:00:00"/>
    <d v="2021-02-19T00:00:00"/>
    <s v="Innova Medical s.r.o."/>
    <m/>
    <n v="4290000"/>
    <n v="5190900"/>
    <m/>
    <m/>
    <m/>
    <d v="2021-02-19T00:00:00"/>
    <s v="SMLN-2021-617-000068_x000a_SMLN-2021-614-000006"/>
    <x v="27"/>
    <d v="2021-03-15T00:00:00"/>
    <d v="2023-03-10T00:00:00"/>
  </r>
  <r>
    <s v="opakovaná VZ"/>
    <s v="VZ-2020-001299"/>
    <x v="1"/>
    <s v="Merta"/>
    <x v="57"/>
    <n v="4"/>
    <s v="Koronární (PTCA) vodiče - vodiče pro komplexní vinuté léze "/>
    <m/>
    <s v="33141240-4"/>
    <m/>
    <n v="1326500"/>
    <x v="0"/>
    <d v="2020-12-10T00:00:00"/>
    <d v="2021-01-11T00:00:00"/>
    <d v="2021-02-19T00:00:00"/>
    <s v="Innova Medical s.r.o."/>
    <m/>
    <n v="1326500"/>
    <n v="1605065"/>
    <m/>
    <m/>
    <m/>
    <d v="2021-02-19T00:00:00"/>
    <s v="SMLN-2021-617-000069_x000a_SMLN-2021-614-000007"/>
    <x v="27"/>
    <d v="2021-03-15T00:00:00"/>
    <d v="2023-03-10T00:00:00"/>
  </r>
  <r>
    <s v="opakovaná VZ"/>
    <s v="VZ-2020-001299"/>
    <x v="1"/>
    <s v="Merta"/>
    <x v="57"/>
    <n v="5"/>
    <s v="Vodící katetry -  5F "/>
    <m/>
    <s v="33141200-2"/>
    <m/>
    <n v="875000"/>
    <x v="0"/>
    <d v="2020-12-10T00:00:00"/>
    <d v="2021-01-11T00:00:00"/>
    <m/>
    <s v="zrušeno "/>
    <m/>
    <m/>
    <m/>
    <m/>
    <m/>
    <m/>
    <m/>
    <m/>
    <x v="6"/>
    <d v="2021-03-15T00:00:00"/>
    <s v="18.2.2021 zrušeno"/>
  </r>
  <r>
    <s v="opakovaná VZ"/>
    <s v="VZ-2020-001299"/>
    <x v="1"/>
    <s v="Merta"/>
    <x v="57"/>
    <n v="6"/>
    <s v="Aspirační katetry "/>
    <m/>
    <s v="33141200-2"/>
    <m/>
    <n v="1008000"/>
    <x v="0"/>
    <d v="2020-12-10T00:00:00"/>
    <d v="2021-01-11T00:00:00"/>
    <d v="2021-02-19T00:00:00"/>
    <s v="Innova Medical s.r.o."/>
    <m/>
    <n v="976000"/>
    <n v="1180960"/>
    <m/>
    <m/>
    <m/>
    <d v="2021-02-19T00:00:00"/>
    <s v="SMLN-2021-617-000070_x000a_SMLN-2021-614-000008"/>
    <x v="27"/>
    <d v="2021-03-15T00:00:00"/>
    <d v="2023-03-10T00:00:00"/>
  </r>
  <r>
    <d v="2020-12-09T00:00:00"/>
    <s v="VZ-2020-001312"/>
    <x v="0"/>
    <s v="Ondráčková"/>
    <x v="58"/>
    <m/>
    <m/>
    <m/>
    <s v="33694000-1"/>
    <m/>
    <n v="15250000"/>
    <x v="0"/>
    <d v="2020-12-16T00:00:00"/>
    <d v="2021-01-18T00:00:00"/>
    <d v="2021-02-05T00:00:00"/>
    <s v="BioVendor - Laboratorní medicína a.s."/>
    <m/>
    <n v="15243792"/>
    <n v="18444988.32"/>
    <m/>
    <m/>
    <m/>
    <d v="2021-02-05T00:00:00"/>
    <s v="SMLN-2021-617-000040_x000a_SMLN-2021-616-000011"/>
    <x v="49"/>
    <d v="2021-02-23T00:00:00"/>
    <s v="doba neurčitá"/>
  </r>
  <r>
    <d v="2020-12-01T00:00:00"/>
    <s v="VZ-2020-001320"/>
    <x v="3"/>
    <s v="Valíček"/>
    <x v="59"/>
    <m/>
    <m/>
    <m/>
    <s v="71000000-8"/>
    <s v="1.3.27."/>
    <n v="15000000"/>
    <x v="0"/>
    <d v="2020-12-18T00:00:00"/>
    <d v="2021-01-20T00:00:00"/>
    <d v="2021-01-22T00:00:00"/>
    <s v="LT PROJEKT a.s."/>
    <m/>
    <n v="6800000"/>
    <n v="8228000"/>
    <m/>
    <m/>
    <m/>
    <d v="2021-01-22T00:00:00"/>
    <s v="SMLN-2021-618-000004"/>
    <x v="42"/>
    <d v="2021-03-02T00:00:00"/>
    <d v="2021-09-02T00:00:00"/>
  </r>
  <r>
    <d v="2020-12-15T00:00:00"/>
    <s v="VZ-2020-001327"/>
    <x v="0"/>
    <s v="Ondráčková"/>
    <x v="60"/>
    <n v="1"/>
    <s v="GRAZAX"/>
    <m/>
    <s v="33675000-2"/>
    <m/>
    <n v="1879678"/>
    <x v="0"/>
    <d v="2020-12-18T00:00:00"/>
    <d v="2021-01-20T00:00:00"/>
    <d v="2021-02-05T00:00:00"/>
    <s v="zrušeno - ViaPharma neposkytla součinost k uzavření smlouvy"/>
    <m/>
    <n v="1870873.77"/>
    <n v="2057961.15"/>
    <m/>
    <m/>
    <m/>
    <d v="2021-02-05T00:00:00"/>
    <s v="SMLN-2021-617-000046"/>
    <x v="6"/>
    <d v="2021-03-03T00:00:00"/>
    <s v="19.2.2020 vyloučení a zrušeno"/>
  </r>
  <r>
    <d v="2020-12-15T00:00:00"/>
    <s v="VZ-2020-001327"/>
    <x v="0"/>
    <s v="Ondráčková"/>
    <x v="60"/>
    <n v="2"/>
    <s v="ORALAIR"/>
    <m/>
    <s v="33675000-2"/>
    <m/>
    <n v="3048116"/>
    <x v="0"/>
    <d v="2020-12-18T00:00:00"/>
    <d v="2021-01-20T00:00:00"/>
    <d v="2021-02-05T00:00:00"/>
    <s v="Alliance Healthcare s.r.o."/>
    <m/>
    <n v="2996842.62"/>
    <n v="3296526.88"/>
    <m/>
    <m/>
    <m/>
    <d v="2021-02-05T00:00:00"/>
    <s v="SMLN-2021-617-000047"/>
    <x v="0"/>
    <d v="2021-03-23T00:00:00"/>
    <d v="2024-03-08T00:00:00"/>
  </r>
  <r>
    <d v="2020-12-15T00:00:00"/>
    <s v="VZ-2020-001327"/>
    <x v="0"/>
    <s v="Ondráčková"/>
    <x v="60"/>
    <n v="3"/>
    <s v="POLLINEX RYE"/>
    <m/>
    <s v="33675000-2"/>
    <m/>
    <n v="596452"/>
    <x v="0"/>
    <d v="2020-12-18T00:00:00"/>
    <d v="2021-01-20T00:00:00"/>
    <d v="2021-02-05T00:00:00"/>
    <s v="zrušeno - ViaPharma neposkytla součinost k uzavření smlouvy"/>
    <m/>
    <n v="579465.54"/>
    <n v="637412.09"/>
    <m/>
    <m/>
    <m/>
    <d v="2021-02-05T00:00:00"/>
    <s v="SMLN-2021-617-000048"/>
    <x v="6"/>
    <d v="2021-03-03T00:00:00"/>
    <s v="26.2.2020 vyloučení a zrušeno"/>
  </r>
  <r>
    <d v="2020-12-15T00:00:00"/>
    <s v="VZ-2020-001327"/>
    <x v="0"/>
    <s v="Ondráčková"/>
    <x v="60"/>
    <n v="4"/>
    <s v="ACARIZAX"/>
    <m/>
    <s v="33675000-2"/>
    <m/>
    <n v="2702846"/>
    <x v="0"/>
    <d v="2020-12-18T00:00:00"/>
    <d v="2021-01-20T00:00:00"/>
    <m/>
    <s v="zrušeno - bez nabídky"/>
    <m/>
    <m/>
    <m/>
    <m/>
    <m/>
    <m/>
    <m/>
    <m/>
    <x v="6"/>
    <d v="2021-03-03T00:00:00"/>
    <s v="8.2.2021 zrušeno"/>
  </r>
  <r>
    <d v="2020-12-15T00:00:00"/>
    <s v="VZ-2020-001327"/>
    <x v="0"/>
    <s v="Ondráčková"/>
    <x v="60"/>
    <n v="5"/>
    <s v="POLLINEX TREE"/>
    <m/>
    <s v="33675000-2"/>
    <m/>
    <n v="705451"/>
    <x v="0"/>
    <d v="2020-12-18T00:00:00"/>
    <d v="2021-01-20T00:00:00"/>
    <d v="2021-02-05T00:00:00"/>
    <s v="ViaPharma s.r.o."/>
    <m/>
    <n v="702680.25"/>
    <n v="772948.28"/>
    <m/>
    <m/>
    <m/>
    <d v="2021-02-05T00:00:00"/>
    <s v="SMLN-2021-617-000049"/>
    <x v="24"/>
    <d v="2021-03-23T00:00:00"/>
    <d v="2024-03-17T00:00:00"/>
  </r>
  <r>
    <d v="2020-12-15T00:00:00"/>
    <s v="VZ-2020-001327"/>
    <x v="0"/>
    <s v="Ondráčková"/>
    <x v="60"/>
    <n v="6"/>
    <s v="ALUTARD SQ HMYZÍ ALERGENY"/>
    <m/>
    <s v="33675000-2"/>
    <m/>
    <n v="691921"/>
    <x v="0"/>
    <d v="2020-12-18T00:00:00"/>
    <d v="2021-01-20T00:00:00"/>
    <m/>
    <s v="zrušeno - bez nabídky"/>
    <m/>
    <m/>
    <m/>
    <m/>
    <m/>
    <m/>
    <m/>
    <m/>
    <x v="6"/>
    <d v="2021-03-03T00:00:00"/>
    <s v="8.2.2021 zrušeno"/>
  </r>
  <r>
    <d v="2020-12-15T00:00:00"/>
    <s v="VZ-2020-001327"/>
    <x v="0"/>
    <s v="Ondráčková"/>
    <x v="60"/>
    <n v="7"/>
    <s v="STALORAL 300"/>
    <m/>
    <s v="33675000-2"/>
    <m/>
    <n v="755060"/>
    <x v="0"/>
    <d v="2020-12-18T00:00:00"/>
    <d v="2021-01-20T00:00:00"/>
    <m/>
    <s v="zrušeno - bez nabídky"/>
    <m/>
    <m/>
    <m/>
    <m/>
    <m/>
    <m/>
    <m/>
    <m/>
    <x v="6"/>
    <d v="2021-03-03T00:00:00"/>
    <s v="8.2.2021 zrušeno"/>
  </r>
  <r>
    <d v="2020-12-15T00:00:00"/>
    <s v="VZ-2020-001328"/>
    <x v="0"/>
    <s v="Ondráčková"/>
    <x v="61"/>
    <n v="1"/>
    <s v="ACIKLOVIR I.V."/>
    <m/>
    <s v="33651400-2"/>
    <m/>
    <n v="1228500"/>
    <x v="0"/>
    <d v="2020-12-18T00:00:00"/>
    <d v="2021-02-09T00:00:00"/>
    <d v="2021-03-02T00:00:00"/>
    <s v="PHARMOS, a.s."/>
    <m/>
    <n v="1189433.7"/>
    <n v="1308377.07"/>
    <m/>
    <m/>
    <m/>
    <d v="2021-03-02T00:00:00"/>
    <s v="SMLN-2021-617-000095"/>
    <x v="12"/>
    <d v="2021-04-12T00:00:00"/>
    <d v="2024-04-07T00:00:00"/>
  </r>
  <r>
    <d v="2020-12-15T00:00:00"/>
    <s v="VZ-2020-001328"/>
    <x v="0"/>
    <s v="Ondráčková"/>
    <x v="61"/>
    <n v="2"/>
    <s v="ACIKLOVIR TBL."/>
    <m/>
    <s v="33651400-2"/>
    <m/>
    <n v="2403469"/>
    <x v="0"/>
    <d v="2020-12-18T00:00:00"/>
    <d v="2021-02-09T00:00:00"/>
    <d v="2021-03-02T00:00:00"/>
    <s v="PHARMOS, a.s."/>
    <m/>
    <n v="2378469.9900000002"/>
    <n v="2616316.9900000002"/>
    <m/>
    <m/>
    <m/>
    <d v="2021-03-02T00:00:00"/>
    <s v="SMLN-2021-617-000096"/>
    <x v="12"/>
    <d v="2021-04-12T00:00:00"/>
    <d v="2024-04-07T00:00:00"/>
  </r>
  <r>
    <d v="2020-12-15T00:00:00"/>
    <s v="VZ-2020-001328"/>
    <x v="0"/>
    <s v="Ondráčková"/>
    <x v="61"/>
    <n v="3"/>
    <s v="GANCIKLOVIR"/>
    <m/>
    <s v="33651400-2"/>
    <m/>
    <n v="700714"/>
    <x v="0"/>
    <d v="2020-12-18T00:00:00"/>
    <d v="2021-02-09T00:00:00"/>
    <d v="2021-03-02T00:00:00"/>
    <s v="PHARMOS, a.s."/>
    <m/>
    <n v="693635.4"/>
    <n v="762998.94"/>
    <m/>
    <m/>
    <m/>
    <d v="2021-03-02T00:00:00"/>
    <s v="SMLN-2021-617-000097"/>
    <x v="12"/>
    <d v="2021-04-12T00:00:00"/>
    <d v="2024-04-07T00:00:00"/>
  </r>
  <r>
    <d v="2020-12-15T00:00:00"/>
    <s v="VZ-2020-001328"/>
    <x v="0"/>
    <s v="Ondráčková"/>
    <x v="61"/>
    <n v="4"/>
    <s v="CIDOFOVIR"/>
    <m/>
    <s v="33651400-2"/>
    <m/>
    <n v="3508066"/>
    <x v="0"/>
    <d v="2020-12-18T00:00:00"/>
    <d v="2021-02-09T00:00:00"/>
    <d v="2021-03-02T00:00:00"/>
    <s v="zrušeno - neposkytnutí součinosti k uzavření smlouvy"/>
    <m/>
    <n v="3315567.06"/>
    <n v="3647123.77"/>
    <m/>
    <m/>
    <m/>
    <d v="2021-03-02T00:00:00"/>
    <s v="SMLN-2021-617-000098"/>
    <x v="6"/>
    <d v="2021-04-12T00:00:00"/>
    <s v="18.3.2021 zrušeno"/>
  </r>
  <r>
    <d v="2020-12-15T00:00:00"/>
    <s v="VZ-2020-001329"/>
    <x v="10"/>
    <s v="Smrčková"/>
    <x v="62"/>
    <m/>
    <m/>
    <m/>
    <s v="39120000-9"/>
    <m/>
    <n v="2200000"/>
    <x v="1"/>
    <d v="2020-12-17T00:00:00"/>
    <d v="2021-01-21T00:00:00"/>
    <d v="2021-02-02T00:00:00"/>
    <s v="ELNAR spol. s r.o."/>
    <m/>
    <n v="1196571"/>
    <n v="1447850.91"/>
    <m/>
    <m/>
    <m/>
    <d v="2021-02-03T00:00:00"/>
    <s v="SMLN-2021-618-000006"/>
    <x v="42"/>
    <d v="2021-03-02T00:00:00"/>
    <m/>
  </r>
  <r>
    <d v="2020-12-17T00:00:00"/>
    <s v="VZ-2020-001334"/>
    <x v="1"/>
    <s v="Dočkalová"/>
    <x v="63"/>
    <m/>
    <m/>
    <m/>
    <s v="18424300-0"/>
    <m/>
    <n v="30000000"/>
    <x v="0"/>
    <d v="2020-12-18T00:00:00"/>
    <d v="2021-01-19T00:00:00"/>
    <d v="2021-02-12T00:00:00"/>
    <s v="CareMed s.r.o."/>
    <m/>
    <n v="30000000"/>
    <n v="36300000"/>
    <m/>
    <m/>
    <m/>
    <d v="2021-02-12T00:00:00"/>
    <s v="SMLN-2021-617-000055"/>
    <x v="38"/>
    <d v="2021-03-18T00:00:00"/>
    <d v="2022-03-14T00:00:00"/>
  </r>
  <r>
    <s v="opakovaná VZ"/>
    <s v="VZ-2020-001342"/>
    <x v="2"/>
    <s v="Rosulek"/>
    <x v="64"/>
    <m/>
    <m/>
    <m/>
    <s v="33122000-1"/>
    <s v="2.3.507"/>
    <n v="320000"/>
    <x v="2"/>
    <d v="2020-12-31T00:00:00"/>
    <d v="2021-01-12T00:00:00"/>
    <d v="2021-01-15T00:00:00"/>
    <s v="CMI, s.r.o."/>
    <m/>
    <n v="278550"/>
    <n v="337045.5"/>
    <m/>
    <m/>
    <m/>
    <d v="2021-01-15T00:00:00"/>
    <s v="SMLN-2021-617-000011_x000a_SMLN-2021-612-000003"/>
    <x v="3"/>
    <d v="2021-02-08T00:00:00"/>
    <d v="2021-03-06T00:00:00"/>
  </r>
  <r>
    <d v="2020-12-30T00:00:00"/>
    <s v="VZ-2021-000002"/>
    <x v="0"/>
    <s v="Ondráčková"/>
    <x v="65"/>
    <n v="1"/>
    <s v="Vodorozpustné nízkoosmolární nefrotropní rtg-kontrastní látky I."/>
    <m/>
    <s v="33696800-3"/>
    <m/>
    <n v="48576"/>
    <x v="0"/>
    <d v="2021-01-06T00:00:00"/>
    <d v="2021-03-09T00:00:00"/>
    <d v="2021-05-06T00:00:00"/>
    <s v="BAYER s.r.o."/>
    <m/>
    <n v="47954.400000000001"/>
    <n v="52749.84"/>
    <m/>
    <m/>
    <m/>
    <d v="2021-05-06T00:00:00"/>
    <s v="SMLN-2021-617-000212"/>
    <x v="43"/>
    <d v="2021-06-02T00:00:00"/>
    <d v="2025-05-25T00:00:00"/>
  </r>
  <r>
    <d v="2020-12-30T00:00:00"/>
    <s v="VZ-2021-000002"/>
    <x v="0"/>
    <s v="Ondráčková"/>
    <x v="65"/>
    <n v="2"/>
    <s v="Vodorozpustné isoosmolární nefrotropní rtg-kontrastní látky"/>
    <m/>
    <s v="33696800-3"/>
    <m/>
    <n v="6626722"/>
    <x v="0"/>
    <d v="2021-01-06T00:00:00"/>
    <d v="2021-03-09T00:00:00"/>
    <d v="2021-05-06T00:00:00"/>
    <s v="M.G.P. spol. s r.o."/>
    <m/>
    <n v="5958167.25"/>
    <n v="6553983.9800000004"/>
    <m/>
    <m/>
    <m/>
    <d v="2021-05-06T00:00:00"/>
    <s v="SMLN-2021-617-000213"/>
    <x v="43"/>
    <d v="2021-06-02T00:00:00"/>
    <d v="2025-05-25T00:00:00"/>
  </r>
  <r>
    <d v="2020-12-30T00:00:00"/>
    <s v="VZ-2021-000002"/>
    <x v="0"/>
    <s v="Ondráčková"/>
    <x v="65"/>
    <n v="3"/>
    <s v="Vodorozpustné nízkoosmolární nefrotropní rtg-kontrastní látky II."/>
    <m/>
    <s v="33696800-3"/>
    <m/>
    <n v="20300627"/>
    <x v="0"/>
    <d v="2021-01-06T00:00:00"/>
    <d v="2021-03-09T00:00:00"/>
    <d v="2021-05-06T00:00:00"/>
    <s v="BAYER s.r.o."/>
    <m/>
    <n v="22753051.940000001"/>
    <n v="25028357.129999999"/>
    <m/>
    <m/>
    <m/>
    <d v="2021-05-06T00:00:00"/>
    <s v="SMLN-2021-617-000214"/>
    <x v="43"/>
    <d v="2021-06-02T00:00:00"/>
    <d v="2025-05-25T00:00:00"/>
  </r>
  <r>
    <d v="2021-01-04T00:00:00"/>
    <s v="VZ-2021-000004"/>
    <x v="0"/>
    <s v="Ondráčková"/>
    <x v="66"/>
    <n v="1"/>
    <s v="Protilátky pro IHC metody I."/>
    <m/>
    <s v="33694000-1"/>
    <m/>
    <n v="197507"/>
    <x v="0"/>
    <d v="2021-02-23T00:00:00"/>
    <d v="2021-04-21T00:00:00"/>
    <m/>
    <s v="zrušeno - upravit specifikaci"/>
    <m/>
    <m/>
    <m/>
    <m/>
    <m/>
    <m/>
    <m/>
    <m/>
    <x v="6"/>
    <d v="2021-07-01T00:00:00"/>
    <s v="7.6.2021 zrušeno"/>
  </r>
  <r>
    <d v="2021-01-04T00:00:00"/>
    <s v="VZ-2021-000004"/>
    <x v="0"/>
    <s v="Ondráčková"/>
    <x v="66"/>
    <n v="2"/>
    <s v="Chemikálie a diagnostika pro základní a IHC provoz"/>
    <m/>
    <s v="33694000-1"/>
    <m/>
    <n v="24729"/>
    <x v="0"/>
    <d v="2021-02-23T00:00:00"/>
    <d v="2021-04-21T00:00:00"/>
    <d v="2021-06-17T00:00:00"/>
    <s v="bamed, s.r.o."/>
    <m/>
    <n v="24460"/>
    <n v="29596.6"/>
    <m/>
    <m/>
    <m/>
    <d v="2021-06-17T00:00:00"/>
    <s v="SMLN-2021-617-000305"/>
    <x v="50"/>
    <d v="2021-07-22T00:00:00"/>
    <d v="2022-07-15T00:00:00"/>
  </r>
  <r>
    <d v="2021-01-04T00:00:00"/>
    <s v="VZ-2021-000004"/>
    <x v="0"/>
    <s v="Ondráčková"/>
    <x v="66"/>
    <n v="3"/>
    <s v="Protilátky pro IHC metody II."/>
    <m/>
    <s v="33694000-1"/>
    <m/>
    <n v="268724"/>
    <x v="0"/>
    <d v="2021-02-23T00:00:00"/>
    <d v="2021-04-21T00:00:00"/>
    <d v="2021-06-17T00:00:00"/>
    <s v="zrušeno - nesplňuje certifikaci CE IVD"/>
    <m/>
    <n v="268722.51"/>
    <n v="325154.24"/>
    <m/>
    <m/>
    <m/>
    <d v="2021-06-17T00:00:00"/>
    <s v="SMLN-2021-617-000306"/>
    <x v="6"/>
    <d v="2021-08-06T00:00:00"/>
    <s v="20.7.2021 zrušeno"/>
  </r>
  <r>
    <d v="2021-01-04T00:00:00"/>
    <s v="VZ-2021-000004"/>
    <x v="0"/>
    <s v="Ondráčková"/>
    <x v="66"/>
    <n v="4"/>
    <s v="Chemikálie pro základní provoz"/>
    <m/>
    <s v="33694000-1"/>
    <m/>
    <n v="785490"/>
    <x v="0"/>
    <d v="2021-02-23T00:00:00"/>
    <d v="2021-04-21T00:00:00"/>
    <m/>
    <s v="zrušeno - bez hodnotitelné nabídky"/>
    <m/>
    <m/>
    <m/>
    <m/>
    <m/>
    <m/>
    <m/>
    <m/>
    <x v="6"/>
    <d v="2021-07-01T00:00:00"/>
    <s v="4.6.2021 zrušeno"/>
  </r>
  <r>
    <d v="2021-01-04T00:00:00"/>
    <s v="VZ-2021-000004"/>
    <x v="0"/>
    <s v="Ondráčková"/>
    <x v="66"/>
    <n v="5"/>
    <s v="Protilátky a chemikálie pro IHC metody a ISH metody"/>
    <m/>
    <s v="33694000-1"/>
    <m/>
    <n v="1090405"/>
    <x v="0"/>
    <d v="2021-02-23T00:00:00"/>
    <d v="2021-04-21T00:00:00"/>
    <d v="2021-06-17T00:00:00"/>
    <s v="HPST, s.r.o."/>
    <m/>
    <n v="1105416"/>
    <n v="1337553.3600000001"/>
    <m/>
    <m/>
    <m/>
    <d v="2021-06-17T00:00:00"/>
    <s v="SMLN-2021-617-000308"/>
    <x v="51"/>
    <d v="2021-07-22T00:00:00"/>
    <d v="2022-07-12T00:00:00"/>
  </r>
  <r>
    <d v="2021-01-04T00:00:00"/>
    <s v="VZ-2021-000004"/>
    <x v="0"/>
    <s v="Ondráčková"/>
    <x v="66"/>
    <n v="6"/>
    <s v="Protilátky a chemikálie pro IHC metody I."/>
    <m/>
    <s v="33694000-1"/>
    <m/>
    <n v="493445"/>
    <x v="0"/>
    <d v="2021-02-23T00:00:00"/>
    <d v="2021-04-21T00:00:00"/>
    <m/>
    <s v="zrušeno - bez hodnotitelné nabídky"/>
    <m/>
    <m/>
    <m/>
    <m/>
    <m/>
    <m/>
    <m/>
    <m/>
    <x v="6"/>
    <d v="2021-07-01T00:00:00"/>
    <s v="4.6.2021 zrušeno"/>
  </r>
  <r>
    <d v="2021-01-04T00:00:00"/>
    <s v="VZ-2021-000004"/>
    <x v="0"/>
    <s v="Ondráčková"/>
    <x v="66"/>
    <n v="7"/>
    <s v="Protilátky a chemikálie pro IHC metody II."/>
    <m/>
    <s v="33694000-1"/>
    <m/>
    <n v="944148"/>
    <x v="0"/>
    <d v="2021-02-23T00:00:00"/>
    <d v="2021-04-21T00:00:00"/>
    <d v="2021-06-17T00:00:00"/>
    <s v="ROCHE s.r.o."/>
    <m/>
    <n v="944146.05"/>
    <n v="1142416.72"/>
    <m/>
    <m/>
    <m/>
    <d v="2021-06-17T00:00:00"/>
    <s v="SMLN-2021-617-000309"/>
    <x v="52"/>
    <d v="2021-07-22T00:00:00"/>
    <d v="2022-07-18T00:00:00"/>
  </r>
  <r>
    <d v="2021-01-05T00:00:00"/>
    <s v="VZ-2021-000013"/>
    <x v="1"/>
    <s v="Dočkalová"/>
    <x v="67"/>
    <m/>
    <m/>
    <m/>
    <s v="33169000-2"/>
    <m/>
    <n v="3111334"/>
    <x v="1"/>
    <d v="2021-01-18T00:00:00"/>
    <d v="2021-02-11T00:00:00"/>
    <d v="2021-02-25T00:00:00"/>
    <s v="Medtronic Czechia s.r.o."/>
    <m/>
    <n v="3107400"/>
    <n v="3759954"/>
    <m/>
    <m/>
    <m/>
    <d v="2021-02-26T00:00:00"/>
    <s v="SMLN-2021-617-000090_x000a_SMLN-2021-614-000010_x000a_SMLN-2021-616-000015"/>
    <x v="46"/>
    <d v="2021-05-04T00:00:00"/>
    <d v="2023-04-27T00:00:00"/>
  </r>
  <r>
    <d v="2021-01-07T00:00:00"/>
    <s v="VZ-2021-000015"/>
    <x v="2"/>
    <s v="Rosulek"/>
    <x v="68"/>
    <n v="1"/>
    <s v="Laboratorní váha pro Ústav mikrobiologie"/>
    <m/>
    <s v="38311000-9"/>
    <s v="2.3.422."/>
    <n v="124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  <m/>
  </r>
  <r>
    <d v="2021-01-07T00:00:00"/>
    <s v="VZ-2021-000015"/>
    <x v="2"/>
    <s v="Rosulek"/>
    <x v="68"/>
    <n v="2"/>
    <s v="Laboratorní váha pro Oddělení klinické biochemie"/>
    <m/>
    <s v="38311000-9"/>
    <s v="2.3.399."/>
    <n v="132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  <m/>
  </r>
  <r>
    <d v="2021-01-07T00:00:00"/>
    <s v="VZ-2021-000015"/>
    <x v="2"/>
    <s v="Rosulek"/>
    <x v="68"/>
    <n v="3"/>
    <s v="Laboratorní váha ke gravimetrické přípravě cytostatik pro Lékárnu"/>
    <m/>
    <s v="38311000-9"/>
    <s v="2.3.392."/>
    <n v="157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  <m/>
  </r>
  <r>
    <d v="2021-01-07T00:00:00"/>
    <s v="VZ-2021-000015"/>
    <x v="2"/>
    <s v="Rosulek"/>
    <x v="68"/>
    <n v="4"/>
    <s v="Laboratorní váha pro přípravu paenterální výživy pro Lékárnu"/>
    <m/>
    <s v="38311000-9"/>
    <s v="2.3.469."/>
    <n v="82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  <m/>
  </r>
  <r>
    <d v="2021-01-07T00:00:00"/>
    <s v="VZ-2021-000015"/>
    <x v="2"/>
    <s v="Rosulek"/>
    <x v="68"/>
    <n v="5"/>
    <s v="Laboratorní váha pro přípravu sterilních léčiv pro Lékárnu"/>
    <m/>
    <s v="38311000-9"/>
    <s v="2.3.470."/>
    <n v="74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  <m/>
  </r>
  <r>
    <d v="2020-12-30T00:00:00"/>
    <s v="VZ-2021-000016"/>
    <x v="5"/>
    <s v="Oravec"/>
    <x v="69"/>
    <m/>
    <m/>
    <m/>
    <s v="32429000-6"/>
    <s v="3.2.56."/>
    <n v="825000"/>
    <x v="2"/>
    <d v="2021-01-13T00:00:00"/>
    <d v="2021-01-20T00:00:00"/>
    <d v="2021-01-25T00:00:00"/>
    <s v="ERISERV, spol. s r.o."/>
    <m/>
    <n v="835707"/>
    <n v="1011205.47"/>
    <m/>
    <m/>
    <m/>
    <d v="2021-01-25T00:00:00"/>
    <s v="SMLN-2021-617-000022"/>
    <x v="49"/>
    <d v="2021-02-19T00:00:00"/>
    <d v="2021-04-19T00:00:00"/>
  </r>
  <r>
    <d v="2021-01-07T00:00:00"/>
    <s v="VZ-2021-000019"/>
    <x v="2"/>
    <s v="Rosulek"/>
    <x v="70"/>
    <m/>
    <m/>
    <m/>
    <s v="33168000-5"/>
    <s v="2.2.321."/>
    <n v="10657000"/>
    <x v="0"/>
    <d v="2021-01-18T00:00:00"/>
    <d v="2021-02-19T00:00:00"/>
    <d v="2021-04-12T00:00:00"/>
    <s v="Hospimed, spol. s r.o."/>
    <m/>
    <n v="10424594"/>
    <n v="12613758.74"/>
    <m/>
    <m/>
    <m/>
    <d v="2021-04-12T00:00:00"/>
    <s v="SMLN-2021-617-000147_x000a_SMLN-2021-612-000025_x000a_SMLN-2021-617-000149"/>
    <x v="32"/>
    <d v="2021-05-18T00:00:00"/>
    <d v="2021-07-06T00:00:00"/>
  </r>
  <r>
    <d v="2021-01-13T00:00:00"/>
    <s v="VZ-2021-000026"/>
    <x v="8"/>
    <s v="Kadlec"/>
    <x v="71"/>
    <m/>
    <m/>
    <m/>
    <s v="45332200-5"/>
    <m/>
    <n v="950000"/>
    <x v="2"/>
    <d v="2021-01-15T00:00:00"/>
    <d v="2021-01-28T00:00:00"/>
    <d v="2021-02-04T00:00:00"/>
    <s v="Zdeněk Hybner"/>
    <m/>
    <n v="1012448.73"/>
    <n v="1225062.96"/>
    <m/>
    <m/>
    <m/>
    <d v="2021-02-04T00:00:00"/>
    <s v="SMLN-2021-618-000007"/>
    <x v="42"/>
    <d v="2021-02-25T00:00:00"/>
    <d v="2021-03-21T00:00:00"/>
  </r>
  <r>
    <d v="2021-01-07T00:00:00"/>
    <s v="VZ-2021-000030"/>
    <x v="1"/>
    <s v="Dočkalová"/>
    <x v="72"/>
    <m/>
    <m/>
    <m/>
    <s v="33141640-8 "/>
    <m/>
    <n v="3702123.85"/>
    <x v="0"/>
    <d v="2021-02-08T00:00:00"/>
    <d v="2021-03-12T00:00:00"/>
    <d v="2021-04-06T00:00:00"/>
    <s v="B. Braun Medical s.r.o."/>
    <m/>
    <n v="3640015"/>
    <n v="4192637.05"/>
    <m/>
    <m/>
    <m/>
    <d v="2021-04-06T00:00:00"/>
    <s v="SMLN-2021-617-000136_x000a_SMLN-2021-614-000017_x000a_SMLN-2021-616-000026"/>
    <x v="35"/>
    <d v="2021-05-17T00:00:00"/>
    <d v="2024-05-03T00:00:00"/>
  </r>
  <r>
    <d v="2021-01-14T00:00:00"/>
    <s v="VZ-2021-000032"/>
    <x v="1"/>
    <s v="Dočkalová"/>
    <x v="73"/>
    <m/>
    <m/>
    <m/>
    <s v="33141200-2"/>
    <m/>
    <n v="1553400"/>
    <x v="2"/>
    <d v="2021-01-20T00:00:00"/>
    <d v="2021-01-28T00:00:00"/>
    <d v="2021-02-01T00:00:00"/>
    <s v="ADYTON s.r.o."/>
    <m/>
    <n v="1553400"/>
    <n v="1786410"/>
    <m/>
    <m/>
    <m/>
    <d v="2021-02-01T00:00:00"/>
    <s v="SMLN-2021-617-000028"/>
    <x v="48"/>
    <d v="2021-02-26T00:00:00"/>
    <d v="2023-02-24T00:00:00"/>
  </r>
  <r>
    <d v="2021-01-14T00:00:00"/>
    <s v="VZ-2021-000038"/>
    <x v="1"/>
    <s v="Dočkalová"/>
    <x v="74"/>
    <m/>
    <m/>
    <m/>
    <s v="33140000-3"/>
    <m/>
    <n v="1950000"/>
    <x v="1"/>
    <d v="2021-01-20T00:00:00"/>
    <d v="2021-02-05T00:00:00"/>
    <d v="2021-04-30T00:00:00"/>
    <s v="GLOBALTEK GROUP, s.r.o."/>
    <m/>
    <n v="3150000"/>
    <n v="3813000"/>
    <m/>
    <m/>
    <m/>
    <d v="2021-04-30T00:00:00"/>
    <s v="SMLN-2021-617-000189"/>
    <x v="53"/>
    <d v="2021-06-14T00:00:00"/>
    <d v="2024-06-01T00:00:00"/>
  </r>
  <r>
    <d v="2021-01-20T00:00:00"/>
    <s v="VZ-2021-000045"/>
    <x v="3"/>
    <s v="Spáčil"/>
    <x v="75"/>
    <m/>
    <m/>
    <m/>
    <s v="71200000-0"/>
    <s v="1.2.72."/>
    <n v="800000"/>
    <x v="2"/>
    <d v="2021-01-25T00:00:00"/>
    <d v="2021-02-09T00:00:00"/>
    <d v="2021-02-22T00:00:00"/>
    <s v="EP Rožnov, a.s.."/>
    <m/>
    <n v="767000"/>
    <n v="928070"/>
    <m/>
    <m/>
    <m/>
    <d v="2021-02-22T00:00:00"/>
    <s v="SMLN-2021-618-000010"/>
    <x v="8"/>
    <d v="2021-03-15T00:00:00"/>
    <d v="2021-05-11T00:00:00"/>
  </r>
  <r>
    <s v="opakovaná VZ"/>
    <s v="VZ-2021-000051"/>
    <x v="1"/>
    <s v="Valtová"/>
    <x v="48"/>
    <m/>
    <m/>
    <m/>
    <s v="33140000-3"/>
    <m/>
    <n v="5785125"/>
    <x v="0"/>
    <d v="2021-01-25T00:00:00"/>
    <d v="2021-02-26T00:00:00"/>
    <d v="2021-03-10T00:00:00"/>
    <s v="Stimcare s.r.o."/>
    <m/>
    <n v="5785125"/>
    <n v="7000000"/>
    <m/>
    <m/>
    <m/>
    <d v="2021-03-10T00:00:00"/>
    <s v="SMLN-2021-617-000104_x000a_SMLN-2021-614-000011"/>
    <x v="54"/>
    <d v="2021-04-21T00:00:00"/>
    <d v="2024-04-11T00:00:00"/>
  </r>
  <r>
    <d v="2021-01-21T00:00:00"/>
    <s v="VZ-2021-000054"/>
    <x v="1"/>
    <s v="Merta"/>
    <x v="76"/>
    <n v="1"/>
    <s v="TEP kyčelního kloubu - primární"/>
    <m/>
    <s v="33141750-2"/>
    <m/>
    <n v="36046000"/>
    <x v="0"/>
    <d v="2021-02-10T00:00:00"/>
    <d v="2021-03-19T00:00:00"/>
    <d v="2021-04-12T00:00:00"/>
    <s v="Zimmer Czech, s.r.o."/>
    <m/>
    <n v="33949850.399999999"/>
    <n v="39042327.959999993"/>
    <m/>
    <m/>
    <m/>
    <d v="2021-04-13T00:00:00"/>
    <s v="SMLN-2021-617-000151_x000a_SMLN-2021-614-000020_x000a_SMLN-2021-616-000029"/>
    <x v="55"/>
    <d v="2021-06-24T00:00:00"/>
    <d v="2024-06-14T00:00:00"/>
  </r>
  <r>
    <d v="2021-01-21T00:00:00"/>
    <s v="VZ-2021-000054"/>
    <x v="1"/>
    <s v="Merta"/>
    <x v="76"/>
    <n v="2"/>
    <s v="TEP kyčelního kloubu - revizní"/>
    <m/>
    <s v="33141750-2"/>
    <m/>
    <n v="7960000"/>
    <x v="0"/>
    <d v="2021-02-10T00:00:00"/>
    <d v="2021-03-19T00:00:00"/>
    <d v="2021-04-12T00:00:00"/>
    <s v="Zimmer Czech, s.r.o."/>
    <m/>
    <n v="7617500"/>
    <n v="8760125"/>
    <m/>
    <m/>
    <m/>
    <d v="2021-04-13T00:00:00"/>
    <s v="SMLN-2021-617-000153_x000a_SMLN-2021-614-000021_x000a_SMLN-2021-616-000030"/>
    <x v="55"/>
    <d v="2021-06-24T00:00:00"/>
    <d v="2024-06-14T00:00:00"/>
  </r>
  <r>
    <d v="2021-01-21T00:00:00"/>
    <s v="VZ-2021-000054"/>
    <x v="1"/>
    <s v="Merta"/>
    <x v="76"/>
    <n v="3"/>
    <s v="TEP kolenního kloubu "/>
    <m/>
    <s v="33141750-2"/>
    <m/>
    <n v="19255000"/>
    <x v="0"/>
    <d v="2021-02-10T00:00:00"/>
    <d v="2021-03-19T00:00:00"/>
    <d v="2021-04-12T00:00:00"/>
    <s v="Zimmer Czech, s.r.o."/>
    <m/>
    <n v="18885000"/>
    <n v="21717750"/>
    <m/>
    <m/>
    <m/>
    <d v="2021-04-13T00:00:00"/>
    <s v="SMLN-2021-617-000154_x000a_SMLN-2021-614-000022_x000a_SMLN-2021-616-000031"/>
    <x v="55"/>
    <d v="2021-06-24T00:00:00"/>
    <d v="2024-06-14T00:00:00"/>
  </r>
  <r>
    <d v="2021-01-21T00:00:00"/>
    <s v="VZ-2021-000054"/>
    <x v="1"/>
    <s v="Merta"/>
    <x v="76"/>
    <n v="4"/>
    <s v="TEP kolenního kloubu - speciál"/>
    <m/>
    <s v="33141750-2"/>
    <m/>
    <n v="900000"/>
    <x v="0"/>
    <d v="2021-02-10T00:00:00"/>
    <d v="2021-03-19T00:00:00"/>
    <d v="2021-04-12T00:00:00"/>
    <s v="B. Braun Medical s.r.o."/>
    <m/>
    <n v="750000"/>
    <n v="862499.99999999988"/>
    <m/>
    <m/>
    <m/>
    <d v="2021-04-13T00:00:00"/>
    <s v="SMLN-2021-617-000155_x000a_SMLN-2021-614-000023_x000a_SMLN-2021-616-000032"/>
    <x v="56"/>
    <d v="2021-06-08T00:00:00"/>
    <d v="2024-05-09T00:00:00"/>
  </r>
  <r>
    <d v="2021-01-22T00:00:00"/>
    <s v="VZ-2021-000055"/>
    <x v="1"/>
    <s v="Dočkalová"/>
    <x v="77"/>
    <m/>
    <m/>
    <m/>
    <s v="33140000-3"/>
    <m/>
    <n v="764400"/>
    <x v="2"/>
    <d v="2021-01-26T00:00:00"/>
    <d v="2021-02-04T00:00:00"/>
    <d v="2021-02-22T00:00:00"/>
    <s v="Edwards Lifesciences Czech Republic s.r.o."/>
    <m/>
    <n v="764400"/>
    <n v="924924"/>
    <m/>
    <m/>
    <m/>
    <d v="2021-02-22T00:00:00"/>
    <s v="SMLN-2021-617-000080"/>
    <x v="25"/>
    <d v="2021-03-12T00:00:00"/>
    <d v="2023-03-09T00:00:00"/>
  </r>
  <r>
    <d v="2021-01-25T00:00:00"/>
    <s v="VZ-2021-000057"/>
    <x v="11"/>
    <s v="Rosulek"/>
    <x v="78"/>
    <m/>
    <m/>
    <m/>
    <s v="33123000-8"/>
    <s v="2.3.492."/>
    <n v="26070000"/>
    <x v="0"/>
    <d v="2021-01-27T00:00:00"/>
    <d v="2021-03-04T00:00:00"/>
    <d v="2021-03-15T00:00:00"/>
    <s v="BIOMEDICA ČS, s.r.o."/>
    <m/>
    <n v="26069957.5"/>
    <n v="31544648.579999998"/>
    <m/>
    <m/>
    <m/>
    <d v="2021-03-16T00:00:00"/>
    <s v="SMLN-2021-617-000111_x000a_SMLN-2021-612-000011_x000a_SMLN-2021-617-000112"/>
    <x v="57"/>
    <d v="2021-05-03T00:00:00"/>
    <d v="2021-07-02T00:00:00"/>
  </r>
  <r>
    <d v="2021-01-22T00:00:00"/>
    <s v="VZ-2021-000058"/>
    <x v="1"/>
    <s v="Dočkalová"/>
    <x v="79"/>
    <n v="1"/>
    <s v="Somasenzory INVOS pro dospělé a novorozence"/>
    <m/>
    <s v="33140000-3"/>
    <m/>
    <n v="331200"/>
    <x v="2"/>
    <d v="2021-01-27T00:00:00"/>
    <d v="2021-02-05T00:00:00"/>
    <d v="2021-02-22T00:00:00"/>
    <s v="Medtronic Czechia s.r.o."/>
    <m/>
    <n v="331200"/>
    <n v="400752"/>
    <m/>
    <m/>
    <m/>
    <d v="2021-02-23T00:00:00"/>
    <s v="SMLN-2021-617-000081"/>
    <x v="38"/>
    <d v="2021-03-19T00:00:00"/>
    <d v="2023-03-14T00:00:00"/>
  </r>
  <r>
    <d v="2021-01-22T00:00:00"/>
    <s v="VZ-2021-000058"/>
    <x v="1"/>
    <s v="Dočkalová"/>
    <x v="79"/>
    <n v="2"/>
    <s v="Senzory Fore-sight ELITE dual velký"/>
    <m/>
    <s v="33140000-3"/>
    <m/>
    <n v="542640"/>
    <x v="2"/>
    <d v="2021-01-27T00:00:00"/>
    <d v="2021-02-05T00:00:00"/>
    <d v="2021-02-22T00:00:00"/>
    <s v="Edwards Lifesciences Czech Republic s.r.o."/>
    <m/>
    <n v="542640"/>
    <n v="656594"/>
    <m/>
    <m/>
    <m/>
    <d v="2021-02-23T00:00:00"/>
    <s v="SMLN-2021-617-000082"/>
    <x v="20"/>
    <d v="2021-03-24T00:00:00"/>
    <d v="2023-03-22T00:00:00"/>
  </r>
  <r>
    <s v="opakovaná VZ"/>
    <s v="VZ-2021-000068"/>
    <x v="1"/>
    <s v="Merta"/>
    <x v="80"/>
    <n v="1"/>
    <s v="Ablační katetry pro 3D mapování a ablaci s aktivním navigačním senzorem"/>
    <m/>
    <s v="33141200-2"/>
    <m/>
    <n v="188928000"/>
    <x v="0"/>
    <d v="2021-02-12T00:00:00"/>
    <d v="2021-04-26T00:00:00"/>
    <d v="2021-06-04T00:00:00"/>
    <s v="EP SERVICES s.r.o."/>
    <m/>
    <n v="188915700"/>
    <n v="228587997"/>
    <m/>
    <m/>
    <m/>
    <d v="2021-06-04T00:00:00"/>
    <s v="SMLN-2021-617-000284_x000a_SMLN-2021-614-000058"/>
    <x v="58"/>
    <d v="2021-07-28T00:00:00"/>
    <d v="2025-07-13T00:00:00"/>
  </r>
  <r>
    <s v="opakovaná VZ"/>
    <s v="VZ-2021-000068"/>
    <x v="1"/>
    <s v="Merta"/>
    <x v="80"/>
    <n v="2"/>
    <s v="Diagnostické katetry s proměnným zakřivením pro mapování s vysokým rozlišením - dekapolární pro mapování plicních žil"/>
    <m/>
    <s v="33141200-2"/>
    <m/>
    <n v="44550000"/>
    <x v="0"/>
    <d v="2021-02-12T00:00:00"/>
    <d v="2021-04-26T00:00:00"/>
    <d v="2021-06-04T00:00:00"/>
    <s v="EP SERVICES s.r.o."/>
    <m/>
    <n v="44550000"/>
    <n v="53905500"/>
    <m/>
    <m/>
    <m/>
    <d v="2021-06-04T00:00:00"/>
    <s v="SMLN-2021-617-000285_x000a_SMLN-2021-614-000059"/>
    <x v="58"/>
    <d v="2021-07-28T00:00:00"/>
    <d v="2025-07-13T00:00:00"/>
  </r>
  <r>
    <s v="opakovaná VZ"/>
    <s v="VZ-2021-000068"/>
    <x v="1"/>
    <s v="Merta"/>
    <x v="80"/>
    <n v="3"/>
    <s v="Diagnostické katetry s proměnným zakřivením pro mapování s vysokým rozlišením – 22-polární pro mapování komplexních arytmií"/>
    <m/>
    <s v="33141200-2"/>
    <m/>
    <n v="29719080"/>
    <x v="0"/>
    <d v="2021-02-12T00:00:00"/>
    <d v="2021-05-24T00:00:00"/>
    <m/>
    <s v="zrušeno - bez nabídky"/>
    <s v="nová VZ-2021-000536"/>
    <m/>
    <m/>
    <m/>
    <m/>
    <m/>
    <m/>
    <m/>
    <x v="6"/>
    <d v="2021-05-31T00:00:00"/>
    <s v="27.5.2021 zrušeno"/>
  </r>
  <r>
    <d v="2021-01-26T00:00:00"/>
    <s v="VZ-2021-000069"/>
    <x v="3"/>
    <s v="Zeman"/>
    <x v="81"/>
    <m/>
    <m/>
    <m/>
    <s v="71200000-0"/>
    <s v="1.2.73."/>
    <n v="850000"/>
    <x v="2"/>
    <d v="2021-02-03T00:00:00"/>
    <d v="2021-02-16T00:00:00"/>
    <d v="2021-02-26T00:00:00"/>
    <s v="EP Rožnov, a.s.."/>
    <m/>
    <n v="1047000"/>
    <n v="1266870"/>
    <m/>
    <m/>
    <m/>
    <d v="2021-02-26T00:00:00"/>
    <s v="SMLN-2021-618-000011"/>
    <x v="8"/>
    <d v="2021-03-15T00:00:00"/>
    <d v="2021-07-10T00:00:00"/>
  </r>
  <r>
    <d v="2021-02-11T00:00:00"/>
    <s v="VZ-2021-000072"/>
    <x v="12"/>
    <s v="Foks"/>
    <x v="82"/>
    <m/>
    <m/>
    <m/>
    <s v="48814000-7"/>
    <m/>
    <n v="1950000"/>
    <x v="2"/>
    <d v="2021-02-24T00:00:00"/>
    <d v="2021-03-05T00:00:00"/>
    <d v="2021-06-07T00:00:00"/>
    <s v="SEFIMA s.r.o."/>
    <m/>
    <n v="1842000"/>
    <n v="2228820"/>
    <m/>
    <m/>
    <m/>
    <d v="2021-06-07T00:00:00"/>
    <s v="SMLN-2021-618-000042_x000a_SMLN-2021-612-000046"/>
    <x v="59"/>
    <d v="2021-06-28T00:00:00"/>
    <s v="23.10.2021_x000a_servis doba neurčitá"/>
  </r>
  <r>
    <d v="2021-01-26T00:00:00"/>
    <s v="VZ-2021-000077"/>
    <x v="10"/>
    <s v="Smrčková"/>
    <x v="83"/>
    <m/>
    <m/>
    <m/>
    <s v="39120000-9"/>
    <m/>
    <n v="1400000"/>
    <x v="2"/>
    <d v="2021-01-28T00:00:00"/>
    <d v="2021-02-12T00:00:00"/>
    <d v="2021-02-18T00:00:00"/>
    <s v="Roman Lébl"/>
    <m/>
    <n v="921700"/>
    <n v="1115257"/>
    <m/>
    <m/>
    <m/>
    <d v="2021-02-18T00:00:00"/>
    <s v="SMLN-2021-618-000009"/>
    <x v="22"/>
    <d v="2021-03-22T00:00:00"/>
    <m/>
  </r>
  <r>
    <d v="2021-01-22T00:00:00"/>
    <s v="VZ-2021-000088"/>
    <x v="1"/>
    <s v="Dočkalová"/>
    <x v="84"/>
    <m/>
    <m/>
    <m/>
    <s v="33162200-5"/>
    <m/>
    <n v="9596059.4900000002"/>
    <x v="0"/>
    <d v="2021-02-03T00:00:00"/>
    <d v="2021-03-08T00:00:00"/>
    <d v="2021-03-17T00:00:00"/>
    <s v="Johnson  &amp; Johnson s.r.o."/>
    <m/>
    <n v="9595654"/>
    <n v="11610741.34"/>
    <m/>
    <m/>
    <m/>
    <d v="2021-03-17T00:00:00"/>
    <s v="SMLN-2021-617-000115_x000a_SMLN-2021-617-000116_x000a_SMLN-2021-614-000014"/>
    <x v="60"/>
    <d v="2021-05-03T00:00:00"/>
    <d v="2023-04-25T00:00:00"/>
  </r>
  <r>
    <d v="2021-02-01T00:00:00"/>
    <s v="VZ-2021-000092"/>
    <x v="13"/>
    <s v="Cáhlíková"/>
    <x v="85"/>
    <m/>
    <m/>
    <m/>
    <s v="72225000-8"/>
    <m/>
    <n v="200000"/>
    <x v="2"/>
    <d v="2021-02-03T00:00:00"/>
    <d v="2021-02-11T00:00:00"/>
    <d v="2021-02-18T00:00:00"/>
    <s v="Česká společnosti pro akreditaci ve zdravotnictví s.r.o."/>
    <m/>
    <n v="182000"/>
    <n v="220220"/>
    <m/>
    <m/>
    <m/>
    <d v="2021-02-18T00:00:00"/>
    <s v="SMLN-2021-612-000007"/>
    <x v="38"/>
    <d v="2021-03-16T00:00:00"/>
    <d v="2021-06-13T00:00:00"/>
  </r>
  <r>
    <d v="2021-02-02T00:00:00"/>
    <s v="VZ-2021-000096"/>
    <x v="4"/>
    <s v="Srovnal"/>
    <x v="86"/>
    <m/>
    <m/>
    <m/>
    <s v="71314000-2"/>
    <m/>
    <n v="350000"/>
    <x v="2"/>
    <d v="2021-02-25T00:00:00"/>
    <d v="2021-03-10T00:00:00"/>
    <d v="2021-03-23T00:00:00"/>
    <s v="EkoWATT CZ s.r.o."/>
    <m/>
    <n v="134845"/>
    <n v="163162.45000000001"/>
    <m/>
    <m/>
    <m/>
    <d v="2021-03-23T00:00:00"/>
    <s v="SMLN-2021-612-000015"/>
    <x v="61"/>
    <d v="2021-04-23T00:00:00"/>
    <d v="2021-09-29T00:00:00"/>
  </r>
  <r>
    <d v="2021-01-21T00:00:00"/>
    <s v="VZ-2021-000099"/>
    <x v="2"/>
    <s v="Rosulek"/>
    <x v="87"/>
    <m/>
    <m/>
    <m/>
    <s v="38000000-5"/>
    <s v="2.2.274."/>
    <n v="8400000"/>
    <x v="0"/>
    <d v="2021-02-26T00:00:00"/>
    <d v="2021-06-14T00:00:00"/>
    <d v="2021-07-14T00:00:00"/>
    <s v="TRIOS, spol. s  r.o."/>
    <m/>
    <n v="9080036"/>
    <n v="10986843.560000001"/>
    <m/>
    <m/>
    <m/>
    <d v="2021-07-21T00:00:00"/>
    <s v="SMLN-2021-617-000383_x000a_SMLN-2021-612-000071_x000a_SMLN-2021-617-000384"/>
    <x v="62"/>
    <d v="2021-09-02T00:00:00"/>
    <d v="2022-02-14T00:00:00"/>
  </r>
  <r>
    <s v="opakovaná VZ"/>
    <s v="VZ-2021-000100"/>
    <x v="1"/>
    <s v="Merta"/>
    <x v="88"/>
    <n v="1"/>
    <s v="Implantabilní neurostimulační systém dvoukanálový k léčbě bolestivých stavů - MRI kompatibilní - nedobíjitelný"/>
    <m/>
    <s v="33158210-7"/>
    <m/>
    <n v="38800000"/>
    <x v="0"/>
    <d v="2021-02-26T00:00:00"/>
    <d v="2021-04-22T00:00:00"/>
    <d v="2021-05-11T00:00:00"/>
    <s v="MEDIFINE a.s."/>
    <m/>
    <n v="38794688"/>
    <n v="44793519"/>
    <m/>
    <m/>
    <m/>
    <d v="2021-05-12T00:00:00"/>
    <s v="SMLN-2021-617-000221_x000a_SMLN-2021-614-000037_x000a_SMLN-2021-616-000039"/>
    <x v="53"/>
    <d v="2021-06-08T00:00:00"/>
    <s v="doba neurčitá"/>
  </r>
  <r>
    <s v="opakovaná VZ"/>
    <s v="VZ-2021-000100"/>
    <x v="1"/>
    <s v="Merta"/>
    <x v="88"/>
    <n v="2"/>
    <s v="Implantabilní neurostimulační systém dvoukanálový k léčbě bolestivých stavů - MRI kompatibilní - dobíjitelný"/>
    <m/>
    <s v="33158210-7"/>
    <m/>
    <n v="7344000"/>
    <x v="0"/>
    <d v="2021-02-26T00:00:00"/>
    <d v="2021-04-22T00:00:00"/>
    <d v="2021-05-11T00:00:00"/>
    <s v="MEDIFINE a.s."/>
    <m/>
    <n v="7340860.9199999999"/>
    <n v="8458339.5600000005"/>
    <m/>
    <m/>
    <m/>
    <d v="2021-05-12T00:00:00"/>
    <s v="SMLN-2021-617-000222_x000a_SMLN-2021-614-000037_x000a_SMLN-2021-616-000039"/>
    <x v="53"/>
    <d v="2021-06-08T00:00:00"/>
    <s v="doba neurčitá"/>
  </r>
  <r>
    <s v="opakovaná VZ"/>
    <s v="VZ-2021-000100"/>
    <x v="1"/>
    <s v="Merta"/>
    <x v="88"/>
    <n v="3"/>
    <s v="Implantabilní programovatelné lékové pumpy"/>
    <m/>
    <s v="33158210-7"/>
    <m/>
    <n v="11816000"/>
    <x v="0"/>
    <d v="2021-02-26T00:00:00"/>
    <d v="2021-04-22T00:00:00"/>
    <d v="2021-05-11T00:00:00"/>
    <s v="MEDIFINE a.s."/>
    <m/>
    <n v="11805145.800000001"/>
    <n v="13631965.199999999"/>
    <m/>
    <m/>
    <m/>
    <d v="2021-05-12T00:00:00"/>
    <s v="SMLN-2021-617-000223_x000a_SMLN-2021-614-000037_x000a_SMLN-2021-616-000039"/>
    <x v="53"/>
    <d v="2021-06-08T00:00:00"/>
    <s v="doba neurčitá"/>
  </r>
  <r>
    <d v="2021-02-05T00:00:00"/>
    <s v="VZ-2021-000103"/>
    <x v="8"/>
    <s v="Kadlec"/>
    <x v="89"/>
    <m/>
    <m/>
    <m/>
    <s v="45421100-5"/>
    <m/>
    <n v="300000"/>
    <x v="2"/>
    <d v="2021-02-10T00:00:00"/>
    <d v="2021-02-18T00:00:00"/>
    <d v="2021-03-08T00:00:00"/>
    <s v="JMK elektro, s.r.o."/>
    <s v="nová VZ-2021-000287"/>
    <n v="239680.46"/>
    <n v="290013.3566"/>
    <m/>
    <m/>
    <m/>
    <d v="2021-03-08T00:00:00"/>
    <s v="SMLN-2021-618-000012"/>
    <x v="6"/>
    <d v="2021-03-29T00:00:00"/>
    <m/>
  </r>
  <r>
    <d v="2021-02-05T00:00:00"/>
    <s v="VZ-2021-000104"/>
    <x v="11"/>
    <s v="Rosulek"/>
    <x v="90"/>
    <n v="1"/>
    <s v="Prokládací chemodezinfektor pro Plicní kliniku"/>
    <m/>
    <s v="33191000-5"/>
    <s v="2.3.451."/>
    <n v="2400000"/>
    <x v="1"/>
    <d v="2021-02-11T00:00:00"/>
    <d v="2021-03-01T00:00:00"/>
    <d v="2021-04-08T00:00:00"/>
    <s v="Medinet, s.r.o."/>
    <m/>
    <n v="2285050"/>
    <n v="2764910.5"/>
    <m/>
    <m/>
    <m/>
    <d v="2021-04-08T00:00:00"/>
    <s v="SMLN-2021-617-000138_x000a_SMLN-2021-612-000023_x000a_SMLN-2021-617-000139"/>
    <x v="63"/>
    <d v="2021-05-11T00:00:00"/>
    <d v="2021-07-22T00:00:00"/>
  </r>
  <r>
    <d v="2021-02-05T00:00:00"/>
    <s v="VZ-2021-000104"/>
    <x v="11"/>
    <s v="Rosulek"/>
    <x v="90"/>
    <n v="2"/>
    <s v="Chemodezinfektor pro Dětskou kliniku"/>
    <m/>
    <s v="33191000-5"/>
    <s v="2.3.462."/>
    <n v="1094000"/>
    <x v="1"/>
    <d v="2021-02-11T00:00:00"/>
    <d v="2021-03-01T00:00:00"/>
    <d v="2021-04-08T00:00:00"/>
    <s v="Medinet, s.r.o."/>
    <m/>
    <n v="848615"/>
    <n v="1026824.15"/>
    <m/>
    <m/>
    <m/>
    <d v="2021-04-08T00:00:00"/>
    <s v="SMLN-2021-617-000140_x000a_SMLN-2021-612-000023_x000a_SMLN-2021-617-000141"/>
    <x v="63"/>
    <d v="2021-05-11T00:00:00"/>
    <d v="2021-07-22T00:00:00"/>
  </r>
  <r>
    <s v="opakovaná VZ"/>
    <s v="VZ-2021-000105"/>
    <x v="3"/>
    <s v="Valíček"/>
    <x v="91"/>
    <m/>
    <m/>
    <m/>
    <s v="71000000-8"/>
    <s v="6.1."/>
    <n v="62500000"/>
    <x v="0"/>
    <d v="2021-06-08T00:00:00"/>
    <d v="2021-07-26T00:00:00"/>
    <d v="2021-07-30T00:00:00"/>
    <s v="LT PROJEKT a.s."/>
    <m/>
    <n v="53990000"/>
    <n v="65327900"/>
    <m/>
    <m/>
    <m/>
    <d v="2021-07-30T00:00:00"/>
    <s v="SMLN-2021-612-000080"/>
    <x v="64"/>
    <d v="2021-11-23T00:00:00"/>
    <m/>
  </r>
  <r>
    <d v="2021-02-10T00:00:00"/>
    <s v="VZ-2021-000119"/>
    <x v="1"/>
    <s v="Valtová"/>
    <x v="92"/>
    <m/>
    <m/>
    <m/>
    <s v="33140000-3"/>
    <m/>
    <n v="2425000"/>
    <x v="1"/>
    <d v="2021-02-15T00:00:00"/>
    <d v="2021-03-10T00:00:00"/>
    <d v="2021-03-15T00:00:00"/>
    <s v="Medtronic Czechia s.r.o."/>
    <m/>
    <n v="2425000"/>
    <n v="2934250"/>
    <m/>
    <m/>
    <m/>
    <d v="2021-03-16T00:00:00"/>
    <s v="SMLN-2021-617-000110_x000a_SMLN-2021-614-000013"/>
    <x v="33"/>
    <d v="2021-04-19T00:00:00"/>
    <d v="2023-04-13T00:00:00"/>
  </r>
  <r>
    <d v="2021-02-10T00:00:00"/>
    <s v="VZ-2021-000120"/>
    <x v="1"/>
    <s v="Valtová"/>
    <x v="93"/>
    <m/>
    <m/>
    <m/>
    <s v="33140000-3"/>
    <m/>
    <n v="1250000"/>
    <x v="2"/>
    <d v="2021-02-15T00:00:00"/>
    <d v="2021-02-23T00:00:00"/>
    <d v="2021-11-15T00:00:00"/>
    <s v="Medtronic Czechia s.r.o."/>
    <m/>
    <n v="1250000"/>
    <n v="1512500"/>
    <m/>
    <m/>
    <m/>
    <d v="2021-11-15T00:00:00"/>
    <s v="SMLN-2021-617-000656_x000a_SMLN-2021-614-000115"/>
    <x v="65"/>
    <d v="2021-12-09T00:00:00"/>
    <d v="2023-12-06T00:00:00"/>
  </r>
  <r>
    <d v="2021-02-11T00:00:00"/>
    <s v="VZ-2021-000121"/>
    <x v="11"/>
    <s v="Rosulek"/>
    <x v="94"/>
    <n v="1"/>
    <s v="Vrtačka s elektrickým akumulátorovým pohonem - TRAUMATOLOGIE"/>
    <m/>
    <s v="33160000-9"/>
    <s v="2.2.272."/>
    <n v="400000"/>
    <x v="2"/>
    <d v="2021-02-15T00:00:00"/>
    <d v="2021-02-26T00:00:00"/>
    <d v="2021-05-05T00:00:00"/>
    <s v="RADIX CZ s.r.o."/>
    <m/>
    <n v="361998"/>
    <n v="438017.58"/>
    <m/>
    <m/>
    <m/>
    <d v="2021-05-06T00:00:00"/>
    <s v="SMLN-2021-617-000201_x000a_SMLN-2021-612-000030"/>
    <x v="66"/>
    <d v="2021-06-14T00:00:00"/>
    <d v="2021-08-06T00:00:00"/>
  </r>
  <r>
    <d v="2021-02-11T00:00:00"/>
    <s v="VZ-2021-000121"/>
    <x v="11"/>
    <s v="Rosulek"/>
    <x v="94"/>
    <n v="2"/>
    <s v="Vrtací / pilové vzduchem poháněné jednotky - COSS, ORTOPEDIE"/>
    <m/>
    <s v="33160000-9"/>
    <s v="2.3.488., 2.3.500."/>
    <n v="508220"/>
    <x v="2"/>
    <d v="2021-02-15T00:00:00"/>
    <d v="2021-02-26T00:00:00"/>
    <d v="2021-03-19T00:00:00"/>
    <s v="Johnson  &amp; Johnson s.r.o."/>
    <m/>
    <n v="451232"/>
    <n v="545990.72"/>
    <m/>
    <m/>
    <m/>
    <d v="2021-03-19T00:00:00"/>
    <s v="SMLN-2021-617-000121_x000a_SMLN-2021-612-000013"/>
    <x v="57"/>
    <d v="2021-05-07T00:00:00"/>
    <d v="2021-06-04T00:00:00"/>
  </r>
  <r>
    <d v="2021-02-09T00:00:00"/>
    <s v="VZ-2021-000130"/>
    <x v="0"/>
    <s v="Ondráčková"/>
    <x v="95"/>
    <n v="1"/>
    <s v="Imatinib pro indikaci GIST"/>
    <m/>
    <s v="33652000-5"/>
    <m/>
    <n v="28008028"/>
    <x v="0"/>
    <d v="2021-02-23T00:00:00"/>
    <d v="2021-04-13T00:00:00"/>
    <d v="2021-05-21T00:00:00"/>
    <s v="Alliance Healthcare s.r.o."/>
    <m/>
    <n v="28008026.879999999"/>
    <n v="30808829.57"/>
    <m/>
    <m/>
    <m/>
    <d v="2021-05-21T00:00:00"/>
    <s v="SMLN-2021-617-000250"/>
    <x v="19"/>
    <d v="2021-06-16T00:00:00"/>
    <d v="2024-06-09T00:00:00"/>
  </r>
  <r>
    <d v="2021-02-09T00:00:00"/>
    <s v="VZ-2021-000130"/>
    <x v="0"/>
    <s v="Ondráčková"/>
    <x v="95"/>
    <n v="2"/>
    <s v="NILOTINIB"/>
    <m/>
    <s v="33652000-5"/>
    <m/>
    <n v="20218545"/>
    <x v="0"/>
    <d v="2021-02-23T00:00:00"/>
    <d v="2021-04-13T00:00:00"/>
    <d v="2021-05-06T00:00:00"/>
    <s v="Alliance Healthcare s.r.o."/>
    <m/>
    <n v="20218544.399999999"/>
    <n v="22240398.84"/>
    <m/>
    <m/>
    <m/>
    <d v="2021-05-06T00:00:00"/>
    <s v="SMLN-2021-617-000209"/>
    <x v="43"/>
    <d v="2021-06-01T00:00:00"/>
    <d v="2024-05-25T00:00:00"/>
  </r>
  <r>
    <d v="2021-02-09T00:00:00"/>
    <s v="VZ-2021-000130"/>
    <x v="0"/>
    <s v="Ondráčková"/>
    <x v="95"/>
    <n v="3"/>
    <s v="KABOZANTINIB "/>
    <m/>
    <s v="33652000-5"/>
    <m/>
    <n v="7757532"/>
    <x v="0"/>
    <d v="2021-02-23T00:00:00"/>
    <d v="2021-04-13T00:00:00"/>
    <m/>
    <s v="zrušeno - bez nabídky"/>
    <s v="nová VZ-2021-000814"/>
    <m/>
    <m/>
    <m/>
    <m/>
    <m/>
    <m/>
    <m/>
    <x v="6"/>
    <d v="2021-06-01T00:00:00"/>
    <s v="4.5.2021 zrušeno"/>
  </r>
  <r>
    <d v="2021-02-09T00:00:00"/>
    <s v="VZ-2021-000130"/>
    <x v="0"/>
    <s v="Ondráčková"/>
    <x v="95"/>
    <n v="4"/>
    <s v="CERITINIB"/>
    <m/>
    <s v="33652000-5"/>
    <m/>
    <n v="4652062"/>
    <x v="0"/>
    <d v="2021-02-23T00:00:00"/>
    <d v="2021-04-13T00:00:00"/>
    <d v="2021-05-06T00:00:00"/>
    <s v="Alliance Healthcare s.r.o."/>
    <m/>
    <n v="4125831.6"/>
    <n v="4538414.76"/>
    <m/>
    <m/>
    <m/>
    <d v="2021-05-06T00:00:00"/>
    <s v="SMLN-2021-617-000210"/>
    <x v="43"/>
    <d v="2021-06-01T00:00:00"/>
    <d v="2024-05-25T00:00:00"/>
  </r>
  <r>
    <d v="2021-02-09T00:00:00"/>
    <s v="VZ-2021-000130"/>
    <x v="0"/>
    <s v="Ondráčková"/>
    <x v="95"/>
    <n v="5"/>
    <s v="LORLATINIB"/>
    <m/>
    <s v="33652000-5"/>
    <m/>
    <n v="6760421"/>
    <x v="0"/>
    <d v="2021-02-23T00:00:00"/>
    <d v="2021-04-13T00:00:00"/>
    <d v="2021-05-06T00:00:00"/>
    <s v="PHOENIX lék.velkoobchod, s.r.o."/>
    <m/>
    <n v="5709196.9199999999"/>
    <n v="6280116.6100000003"/>
    <m/>
    <m/>
    <m/>
    <d v="2021-05-06T00:00:00"/>
    <s v="SMLN-2021-617-000211"/>
    <x v="67"/>
    <d v="2021-06-16T00:00:00"/>
    <d v="2024-06-02T00:00:00"/>
  </r>
  <r>
    <d v="2021-02-15T00:00:00"/>
    <s v="VZ-2021-000132"/>
    <x v="5"/>
    <s v="Oravec"/>
    <x v="96"/>
    <m/>
    <m/>
    <m/>
    <s v="30231310-3"/>
    <m/>
    <n v="1160000"/>
    <x v="2"/>
    <d v="2021-02-18T00:00:00"/>
    <d v="2021-03-02T00:00:00"/>
    <d v="2021-03-04T00:00:00"/>
    <s v="Charita Opava"/>
    <m/>
    <n v="1312020"/>
    <n v="1587544.2"/>
    <m/>
    <m/>
    <m/>
    <d v="2021-03-04T00:00:00"/>
    <s v="SMLN-2021-617-000101"/>
    <x v="68"/>
    <d v="2021-03-18T00:00:00"/>
    <d v="2022-03-16T00:00:00"/>
  </r>
  <r>
    <d v="2021-02-09T00:00:00"/>
    <s v="VZ-2021-000133"/>
    <x v="0"/>
    <s v="Ondráčková"/>
    <x v="97"/>
    <n v="1"/>
    <s v="INTERFERON ALFA-2B"/>
    <m/>
    <s v="33652000-5"/>
    <m/>
    <n v="2968517"/>
    <x v="0"/>
    <d v="2021-02-23T00:00:00"/>
    <d v="2021-03-29T00:00:00"/>
    <m/>
    <s v="zrušeno - bez nabídky"/>
    <m/>
    <m/>
    <m/>
    <m/>
    <m/>
    <m/>
    <m/>
    <m/>
    <x v="6"/>
    <d v="2021-04-20T00:00:00"/>
    <s v="19.4.2021 zrušeno"/>
  </r>
  <r>
    <d v="2021-02-09T00:00:00"/>
    <s v="VZ-2021-000133"/>
    <x v="0"/>
    <s v="Ondráčková"/>
    <x v="97"/>
    <n v="2"/>
    <s v="INTERFERON BETA-1A I."/>
    <m/>
    <s v="33652000-5"/>
    <m/>
    <n v="73696560"/>
    <x v="0"/>
    <d v="2021-02-23T00:00:00"/>
    <d v="2021-03-29T00:00:00"/>
    <m/>
    <s v="zrušeno - bez nabídky"/>
    <s v="nová VZ-2021-000345"/>
    <m/>
    <m/>
    <m/>
    <m/>
    <m/>
    <m/>
    <m/>
    <x v="6"/>
    <d v="2021-04-20T00:00:00"/>
    <s v="19.4.2021 zrušeno"/>
  </r>
  <r>
    <d v="2021-02-09T00:00:00"/>
    <s v="VZ-2021-000133"/>
    <x v="0"/>
    <s v="Ondráčková"/>
    <x v="97"/>
    <n v="3"/>
    <s v="INTERFERON BETA-1A II."/>
    <m/>
    <s v="33652000-5"/>
    <m/>
    <n v="58973556"/>
    <x v="0"/>
    <d v="2021-02-23T00:00:00"/>
    <d v="2021-03-29T00:00:00"/>
    <d v="2021-04-23T00:00:00"/>
    <s v="Avenier a.s."/>
    <m/>
    <n v="58952002.5"/>
    <n v="64847202.75"/>
    <m/>
    <m/>
    <m/>
    <d v="2021-04-23T00:00:00"/>
    <s v="SMLN-2021-617-000175"/>
    <x v="69"/>
    <d v="2021-05-27T00:00:00"/>
    <d v="2024-05-12T00:00:00"/>
  </r>
  <r>
    <d v="2021-02-09T00:00:00"/>
    <s v="VZ-2021-000133"/>
    <x v="0"/>
    <s v="Ondráčková"/>
    <x v="97"/>
    <n v="4"/>
    <s v="ROPEGINTERFERON ALFA-2B"/>
    <m/>
    <s v="33652000-5"/>
    <m/>
    <n v="35710072"/>
    <x v="0"/>
    <d v="2021-02-23T00:00:00"/>
    <d v="2021-03-29T00:00:00"/>
    <d v="2021-04-23T00:00:00"/>
    <s v="Alliance Healthcare s.r.o."/>
    <m/>
    <n v="35710071.600000001"/>
    <n v="39281078.759999998"/>
    <m/>
    <m/>
    <m/>
    <d v="2021-04-23T00:00:00"/>
    <s v="SMLN-2021-617-000176"/>
    <x v="31"/>
    <d v="2021-05-27T00:00:00"/>
    <d v="2028-05-19T00:00:00"/>
  </r>
  <r>
    <d v="2021-02-12T00:00:00"/>
    <s v="VZ-2021-000134"/>
    <x v="2"/>
    <s v="Rosulek"/>
    <x v="98"/>
    <m/>
    <m/>
    <m/>
    <s v="33127000-6"/>
    <s v="2.3.452."/>
    <n v="3150000"/>
    <x v="1"/>
    <d v="2021-02-25T00:00:00"/>
    <d v="2021-03-16T00:00:00"/>
    <m/>
    <s v="zrušeno - bez nabídky"/>
    <s v="nová VZ-2021-000238"/>
    <m/>
    <m/>
    <m/>
    <m/>
    <m/>
    <m/>
    <m/>
    <x v="6"/>
    <d v="2021-03-18T00:00:00"/>
    <m/>
  </r>
  <r>
    <s v="opakovaná VZ"/>
    <s v="VZ-2021-000140"/>
    <x v="3"/>
    <s v="Spáčil"/>
    <x v="99"/>
    <m/>
    <m/>
    <m/>
    <s v="45215100-8"/>
    <s v="1.3.25."/>
    <n v="106000000"/>
    <x v="0"/>
    <d v="2021-03-04T00:00:00"/>
    <d v="2021-04-30T00:00:00"/>
    <d v="2021-05-07T00:00:00"/>
    <s v="OHL ŽS, a.s."/>
    <m/>
    <n v="94489096.840000004"/>
    <n v="114331807.18000001"/>
    <m/>
    <m/>
    <m/>
    <d v="2021-05-07T00:00:00"/>
    <s v="SMLN-2021-618-000027"/>
    <x v="70"/>
    <d v="2021-06-17T00:00:00"/>
    <d v="2022-04-20T00:00:00"/>
  </r>
  <r>
    <s v="opakovaná VZ"/>
    <s v="VZ-2021-000144"/>
    <x v="4"/>
    <s v="Srovnal"/>
    <x v="100"/>
    <m/>
    <m/>
    <m/>
    <s v="50411100-0"/>
    <m/>
    <n v="3000000"/>
    <x v="1"/>
    <d v="2021-02-22T00:00:00"/>
    <d v="2021-03-11T00:00:00"/>
    <d v="2021-03-25T00:00:00"/>
    <s v="ELMAR group s.r.o."/>
    <m/>
    <n v="2463200"/>
    <n v="2980472"/>
    <m/>
    <m/>
    <m/>
    <d v="2021-03-25T00:00:00"/>
    <s v="SMLN-2021-618-000015"/>
    <x v="71"/>
    <d v="2021-05-21T00:00:00"/>
    <d v="2021-07-14T00:00:00"/>
  </r>
  <r>
    <d v="2021-02-17T00:00:00"/>
    <s v="VZ-2021-000147"/>
    <x v="1"/>
    <s v="Dočkalová"/>
    <x v="101"/>
    <m/>
    <m/>
    <m/>
    <s v="33141200-2"/>
    <m/>
    <n v="2590000"/>
    <x v="1"/>
    <d v="2021-02-22T00:00:00"/>
    <d v="2021-03-11T00:00:00"/>
    <d v="2021-03-17T00:00:00"/>
    <s v="IMEDEX s.r.o."/>
    <m/>
    <n v="2590000"/>
    <n v="3133900"/>
    <m/>
    <m/>
    <m/>
    <d v="2021-03-17T00:00:00"/>
    <s v="SMLN-2021-617-000117"/>
    <x v="61"/>
    <d v="2021-04-26T00:00:00"/>
    <d v="2023-05-16T00:00:00"/>
  </r>
  <r>
    <d v="2021-02-18T00:00:00"/>
    <s v="VZ-2021-000148"/>
    <x v="2"/>
    <s v="Rosulek"/>
    <x v="102"/>
    <m/>
    <m/>
    <m/>
    <s v="33155000-1"/>
    <s v="2.2.308, 2.2.309"/>
    <n v="348000"/>
    <x v="2"/>
    <d v="2021-02-22T00:00:00"/>
    <d v="2021-03-05T00:00:00"/>
    <m/>
    <s v="zrušeno - překročení ceny"/>
    <s v="nová VZ-2021-000329"/>
    <m/>
    <m/>
    <m/>
    <m/>
    <m/>
    <m/>
    <m/>
    <x v="6"/>
    <d v="2021-03-08T00:00:00"/>
    <m/>
  </r>
  <r>
    <d v="2021-02-19T00:00:00"/>
    <s v="VZ-2021-000153"/>
    <x v="4"/>
    <s v="Srovnal"/>
    <x v="103"/>
    <m/>
    <m/>
    <m/>
    <s v="42123000-7"/>
    <m/>
    <n v="450000"/>
    <x v="2"/>
    <d v="2021-02-24T00:00:00"/>
    <d v="2021-03-10T00:00:00"/>
    <d v="2021-03-12T00:00:00"/>
    <s v="Dräger Medical s.r.o."/>
    <m/>
    <n v="458566"/>
    <n v="554864.86"/>
    <m/>
    <m/>
    <m/>
    <d v="2021-03-12T00:00:00"/>
    <s v="SMLN-2021-617-000106"/>
    <x v="39"/>
    <d v="2021-03-30T00:00:00"/>
    <d v="2021-05-24T00:00:00"/>
  </r>
  <r>
    <s v="opakovaná VZ"/>
    <s v="VZ-2021-000161"/>
    <x v="2"/>
    <s v="Rosulek"/>
    <x v="104"/>
    <m/>
    <m/>
    <m/>
    <s v="33155000-1"/>
    <s v="2.3.464."/>
    <n v="727000"/>
    <x v="2"/>
    <d v="2021-03-02T00:00:00"/>
    <d v="2021-03-12T00:00:00"/>
    <d v="2021-06-24T00:00:00"/>
    <s v="Kurka.Med s.r.o."/>
    <m/>
    <n v="837419"/>
    <n v="940749.59"/>
    <m/>
    <m/>
    <m/>
    <d v="2021-06-24T00:00:00"/>
    <s v="SMLN-2021-617-000333_x000a_SMLN-2021-612-000062_x000a_SMLN-2021-617-000335"/>
    <x v="72"/>
    <d v="2021-07-27T00:00:00"/>
    <d v="2021-09-16T00:00:00"/>
  </r>
  <r>
    <d v="2021-02-23T00:00:00"/>
    <s v="VZ-2021-000162"/>
    <x v="5"/>
    <s v="Oravec"/>
    <x v="105"/>
    <m/>
    <m/>
    <m/>
    <s v="30232110-8, 30232120-1"/>
    <m/>
    <n v="851900"/>
    <x v="2"/>
    <d v="2021-02-26T00:00:00"/>
    <d v="2021-03-10T00:00:00"/>
    <m/>
    <s v="zrušeno - upravit zadání"/>
    <s v="nová VZ-2021-000392"/>
    <m/>
    <m/>
    <m/>
    <m/>
    <m/>
    <m/>
    <m/>
    <x v="6"/>
    <d v="2021-03-08T00:00:00"/>
    <m/>
  </r>
  <r>
    <d v="2021-02-22T00:00:00"/>
    <s v="VZ-2021-000165"/>
    <x v="1"/>
    <s v="Valtová"/>
    <x v="106"/>
    <m/>
    <m/>
    <m/>
    <s v="33140000-3"/>
    <m/>
    <n v="3260870"/>
    <x v="0"/>
    <d v="2021-02-26T00:00:00"/>
    <d v="2021-04-01T00:00:00"/>
    <d v="2021-04-13T00:00:00"/>
    <s v="INLAB Medical, s.r.o."/>
    <m/>
    <n v="3260400"/>
    <n v="3749460"/>
    <m/>
    <m/>
    <m/>
    <d v="2021-04-13T00:00:00"/>
    <s v="SMLN-2021-617-000150_x000a_SMLN-2021-614-000019"/>
    <x v="73"/>
    <d v="2021-05-10T00:00:00"/>
    <d v="2023-05-04T00:00:00"/>
  </r>
  <r>
    <d v="2021-02-23T00:00:00"/>
    <s v="VZ-2021-000167"/>
    <x v="1"/>
    <s v="Dočkalová"/>
    <x v="107"/>
    <m/>
    <m/>
    <m/>
    <s v="33140000-3"/>
    <m/>
    <n v="1772680"/>
    <x v="2"/>
    <d v="2021-02-26T00:00:00"/>
    <d v="2021-03-10T00:00:00"/>
    <d v="2021-03-15T00:00:00"/>
    <s v="ADYTON s.r.o."/>
    <m/>
    <n v="1772680"/>
    <n v="2038582"/>
    <m/>
    <m/>
    <m/>
    <d v="2021-03-15T00:00:00"/>
    <s v="SMLN-2021-617-000109_x000a_SMLN-2021-614-000012"/>
    <x v="16"/>
    <d v="2021-04-06T00:00:00"/>
    <d v="2023-03-30T00:00:00"/>
  </r>
  <r>
    <d v="2021-02-22T00:00:00"/>
    <s v="VZ-2021-000174"/>
    <x v="1"/>
    <s v="Valtová"/>
    <x v="108"/>
    <m/>
    <m/>
    <m/>
    <s v="33140000-3"/>
    <m/>
    <n v="7302500"/>
    <x v="0"/>
    <d v="2021-02-26T00:00:00"/>
    <d v="2021-04-01T00:00:00"/>
    <d v="2021-05-04T00:00:00"/>
    <s v="INLAB Medical, s.r.o."/>
    <m/>
    <n v="7302500"/>
    <n v="8440475"/>
    <m/>
    <m/>
    <m/>
    <d v="2021-05-04T00:00:00"/>
    <s v="SMLN-2021-617-000197_x000a_SMLN-2021-614-000033"/>
    <x v="74"/>
    <d v="2021-06-02T00:00:00"/>
    <d v="2023-05-27T00:00:00"/>
  </r>
  <r>
    <d v="2021-02-17T00:00:00"/>
    <s v="VZ-2021-000175"/>
    <x v="2"/>
    <s v="Rosulek"/>
    <x v="109"/>
    <m/>
    <m/>
    <m/>
    <s v="38432200-4_x000a_38433100-0"/>
    <s v="2.3.484."/>
    <n v="9350000"/>
    <x v="0"/>
    <d v="2021-03-05T00:00:00"/>
    <d v="2021-07-08T00:00:00"/>
    <d v="2021-07-19T00:00:00"/>
    <s v="Bruker s.r.o."/>
    <m/>
    <n v="9099000"/>
    <n v="11009790"/>
    <m/>
    <m/>
    <m/>
    <d v="2021-07-19T00:00:00"/>
    <s v="SMLN-2021-617-000379_x000a_SMLN-2021-612-000070"/>
    <x v="75"/>
    <d v="2021-09-09T00:00:00"/>
    <d v="2021-12-01T00:00:00"/>
  </r>
  <r>
    <d v="2021-02-23T00:00:00"/>
    <s v="VZ-2021-000182"/>
    <x v="1"/>
    <s v="Merta"/>
    <x v="110"/>
    <n v="1"/>
    <s v="Ablační katetry pro provádění konvečních ablací"/>
    <m/>
    <s v="33141200-2"/>
    <m/>
    <n v="9012000"/>
    <x v="0"/>
    <d v="2021-03-22T00:00:00"/>
    <d v="2021-04-23T00:00:00"/>
    <d v="2021-05-25T00:00:00"/>
    <s v="Cardiomedical s.r.o."/>
    <m/>
    <n v="9012000"/>
    <n v="10904520"/>
    <m/>
    <m/>
    <m/>
    <d v="2021-05-26T00:00:00"/>
    <s v="SMLN-2021-617-000259_x000a_SMLN-2021-614-000049"/>
    <x v="76"/>
    <d v="2021-07-02T00:00:00"/>
    <d v="2024-06-22T00:00:00"/>
  </r>
  <r>
    <d v="2021-02-23T00:00:00"/>
    <s v="VZ-2021-000182"/>
    <x v="1"/>
    <s v="Merta"/>
    <x v="110"/>
    <n v="2"/>
    <s v="Základní diagnostické katetry fixní "/>
    <m/>
    <s v="33141200-2"/>
    <m/>
    <n v="4170000"/>
    <x v="0"/>
    <d v="2021-03-22T00:00:00"/>
    <d v="2021-04-23T00:00:00"/>
    <d v="2021-05-25T00:00:00"/>
    <s v="Cardiomedical s.r.o."/>
    <m/>
    <n v="4170000"/>
    <n v="5045700"/>
    <m/>
    <m/>
    <m/>
    <d v="2021-05-26T00:00:00"/>
    <s v="SMLN-2021-617-000260_x000a_SMLN-2021-614-000050"/>
    <x v="76"/>
    <d v="2021-07-02T00:00:00"/>
    <d v="2024-06-22T00:00:00"/>
  </r>
  <r>
    <d v="2021-02-23T00:00:00"/>
    <s v="VZ-2021-000182"/>
    <x v="1"/>
    <s v="Merta"/>
    <x v="110"/>
    <n v="3"/>
    <s v="Základní diagnostické katetry řiditelné I."/>
    <m/>
    <s v="33141200-2"/>
    <m/>
    <n v="619800"/>
    <x v="0"/>
    <d v="2021-03-22T00:00:00"/>
    <d v="2021-04-23T00:00:00"/>
    <d v="2021-05-25T00:00:00"/>
    <s v="CARDION s.r.o."/>
    <m/>
    <n v="619800"/>
    <n v="749958"/>
    <m/>
    <m/>
    <m/>
    <d v="2021-05-26T00:00:00"/>
    <s v="SMLN-2021-617-000261"/>
    <x v="77"/>
    <d v="2021-07-02T00:00:00"/>
    <d v="2024-06-15T00:00:00"/>
  </r>
  <r>
    <d v="2021-02-23T00:00:00"/>
    <s v="VZ-2021-000182"/>
    <x v="1"/>
    <s v="Merta"/>
    <x v="110"/>
    <n v="4"/>
    <s v="Základní diagnostické katetry řiditelné II."/>
    <m/>
    <s v="33141200-2"/>
    <m/>
    <n v="9705000"/>
    <x v="0"/>
    <d v="2021-03-22T00:00:00"/>
    <d v="2021-04-23T00:00:00"/>
    <d v="2021-05-25T00:00:00"/>
    <s v="Cardiomedical s.r.o."/>
    <m/>
    <n v="9429800"/>
    <n v="11410058"/>
    <m/>
    <m/>
    <m/>
    <d v="2021-05-26T00:00:00"/>
    <s v="SMLN-2021-617-000262_x000a_SMLN-2021-614-000051"/>
    <x v="76"/>
    <d v="2021-07-02T00:00:00"/>
    <d v="2024-06-22T00:00:00"/>
  </r>
  <r>
    <d v="2021-02-23T00:00:00"/>
    <s v="VZ-2021-000182"/>
    <x v="1"/>
    <s v="Merta"/>
    <x v="110"/>
    <n v="5"/>
    <s v="Hemostatický zavaděč katetrů - stabilizační fixní"/>
    <m/>
    <s v="33141200-2"/>
    <m/>
    <n v="3378990"/>
    <x v="0"/>
    <d v="2021-03-22T00:00:00"/>
    <d v="2021-04-23T00:00:00"/>
    <d v="2021-05-25T00:00:00"/>
    <s v="CARDION s.r.o."/>
    <m/>
    <n v="3372873.6"/>
    <n v="4081200"/>
    <m/>
    <m/>
    <m/>
    <d v="2021-05-26T00:00:00"/>
    <s v="SMLN-2021-617-000263_x000a_SMLN-2021-614-000052"/>
    <x v="77"/>
    <d v="2021-07-02T00:00:00"/>
    <d v="2024-06-15T00:00:00"/>
  </r>
  <r>
    <d v="2021-02-23T00:00:00"/>
    <s v="VZ-2021-000182"/>
    <x v="1"/>
    <s v="Merta"/>
    <x v="110"/>
    <n v="6"/>
    <s v="Hemostatický zavaděč katetrů - stabilizační řiditelný"/>
    <m/>
    <s v="33141200-2"/>
    <m/>
    <n v="26578800"/>
    <x v="0"/>
    <d v="2021-03-22T00:00:00"/>
    <d v="2021-04-23T00:00:00"/>
    <d v="2021-05-25T00:00:00"/>
    <s v="CARDION s.r.o."/>
    <m/>
    <n v="26578800"/>
    <n v="32160348"/>
    <m/>
    <m/>
    <m/>
    <d v="2021-05-26T00:00:00"/>
    <s v="SMLN-2021-617-000264_x000a_SMLN-2021-614-000053"/>
    <x v="77"/>
    <d v="2021-07-02T00:00:00"/>
    <d v="2024-06-15T00:00:00"/>
  </r>
  <r>
    <d v="2021-02-23T00:00:00"/>
    <s v="VZ-2021-000182"/>
    <x v="1"/>
    <s v="Merta"/>
    <x v="110"/>
    <n v="7"/>
    <s v="Transseptální jehly"/>
    <m/>
    <s v="33141200-2"/>
    <m/>
    <n v="6840000"/>
    <x v="0"/>
    <d v="2021-03-22T00:00:00"/>
    <d v="2021-04-23T00:00:00"/>
    <d v="2021-05-25T00:00:00"/>
    <s v="CARDION s.r.o."/>
    <m/>
    <n v="6840000"/>
    <n v="8276400"/>
    <m/>
    <m/>
    <m/>
    <d v="2021-05-26T00:00:00"/>
    <s v="SMLN-2021-617-000265_x000a_SMLN-2021-614-000054"/>
    <x v="77"/>
    <d v="2021-07-02T00:00:00"/>
    <d v="2024-06-15T00:00:00"/>
  </r>
  <r>
    <d v="2021-02-23T00:00:00"/>
    <s v="VZ-2021-000182"/>
    <x v="1"/>
    <s v="Merta"/>
    <x v="110"/>
    <n v="8"/>
    <s v="Intrakardiální ultrazvukový katetr"/>
    <m/>
    <s v="33141200-2"/>
    <m/>
    <n v="28925000"/>
    <x v="0"/>
    <d v="2021-03-22T00:00:00"/>
    <d v="2021-04-23T00:00:00"/>
    <d v="2021-05-25T00:00:00"/>
    <s v="EP SERVICES s.r.o."/>
    <m/>
    <n v="28925000"/>
    <n v="34999250"/>
    <m/>
    <m/>
    <m/>
    <d v="2021-05-26T00:00:00"/>
    <s v="SMLN-2021-617-000266_x000a_SMLN-2021-614-000055"/>
    <x v="78"/>
    <d v="2021-07-02T00:00:00"/>
    <d v="2024-06-20T00:00:00"/>
  </r>
  <r>
    <d v="2021-02-25T00:00:00"/>
    <s v="VZ-2021-000183"/>
    <x v="0"/>
    <s v="Ondráčková"/>
    <x v="111"/>
    <n v="1"/>
    <s v="POLATUZUMAB VEDOTIN"/>
    <m/>
    <s v="33652100-6"/>
    <m/>
    <n v="60243750"/>
    <x v="0"/>
    <d v="2021-03-08T00:00:00"/>
    <d v="2021-05-10T00:00:00"/>
    <m/>
    <m/>
    <m/>
    <m/>
    <m/>
    <m/>
    <m/>
    <m/>
    <m/>
    <m/>
    <x v="6"/>
    <d v="2021-04-29T00:00:00"/>
    <s v="7.4.2021 zrušeno"/>
  </r>
  <r>
    <d v="2021-02-25T00:00:00"/>
    <s v="VZ-2021-000183"/>
    <x v="0"/>
    <s v="Ondráčková"/>
    <x v="111"/>
    <n v="2"/>
    <s v="INOTUZUMAB OZOGAMICIN"/>
    <m/>
    <s v="33652100-6"/>
    <m/>
    <n v="5469639"/>
    <x v="0"/>
    <d v="2021-03-08T00:00:00"/>
    <d v="2021-05-10T00:00:00"/>
    <d v="2021-05-28T00:00:00"/>
    <s v="PHOENIX lék.velkoobchod, s.r.o."/>
    <m/>
    <n v="5469639"/>
    <n v="6016602.9000000004"/>
    <m/>
    <m/>
    <m/>
    <d v="2021-05-28T00:00:00"/>
    <s v="SMLN-2021-617-000267"/>
    <x v="76"/>
    <d v="2021-06-29T00:00:00"/>
    <d v="2026-06-22T00:00:00"/>
  </r>
  <r>
    <d v="2021-02-25T00:00:00"/>
    <s v="VZ-2021-000183"/>
    <x v="0"/>
    <s v="Ondráčková"/>
    <x v="111"/>
    <n v="3"/>
    <s v="AVELUMAB"/>
    <m/>
    <s v="33652100-6"/>
    <m/>
    <n v="5831317"/>
    <x v="0"/>
    <d v="2021-03-08T00:00:00"/>
    <d v="2021-05-10T00:00:00"/>
    <d v="2021-05-28T00:00:00"/>
    <s v="Alliance Healthcare s.r.o."/>
    <m/>
    <n v="3675714"/>
    <n v="4043285.4"/>
    <m/>
    <m/>
    <m/>
    <d v="2021-05-28T00:00:00"/>
    <s v="SMLN-2021-617-000268"/>
    <x v="78"/>
    <d v="2021-06-29T00:00:00"/>
    <d v="2026-06-20T00:00:00"/>
  </r>
  <r>
    <d v="2021-02-25T00:00:00"/>
    <s v="VZ-2021-000183"/>
    <x v="0"/>
    <s v="Ondráčková"/>
    <x v="111"/>
    <n v="4"/>
    <s v="CEMIPLIMAB"/>
    <m/>
    <s v="33652100-6"/>
    <m/>
    <n v="8011033"/>
    <x v="0"/>
    <d v="2021-03-08T00:00:00"/>
    <d v="2021-05-10T00:00:00"/>
    <d v="2021-05-28T00:00:00"/>
    <s v="sanofi - aventis, s.r.o."/>
    <m/>
    <n v="6763211.04"/>
    <n v="7439532.1399999997"/>
    <m/>
    <m/>
    <m/>
    <d v="2021-05-28T00:00:00"/>
    <s v="SMLN-2021-617-000269"/>
    <x v="79"/>
    <d v="2021-06-29T00:00:00"/>
    <d v="2025-06-27T00:00:00"/>
  </r>
  <r>
    <d v="2021-02-25T00:00:00"/>
    <s v="VZ-2021-000183"/>
    <x v="0"/>
    <s v="Ondráčková"/>
    <x v="111"/>
    <n v="5"/>
    <s v="DURVALUMAB"/>
    <m/>
    <s v="33652100-6"/>
    <m/>
    <n v="4417024"/>
    <x v="0"/>
    <d v="2021-03-08T00:00:00"/>
    <d v="2021-05-10T00:00:00"/>
    <d v="2021-05-28T00:00:00"/>
    <s v="PHOENIX lék.velkoobchod, s.r.o."/>
    <m/>
    <n v="4417023.5"/>
    <n v="4858725.8499999996"/>
    <m/>
    <m/>
    <m/>
    <d v="2021-05-28T00:00:00"/>
    <s v="SMLN-2021-617-000270"/>
    <x v="76"/>
    <d v="2021-06-29T00:00:00"/>
    <d v="2026-06-22T00:00:00"/>
  </r>
  <r>
    <d v="2021-02-25T00:00:00"/>
    <s v="VZ-2021-000184"/>
    <x v="0"/>
    <s v="Ondráčková"/>
    <x v="112"/>
    <n v="1"/>
    <s v="ENZALUTAMID"/>
    <m/>
    <s v="33652200-7"/>
    <m/>
    <n v="69447975"/>
    <x v="0"/>
    <d v="2021-03-09T00:00:00"/>
    <d v="2021-04-13T00:00:00"/>
    <m/>
    <s v="zrušeno - bez nabídky"/>
    <m/>
    <m/>
    <m/>
    <m/>
    <m/>
    <m/>
    <m/>
    <m/>
    <x v="6"/>
    <d v="2021-06-02T00:00:00"/>
    <s v="6.5.2021 zrušeno"/>
  </r>
  <r>
    <d v="2021-02-25T00:00:00"/>
    <s v="VZ-2021-000184"/>
    <x v="0"/>
    <s v="Ondráčková"/>
    <x v="112"/>
    <n v="2"/>
    <s v="APALUTAMID"/>
    <m/>
    <s v="33652200-7"/>
    <m/>
    <n v="23806615"/>
    <x v="0"/>
    <d v="2021-03-09T00:00:00"/>
    <d v="2021-04-13T00:00:00"/>
    <d v="2021-05-06T00:00:00"/>
    <s v="Janssen-Cilag s.r.o."/>
    <m/>
    <n v="23806450"/>
    <n v="26187095"/>
    <m/>
    <m/>
    <m/>
    <d v="2021-05-06T00:00:00"/>
    <s v="SMLN-2021-617-000208"/>
    <x v="80"/>
    <d v="2021-06-02T00:00:00"/>
    <d v="2026-05-26T00:00:00"/>
  </r>
  <r>
    <d v="2021-02-25T00:00:00"/>
    <s v="VZ-2021-000185"/>
    <x v="0"/>
    <s v="Ondráčková"/>
    <x v="113"/>
    <n v="1"/>
    <s v="MEPOLIZUMAB"/>
    <m/>
    <s v="33670000-7"/>
    <m/>
    <n v="49309756"/>
    <x v="0"/>
    <d v="2021-03-03T00:00:00"/>
    <d v="2021-04-19T00:00:00"/>
    <d v="2021-05-06T00:00:00"/>
    <s v="Alliance Healthcare s.r.o."/>
    <m/>
    <n v="49265535"/>
    <n v="54192088.5"/>
    <m/>
    <m/>
    <m/>
    <d v="2021-05-06T00:00:00"/>
    <s v="SMLN-2021-617-000206"/>
    <x v="43"/>
    <d v="2021-06-07T00:00:00"/>
    <d v="2026-05-25T00:00:00"/>
  </r>
  <r>
    <d v="2021-02-25T00:00:00"/>
    <s v="VZ-2021-000185"/>
    <x v="0"/>
    <s v="Ondráčková"/>
    <x v="113"/>
    <n v="2"/>
    <s v="BENRALIZUMAB"/>
    <m/>
    <s v="33670000-7"/>
    <m/>
    <n v="14263044"/>
    <x v="0"/>
    <d v="2021-03-03T00:00:00"/>
    <d v="2021-04-19T00:00:00"/>
    <d v="2021-05-06T00:00:00"/>
    <s v="PHOENIX lék.velkoobchod, s.r.o."/>
    <m/>
    <n v="14263043.1"/>
    <n v="15689347.41"/>
    <m/>
    <m/>
    <m/>
    <d v="2021-05-06T00:00:00"/>
    <s v="SMLN-2021-617-000207"/>
    <x v="67"/>
    <d v="2021-06-07T00:00:00"/>
    <d v="2026-06-02T00:00:00"/>
  </r>
  <r>
    <d v="2021-02-25T00:00:00"/>
    <s v="VZ-2021-000186"/>
    <x v="0"/>
    <s v="Ondráčková"/>
    <x v="114"/>
    <n v="1"/>
    <s v="ROMIPLOSTIM"/>
    <m/>
    <s v="33621200-1"/>
    <m/>
    <n v="38164742"/>
    <x v="0"/>
    <d v="2021-03-15T00:00:00"/>
    <d v="2021-04-19T00:00:00"/>
    <d v="2021-04-23T00:00:00"/>
    <s v="Amgen s.r.o."/>
    <m/>
    <n v="38164741.5"/>
    <n v="41981215.649999999"/>
    <m/>
    <m/>
    <m/>
    <d v="2021-04-23T00:00:00"/>
    <s v="SMLN-2021-617-000177"/>
    <x v="69"/>
    <d v="2021-05-27T00:00:00"/>
    <d v="2026-05-12T00:00:00"/>
  </r>
  <r>
    <d v="2021-02-25T00:00:00"/>
    <s v="VZ-2021-000186"/>
    <x v="0"/>
    <s v="Ondráčková"/>
    <x v="114"/>
    <n v="2"/>
    <s v="ELTROMBOPAG"/>
    <m/>
    <s v="33621200-1"/>
    <m/>
    <n v="22873184"/>
    <x v="0"/>
    <d v="2021-03-15T00:00:00"/>
    <d v="2021-04-19T00:00:00"/>
    <d v="2021-04-23T00:00:00"/>
    <s v="Alliance Healthcare s.r.o."/>
    <m/>
    <n v="22873183.050000001"/>
    <n v="25160501.359999999"/>
    <m/>
    <m/>
    <m/>
    <d v="2021-04-23T00:00:00"/>
    <s v="SMLN-2021-617-000178"/>
    <x v="31"/>
    <d v="2021-05-27T00:00:00"/>
    <d v="2026-05-19T00:00:00"/>
  </r>
  <r>
    <d v="2021-02-25T00:00:00"/>
    <s v="VZ-2021-000187"/>
    <x v="0"/>
    <s v="Ondráčková"/>
    <x v="115"/>
    <n v="1"/>
    <s v="Humira pro rozléčené pacienty"/>
    <m/>
    <s v="33652300-8"/>
    <m/>
    <n v="16200760"/>
    <x v="0"/>
    <d v="2021-03-11T00:00:00"/>
    <d v="2021-04-14T00:00:00"/>
    <d v="2021-04-23T00:00:00"/>
    <s v="Avenier a.s."/>
    <m/>
    <n v="13831487.210000001"/>
    <n v="15214635.93"/>
    <m/>
    <m/>
    <m/>
    <d v="2021-04-23T00:00:00"/>
    <s v="SMLN-2021-617-000174"/>
    <x v="81"/>
    <d v="2021-05-18T00:00:00"/>
    <d v="2022-06-10T00:00:00"/>
  </r>
  <r>
    <d v="2021-02-25T00:00:00"/>
    <s v="VZ-2021-000193"/>
    <x v="0"/>
    <s v="Ondráčková"/>
    <x v="116"/>
    <n v="1"/>
    <s v="PROMANUM PURE "/>
    <m/>
    <s v="24455000-8"/>
    <m/>
    <n v="278112"/>
    <x v="2"/>
    <d v="2021-03-04T00:00:00"/>
    <d v="2021-03-15T00:00:00"/>
    <m/>
    <s v="zrušeno - upravit specifikaci"/>
    <m/>
    <m/>
    <m/>
    <m/>
    <m/>
    <m/>
    <m/>
    <m/>
    <x v="6"/>
    <d v="2021-03-12T00:00:00"/>
    <m/>
  </r>
  <r>
    <d v="2021-02-25T00:00:00"/>
    <s v="VZ-2021-000193"/>
    <x v="0"/>
    <s v="Ondráčková"/>
    <x v="116"/>
    <n v="2"/>
    <s v="STERILLIUM"/>
    <m/>
    <s v="24455000-8"/>
    <m/>
    <n v="385472"/>
    <x v="2"/>
    <d v="2021-03-04T00:00:00"/>
    <d v="2021-03-15T00:00:00"/>
    <m/>
    <s v="zrušeno - upravit specifikaci"/>
    <m/>
    <m/>
    <m/>
    <m/>
    <m/>
    <m/>
    <m/>
    <m/>
    <x v="6"/>
    <d v="2021-03-12T00:00:00"/>
    <m/>
  </r>
  <r>
    <d v="2021-02-25T00:00:00"/>
    <s v="VZ-2021-000193"/>
    <x v="0"/>
    <s v="Ondráčková"/>
    <x v="116"/>
    <n v="3"/>
    <s v="SOFTA-MAN VISCORUB"/>
    <m/>
    <s v="24455000-8"/>
    <m/>
    <n v="61696"/>
    <x v="2"/>
    <d v="2021-03-04T00:00:00"/>
    <d v="2021-03-15T00:00:00"/>
    <m/>
    <s v="zrušeno - upravit specifikaci"/>
    <m/>
    <m/>
    <m/>
    <m/>
    <m/>
    <m/>
    <m/>
    <m/>
    <x v="6"/>
    <d v="2021-03-12T00:00:00"/>
    <m/>
  </r>
  <r>
    <d v="2021-02-25T00:00:00"/>
    <s v="VZ-2021-000193"/>
    <x v="0"/>
    <s v="Ondráčková"/>
    <x v="116"/>
    <n v="4"/>
    <s v="BAKTOLIN PURE "/>
    <m/>
    <s v="24455000-8"/>
    <m/>
    <n v="148093"/>
    <x v="2"/>
    <d v="2021-03-04T00:00:00"/>
    <d v="2021-03-15T00:00:00"/>
    <m/>
    <s v="zrušeno - upravit specifikaci"/>
    <m/>
    <m/>
    <m/>
    <m/>
    <m/>
    <m/>
    <m/>
    <m/>
    <x v="6"/>
    <d v="2021-03-12T00:00:00"/>
    <m/>
  </r>
  <r>
    <d v="2021-02-25T00:00:00"/>
    <s v="VZ-2021-000193"/>
    <x v="0"/>
    <s v="Ondráčková"/>
    <x v="116"/>
    <n v="5"/>
    <s v="LIFOSAN SOFT"/>
    <m/>
    <s v="24455000-8"/>
    <m/>
    <n v="61226"/>
    <x v="2"/>
    <d v="2021-03-04T00:00:00"/>
    <d v="2021-03-15T00:00:00"/>
    <m/>
    <s v="zrušeno - upravit specifikaci"/>
    <m/>
    <m/>
    <m/>
    <m/>
    <m/>
    <m/>
    <m/>
    <m/>
    <x v="6"/>
    <d v="2021-03-12T00:00:00"/>
    <m/>
  </r>
  <r>
    <d v="2021-02-25T00:00:00"/>
    <s v="VZ-2021-000193"/>
    <x v="0"/>
    <s v="Ondráčková"/>
    <x v="116"/>
    <n v="6"/>
    <s v="SOFTASKIN"/>
    <m/>
    <s v="24455000-8"/>
    <m/>
    <n v="11880"/>
    <x v="2"/>
    <d v="2021-03-04T00:00:00"/>
    <d v="2021-03-15T00:00:00"/>
    <m/>
    <s v="zrušeno - upravit specifikaci"/>
    <m/>
    <m/>
    <m/>
    <m/>
    <m/>
    <m/>
    <m/>
    <m/>
    <x v="6"/>
    <d v="2021-03-12T00:00:00"/>
    <m/>
  </r>
  <r>
    <d v="2021-03-01T00:00:00"/>
    <s v="VZ-2021-000196"/>
    <x v="5"/>
    <s v="Oravec"/>
    <x v="117"/>
    <m/>
    <m/>
    <m/>
    <s v="72261000-2"/>
    <m/>
    <n v="1850000"/>
    <x v="2"/>
    <d v="2021-03-09T00:00:00"/>
    <d v="2021-03-19T00:00:00"/>
    <d v="2021-05-24T00:00:00"/>
    <s v="DS Soft Olomouc, spol.s  r.o."/>
    <m/>
    <n v="1798080"/>
    <n v="2175676.7999999998"/>
    <m/>
    <m/>
    <m/>
    <d v="2021-05-24T00:00:00"/>
    <s v="SMLN-2021-612-000037"/>
    <x v="67"/>
    <d v="2021-06-07T00:00:00"/>
    <s v="doba neurčitá"/>
  </r>
  <r>
    <d v="2021-03-01T00:00:00"/>
    <s v="VZ-2021-000198"/>
    <x v="1"/>
    <s v="Valtová"/>
    <x v="118"/>
    <m/>
    <m/>
    <m/>
    <s v="33140000-3"/>
    <m/>
    <n v="1331404"/>
    <x v="2"/>
    <d v="2021-03-09T00:00:00"/>
    <d v="2021-03-18T00:00:00"/>
    <d v="2021-03-23T00:00:00"/>
    <s v="CARDION s.r.o."/>
    <m/>
    <n v="1331404"/>
    <n v="1611000"/>
    <m/>
    <m/>
    <m/>
    <d v="2021-03-23T00:00:00"/>
    <s v="SMLN-2021-617-000125_x000a_SMLN-2021-617-000124_x000a_SMLN-2021-614-000015"/>
    <x v="12"/>
    <d v="2021-04-12T00:00:00"/>
    <d v="2023-04-07T00:00:00"/>
  </r>
  <r>
    <d v="2021-03-03T00:00:00"/>
    <s v="VZ-2021-000203"/>
    <x v="1"/>
    <s v="Dočkalová"/>
    <x v="119"/>
    <m/>
    <m/>
    <m/>
    <s v="33140000-3"/>
    <m/>
    <n v="4164271"/>
    <x v="0"/>
    <d v="2021-03-09T00:00:00"/>
    <d v="2021-04-12T00:00:00"/>
    <d v="2021-04-15T00:00:00"/>
    <s v="Mediform, spol. s r.o."/>
    <m/>
    <n v="4157250"/>
    <n v="5030272.5"/>
    <m/>
    <m/>
    <m/>
    <d v="2021-04-15T00:00:00"/>
    <s v="SMLN-2021-617-000156"/>
    <x v="73"/>
    <d v="2021-05-07T00:00:00"/>
    <d v="2024-05-04T00:00:00"/>
  </r>
  <r>
    <d v="2021-03-02T00:00:00"/>
    <s v="VZ-2021-000207"/>
    <x v="2"/>
    <s v="Rosulek"/>
    <x v="120"/>
    <m/>
    <m/>
    <m/>
    <s v="33162100-4"/>
    <s v="2.2.270, 2.3.376., 2.3.447"/>
    <n v="336000"/>
    <x v="2"/>
    <d v="2021-03-11T00:00:00"/>
    <d v="2021-03-23T00:00:00"/>
    <m/>
    <s v="zrušeno - překročení ceny"/>
    <s v="nová VZ-2021-000382"/>
    <m/>
    <m/>
    <m/>
    <m/>
    <m/>
    <m/>
    <m/>
    <x v="6"/>
    <d v="2021-04-27T00:00:00"/>
    <m/>
  </r>
  <r>
    <d v="2021-03-08T00:00:00"/>
    <s v="VZ-2021-000211"/>
    <x v="1"/>
    <s v="Valtová"/>
    <x v="121"/>
    <m/>
    <m/>
    <m/>
    <s v="33140000-3"/>
    <m/>
    <n v="1220260"/>
    <x v="2"/>
    <d v="2021-03-12T00:00:00"/>
    <d v="2021-03-24T00:00:00"/>
    <d v="2021-04-12T00:00:00"/>
    <s v="Johnson  &amp; Johnson s.r.o."/>
    <m/>
    <n v="1006400"/>
    <n v="1157360"/>
    <m/>
    <m/>
    <m/>
    <d v="2021-04-12T00:00:00"/>
    <s v="SMLN-2021-617-000148_x000a_SMLN-2021-614-000018"/>
    <x v="82"/>
    <d v="2021-04-30T00:00:00"/>
    <d v="2023-04-26T00:00:00"/>
  </r>
  <r>
    <d v="2021-02-26T00:00:00"/>
    <s v="VZ-2021-000215"/>
    <x v="2"/>
    <s v="Rosulek"/>
    <x v="122"/>
    <m/>
    <m/>
    <m/>
    <s v="33151400-7"/>
    <s v="2.3.508."/>
    <n v="3646523"/>
    <x v="0"/>
    <d v="2021-04-16T00:00:00"/>
    <d v="2021-05-20T00:00:00"/>
    <d v="2021-06-24T00:00:00"/>
    <s v="Elekta Services s.r.o."/>
    <m/>
    <n v="3634000.16"/>
    <n v="4397140.16"/>
    <m/>
    <m/>
    <m/>
    <d v="2021-06-24T00:00:00"/>
    <s v="SMLN-2021-617-000334_x000a_SMLN-2021-612-000063"/>
    <x v="72"/>
    <d v="2021-08-05T00:00:00"/>
    <d v="2021-10-20T00:00:00"/>
  </r>
  <r>
    <d v="2021-03-09T00:00:00"/>
    <s v="VZ-2021-000218"/>
    <x v="2"/>
    <s v="Rosulek"/>
    <x v="123"/>
    <n v="1"/>
    <s v="Mobilní ultrazvukový systém pro Ortopedii"/>
    <m/>
    <s v="33112000-8"/>
    <s v="2.2.271."/>
    <n v="448200"/>
    <x v="0"/>
    <d v="2021-03-15T00:00:00"/>
    <d v="2021-04-19T00:00:00"/>
    <d v="2021-05-13T00:00:00"/>
    <s v="Electric Medical Service s.r.o."/>
    <m/>
    <n v="437920"/>
    <n v="529883.19999999995"/>
    <m/>
    <m/>
    <m/>
    <d v="2021-05-13T00:00:00"/>
    <s v="SMLN-2021-617-000225_x000a_SMLN-2021-612-000034"/>
    <x v="83"/>
    <d v="2021-06-24T00:00:00"/>
    <d v="2021-08-17T00:00:00"/>
  </r>
  <r>
    <d v="2021-03-09T00:00:00"/>
    <s v="VZ-2021-000218"/>
    <x v="2"/>
    <s v="Rosulek"/>
    <x v="123"/>
    <n v="2"/>
    <s v="Ultrazvukový systém pro II. Interní kliniku"/>
    <m/>
    <s v="33112000-8"/>
    <s v="2.3.505."/>
    <n v="1035000"/>
    <x v="0"/>
    <d v="2021-03-15T00:00:00"/>
    <d v="2021-04-19T00:00:00"/>
    <d v="2021-05-13T00:00:00"/>
    <s v="S+T Plus s.r.o."/>
    <m/>
    <n v="1030060"/>
    <n v="1246372.6000000001"/>
    <m/>
    <m/>
    <m/>
    <d v="2021-05-13T00:00:00"/>
    <s v="SMLN-2021-617-000226_x000a_SMLN-2021-612-000035"/>
    <x v="83"/>
    <d v="2021-06-24T00:00:00"/>
    <d v="2021-08-17T00:00:00"/>
  </r>
  <r>
    <d v="2021-03-08T00:00:00"/>
    <s v="VZ-2021-000222"/>
    <x v="1"/>
    <s v="Valtová"/>
    <x v="124"/>
    <m/>
    <m/>
    <m/>
    <s v="33140000-3"/>
    <m/>
    <n v="1823900"/>
    <x v="2"/>
    <d v="2021-03-12T00:00:00"/>
    <d v="2021-03-23T00:00:00"/>
    <d v="2021-03-29T00:00:00"/>
    <s v="Johnson  &amp; Johnson s.r.o."/>
    <m/>
    <n v="1823900"/>
    <n v="2097485"/>
    <m/>
    <m/>
    <m/>
    <d v="2021-03-29T00:00:00"/>
    <s v="SMLN-2021-617-000130_x000a_SMLN-2021-617-000131_x000a_SMLN-2021-614-000016"/>
    <x v="33"/>
    <d v="2021-04-15T00:00:00"/>
    <d v="2023-04-13T00:00:00"/>
  </r>
  <r>
    <d v="2021-03-05T00:00:00"/>
    <s v="VZ-2021-000231"/>
    <x v="2"/>
    <s v="Rosulek"/>
    <x v="125"/>
    <m/>
    <m/>
    <m/>
    <s v="33131510-5"/>
    <s v="2.3.440."/>
    <n v="6589000"/>
    <x v="0"/>
    <d v="2021-04-27T00:00:00"/>
    <d v="2021-06-21T00:00:00"/>
    <d v="2021-08-10T00:00:00"/>
    <s v="B. Braun Medical s.r.o."/>
    <m/>
    <n v="6458657.2999999998"/>
    <n v="7814975.3300000001"/>
    <m/>
    <m/>
    <m/>
    <d v="2021-08-10T00:00:00"/>
    <s v="SMLN-2021-617-000410_x000a_SMLN-2021-612-000084_x000a_SMLN-2021-617-000412"/>
    <x v="84"/>
    <d v="2021-10-18T00:00:00"/>
    <d v="2021-11-03T00:00:00"/>
  </r>
  <r>
    <d v="2021-03-12T00:00:00"/>
    <s v="VZ-2021-000234"/>
    <x v="5"/>
    <s v="Miklík"/>
    <x v="126"/>
    <m/>
    <m/>
    <m/>
    <s v="72611000-6"/>
    <m/>
    <n v="1100000"/>
    <x v="2"/>
    <d v="2021-03-17T00:00:00"/>
    <d v="2021-03-26T00:00:00"/>
    <d v="2021-03-29T00:00:00"/>
    <s v="MERIT GROUP a.s."/>
    <m/>
    <n v="1011250"/>
    <n v="1223612.5"/>
    <m/>
    <m/>
    <m/>
    <d v="2021-03-29T00:00:00"/>
    <s v="SMLN-2021-612-000020"/>
    <x v="33"/>
    <d v="2021-04-14T00:00:00"/>
    <d v="2022-04-13T00:00:00"/>
  </r>
  <r>
    <s v="opakovaná VZ"/>
    <s v="VZ-2021-000238"/>
    <x v="2"/>
    <s v="Rosulek"/>
    <x v="127"/>
    <m/>
    <m/>
    <m/>
    <s v="33127000-6"/>
    <s v="2.3.452."/>
    <n v="3150000"/>
    <x v="1"/>
    <d v="2021-03-19T00:00:00"/>
    <d v="2021-04-09T00:00:00"/>
    <d v="2021-05-07T00:00:00"/>
    <s v="ALOGO s.r.o."/>
    <m/>
    <n v="3044089"/>
    <n v="3683347.7"/>
    <m/>
    <m/>
    <m/>
    <d v="2021-05-07T00:00:00"/>
    <s v="SMLN-2021-617-000219_x000a_SMLN-2021-612-000033"/>
    <x v="85"/>
    <d v="2021-06-07T00:00:00"/>
    <d v="2021-08-23T00:00:00"/>
  </r>
  <r>
    <d v="2021-03-16T00:00:00"/>
    <s v="VZ-2021-000243"/>
    <x v="11"/>
    <s v="Rosulek"/>
    <x v="128"/>
    <m/>
    <m/>
    <m/>
    <s v="33157400-9"/>
    <s v="2.3.119."/>
    <n v="1724380"/>
    <x v="2"/>
    <d v="2021-03-22T00:00:00"/>
    <d v="2021-04-01T00:00:00"/>
    <d v="2021-05-07T00:00:00"/>
    <s v="Saegeling Medizintechnik, s.r.o. "/>
    <m/>
    <n v="1367180"/>
    <n v="1654286.6"/>
    <m/>
    <m/>
    <m/>
    <d v="2021-05-07T00:00:00"/>
    <s v="SMLN-2021-617-000215_x000a_SMLN-2021-612-000032_x000a_SMLN-2021-617-000216"/>
    <x v="86"/>
    <d v="2021-06-10T00:00:00"/>
    <d v="2021-08-03T00:00:00"/>
  </r>
  <r>
    <d v="2021-03-17T00:00:00"/>
    <s v="VZ-2021-000245"/>
    <x v="1"/>
    <s v="Valtová"/>
    <x v="129"/>
    <n v="1"/>
    <s v="Kotvička nevstřebatelná a vstřebatelná Healix Knotless"/>
    <m/>
    <s v="33140000-3"/>
    <m/>
    <n v="1270000"/>
    <x v="1"/>
    <d v="2021-04-06T00:00:00"/>
    <d v="2021-04-23T00:00:00"/>
    <d v="2021-05-05T00:00:00"/>
    <s v="Johnson  &amp; Johnson s.r.o."/>
    <m/>
    <n v="1270000"/>
    <n v="1460500"/>
    <m/>
    <m/>
    <m/>
    <d v="2021-05-06T00:00:00"/>
    <s v="SMLN-2021-617-000202_x000a_SMLN-2021-614-000034"/>
    <x v="87"/>
    <d v="2021-06-03T00:00:00"/>
    <d v="2023-05-24T00:00:00"/>
  </r>
  <r>
    <d v="2021-03-17T00:00:00"/>
    <s v="VZ-2021-000245"/>
    <x v="1"/>
    <s v="Valtová"/>
    <x v="129"/>
    <n v="2"/>
    <s v="Kotvička nevstřebatelná a vstřebatelná Healix Advance"/>
    <m/>
    <s v="33140000-3"/>
    <m/>
    <n v="665000"/>
    <x v="1"/>
    <d v="2021-04-06T00:00:00"/>
    <d v="2021-04-23T00:00:00"/>
    <d v="2021-05-05T00:00:00"/>
    <s v="Johnson  &amp; Johnson s.r.o."/>
    <m/>
    <n v="665000"/>
    <n v="764750"/>
    <m/>
    <m/>
    <m/>
    <d v="2021-05-06T00:00:00"/>
    <s v="SMLN-2021-617-000203_x000a_SMLN-2021-617-000204_x000a_SMLN-2021-614-000035"/>
    <x v="85"/>
    <d v="2021-06-03T00:00:00"/>
    <d v="2023-05-30T00:00:00"/>
  </r>
  <r>
    <d v="2021-03-17T00:00:00"/>
    <s v="VZ-2021-000245"/>
    <x v="1"/>
    <s v="Valtová"/>
    <x v="129"/>
    <n v="3"/>
    <s v="Kotvička nevstřebatelná a vstřebatelná Healix Trans Tend"/>
    <m/>
    <s v="33140000-3"/>
    <m/>
    <n v="490000"/>
    <x v="1"/>
    <d v="2021-04-06T00:00:00"/>
    <d v="2021-04-23T00:00:00"/>
    <d v="2021-05-05T00:00:00"/>
    <s v="Johnson  &amp; Johnson s.r.o."/>
    <m/>
    <n v="460000"/>
    <n v="529000"/>
    <m/>
    <m/>
    <m/>
    <d v="2021-05-06T00:00:00"/>
    <s v="SMLN-2021-617-000205_x000a_SMLN-2021-614-000036"/>
    <x v="87"/>
    <d v="2021-06-03T00:00:00"/>
    <d v="2023-05-24T00:00:00"/>
  </r>
  <r>
    <d v="2021-03-16T00:00:00"/>
    <s v="VZ-2021-000249"/>
    <x v="4"/>
    <s v="Srovnal"/>
    <x v="130"/>
    <m/>
    <m/>
    <m/>
    <s v="45342000-6 "/>
    <m/>
    <n v="1450000"/>
    <x v="2"/>
    <d v="2021-03-24T00:00:00"/>
    <d v="2021-04-07T00:00:00"/>
    <d v="2021-05-18T00:00:00"/>
    <s v="ELEKTRO-FLEXI s.r.o."/>
    <m/>
    <n v="1070881.05"/>
    <n v="1295766.07"/>
    <m/>
    <m/>
    <m/>
    <d v="2021-05-18T00:00:00"/>
    <s v="SMLN-2021-618-000035"/>
    <x v="88"/>
    <d v="2021-06-07T00:00:00"/>
    <d v="2021-08-11T00:00:00"/>
  </r>
  <r>
    <d v="2021-03-17T00:00:00"/>
    <s v="VZ-2021-000253"/>
    <x v="4"/>
    <s v="Srovnal"/>
    <x v="131"/>
    <m/>
    <m/>
    <m/>
    <s v="42512300-1"/>
    <s v="4.2.152."/>
    <n v="1150000"/>
    <x v="2"/>
    <d v="2021-03-30T00:00:00"/>
    <d v="2021-04-09T00:00:00"/>
    <d v="2021-04-16T00:00:00"/>
    <s v="JK new product s.r.o."/>
    <m/>
    <n v="866956"/>
    <n v="1049017"/>
    <m/>
    <m/>
    <m/>
    <d v="2021-04-16T00:00:00"/>
    <s v="SMLN-2021-618-000017"/>
    <x v="81"/>
    <d v="2021-05-19T00:00:00"/>
    <d v="2021-07-12T00:00:00"/>
  </r>
  <r>
    <d v="2021-03-18T00:00:00"/>
    <s v="VZ-2021-000256"/>
    <x v="1"/>
    <s v="Dočkalová"/>
    <x v="132"/>
    <m/>
    <m/>
    <m/>
    <s v="33140000-3"/>
    <m/>
    <n v="1186800"/>
    <x v="2"/>
    <d v="2021-03-22T00:00:00"/>
    <d v="2021-03-31T00:00:00"/>
    <d v="2021-04-08T00:00:00"/>
    <s v="B. Braun Medical s.r.o."/>
    <m/>
    <n v="1249287"/>
    <n v="1511637.27"/>
    <m/>
    <m/>
    <m/>
    <d v="2021-04-08T00:00:00"/>
    <s v="SMLN-2021-617-000137"/>
    <x v="46"/>
    <d v="2021-05-03T00:00:00"/>
    <d v="2024-04-27T00:00:00"/>
  </r>
  <r>
    <d v="2021-03-18T00:00:00"/>
    <s v="VZ-2021-000261"/>
    <x v="0"/>
    <s v="Ondráčková"/>
    <x v="133"/>
    <n v="1"/>
    <s v="DENOSUMAB I."/>
    <m/>
    <s v="33632000-9"/>
    <m/>
    <n v="5912121"/>
    <x v="0"/>
    <d v="2021-03-23T00:00:00"/>
    <d v="2021-04-26T00:00:00"/>
    <d v="2021-05-14T00:00:00"/>
    <s v="Amgen s.r.o."/>
    <m/>
    <n v="5784504.5999999996"/>
    <n v="6362955.0599999996"/>
    <m/>
    <m/>
    <m/>
    <d v="2021-05-14T00:00:00"/>
    <s v="SMLN-2021-617-000229"/>
    <x v="77"/>
    <d v="2021-06-17T00:00:00"/>
    <d v="2024-06-15T00:00:00"/>
  </r>
  <r>
    <d v="2021-03-18T00:00:00"/>
    <s v="VZ-2021-000261"/>
    <x v="0"/>
    <s v="Ondráčková"/>
    <x v="133"/>
    <n v="2"/>
    <s v="DENOSUMAB II."/>
    <m/>
    <s v="33632000-9"/>
    <m/>
    <n v="14394333"/>
    <x v="0"/>
    <d v="2021-03-23T00:00:00"/>
    <d v="2021-04-26T00:00:00"/>
    <d v="2021-05-14T00:00:00"/>
    <s v="Amgen s.r.o."/>
    <m/>
    <n v="14394332.310000001"/>
    <n v="15833765.539999999"/>
    <m/>
    <m/>
    <m/>
    <d v="2021-05-14T00:00:00"/>
    <s v="SMLN-2021-617-000230"/>
    <x v="77"/>
    <d v="2021-06-17T00:00:00"/>
    <d v="2024-06-15T00:00:00"/>
  </r>
  <r>
    <d v="2021-03-18T00:00:00"/>
    <s v="VZ-2021-000261"/>
    <x v="0"/>
    <s v="Ondráčková"/>
    <x v="133"/>
    <n v="3"/>
    <s v="BUROZUMAB"/>
    <m/>
    <s v="33632000-9"/>
    <m/>
    <n v="12807940"/>
    <x v="0"/>
    <d v="2021-03-23T00:00:00"/>
    <d v="2021-04-26T00:00:00"/>
    <d v="2021-05-14T00:00:00"/>
    <s v="Alliance Healthcare s.r.o."/>
    <m/>
    <n v="12807936.6"/>
    <n v="14088730.26"/>
    <m/>
    <m/>
    <m/>
    <d v="2021-05-14T00:00:00"/>
    <s v="SMLN-2021-617-000231"/>
    <x v="89"/>
    <d v="2021-06-17T00:00:00"/>
    <d v="2024-06-06T00:00:00"/>
  </r>
  <r>
    <d v="2021-03-22T00:00:00"/>
    <s v="VZ-2021-000265"/>
    <x v="0"/>
    <s v="Ondráčková"/>
    <x v="134"/>
    <m/>
    <m/>
    <m/>
    <s v="33662100-9"/>
    <m/>
    <n v="31038378"/>
    <x v="0"/>
    <d v="2021-03-24T00:00:00"/>
    <d v="2021-05-26T00:00:00"/>
    <d v="2021-06-14T00:00:00"/>
    <s v="Alliance Healthcare s.r.o."/>
    <m/>
    <n v="31023597.82"/>
    <n v="34125957.600000001"/>
    <m/>
    <m/>
    <m/>
    <d v="2021-06-14T00:00:00"/>
    <s v="SMLN-2021-617-000301"/>
    <x v="90"/>
    <d v="2021-07-14T00:00:00"/>
    <d v="2026-07-07T00:00:00"/>
  </r>
  <r>
    <d v="2021-03-22T00:00:00"/>
    <s v="VZ-2021-000266"/>
    <x v="0"/>
    <s v="Ondráčková"/>
    <x v="135"/>
    <n v="1"/>
    <s v="KYSELINA CHENODEOXYCHOLOVÁ"/>
    <m/>
    <s v="33610000-9  "/>
    <m/>
    <n v="11685000"/>
    <x v="0"/>
    <d v="2021-04-12T00:00:00"/>
    <d v="2021-05-14T00:00:00"/>
    <d v="2021-06-22T00:00:00"/>
    <s v="CD Pharmaceuticals AB"/>
    <m/>
    <n v="10744050"/>
    <n v="11818455"/>
    <m/>
    <m/>
    <m/>
    <d v="2021-06-22T00:00:00"/>
    <s v="SMLN-2021-617-000324"/>
    <x v="91"/>
    <d v="2021-08-10T00:00:00"/>
    <d v="2026-07-26T00:00:00"/>
  </r>
  <r>
    <d v="2021-03-22T00:00:00"/>
    <s v="VZ-2021-000266"/>
    <x v="0"/>
    <s v="Ondráčková"/>
    <x v="135"/>
    <n v="2"/>
    <s v="URSOSAN pro rozléčené pacienty"/>
    <m/>
    <s v="33610000-9  "/>
    <m/>
    <n v="3349210"/>
    <x v="0"/>
    <d v="2021-04-12T00:00:00"/>
    <d v="2021-05-14T00:00:00"/>
    <d v="2021-06-22T00:00:00"/>
    <s v="ViaPharma s.r.o."/>
    <m/>
    <n v="3317290.23"/>
    <n v="3649019.25"/>
    <m/>
    <m/>
    <m/>
    <d v="2021-06-22T00:00:00"/>
    <s v="SMLN-2021-617-000320"/>
    <x v="1"/>
    <d v="2021-08-10T00:00:00"/>
    <d v="2023-08-08T00:00:00"/>
  </r>
  <r>
    <d v="2021-03-22T00:00:00"/>
    <s v="VZ-2021-000266"/>
    <x v="0"/>
    <s v="Ondráčková"/>
    <x v="135"/>
    <n v="3"/>
    <s v="URSOFALK pro rozléčené pacienty"/>
    <m/>
    <s v="33610000-9  "/>
    <m/>
    <n v="545408"/>
    <x v="0"/>
    <d v="2021-04-12T00:00:00"/>
    <d v="2021-05-14T00:00:00"/>
    <d v="2021-06-22T00:00:00"/>
    <s v="PHOENIX lék.velkoobchod, s.r.o."/>
    <m/>
    <n v="528990.06000000006"/>
    <n v="581889.06999999995"/>
    <m/>
    <m/>
    <m/>
    <d v="2021-06-22T00:00:00"/>
    <s v="SMLN-2021-617-000321"/>
    <x v="92"/>
    <d v="2021-08-10T00:00:00"/>
    <d v="2023-07-14T00:00:00"/>
  </r>
  <r>
    <d v="2021-03-22T00:00:00"/>
    <s v="VZ-2021-000266"/>
    <x v="0"/>
    <s v="Ondráčková"/>
    <x v="135"/>
    <n v="4"/>
    <s v="KYSELINA URSODEOXYCHOLOVÁ"/>
    <m/>
    <s v="33610000-9  "/>
    <m/>
    <n v="659364"/>
    <x v="0"/>
    <d v="2021-04-12T00:00:00"/>
    <d v="2021-05-14T00:00:00"/>
    <d v="2021-06-22T00:00:00"/>
    <s v="PHOENIX lék.velkoobchod, s.r.o."/>
    <m/>
    <n v="643595.52000000002"/>
    <n v="707955.07"/>
    <m/>
    <m/>
    <m/>
    <d v="2021-06-22T00:00:00"/>
    <s v="SMLN-2021-617-000322"/>
    <x v="92"/>
    <d v="2021-08-10T00:00:00"/>
    <d v="2023-07-14T00:00:00"/>
  </r>
  <r>
    <d v="2021-03-22T00:00:00"/>
    <s v="VZ-2021-000268"/>
    <x v="1"/>
    <s v="Dočkalová"/>
    <x v="136"/>
    <m/>
    <m/>
    <m/>
    <s v="33140000-3"/>
    <m/>
    <n v="26658887.460000001"/>
    <x v="0"/>
    <d v="2021-04-09T00:00:00"/>
    <d v="2021-06-11T00:00:00"/>
    <m/>
    <s v="zrušeno - upravit specifikaci"/>
    <m/>
    <m/>
    <m/>
    <m/>
    <m/>
    <m/>
    <m/>
    <m/>
    <x v="6"/>
    <d v="2021-12-08T00:00:00"/>
    <s v="19.11.2021 zrušeno"/>
  </r>
  <r>
    <d v="2021-03-23T00:00:00"/>
    <s v="VZ-2021-000269"/>
    <x v="2"/>
    <s v="Rosulek"/>
    <x v="137"/>
    <m/>
    <m/>
    <m/>
    <s v="38634000-8"/>
    <s v="2.3.490. "/>
    <n v="634653"/>
    <x v="2"/>
    <d v="2021-03-25T00:00:00"/>
    <d v="2021-04-08T00:00:00"/>
    <d v="2021-04-20T00:00:00"/>
    <s v="Olympus Czech Group, s.r.o."/>
    <m/>
    <n v="628760.31999999995"/>
    <n v="760799.9"/>
    <m/>
    <m/>
    <m/>
    <d v="2021-04-21T00:00:00"/>
    <s v="SMLN-2021-617-000166_x000a_SMLN-2021-612-000027"/>
    <x v="93"/>
    <d v="2021-07-02T00:00:00"/>
    <d v="2021-08-29T00:00:00"/>
  </r>
  <r>
    <d v="2021-03-23T00:00:00"/>
    <s v="VZ-2021-000270"/>
    <x v="2"/>
    <s v="Rosulek"/>
    <x v="138"/>
    <m/>
    <m/>
    <m/>
    <s v="33194100-7"/>
    <s v="2.3.459."/>
    <n v="1294000"/>
    <x v="2"/>
    <d v="2021-04-27T00:00:00"/>
    <d v="2021-05-12T00:00:00"/>
    <d v="2021-07-14T00:00:00"/>
    <s v="3M Česko, spol. s r.o."/>
    <m/>
    <n v="1151738.6399999999"/>
    <n v="1393603.76"/>
    <m/>
    <m/>
    <m/>
    <d v="2021-07-14T00:00:00"/>
    <s v="SMLN-2021-617-000374_x000a_SMLN-2021-612-000068_x000a_SMLN-2021-617-000375"/>
    <x v="94"/>
    <d v="2021-07-29T00:00:00"/>
    <d v="2021-09-17T00:00:00"/>
  </r>
  <r>
    <d v="2021-03-24T00:00:00"/>
    <s v="VZ-2021-000275"/>
    <x v="3"/>
    <s v="Zeman"/>
    <x v="139"/>
    <m/>
    <m/>
    <m/>
    <s v="45223300-9"/>
    <s v="1.2.71."/>
    <n v="15000000"/>
    <x v="1"/>
    <d v="2021-03-29T00:00:00"/>
    <d v="2021-04-20T00:00:00"/>
    <d v="2021-04-30T00:00:00"/>
    <s v="Hroší stavby Morava a.s."/>
    <m/>
    <n v="12870000"/>
    <n v="15572700"/>
    <m/>
    <m/>
    <m/>
    <d v="2021-05-03T00:00:00"/>
    <s v="SMLN-2021-618-000023"/>
    <x v="66"/>
    <d v="2021-06-17T00:00:00"/>
    <d v="2021-10-17T00:00:00"/>
  </r>
  <r>
    <d v="2021-03-25T00:00:00"/>
    <s v="VZ-2021-000277"/>
    <x v="3"/>
    <s v="Valíček"/>
    <x v="140"/>
    <m/>
    <m/>
    <m/>
    <s v="45215100-8"/>
    <s v="1.2.61."/>
    <n v="33000000"/>
    <x v="1"/>
    <d v="2021-04-01T00:00:00"/>
    <d v="2021-04-23T00:00:00"/>
    <d v="2021-04-27T00:00:00"/>
    <s v="OHL ŽS, a.s."/>
    <m/>
    <n v="29995496.359999999"/>
    <n v="36294550.600000001"/>
    <m/>
    <m/>
    <m/>
    <d v="2021-04-27T00:00:00"/>
    <s v="SMLN-2021-618-000021"/>
    <x v="95"/>
    <d v="2021-06-14T00:00:00"/>
    <d v="2021-09-02T00:00:00"/>
  </r>
  <r>
    <d v="2021-03-24T00:00:00"/>
    <s v="VZ-2021-000283"/>
    <x v="1"/>
    <s v="Valtová"/>
    <x v="141"/>
    <m/>
    <m/>
    <m/>
    <s v="33140000-3"/>
    <m/>
    <n v="1720000"/>
    <x v="2"/>
    <d v="2021-03-29T00:00:00"/>
    <d v="2021-04-08T00:00:00"/>
    <d v="2021-04-16T00:00:00"/>
    <s v="Johnson  &amp; Johnson s.r.o."/>
    <m/>
    <n v="1720000"/>
    <n v="1978000"/>
    <m/>
    <m/>
    <m/>
    <d v="2021-04-16T00:00:00"/>
    <s v="SMLN-2021-617-000158_x000a_SMLN-2021-614-000024_x000a_SMLN-2021-617-000159"/>
    <x v="73"/>
    <d v="2021-05-07T00:00:00"/>
    <d v="2023-05-04T00:00:00"/>
  </r>
  <r>
    <d v="2021-03-25T00:00:00"/>
    <s v="VZ-2021-000284"/>
    <x v="1"/>
    <s v="Dočkalová"/>
    <x v="142"/>
    <m/>
    <m/>
    <m/>
    <s v="33168100-6"/>
    <m/>
    <n v="1026400"/>
    <x v="2"/>
    <d v="2021-03-29T00:00:00"/>
    <d v="2021-04-08T00:00:00"/>
    <d v="2021-04-21T00:00:00"/>
    <s v="MEDIAl, spol. s r.o."/>
    <m/>
    <n v="990000"/>
    <n v="1197900"/>
    <m/>
    <m/>
    <m/>
    <d v="2021-04-22T00:00:00"/>
    <s v="SMLN-2021-617-000167_x000a_SMLN-2021-614-000025"/>
    <x v="69"/>
    <d v="2021-05-14T00:00:00"/>
    <d v="2024-05-12T00:00:00"/>
  </r>
  <r>
    <s v="opakovaná VZ"/>
    <s v="VZ-2021-000287"/>
    <x v="8"/>
    <s v="Kadlec"/>
    <x v="143"/>
    <m/>
    <m/>
    <m/>
    <s v="45421100-5"/>
    <m/>
    <n v="300000"/>
    <x v="2"/>
    <d v="2021-03-31T00:00:00"/>
    <d v="2021-04-13T00:00:00"/>
    <d v="2021-04-21T00:00:00"/>
    <s v="Dortechnik, s.r.o."/>
    <m/>
    <n v="315063.45"/>
    <n v="381226.77"/>
    <m/>
    <m/>
    <m/>
    <d v="2021-04-21T00:00:00"/>
    <s v="SMLN-2021-618-000020"/>
    <x v="35"/>
    <d v="2021-05-06T00:00:00"/>
    <d v="2021-05-24T00:00:00"/>
  </r>
  <r>
    <d v="2021-03-29T00:00:00"/>
    <s v="VZ-2021-000289"/>
    <x v="1"/>
    <s v="Valtová"/>
    <x v="144"/>
    <m/>
    <m/>
    <m/>
    <s v="33140000-3"/>
    <m/>
    <n v="26078250"/>
    <x v="0"/>
    <d v="2021-04-06T00:00:00"/>
    <d v="2021-05-10T00:00:00"/>
    <d v="2021-05-18T00:00:00"/>
    <s v="CARDION s.r.o."/>
    <m/>
    <n v="26043478.260000002"/>
    <n v="29950000"/>
    <m/>
    <m/>
    <m/>
    <d v="2021-05-18T00:00:00"/>
    <s v="SMLN-2021-617-000235_x000a_SMLN-2021-614-000040"/>
    <x v="19"/>
    <d v="2021-06-16T00:00:00"/>
    <d v="2024-06-09T00:00:00"/>
  </r>
  <r>
    <d v="2021-03-31T00:00:00"/>
    <s v="VZ-2021-000306"/>
    <x v="14"/>
    <s v="Fritscher"/>
    <x v="145"/>
    <m/>
    <m/>
    <m/>
    <s v="79800000-2"/>
    <m/>
    <n v="400000"/>
    <x v="2"/>
    <d v="2021-04-07T00:00:00"/>
    <d v="2021-04-16T00:00:00"/>
    <d v="2021-04-20T00:00:00"/>
    <s v="Profi-tisk group s.r.o."/>
    <m/>
    <n v="195006"/>
    <n v="214506.6"/>
    <m/>
    <m/>
    <m/>
    <d v="2021-04-20T00:00:00"/>
    <s v="SMLN-2021-617-000161"/>
    <x v="87"/>
    <d v="2021-05-26T00:00:00"/>
    <d v="2023-04-30T00:00:00"/>
  </r>
  <r>
    <d v="2021-03-31T00:00:00"/>
    <s v="VZ-2021-000307"/>
    <x v="0"/>
    <s v="Ondráčková"/>
    <x v="146"/>
    <n v="1"/>
    <s v="RADIUM-(223RA)-DICHLORID"/>
    <m/>
    <s v="09343000-5"/>
    <m/>
    <n v="4144896"/>
    <x v="0"/>
    <d v="2021-04-28T00:00:00"/>
    <d v="2021-05-31T00:00:00"/>
    <d v="2021-08-17T00:00:00"/>
    <s v="BAYER s.r.o."/>
    <m/>
    <n v="4144896"/>
    <n v="4559385.5999999996"/>
    <m/>
    <m/>
    <m/>
    <d v="2021-08-17T00:00:00"/>
    <s v="SMLN-2021-617-000432"/>
    <x v="96"/>
    <d v="2021-09-30T00:00:00"/>
    <d v="2024-09-23T00:00:00"/>
  </r>
  <r>
    <d v="2021-03-31T00:00:00"/>
    <s v="VZ-2021-000307"/>
    <x v="0"/>
    <s v="Ondráčková"/>
    <x v="146"/>
    <n v="2"/>
    <s v="LUTECIUM (177LU) OXODOTREOTID"/>
    <m/>
    <s v="09343000-5"/>
    <m/>
    <n v="63362375"/>
    <x v="0"/>
    <d v="2021-04-28T00:00:00"/>
    <d v="2021-05-31T00:00:00"/>
    <d v="2021-08-17T00:00:00"/>
    <s v="M.G.P. spol. s r.o."/>
    <m/>
    <n v="63360000"/>
    <n v="69696000"/>
    <m/>
    <m/>
    <m/>
    <d v="2021-08-17T00:00:00"/>
    <s v="SMLN-2021-617-000433"/>
    <x v="97"/>
    <d v="2021-09-30T00:00:00"/>
    <d v="2024-09-15T00:00:00"/>
  </r>
  <r>
    <d v="2021-04-01T00:00:00"/>
    <s v="VZ-2021-000308"/>
    <x v="5"/>
    <s v="Oravec"/>
    <x v="147"/>
    <m/>
    <m/>
    <m/>
    <s v="72268000-1"/>
    <m/>
    <n v="575200"/>
    <x v="2"/>
    <d v="2021-04-09T00:00:00"/>
    <d v="2021-05-04T00:00:00"/>
    <d v="2021-05-21T00:00:00"/>
    <s v="O2 Czech Republic a.s."/>
    <m/>
    <n v="764800"/>
    <n v="925408"/>
    <m/>
    <m/>
    <m/>
    <d v="2021-05-21T00:00:00"/>
    <s v="SMLN-2021-612-000036"/>
    <x v="59"/>
    <d v="2021-06-28T00:00:00"/>
    <s v="doba neurčitá"/>
  </r>
  <r>
    <d v="2021-04-01T00:00:00"/>
    <s v="VZ-2021-000310"/>
    <x v="1"/>
    <s v="Dočkalová"/>
    <x v="148"/>
    <m/>
    <m/>
    <m/>
    <s v="33141310-6"/>
    <m/>
    <n v="3564039"/>
    <x v="1"/>
    <d v="2021-04-09T00:00:00"/>
    <d v="2021-04-28T00:00:00"/>
    <d v="2021-05-20T00:00:00"/>
    <s v="CHIRANA T. Injecta, s.r.o."/>
    <m/>
    <n v="3563538.45"/>
    <n v="4311881.5199999996"/>
    <m/>
    <m/>
    <m/>
    <d v="2021-05-20T00:00:00"/>
    <s v="SMLN-2021-617-000247"/>
    <x v="70"/>
    <d v="2021-06-16T00:00:00"/>
    <d v="2024-06-13T00:00:00"/>
  </r>
  <r>
    <d v="2021-04-01T00:00:00"/>
    <s v="VZ-2021-000311"/>
    <x v="1"/>
    <s v="Dočkalová"/>
    <x v="149"/>
    <m/>
    <m/>
    <m/>
    <s v="33140000-3"/>
    <m/>
    <n v="81184000"/>
    <x v="0"/>
    <d v="2021-04-27T00:00:00"/>
    <d v="2021-07-12T00:00:00"/>
    <d v="2021-12-15T00:00:00"/>
    <s v="Terumo BCT Europe N.V."/>
    <m/>
    <n v="72480000"/>
    <n v="87700800"/>
    <m/>
    <m/>
    <m/>
    <d v="2021-12-16T00:00:00"/>
    <s v="SMLN-2021-616-000069_x000a_SMLN-2021-614-000129_x000a_SMLN-2021-616-000069"/>
    <x v="6"/>
    <m/>
    <m/>
  </r>
  <r>
    <d v="2021-04-06T00:00:00"/>
    <s v="VZ-2021-000312"/>
    <x v="1"/>
    <s v="Valtová"/>
    <x v="150"/>
    <m/>
    <m/>
    <m/>
    <s v="33140000-3"/>
    <m/>
    <n v="1250550"/>
    <x v="2"/>
    <d v="2021-04-13T00:00:00"/>
    <d v="2021-04-22T00:00:00"/>
    <d v="2021-04-23T00:00:00"/>
    <s v="IMMOMEDICAL CZ s.r.o."/>
    <m/>
    <n v="1250550"/>
    <n v="1438132.5"/>
    <m/>
    <m/>
    <m/>
    <d v="2021-04-23T00:00:00"/>
    <s v="SMLN-2021-617-000173_x000a_SMLN-2021-614-000029"/>
    <x v="98"/>
    <d v="2021-05-20T00:00:00"/>
    <d v="2024-05-13T00:00:00"/>
  </r>
  <r>
    <s v="opakovaná VZ"/>
    <s v="VZ-2021-000316"/>
    <x v="1"/>
    <s v="Merta"/>
    <x v="151"/>
    <m/>
    <m/>
    <m/>
    <s v="33140000-3"/>
    <m/>
    <n v="536400"/>
    <x v="2"/>
    <d v="2021-04-09T00:00:00"/>
    <d v="2021-04-20T00:00:00"/>
    <d v="2021-04-22T00:00:00"/>
    <s v="BoneCare s.r.o."/>
    <m/>
    <n v="531900"/>
    <n v="611685"/>
    <m/>
    <m/>
    <m/>
    <d v="2021-04-22T00:00:00"/>
    <s v="SMLN-2021-617-000172_x000a_SMLN-2021-614-000028_x000a_SMLN-2021-616-000033"/>
    <x v="56"/>
    <d v="2021-05-13T00:00:00"/>
    <d v="2023-05-09T00:00:00"/>
  </r>
  <r>
    <d v="2021-04-07T00:00:00"/>
    <s v="VZ-2021-000318"/>
    <x v="1"/>
    <s v="Valtová"/>
    <x v="152"/>
    <n v="1"/>
    <s v="Spy Glass - Katétr přístupový"/>
    <m/>
    <s v="33140000-3"/>
    <m/>
    <n v="2303400"/>
    <x v="0"/>
    <d v="2021-04-23T00:00:00"/>
    <d v="2021-05-26T00:00:00"/>
    <d v="2021-06-30T00:00:00"/>
    <s v="Boston Scientific Česká republika s.r.o."/>
    <m/>
    <n v="2211264"/>
    <n v="2675629.44"/>
    <m/>
    <m/>
    <m/>
    <d v="2021-07-01T00:00:00"/>
    <s v="SMLN-2021-617-000355_x000a_SMLN-2021-614-000065"/>
    <x v="99"/>
    <d v="2021-08-25T00:00:00"/>
    <d v="2023-08-11T00:00:00"/>
  </r>
  <r>
    <d v="2021-04-07T00:00:00"/>
    <s v="VZ-2021-000318"/>
    <x v="1"/>
    <s v="Valtová"/>
    <x v="152"/>
    <n v="2"/>
    <s v="Spy Glass - Kleště bioptické"/>
    <m/>
    <s v="33140000-3"/>
    <m/>
    <n v="525000"/>
    <x v="0"/>
    <d v="2021-04-23T00:00:00"/>
    <d v="2021-05-26T00:00:00"/>
    <d v="2021-06-30T00:00:00"/>
    <s v="Boston Scientific Česká republika s.r.o."/>
    <m/>
    <n v="504000"/>
    <n v="609840"/>
    <m/>
    <m/>
    <m/>
    <d v="2021-07-01T00:00:00"/>
    <s v="SMLN-2021-617-000356_x000a_SMLN-2021-614-000066"/>
    <x v="99"/>
    <d v="2021-08-25T00:00:00"/>
    <d v="2023-08-11T00:00:00"/>
  </r>
  <r>
    <d v="2021-04-07T00:00:00"/>
    <s v="VZ-2021-000318"/>
    <x v="1"/>
    <s v="Valtová"/>
    <x v="152"/>
    <n v="3"/>
    <s v="Spy Glass - Košík extrakční"/>
    <m/>
    <s v="33140000-3"/>
    <m/>
    <n v="230000"/>
    <x v="0"/>
    <d v="2021-04-23T00:00:00"/>
    <d v="2021-05-26T00:00:00"/>
    <m/>
    <s v="zrušeno - nesplnění kvalifikace"/>
    <s v="nová VZ-2021-000539"/>
    <m/>
    <m/>
    <m/>
    <m/>
    <m/>
    <m/>
    <m/>
    <x v="6"/>
    <d v="2021-06-17T00:00:00"/>
    <s v="17.6.2021 zrušeno"/>
  </r>
  <r>
    <d v="2021-04-07T00:00:00"/>
    <s v="VZ-2021-000318"/>
    <x v="1"/>
    <s v="Valtová"/>
    <x v="152"/>
    <n v="4"/>
    <s v="Spy Glass - Klička polypektomická"/>
    <m/>
    <s v="33140000-3"/>
    <m/>
    <n v="230000"/>
    <x v="0"/>
    <d v="2021-04-23T00:00:00"/>
    <d v="2021-05-26T00:00:00"/>
    <m/>
    <s v="zrušeno - nesplnění kvalifikace"/>
    <s v="nová VZ-2021-000539"/>
    <m/>
    <m/>
    <m/>
    <m/>
    <m/>
    <m/>
    <m/>
    <x v="6"/>
    <d v="2021-06-17T00:00:00"/>
    <s v="17.6.2021 zrušeno"/>
  </r>
  <r>
    <d v="2021-04-07T00:00:00"/>
    <s v="VZ-2021-000318"/>
    <x v="1"/>
    <s v="Valtová"/>
    <x v="152"/>
    <n v="5"/>
    <s v="Spy Glass - Sonda pro EHL"/>
    <m/>
    <s v="33140000-3"/>
    <m/>
    <n v="690000"/>
    <x v="0"/>
    <d v="2021-04-23T00:00:00"/>
    <d v="2021-05-26T00:00:00"/>
    <m/>
    <s v="zrušeno - překročení ceny"/>
    <s v="nová VZ-2021-000539"/>
    <m/>
    <m/>
    <m/>
    <m/>
    <m/>
    <m/>
    <m/>
    <x v="6"/>
    <d v="2021-06-04T00:00:00"/>
    <s v="3.6.2021 zrušeno"/>
  </r>
  <r>
    <d v="2021-04-08T00:00:00"/>
    <s v="VZ-2021-000319"/>
    <x v="1"/>
    <s v="Dočkalová"/>
    <x v="153"/>
    <m/>
    <m/>
    <m/>
    <s v="33140000-3"/>
    <m/>
    <n v="1820160"/>
    <x v="2"/>
    <d v="2021-04-12T00:00:00"/>
    <d v="2021-04-27T00:00:00"/>
    <d v="2021-05-04T00:00:00"/>
    <s v="Mediform, spol. s r.o."/>
    <m/>
    <n v="1602120"/>
    <n v="1938565.2"/>
    <m/>
    <m/>
    <m/>
    <d v="2021-05-04T00:00:00"/>
    <s v="SMLN-2021-617-000198"/>
    <x v="87"/>
    <d v="2021-05-28T00:00:00"/>
    <d v="2024-05-24T00:00:00"/>
  </r>
  <r>
    <d v="2021-04-08T00:00:00"/>
    <s v="VZ-2021-000321"/>
    <x v="0"/>
    <s v="Ondráčková"/>
    <x v="154"/>
    <m/>
    <m/>
    <m/>
    <s v="33694000-1, 38434000-6"/>
    <m/>
    <n v="2357310"/>
    <x v="1"/>
    <d v="2021-05-04T00:00:00"/>
    <d v="2021-06-02T00:00:00"/>
    <m/>
    <s v="zrušeno - nesplnění podmínek"/>
    <m/>
    <m/>
    <m/>
    <m/>
    <m/>
    <m/>
    <m/>
    <m/>
    <x v="6"/>
    <d v="2021-07-20T00:00:00"/>
    <s v="19.7.2021 zrušeno"/>
  </r>
  <r>
    <d v="2021-04-08T00:00:00"/>
    <s v="VZ-2021-000322"/>
    <x v="1"/>
    <s v="Valtová"/>
    <x v="155"/>
    <m/>
    <m/>
    <m/>
    <s v="33140000-3"/>
    <m/>
    <n v="1138000"/>
    <x v="2"/>
    <d v="2021-04-12T00:00:00"/>
    <d v="2021-04-23T00:00:00"/>
    <d v="2021-04-28T00:00:00"/>
    <s v="Boston Scientific Česká republika s.r.o."/>
    <m/>
    <n v="1138000"/>
    <n v="1308700"/>
    <m/>
    <m/>
    <m/>
    <d v="2021-04-28T00:00:00"/>
    <s v="SMLN-2021-617-000184_x000a_SMLN-2021-614-000030"/>
    <x v="87"/>
    <d v="2021-05-26T00:00:00"/>
    <d v="2023-05-24T00:00:00"/>
  </r>
  <r>
    <d v="2021-04-07T00:00:00"/>
    <s v="VZ-2021-000323"/>
    <x v="1"/>
    <s v="Dočkalová"/>
    <x v="156"/>
    <m/>
    <m/>
    <m/>
    <s v="33162200-5"/>
    <m/>
    <n v="1185000"/>
    <x v="2"/>
    <d v="2021-04-16T00:00:00"/>
    <d v="2021-04-30T00:00:00"/>
    <m/>
    <s v="zrušeno - nesplnění zadání"/>
    <s v="nová VZ-2021-000491"/>
    <m/>
    <m/>
    <m/>
    <m/>
    <m/>
    <m/>
    <m/>
    <x v="6"/>
    <d v="2021-05-18T00:00:00"/>
    <m/>
  </r>
  <r>
    <d v="2021-04-08T00:00:00"/>
    <s v="VZ-2021-000324"/>
    <x v="2"/>
    <s v="Rosulek"/>
    <x v="157"/>
    <m/>
    <m/>
    <m/>
    <s v="38433210-4"/>
    <s v="2.3.491."/>
    <n v="1033058"/>
    <x v="2"/>
    <d v="2021-04-15T00:00:00"/>
    <d v="2021-04-27T00:00:00"/>
    <d v="2021-05-24T00:00:00"/>
    <s v="CANBERRA-PACKARD, s.r.o."/>
    <m/>
    <n v="989400"/>
    <n v="1197174"/>
    <m/>
    <m/>
    <m/>
    <d v="2021-05-24T00:00:00"/>
    <s v="SMLN-2021-617-000251_x000a_SMLN-2021-612-000038"/>
    <x v="93"/>
    <d v="2021-07-13T00:00:00"/>
    <d v="2021-09-08T00:00:00"/>
  </r>
  <r>
    <d v="2021-04-12T00:00:00"/>
    <s v="VZ-2021-000328"/>
    <x v="9"/>
    <s v="Svozil"/>
    <x v="158"/>
    <m/>
    <m/>
    <m/>
    <s v="71000000-8 "/>
    <s v="1.2.76."/>
    <n v="500000"/>
    <x v="2"/>
    <d v="2021-04-14T00:00:00"/>
    <d v="2021-04-19T00:00:00"/>
    <d v="2021-04-21T00:00:00"/>
    <s v="PKV BUILD s.r.o."/>
    <m/>
    <n v="998500"/>
    <n v="1208185"/>
    <m/>
    <m/>
    <m/>
    <d v="2021-04-21T00:00:00"/>
    <s v="SMLN-2021-612-000028"/>
    <x v="61"/>
    <d v="2021-04-22T00:00:00"/>
    <d v="2021-05-31T00:00:00"/>
  </r>
  <r>
    <s v="opakovaná VZ"/>
    <s v="VZ-2021-000329"/>
    <x v="2"/>
    <s v="Rosulek"/>
    <x v="159"/>
    <m/>
    <m/>
    <m/>
    <s v="33155000-1"/>
    <s v="2.2.308, 2.2.309"/>
    <n v="348000"/>
    <x v="2"/>
    <d v="2021-04-15T00:00:00"/>
    <d v="2021-04-26T00:00:00"/>
    <d v="2021-05-05T00:00:00"/>
    <s v="Fidia Pharma CZ s.r.o."/>
    <m/>
    <n v="248075"/>
    <n v="300170.75"/>
    <m/>
    <m/>
    <m/>
    <d v="2021-05-05T00:00:00"/>
    <s v="SMLN-2021-617-000200_x000a_SMLN-2021-612-000029"/>
    <x v="100"/>
    <d v="2021-06-22T00:00:00"/>
    <d v="2021-07-01T00:00:00"/>
  </r>
  <r>
    <d v="2021-04-13T00:00:00"/>
    <s v="VZ-2021-000336"/>
    <x v="4"/>
    <s v="Srovnal"/>
    <x v="160"/>
    <m/>
    <m/>
    <m/>
    <s v="45442100-8"/>
    <m/>
    <n v="15500000"/>
    <x v="1"/>
    <d v="2021-05-03T00:00:00"/>
    <d v="2021-05-19T00:00:00"/>
    <d v="2021-05-27T00:00:00"/>
    <s v="STAVNEMO s.r.o."/>
    <m/>
    <n v="14798602.25"/>
    <n v="17906308.719999999"/>
    <m/>
    <m/>
    <m/>
    <d v="2021-05-27T00:00:00"/>
    <s v="SMLN-2021-618-000038"/>
    <x v="93"/>
    <d v="2021-07-07T00:00:00"/>
    <d v="2025-06-29T00:00:00"/>
  </r>
  <r>
    <d v="2021-04-14T00:00:00"/>
    <s v="VZ-2021-000337"/>
    <x v="1"/>
    <s v="Dočkalová"/>
    <x v="161"/>
    <m/>
    <m/>
    <m/>
    <s v="33140000-3"/>
    <m/>
    <n v="2100000"/>
    <x v="1"/>
    <d v="2021-04-22T00:00:00"/>
    <d v="2021-05-11T00:00:00"/>
    <d v="2021-05-18T00:00:00"/>
    <s v="EspoMed, spol.s  r.o."/>
    <m/>
    <n v="2100000"/>
    <n v="2415000"/>
    <m/>
    <m/>
    <m/>
    <d v="2021-05-18T00:00:00"/>
    <s v="SMLN-2021-617-000237_x000a_SMLN-2021-614-000042"/>
    <x v="77"/>
    <d v="2021-06-18T00:00:00"/>
    <d v="2024-06-17T00:00:00"/>
  </r>
  <r>
    <d v="2021-04-14T00:00:00"/>
    <s v="VZ-2021-000338"/>
    <x v="1"/>
    <s v="Dočkalová"/>
    <x v="162"/>
    <m/>
    <m/>
    <m/>
    <s v="33140000-3"/>
    <m/>
    <n v="2066400"/>
    <x v="1"/>
    <d v="2021-04-22T00:00:00"/>
    <d v="2021-05-11T00:00:00"/>
    <d v="2021-05-18T00:00:00"/>
    <s v="EspoMed, spol.s  r.o."/>
    <m/>
    <n v="2066400"/>
    <n v="2376360"/>
    <m/>
    <m/>
    <m/>
    <d v="2021-05-18T00:00:00"/>
    <s v="SMLN-2021-617-000236_x000a_SMLN-2021-614-000041"/>
    <x v="77"/>
    <d v="2021-06-18T00:00:00"/>
    <d v="2024-06-25T00:00:00"/>
  </r>
  <r>
    <d v="2021-04-14T00:00:00"/>
    <s v="VZ-2021-000340"/>
    <x v="1"/>
    <s v="Dočkalová"/>
    <x v="163"/>
    <m/>
    <m/>
    <m/>
    <s v="33140000-3"/>
    <m/>
    <n v="524480"/>
    <x v="2"/>
    <d v="2021-04-16T00:00:00"/>
    <d v="2021-04-27T00:00:00"/>
    <d v="2021-05-03T00:00:00"/>
    <s v="ARID obchodní společnost, s.r.o."/>
    <m/>
    <n v="524480"/>
    <n v="634620.80000000005"/>
    <m/>
    <m/>
    <m/>
    <d v="2021-05-03T00:00:00"/>
    <s v="SMLN-2021-617-000193_x000a_SMLN-2021-614-000032"/>
    <x v="69"/>
    <d v="2021-05-14T00:00:00"/>
    <d v="2024-06-27T00:00:00"/>
  </r>
  <r>
    <d v="2021-04-14T00:00:00"/>
    <s v="VZ-2021-000341"/>
    <x v="1"/>
    <s v="Dočkalová"/>
    <x v="164"/>
    <m/>
    <m/>
    <m/>
    <s v="33140000-3"/>
    <m/>
    <n v="661500"/>
    <x v="2"/>
    <d v="2021-04-16T00:00:00"/>
    <d v="2021-04-27T00:00:00"/>
    <d v="2021-05-03T00:00:00"/>
    <s v="EspoMed, spol.s  r.o."/>
    <m/>
    <n v="661500"/>
    <n v="800415"/>
    <m/>
    <m/>
    <m/>
    <d v="2021-05-03T00:00:00"/>
    <s v="SMLN-2021-617-000192_x000a_SMLN-2021-614-000031"/>
    <x v="74"/>
    <d v="2021-06-01T00:00:00"/>
    <d v="2024-05-31T00:00:00"/>
  </r>
  <r>
    <d v="2021-04-15T00:00:00"/>
    <s v="VZ-2021-000344"/>
    <x v="0"/>
    <s v="Ondráčková"/>
    <x v="165"/>
    <n v="1"/>
    <s v="FLUDEOXYLUKOSA-(18F)"/>
    <m/>
    <s v="09343000-5"/>
    <m/>
    <n v="47769150"/>
    <x v="0"/>
    <d v="2021-04-19T00:00:00"/>
    <d v="2021-07-15T00:00:00"/>
    <d v="2021-09-17T00:00:00"/>
    <s v="RadioMedic s.r.o."/>
    <m/>
    <n v="47368290"/>
    <n v="52105119"/>
    <m/>
    <m/>
    <m/>
    <d v="2021-09-17T00:00:00"/>
    <s v="SMLN-2021-617-000506"/>
    <x v="101"/>
    <d v="2021-10-14T00:00:00"/>
    <d v="2024-10-12T00:00:00"/>
  </r>
  <r>
    <s v="opakovaná VZ"/>
    <s v="VZ-2021-000345"/>
    <x v="0"/>
    <s v="Ondráčková"/>
    <x v="166"/>
    <n v="1"/>
    <s v="INTERFERON BETA-1A I."/>
    <m/>
    <s v="33652000-5"/>
    <m/>
    <n v="73696560"/>
    <x v="0"/>
    <d v="2021-04-22T00:00:00"/>
    <d v="2021-05-26T00:00:00"/>
    <d v="2021-06-14T00:00:00"/>
    <s v="Alliance Healthcare s.r.o."/>
    <m/>
    <n v="50990004.659999996"/>
    <n v="56089005.130000003"/>
    <m/>
    <m/>
    <m/>
    <d v="2021-06-14T00:00:00"/>
    <s v="SMLN-2021-617-000300"/>
    <x v="90"/>
    <d v="2021-07-15T00:00:00"/>
    <d v="2024-07-07T00:00:00"/>
  </r>
  <r>
    <d v="2021-04-15T00:00:00"/>
    <s v="VZ-2021-000346"/>
    <x v="0"/>
    <s v="Ondráčková"/>
    <x v="167"/>
    <n v="1"/>
    <s v="RISANKIZUMAB"/>
    <m/>
    <s v="33652300-8"/>
    <m/>
    <n v="3111822"/>
    <x v="0"/>
    <d v="2021-04-19T00:00:00"/>
    <d v="2021-07-07T00:00:00"/>
    <d v="2021-08-09T00:00:00"/>
    <s v="AbbVie s.r.o."/>
    <m/>
    <n v="3111818.85"/>
    <n v="3423000.74"/>
    <m/>
    <m/>
    <m/>
    <d v="2021-08-10T00:00:00"/>
    <s v="SMLN-2021-617-000415"/>
    <x v="102"/>
    <d v="2021-09-07T00:00:00"/>
    <d v="2026-08-31T00:00:00"/>
  </r>
  <r>
    <d v="2021-04-15T00:00:00"/>
    <s v="VZ-2021-000346"/>
    <x v="0"/>
    <s v="Ondráčková"/>
    <x v="167"/>
    <n v="2"/>
    <s v="UPADACITINIB"/>
    <m/>
    <s v="33652300-8"/>
    <m/>
    <n v="10122390"/>
    <x v="0"/>
    <d v="2021-04-19T00:00:00"/>
    <d v="2021-07-07T00:00:00"/>
    <d v="2021-08-09T00:00:00"/>
    <s v="AbbVie s.r.o."/>
    <m/>
    <n v="10122390"/>
    <n v="11134629"/>
    <m/>
    <m/>
    <m/>
    <d v="2021-08-10T00:00:00"/>
    <s v="SMLN-2021-617-000416"/>
    <x v="102"/>
    <d v="2021-09-07T00:00:00"/>
    <d v="2026-08-31T00:00:00"/>
  </r>
  <r>
    <d v="2021-04-15T00:00:00"/>
    <s v="VZ-2021-000347"/>
    <x v="4"/>
    <s v="Srovnal"/>
    <x v="168"/>
    <m/>
    <m/>
    <m/>
    <s v="42513290-4"/>
    <s v="4.2.154."/>
    <n v="4600000"/>
    <x v="0"/>
    <d v="2021-04-21T00:00:00"/>
    <d v="2021-05-24T00:00:00"/>
    <m/>
    <s v="zrušeno - po obdržení námitek již mimo domluvené termíny realizace"/>
    <m/>
    <m/>
    <m/>
    <m/>
    <m/>
    <m/>
    <m/>
    <m/>
    <x v="6"/>
    <d v="2021-07-19T00:00:00"/>
    <s v="1.7.2021 zrušeno"/>
  </r>
  <r>
    <d v="2021-04-22T00:00:00"/>
    <s v="VZ-2021-000354"/>
    <x v="1"/>
    <s v="Dočkalová"/>
    <x v="169"/>
    <m/>
    <m/>
    <m/>
    <s v="33140000-3"/>
    <m/>
    <n v="595548"/>
    <x v="2"/>
    <d v="2021-04-27T00:00:00"/>
    <d v="2021-05-11T00:00:00"/>
    <d v="2021-05-20T00:00:00"/>
    <s v="CHEIRÓN, a.s."/>
    <m/>
    <n v="616115.28"/>
    <n v="745500"/>
    <m/>
    <m/>
    <m/>
    <d v="2021-05-20T00:00:00"/>
    <s v="SMLN-2021-617-000248_x000a_SMLN-2021-616-000044"/>
    <x v="89"/>
    <d v="2021-06-09T00:00:00"/>
    <d v="2024-06-06T00:00:00"/>
  </r>
  <r>
    <d v="2021-04-19T00:00:00"/>
    <s v="VZ-2021-000359"/>
    <x v="2"/>
    <s v="Rosulek"/>
    <x v="170"/>
    <m/>
    <m/>
    <m/>
    <s v="33162100-4"/>
    <s v="2.2.299."/>
    <n v="3465000"/>
    <x v="0"/>
    <d v="2021-04-27T00:00:00"/>
    <d v="2021-06-01T00:00:00"/>
    <d v="2021-06-18T00:00:00"/>
    <s v="Carl Zeiss spol. s r.o."/>
    <m/>
    <n v="3339400"/>
    <n v="4040674"/>
    <m/>
    <m/>
    <m/>
    <d v="2021-06-18T00:00:00"/>
    <s v="SMLN-2021-617-000311_x000a_SMLN-2021-612-000055"/>
    <x v="51"/>
    <d v="2021-07-16T00:00:00"/>
    <d v="2021-09-21T00:00:00"/>
  </r>
  <r>
    <d v="2021-09-03T00:00:00"/>
    <s v="VZ-2021-000371"/>
    <x v="15"/>
    <s v="Křivková"/>
    <x v="171"/>
    <m/>
    <m/>
    <m/>
    <s v="79221000-9"/>
    <m/>
    <n v="450000"/>
    <x v="2"/>
    <d v="2021-09-07T00:00:00"/>
    <d v="2021-09-15T00:00:00"/>
    <d v="2021-09-30T00:00:00"/>
    <s v="AGIS úcetnictví a daně, a.s."/>
    <m/>
    <n v="576000"/>
    <n v="696960"/>
    <m/>
    <m/>
    <m/>
    <d v="2021-09-30T00:00:00"/>
    <s v="SMLN-2021-612-000108"/>
    <x v="103"/>
    <d v="2021-10-15T00:00:00"/>
    <d v="2025-09-30T00:00:00"/>
  </r>
  <r>
    <d v="2021-04-23T00:00:00"/>
    <s v="VZ-2021-000381"/>
    <x v="1"/>
    <s v="Dočkalová"/>
    <x v="172"/>
    <m/>
    <m/>
    <m/>
    <s v="33140000-3"/>
    <m/>
    <n v="623200"/>
    <x v="2"/>
    <d v="2021-04-27T00:00:00"/>
    <d v="2021-05-11T00:00:00"/>
    <d v="2021-05-17T00:00:00"/>
    <s v="ARID obchodní společnost, s.r.o."/>
    <m/>
    <n v="623200"/>
    <n v="754072"/>
    <m/>
    <m/>
    <m/>
    <d v="2021-05-18T00:00:00"/>
    <s v="SMLN-2021-617-000241_x000a_SMLN-2021-614-000046"/>
    <x v="53"/>
    <d v="2021-06-04T00:00:00"/>
    <d v="2024-07-18T00:00:00"/>
  </r>
  <r>
    <s v="opakovaná VZ"/>
    <s v="VZ-2021-000382"/>
    <x v="2"/>
    <s v="Rosulek"/>
    <x v="173"/>
    <m/>
    <m/>
    <m/>
    <s v="33162100-4"/>
    <s v="2.2.270, 2.3.376., 2.3.447"/>
    <n v="340000"/>
    <x v="2"/>
    <d v="2021-04-27T00:00:00"/>
    <d v="2021-05-07T00:00:00"/>
    <d v="2021-05-24T00:00:00"/>
    <s v="VBM - lékařská technika, spol. s r.o."/>
    <m/>
    <n v="287540"/>
    <n v="347923.4"/>
    <m/>
    <m/>
    <m/>
    <d v="2021-05-24T00:00:00"/>
    <s v="SMLN-2021-617-000252_x000a_SMLN-2021-612-000039"/>
    <x v="19"/>
    <d v="2021-06-14T00:00:00"/>
    <d v="2021-07-08T00:00:00"/>
  </r>
  <r>
    <d v="2021-04-22T00:00:00"/>
    <s v="VZ-2021-000384"/>
    <x v="2"/>
    <s v="Zemánek"/>
    <x v="174"/>
    <m/>
    <m/>
    <m/>
    <s v="33167000-8"/>
    <m/>
    <n v="720000"/>
    <x v="2"/>
    <d v="2021-04-29T00:00:00"/>
    <d v="2021-05-13T00:00:00"/>
    <d v="2021-05-24T00:00:00"/>
    <s v="DN FORMED Brno s.r.o."/>
    <m/>
    <n v="529580.69999999995"/>
    <n v="640792.65"/>
    <m/>
    <m/>
    <m/>
    <d v="2021-05-24T00:00:00"/>
    <s v="SMLN-2021-617-000253_x000a_SMLN-2021-612-000040"/>
    <x v="89"/>
    <d v="2021-06-08T00:00:00"/>
    <d v="2021-08-16T00:00:00"/>
  </r>
  <r>
    <s v="26.4.2021."/>
    <s v="VZ-2021-000386"/>
    <x v="1"/>
    <s v="Valtová"/>
    <x v="175"/>
    <m/>
    <m/>
    <m/>
    <s v="33140000-3"/>
    <m/>
    <n v="540000"/>
    <x v="2"/>
    <d v="2021-04-30T00:00:00"/>
    <d v="2021-05-12T00:00:00"/>
    <d v="2021-05-18T00:00:00"/>
    <s v="PROMEDICA PRAHA GROUP, a.s."/>
    <m/>
    <n v="420000"/>
    <n v="508200"/>
    <m/>
    <m/>
    <m/>
    <d v="2021-05-18T00:00:00"/>
    <s v="SMLN-2021-617-000242_x000a_SMLN-2021-614-000047"/>
    <x v="85"/>
    <d v="2021-06-03T00:00:00"/>
    <d v="2024-06-25T00:00:00"/>
  </r>
  <r>
    <d v="2021-04-27T00:00:00"/>
    <s v="VZ-2021-000389"/>
    <x v="1"/>
    <s v="Dočkalová"/>
    <x v="176"/>
    <m/>
    <m/>
    <m/>
    <s v="33158210-7"/>
    <m/>
    <n v="21132446.100000001"/>
    <x v="0"/>
    <d v="2021-08-19T00:00:00"/>
    <d v="2021-10-07T00:00:00"/>
    <d v="2021-10-26T00:00:00"/>
    <s v="MEDIFINE a.s."/>
    <m/>
    <n v="20284280.399999999"/>
    <n v="23415000"/>
    <m/>
    <m/>
    <m/>
    <d v="2021-10-26T00:00:00"/>
    <s v="SMLN-2021-617-000589_x000a_SMLN-2021-614-000096"/>
    <x v="104"/>
    <d v="2021-12-01T00:00:00"/>
    <d v="2024-11-17T00:00:00"/>
  </r>
  <r>
    <d v="2021-04-26T00:00:00"/>
    <s v="VZ-2021-000392"/>
    <x v="5"/>
    <s v="Oravec"/>
    <x v="177"/>
    <m/>
    <m/>
    <m/>
    <s v="30232110-8,30232120-1"/>
    <m/>
    <n v="851900"/>
    <x v="2"/>
    <d v="2021-04-30T00:00:00"/>
    <d v="2021-05-13T00:00:00"/>
    <m/>
    <s v="zrušeno - úprava specifikace"/>
    <s v="nová VZ-2021-000822"/>
    <m/>
    <m/>
    <m/>
    <m/>
    <m/>
    <m/>
    <m/>
    <x v="6"/>
    <d v="2021-06-10T00:00:00"/>
    <m/>
  </r>
  <r>
    <d v="2021-04-27T00:00:00"/>
    <s v="VZ-2021-000393"/>
    <x v="0"/>
    <s v="Ondráčková"/>
    <x v="178"/>
    <n v="1"/>
    <s v="DEFEROXAMIN"/>
    <m/>
    <s v="33693000-4 "/>
    <m/>
    <n v="112572"/>
    <x v="0"/>
    <d v="2021-05-05T00:00:00"/>
    <d v="2021-06-07T00:00:00"/>
    <d v="2021-06-25T00:00:00"/>
    <s v="Alliance Healthcare s.r.o."/>
    <m/>
    <n v="112572"/>
    <n v="123829.2"/>
    <m/>
    <m/>
    <m/>
    <d v="2021-06-25T00:00:00"/>
    <s v="SMLN-2021-617-000342"/>
    <x v="105"/>
    <d v="2021-08-02T00:00:00"/>
    <d v="2024-07-20T00:00:00"/>
  </r>
  <r>
    <d v="2021-04-27T00:00:00"/>
    <s v="VZ-2021-000393"/>
    <x v="0"/>
    <s v="Ondráčková"/>
    <x v="178"/>
    <n v="2"/>
    <s v="DEFERIPRON"/>
    <m/>
    <s v="33693000-4 "/>
    <m/>
    <n v="260591"/>
    <x v="0"/>
    <d v="2021-05-05T00:00:00"/>
    <d v="2021-06-07T00:00:00"/>
    <m/>
    <s v="zrušeno - bez nabídky"/>
    <m/>
    <m/>
    <m/>
    <m/>
    <m/>
    <m/>
    <m/>
    <m/>
    <x v="6"/>
    <d v="2021-07-20T00:00:00"/>
    <s v="23.6.2021 zrušeno"/>
  </r>
  <r>
    <d v="2021-04-27T00:00:00"/>
    <s v="VZ-2021-000393"/>
    <x v="0"/>
    <s v="Ondráčková"/>
    <x v="178"/>
    <n v="3"/>
    <s v="DEFERASIROX"/>
    <m/>
    <s v="33693000-4 "/>
    <m/>
    <n v="15790500"/>
    <x v="0"/>
    <d v="2021-05-05T00:00:00"/>
    <d v="2021-06-07T00:00:00"/>
    <d v="2021-06-25T00:00:00"/>
    <s v="Alliance Healthcare s.r.o."/>
    <m/>
    <n v="15790500"/>
    <n v="17369550"/>
    <m/>
    <m/>
    <m/>
    <d v="2021-06-25T00:00:00"/>
    <s v="SMLN-2021-617-000343"/>
    <x v="105"/>
    <d v="2021-08-02T00:00:00"/>
    <d v="2024-07-20T00:00:00"/>
  </r>
  <r>
    <d v="2021-04-27T00:00:00"/>
    <s v="VZ-2021-000394"/>
    <x v="0"/>
    <s v="Ondráčková"/>
    <x v="179"/>
    <n v="1"/>
    <s v="NIRAPARIB"/>
    <m/>
    <s v="33652000-5"/>
    <m/>
    <n v="20937833"/>
    <x v="0"/>
    <d v="2021-05-04T00:00:00"/>
    <d v="2021-06-22T00:00:00"/>
    <d v="2021-07-13T00:00:00"/>
    <s v="PHARMOS, a.s."/>
    <m/>
    <n v="20418233.550000001"/>
    <n v="22460056.91"/>
    <m/>
    <m/>
    <m/>
    <d v="2021-07-13T00:00:00"/>
    <s v="SMLN-2021-617-000365"/>
    <x v="1"/>
    <d v="2021-08-13T00:00:00"/>
    <d v="2026-08-08T00:00:00"/>
  </r>
  <r>
    <d v="2021-04-27T00:00:00"/>
    <s v="VZ-2021-000394"/>
    <x v="0"/>
    <s v="Ondráčková"/>
    <x v="179"/>
    <n v="2"/>
    <s v="OLAPARIB"/>
    <m/>
    <s v="33652000-5"/>
    <m/>
    <n v="62307846"/>
    <x v="0"/>
    <d v="2021-05-04T00:00:00"/>
    <d v="2021-06-22T00:00:00"/>
    <m/>
    <s v="zrušeno - bez nabídky"/>
    <m/>
    <m/>
    <m/>
    <m/>
    <m/>
    <m/>
    <m/>
    <m/>
    <x v="6"/>
    <d v="2021-06-24T00:00:00"/>
    <s v="23.6.2021 zrušeno"/>
  </r>
  <r>
    <d v="2021-04-27T00:00:00"/>
    <s v="VZ-2021-000394"/>
    <x v="0"/>
    <s v="Ondráčková"/>
    <x v="179"/>
    <n v="3"/>
    <s v="LP ze skupiny cytostatik I."/>
    <m/>
    <s v="33652000-5"/>
    <m/>
    <n v="40221720"/>
    <x v="0"/>
    <d v="2021-05-04T00:00:00"/>
    <d v="2021-06-22T00:00:00"/>
    <d v="2021-07-13T00:00:00"/>
    <s v="Alliance Healthcare s.r.o."/>
    <m/>
    <n v="40221280.799999997"/>
    <n v="44243408.880000003"/>
    <m/>
    <m/>
    <m/>
    <d v="2021-07-13T00:00:00"/>
    <s v="SMLN-2021-617-000367"/>
    <x v="106"/>
    <d v="2021-08-13T00:00:00"/>
    <d v="2026-08-05T00:00:00"/>
  </r>
  <r>
    <d v="2021-04-27T00:00:00"/>
    <s v="VZ-2021-000394"/>
    <x v="0"/>
    <s v="Ondráčková"/>
    <x v="179"/>
    <n v="4"/>
    <s v="NERATINIB"/>
    <m/>
    <s v="33652000-5"/>
    <m/>
    <n v="15164580"/>
    <x v="0"/>
    <d v="2021-05-04T00:00:00"/>
    <d v="2021-06-22T00:00:00"/>
    <d v="2021-07-13T00:00:00"/>
    <s v="Alliance Healthcare s.r.o."/>
    <m/>
    <n v="15164560.800000001"/>
    <n v="16681016.880000001"/>
    <m/>
    <m/>
    <m/>
    <d v="2021-07-13T00:00:00"/>
    <s v="SMLN-2021-617-000368"/>
    <x v="106"/>
    <d v="2021-08-13T00:00:00"/>
    <d v="2026-08-05T00:00:00"/>
  </r>
  <r>
    <d v="2021-04-14T00:00:00"/>
    <s v="VZ-2021-000396"/>
    <x v="1"/>
    <s v="Dočkalová"/>
    <x v="180"/>
    <m/>
    <m/>
    <m/>
    <s v="33162200-5"/>
    <m/>
    <n v="1266840"/>
    <x v="0"/>
    <d v="2021-05-04T00:00:00"/>
    <d v="2021-06-07T00:00:00"/>
    <d v="2021-06-22T00:00:00"/>
    <s v="Johnson  &amp; Johnson s.r.o."/>
    <m/>
    <n v="1266840"/>
    <n v="1532876.4"/>
    <m/>
    <m/>
    <m/>
    <d v="2021-06-22T00:00:00"/>
    <s v="SMLN-2021-617-000323_x000a_SMLN-2021-614-000064"/>
    <x v="107"/>
    <d v="2021-08-05T00:00:00"/>
    <d v="2023-07-27T00:00:00"/>
  </r>
  <r>
    <d v="2021-04-26T00:00:00"/>
    <s v="VZ-2021-000398"/>
    <x v="1"/>
    <s v="Dočkalová"/>
    <x v="181"/>
    <m/>
    <m/>
    <m/>
    <s v="33140000-3"/>
    <m/>
    <n v="1212000"/>
    <x v="2"/>
    <d v="2021-04-29T00:00:00"/>
    <d v="2021-05-10T00:00:00"/>
    <d v="2021-05-17T00:00:00"/>
    <s v="BARD Czech Republic s.r.o."/>
    <m/>
    <n v="1138800"/>
    <n v="1309620"/>
    <m/>
    <m/>
    <m/>
    <d v="2021-05-18T00:00:00"/>
    <s v="SMLN-2021-617-000240_x000a_SMLN-2021-614-000045"/>
    <x v="89"/>
    <d v="2021-06-08T00:00:00"/>
    <d v="2024-06-06T00:00:00"/>
  </r>
  <r>
    <d v="2021-04-29T00:00:00"/>
    <s v="VZ-2021-000400"/>
    <x v="2"/>
    <s v="Olejníček"/>
    <x v="182"/>
    <m/>
    <m/>
    <m/>
    <s v="33157400-9"/>
    <s v="2.2.259.,2.2.329."/>
    <n v="575780"/>
    <x v="2"/>
    <d v="2021-05-05T00:00:00"/>
    <d v="2021-05-17T00:00:00"/>
    <d v="2021-05-24T00:00:00"/>
    <s v="Saegeling Medizintechnik, s.r.o. "/>
    <m/>
    <n v="493160"/>
    <n v="578958.19999999995"/>
    <m/>
    <m/>
    <m/>
    <d v="2021-05-24T00:00:00"/>
    <s v="SMLN-2021-617-000254_x000a_SMLN-2021-612-000041_x000a_SMLN-2021-617-000255"/>
    <x v="66"/>
    <d v="2021-06-15T00:00:00"/>
    <d v="2021-06-25T00:00:00"/>
  </r>
  <r>
    <d v="2021-05-03T00:00:00"/>
    <s v="VZ-2021-000409"/>
    <x v="3"/>
    <s v="Zeman"/>
    <x v="183"/>
    <m/>
    <m/>
    <m/>
    <s v="45223300-9, 45233222-1"/>
    <m/>
    <n v="600000"/>
    <x v="2"/>
    <d v="2021-05-04T00:00:00"/>
    <d v="2021-05-14T00:00:00"/>
    <d v="2021-06-28T00:00:00"/>
    <s v="GALVA TRANS, s.r.o."/>
    <m/>
    <n v="587344.43000000005"/>
    <n v="710686.76"/>
    <m/>
    <m/>
    <m/>
    <d v="2021-06-28T00:00:00"/>
    <s v="SMLN-2021-618-000049"/>
    <x v="58"/>
    <d v="2021-07-16T00:00:00"/>
    <d v="2021-09-12T00:00:00"/>
  </r>
  <r>
    <d v="2021-05-03T00:00:00"/>
    <s v="VZ-2021-000411"/>
    <x v="1"/>
    <s v="Valtová"/>
    <x v="184"/>
    <n v="1"/>
    <s v="Aplikátor klipů pro endoskopické stavění krvácení  rotační  jednorázový"/>
    <m/>
    <s v="33140000-3"/>
    <m/>
    <n v="496000"/>
    <x v="1"/>
    <d v="2021-05-06T00:00:00"/>
    <d v="2021-06-08T00:00:00"/>
    <d v="2021-07-13T00:00:00"/>
    <s v="Olympus Czech Group, s.r.o."/>
    <m/>
    <n v="496000"/>
    <n v="600160"/>
    <m/>
    <m/>
    <m/>
    <d v="2021-07-13T00:00:00"/>
    <s v="SMLN-2021-617-000364_x000a_SMLN-2021-614-000067"/>
    <x v="1"/>
    <d v="2021-09-01T00:00:00"/>
    <d v="2023-08-08T00:00:00"/>
  </r>
  <r>
    <d v="2021-05-03T00:00:00"/>
    <s v="VZ-2021-000411"/>
    <x v="1"/>
    <s v="Valtová"/>
    <x v="184"/>
    <n v="2"/>
    <s v="Aplikátor klipů pro endoskopické stavění  krvácení  jednorázový"/>
    <m/>
    <s v="33140000-3"/>
    <m/>
    <n v="2797500"/>
    <x v="1"/>
    <d v="2021-05-06T00:00:00"/>
    <d v="2021-06-08T00:00:00"/>
    <d v="2021-08-03T00:00:00"/>
    <s v="Medinet, s.r.o."/>
    <m/>
    <n v="2085000"/>
    <n v="2522850"/>
    <m/>
    <m/>
    <m/>
    <d v="2021-08-03T00:00:00"/>
    <s v="SMLN-2021-617-000402_x000a_SMLN-2021-614-000073"/>
    <x v="108"/>
    <d v="2021-09-01T00:00:00"/>
    <d v="2023-08-29T00:00:00"/>
  </r>
  <r>
    <d v="2021-05-03T00:00:00"/>
    <s v="VZ-2021-000411"/>
    <x v="1"/>
    <s v="Valtová"/>
    <x v="184"/>
    <n v="3"/>
    <s v="Klip pro endoskopické stavění krvácení "/>
    <m/>
    <s v="33140000-3"/>
    <m/>
    <n v="220000"/>
    <x v="1"/>
    <d v="2021-05-06T00:00:00"/>
    <d v="2021-06-08T00:00:00"/>
    <d v="2021-07-13T00:00:00"/>
    <s v="Olympus Czech Group, s.r.o."/>
    <m/>
    <n v="220000"/>
    <n v="266200"/>
    <m/>
    <m/>
    <m/>
    <d v="2021-07-13T00:00:00"/>
    <s v="SMLN-2021-617-000366_x000a_SMLN-2021-614-000068"/>
    <x v="1"/>
    <d v="2021-09-01T00:00:00"/>
    <d v="2023-08-08T00:00:00"/>
  </r>
  <r>
    <d v="2021-04-27T00:00:00"/>
    <s v="VZ-2021-000412"/>
    <x v="1"/>
    <s v="Dočkalová"/>
    <x v="185"/>
    <m/>
    <m/>
    <m/>
    <s v="33140000-3"/>
    <m/>
    <n v="534100"/>
    <x v="2"/>
    <d v="2021-05-06T00:00:00"/>
    <d v="2021-05-14T00:00:00"/>
    <d v="2021-05-17T00:00:00"/>
    <s v="CARDION s.r.o."/>
    <m/>
    <n v="534099.12"/>
    <n v="614214"/>
    <m/>
    <m/>
    <m/>
    <d v="2021-05-18T00:00:00"/>
    <s v="SMLN-2021-617-000239_x000a_SMLN-2021-614-000044"/>
    <x v="89"/>
    <d v="2021-06-10T00:00:00"/>
    <d v="2024-07-29T00:00:00"/>
  </r>
  <r>
    <d v="2021-05-03T00:00:00"/>
    <s v="VZ-2021-000420"/>
    <x v="2"/>
    <s v="Olejníček"/>
    <x v="186"/>
    <m/>
    <m/>
    <m/>
    <s v="38510000-3"/>
    <s v="2.3.309."/>
    <n v="178000"/>
    <x v="2"/>
    <d v="2021-05-06T00:00:00"/>
    <d v="2021-05-14T00:00:00"/>
    <m/>
    <s v="zrušeno - překročení ceny servisních nákladů"/>
    <s v="nová VZ-2021-000709"/>
    <m/>
    <m/>
    <m/>
    <m/>
    <m/>
    <m/>
    <m/>
    <x v="6"/>
    <d v="2021-05-18T00:00:00"/>
    <m/>
  </r>
  <r>
    <d v="2021-05-04T00:00:00"/>
    <s v="VZ-2021-000421"/>
    <x v="2"/>
    <s v="Olejníček"/>
    <x v="187"/>
    <m/>
    <m/>
    <m/>
    <s v="33162100-3"/>
    <s v="2.3.547."/>
    <n v="161600"/>
    <x v="2"/>
    <d v="2021-05-10T00:00:00"/>
    <d v="2021-05-20T00:00:00"/>
    <d v="2021-05-24T00:00:00"/>
    <s v="bamed, s.r.o."/>
    <m/>
    <n v="149155"/>
    <n v="180477.55"/>
    <m/>
    <m/>
    <m/>
    <d v="2021-05-24T00:00:00"/>
    <s v="SMLN-2021-617-000257_x000a_SMLN-2021-612-000042_x000a_SMLN-2021-617-000256"/>
    <x v="19"/>
    <d v="2021-06-15T00:00:00"/>
    <d v="2021-08-05T00:00:00"/>
  </r>
  <r>
    <d v="2021-05-05T00:00:00"/>
    <s v="VZ-2021-000427"/>
    <x v="0"/>
    <s v="Ondráčková"/>
    <x v="188"/>
    <n v="1"/>
    <s v="DUPILUMAB"/>
    <m/>
    <s v="33630000-5"/>
    <m/>
    <n v="13901319"/>
    <x v="0"/>
    <d v="2021-05-07T00:00:00"/>
    <d v="2021-06-17T00:00:00"/>
    <d v="2021-06-29T00:00:00"/>
    <s v="sanofi - aventis, s.r.o."/>
    <m/>
    <n v="13901318.130000001"/>
    <n v="15291449.939999999"/>
    <m/>
    <m/>
    <m/>
    <d v="2021-06-29T00:00:00"/>
    <s v="SMLN-2021-617-000353"/>
    <x v="105"/>
    <d v="2021-07-23T00:00:00"/>
    <d v="2024-07-20T00:00:00"/>
  </r>
  <r>
    <d v="2021-05-05T00:00:00"/>
    <s v="VZ-2021-000428"/>
    <x v="0"/>
    <s v="Ondráčková"/>
    <x v="189"/>
    <n v="1"/>
    <s v="FORSTEO"/>
    <m/>
    <s v="33642000-2"/>
    <m/>
    <n v="1288350"/>
    <x v="0"/>
    <d v="2021-05-07T00:00:00"/>
    <d v="2021-06-11T00:00:00"/>
    <d v="2021-06-25T00:00:00"/>
    <s v="Alliance Healthcare s.r.o."/>
    <m/>
    <n v="1275394.05"/>
    <n v="1402933.46"/>
    <m/>
    <m/>
    <m/>
    <d v="2021-06-25T00:00:00"/>
    <s v="SMLN-2021-617-000344"/>
    <x v="105"/>
    <d v="2021-07-23T00:00:00"/>
    <d v="2024-07-20T00:00:00"/>
  </r>
  <r>
    <d v="2021-05-05T00:00:00"/>
    <s v="VZ-2021-000428"/>
    <x v="0"/>
    <s v="Ondráčková"/>
    <x v="189"/>
    <n v="2"/>
    <s v="TERROSA"/>
    <m/>
    <s v="33642000-2"/>
    <m/>
    <n v="2552160"/>
    <x v="0"/>
    <d v="2021-05-07T00:00:00"/>
    <d v="2021-06-11T00:00:00"/>
    <d v="2021-06-25T00:00:00"/>
    <s v="Alliance Healthcare s.r.o."/>
    <m/>
    <n v="2526395.04"/>
    <n v="2779034.54"/>
    <m/>
    <m/>
    <m/>
    <d v="2021-06-25T00:00:00"/>
    <s v="SMLN-2021-617-000345"/>
    <x v="105"/>
    <d v="2021-07-23T00:00:00"/>
    <d v="2024-07-20T00:00:00"/>
  </r>
  <r>
    <d v="2021-05-05T00:00:00"/>
    <s v="VZ-2021-000428"/>
    <x v="0"/>
    <s v="Ondráčková"/>
    <x v="189"/>
    <n v="3"/>
    <s v="TERIPARATID"/>
    <m/>
    <s v="33642000-2"/>
    <m/>
    <n v="245400"/>
    <x v="0"/>
    <d v="2021-05-07T00:00:00"/>
    <d v="2021-06-11T00:00:00"/>
    <d v="2021-06-25T00:00:00"/>
    <s v="Alliance Healthcare s.r.o."/>
    <m/>
    <n v="242922.6"/>
    <n v="267214.86"/>
    <m/>
    <m/>
    <m/>
    <d v="2021-06-25T00:00:00"/>
    <s v="SMLN-2021-617-000346"/>
    <x v="105"/>
    <d v="2021-07-23T00:00:00"/>
    <d v="2024-07-20T00:00:00"/>
  </r>
  <r>
    <d v="2021-05-05T00:00:00"/>
    <s v="VZ-2021-000429"/>
    <x v="0"/>
    <s v="Ondráčková"/>
    <x v="190"/>
    <n v="1"/>
    <s v="ALTEPLASA"/>
    <m/>
    <s v="24965000-6"/>
    <m/>
    <n v="9855928"/>
    <x v="0"/>
    <d v="2021-05-07T00:00:00"/>
    <d v="2021-06-11T00:00:00"/>
    <d v="2021-06-29T00:00:00"/>
    <s v="PHOENIX lék.velkoobchod, s.r.o."/>
    <m/>
    <n v="9624128.0399999991"/>
    <n v="10586540.84"/>
    <m/>
    <m/>
    <m/>
    <d v="2021-06-29T00:00:00"/>
    <s v="SMLN-2021-617-000352"/>
    <x v="105"/>
    <d v="2021-07-23T00:00:00"/>
    <d v="2024-07-20T00:00:00"/>
  </r>
  <r>
    <d v="2021-05-04T00:00:00"/>
    <s v="VZ-2021-000436"/>
    <x v="9"/>
    <s v="Svozil"/>
    <x v="191"/>
    <m/>
    <m/>
    <m/>
    <s v="16700000-2"/>
    <s v="4.2.155."/>
    <n v="600000"/>
    <x v="2"/>
    <d v="2021-06-18T00:00:00"/>
    <d v="2021-07-02T00:00:00"/>
    <d v="2021-07-19T00:00:00"/>
    <s v="Konvička s.r.o."/>
    <m/>
    <n v="825620"/>
    <n v="999000"/>
    <m/>
    <m/>
    <m/>
    <d v="2021-07-20T00:00:00"/>
    <s v="SMLN-2021-617-000380"/>
    <x v="109"/>
    <d v="2021-10-04T00:00:00"/>
    <d v="2021-10-07T00:00:00"/>
  </r>
  <r>
    <d v="2021-05-07T00:00:00"/>
    <s v="VZ-2021-000443"/>
    <x v="1"/>
    <s v="Dočkalová"/>
    <x v="192"/>
    <m/>
    <m/>
    <m/>
    <s v="33198200-6"/>
    <m/>
    <n v="1573900"/>
    <x v="2"/>
    <d v="2021-05-13T00:00:00"/>
    <d v="2021-05-26T00:00:00"/>
    <m/>
    <s v="zrušeno - upravit specifikaci"/>
    <s v="nová VZ-2021-000534"/>
    <m/>
    <m/>
    <m/>
    <m/>
    <m/>
    <m/>
    <m/>
    <x v="6"/>
    <d v="2021-05-28T00:00:00"/>
    <m/>
  </r>
  <r>
    <d v="2021-05-06T00:00:00"/>
    <s v="VZ-2021-000448"/>
    <x v="2"/>
    <s v="Rosulek"/>
    <x v="68"/>
    <n v="1"/>
    <s v="Laboratorní váha pro Ústav mikrobiologie"/>
    <m/>
    <s v="38311000-9"/>
    <s v="2.3.422."/>
    <n v="124000"/>
    <x v="2"/>
    <d v="2021-05-12T00:00:00"/>
    <d v="2021-05-25T00:00:00"/>
    <d v="2021-06-18T00:00:00"/>
    <s v="RADWAG Váhy, s.r.o."/>
    <m/>
    <n v="64000"/>
    <n v="77440"/>
    <m/>
    <m/>
    <m/>
    <d v="2021-06-18T00:00:00"/>
    <s v="SMLN-2021-617-000314_x000a_SMLN-2021-612-000057"/>
    <x v="90"/>
    <d v="2021-07-15T00:00:00"/>
    <d v="2021-08-12T00:00:00"/>
  </r>
  <r>
    <d v="2021-05-06T00:00:00"/>
    <s v="VZ-2021-000448"/>
    <x v="2"/>
    <s v="Rosulek"/>
    <x v="68"/>
    <n v="2"/>
    <s v="Laboratorní váha pro Oddělení klinické biochemie"/>
    <m/>
    <s v="38311000-9"/>
    <s v="2.3.399."/>
    <n v="132000"/>
    <x v="2"/>
    <d v="2021-05-12T00:00:00"/>
    <d v="2021-05-25T00:00:00"/>
    <d v="2021-06-18T00:00:00"/>
    <s v="SARTALEX, spol. s r.o."/>
    <m/>
    <n v="121800"/>
    <n v="147378"/>
    <m/>
    <m/>
    <m/>
    <d v="2021-06-18T00:00:00"/>
    <s v="SMLN-2021-617-000315_x000a_SMLN-2021-612-000058"/>
    <x v="90"/>
    <d v="2021-07-15T00:00:00"/>
    <d v="2021-08-12T00:00:00"/>
  </r>
  <r>
    <d v="2021-05-06T00:00:00"/>
    <s v="VZ-2021-000448"/>
    <x v="2"/>
    <s v="Rosulek"/>
    <x v="68"/>
    <n v="3"/>
    <s v="Laboratorní váha ke gravimetrické přípravě cytostatik pro Lékárnu"/>
    <m/>
    <s v="38311000-9"/>
    <s v="2.3.392."/>
    <n v="157000"/>
    <x v="2"/>
    <d v="2021-05-12T00:00:00"/>
    <d v="2021-05-25T00:00:00"/>
    <m/>
    <s v="zrušeno - upravit specifikaci"/>
    <m/>
    <m/>
    <m/>
    <m/>
    <m/>
    <m/>
    <m/>
    <m/>
    <x v="6"/>
    <d v="2021-06-02T00:00:00"/>
    <m/>
  </r>
  <r>
    <d v="2021-05-06T00:00:00"/>
    <s v="VZ-2021-000448"/>
    <x v="2"/>
    <s v="Rosulek"/>
    <x v="68"/>
    <n v="4"/>
    <s v="Laboratorní váha pro přípravu paenterální výživy pro Lékárnu"/>
    <m/>
    <s v="38311000-9"/>
    <s v="2.3.469."/>
    <n v="82000"/>
    <x v="2"/>
    <d v="2021-05-12T00:00:00"/>
    <d v="2021-05-25T00:00:00"/>
    <d v="2021-06-18T00:00:00"/>
    <s v="SARTALEX, spol. s r.o."/>
    <m/>
    <n v="72800"/>
    <n v="88088"/>
    <m/>
    <m/>
    <m/>
    <d v="2021-06-18T00:00:00"/>
    <s v="SMLN-2021-617-000316_x000a_SMLN-2021-612-000059"/>
    <x v="90"/>
    <d v="2021-07-15T00:00:00"/>
    <d v="2021-09-02T00:00:00"/>
  </r>
  <r>
    <d v="2021-05-06T00:00:00"/>
    <s v="VZ-2021-000448"/>
    <x v="2"/>
    <s v="Rosulek"/>
    <x v="68"/>
    <n v="5"/>
    <s v="Laboratorní váhy pro přípravu sterilních léčiv pro Lékárnu"/>
    <m/>
    <s v="38311000-9"/>
    <s v="2.3.524."/>
    <n v="150000"/>
    <x v="2"/>
    <d v="2021-05-12T00:00:00"/>
    <d v="2021-05-25T00:00:00"/>
    <d v="2021-06-18T00:00:00"/>
    <s v="SARTALEX, spol. s r.o."/>
    <m/>
    <n v="127500"/>
    <n v="154275"/>
    <m/>
    <m/>
    <m/>
    <d v="2021-06-18T00:00:00"/>
    <s v="SMLN-2021-617-000317_x000a_SMLN-2021-612-000060"/>
    <x v="90"/>
    <d v="2021-07-15T00:00:00"/>
    <d v="2021-08-12T00:00:00"/>
  </r>
  <r>
    <d v="2021-05-10T00:00:00"/>
    <s v="VZ-2021-000451"/>
    <x v="2"/>
    <s v="Rosulek"/>
    <x v="193"/>
    <m/>
    <m/>
    <m/>
    <s v="33111720-4"/>
    <s v="2.3.558."/>
    <n v="41500000"/>
    <x v="0"/>
    <d v="2021-05-18T00:00:00"/>
    <d v="2021-07-02T00:00:00"/>
    <d v="2021-08-25T00:00:00"/>
    <s v="Siemens Healthcare, s.r.o."/>
    <m/>
    <n v="25770000"/>
    <n v="31181700"/>
    <m/>
    <m/>
    <m/>
    <d v="2021-08-25T00:00:00"/>
    <s v="SMLN-2021-617-000450_x000a_SMLN-2021-612-000094"/>
    <x v="103"/>
    <d v="2021-10-25T00:00:00"/>
    <d v="2021-12-10T00:00:00"/>
  </r>
  <r>
    <d v="2021-05-06T00:00:00"/>
    <s v="VZ-2021-000460"/>
    <x v="2"/>
    <s v="Olejníček"/>
    <x v="194"/>
    <m/>
    <m/>
    <m/>
    <s v="31720000-9"/>
    <s v="2.2.278."/>
    <n v="620000"/>
    <x v="2"/>
    <d v="2021-05-17T00:00:00"/>
    <d v="2021-05-26T00:00:00"/>
    <m/>
    <s v="zrušeno - bez nabídky"/>
    <s v="nová VZ-2021-000782"/>
    <m/>
    <m/>
    <m/>
    <m/>
    <m/>
    <m/>
    <m/>
    <x v="6"/>
    <d v="2021-05-26T00:00:00"/>
    <m/>
  </r>
  <r>
    <d v="2021-05-06T00:00:00"/>
    <s v="VZ-2021-000461"/>
    <x v="8"/>
    <s v="Kadlec"/>
    <x v="195"/>
    <m/>
    <m/>
    <m/>
    <s v="45421146-9"/>
    <m/>
    <n v="550000"/>
    <x v="2"/>
    <d v="2021-05-13T00:00:00"/>
    <d v="2021-05-25T00:00:00"/>
    <d v="2021-05-31T00:00:00"/>
    <s v="Peštuka, s.r.o."/>
    <m/>
    <n v="539253.9"/>
    <n v="652497.22"/>
    <m/>
    <m/>
    <m/>
    <d v="2021-05-31T00:00:00"/>
    <s v="SMLN-2021-618-000040"/>
    <x v="110"/>
    <d v="2021-07-15T00:00:00"/>
    <m/>
  </r>
  <r>
    <d v="2021-05-11T00:00:00"/>
    <s v="VZ-2021-000463"/>
    <x v="0"/>
    <s v="Ondráčková"/>
    <x v="196"/>
    <n v="1"/>
    <s v="PAKLITAXEL"/>
    <m/>
    <s v="33652100-6"/>
    <m/>
    <n v="2346916"/>
    <x v="0"/>
    <d v="2021-05-14T00:00:00"/>
    <d v="2021-06-16T00:00:00"/>
    <d v="2021-07-13T00:00:00"/>
    <s v="Fresenius Kabi s.r.o."/>
    <m/>
    <n v="1644231.77"/>
    <n v="1808654.95"/>
    <m/>
    <m/>
    <m/>
    <d v="2021-07-13T00:00:00"/>
    <s v="SMLN-2021-617-000370"/>
    <x v="108"/>
    <d v="2021-09-02T00:00:00"/>
    <d v="2024-08-29T00:00:00"/>
  </r>
  <r>
    <d v="2021-05-11T00:00:00"/>
    <s v="VZ-2021-000463"/>
    <x v="0"/>
    <s v="Ondráčková"/>
    <x v="196"/>
    <n v="2"/>
    <s v="DOCETAXEL"/>
    <m/>
    <s v="33652100-6"/>
    <m/>
    <n v="340647"/>
    <x v="0"/>
    <d v="2021-05-14T00:00:00"/>
    <d v="2021-06-16T00:00:00"/>
    <d v="2021-07-13T00:00:00"/>
    <s v="Fresenius Kabi s.r.o."/>
    <m/>
    <n v="331919.84000000003"/>
    <n v="365111.82"/>
    <m/>
    <m/>
    <m/>
    <d v="2021-07-13T00:00:00"/>
    <s v="SMLN-2021-617-000371"/>
    <x v="108"/>
    <d v="2021-09-02T00:00:00"/>
    <d v="2024-08-29T00:00:00"/>
  </r>
  <r>
    <d v="2021-05-11T00:00:00"/>
    <s v="VZ-2021-000463"/>
    <x v="0"/>
    <s v="Ondráčková"/>
    <x v="196"/>
    <n v="3"/>
    <s v="KABAZITAXEL"/>
    <m/>
    <s v="33652100-6"/>
    <m/>
    <n v="9686186"/>
    <x v="0"/>
    <d v="2021-05-14T00:00:00"/>
    <d v="2021-06-16T00:00:00"/>
    <d v="2021-07-13T00:00:00"/>
    <s v="sanofi - aventis, s.r.o."/>
    <m/>
    <n v="9496259.7599999998"/>
    <n v="10445885.74"/>
    <m/>
    <m/>
    <m/>
    <d v="2021-07-13T00:00:00"/>
    <s v="SMLN-2021-617-000372"/>
    <x v="106"/>
    <d v="2021-09-02T00:00:00"/>
    <d v="2024-08-05T00:00:00"/>
  </r>
  <r>
    <d v="2021-05-11T00:00:00"/>
    <s v="VZ-2021-000464"/>
    <x v="0"/>
    <s v="Ondráčková"/>
    <x v="197"/>
    <m/>
    <s v="Ambrisentan"/>
    <m/>
    <s v="33622200-8"/>
    <m/>
    <n v="5721024"/>
    <x v="0"/>
    <d v="2021-05-14T00:00:00"/>
    <d v="2021-06-15T00:00:00"/>
    <d v="2021-07-15T00:00:00"/>
    <s v="PHARMOS, a.s."/>
    <m/>
    <n v="4814577.72"/>
    <n v="5296035.49"/>
    <m/>
    <m/>
    <m/>
    <d v="2021-07-15T00:00:00"/>
    <s v="SMLN-2021-617-000376"/>
    <x v="1"/>
    <d v="2021-08-12T00:00:00"/>
    <d v="2024-08-08T00:00:00"/>
  </r>
  <r>
    <d v="2021-05-11T00:00:00"/>
    <s v="VZ-2021-000465"/>
    <x v="0"/>
    <s v="Ondráčková"/>
    <x v="198"/>
    <m/>
    <s v="Azacitidin"/>
    <m/>
    <s v="33652000-5"/>
    <m/>
    <n v="6555000"/>
    <x v="0"/>
    <d v="2021-05-14T00:00:00"/>
    <d v="2021-07-07T00:00:00"/>
    <d v="2021-08-16T00:00:00"/>
    <s v="Alliance Healthcare s.r.o."/>
    <m/>
    <n v="2822100"/>
    <n v="3104310"/>
    <m/>
    <m/>
    <m/>
    <d v="2021-08-16T00:00:00"/>
    <s v="SMLN-2021-617-000431"/>
    <x v="111"/>
    <d v="2021-09-15T00:00:00"/>
    <d v="2024-09-12T00:00:00"/>
  </r>
  <r>
    <d v="2021-05-17T00:00:00"/>
    <s v="VZ-2021-000490"/>
    <x v="1"/>
    <s v="Valtová"/>
    <x v="199"/>
    <m/>
    <m/>
    <m/>
    <s v="33140000-3"/>
    <m/>
    <n v="6640000"/>
    <x v="0"/>
    <d v="2021-05-20T00:00:00"/>
    <d v="2021-07-21T00:00:00"/>
    <m/>
    <s v="zrušeno - upravit specifikaci"/>
    <s v="nová VZ-2022-000071"/>
    <n v="5800000"/>
    <n v="6670000"/>
    <m/>
    <m/>
    <m/>
    <m/>
    <m/>
    <x v="6"/>
    <d v="2022-01-05T00:00:00"/>
    <s v="17.12.2021 zrušeno "/>
  </r>
  <r>
    <d v="2021-05-14T00:00:00"/>
    <s v="VZ-2021-000491"/>
    <x v="1"/>
    <s v="Dočkalová"/>
    <x v="200"/>
    <m/>
    <m/>
    <m/>
    <s v="33162200-5"/>
    <m/>
    <n v="1185000"/>
    <x v="2"/>
    <d v="2021-05-18T00:00:00"/>
    <d v="2021-05-27T00:00:00"/>
    <d v="2021-06-01T00:00:00"/>
    <s v="EP SERVICES s.r.o."/>
    <m/>
    <n v="1185000"/>
    <n v="1433850"/>
    <m/>
    <m/>
    <m/>
    <d v="2021-06-01T00:00:00"/>
    <s v="SMLN-2021-617-000273_x000a_SMLN-2021-614-000056"/>
    <x v="112"/>
    <d v="2021-07-22T00:00:00"/>
    <d v="2024-07-19T00:00:00"/>
  </r>
  <r>
    <d v="2021-05-11T00:00:00"/>
    <s v="VZ-2021-000492"/>
    <x v="2"/>
    <s v="Olejníček"/>
    <x v="201"/>
    <m/>
    <m/>
    <m/>
    <s v="33195000-3"/>
    <s v="2.2.268."/>
    <n v="247500"/>
    <x v="2"/>
    <d v="2021-05-18T00:00:00"/>
    <d v="2021-06-03T00:00:00"/>
    <d v="2021-06-11T00:00:00"/>
    <s v="Scanlab Praha, s.r.o."/>
    <m/>
    <n v="244875"/>
    <n v="296298.75"/>
    <m/>
    <m/>
    <m/>
    <d v="2021-06-11T00:00:00"/>
    <s v="SMLN-2021-617-000298_x000a_SMLN-2021-612-000053_x000a_SMLN-2021-617-000299"/>
    <x v="72"/>
    <d v="2021-07-27T00:00:00"/>
    <d v="2021-07-12T00:00:00"/>
  </r>
  <r>
    <d v="2021-05-11T00:00:00"/>
    <s v="VZ-2021-000493"/>
    <x v="2"/>
    <s v="Olejníček"/>
    <x v="202"/>
    <m/>
    <m/>
    <m/>
    <s v="33168000-5"/>
    <s v="2.3.516."/>
    <n v="51900"/>
    <x v="2"/>
    <d v="2021-05-18T00:00:00"/>
    <d v="2021-05-27T00:00:00"/>
    <d v="2021-06-02T00:00:00"/>
    <s v="Medinet, s.r.o."/>
    <m/>
    <n v="51900"/>
    <n v="62799"/>
    <m/>
    <m/>
    <m/>
    <d v="2021-06-03T00:00:00"/>
    <s v="SMLN-2021-617-000282"/>
    <x v="83"/>
    <d v="2021-06-23T00:00:00"/>
    <d v="2021-08-17T00:00:00"/>
  </r>
  <r>
    <d v="2021-05-11T00:00:00"/>
    <s v="VZ-2021-000494"/>
    <x v="2"/>
    <s v="Olejníček"/>
    <x v="203"/>
    <n v="1"/>
    <s v="Hlubokomrazící box"/>
    <m/>
    <s v="39711100-0"/>
    <s v="2.3.537."/>
    <n v="335000"/>
    <x v="2"/>
    <d v="2021-05-18T00:00:00"/>
    <d v="2021-05-28T00:00:00"/>
    <d v="2021-06-11T00:00:00"/>
    <s v="KRD-obchodní společnos s.r.o."/>
    <m/>
    <n v="261170"/>
    <n v="316015.7"/>
    <m/>
    <m/>
    <m/>
    <d v="2021-06-11T00:00:00"/>
    <s v="SMLN-2021-617-000295_x000a_SMLN-2021-612-000051"/>
    <x v="90"/>
    <d v="2021-07-15T00:00:00"/>
    <d v="2021-09-16T00:00:00"/>
  </r>
  <r>
    <d v="2021-05-11T00:00:00"/>
    <s v="VZ-2021-000494"/>
    <x v="2"/>
    <s v="Olejníček"/>
    <x v="203"/>
    <n v="2"/>
    <s v="Farmaceutická lednice"/>
    <m/>
    <s v="39711100-0"/>
    <s v="2.2.332."/>
    <n v="87000"/>
    <x v="2"/>
    <d v="2021-05-18T00:00:00"/>
    <d v="2021-05-28T00:00:00"/>
    <d v="2021-06-11T00:00:00"/>
    <s v="Schoeller Instruments .s.r.o."/>
    <m/>
    <n v="70800"/>
    <n v="85668"/>
    <m/>
    <m/>
    <m/>
    <d v="2021-06-11T00:00:00"/>
    <s v="SMLN-2021-617-000296_x000a_SMLN-2021-612-000052"/>
    <x v="90"/>
    <d v="2021-07-15T00:00:00"/>
    <d v="2021-09-02T00:00:00"/>
  </r>
  <r>
    <d v="2021-05-17T00:00:00"/>
    <s v="VZ-2021-000497"/>
    <x v="1"/>
    <s v="Dočkalová"/>
    <x v="204"/>
    <m/>
    <m/>
    <m/>
    <s v="33140000-6"/>
    <m/>
    <n v="607500"/>
    <x v="2"/>
    <d v="2021-05-21T00:00:00"/>
    <d v="2021-06-02T00:00:00"/>
    <d v="2021-06-07T00:00:00"/>
    <s v="BS PRAGUE MEDICAL CE, spol.s r.o."/>
    <m/>
    <n v="607500"/>
    <n v="698625"/>
    <m/>
    <m/>
    <m/>
    <d v="2021-06-08T00:00:00"/>
    <s v="SMLN-2021-617-000288_x000a_SMLN-2021-614-000061"/>
    <x v="93"/>
    <d v="2021-07-14T00:00:00"/>
    <d v="2024-06-29T00:00:00"/>
  </r>
  <r>
    <d v="2021-05-19T00:00:00"/>
    <s v="VZ-2021-000501"/>
    <x v="1"/>
    <s v="Valtová"/>
    <x v="205"/>
    <m/>
    <m/>
    <m/>
    <s v="33140000-3"/>
    <m/>
    <n v="2788800"/>
    <x v="1"/>
    <d v="2021-05-25T00:00:00"/>
    <d v="2021-07-22T00:00:00"/>
    <d v="2021-09-03T00:00:00"/>
    <s v="Boston Scientific Česká republika s.r.o."/>
    <m/>
    <n v="2660000"/>
    <n v="3218600"/>
    <m/>
    <m/>
    <m/>
    <d v="2021-09-03T00:00:00"/>
    <s v="SMLN-2021-617-000473_x000a_SMLN-2021-614-000080"/>
    <x v="109"/>
    <d v="2021-09-29T00:00:00"/>
    <d v="2023-09-22T00:00:00"/>
  </r>
  <r>
    <d v="2021-05-18T00:00:00"/>
    <s v="VZ-2021-000503"/>
    <x v="1"/>
    <s v="Dočkalová"/>
    <x v="206"/>
    <m/>
    <m/>
    <m/>
    <s v="33140000-3"/>
    <m/>
    <n v="513000"/>
    <x v="2"/>
    <d v="2021-05-21T00:00:00"/>
    <d v="2021-06-02T00:00:00"/>
    <d v="2021-06-07T00:00:00"/>
    <s v="BS PRAGUE MEDICAL CE, spol.s r.o."/>
    <m/>
    <n v="513000"/>
    <n v="620730"/>
    <m/>
    <m/>
    <m/>
    <d v="2021-06-08T00:00:00"/>
    <s v="SMLN-2021-617-000287_x000a_SMLN-2021-614-000060"/>
    <x v="93"/>
    <d v="2021-07-14T00:00:00"/>
    <d v="2024-06-29T00:00:00"/>
  </r>
  <r>
    <d v="2021-05-19T00:00:00"/>
    <s v="VZ-2021-000504"/>
    <x v="2"/>
    <s v="Olejníček"/>
    <x v="207"/>
    <m/>
    <m/>
    <m/>
    <s v="33122000-1"/>
    <s v="2.3.474."/>
    <n v="360000"/>
    <x v="2"/>
    <d v="2021-05-24T00:00:00"/>
    <d v="2021-06-01T00:00:00"/>
    <d v="2021-06-11T00:00:00"/>
    <s v="Askin &amp; Co. s.r.o."/>
    <m/>
    <n v="258600"/>
    <n v="312906"/>
    <m/>
    <m/>
    <m/>
    <d v="2021-06-11T00:00:00"/>
    <s v="SMLN-2021-617-000294_x000a_SMLN-2021-612-000050"/>
    <x v="110"/>
    <d v="2021-07-14T00:00:00"/>
    <d v="2021-08-27T00:00:00"/>
  </r>
  <r>
    <d v="2021-05-19T00:00:00"/>
    <s v="VZ-2021-000505"/>
    <x v="1"/>
    <s v="Dočkalová"/>
    <x v="208"/>
    <m/>
    <m/>
    <m/>
    <s v="33140000-3"/>
    <m/>
    <n v="1457850"/>
    <x v="2"/>
    <d v="2021-06-03T00:00:00"/>
    <d v="2021-06-14T00:00:00"/>
    <m/>
    <s v="zrušeno - bez hodnotitelné nabídky"/>
    <s v="nová VZ-2021-000608"/>
    <m/>
    <m/>
    <m/>
    <m/>
    <m/>
    <m/>
    <m/>
    <x v="6"/>
    <d v="2021-06-14T00:00:00"/>
    <m/>
  </r>
  <r>
    <d v="2021-05-19T00:00:00"/>
    <s v="VZ-2021-000506"/>
    <x v="5"/>
    <s v="Miklík"/>
    <x v="209"/>
    <m/>
    <m/>
    <m/>
    <s v="32422000-7"/>
    <s v="3.2.60."/>
    <n v="2650000"/>
    <x v="1"/>
    <d v="2021-05-25T00:00:00"/>
    <d v="2021-06-11T00:00:00"/>
    <d v="2021-06-25T00:00:00"/>
    <s v="MERIT GROUP a.s."/>
    <m/>
    <n v="2298038"/>
    <n v="2780625.98"/>
    <m/>
    <m/>
    <m/>
    <d v="2021-06-25T00:00:00"/>
    <s v="SMLN-2021-617-000347"/>
    <x v="112"/>
    <d v="2021-07-26T00:00:00"/>
    <d v="2021-09-18T00:00:00"/>
  </r>
  <r>
    <d v="2021-05-19T00:00:00"/>
    <s v="VZ-2021-000508"/>
    <x v="2"/>
    <s v="Olejníček"/>
    <x v="210"/>
    <m/>
    <m/>
    <m/>
    <s v="33124100-6"/>
    <s v="2.2.367."/>
    <n v="220000"/>
    <x v="2"/>
    <d v="2021-05-24T00:00:00"/>
    <d v="2021-06-02T00:00:00"/>
    <d v="2021-06-11T00:00:00"/>
    <s v="Medsol s.r.o."/>
    <m/>
    <n v="212176"/>
    <n v="256732.96"/>
    <m/>
    <m/>
    <m/>
    <d v="2021-06-11T00:00:00"/>
    <s v="SMLN-2021-617-000293_x000a_SMLN-2021-612-000049"/>
    <x v="110"/>
    <d v="2021-07-14T00:00:00"/>
    <d v="2021-08-31T00:00:00"/>
  </r>
  <r>
    <d v="2021-05-21T00:00:00"/>
    <s v="VZ-2021-000514"/>
    <x v="16"/>
    <s v="Norbertová"/>
    <x v="211"/>
    <m/>
    <m/>
    <m/>
    <s v="33124100-6"/>
    <m/>
    <n v="466557"/>
    <x v="2"/>
    <d v="2021-07-21T00:00:00"/>
    <d v="2021-07-30T00:00:00"/>
    <d v="2021-08-12T00:00:00"/>
    <s v="POLYMED medical CZ, a.s. "/>
    <m/>
    <n v="81000"/>
    <n v="98010"/>
    <m/>
    <m/>
    <m/>
    <d v="2021-08-12T00:00:00"/>
    <s v="SMLN-2021-617-000425"/>
    <x v="113"/>
    <d v="2021-09-22T00:00:00"/>
    <d v="2021-10-27T00:00:00"/>
  </r>
  <r>
    <d v="2021-05-21T00:00:00"/>
    <s v="VZ-2021-000516"/>
    <x v="4"/>
    <s v="Srovnal"/>
    <x v="212"/>
    <m/>
    <m/>
    <m/>
    <s v="44000000-0"/>
    <m/>
    <n v="6500000"/>
    <x v="0"/>
    <d v="2021-05-28T00:00:00"/>
    <d v="2021-08-02T00:00:00"/>
    <d v="2021-08-12T00:00:00"/>
    <s v="VK-AQUA-trading, s.r.o."/>
    <m/>
    <n v="2535232"/>
    <n v="3067630.72"/>
    <m/>
    <m/>
    <m/>
    <d v="2021-08-12T00:00:00"/>
    <s v="SMLN-2021-617-000419"/>
    <x v="114"/>
    <d v="2021-09-08T00:00:00"/>
    <d v="2025-09-06T00:00:00"/>
  </r>
  <r>
    <d v="2021-05-25T00:00:00"/>
    <s v="VZ-2021-000517"/>
    <x v="2"/>
    <s v="Olejníček"/>
    <x v="213"/>
    <m/>
    <m/>
    <m/>
    <s v="33121400-8"/>
    <s v="2.2.339."/>
    <n v="151000"/>
    <x v="2"/>
    <d v="2021-05-27T00:00:00"/>
    <d v="2021-06-08T00:00:00"/>
    <d v="2021-06-18T00:00:00"/>
    <s v="Fonika Medical s.r.o."/>
    <m/>
    <n v="136229"/>
    <n v="164837.09"/>
    <m/>
    <m/>
    <m/>
    <d v="2021-06-18T00:00:00"/>
    <s v="SMLN-2021-617-000318_x000a_SMLN-2021-612-000061"/>
    <x v="110"/>
    <d v="2021-07-14T00:00:00"/>
    <d v="2021-07-30T00:00:00"/>
  </r>
  <r>
    <d v="2021-05-25T00:00:00"/>
    <s v="VZ-2021-000521"/>
    <x v="2"/>
    <s v="Olejníček"/>
    <x v="214"/>
    <n v="1"/>
    <s v="Radiační ochranný štít nad lůžko s pacientem"/>
    <m/>
    <s v="35113200-1"/>
    <s v="2.3.45."/>
    <n v="132000"/>
    <x v="2"/>
    <d v="2021-05-27T00:00:00"/>
    <d v="2021-06-04T00:00:00"/>
    <m/>
    <s v="zrušeno - překročení ceny servisu"/>
    <s v="nová VZ-2021-000585"/>
    <m/>
    <m/>
    <m/>
    <m/>
    <m/>
    <m/>
    <m/>
    <x v="6"/>
    <d v="2021-06-08T00:00:00"/>
    <m/>
  </r>
  <r>
    <d v="2021-05-25T00:00:00"/>
    <s v="VZ-2021-000521"/>
    <x v="2"/>
    <s v="Olejníček"/>
    <x v="214"/>
    <n v="2"/>
    <s v="Radiační ochranný štít pod lůžko s pacientem"/>
    <m/>
    <s v="35113200-1"/>
    <s v="2.3.45."/>
    <n v="221000"/>
    <x v="2"/>
    <d v="2021-05-27T00:00:00"/>
    <d v="2021-06-04T00:00:00"/>
    <m/>
    <s v="zrušeno - překročení ceny servisu"/>
    <s v="nová VZ-2021-000585"/>
    <m/>
    <m/>
    <m/>
    <m/>
    <m/>
    <m/>
    <m/>
    <x v="6"/>
    <d v="2021-06-08T00:00:00"/>
    <m/>
  </r>
  <r>
    <d v="2021-05-27T00:00:00"/>
    <s v="VZ-2021-000529"/>
    <x v="1"/>
    <s v="Valtová"/>
    <x v="215"/>
    <n v="1"/>
    <s v="Polohovač"/>
    <m/>
    <s v="33140000-3"/>
    <m/>
    <n v="1035150"/>
    <x v="2"/>
    <d v="2021-06-02T00:00:00"/>
    <d v="2021-06-11T00:00:00"/>
    <d v="2021-06-16T00:00:00"/>
    <s v="Medtronic Czechia s.r.o."/>
    <m/>
    <n v="991800"/>
    <n v="1200078"/>
    <m/>
    <m/>
    <m/>
    <d v="2021-06-17T00:00:00"/>
    <s v="SMLN-2021-617-000304_x000a_SMLN-2021-614-000062"/>
    <x v="52"/>
    <d v="2021-07-22T00:00:00"/>
    <d v="2024-07-29T00:00:00"/>
  </r>
  <r>
    <d v="2021-05-27T00:00:00"/>
    <s v="VZ-2021-000529"/>
    <x v="1"/>
    <s v="Valtová"/>
    <x v="215"/>
    <n v="2"/>
    <s v="Ofuk"/>
    <m/>
    <s v="33140000-3"/>
    <m/>
    <n v="496000"/>
    <x v="2"/>
    <d v="2021-06-02T00:00:00"/>
    <d v="2021-06-11T00:00:00"/>
    <d v="2021-06-16T00:00:00"/>
    <s v="Medtronic Czechia s.r.o."/>
    <m/>
    <n v="400800"/>
    <n v="484968"/>
    <m/>
    <m/>
    <m/>
    <d v="2021-06-17T00:00:00"/>
    <s v="SMLN-2021-617-000307_x000a_SMLN-2021-614-000063"/>
    <x v="52"/>
    <d v="2021-07-22T00:00:00"/>
    <d v="2024-07-24T00:00:00"/>
  </r>
  <r>
    <s v="opakovaná VZ"/>
    <s v="VZ-2021-000534"/>
    <x v="1"/>
    <s v="Dočkalová"/>
    <x v="216"/>
    <m/>
    <m/>
    <m/>
    <s v="33192800-6"/>
    <m/>
    <n v="1535064.27"/>
    <x v="2"/>
    <d v="2021-06-02T00:00:00"/>
    <d v="2021-06-11T00:00:00"/>
    <d v="2021-06-15T00:00:00"/>
    <s v="TZMO Czech Republic s.r.o."/>
    <m/>
    <n v="1505798.22"/>
    <n v="1822015.85"/>
    <m/>
    <m/>
    <m/>
    <d v="2021-06-16T00:00:00"/>
    <s v="SMLN-2021-617-000302"/>
    <x v="110"/>
    <d v="2021-07-15T00:00:00"/>
    <d v="2024-07-31T00:00:00"/>
  </r>
  <r>
    <s v="opakovaná VZ"/>
    <s v="VZ-2021-000535"/>
    <x v="3"/>
    <s v="Valíček"/>
    <x v="217"/>
    <m/>
    <m/>
    <m/>
    <s v="71000000-8"/>
    <s v="1.2.67."/>
    <n v="40000000"/>
    <x v="0"/>
    <d v="2021-06-09T00:00:00"/>
    <d v="2021-07-14T00:00:00"/>
    <m/>
    <s v="zrušeno - nelze odtajnit nabídky"/>
    <s v="nová VZ-2021-000704"/>
    <m/>
    <m/>
    <m/>
    <m/>
    <m/>
    <m/>
    <m/>
    <x v="6"/>
    <d v="2021-08-05T00:00:00"/>
    <s v="20.7.2021 zrušeno"/>
  </r>
  <r>
    <s v="opakovaná VZ"/>
    <s v="VZ-2021-000536"/>
    <x v="1"/>
    <s v="Merta"/>
    <x v="218"/>
    <m/>
    <m/>
    <m/>
    <s v="33141200-2"/>
    <m/>
    <n v="29719080"/>
    <x v="0"/>
    <d v="2021-06-16T00:00:00"/>
    <d v="2021-07-19T00:00:00"/>
    <d v="2021-07-28T00:00:00"/>
    <s v="EP SERVICES s.r.o."/>
    <m/>
    <n v="29719005.600000001"/>
    <n v="35960000"/>
    <m/>
    <m/>
    <m/>
    <d v="2021-07-28T00:00:00"/>
    <s v="SMLN-2021-617-000396_x000a_SMLN-2021-614-000072"/>
    <x v="111"/>
    <d v="2021-10-12T00:00:00"/>
    <d v="2025-09-12T00:00:00"/>
  </r>
  <r>
    <d v="2021-05-31T00:00:00"/>
    <s v="VZ-2021-000538"/>
    <x v="10"/>
    <s v="Zdráhalová"/>
    <x v="219"/>
    <m/>
    <m/>
    <m/>
    <s v="39120000-9"/>
    <m/>
    <n v="835000"/>
    <x v="2"/>
    <d v="2021-06-08T00:00:00"/>
    <d v="2021-06-18T00:00:00"/>
    <d v="2021-07-13T00:00:00"/>
    <s v="Roman Lébl"/>
    <m/>
    <n v="416400"/>
    <n v="503844"/>
    <m/>
    <m/>
    <m/>
    <d v="2021-07-13T00:00:00"/>
    <s v="SMLN-2021-618-000055"/>
    <x v="115"/>
    <d v="2021-08-31T00:00:00"/>
    <d v="2021-10-28T00:00:00"/>
  </r>
  <r>
    <s v="opakovaná VZ"/>
    <s v="VZ-2021-000539"/>
    <x v="1"/>
    <s v="Valtová"/>
    <x v="220"/>
    <n v="1"/>
    <s v="Spy Glass - Košík extrakční"/>
    <m/>
    <s v="33140000-3"/>
    <m/>
    <n v="230000"/>
    <x v="0"/>
    <d v="2021-07-08T00:00:00"/>
    <d v="2021-08-10T00:00:00"/>
    <d v="2021-09-15T00:00:00"/>
    <s v="Boston Scientific Česká republika s.r.o."/>
    <m/>
    <n v="230000"/>
    <n v="278300"/>
    <m/>
    <m/>
    <m/>
    <d v="2021-09-15T00:00:00"/>
    <s v="SMLN-2021-617-000497_x000a_SMLN-2021-614-000081"/>
    <x v="84"/>
    <d v="2021-10-20T00:00:00"/>
    <d v="2023-10-05T00:00:00"/>
  </r>
  <r>
    <s v="opakovaná VZ"/>
    <s v="VZ-2021-000539"/>
    <x v="1"/>
    <s v="Valtová"/>
    <x v="220"/>
    <n v="2"/>
    <s v="Spy Glass - Klička polypektomická"/>
    <m/>
    <s v="33140000-3"/>
    <m/>
    <n v="230000"/>
    <x v="0"/>
    <d v="2021-07-08T00:00:00"/>
    <d v="2021-08-10T00:00:00"/>
    <d v="2021-09-15T00:00:00"/>
    <s v="Boston Scientific Česká republika s.r.o."/>
    <m/>
    <n v="230000"/>
    <n v="278300"/>
    <m/>
    <m/>
    <m/>
    <d v="2021-09-15T00:00:00"/>
    <s v="SMLN-2021-617-000498_x000a_SMLN-2021-614-000082"/>
    <x v="84"/>
    <d v="2021-10-20T00:00:00"/>
    <d v="2023-10-05T00:00:00"/>
  </r>
  <r>
    <s v="opakovaná VZ"/>
    <s v="VZ-2021-000539"/>
    <x v="1"/>
    <s v="Valtová"/>
    <x v="220"/>
    <n v="3"/>
    <s v="Spy Glass - Sonda pro EHL"/>
    <m/>
    <s v="33140000-3"/>
    <m/>
    <n v="690000"/>
    <x v="0"/>
    <d v="2021-07-08T00:00:00"/>
    <d v="2021-08-10T00:00:00"/>
    <d v="2021-09-15T00:00:00"/>
    <s v="Boston Scientific Česká republika s.r.o."/>
    <m/>
    <n v="690000"/>
    <n v="834900"/>
    <m/>
    <m/>
    <m/>
    <d v="2021-09-15T00:00:00"/>
    <s v="SMLN-2021-617-000499_x000a_SMLN-2021-614-000083"/>
    <x v="84"/>
    <d v="2021-10-20T00:00:00"/>
    <d v="2023-10-05T00:00:00"/>
  </r>
  <r>
    <d v="2021-06-02T00:00:00"/>
    <s v="VZ-2021-000542"/>
    <x v="17"/>
    <s v="Kohoutová"/>
    <x v="221"/>
    <m/>
    <m/>
    <m/>
    <s v="80610000-3"/>
    <m/>
    <n v="334710"/>
    <x v="2"/>
    <d v="2021-06-07T00:00:00"/>
    <d v="2021-06-15T00:00:00"/>
    <d v="2021-07-12T00:00:00"/>
    <s v="ARBATAX s.r.o."/>
    <m/>
    <n v="180000"/>
    <n v="217800"/>
    <m/>
    <m/>
    <m/>
    <d v="2021-07-13T00:00:00"/>
    <s v="SMLN-2021-612-000067"/>
    <x v="115"/>
    <d v="2021-08-31T00:00:00"/>
    <d v="2021-12-31T00:00:00"/>
  </r>
  <r>
    <d v="2021-06-02T00:00:00"/>
    <s v="VZ-2021-000549"/>
    <x v="2"/>
    <s v="Olejníček"/>
    <x v="222"/>
    <m/>
    <m/>
    <m/>
    <s v="33186200-9"/>
    <s v="2.2.326."/>
    <n v="223400"/>
    <x v="2"/>
    <d v="2021-06-07T00:00:00"/>
    <d v="2021-06-16T00:00:00"/>
    <d v="2021-06-24T00:00:00"/>
    <s v="A.M.I. - Analytical Medical Insruments, s.r.o."/>
    <m/>
    <n v="196230"/>
    <n v="237438.3"/>
    <m/>
    <m/>
    <m/>
    <d v="2021-06-24T00:00:00"/>
    <s v="SMLN-2021-617-000337_x000a_SMLN-2021-612-000064"/>
    <x v="72"/>
    <d v="2021-07-27T00:00:00"/>
    <d v="2021-09-30T00:00:00"/>
  </r>
  <r>
    <d v="2021-06-02T00:00:00"/>
    <s v="VZ-2021-000550"/>
    <x v="2"/>
    <s v="Olejníček"/>
    <x v="223"/>
    <m/>
    <m/>
    <m/>
    <s v="33169100-3"/>
    <s v="2.2.351."/>
    <n v="46800"/>
    <x v="2"/>
    <d v="2021-06-04T00:00:00"/>
    <d v="2021-06-16T00:00:00"/>
    <d v="2021-06-24T00:00:00"/>
    <s v="Hospimed, spol. s r.o."/>
    <m/>
    <n v="46778"/>
    <n v="56601.38"/>
    <m/>
    <m/>
    <m/>
    <d v="2021-06-24T00:00:00"/>
    <s v="SMLN-2021-617-000339"/>
    <x v="51"/>
    <d v="2021-07-16T00:00:00"/>
    <d v="2021-08-24T00:00:00"/>
  </r>
  <r>
    <d v="2021-06-02T00:00:00"/>
    <s v="VZ-2021-000553"/>
    <x v="0"/>
    <s v="Ondráčková"/>
    <x v="224"/>
    <n v="1"/>
    <s v="Epoprostenol"/>
    <m/>
    <s v="33621100-0"/>
    <m/>
    <n v="14752194"/>
    <x v="0"/>
    <d v="2021-07-16T00:00:00"/>
    <d v="2021-08-18T00:00:00"/>
    <d v="2021-10-22T00:00:00"/>
    <s v="Janssen-Cilag s.r.o."/>
    <m/>
    <n v="14752192.949999999"/>
    <n v="16227412.25"/>
    <m/>
    <m/>
    <m/>
    <d v="2021-10-22T00:00:00"/>
    <s v="SMLN-2021-617-000586"/>
    <x v="116"/>
    <d v="2021-12-02T00:00:00"/>
    <d v="2024-11-29T00:00:00"/>
  </r>
  <r>
    <d v="2021-06-02T00:00:00"/>
    <s v="VZ-2021-000554"/>
    <x v="0"/>
    <s v="Ondráčková"/>
    <x v="225"/>
    <n v="1"/>
    <s v="BRODALUMAB "/>
    <m/>
    <s v="33652300-8"/>
    <m/>
    <n v="9567471"/>
    <x v="0"/>
    <d v="2021-06-09T00:00:00"/>
    <d v="2021-07-12T00:00:00"/>
    <d v="2021-08-09T00:00:00"/>
    <s v="Alliance Healthcare s.r.o."/>
    <m/>
    <n v="9567470.0999999996"/>
    <n v="10524217.109999999"/>
    <m/>
    <m/>
    <m/>
    <d v="2021-08-10T00:00:00"/>
    <s v="SMLN-2021-617-000413"/>
    <x v="117"/>
    <d v="2021-09-09T00:00:00"/>
    <d v="2024-09-02T00:00:00"/>
  </r>
  <r>
    <d v="2021-06-02T00:00:00"/>
    <s v="VZ-2021-000555"/>
    <x v="0"/>
    <s v="Ondráčková"/>
    <x v="226"/>
    <n v="1"/>
    <s v="Infuzní vitamíny "/>
    <m/>
    <s v="33692510-5"/>
    <m/>
    <n v="29548800"/>
    <x v="0"/>
    <d v="2021-08-17T00:00:00"/>
    <d v="2021-10-12T00:00:00"/>
    <d v="2021-11-26T00:00:00"/>
    <s v="B. Braun Medical s.r.o."/>
    <m/>
    <n v="28645920"/>
    <n v="31510512"/>
    <m/>
    <m/>
    <m/>
    <d v="2021-11-26T00:00:00"/>
    <s v="SMLN-2021-617-000688"/>
    <x v="6"/>
    <m/>
    <m/>
  </r>
  <r>
    <d v="2021-06-03T00:00:00"/>
    <s v="VZ-2021-000559"/>
    <x v="1"/>
    <s v="Valtová"/>
    <x v="227"/>
    <m/>
    <m/>
    <m/>
    <s v="33141750-2 "/>
    <m/>
    <n v="10047872"/>
    <x v="0"/>
    <d v="2021-06-16T00:00:00"/>
    <d v="2021-07-19T00:00:00"/>
    <d v="2021-08-25T00:00:00"/>
    <s v="Lima CZ s.r.o."/>
    <m/>
    <n v="9248125"/>
    <n v="10635343.75"/>
    <m/>
    <m/>
    <m/>
    <d v="2021-08-26T00:00:00"/>
    <s v="SMLN-2021-617-000452_x000a_SMLN-2021-614-000078_x000a_SMLN-2021-616-000051"/>
    <x v="113"/>
    <d v="2021-09-21T00:00:00"/>
    <d v="2024-09-14T00:00:00"/>
  </r>
  <r>
    <d v="2021-06-04T00:00:00"/>
    <s v="VZ-2021-000564"/>
    <x v="3"/>
    <s v="Zeman"/>
    <x v="228"/>
    <m/>
    <m/>
    <m/>
    <s v="45215100-8"/>
    <s v="1.2.74."/>
    <n v="3200000"/>
    <x v="2"/>
    <d v="2021-06-08T00:00:00"/>
    <d v="2021-06-16T00:00:00"/>
    <d v="2021-06-17T00:00:00"/>
    <s v="EP Rožnov, a.s.."/>
    <m/>
    <n v="3299942"/>
    <n v="3992929.82"/>
    <m/>
    <m/>
    <m/>
    <d v="2021-06-18T00:00:00"/>
    <s v="SMLN-2021-618-000047"/>
    <x v="58"/>
    <d v="2021-07-16T00:00:00"/>
    <d v="2021-08-28T00:00:00"/>
  </r>
  <r>
    <d v="2021-06-04T00:00:00"/>
    <s v="VZ-2021-000572"/>
    <x v="2"/>
    <s v="Olejníček"/>
    <x v="229"/>
    <m/>
    <m/>
    <m/>
    <s v="38000000-5"/>
    <s v="2.2.371."/>
    <n v="153330"/>
    <x v="2"/>
    <d v="2021-06-09T00:00:00"/>
    <d v="2021-06-18T00:00:00"/>
    <d v="2021-06-24T00:00:00"/>
    <s v="BARIA, s.r.o."/>
    <m/>
    <n v="137600"/>
    <n v="166496"/>
    <m/>
    <m/>
    <m/>
    <d v="2021-06-24T00:00:00"/>
    <s v="SMLN-2021-617-000338_x000a_SMLN-2021-612-000065"/>
    <x v="94"/>
    <d v="2021-07-29T00:00:00"/>
    <d v="2021-09-17T00:00:00"/>
  </r>
  <r>
    <d v="2021-06-04T00:00:00"/>
    <s v="VZ-2021-000582"/>
    <x v="2"/>
    <s v="Olejníček"/>
    <x v="230"/>
    <m/>
    <m/>
    <m/>
    <s v="33120000-7"/>
    <s v="2.3.463."/>
    <n v="281900"/>
    <x v="2"/>
    <d v="2021-06-10T00:00:00"/>
    <d v="2021-06-22T00:00:00"/>
    <d v="2021-07-01T00:00:00"/>
    <s v="GETA Centrum s.r.o."/>
    <m/>
    <n v="279360"/>
    <n v="338025.6"/>
    <m/>
    <m/>
    <m/>
    <d v="2021-07-02T00:00:00"/>
    <s v="SMLN-2021-617-000357_x000a_SMLN-2021-612-000066"/>
    <x v="105"/>
    <d v="2021-07-22T00:00:00"/>
    <d v="2021-09-15T00:00:00"/>
  </r>
  <r>
    <d v="2021-06-09T00:00:00"/>
    <s v="VZ-2021-000584"/>
    <x v="3"/>
    <s v="Vzatek"/>
    <x v="231"/>
    <m/>
    <m/>
    <m/>
    <s v="71000000-8"/>
    <s v="1.2.77."/>
    <n v="2300000"/>
    <x v="1"/>
    <d v="2021-09-17T00:00:00"/>
    <d v="2021-10-06T00:00:00"/>
    <d v="2021-11-24T00:00:00"/>
    <s v="LT PROJEKT a.s."/>
    <m/>
    <n v="2850000"/>
    <n v="3448500"/>
    <m/>
    <m/>
    <m/>
    <d v="2021-11-24T00:00:00"/>
    <s v="SMLN-2021-618-000084"/>
    <x v="6"/>
    <m/>
    <m/>
  </r>
  <r>
    <s v="opakovaná VZ"/>
    <s v="VZ-2021-000585"/>
    <x v="2"/>
    <s v="Olejníček"/>
    <x v="232"/>
    <n v="1"/>
    <s v="Radiační ochranný štít nad lůžko s pacientem"/>
    <m/>
    <s v="35113200-1"/>
    <s v="2.3.45."/>
    <n v="132000"/>
    <x v="2"/>
    <d v="2021-06-10T00:00:00"/>
    <d v="2021-06-22T00:00:00"/>
    <m/>
    <s v="zrušeno - nesplnění parametrů"/>
    <s v="nová VZ-2021-000744"/>
    <m/>
    <m/>
    <m/>
    <m/>
    <m/>
    <m/>
    <m/>
    <x v="6"/>
    <d v="2021-07-23T00:00:00"/>
    <m/>
  </r>
  <r>
    <s v="opakovaná VZ"/>
    <s v="VZ-2021-000585"/>
    <x v="2"/>
    <s v="Olejníček"/>
    <x v="232"/>
    <n v="2"/>
    <s v="Radiační ochranný štít pod lůžko s pacientem"/>
    <m/>
    <s v="35113200-1"/>
    <s v="2.3.45."/>
    <n v="221000"/>
    <x v="2"/>
    <d v="2021-06-10T00:00:00"/>
    <d v="2021-06-22T00:00:00"/>
    <m/>
    <s v="zrušeno - nesplnění parametrů"/>
    <s v="nová VZ-2021-000744"/>
    <m/>
    <m/>
    <m/>
    <m/>
    <m/>
    <m/>
    <m/>
    <x v="6"/>
    <d v="2021-07-12T00:00:00"/>
    <m/>
  </r>
  <r>
    <d v="2021-06-09T00:00:00"/>
    <s v="VZ-2021-000590"/>
    <x v="0"/>
    <s v="Ondráčková"/>
    <x v="233"/>
    <n v="1"/>
    <s v="Spotřební materiál pro krevní obrazy I. "/>
    <m/>
    <s v="33694000-1"/>
    <m/>
    <n v="2006548"/>
    <x v="1"/>
    <d v="2021-06-23T00:00:00"/>
    <d v="2021-07-13T00:00:00"/>
    <m/>
    <s v="zrušeno - administrativní pochybení"/>
    <s v="nová VZ-2021-000695"/>
    <m/>
    <m/>
    <m/>
    <m/>
    <m/>
    <m/>
    <m/>
    <x v="6"/>
    <d v="2021-07-13T00:00:00"/>
    <s v="13.7.2021 zrušení na podpis"/>
  </r>
  <r>
    <d v="2021-06-09T00:00:00"/>
    <s v="VZ-2021-000590"/>
    <x v="0"/>
    <s v="Ondráčková"/>
    <x v="233"/>
    <n v="2"/>
    <s v="Spotřební materiál pro krevní obrazy II. "/>
    <m/>
    <s v="33694000-1"/>
    <m/>
    <n v="1149222"/>
    <x v="1"/>
    <d v="2021-06-23T00:00:00"/>
    <d v="2021-07-13T00:00:00"/>
    <m/>
    <s v="zrušeno - administrativní pochybení"/>
    <s v="nová VZ-2021-000695"/>
    <m/>
    <m/>
    <m/>
    <m/>
    <m/>
    <m/>
    <m/>
    <x v="6"/>
    <d v="2021-07-13T00:00:00"/>
    <s v="13.7.2021 zrušení na podpis"/>
  </r>
  <r>
    <d v="2021-06-09T00:00:00"/>
    <s v="VZ-2021-000590"/>
    <x v="0"/>
    <s v="Ondráčková"/>
    <x v="233"/>
    <n v="3"/>
    <s v="Spotřební materiál pro krevní obrazy III. "/>
    <m/>
    <s v="33694000-1"/>
    <m/>
    <n v="54000"/>
    <x v="1"/>
    <d v="2021-06-23T00:00:00"/>
    <d v="2021-07-13T00:00:00"/>
    <m/>
    <s v="zrušeno - administrativní pochybení"/>
    <s v="nová VZ-2021-000695"/>
    <m/>
    <m/>
    <m/>
    <m/>
    <m/>
    <m/>
    <m/>
    <x v="6"/>
    <d v="2021-07-13T00:00:00"/>
    <s v="13.7.2021 zrušení na podpis"/>
  </r>
  <r>
    <d v="2021-06-09T00:00:00"/>
    <s v="VZ-2021-000590"/>
    <x v="0"/>
    <s v="Ondráčková"/>
    <x v="233"/>
    <n v="4"/>
    <s v="Spotřební materiál pro krevní obrazy IV. "/>
    <m/>
    <s v="33694000-1"/>
    <m/>
    <n v="184158"/>
    <x v="1"/>
    <d v="2021-06-23T00:00:00"/>
    <d v="2021-07-13T00:00:00"/>
    <m/>
    <s v="zrušeno - administrativní pochybení"/>
    <s v="nová VZ-2021-000695"/>
    <m/>
    <m/>
    <m/>
    <m/>
    <m/>
    <m/>
    <m/>
    <x v="6"/>
    <d v="2021-07-13T00:00:00"/>
    <s v="13.7.2021 zrušení na podpis"/>
  </r>
  <r>
    <d v="2021-06-10T00:00:00"/>
    <s v="VZ-2021-000598"/>
    <x v="1"/>
    <s v="Valtová"/>
    <x v="234"/>
    <m/>
    <m/>
    <m/>
    <s v="33140000-3"/>
    <m/>
    <n v="2876000"/>
    <x v="1"/>
    <d v="2021-06-16T00:00:00"/>
    <d v="2021-07-20T00:00:00"/>
    <m/>
    <s v="zrušeno - bez nabídky"/>
    <s v="nová VZ-2021-000757"/>
    <m/>
    <m/>
    <m/>
    <m/>
    <m/>
    <m/>
    <m/>
    <x v="6"/>
    <d v="2021-07-23T00:00:00"/>
    <s v="21.7.2021 zrušeno"/>
  </r>
  <r>
    <d v="2021-06-10T00:00:00"/>
    <s v="VZ-2021-000599"/>
    <x v="1"/>
    <s v="Valtová"/>
    <x v="235"/>
    <m/>
    <m/>
    <m/>
    <s v="33140000-3"/>
    <m/>
    <n v="18347040"/>
    <x v="0"/>
    <d v="2021-06-24T00:00:00"/>
    <d v="2021-07-27T00:00:00"/>
    <d v="2021-08-23T00:00:00"/>
    <s v="Cardiomedical s.r.o."/>
    <m/>
    <n v="18347040"/>
    <n v="21099096"/>
    <m/>
    <m/>
    <m/>
    <d v="2021-08-23T00:00:00"/>
    <s v="SMLN-2021-617-000437_x000a_SMLN-2021-614-000077"/>
    <x v="118"/>
    <d v="2021-10-18T00:00:00"/>
    <d v="2024-10-03T00:00:00"/>
  </r>
  <r>
    <d v="2021-06-09T00:00:00"/>
    <s v="VZ-2021-000601"/>
    <x v="10"/>
    <s v="Zdráhalová"/>
    <x v="236"/>
    <m/>
    <m/>
    <m/>
    <s v="30197644-2"/>
    <m/>
    <n v="1100000"/>
    <x v="2"/>
    <d v="2021-06-18T00:00:00"/>
    <d v="2021-06-28T00:00:00"/>
    <m/>
    <s v="zrušeno - nutné upravit zadání"/>
    <s v="nová VZ-2021-000713"/>
    <m/>
    <m/>
    <m/>
    <m/>
    <m/>
    <m/>
    <m/>
    <x v="6"/>
    <d v="2021-07-09T00:00:00"/>
    <m/>
  </r>
  <r>
    <d v="2021-06-10T00:00:00"/>
    <s v="VZ-2021-000602"/>
    <x v="2"/>
    <s v="Olejníček"/>
    <x v="237"/>
    <m/>
    <m/>
    <m/>
    <s v="38000000-5"/>
    <s v="2.2.374"/>
    <n v="1305785"/>
    <x v="2"/>
    <d v="2021-06-16T00:00:00"/>
    <d v="2021-06-25T00:00:00"/>
    <m/>
    <s v="zrušeno - nutné upravit zadání"/>
    <s v="nová VZ-2021-00711"/>
    <m/>
    <m/>
    <m/>
    <m/>
    <m/>
    <m/>
    <m/>
    <x v="6"/>
    <d v="2021-07-09T00:00:00"/>
    <m/>
  </r>
  <r>
    <d v="2021-06-10T00:00:00"/>
    <s v="VZ-2021-000603"/>
    <x v="2"/>
    <s v="Olejníček"/>
    <x v="238"/>
    <m/>
    <m/>
    <m/>
    <s v="38000000-5"/>
    <s v="2.2.370"/>
    <n v="966942"/>
    <x v="2"/>
    <d v="2021-06-16T00:00:00"/>
    <d v="2021-06-29T00:00:00"/>
    <d v="2021-07-15T00:00:00"/>
    <s v="MIKRO, spol. s r.o."/>
    <m/>
    <n v="642041"/>
    <n v="776874"/>
    <m/>
    <m/>
    <m/>
    <d v="2021-07-15T00:00:00"/>
    <s v="SMLN-2021-617-000377_x000a_SMLN-2021-612-000069"/>
    <x v="119"/>
    <d v="2021-08-16T00:00:00"/>
    <d v="2021-10-06T00:00:00"/>
  </r>
  <r>
    <d v="2021-06-10T00:00:00"/>
    <s v="VZ-2021-000604"/>
    <x v="10"/>
    <s v="Zdráhalová"/>
    <x v="239"/>
    <m/>
    <m/>
    <m/>
    <s v="33772000-2"/>
    <m/>
    <n v="1998000"/>
    <x v="2"/>
    <d v="2021-07-13T00:00:00"/>
    <d v="2021-07-22T00:00:00"/>
    <m/>
    <s v="zrušeno - neplní zadání"/>
    <s v="nová VZ-2021-000885"/>
    <m/>
    <m/>
    <m/>
    <m/>
    <m/>
    <m/>
    <m/>
    <x v="6"/>
    <d v="2021-08-31T00:00:00"/>
    <m/>
  </r>
  <r>
    <s v="opakovaná VZ"/>
    <s v="VZ-2021-000608"/>
    <x v="1"/>
    <s v="Dočkalová"/>
    <x v="240"/>
    <m/>
    <m/>
    <m/>
    <s v="33140000-3"/>
    <m/>
    <n v="1457850"/>
    <x v="2"/>
    <d v="2021-06-16T00:00:00"/>
    <d v="2021-06-28T00:00:00"/>
    <d v="2021-07-13T00:00:00"/>
    <s v="S.A.B. Impex, s.r.o."/>
    <m/>
    <n v="1457849.88"/>
    <n v="1763998.35"/>
    <m/>
    <m/>
    <m/>
    <d v="2021-07-13T00:00:00"/>
    <s v="SMLN-2021-617-000373_x000a_SMLN-2021-614-000069_x000a_SMLN-2021-616-000049"/>
    <x v="113"/>
    <d v="2021-09-21T00:00:00"/>
    <d v="2024-09-14T00:00:00"/>
  </r>
  <r>
    <d v="2021-06-09T00:00:00"/>
    <s v="VZ-2021-000611"/>
    <x v="18"/>
    <s v="Cahlíková"/>
    <x v="241"/>
    <m/>
    <m/>
    <m/>
    <s v="72225000-8"/>
    <m/>
    <n v="200000"/>
    <x v="2"/>
    <d v="2021-09-03T00:00:00"/>
    <d v="2021-09-20T00:00:00"/>
    <m/>
    <s v="zrušeno - bez hodnotitelné nabídky"/>
    <s v="nová VZ-2021-001046"/>
    <m/>
    <m/>
    <m/>
    <m/>
    <m/>
    <m/>
    <m/>
    <x v="6"/>
    <d v="2021-10-05T00:00:00"/>
    <m/>
  </r>
  <r>
    <d v="2021-06-11T00:00:00"/>
    <s v="VZ-2021-000613"/>
    <x v="3"/>
    <s v="Valíček"/>
    <x v="242"/>
    <m/>
    <m/>
    <m/>
    <s v="71000000-8"/>
    <s v="1.2.79."/>
    <n v="1950000"/>
    <x v="2"/>
    <d v="2021-06-17T00:00:00"/>
    <d v="2021-06-28T00:00:00"/>
    <d v="2021-07-12T00:00:00"/>
    <s v="STYLE STUDIO s.r.o."/>
    <m/>
    <n v="1594000"/>
    <n v="1928740"/>
    <m/>
    <m/>
    <m/>
    <d v="2021-07-13T00:00:00"/>
    <s v="SMLN-2021-618-000053"/>
    <x v="120"/>
    <d v="2021-08-05T00:00:00"/>
    <d v="2021-10-13T00:00:00"/>
  </r>
  <r>
    <d v="2021-12-13T00:00:00"/>
    <s v="VZ-2021-000615"/>
    <x v="0"/>
    <s v="Ondráčková"/>
    <x v="243"/>
    <n v="1"/>
    <s v="Sodná sůl treprostinilu pro pacienty s pumpou subkutánní"/>
    <m/>
    <s v="33652000-5 "/>
    <m/>
    <n v="10955758"/>
    <x v="0"/>
    <d v="2021-12-23T00:00:00"/>
    <d v="2022-01-27T00:00:00"/>
    <m/>
    <m/>
    <m/>
    <m/>
    <m/>
    <m/>
    <m/>
    <m/>
    <m/>
    <m/>
    <x v="6"/>
    <m/>
    <m/>
  </r>
  <r>
    <d v="2021-12-13T00:00:00"/>
    <s v="VZ-2021-000615"/>
    <x v="0"/>
    <s v="Ondráčková"/>
    <x v="243"/>
    <n v="2"/>
    <s v="Sodná sůl treprostinilu pro pacienty s implantabilní pumpou "/>
    <m/>
    <s v="33652000-5 "/>
    <m/>
    <n v="16521989"/>
    <x v="0"/>
    <d v="2021-12-23T00:00:00"/>
    <d v="2022-01-27T00:00:00"/>
    <m/>
    <m/>
    <m/>
    <m/>
    <m/>
    <m/>
    <m/>
    <m/>
    <m/>
    <m/>
    <x v="6"/>
    <m/>
    <m/>
  </r>
  <r>
    <d v="2021-06-14T00:00:00"/>
    <s v="VZ-2021-000616"/>
    <x v="2"/>
    <s v="Olejníček"/>
    <x v="244"/>
    <m/>
    <m/>
    <m/>
    <s v="38000000-5"/>
    <s v="2.2.346."/>
    <n v="1080000"/>
    <x v="1"/>
    <d v="2021-06-23T00:00:00"/>
    <d v="2021-07-14T00:00:00"/>
    <d v="2021-07-27T00:00:00"/>
    <s v="ZENA-R, spol. s r.o."/>
    <m/>
    <n v="834800"/>
    <n v="1010108"/>
    <m/>
    <m/>
    <m/>
    <d v="2021-07-27T00:00:00"/>
    <s v="SMLN-2021-617-000391_x000a_SMLN-2021-612-000078_x000a_SMLN-2021-617-000392"/>
    <x v="121"/>
    <d v="2021-08-17T00:00:00"/>
    <d v="2021-09-27T00:00:00"/>
  </r>
  <r>
    <s v="opakovaná VZ"/>
    <s v="VZ-2021-000617"/>
    <x v="9"/>
    <s v="Svozil"/>
    <x v="245"/>
    <m/>
    <m/>
    <m/>
    <s v="45232150-8"/>
    <m/>
    <n v="5800000"/>
    <x v="2"/>
    <d v="2021-06-25T00:00:00"/>
    <d v="2021-07-09T00:00:00"/>
    <m/>
    <s v="zrušeno - bez nabídky"/>
    <s v="nová VZ-2021-001021"/>
    <m/>
    <m/>
    <m/>
    <m/>
    <m/>
    <m/>
    <m/>
    <x v="6"/>
    <d v="2021-07-09T00:00:00"/>
    <m/>
  </r>
  <r>
    <d v="2021-06-15T00:00:00"/>
    <s v="VZ-2021-000621"/>
    <x v="2"/>
    <s v="Olejníček"/>
    <x v="246"/>
    <m/>
    <m/>
    <m/>
    <s v="38000000-5"/>
    <s v="2.2.372."/>
    <n v="457851"/>
    <x v="2"/>
    <d v="2021-07-13T00:00:00"/>
    <d v="2021-07-27T00:00:00"/>
    <m/>
    <s v="zrušeno - bez hodnotitelné nabídky"/>
    <s v="nová VZ-2021-000828"/>
    <m/>
    <m/>
    <m/>
    <m/>
    <m/>
    <m/>
    <m/>
    <x v="6"/>
    <d v="2021-08-06T00:00:00"/>
    <m/>
  </r>
  <r>
    <d v="2021-06-15T00:00:00"/>
    <s v="VZ-2021-000622"/>
    <x v="2"/>
    <s v="Olejníček"/>
    <x v="247"/>
    <m/>
    <m/>
    <m/>
    <s v="38000000-5"/>
    <s v="2.2.373."/>
    <n v="6420000"/>
    <x v="0"/>
    <d v="2021-07-16T00:00:00"/>
    <d v="2021-08-23T00:00:00"/>
    <m/>
    <s v="zrušeno - odstoupení od nabídky"/>
    <s v="nová VZ-201-000894"/>
    <m/>
    <m/>
    <m/>
    <m/>
    <m/>
    <m/>
    <m/>
    <x v="6"/>
    <d v="2021-09-03T00:00:00"/>
    <m/>
  </r>
  <r>
    <d v="2021-06-15T00:00:00"/>
    <s v="VZ-2021-000623"/>
    <x v="2"/>
    <s v="Olejníček"/>
    <x v="248"/>
    <m/>
    <m/>
    <m/>
    <s v="33123000-8"/>
    <s v="2.2.366."/>
    <n v="1080000"/>
    <x v="2"/>
    <d v="2021-06-22T00:00:00"/>
    <d v="2021-07-02T00:00:00"/>
    <d v="2021-07-22T00:00:00"/>
    <s v="Cardion, s.r.o."/>
    <m/>
    <n v="1043297.52"/>
    <n v="1262390"/>
    <m/>
    <m/>
    <m/>
    <d v="2021-07-22T00:00:00"/>
    <s v="SMLN-2021-617-000385_x000a_SMLN-2021-612-000073"/>
    <x v="122"/>
    <d v="2021-08-13T00:00:00"/>
    <d v="2021-09-21T00:00:00"/>
  </r>
  <r>
    <d v="2021-06-15T00:00:00"/>
    <s v="VZ-2021-000624"/>
    <x v="2"/>
    <s v="Olejníček"/>
    <x v="249"/>
    <m/>
    <m/>
    <m/>
    <s v="33123000-8"/>
    <s v="2.2.365."/>
    <n v="1350000"/>
    <x v="2"/>
    <d v="2021-06-23T00:00:00"/>
    <d v="2021-07-02T00:00:00"/>
    <d v="2021-07-22T00:00:00"/>
    <s v="MEDIAL spol. s r.o."/>
    <m/>
    <n v="890240"/>
    <n v="1077190.3999999999"/>
    <m/>
    <m/>
    <m/>
    <d v="2021-07-22T00:00:00"/>
    <s v="SMLN-2021-617-000386_x000a_SMLN-2021-612-000074_x000a_SMLN-2021-617-000387"/>
    <x v="102"/>
    <d v="2021-09-17T00:00:00"/>
    <d v="2021-09-29T00:00:00"/>
  </r>
  <r>
    <d v="2021-06-09T00:00:00"/>
    <s v="VZ-2021-000625"/>
    <x v="4"/>
    <s v="Srovnal"/>
    <x v="250"/>
    <m/>
    <m/>
    <m/>
    <s v="50532000-3"/>
    <m/>
    <n v="3000000"/>
    <x v="1"/>
    <d v="2021-06-22T00:00:00"/>
    <d v="2021-07-13T00:00:00"/>
    <d v="2021-07-27T00:00:00"/>
    <s v="AQUAL s.r.o."/>
    <m/>
    <n v="2858942"/>
    <n v="3459319.82"/>
    <m/>
    <m/>
    <m/>
    <d v="2021-07-27T00:00:00"/>
    <s v="SMLN-2021-612-000079"/>
    <x v="111"/>
    <d v="2021-09-14T00:00:00"/>
    <d v="2025-09-12T00:00:00"/>
  </r>
  <r>
    <d v="2021-06-21T00:00:00"/>
    <s v="VZ-2021-000632"/>
    <x v="8"/>
    <s v="Kadlec"/>
    <x v="251"/>
    <m/>
    <m/>
    <m/>
    <s v="45332200-5"/>
    <m/>
    <n v="1200000"/>
    <x v="2"/>
    <d v="2021-06-22T00:00:00"/>
    <d v="2021-06-29T00:00:00"/>
    <d v="2021-07-12T00:00:00"/>
    <s v="PROFITEAM topení-voda-plyn s.r.o."/>
    <m/>
    <n v="1349142"/>
    <n v="1632461.82"/>
    <m/>
    <m/>
    <m/>
    <d v="2021-07-13T00:00:00"/>
    <s v="SMLN-2021-618-000054"/>
    <x v="115"/>
    <d v="2021-08-31T00:00:00"/>
    <m/>
  </r>
  <r>
    <d v="2021-06-18T00:00:00"/>
    <s v="VZ-2021-000633"/>
    <x v="2"/>
    <s v="Olejníček"/>
    <x v="252"/>
    <m/>
    <m/>
    <m/>
    <s v="33158000-2"/>
    <s v="2.2.379."/>
    <n v="325000"/>
    <x v="2"/>
    <d v="2021-06-25T00:00:00"/>
    <d v="2021-07-08T00:00:00"/>
    <d v="2021-07-22T00:00:00"/>
    <s v="ESTEMED Pharma s.r.o."/>
    <m/>
    <n v="271500"/>
    <n v="328515"/>
    <m/>
    <m/>
    <m/>
    <d v="2021-07-22T00:00:00"/>
    <s v="SMLN-2021-617-000388_x000a_SMLN-2021-612-000075"/>
    <x v="122"/>
    <d v="2021-08-13T00:00:00"/>
    <d v="2021-08-20T00:00:00"/>
  </r>
  <r>
    <d v="2021-06-24T00:00:00"/>
    <s v="VZ-2021-000640"/>
    <x v="1"/>
    <s v="Dočkalová"/>
    <x v="253"/>
    <n v="1"/>
    <s v="Staplery lineární (Lineární katry) - s integrálním nožem ve stapleru"/>
    <m/>
    <s v="33162200-5"/>
    <m/>
    <n v="3882950"/>
    <x v="0"/>
    <d v="2021-07-22T00:00:00"/>
    <d v="2021-10-05T00:00:00"/>
    <d v="2021-11-03T00:00:00"/>
    <s v="Johnson  &amp; Johnson s.r.o."/>
    <m/>
    <n v="2315091.25"/>
    <n v="2801260.41"/>
    <m/>
    <m/>
    <m/>
    <d v="2021-11-03T00:00:00"/>
    <s v="SMLN-2021-617-000612_x000a_SMLN-2021-614-000101"/>
    <x v="123"/>
    <d v="2022-01-11T00:00:00"/>
    <d v="2024-12-12T00:00:00"/>
  </r>
  <r>
    <d v="2021-06-24T00:00:00"/>
    <s v="VZ-2021-000640"/>
    <x v="1"/>
    <s v="Dočkalová"/>
    <x v="253"/>
    <n v="2"/>
    <s v="Staplery lineární (Lineární katry) - s nožem v zásobníku"/>
    <m/>
    <s v="33162200-5"/>
    <m/>
    <n v="2969250"/>
    <x v="0"/>
    <d v="2021-07-22T00:00:00"/>
    <d v="2021-10-05T00:00:00"/>
    <d v="2021-11-03T00:00:00"/>
    <s v="B. Braun Medical s.r.o."/>
    <m/>
    <n v="1889700"/>
    <n v="2286537"/>
    <m/>
    <m/>
    <m/>
    <d v="2021-11-03T00:00:00"/>
    <s v="SMLN-2021-617-000613_x000a_SMLN-2021-614-000102"/>
    <x v="124"/>
    <d v="2022-01-11T00:00:00"/>
    <d v="2024-12-14T00:00:00"/>
  </r>
  <r>
    <d v="2021-06-24T00:00:00"/>
    <s v="VZ-2021-000640"/>
    <x v="1"/>
    <s v="Dočkalová"/>
    <x v="253"/>
    <n v="3"/>
    <s v="Staplery lineární - s nožem - se zahnutou (okrouhlou) hlavou"/>
    <m/>
    <s v="33162200-5"/>
    <m/>
    <n v="2354100"/>
    <x v="0"/>
    <d v="2021-07-22T00:00:00"/>
    <d v="2021-10-05T00:00:00"/>
    <d v="2021-11-03T00:00:00"/>
    <s v="Johnson  &amp; Johnson s.r.o."/>
    <m/>
    <n v="2354096.5"/>
    <n v="2848456.77"/>
    <m/>
    <m/>
    <m/>
    <d v="2021-11-03T00:00:00"/>
    <s v="SMLN-2021-617-000614_x000a_SMLN-2021-614-000103"/>
    <x v="123"/>
    <d v="2022-01-11T00:00:00"/>
    <d v="2024-12-12T00:00:00"/>
  </r>
  <r>
    <d v="2021-06-24T00:00:00"/>
    <s v="VZ-2021-000640"/>
    <x v="1"/>
    <s v="Dočkalová"/>
    <x v="253"/>
    <n v="4"/>
    <s v="Staplery lineární  - bez nože"/>
    <m/>
    <s v="33162200-5"/>
    <m/>
    <n v="1333620"/>
    <x v="0"/>
    <d v="2021-07-22T00:00:00"/>
    <d v="2021-10-05T00:00:00"/>
    <m/>
    <m/>
    <m/>
    <m/>
    <m/>
    <m/>
    <m/>
    <m/>
    <m/>
    <m/>
    <x v="6"/>
    <m/>
    <s v="20.12.2021 vyloučení Medtronic"/>
  </r>
  <r>
    <d v="2021-06-24T00:00:00"/>
    <s v="VZ-2021-000640"/>
    <x v="1"/>
    <s v="Dočkalová"/>
    <x v="253"/>
    <n v="5"/>
    <s v="Endokatry/staplery se zahnutou špičkou"/>
    <m/>
    <s v="33162200-5"/>
    <m/>
    <n v="884120"/>
    <x v="0"/>
    <d v="2021-07-22T00:00:00"/>
    <d v="2021-10-05T00:00:00"/>
    <m/>
    <s v="zrušeno - bez hodnotitelné nabídky"/>
    <m/>
    <m/>
    <m/>
    <m/>
    <m/>
    <m/>
    <m/>
    <m/>
    <x v="6"/>
    <d v="2022-01-11T00:00:00"/>
    <s v="7.1.2022 zrušeno"/>
  </r>
  <r>
    <d v="2021-06-24T00:00:00"/>
    <s v="VZ-2021-000640"/>
    <x v="1"/>
    <s v="Dočkalová"/>
    <x v="253"/>
    <n v="6"/>
    <s v="Endokatry/staplery s rovnou špičkou"/>
    <m/>
    <s v="33162200-5"/>
    <m/>
    <n v="2837580"/>
    <x v="0"/>
    <d v="2021-07-22T00:00:00"/>
    <d v="2021-10-05T00:00:00"/>
    <m/>
    <m/>
    <m/>
    <m/>
    <m/>
    <m/>
    <m/>
    <m/>
    <m/>
    <m/>
    <x v="6"/>
    <m/>
    <s v="20.12.2021 vyloučení Medtronic"/>
  </r>
  <r>
    <d v="2021-06-24T00:00:00"/>
    <s v="VZ-2021-000640"/>
    <x v="1"/>
    <s v="Dočkalová"/>
    <x v="253"/>
    <n v="7"/>
    <s v="Cirkulární staplery zahnuté"/>
    <m/>
    <s v="33162200-5"/>
    <m/>
    <n v="2514360"/>
    <x v="0"/>
    <d v="2021-07-22T00:00:00"/>
    <d v="2021-10-05T00:00:00"/>
    <m/>
    <m/>
    <m/>
    <m/>
    <m/>
    <m/>
    <m/>
    <m/>
    <m/>
    <m/>
    <x v="6"/>
    <m/>
    <m/>
  </r>
  <r>
    <d v="2021-06-24T00:00:00"/>
    <s v="VZ-2021-000640"/>
    <x v="1"/>
    <s v="Dočkalová"/>
    <x v="253"/>
    <n v="8"/>
    <s v="Cirkulární staplery se sklopnou hlavicí"/>
    <m/>
    <s v="33162200-5"/>
    <m/>
    <n v="4106830"/>
    <x v="0"/>
    <d v="2021-07-22T00:00:00"/>
    <d v="2021-10-05T00:00:00"/>
    <m/>
    <s v="zrušeno - bez hodnotitelné nabídky"/>
    <m/>
    <m/>
    <m/>
    <m/>
    <m/>
    <m/>
    <m/>
    <m/>
    <x v="6"/>
    <d v="2022-01-11T00:00:00"/>
    <s v="7.1.2022 zrušeno"/>
  </r>
  <r>
    <d v="2021-06-24T00:00:00"/>
    <s v="VZ-2021-000640"/>
    <x v="1"/>
    <s v="Dočkalová"/>
    <x v="253"/>
    <n v="9"/>
    <s v="Cirkulární staplery na operaci hemoroidů metodou dle Longa"/>
    <m/>
    <s v="33162200-5"/>
    <m/>
    <n v="717830"/>
    <x v="0"/>
    <d v="2021-07-22T00:00:00"/>
    <d v="2021-10-05T00:00:00"/>
    <d v="2021-12-01T00:00:00"/>
    <s v="B. Braun Medical s.r.o."/>
    <m/>
    <n v="694000"/>
    <n v="839740"/>
    <m/>
    <m/>
    <m/>
    <d v="2021-12-01T00:00:00"/>
    <s v="SMLN-2021-617-000695_x000a_SMLN-2021-614-000117"/>
    <x v="6"/>
    <m/>
    <m/>
  </r>
  <r>
    <d v="2021-06-24T00:00:00"/>
    <s v="VZ-2021-000640"/>
    <x v="1"/>
    <s v="Dočkalová"/>
    <x v="253"/>
    <n v="10"/>
    <s v="Staplery kožní"/>
    <m/>
    <s v="33162200-5"/>
    <m/>
    <n v="991250"/>
    <x v="0"/>
    <d v="2021-07-22T00:00:00"/>
    <d v="2021-10-05T00:00:00"/>
    <m/>
    <m/>
    <m/>
    <m/>
    <m/>
    <m/>
    <m/>
    <m/>
    <m/>
    <m/>
    <x v="6"/>
    <m/>
    <m/>
  </r>
  <r>
    <d v="2021-06-25T00:00:00"/>
    <s v="VZ-2021-000650"/>
    <x v="1"/>
    <s v="Valtová"/>
    <x v="254"/>
    <m/>
    <m/>
    <m/>
    <s v="33140000-3"/>
    <m/>
    <n v="2819340"/>
    <x v="1"/>
    <d v="2021-07-01T00:00:00"/>
    <d v="2021-07-22T00:00:00"/>
    <d v="2021-08-12T00:00:00"/>
    <s v="INOVA SURGICAL s.r.o."/>
    <m/>
    <n v="2819340"/>
    <n v="3411401.4"/>
    <m/>
    <m/>
    <m/>
    <d v="2021-08-12T00:00:00"/>
    <s v="SMLN-2021-617-000420_x000a_SMLN-2021-614-000075"/>
    <x v="102"/>
    <d v="2021-09-08T00:00:00"/>
    <d v="2024-08-31T00:00:00"/>
  </r>
  <r>
    <d v="2021-06-29T00:00:00"/>
    <s v="VZ-2021-000666"/>
    <x v="1"/>
    <s v="Valtová"/>
    <x v="255"/>
    <m/>
    <m/>
    <m/>
    <s v="33140000-3"/>
    <m/>
    <n v="2170000"/>
    <x v="1"/>
    <d v="2021-07-07T00:00:00"/>
    <d v="2021-08-12T00:00:00"/>
    <d v="2021-09-03T00:00:00"/>
    <s v="INLAB s.r.o."/>
    <m/>
    <n v="1433600"/>
    <n v="1734656"/>
    <m/>
    <m/>
    <m/>
    <d v="2021-09-03T00:00:00"/>
    <s v="SMLN-2021-617-000472_x000a_SMLN-2021-614-000079"/>
    <x v="109"/>
    <d v="2021-09-29T00:00:00"/>
    <d v="2023-09-22T00:00:00"/>
  </r>
  <r>
    <d v="2021-06-30T00:00:00"/>
    <s v="VZ-2021-000670"/>
    <x v="1"/>
    <s v="Valtová"/>
    <x v="256"/>
    <m/>
    <m/>
    <m/>
    <s v="33140000-3"/>
    <m/>
    <n v="2484000"/>
    <x v="1"/>
    <d v="2021-07-13T00:00:00"/>
    <d v="2021-08-16T00:00:00"/>
    <m/>
    <s v="zrušeno - ekonomické důvody"/>
    <s v="nová VZ-2021-000891"/>
    <m/>
    <m/>
    <m/>
    <m/>
    <m/>
    <m/>
    <m/>
    <x v="6"/>
    <d v="2021-09-08T00:00:00"/>
    <s v="23.8.2021 zrušeno"/>
  </r>
  <r>
    <d v="2021-07-02T00:00:00"/>
    <s v="VZ-2021-000671"/>
    <x v="2"/>
    <s v="Olejníček"/>
    <x v="257"/>
    <m/>
    <m/>
    <m/>
    <s v="38000000-5"/>
    <s v="2.3.557."/>
    <n v="570000"/>
    <x v="2"/>
    <d v="2021-07-07T00:00:00"/>
    <d v="2021-07-15T00:00:00"/>
    <d v="2021-07-22T00:00:00"/>
    <s v="TRIGON PLUS s.r.o."/>
    <m/>
    <n v="512700"/>
    <n v="620367"/>
    <m/>
    <m/>
    <m/>
    <d v="2021-07-22T00:00:00"/>
    <s v="SMLN-2021-617-000389_x000a_SMLN-2021-612-000076"/>
    <x v="121"/>
    <d v="2021-08-16T00:00:00"/>
    <d v="2021-09-20T00:00:00"/>
  </r>
  <r>
    <d v="2021-07-02T00:00:00"/>
    <s v="VZ-2021-000674"/>
    <x v="3"/>
    <s v="Hrubý"/>
    <x v="258"/>
    <m/>
    <m/>
    <m/>
    <s v="45215100-8"/>
    <s v="1.2.80."/>
    <n v="475000"/>
    <x v="2"/>
    <d v="2021-07-15T00:00:00"/>
    <d v="2021-07-27T00:00:00"/>
    <d v="2021-08-04T00:00:00"/>
    <s v="OHL ŽS, a.s."/>
    <m/>
    <n v="657423.42000000004"/>
    <n v="795482.34"/>
    <m/>
    <m/>
    <m/>
    <d v="2021-08-04T00:00:00"/>
    <s v="SMLN-2021-618-000058"/>
    <x v="62"/>
    <d v="2021-08-31T00:00:00"/>
    <m/>
  </r>
  <r>
    <d v="2021-06-29T00:00:00"/>
    <s v="VZ-2021-000675"/>
    <x v="1"/>
    <s v="Valtová"/>
    <x v="259"/>
    <m/>
    <m/>
    <m/>
    <s v="33140000-3"/>
    <m/>
    <n v="1428000"/>
    <x v="2"/>
    <d v="2021-07-13T00:00:00"/>
    <d v="2021-07-30T00:00:00"/>
    <d v="2021-08-10T00:00:00"/>
    <s v="INLAB s.r.o."/>
    <m/>
    <n v="980000"/>
    <n v="1185800"/>
    <m/>
    <m/>
    <m/>
    <d v="2021-08-10T00:00:00"/>
    <s v="SMLN-2021-617-000409_x000a_SMLN-2021-614-000074"/>
    <x v="125"/>
    <d v="2021-09-01T00:00:00"/>
    <d v="2023-08-30T00:00:00"/>
  </r>
  <r>
    <d v="2021-07-01T00:00:00"/>
    <s v="VZ-2021-000676"/>
    <x v="1"/>
    <s v="Valtová"/>
    <x v="260"/>
    <m/>
    <m/>
    <m/>
    <s v="33140000-3"/>
    <m/>
    <n v="1350000"/>
    <x v="2"/>
    <d v="2021-07-13T00:00:00"/>
    <d v="2021-07-30T00:00:00"/>
    <d v="2021-10-19T00:00:00"/>
    <s v="Medinet, s.r.o."/>
    <m/>
    <n v="1260000"/>
    <n v="1524600"/>
    <m/>
    <m/>
    <m/>
    <d v="2021-10-20T00:00:00"/>
    <s v="SMLN-2021-617-000581_x000a_SMLN-2021-614-000094"/>
    <x v="126"/>
    <d v="2021-11-12T00:00:00"/>
    <d v="2023-11-07T00:00:00"/>
  </r>
  <r>
    <d v="2021-07-02T00:00:00"/>
    <s v="VZ-2021-000687"/>
    <x v="2"/>
    <s v="Olejníček"/>
    <x v="261"/>
    <m/>
    <m/>
    <m/>
    <s v="42996110-8"/>
    <s v="2.2.388."/>
    <n v="171000"/>
    <x v="2"/>
    <d v="2021-07-13T00:00:00"/>
    <d v="2021-07-26T00:00:00"/>
    <d v="2021-08-02T00:00:00"/>
    <s v="AUDY s.r.o."/>
    <m/>
    <n v="140012"/>
    <n v="169414.52"/>
    <m/>
    <m/>
    <m/>
    <d v="2021-08-02T00:00:00"/>
    <s v="SMLN-2021-617-000399_x000a_SMLN-2021-612-000081"/>
    <x v="62"/>
    <d v="2021-08-31T00:00:00"/>
    <d v="2021-09-13T00:00:00"/>
  </r>
  <r>
    <d v="2021-07-07T00:00:00"/>
    <s v="VZ-2021-000692"/>
    <x v="2"/>
    <s v="Olejníček"/>
    <x v="262"/>
    <m/>
    <m/>
    <m/>
    <s v="33197000-7"/>
    <s v="2.2.375."/>
    <n v="354000"/>
    <x v="2"/>
    <d v="2021-07-14T00:00:00"/>
    <d v="2021-07-27T00:00:00"/>
    <d v="2021-08-02T00:00:00"/>
    <s v="Gatema Medical s.r.o."/>
    <m/>
    <n v="342800"/>
    <n v="414788"/>
    <m/>
    <m/>
    <m/>
    <d v="2021-08-02T00:00:00"/>
    <s v="SMLN-2021-617-000400_x000a_SMLN-2021-612-000082"/>
    <x v="127"/>
    <d v="2021-08-31T00:00:00"/>
    <d v="2021-09-16T00:00:00"/>
  </r>
  <r>
    <s v="opakovaná VZ"/>
    <s v="VZ-2021-000695"/>
    <x v="0"/>
    <s v="Ondráčková"/>
    <x v="263"/>
    <n v="1"/>
    <s v="Spotřební materiál pro krevní obrazy I. "/>
    <m/>
    <s v="33694000-1"/>
    <m/>
    <n v="1830352"/>
    <x v="1"/>
    <d v="2021-07-14T00:00:00"/>
    <d v="2021-07-30T00:00:00"/>
    <d v="2021-08-23T00:00:00"/>
    <s v="MEDISTA spol. s r.o."/>
    <m/>
    <n v="1830326"/>
    <n v="2214694.46"/>
    <m/>
    <m/>
    <m/>
    <d v="2021-08-23T00:00:00"/>
    <s v="SMLN-2021-617-000438"/>
    <x v="103"/>
    <d v="2021-11-03T00:00:00"/>
    <d v="2023-10-10T00:00:00"/>
  </r>
  <r>
    <s v="opakovaná VZ"/>
    <s v="VZ-2021-000695"/>
    <x v="0"/>
    <s v="Ondráčková"/>
    <x v="263"/>
    <n v="2"/>
    <s v="Spotřební materiál pro krevní obrazy II. "/>
    <m/>
    <s v="33694000-1"/>
    <m/>
    <n v="1149222"/>
    <x v="1"/>
    <d v="2021-07-14T00:00:00"/>
    <d v="2021-07-30T00:00:00"/>
    <d v="2021-08-23T00:00:00"/>
    <s v="ROCHE s.r.o."/>
    <m/>
    <n v="1149221.6000000001"/>
    <n v="1390558.14"/>
    <m/>
    <m/>
    <m/>
    <d v="2021-08-23T00:00:00"/>
    <s v="SMLN-2021-617-000439"/>
    <x v="126"/>
    <d v="2021-11-10T00:00:00"/>
    <d v="2023-11-07T00:00:00"/>
  </r>
  <r>
    <s v="opakovaná VZ"/>
    <s v="VZ-2021-000695"/>
    <x v="0"/>
    <s v="Ondráčková"/>
    <x v="263"/>
    <n v="3"/>
    <s v="Spotřební materiál pro krevní obrazy III. "/>
    <m/>
    <s v="33694000-1"/>
    <m/>
    <n v="54000"/>
    <x v="1"/>
    <d v="2021-07-14T00:00:00"/>
    <d v="2021-07-30T00:00:00"/>
    <m/>
    <m/>
    <m/>
    <m/>
    <m/>
    <m/>
    <m/>
    <m/>
    <m/>
    <m/>
    <x v="6"/>
    <d v="2021-09-16T00:00:00"/>
    <s v="20.8.2021 zrušeno"/>
  </r>
  <r>
    <s v="opakovaná VZ"/>
    <s v="VZ-2021-000695"/>
    <x v="0"/>
    <s v="Ondráčková"/>
    <x v="263"/>
    <n v="4"/>
    <s v="Spotřební materiál pro krevní obrazy IV. "/>
    <m/>
    <s v="33694000-1"/>
    <m/>
    <n v="184158"/>
    <x v="1"/>
    <d v="2021-07-14T00:00:00"/>
    <d v="2021-07-30T00:00:00"/>
    <d v="2021-08-23T00:00:00"/>
    <s v="Werfen Czech s.r.o."/>
    <m/>
    <n v="169896"/>
    <n v="205574.16"/>
    <m/>
    <m/>
    <m/>
    <d v="2021-08-23T00:00:00"/>
    <s v="SMLN-2021-617-000440"/>
    <x v="84"/>
    <d v="2021-11-03T00:00:00"/>
    <d v="2023-10-05T00:00:00"/>
  </r>
  <r>
    <d v="2021-06-30T00:00:00"/>
    <s v="VZ-2021-000699"/>
    <x v="2"/>
    <s v="Olejníček"/>
    <x v="264"/>
    <m/>
    <m/>
    <m/>
    <s v="33123210-3"/>
    <s v="2.2.331."/>
    <n v="75000"/>
    <x v="2"/>
    <d v="2021-07-16T00:00:00"/>
    <d v="2021-07-28T00:00:00"/>
    <d v="2021-08-10T00:00:00"/>
    <s v="BTL zdravotnická technika a.s."/>
    <m/>
    <n v="63160"/>
    <n v="76423.600000000006"/>
    <m/>
    <m/>
    <m/>
    <d v="2021-08-10T00:00:00"/>
    <s v="SMLN-2021-617-000411_x000a_SMLN-2021-612-000085"/>
    <x v="108"/>
    <d v="2021-09-02T00:00:00"/>
    <d v="2021-09-20T00:00:00"/>
  </r>
  <r>
    <d v="2021-07-14T00:00:00"/>
    <s v="VZ-2021-000700"/>
    <x v="10"/>
    <s v="Zdráhalová"/>
    <x v="265"/>
    <n v="1"/>
    <s v="Korková ochranná a zdravotnická obuv"/>
    <m/>
    <s v="18830000-6"/>
    <m/>
    <n v="4512000"/>
    <x v="0"/>
    <d v="2021-07-29T00:00:00"/>
    <d v="2021-09-15T00:00:00"/>
    <m/>
    <s v="zrušeno - bez hodnotitelné nabídky"/>
    <s v="nová VZ-2022-000015"/>
    <m/>
    <m/>
    <m/>
    <m/>
    <m/>
    <m/>
    <m/>
    <x v="6"/>
    <d v="2021-10-11T00:00:00"/>
    <s v="11.10.2021 zrušeno"/>
  </r>
  <r>
    <d v="2021-07-14T00:00:00"/>
    <s v="VZ-2021-000700"/>
    <x v="10"/>
    <s v="Zdráhalová"/>
    <x v="265"/>
    <n v="2"/>
    <s v="Obuv ochranná a zdravotnická typu Crocs"/>
    <m/>
    <s v="18830000-6"/>
    <m/>
    <n v="3216000"/>
    <x v="0"/>
    <d v="2021-07-29T00:00:00"/>
    <d v="2021-09-15T00:00:00"/>
    <m/>
    <s v="zrušeno - bez hodnotitelné nabídky"/>
    <s v="nová VZ-2022-000015"/>
    <m/>
    <m/>
    <m/>
    <m/>
    <m/>
    <m/>
    <m/>
    <x v="6"/>
    <d v="2021-10-29T00:00:00"/>
    <s v="12.10.2021 vyloučení"/>
  </r>
  <r>
    <d v="2021-07-14T00:00:00"/>
    <s v="VZ-2021-000703"/>
    <x v="2"/>
    <s v="Rosulek"/>
    <x v="266"/>
    <n v="1"/>
    <s v="Anesteziologické přístroje s monitorem vitálních funkcí"/>
    <m/>
    <s v="33172100-7"/>
    <s v="2.2.261."/>
    <n v="12450000"/>
    <x v="0"/>
    <d v="2021-09-01T00:00:00"/>
    <d v="2021-10-19T00:00:00"/>
    <m/>
    <m/>
    <m/>
    <m/>
    <m/>
    <m/>
    <m/>
    <m/>
    <m/>
    <m/>
    <x v="6"/>
    <m/>
    <s v="22.12.2021 vyloučení Dräger"/>
  </r>
  <r>
    <d v="2021-07-14T00:00:00"/>
    <s v="VZ-2021-000703"/>
    <x v="2"/>
    <s v="Rosulek"/>
    <x v="267"/>
    <n v="2"/>
    <s v="Anesteziologický přístroj s monitory vitálních funkcí pro magnetickou rezonanci"/>
    <m/>
    <s v="33172100-7"/>
    <s v="2.2.330."/>
    <n v="4938843"/>
    <x v="0"/>
    <d v="2021-09-01T00:00:00"/>
    <d v="2021-10-19T00:00:00"/>
    <m/>
    <m/>
    <m/>
    <m/>
    <m/>
    <m/>
    <m/>
    <m/>
    <m/>
    <m/>
    <x v="6"/>
    <m/>
    <m/>
  </r>
  <r>
    <s v="opakovaná VZ"/>
    <s v="VZ-2021-000704"/>
    <x v="3"/>
    <s v="Valíček"/>
    <x v="268"/>
    <m/>
    <m/>
    <s v="71000000-8"/>
    <s v="71000000-8"/>
    <s v="1.2.67."/>
    <n v="40000000"/>
    <x v="0"/>
    <d v="2021-08-05T00:00:00"/>
    <d v="2021-09-07T00:00:00"/>
    <d v="2021-11-05T00:00:00"/>
    <s v="Adam Rujbr Architects s.r.o."/>
    <m/>
    <n v="21200000"/>
    <n v="25652000"/>
    <m/>
    <m/>
    <m/>
    <d v="2021-11-05T00:00:00"/>
    <s v="SMLN-2021-618-000077"/>
    <x v="6"/>
    <m/>
    <m/>
  </r>
  <r>
    <d v="2021-07-14T00:00:00"/>
    <s v="VZ-2021-000706"/>
    <x v="2"/>
    <s v="Rosulek"/>
    <x v="269"/>
    <n v="1"/>
    <s v="Obnova kardioangografických systémů"/>
    <m/>
    <s v="33123220-6_x000a_45215100-8"/>
    <m/>
    <n v="100870000"/>
    <x v="0"/>
    <d v="2021-07-28T00:00:00"/>
    <d v="2021-10-05T00:00:00"/>
    <d v="2021-11-09T00:00:00"/>
    <s v="Philips Česká republika s.r.o."/>
    <m/>
    <n v="104260560"/>
    <n v="126155277.59999999"/>
    <m/>
    <m/>
    <m/>
    <d v="2021-11-09T00:00:00"/>
    <s v="SMLN-2021-617-000641_x000a_SMLN-2021-612-000126_x000a_SMLN-2021-612-000127"/>
    <x v="128"/>
    <d v="2021-12-14T00:00:00"/>
    <d v="2022-06-14T00:00:00"/>
  </r>
  <r>
    <d v="2021-07-14T00:00:00"/>
    <s v="VZ-2021-000706"/>
    <x v="2"/>
    <s v="Rosulek"/>
    <x v="269"/>
    <n v="2"/>
    <s v="Ablační RF generátor s proplachovou pumpou"/>
    <m/>
    <s v="33158200-4_x000a_33124100-6"/>
    <m/>
    <n v="1500000"/>
    <x v="0"/>
    <d v="2021-07-28T00:00:00"/>
    <d v="2021-10-05T00:00:00"/>
    <d v="2021-11-09T00:00:00"/>
    <s v="Johnson  &amp; Johnson s.r.o."/>
    <m/>
    <n v="1415900"/>
    <n v="1713239"/>
    <m/>
    <m/>
    <m/>
    <d v="2021-11-09T00:00:00"/>
    <s v="SMLN-2021-617-000642_x000a_SMLN-2021-612-000128"/>
    <x v="123"/>
    <d v="2021-12-14T00:00:00"/>
    <m/>
  </r>
  <r>
    <d v="2021-07-14T00:00:00"/>
    <s v="VZ-2021-000706"/>
    <x v="2"/>
    <s v="Rosulek"/>
    <x v="269"/>
    <n v="3"/>
    <s v="Elektroanatomický 3D mapovací systém"/>
    <m/>
    <s v="33158200-4_x000a_33124100-6"/>
    <m/>
    <n v="16770000"/>
    <x v="0"/>
    <d v="2021-07-28T00:00:00"/>
    <d v="2021-10-05T00:00:00"/>
    <d v="2021-11-09T00:00:00"/>
    <s v="Johnson  &amp; Johnson s.r.o."/>
    <m/>
    <n v="16540000"/>
    <n v="20013400"/>
    <m/>
    <m/>
    <m/>
    <d v="2021-11-09T00:00:00"/>
    <s v="SMLN-2021-617-000643_x000a_SMLN-2021-612-000129"/>
    <x v="123"/>
    <d v="2021-12-14T00:00:00"/>
    <m/>
  </r>
  <r>
    <d v="2021-07-09T00:00:00"/>
    <s v="VZ-2021-000709"/>
    <x v="2"/>
    <s v="Olejníček"/>
    <x v="137"/>
    <n v="1"/>
    <s v="Andrologický mikroskop pro hodnocení spermiogramu"/>
    <m/>
    <s v="38510000-3"/>
    <s v="2.3.309."/>
    <n v="192000"/>
    <x v="2"/>
    <d v="2021-07-19T00:00:00"/>
    <d v="2021-07-30T00:00:00"/>
    <d v="2021-08-10T00:00:00"/>
    <s v="Nikon Europe B.V., český odštěpný závod "/>
    <m/>
    <n v="183366"/>
    <n v="221872.86"/>
    <m/>
    <m/>
    <m/>
    <d v="2021-08-10T00:00:00"/>
    <s v="SMLN-2021-617-000414_x000a_SMLN-2021-612-000086"/>
    <x v="129"/>
    <d v="2021-09-02T00:00:00"/>
    <d v="2021-11-04T00:00:00"/>
  </r>
  <r>
    <d v="2021-07-09T00:00:00"/>
    <s v="VZ-2021-000709"/>
    <x v="2"/>
    <s v="Olejníček"/>
    <x v="137"/>
    <n v="2"/>
    <s v="Laboratorní mikroskopy   "/>
    <m/>
    <s v="38510000-3"/>
    <s v="2.3.546."/>
    <n v="175000"/>
    <x v="2"/>
    <d v="2021-07-19T00:00:00"/>
    <d v="2021-07-30T00:00:00"/>
    <d v="2021-08-10T00:00:00"/>
    <s v="Nikon Europe B.V., český odštěpný závod "/>
    <m/>
    <n v="151462"/>
    <n v="183269.75"/>
    <m/>
    <m/>
    <m/>
    <d v="2021-08-10T00:00:00"/>
    <s v="SMLN-2021-617-000417_x000a_SMLN-2021-612-000087"/>
    <x v="129"/>
    <d v="2021-09-02T00:00:00"/>
    <d v="2021-11-04T00:00:00"/>
  </r>
  <r>
    <d v="2021-07-09T00:00:00"/>
    <s v="VZ-2021-000710"/>
    <x v="2"/>
    <s v="Olejníček"/>
    <x v="270"/>
    <m/>
    <m/>
    <m/>
    <s v="33192160-1"/>
    <s v="2.3.552."/>
    <n v="87000"/>
    <x v="2"/>
    <d v="2021-07-19T00:00:00"/>
    <d v="2021-07-28T00:00:00"/>
    <d v="2021-08-09T00:00:00"/>
    <s v="Sezame Products s.r.o."/>
    <m/>
    <n v="56700"/>
    <n v="68607"/>
    <m/>
    <m/>
    <m/>
    <d v="2021-08-09T00:00:00"/>
    <s v="SMLN-2021-617-000407_x000a_SMLN-2021-612-000083"/>
    <x v="130"/>
    <d v="2021-09-17T00:00:00"/>
    <d v="2021-10-22T00:00:00"/>
  </r>
  <r>
    <s v="opakovaná VZ"/>
    <s v="VZ-2021-000711"/>
    <x v="2"/>
    <s v="Olejníček"/>
    <x v="271"/>
    <m/>
    <m/>
    <m/>
    <s v="38000000-5"/>
    <s v="2.2.374."/>
    <n v="1497521"/>
    <x v="2"/>
    <d v="2021-07-22T00:00:00"/>
    <d v="2021-08-03T00:00:00"/>
    <d v="2021-09-02T00:00:00"/>
    <s v="SHIMADZU Handels GmbH - organizační složka"/>
    <m/>
    <n v="1021233"/>
    <n v="1235691.93"/>
    <m/>
    <m/>
    <m/>
    <d v="2021-09-03T00:00:00"/>
    <s v="SMLN-2021-617-000469_x000a_SMLN-2021-612-000100_x000a_SMLN-2021-617-000470"/>
    <x v="109"/>
    <d v="2021-10-08T00:00:00"/>
    <d v="2021-11-18T00:00:00"/>
  </r>
  <r>
    <d v="2021-07-14T00:00:00"/>
    <s v="VZ-2021-000712"/>
    <x v="1"/>
    <s v="Dočkalová"/>
    <x v="272"/>
    <m/>
    <m/>
    <m/>
    <s v="33140000-3"/>
    <m/>
    <n v="1973190"/>
    <x v="2"/>
    <d v="2021-07-19T00:00:00"/>
    <d v="2021-07-29T00:00:00"/>
    <d v="2021-08-10T00:00:00"/>
    <s v="ARID obchodní společnost, s.r.o."/>
    <m/>
    <n v="1973190"/>
    <n v="2269168.5"/>
    <m/>
    <m/>
    <m/>
    <d v="2021-08-12T00:00:00"/>
    <s v="SMLN-2021-617-000423_x000a_SMLN-2021-614-000076"/>
    <x v="125"/>
    <d v="2021-09-02T00:00:00"/>
    <d v="2024-08-30T00:00:00"/>
  </r>
  <r>
    <s v="opakovaná VZ"/>
    <s v="VZ-2021-000713"/>
    <x v="10"/>
    <s v="Zdráhalová"/>
    <x v="273"/>
    <m/>
    <m/>
    <m/>
    <s v="30197644-2"/>
    <m/>
    <n v="1100000"/>
    <x v="2"/>
    <d v="2021-07-19T00:00:00"/>
    <d v="2021-07-29T00:00:00"/>
    <m/>
    <s v="zrušeno - nesplnění tech. podmínek"/>
    <s v="nová VZ-2021-000768"/>
    <m/>
    <m/>
    <m/>
    <m/>
    <m/>
    <m/>
    <m/>
    <x v="6"/>
    <d v="2021-08-04T00:00:00"/>
    <m/>
  </r>
  <r>
    <d v="2021-07-14T00:00:00"/>
    <s v="VZ-2021-000715"/>
    <x v="2"/>
    <s v="Olejníček"/>
    <x v="274"/>
    <m/>
    <m/>
    <m/>
    <s v="33168100-6"/>
    <s v="2.2.269,2.2.263"/>
    <n v="1481625"/>
    <x v="2"/>
    <d v="2021-07-21T00:00:00"/>
    <d v="2021-07-30T00:00:00"/>
    <m/>
    <s v="zrušeno - nemožnost realizace"/>
    <m/>
    <m/>
    <m/>
    <m/>
    <m/>
    <m/>
    <m/>
    <m/>
    <x v="6"/>
    <d v="2021-07-27T00:00:00"/>
    <m/>
  </r>
  <r>
    <d v="2021-07-16T00:00:00"/>
    <s v="VZ-2021-000717"/>
    <x v="0"/>
    <s v="Ondráčková"/>
    <x v="275"/>
    <n v="1"/>
    <s v="TOFACITINIB"/>
    <m/>
    <s v="33652300-8"/>
    <m/>
    <n v="1477522"/>
    <x v="2"/>
    <d v="2021-08-04T00:00:00"/>
    <d v="2021-08-13T00:00:00"/>
    <d v="2021-08-23T00:00:00"/>
    <s v="PHOENIX lék.velkoobchod, s.r.o."/>
    <m/>
    <n v="1477521.38"/>
    <n v="1625273.52"/>
    <m/>
    <m/>
    <m/>
    <d v="2021-08-23T00:00:00"/>
    <s v="SMLN-2021-617-000441"/>
    <x v="131"/>
    <d v="2021-10-12T00:00:00"/>
    <d v="2022-04-22T00:00:00"/>
  </r>
  <r>
    <d v="2021-07-16T00:00:00"/>
    <s v="VZ-2021-000718"/>
    <x v="0"/>
    <s v="Ondráčková"/>
    <x v="276"/>
    <n v="1"/>
    <s v="SOFOSBUVIR A VELPATASVIR "/>
    <m/>
    <s v="33651400-2"/>
    <m/>
    <n v="4341599"/>
    <x v="0"/>
    <d v="2021-07-23T00:00:00"/>
    <d v="2021-08-27T00:00:00"/>
    <d v="2021-09-21T00:00:00"/>
    <s v="Gilead Sciences s.r.o."/>
    <m/>
    <n v="4341598.92"/>
    <n v="4775758.8099999996"/>
    <m/>
    <m/>
    <m/>
    <d v="2021-09-21T00:00:00"/>
    <s v="SMLN-2021-617-000512"/>
    <x v="132"/>
    <d v="2021-11-26T00:00:00"/>
    <d v="2024-11-09T00:00:00"/>
  </r>
  <r>
    <d v="2021-07-16T00:00:00"/>
    <s v="VZ-2021-000718"/>
    <x v="0"/>
    <s v="Ondráčková"/>
    <x v="276"/>
    <n v="2"/>
    <s v="SOFOSBUVIR, VELPATASVIR A VOXILAPREVIR"/>
    <m/>
    <s v="33651400-2"/>
    <m/>
    <n v="2791686"/>
    <x v="0"/>
    <d v="2021-07-23T00:00:00"/>
    <d v="2021-08-27T00:00:00"/>
    <d v="2021-09-21T00:00:00"/>
    <s v="Gilead Sciences s.r.o."/>
    <m/>
    <n v="2791685.52"/>
    <n v="3070854.07"/>
    <m/>
    <m/>
    <m/>
    <d v="2021-09-21T00:00:00"/>
    <s v="SMLN-2021-617-000513"/>
    <x v="132"/>
    <d v="2021-11-26T00:00:00"/>
    <d v="2024-11-09T00:00:00"/>
  </r>
  <r>
    <d v="2021-07-16T00:00:00"/>
    <s v="VZ-2021-000719"/>
    <x v="0"/>
    <s v="Ondráčková"/>
    <x v="277"/>
    <n v="1"/>
    <s v="CONTROLOC"/>
    <m/>
    <s v="33610000-9"/>
    <m/>
    <n v="1051199"/>
    <x v="0"/>
    <d v="2021-07-22T00:00:00"/>
    <d v="2021-09-22T00:00:00"/>
    <d v="2021-12-01T00:00:00"/>
    <s v="PHARMOS, a.s."/>
    <m/>
    <n v="1038016.08"/>
    <n v="1141817.69"/>
    <m/>
    <m/>
    <m/>
    <d v="2021-12-01T00:00:00"/>
    <s v="SMLN-2021-617-000704"/>
    <x v="133"/>
    <d v="2022-01-06T00:00:00"/>
    <d v="2024-12-22T00:00:00"/>
  </r>
  <r>
    <d v="2021-07-16T00:00:00"/>
    <s v="VZ-2021-000719"/>
    <x v="0"/>
    <s v="Ondráčková"/>
    <x v="277"/>
    <n v="2"/>
    <s v="PANTOPRAZOL"/>
    <m/>
    <s v="33610000-9"/>
    <m/>
    <n v="103138"/>
    <x v="0"/>
    <d v="2021-07-22T00:00:00"/>
    <d v="2021-09-22T00:00:00"/>
    <m/>
    <s v="zrušeno - bez hodnotitelné nabídky"/>
    <m/>
    <m/>
    <m/>
    <m/>
    <m/>
    <m/>
    <m/>
    <m/>
    <x v="6"/>
    <d v="2021-12-01T00:00:00"/>
    <s v="12.11.2021 zrušeno"/>
  </r>
  <r>
    <d v="2021-07-16T00:00:00"/>
    <s v="VZ-2021-000719"/>
    <x v="0"/>
    <s v="Ondráčková"/>
    <x v="277"/>
    <n v="3"/>
    <s v="PANTOPRAZOL I.V."/>
    <m/>
    <s v="33610000-9"/>
    <m/>
    <n v="2295855"/>
    <x v="0"/>
    <d v="2021-07-22T00:00:00"/>
    <d v="2021-09-22T00:00:00"/>
    <d v="2021-12-01T00:00:00"/>
    <s v="Alliance Healthcare s.r.o."/>
    <m/>
    <n v="2292017.88"/>
    <n v="2521219.67"/>
    <m/>
    <m/>
    <m/>
    <d v="2021-12-01T00:00:00"/>
    <s v="SMLN-2021-617-000705"/>
    <x v="134"/>
    <d v="2022-01-06T00:00:00"/>
    <d v="2024-12-21T00:00:00"/>
  </r>
  <r>
    <d v="2021-07-16T00:00:00"/>
    <s v="VZ-2021-000719"/>
    <x v="0"/>
    <s v="Ondráčková"/>
    <x v="277"/>
    <n v="4"/>
    <s v="OMEPRAZOL I.V."/>
    <m/>
    <s v="33610000-9"/>
    <m/>
    <n v="60840"/>
    <x v="0"/>
    <d v="2021-07-22T00:00:00"/>
    <d v="2021-09-22T00:00:00"/>
    <m/>
    <s v="zrušeno - bez nabídky"/>
    <m/>
    <m/>
    <m/>
    <m/>
    <m/>
    <m/>
    <m/>
    <m/>
    <x v="6"/>
    <d v="2021-12-01T00:00:00"/>
    <s v="12.11.2021 zrušeno"/>
  </r>
  <r>
    <d v="2021-07-16T00:00:00"/>
    <s v="VZ-2021-000719"/>
    <x v="0"/>
    <s v="Ondráčková"/>
    <x v="277"/>
    <n v="5"/>
    <s v="HELICID"/>
    <m/>
    <s v="33610000-9"/>
    <m/>
    <n v="1251266"/>
    <x v="0"/>
    <d v="2021-07-22T00:00:00"/>
    <d v="2021-09-22T00:00:00"/>
    <d v="2021-12-01T00:00:00"/>
    <s v="PHARMOS, a.s."/>
    <m/>
    <n v="1246995.3899999999"/>
    <n v="1371694.93"/>
    <m/>
    <m/>
    <m/>
    <d v="2021-12-01T00:00:00"/>
    <s v="SMLN-2021-617-000706"/>
    <x v="133"/>
    <d v="2022-01-06T00:00:00"/>
    <d v="2024-12-22T00:00:00"/>
  </r>
  <r>
    <d v="2021-07-16T00:00:00"/>
    <s v="VZ-2021-000719"/>
    <x v="0"/>
    <s v="Ondráčková"/>
    <x v="277"/>
    <n v="6"/>
    <s v="OMEPRAZOL "/>
    <m/>
    <s v="33610000-9"/>
    <m/>
    <n v="289927"/>
    <x v="0"/>
    <d v="2021-07-22T00:00:00"/>
    <d v="2021-09-22T00:00:00"/>
    <m/>
    <s v="zrušeno - bez hodnotitelné nabídky"/>
    <m/>
    <m/>
    <m/>
    <m/>
    <m/>
    <m/>
    <m/>
    <m/>
    <x v="6"/>
    <d v="2021-12-01T00:00:00"/>
    <s v="12.11.2021 zrušeno"/>
  </r>
  <r>
    <d v="2021-07-16T00:00:00"/>
    <s v="VZ-2021-000719"/>
    <x v="0"/>
    <s v="Ondráčková"/>
    <x v="277"/>
    <n v="7"/>
    <s v="RIVAROXABAN"/>
    <m/>
    <s v="33610000-9"/>
    <m/>
    <n v="1699203"/>
    <x v="0"/>
    <d v="2021-07-22T00:00:00"/>
    <d v="2021-09-22T00:00:00"/>
    <m/>
    <s v="zrušeno - bez nabídky"/>
    <m/>
    <m/>
    <m/>
    <m/>
    <m/>
    <m/>
    <m/>
    <m/>
    <x v="6"/>
    <d v="2021-12-01T00:00:00"/>
    <s v="12.11.2021 zrušeno"/>
  </r>
  <r>
    <d v="2021-07-16T00:00:00"/>
    <s v="VZ-2021-000719"/>
    <x v="0"/>
    <s v="Ondráčková"/>
    <x v="277"/>
    <n v="8"/>
    <s v="RIVAROXABAN II."/>
    <m/>
    <s v="33610000-9"/>
    <m/>
    <n v="7665209"/>
    <x v="0"/>
    <d v="2021-07-22T00:00:00"/>
    <d v="2021-09-22T00:00:00"/>
    <d v="2021-12-01T00:00:00"/>
    <s v="PHARMOS, a.s."/>
    <m/>
    <n v="7591466.4900000002"/>
    <n v="8350613.1399999997"/>
    <m/>
    <m/>
    <m/>
    <d v="2021-12-01T00:00:00"/>
    <s v="SMLN-2021-617-000707"/>
    <x v="133"/>
    <d v="2022-01-06T00:00:00"/>
    <d v="2024-12-22T00:00:00"/>
  </r>
  <r>
    <d v="2021-07-16T00:00:00"/>
    <s v="VZ-2021-000719"/>
    <x v="0"/>
    <s v="Ondráčková"/>
    <x v="277"/>
    <n v="9"/>
    <s v="RIVAROXABAN III."/>
    <m/>
    <s v="33610000-9"/>
    <m/>
    <n v="264900"/>
    <x v="0"/>
    <d v="2021-07-22T00:00:00"/>
    <d v="2021-09-22T00:00:00"/>
    <d v="2021-12-01T00:00:00"/>
    <s v="Alliance Healthcare s.r.o."/>
    <m/>
    <n v="264900"/>
    <n v="291390"/>
    <m/>
    <m/>
    <m/>
    <d v="2021-12-01T00:00:00"/>
    <s v="SMLN-2021-617-000708"/>
    <x v="134"/>
    <d v="2022-01-06T00:00:00"/>
    <d v="2024-12-21T00:00:00"/>
  </r>
  <r>
    <d v="2021-07-14T00:00:00"/>
    <s v="VZ-2021-000721"/>
    <x v="10"/>
    <s v="Zdráhalová"/>
    <x v="278"/>
    <m/>
    <m/>
    <m/>
    <s v="39830000-9"/>
    <m/>
    <n v="700992.1"/>
    <x v="2"/>
    <d v="2021-07-21T00:00:00"/>
    <d v="2021-08-03T00:00:00"/>
    <d v="2021-09-20T00:00:00"/>
    <s v="KARFO velkoobchod s.r.o."/>
    <m/>
    <n v="718596.2"/>
    <n v="869501.4"/>
    <m/>
    <m/>
    <m/>
    <d v="2021-09-21T00:00:00"/>
    <s v="SMLN-2021-617-000510"/>
    <x v="103"/>
    <d v="2021-10-14T00:00:00"/>
    <d v="2022-10-10T00:00:00"/>
  </r>
  <r>
    <d v="2021-07-14T00:00:00"/>
    <s v="VZ-2021-000722"/>
    <x v="1"/>
    <s v="Dočkalová"/>
    <x v="279"/>
    <n v="1"/>
    <s v="Pouzdra zaváděcí k vaskulárním intervencím I. "/>
    <m/>
    <s v="33140000-3"/>
    <m/>
    <n v="1555743"/>
    <x v="0"/>
    <d v="2021-07-27T00:00:00"/>
    <d v="2021-08-30T00:00:00"/>
    <d v="2021-10-19T00:00:00"/>
    <s v="VAMEX, spol. s  r.o."/>
    <m/>
    <n v="1516154"/>
    <n v="1870846.34"/>
    <m/>
    <m/>
    <m/>
    <d v="2021-10-19T00:00:00"/>
    <s v="SMLN-2021-617-000576_x000a_SMLN-2021-614-000091"/>
    <x v="128"/>
    <d v="2021-11-18T00:00:00"/>
    <d v="2024-11-15T00:00:00"/>
  </r>
  <r>
    <d v="2021-07-14T00:00:00"/>
    <s v="VZ-2021-000722"/>
    <x v="1"/>
    <s v="Dočkalová"/>
    <x v="279"/>
    <n v="2"/>
    <s v="Speciální zaváděcí pouzdra k vaskulárním intervencím I. "/>
    <m/>
    <s v="33140000-3"/>
    <m/>
    <n v="3097774"/>
    <x v="0"/>
    <d v="2021-07-27T00:00:00"/>
    <d v="2021-08-30T00:00:00"/>
    <d v="2021-10-19T00:00:00"/>
    <s v="ARID obchodní společnost, s.r.o."/>
    <m/>
    <n v="3097773.8"/>
    <n v="3748306.3"/>
    <m/>
    <m/>
    <m/>
    <d v="2021-10-19T00:00:00"/>
    <s v="SMLN-2021-617-000577_x000a_SMLN-2021-614-000092"/>
    <x v="135"/>
    <d v="2021-11-18T00:00:00"/>
    <d v="2024-11-14T00:00:00"/>
  </r>
  <r>
    <d v="2021-07-14T00:00:00"/>
    <s v="VZ-2021-000722"/>
    <x v="1"/>
    <s v="Dočkalová"/>
    <x v="279"/>
    <n v="3"/>
    <s v="Speciální zaváděcí pouzdra k vaskulárním intervencím II. "/>
    <m/>
    <s v="33140000-3"/>
    <m/>
    <n v="192063"/>
    <x v="0"/>
    <d v="2021-07-27T00:00:00"/>
    <d v="2021-08-30T00:00:00"/>
    <m/>
    <m/>
    <m/>
    <m/>
    <m/>
    <m/>
    <m/>
    <m/>
    <m/>
    <m/>
    <x v="6"/>
    <d v="2021-11-18T00:00:00"/>
    <s v="21.10.2021 zrušeno"/>
  </r>
  <r>
    <d v="2021-07-14T00:00:00"/>
    <s v="VZ-2021-000722"/>
    <x v="1"/>
    <s v="Dočkalová"/>
    <x v="279"/>
    <n v="4"/>
    <s v="Mikropunkční sety"/>
    <m/>
    <s v="33140000-3"/>
    <m/>
    <n v="64800"/>
    <x v="0"/>
    <d v="2021-07-27T00:00:00"/>
    <d v="2021-08-30T00:00:00"/>
    <d v="2021-10-19T00:00:00"/>
    <s v="Mediform, spol. s r.o."/>
    <m/>
    <n v="64800"/>
    <n v="78408"/>
    <m/>
    <m/>
    <m/>
    <d v="2021-10-19T00:00:00"/>
    <s v="SMLN-2021-617-000578_x000a_SMLN-2021-614-000093"/>
    <x v="135"/>
    <d v="2021-11-18T00:00:00"/>
    <d v="2024-11-14T00:00:00"/>
  </r>
  <r>
    <d v="2021-07-15T00:00:00"/>
    <s v="VZ-2021-000723"/>
    <x v="5"/>
    <s v="Oravec"/>
    <x v="280"/>
    <m/>
    <m/>
    <m/>
    <s v="32552110-1"/>
    <m/>
    <n v="574500"/>
    <x v="2"/>
    <d v="2021-07-27T00:00:00"/>
    <d v="2021-08-06T00:00:00"/>
    <d v="2021-08-11T00:00:00"/>
    <s v="ERISERV, spol. s r.o."/>
    <m/>
    <n v="566500"/>
    <n v="685465"/>
    <m/>
    <m/>
    <m/>
    <d v="2021-08-12T00:00:00"/>
    <s v="SMLN-2021-617-000418"/>
    <x v="75"/>
    <d v="2021-08-31T00:00:00"/>
    <d v="2022-08-24T00:00:00"/>
  </r>
  <r>
    <d v="2021-07-15T00:00:00"/>
    <s v="VZ-2021-000726"/>
    <x v="4"/>
    <s v="Srovnal"/>
    <x v="281"/>
    <m/>
    <m/>
    <m/>
    <s v="50421000-2"/>
    <m/>
    <n v="6000000"/>
    <x v="0"/>
    <d v="2021-07-29T00:00:00"/>
    <d v="2021-09-02T00:00:00"/>
    <d v="2021-09-22T00:00:00"/>
    <s v="Flídr medical s.r.o."/>
    <m/>
    <n v="5939960"/>
    <n v="7187351.5999999996"/>
    <m/>
    <m/>
    <m/>
    <d v="2021-09-22T00:00:00"/>
    <s v="SMLN-2021-618-000063"/>
    <x v="136"/>
    <d v="2021-11-18T00:00:00"/>
    <d v="2022-12-31T00:00:00"/>
  </r>
  <r>
    <d v="2021-07-15T00:00:00"/>
    <s v="VZ-2021-000727"/>
    <x v="5"/>
    <s v="Oravec"/>
    <x v="282"/>
    <m/>
    <m/>
    <m/>
    <s v="30231310-3"/>
    <m/>
    <n v="1430000"/>
    <x v="2"/>
    <d v="2021-07-27T00:00:00"/>
    <d v="2021-08-06T00:00:00"/>
    <d v="2021-08-12T00:00:00"/>
    <s v="Charita Opava"/>
    <m/>
    <n v="1723030"/>
    <n v="2084866.3"/>
    <m/>
    <m/>
    <m/>
    <d v="2021-08-12T00:00:00"/>
    <s v="SMLN-2021-617-000424"/>
    <x v="108"/>
    <d v="2021-08-30T00:00:00"/>
    <d v="2021-08-29T00:00:00"/>
  </r>
  <r>
    <d v="2021-07-07T00:00:00"/>
    <s v="VZ-2021-000728"/>
    <x v="2"/>
    <s v="Rosulek"/>
    <x v="283"/>
    <m/>
    <m/>
    <m/>
    <s v="38432210-7"/>
    <m/>
    <n v="2250000"/>
    <x v="1"/>
    <d v="2021-07-29T00:00:00"/>
    <d v="2021-08-24T00:00:00"/>
    <d v="2021-09-10T00:00:00"/>
    <s v="PE Systems s.r.o."/>
    <m/>
    <n v="1889000"/>
    <n v="2285690"/>
    <m/>
    <m/>
    <m/>
    <d v="2021-09-10T00:00:00"/>
    <s v="SMLN-2021-617-000489_x000a_SMLN-2021-612-000103_x000a_SMLN-2021-617-000490"/>
    <x v="137"/>
    <d v="2021-11-02T00:00:00"/>
    <d v="2021-12-15T00:00:00"/>
  </r>
  <r>
    <d v="2021-07-22T00:00:00"/>
    <s v="VZ-2021-000729"/>
    <x v="0"/>
    <s v="Ondráčková"/>
    <x v="284"/>
    <m/>
    <m/>
    <m/>
    <s v="33652100-6"/>
    <m/>
    <n v="211954416"/>
    <x v="0"/>
    <d v="2021-07-27T00:00:00"/>
    <d v="2021-09-02T00:00:00"/>
    <m/>
    <s v="zrušeno - překročení ceny"/>
    <s v="nová VZ-2021-000935"/>
    <m/>
    <m/>
    <m/>
    <m/>
    <m/>
    <m/>
    <m/>
    <x v="6"/>
    <d v="2021-09-07T00:00:00"/>
    <s v="6.9.2021 vyloučení"/>
  </r>
  <r>
    <d v="2021-07-12T00:00:00"/>
    <s v="VZ-2021-000730"/>
    <x v="2"/>
    <s v="Olejníček"/>
    <x v="285"/>
    <m/>
    <m/>
    <m/>
    <s v="33162100-4"/>
    <s v="2.2.335."/>
    <n v="777455"/>
    <x v="2"/>
    <d v="2021-07-26T00:00:00"/>
    <d v="2021-08-04T00:00:00"/>
    <d v="2021-08-16T00:00:00"/>
    <s v="RATAN medical equipment s.r.o."/>
    <m/>
    <n v="770700"/>
    <n v="932547"/>
    <m/>
    <m/>
    <m/>
    <d v="2021-08-16T00:00:00"/>
    <s v="SMLN-2021-617-000426_x000a_SMLN-2021-612-000088_x000a_SMLN-2021-617-000427"/>
    <x v="111"/>
    <d v="2021-10-04T00:00:00"/>
    <d v="2021-10-13T00:00:00"/>
  </r>
  <r>
    <d v="2021-07-22T00:00:00"/>
    <s v="VZ-2021-000731"/>
    <x v="0"/>
    <s v="Ondráčková"/>
    <x v="286"/>
    <n v="1"/>
    <s v="ELBASVIR A GRAZOPREVIR"/>
    <m/>
    <s v="33651400-2"/>
    <m/>
    <n v="4337280"/>
    <x v="0"/>
    <d v="2021-07-27T00:00:00"/>
    <d v="2021-08-30T00:00:00"/>
    <m/>
    <s v="zrušeno - bez nabídky"/>
    <m/>
    <m/>
    <m/>
    <m/>
    <m/>
    <m/>
    <m/>
    <m/>
    <x v="6"/>
    <d v="2021-10-15T00:00:00"/>
    <s v="16.9.2021 zrušeno"/>
  </r>
  <r>
    <d v="2021-07-22T00:00:00"/>
    <s v="VZ-2021-000731"/>
    <x v="0"/>
    <s v="Ondráčková"/>
    <x v="286"/>
    <n v="2"/>
    <s v="GLEKAPREVIR A PIBRENTASVIR"/>
    <m/>
    <s v="33651400-2"/>
    <m/>
    <n v="20330627"/>
    <x v="0"/>
    <d v="2021-07-27T00:00:00"/>
    <d v="2021-08-30T00:00:00"/>
    <d v="2021-09-21T00:00:00"/>
    <s v="PHOENIX lék.velkoobchod, s.r.o."/>
    <m/>
    <n v="20277774.719999999"/>
    <n v="22305552.190000001"/>
    <m/>
    <m/>
    <m/>
    <d v="2021-09-21T00:00:00"/>
    <s v="SMLN-2021-617-000511"/>
    <x v="138"/>
    <d v="2021-10-15T00:00:00"/>
    <d v="2024-10-14T00:00:00"/>
  </r>
  <r>
    <d v="2021-07-20T00:00:00"/>
    <s v="VZ-2021-000733"/>
    <x v="2"/>
    <s v="Olejníček"/>
    <x v="287"/>
    <m/>
    <m/>
    <m/>
    <s v="33191000-5"/>
    <s v="2.2.387."/>
    <n v="159000"/>
    <x v="2"/>
    <d v="2021-07-27T00:00:00"/>
    <d v="2021-08-04T00:00:00"/>
    <m/>
    <s v="zrušeno - bez nabídky"/>
    <s v="nová VZ-2021-000770"/>
    <m/>
    <m/>
    <m/>
    <m/>
    <m/>
    <m/>
    <m/>
    <x v="6"/>
    <d v="2021-08-04T00:00:00"/>
    <m/>
  </r>
  <r>
    <d v="2021-07-16T00:00:00"/>
    <s v="VZ-2021-000736"/>
    <x v="2"/>
    <s v="Olejníček"/>
    <x v="288"/>
    <m/>
    <m/>
    <m/>
    <s v="33125000-2"/>
    <s v="2.3.481."/>
    <n v="130000"/>
    <x v="2"/>
    <d v="2021-07-27T00:00:00"/>
    <d v="2021-08-04T00:00:00"/>
    <d v="2021-08-16T00:00:00"/>
    <s v="Medkonsult, s.r.o."/>
    <m/>
    <n v="127090"/>
    <n v="153778.9"/>
    <m/>
    <m/>
    <m/>
    <d v="2021-08-16T00:00:00"/>
    <s v="SMLN-2021-617-000428_x000a_SMLN-2021-612-000089"/>
    <x v="102"/>
    <d v="2021-09-17T00:00:00"/>
    <d v="2021-10-13T00:00:00"/>
  </r>
  <r>
    <d v="2021-07-23T00:00:00"/>
    <s v="VZ-2021-000738"/>
    <x v="2"/>
    <s v="Olejníček"/>
    <x v="289"/>
    <m/>
    <m/>
    <m/>
    <s v="38434500-1"/>
    <s v="2.3.561."/>
    <n v="305000"/>
    <x v="2"/>
    <d v="2021-07-28T00:00:00"/>
    <d v="2021-08-09T00:00:00"/>
    <d v="2021-08-16T00:00:00"/>
    <s v="BIO-RAD spol. s r.o."/>
    <m/>
    <n v="212880"/>
    <n v="257584.8"/>
    <m/>
    <m/>
    <m/>
    <d v="2021-08-16T00:00:00"/>
    <s v="SMLN-2021-617-000429_x000a_SMLN-2021-612-000090"/>
    <x v="117"/>
    <d v="2021-09-17T00:00:00"/>
    <d v="2021-10-15T00:00:00"/>
  </r>
  <r>
    <d v="2021-07-27T00:00:00"/>
    <s v="VZ-2021-000741"/>
    <x v="2"/>
    <s v="Olejníček"/>
    <x v="290"/>
    <m/>
    <m/>
    <m/>
    <s v="33122000-1"/>
    <s v="2.3.533."/>
    <n v="256818"/>
    <x v="2"/>
    <d v="2021-07-29T00:00:00"/>
    <d v="2021-08-10T00:00:00"/>
    <d v="2021-08-16T00:00:00"/>
    <s v="CMI spol. s r.o."/>
    <m/>
    <n v="226070"/>
    <n v="273544.7"/>
    <m/>
    <m/>
    <m/>
    <d v="2021-08-16T00:00:00"/>
    <s v="SMLN-2021-617-000430_x000a_SMLN-2021-612-000091"/>
    <x v="139"/>
    <d v="2021-10-04T00:00:00"/>
    <d v="2021-12-20T00:00:00"/>
  </r>
  <r>
    <d v="2021-07-19T00:00:00"/>
    <s v="VZ-2021-000742"/>
    <x v="1"/>
    <s v="Dočkalová"/>
    <x v="291"/>
    <n v="1"/>
    <s v="Mikrokatétry k periferním vaskulárním intervencím I./I."/>
    <m/>
    <s v="33140000-3 "/>
    <m/>
    <n v="3043930"/>
    <x v="0"/>
    <d v="2021-07-30T00:00:00"/>
    <d v="2021-09-03T00:00:00"/>
    <d v="2021-09-21T00:00:00"/>
    <s v="VAMEX, spol. s  r.o."/>
    <m/>
    <n v="3043930"/>
    <n v="3683155.3"/>
    <m/>
    <m/>
    <m/>
    <d v="2021-09-22T00:00:00"/>
    <s v="SMLN-2021-617-000517_x000a_SMLN-2021-614-000084"/>
    <x v="101"/>
    <d v="2021-10-18T00:00:00"/>
    <d v="2024-10-12T00:00:00"/>
  </r>
  <r>
    <d v="2021-07-19T00:00:00"/>
    <s v="VZ-2021-000742"/>
    <x v="1"/>
    <s v="Dočkalová"/>
    <x v="291"/>
    <n v="2"/>
    <s v="Mikrokatétry k periferním vaskulárním intervencím II./II."/>
    <m/>
    <s v="33140000-3 "/>
    <m/>
    <n v="48999.5"/>
    <x v="0"/>
    <d v="2021-07-30T00:00:00"/>
    <d v="2021-09-03T00:00:00"/>
    <m/>
    <s v="zrušeno - bez nabídky"/>
    <s v="nová VZ-2021-000949"/>
    <m/>
    <m/>
    <m/>
    <m/>
    <m/>
    <m/>
    <m/>
    <x v="6"/>
    <d v="2021-09-16T00:00:00"/>
    <s v="8.9.2021 zrušeno"/>
  </r>
  <r>
    <d v="2021-07-19T00:00:00"/>
    <s v="VZ-2021-000742"/>
    <x v="1"/>
    <s v="Dočkalová"/>
    <x v="291"/>
    <n v="3"/>
    <s v="Mikrokatétry neurointervenční II. /IV."/>
    <m/>
    <s v="33140000-3 "/>
    <m/>
    <n v="3036180"/>
    <x v="0"/>
    <d v="2021-07-30T00:00:00"/>
    <d v="2021-09-03T00:00:00"/>
    <m/>
    <s v="zrušeno - bez nabídky"/>
    <s v="nová VZ-2021-000949"/>
    <m/>
    <m/>
    <m/>
    <m/>
    <m/>
    <m/>
    <m/>
    <x v="6"/>
    <d v="2021-09-16T00:00:00"/>
    <s v="8.9.2021 zrušeno"/>
  </r>
  <r>
    <d v="2021-07-19T00:00:00"/>
    <s v="VZ-2021-000742"/>
    <x v="1"/>
    <s v="Dočkalová"/>
    <x v="291"/>
    <n v="4"/>
    <s v="Mikrokatétry neurointervenční III. /V."/>
    <m/>
    <s v="33140000-3 "/>
    <m/>
    <n v="829400"/>
    <x v="0"/>
    <d v="2021-07-30T00:00:00"/>
    <d v="2021-09-03T00:00:00"/>
    <m/>
    <s v="zrušeno - bez nabídky"/>
    <s v="nová VZ-2021-000949"/>
    <m/>
    <m/>
    <m/>
    <m/>
    <m/>
    <m/>
    <m/>
    <x v="6"/>
    <d v="2021-09-16T00:00:00"/>
    <s v="8.9.2021 zrušeno"/>
  </r>
  <r>
    <d v="2021-07-19T00:00:00"/>
    <s v="VZ-2021-000742"/>
    <x v="1"/>
    <s v="Dočkalová"/>
    <x v="291"/>
    <n v="5"/>
    <s v="Mikrokatétry neurointervenční IV. /VI."/>
    <m/>
    <s v="33140000-3 "/>
    <m/>
    <n v="209626.5"/>
    <x v="0"/>
    <d v="2021-07-30T00:00:00"/>
    <d v="2021-09-03T00:00:00"/>
    <m/>
    <s v="zrušeno - bez nabídky"/>
    <s v="nová VZ-2021-000949"/>
    <m/>
    <m/>
    <m/>
    <m/>
    <m/>
    <m/>
    <m/>
    <x v="6"/>
    <d v="2021-09-16T00:00:00"/>
    <s v="8.9.2021 zrušeno"/>
  </r>
  <r>
    <s v="opakovaná VZ"/>
    <s v="VZ-2021-000744"/>
    <x v="2"/>
    <s v="Olejníček"/>
    <x v="292"/>
    <n v="1"/>
    <s v="Radiační ochranný štít nad lůžko s pacientem"/>
    <m/>
    <s v="35113200-1"/>
    <s v="2.3.45."/>
    <n v="91000"/>
    <x v="2"/>
    <d v="2021-07-29T00:00:00"/>
    <d v="2021-08-10T00:00:00"/>
    <d v="2021-10-01T00:00:00"/>
    <s v="Siemens Healthcare, s.r.o."/>
    <m/>
    <n v="91000"/>
    <n v="110110"/>
    <m/>
    <m/>
    <m/>
    <d v="2021-10-01T00:00:00"/>
    <s v="SMLN-2021-617-000533"/>
    <x v="137"/>
    <d v="2021-10-27T00:00:00"/>
    <d v="2021-12-01T00:00:00"/>
  </r>
  <r>
    <s v="opakovaná VZ"/>
    <s v="VZ-2021-000744"/>
    <x v="2"/>
    <s v="Olejníček"/>
    <x v="292"/>
    <n v="2"/>
    <s v="Radiační ochranný štít pod lůžko s pacientem"/>
    <m/>
    <s v="35113200-1"/>
    <s v="2.3.45."/>
    <n v="180000"/>
    <x v="2"/>
    <d v="2021-07-29T00:00:00"/>
    <d v="2021-08-10T00:00:00"/>
    <m/>
    <s v="zrušeno - bez hodnotitelné nabídky"/>
    <m/>
    <m/>
    <m/>
    <m/>
    <m/>
    <m/>
    <m/>
    <m/>
    <x v="6"/>
    <d v="2021-09-06T00:00:00"/>
    <m/>
  </r>
  <r>
    <d v="2021-08-27T00:00:00"/>
    <s v="VZ-2021-000745"/>
    <x v="8"/>
    <s v="Kadlec"/>
    <x v="293"/>
    <m/>
    <m/>
    <m/>
    <s v="45421100-5"/>
    <m/>
    <n v="5900000"/>
    <x v="2"/>
    <d v="2021-07-29T00:00:00"/>
    <d v="2021-08-10T00:00:00"/>
    <d v="2021-08-30T00:00:00"/>
    <s v="zrušeno - odstoupení od nabídky"/>
    <m/>
    <n v="4039171.35"/>
    <n v="4887397.33"/>
    <m/>
    <m/>
    <m/>
    <d v="2021-08-30T00:00:00"/>
    <s v="SMLN-2021-618-000060"/>
    <x v="6"/>
    <d v="2021-09-17T00:00:00"/>
    <m/>
  </r>
  <r>
    <d v="2021-07-23T00:00:00"/>
    <s v="VZ-2021-000746"/>
    <x v="2"/>
    <s v="Rosulek"/>
    <x v="294"/>
    <m/>
    <m/>
    <m/>
    <s v="33191000-5"/>
    <s v="2.3.539."/>
    <n v="1980000"/>
    <x v="0"/>
    <d v="2021-07-30T00:00:00"/>
    <d v="2021-09-03T00:00:00"/>
    <d v="2021-09-22T00:00:00"/>
    <s v="Medinet, s.r.o."/>
    <m/>
    <n v="2285050"/>
    <n v="2764910.5"/>
    <m/>
    <m/>
    <m/>
    <d v="2021-09-22T00:00:00"/>
    <s v="SMLN-2021-617-000520_x000a_SMLN-2021-612-000106_x000a_SMLN-2021-617-000521"/>
    <x v="138"/>
    <d v="2021-10-27T00:00:00"/>
    <d v="2022-01-07T00:00:00"/>
  </r>
  <r>
    <d v="2021-07-28T00:00:00"/>
    <s v="VZ-2021-000756"/>
    <x v="1"/>
    <s v="Dočkalová"/>
    <x v="295"/>
    <n v="1"/>
    <s v="Samoexpandibilní stentgrafty vaskulární periferní I./I."/>
    <m/>
    <s v="33140000-3"/>
    <m/>
    <n v="696600"/>
    <x v="0"/>
    <d v="2021-08-05T00:00:00"/>
    <d v="2021-09-07T00:00:00"/>
    <d v="2021-09-30T00:00:00"/>
    <s v="BARD Czech Republic s.r.o."/>
    <m/>
    <n v="600000"/>
    <n v="690000"/>
    <m/>
    <m/>
    <m/>
    <d v="2021-09-30T00:00:00"/>
    <s v="SMLN-2021-617-000526_x000a_SMLN-2021-614-000086"/>
    <x v="140"/>
    <d v="2021-10-29T00:00:00"/>
    <d v="2024-10-24T00:00:00"/>
  </r>
  <r>
    <d v="2021-07-28T00:00:00"/>
    <s v="VZ-2021-000756"/>
    <x v="1"/>
    <s v="Dočkalová"/>
    <x v="295"/>
    <n v="2"/>
    <s v="Samoexpandibilní stentgrafty vaskulrní periferní II./II."/>
    <m/>
    <s v="33140000-3"/>
    <m/>
    <n v="2626140"/>
    <x v="0"/>
    <d v="2021-08-05T00:00:00"/>
    <d v="2021-09-07T00:00:00"/>
    <d v="2021-09-30T00:00:00"/>
    <s v="MEDITRADE spol. s r.o."/>
    <m/>
    <n v="2478265.83"/>
    <n v="2850005.7"/>
    <m/>
    <m/>
    <m/>
    <d v="2021-09-30T00:00:00"/>
    <s v="SMLN-2021-617-000528_x000a_SMLN-2021-614-000087"/>
    <x v="140"/>
    <d v="2021-10-29T00:00:00"/>
    <d v="2024-10-24T00:00:00"/>
  </r>
  <r>
    <d v="2021-07-28T00:00:00"/>
    <s v="VZ-2021-000756"/>
    <x v="1"/>
    <s v="Dočkalová"/>
    <x v="295"/>
    <n v="3"/>
    <s v="Balónexpandibilní stentgrafty vaskulární II./IV."/>
    <m/>
    <s v="33140000-3"/>
    <m/>
    <n v="840000"/>
    <x v="0"/>
    <d v="2021-08-05T00:00:00"/>
    <d v="2021-09-07T00:00:00"/>
    <m/>
    <s v="zrušeno - bez nabídky"/>
    <s v="nová VZ-2021-001184"/>
    <m/>
    <m/>
    <m/>
    <m/>
    <m/>
    <m/>
    <m/>
    <x v="6"/>
    <d v="2021-10-13T00:00:00"/>
    <s v="17.9.2021 zrušeno"/>
  </r>
  <r>
    <d v="2021-07-28T00:00:00"/>
    <s v="VZ-2021-000756"/>
    <x v="1"/>
    <s v="Dočkalová"/>
    <x v="295"/>
    <n v="4"/>
    <s v="Stentgrafty vaskulární do TIPS/V."/>
    <m/>
    <s v="33140000-3"/>
    <m/>
    <n v="2782400"/>
    <x v="0"/>
    <d v="2021-08-05T00:00:00"/>
    <d v="2021-09-07T00:00:00"/>
    <d v="2021-09-30T00:00:00"/>
    <s v="MEDITRADE spol. s r.o."/>
    <m/>
    <n v="2644000"/>
    <n v="3040600"/>
    <m/>
    <m/>
    <m/>
    <d v="2021-09-30T00:00:00"/>
    <s v="SMLN-2021-617-000529_x000a_SMLN-2021-614-000088"/>
    <x v="140"/>
    <d v="2021-10-29T00:00:00"/>
    <d v="2024-10-24T00:00:00"/>
  </r>
  <r>
    <d v="2021-07-28T00:00:00"/>
    <s v="VZ-2021-000756"/>
    <x v="1"/>
    <s v="Dočkalová"/>
    <x v="295"/>
    <n v="5"/>
    <s v="Samoexpandibilní stentgrafty vaskulární perifení III."/>
    <m/>
    <s v="33140000-3"/>
    <m/>
    <n v="9576025"/>
    <x v="0"/>
    <d v="2021-08-05T00:00:00"/>
    <d v="2021-09-07T00:00:00"/>
    <d v="2021-09-30T00:00:00"/>
    <s v="MEDITRADE spol. s r.o."/>
    <m/>
    <n v="8982288.7799999993"/>
    <n v="10329632.1"/>
    <m/>
    <m/>
    <m/>
    <d v="2021-09-30T00:00:00"/>
    <s v="SMLN-2021-617-000530"/>
    <x v="140"/>
    <d v="2021-10-29T00:00:00"/>
    <d v="2024-10-24T00:00:00"/>
  </r>
  <r>
    <d v="2021-08-02T00:00:00"/>
    <s v="VZ-2021-000757"/>
    <x v="1"/>
    <s v="Valtová"/>
    <x v="296"/>
    <m/>
    <m/>
    <m/>
    <s v="33140000-3"/>
    <m/>
    <n v="3769850"/>
    <x v="0"/>
    <d v="2021-08-09T00:00:00"/>
    <d v="2021-09-10T00:00:00"/>
    <d v="2021-09-22T00:00:00"/>
    <s v="Medtronic Czechia s.r.o."/>
    <m/>
    <n v="3769850"/>
    <n v="4651518.5"/>
    <m/>
    <m/>
    <m/>
    <d v="2021-09-22T00:00:00"/>
    <s v="SMLN-2021-617-000519_x000a_SMLN-2021-614-000085"/>
    <x v="138"/>
    <d v="2021-10-20T00:00:00"/>
    <d v="2024-10-14T00:00:00"/>
  </r>
  <r>
    <d v="2021-08-02T00:00:00"/>
    <s v="VZ-2021-000758"/>
    <x v="0"/>
    <s v="Ondráčková"/>
    <x v="297"/>
    <n v="1"/>
    <s v="OCPLEX"/>
    <m/>
    <s v="33621000-9"/>
    <m/>
    <n v="9222167"/>
    <x v="0"/>
    <m/>
    <m/>
    <m/>
    <m/>
    <m/>
    <m/>
    <m/>
    <m/>
    <m/>
    <m/>
    <m/>
    <m/>
    <x v="6"/>
    <m/>
    <m/>
  </r>
  <r>
    <d v="2021-08-02T00:00:00"/>
    <s v="VZ-2021-000758"/>
    <x v="0"/>
    <s v="Ondráčková"/>
    <x v="297"/>
    <n v="2"/>
    <s v="ALPROLIX"/>
    <m/>
    <s v="33621000-9"/>
    <m/>
    <n v="5034951"/>
    <x v="0"/>
    <m/>
    <m/>
    <m/>
    <m/>
    <m/>
    <m/>
    <m/>
    <m/>
    <m/>
    <m/>
    <m/>
    <m/>
    <x v="6"/>
    <m/>
    <m/>
  </r>
  <r>
    <d v="2021-08-02T00:00:00"/>
    <s v="VZ-2021-000759"/>
    <x v="0"/>
    <s v="Ondráčková"/>
    <x v="298"/>
    <m/>
    <s v="emicizumab"/>
    <m/>
    <s v="33621000-9"/>
    <m/>
    <n v="22443749"/>
    <x v="0"/>
    <d v="2021-08-10T00:00:00"/>
    <d v="2021-09-13T00:00:00"/>
    <d v="2021-11-23T00:00:00"/>
    <s v="ROCHE s.r.o."/>
    <m/>
    <n v="6694369.5999999996"/>
    <n v="7363806.5599999996"/>
    <m/>
    <m/>
    <m/>
    <d v="2021-11-23T00:00:00"/>
    <s v="SMLN-2021-617-000674"/>
    <x v="6"/>
    <m/>
    <m/>
  </r>
  <r>
    <d v="2021-08-02T00:00:00"/>
    <s v="VZ-2021-000760"/>
    <x v="0"/>
    <s v="Ondráčková"/>
    <x v="299"/>
    <n v="1"/>
    <s v="FREMANEZUMAB"/>
    <m/>
    <s v="33661200-3"/>
    <m/>
    <n v="9228142"/>
    <x v="0"/>
    <d v="2021-08-04T00:00:00"/>
    <d v="2021-09-30T00:00:00"/>
    <d v="2021-11-02T00:00:00"/>
    <s v="Teva Pharmaceuticals CR s.r.o."/>
    <m/>
    <n v="9228142"/>
    <n v="10150956.199999999"/>
    <m/>
    <m/>
    <m/>
    <d v="2021-11-02T00:00:00"/>
    <s v="SMLN-2021-617-000605"/>
    <x v="6"/>
    <m/>
    <m/>
  </r>
  <r>
    <d v="2021-08-02T00:00:00"/>
    <s v="VZ-2021-000760"/>
    <x v="0"/>
    <s v="Ondráčková"/>
    <x v="299"/>
    <n v="2"/>
    <s v="GALCANEZUMABUM"/>
    <m/>
    <s v="33661200-3"/>
    <m/>
    <n v="1051472"/>
    <x v="0"/>
    <d v="2021-08-04T00:00:00"/>
    <d v="2021-09-30T00:00:00"/>
    <d v="2021-11-02T00:00:00"/>
    <s v="ELI LILLY ČR, s.r.o."/>
    <m/>
    <n v="1051471.2"/>
    <n v="1156618.32"/>
    <m/>
    <m/>
    <m/>
    <d v="2021-11-02T00:00:00"/>
    <s v="SMLN-2021-617-000606"/>
    <x v="116"/>
    <d v="2021-12-28T00:00:00"/>
    <d v="2025-11-29T00:00:00"/>
  </r>
  <r>
    <d v="2021-08-02T00:00:00"/>
    <s v="VZ-2021-000761"/>
    <x v="0"/>
    <s v="Ondráčková"/>
    <x v="300"/>
    <m/>
    <s v="kaplacizumab"/>
    <m/>
    <s v="33621100-0"/>
    <m/>
    <n v="8392785"/>
    <x v="0"/>
    <d v="2021-08-03T00:00:00"/>
    <d v="2021-09-06T00:00:00"/>
    <d v="2021-09-22T00:00:00"/>
    <s v="sanofi-aventis, s.r.o."/>
    <m/>
    <n v="8392782.0600000005"/>
    <n v="9232060.2699999996"/>
    <m/>
    <m/>
    <m/>
    <d v="2021-09-22T00:00:00"/>
    <s v="SMLN-2021-617-000518"/>
    <x v="101"/>
    <d v="2021-10-19T00:00:00"/>
    <d v="2024-10-12T00:00:00"/>
  </r>
  <r>
    <d v="2021-07-28T00:00:00"/>
    <s v="VZ-2021-000762"/>
    <x v="0"/>
    <s v="Ondráčková"/>
    <x v="301"/>
    <n v="1"/>
    <s v="Protilátky pro IHC metody "/>
    <m/>
    <s v="33694000-1"/>
    <m/>
    <n v="157378"/>
    <x v="0"/>
    <d v="2021-08-24T00:00:00"/>
    <d v="2021-09-27T00:00:00"/>
    <m/>
    <s v="zrušeno - bez nabídky"/>
    <m/>
    <m/>
    <m/>
    <m/>
    <m/>
    <m/>
    <m/>
    <m/>
    <x v="6"/>
    <d v="2021-11-12T00:00:00"/>
    <s v="15.10.2021 zrušeno"/>
  </r>
  <r>
    <d v="2021-07-28T00:00:00"/>
    <s v="VZ-2021-000762"/>
    <x v="0"/>
    <s v="Ondráčková"/>
    <x v="301"/>
    <n v="2"/>
    <s v="Chemikálie pro základní provoz"/>
    <m/>
    <s v="33694000-1"/>
    <m/>
    <n v="785490"/>
    <x v="0"/>
    <d v="2021-08-24T00:00:00"/>
    <d v="2021-09-27T00:00:00"/>
    <m/>
    <s v="zrušeno - bez nabídky"/>
    <m/>
    <m/>
    <m/>
    <m/>
    <m/>
    <m/>
    <m/>
    <m/>
    <x v="6"/>
    <d v="2021-11-12T00:00:00"/>
    <s v="15.10.2021 zrušeno"/>
  </r>
  <r>
    <d v="2021-07-28T00:00:00"/>
    <s v="VZ-2021-000762"/>
    <x v="0"/>
    <s v="Ondráčková"/>
    <x v="301"/>
    <n v="3"/>
    <s v="Protilátky a chemikálie pro IHC metody "/>
    <m/>
    <s v="33694000-1"/>
    <m/>
    <n v="493445"/>
    <x v="0"/>
    <d v="2021-08-24T00:00:00"/>
    <d v="2021-09-27T00:00:00"/>
    <m/>
    <s v="zrušeno - bez nabídky"/>
    <m/>
    <m/>
    <m/>
    <m/>
    <m/>
    <m/>
    <m/>
    <m/>
    <x v="6"/>
    <d v="2021-11-12T00:00:00"/>
    <s v="15.10.2021 zrušeno"/>
  </r>
  <r>
    <d v="2021-07-28T00:00:00"/>
    <s v="VZ-2021-000762"/>
    <x v="0"/>
    <s v="Ondráčková"/>
    <x v="301"/>
    <n v="4"/>
    <s v="Protilátky pro IHC metody I."/>
    <m/>
    <s v="33694000-1"/>
    <m/>
    <n v="268724"/>
    <x v="0"/>
    <d v="2021-08-24T00:00:00"/>
    <d v="2021-09-27T00:00:00"/>
    <d v="2021-10-18T00:00:00"/>
    <s v="BARIA s.r.o."/>
    <m/>
    <n v="268722.51"/>
    <n v="325154.24"/>
    <m/>
    <m/>
    <m/>
    <d v="2021-10-18T00:00:00"/>
    <s v="SMLN-2021-617-000574"/>
    <x v="141"/>
    <d v="2021-11-26T00:00:00"/>
    <d v="2022-11-18T00:00:00"/>
  </r>
  <r>
    <d v="2021-08-02T00:00:00"/>
    <s v="VZ-2021-000763"/>
    <x v="0"/>
    <s v="Ondráčková"/>
    <x v="302"/>
    <m/>
    <s v="diosmin v kombinaci"/>
    <m/>
    <s v="33621100-0"/>
    <m/>
    <n v="10670760"/>
    <x v="0"/>
    <d v="2021-09-16T00:00:00"/>
    <d v="2021-10-21T00:00:00"/>
    <d v="2021-11-23T00:00:00"/>
    <s v="PHOENIX lék.velkoobchod, s.r.o."/>
    <m/>
    <n v="8913685.9199999999"/>
    <n v="9805054.5099999998"/>
    <m/>
    <m/>
    <m/>
    <d v="2021-11-23T00:00:00"/>
    <s v="SMLN-2021-617-000673"/>
    <x v="6"/>
    <m/>
    <m/>
  </r>
  <r>
    <d v="2021-08-02T00:00:00"/>
    <s v="VZ-2021-000764"/>
    <x v="0"/>
    <s v="Ondráčková"/>
    <x v="303"/>
    <n v="1"/>
    <s v="KALCIUM-GLUKONÁT"/>
    <m/>
    <s v="33617000-8"/>
    <m/>
    <n v="1306314"/>
    <x v="0"/>
    <d v="2021-09-16T00:00:00"/>
    <d v="2021-12-12T00:00:00"/>
    <m/>
    <m/>
    <m/>
    <m/>
    <m/>
    <m/>
    <m/>
    <m/>
    <m/>
    <m/>
    <x v="6"/>
    <m/>
    <m/>
  </r>
  <r>
    <d v="2021-08-02T00:00:00"/>
    <s v="VZ-2021-000764"/>
    <x v="0"/>
    <s v="Ondráčková"/>
    <x v="303"/>
    <n v="2"/>
    <s v="CHLORID VÁPENATÝ"/>
    <m/>
    <s v="33617000-8"/>
    <m/>
    <n v="4717059"/>
    <x v="0"/>
    <d v="2021-09-16T00:00:00"/>
    <d v="2021-12-12T00:00:00"/>
    <m/>
    <m/>
    <m/>
    <m/>
    <m/>
    <m/>
    <m/>
    <m/>
    <m/>
    <m/>
    <x v="6"/>
    <m/>
    <m/>
  </r>
  <r>
    <d v="2021-08-02T00:00:00"/>
    <s v="VZ-2021-000764"/>
    <x v="0"/>
    <s v="Ondráčková"/>
    <x v="303"/>
    <n v="3"/>
    <s v="SÍRAN HOŘEČNATÝ"/>
    <m/>
    <s v="33617000-8"/>
    <m/>
    <n v="7695003"/>
    <x v="0"/>
    <d v="2021-09-16T00:00:00"/>
    <d v="2021-12-12T00:00:00"/>
    <m/>
    <m/>
    <m/>
    <m/>
    <m/>
    <m/>
    <m/>
    <m/>
    <m/>
    <m/>
    <x v="6"/>
    <m/>
    <m/>
  </r>
  <r>
    <d v="2021-08-02T00:00:00"/>
    <s v="VZ-2021-000764"/>
    <x v="0"/>
    <s v="Ondráčková"/>
    <x v="303"/>
    <n v="4"/>
    <s v="HOŘČÍK V KOMBINACI RŮZNÝCH SOLÍ"/>
    <m/>
    <s v="33617000-8"/>
    <m/>
    <n v="10242662"/>
    <x v="0"/>
    <d v="2021-09-16T00:00:00"/>
    <d v="2021-12-12T00:00:00"/>
    <m/>
    <m/>
    <m/>
    <m/>
    <m/>
    <m/>
    <m/>
    <m/>
    <m/>
    <m/>
    <x v="6"/>
    <m/>
    <m/>
  </r>
  <r>
    <d v="2021-07-29T00:00:00"/>
    <s v="VZ-2021-000765"/>
    <x v="2"/>
    <s v="Olejníček"/>
    <x v="304"/>
    <m/>
    <m/>
    <m/>
    <s v="33151400-7"/>
    <m/>
    <n v="14159500"/>
    <x v="0"/>
    <d v="2021-08-11T00:00:00"/>
    <d v="2021-09-14T00:00:00"/>
    <d v="2021-09-20T00:00:00"/>
    <s v="AMEDIS, spol. s r.o."/>
    <m/>
    <n v="14159180"/>
    <n v="17132607.800000001"/>
    <m/>
    <m/>
    <m/>
    <d v="2021-09-20T00:00:00"/>
    <s v="SMLN-2021-617-000507_x000a_SMLN-2021-612-000105"/>
    <x v="142"/>
    <d v="2021-10-27T00:00:00"/>
    <d v="2022-02-11T00:00:00"/>
  </r>
  <r>
    <d v="2021-07-29T00:00:00"/>
    <s v="VZ-2021-000766"/>
    <x v="1"/>
    <s v="Valtová"/>
    <x v="305"/>
    <n v="1"/>
    <s v="Cystostom, Sonda Cysto-Gastro Endo Flex  6 Fr."/>
    <m/>
    <s v="33140000–3"/>
    <m/>
    <n v="118000"/>
    <x v="2"/>
    <d v="2021-08-04T00:00:00"/>
    <d v="2021-08-24T00:00:00"/>
    <d v="2021-11-05T00:00:00"/>
    <s v="INLAB  s.r.o."/>
    <m/>
    <n v="118000"/>
    <n v="142780"/>
    <m/>
    <m/>
    <m/>
    <d v="2021-11-05T00:00:00"/>
    <s v="SMLN-2021-617-000619_x000a_SMLN-2021-614-000107"/>
    <x v="143"/>
    <d v="2021-12-15T00:00:00"/>
    <d v="2023-11-28T00:00:00"/>
  </r>
  <r>
    <d v="2021-07-29T00:00:00"/>
    <s v="VZ-2021-000766"/>
    <x v="1"/>
    <s v="Valtová"/>
    <x v="305"/>
    <n v="2"/>
    <s v="Cystostom, Sonda Cysto-Gastro Endo Flex  8,5 Fr."/>
    <m/>
    <s v="33140000–3"/>
    <m/>
    <n v="164000"/>
    <x v="2"/>
    <d v="2021-08-04T00:00:00"/>
    <d v="2021-08-24T00:00:00"/>
    <d v="2021-11-05T00:00:00"/>
    <s v="INLAB s.r.o."/>
    <m/>
    <n v="164000"/>
    <n v="198440"/>
    <m/>
    <m/>
    <m/>
    <d v="2021-11-05T00:00:00"/>
    <s v="SMLN-2021-617-000620_x000a_SMLN-2021-614-000106"/>
    <x v="143"/>
    <d v="2021-12-15T00:00:00"/>
    <d v="2023-11-28T00:00:00"/>
  </r>
  <r>
    <d v="2021-07-29T00:00:00"/>
    <s v="VZ-2021-000766"/>
    <x v="1"/>
    <s v="Valtová"/>
    <x v="305"/>
    <n v="3"/>
    <s v="Cystostom, Sonda Cysto-Gastro Endo Flex  10 Fr."/>
    <m/>
    <s v="33140000–3"/>
    <m/>
    <n v="495000"/>
    <x v="2"/>
    <d v="2021-08-04T00:00:00"/>
    <d v="2021-08-24T00:00:00"/>
    <d v="2021-11-05T00:00:00"/>
    <s v="MEDIAL spol. s r.o."/>
    <m/>
    <n v="477000"/>
    <n v="577170"/>
    <m/>
    <m/>
    <m/>
    <d v="2021-11-05T00:00:00"/>
    <s v="SMLN-2021-617-000621_x000a_SMLN-2021-614-000105"/>
    <x v="123"/>
    <d v="2021-12-15T00:00:00"/>
    <d v="2023-12-12T00:00:00"/>
  </r>
  <r>
    <s v="opakovaná VZ"/>
    <s v="VZ-2021-000768"/>
    <x v="10"/>
    <s v="Zdráhalová"/>
    <x v="306"/>
    <m/>
    <m/>
    <m/>
    <s v="30197644-2"/>
    <m/>
    <n v="1100000"/>
    <x v="2"/>
    <d v="2021-08-04T00:00:00"/>
    <d v="2021-08-13T00:00:00"/>
    <d v="2021-09-20T00:00:00"/>
    <s v="ACTIVA spol. s r.o."/>
    <m/>
    <n v="906066"/>
    <n v="1096333.7"/>
    <m/>
    <m/>
    <m/>
    <d v="2021-09-21T00:00:00"/>
    <s v="SMLN-2021-617-000509"/>
    <x v="138"/>
    <d v="2021-10-19T00:00:00"/>
    <d v="2022-10-14T00:00:00"/>
  </r>
  <r>
    <d v="2021-08-02T00:00:00"/>
    <s v="VZ-2021-000769"/>
    <x v="5"/>
    <s v="Oravec"/>
    <x v="307"/>
    <m/>
    <m/>
    <m/>
    <s v="30232100-5"/>
    <m/>
    <n v="440000"/>
    <x v="2"/>
    <d v="2021-08-06T00:00:00"/>
    <d v="2021-08-17T00:00:00"/>
    <d v="2021-09-02T00:00:00"/>
    <s v="Datascan, s.r.o."/>
    <m/>
    <n v="433691"/>
    <n v="524766.11"/>
    <m/>
    <m/>
    <m/>
    <d v="2021-09-03T00:00:00"/>
    <s v="SMLN-2021-617-000468"/>
    <x v="139"/>
    <d v="2021-09-23T00:00:00"/>
    <d v="2022-09-20T00:00:00"/>
  </r>
  <r>
    <s v="opakovaná VZ"/>
    <s v="VZ-2021-000770"/>
    <x v="2"/>
    <s v="Olejníček"/>
    <x v="308"/>
    <m/>
    <m/>
    <m/>
    <s v="33191000-5"/>
    <s v="2.2.387."/>
    <n v="159000"/>
    <x v="2"/>
    <d v="2021-08-06T00:00:00"/>
    <d v="2021-08-17T00:00:00"/>
    <d v="2021-09-02T00:00:00"/>
    <s v="Arjo Czech Republic s.r.o."/>
    <m/>
    <n v="158431"/>
    <n v="191701.51"/>
    <m/>
    <m/>
    <m/>
    <d v="2021-09-06T00:00:00"/>
    <s v="SMLN-2021-617-000475_x000a_SMLN-2021-612-000101"/>
    <x v="84"/>
    <d v="2021-10-11T00:00:00"/>
    <d v="2021-12-15T00:00:00"/>
  </r>
  <r>
    <d v="2021-08-02T00:00:00"/>
    <s v="VZ-2021-000771"/>
    <x v="2"/>
    <s v="Olejníček"/>
    <x v="309"/>
    <m/>
    <m/>
    <m/>
    <s v="33160000-9"/>
    <m/>
    <n v="198000"/>
    <x v="2"/>
    <d v="2021-08-06T00:00:00"/>
    <d v="2021-08-17T00:00:00"/>
    <d v="2021-08-30T00:00:00"/>
    <s v="Johnson  &amp; Johnson s.r.o."/>
    <m/>
    <n v="174934.3"/>
    <n v="211670.5"/>
    <m/>
    <m/>
    <m/>
    <d v="2021-08-30T00:00:00"/>
    <s v="SMLN-2021-617-000456_x000a_SMLN-2021-612-000097"/>
    <x v="144"/>
    <d v="2021-10-08T00:00:00"/>
    <d v="2021-11-10T00:00:00"/>
  </r>
  <r>
    <d v="2021-08-04T00:00:00"/>
    <s v="VZ-2021-000772"/>
    <x v="2"/>
    <s v="Rosulek"/>
    <x v="310"/>
    <m/>
    <m/>
    <m/>
    <s v="38000000-5"/>
    <m/>
    <n v="200000"/>
    <x v="2"/>
    <d v="2021-08-06T00:00:00"/>
    <d v="2021-08-17T00:00:00"/>
    <d v="2021-08-30T00:00:00"/>
    <s v="SCHOELLER INSTRUMENTS, s.r.o."/>
    <m/>
    <n v="167850"/>
    <n v="203098.5"/>
    <m/>
    <m/>
    <m/>
    <d v="2021-08-30T00:00:00"/>
    <s v="SMLN-2021-617-000455_x000a_SMLN-2021-612-000096"/>
    <x v="109"/>
    <d v="2021-10-04T00:00:00"/>
    <d v="2021-11-18T00:00:00"/>
  </r>
  <r>
    <d v="2021-08-04T00:00:00"/>
    <s v="VZ-2021-000773"/>
    <x v="2"/>
    <s v="Rosulek"/>
    <x v="311"/>
    <m/>
    <m/>
    <m/>
    <s v="33190000-8"/>
    <m/>
    <n v="127000"/>
    <x v="2"/>
    <d v="2021-08-06T00:00:00"/>
    <d v="2021-08-17T00:00:00"/>
    <d v="2021-09-02T00:00:00"/>
    <s v="STERIPAK s.r.o."/>
    <m/>
    <n v="119200"/>
    <n v="144232"/>
    <m/>
    <m/>
    <m/>
    <d v="2021-09-02T00:00:00"/>
    <s v="SMLN-2021-617-000467_x000a_SMLN-2021-612-000099"/>
    <x v="84"/>
    <d v="2021-10-11T00:00:00"/>
    <d v="2021-10-20T00:00:00"/>
  </r>
  <r>
    <d v="2021-08-04T00:00:00"/>
    <s v="VZ-2021-000774"/>
    <x v="2"/>
    <s v="Rosulek"/>
    <x v="312"/>
    <m/>
    <m/>
    <m/>
    <s v="38000000-5"/>
    <m/>
    <n v="1293000"/>
    <x v="2"/>
    <d v="2021-08-09T00:00:00"/>
    <d v="2021-08-17T00:00:00"/>
    <d v="2021-08-24T00:00:00"/>
    <s v="BioTech a.s."/>
    <m/>
    <n v="1124700"/>
    <n v="1360887"/>
    <m/>
    <m/>
    <m/>
    <d v="2021-08-24T00:00:00"/>
    <s v="SMLN-2021-617-000444_x000a_SMLN-2021-612-000092_x000a_SMLN-2021-617-000445"/>
    <x v="96"/>
    <d v="2021-10-08T00:00:00"/>
    <d v="2022-02-11T00:00:00"/>
  </r>
  <r>
    <d v="2021-08-02T00:00:00"/>
    <s v="VZ-2021-000775"/>
    <x v="1"/>
    <s v="Valtová"/>
    <x v="313"/>
    <m/>
    <m/>
    <m/>
    <s v="33140000-3"/>
    <m/>
    <n v="4347826"/>
    <x v="0"/>
    <d v="2021-08-10T00:00:00"/>
    <d v="2021-09-20T00:00:00"/>
    <d v="2021-10-01T00:00:00"/>
    <s v="Medtronic Czechia s.r.o."/>
    <m/>
    <n v="4347826"/>
    <n v="5000000"/>
    <m/>
    <m/>
    <m/>
    <d v="2021-10-01T00:00:00"/>
    <s v="SMLN-2021-617-000538_x000a_SMLN-2021-614-000089"/>
    <x v="145"/>
    <d v="2021-11-03T00:00:00"/>
    <d v="2024-10-31T00:00:00"/>
  </r>
  <r>
    <d v="2021-08-04T00:00:00"/>
    <s v="VZ-2021-000777"/>
    <x v="2"/>
    <s v="Rosulek"/>
    <x v="314"/>
    <m/>
    <m/>
    <m/>
    <s v="33158200-4"/>
    <m/>
    <n v="1200000"/>
    <x v="2"/>
    <d v="2021-08-11T00:00:00"/>
    <d v="2021-08-20T00:00:00"/>
    <d v="2021-08-31T00:00:00"/>
    <s v="T E C H S A N s.r.o."/>
    <m/>
    <n v="1070500"/>
    <n v="1295305"/>
    <m/>
    <m/>
    <m/>
    <d v="2021-09-01T00:00:00"/>
    <s v="SMLN-2021-617-000461_x000a_SMLN-2021-612-000098_x000a_SMLN-2021-617-000462"/>
    <x v="109"/>
    <d v="2021-10-06T00:00:00"/>
    <d v="2021-11-18T00:00:00"/>
  </r>
  <r>
    <d v="2021-08-06T00:00:00"/>
    <s v="VZ-2021-000779"/>
    <x v="1"/>
    <s v="Valtová"/>
    <x v="315"/>
    <m/>
    <m/>
    <m/>
    <s v="33140000-3"/>
    <m/>
    <n v="2646000"/>
    <x v="1"/>
    <d v="2021-08-10T00:00:00"/>
    <d v="2021-09-20T00:00:00"/>
    <d v="2021-10-26T00:00:00"/>
    <s v="INLAB s.r.o."/>
    <m/>
    <n v="1986000"/>
    <n v="2403060"/>
    <m/>
    <m/>
    <m/>
    <d v="2021-10-26T00:00:00"/>
    <s v="SMLN-2021-617-000590_x000a_SMLN-2021-614-000097"/>
    <x v="128"/>
    <d v="2021-11-22T00:00:00"/>
    <d v="2023-11-15T00:00:00"/>
  </r>
  <r>
    <d v="2021-08-06T00:00:00"/>
    <s v="VZ-2021-000780"/>
    <x v="1"/>
    <s v="Valtová"/>
    <x v="316"/>
    <m/>
    <m/>
    <m/>
    <s v="33140000-3"/>
    <m/>
    <n v="3600000"/>
    <x v="0"/>
    <d v="2021-08-13T00:00:00"/>
    <d v="2021-10-25T00:00:00"/>
    <d v="2021-11-09T00:00:00"/>
    <s v="Boston Scientific Česká republika s.r.o."/>
    <m/>
    <n v="3510000"/>
    <n v="4247100"/>
    <m/>
    <m/>
    <m/>
    <d v="2021-11-09T00:00:00"/>
    <s v="SMLN-2021-617-000633_x000a_SMLN-2021-614-000108"/>
    <x v="146"/>
    <d v="2021-12-15T00:00:00"/>
    <d v="2023-12-08T00:00:00"/>
  </r>
  <r>
    <s v="opakovaná VZ"/>
    <s v="VZ-2021-000782"/>
    <x v="2"/>
    <s v="Olejníček"/>
    <x v="317"/>
    <m/>
    <m/>
    <m/>
    <s v="31720000-9"/>
    <s v="2.2.278."/>
    <n v="615000"/>
    <x v="2"/>
    <d v="2021-08-11T00:00:00"/>
    <d v="2021-08-20T00:00:00"/>
    <d v="2021-08-24T00:00:00"/>
    <s v="Arcon Machinery a.s."/>
    <m/>
    <n v="614640"/>
    <n v="743714"/>
    <m/>
    <m/>
    <m/>
    <d v="2021-08-24T00:00:00"/>
    <s v="SMLN-2021-617-000446_x000a_SMLN-2021-612-000093"/>
    <x v="147"/>
    <d v="2021-10-04T00:00:00"/>
    <d v="2022-03-19T00:00:00"/>
  </r>
  <r>
    <d v="2021-08-06T00:00:00"/>
    <s v="VZ-2021-000798"/>
    <x v="4"/>
    <s v="Eyer"/>
    <x v="318"/>
    <m/>
    <m/>
    <m/>
    <s v="45331000-6"/>
    <m/>
    <n v="665000"/>
    <x v="2"/>
    <d v="2021-08-16T00:00:00"/>
    <d v="2021-09-03T00:00:00"/>
    <d v="2021-09-08T00:00:00"/>
    <s v="MIZ Olomouc s.r.o."/>
    <m/>
    <n v="854569.78"/>
    <n v="1034029.43"/>
    <m/>
    <m/>
    <m/>
    <d v="2021-09-09T00:00:00"/>
    <s v="SMLN-2021-618-000061"/>
    <x v="103"/>
    <d v="2021-10-14T00:00:00"/>
    <d v="2021-12-10T00:00:00"/>
  </r>
  <r>
    <d v="2021-08-05T00:00:00"/>
    <s v="VZ-2021-000800"/>
    <x v="8"/>
    <s v="Kadlec"/>
    <x v="319"/>
    <m/>
    <m/>
    <m/>
    <s v="45453000-7"/>
    <m/>
    <n v="2200000"/>
    <x v="2"/>
    <d v="2021-08-16T00:00:00"/>
    <d v="2021-08-24T00:00:00"/>
    <m/>
    <s v="zrušeno - bez nabídky"/>
    <s v="nová VZ-2021-000886"/>
    <m/>
    <m/>
    <m/>
    <m/>
    <m/>
    <m/>
    <m/>
    <x v="6"/>
    <d v="2021-08-24T00:00:00"/>
    <m/>
  </r>
  <r>
    <d v="2021-08-12T00:00:00"/>
    <s v="VZ-2021-000801"/>
    <x v="1"/>
    <s v="Dočkalová"/>
    <x v="320"/>
    <n v="1"/>
    <s v="Protézy cévní I."/>
    <m/>
    <s v="33184200-5"/>
    <m/>
    <n v="766927"/>
    <x v="0"/>
    <d v="2021-08-18T00:00:00"/>
    <d v="2021-09-21T00:00:00"/>
    <d v="2021-11-09T00:00:00"/>
    <s v="MEDITRADE spol. s r.o."/>
    <m/>
    <n v="753900"/>
    <n v="866985"/>
    <m/>
    <m/>
    <m/>
    <d v="2021-11-09T00:00:00"/>
    <s v="SMLN-2021-617-000634_x000a_SMLN-2021-614-000109"/>
    <x v="148"/>
    <d v="2021-12-28T00:00:00"/>
    <d v="2024-12-20T00:00:00"/>
  </r>
  <r>
    <d v="2021-08-12T00:00:00"/>
    <s v="VZ-2021-000801"/>
    <x v="1"/>
    <s v="Dočkalová"/>
    <x v="320"/>
    <n v="2"/>
    <s v="Protézy cévní II."/>
    <m/>
    <s v="33184200-5"/>
    <m/>
    <n v="62856"/>
    <x v="0"/>
    <d v="2021-08-18T00:00:00"/>
    <d v="2021-09-21T00:00:00"/>
    <m/>
    <s v="zrušeno - bez hodnotitelné nabídky"/>
    <s v="nová VZ-2021-001297"/>
    <m/>
    <m/>
    <m/>
    <m/>
    <m/>
    <m/>
    <m/>
    <x v="6"/>
    <d v="2021-12-15T00:00:00"/>
    <s v="16.11.2021 zrušeno"/>
  </r>
  <r>
    <d v="2021-08-12T00:00:00"/>
    <s v="VZ-2021-000801"/>
    <x v="1"/>
    <s v="Dočkalová"/>
    <x v="320"/>
    <n v="3"/>
    <s v="Protézy cévní III."/>
    <m/>
    <s v="33184200-5"/>
    <m/>
    <n v="1989243"/>
    <x v="0"/>
    <d v="2021-08-18T00:00:00"/>
    <d v="2021-09-21T00:00:00"/>
    <m/>
    <s v="zrušeno - bez hodnotitelné nabídky"/>
    <s v="nová VZ-2021-001297"/>
    <m/>
    <m/>
    <m/>
    <m/>
    <m/>
    <m/>
    <m/>
    <x v="6"/>
    <d v="2021-12-15T00:00:00"/>
    <s v="16.11.2021 zrušeno"/>
  </r>
  <r>
    <d v="2021-08-12T00:00:00"/>
    <s v="VZ-2021-000801"/>
    <x v="1"/>
    <s v="Dočkalová"/>
    <x v="320"/>
    <n v="4"/>
    <s v="Protézy cévní IV."/>
    <m/>
    <s v="33184200-5"/>
    <m/>
    <n v="46480"/>
    <x v="0"/>
    <d v="2021-08-18T00:00:00"/>
    <d v="2021-09-21T00:00:00"/>
    <m/>
    <s v="zrušeno - bez hodnotitelné nabídky"/>
    <s v="nová VZ-2021-001297"/>
    <m/>
    <m/>
    <m/>
    <m/>
    <m/>
    <m/>
    <m/>
    <x v="6"/>
    <d v="2021-12-15T00:00:00"/>
    <s v="16.11.2021 zrušeno"/>
  </r>
  <r>
    <d v="2021-08-12T00:00:00"/>
    <s v="VZ-2021-000801"/>
    <x v="1"/>
    <s v="Dočkalová"/>
    <x v="320"/>
    <n v="5"/>
    <s v="Protézy cévní V."/>
    <m/>
    <s v="33184200-5"/>
    <m/>
    <n v="2940912"/>
    <x v="0"/>
    <d v="2021-08-18T00:00:00"/>
    <d v="2021-09-21T00:00:00"/>
    <m/>
    <s v="zrušeno - bez hodnotitelné nabídky"/>
    <s v="nová VZ-2021-001297"/>
    <m/>
    <m/>
    <m/>
    <m/>
    <m/>
    <m/>
    <m/>
    <x v="6"/>
    <d v="2021-12-15T00:00:00"/>
    <s v="16.11.2021 zrušeno"/>
  </r>
  <r>
    <d v="2021-08-04T00:00:00"/>
    <s v="VZ-2021-000802"/>
    <x v="2"/>
    <s v="Olejníček"/>
    <x v="321"/>
    <m/>
    <m/>
    <m/>
    <s v="33193120-6"/>
    <s v="2.4.187."/>
    <n v="260000"/>
    <x v="2"/>
    <d v="2021-08-16T00:00:00"/>
    <d v="2021-08-24T00:00:00"/>
    <m/>
    <s v="zrušeno"/>
    <s v="nová VZ-2021-000887"/>
    <m/>
    <m/>
    <m/>
    <m/>
    <m/>
    <m/>
    <m/>
    <x v="6"/>
    <d v="2021-08-17T00:00:00"/>
    <m/>
  </r>
  <r>
    <d v="2021-08-05T00:00:00"/>
    <s v="VZ-2021-000805"/>
    <x v="0"/>
    <s v="Ondráčková"/>
    <x v="322"/>
    <n v="1"/>
    <s v="Spotřební materiál pro genetiku"/>
    <m/>
    <s v="33694000-1"/>
    <m/>
    <n v="2742831"/>
    <x v="1"/>
    <d v="2021-09-24T00:00:00"/>
    <d v="2021-10-14T00:00:00"/>
    <m/>
    <s v="zrušeno - bez nabídky"/>
    <m/>
    <m/>
    <m/>
    <m/>
    <m/>
    <m/>
    <m/>
    <m/>
    <x v="6"/>
    <d v="2021-10-19T00:00:00"/>
    <s v="18.10.2021 zrušeno"/>
  </r>
  <r>
    <d v="2021-08-05T00:00:00"/>
    <s v="VZ-2021-000806"/>
    <x v="0"/>
    <s v="Ondráčková"/>
    <x v="323"/>
    <n v="1"/>
    <s v="Spotřební materiál pro genetiku I."/>
    <m/>
    <s v="33694000-1"/>
    <m/>
    <n v="67032"/>
    <x v="2"/>
    <d v="2021-08-24T00:00:00"/>
    <d v="2021-09-08T00:00:00"/>
    <m/>
    <s v="zrušeno - bez nabídky"/>
    <m/>
    <m/>
    <m/>
    <m/>
    <m/>
    <m/>
    <m/>
    <m/>
    <x v="6"/>
    <d v="2021-09-15T00:00:00"/>
    <s v="15.9.2021 zrušeno"/>
  </r>
  <r>
    <d v="2021-08-05T00:00:00"/>
    <s v="VZ-2021-000806"/>
    <x v="0"/>
    <s v="Ondráčková"/>
    <x v="323"/>
    <n v="2"/>
    <s v="Spotřební materiál pro genetiku II."/>
    <m/>
    <s v="33694000-1"/>
    <m/>
    <n v="848811"/>
    <x v="2"/>
    <d v="2021-08-24T00:00:00"/>
    <d v="2021-09-08T00:00:00"/>
    <m/>
    <s v="zrušeno - bez hodnotitelné nabídky"/>
    <m/>
    <m/>
    <m/>
    <m/>
    <m/>
    <m/>
    <m/>
    <m/>
    <x v="6"/>
    <d v="2021-10-05T00:00:00"/>
    <s v="5.10.2021 zrušeno"/>
  </r>
  <r>
    <d v="2021-08-05T00:00:00"/>
    <s v="VZ-2021-000806"/>
    <x v="0"/>
    <s v="Ondráčková"/>
    <x v="323"/>
    <n v="3"/>
    <s v="Spotřební materiál pro genetiku III."/>
    <m/>
    <s v="33694000-1"/>
    <m/>
    <n v="63800"/>
    <x v="2"/>
    <d v="2021-08-24T00:00:00"/>
    <d v="2021-09-08T00:00:00"/>
    <d v="2021-10-06T00:00:00"/>
    <s v="INTIMEX s.r.o."/>
    <m/>
    <n v="66800"/>
    <n v="80828"/>
    <m/>
    <m/>
    <m/>
    <d v="2021-10-06T00:00:00"/>
    <s v="SMLN-2021-617-000549"/>
    <x v="140"/>
    <d v="2021-11-01T00:00:00"/>
    <d v="2023-10-24T00:00:00"/>
  </r>
  <r>
    <d v="2021-08-05T00:00:00"/>
    <s v="VZ-2021-000806"/>
    <x v="0"/>
    <s v="Ondráčková"/>
    <x v="323"/>
    <n v="4"/>
    <s v="Spotřební materiál pro genetiku IV."/>
    <m/>
    <s v="33694000-1"/>
    <m/>
    <n v="22300"/>
    <x v="2"/>
    <d v="2021-08-24T00:00:00"/>
    <d v="2021-09-08T00:00:00"/>
    <m/>
    <s v="zrušeno - bez nabídky"/>
    <m/>
    <m/>
    <m/>
    <m/>
    <m/>
    <m/>
    <m/>
    <m/>
    <x v="6"/>
    <d v="2021-09-15T00:00:00"/>
    <s v="15.9.2021 zrušeno"/>
  </r>
  <r>
    <d v="2021-08-05T00:00:00"/>
    <s v="VZ-2021-000806"/>
    <x v="0"/>
    <s v="Ondráčková"/>
    <x v="323"/>
    <n v="5"/>
    <s v="Spotřební materiál pro genetiku V."/>
    <m/>
    <s v="33694000-1"/>
    <m/>
    <n v="58921"/>
    <x v="2"/>
    <d v="2021-08-24T00:00:00"/>
    <d v="2021-09-08T00:00:00"/>
    <m/>
    <s v="zrušeno - bez nabídky"/>
    <m/>
    <m/>
    <m/>
    <m/>
    <m/>
    <m/>
    <m/>
    <m/>
    <x v="6"/>
    <d v="2021-09-15T00:00:00"/>
    <s v="15.9.2021 zrušeno"/>
  </r>
  <r>
    <d v="2021-08-05T00:00:00"/>
    <s v="VZ-2021-000806"/>
    <x v="0"/>
    <s v="Ondráčková"/>
    <x v="323"/>
    <n v="6"/>
    <s v="Spotřební materiál pro genetiku VI."/>
    <m/>
    <s v="33694000-1"/>
    <m/>
    <n v="63800"/>
    <x v="2"/>
    <d v="2021-08-24T00:00:00"/>
    <d v="2021-09-08T00:00:00"/>
    <m/>
    <s v="zrušeno - bez nabídky"/>
    <m/>
    <m/>
    <m/>
    <m/>
    <m/>
    <m/>
    <m/>
    <m/>
    <x v="6"/>
    <d v="2021-09-15T00:00:00"/>
    <s v="15.9.2021 zrušeno"/>
  </r>
  <r>
    <d v="2021-08-05T00:00:00"/>
    <s v="VZ-2021-000806"/>
    <x v="0"/>
    <s v="Ondráčková"/>
    <x v="323"/>
    <n v="7"/>
    <s v="Spotřební materiál pro genetiku VII."/>
    <m/>
    <s v="33694000-1"/>
    <m/>
    <n v="36159"/>
    <x v="2"/>
    <d v="2021-08-24T00:00:00"/>
    <d v="2021-09-08T00:00:00"/>
    <d v="2021-10-06T00:00:00"/>
    <s v="Top-Bio, s.r.o."/>
    <m/>
    <n v="36160"/>
    <n v="43753"/>
    <m/>
    <m/>
    <m/>
    <d v="2021-10-06T00:00:00"/>
    <s v="SMLN-2021-617-000550"/>
    <x v="140"/>
    <d v="2021-11-01T00:00:00"/>
    <d v="2023-10-24T00:00:00"/>
  </r>
  <r>
    <d v="2021-08-05T00:00:00"/>
    <s v="VZ-2021-000807"/>
    <x v="0"/>
    <s v="Ondráčková"/>
    <x v="324"/>
    <n v="1"/>
    <s v="Spotřební materiál pro genetiku 1"/>
    <m/>
    <s v="33694000-1"/>
    <m/>
    <n v="780693"/>
    <x v="2"/>
    <d v="2021-09-02T00:00:00"/>
    <d v="2021-09-20T00:00:00"/>
    <m/>
    <m/>
    <s v="nová VZ-2021-001041"/>
    <m/>
    <m/>
    <m/>
    <m/>
    <m/>
    <m/>
    <m/>
    <x v="6"/>
    <d v="2021-10-04T00:00:00"/>
    <m/>
  </r>
  <r>
    <d v="2021-08-05T00:00:00"/>
    <s v="VZ-2021-000807"/>
    <x v="0"/>
    <s v="Ondráčková"/>
    <x v="324"/>
    <n v="2"/>
    <s v="Spotřební materiál pro genetiku 2"/>
    <m/>
    <s v="33694000-1"/>
    <m/>
    <n v="102837"/>
    <x v="2"/>
    <d v="2021-09-02T00:00:00"/>
    <d v="2021-09-20T00:00:00"/>
    <m/>
    <s v="zrušeno - bez hodnotítelné nabídky"/>
    <s v="nová VZ-2021-001041"/>
    <m/>
    <m/>
    <m/>
    <m/>
    <m/>
    <m/>
    <m/>
    <x v="6"/>
    <d v="2021-10-04T00:00:00"/>
    <m/>
  </r>
  <r>
    <d v="2021-08-05T00:00:00"/>
    <s v="VZ-2021-000807"/>
    <x v="0"/>
    <s v="Ondráčková"/>
    <x v="324"/>
    <n v="3"/>
    <s v="Spotřební materiál pro genetiku 3"/>
    <m/>
    <s v="33694000-1"/>
    <m/>
    <n v="52000"/>
    <x v="2"/>
    <d v="2021-09-02T00:00:00"/>
    <d v="2021-09-20T00:00:00"/>
    <m/>
    <s v="zrušeno - bez nabídky"/>
    <s v="nová VZ-2021-001041"/>
    <m/>
    <m/>
    <m/>
    <m/>
    <m/>
    <m/>
    <m/>
    <x v="6"/>
    <d v="2021-10-04T00:00:00"/>
    <s v="1.10.2021 zrušeno"/>
  </r>
  <r>
    <d v="2021-08-05T00:00:00"/>
    <s v="VZ-2021-000807"/>
    <x v="0"/>
    <s v="Ondráčková"/>
    <x v="324"/>
    <n v="4"/>
    <s v="Spotřební materiál pro genetiku 4"/>
    <m/>
    <s v="33694000-1"/>
    <m/>
    <n v="287058"/>
    <x v="2"/>
    <d v="2021-09-02T00:00:00"/>
    <d v="2021-09-20T00:00:00"/>
    <m/>
    <s v="zrušeno - bez hodnotítelné nabídky"/>
    <s v="nová VZ-2021-001041"/>
    <m/>
    <m/>
    <m/>
    <m/>
    <m/>
    <m/>
    <m/>
    <x v="6"/>
    <d v="2021-10-04T00:00:00"/>
    <m/>
  </r>
  <r>
    <d v="2021-08-05T00:00:00"/>
    <s v="VZ-2021-000807"/>
    <x v="0"/>
    <s v="Ondráčková"/>
    <x v="324"/>
    <n v="5"/>
    <s v="Spotřební materiál pro genetiku 5"/>
    <m/>
    <s v="33694000-1"/>
    <m/>
    <n v="393592"/>
    <x v="2"/>
    <d v="2021-09-02T00:00:00"/>
    <d v="2021-09-20T00:00:00"/>
    <m/>
    <s v="zrušeno - bez nabídky"/>
    <s v="nová VZ-2021-001041"/>
    <m/>
    <m/>
    <m/>
    <m/>
    <m/>
    <m/>
    <m/>
    <x v="6"/>
    <d v="2021-10-04T00:00:00"/>
    <s v="1.10.2021 zrušeno"/>
  </r>
  <r>
    <d v="2021-08-05T00:00:00"/>
    <s v="VZ-2021-000808"/>
    <x v="0"/>
    <s v="Ondráčková"/>
    <x v="325"/>
    <n v="1"/>
    <s v="Spotřební materiál pro molekulární biologii"/>
    <m/>
    <s v="33694000-1"/>
    <m/>
    <n v="547196"/>
    <x v="2"/>
    <d v="2021-08-24T00:00:00"/>
    <d v="2021-09-13T00:00:00"/>
    <m/>
    <s v="zrušeno - bez hodnotítelné nabídky"/>
    <m/>
    <m/>
    <m/>
    <m/>
    <m/>
    <m/>
    <m/>
    <m/>
    <x v="6"/>
    <d v="2021-09-27T00:00:00"/>
    <m/>
  </r>
  <r>
    <d v="2021-08-05T00:00:00"/>
    <s v="VZ-2021-000808"/>
    <x v="0"/>
    <s v="Ondráčková"/>
    <x v="325"/>
    <n v="2"/>
    <s v="Spotřební materiál pro průtokovou cytometrii"/>
    <m/>
    <s v="33694000-1"/>
    <m/>
    <n v="908400"/>
    <x v="2"/>
    <d v="2021-08-24T00:00:00"/>
    <d v="2021-09-13T00:00:00"/>
    <m/>
    <s v="zrušeno - úprava specifikace"/>
    <m/>
    <m/>
    <m/>
    <m/>
    <m/>
    <m/>
    <m/>
    <m/>
    <x v="6"/>
    <d v="2021-09-10T00:00:00"/>
    <m/>
  </r>
  <r>
    <d v="2021-08-05T00:00:00"/>
    <s v="VZ-2021-000808"/>
    <x v="0"/>
    <s v="Ondráčková"/>
    <x v="325"/>
    <n v="3"/>
    <s v="Spotřební materiál pro tkáňové kultury"/>
    <m/>
    <s v="33694000-1"/>
    <m/>
    <n v="476120"/>
    <x v="2"/>
    <d v="2021-08-24T00:00:00"/>
    <d v="2021-09-13T00:00:00"/>
    <d v="2021-09-30T00:00:00"/>
    <s v="Scintila, s.r.o."/>
    <m/>
    <n v="490760"/>
    <n v="593819.6"/>
    <m/>
    <m/>
    <m/>
    <d v="2021-09-30T00:00:00"/>
    <s v="SMLN-2021-617-000531"/>
    <x v="138"/>
    <d v="2021-10-19T00:00:00"/>
    <d v="2023-10-14T00:00:00"/>
  </r>
  <r>
    <d v="2021-08-05T00:00:00"/>
    <s v="VZ-2021-000808"/>
    <x v="0"/>
    <s v="Ondráčková"/>
    <x v="325"/>
    <n v="4"/>
    <s v="Spotřební materiál pro koagulaci"/>
    <m/>
    <s v="33694000-1"/>
    <m/>
    <n v="54000"/>
    <x v="2"/>
    <d v="2021-08-24T00:00:00"/>
    <d v="2021-09-13T00:00:00"/>
    <m/>
    <s v="zrušeno - bez nabídky"/>
    <m/>
    <m/>
    <m/>
    <m/>
    <m/>
    <m/>
    <m/>
    <m/>
    <x v="6"/>
    <d v="2021-09-27T00:00:00"/>
    <m/>
  </r>
  <r>
    <d v="2021-08-05T00:00:00"/>
    <s v="VZ-2021-000809"/>
    <x v="0"/>
    <s v="Ondráčková"/>
    <x v="326"/>
    <n v="1"/>
    <s v="Spotřební materiál pro koagulaci I."/>
    <m/>
    <s v="33694000-1"/>
    <m/>
    <n v="486884"/>
    <x v="1"/>
    <d v="2021-08-24T00:00:00"/>
    <d v="2021-09-24T00:00:00"/>
    <m/>
    <m/>
    <m/>
    <m/>
    <m/>
    <m/>
    <m/>
    <m/>
    <m/>
    <m/>
    <x v="6"/>
    <d v="2021-09-30T00:00:00"/>
    <s v="14.9.2021 zrušeno"/>
  </r>
  <r>
    <d v="2021-08-05T00:00:00"/>
    <s v="VZ-2021-000809"/>
    <x v="0"/>
    <s v="Ondráčková"/>
    <x v="326"/>
    <n v="2"/>
    <s v="Spotřební materiál pro koagulaci II."/>
    <m/>
    <s v="33694000-1"/>
    <m/>
    <n v="70812"/>
    <x v="1"/>
    <d v="2021-08-24T00:00:00"/>
    <d v="2021-09-24T00:00:00"/>
    <m/>
    <m/>
    <m/>
    <m/>
    <m/>
    <m/>
    <m/>
    <m/>
    <m/>
    <m/>
    <x v="6"/>
    <d v="2021-09-30T00:00:00"/>
    <s v="14.9.2021 zrušeno"/>
  </r>
  <r>
    <d v="2021-08-05T00:00:00"/>
    <s v="VZ-2021-000810"/>
    <x v="0"/>
    <s v="Ondráčková"/>
    <x v="327"/>
    <n v="1"/>
    <s v="Spotřební materiál pro ARRAY"/>
    <m/>
    <s v="33694000-1"/>
    <m/>
    <n v="355660"/>
    <x v="1"/>
    <d v="2021-09-13T00:00:00"/>
    <d v="2021-09-30T00:00:00"/>
    <d v="2021-11-09T00:00:00"/>
    <s v="Explorea s.r.o."/>
    <m/>
    <n v="495760"/>
    <n v="599869.6"/>
    <m/>
    <m/>
    <m/>
    <d v="2021-11-09T00:00:00"/>
    <s v="SMLN-2021-617-000638"/>
    <x v="149"/>
    <d v="2021-12-16T00:00:00"/>
    <d v="2023-12-05T00:00:00"/>
  </r>
  <r>
    <d v="2021-08-05T00:00:00"/>
    <s v="VZ-2021-000810"/>
    <x v="0"/>
    <s v="Ondráčková"/>
    <x v="327"/>
    <n v="2"/>
    <s v="Spotřební materiál pro koagulaci 1."/>
    <m/>
    <s v="33694000-1"/>
    <m/>
    <n v="1149222"/>
    <x v="1"/>
    <d v="2021-09-13T00:00:00"/>
    <d v="2021-09-30T00:00:00"/>
    <d v="2021-11-09T00:00:00"/>
    <s v="ROCHE s.r.o."/>
    <m/>
    <n v="1113229.6000000001"/>
    <n v="1347007.82"/>
    <m/>
    <m/>
    <m/>
    <d v="2021-11-09T00:00:00"/>
    <s v="SMLN-2021-617-000640"/>
    <x v="150"/>
    <d v="2021-12-16T00:00:00"/>
    <d v="2023-12-13T00:00:00"/>
  </r>
  <r>
    <d v="2021-08-05T00:00:00"/>
    <s v="VZ-2021-000810"/>
    <x v="0"/>
    <s v="Ondráčková"/>
    <x v="327"/>
    <n v="3"/>
    <s v="Spotřební materiál pro koagulaci 2."/>
    <m/>
    <s v="33694000-1"/>
    <m/>
    <n v="571720"/>
    <x v="1"/>
    <d v="2021-09-13T00:00:00"/>
    <d v="2021-09-30T00:00:00"/>
    <m/>
    <s v="zrušeno - bez nabídky"/>
    <m/>
    <m/>
    <m/>
    <m/>
    <m/>
    <m/>
    <m/>
    <m/>
    <x v="6"/>
    <d v="2021-12-01T00:00:00"/>
    <s v="5.11.2021 zrušeno"/>
  </r>
  <r>
    <d v="2021-08-12T00:00:00"/>
    <s v="VZ-2021-000811"/>
    <x v="0"/>
    <s v="Ondráčková"/>
    <x v="328"/>
    <n v="1"/>
    <s v="RIOCIGVÁT"/>
    <m/>
    <s v="33622200-8"/>
    <m/>
    <n v="5035780"/>
    <x v="0"/>
    <d v="2021-08-18T00:00:00"/>
    <d v="2021-09-21T00:00:00"/>
    <d v="2021-09-30T00:00:00"/>
    <s v="ViaPharma s.r.o."/>
    <m/>
    <n v="4980016.08"/>
    <n v="5478017.6900000004"/>
    <m/>
    <m/>
    <m/>
    <d v="2021-09-30T00:00:00"/>
    <s v="SMLN-2021-617-000527"/>
    <x v="145"/>
    <d v="2021-11-02T00:00:00"/>
    <d v="2024-10-31T00:00:00"/>
  </r>
  <r>
    <d v="2021-08-12T00:00:00"/>
    <s v="VZ-2021-000812"/>
    <x v="0"/>
    <s v="Ondráčková"/>
    <x v="329"/>
    <n v="1"/>
    <s v="POLATUZUMAB VEDOTIN"/>
    <m/>
    <s v="33652000-5"/>
    <m/>
    <n v="43696800"/>
    <x v="0"/>
    <d v="2021-08-23T00:00:00"/>
    <d v="2021-09-27T00:00:00"/>
    <d v="2021-10-26T00:00:00"/>
    <s v="ROCHE s.r.o."/>
    <m/>
    <n v="31579560"/>
    <n v="34737516"/>
    <m/>
    <m/>
    <m/>
    <d v="2021-10-26T00:00:00"/>
    <s v="SMLN-2021-617-000591"/>
    <x v="116"/>
    <d v="2021-12-16T00:00:00"/>
    <d v="2024-11-29T00:00:00"/>
  </r>
  <r>
    <d v="2021-08-12T00:00:00"/>
    <s v="VZ-2021-000812"/>
    <x v="0"/>
    <s v="Ondráčková"/>
    <x v="329"/>
    <n v="2"/>
    <s v="KYSELINA AMINOLEVULOVÁ"/>
    <m/>
    <s v="33652000-5"/>
    <m/>
    <n v="3195881"/>
    <x v="0"/>
    <d v="2021-08-23T00:00:00"/>
    <d v="2021-09-27T00:00:00"/>
    <d v="2021-10-26T00:00:00"/>
    <s v="PHOENIX lék.velkoobchod, s.r.o."/>
    <m/>
    <n v="3152587.2"/>
    <n v="3457845.92"/>
    <m/>
    <m/>
    <m/>
    <d v="2021-10-26T00:00:00"/>
    <s v="SMLN-2021-617-000592"/>
    <x v="150"/>
    <d v="2021-12-16T00:00:00"/>
    <d v="2024-12-13T00:00:00"/>
  </r>
  <r>
    <d v="2021-08-12T00:00:00"/>
    <s v="VZ-2021-000813"/>
    <x v="0"/>
    <s v="Ondráčková"/>
    <x v="330"/>
    <n v="1"/>
    <s v="DIFLUCAN"/>
    <m/>
    <s v="33651200-0"/>
    <m/>
    <n v="4482965"/>
    <x v="0"/>
    <d v="2021-08-18T00:00:00"/>
    <d v="2021-09-22T00:00:00"/>
    <d v="2021-10-13T00:00:00"/>
    <s v="PHOENIX lék.velkoobchod, s.r.o."/>
    <m/>
    <n v="4422273.75"/>
    <n v="4864501.13"/>
    <m/>
    <m/>
    <m/>
    <d v="2021-10-13T00:00:00"/>
    <s v="SMLN-2021-617-000555"/>
    <x v="132"/>
    <d v="2021-11-26T00:00:00"/>
    <d v="2021-11-09T00:00:00"/>
  </r>
  <r>
    <d v="2021-08-12T00:00:00"/>
    <s v="VZ-2021-000813"/>
    <x v="0"/>
    <s v="Ondráčková"/>
    <x v="330"/>
    <n v="2"/>
    <s v="FLUCONAZOL"/>
    <m/>
    <s v="33651200-0"/>
    <m/>
    <n v="100263"/>
    <x v="0"/>
    <d v="2021-08-18T00:00:00"/>
    <d v="2021-09-22T00:00:00"/>
    <d v="2021-10-13T00:00:00"/>
    <s v="PHOENIX lék.velkoobchod, s.r.o."/>
    <m/>
    <n v="14849.52"/>
    <n v="16334.47"/>
    <m/>
    <m/>
    <m/>
    <d v="2021-10-13T00:00:00"/>
    <s v="SMLN-2021-617-000556"/>
    <x v="132"/>
    <d v="2021-11-26T00:00:00"/>
    <d v="2021-11-09T00:00:00"/>
  </r>
  <r>
    <d v="2021-08-12T00:00:00"/>
    <s v="VZ-2021-000813"/>
    <x v="0"/>
    <s v="Ondráčková"/>
    <x v="330"/>
    <n v="3"/>
    <s v="FLUCONAZOL I.V."/>
    <m/>
    <s v="33651200-0"/>
    <m/>
    <n v="1437240"/>
    <x v="0"/>
    <d v="2021-08-18T00:00:00"/>
    <d v="2021-09-22T00:00:00"/>
    <m/>
    <s v="zrušeno - bez nabídky"/>
    <m/>
    <m/>
    <m/>
    <m/>
    <m/>
    <m/>
    <m/>
    <m/>
    <x v="6"/>
    <d v="2021-10-05T00:00:00"/>
    <s v="5.10.2021 zrušeno"/>
  </r>
  <r>
    <d v="2021-08-12T00:00:00"/>
    <s v="VZ-2021-000813"/>
    <x v="0"/>
    <s v="Ondráčková"/>
    <x v="330"/>
    <n v="4"/>
    <s v="VORIKONAZOL SANDOZ"/>
    <m/>
    <s v="33651200-0"/>
    <m/>
    <n v="12470963"/>
    <x v="0"/>
    <d v="2021-08-18T00:00:00"/>
    <d v="2021-09-22T00:00:00"/>
    <m/>
    <s v="zrušeno - nová VZ"/>
    <s v="nová VZ-2021-001010"/>
    <m/>
    <m/>
    <m/>
    <m/>
    <m/>
    <m/>
    <m/>
    <x v="6"/>
    <d v="2021-10-05T00:00:00"/>
    <s v="13.9.2021 zrušeno"/>
  </r>
  <r>
    <d v="2021-08-12T00:00:00"/>
    <s v="VZ-2021-000813"/>
    <x v="0"/>
    <s v="Ondráčková"/>
    <x v="330"/>
    <n v="5"/>
    <s v="VORIKONAZOL "/>
    <m/>
    <s v="33651200-0"/>
    <m/>
    <n v="368784"/>
    <x v="0"/>
    <d v="2021-08-18T00:00:00"/>
    <d v="2021-09-22T00:00:00"/>
    <m/>
    <s v="zrušeno - nová VZ"/>
    <s v="nová VZ-2021-001010"/>
    <m/>
    <m/>
    <m/>
    <m/>
    <m/>
    <m/>
    <m/>
    <x v="6"/>
    <d v="2021-10-05T00:00:00"/>
    <s v="13.9.2021 zrušeno"/>
  </r>
  <r>
    <d v="2021-08-12T00:00:00"/>
    <s v="VZ-2021-000813"/>
    <x v="0"/>
    <s v="Ondráčková"/>
    <x v="330"/>
    <n v="6"/>
    <s v="VORIKONAZOL I.V."/>
    <m/>
    <s v="33651200-0"/>
    <m/>
    <n v="3451390"/>
    <x v="0"/>
    <d v="2021-08-18T00:00:00"/>
    <d v="2021-09-22T00:00:00"/>
    <d v="2021-10-13T00:00:00"/>
    <s v="ViaPharma s.r.o."/>
    <m/>
    <n v="2934597.9"/>
    <n v="3228057.69"/>
    <m/>
    <m/>
    <m/>
    <d v="2021-10-13T00:00:00"/>
    <s v="SMLN-2021-617-000557"/>
    <x v="151"/>
    <d v="2021-11-26T00:00:00"/>
    <d v="2024-11-03T00:00:00"/>
  </r>
  <r>
    <d v="2021-08-12T00:00:00"/>
    <s v="VZ-2021-000813"/>
    <x v="0"/>
    <s v="Ondráčková"/>
    <x v="330"/>
    <n v="7"/>
    <s v="POSAKONAZOL I."/>
    <m/>
    <s v="33651200-0"/>
    <m/>
    <n v="8302868"/>
    <x v="0"/>
    <d v="2021-08-18T00:00:00"/>
    <d v="2021-09-22T00:00:00"/>
    <d v="2021-10-13T00:00:00"/>
    <s v="Alliance Healthcare s.r.o."/>
    <m/>
    <n v="3370965.12"/>
    <n v="3708061.63"/>
    <m/>
    <m/>
    <m/>
    <d v="2021-10-13T00:00:00"/>
    <s v="SMLN-2021-617-000558"/>
    <x v="126"/>
    <d v="2021-11-26T00:00:00"/>
    <d v="2024-11-07T00:00:00"/>
  </r>
  <r>
    <d v="2021-08-12T00:00:00"/>
    <s v="VZ-2021-000813"/>
    <x v="0"/>
    <s v="Ondráčková"/>
    <x v="330"/>
    <n v="8"/>
    <s v="POSAKONAZOL II."/>
    <m/>
    <s v="33651200-0"/>
    <m/>
    <n v="365338"/>
    <x v="0"/>
    <d v="2021-08-18T00:00:00"/>
    <d v="2021-09-22T00:00:00"/>
    <d v="2021-10-13T00:00:00"/>
    <s v="ViaPharma s.r.o."/>
    <m/>
    <n v="365040"/>
    <n v="401544"/>
    <m/>
    <m/>
    <m/>
    <d v="2021-10-13T00:00:00"/>
    <s v="SMLN-2021-617-000559"/>
    <x v="151"/>
    <d v="2021-11-26T00:00:00"/>
    <d v="2024-11-03T00:00:00"/>
  </r>
  <r>
    <d v="2021-08-12T00:00:00"/>
    <s v="VZ-2021-000814"/>
    <x v="0"/>
    <s v="Ondráčková"/>
    <x v="331"/>
    <n v="1"/>
    <s v="ALEKTINIB"/>
    <m/>
    <s v="33652000-5"/>
    <m/>
    <n v="31368194"/>
    <x v="0"/>
    <d v="2021-08-17T00:00:00"/>
    <d v="2021-09-24T00:00:00"/>
    <d v="2021-10-14T00:00:00"/>
    <s v="ROCHE s.r.o."/>
    <m/>
    <n v="18147276"/>
    <n v="19962003.600000001"/>
    <m/>
    <m/>
    <m/>
    <d v="2021-10-14T00:00:00"/>
    <s v="SMLN-2021-617-000565"/>
    <x v="152"/>
    <d v="2021-11-30T00:00:00"/>
    <d v="2024-11-24T00:00:00"/>
  </r>
  <r>
    <d v="2021-08-12T00:00:00"/>
    <s v="VZ-2021-000814"/>
    <x v="0"/>
    <s v="Ondráčková"/>
    <x v="331"/>
    <n v="2"/>
    <s v="PALBOCIKLIB"/>
    <m/>
    <s v="33652000-5"/>
    <m/>
    <n v="8730573"/>
    <x v="0"/>
    <d v="2021-08-17T00:00:00"/>
    <d v="2021-09-24T00:00:00"/>
    <d v="2021-10-14T00:00:00"/>
    <s v="PHOENIX lék.velkoobchod, s.r.o."/>
    <m/>
    <n v="8730550.1099999994"/>
    <n v="9603605.1199999992"/>
    <m/>
    <m/>
    <m/>
    <d v="2021-10-14T00:00:00"/>
    <s v="SMLN-2021-617-000566"/>
    <x v="143"/>
    <d v="2021-11-30T00:00:00"/>
    <d v="2024-11-28T00:00:00"/>
  </r>
  <r>
    <d v="2021-08-12T00:00:00"/>
    <s v="VZ-2021-000814"/>
    <x v="0"/>
    <s v="Ondráčková"/>
    <x v="331"/>
    <n v="3"/>
    <s v="KABOZANTINIB I."/>
    <m/>
    <s v="33652000-5"/>
    <m/>
    <n v="43022990"/>
    <x v="0"/>
    <d v="2021-08-17T00:00:00"/>
    <d v="2021-09-24T00:00:00"/>
    <d v="2021-10-14T00:00:00"/>
    <s v="PHOENIX lék.velkoobchod, s.r.o."/>
    <m/>
    <n v="42669432.899999999"/>
    <n v="46936376.189999998"/>
    <m/>
    <m/>
    <m/>
    <d v="2021-10-14T00:00:00"/>
    <s v="SMLN-2021-617-000567"/>
    <x v="143"/>
    <d v="2021-11-30T00:00:00"/>
    <d v="2024-11-28T00:00:00"/>
  </r>
  <r>
    <d v="2021-08-12T00:00:00"/>
    <s v="VZ-2021-000814"/>
    <x v="0"/>
    <s v="Ondráčková"/>
    <x v="331"/>
    <n v="4"/>
    <s v="KABOZANTINIB II."/>
    <m/>
    <s v="33652000-5"/>
    <m/>
    <n v="5171688"/>
    <x v="0"/>
    <d v="2021-08-17T00:00:00"/>
    <d v="2021-09-24T00:00:00"/>
    <m/>
    <s v="zrušeno - bez nabídky"/>
    <m/>
    <m/>
    <m/>
    <m/>
    <m/>
    <m/>
    <m/>
    <m/>
    <x v="6"/>
    <d v="2021-11-12T00:00:00"/>
    <s v="14.10.2021 zrušeno"/>
  </r>
  <r>
    <d v="2021-08-04T00:00:00"/>
    <s v="VZ-2021-000817"/>
    <x v="1"/>
    <s v="Valtová"/>
    <x v="332"/>
    <m/>
    <m/>
    <m/>
    <s v="33140000-3"/>
    <m/>
    <n v="700000"/>
    <x v="2"/>
    <d v="2021-08-18T00:00:00"/>
    <d v="2021-09-03T00:00:00"/>
    <m/>
    <s v="zrušeno - bez hodnotitelné nabídky"/>
    <s v="nová VZ-2021-001128"/>
    <m/>
    <m/>
    <m/>
    <m/>
    <m/>
    <m/>
    <m/>
    <x v="6"/>
    <d v="2021-10-13T00:00:00"/>
    <m/>
  </r>
  <r>
    <d v="2021-08-12T00:00:00"/>
    <s v="VZ-2021-000822"/>
    <x v="5"/>
    <s v="Oravec"/>
    <x v="333"/>
    <m/>
    <m/>
    <m/>
    <s v="30232110-8"/>
    <m/>
    <n v="843000"/>
    <x v="2"/>
    <d v="2021-08-18T00:00:00"/>
    <d v="2021-08-31T00:00:00"/>
    <d v="2021-10-27T00:00:00"/>
    <s v="BRYVECASTA, s.r.o."/>
    <m/>
    <n v="453900"/>
    <n v="549219"/>
    <m/>
    <m/>
    <m/>
    <d v="2021-10-27T00:00:00"/>
    <s v="SMLN-2021-617-000597"/>
    <x v="153"/>
    <d v="2021-11-25T00:00:00"/>
    <d v="2023-05-21T00:00:00"/>
  </r>
  <r>
    <d v="2021-08-12T00:00:00"/>
    <s v="VZ-2021-000823"/>
    <x v="2"/>
    <s v="Novák"/>
    <x v="334"/>
    <m/>
    <m/>
    <m/>
    <s v="33196000-0"/>
    <m/>
    <n v="939600"/>
    <x v="2"/>
    <d v="2021-08-20T00:00:00"/>
    <d v="2021-09-06T00:00:00"/>
    <d v="2021-10-11T00:00:00"/>
    <s v="Stamed s.r.o."/>
    <m/>
    <n v="1236330"/>
    <n v="1429881.3"/>
    <m/>
    <m/>
    <m/>
    <d v="2021-10-11T00:00:00"/>
    <s v="SMLN-2021-617-000552_x000a_SMLN-2021-612-000114"/>
    <x v="140"/>
    <d v="2021-10-27T00:00:00"/>
    <d v="2021-12-06T00:00:00"/>
  </r>
  <r>
    <d v="2021-08-16T00:00:00"/>
    <s v="VZ-2021-000825"/>
    <x v="3"/>
    <s v="Spáčil"/>
    <x v="335"/>
    <m/>
    <m/>
    <m/>
    <s v="45223500-1"/>
    <s v="1.2.75."/>
    <n v="137766923.69999999"/>
    <x v="0"/>
    <d v="2021-09-21T00:00:00"/>
    <d v="2021-10-27T00:00:00"/>
    <d v="2021-11-09T00:00:00"/>
    <s v="OHLA ŹS a.s."/>
    <m/>
    <n v="132485529.13"/>
    <n v="160307490.25"/>
    <m/>
    <m/>
    <m/>
    <d v="2021-11-09T00:00:00"/>
    <s v="SMLN-2021-618-000078"/>
    <x v="6"/>
    <m/>
    <m/>
  </r>
  <r>
    <s v="opakovaná VZ"/>
    <s v="VZ-2021-000828"/>
    <x v="2"/>
    <s v="Olejníček"/>
    <x v="336"/>
    <m/>
    <m/>
    <m/>
    <s v="38000000-5"/>
    <s v="2.2.372."/>
    <n v="255800"/>
    <x v="2"/>
    <d v="2021-08-19T00:00:00"/>
    <d v="2021-08-31T00:00:00"/>
    <d v="2021-09-10T00:00:00"/>
    <s v="BioTech a.s."/>
    <m/>
    <n v="255800"/>
    <n v="309518"/>
    <m/>
    <m/>
    <m/>
    <d v="2021-09-10T00:00:00"/>
    <s v="SMLN-2021-617-000491_x000a_SMLN-2021-617-000492"/>
    <x v="154"/>
    <d v="2021-10-08T00:00:00"/>
    <d v="2021-11-26T00:00:00"/>
  </r>
  <r>
    <d v="2021-08-17T00:00:00"/>
    <s v="VZ-2021-000829"/>
    <x v="1"/>
    <s v="Dočkalová"/>
    <x v="337"/>
    <m/>
    <m/>
    <m/>
    <s v="33141123-8"/>
    <m/>
    <n v="2653260"/>
    <x v="1"/>
    <d v="2021-08-25T00:00:00"/>
    <d v="2021-09-13T00:00:00"/>
    <d v="2021-10-05T00:00:00"/>
    <s v="INTERGOS-CZ, s.r.o."/>
    <m/>
    <n v="2492808.5"/>
    <n v="3016298.29"/>
    <m/>
    <m/>
    <m/>
    <d v="2021-10-05T00:00:00"/>
    <s v="SMLN-2021-617-000547"/>
    <x v="145"/>
    <d v="2021-11-10T00:00:00"/>
    <d v="2025-10-31T00:00:00"/>
  </r>
  <r>
    <d v="2021-08-17T00:00:00"/>
    <s v="VZ-2021-000840"/>
    <x v="1"/>
    <s v="Dočkalová"/>
    <x v="338"/>
    <m/>
    <m/>
    <m/>
    <s v="33141000-0_x000a_33181100-3"/>
    <m/>
    <n v="55920000"/>
    <x v="0"/>
    <d v="2021-08-23T00:00:00"/>
    <d v="2021-10-20T00:00:00"/>
    <m/>
    <s v="Fresenisu Medical Care - ČR, s.r.o."/>
    <m/>
    <n v="41146779"/>
    <n v="49363486.590000004"/>
    <m/>
    <m/>
    <m/>
    <m/>
    <m/>
    <x v="6"/>
    <m/>
    <s v="3.12.2021 vyloučení BAXTER"/>
  </r>
  <r>
    <d v="2021-09-03T00:00:00"/>
    <s v="VZ-2021-000842"/>
    <x v="14"/>
    <s v="Jeřábková"/>
    <x v="339"/>
    <m/>
    <m/>
    <m/>
    <s v="55120000-7"/>
    <m/>
    <n v="750000"/>
    <x v="2"/>
    <d v="2021-09-06T00:00:00"/>
    <d v="2021-09-10T00:00:00"/>
    <m/>
    <s v="zrušeno - upravit zadávací podmínky"/>
    <s v="nová VZ-2021-000954"/>
    <m/>
    <m/>
    <m/>
    <m/>
    <m/>
    <m/>
    <m/>
    <x v="6"/>
    <d v="2021-09-15T00:00:00"/>
    <m/>
  </r>
  <r>
    <d v="2021-08-19T00:00:00"/>
    <s v="VZ-2021-000848"/>
    <x v="2"/>
    <s v="Olejníček"/>
    <x v="123"/>
    <n v="1"/>
    <s v="Mobilní ultrazvukový přístroj pro Urologickou kliniku "/>
    <m/>
    <s v="33124120-2"/>
    <s v="2.3.506."/>
    <n v="1651500"/>
    <x v="0"/>
    <d v="2021-10-06T00:00:00"/>
    <d v="2021-11-09T00:00:00"/>
    <d v="2021-12-16T00:00:00"/>
    <s v="MEDKONSULT, s.r.o."/>
    <m/>
    <n v="1650700"/>
    <n v="1997347"/>
    <m/>
    <m/>
    <m/>
    <d v="2021-12-16T00:00:00"/>
    <s v="SMLN-2021-617-000727_x000a_SMLN-2021-612-000150"/>
    <x v="6"/>
    <m/>
    <m/>
  </r>
  <r>
    <d v="2021-08-19T00:00:00"/>
    <s v="VZ-2021-000848"/>
    <x v="11"/>
    <s v="Olejníček"/>
    <x v="123"/>
    <n v="2"/>
    <s v="Transportabilní echokardiografický přístroj pro Kardiochirurgickou kliniku"/>
    <m/>
    <s v="33124120-2"/>
    <s v="2.2.306."/>
    <n v="2035000"/>
    <x v="0"/>
    <d v="2021-10-06T00:00:00"/>
    <d v="2021-11-09T00:00:00"/>
    <d v="2021-12-16T00:00:00"/>
    <s v="S+T Plus s.r.o."/>
    <m/>
    <n v="1995260"/>
    <n v="2414264.6"/>
    <m/>
    <m/>
    <m/>
    <d v="2021-12-16T00:00:00"/>
    <s v="SMLN-2021-617-000728_x000a_SMLN-2021-612-000151"/>
    <x v="6"/>
    <m/>
    <m/>
  </r>
  <r>
    <d v="2021-08-19T00:00:00"/>
    <s v="VZ-2021-000848"/>
    <x v="11"/>
    <s v="Olejníček"/>
    <x v="123"/>
    <n v="3"/>
    <s v="Echokardiografický přístroj pro Kardiochirurgickou kliniku"/>
    <m/>
    <s v="33124120-2"/>
    <s v="2.3.457."/>
    <n v="4194500"/>
    <x v="0"/>
    <d v="2021-10-06T00:00:00"/>
    <d v="2021-11-09T00:00:00"/>
    <d v="2021-12-16T00:00:00"/>
    <s v="S+T Plus s.r.o."/>
    <m/>
    <n v="4180160"/>
    <n v="5057993.5999999996"/>
    <m/>
    <m/>
    <m/>
    <d v="2021-12-16T00:00:00"/>
    <s v="SMLN-2021-617-000729_x000a_SMLN-2021-612-000152"/>
    <x v="6"/>
    <m/>
    <m/>
  </r>
  <r>
    <d v="2021-08-19T00:00:00"/>
    <s v="VZ-2021-000848"/>
    <x v="2"/>
    <s v="Olejníček"/>
    <x v="123"/>
    <n v="4"/>
    <s v="Lineární sonda pro Porodnicko-gynekologickou kliniku"/>
    <m/>
    <s v="33124120-2"/>
    <s v="2.2.349."/>
    <n v="125000"/>
    <x v="0"/>
    <d v="2021-10-06T00:00:00"/>
    <d v="2021-11-09T00:00:00"/>
    <d v="2021-12-16T00:00:00"/>
    <s v="Electric Medical Service s.r.o."/>
    <m/>
    <n v="108000"/>
    <n v="130680"/>
    <m/>
    <m/>
    <m/>
    <d v="2021-12-16T00:00:00"/>
    <s v="SMLN-2021-617-000730_x000a_SMLN-2021-612-000153"/>
    <x v="6"/>
    <m/>
    <m/>
  </r>
  <r>
    <d v="2021-08-19T00:00:00"/>
    <s v="VZ-2021-000848"/>
    <x v="2"/>
    <s v="Olejníček"/>
    <x v="123"/>
    <n v="5"/>
    <s v="Echokardiografický přístroj střední třídy pro KTVS"/>
    <m/>
    <s v="33124120-2"/>
    <s v="2.3.523."/>
    <n v="1770000"/>
    <x v="0"/>
    <d v="2021-10-06T00:00:00"/>
    <d v="2021-11-09T00:00:00"/>
    <d v="2021-12-16T00:00:00"/>
    <s v="NIMOTECH, s.r.o."/>
    <m/>
    <n v="1136163.99"/>
    <n v="1374758.43"/>
    <m/>
    <m/>
    <m/>
    <d v="2021-12-16T00:00:00"/>
    <s v="SMLN-2021-617-000731_x000a_SMLN-2021-612-000154"/>
    <x v="6"/>
    <m/>
    <m/>
  </r>
  <r>
    <d v="2021-08-19T00:00:00"/>
    <s v="VZ-2021-000849"/>
    <x v="11"/>
    <s v="Olejníček"/>
    <x v="340"/>
    <n v="1"/>
    <s v="14 ks systémů ohřevu pacienta vč. příslušenství pro COS"/>
    <m/>
    <s v="33162100-4"/>
    <s v="2.3.564."/>
    <n v="2585185"/>
    <x v="0"/>
    <d v="2021-09-24T00:00:00"/>
    <d v="2021-10-27T00:00:00"/>
    <d v="2021-11-25T00:00:00"/>
    <s v="PROMEDICA PRAHA GROUP, a.s."/>
    <m/>
    <n v="1325695"/>
    <n v="1604090.75"/>
    <m/>
    <m/>
    <m/>
    <d v="2021-11-25T00:00:00"/>
    <s v="SMLN-2021-617-000684_x000a_SMLN-2021-612-000140"/>
    <x v="155"/>
    <d v="2022-01-07T00:00:00"/>
    <d v="2022-03-07T00:00:00"/>
  </r>
  <r>
    <d v="2021-08-19T00:00:00"/>
    <s v="VZ-2021-000849"/>
    <x v="2"/>
    <s v="Olejníček"/>
    <x v="340"/>
    <n v="2"/>
    <s v="2 ks systémů ohřevu pacienta vč. příslušenství pro NCHIR"/>
    <m/>
    <s v="33162100-4"/>
    <s v="2.2.337."/>
    <n v="255000"/>
    <x v="0"/>
    <d v="2021-09-24T00:00:00"/>
    <d v="2021-10-27T00:00:00"/>
    <d v="2021-11-25T00:00:00"/>
    <s v="PROMEDICA PRAHA GROUP, a.s."/>
    <m/>
    <n v="181956"/>
    <n v="220166.8"/>
    <m/>
    <m/>
    <m/>
    <d v="2021-11-25T00:00:00"/>
    <s v="SMLN-2021-617-000685_x000a_SMLN-2021-612-000141"/>
    <x v="155"/>
    <d v="2022-01-07T00:00:00"/>
    <d v="2022-03-07T00:00:00"/>
  </r>
  <r>
    <d v="2021-08-17T00:00:00"/>
    <s v="VZ-2021-000872"/>
    <x v="4"/>
    <s v="Srovnal"/>
    <x v="341"/>
    <n v="1"/>
    <s v="Chlazení budovy D1, 1.NP - 3.NP"/>
    <m/>
    <s v="42513290-4"/>
    <s v="4.2.154"/>
    <n v="4600000"/>
    <x v="0"/>
    <d v="2021-09-06T00:00:00"/>
    <d v="2021-10-11T00:00:00"/>
    <d v="2021-11-24T00:00:00"/>
    <s v="AB Clima s.r.o."/>
    <m/>
    <n v="3089025"/>
    <n v="3737720.25"/>
    <m/>
    <m/>
    <m/>
    <d v="2021-11-24T00:00:00"/>
    <s v="SMLN-2021-618-000083"/>
    <x v="6"/>
    <m/>
    <m/>
  </r>
  <r>
    <d v="2021-08-17T00:00:00"/>
    <s v="VZ-2021-000872"/>
    <x v="4"/>
    <s v="Srovnal"/>
    <x v="341"/>
    <n v="2"/>
    <s v="Dochlazování místností v budovách M1 a M2"/>
    <m/>
    <s v="42513290-4"/>
    <m/>
    <n v="1600000"/>
    <x v="0"/>
    <d v="2021-09-06T00:00:00"/>
    <d v="2021-10-11T00:00:00"/>
    <d v="2021-11-24T00:00:00"/>
    <s v="MK POWER s.r.o."/>
    <m/>
    <n v="1127500"/>
    <n v="1364275"/>
    <m/>
    <m/>
    <m/>
    <d v="2021-11-24T00:00:00"/>
    <s v="SMLN-2021-618-000082"/>
    <x v="6"/>
    <m/>
    <m/>
  </r>
  <r>
    <d v="2021-08-17T00:00:00"/>
    <s v="VZ-2021-000874"/>
    <x v="1"/>
    <s v="Zemánek"/>
    <x v="342"/>
    <m/>
    <m/>
    <m/>
    <s v="33140000-3"/>
    <m/>
    <n v="8723460"/>
    <x v="0"/>
    <d v="2021-09-23T00:00:00"/>
    <d v="2021-10-26T00:00:00"/>
    <d v="2021-12-09T00:00:00"/>
    <s v="Edwards Lifesciences Czech Republic s.r.o."/>
    <m/>
    <n v="8919795"/>
    <n v="10792951.949999999"/>
    <m/>
    <m/>
    <m/>
    <d v="2021-12-09T00:00:00"/>
    <s v="SMLN-2021-617-000716"/>
    <x v="6"/>
    <m/>
    <s v="19.11.2021 vyloučení ALINEX"/>
  </r>
  <r>
    <d v="2021-08-31T00:00:00"/>
    <s v="VZ-2021-000881"/>
    <x v="0"/>
    <s v="Ondráčková"/>
    <x v="343"/>
    <m/>
    <m/>
    <m/>
    <s v="33694000-1"/>
    <m/>
    <n v="1888200"/>
    <x v="2"/>
    <d v="2021-09-01T00:00:00"/>
    <d v="2021-09-07T00:00:00"/>
    <m/>
    <s v="zrušeno - úprava specifikace"/>
    <s v="nová VZ-2021-000969"/>
    <m/>
    <m/>
    <m/>
    <m/>
    <m/>
    <m/>
    <m/>
    <x v="6"/>
    <d v="2021-09-21T00:00:00"/>
    <m/>
  </r>
  <r>
    <d v="2021-08-17T00:00:00"/>
    <s v="VZ-2021-000884"/>
    <x v="8"/>
    <s v="Kadlec"/>
    <x v="344"/>
    <m/>
    <m/>
    <m/>
    <s v="45421100-5"/>
    <m/>
    <n v="3000000"/>
    <x v="2"/>
    <m/>
    <m/>
    <m/>
    <s v="nerealizováno "/>
    <s v="nová VZ-2021-000980"/>
    <m/>
    <m/>
    <m/>
    <m/>
    <m/>
    <m/>
    <m/>
    <x v="6"/>
    <m/>
    <m/>
  </r>
  <r>
    <s v="opakovaná VZ"/>
    <s v="VZ-2021-000885"/>
    <x v="10"/>
    <s v="Zdráhalová"/>
    <x v="345"/>
    <m/>
    <m/>
    <m/>
    <s v="33772000-2"/>
    <m/>
    <n v="1998000"/>
    <x v="2"/>
    <d v="2021-09-03T00:00:00"/>
    <d v="2021-09-13T00:00:00"/>
    <d v="2021-09-23T00:00:00"/>
    <s v="FRANKOSPOL OFFICE s.r.o."/>
    <m/>
    <n v="1990701"/>
    <n v="2408748.21"/>
    <m/>
    <m/>
    <m/>
    <d v="2021-09-23T00:00:00"/>
    <s v="SMLN-2021-617-000522"/>
    <x v="84"/>
    <d v="2021-10-11T00:00:00"/>
    <d v="2022-10-05T00:00:00"/>
  </r>
  <r>
    <s v="opakovaná VZ"/>
    <s v="VZ-2021-000886"/>
    <x v="8"/>
    <s v="Kadlec"/>
    <x v="346"/>
    <m/>
    <m/>
    <m/>
    <s v="45421100-5"/>
    <m/>
    <n v="2200000"/>
    <x v="2"/>
    <d v="2021-09-07T00:00:00"/>
    <d v="2021-09-16T00:00:00"/>
    <m/>
    <s v="zrušeno - bez nabídky"/>
    <s v="nová VZ-2021-001110"/>
    <m/>
    <m/>
    <m/>
    <m/>
    <m/>
    <m/>
    <m/>
    <x v="6"/>
    <d v="2021-09-17T00:00:00"/>
    <m/>
  </r>
  <r>
    <s v="opakovaná VZ"/>
    <s v="VZ-2021-000887"/>
    <x v="2"/>
    <s v="Olejníček"/>
    <x v="321"/>
    <m/>
    <m/>
    <m/>
    <s v="33193120-6"/>
    <s v="2.2.407."/>
    <n v="133000"/>
    <x v="2"/>
    <d v="2021-09-03T00:00:00"/>
    <d v="2021-09-16T00:00:00"/>
    <d v="2021-10-01T00:00:00"/>
    <s v="L I N E T spol. s r.o."/>
    <m/>
    <n v="114414"/>
    <n v="138440.94"/>
    <m/>
    <m/>
    <m/>
    <d v="2021-10-01T00:00:00"/>
    <s v="SMLN-2021-617-000536_x000a_SMLN-2021-612-000111"/>
    <x v="145"/>
    <d v="2021-11-04T00:00:00"/>
    <d v="2021-12-27T00:00:00"/>
  </r>
  <r>
    <d v="2021-08-25T00:00:00"/>
    <s v="VZ-2021-000888"/>
    <x v="2"/>
    <s v="Olejníček"/>
    <x v="347"/>
    <m/>
    <m/>
    <m/>
    <s v="38432200-4"/>
    <s v="2.2.354."/>
    <n v="119885"/>
    <x v="2"/>
    <d v="2021-09-03T00:00:00"/>
    <d v="2021-09-16T00:00:00"/>
    <d v="2021-10-01T00:00:00"/>
    <s v="Bruker s.r.o."/>
    <m/>
    <n v="114060"/>
    <n v="138012.6"/>
    <m/>
    <m/>
    <m/>
    <d v="2021-10-05T00:00:00"/>
    <s v="SMLN-2021-617-000546_x000a_SMLN-2021-612-000112"/>
    <x v="64"/>
    <d v="2021-11-08T00:00:00"/>
    <d v="2022-01-14T00:00:00"/>
  </r>
  <r>
    <d v="2021-08-31T00:00:00"/>
    <s v="VZ-2021-000890"/>
    <x v="1"/>
    <s v="Dočkalová"/>
    <x v="348"/>
    <m/>
    <m/>
    <m/>
    <s v="33141115-9"/>
    <m/>
    <n v="2096620"/>
    <x v="1"/>
    <d v="2021-09-06T00:00:00"/>
    <d v="2021-09-22T00:00:00"/>
    <d v="2021-10-01T00:00:00"/>
    <s v="LINON CZ s.r.o."/>
    <m/>
    <n v="2348351.75"/>
    <n v="2841153.87"/>
    <m/>
    <m/>
    <m/>
    <d v="2021-10-01T00:00:00"/>
    <s v="SMLN-2021-617-000537"/>
    <x v="140"/>
    <d v="2021-10-29T00:00:00"/>
    <d v="2024-10-24T00:00:00"/>
  </r>
  <r>
    <s v="opakovaná VZ"/>
    <s v="VZ-2021-000891"/>
    <x v="1"/>
    <s v="Dočkalová"/>
    <x v="349"/>
    <m/>
    <m/>
    <m/>
    <s v="33140000-3"/>
    <m/>
    <n v="2100000"/>
    <x v="1"/>
    <d v="2021-09-14T00:00:00"/>
    <d v="2021-10-25T00:00:00"/>
    <d v="2021-11-04T00:00:00"/>
    <s v="Boston Scientific Česká republika s.r.o."/>
    <m/>
    <n v="2100000"/>
    <n v="2541000"/>
    <m/>
    <m/>
    <m/>
    <d v="2021-11-04T00:00:00"/>
    <s v="SMLN-2021-617-000618_x000a_SMLN-2021-614-000104"/>
    <x v="65"/>
    <d v="2021-12-15T00:00:00"/>
    <d v="2023-12-06T00:00:00"/>
  </r>
  <r>
    <d v="2021-08-25T00:00:00"/>
    <s v="VZ-2021-000892"/>
    <x v="2"/>
    <s v="Olejníček"/>
    <x v="350"/>
    <m/>
    <m/>
    <m/>
    <s v="33190000-8"/>
    <s v="2.2.394."/>
    <n v="524800"/>
    <x v="2"/>
    <d v="2021-09-06T00:00:00"/>
    <d v="2021-09-16T00:00:00"/>
    <d v="2021-10-01T00:00:00"/>
    <s v="BioVendor - laboratorní medicína, a.s."/>
    <m/>
    <n v="524787"/>
    <n v="634992.27"/>
    <m/>
    <m/>
    <m/>
    <d v="2021-10-01T00:00:00"/>
    <s v="SMLN-2021-617-000534_x000a_SMLN-2021-612-000110_x000a_SMLN-2021-617-000535"/>
    <x v="156"/>
    <d v="2021-11-18T00:00:00"/>
    <d v="2021-11-26T00:00:00"/>
  </r>
  <r>
    <s v="opakovaná VZ"/>
    <s v="VZ-2021-000894"/>
    <x v="2"/>
    <s v="Olejníček"/>
    <x v="351"/>
    <m/>
    <m/>
    <m/>
    <s v="38000000-5"/>
    <s v="2.2.373."/>
    <n v="6420000"/>
    <x v="0"/>
    <d v="2021-09-03T00:00:00"/>
    <d v="2021-10-05T00:00:00"/>
    <d v="2021-10-14T00:00:00"/>
    <s v="Institute of Applied Biotechnologies a.s."/>
    <m/>
    <n v="1840800"/>
    <n v="2227368"/>
    <m/>
    <m/>
    <m/>
    <d v="2021-10-14T00:00:00"/>
    <s v="SMLN-2021-617-000568_x000a_SMLN-2021-612-000115_x000a_SMLN-2021-617-000569"/>
    <x v="128"/>
    <d v="2021-11-19T00:00:00"/>
    <m/>
  </r>
  <r>
    <d v="2021-08-25T00:00:00"/>
    <s v="VZ-2021-000895"/>
    <x v="8"/>
    <s v="Kadlec"/>
    <x v="352"/>
    <m/>
    <m/>
    <m/>
    <s v="45211310-5"/>
    <m/>
    <n v="26000000"/>
    <x v="1"/>
    <d v="2021-09-22T00:00:00"/>
    <d v="2021-10-13T00:00:00"/>
    <d v="2021-11-03T00:00:00"/>
    <s v="AL LOGIC, s.r.o."/>
    <m/>
    <n v="17448088.969999999"/>
    <n v="21112187"/>
    <m/>
    <m/>
    <m/>
    <d v="2021-11-03T00:00:00"/>
    <s v="SMLN-2021-618-000076"/>
    <x v="157"/>
    <d v="2021-12-09T00:00:00"/>
    <d v="2022-02-26T00:00:00"/>
  </r>
  <r>
    <d v="2021-08-27T00:00:00"/>
    <s v="VZ-2021-000898"/>
    <x v="10"/>
    <s v="Zdráhalová"/>
    <x v="353"/>
    <m/>
    <m/>
    <m/>
    <s v="39120000-9"/>
    <m/>
    <n v="2477400"/>
    <x v="1"/>
    <d v="2021-09-08T00:00:00"/>
    <d v="2021-09-30T00:00:00"/>
    <d v="2021-10-18T00:00:00"/>
    <s v="VWR International s.r.o."/>
    <m/>
    <n v="1895000"/>
    <n v="2292950"/>
    <m/>
    <m/>
    <m/>
    <d v="2021-10-18T00:00:00"/>
    <s v="SMLN-2021-618-000069"/>
    <x v="158"/>
    <d v="2021-12-02T00:00:00"/>
    <d v="2022-02-17T00:00:00"/>
  </r>
  <r>
    <d v="2021-08-17T00:00:00"/>
    <s v="VZ-2021-000900"/>
    <x v="19"/>
    <s v="Klimek"/>
    <x v="354"/>
    <m/>
    <m/>
    <m/>
    <s v="44115600-5"/>
    <s v="4.2.161."/>
    <n v="150000"/>
    <x v="2"/>
    <d v="2021-09-08T00:00:00"/>
    <d v="2021-09-17T00:00:00"/>
    <m/>
    <s v="zrušeno - bez hodnotitelné nabídky"/>
    <s v="nová VZ-2021-001031"/>
    <m/>
    <m/>
    <m/>
    <m/>
    <m/>
    <m/>
    <m/>
    <x v="6"/>
    <d v="2021-10-01T00:00:00"/>
    <m/>
  </r>
  <r>
    <d v="2021-08-27T00:00:00"/>
    <s v="VZ-2021-000903"/>
    <x v="8"/>
    <s v="Kadlec"/>
    <x v="355"/>
    <m/>
    <m/>
    <m/>
    <s v="45211310-5"/>
    <m/>
    <n v="450000"/>
    <x v="2"/>
    <d v="2021-09-07T00:00:00"/>
    <d v="2021-09-16T00:00:00"/>
    <m/>
    <s v="zrušeno - bez nabídky"/>
    <s v="nová VZ-2021-001004"/>
    <m/>
    <m/>
    <m/>
    <m/>
    <m/>
    <m/>
    <m/>
    <x v="6"/>
    <d v="2021-09-17T00:00:00"/>
    <m/>
  </r>
  <r>
    <d v="2021-08-20T00:00:00"/>
    <s v="VZ-2021-000906"/>
    <x v="19"/>
    <s v="Klimek"/>
    <x v="356"/>
    <m/>
    <m/>
    <m/>
    <s v="50117100-9"/>
    <s v="4.2.162."/>
    <n v="495000"/>
    <x v="2"/>
    <d v="2021-09-22T00:00:00"/>
    <d v="2021-10-08T00:00:00"/>
    <d v="2021-10-14T00:00:00"/>
    <s v="KM Rest Ivančice, s.r.o."/>
    <m/>
    <n v="398900"/>
    <n v="482669"/>
    <m/>
    <m/>
    <m/>
    <d v="2021-10-15T00:00:00"/>
    <s v="SMLN-2021-618-000068"/>
    <x v="158"/>
    <d v="2021-11-18T00:00:00"/>
    <d v="2021-12-23T00:00:00"/>
  </r>
  <r>
    <d v="2021-09-01T00:00:00"/>
    <s v="VZ-2021-000910"/>
    <x v="2"/>
    <s v="Olejníček"/>
    <x v="357"/>
    <m/>
    <m/>
    <m/>
    <s v="33192000-2"/>
    <m/>
    <n v="360000"/>
    <x v="2"/>
    <d v="2021-10-14T00:00:00"/>
    <d v="2021-10-27T00:00:00"/>
    <m/>
    <s v="zrušeno - bez hodnotitelné nabídky"/>
    <s v="nová VZ-2021-001248"/>
    <m/>
    <m/>
    <m/>
    <m/>
    <m/>
    <m/>
    <m/>
    <x v="6"/>
    <d v="2021-11-23T00:00:00"/>
    <m/>
  </r>
  <r>
    <d v="2021-09-06T00:00:00"/>
    <s v="VZ-2021-000913"/>
    <x v="2"/>
    <s v="Rosulek"/>
    <x v="358"/>
    <n v="1"/>
    <s v="Systém monitorů pro JIRP Dětské kliniky"/>
    <m/>
    <s v="33195100-4"/>
    <s v="2.3.448.,  2.3.449."/>
    <n v="4847000"/>
    <x v="0"/>
    <d v="2021-09-13T00:00:00"/>
    <d v="2021-10-15T00:00:00"/>
    <d v="2021-11-11T00:00:00"/>
    <s v="S+T Plus s.r.o."/>
    <m/>
    <n v="4671560"/>
    <n v="5652587.5999999996"/>
    <m/>
    <m/>
    <m/>
    <d v="2021-11-11T00:00:00"/>
    <s v="SMLN-2021-617-000648_x000a_SMLN-2021-612-000131"/>
    <x v="155"/>
    <d v="2022-01-07T00:00:00"/>
    <d v="2022-04-04T00:00:00"/>
  </r>
  <r>
    <d v="2021-09-06T00:00:00"/>
    <s v="VZ-2021-000913"/>
    <x v="2"/>
    <s v="Rosulek"/>
    <x v="358"/>
    <n v="2"/>
    <s v="Centrální monitorovací stanice"/>
    <m/>
    <s v="33195100-4"/>
    <s v="22.395.,2.2.396."/>
    <n v="878000"/>
    <x v="0"/>
    <d v="2021-09-13T00:00:00"/>
    <d v="2021-10-15T00:00:00"/>
    <d v="2021-11-11T00:00:00"/>
    <s v="S+T Plus s.r.o."/>
    <m/>
    <n v="863560"/>
    <n v="1044907.6"/>
    <m/>
    <m/>
    <m/>
    <d v="2021-11-11T00:00:00"/>
    <s v="SMLN-2021-617-000649_x000a_SMLN-2021-612-000132"/>
    <x v="155"/>
    <d v="2022-01-07T00:00:00"/>
    <d v="2022-04-04T00:00:00"/>
  </r>
  <r>
    <d v="2021-08-31T00:00:00"/>
    <s v="VZ-2021-000920"/>
    <x v="0"/>
    <s v="Ondráčková"/>
    <x v="359"/>
    <m/>
    <m/>
    <m/>
    <s v="33622200-8"/>
    <m/>
    <n v="6988880"/>
    <x v="0"/>
    <d v="2021-10-19T00:00:00"/>
    <d v="2021-12-16T00:00:00"/>
    <m/>
    <m/>
    <m/>
    <m/>
    <m/>
    <m/>
    <m/>
    <m/>
    <m/>
    <m/>
    <x v="6"/>
    <m/>
    <m/>
  </r>
  <r>
    <d v="2021-08-31T00:00:00"/>
    <s v="VZ-2021-000927"/>
    <x v="2"/>
    <s v="Olejníček"/>
    <x v="360"/>
    <n v="1"/>
    <s v="Endoskopická věž"/>
    <m/>
    <s v="33168000-5"/>
    <s v="2.2.342."/>
    <n v="1675000"/>
    <x v="1"/>
    <d v="2021-09-23T00:00:00"/>
    <d v="2021-10-14T00:00:00"/>
    <d v="2021-11-08T00:00:00"/>
    <s v="Olympus Czech Group, s.r.o."/>
    <m/>
    <n v="1639240"/>
    <n v="1983480.4"/>
    <m/>
    <m/>
    <m/>
    <d v="2021-11-09T00:00:00"/>
    <s v="SMLN-2021-617-000629_x000a_SMLN-2021-612-000122"/>
    <x v="159"/>
    <d v="2021-12-14T00:00:00"/>
    <d v="2022-01-19T00:00:00"/>
  </r>
  <r>
    <d v="2021-08-31T00:00:00"/>
    <s v="VZ-2021-000927"/>
    <x v="2"/>
    <s v="Olejníček"/>
    <x v="360"/>
    <n v="2"/>
    <s v="Záznamové zařízení"/>
    <m/>
    <s v="33168100-6"/>
    <s v="2.2.342."/>
    <n v="383500"/>
    <x v="1"/>
    <d v="2021-09-23T00:00:00"/>
    <d v="2021-10-14T00:00:00"/>
    <d v="2021-11-08T00:00:00"/>
    <s v="Gatema Medical s.r.o."/>
    <m/>
    <n v="356850"/>
    <n v="431788.5"/>
    <m/>
    <m/>
    <m/>
    <d v="2021-11-09T00:00:00"/>
    <s v="SMLN-2021-617-000631_x000a_SMLN-2021-612-000123"/>
    <x v="65"/>
    <d v="2021-12-14T00:00:00"/>
    <d v="2022-01-06T00:00:00"/>
  </r>
  <r>
    <d v="2021-08-31T00:00:00"/>
    <s v="VZ-2021-000929"/>
    <x v="2"/>
    <s v="Rosulek"/>
    <x v="361"/>
    <m/>
    <m/>
    <m/>
    <s v="33169100-3"/>
    <s v="2.3.416."/>
    <n v="6363636"/>
    <x v="0"/>
    <d v="2021-10-06T00:00:00"/>
    <d v="2021-11-08T00:00:00"/>
    <m/>
    <m/>
    <m/>
    <m/>
    <m/>
    <m/>
    <m/>
    <m/>
    <m/>
    <m/>
    <x v="6"/>
    <m/>
    <m/>
  </r>
  <r>
    <d v="2021-09-02T00:00:00"/>
    <s v="VZ-2021-000930"/>
    <x v="11"/>
    <s v="Rosulek"/>
    <x v="362"/>
    <n v="1"/>
    <s v="Intenzivní lůžka a vážicí lůžka s antidekubitními matracemi"/>
    <m/>
    <s v="33192120-9"/>
    <s v="2.3.517.,2.3.456.,2.2.260."/>
    <n v="4639115"/>
    <x v="0"/>
    <m/>
    <m/>
    <m/>
    <m/>
    <m/>
    <m/>
    <m/>
    <m/>
    <m/>
    <m/>
    <m/>
    <m/>
    <x v="6"/>
    <m/>
    <m/>
  </r>
  <r>
    <d v="2021-09-02T00:00:00"/>
    <s v="VZ-2021-000930"/>
    <x v="2"/>
    <s v="Rosulek"/>
    <x v="362"/>
    <n v="2"/>
    <s v="Univerzální elektrická lůžka"/>
    <m/>
    <s v="33192130-2"/>
    <s v="2.2.414."/>
    <n v="1230000"/>
    <x v="0"/>
    <m/>
    <m/>
    <m/>
    <m/>
    <m/>
    <m/>
    <m/>
    <m/>
    <m/>
    <m/>
    <m/>
    <m/>
    <x v="6"/>
    <m/>
    <m/>
  </r>
  <r>
    <d v="2021-09-02T00:00:00"/>
    <s v="VZ-2021-000930"/>
    <x v="11"/>
    <s v="Rosulek"/>
    <x v="362"/>
    <n v="3"/>
    <s v="Komfortní transportní vícesegmentová lehátka"/>
    <m/>
    <s v="33192160-1"/>
    <s v="2.3.528.,2.2.157."/>
    <n v="882167"/>
    <x v="0"/>
    <m/>
    <m/>
    <m/>
    <m/>
    <m/>
    <m/>
    <m/>
    <m/>
    <m/>
    <m/>
    <m/>
    <m/>
    <x v="6"/>
    <m/>
    <m/>
  </r>
  <r>
    <d v="2021-09-08T00:00:00"/>
    <s v="VZ-2021-000935"/>
    <x v="0"/>
    <s v="Ondráčková"/>
    <x v="363"/>
    <m/>
    <m/>
    <m/>
    <s v="33652100-6"/>
    <m/>
    <n v="336824673"/>
    <x v="0"/>
    <d v="2021-09-17T00:00:00"/>
    <d v="2021-10-20T00:00:00"/>
    <d v="2021-11-16T00:00:00"/>
    <s v="Bristol-Myers Squibb spol. s r.o."/>
    <m/>
    <n v="336824671.17000002"/>
    <n v="370507138.29000002"/>
    <m/>
    <m/>
    <m/>
    <d v="2021-11-16T00:00:00"/>
    <s v="SMLN-2021-617-000660"/>
    <x v="65"/>
    <d v="2021-12-09T00:00:00"/>
    <d v="2024-12-06T00:00:00"/>
  </r>
  <r>
    <d v="2021-09-08T00:00:00"/>
    <s v="VZ-2021-000946"/>
    <x v="0"/>
    <s v="Ondráčková"/>
    <x v="364"/>
    <m/>
    <m/>
    <m/>
    <s v="33652100-6"/>
    <m/>
    <n v="13230342"/>
    <x v="0"/>
    <d v="2021-09-17T00:00:00"/>
    <d v="2021-10-21T00:00:00"/>
    <d v="2021-11-30T00:00:00"/>
    <s v="PROMEDICA PRAHA GROUP, a.s."/>
    <m/>
    <n v="9043134.9900000002"/>
    <n v="9947448.4900000002"/>
    <m/>
    <m/>
    <m/>
    <d v="2021-11-30T00:00:00"/>
    <s v="SMLN-2021-617-000692"/>
    <x v="148"/>
    <d v="2022-01-03T00:00:00"/>
    <d v="2024-12-20T00:00:00"/>
  </r>
  <r>
    <s v="opakovaná VZ"/>
    <s v="VZ-2021-000949"/>
    <x v="1"/>
    <s v="Dočkalová"/>
    <x v="365"/>
    <n v="1"/>
    <s v="Mikrokatétry k periferním vaskulárním intervencím II./II."/>
    <m/>
    <s v="33140000-3"/>
    <m/>
    <n v="48999.5"/>
    <x v="0"/>
    <d v="2021-09-24T00:00:00"/>
    <d v="2021-10-27T00:00:00"/>
    <m/>
    <s v="zrušeno - bez nabídky"/>
    <m/>
    <m/>
    <m/>
    <m/>
    <m/>
    <m/>
    <m/>
    <m/>
    <x v="6"/>
    <d v="2021-12-01T00:00:00"/>
    <s v="3.11.2021 zrušeno"/>
  </r>
  <r>
    <s v="opakovaná VZ"/>
    <s v="VZ-2021-000949"/>
    <x v="1"/>
    <s v="Dočkalová"/>
    <x v="365"/>
    <n v="2"/>
    <s v="Mikrokatétry neurointervenční II. /IV."/>
    <m/>
    <s v="33140000-3"/>
    <m/>
    <n v="3036180"/>
    <x v="0"/>
    <d v="2021-09-24T00:00:00"/>
    <d v="2021-10-27T00:00:00"/>
    <d v="2021-11-09T00:00:00"/>
    <s v="EspoMed spol. s r.o."/>
    <m/>
    <n v="3036180"/>
    <n v="3673777.8"/>
    <m/>
    <m/>
    <m/>
    <d v="2021-11-09T00:00:00"/>
    <s v="SMLN-2021-617-000635_x000a_SMLN-2021-614-000110"/>
    <x v="143"/>
    <d v="2021-12-01T00:00:00"/>
    <d v="2024-11-28T00:00:00"/>
  </r>
  <r>
    <s v="opakovaná VZ"/>
    <s v="VZ-2021-000949"/>
    <x v="1"/>
    <s v="Dočkalová"/>
    <x v="365"/>
    <n v="3"/>
    <s v="Mikrokatétry neurointervenční III. /V."/>
    <m/>
    <s v="33140000-3"/>
    <m/>
    <n v="829400"/>
    <x v="0"/>
    <d v="2021-09-24T00:00:00"/>
    <d v="2021-10-27T00:00:00"/>
    <d v="2021-11-09T00:00:00"/>
    <s v="EspoMed spol. s r.o."/>
    <m/>
    <n v="829400"/>
    <n v="1003574"/>
    <m/>
    <m/>
    <m/>
    <d v="2021-11-09T00:00:00"/>
    <s v="SMLN-2021-617-000636_x000a_SMLN-2021-614-000111"/>
    <x v="143"/>
    <d v="2021-12-01T00:00:00"/>
    <d v="2024-11-28T00:00:00"/>
  </r>
  <r>
    <s v="opakovaná VZ"/>
    <s v="VZ-2021-000949"/>
    <x v="1"/>
    <s v="Dočkalová"/>
    <x v="365"/>
    <n v="4"/>
    <s v="Mikrokatétry neurointervenční IV. /VI."/>
    <m/>
    <s v="33140000-3"/>
    <m/>
    <n v="209626.5"/>
    <x v="0"/>
    <d v="2021-09-24T00:00:00"/>
    <d v="2021-10-27T00:00:00"/>
    <d v="2021-11-09T00:00:00"/>
    <s v="EspoMed spol. s r.o."/>
    <m/>
    <n v="209626.5"/>
    <n v="253648.07"/>
    <m/>
    <m/>
    <m/>
    <d v="2021-11-09T00:00:00"/>
    <s v="SMLN-2021-617-000637_x000a_SMLN-2021-614-000112"/>
    <x v="143"/>
    <d v="2021-12-01T00:00:00"/>
    <d v="2024-11-28T00:00:00"/>
  </r>
  <r>
    <d v="2021-09-13T00:00:00"/>
    <s v="VZ-2021-000951"/>
    <x v="1"/>
    <s v="Valtová"/>
    <x v="366"/>
    <n v="1"/>
    <s v="Samoexpandibilní stenty vaskulární II."/>
    <m/>
    <s v="33140000-3"/>
    <m/>
    <n v="1500000"/>
    <x v="0"/>
    <d v="2021-09-23T00:00:00"/>
    <d v="2021-11-16T00:00:00"/>
    <d v="2021-12-01T00:00:00"/>
    <s v="MEDITRADE spol. s r.o."/>
    <m/>
    <n v="1500000"/>
    <n v="1725000"/>
    <m/>
    <m/>
    <m/>
    <d v="2021-12-01T00:00:00"/>
    <s v="SMLN-2021-617-000698_x000a_SMLN-2021-614-000121"/>
    <x v="6"/>
    <m/>
    <m/>
  </r>
  <r>
    <d v="2021-09-13T00:00:00"/>
    <s v="VZ-2021-000951"/>
    <x v="1"/>
    <s v="Valtová"/>
    <x v="366"/>
    <n v="2"/>
    <s v="Samoexpandibilní stenty vaskulární XL"/>
    <m/>
    <s v="33140000-3"/>
    <m/>
    <n v="189800"/>
    <x v="0"/>
    <d v="2021-09-23T00:00:00"/>
    <d v="2021-11-16T00:00:00"/>
    <d v="2021-12-01T00:00:00"/>
    <s v="BARD Czech Republic s.r.o."/>
    <m/>
    <n v="189800"/>
    <n v="218270"/>
    <m/>
    <m/>
    <m/>
    <d v="2021-12-01T00:00:00"/>
    <s v="SMLN-2021-617-000699_x000a_SMLN-2021-614-000122"/>
    <x v="6"/>
    <m/>
    <m/>
  </r>
  <r>
    <d v="2021-09-13T00:00:00"/>
    <s v="VZ-2021-000951"/>
    <x v="1"/>
    <s v="Valtová"/>
    <x v="366"/>
    <n v="3"/>
    <s v="Balónexpandibilní stenty vaskulární I."/>
    <m/>
    <s v="33140000-3"/>
    <m/>
    <n v="1635000"/>
    <x v="0"/>
    <d v="2021-09-23T00:00:00"/>
    <d v="2021-11-16T00:00:00"/>
    <d v="2021-12-01T00:00:00"/>
    <s v="Stimcare s.r.o."/>
    <m/>
    <n v="1635000"/>
    <n v="1880250"/>
    <m/>
    <m/>
    <m/>
    <d v="2021-12-01T00:00:00"/>
    <s v="SMLN-2021-617-000700_x000a_SMLN-2021-614-000123"/>
    <x v="6"/>
    <m/>
    <m/>
  </r>
  <r>
    <d v="2021-09-13T00:00:00"/>
    <s v="VZ-2021-000951"/>
    <x v="1"/>
    <s v="Valtová"/>
    <x v="366"/>
    <n v="4"/>
    <s v="Balónexpandibilní stenty vaskulární II."/>
    <m/>
    <s v="33140000-3"/>
    <m/>
    <n v="342600"/>
    <x v="0"/>
    <d v="2021-09-23T00:00:00"/>
    <d v="2021-11-16T00:00:00"/>
    <m/>
    <s v="zrušeno - bez nabídky"/>
    <m/>
    <m/>
    <m/>
    <m/>
    <m/>
    <m/>
    <m/>
    <m/>
    <x v="6"/>
    <d v="2021-12-16T00:00:00"/>
    <s v="18.11.2021 zrušeno"/>
  </r>
  <r>
    <d v="2021-09-13T00:00:00"/>
    <s v="VZ-2021-000951"/>
    <x v="1"/>
    <s v="Valtová"/>
    <x v="366"/>
    <n v="5"/>
    <s v="Karotické stenty vaskulární I."/>
    <m/>
    <s v="33140000-3"/>
    <m/>
    <n v="528000"/>
    <x v="0"/>
    <d v="2021-09-23T00:00:00"/>
    <d v="2021-11-16T00:00:00"/>
    <d v="2021-12-01T00:00:00"/>
    <s v="MEDITRADE spol. s r.o."/>
    <m/>
    <n v="528000"/>
    <n v="607200"/>
    <m/>
    <m/>
    <m/>
    <d v="2021-12-01T00:00:00"/>
    <s v="SMLN-2021-617-000701_x000a_SMLN-2021-614-000124"/>
    <x v="6"/>
    <m/>
    <m/>
  </r>
  <r>
    <d v="2021-09-13T00:00:00"/>
    <s v="VZ-2021-000951"/>
    <x v="1"/>
    <s v="Valtová"/>
    <x v="366"/>
    <n v="6"/>
    <s v="Karotické stenty vaskulární II."/>
    <m/>
    <s v="33140000-3"/>
    <m/>
    <n v="652170"/>
    <x v="0"/>
    <d v="2021-09-23T00:00:00"/>
    <d v="2021-11-16T00:00:00"/>
    <d v="2021-12-01T00:00:00"/>
    <s v="Stimcare s.r.o."/>
    <m/>
    <n v="651900"/>
    <n v="749685"/>
    <m/>
    <m/>
    <m/>
    <d v="2021-12-01T00:00:00"/>
    <s v="SMLN-2021-617-000702_x000a_SMLN-2021-614-000125"/>
    <x v="6"/>
    <m/>
    <m/>
  </r>
  <r>
    <d v="2021-09-13T00:00:00"/>
    <s v="VZ-2021-000951"/>
    <x v="1"/>
    <s v="Valtová"/>
    <x v="366"/>
    <n v="7"/>
    <s v="Intrakraniální stenty vaskulární"/>
    <m/>
    <s v="33140000-3"/>
    <m/>
    <n v="26578800"/>
    <x v="0"/>
    <d v="2021-09-23T00:00:00"/>
    <d v="2021-11-16T00:00:00"/>
    <d v="2021-12-01T00:00:00"/>
    <s v="EspoMed spol. s r.o."/>
    <m/>
    <n v="26577000"/>
    <n v="30563550"/>
    <m/>
    <m/>
    <m/>
    <d v="2021-12-01T00:00:00"/>
    <s v="SMLN-2021-617-000703_x000a_SMLN-2021-614-000126"/>
    <x v="6"/>
    <m/>
    <m/>
  </r>
  <r>
    <d v="2021-09-10T00:00:00"/>
    <s v="VZ-2021-000953"/>
    <x v="20"/>
    <s v="Odehnalová"/>
    <x v="367"/>
    <m/>
    <m/>
    <m/>
    <s v="55110000-4"/>
    <m/>
    <n v="500000"/>
    <x v="2"/>
    <d v="2021-09-20T00:00:00"/>
    <d v="2021-09-29T00:00:00"/>
    <d v="2021-10-11T00:00:00"/>
    <s v="zrušeno"/>
    <m/>
    <n v="476429.75"/>
    <n v="526800"/>
    <m/>
    <m/>
    <m/>
    <d v="2021-10-11T00:00:00"/>
    <s v="SMLN-2021-612-000113"/>
    <x v="6"/>
    <d v="2021-11-05T00:00:00"/>
    <m/>
  </r>
  <r>
    <s v="opakovaná VZ"/>
    <s v="VZ-2021-000954"/>
    <x v="14"/>
    <s v="Jeřábková"/>
    <x v="368"/>
    <m/>
    <m/>
    <m/>
    <s v="55120000-7"/>
    <m/>
    <n v="610000"/>
    <x v="2"/>
    <d v="2021-09-16T00:00:00"/>
    <d v="2021-09-21T00:00:00"/>
    <d v="2021-09-22T00:00:00"/>
    <s v="HOTELPARK STADION a.s."/>
    <m/>
    <n v="602170"/>
    <n v="676951"/>
    <m/>
    <m/>
    <m/>
    <d v="2021-09-22T00:00:00"/>
    <s v="SMLN-2021-612-000107"/>
    <x v="118"/>
    <d v="2021-10-05T00:00:00"/>
    <d v="2021-10-08T00:00:00"/>
  </r>
  <r>
    <d v="2021-09-16T00:00:00"/>
    <s v="VZ-2021-000968"/>
    <x v="4"/>
    <s v="Eyer"/>
    <x v="369"/>
    <m/>
    <m/>
    <m/>
    <s v="45311200-2"/>
    <m/>
    <n v="1050000"/>
    <x v="2"/>
    <d v="2021-09-23T00:00:00"/>
    <d v="2021-10-07T00:00:00"/>
    <d v="2021-10-20T00:00:00"/>
    <s v="OEZ s.r.o."/>
    <m/>
    <n v="1014916.25"/>
    <n v="1228048.6599999999"/>
    <m/>
    <m/>
    <m/>
    <d v="2021-10-20T00:00:00"/>
    <s v="SMLN-2021-618-000070"/>
    <x v="158"/>
    <d v="2021-11-18T00:00:00"/>
    <d v="2022-01-10T00:00:00"/>
  </r>
  <r>
    <s v="opakovaná VZ"/>
    <s v="VZ-2021-000969"/>
    <x v="0"/>
    <s v="Ondráčková"/>
    <x v="370"/>
    <m/>
    <m/>
    <m/>
    <s v="33694000-1"/>
    <m/>
    <n v="1936800"/>
    <x v="2"/>
    <d v="2021-09-21T00:00:00"/>
    <d v="2021-09-24T00:00:00"/>
    <m/>
    <s v="zrušeno - bez hodnotitelné nabídky"/>
    <s v="nová VZ-2021-001011"/>
    <m/>
    <m/>
    <m/>
    <m/>
    <m/>
    <m/>
    <m/>
    <x v="6"/>
    <d v="2021-09-27T00:00:00"/>
    <m/>
  </r>
  <r>
    <d v="2021-09-07T00:00:00"/>
    <s v="VZ-2021-000972"/>
    <x v="8"/>
    <s v="Kadlec"/>
    <x v="371"/>
    <m/>
    <m/>
    <m/>
    <s v="45262000-1"/>
    <m/>
    <n v="1300000"/>
    <x v="2"/>
    <d v="2021-09-23T00:00:00"/>
    <d v="2021-10-05T00:00:00"/>
    <m/>
    <s v="zrušeno - bez nabídky"/>
    <m/>
    <m/>
    <m/>
    <m/>
    <m/>
    <m/>
    <m/>
    <m/>
    <x v="6"/>
    <d v="2021-10-05T00:00:00"/>
    <m/>
  </r>
  <r>
    <d v="2021-09-01T00:00:00"/>
    <s v="VZ-2021-000973"/>
    <x v="2"/>
    <s v="Olejníček"/>
    <x v="372"/>
    <m/>
    <m/>
    <m/>
    <s v="33168100-6"/>
    <s v="2.3.538."/>
    <n v="5089000"/>
    <x v="0"/>
    <d v="2021-09-23T00:00:00"/>
    <d v="2021-11-15T00:00:00"/>
    <d v="2021-12-03T00:00:00"/>
    <s v="Medinet s.r.o."/>
    <m/>
    <n v="5004890"/>
    <n v="6055916.9000000004"/>
    <m/>
    <m/>
    <m/>
    <d v="2021-12-03T00:00:00"/>
    <s v="SMLN-2021-617-000710_x000a_SMLN-2021-612-000143"/>
    <x v="155"/>
    <d v="2022-01-06T00:00:00"/>
    <d v="2022-02-21T00:00:00"/>
  </r>
  <r>
    <d v="2021-09-21T00:00:00"/>
    <s v="VZ-2021-000980"/>
    <x v="4"/>
    <s v="Srovnal"/>
    <x v="373"/>
    <n v="1"/>
    <s v="Výměna výplní vnějších otvorů - budova E"/>
    <m/>
    <s v="45421100-5"/>
    <m/>
    <n v="5500000"/>
    <x v="1"/>
    <d v="2021-09-27T00:00:00"/>
    <d v="2021-10-22T00:00:00"/>
    <m/>
    <s v="zrušeno - §127 odst.2 písm. d) - ekonomické důvody"/>
    <m/>
    <m/>
    <m/>
    <m/>
    <m/>
    <m/>
    <m/>
    <m/>
    <x v="6"/>
    <d v="2021-12-06T00:00:00"/>
    <s v="11.11.2021 zrušeno"/>
  </r>
  <r>
    <d v="2021-09-21T00:00:00"/>
    <s v="VZ-2021-000980"/>
    <x v="4"/>
    <s v="Srovnal"/>
    <x v="373"/>
    <n v="2"/>
    <s v="Výměna výplní vnějších otvorů - budova YA"/>
    <m/>
    <s v="45421100-5"/>
    <m/>
    <n v="2600000"/>
    <x v="1"/>
    <d v="2021-09-27T00:00:00"/>
    <d v="2021-10-22T00:00:00"/>
    <m/>
    <s v="zrušeno - §127 odst.2 písm. d) - ekonomické důvody"/>
    <m/>
    <m/>
    <m/>
    <m/>
    <m/>
    <m/>
    <m/>
    <m/>
    <x v="6"/>
    <d v="2021-12-06T00:00:00"/>
    <s v="11.11.2021 zrušeno"/>
  </r>
  <r>
    <d v="2021-09-21T00:00:00"/>
    <s v="VZ-2021-000980"/>
    <x v="4"/>
    <s v="Srovnal"/>
    <x v="373"/>
    <n v="3"/>
    <s v="Výměna výplní vnějších otvorů - budova YC"/>
    <m/>
    <s v="45421100-5"/>
    <m/>
    <n v="7900000"/>
    <x v="1"/>
    <d v="2021-09-27T00:00:00"/>
    <d v="2021-10-22T00:00:00"/>
    <m/>
    <s v="zrušeno - §127 odst.2 písm. d) - ekonomické důvody"/>
    <m/>
    <m/>
    <m/>
    <m/>
    <m/>
    <m/>
    <m/>
    <m/>
    <x v="6"/>
    <d v="2021-12-06T00:00:00"/>
    <s v="11.11.2021 zrušeno"/>
  </r>
  <r>
    <d v="2021-09-21T00:00:00"/>
    <s v="VZ-2021-000980"/>
    <x v="4"/>
    <s v="Srovnal"/>
    <x v="373"/>
    <n v="4"/>
    <s v="Výměna výplní vnějších otvorů - budova YD"/>
    <m/>
    <s v="45421100-5"/>
    <m/>
    <n v="15200000"/>
    <x v="1"/>
    <d v="2021-09-27T00:00:00"/>
    <d v="2021-10-22T00:00:00"/>
    <m/>
    <s v="zrušeno - §127 odst.2 písm. d) - ekonomické důvody"/>
    <m/>
    <m/>
    <m/>
    <m/>
    <m/>
    <m/>
    <m/>
    <m/>
    <x v="6"/>
    <d v="2021-12-06T00:00:00"/>
    <s v="11.11.2021 zrušeno"/>
  </r>
  <r>
    <d v="2021-09-02T00:00:00"/>
    <s v="VZ-2021-000981"/>
    <x v="2"/>
    <s v="Olejníček"/>
    <x v="374"/>
    <m/>
    <m/>
    <m/>
    <s v="33168100-6"/>
    <s v="2.2.327."/>
    <n v="711120"/>
    <x v="2"/>
    <d v="2021-09-24T00:00:00"/>
    <d v="2021-10-07T00:00:00"/>
    <d v="2021-10-18T00:00:00"/>
    <s v="Olympus Czech Group, s.r.o."/>
    <m/>
    <n v="683440"/>
    <n v="826963"/>
    <m/>
    <m/>
    <m/>
    <d v="2021-10-19T00:00:00"/>
    <s v="SMLN-2021-617-000579_x000a_SMLN-2021-612-000116"/>
    <x v="159"/>
    <d v="2021-12-09T00:00:00"/>
    <d v="2022-01-19T00:00:00"/>
  </r>
  <r>
    <d v="2021-08-27T00:00:00"/>
    <s v="VZ-2021-000983"/>
    <x v="2"/>
    <s v="Olejníček"/>
    <x v="375"/>
    <m/>
    <m/>
    <m/>
    <s v="33168100-6"/>
    <s v="2.2.336."/>
    <n v="921000"/>
    <x v="2"/>
    <d v="2021-10-06T00:00:00"/>
    <d v="2021-10-18T00:00:00"/>
    <d v="2021-11-02T00:00:00"/>
    <s v="B. Braun Medical s.r.o."/>
    <m/>
    <n v="920771.95"/>
    <n v="1114134.06"/>
    <m/>
    <m/>
    <m/>
    <d v="2021-11-02T00:00:00"/>
    <s v="SMLN-2021-617-000609_x000a_SMLN-2021-612-000120"/>
    <x v="123"/>
    <d v="2021-12-15T00:00:00"/>
    <d v="2022-03-13T00:00:00"/>
  </r>
  <r>
    <d v="2021-09-14T00:00:00"/>
    <s v="VZ-2021-000984"/>
    <x v="1"/>
    <s v="Valtová"/>
    <x v="376"/>
    <n v="1"/>
    <s v="Extraktory intravaskulární I."/>
    <m/>
    <s v="33140000–3"/>
    <m/>
    <n v="341520"/>
    <x v="2"/>
    <d v="2021-10-08T00:00:00"/>
    <d v="2021-10-19T00:00:00"/>
    <d v="2021-10-27T00:00:00"/>
    <s v="ARID obchodní společnost, s.r.o."/>
    <m/>
    <n v="341520"/>
    <n v="413239.2"/>
    <m/>
    <m/>
    <m/>
    <d v="2021-10-29T00:00:00"/>
    <s v="SMLN-2021-617-000602_x000a_SMLN-2021-614-000100"/>
    <x v="128"/>
    <d v="2021-11-25T00:00:00"/>
    <d v="2024-11-15T00:00:00"/>
  </r>
  <r>
    <d v="2021-09-14T00:00:00"/>
    <s v="VZ-2021-000984"/>
    <x v="1"/>
    <s v="Valtová"/>
    <x v="376"/>
    <n v="2"/>
    <s v="Extraktory intravaskulární II."/>
    <m/>
    <s v="33140000–3"/>
    <m/>
    <n v="92560"/>
    <x v="2"/>
    <d v="2021-10-08T00:00:00"/>
    <d v="2021-10-19T00:00:00"/>
    <d v="2021-10-27T00:00:00"/>
    <s v="ARID obchodní společnost, s.r.o."/>
    <m/>
    <n v="92560"/>
    <n v="111997.6"/>
    <m/>
    <m/>
    <m/>
    <d v="2021-10-29T00:00:00"/>
    <s v="SMLN-2021-617-000603_x000a_SMLN-2021-614-000099"/>
    <x v="128"/>
    <d v="2021-11-25T00:00:00"/>
    <d v="2024-11-15T00:00:00"/>
  </r>
  <r>
    <d v="2021-09-14T00:00:00"/>
    <s v="VZ-2021-000984"/>
    <x v="1"/>
    <s v="Valtová"/>
    <x v="376"/>
    <n v="3"/>
    <s v="Extraktory intravaskulární III."/>
    <m/>
    <s v="33140000–3"/>
    <m/>
    <n v="335440"/>
    <x v="2"/>
    <d v="2021-10-08T00:00:00"/>
    <d v="2021-10-19T00:00:00"/>
    <d v="2021-10-27T00:00:00"/>
    <s v="dodavatel MSM odstoupil před podpisem smlouvy"/>
    <s v="nová VZ-2021-001263"/>
    <n v="335440"/>
    <n v="405882.4"/>
    <m/>
    <m/>
    <m/>
    <d v="2021-10-29T00:00:00"/>
    <s v="SMLN-2021-617-000604_x000a_SMLN-2021-614-000098"/>
    <x v="6"/>
    <d v="2021-11-25T00:00:00"/>
    <m/>
  </r>
  <r>
    <d v="2021-09-15T00:00:00"/>
    <s v="VZ-2021-000985"/>
    <x v="2"/>
    <s v="Olejníček"/>
    <x v="377"/>
    <m/>
    <m/>
    <m/>
    <s v="33168100-6"/>
    <s v="2.2.324."/>
    <n v="570000"/>
    <x v="2"/>
    <d v="2021-09-30T00:00:00"/>
    <d v="2021-10-08T00:00:00"/>
    <d v="2021-10-18T00:00:00"/>
    <s v="Olympus Czech Group, s.r.o."/>
    <m/>
    <n v="567640"/>
    <n v="686845"/>
    <m/>
    <m/>
    <m/>
    <d v="2021-10-19T00:00:00"/>
    <s v="SMLN-2021-617-000580_x000a_SMLN-2021-612-000117"/>
    <x v="128"/>
    <d v="2021-11-18T00:00:00"/>
    <d v="2021-12-28T00:00:00"/>
  </r>
  <r>
    <d v="2021-09-13T00:00:00"/>
    <s v="VZ-2021-000986"/>
    <x v="1"/>
    <s v="Valtová"/>
    <x v="378"/>
    <m/>
    <m/>
    <m/>
    <s v="33140000-3"/>
    <m/>
    <n v="2054660"/>
    <x v="1"/>
    <d v="2021-10-05T00:00:00"/>
    <d v="2021-10-22T00:00:00"/>
    <d v="2021-11-09T00:00:00"/>
    <s v="BARD Czech Republic s.r.o."/>
    <m/>
    <n v="2054300"/>
    <n v="2485703"/>
    <m/>
    <m/>
    <m/>
    <d v="2021-11-09T00:00:00"/>
    <s v="SMLN-2021-617-000639_x000a_SMLN-2021-614-000113"/>
    <x v="143"/>
    <d v="2021-12-08T00:00:00"/>
    <d v="2024-11-28T00:00:00"/>
  </r>
  <r>
    <d v="2021-09-13T00:00:00"/>
    <s v="VZ-2021-000987"/>
    <x v="1"/>
    <s v="Valtová"/>
    <x v="379"/>
    <m/>
    <m/>
    <m/>
    <s v="33140000-3"/>
    <m/>
    <n v="640000"/>
    <x v="2"/>
    <d v="2021-09-30T00:00:00"/>
    <d v="2021-10-12T00:00:00"/>
    <d v="2021-10-14T00:00:00"/>
    <s v="ARID obchodní společnost, s.r.o."/>
    <m/>
    <n v="640000"/>
    <n v="774400"/>
    <m/>
    <m/>
    <m/>
    <d v="2021-10-18T00:00:00"/>
    <s v="SMLN-2021-617-000571_x000a_SMLN-2021-614-000090"/>
    <x v="160"/>
    <d v="2021-11-04T00:00:00"/>
    <d v="2024-11-01T00:00:00"/>
  </r>
  <r>
    <d v="2021-09-06T00:00:00"/>
    <s v="VZ-2021-000988"/>
    <x v="2"/>
    <s v="Olejníček"/>
    <x v="380"/>
    <m/>
    <m/>
    <m/>
    <s v="33168000-5"/>
    <s v="2.3.515."/>
    <n v="913200"/>
    <x v="2"/>
    <d v="2021-09-30T00:00:00"/>
    <d v="2021-10-11T00:00:00"/>
    <d v="2021-11-02T00:00:00"/>
    <s v="Olympus Czech Group, s.r.o."/>
    <m/>
    <n v="871462"/>
    <n v="1054469.02"/>
    <m/>
    <m/>
    <m/>
    <d v="2021-11-02T00:00:00"/>
    <s v="SMLN-2021-617-000607_x000a_SMLN-2021-612-000119_x000a_SMLN-2021-617-000608"/>
    <x v="161"/>
    <d v="2021-12-09T00:00:00"/>
    <d v="2022-01-13T00:00:00"/>
  </r>
  <r>
    <d v="2021-09-14T00:00:00"/>
    <s v="VZ-2021-000989"/>
    <x v="1"/>
    <s v="Valtová"/>
    <x v="381"/>
    <m/>
    <m/>
    <m/>
    <s v="33140000-3"/>
    <m/>
    <n v="1346520"/>
    <x v="2"/>
    <d v="2021-09-30T00:00:00"/>
    <d v="2021-10-15T00:00:00"/>
    <d v="2021-10-20T00:00:00"/>
    <s v="ELLA-CS, s.r.o."/>
    <m/>
    <n v="1405730"/>
    <n v="1616589.5"/>
    <m/>
    <m/>
    <m/>
    <d v="2021-10-21T00:00:00"/>
    <s v="SMLN-2021-617-000584_x000a_SMLN-2021-614-000095"/>
    <x v="128"/>
    <d v="2021-11-19T00:00:00"/>
    <d v="2024-11-15T00:00:00"/>
  </r>
  <r>
    <d v="2021-09-06T00:00:00"/>
    <s v="VZ-2021-000990"/>
    <x v="2"/>
    <s v="Olejníček"/>
    <x v="382"/>
    <m/>
    <m/>
    <m/>
    <s v="33168000-5"/>
    <s v="2.3.514."/>
    <n v="324000"/>
    <x v="2"/>
    <d v="2021-10-04T00:00:00"/>
    <d v="2021-10-14T00:00:00"/>
    <d v="2021-10-27T00:00:00"/>
    <s v="DN FORMED Brno s.r.o."/>
    <m/>
    <n v="211849.42"/>
    <n v="256337.8"/>
    <m/>
    <m/>
    <m/>
    <d v="2021-10-27T00:00:00"/>
    <s v="SMLN-2021-617-000596_x000a_SMLN-2021-612-000118"/>
    <x v="143"/>
    <d v="2021-12-01T00:00:00"/>
    <d v="2022-01-24T00:00:00"/>
  </r>
  <r>
    <d v="2021-09-23T00:00:00"/>
    <s v="VZ-2021-000993"/>
    <x v="0"/>
    <s v="Ondráčková"/>
    <x v="383"/>
    <m/>
    <m/>
    <m/>
    <s v="33694000-1"/>
    <m/>
    <n v="4650131"/>
    <x v="0"/>
    <d v="2021-09-27T00:00:00"/>
    <d v="2021-11-01T00:00:00"/>
    <m/>
    <s v="zrušeno - bez hodnotitelné nabídky"/>
    <m/>
    <m/>
    <m/>
    <m/>
    <m/>
    <m/>
    <m/>
    <m/>
    <x v="6"/>
    <d v="2021-12-06T00:00:00"/>
    <s v="22.11.2021 vyloučení Life tech."/>
  </r>
  <r>
    <d v="2021-09-21T00:00:00"/>
    <s v="VZ-2021-000994"/>
    <x v="4"/>
    <s v="Srovnal"/>
    <x v="384"/>
    <m/>
    <m/>
    <m/>
    <s v="45311000-0"/>
    <m/>
    <n v="4700000"/>
    <x v="2"/>
    <d v="2021-10-01T00:00:00"/>
    <d v="2021-10-13T00:00:00"/>
    <d v="2021-11-02T00:00:00"/>
    <s v="ELMAR group, spol. s r.o."/>
    <m/>
    <n v="4597027"/>
    <n v="5562402.6699999999"/>
    <m/>
    <m/>
    <m/>
    <d v="2021-11-03T00:00:00"/>
    <s v="SMLN-2021-618-000075"/>
    <x v="162"/>
    <d v="2021-11-29T00:00:00"/>
    <m/>
  </r>
  <r>
    <d v="2021-09-21T00:00:00"/>
    <s v="VZ-2021-000995"/>
    <x v="4"/>
    <s v="Srovnal"/>
    <x v="385"/>
    <m/>
    <m/>
    <m/>
    <s v="45351000-2"/>
    <m/>
    <n v="2500000"/>
    <x v="2"/>
    <d v="2021-09-30T00:00:00"/>
    <d v="2021-10-12T00:00:00"/>
    <d v="2021-10-27T00:00:00"/>
    <s v="Dräger Medical s.r.o."/>
    <m/>
    <n v="1290000"/>
    <n v="1560900"/>
    <m/>
    <m/>
    <m/>
    <d v="2021-10-29T00:00:00"/>
    <s v="SMLN-2021-618-000071"/>
    <x v="163"/>
    <d v="2021-11-30T00:00:00"/>
    <d v="2022-03-29T00:00:00"/>
  </r>
  <r>
    <d v="2021-09-20T00:00:00"/>
    <s v="VZ-2021-000997"/>
    <x v="10"/>
    <s v="Zdráhalová"/>
    <x v="386"/>
    <m/>
    <m/>
    <m/>
    <s v="33141620-2"/>
    <m/>
    <n v="3299200"/>
    <x v="1"/>
    <d v="2021-10-15T00:00:00"/>
    <d v="2021-11-10T00:00:00"/>
    <d v="2021-12-09T00:00:00"/>
    <s v="MANLOMKA s.r.o."/>
    <m/>
    <n v="3247680"/>
    <n v="3734852"/>
    <m/>
    <m/>
    <m/>
    <d v="2021-12-09T00:00:00"/>
    <s v="SMLN-2021-617-000717"/>
    <x v="6"/>
    <m/>
    <m/>
  </r>
  <r>
    <d v="2021-09-24T00:00:00"/>
    <s v="VZ-2021-001002"/>
    <x v="0"/>
    <s v="Ondráčková"/>
    <x v="387"/>
    <n v="1"/>
    <s v="ENZALUTAMID"/>
    <m/>
    <s v="33652200-7"/>
    <m/>
    <n v="79105740"/>
    <x v="0"/>
    <d v="2021-09-30T00:00:00"/>
    <d v="2021-11-02T00:00:00"/>
    <m/>
    <s v="zrušeno - bez nabídky"/>
    <m/>
    <m/>
    <m/>
    <m/>
    <m/>
    <m/>
    <m/>
    <m/>
    <x v="6"/>
    <d v="2021-11-05T00:00:00"/>
    <s v="4.11.2021 zrušeno"/>
  </r>
  <r>
    <d v="2021-09-24T00:00:00"/>
    <s v="VZ-2021-001002"/>
    <x v="0"/>
    <s v="Ondráčková"/>
    <x v="387"/>
    <n v="2"/>
    <s v="KOBIMETINIB"/>
    <m/>
    <s v="33652000-5"/>
    <m/>
    <n v="370986"/>
    <x v="0"/>
    <d v="2021-09-30T00:00:00"/>
    <d v="2021-11-02T00:00:00"/>
    <d v="2021-12-01T00:00:00"/>
    <s v="ROCHE s.r.o."/>
    <m/>
    <n v="125634.9"/>
    <n v="138198.39000000001"/>
    <m/>
    <m/>
    <m/>
    <d v="2021-12-01T00:00:00"/>
    <s v="SMLN-2021-617-000693"/>
    <x v="6"/>
    <m/>
    <m/>
  </r>
  <r>
    <d v="2021-09-24T00:00:00"/>
    <s v="VZ-2021-001002"/>
    <x v="0"/>
    <s v="Ondráčková"/>
    <x v="387"/>
    <n v="3"/>
    <s v="PIRFENIDON"/>
    <m/>
    <s v="33652200-7"/>
    <m/>
    <n v="52685673"/>
    <x v="0"/>
    <d v="2021-09-30T00:00:00"/>
    <d v="2021-11-02T00:00:00"/>
    <d v="2021-12-01T00:00:00"/>
    <s v="ROCHE s.r.o."/>
    <m/>
    <n v="51324507.899999999"/>
    <n v="56456958.689999998"/>
    <m/>
    <m/>
    <m/>
    <d v="2021-12-01T00:00:00"/>
    <s v="SMLN-2021-617-000694"/>
    <x v="6"/>
    <m/>
    <m/>
  </r>
  <r>
    <d v="2021-09-21T00:00:00"/>
    <s v="VZ-2021-001003"/>
    <x v="4"/>
    <s v="Srovnal"/>
    <x v="388"/>
    <m/>
    <m/>
    <m/>
    <s v="45261910-6"/>
    <m/>
    <n v="2100000"/>
    <x v="2"/>
    <d v="2021-09-30T00:00:00"/>
    <d v="2021-10-08T00:00:00"/>
    <d v="2021-10-14T00:00:00"/>
    <s v="IZOTECH MORAVIA, spol. s r.o."/>
    <m/>
    <n v="1766928.37"/>
    <n v="2137983.33"/>
    <m/>
    <m/>
    <m/>
    <d v="2021-10-14T00:00:00"/>
    <s v="SMLN-2021-618-000066"/>
    <x v="160"/>
    <d v="2021-11-04T00:00:00"/>
    <m/>
  </r>
  <r>
    <s v="opakovaná VZ"/>
    <s v="VZ-2021-001004"/>
    <x v="8"/>
    <s v="Kadlec"/>
    <x v="389"/>
    <m/>
    <m/>
    <m/>
    <s v="452113100-5"/>
    <m/>
    <n v="450000"/>
    <x v="2"/>
    <d v="2021-09-30T00:00:00"/>
    <d v="2021-10-08T00:00:00"/>
    <d v="2021-10-14T00:00:00"/>
    <s v="Marek Alt"/>
    <m/>
    <n v="444480.7"/>
    <n v="537821.65"/>
    <m/>
    <m/>
    <m/>
    <d v="2021-10-15T00:00:00"/>
    <s v="SMLN-2021-618-000067"/>
    <x v="135"/>
    <d v="2021-11-18T00:00:00"/>
    <d v="2021-12-10T00:00:00"/>
  </r>
  <r>
    <d v="2021-09-22T00:00:00"/>
    <s v="VZ-2021-001005"/>
    <x v="4"/>
    <s v="Srovnal"/>
    <x v="390"/>
    <m/>
    <m/>
    <m/>
    <s v="32570000-9"/>
    <m/>
    <n v="500000"/>
    <x v="2"/>
    <d v="2021-10-01T00:00:00"/>
    <d v="2021-10-13T00:00:00"/>
    <d v="2021-11-16T00:00:00"/>
    <s v="CODACO ELECTRONIC, s.r.o."/>
    <m/>
    <n v="419422.98"/>
    <n v="507501.81"/>
    <m/>
    <m/>
    <m/>
    <d v="2021-11-16T00:00:00"/>
    <s v="SMLN-2021-617-000659"/>
    <x v="159"/>
    <d v="2021-12-09T00:00:00"/>
    <d v="2022-01-19T00:00:00"/>
  </r>
  <r>
    <m/>
    <s v="VZ-2021-001009"/>
    <x v="0"/>
    <s v="Ondráčková"/>
    <x v="391"/>
    <m/>
    <m/>
    <m/>
    <s v="33694000-1"/>
    <m/>
    <n v="23130000"/>
    <x v="0"/>
    <m/>
    <m/>
    <m/>
    <m/>
    <m/>
    <m/>
    <m/>
    <m/>
    <m/>
    <m/>
    <m/>
    <m/>
    <x v="6"/>
    <m/>
    <m/>
  </r>
  <r>
    <d v="2021-09-24T00:00:00"/>
    <s v="VZ-2021-001010"/>
    <x v="0"/>
    <s v="Ondráčková"/>
    <x v="392"/>
    <n v="1"/>
    <s v="FLUCONAZOL I.V."/>
    <m/>
    <s v="33651200-0"/>
    <m/>
    <n v="1724688"/>
    <x v="0"/>
    <d v="2021-10-06T00:00:00"/>
    <d v="2021-12-21T00:00:00"/>
    <m/>
    <m/>
    <m/>
    <m/>
    <m/>
    <m/>
    <m/>
    <m/>
    <m/>
    <m/>
    <x v="6"/>
    <m/>
    <m/>
  </r>
  <r>
    <d v="2021-09-24T00:00:00"/>
    <s v="VZ-2021-001010"/>
    <x v="0"/>
    <s v="Ondráčková"/>
    <x v="392"/>
    <n v="2"/>
    <s v="VORIKONAZOL SANDOZ Tbl."/>
    <m/>
    <s v="33651200-0"/>
    <m/>
    <n v="1365165"/>
    <x v="0"/>
    <d v="2021-10-06T00:00:00"/>
    <d v="2021-12-21T00:00:00"/>
    <m/>
    <m/>
    <m/>
    <m/>
    <m/>
    <m/>
    <m/>
    <m/>
    <m/>
    <m/>
    <x v="6"/>
    <m/>
    <m/>
  </r>
  <r>
    <d v="2021-09-24T00:00:00"/>
    <s v="VZ-2021-001010"/>
    <x v="0"/>
    <s v="Ondráčková"/>
    <x v="392"/>
    <n v="3"/>
    <s v="VFEND Tbl."/>
    <m/>
    <s v="33651200-0"/>
    <m/>
    <n v="1365165"/>
    <x v="0"/>
    <d v="2021-10-06T00:00:00"/>
    <d v="2021-12-21T00:00:00"/>
    <m/>
    <m/>
    <m/>
    <m/>
    <m/>
    <m/>
    <m/>
    <m/>
    <m/>
    <m/>
    <x v="6"/>
    <m/>
    <m/>
  </r>
  <r>
    <d v="2021-09-24T00:00:00"/>
    <s v="VZ-2021-001010"/>
    <x v="0"/>
    <s v="Ondráčková"/>
    <x v="392"/>
    <n v="4"/>
    <s v="VORICONAZOLE ACCORD Tbl."/>
    <m/>
    <s v="33651200-0"/>
    <m/>
    <n v="1365165"/>
    <x v="0"/>
    <d v="2021-10-06T00:00:00"/>
    <d v="2021-12-21T00:00:00"/>
    <m/>
    <m/>
    <m/>
    <m/>
    <m/>
    <m/>
    <m/>
    <m/>
    <m/>
    <m/>
    <x v="6"/>
    <m/>
    <m/>
  </r>
  <r>
    <d v="2021-09-24T00:00:00"/>
    <s v="VZ-2021-001010"/>
    <x v="0"/>
    <s v="Ondráčková"/>
    <x v="392"/>
    <n v="5"/>
    <s v="VORICONAZOLE OLIKLA Tbl."/>
    <m/>
    <s v="33651200-0"/>
    <m/>
    <n v="72594"/>
    <x v="0"/>
    <d v="2021-10-06T00:00:00"/>
    <d v="2021-12-21T00:00:00"/>
    <m/>
    <m/>
    <m/>
    <m/>
    <m/>
    <m/>
    <m/>
    <m/>
    <m/>
    <m/>
    <x v="6"/>
    <m/>
    <m/>
  </r>
  <r>
    <d v="2021-09-24T00:00:00"/>
    <s v="VZ-2021-001010"/>
    <x v="0"/>
    <s v="Ondráčková"/>
    <x v="392"/>
    <n v="6"/>
    <s v="VORICONAZOLE TEVA Tbl."/>
    <m/>
    <s v="33651200-0"/>
    <m/>
    <n v="1365165"/>
    <x v="0"/>
    <d v="2021-10-06T00:00:00"/>
    <d v="2021-12-21T00:00:00"/>
    <m/>
    <m/>
    <m/>
    <m/>
    <m/>
    <m/>
    <m/>
    <m/>
    <m/>
    <m/>
    <x v="6"/>
    <m/>
    <m/>
  </r>
  <r>
    <d v="2021-09-24T00:00:00"/>
    <s v="VZ-2021-001010"/>
    <x v="0"/>
    <s v="Ondráčková"/>
    <x v="392"/>
    <n v="7"/>
    <s v="VORIKONAZOL MYLAN Tbl."/>
    <m/>
    <s v="33651200-0"/>
    <m/>
    <n v="1365165"/>
    <x v="0"/>
    <d v="2021-10-06T00:00:00"/>
    <d v="2021-12-21T00:00:00"/>
    <m/>
    <m/>
    <m/>
    <m/>
    <m/>
    <m/>
    <m/>
    <m/>
    <m/>
    <m/>
    <x v="6"/>
    <m/>
    <m/>
  </r>
  <r>
    <d v="2021-09-24T00:00:00"/>
    <s v="VZ-2021-001010"/>
    <x v="0"/>
    <s v="Ondráčková"/>
    <x v="392"/>
    <n v="8"/>
    <s v="VORIKONAZOL Tbl.  pro hospitalizované pacienty"/>
    <m/>
    <s v="33651200-0"/>
    <m/>
    <n v="224649"/>
    <x v="0"/>
    <d v="2021-10-06T00:00:00"/>
    <d v="2021-12-21T00:00:00"/>
    <m/>
    <m/>
    <m/>
    <m/>
    <m/>
    <m/>
    <m/>
    <m/>
    <m/>
    <m/>
    <x v="6"/>
    <m/>
    <m/>
  </r>
  <r>
    <s v="opakovaná VZ"/>
    <s v="VZ-2021-001011"/>
    <x v="0"/>
    <s v="Ondráčková"/>
    <x v="393"/>
    <m/>
    <m/>
    <m/>
    <s v="33694000-1"/>
    <m/>
    <n v="1918200"/>
    <x v="2"/>
    <d v="2021-10-07T00:00:00"/>
    <d v="2021-10-13T00:00:00"/>
    <d v="2021-10-21T00:00:00"/>
    <s v="BioVendor - Laboratorní medicína a.s."/>
    <m/>
    <n v="1980000"/>
    <n v="2395800"/>
    <m/>
    <m/>
    <m/>
    <d v="2021-10-21T00:00:00"/>
    <s v="SMLN-2021-617-000585_x000a_SMLN-2021-616-000066"/>
    <x v="126"/>
    <d v="2021-11-12T00:00:00"/>
    <d v="2022-11-07T00:00:00"/>
  </r>
  <r>
    <d v="2021-09-21T00:00:00"/>
    <s v="VZ-2021-001019"/>
    <x v="1"/>
    <s v="Dočkalová"/>
    <x v="394"/>
    <m/>
    <m/>
    <m/>
    <s v="33140000-3"/>
    <m/>
    <n v="6336997"/>
    <x v="0"/>
    <d v="2021-10-06T00:00:00"/>
    <d v="2021-11-08T00:00:00"/>
    <m/>
    <s v="zrušeno - bez nabídky"/>
    <s v="nová VZ-2021-001196"/>
    <m/>
    <m/>
    <m/>
    <m/>
    <m/>
    <m/>
    <m/>
    <x v="6"/>
    <d v="2021-11-18T00:00:00"/>
    <m/>
  </r>
  <r>
    <s v="opakovaná VZ"/>
    <s v="VZ-2021-001021"/>
    <x v="9"/>
    <s v="Svozil"/>
    <x v="395"/>
    <m/>
    <m/>
    <m/>
    <s v="45232150-8"/>
    <m/>
    <n v="5800000"/>
    <x v="2"/>
    <d v="2021-10-01T00:00:00"/>
    <d v="2021-10-27T00:00:00"/>
    <m/>
    <s v="zrušeno - překročení limitu pro VZMR"/>
    <s v="nová VZ-2021-001173"/>
    <m/>
    <m/>
    <m/>
    <m/>
    <m/>
    <m/>
    <m/>
    <x v="6"/>
    <d v="2021-10-27T00:00:00"/>
    <m/>
  </r>
  <r>
    <d v="2021-09-30T00:00:00"/>
    <s v="VZ-2021-001026"/>
    <x v="0"/>
    <s v="Ondráčková"/>
    <x v="396"/>
    <n v="1"/>
    <s v="SORAFENIB bez indikace diferencovaného karcinomu štítné žlázy "/>
    <m/>
    <s v="33652000-5"/>
    <m/>
    <n v="695760"/>
    <x v="0"/>
    <d v="2021-10-06T00:00:00"/>
    <d v="2021-12-27T00:00:00"/>
    <m/>
    <m/>
    <m/>
    <m/>
    <m/>
    <m/>
    <m/>
    <m/>
    <m/>
    <m/>
    <x v="6"/>
    <m/>
    <m/>
  </r>
  <r>
    <d v="2021-09-30T00:00:00"/>
    <s v="VZ-2021-001026"/>
    <x v="0"/>
    <s v="Ondráčková"/>
    <x v="396"/>
    <n v="2"/>
    <s v="MELFALAN"/>
    <m/>
    <s v="33652000-5"/>
    <m/>
    <n v="553461"/>
    <x v="0"/>
    <d v="2021-10-06T00:00:00"/>
    <d v="2021-12-27T00:00:00"/>
    <m/>
    <m/>
    <m/>
    <m/>
    <m/>
    <m/>
    <m/>
    <m/>
    <m/>
    <m/>
    <x v="6"/>
    <m/>
    <m/>
  </r>
  <r>
    <d v="2021-09-30T00:00:00"/>
    <s v="VZ-2021-001026"/>
    <x v="0"/>
    <s v="Ondráčková"/>
    <x v="396"/>
    <n v="3"/>
    <s v="NELARABIN"/>
    <m/>
    <s v="33652000-5"/>
    <m/>
    <n v="1970539"/>
    <x v="0"/>
    <d v="2021-10-06T00:00:00"/>
    <d v="2021-12-27T00:00:00"/>
    <m/>
    <m/>
    <m/>
    <m/>
    <m/>
    <m/>
    <m/>
    <m/>
    <m/>
    <m/>
    <x v="6"/>
    <m/>
    <m/>
  </r>
  <r>
    <d v="2021-09-30T00:00:00"/>
    <s v="VZ-2021-001026"/>
    <x v="0"/>
    <s v="Ondráčková"/>
    <x v="396"/>
    <n v="4"/>
    <s v="OXID ARSENITÝ I."/>
    <m/>
    <s v="33652000-5"/>
    <m/>
    <n v="1744029"/>
    <x v="0"/>
    <d v="2021-10-06T00:00:00"/>
    <d v="2021-12-27T00:00:00"/>
    <m/>
    <m/>
    <m/>
    <m/>
    <m/>
    <m/>
    <m/>
    <m/>
    <m/>
    <m/>
    <x v="6"/>
    <m/>
    <m/>
  </r>
  <r>
    <d v="2021-09-30T00:00:00"/>
    <s v="VZ-2021-001026"/>
    <x v="0"/>
    <s v="Ondráčková"/>
    <x v="396"/>
    <n v="5"/>
    <s v="OXID ARSENITÝ II."/>
    <m/>
    <s v="33652000-5"/>
    <m/>
    <n v="1335396"/>
    <x v="0"/>
    <d v="2021-10-06T00:00:00"/>
    <d v="2021-12-27T00:00:00"/>
    <m/>
    <m/>
    <m/>
    <m/>
    <m/>
    <m/>
    <m/>
    <m/>
    <m/>
    <m/>
    <x v="6"/>
    <m/>
    <m/>
  </r>
  <r>
    <d v="2021-09-30T00:00:00"/>
    <s v="VZ-2021-001026"/>
    <x v="0"/>
    <s v="Ondráčková"/>
    <x v="396"/>
    <n v="6"/>
    <s v="CRISANTASPASA"/>
    <m/>
    <s v="33652000-5"/>
    <m/>
    <n v="4776300"/>
    <x v="0"/>
    <d v="2021-10-06T00:00:00"/>
    <d v="2021-12-27T00:00:00"/>
    <m/>
    <s v="zrušeno - bez nabídky"/>
    <m/>
    <m/>
    <m/>
    <m/>
    <m/>
    <m/>
    <m/>
    <m/>
    <x v="6"/>
    <d v="2022-03-02T00:00:00"/>
    <s v="31.1.2022 zrušeno"/>
  </r>
  <r>
    <d v="2021-09-30T00:00:00"/>
    <s v="VZ-2021-001027"/>
    <x v="11"/>
    <s v="Valíček"/>
    <x v="397"/>
    <m/>
    <m/>
    <m/>
    <s v="45215100-8"/>
    <s v="1.3.27."/>
    <n v="160000000"/>
    <x v="0"/>
    <d v="2021-12-17T00:00:00"/>
    <d v="2022-01-20T00:00:00"/>
    <m/>
    <m/>
    <m/>
    <m/>
    <m/>
    <m/>
    <m/>
    <m/>
    <m/>
    <m/>
    <x v="6"/>
    <m/>
    <m/>
  </r>
  <r>
    <d v="2021-09-14T00:00:00"/>
    <s v="VZ-2021-001028"/>
    <x v="2"/>
    <s v="Rosulek"/>
    <x v="398"/>
    <m/>
    <m/>
    <m/>
    <s v="33122000-1"/>
    <s v="2.3.529."/>
    <n v="2800000"/>
    <x v="0"/>
    <d v="2021-10-11T00:00:00"/>
    <d v="2021-11-12T00:00:00"/>
    <d v="2021-12-23T00:00:00"/>
    <s v="Carl Zeiss spol. s r.o."/>
    <m/>
    <n v="2797840"/>
    <n v="3385386.4"/>
    <m/>
    <m/>
    <m/>
    <d v="2021-12-23T00:00:00"/>
    <s v="SMLN-2021-617-000748_x000a_SMLN-2021-612-000160"/>
    <x v="6"/>
    <m/>
    <m/>
  </r>
  <r>
    <s v="opakovaná VZ"/>
    <s v="VZ-2021-001031"/>
    <x v="19"/>
    <s v="Klimek"/>
    <x v="399"/>
    <m/>
    <m/>
    <m/>
    <s v="44115600-5"/>
    <s v="4.2.161."/>
    <n v="150000"/>
    <x v="2"/>
    <d v="2021-10-06T00:00:00"/>
    <d v="2021-10-14T00:00:00"/>
    <m/>
    <s v="zrušeno - úprava zadávacích podmínek"/>
    <m/>
    <m/>
    <m/>
    <m/>
    <m/>
    <m/>
    <m/>
    <m/>
    <x v="6"/>
    <d v="2021-10-25T00:00:00"/>
    <m/>
  </r>
  <r>
    <d v="2021-09-30T00:00:00"/>
    <s v="VZ-2021-001032"/>
    <x v="4"/>
    <s v="Eyer"/>
    <x v="400"/>
    <m/>
    <m/>
    <m/>
    <s v="45262340-6"/>
    <m/>
    <n v="590000"/>
    <x v="2"/>
    <d v="2021-10-05T00:00:00"/>
    <d v="2021-10-22T00:00:00"/>
    <d v="2021-11-02T00:00:00"/>
    <s v="Sanatěs Olomouc s.r.o."/>
    <m/>
    <n v="291034"/>
    <n v="352151.14"/>
    <m/>
    <m/>
    <m/>
    <d v="2021-11-02T00:00:00"/>
    <s v="SMLN-2021-618-000073"/>
    <x v="153"/>
    <d v="2021-11-23T00:00:00"/>
    <d v="2022-01-21T00:00:00"/>
  </r>
  <r>
    <s v="opakovaná VZ"/>
    <s v="VZ-2021-001041"/>
    <x v="0"/>
    <s v="Ondráčková"/>
    <x v="401"/>
    <n v="1"/>
    <s v="Spotřební materiál pro genetiku 1"/>
    <m/>
    <s v="33694000-1"/>
    <m/>
    <n v="733738"/>
    <x v="2"/>
    <d v="2021-10-11T00:00:00"/>
    <d v="2021-10-18T00:00:00"/>
    <s v="16.12.202"/>
    <s v="ROCHE s.r.o."/>
    <m/>
    <n v="733735.96"/>
    <n v="887820.51"/>
    <m/>
    <m/>
    <m/>
    <d v="2021-12-16T00:00:00"/>
    <s v="SMLN-2021-617-000732"/>
    <x v="6"/>
    <m/>
    <m/>
  </r>
  <r>
    <s v="opakovaná VZ"/>
    <s v="VZ-2021-001041"/>
    <x v="0"/>
    <s v="Ondráčková"/>
    <x v="401"/>
    <n v="2"/>
    <s v="Spotřební materiál pro genetiku 2"/>
    <m/>
    <s v="33694000-1"/>
    <m/>
    <n v="102837"/>
    <x v="2"/>
    <d v="2021-10-11T00:00:00"/>
    <d v="2021-10-18T00:00:00"/>
    <m/>
    <s v="BIOMEDICA ČS, s.r.o."/>
    <m/>
    <n v="47784"/>
    <n v="57818.64"/>
    <m/>
    <m/>
    <m/>
    <m/>
    <m/>
    <x v="6"/>
    <m/>
    <m/>
  </r>
  <r>
    <s v="opakovaná VZ"/>
    <s v="VZ-2021-001041"/>
    <x v="0"/>
    <s v="Ondráčková"/>
    <x v="401"/>
    <n v="3"/>
    <s v="Spotřební materiál pro genetiku 3"/>
    <m/>
    <s v="33694000-1"/>
    <m/>
    <n v="52000"/>
    <x v="2"/>
    <d v="2021-10-11T00:00:00"/>
    <d v="2021-10-18T00:00:00"/>
    <m/>
    <s v="zrušeno - bez nabídky"/>
    <m/>
    <m/>
    <m/>
    <m/>
    <m/>
    <m/>
    <m/>
    <m/>
    <x v="6"/>
    <d v="2021-10-18T00:00:00"/>
    <s v="18.10.2021 zrušeno"/>
  </r>
  <r>
    <s v="opakovaná VZ"/>
    <s v="VZ-2021-001041"/>
    <x v="0"/>
    <s v="Ondráčková"/>
    <x v="401"/>
    <n v="4"/>
    <s v="Spotřební materiál pro genetiku 4"/>
    <m/>
    <s v="33694000-1"/>
    <m/>
    <n v="287058"/>
    <x v="2"/>
    <d v="2021-10-11T00:00:00"/>
    <d v="2021-10-18T00:00:00"/>
    <s v="16.12.202"/>
    <s v="GeneTiCA s.r.o."/>
    <m/>
    <n v="301280"/>
    <n v="364548.8"/>
    <m/>
    <m/>
    <m/>
    <d v="2021-12-16T00:00:00"/>
    <s v="SMLN-2021-617-000733"/>
    <x v="6"/>
    <m/>
    <m/>
  </r>
  <r>
    <s v="opakovaná VZ"/>
    <s v="VZ-2021-001041"/>
    <x v="0"/>
    <s v="Ondráčková"/>
    <x v="401"/>
    <n v="5"/>
    <s v="Spotřební materiál pro genetiku 5"/>
    <m/>
    <s v="33694000-1"/>
    <m/>
    <n v="195234"/>
    <x v="2"/>
    <d v="2021-10-11T00:00:00"/>
    <d v="2021-10-18T00:00:00"/>
    <m/>
    <s v="zrušeno - bez nabídky"/>
    <m/>
    <m/>
    <m/>
    <m/>
    <m/>
    <m/>
    <m/>
    <m/>
    <x v="6"/>
    <d v="2021-10-18T00:00:00"/>
    <s v="18.10.2021 zrušeno"/>
  </r>
  <r>
    <d v="2021-10-01T00:00:00"/>
    <s v="VZ-2021-001042"/>
    <x v="1"/>
    <s v="Valtová"/>
    <x v="402"/>
    <m/>
    <m/>
    <m/>
    <s v="33140000-3"/>
    <m/>
    <n v="4914000"/>
    <x v="0"/>
    <d v="2021-10-18T00:00:00"/>
    <d v="2021-11-22T00:00:00"/>
    <d v="2021-12-16T00:00:00"/>
    <s v="Innova Medical s.r.o."/>
    <m/>
    <n v="4851000"/>
    <n v="5869710"/>
    <m/>
    <m/>
    <m/>
    <d v="2021-12-16T00:00:00"/>
    <s v="SMLN-2021-617-000726_x000a_SMLN-2021-614-000130"/>
    <x v="6"/>
    <m/>
    <m/>
  </r>
  <r>
    <d v="2021-10-04T00:00:00"/>
    <s v="VZ-2021-001043"/>
    <x v="1"/>
    <s v="Valtová"/>
    <x v="403"/>
    <n v="1"/>
    <s v="Systémy pro uzavírání vstupů po perkutánních cévních výkonech I."/>
    <m/>
    <s v="33140000-3"/>
    <m/>
    <n v="3311000"/>
    <x v="0"/>
    <d v="2021-10-12T00:00:00"/>
    <d v="2021-11-16T00:00:00"/>
    <d v="2021-12-01T00:00:00"/>
    <s v="MEDITRADE spol. s r.o."/>
    <m/>
    <n v="3311000"/>
    <n v="3807650"/>
    <m/>
    <m/>
    <m/>
    <d v="2021-12-01T00:00:00"/>
    <s v="SMLN-2021-617-000696_x000a_SMLN-2021-614-000118_x000a_SMLN-2021-614-000119"/>
    <x v="6"/>
    <m/>
    <m/>
  </r>
  <r>
    <d v="2021-10-04T00:00:00"/>
    <s v="VZ-2021-001043"/>
    <x v="1"/>
    <s v="Valtová"/>
    <x v="403"/>
    <n v="2"/>
    <s v="Systémy pro uzavírání vstupů po perkutánních cévních výkonech II."/>
    <m/>
    <s v="33140000-3"/>
    <m/>
    <n v="5213900"/>
    <x v="0"/>
    <d v="2021-10-12T00:00:00"/>
    <d v="2021-11-16T00:00:00"/>
    <d v="2021-12-01T00:00:00"/>
    <s v="MEDITRADE spol. s r.o."/>
    <m/>
    <n v="5168000"/>
    <n v="5943200"/>
    <m/>
    <m/>
    <m/>
    <d v="2021-12-01T00:00:00"/>
    <s v="SMLN-2021-617-000697_x000a_SMLN-2021-614-000120"/>
    <x v="6"/>
    <m/>
    <m/>
  </r>
  <r>
    <d v="2021-10-04T00:00:00"/>
    <s v="VZ-2021-001044"/>
    <x v="1"/>
    <s v="Valtová"/>
    <x v="404"/>
    <n v="1"/>
    <s v="Diagnostické katétry  I."/>
    <m/>
    <s v="33140000-3"/>
    <m/>
    <n v="681480"/>
    <x v="0"/>
    <d v="2021-10-12T00:00:00"/>
    <d v="2021-11-15T00:00:00"/>
    <d v="2021-12-09T00:00:00"/>
    <s v="ARID obchodní společnost, s.r.o."/>
    <m/>
    <n v="681480"/>
    <n v="824590.8"/>
    <m/>
    <m/>
    <m/>
    <d v="2021-12-09T00:00:00"/>
    <s v="SMLN-2021-617-000718_x000a_SMLN-2021-614-000127"/>
    <x v="6"/>
    <m/>
    <m/>
  </r>
  <r>
    <d v="2021-10-04T00:00:00"/>
    <s v="VZ-2021-001044"/>
    <x v="1"/>
    <s v="Valtová"/>
    <x v="404"/>
    <n v="2"/>
    <s v="Diagnostické katétry  II."/>
    <m/>
    <s v="33140000-3"/>
    <m/>
    <n v="1400000"/>
    <x v="0"/>
    <d v="2021-10-12T00:00:00"/>
    <d v="2021-11-15T00:00:00"/>
    <m/>
    <s v="zrušeno - upravit zadání"/>
    <s v="nová VZ-2021-001309"/>
    <m/>
    <m/>
    <m/>
    <m/>
    <m/>
    <m/>
    <m/>
    <x v="6"/>
    <d v="2021-12-06T00:00:00"/>
    <s v="12.11.2021 zrušeno"/>
  </r>
  <r>
    <d v="2021-10-04T00:00:00"/>
    <s v="VZ-2021-001044"/>
    <x v="1"/>
    <s v="Valtová"/>
    <x v="404"/>
    <n v="3"/>
    <s v="Hydrofilní diagnostické katétry"/>
    <m/>
    <s v="33140000-3"/>
    <m/>
    <n v="120600"/>
    <x v="0"/>
    <d v="2021-10-12T00:00:00"/>
    <d v="2021-11-15T00:00:00"/>
    <d v="2021-12-09T00:00:00"/>
    <s v="VAMEX, spol. s r.o."/>
    <m/>
    <n v="120600"/>
    <n v="145926"/>
    <m/>
    <m/>
    <m/>
    <d v="2021-12-09T00:00:00"/>
    <s v="SMLN-2021-617-000719_x000a_SMLN-2021-614-000128"/>
    <x v="6"/>
    <m/>
    <m/>
  </r>
  <r>
    <d v="2021-10-04T00:00:00"/>
    <s v="VZ-2021-001044"/>
    <x v="1"/>
    <s v="Valtová"/>
    <x v="404"/>
    <n v="4"/>
    <s v="Kalibrační diagnostické katétry"/>
    <m/>
    <s v="33140000-3"/>
    <m/>
    <n v="125160"/>
    <x v="0"/>
    <d v="2021-10-12T00:00:00"/>
    <d v="2021-11-15T00:00:00"/>
    <m/>
    <s v="zrušeno - bez nabídky"/>
    <s v="nová VZ-2021-001309"/>
    <m/>
    <m/>
    <m/>
    <m/>
    <m/>
    <m/>
    <m/>
    <x v="6"/>
    <d v="2021-12-06T00:00:00"/>
    <s v="18.11.2021 zrušeno"/>
  </r>
  <r>
    <d v="2021-10-04T00:00:00"/>
    <s v="VZ-2021-001044"/>
    <x v="1"/>
    <s v="Valtová"/>
    <x v="404"/>
    <n v="5"/>
    <s v="Vodící katétry neurointervenční"/>
    <m/>
    <s v="33140000-3"/>
    <m/>
    <n v="2080500"/>
    <x v="0"/>
    <d v="2021-10-12T00:00:00"/>
    <d v="2021-11-15T00:00:00"/>
    <m/>
    <s v="zrušeno - bez nabídky"/>
    <s v="nová VZ-2021-001309"/>
    <m/>
    <m/>
    <m/>
    <m/>
    <m/>
    <m/>
    <m/>
    <x v="6"/>
    <d v="2021-12-06T00:00:00"/>
    <s v="18.11.2021 zrušeno"/>
  </r>
  <r>
    <d v="2021-10-04T00:00:00"/>
    <s v="VZ-2021-001045"/>
    <x v="1"/>
    <s v="Dočkalová"/>
    <x v="405"/>
    <m/>
    <m/>
    <m/>
    <s v="33140000-3"/>
    <m/>
    <n v="3561600"/>
    <x v="0"/>
    <d v="2021-10-13T00:00:00"/>
    <d v="2021-11-25T00:00:00"/>
    <m/>
    <m/>
    <m/>
    <m/>
    <m/>
    <m/>
    <m/>
    <m/>
    <m/>
    <m/>
    <x v="6"/>
    <m/>
    <m/>
  </r>
  <r>
    <s v="opakovaná VZ"/>
    <s v="VZ-2021-001046"/>
    <x v="18"/>
    <s v="Cahlíková"/>
    <x v="406"/>
    <m/>
    <m/>
    <m/>
    <s v="72225000-8"/>
    <m/>
    <n v="200000"/>
    <x v="2"/>
    <d v="2021-10-05T00:00:00"/>
    <d v="2021-10-11T00:00:00"/>
    <m/>
    <s v="zrušeno - bez nabídky"/>
    <s v="nová VZ-2021-001118"/>
    <m/>
    <m/>
    <m/>
    <m/>
    <m/>
    <m/>
    <m/>
    <x v="6"/>
    <d v="2021-10-11T00:00:00"/>
    <m/>
  </r>
  <r>
    <d v="2021-09-06T00:00:00"/>
    <s v="VZ-2021-001056"/>
    <x v="2"/>
    <s v="Olejníček"/>
    <x v="407"/>
    <m/>
    <m/>
    <m/>
    <s v="33122000-1"/>
    <s v="2.3.530."/>
    <n v="330000"/>
    <x v="2"/>
    <d v="2021-10-12T00:00:00"/>
    <d v="2021-10-21T00:00:00"/>
    <m/>
    <s v="zrušeno - bez nabídky"/>
    <s v="nová VZ-2021-001157"/>
    <m/>
    <m/>
    <m/>
    <m/>
    <m/>
    <m/>
    <m/>
    <x v="6"/>
    <d v="2021-10-21T00:00:00"/>
    <m/>
  </r>
  <r>
    <d v="2021-11-16T00:00:00"/>
    <s v="VZ-2021-001073"/>
    <x v="0"/>
    <s v="Ondráčková"/>
    <x v="408"/>
    <m/>
    <m/>
    <m/>
    <s v="33694000-1"/>
    <m/>
    <n v="7471900"/>
    <x v="0"/>
    <d v="2021-12-06T00:00:00"/>
    <d v="2022-01-10T00:00:00"/>
    <m/>
    <m/>
    <m/>
    <m/>
    <m/>
    <m/>
    <m/>
    <m/>
    <m/>
    <m/>
    <x v="6"/>
    <m/>
    <m/>
  </r>
  <r>
    <d v="2021-09-30T00:00:00"/>
    <s v="VZ-2021-001081"/>
    <x v="2"/>
    <s v="Novák"/>
    <x v="409"/>
    <m/>
    <m/>
    <m/>
    <s v="39143112-4"/>
    <m/>
    <n v="1329000"/>
    <x v="2"/>
    <d v="2021-10-25T00:00:00"/>
    <d v="2021-11-09T00:00:00"/>
    <d v="2021-11-16T00:00:00"/>
    <s v="LB Bohemia, s.r.o."/>
    <m/>
    <n v="1151800"/>
    <n v="1324570"/>
    <m/>
    <m/>
    <m/>
    <d v="2021-11-16T00:00:00"/>
    <s v="SMLN-2021-617-000664"/>
    <x v="116"/>
    <d v="2021-12-02T00:00:00"/>
    <d v="2022-01-04T00:00:00"/>
  </r>
  <r>
    <d v="2021-09-21T00:00:00"/>
    <s v="VZ-2021-001083"/>
    <x v="2"/>
    <s v="Olejníček"/>
    <x v="410"/>
    <m/>
    <m/>
    <m/>
    <s v="33168100-6"/>
    <s v="2.2.350."/>
    <n v="1767000"/>
    <x v="2"/>
    <d v="2021-10-14T00:00:00"/>
    <d v="2021-10-25T00:00:00"/>
    <d v="2021-11-08T00:00:00"/>
    <s v="RADIX CZ s.r.o."/>
    <m/>
    <n v="1586985"/>
    <n v="1920251.85"/>
    <m/>
    <m/>
    <m/>
    <d v="2021-11-09T00:00:00"/>
    <s v="SMLN-2021-617-000628_x000a_SMLN-2021-612-000121_x000a_SMLN-2021-617-000630"/>
    <x v="65"/>
    <d v="2021-12-09T00:00:00"/>
    <d v="2022-02-01T00:00:00"/>
  </r>
  <r>
    <d v="2021-09-24T00:00:00"/>
    <s v="VZ-2021-001089"/>
    <x v="2"/>
    <s v="Olejníček"/>
    <x v="411"/>
    <n v="1"/>
    <s v="Mycí a dezinfekční automaty"/>
    <m/>
    <s v="33191000-5"/>
    <s v="2.2.389., 2.2.404."/>
    <n v="880000"/>
    <x v="2"/>
    <d v="2021-10-15T00:00:00"/>
    <d v="2021-10-26T00:00:00"/>
    <d v="2021-11-15T00:00:00"/>
    <s v="MIELE, spol. s r.o."/>
    <m/>
    <n v="830040"/>
    <n v="1004352.1"/>
    <m/>
    <m/>
    <m/>
    <d v="2021-11-15T00:00:00"/>
    <s v="SMLN-2021-617-000653_x000a_SMLN-2021-612-000134"/>
    <x v="159"/>
    <d v="2021-12-09T00:00:00"/>
    <m/>
  </r>
  <r>
    <d v="2021-09-24T00:00:00"/>
    <s v="VZ-2021-001089"/>
    <x v="2"/>
    <s v="Olejníček"/>
    <x v="411"/>
    <n v="2"/>
    <s v="Desinfektor"/>
    <m/>
    <s v="33191000-5"/>
    <s v="2.2.408"/>
    <n v="370400"/>
    <x v="2"/>
    <d v="2021-10-15T00:00:00"/>
    <d v="2021-10-26T00:00:00"/>
    <d v="2021-11-15T00:00:00"/>
    <s v="Fénix Brno, spol. s r.o."/>
    <m/>
    <n v="358945"/>
    <n v="434323.45"/>
    <m/>
    <m/>
    <m/>
    <d v="2021-11-15T00:00:00"/>
    <s v="SMLN-2021-617-000654_x000a_SMLN-2021-612-000135"/>
    <x v="157"/>
    <d v="2021-12-09T00:00:00"/>
    <d v="2022-01-14T00:00:00"/>
  </r>
  <r>
    <d v="2021-09-24T00:00:00"/>
    <s v="VZ-2021-001089"/>
    <x v="2"/>
    <s v="Olejníček"/>
    <x v="411"/>
    <n v="3"/>
    <s v="Laboratorní myčka"/>
    <m/>
    <s v="33191000-5"/>
    <s v="2.3.525."/>
    <n v="560000"/>
    <x v="2"/>
    <d v="2021-10-15T00:00:00"/>
    <d v="2021-10-26T00:00:00"/>
    <d v="2021-11-15T00:00:00"/>
    <s v="MIELE, spol. s r.o."/>
    <m/>
    <n v="534895"/>
    <n v="647222.80000000005"/>
    <m/>
    <m/>
    <m/>
    <d v="2021-11-15T00:00:00"/>
    <s v="SMLN-2021-617-000655_x000a_SMLN-2021-612-000136"/>
    <x v="159"/>
    <d v="2021-12-09T00:00:00"/>
    <d v="2022-02-02T00:00:00"/>
  </r>
  <r>
    <d v="2021-10-13T00:00:00"/>
    <s v="VZ-2021-001090"/>
    <x v="3"/>
    <s v="Zeman"/>
    <x v="412"/>
    <m/>
    <m/>
    <m/>
    <s v="45215100-8"/>
    <s v="1.2.73."/>
    <n v="40000000"/>
    <x v="1"/>
    <d v="2021-10-22T00:00:00"/>
    <d v="2021-11-25T00:00:00"/>
    <d v="2021-12-23T00:00:00"/>
    <s v="PTÁČEK - pozemní stavby s.r.o."/>
    <m/>
    <n v="43869660.420000002"/>
    <n v="53082289.109999999"/>
    <m/>
    <m/>
    <m/>
    <d v="2021-12-23T00:00:00"/>
    <s v="SMLN-2021-618-000092"/>
    <x v="6"/>
    <m/>
    <m/>
  </r>
  <r>
    <d v="2021-10-06T00:00:00"/>
    <s v="VZ-2021-001091"/>
    <x v="2"/>
    <s v="Olejníček"/>
    <x v="413"/>
    <m/>
    <m/>
    <m/>
    <s v="33168100-6"/>
    <s v="2.3.567."/>
    <n v="350900"/>
    <x v="2"/>
    <d v="2021-10-15T00:00:00"/>
    <d v="2021-10-29T00:00:00"/>
    <d v="2021-11-15T00:00:00"/>
    <s v="Olympus Czech Group, s.r.o."/>
    <m/>
    <n v="325438"/>
    <n v="393779.98"/>
    <m/>
    <m/>
    <m/>
    <d v="2021-11-15T00:00:00"/>
    <s v="SMLN-2021-617-000651_x000a_SMLN-2021-612-000133"/>
    <x v="159"/>
    <d v="2021-12-09T00:00:00"/>
    <d v="2022-01-19T00:00:00"/>
  </r>
  <r>
    <d v="2021-09-24T00:00:00"/>
    <s v="VZ-2021-001094"/>
    <x v="2"/>
    <s v="Olejníček"/>
    <x v="414"/>
    <m/>
    <m/>
    <m/>
    <s v="33162100-4"/>
    <s v="2.2.340."/>
    <n v="392900"/>
    <x v="2"/>
    <d v="2021-10-18T00:00:00"/>
    <d v="2021-10-27T00:00:00"/>
    <d v="2021-11-08T00:00:00"/>
    <s v="Surgipa Medical, spol. s r.o."/>
    <m/>
    <n v="382239.2"/>
    <n v="462509.43"/>
    <m/>
    <m/>
    <m/>
    <d v="2021-11-09T00:00:00"/>
    <s v="SMLN-2021-617-000632_x000a_SMLN-2021-612-000124"/>
    <x v="161"/>
    <d v="2021-12-09T00:00:00"/>
    <d v="2022-01-27T00:00:00"/>
  </r>
  <r>
    <d v="2021-10-14T00:00:00"/>
    <s v="VZ-2021-001096"/>
    <x v="0"/>
    <s v="Ondráčková"/>
    <x v="415"/>
    <m/>
    <m/>
    <m/>
    <s v="33694000-1"/>
    <m/>
    <n v="1301900"/>
    <x v="2"/>
    <d v="2021-10-19T00:00:00"/>
    <d v="2021-10-26T00:00:00"/>
    <d v="2021-11-19T00:00:00"/>
    <s v="I.T.A.-Interact s.r.o."/>
    <m/>
    <n v="1047600"/>
    <n v="1047600"/>
    <m/>
    <m/>
    <m/>
    <d v="2021-11-19T00:00:00"/>
    <s v="SMLN-2021-617-000667"/>
    <x v="148"/>
    <d v="2021-12-23T00:00:00"/>
    <m/>
  </r>
  <r>
    <d v="2021-10-14T00:00:00"/>
    <s v="VZ-2021-001097"/>
    <x v="0"/>
    <s v="Ondráčková"/>
    <x v="416"/>
    <n v="1"/>
    <s v="Diagnostika pro stimulaci buněk"/>
    <m/>
    <s v="33694000-1"/>
    <m/>
    <n v="1386789"/>
    <x v="2"/>
    <d v="2021-10-19T00:00:00"/>
    <d v="2021-10-26T00:00:00"/>
    <d v="2021-11-19T00:00:00"/>
    <s v="DYNEX LabSolutions, s.r.o."/>
    <m/>
    <n v="1353868"/>
    <n v="1353868"/>
    <m/>
    <m/>
    <m/>
    <d v="2021-11-19T00:00:00"/>
    <s v="SMLN-2021-617-000668"/>
    <x v="148"/>
    <d v="2021-12-23T00:00:00"/>
    <m/>
  </r>
  <r>
    <d v="2021-10-14T00:00:00"/>
    <s v="VZ-2021-001097"/>
    <x v="0"/>
    <s v="Ondráčková"/>
    <x v="416"/>
    <n v="2"/>
    <s v="ELISA kit"/>
    <m/>
    <s v="33694000-1"/>
    <m/>
    <n v="197787"/>
    <x v="2"/>
    <d v="2021-10-19T00:00:00"/>
    <d v="2021-10-26T00:00:00"/>
    <d v="2021-11-19T00:00:00"/>
    <s v="Bio-Port Europe s.r.o."/>
    <m/>
    <n v="153450"/>
    <n v="153450"/>
    <m/>
    <m/>
    <m/>
    <d v="2021-11-19T00:00:00"/>
    <s v="SMLN-2021-617-000669"/>
    <x v="6"/>
    <m/>
    <m/>
  </r>
  <r>
    <d v="2021-10-14T00:00:00"/>
    <s v="VZ-2021-001099"/>
    <x v="9"/>
    <s v="Svozil"/>
    <x v="417"/>
    <m/>
    <m/>
    <m/>
    <s v="45232150-8"/>
    <m/>
    <n v="7600000"/>
    <x v="1"/>
    <d v="2021-10-26T00:00:00"/>
    <d v="2021-11-30T00:00:00"/>
    <d v="2021-12-16T00:00:00"/>
    <s v="INSTA CZ s.r.o."/>
    <m/>
    <n v="7313040"/>
    <n v="8848778"/>
    <m/>
    <m/>
    <m/>
    <d v="2021-12-16T00:00:00"/>
    <s v="SMLN-2021-618-000089"/>
    <x v="6"/>
    <m/>
    <m/>
  </r>
  <r>
    <d v="2021-10-06T00:00:00"/>
    <s v="VZ-2021-001107"/>
    <x v="2"/>
    <s v="Olejníček"/>
    <x v="418"/>
    <m/>
    <m/>
    <m/>
    <s v="33157400-9"/>
    <s v="2.2.413."/>
    <n v="534000"/>
    <x v="2"/>
    <d v="2021-10-20T00:00:00"/>
    <d v="2021-11-01T00:00:00"/>
    <d v="2021-11-16T00:00:00"/>
    <s v="Dräger Medical s.r.o."/>
    <m/>
    <n v="526896.49"/>
    <n v="637544.75"/>
    <m/>
    <m/>
    <m/>
    <d v="2021-11-16T00:00:00"/>
    <s v="SMLN-2021-617-000661_x000a_SMLN-2021-612-000137"/>
    <x v="155"/>
    <d v="2021-12-31T00:00:00"/>
    <d v="2022-02-07T00:00:00"/>
  </r>
  <r>
    <d v="2021-09-06T00:00:00"/>
    <s v="VZ-2021-001108"/>
    <x v="2"/>
    <s v="Olejníček"/>
    <x v="419"/>
    <m/>
    <m/>
    <m/>
    <s v="33123200-0"/>
    <s v="2.2.385."/>
    <n v="230000"/>
    <x v="2"/>
    <d v="2021-10-21T00:00:00"/>
    <d v="2021-11-02T00:00:00"/>
    <d v="2021-11-23T00:00:00"/>
    <s v="Medisyner, s.r.o."/>
    <m/>
    <n v="225490"/>
    <n v="272842.90000000002"/>
    <m/>
    <m/>
    <m/>
    <d v="2021-11-24T00:00:00"/>
    <s v="SMLN-2021-617-000675_x000a_SMLN-2021-612-000138_x000a_SMLN-2021-617-000676"/>
    <x v="164"/>
    <d v="2021-12-22T00:00:00"/>
    <d v="2022-01-03T00:00:00"/>
  </r>
  <r>
    <s v="opakovaná VZ"/>
    <s v="VZ-2021-001110"/>
    <x v="8"/>
    <s v="Kadlec"/>
    <x v="420"/>
    <m/>
    <m/>
    <m/>
    <s v="45421100-5"/>
    <m/>
    <n v="2200000"/>
    <x v="2"/>
    <d v="2021-10-22T00:00:00"/>
    <d v="2021-11-04T00:00:00"/>
    <d v="2021-11-25T00:00:00"/>
    <s v="A-Z STAVBY s.r.o."/>
    <m/>
    <n v="1737528.8"/>
    <n v="2102409.85"/>
    <m/>
    <m/>
    <m/>
    <d v="2021-11-25T00:00:00"/>
    <s v="SMLN-2021-618-000085"/>
    <x v="165"/>
    <d v="2021-12-21T00:00:00"/>
    <m/>
  </r>
  <r>
    <d v="2021-10-15T00:00:00"/>
    <s v="VZ-2021-001111"/>
    <x v="0"/>
    <s v="Ondráčková"/>
    <x v="421"/>
    <n v="1"/>
    <s v="LAMICTAL"/>
    <m/>
    <s v="33661600-4"/>
    <m/>
    <n v="1276147"/>
    <x v="0"/>
    <d v="2021-10-21T00:00:00"/>
    <d v="2021-12-30T00:00:00"/>
    <m/>
    <m/>
    <m/>
    <m/>
    <m/>
    <m/>
    <m/>
    <m/>
    <m/>
    <m/>
    <x v="6"/>
    <m/>
    <m/>
  </r>
  <r>
    <d v="2021-10-15T00:00:00"/>
    <s v="VZ-2021-001111"/>
    <x v="0"/>
    <s v="Ondráčková"/>
    <x v="421"/>
    <n v="2"/>
    <s v="NEURONTIN"/>
    <m/>
    <s v="33661600-4"/>
    <m/>
    <n v="1972042"/>
    <x v="0"/>
    <d v="2021-10-21T00:00:00"/>
    <d v="2021-12-30T00:00:00"/>
    <m/>
    <m/>
    <m/>
    <m/>
    <m/>
    <m/>
    <m/>
    <m/>
    <m/>
    <m/>
    <x v="6"/>
    <m/>
    <m/>
  </r>
  <r>
    <d v="2021-10-15T00:00:00"/>
    <s v="VZ-2021-001111"/>
    <x v="0"/>
    <s v="Ondráčková"/>
    <x v="421"/>
    <n v="3"/>
    <s v="KEPPRA"/>
    <m/>
    <s v="33661600-4"/>
    <m/>
    <n v="2877337"/>
    <x v="0"/>
    <d v="2021-10-21T00:00:00"/>
    <d v="2021-12-30T00:00:00"/>
    <m/>
    <m/>
    <m/>
    <m/>
    <m/>
    <m/>
    <m/>
    <m/>
    <m/>
    <m/>
    <x v="6"/>
    <m/>
    <m/>
  </r>
  <r>
    <d v="2021-10-15T00:00:00"/>
    <s v="VZ-2021-001111"/>
    <x v="0"/>
    <s v="Ondráčková"/>
    <x v="421"/>
    <n v="4"/>
    <s v="TRUND"/>
    <m/>
    <s v="33661600-4"/>
    <m/>
    <n v="684637"/>
    <x v="0"/>
    <d v="2021-10-21T00:00:00"/>
    <d v="2021-12-30T00:00:00"/>
    <m/>
    <m/>
    <m/>
    <m/>
    <m/>
    <m/>
    <m/>
    <m/>
    <m/>
    <m/>
    <x v="6"/>
    <m/>
    <m/>
  </r>
  <r>
    <d v="2021-10-15T00:00:00"/>
    <s v="VZ-2021-001111"/>
    <x v="0"/>
    <s v="Ondráčková"/>
    <x v="421"/>
    <n v="5"/>
    <s v="LYRICA"/>
    <m/>
    <s v="33661600-4"/>
    <m/>
    <n v="1216758"/>
    <x v="0"/>
    <d v="2021-10-21T00:00:00"/>
    <d v="2021-12-30T00:00:00"/>
    <m/>
    <m/>
    <m/>
    <m/>
    <m/>
    <m/>
    <m/>
    <m/>
    <m/>
    <m/>
    <x v="6"/>
    <m/>
    <m/>
  </r>
  <r>
    <d v="2021-10-15T00:00:00"/>
    <s v="VZ-2021-001111"/>
    <x v="0"/>
    <s v="Ondráčková"/>
    <x v="421"/>
    <n v="6"/>
    <s v="PREGABALIN SANDOZ"/>
    <m/>
    <s v="33661600-4"/>
    <m/>
    <n v="7116805"/>
    <x v="0"/>
    <d v="2021-10-21T00:00:00"/>
    <d v="2021-12-30T00:00:00"/>
    <m/>
    <m/>
    <m/>
    <m/>
    <m/>
    <m/>
    <m/>
    <m/>
    <m/>
    <m/>
    <x v="6"/>
    <m/>
    <m/>
  </r>
  <r>
    <d v="2021-10-15T00:00:00"/>
    <s v="VZ-2021-001111"/>
    <x v="0"/>
    <s v="Ondráčková"/>
    <x v="421"/>
    <n v="7"/>
    <s v="ARKVIMMA"/>
    <m/>
    <s v="33661600-4"/>
    <m/>
    <n v="3120030"/>
    <x v="0"/>
    <d v="2021-10-21T00:00:00"/>
    <d v="2021-12-30T00:00:00"/>
    <m/>
    <m/>
    <m/>
    <m/>
    <m/>
    <m/>
    <m/>
    <m/>
    <m/>
    <m/>
    <x v="6"/>
    <m/>
    <m/>
  </r>
  <r>
    <d v="2021-10-15T00:00:00"/>
    <s v="VZ-2021-001112"/>
    <x v="0"/>
    <s v="Ondráčková"/>
    <x v="422"/>
    <m/>
    <m/>
    <m/>
    <s v="24111500-0"/>
    <m/>
    <n v="21966219"/>
    <x v="0"/>
    <d v="2021-11-25T00:00:00"/>
    <d v="2022-01-05T00:00:00"/>
    <m/>
    <m/>
    <m/>
    <m/>
    <m/>
    <m/>
    <m/>
    <m/>
    <m/>
    <m/>
    <x v="6"/>
    <m/>
    <m/>
  </r>
  <r>
    <d v="2021-10-18T00:00:00"/>
    <s v="VZ-2021-001114"/>
    <x v="3"/>
    <s v="Pavela"/>
    <x v="423"/>
    <m/>
    <m/>
    <m/>
    <s v="45215140-4"/>
    <m/>
    <n v="95000000"/>
    <x v="0"/>
    <d v="2021-10-22T00:00:00"/>
    <d v="2021-12-20T00:00:00"/>
    <m/>
    <m/>
    <m/>
    <m/>
    <m/>
    <m/>
    <m/>
    <m/>
    <m/>
    <m/>
    <x v="6"/>
    <m/>
    <m/>
  </r>
  <r>
    <d v="2021-10-19T00:00:00"/>
    <s v="VZ-2021-001116"/>
    <x v="5"/>
    <s v="Miklík"/>
    <x v="424"/>
    <m/>
    <m/>
    <m/>
    <s v="30233141-1"/>
    <s v="3.2.37."/>
    <n v="600000"/>
    <x v="2"/>
    <d v="2021-10-19T00:00:00"/>
    <d v="2021-10-22T00:00:00"/>
    <d v="2021-10-25T00:00:00"/>
    <s v="MERIT GROUP a.s."/>
    <m/>
    <n v="560000"/>
    <n v="677600"/>
    <m/>
    <m/>
    <m/>
    <d v="2021-10-25T00:00:00"/>
    <s v="SMLN-2021-617-000587"/>
    <x v="158"/>
    <d v="2021-11-18T00:00:00"/>
    <d v="2022-01-25T00:00:00"/>
  </r>
  <r>
    <s v="opakovaná VZ"/>
    <s v="VZ-2021-001118"/>
    <x v="18"/>
    <s v="Cahlíková"/>
    <x v="425"/>
    <m/>
    <m/>
    <m/>
    <s v="72225000-8"/>
    <m/>
    <n v="200000"/>
    <x v="2"/>
    <d v="2021-10-21T00:00:00"/>
    <d v="2021-10-27T00:00:00"/>
    <m/>
    <s v="zrušeno - bez hodnotitelné nabídky"/>
    <m/>
    <m/>
    <m/>
    <m/>
    <m/>
    <m/>
    <m/>
    <m/>
    <x v="6"/>
    <d v="2021-11-10T00:00:00"/>
    <m/>
  </r>
  <r>
    <d v="2021-10-15T00:00:00"/>
    <s v="VZ-2021-001120"/>
    <x v="3"/>
    <s v="Zeman"/>
    <x v="426"/>
    <m/>
    <m/>
    <m/>
    <s v="45223300-9"/>
    <s v="1.2.84."/>
    <n v="825000"/>
    <x v="2"/>
    <d v="2021-10-22T00:00:00"/>
    <d v="2021-11-03T00:00:00"/>
    <d v="2021-11-16T00:00:00"/>
    <s v="STAFSONS, s.r.o."/>
    <m/>
    <n v="927544.14"/>
    <n v="1122328.4099999999"/>
    <m/>
    <m/>
    <m/>
    <d v="2021-11-16T00:00:00"/>
    <s v="SMLN-2021-618-000080"/>
    <x v="6"/>
    <m/>
    <m/>
  </r>
  <r>
    <d v="2021-10-19T00:00:00"/>
    <s v="VZ-2021-001121"/>
    <x v="1"/>
    <s v="Valtová"/>
    <x v="427"/>
    <n v="1"/>
    <s v="2.1. Vodící dráty k vaskulárním intervencím I. "/>
    <m/>
    <s v="33140000-3"/>
    <m/>
    <n v="219000"/>
    <x v="0"/>
    <d v="2021-10-27T00:00:00"/>
    <d v="2022-01-18T00:00:00"/>
    <m/>
    <m/>
    <m/>
    <m/>
    <m/>
    <m/>
    <m/>
    <m/>
    <m/>
    <m/>
    <x v="6"/>
    <m/>
    <m/>
  </r>
  <r>
    <d v="2021-10-19T00:00:00"/>
    <s v="VZ-2021-001121"/>
    <x v="1"/>
    <s v="Valtová"/>
    <x v="427"/>
    <n v="2"/>
    <s v="2.2. Vodící dráty k vaskulárním intervencím II. "/>
    <m/>
    <s v="33140000-3"/>
    <m/>
    <n v="5617423"/>
    <x v="0"/>
    <d v="2021-10-27T00:00:00"/>
    <d v="2022-01-18T00:00:00"/>
    <m/>
    <m/>
    <m/>
    <m/>
    <m/>
    <m/>
    <m/>
    <m/>
    <m/>
    <m/>
    <x v="6"/>
    <m/>
    <m/>
  </r>
  <r>
    <d v="2021-10-19T00:00:00"/>
    <s v="VZ-2021-001121"/>
    <x v="1"/>
    <s v="Valtová"/>
    <x v="427"/>
    <n v="3"/>
    <s v="2.3. Vodící dráty k vaskulárním intervencím III. "/>
    <m/>
    <s v="33140000-3"/>
    <m/>
    <n v="674133"/>
    <x v="0"/>
    <d v="2021-10-27T00:00:00"/>
    <d v="2022-01-18T00:00:00"/>
    <m/>
    <m/>
    <m/>
    <m/>
    <m/>
    <m/>
    <m/>
    <m/>
    <m/>
    <m/>
    <x v="6"/>
    <m/>
    <m/>
  </r>
  <r>
    <d v="2021-10-19T00:00:00"/>
    <s v="VZ-2021-001121"/>
    <x v="1"/>
    <s v="Valtová"/>
    <x v="427"/>
    <n v="4"/>
    <s v="2.4. Vodící mikrodráty k periferním vaskulárním intervencím "/>
    <m/>
    <s v="33140000-3"/>
    <m/>
    <n v="1167300"/>
    <x v="0"/>
    <d v="2021-10-27T00:00:00"/>
    <d v="2022-01-18T00:00:00"/>
    <m/>
    <m/>
    <m/>
    <m/>
    <m/>
    <m/>
    <m/>
    <m/>
    <m/>
    <m/>
    <x v="6"/>
    <m/>
    <m/>
  </r>
  <r>
    <d v="2021-10-19T00:00:00"/>
    <s v="VZ-2021-001121"/>
    <x v="1"/>
    <s v="Valtová"/>
    <x v="427"/>
    <n v="5"/>
    <s v="2.5. Vodící mikrodráty k vaskulárním neurointevencím I."/>
    <m/>
    <s v="33140000-3"/>
    <m/>
    <n v="1129933"/>
    <x v="0"/>
    <d v="2021-10-27T00:00:00"/>
    <d v="2022-01-18T00:00:00"/>
    <m/>
    <m/>
    <m/>
    <m/>
    <m/>
    <m/>
    <m/>
    <m/>
    <m/>
    <m/>
    <x v="6"/>
    <m/>
    <m/>
  </r>
  <r>
    <d v="2021-10-19T00:00:00"/>
    <s v="VZ-2021-001121"/>
    <x v="1"/>
    <s v="Valtová"/>
    <x v="427"/>
    <n v="6"/>
    <s v="2.7. Vodící mikrodráty k vaskulárním neurointervencím III."/>
    <m/>
    <s v="33140000-3"/>
    <m/>
    <n v="609420"/>
    <x v="0"/>
    <d v="2021-10-27T00:00:00"/>
    <d v="2022-01-18T00:00:00"/>
    <m/>
    <m/>
    <m/>
    <m/>
    <m/>
    <m/>
    <m/>
    <m/>
    <m/>
    <m/>
    <x v="6"/>
    <m/>
    <m/>
  </r>
  <r>
    <d v="2021-10-15T00:00:00"/>
    <s v="VZ-2021-001123"/>
    <x v="4"/>
    <s v="Srovnal"/>
    <x v="428"/>
    <m/>
    <m/>
    <m/>
    <s v="42642100-9"/>
    <s v="4.2.164."/>
    <n v="500000"/>
    <x v="2"/>
    <d v="2021-10-25T00:00:00"/>
    <d v="2021-11-05T00:00:00"/>
    <d v="2021-11-12T00:00:00"/>
    <s v="MYNAŘ-TRADE s.r.o."/>
    <m/>
    <n v="417022"/>
    <n v="504596.62"/>
    <m/>
    <m/>
    <m/>
    <d v="2021-11-12T00:00:00"/>
    <s v="SMLN-2021-617-000650"/>
    <x v="157"/>
    <d v="2021-12-07T00:00:00"/>
    <d v="2022-06-01T00:00:00"/>
  </r>
  <r>
    <d v="2021-10-21T00:00:00"/>
    <s v="VZ-2021-001126"/>
    <x v="0"/>
    <s v="Ondráčková"/>
    <x v="429"/>
    <n v="1"/>
    <s v="PALIPERIDON "/>
    <m/>
    <s v="33661500-6"/>
    <m/>
    <n v="4203966"/>
    <x v="0"/>
    <d v="2021-12-09T00:00:00"/>
    <d v="2022-01-12T00:00:00"/>
    <m/>
    <m/>
    <m/>
    <m/>
    <m/>
    <m/>
    <m/>
    <m/>
    <m/>
    <m/>
    <x v="6"/>
    <m/>
    <m/>
  </r>
  <r>
    <d v="2021-10-21T00:00:00"/>
    <s v="VZ-2021-001127"/>
    <x v="0"/>
    <s v="Ondráčková"/>
    <x v="430"/>
    <n v="1"/>
    <s v="TIOTROPIUM-BROMID"/>
    <m/>
    <s v="33670000-7"/>
    <m/>
    <n v="9139774"/>
    <x v="0"/>
    <d v="2021-12-09T00:00:00"/>
    <d v="2022-01-12T00:00:00"/>
    <m/>
    <m/>
    <m/>
    <m/>
    <m/>
    <m/>
    <m/>
    <m/>
    <m/>
    <m/>
    <x v="6"/>
    <m/>
    <m/>
  </r>
  <r>
    <s v="opakovaná VZ"/>
    <s v="VZ-2021-001128"/>
    <x v="1"/>
    <s v="Valtová"/>
    <x v="431"/>
    <m/>
    <m/>
    <m/>
    <s v="33140000-3"/>
    <m/>
    <n v="700000"/>
    <x v="2"/>
    <d v="2021-10-25T00:00:00"/>
    <d v="2021-11-03T00:00:00"/>
    <d v="2021-11-09T00:00:00"/>
    <s v="Medinet s.r.o."/>
    <m/>
    <n v="386000"/>
    <n v="467060"/>
    <m/>
    <m/>
    <m/>
    <d v="2021-11-10T00:00:00"/>
    <s v="SMLN-2021-617-000645_x000a_SMLN-2021-614-000114"/>
    <x v="123"/>
    <d v="2021-12-20T00:00:00"/>
    <d v="2023-12-12T00:00:00"/>
  </r>
  <r>
    <d v="2021-10-05T00:00:00"/>
    <s v="VZ-2021-001129"/>
    <x v="1"/>
    <s v="Dočkalová"/>
    <x v="432"/>
    <m/>
    <m/>
    <m/>
    <s v="33140000-3"/>
    <m/>
    <n v="1881000"/>
    <x v="2"/>
    <d v="2021-10-25T00:00:00"/>
    <d v="2021-11-03T00:00:00"/>
    <d v="2021-11-09T00:00:00"/>
    <s v="medisap, s.r.o."/>
    <m/>
    <n v="1881000"/>
    <n v="2276010"/>
    <m/>
    <m/>
    <m/>
    <d v="2021-11-10T00:00:00"/>
    <s v="SMLN-2021-617-000644"/>
    <x v="116"/>
    <d v="2021-12-02T00:00:00"/>
    <d v="2024-11-29T00:00:00"/>
  </r>
  <r>
    <d v="2021-10-19T00:00:00"/>
    <s v="VZ-2021-001131"/>
    <x v="1"/>
    <s v="Dočkalová"/>
    <x v="433"/>
    <n v="1"/>
    <s v="Láhve kojenecké"/>
    <m/>
    <s v="33140000-3"/>
    <m/>
    <n v="1244469"/>
    <x v="2"/>
    <d v="2021-10-26T00:00:00"/>
    <d v="2021-11-09T00:00:00"/>
    <d v="2021-12-10T00:00:00"/>
    <s v="MEDICAL M spol. s.r.o."/>
    <m/>
    <n v="1656392"/>
    <n v="2004928"/>
    <m/>
    <m/>
    <m/>
    <d v="2021-12-13T00:00:00"/>
    <s v="SMLN-2021-617-000722"/>
    <x v="6"/>
    <m/>
    <m/>
  </r>
  <r>
    <d v="2021-10-19T00:00:00"/>
    <s v="VZ-2021-001131"/>
    <x v="1"/>
    <s v="Dočkalová"/>
    <x v="433"/>
    <n v="2"/>
    <s v="Dudlíky"/>
    <m/>
    <s v="33140000-3"/>
    <m/>
    <n v="386194"/>
    <x v="2"/>
    <d v="2021-10-26T00:00:00"/>
    <d v="2021-11-09T00:00:00"/>
    <m/>
    <s v="zrušeno - upravit specifikaci"/>
    <s v="nová VZ-2021-001318"/>
    <m/>
    <m/>
    <m/>
    <m/>
    <m/>
    <m/>
    <m/>
    <x v="6"/>
    <d v="2021-12-09T00:00:00"/>
    <m/>
  </r>
  <r>
    <d v="2021-10-21T00:00:00"/>
    <s v="VZ-2021-001132"/>
    <x v="4"/>
    <s v="Srovnal"/>
    <x v="434"/>
    <m/>
    <m/>
    <m/>
    <s v="42961100-1"/>
    <m/>
    <n v="600000"/>
    <x v="2"/>
    <d v="2021-11-22T00:00:00"/>
    <d v="2021-11-30T00:00:00"/>
    <d v="2021-12-08T00:00:00"/>
    <s v="MERIT GROUP a.s."/>
    <m/>
    <n v="585133"/>
    <n v="708010.93"/>
    <m/>
    <m/>
    <m/>
    <d v="2021-12-08T00:00:00"/>
    <s v="SMLN-2021-618-000087"/>
    <x v="166"/>
    <d v="2021-12-20T00:00:00"/>
    <d v="2022-02-24T00:00:00"/>
  </r>
  <r>
    <s v="opakovaná VZ"/>
    <s v="VZ-2021-001157"/>
    <x v="2"/>
    <s v="Olejníček"/>
    <x v="435"/>
    <m/>
    <m/>
    <m/>
    <s v="33122000-1"/>
    <s v="2.3.530."/>
    <n v="330000"/>
    <x v="2"/>
    <d v="2021-11-02T00:00:00"/>
    <d v="2021-11-09T00:00:00"/>
    <d v="2021-11-23T00:00:00"/>
    <s v="CASTOR CZ, s.r.o."/>
    <m/>
    <n v="289490"/>
    <n v="350282.9"/>
    <m/>
    <m/>
    <m/>
    <d v="2021-11-24T00:00:00"/>
    <s v="SMLN-2021-617-000679_x000a_SMLN-2021-612-000139"/>
    <x v="155"/>
    <d v="2021-12-31T00:00:00"/>
    <d v="2022-02-07T00:00:00"/>
  </r>
  <r>
    <d v="2021-10-21T00:00:00"/>
    <s v="VZ-2021-001160"/>
    <x v="1"/>
    <s v="Valtová"/>
    <x v="436"/>
    <n v="1"/>
    <s v="14.1. Stentgraft aortální hrudní - proximální část I."/>
    <m/>
    <s v="33140000-3"/>
    <m/>
    <n v="640000"/>
    <x v="0"/>
    <d v="2021-11-03T00:00:00"/>
    <d v="2021-12-07T00:00:00"/>
    <d v="2021-12-22T00:00:00"/>
    <s v="ARID obchodní společnost, s.r.o."/>
    <m/>
    <n v="640000"/>
    <n v="736000"/>
    <m/>
    <m/>
    <m/>
    <d v="2021-12-22T00:00:00"/>
    <s v="SMLN-2021-617-000742_x000a_SMLN-2021-614-000133"/>
    <x v="6"/>
    <m/>
    <m/>
  </r>
  <r>
    <d v="2021-10-21T00:00:00"/>
    <s v="VZ-2021-001160"/>
    <x v="1"/>
    <s v="Valtová"/>
    <x v="436"/>
    <n v="2"/>
    <s v="14.4. Stentgrafty aortální pro reparaci disekcí sestupné části hrudní aorty"/>
    <m/>
    <s v="33140000-3"/>
    <m/>
    <n v="1935000"/>
    <x v="0"/>
    <d v="2021-11-03T00:00:00"/>
    <d v="2021-12-07T00:00:00"/>
    <d v="2021-12-22T00:00:00"/>
    <s v="ARID obchodní společnost, s.r.o."/>
    <m/>
    <n v="1935000"/>
    <n v="2225250"/>
    <m/>
    <m/>
    <m/>
    <d v="2021-12-22T00:00:00"/>
    <s v="SMLN-2021-617-000743_x000a_SMLN-2021-614-000134"/>
    <x v="6"/>
    <m/>
    <m/>
  </r>
  <r>
    <d v="2021-10-21T00:00:00"/>
    <s v="VZ-2021-001160"/>
    <x v="1"/>
    <s v="Valtová"/>
    <x v="436"/>
    <n v="3"/>
    <s v="14.7.  Stent tubulární komponentní určený pro modelování pravého lumen aorty při disekci aorty"/>
    <m/>
    <s v="33140000-3"/>
    <m/>
    <n v="113300"/>
    <x v="0"/>
    <d v="2021-11-03T00:00:00"/>
    <d v="2021-12-07T00:00:00"/>
    <d v="2021-12-22T00:00:00"/>
    <s v="ARID obchodní společnost, s.r.o."/>
    <m/>
    <n v="113300"/>
    <n v="130295"/>
    <m/>
    <m/>
    <m/>
    <d v="2021-12-22T00:00:00"/>
    <s v="SMLN-2021-617-000744_x000a_SMLN-2021-614-000135"/>
    <x v="6"/>
    <m/>
    <m/>
  </r>
  <r>
    <d v="2021-10-21T00:00:00"/>
    <s v="VZ-2021-001160"/>
    <x v="1"/>
    <s v="Valtová"/>
    <x v="436"/>
    <n v="4"/>
    <s v="14.11. Stentgraft tubulární aortální břišní k prodloužení těla bifurkačního stentgraftu - proximální extenze"/>
    <m/>
    <s v="33140000-3"/>
    <m/>
    <n v="292875"/>
    <x v="0"/>
    <d v="2021-11-03T00:00:00"/>
    <d v="2021-12-07T00:00:00"/>
    <d v="2021-12-22T00:00:00"/>
    <s v="ARID obchodní společnost, s.r.o."/>
    <m/>
    <n v="292875"/>
    <n v="336806.25"/>
    <m/>
    <m/>
    <m/>
    <d v="2021-12-22T00:00:00"/>
    <s v="SMLN-2021-617-000745_x000a_SMLN-2021-614-000136"/>
    <x v="6"/>
    <m/>
    <m/>
  </r>
  <r>
    <d v="2021-10-21T00:00:00"/>
    <s v="VZ-2021-001160"/>
    <x v="1"/>
    <s v="Valtová"/>
    <x v="436"/>
    <n v="5"/>
    <s v="14.13. Stentgraft vaskulární větvený pro vnitřní ilickou tepnu"/>
    <m/>
    <s v="33140000-3"/>
    <m/>
    <n v="921800"/>
    <x v="0"/>
    <d v="2021-11-03T00:00:00"/>
    <d v="2021-12-07T00:00:00"/>
    <d v="2021-12-22T00:00:00"/>
    <s v="ARID obchodní společnost, s.r.o."/>
    <m/>
    <n v="921800"/>
    <n v="1060070"/>
    <m/>
    <m/>
    <m/>
    <d v="2021-12-22T00:00:00"/>
    <s v="SMLN-2021-617-000746_x000a_SMLN-2021-614-000137"/>
    <x v="6"/>
    <m/>
    <m/>
  </r>
  <r>
    <d v="2021-10-21T00:00:00"/>
    <s v="VZ-2021-001160"/>
    <x v="1"/>
    <s v="Valtová"/>
    <x v="436"/>
    <n v="6"/>
    <s v="14.14. Stentgraft vaskulární arotální fenestrovaný"/>
    <m/>
    <s v="33140000-3"/>
    <m/>
    <n v="4415340"/>
    <x v="0"/>
    <d v="2021-11-03T00:00:00"/>
    <d v="2021-12-07T00:00:00"/>
    <d v="2021-12-22T00:00:00"/>
    <s v="ARID obchodní společnost, s.r.o."/>
    <m/>
    <n v="4415340"/>
    <n v="5077641"/>
    <m/>
    <m/>
    <m/>
    <d v="2021-12-22T00:00:00"/>
    <s v="SMLN-2021-617-000747_x000a_SMLN-2021-614-000138"/>
    <x v="6"/>
    <m/>
    <m/>
  </r>
  <r>
    <d v="2021-12-03T00:00:00"/>
    <s v="VZ-2021-001166"/>
    <x v="0"/>
    <s v="Ondráčková"/>
    <x v="437"/>
    <m/>
    <m/>
    <m/>
    <s v="33694000-1, 38434000"/>
    <m/>
    <n v="4716408"/>
    <x v="0"/>
    <d v="2021-12-20T00:00:00"/>
    <d v="2022-02-15T00:00:00"/>
    <m/>
    <m/>
    <m/>
    <m/>
    <m/>
    <m/>
    <m/>
    <m/>
    <m/>
    <m/>
    <x v="6"/>
    <m/>
    <m/>
  </r>
  <r>
    <d v="2021-10-21T00:00:00"/>
    <s v="VZ-2021-001171"/>
    <x v="1"/>
    <s v="Dočkalová"/>
    <x v="438"/>
    <m/>
    <m/>
    <m/>
    <s v="33140000-3"/>
    <m/>
    <n v="4090909"/>
    <x v="0"/>
    <d v="2021-11-05T00:00:00"/>
    <d v="2021-12-09T00:00:00"/>
    <m/>
    <s v="CARDION s.r.o."/>
    <m/>
    <n v="4080000"/>
    <n v="4936800"/>
    <m/>
    <m/>
    <m/>
    <m/>
    <m/>
    <x v="6"/>
    <m/>
    <m/>
  </r>
  <r>
    <s v="opakovaná VZ"/>
    <s v="VZ-2021-001173"/>
    <x v="9"/>
    <s v="Svozil"/>
    <x v="439"/>
    <m/>
    <m/>
    <m/>
    <s v="45232150-8"/>
    <m/>
    <n v="7730000"/>
    <x v="0"/>
    <d v="2021-11-04T00:00:00"/>
    <d v="2021-12-09T00:00:00"/>
    <m/>
    <s v="MORAVSKÁ VODÁRENSKÁ, a.s."/>
    <m/>
    <n v="7721900"/>
    <n v="9343499"/>
    <m/>
    <m/>
    <m/>
    <m/>
    <m/>
    <x v="6"/>
    <m/>
    <m/>
  </r>
  <r>
    <d v="2021-11-02T00:00:00"/>
    <s v="VZ-2021-001174"/>
    <x v="4"/>
    <s v="Srovnal"/>
    <x v="440"/>
    <m/>
    <m/>
    <m/>
    <s v="45453000-7"/>
    <m/>
    <n v="7300000"/>
    <x v="1"/>
    <d v="2021-11-05T00:00:00"/>
    <d v="2021-11-25T00:00:00"/>
    <d v="2021-12-16T00:00:00"/>
    <s v="REDAL AKTIV CZ s.r.o."/>
    <m/>
    <n v="6868105.9500000002"/>
    <n v="8310408.2000000002"/>
    <m/>
    <m/>
    <m/>
    <d v="2021-12-16T00:00:00"/>
    <s v="SMLN-2021-618-000088"/>
    <x v="6"/>
    <m/>
    <m/>
  </r>
  <r>
    <d v="2021-11-03T00:00:00"/>
    <s v="VZ-2021-001175"/>
    <x v="8"/>
    <s v="Kadlec"/>
    <x v="441"/>
    <m/>
    <m/>
    <m/>
    <s v="45453000-7"/>
    <m/>
    <n v="6500000"/>
    <x v="1"/>
    <d v="2021-11-26T00:00:00"/>
    <d v="2021-12-15T00:00:00"/>
    <m/>
    <m/>
    <m/>
    <m/>
    <m/>
    <m/>
    <m/>
    <m/>
    <m/>
    <m/>
    <x v="6"/>
    <m/>
    <m/>
  </r>
  <r>
    <d v="2021-10-25T00:00:00"/>
    <s v="VZ-2021-001178"/>
    <x v="2"/>
    <s v="Olejníček"/>
    <x v="442"/>
    <m/>
    <m/>
    <m/>
    <s v="33190000-8"/>
    <s v="2.2.279."/>
    <n v="1950000"/>
    <x v="2"/>
    <d v="2021-11-08T00:00:00"/>
    <d v="2021-11-16T00:00:00"/>
    <m/>
    <s v="DN FORMED Brno s.r.o."/>
    <m/>
    <n v="1381318"/>
    <n v="1671394.78"/>
    <m/>
    <m/>
    <m/>
    <m/>
    <m/>
    <x v="6"/>
    <m/>
    <m/>
  </r>
  <r>
    <d v="2021-10-08T00:00:00"/>
    <s v="VZ-2021-001183"/>
    <x v="2"/>
    <s v="Olejníček"/>
    <x v="443"/>
    <m/>
    <m/>
    <m/>
    <s v="33190000-8"/>
    <s v="2.3.560."/>
    <n v="190000"/>
    <x v="2"/>
    <d v="2021-11-08T00:00:00"/>
    <d v="2021-11-16T00:00:00"/>
    <d v="2021-12-03T00:00:00"/>
    <s v="Vivacom, s.r.o."/>
    <m/>
    <n v="176080"/>
    <n v="213056.8"/>
    <m/>
    <m/>
    <m/>
    <d v="2021-12-06T00:00:00"/>
    <s v="SMLN-2021-617-000712_x000a_SMLN-2021-612-000144"/>
    <x v="6"/>
    <m/>
    <m/>
  </r>
  <r>
    <s v="opakovaná VZ"/>
    <s v="VZ-2021-001184"/>
    <x v="1"/>
    <s v="Valtová"/>
    <x v="444"/>
    <m/>
    <m/>
    <m/>
    <s v="33140000-3"/>
    <m/>
    <n v="840000"/>
    <x v="0"/>
    <d v="2021-11-09T00:00:00"/>
    <d v="2021-12-13T00:00:00"/>
    <d v="2021-12-22T00:00:00"/>
    <s v="ARID obchodní společnost, s.r.o."/>
    <m/>
    <n v="945000"/>
    <n v="1086750"/>
    <m/>
    <m/>
    <m/>
    <d v="2021-12-22T00:00:00"/>
    <s v="SMLN-2021-617-000741_x000a_SMLN-2021-614-000132"/>
    <x v="6"/>
    <m/>
    <m/>
  </r>
  <r>
    <d v="2021-10-12T00:00:00"/>
    <s v="VZ-2021-001193"/>
    <x v="2"/>
    <s v="Olejníček"/>
    <x v="445"/>
    <m/>
    <m/>
    <m/>
    <s v="33190000-8"/>
    <s v="2.3.468."/>
    <n v="124000"/>
    <x v="2"/>
    <d v="2021-11-11T00:00:00"/>
    <d v="2021-11-25T00:00:00"/>
    <m/>
    <s v="zrušeno"/>
    <m/>
    <m/>
    <m/>
    <m/>
    <m/>
    <m/>
    <m/>
    <m/>
    <x v="6"/>
    <d v="2021-12-21T00:00:00"/>
    <m/>
  </r>
  <r>
    <s v="opakovaná VZ"/>
    <s v="VZ-2021-001196"/>
    <x v="1"/>
    <s v="Dočkalová"/>
    <x v="446"/>
    <m/>
    <m/>
    <m/>
    <s v="33140000-3"/>
    <m/>
    <n v="6336997"/>
    <x v="0"/>
    <d v="2021-11-23T00:00:00"/>
    <d v="2021-12-27T00:00:00"/>
    <m/>
    <s v="zrušeno - bez nabídky"/>
    <s v="nová VZ-2022-000005"/>
    <m/>
    <m/>
    <m/>
    <m/>
    <m/>
    <m/>
    <m/>
    <x v="6"/>
    <d v="2021-12-28T00:00:00"/>
    <s v="28.12.2021 zrušeno"/>
  </r>
  <r>
    <d v="2021-09-14T00:00:00"/>
    <s v="VZ-2021-001197"/>
    <x v="2"/>
    <s v="Olejníček"/>
    <x v="447"/>
    <m/>
    <m/>
    <m/>
    <s v="38000000-5"/>
    <s v="2.2.353."/>
    <n v="139000"/>
    <x v="2"/>
    <d v="2021-11-15T00:00:00"/>
    <d v="2021-11-23T00:00:00"/>
    <d v="2021-12-03T00:00:00"/>
    <s v="bamed s.r.o."/>
    <m/>
    <n v="130385.35"/>
    <n v="157766.29999999999"/>
    <m/>
    <m/>
    <m/>
    <d v="2021-12-06T00:00:00"/>
    <s v="SMLN-2021-617-000713_x000a_SMLN-2021-612-000145"/>
    <x v="167"/>
    <d v="2022-01-06T00:00:00"/>
    <d v="2022-03-11T00:00:00"/>
  </r>
  <r>
    <d v="2021-11-11T00:00:00"/>
    <s v="VZ-2021-001206"/>
    <x v="2"/>
    <s v="Rosulek"/>
    <x v="448"/>
    <m/>
    <m/>
    <m/>
    <s v="33151400-7"/>
    <s v="2.3.588"/>
    <n v="973000"/>
    <x v="2"/>
    <d v="2021-11-12T00:00:00"/>
    <d v="2021-11-19T00:00:00"/>
    <d v="2021-11-23T00:00:00"/>
    <s v="AMEDIS spol. s r.o."/>
    <m/>
    <n v="973000"/>
    <n v="1177330"/>
    <m/>
    <m/>
    <m/>
    <d v="2021-11-24T00:00:00"/>
    <s v="SMLN-2021-617-000680"/>
    <x v="166"/>
    <d v="2021-12-20T00:00:00"/>
    <d v="2022-01-27T00:00:00"/>
  </r>
  <r>
    <d v="2021-11-03T00:00:00"/>
    <s v="VZ-2021-001207"/>
    <x v="1"/>
    <s v="Valtová"/>
    <x v="449"/>
    <n v="1"/>
    <s v="6.1. Dilatační balónkové katétry vaskulární I."/>
    <m/>
    <s v="33140000-3"/>
    <m/>
    <n v="3683250"/>
    <x v="0"/>
    <d v="2021-11-19T00:00:00"/>
    <d v="2021-12-31T00:00:00"/>
    <m/>
    <m/>
    <m/>
    <m/>
    <m/>
    <m/>
    <m/>
    <m/>
    <m/>
    <m/>
    <x v="6"/>
    <m/>
    <m/>
  </r>
  <r>
    <d v="2021-11-03T00:00:00"/>
    <s v="VZ-2021-001207"/>
    <x v="1"/>
    <s v="Valtová"/>
    <x v="449"/>
    <n v="2"/>
    <s v="6.2. Dilatační balónkové katétry vaskulární II."/>
    <m/>
    <s v="33140000-3"/>
    <m/>
    <n v="720000"/>
    <x v="0"/>
    <d v="2021-11-19T00:00:00"/>
    <d v="2021-12-31T00:00:00"/>
    <m/>
    <m/>
    <m/>
    <m/>
    <m/>
    <m/>
    <m/>
    <m/>
    <m/>
    <m/>
    <x v="6"/>
    <m/>
    <m/>
  </r>
  <r>
    <d v="2021-11-03T00:00:00"/>
    <s v="VZ-2021-001207"/>
    <x v="1"/>
    <s v="Valtová"/>
    <x v="449"/>
    <n v="3"/>
    <s v="6.3. Dilatační balónkové katétry vaskulární III."/>
    <m/>
    <s v="33140000-3"/>
    <m/>
    <n v="367500"/>
    <x v="0"/>
    <d v="2021-11-19T00:00:00"/>
    <d v="2021-12-31T00:00:00"/>
    <m/>
    <m/>
    <m/>
    <m/>
    <m/>
    <m/>
    <m/>
    <m/>
    <m/>
    <m/>
    <x v="6"/>
    <m/>
    <m/>
  </r>
  <r>
    <d v="2021-11-03T00:00:00"/>
    <s v="VZ-2021-001207"/>
    <x v="1"/>
    <s v="Valtová"/>
    <x v="449"/>
    <n v="4"/>
    <s v="6.4. Dilatační balónkové katétry vaskulární noncompliant"/>
    <m/>
    <s v="33140000-3"/>
    <m/>
    <n v="2451600"/>
    <x v="0"/>
    <d v="2021-11-19T00:00:00"/>
    <d v="2021-12-31T00:00:00"/>
    <m/>
    <m/>
    <m/>
    <m/>
    <m/>
    <m/>
    <m/>
    <m/>
    <m/>
    <m/>
    <x v="6"/>
    <m/>
    <m/>
  </r>
  <r>
    <d v="2021-11-03T00:00:00"/>
    <s v="VZ-2021-001207"/>
    <x v="1"/>
    <s v="Valtová"/>
    <x v="449"/>
    <n v="5"/>
    <s v="6.5. Dilatační balónkové katétry vaskulární noncompliant XXL"/>
    <m/>
    <s v="33140000-3"/>
    <m/>
    <n v="1320000"/>
    <x v="0"/>
    <d v="2021-11-19T00:00:00"/>
    <d v="2021-12-31T00:00:00"/>
    <m/>
    <m/>
    <m/>
    <m/>
    <m/>
    <m/>
    <m/>
    <m/>
    <m/>
    <m/>
    <x v="6"/>
    <m/>
    <m/>
  </r>
  <r>
    <d v="2021-11-03T00:00:00"/>
    <s v="VZ-2021-001207"/>
    <x v="1"/>
    <s v="Valtová"/>
    <x v="449"/>
    <n v="6"/>
    <s v="6.6. Dilatační balónkové katétry vaskulární po mikrovodících drátech monorial I."/>
    <m/>
    <s v="33140000-3"/>
    <m/>
    <n v="934800"/>
    <x v="0"/>
    <d v="2021-11-19T00:00:00"/>
    <d v="2021-12-31T00:00:00"/>
    <m/>
    <m/>
    <m/>
    <m/>
    <m/>
    <m/>
    <m/>
    <m/>
    <m/>
    <m/>
    <x v="6"/>
    <m/>
    <m/>
  </r>
  <r>
    <d v="2021-11-03T00:00:00"/>
    <s v="VZ-2021-001207"/>
    <x v="1"/>
    <s v="Valtová"/>
    <x v="449"/>
    <n v="7"/>
    <s v="6.7. Dilatační balónkové katétry vaskulární intrakraniální"/>
    <m/>
    <s v="33140000-3"/>
    <m/>
    <n v="364140"/>
    <x v="0"/>
    <d v="2021-11-19T00:00:00"/>
    <d v="2021-12-31T00:00:00"/>
    <m/>
    <m/>
    <m/>
    <m/>
    <m/>
    <m/>
    <m/>
    <m/>
    <m/>
    <m/>
    <x v="6"/>
    <m/>
    <m/>
  </r>
  <r>
    <d v="2021-11-03T00:00:00"/>
    <s v="VZ-2021-001207"/>
    <x v="1"/>
    <s v="Valtová"/>
    <x v="449"/>
    <n v="8"/>
    <s v="6.8. Řezací dilatační balónkové katétry vaskulární"/>
    <m/>
    <s v="33140000-3"/>
    <m/>
    <n v="122510"/>
    <x v="0"/>
    <d v="2021-11-19T00:00:00"/>
    <d v="2021-12-31T00:00:00"/>
    <m/>
    <m/>
    <m/>
    <m/>
    <m/>
    <m/>
    <m/>
    <m/>
    <m/>
    <m/>
    <x v="6"/>
    <m/>
    <m/>
  </r>
  <r>
    <d v="2021-11-03T00:00:00"/>
    <s v="VZ-2021-001207"/>
    <x v="1"/>
    <s v="Valtová"/>
    <x v="449"/>
    <n v="9"/>
    <s v="6.9. Dilatační balónkové katétry vaskulární po mikrovodících drátech monorial II."/>
    <m/>
    <s v="33140000-3"/>
    <m/>
    <n v="399726"/>
    <x v="0"/>
    <d v="2021-11-19T00:00:00"/>
    <d v="2021-12-31T00:00:00"/>
    <m/>
    <m/>
    <m/>
    <m/>
    <m/>
    <m/>
    <m/>
    <m/>
    <m/>
    <m/>
    <x v="6"/>
    <m/>
    <m/>
  </r>
  <r>
    <d v="2021-11-10T00:00:00"/>
    <s v="VZ-2021-001209"/>
    <x v="2"/>
    <s v="Olejníček"/>
    <x v="450"/>
    <n v="1"/>
    <s v="Termocykler"/>
    <m/>
    <s v="38434500-1"/>
    <s v="2.3.566."/>
    <n v="185000"/>
    <x v="2"/>
    <d v="2021-11-24T00:00:00"/>
    <d v="2021-12-02T00:00:00"/>
    <d v="2021-12-16T00:00:00"/>
    <s v="BIO-RAD spol.s r.o."/>
    <m/>
    <n v="149000"/>
    <n v="180290"/>
    <m/>
    <m/>
    <m/>
    <d v="2021-12-17T00:00:00"/>
    <s v="SMLN-2021-617-000736_x000a_SMLN-2021-612-000155"/>
    <x v="6"/>
    <m/>
    <m/>
  </r>
  <r>
    <d v="2021-11-10T00:00:00"/>
    <s v="VZ-2021-001209"/>
    <x v="2"/>
    <s v="Olejníček"/>
    <x v="450"/>
    <n v="2"/>
    <s v="384-jamkový modul k termocykleru"/>
    <m/>
    <s v="38434500-1"/>
    <s v="2.3.432."/>
    <n v="698300"/>
    <x v="2"/>
    <d v="2021-11-24T00:00:00"/>
    <d v="2021-12-02T00:00:00"/>
    <d v="2021-12-16T00:00:00"/>
    <s v="BIO-RAD spol.s r.o."/>
    <m/>
    <n v="688298"/>
    <n v="832840.58"/>
    <m/>
    <m/>
    <m/>
    <d v="2021-12-17T00:00:00"/>
    <s v="SMLN-2021-617-000737_x000a_SMLN-2021-612-000156"/>
    <x v="6"/>
    <m/>
    <m/>
  </r>
  <r>
    <d v="2021-11-09T00:00:00"/>
    <s v="VZ-2021-001214"/>
    <x v="1"/>
    <s v="Dočkalová"/>
    <x v="451"/>
    <m/>
    <m/>
    <m/>
    <s v="33182220-7"/>
    <m/>
    <n v="13891304.4"/>
    <x v="0"/>
    <d v="2021-11-24T00:00:00"/>
    <d v="2021-12-27T00:00:00"/>
    <m/>
    <m/>
    <m/>
    <m/>
    <m/>
    <m/>
    <m/>
    <m/>
    <m/>
    <m/>
    <x v="6"/>
    <m/>
    <m/>
  </r>
  <r>
    <d v="2021-11-11T00:00:00"/>
    <s v="VZ-2021-001228"/>
    <x v="4"/>
    <s v="Srovnal"/>
    <x v="452"/>
    <m/>
    <m/>
    <m/>
    <s v="32360000-4"/>
    <m/>
    <n v="1950000"/>
    <x v="2"/>
    <m/>
    <m/>
    <m/>
    <m/>
    <m/>
    <m/>
    <m/>
    <m/>
    <m/>
    <m/>
    <m/>
    <m/>
    <x v="6"/>
    <m/>
    <m/>
  </r>
  <r>
    <d v="2021-12-01T00:00:00"/>
    <s v="VZ-2021-001229"/>
    <x v="0"/>
    <s v="Ondráčková"/>
    <x v="453"/>
    <m/>
    <m/>
    <m/>
    <s v="33694000-1"/>
    <m/>
    <n v="4403200"/>
    <x v="0"/>
    <d v="2021-12-20T00:00:00"/>
    <d v="2022-01-24T00:00:00"/>
    <m/>
    <m/>
    <m/>
    <m/>
    <m/>
    <m/>
    <m/>
    <m/>
    <m/>
    <m/>
    <x v="6"/>
    <m/>
    <m/>
  </r>
  <r>
    <m/>
    <s v="VZ-2021-001230"/>
    <x v="0"/>
    <s v="Ondráčková"/>
    <x v="454"/>
    <m/>
    <m/>
    <m/>
    <s v="33694000-1"/>
    <m/>
    <n v="46443000"/>
    <x v="0"/>
    <m/>
    <m/>
    <m/>
    <m/>
    <m/>
    <m/>
    <m/>
    <m/>
    <m/>
    <m/>
    <m/>
    <m/>
    <x v="6"/>
    <m/>
    <m/>
  </r>
  <r>
    <d v="2021-11-12T00:00:00"/>
    <s v="VZ-2021-001238"/>
    <x v="1"/>
    <s v="Valtová"/>
    <x v="455"/>
    <n v="1"/>
    <s v="Stříkačka inflační pro PTCA I. a Y konektor  s  tlakově ovládanou hemostatickou chlopní"/>
    <m/>
    <s v="33140000-3"/>
    <m/>
    <n v="4002000"/>
    <x v="0"/>
    <d v="2021-11-26T00:00:00"/>
    <d v="2021-12-29T00:00:00"/>
    <m/>
    <m/>
    <m/>
    <m/>
    <m/>
    <m/>
    <m/>
    <m/>
    <m/>
    <m/>
    <x v="6"/>
    <m/>
    <m/>
  </r>
  <r>
    <d v="2021-11-12T00:00:00"/>
    <s v="VZ-2021-001238"/>
    <x v="1"/>
    <s v="Valtová"/>
    <x v="455"/>
    <n v="2"/>
    <s v="Stříkačka inflační pro PTCA II."/>
    <m/>
    <s v="33140000-3"/>
    <m/>
    <n v="850000"/>
    <x v="0"/>
    <d v="2021-11-26T00:00:00"/>
    <d v="2021-12-29T00:00:00"/>
    <m/>
    <m/>
    <m/>
    <m/>
    <m/>
    <m/>
    <m/>
    <m/>
    <m/>
    <m/>
    <x v="6"/>
    <m/>
    <m/>
  </r>
  <r>
    <d v="2021-11-01T00:00:00"/>
    <s v="VZ-2021-001240"/>
    <x v="2"/>
    <s v="Olejníček"/>
    <x v="456"/>
    <m/>
    <m/>
    <m/>
    <s v="33124120-2"/>
    <s v="2.2.386,392,393"/>
    <n v="1050000"/>
    <x v="0"/>
    <d v="2021-11-25T00:00:00"/>
    <d v="2022-01-17T00:00:00"/>
    <m/>
    <m/>
    <m/>
    <m/>
    <m/>
    <m/>
    <m/>
    <m/>
    <m/>
    <m/>
    <x v="6"/>
    <m/>
    <m/>
  </r>
  <r>
    <d v="2021-11-15T00:00:00"/>
    <s v="VZ-2021-001241"/>
    <x v="2"/>
    <s v="Olejníček"/>
    <x v="457"/>
    <m/>
    <m/>
    <m/>
    <s v="33161000-6"/>
    <s v="2.2.356,357"/>
    <n v="493223"/>
    <x v="2"/>
    <d v="2021-11-24T00:00:00"/>
    <d v="2021-12-02T00:00:00"/>
    <m/>
    <m/>
    <m/>
    <m/>
    <m/>
    <m/>
    <m/>
    <m/>
    <m/>
    <m/>
    <x v="6"/>
    <m/>
    <m/>
  </r>
  <r>
    <d v="2021-11-15T00:00:00"/>
    <s v="VZ-2021-001244"/>
    <x v="4"/>
    <s v="Srovnal"/>
    <x v="458"/>
    <m/>
    <m/>
    <m/>
    <s v="45223300-9"/>
    <s v="4.2.169."/>
    <n v="320000"/>
    <x v="2"/>
    <d v="2021-11-26T00:00:00"/>
    <d v="2021-12-06T00:00:00"/>
    <d v="2021-12-16T00:00:00"/>
    <s v="ELEKTRO-FLEXI s.r.o."/>
    <m/>
    <n v="235389"/>
    <n v="284820.69"/>
    <m/>
    <m/>
    <m/>
    <d v="2021-12-16T00:00:00"/>
    <s v="SMLN-2021-618-000090"/>
    <x v="6"/>
    <m/>
    <m/>
  </r>
  <r>
    <d v="2021-11-15T00:00:00"/>
    <s v="VZ-2021-001247"/>
    <x v="0"/>
    <s v="Ondráčková"/>
    <x v="459"/>
    <n v="1"/>
    <s v="Medicinální plyny z ATC N01AX63"/>
    <m/>
    <s v="24111500-0"/>
    <m/>
    <n v="4334535"/>
    <x v="0"/>
    <d v="2021-11-25T00:00:00"/>
    <d v="2022-01-05T00:00:00"/>
    <m/>
    <m/>
    <m/>
    <m/>
    <m/>
    <m/>
    <m/>
    <m/>
    <m/>
    <m/>
    <x v="6"/>
    <m/>
    <m/>
  </r>
  <r>
    <d v="2021-11-15T00:00:00"/>
    <s v="VZ-2021-001247"/>
    <x v="0"/>
    <s v="Ondráčková"/>
    <x v="459"/>
    <n v="2"/>
    <s v="Medicinální plyny I."/>
    <m/>
    <s v="24111500-0"/>
    <m/>
    <n v="1391250"/>
    <x v="0"/>
    <d v="2021-11-25T00:00:00"/>
    <d v="2022-01-05T00:00:00"/>
    <m/>
    <m/>
    <m/>
    <m/>
    <m/>
    <m/>
    <m/>
    <m/>
    <m/>
    <m/>
    <x v="6"/>
    <m/>
    <m/>
  </r>
  <r>
    <d v="2021-11-15T00:00:00"/>
    <s v="VZ-2021-001247"/>
    <x v="0"/>
    <s v="Ondráčková"/>
    <x v="459"/>
    <n v="3"/>
    <s v="Medicinální plyny II."/>
    <m/>
    <s v="24111500-0"/>
    <m/>
    <n v="1064952"/>
    <x v="0"/>
    <d v="2021-11-25T00:00:00"/>
    <d v="2022-01-05T00:00:00"/>
    <m/>
    <m/>
    <m/>
    <m/>
    <m/>
    <m/>
    <m/>
    <m/>
    <m/>
    <m/>
    <x v="6"/>
    <m/>
    <m/>
  </r>
  <r>
    <d v="2021-11-15T00:00:00"/>
    <s v="VZ-2021-001247"/>
    <x v="0"/>
    <s v="Ondráčková"/>
    <x v="459"/>
    <n v="4"/>
    <s v="Suchý led"/>
    <m/>
    <s v="24111500-0"/>
    <m/>
    <n v="55224"/>
    <x v="0"/>
    <d v="2021-11-25T00:00:00"/>
    <d v="2022-01-05T00:00:00"/>
    <m/>
    <m/>
    <m/>
    <m/>
    <m/>
    <m/>
    <m/>
    <m/>
    <m/>
    <m/>
    <x v="6"/>
    <m/>
    <m/>
  </r>
  <r>
    <s v="opakovaná VZ"/>
    <s v="VZ-2021-001248"/>
    <x v="2"/>
    <s v="Olejníček"/>
    <x v="460"/>
    <m/>
    <m/>
    <m/>
    <s v="33192000-2"/>
    <m/>
    <n v="360000"/>
    <x v="2"/>
    <m/>
    <m/>
    <m/>
    <m/>
    <m/>
    <m/>
    <m/>
    <m/>
    <m/>
    <m/>
    <m/>
    <m/>
    <x v="6"/>
    <m/>
    <m/>
  </r>
  <r>
    <d v="2021-09-14T00:00:00"/>
    <s v="VZ-2021-001249"/>
    <x v="9"/>
    <s v="Svozil"/>
    <x v="461"/>
    <m/>
    <m/>
    <m/>
    <s v="77300000-3"/>
    <m/>
    <n v="4000000"/>
    <x v="0"/>
    <m/>
    <m/>
    <m/>
    <m/>
    <m/>
    <m/>
    <m/>
    <m/>
    <m/>
    <m/>
    <m/>
    <m/>
    <x v="6"/>
    <m/>
    <m/>
  </r>
  <r>
    <d v="2021-11-19T00:00:00"/>
    <s v="VZ-2021-001251"/>
    <x v="5"/>
    <s v="Oravec"/>
    <x v="462"/>
    <m/>
    <m/>
    <m/>
    <s v="33124000-5"/>
    <s v="3.2.58."/>
    <n v="1470000"/>
    <x v="2"/>
    <d v="2021-11-29T00:00:00"/>
    <d v="2021-12-08T00:00:00"/>
    <d v="2021-12-16T00:00:00"/>
    <s v="OR-CZ spol. s r.o."/>
    <m/>
    <n v="1336800"/>
    <n v="1617528"/>
    <m/>
    <m/>
    <m/>
    <d v="2021-12-17T00:00:00"/>
    <s v="SMLN-2021-617-000735"/>
    <x v="6"/>
    <m/>
    <m/>
  </r>
  <r>
    <d v="2021-11-24T00:00:00"/>
    <s v="VZ-2021-001252"/>
    <x v="10"/>
    <s v="Zdráhalová"/>
    <x v="463"/>
    <m/>
    <m/>
    <m/>
    <s v="35113490-0"/>
    <m/>
    <n v="780000"/>
    <x v="2"/>
    <d v="2021-12-02T00:00:00"/>
    <d v="2021-12-08T00:00:00"/>
    <d v="2021-12-15T00:00:00"/>
    <s v="MEDISERVIS s.r.o."/>
    <m/>
    <n v="509400"/>
    <n v="616374"/>
    <m/>
    <m/>
    <m/>
    <d v="2021-12-15T00:00:00"/>
    <s v="SMLN-2021-617-000724"/>
    <x v="6"/>
    <m/>
    <m/>
  </r>
  <r>
    <d v="2021-11-12T00:00:00"/>
    <s v="VZ-2021-001257"/>
    <x v="8"/>
    <s v="Kadlec"/>
    <x v="464"/>
    <m/>
    <m/>
    <m/>
    <s v="45453000-7"/>
    <m/>
    <n v="350000"/>
    <x v="2"/>
    <d v="2021-11-26T00:00:00"/>
    <d v="2021-12-06T00:00:00"/>
    <d v="2021-12-16T00:00:00"/>
    <s v="ELEKTRO-FLEXI s.r.o."/>
    <m/>
    <n v="322050.71000000002"/>
    <n v="389681.36"/>
    <m/>
    <m/>
    <m/>
    <d v="2021-12-16T00:00:00"/>
    <s v="SMLN-2021-618-000091"/>
    <x v="6"/>
    <m/>
    <m/>
  </r>
  <r>
    <d v="2021-10-06T00:00:00"/>
    <s v="VZ-2021-001260"/>
    <x v="2"/>
    <s v="Olejníček"/>
    <x v="465"/>
    <m/>
    <m/>
    <m/>
    <s v="33158200-4"/>
    <s v="2.2.334."/>
    <n v="59000"/>
    <x v="2"/>
    <d v="2021-11-30T00:00:00"/>
    <d v="2021-12-10T00:00:00"/>
    <d v="2021-12-16T00:00:00"/>
    <s v="WALTER Graphtek CZ s.r.o."/>
    <m/>
    <n v="58970"/>
    <n v="71357.7"/>
    <m/>
    <m/>
    <m/>
    <d v="2021-12-16T00:00:00"/>
    <s v="SMLN-2021-617-000734"/>
    <x v="6"/>
    <m/>
    <m/>
  </r>
  <r>
    <d v="2021-11-24T00:00:00"/>
    <s v="VZ-2021-001261"/>
    <x v="11"/>
    <s v="Olejníček"/>
    <x v="466"/>
    <n v="1"/>
    <s v="Laboratorní mikroskopy   "/>
    <m/>
    <s v="38634000-8 "/>
    <s v="2.3.569."/>
    <n v="1786211"/>
    <x v="0"/>
    <m/>
    <m/>
    <m/>
    <s v="nerealizováno v roce 2021"/>
    <s v="VZ-2022-000009"/>
    <m/>
    <m/>
    <m/>
    <m/>
    <m/>
    <m/>
    <m/>
    <x v="6"/>
    <m/>
    <m/>
  </r>
  <r>
    <d v="2021-11-24T00:00:00"/>
    <s v="VZ-2021-001261"/>
    <x v="11"/>
    <s v="Olejníček"/>
    <x v="466"/>
    <n v="2"/>
    <s v="Inverzní optický mikroskop"/>
    <m/>
    <s v="38634000-8 "/>
    <m/>
    <n v="102536"/>
    <x v="0"/>
    <m/>
    <m/>
    <m/>
    <s v="nerealizováno v roce 2021"/>
    <s v="VZ-2022-000009"/>
    <m/>
    <m/>
    <m/>
    <m/>
    <m/>
    <m/>
    <m/>
    <x v="6"/>
    <m/>
    <m/>
  </r>
  <r>
    <d v="2021-11-24T00:00:00"/>
    <s v="VZ-2021-001261"/>
    <x v="11"/>
    <s v="Olejníček"/>
    <x v="466"/>
    <n v="3"/>
    <s v="Mikroskop pro III. Inetrní kliniku"/>
    <m/>
    <s v="38634000-8 "/>
    <m/>
    <n v="195162"/>
    <x v="0"/>
    <m/>
    <m/>
    <m/>
    <s v="nerealizováno v roce 2021"/>
    <s v="VZ-2022-000009"/>
    <m/>
    <m/>
    <m/>
    <m/>
    <m/>
    <m/>
    <m/>
    <x v="6"/>
    <m/>
    <m/>
  </r>
  <r>
    <s v="opakovaná VZ"/>
    <s v="VZ-2021-001263"/>
    <x v="1"/>
    <s v="Valtová"/>
    <x v="467"/>
    <m/>
    <m/>
    <m/>
    <s v="33140000-3"/>
    <m/>
    <n v="335440"/>
    <x v="2"/>
    <d v="2021-12-06T00:00:00"/>
    <d v="2021-12-13T00:00:00"/>
    <d v="2021-12-16T00:00:00"/>
    <s v="MSM, spol. s r.o."/>
    <m/>
    <n v="365897.6"/>
    <n v="442736.1"/>
    <m/>
    <m/>
    <m/>
    <d v="2021-12-17T00:00:00"/>
    <s v="SMLN-2021-617-000738_x000a_SMLN-2021-614-000131"/>
    <x v="6"/>
    <m/>
    <m/>
  </r>
  <r>
    <d v="2021-11-25T00:00:00"/>
    <s v="VZ-2021-001265"/>
    <x v="3"/>
    <s v="Langer"/>
    <x v="468"/>
    <m/>
    <m/>
    <m/>
    <s v="45454000-4"/>
    <s v="1.2.79."/>
    <n v="35000000"/>
    <x v="1"/>
    <d v="2021-11-30T00:00:00"/>
    <d v="2021-12-17T00:00:00"/>
    <m/>
    <m/>
    <m/>
    <m/>
    <m/>
    <m/>
    <m/>
    <m/>
    <m/>
    <m/>
    <x v="6"/>
    <m/>
    <m/>
  </r>
  <r>
    <d v="2021-11-25T00:00:00"/>
    <s v="VZ-2021-001268"/>
    <x v="10"/>
    <s v="Zdráhalová"/>
    <x v="469"/>
    <m/>
    <m/>
    <m/>
    <s v="39120000-9"/>
    <m/>
    <n v="1100000"/>
    <x v="2"/>
    <d v="2021-11-26T00:00:00"/>
    <d v="2021-12-17T00:00:00"/>
    <m/>
    <m/>
    <m/>
    <m/>
    <m/>
    <m/>
    <m/>
    <m/>
    <m/>
    <m/>
    <x v="6"/>
    <m/>
    <m/>
  </r>
  <r>
    <d v="2021-11-26T00:00:00"/>
    <s v="VZ-2021-001269"/>
    <x v="2"/>
    <s v="Rosulek"/>
    <x v="470"/>
    <n v="1"/>
    <s v="Modulární bateriové soupravy k menším výkonům v ortopedii"/>
    <m/>
    <s v="33160000-9"/>
    <s v="2.2.343."/>
    <n v="750000"/>
    <x v="0"/>
    <m/>
    <m/>
    <m/>
    <s v="nerealizováno v roce 2021"/>
    <s v="VZ-2022-000010"/>
    <m/>
    <m/>
    <m/>
    <m/>
    <m/>
    <m/>
    <m/>
    <x v="6"/>
    <m/>
    <m/>
  </r>
  <r>
    <d v="2021-11-26T00:00:00"/>
    <s v="VZ-2021-001269"/>
    <x v="2"/>
    <s v="Rosulek"/>
    <x v="470"/>
    <n v="2"/>
    <s v="Akumulátorové soupravy pro střední výkony v ortopedii"/>
    <m/>
    <s v="33160000-9"/>
    <s v="2.2.344."/>
    <n v="850000"/>
    <x v="0"/>
    <m/>
    <m/>
    <m/>
    <s v="nerealizováno v roce 2021"/>
    <s v="VZ-2022-000010"/>
    <m/>
    <m/>
    <m/>
    <m/>
    <m/>
    <m/>
    <m/>
    <x v="6"/>
    <m/>
    <m/>
  </r>
  <r>
    <d v="2021-11-16T00:00:00"/>
    <s v="VZ-2021-001272"/>
    <x v="1"/>
    <s v="Valtová"/>
    <x v="471"/>
    <m/>
    <m/>
    <m/>
    <s v="33140000-3"/>
    <m/>
    <n v="5986475"/>
    <x v="0"/>
    <d v="2021-12-02T00:00:00"/>
    <d v="2022-01-04T00:00:00"/>
    <m/>
    <m/>
    <m/>
    <m/>
    <m/>
    <m/>
    <m/>
    <m/>
    <m/>
    <m/>
    <x v="6"/>
    <m/>
    <m/>
  </r>
  <r>
    <d v="2021-11-24T00:00:00"/>
    <s v="VZ-2021-001275"/>
    <x v="0"/>
    <s v="Ondráčková"/>
    <x v="472"/>
    <n v="1"/>
    <s v="LANTUS "/>
    <m/>
    <s v="33615100-5"/>
    <m/>
    <n v="10941317"/>
    <x v="0"/>
    <m/>
    <m/>
    <m/>
    <m/>
    <m/>
    <m/>
    <m/>
    <m/>
    <m/>
    <m/>
    <m/>
    <m/>
    <x v="6"/>
    <m/>
    <m/>
  </r>
  <r>
    <d v="2021-11-24T00:00:00"/>
    <s v="VZ-2021-001275"/>
    <x v="0"/>
    <s v="Ondráčková"/>
    <x v="472"/>
    <n v="2"/>
    <s v="ABASAGLAR "/>
    <m/>
    <s v="33615100-5"/>
    <m/>
    <n v="901115"/>
    <x v="0"/>
    <m/>
    <m/>
    <m/>
    <m/>
    <m/>
    <m/>
    <m/>
    <m/>
    <m/>
    <m/>
    <m/>
    <m/>
    <x v="6"/>
    <m/>
    <m/>
  </r>
  <r>
    <d v="2021-11-24T00:00:00"/>
    <s v="VZ-2021-001275"/>
    <x v="0"/>
    <s v="Ondráčková"/>
    <x v="472"/>
    <n v="3"/>
    <s v="TOUJEO FN OL"/>
    <m/>
    <s v="33615100-5"/>
    <m/>
    <n v="15078150"/>
    <x v="0"/>
    <m/>
    <m/>
    <m/>
    <m/>
    <m/>
    <m/>
    <m/>
    <m/>
    <m/>
    <m/>
    <m/>
    <m/>
    <x v="6"/>
    <m/>
    <m/>
  </r>
  <r>
    <d v="2021-11-24T00:00:00"/>
    <s v="VZ-2021-001276"/>
    <x v="0"/>
    <s v="Ondráčková"/>
    <x v="473"/>
    <n v="1"/>
    <s v="IRINOTEKAN PEGYLOVANÝ"/>
    <m/>
    <s v="33652000-5"/>
    <m/>
    <n v="2227932"/>
    <x v="0"/>
    <d v="2021-12-06T00:00:00"/>
    <d v="2022-01-20T00:00:00"/>
    <m/>
    <m/>
    <m/>
    <m/>
    <m/>
    <m/>
    <m/>
    <m/>
    <m/>
    <m/>
    <x v="6"/>
    <m/>
    <m/>
  </r>
  <r>
    <d v="2021-11-24T00:00:00"/>
    <s v="VZ-2021-001276"/>
    <x v="0"/>
    <s v="Ondráčková"/>
    <x v="473"/>
    <n v="2"/>
    <s v="ALPELISIB"/>
    <m/>
    <s v="33652000-5"/>
    <m/>
    <n v="8217507"/>
    <x v="0"/>
    <d v="2021-12-06T00:00:00"/>
    <d v="2022-01-20T00:00:00"/>
    <m/>
    <m/>
    <m/>
    <m/>
    <m/>
    <m/>
    <m/>
    <m/>
    <m/>
    <m/>
    <x v="6"/>
    <m/>
    <m/>
  </r>
  <r>
    <d v="2021-11-24T00:00:00"/>
    <s v="VZ-2021-001276"/>
    <x v="0"/>
    <s v="Ondráčková"/>
    <x v="473"/>
    <n v="3"/>
    <s v="CETUXIMAB"/>
    <m/>
    <s v="33652000-5"/>
    <m/>
    <n v="28045433"/>
    <x v="0"/>
    <d v="2021-12-06T00:00:00"/>
    <d v="2022-01-20T00:00:00"/>
    <m/>
    <m/>
    <m/>
    <m/>
    <m/>
    <m/>
    <m/>
    <m/>
    <m/>
    <m/>
    <x v="6"/>
    <m/>
    <m/>
  </r>
  <r>
    <d v="2021-11-24T00:00:00"/>
    <s v="VZ-2021-001276"/>
    <x v="0"/>
    <s v="Ondráčková"/>
    <x v="473"/>
    <n v="4"/>
    <s v="PANITUMUMAB"/>
    <m/>
    <s v="33652000-5"/>
    <m/>
    <n v="27775405"/>
    <x v="0"/>
    <d v="2021-12-06T00:00:00"/>
    <d v="2022-01-20T00:00:00"/>
    <m/>
    <m/>
    <m/>
    <m/>
    <m/>
    <m/>
    <m/>
    <m/>
    <m/>
    <m/>
    <x v="6"/>
    <m/>
    <m/>
  </r>
  <r>
    <d v="2021-11-24T00:00:00"/>
    <s v="VZ-2021-001276"/>
    <x v="0"/>
    <s v="Ondráčková"/>
    <x v="473"/>
    <n v="5"/>
    <s v="RAMUCIRUMAB"/>
    <m/>
    <s v="33652000-5"/>
    <m/>
    <n v="17089758"/>
    <x v="0"/>
    <d v="2021-12-06T00:00:00"/>
    <d v="2022-01-20T00:00:00"/>
    <m/>
    <m/>
    <m/>
    <m/>
    <m/>
    <m/>
    <m/>
    <m/>
    <m/>
    <m/>
    <x v="6"/>
    <m/>
    <m/>
  </r>
  <r>
    <d v="2021-11-24T00:00:00"/>
    <s v="VZ-2021-001276"/>
    <x v="0"/>
    <s v="Ondráčková"/>
    <x v="473"/>
    <n v="6"/>
    <s v="LAROTREKTINIB"/>
    <m/>
    <s v="33652000-5"/>
    <m/>
    <n v="12126777"/>
    <x v="0"/>
    <d v="2021-12-06T00:00:00"/>
    <d v="2022-01-20T00:00:00"/>
    <m/>
    <m/>
    <m/>
    <m/>
    <m/>
    <m/>
    <m/>
    <m/>
    <m/>
    <m/>
    <x v="6"/>
    <m/>
    <m/>
  </r>
  <r>
    <d v="2021-11-24T00:00:00"/>
    <s v="VZ-2021-001276"/>
    <x v="0"/>
    <s v="Ondráčková"/>
    <x v="473"/>
    <n v="7"/>
    <s v="GILTERITINIB"/>
    <m/>
    <s v="33652000-5"/>
    <m/>
    <n v="45734721"/>
    <x v="0"/>
    <d v="2021-12-06T00:00:00"/>
    <d v="2022-01-20T00:00:00"/>
    <m/>
    <m/>
    <m/>
    <m/>
    <m/>
    <m/>
    <m/>
    <m/>
    <m/>
    <m/>
    <x v="6"/>
    <m/>
    <m/>
  </r>
  <r>
    <d v="2021-11-24T00:00:00"/>
    <s v="VZ-2021-001276"/>
    <x v="0"/>
    <s v="Ondráčková"/>
    <x v="473"/>
    <n v="8"/>
    <s v="ENTREKTINIB"/>
    <m/>
    <s v="33652000-5"/>
    <m/>
    <n v="13490912"/>
    <x v="0"/>
    <d v="2021-12-06T00:00:00"/>
    <d v="2022-01-20T00:00:00"/>
    <m/>
    <m/>
    <m/>
    <m/>
    <m/>
    <m/>
    <m/>
    <m/>
    <m/>
    <m/>
    <x v="6"/>
    <m/>
    <m/>
  </r>
  <r>
    <d v="2021-11-24T00:00:00"/>
    <s v="VZ-2021-001277"/>
    <x v="0"/>
    <s v="Ondráčková"/>
    <x v="474"/>
    <n v="1"/>
    <s v="SIPONIMOD"/>
    <m/>
    <s v="33652300-8"/>
    <m/>
    <n v="2605479"/>
    <x v="0"/>
    <d v="2021-12-02T00:00:00"/>
    <d v="2022-01-17T00:00:00"/>
    <m/>
    <m/>
    <m/>
    <m/>
    <m/>
    <m/>
    <m/>
    <m/>
    <m/>
    <m/>
    <x v="6"/>
    <m/>
    <m/>
  </r>
  <r>
    <d v="2021-11-24T00:00:00"/>
    <s v="VZ-2021-001277"/>
    <x v="0"/>
    <s v="Ondráčková"/>
    <x v="474"/>
    <n v="2"/>
    <s v="RAVULIZUMAB"/>
    <m/>
    <s v="33652300-8"/>
    <m/>
    <n v="7299480"/>
    <x v="0"/>
    <d v="2021-12-02T00:00:00"/>
    <d v="2022-01-17T00:00:00"/>
    <m/>
    <m/>
    <m/>
    <m/>
    <m/>
    <m/>
    <m/>
    <m/>
    <m/>
    <m/>
    <x v="6"/>
    <m/>
    <m/>
  </r>
  <r>
    <d v="2021-11-24T00:00:00"/>
    <s v="VZ-2021-001277"/>
    <x v="0"/>
    <s v="Ondráčková"/>
    <x v="474"/>
    <n v="3"/>
    <s v="MYFENAX"/>
    <m/>
    <s v="33652300-8"/>
    <m/>
    <n v="2022861"/>
    <x v="0"/>
    <d v="2021-12-02T00:00:00"/>
    <d v="2022-01-17T00:00:00"/>
    <m/>
    <m/>
    <m/>
    <m/>
    <m/>
    <m/>
    <m/>
    <m/>
    <m/>
    <m/>
    <x v="6"/>
    <m/>
    <m/>
  </r>
  <r>
    <d v="2021-11-24T00:00:00"/>
    <s v="VZ-2021-001277"/>
    <x v="0"/>
    <s v="Ondráčková"/>
    <x v="474"/>
    <n v="4"/>
    <s v="MYFORTIC"/>
    <m/>
    <s v="33652300-8"/>
    <m/>
    <n v="518517"/>
    <x v="0"/>
    <d v="2021-12-02T00:00:00"/>
    <d v="2022-01-17T00:00:00"/>
    <m/>
    <m/>
    <m/>
    <m/>
    <m/>
    <m/>
    <m/>
    <m/>
    <m/>
    <m/>
    <x v="6"/>
    <m/>
    <m/>
  </r>
  <r>
    <d v="2021-11-24T00:00:00"/>
    <s v="VZ-2021-001277"/>
    <x v="0"/>
    <s v="Ondráčková"/>
    <x v="474"/>
    <n v="5"/>
    <s v="DARVADSTROCEL"/>
    <m/>
    <s v="33652300-8"/>
    <m/>
    <n v="55000062"/>
    <x v="0"/>
    <d v="2021-12-02T00:00:00"/>
    <d v="2022-01-17T00:00:00"/>
    <m/>
    <m/>
    <m/>
    <m/>
    <m/>
    <m/>
    <m/>
    <m/>
    <m/>
    <m/>
    <x v="6"/>
    <m/>
    <m/>
  </r>
  <r>
    <d v="2021-12-03T00:00:00"/>
    <s v="VZ-2021-001279"/>
    <x v="8"/>
    <s v="Kadlec"/>
    <x v="475"/>
    <m/>
    <m/>
    <m/>
    <s v="45351000-2"/>
    <m/>
    <n v="500000"/>
    <x v="2"/>
    <d v="2021-12-14T00:00:00"/>
    <d v="2021-12-29T00:00:00"/>
    <m/>
    <m/>
    <m/>
    <m/>
    <m/>
    <m/>
    <m/>
    <m/>
    <m/>
    <m/>
    <x v="6"/>
    <m/>
    <m/>
  </r>
  <r>
    <d v="2021-11-26T00:00:00"/>
    <s v="VZ-2021-001280"/>
    <x v="2"/>
    <s v="Rosulek"/>
    <x v="476"/>
    <m/>
    <m/>
    <m/>
    <s v="38000000-5"/>
    <s v="2.3.322., 2.2.411."/>
    <n v="10200000"/>
    <x v="0"/>
    <m/>
    <m/>
    <m/>
    <s v="nerealizováno v roce 2021"/>
    <s v="VZ-2022-000007"/>
    <m/>
    <m/>
    <m/>
    <m/>
    <m/>
    <m/>
    <m/>
    <x v="6"/>
    <m/>
    <m/>
  </r>
  <r>
    <d v="2021-11-25T00:00:00"/>
    <s v="VZ-2021-001281"/>
    <x v="1"/>
    <s v="Dočkalová"/>
    <x v="477"/>
    <m/>
    <m/>
    <m/>
    <s v="33162200-5"/>
    <m/>
    <n v="2549860"/>
    <x v="1"/>
    <d v="2021-12-02T00:00:00"/>
    <d v="2021-12-27T00:00:00"/>
    <m/>
    <m/>
    <m/>
    <m/>
    <m/>
    <m/>
    <m/>
    <m/>
    <m/>
    <m/>
    <x v="6"/>
    <m/>
    <m/>
  </r>
  <r>
    <s v="opakovaná VZ"/>
    <s v="VZ-2021-001282"/>
    <x v="0"/>
    <s v="Ondráčková"/>
    <x v="478"/>
    <m/>
    <m/>
    <m/>
    <s v="33694000-1"/>
    <m/>
    <n v="4650131"/>
    <x v="0"/>
    <d v="2021-12-07T00:00:00"/>
    <d v="2022-01-10T00:00:00"/>
    <m/>
    <m/>
    <m/>
    <m/>
    <m/>
    <m/>
    <m/>
    <m/>
    <m/>
    <m/>
    <x v="6"/>
    <m/>
    <m/>
  </r>
  <r>
    <d v="2021-11-29T00:00:00"/>
    <s v="VZ-2021-001288"/>
    <x v="0"/>
    <s v="Ondráčková"/>
    <x v="479"/>
    <m/>
    <m/>
    <m/>
    <s v="33652100-6"/>
    <m/>
    <n v="32332000"/>
    <x v="3"/>
    <d v="2021-12-03T00:00:00"/>
    <d v="2022-01-05T00:00:00"/>
    <m/>
    <m/>
    <m/>
    <m/>
    <m/>
    <m/>
    <m/>
    <m/>
    <m/>
    <m/>
    <x v="6"/>
    <m/>
    <m/>
  </r>
  <r>
    <d v="2021-11-30T00:00:00"/>
    <s v="VZ-2021-001289"/>
    <x v="0"/>
    <s v="Ondráčková"/>
    <x v="480"/>
    <m/>
    <m/>
    <m/>
    <s v="33694000-1"/>
    <m/>
    <n v="11814000"/>
    <x v="0"/>
    <d v="2021-12-17T00:00:00"/>
    <d v="2022-01-20T00:00:00"/>
    <m/>
    <m/>
    <m/>
    <m/>
    <m/>
    <m/>
    <m/>
    <m/>
    <m/>
    <m/>
    <x v="6"/>
    <m/>
    <m/>
  </r>
  <r>
    <d v="2021-11-01T00:00:00"/>
    <s v="VZ-2021-001297"/>
    <x v="1"/>
    <s v="Dočkalová"/>
    <x v="481"/>
    <n v="1"/>
    <s v="Protézy cévní Gelsoft Plus"/>
    <m/>
    <s v="33184200-5"/>
    <m/>
    <n v="1154583"/>
    <x v="0"/>
    <d v="2021-12-09T00:00:00"/>
    <d v="2022-01-12T00:00:00"/>
    <m/>
    <m/>
    <m/>
    <m/>
    <m/>
    <m/>
    <m/>
    <m/>
    <m/>
    <m/>
    <x v="6"/>
    <m/>
    <m/>
  </r>
  <r>
    <s v="opakovaná VZ"/>
    <s v="VZ-2021-001297"/>
    <x v="1"/>
    <s v="Dočkalová"/>
    <x v="481"/>
    <n v="2"/>
    <s v="Protézy cévní II."/>
    <m/>
    <s v="33184200-5"/>
    <m/>
    <n v="89870"/>
    <x v="0"/>
    <d v="2021-12-09T00:00:00"/>
    <d v="2022-01-12T00:00:00"/>
    <m/>
    <m/>
    <m/>
    <m/>
    <m/>
    <m/>
    <m/>
    <m/>
    <m/>
    <m/>
    <x v="6"/>
    <m/>
    <m/>
  </r>
  <r>
    <s v="opakovaná VZ"/>
    <s v="VZ-2021-001297"/>
    <x v="1"/>
    <s v="Dočkalová"/>
    <x v="481"/>
    <n v="3"/>
    <s v="Protézy cévní III."/>
    <m/>
    <s v="33184200-5"/>
    <m/>
    <n v="1827770"/>
    <x v="0"/>
    <d v="2021-12-09T00:00:00"/>
    <d v="2022-01-12T00:00:00"/>
    <m/>
    <m/>
    <m/>
    <m/>
    <m/>
    <m/>
    <m/>
    <m/>
    <m/>
    <m/>
    <x v="6"/>
    <m/>
    <m/>
  </r>
  <r>
    <s v="opakovaná VZ"/>
    <s v="VZ-2021-001297"/>
    <x v="1"/>
    <s v="Dočkalová"/>
    <x v="481"/>
    <n v="4"/>
    <s v="Protézy cévní IV."/>
    <m/>
    <s v="33184200-5"/>
    <m/>
    <n v="56870"/>
    <x v="0"/>
    <d v="2021-12-09T00:00:00"/>
    <d v="2022-01-12T00:00:00"/>
    <m/>
    <m/>
    <m/>
    <m/>
    <m/>
    <m/>
    <m/>
    <m/>
    <m/>
    <m/>
    <x v="6"/>
    <m/>
    <m/>
  </r>
  <r>
    <s v="opakovaná VZ"/>
    <s v="VZ-2021-001297"/>
    <x v="1"/>
    <s v="Dočkalová"/>
    <x v="481"/>
    <n v="5"/>
    <s v="Protézy cévní V."/>
    <m/>
    <s v="33184200-5"/>
    <m/>
    <n v="2835100"/>
    <x v="0"/>
    <d v="2021-12-09T00:00:00"/>
    <d v="2022-01-12T00:00:00"/>
    <m/>
    <m/>
    <m/>
    <m/>
    <m/>
    <m/>
    <m/>
    <m/>
    <m/>
    <m/>
    <x v="6"/>
    <m/>
    <m/>
  </r>
  <r>
    <d v="2021-12-02T00:00:00"/>
    <s v="VZ-2021-001298"/>
    <x v="0"/>
    <s v="Ondráčková"/>
    <x v="482"/>
    <m/>
    <m/>
    <m/>
    <s v="33694000-1"/>
    <m/>
    <n v="1610000"/>
    <x v="1"/>
    <d v="2021-12-09T00:00:00"/>
    <d v="2022-01-04T00:00:00"/>
    <m/>
    <m/>
    <m/>
    <m/>
    <m/>
    <m/>
    <m/>
    <m/>
    <m/>
    <m/>
    <x v="6"/>
    <m/>
    <m/>
  </r>
  <r>
    <d v="2021-12-02T00:00:00"/>
    <s v="VZ-2021-001299"/>
    <x v="0"/>
    <s v="Ondráčková"/>
    <x v="483"/>
    <n v="1"/>
    <s v="VANDETANIB "/>
    <m/>
    <s v="33652000-5"/>
    <m/>
    <n v="7836762"/>
    <x v="0"/>
    <d v="2021-12-08T00:00:00"/>
    <d v="2022-02-07T00:00:00"/>
    <m/>
    <m/>
    <m/>
    <m/>
    <m/>
    <m/>
    <m/>
    <m/>
    <m/>
    <m/>
    <x v="6"/>
    <m/>
    <m/>
  </r>
  <r>
    <d v="2021-12-02T00:00:00"/>
    <s v="VZ-2021-001299"/>
    <x v="0"/>
    <s v="Ondráčková"/>
    <x v="484"/>
    <n v="2"/>
    <s v="AFATINIB"/>
    <m/>
    <s v="33652000-5"/>
    <m/>
    <n v="1166820"/>
    <x v="0"/>
    <d v="2021-12-08T00:00:00"/>
    <d v="2022-02-07T00:00:00"/>
    <m/>
    <m/>
    <m/>
    <m/>
    <m/>
    <m/>
    <m/>
    <m/>
    <m/>
    <m/>
    <x v="6"/>
    <m/>
    <m/>
  </r>
  <r>
    <d v="2021-12-02T00:00:00"/>
    <s v="VZ-2021-001299"/>
    <x v="0"/>
    <s v="Ondráčková"/>
    <x v="483"/>
    <n v="3"/>
    <s v="BOSUTINIB "/>
    <m/>
    <s v="33652000-5"/>
    <m/>
    <n v="2563207"/>
    <x v="0"/>
    <d v="2021-12-08T00:00:00"/>
    <d v="2022-02-07T00:00:00"/>
    <m/>
    <m/>
    <m/>
    <m/>
    <m/>
    <m/>
    <m/>
    <m/>
    <m/>
    <m/>
    <x v="6"/>
    <m/>
    <m/>
  </r>
  <r>
    <d v="2021-12-02T00:00:00"/>
    <s v="VZ-2021-001299"/>
    <x v="0"/>
    <s v="Ondráčková"/>
    <x v="483"/>
    <n v="4"/>
    <s v="KRIZOTINIB "/>
    <m/>
    <s v="33652000-5"/>
    <m/>
    <n v="10710000"/>
    <x v="0"/>
    <d v="2021-12-08T00:00:00"/>
    <d v="2022-02-07T00:00:00"/>
    <m/>
    <m/>
    <m/>
    <m/>
    <m/>
    <m/>
    <m/>
    <m/>
    <m/>
    <m/>
    <x v="6"/>
    <m/>
    <m/>
  </r>
  <r>
    <d v="2021-12-02T00:00:00"/>
    <s v="VZ-2021-001299"/>
    <x v="0"/>
    <s v="Ondráčková"/>
    <x v="483"/>
    <n v="5"/>
    <s v="PONATINIB "/>
    <m/>
    <s v="33652000-5"/>
    <m/>
    <n v="7435918"/>
    <x v="0"/>
    <d v="2021-12-08T00:00:00"/>
    <d v="2022-02-07T00:00:00"/>
    <m/>
    <m/>
    <m/>
    <m/>
    <m/>
    <m/>
    <m/>
    <m/>
    <m/>
    <m/>
    <x v="6"/>
    <m/>
    <m/>
  </r>
  <r>
    <d v="2021-12-02T00:00:00"/>
    <s v="VZ-2021-001299"/>
    <x v="0"/>
    <s v="Ondráčková"/>
    <x v="483"/>
    <n v="6"/>
    <s v="TRAMETINIB "/>
    <m/>
    <s v="33652000-5"/>
    <m/>
    <n v="46702858"/>
    <x v="0"/>
    <d v="2021-12-08T00:00:00"/>
    <d v="2022-02-07T00:00:00"/>
    <m/>
    <m/>
    <m/>
    <m/>
    <m/>
    <m/>
    <m/>
    <m/>
    <m/>
    <m/>
    <x v="6"/>
    <m/>
    <m/>
  </r>
  <r>
    <d v="2021-12-02T00:00:00"/>
    <s v="VZ-2021-001299"/>
    <x v="0"/>
    <s v="Ondráčková"/>
    <x v="483"/>
    <n v="7"/>
    <s v="NINTEDANIB"/>
    <m/>
    <s v="33652000-5"/>
    <m/>
    <n v="18432258"/>
    <x v="0"/>
    <d v="2021-12-08T00:00:00"/>
    <d v="2022-02-07T00:00:00"/>
    <m/>
    <m/>
    <m/>
    <m/>
    <m/>
    <m/>
    <m/>
    <m/>
    <m/>
    <m/>
    <x v="6"/>
    <m/>
    <m/>
  </r>
  <r>
    <d v="2021-12-02T00:00:00"/>
    <s v="VZ-2021-001299"/>
    <x v="0"/>
    <s v="Ondráčková"/>
    <x v="483"/>
    <n v="8"/>
    <s v="LENVATINIB"/>
    <m/>
    <s v="33652000-5"/>
    <m/>
    <n v="15523659"/>
    <x v="0"/>
    <d v="2021-12-08T00:00:00"/>
    <d v="2022-02-07T00:00:00"/>
    <m/>
    <m/>
    <m/>
    <m/>
    <m/>
    <m/>
    <m/>
    <m/>
    <m/>
    <m/>
    <x v="6"/>
    <m/>
    <m/>
  </r>
  <r>
    <d v="2021-12-03T00:00:00"/>
    <s v="VZ-2021-001305"/>
    <x v="0"/>
    <s v="Ondráčková"/>
    <x v="485"/>
    <m/>
    <m/>
    <m/>
    <s v="38434000-6, 3694000-1"/>
    <m/>
    <n v="4200000"/>
    <x v="0"/>
    <d v="2021-12-20T00:00:00"/>
    <d v="2022-01-24T00:00:00"/>
    <m/>
    <m/>
    <m/>
    <m/>
    <m/>
    <m/>
    <m/>
    <m/>
    <m/>
    <m/>
    <x v="6"/>
    <m/>
    <m/>
  </r>
  <r>
    <s v="opakovaná VZ"/>
    <s v="VZ-2021-001309"/>
    <x v="1"/>
    <s v="Valtová"/>
    <x v="486"/>
    <n v="1"/>
    <s v="Diagnostické katétry  II."/>
    <m/>
    <s v="33140000-3"/>
    <m/>
    <n v="1220800"/>
    <x v="0"/>
    <d v="2021-12-09T00:00:00"/>
    <d v="2022-01-11T00:00:00"/>
    <m/>
    <m/>
    <m/>
    <m/>
    <m/>
    <m/>
    <m/>
    <m/>
    <m/>
    <m/>
    <x v="6"/>
    <m/>
    <m/>
  </r>
  <r>
    <s v="opakovaná VZ"/>
    <s v="VZ-2021-001309"/>
    <x v="1"/>
    <s v="Valtová"/>
    <x v="486"/>
    <n v="2"/>
    <s v="Kalibrační diagnostické katétry"/>
    <m/>
    <s v="33140000-3"/>
    <m/>
    <n v="125160"/>
    <x v="0"/>
    <d v="2021-12-09T00:00:00"/>
    <d v="2022-01-11T00:00:00"/>
    <m/>
    <m/>
    <m/>
    <m/>
    <m/>
    <m/>
    <m/>
    <m/>
    <m/>
    <m/>
    <x v="6"/>
    <m/>
    <m/>
  </r>
  <r>
    <s v="opakovaná VZ"/>
    <s v="VZ-2021-001309"/>
    <x v="1"/>
    <s v="Valtová"/>
    <x v="486"/>
    <n v="3"/>
    <s v="Vodící katétry neurointervenční"/>
    <m/>
    <s v="33140000-3"/>
    <m/>
    <n v="2080500"/>
    <x v="0"/>
    <d v="2021-12-09T00:00:00"/>
    <d v="2022-01-11T00:00:00"/>
    <m/>
    <m/>
    <m/>
    <m/>
    <m/>
    <m/>
    <m/>
    <m/>
    <m/>
    <m/>
    <x v="6"/>
    <m/>
    <m/>
  </r>
  <r>
    <d v="2021-12-07T00:00:00"/>
    <s v="VZ-2021-001310"/>
    <x v="1"/>
    <s v="Dočkalová"/>
    <x v="487"/>
    <m/>
    <m/>
    <m/>
    <s v="33140000-3"/>
    <m/>
    <n v="2883740"/>
    <x v="1"/>
    <d v="2021-12-10T00:00:00"/>
    <d v="2022-01-03T00:00:00"/>
    <m/>
    <m/>
    <m/>
    <m/>
    <m/>
    <m/>
    <m/>
    <m/>
    <m/>
    <m/>
    <x v="6"/>
    <m/>
    <m/>
  </r>
  <r>
    <d v="2021-12-03T00:00:00"/>
    <s v="VZ-2021-001311"/>
    <x v="1"/>
    <s v="Dočkalová"/>
    <x v="488"/>
    <m/>
    <m/>
    <m/>
    <s v="33140000-3"/>
    <m/>
    <n v="2014020"/>
    <x v="1"/>
    <d v="2021-12-10T00:00:00"/>
    <d v="2021-12-30T00:00:00"/>
    <m/>
    <m/>
    <m/>
    <m/>
    <m/>
    <m/>
    <m/>
    <m/>
    <m/>
    <m/>
    <x v="6"/>
    <m/>
    <m/>
  </r>
  <r>
    <d v="2021-12-02T00:00:00"/>
    <s v="VZ-2021-001313"/>
    <x v="2"/>
    <s v="Rosulek"/>
    <x v="489"/>
    <m/>
    <m/>
    <m/>
    <s v="33115000-9"/>
    <s v="2.2.409."/>
    <n v="129000000"/>
    <x v="0"/>
    <m/>
    <m/>
    <m/>
    <s v="nerealizováno v roce 2021"/>
    <s v="VZ-2022-000008"/>
    <m/>
    <m/>
    <m/>
    <m/>
    <m/>
    <m/>
    <m/>
    <x v="6"/>
    <m/>
    <m/>
  </r>
  <r>
    <d v="2021-12-06T00:00:00"/>
    <s v="VZ-2021-001315"/>
    <x v="11"/>
    <s v="Olejníček"/>
    <x v="490"/>
    <m/>
    <m/>
    <m/>
    <s v="33111620-3"/>
    <s v="2.2.410."/>
    <n v="390000"/>
    <x v="2"/>
    <d v="2021-12-23T00:00:00"/>
    <d v="2022-01-11T00:00:00"/>
    <m/>
    <m/>
    <m/>
    <m/>
    <m/>
    <m/>
    <m/>
    <m/>
    <m/>
    <m/>
    <x v="6"/>
    <m/>
    <m/>
  </r>
  <r>
    <d v="2021-12-09T00:00:00"/>
    <s v="VZ-2021-001316"/>
    <x v="0"/>
    <s v="Ondráčková"/>
    <x v="491"/>
    <n v="1"/>
    <s v="KYSELINA OBETICHOLOVÁ"/>
    <m/>
    <s v="33610000-9"/>
    <m/>
    <n v="3123851"/>
    <x v="1"/>
    <d v="2021-12-10T00:00:00"/>
    <d v="2021-12-30T00:00:00"/>
    <m/>
    <m/>
    <m/>
    <m/>
    <m/>
    <m/>
    <m/>
    <m/>
    <m/>
    <m/>
    <x v="6"/>
    <m/>
    <m/>
  </r>
  <r>
    <s v="opakovaná VZ"/>
    <s v="VZ-2021-001318"/>
    <x v="1"/>
    <s v="Dočkalová"/>
    <x v="492"/>
    <m/>
    <m/>
    <m/>
    <s v="33140000-3"/>
    <m/>
    <n v="386194"/>
    <x v="2"/>
    <d v="2021-12-14T00:00:00"/>
    <d v="2021-12-22T00:00:00"/>
    <m/>
    <m/>
    <m/>
    <m/>
    <m/>
    <m/>
    <m/>
    <m/>
    <m/>
    <m/>
    <x v="6"/>
    <m/>
    <m/>
  </r>
  <r>
    <d v="2021-11-25T00:00:00"/>
    <s v="VZ-2021-001322"/>
    <x v="1"/>
    <s v="Dočkalová"/>
    <x v="493"/>
    <m/>
    <m/>
    <m/>
    <s v="33162200-5"/>
    <m/>
    <n v="1056000"/>
    <x v="2"/>
    <d v="2021-12-14T00:00:00"/>
    <d v="2021-12-22T00:00:00"/>
    <d v="2021-12-29T00:00:00"/>
    <s v="Medtronic Czechia s.r.o."/>
    <m/>
    <n v="950400"/>
    <n v="1149984"/>
    <m/>
    <m/>
    <m/>
    <d v="2021-12-29T00:00:00"/>
    <s v="SMLN-2021-617-000749_x000a_SMLN-2021-614-000139"/>
    <x v="6"/>
    <m/>
    <m/>
  </r>
  <r>
    <d v="2021-12-01T00:00:00"/>
    <s v="VZ-2021-001323"/>
    <x v="18"/>
    <s v="Zemanová"/>
    <x v="494"/>
    <n v="1"/>
    <s v="Externí klinický audit v radiodiagnostice vč. Intervenční radiologie a kardiologie"/>
    <m/>
    <s v="79212300-6"/>
    <m/>
    <n v="350000"/>
    <x v="2"/>
    <d v="2021-12-29T00:00:00"/>
    <d v="2022-01-07T00:00:00"/>
    <m/>
    <m/>
    <m/>
    <m/>
    <m/>
    <m/>
    <m/>
    <m/>
    <m/>
    <m/>
    <x v="6"/>
    <m/>
    <m/>
  </r>
  <r>
    <d v="2021-12-01T00:00:00"/>
    <s v="VZ-2021-001323"/>
    <x v="18"/>
    <s v="Zemanová"/>
    <x v="494"/>
    <n v="2"/>
    <s v="Externí klinický audit v nukleární medicíně"/>
    <m/>
    <s v="79212300-6"/>
    <m/>
    <n v="200000"/>
    <x v="2"/>
    <d v="2021-12-29T00:00:00"/>
    <d v="2022-01-07T00:00:00"/>
    <m/>
    <m/>
    <m/>
    <m/>
    <m/>
    <m/>
    <m/>
    <m/>
    <m/>
    <m/>
    <x v="6"/>
    <m/>
    <m/>
  </r>
  <r>
    <d v="2021-12-01T00:00:00"/>
    <s v="VZ-2021-001323"/>
    <x v="18"/>
    <s v="Zemanová"/>
    <x v="494"/>
    <n v="3"/>
    <s v="Externí klinický audit v radioterapii"/>
    <m/>
    <s v="79212300-6"/>
    <m/>
    <n v="150000"/>
    <x v="2"/>
    <d v="2021-12-29T00:00:00"/>
    <d v="2022-01-07T00:00:00"/>
    <m/>
    <m/>
    <m/>
    <m/>
    <m/>
    <m/>
    <m/>
    <m/>
    <m/>
    <m/>
    <x v="6"/>
    <m/>
    <m/>
  </r>
  <r>
    <d v="2021-12-06T00:00:00"/>
    <s v="VZ-2021-001326"/>
    <x v="2"/>
    <s v="Olejníček"/>
    <x v="495"/>
    <m/>
    <m/>
    <m/>
    <s v="33120000-7"/>
    <s v="2.3.476."/>
    <n v="472240"/>
    <x v="2"/>
    <d v="2021-12-23T00:00:00"/>
    <d v="2022-01-07T00:00:00"/>
    <m/>
    <m/>
    <m/>
    <m/>
    <m/>
    <m/>
    <m/>
    <m/>
    <m/>
    <m/>
    <x v="6"/>
    <m/>
    <m/>
  </r>
  <r>
    <d v="2021-12-08T00:00:00"/>
    <s v="VZ-2021-001334"/>
    <x v="2"/>
    <s v="Olejníček"/>
    <x v="496"/>
    <m/>
    <m/>
    <m/>
    <s v="33162100-4"/>
    <s v="2.2.348."/>
    <n v="1040500"/>
    <x v="2"/>
    <d v="2021-12-23T00:00:00"/>
    <d v="2022-01-07T00:00:00"/>
    <m/>
    <m/>
    <m/>
    <m/>
    <m/>
    <m/>
    <m/>
    <m/>
    <m/>
    <m/>
    <x v="6"/>
    <m/>
    <m/>
  </r>
  <r>
    <d v="2021-12-16T00:00:00"/>
    <s v="VZ-2021-001335"/>
    <x v="0"/>
    <s v="Ondráčková"/>
    <x v="497"/>
    <m/>
    <m/>
    <m/>
    <s v="33651100-9"/>
    <m/>
    <n v="3833895"/>
    <x v="0"/>
    <d v="2021-12-21T00:00:00"/>
    <d v="2022-01-24T00:00:00"/>
    <m/>
    <m/>
    <m/>
    <m/>
    <m/>
    <m/>
    <m/>
    <m/>
    <m/>
    <m/>
    <x v="6"/>
    <m/>
    <m/>
  </r>
  <r>
    <d v="2021-12-16T00:00:00"/>
    <s v="VZ-2021-001336"/>
    <x v="0"/>
    <s v="Ondráčková"/>
    <x v="498"/>
    <n v="1"/>
    <s v="PEGINTERFERON BETA-1A"/>
    <m/>
    <s v="33652000-5"/>
    <m/>
    <n v="10393222"/>
    <x v="0"/>
    <d v="2021-12-23T00:00:00"/>
    <d v="2022-01-27T00:00:00"/>
    <m/>
    <m/>
    <m/>
    <m/>
    <m/>
    <m/>
    <m/>
    <m/>
    <m/>
    <m/>
    <x v="6"/>
    <m/>
    <m/>
  </r>
  <r>
    <d v="2021-12-16T00:00:00"/>
    <s v="VZ-2021-001336"/>
    <x v="0"/>
    <s v="Ondráčková"/>
    <x v="498"/>
    <n v="2"/>
    <s v="POMALIDOMID"/>
    <m/>
    <s v="33652300-8"/>
    <m/>
    <n v="13524393"/>
    <x v="0"/>
    <d v="2021-12-23T00:00:00"/>
    <d v="2022-01-27T00:00:00"/>
    <m/>
    <m/>
    <m/>
    <m/>
    <m/>
    <m/>
    <m/>
    <m/>
    <m/>
    <m/>
    <x v="6"/>
    <m/>
    <m/>
  </r>
  <r>
    <d v="2021-12-16T00:00:00"/>
    <s v="VZ-2021-001336"/>
    <x v="0"/>
    <s v="Ondráčková"/>
    <x v="498"/>
    <n v="3"/>
    <s v="PRASEČÍ PŘENOSOVÝ FAKTOR"/>
    <m/>
    <s v="33652000-5"/>
    <m/>
    <n v="5983454"/>
    <x v="0"/>
    <d v="2021-12-23T00:00:00"/>
    <d v="2022-01-27T00:00:00"/>
    <m/>
    <m/>
    <m/>
    <m/>
    <m/>
    <m/>
    <m/>
    <m/>
    <m/>
    <m/>
    <x v="6"/>
    <m/>
    <m/>
  </r>
  <r>
    <d v="2021-12-16T00:00:00"/>
    <s v="VZ-2021-001336"/>
    <x v="0"/>
    <s v="Ondráčková"/>
    <x v="498"/>
    <n v="4"/>
    <s v="MIDOSTAURIN"/>
    <m/>
    <s v="33652000-5"/>
    <m/>
    <n v="7206684"/>
    <x v="0"/>
    <d v="2021-12-23T00:00:00"/>
    <d v="2022-01-27T00:00:00"/>
    <m/>
    <m/>
    <m/>
    <m/>
    <m/>
    <m/>
    <m/>
    <m/>
    <m/>
    <m/>
    <x v="6"/>
    <m/>
    <m/>
  </r>
  <r>
    <d v="2021-12-16T00:00:00"/>
    <s v="VZ-2021-001337"/>
    <x v="0"/>
    <s v="Ondráčková"/>
    <x v="499"/>
    <n v="1"/>
    <s v="Dolforin"/>
    <m/>
    <s v="33661200-3"/>
    <m/>
    <n v="504160"/>
    <x v="0"/>
    <d v="2021-12-21T00:00:00"/>
    <d v="2022-01-24T00:00:00"/>
    <m/>
    <m/>
    <m/>
    <m/>
    <m/>
    <m/>
    <m/>
    <m/>
    <m/>
    <m/>
    <x v="6"/>
    <m/>
    <m/>
  </r>
  <r>
    <d v="2021-12-16T00:00:00"/>
    <s v="VZ-2021-001337"/>
    <x v="0"/>
    <s v="Ondráčková"/>
    <x v="499"/>
    <n v="2"/>
    <s v="Durogesic"/>
    <m/>
    <s v="33661200-3"/>
    <m/>
    <n v="2473707"/>
    <x v="0"/>
    <d v="2021-12-21T00:00:00"/>
    <d v="2022-01-24T00:00:00"/>
    <m/>
    <m/>
    <m/>
    <m/>
    <m/>
    <m/>
    <m/>
    <m/>
    <m/>
    <m/>
    <x v="6"/>
    <m/>
    <m/>
  </r>
  <r>
    <d v="2021-12-16T00:00:00"/>
    <s v="VZ-2021-001337"/>
    <x v="0"/>
    <s v="Ondráčková"/>
    <x v="499"/>
    <n v="3"/>
    <s v="Fentalis"/>
    <m/>
    <s v="33661200-3"/>
    <m/>
    <n v="1853837"/>
    <x v="0"/>
    <d v="2021-12-21T00:00:00"/>
    <d v="2022-01-24T00:00:00"/>
    <m/>
    <m/>
    <m/>
    <m/>
    <m/>
    <m/>
    <m/>
    <m/>
    <m/>
    <m/>
    <x v="6"/>
    <m/>
    <m/>
  </r>
  <r>
    <d v="2021-12-16T00:00:00"/>
    <s v="VZ-2021-001337"/>
    <x v="0"/>
    <s v="Ondráčková"/>
    <x v="499"/>
    <n v="4"/>
    <s v="Palexia Retard"/>
    <m/>
    <s v="33661200-3"/>
    <m/>
    <n v="1895882"/>
    <x v="0"/>
    <d v="2021-12-21T00:00:00"/>
    <d v="2022-01-24T00:00:00"/>
    <m/>
    <m/>
    <m/>
    <m/>
    <m/>
    <m/>
    <m/>
    <m/>
    <m/>
    <m/>
    <x v="6"/>
    <m/>
    <m/>
  </r>
  <r>
    <d v="2021-12-16T00:00:00"/>
    <s v="VZ-2021-001337"/>
    <x v="0"/>
    <s v="Ondráčková"/>
    <x v="499"/>
    <n v="5"/>
    <s v="Transtec"/>
    <m/>
    <s v="33661200-3"/>
    <m/>
    <n v="1544455"/>
    <x v="0"/>
    <d v="2021-12-21T00:00:00"/>
    <d v="2022-01-24T00:00:00"/>
    <m/>
    <m/>
    <m/>
    <m/>
    <m/>
    <m/>
    <m/>
    <m/>
    <m/>
    <m/>
    <x v="6"/>
    <m/>
    <m/>
  </r>
  <r>
    <d v="2021-12-16T00:00:00"/>
    <s v="VZ-2021-001337"/>
    <x v="0"/>
    <s v="Ondráčková"/>
    <x v="499"/>
    <n v="6"/>
    <s v="Oxycodon Lannacher"/>
    <m/>
    <s v="33661200-3"/>
    <m/>
    <n v="2890813"/>
    <x v="0"/>
    <d v="2021-12-21T00:00:00"/>
    <d v="2022-01-24T00:00:00"/>
    <m/>
    <m/>
    <m/>
    <m/>
    <m/>
    <m/>
    <m/>
    <m/>
    <m/>
    <m/>
    <x v="6"/>
    <m/>
    <m/>
  </r>
  <r>
    <d v="2021-12-16T00:00:00"/>
    <s v="VZ-2021-001337"/>
    <x v="0"/>
    <s v="Ondráčková"/>
    <x v="499"/>
    <n v="7"/>
    <s v="Lunaldin"/>
    <m/>
    <s v="33661200-3"/>
    <m/>
    <n v="6193398"/>
    <x v="0"/>
    <d v="2021-12-21T00:00:00"/>
    <d v="2022-01-24T00:00:00"/>
    <m/>
    <m/>
    <m/>
    <m/>
    <m/>
    <m/>
    <m/>
    <m/>
    <m/>
    <m/>
    <x v="6"/>
    <m/>
    <m/>
  </r>
  <r>
    <d v="2021-12-16T00:00:00"/>
    <s v="VZ-2021-001338"/>
    <x v="0"/>
    <s v="Ondráčková"/>
    <x v="500"/>
    <m/>
    <m/>
    <m/>
    <s v="33621000-9"/>
    <m/>
    <n v="1454316"/>
    <x v="0"/>
    <d v="2021-12-17T00:00:00"/>
    <d v="2022-01-20T00:00:00"/>
    <m/>
    <m/>
    <m/>
    <m/>
    <m/>
    <m/>
    <m/>
    <m/>
    <m/>
    <m/>
    <x v="6"/>
    <m/>
    <m/>
  </r>
  <r>
    <d v="2021-12-17T00:00:00"/>
    <s v="VZ-2021-001343"/>
    <x v="1"/>
    <s v="Dočkalová"/>
    <x v="501"/>
    <m/>
    <m/>
    <m/>
    <s v="33140000-3 "/>
    <m/>
    <n v="2294037"/>
    <x v="0"/>
    <m/>
    <m/>
    <m/>
    <m/>
    <m/>
    <m/>
    <m/>
    <m/>
    <m/>
    <m/>
    <m/>
    <m/>
    <x v="6"/>
    <m/>
    <m/>
  </r>
  <r>
    <d v="2021-12-29T00:00:00"/>
    <s v="VZ-2021-001349"/>
    <x v="0"/>
    <s v="Ondráčková"/>
    <x v="502"/>
    <m/>
    <m/>
    <m/>
    <s v="33642000-2"/>
    <m/>
    <n v="63821520"/>
    <x v="0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  <m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5">
  <r>
    <s v="xxx"/>
    <s v="VZ-2020-000020"/>
    <x v="0"/>
    <s v="Ondráčková"/>
    <x v="0"/>
    <m/>
    <m/>
    <m/>
    <s v="33694000-1"/>
    <m/>
    <n v="150000000"/>
    <x v="0"/>
    <d v="2020-01-31T00:00:00"/>
    <d v="2020-04-22T00:00:00"/>
    <d v="2021-01-26T00:00:00"/>
    <s v="Siemens Healthcare, s.r.o."/>
    <m/>
    <n v="81882239.526099995"/>
    <n v="99077509.826499999"/>
    <m/>
    <m/>
    <m/>
    <d v="2021-01-26T00:00:00"/>
    <s v="SMLN-2021-617-000023_x000a_SMLN-2021-616-000007_x000a_SMLN-2021-613-000008"/>
    <x v="0"/>
    <d v="2021-03-12T00:00:00"/>
  </r>
  <r>
    <d v="2019-10-02T00:00:00"/>
    <s v="VZ-2020-000032"/>
    <x v="1"/>
    <s v="Dočkalová"/>
    <x v="1"/>
    <m/>
    <m/>
    <m/>
    <s v="33140000-3"/>
    <m/>
    <n v="4382693"/>
    <x v="0"/>
    <d v="2020-04-20T00:00:00"/>
    <d v="2020-06-08T00:00:00"/>
    <d v="2021-05-31T00:00:00"/>
    <s v="POLYMED medical CZ, a.s. "/>
    <m/>
    <n v="2996960"/>
    <n v="3626321.6"/>
    <m/>
    <m/>
    <m/>
    <d v="2021-05-31T00:00:00"/>
    <s v="SMLN-2021-617-000277"/>
    <x v="1"/>
    <d v="2021-08-17T00:00:00"/>
  </r>
  <r>
    <s v="opakovaná VZ"/>
    <s v="VZ-2020-000051"/>
    <x v="2"/>
    <s v="Olejníček"/>
    <x v="2"/>
    <m/>
    <m/>
    <m/>
    <s v="31643100-6_x000a_33115100-0_x000a_50421000-2"/>
    <s v="2.3.420."/>
    <n v="431388000"/>
    <x v="0"/>
    <d v="2020-03-05T00:00:00"/>
    <d v="2020-04-09T00:00:00"/>
    <d v="2020-06-08T00:00:00"/>
    <s v="AMEDIS, spol. s r.o."/>
    <m/>
    <n v="415080820"/>
    <n v="502247792.19999999"/>
    <m/>
    <m/>
    <m/>
    <d v="2020-06-09T00:00:00"/>
    <s v="SMLN-2020-617-000230_x000a_SMLN-2020-612-000042_x000a_SMLN-2020-617-000232_x000a_SMLN-2020-612-000043"/>
    <x v="2"/>
    <d v="2021-01-29T00:00:00"/>
  </r>
  <r>
    <d v="2020-07-13T00:00:00"/>
    <s v="VZ-2020-000744"/>
    <x v="1"/>
    <s v="Valtová"/>
    <x v="3"/>
    <n v="2"/>
    <s v="Rigidní dlaha pro stabilizaci dolní krční páteře předním přístupem monokortikálně"/>
    <m/>
    <s v="33184100-4"/>
    <m/>
    <n v="274000"/>
    <x v="0"/>
    <d v="2020-08-18T00:00:00"/>
    <d v="2020-10-16T00:00:00"/>
    <d v="2020-12-14T00:00:00"/>
    <s v="Johnson  &amp; Johnson s.r.o."/>
    <m/>
    <n v="272250"/>
    <n v="313087.5"/>
    <m/>
    <m/>
    <m/>
    <d v="2020-12-15T00:00:00"/>
    <s v="SMLN-2020-617-000564_x000a_SMLN-2020-614-000067_x000a_SMLN-2020-616-000070"/>
    <x v="3"/>
    <d v="2021-02-18T00:00:00"/>
  </r>
  <r>
    <d v="2020-07-13T00:00:00"/>
    <s v="VZ-2020-000744"/>
    <x v="1"/>
    <s v="Valtová"/>
    <x v="3"/>
    <n v="3"/>
    <s v="Fúzní náhrada krční meziobratlové ploténky "/>
    <m/>
    <s v="33184100-4"/>
    <m/>
    <n v="5400000"/>
    <x v="0"/>
    <d v="2020-08-18T00:00:00"/>
    <d v="2020-10-16T00:00:00"/>
    <d v="2020-12-14T00:00:00"/>
    <s v="BoneCare s.r.o."/>
    <m/>
    <n v="5400000"/>
    <n v="6210000"/>
    <m/>
    <m/>
    <m/>
    <d v="2020-12-15T00:00:00"/>
    <s v="SMLN-2020-617-000565_x000a_SMLN-2020-614-000068_x000a_SMLN-2020-616-000071"/>
    <x v="4"/>
    <d v="2021-02-18T00:00:00"/>
  </r>
  <r>
    <d v="2020-07-13T00:00:00"/>
    <s v="VZ-2020-000744"/>
    <x v="1"/>
    <s v="Valtová"/>
    <x v="3"/>
    <n v="4"/>
    <s v="Fúzní systém pro zadní stabilizaci krční páteře a okcipito-cervikální fixaci"/>
    <m/>
    <s v="33184100-4"/>
    <m/>
    <n v="964000"/>
    <x v="0"/>
    <d v="2020-08-18T00:00:00"/>
    <d v="2020-10-16T00:00:00"/>
    <d v="2020-12-14T00:00:00"/>
    <s v="Johnson  &amp; Johnson s.r.o."/>
    <m/>
    <n v="565680"/>
    <n v="650532"/>
    <m/>
    <m/>
    <m/>
    <d v="2020-12-15T00:00:00"/>
    <s v="SMLN-2020-617-000566_x000a_SMLN-2020-614-000069_x000a_SMLN-2020-616-000072"/>
    <x v="3"/>
    <d v="2021-02-18T00:00:00"/>
  </r>
  <r>
    <d v="2020-07-13T00:00:00"/>
    <s v="VZ-2020-000744"/>
    <x v="1"/>
    <s v="Valtová"/>
    <x v="3"/>
    <n v="5"/>
    <s v="Fúzní náhrada bederní meziobratlové ploténky z předního přístupu (ALIF)"/>
    <m/>
    <s v="33184100-4"/>
    <m/>
    <n v="995000"/>
    <x v="0"/>
    <d v="2020-08-18T00:00:00"/>
    <d v="2020-10-16T00:00:00"/>
    <d v="2020-12-14T00:00:00"/>
    <s v="BoneCare s.r.o."/>
    <m/>
    <n v="995000"/>
    <n v="1144250"/>
    <m/>
    <m/>
    <m/>
    <d v="2020-12-15T00:00:00"/>
    <s v="SMLN-2020-617-000567_x000a_SMLN-2020-614-000070_x000a_SMLN-2020-616-000073"/>
    <x v="4"/>
    <d v="2021-02-18T00:00:00"/>
  </r>
  <r>
    <d v="2020-07-13T00:00:00"/>
    <s v="VZ-2020-000744"/>
    <x v="1"/>
    <s v="Valtová"/>
    <x v="3"/>
    <n v="6"/>
    <s v="Fúzní náhrada bederní meziobratlové ploténky expandibilní z bočního přístupu (LLIF, XLIF)"/>
    <m/>
    <s v="33184100-4"/>
    <m/>
    <n v="2820000"/>
    <x v="0"/>
    <d v="2020-08-18T00:00:00"/>
    <d v="2020-10-16T00:00:00"/>
    <d v="2020-12-14T00:00:00"/>
    <s v="BoneCare s.r.o."/>
    <m/>
    <n v="2820000"/>
    <n v="3243000"/>
    <m/>
    <m/>
    <m/>
    <d v="2020-12-15T00:00:00"/>
    <s v="SMLN-2020-617-000568_x000a_SMLN-2020-614-000071_x000a_SMLN-2020-616-000074"/>
    <x v="4"/>
    <d v="2021-02-18T00:00:00"/>
  </r>
  <r>
    <d v="2020-07-13T00:00:00"/>
    <s v="VZ-2020-000744"/>
    <x v="1"/>
    <s v="Valtová"/>
    <x v="3"/>
    <n v="7"/>
    <s v="Fúzní náhrada bederní meziobratlové ploténky expandibilní ze zadního přístupu páteřním kanálem (PLIF)"/>
    <m/>
    <s v="33184100-4"/>
    <m/>
    <n v="1365043"/>
    <x v="0"/>
    <d v="2020-08-18T00:00:00"/>
    <d v="2020-10-16T00:00:00"/>
    <d v="2020-12-14T00:00:00"/>
    <s v="BoneCare s.r.o."/>
    <m/>
    <n v="1365000"/>
    <n v="1569750"/>
    <m/>
    <m/>
    <m/>
    <d v="2020-12-15T00:00:00"/>
    <s v="SMLN-2020-617-000569_x000a_SMLN-2020-614-000072_x000a_SMLN-2020-616-000075"/>
    <x v="4"/>
    <d v="2021-02-18T00:00:00"/>
  </r>
  <r>
    <d v="2020-07-13T00:00:00"/>
    <s v="VZ-2020-000744"/>
    <x v="1"/>
    <s v="Valtová"/>
    <x v="3"/>
    <n v="8"/>
    <s v="Fúzní systém pro transpedikulární stabilizaci bederní páteře u degenerativních onemocnění s možností repozice olistézy (translačního posunu)"/>
    <m/>
    <s v="33184100-4"/>
    <m/>
    <n v="7630000"/>
    <x v="0"/>
    <d v="2020-08-18T00:00:00"/>
    <d v="2020-10-16T00:00:00"/>
    <d v="2020-12-14T00:00:00"/>
    <s v="BoneCare s.r.o."/>
    <m/>
    <n v="7630000"/>
    <n v="8774500"/>
    <m/>
    <m/>
    <m/>
    <d v="2020-12-15T00:00:00"/>
    <s v="SMLN-2020-617-000570_x000a_SMLN-2020-614-000073_x000a_SMLN-2020-616-000076"/>
    <x v="4"/>
    <d v="2021-02-18T00:00:00"/>
  </r>
  <r>
    <d v="2020-07-13T00:00:00"/>
    <s v="VZ-2020-000744"/>
    <x v="1"/>
    <s v="Valtová"/>
    <x v="3"/>
    <n v="9"/>
    <s v="Fúzní systém pro transpedikulární stabilizaci hrudní a bederní páteře u traumat"/>
    <m/>
    <s v="33184100-4"/>
    <m/>
    <n v="1800000"/>
    <x v="0"/>
    <d v="2020-08-18T00:00:00"/>
    <d v="2020-10-16T00:00:00"/>
    <d v="2020-12-14T00:00:00"/>
    <s v="BoneCare s.r.o."/>
    <m/>
    <n v="1720000"/>
    <n v="1978000"/>
    <m/>
    <m/>
    <m/>
    <d v="2020-12-15T00:00:00"/>
    <s v="SMLN-2020-617-000571_x000a_SMLN-2020-614-000074_x000a_SMLN-2020-616-000077"/>
    <x v="4"/>
    <d v="2021-02-18T00:00:00"/>
  </r>
  <r>
    <d v="2020-07-13T00:00:00"/>
    <s v="VZ-2020-000744"/>
    <x v="1"/>
    <s v="Valtová"/>
    <x v="3"/>
    <n v="10"/>
    <s v="Fúzní systém pro transpedikulární stabilizaci hrudní a bederní páteře u osteoporotické páteře s možností aplikace cementu šroubem"/>
    <m/>
    <s v="33184100-4"/>
    <m/>
    <n v="3460000"/>
    <x v="0"/>
    <d v="2020-08-18T00:00:00"/>
    <d v="2020-10-16T00:00:00"/>
    <d v="2020-12-14T00:00:00"/>
    <s v="Johnson  &amp; Johnson s.r.o."/>
    <m/>
    <n v="2900000"/>
    <n v="3335000"/>
    <m/>
    <m/>
    <m/>
    <d v="2020-12-16T00:00:00"/>
    <s v="SMLN-2020-617-000572_x000a_SMLN-2020-614-000075_x000a_SMLN-2020-616-000078"/>
    <x v="3"/>
    <d v="2021-02-18T00:00:00"/>
  </r>
  <r>
    <d v="2020-07-13T00:00:00"/>
    <s v="VZ-2020-000744"/>
    <x v="1"/>
    <s v="Valtová"/>
    <x v="3"/>
    <n v="11"/>
    <s v="Fúzní náhrada krčního, hrudního a bederního obratlového těla s možností mechanické expanze"/>
    <m/>
    <s v="33184100-4"/>
    <m/>
    <n v="2778000"/>
    <x v="0"/>
    <d v="2020-08-18T00:00:00"/>
    <d v="2020-10-16T00:00:00"/>
    <d v="2020-12-14T00:00:00"/>
    <s v="BoneCare s.r.o."/>
    <m/>
    <n v="2640000"/>
    <n v="3036000"/>
    <m/>
    <m/>
    <m/>
    <d v="2020-12-16T00:00:00"/>
    <s v="SMLN-2020-617-000573_x000a_SMLN-2020-614-000076_x000a_SMLN-2020-616-000079"/>
    <x v="4"/>
    <d v="2021-02-18T00:00:00"/>
  </r>
  <r>
    <d v="2020-07-13T00:00:00"/>
    <s v="VZ-2020-000744"/>
    <x v="1"/>
    <s v="Valtová"/>
    <x v="3"/>
    <n v="12"/>
    <s v="Vertebroplastická sada k perkutánní vertebroplastice hrudního a bederního obratle cementem"/>
    <m/>
    <s v="33184100-4"/>
    <m/>
    <n v="2260000"/>
    <x v="0"/>
    <d v="2020-08-18T00:00:00"/>
    <d v="2020-10-16T00:00:00"/>
    <d v="2020-12-14T00:00:00"/>
    <s v="Johnson  &amp; Johnson s.r.o."/>
    <m/>
    <n v="2260000"/>
    <n v="2651800"/>
    <m/>
    <m/>
    <m/>
    <d v="2020-12-16T00:00:00"/>
    <s v="SMLN-2020-617-000574_x000a_SMLN-2020-614-000077_x000a_SMLN-2020-616-000080"/>
    <x v="3"/>
    <d v="2021-02-18T00:00:00"/>
  </r>
  <r>
    <d v="2020-07-13T00:00:00"/>
    <s v="VZ-2020-000744"/>
    <x v="1"/>
    <s v="Valtová"/>
    <x v="3"/>
    <n v="13"/>
    <s v="Fúzní systém pro stabilizaci sakro-iliakálního (SI) skloubení"/>
    <m/>
    <s v="33184100-4"/>
    <m/>
    <n v="2070000"/>
    <x v="0"/>
    <d v="2020-08-18T00:00:00"/>
    <d v="2020-10-16T00:00:00"/>
    <d v="2020-12-14T00:00:00"/>
    <s v="Spinemedical s.r.o."/>
    <m/>
    <n v="2070000"/>
    <n v="2380500"/>
    <m/>
    <m/>
    <m/>
    <d v="2020-12-16T00:00:00"/>
    <s v="SMLN-2020-617-000575_x000a_SMLN-2020-614-000078_x000a_SMLN-2020-616-000081"/>
    <x v="4"/>
    <d v="2021-02-18T00:00:00"/>
  </r>
  <r>
    <d v="2020-08-07T00:00:00"/>
    <s v="VZ-2020-000826"/>
    <x v="0"/>
    <s v="Ondráčková"/>
    <x v="4"/>
    <n v="2"/>
    <s v="Enterální výživa I."/>
    <m/>
    <s v="15880000-0"/>
    <m/>
    <n v="4474683"/>
    <x v="0"/>
    <d v="2020-08-14T00:00:00"/>
    <d v="2020-09-17T00:00:00"/>
    <d v="2020-12-17T00:00:00"/>
    <s v="PHARMOS, a.s."/>
    <m/>
    <n v="4452801.9000000004"/>
    <n v="4898082.09"/>
    <m/>
    <m/>
    <m/>
    <d v="2020-12-18T00:00:00"/>
    <s v="SMLN-2020-617-000580"/>
    <x v="5"/>
    <d v="2021-02-05T00:00:00"/>
  </r>
  <r>
    <d v="2020-08-07T00:00:00"/>
    <s v="VZ-2020-000826"/>
    <x v="0"/>
    <s v="Ondráčková"/>
    <x v="4"/>
    <n v="3"/>
    <s v="Enterální výživa II."/>
    <m/>
    <s v="15880000-0"/>
    <m/>
    <n v="1138770"/>
    <x v="0"/>
    <d v="2020-08-14T00:00:00"/>
    <d v="2020-09-17T00:00:00"/>
    <d v="2020-12-17T00:00:00"/>
    <s v="PHARMOS, a.s."/>
    <m/>
    <n v="940666.44"/>
    <n v="1034733.08"/>
    <m/>
    <m/>
    <m/>
    <d v="2020-12-18T00:00:00"/>
    <s v="SMLN-2020-617-000581"/>
    <x v="5"/>
    <d v="2021-02-05T00:00:00"/>
  </r>
  <r>
    <d v="2020-08-07T00:00:00"/>
    <s v="VZ-2020-000826"/>
    <x v="0"/>
    <s v="Ondráčková"/>
    <x v="4"/>
    <n v="4"/>
    <s v="Enterální výživa III."/>
    <m/>
    <s v="15880000-0"/>
    <m/>
    <n v="933372"/>
    <x v="0"/>
    <d v="2020-08-14T00:00:00"/>
    <d v="2020-09-17T00:00:00"/>
    <d v="2020-12-09T00:00:00"/>
    <s v="Fresenius Kabi s.r.o."/>
    <m/>
    <n v="933314.4"/>
    <n v="1026645.84"/>
    <m/>
    <m/>
    <m/>
    <d v="2020-12-09T00:00:00"/>
    <s v="SMLN-2020-617-000559"/>
    <x v="5"/>
    <d v="2021-02-05T00:00:00"/>
  </r>
  <r>
    <d v="2020-08-14T00:00:00"/>
    <s v="VZ-2020-000869"/>
    <x v="3"/>
    <s v="Valíček"/>
    <x v="5"/>
    <m/>
    <m/>
    <m/>
    <s v="71000000-8"/>
    <s v="6.1."/>
    <n v="62500000"/>
    <x v="0"/>
    <d v="2020-11-12T00:00:00"/>
    <d v="2020-12-14T00:00:00"/>
    <m/>
    <s v="zrušeno - nutná úprava zadání"/>
    <s v="nová VZ-2021-000105"/>
    <m/>
    <m/>
    <m/>
    <m/>
    <m/>
    <m/>
    <m/>
    <x v="6"/>
    <d v="2021-01-29T00:00:00"/>
  </r>
  <r>
    <d v="2020-08-25T00:00:00"/>
    <s v="VZ-2020-000900"/>
    <x v="4"/>
    <s v="Eyer"/>
    <x v="6"/>
    <m/>
    <m/>
    <m/>
    <s v="45232221-7"/>
    <s v="4.2.121."/>
    <n v="8650000"/>
    <x v="1"/>
    <d v="2020-09-15T00:00:00"/>
    <d v="2020-10-08T00:00:00"/>
    <d v="2020-11-12T00:00:00"/>
    <s v="ČEZ Energetické služby s.r.o."/>
    <m/>
    <n v="8127838.2699999996"/>
    <n v="9834684.3100000005"/>
    <m/>
    <m/>
    <m/>
    <d v="2020-11-13T00:00:00"/>
    <s v="SMLN-2020-618-000108"/>
    <x v="7"/>
    <d v="2021-01-19T00:00:00"/>
  </r>
  <r>
    <d v="2020-08-26T00:00:00"/>
    <s v="VZ-2020-000907"/>
    <x v="3"/>
    <s v="Valíček"/>
    <x v="7"/>
    <m/>
    <m/>
    <m/>
    <s v="71000000-8"/>
    <s v="1.2.68."/>
    <n v="40000000"/>
    <x v="0"/>
    <d v="2020-09-04T00:00:00"/>
    <d v="2020-11-02T00:00:00"/>
    <d v="2021-02-05T00:00:00"/>
    <s v="PENTA PROJEKT s.r.o."/>
    <m/>
    <n v="25200000"/>
    <n v="30492000"/>
    <m/>
    <m/>
    <m/>
    <d v="2021-02-05T00:00:00"/>
    <s v="SMLN-2021-618-000008"/>
    <x v="8"/>
    <d v="2021-03-15T00:00:00"/>
  </r>
  <r>
    <d v="2020-09-01T00:00:00"/>
    <s v="VZ-2020-000920"/>
    <x v="3"/>
    <s v="Valíček"/>
    <x v="8"/>
    <m/>
    <m/>
    <m/>
    <s v="71000000-8"/>
    <s v="1.2.67."/>
    <n v="40000000"/>
    <x v="0"/>
    <d v="2020-09-07T00:00:00"/>
    <d v="2020-11-06T00:00:00"/>
    <m/>
    <s v="zrušeno - úprava zadání"/>
    <s v="nová VZ-2021-000535"/>
    <m/>
    <m/>
    <m/>
    <m/>
    <m/>
    <m/>
    <m/>
    <x v="6"/>
    <d v="2021-04-15T00:00:00"/>
  </r>
  <r>
    <d v="2020-09-01T00:00:00"/>
    <s v="VZ-2020-000922"/>
    <x v="2"/>
    <s v="Rosulek"/>
    <x v="9"/>
    <m/>
    <m/>
    <m/>
    <s v="33115100-0"/>
    <s v="2.2.275.,2.3.502."/>
    <n v="100000000"/>
    <x v="0"/>
    <d v="2020-12-17T00:00:00"/>
    <d v="2021-01-29T00:00:00"/>
    <d v="2021-02-19T00:00:00"/>
    <s v="Stargen EU s.r.o."/>
    <m/>
    <n v="110023000"/>
    <n v="133127830"/>
    <m/>
    <m/>
    <m/>
    <d v="2021-02-22T00:00:00"/>
    <s v="SMLN-2021-617-000079_x000a_SMLN-2021-612-000009"/>
    <x v="9"/>
    <d v="2021-03-29T00:00:00"/>
  </r>
  <r>
    <d v="2020-09-04T00:00:00"/>
    <s v="VZ-2020-000941"/>
    <x v="0"/>
    <s v="Ondráčková"/>
    <x v="10"/>
    <n v="1"/>
    <s v="KIOVIG"/>
    <m/>
    <s v="33651520-9"/>
    <m/>
    <n v="17281625"/>
    <x v="0"/>
    <d v="2020-09-07T00:00:00"/>
    <d v="2020-11-16T00:00:00"/>
    <d v="2020-12-18T00:00:00"/>
    <s v="Takeda Pharmaceuticals Czech Republic s.r.o."/>
    <m/>
    <n v="17281625"/>
    <n v="19009787.5"/>
    <m/>
    <m/>
    <m/>
    <d v="2020-12-18T00:00:00"/>
    <s v="SMLN-2020-617-000582"/>
    <x v="10"/>
    <d v="2021-01-12T00:00:00"/>
  </r>
  <r>
    <d v="2020-09-04T00:00:00"/>
    <s v="VZ-2020-000941"/>
    <x v="0"/>
    <s v="Ondráčková"/>
    <x v="10"/>
    <n v="2"/>
    <s v="GAMMAGARD S/D"/>
    <m/>
    <s v="33651520-9"/>
    <m/>
    <n v="1223550"/>
    <x v="0"/>
    <d v="2020-09-07T00:00:00"/>
    <d v="2020-11-16T00:00:00"/>
    <d v="2020-12-18T00:00:00"/>
    <s v="Takeda Pharmaceuticals Czech Republic s.r.o."/>
    <m/>
    <n v="1223550"/>
    <n v="1345905"/>
    <m/>
    <m/>
    <m/>
    <d v="2020-12-18T00:00:00"/>
    <s v="SMLN-2020-617-000583"/>
    <x v="10"/>
    <d v="2021-01-12T00:00:00"/>
  </r>
  <r>
    <d v="2020-09-04T00:00:00"/>
    <s v="VZ-2020-000941"/>
    <x v="0"/>
    <s v="Ondráčková"/>
    <x v="10"/>
    <n v="3"/>
    <s v="FLEBOGAMMA DIF"/>
    <m/>
    <s v="33651520-9"/>
    <m/>
    <n v="98897533"/>
    <x v="0"/>
    <d v="2020-09-07T00:00:00"/>
    <d v="2020-11-16T00:00:00"/>
    <d v="2020-12-18T00:00:00"/>
    <s v="Grfols s.r.o."/>
    <m/>
    <n v="98897532.5"/>
    <n v="108787285.75"/>
    <m/>
    <m/>
    <m/>
    <d v="2020-12-18T00:00:00"/>
    <s v="SMLN-2020-617-000584"/>
    <x v="10"/>
    <d v="2021-01-12T00:00:00"/>
  </r>
  <r>
    <d v="2020-09-04T00:00:00"/>
    <s v="VZ-2020-000942"/>
    <x v="0"/>
    <s v="Ondráčková"/>
    <x v="11"/>
    <n v="1"/>
    <s v="INFLECTRA pro léčbu stávajících pacientů"/>
    <m/>
    <s v="33652300-8"/>
    <m/>
    <n v="26177675"/>
    <x v="0"/>
    <d v="2020-09-10T00:00:00"/>
    <d v="2020-10-14T00:00:00"/>
    <d v="2020-11-25T00:00:00"/>
    <s v="Alliance Healthcare s.r.o."/>
    <m/>
    <n v="25744379.5"/>
    <n v="28318817.449999999"/>
    <m/>
    <m/>
    <m/>
    <d v="2020-11-26T00:00:00"/>
    <s v="SMLN-2020-617-000536"/>
    <x v="11"/>
    <d v="2021-01-15T00:00:00"/>
  </r>
  <r>
    <d v="2020-09-04T00:00:00"/>
    <s v="VZ-2020-000943"/>
    <x v="0"/>
    <s v="Ondráčková"/>
    <x v="12"/>
    <m/>
    <m/>
    <m/>
    <s v="33652300-8"/>
    <m/>
    <n v="8423486"/>
    <x v="0"/>
    <d v="2020-11-27T00:00:00"/>
    <d v="2021-02-22T00:00:00"/>
    <d v="2021-03-15T00:00:00"/>
    <s v="ELI LILLY ČR, s.r.o."/>
    <m/>
    <n v="8423483.2799999993"/>
    <n v="9265831.6099999994"/>
    <m/>
    <m/>
    <m/>
    <d v="2021-03-15T00:00:00"/>
    <s v="SMLN-2021-617-000108"/>
    <x v="12"/>
    <d v="2021-04-28T00:00:00"/>
  </r>
  <r>
    <d v="2020-09-08T00:00:00"/>
    <s v="VZ-2020-000961"/>
    <x v="0"/>
    <s v="Ondráčková"/>
    <x v="13"/>
    <n v="1"/>
    <s v="ABRAXANE"/>
    <m/>
    <s v="33652100-6"/>
    <m/>
    <n v="15458000"/>
    <x v="0"/>
    <d v="2020-09-17T00:00:00"/>
    <d v="2020-10-19T00:00:00"/>
    <d v="2020-12-01T00:00:00"/>
    <s v="PHOENIX lék.velkoobchod, s.r.o."/>
    <m/>
    <n v="15457754.07"/>
    <n v="17003529.48"/>
    <m/>
    <m/>
    <m/>
    <d v="2020-12-01T00:00:00"/>
    <s v="SMLN-2020-617-000543"/>
    <x v="13"/>
    <d v="2021-01-11T00:00:00"/>
  </r>
  <r>
    <d v="2020-09-04T00:00:00"/>
    <s v="VZ-2020-000962"/>
    <x v="5"/>
    <s v="Oravec"/>
    <x v="14"/>
    <m/>
    <m/>
    <m/>
    <s v="30125110-5 "/>
    <m/>
    <n v="4960000"/>
    <x v="0"/>
    <d v="2020-10-09T00:00:00"/>
    <d v="2021-01-13T00:00:00"/>
    <d v="2021-02-09T00:00:00"/>
    <s v="ProfiToner s.r.o."/>
    <m/>
    <n v="4982093"/>
    <n v="6028332.5300000003"/>
    <m/>
    <m/>
    <m/>
    <d v="2021-02-09T00:00:00"/>
    <s v="SMLN-2021-617-000053"/>
    <x v="14"/>
    <d v="2021-03-04T00:00:00"/>
  </r>
  <r>
    <d v="2020-09-15T00:00:00"/>
    <s v="VZ-2020-000993"/>
    <x v="5"/>
    <s v="Oravec"/>
    <x v="15"/>
    <m/>
    <m/>
    <m/>
    <s v="30213300-8"/>
    <m/>
    <n v="7319250"/>
    <x v="0"/>
    <d v="2020-09-22T00:00:00"/>
    <d v="2020-11-30T00:00:00"/>
    <d v="2020-02-12T00:00:00"/>
    <s v="VKUS-BUSTAN s.r.o."/>
    <m/>
    <n v="7072650"/>
    <n v="8557906.5"/>
    <m/>
    <m/>
    <m/>
    <d v="2020-02-15T00:00:00"/>
    <s v="SMLN-2021-617-000057"/>
    <x v="15"/>
    <d v="2021-04-07T00:00:00"/>
  </r>
  <r>
    <d v="2020-09-07T00:00:00"/>
    <s v="VZ-2020-000998"/>
    <x v="4"/>
    <s v="Srovnal"/>
    <x v="16"/>
    <m/>
    <m/>
    <m/>
    <s v="42416100-6"/>
    <m/>
    <n v="3500000"/>
    <x v="0"/>
    <d v="2020-10-06T00:00:00"/>
    <d v="2020-12-08T00:00:00"/>
    <d v="2021-01-04T00:00:00"/>
    <s v="LIFTMONT CZ s.r.o."/>
    <m/>
    <n v="2790000"/>
    <n v="3375900"/>
    <m/>
    <m/>
    <m/>
    <d v="2021-01-04T00:00:00"/>
    <s v="SMLN-2021-618-000001"/>
    <x v="16"/>
    <d v="2021-04-07T00:00:00"/>
  </r>
  <r>
    <d v="2020-09-16T00:00:00"/>
    <s v="VZ-2020-001003"/>
    <x v="0"/>
    <s v="Ondráčková"/>
    <x v="17"/>
    <n v="1"/>
    <s v="ADVAGRAF pro stávající pacienty"/>
    <m/>
    <s v="33652300-8"/>
    <m/>
    <n v="39747523"/>
    <x v="0"/>
    <d v="2020-09-22T00:00:00"/>
    <d v="2020-10-26T00:00:00"/>
    <d v="2020-12-02T00:00:00"/>
    <s v="PHOENIX lék.velkoobchod, s.r.o."/>
    <m/>
    <n v="39747521.100000001"/>
    <n v="43722273.210000001"/>
    <m/>
    <m/>
    <m/>
    <d v="2020-12-02T00:00:00"/>
    <s v="SMLN-2020-617-000549"/>
    <x v="17"/>
    <d v="2021-01-20T00:00:00"/>
  </r>
  <r>
    <d v="2020-09-16T00:00:00"/>
    <s v="VZ-2020-001003"/>
    <x v="0"/>
    <s v="Ondráčková"/>
    <x v="17"/>
    <n v="2"/>
    <s v="PROGRAF pro stávající pacienty"/>
    <m/>
    <s v="33652300-8"/>
    <m/>
    <n v="2834659"/>
    <x v="0"/>
    <d v="2020-09-22T00:00:00"/>
    <d v="2020-10-26T00:00:00"/>
    <d v="2020-12-02T00:00:00"/>
    <s v="PHOENIX lék.velkoobchod, s.r.o."/>
    <m/>
    <n v="2834657.1"/>
    <n v="3118122.81"/>
    <m/>
    <m/>
    <m/>
    <d v="2020-12-02T00:00:00"/>
    <s v="SMLN-2020-617-000550"/>
    <x v="17"/>
    <d v="2021-01-20T00:00:00"/>
  </r>
  <r>
    <d v="2020-09-16T00:00:00"/>
    <s v="VZ-2020-001003"/>
    <x v="0"/>
    <s v="Ondráčková"/>
    <x v="17"/>
    <n v="3"/>
    <s v="ENVARSUS  pro stávající pacienty"/>
    <m/>
    <s v="33652300-8"/>
    <m/>
    <n v="3091238"/>
    <x v="0"/>
    <d v="2020-09-22T00:00:00"/>
    <d v="2020-10-26T00:00:00"/>
    <d v="2020-12-02T00:00:00"/>
    <s v="PHOENIX lék.velkoobchod, s.r.o."/>
    <m/>
    <n v="3058371.85"/>
    <n v="3364209.04"/>
    <m/>
    <m/>
    <m/>
    <d v="2020-12-02T00:00:00"/>
    <s v="SMLN-2020-617-000551"/>
    <x v="17"/>
    <d v="2021-01-20T00:00:00"/>
  </r>
  <r>
    <d v="2020-09-16T00:00:00"/>
    <s v="VZ-2020-001003"/>
    <x v="0"/>
    <s v="Ondráčková"/>
    <x v="17"/>
    <n v="4"/>
    <s v="DALIPORT pro nové pacienty po první transplantaci"/>
    <m/>
    <s v="33652300-8"/>
    <m/>
    <n v="4157967"/>
    <x v="0"/>
    <d v="2020-09-22T00:00:00"/>
    <d v="2020-10-26T00:00:00"/>
    <d v="2020-12-02T00:00:00"/>
    <s v="PHOENIX lék.velkoobchod, s.r.o."/>
    <m/>
    <n v="3978802.5"/>
    <n v="4376682.75"/>
    <m/>
    <m/>
    <m/>
    <d v="2020-12-02T00:00:00"/>
    <s v="SMLN-2020-617-000552"/>
    <x v="17"/>
    <d v="2021-01-20T00:00:00"/>
  </r>
  <r>
    <d v="2020-09-16T00:00:00"/>
    <s v="VZ-2020-001003"/>
    <x v="0"/>
    <s v="Ondráčková"/>
    <x v="17"/>
    <n v="5"/>
    <s v="EQUORAL"/>
    <m/>
    <s v="33652300-8"/>
    <m/>
    <n v="1749662"/>
    <x v="0"/>
    <d v="2020-09-22T00:00:00"/>
    <d v="2020-10-26T00:00:00"/>
    <d v="2020-12-02T00:00:00"/>
    <s v="PHOENIX lék.velkoobchod, s.r.o."/>
    <m/>
    <n v="1745639.1"/>
    <n v="1920203.01"/>
    <m/>
    <m/>
    <m/>
    <d v="2020-12-02T00:00:00"/>
    <s v="SMLN-2020-617-000553"/>
    <x v="17"/>
    <d v="2021-01-20T00:00:00"/>
  </r>
  <r>
    <d v="2020-09-16T00:00:00"/>
    <s v="VZ-2020-001003"/>
    <x v="0"/>
    <s v="Ondráčková"/>
    <x v="17"/>
    <n v="6"/>
    <s v="SANDIMMUN NEORAL"/>
    <m/>
    <s v="33652300-8"/>
    <m/>
    <n v="4479566"/>
    <x v="0"/>
    <d v="2020-09-22T00:00:00"/>
    <d v="2020-10-26T00:00:00"/>
    <d v="2020-12-02T00:00:00"/>
    <s v="Alliance Healthcare s.r.o."/>
    <m/>
    <n v="4479563.8"/>
    <n v="4927520.18"/>
    <m/>
    <m/>
    <m/>
    <d v="2020-12-02T00:00:00"/>
    <s v="SMLN-2020-617-000554"/>
    <x v="11"/>
    <d v="2021-01-20T00:00:00"/>
  </r>
  <r>
    <d v="2020-09-08T00:00:00"/>
    <s v="VZ-2020-001007"/>
    <x v="6"/>
    <s v="Zemánek"/>
    <x v="18"/>
    <m/>
    <m/>
    <m/>
    <s v="50421000-2"/>
    <m/>
    <n v="3000000"/>
    <x v="1"/>
    <d v="2020-09-22T00:00:00"/>
    <d v="2020-10-14T00:00:00"/>
    <d v="2020-11-10T00:00:00"/>
    <s v="BMT Medical Technology s.r.o."/>
    <m/>
    <n v="368940"/>
    <n v="446417.4"/>
    <m/>
    <m/>
    <m/>
    <d v="2020-11-11T00:00:00"/>
    <s v="SMLN-2020-612-000115"/>
    <x v="18"/>
    <d v="2021-01-21T00:00:00"/>
  </r>
  <r>
    <s v="opakovaná VZ"/>
    <s v="VZ-2020-001012"/>
    <x v="2"/>
    <s v="Rosulek"/>
    <x v="19"/>
    <m/>
    <m/>
    <m/>
    <s v="33130000-0"/>
    <s v="2.3.390."/>
    <n v="3542148"/>
    <x v="1"/>
    <d v="2020-09-22T00:00:00"/>
    <d v="2020-10-15T00:00:00"/>
    <d v="2021-02-05T00:00:00"/>
    <s v="Fénix Dental s.r.o."/>
    <m/>
    <n v="1585336"/>
    <n v="1918256.56"/>
    <m/>
    <m/>
    <m/>
    <d v="2021-02-05T00:00:00"/>
    <s v="SMLN-2021-617-000038_x000a_SMLN-2021-617-000039_x000a_SMLN-2021-612-000005"/>
    <x v="19"/>
    <d v="2021-06-22T00:00:00"/>
  </r>
  <r>
    <d v="2020-09-14T00:00:00"/>
    <s v="VZ-2020-001020"/>
    <x v="4"/>
    <s v="Srovnal"/>
    <x v="20"/>
    <m/>
    <m/>
    <m/>
    <s v="33190000-8"/>
    <m/>
    <n v="5800000"/>
    <x v="0"/>
    <d v="2020-10-07T00:00:00"/>
    <d v="2020-11-18T00:00:00"/>
    <d v="2020-11-30T00:00:00"/>
    <s v="Dräger Medical s.r.o."/>
    <m/>
    <n v="5085998"/>
    <n v="6154057.5800000001"/>
    <m/>
    <m/>
    <m/>
    <d v="2020-11-30T00:00:00"/>
    <s v="SMLN-2020-617-000540_x000a_SMLN-2020-612-000120_x000a_SMLN-2020-612-000121"/>
    <x v="2"/>
    <d v="2021-02-02T00:00:00"/>
  </r>
  <r>
    <d v="2020-09-11T00:00:00"/>
    <s v="VZ-2020-001022"/>
    <x v="3"/>
    <s v="Langer"/>
    <x v="21"/>
    <m/>
    <m/>
    <m/>
    <s v="45215100-8"/>
    <s v="1.3.20."/>
    <n v="60000000"/>
    <x v="0"/>
    <d v="2020-09-23T00:00:00"/>
    <d v="2020-10-30T00:00:00"/>
    <d v="2020-11-23T00:00:00"/>
    <s v="OHL ŽS, a.s."/>
    <m/>
    <n v="59460506.189999998"/>
    <n v="71947212.489999995"/>
    <m/>
    <m/>
    <m/>
    <d v="2020-11-23T00:00:00"/>
    <s v="SMLN-2020-618-000114"/>
    <x v="11"/>
    <d v="2021-01-20T00:00:00"/>
  </r>
  <r>
    <d v="2020-09-21T00:00:00"/>
    <s v="VZ-2020-001035"/>
    <x v="1"/>
    <s v="Merta"/>
    <x v="22"/>
    <n v="1"/>
    <s v="Impantabilní dvoukanálový neurostimulační systém k léčbě Hlubokou Mozkovou Stimulací (DBS) - MRI kompatibilní - dobíjitelný"/>
    <m/>
    <s v="33158210-7"/>
    <m/>
    <n v="13712000"/>
    <x v="0"/>
    <d v="2020-10-09T00:00:00"/>
    <d v="2020-11-11T00:00:00"/>
    <d v="2020-12-01T00:00:00"/>
    <s v="MEDIFINE a.s."/>
    <m/>
    <n v="13692775.68"/>
    <n v="15806771.359999999"/>
    <m/>
    <m/>
    <m/>
    <d v="2020-12-02T00:00:00"/>
    <s v="SMLN-2020-617-000544_x000a_SMLN-2020-614-000062_x000a_SMLN-2020-616-000064"/>
    <x v="4"/>
    <d v="2021-02-02T00:00:00"/>
  </r>
  <r>
    <d v="2020-09-21T00:00:00"/>
    <s v="VZ-2020-001035"/>
    <x v="1"/>
    <s v="Merta"/>
    <x v="22"/>
    <n v="2"/>
    <s v="Impantabilní dvoukanálový neurostimulační systém k léčbě Hlubokou Mozkovou Stimulací (DBS) - MRI kompatibilní - nedobíjitelný"/>
    <m/>
    <s v="33158210-7"/>
    <m/>
    <n v="82786000"/>
    <x v="0"/>
    <d v="2020-10-09T00:00:00"/>
    <d v="2020-11-11T00:00:00"/>
    <d v="2020-12-01T00:00:00"/>
    <s v="MEDIFINE a.s."/>
    <m/>
    <n v="81157914.239999995"/>
    <n v="93603937.439999998"/>
    <m/>
    <m/>
    <m/>
    <d v="2020-12-02T00:00:00"/>
    <s v="SMLN-2020-617-000545_x000a_SMLN-2020-614-000065"/>
    <x v="4"/>
    <d v="2021-02-02T00:00:00"/>
  </r>
  <r>
    <d v="2020-09-21T00:00:00"/>
    <s v="VZ-2020-001035"/>
    <x v="1"/>
    <s v="Merta"/>
    <x v="22"/>
    <n v="3"/>
    <s v="Implantabilní neurostimulační systém dvoukanálový k léčbě boelstivých stavů - MRI kompatibilní - nedobíjitelný"/>
    <m/>
    <s v="33158210-7"/>
    <m/>
    <n v="38800000"/>
    <x v="0"/>
    <d v="2020-10-09T00:00:00"/>
    <d v="2020-11-11T00:00:00"/>
    <m/>
    <s v="zrušeno - nesplnění kvalifikace"/>
    <s v="nová VZ-2021-000100"/>
    <m/>
    <m/>
    <m/>
    <m/>
    <m/>
    <m/>
    <m/>
    <x v="6"/>
    <d v="2021-02-02T00:00:00"/>
  </r>
  <r>
    <d v="2020-09-21T00:00:00"/>
    <s v="VZ-2020-001035"/>
    <x v="1"/>
    <s v="Merta"/>
    <x v="22"/>
    <n v="4"/>
    <s v="Implantabilní neurostimulační systém dvoukanálový k léčbě boelstivých stavů - MRI kompatibilní - dobíjitelný"/>
    <m/>
    <s v="33158210-7"/>
    <m/>
    <n v="7344000"/>
    <x v="0"/>
    <d v="2020-10-09T00:00:00"/>
    <d v="2020-11-11T00:00:00"/>
    <m/>
    <s v="zrušeno - nesplnění kvalifikace"/>
    <s v="nová VZ-2021-000100"/>
    <m/>
    <m/>
    <m/>
    <m/>
    <m/>
    <m/>
    <m/>
    <x v="6"/>
    <d v="2021-02-02T00:00:00"/>
  </r>
  <r>
    <d v="2020-09-21T00:00:00"/>
    <s v="VZ-2020-001035"/>
    <x v="1"/>
    <s v="Merta"/>
    <x v="22"/>
    <n v="5"/>
    <s v="Implantabilní programovatelné lékové pumpy"/>
    <m/>
    <s v="33158210-7"/>
    <m/>
    <n v="11816000"/>
    <x v="0"/>
    <d v="2020-10-09T00:00:00"/>
    <d v="2020-11-11T00:00:00"/>
    <m/>
    <s v="zrušeno - nesplnění kvalifikace"/>
    <s v="nová VZ-2021-000100"/>
    <m/>
    <m/>
    <m/>
    <m/>
    <m/>
    <m/>
    <m/>
    <x v="6"/>
    <d v="2021-02-02T00:00:00"/>
  </r>
  <r>
    <d v="2020-10-01T00:00:00"/>
    <s v="VZ-2020-001077"/>
    <x v="0"/>
    <s v="Ondráčková"/>
    <x v="23"/>
    <n v="1"/>
    <s v="ERENUMAB "/>
    <m/>
    <s v="33661200-3"/>
    <m/>
    <n v="27930766"/>
    <x v="0"/>
    <d v="2020-11-26T00:00:00"/>
    <d v="2020-12-28T00:00:00"/>
    <d v="2021-01-20T00:00:00"/>
    <s v="Alliance Healthcare s.r.o."/>
    <m/>
    <n v="27857560"/>
    <n v="30643316"/>
    <m/>
    <m/>
    <m/>
    <d v="2021-01-20T00:00:00"/>
    <s v="SMLN-2021-617-000016"/>
    <x v="20"/>
    <d v="2021-04-15T00:00:00"/>
  </r>
  <r>
    <d v="2020-10-01T00:00:00"/>
    <s v="VZ-2020-001078"/>
    <x v="0"/>
    <s v="Ondráčková"/>
    <x v="24"/>
    <n v="1"/>
    <s v="GEMTUZUMAB OZOGAMICIN "/>
    <m/>
    <s v="33652100-6"/>
    <m/>
    <n v="77771612"/>
    <x v="0"/>
    <d v="2020-11-24T00:00:00"/>
    <d v="2021-01-25T00:00:00"/>
    <d v="2021-02-22T00:00:00"/>
    <s v="PHOENIX lék.velkoobchod, s.r.o."/>
    <m/>
    <n v="77771612"/>
    <n v="85548773.200000003"/>
    <m/>
    <m/>
    <m/>
    <d v="2021-02-22T00:00:00"/>
    <s v="SMLN-2021-617-000078"/>
    <x v="20"/>
    <d v="2021-05-21T00:00:00"/>
  </r>
  <r>
    <d v="2020-09-29T00:00:00"/>
    <s v="VZ-2020-001094"/>
    <x v="7"/>
    <s v="Hlavinka"/>
    <x v="25"/>
    <m/>
    <m/>
    <m/>
    <s v="72227000-2"/>
    <m/>
    <n v="1500000"/>
    <x v="2"/>
    <d v="2020-11-20T00:00:00"/>
    <d v="2020-12-07T00:00:00"/>
    <d v="2020-12-17T00:00:00"/>
    <s v="GROUWE, s.r.o."/>
    <m/>
    <n v="990000"/>
    <n v="1197900"/>
    <m/>
    <m/>
    <m/>
    <d v="2020-12-17T00:00:00"/>
    <s v="SMLN-2020-612-000127"/>
    <x v="21"/>
    <d v="2021-01-07T00:00:00"/>
  </r>
  <r>
    <d v="2020-09-14T00:00:00"/>
    <s v="VZ-2020-001120"/>
    <x v="4"/>
    <s v="Srovnal"/>
    <x v="26"/>
    <m/>
    <m/>
    <m/>
    <s v="50700000-2"/>
    <m/>
    <n v="5160000"/>
    <x v="0"/>
    <d v="2020-10-19T00:00:00"/>
    <d v="2020-12-02T00:00:00"/>
    <d v="2021-01-12T00:00:00"/>
    <s v="LIFTMONT CZ s.r.o."/>
    <m/>
    <n v="5646475"/>
    <n v="6832234.75"/>
    <m/>
    <m/>
    <m/>
    <d v="2021-01-12T00:00:00"/>
    <s v="SMLN-2021-618-000002"/>
    <x v="22"/>
    <d v="2021-03-23T00:00:00"/>
  </r>
  <r>
    <d v="2020-10-16T00:00:00"/>
    <s v="VZ-2020-001143"/>
    <x v="8"/>
    <s v="Kadlec"/>
    <x v="27"/>
    <m/>
    <m/>
    <m/>
    <s v="45453100-8"/>
    <m/>
    <n v="2700000"/>
    <x v="2"/>
    <d v="2020-10-23T00:00:00"/>
    <d v="2020-11-03T00:00:00"/>
    <d v="2020-11-23T00:00:00"/>
    <s v="SEADON s.r.o."/>
    <m/>
    <n v="1925459.74"/>
    <n v="2329806.29"/>
    <m/>
    <m/>
    <m/>
    <d v="2020-11-23T00:00:00"/>
    <s v="SMLN-2020-618-000113"/>
    <x v="23"/>
    <d v="2021-02-01T00:00:00"/>
  </r>
  <r>
    <d v="2020-11-30T00:00:00"/>
    <s v="VZ-2020-001153"/>
    <x v="2"/>
    <s v="Rosulek"/>
    <x v="28"/>
    <m/>
    <m/>
    <m/>
    <s v="38000000-5"/>
    <s v="2.3.482"/>
    <n v="1282000"/>
    <x v="2"/>
    <d v="2020-12-02T00:00:00"/>
    <d v="2020-12-18T00:00:00"/>
    <d v="2021-02-08T00:00:00"/>
    <s v="MEDESA care s.r.o."/>
    <m/>
    <n v="1182513.58"/>
    <n v="1393678"/>
    <m/>
    <m/>
    <m/>
    <d v="2021-02-08T00:00:00"/>
    <s v="SMLN-2021-617-000051_x000a_SMLN-2021-612-000006_x000a_SMLN-2021-617-000052"/>
    <x v="14"/>
    <d v="2021-03-08T00:00:00"/>
  </r>
  <r>
    <d v="2020-11-23T00:00:00"/>
    <s v="VZ-2020-001154"/>
    <x v="2"/>
    <s v="Rosulek"/>
    <x v="29"/>
    <m/>
    <m/>
    <m/>
    <s v="38000000-5"/>
    <s v="2.2.273"/>
    <n v="330000"/>
    <x v="2"/>
    <d v="2020-11-25T00:00:00"/>
    <d v="2020-12-09T00:00:00"/>
    <d v="2021-01-11T00:00:00"/>
    <s v="BARIA, s.r.o."/>
    <m/>
    <n v="293980.17"/>
    <n v="355716"/>
    <m/>
    <m/>
    <m/>
    <d v="2021-01-11T00:00:00"/>
    <s v="SMLN-2021-617-000008_x000a_SMLN-2021-612-000002"/>
    <x v="23"/>
    <d v="2021-02-01T00:00:00"/>
  </r>
  <r>
    <d v="2020-11-26T00:00:00"/>
    <s v="VZ-2020-001155"/>
    <x v="2"/>
    <s v="Rosulek"/>
    <x v="30"/>
    <m/>
    <m/>
    <m/>
    <s v="33155000-1"/>
    <s v="2.3.464"/>
    <n v="727000"/>
    <x v="2"/>
    <d v="2020-12-01T00:00:00"/>
    <d v="2020-12-11T00:00:00"/>
    <m/>
    <s v="zrušeno - nutná úprava zadání"/>
    <s v="nová VZ-2021-000161"/>
    <m/>
    <m/>
    <m/>
    <m/>
    <m/>
    <m/>
    <m/>
    <x v="6"/>
    <d v="2021-02-22T00:00:00"/>
  </r>
  <r>
    <d v="2020-10-19T00:00:00"/>
    <s v="VZ-2020-001157"/>
    <x v="0"/>
    <s v="Ondráčková"/>
    <x v="31"/>
    <n v="1"/>
    <s v="ACTRAPID PENFILL"/>
    <m/>
    <s v="33615100-5"/>
    <m/>
    <n v="3271950"/>
    <x v="0"/>
    <d v="2020-10-23T00:00:00"/>
    <d v="2020-12-23T00:00:00"/>
    <d v="2021-02-01T00:00:00"/>
    <s v="Alliance Healthcare s.r.o."/>
    <m/>
    <n v="3113409.15"/>
    <n v="3424750.07"/>
    <m/>
    <m/>
    <m/>
    <d v="2021-02-01T00:00:00"/>
    <s v="SMLN-2021-617-000029"/>
    <x v="24"/>
    <d v="2021-03-23T00:00:00"/>
  </r>
  <r>
    <d v="2020-10-19T00:00:00"/>
    <s v="VZ-2020-001157"/>
    <x v="0"/>
    <s v="Ondráčková"/>
    <x v="31"/>
    <n v="2"/>
    <s v="HUMULIN R"/>
    <m/>
    <s v="33615100-5"/>
    <m/>
    <n v="1306500"/>
    <x v="0"/>
    <d v="2020-10-23T00:00:00"/>
    <d v="2020-12-23T00:00:00"/>
    <d v="2021-02-01T00:00:00"/>
    <s v="Alliance Healthcare s.r.o."/>
    <m/>
    <n v="1170972.96"/>
    <n v="1288070.26"/>
    <m/>
    <m/>
    <m/>
    <d v="2021-02-01T00:00:00"/>
    <s v="SMLN-2021-617-000030"/>
    <x v="24"/>
    <d v="2021-03-23T00:00:00"/>
  </r>
  <r>
    <d v="2020-10-19T00:00:00"/>
    <s v="VZ-2020-001157"/>
    <x v="0"/>
    <s v="Ondráčková"/>
    <x v="31"/>
    <n v="3"/>
    <s v="HUMALOG"/>
    <m/>
    <s v="33615100-5"/>
    <m/>
    <n v="1129930"/>
    <x v="0"/>
    <d v="2020-10-23T00:00:00"/>
    <d v="2020-12-23T00:00:00"/>
    <d v="2021-03-15T00:00:00"/>
    <s v="Alliance Healthcare s.r.o."/>
    <m/>
    <n v="1128270.6000000001"/>
    <n v="1241097.6599999999"/>
    <m/>
    <m/>
    <m/>
    <d v="2021-03-15T00:00:00"/>
    <s v="SMLN-2021-617-000107"/>
    <x v="12"/>
    <d v="2021-04-12T00:00:00"/>
  </r>
  <r>
    <d v="2020-10-19T00:00:00"/>
    <s v="VZ-2020-001157"/>
    <x v="0"/>
    <s v="Ondráčková"/>
    <x v="31"/>
    <n v="4"/>
    <s v="FIASP"/>
    <m/>
    <s v="33615100-5"/>
    <m/>
    <n v="1966708"/>
    <x v="0"/>
    <d v="2020-10-23T00:00:00"/>
    <d v="2020-12-23T00:00:00"/>
    <d v="2021-02-01T00:00:00"/>
    <s v="Alliance Healthcare s.r.o."/>
    <m/>
    <n v="2108378.79"/>
    <n v="2319216.67"/>
    <m/>
    <m/>
    <m/>
    <d v="2021-02-01T00:00:00"/>
    <s v="SMLN-2021-617-000032"/>
    <x v="24"/>
    <d v="2021-03-23T00:00:00"/>
  </r>
  <r>
    <d v="2020-10-19T00:00:00"/>
    <s v="VZ-2020-001157"/>
    <x v="0"/>
    <s v="Ondráčková"/>
    <x v="31"/>
    <n v="5"/>
    <s v="NOVORAPID"/>
    <m/>
    <s v="33615100-5"/>
    <m/>
    <n v="10607165"/>
    <x v="0"/>
    <d v="2020-10-23T00:00:00"/>
    <d v="2020-12-23T00:00:00"/>
    <d v="2021-02-01T00:00:00"/>
    <s v="Alliance Healthcare s.r.o."/>
    <m/>
    <n v="11501194.83"/>
    <n v="12651314.310000001"/>
    <m/>
    <m/>
    <m/>
    <d v="2021-02-01T00:00:00"/>
    <s v="SMLN-2021-617-000033"/>
    <x v="24"/>
    <d v="2021-03-23T00:00:00"/>
  </r>
  <r>
    <d v="2020-10-19T00:00:00"/>
    <s v="VZ-2020-001157"/>
    <x v="0"/>
    <s v="Ondráčková"/>
    <x v="31"/>
    <n v="6"/>
    <s v="APIDRA"/>
    <m/>
    <s v="33615100-5"/>
    <m/>
    <n v="339465"/>
    <x v="0"/>
    <d v="2020-10-23T00:00:00"/>
    <d v="2020-12-23T00:00:00"/>
    <d v="2021-02-01T00:00:00"/>
    <s v="ViaPharma s.r.o."/>
    <m/>
    <n v="339429.51"/>
    <n v="373372.46"/>
    <m/>
    <m/>
    <m/>
    <d v="2021-02-01T00:00:00"/>
    <s v="SMLN-2021-617-000034"/>
    <x v="25"/>
    <d v="2021-03-23T00:00:00"/>
  </r>
  <r>
    <d v="2020-10-19T00:00:00"/>
    <s v="VZ-2020-001158"/>
    <x v="0"/>
    <s v="Ondráčková"/>
    <x v="32"/>
    <n v="1"/>
    <s v="SEBELIPASA ALFA"/>
    <m/>
    <s v="24965000-6; 33621100-0"/>
    <m/>
    <n v="125530696"/>
    <x v="0"/>
    <d v="2020-10-23T00:00:00"/>
    <d v="2020-12-28T00:00:00"/>
    <d v="2021-02-05T00:00:00"/>
    <s v="Swixx Biopharma s.r.o."/>
    <m/>
    <n v="125530695.36"/>
    <n v="138083764.90000001"/>
    <m/>
    <m/>
    <m/>
    <d v="2021-02-05T00:00:00"/>
    <s v="SMLN-2021-617-000044"/>
    <x v="26"/>
    <d v="2021-04-07T00:00:00"/>
  </r>
  <r>
    <d v="2020-10-19T00:00:00"/>
    <s v="VZ-2020-001158"/>
    <x v="0"/>
    <s v="Ondráčková"/>
    <x v="32"/>
    <n v="2"/>
    <s v="SELEXIPAG "/>
    <m/>
    <s v="24965000-6; 33621100-0"/>
    <m/>
    <n v="41843610"/>
    <x v="0"/>
    <d v="2020-10-23T00:00:00"/>
    <d v="2020-12-28T00:00:00"/>
    <d v="2021-02-05T00:00:00"/>
    <s v="Janssen-Cilag s.r.o."/>
    <m/>
    <n v="41873605.859999999"/>
    <n v="46027966.450000003"/>
    <m/>
    <m/>
    <m/>
    <d v="2021-02-05T00:00:00"/>
    <s v="SMLN-2021-617-000043"/>
    <x v="27"/>
    <d v="2021-04-07T00:00:00"/>
  </r>
  <r>
    <d v="2020-10-13T00:00:00"/>
    <s v="VZ-2020-001164"/>
    <x v="2"/>
    <s v="Rosulek"/>
    <x v="33"/>
    <m/>
    <m/>
    <m/>
    <s v="38950000-9"/>
    <s v="2.3.382."/>
    <n v="2010000"/>
    <x v="1"/>
    <d v="2020-10-30T00:00:00"/>
    <d v="2020-11-18T00:00:00"/>
    <d v="2021-01-22T00:00:00"/>
    <s v="BioVendor - Laboratorní medicína a.s."/>
    <m/>
    <n v="1703400"/>
    <n v="2061114"/>
    <m/>
    <m/>
    <m/>
    <d v="2021-01-22T00:00:00"/>
    <s v="SMLN-2021-617-000018_x000a_SMLN-2021-612-000004_x000a_SMLN-2021-617-000019"/>
    <x v="28"/>
    <d v="2021-03-05T00:00:00"/>
  </r>
  <r>
    <d v="2020-10-13T00:00:00"/>
    <s v="VZ-2020-001170"/>
    <x v="3"/>
    <s v="Langer"/>
    <x v="34"/>
    <m/>
    <m/>
    <m/>
    <s v="45453000-7"/>
    <s v="1.2.70."/>
    <n v="40000000"/>
    <x v="1"/>
    <d v="2020-11-06T00:00:00"/>
    <d v="2020-12-02T00:00:00"/>
    <d v="2020-12-18T00:00:00"/>
    <s v="OHL ŽS, a.s."/>
    <m/>
    <n v="39893319.039999999"/>
    <n v="48270916.038399994"/>
    <m/>
    <m/>
    <m/>
    <d v="2020-12-18T00:00:00"/>
    <s v="SMLN-2020-618-000123"/>
    <x v="29"/>
    <d v="2021-03-04T00:00:00"/>
  </r>
  <r>
    <d v="2020-10-16T00:00:00"/>
    <s v="VZ-2020-001180"/>
    <x v="3"/>
    <s v="Spáčil"/>
    <x v="35"/>
    <m/>
    <m/>
    <m/>
    <s v="45215100-8"/>
    <s v="1.3.25."/>
    <n v="106000000"/>
    <x v="0"/>
    <d v="2020-11-02T00:00:00"/>
    <d v="2021-01-11T00:00:00"/>
    <d v="2021-01-22T00:00:00"/>
    <s v="zrušeno - úprava zadání"/>
    <s v="nová VZ-2021-000140"/>
    <n v="105980370.34999999"/>
    <n v="128236248.12"/>
    <m/>
    <m/>
    <m/>
    <d v="2021-01-22T00:00:00"/>
    <s v="SMLN-2021-618-000005"/>
    <x v="6"/>
    <d v="2021-02-03T00:00:00"/>
  </r>
  <r>
    <s v="opakovaná VZ"/>
    <s v="VZ-2020-001187"/>
    <x v="4"/>
    <s v="Srovnal"/>
    <x v="36"/>
    <m/>
    <m/>
    <m/>
    <s v="45261910-6"/>
    <m/>
    <n v="476720"/>
    <x v="2"/>
    <d v="2020-11-04T00:00:00"/>
    <d v="2020-11-13T00:00:00"/>
    <d v="2020-11-18T00:00:00"/>
    <s v="SEADON s.r.o."/>
    <m/>
    <n v="506218.61"/>
    <n v="612524.52"/>
    <m/>
    <m/>
    <m/>
    <d v="2020-11-18T00:00:00"/>
    <s v="SMLN-2020-618-000110"/>
    <x v="30"/>
    <d v="2021-02-03T00:00:00"/>
  </r>
  <r>
    <d v="2020-10-29T00:00:00"/>
    <s v="VZ-2020-001195"/>
    <x v="1"/>
    <s v="Dočkalová"/>
    <x v="37"/>
    <n v="1"/>
    <s v="Chirurgické nástroje dle katalogového čísla výrobce AESCULAP AG"/>
    <m/>
    <s v="33162200-5"/>
    <m/>
    <n v="816000"/>
    <x v="0"/>
    <d v="2020-11-09T00:00:00"/>
    <d v="2021-01-04T00:00:00"/>
    <d v="2021-04-20T00:00:00"/>
    <s v="LaparoTech Instruments s.r.o."/>
    <m/>
    <n v="389200"/>
    <n v="470932"/>
    <m/>
    <m/>
    <m/>
    <d v="2021-04-20T00:00:00"/>
    <s v="SMLN-2021-617-000162"/>
    <x v="31"/>
    <d v="2021-06-02T00:00:00"/>
  </r>
  <r>
    <d v="2020-10-29T00:00:00"/>
    <s v="VZ-2020-001195"/>
    <x v="1"/>
    <s v="Dočkalová"/>
    <x v="37"/>
    <n v="2"/>
    <s v="Chirurgické nástroje dle katalogového čísla výrobce MEDIN, a.s., Allgaier instrumente GmbH"/>
    <m/>
    <s v="33162200-5"/>
    <m/>
    <n v="3659405"/>
    <x v="0"/>
    <d v="2020-11-09T00:00:00"/>
    <d v="2021-01-04T00:00:00"/>
    <d v="2021-04-20T00:00:00"/>
    <s v="LaparoTech Instruments s.r.o."/>
    <m/>
    <n v="1791000"/>
    <n v="2167110"/>
    <m/>
    <m/>
    <m/>
    <d v="2021-04-20T00:00:00"/>
    <s v="SMLN-2021-617-000163"/>
    <x v="31"/>
    <d v="2021-06-02T00:00:00"/>
  </r>
  <r>
    <d v="2020-10-29T00:00:00"/>
    <s v="VZ-2020-001195"/>
    <x v="1"/>
    <s v="Dočkalová"/>
    <x v="37"/>
    <n v="3"/>
    <s v="Chirurgické nástroje dle katalogového čísla výrobce KATENA PRODUCTS, INC."/>
    <m/>
    <s v="33162200-5"/>
    <m/>
    <n v="26000"/>
    <x v="0"/>
    <d v="2020-11-09T00:00:00"/>
    <d v="2021-01-04T00:00:00"/>
    <d v="2021-04-20T00:00:00"/>
    <s v="Medilas s.r.o."/>
    <m/>
    <n v="12350.7"/>
    <n v="14944.35"/>
    <m/>
    <m/>
    <m/>
    <d v="2021-04-20T00:00:00"/>
    <s v="SMLN-2021-617-000164"/>
    <x v="32"/>
    <d v="2021-05-13T00:00:00"/>
  </r>
  <r>
    <d v="2020-10-29T00:00:00"/>
    <s v="VZ-2020-001195"/>
    <x v="1"/>
    <s v="Dočkalová"/>
    <x v="37"/>
    <n v="4"/>
    <s v="Chirurgické nástroje dle katalogového čísla výrobce Tekno-Medical, GmbH"/>
    <m/>
    <s v="33162200-5"/>
    <m/>
    <n v="72000"/>
    <x v="0"/>
    <d v="2020-11-09T00:00:00"/>
    <d v="2021-01-04T00:00:00"/>
    <d v="2021-03-09T00:00:00"/>
    <s v="MEDILAB ČR, s.r.o."/>
    <m/>
    <n v="37709.300000000003"/>
    <n v="45628.25"/>
    <m/>
    <m/>
    <m/>
    <d v="2021-03-09T00:00:00"/>
    <s v="SMLN-2021-617-000102"/>
    <x v="33"/>
    <d v="2021-05-13T00:00:00"/>
  </r>
  <r>
    <d v="2020-10-29T00:00:00"/>
    <s v="VZ-2020-001195"/>
    <x v="1"/>
    <s v="Dočkalová"/>
    <x v="37"/>
    <n v="5"/>
    <s v="Chirurgické nástroje dle katalogového čísla výrobce ASANUS Medizintechnik GmbH"/>
    <m/>
    <s v="33162200-5"/>
    <m/>
    <n v="105000"/>
    <x v="0"/>
    <d v="2020-11-09T00:00:00"/>
    <d v="2021-01-04T00:00:00"/>
    <d v="2021-03-09T00:00:00"/>
    <s v="MEDILAB ČR, s.r.o."/>
    <m/>
    <n v="91760"/>
    <n v="111029.6"/>
    <m/>
    <m/>
    <m/>
    <d v="2021-03-09T00:00:00"/>
    <s v="SMLN-2021-617-000103"/>
    <x v="33"/>
    <d v="2021-05-13T00:00:00"/>
  </r>
  <r>
    <d v="2020-10-29T00:00:00"/>
    <s v="VZ-2020-001195"/>
    <x v="1"/>
    <s v="Dočkalová"/>
    <x v="37"/>
    <n v="6"/>
    <s v="Chirurgické nástroje dle katalogového čísla výrobce Bausch &amp; Lomb, GmbH"/>
    <m/>
    <s v="33162200-5"/>
    <m/>
    <n v="337000"/>
    <x v="0"/>
    <d v="2020-11-09T00:00:00"/>
    <d v="2021-01-04T00:00:00"/>
    <d v="2021-04-20T00:00:00"/>
    <s v="MEDILAB ČR, s.r.o."/>
    <m/>
    <n v="237611"/>
    <n v="287509.31"/>
    <m/>
    <m/>
    <m/>
    <d v="2021-04-20T00:00:00"/>
    <s v="SMLN-2021-617-000165"/>
    <x v="34"/>
    <d v="2021-05-13T00:00:00"/>
  </r>
  <r>
    <d v="2020-10-29T00:00:00"/>
    <s v="VZ-2020-001195"/>
    <x v="1"/>
    <s v="Dočkalová"/>
    <x v="37"/>
    <n v="7"/>
    <s v="Chirurgické nástroje dle katalogového čísla výrobce KARL STORZ GmbH, SPIGGLE &amp; THEIS Medizintechnik GmbH, MEDICON eG"/>
    <m/>
    <s v="33162200-5"/>
    <m/>
    <n v="330000"/>
    <x v="0"/>
    <d v="2020-11-09T00:00:00"/>
    <d v="2021-01-04T00:00:00"/>
    <d v="2021-03-26T00:00:00"/>
    <s v="RADIX CZ s.r.o."/>
    <m/>
    <n v="317194"/>
    <n v="383804.17"/>
    <m/>
    <m/>
    <m/>
    <d v="2021-03-26T00:00:00"/>
    <s v="SMLN-2021-617-000127"/>
    <x v="35"/>
    <d v="2021-05-13T00:00:00"/>
  </r>
  <r>
    <d v="2020-10-27T00:00:00"/>
    <s v="VZ-2020-001200"/>
    <x v="5"/>
    <s v="Miklík"/>
    <x v="38"/>
    <m/>
    <m/>
    <m/>
    <s v="48823000-3"/>
    <s v="3.2.25."/>
    <n v="1035000"/>
    <x v="0"/>
    <d v="2020-11-13T00:00:00"/>
    <d v="2020-12-31T00:00:00"/>
    <d v="2021-01-08T00:00:00"/>
    <s v="DATASYS s.r.o."/>
    <m/>
    <n v="799035"/>
    <n v="966832.35"/>
    <m/>
    <m/>
    <m/>
    <d v="2021-01-08T00:00:00"/>
    <s v="SMLN-2021-617-000004"/>
    <x v="36"/>
    <d v="2021-02-08T00:00:00"/>
  </r>
  <r>
    <d v="2020-11-11T00:00:00"/>
    <s v="VZ-2020-001222"/>
    <x v="5"/>
    <s v="Oravec"/>
    <x v="39"/>
    <m/>
    <m/>
    <m/>
    <s v="30121100-4"/>
    <m/>
    <n v="813800"/>
    <x v="2"/>
    <d v="2020-11-16T00:00:00"/>
    <d v="2020-12-02T00:00:00"/>
    <d v="2020-12-21T00:00:00"/>
    <s v="Can 21 s.r.o."/>
    <m/>
    <n v="796847.4"/>
    <n v="964185.35"/>
    <m/>
    <m/>
    <m/>
    <d v="2020-12-21T00:00:00"/>
    <s v="SMLN-2020-617-000585"/>
    <x v="37"/>
    <d v="2021-01-21T00:00:00"/>
  </r>
  <r>
    <d v="2020-11-12T00:00:00"/>
    <s v="VZ-2020-001228"/>
    <x v="0"/>
    <s v="Ondráčková"/>
    <x v="40"/>
    <n v="1"/>
    <s v="MONOHYDRÁT CYKLOFOSFAMIDU"/>
    <m/>
    <s v="33652000-5"/>
    <m/>
    <n v="1887318"/>
    <x v="0"/>
    <d v="2020-12-28T00:00:00"/>
    <d v="2021-03-08T00:00:00"/>
    <d v="2021-04-09T00:00:00"/>
    <s v="PROMEDICA PRAHA GROUP, a.s."/>
    <m/>
    <n v="1887309.96"/>
    <n v="2076040.96"/>
    <m/>
    <m/>
    <m/>
    <d v="2021-04-09T00:00:00"/>
    <s v="SMLN-2021-617-000142"/>
    <x v="35"/>
    <d v="2021-05-05T00:00:00"/>
  </r>
  <r>
    <d v="2020-11-12T00:00:00"/>
    <s v="VZ-2020-001228"/>
    <x v="0"/>
    <s v="Ondráčková"/>
    <x v="40"/>
    <n v="2"/>
    <s v="MELFALAN "/>
    <m/>
    <s v="33652000-5"/>
    <m/>
    <n v="3638257"/>
    <x v="0"/>
    <d v="2020-12-28T00:00:00"/>
    <d v="2021-03-08T00:00:00"/>
    <m/>
    <s v="zrušeno - bez nabídky"/>
    <m/>
    <m/>
    <m/>
    <m/>
    <m/>
    <m/>
    <m/>
    <m/>
    <x v="6"/>
    <d v="2021-05-05T00:00:00"/>
  </r>
  <r>
    <d v="2020-11-12T00:00:00"/>
    <s v="VZ-2020-001228"/>
    <x v="0"/>
    <s v="Ondráčková"/>
    <x v="40"/>
    <n v="3"/>
    <s v="IFOSFAMID "/>
    <m/>
    <s v="33652000-5"/>
    <m/>
    <n v="3777877"/>
    <x v="0"/>
    <d v="2020-12-28T00:00:00"/>
    <d v="2021-03-08T00:00:00"/>
    <d v="2021-04-09T00:00:00"/>
    <s v="PROMEDICA PRAHA GROUP, a.s."/>
    <m/>
    <n v="3777876"/>
    <n v="4155663.6"/>
    <m/>
    <m/>
    <m/>
    <d v="2021-04-09T00:00:00"/>
    <s v="SMLN-2021-617-000143"/>
    <x v="35"/>
    <d v="2021-05-05T00:00:00"/>
  </r>
  <r>
    <d v="2020-11-12T00:00:00"/>
    <s v="VZ-2020-001228"/>
    <x v="0"/>
    <s v="Ondráčková"/>
    <x v="40"/>
    <n v="4"/>
    <s v="BUSULFAN"/>
    <m/>
    <s v="33652000-5"/>
    <m/>
    <n v="1920000"/>
    <x v="0"/>
    <d v="2020-12-28T00:00:00"/>
    <d v="2021-03-08T00:00:00"/>
    <d v="2021-04-09T00:00:00"/>
    <s v="Fresenius Kabi s.r.o."/>
    <m/>
    <n v="1920000"/>
    <n v="2112000"/>
    <m/>
    <m/>
    <m/>
    <d v="2021-04-09T00:00:00"/>
    <s v="SMLN-2021-617-000144"/>
    <x v="34"/>
    <d v="2021-05-17T00:00:00"/>
  </r>
  <r>
    <d v="2020-11-12T00:00:00"/>
    <s v="VZ-2020-001228"/>
    <x v="0"/>
    <s v="Ondráčková"/>
    <x v="40"/>
    <n v="5"/>
    <s v="THIOTEPA"/>
    <m/>
    <s v="33652000-5"/>
    <m/>
    <n v="1622291"/>
    <x v="0"/>
    <d v="2020-12-28T00:00:00"/>
    <d v="2021-03-08T00:00:00"/>
    <d v="2021-04-09T00:00:00"/>
    <s v="ViaPharma s.r.o."/>
    <m/>
    <n v="1617676.98"/>
    <n v="1779444.68"/>
    <m/>
    <m/>
    <m/>
    <d v="2021-04-09T00:00:00"/>
    <s v="SMLN-2021-617-000145"/>
    <x v="35"/>
    <d v="2021-05-05T00:00:00"/>
  </r>
  <r>
    <d v="2020-11-12T00:00:00"/>
    <s v="VZ-2020-001228"/>
    <x v="0"/>
    <s v="Ondráčková"/>
    <x v="40"/>
    <n v="6"/>
    <s v="KARMUSTIN"/>
    <m/>
    <s v="33652000-5"/>
    <m/>
    <n v="2338034"/>
    <x v="0"/>
    <d v="2020-12-28T00:00:00"/>
    <d v="2021-03-08T00:00:00"/>
    <d v="2021-04-09T00:00:00"/>
    <s v="PROMEDICA PRAHA GROUP, a.s."/>
    <m/>
    <n v="2245761"/>
    <n v="2470337.1"/>
    <m/>
    <m/>
    <m/>
    <d v="2021-04-09T00:00:00"/>
    <s v="SMLN-2021-617-000146"/>
    <x v="35"/>
    <d v="2021-05-05T00:00:00"/>
  </r>
  <r>
    <d v="2020-11-12T00:00:00"/>
    <s v="VZ-2020-001229"/>
    <x v="0"/>
    <s v="Ondráčková"/>
    <x v="41"/>
    <n v="1"/>
    <s v="AMPICILIN A INHIBITOR BETA-LAKTAMASY "/>
    <m/>
    <s v="33651100-9"/>
    <m/>
    <n v="2465378"/>
    <x v="0"/>
    <d v="2020-12-04T00:00:00"/>
    <d v="2021-01-06T00:00:00"/>
    <d v="2021-02-23T00:00:00"/>
    <s v="Alliance Healthcare s.r.o."/>
    <m/>
    <n v="2247102"/>
    <n v="2471812.2000000002"/>
    <m/>
    <m/>
    <m/>
    <d v="2021-02-23T00:00:00"/>
    <s v="SMLN-2021-617-000083"/>
    <x v="20"/>
    <d v="2021-03-30T00:00:00"/>
  </r>
  <r>
    <d v="2020-11-12T00:00:00"/>
    <s v="VZ-2020-001229"/>
    <x v="0"/>
    <s v="Ondráčková"/>
    <x v="41"/>
    <n v="2"/>
    <s v="PIPERACILIN A INHIBITOR BETA-LAKTAMASY "/>
    <m/>
    <s v="33651100-9"/>
    <m/>
    <n v="7121640"/>
    <x v="0"/>
    <d v="2020-12-04T00:00:00"/>
    <d v="2021-01-06T00:00:00"/>
    <d v="2021-02-23T00:00:00"/>
    <s v="PHARMOS, a.s."/>
    <m/>
    <n v="6912180"/>
    <n v="7603398"/>
    <m/>
    <m/>
    <m/>
    <d v="2021-02-23T00:00:00"/>
    <s v="SMLN-2021-617-000084"/>
    <x v="38"/>
    <d v="2021-03-30T00:00:00"/>
  </r>
  <r>
    <d v="2020-11-12T00:00:00"/>
    <s v="VZ-2020-001229"/>
    <x v="0"/>
    <s v="Ondráčková"/>
    <x v="41"/>
    <n v="3"/>
    <s v="CEFTAZIDIM "/>
    <m/>
    <s v="33651100-9"/>
    <m/>
    <n v="2157101"/>
    <x v="0"/>
    <d v="2020-12-04T00:00:00"/>
    <d v="2021-01-06T00:00:00"/>
    <d v="2021-02-23T00:00:00"/>
    <s v="Fresenius Kabi s.r.o."/>
    <m/>
    <n v="2156938.7999999998"/>
    <n v="2372632.6800000002"/>
    <m/>
    <m/>
    <m/>
    <d v="2021-02-23T00:00:00"/>
    <s v="SMLN-2021-617-000085"/>
    <x v="39"/>
    <d v="2021-03-30T00:00:00"/>
  </r>
  <r>
    <d v="2020-11-12T00:00:00"/>
    <s v="VZ-2020-001229"/>
    <x v="0"/>
    <s v="Ondráčková"/>
    <x v="41"/>
    <n v="5"/>
    <s v="CIPROFLOXACIN I.V."/>
    <m/>
    <s v="33651100-9"/>
    <m/>
    <n v="1789080"/>
    <x v="0"/>
    <d v="2020-12-04T00:00:00"/>
    <d v="2021-01-06T00:00:00"/>
    <d v="2021-02-23T00:00:00"/>
    <s v="Fresenius Kabi s.r.o."/>
    <m/>
    <n v="1405440"/>
    <n v="1545984"/>
    <m/>
    <m/>
    <m/>
    <d v="2021-02-23T00:00:00"/>
    <s v="SMLN-2021-617-000086"/>
    <x v="24"/>
    <d v="2021-03-30T00:00:00"/>
  </r>
  <r>
    <d v="2020-11-12T00:00:00"/>
    <s v="VZ-2020-001229"/>
    <x v="0"/>
    <s v="Ondráčková"/>
    <x v="41"/>
    <n v="6"/>
    <s v="KOLISTIN "/>
    <m/>
    <s v="33651100-9"/>
    <m/>
    <n v="1317252"/>
    <x v="0"/>
    <d v="2020-12-04T00:00:00"/>
    <d v="2021-01-06T00:00:00"/>
    <d v="2021-02-23T00:00:00"/>
    <s v="PHARMOS, a.s."/>
    <m/>
    <n v="1297044.6000000001"/>
    <n v="1426749.06"/>
    <m/>
    <m/>
    <m/>
    <d v="2021-02-23T00:00:00"/>
    <s v="SMLN-2021-617-000087"/>
    <x v="38"/>
    <d v="2021-03-30T00:00:00"/>
  </r>
  <r>
    <d v="2020-11-12T00:00:00"/>
    <s v="VZ-2020-001229"/>
    <x v="0"/>
    <s v="Ondráčková"/>
    <x v="41"/>
    <n v="7"/>
    <s v="KLARITHROMYCIN INF."/>
    <m/>
    <s v="33651100-9"/>
    <m/>
    <n v="5475600"/>
    <x v="0"/>
    <d v="2020-12-04T00:00:00"/>
    <d v="2021-01-06T00:00:00"/>
    <d v="2021-02-23T00:00:00"/>
    <s v="Alliance Healthcare s.r.o."/>
    <m/>
    <n v="5453940.96"/>
    <n v="5999335.0599999996"/>
    <m/>
    <m/>
    <m/>
    <d v="2021-02-23T00:00:00"/>
    <s v="SMLN-2021-617-000088"/>
    <x v="20"/>
    <d v="2021-03-30T00:00:00"/>
  </r>
  <r>
    <d v="2020-11-12T00:00:00"/>
    <s v="VZ-2020-001230"/>
    <x v="0"/>
    <s v="Ondráčková"/>
    <x v="42"/>
    <n v="1"/>
    <s v="AIRFLUSAN"/>
    <m/>
    <s v="33670000-7"/>
    <m/>
    <n v="1551621"/>
    <x v="0"/>
    <d v="2020-12-04T00:00:00"/>
    <d v="2021-01-06T00:00:00"/>
    <d v="2021-02-22T00:00:00"/>
    <s v="PHARMOS, a.s."/>
    <m/>
    <n v="1540736.01"/>
    <n v="1694809.61"/>
    <m/>
    <m/>
    <m/>
    <d v="2021-02-22T00:00:00"/>
    <s v="SMLN-2021-617-000071"/>
    <x v="27"/>
    <d v="2021-03-24T00:00:00"/>
  </r>
  <r>
    <d v="2020-11-12T00:00:00"/>
    <s v="VZ-2020-001230"/>
    <x v="0"/>
    <s v="Ondráčková"/>
    <x v="42"/>
    <n v="2"/>
    <s v="FULLHALE"/>
    <m/>
    <s v="33670000-7"/>
    <m/>
    <n v="419556"/>
    <x v="0"/>
    <d v="2020-12-04T00:00:00"/>
    <d v="2021-01-06T00:00:00"/>
    <d v="2021-02-22T00:00:00"/>
    <s v="PHARMOS, a.s."/>
    <m/>
    <n v="268618.28999999998"/>
    <n v="295480.12"/>
    <m/>
    <m/>
    <m/>
    <d v="2021-02-22T00:00:00"/>
    <s v="SMLN-2021-617-000072"/>
    <x v="27"/>
    <d v="2021-03-24T00:00:00"/>
  </r>
  <r>
    <d v="2020-11-12T00:00:00"/>
    <s v="VZ-2020-001230"/>
    <x v="0"/>
    <s v="Ondráčková"/>
    <x v="42"/>
    <n v="3"/>
    <s v="SERETIDE"/>
    <m/>
    <s v="33670000-7"/>
    <m/>
    <n v="1811917"/>
    <x v="0"/>
    <d v="2020-12-04T00:00:00"/>
    <d v="2021-01-06T00:00:00"/>
    <d v="2021-02-22T00:00:00"/>
    <s v="Alliance Healthcare s.r.o."/>
    <m/>
    <n v="1800679.44"/>
    <n v="1980747.38"/>
    <m/>
    <m/>
    <m/>
    <d v="2021-02-22T00:00:00"/>
    <s v="SMLN-2021-617-000073"/>
    <x v="24"/>
    <d v="2021-03-24T00:00:00"/>
  </r>
  <r>
    <d v="2020-11-12T00:00:00"/>
    <s v="VZ-2020-001230"/>
    <x v="0"/>
    <s v="Ondráčková"/>
    <x v="42"/>
    <n v="4"/>
    <s v="SYMBICORT"/>
    <m/>
    <s v="33670000-7"/>
    <m/>
    <n v="7429475"/>
    <x v="0"/>
    <d v="2020-12-04T00:00:00"/>
    <d v="2021-01-06T00:00:00"/>
    <d v="2021-02-22T00:00:00"/>
    <s v="PHOENIX lék.velkoobchod, s.r.o."/>
    <m/>
    <n v="5625242.4000000004"/>
    <n v="6178766.6399999997"/>
    <m/>
    <m/>
    <m/>
    <d v="2021-02-22T00:00:00"/>
    <s v="SMLN-2021-617-000074"/>
    <x v="20"/>
    <d v="2021-03-24T00:00:00"/>
  </r>
  <r>
    <d v="2020-11-12T00:00:00"/>
    <s v="VZ-2020-001230"/>
    <x v="0"/>
    <s v="Ondráčková"/>
    <x v="42"/>
    <n v="5"/>
    <s v="VILANTEROL A FLUTIKASON-FUROÁT "/>
    <m/>
    <s v="33670000-7"/>
    <m/>
    <n v="4344271"/>
    <x v="0"/>
    <d v="2020-12-04T00:00:00"/>
    <d v="2021-01-06T00:00:00"/>
    <d v="2021-02-22T00:00:00"/>
    <s v="PHARMOS, a.s."/>
    <m/>
    <n v="4279057.2"/>
    <n v="4706962.92"/>
    <m/>
    <m/>
    <m/>
    <d v="2021-02-22T00:00:00"/>
    <s v="SMLN-2021-617-000075"/>
    <x v="27"/>
    <d v="2021-03-24T00:00:00"/>
  </r>
  <r>
    <d v="2020-11-12T00:00:00"/>
    <s v="VZ-2020-001230"/>
    <x v="0"/>
    <s v="Ondráčková"/>
    <x v="42"/>
    <n v="6"/>
    <s v="FORMOTEROL A BEKLOMETASON "/>
    <m/>
    <s v="33670000-7"/>
    <m/>
    <n v="2837161"/>
    <x v="0"/>
    <d v="2020-12-04T00:00:00"/>
    <d v="2021-01-06T00:00:00"/>
    <d v="2021-02-22T00:00:00"/>
    <s v="PHARMOS, a.s."/>
    <m/>
    <n v="2791711.05"/>
    <n v="3070882.16"/>
    <m/>
    <m/>
    <m/>
    <d v="2021-02-22T00:00:00"/>
    <s v="SMLN-2021-617-000076"/>
    <x v="27"/>
    <d v="2021-03-24T00:00:00"/>
  </r>
  <r>
    <d v="2020-11-12T00:00:00"/>
    <s v="VZ-2020-001230"/>
    <x v="0"/>
    <s v="Ondráčková"/>
    <x v="42"/>
    <n v="7"/>
    <s v="FORMOTEROL A FLUTIKASON"/>
    <m/>
    <s v="33670000-7"/>
    <m/>
    <n v="2236892"/>
    <x v="0"/>
    <d v="2020-12-04T00:00:00"/>
    <d v="2021-01-06T00:00:00"/>
    <d v="2021-02-22T00:00:00"/>
    <s v="PHARMOS, a.s."/>
    <m/>
    <n v="2154174.7200000002"/>
    <n v="2369592.19"/>
    <m/>
    <m/>
    <m/>
    <d v="2021-02-22T00:00:00"/>
    <s v="SMLN-2021-617-000077"/>
    <x v="27"/>
    <d v="2021-03-24T00:00:00"/>
  </r>
  <r>
    <s v="opakovaná VZ"/>
    <s v="VZ-2020-001239"/>
    <x v="1"/>
    <s v="Dočkalová"/>
    <x v="43"/>
    <m/>
    <m/>
    <m/>
    <s v="33140000-3"/>
    <m/>
    <n v="2116000"/>
    <x v="1"/>
    <d v="2020-11-23T00:00:00"/>
    <d v="2020-12-09T00:00:00"/>
    <d v="2021-01-06T00:00:00"/>
    <s v="LHL s.r.o."/>
    <m/>
    <n v="2115360"/>
    <n v="2559585.6"/>
    <m/>
    <m/>
    <m/>
    <d v="2021-01-06T00:00:00"/>
    <s v="SMLN-2021-617-000001"/>
    <x v="30"/>
    <d v="2020-02-05T00:00:00"/>
  </r>
  <r>
    <d v="2020-11-16T00:00:00"/>
    <s v="VZ-2020-001240"/>
    <x v="9"/>
    <s v="Svozil"/>
    <x v="44"/>
    <m/>
    <m/>
    <m/>
    <s v="45332200-5"/>
    <m/>
    <n v="1350000"/>
    <x v="2"/>
    <d v="2020-11-23T00:00:00"/>
    <d v="2020-12-03T00:00:00"/>
    <d v="2020-12-16T00:00:00"/>
    <s v="LB 2000, s.r.o."/>
    <m/>
    <n v="458568"/>
    <n v="554868"/>
    <m/>
    <m/>
    <m/>
    <d v="2020-12-16T00:00:00"/>
    <s v="SMLN-2020-618-000119"/>
    <x v="40"/>
    <d v="2021-01-25T00:00:00"/>
  </r>
  <r>
    <d v="2020-11-13T00:00:00"/>
    <s v="VZ-2020-001242"/>
    <x v="4"/>
    <s v="Srovnal"/>
    <x v="45"/>
    <m/>
    <m/>
    <m/>
    <s v="42512200-0"/>
    <s v="4.2.148, 149"/>
    <n v="720000"/>
    <x v="2"/>
    <d v="2020-11-23T00:00:00"/>
    <d v="2020-12-03T00:00:00"/>
    <d v="2020-12-08T00:00:00"/>
    <s v="Air - Klimont s.r.o."/>
    <m/>
    <n v="662355"/>
    <n v="801449"/>
    <m/>
    <m/>
    <m/>
    <d v="2020-12-09T00:00:00"/>
    <s v="SMLN-2020-618-000116"/>
    <x v="41"/>
    <d v="2021-01-12T00:00:00"/>
  </r>
  <r>
    <s v="opakovaná VZ"/>
    <s v="VZ-2020-001248"/>
    <x v="2"/>
    <s v="Hajdúch"/>
    <x v="46"/>
    <m/>
    <m/>
    <m/>
    <s v="38000000-5"/>
    <m/>
    <n v="10100000"/>
    <x v="0"/>
    <d v="2020-11-24T00:00:00"/>
    <d v="2020-12-28T00:00:00"/>
    <d v="2021-01-08T00:00:00"/>
    <s v="Schoeller Instruments .s.r.o."/>
    <m/>
    <n v="10121328.4"/>
    <n v="12246807.359999999"/>
    <m/>
    <m/>
    <m/>
    <d v="2021-01-08T00:00:00"/>
    <s v="SMLN-2021-617-000005_x000a_SMLN-2021-612-000001_x000a_SMLN-2021-617-000006"/>
    <x v="42"/>
    <d v="2021-03-01T00:00:00"/>
  </r>
  <r>
    <d v="2020-11-20T00:00:00"/>
    <s v="VZ-2020-001251"/>
    <x v="0"/>
    <s v="Ondráčková"/>
    <x v="47"/>
    <n v="1"/>
    <s v="TAMOXIFEN"/>
    <m/>
    <s v="33652200-7"/>
    <m/>
    <n v="1082451"/>
    <x v="0"/>
    <d v="2021-01-04T00:00:00"/>
    <d v="2021-04-23T00:00:00"/>
    <d v="2021-05-07T00:00:00"/>
    <s v="PHARMOS, a.s."/>
    <m/>
    <n v="1059090"/>
    <n v="1217953.5"/>
    <m/>
    <m/>
    <m/>
    <d v="2021-05-07T00:00:00"/>
    <s v="SMLN-2021-617-000217"/>
    <x v="43"/>
    <d v="2021-06-16T00:00:00"/>
  </r>
  <r>
    <d v="2020-11-20T00:00:00"/>
    <s v="VZ-2020-001251"/>
    <x v="0"/>
    <s v="Ondráčková"/>
    <x v="47"/>
    <n v="2"/>
    <s v="FULVESTRANT"/>
    <m/>
    <s v="33652200-7"/>
    <m/>
    <n v="7967688"/>
    <x v="0"/>
    <d v="2021-01-04T00:00:00"/>
    <d v="2021-04-23T00:00:00"/>
    <d v="2021-05-07T00:00:00"/>
    <s v="Alliance Healthcare s.r.o."/>
    <m/>
    <n v="767332.35"/>
    <n v="882432.2"/>
    <m/>
    <m/>
    <m/>
    <d v="2021-05-07T00:00:00"/>
    <s v="SMLN-2021-617-000218"/>
    <x v="19"/>
    <d v="2021-06-16T00:00:00"/>
  </r>
  <r>
    <d v="2020-11-24T00:00:00"/>
    <s v="VZ-2020-001257"/>
    <x v="1"/>
    <s v="Valtová"/>
    <x v="48"/>
    <m/>
    <m/>
    <m/>
    <s v="33140000-3"/>
    <m/>
    <n v="5785125"/>
    <x v="0"/>
    <d v="2020-12-03T00:00:00"/>
    <d v="2021-01-05T00:00:00"/>
    <m/>
    <s v="zrušeno - jediná nabídka nesplnila referenci"/>
    <s v="nová VZ-2021-000051"/>
    <m/>
    <m/>
    <m/>
    <m/>
    <m/>
    <m/>
    <m/>
    <x v="6"/>
    <d v="2021-01-27T00:00:00"/>
  </r>
  <r>
    <d v="2020-11-20T00:00:00"/>
    <s v="VZ-2020-001258"/>
    <x v="1"/>
    <s v="Dočkalová"/>
    <x v="49"/>
    <m/>
    <m/>
    <m/>
    <s v="33140000-3"/>
    <m/>
    <n v="19019100"/>
    <x v="0"/>
    <d v="2020-12-08T00:00:00"/>
    <d v="2021-01-11T00:00:00"/>
    <d v="2021-02-05T00:00:00"/>
    <s v="Alcon Pharmaceuticals Czech Republic s.r.o."/>
    <m/>
    <n v="18301500"/>
    <n v="22144815"/>
    <m/>
    <m/>
    <m/>
    <d v="2021-02-05T00:00:00"/>
    <s v="SMLN-2021-617-000037_x000a_SMLN-2021-616-000010"/>
    <x v="38"/>
    <d v="2021-03-23T00:00:00"/>
  </r>
  <r>
    <d v="2020-11-24T00:00:00"/>
    <s v="VZ-2020-001259"/>
    <x v="8"/>
    <s v="Kadlec"/>
    <x v="50"/>
    <m/>
    <m/>
    <m/>
    <s v="45332200-5"/>
    <m/>
    <n v="850000"/>
    <x v="2"/>
    <d v="2020-12-01T00:00:00"/>
    <d v="2020-12-11T00:00:00"/>
    <d v="2020-12-22T00:00:00"/>
    <s v="VV TOP s.r.o."/>
    <m/>
    <n v="584523"/>
    <n v="707272.83"/>
    <m/>
    <m/>
    <m/>
    <d v="2020-12-22T00:00:00"/>
    <s v="SMLN-2020-618-000124"/>
    <x v="44"/>
    <d v="2021-01-20T00:00:00"/>
  </r>
  <r>
    <d v="2020-11-26T00:00:00"/>
    <s v="VZ-2020-001265"/>
    <x v="0"/>
    <s v="Ondráčková"/>
    <x v="51"/>
    <n v="1"/>
    <s v="ACC Injekt"/>
    <m/>
    <s v="33674000-5"/>
    <m/>
    <n v="1012484"/>
    <x v="0"/>
    <d v="2020-12-07T00:00:00"/>
    <d v="2021-01-08T00:00:00"/>
    <m/>
    <s v="zrušeno - bez nabídky"/>
    <m/>
    <m/>
    <m/>
    <m/>
    <m/>
    <m/>
    <m/>
    <m/>
    <x v="6"/>
    <d v="2021-02-16T00:00:00"/>
  </r>
  <r>
    <d v="2020-11-26T00:00:00"/>
    <s v="VZ-2020-001265"/>
    <x v="0"/>
    <s v="Ondráčková"/>
    <x v="51"/>
    <n v="2"/>
    <s v="AMBROBENE INJ."/>
    <m/>
    <s v="33674000-5"/>
    <m/>
    <n v="292383"/>
    <x v="0"/>
    <d v="2020-12-07T00:00:00"/>
    <d v="2021-01-08T00:00:00"/>
    <d v="2021-01-19T00:00:00"/>
    <s v="PHARMOS, a.s."/>
    <m/>
    <n v="288036"/>
    <n v="316839.59999999998"/>
    <m/>
    <m/>
    <m/>
    <d v="2021-01-19T00:00:00"/>
    <s v="SMLN-2021-617-000012"/>
    <x v="45"/>
    <d v="2021-02-25T00:00:00"/>
  </r>
  <r>
    <d v="2020-11-26T00:00:00"/>
    <s v="VZ-2020-001265"/>
    <x v="0"/>
    <s v="Ondráčková"/>
    <x v="51"/>
    <n v="3"/>
    <s v="DORNASA ALFA "/>
    <m/>
    <s v="33674000-5"/>
    <m/>
    <n v="7136766"/>
    <x v="0"/>
    <d v="2020-12-07T00:00:00"/>
    <d v="2021-01-08T00:00:00"/>
    <d v="2021-01-19T00:00:00"/>
    <s v="PHARMOS, a.s."/>
    <m/>
    <n v="7031781.1799999997"/>
    <n v="7734959.2999999998"/>
    <m/>
    <m/>
    <m/>
    <d v="2021-01-19T00:00:00"/>
    <s v="SMLN-2021-617-000013"/>
    <x v="45"/>
    <d v="2021-02-25T00:00:00"/>
  </r>
  <r>
    <d v="2020-11-26T00:00:00"/>
    <s v="VZ-2020-001265"/>
    <x v="0"/>
    <s v="Ondráčková"/>
    <x v="51"/>
    <n v="4"/>
    <s v="ERDOSTEIN "/>
    <m/>
    <s v="33674000-5"/>
    <m/>
    <n v="2915317"/>
    <x v="0"/>
    <d v="2020-12-07T00:00:00"/>
    <d v="2021-01-08T00:00:00"/>
    <d v="2021-01-19T00:00:00"/>
    <s v="PHARMOS, a.s."/>
    <m/>
    <n v="2866447.35"/>
    <n v="3153092.09"/>
    <m/>
    <m/>
    <m/>
    <d v="2021-01-19T00:00:00"/>
    <s v="SMLN-2021-617-000014"/>
    <x v="45"/>
    <d v="2021-02-25T00:00:00"/>
  </r>
  <r>
    <d v="2020-11-26T00:00:00"/>
    <s v="VZ-2020-001266"/>
    <x v="0"/>
    <s v="Ondráčková"/>
    <x v="52"/>
    <n v="1"/>
    <s v="FENOTEROL A IPRATROPIUM-BROMID "/>
    <m/>
    <s v="33670000-7"/>
    <m/>
    <n v="1519736"/>
    <x v="0"/>
    <d v="2020-12-08T00:00:00"/>
    <d v="2021-01-26T00:00:00"/>
    <m/>
    <s v="zrušeno - bez nabídky"/>
    <m/>
    <m/>
    <m/>
    <m/>
    <m/>
    <m/>
    <m/>
    <m/>
    <x v="6"/>
    <d v="2021-03-26T00:00:00"/>
  </r>
  <r>
    <d v="2020-11-26T00:00:00"/>
    <s v="VZ-2020-001266"/>
    <x v="0"/>
    <s v="Ondráčková"/>
    <x v="52"/>
    <n v="2"/>
    <s v="INDAKATEROL A GLYCOPYRRONIUM-BROMID "/>
    <m/>
    <s v="33670000-7"/>
    <m/>
    <n v="961257"/>
    <x v="0"/>
    <d v="2020-12-08T00:00:00"/>
    <d v="2021-01-26T00:00:00"/>
    <d v="2021-02-26T00:00:00"/>
    <s v="Alliance Healthcare s.r.o."/>
    <m/>
    <n v="961256.25"/>
    <n v="1057381.8799999999"/>
    <m/>
    <m/>
    <m/>
    <d v="2021-02-26T00:00:00"/>
    <s v="SMLN-2021-617-000091"/>
    <x v="20"/>
    <d v="2021-03-26T00:00:00"/>
  </r>
  <r>
    <d v="2020-11-26T00:00:00"/>
    <s v="VZ-2020-001266"/>
    <x v="0"/>
    <s v="Ondráčková"/>
    <x v="52"/>
    <n v="3"/>
    <s v="BRIMICA GENUAIR"/>
    <m/>
    <s v="33670000-7"/>
    <m/>
    <n v="758692"/>
    <x v="0"/>
    <d v="2020-12-08T00:00:00"/>
    <d v="2021-01-26T00:00:00"/>
    <d v="2021-02-26T00:00:00"/>
    <s v="PHARMOS, a.s."/>
    <m/>
    <n v="563833.38"/>
    <n v="620216.72"/>
    <m/>
    <m/>
    <m/>
    <d v="2021-02-26T00:00:00"/>
    <s v="SMLN-2021-617-000092"/>
    <x v="24"/>
    <d v="2021-03-26T00:00:00"/>
  </r>
  <r>
    <d v="2020-11-26T00:00:00"/>
    <s v="VZ-2020-001266"/>
    <x v="0"/>
    <s v="Ondráčková"/>
    <x v="52"/>
    <n v="4"/>
    <s v="DIHYDRÁT FORMOTEROL-FUMARÁTU  A GLYKOPYRRONIUM-BROMID"/>
    <m/>
    <s v="33670000-7"/>
    <m/>
    <n v="325365"/>
    <x v="0"/>
    <d v="2020-12-08T00:00:00"/>
    <d v="2021-01-26T00:00:00"/>
    <d v="2021-02-26T00:00:00"/>
    <s v="PHOENIX lék.velkoobchod, s.r.o."/>
    <m/>
    <n v="325365"/>
    <n v="357901.5"/>
    <m/>
    <m/>
    <m/>
    <d v="2021-02-26T00:00:00"/>
    <s v="SMLN-2021-617-000093"/>
    <x v="20"/>
    <d v="2021-03-26T00:00:00"/>
  </r>
  <r>
    <d v="2020-11-26T00:00:00"/>
    <s v="VZ-2020-001266"/>
    <x v="0"/>
    <s v="Ondráčková"/>
    <x v="52"/>
    <n v="5"/>
    <s v="OLODATEROL A TIOTROPIUM-BROMID "/>
    <m/>
    <s v="33670000-7"/>
    <m/>
    <n v="3438683"/>
    <x v="0"/>
    <d v="2020-12-08T00:00:00"/>
    <d v="2021-01-26T00:00:00"/>
    <d v="2021-02-26T00:00:00"/>
    <s v="Boehringer Ingelheim, spol. s r.o."/>
    <m/>
    <n v="3505626.27"/>
    <n v="3856188.9"/>
    <m/>
    <m/>
    <m/>
    <d v="2021-02-26T00:00:00"/>
    <s v="SMLN-2021-617-000094"/>
    <x v="46"/>
    <d v="2021-04-30T00:00:00"/>
  </r>
  <r>
    <d v="2020-11-27T00:00:00"/>
    <s v="VZ-2020-001269"/>
    <x v="3"/>
    <s v="Langer"/>
    <x v="53"/>
    <m/>
    <m/>
    <m/>
    <s v="45112000-5 "/>
    <m/>
    <n v="3500000"/>
    <x v="2"/>
    <d v="2020-12-02T00:00:00"/>
    <d v="2020-12-15T00:00:00"/>
    <d v="2020-12-17T00:00:00"/>
    <s v="DEV COMPANY, spol. s r.o."/>
    <m/>
    <n v="2697075.57"/>
    <n v="3263461.44"/>
    <m/>
    <m/>
    <m/>
    <d v="2020-12-17T00:00:00"/>
    <s v="SMLN-2020-618-000122"/>
    <x v="47"/>
    <d v="2021-02-02T00:00:00"/>
  </r>
  <r>
    <d v="2020-11-27T00:00:00"/>
    <s v="VZ-2020-001275"/>
    <x v="0"/>
    <s v="Ondráčková"/>
    <x v="54"/>
    <n v="1"/>
    <s v="Mikafungin"/>
    <m/>
    <s v="33651200-0"/>
    <m/>
    <n v="5019815"/>
    <x v="0"/>
    <d v="2020-12-07T00:00:00"/>
    <d v="2021-01-08T00:00:00"/>
    <d v="2021-02-05T00:00:00"/>
    <s v="PHARMOS, a.s."/>
    <m/>
    <n v="2876532.75"/>
    <n v="3164186.03"/>
    <m/>
    <m/>
    <m/>
    <d v="2021-02-05T00:00:00"/>
    <s v="SMLN-2021-617-000041"/>
    <x v="48"/>
    <d v="2021-03-01T00:00:00"/>
  </r>
  <r>
    <d v="2020-11-27T00:00:00"/>
    <s v="VZ-2020-001275"/>
    <x v="0"/>
    <s v="Ondráčková"/>
    <x v="54"/>
    <n v="2"/>
    <s v="Anidulafungin"/>
    <m/>
    <s v="33651200-0"/>
    <m/>
    <n v="3706073"/>
    <x v="0"/>
    <d v="2020-12-07T00:00:00"/>
    <d v="2021-01-08T00:00:00"/>
    <d v="2021-02-05T00:00:00"/>
    <s v="PHARMOS, a.s."/>
    <m/>
    <n v="3529227.68"/>
    <n v="3882150.43"/>
    <m/>
    <m/>
    <m/>
    <d v="2021-02-05T00:00:00"/>
    <s v="SMLN-2021-617-000042"/>
    <x v="48"/>
    <d v="2021-03-01T00:00:00"/>
  </r>
  <r>
    <s v="opakovaná VZ"/>
    <s v="VZ-2020-001283"/>
    <x v="1"/>
    <s v="Merta"/>
    <x v="55"/>
    <m/>
    <m/>
    <m/>
    <s v="33182210-4"/>
    <m/>
    <n v="3103825"/>
    <x v="0"/>
    <d v="2020-12-15T00:00:00"/>
    <d v="2021-01-18T00:00:00"/>
    <d v="2021-01-22T00:00:00"/>
    <s v="Medtronic Czechia s.r.o."/>
    <m/>
    <n v="3103825"/>
    <n v="3569398.7499999995"/>
    <m/>
    <m/>
    <m/>
    <d v="2021-01-22T00:00:00"/>
    <s v="SMLN-2021-617-000020_x000a_SMLN-2021-614-000001_x000a_SMLN-2021-616-000004"/>
    <x v="0"/>
    <d v="2021-03-12T00:00:00"/>
  </r>
  <r>
    <s v="opakovaná VZ"/>
    <s v="VZ-2020-001285"/>
    <x v="1"/>
    <s v="Merta"/>
    <x v="56"/>
    <m/>
    <m/>
    <m/>
    <s v="33182100-0"/>
    <m/>
    <n v="25040000"/>
    <x v="0"/>
    <d v="2020-12-16T00:00:00"/>
    <d v="2021-01-18T00:00:00"/>
    <d v="2021-01-22T00:00:00"/>
    <s v="Medtronic Czechia s.r.o."/>
    <m/>
    <n v="25040000"/>
    <n v="28795999.999999996"/>
    <m/>
    <m/>
    <m/>
    <d v="2021-01-25T00:00:00"/>
    <s v="SMLN-2021-617-000021_x000a_SMLN-2021-614-000002_x000a_SMLN-2021-616-000006"/>
    <x v="0"/>
    <d v="2021-03-12T00:00:00"/>
  </r>
  <r>
    <s v="opakovaná VZ"/>
    <s v="VZ-2020-001299"/>
    <x v="1"/>
    <s v="Merta"/>
    <x v="57"/>
    <n v="1"/>
    <s v="Zavaděč - sety pro radiální přístup 5F a 6F (sheathy)"/>
    <m/>
    <s v="33141240-4"/>
    <m/>
    <n v="2762500"/>
    <x v="0"/>
    <d v="2020-12-10T00:00:00"/>
    <d v="2021-01-11T00:00:00"/>
    <d v="2021-02-19T00:00:00"/>
    <s v="Innova Medical s.r.o."/>
    <m/>
    <n v="2762500"/>
    <n v="3342625"/>
    <m/>
    <m/>
    <m/>
    <d v="2021-02-19T00:00:00"/>
    <s v="SMLN-2021-617-000066_x000a_SMLN-2021-614-000004"/>
    <x v="27"/>
    <d v="2021-03-15T00:00:00"/>
  </r>
  <r>
    <s v="opakovaná VZ"/>
    <s v="VZ-2020-001299"/>
    <x v="1"/>
    <s v="Merta"/>
    <x v="57"/>
    <n v="2"/>
    <s v="Diagnostické katetry angiografické koronární - Katetry 5F a 6F "/>
    <m/>
    <s v="33141200-2"/>
    <m/>
    <n v="264000"/>
    <x v="0"/>
    <d v="2020-12-10T00:00:00"/>
    <d v="2021-01-11T00:00:00"/>
    <d v="2021-02-19T00:00:00"/>
    <s v="Innova Medical s.r.o."/>
    <m/>
    <n v="248000"/>
    <n v="300080"/>
    <m/>
    <m/>
    <m/>
    <d v="2021-02-19T00:00:00"/>
    <s v="SMLN-2021-617-000067_x000a_SMLN-2021-614-000005"/>
    <x v="27"/>
    <d v="2021-03-15T00:00:00"/>
  </r>
  <r>
    <s v="opakovaná VZ"/>
    <s v="VZ-2020-001299"/>
    <x v="1"/>
    <s v="Merta"/>
    <x v="57"/>
    <n v="3"/>
    <s v="Diagnostické katetry angiografické koronární - Diagnostické radiální katetry  5F dedikované pro oboustrannou katetrizaci "/>
    <m/>
    <s v="33141200-2"/>
    <m/>
    <n v="4290000"/>
    <x v="0"/>
    <d v="2020-12-10T00:00:00"/>
    <d v="2021-01-11T00:00:00"/>
    <d v="2021-02-19T00:00:00"/>
    <s v="Innova Medical s.r.o."/>
    <m/>
    <n v="4290000"/>
    <n v="5190900"/>
    <m/>
    <m/>
    <m/>
    <d v="2021-02-19T00:00:00"/>
    <s v="SMLN-2021-617-000068_x000a_SMLN-2021-614-000006"/>
    <x v="27"/>
    <d v="2021-03-15T00:00:00"/>
  </r>
  <r>
    <s v="opakovaná VZ"/>
    <s v="VZ-2020-001299"/>
    <x v="1"/>
    <s v="Merta"/>
    <x v="57"/>
    <n v="4"/>
    <s v="Koronární (PTCA) vodiče - vodiče pro komplexní vinuté léze "/>
    <m/>
    <s v="33141240-4"/>
    <m/>
    <n v="1326500"/>
    <x v="0"/>
    <d v="2020-12-10T00:00:00"/>
    <d v="2021-01-11T00:00:00"/>
    <d v="2021-02-19T00:00:00"/>
    <s v="Innova Medical s.r.o."/>
    <m/>
    <n v="1326500"/>
    <n v="1605065"/>
    <m/>
    <m/>
    <m/>
    <d v="2021-02-19T00:00:00"/>
    <s v="SMLN-2021-617-000069_x000a_SMLN-2021-614-000007"/>
    <x v="27"/>
    <d v="2021-03-15T00:00:00"/>
  </r>
  <r>
    <s v="opakovaná VZ"/>
    <s v="VZ-2020-001299"/>
    <x v="1"/>
    <s v="Merta"/>
    <x v="57"/>
    <n v="5"/>
    <s v="Vodící katetry -  5F "/>
    <m/>
    <s v="33141200-2"/>
    <m/>
    <n v="875000"/>
    <x v="0"/>
    <d v="2020-12-10T00:00:00"/>
    <d v="2021-01-11T00:00:00"/>
    <m/>
    <s v="zrušeno "/>
    <m/>
    <m/>
    <m/>
    <m/>
    <m/>
    <m/>
    <m/>
    <m/>
    <x v="6"/>
    <d v="2021-03-15T00:00:00"/>
  </r>
  <r>
    <s v="opakovaná VZ"/>
    <s v="VZ-2020-001299"/>
    <x v="1"/>
    <s v="Merta"/>
    <x v="57"/>
    <n v="6"/>
    <s v="Aspirační katetry "/>
    <m/>
    <s v="33141200-2"/>
    <m/>
    <n v="1008000"/>
    <x v="0"/>
    <d v="2020-12-10T00:00:00"/>
    <d v="2021-01-11T00:00:00"/>
    <d v="2021-02-19T00:00:00"/>
    <s v="Innova Medical s.r.o."/>
    <m/>
    <n v="976000"/>
    <n v="1180960"/>
    <m/>
    <m/>
    <m/>
    <d v="2021-02-19T00:00:00"/>
    <s v="SMLN-2021-617-000070_x000a_SMLN-2021-614-000008"/>
    <x v="27"/>
    <d v="2021-03-15T00:00:00"/>
  </r>
  <r>
    <d v="2020-12-09T00:00:00"/>
    <s v="VZ-2020-001312"/>
    <x v="0"/>
    <s v="Ondráčková"/>
    <x v="58"/>
    <m/>
    <m/>
    <m/>
    <s v="33694000-1"/>
    <m/>
    <n v="15250000"/>
    <x v="0"/>
    <d v="2020-12-16T00:00:00"/>
    <d v="2021-01-18T00:00:00"/>
    <d v="2021-02-05T00:00:00"/>
    <s v="BioVendor - Laboratorní medicína a.s."/>
    <m/>
    <n v="15243792"/>
    <n v="18444988.32"/>
    <m/>
    <m/>
    <m/>
    <d v="2021-02-05T00:00:00"/>
    <s v="SMLN-2021-617-000040_x000a_SMLN-2021-616-000011"/>
    <x v="49"/>
    <d v="2021-02-23T00:00:00"/>
  </r>
  <r>
    <d v="2020-12-01T00:00:00"/>
    <s v="VZ-2020-001320"/>
    <x v="3"/>
    <s v="Valíček"/>
    <x v="59"/>
    <m/>
    <m/>
    <m/>
    <s v="71000000-8"/>
    <s v="1.3.27."/>
    <n v="15000000"/>
    <x v="0"/>
    <d v="2020-12-18T00:00:00"/>
    <d v="2021-01-20T00:00:00"/>
    <d v="2021-01-22T00:00:00"/>
    <s v="LT PROJEKT a.s."/>
    <m/>
    <n v="6800000"/>
    <n v="8228000"/>
    <m/>
    <m/>
    <m/>
    <d v="2021-01-22T00:00:00"/>
    <s v="SMLN-2021-618-000004"/>
    <x v="42"/>
    <d v="2021-03-02T00:00:00"/>
  </r>
  <r>
    <d v="2020-12-15T00:00:00"/>
    <s v="VZ-2020-001327"/>
    <x v="0"/>
    <s v="Ondráčková"/>
    <x v="60"/>
    <n v="1"/>
    <s v="GRAZAX"/>
    <m/>
    <s v="33675000-2"/>
    <m/>
    <n v="1879678"/>
    <x v="0"/>
    <d v="2020-12-18T00:00:00"/>
    <d v="2021-01-20T00:00:00"/>
    <d v="2021-02-05T00:00:00"/>
    <s v="zrušeno - ViaPharma neposkytla součinost k uzavření smlouvy"/>
    <m/>
    <n v="1870873.77"/>
    <n v="2057961.15"/>
    <m/>
    <m/>
    <m/>
    <d v="2021-02-05T00:00:00"/>
    <s v="SMLN-2021-617-000046"/>
    <x v="6"/>
    <d v="2021-03-03T00:00:00"/>
  </r>
  <r>
    <d v="2020-12-15T00:00:00"/>
    <s v="VZ-2020-001327"/>
    <x v="0"/>
    <s v="Ondráčková"/>
    <x v="60"/>
    <n v="2"/>
    <s v="ORALAIR"/>
    <m/>
    <s v="33675000-2"/>
    <m/>
    <n v="3048116"/>
    <x v="0"/>
    <d v="2020-12-18T00:00:00"/>
    <d v="2021-01-20T00:00:00"/>
    <d v="2021-02-05T00:00:00"/>
    <s v="Alliance Healthcare s.r.o."/>
    <m/>
    <n v="2996842.62"/>
    <n v="3296526.88"/>
    <m/>
    <m/>
    <m/>
    <d v="2021-02-05T00:00:00"/>
    <s v="SMLN-2021-617-000047"/>
    <x v="0"/>
    <d v="2021-03-23T00:00:00"/>
  </r>
  <r>
    <d v="2020-12-15T00:00:00"/>
    <s v="VZ-2020-001327"/>
    <x v="0"/>
    <s v="Ondráčková"/>
    <x v="60"/>
    <n v="3"/>
    <s v="POLLINEX RYE"/>
    <m/>
    <s v="33675000-2"/>
    <m/>
    <n v="596452"/>
    <x v="0"/>
    <d v="2020-12-18T00:00:00"/>
    <d v="2021-01-20T00:00:00"/>
    <d v="2021-02-05T00:00:00"/>
    <s v="zrušeno - ViaPharma neposkytla součinost k uzavření smlouvy"/>
    <m/>
    <n v="579465.54"/>
    <n v="637412.09"/>
    <m/>
    <m/>
    <m/>
    <d v="2021-02-05T00:00:00"/>
    <s v="SMLN-2021-617-000048"/>
    <x v="6"/>
    <d v="2021-03-03T00:00:00"/>
  </r>
  <r>
    <d v="2020-12-15T00:00:00"/>
    <s v="VZ-2020-001327"/>
    <x v="0"/>
    <s v="Ondráčková"/>
    <x v="60"/>
    <n v="4"/>
    <s v="ACARIZAX"/>
    <m/>
    <s v="33675000-2"/>
    <m/>
    <n v="2702846"/>
    <x v="0"/>
    <d v="2020-12-18T00:00:00"/>
    <d v="2021-01-20T00:00:00"/>
    <m/>
    <s v="zrušeno - bez nabídky"/>
    <m/>
    <m/>
    <m/>
    <m/>
    <m/>
    <m/>
    <m/>
    <m/>
    <x v="6"/>
    <d v="2021-03-03T00:00:00"/>
  </r>
  <r>
    <d v="2020-12-15T00:00:00"/>
    <s v="VZ-2020-001327"/>
    <x v="0"/>
    <s v="Ondráčková"/>
    <x v="60"/>
    <n v="5"/>
    <s v="POLLINEX TREE"/>
    <m/>
    <s v="33675000-2"/>
    <m/>
    <n v="705451"/>
    <x v="0"/>
    <d v="2020-12-18T00:00:00"/>
    <d v="2021-01-20T00:00:00"/>
    <d v="2021-02-05T00:00:00"/>
    <s v="ViaPharma s.r.o."/>
    <m/>
    <n v="702680.25"/>
    <n v="772948.28"/>
    <m/>
    <m/>
    <m/>
    <d v="2021-02-05T00:00:00"/>
    <s v="SMLN-2021-617-000049"/>
    <x v="24"/>
    <d v="2021-03-23T00:00:00"/>
  </r>
  <r>
    <d v="2020-12-15T00:00:00"/>
    <s v="VZ-2020-001327"/>
    <x v="0"/>
    <s v="Ondráčková"/>
    <x v="60"/>
    <n v="6"/>
    <s v="ALUTARD SQ HMYZÍ ALERGENY"/>
    <m/>
    <s v="33675000-2"/>
    <m/>
    <n v="691921"/>
    <x v="0"/>
    <d v="2020-12-18T00:00:00"/>
    <d v="2021-01-20T00:00:00"/>
    <m/>
    <s v="zrušeno - bez nabídky"/>
    <m/>
    <m/>
    <m/>
    <m/>
    <m/>
    <m/>
    <m/>
    <m/>
    <x v="6"/>
    <d v="2021-03-03T00:00:00"/>
  </r>
  <r>
    <d v="2020-12-15T00:00:00"/>
    <s v="VZ-2020-001327"/>
    <x v="0"/>
    <s v="Ondráčková"/>
    <x v="60"/>
    <n v="7"/>
    <s v="STALORAL 300"/>
    <m/>
    <s v="33675000-2"/>
    <m/>
    <n v="755060"/>
    <x v="0"/>
    <d v="2020-12-18T00:00:00"/>
    <d v="2021-01-20T00:00:00"/>
    <m/>
    <s v="zrušeno - bez nabídky"/>
    <m/>
    <m/>
    <m/>
    <m/>
    <m/>
    <m/>
    <m/>
    <m/>
    <x v="6"/>
    <d v="2021-03-03T00:00:00"/>
  </r>
  <r>
    <d v="2020-12-15T00:00:00"/>
    <s v="VZ-2020-001328"/>
    <x v="0"/>
    <s v="Ondráčková"/>
    <x v="61"/>
    <n v="1"/>
    <s v="ACIKLOVIR I.V."/>
    <m/>
    <s v="33651400-2"/>
    <m/>
    <n v="1228500"/>
    <x v="0"/>
    <d v="2020-12-18T00:00:00"/>
    <d v="2021-02-09T00:00:00"/>
    <d v="2021-03-02T00:00:00"/>
    <s v="PHARMOS, a.s."/>
    <m/>
    <n v="1189433.7"/>
    <n v="1308377.07"/>
    <m/>
    <m/>
    <m/>
    <d v="2021-03-02T00:00:00"/>
    <s v="SMLN-2021-617-000095"/>
    <x v="12"/>
    <d v="2021-04-12T00:00:00"/>
  </r>
  <r>
    <d v="2020-12-15T00:00:00"/>
    <s v="VZ-2020-001328"/>
    <x v="0"/>
    <s v="Ondráčková"/>
    <x v="61"/>
    <n v="2"/>
    <s v="ACIKLOVIR TBL."/>
    <m/>
    <s v="33651400-2"/>
    <m/>
    <n v="2403469"/>
    <x v="0"/>
    <d v="2020-12-18T00:00:00"/>
    <d v="2021-02-09T00:00:00"/>
    <d v="2021-03-02T00:00:00"/>
    <s v="PHARMOS, a.s."/>
    <m/>
    <n v="2378469.9900000002"/>
    <n v="2616316.9900000002"/>
    <m/>
    <m/>
    <m/>
    <d v="2021-03-02T00:00:00"/>
    <s v="SMLN-2021-617-000096"/>
    <x v="12"/>
    <d v="2021-04-12T00:00:00"/>
  </r>
  <r>
    <d v="2020-12-15T00:00:00"/>
    <s v="VZ-2020-001328"/>
    <x v="0"/>
    <s v="Ondráčková"/>
    <x v="61"/>
    <n v="3"/>
    <s v="GANCIKLOVIR"/>
    <m/>
    <s v="33651400-2"/>
    <m/>
    <n v="700714"/>
    <x v="0"/>
    <d v="2020-12-18T00:00:00"/>
    <d v="2021-02-09T00:00:00"/>
    <d v="2021-03-02T00:00:00"/>
    <s v="PHARMOS, a.s."/>
    <m/>
    <n v="693635.4"/>
    <n v="762998.94"/>
    <m/>
    <m/>
    <m/>
    <d v="2021-03-02T00:00:00"/>
    <s v="SMLN-2021-617-000097"/>
    <x v="12"/>
    <d v="2021-04-12T00:00:00"/>
  </r>
  <r>
    <d v="2020-12-15T00:00:00"/>
    <s v="VZ-2020-001328"/>
    <x v="0"/>
    <s v="Ondráčková"/>
    <x v="61"/>
    <n v="4"/>
    <s v="CIDOFOVIR"/>
    <m/>
    <s v="33651400-2"/>
    <m/>
    <n v="3508066"/>
    <x v="0"/>
    <d v="2020-12-18T00:00:00"/>
    <d v="2021-02-09T00:00:00"/>
    <d v="2021-03-02T00:00:00"/>
    <s v="zrušeno - neposkytnutí součinosti k uzavření smlouvy"/>
    <m/>
    <n v="3315567.06"/>
    <n v="3647123.77"/>
    <m/>
    <m/>
    <m/>
    <d v="2021-03-02T00:00:00"/>
    <s v="SMLN-2021-617-000098"/>
    <x v="6"/>
    <d v="2021-04-12T00:00:00"/>
  </r>
  <r>
    <d v="2020-12-15T00:00:00"/>
    <s v="VZ-2020-001329"/>
    <x v="10"/>
    <s v="Smrčková"/>
    <x v="62"/>
    <m/>
    <m/>
    <m/>
    <s v="39120000-9"/>
    <m/>
    <n v="2200000"/>
    <x v="1"/>
    <d v="2020-12-17T00:00:00"/>
    <d v="2021-01-21T00:00:00"/>
    <d v="2021-02-02T00:00:00"/>
    <s v="ELNAR spol. s r.o."/>
    <m/>
    <n v="1196571"/>
    <n v="1447850.91"/>
    <m/>
    <m/>
    <m/>
    <d v="2021-02-03T00:00:00"/>
    <s v="SMLN-2021-618-000006"/>
    <x v="42"/>
    <d v="2021-03-02T00:00:00"/>
  </r>
  <r>
    <d v="2020-12-17T00:00:00"/>
    <s v="VZ-2020-001334"/>
    <x v="1"/>
    <s v="Dočkalová"/>
    <x v="63"/>
    <m/>
    <m/>
    <m/>
    <s v="18424300-0"/>
    <m/>
    <n v="30000000"/>
    <x v="0"/>
    <d v="2020-12-18T00:00:00"/>
    <d v="2021-01-19T00:00:00"/>
    <d v="2021-02-12T00:00:00"/>
    <s v="CareMed s.r.o."/>
    <m/>
    <n v="30000000"/>
    <n v="36300000"/>
    <m/>
    <m/>
    <m/>
    <d v="2021-02-12T00:00:00"/>
    <s v="SMLN-2021-617-000055"/>
    <x v="38"/>
    <d v="2021-03-18T00:00:00"/>
  </r>
  <r>
    <s v="opakovaná VZ"/>
    <s v="VZ-2020-001342"/>
    <x v="2"/>
    <s v="Rosulek"/>
    <x v="64"/>
    <m/>
    <m/>
    <m/>
    <s v="33122000-1"/>
    <s v="2.3.507"/>
    <n v="320000"/>
    <x v="2"/>
    <d v="2020-12-31T00:00:00"/>
    <d v="2021-01-12T00:00:00"/>
    <d v="2021-01-15T00:00:00"/>
    <s v="CMI, s.r.o."/>
    <m/>
    <n v="278550"/>
    <n v="337045.5"/>
    <m/>
    <m/>
    <m/>
    <d v="2021-01-15T00:00:00"/>
    <s v="SMLN-2021-617-000011_x000a_SMLN-2021-612-000003"/>
    <x v="3"/>
    <d v="2021-02-08T00:00:00"/>
  </r>
  <r>
    <d v="2020-12-30T00:00:00"/>
    <s v="VZ-2021-000002"/>
    <x v="0"/>
    <s v="Ondráčková"/>
    <x v="65"/>
    <n v="1"/>
    <s v="Vodorozpustné nízkoosmolární nefrotropní rtg-kontrastní látky I."/>
    <m/>
    <s v="33696800-3"/>
    <m/>
    <n v="48576"/>
    <x v="0"/>
    <d v="2021-01-06T00:00:00"/>
    <d v="2021-03-09T00:00:00"/>
    <d v="2021-05-06T00:00:00"/>
    <s v="BAYER s.r.o."/>
    <m/>
    <n v="47954.400000000001"/>
    <n v="52749.84"/>
    <m/>
    <m/>
    <m/>
    <d v="2021-05-06T00:00:00"/>
    <s v="SMLN-2021-617-000212"/>
    <x v="43"/>
    <d v="2021-06-02T00:00:00"/>
  </r>
  <r>
    <d v="2020-12-30T00:00:00"/>
    <s v="VZ-2021-000002"/>
    <x v="0"/>
    <s v="Ondráčková"/>
    <x v="65"/>
    <n v="2"/>
    <s v="Vodorozpustné isoosmolární nefrotropní rtg-kontrastní látky"/>
    <m/>
    <s v="33696800-3"/>
    <m/>
    <n v="6626722"/>
    <x v="0"/>
    <d v="2021-01-06T00:00:00"/>
    <d v="2021-03-09T00:00:00"/>
    <d v="2021-05-06T00:00:00"/>
    <s v="M.G.P. spol. s r.o."/>
    <m/>
    <n v="5958167.25"/>
    <n v="6553983.9800000004"/>
    <m/>
    <m/>
    <m/>
    <d v="2021-05-06T00:00:00"/>
    <s v="SMLN-2021-617-000213"/>
    <x v="43"/>
    <d v="2021-06-02T00:00:00"/>
  </r>
  <r>
    <d v="2020-12-30T00:00:00"/>
    <s v="VZ-2021-000002"/>
    <x v="0"/>
    <s v="Ondráčková"/>
    <x v="65"/>
    <n v="3"/>
    <s v="Vodorozpustné nízkoosmolární nefrotropní rtg-kontrastní látky II."/>
    <m/>
    <s v="33696800-3"/>
    <m/>
    <n v="20300627"/>
    <x v="0"/>
    <d v="2021-01-06T00:00:00"/>
    <d v="2021-03-09T00:00:00"/>
    <d v="2021-05-06T00:00:00"/>
    <s v="BAYER s.r.o."/>
    <m/>
    <n v="22753051.940000001"/>
    <n v="25028357.129999999"/>
    <m/>
    <m/>
    <m/>
    <d v="2021-05-06T00:00:00"/>
    <s v="SMLN-2021-617-000214"/>
    <x v="43"/>
    <d v="2021-06-02T00:00:00"/>
  </r>
  <r>
    <d v="2021-01-04T00:00:00"/>
    <s v="VZ-2021-000004"/>
    <x v="0"/>
    <s v="Ondráčková"/>
    <x v="66"/>
    <n v="1"/>
    <s v="Protilátky pro IHC metody I."/>
    <m/>
    <s v="33694000-1"/>
    <m/>
    <n v="197507"/>
    <x v="0"/>
    <d v="2021-02-23T00:00:00"/>
    <d v="2021-04-21T00:00:00"/>
    <m/>
    <s v="zrušeno - upravit specifikaci"/>
    <m/>
    <m/>
    <m/>
    <m/>
    <m/>
    <m/>
    <m/>
    <m/>
    <x v="6"/>
    <d v="2021-07-01T00:00:00"/>
  </r>
  <r>
    <d v="2021-01-04T00:00:00"/>
    <s v="VZ-2021-000004"/>
    <x v="0"/>
    <s v="Ondráčková"/>
    <x v="66"/>
    <n v="2"/>
    <s v="Chemikálie a diagnostika pro základní a IHC provoz"/>
    <m/>
    <s v="33694000-1"/>
    <m/>
    <n v="24729"/>
    <x v="0"/>
    <d v="2021-02-23T00:00:00"/>
    <d v="2021-04-21T00:00:00"/>
    <d v="2021-06-17T00:00:00"/>
    <s v="bamed, s.r.o."/>
    <m/>
    <n v="24460"/>
    <n v="29596.6"/>
    <m/>
    <m/>
    <m/>
    <d v="2021-06-17T00:00:00"/>
    <s v="SMLN-2021-617-000305"/>
    <x v="50"/>
    <d v="2021-07-22T00:00:00"/>
  </r>
  <r>
    <d v="2021-01-04T00:00:00"/>
    <s v="VZ-2021-000004"/>
    <x v="0"/>
    <s v="Ondráčková"/>
    <x v="66"/>
    <n v="3"/>
    <s v="Protilátky pro IHC metody II."/>
    <m/>
    <s v="33694000-1"/>
    <m/>
    <n v="268724"/>
    <x v="0"/>
    <d v="2021-02-23T00:00:00"/>
    <d v="2021-04-21T00:00:00"/>
    <d v="2021-06-17T00:00:00"/>
    <s v="zrušeno - nesplňuje certifikaci CE IVD"/>
    <m/>
    <n v="268722.51"/>
    <n v="325154.24"/>
    <m/>
    <m/>
    <m/>
    <d v="2021-06-17T00:00:00"/>
    <s v="SMLN-2021-617-000306"/>
    <x v="6"/>
    <d v="2021-08-06T00:00:00"/>
  </r>
  <r>
    <d v="2021-01-04T00:00:00"/>
    <s v="VZ-2021-000004"/>
    <x v="0"/>
    <s v="Ondráčková"/>
    <x v="66"/>
    <n v="4"/>
    <s v="Chemikálie pro základní provoz"/>
    <m/>
    <s v="33694000-1"/>
    <m/>
    <n v="785490"/>
    <x v="0"/>
    <d v="2021-02-23T00:00:00"/>
    <d v="2021-04-21T00:00:00"/>
    <m/>
    <s v="zrušeno - bez hodnotitelné nabídky"/>
    <m/>
    <m/>
    <m/>
    <m/>
    <m/>
    <m/>
    <m/>
    <m/>
    <x v="6"/>
    <d v="2021-07-01T00:00:00"/>
  </r>
  <r>
    <d v="2021-01-04T00:00:00"/>
    <s v="VZ-2021-000004"/>
    <x v="0"/>
    <s v="Ondráčková"/>
    <x v="66"/>
    <n v="5"/>
    <s v="Protilátky a chemikálie pro IHC metody a ISH metody"/>
    <m/>
    <s v="33694000-1"/>
    <m/>
    <n v="1090405"/>
    <x v="0"/>
    <d v="2021-02-23T00:00:00"/>
    <d v="2021-04-21T00:00:00"/>
    <d v="2021-06-17T00:00:00"/>
    <s v="HPST, s.r.o."/>
    <m/>
    <n v="1105416"/>
    <n v="1337553.3600000001"/>
    <m/>
    <m/>
    <m/>
    <d v="2021-06-17T00:00:00"/>
    <s v="SMLN-2021-617-000308"/>
    <x v="51"/>
    <d v="2021-07-22T00:00:00"/>
  </r>
  <r>
    <d v="2021-01-04T00:00:00"/>
    <s v="VZ-2021-000004"/>
    <x v="0"/>
    <s v="Ondráčková"/>
    <x v="66"/>
    <n v="6"/>
    <s v="Protilátky a chemikálie pro IHC metody I."/>
    <m/>
    <s v="33694000-1"/>
    <m/>
    <n v="493445"/>
    <x v="0"/>
    <d v="2021-02-23T00:00:00"/>
    <d v="2021-04-21T00:00:00"/>
    <m/>
    <s v="zrušeno - bez hodnotitelné nabídky"/>
    <m/>
    <m/>
    <m/>
    <m/>
    <m/>
    <m/>
    <m/>
    <m/>
    <x v="6"/>
    <d v="2021-07-01T00:00:00"/>
  </r>
  <r>
    <d v="2021-01-04T00:00:00"/>
    <s v="VZ-2021-000004"/>
    <x v="0"/>
    <s v="Ondráčková"/>
    <x v="66"/>
    <n v="7"/>
    <s v="Protilátky a chemikálie pro IHC metody II."/>
    <m/>
    <s v="33694000-1"/>
    <m/>
    <n v="944148"/>
    <x v="0"/>
    <d v="2021-02-23T00:00:00"/>
    <d v="2021-04-21T00:00:00"/>
    <d v="2021-06-17T00:00:00"/>
    <s v="ROCHE s.r.o."/>
    <m/>
    <n v="944146.05"/>
    <n v="1142416.72"/>
    <m/>
    <m/>
    <m/>
    <d v="2021-06-17T00:00:00"/>
    <s v="SMLN-2021-617-000309"/>
    <x v="52"/>
    <d v="2021-07-22T00:00:00"/>
  </r>
  <r>
    <d v="2021-01-05T00:00:00"/>
    <s v="VZ-2021-000013"/>
    <x v="1"/>
    <s v="Dočkalová"/>
    <x v="67"/>
    <m/>
    <m/>
    <m/>
    <s v="33169000-2"/>
    <m/>
    <n v="3111334"/>
    <x v="1"/>
    <d v="2021-01-18T00:00:00"/>
    <d v="2021-02-11T00:00:00"/>
    <d v="2021-02-25T00:00:00"/>
    <s v="Medtronic Czechia s.r.o."/>
    <m/>
    <n v="3107400"/>
    <n v="3759954"/>
    <m/>
    <m/>
    <m/>
    <d v="2021-02-26T00:00:00"/>
    <s v="SMLN-2021-617-000090_x000a_SMLN-2021-614-000010_x000a_SMLN-2021-616-000015"/>
    <x v="46"/>
    <d v="2021-05-04T00:00:00"/>
  </r>
  <r>
    <d v="2021-01-07T00:00:00"/>
    <s v="VZ-2021-000015"/>
    <x v="2"/>
    <s v="Rosulek"/>
    <x v="68"/>
    <n v="1"/>
    <s v="Laboratorní váha pro Ústav mikrobiologie"/>
    <m/>
    <s v="38311000-9"/>
    <s v="2.3.422."/>
    <n v="124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</r>
  <r>
    <d v="2021-01-07T00:00:00"/>
    <s v="VZ-2021-000015"/>
    <x v="2"/>
    <s v="Rosulek"/>
    <x v="68"/>
    <n v="2"/>
    <s v="Laboratorní váha pro Oddělení klinické biochemie"/>
    <m/>
    <s v="38311000-9"/>
    <s v="2.3.399."/>
    <n v="132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</r>
  <r>
    <d v="2021-01-07T00:00:00"/>
    <s v="VZ-2021-000015"/>
    <x v="2"/>
    <s v="Rosulek"/>
    <x v="68"/>
    <n v="3"/>
    <s v="Laboratorní váha ke gravimetrické přípravě cytostatik pro Lékárnu"/>
    <m/>
    <s v="38311000-9"/>
    <s v="2.3.392."/>
    <n v="157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</r>
  <r>
    <d v="2021-01-07T00:00:00"/>
    <s v="VZ-2021-000015"/>
    <x v="2"/>
    <s v="Rosulek"/>
    <x v="68"/>
    <n v="4"/>
    <s v="Laboratorní váha pro přípravu paenterální výživy pro Lékárnu"/>
    <m/>
    <s v="38311000-9"/>
    <s v="2.3.469."/>
    <n v="82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</r>
  <r>
    <d v="2021-01-07T00:00:00"/>
    <s v="VZ-2021-000015"/>
    <x v="2"/>
    <s v="Rosulek"/>
    <x v="68"/>
    <n v="5"/>
    <s v="Laboratorní váha pro přípravu sterilních léčiv pro Lékárnu"/>
    <m/>
    <s v="38311000-9"/>
    <s v="2.3.470."/>
    <n v="74000"/>
    <x v="2"/>
    <d v="2021-01-12T00:00:00"/>
    <d v="2021-01-22T00:00:00"/>
    <m/>
    <s v="zrušeno - bez nabídky"/>
    <s v="nová VZ-2021-000448"/>
    <m/>
    <m/>
    <m/>
    <m/>
    <m/>
    <m/>
    <m/>
    <x v="6"/>
    <d v="2021-01-25T00:00:00"/>
  </r>
  <r>
    <d v="2020-12-30T00:00:00"/>
    <s v="VZ-2021-000016"/>
    <x v="5"/>
    <s v="Oravec"/>
    <x v="69"/>
    <m/>
    <m/>
    <m/>
    <s v="32429000-6"/>
    <s v="3.2.56."/>
    <n v="825000"/>
    <x v="2"/>
    <d v="2021-01-13T00:00:00"/>
    <d v="2021-01-20T00:00:00"/>
    <d v="2021-01-25T00:00:00"/>
    <s v="ERISERV, spol. s r.o."/>
    <m/>
    <n v="835707"/>
    <n v="1011205.47"/>
    <m/>
    <m/>
    <m/>
    <d v="2021-01-25T00:00:00"/>
    <s v="SMLN-2021-617-000022"/>
    <x v="49"/>
    <d v="2021-02-19T00:00:00"/>
  </r>
  <r>
    <d v="2021-01-07T00:00:00"/>
    <s v="VZ-2021-000019"/>
    <x v="2"/>
    <s v="Rosulek"/>
    <x v="70"/>
    <m/>
    <m/>
    <m/>
    <s v="33168000-5"/>
    <s v="2.2.321."/>
    <n v="10657000"/>
    <x v="0"/>
    <d v="2021-01-18T00:00:00"/>
    <d v="2021-02-19T00:00:00"/>
    <d v="2021-04-12T00:00:00"/>
    <s v="Hospimed, spol. s r.o."/>
    <m/>
    <n v="10424594"/>
    <n v="12613758.74"/>
    <m/>
    <m/>
    <m/>
    <d v="2021-04-12T00:00:00"/>
    <s v="SMLN-2021-617-000147_x000a_SMLN-2021-612-000025_x000a_SMLN-2021-617-000149"/>
    <x v="32"/>
    <d v="2021-05-18T00:00:00"/>
  </r>
  <r>
    <d v="2021-01-13T00:00:00"/>
    <s v="VZ-2021-000026"/>
    <x v="8"/>
    <s v="Kadlec"/>
    <x v="71"/>
    <m/>
    <m/>
    <m/>
    <s v="45332200-5"/>
    <m/>
    <n v="950000"/>
    <x v="2"/>
    <d v="2021-01-15T00:00:00"/>
    <d v="2021-01-28T00:00:00"/>
    <d v="2021-02-04T00:00:00"/>
    <s v="Zdeněk Hybner"/>
    <m/>
    <n v="1012448.73"/>
    <n v="1225062.96"/>
    <m/>
    <m/>
    <m/>
    <d v="2021-02-04T00:00:00"/>
    <s v="SMLN-2021-618-000007"/>
    <x v="42"/>
    <d v="2021-02-25T00:00:00"/>
  </r>
  <r>
    <d v="2021-01-07T00:00:00"/>
    <s v="VZ-2021-000030"/>
    <x v="1"/>
    <s v="Dočkalová"/>
    <x v="72"/>
    <m/>
    <m/>
    <m/>
    <s v="33141640-8 "/>
    <m/>
    <n v="3702123.85"/>
    <x v="0"/>
    <d v="2021-02-08T00:00:00"/>
    <d v="2021-03-12T00:00:00"/>
    <d v="2021-04-06T00:00:00"/>
    <s v="B. Braun Medical s.r.o."/>
    <m/>
    <n v="3640015"/>
    <n v="4192637.05"/>
    <m/>
    <m/>
    <m/>
    <d v="2021-04-06T00:00:00"/>
    <s v="SMLN-2021-617-000136_x000a_SMLN-2021-614-000017_x000a_SMLN-2021-616-000026"/>
    <x v="35"/>
    <d v="2021-05-17T00:00:00"/>
  </r>
  <r>
    <d v="2021-01-14T00:00:00"/>
    <s v="VZ-2021-000032"/>
    <x v="1"/>
    <s v="Dočkalová"/>
    <x v="73"/>
    <m/>
    <m/>
    <m/>
    <s v="33141200-2"/>
    <m/>
    <n v="1553400"/>
    <x v="2"/>
    <d v="2021-01-20T00:00:00"/>
    <d v="2021-01-28T00:00:00"/>
    <d v="2021-02-01T00:00:00"/>
    <s v="ADYTON s.r.o."/>
    <m/>
    <n v="1553400"/>
    <n v="1786410"/>
    <m/>
    <m/>
    <m/>
    <d v="2021-02-01T00:00:00"/>
    <s v="SMLN-2021-617-000028"/>
    <x v="48"/>
    <d v="2021-02-26T00:00:00"/>
  </r>
  <r>
    <d v="2021-01-14T00:00:00"/>
    <s v="VZ-2021-000038"/>
    <x v="1"/>
    <s v="Dočkalová"/>
    <x v="74"/>
    <m/>
    <m/>
    <m/>
    <s v="33140000-3"/>
    <m/>
    <n v="1950000"/>
    <x v="1"/>
    <d v="2021-01-20T00:00:00"/>
    <d v="2021-02-05T00:00:00"/>
    <d v="2021-04-30T00:00:00"/>
    <s v="GLOBALTEK GROUP, s.r.o."/>
    <m/>
    <n v="3150000"/>
    <n v="3813000"/>
    <m/>
    <m/>
    <m/>
    <d v="2021-04-30T00:00:00"/>
    <s v="SMLN-2021-617-000189"/>
    <x v="53"/>
    <d v="2021-06-14T00:00:00"/>
  </r>
  <r>
    <d v="2021-01-20T00:00:00"/>
    <s v="VZ-2021-000045"/>
    <x v="3"/>
    <s v="Spáčil"/>
    <x v="75"/>
    <m/>
    <m/>
    <m/>
    <s v="71200000-0"/>
    <s v="1.2.72."/>
    <n v="800000"/>
    <x v="2"/>
    <d v="2021-01-25T00:00:00"/>
    <d v="2021-02-09T00:00:00"/>
    <d v="2021-02-22T00:00:00"/>
    <s v="EP Rožnov, a.s.."/>
    <m/>
    <n v="767000"/>
    <n v="928070"/>
    <m/>
    <m/>
    <m/>
    <d v="2021-02-22T00:00:00"/>
    <s v="SMLN-2021-618-000010"/>
    <x v="8"/>
    <d v="2021-03-15T00:00:00"/>
  </r>
  <r>
    <s v="opakovaná VZ"/>
    <s v="VZ-2021-000051"/>
    <x v="1"/>
    <s v="Valtová"/>
    <x v="48"/>
    <m/>
    <m/>
    <m/>
    <s v="33140000-3"/>
    <m/>
    <n v="5785125"/>
    <x v="0"/>
    <d v="2021-01-25T00:00:00"/>
    <d v="2021-02-26T00:00:00"/>
    <d v="2021-03-10T00:00:00"/>
    <s v="Stimcare s.r.o."/>
    <m/>
    <n v="5785125"/>
    <n v="7000000"/>
    <m/>
    <m/>
    <m/>
    <d v="2021-03-10T00:00:00"/>
    <s v="SMLN-2021-617-000104_x000a_SMLN-2021-614-000011"/>
    <x v="54"/>
    <d v="2021-04-21T00:00:00"/>
  </r>
  <r>
    <d v="2021-01-21T00:00:00"/>
    <s v="VZ-2021-000054"/>
    <x v="1"/>
    <s v="Merta"/>
    <x v="76"/>
    <n v="1"/>
    <s v="TEP kyčelního kloubu - primární"/>
    <m/>
    <s v="33141750-2"/>
    <m/>
    <n v="36046000"/>
    <x v="0"/>
    <d v="2021-02-10T00:00:00"/>
    <d v="2021-03-19T00:00:00"/>
    <d v="2021-04-12T00:00:00"/>
    <s v="Zimmer Czech, s.r.o."/>
    <m/>
    <n v="33949850.399999999"/>
    <n v="39042327.959999993"/>
    <m/>
    <m/>
    <m/>
    <d v="2021-04-13T00:00:00"/>
    <s v="SMLN-2021-617-000151_x000a_SMLN-2021-614-000020_x000a_SMLN-2021-616-000029"/>
    <x v="55"/>
    <d v="2021-06-24T00:00:00"/>
  </r>
  <r>
    <d v="2021-01-21T00:00:00"/>
    <s v="VZ-2021-000054"/>
    <x v="1"/>
    <s v="Merta"/>
    <x v="76"/>
    <n v="2"/>
    <s v="TEP kyčelního kloubu - revizní"/>
    <m/>
    <s v="33141750-2"/>
    <m/>
    <n v="7960000"/>
    <x v="0"/>
    <d v="2021-02-10T00:00:00"/>
    <d v="2021-03-19T00:00:00"/>
    <d v="2021-04-12T00:00:00"/>
    <s v="Zimmer Czech, s.r.o."/>
    <m/>
    <n v="7617500"/>
    <n v="8760125"/>
    <m/>
    <m/>
    <m/>
    <d v="2021-04-13T00:00:00"/>
    <s v="SMLN-2021-617-000153_x000a_SMLN-2021-614-000021_x000a_SMLN-2021-616-000030"/>
    <x v="55"/>
    <d v="2021-06-24T00:00:00"/>
  </r>
  <r>
    <d v="2021-01-21T00:00:00"/>
    <s v="VZ-2021-000054"/>
    <x v="1"/>
    <s v="Merta"/>
    <x v="76"/>
    <n v="3"/>
    <s v="TEP kolenního kloubu "/>
    <m/>
    <s v="33141750-2"/>
    <m/>
    <n v="19255000"/>
    <x v="0"/>
    <d v="2021-02-10T00:00:00"/>
    <d v="2021-03-19T00:00:00"/>
    <d v="2021-04-12T00:00:00"/>
    <s v="Zimmer Czech, s.r.o."/>
    <m/>
    <n v="18885000"/>
    <n v="21717750"/>
    <m/>
    <m/>
    <m/>
    <d v="2021-04-13T00:00:00"/>
    <s v="SMLN-2021-617-000154_x000a_SMLN-2021-614-000022_x000a_SMLN-2021-616-000031"/>
    <x v="55"/>
    <d v="2021-06-24T00:00:00"/>
  </r>
  <r>
    <d v="2021-01-21T00:00:00"/>
    <s v="VZ-2021-000054"/>
    <x v="1"/>
    <s v="Merta"/>
    <x v="76"/>
    <n v="4"/>
    <s v="TEP kolenního kloubu - speciál"/>
    <m/>
    <s v="33141750-2"/>
    <m/>
    <n v="900000"/>
    <x v="0"/>
    <d v="2021-02-10T00:00:00"/>
    <d v="2021-03-19T00:00:00"/>
    <d v="2021-04-12T00:00:00"/>
    <s v="B. Braun Medical s.r.o."/>
    <m/>
    <n v="750000"/>
    <n v="862499.99999999988"/>
    <m/>
    <m/>
    <m/>
    <d v="2021-04-13T00:00:00"/>
    <s v="SMLN-2021-617-000155_x000a_SMLN-2021-614-000023_x000a_SMLN-2021-616-000032"/>
    <x v="56"/>
    <d v="2021-06-08T00:00:00"/>
  </r>
  <r>
    <d v="2021-01-22T00:00:00"/>
    <s v="VZ-2021-000055"/>
    <x v="1"/>
    <s v="Dočkalová"/>
    <x v="77"/>
    <m/>
    <m/>
    <m/>
    <s v="33140000-3"/>
    <m/>
    <n v="764400"/>
    <x v="2"/>
    <d v="2021-01-26T00:00:00"/>
    <d v="2021-02-04T00:00:00"/>
    <d v="2021-02-22T00:00:00"/>
    <s v="Edwards Lifesciences Czech Republic s.r.o."/>
    <m/>
    <n v="764400"/>
    <n v="924924"/>
    <m/>
    <m/>
    <m/>
    <d v="2021-02-22T00:00:00"/>
    <s v="SMLN-2021-617-000080"/>
    <x v="25"/>
    <d v="2021-03-12T00:00:00"/>
  </r>
  <r>
    <d v="2021-01-25T00:00:00"/>
    <s v="VZ-2021-000057"/>
    <x v="11"/>
    <s v="Rosulek"/>
    <x v="78"/>
    <m/>
    <m/>
    <m/>
    <s v="33123000-8"/>
    <s v="2.3.492."/>
    <n v="26070000"/>
    <x v="0"/>
    <d v="2021-01-27T00:00:00"/>
    <d v="2021-03-04T00:00:00"/>
    <d v="2021-03-15T00:00:00"/>
    <s v="BIOMEDICA ČS, s.r.o."/>
    <m/>
    <n v="26069957.5"/>
    <n v="31544648.579999998"/>
    <m/>
    <m/>
    <m/>
    <d v="2021-03-16T00:00:00"/>
    <s v="SMLN-2021-617-000111_x000a_SMLN-2021-612-000011_x000a_SMLN-2021-617-000112"/>
    <x v="57"/>
    <d v="2021-05-03T00:00:00"/>
  </r>
  <r>
    <d v="2021-01-22T00:00:00"/>
    <s v="VZ-2021-000058"/>
    <x v="1"/>
    <s v="Dočkalová"/>
    <x v="79"/>
    <n v="1"/>
    <s v="Somasenzory INVOS pro dospělé a novorozence"/>
    <m/>
    <s v="33140000-3"/>
    <m/>
    <n v="331200"/>
    <x v="2"/>
    <d v="2021-01-27T00:00:00"/>
    <d v="2021-02-05T00:00:00"/>
    <d v="2021-02-22T00:00:00"/>
    <s v="Medtronic Czechia s.r.o."/>
    <m/>
    <n v="331200"/>
    <n v="400752"/>
    <m/>
    <m/>
    <m/>
    <d v="2021-02-23T00:00:00"/>
    <s v="SMLN-2021-617-000081"/>
    <x v="38"/>
    <d v="2021-03-19T00:00:00"/>
  </r>
  <r>
    <d v="2021-01-22T00:00:00"/>
    <s v="VZ-2021-000058"/>
    <x v="1"/>
    <s v="Dočkalová"/>
    <x v="79"/>
    <n v="2"/>
    <s v="Senzory Fore-sight ELITE dual velký"/>
    <m/>
    <s v="33140000-3"/>
    <m/>
    <n v="542640"/>
    <x v="2"/>
    <d v="2021-01-27T00:00:00"/>
    <d v="2021-02-05T00:00:00"/>
    <d v="2021-02-22T00:00:00"/>
    <s v="Edwards Lifesciences Czech Republic s.r.o."/>
    <m/>
    <n v="542640"/>
    <n v="656594"/>
    <m/>
    <m/>
    <m/>
    <d v="2021-02-23T00:00:00"/>
    <s v="SMLN-2021-617-000082"/>
    <x v="20"/>
    <d v="2021-03-24T00:00:00"/>
  </r>
  <r>
    <s v="opakovaná VZ"/>
    <s v="VZ-2021-000068"/>
    <x v="1"/>
    <s v="Merta"/>
    <x v="80"/>
    <n v="1"/>
    <s v="Ablační katetry pro 3D mapování a ablaci s aktivním navigačním senzorem"/>
    <m/>
    <s v="33141200-2"/>
    <m/>
    <n v="188928000"/>
    <x v="0"/>
    <d v="2021-02-12T00:00:00"/>
    <d v="2021-04-26T00:00:00"/>
    <d v="2021-06-04T00:00:00"/>
    <s v="EP SERVICES s.r.o."/>
    <m/>
    <n v="188915700"/>
    <n v="228587997"/>
    <m/>
    <m/>
    <m/>
    <d v="2021-06-04T00:00:00"/>
    <s v="SMLN-2021-617-000284_x000a_SMLN-2021-614-000058"/>
    <x v="58"/>
    <d v="2021-07-28T00:00:00"/>
  </r>
  <r>
    <s v="opakovaná VZ"/>
    <s v="VZ-2021-000068"/>
    <x v="1"/>
    <s v="Merta"/>
    <x v="80"/>
    <n v="2"/>
    <s v="Diagnostické katetry s proměnným zakřivením pro mapování s vysokým rozlišením - dekapolární pro mapování plicních žil"/>
    <m/>
    <s v="33141200-2"/>
    <m/>
    <n v="44550000"/>
    <x v="0"/>
    <d v="2021-02-12T00:00:00"/>
    <d v="2021-04-26T00:00:00"/>
    <d v="2021-06-04T00:00:00"/>
    <s v="EP SERVICES s.r.o."/>
    <m/>
    <n v="44550000"/>
    <n v="53905500"/>
    <m/>
    <m/>
    <m/>
    <d v="2021-06-04T00:00:00"/>
    <s v="SMLN-2021-617-000285_x000a_SMLN-2021-614-000059"/>
    <x v="58"/>
    <d v="2021-07-28T00:00:00"/>
  </r>
  <r>
    <s v="opakovaná VZ"/>
    <s v="VZ-2021-000068"/>
    <x v="1"/>
    <s v="Merta"/>
    <x v="80"/>
    <n v="3"/>
    <s v="Diagnostické katetry s proměnným zakřivením pro mapování s vysokým rozlišením – 22-polární pro mapování komplexních arytmií"/>
    <m/>
    <s v="33141200-2"/>
    <m/>
    <n v="29719080"/>
    <x v="0"/>
    <d v="2021-02-12T00:00:00"/>
    <d v="2021-05-24T00:00:00"/>
    <m/>
    <s v="zrušeno - bez nabídky"/>
    <s v="nová VZ-2021-000536"/>
    <m/>
    <m/>
    <m/>
    <m/>
    <m/>
    <m/>
    <m/>
    <x v="6"/>
    <d v="2021-05-31T00:00:00"/>
  </r>
  <r>
    <d v="2021-01-26T00:00:00"/>
    <s v="VZ-2021-000069"/>
    <x v="3"/>
    <s v="Zeman"/>
    <x v="81"/>
    <m/>
    <m/>
    <m/>
    <s v="71200000-0"/>
    <s v="1.2.73."/>
    <n v="850000"/>
    <x v="2"/>
    <d v="2021-02-03T00:00:00"/>
    <d v="2021-02-16T00:00:00"/>
    <d v="2021-02-26T00:00:00"/>
    <s v="EP Rožnov, a.s.."/>
    <m/>
    <n v="1047000"/>
    <n v="1266870"/>
    <m/>
    <m/>
    <m/>
    <d v="2021-02-26T00:00:00"/>
    <s v="SMLN-2021-618-000011"/>
    <x v="8"/>
    <d v="2021-03-15T00:00:00"/>
  </r>
  <r>
    <d v="2021-02-11T00:00:00"/>
    <s v="VZ-2021-000072"/>
    <x v="12"/>
    <s v="Foks"/>
    <x v="82"/>
    <m/>
    <m/>
    <m/>
    <s v="48814000-7"/>
    <m/>
    <n v="1950000"/>
    <x v="2"/>
    <d v="2021-02-24T00:00:00"/>
    <d v="2021-03-05T00:00:00"/>
    <d v="2021-06-07T00:00:00"/>
    <s v="SEFIMA s.r.o."/>
    <m/>
    <n v="1842000"/>
    <n v="2228820"/>
    <m/>
    <m/>
    <m/>
    <d v="2021-06-07T00:00:00"/>
    <s v="SMLN-2021-618-000042_x000a_SMLN-2021-612-000046"/>
    <x v="59"/>
    <d v="2021-06-28T00:00:00"/>
  </r>
  <r>
    <d v="2021-01-26T00:00:00"/>
    <s v="VZ-2021-000077"/>
    <x v="10"/>
    <s v="Smrčková"/>
    <x v="83"/>
    <m/>
    <m/>
    <m/>
    <s v="39120000-9"/>
    <m/>
    <n v="1400000"/>
    <x v="2"/>
    <d v="2021-01-28T00:00:00"/>
    <d v="2021-02-12T00:00:00"/>
    <d v="2021-02-18T00:00:00"/>
    <s v="Roman Lébl"/>
    <m/>
    <n v="921700"/>
    <n v="1115257"/>
    <m/>
    <m/>
    <m/>
    <d v="2021-02-18T00:00:00"/>
    <s v="SMLN-2021-618-000009"/>
    <x v="22"/>
    <d v="2021-03-22T00:00:00"/>
  </r>
  <r>
    <d v="2021-01-22T00:00:00"/>
    <s v="VZ-2021-000088"/>
    <x v="1"/>
    <s v="Dočkalová"/>
    <x v="84"/>
    <m/>
    <m/>
    <m/>
    <s v="33162200-5"/>
    <m/>
    <n v="9596059.4900000002"/>
    <x v="0"/>
    <d v="2021-02-03T00:00:00"/>
    <d v="2021-03-08T00:00:00"/>
    <d v="2021-03-17T00:00:00"/>
    <s v="Johnson  &amp; Johnson s.r.o."/>
    <m/>
    <n v="9595654"/>
    <n v="11610741.34"/>
    <m/>
    <m/>
    <m/>
    <d v="2021-03-17T00:00:00"/>
    <s v="SMLN-2021-617-000115_x000a_SMLN-2021-617-000116_x000a_SMLN-2021-614-000014"/>
    <x v="60"/>
    <d v="2021-05-03T00:00:00"/>
  </r>
  <r>
    <d v="2021-02-01T00:00:00"/>
    <s v="VZ-2021-000092"/>
    <x v="13"/>
    <s v="Cáhlíková"/>
    <x v="85"/>
    <m/>
    <m/>
    <m/>
    <s v="72225000-8"/>
    <m/>
    <n v="200000"/>
    <x v="2"/>
    <d v="2021-02-03T00:00:00"/>
    <d v="2021-02-11T00:00:00"/>
    <d v="2021-02-18T00:00:00"/>
    <s v="Česká společnosti pro akreditaci ve zdravotnictví s.r.o."/>
    <m/>
    <n v="182000"/>
    <n v="220220"/>
    <m/>
    <m/>
    <m/>
    <d v="2021-02-18T00:00:00"/>
    <s v="SMLN-2021-612-000007"/>
    <x v="38"/>
    <d v="2021-03-16T00:00:00"/>
  </r>
  <r>
    <d v="2021-02-02T00:00:00"/>
    <s v="VZ-2021-000096"/>
    <x v="4"/>
    <s v="Srovnal"/>
    <x v="86"/>
    <m/>
    <m/>
    <m/>
    <s v="71314000-2"/>
    <m/>
    <n v="350000"/>
    <x v="2"/>
    <d v="2021-02-25T00:00:00"/>
    <d v="2021-03-10T00:00:00"/>
    <d v="2021-03-23T00:00:00"/>
    <s v="EkoWATT CZ s.r.o."/>
    <m/>
    <n v="134845"/>
    <n v="163162.45000000001"/>
    <m/>
    <m/>
    <m/>
    <d v="2021-03-23T00:00:00"/>
    <s v="SMLN-2021-612-000015"/>
    <x v="61"/>
    <d v="2021-04-23T00:00:00"/>
  </r>
  <r>
    <d v="2021-01-21T00:00:00"/>
    <s v="VZ-2021-000099"/>
    <x v="2"/>
    <s v="Rosulek"/>
    <x v="87"/>
    <m/>
    <m/>
    <m/>
    <s v="38000000-5"/>
    <s v="2.2.274."/>
    <n v="8400000"/>
    <x v="0"/>
    <d v="2021-02-26T00:00:00"/>
    <d v="2021-06-14T00:00:00"/>
    <d v="2021-07-14T00:00:00"/>
    <s v="TRIOS, spol. s  r.o."/>
    <m/>
    <n v="9080036"/>
    <n v="10986843.560000001"/>
    <m/>
    <m/>
    <m/>
    <d v="2021-07-21T00:00:00"/>
    <s v="SMLN-2021-617-000383_x000a_SMLN-2021-612-000071_x000a_SMLN-2021-617-000384"/>
    <x v="62"/>
    <d v="2021-09-02T00:00:00"/>
  </r>
  <r>
    <s v="opakovaná VZ"/>
    <s v="VZ-2021-000100"/>
    <x v="1"/>
    <s v="Merta"/>
    <x v="88"/>
    <n v="1"/>
    <s v="Implantabilní neurostimulační systém dvoukanálový k léčbě bolestivých stavů - MRI kompatibilní - nedobíjitelný"/>
    <m/>
    <s v="33158210-7"/>
    <m/>
    <n v="38800000"/>
    <x v="0"/>
    <d v="2021-02-26T00:00:00"/>
    <d v="2021-04-22T00:00:00"/>
    <d v="2021-05-11T00:00:00"/>
    <s v="MEDIFINE a.s."/>
    <m/>
    <n v="38794688"/>
    <n v="44793519"/>
    <m/>
    <m/>
    <m/>
    <d v="2021-05-12T00:00:00"/>
    <s v="SMLN-2021-617-000221_x000a_SMLN-2021-614-000037_x000a_SMLN-2021-616-000039"/>
    <x v="53"/>
    <d v="2021-06-08T00:00:00"/>
  </r>
  <r>
    <s v="opakovaná VZ"/>
    <s v="VZ-2021-000100"/>
    <x v="1"/>
    <s v="Merta"/>
    <x v="88"/>
    <n v="2"/>
    <s v="Implantabilní neurostimulační systém dvoukanálový k léčbě bolestivých stavů - MRI kompatibilní - dobíjitelný"/>
    <m/>
    <s v="33158210-7"/>
    <m/>
    <n v="7344000"/>
    <x v="0"/>
    <d v="2021-02-26T00:00:00"/>
    <d v="2021-04-22T00:00:00"/>
    <d v="2021-05-11T00:00:00"/>
    <s v="MEDIFINE a.s."/>
    <m/>
    <n v="7340860.9199999999"/>
    <n v="8458339.5600000005"/>
    <m/>
    <m/>
    <m/>
    <d v="2021-05-12T00:00:00"/>
    <s v="SMLN-2021-617-000222_x000a_SMLN-2021-614-000037_x000a_SMLN-2021-616-000039"/>
    <x v="53"/>
    <d v="2021-06-08T00:00:00"/>
  </r>
  <r>
    <s v="opakovaná VZ"/>
    <s v="VZ-2021-000100"/>
    <x v="1"/>
    <s v="Merta"/>
    <x v="88"/>
    <n v="3"/>
    <s v="Implantabilní programovatelné lékové pumpy"/>
    <m/>
    <s v="33158210-7"/>
    <m/>
    <n v="11816000"/>
    <x v="0"/>
    <d v="2021-02-26T00:00:00"/>
    <d v="2021-04-22T00:00:00"/>
    <d v="2021-05-11T00:00:00"/>
    <s v="MEDIFINE a.s."/>
    <m/>
    <n v="11805145.800000001"/>
    <n v="13631965.199999999"/>
    <m/>
    <m/>
    <m/>
    <d v="2021-05-12T00:00:00"/>
    <s v="SMLN-2021-617-000223_x000a_SMLN-2021-614-000037_x000a_SMLN-2021-616-000039"/>
    <x v="53"/>
    <d v="2021-06-08T00:00:00"/>
  </r>
  <r>
    <d v="2021-02-05T00:00:00"/>
    <s v="VZ-2021-000103"/>
    <x v="8"/>
    <s v="Kadlec"/>
    <x v="89"/>
    <m/>
    <m/>
    <m/>
    <s v="45421100-5"/>
    <m/>
    <n v="300000"/>
    <x v="2"/>
    <d v="2021-02-10T00:00:00"/>
    <d v="2021-02-18T00:00:00"/>
    <d v="2021-03-08T00:00:00"/>
    <s v="JMK elektro, s.r.o."/>
    <s v="nová VZ-2021-000287"/>
    <n v="239680.46"/>
    <n v="290013.3566"/>
    <m/>
    <m/>
    <m/>
    <d v="2021-03-08T00:00:00"/>
    <s v="SMLN-2021-618-000012"/>
    <x v="6"/>
    <d v="2021-03-29T00:00:00"/>
  </r>
  <r>
    <d v="2021-02-05T00:00:00"/>
    <s v="VZ-2021-000104"/>
    <x v="11"/>
    <s v="Rosulek"/>
    <x v="90"/>
    <n v="1"/>
    <s v="Prokládací chemodezinfektor pro Plicní kliniku"/>
    <m/>
    <s v="33191000-5"/>
    <s v="2.3.451."/>
    <n v="2400000"/>
    <x v="1"/>
    <d v="2021-02-11T00:00:00"/>
    <d v="2021-03-01T00:00:00"/>
    <d v="2021-04-08T00:00:00"/>
    <s v="Medinet, s.r.o."/>
    <m/>
    <n v="2285050"/>
    <n v="2764910.5"/>
    <m/>
    <m/>
    <m/>
    <d v="2021-04-08T00:00:00"/>
    <s v="SMLN-2021-617-000138_x000a_SMLN-2021-612-000023_x000a_SMLN-2021-617-000139"/>
    <x v="63"/>
    <d v="2021-05-11T00:00:00"/>
  </r>
  <r>
    <d v="2021-02-05T00:00:00"/>
    <s v="VZ-2021-000104"/>
    <x v="11"/>
    <s v="Rosulek"/>
    <x v="90"/>
    <n v="2"/>
    <s v="Chemodezinfektor pro Dětskou kliniku"/>
    <m/>
    <s v="33191000-5"/>
    <s v="2.3.462."/>
    <n v="1094000"/>
    <x v="1"/>
    <d v="2021-02-11T00:00:00"/>
    <d v="2021-03-01T00:00:00"/>
    <d v="2021-04-08T00:00:00"/>
    <s v="Medinet, s.r.o."/>
    <m/>
    <n v="848615"/>
    <n v="1026824.15"/>
    <m/>
    <m/>
    <m/>
    <d v="2021-04-08T00:00:00"/>
    <s v="SMLN-2021-617-000140_x000a_SMLN-2021-612-000023_x000a_SMLN-2021-617-000141"/>
    <x v="63"/>
    <d v="2021-05-11T00:00:00"/>
  </r>
  <r>
    <s v="opakovaná VZ"/>
    <s v="VZ-2021-000105"/>
    <x v="3"/>
    <s v="Valíček"/>
    <x v="91"/>
    <m/>
    <m/>
    <m/>
    <s v="71000000-8"/>
    <s v="6.1."/>
    <n v="62500000"/>
    <x v="0"/>
    <d v="2021-06-08T00:00:00"/>
    <d v="2021-07-26T00:00:00"/>
    <d v="2021-07-30T00:00:00"/>
    <s v="LT PROJEKT a.s."/>
    <m/>
    <n v="53990000"/>
    <n v="65327900"/>
    <m/>
    <m/>
    <m/>
    <d v="2021-07-30T00:00:00"/>
    <s v="SMLN-2021-612-000080"/>
    <x v="64"/>
    <d v="2021-11-23T00:00:00"/>
  </r>
  <r>
    <d v="2021-02-10T00:00:00"/>
    <s v="VZ-2021-000119"/>
    <x v="1"/>
    <s v="Valtová"/>
    <x v="92"/>
    <m/>
    <m/>
    <m/>
    <s v="33140000-3"/>
    <m/>
    <n v="2425000"/>
    <x v="1"/>
    <d v="2021-02-15T00:00:00"/>
    <d v="2021-03-10T00:00:00"/>
    <d v="2021-03-15T00:00:00"/>
    <s v="Medtronic Czechia s.r.o."/>
    <m/>
    <n v="2425000"/>
    <n v="2934250"/>
    <m/>
    <m/>
    <m/>
    <d v="2021-03-16T00:00:00"/>
    <s v="SMLN-2021-617-000110_x000a_SMLN-2021-614-000013"/>
    <x v="33"/>
    <d v="2021-04-19T00:00:00"/>
  </r>
  <r>
    <d v="2021-02-10T00:00:00"/>
    <s v="VZ-2021-000120"/>
    <x v="1"/>
    <s v="Valtová"/>
    <x v="93"/>
    <m/>
    <m/>
    <m/>
    <s v="33140000-3"/>
    <m/>
    <n v="1250000"/>
    <x v="2"/>
    <d v="2021-02-15T00:00:00"/>
    <d v="2021-02-23T00:00:00"/>
    <d v="2021-11-15T00:00:00"/>
    <s v="Medtronic Czechia s.r.o."/>
    <m/>
    <n v="1250000"/>
    <n v="1512500"/>
    <m/>
    <m/>
    <m/>
    <d v="2021-11-15T00:00:00"/>
    <s v="SMLN-2021-617-000656_x000a_SMLN-2021-614-000115"/>
    <x v="65"/>
    <d v="2021-12-09T00:00:00"/>
  </r>
  <r>
    <d v="2021-02-11T00:00:00"/>
    <s v="VZ-2021-000121"/>
    <x v="11"/>
    <s v="Rosulek"/>
    <x v="94"/>
    <n v="1"/>
    <s v="Vrtačka s elektrickým akumulátorovým pohonem - TRAUMATOLOGIE"/>
    <m/>
    <s v="33160000-9"/>
    <s v="2.2.272."/>
    <n v="400000"/>
    <x v="2"/>
    <d v="2021-02-15T00:00:00"/>
    <d v="2021-02-26T00:00:00"/>
    <d v="2021-05-05T00:00:00"/>
    <s v="RADIX CZ s.r.o."/>
    <m/>
    <n v="361998"/>
    <n v="438017.58"/>
    <m/>
    <m/>
    <m/>
    <d v="2021-05-06T00:00:00"/>
    <s v="SMLN-2021-617-000201_x000a_SMLN-2021-612-000030"/>
    <x v="66"/>
    <d v="2021-06-14T00:00:00"/>
  </r>
  <r>
    <d v="2021-02-11T00:00:00"/>
    <s v="VZ-2021-000121"/>
    <x v="11"/>
    <s v="Rosulek"/>
    <x v="94"/>
    <n v="2"/>
    <s v="Vrtací / pilové vzduchem poháněné jednotky - COSS, ORTOPEDIE"/>
    <m/>
    <s v="33160000-9"/>
    <s v="2.3.488., 2.3.500."/>
    <n v="508220"/>
    <x v="2"/>
    <d v="2021-02-15T00:00:00"/>
    <d v="2021-02-26T00:00:00"/>
    <d v="2021-03-19T00:00:00"/>
    <s v="Johnson  &amp; Johnson s.r.o."/>
    <m/>
    <n v="451232"/>
    <n v="545990.72"/>
    <m/>
    <m/>
    <m/>
    <d v="2021-03-19T00:00:00"/>
    <s v="SMLN-2021-617-000121_x000a_SMLN-2021-612-000013"/>
    <x v="57"/>
    <d v="2021-05-07T00:00:00"/>
  </r>
  <r>
    <d v="2021-02-09T00:00:00"/>
    <s v="VZ-2021-000130"/>
    <x v="0"/>
    <s v="Ondráčková"/>
    <x v="95"/>
    <n v="1"/>
    <s v="Imatinib pro indikaci GIST"/>
    <m/>
    <s v="33652000-5"/>
    <m/>
    <n v="28008028"/>
    <x v="0"/>
    <d v="2021-02-23T00:00:00"/>
    <d v="2021-04-13T00:00:00"/>
    <d v="2021-05-21T00:00:00"/>
    <s v="Alliance Healthcare s.r.o."/>
    <m/>
    <n v="28008026.879999999"/>
    <n v="30808829.57"/>
    <m/>
    <m/>
    <m/>
    <d v="2021-05-21T00:00:00"/>
    <s v="SMLN-2021-617-000250"/>
    <x v="19"/>
    <d v="2021-06-16T00:00:00"/>
  </r>
  <r>
    <d v="2021-02-09T00:00:00"/>
    <s v="VZ-2021-000130"/>
    <x v="0"/>
    <s v="Ondráčková"/>
    <x v="95"/>
    <n v="2"/>
    <s v="NILOTINIB"/>
    <m/>
    <s v="33652000-5"/>
    <m/>
    <n v="20218545"/>
    <x v="0"/>
    <d v="2021-02-23T00:00:00"/>
    <d v="2021-04-13T00:00:00"/>
    <d v="2021-05-06T00:00:00"/>
    <s v="Alliance Healthcare s.r.o."/>
    <m/>
    <n v="20218544.399999999"/>
    <n v="22240398.84"/>
    <m/>
    <m/>
    <m/>
    <d v="2021-05-06T00:00:00"/>
    <s v="SMLN-2021-617-000209"/>
    <x v="43"/>
    <d v="2021-06-01T00:00:00"/>
  </r>
  <r>
    <d v="2021-02-09T00:00:00"/>
    <s v="VZ-2021-000130"/>
    <x v="0"/>
    <s v="Ondráčková"/>
    <x v="95"/>
    <n v="3"/>
    <s v="KABOZANTINIB "/>
    <m/>
    <s v="33652000-5"/>
    <m/>
    <n v="7757532"/>
    <x v="0"/>
    <d v="2021-02-23T00:00:00"/>
    <d v="2021-04-13T00:00:00"/>
    <m/>
    <s v="zrušeno - bez nabídky"/>
    <s v="nová VZ-2021-000814"/>
    <m/>
    <m/>
    <m/>
    <m/>
    <m/>
    <m/>
    <m/>
    <x v="6"/>
    <d v="2021-06-01T00:00:00"/>
  </r>
  <r>
    <d v="2021-02-09T00:00:00"/>
    <s v="VZ-2021-000130"/>
    <x v="0"/>
    <s v="Ondráčková"/>
    <x v="95"/>
    <n v="4"/>
    <s v="CERITINIB"/>
    <m/>
    <s v="33652000-5"/>
    <m/>
    <n v="4652062"/>
    <x v="0"/>
    <d v="2021-02-23T00:00:00"/>
    <d v="2021-04-13T00:00:00"/>
    <d v="2021-05-06T00:00:00"/>
    <s v="Alliance Healthcare s.r.o."/>
    <m/>
    <n v="4125831.6"/>
    <n v="4538414.76"/>
    <m/>
    <m/>
    <m/>
    <d v="2021-05-06T00:00:00"/>
    <s v="SMLN-2021-617-000210"/>
    <x v="43"/>
    <d v="2021-06-01T00:00:00"/>
  </r>
  <r>
    <d v="2021-02-09T00:00:00"/>
    <s v="VZ-2021-000130"/>
    <x v="0"/>
    <s v="Ondráčková"/>
    <x v="95"/>
    <n v="5"/>
    <s v="LORLATINIB"/>
    <m/>
    <s v="33652000-5"/>
    <m/>
    <n v="6760421"/>
    <x v="0"/>
    <d v="2021-02-23T00:00:00"/>
    <d v="2021-04-13T00:00:00"/>
    <d v="2021-05-06T00:00:00"/>
    <s v="PHOENIX lék.velkoobchod, s.r.o."/>
    <m/>
    <n v="5709196.9199999999"/>
    <n v="6280116.6100000003"/>
    <m/>
    <m/>
    <m/>
    <d v="2021-05-06T00:00:00"/>
    <s v="SMLN-2021-617-000211"/>
    <x v="67"/>
    <d v="2021-06-16T00:00:00"/>
  </r>
  <r>
    <d v="2021-02-15T00:00:00"/>
    <s v="VZ-2021-000132"/>
    <x v="5"/>
    <s v="Oravec"/>
    <x v="96"/>
    <m/>
    <m/>
    <m/>
    <s v="30231310-3"/>
    <m/>
    <n v="1160000"/>
    <x v="2"/>
    <d v="2021-02-18T00:00:00"/>
    <d v="2021-03-02T00:00:00"/>
    <d v="2021-03-04T00:00:00"/>
    <s v="Charita Opava"/>
    <m/>
    <n v="1312020"/>
    <n v="1587544.2"/>
    <m/>
    <m/>
    <m/>
    <d v="2021-03-04T00:00:00"/>
    <s v="SMLN-2021-617-000101"/>
    <x v="68"/>
    <d v="2021-03-18T00:00:00"/>
  </r>
  <r>
    <d v="2021-02-09T00:00:00"/>
    <s v="VZ-2021-000133"/>
    <x v="0"/>
    <s v="Ondráčková"/>
    <x v="97"/>
    <n v="1"/>
    <s v="INTERFERON ALFA-2B"/>
    <m/>
    <s v="33652000-5"/>
    <m/>
    <n v="2968517"/>
    <x v="0"/>
    <d v="2021-02-23T00:00:00"/>
    <d v="2021-03-29T00:00:00"/>
    <m/>
    <s v="zrušeno - bez nabídky"/>
    <m/>
    <m/>
    <m/>
    <m/>
    <m/>
    <m/>
    <m/>
    <m/>
    <x v="6"/>
    <d v="2021-04-20T00:00:00"/>
  </r>
  <r>
    <d v="2021-02-09T00:00:00"/>
    <s v="VZ-2021-000133"/>
    <x v="0"/>
    <s v="Ondráčková"/>
    <x v="97"/>
    <n v="2"/>
    <s v="INTERFERON BETA-1A I."/>
    <m/>
    <s v="33652000-5"/>
    <m/>
    <n v="73696560"/>
    <x v="0"/>
    <d v="2021-02-23T00:00:00"/>
    <d v="2021-03-29T00:00:00"/>
    <m/>
    <s v="zrušeno - bez nabídky"/>
    <s v="nová VZ-2021-000345"/>
    <m/>
    <m/>
    <m/>
    <m/>
    <m/>
    <m/>
    <m/>
    <x v="6"/>
    <d v="2021-04-20T00:00:00"/>
  </r>
  <r>
    <d v="2021-02-09T00:00:00"/>
    <s v="VZ-2021-000133"/>
    <x v="0"/>
    <s v="Ondráčková"/>
    <x v="97"/>
    <n v="3"/>
    <s v="INTERFERON BETA-1A II."/>
    <m/>
    <s v="33652000-5"/>
    <m/>
    <n v="58973556"/>
    <x v="0"/>
    <d v="2021-02-23T00:00:00"/>
    <d v="2021-03-29T00:00:00"/>
    <d v="2021-04-23T00:00:00"/>
    <s v="Avenier a.s."/>
    <m/>
    <n v="58952002.5"/>
    <n v="64847202.75"/>
    <m/>
    <m/>
    <m/>
    <d v="2021-04-23T00:00:00"/>
    <s v="SMLN-2021-617-000175"/>
    <x v="69"/>
    <d v="2021-05-27T00:00:00"/>
  </r>
  <r>
    <d v="2021-02-09T00:00:00"/>
    <s v="VZ-2021-000133"/>
    <x v="0"/>
    <s v="Ondráčková"/>
    <x v="97"/>
    <n v="4"/>
    <s v="ROPEGINTERFERON ALFA-2B"/>
    <m/>
    <s v="33652000-5"/>
    <m/>
    <n v="35710072"/>
    <x v="0"/>
    <d v="2021-02-23T00:00:00"/>
    <d v="2021-03-29T00:00:00"/>
    <d v="2021-04-23T00:00:00"/>
    <s v="Alliance Healthcare s.r.o."/>
    <m/>
    <n v="35710071.600000001"/>
    <n v="39281078.759999998"/>
    <m/>
    <m/>
    <m/>
    <d v="2021-04-23T00:00:00"/>
    <s v="SMLN-2021-617-000176"/>
    <x v="31"/>
    <d v="2021-05-27T00:00:00"/>
  </r>
  <r>
    <d v="2021-02-12T00:00:00"/>
    <s v="VZ-2021-000134"/>
    <x v="2"/>
    <s v="Rosulek"/>
    <x v="98"/>
    <m/>
    <m/>
    <m/>
    <s v="33127000-6"/>
    <s v="2.3.452."/>
    <n v="3150000"/>
    <x v="1"/>
    <d v="2021-02-25T00:00:00"/>
    <d v="2021-03-16T00:00:00"/>
    <m/>
    <s v="zrušeno - bez nabídky"/>
    <s v="nová VZ-2021-000238"/>
    <m/>
    <m/>
    <m/>
    <m/>
    <m/>
    <m/>
    <m/>
    <x v="6"/>
    <d v="2021-03-18T00:00:00"/>
  </r>
  <r>
    <s v="opakovaná VZ"/>
    <s v="VZ-2021-000140"/>
    <x v="3"/>
    <s v="Spáčil"/>
    <x v="99"/>
    <m/>
    <m/>
    <m/>
    <s v="45215100-8"/>
    <s v="1.3.25."/>
    <n v="106000000"/>
    <x v="0"/>
    <d v="2021-03-04T00:00:00"/>
    <d v="2021-04-30T00:00:00"/>
    <d v="2021-05-07T00:00:00"/>
    <s v="OHL ŽS, a.s."/>
    <m/>
    <n v="94489096.840000004"/>
    <n v="114331807.18000001"/>
    <m/>
    <m/>
    <m/>
    <d v="2021-05-07T00:00:00"/>
    <s v="SMLN-2021-618-000027"/>
    <x v="70"/>
    <d v="2021-06-17T00:00:00"/>
  </r>
  <r>
    <s v="opakovaná VZ"/>
    <s v="VZ-2021-000144"/>
    <x v="4"/>
    <s v="Srovnal"/>
    <x v="100"/>
    <m/>
    <m/>
    <m/>
    <s v="50411100-0"/>
    <m/>
    <n v="3000000"/>
    <x v="1"/>
    <d v="2021-02-22T00:00:00"/>
    <d v="2021-03-11T00:00:00"/>
    <d v="2021-03-25T00:00:00"/>
    <s v="ELMAR group s.r.o."/>
    <m/>
    <n v="2463200"/>
    <n v="2980472"/>
    <m/>
    <m/>
    <m/>
    <d v="2021-03-25T00:00:00"/>
    <s v="SMLN-2021-618-000015"/>
    <x v="71"/>
    <d v="2021-05-21T00:00:00"/>
  </r>
  <r>
    <d v="2021-02-17T00:00:00"/>
    <s v="VZ-2021-000147"/>
    <x v="1"/>
    <s v="Dočkalová"/>
    <x v="101"/>
    <m/>
    <m/>
    <m/>
    <s v="33141200-2"/>
    <m/>
    <n v="2590000"/>
    <x v="1"/>
    <d v="2021-02-22T00:00:00"/>
    <d v="2021-03-11T00:00:00"/>
    <d v="2021-03-17T00:00:00"/>
    <s v="IMEDEX s.r.o."/>
    <m/>
    <n v="2590000"/>
    <n v="3133900"/>
    <m/>
    <m/>
    <m/>
    <d v="2021-03-17T00:00:00"/>
    <s v="SMLN-2021-617-000117"/>
    <x v="61"/>
    <d v="2021-04-26T00:00:00"/>
  </r>
  <r>
    <d v="2021-02-18T00:00:00"/>
    <s v="VZ-2021-000148"/>
    <x v="2"/>
    <s v="Rosulek"/>
    <x v="102"/>
    <m/>
    <m/>
    <m/>
    <s v="33155000-1"/>
    <s v="2.2.308, 2.2.309"/>
    <n v="348000"/>
    <x v="2"/>
    <d v="2021-02-22T00:00:00"/>
    <d v="2021-03-05T00:00:00"/>
    <m/>
    <s v="zrušeno - překročení ceny"/>
    <s v="nová VZ-2021-000329"/>
    <m/>
    <m/>
    <m/>
    <m/>
    <m/>
    <m/>
    <m/>
    <x v="6"/>
    <d v="2021-03-08T00:00:00"/>
  </r>
  <r>
    <d v="2021-02-19T00:00:00"/>
    <s v="VZ-2021-000153"/>
    <x v="4"/>
    <s v="Srovnal"/>
    <x v="103"/>
    <m/>
    <m/>
    <m/>
    <s v="42123000-7"/>
    <m/>
    <n v="450000"/>
    <x v="2"/>
    <d v="2021-02-24T00:00:00"/>
    <d v="2021-03-10T00:00:00"/>
    <d v="2021-03-12T00:00:00"/>
    <s v="Dräger Medical s.r.o."/>
    <m/>
    <n v="458566"/>
    <n v="554864.86"/>
    <m/>
    <m/>
    <m/>
    <d v="2021-03-12T00:00:00"/>
    <s v="SMLN-2021-617-000106"/>
    <x v="39"/>
    <d v="2021-03-30T00:00:00"/>
  </r>
  <r>
    <s v="opakovaná VZ"/>
    <s v="VZ-2021-000161"/>
    <x v="2"/>
    <s v="Rosulek"/>
    <x v="104"/>
    <m/>
    <m/>
    <m/>
    <s v="33155000-1"/>
    <s v="2.3.464."/>
    <n v="727000"/>
    <x v="2"/>
    <d v="2021-03-02T00:00:00"/>
    <d v="2021-03-12T00:00:00"/>
    <d v="2021-06-24T00:00:00"/>
    <s v="Kurka.Med s.r.o."/>
    <m/>
    <n v="837419"/>
    <n v="940749.59"/>
    <m/>
    <m/>
    <m/>
    <d v="2021-06-24T00:00:00"/>
    <s v="SMLN-2021-617-000333_x000a_SMLN-2021-612-000062_x000a_SMLN-2021-617-000335"/>
    <x v="72"/>
    <d v="2021-07-27T00:00:00"/>
  </r>
  <r>
    <d v="2021-02-23T00:00:00"/>
    <s v="VZ-2021-000162"/>
    <x v="5"/>
    <s v="Oravec"/>
    <x v="105"/>
    <m/>
    <m/>
    <m/>
    <s v="30232110-8, 30232120-1"/>
    <m/>
    <n v="851900"/>
    <x v="2"/>
    <d v="2021-02-26T00:00:00"/>
    <d v="2021-03-10T00:00:00"/>
    <m/>
    <s v="zrušeno - upravit zadání"/>
    <s v="nová VZ-2021-000392"/>
    <m/>
    <m/>
    <m/>
    <m/>
    <m/>
    <m/>
    <m/>
    <x v="6"/>
    <d v="2021-03-08T00:00:00"/>
  </r>
  <r>
    <d v="2021-02-22T00:00:00"/>
    <s v="VZ-2021-000165"/>
    <x v="1"/>
    <s v="Valtová"/>
    <x v="106"/>
    <m/>
    <m/>
    <m/>
    <s v="33140000-3"/>
    <m/>
    <n v="3260870"/>
    <x v="0"/>
    <d v="2021-02-26T00:00:00"/>
    <d v="2021-04-01T00:00:00"/>
    <d v="2021-04-13T00:00:00"/>
    <s v="INLAB Medical, s.r.o."/>
    <m/>
    <n v="3260400"/>
    <n v="3749460"/>
    <m/>
    <m/>
    <m/>
    <d v="2021-04-13T00:00:00"/>
    <s v="SMLN-2021-617-000150_x000a_SMLN-2021-614-000019"/>
    <x v="73"/>
    <d v="2021-05-10T00:00:00"/>
  </r>
  <r>
    <d v="2021-02-23T00:00:00"/>
    <s v="VZ-2021-000167"/>
    <x v="1"/>
    <s v="Dočkalová"/>
    <x v="107"/>
    <m/>
    <m/>
    <m/>
    <s v="33140000-3"/>
    <m/>
    <n v="1772680"/>
    <x v="2"/>
    <d v="2021-02-26T00:00:00"/>
    <d v="2021-03-10T00:00:00"/>
    <d v="2021-03-15T00:00:00"/>
    <s v="ADYTON s.r.o."/>
    <m/>
    <n v="1772680"/>
    <n v="2038582"/>
    <m/>
    <m/>
    <m/>
    <d v="2021-03-15T00:00:00"/>
    <s v="SMLN-2021-617-000109_x000a_SMLN-2021-614-000012"/>
    <x v="16"/>
    <d v="2021-04-06T00:00:00"/>
  </r>
  <r>
    <d v="2021-02-22T00:00:00"/>
    <s v="VZ-2021-000174"/>
    <x v="1"/>
    <s v="Valtová"/>
    <x v="108"/>
    <m/>
    <m/>
    <m/>
    <s v="33140000-3"/>
    <m/>
    <n v="7302500"/>
    <x v="0"/>
    <d v="2021-02-26T00:00:00"/>
    <d v="2021-04-01T00:00:00"/>
    <d v="2021-05-04T00:00:00"/>
    <s v="INLAB Medical, s.r.o."/>
    <m/>
    <n v="7302500"/>
    <n v="8440475"/>
    <m/>
    <m/>
    <m/>
    <d v="2021-05-04T00:00:00"/>
    <s v="SMLN-2021-617-000197_x000a_SMLN-2021-614-000033"/>
    <x v="74"/>
    <d v="2021-06-02T00:00:00"/>
  </r>
  <r>
    <d v="2021-02-17T00:00:00"/>
    <s v="VZ-2021-000175"/>
    <x v="2"/>
    <s v="Rosulek"/>
    <x v="109"/>
    <m/>
    <m/>
    <m/>
    <s v="38432200-4_x000a_38433100-0"/>
    <s v="2.3.484."/>
    <n v="9350000"/>
    <x v="0"/>
    <d v="2021-03-05T00:00:00"/>
    <d v="2021-07-08T00:00:00"/>
    <d v="2021-07-19T00:00:00"/>
    <s v="Bruker s.r.o."/>
    <m/>
    <n v="9099000"/>
    <n v="11009790"/>
    <m/>
    <m/>
    <m/>
    <d v="2021-07-19T00:00:00"/>
    <s v="SMLN-2021-617-000379_x000a_SMLN-2021-612-000070"/>
    <x v="75"/>
    <d v="2021-09-09T00:00:00"/>
  </r>
  <r>
    <d v="2021-02-23T00:00:00"/>
    <s v="VZ-2021-000182"/>
    <x v="1"/>
    <s v="Merta"/>
    <x v="110"/>
    <n v="1"/>
    <s v="Ablační katetry pro provádění konvečních ablací"/>
    <m/>
    <s v="33141200-2"/>
    <m/>
    <n v="9012000"/>
    <x v="0"/>
    <d v="2021-03-22T00:00:00"/>
    <d v="2021-04-23T00:00:00"/>
    <d v="2021-05-25T00:00:00"/>
    <s v="Cardiomedical s.r.o."/>
    <m/>
    <n v="9012000"/>
    <n v="10904520"/>
    <m/>
    <m/>
    <m/>
    <d v="2021-05-26T00:00:00"/>
    <s v="SMLN-2021-617-000259_x000a_SMLN-2021-614-000049"/>
    <x v="76"/>
    <d v="2021-07-02T00:00:00"/>
  </r>
  <r>
    <d v="2021-02-23T00:00:00"/>
    <s v="VZ-2021-000182"/>
    <x v="1"/>
    <s v="Merta"/>
    <x v="110"/>
    <n v="2"/>
    <s v="Základní diagnostické katetry fixní "/>
    <m/>
    <s v="33141200-2"/>
    <m/>
    <n v="4170000"/>
    <x v="0"/>
    <d v="2021-03-22T00:00:00"/>
    <d v="2021-04-23T00:00:00"/>
    <d v="2021-05-25T00:00:00"/>
    <s v="Cardiomedical s.r.o."/>
    <m/>
    <n v="4170000"/>
    <n v="5045700"/>
    <m/>
    <m/>
    <m/>
    <d v="2021-05-26T00:00:00"/>
    <s v="SMLN-2021-617-000260_x000a_SMLN-2021-614-000050"/>
    <x v="76"/>
    <d v="2021-07-02T00:00:00"/>
  </r>
  <r>
    <d v="2021-02-23T00:00:00"/>
    <s v="VZ-2021-000182"/>
    <x v="1"/>
    <s v="Merta"/>
    <x v="110"/>
    <n v="3"/>
    <s v="Základní diagnostické katetry řiditelné I."/>
    <m/>
    <s v="33141200-2"/>
    <m/>
    <n v="619800"/>
    <x v="0"/>
    <d v="2021-03-22T00:00:00"/>
    <d v="2021-04-23T00:00:00"/>
    <d v="2021-05-25T00:00:00"/>
    <s v="CARDION s.r.o."/>
    <m/>
    <n v="619800"/>
    <n v="749958"/>
    <m/>
    <m/>
    <m/>
    <d v="2021-05-26T00:00:00"/>
    <s v="SMLN-2021-617-000261"/>
    <x v="77"/>
    <d v="2021-07-02T00:00:00"/>
  </r>
  <r>
    <d v="2021-02-23T00:00:00"/>
    <s v="VZ-2021-000182"/>
    <x v="1"/>
    <s v="Merta"/>
    <x v="110"/>
    <n v="4"/>
    <s v="Základní diagnostické katetry řiditelné II."/>
    <m/>
    <s v="33141200-2"/>
    <m/>
    <n v="9705000"/>
    <x v="0"/>
    <d v="2021-03-22T00:00:00"/>
    <d v="2021-04-23T00:00:00"/>
    <d v="2021-05-25T00:00:00"/>
    <s v="Cardiomedical s.r.o."/>
    <m/>
    <n v="9429800"/>
    <n v="11410058"/>
    <m/>
    <m/>
    <m/>
    <d v="2021-05-26T00:00:00"/>
    <s v="SMLN-2021-617-000262_x000a_SMLN-2021-614-000051"/>
    <x v="76"/>
    <d v="2021-07-02T00:00:00"/>
  </r>
  <r>
    <d v="2021-02-23T00:00:00"/>
    <s v="VZ-2021-000182"/>
    <x v="1"/>
    <s v="Merta"/>
    <x v="110"/>
    <n v="5"/>
    <s v="Hemostatický zavaděč katetrů - stabilizační fixní"/>
    <m/>
    <s v="33141200-2"/>
    <m/>
    <n v="3378990"/>
    <x v="0"/>
    <d v="2021-03-22T00:00:00"/>
    <d v="2021-04-23T00:00:00"/>
    <d v="2021-05-25T00:00:00"/>
    <s v="CARDION s.r.o."/>
    <m/>
    <n v="3372873.6"/>
    <n v="4081200"/>
    <m/>
    <m/>
    <m/>
    <d v="2021-05-26T00:00:00"/>
    <s v="SMLN-2021-617-000263_x000a_SMLN-2021-614-000052"/>
    <x v="77"/>
    <d v="2021-07-02T00:00:00"/>
  </r>
  <r>
    <d v="2021-02-23T00:00:00"/>
    <s v="VZ-2021-000182"/>
    <x v="1"/>
    <s v="Merta"/>
    <x v="110"/>
    <n v="6"/>
    <s v="Hemostatický zavaděč katetrů - stabilizační řiditelný"/>
    <m/>
    <s v="33141200-2"/>
    <m/>
    <n v="26578800"/>
    <x v="0"/>
    <d v="2021-03-22T00:00:00"/>
    <d v="2021-04-23T00:00:00"/>
    <d v="2021-05-25T00:00:00"/>
    <s v="CARDION s.r.o."/>
    <m/>
    <n v="26578800"/>
    <n v="32160348"/>
    <m/>
    <m/>
    <m/>
    <d v="2021-05-26T00:00:00"/>
    <s v="SMLN-2021-617-000264_x000a_SMLN-2021-614-000053"/>
    <x v="77"/>
    <d v="2021-07-02T00:00:00"/>
  </r>
  <r>
    <d v="2021-02-23T00:00:00"/>
    <s v="VZ-2021-000182"/>
    <x v="1"/>
    <s v="Merta"/>
    <x v="110"/>
    <n v="7"/>
    <s v="Transseptální jehly"/>
    <m/>
    <s v="33141200-2"/>
    <m/>
    <n v="6840000"/>
    <x v="0"/>
    <d v="2021-03-22T00:00:00"/>
    <d v="2021-04-23T00:00:00"/>
    <d v="2021-05-25T00:00:00"/>
    <s v="CARDION s.r.o."/>
    <m/>
    <n v="6840000"/>
    <n v="8276400"/>
    <m/>
    <m/>
    <m/>
    <d v="2021-05-26T00:00:00"/>
    <s v="SMLN-2021-617-000265_x000a_SMLN-2021-614-000054"/>
    <x v="77"/>
    <d v="2021-07-02T00:00:00"/>
  </r>
  <r>
    <d v="2021-02-23T00:00:00"/>
    <s v="VZ-2021-000182"/>
    <x v="1"/>
    <s v="Merta"/>
    <x v="110"/>
    <n v="8"/>
    <s v="Intrakardiální ultrazvukový katetr"/>
    <m/>
    <s v="33141200-2"/>
    <m/>
    <n v="28925000"/>
    <x v="0"/>
    <d v="2021-03-22T00:00:00"/>
    <d v="2021-04-23T00:00:00"/>
    <d v="2021-05-25T00:00:00"/>
    <s v="EP SERVICES s.r.o."/>
    <m/>
    <n v="28925000"/>
    <n v="34999250"/>
    <m/>
    <m/>
    <m/>
    <d v="2021-05-26T00:00:00"/>
    <s v="SMLN-2021-617-000266_x000a_SMLN-2021-614-000055"/>
    <x v="78"/>
    <d v="2021-07-02T00:00:00"/>
  </r>
  <r>
    <d v="2021-02-25T00:00:00"/>
    <s v="VZ-2021-000183"/>
    <x v="0"/>
    <s v="Ondráčková"/>
    <x v="111"/>
    <n v="1"/>
    <s v="POLATUZUMAB VEDOTIN"/>
    <m/>
    <s v="33652100-6"/>
    <m/>
    <n v="60243750"/>
    <x v="0"/>
    <d v="2021-03-08T00:00:00"/>
    <d v="2021-05-10T00:00:00"/>
    <m/>
    <m/>
    <m/>
    <m/>
    <m/>
    <m/>
    <m/>
    <m/>
    <m/>
    <m/>
    <x v="6"/>
    <d v="2021-04-29T00:00:00"/>
  </r>
  <r>
    <d v="2021-02-25T00:00:00"/>
    <s v="VZ-2021-000183"/>
    <x v="0"/>
    <s v="Ondráčková"/>
    <x v="111"/>
    <n v="2"/>
    <s v="INOTUZUMAB OZOGAMICIN"/>
    <m/>
    <s v="33652100-6"/>
    <m/>
    <n v="5469639"/>
    <x v="0"/>
    <d v="2021-03-08T00:00:00"/>
    <d v="2021-05-10T00:00:00"/>
    <d v="2021-05-28T00:00:00"/>
    <s v="PHOENIX lék.velkoobchod, s.r.o."/>
    <m/>
    <n v="5469639"/>
    <n v="6016602.9000000004"/>
    <m/>
    <m/>
    <m/>
    <d v="2021-05-28T00:00:00"/>
    <s v="SMLN-2021-617-000267"/>
    <x v="76"/>
    <d v="2021-06-29T00:00:00"/>
  </r>
  <r>
    <d v="2021-02-25T00:00:00"/>
    <s v="VZ-2021-000183"/>
    <x v="0"/>
    <s v="Ondráčková"/>
    <x v="111"/>
    <n v="3"/>
    <s v="AVELUMAB"/>
    <m/>
    <s v="33652100-6"/>
    <m/>
    <n v="5831317"/>
    <x v="0"/>
    <d v="2021-03-08T00:00:00"/>
    <d v="2021-05-10T00:00:00"/>
    <d v="2021-05-28T00:00:00"/>
    <s v="Alliance Healthcare s.r.o."/>
    <m/>
    <n v="3675714"/>
    <n v="4043285.4"/>
    <m/>
    <m/>
    <m/>
    <d v="2021-05-28T00:00:00"/>
    <s v="SMLN-2021-617-000268"/>
    <x v="78"/>
    <d v="2021-06-29T00:00:00"/>
  </r>
  <r>
    <d v="2021-02-25T00:00:00"/>
    <s v="VZ-2021-000183"/>
    <x v="0"/>
    <s v="Ondráčková"/>
    <x v="111"/>
    <n v="4"/>
    <s v="CEMIPLIMAB"/>
    <m/>
    <s v="33652100-6"/>
    <m/>
    <n v="8011033"/>
    <x v="0"/>
    <d v="2021-03-08T00:00:00"/>
    <d v="2021-05-10T00:00:00"/>
    <d v="2021-05-28T00:00:00"/>
    <s v="sanofi - aventis, s.r.o."/>
    <m/>
    <n v="6763211.04"/>
    <n v="7439532.1399999997"/>
    <m/>
    <m/>
    <m/>
    <d v="2021-05-28T00:00:00"/>
    <s v="SMLN-2021-617-000269"/>
    <x v="79"/>
    <d v="2021-06-29T00:00:00"/>
  </r>
  <r>
    <d v="2021-02-25T00:00:00"/>
    <s v="VZ-2021-000183"/>
    <x v="0"/>
    <s v="Ondráčková"/>
    <x v="111"/>
    <n v="5"/>
    <s v="DURVALUMAB"/>
    <m/>
    <s v="33652100-6"/>
    <m/>
    <n v="4417024"/>
    <x v="0"/>
    <d v="2021-03-08T00:00:00"/>
    <d v="2021-05-10T00:00:00"/>
    <d v="2021-05-28T00:00:00"/>
    <s v="PHOENIX lék.velkoobchod, s.r.o."/>
    <m/>
    <n v="4417023.5"/>
    <n v="4858725.8499999996"/>
    <m/>
    <m/>
    <m/>
    <d v="2021-05-28T00:00:00"/>
    <s v="SMLN-2021-617-000270"/>
    <x v="76"/>
    <d v="2021-06-29T00:00:00"/>
  </r>
  <r>
    <d v="2021-02-25T00:00:00"/>
    <s v="VZ-2021-000184"/>
    <x v="0"/>
    <s v="Ondráčková"/>
    <x v="112"/>
    <n v="1"/>
    <s v="ENZALUTAMID"/>
    <m/>
    <s v="33652200-7"/>
    <m/>
    <n v="69447975"/>
    <x v="0"/>
    <d v="2021-03-09T00:00:00"/>
    <d v="2021-04-13T00:00:00"/>
    <m/>
    <s v="zrušeno - bez nabídky"/>
    <m/>
    <m/>
    <m/>
    <m/>
    <m/>
    <m/>
    <m/>
    <m/>
    <x v="6"/>
    <d v="2021-06-02T00:00:00"/>
  </r>
  <r>
    <d v="2021-02-25T00:00:00"/>
    <s v="VZ-2021-000184"/>
    <x v="0"/>
    <s v="Ondráčková"/>
    <x v="112"/>
    <n v="2"/>
    <s v="APALUTAMID"/>
    <m/>
    <s v="33652200-7"/>
    <m/>
    <n v="23806615"/>
    <x v="0"/>
    <d v="2021-03-09T00:00:00"/>
    <d v="2021-04-13T00:00:00"/>
    <d v="2021-05-06T00:00:00"/>
    <s v="Janssen-Cilag s.r.o."/>
    <m/>
    <n v="23806450"/>
    <n v="26187095"/>
    <m/>
    <m/>
    <m/>
    <d v="2021-05-06T00:00:00"/>
    <s v="SMLN-2021-617-000208"/>
    <x v="80"/>
    <d v="2021-06-02T00:00:00"/>
  </r>
  <r>
    <d v="2021-02-25T00:00:00"/>
    <s v="VZ-2021-000185"/>
    <x v="0"/>
    <s v="Ondráčková"/>
    <x v="113"/>
    <n v="1"/>
    <s v="MEPOLIZUMAB"/>
    <m/>
    <s v="33670000-7"/>
    <m/>
    <n v="49309756"/>
    <x v="0"/>
    <d v="2021-03-03T00:00:00"/>
    <d v="2021-04-19T00:00:00"/>
    <d v="2021-05-06T00:00:00"/>
    <s v="Alliance Healthcare s.r.o."/>
    <m/>
    <n v="49265535"/>
    <n v="54192088.5"/>
    <m/>
    <m/>
    <m/>
    <d v="2021-05-06T00:00:00"/>
    <s v="SMLN-2021-617-000206"/>
    <x v="43"/>
    <d v="2021-06-07T00:00:00"/>
  </r>
  <r>
    <d v="2021-02-25T00:00:00"/>
    <s v="VZ-2021-000185"/>
    <x v="0"/>
    <s v="Ondráčková"/>
    <x v="113"/>
    <n v="2"/>
    <s v="BENRALIZUMAB"/>
    <m/>
    <s v="33670000-7"/>
    <m/>
    <n v="14263044"/>
    <x v="0"/>
    <d v="2021-03-03T00:00:00"/>
    <d v="2021-04-19T00:00:00"/>
    <d v="2021-05-06T00:00:00"/>
    <s v="PHOENIX lék.velkoobchod, s.r.o."/>
    <m/>
    <n v="14263043.1"/>
    <n v="15689347.41"/>
    <m/>
    <m/>
    <m/>
    <d v="2021-05-06T00:00:00"/>
    <s v="SMLN-2021-617-000207"/>
    <x v="67"/>
    <d v="2021-06-07T00:00:00"/>
  </r>
  <r>
    <d v="2021-02-25T00:00:00"/>
    <s v="VZ-2021-000186"/>
    <x v="0"/>
    <s v="Ondráčková"/>
    <x v="114"/>
    <n v="1"/>
    <s v="ROMIPLOSTIM"/>
    <m/>
    <s v="33621200-1"/>
    <m/>
    <n v="38164742"/>
    <x v="0"/>
    <d v="2021-03-15T00:00:00"/>
    <d v="2021-04-19T00:00:00"/>
    <d v="2021-04-23T00:00:00"/>
    <s v="Amgen s.r.o."/>
    <m/>
    <n v="38164741.5"/>
    <n v="41981215.649999999"/>
    <m/>
    <m/>
    <m/>
    <d v="2021-04-23T00:00:00"/>
    <s v="SMLN-2021-617-000177"/>
    <x v="69"/>
    <d v="2021-05-27T00:00:00"/>
  </r>
  <r>
    <d v="2021-02-25T00:00:00"/>
    <s v="VZ-2021-000186"/>
    <x v="0"/>
    <s v="Ondráčková"/>
    <x v="114"/>
    <n v="2"/>
    <s v="ELTROMBOPAG"/>
    <m/>
    <s v="33621200-1"/>
    <m/>
    <n v="22873184"/>
    <x v="0"/>
    <d v="2021-03-15T00:00:00"/>
    <d v="2021-04-19T00:00:00"/>
    <d v="2021-04-23T00:00:00"/>
    <s v="Alliance Healthcare s.r.o."/>
    <m/>
    <n v="22873183.050000001"/>
    <n v="25160501.359999999"/>
    <m/>
    <m/>
    <m/>
    <d v="2021-04-23T00:00:00"/>
    <s v="SMLN-2021-617-000178"/>
    <x v="31"/>
    <d v="2021-05-27T00:00:00"/>
  </r>
  <r>
    <d v="2021-02-25T00:00:00"/>
    <s v="VZ-2021-000187"/>
    <x v="0"/>
    <s v="Ondráčková"/>
    <x v="115"/>
    <n v="1"/>
    <s v="Humira pro rozléčené pacienty"/>
    <m/>
    <s v="33652300-8"/>
    <m/>
    <n v="16200760"/>
    <x v="0"/>
    <d v="2021-03-11T00:00:00"/>
    <d v="2021-04-14T00:00:00"/>
    <d v="2021-04-23T00:00:00"/>
    <s v="Avenier a.s."/>
    <m/>
    <n v="13831487.210000001"/>
    <n v="15214635.93"/>
    <m/>
    <m/>
    <m/>
    <d v="2021-04-23T00:00:00"/>
    <s v="SMLN-2021-617-000174"/>
    <x v="81"/>
    <d v="2021-05-18T00:00:00"/>
  </r>
  <r>
    <d v="2021-02-25T00:00:00"/>
    <s v="VZ-2021-000193"/>
    <x v="0"/>
    <s v="Ondráčková"/>
    <x v="116"/>
    <n v="1"/>
    <s v="PROMANUM PURE "/>
    <m/>
    <s v="24455000-8"/>
    <m/>
    <n v="278112"/>
    <x v="2"/>
    <d v="2021-03-04T00:00:00"/>
    <d v="2021-03-15T00:00:00"/>
    <m/>
    <s v="zrušeno - upravit specifikaci"/>
    <m/>
    <m/>
    <m/>
    <m/>
    <m/>
    <m/>
    <m/>
    <m/>
    <x v="6"/>
    <d v="2021-03-12T00:00:00"/>
  </r>
  <r>
    <d v="2021-02-25T00:00:00"/>
    <s v="VZ-2021-000193"/>
    <x v="0"/>
    <s v="Ondráčková"/>
    <x v="116"/>
    <n v="2"/>
    <s v="STERILLIUM"/>
    <m/>
    <s v="24455000-8"/>
    <m/>
    <n v="385472"/>
    <x v="2"/>
    <d v="2021-03-04T00:00:00"/>
    <d v="2021-03-15T00:00:00"/>
    <m/>
    <s v="zrušeno - upravit specifikaci"/>
    <m/>
    <m/>
    <m/>
    <m/>
    <m/>
    <m/>
    <m/>
    <m/>
    <x v="6"/>
    <d v="2021-03-12T00:00:00"/>
  </r>
  <r>
    <d v="2021-02-25T00:00:00"/>
    <s v="VZ-2021-000193"/>
    <x v="0"/>
    <s v="Ondráčková"/>
    <x v="116"/>
    <n v="3"/>
    <s v="SOFTA-MAN VISCORUB"/>
    <m/>
    <s v="24455000-8"/>
    <m/>
    <n v="61696"/>
    <x v="2"/>
    <d v="2021-03-04T00:00:00"/>
    <d v="2021-03-15T00:00:00"/>
    <m/>
    <s v="zrušeno - upravit specifikaci"/>
    <m/>
    <m/>
    <m/>
    <m/>
    <m/>
    <m/>
    <m/>
    <m/>
    <x v="6"/>
    <d v="2021-03-12T00:00:00"/>
  </r>
  <r>
    <d v="2021-02-25T00:00:00"/>
    <s v="VZ-2021-000193"/>
    <x v="0"/>
    <s v="Ondráčková"/>
    <x v="116"/>
    <n v="4"/>
    <s v="BAKTOLIN PURE "/>
    <m/>
    <s v="24455000-8"/>
    <m/>
    <n v="148093"/>
    <x v="2"/>
    <d v="2021-03-04T00:00:00"/>
    <d v="2021-03-15T00:00:00"/>
    <m/>
    <s v="zrušeno - upravit specifikaci"/>
    <m/>
    <m/>
    <m/>
    <m/>
    <m/>
    <m/>
    <m/>
    <m/>
    <x v="6"/>
    <d v="2021-03-12T00:00:00"/>
  </r>
  <r>
    <d v="2021-02-25T00:00:00"/>
    <s v="VZ-2021-000193"/>
    <x v="0"/>
    <s v="Ondráčková"/>
    <x v="116"/>
    <n v="5"/>
    <s v="LIFOSAN SOFT"/>
    <m/>
    <s v="24455000-8"/>
    <m/>
    <n v="61226"/>
    <x v="2"/>
    <d v="2021-03-04T00:00:00"/>
    <d v="2021-03-15T00:00:00"/>
    <m/>
    <s v="zrušeno - upravit specifikaci"/>
    <m/>
    <m/>
    <m/>
    <m/>
    <m/>
    <m/>
    <m/>
    <m/>
    <x v="6"/>
    <d v="2021-03-12T00:00:00"/>
  </r>
  <r>
    <d v="2021-02-25T00:00:00"/>
    <s v="VZ-2021-000193"/>
    <x v="0"/>
    <s v="Ondráčková"/>
    <x v="116"/>
    <n v="6"/>
    <s v="SOFTASKIN"/>
    <m/>
    <s v="24455000-8"/>
    <m/>
    <n v="11880"/>
    <x v="2"/>
    <d v="2021-03-04T00:00:00"/>
    <d v="2021-03-15T00:00:00"/>
    <m/>
    <s v="zrušeno - upravit specifikaci"/>
    <m/>
    <m/>
    <m/>
    <m/>
    <m/>
    <m/>
    <m/>
    <m/>
    <x v="6"/>
    <d v="2021-03-12T00:00:00"/>
  </r>
  <r>
    <d v="2021-03-01T00:00:00"/>
    <s v="VZ-2021-000196"/>
    <x v="5"/>
    <s v="Oravec"/>
    <x v="117"/>
    <m/>
    <m/>
    <m/>
    <s v="72261000-2"/>
    <m/>
    <n v="1850000"/>
    <x v="2"/>
    <d v="2021-03-09T00:00:00"/>
    <d v="2021-03-19T00:00:00"/>
    <d v="2021-05-24T00:00:00"/>
    <s v="DS Soft Olomouc, spol.s  r.o."/>
    <m/>
    <n v="1798080"/>
    <n v="2175676.7999999998"/>
    <m/>
    <m/>
    <m/>
    <d v="2021-05-24T00:00:00"/>
    <s v="SMLN-2021-612-000037"/>
    <x v="67"/>
    <d v="2021-06-07T00:00:00"/>
  </r>
  <r>
    <d v="2021-03-01T00:00:00"/>
    <s v="VZ-2021-000198"/>
    <x v="1"/>
    <s v="Valtová"/>
    <x v="118"/>
    <m/>
    <m/>
    <m/>
    <s v="33140000-3"/>
    <m/>
    <n v="1331404"/>
    <x v="2"/>
    <d v="2021-03-09T00:00:00"/>
    <d v="2021-03-18T00:00:00"/>
    <d v="2021-03-23T00:00:00"/>
    <s v="CARDION s.r.o."/>
    <m/>
    <n v="1331404"/>
    <n v="1611000"/>
    <m/>
    <m/>
    <m/>
    <d v="2021-03-23T00:00:00"/>
    <s v="SMLN-2021-617-000125_x000a_SMLN-2021-617-000124_x000a_SMLN-2021-614-000015"/>
    <x v="12"/>
    <d v="2021-04-12T00:00:00"/>
  </r>
  <r>
    <d v="2021-03-03T00:00:00"/>
    <s v="VZ-2021-000203"/>
    <x v="1"/>
    <s v="Dočkalová"/>
    <x v="119"/>
    <m/>
    <m/>
    <m/>
    <s v="33140000-3"/>
    <m/>
    <n v="4164271"/>
    <x v="0"/>
    <d v="2021-03-09T00:00:00"/>
    <d v="2021-04-12T00:00:00"/>
    <d v="2021-04-15T00:00:00"/>
    <s v="Mediform, spol. s r.o."/>
    <m/>
    <n v="4157250"/>
    <n v="5030272.5"/>
    <m/>
    <m/>
    <m/>
    <d v="2021-04-15T00:00:00"/>
    <s v="SMLN-2021-617-000156"/>
    <x v="73"/>
    <d v="2021-05-07T00:00:00"/>
  </r>
  <r>
    <d v="2021-03-02T00:00:00"/>
    <s v="VZ-2021-000207"/>
    <x v="2"/>
    <s v="Rosulek"/>
    <x v="120"/>
    <m/>
    <m/>
    <m/>
    <s v="33162100-4"/>
    <s v="2.2.270, 2.3.376., 2.3.447"/>
    <n v="336000"/>
    <x v="2"/>
    <d v="2021-03-11T00:00:00"/>
    <d v="2021-03-23T00:00:00"/>
    <m/>
    <s v="zrušeno - překročení ceny"/>
    <s v="nová VZ-2021-000382"/>
    <m/>
    <m/>
    <m/>
    <m/>
    <m/>
    <m/>
    <m/>
    <x v="6"/>
    <d v="2021-04-27T00:00:00"/>
  </r>
  <r>
    <d v="2021-03-08T00:00:00"/>
    <s v="VZ-2021-000211"/>
    <x v="1"/>
    <s v="Valtová"/>
    <x v="121"/>
    <m/>
    <m/>
    <m/>
    <s v="33140000-3"/>
    <m/>
    <n v="1220260"/>
    <x v="2"/>
    <d v="2021-03-12T00:00:00"/>
    <d v="2021-03-24T00:00:00"/>
    <d v="2021-04-12T00:00:00"/>
    <s v="Johnson  &amp; Johnson s.r.o."/>
    <m/>
    <n v="1006400"/>
    <n v="1157360"/>
    <m/>
    <m/>
    <m/>
    <d v="2021-04-12T00:00:00"/>
    <s v="SMLN-2021-617-000148_x000a_SMLN-2021-614-000018"/>
    <x v="82"/>
    <d v="2021-04-30T00:00:00"/>
  </r>
  <r>
    <d v="2021-02-26T00:00:00"/>
    <s v="VZ-2021-000215"/>
    <x v="2"/>
    <s v="Rosulek"/>
    <x v="122"/>
    <m/>
    <m/>
    <m/>
    <s v="33151400-7"/>
    <s v="2.3.508."/>
    <n v="3646523"/>
    <x v="0"/>
    <d v="2021-04-16T00:00:00"/>
    <d v="2021-05-20T00:00:00"/>
    <d v="2021-06-24T00:00:00"/>
    <s v="Elekta Services s.r.o."/>
    <m/>
    <n v="3634000.16"/>
    <n v="4397140.16"/>
    <m/>
    <m/>
    <m/>
    <d v="2021-06-24T00:00:00"/>
    <s v="SMLN-2021-617-000334_x000a_SMLN-2021-612-000063"/>
    <x v="72"/>
    <d v="2021-08-05T00:00:00"/>
  </r>
  <r>
    <d v="2021-03-09T00:00:00"/>
    <s v="VZ-2021-000218"/>
    <x v="2"/>
    <s v="Rosulek"/>
    <x v="123"/>
    <n v="1"/>
    <s v="Mobilní ultrazvukový systém pro Ortopedii"/>
    <m/>
    <s v="33112000-8"/>
    <s v="2.2.271."/>
    <n v="448200"/>
    <x v="0"/>
    <d v="2021-03-15T00:00:00"/>
    <d v="2021-04-19T00:00:00"/>
    <d v="2021-05-13T00:00:00"/>
    <s v="Electric Medical Service s.r.o."/>
    <m/>
    <n v="437920"/>
    <n v="529883.19999999995"/>
    <m/>
    <m/>
    <m/>
    <d v="2021-05-13T00:00:00"/>
    <s v="SMLN-2021-617-000225_x000a_SMLN-2021-612-000034"/>
    <x v="83"/>
    <d v="2021-06-24T00:00:00"/>
  </r>
  <r>
    <d v="2021-03-09T00:00:00"/>
    <s v="VZ-2021-000218"/>
    <x v="2"/>
    <s v="Rosulek"/>
    <x v="123"/>
    <n v="2"/>
    <s v="Ultrazvukový systém pro II. Interní kliniku"/>
    <m/>
    <s v="33112000-8"/>
    <s v="2.3.505."/>
    <n v="1035000"/>
    <x v="0"/>
    <d v="2021-03-15T00:00:00"/>
    <d v="2021-04-19T00:00:00"/>
    <d v="2021-05-13T00:00:00"/>
    <s v="S+T Plus s.r.o."/>
    <m/>
    <n v="1030060"/>
    <n v="1246372.6000000001"/>
    <m/>
    <m/>
    <m/>
    <d v="2021-05-13T00:00:00"/>
    <s v="SMLN-2021-617-000226_x000a_SMLN-2021-612-000035"/>
    <x v="83"/>
    <d v="2021-06-24T00:00:00"/>
  </r>
  <r>
    <d v="2021-03-08T00:00:00"/>
    <s v="VZ-2021-000222"/>
    <x v="1"/>
    <s v="Valtová"/>
    <x v="124"/>
    <m/>
    <m/>
    <m/>
    <s v="33140000-3"/>
    <m/>
    <n v="1823900"/>
    <x v="2"/>
    <d v="2021-03-12T00:00:00"/>
    <d v="2021-03-23T00:00:00"/>
    <d v="2021-03-29T00:00:00"/>
    <s v="Johnson  &amp; Johnson s.r.o."/>
    <m/>
    <n v="1823900"/>
    <n v="2097485"/>
    <m/>
    <m/>
    <m/>
    <d v="2021-03-29T00:00:00"/>
    <s v="SMLN-2021-617-000130_x000a_SMLN-2021-617-000131_x000a_SMLN-2021-614-000016"/>
    <x v="33"/>
    <d v="2021-04-15T00:00:00"/>
  </r>
  <r>
    <d v="2021-03-05T00:00:00"/>
    <s v="VZ-2021-000231"/>
    <x v="2"/>
    <s v="Rosulek"/>
    <x v="125"/>
    <m/>
    <m/>
    <m/>
    <s v="33131510-5"/>
    <s v="2.3.440."/>
    <n v="6589000"/>
    <x v="0"/>
    <d v="2021-04-27T00:00:00"/>
    <d v="2021-06-21T00:00:00"/>
    <d v="2021-08-10T00:00:00"/>
    <s v="B. Braun Medical s.r.o."/>
    <m/>
    <n v="6458657.2999999998"/>
    <n v="7814975.3300000001"/>
    <m/>
    <m/>
    <m/>
    <d v="2021-08-10T00:00:00"/>
    <s v="SMLN-2021-617-000410_x000a_SMLN-2021-612-000084_x000a_SMLN-2021-617-000412"/>
    <x v="84"/>
    <d v="2021-10-18T00:00:00"/>
  </r>
  <r>
    <d v="2021-03-12T00:00:00"/>
    <s v="VZ-2021-000234"/>
    <x v="5"/>
    <s v="Miklík"/>
    <x v="126"/>
    <m/>
    <m/>
    <m/>
    <s v="72611000-6"/>
    <m/>
    <n v="1100000"/>
    <x v="2"/>
    <d v="2021-03-17T00:00:00"/>
    <d v="2021-03-26T00:00:00"/>
    <d v="2021-03-29T00:00:00"/>
    <s v="MERIT GROUP a.s."/>
    <m/>
    <n v="1011250"/>
    <n v="1223612.5"/>
    <m/>
    <m/>
    <m/>
    <d v="2021-03-29T00:00:00"/>
    <s v="SMLN-2021-612-000020"/>
    <x v="33"/>
    <d v="2021-04-14T00:00:00"/>
  </r>
  <r>
    <s v="opakovaná VZ"/>
    <s v="VZ-2021-000238"/>
    <x v="2"/>
    <s v="Rosulek"/>
    <x v="127"/>
    <m/>
    <m/>
    <m/>
    <s v="33127000-6"/>
    <s v="2.3.452."/>
    <n v="3150000"/>
    <x v="1"/>
    <d v="2021-03-19T00:00:00"/>
    <d v="2021-04-09T00:00:00"/>
    <d v="2021-05-07T00:00:00"/>
    <s v="ALOGO s.r.o."/>
    <m/>
    <n v="3044089"/>
    <n v="3683347.7"/>
    <m/>
    <m/>
    <m/>
    <d v="2021-05-07T00:00:00"/>
    <s v="SMLN-2021-617-000219_x000a_SMLN-2021-612-000033"/>
    <x v="85"/>
    <d v="2021-06-07T00:00:00"/>
  </r>
  <r>
    <d v="2021-03-16T00:00:00"/>
    <s v="VZ-2021-000243"/>
    <x v="11"/>
    <s v="Rosulek"/>
    <x v="128"/>
    <m/>
    <m/>
    <m/>
    <s v="33157400-9"/>
    <s v="2.3.119."/>
    <n v="1724380"/>
    <x v="2"/>
    <d v="2021-03-22T00:00:00"/>
    <d v="2021-04-01T00:00:00"/>
    <d v="2021-05-07T00:00:00"/>
    <s v="Saegeling Medizintechnik, s.r.o. "/>
    <m/>
    <n v="1367180"/>
    <n v="1654286.6"/>
    <m/>
    <m/>
    <m/>
    <d v="2021-05-07T00:00:00"/>
    <s v="SMLN-2021-617-000215_x000a_SMLN-2021-612-000032_x000a_SMLN-2021-617-000216"/>
    <x v="86"/>
    <d v="2021-06-10T00:00:00"/>
  </r>
  <r>
    <d v="2021-03-17T00:00:00"/>
    <s v="VZ-2021-000245"/>
    <x v="1"/>
    <s v="Valtová"/>
    <x v="129"/>
    <n v="1"/>
    <s v="Kotvička nevstřebatelná a vstřebatelná Healix Knotless"/>
    <m/>
    <s v="33140000-3"/>
    <m/>
    <n v="1270000"/>
    <x v="1"/>
    <d v="2021-04-06T00:00:00"/>
    <d v="2021-04-23T00:00:00"/>
    <d v="2021-05-05T00:00:00"/>
    <s v="Johnson  &amp; Johnson s.r.o."/>
    <m/>
    <n v="1270000"/>
    <n v="1460500"/>
    <m/>
    <m/>
    <m/>
    <d v="2021-05-06T00:00:00"/>
    <s v="SMLN-2021-617-000202_x000a_SMLN-2021-614-000034"/>
    <x v="87"/>
    <d v="2021-06-03T00:00:00"/>
  </r>
  <r>
    <d v="2021-03-17T00:00:00"/>
    <s v="VZ-2021-000245"/>
    <x v="1"/>
    <s v="Valtová"/>
    <x v="129"/>
    <n v="2"/>
    <s v="Kotvička nevstřebatelná a vstřebatelná Healix Advance"/>
    <m/>
    <s v="33140000-3"/>
    <m/>
    <n v="665000"/>
    <x v="1"/>
    <d v="2021-04-06T00:00:00"/>
    <d v="2021-04-23T00:00:00"/>
    <d v="2021-05-05T00:00:00"/>
    <s v="Johnson  &amp; Johnson s.r.o."/>
    <m/>
    <n v="665000"/>
    <n v="764750"/>
    <m/>
    <m/>
    <m/>
    <d v="2021-05-06T00:00:00"/>
    <s v="SMLN-2021-617-000203_x000a_SMLN-2021-617-000204_x000a_SMLN-2021-614-000035"/>
    <x v="85"/>
    <d v="2021-06-03T00:00:00"/>
  </r>
  <r>
    <d v="2021-03-17T00:00:00"/>
    <s v="VZ-2021-000245"/>
    <x v="1"/>
    <s v="Valtová"/>
    <x v="129"/>
    <n v="3"/>
    <s v="Kotvička nevstřebatelná a vstřebatelná Healix Trans Tend"/>
    <m/>
    <s v="33140000-3"/>
    <m/>
    <n v="490000"/>
    <x v="1"/>
    <d v="2021-04-06T00:00:00"/>
    <d v="2021-04-23T00:00:00"/>
    <d v="2021-05-05T00:00:00"/>
    <s v="Johnson  &amp; Johnson s.r.o."/>
    <m/>
    <n v="460000"/>
    <n v="529000"/>
    <m/>
    <m/>
    <m/>
    <d v="2021-05-06T00:00:00"/>
    <s v="SMLN-2021-617-000205_x000a_SMLN-2021-614-000036"/>
    <x v="87"/>
    <d v="2021-06-03T00:00:00"/>
  </r>
  <r>
    <d v="2021-03-16T00:00:00"/>
    <s v="VZ-2021-000249"/>
    <x v="4"/>
    <s v="Srovnal"/>
    <x v="130"/>
    <m/>
    <m/>
    <m/>
    <s v="45342000-6 "/>
    <m/>
    <n v="1450000"/>
    <x v="2"/>
    <d v="2021-03-24T00:00:00"/>
    <d v="2021-04-07T00:00:00"/>
    <d v="2021-05-18T00:00:00"/>
    <s v="ELEKTRO-FLEXI s.r.o."/>
    <m/>
    <n v="1070881.05"/>
    <n v="1295766.07"/>
    <m/>
    <m/>
    <m/>
    <d v="2021-05-18T00:00:00"/>
    <s v="SMLN-2021-618-000035"/>
    <x v="88"/>
    <d v="2021-06-07T00:00:00"/>
  </r>
  <r>
    <d v="2021-03-17T00:00:00"/>
    <s v="VZ-2021-000253"/>
    <x v="4"/>
    <s v="Srovnal"/>
    <x v="131"/>
    <m/>
    <m/>
    <m/>
    <s v="42512300-1"/>
    <s v="4.2.152."/>
    <n v="1150000"/>
    <x v="2"/>
    <d v="2021-03-30T00:00:00"/>
    <d v="2021-04-09T00:00:00"/>
    <d v="2021-04-16T00:00:00"/>
    <s v="JK new product s.r.o."/>
    <m/>
    <n v="866956"/>
    <n v="1049017"/>
    <m/>
    <m/>
    <m/>
    <d v="2021-04-16T00:00:00"/>
    <s v="SMLN-2021-618-000017"/>
    <x v="81"/>
    <d v="2021-05-19T00:00:00"/>
  </r>
  <r>
    <d v="2021-03-18T00:00:00"/>
    <s v="VZ-2021-000256"/>
    <x v="1"/>
    <s v="Dočkalová"/>
    <x v="132"/>
    <m/>
    <m/>
    <m/>
    <s v="33140000-3"/>
    <m/>
    <n v="1186800"/>
    <x v="2"/>
    <d v="2021-03-22T00:00:00"/>
    <d v="2021-03-31T00:00:00"/>
    <d v="2021-04-08T00:00:00"/>
    <s v="B. Braun Medical s.r.o."/>
    <m/>
    <n v="1249287"/>
    <n v="1511637.27"/>
    <m/>
    <m/>
    <m/>
    <d v="2021-04-08T00:00:00"/>
    <s v="SMLN-2021-617-000137"/>
    <x v="46"/>
    <d v="2021-05-03T00:00:00"/>
  </r>
  <r>
    <d v="2021-03-18T00:00:00"/>
    <s v="VZ-2021-000261"/>
    <x v="0"/>
    <s v="Ondráčková"/>
    <x v="133"/>
    <n v="1"/>
    <s v="DENOSUMAB I."/>
    <m/>
    <s v="33632000-9"/>
    <m/>
    <n v="5912121"/>
    <x v="0"/>
    <d v="2021-03-23T00:00:00"/>
    <d v="2021-04-26T00:00:00"/>
    <d v="2021-05-14T00:00:00"/>
    <s v="Amgen s.r.o."/>
    <m/>
    <n v="5784504.5999999996"/>
    <n v="6362955.0599999996"/>
    <m/>
    <m/>
    <m/>
    <d v="2021-05-14T00:00:00"/>
    <s v="SMLN-2021-617-000229"/>
    <x v="77"/>
    <d v="2021-06-17T00:00:00"/>
  </r>
  <r>
    <d v="2021-03-18T00:00:00"/>
    <s v="VZ-2021-000261"/>
    <x v="0"/>
    <s v="Ondráčková"/>
    <x v="133"/>
    <n v="2"/>
    <s v="DENOSUMAB II."/>
    <m/>
    <s v="33632000-9"/>
    <m/>
    <n v="14394333"/>
    <x v="0"/>
    <d v="2021-03-23T00:00:00"/>
    <d v="2021-04-26T00:00:00"/>
    <d v="2021-05-14T00:00:00"/>
    <s v="Amgen s.r.o."/>
    <m/>
    <n v="14394332.310000001"/>
    <n v="15833765.539999999"/>
    <m/>
    <m/>
    <m/>
    <d v="2021-05-14T00:00:00"/>
    <s v="SMLN-2021-617-000230"/>
    <x v="77"/>
    <d v="2021-06-17T00:00:00"/>
  </r>
  <r>
    <d v="2021-03-18T00:00:00"/>
    <s v="VZ-2021-000261"/>
    <x v="0"/>
    <s v="Ondráčková"/>
    <x v="133"/>
    <n v="3"/>
    <s v="BUROZUMAB"/>
    <m/>
    <s v="33632000-9"/>
    <m/>
    <n v="12807940"/>
    <x v="0"/>
    <d v="2021-03-23T00:00:00"/>
    <d v="2021-04-26T00:00:00"/>
    <d v="2021-05-14T00:00:00"/>
    <s v="Alliance Healthcare s.r.o."/>
    <m/>
    <n v="12807936.6"/>
    <n v="14088730.26"/>
    <m/>
    <m/>
    <m/>
    <d v="2021-05-14T00:00:00"/>
    <s v="SMLN-2021-617-000231"/>
    <x v="89"/>
    <d v="2021-06-17T00:00:00"/>
  </r>
  <r>
    <d v="2021-03-22T00:00:00"/>
    <s v="VZ-2021-000265"/>
    <x v="0"/>
    <s v="Ondráčková"/>
    <x v="134"/>
    <m/>
    <m/>
    <m/>
    <s v="33662100-9"/>
    <m/>
    <n v="31038378"/>
    <x v="0"/>
    <d v="2021-03-24T00:00:00"/>
    <d v="2021-05-26T00:00:00"/>
    <d v="2021-06-14T00:00:00"/>
    <s v="Alliance Healthcare s.r.o."/>
    <m/>
    <n v="31023597.82"/>
    <n v="34125957.600000001"/>
    <m/>
    <m/>
    <m/>
    <d v="2021-06-14T00:00:00"/>
    <s v="SMLN-2021-617-000301"/>
    <x v="90"/>
    <d v="2021-07-14T00:00:00"/>
  </r>
  <r>
    <d v="2021-03-22T00:00:00"/>
    <s v="VZ-2021-000266"/>
    <x v="0"/>
    <s v="Ondráčková"/>
    <x v="135"/>
    <n v="1"/>
    <s v="KYSELINA CHENODEOXYCHOLOVÁ"/>
    <m/>
    <s v="33610000-9  "/>
    <m/>
    <n v="11685000"/>
    <x v="0"/>
    <d v="2021-04-12T00:00:00"/>
    <d v="2021-05-14T00:00:00"/>
    <d v="2021-06-22T00:00:00"/>
    <s v="CD Pharmaceuticals AB"/>
    <m/>
    <n v="10744050"/>
    <n v="11818455"/>
    <m/>
    <m/>
    <m/>
    <d v="2021-06-22T00:00:00"/>
    <s v="SMLN-2021-617-000324"/>
    <x v="91"/>
    <d v="2021-08-10T00:00:00"/>
  </r>
  <r>
    <d v="2021-03-22T00:00:00"/>
    <s v="VZ-2021-000266"/>
    <x v="0"/>
    <s v="Ondráčková"/>
    <x v="135"/>
    <n v="2"/>
    <s v="URSOSAN pro rozléčené pacienty"/>
    <m/>
    <s v="33610000-9  "/>
    <m/>
    <n v="3349210"/>
    <x v="0"/>
    <d v="2021-04-12T00:00:00"/>
    <d v="2021-05-14T00:00:00"/>
    <d v="2021-06-22T00:00:00"/>
    <s v="ViaPharma s.r.o."/>
    <m/>
    <n v="3317290.23"/>
    <n v="3649019.25"/>
    <m/>
    <m/>
    <m/>
    <d v="2021-06-22T00:00:00"/>
    <s v="SMLN-2021-617-000320"/>
    <x v="1"/>
    <d v="2021-08-10T00:00:00"/>
  </r>
  <r>
    <d v="2021-03-22T00:00:00"/>
    <s v="VZ-2021-000266"/>
    <x v="0"/>
    <s v="Ondráčková"/>
    <x v="135"/>
    <n v="3"/>
    <s v="URSOFALK pro rozléčené pacienty"/>
    <m/>
    <s v="33610000-9  "/>
    <m/>
    <n v="545408"/>
    <x v="0"/>
    <d v="2021-04-12T00:00:00"/>
    <d v="2021-05-14T00:00:00"/>
    <d v="2021-06-22T00:00:00"/>
    <s v="PHOENIX lék.velkoobchod, s.r.o."/>
    <m/>
    <n v="528990.06000000006"/>
    <n v="581889.06999999995"/>
    <m/>
    <m/>
    <m/>
    <d v="2021-06-22T00:00:00"/>
    <s v="SMLN-2021-617-000321"/>
    <x v="92"/>
    <d v="2021-08-10T00:00:00"/>
  </r>
  <r>
    <d v="2021-03-22T00:00:00"/>
    <s v="VZ-2021-000266"/>
    <x v="0"/>
    <s v="Ondráčková"/>
    <x v="135"/>
    <n v="4"/>
    <s v="KYSELINA URSODEOXYCHOLOVÁ"/>
    <m/>
    <s v="33610000-9  "/>
    <m/>
    <n v="659364"/>
    <x v="0"/>
    <d v="2021-04-12T00:00:00"/>
    <d v="2021-05-14T00:00:00"/>
    <d v="2021-06-22T00:00:00"/>
    <s v="PHOENIX lék.velkoobchod, s.r.o."/>
    <m/>
    <n v="643595.52000000002"/>
    <n v="707955.07"/>
    <m/>
    <m/>
    <m/>
    <d v="2021-06-22T00:00:00"/>
    <s v="SMLN-2021-617-000322"/>
    <x v="92"/>
    <d v="2021-08-10T00:00:00"/>
  </r>
  <r>
    <d v="2021-03-22T00:00:00"/>
    <s v="VZ-2021-000268"/>
    <x v="1"/>
    <s v="Dočkalová"/>
    <x v="136"/>
    <m/>
    <m/>
    <m/>
    <s v="33140000-3"/>
    <m/>
    <n v="26658887.460000001"/>
    <x v="0"/>
    <d v="2021-04-09T00:00:00"/>
    <d v="2021-06-11T00:00:00"/>
    <m/>
    <s v="zrušeno - upravit specifikaci"/>
    <m/>
    <m/>
    <m/>
    <m/>
    <m/>
    <m/>
    <m/>
    <m/>
    <x v="6"/>
    <d v="2021-12-08T00:00:00"/>
  </r>
  <r>
    <d v="2021-03-23T00:00:00"/>
    <s v="VZ-2021-000269"/>
    <x v="2"/>
    <s v="Rosulek"/>
    <x v="137"/>
    <m/>
    <m/>
    <m/>
    <s v="38634000-8"/>
    <s v="2.3.490. "/>
    <n v="634653"/>
    <x v="2"/>
    <d v="2021-03-25T00:00:00"/>
    <d v="2021-04-08T00:00:00"/>
    <d v="2021-04-20T00:00:00"/>
    <s v="Olympus Czech Group, s.r.o."/>
    <m/>
    <n v="628760.31999999995"/>
    <n v="760799.9"/>
    <m/>
    <m/>
    <m/>
    <d v="2021-04-21T00:00:00"/>
    <s v="SMLN-2021-617-000166_x000a_SMLN-2021-612-000027"/>
    <x v="93"/>
    <d v="2021-07-02T00:00:00"/>
  </r>
  <r>
    <d v="2021-03-23T00:00:00"/>
    <s v="VZ-2021-000270"/>
    <x v="2"/>
    <s v="Rosulek"/>
    <x v="138"/>
    <m/>
    <m/>
    <m/>
    <s v="33194100-7"/>
    <s v="2.3.459."/>
    <n v="1294000"/>
    <x v="2"/>
    <d v="2021-04-27T00:00:00"/>
    <d v="2021-05-12T00:00:00"/>
    <d v="2021-07-14T00:00:00"/>
    <s v="3M Česko, spol. s r.o."/>
    <m/>
    <n v="1151738.6399999999"/>
    <n v="1393603.76"/>
    <m/>
    <m/>
    <m/>
    <d v="2021-07-14T00:00:00"/>
    <s v="SMLN-2021-617-000374_x000a_SMLN-2021-612-000068_x000a_SMLN-2021-617-000375"/>
    <x v="94"/>
    <d v="2021-07-29T00:00:00"/>
  </r>
  <r>
    <d v="2021-03-24T00:00:00"/>
    <s v="VZ-2021-000275"/>
    <x v="3"/>
    <s v="Zeman"/>
    <x v="139"/>
    <m/>
    <m/>
    <m/>
    <s v="45223300-9"/>
    <s v="1.2.71."/>
    <n v="15000000"/>
    <x v="1"/>
    <d v="2021-03-29T00:00:00"/>
    <d v="2021-04-20T00:00:00"/>
    <d v="2021-04-30T00:00:00"/>
    <s v="Hroší stavby Morava a.s."/>
    <m/>
    <n v="12870000"/>
    <n v="15572700"/>
    <m/>
    <m/>
    <m/>
    <d v="2021-05-03T00:00:00"/>
    <s v="SMLN-2021-618-000023"/>
    <x v="66"/>
    <d v="2021-06-17T00:00:00"/>
  </r>
  <r>
    <d v="2021-03-25T00:00:00"/>
    <s v="VZ-2021-000277"/>
    <x v="3"/>
    <s v="Valíček"/>
    <x v="140"/>
    <m/>
    <m/>
    <m/>
    <s v="45215100-8"/>
    <s v="1.2.61."/>
    <n v="33000000"/>
    <x v="1"/>
    <d v="2021-04-01T00:00:00"/>
    <d v="2021-04-23T00:00:00"/>
    <d v="2021-04-27T00:00:00"/>
    <s v="OHL ŽS, a.s."/>
    <m/>
    <n v="29995496.359999999"/>
    <n v="36294550.600000001"/>
    <m/>
    <m/>
    <m/>
    <d v="2021-04-27T00:00:00"/>
    <s v="SMLN-2021-618-000021"/>
    <x v="95"/>
    <d v="2021-06-14T00:00:00"/>
  </r>
  <r>
    <d v="2021-03-24T00:00:00"/>
    <s v="VZ-2021-000283"/>
    <x v="1"/>
    <s v="Valtová"/>
    <x v="141"/>
    <m/>
    <m/>
    <m/>
    <s v="33140000-3"/>
    <m/>
    <n v="1720000"/>
    <x v="2"/>
    <d v="2021-03-29T00:00:00"/>
    <d v="2021-04-08T00:00:00"/>
    <d v="2021-04-16T00:00:00"/>
    <s v="Johnson  &amp; Johnson s.r.o."/>
    <m/>
    <n v="1720000"/>
    <n v="1978000"/>
    <m/>
    <m/>
    <m/>
    <d v="2021-04-16T00:00:00"/>
    <s v="SMLN-2021-617-000158_x000a_SMLN-2021-614-000024_x000a_SMLN-2021-617-000159"/>
    <x v="73"/>
    <d v="2021-05-07T00:00:00"/>
  </r>
  <r>
    <d v="2021-03-25T00:00:00"/>
    <s v="VZ-2021-000284"/>
    <x v="1"/>
    <s v="Dočkalová"/>
    <x v="142"/>
    <m/>
    <m/>
    <m/>
    <s v="33168100-6"/>
    <m/>
    <n v="1026400"/>
    <x v="2"/>
    <d v="2021-03-29T00:00:00"/>
    <d v="2021-04-08T00:00:00"/>
    <d v="2021-04-21T00:00:00"/>
    <s v="MEDIAl, spol. s r.o."/>
    <m/>
    <n v="990000"/>
    <n v="1197900"/>
    <m/>
    <m/>
    <m/>
    <d v="2021-04-22T00:00:00"/>
    <s v="SMLN-2021-617-000167_x000a_SMLN-2021-614-000025"/>
    <x v="69"/>
    <d v="2021-05-14T00:00:00"/>
  </r>
  <r>
    <s v="opakovaná VZ"/>
    <s v="VZ-2021-000287"/>
    <x v="8"/>
    <s v="Kadlec"/>
    <x v="143"/>
    <m/>
    <m/>
    <m/>
    <s v="45421100-5"/>
    <m/>
    <n v="300000"/>
    <x v="2"/>
    <d v="2021-03-31T00:00:00"/>
    <d v="2021-04-13T00:00:00"/>
    <d v="2021-04-21T00:00:00"/>
    <s v="Dortechnik, s.r.o."/>
    <m/>
    <n v="315063.45"/>
    <n v="381226.77"/>
    <m/>
    <m/>
    <m/>
    <d v="2021-04-21T00:00:00"/>
    <s v="SMLN-2021-618-000020"/>
    <x v="35"/>
    <d v="2021-05-06T00:00:00"/>
  </r>
  <r>
    <d v="2021-03-29T00:00:00"/>
    <s v="VZ-2021-000289"/>
    <x v="1"/>
    <s v="Valtová"/>
    <x v="144"/>
    <m/>
    <m/>
    <m/>
    <s v="33140000-3"/>
    <m/>
    <n v="26078250"/>
    <x v="0"/>
    <d v="2021-04-06T00:00:00"/>
    <d v="2021-05-10T00:00:00"/>
    <d v="2021-05-18T00:00:00"/>
    <s v="CARDION s.r.o."/>
    <m/>
    <n v="26043478.260000002"/>
    <n v="29950000"/>
    <m/>
    <m/>
    <m/>
    <d v="2021-05-18T00:00:00"/>
    <s v="SMLN-2021-617-000235_x000a_SMLN-2021-614-000040"/>
    <x v="19"/>
    <d v="2021-06-16T00:00:00"/>
  </r>
  <r>
    <d v="2021-03-31T00:00:00"/>
    <s v="VZ-2021-000306"/>
    <x v="14"/>
    <s v="Fritscher"/>
    <x v="145"/>
    <m/>
    <m/>
    <m/>
    <s v="79800000-2"/>
    <m/>
    <n v="400000"/>
    <x v="2"/>
    <d v="2021-04-07T00:00:00"/>
    <d v="2021-04-16T00:00:00"/>
    <d v="2021-04-20T00:00:00"/>
    <s v="Profi-tisk group s.r.o."/>
    <m/>
    <n v="195006"/>
    <n v="214506.6"/>
    <m/>
    <m/>
    <m/>
    <d v="2021-04-20T00:00:00"/>
    <s v="SMLN-2021-617-000161"/>
    <x v="87"/>
    <d v="2021-05-26T00:00:00"/>
  </r>
  <r>
    <d v="2021-03-31T00:00:00"/>
    <s v="VZ-2021-000307"/>
    <x v="0"/>
    <s v="Ondráčková"/>
    <x v="146"/>
    <n v="1"/>
    <s v="RADIUM-(223RA)-DICHLORID"/>
    <m/>
    <s v="09343000-5"/>
    <m/>
    <n v="4144896"/>
    <x v="0"/>
    <d v="2021-04-28T00:00:00"/>
    <d v="2021-05-31T00:00:00"/>
    <d v="2021-08-17T00:00:00"/>
    <s v="BAYER s.r.o."/>
    <m/>
    <n v="4144896"/>
    <n v="4559385.5999999996"/>
    <m/>
    <m/>
    <m/>
    <d v="2021-08-17T00:00:00"/>
    <s v="SMLN-2021-617-000432"/>
    <x v="96"/>
    <d v="2021-09-30T00:00:00"/>
  </r>
  <r>
    <d v="2021-03-31T00:00:00"/>
    <s v="VZ-2021-000307"/>
    <x v="0"/>
    <s v="Ondráčková"/>
    <x v="146"/>
    <n v="2"/>
    <s v="LUTECIUM (177LU) OXODOTREOTID"/>
    <m/>
    <s v="09343000-5"/>
    <m/>
    <n v="63362375"/>
    <x v="0"/>
    <d v="2021-04-28T00:00:00"/>
    <d v="2021-05-31T00:00:00"/>
    <d v="2021-08-17T00:00:00"/>
    <s v="M.G.P. spol. s r.o."/>
    <m/>
    <n v="63360000"/>
    <n v="69696000"/>
    <m/>
    <m/>
    <m/>
    <d v="2021-08-17T00:00:00"/>
    <s v="SMLN-2021-617-000433"/>
    <x v="97"/>
    <d v="2021-09-30T00:00:00"/>
  </r>
  <r>
    <d v="2021-04-01T00:00:00"/>
    <s v="VZ-2021-000308"/>
    <x v="5"/>
    <s v="Oravec"/>
    <x v="147"/>
    <m/>
    <m/>
    <m/>
    <s v="72268000-1"/>
    <m/>
    <n v="575200"/>
    <x v="2"/>
    <d v="2021-04-09T00:00:00"/>
    <d v="2021-05-04T00:00:00"/>
    <d v="2021-05-21T00:00:00"/>
    <s v="O2 Czech Republic a.s."/>
    <m/>
    <n v="764800"/>
    <n v="925408"/>
    <m/>
    <m/>
    <m/>
    <d v="2021-05-21T00:00:00"/>
    <s v="SMLN-2021-612-000036"/>
    <x v="59"/>
    <d v="2021-06-28T00:00:00"/>
  </r>
  <r>
    <d v="2021-04-01T00:00:00"/>
    <s v="VZ-2021-000310"/>
    <x v="1"/>
    <s v="Dočkalová"/>
    <x v="148"/>
    <m/>
    <m/>
    <m/>
    <s v="33141310-6"/>
    <m/>
    <n v="3564039"/>
    <x v="1"/>
    <d v="2021-04-09T00:00:00"/>
    <d v="2021-04-28T00:00:00"/>
    <d v="2021-05-20T00:00:00"/>
    <s v="CHIRANA T. Injecta, s.r.o."/>
    <m/>
    <n v="3563538.45"/>
    <n v="4311881.5199999996"/>
    <m/>
    <m/>
    <m/>
    <d v="2021-05-20T00:00:00"/>
    <s v="SMLN-2021-617-000247"/>
    <x v="70"/>
    <d v="2021-06-16T00:00:00"/>
  </r>
  <r>
    <d v="2021-04-01T00:00:00"/>
    <s v="VZ-2021-000311"/>
    <x v="1"/>
    <s v="Dočkalová"/>
    <x v="149"/>
    <m/>
    <m/>
    <m/>
    <s v="33140000-3"/>
    <m/>
    <n v="81184000"/>
    <x v="0"/>
    <d v="2021-04-27T00:00:00"/>
    <d v="2021-07-12T00:00:00"/>
    <d v="2021-12-15T00:00:00"/>
    <s v="Terumo BCT Europe N.V."/>
    <m/>
    <n v="72480000"/>
    <n v="87700800"/>
    <m/>
    <m/>
    <m/>
    <d v="2021-12-16T00:00:00"/>
    <s v="SMLN-2021-616-000069_x000a_SMLN-2021-614-000129_x000a_SMLN-2021-616-000069"/>
    <x v="6"/>
    <m/>
  </r>
  <r>
    <d v="2021-04-06T00:00:00"/>
    <s v="VZ-2021-000312"/>
    <x v="1"/>
    <s v="Valtová"/>
    <x v="150"/>
    <m/>
    <m/>
    <m/>
    <s v="33140000-3"/>
    <m/>
    <n v="1250550"/>
    <x v="2"/>
    <d v="2021-04-13T00:00:00"/>
    <d v="2021-04-22T00:00:00"/>
    <d v="2021-04-23T00:00:00"/>
    <s v="IMMOMEDICAL CZ s.r.o."/>
    <m/>
    <n v="1250550"/>
    <n v="1438132.5"/>
    <m/>
    <m/>
    <m/>
    <d v="2021-04-23T00:00:00"/>
    <s v="SMLN-2021-617-000173_x000a_SMLN-2021-614-000029"/>
    <x v="98"/>
    <d v="2021-05-20T00:00:00"/>
  </r>
  <r>
    <s v="opakovaná VZ"/>
    <s v="VZ-2021-000316"/>
    <x v="1"/>
    <s v="Merta"/>
    <x v="151"/>
    <m/>
    <m/>
    <m/>
    <s v="33140000-3"/>
    <m/>
    <n v="536400"/>
    <x v="2"/>
    <d v="2021-04-09T00:00:00"/>
    <d v="2021-04-20T00:00:00"/>
    <d v="2021-04-22T00:00:00"/>
    <s v="BoneCare s.r.o."/>
    <m/>
    <n v="531900"/>
    <n v="611685"/>
    <m/>
    <m/>
    <m/>
    <d v="2021-04-22T00:00:00"/>
    <s v="SMLN-2021-617-000172_x000a_SMLN-2021-614-000028_x000a_SMLN-2021-616-000033"/>
    <x v="56"/>
    <d v="2021-05-13T00:00:00"/>
  </r>
  <r>
    <d v="2021-04-07T00:00:00"/>
    <s v="VZ-2021-000318"/>
    <x v="1"/>
    <s v="Valtová"/>
    <x v="152"/>
    <n v="1"/>
    <s v="Spy Glass - Katétr přístupový"/>
    <m/>
    <s v="33140000-3"/>
    <m/>
    <n v="2303400"/>
    <x v="0"/>
    <d v="2021-04-23T00:00:00"/>
    <d v="2021-05-26T00:00:00"/>
    <d v="2021-06-30T00:00:00"/>
    <s v="Boston Scientific Česká republika s.r.o."/>
    <m/>
    <n v="2211264"/>
    <n v="2675629.44"/>
    <m/>
    <m/>
    <m/>
    <d v="2021-07-01T00:00:00"/>
    <s v="SMLN-2021-617-000355_x000a_SMLN-2021-614-000065"/>
    <x v="99"/>
    <d v="2021-08-25T00:00:00"/>
  </r>
  <r>
    <d v="2021-04-07T00:00:00"/>
    <s v="VZ-2021-000318"/>
    <x v="1"/>
    <s v="Valtová"/>
    <x v="152"/>
    <n v="2"/>
    <s v="Spy Glass - Kleště bioptické"/>
    <m/>
    <s v="33140000-3"/>
    <m/>
    <n v="525000"/>
    <x v="0"/>
    <d v="2021-04-23T00:00:00"/>
    <d v="2021-05-26T00:00:00"/>
    <d v="2021-06-30T00:00:00"/>
    <s v="Boston Scientific Česká republika s.r.o."/>
    <m/>
    <n v="504000"/>
    <n v="609840"/>
    <m/>
    <m/>
    <m/>
    <d v="2021-07-01T00:00:00"/>
    <s v="SMLN-2021-617-000356_x000a_SMLN-2021-614-000066"/>
    <x v="99"/>
    <d v="2021-08-25T00:00:00"/>
  </r>
  <r>
    <d v="2021-04-07T00:00:00"/>
    <s v="VZ-2021-000318"/>
    <x v="1"/>
    <s v="Valtová"/>
    <x v="152"/>
    <n v="3"/>
    <s v="Spy Glass - Košík extrakční"/>
    <m/>
    <s v="33140000-3"/>
    <m/>
    <n v="230000"/>
    <x v="0"/>
    <d v="2021-04-23T00:00:00"/>
    <d v="2021-05-26T00:00:00"/>
    <m/>
    <s v="zrušeno - nesplnění kvalifikace"/>
    <s v="nová VZ-2021-000539"/>
    <m/>
    <m/>
    <m/>
    <m/>
    <m/>
    <m/>
    <m/>
    <x v="6"/>
    <d v="2021-06-17T00:00:00"/>
  </r>
  <r>
    <d v="2021-04-07T00:00:00"/>
    <s v="VZ-2021-000318"/>
    <x v="1"/>
    <s v="Valtová"/>
    <x v="152"/>
    <n v="4"/>
    <s v="Spy Glass - Klička polypektomická"/>
    <m/>
    <s v="33140000-3"/>
    <m/>
    <n v="230000"/>
    <x v="0"/>
    <d v="2021-04-23T00:00:00"/>
    <d v="2021-05-26T00:00:00"/>
    <m/>
    <s v="zrušeno - nesplnění kvalifikace"/>
    <s v="nová VZ-2021-000539"/>
    <m/>
    <m/>
    <m/>
    <m/>
    <m/>
    <m/>
    <m/>
    <x v="6"/>
    <d v="2021-06-17T00:00:00"/>
  </r>
  <r>
    <d v="2021-04-07T00:00:00"/>
    <s v="VZ-2021-000318"/>
    <x v="1"/>
    <s v="Valtová"/>
    <x v="152"/>
    <n v="5"/>
    <s v="Spy Glass - Sonda pro EHL"/>
    <m/>
    <s v="33140000-3"/>
    <m/>
    <n v="690000"/>
    <x v="0"/>
    <d v="2021-04-23T00:00:00"/>
    <d v="2021-05-26T00:00:00"/>
    <m/>
    <s v="zrušeno - překročení ceny"/>
    <s v="nová VZ-2021-000539"/>
    <m/>
    <m/>
    <m/>
    <m/>
    <m/>
    <m/>
    <m/>
    <x v="6"/>
    <d v="2021-06-04T00:00:00"/>
  </r>
  <r>
    <d v="2021-04-08T00:00:00"/>
    <s v="VZ-2021-000319"/>
    <x v="1"/>
    <s v="Dočkalová"/>
    <x v="153"/>
    <m/>
    <m/>
    <m/>
    <s v="33140000-3"/>
    <m/>
    <n v="1820160"/>
    <x v="2"/>
    <d v="2021-04-12T00:00:00"/>
    <d v="2021-04-27T00:00:00"/>
    <d v="2021-05-04T00:00:00"/>
    <s v="Mediform, spol. s r.o."/>
    <m/>
    <n v="1602120"/>
    <n v="1938565.2"/>
    <m/>
    <m/>
    <m/>
    <d v="2021-05-04T00:00:00"/>
    <s v="SMLN-2021-617-000198"/>
    <x v="87"/>
    <d v="2021-05-28T00:00:00"/>
  </r>
  <r>
    <d v="2021-04-08T00:00:00"/>
    <s v="VZ-2021-000321"/>
    <x v="0"/>
    <s v="Ondráčková"/>
    <x v="154"/>
    <m/>
    <m/>
    <m/>
    <s v="33694000-1, 38434000-6"/>
    <m/>
    <n v="2357310"/>
    <x v="1"/>
    <d v="2021-05-04T00:00:00"/>
    <d v="2021-06-02T00:00:00"/>
    <m/>
    <s v="zrušeno - nesplnění podmínek"/>
    <m/>
    <m/>
    <m/>
    <m/>
    <m/>
    <m/>
    <m/>
    <m/>
    <x v="6"/>
    <d v="2021-07-20T00:00:00"/>
  </r>
  <r>
    <d v="2021-04-08T00:00:00"/>
    <s v="VZ-2021-000322"/>
    <x v="1"/>
    <s v="Valtová"/>
    <x v="155"/>
    <m/>
    <m/>
    <m/>
    <s v="33140000-3"/>
    <m/>
    <n v="1138000"/>
    <x v="2"/>
    <d v="2021-04-12T00:00:00"/>
    <d v="2021-04-23T00:00:00"/>
    <d v="2021-04-28T00:00:00"/>
    <s v="Boston Scientific Česká republika s.r.o."/>
    <m/>
    <n v="1138000"/>
    <n v="1308700"/>
    <m/>
    <m/>
    <m/>
    <d v="2021-04-28T00:00:00"/>
    <s v="SMLN-2021-617-000184_x000a_SMLN-2021-614-000030"/>
    <x v="87"/>
    <d v="2021-05-26T00:00:00"/>
  </r>
  <r>
    <d v="2021-04-07T00:00:00"/>
    <s v="VZ-2021-000323"/>
    <x v="1"/>
    <s v="Dočkalová"/>
    <x v="156"/>
    <m/>
    <m/>
    <m/>
    <s v="33162200-5"/>
    <m/>
    <n v="1185000"/>
    <x v="2"/>
    <d v="2021-04-16T00:00:00"/>
    <d v="2021-04-30T00:00:00"/>
    <m/>
    <s v="zrušeno - nesplnění zadání"/>
    <s v="nová VZ-2021-000491"/>
    <m/>
    <m/>
    <m/>
    <m/>
    <m/>
    <m/>
    <m/>
    <x v="6"/>
    <d v="2021-05-18T00:00:00"/>
  </r>
  <r>
    <d v="2021-04-08T00:00:00"/>
    <s v="VZ-2021-000324"/>
    <x v="2"/>
    <s v="Rosulek"/>
    <x v="157"/>
    <m/>
    <m/>
    <m/>
    <s v="38433210-4"/>
    <s v="2.3.491."/>
    <n v="1033058"/>
    <x v="2"/>
    <d v="2021-04-15T00:00:00"/>
    <d v="2021-04-27T00:00:00"/>
    <d v="2021-05-24T00:00:00"/>
    <s v="CANBERRA-PACKARD, s.r.o."/>
    <m/>
    <n v="989400"/>
    <n v="1197174"/>
    <m/>
    <m/>
    <m/>
    <d v="2021-05-24T00:00:00"/>
    <s v="SMLN-2021-617-000251_x000a_SMLN-2021-612-000038"/>
    <x v="93"/>
    <d v="2021-07-13T00:00:00"/>
  </r>
  <r>
    <d v="2021-04-12T00:00:00"/>
    <s v="VZ-2021-000328"/>
    <x v="9"/>
    <s v="Svozil"/>
    <x v="158"/>
    <m/>
    <m/>
    <m/>
    <s v="71000000-8 "/>
    <s v="1.2.76."/>
    <n v="500000"/>
    <x v="2"/>
    <d v="2021-04-14T00:00:00"/>
    <d v="2021-04-19T00:00:00"/>
    <d v="2021-04-21T00:00:00"/>
    <s v="PKV BUILD s.r.o."/>
    <m/>
    <n v="998500"/>
    <n v="1208185"/>
    <m/>
    <m/>
    <m/>
    <d v="2021-04-21T00:00:00"/>
    <s v="SMLN-2021-612-000028"/>
    <x v="61"/>
    <d v="2021-04-22T00:00:00"/>
  </r>
  <r>
    <s v="opakovaná VZ"/>
    <s v="VZ-2021-000329"/>
    <x v="2"/>
    <s v="Rosulek"/>
    <x v="159"/>
    <m/>
    <m/>
    <m/>
    <s v="33155000-1"/>
    <s v="2.2.308, 2.2.309"/>
    <n v="348000"/>
    <x v="2"/>
    <d v="2021-04-15T00:00:00"/>
    <d v="2021-04-26T00:00:00"/>
    <d v="2021-05-05T00:00:00"/>
    <s v="Fidia Pharma CZ s.r.o."/>
    <m/>
    <n v="248075"/>
    <n v="300170.75"/>
    <m/>
    <m/>
    <m/>
    <d v="2021-05-05T00:00:00"/>
    <s v="SMLN-2021-617-000200_x000a_SMLN-2021-612-000029"/>
    <x v="100"/>
    <d v="2021-06-22T00:00:00"/>
  </r>
  <r>
    <d v="2021-04-13T00:00:00"/>
    <s v="VZ-2021-000336"/>
    <x v="4"/>
    <s v="Srovnal"/>
    <x v="160"/>
    <m/>
    <m/>
    <m/>
    <s v="45442100-8"/>
    <m/>
    <n v="15500000"/>
    <x v="1"/>
    <d v="2021-05-03T00:00:00"/>
    <d v="2021-05-19T00:00:00"/>
    <d v="2021-05-27T00:00:00"/>
    <s v="STAVNEMO s.r.o."/>
    <m/>
    <n v="14798602.25"/>
    <n v="17906308.719999999"/>
    <m/>
    <m/>
    <m/>
    <d v="2021-05-27T00:00:00"/>
    <s v="SMLN-2021-618-000038"/>
    <x v="93"/>
    <d v="2021-07-07T00:00:00"/>
  </r>
  <r>
    <d v="2021-04-14T00:00:00"/>
    <s v="VZ-2021-000337"/>
    <x v="1"/>
    <s v="Dočkalová"/>
    <x v="161"/>
    <m/>
    <m/>
    <m/>
    <s v="33140000-3"/>
    <m/>
    <n v="2100000"/>
    <x v="1"/>
    <d v="2021-04-22T00:00:00"/>
    <d v="2021-05-11T00:00:00"/>
    <d v="2021-05-18T00:00:00"/>
    <s v="EspoMed, spol.s  r.o."/>
    <m/>
    <n v="2100000"/>
    <n v="2415000"/>
    <m/>
    <m/>
    <m/>
    <d v="2021-05-18T00:00:00"/>
    <s v="SMLN-2021-617-000237_x000a_SMLN-2021-614-000042"/>
    <x v="77"/>
    <d v="2021-06-18T00:00:00"/>
  </r>
  <r>
    <d v="2021-04-14T00:00:00"/>
    <s v="VZ-2021-000338"/>
    <x v="1"/>
    <s v="Dočkalová"/>
    <x v="162"/>
    <m/>
    <m/>
    <m/>
    <s v="33140000-3"/>
    <m/>
    <n v="2066400"/>
    <x v="1"/>
    <d v="2021-04-22T00:00:00"/>
    <d v="2021-05-11T00:00:00"/>
    <d v="2021-05-18T00:00:00"/>
    <s v="EspoMed, spol.s  r.o."/>
    <m/>
    <n v="2066400"/>
    <n v="2376360"/>
    <m/>
    <m/>
    <m/>
    <d v="2021-05-18T00:00:00"/>
    <s v="SMLN-2021-617-000236_x000a_SMLN-2021-614-000041"/>
    <x v="77"/>
    <d v="2021-06-18T00:00:00"/>
  </r>
  <r>
    <d v="2021-04-14T00:00:00"/>
    <s v="VZ-2021-000340"/>
    <x v="1"/>
    <s v="Dočkalová"/>
    <x v="163"/>
    <m/>
    <m/>
    <m/>
    <s v="33140000-3"/>
    <m/>
    <n v="524480"/>
    <x v="2"/>
    <d v="2021-04-16T00:00:00"/>
    <d v="2021-04-27T00:00:00"/>
    <d v="2021-05-03T00:00:00"/>
    <s v="ARID obchodní společnost, s.r.o."/>
    <m/>
    <n v="524480"/>
    <n v="634620.80000000005"/>
    <m/>
    <m/>
    <m/>
    <d v="2021-05-03T00:00:00"/>
    <s v="SMLN-2021-617-000193_x000a_SMLN-2021-614-000032"/>
    <x v="69"/>
    <d v="2021-05-14T00:00:00"/>
  </r>
  <r>
    <d v="2021-04-14T00:00:00"/>
    <s v="VZ-2021-000341"/>
    <x v="1"/>
    <s v="Dočkalová"/>
    <x v="164"/>
    <m/>
    <m/>
    <m/>
    <s v="33140000-3"/>
    <m/>
    <n v="661500"/>
    <x v="2"/>
    <d v="2021-04-16T00:00:00"/>
    <d v="2021-04-27T00:00:00"/>
    <d v="2021-05-03T00:00:00"/>
    <s v="EspoMed, spol.s  r.o."/>
    <m/>
    <n v="661500"/>
    <n v="800415"/>
    <m/>
    <m/>
    <m/>
    <d v="2021-05-03T00:00:00"/>
    <s v="SMLN-2021-617-000192_x000a_SMLN-2021-614-000031"/>
    <x v="74"/>
    <d v="2021-06-01T00:00:00"/>
  </r>
  <r>
    <d v="2021-04-15T00:00:00"/>
    <s v="VZ-2021-000344"/>
    <x v="0"/>
    <s v="Ondráčková"/>
    <x v="165"/>
    <n v="1"/>
    <s v="FLUDEOXYLUKOSA-(18F)"/>
    <m/>
    <s v="09343000-5"/>
    <m/>
    <n v="47769150"/>
    <x v="0"/>
    <d v="2021-04-19T00:00:00"/>
    <d v="2021-07-15T00:00:00"/>
    <d v="2021-09-17T00:00:00"/>
    <s v="RadioMedic s.r.o."/>
    <m/>
    <n v="47368290"/>
    <n v="52105119"/>
    <m/>
    <m/>
    <m/>
    <d v="2021-09-17T00:00:00"/>
    <s v="SMLN-2021-617-000506"/>
    <x v="101"/>
    <d v="2021-10-14T00:00:00"/>
  </r>
  <r>
    <s v="opakovaná VZ"/>
    <s v="VZ-2021-000345"/>
    <x v="0"/>
    <s v="Ondráčková"/>
    <x v="166"/>
    <n v="1"/>
    <s v="INTERFERON BETA-1A I."/>
    <m/>
    <s v="33652000-5"/>
    <m/>
    <n v="73696560"/>
    <x v="0"/>
    <d v="2021-04-22T00:00:00"/>
    <d v="2021-05-26T00:00:00"/>
    <d v="2021-06-14T00:00:00"/>
    <s v="Alliance Healthcare s.r.o."/>
    <m/>
    <n v="50990004.659999996"/>
    <n v="56089005.130000003"/>
    <m/>
    <m/>
    <m/>
    <d v="2021-06-14T00:00:00"/>
    <s v="SMLN-2021-617-000300"/>
    <x v="90"/>
    <d v="2021-07-15T00:00:00"/>
  </r>
  <r>
    <d v="2021-04-15T00:00:00"/>
    <s v="VZ-2021-000346"/>
    <x v="0"/>
    <s v="Ondráčková"/>
    <x v="167"/>
    <n v="1"/>
    <s v="RISANKIZUMAB"/>
    <m/>
    <s v="33652300-8"/>
    <m/>
    <n v="3111822"/>
    <x v="0"/>
    <d v="2021-04-19T00:00:00"/>
    <d v="2021-07-07T00:00:00"/>
    <d v="2021-08-09T00:00:00"/>
    <s v="AbbVie s.r.o."/>
    <m/>
    <n v="3111818.85"/>
    <n v="3423000.74"/>
    <m/>
    <m/>
    <m/>
    <d v="2021-08-10T00:00:00"/>
    <s v="SMLN-2021-617-000415"/>
    <x v="102"/>
    <d v="2021-09-07T00:00:00"/>
  </r>
  <r>
    <d v="2021-04-15T00:00:00"/>
    <s v="VZ-2021-000346"/>
    <x v="0"/>
    <s v="Ondráčková"/>
    <x v="167"/>
    <n v="2"/>
    <s v="UPADACITINIB"/>
    <m/>
    <s v="33652300-8"/>
    <m/>
    <n v="10122390"/>
    <x v="0"/>
    <d v="2021-04-19T00:00:00"/>
    <d v="2021-07-07T00:00:00"/>
    <d v="2021-08-09T00:00:00"/>
    <s v="AbbVie s.r.o."/>
    <m/>
    <n v="10122390"/>
    <n v="11134629"/>
    <m/>
    <m/>
    <m/>
    <d v="2021-08-10T00:00:00"/>
    <s v="SMLN-2021-617-000416"/>
    <x v="102"/>
    <d v="2021-09-07T00:00:00"/>
  </r>
  <r>
    <d v="2021-04-15T00:00:00"/>
    <s v="VZ-2021-000347"/>
    <x v="4"/>
    <s v="Srovnal"/>
    <x v="168"/>
    <m/>
    <m/>
    <m/>
    <s v="42513290-4"/>
    <s v="4.2.154."/>
    <n v="4600000"/>
    <x v="0"/>
    <d v="2021-04-21T00:00:00"/>
    <d v="2021-05-24T00:00:00"/>
    <m/>
    <s v="zrušeno - po obdržení námitek již mimo domluvené termíny realizace"/>
    <m/>
    <m/>
    <m/>
    <m/>
    <m/>
    <m/>
    <m/>
    <m/>
    <x v="6"/>
    <d v="2021-07-19T00:00:00"/>
  </r>
  <r>
    <d v="2021-04-22T00:00:00"/>
    <s v="VZ-2021-000354"/>
    <x v="1"/>
    <s v="Dočkalová"/>
    <x v="169"/>
    <m/>
    <m/>
    <m/>
    <s v="33140000-3"/>
    <m/>
    <n v="595548"/>
    <x v="2"/>
    <d v="2021-04-27T00:00:00"/>
    <d v="2021-05-11T00:00:00"/>
    <d v="2021-05-20T00:00:00"/>
    <s v="CHEIRÓN, a.s."/>
    <m/>
    <n v="616115.28"/>
    <n v="745500"/>
    <m/>
    <m/>
    <m/>
    <d v="2021-05-20T00:00:00"/>
    <s v="SMLN-2021-617-000248_x000a_SMLN-2021-616-000044"/>
    <x v="89"/>
    <d v="2021-06-09T00:00:00"/>
  </r>
  <r>
    <d v="2021-04-19T00:00:00"/>
    <s v="VZ-2021-000359"/>
    <x v="2"/>
    <s v="Rosulek"/>
    <x v="170"/>
    <m/>
    <m/>
    <m/>
    <s v="33162100-4"/>
    <s v="2.2.299."/>
    <n v="3465000"/>
    <x v="0"/>
    <d v="2021-04-27T00:00:00"/>
    <d v="2021-06-01T00:00:00"/>
    <d v="2021-06-18T00:00:00"/>
    <s v="Carl Zeiss spol. s r.o."/>
    <m/>
    <n v="3339400"/>
    <n v="4040674"/>
    <m/>
    <m/>
    <m/>
    <d v="2021-06-18T00:00:00"/>
    <s v="SMLN-2021-617-000311_x000a_SMLN-2021-612-000055"/>
    <x v="51"/>
    <d v="2021-07-16T00:00:00"/>
  </r>
  <r>
    <d v="2021-09-03T00:00:00"/>
    <s v="VZ-2021-000371"/>
    <x v="15"/>
    <s v="Křivková"/>
    <x v="171"/>
    <m/>
    <m/>
    <m/>
    <s v="79221000-9"/>
    <m/>
    <n v="450000"/>
    <x v="2"/>
    <d v="2021-09-07T00:00:00"/>
    <d v="2021-09-15T00:00:00"/>
    <d v="2021-09-30T00:00:00"/>
    <s v="AGIS úcetnictví a daně, a.s."/>
    <m/>
    <n v="576000"/>
    <n v="696960"/>
    <m/>
    <m/>
    <m/>
    <d v="2021-09-30T00:00:00"/>
    <s v="SMLN-2021-612-000108"/>
    <x v="103"/>
    <d v="2021-10-15T00:00:00"/>
  </r>
  <r>
    <d v="2021-04-23T00:00:00"/>
    <s v="VZ-2021-000381"/>
    <x v="1"/>
    <s v="Dočkalová"/>
    <x v="172"/>
    <m/>
    <m/>
    <m/>
    <s v="33140000-3"/>
    <m/>
    <n v="623200"/>
    <x v="2"/>
    <d v="2021-04-27T00:00:00"/>
    <d v="2021-05-11T00:00:00"/>
    <d v="2021-05-17T00:00:00"/>
    <s v="ARID obchodní společnost, s.r.o."/>
    <m/>
    <n v="623200"/>
    <n v="754072"/>
    <m/>
    <m/>
    <m/>
    <d v="2021-05-18T00:00:00"/>
    <s v="SMLN-2021-617-000241_x000a_SMLN-2021-614-000046"/>
    <x v="53"/>
    <d v="2021-06-04T00:00:00"/>
  </r>
  <r>
    <s v="opakovaná VZ"/>
    <s v="VZ-2021-000382"/>
    <x v="2"/>
    <s v="Rosulek"/>
    <x v="173"/>
    <m/>
    <m/>
    <m/>
    <s v="33162100-4"/>
    <s v="2.2.270, 2.3.376., 2.3.447"/>
    <n v="340000"/>
    <x v="2"/>
    <d v="2021-04-27T00:00:00"/>
    <d v="2021-05-07T00:00:00"/>
    <d v="2021-05-24T00:00:00"/>
    <s v="VBM - lékařská technika, spol. s r.o."/>
    <m/>
    <n v="287540"/>
    <n v="347923.4"/>
    <m/>
    <m/>
    <m/>
    <d v="2021-05-24T00:00:00"/>
    <s v="SMLN-2021-617-000252_x000a_SMLN-2021-612-000039"/>
    <x v="19"/>
    <d v="2021-06-14T00:00:00"/>
  </r>
  <r>
    <d v="2021-04-22T00:00:00"/>
    <s v="VZ-2021-000384"/>
    <x v="2"/>
    <s v="Zemánek"/>
    <x v="174"/>
    <m/>
    <m/>
    <m/>
    <s v="33167000-8"/>
    <m/>
    <n v="720000"/>
    <x v="2"/>
    <d v="2021-04-29T00:00:00"/>
    <d v="2021-05-13T00:00:00"/>
    <d v="2021-05-24T00:00:00"/>
    <s v="DN FORMED Brno s.r.o."/>
    <m/>
    <n v="529580.69999999995"/>
    <n v="640792.65"/>
    <m/>
    <m/>
    <m/>
    <d v="2021-05-24T00:00:00"/>
    <s v="SMLN-2021-617-000253_x000a_SMLN-2021-612-000040"/>
    <x v="89"/>
    <d v="2021-06-08T00:00:00"/>
  </r>
  <r>
    <s v="26.4.2021."/>
    <s v="VZ-2021-000386"/>
    <x v="1"/>
    <s v="Valtová"/>
    <x v="175"/>
    <m/>
    <m/>
    <m/>
    <s v="33140000-3"/>
    <m/>
    <n v="540000"/>
    <x v="2"/>
    <d v="2021-04-30T00:00:00"/>
    <d v="2021-05-12T00:00:00"/>
    <d v="2021-05-18T00:00:00"/>
    <s v="PROMEDICA PRAHA GROUP, a.s."/>
    <m/>
    <n v="420000"/>
    <n v="508200"/>
    <m/>
    <m/>
    <m/>
    <d v="2021-05-18T00:00:00"/>
    <s v="SMLN-2021-617-000242_x000a_SMLN-2021-614-000047"/>
    <x v="85"/>
    <d v="2021-06-03T00:00:00"/>
  </r>
  <r>
    <d v="2021-04-27T00:00:00"/>
    <s v="VZ-2021-000389"/>
    <x v="1"/>
    <s v="Dočkalová"/>
    <x v="176"/>
    <m/>
    <m/>
    <m/>
    <s v="33158210-7"/>
    <m/>
    <n v="21132446.100000001"/>
    <x v="0"/>
    <d v="2021-08-19T00:00:00"/>
    <d v="2021-10-07T00:00:00"/>
    <d v="2021-10-26T00:00:00"/>
    <s v="MEDIFINE a.s."/>
    <m/>
    <n v="20284280.399999999"/>
    <n v="23415000"/>
    <m/>
    <m/>
    <m/>
    <d v="2021-10-26T00:00:00"/>
    <s v="SMLN-2021-617-000589_x000a_SMLN-2021-614-000096"/>
    <x v="104"/>
    <d v="2021-12-01T00:00:00"/>
  </r>
  <r>
    <d v="2021-04-26T00:00:00"/>
    <s v="VZ-2021-000392"/>
    <x v="5"/>
    <s v="Oravec"/>
    <x v="177"/>
    <m/>
    <m/>
    <m/>
    <s v="30232110-8,30232120-1"/>
    <m/>
    <n v="851900"/>
    <x v="2"/>
    <d v="2021-04-30T00:00:00"/>
    <d v="2021-05-13T00:00:00"/>
    <m/>
    <s v="zrušeno - úprava specifikace"/>
    <s v="nová VZ-2021-000822"/>
    <m/>
    <m/>
    <m/>
    <m/>
    <m/>
    <m/>
    <m/>
    <x v="6"/>
    <d v="2021-06-10T00:00:00"/>
  </r>
  <r>
    <d v="2021-04-27T00:00:00"/>
    <s v="VZ-2021-000393"/>
    <x v="0"/>
    <s v="Ondráčková"/>
    <x v="178"/>
    <n v="1"/>
    <s v="DEFEROXAMIN"/>
    <m/>
    <s v="33693000-4 "/>
    <m/>
    <n v="112572"/>
    <x v="0"/>
    <d v="2021-05-05T00:00:00"/>
    <d v="2021-06-07T00:00:00"/>
    <d v="2021-06-25T00:00:00"/>
    <s v="Alliance Healthcare s.r.o."/>
    <m/>
    <n v="112572"/>
    <n v="123829.2"/>
    <m/>
    <m/>
    <m/>
    <d v="2021-06-25T00:00:00"/>
    <s v="SMLN-2021-617-000342"/>
    <x v="105"/>
    <d v="2021-08-02T00:00:00"/>
  </r>
  <r>
    <d v="2021-04-27T00:00:00"/>
    <s v="VZ-2021-000393"/>
    <x v="0"/>
    <s v="Ondráčková"/>
    <x v="178"/>
    <n v="2"/>
    <s v="DEFERIPRON"/>
    <m/>
    <s v="33693000-4 "/>
    <m/>
    <n v="260591"/>
    <x v="0"/>
    <d v="2021-05-05T00:00:00"/>
    <d v="2021-06-07T00:00:00"/>
    <m/>
    <s v="zrušeno - bez nabídky"/>
    <m/>
    <m/>
    <m/>
    <m/>
    <m/>
    <m/>
    <m/>
    <m/>
    <x v="6"/>
    <d v="2021-07-20T00:00:00"/>
  </r>
  <r>
    <d v="2021-04-27T00:00:00"/>
    <s v="VZ-2021-000393"/>
    <x v="0"/>
    <s v="Ondráčková"/>
    <x v="178"/>
    <n v="3"/>
    <s v="DEFERASIROX"/>
    <m/>
    <s v="33693000-4 "/>
    <m/>
    <n v="15790500"/>
    <x v="0"/>
    <d v="2021-05-05T00:00:00"/>
    <d v="2021-06-07T00:00:00"/>
    <d v="2021-06-25T00:00:00"/>
    <s v="Alliance Healthcare s.r.o."/>
    <m/>
    <n v="15790500"/>
    <n v="17369550"/>
    <m/>
    <m/>
    <m/>
    <d v="2021-06-25T00:00:00"/>
    <s v="SMLN-2021-617-000343"/>
    <x v="105"/>
    <d v="2021-08-02T00:00:00"/>
  </r>
  <r>
    <d v="2021-04-27T00:00:00"/>
    <s v="VZ-2021-000394"/>
    <x v="0"/>
    <s v="Ondráčková"/>
    <x v="179"/>
    <n v="1"/>
    <s v="NIRAPARIB"/>
    <m/>
    <s v="33652000-5"/>
    <m/>
    <n v="20937833"/>
    <x v="0"/>
    <d v="2021-05-04T00:00:00"/>
    <d v="2021-06-22T00:00:00"/>
    <d v="2021-07-13T00:00:00"/>
    <s v="PHARMOS, a.s."/>
    <m/>
    <n v="20418233.550000001"/>
    <n v="22460056.91"/>
    <m/>
    <m/>
    <m/>
    <d v="2021-07-13T00:00:00"/>
    <s v="SMLN-2021-617-000365"/>
    <x v="1"/>
    <d v="2021-08-13T00:00:00"/>
  </r>
  <r>
    <d v="2021-04-27T00:00:00"/>
    <s v="VZ-2021-000394"/>
    <x v="0"/>
    <s v="Ondráčková"/>
    <x v="179"/>
    <n v="2"/>
    <s v="OLAPARIB"/>
    <m/>
    <s v="33652000-5"/>
    <m/>
    <n v="62307846"/>
    <x v="0"/>
    <d v="2021-05-04T00:00:00"/>
    <d v="2021-06-22T00:00:00"/>
    <m/>
    <s v="zrušeno - bez nabídky"/>
    <m/>
    <m/>
    <m/>
    <m/>
    <m/>
    <m/>
    <m/>
    <m/>
    <x v="6"/>
    <d v="2021-06-24T00:00:00"/>
  </r>
  <r>
    <d v="2021-04-27T00:00:00"/>
    <s v="VZ-2021-000394"/>
    <x v="0"/>
    <s v="Ondráčková"/>
    <x v="179"/>
    <n v="3"/>
    <s v="LP ze skupiny cytostatik I."/>
    <m/>
    <s v="33652000-5"/>
    <m/>
    <n v="40221720"/>
    <x v="0"/>
    <d v="2021-05-04T00:00:00"/>
    <d v="2021-06-22T00:00:00"/>
    <d v="2021-07-13T00:00:00"/>
    <s v="Alliance Healthcare s.r.o."/>
    <m/>
    <n v="40221280.799999997"/>
    <n v="44243408.880000003"/>
    <m/>
    <m/>
    <m/>
    <d v="2021-07-13T00:00:00"/>
    <s v="SMLN-2021-617-000367"/>
    <x v="106"/>
    <d v="2021-08-13T00:00:00"/>
  </r>
  <r>
    <d v="2021-04-27T00:00:00"/>
    <s v="VZ-2021-000394"/>
    <x v="0"/>
    <s v="Ondráčková"/>
    <x v="179"/>
    <n v="4"/>
    <s v="NERATINIB"/>
    <m/>
    <s v="33652000-5"/>
    <m/>
    <n v="15164580"/>
    <x v="0"/>
    <d v="2021-05-04T00:00:00"/>
    <d v="2021-06-22T00:00:00"/>
    <d v="2021-07-13T00:00:00"/>
    <s v="Alliance Healthcare s.r.o."/>
    <m/>
    <n v="15164560.800000001"/>
    <n v="16681016.880000001"/>
    <m/>
    <m/>
    <m/>
    <d v="2021-07-13T00:00:00"/>
    <s v="SMLN-2021-617-000368"/>
    <x v="106"/>
    <d v="2021-08-13T00:00:00"/>
  </r>
  <r>
    <d v="2021-04-14T00:00:00"/>
    <s v="VZ-2021-000396"/>
    <x v="1"/>
    <s v="Dočkalová"/>
    <x v="180"/>
    <m/>
    <m/>
    <m/>
    <s v="33162200-5"/>
    <m/>
    <n v="1266840"/>
    <x v="0"/>
    <d v="2021-05-04T00:00:00"/>
    <d v="2021-06-07T00:00:00"/>
    <d v="2021-06-22T00:00:00"/>
    <s v="Johnson  &amp; Johnson s.r.o."/>
    <m/>
    <n v="1266840"/>
    <n v="1532876.4"/>
    <m/>
    <m/>
    <m/>
    <d v="2021-06-22T00:00:00"/>
    <s v="SMLN-2021-617-000323_x000a_SMLN-2021-614-000064"/>
    <x v="107"/>
    <d v="2021-08-05T00:00:00"/>
  </r>
  <r>
    <d v="2021-04-26T00:00:00"/>
    <s v="VZ-2021-000398"/>
    <x v="1"/>
    <s v="Dočkalová"/>
    <x v="181"/>
    <m/>
    <m/>
    <m/>
    <s v="33140000-3"/>
    <m/>
    <n v="1212000"/>
    <x v="2"/>
    <d v="2021-04-29T00:00:00"/>
    <d v="2021-05-10T00:00:00"/>
    <d v="2021-05-17T00:00:00"/>
    <s v="BARD Czech Republic s.r.o."/>
    <m/>
    <n v="1138800"/>
    <n v="1309620"/>
    <m/>
    <m/>
    <m/>
    <d v="2021-05-18T00:00:00"/>
    <s v="SMLN-2021-617-000240_x000a_SMLN-2021-614-000045"/>
    <x v="89"/>
    <d v="2021-06-08T00:00:00"/>
  </r>
  <r>
    <d v="2021-04-29T00:00:00"/>
    <s v="VZ-2021-000400"/>
    <x v="2"/>
    <s v="Olejníček"/>
    <x v="182"/>
    <m/>
    <m/>
    <m/>
    <s v="33157400-9"/>
    <s v="2.2.259.,2.2.329."/>
    <n v="575780"/>
    <x v="2"/>
    <d v="2021-05-05T00:00:00"/>
    <d v="2021-05-17T00:00:00"/>
    <d v="2021-05-24T00:00:00"/>
    <s v="Saegeling Medizintechnik, s.r.o. "/>
    <m/>
    <n v="493160"/>
    <n v="578958.19999999995"/>
    <m/>
    <m/>
    <m/>
    <d v="2021-05-24T00:00:00"/>
    <s v="SMLN-2021-617-000254_x000a_SMLN-2021-612-000041_x000a_SMLN-2021-617-000255"/>
    <x v="66"/>
    <d v="2021-06-15T00:00:00"/>
  </r>
  <r>
    <d v="2021-05-03T00:00:00"/>
    <s v="VZ-2021-000409"/>
    <x v="3"/>
    <s v="Zeman"/>
    <x v="183"/>
    <m/>
    <m/>
    <m/>
    <s v="45223300-9, 45233222-1"/>
    <m/>
    <n v="600000"/>
    <x v="2"/>
    <d v="2021-05-04T00:00:00"/>
    <d v="2021-05-14T00:00:00"/>
    <d v="2021-06-28T00:00:00"/>
    <s v="GALVA TRANS, s.r.o."/>
    <m/>
    <n v="587344.43000000005"/>
    <n v="710686.76"/>
    <m/>
    <m/>
    <m/>
    <d v="2021-06-28T00:00:00"/>
    <s v="SMLN-2021-618-000049"/>
    <x v="58"/>
    <d v="2021-07-16T00:00:00"/>
  </r>
  <r>
    <d v="2021-05-03T00:00:00"/>
    <s v="VZ-2021-000411"/>
    <x v="1"/>
    <s v="Valtová"/>
    <x v="184"/>
    <n v="1"/>
    <s v="Aplikátor klipů pro endoskopické stavění krvácení  rotační  jednorázový"/>
    <m/>
    <s v="33140000-3"/>
    <m/>
    <n v="496000"/>
    <x v="1"/>
    <d v="2021-05-06T00:00:00"/>
    <d v="2021-06-08T00:00:00"/>
    <d v="2021-07-13T00:00:00"/>
    <s v="Olympus Czech Group, s.r.o."/>
    <m/>
    <n v="496000"/>
    <n v="600160"/>
    <m/>
    <m/>
    <m/>
    <d v="2021-07-13T00:00:00"/>
    <s v="SMLN-2021-617-000364_x000a_SMLN-2021-614-000067"/>
    <x v="1"/>
    <d v="2021-09-01T00:00:00"/>
  </r>
  <r>
    <d v="2021-05-03T00:00:00"/>
    <s v="VZ-2021-000411"/>
    <x v="1"/>
    <s v="Valtová"/>
    <x v="184"/>
    <n v="2"/>
    <s v="Aplikátor klipů pro endoskopické stavění  krvácení  jednorázový"/>
    <m/>
    <s v="33140000-3"/>
    <m/>
    <n v="2797500"/>
    <x v="1"/>
    <d v="2021-05-06T00:00:00"/>
    <d v="2021-06-08T00:00:00"/>
    <d v="2021-08-03T00:00:00"/>
    <s v="Medinet, s.r.o."/>
    <m/>
    <n v="2085000"/>
    <n v="2522850"/>
    <m/>
    <m/>
    <m/>
    <d v="2021-08-03T00:00:00"/>
    <s v="SMLN-2021-617-000402_x000a_SMLN-2021-614-000073"/>
    <x v="108"/>
    <d v="2021-09-01T00:00:00"/>
  </r>
  <r>
    <d v="2021-05-03T00:00:00"/>
    <s v="VZ-2021-000411"/>
    <x v="1"/>
    <s v="Valtová"/>
    <x v="184"/>
    <n v="3"/>
    <s v="Klip pro endoskopické stavění krvácení "/>
    <m/>
    <s v="33140000-3"/>
    <m/>
    <n v="220000"/>
    <x v="1"/>
    <d v="2021-05-06T00:00:00"/>
    <d v="2021-06-08T00:00:00"/>
    <d v="2021-07-13T00:00:00"/>
    <s v="Olympus Czech Group, s.r.o."/>
    <m/>
    <n v="220000"/>
    <n v="266200"/>
    <m/>
    <m/>
    <m/>
    <d v="2021-07-13T00:00:00"/>
    <s v="SMLN-2021-617-000366_x000a_SMLN-2021-614-000068"/>
    <x v="1"/>
    <d v="2021-09-01T00:00:00"/>
  </r>
  <r>
    <d v="2021-04-27T00:00:00"/>
    <s v="VZ-2021-000412"/>
    <x v="1"/>
    <s v="Dočkalová"/>
    <x v="185"/>
    <m/>
    <m/>
    <m/>
    <s v="33140000-3"/>
    <m/>
    <n v="534100"/>
    <x v="2"/>
    <d v="2021-05-06T00:00:00"/>
    <d v="2021-05-14T00:00:00"/>
    <d v="2021-05-17T00:00:00"/>
    <s v="CARDION s.r.o."/>
    <m/>
    <n v="534099.12"/>
    <n v="614214"/>
    <m/>
    <m/>
    <m/>
    <d v="2021-05-18T00:00:00"/>
    <s v="SMLN-2021-617-000239_x000a_SMLN-2021-614-000044"/>
    <x v="89"/>
    <d v="2021-06-10T00:00:00"/>
  </r>
  <r>
    <d v="2021-05-03T00:00:00"/>
    <s v="VZ-2021-000420"/>
    <x v="2"/>
    <s v="Olejníček"/>
    <x v="186"/>
    <m/>
    <m/>
    <m/>
    <s v="38510000-3"/>
    <s v="2.3.309."/>
    <n v="178000"/>
    <x v="2"/>
    <d v="2021-05-06T00:00:00"/>
    <d v="2021-05-14T00:00:00"/>
    <m/>
    <s v="zrušeno - překročení ceny servisních nákladů"/>
    <s v="nová VZ-2021-000709"/>
    <m/>
    <m/>
    <m/>
    <m/>
    <m/>
    <m/>
    <m/>
    <x v="6"/>
    <d v="2021-05-18T00:00:00"/>
  </r>
  <r>
    <d v="2021-05-04T00:00:00"/>
    <s v="VZ-2021-000421"/>
    <x v="2"/>
    <s v="Olejníček"/>
    <x v="187"/>
    <m/>
    <m/>
    <m/>
    <s v="33162100-3"/>
    <s v="2.3.547."/>
    <n v="161600"/>
    <x v="2"/>
    <d v="2021-05-10T00:00:00"/>
    <d v="2021-05-20T00:00:00"/>
    <d v="2021-05-24T00:00:00"/>
    <s v="bamed, s.r.o."/>
    <m/>
    <n v="149155"/>
    <n v="180477.55"/>
    <m/>
    <m/>
    <m/>
    <d v="2021-05-24T00:00:00"/>
    <s v="SMLN-2021-617-000257_x000a_SMLN-2021-612-000042_x000a_SMLN-2021-617-000256"/>
    <x v="19"/>
    <d v="2021-06-15T00:00:00"/>
  </r>
  <r>
    <d v="2021-05-05T00:00:00"/>
    <s v="VZ-2021-000427"/>
    <x v="0"/>
    <s v="Ondráčková"/>
    <x v="188"/>
    <n v="1"/>
    <s v="DUPILUMAB"/>
    <m/>
    <s v="33630000-5"/>
    <m/>
    <n v="13901319"/>
    <x v="0"/>
    <d v="2021-05-07T00:00:00"/>
    <d v="2021-06-17T00:00:00"/>
    <d v="2021-06-29T00:00:00"/>
    <s v="sanofi - aventis, s.r.o."/>
    <m/>
    <n v="13901318.130000001"/>
    <n v="15291449.939999999"/>
    <m/>
    <m/>
    <m/>
    <d v="2021-06-29T00:00:00"/>
    <s v="SMLN-2021-617-000353"/>
    <x v="105"/>
    <d v="2021-07-23T00:00:00"/>
  </r>
  <r>
    <d v="2021-05-05T00:00:00"/>
    <s v="VZ-2021-000428"/>
    <x v="0"/>
    <s v="Ondráčková"/>
    <x v="189"/>
    <n v="1"/>
    <s v="FORSTEO"/>
    <m/>
    <s v="33642000-2"/>
    <m/>
    <n v="1288350"/>
    <x v="0"/>
    <d v="2021-05-07T00:00:00"/>
    <d v="2021-06-11T00:00:00"/>
    <d v="2021-06-25T00:00:00"/>
    <s v="Alliance Healthcare s.r.o."/>
    <m/>
    <n v="1275394.05"/>
    <n v="1402933.46"/>
    <m/>
    <m/>
    <m/>
    <d v="2021-06-25T00:00:00"/>
    <s v="SMLN-2021-617-000344"/>
    <x v="105"/>
    <d v="2021-07-23T00:00:00"/>
  </r>
  <r>
    <d v="2021-05-05T00:00:00"/>
    <s v="VZ-2021-000428"/>
    <x v="0"/>
    <s v="Ondráčková"/>
    <x v="189"/>
    <n v="2"/>
    <s v="TERROSA"/>
    <m/>
    <s v="33642000-2"/>
    <m/>
    <n v="2552160"/>
    <x v="0"/>
    <d v="2021-05-07T00:00:00"/>
    <d v="2021-06-11T00:00:00"/>
    <d v="2021-06-25T00:00:00"/>
    <s v="Alliance Healthcare s.r.o."/>
    <m/>
    <n v="2526395.04"/>
    <n v="2779034.54"/>
    <m/>
    <m/>
    <m/>
    <d v="2021-06-25T00:00:00"/>
    <s v="SMLN-2021-617-000345"/>
    <x v="105"/>
    <d v="2021-07-23T00:00:00"/>
  </r>
  <r>
    <d v="2021-05-05T00:00:00"/>
    <s v="VZ-2021-000428"/>
    <x v="0"/>
    <s v="Ondráčková"/>
    <x v="189"/>
    <n v="3"/>
    <s v="TERIPARATID"/>
    <m/>
    <s v="33642000-2"/>
    <m/>
    <n v="245400"/>
    <x v="0"/>
    <d v="2021-05-07T00:00:00"/>
    <d v="2021-06-11T00:00:00"/>
    <d v="2021-06-25T00:00:00"/>
    <s v="Alliance Healthcare s.r.o."/>
    <m/>
    <n v="242922.6"/>
    <n v="267214.86"/>
    <m/>
    <m/>
    <m/>
    <d v="2021-06-25T00:00:00"/>
    <s v="SMLN-2021-617-000346"/>
    <x v="105"/>
    <d v="2021-07-23T00:00:00"/>
  </r>
  <r>
    <d v="2021-05-05T00:00:00"/>
    <s v="VZ-2021-000429"/>
    <x v="0"/>
    <s v="Ondráčková"/>
    <x v="190"/>
    <n v="1"/>
    <s v="ALTEPLASA"/>
    <m/>
    <s v="24965000-6"/>
    <m/>
    <n v="9855928"/>
    <x v="0"/>
    <d v="2021-05-07T00:00:00"/>
    <d v="2021-06-11T00:00:00"/>
    <d v="2021-06-29T00:00:00"/>
    <s v="PHOENIX lék.velkoobchod, s.r.o."/>
    <m/>
    <n v="9624128.0399999991"/>
    <n v="10586540.84"/>
    <m/>
    <m/>
    <m/>
    <d v="2021-06-29T00:00:00"/>
    <s v="SMLN-2021-617-000352"/>
    <x v="105"/>
    <d v="2021-07-23T00:00:00"/>
  </r>
  <r>
    <d v="2021-05-04T00:00:00"/>
    <s v="VZ-2021-000436"/>
    <x v="9"/>
    <s v="Svozil"/>
    <x v="191"/>
    <m/>
    <m/>
    <m/>
    <s v="16700000-2"/>
    <s v="4.2.155."/>
    <n v="600000"/>
    <x v="2"/>
    <d v="2021-06-18T00:00:00"/>
    <d v="2021-07-02T00:00:00"/>
    <d v="2021-07-19T00:00:00"/>
    <s v="Konvička s.r.o."/>
    <m/>
    <n v="825620"/>
    <n v="999000"/>
    <m/>
    <m/>
    <m/>
    <d v="2021-07-20T00:00:00"/>
    <s v="SMLN-2021-617-000380"/>
    <x v="109"/>
    <d v="2021-10-04T00:00:00"/>
  </r>
  <r>
    <d v="2021-05-07T00:00:00"/>
    <s v="VZ-2021-000443"/>
    <x v="1"/>
    <s v="Dočkalová"/>
    <x v="192"/>
    <m/>
    <m/>
    <m/>
    <s v="33198200-6"/>
    <m/>
    <n v="1573900"/>
    <x v="2"/>
    <d v="2021-05-13T00:00:00"/>
    <d v="2021-05-26T00:00:00"/>
    <m/>
    <s v="zrušeno - upravit specifikaci"/>
    <s v="nová VZ-2021-000534"/>
    <m/>
    <m/>
    <m/>
    <m/>
    <m/>
    <m/>
    <m/>
    <x v="6"/>
    <d v="2021-05-28T00:00:00"/>
  </r>
  <r>
    <d v="2021-05-06T00:00:00"/>
    <s v="VZ-2021-000448"/>
    <x v="2"/>
    <s v="Rosulek"/>
    <x v="68"/>
    <n v="1"/>
    <s v="Laboratorní váha pro Ústav mikrobiologie"/>
    <m/>
    <s v="38311000-9"/>
    <s v="2.3.422."/>
    <n v="124000"/>
    <x v="2"/>
    <d v="2021-05-12T00:00:00"/>
    <d v="2021-05-25T00:00:00"/>
    <d v="2021-06-18T00:00:00"/>
    <s v="RADWAG Váhy, s.r.o."/>
    <m/>
    <n v="64000"/>
    <n v="77440"/>
    <m/>
    <m/>
    <m/>
    <d v="2021-06-18T00:00:00"/>
    <s v="SMLN-2021-617-000314_x000a_SMLN-2021-612-000057"/>
    <x v="90"/>
    <d v="2021-07-15T00:00:00"/>
  </r>
  <r>
    <d v="2021-05-06T00:00:00"/>
    <s v="VZ-2021-000448"/>
    <x v="2"/>
    <s v="Rosulek"/>
    <x v="68"/>
    <n v="2"/>
    <s v="Laboratorní váha pro Oddělení klinické biochemie"/>
    <m/>
    <s v="38311000-9"/>
    <s v="2.3.399."/>
    <n v="132000"/>
    <x v="2"/>
    <d v="2021-05-12T00:00:00"/>
    <d v="2021-05-25T00:00:00"/>
    <d v="2021-06-18T00:00:00"/>
    <s v="SARTALEX, spol. s r.o."/>
    <m/>
    <n v="121800"/>
    <n v="147378"/>
    <m/>
    <m/>
    <m/>
    <d v="2021-06-18T00:00:00"/>
    <s v="SMLN-2021-617-000315_x000a_SMLN-2021-612-000058"/>
    <x v="90"/>
    <d v="2021-07-15T00:00:00"/>
  </r>
  <r>
    <d v="2021-05-06T00:00:00"/>
    <s v="VZ-2021-000448"/>
    <x v="2"/>
    <s v="Rosulek"/>
    <x v="68"/>
    <n v="3"/>
    <s v="Laboratorní váha ke gravimetrické přípravě cytostatik pro Lékárnu"/>
    <m/>
    <s v="38311000-9"/>
    <s v="2.3.392."/>
    <n v="157000"/>
    <x v="2"/>
    <d v="2021-05-12T00:00:00"/>
    <d v="2021-05-25T00:00:00"/>
    <m/>
    <s v="zrušeno - upravit specifikaci"/>
    <m/>
    <m/>
    <m/>
    <m/>
    <m/>
    <m/>
    <m/>
    <m/>
    <x v="6"/>
    <d v="2021-06-02T00:00:00"/>
  </r>
  <r>
    <d v="2021-05-06T00:00:00"/>
    <s v="VZ-2021-000448"/>
    <x v="2"/>
    <s v="Rosulek"/>
    <x v="68"/>
    <n v="4"/>
    <s v="Laboratorní váha pro přípravu paenterální výživy pro Lékárnu"/>
    <m/>
    <s v="38311000-9"/>
    <s v="2.3.469."/>
    <n v="82000"/>
    <x v="2"/>
    <d v="2021-05-12T00:00:00"/>
    <d v="2021-05-25T00:00:00"/>
    <d v="2021-06-18T00:00:00"/>
    <s v="SARTALEX, spol. s r.o."/>
    <m/>
    <n v="72800"/>
    <n v="88088"/>
    <m/>
    <m/>
    <m/>
    <d v="2021-06-18T00:00:00"/>
    <s v="SMLN-2021-617-000316_x000a_SMLN-2021-612-000059"/>
    <x v="90"/>
    <d v="2021-07-15T00:00:00"/>
  </r>
  <r>
    <d v="2021-05-06T00:00:00"/>
    <s v="VZ-2021-000448"/>
    <x v="2"/>
    <s v="Rosulek"/>
    <x v="68"/>
    <n v="5"/>
    <s v="Laboratorní váhy pro přípravu sterilních léčiv pro Lékárnu"/>
    <m/>
    <s v="38311000-9"/>
    <s v="2.3.524."/>
    <n v="150000"/>
    <x v="2"/>
    <d v="2021-05-12T00:00:00"/>
    <d v="2021-05-25T00:00:00"/>
    <d v="2021-06-18T00:00:00"/>
    <s v="SARTALEX, spol. s r.o."/>
    <m/>
    <n v="127500"/>
    <n v="154275"/>
    <m/>
    <m/>
    <m/>
    <d v="2021-06-18T00:00:00"/>
    <s v="SMLN-2021-617-000317_x000a_SMLN-2021-612-000060"/>
    <x v="90"/>
    <d v="2021-07-15T00:00:00"/>
  </r>
  <r>
    <d v="2021-05-10T00:00:00"/>
    <s v="VZ-2021-000451"/>
    <x v="2"/>
    <s v="Rosulek"/>
    <x v="193"/>
    <m/>
    <m/>
    <m/>
    <s v="33111720-4"/>
    <s v="2.3.558."/>
    <n v="41500000"/>
    <x v="0"/>
    <d v="2021-05-18T00:00:00"/>
    <d v="2021-07-02T00:00:00"/>
    <d v="2021-08-25T00:00:00"/>
    <s v="Siemens Healthcare, s.r.o."/>
    <m/>
    <n v="25770000"/>
    <n v="31181700"/>
    <m/>
    <m/>
    <m/>
    <d v="2021-08-25T00:00:00"/>
    <s v="SMLN-2021-617-000450_x000a_SMLN-2021-612-000094"/>
    <x v="103"/>
    <d v="2021-10-25T00:00:00"/>
  </r>
  <r>
    <d v="2021-05-06T00:00:00"/>
    <s v="VZ-2021-000460"/>
    <x v="2"/>
    <s v="Olejníček"/>
    <x v="194"/>
    <m/>
    <m/>
    <m/>
    <s v="31720000-9"/>
    <s v="2.2.278."/>
    <n v="620000"/>
    <x v="2"/>
    <d v="2021-05-17T00:00:00"/>
    <d v="2021-05-26T00:00:00"/>
    <m/>
    <s v="zrušeno - bez nabídky"/>
    <s v="nová VZ-2021-000782"/>
    <m/>
    <m/>
    <m/>
    <m/>
    <m/>
    <m/>
    <m/>
    <x v="6"/>
    <d v="2021-05-26T00:00:00"/>
  </r>
  <r>
    <d v="2021-05-06T00:00:00"/>
    <s v="VZ-2021-000461"/>
    <x v="8"/>
    <s v="Kadlec"/>
    <x v="195"/>
    <m/>
    <m/>
    <m/>
    <s v="45421146-9"/>
    <m/>
    <n v="550000"/>
    <x v="2"/>
    <d v="2021-05-13T00:00:00"/>
    <d v="2021-05-25T00:00:00"/>
    <d v="2021-05-31T00:00:00"/>
    <s v="Peštuka, s.r.o."/>
    <m/>
    <n v="539253.9"/>
    <n v="652497.22"/>
    <m/>
    <m/>
    <m/>
    <d v="2021-05-31T00:00:00"/>
    <s v="SMLN-2021-618-000040"/>
    <x v="110"/>
    <d v="2021-07-15T00:00:00"/>
  </r>
  <r>
    <d v="2021-05-11T00:00:00"/>
    <s v="VZ-2021-000463"/>
    <x v="0"/>
    <s v="Ondráčková"/>
    <x v="196"/>
    <n v="1"/>
    <s v="PAKLITAXEL"/>
    <m/>
    <s v="33652100-6"/>
    <m/>
    <n v="2346916"/>
    <x v="0"/>
    <d v="2021-05-14T00:00:00"/>
    <d v="2021-06-16T00:00:00"/>
    <d v="2021-07-13T00:00:00"/>
    <s v="Fresenius Kabi s.r.o."/>
    <m/>
    <n v="1644231.77"/>
    <n v="1808654.95"/>
    <m/>
    <m/>
    <m/>
    <d v="2021-07-13T00:00:00"/>
    <s v="SMLN-2021-617-000370"/>
    <x v="108"/>
    <d v="2021-09-02T00:00:00"/>
  </r>
  <r>
    <d v="2021-05-11T00:00:00"/>
    <s v="VZ-2021-000463"/>
    <x v="0"/>
    <s v="Ondráčková"/>
    <x v="196"/>
    <n v="2"/>
    <s v="DOCETAXEL"/>
    <m/>
    <s v="33652100-6"/>
    <m/>
    <n v="340647"/>
    <x v="0"/>
    <d v="2021-05-14T00:00:00"/>
    <d v="2021-06-16T00:00:00"/>
    <d v="2021-07-13T00:00:00"/>
    <s v="Fresenius Kabi s.r.o."/>
    <m/>
    <n v="331919.84000000003"/>
    <n v="365111.82"/>
    <m/>
    <m/>
    <m/>
    <d v="2021-07-13T00:00:00"/>
    <s v="SMLN-2021-617-000371"/>
    <x v="108"/>
    <d v="2021-09-02T00:00:00"/>
  </r>
  <r>
    <d v="2021-05-11T00:00:00"/>
    <s v="VZ-2021-000463"/>
    <x v="0"/>
    <s v="Ondráčková"/>
    <x v="196"/>
    <n v="3"/>
    <s v="KABAZITAXEL"/>
    <m/>
    <s v="33652100-6"/>
    <m/>
    <n v="9686186"/>
    <x v="0"/>
    <d v="2021-05-14T00:00:00"/>
    <d v="2021-06-16T00:00:00"/>
    <d v="2021-07-13T00:00:00"/>
    <s v="sanofi - aventis, s.r.o."/>
    <m/>
    <n v="9496259.7599999998"/>
    <n v="10445885.74"/>
    <m/>
    <m/>
    <m/>
    <d v="2021-07-13T00:00:00"/>
    <s v="SMLN-2021-617-000372"/>
    <x v="106"/>
    <d v="2021-09-02T00:00:00"/>
  </r>
  <r>
    <d v="2021-05-11T00:00:00"/>
    <s v="VZ-2021-000464"/>
    <x v="0"/>
    <s v="Ondráčková"/>
    <x v="197"/>
    <m/>
    <s v="Ambrisentan"/>
    <m/>
    <s v="33622200-8"/>
    <m/>
    <n v="5721024"/>
    <x v="0"/>
    <d v="2021-05-14T00:00:00"/>
    <d v="2021-06-15T00:00:00"/>
    <d v="2021-07-15T00:00:00"/>
    <s v="PHARMOS, a.s."/>
    <m/>
    <n v="4814577.72"/>
    <n v="5296035.49"/>
    <m/>
    <m/>
    <m/>
    <d v="2021-07-15T00:00:00"/>
    <s v="SMLN-2021-617-000376"/>
    <x v="1"/>
    <d v="2021-08-12T00:00:00"/>
  </r>
  <r>
    <d v="2021-05-11T00:00:00"/>
    <s v="VZ-2021-000465"/>
    <x v="0"/>
    <s v="Ondráčková"/>
    <x v="198"/>
    <m/>
    <s v="Azacitidin"/>
    <m/>
    <s v="33652000-5"/>
    <m/>
    <n v="6555000"/>
    <x v="0"/>
    <d v="2021-05-14T00:00:00"/>
    <d v="2021-07-07T00:00:00"/>
    <d v="2021-08-16T00:00:00"/>
    <s v="Alliance Healthcare s.r.o."/>
    <m/>
    <n v="2822100"/>
    <n v="3104310"/>
    <m/>
    <m/>
    <m/>
    <d v="2021-08-16T00:00:00"/>
    <s v="SMLN-2021-617-000431"/>
    <x v="111"/>
    <d v="2021-09-15T00:00:00"/>
  </r>
  <r>
    <d v="2021-05-17T00:00:00"/>
    <s v="VZ-2021-000490"/>
    <x v="1"/>
    <s v="Valtová"/>
    <x v="199"/>
    <m/>
    <m/>
    <m/>
    <s v="33140000-3"/>
    <m/>
    <n v="6640000"/>
    <x v="0"/>
    <d v="2021-05-20T00:00:00"/>
    <d v="2021-07-21T00:00:00"/>
    <m/>
    <s v="zrušeno - upravit specifikaci"/>
    <s v="nová VZ-2022-000071"/>
    <n v="5800000"/>
    <n v="6670000"/>
    <m/>
    <m/>
    <m/>
    <m/>
    <m/>
    <x v="6"/>
    <d v="2022-01-05T00:00:00"/>
  </r>
  <r>
    <d v="2021-05-14T00:00:00"/>
    <s v="VZ-2021-000491"/>
    <x v="1"/>
    <s v="Dočkalová"/>
    <x v="200"/>
    <m/>
    <m/>
    <m/>
    <s v="33162200-5"/>
    <m/>
    <n v="1185000"/>
    <x v="2"/>
    <d v="2021-05-18T00:00:00"/>
    <d v="2021-05-27T00:00:00"/>
    <d v="2021-06-01T00:00:00"/>
    <s v="EP SERVICES s.r.o."/>
    <m/>
    <n v="1185000"/>
    <n v="1433850"/>
    <m/>
    <m/>
    <m/>
    <d v="2021-06-01T00:00:00"/>
    <s v="SMLN-2021-617-000273_x000a_SMLN-2021-614-000056"/>
    <x v="112"/>
    <d v="2021-07-22T00:00:00"/>
  </r>
  <r>
    <d v="2021-05-11T00:00:00"/>
    <s v="VZ-2021-000492"/>
    <x v="2"/>
    <s v="Olejníček"/>
    <x v="201"/>
    <m/>
    <m/>
    <m/>
    <s v="33195000-3"/>
    <s v="2.2.268."/>
    <n v="247500"/>
    <x v="2"/>
    <d v="2021-05-18T00:00:00"/>
    <d v="2021-06-03T00:00:00"/>
    <d v="2021-06-11T00:00:00"/>
    <s v="Scanlab Praha, s.r.o."/>
    <m/>
    <n v="244875"/>
    <n v="296298.75"/>
    <m/>
    <m/>
    <m/>
    <d v="2021-06-11T00:00:00"/>
    <s v="SMLN-2021-617-000298_x000a_SMLN-2021-612-000053_x000a_SMLN-2021-617-000299"/>
    <x v="72"/>
    <d v="2021-07-27T00:00:00"/>
  </r>
  <r>
    <d v="2021-05-11T00:00:00"/>
    <s v="VZ-2021-000493"/>
    <x v="2"/>
    <s v="Olejníček"/>
    <x v="202"/>
    <m/>
    <m/>
    <m/>
    <s v="33168000-5"/>
    <s v="2.3.516."/>
    <n v="51900"/>
    <x v="2"/>
    <d v="2021-05-18T00:00:00"/>
    <d v="2021-05-27T00:00:00"/>
    <d v="2021-06-02T00:00:00"/>
    <s v="Medinet, s.r.o."/>
    <m/>
    <n v="51900"/>
    <n v="62799"/>
    <m/>
    <m/>
    <m/>
    <d v="2021-06-03T00:00:00"/>
    <s v="SMLN-2021-617-000282"/>
    <x v="83"/>
    <d v="2021-06-23T00:00:00"/>
  </r>
  <r>
    <d v="2021-05-11T00:00:00"/>
    <s v="VZ-2021-000494"/>
    <x v="2"/>
    <s v="Olejníček"/>
    <x v="203"/>
    <n v="1"/>
    <s v="Hlubokomrazící box"/>
    <m/>
    <s v="39711100-0"/>
    <s v="2.3.537."/>
    <n v="335000"/>
    <x v="2"/>
    <d v="2021-05-18T00:00:00"/>
    <d v="2021-05-28T00:00:00"/>
    <d v="2021-06-11T00:00:00"/>
    <s v="KRD-obchodní společnos s.r.o."/>
    <m/>
    <n v="261170"/>
    <n v="316015.7"/>
    <m/>
    <m/>
    <m/>
    <d v="2021-06-11T00:00:00"/>
    <s v="SMLN-2021-617-000295_x000a_SMLN-2021-612-000051"/>
    <x v="90"/>
    <d v="2021-07-15T00:00:00"/>
  </r>
  <r>
    <d v="2021-05-11T00:00:00"/>
    <s v="VZ-2021-000494"/>
    <x v="2"/>
    <s v="Olejníček"/>
    <x v="203"/>
    <n v="2"/>
    <s v="Farmaceutická lednice"/>
    <m/>
    <s v="39711100-0"/>
    <s v="2.2.332."/>
    <n v="87000"/>
    <x v="2"/>
    <d v="2021-05-18T00:00:00"/>
    <d v="2021-05-28T00:00:00"/>
    <d v="2021-06-11T00:00:00"/>
    <s v="Schoeller Instruments .s.r.o."/>
    <m/>
    <n v="70800"/>
    <n v="85668"/>
    <m/>
    <m/>
    <m/>
    <d v="2021-06-11T00:00:00"/>
    <s v="SMLN-2021-617-000296_x000a_SMLN-2021-612-000052"/>
    <x v="90"/>
    <d v="2021-07-15T00:00:00"/>
  </r>
  <r>
    <d v="2021-05-17T00:00:00"/>
    <s v="VZ-2021-000497"/>
    <x v="1"/>
    <s v="Dočkalová"/>
    <x v="204"/>
    <m/>
    <m/>
    <m/>
    <s v="33140000-6"/>
    <m/>
    <n v="607500"/>
    <x v="2"/>
    <d v="2021-05-21T00:00:00"/>
    <d v="2021-06-02T00:00:00"/>
    <d v="2021-06-07T00:00:00"/>
    <s v="BS PRAGUE MEDICAL CE, spol.s r.o."/>
    <m/>
    <n v="607500"/>
    <n v="698625"/>
    <m/>
    <m/>
    <m/>
    <d v="2021-06-08T00:00:00"/>
    <s v="SMLN-2021-617-000288_x000a_SMLN-2021-614-000061"/>
    <x v="93"/>
    <d v="2021-07-14T00:00:00"/>
  </r>
  <r>
    <d v="2021-05-19T00:00:00"/>
    <s v="VZ-2021-000501"/>
    <x v="1"/>
    <s v="Valtová"/>
    <x v="205"/>
    <m/>
    <m/>
    <m/>
    <s v="33140000-3"/>
    <m/>
    <n v="2788800"/>
    <x v="1"/>
    <d v="2021-05-25T00:00:00"/>
    <d v="2021-07-22T00:00:00"/>
    <d v="2021-09-03T00:00:00"/>
    <s v="Boston Scientific Česká republika s.r.o."/>
    <m/>
    <n v="2660000"/>
    <n v="3218600"/>
    <m/>
    <m/>
    <m/>
    <d v="2021-09-03T00:00:00"/>
    <s v="SMLN-2021-617-000473_x000a_SMLN-2021-614-000080"/>
    <x v="109"/>
    <d v="2021-09-29T00:00:00"/>
  </r>
  <r>
    <d v="2021-05-18T00:00:00"/>
    <s v="VZ-2021-000503"/>
    <x v="1"/>
    <s v="Dočkalová"/>
    <x v="206"/>
    <m/>
    <m/>
    <m/>
    <s v="33140000-3"/>
    <m/>
    <n v="513000"/>
    <x v="2"/>
    <d v="2021-05-21T00:00:00"/>
    <d v="2021-06-02T00:00:00"/>
    <d v="2021-06-07T00:00:00"/>
    <s v="BS PRAGUE MEDICAL CE, spol.s r.o."/>
    <m/>
    <n v="513000"/>
    <n v="620730"/>
    <m/>
    <m/>
    <m/>
    <d v="2021-06-08T00:00:00"/>
    <s v="SMLN-2021-617-000287_x000a_SMLN-2021-614-000060"/>
    <x v="93"/>
    <d v="2021-07-14T00:00:00"/>
  </r>
  <r>
    <d v="2021-05-19T00:00:00"/>
    <s v="VZ-2021-000504"/>
    <x v="2"/>
    <s v="Olejníček"/>
    <x v="207"/>
    <m/>
    <m/>
    <m/>
    <s v="33122000-1"/>
    <s v="2.3.474."/>
    <n v="360000"/>
    <x v="2"/>
    <d v="2021-05-24T00:00:00"/>
    <d v="2021-06-01T00:00:00"/>
    <d v="2021-06-11T00:00:00"/>
    <s v="Askin &amp; Co. s.r.o."/>
    <m/>
    <n v="258600"/>
    <n v="312906"/>
    <m/>
    <m/>
    <m/>
    <d v="2021-06-11T00:00:00"/>
    <s v="SMLN-2021-617-000294_x000a_SMLN-2021-612-000050"/>
    <x v="110"/>
    <d v="2021-07-14T00:00:00"/>
  </r>
  <r>
    <d v="2021-05-19T00:00:00"/>
    <s v="VZ-2021-000505"/>
    <x v="1"/>
    <s v="Dočkalová"/>
    <x v="208"/>
    <m/>
    <m/>
    <m/>
    <s v="33140000-3"/>
    <m/>
    <n v="1457850"/>
    <x v="2"/>
    <d v="2021-06-03T00:00:00"/>
    <d v="2021-06-14T00:00:00"/>
    <m/>
    <s v="zrušeno - bez hodnotitelné nabídky"/>
    <s v="nová VZ-2021-000608"/>
    <m/>
    <m/>
    <m/>
    <m/>
    <m/>
    <m/>
    <m/>
    <x v="6"/>
    <d v="2021-06-14T00:00:00"/>
  </r>
  <r>
    <d v="2021-05-19T00:00:00"/>
    <s v="VZ-2021-000506"/>
    <x v="5"/>
    <s v="Miklík"/>
    <x v="209"/>
    <m/>
    <m/>
    <m/>
    <s v="32422000-7"/>
    <s v="3.2.60."/>
    <n v="2650000"/>
    <x v="1"/>
    <d v="2021-05-25T00:00:00"/>
    <d v="2021-06-11T00:00:00"/>
    <d v="2021-06-25T00:00:00"/>
    <s v="MERIT GROUP a.s."/>
    <m/>
    <n v="2298038"/>
    <n v="2780625.98"/>
    <m/>
    <m/>
    <m/>
    <d v="2021-06-25T00:00:00"/>
    <s v="SMLN-2021-617-000347"/>
    <x v="112"/>
    <d v="2021-07-26T00:00:00"/>
  </r>
  <r>
    <d v="2021-05-19T00:00:00"/>
    <s v="VZ-2021-000508"/>
    <x v="2"/>
    <s v="Olejníček"/>
    <x v="210"/>
    <m/>
    <m/>
    <m/>
    <s v="33124100-6"/>
    <s v="2.2.367."/>
    <n v="220000"/>
    <x v="2"/>
    <d v="2021-05-24T00:00:00"/>
    <d v="2021-06-02T00:00:00"/>
    <d v="2021-06-11T00:00:00"/>
    <s v="Medsol s.r.o."/>
    <m/>
    <n v="212176"/>
    <n v="256732.96"/>
    <m/>
    <m/>
    <m/>
    <d v="2021-06-11T00:00:00"/>
    <s v="SMLN-2021-617-000293_x000a_SMLN-2021-612-000049"/>
    <x v="110"/>
    <d v="2021-07-14T00:00:00"/>
  </r>
  <r>
    <d v="2021-05-21T00:00:00"/>
    <s v="VZ-2021-000514"/>
    <x v="16"/>
    <s v="Norbertová"/>
    <x v="211"/>
    <m/>
    <m/>
    <m/>
    <s v="33124100-6"/>
    <m/>
    <n v="466557"/>
    <x v="2"/>
    <d v="2021-07-21T00:00:00"/>
    <d v="2021-07-30T00:00:00"/>
    <d v="2021-08-12T00:00:00"/>
    <s v="POLYMED medical CZ, a.s. "/>
    <m/>
    <n v="81000"/>
    <n v="98010"/>
    <m/>
    <m/>
    <m/>
    <d v="2021-08-12T00:00:00"/>
    <s v="SMLN-2021-617-000425"/>
    <x v="113"/>
    <d v="2021-09-22T00:00:00"/>
  </r>
  <r>
    <d v="2021-05-21T00:00:00"/>
    <s v="VZ-2021-000516"/>
    <x v="4"/>
    <s v="Srovnal"/>
    <x v="212"/>
    <m/>
    <m/>
    <m/>
    <s v="44000000-0"/>
    <m/>
    <n v="6500000"/>
    <x v="0"/>
    <d v="2021-05-28T00:00:00"/>
    <d v="2021-08-02T00:00:00"/>
    <d v="2021-08-12T00:00:00"/>
    <s v="VK-AQUA-trading, s.r.o."/>
    <m/>
    <n v="2535232"/>
    <n v="3067630.72"/>
    <m/>
    <m/>
    <m/>
    <d v="2021-08-12T00:00:00"/>
    <s v="SMLN-2021-617-000419"/>
    <x v="114"/>
    <d v="2021-09-08T00:00:00"/>
  </r>
  <r>
    <d v="2021-05-25T00:00:00"/>
    <s v="VZ-2021-000517"/>
    <x v="2"/>
    <s v="Olejníček"/>
    <x v="213"/>
    <m/>
    <m/>
    <m/>
    <s v="33121400-8"/>
    <s v="2.2.339."/>
    <n v="151000"/>
    <x v="2"/>
    <d v="2021-05-27T00:00:00"/>
    <d v="2021-06-08T00:00:00"/>
    <d v="2021-06-18T00:00:00"/>
    <s v="Fonika Medical s.r.o."/>
    <m/>
    <n v="136229"/>
    <n v="164837.09"/>
    <m/>
    <m/>
    <m/>
    <d v="2021-06-18T00:00:00"/>
    <s v="SMLN-2021-617-000318_x000a_SMLN-2021-612-000061"/>
    <x v="110"/>
    <d v="2021-07-14T00:00:00"/>
  </r>
  <r>
    <d v="2021-05-25T00:00:00"/>
    <s v="VZ-2021-000521"/>
    <x v="2"/>
    <s v="Olejníček"/>
    <x v="214"/>
    <n v="1"/>
    <s v="Radiační ochranný štít nad lůžko s pacientem"/>
    <m/>
    <s v="35113200-1"/>
    <s v="2.3.45."/>
    <n v="132000"/>
    <x v="2"/>
    <d v="2021-05-27T00:00:00"/>
    <d v="2021-06-04T00:00:00"/>
    <m/>
    <s v="zrušeno - překročení ceny servisu"/>
    <s v="nová VZ-2021-000585"/>
    <m/>
    <m/>
    <m/>
    <m/>
    <m/>
    <m/>
    <m/>
    <x v="6"/>
    <d v="2021-06-08T00:00:00"/>
  </r>
  <r>
    <d v="2021-05-25T00:00:00"/>
    <s v="VZ-2021-000521"/>
    <x v="2"/>
    <s v="Olejníček"/>
    <x v="214"/>
    <n v="2"/>
    <s v="Radiační ochranný štít pod lůžko s pacientem"/>
    <m/>
    <s v="35113200-1"/>
    <s v="2.3.45."/>
    <n v="221000"/>
    <x v="2"/>
    <d v="2021-05-27T00:00:00"/>
    <d v="2021-06-04T00:00:00"/>
    <m/>
    <s v="zrušeno - překročení ceny servisu"/>
    <s v="nová VZ-2021-000585"/>
    <m/>
    <m/>
    <m/>
    <m/>
    <m/>
    <m/>
    <m/>
    <x v="6"/>
    <d v="2021-06-08T00:00:00"/>
  </r>
  <r>
    <d v="2021-05-27T00:00:00"/>
    <s v="VZ-2021-000529"/>
    <x v="1"/>
    <s v="Valtová"/>
    <x v="215"/>
    <n v="1"/>
    <s v="Polohovač"/>
    <m/>
    <s v="33140000-3"/>
    <m/>
    <n v="1035150"/>
    <x v="2"/>
    <d v="2021-06-02T00:00:00"/>
    <d v="2021-06-11T00:00:00"/>
    <d v="2021-06-16T00:00:00"/>
    <s v="Medtronic Czechia s.r.o."/>
    <m/>
    <n v="991800"/>
    <n v="1200078"/>
    <m/>
    <m/>
    <m/>
    <d v="2021-06-17T00:00:00"/>
    <s v="SMLN-2021-617-000304_x000a_SMLN-2021-614-000062"/>
    <x v="52"/>
    <d v="2021-07-22T00:00:00"/>
  </r>
  <r>
    <d v="2021-05-27T00:00:00"/>
    <s v="VZ-2021-000529"/>
    <x v="1"/>
    <s v="Valtová"/>
    <x v="215"/>
    <n v="2"/>
    <s v="Ofuk"/>
    <m/>
    <s v="33140000-3"/>
    <m/>
    <n v="496000"/>
    <x v="2"/>
    <d v="2021-06-02T00:00:00"/>
    <d v="2021-06-11T00:00:00"/>
    <d v="2021-06-16T00:00:00"/>
    <s v="Medtronic Czechia s.r.o."/>
    <m/>
    <n v="400800"/>
    <n v="484968"/>
    <m/>
    <m/>
    <m/>
    <d v="2021-06-17T00:00:00"/>
    <s v="SMLN-2021-617-000307_x000a_SMLN-2021-614-000063"/>
    <x v="52"/>
    <d v="2021-07-22T00:00:00"/>
  </r>
  <r>
    <s v="opakovaná VZ"/>
    <s v="VZ-2021-000534"/>
    <x v="1"/>
    <s v="Dočkalová"/>
    <x v="216"/>
    <m/>
    <m/>
    <m/>
    <s v="33192800-6"/>
    <m/>
    <n v="1535064.27"/>
    <x v="2"/>
    <d v="2021-06-02T00:00:00"/>
    <d v="2021-06-11T00:00:00"/>
    <d v="2021-06-15T00:00:00"/>
    <s v="TZMO Czech Republic s.r.o."/>
    <m/>
    <n v="1505798.22"/>
    <n v="1822015.85"/>
    <m/>
    <m/>
    <m/>
    <d v="2021-06-16T00:00:00"/>
    <s v="SMLN-2021-617-000302"/>
    <x v="110"/>
    <d v="2021-07-15T00:00:00"/>
  </r>
  <r>
    <s v="opakovaná VZ"/>
    <s v="VZ-2021-000535"/>
    <x v="3"/>
    <s v="Valíček"/>
    <x v="217"/>
    <m/>
    <m/>
    <m/>
    <s v="71000000-8"/>
    <s v="1.2.67."/>
    <n v="40000000"/>
    <x v="0"/>
    <d v="2021-06-09T00:00:00"/>
    <d v="2021-07-14T00:00:00"/>
    <m/>
    <s v="zrušeno - nelze odtajnit nabídky"/>
    <s v="nová VZ-2021-000704"/>
    <m/>
    <m/>
    <m/>
    <m/>
    <m/>
    <m/>
    <m/>
    <x v="6"/>
    <d v="2021-08-05T00:00:00"/>
  </r>
  <r>
    <s v="opakovaná VZ"/>
    <s v="VZ-2021-000536"/>
    <x v="1"/>
    <s v="Merta"/>
    <x v="218"/>
    <m/>
    <m/>
    <m/>
    <s v="33141200-2"/>
    <m/>
    <n v="29719080"/>
    <x v="0"/>
    <d v="2021-06-16T00:00:00"/>
    <d v="2021-07-19T00:00:00"/>
    <d v="2021-07-28T00:00:00"/>
    <s v="EP SERVICES s.r.o."/>
    <m/>
    <n v="29719005.600000001"/>
    <n v="35960000"/>
    <m/>
    <m/>
    <m/>
    <d v="2021-07-28T00:00:00"/>
    <s v="SMLN-2021-617-000396_x000a_SMLN-2021-614-000072"/>
    <x v="111"/>
    <d v="2021-10-12T00:00:00"/>
  </r>
  <r>
    <d v="2021-05-31T00:00:00"/>
    <s v="VZ-2021-000538"/>
    <x v="10"/>
    <s v="Zdráhalová"/>
    <x v="219"/>
    <m/>
    <m/>
    <m/>
    <s v="39120000-9"/>
    <m/>
    <n v="835000"/>
    <x v="2"/>
    <d v="2021-06-08T00:00:00"/>
    <d v="2021-06-18T00:00:00"/>
    <d v="2021-07-13T00:00:00"/>
    <s v="Roman Lébl"/>
    <m/>
    <n v="416400"/>
    <n v="503844"/>
    <m/>
    <m/>
    <m/>
    <d v="2021-07-13T00:00:00"/>
    <s v="SMLN-2021-618-000055"/>
    <x v="115"/>
    <d v="2021-08-31T00:00:00"/>
  </r>
  <r>
    <s v="opakovaná VZ"/>
    <s v="VZ-2021-000539"/>
    <x v="1"/>
    <s v="Valtová"/>
    <x v="220"/>
    <n v="1"/>
    <s v="Spy Glass - Košík extrakční"/>
    <m/>
    <s v="33140000-3"/>
    <m/>
    <n v="230000"/>
    <x v="0"/>
    <d v="2021-07-08T00:00:00"/>
    <d v="2021-08-10T00:00:00"/>
    <d v="2021-09-15T00:00:00"/>
    <s v="Boston Scientific Česká republika s.r.o."/>
    <m/>
    <n v="230000"/>
    <n v="278300"/>
    <m/>
    <m/>
    <m/>
    <d v="2021-09-15T00:00:00"/>
    <s v="SMLN-2021-617-000497_x000a_SMLN-2021-614-000081"/>
    <x v="84"/>
    <d v="2021-10-20T00:00:00"/>
  </r>
  <r>
    <s v="opakovaná VZ"/>
    <s v="VZ-2021-000539"/>
    <x v="1"/>
    <s v="Valtová"/>
    <x v="220"/>
    <n v="2"/>
    <s v="Spy Glass - Klička polypektomická"/>
    <m/>
    <s v="33140000-3"/>
    <m/>
    <n v="230000"/>
    <x v="0"/>
    <d v="2021-07-08T00:00:00"/>
    <d v="2021-08-10T00:00:00"/>
    <d v="2021-09-15T00:00:00"/>
    <s v="Boston Scientific Česká republika s.r.o."/>
    <m/>
    <n v="230000"/>
    <n v="278300"/>
    <m/>
    <m/>
    <m/>
    <d v="2021-09-15T00:00:00"/>
    <s v="SMLN-2021-617-000498_x000a_SMLN-2021-614-000082"/>
    <x v="84"/>
    <d v="2021-10-20T00:00:00"/>
  </r>
  <r>
    <s v="opakovaná VZ"/>
    <s v="VZ-2021-000539"/>
    <x v="1"/>
    <s v="Valtová"/>
    <x v="220"/>
    <n v="3"/>
    <s v="Spy Glass - Sonda pro EHL"/>
    <m/>
    <s v="33140000-3"/>
    <m/>
    <n v="690000"/>
    <x v="0"/>
    <d v="2021-07-08T00:00:00"/>
    <d v="2021-08-10T00:00:00"/>
    <d v="2021-09-15T00:00:00"/>
    <s v="Boston Scientific Česká republika s.r.o."/>
    <m/>
    <n v="690000"/>
    <n v="834900"/>
    <m/>
    <m/>
    <m/>
    <d v="2021-09-15T00:00:00"/>
    <s v="SMLN-2021-617-000499_x000a_SMLN-2021-614-000083"/>
    <x v="84"/>
    <d v="2021-10-20T00:00:00"/>
  </r>
  <r>
    <d v="2021-06-02T00:00:00"/>
    <s v="VZ-2021-000542"/>
    <x v="17"/>
    <s v="Kohoutová"/>
    <x v="221"/>
    <m/>
    <m/>
    <m/>
    <s v="80610000-3"/>
    <m/>
    <n v="334710"/>
    <x v="2"/>
    <d v="2021-06-07T00:00:00"/>
    <d v="2021-06-15T00:00:00"/>
    <d v="2021-07-12T00:00:00"/>
    <s v="ARBATAX s.r.o."/>
    <m/>
    <n v="180000"/>
    <n v="217800"/>
    <m/>
    <m/>
    <m/>
    <d v="2021-07-13T00:00:00"/>
    <s v="SMLN-2021-612-000067"/>
    <x v="115"/>
    <d v="2021-08-31T00:00:00"/>
  </r>
  <r>
    <d v="2021-06-02T00:00:00"/>
    <s v="VZ-2021-000549"/>
    <x v="2"/>
    <s v="Olejníček"/>
    <x v="222"/>
    <m/>
    <m/>
    <m/>
    <s v="33186200-9"/>
    <s v="2.2.326."/>
    <n v="223400"/>
    <x v="2"/>
    <d v="2021-06-07T00:00:00"/>
    <d v="2021-06-16T00:00:00"/>
    <d v="2021-06-24T00:00:00"/>
    <s v="A.M.I. - Analytical Medical Insruments, s.r.o."/>
    <m/>
    <n v="196230"/>
    <n v="237438.3"/>
    <m/>
    <m/>
    <m/>
    <d v="2021-06-24T00:00:00"/>
    <s v="SMLN-2021-617-000337_x000a_SMLN-2021-612-000064"/>
    <x v="72"/>
    <d v="2021-07-27T00:00:00"/>
  </r>
  <r>
    <d v="2021-06-02T00:00:00"/>
    <s v="VZ-2021-000550"/>
    <x v="2"/>
    <s v="Olejníček"/>
    <x v="223"/>
    <m/>
    <m/>
    <m/>
    <s v="33169100-3"/>
    <s v="2.2.351."/>
    <n v="46800"/>
    <x v="2"/>
    <d v="2021-06-04T00:00:00"/>
    <d v="2021-06-16T00:00:00"/>
    <d v="2021-06-24T00:00:00"/>
    <s v="Hospimed, spol. s r.o."/>
    <m/>
    <n v="46778"/>
    <n v="56601.38"/>
    <m/>
    <m/>
    <m/>
    <d v="2021-06-24T00:00:00"/>
    <s v="SMLN-2021-617-000339"/>
    <x v="51"/>
    <d v="2021-07-16T00:00:00"/>
  </r>
  <r>
    <d v="2021-06-02T00:00:00"/>
    <s v="VZ-2021-000553"/>
    <x v="0"/>
    <s v="Ondráčková"/>
    <x v="224"/>
    <n v="1"/>
    <s v="Epoprostenol"/>
    <m/>
    <s v="33621100-0"/>
    <m/>
    <n v="14752194"/>
    <x v="0"/>
    <d v="2021-07-16T00:00:00"/>
    <d v="2021-08-18T00:00:00"/>
    <d v="2021-10-22T00:00:00"/>
    <s v="Janssen-Cilag s.r.o."/>
    <m/>
    <n v="14752192.949999999"/>
    <n v="16227412.25"/>
    <m/>
    <m/>
    <m/>
    <d v="2021-10-22T00:00:00"/>
    <s v="SMLN-2021-617-000586"/>
    <x v="116"/>
    <d v="2021-12-02T00:00:00"/>
  </r>
  <r>
    <d v="2021-06-02T00:00:00"/>
    <s v="VZ-2021-000554"/>
    <x v="0"/>
    <s v="Ondráčková"/>
    <x v="225"/>
    <n v="1"/>
    <s v="BRODALUMAB "/>
    <m/>
    <s v="33652300-8"/>
    <m/>
    <n v="9567471"/>
    <x v="0"/>
    <d v="2021-06-09T00:00:00"/>
    <d v="2021-07-12T00:00:00"/>
    <d v="2021-08-09T00:00:00"/>
    <s v="Alliance Healthcare s.r.o."/>
    <m/>
    <n v="9567470.0999999996"/>
    <n v="10524217.109999999"/>
    <m/>
    <m/>
    <m/>
    <d v="2021-08-10T00:00:00"/>
    <s v="SMLN-2021-617-000413"/>
    <x v="117"/>
    <d v="2021-09-09T00:00:00"/>
  </r>
  <r>
    <d v="2021-06-02T00:00:00"/>
    <s v="VZ-2021-000555"/>
    <x v="0"/>
    <s v="Ondráčková"/>
    <x v="226"/>
    <n v="1"/>
    <s v="Infuzní vitamíny "/>
    <m/>
    <s v="33692510-5"/>
    <m/>
    <n v="29548800"/>
    <x v="0"/>
    <d v="2021-08-17T00:00:00"/>
    <d v="2021-10-12T00:00:00"/>
    <d v="2021-11-26T00:00:00"/>
    <s v="B. Braun Medical s.r.o."/>
    <m/>
    <n v="28645920"/>
    <n v="31510512"/>
    <m/>
    <m/>
    <m/>
    <d v="2021-11-26T00:00:00"/>
    <s v="SMLN-2021-617-000688"/>
    <x v="6"/>
    <m/>
  </r>
  <r>
    <d v="2021-06-03T00:00:00"/>
    <s v="VZ-2021-000559"/>
    <x v="1"/>
    <s v="Valtová"/>
    <x v="227"/>
    <m/>
    <m/>
    <m/>
    <s v="33141750-2 "/>
    <m/>
    <n v="10047872"/>
    <x v="0"/>
    <d v="2021-06-16T00:00:00"/>
    <d v="2021-07-19T00:00:00"/>
    <d v="2021-08-25T00:00:00"/>
    <s v="Lima CZ s.r.o."/>
    <m/>
    <n v="9248125"/>
    <n v="10635343.75"/>
    <m/>
    <m/>
    <m/>
    <d v="2021-08-26T00:00:00"/>
    <s v="SMLN-2021-617-000452_x000a_SMLN-2021-614-000078_x000a_SMLN-2021-616-000051"/>
    <x v="113"/>
    <d v="2021-09-21T00:00:00"/>
  </r>
  <r>
    <d v="2021-06-04T00:00:00"/>
    <s v="VZ-2021-000564"/>
    <x v="3"/>
    <s v="Zeman"/>
    <x v="228"/>
    <m/>
    <m/>
    <m/>
    <s v="45215100-8"/>
    <s v="1.2.74."/>
    <n v="3200000"/>
    <x v="2"/>
    <d v="2021-06-08T00:00:00"/>
    <d v="2021-06-16T00:00:00"/>
    <d v="2021-06-17T00:00:00"/>
    <s v="EP Rožnov, a.s.."/>
    <m/>
    <n v="3299942"/>
    <n v="3992929.82"/>
    <m/>
    <m/>
    <m/>
    <d v="2021-06-18T00:00:00"/>
    <s v="SMLN-2021-618-000047"/>
    <x v="58"/>
    <d v="2021-07-16T00:00:00"/>
  </r>
  <r>
    <d v="2021-06-04T00:00:00"/>
    <s v="VZ-2021-000572"/>
    <x v="2"/>
    <s v="Olejníček"/>
    <x v="229"/>
    <m/>
    <m/>
    <m/>
    <s v="38000000-5"/>
    <s v="2.2.371."/>
    <n v="153330"/>
    <x v="2"/>
    <d v="2021-06-09T00:00:00"/>
    <d v="2021-06-18T00:00:00"/>
    <d v="2021-06-24T00:00:00"/>
    <s v="BARIA, s.r.o."/>
    <m/>
    <n v="137600"/>
    <n v="166496"/>
    <m/>
    <m/>
    <m/>
    <d v="2021-06-24T00:00:00"/>
    <s v="SMLN-2021-617-000338_x000a_SMLN-2021-612-000065"/>
    <x v="94"/>
    <d v="2021-07-29T00:00:00"/>
  </r>
  <r>
    <d v="2021-06-04T00:00:00"/>
    <s v="VZ-2021-000582"/>
    <x v="2"/>
    <s v="Olejníček"/>
    <x v="230"/>
    <m/>
    <m/>
    <m/>
    <s v="33120000-7"/>
    <s v="2.3.463."/>
    <n v="281900"/>
    <x v="2"/>
    <d v="2021-06-10T00:00:00"/>
    <d v="2021-06-22T00:00:00"/>
    <d v="2021-07-01T00:00:00"/>
    <s v="GETA Centrum s.r.o."/>
    <m/>
    <n v="279360"/>
    <n v="338025.6"/>
    <m/>
    <m/>
    <m/>
    <d v="2021-07-02T00:00:00"/>
    <s v="SMLN-2021-617-000357_x000a_SMLN-2021-612-000066"/>
    <x v="105"/>
    <d v="2021-07-22T00:00:00"/>
  </r>
  <r>
    <d v="2021-06-09T00:00:00"/>
    <s v="VZ-2021-000584"/>
    <x v="3"/>
    <s v="Vzatek"/>
    <x v="231"/>
    <m/>
    <m/>
    <m/>
    <s v="71000000-8"/>
    <s v="1.2.77."/>
    <n v="2300000"/>
    <x v="1"/>
    <d v="2021-09-17T00:00:00"/>
    <d v="2021-10-06T00:00:00"/>
    <d v="2021-11-24T00:00:00"/>
    <s v="LT PROJEKT a.s."/>
    <m/>
    <n v="2850000"/>
    <n v="3448500"/>
    <m/>
    <m/>
    <m/>
    <d v="2021-11-24T00:00:00"/>
    <s v="SMLN-2021-618-000084"/>
    <x v="6"/>
    <m/>
  </r>
  <r>
    <s v="opakovaná VZ"/>
    <s v="VZ-2021-000585"/>
    <x v="2"/>
    <s v="Olejníček"/>
    <x v="232"/>
    <n v="1"/>
    <s v="Radiační ochranný štít nad lůžko s pacientem"/>
    <m/>
    <s v="35113200-1"/>
    <s v="2.3.45."/>
    <n v="132000"/>
    <x v="2"/>
    <d v="2021-06-10T00:00:00"/>
    <d v="2021-06-22T00:00:00"/>
    <m/>
    <s v="zrušeno - nesplnění parametrů"/>
    <s v="nová VZ-2021-000744"/>
    <m/>
    <m/>
    <m/>
    <m/>
    <m/>
    <m/>
    <m/>
    <x v="6"/>
    <d v="2021-07-23T00:00:00"/>
  </r>
  <r>
    <s v="opakovaná VZ"/>
    <s v="VZ-2021-000585"/>
    <x v="2"/>
    <s v="Olejníček"/>
    <x v="232"/>
    <n v="2"/>
    <s v="Radiační ochranný štít pod lůžko s pacientem"/>
    <m/>
    <s v="35113200-1"/>
    <s v="2.3.45."/>
    <n v="221000"/>
    <x v="2"/>
    <d v="2021-06-10T00:00:00"/>
    <d v="2021-06-22T00:00:00"/>
    <m/>
    <s v="zrušeno - nesplnění parametrů"/>
    <s v="nová VZ-2021-000744"/>
    <m/>
    <m/>
    <m/>
    <m/>
    <m/>
    <m/>
    <m/>
    <x v="6"/>
    <d v="2021-07-12T00:00:00"/>
  </r>
  <r>
    <d v="2021-06-09T00:00:00"/>
    <s v="VZ-2021-000590"/>
    <x v="0"/>
    <s v="Ondráčková"/>
    <x v="233"/>
    <n v="1"/>
    <s v="Spotřební materiál pro krevní obrazy I. "/>
    <m/>
    <s v="33694000-1"/>
    <m/>
    <n v="2006548"/>
    <x v="1"/>
    <d v="2021-06-23T00:00:00"/>
    <d v="2021-07-13T00:00:00"/>
    <m/>
    <s v="zrušeno - administrativní pochybení"/>
    <s v="nová VZ-2021-000695"/>
    <m/>
    <m/>
    <m/>
    <m/>
    <m/>
    <m/>
    <m/>
    <x v="6"/>
    <d v="2021-07-13T00:00:00"/>
  </r>
  <r>
    <d v="2021-06-09T00:00:00"/>
    <s v="VZ-2021-000590"/>
    <x v="0"/>
    <s v="Ondráčková"/>
    <x v="233"/>
    <n v="2"/>
    <s v="Spotřební materiál pro krevní obrazy II. "/>
    <m/>
    <s v="33694000-1"/>
    <m/>
    <n v="1149222"/>
    <x v="1"/>
    <d v="2021-06-23T00:00:00"/>
    <d v="2021-07-13T00:00:00"/>
    <m/>
    <s v="zrušeno - administrativní pochybení"/>
    <s v="nová VZ-2021-000695"/>
    <m/>
    <m/>
    <m/>
    <m/>
    <m/>
    <m/>
    <m/>
    <x v="6"/>
    <d v="2021-07-13T00:00:00"/>
  </r>
  <r>
    <d v="2021-06-09T00:00:00"/>
    <s v="VZ-2021-000590"/>
    <x v="0"/>
    <s v="Ondráčková"/>
    <x v="233"/>
    <n v="3"/>
    <s v="Spotřební materiál pro krevní obrazy III. "/>
    <m/>
    <s v="33694000-1"/>
    <m/>
    <n v="54000"/>
    <x v="1"/>
    <d v="2021-06-23T00:00:00"/>
    <d v="2021-07-13T00:00:00"/>
    <m/>
    <s v="zrušeno - administrativní pochybení"/>
    <s v="nová VZ-2021-000695"/>
    <m/>
    <m/>
    <m/>
    <m/>
    <m/>
    <m/>
    <m/>
    <x v="6"/>
    <d v="2021-07-13T00:00:00"/>
  </r>
  <r>
    <d v="2021-06-09T00:00:00"/>
    <s v="VZ-2021-000590"/>
    <x v="0"/>
    <s v="Ondráčková"/>
    <x v="233"/>
    <n v="4"/>
    <s v="Spotřební materiál pro krevní obrazy IV. "/>
    <m/>
    <s v="33694000-1"/>
    <m/>
    <n v="184158"/>
    <x v="1"/>
    <d v="2021-06-23T00:00:00"/>
    <d v="2021-07-13T00:00:00"/>
    <m/>
    <s v="zrušeno - administrativní pochybení"/>
    <s v="nová VZ-2021-000695"/>
    <m/>
    <m/>
    <m/>
    <m/>
    <m/>
    <m/>
    <m/>
    <x v="6"/>
    <d v="2021-07-13T00:00:00"/>
  </r>
  <r>
    <d v="2021-06-10T00:00:00"/>
    <s v="VZ-2021-000598"/>
    <x v="1"/>
    <s v="Valtová"/>
    <x v="234"/>
    <m/>
    <m/>
    <m/>
    <s v="33140000-3"/>
    <m/>
    <n v="2876000"/>
    <x v="1"/>
    <d v="2021-06-16T00:00:00"/>
    <d v="2021-07-20T00:00:00"/>
    <m/>
    <s v="zrušeno - bez nabídky"/>
    <s v="nová VZ-2021-000757"/>
    <m/>
    <m/>
    <m/>
    <m/>
    <m/>
    <m/>
    <m/>
    <x v="6"/>
    <d v="2021-07-23T00:00:00"/>
  </r>
  <r>
    <d v="2021-06-10T00:00:00"/>
    <s v="VZ-2021-000599"/>
    <x v="1"/>
    <s v="Valtová"/>
    <x v="235"/>
    <m/>
    <m/>
    <m/>
    <s v="33140000-3"/>
    <m/>
    <n v="18347040"/>
    <x v="0"/>
    <d v="2021-06-24T00:00:00"/>
    <d v="2021-07-27T00:00:00"/>
    <d v="2021-08-23T00:00:00"/>
    <s v="Cardiomedical s.r.o."/>
    <m/>
    <n v="18347040"/>
    <n v="21099096"/>
    <m/>
    <m/>
    <m/>
    <d v="2021-08-23T00:00:00"/>
    <s v="SMLN-2021-617-000437_x000a_SMLN-2021-614-000077"/>
    <x v="118"/>
    <d v="2021-10-18T00:00:00"/>
  </r>
  <r>
    <d v="2021-06-09T00:00:00"/>
    <s v="VZ-2021-000601"/>
    <x v="10"/>
    <s v="Zdráhalová"/>
    <x v="236"/>
    <m/>
    <m/>
    <m/>
    <s v="30197644-2"/>
    <m/>
    <n v="1100000"/>
    <x v="2"/>
    <d v="2021-06-18T00:00:00"/>
    <d v="2021-06-28T00:00:00"/>
    <m/>
    <s v="zrušeno - nutné upravit zadání"/>
    <s v="nová VZ-2021-000713"/>
    <m/>
    <m/>
    <m/>
    <m/>
    <m/>
    <m/>
    <m/>
    <x v="6"/>
    <d v="2021-07-09T00:00:00"/>
  </r>
  <r>
    <d v="2021-06-10T00:00:00"/>
    <s v="VZ-2021-000602"/>
    <x v="2"/>
    <s v="Olejníček"/>
    <x v="237"/>
    <m/>
    <m/>
    <m/>
    <s v="38000000-5"/>
    <s v="2.2.374"/>
    <n v="1305785"/>
    <x v="2"/>
    <d v="2021-06-16T00:00:00"/>
    <d v="2021-06-25T00:00:00"/>
    <m/>
    <s v="zrušeno - nutné upravit zadání"/>
    <s v="nová VZ-2021-00711"/>
    <m/>
    <m/>
    <m/>
    <m/>
    <m/>
    <m/>
    <m/>
    <x v="6"/>
    <d v="2021-07-09T00:00:00"/>
  </r>
  <r>
    <d v="2021-06-10T00:00:00"/>
    <s v="VZ-2021-000603"/>
    <x v="2"/>
    <s v="Olejníček"/>
    <x v="238"/>
    <m/>
    <m/>
    <m/>
    <s v="38000000-5"/>
    <s v="2.2.370"/>
    <n v="966942"/>
    <x v="2"/>
    <d v="2021-06-16T00:00:00"/>
    <d v="2021-06-29T00:00:00"/>
    <d v="2021-07-15T00:00:00"/>
    <s v="MIKRO, spol. s r.o."/>
    <m/>
    <n v="642041"/>
    <n v="776874"/>
    <m/>
    <m/>
    <m/>
    <d v="2021-07-15T00:00:00"/>
    <s v="SMLN-2021-617-000377_x000a_SMLN-2021-612-000069"/>
    <x v="119"/>
    <d v="2021-08-16T00:00:00"/>
  </r>
  <r>
    <d v="2021-06-10T00:00:00"/>
    <s v="VZ-2021-000604"/>
    <x v="10"/>
    <s v="Zdráhalová"/>
    <x v="239"/>
    <m/>
    <m/>
    <m/>
    <s v="33772000-2"/>
    <m/>
    <n v="1998000"/>
    <x v="2"/>
    <d v="2021-07-13T00:00:00"/>
    <d v="2021-07-22T00:00:00"/>
    <m/>
    <s v="zrušeno - neplní zadání"/>
    <s v="nová VZ-2021-000885"/>
    <m/>
    <m/>
    <m/>
    <m/>
    <m/>
    <m/>
    <m/>
    <x v="6"/>
    <d v="2021-08-31T00:00:00"/>
  </r>
  <r>
    <s v="opakovaná VZ"/>
    <s v="VZ-2021-000608"/>
    <x v="1"/>
    <s v="Dočkalová"/>
    <x v="240"/>
    <m/>
    <m/>
    <m/>
    <s v="33140000-3"/>
    <m/>
    <n v="1457850"/>
    <x v="2"/>
    <d v="2021-06-16T00:00:00"/>
    <d v="2021-06-28T00:00:00"/>
    <d v="2021-07-13T00:00:00"/>
    <s v="S.A.B. Impex, s.r.o."/>
    <m/>
    <n v="1457849.88"/>
    <n v="1763998.35"/>
    <m/>
    <m/>
    <m/>
    <d v="2021-07-13T00:00:00"/>
    <s v="SMLN-2021-617-000373_x000a_SMLN-2021-614-000069_x000a_SMLN-2021-616-000049"/>
    <x v="113"/>
    <d v="2021-09-21T00:00:00"/>
  </r>
  <r>
    <d v="2021-06-09T00:00:00"/>
    <s v="VZ-2021-000611"/>
    <x v="18"/>
    <s v="Cahlíková"/>
    <x v="241"/>
    <m/>
    <m/>
    <m/>
    <s v="72225000-8"/>
    <m/>
    <n v="200000"/>
    <x v="2"/>
    <d v="2021-09-03T00:00:00"/>
    <d v="2021-09-20T00:00:00"/>
    <m/>
    <s v="zrušeno - bez hodnotitelné nabídky"/>
    <s v="nová VZ-2021-001046"/>
    <m/>
    <m/>
    <m/>
    <m/>
    <m/>
    <m/>
    <m/>
    <x v="6"/>
    <d v="2021-10-05T00:00:00"/>
  </r>
  <r>
    <d v="2021-06-11T00:00:00"/>
    <s v="VZ-2021-000613"/>
    <x v="3"/>
    <s v="Valíček"/>
    <x v="242"/>
    <m/>
    <m/>
    <m/>
    <s v="71000000-8"/>
    <s v="1.2.79."/>
    <n v="1950000"/>
    <x v="2"/>
    <d v="2021-06-17T00:00:00"/>
    <d v="2021-06-28T00:00:00"/>
    <d v="2021-07-12T00:00:00"/>
    <s v="STYLE STUDIO s.r.o."/>
    <m/>
    <n v="1594000"/>
    <n v="1928740"/>
    <m/>
    <m/>
    <m/>
    <d v="2021-07-13T00:00:00"/>
    <s v="SMLN-2021-618-000053"/>
    <x v="120"/>
    <d v="2021-08-05T00:00:00"/>
  </r>
  <r>
    <d v="2021-12-13T00:00:00"/>
    <s v="VZ-2021-000615"/>
    <x v="0"/>
    <s v="Ondráčková"/>
    <x v="243"/>
    <n v="1"/>
    <s v="Sodná sůl treprostinilu pro pacienty s pumpou subkutánní"/>
    <m/>
    <s v="33652000-5 "/>
    <m/>
    <n v="10955758"/>
    <x v="0"/>
    <d v="2021-12-23T00:00:00"/>
    <d v="2022-01-27T00:00:00"/>
    <m/>
    <m/>
    <m/>
    <m/>
    <m/>
    <m/>
    <m/>
    <m/>
    <m/>
    <m/>
    <x v="6"/>
    <m/>
  </r>
  <r>
    <d v="2021-12-13T00:00:00"/>
    <s v="VZ-2021-000615"/>
    <x v="0"/>
    <s v="Ondráčková"/>
    <x v="243"/>
    <n v="2"/>
    <s v="Sodná sůl treprostinilu pro pacienty s implantabilní pumpou "/>
    <m/>
    <s v="33652000-5 "/>
    <m/>
    <n v="16521989"/>
    <x v="0"/>
    <d v="2021-12-23T00:00:00"/>
    <d v="2022-01-27T00:00:00"/>
    <m/>
    <m/>
    <m/>
    <m/>
    <m/>
    <m/>
    <m/>
    <m/>
    <m/>
    <m/>
    <x v="6"/>
    <m/>
  </r>
  <r>
    <d v="2021-06-14T00:00:00"/>
    <s v="VZ-2021-000616"/>
    <x v="2"/>
    <s v="Olejníček"/>
    <x v="244"/>
    <m/>
    <m/>
    <m/>
    <s v="38000000-5"/>
    <s v="2.2.346."/>
    <n v="1080000"/>
    <x v="1"/>
    <d v="2021-06-23T00:00:00"/>
    <d v="2021-07-14T00:00:00"/>
    <d v="2021-07-27T00:00:00"/>
    <s v="ZENA-R, spol. s r.o."/>
    <m/>
    <n v="834800"/>
    <n v="1010108"/>
    <m/>
    <m/>
    <m/>
    <d v="2021-07-27T00:00:00"/>
    <s v="SMLN-2021-617-000391_x000a_SMLN-2021-612-000078_x000a_SMLN-2021-617-000392"/>
    <x v="121"/>
    <d v="2021-08-17T00:00:00"/>
  </r>
  <r>
    <s v="opakovaná VZ"/>
    <s v="VZ-2021-000617"/>
    <x v="9"/>
    <s v="Svozil"/>
    <x v="245"/>
    <m/>
    <m/>
    <m/>
    <s v="45232150-8"/>
    <m/>
    <n v="5800000"/>
    <x v="2"/>
    <d v="2021-06-25T00:00:00"/>
    <d v="2021-07-09T00:00:00"/>
    <m/>
    <s v="zrušeno - bez nabídky"/>
    <s v="nová VZ-2021-001021"/>
    <m/>
    <m/>
    <m/>
    <m/>
    <m/>
    <m/>
    <m/>
    <x v="6"/>
    <d v="2021-07-09T00:00:00"/>
  </r>
  <r>
    <d v="2021-06-15T00:00:00"/>
    <s v="VZ-2021-000621"/>
    <x v="2"/>
    <s v="Olejníček"/>
    <x v="246"/>
    <m/>
    <m/>
    <m/>
    <s v="38000000-5"/>
    <s v="2.2.372."/>
    <n v="457851"/>
    <x v="2"/>
    <d v="2021-07-13T00:00:00"/>
    <d v="2021-07-27T00:00:00"/>
    <m/>
    <s v="zrušeno - bez hodnotitelné nabídky"/>
    <s v="nová VZ-2021-000828"/>
    <m/>
    <m/>
    <m/>
    <m/>
    <m/>
    <m/>
    <m/>
    <x v="6"/>
    <d v="2021-08-06T00:00:00"/>
  </r>
  <r>
    <d v="2021-06-15T00:00:00"/>
    <s v="VZ-2021-000622"/>
    <x v="2"/>
    <s v="Olejníček"/>
    <x v="247"/>
    <m/>
    <m/>
    <m/>
    <s v="38000000-5"/>
    <s v="2.2.373."/>
    <n v="6420000"/>
    <x v="0"/>
    <d v="2021-07-16T00:00:00"/>
    <d v="2021-08-23T00:00:00"/>
    <m/>
    <s v="zrušeno - odstoupení od nabídky"/>
    <s v="nová VZ-201-000894"/>
    <m/>
    <m/>
    <m/>
    <m/>
    <m/>
    <m/>
    <m/>
    <x v="6"/>
    <d v="2021-09-03T00:00:00"/>
  </r>
  <r>
    <d v="2021-06-15T00:00:00"/>
    <s v="VZ-2021-000623"/>
    <x v="2"/>
    <s v="Olejníček"/>
    <x v="248"/>
    <m/>
    <m/>
    <m/>
    <s v="33123000-8"/>
    <s v="2.2.366."/>
    <n v="1080000"/>
    <x v="2"/>
    <d v="2021-06-22T00:00:00"/>
    <d v="2021-07-02T00:00:00"/>
    <d v="2021-07-22T00:00:00"/>
    <s v="Cardion, s.r.o."/>
    <m/>
    <n v="1043297.52"/>
    <n v="1262390"/>
    <m/>
    <m/>
    <m/>
    <d v="2021-07-22T00:00:00"/>
    <s v="SMLN-2021-617-000385_x000a_SMLN-2021-612-000073"/>
    <x v="122"/>
    <d v="2021-08-13T00:00:00"/>
  </r>
  <r>
    <d v="2021-06-15T00:00:00"/>
    <s v="VZ-2021-000624"/>
    <x v="2"/>
    <s v="Olejníček"/>
    <x v="249"/>
    <m/>
    <m/>
    <m/>
    <s v="33123000-8"/>
    <s v="2.2.365."/>
    <n v="1350000"/>
    <x v="2"/>
    <d v="2021-06-23T00:00:00"/>
    <d v="2021-07-02T00:00:00"/>
    <d v="2021-07-22T00:00:00"/>
    <s v="MEDIAL spol. s r.o."/>
    <m/>
    <n v="890240"/>
    <n v="1077190.3999999999"/>
    <m/>
    <m/>
    <m/>
    <d v="2021-07-22T00:00:00"/>
    <s v="SMLN-2021-617-000386_x000a_SMLN-2021-612-000074_x000a_SMLN-2021-617-000387"/>
    <x v="102"/>
    <d v="2021-09-17T00:00:00"/>
  </r>
  <r>
    <d v="2021-06-09T00:00:00"/>
    <s v="VZ-2021-000625"/>
    <x v="4"/>
    <s v="Srovnal"/>
    <x v="250"/>
    <m/>
    <m/>
    <m/>
    <s v="50532000-3"/>
    <m/>
    <n v="3000000"/>
    <x v="1"/>
    <d v="2021-06-22T00:00:00"/>
    <d v="2021-07-13T00:00:00"/>
    <d v="2021-07-27T00:00:00"/>
    <s v="AQUAL s.r.o."/>
    <m/>
    <n v="2858942"/>
    <n v="3459319.82"/>
    <m/>
    <m/>
    <m/>
    <d v="2021-07-27T00:00:00"/>
    <s v="SMLN-2021-612-000079"/>
    <x v="111"/>
    <d v="2021-09-14T00:00:00"/>
  </r>
  <r>
    <d v="2021-06-21T00:00:00"/>
    <s v="VZ-2021-000632"/>
    <x v="8"/>
    <s v="Kadlec"/>
    <x v="251"/>
    <m/>
    <m/>
    <m/>
    <s v="45332200-5"/>
    <m/>
    <n v="1200000"/>
    <x v="2"/>
    <d v="2021-06-22T00:00:00"/>
    <d v="2021-06-29T00:00:00"/>
    <d v="2021-07-12T00:00:00"/>
    <s v="PROFITEAM topení-voda-plyn s.r.o."/>
    <m/>
    <n v="1349142"/>
    <n v="1632461.82"/>
    <m/>
    <m/>
    <m/>
    <d v="2021-07-13T00:00:00"/>
    <s v="SMLN-2021-618-000054"/>
    <x v="115"/>
    <d v="2021-08-31T00:00:00"/>
  </r>
  <r>
    <d v="2021-06-18T00:00:00"/>
    <s v="VZ-2021-000633"/>
    <x v="2"/>
    <s v="Olejníček"/>
    <x v="252"/>
    <m/>
    <m/>
    <m/>
    <s v="33158000-2"/>
    <s v="2.2.379."/>
    <n v="325000"/>
    <x v="2"/>
    <d v="2021-06-25T00:00:00"/>
    <d v="2021-07-08T00:00:00"/>
    <d v="2021-07-22T00:00:00"/>
    <s v="ESTEMED Pharma s.r.o."/>
    <m/>
    <n v="271500"/>
    <n v="328515"/>
    <m/>
    <m/>
    <m/>
    <d v="2021-07-22T00:00:00"/>
    <s v="SMLN-2021-617-000388_x000a_SMLN-2021-612-000075"/>
    <x v="122"/>
    <d v="2021-08-13T00:00:00"/>
  </r>
  <r>
    <d v="2021-06-24T00:00:00"/>
    <s v="VZ-2021-000640"/>
    <x v="1"/>
    <s v="Dočkalová"/>
    <x v="253"/>
    <n v="1"/>
    <s v="Staplery lineární (Lineární katry) - s integrálním nožem ve stapleru"/>
    <m/>
    <s v="33162200-5"/>
    <m/>
    <n v="3882950"/>
    <x v="0"/>
    <d v="2021-07-22T00:00:00"/>
    <d v="2021-10-05T00:00:00"/>
    <d v="2021-11-03T00:00:00"/>
    <s v="Johnson  &amp; Johnson s.r.o."/>
    <m/>
    <n v="2315091.25"/>
    <n v="2801260.41"/>
    <m/>
    <m/>
    <m/>
    <d v="2021-11-03T00:00:00"/>
    <s v="SMLN-2021-617-000612_x000a_SMLN-2021-614-000101"/>
    <x v="123"/>
    <d v="2022-01-11T00:00:00"/>
  </r>
  <r>
    <d v="2021-06-24T00:00:00"/>
    <s v="VZ-2021-000640"/>
    <x v="1"/>
    <s v="Dočkalová"/>
    <x v="253"/>
    <n v="2"/>
    <s v="Staplery lineární (Lineární katry) - s nožem v zásobníku"/>
    <m/>
    <s v="33162200-5"/>
    <m/>
    <n v="2969250"/>
    <x v="0"/>
    <d v="2021-07-22T00:00:00"/>
    <d v="2021-10-05T00:00:00"/>
    <d v="2021-11-03T00:00:00"/>
    <s v="B. Braun Medical s.r.o."/>
    <m/>
    <n v="1889700"/>
    <n v="2286537"/>
    <m/>
    <m/>
    <m/>
    <d v="2021-11-03T00:00:00"/>
    <s v="SMLN-2021-617-000613_x000a_SMLN-2021-614-000102"/>
    <x v="124"/>
    <d v="2022-01-11T00:00:00"/>
  </r>
  <r>
    <d v="2021-06-24T00:00:00"/>
    <s v="VZ-2021-000640"/>
    <x v="1"/>
    <s v="Dočkalová"/>
    <x v="253"/>
    <n v="3"/>
    <s v="Staplery lineární - s nožem - se zahnutou (okrouhlou) hlavou"/>
    <m/>
    <s v="33162200-5"/>
    <m/>
    <n v="2354100"/>
    <x v="0"/>
    <d v="2021-07-22T00:00:00"/>
    <d v="2021-10-05T00:00:00"/>
    <d v="2021-11-03T00:00:00"/>
    <s v="Johnson  &amp; Johnson s.r.o."/>
    <m/>
    <n v="2354096.5"/>
    <n v="2848456.77"/>
    <m/>
    <m/>
    <m/>
    <d v="2021-11-03T00:00:00"/>
    <s v="SMLN-2021-617-000614_x000a_SMLN-2021-614-000103"/>
    <x v="123"/>
    <d v="2022-01-11T00:00:00"/>
  </r>
  <r>
    <d v="2021-06-24T00:00:00"/>
    <s v="VZ-2021-000640"/>
    <x v="1"/>
    <s v="Dočkalová"/>
    <x v="253"/>
    <n v="4"/>
    <s v="Staplery lineární  - bez nože"/>
    <m/>
    <s v="33162200-5"/>
    <m/>
    <n v="1333620"/>
    <x v="0"/>
    <d v="2021-07-22T00:00:00"/>
    <d v="2021-10-05T00:00:00"/>
    <m/>
    <m/>
    <m/>
    <m/>
    <m/>
    <m/>
    <m/>
    <m/>
    <m/>
    <m/>
    <x v="6"/>
    <m/>
  </r>
  <r>
    <d v="2021-06-24T00:00:00"/>
    <s v="VZ-2021-000640"/>
    <x v="1"/>
    <s v="Dočkalová"/>
    <x v="253"/>
    <n v="5"/>
    <s v="Endokatry/staplery se zahnutou špičkou"/>
    <m/>
    <s v="33162200-5"/>
    <m/>
    <n v="884120"/>
    <x v="0"/>
    <d v="2021-07-22T00:00:00"/>
    <d v="2021-10-05T00:00:00"/>
    <m/>
    <s v="zrušeno - bez hodnotitelné nabídky"/>
    <m/>
    <m/>
    <m/>
    <m/>
    <m/>
    <m/>
    <m/>
    <m/>
    <x v="6"/>
    <d v="2022-01-11T00:00:00"/>
  </r>
  <r>
    <d v="2021-06-24T00:00:00"/>
    <s v="VZ-2021-000640"/>
    <x v="1"/>
    <s v="Dočkalová"/>
    <x v="253"/>
    <n v="6"/>
    <s v="Endokatry/staplery s rovnou špičkou"/>
    <m/>
    <s v="33162200-5"/>
    <m/>
    <n v="2837580"/>
    <x v="0"/>
    <d v="2021-07-22T00:00:00"/>
    <d v="2021-10-05T00:00:00"/>
    <m/>
    <m/>
    <m/>
    <m/>
    <m/>
    <m/>
    <m/>
    <m/>
    <m/>
    <m/>
    <x v="6"/>
    <m/>
  </r>
  <r>
    <d v="2021-06-24T00:00:00"/>
    <s v="VZ-2021-000640"/>
    <x v="1"/>
    <s v="Dočkalová"/>
    <x v="253"/>
    <n v="7"/>
    <s v="Cirkulární staplery zahnuté"/>
    <m/>
    <s v="33162200-5"/>
    <m/>
    <n v="2514360"/>
    <x v="0"/>
    <d v="2021-07-22T00:00:00"/>
    <d v="2021-10-05T00:00:00"/>
    <m/>
    <m/>
    <m/>
    <m/>
    <m/>
    <m/>
    <m/>
    <m/>
    <m/>
    <m/>
    <x v="6"/>
    <m/>
  </r>
  <r>
    <d v="2021-06-24T00:00:00"/>
    <s v="VZ-2021-000640"/>
    <x v="1"/>
    <s v="Dočkalová"/>
    <x v="253"/>
    <n v="8"/>
    <s v="Cirkulární staplery se sklopnou hlavicí"/>
    <m/>
    <s v="33162200-5"/>
    <m/>
    <n v="4106830"/>
    <x v="0"/>
    <d v="2021-07-22T00:00:00"/>
    <d v="2021-10-05T00:00:00"/>
    <m/>
    <s v="zrušeno - bez hodnotitelné nabídky"/>
    <m/>
    <m/>
    <m/>
    <m/>
    <m/>
    <m/>
    <m/>
    <m/>
    <x v="6"/>
    <d v="2022-01-11T00:00:00"/>
  </r>
  <r>
    <d v="2021-06-24T00:00:00"/>
    <s v="VZ-2021-000640"/>
    <x v="1"/>
    <s v="Dočkalová"/>
    <x v="253"/>
    <n v="9"/>
    <s v="Cirkulární staplery na operaci hemoroidů metodou dle Longa"/>
    <m/>
    <s v="33162200-5"/>
    <m/>
    <n v="717830"/>
    <x v="0"/>
    <d v="2021-07-22T00:00:00"/>
    <d v="2021-10-05T00:00:00"/>
    <d v="2021-12-01T00:00:00"/>
    <s v="B. Braun Medical s.r.o."/>
    <m/>
    <n v="694000"/>
    <n v="839740"/>
    <m/>
    <m/>
    <m/>
    <d v="2021-12-01T00:00:00"/>
    <s v="SMLN-2021-617-000695_x000a_SMLN-2021-614-000117"/>
    <x v="6"/>
    <m/>
  </r>
  <r>
    <d v="2021-06-24T00:00:00"/>
    <s v="VZ-2021-000640"/>
    <x v="1"/>
    <s v="Dočkalová"/>
    <x v="253"/>
    <n v="10"/>
    <s v="Staplery kožní"/>
    <m/>
    <s v="33162200-5"/>
    <m/>
    <n v="991250"/>
    <x v="0"/>
    <d v="2021-07-22T00:00:00"/>
    <d v="2021-10-05T00:00:00"/>
    <m/>
    <m/>
    <m/>
    <m/>
    <m/>
    <m/>
    <m/>
    <m/>
    <m/>
    <m/>
    <x v="6"/>
    <m/>
  </r>
  <r>
    <d v="2021-06-25T00:00:00"/>
    <s v="VZ-2021-000650"/>
    <x v="1"/>
    <s v="Valtová"/>
    <x v="254"/>
    <m/>
    <m/>
    <m/>
    <s v="33140000-3"/>
    <m/>
    <n v="2819340"/>
    <x v="1"/>
    <d v="2021-07-01T00:00:00"/>
    <d v="2021-07-22T00:00:00"/>
    <d v="2021-08-12T00:00:00"/>
    <s v="INOVA SURGICAL s.r.o."/>
    <m/>
    <n v="2819340"/>
    <n v="3411401.4"/>
    <m/>
    <m/>
    <m/>
    <d v="2021-08-12T00:00:00"/>
    <s v="SMLN-2021-617-000420_x000a_SMLN-2021-614-000075"/>
    <x v="102"/>
    <d v="2021-09-08T00:00:00"/>
  </r>
  <r>
    <d v="2021-06-29T00:00:00"/>
    <s v="VZ-2021-000666"/>
    <x v="1"/>
    <s v="Valtová"/>
    <x v="255"/>
    <m/>
    <m/>
    <m/>
    <s v="33140000-3"/>
    <m/>
    <n v="2170000"/>
    <x v="1"/>
    <d v="2021-07-07T00:00:00"/>
    <d v="2021-08-12T00:00:00"/>
    <d v="2021-09-03T00:00:00"/>
    <s v="INLAB s.r.o."/>
    <m/>
    <n v="1433600"/>
    <n v="1734656"/>
    <m/>
    <m/>
    <m/>
    <d v="2021-09-03T00:00:00"/>
    <s v="SMLN-2021-617-000472_x000a_SMLN-2021-614-000079"/>
    <x v="109"/>
    <d v="2021-09-29T00:00:00"/>
  </r>
  <r>
    <d v="2021-06-30T00:00:00"/>
    <s v="VZ-2021-000670"/>
    <x v="1"/>
    <s v="Valtová"/>
    <x v="256"/>
    <m/>
    <m/>
    <m/>
    <s v="33140000-3"/>
    <m/>
    <n v="2484000"/>
    <x v="1"/>
    <d v="2021-07-13T00:00:00"/>
    <d v="2021-08-16T00:00:00"/>
    <m/>
    <s v="zrušeno - ekonomické důvody"/>
    <s v="nová VZ-2021-000891"/>
    <m/>
    <m/>
    <m/>
    <m/>
    <m/>
    <m/>
    <m/>
    <x v="6"/>
    <d v="2021-09-08T00:00:00"/>
  </r>
  <r>
    <d v="2021-07-02T00:00:00"/>
    <s v="VZ-2021-000671"/>
    <x v="2"/>
    <s v="Olejníček"/>
    <x v="257"/>
    <m/>
    <m/>
    <m/>
    <s v="38000000-5"/>
    <s v="2.3.557."/>
    <n v="570000"/>
    <x v="2"/>
    <d v="2021-07-07T00:00:00"/>
    <d v="2021-07-15T00:00:00"/>
    <d v="2021-07-22T00:00:00"/>
    <s v="TRIGON PLUS s.r.o."/>
    <m/>
    <n v="512700"/>
    <n v="620367"/>
    <m/>
    <m/>
    <m/>
    <d v="2021-07-22T00:00:00"/>
    <s v="SMLN-2021-617-000389_x000a_SMLN-2021-612-000076"/>
    <x v="121"/>
    <d v="2021-08-16T00:00:00"/>
  </r>
  <r>
    <d v="2021-07-02T00:00:00"/>
    <s v="VZ-2021-000674"/>
    <x v="3"/>
    <s v="Hrubý"/>
    <x v="258"/>
    <m/>
    <m/>
    <m/>
    <s v="45215100-8"/>
    <s v="1.2.80."/>
    <n v="475000"/>
    <x v="2"/>
    <d v="2021-07-15T00:00:00"/>
    <d v="2021-07-27T00:00:00"/>
    <d v="2021-08-04T00:00:00"/>
    <s v="OHL ŽS, a.s."/>
    <m/>
    <n v="657423.42000000004"/>
    <n v="795482.34"/>
    <m/>
    <m/>
    <m/>
    <d v="2021-08-04T00:00:00"/>
    <s v="SMLN-2021-618-000058"/>
    <x v="62"/>
    <d v="2021-08-31T00:00:00"/>
  </r>
  <r>
    <d v="2021-06-29T00:00:00"/>
    <s v="VZ-2021-000675"/>
    <x v="1"/>
    <s v="Valtová"/>
    <x v="259"/>
    <m/>
    <m/>
    <m/>
    <s v="33140000-3"/>
    <m/>
    <n v="1428000"/>
    <x v="2"/>
    <d v="2021-07-13T00:00:00"/>
    <d v="2021-07-30T00:00:00"/>
    <d v="2021-08-10T00:00:00"/>
    <s v="INLAB s.r.o."/>
    <m/>
    <n v="980000"/>
    <n v="1185800"/>
    <m/>
    <m/>
    <m/>
    <d v="2021-08-10T00:00:00"/>
    <s v="SMLN-2021-617-000409_x000a_SMLN-2021-614-000074"/>
    <x v="125"/>
    <d v="2021-09-01T00:00:00"/>
  </r>
  <r>
    <d v="2021-07-01T00:00:00"/>
    <s v="VZ-2021-000676"/>
    <x v="1"/>
    <s v="Valtová"/>
    <x v="260"/>
    <m/>
    <m/>
    <m/>
    <s v="33140000-3"/>
    <m/>
    <n v="1350000"/>
    <x v="2"/>
    <d v="2021-07-13T00:00:00"/>
    <d v="2021-07-30T00:00:00"/>
    <d v="2021-10-19T00:00:00"/>
    <s v="Medinet, s.r.o."/>
    <m/>
    <n v="1260000"/>
    <n v="1524600"/>
    <m/>
    <m/>
    <m/>
    <d v="2021-10-20T00:00:00"/>
    <s v="SMLN-2021-617-000581_x000a_SMLN-2021-614-000094"/>
    <x v="126"/>
    <d v="2021-11-12T00:00:00"/>
  </r>
  <r>
    <d v="2021-07-02T00:00:00"/>
    <s v="VZ-2021-000687"/>
    <x v="2"/>
    <s v="Olejníček"/>
    <x v="261"/>
    <m/>
    <m/>
    <m/>
    <s v="42996110-8"/>
    <s v="2.2.388."/>
    <n v="171000"/>
    <x v="2"/>
    <d v="2021-07-13T00:00:00"/>
    <d v="2021-07-26T00:00:00"/>
    <d v="2021-08-02T00:00:00"/>
    <s v="AUDY s.r.o."/>
    <m/>
    <n v="140012"/>
    <n v="169414.52"/>
    <m/>
    <m/>
    <m/>
    <d v="2021-08-02T00:00:00"/>
    <s v="SMLN-2021-617-000399_x000a_SMLN-2021-612-000081"/>
    <x v="62"/>
    <d v="2021-08-31T00:00:00"/>
  </r>
  <r>
    <d v="2021-07-07T00:00:00"/>
    <s v="VZ-2021-000692"/>
    <x v="2"/>
    <s v="Olejníček"/>
    <x v="262"/>
    <m/>
    <m/>
    <m/>
    <s v="33197000-7"/>
    <s v="2.2.375."/>
    <n v="354000"/>
    <x v="2"/>
    <d v="2021-07-14T00:00:00"/>
    <d v="2021-07-27T00:00:00"/>
    <d v="2021-08-02T00:00:00"/>
    <s v="Gatema Medical s.r.o."/>
    <m/>
    <n v="342800"/>
    <n v="414788"/>
    <m/>
    <m/>
    <m/>
    <d v="2021-08-02T00:00:00"/>
    <s v="SMLN-2021-617-000400_x000a_SMLN-2021-612-000082"/>
    <x v="127"/>
    <d v="2021-08-31T00:00:00"/>
  </r>
  <r>
    <s v="opakovaná VZ"/>
    <s v="VZ-2021-000695"/>
    <x v="0"/>
    <s v="Ondráčková"/>
    <x v="263"/>
    <n v="1"/>
    <s v="Spotřební materiál pro krevní obrazy I. "/>
    <m/>
    <s v="33694000-1"/>
    <m/>
    <n v="1830352"/>
    <x v="1"/>
    <d v="2021-07-14T00:00:00"/>
    <d v="2021-07-30T00:00:00"/>
    <d v="2021-08-23T00:00:00"/>
    <s v="MEDISTA spol. s r.o."/>
    <m/>
    <n v="1830326"/>
    <n v="2214694.46"/>
    <m/>
    <m/>
    <m/>
    <d v="2021-08-23T00:00:00"/>
    <s v="SMLN-2021-617-000438"/>
    <x v="103"/>
    <d v="2021-11-03T00:00:00"/>
  </r>
  <r>
    <s v="opakovaná VZ"/>
    <s v="VZ-2021-000695"/>
    <x v="0"/>
    <s v="Ondráčková"/>
    <x v="263"/>
    <n v="2"/>
    <s v="Spotřební materiál pro krevní obrazy II. "/>
    <m/>
    <s v="33694000-1"/>
    <m/>
    <n v="1149222"/>
    <x v="1"/>
    <d v="2021-07-14T00:00:00"/>
    <d v="2021-07-30T00:00:00"/>
    <d v="2021-08-23T00:00:00"/>
    <s v="ROCHE s.r.o."/>
    <m/>
    <n v="1149221.6000000001"/>
    <n v="1390558.14"/>
    <m/>
    <m/>
    <m/>
    <d v="2021-08-23T00:00:00"/>
    <s v="SMLN-2021-617-000439"/>
    <x v="126"/>
    <d v="2021-11-10T00:00:00"/>
  </r>
  <r>
    <s v="opakovaná VZ"/>
    <s v="VZ-2021-000695"/>
    <x v="0"/>
    <s v="Ondráčková"/>
    <x v="263"/>
    <n v="3"/>
    <s v="Spotřební materiál pro krevní obrazy III. "/>
    <m/>
    <s v="33694000-1"/>
    <m/>
    <n v="54000"/>
    <x v="1"/>
    <d v="2021-07-14T00:00:00"/>
    <d v="2021-07-30T00:00:00"/>
    <m/>
    <m/>
    <m/>
    <m/>
    <m/>
    <m/>
    <m/>
    <m/>
    <m/>
    <m/>
    <x v="6"/>
    <d v="2021-09-16T00:00:00"/>
  </r>
  <r>
    <s v="opakovaná VZ"/>
    <s v="VZ-2021-000695"/>
    <x v="0"/>
    <s v="Ondráčková"/>
    <x v="263"/>
    <n v="4"/>
    <s v="Spotřební materiál pro krevní obrazy IV. "/>
    <m/>
    <s v="33694000-1"/>
    <m/>
    <n v="184158"/>
    <x v="1"/>
    <d v="2021-07-14T00:00:00"/>
    <d v="2021-07-30T00:00:00"/>
    <d v="2021-08-23T00:00:00"/>
    <s v="Werfen Czech s.r.o."/>
    <m/>
    <n v="169896"/>
    <n v="205574.16"/>
    <m/>
    <m/>
    <m/>
    <d v="2021-08-23T00:00:00"/>
    <s v="SMLN-2021-617-000440"/>
    <x v="84"/>
    <d v="2021-11-03T00:00:00"/>
  </r>
  <r>
    <d v="2021-06-30T00:00:00"/>
    <s v="VZ-2021-000699"/>
    <x v="2"/>
    <s v="Olejníček"/>
    <x v="264"/>
    <m/>
    <m/>
    <m/>
    <s v="33123210-3"/>
    <s v="2.2.331."/>
    <n v="75000"/>
    <x v="2"/>
    <d v="2021-07-16T00:00:00"/>
    <d v="2021-07-28T00:00:00"/>
    <d v="2021-08-10T00:00:00"/>
    <s v="BTL zdravotnická technika a.s."/>
    <m/>
    <n v="63160"/>
    <n v="76423.600000000006"/>
    <m/>
    <m/>
    <m/>
    <d v="2021-08-10T00:00:00"/>
    <s v="SMLN-2021-617-000411_x000a_SMLN-2021-612-000085"/>
    <x v="108"/>
    <d v="2021-09-02T00:00:00"/>
  </r>
  <r>
    <d v="2021-07-14T00:00:00"/>
    <s v="VZ-2021-000700"/>
    <x v="10"/>
    <s v="Zdráhalová"/>
    <x v="265"/>
    <n v="1"/>
    <s v="Korková ochranná a zdravotnická obuv"/>
    <m/>
    <s v="18830000-6"/>
    <m/>
    <n v="4512000"/>
    <x v="0"/>
    <d v="2021-07-29T00:00:00"/>
    <d v="2021-09-15T00:00:00"/>
    <m/>
    <s v="zrušeno - bez hodnotitelné nabídky"/>
    <s v="nová VZ-2022-000015"/>
    <m/>
    <m/>
    <m/>
    <m/>
    <m/>
    <m/>
    <m/>
    <x v="6"/>
    <d v="2021-10-11T00:00:00"/>
  </r>
  <r>
    <d v="2021-07-14T00:00:00"/>
    <s v="VZ-2021-000700"/>
    <x v="10"/>
    <s v="Zdráhalová"/>
    <x v="265"/>
    <n v="2"/>
    <s v="Obuv ochranná a zdravotnická typu Crocs"/>
    <m/>
    <s v="18830000-6"/>
    <m/>
    <n v="3216000"/>
    <x v="0"/>
    <d v="2021-07-29T00:00:00"/>
    <d v="2021-09-15T00:00:00"/>
    <m/>
    <s v="zrušeno - bez hodnotitelné nabídky"/>
    <s v="nová VZ-2022-000015"/>
    <m/>
    <m/>
    <m/>
    <m/>
    <m/>
    <m/>
    <m/>
    <x v="6"/>
    <d v="2021-10-29T00:00:00"/>
  </r>
  <r>
    <d v="2021-07-14T00:00:00"/>
    <s v="VZ-2021-000703"/>
    <x v="2"/>
    <s v="Rosulek"/>
    <x v="266"/>
    <n v="1"/>
    <s v="Anesteziologické přístroje s monitorem vitálních funkcí"/>
    <m/>
    <s v="33172100-7"/>
    <s v="2.2.261."/>
    <n v="12450000"/>
    <x v="0"/>
    <d v="2021-09-01T00:00:00"/>
    <d v="2021-10-19T00:00:00"/>
    <m/>
    <m/>
    <m/>
    <m/>
    <m/>
    <m/>
    <m/>
    <m/>
    <m/>
    <m/>
    <x v="6"/>
    <m/>
  </r>
  <r>
    <d v="2021-07-14T00:00:00"/>
    <s v="VZ-2021-000703"/>
    <x v="2"/>
    <s v="Rosulek"/>
    <x v="267"/>
    <n v="2"/>
    <s v="Anesteziologický přístroj s monitory vitálních funkcí pro magnetickou rezonanci"/>
    <m/>
    <s v="33172100-7"/>
    <s v="2.2.330."/>
    <n v="4938843"/>
    <x v="0"/>
    <d v="2021-09-01T00:00:00"/>
    <d v="2021-10-19T00:00:00"/>
    <m/>
    <m/>
    <m/>
    <m/>
    <m/>
    <m/>
    <m/>
    <m/>
    <m/>
    <m/>
    <x v="6"/>
    <m/>
  </r>
  <r>
    <s v="opakovaná VZ"/>
    <s v="VZ-2021-000704"/>
    <x v="3"/>
    <s v="Valíček"/>
    <x v="268"/>
    <m/>
    <m/>
    <s v="71000000-8"/>
    <s v="71000000-8"/>
    <s v="1.2.67."/>
    <n v="40000000"/>
    <x v="0"/>
    <d v="2021-08-05T00:00:00"/>
    <d v="2021-09-07T00:00:00"/>
    <d v="2021-11-05T00:00:00"/>
    <s v="Adam Rujbr Architects s.r.o."/>
    <m/>
    <n v="21200000"/>
    <n v="25652000"/>
    <m/>
    <m/>
    <m/>
    <d v="2021-11-05T00:00:00"/>
    <s v="SMLN-2021-618-000077"/>
    <x v="6"/>
    <m/>
  </r>
  <r>
    <d v="2021-07-14T00:00:00"/>
    <s v="VZ-2021-000706"/>
    <x v="2"/>
    <s v="Rosulek"/>
    <x v="269"/>
    <n v="1"/>
    <s v="Obnova kardioangografických systémů"/>
    <m/>
    <s v="33123220-6_x000a_45215100-8"/>
    <m/>
    <n v="100870000"/>
    <x v="0"/>
    <d v="2021-07-28T00:00:00"/>
    <d v="2021-10-05T00:00:00"/>
    <d v="2021-11-09T00:00:00"/>
    <s v="Philips Česká republika s.r.o."/>
    <m/>
    <n v="104260560"/>
    <n v="126155277.59999999"/>
    <m/>
    <m/>
    <m/>
    <d v="2021-11-09T00:00:00"/>
    <s v="SMLN-2021-617-000641_x000a_SMLN-2021-612-000126_x000a_SMLN-2021-612-000127"/>
    <x v="128"/>
    <d v="2021-12-14T00:00:00"/>
  </r>
  <r>
    <d v="2021-07-14T00:00:00"/>
    <s v="VZ-2021-000706"/>
    <x v="2"/>
    <s v="Rosulek"/>
    <x v="269"/>
    <n v="2"/>
    <s v="Ablační RF generátor s proplachovou pumpou"/>
    <m/>
    <s v="33158200-4_x000a_33124100-6"/>
    <m/>
    <n v="1500000"/>
    <x v="0"/>
    <d v="2021-07-28T00:00:00"/>
    <d v="2021-10-05T00:00:00"/>
    <d v="2021-11-09T00:00:00"/>
    <s v="Johnson  &amp; Johnson s.r.o."/>
    <m/>
    <n v="1415900"/>
    <n v="1713239"/>
    <m/>
    <m/>
    <m/>
    <d v="2021-11-09T00:00:00"/>
    <s v="SMLN-2021-617-000642_x000a_SMLN-2021-612-000128"/>
    <x v="123"/>
    <d v="2021-12-14T00:00:00"/>
  </r>
  <r>
    <d v="2021-07-14T00:00:00"/>
    <s v="VZ-2021-000706"/>
    <x v="2"/>
    <s v="Rosulek"/>
    <x v="269"/>
    <n v="3"/>
    <s v="Elektroanatomický 3D mapovací systém"/>
    <m/>
    <s v="33158200-4_x000a_33124100-6"/>
    <m/>
    <n v="16770000"/>
    <x v="0"/>
    <d v="2021-07-28T00:00:00"/>
    <d v="2021-10-05T00:00:00"/>
    <d v="2021-11-09T00:00:00"/>
    <s v="Johnson  &amp; Johnson s.r.o."/>
    <m/>
    <n v="16540000"/>
    <n v="20013400"/>
    <m/>
    <m/>
    <m/>
    <d v="2021-11-09T00:00:00"/>
    <s v="SMLN-2021-617-000643_x000a_SMLN-2021-612-000129"/>
    <x v="123"/>
    <d v="2021-12-14T00:00:00"/>
  </r>
  <r>
    <d v="2021-07-09T00:00:00"/>
    <s v="VZ-2021-000709"/>
    <x v="2"/>
    <s v="Olejníček"/>
    <x v="137"/>
    <n v="1"/>
    <s v="Andrologický mikroskop pro hodnocení spermiogramu"/>
    <m/>
    <s v="38510000-3"/>
    <s v="2.3.309."/>
    <n v="192000"/>
    <x v="2"/>
    <d v="2021-07-19T00:00:00"/>
    <d v="2021-07-30T00:00:00"/>
    <d v="2021-08-10T00:00:00"/>
    <s v="Nikon Europe B.V., český odštěpný závod "/>
    <m/>
    <n v="183366"/>
    <n v="221872.86"/>
    <m/>
    <m/>
    <m/>
    <d v="2021-08-10T00:00:00"/>
    <s v="SMLN-2021-617-000414_x000a_SMLN-2021-612-000086"/>
    <x v="129"/>
    <d v="2021-09-02T00:00:00"/>
  </r>
  <r>
    <d v="2021-07-09T00:00:00"/>
    <s v="VZ-2021-000709"/>
    <x v="2"/>
    <s v="Olejníček"/>
    <x v="137"/>
    <n v="2"/>
    <s v="Laboratorní mikroskopy   "/>
    <m/>
    <s v="38510000-3"/>
    <s v="2.3.546."/>
    <n v="175000"/>
    <x v="2"/>
    <d v="2021-07-19T00:00:00"/>
    <d v="2021-07-30T00:00:00"/>
    <d v="2021-08-10T00:00:00"/>
    <s v="Nikon Europe B.V., český odštěpný závod "/>
    <m/>
    <n v="151462"/>
    <n v="183269.75"/>
    <m/>
    <m/>
    <m/>
    <d v="2021-08-10T00:00:00"/>
    <s v="SMLN-2021-617-000417_x000a_SMLN-2021-612-000087"/>
    <x v="129"/>
    <d v="2021-09-02T00:00:00"/>
  </r>
  <r>
    <d v="2021-07-09T00:00:00"/>
    <s v="VZ-2021-000710"/>
    <x v="2"/>
    <s v="Olejníček"/>
    <x v="270"/>
    <m/>
    <m/>
    <m/>
    <s v="33192160-1"/>
    <s v="2.3.552."/>
    <n v="87000"/>
    <x v="2"/>
    <d v="2021-07-19T00:00:00"/>
    <d v="2021-07-28T00:00:00"/>
    <d v="2021-08-09T00:00:00"/>
    <s v="Sezame Products s.r.o."/>
    <m/>
    <n v="56700"/>
    <n v="68607"/>
    <m/>
    <m/>
    <m/>
    <d v="2021-08-09T00:00:00"/>
    <s v="SMLN-2021-617-000407_x000a_SMLN-2021-612-000083"/>
    <x v="130"/>
    <d v="2021-09-17T00:00:00"/>
  </r>
  <r>
    <s v="opakovaná VZ"/>
    <s v="VZ-2021-000711"/>
    <x v="2"/>
    <s v="Olejníček"/>
    <x v="271"/>
    <m/>
    <m/>
    <m/>
    <s v="38000000-5"/>
    <s v="2.2.374."/>
    <n v="1497521"/>
    <x v="2"/>
    <d v="2021-07-22T00:00:00"/>
    <d v="2021-08-03T00:00:00"/>
    <d v="2021-09-02T00:00:00"/>
    <s v="SHIMADZU Handels GmbH - organizační složka"/>
    <m/>
    <n v="1021233"/>
    <n v="1235691.93"/>
    <m/>
    <m/>
    <m/>
    <d v="2021-09-03T00:00:00"/>
    <s v="SMLN-2021-617-000469_x000a_SMLN-2021-612-000100_x000a_SMLN-2021-617-000470"/>
    <x v="109"/>
    <d v="2021-10-08T00:00:00"/>
  </r>
  <r>
    <d v="2021-07-14T00:00:00"/>
    <s v="VZ-2021-000712"/>
    <x v="1"/>
    <s v="Dočkalová"/>
    <x v="272"/>
    <m/>
    <m/>
    <m/>
    <s v="33140000-3"/>
    <m/>
    <n v="1973190"/>
    <x v="2"/>
    <d v="2021-07-19T00:00:00"/>
    <d v="2021-07-29T00:00:00"/>
    <d v="2021-08-10T00:00:00"/>
    <s v="ARID obchodní společnost, s.r.o."/>
    <m/>
    <n v="1973190"/>
    <n v="2269168.5"/>
    <m/>
    <m/>
    <m/>
    <d v="2021-08-12T00:00:00"/>
    <s v="SMLN-2021-617-000423_x000a_SMLN-2021-614-000076"/>
    <x v="125"/>
    <d v="2021-09-02T00:00:00"/>
  </r>
  <r>
    <s v="opakovaná VZ"/>
    <s v="VZ-2021-000713"/>
    <x v="10"/>
    <s v="Zdráhalová"/>
    <x v="273"/>
    <m/>
    <m/>
    <m/>
    <s v="30197644-2"/>
    <m/>
    <n v="1100000"/>
    <x v="2"/>
    <d v="2021-07-19T00:00:00"/>
    <d v="2021-07-29T00:00:00"/>
    <m/>
    <s v="zrušeno - nesplnění tech. podmínek"/>
    <s v="nová VZ-2021-000768"/>
    <m/>
    <m/>
    <m/>
    <m/>
    <m/>
    <m/>
    <m/>
    <x v="6"/>
    <d v="2021-08-04T00:00:00"/>
  </r>
  <r>
    <d v="2021-07-14T00:00:00"/>
    <s v="VZ-2021-000715"/>
    <x v="2"/>
    <s v="Olejníček"/>
    <x v="274"/>
    <m/>
    <m/>
    <m/>
    <s v="33168100-6"/>
    <s v="2.2.269,2.2.263"/>
    <n v="1481625"/>
    <x v="2"/>
    <d v="2021-07-21T00:00:00"/>
    <d v="2021-07-30T00:00:00"/>
    <m/>
    <s v="zrušeno - nemožnost realizace"/>
    <m/>
    <m/>
    <m/>
    <m/>
    <m/>
    <m/>
    <m/>
    <m/>
    <x v="6"/>
    <d v="2021-07-27T00:00:00"/>
  </r>
  <r>
    <d v="2021-07-16T00:00:00"/>
    <s v="VZ-2021-000717"/>
    <x v="0"/>
    <s v="Ondráčková"/>
    <x v="275"/>
    <n v="1"/>
    <s v="TOFACITINIB"/>
    <m/>
    <s v="33652300-8"/>
    <m/>
    <n v="1477522"/>
    <x v="2"/>
    <d v="2021-08-04T00:00:00"/>
    <d v="2021-08-13T00:00:00"/>
    <d v="2021-08-23T00:00:00"/>
    <s v="PHOENIX lék.velkoobchod, s.r.o."/>
    <m/>
    <n v="1477521.38"/>
    <n v="1625273.52"/>
    <m/>
    <m/>
    <m/>
    <d v="2021-08-23T00:00:00"/>
    <s v="SMLN-2021-617-000441"/>
    <x v="131"/>
    <d v="2021-10-12T00:00:00"/>
  </r>
  <r>
    <d v="2021-07-16T00:00:00"/>
    <s v="VZ-2021-000718"/>
    <x v="0"/>
    <s v="Ondráčková"/>
    <x v="276"/>
    <n v="1"/>
    <s v="SOFOSBUVIR A VELPATASVIR "/>
    <m/>
    <s v="33651400-2"/>
    <m/>
    <n v="4341599"/>
    <x v="0"/>
    <d v="2021-07-23T00:00:00"/>
    <d v="2021-08-27T00:00:00"/>
    <d v="2021-09-21T00:00:00"/>
    <s v="Gilead Sciences s.r.o."/>
    <m/>
    <n v="4341598.92"/>
    <n v="4775758.8099999996"/>
    <m/>
    <m/>
    <m/>
    <d v="2021-09-21T00:00:00"/>
    <s v="SMLN-2021-617-000512"/>
    <x v="132"/>
    <d v="2021-11-26T00:00:00"/>
  </r>
  <r>
    <d v="2021-07-16T00:00:00"/>
    <s v="VZ-2021-000718"/>
    <x v="0"/>
    <s v="Ondráčková"/>
    <x v="276"/>
    <n v="2"/>
    <s v="SOFOSBUVIR, VELPATASVIR A VOXILAPREVIR"/>
    <m/>
    <s v="33651400-2"/>
    <m/>
    <n v="2791686"/>
    <x v="0"/>
    <d v="2021-07-23T00:00:00"/>
    <d v="2021-08-27T00:00:00"/>
    <d v="2021-09-21T00:00:00"/>
    <s v="Gilead Sciences s.r.o."/>
    <m/>
    <n v="2791685.52"/>
    <n v="3070854.07"/>
    <m/>
    <m/>
    <m/>
    <d v="2021-09-21T00:00:00"/>
    <s v="SMLN-2021-617-000513"/>
    <x v="132"/>
    <d v="2021-11-26T00:00:00"/>
  </r>
  <r>
    <d v="2021-07-16T00:00:00"/>
    <s v="VZ-2021-000719"/>
    <x v="0"/>
    <s v="Ondráčková"/>
    <x v="277"/>
    <n v="1"/>
    <s v="CONTROLOC"/>
    <m/>
    <s v="33610000-9"/>
    <m/>
    <n v="1051199"/>
    <x v="0"/>
    <d v="2021-07-22T00:00:00"/>
    <d v="2021-09-22T00:00:00"/>
    <d v="2021-12-01T00:00:00"/>
    <s v="PHARMOS, a.s."/>
    <m/>
    <n v="1038016.08"/>
    <n v="1141817.69"/>
    <m/>
    <m/>
    <m/>
    <d v="2021-12-01T00:00:00"/>
    <s v="SMLN-2021-617-000704"/>
    <x v="133"/>
    <d v="2022-01-06T00:00:00"/>
  </r>
  <r>
    <d v="2021-07-16T00:00:00"/>
    <s v="VZ-2021-000719"/>
    <x v="0"/>
    <s v="Ondráčková"/>
    <x v="277"/>
    <n v="2"/>
    <s v="PANTOPRAZOL"/>
    <m/>
    <s v="33610000-9"/>
    <m/>
    <n v="103138"/>
    <x v="0"/>
    <d v="2021-07-22T00:00:00"/>
    <d v="2021-09-22T00:00:00"/>
    <m/>
    <s v="zrušeno - bez hodnotitelné nabídky"/>
    <m/>
    <m/>
    <m/>
    <m/>
    <m/>
    <m/>
    <m/>
    <m/>
    <x v="6"/>
    <d v="2021-12-01T00:00:00"/>
  </r>
  <r>
    <d v="2021-07-16T00:00:00"/>
    <s v="VZ-2021-000719"/>
    <x v="0"/>
    <s v="Ondráčková"/>
    <x v="277"/>
    <n v="3"/>
    <s v="PANTOPRAZOL I.V."/>
    <m/>
    <s v="33610000-9"/>
    <m/>
    <n v="2295855"/>
    <x v="0"/>
    <d v="2021-07-22T00:00:00"/>
    <d v="2021-09-22T00:00:00"/>
    <d v="2021-12-01T00:00:00"/>
    <s v="Alliance Healthcare s.r.o."/>
    <m/>
    <n v="2292017.88"/>
    <n v="2521219.67"/>
    <m/>
    <m/>
    <m/>
    <d v="2021-12-01T00:00:00"/>
    <s v="SMLN-2021-617-000705"/>
    <x v="134"/>
    <d v="2022-01-06T00:00:00"/>
  </r>
  <r>
    <d v="2021-07-16T00:00:00"/>
    <s v="VZ-2021-000719"/>
    <x v="0"/>
    <s v="Ondráčková"/>
    <x v="277"/>
    <n v="4"/>
    <s v="OMEPRAZOL I.V."/>
    <m/>
    <s v="33610000-9"/>
    <m/>
    <n v="60840"/>
    <x v="0"/>
    <d v="2021-07-22T00:00:00"/>
    <d v="2021-09-22T00:00:00"/>
    <m/>
    <s v="zrušeno - bez nabídky"/>
    <m/>
    <m/>
    <m/>
    <m/>
    <m/>
    <m/>
    <m/>
    <m/>
    <x v="6"/>
    <d v="2021-12-01T00:00:00"/>
  </r>
  <r>
    <d v="2021-07-16T00:00:00"/>
    <s v="VZ-2021-000719"/>
    <x v="0"/>
    <s v="Ondráčková"/>
    <x v="277"/>
    <n v="5"/>
    <s v="HELICID"/>
    <m/>
    <s v="33610000-9"/>
    <m/>
    <n v="1251266"/>
    <x v="0"/>
    <d v="2021-07-22T00:00:00"/>
    <d v="2021-09-22T00:00:00"/>
    <d v="2021-12-01T00:00:00"/>
    <s v="PHARMOS, a.s."/>
    <m/>
    <n v="1246995.3899999999"/>
    <n v="1371694.93"/>
    <m/>
    <m/>
    <m/>
    <d v="2021-12-01T00:00:00"/>
    <s v="SMLN-2021-617-000706"/>
    <x v="133"/>
    <d v="2022-01-06T00:00:00"/>
  </r>
  <r>
    <d v="2021-07-16T00:00:00"/>
    <s v="VZ-2021-000719"/>
    <x v="0"/>
    <s v="Ondráčková"/>
    <x v="277"/>
    <n v="6"/>
    <s v="OMEPRAZOL "/>
    <m/>
    <s v="33610000-9"/>
    <m/>
    <n v="289927"/>
    <x v="0"/>
    <d v="2021-07-22T00:00:00"/>
    <d v="2021-09-22T00:00:00"/>
    <m/>
    <s v="zrušeno - bez hodnotitelné nabídky"/>
    <m/>
    <m/>
    <m/>
    <m/>
    <m/>
    <m/>
    <m/>
    <m/>
    <x v="6"/>
    <d v="2021-12-01T00:00:00"/>
  </r>
  <r>
    <d v="2021-07-16T00:00:00"/>
    <s v="VZ-2021-000719"/>
    <x v="0"/>
    <s v="Ondráčková"/>
    <x v="277"/>
    <n v="7"/>
    <s v="RIVAROXABAN"/>
    <m/>
    <s v="33610000-9"/>
    <m/>
    <n v="1699203"/>
    <x v="0"/>
    <d v="2021-07-22T00:00:00"/>
    <d v="2021-09-22T00:00:00"/>
    <m/>
    <s v="zrušeno - bez nabídky"/>
    <m/>
    <m/>
    <m/>
    <m/>
    <m/>
    <m/>
    <m/>
    <m/>
    <x v="6"/>
    <d v="2021-12-01T00:00:00"/>
  </r>
  <r>
    <d v="2021-07-16T00:00:00"/>
    <s v="VZ-2021-000719"/>
    <x v="0"/>
    <s v="Ondráčková"/>
    <x v="277"/>
    <n v="8"/>
    <s v="RIVAROXABAN II."/>
    <m/>
    <s v="33610000-9"/>
    <m/>
    <n v="7665209"/>
    <x v="0"/>
    <d v="2021-07-22T00:00:00"/>
    <d v="2021-09-22T00:00:00"/>
    <d v="2021-12-01T00:00:00"/>
    <s v="PHARMOS, a.s."/>
    <m/>
    <n v="7591466.4900000002"/>
    <n v="8350613.1399999997"/>
    <m/>
    <m/>
    <m/>
    <d v="2021-12-01T00:00:00"/>
    <s v="SMLN-2021-617-000707"/>
    <x v="133"/>
    <d v="2022-01-06T00:00:00"/>
  </r>
  <r>
    <d v="2021-07-16T00:00:00"/>
    <s v="VZ-2021-000719"/>
    <x v="0"/>
    <s v="Ondráčková"/>
    <x v="277"/>
    <n v="9"/>
    <s v="RIVAROXABAN III."/>
    <m/>
    <s v="33610000-9"/>
    <m/>
    <n v="264900"/>
    <x v="0"/>
    <d v="2021-07-22T00:00:00"/>
    <d v="2021-09-22T00:00:00"/>
    <d v="2021-12-01T00:00:00"/>
    <s v="Alliance Healthcare s.r.o."/>
    <m/>
    <n v="264900"/>
    <n v="291390"/>
    <m/>
    <m/>
    <m/>
    <d v="2021-12-01T00:00:00"/>
    <s v="SMLN-2021-617-000708"/>
    <x v="134"/>
    <d v="2022-01-06T00:00:00"/>
  </r>
  <r>
    <d v="2021-07-14T00:00:00"/>
    <s v="VZ-2021-000721"/>
    <x v="10"/>
    <s v="Zdráhalová"/>
    <x v="278"/>
    <m/>
    <m/>
    <m/>
    <s v="39830000-9"/>
    <m/>
    <n v="700992.1"/>
    <x v="2"/>
    <d v="2021-07-21T00:00:00"/>
    <d v="2021-08-03T00:00:00"/>
    <d v="2021-09-20T00:00:00"/>
    <s v="KARFO velkoobchod s.r.o."/>
    <m/>
    <n v="718596.2"/>
    <n v="869501.4"/>
    <m/>
    <m/>
    <m/>
    <d v="2021-09-21T00:00:00"/>
    <s v="SMLN-2021-617-000510"/>
    <x v="103"/>
    <d v="2021-10-14T00:00:00"/>
  </r>
  <r>
    <d v="2021-07-14T00:00:00"/>
    <s v="VZ-2021-000722"/>
    <x v="1"/>
    <s v="Dočkalová"/>
    <x v="279"/>
    <n v="1"/>
    <s v="Pouzdra zaváděcí k vaskulárním intervencím I. "/>
    <m/>
    <s v="33140000-3"/>
    <m/>
    <n v="1555743"/>
    <x v="0"/>
    <d v="2021-07-27T00:00:00"/>
    <d v="2021-08-30T00:00:00"/>
    <d v="2021-10-19T00:00:00"/>
    <s v="VAMEX, spol. s  r.o."/>
    <m/>
    <n v="1516154"/>
    <n v="1870846.34"/>
    <m/>
    <m/>
    <m/>
    <d v="2021-10-19T00:00:00"/>
    <s v="SMLN-2021-617-000576_x000a_SMLN-2021-614-000091"/>
    <x v="128"/>
    <d v="2021-11-18T00:00:00"/>
  </r>
  <r>
    <d v="2021-07-14T00:00:00"/>
    <s v="VZ-2021-000722"/>
    <x v="1"/>
    <s v="Dočkalová"/>
    <x v="279"/>
    <n v="2"/>
    <s v="Speciální zaváděcí pouzdra k vaskulárním intervencím I. "/>
    <m/>
    <s v="33140000-3"/>
    <m/>
    <n v="3097774"/>
    <x v="0"/>
    <d v="2021-07-27T00:00:00"/>
    <d v="2021-08-30T00:00:00"/>
    <d v="2021-10-19T00:00:00"/>
    <s v="ARID obchodní společnost, s.r.o."/>
    <m/>
    <n v="3097773.8"/>
    <n v="3748306.3"/>
    <m/>
    <m/>
    <m/>
    <d v="2021-10-19T00:00:00"/>
    <s v="SMLN-2021-617-000577_x000a_SMLN-2021-614-000092"/>
    <x v="135"/>
    <d v="2021-11-18T00:00:00"/>
  </r>
  <r>
    <d v="2021-07-14T00:00:00"/>
    <s v="VZ-2021-000722"/>
    <x v="1"/>
    <s v="Dočkalová"/>
    <x v="279"/>
    <n v="3"/>
    <s v="Speciální zaváděcí pouzdra k vaskulárním intervencím II. "/>
    <m/>
    <s v="33140000-3"/>
    <m/>
    <n v="192063"/>
    <x v="0"/>
    <d v="2021-07-27T00:00:00"/>
    <d v="2021-08-30T00:00:00"/>
    <m/>
    <m/>
    <m/>
    <m/>
    <m/>
    <m/>
    <m/>
    <m/>
    <m/>
    <m/>
    <x v="6"/>
    <d v="2021-11-18T00:00:00"/>
  </r>
  <r>
    <d v="2021-07-14T00:00:00"/>
    <s v="VZ-2021-000722"/>
    <x v="1"/>
    <s v="Dočkalová"/>
    <x v="279"/>
    <n v="4"/>
    <s v="Mikropunkční sety"/>
    <m/>
    <s v="33140000-3"/>
    <m/>
    <n v="64800"/>
    <x v="0"/>
    <d v="2021-07-27T00:00:00"/>
    <d v="2021-08-30T00:00:00"/>
    <d v="2021-10-19T00:00:00"/>
    <s v="Mediform, spol. s r.o."/>
    <m/>
    <n v="64800"/>
    <n v="78408"/>
    <m/>
    <m/>
    <m/>
    <d v="2021-10-19T00:00:00"/>
    <s v="SMLN-2021-617-000578_x000a_SMLN-2021-614-000093"/>
    <x v="135"/>
    <d v="2021-11-18T00:00:00"/>
  </r>
  <r>
    <d v="2021-07-15T00:00:00"/>
    <s v="VZ-2021-000723"/>
    <x v="5"/>
    <s v="Oravec"/>
    <x v="280"/>
    <m/>
    <m/>
    <m/>
    <s v="32552110-1"/>
    <m/>
    <n v="574500"/>
    <x v="2"/>
    <d v="2021-07-27T00:00:00"/>
    <d v="2021-08-06T00:00:00"/>
    <d v="2021-08-11T00:00:00"/>
    <s v="ERISERV, spol. s r.o."/>
    <m/>
    <n v="566500"/>
    <n v="685465"/>
    <m/>
    <m/>
    <m/>
    <d v="2021-08-12T00:00:00"/>
    <s v="SMLN-2021-617-000418"/>
    <x v="75"/>
    <d v="2021-08-31T00:00:00"/>
  </r>
  <r>
    <d v="2021-07-15T00:00:00"/>
    <s v="VZ-2021-000726"/>
    <x v="4"/>
    <s v="Srovnal"/>
    <x v="281"/>
    <m/>
    <m/>
    <m/>
    <s v="50421000-2"/>
    <m/>
    <n v="6000000"/>
    <x v="0"/>
    <d v="2021-07-29T00:00:00"/>
    <d v="2021-09-02T00:00:00"/>
    <d v="2021-09-22T00:00:00"/>
    <s v="Flídr medical s.r.o."/>
    <m/>
    <n v="5939960"/>
    <n v="7187351.5999999996"/>
    <m/>
    <m/>
    <m/>
    <d v="2021-09-22T00:00:00"/>
    <s v="SMLN-2021-618-000063"/>
    <x v="136"/>
    <d v="2021-11-18T00:00:00"/>
  </r>
  <r>
    <d v="2021-07-15T00:00:00"/>
    <s v="VZ-2021-000727"/>
    <x v="5"/>
    <s v="Oravec"/>
    <x v="282"/>
    <m/>
    <m/>
    <m/>
    <s v="30231310-3"/>
    <m/>
    <n v="1430000"/>
    <x v="2"/>
    <d v="2021-07-27T00:00:00"/>
    <d v="2021-08-06T00:00:00"/>
    <d v="2021-08-12T00:00:00"/>
    <s v="Charita Opava"/>
    <m/>
    <n v="1723030"/>
    <n v="2084866.3"/>
    <m/>
    <m/>
    <m/>
    <d v="2021-08-12T00:00:00"/>
    <s v="SMLN-2021-617-000424"/>
    <x v="108"/>
    <d v="2021-08-30T00:00:00"/>
  </r>
  <r>
    <d v="2021-07-07T00:00:00"/>
    <s v="VZ-2021-000728"/>
    <x v="2"/>
    <s v="Rosulek"/>
    <x v="283"/>
    <m/>
    <m/>
    <m/>
    <s v="38432210-7"/>
    <m/>
    <n v="2250000"/>
    <x v="1"/>
    <d v="2021-07-29T00:00:00"/>
    <d v="2021-08-24T00:00:00"/>
    <d v="2021-09-10T00:00:00"/>
    <s v="PE Systems s.r.o."/>
    <m/>
    <n v="1889000"/>
    <n v="2285690"/>
    <m/>
    <m/>
    <m/>
    <d v="2021-09-10T00:00:00"/>
    <s v="SMLN-2021-617-000489_x000a_SMLN-2021-612-000103_x000a_SMLN-2021-617-000490"/>
    <x v="137"/>
    <d v="2021-11-02T00:00:00"/>
  </r>
  <r>
    <d v="2021-07-22T00:00:00"/>
    <s v="VZ-2021-000729"/>
    <x v="0"/>
    <s v="Ondráčková"/>
    <x v="284"/>
    <m/>
    <m/>
    <m/>
    <s v="33652100-6"/>
    <m/>
    <n v="211954416"/>
    <x v="0"/>
    <d v="2021-07-27T00:00:00"/>
    <d v="2021-09-02T00:00:00"/>
    <m/>
    <s v="zrušeno - překročení ceny"/>
    <s v="nová VZ-2021-000935"/>
    <m/>
    <m/>
    <m/>
    <m/>
    <m/>
    <m/>
    <m/>
    <x v="6"/>
    <d v="2021-09-07T00:00:00"/>
  </r>
  <r>
    <d v="2021-07-12T00:00:00"/>
    <s v="VZ-2021-000730"/>
    <x v="2"/>
    <s v="Olejníček"/>
    <x v="285"/>
    <m/>
    <m/>
    <m/>
    <s v="33162100-4"/>
    <s v="2.2.335."/>
    <n v="777455"/>
    <x v="2"/>
    <d v="2021-07-26T00:00:00"/>
    <d v="2021-08-04T00:00:00"/>
    <d v="2021-08-16T00:00:00"/>
    <s v="RATAN medical equipment s.r.o."/>
    <m/>
    <n v="770700"/>
    <n v="932547"/>
    <m/>
    <m/>
    <m/>
    <d v="2021-08-16T00:00:00"/>
    <s v="SMLN-2021-617-000426_x000a_SMLN-2021-612-000088_x000a_SMLN-2021-617-000427"/>
    <x v="111"/>
    <d v="2021-10-04T00:00:00"/>
  </r>
  <r>
    <d v="2021-07-22T00:00:00"/>
    <s v="VZ-2021-000731"/>
    <x v="0"/>
    <s v="Ondráčková"/>
    <x v="286"/>
    <n v="1"/>
    <s v="ELBASVIR A GRAZOPREVIR"/>
    <m/>
    <s v="33651400-2"/>
    <m/>
    <n v="4337280"/>
    <x v="0"/>
    <d v="2021-07-27T00:00:00"/>
    <d v="2021-08-30T00:00:00"/>
    <m/>
    <s v="zrušeno - bez nabídky"/>
    <m/>
    <m/>
    <m/>
    <m/>
    <m/>
    <m/>
    <m/>
    <m/>
    <x v="6"/>
    <d v="2021-10-15T00:00:00"/>
  </r>
  <r>
    <d v="2021-07-22T00:00:00"/>
    <s v="VZ-2021-000731"/>
    <x v="0"/>
    <s v="Ondráčková"/>
    <x v="286"/>
    <n v="2"/>
    <s v="GLEKAPREVIR A PIBRENTASVIR"/>
    <m/>
    <s v="33651400-2"/>
    <m/>
    <n v="20330627"/>
    <x v="0"/>
    <d v="2021-07-27T00:00:00"/>
    <d v="2021-08-30T00:00:00"/>
    <d v="2021-09-21T00:00:00"/>
    <s v="PHOENIX lék.velkoobchod, s.r.o."/>
    <m/>
    <n v="20277774.719999999"/>
    <n v="22305552.190000001"/>
    <m/>
    <m/>
    <m/>
    <d v="2021-09-21T00:00:00"/>
    <s v="SMLN-2021-617-000511"/>
    <x v="138"/>
    <d v="2021-10-15T00:00:00"/>
  </r>
  <r>
    <d v="2021-07-20T00:00:00"/>
    <s v="VZ-2021-000733"/>
    <x v="2"/>
    <s v="Olejníček"/>
    <x v="287"/>
    <m/>
    <m/>
    <m/>
    <s v="33191000-5"/>
    <s v="2.2.387."/>
    <n v="159000"/>
    <x v="2"/>
    <d v="2021-07-27T00:00:00"/>
    <d v="2021-08-04T00:00:00"/>
    <m/>
    <s v="zrušeno - bez nabídky"/>
    <s v="nová VZ-2021-000770"/>
    <m/>
    <m/>
    <m/>
    <m/>
    <m/>
    <m/>
    <m/>
    <x v="6"/>
    <d v="2021-08-04T00:00:00"/>
  </r>
  <r>
    <d v="2021-07-16T00:00:00"/>
    <s v="VZ-2021-000736"/>
    <x v="2"/>
    <s v="Olejníček"/>
    <x v="288"/>
    <m/>
    <m/>
    <m/>
    <s v="33125000-2"/>
    <s v="2.3.481."/>
    <n v="130000"/>
    <x v="2"/>
    <d v="2021-07-27T00:00:00"/>
    <d v="2021-08-04T00:00:00"/>
    <d v="2021-08-16T00:00:00"/>
    <s v="Medkonsult, s.r.o."/>
    <m/>
    <n v="127090"/>
    <n v="153778.9"/>
    <m/>
    <m/>
    <m/>
    <d v="2021-08-16T00:00:00"/>
    <s v="SMLN-2021-617-000428_x000a_SMLN-2021-612-000089"/>
    <x v="102"/>
    <d v="2021-09-17T00:00:00"/>
  </r>
  <r>
    <d v="2021-07-23T00:00:00"/>
    <s v="VZ-2021-000738"/>
    <x v="2"/>
    <s v="Olejníček"/>
    <x v="289"/>
    <m/>
    <m/>
    <m/>
    <s v="38434500-1"/>
    <s v="2.3.561."/>
    <n v="305000"/>
    <x v="2"/>
    <d v="2021-07-28T00:00:00"/>
    <d v="2021-08-09T00:00:00"/>
    <d v="2021-08-16T00:00:00"/>
    <s v="BIO-RAD spol. s r.o."/>
    <m/>
    <n v="212880"/>
    <n v="257584.8"/>
    <m/>
    <m/>
    <m/>
    <d v="2021-08-16T00:00:00"/>
    <s v="SMLN-2021-617-000429_x000a_SMLN-2021-612-000090"/>
    <x v="117"/>
    <d v="2021-09-17T00:00:00"/>
  </r>
  <r>
    <d v="2021-07-27T00:00:00"/>
    <s v="VZ-2021-000741"/>
    <x v="2"/>
    <s v="Olejníček"/>
    <x v="290"/>
    <m/>
    <m/>
    <m/>
    <s v="33122000-1"/>
    <s v="2.3.533."/>
    <n v="256818"/>
    <x v="2"/>
    <d v="2021-07-29T00:00:00"/>
    <d v="2021-08-10T00:00:00"/>
    <d v="2021-08-16T00:00:00"/>
    <s v="CMI spol. s r.o."/>
    <m/>
    <n v="226070"/>
    <n v="273544.7"/>
    <m/>
    <m/>
    <m/>
    <d v="2021-08-16T00:00:00"/>
    <s v="SMLN-2021-617-000430_x000a_SMLN-2021-612-000091"/>
    <x v="139"/>
    <d v="2021-10-04T00:00:00"/>
  </r>
  <r>
    <d v="2021-07-19T00:00:00"/>
    <s v="VZ-2021-000742"/>
    <x v="1"/>
    <s v="Dočkalová"/>
    <x v="291"/>
    <n v="1"/>
    <s v="Mikrokatétry k periferním vaskulárním intervencím I./I."/>
    <m/>
    <s v="33140000-3 "/>
    <m/>
    <n v="3043930"/>
    <x v="0"/>
    <d v="2021-07-30T00:00:00"/>
    <d v="2021-09-03T00:00:00"/>
    <d v="2021-09-21T00:00:00"/>
    <s v="VAMEX, spol. s  r.o."/>
    <m/>
    <n v="3043930"/>
    <n v="3683155.3"/>
    <m/>
    <m/>
    <m/>
    <d v="2021-09-22T00:00:00"/>
    <s v="SMLN-2021-617-000517_x000a_SMLN-2021-614-000084"/>
    <x v="101"/>
    <d v="2021-10-18T00:00:00"/>
  </r>
  <r>
    <d v="2021-07-19T00:00:00"/>
    <s v="VZ-2021-000742"/>
    <x v="1"/>
    <s v="Dočkalová"/>
    <x v="291"/>
    <n v="2"/>
    <s v="Mikrokatétry k periferním vaskulárním intervencím II./II."/>
    <m/>
    <s v="33140000-3 "/>
    <m/>
    <n v="48999.5"/>
    <x v="0"/>
    <d v="2021-07-30T00:00:00"/>
    <d v="2021-09-03T00:00:00"/>
    <m/>
    <s v="zrušeno - bez nabídky"/>
    <s v="nová VZ-2021-000949"/>
    <m/>
    <m/>
    <m/>
    <m/>
    <m/>
    <m/>
    <m/>
    <x v="6"/>
    <d v="2021-09-16T00:00:00"/>
  </r>
  <r>
    <d v="2021-07-19T00:00:00"/>
    <s v="VZ-2021-000742"/>
    <x v="1"/>
    <s v="Dočkalová"/>
    <x v="291"/>
    <n v="3"/>
    <s v="Mikrokatétry neurointervenční II. /IV."/>
    <m/>
    <s v="33140000-3 "/>
    <m/>
    <n v="3036180"/>
    <x v="0"/>
    <d v="2021-07-30T00:00:00"/>
    <d v="2021-09-03T00:00:00"/>
    <m/>
    <s v="zrušeno - bez nabídky"/>
    <s v="nová VZ-2021-000949"/>
    <m/>
    <m/>
    <m/>
    <m/>
    <m/>
    <m/>
    <m/>
    <x v="6"/>
    <d v="2021-09-16T00:00:00"/>
  </r>
  <r>
    <d v="2021-07-19T00:00:00"/>
    <s v="VZ-2021-000742"/>
    <x v="1"/>
    <s v="Dočkalová"/>
    <x v="291"/>
    <n v="4"/>
    <s v="Mikrokatétry neurointervenční III. /V."/>
    <m/>
    <s v="33140000-3 "/>
    <m/>
    <n v="829400"/>
    <x v="0"/>
    <d v="2021-07-30T00:00:00"/>
    <d v="2021-09-03T00:00:00"/>
    <m/>
    <s v="zrušeno - bez nabídky"/>
    <s v="nová VZ-2021-000949"/>
    <m/>
    <m/>
    <m/>
    <m/>
    <m/>
    <m/>
    <m/>
    <x v="6"/>
    <d v="2021-09-16T00:00:00"/>
  </r>
  <r>
    <d v="2021-07-19T00:00:00"/>
    <s v="VZ-2021-000742"/>
    <x v="1"/>
    <s v="Dočkalová"/>
    <x v="291"/>
    <n v="5"/>
    <s v="Mikrokatétry neurointervenční IV. /VI."/>
    <m/>
    <s v="33140000-3 "/>
    <m/>
    <n v="209626.5"/>
    <x v="0"/>
    <d v="2021-07-30T00:00:00"/>
    <d v="2021-09-03T00:00:00"/>
    <m/>
    <s v="zrušeno - bez nabídky"/>
    <s v="nová VZ-2021-000949"/>
    <m/>
    <m/>
    <m/>
    <m/>
    <m/>
    <m/>
    <m/>
    <x v="6"/>
    <d v="2021-09-16T00:00:00"/>
  </r>
  <r>
    <s v="opakovaná VZ"/>
    <s v="VZ-2021-000744"/>
    <x v="2"/>
    <s v="Olejníček"/>
    <x v="292"/>
    <n v="1"/>
    <s v="Radiační ochranný štít nad lůžko s pacientem"/>
    <m/>
    <s v="35113200-1"/>
    <s v="2.3.45."/>
    <n v="91000"/>
    <x v="2"/>
    <d v="2021-07-29T00:00:00"/>
    <d v="2021-08-10T00:00:00"/>
    <d v="2021-10-01T00:00:00"/>
    <s v="Siemens Healthcare, s.r.o."/>
    <m/>
    <n v="91000"/>
    <n v="110110"/>
    <m/>
    <m/>
    <m/>
    <d v="2021-10-01T00:00:00"/>
    <s v="SMLN-2021-617-000533"/>
    <x v="137"/>
    <d v="2021-10-27T00:00:00"/>
  </r>
  <r>
    <s v="opakovaná VZ"/>
    <s v="VZ-2021-000744"/>
    <x v="2"/>
    <s v="Olejníček"/>
    <x v="292"/>
    <n v="2"/>
    <s v="Radiační ochranný štít pod lůžko s pacientem"/>
    <m/>
    <s v="35113200-1"/>
    <s v="2.3.45."/>
    <n v="180000"/>
    <x v="2"/>
    <d v="2021-07-29T00:00:00"/>
    <d v="2021-08-10T00:00:00"/>
    <m/>
    <s v="zrušeno - bez hodnotitelné nabídky"/>
    <m/>
    <m/>
    <m/>
    <m/>
    <m/>
    <m/>
    <m/>
    <m/>
    <x v="6"/>
    <d v="2021-09-06T00:00:00"/>
  </r>
  <r>
    <d v="2021-08-27T00:00:00"/>
    <s v="VZ-2021-000745"/>
    <x v="8"/>
    <s v="Kadlec"/>
    <x v="293"/>
    <m/>
    <m/>
    <m/>
    <s v="45421100-5"/>
    <m/>
    <n v="5900000"/>
    <x v="2"/>
    <d v="2021-07-29T00:00:00"/>
    <d v="2021-08-10T00:00:00"/>
    <d v="2021-08-30T00:00:00"/>
    <s v="zrušeno - odstoupení od nabídky"/>
    <m/>
    <n v="4039171.35"/>
    <n v="4887397.33"/>
    <m/>
    <m/>
    <m/>
    <d v="2021-08-30T00:00:00"/>
    <s v="SMLN-2021-618-000060"/>
    <x v="6"/>
    <d v="2021-09-17T00:00:00"/>
  </r>
  <r>
    <d v="2021-07-23T00:00:00"/>
    <s v="VZ-2021-000746"/>
    <x v="2"/>
    <s v="Rosulek"/>
    <x v="294"/>
    <m/>
    <m/>
    <m/>
    <s v="33191000-5"/>
    <s v="2.3.539."/>
    <n v="1980000"/>
    <x v="0"/>
    <d v="2021-07-30T00:00:00"/>
    <d v="2021-09-03T00:00:00"/>
    <d v="2021-09-22T00:00:00"/>
    <s v="Medinet, s.r.o."/>
    <m/>
    <n v="2285050"/>
    <n v="2764910.5"/>
    <m/>
    <m/>
    <m/>
    <d v="2021-09-22T00:00:00"/>
    <s v="SMLN-2021-617-000520_x000a_SMLN-2021-612-000106_x000a_SMLN-2021-617-000521"/>
    <x v="138"/>
    <d v="2021-10-27T00:00:00"/>
  </r>
  <r>
    <d v="2021-07-28T00:00:00"/>
    <s v="VZ-2021-000756"/>
    <x v="1"/>
    <s v="Dočkalová"/>
    <x v="295"/>
    <n v="1"/>
    <s v="Samoexpandibilní stentgrafty vaskulární periferní I./I."/>
    <m/>
    <s v="33140000-3"/>
    <m/>
    <n v="696600"/>
    <x v="0"/>
    <d v="2021-08-05T00:00:00"/>
    <d v="2021-09-07T00:00:00"/>
    <d v="2021-09-30T00:00:00"/>
    <s v="BARD Czech Republic s.r.o."/>
    <m/>
    <n v="600000"/>
    <n v="690000"/>
    <m/>
    <m/>
    <m/>
    <d v="2021-09-30T00:00:00"/>
    <s v="SMLN-2021-617-000526_x000a_SMLN-2021-614-000086"/>
    <x v="140"/>
    <d v="2021-10-29T00:00:00"/>
  </r>
  <r>
    <d v="2021-07-28T00:00:00"/>
    <s v="VZ-2021-000756"/>
    <x v="1"/>
    <s v="Dočkalová"/>
    <x v="295"/>
    <n v="2"/>
    <s v="Samoexpandibilní stentgrafty vaskulrní periferní II./II."/>
    <m/>
    <s v="33140000-3"/>
    <m/>
    <n v="2626140"/>
    <x v="0"/>
    <d v="2021-08-05T00:00:00"/>
    <d v="2021-09-07T00:00:00"/>
    <d v="2021-09-30T00:00:00"/>
    <s v="MEDITRADE spol. s r.o."/>
    <m/>
    <n v="2478265.83"/>
    <n v="2850005.7"/>
    <m/>
    <m/>
    <m/>
    <d v="2021-09-30T00:00:00"/>
    <s v="SMLN-2021-617-000528_x000a_SMLN-2021-614-000087"/>
    <x v="140"/>
    <d v="2021-10-29T00:00:00"/>
  </r>
  <r>
    <d v="2021-07-28T00:00:00"/>
    <s v="VZ-2021-000756"/>
    <x v="1"/>
    <s v="Dočkalová"/>
    <x v="295"/>
    <n v="3"/>
    <s v="Balónexpandibilní stentgrafty vaskulární II./IV."/>
    <m/>
    <s v="33140000-3"/>
    <m/>
    <n v="840000"/>
    <x v="0"/>
    <d v="2021-08-05T00:00:00"/>
    <d v="2021-09-07T00:00:00"/>
    <m/>
    <s v="zrušeno - bez nabídky"/>
    <s v="nová VZ-2021-001184"/>
    <m/>
    <m/>
    <m/>
    <m/>
    <m/>
    <m/>
    <m/>
    <x v="6"/>
    <d v="2021-10-13T00:00:00"/>
  </r>
  <r>
    <d v="2021-07-28T00:00:00"/>
    <s v="VZ-2021-000756"/>
    <x v="1"/>
    <s v="Dočkalová"/>
    <x v="295"/>
    <n v="4"/>
    <s v="Stentgrafty vaskulární do TIPS/V."/>
    <m/>
    <s v="33140000-3"/>
    <m/>
    <n v="2782400"/>
    <x v="0"/>
    <d v="2021-08-05T00:00:00"/>
    <d v="2021-09-07T00:00:00"/>
    <d v="2021-09-30T00:00:00"/>
    <s v="MEDITRADE spol. s r.o."/>
    <m/>
    <n v="2644000"/>
    <n v="3040600"/>
    <m/>
    <m/>
    <m/>
    <d v="2021-09-30T00:00:00"/>
    <s v="SMLN-2021-617-000529_x000a_SMLN-2021-614-000088"/>
    <x v="140"/>
    <d v="2021-10-29T00:00:00"/>
  </r>
  <r>
    <d v="2021-07-28T00:00:00"/>
    <s v="VZ-2021-000756"/>
    <x v="1"/>
    <s v="Dočkalová"/>
    <x v="295"/>
    <n v="5"/>
    <s v="Samoexpandibilní stentgrafty vaskulární perifení III."/>
    <m/>
    <s v="33140000-3"/>
    <m/>
    <n v="9576025"/>
    <x v="0"/>
    <d v="2021-08-05T00:00:00"/>
    <d v="2021-09-07T00:00:00"/>
    <d v="2021-09-30T00:00:00"/>
    <s v="MEDITRADE spol. s r.o."/>
    <m/>
    <n v="8982288.7799999993"/>
    <n v="10329632.1"/>
    <m/>
    <m/>
    <m/>
    <d v="2021-09-30T00:00:00"/>
    <s v="SMLN-2021-617-000530"/>
    <x v="140"/>
    <d v="2021-10-29T00:00:00"/>
  </r>
  <r>
    <d v="2021-08-02T00:00:00"/>
    <s v="VZ-2021-000757"/>
    <x v="1"/>
    <s v="Valtová"/>
    <x v="296"/>
    <m/>
    <m/>
    <m/>
    <s v="33140000-3"/>
    <m/>
    <n v="3769850"/>
    <x v="0"/>
    <d v="2021-08-09T00:00:00"/>
    <d v="2021-09-10T00:00:00"/>
    <d v="2021-09-22T00:00:00"/>
    <s v="Medtronic Czechia s.r.o."/>
    <m/>
    <n v="3769850"/>
    <n v="4651518.5"/>
    <m/>
    <m/>
    <m/>
    <d v="2021-09-22T00:00:00"/>
    <s v="SMLN-2021-617-000519_x000a_SMLN-2021-614-000085"/>
    <x v="138"/>
    <d v="2021-10-20T00:00:00"/>
  </r>
  <r>
    <d v="2021-08-02T00:00:00"/>
    <s v="VZ-2021-000758"/>
    <x v="0"/>
    <s v="Ondráčková"/>
    <x v="297"/>
    <n v="1"/>
    <s v="OCPLEX"/>
    <m/>
    <s v="33621000-9"/>
    <m/>
    <n v="9222167"/>
    <x v="0"/>
    <m/>
    <m/>
    <m/>
    <m/>
    <m/>
    <m/>
    <m/>
    <m/>
    <m/>
    <m/>
    <m/>
    <m/>
    <x v="6"/>
    <m/>
  </r>
  <r>
    <d v="2021-08-02T00:00:00"/>
    <s v="VZ-2021-000758"/>
    <x v="0"/>
    <s v="Ondráčková"/>
    <x v="297"/>
    <n v="2"/>
    <s v="ALPROLIX"/>
    <m/>
    <s v="33621000-9"/>
    <m/>
    <n v="5034951"/>
    <x v="0"/>
    <m/>
    <m/>
    <m/>
    <m/>
    <m/>
    <m/>
    <m/>
    <m/>
    <m/>
    <m/>
    <m/>
    <m/>
    <x v="6"/>
    <m/>
  </r>
  <r>
    <d v="2021-08-02T00:00:00"/>
    <s v="VZ-2021-000759"/>
    <x v="0"/>
    <s v="Ondráčková"/>
    <x v="298"/>
    <m/>
    <s v="emicizumab"/>
    <m/>
    <s v="33621000-9"/>
    <m/>
    <n v="22443749"/>
    <x v="0"/>
    <d v="2021-08-10T00:00:00"/>
    <d v="2021-09-13T00:00:00"/>
    <d v="2021-11-23T00:00:00"/>
    <s v="ROCHE s.r.o."/>
    <m/>
    <n v="6694369.5999999996"/>
    <n v="7363806.5599999996"/>
    <m/>
    <m/>
    <m/>
    <d v="2021-11-23T00:00:00"/>
    <s v="SMLN-2021-617-000674"/>
    <x v="6"/>
    <m/>
  </r>
  <r>
    <d v="2021-08-02T00:00:00"/>
    <s v="VZ-2021-000760"/>
    <x v="0"/>
    <s v="Ondráčková"/>
    <x v="299"/>
    <n v="1"/>
    <s v="FREMANEZUMAB"/>
    <m/>
    <s v="33661200-3"/>
    <m/>
    <n v="9228142"/>
    <x v="0"/>
    <d v="2021-08-04T00:00:00"/>
    <d v="2021-09-30T00:00:00"/>
    <d v="2021-11-02T00:00:00"/>
    <s v="Teva Pharmaceuticals CR s.r.o."/>
    <m/>
    <n v="9228142"/>
    <n v="10150956.199999999"/>
    <m/>
    <m/>
    <m/>
    <d v="2021-11-02T00:00:00"/>
    <s v="SMLN-2021-617-000605"/>
    <x v="6"/>
    <m/>
  </r>
  <r>
    <d v="2021-08-02T00:00:00"/>
    <s v="VZ-2021-000760"/>
    <x v="0"/>
    <s v="Ondráčková"/>
    <x v="299"/>
    <n v="2"/>
    <s v="GALCANEZUMABUM"/>
    <m/>
    <s v="33661200-3"/>
    <m/>
    <n v="1051472"/>
    <x v="0"/>
    <d v="2021-08-04T00:00:00"/>
    <d v="2021-09-30T00:00:00"/>
    <d v="2021-11-02T00:00:00"/>
    <s v="ELI LILLY ČR, s.r.o."/>
    <m/>
    <n v="1051471.2"/>
    <n v="1156618.32"/>
    <m/>
    <m/>
    <m/>
    <d v="2021-11-02T00:00:00"/>
    <s v="SMLN-2021-617-000606"/>
    <x v="116"/>
    <d v="2021-12-28T00:00:00"/>
  </r>
  <r>
    <d v="2021-08-02T00:00:00"/>
    <s v="VZ-2021-000761"/>
    <x v="0"/>
    <s v="Ondráčková"/>
    <x v="300"/>
    <m/>
    <s v="kaplacizumab"/>
    <m/>
    <s v="33621100-0"/>
    <m/>
    <n v="8392785"/>
    <x v="0"/>
    <d v="2021-08-03T00:00:00"/>
    <d v="2021-09-06T00:00:00"/>
    <d v="2021-09-22T00:00:00"/>
    <s v="sanofi-aventis, s.r.o."/>
    <m/>
    <n v="8392782.0600000005"/>
    <n v="9232060.2699999996"/>
    <m/>
    <m/>
    <m/>
    <d v="2021-09-22T00:00:00"/>
    <s v="SMLN-2021-617-000518"/>
    <x v="101"/>
    <d v="2021-10-19T00:00:00"/>
  </r>
  <r>
    <d v="2021-07-28T00:00:00"/>
    <s v="VZ-2021-000762"/>
    <x v="0"/>
    <s v="Ondráčková"/>
    <x v="301"/>
    <n v="1"/>
    <s v="Protilátky pro IHC metody "/>
    <m/>
    <s v="33694000-1"/>
    <m/>
    <n v="157378"/>
    <x v="0"/>
    <d v="2021-08-24T00:00:00"/>
    <d v="2021-09-27T00:00:00"/>
    <m/>
    <s v="zrušeno - bez nabídky"/>
    <m/>
    <m/>
    <m/>
    <m/>
    <m/>
    <m/>
    <m/>
    <m/>
    <x v="6"/>
    <d v="2021-11-12T00:00:00"/>
  </r>
  <r>
    <d v="2021-07-28T00:00:00"/>
    <s v="VZ-2021-000762"/>
    <x v="0"/>
    <s v="Ondráčková"/>
    <x v="301"/>
    <n v="2"/>
    <s v="Chemikálie pro základní provoz"/>
    <m/>
    <s v="33694000-1"/>
    <m/>
    <n v="785490"/>
    <x v="0"/>
    <d v="2021-08-24T00:00:00"/>
    <d v="2021-09-27T00:00:00"/>
    <m/>
    <s v="zrušeno - bez nabídky"/>
    <m/>
    <m/>
    <m/>
    <m/>
    <m/>
    <m/>
    <m/>
    <m/>
    <x v="6"/>
    <d v="2021-11-12T00:00:00"/>
  </r>
  <r>
    <d v="2021-07-28T00:00:00"/>
    <s v="VZ-2021-000762"/>
    <x v="0"/>
    <s v="Ondráčková"/>
    <x v="301"/>
    <n v="3"/>
    <s v="Protilátky a chemikálie pro IHC metody "/>
    <m/>
    <s v="33694000-1"/>
    <m/>
    <n v="493445"/>
    <x v="0"/>
    <d v="2021-08-24T00:00:00"/>
    <d v="2021-09-27T00:00:00"/>
    <m/>
    <s v="zrušeno - bez nabídky"/>
    <m/>
    <m/>
    <m/>
    <m/>
    <m/>
    <m/>
    <m/>
    <m/>
    <x v="6"/>
    <d v="2021-11-12T00:00:00"/>
  </r>
  <r>
    <d v="2021-07-28T00:00:00"/>
    <s v="VZ-2021-000762"/>
    <x v="0"/>
    <s v="Ondráčková"/>
    <x v="301"/>
    <n v="4"/>
    <s v="Protilátky pro IHC metody I."/>
    <m/>
    <s v="33694000-1"/>
    <m/>
    <n v="268724"/>
    <x v="0"/>
    <d v="2021-08-24T00:00:00"/>
    <d v="2021-09-27T00:00:00"/>
    <d v="2021-10-18T00:00:00"/>
    <s v="BARIA s.r.o."/>
    <m/>
    <n v="268722.51"/>
    <n v="325154.24"/>
    <m/>
    <m/>
    <m/>
    <d v="2021-10-18T00:00:00"/>
    <s v="SMLN-2021-617-000574"/>
    <x v="141"/>
    <d v="2021-11-26T00:00:00"/>
  </r>
  <r>
    <d v="2021-08-02T00:00:00"/>
    <s v="VZ-2021-000763"/>
    <x v="0"/>
    <s v="Ondráčková"/>
    <x v="302"/>
    <m/>
    <s v="diosmin v kombinaci"/>
    <m/>
    <s v="33621100-0"/>
    <m/>
    <n v="10670760"/>
    <x v="0"/>
    <d v="2021-09-16T00:00:00"/>
    <d v="2021-10-21T00:00:00"/>
    <d v="2021-11-23T00:00:00"/>
    <s v="PHOENIX lék.velkoobchod, s.r.o."/>
    <m/>
    <n v="8913685.9199999999"/>
    <n v="9805054.5099999998"/>
    <m/>
    <m/>
    <m/>
    <d v="2021-11-23T00:00:00"/>
    <s v="SMLN-2021-617-000673"/>
    <x v="6"/>
    <m/>
  </r>
  <r>
    <d v="2021-08-02T00:00:00"/>
    <s v="VZ-2021-000764"/>
    <x v="0"/>
    <s v="Ondráčková"/>
    <x v="303"/>
    <n v="1"/>
    <s v="KALCIUM-GLUKONÁT"/>
    <m/>
    <s v="33617000-8"/>
    <m/>
    <n v="1306314"/>
    <x v="0"/>
    <d v="2021-09-16T00:00:00"/>
    <d v="2021-12-12T00:00:00"/>
    <m/>
    <m/>
    <m/>
    <m/>
    <m/>
    <m/>
    <m/>
    <m/>
    <m/>
    <m/>
    <x v="6"/>
    <m/>
  </r>
  <r>
    <d v="2021-08-02T00:00:00"/>
    <s v="VZ-2021-000764"/>
    <x v="0"/>
    <s v="Ondráčková"/>
    <x v="303"/>
    <n v="2"/>
    <s v="CHLORID VÁPENATÝ"/>
    <m/>
    <s v="33617000-8"/>
    <m/>
    <n v="4717059"/>
    <x v="0"/>
    <d v="2021-09-16T00:00:00"/>
    <d v="2021-12-12T00:00:00"/>
    <m/>
    <m/>
    <m/>
    <m/>
    <m/>
    <m/>
    <m/>
    <m/>
    <m/>
    <m/>
    <x v="6"/>
    <m/>
  </r>
  <r>
    <d v="2021-08-02T00:00:00"/>
    <s v="VZ-2021-000764"/>
    <x v="0"/>
    <s v="Ondráčková"/>
    <x v="303"/>
    <n v="3"/>
    <s v="SÍRAN HOŘEČNATÝ"/>
    <m/>
    <s v="33617000-8"/>
    <m/>
    <n v="7695003"/>
    <x v="0"/>
    <d v="2021-09-16T00:00:00"/>
    <d v="2021-12-12T00:00:00"/>
    <m/>
    <m/>
    <m/>
    <m/>
    <m/>
    <m/>
    <m/>
    <m/>
    <m/>
    <m/>
    <x v="6"/>
    <m/>
  </r>
  <r>
    <d v="2021-08-02T00:00:00"/>
    <s v="VZ-2021-000764"/>
    <x v="0"/>
    <s v="Ondráčková"/>
    <x v="303"/>
    <n v="4"/>
    <s v="HOŘČÍK V KOMBINACI RŮZNÝCH SOLÍ"/>
    <m/>
    <s v="33617000-8"/>
    <m/>
    <n v="10242662"/>
    <x v="0"/>
    <d v="2021-09-16T00:00:00"/>
    <d v="2021-12-12T00:00:00"/>
    <m/>
    <m/>
    <m/>
    <m/>
    <m/>
    <m/>
    <m/>
    <m/>
    <m/>
    <m/>
    <x v="6"/>
    <m/>
  </r>
  <r>
    <d v="2021-07-29T00:00:00"/>
    <s v="VZ-2021-000765"/>
    <x v="2"/>
    <s v="Olejníček"/>
    <x v="304"/>
    <m/>
    <m/>
    <m/>
    <s v="33151400-7"/>
    <m/>
    <n v="14159500"/>
    <x v="0"/>
    <d v="2021-08-11T00:00:00"/>
    <d v="2021-09-14T00:00:00"/>
    <d v="2021-09-20T00:00:00"/>
    <s v="AMEDIS, spol. s r.o."/>
    <m/>
    <n v="14159180"/>
    <n v="17132607.800000001"/>
    <m/>
    <m/>
    <m/>
    <d v="2021-09-20T00:00:00"/>
    <s v="SMLN-2021-617-000507_x000a_SMLN-2021-612-000105"/>
    <x v="142"/>
    <d v="2021-10-27T00:00:00"/>
  </r>
  <r>
    <d v="2021-07-29T00:00:00"/>
    <s v="VZ-2021-000766"/>
    <x v="1"/>
    <s v="Valtová"/>
    <x v="305"/>
    <n v="1"/>
    <s v="Cystostom, Sonda Cysto-Gastro Endo Flex  6 Fr."/>
    <m/>
    <s v="33140000–3"/>
    <m/>
    <n v="118000"/>
    <x v="2"/>
    <d v="2021-08-04T00:00:00"/>
    <d v="2021-08-24T00:00:00"/>
    <d v="2021-11-05T00:00:00"/>
    <s v="INLAB  s.r.o."/>
    <m/>
    <n v="118000"/>
    <n v="142780"/>
    <m/>
    <m/>
    <m/>
    <d v="2021-11-05T00:00:00"/>
    <s v="SMLN-2021-617-000619_x000a_SMLN-2021-614-000107"/>
    <x v="143"/>
    <d v="2021-12-15T00:00:00"/>
  </r>
  <r>
    <d v="2021-07-29T00:00:00"/>
    <s v="VZ-2021-000766"/>
    <x v="1"/>
    <s v="Valtová"/>
    <x v="305"/>
    <n v="2"/>
    <s v="Cystostom, Sonda Cysto-Gastro Endo Flex  8,5 Fr."/>
    <m/>
    <s v="33140000–3"/>
    <m/>
    <n v="164000"/>
    <x v="2"/>
    <d v="2021-08-04T00:00:00"/>
    <d v="2021-08-24T00:00:00"/>
    <d v="2021-11-05T00:00:00"/>
    <s v="INLAB s.r.o."/>
    <m/>
    <n v="164000"/>
    <n v="198440"/>
    <m/>
    <m/>
    <m/>
    <d v="2021-11-05T00:00:00"/>
    <s v="SMLN-2021-617-000620_x000a_SMLN-2021-614-000106"/>
    <x v="143"/>
    <d v="2021-12-15T00:00:00"/>
  </r>
  <r>
    <d v="2021-07-29T00:00:00"/>
    <s v="VZ-2021-000766"/>
    <x v="1"/>
    <s v="Valtová"/>
    <x v="305"/>
    <n v="3"/>
    <s v="Cystostom, Sonda Cysto-Gastro Endo Flex  10 Fr."/>
    <m/>
    <s v="33140000–3"/>
    <m/>
    <n v="495000"/>
    <x v="2"/>
    <d v="2021-08-04T00:00:00"/>
    <d v="2021-08-24T00:00:00"/>
    <d v="2021-11-05T00:00:00"/>
    <s v="MEDIAL spol. s r.o."/>
    <m/>
    <n v="477000"/>
    <n v="577170"/>
    <m/>
    <m/>
    <m/>
    <d v="2021-11-05T00:00:00"/>
    <s v="SMLN-2021-617-000621_x000a_SMLN-2021-614-000105"/>
    <x v="123"/>
    <d v="2021-12-15T00:00:00"/>
  </r>
  <r>
    <s v="opakovaná VZ"/>
    <s v="VZ-2021-000768"/>
    <x v="10"/>
    <s v="Zdráhalová"/>
    <x v="306"/>
    <m/>
    <m/>
    <m/>
    <s v="30197644-2"/>
    <m/>
    <n v="1100000"/>
    <x v="2"/>
    <d v="2021-08-04T00:00:00"/>
    <d v="2021-08-13T00:00:00"/>
    <d v="2021-09-20T00:00:00"/>
    <s v="ACTIVA spol. s r.o."/>
    <m/>
    <n v="906066"/>
    <n v="1096333.7"/>
    <m/>
    <m/>
    <m/>
    <d v="2021-09-21T00:00:00"/>
    <s v="SMLN-2021-617-000509"/>
    <x v="138"/>
    <d v="2021-10-19T00:00:00"/>
  </r>
  <r>
    <d v="2021-08-02T00:00:00"/>
    <s v="VZ-2021-000769"/>
    <x v="5"/>
    <s v="Oravec"/>
    <x v="307"/>
    <m/>
    <m/>
    <m/>
    <s v="30232100-5"/>
    <m/>
    <n v="440000"/>
    <x v="2"/>
    <d v="2021-08-06T00:00:00"/>
    <d v="2021-08-17T00:00:00"/>
    <d v="2021-09-02T00:00:00"/>
    <s v="Datascan, s.r.o."/>
    <m/>
    <n v="433691"/>
    <n v="524766.11"/>
    <m/>
    <m/>
    <m/>
    <d v="2021-09-03T00:00:00"/>
    <s v="SMLN-2021-617-000468"/>
    <x v="139"/>
    <d v="2021-09-23T00:00:00"/>
  </r>
  <r>
    <s v="opakovaná VZ"/>
    <s v="VZ-2021-000770"/>
    <x v="2"/>
    <s v="Olejníček"/>
    <x v="308"/>
    <m/>
    <m/>
    <m/>
    <s v="33191000-5"/>
    <s v="2.2.387."/>
    <n v="159000"/>
    <x v="2"/>
    <d v="2021-08-06T00:00:00"/>
    <d v="2021-08-17T00:00:00"/>
    <d v="2021-09-02T00:00:00"/>
    <s v="Arjo Czech Republic s.r.o."/>
    <m/>
    <n v="158431"/>
    <n v="191701.51"/>
    <m/>
    <m/>
    <m/>
    <d v="2021-09-06T00:00:00"/>
    <s v="SMLN-2021-617-000475_x000a_SMLN-2021-612-000101"/>
    <x v="84"/>
    <d v="2021-10-11T00:00:00"/>
  </r>
  <r>
    <d v="2021-08-02T00:00:00"/>
    <s v="VZ-2021-000771"/>
    <x v="2"/>
    <s v="Olejníček"/>
    <x v="309"/>
    <m/>
    <m/>
    <m/>
    <s v="33160000-9"/>
    <m/>
    <n v="198000"/>
    <x v="2"/>
    <d v="2021-08-06T00:00:00"/>
    <d v="2021-08-17T00:00:00"/>
    <d v="2021-08-30T00:00:00"/>
    <s v="Johnson  &amp; Johnson s.r.o."/>
    <m/>
    <n v="174934.3"/>
    <n v="211670.5"/>
    <m/>
    <m/>
    <m/>
    <d v="2021-08-30T00:00:00"/>
    <s v="SMLN-2021-617-000456_x000a_SMLN-2021-612-000097"/>
    <x v="144"/>
    <d v="2021-10-08T00:00:00"/>
  </r>
  <r>
    <d v="2021-08-04T00:00:00"/>
    <s v="VZ-2021-000772"/>
    <x v="2"/>
    <s v="Rosulek"/>
    <x v="310"/>
    <m/>
    <m/>
    <m/>
    <s v="38000000-5"/>
    <m/>
    <n v="200000"/>
    <x v="2"/>
    <d v="2021-08-06T00:00:00"/>
    <d v="2021-08-17T00:00:00"/>
    <d v="2021-08-30T00:00:00"/>
    <s v="SCHOELLER INSTRUMENTS, s.r.o."/>
    <m/>
    <n v="167850"/>
    <n v="203098.5"/>
    <m/>
    <m/>
    <m/>
    <d v="2021-08-30T00:00:00"/>
    <s v="SMLN-2021-617-000455_x000a_SMLN-2021-612-000096"/>
    <x v="109"/>
    <d v="2021-10-04T00:00:00"/>
  </r>
  <r>
    <d v="2021-08-04T00:00:00"/>
    <s v="VZ-2021-000773"/>
    <x v="2"/>
    <s v="Rosulek"/>
    <x v="311"/>
    <m/>
    <m/>
    <m/>
    <s v="33190000-8"/>
    <m/>
    <n v="127000"/>
    <x v="2"/>
    <d v="2021-08-06T00:00:00"/>
    <d v="2021-08-17T00:00:00"/>
    <d v="2021-09-02T00:00:00"/>
    <s v="STERIPAK s.r.o."/>
    <m/>
    <n v="119200"/>
    <n v="144232"/>
    <m/>
    <m/>
    <m/>
    <d v="2021-09-02T00:00:00"/>
    <s v="SMLN-2021-617-000467_x000a_SMLN-2021-612-000099"/>
    <x v="84"/>
    <d v="2021-10-11T00:00:00"/>
  </r>
  <r>
    <d v="2021-08-04T00:00:00"/>
    <s v="VZ-2021-000774"/>
    <x v="2"/>
    <s v="Rosulek"/>
    <x v="312"/>
    <m/>
    <m/>
    <m/>
    <s v="38000000-5"/>
    <m/>
    <n v="1293000"/>
    <x v="2"/>
    <d v="2021-08-09T00:00:00"/>
    <d v="2021-08-17T00:00:00"/>
    <d v="2021-08-24T00:00:00"/>
    <s v="BioTech a.s."/>
    <m/>
    <n v="1124700"/>
    <n v="1360887"/>
    <m/>
    <m/>
    <m/>
    <d v="2021-08-24T00:00:00"/>
    <s v="SMLN-2021-617-000444_x000a_SMLN-2021-612-000092_x000a_SMLN-2021-617-000445"/>
    <x v="96"/>
    <d v="2021-10-08T00:00:00"/>
  </r>
  <r>
    <d v="2021-08-02T00:00:00"/>
    <s v="VZ-2021-000775"/>
    <x v="1"/>
    <s v="Valtová"/>
    <x v="313"/>
    <m/>
    <m/>
    <m/>
    <s v="33140000-3"/>
    <m/>
    <n v="4347826"/>
    <x v="0"/>
    <d v="2021-08-10T00:00:00"/>
    <d v="2021-09-20T00:00:00"/>
    <d v="2021-10-01T00:00:00"/>
    <s v="Medtronic Czechia s.r.o."/>
    <m/>
    <n v="4347826"/>
    <n v="5000000"/>
    <m/>
    <m/>
    <m/>
    <d v="2021-10-01T00:00:00"/>
    <s v="SMLN-2021-617-000538_x000a_SMLN-2021-614-000089"/>
    <x v="145"/>
    <d v="2021-11-03T00:00:00"/>
  </r>
  <r>
    <d v="2021-08-04T00:00:00"/>
    <s v="VZ-2021-000777"/>
    <x v="2"/>
    <s v="Rosulek"/>
    <x v="314"/>
    <m/>
    <m/>
    <m/>
    <s v="33158200-4"/>
    <m/>
    <n v="1200000"/>
    <x v="2"/>
    <d v="2021-08-11T00:00:00"/>
    <d v="2021-08-20T00:00:00"/>
    <d v="2021-08-31T00:00:00"/>
    <s v="T E C H S A N s.r.o."/>
    <m/>
    <n v="1070500"/>
    <n v="1295305"/>
    <m/>
    <m/>
    <m/>
    <d v="2021-09-01T00:00:00"/>
    <s v="SMLN-2021-617-000461_x000a_SMLN-2021-612-000098_x000a_SMLN-2021-617-000462"/>
    <x v="109"/>
    <d v="2021-10-06T00:00:00"/>
  </r>
  <r>
    <d v="2021-08-06T00:00:00"/>
    <s v="VZ-2021-000779"/>
    <x v="1"/>
    <s v="Valtová"/>
    <x v="315"/>
    <m/>
    <m/>
    <m/>
    <s v="33140000-3"/>
    <m/>
    <n v="2646000"/>
    <x v="1"/>
    <d v="2021-08-10T00:00:00"/>
    <d v="2021-09-20T00:00:00"/>
    <d v="2021-10-26T00:00:00"/>
    <s v="INLAB s.r.o."/>
    <m/>
    <n v="1986000"/>
    <n v="2403060"/>
    <m/>
    <m/>
    <m/>
    <d v="2021-10-26T00:00:00"/>
    <s v="SMLN-2021-617-000590_x000a_SMLN-2021-614-000097"/>
    <x v="128"/>
    <d v="2021-11-22T00:00:00"/>
  </r>
  <r>
    <d v="2021-08-06T00:00:00"/>
    <s v="VZ-2021-000780"/>
    <x v="1"/>
    <s v="Valtová"/>
    <x v="316"/>
    <m/>
    <m/>
    <m/>
    <s v="33140000-3"/>
    <m/>
    <n v="3600000"/>
    <x v="0"/>
    <d v="2021-08-13T00:00:00"/>
    <d v="2021-10-25T00:00:00"/>
    <d v="2021-11-09T00:00:00"/>
    <s v="Boston Scientific Česká republika s.r.o."/>
    <m/>
    <n v="3510000"/>
    <n v="4247100"/>
    <m/>
    <m/>
    <m/>
    <d v="2021-11-09T00:00:00"/>
    <s v="SMLN-2021-617-000633_x000a_SMLN-2021-614-000108"/>
    <x v="146"/>
    <d v="2021-12-15T00:00:00"/>
  </r>
  <r>
    <s v="opakovaná VZ"/>
    <s v="VZ-2021-000782"/>
    <x v="2"/>
    <s v="Olejníček"/>
    <x v="317"/>
    <m/>
    <m/>
    <m/>
    <s v="31720000-9"/>
    <s v="2.2.278."/>
    <n v="615000"/>
    <x v="2"/>
    <d v="2021-08-11T00:00:00"/>
    <d v="2021-08-20T00:00:00"/>
    <d v="2021-08-24T00:00:00"/>
    <s v="Arcon Machinery a.s."/>
    <m/>
    <n v="614640"/>
    <n v="743714"/>
    <m/>
    <m/>
    <m/>
    <d v="2021-08-24T00:00:00"/>
    <s v="SMLN-2021-617-000446_x000a_SMLN-2021-612-000093"/>
    <x v="147"/>
    <d v="2021-10-04T00:00:00"/>
  </r>
  <r>
    <d v="2021-08-06T00:00:00"/>
    <s v="VZ-2021-000798"/>
    <x v="4"/>
    <s v="Eyer"/>
    <x v="318"/>
    <m/>
    <m/>
    <m/>
    <s v="45331000-6"/>
    <m/>
    <n v="665000"/>
    <x v="2"/>
    <d v="2021-08-16T00:00:00"/>
    <d v="2021-09-03T00:00:00"/>
    <d v="2021-09-08T00:00:00"/>
    <s v="MIZ Olomouc s.r.o."/>
    <m/>
    <n v="854569.78"/>
    <n v="1034029.43"/>
    <m/>
    <m/>
    <m/>
    <d v="2021-09-09T00:00:00"/>
    <s v="SMLN-2021-618-000061"/>
    <x v="103"/>
    <d v="2021-10-14T00:00:00"/>
  </r>
  <r>
    <d v="2021-08-05T00:00:00"/>
    <s v="VZ-2021-000800"/>
    <x v="8"/>
    <s v="Kadlec"/>
    <x v="319"/>
    <m/>
    <m/>
    <m/>
    <s v="45453000-7"/>
    <m/>
    <n v="2200000"/>
    <x v="2"/>
    <d v="2021-08-16T00:00:00"/>
    <d v="2021-08-24T00:00:00"/>
    <m/>
    <s v="zrušeno - bez nabídky"/>
    <s v="nová VZ-2021-000886"/>
    <m/>
    <m/>
    <m/>
    <m/>
    <m/>
    <m/>
    <m/>
    <x v="6"/>
    <d v="2021-08-24T00:00:00"/>
  </r>
  <r>
    <d v="2021-08-12T00:00:00"/>
    <s v="VZ-2021-000801"/>
    <x v="1"/>
    <s v="Dočkalová"/>
    <x v="320"/>
    <n v="1"/>
    <s v="Protézy cévní I."/>
    <m/>
    <s v="33184200-5"/>
    <m/>
    <n v="766927"/>
    <x v="0"/>
    <d v="2021-08-18T00:00:00"/>
    <d v="2021-09-21T00:00:00"/>
    <d v="2021-11-09T00:00:00"/>
    <s v="MEDITRADE spol. s r.o."/>
    <m/>
    <n v="753900"/>
    <n v="866985"/>
    <m/>
    <m/>
    <m/>
    <d v="2021-11-09T00:00:00"/>
    <s v="SMLN-2021-617-000634_x000a_SMLN-2021-614-000109"/>
    <x v="148"/>
    <d v="2021-12-28T00:00:00"/>
  </r>
  <r>
    <d v="2021-08-12T00:00:00"/>
    <s v="VZ-2021-000801"/>
    <x v="1"/>
    <s v="Dočkalová"/>
    <x v="320"/>
    <n v="2"/>
    <s v="Protézy cévní II."/>
    <m/>
    <s v="33184200-5"/>
    <m/>
    <n v="62856"/>
    <x v="0"/>
    <d v="2021-08-18T00:00:00"/>
    <d v="2021-09-21T00:00:00"/>
    <m/>
    <s v="zrušeno - bez hodnotitelné nabídky"/>
    <s v="nová VZ-2021-001297"/>
    <m/>
    <m/>
    <m/>
    <m/>
    <m/>
    <m/>
    <m/>
    <x v="6"/>
    <d v="2021-12-15T00:00:00"/>
  </r>
  <r>
    <d v="2021-08-12T00:00:00"/>
    <s v="VZ-2021-000801"/>
    <x v="1"/>
    <s v="Dočkalová"/>
    <x v="320"/>
    <n v="3"/>
    <s v="Protézy cévní III."/>
    <m/>
    <s v="33184200-5"/>
    <m/>
    <n v="1989243"/>
    <x v="0"/>
    <d v="2021-08-18T00:00:00"/>
    <d v="2021-09-21T00:00:00"/>
    <m/>
    <s v="zrušeno - bez hodnotitelné nabídky"/>
    <s v="nová VZ-2021-001297"/>
    <m/>
    <m/>
    <m/>
    <m/>
    <m/>
    <m/>
    <m/>
    <x v="6"/>
    <d v="2021-12-15T00:00:00"/>
  </r>
  <r>
    <d v="2021-08-12T00:00:00"/>
    <s v="VZ-2021-000801"/>
    <x v="1"/>
    <s v="Dočkalová"/>
    <x v="320"/>
    <n v="4"/>
    <s v="Protézy cévní IV."/>
    <m/>
    <s v="33184200-5"/>
    <m/>
    <n v="46480"/>
    <x v="0"/>
    <d v="2021-08-18T00:00:00"/>
    <d v="2021-09-21T00:00:00"/>
    <m/>
    <s v="zrušeno - bez hodnotitelné nabídky"/>
    <s v="nová VZ-2021-001297"/>
    <m/>
    <m/>
    <m/>
    <m/>
    <m/>
    <m/>
    <m/>
    <x v="6"/>
    <d v="2021-12-15T00:00:00"/>
  </r>
  <r>
    <d v="2021-08-12T00:00:00"/>
    <s v="VZ-2021-000801"/>
    <x v="1"/>
    <s v="Dočkalová"/>
    <x v="320"/>
    <n v="5"/>
    <s v="Protézy cévní V."/>
    <m/>
    <s v="33184200-5"/>
    <m/>
    <n v="2940912"/>
    <x v="0"/>
    <d v="2021-08-18T00:00:00"/>
    <d v="2021-09-21T00:00:00"/>
    <m/>
    <s v="zrušeno - bez hodnotitelné nabídky"/>
    <s v="nová VZ-2021-001297"/>
    <m/>
    <m/>
    <m/>
    <m/>
    <m/>
    <m/>
    <m/>
    <x v="6"/>
    <d v="2021-12-15T00:00:00"/>
  </r>
  <r>
    <d v="2021-08-04T00:00:00"/>
    <s v="VZ-2021-000802"/>
    <x v="2"/>
    <s v="Olejníček"/>
    <x v="321"/>
    <m/>
    <m/>
    <m/>
    <s v="33193120-6"/>
    <s v="2.4.187."/>
    <n v="260000"/>
    <x v="2"/>
    <d v="2021-08-16T00:00:00"/>
    <d v="2021-08-24T00:00:00"/>
    <m/>
    <s v="zrušeno"/>
    <s v="nová VZ-2021-000887"/>
    <m/>
    <m/>
    <m/>
    <m/>
    <m/>
    <m/>
    <m/>
    <x v="6"/>
    <d v="2021-08-17T00:00:00"/>
  </r>
  <r>
    <d v="2021-08-05T00:00:00"/>
    <s v="VZ-2021-000805"/>
    <x v="0"/>
    <s v="Ondráčková"/>
    <x v="322"/>
    <n v="1"/>
    <s v="Spotřební materiál pro genetiku"/>
    <m/>
    <s v="33694000-1"/>
    <m/>
    <n v="2742831"/>
    <x v="1"/>
    <d v="2021-09-24T00:00:00"/>
    <d v="2021-10-14T00:00:00"/>
    <m/>
    <s v="zrušeno - bez nabídky"/>
    <m/>
    <m/>
    <m/>
    <m/>
    <m/>
    <m/>
    <m/>
    <m/>
    <x v="6"/>
    <d v="2021-10-19T00:00:00"/>
  </r>
  <r>
    <d v="2021-08-05T00:00:00"/>
    <s v="VZ-2021-000806"/>
    <x v="0"/>
    <s v="Ondráčková"/>
    <x v="323"/>
    <n v="1"/>
    <s v="Spotřební materiál pro genetiku I."/>
    <m/>
    <s v="33694000-1"/>
    <m/>
    <n v="67032"/>
    <x v="2"/>
    <d v="2021-08-24T00:00:00"/>
    <d v="2021-09-08T00:00:00"/>
    <m/>
    <s v="zrušeno - bez nabídky"/>
    <m/>
    <m/>
    <m/>
    <m/>
    <m/>
    <m/>
    <m/>
    <m/>
    <x v="6"/>
    <d v="2021-09-15T00:00:00"/>
  </r>
  <r>
    <d v="2021-08-05T00:00:00"/>
    <s v="VZ-2021-000806"/>
    <x v="0"/>
    <s v="Ondráčková"/>
    <x v="323"/>
    <n v="2"/>
    <s v="Spotřební materiál pro genetiku II."/>
    <m/>
    <s v="33694000-1"/>
    <m/>
    <n v="848811"/>
    <x v="2"/>
    <d v="2021-08-24T00:00:00"/>
    <d v="2021-09-08T00:00:00"/>
    <m/>
    <s v="zrušeno - bez hodnotitelné nabídky"/>
    <m/>
    <m/>
    <m/>
    <m/>
    <m/>
    <m/>
    <m/>
    <m/>
    <x v="6"/>
    <d v="2021-10-05T00:00:00"/>
  </r>
  <r>
    <d v="2021-08-05T00:00:00"/>
    <s v="VZ-2021-000806"/>
    <x v="0"/>
    <s v="Ondráčková"/>
    <x v="323"/>
    <n v="3"/>
    <s v="Spotřební materiál pro genetiku III."/>
    <m/>
    <s v="33694000-1"/>
    <m/>
    <n v="63800"/>
    <x v="2"/>
    <d v="2021-08-24T00:00:00"/>
    <d v="2021-09-08T00:00:00"/>
    <d v="2021-10-06T00:00:00"/>
    <s v="INTIMEX s.r.o."/>
    <m/>
    <n v="66800"/>
    <n v="80828"/>
    <m/>
    <m/>
    <m/>
    <d v="2021-10-06T00:00:00"/>
    <s v="SMLN-2021-617-000549"/>
    <x v="140"/>
    <d v="2021-11-01T00:00:00"/>
  </r>
  <r>
    <d v="2021-08-05T00:00:00"/>
    <s v="VZ-2021-000806"/>
    <x v="0"/>
    <s v="Ondráčková"/>
    <x v="323"/>
    <n v="4"/>
    <s v="Spotřební materiál pro genetiku IV."/>
    <m/>
    <s v="33694000-1"/>
    <m/>
    <n v="22300"/>
    <x v="2"/>
    <d v="2021-08-24T00:00:00"/>
    <d v="2021-09-08T00:00:00"/>
    <m/>
    <s v="zrušeno - bez nabídky"/>
    <m/>
    <m/>
    <m/>
    <m/>
    <m/>
    <m/>
    <m/>
    <m/>
    <x v="6"/>
    <d v="2021-09-15T00:00:00"/>
  </r>
  <r>
    <d v="2021-08-05T00:00:00"/>
    <s v="VZ-2021-000806"/>
    <x v="0"/>
    <s v="Ondráčková"/>
    <x v="323"/>
    <n v="5"/>
    <s v="Spotřební materiál pro genetiku V."/>
    <m/>
    <s v="33694000-1"/>
    <m/>
    <n v="58921"/>
    <x v="2"/>
    <d v="2021-08-24T00:00:00"/>
    <d v="2021-09-08T00:00:00"/>
    <m/>
    <s v="zrušeno - bez nabídky"/>
    <m/>
    <m/>
    <m/>
    <m/>
    <m/>
    <m/>
    <m/>
    <m/>
    <x v="6"/>
    <d v="2021-09-15T00:00:00"/>
  </r>
  <r>
    <d v="2021-08-05T00:00:00"/>
    <s v="VZ-2021-000806"/>
    <x v="0"/>
    <s v="Ondráčková"/>
    <x v="323"/>
    <n v="6"/>
    <s v="Spotřební materiál pro genetiku VI."/>
    <m/>
    <s v="33694000-1"/>
    <m/>
    <n v="63800"/>
    <x v="2"/>
    <d v="2021-08-24T00:00:00"/>
    <d v="2021-09-08T00:00:00"/>
    <m/>
    <s v="zrušeno - bez nabídky"/>
    <m/>
    <m/>
    <m/>
    <m/>
    <m/>
    <m/>
    <m/>
    <m/>
    <x v="6"/>
    <d v="2021-09-15T00:00:00"/>
  </r>
  <r>
    <d v="2021-08-05T00:00:00"/>
    <s v="VZ-2021-000806"/>
    <x v="0"/>
    <s v="Ondráčková"/>
    <x v="323"/>
    <n v="7"/>
    <s v="Spotřební materiál pro genetiku VII."/>
    <m/>
    <s v="33694000-1"/>
    <m/>
    <n v="36159"/>
    <x v="2"/>
    <d v="2021-08-24T00:00:00"/>
    <d v="2021-09-08T00:00:00"/>
    <d v="2021-10-06T00:00:00"/>
    <s v="Top-Bio, s.r.o."/>
    <m/>
    <n v="36160"/>
    <n v="43753"/>
    <m/>
    <m/>
    <m/>
    <d v="2021-10-06T00:00:00"/>
    <s v="SMLN-2021-617-000550"/>
    <x v="140"/>
    <d v="2021-11-01T00:00:00"/>
  </r>
  <r>
    <d v="2021-08-05T00:00:00"/>
    <s v="VZ-2021-000807"/>
    <x v="0"/>
    <s v="Ondráčková"/>
    <x v="324"/>
    <n v="1"/>
    <s v="Spotřební materiál pro genetiku 1"/>
    <m/>
    <s v="33694000-1"/>
    <m/>
    <n v="780693"/>
    <x v="2"/>
    <d v="2021-09-02T00:00:00"/>
    <d v="2021-09-20T00:00:00"/>
    <m/>
    <m/>
    <s v="nová VZ-2021-001041"/>
    <m/>
    <m/>
    <m/>
    <m/>
    <m/>
    <m/>
    <m/>
    <x v="6"/>
    <d v="2021-10-04T00:00:00"/>
  </r>
  <r>
    <d v="2021-08-05T00:00:00"/>
    <s v="VZ-2021-000807"/>
    <x v="0"/>
    <s v="Ondráčková"/>
    <x v="324"/>
    <n v="2"/>
    <s v="Spotřební materiál pro genetiku 2"/>
    <m/>
    <s v="33694000-1"/>
    <m/>
    <n v="102837"/>
    <x v="2"/>
    <d v="2021-09-02T00:00:00"/>
    <d v="2021-09-20T00:00:00"/>
    <m/>
    <s v="zrušeno - bez hodnotítelné nabídky"/>
    <s v="nová VZ-2021-001041"/>
    <m/>
    <m/>
    <m/>
    <m/>
    <m/>
    <m/>
    <m/>
    <x v="6"/>
    <d v="2021-10-04T00:00:00"/>
  </r>
  <r>
    <d v="2021-08-05T00:00:00"/>
    <s v="VZ-2021-000807"/>
    <x v="0"/>
    <s v="Ondráčková"/>
    <x v="324"/>
    <n v="3"/>
    <s v="Spotřební materiál pro genetiku 3"/>
    <m/>
    <s v="33694000-1"/>
    <m/>
    <n v="52000"/>
    <x v="2"/>
    <d v="2021-09-02T00:00:00"/>
    <d v="2021-09-20T00:00:00"/>
    <m/>
    <s v="zrušeno - bez nabídky"/>
    <s v="nová VZ-2021-001041"/>
    <m/>
    <m/>
    <m/>
    <m/>
    <m/>
    <m/>
    <m/>
    <x v="6"/>
    <d v="2021-10-04T00:00:00"/>
  </r>
  <r>
    <d v="2021-08-05T00:00:00"/>
    <s v="VZ-2021-000807"/>
    <x v="0"/>
    <s v="Ondráčková"/>
    <x v="324"/>
    <n v="4"/>
    <s v="Spotřební materiál pro genetiku 4"/>
    <m/>
    <s v="33694000-1"/>
    <m/>
    <n v="287058"/>
    <x v="2"/>
    <d v="2021-09-02T00:00:00"/>
    <d v="2021-09-20T00:00:00"/>
    <m/>
    <s v="zrušeno - bez hodnotítelné nabídky"/>
    <s v="nová VZ-2021-001041"/>
    <m/>
    <m/>
    <m/>
    <m/>
    <m/>
    <m/>
    <m/>
    <x v="6"/>
    <d v="2021-10-04T00:00:00"/>
  </r>
  <r>
    <d v="2021-08-05T00:00:00"/>
    <s v="VZ-2021-000807"/>
    <x v="0"/>
    <s v="Ondráčková"/>
    <x v="324"/>
    <n v="5"/>
    <s v="Spotřební materiál pro genetiku 5"/>
    <m/>
    <s v="33694000-1"/>
    <m/>
    <n v="393592"/>
    <x v="2"/>
    <d v="2021-09-02T00:00:00"/>
    <d v="2021-09-20T00:00:00"/>
    <m/>
    <s v="zrušeno - bez nabídky"/>
    <s v="nová VZ-2021-001041"/>
    <m/>
    <m/>
    <m/>
    <m/>
    <m/>
    <m/>
    <m/>
    <x v="6"/>
    <d v="2021-10-04T00:00:00"/>
  </r>
  <r>
    <d v="2021-08-05T00:00:00"/>
    <s v="VZ-2021-000808"/>
    <x v="0"/>
    <s v="Ondráčková"/>
    <x v="325"/>
    <n v="1"/>
    <s v="Spotřební materiál pro molekulární biologii"/>
    <m/>
    <s v="33694000-1"/>
    <m/>
    <n v="547196"/>
    <x v="2"/>
    <d v="2021-08-24T00:00:00"/>
    <d v="2021-09-13T00:00:00"/>
    <m/>
    <s v="zrušeno - bez hodnotítelné nabídky"/>
    <m/>
    <m/>
    <m/>
    <m/>
    <m/>
    <m/>
    <m/>
    <m/>
    <x v="6"/>
    <d v="2021-09-27T00:00:00"/>
  </r>
  <r>
    <d v="2021-08-05T00:00:00"/>
    <s v="VZ-2021-000808"/>
    <x v="0"/>
    <s v="Ondráčková"/>
    <x v="325"/>
    <n v="2"/>
    <s v="Spotřební materiál pro průtokovou cytometrii"/>
    <m/>
    <s v="33694000-1"/>
    <m/>
    <n v="908400"/>
    <x v="2"/>
    <d v="2021-08-24T00:00:00"/>
    <d v="2021-09-13T00:00:00"/>
    <m/>
    <s v="zrušeno - úprava specifikace"/>
    <m/>
    <m/>
    <m/>
    <m/>
    <m/>
    <m/>
    <m/>
    <m/>
    <x v="6"/>
    <d v="2021-09-10T00:00:00"/>
  </r>
  <r>
    <d v="2021-08-05T00:00:00"/>
    <s v="VZ-2021-000808"/>
    <x v="0"/>
    <s v="Ondráčková"/>
    <x v="325"/>
    <n v="3"/>
    <s v="Spotřební materiál pro tkáňové kultury"/>
    <m/>
    <s v="33694000-1"/>
    <m/>
    <n v="476120"/>
    <x v="2"/>
    <d v="2021-08-24T00:00:00"/>
    <d v="2021-09-13T00:00:00"/>
    <d v="2021-09-30T00:00:00"/>
    <s v="Scintila, s.r.o."/>
    <m/>
    <n v="490760"/>
    <n v="593819.6"/>
    <m/>
    <m/>
    <m/>
    <d v="2021-09-30T00:00:00"/>
    <s v="SMLN-2021-617-000531"/>
    <x v="138"/>
    <d v="2021-10-19T00:00:00"/>
  </r>
  <r>
    <d v="2021-08-05T00:00:00"/>
    <s v="VZ-2021-000808"/>
    <x v="0"/>
    <s v="Ondráčková"/>
    <x v="325"/>
    <n v="4"/>
    <s v="Spotřební materiál pro koagulaci"/>
    <m/>
    <s v="33694000-1"/>
    <m/>
    <n v="54000"/>
    <x v="2"/>
    <d v="2021-08-24T00:00:00"/>
    <d v="2021-09-13T00:00:00"/>
    <m/>
    <s v="zrušeno - bez nabídky"/>
    <m/>
    <m/>
    <m/>
    <m/>
    <m/>
    <m/>
    <m/>
    <m/>
    <x v="6"/>
    <d v="2021-09-27T00:00:00"/>
  </r>
  <r>
    <d v="2021-08-05T00:00:00"/>
    <s v="VZ-2021-000809"/>
    <x v="0"/>
    <s v="Ondráčková"/>
    <x v="326"/>
    <n v="1"/>
    <s v="Spotřební materiál pro koagulaci I."/>
    <m/>
    <s v="33694000-1"/>
    <m/>
    <n v="486884"/>
    <x v="1"/>
    <d v="2021-08-24T00:00:00"/>
    <d v="2021-09-24T00:00:00"/>
    <m/>
    <m/>
    <m/>
    <m/>
    <m/>
    <m/>
    <m/>
    <m/>
    <m/>
    <m/>
    <x v="6"/>
    <d v="2021-09-30T00:00:00"/>
  </r>
  <r>
    <d v="2021-08-05T00:00:00"/>
    <s v="VZ-2021-000809"/>
    <x v="0"/>
    <s v="Ondráčková"/>
    <x v="326"/>
    <n v="2"/>
    <s v="Spotřební materiál pro koagulaci II."/>
    <m/>
    <s v="33694000-1"/>
    <m/>
    <n v="70812"/>
    <x v="1"/>
    <d v="2021-08-24T00:00:00"/>
    <d v="2021-09-24T00:00:00"/>
    <m/>
    <m/>
    <m/>
    <m/>
    <m/>
    <m/>
    <m/>
    <m/>
    <m/>
    <m/>
    <x v="6"/>
    <d v="2021-09-30T00:00:00"/>
  </r>
  <r>
    <d v="2021-08-05T00:00:00"/>
    <s v="VZ-2021-000810"/>
    <x v="0"/>
    <s v="Ondráčková"/>
    <x v="327"/>
    <n v="1"/>
    <s v="Spotřební materiál pro ARRAY"/>
    <m/>
    <s v="33694000-1"/>
    <m/>
    <n v="355660"/>
    <x v="1"/>
    <d v="2021-09-13T00:00:00"/>
    <d v="2021-09-30T00:00:00"/>
    <d v="2021-11-09T00:00:00"/>
    <s v="Explorea s.r.o."/>
    <m/>
    <n v="495760"/>
    <n v="599869.6"/>
    <m/>
    <m/>
    <m/>
    <d v="2021-11-09T00:00:00"/>
    <s v="SMLN-2021-617-000638"/>
    <x v="149"/>
    <d v="2021-12-16T00:00:00"/>
  </r>
  <r>
    <d v="2021-08-05T00:00:00"/>
    <s v="VZ-2021-000810"/>
    <x v="0"/>
    <s v="Ondráčková"/>
    <x v="327"/>
    <n v="2"/>
    <s v="Spotřební materiál pro koagulaci 1."/>
    <m/>
    <s v="33694000-1"/>
    <m/>
    <n v="1149222"/>
    <x v="1"/>
    <d v="2021-09-13T00:00:00"/>
    <d v="2021-09-30T00:00:00"/>
    <d v="2021-11-09T00:00:00"/>
    <s v="ROCHE s.r.o."/>
    <m/>
    <n v="1113229.6000000001"/>
    <n v="1347007.82"/>
    <m/>
    <m/>
    <m/>
    <d v="2021-11-09T00:00:00"/>
    <s v="SMLN-2021-617-000640"/>
    <x v="150"/>
    <d v="2021-12-16T00:00:00"/>
  </r>
  <r>
    <d v="2021-08-05T00:00:00"/>
    <s v="VZ-2021-000810"/>
    <x v="0"/>
    <s v="Ondráčková"/>
    <x v="327"/>
    <n v="3"/>
    <s v="Spotřební materiál pro koagulaci 2."/>
    <m/>
    <s v="33694000-1"/>
    <m/>
    <n v="571720"/>
    <x v="1"/>
    <d v="2021-09-13T00:00:00"/>
    <d v="2021-09-30T00:00:00"/>
    <m/>
    <s v="zrušeno - bez nabídky"/>
    <m/>
    <m/>
    <m/>
    <m/>
    <m/>
    <m/>
    <m/>
    <m/>
    <x v="6"/>
    <d v="2021-12-01T00:00:00"/>
  </r>
  <r>
    <d v="2021-08-12T00:00:00"/>
    <s v="VZ-2021-000811"/>
    <x v="0"/>
    <s v="Ondráčková"/>
    <x v="328"/>
    <n v="1"/>
    <s v="RIOCIGVÁT"/>
    <m/>
    <s v="33622200-8"/>
    <m/>
    <n v="5035780"/>
    <x v="0"/>
    <d v="2021-08-18T00:00:00"/>
    <d v="2021-09-21T00:00:00"/>
    <d v="2021-09-30T00:00:00"/>
    <s v="ViaPharma s.r.o."/>
    <m/>
    <n v="4980016.08"/>
    <n v="5478017.6900000004"/>
    <m/>
    <m/>
    <m/>
    <d v="2021-09-30T00:00:00"/>
    <s v="SMLN-2021-617-000527"/>
    <x v="145"/>
    <d v="2021-11-02T00:00:00"/>
  </r>
  <r>
    <d v="2021-08-12T00:00:00"/>
    <s v="VZ-2021-000812"/>
    <x v="0"/>
    <s v="Ondráčková"/>
    <x v="329"/>
    <n v="1"/>
    <s v="POLATUZUMAB VEDOTIN"/>
    <m/>
    <s v="33652000-5"/>
    <m/>
    <n v="43696800"/>
    <x v="0"/>
    <d v="2021-08-23T00:00:00"/>
    <d v="2021-09-27T00:00:00"/>
    <d v="2021-10-26T00:00:00"/>
    <s v="ROCHE s.r.o."/>
    <m/>
    <n v="31579560"/>
    <n v="34737516"/>
    <m/>
    <m/>
    <m/>
    <d v="2021-10-26T00:00:00"/>
    <s v="SMLN-2021-617-000591"/>
    <x v="116"/>
    <d v="2021-12-16T00:00:00"/>
  </r>
  <r>
    <d v="2021-08-12T00:00:00"/>
    <s v="VZ-2021-000812"/>
    <x v="0"/>
    <s v="Ondráčková"/>
    <x v="329"/>
    <n v="2"/>
    <s v="KYSELINA AMINOLEVULOVÁ"/>
    <m/>
    <s v="33652000-5"/>
    <m/>
    <n v="3195881"/>
    <x v="0"/>
    <d v="2021-08-23T00:00:00"/>
    <d v="2021-09-27T00:00:00"/>
    <d v="2021-10-26T00:00:00"/>
    <s v="PHOENIX lék.velkoobchod, s.r.o."/>
    <m/>
    <n v="3152587.2"/>
    <n v="3457845.92"/>
    <m/>
    <m/>
    <m/>
    <d v="2021-10-26T00:00:00"/>
    <s v="SMLN-2021-617-000592"/>
    <x v="150"/>
    <d v="2021-12-16T00:00:00"/>
  </r>
  <r>
    <d v="2021-08-12T00:00:00"/>
    <s v="VZ-2021-000813"/>
    <x v="0"/>
    <s v="Ondráčková"/>
    <x v="330"/>
    <n v="1"/>
    <s v="DIFLUCAN"/>
    <m/>
    <s v="33651200-0"/>
    <m/>
    <n v="4482965"/>
    <x v="0"/>
    <d v="2021-08-18T00:00:00"/>
    <d v="2021-09-22T00:00:00"/>
    <d v="2021-10-13T00:00:00"/>
    <s v="PHOENIX lék.velkoobchod, s.r.o."/>
    <m/>
    <n v="4422273.75"/>
    <n v="4864501.13"/>
    <m/>
    <m/>
    <m/>
    <d v="2021-10-13T00:00:00"/>
    <s v="SMLN-2021-617-000555"/>
    <x v="132"/>
    <d v="2021-11-26T00:00:00"/>
  </r>
  <r>
    <d v="2021-08-12T00:00:00"/>
    <s v="VZ-2021-000813"/>
    <x v="0"/>
    <s v="Ondráčková"/>
    <x v="330"/>
    <n v="2"/>
    <s v="FLUCONAZOL"/>
    <m/>
    <s v="33651200-0"/>
    <m/>
    <n v="100263"/>
    <x v="0"/>
    <d v="2021-08-18T00:00:00"/>
    <d v="2021-09-22T00:00:00"/>
    <d v="2021-10-13T00:00:00"/>
    <s v="PHOENIX lék.velkoobchod, s.r.o."/>
    <m/>
    <n v="14849.52"/>
    <n v="16334.47"/>
    <m/>
    <m/>
    <m/>
    <d v="2021-10-13T00:00:00"/>
    <s v="SMLN-2021-617-000556"/>
    <x v="132"/>
    <d v="2021-11-26T00:00:00"/>
  </r>
  <r>
    <d v="2021-08-12T00:00:00"/>
    <s v="VZ-2021-000813"/>
    <x v="0"/>
    <s v="Ondráčková"/>
    <x v="330"/>
    <n v="3"/>
    <s v="FLUCONAZOL I.V."/>
    <m/>
    <s v="33651200-0"/>
    <m/>
    <n v="1437240"/>
    <x v="0"/>
    <d v="2021-08-18T00:00:00"/>
    <d v="2021-09-22T00:00:00"/>
    <m/>
    <s v="zrušeno - bez nabídky"/>
    <m/>
    <m/>
    <m/>
    <m/>
    <m/>
    <m/>
    <m/>
    <m/>
    <x v="6"/>
    <d v="2021-10-05T00:00:00"/>
  </r>
  <r>
    <d v="2021-08-12T00:00:00"/>
    <s v="VZ-2021-000813"/>
    <x v="0"/>
    <s v="Ondráčková"/>
    <x v="330"/>
    <n v="4"/>
    <s v="VORIKONAZOL SANDOZ"/>
    <m/>
    <s v="33651200-0"/>
    <m/>
    <n v="12470963"/>
    <x v="0"/>
    <d v="2021-08-18T00:00:00"/>
    <d v="2021-09-22T00:00:00"/>
    <m/>
    <s v="zrušeno - nová VZ"/>
    <s v="nová VZ-2021-001010"/>
    <m/>
    <m/>
    <m/>
    <m/>
    <m/>
    <m/>
    <m/>
    <x v="6"/>
    <d v="2021-10-05T00:00:00"/>
  </r>
  <r>
    <d v="2021-08-12T00:00:00"/>
    <s v="VZ-2021-000813"/>
    <x v="0"/>
    <s v="Ondráčková"/>
    <x v="330"/>
    <n v="5"/>
    <s v="VORIKONAZOL "/>
    <m/>
    <s v="33651200-0"/>
    <m/>
    <n v="368784"/>
    <x v="0"/>
    <d v="2021-08-18T00:00:00"/>
    <d v="2021-09-22T00:00:00"/>
    <m/>
    <s v="zrušeno - nová VZ"/>
    <s v="nová VZ-2021-001010"/>
    <m/>
    <m/>
    <m/>
    <m/>
    <m/>
    <m/>
    <m/>
    <x v="6"/>
    <d v="2021-10-05T00:00:00"/>
  </r>
  <r>
    <d v="2021-08-12T00:00:00"/>
    <s v="VZ-2021-000813"/>
    <x v="0"/>
    <s v="Ondráčková"/>
    <x v="330"/>
    <n v="6"/>
    <s v="VORIKONAZOL I.V."/>
    <m/>
    <s v="33651200-0"/>
    <m/>
    <n v="3451390"/>
    <x v="0"/>
    <d v="2021-08-18T00:00:00"/>
    <d v="2021-09-22T00:00:00"/>
    <d v="2021-10-13T00:00:00"/>
    <s v="ViaPharma s.r.o."/>
    <m/>
    <n v="2934597.9"/>
    <n v="3228057.69"/>
    <m/>
    <m/>
    <m/>
    <d v="2021-10-13T00:00:00"/>
    <s v="SMLN-2021-617-000557"/>
    <x v="151"/>
    <d v="2021-11-26T00:00:00"/>
  </r>
  <r>
    <d v="2021-08-12T00:00:00"/>
    <s v="VZ-2021-000813"/>
    <x v="0"/>
    <s v="Ondráčková"/>
    <x v="330"/>
    <n v="7"/>
    <s v="POSAKONAZOL I."/>
    <m/>
    <s v="33651200-0"/>
    <m/>
    <n v="8302868"/>
    <x v="0"/>
    <d v="2021-08-18T00:00:00"/>
    <d v="2021-09-22T00:00:00"/>
    <d v="2021-10-13T00:00:00"/>
    <s v="Alliance Healthcare s.r.o."/>
    <m/>
    <n v="3370965.12"/>
    <n v="3708061.63"/>
    <m/>
    <m/>
    <m/>
    <d v="2021-10-13T00:00:00"/>
    <s v="SMLN-2021-617-000558"/>
    <x v="126"/>
    <d v="2021-11-26T00:00:00"/>
  </r>
  <r>
    <d v="2021-08-12T00:00:00"/>
    <s v="VZ-2021-000813"/>
    <x v="0"/>
    <s v="Ondráčková"/>
    <x v="330"/>
    <n v="8"/>
    <s v="POSAKONAZOL II."/>
    <m/>
    <s v="33651200-0"/>
    <m/>
    <n v="365338"/>
    <x v="0"/>
    <d v="2021-08-18T00:00:00"/>
    <d v="2021-09-22T00:00:00"/>
    <d v="2021-10-13T00:00:00"/>
    <s v="ViaPharma s.r.o."/>
    <m/>
    <n v="365040"/>
    <n v="401544"/>
    <m/>
    <m/>
    <m/>
    <d v="2021-10-13T00:00:00"/>
    <s v="SMLN-2021-617-000559"/>
    <x v="151"/>
    <d v="2021-11-26T00:00:00"/>
  </r>
  <r>
    <d v="2021-08-12T00:00:00"/>
    <s v="VZ-2021-000814"/>
    <x v="0"/>
    <s v="Ondráčková"/>
    <x v="331"/>
    <n v="1"/>
    <s v="ALEKTINIB"/>
    <m/>
    <s v="33652000-5"/>
    <m/>
    <n v="31368194"/>
    <x v="0"/>
    <d v="2021-08-17T00:00:00"/>
    <d v="2021-09-24T00:00:00"/>
    <d v="2021-10-14T00:00:00"/>
    <s v="ROCHE s.r.o."/>
    <m/>
    <n v="18147276"/>
    <n v="19962003.600000001"/>
    <m/>
    <m/>
    <m/>
    <d v="2021-10-14T00:00:00"/>
    <s v="SMLN-2021-617-000565"/>
    <x v="152"/>
    <d v="2021-11-30T00:00:00"/>
  </r>
  <r>
    <d v="2021-08-12T00:00:00"/>
    <s v="VZ-2021-000814"/>
    <x v="0"/>
    <s v="Ondráčková"/>
    <x v="331"/>
    <n v="2"/>
    <s v="PALBOCIKLIB"/>
    <m/>
    <s v="33652000-5"/>
    <m/>
    <n v="8730573"/>
    <x v="0"/>
    <d v="2021-08-17T00:00:00"/>
    <d v="2021-09-24T00:00:00"/>
    <d v="2021-10-14T00:00:00"/>
    <s v="PHOENIX lék.velkoobchod, s.r.o."/>
    <m/>
    <n v="8730550.1099999994"/>
    <n v="9603605.1199999992"/>
    <m/>
    <m/>
    <m/>
    <d v="2021-10-14T00:00:00"/>
    <s v="SMLN-2021-617-000566"/>
    <x v="143"/>
    <d v="2021-11-30T00:00:00"/>
  </r>
  <r>
    <d v="2021-08-12T00:00:00"/>
    <s v="VZ-2021-000814"/>
    <x v="0"/>
    <s v="Ondráčková"/>
    <x v="331"/>
    <n v="3"/>
    <s v="KABOZANTINIB I."/>
    <m/>
    <s v="33652000-5"/>
    <m/>
    <n v="43022990"/>
    <x v="0"/>
    <d v="2021-08-17T00:00:00"/>
    <d v="2021-09-24T00:00:00"/>
    <d v="2021-10-14T00:00:00"/>
    <s v="PHOENIX lék.velkoobchod, s.r.o."/>
    <m/>
    <n v="42669432.899999999"/>
    <n v="46936376.189999998"/>
    <m/>
    <m/>
    <m/>
    <d v="2021-10-14T00:00:00"/>
    <s v="SMLN-2021-617-000567"/>
    <x v="143"/>
    <d v="2021-11-30T00:00:00"/>
  </r>
  <r>
    <d v="2021-08-12T00:00:00"/>
    <s v="VZ-2021-000814"/>
    <x v="0"/>
    <s v="Ondráčková"/>
    <x v="331"/>
    <n v="4"/>
    <s v="KABOZANTINIB II."/>
    <m/>
    <s v="33652000-5"/>
    <m/>
    <n v="5171688"/>
    <x v="0"/>
    <d v="2021-08-17T00:00:00"/>
    <d v="2021-09-24T00:00:00"/>
    <m/>
    <s v="zrušeno - bez nabídky"/>
    <m/>
    <m/>
    <m/>
    <m/>
    <m/>
    <m/>
    <m/>
    <m/>
    <x v="6"/>
    <d v="2021-11-12T00:00:00"/>
  </r>
  <r>
    <d v="2021-08-04T00:00:00"/>
    <s v="VZ-2021-000817"/>
    <x v="1"/>
    <s v="Valtová"/>
    <x v="332"/>
    <m/>
    <m/>
    <m/>
    <s v="33140000-3"/>
    <m/>
    <n v="700000"/>
    <x v="2"/>
    <d v="2021-08-18T00:00:00"/>
    <d v="2021-09-03T00:00:00"/>
    <m/>
    <s v="zrušeno - bez hodnotitelné nabídky"/>
    <s v="nová VZ-2021-001128"/>
    <m/>
    <m/>
    <m/>
    <m/>
    <m/>
    <m/>
    <m/>
    <x v="6"/>
    <d v="2021-10-13T00:00:00"/>
  </r>
  <r>
    <d v="2021-08-12T00:00:00"/>
    <s v="VZ-2021-000822"/>
    <x v="5"/>
    <s v="Oravec"/>
    <x v="333"/>
    <m/>
    <m/>
    <m/>
    <s v="30232110-8"/>
    <m/>
    <n v="843000"/>
    <x v="2"/>
    <d v="2021-08-18T00:00:00"/>
    <d v="2021-08-31T00:00:00"/>
    <d v="2021-10-27T00:00:00"/>
    <s v="BRYVECASTA, s.r.o."/>
    <m/>
    <n v="453900"/>
    <n v="549219"/>
    <m/>
    <m/>
    <m/>
    <d v="2021-10-27T00:00:00"/>
    <s v="SMLN-2021-617-000597"/>
    <x v="153"/>
    <d v="2021-11-25T00:00:00"/>
  </r>
  <r>
    <d v="2021-08-12T00:00:00"/>
    <s v="VZ-2021-000823"/>
    <x v="2"/>
    <s v="Novák"/>
    <x v="334"/>
    <m/>
    <m/>
    <m/>
    <s v="33196000-0"/>
    <m/>
    <n v="939600"/>
    <x v="2"/>
    <d v="2021-08-20T00:00:00"/>
    <d v="2021-09-06T00:00:00"/>
    <d v="2021-10-11T00:00:00"/>
    <s v="Stamed s.r.o."/>
    <m/>
    <n v="1236330"/>
    <n v="1429881.3"/>
    <m/>
    <m/>
    <m/>
    <d v="2021-10-11T00:00:00"/>
    <s v="SMLN-2021-617-000552_x000a_SMLN-2021-612-000114"/>
    <x v="140"/>
    <d v="2021-10-27T00:00:00"/>
  </r>
  <r>
    <d v="2021-08-16T00:00:00"/>
    <s v="VZ-2021-000825"/>
    <x v="3"/>
    <s v="Spáčil"/>
    <x v="335"/>
    <m/>
    <m/>
    <m/>
    <s v="45223500-1"/>
    <s v="1.2.75."/>
    <n v="137766923.69999999"/>
    <x v="0"/>
    <d v="2021-09-21T00:00:00"/>
    <d v="2021-10-27T00:00:00"/>
    <d v="2021-11-09T00:00:00"/>
    <s v="OHLA ŹS a.s."/>
    <m/>
    <n v="132485529.13"/>
    <n v="160307490.25"/>
    <m/>
    <m/>
    <m/>
    <d v="2021-11-09T00:00:00"/>
    <s v="SMLN-2021-618-000078"/>
    <x v="6"/>
    <m/>
  </r>
  <r>
    <s v="opakovaná VZ"/>
    <s v="VZ-2021-000828"/>
    <x v="2"/>
    <s v="Olejníček"/>
    <x v="336"/>
    <m/>
    <m/>
    <m/>
    <s v="38000000-5"/>
    <s v="2.2.372."/>
    <n v="255800"/>
    <x v="2"/>
    <d v="2021-08-19T00:00:00"/>
    <d v="2021-08-31T00:00:00"/>
    <d v="2021-09-10T00:00:00"/>
    <s v="BioTech a.s."/>
    <m/>
    <n v="255800"/>
    <n v="309518"/>
    <m/>
    <m/>
    <m/>
    <d v="2021-09-10T00:00:00"/>
    <s v="SMLN-2021-617-000491_x000a_SMLN-2021-617-000492"/>
    <x v="154"/>
    <d v="2021-10-08T00:00:00"/>
  </r>
  <r>
    <d v="2021-08-17T00:00:00"/>
    <s v="VZ-2021-000829"/>
    <x v="1"/>
    <s v="Dočkalová"/>
    <x v="337"/>
    <m/>
    <m/>
    <m/>
    <s v="33141123-8"/>
    <m/>
    <n v="2653260"/>
    <x v="1"/>
    <d v="2021-08-25T00:00:00"/>
    <d v="2021-09-13T00:00:00"/>
    <d v="2021-10-05T00:00:00"/>
    <s v="INTERGOS-CZ, s.r.o."/>
    <m/>
    <n v="2492808.5"/>
    <n v="3016298.29"/>
    <m/>
    <m/>
    <m/>
    <d v="2021-10-05T00:00:00"/>
    <s v="SMLN-2021-617-000547"/>
    <x v="145"/>
    <d v="2021-11-10T00:00:00"/>
  </r>
  <r>
    <d v="2021-08-17T00:00:00"/>
    <s v="VZ-2021-000840"/>
    <x v="1"/>
    <s v="Dočkalová"/>
    <x v="338"/>
    <m/>
    <m/>
    <m/>
    <s v="33141000-0_x000a_33181100-3"/>
    <m/>
    <n v="55920000"/>
    <x v="0"/>
    <d v="2021-08-23T00:00:00"/>
    <d v="2021-10-20T00:00:00"/>
    <m/>
    <s v="Fresenisu Medical Care - ČR, s.r.o."/>
    <m/>
    <n v="41146779"/>
    <n v="49363486.590000004"/>
    <m/>
    <m/>
    <m/>
    <m/>
    <m/>
    <x v="6"/>
    <m/>
  </r>
  <r>
    <d v="2021-09-03T00:00:00"/>
    <s v="VZ-2021-000842"/>
    <x v="14"/>
    <s v="Jeřábková"/>
    <x v="339"/>
    <m/>
    <m/>
    <m/>
    <s v="55120000-7"/>
    <m/>
    <n v="750000"/>
    <x v="2"/>
    <d v="2021-09-06T00:00:00"/>
    <d v="2021-09-10T00:00:00"/>
    <m/>
    <s v="zrušeno - upravit zadávací podmínky"/>
    <s v="nová VZ-2021-000954"/>
    <m/>
    <m/>
    <m/>
    <m/>
    <m/>
    <m/>
    <m/>
    <x v="6"/>
    <d v="2021-09-15T00:00:00"/>
  </r>
  <r>
    <d v="2021-08-19T00:00:00"/>
    <s v="VZ-2021-000848"/>
    <x v="2"/>
    <s v="Olejníček"/>
    <x v="123"/>
    <n v="1"/>
    <s v="Mobilní ultrazvukový přístroj pro Urologickou kliniku "/>
    <m/>
    <s v="33124120-2"/>
    <s v="2.3.506."/>
    <n v="1651500"/>
    <x v="0"/>
    <d v="2021-10-06T00:00:00"/>
    <d v="2021-11-09T00:00:00"/>
    <d v="2021-12-16T00:00:00"/>
    <s v="MEDKONSULT, s.r.o."/>
    <m/>
    <n v="1650700"/>
    <n v="1997347"/>
    <m/>
    <m/>
    <m/>
    <d v="2021-12-16T00:00:00"/>
    <s v="SMLN-2021-617-000727_x000a_SMLN-2021-612-000150"/>
    <x v="6"/>
    <m/>
  </r>
  <r>
    <d v="2021-08-19T00:00:00"/>
    <s v="VZ-2021-000848"/>
    <x v="11"/>
    <s v="Olejníček"/>
    <x v="123"/>
    <n v="2"/>
    <s v="Transportabilní echokardiografický přístroj pro Kardiochirurgickou kliniku"/>
    <m/>
    <s v="33124120-2"/>
    <s v="2.2.306."/>
    <n v="2035000"/>
    <x v="0"/>
    <d v="2021-10-06T00:00:00"/>
    <d v="2021-11-09T00:00:00"/>
    <d v="2021-12-16T00:00:00"/>
    <s v="S+T Plus s.r.o."/>
    <m/>
    <n v="1995260"/>
    <n v="2414264.6"/>
    <m/>
    <m/>
    <m/>
    <d v="2021-12-16T00:00:00"/>
    <s v="SMLN-2021-617-000728_x000a_SMLN-2021-612-000151"/>
    <x v="6"/>
    <m/>
  </r>
  <r>
    <d v="2021-08-19T00:00:00"/>
    <s v="VZ-2021-000848"/>
    <x v="11"/>
    <s v="Olejníček"/>
    <x v="123"/>
    <n v="3"/>
    <s v="Echokardiografický přístroj pro Kardiochirurgickou kliniku"/>
    <m/>
    <s v="33124120-2"/>
    <s v="2.3.457."/>
    <n v="4194500"/>
    <x v="0"/>
    <d v="2021-10-06T00:00:00"/>
    <d v="2021-11-09T00:00:00"/>
    <d v="2021-12-16T00:00:00"/>
    <s v="S+T Plus s.r.o."/>
    <m/>
    <n v="4180160"/>
    <n v="5057993.5999999996"/>
    <m/>
    <m/>
    <m/>
    <d v="2021-12-16T00:00:00"/>
    <s v="SMLN-2021-617-000729_x000a_SMLN-2021-612-000152"/>
    <x v="6"/>
    <m/>
  </r>
  <r>
    <d v="2021-08-19T00:00:00"/>
    <s v="VZ-2021-000848"/>
    <x v="2"/>
    <s v="Olejníček"/>
    <x v="123"/>
    <n v="4"/>
    <s v="Lineární sonda pro Porodnicko-gynekologickou kliniku"/>
    <m/>
    <s v="33124120-2"/>
    <s v="2.2.349."/>
    <n v="125000"/>
    <x v="0"/>
    <d v="2021-10-06T00:00:00"/>
    <d v="2021-11-09T00:00:00"/>
    <d v="2021-12-16T00:00:00"/>
    <s v="Electric Medical Service s.r.o."/>
    <m/>
    <n v="108000"/>
    <n v="130680"/>
    <m/>
    <m/>
    <m/>
    <d v="2021-12-16T00:00:00"/>
    <s v="SMLN-2021-617-000730_x000a_SMLN-2021-612-000153"/>
    <x v="6"/>
    <m/>
  </r>
  <r>
    <d v="2021-08-19T00:00:00"/>
    <s v="VZ-2021-000848"/>
    <x v="2"/>
    <s v="Olejníček"/>
    <x v="123"/>
    <n v="5"/>
    <s v="Echokardiografický přístroj střední třídy pro KTVS"/>
    <m/>
    <s v="33124120-2"/>
    <s v="2.3.523."/>
    <n v="1770000"/>
    <x v="0"/>
    <d v="2021-10-06T00:00:00"/>
    <d v="2021-11-09T00:00:00"/>
    <d v="2021-12-16T00:00:00"/>
    <s v="NIMOTECH, s.r.o."/>
    <m/>
    <n v="1136163.99"/>
    <n v="1374758.43"/>
    <m/>
    <m/>
    <m/>
    <d v="2021-12-16T00:00:00"/>
    <s v="SMLN-2021-617-000731_x000a_SMLN-2021-612-000154"/>
    <x v="6"/>
    <m/>
  </r>
  <r>
    <d v="2021-08-19T00:00:00"/>
    <s v="VZ-2021-000849"/>
    <x v="11"/>
    <s v="Olejníček"/>
    <x v="340"/>
    <n v="1"/>
    <s v="14 ks systémů ohřevu pacienta vč. příslušenství pro COS"/>
    <m/>
    <s v="33162100-4"/>
    <s v="2.3.564."/>
    <n v="2585185"/>
    <x v="0"/>
    <d v="2021-09-24T00:00:00"/>
    <d v="2021-10-27T00:00:00"/>
    <d v="2021-11-25T00:00:00"/>
    <s v="PROMEDICA PRAHA GROUP, a.s."/>
    <m/>
    <n v="1325695"/>
    <n v="1604090.75"/>
    <m/>
    <m/>
    <m/>
    <d v="2021-11-25T00:00:00"/>
    <s v="SMLN-2021-617-000684_x000a_SMLN-2021-612-000140"/>
    <x v="155"/>
    <d v="2022-01-07T00:00:00"/>
  </r>
  <r>
    <d v="2021-08-19T00:00:00"/>
    <s v="VZ-2021-000849"/>
    <x v="2"/>
    <s v="Olejníček"/>
    <x v="340"/>
    <n v="2"/>
    <s v="2 ks systémů ohřevu pacienta vč. příslušenství pro NCHIR"/>
    <m/>
    <s v="33162100-4"/>
    <s v="2.2.337."/>
    <n v="255000"/>
    <x v="0"/>
    <d v="2021-09-24T00:00:00"/>
    <d v="2021-10-27T00:00:00"/>
    <d v="2021-11-25T00:00:00"/>
    <s v="PROMEDICA PRAHA GROUP, a.s."/>
    <m/>
    <n v="181956"/>
    <n v="220166.8"/>
    <m/>
    <m/>
    <m/>
    <d v="2021-11-25T00:00:00"/>
    <s v="SMLN-2021-617-000685_x000a_SMLN-2021-612-000141"/>
    <x v="155"/>
    <d v="2022-01-07T00:00:00"/>
  </r>
  <r>
    <d v="2021-08-17T00:00:00"/>
    <s v="VZ-2021-000872"/>
    <x v="4"/>
    <s v="Srovnal"/>
    <x v="341"/>
    <n v="1"/>
    <s v="Chlazení budovy D1, 1.NP - 3.NP"/>
    <m/>
    <s v="42513290-4"/>
    <s v="4.2.154"/>
    <n v="4600000"/>
    <x v="0"/>
    <d v="2021-09-06T00:00:00"/>
    <d v="2021-10-11T00:00:00"/>
    <d v="2021-11-24T00:00:00"/>
    <s v="AB Clima s.r.o."/>
    <m/>
    <n v="3089025"/>
    <n v="3737720.25"/>
    <m/>
    <m/>
    <m/>
    <d v="2021-11-24T00:00:00"/>
    <s v="SMLN-2021-618-000083"/>
    <x v="6"/>
    <m/>
  </r>
  <r>
    <d v="2021-08-17T00:00:00"/>
    <s v="VZ-2021-000872"/>
    <x v="4"/>
    <s v="Srovnal"/>
    <x v="341"/>
    <n v="2"/>
    <s v="Dochlazování místností v budovách M1 a M2"/>
    <m/>
    <s v="42513290-4"/>
    <m/>
    <n v="1600000"/>
    <x v="0"/>
    <d v="2021-09-06T00:00:00"/>
    <d v="2021-10-11T00:00:00"/>
    <d v="2021-11-24T00:00:00"/>
    <s v="MK POWER s.r.o."/>
    <m/>
    <n v="1127500"/>
    <n v="1364275"/>
    <m/>
    <m/>
    <m/>
    <d v="2021-11-24T00:00:00"/>
    <s v="SMLN-2021-618-000082"/>
    <x v="6"/>
    <m/>
  </r>
  <r>
    <d v="2021-08-17T00:00:00"/>
    <s v="VZ-2021-000874"/>
    <x v="1"/>
    <s v="Zemánek"/>
    <x v="342"/>
    <m/>
    <m/>
    <m/>
    <s v="33140000-3"/>
    <m/>
    <n v="8723460"/>
    <x v="0"/>
    <d v="2021-09-23T00:00:00"/>
    <d v="2021-10-26T00:00:00"/>
    <d v="2021-12-09T00:00:00"/>
    <s v="Edwards Lifesciences Czech Republic s.r.o."/>
    <m/>
    <n v="8919795"/>
    <n v="10792951.949999999"/>
    <m/>
    <m/>
    <m/>
    <d v="2021-12-09T00:00:00"/>
    <s v="SMLN-2021-617-000716"/>
    <x v="6"/>
    <m/>
  </r>
  <r>
    <d v="2021-08-31T00:00:00"/>
    <s v="VZ-2021-000881"/>
    <x v="0"/>
    <s v="Ondráčková"/>
    <x v="343"/>
    <m/>
    <m/>
    <m/>
    <s v="33694000-1"/>
    <m/>
    <n v="1888200"/>
    <x v="2"/>
    <d v="2021-09-01T00:00:00"/>
    <d v="2021-09-07T00:00:00"/>
    <m/>
    <s v="zrušeno - úprava specifikace"/>
    <s v="nová VZ-2021-000969"/>
    <m/>
    <m/>
    <m/>
    <m/>
    <m/>
    <m/>
    <m/>
    <x v="6"/>
    <d v="2021-09-21T00:00:00"/>
  </r>
  <r>
    <d v="2021-08-17T00:00:00"/>
    <s v="VZ-2021-000884"/>
    <x v="8"/>
    <s v="Kadlec"/>
    <x v="344"/>
    <m/>
    <m/>
    <m/>
    <s v="45421100-5"/>
    <m/>
    <n v="3000000"/>
    <x v="2"/>
    <m/>
    <m/>
    <m/>
    <s v="nerealizováno "/>
    <s v="nová VZ-2021-000980"/>
    <m/>
    <m/>
    <m/>
    <m/>
    <m/>
    <m/>
    <m/>
    <x v="6"/>
    <m/>
  </r>
  <r>
    <s v="opakovaná VZ"/>
    <s v="VZ-2021-000885"/>
    <x v="10"/>
    <s v="Zdráhalová"/>
    <x v="345"/>
    <m/>
    <m/>
    <m/>
    <s v="33772000-2"/>
    <m/>
    <n v="1998000"/>
    <x v="2"/>
    <d v="2021-09-03T00:00:00"/>
    <d v="2021-09-13T00:00:00"/>
    <d v="2021-09-23T00:00:00"/>
    <s v="FRANKOSPOL OFFICE s.r.o."/>
    <m/>
    <n v="1990701"/>
    <n v="2408748.21"/>
    <m/>
    <m/>
    <m/>
    <d v="2021-09-23T00:00:00"/>
    <s v="SMLN-2021-617-000522"/>
    <x v="84"/>
    <d v="2021-10-11T00:00:00"/>
  </r>
  <r>
    <s v="opakovaná VZ"/>
    <s v="VZ-2021-000886"/>
    <x v="8"/>
    <s v="Kadlec"/>
    <x v="346"/>
    <m/>
    <m/>
    <m/>
    <s v="45421100-5"/>
    <m/>
    <n v="2200000"/>
    <x v="2"/>
    <d v="2021-09-07T00:00:00"/>
    <d v="2021-09-16T00:00:00"/>
    <m/>
    <s v="zrušeno - bez nabídky"/>
    <s v="nová VZ-2021-001110"/>
    <m/>
    <m/>
    <m/>
    <m/>
    <m/>
    <m/>
    <m/>
    <x v="6"/>
    <d v="2021-09-17T00:00:00"/>
  </r>
  <r>
    <s v="opakovaná VZ"/>
    <s v="VZ-2021-000887"/>
    <x v="2"/>
    <s v="Olejníček"/>
    <x v="321"/>
    <m/>
    <m/>
    <m/>
    <s v="33193120-6"/>
    <s v="2.2.407."/>
    <n v="133000"/>
    <x v="2"/>
    <d v="2021-09-03T00:00:00"/>
    <d v="2021-09-16T00:00:00"/>
    <d v="2021-10-01T00:00:00"/>
    <s v="L I N E T spol. s r.o."/>
    <m/>
    <n v="114414"/>
    <n v="138440.94"/>
    <m/>
    <m/>
    <m/>
    <d v="2021-10-01T00:00:00"/>
    <s v="SMLN-2021-617-000536_x000a_SMLN-2021-612-000111"/>
    <x v="145"/>
    <d v="2021-11-04T00:00:00"/>
  </r>
  <r>
    <d v="2021-08-25T00:00:00"/>
    <s v="VZ-2021-000888"/>
    <x v="2"/>
    <s v="Olejníček"/>
    <x v="347"/>
    <m/>
    <m/>
    <m/>
    <s v="38432200-4"/>
    <s v="2.2.354."/>
    <n v="119885"/>
    <x v="2"/>
    <d v="2021-09-03T00:00:00"/>
    <d v="2021-09-16T00:00:00"/>
    <d v="2021-10-01T00:00:00"/>
    <s v="Bruker s.r.o."/>
    <m/>
    <n v="114060"/>
    <n v="138012.6"/>
    <m/>
    <m/>
    <m/>
    <d v="2021-10-05T00:00:00"/>
    <s v="SMLN-2021-617-000546_x000a_SMLN-2021-612-000112"/>
    <x v="64"/>
    <d v="2021-11-08T00:00:00"/>
  </r>
  <r>
    <d v="2021-08-31T00:00:00"/>
    <s v="VZ-2021-000890"/>
    <x v="1"/>
    <s v="Dočkalová"/>
    <x v="348"/>
    <m/>
    <m/>
    <m/>
    <s v="33141115-9"/>
    <m/>
    <n v="2096620"/>
    <x v="1"/>
    <d v="2021-09-06T00:00:00"/>
    <d v="2021-09-22T00:00:00"/>
    <d v="2021-10-01T00:00:00"/>
    <s v="LINON CZ s.r.o."/>
    <m/>
    <n v="2348351.75"/>
    <n v="2841153.87"/>
    <m/>
    <m/>
    <m/>
    <d v="2021-10-01T00:00:00"/>
    <s v="SMLN-2021-617-000537"/>
    <x v="140"/>
    <d v="2021-10-29T00:00:00"/>
  </r>
  <r>
    <s v="opakovaná VZ"/>
    <s v="VZ-2021-000891"/>
    <x v="1"/>
    <s v="Dočkalová"/>
    <x v="349"/>
    <m/>
    <m/>
    <m/>
    <s v="33140000-3"/>
    <m/>
    <n v="2100000"/>
    <x v="1"/>
    <d v="2021-09-14T00:00:00"/>
    <d v="2021-10-25T00:00:00"/>
    <d v="2021-11-04T00:00:00"/>
    <s v="Boston Scientific Česká republika s.r.o."/>
    <m/>
    <n v="2100000"/>
    <n v="2541000"/>
    <m/>
    <m/>
    <m/>
    <d v="2021-11-04T00:00:00"/>
    <s v="SMLN-2021-617-000618_x000a_SMLN-2021-614-000104"/>
    <x v="65"/>
    <d v="2021-12-15T00:00:00"/>
  </r>
  <r>
    <d v="2021-08-25T00:00:00"/>
    <s v="VZ-2021-000892"/>
    <x v="2"/>
    <s v="Olejníček"/>
    <x v="350"/>
    <m/>
    <m/>
    <m/>
    <s v="33190000-8"/>
    <s v="2.2.394."/>
    <n v="524800"/>
    <x v="2"/>
    <d v="2021-09-06T00:00:00"/>
    <d v="2021-09-16T00:00:00"/>
    <d v="2021-10-01T00:00:00"/>
    <s v="BioVendor - laboratorní medicína, a.s."/>
    <m/>
    <n v="524787"/>
    <n v="634992.27"/>
    <m/>
    <m/>
    <m/>
    <d v="2021-10-01T00:00:00"/>
    <s v="SMLN-2021-617-000534_x000a_SMLN-2021-612-000110_x000a_SMLN-2021-617-000535"/>
    <x v="156"/>
    <d v="2021-11-18T00:00:00"/>
  </r>
  <r>
    <s v="opakovaná VZ"/>
    <s v="VZ-2021-000894"/>
    <x v="2"/>
    <s v="Olejníček"/>
    <x v="351"/>
    <m/>
    <m/>
    <m/>
    <s v="38000000-5"/>
    <s v="2.2.373."/>
    <n v="6420000"/>
    <x v="0"/>
    <d v="2021-09-03T00:00:00"/>
    <d v="2021-10-05T00:00:00"/>
    <d v="2021-10-14T00:00:00"/>
    <s v="Institute of Applied Biotechnologies a.s."/>
    <m/>
    <n v="1840800"/>
    <n v="2227368"/>
    <m/>
    <m/>
    <m/>
    <d v="2021-10-14T00:00:00"/>
    <s v="SMLN-2021-617-000568_x000a_SMLN-2021-612-000115_x000a_SMLN-2021-617-000569"/>
    <x v="128"/>
    <d v="2021-11-19T00:00:00"/>
  </r>
  <r>
    <d v="2021-08-25T00:00:00"/>
    <s v="VZ-2021-000895"/>
    <x v="8"/>
    <s v="Kadlec"/>
    <x v="352"/>
    <m/>
    <m/>
    <m/>
    <s v="45211310-5"/>
    <m/>
    <n v="26000000"/>
    <x v="1"/>
    <d v="2021-09-22T00:00:00"/>
    <d v="2021-10-13T00:00:00"/>
    <d v="2021-11-03T00:00:00"/>
    <s v="AL LOGIC, s.r.o."/>
    <m/>
    <n v="17448088.969999999"/>
    <n v="21112187"/>
    <m/>
    <m/>
    <m/>
    <d v="2021-11-03T00:00:00"/>
    <s v="SMLN-2021-618-000076"/>
    <x v="157"/>
    <d v="2021-12-09T00:00:00"/>
  </r>
  <r>
    <d v="2021-08-27T00:00:00"/>
    <s v="VZ-2021-000898"/>
    <x v="10"/>
    <s v="Zdráhalová"/>
    <x v="353"/>
    <m/>
    <m/>
    <m/>
    <s v="39120000-9"/>
    <m/>
    <n v="2477400"/>
    <x v="1"/>
    <d v="2021-09-08T00:00:00"/>
    <d v="2021-09-30T00:00:00"/>
    <d v="2021-10-18T00:00:00"/>
    <s v="VWR International s.r.o."/>
    <m/>
    <n v="1895000"/>
    <n v="2292950"/>
    <m/>
    <m/>
    <m/>
    <d v="2021-10-18T00:00:00"/>
    <s v="SMLN-2021-618-000069"/>
    <x v="158"/>
    <d v="2021-12-02T00:00:00"/>
  </r>
  <r>
    <d v="2021-08-17T00:00:00"/>
    <s v="VZ-2021-000900"/>
    <x v="19"/>
    <s v="Klimek"/>
    <x v="354"/>
    <m/>
    <m/>
    <m/>
    <s v="44115600-5"/>
    <s v="4.2.161."/>
    <n v="150000"/>
    <x v="2"/>
    <d v="2021-09-08T00:00:00"/>
    <d v="2021-09-17T00:00:00"/>
    <m/>
    <s v="zrušeno - bez hodnotitelné nabídky"/>
    <s v="nová VZ-2021-001031"/>
    <m/>
    <m/>
    <m/>
    <m/>
    <m/>
    <m/>
    <m/>
    <x v="6"/>
    <d v="2021-10-01T00:00:00"/>
  </r>
  <r>
    <d v="2021-08-27T00:00:00"/>
    <s v="VZ-2021-000903"/>
    <x v="8"/>
    <s v="Kadlec"/>
    <x v="355"/>
    <m/>
    <m/>
    <m/>
    <s v="45211310-5"/>
    <m/>
    <n v="450000"/>
    <x v="2"/>
    <d v="2021-09-07T00:00:00"/>
    <d v="2021-09-16T00:00:00"/>
    <m/>
    <s v="zrušeno - bez nabídky"/>
    <s v="nová VZ-2021-001004"/>
    <m/>
    <m/>
    <m/>
    <m/>
    <m/>
    <m/>
    <m/>
    <x v="6"/>
    <d v="2021-09-17T00:00:00"/>
  </r>
  <r>
    <d v="2021-08-20T00:00:00"/>
    <s v="VZ-2021-000906"/>
    <x v="19"/>
    <s v="Klimek"/>
    <x v="356"/>
    <m/>
    <m/>
    <m/>
    <s v="50117100-9"/>
    <s v="4.2.162."/>
    <n v="495000"/>
    <x v="2"/>
    <d v="2021-09-22T00:00:00"/>
    <d v="2021-10-08T00:00:00"/>
    <d v="2021-10-14T00:00:00"/>
    <s v="KM Rest Ivančice, s.r.o."/>
    <m/>
    <n v="398900"/>
    <n v="482669"/>
    <m/>
    <m/>
    <m/>
    <d v="2021-10-15T00:00:00"/>
    <s v="SMLN-2021-618-000068"/>
    <x v="158"/>
    <d v="2021-11-18T00:00:00"/>
  </r>
  <r>
    <d v="2021-09-01T00:00:00"/>
    <s v="VZ-2021-000910"/>
    <x v="2"/>
    <s v="Olejníček"/>
    <x v="357"/>
    <m/>
    <m/>
    <m/>
    <s v="33192000-2"/>
    <m/>
    <n v="360000"/>
    <x v="2"/>
    <d v="2021-10-14T00:00:00"/>
    <d v="2021-10-27T00:00:00"/>
    <m/>
    <s v="zrušeno - bez hodnotitelné nabídky"/>
    <s v="nová VZ-2021-001248"/>
    <m/>
    <m/>
    <m/>
    <m/>
    <m/>
    <m/>
    <m/>
    <x v="6"/>
    <d v="2021-11-23T00:00:00"/>
  </r>
  <r>
    <d v="2021-09-06T00:00:00"/>
    <s v="VZ-2021-000913"/>
    <x v="2"/>
    <s v="Rosulek"/>
    <x v="358"/>
    <n v="1"/>
    <s v="Systém monitorů pro JIRP Dětské kliniky"/>
    <m/>
    <s v="33195100-4"/>
    <s v="2.3.448.,  2.3.449."/>
    <n v="4847000"/>
    <x v="0"/>
    <d v="2021-09-13T00:00:00"/>
    <d v="2021-10-15T00:00:00"/>
    <d v="2021-11-11T00:00:00"/>
    <s v="S+T Plus s.r.o."/>
    <m/>
    <n v="4671560"/>
    <n v="5652587.5999999996"/>
    <m/>
    <m/>
    <m/>
    <d v="2021-11-11T00:00:00"/>
    <s v="SMLN-2021-617-000648_x000a_SMLN-2021-612-000131"/>
    <x v="155"/>
    <d v="2022-01-07T00:00:00"/>
  </r>
  <r>
    <d v="2021-09-06T00:00:00"/>
    <s v="VZ-2021-000913"/>
    <x v="2"/>
    <s v="Rosulek"/>
    <x v="358"/>
    <n v="2"/>
    <s v="Centrální monitorovací stanice"/>
    <m/>
    <s v="33195100-4"/>
    <s v="22.395.,2.2.396."/>
    <n v="878000"/>
    <x v="0"/>
    <d v="2021-09-13T00:00:00"/>
    <d v="2021-10-15T00:00:00"/>
    <d v="2021-11-11T00:00:00"/>
    <s v="S+T Plus s.r.o."/>
    <m/>
    <n v="863560"/>
    <n v="1044907.6"/>
    <m/>
    <m/>
    <m/>
    <d v="2021-11-11T00:00:00"/>
    <s v="SMLN-2021-617-000649_x000a_SMLN-2021-612-000132"/>
    <x v="155"/>
    <d v="2022-01-07T00:00:00"/>
  </r>
  <r>
    <d v="2021-08-31T00:00:00"/>
    <s v="VZ-2021-000920"/>
    <x v="0"/>
    <s v="Ondráčková"/>
    <x v="359"/>
    <m/>
    <m/>
    <m/>
    <s v="33622200-8"/>
    <m/>
    <n v="6988880"/>
    <x v="0"/>
    <d v="2021-10-19T00:00:00"/>
    <d v="2021-12-16T00:00:00"/>
    <m/>
    <m/>
    <m/>
    <m/>
    <m/>
    <m/>
    <m/>
    <m/>
    <m/>
    <m/>
    <x v="6"/>
    <m/>
  </r>
  <r>
    <d v="2021-08-31T00:00:00"/>
    <s v="VZ-2021-000927"/>
    <x v="2"/>
    <s v="Olejníček"/>
    <x v="360"/>
    <n v="1"/>
    <s v="Endoskopická věž"/>
    <m/>
    <s v="33168000-5"/>
    <s v="2.2.342."/>
    <n v="1675000"/>
    <x v="1"/>
    <d v="2021-09-23T00:00:00"/>
    <d v="2021-10-14T00:00:00"/>
    <d v="2021-11-08T00:00:00"/>
    <s v="Olympus Czech Group, s.r.o."/>
    <m/>
    <n v="1639240"/>
    <n v="1983480.4"/>
    <m/>
    <m/>
    <m/>
    <d v="2021-11-09T00:00:00"/>
    <s v="SMLN-2021-617-000629_x000a_SMLN-2021-612-000122"/>
    <x v="159"/>
    <d v="2021-12-14T00:00:00"/>
  </r>
  <r>
    <d v="2021-08-31T00:00:00"/>
    <s v="VZ-2021-000927"/>
    <x v="2"/>
    <s v="Olejníček"/>
    <x v="360"/>
    <n v="2"/>
    <s v="Záznamové zařízení"/>
    <m/>
    <s v="33168100-6"/>
    <s v="2.2.342."/>
    <n v="383500"/>
    <x v="1"/>
    <d v="2021-09-23T00:00:00"/>
    <d v="2021-10-14T00:00:00"/>
    <d v="2021-11-08T00:00:00"/>
    <s v="Gatema Medical s.r.o."/>
    <m/>
    <n v="356850"/>
    <n v="431788.5"/>
    <m/>
    <m/>
    <m/>
    <d v="2021-11-09T00:00:00"/>
    <s v="SMLN-2021-617-000631_x000a_SMLN-2021-612-000123"/>
    <x v="65"/>
    <d v="2021-12-14T00:00:00"/>
  </r>
  <r>
    <d v="2021-08-31T00:00:00"/>
    <s v="VZ-2021-000929"/>
    <x v="2"/>
    <s v="Rosulek"/>
    <x v="361"/>
    <m/>
    <m/>
    <m/>
    <s v="33169100-3"/>
    <s v="2.3.416."/>
    <n v="6363636"/>
    <x v="0"/>
    <d v="2021-10-06T00:00:00"/>
    <d v="2021-11-08T00:00:00"/>
    <m/>
    <m/>
    <m/>
    <m/>
    <m/>
    <m/>
    <m/>
    <m/>
    <m/>
    <m/>
    <x v="6"/>
    <m/>
  </r>
  <r>
    <d v="2021-09-02T00:00:00"/>
    <s v="VZ-2021-000930"/>
    <x v="11"/>
    <s v="Rosulek"/>
    <x v="362"/>
    <n v="1"/>
    <s v="Intenzivní lůžka a vážicí lůžka s antidekubitními matracemi"/>
    <m/>
    <s v="33192120-9"/>
    <s v="2.3.517.,2.3.456.,2.2.260."/>
    <n v="4639115"/>
    <x v="0"/>
    <m/>
    <m/>
    <m/>
    <m/>
    <m/>
    <m/>
    <m/>
    <m/>
    <m/>
    <m/>
    <m/>
    <m/>
    <x v="6"/>
    <m/>
  </r>
  <r>
    <d v="2021-09-02T00:00:00"/>
    <s v="VZ-2021-000930"/>
    <x v="2"/>
    <s v="Rosulek"/>
    <x v="362"/>
    <n v="2"/>
    <s v="Univerzální elektrická lůžka"/>
    <m/>
    <s v="33192130-2"/>
    <s v="2.2.414."/>
    <n v="1230000"/>
    <x v="0"/>
    <m/>
    <m/>
    <m/>
    <m/>
    <m/>
    <m/>
    <m/>
    <m/>
    <m/>
    <m/>
    <m/>
    <m/>
    <x v="6"/>
    <m/>
  </r>
  <r>
    <d v="2021-09-02T00:00:00"/>
    <s v="VZ-2021-000930"/>
    <x v="11"/>
    <s v="Rosulek"/>
    <x v="362"/>
    <n v="3"/>
    <s v="Komfortní transportní vícesegmentová lehátka"/>
    <m/>
    <s v="33192160-1"/>
    <s v="2.3.528.,2.2.157."/>
    <n v="882167"/>
    <x v="0"/>
    <m/>
    <m/>
    <m/>
    <m/>
    <m/>
    <m/>
    <m/>
    <m/>
    <m/>
    <m/>
    <m/>
    <m/>
    <x v="6"/>
    <m/>
  </r>
  <r>
    <d v="2021-09-08T00:00:00"/>
    <s v="VZ-2021-000935"/>
    <x v="0"/>
    <s v="Ondráčková"/>
    <x v="363"/>
    <m/>
    <m/>
    <m/>
    <s v="33652100-6"/>
    <m/>
    <n v="336824673"/>
    <x v="0"/>
    <d v="2021-09-17T00:00:00"/>
    <d v="2021-10-20T00:00:00"/>
    <d v="2021-11-16T00:00:00"/>
    <s v="Bristol-Myers Squibb spol. s r.o."/>
    <m/>
    <n v="336824671.17000002"/>
    <n v="370507138.29000002"/>
    <m/>
    <m/>
    <m/>
    <d v="2021-11-16T00:00:00"/>
    <s v="SMLN-2021-617-000660"/>
    <x v="65"/>
    <d v="2021-12-09T00:00:00"/>
  </r>
  <r>
    <d v="2021-09-08T00:00:00"/>
    <s v="VZ-2021-000946"/>
    <x v="0"/>
    <s v="Ondráčková"/>
    <x v="364"/>
    <m/>
    <m/>
    <m/>
    <s v="33652100-6"/>
    <m/>
    <n v="13230342"/>
    <x v="0"/>
    <d v="2021-09-17T00:00:00"/>
    <d v="2021-10-21T00:00:00"/>
    <d v="2021-11-30T00:00:00"/>
    <s v="PROMEDICA PRAHA GROUP, a.s."/>
    <m/>
    <n v="9043134.9900000002"/>
    <n v="9947448.4900000002"/>
    <m/>
    <m/>
    <m/>
    <d v="2021-11-30T00:00:00"/>
    <s v="SMLN-2021-617-000692"/>
    <x v="148"/>
    <d v="2022-01-03T00:00:00"/>
  </r>
  <r>
    <s v="opakovaná VZ"/>
    <s v="VZ-2021-000949"/>
    <x v="1"/>
    <s v="Dočkalová"/>
    <x v="365"/>
    <n v="1"/>
    <s v="Mikrokatétry k periferním vaskulárním intervencím II./II."/>
    <m/>
    <s v="33140000-3"/>
    <m/>
    <n v="48999.5"/>
    <x v="0"/>
    <d v="2021-09-24T00:00:00"/>
    <d v="2021-10-27T00:00:00"/>
    <m/>
    <s v="zrušeno - bez nabídky"/>
    <m/>
    <m/>
    <m/>
    <m/>
    <m/>
    <m/>
    <m/>
    <m/>
    <x v="6"/>
    <d v="2021-12-01T00:00:00"/>
  </r>
  <r>
    <s v="opakovaná VZ"/>
    <s v="VZ-2021-000949"/>
    <x v="1"/>
    <s v="Dočkalová"/>
    <x v="365"/>
    <n v="2"/>
    <s v="Mikrokatétry neurointervenční II. /IV."/>
    <m/>
    <s v="33140000-3"/>
    <m/>
    <n v="3036180"/>
    <x v="0"/>
    <d v="2021-09-24T00:00:00"/>
    <d v="2021-10-27T00:00:00"/>
    <d v="2021-11-09T00:00:00"/>
    <s v="EspoMed spol. s r.o."/>
    <m/>
    <n v="3036180"/>
    <n v="3673777.8"/>
    <m/>
    <m/>
    <m/>
    <d v="2021-11-09T00:00:00"/>
    <s v="SMLN-2021-617-000635_x000a_SMLN-2021-614-000110"/>
    <x v="143"/>
    <d v="2021-12-01T00:00:00"/>
  </r>
  <r>
    <s v="opakovaná VZ"/>
    <s v="VZ-2021-000949"/>
    <x v="1"/>
    <s v="Dočkalová"/>
    <x v="365"/>
    <n v="3"/>
    <s v="Mikrokatétry neurointervenční III. /V."/>
    <m/>
    <s v="33140000-3"/>
    <m/>
    <n v="829400"/>
    <x v="0"/>
    <d v="2021-09-24T00:00:00"/>
    <d v="2021-10-27T00:00:00"/>
    <d v="2021-11-09T00:00:00"/>
    <s v="EspoMed spol. s r.o."/>
    <m/>
    <n v="829400"/>
    <n v="1003574"/>
    <m/>
    <m/>
    <m/>
    <d v="2021-11-09T00:00:00"/>
    <s v="SMLN-2021-617-000636_x000a_SMLN-2021-614-000111"/>
    <x v="143"/>
    <d v="2021-12-01T00:00:00"/>
  </r>
  <r>
    <s v="opakovaná VZ"/>
    <s v="VZ-2021-000949"/>
    <x v="1"/>
    <s v="Dočkalová"/>
    <x v="365"/>
    <n v="4"/>
    <s v="Mikrokatétry neurointervenční IV. /VI."/>
    <m/>
    <s v="33140000-3"/>
    <m/>
    <n v="209626.5"/>
    <x v="0"/>
    <d v="2021-09-24T00:00:00"/>
    <d v="2021-10-27T00:00:00"/>
    <d v="2021-11-09T00:00:00"/>
    <s v="EspoMed spol. s r.o."/>
    <m/>
    <n v="209626.5"/>
    <n v="253648.07"/>
    <m/>
    <m/>
    <m/>
    <d v="2021-11-09T00:00:00"/>
    <s v="SMLN-2021-617-000637_x000a_SMLN-2021-614-000112"/>
    <x v="143"/>
    <d v="2021-12-01T00:00:00"/>
  </r>
  <r>
    <d v="2021-09-13T00:00:00"/>
    <s v="VZ-2021-000951"/>
    <x v="1"/>
    <s v="Valtová"/>
    <x v="366"/>
    <n v="1"/>
    <s v="Samoexpandibilní stenty vaskulární II."/>
    <m/>
    <s v="33140000-3"/>
    <m/>
    <n v="1500000"/>
    <x v="0"/>
    <d v="2021-09-23T00:00:00"/>
    <d v="2021-11-16T00:00:00"/>
    <d v="2021-12-01T00:00:00"/>
    <s v="MEDITRADE spol. s r.o."/>
    <m/>
    <n v="1500000"/>
    <n v="1725000"/>
    <m/>
    <m/>
    <m/>
    <d v="2021-12-01T00:00:00"/>
    <s v="SMLN-2021-617-000698_x000a_SMLN-2021-614-000121"/>
    <x v="6"/>
    <m/>
  </r>
  <r>
    <d v="2021-09-13T00:00:00"/>
    <s v="VZ-2021-000951"/>
    <x v="1"/>
    <s v="Valtová"/>
    <x v="366"/>
    <n v="2"/>
    <s v="Samoexpandibilní stenty vaskulární XL"/>
    <m/>
    <s v="33140000-3"/>
    <m/>
    <n v="189800"/>
    <x v="0"/>
    <d v="2021-09-23T00:00:00"/>
    <d v="2021-11-16T00:00:00"/>
    <d v="2021-12-01T00:00:00"/>
    <s v="BARD Czech Republic s.r.o."/>
    <m/>
    <n v="189800"/>
    <n v="218270"/>
    <m/>
    <m/>
    <m/>
    <d v="2021-12-01T00:00:00"/>
    <s v="SMLN-2021-617-000699_x000a_SMLN-2021-614-000122"/>
    <x v="6"/>
    <m/>
  </r>
  <r>
    <d v="2021-09-13T00:00:00"/>
    <s v="VZ-2021-000951"/>
    <x v="1"/>
    <s v="Valtová"/>
    <x v="366"/>
    <n v="3"/>
    <s v="Balónexpandibilní stenty vaskulární I."/>
    <m/>
    <s v="33140000-3"/>
    <m/>
    <n v="1635000"/>
    <x v="0"/>
    <d v="2021-09-23T00:00:00"/>
    <d v="2021-11-16T00:00:00"/>
    <d v="2021-12-01T00:00:00"/>
    <s v="Stimcare s.r.o."/>
    <m/>
    <n v="1635000"/>
    <n v="1880250"/>
    <m/>
    <m/>
    <m/>
    <d v="2021-12-01T00:00:00"/>
    <s v="SMLN-2021-617-000700_x000a_SMLN-2021-614-000123"/>
    <x v="6"/>
    <m/>
  </r>
  <r>
    <d v="2021-09-13T00:00:00"/>
    <s v="VZ-2021-000951"/>
    <x v="1"/>
    <s v="Valtová"/>
    <x v="366"/>
    <n v="4"/>
    <s v="Balónexpandibilní stenty vaskulární II."/>
    <m/>
    <s v="33140000-3"/>
    <m/>
    <n v="342600"/>
    <x v="0"/>
    <d v="2021-09-23T00:00:00"/>
    <d v="2021-11-16T00:00:00"/>
    <m/>
    <s v="zrušeno - bez nabídky"/>
    <m/>
    <m/>
    <m/>
    <m/>
    <m/>
    <m/>
    <m/>
    <m/>
    <x v="6"/>
    <d v="2021-12-16T00:00:00"/>
  </r>
  <r>
    <d v="2021-09-13T00:00:00"/>
    <s v="VZ-2021-000951"/>
    <x v="1"/>
    <s v="Valtová"/>
    <x v="366"/>
    <n v="5"/>
    <s v="Karotické stenty vaskulární I."/>
    <m/>
    <s v="33140000-3"/>
    <m/>
    <n v="528000"/>
    <x v="0"/>
    <d v="2021-09-23T00:00:00"/>
    <d v="2021-11-16T00:00:00"/>
    <d v="2021-12-01T00:00:00"/>
    <s v="MEDITRADE spol. s r.o."/>
    <m/>
    <n v="528000"/>
    <n v="607200"/>
    <m/>
    <m/>
    <m/>
    <d v="2021-12-01T00:00:00"/>
    <s v="SMLN-2021-617-000701_x000a_SMLN-2021-614-000124"/>
    <x v="6"/>
    <m/>
  </r>
  <r>
    <d v="2021-09-13T00:00:00"/>
    <s v="VZ-2021-000951"/>
    <x v="1"/>
    <s v="Valtová"/>
    <x v="366"/>
    <n v="6"/>
    <s v="Karotické stenty vaskulární II."/>
    <m/>
    <s v="33140000-3"/>
    <m/>
    <n v="652170"/>
    <x v="0"/>
    <d v="2021-09-23T00:00:00"/>
    <d v="2021-11-16T00:00:00"/>
    <d v="2021-12-01T00:00:00"/>
    <s v="Stimcare s.r.o."/>
    <m/>
    <n v="651900"/>
    <n v="749685"/>
    <m/>
    <m/>
    <m/>
    <d v="2021-12-01T00:00:00"/>
    <s v="SMLN-2021-617-000702_x000a_SMLN-2021-614-000125"/>
    <x v="6"/>
    <m/>
  </r>
  <r>
    <d v="2021-09-13T00:00:00"/>
    <s v="VZ-2021-000951"/>
    <x v="1"/>
    <s v="Valtová"/>
    <x v="366"/>
    <n v="7"/>
    <s v="Intrakraniální stenty vaskulární"/>
    <m/>
    <s v="33140000-3"/>
    <m/>
    <n v="26578800"/>
    <x v="0"/>
    <d v="2021-09-23T00:00:00"/>
    <d v="2021-11-16T00:00:00"/>
    <d v="2021-12-01T00:00:00"/>
    <s v="EspoMed spol. s r.o."/>
    <m/>
    <n v="26577000"/>
    <n v="30563550"/>
    <m/>
    <m/>
    <m/>
    <d v="2021-12-01T00:00:00"/>
    <s v="SMLN-2021-617-000703_x000a_SMLN-2021-614-000126"/>
    <x v="6"/>
    <m/>
  </r>
  <r>
    <d v="2021-09-10T00:00:00"/>
    <s v="VZ-2021-000953"/>
    <x v="20"/>
    <s v="Odehnalová"/>
    <x v="367"/>
    <m/>
    <m/>
    <m/>
    <s v="55110000-4"/>
    <m/>
    <n v="500000"/>
    <x v="2"/>
    <d v="2021-09-20T00:00:00"/>
    <d v="2021-09-29T00:00:00"/>
    <d v="2021-10-11T00:00:00"/>
    <s v="zrušeno"/>
    <m/>
    <n v="476429.75"/>
    <n v="526800"/>
    <m/>
    <m/>
    <m/>
    <d v="2021-10-11T00:00:00"/>
    <s v="SMLN-2021-612-000113"/>
    <x v="6"/>
    <d v="2021-11-05T00:00:00"/>
  </r>
  <r>
    <s v="opakovaná VZ"/>
    <s v="VZ-2021-000954"/>
    <x v="14"/>
    <s v="Jeřábková"/>
    <x v="368"/>
    <m/>
    <m/>
    <m/>
    <s v="55120000-7"/>
    <m/>
    <n v="610000"/>
    <x v="2"/>
    <d v="2021-09-16T00:00:00"/>
    <d v="2021-09-21T00:00:00"/>
    <d v="2021-09-22T00:00:00"/>
    <s v="HOTELPARK STADION a.s."/>
    <m/>
    <n v="602170"/>
    <n v="676951"/>
    <m/>
    <m/>
    <m/>
    <d v="2021-09-22T00:00:00"/>
    <s v="SMLN-2021-612-000107"/>
    <x v="118"/>
    <d v="2021-10-05T00:00:00"/>
  </r>
  <r>
    <d v="2021-09-16T00:00:00"/>
    <s v="VZ-2021-000968"/>
    <x v="4"/>
    <s v="Eyer"/>
    <x v="369"/>
    <m/>
    <m/>
    <m/>
    <s v="45311200-2"/>
    <m/>
    <n v="1050000"/>
    <x v="2"/>
    <d v="2021-09-23T00:00:00"/>
    <d v="2021-10-07T00:00:00"/>
    <d v="2021-10-20T00:00:00"/>
    <s v="OEZ s.r.o."/>
    <m/>
    <n v="1014916.25"/>
    <n v="1228048.6599999999"/>
    <m/>
    <m/>
    <m/>
    <d v="2021-10-20T00:00:00"/>
    <s v="SMLN-2021-618-000070"/>
    <x v="158"/>
    <d v="2021-11-18T00:00:00"/>
  </r>
  <r>
    <s v="opakovaná VZ"/>
    <s v="VZ-2021-000969"/>
    <x v="0"/>
    <s v="Ondráčková"/>
    <x v="370"/>
    <m/>
    <m/>
    <m/>
    <s v="33694000-1"/>
    <m/>
    <n v="1936800"/>
    <x v="2"/>
    <d v="2021-09-21T00:00:00"/>
    <d v="2021-09-24T00:00:00"/>
    <m/>
    <s v="zrušeno - bez hodnotitelné nabídky"/>
    <s v="nová VZ-2021-001011"/>
    <m/>
    <m/>
    <m/>
    <m/>
    <m/>
    <m/>
    <m/>
    <x v="6"/>
    <d v="2021-09-27T00:00:00"/>
  </r>
  <r>
    <d v="2021-09-07T00:00:00"/>
    <s v="VZ-2021-000972"/>
    <x v="8"/>
    <s v="Kadlec"/>
    <x v="371"/>
    <m/>
    <m/>
    <m/>
    <s v="45262000-1"/>
    <m/>
    <n v="1300000"/>
    <x v="2"/>
    <d v="2021-09-23T00:00:00"/>
    <d v="2021-10-05T00:00:00"/>
    <m/>
    <s v="zrušeno - bez nabídky"/>
    <m/>
    <m/>
    <m/>
    <m/>
    <m/>
    <m/>
    <m/>
    <m/>
    <x v="6"/>
    <d v="2021-10-05T00:00:00"/>
  </r>
  <r>
    <d v="2021-09-01T00:00:00"/>
    <s v="VZ-2021-000973"/>
    <x v="2"/>
    <s v="Olejníček"/>
    <x v="372"/>
    <m/>
    <m/>
    <m/>
    <s v="33168100-6"/>
    <s v="2.3.538."/>
    <n v="5089000"/>
    <x v="0"/>
    <d v="2021-09-23T00:00:00"/>
    <d v="2021-11-15T00:00:00"/>
    <d v="2021-12-03T00:00:00"/>
    <s v="Medinet s.r.o."/>
    <m/>
    <n v="5004890"/>
    <n v="6055916.9000000004"/>
    <m/>
    <m/>
    <m/>
    <d v="2021-12-03T00:00:00"/>
    <s v="SMLN-2021-617-000710_x000a_SMLN-2021-612-000143"/>
    <x v="155"/>
    <d v="2022-01-06T00:00:00"/>
  </r>
  <r>
    <d v="2021-09-21T00:00:00"/>
    <s v="VZ-2021-000980"/>
    <x v="4"/>
    <s v="Srovnal"/>
    <x v="373"/>
    <n v="1"/>
    <s v="Výměna výplní vnějších otvorů - budova E"/>
    <m/>
    <s v="45421100-5"/>
    <m/>
    <n v="5500000"/>
    <x v="1"/>
    <d v="2021-09-27T00:00:00"/>
    <d v="2021-10-22T00:00:00"/>
    <m/>
    <s v="zrušeno - §127 odst.2 písm. d) - ekonomické důvody"/>
    <m/>
    <m/>
    <m/>
    <m/>
    <m/>
    <m/>
    <m/>
    <m/>
    <x v="6"/>
    <d v="2021-12-06T00:00:00"/>
  </r>
  <r>
    <d v="2021-09-21T00:00:00"/>
    <s v="VZ-2021-000980"/>
    <x v="4"/>
    <s v="Srovnal"/>
    <x v="373"/>
    <n v="2"/>
    <s v="Výměna výplní vnějších otvorů - budova YA"/>
    <m/>
    <s v="45421100-5"/>
    <m/>
    <n v="2600000"/>
    <x v="1"/>
    <d v="2021-09-27T00:00:00"/>
    <d v="2021-10-22T00:00:00"/>
    <m/>
    <s v="zrušeno - §127 odst.2 písm. d) - ekonomické důvody"/>
    <m/>
    <m/>
    <m/>
    <m/>
    <m/>
    <m/>
    <m/>
    <m/>
    <x v="6"/>
    <d v="2021-12-06T00:00:00"/>
  </r>
  <r>
    <d v="2021-09-21T00:00:00"/>
    <s v="VZ-2021-000980"/>
    <x v="4"/>
    <s v="Srovnal"/>
    <x v="373"/>
    <n v="3"/>
    <s v="Výměna výplní vnějších otvorů - budova YC"/>
    <m/>
    <s v="45421100-5"/>
    <m/>
    <n v="7900000"/>
    <x v="1"/>
    <d v="2021-09-27T00:00:00"/>
    <d v="2021-10-22T00:00:00"/>
    <m/>
    <s v="zrušeno - §127 odst.2 písm. d) - ekonomické důvody"/>
    <m/>
    <m/>
    <m/>
    <m/>
    <m/>
    <m/>
    <m/>
    <m/>
    <x v="6"/>
    <d v="2021-12-06T00:00:00"/>
  </r>
  <r>
    <d v="2021-09-21T00:00:00"/>
    <s v="VZ-2021-000980"/>
    <x v="4"/>
    <s v="Srovnal"/>
    <x v="373"/>
    <n v="4"/>
    <s v="Výměna výplní vnějších otvorů - budova YD"/>
    <m/>
    <s v="45421100-5"/>
    <m/>
    <n v="15200000"/>
    <x v="1"/>
    <d v="2021-09-27T00:00:00"/>
    <d v="2021-10-22T00:00:00"/>
    <m/>
    <s v="zrušeno - §127 odst.2 písm. d) - ekonomické důvody"/>
    <m/>
    <m/>
    <m/>
    <m/>
    <m/>
    <m/>
    <m/>
    <m/>
    <x v="6"/>
    <d v="2021-12-06T00:00:00"/>
  </r>
  <r>
    <d v="2021-09-02T00:00:00"/>
    <s v="VZ-2021-000981"/>
    <x v="2"/>
    <s v="Olejníček"/>
    <x v="374"/>
    <m/>
    <m/>
    <m/>
    <s v="33168100-6"/>
    <s v="2.2.327."/>
    <n v="711120"/>
    <x v="2"/>
    <d v="2021-09-24T00:00:00"/>
    <d v="2021-10-07T00:00:00"/>
    <d v="2021-10-18T00:00:00"/>
    <s v="Olympus Czech Group, s.r.o."/>
    <m/>
    <n v="683440"/>
    <n v="826963"/>
    <m/>
    <m/>
    <m/>
    <d v="2021-10-19T00:00:00"/>
    <s v="SMLN-2021-617-000579_x000a_SMLN-2021-612-000116"/>
    <x v="159"/>
    <d v="2021-12-09T00:00:00"/>
  </r>
  <r>
    <d v="2021-08-27T00:00:00"/>
    <s v="VZ-2021-000983"/>
    <x v="2"/>
    <s v="Olejníček"/>
    <x v="375"/>
    <m/>
    <m/>
    <m/>
    <s v="33168100-6"/>
    <s v="2.2.336."/>
    <n v="921000"/>
    <x v="2"/>
    <d v="2021-10-06T00:00:00"/>
    <d v="2021-10-18T00:00:00"/>
    <d v="2021-11-02T00:00:00"/>
    <s v="B. Braun Medical s.r.o."/>
    <m/>
    <n v="920771.95"/>
    <n v="1114134.06"/>
    <m/>
    <m/>
    <m/>
    <d v="2021-11-02T00:00:00"/>
    <s v="SMLN-2021-617-000609_x000a_SMLN-2021-612-000120"/>
    <x v="123"/>
    <d v="2021-12-15T00:00:00"/>
  </r>
  <r>
    <d v="2021-09-14T00:00:00"/>
    <s v="VZ-2021-000984"/>
    <x v="1"/>
    <s v="Valtová"/>
    <x v="376"/>
    <n v="1"/>
    <s v="Extraktory intravaskulární I."/>
    <m/>
    <s v="33140000–3"/>
    <m/>
    <n v="341520"/>
    <x v="2"/>
    <d v="2021-10-08T00:00:00"/>
    <d v="2021-10-19T00:00:00"/>
    <d v="2021-10-27T00:00:00"/>
    <s v="ARID obchodní společnost, s.r.o."/>
    <m/>
    <n v="341520"/>
    <n v="413239.2"/>
    <m/>
    <m/>
    <m/>
    <d v="2021-10-29T00:00:00"/>
    <s v="SMLN-2021-617-000602_x000a_SMLN-2021-614-000100"/>
    <x v="128"/>
    <d v="2021-11-25T00:00:00"/>
  </r>
  <r>
    <d v="2021-09-14T00:00:00"/>
    <s v="VZ-2021-000984"/>
    <x v="1"/>
    <s v="Valtová"/>
    <x v="376"/>
    <n v="2"/>
    <s v="Extraktory intravaskulární II."/>
    <m/>
    <s v="33140000–3"/>
    <m/>
    <n v="92560"/>
    <x v="2"/>
    <d v="2021-10-08T00:00:00"/>
    <d v="2021-10-19T00:00:00"/>
    <d v="2021-10-27T00:00:00"/>
    <s v="ARID obchodní společnost, s.r.o."/>
    <m/>
    <n v="92560"/>
    <n v="111997.6"/>
    <m/>
    <m/>
    <m/>
    <d v="2021-10-29T00:00:00"/>
    <s v="SMLN-2021-617-000603_x000a_SMLN-2021-614-000099"/>
    <x v="128"/>
    <d v="2021-11-25T00:00:00"/>
  </r>
  <r>
    <d v="2021-09-14T00:00:00"/>
    <s v="VZ-2021-000984"/>
    <x v="1"/>
    <s v="Valtová"/>
    <x v="376"/>
    <n v="3"/>
    <s v="Extraktory intravaskulární III."/>
    <m/>
    <s v="33140000–3"/>
    <m/>
    <n v="335440"/>
    <x v="2"/>
    <d v="2021-10-08T00:00:00"/>
    <d v="2021-10-19T00:00:00"/>
    <d v="2021-10-27T00:00:00"/>
    <s v="dodavatel MSM odstoupil před podpisem smlouvy"/>
    <s v="nová VZ-2021-001263"/>
    <n v="335440"/>
    <n v="405882.4"/>
    <m/>
    <m/>
    <m/>
    <d v="2021-10-29T00:00:00"/>
    <s v="SMLN-2021-617-000604_x000a_SMLN-2021-614-000098"/>
    <x v="6"/>
    <d v="2021-11-25T00:00:00"/>
  </r>
  <r>
    <d v="2021-09-15T00:00:00"/>
    <s v="VZ-2021-000985"/>
    <x v="2"/>
    <s v="Olejníček"/>
    <x v="377"/>
    <m/>
    <m/>
    <m/>
    <s v="33168100-6"/>
    <s v="2.2.324."/>
    <n v="570000"/>
    <x v="2"/>
    <d v="2021-09-30T00:00:00"/>
    <d v="2021-10-08T00:00:00"/>
    <d v="2021-10-18T00:00:00"/>
    <s v="Olympus Czech Group, s.r.o."/>
    <m/>
    <n v="567640"/>
    <n v="686845"/>
    <m/>
    <m/>
    <m/>
    <d v="2021-10-19T00:00:00"/>
    <s v="SMLN-2021-617-000580_x000a_SMLN-2021-612-000117"/>
    <x v="128"/>
    <d v="2021-11-18T00:00:00"/>
  </r>
  <r>
    <d v="2021-09-13T00:00:00"/>
    <s v="VZ-2021-000986"/>
    <x v="1"/>
    <s v="Valtová"/>
    <x v="378"/>
    <m/>
    <m/>
    <m/>
    <s v="33140000-3"/>
    <m/>
    <n v="2054660"/>
    <x v="1"/>
    <d v="2021-10-05T00:00:00"/>
    <d v="2021-10-22T00:00:00"/>
    <d v="2021-11-09T00:00:00"/>
    <s v="BARD Czech Republic s.r.o."/>
    <m/>
    <n v="2054300"/>
    <n v="2485703"/>
    <m/>
    <m/>
    <m/>
    <d v="2021-11-09T00:00:00"/>
    <s v="SMLN-2021-617-000639_x000a_SMLN-2021-614-000113"/>
    <x v="143"/>
    <d v="2021-12-08T00:00:00"/>
  </r>
  <r>
    <d v="2021-09-13T00:00:00"/>
    <s v="VZ-2021-000987"/>
    <x v="1"/>
    <s v="Valtová"/>
    <x v="379"/>
    <m/>
    <m/>
    <m/>
    <s v="33140000-3"/>
    <m/>
    <n v="640000"/>
    <x v="2"/>
    <d v="2021-09-30T00:00:00"/>
    <d v="2021-10-12T00:00:00"/>
    <d v="2021-10-14T00:00:00"/>
    <s v="ARID obchodní společnost, s.r.o."/>
    <m/>
    <n v="640000"/>
    <n v="774400"/>
    <m/>
    <m/>
    <m/>
    <d v="2021-10-18T00:00:00"/>
    <s v="SMLN-2021-617-000571_x000a_SMLN-2021-614-000090"/>
    <x v="160"/>
    <d v="2021-11-04T00:00:00"/>
  </r>
  <r>
    <d v="2021-09-06T00:00:00"/>
    <s v="VZ-2021-000988"/>
    <x v="2"/>
    <s v="Olejníček"/>
    <x v="380"/>
    <m/>
    <m/>
    <m/>
    <s v="33168000-5"/>
    <s v="2.3.515."/>
    <n v="913200"/>
    <x v="2"/>
    <d v="2021-09-30T00:00:00"/>
    <d v="2021-10-11T00:00:00"/>
    <d v="2021-11-02T00:00:00"/>
    <s v="Olympus Czech Group, s.r.o."/>
    <m/>
    <n v="871462"/>
    <n v="1054469.02"/>
    <m/>
    <m/>
    <m/>
    <d v="2021-11-02T00:00:00"/>
    <s v="SMLN-2021-617-000607_x000a_SMLN-2021-612-000119_x000a_SMLN-2021-617-000608"/>
    <x v="161"/>
    <d v="2021-12-09T00:00:00"/>
  </r>
  <r>
    <d v="2021-09-14T00:00:00"/>
    <s v="VZ-2021-000989"/>
    <x v="1"/>
    <s v="Valtová"/>
    <x v="381"/>
    <m/>
    <m/>
    <m/>
    <s v="33140000-3"/>
    <m/>
    <n v="1346520"/>
    <x v="2"/>
    <d v="2021-09-30T00:00:00"/>
    <d v="2021-10-15T00:00:00"/>
    <d v="2021-10-20T00:00:00"/>
    <s v="ELLA-CS, s.r.o."/>
    <m/>
    <n v="1405730"/>
    <n v="1616589.5"/>
    <m/>
    <m/>
    <m/>
    <d v="2021-10-21T00:00:00"/>
    <s v="SMLN-2021-617-000584_x000a_SMLN-2021-614-000095"/>
    <x v="128"/>
    <d v="2021-11-19T00:00:00"/>
  </r>
  <r>
    <d v="2021-09-06T00:00:00"/>
    <s v="VZ-2021-000990"/>
    <x v="2"/>
    <s v="Olejníček"/>
    <x v="382"/>
    <m/>
    <m/>
    <m/>
    <s v="33168000-5"/>
    <s v="2.3.514."/>
    <n v="324000"/>
    <x v="2"/>
    <d v="2021-10-04T00:00:00"/>
    <d v="2021-10-14T00:00:00"/>
    <d v="2021-10-27T00:00:00"/>
    <s v="DN FORMED Brno s.r.o."/>
    <m/>
    <n v="211849.42"/>
    <n v="256337.8"/>
    <m/>
    <m/>
    <m/>
    <d v="2021-10-27T00:00:00"/>
    <s v="SMLN-2021-617-000596_x000a_SMLN-2021-612-000118"/>
    <x v="143"/>
    <d v="2021-12-01T00:00:00"/>
  </r>
  <r>
    <d v="2021-09-23T00:00:00"/>
    <s v="VZ-2021-000993"/>
    <x v="0"/>
    <s v="Ondráčková"/>
    <x v="383"/>
    <m/>
    <m/>
    <m/>
    <s v="33694000-1"/>
    <m/>
    <n v="4650131"/>
    <x v="0"/>
    <d v="2021-09-27T00:00:00"/>
    <d v="2021-11-01T00:00:00"/>
    <m/>
    <s v="zrušeno - bez hodnotitelné nabídky"/>
    <m/>
    <m/>
    <m/>
    <m/>
    <m/>
    <m/>
    <m/>
    <m/>
    <x v="6"/>
    <d v="2021-12-06T00:00:00"/>
  </r>
  <r>
    <d v="2021-09-21T00:00:00"/>
    <s v="VZ-2021-000994"/>
    <x v="4"/>
    <s v="Srovnal"/>
    <x v="384"/>
    <m/>
    <m/>
    <m/>
    <s v="45311000-0"/>
    <m/>
    <n v="4700000"/>
    <x v="2"/>
    <d v="2021-10-01T00:00:00"/>
    <d v="2021-10-13T00:00:00"/>
    <d v="2021-11-02T00:00:00"/>
    <s v="ELMAR group, spol. s r.o."/>
    <m/>
    <n v="4597027"/>
    <n v="5562402.6699999999"/>
    <m/>
    <m/>
    <m/>
    <d v="2021-11-03T00:00:00"/>
    <s v="SMLN-2021-618-000075"/>
    <x v="162"/>
    <d v="2021-11-29T00:00:00"/>
  </r>
  <r>
    <d v="2021-09-21T00:00:00"/>
    <s v="VZ-2021-000995"/>
    <x v="4"/>
    <s v="Srovnal"/>
    <x v="385"/>
    <m/>
    <m/>
    <m/>
    <s v="45351000-2"/>
    <m/>
    <n v="2500000"/>
    <x v="2"/>
    <d v="2021-09-30T00:00:00"/>
    <d v="2021-10-12T00:00:00"/>
    <d v="2021-10-27T00:00:00"/>
    <s v="Dräger Medical s.r.o."/>
    <m/>
    <n v="1290000"/>
    <n v="1560900"/>
    <m/>
    <m/>
    <m/>
    <d v="2021-10-29T00:00:00"/>
    <s v="SMLN-2021-618-000071"/>
    <x v="163"/>
    <d v="2021-11-30T00:00:00"/>
  </r>
  <r>
    <d v="2021-09-20T00:00:00"/>
    <s v="VZ-2021-000997"/>
    <x v="10"/>
    <s v="Zdráhalová"/>
    <x v="386"/>
    <m/>
    <m/>
    <m/>
    <s v="33141620-2"/>
    <m/>
    <n v="3299200"/>
    <x v="1"/>
    <d v="2021-10-15T00:00:00"/>
    <d v="2021-11-10T00:00:00"/>
    <d v="2021-12-09T00:00:00"/>
    <s v="MANLOMKA s.r.o."/>
    <m/>
    <n v="3247680"/>
    <n v="3734852"/>
    <m/>
    <m/>
    <m/>
    <d v="2021-12-09T00:00:00"/>
    <s v="SMLN-2021-617-000717"/>
    <x v="6"/>
    <m/>
  </r>
  <r>
    <d v="2021-09-24T00:00:00"/>
    <s v="VZ-2021-001002"/>
    <x v="0"/>
    <s v="Ondráčková"/>
    <x v="387"/>
    <n v="1"/>
    <s v="ENZALUTAMID"/>
    <m/>
    <s v="33652200-7"/>
    <m/>
    <n v="79105740"/>
    <x v="0"/>
    <d v="2021-09-30T00:00:00"/>
    <d v="2021-11-02T00:00:00"/>
    <m/>
    <s v="zrušeno - bez nabídky"/>
    <m/>
    <m/>
    <m/>
    <m/>
    <m/>
    <m/>
    <m/>
    <m/>
    <x v="6"/>
    <d v="2021-11-05T00:00:00"/>
  </r>
  <r>
    <d v="2021-09-24T00:00:00"/>
    <s v="VZ-2021-001002"/>
    <x v="0"/>
    <s v="Ondráčková"/>
    <x v="387"/>
    <n v="2"/>
    <s v="KOBIMETINIB"/>
    <m/>
    <s v="33652000-5"/>
    <m/>
    <n v="370986"/>
    <x v="0"/>
    <d v="2021-09-30T00:00:00"/>
    <d v="2021-11-02T00:00:00"/>
    <d v="2021-12-01T00:00:00"/>
    <s v="ROCHE s.r.o."/>
    <m/>
    <n v="125634.9"/>
    <n v="138198.39000000001"/>
    <m/>
    <m/>
    <m/>
    <d v="2021-12-01T00:00:00"/>
    <s v="SMLN-2021-617-000693"/>
    <x v="6"/>
    <m/>
  </r>
  <r>
    <d v="2021-09-24T00:00:00"/>
    <s v="VZ-2021-001002"/>
    <x v="0"/>
    <s v="Ondráčková"/>
    <x v="387"/>
    <n v="3"/>
    <s v="PIRFENIDON"/>
    <m/>
    <s v="33652200-7"/>
    <m/>
    <n v="52685673"/>
    <x v="0"/>
    <d v="2021-09-30T00:00:00"/>
    <d v="2021-11-02T00:00:00"/>
    <d v="2021-12-01T00:00:00"/>
    <s v="ROCHE s.r.o."/>
    <m/>
    <n v="51324507.899999999"/>
    <n v="56456958.689999998"/>
    <m/>
    <m/>
    <m/>
    <d v="2021-12-01T00:00:00"/>
    <s v="SMLN-2021-617-000694"/>
    <x v="6"/>
    <m/>
  </r>
  <r>
    <d v="2021-09-21T00:00:00"/>
    <s v="VZ-2021-001003"/>
    <x v="4"/>
    <s v="Srovnal"/>
    <x v="388"/>
    <m/>
    <m/>
    <m/>
    <s v="45261910-6"/>
    <m/>
    <n v="2100000"/>
    <x v="2"/>
    <d v="2021-09-30T00:00:00"/>
    <d v="2021-10-08T00:00:00"/>
    <d v="2021-10-14T00:00:00"/>
    <s v="IZOTECH MORAVIA, spol. s r.o."/>
    <m/>
    <n v="1766928.37"/>
    <n v="2137983.33"/>
    <m/>
    <m/>
    <m/>
    <d v="2021-10-14T00:00:00"/>
    <s v="SMLN-2021-618-000066"/>
    <x v="160"/>
    <d v="2021-11-04T00:00:00"/>
  </r>
  <r>
    <s v="opakovaná VZ"/>
    <s v="VZ-2021-001004"/>
    <x v="8"/>
    <s v="Kadlec"/>
    <x v="389"/>
    <m/>
    <m/>
    <m/>
    <s v="452113100-5"/>
    <m/>
    <n v="450000"/>
    <x v="2"/>
    <d v="2021-09-30T00:00:00"/>
    <d v="2021-10-08T00:00:00"/>
    <d v="2021-10-14T00:00:00"/>
    <s v="Marek Alt"/>
    <m/>
    <n v="444480.7"/>
    <n v="537821.65"/>
    <m/>
    <m/>
    <m/>
    <d v="2021-10-15T00:00:00"/>
    <s v="SMLN-2021-618-000067"/>
    <x v="135"/>
    <d v="2021-11-18T00:00:00"/>
  </r>
  <r>
    <d v="2021-09-22T00:00:00"/>
    <s v="VZ-2021-001005"/>
    <x v="4"/>
    <s v="Srovnal"/>
    <x v="390"/>
    <m/>
    <m/>
    <m/>
    <s v="32570000-9"/>
    <m/>
    <n v="500000"/>
    <x v="2"/>
    <d v="2021-10-01T00:00:00"/>
    <d v="2021-10-13T00:00:00"/>
    <d v="2021-11-16T00:00:00"/>
    <s v="CODACO ELECTRONIC, s.r.o."/>
    <m/>
    <n v="419422.98"/>
    <n v="507501.81"/>
    <m/>
    <m/>
    <m/>
    <d v="2021-11-16T00:00:00"/>
    <s v="SMLN-2021-617-000659"/>
    <x v="159"/>
    <d v="2021-12-09T00:00:00"/>
  </r>
  <r>
    <m/>
    <s v="VZ-2021-001009"/>
    <x v="0"/>
    <s v="Ondráčková"/>
    <x v="391"/>
    <m/>
    <m/>
    <m/>
    <s v="33694000-1"/>
    <m/>
    <n v="23130000"/>
    <x v="0"/>
    <m/>
    <m/>
    <m/>
    <m/>
    <m/>
    <m/>
    <m/>
    <m/>
    <m/>
    <m/>
    <m/>
    <m/>
    <x v="6"/>
    <m/>
  </r>
  <r>
    <d v="2021-09-24T00:00:00"/>
    <s v="VZ-2021-001010"/>
    <x v="0"/>
    <s v="Ondráčková"/>
    <x v="392"/>
    <n v="1"/>
    <s v="FLUCONAZOL I.V."/>
    <m/>
    <s v="33651200-0"/>
    <m/>
    <n v="1724688"/>
    <x v="0"/>
    <d v="2021-10-06T00:00:00"/>
    <d v="2021-12-21T00:00:00"/>
    <m/>
    <m/>
    <m/>
    <m/>
    <m/>
    <m/>
    <m/>
    <m/>
    <m/>
    <m/>
    <x v="6"/>
    <m/>
  </r>
  <r>
    <d v="2021-09-24T00:00:00"/>
    <s v="VZ-2021-001010"/>
    <x v="0"/>
    <s v="Ondráčková"/>
    <x v="392"/>
    <n v="2"/>
    <s v="VORIKONAZOL SANDOZ Tbl."/>
    <m/>
    <s v="33651200-0"/>
    <m/>
    <n v="1365165"/>
    <x v="0"/>
    <d v="2021-10-06T00:00:00"/>
    <d v="2021-12-21T00:00:00"/>
    <m/>
    <m/>
    <m/>
    <m/>
    <m/>
    <m/>
    <m/>
    <m/>
    <m/>
    <m/>
    <x v="6"/>
    <m/>
  </r>
  <r>
    <d v="2021-09-24T00:00:00"/>
    <s v="VZ-2021-001010"/>
    <x v="0"/>
    <s v="Ondráčková"/>
    <x v="392"/>
    <n v="3"/>
    <s v="VFEND Tbl."/>
    <m/>
    <s v="33651200-0"/>
    <m/>
    <n v="1365165"/>
    <x v="0"/>
    <d v="2021-10-06T00:00:00"/>
    <d v="2021-12-21T00:00:00"/>
    <m/>
    <m/>
    <m/>
    <m/>
    <m/>
    <m/>
    <m/>
    <m/>
    <m/>
    <m/>
    <x v="6"/>
    <m/>
  </r>
  <r>
    <d v="2021-09-24T00:00:00"/>
    <s v="VZ-2021-001010"/>
    <x v="0"/>
    <s v="Ondráčková"/>
    <x v="392"/>
    <n v="4"/>
    <s v="VORICONAZOLE ACCORD Tbl."/>
    <m/>
    <s v="33651200-0"/>
    <m/>
    <n v="1365165"/>
    <x v="0"/>
    <d v="2021-10-06T00:00:00"/>
    <d v="2021-12-21T00:00:00"/>
    <m/>
    <m/>
    <m/>
    <m/>
    <m/>
    <m/>
    <m/>
    <m/>
    <m/>
    <m/>
    <x v="6"/>
    <m/>
  </r>
  <r>
    <d v="2021-09-24T00:00:00"/>
    <s v="VZ-2021-001010"/>
    <x v="0"/>
    <s v="Ondráčková"/>
    <x v="392"/>
    <n v="5"/>
    <s v="VORICONAZOLE OLIKLA Tbl."/>
    <m/>
    <s v="33651200-0"/>
    <m/>
    <n v="72594"/>
    <x v="0"/>
    <d v="2021-10-06T00:00:00"/>
    <d v="2021-12-21T00:00:00"/>
    <m/>
    <m/>
    <m/>
    <m/>
    <m/>
    <m/>
    <m/>
    <m/>
    <m/>
    <m/>
    <x v="6"/>
    <m/>
  </r>
  <r>
    <d v="2021-09-24T00:00:00"/>
    <s v="VZ-2021-001010"/>
    <x v="0"/>
    <s v="Ondráčková"/>
    <x v="392"/>
    <n v="6"/>
    <s v="VORICONAZOLE TEVA Tbl."/>
    <m/>
    <s v="33651200-0"/>
    <m/>
    <n v="1365165"/>
    <x v="0"/>
    <d v="2021-10-06T00:00:00"/>
    <d v="2021-12-21T00:00:00"/>
    <m/>
    <m/>
    <m/>
    <m/>
    <m/>
    <m/>
    <m/>
    <m/>
    <m/>
    <m/>
    <x v="6"/>
    <m/>
  </r>
  <r>
    <d v="2021-09-24T00:00:00"/>
    <s v="VZ-2021-001010"/>
    <x v="0"/>
    <s v="Ondráčková"/>
    <x v="392"/>
    <n v="7"/>
    <s v="VORIKONAZOL MYLAN Tbl."/>
    <m/>
    <s v="33651200-0"/>
    <m/>
    <n v="1365165"/>
    <x v="0"/>
    <d v="2021-10-06T00:00:00"/>
    <d v="2021-12-21T00:00:00"/>
    <m/>
    <m/>
    <m/>
    <m/>
    <m/>
    <m/>
    <m/>
    <m/>
    <m/>
    <m/>
    <x v="6"/>
    <m/>
  </r>
  <r>
    <d v="2021-09-24T00:00:00"/>
    <s v="VZ-2021-001010"/>
    <x v="0"/>
    <s v="Ondráčková"/>
    <x v="392"/>
    <n v="8"/>
    <s v="VORIKONAZOL Tbl.  pro hospitalizované pacienty"/>
    <m/>
    <s v="33651200-0"/>
    <m/>
    <n v="224649"/>
    <x v="0"/>
    <d v="2021-10-06T00:00:00"/>
    <d v="2021-12-21T00:00:00"/>
    <m/>
    <m/>
    <m/>
    <m/>
    <m/>
    <m/>
    <m/>
    <m/>
    <m/>
    <m/>
    <x v="6"/>
    <m/>
  </r>
  <r>
    <s v="opakovaná VZ"/>
    <s v="VZ-2021-001011"/>
    <x v="0"/>
    <s v="Ondráčková"/>
    <x v="393"/>
    <m/>
    <m/>
    <m/>
    <s v="33694000-1"/>
    <m/>
    <n v="1918200"/>
    <x v="2"/>
    <d v="2021-10-07T00:00:00"/>
    <d v="2021-10-13T00:00:00"/>
    <d v="2021-10-21T00:00:00"/>
    <s v="BioVendor - Laboratorní medicína a.s."/>
    <m/>
    <n v="1980000"/>
    <n v="2395800"/>
    <m/>
    <m/>
    <m/>
    <d v="2021-10-21T00:00:00"/>
    <s v="SMLN-2021-617-000585_x000a_SMLN-2021-616-000066"/>
    <x v="126"/>
    <d v="2021-11-12T00:00:00"/>
  </r>
  <r>
    <d v="2021-09-21T00:00:00"/>
    <s v="VZ-2021-001019"/>
    <x v="1"/>
    <s v="Dočkalová"/>
    <x v="394"/>
    <m/>
    <m/>
    <m/>
    <s v="33140000-3"/>
    <m/>
    <n v="6336997"/>
    <x v="0"/>
    <d v="2021-10-06T00:00:00"/>
    <d v="2021-11-08T00:00:00"/>
    <m/>
    <s v="zrušeno - bez nabídky"/>
    <s v="nová VZ-2021-001196"/>
    <m/>
    <m/>
    <m/>
    <m/>
    <m/>
    <m/>
    <m/>
    <x v="6"/>
    <d v="2021-11-18T00:00:00"/>
  </r>
  <r>
    <s v="opakovaná VZ"/>
    <s v="VZ-2021-001021"/>
    <x v="9"/>
    <s v="Svozil"/>
    <x v="395"/>
    <m/>
    <m/>
    <m/>
    <s v="45232150-8"/>
    <m/>
    <n v="5800000"/>
    <x v="2"/>
    <d v="2021-10-01T00:00:00"/>
    <d v="2021-10-27T00:00:00"/>
    <m/>
    <s v="zrušeno - překročení limitu pro VZMR"/>
    <s v="nová VZ-2021-001173"/>
    <m/>
    <m/>
    <m/>
    <m/>
    <m/>
    <m/>
    <m/>
    <x v="6"/>
    <d v="2021-10-27T00:00:00"/>
  </r>
  <r>
    <d v="2021-09-30T00:00:00"/>
    <s v="VZ-2021-001026"/>
    <x v="0"/>
    <s v="Ondráčková"/>
    <x v="396"/>
    <n v="1"/>
    <s v="SORAFENIB bez indikace diferencovaného karcinomu štítné žlázy "/>
    <m/>
    <s v="33652000-5"/>
    <m/>
    <n v="695760"/>
    <x v="0"/>
    <d v="2021-10-06T00:00:00"/>
    <d v="2021-12-27T00:00:00"/>
    <m/>
    <m/>
    <m/>
    <m/>
    <m/>
    <m/>
    <m/>
    <m/>
    <m/>
    <m/>
    <x v="6"/>
    <m/>
  </r>
  <r>
    <d v="2021-09-30T00:00:00"/>
    <s v="VZ-2021-001026"/>
    <x v="0"/>
    <s v="Ondráčková"/>
    <x v="396"/>
    <n v="2"/>
    <s v="MELFALAN"/>
    <m/>
    <s v="33652000-5"/>
    <m/>
    <n v="553461"/>
    <x v="0"/>
    <d v="2021-10-06T00:00:00"/>
    <d v="2021-12-27T00:00:00"/>
    <m/>
    <m/>
    <m/>
    <m/>
    <m/>
    <m/>
    <m/>
    <m/>
    <m/>
    <m/>
    <x v="6"/>
    <m/>
  </r>
  <r>
    <d v="2021-09-30T00:00:00"/>
    <s v="VZ-2021-001026"/>
    <x v="0"/>
    <s v="Ondráčková"/>
    <x v="396"/>
    <n v="3"/>
    <s v="NELARABIN"/>
    <m/>
    <s v="33652000-5"/>
    <m/>
    <n v="1970539"/>
    <x v="0"/>
    <d v="2021-10-06T00:00:00"/>
    <d v="2021-12-27T00:00:00"/>
    <m/>
    <m/>
    <m/>
    <m/>
    <m/>
    <m/>
    <m/>
    <m/>
    <m/>
    <m/>
    <x v="6"/>
    <m/>
  </r>
  <r>
    <d v="2021-09-30T00:00:00"/>
    <s v="VZ-2021-001026"/>
    <x v="0"/>
    <s v="Ondráčková"/>
    <x v="396"/>
    <n v="4"/>
    <s v="OXID ARSENITÝ I."/>
    <m/>
    <s v="33652000-5"/>
    <m/>
    <n v="1744029"/>
    <x v="0"/>
    <d v="2021-10-06T00:00:00"/>
    <d v="2021-12-27T00:00:00"/>
    <m/>
    <m/>
    <m/>
    <m/>
    <m/>
    <m/>
    <m/>
    <m/>
    <m/>
    <m/>
    <x v="6"/>
    <m/>
  </r>
  <r>
    <d v="2021-09-30T00:00:00"/>
    <s v="VZ-2021-001026"/>
    <x v="0"/>
    <s v="Ondráčková"/>
    <x v="396"/>
    <n v="5"/>
    <s v="OXID ARSENITÝ II."/>
    <m/>
    <s v="33652000-5"/>
    <m/>
    <n v="1335396"/>
    <x v="0"/>
    <d v="2021-10-06T00:00:00"/>
    <d v="2021-12-27T00:00:00"/>
    <m/>
    <m/>
    <m/>
    <m/>
    <m/>
    <m/>
    <m/>
    <m/>
    <m/>
    <m/>
    <x v="6"/>
    <m/>
  </r>
  <r>
    <d v="2021-09-30T00:00:00"/>
    <s v="VZ-2021-001026"/>
    <x v="0"/>
    <s v="Ondráčková"/>
    <x v="396"/>
    <n v="6"/>
    <s v="CRISANTASPASA"/>
    <m/>
    <s v="33652000-5"/>
    <m/>
    <n v="4776300"/>
    <x v="0"/>
    <d v="2021-10-06T00:00:00"/>
    <d v="2021-12-27T00:00:00"/>
    <m/>
    <s v="zrušeno - bez nabídky"/>
    <m/>
    <m/>
    <m/>
    <m/>
    <m/>
    <m/>
    <m/>
    <m/>
    <x v="6"/>
    <d v="2022-03-02T00:00:00"/>
  </r>
  <r>
    <d v="2021-09-30T00:00:00"/>
    <s v="VZ-2021-001027"/>
    <x v="11"/>
    <s v="Valíček"/>
    <x v="397"/>
    <m/>
    <m/>
    <m/>
    <s v="45215100-8"/>
    <s v="1.3.27."/>
    <n v="160000000"/>
    <x v="0"/>
    <d v="2021-12-17T00:00:00"/>
    <d v="2022-01-20T00:00:00"/>
    <m/>
    <m/>
    <m/>
    <m/>
    <m/>
    <m/>
    <m/>
    <m/>
    <m/>
    <m/>
    <x v="6"/>
    <m/>
  </r>
  <r>
    <d v="2021-09-14T00:00:00"/>
    <s v="VZ-2021-001028"/>
    <x v="2"/>
    <s v="Rosulek"/>
    <x v="398"/>
    <m/>
    <m/>
    <m/>
    <s v="33122000-1"/>
    <s v="2.3.529."/>
    <n v="2800000"/>
    <x v="0"/>
    <d v="2021-10-11T00:00:00"/>
    <d v="2021-11-12T00:00:00"/>
    <d v="2021-12-23T00:00:00"/>
    <s v="Carl Zeiss spol. s r.o."/>
    <m/>
    <n v="2797840"/>
    <n v="3385386.4"/>
    <m/>
    <m/>
    <m/>
    <d v="2021-12-23T00:00:00"/>
    <s v="SMLN-2021-617-000748_x000a_SMLN-2021-612-000160"/>
    <x v="6"/>
    <m/>
  </r>
  <r>
    <s v="opakovaná VZ"/>
    <s v="VZ-2021-001031"/>
    <x v="19"/>
    <s v="Klimek"/>
    <x v="399"/>
    <m/>
    <m/>
    <m/>
    <s v="44115600-5"/>
    <s v="4.2.161."/>
    <n v="150000"/>
    <x v="2"/>
    <d v="2021-10-06T00:00:00"/>
    <d v="2021-10-14T00:00:00"/>
    <m/>
    <s v="zrušeno - úprava zadávacích podmínek"/>
    <m/>
    <m/>
    <m/>
    <m/>
    <m/>
    <m/>
    <m/>
    <m/>
    <x v="6"/>
    <d v="2021-10-25T00:00:00"/>
  </r>
  <r>
    <d v="2021-09-30T00:00:00"/>
    <s v="VZ-2021-001032"/>
    <x v="4"/>
    <s v="Eyer"/>
    <x v="400"/>
    <m/>
    <m/>
    <m/>
    <s v="45262340-6"/>
    <m/>
    <n v="590000"/>
    <x v="2"/>
    <d v="2021-10-05T00:00:00"/>
    <d v="2021-10-22T00:00:00"/>
    <d v="2021-11-02T00:00:00"/>
    <s v="Sanatěs Olomouc s.r.o."/>
    <m/>
    <n v="291034"/>
    <n v="352151.14"/>
    <m/>
    <m/>
    <m/>
    <d v="2021-11-02T00:00:00"/>
    <s v="SMLN-2021-618-000073"/>
    <x v="153"/>
    <d v="2021-11-23T00:00:00"/>
  </r>
  <r>
    <s v="opakovaná VZ"/>
    <s v="VZ-2021-001041"/>
    <x v="0"/>
    <s v="Ondráčková"/>
    <x v="401"/>
    <n v="1"/>
    <s v="Spotřební materiál pro genetiku 1"/>
    <m/>
    <s v="33694000-1"/>
    <m/>
    <n v="733738"/>
    <x v="2"/>
    <d v="2021-10-11T00:00:00"/>
    <d v="2021-10-18T00:00:00"/>
    <s v="16.12.202"/>
    <s v="ROCHE s.r.o."/>
    <m/>
    <n v="733735.96"/>
    <n v="887820.51"/>
    <m/>
    <m/>
    <m/>
    <d v="2021-12-16T00:00:00"/>
    <s v="SMLN-2021-617-000732"/>
    <x v="6"/>
    <m/>
  </r>
  <r>
    <s v="opakovaná VZ"/>
    <s v="VZ-2021-001041"/>
    <x v="0"/>
    <s v="Ondráčková"/>
    <x v="401"/>
    <n v="2"/>
    <s v="Spotřební materiál pro genetiku 2"/>
    <m/>
    <s v="33694000-1"/>
    <m/>
    <n v="102837"/>
    <x v="2"/>
    <d v="2021-10-11T00:00:00"/>
    <d v="2021-10-18T00:00:00"/>
    <m/>
    <s v="BIOMEDICA ČS, s.r.o."/>
    <m/>
    <n v="47784"/>
    <n v="57818.64"/>
    <m/>
    <m/>
    <m/>
    <m/>
    <m/>
    <x v="6"/>
    <m/>
  </r>
  <r>
    <s v="opakovaná VZ"/>
    <s v="VZ-2021-001041"/>
    <x v="0"/>
    <s v="Ondráčková"/>
    <x v="401"/>
    <n v="3"/>
    <s v="Spotřební materiál pro genetiku 3"/>
    <m/>
    <s v="33694000-1"/>
    <m/>
    <n v="52000"/>
    <x v="2"/>
    <d v="2021-10-11T00:00:00"/>
    <d v="2021-10-18T00:00:00"/>
    <m/>
    <s v="zrušeno - bez nabídky"/>
    <m/>
    <m/>
    <m/>
    <m/>
    <m/>
    <m/>
    <m/>
    <m/>
    <x v="6"/>
    <d v="2021-10-18T00:00:00"/>
  </r>
  <r>
    <s v="opakovaná VZ"/>
    <s v="VZ-2021-001041"/>
    <x v="0"/>
    <s v="Ondráčková"/>
    <x v="401"/>
    <n v="4"/>
    <s v="Spotřební materiál pro genetiku 4"/>
    <m/>
    <s v="33694000-1"/>
    <m/>
    <n v="287058"/>
    <x v="2"/>
    <d v="2021-10-11T00:00:00"/>
    <d v="2021-10-18T00:00:00"/>
    <s v="16.12.202"/>
    <s v="GeneTiCA s.r.o."/>
    <m/>
    <n v="301280"/>
    <n v="364548.8"/>
    <m/>
    <m/>
    <m/>
    <d v="2021-12-16T00:00:00"/>
    <s v="SMLN-2021-617-000733"/>
    <x v="6"/>
    <m/>
  </r>
  <r>
    <s v="opakovaná VZ"/>
    <s v="VZ-2021-001041"/>
    <x v="0"/>
    <s v="Ondráčková"/>
    <x v="401"/>
    <n v="5"/>
    <s v="Spotřební materiál pro genetiku 5"/>
    <m/>
    <s v="33694000-1"/>
    <m/>
    <n v="195234"/>
    <x v="2"/>
    <d v="2021-10-11T00:00:00"/>
    <d v="2021-10-18T00:00:00"/>
    <m/>
    <s v="zrušeno - bez nabídky"/>
    <m/>
    <m/>
    <m/>
    <m/>
    <m/>
    <m/>
    <m/>
    <m/>
    <x v="6"/>
    <d v="2021-10-18T00:00:00"/>
  </r>
  <r>
    <d v="2021-10-01T00:00:00"/>
    <s v="VZ-2021-001042"/>
    <x v="1"/>
    <s v="Valtová"/>
    <x v="402"/>
    <m/>
    <m/>
    <m/>
    <s v="33140000-3"/>
    <m/>
    <n v="4914000"/>
    <x v="0"/>
    <d v="2021-10-18T00:00:00"/>
    <d v="2021-11-22T00:00:00"/>
    <d v="2021-12-16T00:00:00"/>
    <s v="Innova Medical s.r.o."/>
    <m/>
    <n v="4851000"/>
    <n v="5869710"/>
    <m/>
    <m/>
    <m/>
    <d v="2021-12-16T00:00:00"/>
    <s v="SMLN-2021-617-000726_x000a_SMLN-2021-614-000130"/>
    <x v="6"/>
    <m/>
  </r>
  <r>
    <d v="2021-10-04T00:00:00"/>
    <s v="VZ-2021-001043"/>
    <x v="1"/>
    <s v="Valtová"/>
    <x v="403"/>
    <n v="1"/>
    <s v="Systémy pro uzavírání vstupů po perkutánních cévních výkonech I."/>
    <m/>
    <s v="33140000-3"/>
    <m/>
    <n v="3311000"/>
    <x v="0"/>
    <d v="2021-10-12T00:00:00"/>
    <d v="2021-11-16T00:00:00"/>
    <d v="2021-12-01T00:00:00"/>
    <s v="MEDITRADE spol. s r.o."/>
    <m/>
    <n v="3311000"/>
    <n v="3807650"/>
    <m/>
    <m/>
    <m/>
    <d v="2021-12-01T00:00:00"/>
    <s v="SMLN-2021-617-000696_x000a_SMLN-2021-614-000118_x000a_SMLN-2021-614-000119"/>
    <x v="6"/>
    <m/>
  </r>
  <r>
    <d v="2021-10-04T00:00:00"/>
    <s v="VZ-2021-001043"/>
    <x v="1"/>
    <s v="Valtová"/>
    <x v="403"/>
    <n v="2"/>
    <s v="Systémy pro uzavírání vstupů po perkutánních cévních výkonech II."/>
    <m/>
    <s v="33140000-3"/>
    <m/>
    <n v="5213900"/>
    <x v="0"/>
    <d v="2021-10-12T00:00:00"/>
    <d v="2021-11-16T00:00:00"/>
    <d v="2021-12-01T00:00:00"/>
    <s v="MEDITRADE spol. s r.o."/>
    <m/>
    <n v="5168000"/>
    <n v="5943200"/>
    <m/>
    <m/>
    <m/>
    <d v="2021-12-01T00:00:00"/>
    <s v="SMLN-2021-617-000697_x000a_SMLN-2021-614-000120"/>
    <x v="6"/>
    <m/>
  </r>
  <r>
    <d v="2021-10-04T00:00:00"/>
    <s v="VZ-2021-001044"/>
    <x v="1"/>
    <s v="Valtová"/>
    <x v="404"/>
    <n v="1"/>
    <s v="Diagnostické katétry  I."/>
    <m/>
    <s v="33140000-3"/>
    <m/>
    <n v="681480"/>
    <x v="0"/>
    <d v="2021-10-12T00:00:00"/>
    <d v="2021-11-15T00:00:00"/>
    <d v="2021-12-09T00:00:00"/>
    <s v="ARID obchodní společnost, s.r.o."/>
    <m/>
    <n v="681480"/>
    <n v="824590.8"/>
    <m/>
    <m/>
    <m/>
    <d v="2021-12-09T00:00:00"/>
    <s v="SMLN-2021-617-000718_x000a_SMLN-2021-614-000127"/>
    <x v="6"/>
    <m/>
  </r>
  <r>
    <d v="2021-10-04T00:00:00"/>
    <s v="VZ-2021-001044"/>
    <x v="1"/>
    <s v="Valtová"/>
    <x v="404"/>
    <n v="2"/>
    <s v="Diagnostické katétry  II."/>
    <m/>
    <s v="33140000-3"/>
    <m/>
    <n v="1400000"/>
    <x v="0"/>
    <d v="2021-10-12T00:00:00"/>
    <d v="2021-11-15T00:00:00"/>
    <m/>
    <s v="zrušeno - upravit zadání"/>
    <s v="nová VZ-2021-001309"/>
    <m/>
    <m/>
    <m/>
    <m/>
    <m/>
    <m/>
    <m/>
    <x v="6"/>
    <d v="2021-12-06T00:00:00"/>
  </r>
  <r>
    <d v="2021-10-04T00:00:00"/>
    <s v="VZ-2021-001044"/>
    <x v="1"/>
    <s v="Valtová"/>
    <x v="404"/>
    <n v="3"/>
    <s v="Hydrofilní diagnostické katétry"/>
    <m/>
    <s v="33140000-3"/>
    <m/>
    <n v="120600"/>
    <x v="0"/>
    <d v="2021-10-12T00:00:00"/>
    <d v="2021-11-15T00:00:00"/>
    <d v="2021-12-09T00:00:00"/>
    <s v="VAMEX, spol. s r.o."/>
    <m/>
    <n v="120600"/>
    <n v="145926"/>
    <m/>
    <m/>
    <m/>
    <d v="2021-12-09T00:00:00"/>
    <s v="SMLN-2021-617-000719_x000a_SMLN-2021-614-000128"/>
    <x v="6"/>
    <m/>
  </r>
  <r>
    <d v="2021-10-04T00:00:00"/>
    <s v="VZ-2021-001044"/>
    <x v="1"/>
    <s v="Valtová"/>
    <x v="404"/>
    <n v="4"/>
    <s v="Kalibrační diagnostické katétry"/>
    <m/>
    <s v="33140000-3"/>
    <m/>
    <n v="125160"/>
    <x v="0"/>
    <d v="2021-10-12T00:00:00"/>
    <d v="2021-11-15T00:00:00"/>
    <m/>
    <s v="zrušeno - bez nabídky"/>
    <s v="nová VZ-2021-001309"/>
    <m/>
    <m/>
    <m/>
    <m/>
    <m/>
    <m/>
    <m/>
    <x v="6"/>
    <d v="2021-12-06T00:00:00"/>
  </r>
  <r>
    <d v="2021-10-04T00:00:00"/>
    <s v="VZ-2021-001044"/>
    <x v="1"/>
    <s v="Valtová"/>
    <x v="404"/>
    <n v="5"/>
    <s v="Vodící katétry neurointervenční"/>
    <m/>
    <s v="33140000-3"/>
    <m/>
    <n v="2080500"/>
    <x v="0"/>
    <d v="2021-10-12T00:00:00"/>
    <d v="2021-11-15T00:00:00"/>
    <m/>
    <s v="zrušeno - bez nabídky"/>
    <s v="nová VZ-2021-001309"/>
    <m/>
    <m/>
    <m/>
    <m/>
    <m/>
    <m/>
    <m/>
    <x v="6"/>
    <d v="2021-12-06T00:00:00"/>
  </r>
  <r>
    <d v="2021-10-04T00:00:00"/>
    <s v="VZ-2021-001045"/>
    <x v="1"/>
    <s v="Dočkalová"/>
    <x v="405"/>
    <m/>
    <m/>
    <m/>
    <s v="33140000-3"/>
    <m/>
    <n v="3561600"/>
    <x v="0"/>
    <d v="2021-10-13T00:00:00"/>
    <d v="2021-11-25T00:00:00"/>
    <m/>
    <m/>
    <m/>
    <m/>
    <m/>
    <m/>
    <m/>
    <m/>
    <m/>
    <m/>
    <x v="6"/>
    <m/>
  </r>
  <r>
    <s v="opakovaná VZ"/>
    <s v="VZ-2021-001046"/>
    <x v="18"/>
    <s v="Cahlíková"/>
    <x v="406"/>
    <m/>
    <m/>
    <m/>
    <s v="72225000-8"/>
    <m/>
    <n v="200000"/>
    <x v="2"/>
    <d v="2021-10-05T00:00:00"/>
    <d v="2021-10-11T00:00:00"/>
    <m/>
    <s v="zrušeno - bez nabídky"/>
    <s v="nová VZ-2021-001118"/>
    <m/>
    <m/>
    <m/>
    <m/>
    <m/>
    <m/>
    <m/>
    <x v="6"/>
    <d v="2021-10-11T00:00:00"/>
  </r>
  <r>
    <d v="2021-09-06T00:00:00"/>
    <s v="VZ-2021-001056"/>
    <x v="2"/>
    <s v="Olejníček"/>
    <x v="407"/>
    <m/>
    <m/>
    <m/>
    <s v="33122000-1"/>
    <s v="2.3.530."/>
    <n v="330000"/>
    <x v="2"/>
    <d v="2021-10-12T00:00:00"/>
    <d v="2021-10-21T00:00:00"/>
    <m/>
    <s v="zrušeno - bez nabídky"/>
    <s v="nová VZ-2021-001157"/>
    <m/>
    <m/>
    <m/>
    <m/>
    <m/>
    <m/>
    <m/>
    <x v="6"/>
    <d v="2021-10-21T00:00:00"/>
  </r>
  <r>
    <d v="2021-11-16T00:00:00"/>
    <s v="VZ-2021-001073"/>
    <x v="0"/>
    <s v="Ondráčková"/>
    <x v="408"/>
    <m/>
    <m/>
    <m/>
    <s v="33694000-1"/>
    <m/>
    <n v="7471900"/>
    <x v="0"/>
    <d v="2021-12-06T00:00:00"/>
    <d v="2022-01-10T00:00:00"/>
    <m/>
    <m/>
    <m/>
    <m/>
    <m/>
    <m/>
    <m/>
    <m/>
    <m/>
    <m/>
    <x v="6"/>
    <m/>
  </r>
  <r>
    <d v="2021-09-30T00:00:00"/>
    <s v="VZ-2021-001081"/>
    <x v="2"/>
    <s v="Novák"/>
    <x v="409"/>
    <m/>
    <m/>
    <m/>
    <s v="39143112-4"/>
    <m/>
    <n v="1329000"/>
    <x v="2"/>
    <d v="2021-10-25T00:00:00"/>
    <d v="2021-11-09T00:00:00"/>
    <d v="2021-11-16T00:00:00"/>
    <s v="LB Bohemia, s.r.o."/>
    <m/>
    <n v="1151800"/>
    <n v="1324570"/>
    <m/>
    <m/>
    <m/>
    <d v="2021-11-16T00:00:00"/>
    <s v="SMLN-2021-617-000664"/>
    <x v="116"/>
    <d v="2021-12-02T00:00:00"/>
  </r>
  <r>
    <d v="2021-09-21T00:00:00"/>
    <s v="VZ-2021-001083"/>
    <x v="2"/>
    <s v="Olejníček"/>
    <x v="410"/>
    <m/>
    <m/>
    <m/>
    <s v="33168100-6"/>
    <s v="2.2.350."/>
    <n v="1767000"/>
    <x v="2"/>
    <d v="2021-10-14T00:00:00"/>
    <d v="2021-10-25T00:00:00"/>
    <d v="2021-11-08T00:00:00"/>
    <s v="RADIX CZ s.r.o."/>
    <m/>
    <n v="1586985"/>
    <n v="1920251.85"/>
    <m/>
    <m/>
    <m/>
    <d v="2021-11-09T00:00:00"/>
    <s v="SMLN-2021-617-000628_x000a_SMLN-2021-612-000121_x000a_SMLN-2021-617-000630"/>
    <x v="65"/>
    <d v="2021-12-09T00:00:00"/>
  </r>
  <r>
    <d v="2021-09-24T00:00:00"/>
    <s v="VZ-2021-001089"/>
    <x v="2"/>
    <s v="Olejníček"/>
    <x v="411"/>
    <n v="1"/>
    <s v="Mycí a dezinfekční automaty"/>
    <m/>
    <s v="33191000-5"/>
    <s v="2.2.389., 2.2.404."/>
    <n v="880000"/>
    <x v="2"/>
    <d v="2021-10-15T00:00:00"/>
    <d v="2021-10-26T00:00:00"/>
    <d v="2021-11-15T00:00:00"/>
    <s v="MIELE, spol. s r.o."/>
    <m/>
    <n v="830040"/>
    <n v="1004352.1"/>
    <m/>
    <m/>
    <m/>
    <d v="2021-11-15T00:00:00"/>
    <s v="SMLN-2021-617-000653_x000a_SMLN-2021-612-000134"/>
    <x v="159"/>
    <d v="2021-12-09T00:00:00"/>
  </r>
  <r>
    <d v="2021-09-24T00:00:00"/>
    <s v="VZ-2021-001089"/>
    <x v="2"/>
    <s v="Olejníček"/>
    <x v="411"/>
    <n v="2"/>
    <s v="Desinfektor"/>
    <m/>
    <s v="33191000-5"/>
    <s v="2.2.408"/>
    <n v="370400"/>
    <x v="2"/>
    <d v="2021-10-15T00:00:00"/>
    <d v="2021-10-26T00:00:00"/>
    <d v="2021-11-15T00:00:00"/>
    <s v="Fénix Brno, spol. s r.o."/>
    <m/>
    <n v="358945"/>
    <n v="434323.45"/>
    <m/>
    <m/>
    <m/>
    <d v="2021-11-15T00:00:00"/>
    <s v="SMLN-2021-617-000654_x000a_SMLN-2021-612-000135"/>
    <x v="157"/>
    <d v="2021-12-09T00:00:00"/>
  </r>
  <r>
    <d v="2021-09-24T00:00:00"/>
    <s v="VZ-2021-001089"/>
    <x v="2"/>
    <s v="Olejníček"/>
    <x v="411"/>
    <n v="3"/>
    <s v="Laboratorní myčka"/>
    <m/>
    <s v="33191000-5"/>
    <s v="2.3.525."/>
    <n v="560000"/>
    <x v="2"/>
    <d v="2021-10-15T00:00:00"/>
    <d v="2021-10-26T00:00:00"/>
    <d v="2021-11-15T00:00:00"/>
    <s v="MIELE, spol. s r.o."/>
    <m/>
    <n v="534895"/>
    <n v="647222.80000000005"/>
    <m/>
    <m/>
    <m/>
    <d v="2021-11-15T00:00:00"/>
    <s v="SMLN-2021-617-000655_x000a_SMLN-2021-612-000136"/>
    <x v="159"/>
    <d v="2021-12-09T00:00:00"/>
  </r>
  <r>
    <d v="2021-10-13T00:00:00"/>
    <s v="VZ-2021-001090"/>
    <x v="3"/>
    <s v="Zeman"/>
    <x v="412"/>
    <m/>
    <m/>
    <m/>
    <s v="45215100-8"/>
    <s v="1.2.73."/>
    <n v="40000000"/>
    <x v="1"/>
    <d v="2021-10-22T00:00:00"/>
    <d v="2021-11-25T00:00:00"/>
    <d v="2021-12-23T00:00:00"/>
    <s v="PTÁČEK - pozemní stavby s.r.o."/>
    <m/>
    <n v="43869660.420000002"/>
    <n v="53082289.109999999"/>
    <m/>
    <m/>
    <m/>
    <d v="2021-12-23T00:00:00"/>
    <s v="SMLN-2021-618-000092"/>
    <x v="6"/>
    <m/>
  </r>
  <r>
    <d v="2021-10-06T00:00:00"/>
    <s v="VZ-2021-001091"/>
    <x v="2"/>
    <s v="Olejníček"/>
    <x v="413"/>
    <m/>
    <m/>
    <m/>
    <s v="33168100-6"/>
    <s v="2.3.567."/>
    <n v="350900"/>
    <x v="2"/>
    <d v="2021-10-15T00:00:00"/>
    <d v="2021-10-29T00:00:00"/>
    <d v="2021-11-15T00:00:00"/>
    <s v="Olympus Czech Group, s.r.o."/>
    <m/>
    <n v="325438"/>
    <n v="393779.98"/>
    <m/>
    <m/>
    <m/>
    <d v="2021-11-15T00:00:00"/>
    <s v="SMLN-2021-617-000651_x000a_SMLN-2021-612-000133"/>
    <x v="159"/>
    <d v="2021-12-09T00:00:00"/>
  </r>
  <r>
    <d v="2021-09-24T00:00:00"/>
    <s v="VZ-2021-001094"/>
    <x v="2"/>
    <s v="Olejníček"/>
    <x v="414"/>
    <m/>
    <m/>
    <m/>
    <s v="33162100-4"/>
    <s v="2.2.340."/>
    <n v="392900"/>
    <x v="2"/>
    <d v="2021-10-18T00:00:00"/>
    <d v="2021-10-27T00:00:00"/>
    <d v="2021-11-08T00:00:00"/>
    <s v="Surgipa Medical, spol. s r.o."/>
    <m/>
    <n v="382239.2"/>
    <n v="462509.43"/>
    <m/>
    <m/>
    <m/>
    <d v="2021-11-09T00:00:00"/>
    <s v="SMLN-2021-617-000632_x000a_SMLN-2021-612-000124"/>
    <x v="161"/>
    <d v="2021-12-09T00:00:00"/>
  </r>
  <r>
    <d v="2021-10-14T00:00:00"/>
    <s v="VZ-2021-001096"/>
    <x v="0"/>
    <s v="Ondráčková"/>
    <x v="415"/>
    <m/>
    <m/>
    <m/>
    <s v="33694000-1"/>
    <m/>
    <n v="1301900"/>
    <x v="2"/>
    <d v="2021-10-19T00:00:00"/>
    <d v="2021-10-26T00:00:00"/>
    <d v="2021-11-19T00:00:00"/>
    <s v="I.T.A.-Interact s.r.o."/>
    <m/>
    <n v="1047600"/>
    <n v="1047600"/>
    <m/>
    <m/>
    <m/>
    <d v="2021-11-19T00:00:00"/>
    <s v="SMLN-2021-617-000667"/>
    <x v="148"/>
    <d v="2021-12-23T00:00:00"/>
  </r>
  <r>
    <d v="2021-10-14T00:00:00"/>
    <s v="VZ-2021-001097"/>
    <x v="0"/>
    <s v="Ondráčková"/>
    <x v="416"/>
    <n v="1"/>
    <s v="Diagnostika pro stimulaci buněk"/>
    <m/>
    <s v="33694000-1"/>
    <m/>
    <n v="1386789"/>
    <x v="2"/>
    <d v="2021-10-19T00:00:00"/>
    <d v="2021-10-26T00:00:00"/>
    <d v="2021-11-19T00:00:00"/>
    <s v="DYNEX LabSolutions, s.r.o."/>
    <m/>
    <n v="1353868"/>
    <n v="1353868"/>
    <m/>
    <m/>
    <m/>
    <d v="2021-11-19T00:00:00"/>
    <s v="SMLN-2021-617-000668"/>
    <x v="148"/>
    <d v="2021-12-23T00:00:00"/>
  </r>
  <r>
    <d v="2021-10-14T00:00:00"/>
    <s v="VZ-2021-001097"/>
    <x v="0"/>
    <s v="Ondráčková"/>
    <x v="416"/>
    <n v="2"/>
    <s v="ELISA kit"/>
    <m/>
    <s v="33694000-1"/>
    <m/>
    <n v="197787"/>
    <x v="2"/>
    <d v="2021-10-19T00:00:00"/>
    <d v="2021-10-26T00:00:00"/>
    <d v="2021-11-19T00:00:00"/>
    <s v="Bio-Port Europe s.r.o."/>
    <m/>
    <n v="153450"/>
    <n v="153450"/>
    <m/>
    <m/>
    <m/>
    <d v="2021-11-19T00:00:00"/>
    <s v="SMLN-2021-617-000669"/>
    <x v="6"/>
    <m/>
  </r>
  <r>
    <d v="2021-10-14T00:00:00"/>
    <s v="VZ-2021-001099"/>
    <x v="9"/>
    <s v="Svozil"/>
    <x v="417"/>
    <m/>
    <m/>
    <m/>
    <s v="45232150-8"/>
    <m/>
    <n v="7600000"/>
    <x v="1"/>
    <d v="2021-10-26T00:00:00"/>
    <d v="2021-11-30T00:00:00"/>
    <d v="2021-12-16T00:00:00"/>
    <s v="INSTA CZ s.r.o."/>
    <m/>
    <n v="7313040"/>
    <n v="8848778"/>
    <m/>
    <m/>
    <m/>
    <d v="2021-12-16T00:00:00"/>
    <s v="SMLN-2021-618-000089"/>
    <x v="6"/>
    <m/>
  </r>
  <r>
    <d v="2021-10-06T00:00:00"/>
    <s v="VZ-2021-001107"/>
    <x v="2"/>
    <s v="Olejníček"/>
    <x v="418"/>
    <m/>
    <m/>
    <m/>
    <s v="33157400-9"/>
    <s v="2.2.413."/>
    <n v="534000"/>
    <x v="2"/>
    <d v="2021-10-20T00:00:00"/>
    <d v="2021-11-01T00:00:00"/>
    <d v="2021-11-16T00:00:00"/>
    <s v="Dräger Medical s.r.o."/>
    <m/>
    <n v="526896.49"/>
    <n v="637544.75"/>
    <m/>
    <m/>
    <m/>
    <d v="2021-11-16T00:00:00"/>
    <s v="SMLN-2021-617-000661_x000a_SMLN-2021-612-000137"/>
    <x v="155"/>
    <d v="2021-12-31T00:00:00"/>
  </r>
  <r>
    <d v="2021-09-06T00:00:00"/>
    <s v="VZ-2021-001108"/>
    <x v="2"/>
    <s v="Olejníček"/>
    <x v="419"/>
    <m/>
    <m/>
    <m/>
    <s v="33123200-0"/>
    <s v="2.2.385."/>
    <n v="230000"/>
    <x v="2"/>
    <d v="2021-10-21T00:00:00"/>
    <d v="2021-11-02T00:00:00"/>
    <d v="2021-11-23T00:00:00"/>
    <s v="Medisyner, s.r.o."/>
    <m/>
    <n v="225490"/>
    <n v="272842.90000000002"/>
    <m/>
    <m/>
    <m/>
    <d v="2021-11-24T00:00:00"/>
    <s v="SMLN-2021-617-000675_x000a_SMLN-2021-612-000138_x000a_SMLN-2021-617-000676"/>
    <x v="164"/>
    <d v="2021-12-22T00:00:00"/>
  </r>
  <r>
    <s v="opakovaná VZ"/>
    <s v="VZ-2021-001110"/>
    <x v="8"/>
    <s v="Kadlec"/>
    <x v="420"/>
    <m/>
    <m/>
    <m/>
    <s v="45421100-5"/>
    <m/>
    <n v="2200000"/>
    <x v="2"/>
    <d v="2021-10-22T00:00:00"/>
    <d v="2021-11-04T00:00:00"/>
    <d v="2021-11-25T00:00:00"/>
    <s v="A-Z STAVBY s.r.o."/>
    <m/>
    <n v="1737528.8"/>
    <n v="2102409.85"/>
    <m/>
    <m/>
    <m/>
    <d v="2021-11-25T00:00:00"/>
    <s v="SMLN-2021-618-000085"/>
    <x v="165"/>
    <d v="2021-12-21T00:00:00"/>
  </r>
  <r>
    <d v="2021-10-15T00:00:00"/>
    <s v="VZ-2021-001111"/>
    <x v="0"/>
    <s v="Ondráčková"/>
    <x v="421"/>
    <n v="1"/>
    <s v="LAMICTAL"/>
    <m/>
    <s v="33661600-4"/>
    <m/>
    <n v="1276147"/>
    <x v="0"/>
    <d v="2021-10-21T00:00:00"/>
    <d v="2021-12-30T00:00:00"/>
    <m/>
    <m/>
    <m/>
    <m/>
    <m/>
    <m/>
    <m/>
    <m/>
    <m/>
    <m/>
    <x v="6"/>
    <m/>
  </r>
  <r>
    <d v="2021-10-15T00:00:00"/>
    <s v="VZ-2021-001111"/>
    <x v="0"/>
    <s v="Ondráčková"/>
    <x v="421"/>
    <n v="2"/>
    <s v="NEURONTIN"/>
    <m/>
    <s v="33661600-4"/>
    <m/>
    <n v="1972042"/>
    <x v="0"/>
    <d v="2021-10-21T00:00:00"/>
    <d v="2021-12-30T00:00:00"/>
    <m/>
    <m/>
    <m/>
    <m/>
    <m/>
    <m/>
    <m/>
    <m/>
    <m/>
    <m/>
    <x v="6"/>
    <m/>
  </r>
  <r>
    <d v="2021-10-15T00:00:00"/>
    <s v="VZ-2021-001111"/>
    <x v="0"/>
    <s v="Ondráčková"/>
    <x v="421"/>
    <n v="3"/>
    <s v="KEPPRA"/>
    <m/>
    <s v="33661600-4"/>
    <m/>
    <n v="2877337"/>
    <x v="0"/>
    <d v="2021-10-21T00:00:00"/>
    <d v="2021-12-30T00:00:00"/>
    <m/>
    <m/>
    <m/>
    <m/>
    <m/>
    <m/>
    <m/>
    <m/>
    <m/>
    <m/>
    <x v="6"/>
    <m/>
  </r>
  <r>
    <d v="2021-10-15T00:00:00"/>
    <s v="VZ-2021-001111"/>
    <x v="0"/>
    <s v="Ondráčková"/>
    <x v="421"/>
    <n v="4"/>
    <s v="TRUND"/>
    <m/>
    <s v="33661600-4"/>
    <m/>
    <n v="684637"/>
    <x v="0"/>
    <d v="2021-10-21T00:00:00"/>
    <d v="2021-12-30T00:00:00"/>
    <m/>
    <m/>
    <m/>
    <m/>
    <m/>
    <m/>
    <m/>
    <m/>
    <m/>
    <m/>
    <x v="6"/>
    <m/>
  </r>
  <r>
    <d v="2021-10-15T00:00:00"/>
    <s v="VZ-2021-001111"/>
    <x v="0"/>
    <s v="Ondráčková"/>
    <x v="421"/>
    <n v="5"/>
    <s v="LYRICA"/>
    <m/>
    <s v="33661600-4"/>
    <m/>
    <n v="1216758"/>
    <x v="0"/>
    <d v="2021-10-21T00:00:00"/>
    <d v="2021-12-30T00:00:00"/>
    <m/>
    <m/>
    <m/>
    <m/>
    <m/>
    <m/>
    <m/>
    <m/>
    <m/>
    <m/>
    <x v="6"/>
    <m/>
  </r>
  <r>
    <d v="2021-10-15T00:00:00"/>
    <s v="VZ-2021-001111"/>
    <x v="0"/>
    <s v="Ondráčková"/>
    <x v="421"/>
    <n v="6"/>
    <s v="PREGABALIN SANDOZ"/>
    <m/>
    <s v="33661600-4"/>
    <m/>
    <n v="7116805"/>
    <x v="0"/>
    <d v="2021-10-21T00:00:00"/>
    <d v="2021-12-30T00:00:00"/>
    <m/>
    <m/>
    <m/>
    <m/>
    <m/>
    <m/>
    <m/>
    <m/>
    <m/>
    <m/>
    <x v="6"/>
    <m/>
  </r>
  <r>
    <d v="2021-10-15T00:00:00"/>
    <s v="VZ-2021-001111"/>
    <x v="0"/>
    <s v="Ondráčková"/>
    <x v="421"/>
    <n v="7"/>
    <s v="ARKVIMMA"/>
    <m/>
    <s v="33661600-4"/>
    <m/>
    <n v="3120030"/>
    <x v="0"/>
    <d v="2021-10-21T00:00:00"/>
    <d v="2021-12-30T00:00:00"/>
    <m/>
    <m/>
    <m/>
    <m/>
    <m/>
    <m/>
    <m/>
    <m/>
    <m/>
    <m/>
    <x v="6"/>
    <m/>
  </r>
  <r>
    <d v="2021-10-15T00:00:00"/>
    <s v="VZ-2021-001112"/>
    <x v="0"/>
    <s v="Ondráčková"/>
    <x v="422"/>
    <m/>
    <m/>
    <m/>
    <s v="24111500-0"/>
    <m/>
    <n v="21966219"/>
    <x v="0"/>
    <d v="2021-11-25T00:00:00"/>
    <d v="2022-01-05T00:00:00"/>
    <m/>
    <m/>
    <m/>
    <m/>
    <m/>
    <m/>
    <m/>
    <m/>
    <m/>
    <m/>
    <x v="6"/>
    <m/>
  </r>
  <r>
    <d v="2021-10-18T00:00:00"/>
    <s v="VZ-2021-001114"/>
    <x v="3"/>
    <s v="Pavela"/>
    <x v="423"/>
    <m/>
    <m/>
    <m/>
    <s v="45215140-4"/>
    <m/>
    <n v="95000000"/>
    <x v="0"/>
    <d v="2021-10-22T00:00:00"/>
    <d v="2021-12-20T00:00:00"/>
    <m/>
    <m/>
    <m/>
    <m/>
    <m/>
    <m/>
    <m/>
    <m/>
    <m/>
    <m/>
    <x v="6"/>
    <m/>
  </r>
  <r>
    <d v="2021-10-19T00:00:00"/>
    <s v="VZ-2021-001116"/>
    <x v="5"/>
    <s v="Miklík"/>
    <x v="424"/>
    <m/>
    <m/>
    <m/>
    <s v="30233141-1"/>
    <s v="3.2.37."/>
    <n v="600000"/>
    <x v="2"/>
    <d v="2021-10-19T00:00:00"/>
    <d v="2021-10-22T00:00:00"/>
    <d v="2021-10-25T00:00:00"/>
    <s v="MERIT GROUP a.s."/>
    <m/>
    <n v="560000"/>
    <n v="677600"/>
    <m/>
    <m/>
    <m/>
    <d v="2021-10-25T00:00:00"/>
    <s v="SMLN-2021-617-000587"/>
    <x v="158"/>
    <d v="2021-11-18T00:00:00"/>
  </r>
  <r>
    <s v="opakovaná VZ"/>
    <s v="VZ-2021-001118"/>
    <x v="18"/>
    <s v="Cahlíková"/>
    <x v="425"/>
    <m/>
    <m/>
    <m/>
    <s v="72225000-8"/>
    <m/>
    <n v="200000"/>
    <x v="2"/>
    <d v="2021-10-21T00:00:00"/>
    <d v="2021-10-27T00:00:00"/>
    <m/>
    <s v="zrušeno - bez hodnotitelné nabídky"/>
    <m/>
    <m/>
    <m/>
    <m/>
    <m/>
    <m/>
    <m/>
    <m/>
    <x v="6"/>
    <d v="2021-11-10T00:00:00"/>
  </r>
  <r>
    <d v="2021-10-15T00:00:00"/>
    <s v="VZ-2021-001120"/>
    <x v="3"/>
    <s v="Zeman"/>
    <x v="426"/>
    <m/>
    <m/>
    <m/>
    <s v="45223300-9"/>
    <s v="1.2.84."/>
    <n v="825000"/>
    <x v="2"/>
    <d v="2021-10-22T00:00:00"/>
    <d v="2021-11-03T00:00:00"/>
    <d v="2021-11-16T00:00:00"/>
    <s v="STAFSONS, s.r.o."/>
    <m/>
    <n v="927544.14"/>
    <n v="1122328.4099999999"/>
    <m/>
    <m/>
    <m/>
    <d v="2021-11-16T00:00:00"/>
    <s v="SMLN-2021-618-000080"/>
    <x v="6"/>
    <m/>
  </r>
  <r>
    <d v="2021-10-19T00:00:00"/>
    <s v="VZ-2021-001121"/>
    <x v="1"/>
    <s v="Valtová"/>
    <x v="427"/>
    <n v="1"/>
    <s v="2.1. Vodící dráty k vaskulárním intervencím I. "/>
    <m/>
    <s v="33140000-3"/>
    <m/>
    <n v="219000"/>
    <x v="0"/>
    <d v="2021-10-27T00:00:00"/>
    <d v="2022-01-18T00:00:00"/>
    <m/>
    <m/>
    <m/>
    <m/>
    <m/>
    <m/>
    <m/>
    <m/>
    <m/>
    <m/>
    <x v="6"/>
    <m/>
  </r>
  <r>
    <d v="2021-10-19T00:00:00"/>
    <s v="VZ-2021-001121"/>
    <x v="1"/>
    <s v="Valtová"/>
    <x v="427"/>
    <n v="2"/>
    <s v="2.2. Vodící dráty k vaskulárním intervencím II. "/>
    <m/>
    <s v="33140000-3"/>
    <m/>
    <n v="5617423"/>
    <x v="0"/>
    <d v="2021-10-27T00:00:00"/>
    <d v="2022-01-18T00:00:00"/>
    <m/>
    <m/>
    <m/>
    <m/>
    <m/>
    <m/>
    <m/>
    <m/>
    <m/>
    <m/>
    <x v="6"/>
    <m/>
  </r>
  <r>
    <d v="2021-10-19T00:00:00"/>
    <s v="VZ-2021-001121"/>
    <x v="1"/>
    <s v="Valtová"/>
    <x v="427"/>
    <n v="3"/>
    <s v="2.3. Vodící dráty k vaskulárním intervencím III. "/>
    <m/>
    <s v="33140000-3"/>
    <m/>
    <n v="674133"/>
    <x v="0"/>
    <d v="2021-10-27T00:00:00"/>
    <d v="2022-01-18T00:00:00"/>
    <m/>
    <m/>
    <m/>
    <m/>
    <m/>
    <m/>
    <m/>
    <m/>
    <m/>
    <m/>
    <x v="6"/>
    <m/>
  </r>
  <r>
    <d v="2021-10-19T00:00:00"/>
    <s v="VZ-2021-001121"/>
    <x v="1"/>
    <s v="Valtová"/>
    <x v="427"/>
    <n v="4"/>
    <s v="2.4. Vodící mikrodráty k periferním vaskulárním intervencím "/>
    <m/>
    <s v="33140000-3"/>
    <m/>
    <n v="1167300"/>
    <x v="0"/>
    <d v="2021-10-27T00:00:00"/>
    <d v="2022-01-18T00:00:00"/>
    <m/>
    <m/>
    <m/>
    <m/>
    <m/>
    <m/>
    <m/>
    <m/>
    <m/>
    <m/>
    <x v="6"/>
    <m/>
  </r>
  <r>
    <d v="2021-10-19T00:00:00"/>
    <s v="VZ-2021-001121"/>
    <x v="1"/>
    <s v="Valtová"/>
    <x v="427"/>
    <n v="5"/>
    <s v="2.5. Vodící mikrodráty k vaskulárním neurointevencím I."/>
    <m/>
    <s v="33140000-3"/>
    <m/>
    <n v="1129933"/>
    <x v="0"/>
    <d v="2021-10-27T00:00:00"/>
    <d v="2022-01-18T00:00:00"/>
    <m/>
    <m/>
    <m/>
    <m/>
    <m/>
    <m/>
    <m/>
    <m/>
    <m/>
    <m/>
    <x v="6"/>
    <m/>
  </r>
  <r>
    <d v="2021-10-19T00:00:00"/>
    <s v="VZ-2021-001121"/>
    <x v="1"/>
    <s v="Valtová"/>
    <x v="427"/>
    <n v="6"/>
    <s v="2.7. Vodící mikrodráty k vaskulárním neurointervencím III."/>
    <m/>
    <s v="33140000-3"/>
    <m/>
    <n v="609420"/>
    <x v="0"/>
    <d v="2021-10-27T00:00:00"/>
    <d v="2022-01-18T00:00:00"/>
    <m/>
    <m/>
    <m/>
    <m/>
    <m/>
    <m/>
    <m/>
    <m/>
    <m/>
    <m/>
    <x v="6"/>
    <m/>
  </r>
  <r>
    <d v="2021-10-15T00:00:00"/>
    <s v="VZ-2021-001123"/>
    <x v="4"/>
    <s v="Srovnal"/>
    <x v="428"/>
    <m/>
    <m/>
    <m/>
    <s v="42642100-9"/>
    <s v="4.2.164."/>
    <n v="500000"/>
    <x v="2"/>
    <d v="2021-10-25T00:00:00"/>
    <d v="2021-11-05T00:00:00"/>
    <d v="2021-11-12T00:00:00"/>
    <s v="MYNAŘ-TRADE s.r.o."/>
    <m/>
    <n v="417022"/>
    <n v="504596.62"/>
    <m/>
    <m/>
    <m/>
    <d v="2021-11-12T00:00:00"/>
    <s v="SMLN-2021-617-000650"/>
    <x v="157"/>
    <d v="2021-12-07T00:00:00"/>
  </r>
  <r>
    <d v="2021-10-21T00:00:00"/>
    <s v="VZ-2021-001126"/>
    <x v="0"/>
    <s v="Ondráčková"/>
    <x v="429"/>
    <n v="1"/>
    <s v="PALIPERIDON "/>
    <m/>
    <s v="33661500-6"/>
    <m/>
    <n v="4203966"/>
    <x v="0"/>
    <d v="2021-12-09T00:00:00"/>
    <d v="2022-01-12T00:00:00"/>
    <m/>
    <m/>
    <m/>
    <m/>
    <m/>
    <m/>
    <m/>
    <m/>
    <m/>
    <m/>
    <x v="6"/>
    <m/>
  </r>
  <r>
    <d v="2021-10-21T00:00:00"/>
    <s v="VZ-2021-001127"/>
    <x v="0"/>
    <s v="Ondráčková"/>
    <x v="430"/>
    <n v="1"/>
    <s v="TIOTROPIUM-BROMID"/>
    <m/>
    <s v="33670000-7"/>
    <m/>
    <n v="9139774"/>
    <x v="0"/>
    <d v="2021-12-09T00:00:00"/>
    <d v="2022-01-12T00:00:00"/>
    <m/>
    <m/>
    <m/>
    <m/>
    <m/>
    <m/>
    <m/>
    <m/>
    <m/>
    <m/>
    <x v="6"/>
    <m/>
  </r>
  <r>
    <s v="opakovaná VZ"/>
    <s v="VZ-2021-001128"/>
    <x v="1"/>
    <s v="Valtová"/>
    <x v="431"/>
    <m/>
    <m/>
    <m/>
    <s v="33140000-3"/>
    <m/>
    <n v="700000"/>
    <x v="2"/>
    <d v="2021-10-25T00:00:00"/>
    <d v="2021-11-03T00:00:00"/>
    <d v="2021-11-09T00:00:00"/>
    <s v="Medinet s.r.o."/>
    <m/>
    <n v="386000"/>
    <n v="467060"/>
    <m/>
    <m/>
    <m/>
    <d v="2021-11-10T00:00:00"/>
    <s v="SMLN-2021-617-000645_x000a_SMLN-2021-614-000114"/>
    <x v="123"/>
    <d v="2021-12-20T00:00:00"/>
  </r>
  <r>
    <d v="2021-10-05T00:00:00"/>
    <s v="VZ-2021-001129"/>
    <x v="1"/>
    <s v="Dočkalová"/>
    <x v="432"/>
    <m/>
    <m/>
    <m/>
    <s v="33140000-3"/>
    <m/>
    <n v="1881000"/>
    <x v="2"/>
    <d v="2021-10-25T00:00:00"/>
    <d v="2021-11-03T00:00:00"/>
    <d v="2021-11-09T00:00:00"/>
    <s v="medisap, s.r.o."/>
    <m/>
    <n v="1881000"/>
    <n v="2276010"/>
    <m/>
    <m/>
    <m/>
    <d v="2021-11-10T00:00:00"/>
    <s v="SMLN-2021-617-000644"/>
    <x v="116"/>
    <d v="2021-12-02T00:00:00"/>
  </r>
  <r>
    <d v="2021-10-19T00:00:00"/>
    <s v="VZ-2021-001131"/>
    <x v="1"/>
    <s v="Dočkalová"/>
    <x v="433"/>
    <n v="1"/>
    <s v="Láhve kojenecké"/>
    <m/>
    <s v="33140000-3"/>
    <m/>
    <n v="1244469"/>
    <x v="2"/>
    <d v="2021-10-26T00:00:00"/>
    <d v="2021-11-09T00:00:00"/>
    <d v="2021-12-10T00:00:00"/>
    <s v="MEDICAL M spol. s.r.o."/>
    <m/>
    <n v="1656392"/>
    <n v="2004928"/>
    <m/>
    <m/>
    <m/>
    <d v="2021-12-13T00:00:00"/>
    <s v="SMLN-2021-617-000722"/>
    <x v="6"/>
    <m/>
  </r>
  <r>
    <d v="2021-10-19T00:00:00"/>
    <s v="VZ-2021-001131"/>
    <x v="1"/>
    <s v="Dočkalová"/>
    <x v="433"/>
    <n v="2"/>
    <s v="Dudlíky"/>
    <m/>
    <s v="33140000-3"/>
    <m/>
    <n v="386194"/>
    <x v="2"/>
    <d v="2021-10-26T00:00:00"/>
    <d v="2021-11-09T00:00:00"/>
    <m/>
    <s v="zrušeno - upravit specifikaci"/>
    <s v="nová VZ-2021-001318"/>
    <m/>
    <m/>
    <m/>
    <m/>
    <m/>
    <m/>
    <m/>
    <x v="6"/>
    <d v="2021-12-09T00:00:00"/>
  </r>
  <r>
    <d v="2021-10-21T00:00:00"/>
    <s v="VZ-2021-001132"/>
    <x v="4"/>
    <s v="Srovnal"/>
    <x v="434"/>
    <m/>
    <m/>
    <m/>
    <s v="42961100-1"/>
    <m/>
    <n v="600000"/>
    <x v="2"/>
    <d v="2021-11-22T00:00:00"/>
    <d v="2021-11-30T00:00:00"/>
    <d v="2021-12-08T00:00:00"/>
    <s v="MERIT GROUP a.s."/>
    <m/>
    <n v="585133"/>
    <n v="708010.93"/>
    <m/>
    <m/>
    <m/>
    <d v="2021-12-08T00:00:00"/>
    <s v="SMLN-2021-618-000087"/>
    <x v="166"/>
    <d v="2021-12-20T00:00:00"/>
  </r>
  <r>
    <s v="opakovaná VZ"/>
    <s v="VZ-2021-001157"/>
    <x v="2"/>
    <s v="Olejníček"/>
    <x v="435"/>
    <m/>
    <m/>
    <m/>
    <s v="33122000-1"/>
    <s v="2.3.530."/>
    <n v="330000"/>
    <x v="2"/>
    <d v="2021-11-02T00:00:00"/>
    <d v="2021-11-09T00:00:00"/>
    <d v="2021-11-23T00:00:00"/>
    <s v="CASTOR CZ, s.r.o."/>
    <m/>
    <n v="289490"/>
    <n v="350282.9"/>
    <m/>
    <m/>
    <m/>
    <d v="2021-11-24T00:00:00"/>
    <s v="SMLN-2021-617-000679_x000a_SMLN-2021-612-000139"/>
    <x v="155"/>
    <d v="2021-12-31T00:00:00"/>
  </r>
  <r>
    <d v="2021-10-21T00:00:00"/>
    <s v="VZ-2021-001160"/>
    <x v="1"/>
    <s v="Valtová"/>
    <x v="436"/>
    <n v="1"/>
    <s v="14.1. Stentgraft aortální hrudní - proximální část I."/>
    <m/>
    <s v="33140000-3"/>
    <m/>
    <n v="640000"/>
    <x v="0"/>
    <d v="2021-11-03T00:00:00"/>
    <d v="2021-12-07T00:00:00"/>
    <d v="2021-12-22T00:00:00"/>
    <s v="ARID obchodní společnost, s.r.o."/>
    <m/>
    <n v="640000"/>
    <n v="736000"/>
    <m/>
    <m/>
    <m/>
    <d v="2021-12-22T00:00:00"/>
    <s v="SMLN-2021-617-000742_x000a_SMLN-2021-614-000133"/>
    <x v="6"/>
    <m/>
  </r>
  <r>
    <d v="2021-10-21T00:00:00"/>
    <s v="VZ-2021-001160"/>
    <x v="1"/>
    <s v="Valtová"/>
    <x v="436"/>
    <n v="2"/>
    <s v="14.4. Stentgrafty aortální pro reparaci disekcí sestupné části hrudní aorty"/>
    <m/>
    <s v="33140000-3"/>
    <m/>
    <n v="1935000"/>
    <x v="0"/>
    <d v="2021-11-03T00:00:00"/>
    <d v="2021-12-07T00:00:00"/>
    <d v="2021-12-22T00:00:00"/>
    <s v="ARID obchodní společnost, s.r.o."/>
    <m/>
    <n v="1935000"/>
    <n v="2225250"/>
    <m/>
    <m/>
    <m/>
    <d v="2021-12-22T00:00:00"/>
    <s v="SMLN-2021-617-000743_x000a_SMLN-2021-614-000134"/>
    <x v="6"/>
    <m/>
  </r>
  <r>
    <d v="2021-10-21T00:00:00"/>
    <s v="VZ-2021-001160"/>
    <x v="1"/>
    <s v="Valtová"/>
    <x v="436"/>
    <n v="3"/>
    <s v="14.7.  Stent tubulární komponentní určený pro modelování pravého lumen aorty při disekci aorty"/>
    <m/>
    <s v="33140000-3"/>
    <m/>
    <n v="113300"/>
    <x v="0"/>
    <d v="2021-11-03T00:00:00"/>
    <d v="2021-12-07T00:00:00"/>
    <d v="2021-12-22T00:00:00"/>
    <s v="ARID obchodní společnost, s.r.o."/>
    <m/>
    <n v="113300"/>
    <n v="130295"/>
    <m/>
    <m/>
    <m/>
    <d v="2021-12-22T00:00:00"/>
    <s v="SMLN-2021-617-000744_x000a_SMLN-2021-614-000135"/>
    <x v="6"/>
    <m/>
  </r>
  <r>
    <d v="2021-10-21T00:00:00"/>
    <s v="VZ-2021-001160"/>
    <x v="1"/>
    <s v="Valtová"/>
    <x v="436"/>
    <n v="4"/>
    <s v="14.11. Stentgraft tubulární aortální břišní k prodloužení těla bifurkačního stentgraftu - proximální extenze"/>
    <m/>
    <s v="33140000-3"/>
    <m/>
    <n v="292875"/>
    <x v="0"/>
    <d v="2021-11-03T00:00:00"/>
    <d v="2021-12-07T00:00:00"/>
    <d v="2021-12-22T00:00:00"/>
    <s v="ARID obchodní společnost, s.r.o."/>
    <m/>
    <n v="292875"/>
    <n v="336806.25"/>
    <m/>
    <m/>
    <m/>
    <d v="2021-12-22T00:00:00"/>
    <s v="SMLN-2021-617-000745_x000a_SMLN-2021-614-000136"/>
    <x v="6"/>
    <m/>
  </r>
  <r>
    <d v="2021-10-21T00:00:00"/>
    <s v="VZ-2021-001160"/>
    <x v="1"/>
    <s v="Valtová"/>
    <x v="436"/>
    <n v="5"/>
    <s v="14.13. Stentgraft vaskulární větvený pro vnitřní ilickou tepnu"/>
    <m/>
    <s v="33140000-3"/>
    <m/>
    <n v="921800"/>
    <x v="0"/>
    <d v="2021-11-03T00:00:00"/>
    <d v="2021-12-07T00:00:00"/>
    <d v="2021-12-22T00:00:00"/>
    <s v="ARID obchodní společnost, s.r.o."/>
    <m/>
    <n v="921800"/>
    <n v="1060070"/>
    <m/>
    <m/>
    <m/>
    <d v="2021-12-22T00:00:00"/>
    <s v="SMLN-2021-617-000746_x000a_SMLN-2021-614-000137"/>
    <x v="6"/>
    <m/>
  </r>
  <r>
    <d v="2021-10-21T00:00:00"/>
    <s v="VZ-2021-001160"/>
    <x v="1"/>
    <s v="Valtová"/>
    <x v="436"/>
    <n v="6"/>
    <s v="14.14. Stentgraft vaskulární arotální fenestrovaný"/>
    <m/>
    <s v="33140000-3"/>
    <m/>
    <n v="4415340"/>
    <x v="0"/>
    <d v="2021-11-03T00:00:00"/>
    <d v="2021-12-07T00:00:00"/>
    <d v="2021-12-22T00:00:00"/>
    <s v="ARID obchodní společnost, s.r.o."/>
    <m/>
    <n v="4415340"/>
    <n v="5077641"/>
    <m/>
    <m/>
    <m/>
    <d v="2021-12-22T00:00:00"/>
    <s v="SMLN-2021-617-000747_x000a_SMLN-2021-614-000138"/>
    <x v="6"/>
    <m/>
  </r>
  <r>
    <d v="2021-12-03T00:00:00"/>
    <s v="VZ-2021-001166"/>
    <x v="0"/>
    <s v="Ondráčková"/>
    <x v="437"/>
    <m/>
    <m/>
    <m/>
    <s v="33694000-1, 38434000"/>
    <m/>
    <n v="4716408"/>
    <x v="0"/>
    <d v="2021-12-20T00:00:00"/>
    <d v="2022-02-15T00:00:00"/>
    <m/>
    <m/>
    <m/>
    <m/>
    <m/>
    <m/>
    <m/>
    <m/>
    <m/>
    <m/>
    <x v="6"/>
    <m/>
  </r>
  <r>
    <d v="2021-10-21T00:00:00"/>
    <s v="VZ-2021-001171"/>
    <x v="1"/>
    <s v="Dočkalová"/>
    <x v="438"/>
    <m/>
    <m/>
    <m/>
    <s v="33140000-3"/>
    <m/>
    <n v="4090909"/>
    <x v="0"/>
    <d v="2021-11-05T00:00:00"/>
    <d v="2021-12-09T00:00:00"/>
    <m/>
    <s v="CARDION s.r.o."/>
    <m/>
    <n v="4080000"/>
    <n v="4936800"/>
    <m/>
    <m/>
    <m/>
    <m/>
    <m/>
    <x v="6"/>
    <m/>
  </r>
  <r>
    <s v="opakovaná VZ"/>
    <s v="VZ-2021-001173"/>
    <x v="9"/>
    <s v="Svozil"/>
    <x v="439"/>
    <m/>
    <m/>
    <m/>
    <s v="45232150-8"/>
    <m/>
    <n v="7730000"/>
    <x v="0"/>
    <d v="2021-11-04T00:00:00"/>
    <d v="2021-12-09T00:00:00"/>
    <m/>
    <s v="MORAVSKÁ VODÁRENSKÁ, a.s."/>
    <m/>
    <n v="7721900"/>
    <n v="9343499"/>
    <m/>
    <m/>
    <m/>
    <m/>
    <m/>
    <x v="6"/>
    <m/>
  </r>
  <r>
    <d v="2021-11-02T00:00:00"/>
    <s v="VZ-2021-001174"/>
    <x v="4"/>
    <s v="Srovnal"/>
    <x v="440"/>
    <m/>
    <m/>
    <m/>
    <s v="45453000-7"/>
    <m/>
    <n v="7300000"/>
    <x v="1"/>
    <d v="2021-11-05T00:00:00"/>
    <d v="2021-11-25T00:00:00"/>
    <d v="2021-12-16T00:00:00"/>
    <s v="REDAL AKTIV CZ s.r.o."/>
    <m/>
    <n v="6868105.9500000002"/>
    <n v="8310408.2000000002"/>
    <m/>
    <m/>
    <m/>
    <d v="2021-12-16T00:00:00"/>
    <s v="SMLN-2021-618-000088"/>
    <x v="6"/>
    <m/>
  </r>
  <r>
    <d v="2021-11-03T00:00:00"/>
    <s v="VZ-2021-001175"/>
    <x v="8"/>
    <s v="Kadlec"/>
    <x v="441"/>
    <m/>
    <m/>
    <m/>
    <s v="45453000-7"/>
    <m/>
    <n v="6500000"/>
    <x v="1"/>
    <d v="2021-11-26T00:00:00"/>
    <d v="2021-12-15T00:00:00"/>
    <m/>
    <m/>
    <m/>
    <m/>
    <m/>
    <m/>
    <m/>
    <m/>
    <m/>
    <m/>
    <x v="6"/>
    <m/>
  </r>
  <r>
    <d v="2021-10-25T00:00:00"/>
    <s v="VZ-2021-001178"/>
    <x v="2"/>
    <s v="Olejníček"/>
    <x v="442"/>
    <m/>
    <m/>
    <m/>
    <s v="33190000-8"/>
    <s v="2.2.279."/>
    <n v="1950000"/>
    <x v="2"/>
    <d v="2021-11-08T00:00:00"/>
    <d v="2021-11-16T00:00:00"/>
    <m/>
    <s v="DN FORMED Brno s.r.o."/>
    <m/>
    <n v="1381318"/>
    <n v="1671394.78"/>
    <m/>
    <m/>
    <m/>
    <m/>
    <m/>
    <x v="6"/>
    <m/>
  </r>
  <r>
    <d v="2021-10-08T00:00:00"/>
    <s v="VZ-2021-001183"/>
    <x v="2"/>
    <s v="Olejníček"/>
    <x v="443"/>
    <m/>
    <m/>
    <m/>
    <s v="33190000-8"/>
    <s v="2.3.560."/>
    <n v="190000"/>
    <x v="2"/>
    <d v="2021-11-08T00:00:00"/>
    <d v="2021-11-16T00:00:00"/>
    <d v="2021-12-03T00:00:00"/>
    <s v="Vivacom, s.r.o."/>
    <m/>
    <n v="176080"/>
    <n v="213056.8"/>
    <m/>
    <m/>
    <m/>
    <d v="2021-12-06T00:00:00"/>
    <s v="SMLN-2021-617-000712_x000a_SMLN-2021-612-000144"/>
    <x v="6"/>
    <m/>
  </r>
  <r>
    <s v="opakovaná VZ"/>
    <s v="VZ-2021-001184"/>
    <x v="1"/>
    <s v="Valtová"/>
    <x v="444"/>
    <m/>
    <m/>
    <m/>
    <s v="33140000-3"/>
    <m/>
    <n v="840000"/>
    <x v="0"/>
    <d v="2021-11-09T00:00:00"/>
    <d v="2021-12-13T00:00:00"/>
    <d v="2021-12-22T00:00:00"/>
    <s v="ARID obchodní společnost, s.r.o."/>
    <m/>
    <n v="945000"/>
    <n v="1086750"/>
    <m/>
    <m/>
    <m/>
    <d v="2021-12-22T00:00:00"/>
    <s v="SMLN-2021-617-000741_x000a_SMLN-2021-614-000132"/>
    <x v="6"/>
    <m/>
  </r>
  <r>
    <d v="2021-10-12T00:00:00"/>
    <s v="VZ-2021-001193"/>
    <x v="2"/>
    <s v="Olejníček"/>
    <x v="445"/>
    <m/>
    <m/>
    <m/>
    <s v="33190000-8"/>
    <s v="2.3.468."/>
    <n v="124000"/>
    <x v="2"/>
    <d v="2021-11-11T00:00:00"/>
    <d v="2021-11-25T00:00:00"/>
    <m/>
    <s v="zrušeno"/>
    <m/>
    <m/>
    <m/>
    <m/>
    <m/>
    <m/>
    <m/>
    <m/>
    <x v="6"/>
    <d v="2021-12-21T00:00:00"/>
  </r>
  <r>
    <s v="opakovaná VZ"/>
    <s v="VZ-2021-001196"/>
    <x v="1"/>
    <s v="Dočkalová"/>
    <x v="446"/>
    <m/>
    <m/>
    <m/>
    <s v="33140000-3"/>
    <m/>
    <n v="6336997"/>
    <x v="0"/>
    <d v="2021-11-23T00:00:00"/>
    <d v="2021-12-27T00:00:00"/>
    <m/>
    <s v="zrušeno - bez nabídky"/>
    <s v="nová VZ-2022-000005"/>
    <m/>
    <m/>
    <m/>
    <m/>
    <m/>
    <m/>
    <m/>
    <x v="6"/>
    <d v="2021-12-28T00:00:00"/>
  </r>
  <r>
    <d v="2021-09-14T00:00:00"/>
    <s v="VZ-2021-001197"/>
    <x v="2"/>
    <s v="Olejníček"/>
    <x v="447"/>
    <m/>
    <m/>
    <m/>
    <s v="38000000-5"/>
    <s v="2.2.353."/>
    <n v="139000"/>
    <x v="2"/>
    <d v="2021-11-15T00:00:00"/>
    <d v="2021-11-23T00:00:00"/>
    <d v="2021-12-03T00:00:00"/>
    <s v="bamed s.r.o."/>
    <m/>
    <n v="130385.35"/>
    <n v="157766.29999999999"/>
    <m/>
    <m/>
    <m/>
    <d v="2021-12-06T00:00:00"/>
    <s v="SMLN-2021-617-000713_x000a_SMLN-2021-612-000145"/>
    <x v="167"/>
    <d v="2022-01-06T00:00:00"/>
  </r>
  <r>
    <d v="2021-11-11T00:00:00"/>
    <s v="VZ-2021-001206"/>
    <x v="2"/>
    <s v="Rosulek"/>
    <x v="448"/>
    <m/>
    <m/>
    <m/>
    <s v="33151400-7"/>
    <s v="2.3.588"/>
    <n v="973000"/>
    <x v="2"/>
    <d v="2021-11-12T00:00:00"/>
    <d v="2021-11-19T00:00:00"/>
    <d v="2021-11-23T00:00:00"/>
    <s v="AMEDIS spol. s r.o."/>
    <m/>
    <n v="973000"/>
    <n v="1177330"/>
    <m/>
    <m/>
    <m/>
    <d v="2021-11-24T00:00:00"/>
    <s v="SMLN-2021-617-000680"/>
    <x v="166"/>
    <d v="2021-12-20T00:00:00"/>
  </r>
  <r>
    <d v="2021-11-03T00:00:00"/>
    <s v="VZ-2021-001207"/>
    <x v="1"/>
    <s v="Valtová"/>
    <x v="449"/>
    <n v="1"/>
    <s v="6.1. Dilatační balónkové katétry vaskulární I."/>
    <m/>
    <s v="33140000-3"/>
    <m/>
    <n v="3683250"/>
    <x v="0"/>
    <d v="2021-11-19T00:00:00"/>
    <d v="2021-12-31T00:00:00"/>
    <m/>
    <m/>
    <m/>
    <m/>
    <m/>
    <m/>
    <m/>
    <m/>
    <m/>
    <m/>
    <x v="6"/>
    <m/>
  </r>
  <r>
    <d v="2021-11-03T00:00:00"/>
    <s v="VZ-2021-001207"/>
    <x v="1"/>
    <s v="Valtová"/>
    <x v="449"/>
    <n v="2"/>
    <s v="6.2. Dilatační balónkové katétry vaskulární II."/>
    <m/>
    <s v="33140000-3"/>
    <m/>
    <n v="720000"/>
    <x v="0"/>
    <d v="2021-11-19T00:00:00"/>
    <d v="2021-12-31T00:00:00"/>
    <m/>
    <m/>
    <m/>
    <m/>
    <m/>
    <m/>
    <m/>
    <m/>
    <m/>
    <m/>
    <x v="6"/>
    <m/>
  </r>
  <r>
    <d v="2021-11-03T00:00:00"/>
    <s v="VZ-2021-001207"/>
    <x v="1"/>
    <s v="Valtová"/>
    <x v="449"/>
    <n v="3"/>
    <s v="6.3. Dilatační balónkové katétry vaskulární III."/>
    <m/>
    <s v="33140000-3"/>
    <m/>
    <n v="367500"/>
    <x v="0"/>
    <d v="2021-11-19T00:00:00"/>
    <d v="2021-12-31T00:00:00"/>
    <m/>
    <m/>
    <m/>
    <m/>
    <m/>
    <m/>
    <m/>
    <m/>
    <m/>
    <m/>
    <x v="6"/>
    <m/>
  </r>
  <r>
    <d v="2021-11-03T00:00:00"/>
    <s v="VZ-2021-001207"/>
    <x v="1"/>
    <s v="Valtová"/>
    <x v="449"/>
    <n v="4"/>
    <s v="6.4. Dilatační balónkové katétry vaskulární noncompliant"/>
    <m/>
    <s v="33140000-3"/>
    <m/>
    <n v="2451600"/>
    <x v="0"/>
    <d v="2021-11-19T00:00:00"/>
    <d v="2021-12-31T00:00:00"/>
    <m/>
    <m/>
    <m/>
    <m/>
    <m/>
    <m/>
    <m/>
    <m/>
    <m/>
    <m/>
    <x v="6"/>
    <m/>
  </r>
  <r>
    <d v="2021-11-03T00:00:00"/>
    <s v="VZ-2021-001207"/>
    <x v="1"/>
    <s v="Valtová"/>
    <x v="449"/>
    <n v="5"/>
    <s v="6.5. Dilatační balónkové katétry vaskulární noncompliant XXL"/>
    <m/>
    <s v="33140000-3"/>
    <m/>
    <n v="1320000"/>
    <x v="0"/>
    <d v="2021-11-19T00:00:00"/>
    <d v="2021-12-31T00:00:00"/>
    <m/>
    <m/>
    <m/>
    <m/>
    <m/>
    <m/>
    <m/>
    <m/>
    <m/>
    <m/>
    <x v="6"/>
    <m/>
  </r>
  <r>
    <d v="2021-11-03T00:00:00"/>
    <s v="VZ-2021-001207"/>
    <x v="1"/>
    <s v="Valtová"/>
    <x v="449"/>
    <n v="6"/>
    <s v="6.6. Dilatační balónkové katétry vaskulární po mikrovodících drátech monorial I."/>
    <m/>
    <s v="33140000-3"/>
    <m/>
    <n v="934800"/>
    <x v="0"/>
    <d v="2021-11-19T00:00:00"/>
    <d v="2021-12-31T00:00:00"/>
    <m/>
    <m/>
    <m/>
    <m/>
    <m/>
    <m/>
    <m/>
    <m/>
    <m/>
    <m/>
    <x v="6"/>
    <m/>
  </r>
  <r>
    <d v="2021-11-03T00:00:00"/>
    <s v="VZ-2021-001207"/>
    <x v="1"/>
    <s v="Valtová"/>
    <x v="449"/>
    <n v="7"/>
    <s v="6.7. Dilatační balónkové katétry vaskulární intrakraniální"/>
    <m/>
    <s v="33140000-3"/>
    <m/>
    <n v="364140"/>
    <x v="0"/>
    <d v="2021-11-19T00:00:00"/>
    <d v="2021-12-31T00:00:00"/>
    <m/>
    <m/>
    <m/>
    <m/>
    <m/>
    <m/>
    <m/>
    <m/>
    <m/>
    <m/>
    <x v="6"/>
    <m/>
  </r>
  <r>
    <d v="2021-11-03T00:00:00"/>
    <s v="VZ-2021-001207"/>
    <x v="1"/>
    <s v="Valtová"/>
    <x v="449"/>
    <n v="8"/>
    <s v="6.8. Řezací dilatační balónkové katétry vaskulární"/>
    <m/>
    <s v="33140000-3"/>
    <m/>
    <n v="122510"/>
    <x v="0"/>
    <d v="2021-11-19T00:00:00"/>
    <d v="2021-12-31T00:00:00"/>
    <m/>
    <m/>
    <m/>
    <m/>
    <m/>
    <m/>
    <m/>
    <m/>
    <m/>
    <m/>
    <x v="6"/>
    <m/>
  </r>
  <r>
    <d v="2021-11-03T00:00:00"/>
    <s v="VZ-2021-001207"/>
    <x v="1"/>
    <s v="Valtová"/>
    <x v="449"/>
    <n v="9"/>
    <s v="6.9. Dilatační balónkové katétry vaskulární po mikrovodících drátech monorial II."/>
    <m/>
    <s v="33140000-3"/>
    <m/>
    <n v="399726"/>
    <x v="0"/>
    <d v="2021-11-19T00:00:00"/>
    <d v="2021-12-31T00:00:00"/>
    <m/>
    <m/>
    <m/>
    <m/>
    <m/>
    <m/>
    <m/>
    <m/>
    <m/>
    <m/>
    <x v="6"/>
    <m/>
  </r>
  <r>
    <d v="2021-11-10T00:00:00"/>
    <s v="VZ-2021-001209"/>
    <x v="2"/>
    <s v="Olejníček"/>
    <x v="450"/>
    <n v="1"/>
    <s v="Termocykler"/>
    <m/>
    <s v="38434500-1"/>
    <s v="2.3.566."/>
    <n v="185000"/>
    <x v="2"/>
    <d v="2021-11-24T00:00:00"/>
    <d v="2021-12-02T00:00:00"/>
    <d v="2021-12-16T00:00:00"/>
    <s v="BIO-RAD spol.s r.o."/>
    <m/>
    <n v="149000"/>
    <n v="180290"/>
    <m/>
    <m/>
    <m/>
    <d v="2021-12-17T00:00:00"/>
    <s v="SMLN-2021-617-000736_x000a_SMLN-2021-612-000155"/>
    <x v="6"/>
    <m/>
  </r>
  <r>
    <d v="2021-11-10T00:00:00"/>
    <s v="VZ-2021-001209"/>
    <x v="2"/>
    <s v="Olejníček"/>
    <x v="450"/>
    <n v="2"/>
    <s v="384-jamkový modul k termocykleru"/>
    <m/>
    <s v="38434500-1"/>
    <s v="2.3.432."/>
    <n v="698300"/>
    <x v="2"/>
    <d v="2021-11-24T00:00:00"/>
    <d v="2021-12-02T00:00:00"/>
    <d v="2021-12-16T00:00:00"/>
    <s v="BIO-RAD spol.s r.o."/>
    <m/>
    <n v="688298"/>
    <n v="832840.58"/>
    <m/>
    <m/>
    <m/>
    <d v="2021-12-17T00:00:00"/>
    <s v="SMLN-2021-617-000737_x000a_SMLN-2021-612-000156"/>
    <x v="6"/>
    <m/>
  </r>
  <r>
    <d v="2021-11-09T00:00:00"/>
    <s v="VZ-2021-001214"/>
    <x v="1"/>
    <s v="Dočkalová"/>
    <x v="451"/>
    <m/>
    <m/>
    <m/>
    <s v="33182220-7"/>
    <m/>
    <n v="13891304.4"/>
    <x v="0"/>
    <d v="2021-11-24T00:00:00"/>
    <d v="2021-12-27T00:00:00"/>
    <m/>
    <m/>
    <m/>
    <m/>
    <m/>
    <m/>
    <m/>
    <m/>
    <m/>
    <m/>
    <x v="6"/>
    <m/>
  </r>
  <r>
    <d v="2021-11-11T00:00:00"/>
    <s v="VZ-2021-001228"/>
    <x v="4"/>
    <s v="Srovnal"/>
    <x v="452"/>
    <m/>
    <m/>
    <m/>
    <s v="32360000-4"/>
    <m/>
    <n v="1950000"/>
    <x v="2"/>
    <m/>
    <m/>
    <m/>
    <m/>
    <m/>
    <m/>
    <m/>
    <m/>
    <m/>
    <m/>
    <m/>
    <m/>
    <x v="6"/>
    <m/>
  </r>
  <r>
    <d v="2021-12-01T00:00:00"/>
    <s v="VZ-2021-001229"/>
    <x v="0"/>
    <s v="Ondráčková"/>
    <x v="453"/>
    <m/>
    <m/>
    <m/>
    <s v="33694000-1"/>
    <m/>
    <n v="4403200"/>
    <x v="0"/>
    <d v="2021-12-20T00:00:00"/>
    <d v="2022-01-24T00:00:00"/>
    <m/>
    <m/>
    <m/>
    <m/>
    <m/>
    <m/>
    <m/>
    <m/>
    <m/>
    <m/>
    <x v="6"/>
    <m/>
  </r>
  <r>
    <m/>
    <s v="VZ-2021-001230"/>
    <x v="0"/>
    <s v="Ondráčková"/>
    <x v="454"/>
    <m/>
    <m/>
    <m/>
    <s v="33694000-1"/>
    <m/>
    <n v="46443000"/>
    <x v="0"/>
    <m/>
    <m/>
    <m/>
    <m/>
    <m/>
    <m/>
    <m/>
    <m/>
    <m/>
    <m/>
    <m/>
    <m/>
    <x v="6"/>
    <m/>
  </r>
  <r>
    <d v="2021-11-12T00:00:00"/>
    <s v="VZ-2021-001238"/>
    <x v="1"/>
    <s v="Valtová"/>
    <x v="455"/>
    <n v="1"/>
    <s v="Stříkačka inflační pro PTCA I. a Y konektor  s  tlakově ovládanou hemostatickou chlopní"/>
    <m/>
    <s v="33140000-3"/>
    <m/>
    <n v="4002000"/>
    <x v="0"/>
    <d v="2021-11-26T00:00:00"/>
    <d v="2021-12-29T00:00:00"/>
    <m/>
    <m/>
    <m/>
    <m/>
    <m/>
    <m/>
    <m/>
    <m/>
    <m/>
    <m/>
    <x v="6"/>
    <m/>
  </r>
  <r>
    <d v="2021-11-12T00:00:00"/>
    <s v="VZ-2021-001238"/>
    <x v="1"/>
    <s v="Valtová"/>
    <x v="455"/>
    <n v="2"/>
    <s v="Stříkačka inflační pro PTCA II."/>
    <m/>
    <s v="33140000-3"/>
    <m/>
    <n v="850000"/>
    <x v="0"/>
    <d v="2021-11-26T00:00:00"/>
    <d v="2021-12-29T00:00:00"/>
    <m/>
    <m/>
    <m/>
    <m/>
    <m/>
    <m/>
    <m/>
    <m/>
    <m/>
    <m/>
    <x v="6"/>
    <m/>
  </r>
  <r>
    <d v="2021-11-01T00:00:00"/>
    <s v="VZ-2021-001240"/>
    <x v="2"/>
    <s v="Olejníček"/>
    <x v="456"/>
    <m/>
    <m/>
    <m/>
    <s v="33124120-2"/>
    <s v="2.2.386,392,393"/>
    <n v="1050000"/>
    <x v="0"/>
    <d v="2021-11-25T00:00:00"/>
    <d v="2022-01-17T00:00:00"/>
    <m/>
    <m/>
    <m/>
    <m/>
    <m/>
    <m/>
    <m/>
    <m/>
    <m/>
    <m/>
    <x v="6"/>
    <m/>
  </r>
  <r>
    <d v="2021-11-15T00:00:00"/>
    <s v="VZ-2021-001241"/>
    <x v="2"/>
    <s v="Olejníček"/>
    <x v="457"/>
    <m/>
    <m/>
    <m/>
    <s v="33161000-6"/>
    <s v="2.2.356,357"/>
    <n v="493223"/>
    <x v="2"/>
    <d v="2021-11-24T00:00:00"/>
    <d v="2021-12-02T00:00:00"/>
    <m/>
    <m/>
    <m/>
    <m/>
    <m/>
    <m/>
    <m/>
    <m/>
    <m/>
    <m/>
    <x v="6"/>
    <m/>
  </r>
  <r>
    <d v="2021-11-15T00:00:00"/>
    <s v="VZ-2021-001244"/>
    <x v="4"/>
    <s v="Srovnal"/>
    <x v="458"/>
    <m/>
    <m/>
    <m/>
    <s v="45223300-9"/>
    <s v="4.2.169."/>
    <n v="320000"/>
    <x v="2"/>
    <d v="2021-11-26T00:00:00"/>
    <d v="2021-12-06T00:00:00"/>
    <d v="2021-12-16T00:00:00"/>
    <s v="ELEKTRO-FLEXI s.r.o."/>
    <m/>
    <n v="235389"/>
    <n v="284820.69"/>
    <m/>
    <m/>
    <m/>
    <d v="2021-12-16T00:00:00"/>
    <s v="SMLN-2021-618-000090"/>
    <x v="6"/>
    <m/>
  </r>
  <r>
    <d v="2021-11-15T00:00:00"/>
    <s v="VZ-2021-001247"/>
    <x v="0"/>
    <s v="Ondráčková"/>
    <x v="459"/>
    <n v="1"/>
    <s v="Medicinální plyny z ATC N01AX63"/>
    <m/>
    <s v="24111500-0"/>
    <m/>
    <n v="4334535"/>
    <x v="0"/>
    <d v="2021-11-25T00:00:00"/>
    <d v="2022-01-05T00:00:00"/>
    <m/>
    <m/>
    <m/>
    <m/>
    <m/>
    <m/>
    <m/>
    <m/>
    <m/>
    <m/>
    <x v="6"/>
    <m/>
  </r>
  <r>
    <d v="2021-11-15T00:00:00"/>
    <s v="VZ-2021-001247"/>
    <x v="0"/>
    <s v="Ondráčková"/>
    <x v="459"/>
    <n v="2"/>
    <s v="Medicinální plyny I."/>
    <m/>
    <s v="24111500-0"/>
    <m/>
    <n v="1391250"/>
    <x v="0"/>
    <d v="2021-11-25T00:00:00"/>
    <d v="2022-01-05T00:00:00"/>
    <m/>
    <m/>
    <m/>
    <m/>
    <m/>
    <m/>
    <m/>
    <m/>
    <m/>
    <m/>
    <x v="6"/>
    <m/>
  </r>
  <r>
    <d v="2021-11-15T00:00:00"/>
    <s v="VZ-2021-001247"/>
    <x v="0"/>
    <s v="Ondráčková"/>
    <x v="459"/>
    <n v="3"/>
    <s v="Medicinální plyny II."/>
    <m/>
    <s v="24111500-0"/>
    <m/>
    <n v="1064952"/>
    <x v="0"/>
    <d v="2021-11-25T00:00:00"/>
    <d v="2022-01-05T00:00:00"/>
    <m/>
    <m/>
    <m/>
    <m/>
    <m/>
    <m/>
    <m/>
    <m/>
    <m/>
    <m/>
    <x v="6"/>
    <m/>
  </r>
  <r>
    <d v="2021-11-15T00:00:00"/>
    <s v="VZ-2021-001247"/>
    <x v="0"/>
    <s v="Ondráčková"/>
    <x v="459"/>
    <n v="4"/>
    <s v="Suchý led"/>
    <m/>
    <s v="24111500-0"/>
    <m/>
    <n v="55224"/>
    <x v="0"/>
    <d v="2021-11-25T00:00:00"/>
    <d v="2022-01-05T00:00:00"/>
    <m/>
    <m/>
    <m/>
    <m/>
    <m/>
    <m/>
    <m/>
    <m/>
    <m/>
    <m/>
    <x v="6"/>
    <m/>
  </r>
  <r>
    <s v="opakovaná VZ"/>
    <s v="VZ-2021-001248"/>
    <x v="2"/>
    <s v="Olejníček"/>
    <x v="460"/>
    <m/>
    <m/>
    <m/>
    <s v="33192000-2"/>
    <m/>
    <n v="360000"/>
    <x v="2"/>
    <m/>
    <m/>
    <m/>
    <m/>
    <m/>
    <m/>
    <m/>
    <m/>
    <m/>
    <m/>
    <m/>
    <m/>
    <x v="6"/>
    <m/>
  </r>
  <r>
    <d v="2021-09-14T00:00:00"/>
    <s v="VZ-2021-001249"/>
    <x v="9"/>
    <s v="Svozil"/>
    <x v="461"/>
    <m/>
    <m/>
    <m/>
    <s v="77300000-3"/>
    <m/>
    <n v="4000000"/>
    <x v="0"/>
    <m/>
    <m/>
    <m/>
    <m/>
    <m/>
    <m/>
    <m/>
    <m/>
    <m/>
    <m/>
    <m/>
    <m/>
    <x v="6"/>
    <m/>
  </r>
  <r>
    <d v="2021-11-19T00:00:00"/>
    <s v="VZ-2021-001251"/>
    <x v="5"/>
    <s v="Oravec"/>
    <x v="462"/>
    <m/>
    <m/>
    <m/>
    <s v="33124000-5"/>
    <s v="3.2.58."/>
    <n v="1470000"/>
    <x v="2"/>
    <d v="2021-11-29T00:00:00"/>
    <d v="2021-12-08T00:00:00"/>
    <d v="2021-12-16T00:00:00"/>
    <s v="OR-CZ spol. s r.o."/>
    <m/>
    <n v="1336800"/>
    <n v="1617528"/>
    <m/>
    <m/>
    <m/>
    <d v="2021-12-17T00:00:00"/>
    <s v="SMLN-2021-617-000735"/>
    <x v="6"/>
    <m/>
  </r>
  <r>
    <d v="2021-11-24T00:00:00"/>
    <s v="VZ-2021-001252"/>
    <x v="10"/>
    <s v="Zdráhalová"/>
    <x v="463"/>
    <m/>
    <m/>
    <m/>
    <s v="35113490-0"/>
    <m/>
    <n v="780000"/>
    <x v="2"/>
    <d v="2021-12-02T00:00:00"/>
    <d v="2021-12-08T00:00:00"/>
    <d v="2021-12-15T00:00:00"/>
    <s v="MEDISERVIS s.r.o."/>
    <m/>
    <n v="509400"/>
    <n v="616374"/>
    <m/>
    <m/>
    <m/>
    <d v="2021-12-15T00:00:00"/>
    <s v="SMLN-2021-617-000724"/>
    <x v="6"/>
    <m/>
  </r>
  <r>
    <d v="2021-11-12T00:00:00"/>
    <s v="VZ-2021-001257"/>
    <x v="8"/>
    <s v="Kadlec"/>
    <x v="464"/>
    <m/>
    <m/>
    <m/>
    <s v="45453000-7"/>
    <m/>
    <n v="350000"/>
    <x v="2"/>
    <d v="2021-11-26T00:00:00"/>
    <d v="2021-12-06T00:00:00"/>
    <d v="2021-12-16T00:00:00"/>
    <s v="ELEKTRO-FLEXI s.r.o."/>
    <m/>
    <n v="322050.71000000002"/>
    <n v="389681.36"/>
    <m/>
    <m/>
    <m/>
    <d v="2021-12-16T00:00:00"/>
    <s v="SMLN-2021-618-000091"/>
    <x v="6"/>
    <m/>
  </r>
  <r>
    <d v="2021-10-06T00:00:00"/>
    <s v="VZ-2021-001260"/>
    <x v="2"/>
    <s v="Olejníček"/>
    <x v="465"/>
    <m/>
    <m/>
    <m/>
    <s v="33158200-4"/>
    <s v="2.2.334."/>
    <n v="59000"/>
    <x v="2"/>
    <d v="2021-11-30T00:00:00"/>
    <d v="2021-12-10T00:00:00"/>
    <d v="2021-12-16T00:00:00"/>
    <s v="WALTER Graphtek CZ s.r.o."/>
    <m/>
    <n v="58970"/>
    <n v="71357.7"/>
    <m/>
    <m/>
    <m/>
    <d v="2021-12-16T00:00:00"/>
    <s v="SMLN-2021-617-000734"/>
    <x v="6"/>
    <m/>
  </r>
  <r>
    <d v="2021-11-24T00:00:00"/>
    <s v="VZ-2021-001261"/>
    <x v="11"/>
    <s v="Olejníček"/>
    <x v="466"/>
    <n v="1"/>
    <s v="Laboratorní mikroskopy   "/>
    <m/>
    <s v="38634000-8 "/>
    <s v="2.3.569."/>
    <n v="1786211"/>
    <x v="0"/>
    <m/>
    <m/>
    <m/>
    <s v="nerealizováno v roce 2021"/>
    <s v="VZ-2022-000009"/>
    <m/>
    <m/>
    <m/>
    <m/>
    <m/>
    <m/>
    <m/>
    <x v="6"/>
    <m/>
  </r>
  <r>
    <d v="2021-11-24T00:00:00"/>
    <s v="VZ-2021-001261"/>
    <x v="11"/>
    <s v="Olejníček"/>
    <x v="466"/>
    <n v="2"/>
    <s v="Inverzní optický mikroskop"/>
    <m/>
    <s v="38634000-8 "/>
    <m/>
    <n v="102536"/>
    <x v="0"/>
    <m/>
    <m/>
    <m/>
    <s v="nerealizováno v roce 2021"/>
    <s v="VZ-2022-000009"/>
    <m/>
    <m/>
    <m/>
    <m/>
    <m/>
    <m/>
    <m/>
    <x v="6"/>
    <m/>
  </r>
  <r>
    <d v="2021-11-24T00:00:00"/>
    <s v="VZ-2021-001261"/>
    <x v="11"/>
    <s v="Olejníček"/>
    <x v="466"/>
    <n v="3"/>
    <s v="Mikroskop pro III. Inetrní kliniku"/>
    <m/>
    <s v="38634000-8 "/>
    <m/>
    <n v="195162"/>
    <x v="0"/>
    <m/>
    <m/>
    <m/>
    <s v="nerealizováno v roce 2021"/>
    <s v="VZ-2022-000009"/>
    <m/>
    <m/>
    <m/>
    <m/>
    <m/>
    <m/>
    <m/>
    <x v="6"/>
    <m/>
  </r>
  <r>
    <s v="opakovaná VZ"/>
    <s v="VZ-2021-001263"/>
    <x v="1"/>
    <s v="Valtová"/>
    <x v="467"/>
    <m/>
    <m/>
    <m/>
    <s v="33140000-3"/>
    <m/>
    <n v="335440"/>
    <x v="2"/>
    <d v="2021-12-06T00:00:00"/>
    <d v="2021-12-13T00:00:00"/>
    <d v="2021-12-16T00:00:00"/>
    <s v="MSM, spol. s r.o."/>
    <m/>
    <n v="365897.6"/>
    <n v="442736.1"/>
    <m/>
    <m/>
    <m/>
    <d v="2021-12-17T00:00:00"/>
    <s v="SMLN-2021-617-000738_x000a_SMLN-2021-614-000131"/>
    <x v="6"/>
    <m/>
  </r>
  <r>
    <d v="2021-11-25T00:00:00"/>
    <s v="VZ-2021-001265"/>
    <x v="3"/>
    <s v="Langer"/>
    <x v="468"/>
    <m/>
    <m/>
    <m/>
    <s v="45454000-4"/>
    <s v="1.2.79."/>
    <n v="35000000"/>
    <x v="1"/>
    <d v="2021-11-30T00:00:00"/>
    <d v="2021-12-17T00:00:00"/>
    <m/>
    <m/>
    <m/>
    <m/>
    <m/>
    <m/>
    <m/>
    <m/>
    <m/>
    <m/>
    <x v="6"/>
    <m/>
  </r>
  <r>
    <d v="2021-11-25T00:00:00"/>
    <s v="VZ-2021-001268"/>
    <x v="10"/>
    <s v="Zdráhalová"/>
    <x v="469"/>
    <m/>
    <m/>
    <m/>
    <s v="39120000-9"/>
    <m/>
    <n v="1100000"/>
    <x v="2"/>
    <d v="2021-11-26T00:00:00"/>
    <d v="2021-12-17T00:00:00"/>
    <m/>
    <m/>
    <m/>
    <m/>
    <m/>
    <m/>
    <m/>
    <m/>
    <m/>
    <m/>
    <x v="6"/>
    <m/>
  </r>
  <r>
    <d v="2021-11-26T00:00:00"/>
    <s v="VZ-2021-001269"/>
    <x v="2"/>
    <s v="Rosulek"/>
    <x v="470"/>
    <n v="1"/>
    <s v="Modulární bateriové soupravy k menším výkonům v ortopedii"/>
    <m/>
    <s v="33160000-9"/>
    <s v="2.2.343."/>
    <n v="750000"/>
    <x v="0"/>
    <m/>
    <m/>
    <m/>
    <s v="nerealizováno v roce 2021"/>
    <s v="VZ-2022-000010"/>
    <m/>
    <m/>
    <m/>
    <m/>
    <m/>
    <m/>
    <m/>
    <x v="6"/>
    <m/>
  </r>
  <r>
    <d v="2021-11-26T00:00:00"/>
    <s v="VZ-2021-001269"/>
    <x v="2"/>
    <s v="Rosulek"/>
    <x v="470"/>
    <n v="2"/>
    <s v="Akumulátorové soupravy pro střední výkony v ortopedii"/>
    <m/>
    <s v="33160000-9"/>
    <s v="2.2.344."/>
    <n v="850000"/>
    <x v="0"/>
    <m/>
    <m/>
    <m/>
    <s v="nerealizováno v roce 2021"/>
    <s v="VZ-2022-000010"/>
    <m/>
    <m/>
    <m/>
    <m/>
    <m/>
    <m/>
    <m/>
    <x v="6"/>
    <m/>
  </r>
  <r>
    <d v="2021-11-16T00:00:00"/>
    <s v="VZ-2021-001272"/>
    <x v="1"/>
    <s v="Valtová"/>
    <x v="471"/>
    <m/>
    <m/>
    <m/>
    <s v="33140000-3"/>
    <m/>
    <n v="5986475"/>
    <x v="0"/>
    <d v="2021-12-02T00:00:00"/>
    <d v="2022-01-04T00:00:00"/>
    <m/>
    <m/>
    <m/>
    <m/>
    <m/>
    <m/>
    <m/>
    <m/>
    <m/>
    <m/>
    <x v="6"/>
    <m/>
  </r>
  <r>
    <d v="2021-11-24T00:00:00"/>
    <s v="VZ-2021-001275"/>
    <x v="0"/>
    <s v="Ondráčková"/>
    <x v="472"/>
    <n v="1"/>
    <s v="LANTUS "/>
    <m/>
    <s v="33615100-5"/>
    <m/>
    <n v="10941317"/>
    <x v="0"/>
    <m/>
    <m/>
    <m/>
    <m/>
    <m/>
    <m/>
    <m/>
    <m/>
    <m/>
    <m/>
    <m/>
    <m/>
    <x v="6"/>
    <m/>
  </r>
  <r>
    <d v="2021-11-24T00:00:00"/>
    <s v="VZ-2021-001275"/>
    <x v="0"/>
    <s v="Ondráčková"/>
    <x v="472"/>
    <n v="2"/>
    <s v="ABASAGLAR "/>
    <m/>
    <s v="33615100-5"/>
    <m/>
    <n v="901115"/>
    <x v="0"/>
    <m/>
    <m/>
    <m/>
    <m/>
    <m/>
    <m/>
    <m/>
    <m/>
    <m/>
    <m/>
    <m/>
    <m/>
    <x v="6"/>
    <m/>
  </r>
  <r>
    <d v="2021-11-24T00:00:00"/>
    <s v="VZ-2021-001275"/>
    <x v="0"/>
    <s v="Ondráčková"/>
    <x v="472"/>
    <n v="3"/>
    <s v="TOUJEO FN OL"/>
    <m/>
    <s v="33615100-5"/>
    <m/>
    <n v="15078150"/>
    <x v="0"/>
    <m/>
    <m/>
    <m/>
    <m/>
    <m/>
    <m/>
    <m/>
    <m/>
    <m/>
    <m/>
    <m/>
    <m/>
    <x v="6"/>
    <m/>
  </r>
  <r>
    <d v="2021-11-24T00:00:00"/>
    <s v="VZ-2021-001276"/>
    <x v="0"/>
    <s v="Ondráčková"/>
    <x v="473"/>
    <n v="1"/>
    <s v="IRINOTEKAN PEGYLOVANÝ"/>
    <m/>
    <s v="33652000-5"/>
    <m/>
    <n v="2227932"/>
    <x v="0"/>
    <d v="2021-12-06T00:00:00"/>
    <d v="2022-01-20T00:00:00"/>
    <m/>
    <m/>
    <m/>
    <m/>
    <m/>
    <m/>
    <m/>
    <m/>
    <m/>
    <m/>
    <x v="6"/>
    <m/>
  </r>
  <r>
    <d v="2021-11-24T00:00:00"/>
    <s v="VZ-2021-001276"/>
    <x v="0"/>
    <s v="Ondráčková"/>
    <x v="473"/>
    <n v="2"/>
    <s v="ALPELISIB"/>
    <m/>
    <s v="33652000-5"/>
    <m/>
    <n v="8217507"/>
    <x v="0"/>
    <d v="2021-12-06T00:00:00"/>
    <d v="2022-01-20T00:00:00"/>
    <m/>
    <m/>
    <m/>
    <m/>
    <m/>
    <m/>
    <m/>
    <m/>
    <m/>
    <m/>
    <x v="6"/>
    <m/>
  </r>
  <r>
    <d v="2021-11-24T00:00:00"/>
    <s v="VZ-2021-001276"/>
    <x v="0"/>
    <s v="Ondráčková"/>
    <x v="473"/>
    <n v="3"/>
    <s v="CETUXIMAB"/>
    <m/>
    <s v="33652000-5"/>
    <m/>
    <n v="28045433"/>
    <x v="0"/>
    <d v="2021-12-06T00:00:00"/>
    <d v="2022-01-20T00:00:00"/>
    <m/>
    <m/>
    <m/>
    <m/>
    <m/>
    <m/>
    <m/>
    <m/>
    <m/>
    <m/>
    <x v="6"/>
    <m/>
  </r>
  <r>
    <d v="2021-11-24T00:00:00"/>
    <s v="VZ-2021-001276"/>
    <x v="0"/>
    <s v="Ondráčková"/>
    <x v="473"/>
    <n v="4"/>
    <s v="PANITUMUMAB"/>
    <m/>
    <s v="33652000-5"/>
    <m/>
    <n v="27775405"/>
    <x v="0"/>
    <d v="2021-12-06T00:00:00"/>
    <d v="2022-01-20T00:00:00"/>
    <m/>
    <m/>
    <m/>
    <m/>
    <m/>
    <m/>
    <m/>
    <m/>
    <m/>
    <m/>
    <x v="6"/>
    <m/>
  </r>
  <r>
    <d v="2021-11-24T00:00:00"/>
    <s v="VZ-2021-001276"/>
    <x v="0"/>
    <s v="Ondráčková"/>
    <x v="473"/>
    <n v="5"/>
    <s v="RAMUCIRUMAB"/>
    <m/>
    <s v="33652000-5"/>
    <m/>
    <n v="17089758"/>
    <x v="0"/>
    <d v="2021-12-06T00:00:00"/>
    <d v="2022-01-20T00:00:00"/>
    <m/>
    <m/>
    <m/>
    <m/>
    <m/>
    <m/>
    <m/>
    <m/>
    <m/>
    <m/>
    <x v="6"/>
    <m/>
  </r>
  <r>
    <d v="2021-11-24T00:00:00"/>
    <s v="VZ-2021-001276"/>
    <x v="0"/>
    <s v="Ondráčková"/>
    <x v="473"/>
    <n v="6"/>
    <s v="LAROTREKTINIB"/>
    <m/>
    <s v="33652000-5"/>
    <m/>
    <n v="12126777"/>
    <x v="0"/>
    <d v="2021-12-06T00:00:00"/>
    <d v="2022-01-20T00:00:00"/>
    <m/>
    <m/>
    <m/>
    <m/>
    <m/>
    <m/>
    <m/>
    <m/>
    <m/>
    <m/>
    <x v="6"/>
    <m/>
  </r>
  <r>
    <d v="2021-11-24T00:00:00"/>
    <s v="VZ-2021-001276"/>
    <x v="0"/>
    <s v="Ondráčková"/>
    <x v="473"/>
    <n v="7"/>
    <s v="GILTERITINIB"/>
    <m/>
    <s v="33652000-5"/>
    <m/>
    <n v="45734721"/>
    <x v="0"/>
    <d v="2021-12-06T00:00:00"/>
    <d v="2022-01-20T00:00:00"/>
    <m/>
    <m/>
    <m/>
    <m/>
    <m/>
    <m/>
    <m/>
    <m/>
    <m/>
    <m/>
    <x v="6"/>
    <m/>
  </r>
  <r>
    <d v="2021-11-24T00:00:00"/>
    <s v="VZ-2021-001276"/>
    <x v="0"/>
    <s v="Ondráčková"/>
    <x v="473"/>
    <n v="8"/>
    <s v="ENTREKTINIB"/>
    <m/>
    <s v="33652000-5"/>
    <m/>
    <n v="13490912"/>
    <x v="0"/>
    <d v="2021-12-06T00:00:00"/>
    <d v="2022-01-20T00:00:00"/>
    <m/>
    <m/>
    <m/>
    <m/>
    <m/>
    <m/>
    <m/>
    <m/>
    <m/>
    <m/>
    <x v="6"/>
    <m/>
  </r>
  <r>
    <d v="2021-11-24T00:00:00"/>
    <s v="VZ-2021-001277"/>
    <x v="0"/>
    <s v="Ondráčková"/>
    <x v="474"/>
    <n v="1"/>
    <s v="SIPONIMOD"/>
    <m/>
    <s v="33652300-8"/>
    <m/>
    <n v="2605479"/>
    <x v="0"/>
    <d v="2021-12-02T00:00:00"/>
    <d v="2022-01-17T00:00:00"/>
    <m/>
    <m/>
    <m/>
    <m/>
    <m/>
    <m/>
    <m/>
    <m/>
    <m/>
    <m/>
    <x v="6"/>
    <m/>
  </r>
  <r>
    <d v="2021-11-24T00:00:00"/>
    <s v="VZ-2021-001277"/>
    <x v="0"/>
    <s v="Ondráčková"/>
    <x v="474"/>
    <n v="2"/>
    <s v="RAVULIZUMAB"/>
    <m/>
    <s v="33652300-8"/>
    <m/>
    <n v="7299480"/>
    <x v="0"/>
    <d v="2021-12-02T00:00:00"/>
    <d v="2022-01-17T00:00:00"/>
    <m/>
    <m/>
    <m/>
    <m/>
    <m/>
    <m/>
    <m/>
    <m/>
    <m/>
    <m/>
    <x v="6"/>
    <m/>
  </r>
  <r>
    <d v="2021-11-24T00:00:00"/>
    <s v="VZ-2021-001277"/>
    <x v="0"/>
    <s v="Ondráčková"/>
    <x v="474"/>
    <n v="3"/>
    <s v="MYFENAX"/>
    <m/>
    <s v="33652300-8"/>
    <m/>
    <n v="2022861"/>
    <x v="0"/>
    <d v="2021-12-02T00:00:00"/>
    <d v="2022-01-17T00:00:00"/>
    <m/>
    <m/>
    <m/>
    <m/>
    <m/>
    <m/>
    <m/>
    <m/>
    <m/>
    <m/>
    <x v="6"/>
    <m/>
  </r>
  <r>
    <d v="2021-11-24T00:00:00"/>
    <s v="VZ-2021-001277"/>
    <x v="0"/>
    <s v="Ondráčková"/>
    <x v="474"/>
    <n v="4"/>
    <s v="MYFORTIC"/>
    <m/>
    <s v="33652300-8"/>
    <m/>
    <n v="518517"/>
    <x v="0"/>
    <d v="2021-12-02T00:00:00"/>
    <d v="2022-01-17T00:00:00"/>
    <m/>
    <m/>
    <m/>
    <m/>
    <m/>
    <m/>
    <m/>
    <m/>
    <m/>
    <m/>
    <x v="6"/>
    <m/>
  </r>
  <r>
    <d v="2021-11-24T00:00:00"/>
    <s v="VZ-2021-001277"/>
    <x v="0"/>
    <s v="Ondráčková"/>
    <x v="474"/>
    <n v="5"/>
    <s v="DARVADSTROCEL"/>
    <m/>
    <s v="33652300-8"/>
    <m/>
    <n v="55000062"/>
    <x v="0"/>
    <d v="2021-12-02T00:00:00"/>
    <d v="2022-01-17T00:00:00"/>
    <m/>
    <m/>
    <m/>
    <m/>
    <m/>
    <m/>
    <m/>
    <m/>
    <m/>
    <m/>
    <x v="6"/>
    <m/>
  </r>
  <r>
    <d v="2021-12-03T00:00:00"/>
    <s v="VZ-2021-001279"/>
    <x v="8"/>
    <s v="Kadlec"/>
    <x v="475"/>
    <m/>
    <m/>
    <m/>
    <s v="45351000-2"/>
    <m/>
    <n v="500000"/>
    <x v="2"/>
    <d v="2021-12-14T00:00:00"/>
    <d v="2021-12-29T00:00:00"/>
    <m/>
    <m/>
    <m/>
    <m/>
    <m/>
    <m/>
    <m/>
    <m/>
    <m/>
    <m/>
    <x v="6"/>
    <m/>
  </r>
  <r>
    <d v="2021-11-26T00:00:00"/>
    <s v="VZ-2021-001280"/>
    <x v="2"/>
    <s v="Rosulek"/>
    <x v="476"/>
    <m/>
    <m/>
    <m/>
    <s v="38000000-5"/>
    <s v="2.3.322., 2.2.411."/>
    <n v="10200000"/>
    <x v="0"/>
    <m/>
    <m/>
    <m/>
    <s v="nerealizováno v roce 2021"/>
    <s v="VZ-2022-000007"/>
    <m/>
    <m/>
    <m/>
    <m/>
    <m/>
    <m/>
    <m/>
    <x v="6"/>
    <m/>
  </r>
  <r>
    <d v="2021-11-25T00:00:00"/>
    <s v="VZ-2021-001281"/>
    <x v="1"/>
    <s v="Dočkalová"/>
    <x v="477"/>
    <m/>
    <m/>
    <m/>
    <s v="33162200-5"/>
    <m/>
    <n v="2549860"/>
    <x v="1"/>
    <d v="2021-12-02T00:00:00"/>
    <d v="2021-12-27T00:00:00"/>
    <m/>
    <m/>
    <m/>
    <m/>
    <m/>
    <m/>
    <m/>
    <m/>
    <m/>
    <m/>
    <x v="6"/>
    <m/>
  </r>
  <r>
    <s v="opakovaná VZ"/>
    <s v="VZ-2021-001282"/>
    <x v="0"/>
    <s v="Ondráčková"/>
    <x v="478"/>
    <m/>
    <m/>
    <m/>
    <s v="33694000-1"/>
    <m/>
    <n v="4650131"/>
    <x v="0"/>
    <d v="2021-12-07T00:00:00"/>
    <d v="2022-01-10T00:00:00"/>
    <m/>
    <m/>
    <m/>
    <m/>
    <m/>
    <m/>
    <m/>
    <m/>
    <m/>
    <m/>
    <x v="6"/>
    <m/>
  </r>
  <r>
    <d v="2021-11-29T00:00:00"/>
    <s v="VZ-2021-001288"/>
    <x v="0"/>
    <s v="Ondráčková"/>
    <x v="479"/>
    <m/>
    <m/>
    <m/>
    <s v="33652100-6"/>
    <m/>
    <n v="32332000"/>
    <x v="3"/>
    <d v="2021-12-03T00:00:00"/>
    <d v="2022-01-05T00:00:00"/>
    <m/>
    <m/>
    <m/>
    <m/>
    <m/>
    <m/>
    <m/>
    <m/>
    <m/>
    <m/>
    <x v="6"/>
    <m/>
  </r>
  <r>
    <d v="2021-11-30T00:00:00"/>
    <s v="VZ-2021-001289"/>
    <x v="0"/>
    <s v="Ondráčková"/>
    <x v="480"/>
    <m/>
    <m/>
    <m/>
    <s v="33694000-1"/>
    <m/>
    <n v="11814000"/>
    <x v="0"/>
    <d v="2021-12-17T00:00:00"/>
    <d v="2022-01-20T00:00:00"/>
    <m/>
    <m/>
    <m/>
    <m/>
    <m/>
    <m/>
    <m/>
    <m/>
    <m/>
    <m/>
    <x v="6"/>
    <m/>
  </r>
  <r>
    <d v="2021-11-01T00:00:00"/>
    <s v="VZ-2021-001297"/>
    <x v="1"/>
    <s v="Dočkalová"/>
    <x v="481"/>
    <n v="1"/>
    <s v="Protézy cévní Gelsoft Plus"/>
    <m/>
    <s v="33184200-5"/>
    <m/>
    <n v="1154583"/>
    <x v="0"/>
    <d v="2021-12-09T00:00:00"/>
    <d v="2022-01-12T00:00:00"/>
    <m/>
    <m/>
    <m/>
    <m/>
    <m/>
    <m/>
    <m/>
    <m/>
    <m/>
    <m/>
    <x v="6"/>
    <m/>
  </r>
  <r>
    <s v="opakovaná VZ"/>
    <s v="VZ-2021-001297"/>
    <x v="1"/>
    <s v="Dočkalová"/>
    <x v="481"/>
    <n v="2"/>
    <s v="Protézy cévní II."/>
    <m/>
    <s v="33184200-5"/>
    <m/>
    <n v="89870"/>
    <x v="0"/>
    <d v="2021-12-09T00:00:00"/>
    <d v="2022-01-12T00:00:00"/>
    <m/>
    <m/>
    <m/>
    <m/>
    <m/>
    <m/>
    <m/>
    <m/>
    <m/>
    <m/>
    <x v="6"/>
    <m/>
  </r>
  <r>
    <s v="opakovaná VZ"/>
    <s v="VZ-2021-001297"/>
    <x v="1"/>
    <s v="Dočkalová"/>
    <x v="481"/>
    <n v="3"/>
    <s v="Protézy cévní III."/>
    <m/>
    <s v="33184200-5"/>
    <m/>
    <n v="1827770"/>
    <x v="0"/>
    <d v="2021-12-09T00:00:00"/>
    <d v="2022-01-12T00:00:00"/>
    <m/>
    <m/>
    <m/>
    <m/>
    <m/>
    <m/>
    <m/>
    <m/>
    <m/>
    <m/>
    <x v="6"/>
    <m/>
  </r>
  <r>
    <s v="opakovaná VZ"/>
    <s v="VZ-2021-001297"/>
    <x v="1"/>
    <s v="Dočkalová"/>
    <x v="481"/>
    <n v="4"/>
    <s v="Protézy cévní IV."/>
    <m/>
    <s v="33184200-5"/>
    <m/>
    <n v="56870"/>
    <x v="0"/>
    <d v="2021-12-09T00:00:00"/>
    <d v="2022-01-12T00:00:00"/>
    <m/>
    <m/>
    <m/>
    <m/>
    <m/>
    <m/>
    <m/>
    <m/>
    <m/>
    <m/>
    <x v="6"/>
    <m/>
  </r>
  <r>
    <s v="opakovaná VZ"/>
    <s v="VZ-2021-001297"/>
    <x v="1"/>
    <s v="Dočkalová"/>
    <x v="481"/>
    <n v="5"/>
    <s v="Protézy cévní V."/>
    <m/>
    <s v="33184200-5"/>
    <m/>
    <n v="2835100"/>
    <x v="0"/>
    <d v="2021-12-09T00:00:00"/>
    <d v="2022-01-12T00:00:00"/>
    <m/>
    <m/>
    <m/>
    <m/>
    <m/>
    <m/>
    <m/>
    <m/>
    <m/>
    <m/>
    <x v="6"/>
    <m/>
  </r>
  <r>
    <d v="2021-12-02T00:00:00"/>
    <s v="VZ-2021-001298"/>
    <x v="0"/>
    <s v="Ondráčková"/>
    <x v="482"/>
    <m/>
    <m/>
    <m/>
    <s v="33694000-1"/>
    <m/>
    <n v="1610000"/>
    <x v="1"/>
    <d v="2021-12-09T00:00:00"/>
    <d v="2022-01-04T00:00:00"/>
    <m/>
    <m/>
    <m/>
    <m/>
    <m/>
    <m/>
    <m/>
    <m/>
    <m/>
    <m/>
    <x v="6"/>
    <m/>
  </r>
  <r>
    <d v="2021-12-02T00:00:00"/>
    <s v="VZ-2021-001299"/>
    <x v="0"/>
    <s v="Ondráčková"/>
    <x v="483"/>
    <n v="1"/>
    <s v="VANDETANIB "/>
    <m/>
    <s v="33652000-5"/>
    <m/>
    <n v="7836762"/>
    <x v="0"/>
    <d v="2021-12-08T00:00:00"/>
    <d v="2022-02-07T00:00:00"/>
    <m/>
    <m/>
    <m/>
    <m/>
    <m/>
    <m/>
    <m/>
    <m/>
    <m/>
    <m/>
    <x v="6"/>
    <m/>
  </r>
  <r>
    <d v="2021-12-02T00:00:00"/>
    <s v="VZ-2021-001299"/>
    <x v="0"/>
    <s v="Ondráčková"/>
    <x v="484"/>
    <n v="2"/>
    <s v="AFATINIB"/>
    <m/>
    <s v="33652000-5"/>
    <m/>
    <n v="1166820"/>
    <x v="0"/>
    <d v="2021-12-08T00:00:00"/>
    <d v="2022-02-07T00:00:00"/>
    <m/>
    <m/>
    <m/>
    <m/>
    <m/>
    <m/>
    <m/>
    <m/>
    <m/>
    <m/>
    <x v="6"/>
    <m/>
  </r>
  <r>
    <d v="2021-12-02T00:00:00"/>
    <s v="VZ-2021-001299"/>
    <x v="0"/>
    <s v="Ondráčková"/>
    <x v="483"/>
    <n v="3"/>
    <s v="BOSUTINIB "/>
    <m/>
    <s v="33652000-5"/>
    <m/>
    <n v="2563207"/>
    <x v="0"/>
    <d v="2021-12-08T00:00:00"/>
    <d v="2022-02-07T00:00:00"/>
    <m/>
    <m/>
    <m/>
    <m/>
    <m/>
    <m/>
    <m/>
    <m/>
    <m/>
    <m/>
    <x v="6"/>
    <m/>
  </r>
  <r>
    <d v="2021-12-02T00:00:00"/>
    <s v="VZ-2021-001299"/>
    <x v="0"/>
    <s v="Ondráčková"/>
    <x v="483"/>
    <n v="4"/>
    <s v="KRIZOTINIB "/>
    <m/>
    <s v="33652000-5"/>
    <m/>
    <n v="10710000"/>
    <x v="0"/>
    <d v="2021-12-08T00:00:00"/>
    <d v="2022-02-07T00:00:00"/>
    <m/>
    <m/>
    <m/>
    <m/>
    <m/>
    <m/>
    <m/>
    <m/>
    <m/>
    <m/>
    <x v="6"/>
    <m/>
  </r>
  <r>
    <d v="2021-12-02T00:00:00"/>
    <s v="VZ-2021-001299"/>
    <x v="0"/>
    <s v="Ondráčková"/>
    <x v="483"/>
    <n v="5"/>
    <s v="PONATINIB "/>
    <m/>
    <s v="33652000-5"/>
    <m/>
    <n v="7435918"/>
    <x v="0"/>
    <d v="2021-12-08T00:00:00"/>
    <d v="2022-02-07T00:00:00"/>
    <m/>
    <m/>
    <m/>
    <m/>
    <m/>
    <m/>
    <m/>
    <m/>
    <m/>
    <m/>
    <x v="6"/>
    <m/>
  </r>
  <r>
    <d v="2021-12-02T00:00:00"/>
    <s v="VZ-2021-001299"/>
    <x v="0"/>
    <s v="Ondráčková"/>
    <x v="483"/>
    <n v="6"/>
    <s v="TRAMETINIB "/>
    <m/>
    <s v="33652000-5"/>
    <m/>
    <n v="46702858"/>
    <x v="0"/>
    <d v="2021-12-08T00:00:00"/>
    <d v="2022-02-07T00:00:00"/>
    <m/>
    <m/>
    <m/>
    <m/>
    <m/>
    <m/>
    <m/>
    <m/>
    <m/>
    <m/>
    <x v="6"/>
    <m/>
  </r>
  <r>
    <d v="2021-12-02T00:00:00"/>
    <s v="VZ-2021-001299"/>
    <x v="0"/>
    <s v="Ondráčková"/>
    <x v="483"/>
    <n v="7"/>
    <s v="NINTEDANIB"/>
    <m/>
    <s v="33652000-5"/>
    <m/>
    <n v="18432258"/>
    <x v="0"/>
    <d v="2021-12-08T00:00:00"/>
    <d v="2022-02-07T00:00:00"/>
    <m/>
    <m/>
    <m/>
    <m/>
    <m/>
    <m/>
    <m/>
    <m/>
    <m/>
    <m/>
    <x v="6"/>
    <m/>
  </r>
  <r>
    <d v="2021-12-02T00:00:00"/>
    <s v="VZ-2021-001299"/>
    <x v="0"/>
    <s v="Ondráčková"/>
    <x v="483"/>
    <n v="8"/>
    <s v="LENVATINIB"/>
    <m/>
    <s v="33652000-5"/>
    <m/>
    <n v="15523659"/>
    <x v="0"/>
    <d v="2021-12-08T00:00:00"/>
    <d v="2022-02-07T00:00:00"/>
    <m/>
    <m/>
    <m/>
    <m/>
    <m/>
    <m/>
    <m/>
    <m/>
    <m/>
    <m/>
    <x v="6"/>
    <m/>
  </r>
  <r>
    <d v="2021-12-03T00:00:00"/>
    <s v="VZ-2021-001305"/>
    <x v="0"/>
    <s v="Ondráčková"/>
    <x v="485"/>
    <m/>
    <m/>
    <m/>
    <s v="38434000-6, 3694000-1"/>
    <m/>
    <n v="4200000"/>
    <x v="0"/>
    <d v="2021-12-20T00:00:00"/>
    <d v="2022-01-24T00:00:00"/>
    <m/>
    <m/>
    <m/>
    <m/>
    <m/>
    <m/>
    <m/>
    <m/>
    <m/>
    <m/>
    <x v="6"/>
    <m/>
  </r>
  <r>
    <s v="opakovaná VZ"/>
    <s v="VZ-2021-001309"/>
    <x v="1"/>
    <s v="Valtová"/>
    <x v="486"/>
    <n v="1"/>
    <s v="Diagnostické katétry  II."/>
    <m/>
    <s v="33140000-3"/>
    <m/>
    <n v="1220800"/>
    <x v="0"/>
    <d v="2021-12-09T00:00:00"/>
    <d v="2022-01-11T00:00:00"/>
    <m/>
    <m/>
    <m/>
    <m/>
    <m/>
    <m/>
    <m/>
    <m/>
    <m/>
    <m/>
    <x v="6"/>
    <m/>
  </r>
  <r>
    <s v="opakovaná VZ"/>
    <s v="VZ-2021-001309"/>
    <x v="1"/>
    <s v="Valtová"/>
    <x v="486"/>
    <n v="2"/>
    <s v="Kalibrační diagnostické katétry"/>
    <m/>
    <s v="33140000-3"/>
    <m/>
    <n v="125160"/>
    <x v="0"/>
    <d v="2021-12-09T00:00:00"/>
    <d v="2022-01-11T00:00:00"/>
    <m/>
    <m/>
    <m/>
    <m/>
    <m/>
    <m/>
    <m/>
    <m/>
    <m/>
    <m/>
    <x v="6"/>
    <m/>
  </r>
  <r>
    <s v="opakovaná VZ"/>
    <s v="VZ-2021-001309"/>
    <x v="1"/>
    <s v="Valtová"/>
    <x v="486"/>
    <n v="3"/>
    <s v="Vodící katétry neurointervenční"/>
    <m/>
    <s v="33140000-3"/>
    <m/>
    <n v="2080500"/>
    <x v="0"/>
    <d v="2021-12-09T00:00:00"/>
    <d v="2022-01-11T00:00:00"/>
    <m/>
    <m/>
    <m/>
    <m/>
    <m/>
    <m/>
    <m/>
    <m/>
    <m/>
    <m/>
    <x v="6"/>
    <m/>
  </r>
  <r>
    <d v="2021-12-07T00:00:00"/>
    <s v="VZ-2021-001310"/>
    <x v="1"/>
    <s v="Dočkalová"/>
    <x v="487"/>
    <m/>
    <m/>
    <m/>
    <s v="33140000-3"/>
    <m/>
    <n v="2883740"/>
    <x v="1"/>
    <d v="2021-12-10T00:00:00"/>
    <d v="2022-01-03T00:00:00"/>
    <m/>
    <m/>
    <m/>
    <m/>
    <m/>
    <m/>
    <m/>
    <m/>
    <m/>
    <m/>
    <x v="6"/>
    <m/>
  </r>
  <r>
    <d v="2021-12-03T00:00:00"/>
    <s v="VZ-2021-001311"/>
    <x v="1"/>
    <s v="Dočkalová"/>
    <x v="488"/>
    <m/>
    <m/>
    <m/>
    <s v="33140000-3"/>
    <m/>
    <n v="2014020"/>
    <x v="1"/>
    <d v="2021-12-10T00:00:00"/>
    <d v="2021-12-30T00:00:00"/>
    <m/>
    <m/>
    <m/>
    <m/>
    <m/>
    <m/>
    <m/>
    <m/>
    <m/>
    <m/>
    <x v="6"/>
    <m/>
  </r>
  <r>
    <d v="2021-12-02T00:00:00"/>
    <s v="VZ-2021-001313"/>
    <x v="2"/>
    <s v="Rosulek"/>
    <x v="489"/>
    <m/>
    <m/>
    <m/>
    <s v="33115000-9"/>
    <s v="2.2.409."/>
    <n v="129000000"/>
    <x v="0"/>
    <m/>
    <m/>
    <m/>
    <s v="nerealizováno v roce 2021"/>
    <s v="VZ-2022-000008"/>
    <m/>
    <m/>
    <m/>
    <m/>
    <m/>
    <m/>
    <m/>
    <x v="6"/>
    <m/>
  </r>
  <r>
    <d v="2021-12-06T00:00:00"/>
    <s v="VZ-2021-001315"/>
    <x v="11"/>
    <s v="Olejníček"/>
    <x v="490"/>
    <m/>
    <m/>
    <m/>
    <s v="33111620-3"/>
    <s v="2.2.410."/>
    <n v="390000"/>
    <x v="2"/>
    <d v="2021-12-23T00:00:00"/>
    <d v="2022-01-11T00:00:00"/>
    <m/>
    <m/>
    <m/>
    <m/>
    <m/>
    <m/>
    <m/>
    <m/>
    <m/>
    <m/>
    <x v="6"/>
    <m/>
  </r>
  <r>
    <d v="2021-12-09T00:00:00"/>
    <s v="VZ-2021-001316"/>
    <x v="0"/>
    <s v="Ondráčková"/>
    <x v="491"/>
    <n v="1"/>
    <s v="KYSELINA OBETICHOLOVÁ"/>
    <m/>
    <s v="33610000-9"/>
    <m/>
    <n v="3123851"/>
    <x v="1"/>
    <d v="2021-12-10T00:00:00"/>
    <d v="2021-12-30T00:00:00"/>
    <m/>
    <m/>
    <m/>
    <m/>
    <m/>
    <m/>
    <m/>
    <m/>
    <m/>
    <m/>
    <x v="6"/>
    <m/>
  </r>
  <r>
    <s v="opakovaná VZ"/>
    <s v="VZ-2021-001318"/>
    <x v="1"/>
    <s v="Dočkalová"/>
    <x v="492"/>
    <m/>
    <m/>
    <m/>
    <s v="33140000-3"/>
    <m/>
    <n v="386194"/>
    <x v="2"/>
    <d v="2021-12-14T00:00:00"/>
    <d v="2021-12-22T00:00:00"/>
    <m/>
    <m/>
    <m/>
    <m/>
    <m/>
    <m/>
    <m/>
    <m/>
    <m/>
    <m/>
    <x v="6"/>
    <m/>
  </r>
  <r>
    <d v="2021-11-25T00:00:00"/>
    <s v="VZ-2021-001322"/>
    <x v="1"/>
    <s v="Dočkalová"/>
    <x v="493"/>
    <m/>
    <m/>
    <m/>
    <s v="33162200-5"/>
    <m/>
    <n v="1056000"/>
    <x v="2"/>
    <d v="2021-12-14T00:00:00"/>
    <d v="2021-12-22T00:00:00"/>
    <d v="2021-12-29T00:00:00"/>
    <s v="Medtronic Czechia s.r.o."/>
    <m/>
    <n v="950400"/>
    <n v="1149984"/>
    <m/>
    <m/>
    <m/>
    <d v="2021-12-29T00:00:00"/>
    <s v="SMLN-2021-617-000749_x000a_SMLN-2021-614-000139"/>
    <x v="6"/>
    <m/>
  </r>
  <r>
    <d v="2021-12-01T00:00:00"/>
    <s v="VZ-2021-001323"/>
    <x v="18"/>
    <s v="Zemanová"/>
    <x v="494"/>
    <n v="1"/>
    <s v="Externí klinický audit v radiodiagnostice vč. Intervenční radiologie a kardiologie"/>
    <m/>
    <s v="79212300-6"/>
    <m/>
    <n v="350000"/>
    <x v="2"/>
    <d v="2021-12-29T00:00:00"/>
    <d v="2022-01-07T00:00:00"/>
    <m/>
    <m/>
    <m/>
    <m/>
    <m/>
    <m/>
    <m/>
    <m/>
    <m/>
    <m/>
    <x v="6"/>
    <m/>
  </r>
  <r>
    <d v="2021-12-01T00:00:00"/>
    <s v="VZ-2021-001323"/>
    <x v="18"/>
    <s v="Zemanová"/>
    <x v="494"/>
    <n v="2"/>
    <s v="Externí klinický audit v nukleární medicíně"/>
    <m/>
    <s v="79212300-6"/>
    <m/>
    <n v="200000"/>
    <x v="2"/>
    <d v="2021-12-29T00:00:00"/>
    <d v="2022-01-07T00:00:00"/>
    <m/>
    <m/>
    <m/>
    <m/>
    <m/>
    <m/>
    <m/>
    <m/>
    <m/>
    <m/>
    <x v="6"/>
    <m/>
  </r>
  <r>
    <d v="2021-12-01T00:00:00"/>
    <s v="VZ-2021-001323"/>
    <x v="18"/>
    <s v="Zemanová"/>
    <x v="494"/>
    <n v="3"/>
    <s v="Externí klinický audit v radioterapii"/>
    <m/>
    <s v="79212300-6"/>
    <m/>
    <n v="150000"/>
    <x v="2"/>
    <d v="2021-12-29T00:00:00"/>
    <d v="2022-01-07T00:00:00"/>
    <m/>
    <m/>
    <m/>
    <m/>
    <m/>
    <m/>
    <m/>
    <m/>
    <m/>
    <m/>
    <x v="6"/>
    <m/>
  </r>
  <r>
    <d v="2021-12-06T00:00:00"/>
    <s v="VZ-2021-001326"/>
    <x v="2"/>
    <s v="Olejníček"/>
    <x v="495"/>
    <m/>
    <m/>
    <m/>
    <s v="33120000-7"/>
    <s v="2.3.476."/>
    <n v="472240"/>
    <x v="2"/>
    <d v="2021-12-23T00:00:00"/>
    <d v="2022-01-07T00:00:00"/>
    <m/>
    <m/>
    <m/>
    <m/>
    <m/>
    <m/>
    <m/>
    <m/>
    <m/>
    <m/>
    <x v="6"/>
    <m/>
  </r>
  <r>
    <d v="2021-12-08T00:00:00"/>
    <s v="VZ-2021-001334"/>
    <x v="2"/>
    <s v="Olejníček"/>
    <x v="496"/>
    <m/>
    <m/>
    <m/>
    <s v="33162100-4"/>
    <s v="2.2.348."/>
    <n v="1040500"/>
    <x v="2"/>
    <d v="2021-12-23T00:00:00"/>
    <d v="2022-01-07T00:00:00"/>
    <m/>
    <m/>
    <m/>
    <m/>
    <m/>
    <m/>
    <m/>
    <m/>
    <m/>
    <m/>
    <x v="6"/>
    <m/>
  </r>
  <r>
    <d v="2021-12-16T00:00:00"/>
    <s v="VZ-2021-001335"/>
    <x v="0"/>
    <s v="Ondráčková"/>
    <x v="497"/>
    <m/>
    <m/>
    <m/>
    <s v="33651100-9"/>
    <m/>
    <n v="3833895"/>
    <x v="0"/>
    <d v="2021-12-21T00:00:00"/>
    <d v="2022-01-24T00:00:00"/>
    <m/>
    <m/>
    <m/>
    <m/>
    <m/>
    <m/>
    <m/>
    <m/>
    <m/>
    <m/>
    <x v="6"/>
    <m/>
  </r>
  <r>
    <d v="2021-12-16T00:00:00"/>
    <s v="VZ-2021-001336"/>
    <x v="0"/>
    <s v="Ondráčková"/>
    <x v="498"/>
    <n v="1"/>
    <s v="PEGINTERFERON BETA-1A"/>
    <m/>
    <s v="33652000-5"/>
    <m/>
    <n v="10393222"/>
    <x v="0"/>
    <d v="2021-12-23T00:00:00"/>
    <d v="2022-01-27T00:00:00"/>
    <m/>
    <m/>
    <m/>
    <m/>
    <m/>
    <m/>
    <m/>
    <m/>
    <m/>
    <m/>
    <x v="6"/>
    <m/>
  </r>
  <r>
    <d v="2021-12-16T00:00:00"/>
    <s v="VZ-2021-001336"/>
    <x v="0"/>
    <s v="Ondráčková"/>
    <x v="498"/>
    <n v="2"/>
    <s v="POMALIDOMID"/>
    <m/>
    <s v="33652300-8"/>
    <m/>
    <n v="13524393"/>
    <x v="0"/>
    <d v="2021-12-23T00:00:00"/>
    <d v="2022-01-27T00:00:00"/>
    <m/>
    <m/>
    <m/>
    <m/>
    <m/>
    <m/>
    <m/>
    <m/>
    <m/>
    <m/>
    <x v="6"/>
    <m/>
  </r>
  <r>
    <d v="2021-12-16T00:00:00"/>
    <s v="VZ-2021-001336"/>
    <x v="0"/>
    <s v="Ondráčková"/>
    <x v="498"/>
    <n v="3"/>
    <s v="PRASEČÍ PŘENOSOVÝ FAKTOR"/>
    <m/>
    <s v="33652000-5"/>
    <m/>
    <n v="5983454"/>
    <x v="0"/>
    <d v="2021-12-23T00:00:00"/>
    <d v="2022-01-27T00:00:00"/>
    <m/>
    <m/>
    <m/>
    <m/>
    <m/>
    <m/>
    <m/>
    <m/>
    <m/>
    <m/>
    <x v="6"/>
    <m/>
  </r>
  <r>
    <d v="2021-12-16T00:00:00"/>
    <s v="VZ-2021-001336"/>
    <x v="0"/>
    <s v="Ondráčková"/>
    <x v="498"/>
    <n v="4"/>
    <s v="MIDOSTAURIN"/>
    <m/>
    <s v="33652000-5"/>
    <m/>
    <n v="7206684"/>
    <x v="0"/>
    <d v="2021-12-23T00:00:00"/>
    <d v="2022-01-27T00:00:00"/>
    <m/>
    <m/>
    <m/>
    <m/>
    <m/>
    <m/>
    <m/>
    <m/>
    <m/>
    <m/>
    <x v="6"/>
    <m/>
  </r>
  <r>
    <d v="2021-12-16T00:00:00"/>
    <s v="VZ-2021-001337"/>
    <x v="0"/>
    <s v="Ondráčková"/>
    <x v="499"/>
    <n v="1"/>
    <s v="Dolforin"/>
    <m/>
    <s v="33661200-3"/>
    <m/>
    <n v="504160"/>
    <x v="0"/>
    <d v="2021-12-21T00:00:00"/>
    <d v="2022-01-24T00:00:00"/>
    <m/>
    <m/>
    <m/>
    <m/>
    <m/>
    <m/>
    <m/>
    <m/>
    <m/>
    <m/>
    <x v="6"/>
    <m/>
  </r>
  <r>
    <d v="2021-12-16T00:00:00"/>
    <s v="VZ-2021-001337"/>
    <x v="0"/>
    <s v="Ondráčková"/>
    <x v="499"/>
    <n v="2"/>
    <s v="Durogesic"/>
    <m/>
    <s v="33661200-3"/>
    <m/>
    <n v="2473707"/>
    <x v="0"/>
    <d v="2021-12-21T00:00:00"/>
    <d v="2022-01-24T00:00:00"/>
    <m/>
    <m/>
    <m/>
    <m/>
    <m/>
    <m/>
    <m/>
    <m/>
    <m/>
    <m/>
    <x v="6"/>
    <m/>
  </r>
  <r>
    <d v="2021-12-16T00:00:00"/>
    <s v="VZ-2021-001337"/>
    <x v="0"/>
    <s v="Ondráčková"/>
    <x v="499"/>
    <n v="3"/>
    <s v="Fentalis"/>
    <m/>
    <s v="33661200-3"/>
    <m/>
    <n v="1853837"/>
    <x v="0"/>
    <d v="2021-12-21T00:00:00"/>
    <d v="2022-01-24T00:00:00"/>
    <m/>
    <m/>
    <m/>
    <m/>
    <m/>
    <m/>
    <m/>
    <m/>
    <m/>
    <m/>
    <x v="6"/>
    <m/>
  </r>
  <r>
    <d v="2021-12-16T00:00:00"/>
    <s v="VZ-2021-001337"/>
    <x v="0"/>
    <s v="Ondráčková"/>
    <x v="499"/>
    <n v="4"/>
    <s v="Palexia Retard"/>
    <m/>
    <s v="33661200-3"/>
    <m/>
    <n v="1895882"/>
    <x v="0"/>
    <d v="2021-12-21T00:00:00"/>
    <d v="2022-01-24T00:00:00"/>
    <m/>
    <m/>
    <m/>
    <m/>
    <m/>
    <m/>
    <m/>
    <m/>
    <m/>
    <m/>
    <x v="6"/>
    <m/>
  </r>
  <r>
    <d v="2021-12-16T00:00:00"/>
    <s v="VZ-2021-001337"/>
    <x v="0"/>
    <s v="Ondráčková"/>
    <x v="499"/>
    <n v="5"/>
    <s v="Transtec"/>
    <m/>
    <s v="33661200-3"/>
    <m/>
    <n v="1544455"/>
    <x v="0"/>
    <d v="2021-12-21T00:00:00"/>
    <d v="2022-01-24T00:00:00"/>
    <m/>
    <m/>
    <m/>
    <m/>
    <m/>
    <m/>
    <m/>
    <m/>
    <m/>
    <m/>
    <x v="6"/>
    <m/>
  </r>
  <r>
    <d v="2021-12-16T00:00:00"/>
    <s v="VZ-2021-001337"/>
    <x v="0"/>
    <s v="Ondráčková"/>
    <x v="499"/>
    <n v="6"/>
    <s v="Oxycodon Lannacher"/>
    <m/>
    <s v="33661200-3"/>
    <m/>
    <n v="2890813"/>
    <x v="0"/>
    <d v="2021-12-21T00:00:00"/>
    <d v="2022-01-24T00:00:00"/>
    <m/>
    <m/>
    <m/>
    <m/>
    <m/>
    <m/>
    <m/>
    <m/>
    <m/>
    <m/>
    <x v="6"/>
    <m/>
  </r>
  <r>
    <d v="2021-12-16T00:00:00"/>
    <s v="VZ-2021-001337"/>
    <x v="0"/>
    <s v="Ondráčková"/>
    <x v="499"/>
    <n v="7"/>
    <s v="Lunaldin"/>
    <m/>
    <s v="33661200-3"/>
    <m/>
    <n v="6193398"/>
    <x v="0"/>
    <d v="2021-12-21T00:00:00"/>
    <d v="2022-01-24T00:00:00"/>
    <m/>
    <m/>
    <m/>
    <m/>
    <m/>
    <m/>
    <m/>
    <m/>
    <m/>
    <m/>
    <x v="6"/>
    <m/>
  </r>
  <r>
    <d v="2021-12-16T00:00:00"/>
    <s v="VZ-2021-001338"/>
    <x v="0"/>
    <s v="Ondráčková"/>
    <x v="500"/>
    <m/>
    <m/>
    <m/>
    <s v="33621000-9"/>
    <m/>
    <n v="1454316"/>
    <x v="0"/>
    <d v="2021-12-17T00:00:00"/>
    <d v="2022-01-20T00:00:00"/>
    <m/>
    <m/>
    <m/>
    <m/>
    <m/>
    <m/>
    <m/>
    <m/>
    <m/>
    <m/>
    <x v="6"/>
    <m/>
  </r>
  <r>
    <d v="2021-12-17T00:00:00"/>
    <s v="VZ-2021-001343"/>
    <x v="1"/>
    <s v="Dočkalová"/>
    <x v="501"/>
    <m/>
    <m/>
    <m/>
    <s v="33140000-3 "/>
    <m/>
    <n v="2294037"/>
    <x v="0"/>
    <m/>
    <m/>
    <m/>
    <m/>
    <m/>
    <m/>
    <m/>
    <m/>
    <m/>
    <m/>
    <m/>
    <m/>
    <x v="6"/>
    <m/>
  </r>
  <r>
    <d v="2021-12-29T00:00:00"/>
    <s v="VZ-2021-001349"/>
    <x v="0"/>
    <s v="Ondráčková"/>
    <x v="502"/>
    <m/>
    <m/>
    <m/>
    <s v="33642000-2"/>
    <m/>
    <n v="63821520"/>
    <x v="0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  <r>
    <m/>
    <m/>
    <x v="21"/>
    <m/>
    <x v="503"/>
    <m/>
    <m/>
    <m/>
    <m/>
    <m/>
    <m/>
    <x v="4"/>
    <m/>
    <m/>
    <m/>
    <m/>
    <m/>
    <m/>
    <m/>
    <m/>
    <m/>
    <m/>
    <m/>
    <m/>
    <x v="6"/>
    <m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2">
  <r>
    <d v="2021-04-01T00:00:00"/>
    <s v="VZ-2021-000311"/>
    <x v="0"/>
    <s v="Dočkalová"/>
    <x v="0"/>
    <m/>
    <m/>
    <m/>
    <s v="33140000-3"/>
    <m/>
    <n v="81184000"/>
    <x v="0"/>
    <d v="2021-04-27T00:00:00"/>
    <d v="2021-07-12T00:00:00"/>
    <d v="2021-12-15T00:00:00"/>
    <s v="Terumo BCT Europe N.V."/>
    <m/>
    <n v="72480000"/>
    <n v="87700800"/>
    <m/>
    <m/>
    <m/>
    <d v="2021-12-16T00:00:00"/>
    <s v="SMLN-2021-616-000069_x000a_SMLN-2021-614-000129_x000a_SMLN-2021-616-000069"/>
    <x v="0"/>
  </r>
  <r>
    <d v="2021-06-02T00:00:00"/>
    <s v="VZ-2021-000555"/>
    <x v="1"/>
    <s v="Ondráčková"/>
    <x v="1"/>
    <n v="1"/>
    <s v="Infuzní vitamíny "/>
    <m/>
    <s v="33692510-5"/>
    <m/>
    <n v="29548800"/>
    <x v="0"/>
    <d v="2021-08-17T00:00:00"/>
    <d v="2021-10-12T00:00:00"/>
    <d v="2021-11-26T00:00:00"/>
    <s v="B. Braun Medical s.r.o."/>
    <m/>
    <n v="28645920"/>
    <n v="31510512"/>
    <m/>
    <m/>
    <m/>
    <d v="2021-11-26T00:00:00"/>
    <s v="SMLN-2021-617-000688"/>
    <x v="1"/>
  </r>
  <r>
    <d v="2021-06-09T00:00:00"/>
    <s v="VZ-2021-000584"/>
    <x v="2"/>
    <s v="Vzatek"/>
    <x v="2"/>
    <m/>
    <m/>
    <m/>
    <s v="71000000-8"/>
    <s v="1.2.77."/>
    <n v="2300000"/>
    <x v="1"/>
    <d v="2021-09-17T00:00:00"/>
    <d v="2021-10-06T00:00:00"/>
    <d v="2021-11-24T00:00:00"/>
    <s v="LT PROJEKT a.s."/>
    <m/>
    <n v="2850000"/>
    <n v="3448500"/>
    <m/>
    <m/>
    <m/>
    <d v="2021-11-24T00:00:00"/>
    <s v="SMLN-2021-618-000084"/>
    <x v="2"/>
  </r>
  <r>
    <d v="2021-12-13T00:00:00"/>
    <s v="VZ-2021-000615"/>
    <x v="1"/>
    <s v="Ondráčková"/>
    <x v="3"/>
    <n v="1"/>
    <s v="Sodná sůl treprostinilu pro pacienty s pumpou subkutánní"/>
    <m/>
    <s v="33652000-5 "/>
    <m/>
    <n v="10955758"/>
    <x v="0"/>
    <d v="2021-12-23T00:00:00"/>
    <d v="2022-03-01T00:00:00"/>
    <d v="2022-04-21T00:00:00"/>
    <s v="Alliance Healthcare s.r.o."/>
    <m/>
    <n v="11077244.199999999"/>
    <n v="12184968.619999999"/>
    <m/>
    <m/>
    <m/>
    <d v="2022-04-21T00:00:00"/>
    <s v="SMLN-2022-617-000269"/>
    <x v="3"/>
  </r>
  <r>
    <d v="2021-12-13T00:00:00"/>
    <s v="VZ-2021-000615"/>
    <x v="1"/>
    <s v="Ondráčková"/>
    <x v="3"/>
    <n v="2"/>
    <s v="Sodná sůl treprostinilu pro pacienty s implantabilní pumpou "/>
    <m/>
    <s v="33652000-5 "/>
    <m/>
    <n v="16521989"/>
    <x v="0"/>
    <d v="2021-12-23T00:00:00"/>
    <d v="2022-03-01T00:00:00"/>
    <m/>
    <m/>
    <m/>
    <m/>
    <m/>
    <m/>
    <m/>
    <m/>
    <m/>
    <m/>
    <x v="4"/>
  </r>
  <r>
    <d v="2021-06-24T00:00:00"/>
    <s v="VZ-2021-000640"/>
    <x v="0"/>
    <s v="Dočkalová"/>
    <x v="4"/>
    <n v="4"/>
    <s v="Staplery lineární  - bez nože"/>
    <m/>
    <s v="33162200-5"/>
    <m/>
    <n v="1333620"/>
    <x v="0"/>
    <d v="2021-07-22T00:00:00"/>
    <d v="2021-10-05T00:00:00"/>
    <d v="2022-04-29T00:00:00"/>
    <s v="B. Braun Medical s.r.o."/>
    <m/>
    <n v="811725"/>
    <n v="982187.25"/>
    <m/>
    <m/>
    <m/>
    <d v="2022-04-29T00:00:00"/>
    <s v="SMLN-2022-617-000292_x000a_SMLN-2022-614-000039"/>
    <x v="5"/>
  </r>
  <r>
    <d v="2021-06-24T00:00:00"/>
    <s v="VZ-2021-000640"/>
    <x v="0"/>
    <s v="Dočkalová"/>
    <x v="4"/>
    <n v="6"/>
    <s v="Endokatry/staplery s rovnou špičkou"/>
    <m/>
    <s v="33162200-5"/>
    <m/>
    <n v="2837580"/>
    <x v="0"/>
    <d v="2021-07-22T00:00:00"/>
    <d v="2021-10-05T00:00:00"/>
    <d v="2022-04-29T00:00:00"/>
    <s v="Johnson &amp; Johnson, s.r.o."/>
    <m/>
    <n v="2737708"/>
    <n v="3312626.68"/>
    <m/>
    <m/>
    <m/>
    <d v="2022-04-29T00:00:00"/>
    <s v="SMLN-2022-617-000293_x000a_SMLN-2022-614-000040"/>
    <x v="6"/>
  </r>
  <r>
    <d v="2021-06-24T00:00:00"/>
    <s v="VZ-2021-000640"/>
    <x v="0"/>
    <s v="Dočkalová"/>
    <x v="4"/>
    <n v="7"/>
    <s v="Cirkulární staplery zahnuté"/>
    <m/>
    <s v="33162200-5"/>
    <m/>
    <n v="2514360"/>
    <x v="0"/>
    <d v="2021-07-22T00:00:00"/>
    <d v="2021-10-05T00:00:00"/>
    <d v="2022-04-29T00:00:00"/>
    <s v="B. Braun Medical s.r.o."/>
    <m/>
    <n v="1999300"/>
    <n v="2419153"/>
    <m/>
    <m/>
    <m/>
    <d v="2022-04-29T00:00:00"/>
    <s v="SMLN-2022-617-000294_x000a_SMLN-2022-614-000041"/>
    <x v="5"/>
  </r>
  <r>
    <d v="2021-06-24T00:00:00"/>
    <s v="VZ-2021-000640"/>
    <x v="0"/>
    <s v="Dočkalová"/>
    <x v="4"/>
    <n v="9"/>
    <s v="Cirkulární staplery na operaci hemoroidů metodou dle Longa"/>
    <m/>
    <s v="33162200-5"/>
    <m/>
    <n v="717830"/>
    <x v="0"/>
    <d v="2021-07-22T00:00:00"/>
    <d v="2021-10-05T00:00:00"/>
    <d v="2021-12-01T00:00:00"/>
    <s v="B. Braun Medical s.r.o."/>
    <m/>
    <n v="694000"/>
    <n v="839740"/>
    <m/>
    <m/>
    <m/>
    <d v="2021-12-01T00:00:00"/>
    <s v="SMLN-2021-617-000695_x000a_SMLN-2021-614-000117"/>
    <x v="7"/>
  </r>
  <r>
    <d v="2021-06-24T00:00:00"/>
    <s v="VZ-2021-000640"/>
    <x v="0"/>
    <s v="Dočkalová"/>
    <x v="4"/>
    <n v="10"/>
    <s v="Staplery kožní"/>
    <m/>
    <s v="33162200-5"/>
    <m/>
    <n v="991250"/>
    <x v="0"/>
    <d v="2021-07-22T00:00:00"/>
    <d v="2021-10-05T00:00:00"/>
    <d v="2022-04-29T00:00:00"/>
    <s v="B. Braun Medical s.r.o."/>
    <m/>
    <n v="817000"/>
    <n v="988570"/>
    <m/>
    <m/>
    <m/>
    <d v="2022-04-29T00:00:00"/>
    <s v="SMLN-2022-617-000295_x000a_SMLN-2022-614-000042_x000a_SMLN-2022-617-000297"/>
    <x v="8"/>
  </r>
  <r>
    <d v="2021-07-14T00:00:00"/>
    <s v="VZ-2021-000703"/>
    <x v="3"/>
    <s v="Rosulek"/>
    <x v="5"/>
    <n v="1"/>
    <s v="Anesteziologické přístroje s monitorem vitálních funkcí"/>
    <m/>
    <s v="33172100-7"/>
    <s v="2.2.261."/>
    <n v="12450000"/>
    <x v="0"/>
    <d v="2021-09-01T00:00:00"/>
    <d v="2021-10-19T00:00:00"/>
    <d v="2022-01-13T00:00:00"/>
    <s v="Dräger Medical, s.r.o."/>
    <m/>
    <n v="8320800"/>
    <n v="10068168"/>
    <m/>
    <m/>
    <m/>
    <d v="2022-01-13T00:00:00"/>
    <s v="SMLN-2022-617-000012_x000a_SMLN-2022-612-000006_x000a_SMLN-2022-617-000013"/>
    <x v="9"/>
  </r>
  <r>
    <d v="2021-07-14T00:00:00"/>
    <s v="VZ-2021-000703"/>
    <x v="4"/>
    <s v="Rosulek"/>
    <x v="6"/>
    <n v="2"/>
    <s v="Anesteziologický přístroj s monitory vitálních funkcí pro magnetickou rezonanci"/>
    <m/>
    <s v="33172100-7"/>
    <s v="2.2.330."/>
    <n v="4938843"/>
    <x v="0"/>
    <d v="2021-09-01T00:00:00"/>
    <d v="2021-10-19T00:00:00"/>
    <d v="2022-01-13T00:00:00"/>
    <s v="Saegeling Medizintechnik, s.r.o."/>
    <m/>
    <n v="4930664"/>
    <n v="5966103.4400000004"/>
    <m/>
    <m/>
    <m/>
    <d v="2022-01-13T00:00:00"/>
    <s v="SMLN-2022-617-000014_x000a_SMLN-2022-612-000007_x000a_SMLN-2022-617-000015"/>
    <x v="10"/>
  </r>
  <r>
    <s v="opakovaná VZ"/>
    <s v="VZ-2021-000704"/>
    <x v="2"/>
    <s v="Valíček"/>
    <x v="7"/>
    <m/>
    <m/>
    <s v="71000000-8"/>
    <s v="71000000-8"/>
    <s v="1.2.67."/>
    <n v="40000000"/>
    <x v="0"/>
    <d v="2021-08-05T00:00:00"/>
    <d v="2021-09-07T00:00:00"/>
    <d v="2021-11-05T00:00:00"/>
    <s v="Adam Rujbr Architects s.r.o."/>
    <m/>
    <n v="21200000"/>
    <n v="25652000"/>
    <m/>
    <m/>
    <m/>
    <d v="2021-11-05T00:00:00"/>
    <s v="SMLN-2021-618-000077"/>
    <x v="11"/>
  </r>
  <r>
    <d v="2021-08-02T00:00:00"/>
    <s v="VZ-2021-000759"/>
    <x v="1"/>
    <s v="Ondráčková"/>
    <x v="8"/>
    <m/>
    <s v="emicizumab"/>
    <m/>
    <s v="33621000-9"/>
    <m/>
    <n v="22443749"/>
    <x v="0"/>
    <d v="2021-08-10T00:00:00"/>
    <d v="2021-09-13T00:00:00"/>
    <d v="2021-11-23T00:00:00"/>
    <s v="ROCHE s.r.o."/>
    <m/>
    <n v="6694369.5999999996"/>
    <n v="7363806.5599999996"/>
    <m/>
    <m/>
    <m/>
    <d v="2021-11-23T00:00:00"/>
    <s v="SMLN-2021-617-000674"/>
    <x v="1"/>
  </r>
  <r>
    <d v="2021-08-02T00:00:00"/>
    <s v="VZ-2021-000760"/>
    <x v="1"/>
    <s v="Ondráčková"/>
    <x v="9"/>
    <n v="1"/>
    <s v="FREMANEZUMAB"/>
    <m/>
    <s v="33661200-3"/>
    <m/>
    <n v="9228142"/>
    <x v="0"/>
    <d v="2021-08-04T00:00:00"/>
    <d v="2021-09-30T00:00:00"/>
    <d v="2021-11-02T00:00:00"/>
    <s v="Teva Pharmaceuticals CR s.r.o."/>
    <m/>
    <n v="9228142"/>
    <n v="10150956.199999999"/>
    <m/>
    <m/>
    <m/>
    <d v="2021-11-02T00:00:00"/>
    <s v="SMLN-2021-617-000605"/>
    <x v="12"/>
  </r>
  <r>
    <d v="2021-08-02T00:00:00"/>
    <s v="VZ-2021-000763"/>
    <x v="1"/>
    <s v="Ondráčková"/>
    <x v="10"/>
    <m/>
    <s v="diosmin v kombinaci"/>
    <m/>
    <s v="33621100-0"/>
    <m/>
    <n v="10670760"/>
    <x v="0"/>
    <d v="2021-09-16T00:00:00"/>
    <d v="2021-10-21T00:00:00"/>
    <d v="2021-11-23T00:00:00"/>
    <s v="PHOENIX lék.velkoobchod, s.r.o."/>
    <m/>
    <n v="8913685.9199999999"/>
    <n v="9805054.5099999998"/>
    <m/>
    <m/>
    <m/>
    <d v="2021-11-23T00:00:00"/>
    <s v="SMLN-2021-617-000673"/>
    <x v="13"/>
  </r>
  <r>
    <d v="2021-08-02T00:00:00"/>
    <s v="VZ-2021-000764"/>
    <x v="1"/>
    <s v="Ondráčková"/>
    <x v="11"/>
    <n v="1"/>
    <s v="KALCIUM-GLUKONÁT"/>
    <m/>
    <s v="33617000-8"/>
    <m/>
    <n v="1306314"/>
    <x v="0"/>
    <d v="2021-09-16T00:00:00"/>
    <d v="2021-12-12T00:00:00"/>
    <d v="2022-01-24T00:00:00"/>
    <s v="PHOENIX lék.velkoobchod, s.r.o."/>
    <m/>
    <n v="1448947.72"/>
    <n v="1593842.49"/>
    <m/>
    <m/>
    <m/>
    <d v="2022-01-24T00:00:00"/>
    <s v="SMLN-2022-617-000038"/>
    <x v="14"/>
  </r>
  <r>
    <d v="2021-08-02T00:00:00"/>
    <s v="VZ-2021-000764"/>
    <x v="1"/>
    <s v="Ondráčková"/>
    <x v="11"/>
    <n v="2"/>
    <s v="CHLORID VÁPENATÝ"/>
    <m/>
    <s v="33617000-8"/>
    <m/>
    <n v="4717059"/>
    <x v="0"/>
    <d v="2021-09-16T00:00:00"/>
    <d v="2021-12-12T00:00:00"/>
    <d v="2022-01-24T00:00:00"/>
    <s v="PHOENIX lék.velkoobchod, s.r.o."/>
    <m/>
    <n v="5233616.88"/>
    <n v="5756978.5700000003"/>
    <m/>
    <m/>
    <m/>
    <d v="2022-01-24T00:00:00"/>
    <s v="SMLN-2022-617-000039"/>
    <x v="14"/>
  </r>
  <r>
    <d v="2021-08-02T00:00:00"/>
    <s v="VZ-2021-000764"/>
    <x v="1"/>
    <s v="Ondráčková"/>
    <x v="11"/>
    <n v="3"/>
    <s v="SÍRAN HOŘEČNATÝ"/>
    <m/>
    <s v="33617000-8"/>
    <m/>
    <n v="7695003"/>
    <x v="0"/>
    <d v="2021-09-16T00:00:00"/>
    <d v="2021-12-12T00:00:00"/>
    <d v="2022-01-24T00:00:00"/>
    <s v="Alliance Healthcare s.r.o."/>
    <m/>
    <n v="7453713.4000000004"/>
    <n v="8199084.7400000002"/>
    <m/>
    <m/>
    <m/>
    <d v="2022-01-24T00:00:00"/>
    <s v="SMLN-2022-617-000040"/>
    <x v="15"/>
  </r>
  <r>
    <d v="2021-08-02T00:00:00"/>
    <s v="VZ-2021-000764"/>
    <x v="1"/>
    <s v="Ondráčková"/>
    <x v="11"/>
    <n v="4"/>
    <s v="HOŘČÍK V KOMBINACI RŮZNÝCH SOLÍ"/>
    <m/>
    <s v="33617000-8"/>
    <m/>
    <n v="10242662"/>
    <x v="0"/>
    <d v="2021-09-16T00:00:00"/>
    <d v="2021-12-12T00:00:00"/>
    <d v="2022-01-24T00:00:00"/>
    <s v="PHARMOS, a.s., a.s."/>
    <m/>
    <n v="10145450.880000001"/>
    <n v="11159995.970000001"/>
    <m/>
    <m/>
    <m/>
    <d v="2022-01-24T00:00:00"/>
    <s v="SMLN-2022-617-000041"/>
    <x v="16"/>
  </r>
  <r>
    <d v="2021-08-16T00:00:00"/>
    <s v="VZ-2021-000825"/>
    <x v="2"/>
    <s v="Spáčil"/>
    <x v="12"/>
    <m/>
    <m/>
    <m/>
    <s v="45223500-1"/>
    <s v="1.2.75."/>
    <n v="137766923.69999999"/>
    <x v="0"/>
    <d v="2021-09-21T00:00:00"/>
    <d v="2021-10-27T00:00:00"/>
    <d v="2021-11-09T00:00:00"/>
    <s v="OHLA ŽS, a.s."/>
    <m/>
    <n v="132485529.13"/>
    <n v="160307490.25"/>
    <m/>
    <m/>
    <m/>
    <d v="2021-11-09T00:00:00"/>
    <s v="SMLN-2021-618-000078"/>
    <x v="7"/>
  </r>
  <r>
    <d v="2021-08-17T00:00:00"/>
    <s v="VZ-2021-000840"/>
    <x v="0"/>
    <s v="Dočkalová"/>
    <x v="13"/>
    <m/>
    <m/>
    <m/>
    <s v="33141000-0_x000a_33181100-3"/>
    <m/>
    <n v="55920000"/>
    <x v="0"/>
    <d v="2021-08-23T00:00:00"/>
    <d v="2021-10-20T00:00:00"/>
    <d v="2022-01-05T00:00:00"/>
    <s v="Fresenius Kabi s.r.o. Medical Care - ČR, s.r.o."/>
    <m/>
    <n v="41146779"/>
    <n v="49363486.590000004"/>
    <m/>
    <m/>
    <m/>
    <d v="2022-01-05T00:00:00"/>
    <s v="SMLN-2022-617-000006_x000a_SMLN-2022-616-000002"/>
    <x v="12"/>
  </r>
  <r>
    <d v="2021-08-19T00:00:00"/>
    <s v="VZ-2021-000848"/>
    <x v="4"/>
    <s v="Olejníček"/>
    <x v="14"/>
    <n v="1"/>
    <s v="Mobilní ultrazvukový přístroj pro Urologickou kliniku "/>
    <m/>
    <s v="33124120-2"/>
    <s v="2.3.506."/>
    <n v="1651500"/>
    <x v="0"/>
    <d v="2021-10-06T00:00:00"/>
    <d v="2021-11-09T00:00:00"/>
    <d v="2021-12-16T00:00:00"/>
    <s v="MEDKONSULT, s.r.o."/>
    <m/>
    <n v="1650700"/>
    <n v="1997347"/>
    <m/>
    <m/>
    <m/>
    <d v="2021-12-16T00:00:00"/>
    <s v="SMLN-2021-617-000727_x000a_SMLN-2021-612-000150"/>
    <x v="17"/>
  </r>
  <r>
    <d v="2021-08-19T00:00:00"/>
    <s v="VZ-2021-000848"/>
    <x v="3"/>
    <s v="Olejníček"/>
    <x v="14"/>
    <n v="2"/>
    <s v="Transportabilní echokardiografický přístroj pro Kardiochirurgickou kliniku"/>
    <m/>
    <s v="33124120-2"/>
    <s v="2.2.306."/>
    <n v="2035000"/>
    <x v="0"/>
    <d v="2021-10-06T00:00:00"/>
    <d v="2021-11-09T00:00:00"/>
    <d v="2021-12-16T00:00:00"/>
    <s v="S+T Plus s.r.o."/>
    <m/>
    <n v="1995260"/>
    <n v="2414264.6"/>
    <m/>
    <m/>
    <m/>
    <d v="2021-12-16T00:00:00"/>
    <s v="SMLN-2021-617-000728_x000a_SMLN-2021-612-000151"/>
    <x v="18"/>
  </r>
  <r>
    <d v="2021-08-19T00:00:00"/>
    <s v="VZ-2021-000848"/>
    <x v="3"/>
    <s v="Olejníček"/>
    <x v="14"/>
    <n v="3"/>
    <s v="Echokardiografický přístroj pro Kardiochirurgickou kliniku"/>
    <m/>
    <s v="33124120-2"/>
    <s v="2.3.457."/>
    <n v="4194500"/>
    <x v="0"/>
    <d v="2021-10-06T00:00:00"/>
    <d v="2021-11-09T00:00:00"/>
    <d v="2021-12-16T00:00:00"/>
    <s v="S+T Plus s.r.o."/>
    <m/>
    <n v="4180160"/>
    <n v="5057993.5999999996"/>
    <m/>
    <m/>
    <m/>
    <d v="2021-12-16T00:00:00"/>
    <s v="SMLN-2021-617-000729_x000a_SMLN-2021-612-000152"/>
    <x v="19"/>
  </r>
  <r>
    <d v="2021-08-19T00:00:00"/>
    <s v="VZ-2021-000848"/>
    <x v="4"/>
    <s v="Olejníček"/>
    <x v="14"/>
    <n v="4"/>
    <s v="Lineární sonda pro Porodnicko-gynekologickou kliniku"/>
    <m/>
    <s v="33124120-2"/>
    <s v="2.2.349."/>
    <n v="125000"/>
    <x v="0"/>
    <d v="2021-10-06T00:00:00"/>
    <d v="2021-11-09T00:00:00"/>
    <d v="2021-12-16T00:00:00"/>
    <s v="Electric Medical Service, s.r.o."/>
    <m/>
    <n v="108000"/>
    <n v="130680"/>
    <m/>
    <m/>
    <m/>
    <d v="2021-12-16T00:00:00"/>
    <s v="SMLN-2021-617-000730_x000a_SMLN-2021-612-000153"/>
    <x v="17"/>
  </r>
  <r>
    <d v="2021-08-19T00:00:00"/>
    <s v="VZ-2021-000848"/>
    <x v="4"/>
    <s v="Olejníček"/>
    <x v="14"/>
    <n v="5"/>
    <s v="Echokardiografický přístroj střední třídy pro KTVS"/>
    <m/>
    <s v="33124120-2"/>
    <s v="2.3.523."/>
    <n v="1770000"/>
    <x v="0"/>
    <d v="2021-10-06T00:00:00"/>
    <d v="2021-11-09T00:00:00"/>
    <d v="2021-12-16T00:00:00"/>
    <s v="NIMOTECH, s.r.o."/>
    <m/>
    <n v="1136163.99"/>
    <n v="1374758.43"/>
    <m/>
    <m/>
    <m/>
    <d v="2021-12-16T00:00:00"/>
    <s v="SMLN-2021-617-000731_x000a_SMLN-2021-612-000154"/>
    <x v="17"/>
  </r>
  <r>
    <d v="2021-08-17T00:00:00"/>
    <s v="VZ-2021-000872"/>
    <x v="5"/>
    <s v="Srovnal"/>
    <x v="15"/>
    <n v="1"/>
    <s v="Chlazení budovy D1, 1.NP - 3.NP"/>
    <m/>
    <s v="42513290-4"/>
    <s v="4.2.154"/>
    <n v="4600000"/>
    <x v="0"/>
    <d v="2021-09-06T00:00:00"/>
    <d v="2021-10-11T00:00:00"/>
    <d v="2022-01-27T00:00:00"/>
    <s v="CLIMART s.r.o."/>
    <m/>
    <n v="3277300"/>
    <n v="3965533"/>
    <m/>
    <m/>
    <m/>
    <d v="2022-01-27T00:00:00"/>
    <s v="SMLN-2022-618-000007"/>
    <x v="20"/>
  </r>
  <r>
    <d v="2021-08-17T00:00:00"/>
    <s v="VZ-2021-000872"/>
    <x v="5"/>
    <s v="Srovnal"/>
    <x v="15"/>
    <n v="2"/>
    <s v="Dochlazování místností v budovách M1 a M2"/>
    <m/>
    <s v="42513290-4"/>
    <m/>
    <n v="1600000"/>
    <x v="0"/>
    <d v="2021-09-06T00:00:00"/>
    <d v="2021-10-11T00:00:00"/>
    <d v="2021-11-24T00:00:00"/>
    <s v="MK POWER s.r.o."/>
    <m/>
    <n v="1127500"/>
    <n v="1364275"/>
    <m/>
    <m/>
    <m/>
    <d v="2021-11-24T00:00:00"/>
    <s v="SMLN-2021-618-000082"/>
    <x v="21"/>
  </r>
  <r>
    <d v="2021-08-17T00:00:00"/>
    <s v="VZ-2021-000874"/>
    <x v="0"/>
    <s v="Zemánek"/>
    <x v="16"/>
    <m/>
    <m/>
    <m/>
    <s v="33140000-3"/>
    <m/>
    <n v="8723460"/>
    <x v="0"/>
    <d v="2021-09-23T00:00:00"/>
    <d v="2021-10-26T00:00:00"/>
    <d v="2021-12-09T00:00:00"/>
    <s v="Edwards Lifesciences Czech Republic s.r.o."/>
    <m/>
    <n v="8919795"/>
    <n v="10792951.949999999"/>
    <m/>
    <m/>
    <m/>
    <d v="2021-12-09T00:00:00"/>
    <s v="SMLN-2021-617-000716"/>
    <x v="22"/>
  </r>
  <r>
    <d v="2021-08-31T00:00:00"/>
    <s v="VZ-2021-000920"/>
    <x v="1"/>
    <s v="Ondráčková"/>
    <x v="17"/>
    <m/>
    <m/>
    <m/>
    <s v="33622200-8"/>
    <m/>
    <n v="6988880"/>
    <x v="0"/>
    <d v="2021-10-19T00:00:00"/>
    <d v="2021-12-16T00:00:00"/>
    <d v="2022-01-05T00:00:00"/>
    <s v="Alliance Healthcare s.r.o."/>
    <m/>
    <n v="6916884"/>
    <n v="7608572.4000000004"/>
    <m/>
    <m/>
    <m/>
    <d v="2022-01-05T00:00:00"/>
    <s v="SMLN-2022-617-000007"/>
    <x v="23"/>
  </r>
  <r>
    <d v="2021-08-31T00:00:00"/>
    <s v="VZ-2021-000929"/>
    <x v="4"/>
    <s v="Rosulek"/>
    <x v="18"/>
    <m/>
    <m/>
    <m/>
    <s v="33169100-3"/>
    <s v="2.3.416."/>
    <n v="6363636"/>
    <x v="0"/>
    <d v="2021-10-06T00:00:00"/>
    <d v="2021-11-08T00:00:00"/>
    <d v="2022-01-20T00:00:00"/>
    <s v="Hospimed, spol. s r.o."/>
    <m/>
    <n v="6363521"/>
    <n v="7699860.4100000001"/>
    <m/>
    <m/>
    <m/>
    <d v="2022-01-20T00:00:00"/>
    <s v="SMLN-2022-617-000028_x000a_SMLN-2022-612-000009_x000a_SMLN-2022-617-000029"/>
    <x v="24"/>
  </r>
  <r>
    <d v="2021-09-13T00:00:00"/>
    <s v="VZ-2021-000951"/>
    <x v="0"/>
    <s v="Valtová"/>
    <x v="19"/>
    <n v="1"/>
    <s v="Samoexpandibilní stenty vaskulární II."/>
    <m/>
    <s v="33140000-3"/>
    <m/>
    <n v="1500000"/>
    <x v="0"/>
    <d v="2021-09-23T00:00:00"/>
    <d v="2021-11-16T00:00:00"/>
    <d v="2021-12-01T00:00:00"/>
    <s v="MEDITRADE spol. s r.o."/>
    <m/>
    <n v="1500000"/>
    <n v="1725000"/>
    <m/>
    <m/>
    <m/>
    <d v="2021-12-01T00:00:00"/>
    <s v="SMLN-2021-617-000698_x000a_SMLN-2021-614-000121"/>
    <x v="2"/>
  </r>
  <r>
    <d v="2021-09-13T00:00:00"/>
    <s v="VZ-2021-000951"/>
    <x v="0"/>
    <s v="Valtová"/>
    <x v="19"/>
    <n v="2"/>
    <s v="Samoexpandibilní stenty vaskulární XL"/>
    <m/>
    <s v="33140000-3"/>
    <m/>
    <n v="189800"/>
    <x v="0"/>
    <d v="2021-09-23T00:00:00"/>
    <d v="2021-11-16T00:00:00"/>
    <d v="2021-12-01T00:00:00"/>
    <s v="BARD Czech Republic s.r.o."/>
    <m/>
    <n v="189800"/>
    <n v="218270"/>
    <m/>
    <m/>
    <m/>
    <d v="2021-12-01T00:00:00"/>
    <s v="SMLN-2021-617-000699_x000a_SMLN-2021-614-000122"/>
    <x v="2"/>
  </r>
  <r>
    <d v="2021-09-13T00:00:00"/>
    <s v="VZ-2021-000951"/>
    <x v="0"/>
    <s v="Valtová"/>
    <x v="19"/>
    <n v="3"/>
    <s v="Balónexpandibilní stenty vaskulární I."/>
    <m/>
    <s v="33140000-3"/>
    <m/>
    <n v="1635000"/>
    <x v="0"/>
    <d v="2021-09-23T00:00:00"/>
    <d v="2021-11-16T00:00:00"/>
    <d v="2021-12-01T00:00:00"/>
    <s v="Stimcare, s.r.o."/>
    <m/>
    <n v="1635000"/>
    <n v="1880250"/>
    <m/>
    <m/>
    <m/>
    <d v="2021-12-01T00:00:00"/>
    <s v="SMLN-2021-617-000700_x000a_SMLN-2021-614-000123"/>
    <x v="1"/>
  </r>
  <r>
    <d v="2021-09-13T00:00:00"/>
    <s v="VZ-2021-000951"/>
    <x v="0"/>
    <s v="Valtová"/>
    <x v="19"/>
    <n v="5"/>
    <s v="Karotické stenty vaskulární I."/>
    <m/>
    <s v="33140000-3"/>
    <m/>
    <n v="528000"/>
    <x v="0"/>
    <d v="2021-09-23T00:00:00"/>
    <d v="2021-11-16T00:00:00"/>
    <d v="2021-12-01T00:00:00"/>
    <s v="MEDITRADE spol. s r.o."/>
    <m/>
    <n v="528000"/>
    <n v="607200"/>
    <m/>
    <m/>
    <m/>
    <d v="2021-12-01T00:00:00"/>
    <s v="SMLN-2021-617-000701_x000a_SMLN-2021-614-000124"/>
    <x v="2"/>
  </r>
  <r>
    <d v="2021-09-13T00:00:00"/>
    <s v="VZ-2021-000951"/>
    <x v="0"/>
    <s v="Valtová"/>
    <x v="19"/>
    <n v="6"/>
    <s v="Karotické stenty vaskulární II."/>
    <m/>
    <s v="33140000-3"/>
    <m/>
    <n v="652170"/>
    <x v="0"/>
    <d v="2021-09-23T00:00:00"/>
    <d v="2021-11-16T00:00:00"/>
    <d v="2021-12-01T00:00:00"/>
    <s v="Stimcare, s.r.o."/>
    <m/>
    <n v="651900"/>
    <n v="749685"/>
    <m/>
    <m/>
    <m/>
    <d v="2021-12-01T00:00:00"/>
    <s v="SMLN-2021-617-000702_x000a_SMLN-2021-614-000125"/>
    <x v="1"/>
  </r>
  <r>
    <d v="2021-09-13T00:00:00"/>
    <s v="VZ-2021-000951"/>
    <x v="0"/>
    <s v="Valtová"/>
    <x v="19"/>
    <n v="7"/>
    <s v="Intrakraniální stenty vaskulární"/>
    <m/>
    <s v="33140000-3"/>
    <m/>
    <n v="26578800"/>
    <x v="0"/>
    <d v="2021-09-23T00:00:00"/>
    <d v="2021-11-16T00:00:00"/>
    <d v="2021-12-01T00:00:00"/>
    <s v="EspoMed spol. s r.o."/>
    <m/>
    <n v="26577000"/>
    <n v="30563550"/>
    <m/>
    <m/>
    <m/>
    <d v="2021-12-01T00:00:00"/>
    <s v="SMLN-2021-617-000703_x000a_SMLN-2021-614-000126"/>
    <x v="13"/>
  </r>
  <r>
    <d v="2021-09-20T00:00:00"/>
    <s v="VZ-2021-000997"/>
    <x v="6"/>
    <s v="Zdráhalová"/>
    <x v="20"/>
    <m/>
    <m/>
    <m/>
    <s v="33141620-2"/>
    <m/>
    <n v="3299200"/>
    <x v="1"/>
    <d v="2021-10-15T00:00:00"/>
    <d v="2021-11-10T00:00:00"/>
    <d v="2021-12-09T00:00:00"/>
    <s v="MANLOMKA s.r.o."/>
    <m/>
    <n v="3247680"/>
    <n v="3734852"/>
    <m/>
    <m/>
    <m/>
    <d v="2021-12-09T00:00:00"/>
    <s v="SMLN-2021-617-000717"/>
    <x v="1"/>
  </r>
  <r>
    <d v="2021-09-24T00:00:00"/>
    <s v="VZ-2021-001002"/>
    <x v="1"/>
    <s v="Ondráčková"/>
    <x v="21"/>
    <n v="2"/>
    <s v="KOBIMETINIB"/>
    <m/>
    <s v="33652000-5"/>
    <m/>
    <n v="370986"/>
    <x v="0"/>
    <d v="2021-09-30T00:00:00"/>
    <d v="2021-11-02T00:00:00"/>
    <d v="2021-12-01T00:00:00"/>
    <s v="ROCHE s.r.o."/>
    <m/>
    <n v="125634.9"/>
    <n v="138198.39000000001"/>
    <m/>
    <m/>
    <m/>
    <d v="2021-12-01T00:00:00"/>
    <s v="SMLN-2021-617-000693"/>
    <x v="1"/>
  </r>
  <r>
    <d v="2021-09-24T00:00:00"/>
    <s v="VZ-2021-001002"/>
    <x v="1"/>
    <s v="Ondráčková"/>
    <x v="21"/>
    <n v="3"/>
    <s v="PIRFENIDON"/>
    <m/>
    <s v="33652200-7"/>
    <m/>
    <n v="52685673"/>
    <x v="0"/>
    <d v="2021-09-30T00:00:00"/>
    <d v="2021-11-02T00:00:00"/>
    <d v="2021-12-01T00:00:00"/>
    <s v="ROCHE s.r.o."/>
    <m/>
    <n v="51324507.899999999"/>
    <n v="56456958.689999998"/>
    <m/>
    <m/>
    <m/>
    <d v="2021-12-01T00:00:00"/>
    <s v="SMLN-2021-617-000694"/>
    <x v="1"/>
  </r>
  <r>
    <d v="2021-09-24T00:00:00"/>
    <s v="VZ-2021-001010"/>
    <x v="1"/>
    <s v="Ondráčková"/>
    <x v="22"/>
    <n v="1"/>
    <s v="FLUCONAZOL I.V."/>
    <m/>
    <s v="33651200-0"/>
    <m/>
    <n v="1724688"/>
    <x v="0"/>
    <d v="2021-10-06T00:00:00"/>
    <d v="2021-12-21T00:00:00"/>
    <d v="2022-02-16T00:00:00"/>
    <s v="Fresenius Kabi s.r.o. Kabi s.r.o."/>
    <m/>
    <n v="1723115.4"/>
    <n v="1895426.94"/>
    <m/>
    <m/>
    <m/>
    <d v="2022-02-16T00:00:00"/>
    <s v="SMLN-2022-617-000108"/>
    <x v="25"/>
  </r>
  <r>
    <d v="2021-09-24T00:00:00"/>
    <s v="VZ-2021-001010"/>
    <x v="1"/>
    <s v="Ondráčková"/>
    <x v="22"/>
    <n v="2"/>
    <s v="VORIKONAZOL SANDOZ Tbl."/>
    <m/>
    <s v="33651200-0"/>
    <m/>
    <n v="1365165"/>
    <x v="0"/>
    <d v="2021-10-06T00:00:00"/>
    <d v="2021-12-21T00:00:00"/>
    <d v="2022-02-16T00:00:00"/>
    <s v="Alliance Healthcare s.r.o."/>
    <m/>
    <n v="1365300"/>
    <n v="1501830"/>
    <m/>
    <m/>
    <m/>
    <d v="2022-02-16T00:00:00"/>
    <s v="SMLN-2022-617-000109"/>
    <x v="15"/>
  </r>
  <r>
    <d v="2021-09-24T00:00:00"/>
    <s v="VZ-2021-001010"/>
    <x v="1"/>
    <s v="Ondráčková"/>
    <x v="22"/>
    <n v="3"/>
    <s v="VFEND Tbl."/>
    <m/>
    <s v="33651200-0"/>
    <m/>
    <n v="1365165"/>
    <x v="0"/>
    <d v="2021-10-06T00:00:00"/>
    <d v="2021-12-21T00:00:00"/>
    <d v="2022-02-16T00:00:00"/>
    <s v="PHOENIX lék.velkoobchod, s.r.o."/>
    <m/>
    <n v="1371580.38"/>
    <n v="1508738.42"/>
    <m/>
    <m/>
    <m/>
    <d v="2022-02-16T00:00:00"/>
    <s v="SMLN-2022-617-000110"/>
    <x v="14"/>
  </r>
  <r>
    <d v="2021-09-24T00:00:00"/>
    <s v="VZ-2021-001010"/>
    <x v="1"/>
    <s v="Ondráčková"/>
    <x v="22"/>
    <n v="4"/>
    <s v="VORICONAZOLE ACCORD Tbl."/>
    <m/>
    <s v="33651200-0"/>
    <m/>
    <n v="1365165"/>
    <x v="0"/>
    <d v="2021-10-06T00:00:00"/>
    <d v="2021-12-21T00:00:00"/>
    <d v="2022-02-16T00:00:00"/>
    <s v="ViaPharma s.r.o."/>
    <m/>
    <n v="1335996"/>
    <n v="1469595.6"/>
    <m/>
    <m/>
    <m/>
    <d v="2022-02-16T00:00:00"/>
    <s v="SMLN-2022-617-000111"/>
    <x v="26"/>
  </r>
  <r>
    <d v="2021-09-24T00:00:00"/>
    <s v="VZ-2021-001010"/>
    <x v="1"/>
    <s v="Ondráčková"/>
    <x v="22"/>
    <n v="5"/>
    <s v="VORICONAZOLE OLIKLA Tbl."/>
    <m/>
    <s v="33651200-0"/>
    <m/>
    <n v="72594"/>
    <x v="0"/>
    <d v="2021-10-06T00:00:00"/>
    <d v="2021-12-21T00:00:00"/>
    <d v="2022-02-16T00:00:00"/>
    <s v="PHARMOS, a.s., a.s."/>
    <m/>
    <n v="71750.399999999994"/>
    <n v="78925.440000000002"/>
    <m/>
    <m/>
    <m/>
    <d v="2022-02-16T00:00:00"/>
    <s v="SMLN-2022-617-000112"/>
    <x v="16"/>
  </r>
  <r>
    <d v="2021-09-24T00:00:00"/>
    <s v="VZ-2021-001010"/>
    <x v="1"/>
    <s v="Ondráčková"/>
    <x v="22"/>
    <n v="6"/>
    <s v="VORICONAZOLE TEVA Tbl."/>
    <m/>
    <s v="33651200-0"/>
    <m/>
    <n v="1365165"/>
    <x v="0"/>
    <d v="2021-10-06T00:00:00"/>
    <d v="2021-12-21T00:00:00"/>
    <d v="2022-02-16T00:00:00"/>
    <s v="Alliance Healthcare s.r.o."/>
    <m/>
    <n v="72511.86"/>
    <n v="79763.05"/>
    <m/>
    <m/>
    <m/>
    <d v="2022-02-16T00:00:00"/>
    <s v="SMLN-2022-617-000113"/>
    <x v="15"/>
  </r>
  <r>
    <d v="2021-09-24T00:00:00"/>
    <s v="VZ-2021-001010"/>
    <x v="1"/>
    <s v="Ondráčková"/>
    <x v="22"/>
    <n v="7"/>
    <s v="VORIKONAZOL MYLAN Tbl."/>
    <m/>
    <s v="33651200-0"/>
    <m/>
    <n v="1365165"/>
    <x v="0"/>
    <d v="2021-10-06T00:00:00"/>
    <d v="2021-12-21T00:00:00"/>
    <d v="2022-02-16T00:00:00"/>
    <s v="PHARMOS, a.s., a.s."/>
    <m/>
    <n v="540947.4"/>
    <n v="595042.14"/>
    <m/>
    <m/>
    <m/>
    <d v="2022-02-16T00:00:00"/>
    <s v="SMLN-2022-617-000114"/>
    <x v="16"/>
  </r>
  <r>
    <d v="2021-09-24T00:00:00"/>
    <s v="VZ-2021-001010"/>
    <x v="1"/>
    <s v="Ondráčková"/>
    <x v="22"/>
    <n v="8"/>
    <s v="VORIKONAZOL Tbl.  pro hospitalizované pacienty"/>
    <m/>
    <s v="33651200-0"/>
    <m/>
    <n v="224649"/>
    <x v="0"/>
    <d v="2021-10-06T00:00:00"/>
    <d v="2021-12-21T00:00:00"/>
    <d v="2022-02-16T00:00:00"/>
    <s v="ViaPharma s.r.o."/>
    <m/>
    <n v="209521.26"/>
    <n v="230473.39"/>
    <m/>
    <m/>
    <m/>
    <d v="2022-02-16T00:00:00"/>
    <s v="SMLN-2022-617-000115"/>
    <x v="26"/>
  </r>
  <r>
    <d v="2021-09-30T00:00:00"/>
    <s v="VZ-2021-001026"/>
    <x v="1"/>
    <s v="Ondráčková"/>
    <x v="23"/>
    <n v="1"/>
    <s v="SORAFENIB bez indikace diferencovaného karcinomu štítné žlázy "/>
    <m/>
    <s v="33652000-5"/>
    <m/>
    <n v="695760"/>
    <x v="0"/>
    <d v="2021-10-06T00:00:00"/>
    <d v="2021-12-27T00:00:00"/>
    <d v="2022-02-02T00:00:00"/>
    <s v="Alliance Healthcare s.r.o."/>
    <m/>
    <n v="377836.68"/>
    <n v="415620.35"/>
    <m/>
    <m/>
    <m/>
    <d v="2022-02-02T00:00:00"/>
    <s v="SMLN-2022-617-000059"/>
    <x v="27"/>
  </r>
  <r>
    <d v="2021-09-30T00:00:00"/>
    <s v="VZ-2021-001026"/>
    <x v="1"/>
    <s v="Ondráčková"/>
    <x v="23"/>
    <n v="2"/>
    <s v="MELFALAN"/>
    <m/>
    <s v="33652000-5"/>
    <m/>
    <n v="553461"/>
    <x v="0"/>
    <d v="2021-10-06T00:00:00"/>
    <d v="2021-12-27T00:00:00"/>
    <d v="2022-02-02T00:00:00"/>
    <s v="Alliance Healthcare s.r.o."/>
    <m/>
    <n v="549009.27"/>
    <n v="603910.19999999995"/>
    <m/>
    <m/>
    <m/>
    <d v="2022-02-02T00:00:00"/>
    <s v="SMLN-2022-617-000060"/>
    <x v="27"/>
  </r>
  <r>
    <d v="2021-09-30T00:00:00"/>
    <s v="VZ-2021-001026"/>
    <x v="1"/>
    <s v="Ondráčková"/>
    <x v="23"/>
    <n v="3"/>
    <s v="NELARABIN"/>
    <m/>
    <s v="33652000-5"/>
    <m/>
    <n v="1970539"/>
    <x v="0"/>
    <d v="2021-10-06T00:00:00"/>
    <d v="2021-12-27T00:00:00"/>
    <d v="2022-02-02T00:00:00"/>
    <s v="Alliance Healthcare s.r.o."/>
    <m/>
    <n v="1930145.76"/>
    <n v="2123160.34"/>
    <m/>
    <m/>
    <m/>
    <d v="2022-02-02T00:00:00"/>
    <s v="SMLN-2022-617-000061"/>
    <x v="27"/>
  </r>
  <r>
    <d v="2021-09-30T00:00:00"/>
    <s v="VZ-2021-001026"/>
    <x v="1"/>
    <s v="Ondráčková"/>
    <x v="23"/>
    <n v="4"/>
    <s v="OXID ARSENITÝ I."/>
    <m/>
    <s v="33652000-5"/>
    <m/>
    <n v="1744029"/>
    <x v="0"/>
    <d v="2021-10-06T00:00:00"/>
    <d v="2021-12-27T00:00:00"/>
    <d v="2022-02-02T00:00:00"/>
    <s v="PHOENIX lék.velkoobchod, s.r.o."/>
    <m/>
    <n v="1714919"/>
    <n v="1886454.9"/>
    <m/>
    <m/>
    <m/>
    <d v="2022-02-02T00:00:00"/>
    <s v="SMLN-2022-617-000062"/>
    <x v="27"/>
  </r>
  <r>
    <d v="2021-09-30T00:00:00"/>
    <s v="VZ-2021-001026"/>
    <x v="1"/>
    <s v="Ondráčková"/>
    <x v="23"/>
    <n v="5"/>
    <s v="OXID ARSENITÝ II."/>
    <m/>
    <s v="33652000-5"/>
    <m/>
    <n v="1335396"/>
    <x v="0"/>
    <d v="2021-10-06T00:00:00"/>
    <d v="2021-12-27T00:00:00"/>
    <d v="2022-02-02T00:00:00"/>
    <s v="ViaPharma s.r.o."/>
    <m/>
    <n v="1328324.92"/>
    <n v="1461157.41"/>
    <m/>
    <m/>
    <m/>
    <d v="2022-02-02T00:00:00"/>
    <s v="SMLN-2022-617-000063"/>
    <x v="26"/>
  </r>
  <r>
    <d v="2021-09-30T00:00:00"/>
    <s v="VZ-2021-001027"/>
    <x v="3"/>
    <s v="Valíček"/>
    <x v="24"/>
    <m/>
    <m/>
    <m/>
    <s v="45215100-8"/>
    <s v="1.3.27."/>
    <n v="160000000"/>
    <x v="0"/>
    <d v="2021-12-17T00:00:00"/>
    <d v="2022-01-28T00:00:00"/>
    <d v="2022-02-07T00:00:00"/>
    <s v="OHLA ŽS, a.s."/>
    <m/>
    <n v="156483215.03999999"/>
    <n v="189344690.19999999"/>
    <m/>
    <m/>
    <m/>
    <d v="2022-02-08T00:00:00"/>
    <s v="SMLN-2022-618-000009"/>
    <x v="28"/>
  </r>
  <r>
    <d v="2021-09-14T00:00:00"/>
    <s v="VZ-2021-001028"/>
    <x v="4"/>
    <s v="Rosulek"/>
    <x v="25"/>
    <m/>
    <m/>
    <m/>
    <s v="33122000-1"/>
    <s v="2.3.529."/>
    <n v="2800000"/>
    <x v="0"/>
    <d v="2021-10-11T00:00:00"/>
    <d v="2021-11-12T00:00:00"/>
    <d v="2021-12-23T00:00:00"/>
    <s v="Carl Zeiss spol. s r.o."/>
    <m/>
    <n v="2797840"/>
    <n v="3385386.4"/>
    <m/>
    <m/>
    <m/>
    <d v="2021-12-23T00:00:00"/>
    <s v="SMLN-2021-617-000748_x000a_SMLN-2021-612-000160"/>
    <x v="29"/>
  </r>
  <r>
    <s v="opakovaná VZ"/>
    <s v="VZ-2021-001041"/>
    <x v="1"/>
    <s v="Ondráčková"/>
    <x v="26"/>
    <n v="1"/>
    <s v="Spotřební materiál pro genetiku 1"/>
    <m/>
    <s v="33694000-1"/>
    <m/>
    <n v="733738"/>
    <x v="2"/>
    <d v="2021-10-11T00:00:00"/>
    <d v="2021-10-18T00:00:00"/>
    <d v="2022-12-16T00:00:00"/>
    <s v="ROCHE s.r.o."/>
    <m/>
    <n v="733735.96"/>
    <n v="887820.51"/>
    <m/>
    <m/>
    <m/>
    <d v="2021-12-16T00:00:00"/>
    <s v="SMLN-2021-617-000732"/>
    <x v="30"/>
  </r>
  <r>
    <s v="opakovaná VZ"/>
    <s v="VZ-2021-001041"/>
    <x v="1"/>
    <s v="Ondráčková"/>
    <x v="26"/>
    <n v="2"/>
    <s v="Spotřební materiál pro genetiku 2"/>
    <m/>
    <s v="33694000-1"/>
    <m/>
    <n v="102837"/>
    <x v="2"/>
    <d v="2021-10-11T00:00:00"/>
    <d v="2021-10-18T00:00:00"/>
    <d v="2022-03-04T00:00:00"/>
    <s v="BIOMEDICA ČS, s.r.o."/>
    <m/>
    <n v="47784"/>
    <n v="57818.64"/>
    <m/>
    <m/>
    <m/>
    <d v="2022-03-04T00:00:00"/>
    <s v="SMLN-2022-617-000144"/>
    <x v="31"/>
  </r>
  <r>
    <s v="opakovaná VZ"/>
    <s v="VZ-2021-001041"/>
    <x v="1"/>
    <s v="Ondráčková"/>
    <x v="26"/>
    <n v="4"/>
    <s v="Spotřební materiál pro genetiku 4"/>
    <m/>
    <s v="33694000-1"/>
    <m/>
    <n v="287058"/>
    <x v="2"/>
    <d v="2021-10-11T00:00:00"/>
    <d v="2021-10-18T00:00:00"/>
    <d v="2022-12-16T00:00:00"/>
    <s v="GeneTiCA s.r.o."/>
    <m/>
    <n v="301280"/>
    <n v="364548.8"/>
    <m/>
    <m/>
    <m/>
    <d v="2021-12-16T00:00:00"/>
    <s v="SMLN-2021-617-000733"/>
    <x v="13"/>
  </r>
  <r>
    <d v="2021-10-01T00:00:00"/>
    <s v="VZ-2021-001042"/>
    <x v="0"/>
    <s v="Valtová"/>
    <x v="27"/>
    <m/>
    <m/>
    <m/>
    <s v="33140000-3"/>
    <m/>
    <n v="4914000"/>
    <x v="0"/>
    <d v="2021-10-18T00:00:00"/>
    <d v="2021-11-22T00:00:00"/>
    <d v="2021-12-16T00:00:00"/>
    <s v="Innova Medical s.r.o."/>
    <m/>
    <n v="4851000"/>
    <n v="5869710"/>
    <m/>
    <m/>
    <m/>
    <d v="2021-12-16T00:00:00"/>
    <s v="SMLN-2021-617-000726_x000a_SMLN-2021-614-000130"/>
    <x v="32"/>
  </r>
  <r>
    <d v="2021-10-04T00:00:00"/>
    <s v="VZ-2021-001043"/>
    <x v="0"/>
    <s v="Valtová"/>
    <x v="28"/>
    <n v="1"/>
    <s v="Systémy pro uzavírání vstupů po perkutánních cévních výkonech I."/>
    <m/>
    <s v="33140000-3"/>
    <m/>
    <n v="3311000"/>
    <x v="0"/>
    <d v="2021-10-12T00:00:00"/>
    <d v="2021-11-16T00:00:00"/>
    <d v="2021-12-01T00:00:00"/>
    <s v="MEDITRADE spol. s r.o."/>
    <m/>
    <n v="3311000"/>
    <n v="3807650"/>
    <m/>
    <m/>
    <m/>
    <d v="2021-12-01T00:00:00"/>
    <s v="SMLN-2021-617-000696_x000a_SMLN-2021-614-000118_x000a_SMLN-2021-614-000119"/>
    <x v="22"/>
  </r>
  <r>
    <d v="2021-10-04T00:00:00"/>
    <s v="VZ-2021-001043"/>
    <x v="0"/>
    <s v="Valtová"/>
    <x v="28"/>
    <n v="2"/>
    <s v="Systémy pro uzavírání vstupů po perkutánních cévních výkonech II."/>
    <m/>
    <s v="33140000-3"/>
    <m/>
    <n v="5213900"/>
    <x v="0"/>
    <d v="2021-10-12T00:00:00"/>
    <d v="2021-11-16T00:00:00"/>
    <d v="2021-12-01T00:00:00"/>
    <s v="MEDITRADE spol. s r.o."/>
    <m/>
    <n v="5168000"/>
    <n v="5943200"/>
    <m/>
    <m/>
    <m/>
    <d v="2021-12-01T00:00:00"/>
    <s v="SMLN-2021-617-000697_x000a_SMLN-2021-614-000120"/>
    <x v="22"/>
  </r>
  <r>
    <d v="2021-10-04T00:00:00"/>
    <s v="VZ-2021-001044"/>
    <x v="0"/>
    <s v="Valtová"/>
    <x v="29"/>
    <n v="1"/>
    <s v="Diagnostické katétry  I."/>
    <m/>
    <s v="33140000-3"/>
    <m/>
    <n v="681480"/>
    <x v="0"/>
    <d v="2021-10-12T00:00:00"/>
    <d v="2021-11-15T00:00:00"/>
    <d v="2021-12-09T00:00:00"/>
    <s v="ARID obchodní společnost, s.r.o."/>
    <m/>
    <n v="681480"/>
    <n v="824590.8"/>
    <m/>
    <m/>
    <m/>
    <d v="2021-12-09T00:00:00"/>
    <s v="SMLN-2021-617-000718_x000a_SMLN-2021-614-000127"/>
    <x v="1"/>
  </r>
  <r>
    <d v="2021-10-04T00:00:00"/>
    <s v="VZ-2021-001044"/>
    <x v="0"/>
    <s v="Valtová"/>
    <x v="29"/>
    <n v="3"/>
    <s v="Hydrofilní diagnostické katétry"/>
    <m/>
    <s v="33140000-3"/>
    <m/>
    <n v="120600"/>
    <x v="0"/>
    <d v="2021-10-12T00:00:00"/>
    <d v="2021-11-15T00:00:00"/>
    <d v="2021-12-09T00:00:00"/>
    <s v="VAMEX, spol. s r.o."/>
    <m/>
    <n v="120600"/>
    <n v="145926"/>
    <m/>
    <m/>
    <m/>
    <d v="2021-12-09T00:00:00"/>
    <s v="SMLN-2021-617-000719_x000a_SMLN-2021-614-000128"/>
    <x v="18"/>
  </r>
  <r>
    <d v="2021-10-04T00:00:00"/>
    <s v="VZ-2021-001045"/>
    <x v="0"/>
    <s v="Dočkalová"/>
    <x v="30"/>
    <m/>
    <m/>
    <m/>
    <s v="33140000-3"/>
    <m/>
    <n v="3561600"/>
    <x v="0"/>
    <d v="2021-10-13T00:00:00"/>
    <d v="2021-11-25T00:00:00"/>
    <d v="2022-06-28T00:00:00"/>
    <s v="Perfect Distribution a.s."/>
    <m/>
    <n v="2415671"/>
    <n v="2922961.91"/>
    <m/>
    <m/>
    <m/>
    <d v="2022-06-28T00:00:00"/>
    <s v="SMLN-2022-617-000440"/>
    <x v="33"/>
  </r>
  <r>
    <d v="2021-11-16T00:00:00"/>
    <s v="VZ-2021-001073"/>
    <x v="1"/>
    <s v="Ondráčková"/>
    <x v="31"/>
    <m/>
    <m/>
    <m/>
    <s v="33694000-1"/>
    <m/>
    <n v="7471900"/>
    <x v="0"/>
    <d v="2021-12-06T00:00:00"/>
    <d v="2022-01-10T00:00:00"/>
    <d v="2022-02-10T00:00:00"/>
    <s v="Siemens Healthcare, s.r.o."/>
    <m/>
    <n v="7451240"/>
    <n v="9016000.4000000004"/>
    <m/>
    <m/>
    <m/>
    <d v="2022-02-10T00:00:00"/>
    <s v="SMLN-2022-617-000089_x000a_SMLN-2022-616-000009"/>
    <x v="34"/>
  </r>
  <r>
    <d v="2021-10-13T00:00:00"/>
    <s v="VZ-2021-001090"/>
    <x v="2"/>
    <s v="Zeman"/>
    <x v="32"/>
    <m/>
    <m/>
    <m/>
    <s v="45215100-8"/>
    <s v="1.2.73."/>
    <n v="40000000"/>
    <x v="1"/>
    <d v="2021-10-22T00:00:00"/>
    <d v="2021-11-25T00:00:00"/>
    <d v="2021-12-23T00:00:00"/>
    <s v="PTÁČEK - pozemní stavby s.r.o."/>
    <m/>
    <n v="43869660.420000002"/>
    <n v="53082289.109999999"/>
    <m/>
    <m/>
    <m/>
    <d v="2021-12-23T00:00:00"/>
    <s v="SMLN-2021-618-000092"/>
    <x v="35"/>
  </r>
  <r>
    <d v="2021-10-14T00:00:00"/>
    <s v="VZ-2021-001097"/>
    <x v="1"/>
    <s v="Ondráčková"/>
    <x v="33"/>
    <n v="2"/>
    <s v="ELISA kit"/>
    <m/>
    <s v="33694000-1"/>
    <m/>
    <n v="197787"/>
    <x v="2"/>
    <d v="2021-10-19T00:00:00"/>
    <d v="2021-10-26T00:00:00"/>
    <d v="2021-11-19T00:00:00"/>
    <s v="Bio-Port Europe s.r.o."/>
    <m/>
    <n v="153450"/>
    <n v="153450"/>
    <m/>
    <m/>
    <m/>
    <d v="2021-11-19T00:00:00"/>
    <s v="SMLN-2021-617-000669"/>
    <x v="7"/>
  </r>
  <r>
    <d v="2021-10-14T00:00:00"/>
    <s v="VZ-2021-001099"/>
    <x v="7"/>
    <s v="Svozil"/>
    <x v="34"/>
    <m/>
    <m/>
    <m/>
    <s v="45232150-8"/>
    <m/>
    <n v="7600000"/>
    <x v="1"/>
    <d v="2021-10-26T00:00:00"/>
    <d v="2021-11-30T00:00:00"/>
    <d v="2021-12-16T00:00:00"/>
    <s v="INSTA CZ, s.r.o."/>
    <m/>
    <n v="7313040"/>
    <n v="8848778"/>
    <m/>
    <m/>
    <m/>
    <d v="2021-12-16T00:00:00"/>
    <s v="SMLN-2021-618-000089"/>
    <x v="36"/>
  </r>
  <r>
    <d v="2021-10-15T00:00:00"/>
    <s v="VZ-2021-001111"/>
    <x v="1"/>
    <s v="Ondráčková"/>
    <x v="35"/>
    <n v="1"/>
    <s v="LAMICTAL"/>
    <m/>
    <s v="33661600-4"/>
    <m/>
    <n v="1276147"/>
    <x v="0"/>
    <d v="2021-10-21T00:00:00"/>
    <d v="2021-12-30T00:00:00"/>
    <d v="2022-01-24T00:00:00"/>
    <s v="PHARMOS, a.s., a.s."/>
    <m/>
    <n v="1263192.51"/>
    <n v="1389511.76"/>
    <m/>
    <m/>
    <m/>
    <d v="2022-01-24T00:00:00"/>
    <s v="SMLN-2022-617-000030"/>
    <x v="37"/>
  </r>
  <r>
    <d v="2021-10-15T00:00:00"/>
    <s v="VZ-2021-001111"/>
    <x v="1"/>
    <s v="Ondráčková"/>
    <x v="35"/>
    <n v="2"/>
    <s v="NEURONTIN"/>
    <m/>
    <s v="33661600-4"/>
    <m/>
    <n v="1972042"/>
    <x v="0"/>
    <d v="2021-10-21T00:00:00"/>
    <d v="2021-12-30T00:00:00"/>
    <d v="2022-01-24T00:00:00"/>
    <s v="PHARMOS, a.s., a.s."/>
    <m/>
    <n v="1938526.17"/>
    <n v="2132378.79"/>
    <m/>
    <m/>
    <m/>
    <d v="2022-01-24T00:00:00"/>
    <s v="SMLN-2022-617-000031"/>
    <x v="37"/>
  </r>
  <r>
    <d v="2021-10-15T00:00:00"/>
    <s v="VZ-2021-001111"/>
    <x v="1"/>
    <s v="Ondráčková"/>
    <x v="35"/>
    <n v="3"/>
    <s v="KEPPRA"/>
    <m/>
    <s v="33661600-4"/>
    <m/>
    <n v="2877337"/>
    <x v="0"/>
    <d v="2021-10-21T00:00:00"/>
    <d v="2021-12-30T00:00:00"/>
    <d v="2022-01-24T00:00:00"/>
    <s v="PHOENIX lék.velkoobchod, s.r.o."/>
    <m/>
    <n v="2830056.06"/>
    <n v="3113061.67"/>
    <m/>
    <m/>
    <m/>
    <d v="2022-01-24T00:00:00"/>
    <s v="SMLN-2022-617-000032"/>
    <x v="0"/>
  </r>
  <r>
    <d v="2021-10-15T00:00:00"/>
    <s v="VZ-2021-001111"/>
    <x v="1"/>
    <s v="Ondráčková"/>
    <x v="35"/>
    <n v="4"/>
    <s v="TRUND"/>
    <m/>
    <s v="33661600-4"/>
    <m/>
    <n v="684637"/>
    <x v="0"/>
    <d v="2021-10-21T00:00:00"/>
    <d v="2021-12-30T00:00:00"/>
    <d v="2022-01-24T00:00:00"/>
    <s v="PHOENIX lék.velkoobchod, s.r.o."/>
    <m/>
    <n v="676978.17"/>
    <n v="744675.99"/>
    <m/>
    <m/>
    <m/>
    <d v="2022-01-24T00:00:00"/>
    <s v="SMLN-2022-617-000033"/>
    <x v="0"/>
  </r>
  <r>
    <d v="2021-10-15T00:00:00"/>
    <s v="VZ-2021-001111"/>
    <x v="1"/>
    <s v="Ondráčková"/>
    <x v="35"/>
    <n v="5"/>
    <s v="LYRICA"/>
    <m/>
    <s v="33661600-4"/>
    <m/>
    <n v="1216758"/>
    <x v="0"/>
    <d v="2021-10-21T00:00:00"/>
    <d v="2021-12-30T00:00:00"/>
    <d v="2022-01-24T00:00:00"/>
    <s v="PHARMOS, a.s., a.s."/>
    <m/>
    <n v="1208450.73"/>
    <n v="1329295.8"/>
    <m/>
    <m/>
    <m/>
    <d v="2022-01-24T00:00:00"/>
    <s v="SMLN-2022-617-000034"/>
    <x v="37"/>
  </r>
  <r>
    <d v="2021-10-15T00:00:00"/>
    <s v="VZ-2021-001111"/>
    <x v="1"/>
    <s v="Ondráčková"/>
    <x v="35"/>
    <n v="6"/>
    <s v="PREGABALIN SANDOZ"/>
    <m/>
    <s v="33661600-4"/>
    <m/>
    <n v="7116805"/>
    <x v="0"/>
    <d v="2021-10-21T00:00:00"/>
    <d v="2021-12-30T00:00:00"/>
    <d v="2022-01-24T00:00:00"/>
    <s v="PHARMOS, a.s., a.s."/>
    <m/>
    <n v="7045927.4699999997"/>
    <n v="7750520.2199999997"/>
    <m/>
    <m/>
    <m/>
    <d v="2022-01-24T00:00:00"/>
    <s v="SMLN-2022-617-000035"/>
    <x v="37"/>
  </r>
  <r>
    <d v="2021-10-15T00:00:00"/>
    <s v="VZ-2021-001111"/>
    <x v="1"/>
    <s v="Ondráčková"/>
    <x v="35"/>
    <n v="7"/>
    <s v="ARKVIMMA"/>
    <m/>
    <s v="33661600-4"/>
    <m/>
    <n v="3120030"/>
    <x v="0"/>
    <d v="2021-10-21T00:00:00"/>
    <d v="2021-12-30T00:00:00"/>
    <d v="2022-01-24T00:00:00"/>
    <s v="PHARMOS, a.s., a.s."/>
    <m/>
    <n v="400542.12"/>
    <n v="450596.33"/>
    <m/>
    <m/>
    <m/>
    <d v="2022-01-24T00:00:00"/>
    <s v="SMLN-2022-617-000036"/>
    <x v="37"/>
  </r>
  <r>
    <d v="2021-10-15T00:00:00"/>
    <s v="VZ-2021-001112"/>
    <x v="1"/>
    <s v="Ondráčková"/>
    <x v="36"/>
    <m/>
    <m/>
    <m/>
    <s v="24111500-0"/>
    <m/>
    <n v="21966219"/>
    <x v="0"/>
    <d v="2021-11-25T00:00:00"/>
    <d v="2022-01-05T00:00:00"/>
    <d v="2022-03-18T00:00:00"/>
    <s v="Messer Technogas s.r.o."/>
    <m/>
    <n v="21636720"/>
    <n v="25507814.760000002"/>
    <m/>
    <m/>
    <m/>
    <d v="2022-03-18T00:00:00"/>
    <s v="SMLN-2022-617-000179_x000a_SMLN-2022-617-000180"/>
    <x v="38"/>
  </r>
  <r>
    <d v="2021-10-18T00:00:00"/>
    <s v="VZ-2021-001114"/>
    <x v="2"/>
    <s v="Pavela"/>
    <x v="37"/>
    <m/>
    <m/>
    <m/>
    <s v="45215140-4"/>
    <m/>
    <n v="95000000"/>
    <x v="0"/>
    <d v="2021-10-22T00:00:00"/>
    <d v="2021-12-20T00:00:00"/>
    <d v="2022-01-25T00:00:00"/>
    <s v="WAREX spol. s r.o."/>
    <m/>
    <n v="117999980"/>
    <n v="142779975.80000001"/>
    <m/>
    <m/>
    <m/>
    <d v="2022-01-25T00:00:00"/>
    <s v="SMLN-2022-618-000006"/>
    <x v="4"/>
  </r>
  <r>
    <d v="2021-10-15T00:00:00"/>
    <s v="VZ-2021-001120"/>
    <x v="2"/>
    <s v="Zeman"/>
    <x v="38"/>
    <m/>
    <m/>
    <m/>
    <s v="45223300-9"/>
    <s v="1.2.84."/>
    <n v="825000"/>
    <x v="2"/>
    <d v="2021-10-22T00:00:00"/>
    <d v="2021-11-03T00:00:00"/>
    <d v="2021-11-16T00:00:00"/>
    <s v="STAFSONS, s.r.o."/>
    <m/>
    <n v="927544.14"/>
    <n v="1122328.4099999999"/>
    <m/>
    <m/>
    <m/>
    <d v="2021-11-16T00:00:00"/>
    <s v="SMLN-2021-618-000080"/>
    <x v="17"/>
  </r>
  <r>
    <d v="2021-10-19T00:00:00"/>
    <s v="VZ-2021-001121"/>
    <x v="0"/>
    <s v="Valtová"/>
    <x v="39"/>
    <n v="1"/>
    <s v="2.1. Vodící dráty k vaskulárním intervencím I. "/>
    <m/>
    <s v="33140000-3"/>
    <m/>
    <n v="219000"/>
    <x v="0"/>
    <d v="2021-10-27T00:00:00"/>
    <d v="2022-01-18T00:00:00"/>
    <d v="2022-02-09T00:00:00"/>
    <s v="B. Braun Medical s.r.o."/>
    <m/>
    <n v="274000"/>
    <n v="331540"/>
    <m/>
    <m/>
    <m/>
    <d v="2022-02-11T00:00:00"/>
    <s v="SMLN-2022-617-000090_x000a_SMLN-2022-614-000017"/>
    <x v="16"/>
  </r>
  <r>
    <d v="2021-10-19T00:00:00"/>
    <s v="VZ-2021-001121"/>
    <x v="0"/>
    <s v="Valtová"/>
    <x v="39"/>
    <n v="2"/>
    <s v="2.2. Vodící dráty k vaskulárním intervencím II. "/>
    <m/>
    <s v="33140000-3"/>
    <m/>
    <n v="5617423"/>
    <x v="0"/>
    <d v="2021-10-27T00:00:00"/>
    <d v="2022-01-18T00:00:00"/>
    <d v="2022-02-09T00:00:00"/>
    <s v="VAMEX, spol. s r.o."/>
    <m/>
    <n v="5617422.7999999998"/>
    <n v="6797081.5899999999"/>
    <m/>
    <m/>
    <m/>
    <d v="2022-02-11T00:00:00"/>
    <s v="SMLN-2022-617-000091_x000a_SMLN-2022-614-000018"/>
    <x v="27"/>
  </r>
  <r>
    <d v="2021-10-19T00:00:00"/>
    <s v="VZ-2021-001121"/>
    <x v="0"/>
    <s v="Valtová"/>
    <x v="39"/>
    <n v="3"/>
    <s v="2.3. Vodící dráty k vaskulárním intervencím III. "/>
    <m/>
    <s v="33140000-3"/>
    <m/>
    <n v="674133"/>
    <x v="0"/>
    <d v="2021-10-27T00:00:00"/>
    <d v="2022-01-18T00:00:00"/>
    <d v="2022-02-09T00:00:00"/>
    <s v="ARID obchodní společnost, s.r.o."/>
    <m/>
    <n v="772131.6"/>
    <n v="934279.24"/>
    <m/>
    <m/>
    <m/>
    <d v="2022-02-11T00:00:00"/>
    <s v="SMLN-2022-617-000092_x000a_SMLN-2022-614-000019"/>
    <x v="25"/>
  </r>
  <r>
    <d v="2021-10-19T00:00:00"/>
    <s v="VZ-2021-001121"/>
    <x v="0"/>
    <s v="Valtová"/>
    <x v="39"/>
    <n v="4"/>
    <s v="2.4. Vodící mikrodráty k periferním vaskulárním intervencím "/>
    <m/>
    <s v="33140000-3"/>
    <m/>
    <n v="1167300"/>
    <x v="0"/>
    <d v="2021-10-27T00:00:00"/>
    <d v="2022-01-18T00:00:00"/>
    <m/>
    <s v="zrušeno - bez hodnotitelné nabídky"/>
    <m/>
    <m/>
    <m/>
    <m/>
    <m/>
    <m/>
    <m/>
    <m/>
    <x v="4"/>
  </r>
  <r>
    <d v="2021-10-19T00:00:00"/>
    <s v="VZ-2021-001121"/>
    <x v="0"/>
    <s v="Valtová"/>
    <x v="39"/>
    <n v="5"/>
    <s v="2.5. Vodící mikrodráty k vaskulárním neurointevencím I."/>
    <m/>
    <s v="33140000-3"/>
    <m/>
    <n v="1129933"/>
    <x v="0"/>
    <d v="2021-10-27T00:00:00"/>
    <d v="2022-01-18T00:00:00"/>
    <d v="2022-02-09T00:00:00"/>
    <s v="A care a.s."/>
    <m/>
    <n v="1129933"/>
    <n v="1367218.93"/>
    <m/>
    <m/>
    <m/>
    <d v="2022-02-11T00:00:00"/>
    <s v="SMLN-2022-617-000093_x000a_SMLN-2022-614-000020"/>
    <x v="15"/>
  </r>
  <r>
    <d v="2021-10-19T00:00:00"/>
    <s v="VZ-2021-001121"/>
    <x v="0"/>
    <s v="Valtová"/>
    <x v="39"/>
    <n v="6"/>
    <s v="2.7. Vodící mikrodráty k vaskulárním neurointervencím III."/>
    <m/>
    <s v="33140000-3"/>
    <m/>
    <n v="609420"/>
    <x v="0"/>
    <d v="2021-10-27T00:00:00"/>
    <d v="2022-01-18T00:00:00"/>
    <d v="2022-02-09T00:00:00"/>
    <s v="EspoMed spol. s r.o."/>
    <m/>
    <n v="609420"/>
    <n v="737398.2"/>
    <m/>
    <m/>
    <m/>
    <d v="2022-02-11T00:00:00"/>
    <s v="SMLN-2022-617-000094_x000a_SMLN-2022-614-000021"/>
    <x v="16"/>
  </r>
  <r>
    <d v="2021-10-21T00:00:00"/>
    <s v="VZ-2021-001126"/>
    <x v="1"/>
    <s v="Ondráčková"/>
    <x v="40"/>
    <n v="1"/>
    <s v="PALIPERIDON "/>
    <m/>
    <s v="33661500-6"/>
    <m/>
    <n v="4203966"/>
    <x v="0"/>
    <d v="2021-12-09T00:00:00"/>
    <d v="2022-01-12T00:00:00"/>
    <d v="2022-01-28T00:00:00"/>
    <s v="Alliance Healthcare s.r.o."/>
    <m/>
    <n v="4109545.44"/>
    <n v="4520499.9800000004"/>
    <m/>
    <m/>
    <m/>
    <d v="2022-01-28T00:00:00"/>
    <s v="SMLN-2022-617-000052"/>
    <x v="0"/>
  </r>
  <r>
    <d v="2021-10-21T00:00:00"/>
    <s v="VZ-2021-001127"/>
    <x v="1"/>
    <s v="Ondráčková"/>
    <x v="41"/>
    <n v="1"/>
    <s v="TIOTROPIUM-BROMID"/>
    <m/>
    <s v="33670000-7"/>
    <m/>
    <n v="9139774"/>
    <x v="0"/>
    <d v="2021-12-09T00:00:00"/>
    <d v="2022-01-12T00:00:00"/>
    <m/>
    <s v="zrušeno - bez nabídky"/>
    <m/>
    <m/>
    <m/>
    <m/>
    <m/>
    <m/>
    <m/>
    <m/>
    <x v="4"/>
  </r>
  <r>
    <d v="2021-10-19T00:00:00"/>
    <s v="VZ-2021-001131"/>
    <x v="0"/>
    <s v="Dočkalová"/>
    <x v="42"/>
    <n v="1"/>
    <s v="Láhve kojenecké"/>
    <m/>
    <s v="33140000-3"/>
    <m/>
    <n v="1244469"/>
    <x v="2"/>
    <d v="2021-10-26T00:00:00"/>
    <d v="2021-11-09T00:00:00"/>
    <d v="2021-12-10T00:00:00"/>
    <s v="MEDICAL M spol. s.r.o."/>
    <m/>
    <n v="1656392"/>
    <n v="2004928"/>
    <m/>
    <m/>
    <m/>
    <d v="2021-12-13T00:00:00"/>
    <s v="SMLN-2021-617-000722"/>
    <x v="1"/>
  </r>
  <r>
    <d v="2021-10-21T00:00:00"/>
    <s v="VZ-2021-001160"/>
    <x v="0"/>
    <s v="Valtová"/>
    <x v="43"/>
    <n v="1"/>
    <s v="14.1. Stentgraft aortální hrudní - proximální část I."/>
    <m/>
    <s v="33140000-3"/>
    <m/>
    <n v="640000"/>
    <x v="0"/>
    <d v="2021-11-03T00:00:00"/>
    <d v="2021-12-07T00:00:00"/>
    <d v="2021-12-22T00:00:00"/>
    <s v="ARID obchodní společnost, s.r.o."/>
    <m/>
    <n v="640000"/>
    <n v="736000"/>
    <m/>
    <m/>
    <m/>
    <d v="2021-12-22T00:00:00"/>
    <s v="SMLN-2021-617-000742_x000a_SMLN-2021-614-000133"/>
    <x v="32"/>
  </r>
  <r>
    <d v="2021-10-21T00:00:00"/>
    <s v="VZ-2021-001160"/>
    <x v="0"/>
    <s v="Valtová"/>
    <x v="43"/>
    <n v="2"/>
    <s v="14.4. Stentgrafty aortální pro reparaci disekcí sestupné části hrudní aorty"/>
    <m/>
    <s v="33140000-3"/>
    <m/>
    <n v="1935000"/>
    <x v="0"/>
    <d v="2021-11-03T00:00:00"/>
    <d v="2021-12-07T00:00:00"/>
    <d v="2021-12-22T00:00:00"/>
    <s v="ARID obchodní společnost, s.r.o."/>
    <m/>
    <n v="1935000"/>
    <n v="2225250"/>
    <m/>
    <m/>
    <m/>
    <d v="2021-12-22T00:00:00"/>
    <s v="SMLN-2021-617-000743_x000a_SMLN-2021-614-000134"/>
    <x v="32"/>
  </r>
  <r>
    <d v="2021-10-21T00:00:00"/>
    <s v="VZ-2021-001160"/>
    <x v="0"/>
    <s v="Valtová"/>
    <x v="43"/>
    <n v="3"/>
    <s v="14.7.  Stent tubulární komponentní určený pro modelování pravého lumen aorty při disekci aorty"/>
    <m/>
    <s v="33140000-3"/>
    <m/>
    <n v="113300"/>
    <x v="0"/>
    <d v="2021-11-03T00:00:00"/>
    <d v="2021-12-07T00:00:00"/>
    <d v="2021-12-22T00:00:00"/>
    <s v="ARID obchodní společnost, s.r.o."/>
    <m/>
    <n v="113300"/>
    <n v="130295"/>
    <m/>
    <m/>
    <m/>
    <d v="2021-12-22T00:00:00"/>
    <s v="SMLN-2021-617-000744_x000a_SMLN-2021-614-000135"/>
    <x v="32"/>
  </r>
  <r>
    <d v="2021-10-21T00:00:00"/>
    <s v="VZ-2021-001160"/>
    <x v="0"/>
    <s v="Valtová"/>
    <x v="43"/>
    <n v="4"/>
    <s v="14.11. Stentgraft tubulární aortální břišní k prodloužení těla bifurkačního stentgraftu - proximální extenze"/>
    <m/>
    <s v="33140000-3"/>
    <m/>
    <n v="292875"/>
    <x v="0"/>
    <d v="2021-11-03T00:00:00"/>
    <d v="2021-12-07T00:00:00"/>
    <d v="2021-12-22T00:00:00"/>
    <s v="ARID obchodní společnost, s.r.o."/>
    <m/>
    <n v="292875"/>
    <n v="336806.25"/>
    <m/>
    <m/>
    <m/>
    <d v="2021-12-22T00:00:00"/>
    <s v="SMLN-2021-617-000745_x000a_SMLN-2021-614-000136"/>
    <x v="32"/>
  </r>
  <r>
    <d v="2021-10-21T00:00:00"/>
    <s v="VZ-2021-001160"/>
    <x v="0"/>
    <s v="Valtová"/>
    <x v="43"/>
    <n v="5"/>
    <s v="14.13. Stentgraft vaskulární větvený pro vnitřní ilickou tepnu"/>
    <m/>
    <s v="33140000-3"/>
    <m/>
    <n v="921800"/>
    <x v="0"/>
    <d v="2021-11-03T00:00:00"/>
    <d v="2021-12-07T00:00:00"/>
    <d v="2021-12-22T00:00:00"/>
    <s v="ARID obchodní společnost, s.r.o."/>
    <m/>
    <n v="921800"/>
    <n v="1060070"/>
    <m/>
    <m/>
    <m/>
    <d v="2021-12-22T00:00:00"/>
    <s v="SMLN-2021-617-000746_x000a_SMLN-2021-614-000137"/>
    <x v="32"/>
  </r>
  <r>
    <d v="2021-10-21T00:00:00"/>
    <s v="VZ-2021-001160"/>
    <x v="0"/>
    <s v="Valtová"/>
    <x v="43"/>
    <n v="6"/>
    <s v="14.14. Stentgraft vaskulární arotální fenestrovaný"/>
    <m/>
    <s v="33140000-3"/>
    <m/>
    <n v="4415340"/>
    <x v="0"/>
    <d v="2021-11-03T00:00:00"/>
    <d v="2021-12-07T00:00:00"/>
    <d v="2021-12-22T00:00:00"/>
    <s v="ARID obchodní společnost, s.r.o."/>
    <m/>
    <n v="4415340"/>
    <n v="5077641"/>
    <m/>
    <m/>
    <m/>
    <d v="2021-12-22T00:00:00"/>
    <s v="SMLN-2021-617-000747_x000a_SMLN-2021-614-000138"/>
    <x v="32"/>
  </r>
  <r>
    <d v="2021-12-03T00:00:00"/>
    <s v="VZ-2021-001166"/>
    <x v="1"/>
    <s v="Ondráčková"/>
    <x v="44"/>
    <m/>
    <m/>
    <m/>
    <s v="33694000-1, 38434000"/>
    <m/>
    <n v="4716408"/>
    <x v="0"/>
    <d v="2021-12-20T00:00:00"/>
    <d v="2022-03-22T00:00:00"/>
    <m/>
    <s v="zrušeno - bez nabídky"/>
    <s v="nová VZ-2022-000850"/>
    <m/>
    <m/>
    <m/>
    <m/>
    <m/>
    <m/>
    <m/>
    <x v="4"/>
  </r>
  <r>
    <d v="2021-10-21T00:00:00"/>
    <s v="VZ-2021-001171"/>
    <x v="0"/>
    <s v="Dočkalová"/>
    <x v="45"/>
    <m/>
    <m/>
    <m/>
    <s v="33140000-3"/>
    <m/>
    <n v="4090909"/>
    <x v="0"/>
    <d v="2021-11-05T00:00:00"/>
    <d v="2021-12-09T00:00:00"/>
    <d v="2022-01-19T00:00:00"/>
    <s v="CARDION s.r.o."/>
    <m/>
    <n v="4080000"/>
    <n v="4936800"/>
    <m/>
    <m/>
    <m/>
    <d v="2022-01-19T00:00:00"/>
    <s v="SMLN-2022-617-000022_x000a_SMLN-2022-614-000001"/>
    <x v="39"/>
  </r>
  <r>
    <s v="opakovaná VZ"/>
    <s v="VZ-2021-001173"/>
    <x v="7"/>
    <s v="Svozil"/>
    <x v="46"/>
    <m/>
    <m/>
    <m/>
    <s v="45232150-8"/>
    <m/>
    <n v="7730000"/>
    <x v="0"/>
    <d v="2021-11-04T00:00:00"/>
    <d v="2021-12-09T00:00:00"/>
    <d v="2022-01-05T00:00:00"/>
    <s v="MORAVSKÁ VODÁRENSKÁ, a.s."/>
    <m/>
    <n v="7721900"/>
    <n v="9343499"/>
    <m/>
    <m/>
    <m/>
    <d v="2022-01-05T00:00:00"/>
    <s v="SMLN-2022-618-000001"/>
    <x v="35"/>
  </r>
  <r>
    <d v="2021-11-02T00:00:00"/>
    <s v="VZ-2021-001174"/>
    <x v="5"/>
    <s v="Srovnal"/>
    <x v="47"/>
    <m/>
    <m/>
    <m/>
    <s v="45453000-7"/>
    <m/>
    <n v="7300000"/>
    <x v="1"/>
    <d v="2021-11-05T00:00:00"/>
    <d v="2021-11-25T00:00:00"/>
    <d v="2021-12-16T00:00:00"/>
    <s v="zrušeno - ekonomické důvody"/>
    <s v="nová VZ-2022-000447"/>
    <n v="6868105.9500000002"/>
    <n v="8310408.2000000002"/>
    <m/>
    <m/>
    <m/>
    <d v="2021-12-16T00:00:00"/>
    <s v="SMLN-2021-618-000088"/>
    <x v="4"/>
  </r>
  <r>
    <d v="2021-11-03T00:00:00"/>
    <s v="VZ-2021-001175"/>
    <x v="8"/>
    <s v="Kadlec"/>
    <x v="48"/>
    <m/>
    <m/>
    <m/>
    <s v="45453000-7"/>
    <m/>
    <n v="6500000"/>
    <x v="1"/>
    <d v="2021-11-26T00:00:00"/>
    <d v="2021-12-15T00:00:00"/>
    <m/>
    <s v="zrušeno - úprava specifikace (počet vrat)"/>
    <m/>
    <m/>
    <m/>
    <m/>
    <m/>
    <m/>
    <m/>
    <m/>
    <x v="4"/>
  </r>
  <r>
    <d v="2021-10-25T00:00:00"/>
    <s v="VZ-2021-001178"/>
    <x v="4"/>
    <s v="Olejníček"/>
    <x v="49"/>
    <m/>
    <m/>
    <m/>
    <s v="33190000-8"/>
    <s v="2.2.279."/>
    <n v="1950000"/>
    <x v="2"/>
    <d v="2021-11-08T00:00:00"/>
    <d v="2021-11-16T00:00:00"/>
    <d v="2022-01-03T00:00:00"/>
    <s v="DN FORMED Brno s.r.o."/>
    <m/>
    <n v="1381318"/>
    <n v="1671394.78"/>
    <m/>
    <m/>
    <m/>
    <d v="2022-01-03T00:00:00"/>
    <s v="SMLN-2022-617-000002_x000a_SMLN-2022-612-000001"/>
    <x v="19"/>
  </r>
  <r>
    <d v="2021-10-08T00:00:00"/>
    <s v="VZ-2021-001183"/>
    <x v="4"/>
    <s v="Olejníček"/>
    <x v="50"/>
    <m/>
    <m/>
    <m/>
    <s v="33190000-8"/>
    <s v="2.3.560."/>
    <n v="190000"/>
    <x v="2"/>
    <d v="2021-11-08T00:00:00"/>
    <d v="2021-11-16T00:00:00"/>
    <d v="2021-12-03T00:00:00"/>
    <s v="Vivacom, s.r.o."/>
    <m/>
    <n v="176080"/>
    <n v="213056.8"/>
    <m/>
    <m/>
    <m/>
    <d v="2021-12-06T00:00:00"/>
    <s v="SMLN-2021-617-000712_x000a_SMLN-2021-612-000144"/>
    <x v="7"/>
  </r>
  <r>
    <s v="opakovaná VZ"/>
    <s v="VZ-2021-001184"/>
    <x v="0"/>
    <s v="Valtová"/>
    <x v="51"/>
    <m/>
    <m/>
    <m/>
    <s v="33140000-3"/>
    <m/>
    <n v="840000"/>
    <x v="0"/>
    <d v="2021-11-09T00:00:00"/>
    <d v="2021-12-13T00:00:00"/>
    <d v="2021-12-22T00:00:00"/>
    <s v="ARID obchodní společnost, s.r.o."/>
    <m/>
    <n v="945000"/>
    <n v="1086750"/>
    <m/>
    <m/>
    <m/>
    <d v="2021-12-22T00:00:00"/>
    <s v="SMLN-2021-617-000741_x000a_SMLN-2021-614-000132"/>
    <x v="32"/>
  </r>
  <r>
    <d v="2021-11-03T00:00:00"/>
    <s v="VZ-2021-001207"/>
    <x v="0"/>
    <s v="Valtová"/>
    <x v="52"/>
    <n v="1"/>
    <s v="6.1. Dilatační balónkové katétry vaskulární I."/>
    <m/>
    <s v="33140000-3"/>
    <m/>
    <n v="3683250"/>
    <x v="0"/>
    <d v="2021-11-19T00:00:00"/>
    <d v="2021-12-31T00:00:00"/>
    <d v="2022-02-07T00:00:00"/>
    <s v="Boston Scientific Česká republika s.r.o."/>
    <m/>
    <n v="3523500"/>
    <n v="4263435"/>
    <m/>
    <m/>
    <m/>
    <d v="2022-02-07T00:00:00"/>
    <s v="SMLN-2022-617-000071_x000a_SMLN-2022-614-000010"/>
    <x v="15"/>
  </r>
  <r>
    <d v="2021-11-03T00:00:00"/>
    <s v="VZ-2021-001207"/>
    <x v="0"/>
    <s v="Valtová"/>
    <x v="52"/>
    <n v="2"/>
    <s v="6.2. Dilatační balónkové katétry vaskulární II."/>
    <m/>
    <s v="33140000-3"/>
    <m/>
    <n v="720000"/>
    <x v="0"/>
    <d v="2021-11-19T00:00:00"/>
    <d v="2021-12-31T00:00:00"/>
    <d v="2022-02-07T00:00:00"/>
    <s v="BARD Czech Republic s.r.o."/>
    <m/>
    <n v="720000"/>
    <n v="871200"/>
    <m/>
    <m/>
    <m/>
    <d v="2022-02-07T00:00:00"/>
    <s v="SMLN-2022-617-000072_x000a_SMLN-2022-614-000011"/>
    <x v="25"/>
  </r>
  <r>
    <d v="2021-11-03T00:00:00"/>
    <s v="VZ-2021-001207"/>
    <x v="0"/>
    <s v="Valtová"/>
    <x v="52"/>
    <n v="3"/>
    <s v="6.3. Dilatační balónkové katétry vaskulární III."/>
    <m/>
    <s v="33140000-3"/>
    <m/>
    <n v="367500"/>
    <x v="0"/>
    <d v="2021-11-19T00:00:00"/>
    <d v="2021-12-31T00:00:00"/>
    <d v="2022-02-07T00:00:00"/>
    <s v="ARID obchodní společnost, s.r.o."/>
    <m/>
    <n v="367500"/>
    <n v="444675"/>
    <m/>
    <m/>
    <m/>
    <d v="2022-02-07T00:00:00"/>
    <s v="SMLN-2022-617-000073_x000a_SMLN-2022-614-000012"/>
    <x v="25"/>
  </r>
  <r>
    <d v="2021-11-03T00:00:00"/>
    <s v="VZ-2021-001207"/>
    <x v="0"/>
    <s v="Valtová"/>
    <x v="52"/>
    <n v="4"/>
    <s v="6.4. Dilatační balónkové katétry vaskulární noncompliant"/>
    <m/>
    <s v="33140000-3"/>
    <m/>
    <n v="2451600"/>
    <x v="0"/>
    <d v="2021-11-19T00:00:00"/>
    <d v="2021-12-31T00:00:00"/>
    <d v="2022-02-07T00:00:00"/>
    <s v="BS PRAGUE MEDICAL CS, spol. s r.o."/>
    <m/>
    <n v="2451600"/>
    <n v="2966436"/>
    <m/>
    <m/>
    <m/>
    <d v="2022-02-07T00:00:00"/>
    <s v="SMLN-2022-617-000074_x000a_SMLN-2022-614-000013"/>
    <x v="27"/>
  </r>
  <r>
    <d v="2021-11-03T00:00:00"/>
    <s v="VZ-2021-001207"/>
    <x v="0"/>
    <s v="Valtová"/>
    <x v="52"/>
    <n v="5"/>
    <s v="6.5. Dilatační balónkové katétry vaskulární noncompliant XXL"/>
    <m/>
    <s v="33140000-3"/>
    <m/>
    <n v="1320000"/>
    <x v="0"/>
    <d v="2021-11-19T00:00:00"/>
    <d v="2021-12-31T00:00:00"/>
    <d v="2022-02-07T00:00:00"/>
    <s v="Boston Scientific Česká republika s.r.o."/>
    <m/>
    <n v="1300000"/>
    <n v="1573000"/>
    <m/>
    <m/>
    <m/>
    <d v="2022-02-07T00:00:00"/>
    <s v="SMLN-2022-617-000075_x000a_SMLN-2022-614-000014"/>
    <x v="15"/>
  </r>
  <r>
    <d v="2021-11-03T00:00:00"/>
    <s v="VZ-2021-001207"/>
    <x v="0"/>
    <s v="Valtová"/>
    <x v="52"/>
    <n v="6"/>
    <s v="6.6. Dilatační balónkové katétry vaskulární po mikrovodících drátech monorial I."/>
    <m/>
    <s v="33140000-3"/>
    <m/>
    <n v="934800"/>
    <x v="0"/>
    <d v="2021-11-19T00:00:00"/>
    <d v="2021-12-31T00:00:00"/>
    <d v="2022-02-07T00:00:00"/>
    <s v="Boston Scientific Česká republika s.r.o."/>
    <m/>
    <n v="915000"/>
    <n v="1107150"/>
    <m/>
    <m/>
    <m/>
    <d v="2022-02-07T00:00:00"/>
    <s v="SMLN-2022-617-000076_x000a_SMLN-2022-614-000015"/>
    <x v="15"/>
  </r>
  <r>
    <d v="2021-11-03T00:00:00"/>
    <s v="VZ-2021-001207"/>
    <x v="0"/>
    <s v="Valtová"/>
    <x v="52"/>
    <n v="7"/>
    <s v="6.7. Dilatační balónkové katétry vaskulární intrakraniální"/>
    <m/>
    <s v="33140000-3"/>
    <m/>
    <n v="364140"/>
    <x v="0"/>
    <d v="2021-11-19T00:00:00"/>
    <d v="2021-12-31T00:00:00"/>
    <d v="2022-02-07T00:00:00"/>
    <s v="A care a.s."/>
    <m/>
    <n v="364140"/>
    <n v="440609.4"/>
    <m/>
    <m/>
    <m/>
    <d v="2022-02-07T00:00:00"/>
    <s v="SMLN-2022-617-000077_x000a_SMLN-2022-614-000016"/>
    <x v="40"/>
  </r>
  <r>
    <d v="2021-11-03T00:00:00"/>
    <s v="VZ-2021-001207"/>
    <x v="0"/>
    <s v="Valtová"/>
    <x v="52"/>
    <n v="8"/>
    <s v="6.8. Řezací dilatační balónkové katétry vaskulární"/>
    <m/>
    <s v="33140000-3"/>
    <m/>
    <n v="122510"/>
    <x v="0"/>
    <d v="2021-11-19T00:00:00"/>
    <d v="2021-12-31T00:00:00"/>
    <m/>
    <s v="zrušeno - bez hodnotitelné nabídky"/>
    <s v="nová VZ-2022-000872-01"/>
    <m/>
    <m/>
    <m/>
    <m/>
    <m/>
    <m/>
    <m/>
    <x v="4"/>
  </r>
  <r>
    <d v="2021-11-03T00:00:00"/>
    <s v="VZ-2021-001207"/>
    <x v="0"/>
    <s v="Valtová"/>
    <x v="52"/>
    <n v="9"/>
    <s v="6.9. Dilatační balónkové katétry vaskulární po mikrovodících drátech monorial II."/>
    <m/>
    <s v="33140000-3"/>
    <m/>
    <n v="399726"/>
    <x v="0"/>
    <d v="2021-11-19T00:00:00"/>
    <d v="2021-12-31T00:00:00"/>
    <m/>
    <s v="zrušeno - bez nabídky"/>
    <s v="nová VZ-2022-000872-02"/>
    <m/>
    <m/>
    <m/>
    <m/>
    <m/>
    <m/>
    <m/>
    <x v="4"/>
  </r>
  <r>
    <d v="2021-11-10T00:00:00"/>
    <s v="VZ-2021-001209"/>
    <x v="4"/>
    <s v="Olejníček"/>
    <x v="53"/>
    <n v="1"/>
    <s v="Termocykler"/>
    <m/>
    <s v="38434500-1"/>
    <s v="2.3.566."/>
    <n v="185000"/>
    <x v="2"/>
    <d v="2021-11-24T00:00:00"/>
    <d v="2021-12-02T00:00:00"/>
    <d v="2021-12-16T00:00:00"/>
    <s v="BIO-RAD spol.s r.o."/>
    <m/>
    <n v="149000"/>
    <n v="180290"/>
    <m/>
    <m/>
    <m/>
    <d v="2021-12-17T00:00:00"/>
    <s v="SMLN-2021-617-000736_x000a_SMLN-2021-612-000155"/>
    <x v="22"/>
  </r>
  <r>
    <d v="2021-11-10T00:00:00"/>
    <s v="VZ-2021-001209"/>
    <x v="4"/>
    <s v="Olejníček"/>
    <x v="53"/>
    <n v="2"/>
    <s v="384-jamkový modul k termocykleru"/>
    <m/>
    <s v="38434500-1"/>
    <s v="2.3.432."/>
    <n v="698300"/>
    <x v="2"/>
    <d v="2021-11-24T00:00:00"/>
    <d v="2021-12-02T00:00:00"/>
    <d v="2021-12-16T00:00:00"/>
    <s v="BIO-RAD spol.s r.o."/>
    <m/>
    <n v="688298"/>
    <n v="832840.58"/>
    <m/>
    <m/>
    <m/>
    <d v="2021-12-17T00:00:00"/>
    <s v="SMLN-2021-617-000737_x000a_SMLN-2021-612-000156"/>
    <x v="22"/>
  </r>
  <r>
    <d v="2021-11-09T00:00:00"/>
    <s v="VZ-2021-001214"/>
    <x v="0"/>
    <s v="Dočkalová"/>
    <x v="54"/>
    <m/>
    <m/>
    <m/>
    <s v="33182220-7"/>
    <m/>
    <n v="13891304.4"/>
    <x v="0"/>
    <d v="2021-11-24T00:00:00"/>
    <d v="2021-12-27T00:00:00"/>
    <d v="2022-01-20T00:00:00"/>
    <s v="CARDION s.r.o."/>
    <m/>
    <n v="13891304.4"/>
    <n v="15975000"/>
    <m/>
    <m/>
    <m/>
    <d v="2022-01-20T00:00:00"/>
    <s v="SMLN-2022-617-000027_x000a_SMLN-2022-614-000003"/>
    <x v="41"/>
  </r>
  <r>
    <d v="2021-12-01T00:00:00"/>
    <s v="VZ-2021-001229"/>
    <x v="1"/>
    <s v="Ondráčková"/>
    <x v="55"/>
    <m/>
    <m/>
    <m/>
    <s v="33694000-1"/>
    <m/>
    <n v="11758400"/>
    <x v="0"/>
    <d v="2021-12-20T00:00:00"/>
    <d v="2022-02-14T00:00:00"/>
    <d v="2022-03-15T00:00:00"/>
    <s v="Beckman Coulter Česká republika s.r.o."/>
    <m/>
    <n v="10704000"/>
    <n v="12951840"/>
    <m/>
    <m/>
    <m/>
    <d v="2022-03-15T00:00:00"/>
    <s v="SMLN-2022-617-000168_x000a_SMLN-2022-616-000012"/>
    <x v="42"/>
  </r>
  <r>
    <d v="2021-11-12T00:00:00"/>
    <s v="VZ-2021-001238"/>
    <x v="0"/>
    <s v="Valtová"/>
    <x v="56"/>
    <n v="1"/>
    <s v="Stříkačka inflační pro PTCA I. a Y konektor  s  tlakově ovládanou hemostatickou chlopní"/>
    <m/>
    <s v="33140000-3"/>
    <m/>
    <n v="4002000"/>
    <x v="0"/>
    <d v="2021-11-26T00:00:00"/>
    <d v="2021-12-29T00:00:00"/>
    <d v="2022-02-28T00:00:00"/>
    <s v="BS PRAGUE MEDICAL CS, spol. s r.o."/>
    <m/>
    <n v="4002000"/>
    <n v="4842420"/>
    <m/>
    <m/>
    <m/>
    <d v="2022-03-01T00:00:00"/>
    <s v="SMLN-2022-617-000131_x000a_SMLN-2022-614-000025"/>
    <x v="31"/>
  </r>
  <r>
    <d v="2021-11-12T00:00:00"/>
    <s v="VZ-2021-001238"/>
    <x v="0"/>
    <s v="Valtová"/>
    <x v="56"/>
    <n v="2"/>
    <s v="Stříkačka inflační pro PTCA II."/>
    <m/>
    <s v="33140000-3"/>
    <m/>
    <n v="850000"/>
    <x v="0"/>
    <d v="2021-11-26T00:00:00"/>
    <d v="2021-12-29T00:00:00"/>
    <d v="2022-02-28T00:00:00"/>
    <s v="BS PRAGUE MEDICAL CS, spol. s r.o."/>
    <m/>
    <n v="850000"/>
    <n v="1028500"/>
    <m/>
    <m/>
    <m/>
    <d v="2022-03-01T00:00:00"/>
    <s v="SMLN-2022-617-000132_x000a_SMLN-2022-614-000026"/>
    <x v="31"/>
  </r>
  <r>
    <d v="2021-11-01T00:00:00"/>
    <s v="VZ-2021-001240"/>
    <x v="4"/>
    <s v="Olejníček"/>
    <x v="57"/>
    <m/>
    <m/>
    <m/>
    <s v="33124120-2"/>
    <s v="2.2.386,392,393"/>
    <n v="1050000"/>
    <x v="0"/>
    <d v="2021-11-25T00:00:00"/>
    <d v="2022-01-17T00:00:00"/>
    <d v="2022-02-16T00:00:00"/>
    <s v="Electric Medical Service, s.r.o."/>
    <m/>
    <n v="630400"/>
    <n v="762784"/>
    <m/>
    <m/>
    <m/>
    <d v="2022-02-16T00:00:00"/>
    <s v="SMLN-2022-617-000106_x000a_SMLN-2022-612-000019"/>
    <x v="43"/>
  </r>
  <r>
    <d v="2021-11-15T00:00:00"/>
    <s v="VZ-2021-001241"/>
    <x v="4"/>
    <s v="Olejníček"/>
    <x v="58"/>
    <m/>
    <m/>
    <m/>
    <s v="33161000-6"/>
    <s v="2.2.356,357"/>
    <n v="493223"/>
    <x v="2"/>
    <d v="2021-11-24T00:00:00"/>
    <d v="2021-12-02T00:00:00"/>
    <d v="2022-02-21T00:00:00"/>
    <s v="Stargen EU s.r.o."/>
    <m/>
    <n v="440181.5"/>
    <n v="532619.61499999999"/>
    <m/>
    <m/>
    <m/>
    <d v="2022-02-21T00:00:00"/>
    <s v="SMLN-2022-617-000125_x000a_SMLN-2022-612-000021"/>
    <x v="16"/>
  </r>
  <r>
    <d v="2021-11-15T00:00:00"/>
    <s v="VZ-2021-001244"/>
    <x v="5"/>
    <s v="Srovnal"/>
    <x v="59"/>
    <m/>
    <m/>
    <m/>
    <s v="45223300-9"/>
    <s v="4.2.169."/>
    <n v="320000"/>
    <x v="2"/>
    <d v="2021-11-26T00:00:00"/>
    <d v="2021-12-06T00:00:00"/>
    <d v="2021-12-16T00:00:00"/>
    <s v="ELEKTRO-FLEXI s.r.o."/>
    <m/>
    <n v="235389"/>
    <n v="284820.69"/>
    <m/>
    <m/>
    <m/>
    <d v="2021-12-16T00:00:00"/>
    <s v="SMLN-2021-618-000090"/>
    <x v="7"/>
  </r>
  <r>
    <d v="2021-11-15T00:00:00"/>
    <s v="VZ-2021-001247"/>
    <x v="1"/>
    <s v="Ondráčková"/>
    <x v="60"/>
    <n v="1"/>
    <s v="Medicinální plyny z ATC N01AX63"/>
    <m/>
    <s v="24111500-0"/>
    <m/>
    <n v="4334535"/>
    <x v="0"/>
    <d v="2021-11-25T00:00:00"/>
    <d v="2022-01-05T00:00:00"/>
    <d v="2022-03-18T00:00:00"/>
    <s v="Messer Technogas s.r.o."/>
    <m/>
    <n v="3568953"/>
    <n v="4111973.13"/>
    <m/>
    <m/>
    <m/>
    <d v="2022-03-18T00:00:00"/>
    <s v="SMLN-2022-617-000181"/>
    <x v="38"/>
  </r>
  <r>
    <d v="2021-11-15T00:00:00"/>
    <s v="VZ-2021-001247"/>
    <x v="1"/>
    <s v="Ondráčková"/>
    <x v="60"/>
    <n v="2"/>
    <s v="Medicinální plyny I."/>
    <m/>
    <s v="24111500-0"/>
    <m/>
    <n v="1391250"/>
    <x v="0"/>
    <d v="2021-11-25T00:00:00"/>
    <d v="2022-01-05T00:00:00"/>
    <d v="2022-03-18T00:00:00"/>
    <s v="Messer Technogas s.r.o."/>
    <m/>
    <n v="1375374"/>
    <n v="1612933.14"/>
    <m/>
    <m/>
    <m/>
    <d v="2022-03-18T00:00:00"/>
    <s v="SMLN-2022-617-000182"/>
    <x v="38"/>
  </r>
  <r>
    <d v="2021-11-15T00:00:00"/>
    <s v="VZ-2021-001247"/>
    <x v="1"/>
    <s v="Ondráčková"/>
    <x v="60"/>
    <n v="3"/>
    <s v="Medicinální plyny II."/>
    <m/>
    <s v="24111500-0"/>
    <m/>
    <n v="1064952"/>
    <x v="0"/>
    <d v="2021-11-25T00:00:00"/>
    <d v="2022-01-05T00:00:00"/>
    <d v="2022-03-18T00:00:00"/>
    <s v="Messer Technogas s.r.o."/>
    <m/>
    <n v="1048971"/>
    <n v="1208119.71"/>
    <m/>
    <m/>
    <m/>
    <d v="2022-03-18T00:00:00"/>
    <s v="SMLN-2022-617-000183"/>
    <x v="38"/>
  </r>
  <r>
    <d v="2021-11-15T00:00:00"/>
    <s v="VZ-2021-001247"/>
    <x v="1"/>
    <s v="Ondráčková"/>
    <x v="60"/>
    <n v="4"/>
    <s v="Suchý led"/>
    <m/>
    <s v="24111500-0"/>
    <m/>
    <n v="55224"/>
    <x v="0"/>
    <d v="2021-11-25T00:00:00"/>
    <d v="2022-01-05T00:00:00"/>
    <m/>
    <s v="zrušeno - bez hodnotitelné nabídky"/>
    <m/>
    <m/>
    <m/>
    <m/>
    <m/>
    <m/>
    <m/>
    <m/>
    <x v="4"/>
  </r>
  <r>
    <d v="2021-11-19T00:00:00"/>
    <s v="VZ-2021-001251"/>
    <x v="9"/>
    <s v="Oravec"/>
    <x v="61"/>
    <m/>
    <m/>
    <m/>
    <s v="33124000-5"/>
    <s v="3.2.58."/>
    <n v="1470000"/>
    <x v="2"/>
    <d v="2021-11-29T00:00:00"/>
    <d v="2021-12-08T00:00:00"/>
    <d v="2021-12-16T00:00:00"/>
    <s v="OR-CZ spol. s r.o."/>
    <m/>
    <n v="1336800"/>
    <n v="1617528"/>
    <m/>
    <m/>
    <m/>
    <d v="2021-12-17T00:00:00"/>
    <s v="SMLN-2021-617-000735"/>
    <x v="44"/>
  </r>
  <r>
    <d v="2021-11-24T00:00:00"/>
    <s v="VZ-2021-001252"/>
    <x v="6"/>
    <s v="Zdráhalová"/>
    <x v="62"/>
    <m/>
    <m/>
    <m/>
    <s v="35113490-0"/>
    <m/>
    <n v="780000"/>
    <x v="2"/>
    <d v="2021-12-02T00:00:00"/>
    <d v="2021-12-08T00:00:00"/>
    <d v="2021-12-15T00:00:00"/>
    <s v="MEDISERVIS s.r.o."/>
    <m/>
    <n v="509400"/>
    <n v="616374"/>
    <m/>
    <m/>
    <m/>
    <d v="2021-12-15T00:00:00"/>
    <s v="SMLN-2021-617-000724"/>
    <x v="2"/>
  </r>
  <r>
    <d v="2021-11-12T00:00:00"/>
    <s v="VZ-2021-001257"/>
    <x v="8"/>
    <s v="Kadlec"/>
    <x v="63"/>
    <m/>
    <m/>
    <m/>
    <s v="45453000-7"/>
    <m/>
    <n v="350000"/>
    <x v="2"/>
    <d v="2021-11-26T00:00:00"/>
    <d v="2021-12-06T00:00:00"/>
    <d v="2021-12-16T00:00:00"/>
    <s v="ELEKTRO-FLEXI s.r.o."/>
    <m/>
    <n v="322050.71000000002"/>
    <n v="389681.36"/>
    <m/>
    <m/>
    <m/>
    <d v="2021-12-16T00:00:00"/>
    <s v="SMLN-2021-618-000091"/>
    <x v="7"/>
  </r>
  <r>
    <d v="2021-10-06T00:00:00"/>
    <s v="VZ-2021-001260"/>
    <x v="4"/>
    <s v="Olejníček"/>
    <x v="64"/>
    <m/>
    <m/>
    <m/>
    <s v="33158200-4"/>
    <s v="2.2.334."/>
    <n v="59000"/>
    <x v="2"/>
    <d v="2021-11-30T00:00:00"/>
    <d v="2021-12-10T00:00:00"/>
    <d v="2021-12-16T00:00:00"/>
    <s v="WALTER Graphtek CZ s.r.o."/>
    <m/>
    <n v="58970"/>
    <n v="71357.7"/>
    <m/>
    <m/>
    <m/>
    <d v="2021-12-16T00:00:00"/>
    <s v="SMLN-2021-617-000734"/>
    <x v="23"/>
  </r>
  <r>
    <s v="opakovaná VZ"/>
    <s v="VZ-2021-001263"/>
    <x v="0"/>
    <s v="Valtová"/>
    <x v="65"/>
    <m/>
    <m/>
    <m/>
    <s v="33140000-3"/>
    <m/>
    <n v="335440"/>
    <x v="2"/>
    <d v="2021-12-06T00:00:00"/>
    <d v="2021-12-13T00:00:00"/>
    <d v="2021-12-16T00:00:00"/>
    <s v="MSM, spol. s r.o."/>
    <m/>
    <n v="365897.6"/>
    <n v="442736.1"/>
    <m/>
    <m/>
    <m/>
    <d v="2021-12-17T00:00:00"/>
    <s v="SMLN-2021-617-000738_x000a_SMLN-2021-614-000131"/>
    <x v="1"/>
  </r>
  <r>
    <d v="2021-11-25T00:00:00"/>
    <s v="VZ-2021-001265"/>
    <x v="2"/>
    <s v="Langer"/>
    <x v="66"/>
    <m/>
    <m/>
    <m/>
    <s v="45454000-4"/>
    <s v="1.2.79."/>
    <n v="35000000"/>
    <x v="1"/>
    <d v="2021-11-30T00:00:00"/>
    <d v="2021-12-17T00:00:00"/>
    <d v="2022-01-13T00:00:00"/>
    <s v="PTÁČEK - pozemní stavby s.r.o."/>
    <m/>
    <n v="35695845.399999999"/>
    <n v="43191972.93"/>
    <m/>
    <m/>
    <m/>
    <d v="2022-01-13T00:00:00"/>
    <s v="SMLN-2022-618-000004"/>
    <x v="41"/>
  </r>
  <r>
    <d v="2021-11-25T00:00:00"/>
    <s v="VZ-2021-001268"/>
    <x v="6"/>
    <s v="Zdráhalová"/>
    <x v="67"/>
    <m/>
    <m/>
    <m/>
    <s v="39120000-9"/>
    <m/>
    <n v="1100000"/>
    <x v="2"/>
    <d v="2021-11-26T00:00:00"/>
    <d v="2021-12-17T00:00:00"/>
    <d v="2022-02-10T00:00:00"/>
    <s v="Artspect, a.s."/>
    <m/>
    <n v="898000"/>
    <n v="1086580"/>
    <m/>
    <m/>
    <m/>
    <d v="2022-02-10T00:00:00"/>
    <s v="SMLN-2022-618-000010"/>
    <x v="45"/>
  </r>
  <r>
    <d v="2021-11-16T00:00:00"/>
    <s v="VZ-2021-001272"/>
    <x v="0"/>
    <s v="Valtová"/>
    <x v="68"/>
    <m/>
    <m/>
    <m/>
    <s v="33140000-3"/>
    <m/>
    <n v="5986475"/>
    <x v="0"/>
    <d v="2021-12-02T00:00:00"/>
    <d v="2022-01-04T00:00:00"/>
    <d v="2022-02-02T00:00:00"/>
    <s v="Boston Scientific Česká republika s.r.o."/>
    <m/>
    <n v="5986474.5"/>
    <n v="7243634.2999999998"/>
    <m/>
    <m/>
    <m/>
    <d v="2022-02-02T00:00:00"/>
    <s v="SMLN-2022-617-000056_x000a_SMLN-2022-614-000005"/>
    <x v="46"/>
  </r>
  <r>
    <d v="2021-11-24T00:00:00"/>
    <s v="VZ-2021-001276"/>
    <x v="1"/>
    <s v="Ondráčková"/>
    <x v="69"/>
    <n v="1"/>
    <s v="IRINOTEKAN PEGYLOVANÝ"/>
    <m/>
    <s v="33652000-5"/>
    <m/>
    <n v="2227932"/>
    <x v="0"/>
    <d v="2021-12-06T00:00:00"/>
    <d v="2022-01-20T00:00:00"/>
    <m/>
    <s v="zrušeno - bez hodnotitelné nabídky"/>
    <m/>
    <m/>
    <m/>
    <m/>
    <m/>
    <m/>
    <m/>
    <m/>
    <x v="4"/>
  </r>
  <r>
    <d v="2021-11-24T00:00:00"/>
    <s v="VZ-2021-001276"/>
    <x v="1"/>
    <s v="Ondráčková"/>
    <x v="69"/>
    <n v="2"/>
    <s v="ALPELISIB"/>
    <m/>
    <s v="33652000-5"/>
    <m/>
    <n v="8217507"/>
    <x v="0"/>
    <d v="2021-12-06T00:00:00"/>
    <d v="2022-01-20T00:00:00"/>
    <d v="2022-03-08T00:00:00"/>
    <s v="Alliance Healthcare s.r.o."/>
    <m/>
    <n v="8217506.7000000002"/>
    <n v="9039257.3699999992"/>
    <m/>
    <m/>
    <m/>
    <d v="2022-03-08T00:00:00"/>
    <s v="SMLN-2022-617-000149"/>
    <x v="42"/>
  </r>
  <r>
    <d v="2021-11-24T00:00:00"/>
    <s v="VZ-2021-001276"/>
    <x v="1"/>
    <s v="Ondráčková"/>
    <x v="69"/>
    <n v="3"/>
    <s v="CETUXIMAB"/>
    <m/>
    <s v="33652000-5"/>
    <m/>
    <n v="28045433"/>
    <x v="0"/>
    <d v="2021-12-06T00:00:00"/>
    <d v="2022-01-20T00:00:00"/>
    <d v="2022-03-08T00:00:00"/>
    <s v="Alliance Healthcare s.r.o."/>
    <m/>
    <n v="24344919.300000001"/>
    <n v="26779411.23"/>
    <m/>
    <m/>
    <m/>
    <d v="2022-03-08T00:00:00"/>
    <s v="SMLN-2022-617-000150"/>
    <x v="42"/>
  </r>
  <r>
    <d v="2021-11-24T00:00:00"/>
    <s v="VZ-2021-001276"/>
    <x v="1"/>
    <s v="Ondráčková"/>
    <x v="69"/>
    <n v="4"/>
    <s v="PANITUMUMAB"/>
    <m/>
    <s v="33652000-5"/>
    <m/>
    <n v="27775405"/>
    <x v="0"/>
    <d v="2021-12-06T00:00:00"/>
    <d v="2022-01-20T00:00:00"/>
    <d v="2022-03-08T00:00:00"/>
    <s v="Amgen s.r.o."/>
    <m/>
    <n v="25872542.010000002"/>
    <n v="28459796.210000001"/>
    <m/>
    <m/>
    <m/>
    <d v="2022-03-08T00:00:00"/>
    <s v="SMLN-2022-617-000151"/>
    <x v="9"/>
  </r>
  <r>
    <d v="2021-11-24T00:00:00"/>
    <s v="VZ-2021-001276"/>
    <x v="1"/>
    <s v="Ondráčková"/>
    <x v="69"/>
    <n v="5"/>
    <s v="RAMUCIRUMAB"/>
    <m/>
    <s v="33652000-5"/>
    <m/>
    <n v="17089758"/>
    <x v="0"/>
    <d v="2021-12-06T00:00:00"/>
    <d v="2022-01-20T00:00:00"/>
    <d v="2022-03-08T00:00:00"/>
    <s v="ViaPharma s.r.o."/>
    <m/>
    <n v="15696147.6"/>
    <n v="17265762.359999999"/>
    <m/>
    <m/>
    <m/>
    <d v="2022-03-08T00:00:00"/>
    <s v="SMLN-2022-617-000152"/>
    <x v="47"/>
  </r>
  <r>
    <d v="2021-11-24T00:00:00"/>
    <s v="VZ-2021-001276"/>
    <x v="1"/>
    <s v="Ondráčková"/>
    <x v="69"/>
    <n v="6"/>
    <s v="LAROTREKTINIB"/>
    <m/>
    <s v="33652000-5"/>
    <m/>
    <n v="12126777"/>
    <x v="0"/>
    <d v="2021-12-06T00:00:00"/>
    <d v="2022-01-20T00:00:00"/>
    <d v="2022-03-08T00:00:00"/>
    <s v="BAYER s.r.o."/>
    <m/>
    <n v="12126777"/>
    <n v="13339454.699999999"/>
    <m/>
    <m/>
    <m/>
    <d v="2022-03-08T00:00:00"/>
    <s v="SMLN-2022-617-000153"/>
    <x v="9"/>
  </r>
  <r>
    <d v="2021-11-24T00:00:00"/>
    <s v="VZ-2021-001276"/>
    <x v="1"/>
    <s v="Ondráčková"/>
    <x v="69"/>
    <n v="7"/>
    <s v="GILTERITINIB"/>
    <m/>
    <s v="33652000-5"/>
    <m/>
    <n v="45734721"/>
    <x v="0"/>
    <d v="2021-12-06T00:00:00"/>
    <d v="2022-01-20T00:00:00"/>
    <d v="2022-03-08T00:00:00"/>
    <s v="PHOENIX lék.velkoobchod, s.r.o."/>
    <m/>
    <n v="45734720.039999999"/>
    <n v="50308192.039999999"/>
    <m/>
    <m/>
    <m/>
    <d v="2022-03-08T00:00:00"/>
    <s v="SMLN-2022-617-000154"/>
    <x v="3"/>
  </r>
  <r>
    <d v="2021-11-24T00:00:00"/>
    <s v="VZ-2021-001276"/>
    <x v="1"/>
    <s v="Ondráčková"/>
    <x v="69"/>
    <n v="8"/>
    <s v="ENTREKTINIB"/>
    <m/>
    <s v="33652000-5"/>
    <m/>
    <n v="13490912"/>
    <x v="0"/>
    <d v="2021-12-06T00:00:00"/>
    <d v="2022-01-20T00:00:00"/>
    <m/>
    <s v="zrušeno - bez nabídky"/>
    <m/>
    <m/>
    <m/>
    <m/>
    <m/>
    <m/>
    <m/>
    <m/>
    <x v="4"/>
  </r>
  <r>
    <d v="2021-11-24T00:00:00"/>
    <s v="VZ-2021-001277"/>
    <x v="1"/>
    <s v="Ondráčková"/>
    <x v="70"/>
    <n v="1"/>
    <s v="SIPONIMOD"/>
    <m/>
    <s v="33652300-8"/>
    <m/>
    <n v="2605479"/>
    <x v="0"/>
    <d v="2021-12-02T00:00:00"/>
    <d v="2022-02-16T00:00:00"/>
    <d v="2022-03-18T00:00:00"/>
    <s v="Alliance Healthcare s.r.o."/>
    <m/>
    <n v="5063448.66"/>
    <n v="5569793.5300000003"/>
    <m/>
    <m/>
    <m/>
    <d v="2022-03-18T00:00:00"/>
    <s v="SMLN-2022-617-000185"/>
    <x v="47"/>
  </r>
  <r>
    <d v="2021-11-24T00:00:00"/>
    <s v="VZ-2021-001277"/>
    <x v="1"/>
    <s v="Ondráčková"/>
    <x v="70"/>
    <n v="2"/>
    <s v="RAVULIZUMAB"/>
    <m/>
    <s v="33652300-8"/>
    <m/>
    <n v="7299480"/>
    <x v="0"/>
    <d v="2021-12-02T00:00:00"/>
    <d v="2022-02-16T00:00:00"/>
    <m/>
    <s v="zrušeno - bez hodnotitelné nabídky"/>
    <m/>
    <m/>
    <m/>
    <m/>
    <m/>
    <m/>
    <m/>
    <m/>
    <x v="4"/>
  </r>
  <r>
    <d v="2021-11-24T00:00:00"/>
    <s v="VZ-2021-001277"/>
    <x v="1"/>
    <s v="Ondráčková"/>
    <x v="70"/>
    <n v="3"/>
    <s v="MYFENAX"/>
    <m/>
    <s v="33652300-8"/>
    <m/>
    <n v="2022861"/>
    <x v="0"/>
    <d v="2021-12-02T00:00:00"/>
    <d v="2022-02-16T00:00:00"/>
    <d v="2022-03-18T00:00:00"/>
    <s v="PHOENIX lék.velkoobchod, s.r.o."/>
    <m/>
    <n v="2010543.3"/>
    <n v="2211597.63"/>
    <m/>
    <m/>
    <m/>
    <d v="2022-03-18T00:00:00"/>
    <s v="SMLN-2022-617-000186"/>
    <x v="3"/>
  </r>
  <r>
    <d v="2021-11-24T00:00:00"/>
    <s v="VZ-2021-001277"/>
    <x v="1"/>
    <s v="Ondráčková"/>
    <x v="70"/>
    <n v="4"/>
    <s v="MYFORTIC"/>
    <m/>
    <s v="33652300-8"/>
    <m/>
    <n v="518517"/>
    <x v="0"/>
    <d v="2021-12-02T00:00:00"/>
    <d v="2022-02-16T00:00:00"/>
    <d v="2022-03-18T00:00:00"/>
    <s v="Alliance Healthcare s.r.o."/>
    <m/>
    <n v="518516.76"/>
    <n v="570368.43999999994"/>
    <m/>
    <m/>
    <m/>
    <d v="2022-03-18T00:00:00"/>
    <s v="SMLN-2022-617-000187"/>
    <x v="47"/>
  </r>
  <r>
    <d v="2021-11-24T00:00:00"/>
    <s v="VZ-2021-001277"/>
    <x v="1"/>
    <s v="Ondráčková"/>
    <x v="70"/>
    <n v="5"/>
    <s v="DARVADSTROCEL"/>
    <m/>
    <s v="33652300-8"/>
    <m/>
    <n v="55000062"/>
    <x v="0"/>
    <d v="2021-12-02T00:00:00"/>
    <d v="2022-02-16T00:00:00"/>
    <d v="2022-03-18T00:00:00"/>
    <s v="Takeda Pharmaceuticals Czech Republic s.r.o."/>
    <m/>
    <n v="55000062"/>
    <n v="60500068.200000003"/>
    <m/>
    <m/>
    <m/>
    <d v="2022-03-18T00:00:00"/>
    <s v="SMLN-2022-617-000188"/>
    <x v="20"/>
  </r>
  <r>
    <d v="2021-12-03T00:00:00"/>
    <s v="VZ-2021-001279"/>
    <x v="8"/>
    <s v="Kadlec"/>
    <x v="71"/>
    <m/>
    <m/>
    <m/>
    <s v="45351000-2"/>
    <m/>
    <n v="500000"/>
    <x v="2"/>
    <d v="2021-12-14T00:00:00"/>
    <d v="2021-12-29T00:00:00"/>
    <d v="2022-01-12T00:00:00"/>
    <s v="ELEKTRO-FLEXI s.r.o."/>
    <m/>
    <n v="422671.08"/>
    <n v="511432.01"/>
    <m/>
    <m/>
    <m/>
    <d v="2022-01-12T00:00:00"/>
    <s v="SMLN-2022-618-000003"/>
    <x v="48"/>
  </r>
  <r>
    <d v="2021-11-25T00:00:00"/>
    <s v="VZ-2021-001281"/>
    <x v="0"/>
    <s v="Dočkalová"/>
    <x v="72"/>
    <m/>
    <m/>
    <m/>
    <s v="33162200-5"/>
    <m/>
    <n v="2549860"/>
    <x v="1"/>
    <d v="2021-12-02T00:00:00"/>
    <d v="2021-12-27T00:00:00"/>
    <d v="2022-01-20T00:00:00"/>
    <s v="Johnson &amp; Johnson, s.r.o."/>
    <m/>
    <n v="2123130"/>
    <n v="2568987.2999999998"/>
    <m/>
    <m/>
    <m/>
    <d v="2022-01-20T00:00:00"/>
    <s v="SMLN-2022-617-000026_x000a_SMLN-2022-614-000002"/>
    <x v="0"/>
  </r>
  <r>
    <s v="opakovaná VZ"/>
    <s v="VZ-2021-001282"/>
    <x v="1"/>
    <s v="Ondráčková"/>
    <x v="73"/>
    <m/>
    <m/>
    <m/>
    <s v="33694000-1"/>
    <m/>
    <n v="4650131"/>
    <x v="0"/>
    <d v="2021-12-07T00:00:00"/>
    <d v="2022-01-14T00:00:00"/>
    <d v="2022-02-01T00:00:00"/>
    <s v="Life Technologies Czech Republic s.r.o."/>
    <m/>
    <n v="4576788.6399999997"/>
    <n v="5537914.2400000002"/>
    <m/>
    <m/>
    <m/>
    <d v="2022-02-01T00:00:00"/>
    <s v="SMLN-2022-617-000055"/>
    <x v="40"/>
  </r>
  <r>
    <d v="2021-11-29T00:00:00"/>
    <s v="VZ-2021-001288"/>
    <x v="1"/>
    <s v="Ondráčková"/>
    <x v="74"/>
    <m/>
    <m/>
    <m/>
    <s v="33652100-6"/>
    <m/>
    <n v="32332000"/>
    <x v="3"/>
    <d v="2021-12-03T00:00:00"/>
    <d v="2022-01-05T00:00:00"/>
    <d v="2022-01-12T00:00:00"/>
    <s v="Novartis s.r.o."/>
    <m/>
    <n v="32332000"/>
    <n v="35565200"/>
    <m/>
    <m/>
    <m/>
    <d v="2022-01-12T00:00:00"/>
    <s v="SMLN-2022-617-000011"/>
    <x v="49"/>
  </r>
  <r>
    <d v="2021-11-30T00:00:00"/>
    <s v="VZ-2021-001289"/>
    <x v="1"/>
    <s v="Ondráčková"/>
    <x v="75"/>
    <m/>
    <m/>
    <m/>
    <s v="33694000-1"/>
    <m/>
    <n v="11814000"/>
    <x v="0"/>
    <d v="2021-12-17T00:00:00"/>
    <d v="2022-01-20T00:00:00"/>
    <d v="2022-03-14T00:00:00"/>
    <s v="Siemens Healthcare, s.r.o."/>
    <m/>
    <n v="11618568.6"/>
    <n v="14058468"/>
    <m/>
    <m/>
    <m/>
    <d v="2022-03-14T00:00:00"/>
    <s v="SMLN-2022-617-000166"/>
    <x v="50"/>
  </r>
  <r>
    <d v="2021-11-01T00:00:00"/>
    <s v="VZ-2021-001297"/>
    <x v="0"/>
    <s v="Dočkalová"/>
    <x v="76"/>
    <n v="1"/>
    <s v="Protézy cévní Gelsoft Plus"/>
    <m/>
    <s v="33184200-5"/>
    <m/>
    <n v="1154583"/>
    <x v="0"/>
    <d v="2021-12-09T00:00:00"/>
    <d v="2022-01-17T00:00:00"/>
    <d v="2022-03-07T00:00:00"/>
    <s v="IMMOMEDICAL CZ s.r.o."/>
    <m/>
    <n v="1145774"/>
    <n v="1317640.1000000001"/>
    <m/>
    <m/>
    <m/>
    <d v="2022-03-08T00:00:00"/>
    <s v="SMLN-2022-617-000145"/>
    <x v="51"/>
  </r>
  <r>
    <s v="opakovaná VZ"/>
    <s v="VZ-2021-001297"/>
    <x v="0"/>
    <s v="Dočkalová"/>
    <x v="76"/>
    <n v="2"/>
    <s v="Protézy cévní II."/>
    <m/>
    <s v="33184200-5"/>
    <m/>
    <n v="89870"/>
    <x v="0"/>
    <d v="2021-12-09T00:00:00"/>
    <d v="2022-01-17T00:00:00"/>
    <d v="2022-03-07T00:00:00"/>
    <s v="MEDITRADE spol. s r.o."/>
    <m/>
    <n v="89870"/>
    <n v="103350.3"/>
    <m/>
    <m/>
    <m/>
    <d v="2022-03-08T00:00:00"/>
    <s v="SMLN-2022-617-000146_x000a_SMLN-2022-614-000028"/>
    <x v="52"/>
  </r>
  <r>
    <s v="opakovaná VZ"/>
    <s v="VZ-2021-001297"/>
    <x v="0"/>
    <s v="Dočkalová"/>
    <x v="76"/>
    <n v="3"/>
    <s v="Protézy cévní III."/>
    <m/>
    <s v="33184200-5"/>
    <m/>
    <n v="1827770"/>
    <x v="0"/>
    <d v="2021-12-09T00:00:00"/>
    <d v="2022-01-17T00:00:00"/>
    <d v="2022-03-07T00:00:00"/>
    <s v="MEDITRADE spol. s r.o."/>
    <m/>
    <n v="1872770"/>
    <n v="2153685.5"/>
    <m/>
    <m/>
    <m/>
    <d v="2022-03-08T00:00:00"/>
    <s v="SMLN-2022-617-000147_x000a_SMLN-2022-614-000028"/>
    <x v="52"/>
  </r>
  <r>
    <s v="opakovaná VZ"/>
    <s v="VZ-2021-001297"/>
    <x v="0"/>
    <s v="Dočkalová"/>
    <x v="76"/>
    <n v="4"/>
    <s v="Protézy cévní IV."/>
    <m/>
    <s v="33184200-5"/>
    <m/>
    <n v="56870"/>
    <x v="0"/>
    <d v="2021-12-09T00:00:00"/>
    <d v="2022-01-17T00:00:00"/>
    <m/>
    <s v="zrušeno - bez hodnotitelné nabídky"/>
    <m/>
    <m/>
    <m/>
    <m/>
    <m/>
    <m/>
    <m/>
    <m/>
    <x v="4"/>
  </r>
  <r>
    <s v="opakovaná VZ"/>
    <s v="VZ-2021-001297"/>
    <x v="0"/>
    <s v="Dočkalová"/>
    <x v="76"/>
    <n v="5"/>
    <s v="Protézy cévní V."/>
    <m/>
    <s v="33184200-5"/>
    <m/>
    <n v="2835100"/>
    <x v="0"/>
    <d v="2021-12-09T00:00:00"/>
    <d v="2022-01-17T00:00:00"/>
    <d v="2022-03-07T00:00:00"/>
    <s v="MEDITRADE spol. s r.o."/>
    <m/>
    <n v="2835100"/>
    <n v="3260365"/>
    <m/>
    <m/>
    <m/>
    <d v="2022-03-08T00:00:00"/>
    <s v="SMLN-2022-617-000148_x000a_SMLN-2022-614-000028"/>
    <x v="52"/>
  </r>
  <r>
    <d v="2021-12-02T00:00:00"/>
    <s v="VZ-2021-001298"/>
    <x v="1"/>
    <s v="Ondráčková"/>
    <x v="77"/>
    <m/>
    <m/>
    <m/>
    <s v="33694000-1"/>
    <m/>
    <n v="1610000"/>
    <x v="1"/>
    <d v="2021-12-09T00:00:00"/>
    <d v="2022-01-04T00:00:00"/>
    <d v="2022-01-07T00:00:00"/>
    <s v="DYNEX LabSolutions, s.r.o."/>
    <m/>
    <n v="1587000"/>
    <n v="1587000"/>
    <m/>
    <m/>
    <m/>
    <d v="2022-01-07T00:00:00"/>
    <s v="SMLN-2022-617-000010"/>
    <x v="18"/>
  </r>
  <r>
    <d v="2021-12-02T00:00:00"/>
    <s v="VZ-2021-001299"/>
    <x v="1"/>
    <s v="Ondráčková"/>
    <x v="78"/>
    <n v="1"/>
    <s v="VANDETANIB "/>
    <m/>
    <s v="33652000-5"/>
    <m/>
    <n v="7836762"/>
    <x v="0"/>
    <d v="2021-12-08T00:00:00"/>
    <d v="2022-02-07T00:00:00"/>
    <d v="2022-03-11T00:00:00"/>
    <s v="sanofi-aventis, s.r.o."/>
    <m/>
    <n v="7836761.1900000004"/>
    <n v="8620437.3100000005"/>
    <m/>
    <m/>
    <m/>
    <d v="2022-03-11T00:00:00"/>
    <s v="SMLN-2022-617-000156"/>
    <x v="53"/>
  </r>
  <r>
    <d v="2021-12-02T00:00:00"/>
    <s v="VZ-2021-001299"/>
    <x v="1"/>
    <s v="Ondráčková"/>
    <x v="78"/>
    <n v="2"/>
    <s v="AFATINIB"/>
    <m/>
    <s v="33652000-5"/>
    <m/>
    <n v="1166820"/>
    <x v="0"/>
    <d v="2021-12-08T00:00:00"/>
    <d v="2022-02-07T00:00:00"/>
    <d v="2022-03-11T00:00:00"/>
    <s v="Boehringer Ingelheim, spol. s r.o."/>
    <m/>
    <n v="1166819.79"/>
    <n v="1283501.77"/>
    <m/>
    <m/>
    <m/>
    <d v="2022-03-11T00:00:00"/>
    <s v="SMLN-2022-617-000157"/>
    <x v="47"/>
  </r>
  <r>
    <d v="2021-12-02T00:00:00"/>
    <s v="VZ-2021-001299"/>
    <x v="1"/>
    <s v="Ondráčková"/>
    <x v="78"/>
    <n v="3"/>
    <s v="BOSUTINIB "/>
    <m/>
    <s v="33652000-5"/>
    <m/>
    <n v="2563207"/>
    <x v="0"/>
    <d v="2021-12-08T00:00:00"/>
    <d v="2022-02-07T00:00:00"/>
    <d v="2022-03-11T00:00:00"/>
    <s v="PHOENIX lék.velkoobchod, s.r.o."/>
    <m/>
    <n v="2563206.96"/>
    <n v="2819527.66"/>
    <m/>
    <m/>
    <m/>
    <d v="2022-03-11T00:00:00"/>
    <s v="SMLN-2022-617-000158"/>
    <x v="3"/>
  </r>
  <r>
    <d v="2021-12-02T00:00:00"/>
    <s v="VZ-2021-001299"/>
    <x v="1"/>
    <s v="Ondráčková"/>
    <x v="78"/>
    <n v="4"/>
    <s v="KRIZOTINIB "/>
    <m/>
    <s v="33652000-5"/>
    <m/>
    <n v="10710000"/>
    <x v="0"/>
    <d v="2021-12-08T00:00:00"/>
    <d v="2022-02-07T00:00:00"/>
    <d v="2022-03-11T00:00:00"/>
    <s v="PHOENIX lék.velkoobchod, s.r.o."/>
    <m/>
    <n v="10710000"/>
    <n v="11781000"/>
    <m/>
    <m/>
    <m/>
    <d v="2022-03-11T00:00:00"/>
    <s v="SMLN-2022-617-000159"/>
    <x v="3"/>
  </r>
  <r>
    <d v="2021-12-02T00:00:00"/>
    <s v="VZ-2021-001299"/>
    <x v="1"/>
    <s v="Ondráčková"/>
    <x v="78"/>
    <n v="5"/>
    <s v="PONATINIB "/>
    <m/>
    <s v="33652000-5"/>
    <m/>
    <n v="7435918"/>
    <x v="0"/>
    <d v="2021-12-08T00:00:00"/>
    <d v="2022-02-07T00:00:00"/>
    <d v="2022-03-11T00:00:00"/>
    <s v="Alliance Healthcare s.r.o."/>
    <m/>
    <n v="7432948.2599999998"/>
    <n v="8176243.0899999999"/>
    <m/>
    <m/>
    <m/>
    <d v="2022-03-11T00:00:00"/>
    <s v="SMLN-2022-617-000160"/>
    <x v="47"/>
  </r>
  <r>
    <d v="2021-12-02T00:00:00"/>
    <s v="VZ-2021-001299"/>
    <x v="1"/>
    <s v="Ondráčková"/>
    <x v="78"/>
    <n v="6"/>
    <s v="TRAMETINIB "/>
    <m/>
    <s v="33652000-5"/>
    <m/>
    <n v="46702858"/>
    <x v="0"/>
    <d v="2021-12-08T00:00:00"/>
    <d v="2022-02-07T00:00:00"/>
    <d v="2022-03-11T00:00:00"/>
    <s v="Alliance Healthcare s.r.o."/>
    <m/>
    <n v="46702857.329999998"/>
    <n v="51373143.060000002"/>
    <m/>
    <m/>
    <m/>
    <d v="2022-03-11T00:00:00"/>
    <s v="SMLN-2022-617-000161"/>
    <x v="47"/>
  </r>
  <r>
    <d v="2021-12-02T00:00:00"/>
    <s v="VZ-2021-001299"/>
    <x v="1"/>
    <s v="Ondráčková"/>
    <x v="78"/>
    <n v="7"/>
    <s v="NINTEDANIB"/>
    <m/>
    <s v="33652000-5"/>
    <m/>
    <n v="18432258"/>
    <x v="0"/>
    <d v="2021-12-08T00:00:00"/>
    <d v="2022-02-07T00:00:00"/>
    <d v="2022-03-11T00:00:00"/>
    <s v="Boehringer Ingelheim, spol. s r.o."/>
    <m/>
    <n v="18406931.100000001"/>
    <n v="20247624.210000001"/>
    <m/>
    <m/>
    <m/>
    <d v="2022-03-11T00:00:00"/>
    <s v="SMLN-2022-617-000162"/>
    <x v="47"/>
  </r>
  <r>
    <d v="2021-12-02T00:00:00"/>
    <s v="VZ-2021-001299"/>
    <x v="1"/>
    <s v="Ondráčková"/>
    <x v="78"/>
    <n v="8"/>
    <s v="LENVATINIB"/>
    <m/>
    <s v="33652000-5"/>
    <m/>
    <n v="15523659"/>
    <x v="0"/>
    <d v="2021-12-08T00:00:00"/>
    <d v="2022-02-07T00:00:00"/>
    <d v="2022-03-11T00:00:00"/>
    <s v="Alliance Healthcare s.r.o."/>
    <m/>
    <n v="15508572"/>
    <n v="17059429.199999999"/>
    <m/>
    <m/>
    <m/>
    <d v="2022-03-11T00:00:00"/>
    <s v="SMLN-2022-617-000163"/>
    <x v="47"/>
  </r>
  <r>
    <d v="2021-12-03T00:00:00"/>
    <s v="VZ-2021-001305"/>
    <x v="1"/>
    <s v="Ondráčková"/>
    <x v="79"/>
    <m/>
    <m/>
    <m/>
    <s v="38434000-6, 3694000-1"/>
    <m/>
    <n v="4200000"/>
    <x v="0"/>
    <d v="2021-12-20T00:00:00"/>
    <d v="2022-01-31T00:00:00"/>
    <m/>
    <s v="zrušeno - odpadla potřeba"/>
    <m/>
    <m/>
    <m/>
    <m/>
    <m/>
    <m/>
    <m/>
    <m/>
    <x v="4"/>
  </r>
  <r>
    <s v="opakovaná VZ"/>
    <s v="VZ-2021-001309"/>
    <x v="0"/>
    <s v="Valtová"/>
    <x v="80"/>
    <n v="1"/>
    <s v="Diagnostické katétry  II."/>
    <m/>
    <s v="33140000-3"/>
    <m/>
    <n v="1220800"/>
    <x v="0"/>
    <d v="2021-12-09T00:00:00"/>
    <d v="2022-01-11T00:00:00"/>
    <d v="2022-02-02T00:00:00"/>
    <s v="VAMEX, spol. s r.o."/>
    <m/>
    <n v="1315000"/>
    <n v="1591150"/>
    <m/>
    <m/>
    <m/>
    <d v="2022-02-02T00:00:00"/>
    <s v="SMLN-2022-617-000057_x000a_SMLN-2022-614-000006"/>
    <x v="41"/>
  </r>
  <r>
    <s v="opakovaná VZ"/>
    <s v="VZ-2021-001309"/>
    <x v="0"/>
    <s v="Valtová"/>
    <x v="80"/>
    <n v="2"/>
    <s v="Kalibrační diagnostické katétry"/>
    <m/>
    <s v="33140000-3"/>
    <m/>
    <n v="125160"/>
    <x v="0"/>
    <d v="2021-12-09T00:00:00"/>
    <d v="2022-01-11T00:00:00"/>
    <d v="2022-02-02T00:00:00"/>
    <s v="MSM, spol. s r.o."/>
    <m/>
    <n v="192000"/>
    <n v="232320"/>
    <m/>
    <m/>
    <m/>
    <d v="2022-02-02T00:00:00"/>
    <s v="SMLN-2022-617-000058_x000a_SMLN-2022-614-000007"/>
    <x v="46"/>
  </r>
  <r>
    <s v="opakovaná VZ"/>
    <s v="VZ-2021-001309"/>
    <x v="0"/>
    <s v="Valtová"/>
    <x v="80"/>
    <n v="3"/>
    <s v="Vodící katétry neurointervenční"/>
    <m/>
    <s v="33140000-3"/>
    <m/>
    <n v="2080500"/>
    <x v="0"/>
    <d v="2021-12-09T00:00:00"/>
    <d v="2022-01-11T00:00:00"/>
    <m/>
    <s v="zrušeno - bez nabídky"/>
    <m/>
    <m/>
    <m/>
    <m/>
    <m/>
    <m/>
    <m/>
    <m/>
    <x v="4"/>
  </r>
  <r>
    <d v="2021-12-07T00:00:00"/>
    <s v="VZ-2021-001310"/>
    <x v="0"/>
    <s v="Dočkalová"/>
    <x v="81"/>
    <m/>
    <m/>
    <m/>
    <s v="33140000-3"/>
    <m/>
    <n v="2883740"/>
    <x v="1"/>
    <d v="2021-12-10T00:00:00"/>
    <d v="2022-01-03T00:00:00"/>
    <d v="2022-01-05T00:00:00"/>
    <s v="B. Braun Medical s.r.o."/>
    <m/>
    <n v="2883740"/>
    <n v="3489325.4"/>
    <m/>
    <m/>
    <m/>
    <d v="2022-01-05T00:00:00"/>
    <s v="SMLN-2022-617-000005"/>
    <x v="54"/>
  </r>
  <r>
    <d v="2021-12-03T00:00:00"/>
    <s v="VZ-2021-001311"/>
    <x v="0"/>
    <s v="Dočkalová"/>
    <x v="82"/>
    <m/>
    <m/>
    <m/>
    <s v="33140000-3"/>
    <m/>
    <n v="2014020"/>
    <x v="1"/>
    <d v="2021-12-10T00:00:00"/>
    <d v="2021-12-30T00:00:00"/>
    <d v="2022-01-20T00:00:00"/>
    <s v="MR Diagnostic s.r.o."/>
    <m/>
    <n v="2013580.8"/>
    <n v="2436033.6"/>
    <m/>
    <m/>
    <m/>
    <d v="2022-01-20T00:00:00"/>
    <s v="SMLN-2022-617-000025"/>
    <x v="55"/>
  </r>
  <r>
    <d v="2021-12-06T00:00:00"/>
    <s v="VZ-2021-001315"/>
    <x v="10"/>
    <s v="Olejníček"/>
    <x v="83"/>
    <m/>
    <m/>
    <m/>
    <s v="33111620-3"/>
    <s v="2.2.410."/>
    <n v="390000"/>
    <x v="2"/>
    <d v="2021-12-23T00:00:00"/>
    <d v="2022-01-11T00:00:00"/>
    <d v="2022-01-18T00:00:00"/>
    <s v="GE Medical Systems Česká republika, s.r.o."/>
    <m/>
    <n v="390000"/>
    <n v="471900"/>
    <m/>
    <m/>
    <m/>
    <d v="2022-01-18T00:00:00"/>
    <s v="SMLN-2022-617-000020"/>
    <x v="56"/>
  </r>
  <r>
    <d v="2021-12-09T00:00:00"/>
    <s v="VZ-2021-001316"/>
    <x v="1"/>
    <s v="Ondráčková"/>
    <x v="84"/>
    <n v="1"/>
    <s v="KYSELINA OBETICHOLOVÁ"/>
    <m/>
    <s v="33610000-9"/>
    <m/>
    <n v="3123851"/>
    <x v="1"/>
    <d v="2021-12-10T00:00:00"/>
    <d v="2021-12-30T00:00:00"/>
    <d v="2022-01-28T00:00:00"/>
    <s v="Alliance Healthcare s.r.o."/>
    <m/>
    <n v="3123849.56"/>
    <n v="3436234.52"/>
    <m/>
    <m/>
    <m/>
    <d v="2022-01-28T00:00:00"/>
    <s v="SMLN-2022-617-000053"/>
    <x v="37"/>
  </r>
  <r>
    <s v="opakovaná VZ"/>
    <s v="VZ-2021-001318"/>
    <x v="0"/>
    <s v="Dočkalová"/>
    <x v="85"/>
    <m/>
    <m/>
    <m/>
    <s v="33140000-3"/>
    <m/>
    <n v="386194"/>
    <x v="2"/>
    <d v="2021-12-14T00:00:00"/>
    <d v="2021-12-22T00:00:00"/>
    <d v="2022-03-28T00:00:00"/>
    <s v="S.A.B. Impex s.r.o."/>
    <m/>
    <n v="495936"/>
    <n v="600082.56000000006"/>
    <m/>
    <m/>
    <m/>
    <d v="2022-03-28T00:00:00"/>
    <s v="SMLN-2022-617-000200"/>
    <x v="47"/>
  </r>
  <r>
    <d v="2021-11-25T00:00:00"/>
    <s v="VZ-2021-001322"/>
    <x v="0"/>
    <s v="Dočkalová"/>
    <x v="86"/>
    <m/>
    <m/>
    <m/>
    <s v="33162200-5"/>
    <m/>
    <n v="1056000"/>
    <x v="2"/>
    <d v="2021-12-14T00:00:00"/>
    <d v="2021-12-22T00:00:00"/>
    <d v="2021-12-29T00:00:00"/>
    <s v="Medtronic Czechia s.r.o."/>
    <m/>
    <n v="950400"/>
    <n v="1149984"/>
    <m/>
    <m/>
    <m/>
    <d v="2021-12-29T00:00:00"/>
    <s v="SMLN-2021-617-000749_x000a_SMLN-2021-614-000139"/>
    <x v="22"/>
  </r>
  <r>
    <d v="2021-12-01T00:00:00"/>
    <s v="VZ-2021-001323"/>
    <x v="11"/>
    <s v="Zemanová"/>
    <x v="87"/>
    <n v="1"/>
    <s v="Externí klinický audit v radiodiagnostice vč. Intervenční radiologie a kardiologie"/>
    <m/>
    <s v="79212300-6"/>
    <m/>
    <n v="350000"/>
    <x v="2"/>
    <d v="2021-12-29T00:00:00"/>
    <d v="2022-01-07T00:00:00"/>
    <d v="2022-01-25T00:00:00"/>
    <s v="OLE audity s.r.o."/>
    <m/>
    <n v="129800"/>
    <n v="157058"/>
    <m/>
    <m/>
    <m/>
    <d v="2022-01-25T00:00:00"/>
    <s v="SMLN-2022-612-000011"/>
    <x v="37"/>
  </r>
  <r>
    <d v="2021-12-01T00:00:00"/>
    <s v="VZ-2021-001323"/>
    <x v="11"/>
    <s v="Zemanová"/>
    <x v="87"/>
    <n v="2"/>
    <s v="Externí klinický audit v nukleární medicíně"/>
    <m/>
    <s v="79212300-6"/>
    <m/>
    <n v="200000"/>
    <x v="2"/>
    <d v="2021-12-29T00:00:00"/>
    <d v="2022-01-07T00:00:00"/>
    <d v="2022-01-25T00:00:00"/>
    <s v="M.G.P. spol. s r.o."/>
    <m/>
    <n v="70000"/>
    <n v="84700"/>
    <m/>
    <m/>
    <m/>
    <d v="2022-01-25T00:00:00"/>
    <s v="SMLN-2022-612-000012"/>
    <x v="54"/>
  </r>
  <r>
    <d v="2021-12-01T00:00:00"/>
    <s v="VZ-2021-001323"/>
    <x v="11"/>
    <s v="Zemanová"/>
    <x v="87"/>
    <n v="3"/>
    <s v="Externí klinický audit v radioterapii"/>
    <m/>
    <s v="79212300-6"/>
    <m/>
    <n v="150000"/>
    <x v="2"/>
    <d v="2021-12-29T00:00:00"/>
    <d v="2022-01-07T00:00:00"/>
    <d v="2022-01-25T00:00:00"/>
    <s v="VF, a.s."/>
    <m/>
    <n v="119000"/>
    <n v="143990"/>
    <m/>
    <m/>
    <m/>
    <d v="2022-01-25T00:00:00"/>
    <s v="SMLN-2022-612-000013"/>
    <x v="57"/>
  </r>
  <r>
    <d v="2021-12-06T00:00:00"/>
    <s v="VZ-2021-001326"/>
    <x v="4"/>
    <s v="Olejníček"/>
    <x v="88"/>
    <m/>
    <m/>
    <m/>
    <s v="33120000-7"/>
    <s v="2.3.476."/>
    <n v="472240"/>
    <x v="2"/>
    <d v="2021-12-23T00:00:00"/>
    <d v="2022-01-07T00:00:00"/>
    <d v="2022-01-24T00:00:00"/>
    <s v="Kurka.Med s.r.o."/>
    <m/>
    <n v="467286"/>
    <n v="565416.06000000006"/>
    <m/>
    <m/>
    <m/>
    <d v="2022-01-24T00:00:00"/>
    <s v="SMLN-2022-617-000042_x000a_SMLN-2022-612-000010_x000a_SMLN-2022-617-000043"/>
    <x v="49"/>
  </r>
  <r>
    <d v="2021-12-08T00:00:00"/>
    <s v="VZ-2021-001334"/>
    <x v="4"/>
    <s v="Olejníček"/>
    <x v="89"/>
    <m/>
    <m/>
    <m/>
    <s v="33162100-4"/>
    <s v="2.2.348."/>
    <n v="1040500"/>
    <x v="2"/>
    <d v="2021-12-23T00:00:00"/>
    <d v="2022-01-11T00:00:00"/>
    <m/>
    <s v="zrušeno - bez nabídky"/>
    <s v="nová VZ-2022-000087"/>
    <m/>
    <m/>
    <m/>
    <m/>
    <m/>
    <m/>
    <m/>
    <x v="4"/>
  </r>
  <r>
    <d v="2021-12-16T00:00:00"/>
    <s v="VZ-2021-001335"/>
    <x v="1"/>
    <s v="Ondráčková"/>
    <x v="90"/>
    <m/>
    <m/>
    <m/>
    <s v="33651100-9"/>
    <m/>
    <n v="3833895"/>
    <x v="0"/>
    <d v="2021-12-21T00:00:00"/>
    <d v="2022-01-24T00:00:00"/>
    <d v="2022-02-15T00:00:00"/>
    <s v="ViaPharma s.r.o."/>
    <m/>
    <n v="3815666.17"/>
    <n v="4197232.79"/>
    <m/>
    <m/>
    <m/>
    <d v="2022-02-15T00:00:00"/>
    <s v="SMLN-2022-617-000103"/>
    <x v="26"/>
  </r>
  <r>
    <d v="2021-12-16T00:00:00"/>
    <s v="VZ-2021-001336"/>
    <x v="1"/>
    <s v="Ondráčková"/>
    <x v="91"/>
    <n v="1"/>
    <s v="PEGINTERFERON BETA-1A"/>
    <m/>
    <s v="33652000-5"/>
    <m/>
    <n v="10393222"/>
    <x v="0"/>
    <d v="2021-12-23T00:00:00"/>
    <d v="2022-01-27T00:00:00"/>
    <d v="2022-02-18T00:00:00"/>
    <s v="Avenier a.s."/>
    <m/>
    <n v="10389053.4"/>
    <n v="11427958.470000001"/>
    <m/>
    <m/>
    <m/>
    <d v="2022-02-18T00:00:00"/>
    <s v="SMLN-2022-617-000120"/>
    <x v="15"/>
  </r>
  <r>
    <d v="2021-12-16T00:00:00"/>
    <s v="VZ-2021-001336"/>
    <x v="1"/>
    <s v="Ondráčková"/>
    <x v="91"/>
    <n v="2"/>
    <s v="POMALIDOMID"/>
    <m/>
    <s v="33652300-8"/>
    <m/>
    <n v="13524393"/>
    <x v="0"/>
    <d v="2021-12-23T00:00:00"/>
    <d v="2022-01-27T00:00:00"/>
    <d v="2022-02-18T00:00:00"/>
    <s v="PHOENIX lék.velkoobchod, s.r.o."/>
    <m/>
    <n v="7610779.2599999998"/>
    <n v="8371857.1900000004"/>
    <m/>
    <m/>
    <m/>
    <d v="2022-02-18T00:00:00"/>
    <s v="SMLN-2022-617-000121"/>
    <x v="14"/>
  </r>
  <r>
    <d v="2021-12-16T00:00:00"/>
    <s v="VZ-2021-001336"/>
    <x v="1"/>
    <s v="Ondráčková"/>
    <x v="91"/>
    <n v="3"/>
    <s v="PRASEČÍ PŘENOSOVÝ FAKTOR"/>
    <m/>
    <s v="33652000-5"/>
    <m/>
    <n v="5983454"/>
    <x v="0"/>
    <d v="2021-12-23T00:00:00"/>
    <d v="2022-01-27T00:00:00"/>
    <d v="2022-02-18T00:00:00"/>
    <s v="PHOENIX lék.velkoobchod, s.r.o."/>
    <m/>
    <n v="5971911.54"/>
    <n v="6569102.6900000004"/>
    <m/>
    <m/>
    <m/>
    <d v="2022-02-18T00:00:00"/>
    <s v="SMLN-2022-617-000122"/>
    <x v="14"/>
  </r>
  <r>
    <d v="2021-12-16T00:00:00"/>
    <s v="VZ-2021-001336"/>
    <x v="1"/>
    <s v="Ondráčková"/>
    <x v="91"/>
    <n v="4"/>
    <s v="MIDOSTAURIN"/>
    <m/>
    <s v="33652000-5"/>
    <m/>
    <n v="7206684"/>
    <x v="0"/>
    <d v="2021-12-23T00:00:00"/>
    <d v="2022-01-27T00:00:00"/>
    <d v="2022-02-18T00:00:00"/>
    <s v="Alliance Healthcare s.r.o."/>
    <m/>
    <n v="7206683.2800000003"/>
    <n v="7927351.6100000003"/>
    <m/>
    <m/>
    <m/>
    <d v="2022-02-18T00:00:00"/>
    <s v="SMLN-2022-617-000123"/>
    <x v="39"/>
  </r>
  <r>
    <d v="2021-12-16T00:00:00"/>
    <s v="VZ-2021-001337"/>
    <x v="1"/>
    <s v="Ondráčková"/>
    <x v="92"/>
    <n v="1"/>
    <s v="Dolforin"/>
    <m/>
    <s v="33661200-3"/>
    <m/>
    <n v="504160"/>
    <x v="0"/>
    <d v="2021-12-21T00:00:00"/>
    <d v="2022-01-24T00:00:00"/>
    <m/>
    <s v="zrušeno - bez nabídky"/>
    <m/>
    <m/>
    <m/>
    <m/>
    <m/>
    <m/>
    <m/>
    <m/>
    <x v="4"/>
  </r>
  <r>
    <d v="2021-12-16T00:00:00"/>
    <s v="VZ-2021-001337"/>
    <x v="1"/>
    <s v="Ondráčková"/>
    <x v="92"/>
    <n v="2"/>
    <s v="Durogesic"/>
    <m/>
    <s v="33661200-3"/>
    <m/>
    <n v="2473707"/>
    <x v="0"/>
    <d v="2021-12-21T00:00:00"/>
    <d v="2022-01-24T00:00:00"/>
    <d v="2022-03-02T00:00:00"/>
    <s v="Alliance Healthcare s.r.o."/>
    <m/>
    <n v="2469282.27"/>
    <n v="2716210.5"/>
    <m/>
    <m/>
    <m/>
    <d v="2022-03-02T00:00:00"/>
    <s v="SMLN-2022-617-000135"/>
    <x v="9"/>
  </r>
  <r>
    <d v="2021-12-16T00:00:00"/>
    <s v="VZ-2021-001337"/>
    <x v="1"/>
    <s v="Ondráčková"/>
    <x v="92"/>
    <n v="3"/>
    <s v="Fentalis"/>
    <m/>
    <s v="33661200-3"/>
    <m/>
    <n v="1853837"/>
    <x v="0"/>
    <d v="2021-12-21T00:00:00"/>
    <d v="2022-01-24T00:00:00"/>
    <d v="2022-03-02T00:00:00"/>
    <s v="Alliance Healthcare s.r.o."/>
    <m/>
    <n v="1850139.54"/>
    <n v="2035153.49"/>
    <m/>
    <m/>
    <m/>
    <d v="2022-03-02T00:00:00"/>
    <s v="SMLN-2022-617-000136"/>
    <x v="9"/>
  </r>
  <r>
    <d v="2021-12-16T00:00:00"/>
    <s v="VZ-2021-001337"/>
    <x v="1"/>
    <s v="Ondráčková"/>
    <x v="92"/>
    <n v="4"/>
    <s v="Palexia Retard"/>
    <m/>
    <s v="33661200-3"/>
    <m/>
    <n v="1895882"/>
    <x v="0"/>
    <d v="2021-12-21T00:00:00"/>
    <d v="2022-01-24T00:00:00"/>
    <d v="2022-03-02T00:00:00"/>
    <s v="PHOENIX lék.velkoobchod, s.r.o."/>
    <m/>
    <n v="1870520.13"/>
    <n v="2057572.14"/>
    <m/>
    <m/>
    <m/>
    <d v="2022-03-02T00:00:00"/>
    <s v="SMLN-2022-617-000137"/>
    <x v="9"/>
  </r>
  <r>
    <d v="2021-12-16T00:00:00"/>
    <s v="VZ-2021-001337"/>
    <x v="1"/>
    <s v="Ondráčková"/>
    <x v="92"/>
    <n v="5"/>
    <s v="Transtec"/>
    <m/>
    <s v="33661200-3"/>
    <m/>
    <n v="1544455"/>
    <x v="0"/>
    <d v="2021-12-21T00:00:00"/>
    <d v="2022-01-24T00:00:00"/>
    <d v="2022-03-02T00:00:00"/>
    <s v="ViaPharma s.r.o."/>
    <m/>
    <n v="1543219.26"/>
    <n v="1697541.19"/>
    <m/>
    <m/>
    <m/>
    <d v="2022-03-02T00:00:00"/>
    <s v="SMLN-2022-617-000138"/>
    <x v="47"/>
  </r>
  <r>
    <d v="2021-12-16T00:00:00"/>
    <s v="VZ-2021-001337"/>
    <x v="1"/>
    <s v="Ondráčková"/>
    <x v="92"/>
    <n v="6"/>
    <s v="Oxycodon Lannacher"/>
    <m/>
    <s v="33661200-3"/>
    <m/>
    <n v="2890813"/>
    <x v="0"/>
    <d v="2021-12-21T00:00:00"/>
    <d v="2022-01-24T00:00:00"/>
    <d v="2022-03-02T00:00:00"/>
    <s v="PHOENIX lék.velkoobchod, s.r.o."/>
    <m/>
    <n v="2883830.88"/>
    <n v="3172213.97"/>
    <m/>
    <m/>
    <m/>
    <d v="2022-03-02T00:00:00"/>
    <s v="SMLN-2022-617-000139"/>
    <x v="9"/>
  </r>
  <r>
    <d v="2021-12-16T00:00:00"/>
    <s v="VZ-2021-001337"/>
    <x v="1"/>
    <s v="Ondráčková"/>
    <x v="92"/>
    <n v="7"/>
    <s v="Lunaldin"/>
    <m/>
    <s v="33661200-3"/>
    <m/>
    <n v="6193398"/>
    <x v="0"/>
    <d v="2021-12-21T00:00:00"/>
    <d v="2022-01-24T00:00:00"/>
    <d v="2022-03-02T00:00:00"/>
    <s v="PHOENIX lék.velkoobchod, s.r.o."/>
    <m/>
    <n v="6148056.1799999997"/>
    <n v="6762861.7999999998"/>
    <m/>
    <m/>
    <m/>
    <d v="2022-03-02T00:00:00"/>
    <s v="SMLN-2022-617-000140"/>
    <x v="9"/>
  </r>
  <r>
    <d v="2021-12-16T00:00:00"/>
    <s v="VZ-2021-001338"/>
    <x v="1"/>
    <s v="Ondráčková"/>
    <x v="93"/>
    <m/>
    <m/>
    <m/>
    <s v="33621000-9"/>
    <m/>
    <n v="1454316"/>
    <x v="0"/>
    <d v="2021-12-17T00:00:00"/>
    <d v="2022-01-20T00:00:00"/>
    <d v="2022-02-15T00:00:00"/>
    <s v="Alliance Healthcare s.r.o."/>
    <m/>
    <n v="1386859.23"/>
    <n v="1525545.15"/>
    <m/>
    <m/>
    <m/>
    <d v="2022-02-15T00:00:00"/>
    <s v="SMLN-2022-617-000104"/>
    <x v="15"/>
  </r>
  <r>
    <d v="2021-12-17T00:00:00"/>
    <s v="VZ-2021-001343"/>
    <x v="0"/>
    <s v="Dočkalová"/>
    <x v="94"/>
    <m/>
    <m/>
    <m/>
    <s v="33140000-3 "/>
    <m/>
    <n v="2294037"/>
    <x v="0"/>
    <d v="2022-01-03T00:00:00"/>
    <d v="2022-02-04T00:00:00"/>
    <d v="2022-03-16T00:00:00"/>
    <s v="IMMOMEDICAL CZ s.r.o."/>
    <m/>
    <n v="2294037"/>
    <n v="2638142.5499999998"/>
    <m/>
    <m/>
    <m/>
    <d v="2022-03-16T00:00:00"/>
    <s v="SMLN-2022-617-000174_x000a_SMLN-2022-614-000031"/>
    <x v="42"/>
  </r>
  <r>
    <d v="2021-12-29T00:00:00"/>
    <s v="VZ-2021-001349"/>
    <x v="1"/>
    <s v="Ondráčková"/>
    <x v="95"/>
    <m/>
    <m/>
    <m/>
    <s v="33642000-2"/>
    <m/>
    <n v="63821520"/>
    <x v="0"/>
    <d v="2022-01-05T00:00:00"/>
    <d v="2022-02-08T00:00:00"/>
    <d v="2022-03-03T00:00:00"/>
    <s v="Janssen-Cilag s.r.o."/>
    <m/>
    <n v="63821520"/>
    <n v="70203672"/>
    <m/>
    <m/>
    <m/>
    <d v="2022-03-03T00:00:00"/>
    <s v="SMLN-2022-617-000142"/>
    <x v="26"/>
  </r>
  <r>
    <d v="2021-12-16T00:00:00"/>
    <s v="VZ-2022-000004"/>
    <x v="3"/>
    <s v="Olejníček"/>
    <x v="96"/>
    <m/>
    <m/>
    <m/>
    <s v="38634000-8"/>
    <s v="2.2.418."/>
    <n v="1828000"/>
    <x v="0"/>
    <d v="2022-02-02T00:00:00"/>
    <d v="2022-03-09T00:00:00"/>
    <d v="2022-04-05T00:00:00"/>
    <s v=" "/>
    <m/>
    <n v="2251608"/>
    <n v="2724445.68"/>
    <m/>
    <m/>
    <m/>
    <d v="2022-04-05T00:00:00"/>
    <s v="SMLN-2022-617-000212_x000a_SMLN-2022-612-000033_x000a_SMLN-2022-617-000213"/>
    <x v="58"/>
  </r>
  <r>
    <s v="opakovaná VZ"/>
    <s v="VZ-2022-000005"/>
    <x v="0"/>
    <s v="Dočkalová"/>
    <x v="97"/>
    <m/>
    <m/>
    <m/>
    <s v="33140000-3"/>
    <m/>
    <n v="6336997"/>
    <x v="0"/>
    <d v="2022-01-14T00:00:00"/>
    <d v="2022-02-16T00:00:00"/>
    <d v="2022-02-28T00:00:00"/>
    <s v="POLYMED medical CZ, a.s."/>
    <m/>
    <n v="6463140"/>
    <n v="7820399.4000000004"/>
    <m/>
    <m/>
    <m/>
    <d v="2022-03-01T00:00:00"/>
    <s v="SMLN-2022-617-000130"/>
    <x v="55"/>
  </r>
  <r>
    <d v="2021-12-30T00:00:00"/>
    <s v="VZ-2022-000006"/>
    <x v="0"/>
    <s v="Dočkalová"/>
    <x v="98"/>
    <m/>
    <m/>
    <m/>
    <s v="18424300-0"/>
    <m/>
    <n v="8370000"/>
    <x v="0"/>
    <d v="2022-01-10T00:00:00"/>
    <d v="2022-02-25T00:00:00"/>
    <d v="2022-04-07T00:00:00"/>
    <s v="KORAKO plus, s.r.o."/>
    <m/>
    <n v="5940000"/>
    <n v="7187400"/>
    <m/>
    <m/>
    <m/>
    <d v="2022-04-07T00:00:00"/>
    <s v="SMLN-2022-617-000229"/>
    <x v="59"/>
  </r>
  <r>
    <d v="2021-11-26T00:00:00"/>
    <s v="VZ-2022-000007"/>
    <x v="10"/>
    <s v="Rosulek"/>
    <x v="99"/>
    <m/>
    <m/>
    <m/>
    <s v="38000000-5"/>
    <s v="2.3.322., 2.2.411."/>
    <n v="9800000"/>
    <x v="0"/>
    <d v="2022-01-07T00:00:00"/>
    <d v="2022-02-23T00:00:00"/>
    <d v="2022-04-14T00:00:00"/>
    <s v="CANBERRA-PACKARD, s.r.o."/>
    <m/>
    <n v="14028200"/>
    <n v="16974122"/>
    <m/>
    <m/>
    <m/>
    <d v="2022-04-14T00:00:00"/>
    <s v="SMLN-2022-617-000255_x000a_SMLN-2022-612-000042"/>
    <x v="60"/>
  </r>
  <r>
    <d v="2021-12-02T00:00:00"/>
    <s v="VZ-2022-000008"/>
    <x v="10"/>
    <s v="Rosulek"/>
    <x v="100"/>
    <m/>
    <m/>
    <m/>
    <s v="33115000-9"/>
    <s v="2.2.409."/>
    <n v="129000000"/>
    <x v="0"/>
    <d v="2022-01-07T00:00:00"/>
    <d v="2022-02-11T00:00:00"/>
    <d v="2022-03-09T00:00:00"/>
    <s v="Siemens Healthcare, s.r.o."/>
    <m/>
    <n v="108903000"/>
    <n v="131772630"/>
    <m/>
    <m/>
    <m/>
    <d v="2022-03-10T00:00:00"/>
    <s v="SMLN-2022-617-000155_x000a_SMLN-2022-612-000027"/>
    <x v="10"/>
  </r>
  <r>
    <d v="2022-01-24T00:00:00"/>
    <s v="VZ-2022-000010"/>
    <x v="4"/>
    <s v="Rosulek"/>
    <x v="101"/>
    <n v="1"/>
    <s v="Vrtací akumulátorové soupravy"/>
    <m/>
    <s v="33160000-9"/>
    <s v="2.2.343."/>
    <n v="730000"/>
    <x v="0"/>
    <d v="2022-01-31T00:00:00"/>
    <d v="2022-03-18T00:00:00"/>
    <d v="2022-04-14T00:00:00"/>
    <s v="Johnson &amp; Johnson, s.r.o."/>
    <m/>
    <n v="750048"/>
    <n v="907558.1"/>
    <m/>
    <m/>
    <m/>
    <d v="2022-04-19T00:00:00"/>
    <s v="SMLN-2022-617-000260_x000a_SMLN-2022-612-000046"/>
    <x v="61"/>
  </r>
  <r>
    <d v="2022-01-24T00:00:00"/>
    <s v="VZ-2022-000010"/>
    <x v="4"/>
    <s v="Rosulek"/>
    <x v="101"/>
    <n v="2"/>
    <s v="Modulární bateriové soupravy"/>
    <m/>
    <s v="33160000-9"/>
    <s v="2.2.344."/>
    <n v="1140000"/>
    <x v="0"/>
    <d v="2022-01-31T00:00:00"/>
    <d v="2022-03-18T00:00:00"/>
    <d v="2022-04-14T00:00:00"/>
    <s v="Johnson &amp; Johnson, s.r.o."/>
    <m/>
    <n v="1044194"/>
    <n v="1263474.7"/>
    <m/>
    <m/>
    <m/>
    <d v="2022-04-19T00:00:00"/>
    <s v="SMLN-2022-617-000263_x000a_SMLN-2022-612-000048"/>
    <x v="61"/>
  </r>
  <r>
    <d v="2022-01-24T00:00:00"/>
    <s v="VZ-2022-000010"/>
    <x v="4"/>
    <s v="Rosulek"/>
    <x v="101"/>
    <n v="3"/>
    <s v="Vzduchem poháněné vrtací soupravy"/>
    <m/>
    <s v="33160000-9"/>
    <s v="2.3.658."/>
    <n v="310000"/>
    <x v="0"/>
    <d v="2022-01-31T00:00:00"/>
    <d v="2022-03-08T00:00:00"/>
    <m/>
    <s v="zrušeno - špatná speciífikace, navýšení počtu do část II."/>
    <m/>
    <m/>
    <m/>
    <m/>
    <m/>
    <m/>
    <m/>
    <m/>
    <x v="4"/>
  </r>
  <r>
    <d v="2022-01-24T00:00:00"/>
    <s v="VZ-2022-000010"/>
    <x v="4"/>
    <s v="Rosulek"/>
    <x v="101"/>
    <n v="4"/>
    <s v="Ultrazvukové (piezochirurgické) soupravy"/>
    <m/>
    <s v="33160000-9"/>
    <s v="2.3.550."/>
    <n v="230000"/>
    <x v="0"/>
    <d v="2022-01-31T00:00:00"/>
    <d v="2022-03-18T00:00:00"/>
    <d v="2022-04-14T00:00:00"/>
    <s v="Mectron.cz s.r.o."/>
    <m/>
    <n v="333960"/>
    <n v="404091.6"/>
    <m/>
    <m/>
    <m/>
    <d v="2022-04-19T00:00:00"/>
    <s v="SMLN-2022-617-000264_x000a_SMLN-2022-612-000049"/>
    <x v="62"/>
  </r>
  <r>
    <d v="2021-12-17T00:00:00"/>
    <s v="VZ-2022-000014"/>
    <x v="0"/>
    <s v="Dočkalová"/>
    <x v="102"/>
    <m/>
    <m/>
    <m/>
    <s v="33141310-6"/>
    <m/>
    <n v="593099"/>
    <x v="2"/>
    <d v="2022-01-05T00:00:00"/>
    <d v="2022-01-14T00:00:00"/>
    <d v="2022-01-27T00:00:00"/>
    <s v="Boston Scientific Česká republika s.r.o."/>
    <m/>
    <n v="821700"/>
    <n v="994257"/>
    <m/>
    <m/>
    <m/>
    <d v="2022-01-27T00:00:00"/>
    <s v="SMLN-2022-617-000047_x000a_SMLN-2022-614-000004"/>
    <x v="0"/>
  </r>
  <r>
    <s v="opakovaná VZ"/>
    <s v="VZ-2022-000015"/>
    <x v="6"/>
    <s v="Zdráhalová"/>
    <x v="103"/>
    <n v="1"/>
    <s v="Ochranná a zdravotnická obuv"/>
    <m/>
    <s v="18830000-6"/>
    <m/>
    <n v="5400000"/>
    <x v="0"/>
    <d v="2022-01-20T00:00:00"/>
    <d v="2022-02-24T00:00:00"/>
    <m/>
    <s v="zrušeno - dle hodnocení si zaměstnanci nechtějí změnu obuvi"/>
    <m/>
    <m/>
    <m/>
    <m/>
    <m/>
    <m/>
    <m/>
    <m/>
    <x v="4"/>
  </r>
  <r>
    <s v="opakovaná VZ"/>
    <s v="VZ-2022-000015"/>
    <x v="6"/>
    <s v="Zdráhalová"/>
    <x v="103"/>
    <n v="2"/>
    <s v="Obuv ochranná a zdravotnická typu Crocs"/>
    <m/>
    <s v="18830000-6"/>
    <m/>
    <n v="3168000"/>
    <x v="0"/>
    <d v="2022-01-20T00:00:00"/>
    <d v="2022-02-24T00:00:00"/>
    <d v="2022-05-26T00:00:00"/>
    <s v="Active Colour s.r.o."/>
    <m/>
    <n v="2808000"/>
    <n v="3397680"/>
    <m/>
    <m/>
    <m/>
    <d v="2022-05-31T00:00:00"/>
    <s v="SMLN-2022-617-000378"/>
    <x v="63"/>
  </r>
  <r>
    <d v="2021-12-20T00:00:00"/>
    <s v="VZ-2022-000017"/>
    <x v="0"/>
    <s v="Dočkalová"/>
    <x v="104"/>
    <m/>
    <m/>
    <m/>
    <s v="33140000-3"/>
    <m/>
    <n v="850613"/>
    <x v="2"/>
    <d v="2022-01-07T00:00:00"/>
    <d v="2022-01-18T00:00:00"/>
    <d v="2022-02-16T00:00:00"/>
    <s v="Medinet s.r.o."/>
    <m/>
    <n v="499770"/>
    <n v="604721.69999999995"/>
    <m/>
    <m/>
    <m/>
    <d v="2022-02-16T00:00:00"/>
    <s v="SMLN-2022-617-000107_x000a_SMLN-2022-614-000023"/>
    <x v="64"/>
  </r>
  <r>
    <d v="2022-01-05T00:00:00"/>
    <s v="VZ-2022-000019"/>
    <x v="1"/>
    <s v="Ondráčková"/>
    <x v="105"/>
    <m/>
    <m/>
    <m/>
    <s v="33652300-8"/>
    <m/>
    <n v="54535470"/>
    <x v="0"/>
    <d v="2022-01-14T00:00:00"/>
    <d v="2022-03-15T00:00:00"/>
    <m/>
    <s v="zrušeno - nutná změna specifikace"/>
    <s v="nová VZ-2022-000244"/>
    <m/>
    <m/>
    <m/>
    <m/>
    <m/>
    <m/>
    <m/>
    <x v="4"/>
  </r>
  <r>
    <d v="2022-01-05T00:00:00"/>
    <s v="VZ-2022-000020"/>
    <x v="1"/>
    <s v="Ondráčková"/>
    <x v="106"/>
    <n v="1"/>
    <s v="TRASTUZUMAB I.V."/>
    <m/>
    <s v="33652000-5"/>
    <m/>
    <n v="31242540"/>
    <x v="0"/>
    <d v="2022-06-06T00:00:00"/>
    <d v="2022-07-25T00:00:00"/>
    <d v="2022-09-12T00:00:00"/>
    <s v="PROMEDICA PRAHA GROUP, a.s."/>
    <m/>
    <n v="12838875"/>
    <n v="14122762.5"/>
    <m/>
    <m/>
    <m/>
    <d v="2022-09-12T00:00:00"/>
    <s v="SMLN-2022-617-000628"/>
    <x v="65"/>
  </r>
  <r>
    <d v="2022-01-05T00:00:00"/>
    <s v="VZ-2022-000020"/>
    <x v="1"/>
    <s v="Ondráčková"/>
    <x v="106"/>
    <n v="2"/>
    <s v="TRASTUZUMAB S.C."/>
    <m/>
    <s v="33652000-5"/>
    <m/>
    <n v="57904517"/>
    <x v="0"/>
    <d v="2022-06-06T00:00:00"/>
    <d v="2022-07-25T00:00:00"/>
    <d v="2022-09-12T00:00:00"/>
    <s v="ROCHE s.r.o."/>
    <m/>
    <n v="57673946.399999999"/>
    <n v="63441341.039999999"/>
    <m/>
    <m/>
    <m/>
    <d v="2022-09-12T00:00:00"/>
    <s v="SMLN-2022-617-000629"/>
    <x v="66"/>
  </r>
  <r>
    <d v="2022-01-05T00:00:00"/>
    <s v="VZ-2022-000021"/>
    <x v="1"/>
    <s v="Ondráčková"/>
    <x v="107"/>
    <n v="1"/>
    <s v="MACITENTAN"/>
    <m/>
    <s v="33622200-8"/>
    <m/>
    <n v="2616255"/>
    <x v="1"/>
    <d v="2022-01-13T00:00:00"/>
    <d v="2022-02-03T00:00:00"/>
    <d v="2022-02-15T00:00:00"/>
    <s v="Janssen-Cilag s.r.o."/>
    <m/>
    <n v="2616255"/>
    <n v="2877880.5"/>
    <m/>
    <m/>
    <m/>
    <d v="2022-02-15T00:00:00"/>
    <s v="SMLN-2022-617-000102"/>
    <x v="51"/>
  </r>
  <r>
    <d v="2022-01-04T00:00:00"/>
    <s v="VZ-2022-000022"/>
    <x v="0"/>
    <s v="Dočkalová"/>
    <x v="108"/>
    <n v="1"/>
    <s v="Doplnění a obnova instrumentária pro endoskopickou operativu dětí pro Urologickou kliniku "/>
    <m/>
    <s v="33162200-5"/>
    <m/>
    <n v="650000"/>
    <x v="0"/>
    <d v="2022-01-18T00:00:00"/>
    <d v="2022-02-21T00:00:00"/>
    <d v="2022-02-28T00:00:00"/>
    <s v="Hoyer Praha s.r.o."/>
    <m/>
    <n v="650713.12"/>
    <n v="787362.88"/>
    <m/>
    <m/>
    <m/>
    <d v="2022-02-28T00:00:00"/>
    <s v="SMLN-2022-617-000129"/>
    <x v="50"/>
  </r>
  <r>
    <d v="2022-01-04T00:00:00"/>
    <s v="VZ-2022-000022"/>
    <x v="0"/>
    <s v="Dočkalová"/>
    <x v="108"/>
    <n v="2"/>
    <s v="Nástroje endoskopické včetně příslušenství pro UROLOGICKOU KLINIKU "/>
    <m/>
    <s v="33162200-5"/>
    <m/>
    <n v="2479338"/>
    <x v="0"/>
    <d v="2022-01-18T00:00:00"/>
    <d v="2022-02-21T00:00:00"/>
    <d v="2022-03-24T00:00:00"/>
    <s v="Olympus Czech Group, s.r.o., člen koncernu"/>
    <m/>
    <n v="2472241"/>
    <n v="2991411.61"/>
    <m/>
    <m/>
    <m/>
    <d v="2022-03-24T00:00:00"/>
    <s v="SMLN-2022-617-000193"/>
    <x v="67"/>
  </r>
  <r>
    <d v="2021-12-16T00:00:00"/>
    <s v="VZ-2022-000025"/>
    <x v="4"/>
    <s v="Olejníček"/>
    <x v="109"/>
    <m/>
    <m/>
    <m/>
    <s v="33190000-8"/>
    <s v="2.3.548."/>
    <n v="70000"/>
    <x v="2"/>
    <d v="2022-01-11T00:00:00"/>
    <d v="2022-01-27T00:00:00"/>
    <d v="2022-02-11T00:00:00"/>
    <s v="SCHAFFEROVÁ spol. s r.o."/>
    <m/>
    <n v="55202.48"/>
    <n v="66795"/>
    <m/>
    <m/>
    <m/>
    <d v="2022-02-11T00:00:00"/>
    <s v="SMLN-2022-617-000095_x000a_SMLN-2022-612-000017"/>
    <x v="14"/>
  </r>
  <r>
    <d v="2021-11-11T00:00:00"/>
    <s v="VZ-2022-000028"/>
    <x v="5"/>
    <s v="Srovnal"/>
    <x v="110"/>
    <m/>
    <m/>
    <m/>
    <s v="32360000-4"/>
    <m/>
    <n v="1950000"/>
    <x v="2"/>
    <d v="2022-01-11T00:00:00"/>
    <d v="2022-01-20T00:00:00"/>
    <d v="2022-01-26T00:00:00"/>
    <s v="CODACO ELECTRONIC s.r.o."/>
    <m/>
    <n v="1930240.41"/>
    <n v="2335590.9"/>
    <m/>
    <m/>
    <m/>
    <d v="2022-01-26T00:00:00"/>
    <s v="SMLN-2022-617-000046"/>
    <x v="37"/>
  </r>
  <r>
    <d v="2021-12-21T00:00:00"/>
    <s v="VZ-2022-000029"/>
    <x v="10"/>
    <s v="Olejníček"/>
    <x v="111"/>
    <m/>
    <m/>
    <m/>
    <s v="33111620-3"/>
    <m/>
    <n v="2293200"/>
    <x v="0"/>
    <d v="2022-01-21T00:00:00"/>
    <d v="2022-02-24T00:00:00"/>
    <d v="2022-03-21T00:00:00"/>
    <s v="MEDKONSULT, s.r.o."/>
    <m/>
    <n v="2289300"/>
    <n v="2770053"/>
    <m/>
    <m/>
    <m/>
    <d v="2022-03-22T00:00:00"/>
    <s v="SMLN-2022-617-000190_x000a_SMLN-2022-612-000028"/>
    <x v="68"/>
  </r>
  <r>
    <d v="2021-12-27T00:00:00"/>
    <s v="VZ-2022-000033"/>
    <x v="4"/>
    <s v="Olejníček"/>
    <x v="112"/>
    <m/>
    <m/>
    <m/>
    <s v="33195100-4"/>
    <s v="2.2.436."/>
    <n v="180000"/>
    <x v="2"/>
    <d v="2022-01-13T00:00:00"/>
    <d v="2022-02-11T00:00:00"/>
    <m/>
    <s v="zrušeno - bez nabídky"/>
    <m/>
    <m/>
    <m/>
    <m/>
    <m/>
    <m/>
    <m/>
    <m/>
    <x v="4"/>
  </r>
  <r>
    <d v="2022-01-11T00:00:00"/>
    <s v="VZ-2022-000034"/>
    <x v="9"/>
    <s v="Miklík"/>
    <x v="113"/>
    <m/>
    <m/>
    <m/>
    <s v="72611000-6"/>
    <m/>
    <n v="1480000"/>
    <x v="2"/>
    <d v="2022-01-13T00:00:00"/>
    <d v="2022-01-19T00:00:00"/>
    <d v="2022-01-20T00:00:00"/>
    <s v="MERIT GROUP a.s."/>
    <m/>
    <n v="1435672"/>
    <n v="1737163.12"/>
    <m/>
    <m/>
    <m/>
    <d v="2022-01-20T00:00:00"/>
    <s v="SMLN-2022-612-000008"/>
    <x v="54"/>
  </r>
  <r>
    <d v="2022-01-11T00:00:00"/>
    <s v="VZ-2022-000035"/>
    <x v="0"/>
    <s v="Dočkalová"/>
    <x v="114"/>
    <m/>
    <m/>
    <m/>
    <s v="33140000-3"/>
    <m/>
    <n v="924000"/>
    <x v="2"/>
    <d v="2022-01-27T00:00:00"/>
    <d v="2022-02-04T00:00:00"/>
    <d v="2022-02-10T00:00:00"/>
    <s v="MEDISTA spol. s r.o."/>
    <m/>
    <n v="1117200"/>
    <n v="1351812"/>
    <m/>
    <m/>
    <m/>
    <d v="2022-02-10T00:00:00"/>
    <s v="SMLN-2022-617-000087"/>
    <x v="69"/>
  </r>
  <r>
    <d v="2022-01-11T00:00:00"/>
    <s v="VZ-2022-000037"/>
    <x v="0"/>
    <s v="Dočkalová"/>
    <x v="115"/>
    <m/>
    <m/>
    <m/>
    <s v="33140000-3"/>
    <m/>
    <n v="1050000"/>
    <x v="2"/>
    <d v="2022-01-13T00:00:00"/>
    <d v="2022-01-21T00:00:00"/>
    <d v="2022-01-27T00:00:00"/>
    <s v="Medtronic Czechia s.r.o."/>
    <m/>
    <n v="1050000"/>
    <n v="1270500"/>
    <m/>
    <m/>
    <m/>
    <d v="2022-01-27T00:00:00"/>
    <s v="SMLN-2022-617-000049"/>
    <x v="37"/>
  </r>
  <r>
    <d v="2022-01-11T00:00:00"/>
    <s v="VZ-2022-000038"/>
    <x v="3"/>
    <s v="Olejníček"/>
    <x v="116"/>
    <m/>
    <m/>
    <m/>
    <s v="38000000-5"/>
    <s v="2.2.421."/>
    <n v="1181361"/>
    <x v="0"/>
    <d v="2022-02-04T00:00:00"/>
    <d v="2022-03-10T00:00:00"/>
    <d v="2022-04-13T00:00:00"/>
    <s v="HPST, s.r.o."/>
    <m/>
    <n v="815841.79"/>
    <n v="987168.57"/>
    <m/>
    <m/>
    <m/>
    <d v="2022-04-19T00:00:00"/>
    <s v="SMLN-2022-617-000235_x000a_SMLN-2022-612-000040"/>
    <x v="70"/>
  </r>
  <r>
    <d v="2022-01-11T00:00:00"/>
    <s v="VZ-2022-000039"/>
    <x v="4"/>
    <s v="Olejníček"/>
    <x v="117"/>
    <m/>
    <m/>
    <m/>
    <s v="33124110-9"/>
    <s v="2.3.544."/>
    <n v="460000"/>
    <x v="2"/>
    <d v="2022-01-13T00:00:00"/>
    <d v="2022-01-24T00:00:00"/>
    <d v="2022-01-27T00:00:00"/>
    <s v="DEYMED Diagnostic s.r.o."/>
    <m/>
    <n v="232260"/>
    <n v="281034.59999999998"/>
    <m/>
    <m/>
    <m/>
    <d v="2022-01-27T00:00:00"/>
    <s v="SMLN-2022-617-000048_x000a_SMLN-2022-612-000014"/>
    <x v="46"/>
  </r>
  <r>
    <d v="2021-12-22T00:00:00"/>
    <s v="VZ-2022-000044"/>
    <x v="4"/>
    <s v="Olejníček"/>
    <x v="118"/>
    <n v="1"/>
    <s v="Transportní ventilátor"/>
    <m/>
    <s v="33157400-9"/>
    <s v="2.3.646."/>
    <n v="775868"/>
    <x v="0"/>
    <d v="2022-01-21T00:00:00"/>
    <d v="2022-03-29T00:00:00"/>
    <d v="2022-05-03T00:00:00"/>
    <s v="Dräger Medical, s.r.o."/>
    <m/>
    <n v="771180"/>
    <n v="933127.8"/>
    <m/>
    <m/>
    <m/>
    <d v="2022-05-04T00:00:00"/>
    <s v="SMLN-2022-617-000314_x000a_SMLN-2022-612-000069"/>
    <x v="71"/>
  </r>
  <r>
    <d v="2021-12-22T00:00:00"/>
    <s v="VZ-2022-000044"/>
    <x v="4"/>
    <s v="Olejníček"/>
    <x v="118"/>
    <n v="2"/>
    <s v="Ventilátor plicní pro invazivní a neinvazivní ventilační podporu"/>
    <m/>
    <s v="33157400-9"/>
    <s v="2.3.556."/>
    <n v="1560000"/>
    <x v="0"/>
    <d v="2022-01-21T00:00:00"/>
    <d v="2022-03-29T00:00:00"/>
    <d v="2022-05-03T00:00:00"/>
    <s v="A.M.I. - Analytical Medical Instruments, s.r.o."/>
    <m/>
    <n v="1639600"/>
    <n v="1983916"/>
    <m/>
    <m/>
    <m/>
    <d v="2022-05-04T00:00:00"/>
    <s v="SMLN-2022-617-000315_x000a_SMLN-2022-612-000070"/>
    <x v="72"/>
  </r>
  <r>
    <d v="2021-12-22T00:00:00"/>
    <s v="VZ-2022-000044"/>
    <x v="4"/>
    <s v="Olejníček"/>
    <x v="118"/>
    <n v="3"/>
    <s v="Příslušenství ke stávajícímu ventilátoru"/>
    <m/>
    <s v="33157400-9"/>
    <m/>
    <n v="180000"/>
    <x v="0"/>
    <d v="2022-01-21T00:00:00"/>
    <d v="2022-03-29T00:00:00"/>
    <d v="2022-05-03T00:00:00"/>
    <s v="A.M.I. - Analytical Medical Instruments, s.r.o."/>
    <m/>
    <n v="177700"/>
    <n v="215017"/>
    <m/>
    <m/>
    <m/>
    <d v="2022-05-04T00:00:00"/>
    <s v="SMLN-2022-617-000316_x000a_SMLN-2022-612-000071"/>
    <x v="72"/>
  </r>
  <r>
    <d v="2022-01-12T00:00:00"/>
    <s v="VZ-2022-000045"/>
    <x v="0"/>
    <s v="Valtová"/>
    <x v="119"/>
    <n v="1"/>
    <s v="Kardioplegický set pro krevní kardioplegii 4:1 s výměníkem tepla"/>
    <m/>
    <s v="33140000-3"/>
    <m/>
    <n v="1468350"/>
    <x v="2"/>
    <d v="2022-01-18T00:00:00"/>
    <d v="2022-01-27T00:00:00"/>
    <d v="2022-02-03T00:00:00"/>
    <s v="Medtronic Czechia s.r.o."/>
    <m/>
    <n v="1468350"/>
    <n v="1776708"/>
    <m/>
    <m/>
    <m/>
    <d v="2022-02-03T00:00:00"/>
    <s v="SMLN-2022-617-000067_x000a_SMLN-2022-614-000008"/>
    <x v="15"/>
  </r>
  <r>
    <d v="2022-01-12T00:00:00"/>
    <s v="VZ-2022-000045"/>
    <x v="0"/>
    <s v="Valtová"/>
    <x v="119"/>
    <n v="2"/>
    <s v="Kardioplegický set pro krevní kardioplegii 4:1 se spirálou do ledové tříště"/>
    <m/>
    <s v="33140000-3"/>
    <m/>
    <n v="400000"/>
    <x v="2"/>
    <d v="2022-01-18T00:00:00"/>
    <d v="2022-01-27T00:00:00"/>
    <d v="2022-02-03T00:00:00"/>
    <s v="ALINEX-Kácovská, s.r.o."/>
    <m/>
    <n v="400000"/>
    <n v="484000"/>
    <m/>
    <m/>
    <m/>
    <d v="2022-02-03T00:00:00"/>
    <s v="SMLN-2022-617-000068_x000a_SMLN-2022-614-000009"/>
    <x v="0"/>
  </r>
  <r>
    <d v="2022-01-12T00:00:00"/>
    <s v="VZ-2022-000048"/>
    <x v="4"/>
    <s v="Olejníček"/>
    <x v="120"/>
    <m/>
    <m/>
    <m/>
    <s v="33186200-9"/>
    <s v="2.3.605., 2.3.647."/>
    <n v="421000"/>
    <x v="2"/>
    <d v="2022-01-17T00:00:00"/>
    <d v="2022-01-25T00:00:00"/>
    <m/>
    <s v="zrušeno - bez nabídky"/>
    <s v="nová VZ-2022-000357"/>
    <m/>
    <m/>
    <m/>
    <m/>
    <m/>
    <m/>
    <m/>
    <x v="4"/>
  </r>
  <r>
    <d v="2022-01-11T00:00:00"/>
    <s v="VZ-2022-000050"/>
    <x v="0"/>
    <s v="Dočkalová"/>
    <x v="121"/>
    <n v="1"/>
    <s v="Materiál spotřební k anesteziologickým přístrojům výrobce GE Healthcare"/>
    <m/>
    <s v="33140000-3"/>
    <m/>
    <n v="2498000"/>
    <x v="0"/>
    <d v="2022-01-20T00:00:00"/>
    <d v="2022-02-21T00:00:00"/>
    <d v="2022-03-15T00:00:00"/>
    <s v="medisap, s.r.o."/>
    <m/>
    <n v="1456720"/>
    <n v="1762631.2"/>
    <m/>
    <m/>
    <m/>
    <d v="2022-03-15T00:00:00"/>
    <s v="SMLN-2022-617-000169"/>
    <x v="73"/>
  </r>
  <r>
    <d v="2022-01-11T00:00:00"/>
    <s v="VZ-2022-000050"/>
    <x v="0"/>
    <s v="Dočkalová"/>
    <x v="121"/>
    <n v="2"/>
    <s v="Materiál spotřební k anesteziologickým přístrojům výrobce Dräger Medical33140000-3"/>
    <m/>
    <m/>
    <m/>
    <n v="1392000"/>
    <x v="0"/>
    <d v="2022-01-20T00:00:00"/>
    <d v="2022-02-21T00:00:00"/>
    <d v="2022-03-15T00:00:00"/>
    <s v="Dräger Medical, s.r.o."/>
    <m/>
    <n v="1230000"/>
    <n v="1488300"/>
    <m/>
    <m/>
    <m/>
    <d v="2022-03-15T00:00:00"/>
    <s v="SMLN-2022-617-000170"/>
    <x v="53"/>
  </r>
  <r>
    <d v="2022-01-12T00:00:00"/>
    <s v="VZ-2022-000051"/>
    <x v="6"/>
    <s v="Zdráhalová"/>
    <x v="122"/>
    <m/>
    <m/>
    <m/>
    <s v="18142000-6"/>
    <m/>
    <n v="1020000"/>
    <x v="2"/>
    <d v="2022-01-18T00:00:00"/>
    <d v="2022-01-28T00:00:00"/>
    <d v="2022-02-08T00:00:00"/>
    <s v="VEVA GENERAL s.r.o."/>
    <m/>
    <n v="940000"/>
    <n v="1137400"/>
    <m/>
    <m/>
    <m/>
    <d v="2022-02-08T00:00:00"/>
    <s v="SMLN-2022-617-000084"/>
    <x v="46"/>
  </r>
  <r>
    <d v="2022-01-14T00:00:00"/>
    <s v="VZ-2022-000054"/>
    <x v="9"/>
    <s v="Miklík"/>
    <x v="123"/>
    <m/>
    <m/>
    <m/>
    <s v="72611000-6"/>
    <m/>
    <n v="1350000"/>
    <x v="2"/>
    <d v="2022-01-18T00:00:00"/>
    <d v="2022-01-28T00:00:00"/>
    <d v="2022-01-31T00:00:00"/>
    <s v="MERIT GROUP a.s."/>
    <m/>
    <n v="1334686"/>
    <n v="1614970.06"/>
    <m/>
    <m/>
    <m/>
    <d v="2022-01-31T00:00:00"/>
    <s v="SMLN-2022-612-000015"/>
    <x v="74"/>
  </r>
  <r>
    <d v="2022-01-17T00:00:00"/>
    <s v="VZ-2022-000057"/>
    <x v="0"/>
    <s v="Dočkalová"/>
    <x v="124"/>
    <m/>
    <m/>
    <m/>
    <s v="33140000-3"/>
    <m/>
    <n v="888000"/>
    <x v="2"/>
    <d v="2022-01-24T00:00:00"/>
    <d v="2022-02-04T00:00:00"/>
    <d v="2022-03-01T00:00:00"/>
    <s v="ASCO-MED, spol. s r.o."/>
    <m/>
    <n v="754000"/>
    <n v="912340"/>
    <m/>
    <m/>
    <m/>
    <d v="2022-03-01T00:00:00"/>
    <s v="SMLN-2022-617-000134"/>
    <x v="39"/>
  </r>
  <r>
    <d v="2022-01-17T00:00:00"/>
    <s v="VZ-2022-000059"/>
    <x v="0"/>
    <s v="Valtová"/>
    <x v="125"/>
    <m/>
    <m/>
    <m/>
    <s v="33140000-3"/>
    <m/>
    <n v="13758670"/>
    <x v="0"/>
    <d v="2022-02-01T00:00:00"/>
    <d v="2022-03-07T00:00:00"/>
    <m/>
    <s v="zrušeno - bez hodnotitelné nabídky"/>
    <s v="nová VZ-2022-000286"/>
    <m/>
    <m/>
    <m/>
    <m/>
    <m/>
    <m/>
    <m/>
    <x v="4"/>
  </r>
  <r>
    <d v="2022-01-18T00:00:00"/>
    <s v="VZ-2022-000061"/>
    <x v="9"/>
    <s v="Oravec"/>
    <x v="126"/>
    <m/>
    <m/>
    <m/>
    <s v="64214200-1"/>
    <m/>
    <n v="2160000"/>
    <x v="1"/>
    <d v="2022-01-28T00:00:00"/>
    <d v="2022-02-16T00:00:00"/>
    <d v="2022-03-07T00:00:00"/>
    <s v="ERISERV, spol. s r.o."/>
    <m/>
    <n v="2184000"/>
    <n v="2642640"/>
    <m/>
    <m/>
    <m/>
    <d v="2022-03-07T00:00:00"/>
    <s v="SMLN-2022-612-000026"/>
    <x v="75"/>
  </r>
  <r>
    <d v="2022-01-14T00:00:00"/>
    <s v="VZ-2022-000062"/>
    <x v="3"/>
    <s v="Olejníček"/>
    <x v="127"/>
    <m/>
    <m/>
    <m/>
    <s v="38000000-5"/>
    <s v="2.2.420."/>
    <n v="1874500"/>
    <x v="0"/>
    <d v="2022-02-04T00:00:00"/>
    <d v="2022-03-11T00:00:00"/>
    <d v="2022-04-19T00:00:00"/>
    <s v="ROCHE s.r.o."/>
    <m/>
    <n v="3201054"/>
    <n v="3873275.34"/>
    <m/>
    <m/>
    <m/>
    <d v="2022-04-19T00:00:00"/>
    <s v="SMLN-2022-617-000261_x000a_SMLN-2022-612-000047_x000a_SMLN-2022-617-000262"/>
    <x v="76"/>
  </r>
  <r>
    <d v="2022-01-18T00:00:00"/>
    <s v="VZ-2022-000063"/>
    <x v="0"/>
    <s v="Valtová"/>
    <x v="128"/>
    <m/>
    <m/>
    <m/>
    <s v="33140000-3"/>
    <m/>
    <n v="867600"/>
    <x v="2"/>
    <d v="2022-01-24T00:00:00"/>
    <d v="2022-02-03T00:00:00"/>
    <d v="2022-02-14T00:00:00"/>
    <s v="MEDIAL spol. s r.o."/>
    <m/>
    <n v="867780"/>
    <n v="1050013.8"/>
    <m/>
    <m/>
    <m/>
    <d v="2022-02-14T00:00:00"/>
    <s v="SMLN-2022-617-000101_x000a_SMLN-2022-614-000022"/>
    <x v="34"/>
  </r>
  <r>
    <d v="2022-01-19T00:00:00"/>
    <s v="VZ-2022-000066"/>
    <x v="1"/>
    <s v="Ondráčková"/>
    <x v="129"/>
    <n v="1"/>
    <s v="LEVODOPA A INHIBITOR DEKARBOXYLASY"/>
    <m/>
    <s v="33661400-5"/>
    <m/>
    <n v="22413203"/>
    <x v="0"/>
    <d v="2022-01-21T00:00:00"/>
    <d v="2022-02-25T00:00:00"/>
    <d v="2022-03-16T00:00:00"/>
    <s v="PHOENIX lék.velkoobchod, s.r.o."/>
    <m/>
    <n v="22413173.829999998"/>
    <n v="24654491.210000001"/>
    <m/>
    <m/>
    <m/>
    <d v="2022-03-16T00:00:00"/>
    <s v="SMLN-2022-617-000171"/>
    <x v="53"/>
  </r>
  <r>
    <d v="2022-01-19T00:00:00"/>
    <s v="VZ-2022-000066"/>
    <x v="1"/>
    <s v="Ondráčková"/>
    <x v="129"/>
    <n v="2"/>
    <s v="ISICOM"/>
    <m/>
    <s v="33661400-5"/>
    <m/>
    <n v="1248946"/>
    <x v="0"/>
    <d v="2022-01-21T00:00:00"/>
    <d v="2022-02-25T00:00:00"/>
    <d v="2022-03-16T00:00:00"/>
    <s v="Alliance Healthcare s.r.o."/>
    <m/>
    <n v="1241191.8"/>
    <n v="1365310.98"/>
    <m/>
    <m/>
    <m/>
    <d v="2022-03-16T00:00:00"/>
    <s v="SMLN-2022-617-000172"/>
    <x v="47"/>
  </r>
  <r>
    <d v="2022-01-19T00:00:00"/>
    <s v="VZ-2022-000066"/>
    <x v="1"/>
    <s v="Ondráčková"/>
    <x v="129"/>
    <n v="3"/>
    <s v="NAKOM"/>
    <m/>
    <s v="33661400-5"/>
    <m/>
    <n v="621180"/>
    <x v="0"/>
    <d v="2022-01-21T00:00:00"/>
    <d v="2022-02-25T00:00:00"/>
    <d v="2022-03-16T00:00:00"/>
    <s v="Alliance Healthcare s.r.o."/>
    <m/>
    <n v="588714.30000000005"/>
    <n v="647585.73"/>
    <m/>
    <m/>
    <m/>
    <d v="2022-03-16T00:00:00"/>
    <s v="SMLN-2022-617-000173"/>
    <x v="47"/>
  </r>
  <r>
    <d v="2022-01-19T00:00:00"/>
    <s v="VZ-2022-000069"/>
    <x v="12"/>
    <s v="Kadlec "/>
    <x v="130"/>
    <m/>
    <m/>
    <m/>
    <s v="45430000-7"/>
    <m/>
    <n v="900000"/>
    <x v="2"/>
    <d v="2022-01-21T00:00:00"/>
    <d v="2022-02-03T00:00:00"/>
    <d v="2022-02-10T00:00:00"/>
    <s v="Stavona Olomouc s.r.o."/>
    <m/>
    <n v="721814.42"/>
    <n v="873395.45"/>
    <m/>
    <m/>
    <m/>
    <d v="2022-02-10T00:00:00"/>
    <s v="SMLN-2022-618-000011"/>
    <x v="40"/>
  </r>
  <r>
    <d v="2022-01-14T00:00:00"/>
    <s v="VZ-2022-000070"/>
    <x v="3"/>
    <s v="Olejníček"/>
    <x v="131"/>
    <m/>
    <m/>
    <m/>
    <s v="38000000-5"/>
    <s v="2.3.579; 2.3.581"/>
    <n v="26960656"/>
    <x v="0"/>
    <d v="2022-02-28T00:00:00"/>
    <d v="2022-04-12T00:00:00"/>
    <d v="2022-05-18T00:00:00"/>
    <s v="MEDESA s.r.o."/>
    <m/>
    <n v="26947768"/>
    <n v="32606799.280000001"/>
    <m/>
    <m/>
    <m/>
    <d v="2022-05-18T00:00:00"/>
    <s v="SMLN-2022-617-000365_x000a_SMLN-2022-612-000087_x000a_SMLN-2022-617-000366"/>
    <x v="77"/>
  </r>
  <r>
    <s v="opakovaná VZ"/>
    <s v="VZ-2022-000071"/>
    <x v="0"/>
    <s v="Valtová"/>
    <x v="132"/>
    <n v="1"/>
    <s v="Stenty biliární samoexpandibilní metalické pletené pro drenáž žlučových cest"/>
    <m/>
    <s v="33140000-3"/>
    <m/>
    <n v="5441800"/>
    <x v="0"/>
    <d v="2022-02-17T00:00:00"/>
    <d v="2022-03-23T00:00:00"/>
    <d v="2022-04-05T00:00:00"/>
    <s v="Boston Scientific Česká republika s.r.o."/>
    <m/>
    <n v="4965000"/>
    <n v="5709750"/>
    <m/>
    <m/>
    <m/>
    <d v="2022-04-05T00:00:00"/>
    <s v="SMLN-2022-617-000208_x000a_SMLN-2022-614-000035"/>
    <x v="78"/>
  </r>
  <r>
    <s v="opakovaná VZ"/>
    <s v="VZ-2022-000071"/>
    <x v="0"/>
    <s v="Valtová"/>
    <x v="132"/>
    <n v="2"/>
    <s v="Stenty biliární samoexpandibilní metalické k léčbě obstrukce žlučovodů I."/>
    <m/>
    <s v="33140000-3"/>
    <m/>
    <n v="1436240"/>
    <x v="0"/>
    <d v="2022-02-17T00:00:00"/>
    <d v="2022-03-23T00:00:00"/>
    <d v="2022-04-05T00:00:00"/>
    <s v="INLAB s.r.o."/>
    <m/>
    <n v="1419617.39"/>
    <n v="1632560"/>
    <m/>
    <m/>
    <m/>
    <d v="2022-04-05T00:00:00"/>
    <s v="SMLN-2022-617-000209_x000a_SMLN-2022-614-000036"/>
    <x v="60"/>
  </r>
  <r>
    <s v="opakovaná VZ"/>
    <s v="VZ-2022-000071"/>
    <x v="0"/>
    <s v="Valtová"/>
    <x v="132"/>
    <n v="3"/>
    <s v="Stenty biliární samoexpandibilní metalické k léčbě obstrukce žlučovodů II."/>
    <m/>
    <s v="33140000-3"/>
    <m/>
    <n v="538590"/>
    <x v="0"/>
    <d v="2022-02-17T00:00:00"/>
    <d v="2022-03-23T00:00:00"/>
    <d v="2022-04-05T00:00:00"/>
    <s v="INLAB s.r.o."/>
    <m/>
    <n v="476139.13"/>
    <n v="547560"/>
    <m/>
    <m/>
    <m/>
    <d v="2022-04-05T00:00:00"/>
    <s v="SMLN-2022-617-000210_x000a_SMLN-2022-614-000037"/>
    <x v="60"/>
  </r>
  <r>
    <d v="2022-01-18T00:00:00"/>
    <s v="VZ-2022-000077"/>
    <x v="0"/>
    <s v="Dočkalová"/>
    <x v="133"/>
    <m/>
    <m/>
    <m/>
    <s v="33140000-3"/>
    <m/>
    <n v="800640"/>
    <x v="2"/>
    <d v="2022-01-24T00:00:00"/>
    <d v="2022-02-14T00:00:00"/>
    <d v="2022-02-23T00:00:00"/>
    <s v="A.M.I. - Analytical Medical Instruments, s.r.o."/>
    <m/>
    <n v="890758.8"/>
    <n v="1077818"/>
    <m/>
    <m/>
    <m/>
    <d v="2022-02-23T00:00:00"/>
    <s v="SMLN-2022-617-000127"/>
    <x v="51"/>
  </r>
  <r>
    <d v="2022-01-20T00:00:00"/>
    <s v="VZ-2022-000082"/>
    <x v="9"/>
    <s v="Oravec"/>
    <x v="134"/>
    <m/>
    <m/>
    <m/>
    <s v="30213300-8"/>
    <m/>
    <n v="8100000"/>
    <x v="0"/>
    <d v="2022-01-27T00:00:00"/>
    <d v="2022-03-10T00:00:00"/>
    <d v="2022-04-07T00:00:00"/>
    <s v="TOPSOFT JKM spol. s r.o."/>
    <m/>
    <n v="7443552"/>
    <n v="9006697.9199999999"/>
    <m/>
    <m/>
    <m/>
    <d v="2022-04-07T00:00:00"/>
    <s v="SMLN-2022-617-000223"/>
    <x v="79"/>
  </r>
  <r>
    <d v="2022-01-18T00:00:00"/>
    <s v="VZ-2022-000086"/>
    <x v="3"/>
    <s v="Olejníček"/>
    <x v="135"/>
    <m/>
    <m/>
    <m/>
    <s v="38000000-5"/>
    <s v="2.2.416."/>
    <n v="704000"/>
    <x v="0"/>
    <d v="2022-02-14T00:00:00"/>
    <d v="2022-03-23T00:00:00"/>
    <d v="2022-04-11T00:00:00"/>
    <s v="ALOGO, s.r.o."/>
    <m/>
    <n v="721500"/>
    <n v="873015"/>
    <m/>
    <m/>
    <m/>
    <d v="2022-04-12T00:00:00"/>
    <s v="SMLN-2022-617-000236_x000a_SMLN-2022-612-000041"/>
    <x v="78"/>
  </r>
  <r>
    <s v="opakovaná VZ"/>
    <s v="VZ-2022-000087"/>
    <x v="4"/>
    <s v="Olejníček"/>
    <x v="136"/>
    <m/>
    <m/>
    <m/>
    <s v="33162100-4"/>
    <s v="2.2.348."/>
    <n v="1040500"/>
    <x v="2"/>
    <d v="2022-01-26T00:00:00"/>
    <d v="2022-02-03T00:00:00"/>
    <d v="2022-02-14T00:00:00"/>
    <s v="Surgipa Medical, spol. s r.o."/>
    <m/>
    <n v="1010012.93"/>
    <n v="1222115.67"/>
    <m/>
    <m/>
    <m/>
    <d v="2022-02-14T00:00:00"/>
    <s v="SMLN-2022-617-000096_x000a_SMLN-2022-612-000018_x000a_SMLN-2022-617-000097"/>
    <x v="16"/>
  </r>
  <r>
    <d v="2022-01-20T00:00:00"/>
    <s v="VZ-2022-000094"/>
    <x v="1"/>
    <s v="Ondráčková"/>
    <x v="137"/>
    <n v="1"/>
    <s v="CELLCEPT"/>
    <m/>
    <s v="33652300-7"/>
    <m/>
    <n v="1921804"/>
    <x v="0"/>
    <d v="2022-01-27T00:00:00"/>
    <d v="2022-03-31T00:00:00"/>
    <d v="2022-05-11T00:00:00"/>
    <s v="Alliance Healthcare s.r.o."/>
    <m/>
    <n v="1814616.93"/>
    <n v="1996078.62"/>
    <m/>
    <m/>
    <m/>
    <d v="2022-05-11T00:00:00"/>
    <s v="SMLN-2022-617-000339"/>
    <x v="6"/>
  </r>
  <r>
    <d v="2022-01-20T00:00:00"/>
    <s v="VZ-2022-000094"/>
    <x v="1"/>
    <s v="Ondráčková"/>
    <x v="137"/>
    <n v="2"/>
    <s v="MYCOPHENOLAT MOFETIL SANDOZ"/>
    <m/>
    <s v="33652300-7"/>
    <m/>
    <n v="6520862"/>
    <x v="0"/>
    <d v="2022-01-27T00:00:00"/>
    <d v="2022-03-31T00:00:00"/>
    <d v="2022-05-11T00:00:00"/>
    <s v="PHOENIX lék.velkoobchod, s.r.o."/>
    <m/>
    <n v="4806553.32"/>
    <n v="5287208.6500000004"/>
    <m/>
    <m/>
    <m/>
    <d v="2022-05-11T00:00:00"/>
    <s v="SMLN-2022-617-000340"/>
    <x v="80"/>
  </r>
  <r>
    <d v="2022-01-20T00:00:00"/>
    <s v="VZ-2022-000094"/>
    <x v="1"/>
    <s v="Ondráčková"/>
    <x v="137"/>
    <n v="3"/>
    <s v="MYCOPHENOLIC ACID ACCORD"/>
    <m/>
    <s v="33652300-7"/>
    <m/>
    <n v="8922"/>
    <x v="0"/>
    <d v="2022-01-27T00:00:00"/>
    <d v="2022-03-31T00:00:00"/>
    <d v="2022-06-29T00:00:00"/>
    <s v="ViaPharma s.r.o."/>
    <m/>
    <n v="6772.98"/>
    <n v="7450.28"/>
    <m/>
    <m/>
    <m/>
    <d v="2022-06-29T00:00:00"/>
    <s v="SMLN-2022-617-000446"/>
    <x v="81"/>
  </r>
  <r>
    <d v="2022-01-20T00:00:00"/>
    <s v="VZ-2022-000095"/>
    <x v="1"/>
    <s v="Ondráčková"/>
    <x v="138"/>
    <n v="1"/>
    <s v="SUNITINIB I."/>
    <m/>
    <s v="33652000-5"/>
    <m/>
    <n v="9448731"/>
    <x v="0"/>
    <d v="2022-02-10T00:00:00"/>
    <d v="2022-03-17T00:00:00"/>
    <m/>
    <s v="zrušeno - sloučení do 1 části"/>
    <s v="nová VZ-2022-000426"/>
    <m/>
    <m/>
    <m/>
    <m/>
    <m/>
    <m/>
    <m/>
    <x v="4"/>
  </r>
  <r>
    <d v="2022-01-20T00:00:00"/>
    <s v="VZ-2022-000095"/>
    <x v="1"/>
    <s v="Ondráčková"/>
    <x v="138"/>
    <n v="2"/>
    <s v="SUNITINIB II."/>
    <m/>
    <s v="33652000-5"/>
    <m/>
    <n v="2456505"/>
    <x v="0"/>
    <d v="2022-02-10T00:00:00"/>
    <d v="2022-03-17T00:00:00"/>
    <m/>
    <s v="zrušeno - sloučení do 1 části"/>
    <s v="nová VZ-2022-000426"/>
    <m/>
    <m/>
    <m/>
    <m/>
    <m/>
    <m/>
    <m/>
    <x v="4"/>
  </r>
  <r>
    <d v="2022-01-20T00:00:00"/>
    <s v="VZ-2022-000095"/>
    <x v="1"/>
    <s v="Ondráčková"/>
    <x v="138"/>
    <n v="3"/>
    <s v="REGORAFENIB"/>
    <m/>
    <s v="33652000-5"/>
    <m/>
    <n v="15520350"/>
    <x v="0"/>
    <d v="2022-02-10T00:00:00"/>
    <d v="2022-03-17T00:00:00"/>
    <m/>
    <s v="zrušeno - překročení ceny"/>
    <s v="nová VZ-2022-000426"/>
    <m/>
    <m/>
    <m/>
    <m/>
    <m/>
    <m/>
    <m/>
    <x v="4"/>
  </r>
  <r>
    <d v="2022-01-20T00:00:00"/>
    <s v="VZ-2022-000095"/>
    <x v="1"/>
    <s v="Ondráčková"/>
    <x v="138"/>
    <n v="4"/>
    <s v="RIBOCIKLIB"/>
    <m/>
    <s v="33652000-5"/>
    <m/>
    <n v="41150168"/>
    <x v="0"/>
    <d v="2022-02-10T00:00:00"/>
    <d v="2022-03-17T00:00:00"/>
    <d v="2022-04-07T00:00:00"/>
    <s v="Alliance Healthcare s.r.o."/>
    <m/>
    <n v="41150167.560000002"/>
    <n v="45265184.32"/>
    <m/>
    <m/>
    <m/>
    <d v="2022-04-07T00:00:00"/>
    <s v="SMLN-2022-617-000225"/>
    <x v="60"/>
  </r>
  <r>
    <d v="2022-01-20T00:00:00"/>
    <s v="VZ-2022-000095"/>
    <x v="1"/>
    <s v="Ondráčková"/>
    <x v="138"/>
    <n v="5"/>
    <s v="IBRUTINIB"/>
    <m/>
    <s v="33652000-5"/>
    <m/>
    <n v="205485377"/>
    <x v="0"/>
    <d v="2022-02-10T00:00:00"/>
    <d v="2022-03-17T00:00:00"/>
    <d v="2022-04-07T00:00:00"/>
    <s v="Janssen-Cilag s.r.o."/>
    <m/>
    <n v="205485376.5"/>
    <n v="226033914.15000001"/>
    <m/>
    <m/>
    <m/>
    <d v="2022-04-07T00:00:00"/>
    <s v="SMLN-2022-617-000226"/>
    <x v="82"/>
  </r>
  <r>
    <d v="2022-01-20T00:00:00"/>
    <s v="VZ-2022-000095"/>
    <x v="1"/>
    <s v="Ondráčková"/>
    <x v="138"/>
    <n v="6"/>
    <s v="OSIMERTINIB"/>
    <m/>
    <s v="33652000-5"/>
    <m/>
    <n v="31486185"/>
    <x v="0"/>
    <d v="2022-02-10T00:00:00"/>
    <d v="2022-03-17T00:00:00"/>
    <d v="2022-04-07T00:00:00"/>
    <s v="PHOENIX lék.velkoobchod, s.r.o."/>
    <m/>
    <n v="31486184.52"/>
    <n v="34634802.969999999"/>
    <m/>
    <m/>
    <m/>
    <d v="2022-04-07T00:00:00"/>
    <s v="SMLN-2022-617-000227"/>
    <x v="83"/>
  </r>
  <r>
    <d v="2022-01-20T00:00:00"/>
    <s v="VZ-2022-000095"/>
    <x v="1"/>
    <s v="Ondráčková"/>
    <x v="138"/>
    <n v="7"/>
    <s v="DASATINIB"/>
    <m/>
    <s v="33652000-5"/>
    <m/>
    <n v="47284071"/>
    <x v="0"/>
    <d v="2022-02-10T00:00:00"/>
    <d v="2022-03-17T00:00:00"/>
    <d v="2022-04-07T00:00:00"/>
    <s v="PHARMOS, a.s., a.s."/>
    <m/>
    <n v="37969450.5"/>
    <n v="41766395.549999997"/>
    <m/>
    <m/>
    <m/>
    <d v="2022-04-07T00:00:00"/>
    <s v="SMLN-2022-617-000228"/>
    <x v="84"/>
  </r>
  <r>
    <d v="2022-01-20T00:00:00"/>
    <s v="VZ-2022-000096"/>
    <x v="1"/>
    <s v="Ondráčková"/>
    <x v="139"/>
    <n v="1"/>
    <s v="USTEKINUMAB"/>
    <m/>
    <s v="33652300-8"/>
    <m/>
    <n v="9541029"/>
    <x v="0"/>
    <d v="2022-02-11T00:00:00"/>
    <d v="2022-03-17T00:00:00"/>
    <d v="2022-04-25T00:00:00"/>
    <s v="Janssen-Cilag s.r.o."/>
    <m/>
    <n v="9523882.1199999992"/>
    <n v="10476270.33"/>
    <m/>
    <m/>
    <m/>
    <d v="2022-04-25T00:00:00"/>
    <s v="SMLN-2022-617-000281"/>
    <x v="3"/>
  </r>
  <r>
    <d v="2022-01-20T00:00:00"/>
    <s v="VZ-2022-000096"/>
    <x v="1"/>
    <s v="Ondráčková"/>
    <x v="139"/>
    <n v="2"/>
    <s v="TOCILIZUMAB"/>
    <m/>
    <s v="33652300-8"/>
    <m/>
    <n v="6507173"/>
    <x v="0"/>
    <d v="2022-02-11T00:00:00"/>
    <d v="2022-03-17T00:00:00"/>
    <d v="2022-04-25T00:00:00"/>
    <s v="ROCHE s.r.o."/>
    <m/>
    <n v="4917213.5999999996"/>
    <n v="5408934.96"/>
    <m/>
    <m/>
    <m/>
    <d v="2022-04-25T00:00:00"/>
    <s v="SMLN-2022-617-000282"/>
    <x v="85"/>
  </r>
  <r>
    <d v="2022-01-20T00:00:00"/>
    <s v="VZ-2022-000096"/>
    <x v="1"/>
    <s v="Ondráčková"/>
    <x v="139"/>
    <n v="3"/>
    <s v="SEKUKINUMAB"/>
    <m/>
    <s v="33652300-8"/>
    <m/>
    <n v="50133510"/>
    <x v="0"/>
    <d v="2022-02-11T00:00:00"/>
    <d v="2022-03-17T00:00:00"/>
    <d v="2022-04-25T00:00:00"/>
    <s v="Alliance Healthcare s.r.o."/>
    <m/>
    <n v="50133510"/>
    <n v="55146861"/>
    <m/>
    <m/>
    <m/>
    <d v="2022-04-25T00:00:00"/>
    <s v="SMLN-2022-617-000283"/>
    <x v="3"/>
  </r>
  <r>
    <d v="2022-01-20T00:00:00"/>
    <s v="VZ-2022-000096"/>
    <x v="1"/>
    <s v="Ondráčková"/>
    <x v="139"/>
    <n v="4"/>
    <s v="GUSELKUMAB"/>
    <m/>
    <s v="33652300-8"/>
    <m/>
    <n v="5930067"/>
    <x v="0"/>
    <d v="2022-02-11T00:00:00"/>
    <d v="2022-04-04T00:00:00"/>
    <d v="2022-04-25T00:00:00"/>
    <s v="Janssen-Cilag s.r.o."/>
    <m/>
    <n v="5929921.4400000004"/>
    <n v="6522913.5800000001"/>
    <m/>
    <m/>
    <m/>
    <d v="2022-04-25T00:00:00"/>
    <s v="SMLN-2022-617-000284"/>
    <x v="3"/>
  </r>
  <r>
    <d v="2022-01-20T00:00:00"/>
    <s v="VZ-2022-000097"/>
    <x v="0"/>
    <s v="Valtová"/>
    <x v="140"/>
    <m/>
    <m/>
    <m/>
    <s v="33140000-3"/>
    <m/>
    <n v="10268180"/>
    <x v="0"/>
    <d v="2022-01-27T00:00:00"/>
    <d v="2022-03-01T00:00:00"/>
    <d v="2022-03-25T00:00:00"/>
    <s v="CARDION s.r.o."/>
    <m/>
    <n v="10267768.59"/>
    <n v="12424000"/>
    <m/>
    <m/>
    <m/>
    <d v="2022-03-25T00:00:00"/>
    <s v="SMLN-2022-617-000197_x000a_SMLN-2022-614-000033"/>
    <x v="58"/>
  </r>
  <r>
    <d v="2022-01-25T00:00:00"/>
    <s v="VZ-2022-000098"/>
    <x v="1"/>
    <s v="Ondráčková"/>
    <x v="141"/>
    <n v="1"/>
    <s v="Imunoglobulín normální lidský"/>
    <m/>
    <s v="33651520-8"/>
    <m/>
    <n v="115345800"/>
    <x v="0"/>
    <d v="2022-03-04T00:00:00"/>
    <d v="2022-04-08T00:00:00"/>
    <d v="2022-04-29T00:00:00"/>
    <s v="Grifols s.r.o."/>
    <m/>
    <n v="115345800"/>
    <n v="126880380"/>
    <m/>
    <m/>
    <m/>
    <d v="2022-05-02T00:00:00"/>
    <s v="SMLN-2022-617-000301"/>
    <x v="72"/>
  </r>
  <r>
    <d v="2022-01-25T00:00:00"/>
    <s v="VZ-2022-000098"/>
    <x v="1"/>
    <s v="Ondráčková"/>
    <x v="141"/>
    <n v="2"/>
    <s v="APOMORFIN"/>
    <m/>
    <s v="33661400-5"/>
    <m/>
    <n v="9203094"/>
    <x v="0"/>
    <d v="2022-03-04T00:00:00"/>
    <d v="2022-04-08T00:00:00"/>
    <d v="2022-04-29T00:00:00"/>
    <s v="PHOENIX lék.velkoobchod, s.r.o."/>
    <m/>
    <n v="9121158"/>
    <n v="10033273.800000001"/>
    <m/>
    <m/>
    <m/>
    <d v="2022-05-02T00:00:00"/>
    <s v="SMLN-2022-617-000302"/>
    <x v="86"/>
  </r>
  <r>
    <d v="2022-01-25T00:00:00"/>
    <s v="VZ-2022-000098"/>
    <x v="1"/>
    <s v="Ondráčková"/>
    <x v="141"/>
    <n v="3"/>
    <s v="ROTIGOTIN"/>
    <m/>
    <s v="33661400-5"/>
    <m/>
    <n v="2992096"/>
    <x v="0"/>
    <d v="2022-03-04T00:00:00"/>
    <d v="2022-04-08T00:00:00"/>
    <d v="2022-04-29T00:00:00"/>
    <s v="PHOENIX lék.velkoobchod, s.r.o."/>
    <m/>
    <n v="2964859.44"/>
    <n v="3261345.38"/>
    <m/>
    <m/>
    <m/>
    <d v="2022-05-02T00:00:00"/>
    <s v="SMLN-2022-617-000303"/>
    <x v="86"/>
  </r>
  <r>
    <d v="2022-01-25T00:00:00"/>
    <s v="VZ-2022-000099"/>
    <x v="1"/>
    <s v="Ondráčková"/>
    <x v="142"/>
    <n v="1"/>
    <s v="VENETOKLAX"/>
    <m/>
    <s v="33652300-8"/>
    <m/>
    <n v="74890199"/>
    <x v="0"/>
    <d v="2022-01-28T00:00:00"/>
    <d v="2022-04-08T00:00:00"/>
    <d v="2022-05-04T00:00:00"/>
    <s v="AbbVie s.r.o."/>
    <m/>
    <n v="72916344.629999995"/>
    <n v="80207979.090000004"/>
    <m/>
    <m/>
    <m/>
    <d v="2022-05-04T00:00:00"/>
    <s v="SMLN-2022-617-000317"/>
    <x v="87"/>
  </r>
  <r>
    <d v="2022-01-25T00:00:00"/>
    <s v="VZ-2022-000099"/>
    <x v="1"/>
    <s v="Ondráčková"/>
    <x v="142"/>
    <n v="2"/>
    <s v="VISMODEGIB"/>
    <m/>
    <s v="33652300-8"/>
    <m/>
    <n v="10270085"/>
    <x v="0"/>
    <d v="2022-01-28T00:00:00"/>
    <d v="2022-04-08T00:00:00"/>
    <d v="2022-05-04T00:00:00"/>
    <s v="ROCHE s.r.o."/>
    <m/>
    <n v="10270084.199999999"/>
    <n v="11297092.619999999"/>
    <m/>
    <m/>
    <m/>
    <d v="2022-05-04T00:00:00"/>
    <s v="SMLN-2022-617-000318"/>
    <x v="86"/>
  </r>
  <r>
    <d v="2022-01-25T00:00:00"/>
    <s v="VZ-2022-000100"/>
    <x v="1"/>
    <s v="Ondráčková"/>
    <x v="143"/>
    <m/>
    <m/>
    <m/>
    <s v="33652000-5"/>
    <m/>
    <n v="89205210"/>
    <x v="0"/>
    <d v="2022-02-01T00:00:00"/>
    <d v="2022-04-20T00:00:00"/>
    <d v="2022-05-18T00:00:00"/>
    <s v="Teva Pharmaceuticals CR s.r.o."/>
    <m/>
    <n v="87429210.840000004"/>
    <n v="96172131.920000002"/>
    <m/>
    <m/>
    <m/>
    <d v="2022-05-18T00:00:00"/>
    <s v="SMLN-2022-617-000363"/>
    <x v="77"/>
  </r>
  <r>
    <d v="2022-01-25T00:00:00"/>
    <s v="VZ-2022-000101"/>
    <x v="1"/>
    <s v="Ondráčková"/>
    <x v="144"/>
    <n v="1"/>
    <s v="PAZOPANIB"/>
    <m/>
    <s v="33652000-5"/>
    <m/>
    <n v="11675518"/>
    <x v="0"/>
    <d v="2022-02-01T00:00:00"/>
    <d v="2022-04-04T00:00:00"/>
    <d v="2022-04-25T00:00:00"/>
    <s v="Alliance Healthcare s.r.o."/>
    <m/>
    <n v="11143974.27"/>
    <n v="12258371.699999999"/>
    <m/>
    <m/>
    <m/>
    <d v="2022-04-25T00:00:00"/>
    <s v="SMLN-2022-617-000275"/>
    <x v="3"/>
  </r>
  <r>
    <d v="2022-01-25T00:00:00"/>
    <s v="VZ-2022-000101"/>
    <x v="1"/>
    <s v="Ondráčková"/>
    <x v="144"/>
    <n v="2"/>
    <s v="EVEROLIMUS I."/>
    <m/>
    <s v="33652000-5"/>
    <m/>
    <n v="1238874"/>
    <x v="0"/>
    <d v="2022-02-01T00:00:00"/>
    <d v="2022-03-09T00:00:00"/>
    <m/>
    <s v="zrušeno - přiznaná úhrada od 5/2022, noví dodavatelé"/>
    <m/>
    <m/>
    <m/>
    <m/>
    <m/>
    <m/>
    <m/>
    <m/>
    <x v="4"/>
  </r>
  <r>
    <d v="2022-01-25T00:00:00"/>
    <s v="VZ-2022-000101"/>
    <x v="1"/>
    <s v="Ondráčková"/>
    <x v="144"/>
    <n v="3"/>
    <s v="EVEROLIMUS II."/>
    <m/>
    <s v="33652000-5"/>
    <m/>
    <n v="12593410"/>
    <x v="0"/>
    <d v="2022-02-01T00:00:00"/>
    <d v="2022-04-04T00:00:00"/>
    <d v="2022-04-25T00:00:00"/>
    <s v="Alliance Healthcare s.r.o."/>
    <m/>
    <n v="12593409.75"/>
    <n v="13852750.73"/>
    <m/>
    <m/>
    <m/>
    <d v="2022-04-25T00:00:00"/>
    <s v="SMLN-2022-617-000276"/>
    <x v="3"/>
  </r>
  <r>
    <d v="2022-01-25T00:00:00"/>
    <s v="VZ-2022-000101"/>
    <x v="1"/>
    <s v="Ondráčková"/>
    <x v="144"/>
    <n v="4"/>
    <s v="NILOTINIB"/>
    <m/>
    <s v="33652000-5"/>
    <m/>
    <n v="37525592"/>
    <x v="0"/>
    <d v="2022-02-01T00:00:00"/>
    <d v="2022-04-04T00:00:00"/>
    <d v="2022-04-25T00:00:00"/>
    <s v="Alliance Healthcare s.r.o."/>
    <m/>
    <n v="37104570.990000002"/>
    <n v="40815028.090000004"/>
    <m/>
    <m/>
    <m/>
    <d v="2022-04-25T00:00:00"/>
    <s v="SMLN-2022-617-000277"/>
    <x v="3"/>
  </r>
  <r>
    <d v="2022-01-25T00:00:00"/>
    <s v="VZ-2022-000101"/>
    <x v="1"/>
    <s v="Ondráčková"/>
    <x v="144"/>
    <n v="5"/>
    <s v="VEMURAFENIB"/>
    <m/>
    <s v="33652000-5"/>
    <m/>
    <n v="2325983"/>
    <x v="0"/>
    <d v="2022-02-01T00:00:00"/>
    <d v="2022-04-04T00:00:00"/>
    <d v="2022-04-25T00:00:00"/>
    <s v="ROCHE s.r.o."/>
    <m/>
    <n v="2325982.5"/>
    <n v="2558580.75"/>
    <m/>
    <m/>
    <m/>
    <d v="2022-04-25T00:00:00"/>
    <s v="SMLN-2022-617-000278"/>
    <x v="85"/>
  </r>
  <r>
    <d v="2022-01-25T00:00:00"/>
    <s v="VZ-2022-000101"/>
    <x v="1"/>
    <s v="Ondráčková"/>
    <x v="144"/>
    <n v="6"/>
    <s v="LAPATINIB"/>
    <m/>
    <s v="33652000-5"/>
    <m/>
    <n v="1165687"/>
    <x v="0"/>
    <d v="2022-02-01T00:00:00"/>
    <d v="2022-04-04T00:00:00"/>
    <d v="2022-04-25T00:00:00"/>
    <s v="Alliance Healthcare s.r.o."/>
    <m/>
    <n v="1165686.6000000001"/>
    <n v="1282255.26"/>
    <m/>
    <m/>
    <m/>
    <d v="2022-04-25T00:00:00"/>
    <s v="SMLN-2022-617-000279"/>
    <x v="3"/>
  </r>
  <r>
    <d v="2022-01-25T00:00:00"/>
    <s v="VZ-2022-000101"/>
    <x v="1"/>
    <s v="Ondráčková"/>
    <x v="144"/>
    <n v="7"/>
    <s v="AXITINIB"/>
    <m/>
    <s v="33652000-5"/>
    <m/>
    <n v="4753191"/>
    <x v="0"/>
    <d v="2022-02-01T00:00:00"/>
    <d v="2022-04-04T00:00:00"/>
    <d v="2022-04-25T00:00:00"/>
    <s v="PHOENIX lék.velkoobchod, s.r.o."/>
    <m/>
    <n v="3435314.46"/>
    <n v="3778845.91"/>
    <m/>
    <m/>
    <m/>
    <d v="2022-04-25T00:00:00"/>
    <s v="SMLN-2022-617-000280"/>
    <x v="86"/>
  </r>
  <r>
    <d v="2022-01-25T00:00:00"/>
    <s v="VZ-2022-000102"/>
    <x v="1"/>
    <s v="Ondráčková"/>
    <x v="145"/>
    <n v="1"/>
    <s v="OBINUTUZUMAB"/>
    <m/>
    <s v="33652000-5"/>
    <m/>
    <n v="19520763"/>
    <x v="0"/>
    <d v="2022-01-28T00:00:00"/>
    <d v="2022-04-11T00:00:00"/>
    <d v="2022-04-29T00:00:00"/>
    <s v="ROCHE s.r.o."/>
    <m/>
    <n v="15973472.4"/>
    <n v="17570819.640000001"/>
    <m/>
    <m/>
    <m/>
    <d v="2022-05-02T00:00:00"/>
    <s v="SMLN-2022-617-000304"/>
    <x v="88"/>
  </r>
  <r>
    <d v="2022-01-25T00:00:00"/>
    <s v="VZ-2022-000102"/>
    <x v="1"/>
    <s v="Ondráčková"/>
    <x v="145"/>
    <n v="2"/>
    <s v="PERTUZUMAB"/>
    <m/>
    <s v="33652000-5"/>
    <m/>
    <n v="106560000"/>
    <x v="0"/>
    <d v="2022-01-28T00:00:00"/>
    <d v="2022-04-11T00:00:00"/>
    <d v="2022-04-29T00:00:00"/>
    <s v="ROCHE s.r.o."/>
    <m/>
    <n v="66327561.600000001"/>
    <n v="72960317.760000005"/>
    <m/>
    <m/>
    <m/>
    <d v="2022-05-02T00:00:00"/>
    <s v="SMLN-2022-617-000305"/>
    <x v="88"/>
  </r>
  <r>
    <d v="2022-01-25T00:00:00"/>
    <s v="VZ-2022-000102"/>
    <x v="1"/>
    <s v="Ondráčková"/>
    <x v="145"/>
    <n v="3"/>
    <s v="TRASTUZUMAB EMTANSIN"/>
    <m/>
    <s v="33652000-5"/>
    <m/>
    <n v="35402466"/>
    <x v="0"/>
    <d v="2022-01-28T00:00:00"/>
    <d v="2022-04-11T00:00:00"/>
    <d v="2022-04-29T00:00:00"/>
    <s v="ROCHE s.r.o."/>
    <m/>
    <n v="34568473"/>
    <n v="38025320.850000001"/>
    <m/>
    <m/>
    <m/>
    <d v="2022-05-02T00:00:00"/>
    <s v="SMLN-2022-617-000306"/>
    <x v="88"/>
  </r>
  <r>
    <d v="2022-01-25T00:00:00"/>
    <s v="VZ-2022-000102"/>
    <x v="1"/>
    <s v="Ondráčková"/>
    <x v="145"/>
    <n v="4"/>
    <s v="IPILIMUMAB"/>
    <m/>
    <s v="33652000-5"/>
    <m/>
    <n v="51429393"/>
    <x v="0"/>
    <d v="2022-01-28T00:00:00"/>
    <d v="2022-04-11T00:00:00"/>
    <m/>
    <s v="zrušeno - bez nabídky"/>
    <m/>
    <m/>
    <m/>
    <m/>
    <m/>
    <m/>
    <m/>
    <m/>
    <x v="4"/>
  </r>
  <r>
    <d v="2022-01-25T00:00:00"/>
    <s v="VZ-2022-000102"/>
    <x v="1"/>
    <s v="Ondráčková"/>
    <x v="145"/>
    <n v="5"/>
    <s v="BRENTUXIMAB VEDOTIN"/>
    <m/>
    <s v="33652000-5"/>
    <m/>
    <n v="34138003"/>
    <x v="0"/>
    <d v="2022-01-28T00:00:00"/>
    <d v="2022-04-11T00:00:00"/>
    <d v="2022-04-29T00:00:00"/>
    <s v="Takeda Pharmaceuticals Czech Republic s.r.o."/>
    <m/>
    <n v="33074959.32"/>
    <n v="36382455.25"/>
    <m/>
    <m/>
    <m/>
    <d v="2022-05-02T00:00:00"/>
    <s v="SMLN-2022-617-000307"/>
    <x v="83"/>
  </r>
  <r>
    <d v="2022-01-25T00:00:00"/>
    <s v="VZ-2022-000103"/>
    <x v="1"/>
    <s v="Ondráčková"/>
    <x v="146"/>
    <n v="1"/>
    <s v="ATEZOLIZUMAB"/>
    <m/>
    <s v="33652000-5"/>
    <m/>
    <n v="29582336"/>
    <x v="0"/>
    <d v="2022-01-31T00:00:00"/>
    <d v="2022-04-08T00:00:00"/>
    <d v="2022-05-17T00:00:00"/>
    <s v="ROCHE s.r.o."/>
    <m/>
    <n v="29582335.199999999"/>
    <n v="32540568.719999999"/>
    <m/>
    <m/>
    <m/>
    <d v="2022-05-17T00:00:00"/>
    <s v="SMLN-2022-617-000355"/>
    <x v="38"/>
  </r>
  <r>
    <d v="2022-01-25T00:00:00"/>
    <s v="VZ-2022-000103"/>
    <x v="1"/>
    <s v="Ondráčková"/>
    <x v="146"/>
    <n v="2"/>
    <s v="DARATUMUMAB"/>
    <m/>
    <s v="33652000-5"/>
    <m/>
    <n v="117115400"/>
    <x v="0"/>
    <d v="2022-01-31T00:00:00"/>
    <d v="2022-04-08T00:00:00"/>
    <d v="2022-05-17T00:00:00"/>
    <s v="Janssen-Cilag s.r.o."/>
    <m/>
    <n v="117115399.26000001"/>
    <n v="128826939.19"/>
    <m/>
    <m/>
    <m/>
    <d v="2022-05-17T00:00:00"/>
    <s v="SMLN-2022-617-000356"/>
    <x v="72"/>
  </r>
  <r>
    <d v="2022-01-25T00:00:00"/>
    <s v="VZ-2022-000104"/>
    <x v="1"/>
    <s v="Ondráčková"/>
    <x v="147"/>
    <m/>
    <m/>
    <m/>
    <s v="33661000-1"/>
    <m/>
    <n v="95276076"/>
    <x v="0"/>
    <d v="2022-02-11T00:00:00"/>
    <d v="2022-03-17T00:00:00"/>
    <d v="2022-04-07T00:00:00"/>
    <s v="PHOENIX lék.velkoobchod, s.r.o."/>
    <m/>
    <n v="89921632.799999997"/>
    <n v="98913796.079999998"/>
    <m/>
    <m/>
    <m/>
    <d v="2022-04-07T00:00:00"/>
    <s v="SMLN-2022-617-000224"/>
    <x v="86"/>
  </r>
  <r>
    <s v="opakovaná VZ"/>
    <s v="VZ-2022-000105"/>
    <x v="4"/>
    <s v="Olejníček"/>
    <x v="148"/>
    <m/>
    <m/>
    <m/>
    <s v="33190000-8"/>
    <s v="2.3.468."/>
    <n v="74000"/>
    <x v="2"/>
    <d v="2022-02-09T00:00:00"/>
    <d v="2022-02-28T00:00:00"/>
    <m/>
    <s v="zrušeno - bez nabídky"/>
    <s v="nová VZ-2022-000405"/>
    <m/>
    <m/>
    <m/>
    <m/>
    <m/>
    <m/>
    <m/>
    <x v="4"/>
  </r>
  <r>
    <s v="převod z roku 2021"/>
    <s v="VZ-2022-000106"/>
    <x v="3"/>
    <s v="Rosulek"/>
    <x v="149"/>
    <n v="1"/>
    <s v="Intenzivní lůžka a vážicí lůžka s antidekubitními matracemi"/>
    <m/>
    <s v="33192120-9"/>
    <s v="2.3.517.,2.3.456.,2.2.260."/>
    <n v="4639115"/>
    <x v="0"/>
    <d v="2022-01-28T00:00:00"/>
    <d v="2022-03-03T00:00:00"/>
    <d v="2022-04-19T00:00:00"/>
    <s v="LINET spol. s r.o."/>
    <m/>
    <n v="5612603"/>
    <n v="6467237.4500000002"/>
    <m/>
    <m/>
    <m/>
    <d v="2022-04-19T00:00:00"/>
    <s v="SMLN-2022-617-000257_x000a_SMLN-2022-617-000258_x000a_SMLN-2022-612-000043_x000a_SMLN-2022-612-000044"/>
    <x v="78"/>
  </r>
  <r>
    <s v="převod z roku 2021"/>
    <s v="VZ-2022-000106"/>
    <x v="4"/>
    <s v="Rosulek"/>
    <x v="149"/>
    <n v="2"/>
    <s v="Univerzální elektrická lůžka"/>
    <m/>
    <s v="33192130-2"/>
    <s v="2.2.414."/>
    <n v="1230000"/>
    <x v="0"/>
    <d v="2022-01-28T00:00:00"/>
    <d v="2022-03-03T00:00:00"/>
    <d v="2022-04-19T00:00:00"/>
    <s v="PROMA REHA, s.r.o."/>
    <m/>
    <n v="1173543.42"/>
    <n v="1355289.93"/>
    <m/>
    <m/>
    <m/>
    <d v="2022-04-19T00:00:00"/>
    <s v="SMLN-2022-617-000259_x000a_SMLN-2022-612-000045"/>
    <x v="67"/>
  </r>
  <r>
    <s v="převod z roku 2021"/>
    <s v="VZ-2022-000106"/>
    <x v="3"/>
    <s v="Rosulek"/>
    <x v="149"/>
    <n v="3"/>
    <s v="Komfortní transportní vícesegmentová lehátka"/>
    <m/>
    <s v="33192160-1"/>
    <s v="2.3.528.,2.2.157."/>
    <n v="882167"/>
    <x v="0"/>
    <d v="2022-01-28T00:00:00"/>
    <d v="2022-03-03T00:00:00"/>
    <m/>
    <s v="zrušeno - neakceptovatelná pořizovací cena"/>
    <s v="nová VZ-2022-000520"/>
    <m/>
    <m/>
    <m/>
    <m/>
    <m/>
    <m/>
    <m/>
    <x v="4"/>
  </r>
  <r>
    <s v="převod z roku 2021"/>
    <s v="VZ-2022-000109"/>
    <x v="3"/>
    <s v="Olejníček"/>
    <x v="150"/>
    <n v="1"/>
    <s v="Laboratorní mikroskopy   "/>
    <m/>
    <s v="38634000-8 "/>
    <s v="2.3.569."/>
    <n v="1786211"/>
    <x v="0"/>
    <d v="2022-01-27T00:00:00"/>
    <d v="2022-03-02T00:00:00"/>
    <m/>
    <s v="zrušeno - překročení ceny servisu"/>
    <s v="nová VZ-2022-000293"/>
    <m/>
    <m/>
    <m/>
    <m/>
    <m/>
    <m/>
    <m/>
    <x v="4"/>
  </r>
  <r>
    <s v="převod z roku 2021"/>
    <s v="VZ-2022-000109"/>
    <x v="3"/>
    <s v="Olejníček"/>
    <x v="150"/>
    <n v="2"/>
    <s v="Inverzní optický mikroskop"/>
    <m/>
    <s v="38634000-8 "/>
    <m/>
    <n v="102536"/>
    <x v="0"/>
    <d v="2022-01-27T00:00:00"/>
    <d v="2022-03-02T00:00:00"/>
    <d v="2022-03-22T00:00:00"/>
    <s v="Sven BioLabs s.r.o."/>
    <m/>
    <n v="111187"/>
    <n v="134536.26999999999"/>
    <m/>
    <m/>
    <m/>
    <d v="2022-03-22T00:00:00"/>
    <s v="SMLN-2022-617-000191_x000a_SMLN-2022-612-000030"/>
    <x v="82"/>
  </r>
  <r>
    <s v="převod z roku 2021"/>
    <s v="VZ-2022-000109"/>
    <x v="4"/>
    <s v="Olejníček"/>
    <x v="150"/>
    <n v="3"/>
    <s v="Mikroskop pro III. Inetrní kliniku"/>
    <m/>
    <s v="38634000-8 "/>
    <m/>
    <n v="195162"/>
    <x v="0"/>
    <d v="2022-01-27T00:00:00"/>
    <d v="2022-03-02T00:00:00"/>
    <m/>
    <s v="zrušeno - překročení ceny servisu"/>
    <s v="nová VZ-2022-000293"/>
    <m/>
    <m/>
    <m/>
    <m/>
    <m/>
    <m/>
    <m/>
    <x v="4"/>
  </r>
  <r>
    <d v="2022-01-20T00:00:00"/>
    <s v="VZ-2022-000110"/>
    <x v="0"/>
    <s v="Dočkalová"/>
    <x v="151"/>
    <m/>
    <m/>
    <m/>
    <s v="33140000-3"/>
    <m/>
    <n v="25325528"/>
    <x v="0"/>
    <d v="2022-02-04T00:00:00"/>
    <d v="2022-03-08T00:00:00"/>
    <d v="2022-05-03T00:00:00"/>
    <s v="B. Braun Medical s.r.o."/>
    <m/>
    <n v="25325528"/>
    <n v="30643889.030000001"/>
    <m/>
    <m/>
    <m/>
    <d v="2022-05-03T00:00:00"/>
    <s v="SMLN-2022-617-000313_x000a_SMLN-2022-616-000019"/>
    <x v="89"/>
  </r>
  <r>
    <d v="2022-01-24T00:00:00"/>
    <s v="VZ-2022-000115"/>
    <x v="3"/>
    <s v="Olejníček"/>
    <x v="152"/>
    <m/>
    <m/>
    <m/>
    <s v="33186000-7"/>
    <s v="2.2.400."/>
    <n v="4372304"/>
    <x v="0"/>
    <d v="2022-02-18T00:00:00"/>
    <d v="2022-03-25T00:00:00"/>
    <m/>
    <s v="zrušeno - bez hodnotitelné nabídky"/>
    <s v="nová VZ-2022-000384"/>
    <m/>
    <m/>
    <m/>
    <m/>
    <m/>
    <m/>
    <m/>
    <x v="4"/>
  </r>
  <r>
    <d v="2022-01-26T00:00:00"/>
    <s v="VZ-2022-000120"/>
    <x v="3"/>
    <s v="Olejníček"/>
    <x v="153"/>
    <m/>
    <m/>
    <m/>
    <s v="38000000-5"/>
    <s v="2.2.424, 2.3.585."/>
    <n v="764000"/>
    <x v="0"/>
    <d v="2022-02-18T00:00:00"/>
    <d v="2022-03-24T00:00:00"/>
    <d v="2022-04-28T00:00:00"/>
    <s v="TRIGON PLUS s.r.o."/>
    <m/>
    <n v="808300"/>
    <n v="978043"/>
    <m/>
    <m/>
    <m/>
    <d v="2022-04-28T00:00:00"/>
    <s v="SMLN-2022-617-000291_x000a_SMLN-2022-612-000056"/>
    <x v="77"/>
  </r>
  <r>
    <d v="2022-01-27T00:00:00"/>
    <s v="VZ-2022-000121"/>
    <x v="3"/>
    <s v="Olejníček"/>
    <x v="154"/>
    <m/>
    <m/>
    <m/>
    <s v="38000000-5"/>
    <s v="2.3.570."/>
    <n v="469000"/>
    <x v="0"/>
    <d v="2022-02-18T00:00:00"/>
    <d v="2022-03-25T00:00:00"/>
    <d v="2022-04-28T00:00:00"/>
    <s v="TRIGON PLUS s.r.o."/>
    <m/>
    <n v="459300"/>
    <n v="555753"/>
    <m/>
    <m/>
    <m/>
    <d v="2022-04-28T00:00:00"/>
    <s v="SMLN-2022-617-000289_x000a_SMLN-2022-612-000054"/>
    <x v="77"/>
  </r>
  <r>
    <d v="2022-01-27T00:00:00"/>
    <s v="VZ-2022-000122"/>
    <x v="4"/>
    <s v="Olejníček"/>
    <x v="155"/>
    <n v="1"/>
    <s v="Speciální operační svítidla"/>
    <m/>
    <s v="31524110-9"/>
    <s v="2.2.448.;2.3.446.;2.3.467.;2.3.542."/>
    <n v="2893800"/>
    <x v="0"/>
    <d v="2022-02-23T00:00:00"/>
    <d v="2022-04-05T00:00:00"/>
    <m/>
    <s v="zrušeno - administrativní pochybení"/>
    <s v="nová VZ-2022-000371"/>
    <m/>
    <m/>
    <m/>
    <m/>
    <m/>
    <m/>
    <m/>
    <x v="4"/>
  </r>
  <r>
    <d v="2022-01-27T00:00:00"/>
    <s v="VZ-2022-000122"/>
    <x v="4"/>
    <s v="Olejníček"/>
    <x v="155"/>
    <n v="2"/>
    <s v="Operační svítidla s kamerami"/>
    <m/>
    <s v="31524110-9"/>
    <s v="2.3.568."/>
    <n v="1260000"/>
    <x v="0"/>
    <d v="2022-02-23T00:00:00"/>
    <d v="2022-04-05T00:00:00"/>
    <m/>
    <s v="zrušeno - administrativní pochybení"/>
    <s v="nová VZ-2022-000371"/>
    <m/>
    <m/>
    <m/>
    <m/>
    <m/>
    <m/>
    <m/>
    <x v="4"/>
  </r>
  <r>
    <d v="2022-01-27T00:00:00"/>
    <s v="VZ-2022-000122"/>
    <x v="4"/>
    <s v="Olejníček"/>
    <x v="155"/>
    <n v="3"/>
    <s v="Nástěnná zákroková svítidla"/>
    <m/>
    <s v="31524210-0"/>
    <s v="2.3.622."/>
    <n v="270000"/>
    <x v="0"/>
    <d v="2022-02-23T00:00:00"/>
    <d v="2022-04-05T00:00:00"/>
    <m/>
    <s v="zrušeno - administrativní pochybení"/>
    <s v="nová VZ-2022-000371"/>
    <m/>
    <m/>
    <m/>
    <m/>
    <m/>
    <m/>
    <m/>
    <x v="4"/>
  </r>
  <r>
    <d v="2022-01-27T00:00:00"/>
    <s v="VZ-2022-000122"/>
    <x v="4"/>
    <s v="Olejníček"/>
    <x v="155"/>
    <n v="4"/>
    <s v="Vyšetřovací svítidla"/>
    <m/>
    <s v="31524100-6"/>
    <m/>
    <n v="2350000"/>
    <x v="0"/>
    <d v="2022-02-23T00:00:00"/>
    <d v="2022-04-05T00:00:00"/>
    <m/>
    <s v="zrušeno - administrativní pochybení"/>
    <s v="nová VZ-2022-000371"/>
    <m/>
    <m/>
    <m/>
    <m/>
    <m/>
    <m/>
    <m/>
    <x v="4"/>
  </r>
  <r>
    <d v="2022-01-28T00:00:00"/>
    <s v="VZ-2022-000127"/>
    <x v="0"/>
    <s v="Dočkalová"/>
    <x v="156"/>
    <m/>
    <m/>
    <m/>
    <s v="33181520-3"/>
    <m/>
    <n v="14522150"/>
    <x v="0"/>
    <d v="2022-02-11T00:00:00"/>
    <d v="2022-03-16T00:00:00"/>
    <d v="2022-04-05T00:00:00"/>
    <s v="Fresenius Kabi s.r.o. Medical Care - ČR, s.r.o."/>
    <m/>
    <n v="14529292.1"/>
    <n v="17407386.82"/>
    <m/>
    <m/>
    <m/>
    <d v="2022-04-06T00:00:00"/>
    <s v="SMLN-2022-617-000219"/>
    <x v="87"/>
  </r>
  <r>
    <d v="2022-02-01T00:00:00"/>
    <s v="VZ-2022-000128"/>
    <x v="1"/>
    <s v="Ondráčková"/>
    <x v="157"/>
    <n v="1"/>
    <s v="CEFEPIM"/>
    <m/>
    <s v="33651100-9"/>
    <m/>
    <n v="64249"/>
    <x v="0"/>
    <d v="2022-02-10T00:00:00"/>
    <d v="2022-03-17T00:00:00"/>
    <d v="2022-05-17T00:00:00"/>
    <s v="ViaPharma s.r.o."/>
    <m/>
    <n v="45859.53"/>
    <n v="50445.48"/>
    <m/>
    <m/>
    <m/>
    <d v="2022-05-17T00:00:00"/>
    <s v="SMLN-2022-617-000357"/>
    <x v="90"/>
  </r>
  <r>
    <d v="2022-02-01T00:00:00"/>
    <s v="VZ-2022-000128"/>
    <x v="1"/>
    <s v="Ondráčková"/>
    <x v="157"/>
    <n v="2"/>
    <s v="SULFAMETHOXAZOL A TRIMETHOPRIM "/>
    <m/>
    <s v="33651100-9"/>
    <m/>
    <n v="1814267"/>
    <x v="0"/>
    <d v="2022-02-10T00:00:00"/>
    <d v="2022-03-17T00:00:00"/>
    <m/>
    <s v="zrušeno - bez nabídky"/>
    <m/>
    <m/>
    <m/>
    <m/>
    <m/>
    <m/>
    <m/>
    <m/>
    <x v="4"/>
  </r>
  <r>
    <d v="2022-02-01T00:00:00"/>
    <s v="VZ-2022-000128"/>
    <x v="1"/>
    <s v="Ondráčková"/>
    <x v="157"/>
    <n v="3"/>
    <s v="GENTAMICIN"/>
    <m/>
    <s v="33651100-9"/>
    <m/>
    <n v="500760"/>
    <x v="0"/>
    <d v="2022-02-10T00:00:00"/>
    <d v="2022-03-17T00:00:00"/>
    <d v="2022-05-17T00:00:00"/>
    <s v="PHOENIX lék.velkoobchod, s.r.o."/>
    <m/>
    <n v="500758.42"/>
    <n v="550834.26"/>
    <m/>
    <m/>
    <m/>
    <d v="2022-05-17T00:00:00"/>
    <s v="SMLN-2022-617-000358"/>
    <x v="80"/>
  </r>
  <r>
    <d v="2022-02-01T00:00:00"/>
    <s v="VZ-2022-000128"/>
    <x v="1"/>
    <s v="Ondráčková"/>
    <x v="157"/>
    <n v="4"/>
    <s v="GENTAMICIN II"/>
    <m/>
    <s v="33651100-9"/>
    <m/>
    <n v="353679"/>
    <x v="0"/>
    <d v="2022-02-10T00:00:00"/>
    <d v="2022-03-17T00:00:00"/>
    <d v="2022-05-17T00:00:00"/>
    <s v="PHARMOS, a.s., a.s."/>
    <m/>
    <n v="353667.12"/>
    <n v="389033.83"/>
    <m/>
    <m/>
    <m/>
    <d v="2022-05-17T00:00:00"/>
    <s v="SMLN-2022-617-000359"/>
    <x v="63"/>
  </r>
  <r>
    <d v="2022-02-01T00:00:00"/>
    <s v="VZ-2022-000128"/>
    <x v="1"/>
    <s v="Ondráčková"/>
    <x v="157"/>
    <n v="5"/>
    <s v="LINEZOLID"/>
    <m/>
    <s v="33651100-9"/>
    <m/>
    <n v="2873371"/>
    <x v="0"/>
    <d v="2022-02-10T00:00:00"/>
    <d v="2022-03-17T00:00:00"/>
    <d v="2022-05-17T00:00:00"/>
    <s v="Alliance Healthcare s.r.o."/>
    <m/>
    <n v="863284.14"/>
    <n v="949612.55"/>
    <m/>
    <m/>
    <m/>
    <d v="2022-05-17T00:00:00"/>
    <s v="SMLN-2022-617-000360"/>
    <x v="6"/>
  </r>
  <r>
    <d v="2022-02-01T00:00:00"/>
    <s v="VZ-2022-000129"/>
    <x v="1"/>
    <s v="Ondráčková"/>
    <x v="158"/>
    <n v="1"/>
    <s v="AMOXICILIN A INHIBITOR BETA-LAKTAMASY I."/>
    <m/>
    <s v="33651100-9"/>
    <m/>
    <n v="4183417"/>
    <x v="0"/>
    <d v="2022-02-16T00:00:00"/>
    <d v="2022-03-23T00:00:00"/>
    <d v="2022-04-12T00:00:00"/>
    <s v="Alliance Healthcare s.r.o."/>
    <m/>
    <n v="4163921.82"/>
    <n v="4580314"/>
    <m/>
    <m/>
    <m/>
    <d v="2022-04-12T00:00:00"/>
    <s v="SMLN-2022-617-000244"/>
    <x v="67"/>
  </r>
  <r>
    <d v="2022-02-01T00:00:00"/>
    <s v="VZ-2022-000129"/>
    <x v="1"/>
    <s v="Ondráčková"/>
    <x v="158"/>
    <n v="2"/>
    <s v="AMOXICILIN A INHIBITOR BETA-LAKTAMASY II."/>
    <m/>
    <s v="33651100-9"/>
    <m/>
    <n v="9062645"/>
    <x v="0"/>
    <d v="2022-02-16T00:00:00"/>
    <d v="2022-03-23T00:00:00"/>
    <d v="2022-04-12T00:00:00"/>
    <s v="Alliance Healthcare s.r.o."/>
    <m/>
    <n v="6961450.6500000004"/>
    <n v="7657595.7199999997"/>
    <m/>
    <m/>
    <m/>
    <d v="2022-04-12T00:00:00"/>
    <s v="SMLN-2022-617-000245"/>
    <x v="67"/>
  </r>
  <r>
    <d v="2022-02-01T00:00:00"/>
    <s v="VZ-2022-000129"/>
    <x v="1"/>
    <s v="Ondráčková"/>
    <x v="158"/>
    <n v="3"/>
    <s v="MEROPENEM"/>
    <m/>
    <s v="33651100-9"/>
    <m/>
    <n v="6367668"/>
    <x v="0"/>
    <d v="2022-02-16T00:00:00"/>
    <d v="2022-03-23T00:00:00"/>
    <d v="2022-04-12T00:00:00"/>
    <s v="Fresenius Kabi s.r.o. Kabi s.r.o."/>
    <m/>
    <n v="5707686"/>
    <n v="6278454.5999999996"/>
    <m/>
    <m/>
    <m/>
    <d v="2022-04-12T00:00:00"/>
    <s v="SMLN-2022-617-000246"/>
    <x v="60"/>
  </r>
  <r>
    <d v="2022-02-01T00:00:00"/>
    <s v="VZ-2022-000129"/>
    <x v="1"/>
    <s v="Ondráčková"/>
    <x v="158"/>
    <n v="4"/>
    <s v="KLARITHROMYCIN"/>
    <m/>
    <s v="33651100-9"/>
    <m/>
    <n v="784082"/>
    <x v="0"/>
    <d v="2022-02-16T00:00:00"/>
    <d v="2022-03-23T00:00:00"/>
    <d v="2022-04-12T00:00:00"/>
    <s v="Alliance Healthcare s.r.o."/>
    <m/>
    <n v="778073.79"/>
    <n v="855881.17"/>
    <m/>
    <m/>
    <m/>
    <d v="2022-04-12T00:00:00"/>
    <s v="SMLN-2022-617-000247"/>
    <x v="67"/>
  </r>
  <r>
    <d v="2022-02-09T00:00:00"/>
    <s v="VZ-2022-000130"/>
    <x v="13"/>
    <s v="Křivková"/>
    <x v="159"/>
    <m/>
    <m/>
    <m/>
    <s v="79710000-4 "/>
    <m/>
    <n v="960000"/>
    <x v="2"/>
    <d v="2022-02-14T00:00:00"/>
    <d v="2022-02-18T00:00:00"/>
    <d v="2022-02-21T00:00:00"/>
    <s v="S.O.S. a.s."/>
    <m/>
    <n v="576000"/>
    <n v="696960"/>
    <m/>
    <m/>
    <m/>
    <d v="2022-02-21T00:00:00"/>
    <s v="SMLN-2022-612-000020"/>
    <x v="40"/>
  </r>
  <r>
    <d v="2022-02-02T00:00:00"/>
    <s v="VZ-2022-000131"/>
    <x v="1"/>
    <s v="Ondráčková"/>
    <x v="160"/>
    <n v="1"/>
    <s v="TOBRAMYCIN I."/>
    <m/>
    <s v="33651100-9"/>
    <m/>
    <n v="4184875"/>
    <x v="0"/>
    <d v="2022-02-17T00:00:00"/>
    <d v="2022-03-24T00:00:00"/>
    <d v="2022-04-12T00:00:00"/>
    <s v="PHOENIX lék.velkoobchod, s.r.o."/>
    <m/>
    <n v="4119162"/>
    <n v="4531078.2"/>
    <m/>
    <m/>
    <m/>
    <d v="2022-04-12T00:00:00"/>
    <s v="SMLN-2022-617-000237"/>
    <x v="85"/>
  </r>
  <r>
    <d v="2022-02-02T00:00:00"/>
    <s v="VZ-2022-000131"/>
    <x v="1"/>
    <s v="Ondráčková"/>
    <x v="160"/>
    <n v="2"/>
    <s v="TOBRAMYCIN II."/>
    <m/>
    <s v="33651100-9"/>
    <m/>
    <n v="468380"/>
    <x v="0"/>
    <d v="2022-02-17T00:00:00"/>
    <d v="2022-03-24T00:00:00"/>
    <d v="2022-04-12T00:00:00"/>
    <s v="PHOENIX lék.velkoobchod, s.r.o."/>
    <m/>
    <n v="456544.5"/>
    <n v="502198.95"/>
    <m/>
    <m/>
    <m/>
    <d v="2022-04-12T00:00:00"/>
    <s v="SMLN-2022-617-000238"/>
    <x v="85"/>
  </r>
  <r>
    <d v="2022-02-02T00:00:00"/>
    <s v="VZ-2022-000132"/>
    <x v="1"/>
    <s v="Ondráčková"/>
    <x v="161"/>
    <n v="1"/>
    <s v="TIGECYKLIN"/>
    <m/>
    <s v="33651100-9"/>
    <m/>
    <n v="6981718"/>
    <x v="0"/>
    <d v="2022-02-15T00:00:00"/>
    <d v="2022-03-22T00:00:00"/>
    <d v="2022-04-12T00:00:00"/>
    <s v="PHOENIX lék.velkoobchod, s.r.o."/>
    <m/>
    <n v="5335387.2"/>
    <n v="5868925.9199999999"/>
    <m/>
    <m/>
    <m/>
    <d v="2022-04-12T00:00:00"/>
    <s v="SMLN-2022-617-000239"/>
    <x v="3"/>
  </r>
  <r>
    <d v="2022-02-02T00:00:00"/>
    <s v="VZ-2022-000132"/>
    <x v="1"/>
    <s v="Ondráčková"/>
    <x v="161"/>
    <n v="2"/>
    <s v="OXACILIN"/>
    <m/>
    <s v="33651100-9"/>
    <m/>
    <n v="768499"/>
    <x v="0"/>
    <d v="2022-02-15T00:00:00"/>
    <d v="2022-03-22T00:00:00"/>
    <d v="2022-04-12T00:00:00"/>
    <s v="Alliance Healthcare s.r.o."/>
    <m/>
    <n v="725075.01"/>
    <n v="797582.51"/>
    <m/>
    <m/>
    <m/>
    <d v="2022-04-12T00:00:00"/>
    <s v="SMLN-2022-617-000240"/>
    <x v="67"/>
  </r>
  <r>
    <d v="2022-02-02T00:00:00"/>
    <s v="VZ-2022-000132"/>
    <x v="1"/>
    <s v="Ondráčková"/>
    <x v="161"/>
    <n v="3"/>
    <s v="CEFAZOLIN"/>
    <m/>
    <s v="33651100-9"/>
    <m/>
    <n v="911721"/>
    <x v="0"/>
    <d v="2022-02-15T00:00:00"/>
    <d v="2022-03-22T00:00:00"/>
    <d v="2022-04-12T00:00:00"/>
    <s v="PHOENIX lék.velkoobchod, s.r.o."/>
    <m/>
    <n v="760505.4"/>
    <n v="836555.94"/>
    <m/>
    <m/>
    <m/>
    <d v="2022-04-12T00:00:00"/>
    <s v="SMLN-2022-617-000241"/>
    <x v="3"/>
  </r>
  <r>
    <d v="2022-02-02T00:00:00"/>
    <s v="VZ-2022-000132"/>
    <x v="1"/>
    <s v="Ondráčková"/>
    <x v="161"/>
    <n v="4"/>
    <s v="CEFUROXIM"/>
    <m/>
    <s v="33651100-9"/>
    <m/>
    <n v="437355"/>
    <x v="0"/>
    <d v="2022-02-15T00:00:00"/>
    <d v="2022-03-22T00:00:00"/>
    <d v="2022-04-12T00:00:00"/>
    <s v="PHOENIX lék.velkoobchod, s.r.o."/>
    <m/>
    <n v="391230"/>
    <n v="430353"/>
    <m/>
    <m/>
    <m/>
    <d v="2022-04-12T00:00:00"/>
    <s v="SMLN-2022-617-000242"/>
    <x v="3"/>
  </r>
  <r>
    <d v="2022-02-02T00:00:00"/>
    <s v="VZ-2022-000132"/>
    <x v="1"/>
    <s v="Ondráčková"/>
    <x v="161"/>
    <n v="5"/>
    <s v="IMIPENEM A CILASTATIN"/>
    <m/>
    <s v="33651100-9"/>
    <m/>
    <n v="531890"/>
    <x v="0"/>
    <d v="2022-02-15T00:00:00"/>
    <d v="2022-03-22T00:00:00"/>
    <d v="2022-04-12T00:00:00"/>
    <s v="ViaPharma s.r.o."/>
    <m/>
    <n v="354072.6"/>
    <n v="389479.86"/>
    <m/>
    <m/>
    <m/>
    <d v="2022-04-12T00:00:00"/>
    <s v="SMLN-2022-617-000243"/>
    <x v="60"/>
  </r>
  <r>
    <d v="2022-02-02T00:00:00"/>
    <s v="VZ-2022-000133"/>
    <x v="1"/>
    <s v="Ondráčková"/>
    <x v="162"/>
    <n v="1"/>
    <s v="KLINDAMYCIN"/>
    <m/>
    <s v="33651100-9"/>
    <m/>
    <n v="791607"/>
    <x v="0"/>
    <d v="2022-02-22T00:00:00"/>
    <d v="2022-03-28T00:00:00"/>
    <d v="2022-04-14T00:00:00"/>
    <s v="Fresenius Kabi s.r.o. Kabi s.r.o."/>
    <m/>
    <n v="757650"/>
    <n v="833415"/>
    <m/>
    <m/>
    <m/>
    <d v="2022-04-14T00:00:00"/>
    <s v="SMLN-2022-617-000251"/>
    <x v="78"/>
  </r>
  <r>
    <d v="2022-02-02T00:00:00"/>
    <s v="VZ-2022-000133"/>
    <x v="1"/>
    <s v="Ondráčková"/>
    <x v="162"/>
    <n v="2"/>
    <s v="AMIKACIN"/>
    <m/>
    <s v="33651100-9"/>
    <m/>
    <n v="1122434"/>
    <x v="0"/>
    <d v="2022-02-22T00:00:00"/>
    <d v="2022-03-28T00:00:00"/>
    <d v="2022-04-14T00:00:00"/>
    <s v="PHARMOS, a.s., a.s."/>
    <m/>
    <n v="710110.8"/>
    <n v="781121.88"/>
    <m/>
    <m/>
    <m/>
    <d v="2022-04-14T00:00:00"/>
    <s v="SMLN-2022-617-000252"/>
    <x v="78"/>
  </r>
  <r>
    <d v="2022-02-02T00:00:00"/>
    <s v="VZ-2022-000133"/>
    <x v="1"/>
    <s v="Ondráčková"/>
    <x v="162"/>
    <n v="3"/>
    <s v="OFLOXACIN"/>
    <m/>
    <s v="33651100-9"/>
    <m/>
    <n v="574179"/>
    <x v="0"/>
    <d v="2022-02-22T00:00:00"/>
    <d v="2022-03-28T00:00:00"/>
    <d v="2022-04-14T00:00:00"/>
    <s v="PHOENIX lék.velkoobchod, s.r.o."/>
    <m/>
    <n v="567477"/>
    <n v="624224.69999999995"/>
    <m/>
    <m/>
    <m/>
    <d v="2022-04-14T00:00:00"/>
    <s v="SMLN-2022-617-000253"/>
    <x v="3"/>
  </r>
  <r>
    <d v="2022-02-02T00:00:00"/>
    <s v="VZ-2022-000133"/>
    <x v="1"/>
    <s v="Ondráčková"/>
    <x v="162"/>
    <n v="4"/>
    <s v="VANKOMYCIN"/>
    <m/>
    <s v="33651100-9"/>
    <m/>
    <n v="705022"/>
    <x v="0"/>
    <d v="2022-02-22T00:00:00"/>
    <d v="2022-03-28T00:00:00"/>
    <m/>
    <s v="zrušeno - bez nabídky"/>
    <m/>
    <m/>
    <m/>
    <m/>
    <m/>
    <m/>
    <m/>
    <m/>
    <x v="4"/>
  </r>
  <r>
    <d v="2022-02-02T00:00:00"/>
    <s v="VZ-2022-000133"/>
    <x v="1"/>
    <s v="Ondráčková"/>
    <x v="162"/>
    <n v="5"/>
    <s v="METRONIDAZOL"/>
    <m/>
    <s v="33651100-9"/>
    <m/>
    <n v="1450226"/>
    <x v="0"/>
    <d v="2022-02-22T00:00:00"/>
    <d v="2022-03-28T00:00:00"/>
    <d v="2022-04-14T00:00:00"/>
    <s v="B. Braun Medical s.r.o."/>
    <m/>
    <n v="1092114"/>
    <n v="1201325.3999999999"/>
    <m/>
    <m/>
    <m/>
    <d v="2022-04-14T00:00:00"/>
    <s v="SMLN-2022-617-000254"/>
    <x v="78"/>
  </r>
  <r>
    <d v="2022-02-02T00:00:00"/>
    <s v="VZ-2022-000134"/>
    <x v="1"/>
    <s v="Ondráčková"/>
    <x v="163"/>
    <n v="1"/>
    <s v="BENZYLPENICILIN"/>
    <m/>
    <s v="33651100-9"/>
    <m/>
    <n v="267000"/>
    <x v="0"/>
    <d v="2022-02-25T00:00:00"/>
    <d v="2022-03-31T00:00:00"/>
    <m/>
    <s v="zrušeno - bez nabídky"/>
    <m/>
    <m/>
    <m/>
    <m/>
    <m/>
    <m/>
    <m/>
    <m/>
    <x v="4"/>
  </r>
  <r>
    <d v="2022-02-02T00:00:00"/>
    <s v="VZ-2022-000134"/>
    <x v="1"/>
    <s v="Ondráčková"/>
    <x v="163"/>
    <n v="2"/>
    <s v="SULTAMICILIN"/>
    <m/>
    <s v="33651100-9"/>
    <m/>
    <n v="130078"/>
    <x v="0"/>
    <d v="2022-02-25T00:00:00"/>
    <d v="2022-03-31T00:00:00"/>
    <d v="2022-10-11T00:00:00"/>
    <s v="Alliance Healthcare s.r.o."/>
    <m/>
    <n v="129950.64"/>
    <n v="142945.70000000001"/>
    <m/>
    <m/>
    <m/>
    <d v="2022-10-11T00:00:00"/>
    <s v="SMLN-2022-617-000707"/>
    <x v="91"/>
  </r>
  <r>
    <d v="2022-02-02T00:00:00"/>
    <s v="VZ-2022-000134"/>
    <x v="1"/>
    <s v="Ondráčková"/>
    <x v="163"/>
    <n v="3"/>
    <s v="CIPROFLOXACIN"/>
    <m/>
    <s v="33632100-0"/>
    <m/>
    <n v="325289"/>
    <x v="0"/>
    <d v="2022-02-25T00:00:00"/>
    <d v="2022-03-31T00:00:00"/>
    <d v="2022-05-11T00:00:00"/>
    <s v="PHARMOS, a.s., a.s."/>
    <m/>
    <n v="260729.19"/>
    <n v="286802.11"/>
    <m/>
    <m/>
    <m/>
    <d v="2022-05-11T00:00:00"/>
    <s v="SMLN-2022-617-000335"/>
    <x v="88"/>
  </r>
  <r>
    <d v="2022-02-02T00:00:00"/>
    <s v="VZ-2022-000134"/>
    <x v="1"/>
    <s v="Ondráčková"/>
    <x v="163"/>
    <n v="4"/>
    <s v="NIMESULID I."/>
    <m/>
    <s v="33632100-0"/>
    <m/>
    <n v="833506"/>
    <x v="0"/>
    <d v="2022-02-25T00:00:00"/>
    <d v="2022-03-31T00:00:00"/>
    <d v="2022-10-10T00:00:00"/>
    <s v="ViaPharma s.r.o."/>
    <m/>
    <n v="791657.04"/>
    <n v="870822.74"/>
    <m/>
    <m/>
    <m/>
    <d v="2022-10-11T00:00:00"/>
    <s v="SMLN-2022-617-000708"/>
    <x v="92"/>
  </r>
  <r>
    <d v="2022-02-02T00:00:00"/>
    <s v="VZ-2022-000134"/>
    <x v="1"/>
    <s v="Ondráčková"/>
    <x v="163"/>
    <n v="5"/>
    <s v="NIMESULID II."/>
    <m/>
    <s v="33632100-0"/>
    <m/>
    <n v="66074"/>
    <x v="0"/>
    <d v="2022-02-25T00:00:00"/>
    <d v="2022-03-31T00:00:00"/>
    <d v="2022-05-11T00:00:00"/>
    <s v="Alliance Healthcare s.r.o."/>
    <m/>
    <n v="35193.33"/>
    <n v="38712.660000000003"/>
    <m/>
    <m/>
    <m/>
    <d v="2022-05-11T00:00:00"/>
    <s v="SMLN-2022-617-000337"/>
    <x v="93"/>
  </r>
  <r>
    <d v="2022-02-02T00:00:00"/>
    <s v="VZ-2022-000134"/>
    <x v="1"/>
    <s v="Ondráčková"/>
    <x v="163"/>
    <n v="6"/>
    <s v="NIMESULID III."/>
    <m/>
    <s v="33632100-0"/>
    <m/>
    <n v="589788"/>
    <x v="0"/>
    <d v="2022-02-25T00:00:00"/>
    <d v="2022-03-31T00:00:00"/>
    <d v="2022-05-11T00:00:00"/>
    <s v="PHARMOS, a.s., a.s."/>
    <m/>
    <n v="320040"/>
    <n v="352044"/>
    <m/>
    <m/>
    <m/>
    <d v="2022-05-11T00:00:00"/>
    <s v="SMLN-2022-617-000338"/>
    <x v="88"/>
  </r>
  <r>
    <d v="2022-02-01T00:00:00"/>
    <s v="VZ-2022-000135"/>
    <x v="5"/>
    <s v="Srovnal"/>
    <x v="164"/>
    <m/>
    <m/>
    <m/>
    <s v="50711000-2"/>
    <m/>
    <n v="1100000"/>
    <x v="2"/>
    <d v="2022-02-07T00:00:00"/>
    <d v="2022-02-15T00:00:00"/>
    <d v="2022-03-15T00:00:00"/>
    <s v="ELMAR group spol. s r.o."/>
    <m/>
    <n v="1778896"/>
    <n v="2152464.16"/>
    <m/>
    <m/>
    <m/>
    <d v="2022-03-15T00:00:00"/>
    <s v="SMLN-2022-618-000018"/>
    <x v="47"/>
  </r>
  <r>
    <d v="2022-02-01T00:00:00"/>
    <s v="VZ-2022-000137"/>
    <x v="5"/>
    <s v="Srovnal"/>
    <x v="165"/>
    <m/>
    <m/>
    <m/>
    <s v="45421100-5"/>
    <m/>
    <n v="5500000"/>
    <x v="2"/>
    <d v="2022-02-09T00:00:00"/>
    <d v="2022-02-18T00:00:00"/>
    <d v="2022-03-09T00:00:00"/>
    <s v="WH Develop s.r.o."/>
    <m/>
    <n v="5014731.13"/>
    <n v="6067824.6699999999"/>
    <m/>
    <m/>
    <m/>
    <d v="2022-03-09T00:00:00"/>
    <s v="SMLN-2022-618-000015"/>
    <x v="94"/>
  </r>
  <r>
    <d v="2022-02-03T00:00:00"/>
    <s v="VZ-2022-000138"/>
    <x v="8"/>
    <s v="Kadlec"/>
    <x v="166"/>
    <m/>
    <m/>
    <m/>
    <s v="45432100-5"/>
    <m/>
    <n v="1900000"/>
    <x v="2"/>
    <d v="2022-02-11T00:00:00"/>
    <d v="2022-02-22T00:00:00"/>
    <d v="2022-03-09T00:00:00"/>
    <s v="Elektropráce Spáčil s.r.o."/>
    <m/>
    <n v="2345678.9900000002"/>
    <n v="2838271.58"/>
    <m/>
    <m/>
    <m/>
    <d v="2022-03-09T00:00:00"/>
    <s v="SMLN-2022-618-000016"/>
    <x v="9"/>
  </r>
  <r>
    <d v="2022-02-02T00:00:00"/>
    <s v="VZ-2022-000139"/>
    <x v="4"/>
    <s v="Olejníček"/>
    <x v="167"/>
    <m/>
    <m/>
    <m/>
    <s v="33100000-1"/>
    <s v="2.2.440/2.2.441"/>
    <n v="5872000"/>
    <x v="0"/>
    <d v="2022-02-14T00:00:00"/>
    <d v="2022-03-18T00:00:00"/>
    <d v="2022-04-05T00:00:00"/>
    <s v="Edwards Lifesciences Czech Republic s.r.o."/>
    <m/>
    <n v="6084000"/>
    <n v="7361640"/>
    <m/>
    <m/>
    <m/>
    <d v="2022-04-05T00:00:00"/>
    <s v="SMLN-2022-617-000216_x000a_SMLN-2022-612-000034_x000a_SMLN-2022-617-000217"/>
    <x v="82"/>
  </r>
  <r>
    <d v="2022-02-04T00:00:00"/>
    <s v="VZ-2022-000148"/>
    <x v="3"/>
    <s v="Olejníček"/>
    <x v="168"/>
    <m/>
    <m/>
    <m/>
    <s v="33100000-1"/>
    <s v="2.3.584."/>
    <n v="2730152"/>
    <x v="0"/>
    <d v="2022-03-11T00:00:00"/>
    <d v="2022-04-19T00:00:00"/>
    <d v="2022-05-26T00:00:00"/>
    <s v="Life Technologies Czech Republic s.r.o."/>
    <m/>
    <n v="3600650"/>
    <n v="4356786.5"/>
    <m/>
    <m/>
    <m/>
    <d v="2022-05-30T00:00:00"/>
    <s v="SMLN-2022-617-000375_x000a_SMLN-2022-612-000089_x000a_SMLN-2022-617-000376"/>
    <x v="95"/>
  </r>
  <r>
    <d v="2022-02-07T00:00:00"/>
    <s v="VZ-2022-000151"/>
    <x v="9"/>
    <s v="Miklík"/>
    <x v="169"/>
    <m/>
    <m/>
    <m/>
    <s v="48820000-2 "/>
    <s v="3.2.67."/>
    <n v="18180000"/>
    <x v="0"/>
    <d v="2022-02-17T00:00:00"/>
    <d v="2022-03-21T00:00:00"/>
    <d v="2022-03-25T00:00:00"/>
    <s v="MERIT GROUP a.s."/>
    <m/>
    <n v="17959900"/>
    <n v="21731479"/>
    <m/>
    <m/>
    <m/>
    <d v="2022-03-25T00:00:00"/>
    <s v="SMLN-2022-617-000194"/>
    <x v="96"/>
  </r>
  <r>
    <d v="2022-02-07T00:00:00"/>
    <s v="VZ-2022-000153"/>
    <x v="0"/>
    <s v="Dočkalová"/>
    <x v="170"/>
    <m/>
    <m/>
    <m/>
    <s v="33162200-5"/>
    <m/>
    <n v="1792416"/>
    <x v="2"/>
    <d v="2022-02-10T00:00:00"/>
    <d v="2022-02-28T00:00:00"/>
    <d v="2022-03-03T00:00:00"/>
    <s v="Olympus Czech Group, s.r.o., člen koncernu"/>
    <m/>
    <n v="1792416"/>
    <n v="2168823.36"/>
    <m/>
    <m/>
    <m/>
    <d v="2022-03-03T00:00:00"/>
    <s v="SMLN-2022-617-000143"/>
    <x v="9"/>
  </r>
  <r>
    <d v="2022-02-09T00:00:00"/>
    <s v="VZ-2022-000156"/>
    <x v="1"/>
    <s v="Ondráčková"/>
    <x v="171"/>
    <n v="1"/>
    <s v="eftrenonacog alfa"/>
    <m/>
    <s v="33621000-9"/>
    <m/>
    <n v="17078400"/>
    <x v="0"/>
    <d v="2022-02-18T00:00:00"/>
    <d v="2022-03-25T00:00:00"/>
    <m/>
    <s v="zrušeno - bez nabídky"/>
    <m/>
    <m/>
    <m/>
    <m/>
    <m/>
    <m/>
    <m/>
    <m/>
    <x v="4"/>
  </r>
  <r>
    <d v="2022-02-09T00:00:00"/>
    <s v="VZ-2022-000156"/>
    <x v="1"/>
    <s v="Ondráčková"/>
    <x v="171"/>
    <n v="2"/>
    <s v="nonacog beta pegol"/>
    <m/>
    <s v="36621000-9"/>
    <m/>
    <n v="17078400"/>
    <x v="0"/>
    <d v="2022-02-18T00:00:00"/>
    <d v="2022-03-25T00:00:00"/>
    <d v="2022-04-19T00:00:00"/>
    <s v="Alliance Healthcare s.r.o."/>
    <m/>
    <n v="15596320"/>
    <n v="17155952"/>
    <m/>
    <m/>
    <m/>
    <d v="2022-04-19T00:00:00"/>
    <s v="SMLN-2022-617-000265"/>
    <x v="78"/>
  </r>
  <r>
    <d v="2022-02-08T00:00:00"/>
    <s v="VZ-2022-000157"/>
    <x v="1"/>
    <s v="Ondráčková"/>
    <x v="172"/>
    <n v="1"/>
    <s v="TIOTROPIUM-BROMID I."/>
    <m/>
    <s v="33670000-7"/>
    <m/>
    <n v="554723"/>
    <x v="0"/>
    <d v="2022-10-04T00:00:00"/>
    <d v="2022-12-06T00:00:00"/>
    <m/>
    <m/>
    <m/>
    <m/>
    <m/>
    <m/>
    <m/>
    <m/>
    <m/>
    <m/>
    <x v="4"/>
  </r>
  <r>
    <d v="2022-02-08T00:00:00"/>
    <s v="VZ-2022-000157"/>
    <x v="1"/>
    <s v="Ondráčková"/>
    <x v="172"/>
    <n v="2"/>
    <s v="TIOTROPIUM-BROMID II."/>
    <m/>
    <s v="33670000-7"/>
    <m/>
    <n v="14578"/>
    <x v="0"/>
    <d v="2022-10-04T00:00:00"/>
    <d v="2022-12-06T00:00:00"/>
    <m/>
    <m/>
    <m/>
    <m/>
    <m/>
    <m/>
    <m/>
    <m/>
    <m/>
    <m/>
    <x v="4"/>
  </r>
  <r>
    <d v="2022-02-08T00:00:00"/>
    <s v="VZ-2022-000157"/>
    <x v="1"/>
    <s v="Ondráčková"/>
    <x v="172"/>
    <n v="3"/>
    <s v="TIOTROPIUM-BROMID  III."/>
    <m/>
    <s v="33670000-7"/>
    <m/>
    <n v="8497243"/>
    <x v="0"/>
    <d v="2022-10-04T00:00:00"/>
    <d v="2022-12-06T00:00:00"/>
    <m/>
    <m/>
    <m/>
    <m/>
    <m/>
    <m/>
    <m/>
    <m/>
    <m/>
    <m/>
    <x v="4"/>
  </r>
  <r>
    <d v="2022-05-18T00:00:00"/>
    <s v="VZ-2022-000158"/>
    <x v="1"/>
    <s v="Ondráčková"/>
    <x v="173"/>
    <n v="1"/>
    <s v="Adalimumab I."/>
    <m/>
    <s v="33652300-8"/>
    <m/>
    <n v="46819920"/>
    <x v="0"/>
    <d v="2022-05-23T00:00:00"/>
    <d v="2022-07-14T00:00:00"/>
    <d v="2022-09-01T00:00:00"/>
    <s v="Alliance Healthcare s.r.o."/>
    <m/>
    <n v="28859060.640000001"/>
    <n v="31744966.699999999"/>
    <m/>
    <m/>
    <m/>
    <d v="2022-09-01T00:00:00"/>
    <s v="SMLN-2022-617-000608"/>
    <x v="97"/>
  </r>
  <r>
    <d v="2022-05-18T00:00:00"/>
    <s v="VZ-2022-000158"/>
    <x v="1"/>
    <s v="Ondráčková"/>
    <x v="173"/>
    <n v="2"/>
    <s v="Adalimumab II."/>
    <m/>
    <s v="33652300-8"/>
    <m/>
    <n v="5554080"/>
    <x v="0"/>
    <d v="2022-05-23T00:00:00"/>
    <d v="2022-07-14T00:00:00"/>
    <d v="2022-09-01T00:00:00"/>
    <s v="PROMEDICA PRAHA GROUP, a.s."/>
    <m/>
    <n v="5388552"/>
    <n v="5927407.2000000002"/>
    <m/>
    <m/>
    <m/>
    <d v="2022-09-01T00:00:00"/>
    <s v="SMLN-2022-617-000609"/>
    <x v="98"/>
  </r>
  <r>
    <d v="2022-05-18T00:00:00"/>
    <s v="VZ-2022-000158"/>
    <x v="1"/>
    <s v="Ondráčková"/>
    <x v="173"/>
    <n v="3"/>
    <s v="Adalimumab III."/>
    <m/>
    <s v="33652300-8"/>
    <m/>
    <n v="345461"/>
    <x v="0"/>
    <d v="2022-05-23T00:00:00"/>
    <d v="2022-07-14T00:00:00"/>
    <m/>
    <s v="zrušeno - překročení ceny"/>
    <s v="nová VZ-2022-001073"/>
    <m/>
    <m/>
    <m/>
    <m/>
    <m/>
    <m/>
    <m/>
    <x v="4"/>
  </r>
  <r>
    <d v="2022-02-08T00:00:00"/>
    <s v="VZ-2022-000159"/>
    <x v="1"/>
    <s v="Ondráčková"/>
    <x v="174"/>
    <m/>
    <s v="OMALIZUMAB"/>
    <m/>
    <s v="33670000-7"/>
    <m/>
    <n v="102989302"/>
    <x v="0"/>
    <d v="2022-06-30T00:00:00"/>
    <d v="2022-08-05T00:00:00"/>
    <d v="2022-09-14T00:00:00"/>
    <s v="Alliance Healthcare s.r.o."/>
    <m/>
    <n v="102989299.76000001"/>
    <n v="113288229.73999999"/>
    <m/>
    <m/>
    <m/>
    <d v="2022-09-14T00:00:00"/>
    <s v="SMLN-2022-617-000640"/>
    <x v="99"/>
  </r>
  <r>
    <d v="2022-02-09T00:00:00"/>
    <s v="VZ-2022-000160"/>
    <x v="1"/>
    <s v="Ondráčková"/>
    <x v="175"/>
    <m/>
    <s v="TRASTUZUMAB DERUXTEKAN"/>
    <m/>
    <s v="33652000-5"/>
    <m/>
    <n v="91899879"/>
    <x v="0"/>
    <d v="2022-10-20T00:00:00"/>
    <d v="2023-01-04T00:00:00"/>
    <m/>
    <m/>
    <m/>
    <m/>
    <m/>
    <m/>
    <m/>
    <m/>
    <m/>
    <m/>
    <x v="4"/>
  </r>
  <r>
    <d v="2022-02-09T00:00:00"/>
    <s v="VZ-2022-000161"/>
    <x v="1"/>
    <s v="Ondráčková"/>
    <x v="176"/>
    <m/>
    <s v="REMDESIVIR"/>
    <m/>
    <s v="33651400-2"/>
    <m/>
    <n v="40669427"/>
    <x v="0"/>
    <d v="2022-02-14T00:00:00"/>
    <d v="2022-03-21T00:00:00"/>
    <m/>
    <s v="zrušeno"/>
    <s v="nová VZ-2022-000680"/>
    <m/>
    <m/>
    <m/>
    <m/>
    <m/>
    <m/>
    <m/>
    <x v="4"/>
  </r>
  <r>
    <d v="2022-02-10T00:00:00"/>
    <s v="VZ-2022-000166"/>
    <x v="1"/>
    <s v="Ondráčková"/>
    <x v="177"/>
    <n v="1"/>
    <s v="LYOFILIZOVANÝ BAKTERIÁLNÍ LYZÁT OM 85 (LYSATUM BACTERIALE OM 85 CRYODESICCATUM)"/>
    <m/>
    <s v="33652000-5"/>
    <m/>
    <n v="171432"/>
    <x v="0"/>
    <d v="2022-03-01T00:00:00"/>
    <d v="2022-04-04T00:00:00"/>
    <d v="2022-04-22T00:00:00"/>
    <s v="Alliance Healthcare s.r.o."/>
    <m/>
    <n v="162856.89000000001"/>
    <n v="179142.58"/>
    <m/>
    <m/>
    <m/>
    <d v="2022-04-22T00:00:00"/>
    <s v="SMLN-2022-617-000271"/>
    <x v="78"/>
  </r>
  <r>
    <d v="2022-02-10T00:00:00"/>
    <s v="VZ-2022-000166"/>
    <x v="1"/>
    <s v="Ondráčková"/>
    <x v="177"/>
    <n v="2"/>
    <s v="SMĚS BAKTERIÁLNÍHO LYZÁTU (LYSATUM BACTERIALE MIXTUM) "/>
    <m/>
    <s v="33652000-5"/>
    <m/>
    <n v="107434"/>
    <x v="0"/>
    <d v="2022-03-01T00:00:00"/>
    <d v="2022-04-04T00:00:00"/>
    <m/>
    <s v="zrušeno - bez nabídky"/>
    <s v="nová VZ-2022-000503"/>
    <m/>
    <m/>
    <m/>
    <m/>
    <m/>
    <m/>
    <m/>
    <x v="4"/>
  </r>
  <r>
    <d v="2022-02-10T00:00:00"/>
    <s v="VZ-2022-000166"/>
    <x v="1"/>
    <s v="Ondráčková"/>
    <x v="177"/>
    <n v="3"/>
    <s v="LYOFILIZOVANÝ LYZÁT ESCHERICHIA COLI (LYSATUM ESCHERICHIAE COLI CRYODESICCATUM)"/>
    <m/>
    <s v="33652000-5"/>
    <m/>
    <n v="108557"/>
    <x v="0"/>
    <d v="2022-03-01T00:00:00"/>
    <d v="2022-04-04T00:00:00"/>
    <d v="2022-04-22T00:00:00"/>
    <s v="Alliance Healthcare s.r.o."/>
    <m/>
    <n v="102722.94"/>
    <n v="112995.23"/>
    <m/>
    <m/>
    <m/>
    <d v="2022-04-22T00:00:00"/>
    <s v="SMLN-2022-617-000272"/>
    <x v="78"/>
  </r>
  <r>
    <d v="2022-02-10T00:00:00"/>
    <s v="VZ-2022-000166"/>
    <x v="1"/>
    <s v="Ondráčková"/>
    <x v="177"/>
    <n v="4"/>
    <s v="BACILLUS CALMETTE-GUERIN (BACILLUS CALMETTE-GUERIN)"/>
    <m/>
    <s v="33652000-5"/>
    <m/>
    <n v="2256091"/>
    <x v="0"/>
    <d v="2022-03-01T00:00:00"/>
    <d v="2022-04-04T00:00:00"/>
    <m/>
    <s v="zrušeno - bez nabídky"/>
    <s v="nová VZ-2022-000503"/>
    <m/>
    <m/>
    <m/>
    <m/>
    <m/>
    <m/>
    <m/>
    <x v="4"/>
  </r>
  <r>
    <d v="2022-02-10T00:00:00"/>
    <s v="VZ-2022-000166"/>
    <x v="1"/>
    <s v="Ondráčková"/>
    <x v="177"/>
    <n v="5"/>
    <s v="PLERIXAFOR"/>
    <m/>
    <s v="33652000-5"/>
    <m/>
    <n v="1990902"/>
    <x v="0"/>
    <d v="2022-03-01T00:00:00"/>
    <d v="2022-04-04T00:00:00"/>
    <d v="2022-04-22T00:00:00"/>
    <s v="sanofi-aventis, s.r.o."/>
    <m/>
    <n v="1990901.7"/>
    <n v="2189991.87"/>
    <m/>
    <m/>
    <m/>
    <d v="2022-04-22T00:00:00"/>
    <s v="SMLN-2022-617-000273"/>
    <x v="100"/>
  </r>
  <r>
    <d v="2022-02-10T00:00:00"/>
    <s v="VZ-2022-000167"/>
    <x v="1"/>
    <s v="Ondráčková"/>
    <x v="178"/>
    <m/>
    <m/>
    <m/>
    <s v="33652000-5"/>
    <m/>
    <n v="2368470"/>
    <x v="1"/>
    <d v="2022-03-07T00:00:00"/>
    <d v="2022-03-24T00:00:00"/>
    <d v="2022-04-27T00:00:00"/>
    <s v="Alliance Healthcare s.r.o."/>
    <m/>
    <n v="2328010.02"/>
    <n v="2560811.02"/>
    <m/>
    <m/>
    <m/>
    <d v="2022-04-27T00:00:00"/>
    <s v="SMLN-2022-617-000288"/>
    <x v="86"/>
  </r>
  <r>
    <d v="2022-02-10T00:00:00"/>
    <s v="VZ-2022-000170"/>
    <x v="3"/>
    <s v="Olejníček"/>
    <x v="179"/>
    <n v="1"/>
    <s v="Imunochemický ELISA automat pro Ústav imunologie"/>
    <m/>
    <s v="33100000-1"/>
    <s v="2.2.426."/>
    <n v="1072500"/>
    <x v="0"/>
    <d v="2022-03-10T00:00:00"/>
    <d v="2022-04-14T00:00:00"/>
    <d v="2022-08-05T00:00:00"/>
    <s v="LABOSERV s.r.o."/>
    <m/>
    <n v="951719"/>
    <n v="1151579.99"/>
    <m/>
    <m/>
    <m/>
    <d v="2022-08-08T00:00:00"/>
    <s v="SMLN-2022-617-000507_x000a_SMLN-2022-612-000151"/>
    <x v="101"/>
  </r>
  <r>
    <d v="2022-02-10T00:00:00"/>
    <s v="VZ-2022-000170"/>
    <x v="3"/>
    <s v="Olejníček"/>
    <x v="179"/>
    <n v="2"/>
    <s v="Imunochemický ELISA automat pro OKB"/>
    <m/>
    <s v="33100000-1"/>
    <s v="2.3.574."/>
    <n v="1459005"/>
    <x v="0"/>
    <d v="2022-03-10T00:00:00"/>
    <d v="2022-04-14T00:00:00"/>
    <d v="2022-06-14T00:00:00"/>
    <s v="BIO-RAD spol.s r.o."/>
    <m/>
    <n v="1323894"/>
    <n v="1601912.22"/>
    <m/>
    <m/>
    <m/>
    <d v="2022-06-15T00:00:00"/>
    <s v="SMLN-2022-617-000408_x000a_SMLN-2022-612-000105"/>
    <x v="102"/>
  </r>
  <r>
    <d v="2022-02-11T00:00:00"/>
    <s v="VZ-2022-000172"/>
    <x v="2"/>
    <s v="Langer"/>
    <x v="180"/>
    <m/>
    <m/>
    <m/>
    <s v="71000000-8"/>
    <s v="1.2.94."/>
    <n v="1500000"/>
    <x v="2"/>
    <d v="2022-02-15T00:00:00"/>
    <d v="2022-02-23T00:00:00"/>
    <d v="2022-03-10T00:00:00"/>
    <s v="STYLE STUDIO s.r.o."/>
    <m/>
    <n v="1248000"/>
    <n v="1510080"/>
    <m/>
    <m/>
    <m/>
    <d v="2022-03-10T00:00:00"/>
    <s v="SMLN-2022-618-000017"/>
    <x v="9"/>
  </r>
  <r>
    <d v="2022-02-11T00:00:00"/>
    <s v="VZ-2022-000178"/>
    <x v="4"/>
    <s v="Olejníček"/>
    <x v="181"/>
    <m/>
    <m/>
    <m/>
    <s v="33123210-3"/>
    <s v="2.3.599."/>
    <n v="1470000"/>
    <x v="2"/>
    <d v="2022-02-16T00:00:00"/>
    <d v="2022-02-25T00:00:00"/>
    <m/>
    <s v="zrušeno - překročení ceny"/>
    <s v="nová VZ-2022-000234"/>
    <m/>
    <m/>
    <m/>
    <m/>
    <m/>
    <m/>
    <m/>
    <x v="4"/>
  </r>
  <r>
    <d v="2022-02-09T00:00:00"/>
    <s v="VZ-2022-000181"/>
    <x v="0"/>
    <s v="Novák"/>
    <x v="182"/>
    <m/>
    <m/>
    <m/>
    <s v="33194110-0"/>
    <m/>
    <n v="14350000"/>
    <x v="0"/>
    <d v="2022-02-25T00:00:00"/>
    <d v="2022-04-20T00:00:00"/>
    <d v="2022-05-05T00:00:00"/>
    <s v="ASQA, a.s."/>
    <m/>
    <n v="6469950"/>
    <n v="7486846.5"/>
    <m/>
    <m/>
    <m/>
    <d v="2022-05-05T00:00:00"/>
    <s v="SMLN-2022-617-000322_x000a_SMLN-2022-612-000072_x000a_SMLN-2022-617-000323"/>
    <x v="88"/>
  </r>
  <r>
    <d v="2022-03-01T00:00:00"/>
    <s v="VZ-2022-000186"/>
    <x v="0"/>
    <s v="Valtová"/>
    <x v="183"/>
    <m/>
    <m/>
    <m/>
    <s v="33140000-3"/>
    <m/>
    <n v="1139600"/>
    <x v="2"/>
    <d v="2022-03-07T00:00:00"/>
    <d v="2022-03-17T00:00:00"/>
    <d v="2022-03-23T00:00:00"/>
    <s v="Medinet s.r.o."/>
    <m/>
    <n v="845600"/>
    <n v="1023176"/>
    <m/>
    <m/>
    <m/>
    <d v="2022-03-23T00:00:00"/>
    <s v="SMLN-2022-617-000100_x000a_SMLN-2022-614-000032"/>
    <x v="47"/>
  </r>
  <r>
    <d v="2022-02-14T00:00:00"/>
    <s v="VZ-2022-000190"/>
    <x v="4"/>
    <s v="Olejníček"/>
    <x v="184"/>
    <m/>
    <m/>
    <m/>
    <s v="33100000-1"/>
    <s v="2.3.610."/>
    <n v="4238231"/>
    <x v="0"/>
    <d v="2022-02-17T00:00:00"/>
    <d v="2022-03-22T00:00:00"/>
    <d v="2022-04-05T00:00:00"/>
    <s v="Medtronic Czechia s.r.o."/>
    <m/>
    <n v="5314028"/>
    <n v="6429973.8799999999"/>
    <m/>
    <m/>
    <m/>
    <d v="2022-04-05T00:00:00"/>
    <s v="SMLN-2022-617-000218_x000a_SMLN-2022-612-000035"/>
    <x v="3"/>
  </r>
  <r>
    <d v="2022-02-15T00:00:00"/>
    <s v="VZ-2022-000195"/>
    <x v="1"/>
    <s v="Ondráčková"/>
    <x v="185"/>
    <m/>
    <s v="SARILUMAB"/>
    <m/>
    <s v="33652300-8"/>
    <m/>
    <n v="11500873"/>
    <x v="0"/>
    <d v="2022-11-28T00:00:00"/>
    <d v="2023-01-02T00:00:00"/>
    <m/>
    <m/>
    <m/>
    <m/>
    <m/>
    <m/>
    <m/>
    <m/>
    <m/>
    <m/>
    <x v="4"/>
  </r>
  <r>
    <d v="2022-02-15T00:00:00"/>
    <s v="VZ-2022-000196 "/>
    <x v="1"/>
    <s v="Ondráčková"/>
    <x v="186"/>
    <m/>
    <s v="ANAKINRA"/>
    <m/>
    <s v="33652300-8"/>
    <m/>
    <n v="25726680"/>
    <x v="0"/>
    <d v="2022-11-22T00:00:00"/>
    <d v="2022-12-27T00:00:00"/>
    <m/>
    <m/>
    <m/>
    <m/>
    <m/>
    <m/>
    <m/>
    <m/>
    <m/>
    <m/>
    <x v="4"/>
  </r>
  <r>
    <d v="2022-02-15T00:00:00"/>
    <s v="VZ-2022-000197"/>
    <x v="1"/>
    <s v="Ondráčková"/>
    <x v="187"/>
    <m/>
    <s v="KANGRELOR"/>
    <m/>
    <s v="33621100-0"/>
    <m/>
    <n v="12071630"/>
    <x v="0"/>
    <d v="2022-08-23T00:00:00"/>
    <d v="2022-10-27T00:00:00"/>
    <d v="2022-11-14T00:00:00"/>
    <s v="PHOENIX lék.velkoobchod, s.r.o."/>
    <m/>
    <n v="14756832"/>
    <n v="16232515.199999999"/>
    <m/>
    <m/>
    <m/>
    <d v="2022-11-14T00:00:00"/>
    <s v="SMLN-2022-617-000798"/>
    <x v="92"/>
  </r>
  <r>
    <d v="2022-02-15T00:00:00"/>
    <s v="VZ-2022-000198"/>
    <x v="1"/>
    <s v="Ondráčková"/>
    <x v="188"/>
    <m/>
    <s v="ENZALUTAMID"/>
    <m/>
    <s v="33652200-7"/>
    <m/>
    <n v="139725667"/>
    <x v="0"/>
    <d v="2022-06-10T00:00:00"/>
    <d v="2022-08-01T00:00:00"/>
    <d v="2022-09-12T00:00:00"/>
    <s v="PHOENIX lék.velkoobchod, s.r.o."/>
    <m/>
    <n v="139725666.36000001"/>
    <n v="153698233"/>
    <m/>
    <m/>
    <m/>
    <d v="2022-09-12T00:00:00"/>
    <s v="SMLN-2022-617-000630"/>
    <x v="103"/>
  </r>
  <r>
    <d v="2022-02-02T00:00:00"/>
    <s v="VZ-2022-000201"/>
    <x v="0"/>
    <s v="Dočkalová"/>
    <x v="189"/>
    <m/>
    <m/>
    <m/>
    <s v="33162200-5"/>
    <m/>
    <n v="2056577"/>
    <x v="0"/>
    <d v="2022-02-28T00:00:00"/>
    <d v="2022-04-12T00:00:00"/>
    <d v="2022-05-02T00:00:00"/>
    <s v="B. Braun Medical s.r.o."/>
    <m/>
    <n v="1850864"/>
    <n v="2239545.44"/>
    <m/>
    <m/>
    <m/>
    <d v="2022-05-02T00:00:00"/>
    <s v="SMLN-2022-617-000308"/>
    <x v="72"/>
  </r>
  <r>
    <d v="2022-02-18T00:00:00"/>
    <s v="VZ-2022-000206"/>
    <x v="1"/>
    <s v="Ondráčková"/>
    <x v="190"/>
    <m/>
    <s v="AKALABRUTINIB"/>
    <m/>
    <s v="33652000-5"/>
    <m/>
    <n v="134757341"/>
    <x v="0"/>
    <d v="2022-09-02T00:00:00"/>
    <d v="2022-10-31T00:00:00"/>
    <d v="2022-11-24T00:00:00"/>
    <s v="PHOENIX lék.velkoobchod, s.r.o."/>
    <m/>
    <n v="117573518.40000001"/>
    <n v="129330870.23999999"/>
    <m/>
    <m/>
    <m/>
    <d v="2022-11-24T00:00:00"/>
    <s v="SMLN-2022-617-000824"/>
    <x v="4"/>
  </r>
  <r>
    <d v="2022-02-18T00:00:00"/>
    <s v="VZ-2022-000207"/>
    <x v="1"/>
    <s v="Ondráčková"/>
    <x v="191"/>
    <m/>
    <s v="RUXOLITINIB"/>
    <m/>
    <s v="33652000-5"/>
    <m/>
    <n v="133903759"/>
    <x v="0"/>
    <d v="2022-09-30T00:00:00"/>
    <d v="2022-11-04T00:00:00"/>
    <d v="2022-12-15T00:00:00"/>
    <s v="Alliance Healthcare s.r.o."/>
    <m/>
    <n v="133497916.56"/>
    <n v="146847708.22"/>
    <m/>
    <m/>
    <m/>
    <d v="2022-12-15T00:00:00"/>
    <s v="SMLN-2022-617-000862"/>
    <x v="4"/>
  </r>
  <r>
    <s v="opakovaná VZ"/>
    <s v="VZ-2022-000209"/>
    <x v="0"/>
    <s v="Dočkalová"/>
    <x v="192"/>
    <n v="1"/>
    <s v="Endokatry/staplery se zahnutou špičkou"/>
    <m/>
    <s v="33162200-5"/>
    <m/>
    <n v="701000"/>
    <x v="0"/>
    <d v="2022-03-03T00:00:00"/>
    <d v="2022-04-06T00:00:00"/>
    <d v="2022-06-03T00:00:00"/>
    <s v="Medtronic Czechia s.r.o."/>
    <m/>
    <n v="700000"/>
    <n v="847000"/>
    <m/>
    <m/>
    <m/>
    <d v="2022-06-03T00:00:00"/>
    <s v="SMLN-2022-617-000389_x000a_SMLN-2022-614-000048"/>
    <x v="104"/>
  </r>
  <r>
    <s v="opakovaná VZ"/>
    <s v="VZ-2022-000209"/>
    <x v="0"/>
    <s v="Dočkalová"/>
    <x v="192"/>
    <n v="2"/>
    <s v="Cirkulární staplery se sklopnou hlavicí"/>
    <m/>
    <s v="33162200-5"/>
    <m/>
    <n v="3488800"/>
    <x v="0"/>
    <d v="2022-03-03T00:00:00"/>
    <d v="2022-04-06T00:00:00"/>
    <d v="2022-06-03T00:00:00"/>
    <s v="Medtronic Czechia s.r.o."/>
    <m/>
    <n v="3488800"/>
    <n v="4221448"/>
    <m/>
    <m/>
    <m/>
    <d v="2022-06-03T00:00:00"/>
    <s v="SMLN-2022-617-000390_x000a_SMLN-2022-614-000049"/>
    <x v="104"/>
  </r>
  <r>
    <d v="2022-02-17T00:00:00"/>
    <s v="VZ-2022-000210"/>
    <x v="3"/>
    <s v="Olejníček"/>
    <x v="193"/>
    <n v="1"/>
    <s v="Modulární vybavení pro detekci virových, bakteriálních a mykotických původců infekčních onemocnění"/>
    <m/>
    <s v="33100000-1"/>
    <s v="2.3.576."/>
    <n v="8743610"/>
    <x v="0"/>
    <d v="2022-03-24T00:00:00"/>
    <d v="2022-05-16T00:00:00"/>
    <d v="2022-05-27T00:00:00"/>
    <s v="TRIOS, spol. s r.o."/>
    <m/>
    <n v="8809000"/>
    <n v="10658890"/>
    <m/>
    <m/>
    <m/>
    <d v="2022-05-27T00:00:00"/>
    <s v="SMLN-2022-617-000371_x000a_SMLN-2022-612-000088_x000a_SMLN-2022-617-000372"/>
    <x v="105"/>
  </r>
  <r>
    <d v="2022-02-17T00:00:00"/>
    <s v="VZ-2022-000210"/>
    <x v="3"/>
    <s v="Olejníček"/>
    <x v="193"/>
    <n v="2"/>
    <s v="Analyzátor mykologický"/>
    <m/>
    <s v="33100000-1"/>
    <s v="2.2.419."/>
    <n v="3552600"/>
    <x v="0"/>
    <d v="2022-03-24T00:00:00"/>
    <d v="2022-05-16T00:00:00"/>
    <m/>
    <s v="zrušeno - bez nabídky"/>
    <s v="nová VZ-2022-000584"/>
    <m/>
    <m/>
    <m/>
    <m/>
    <m/>
    <m/>
    <m/>
    <x v="4"/>
  </r>
  <r>
    <d v="2022-02-18T00:00:00"/>
    <s v="VZ-2022-000212"/>
    <x v="3"/>
    <s v="Olejníček"/>
    <x v="194"/>
    <m/>
    <m/>
    <m/>
    <s v="33162100-4"/>
    <s v="2.2.403."/>
    <n v="14386500"/>
    <x v="0"/>
    <d v="2022-03-23T00:00:00"/>
    <d v="2022-04-27T00:00:00"/>
    <d v="2022-09-14T00:00:00"/>
    <s v="Medtronic Czechia s.r.o."/>
    <m/>
    <n v="16718650"/>
    <n v="20229566.5"/>
    <m/>
    <m/>
    <m/>
    <d v="2022-09-14T00:00:00"/>
    <s v="SMLN-2022-617-000645 SMLN-2022-617-000644 SMLN-2022-612-000192"/>
    <x v="66"/>
  </r>
  <r>
    <d v="2022-02-23T00:00:00"/>
    <s v="VZ-2022-000215"/>
    <x v="4"/>
    <s v="Olejníček"/>
    <x v="195"/>
    <m/>
    <m/>
    <m/>
    <s v="33162100-4"/>
    <s v="2.2.469."/>
    <n v="404720"/>
    <x v="0"/>
    <d v="2022-03-02T00:00:00"/>
    <d v="2022-04-05T00:00:00"/>
    <m/>
    <s v="zrušeno - bez nabídky"/>
    <s v="nová VZ-2022-000360"/>
    <m/>
    <m/>
    <m/>
    <m/>
    <m/>
    <m/>
    <m/>
    <x v="4"/>
  </r>
  <r>
    <d v="2022-02-23T00:00:00"/>
    <s v="VZ-2022-000218"/>
    <x v="3"/>
    <s v="Olejníček"/>
    <x v="196"/>
    <n v="1"/>
    <s v="Přístroj na zpracování imunofluorescenčních sklíček"/>
    <m/>
    <s v="33100000-1"/>
    <s v="2.2.428."/>
    <n v="545000"/>
    <x v="0"/>
    <d v="2022-03-31T00:00:00"/>
    <d v="2022-05-06T00:00:00"/>
    <m/>
    <s v="zrušeno - překročení ceny"/>
    <s v="nová VZ-2022-000514"/>
    <m/>
    <m/>
    <m/>
    <m/>
    <m/>
    <m/>
    <m/>
    <x v="4"/>
  </r>
  <r>
    <d v="2022-02-23T00:00:00"/>
    <s v="VZ-2022-000218"/>
    <x v="3"/>
    <s v="Olejníček"/>
    <x v="196"/>
    <n v="2"/>
    <s v="Analyzátor pro zpracování imunoblotů"/>
    <m/>
    <s v="33100000-1"/>
    <s v="2.2.427."/>
    <n v="1697791"/>
    <x v="0"/>
    <d v="2022-03-31T00:00:00"/>
    <d v="2022-05-06T00:00:00"/>
    <d v="2022-06-21T00:00:00"/>
    <s v="DYNEX LabSolutions, s.r.o."/>
    <m/>
    <n v="2823629.6"/>
    <n v="3416591.82"/>
    <m/>
    <m/>
    <m/>
    <d v="2022-06-21T00:00:00"/>
    <s v="SMLN-2022-617-000419_x000a_SMLN-2022-612-000108_x000a_SMLN-2022-617-000420"/>
    <x v="102"/>
  </r>
  <r>
    <d v="2022-02-14T00:00:00"/>
    <s v="VZ-2022-000219"/>
    <x v="14"/>
    <s v="Olejníček"/>
    <x v="197"/>
    <m/>
    <m/>
    <m/>
    <s v="09331000-8"/>
    <s v="1.2.92."/>
    <n v="18600000"/>
    <x v="0"/>
    <d v="2022-04-27T00:00:00"/>
    <d v="2022-06-01T00:00:00"/>
    <d v="2022-07-01T00:00:00"/>
    <s v="IBG česko s.r.o."/>
    <m/>
    <n v="20429134"/>
    <n v="24719252.140000001"/>
    <m/>
    <m/>
    <m/>
    <d v="2022-07-01T00:00:00"/>
    <s v="SMLN-2022-618-000043"/>
    <x v="106"/>
  </r>
  <r>
    <d v="2022-02-25T00:00:00"/>
    <s v="VZ-2022-000221"/>
    <x v="1"/>
    <s v="Ondráčková"/>
    <x v="198"/>
    <n v="1"/>
    <s v="HEPARIN"/>
    <m/>
    <s v="33621100-0"/>
    <m/>
    <n v="3945622"/>
    <x v="0"/>
    <d v="2022-03-04T00:00:00"/>
    <d v="2022-04-20T00:00:00"/>
    <m/>
    <s v="zrušeno - bez nabídky"/>
    <s v="nová VZ-2022-001158"/>
    <m/>
    <m/>
    <m/>
    <m/>
    <m/>
    <m/>
    <m/>
    <x v="4"/>
  </r>
  <r>
    <d v="2022-02-25T00:00:00"/>
    <s v="VZ-2022-000221"/>
    <x v="1"/>
    <s v="Ondráčková"/>
    <x v="198"/>
    <n v="2"/>
    <s v="ANTITHROMBIN III"/>
    <m/>
    <s v="33621100-0"/>
    <m/>
    <n v="1155420"/>
    <x v="0"/>
    <d v="2022-03-04T00:00:00"/>
    <d v="2022-04-20T00:00:00"/>
    <d v="2022-05-09T00:00:00"/>
    <s v="PHOENIX lék.velkoobchod, s.r.o."/>
    <m/>
    <n v="610187.52000000002"/>
    <n v="671206.27"/>
    <m/>
    <m/>
    <m/>
    <d v="2022-05-10T00:00:00"/>
    <s v="SMLN-2022-617-000327"/>
    <x v="80"/>
  </r>
  <r>
    <d v="2022-02-25T00:00:00"/>
    <s v="VZ-2022-000221"/>
    <x v="1"/>
    <s v="Ondráčková"/>
    <x v="198"/>
    <n v="3"/>
    <s v="NADROPARIN"/>
    <m/>
    <s v="33621100-0"/>
    <m/>
    <n v="48828464"/>
    <x v="0"/>
    <d v="2022-03-04T00:00:00"/>
    <d v="2022-04-20T00:00:00"/>
    <m/>
    <s v="zrušeno - bez nabídky"/>
    <s v="nová VZ-2022-001158"/>
    <m/>
    <m/>
    <m/>
    <m/>
    <m/>
    <m/>
    <m/>
    <x v="4"/>
  </r>
  <r>
    <d v="2022-02-25T00:00:00"/>
    <s v="VZ-2022-000221"/>
    <x v="1"/>
    <s v="Ondráčková"/>
    <x v="198"/>
    <n v="4"/>
    <s v="SULODEXID "/>
    <m/>
    <s v="33621100-0"/>
    <m/>
    <n v="3616662"/>
    <x v="0"/>
    <d v="2022-03-04T00:00:00"/>
    <d v="2022-04-20T00:00:00"/>
    <d v="2022-05-09T00:00:00"/>
    <s v="Alliance Healthcare s.r.o."/>
    <m/>
    <n v="3609911.7"/>
    <n v="3970902.87"/>
    <m/>
    <m/>
    <m/>
    <d v="2022-05-10T00:00:00"/>
    <s v="SMLN-2022-617-000328"/>
    <x v="88"/>
  </r>
  <r>
    <d v="2022-02-28T00:00:00"/>
    <s v="VZ-2022-000222"/>
    <x v="4"/>
    <s v="Olejníček"/>
    <x v="199"/>
    <n v="1"/>
    <s v="Hlubokomrazící box"/>
    <m/>
    <s v="39711100-0"/>
    <s v="2.2.462."/>
    <n v="185298"/>
    <x v="2"/>
    <d v="2022-03-03T00:00:00"/>
    <d v="2022-03-15T00:00:00"/>
    <d v="2022-04-07T00:00:00"/>
    <s v="KRD-obchodní společnost s.r.o."/>
    <m/>
    <n v="262130"/>
    <n v="317177.3"/>
    <m/>
    <m/>
    <m/>
    <d v="2022-04-07T00:00:00"/>
    <s v="SMLN-2022-617-000220_x000a_SMLN-2022-612-000036"/>
    <x v="84"/>
  </r>
  <r>
    <d v="2022-02-28T00:00:00"/>
    <s v="VZ-2022-000222"/>
    <x v="4"/>
    <s v="Olejníček"/>
    <x v="199"/>
    <n v="2"/>
    <s v="Farmaceutická lednice"/>
    <m/>
    <s v="39711100-0"/>
    <s v="2.2.453.,470., 2.3.614.,651"/>
    <n v="420394"/>
    <x v="2"/>
    <d v="2022-03-03T00:00:00"/>
    <d v="2022-03-15T00:00:00"/>
    <d v="2022-04-07T00:00:00"/>
    <s v="SCHOELLER INSTRUMENTS, s.r.o."/>
    <m/>
    <n v="382200"/>
    <n v="462462"/>
    <m/>
    <m/>
    <m/>
    <d v="2022-04-07T00:00:00"/>
    <s v="SMLN-2022-617-000221_x000a_SMLN-2022-612-000037"/>
    <x v="84"/>
  </r>
  <r>
    <d v="2022-02-28T00:00:00"/>
    <s v="VZ-2022-000222"/>
    <x v="4"/>
    <s v="Olejníček"/>
    <x v="199"/>
    <n v="3"/>
    <s v="Mrazák"/>
    <m/>
    <s v="39711100-0"/>
    <s v="2.3.625."/>
    <n v="152496"/>
    <x v="2"/>
    <d v="2022-03-03T00:00:00"/>
    <d v="2022-03-15T00:00:00"/>
    <d v="2022-04-07T00:00:00"/>
    <s v="SCHOELLER INSTRUMENTS, s.r.o."/>
    <m/>
    <n v="168090"/>
    <n v="203388.9"/>
    <m/>
    <m/>
    <m/>
    <d v="2022-04-07T00:00:00"/>
    <s v="SMLN-2022-617-000222_x000a_SMLN-2022-612-000038"/>
    <x v="84"/>
  </r>
  <r>
    <d v="2022-02-23T00:00:00"/>
    <s v="VZ-2022-000225"/>
    <x v="4"/>
    <s v="Olejníček"/>
    <x v="200"/>
    <m/>
    <m/>
    <m/>
    <s v="33112000-8"/>
    <s v="2.2.450."/>
    <n v="28900000"/>
    <x v="0"/>
    <d v="2022-03-07T00:00:00"/>
    <d v="2022-05-09T00:00:00"/>
    <d v="2022-06-02T00:00:00"/>
    <s v="CARDION s.r.o."/>
    <m/>
    <n v="29018503.890000001"/>
    <n v="35112389.710000001"/>
    <m/>
    <m/>
    <m/>
    <d v="2022-06-02T00:00:00"/>
    <s v="SMLN-2022-617-000383_x000a_SMLN-2022-612-000094_x000a_SMLN-2022-617-000384"/>
    <x v="105"/>
  </r>
  <r>
    <d v="2022-03-01T00:00:00"/>
    <s v="VZ-2022-000228"/>
    <x v="5"/>
    <s v="Srovnal"/>
    <x v="201"/>
    <m/>
    <m/>
    <m/>
    <s v="45453100-8"/>
    <m/>
    <n v="1700000"/>
    <x v="2"/>
    <d v="2022-03-04T00:00:00"/>
    <d v="2022-03-15T00:00:00"/>
    <d v="2022-03-18T00:00:00"/>
    <s v="Stavitelství Pospíšil s.r.o."/>
    <m/>
    <n v="1406586.93"/>
    <n v="1701970.19"/>
    <m/>
    <m/>
    <m/>
    <d v="2022-03-18T00:00:00"/>
    <s v="SMLN-2022-618-000021"/>
    <x v="47"/>
  </r>
  <r>
    <d v="2022-03-03T00:00:00"/>
    <s v="VZ-2022-000233"/>
    <x v="3"/>
    <s v="Olejníček"/>
    <x v="14"/>
    <n v="1"/>
    <s v="Transporatabilní echokardiografický přístroj pro Dětskou kliniku"/>
    <m/>
    <s v="33124120-2"/>
    <s v="2.2.399."/>
    <n v="933000"/>
    <x v="0"/>
    <d v="2022-03-31T00:00:00"/>
    <d v="2022-05-05T00:00:00"/>
    <d v="2022-08-09T00:00:00"/>
    <s v="S+T Plus s.r.o."/>
    <m/>
    <n v="900660"/>
    <n v="1089798.6000000001"/>
    <m/>
    <m/>
    <m/>
    <d v="2022-08-09T00:00:00"/>
    <s v="SMLN-2022-617-000511_x000a_SMLN-2022-612-000152"/>
    <x v="107"/>
  </r>
  <r>
    <d v="2022-03-03T00:00:00"/>
    <s v="VZ-2022-000233"/>
    <x v="4"/>
    <s v="Olejníček"/>
    <x v="14"/>
    <n v="2"/>
    <s v="Pediatrický mobilní ultrazvukový přístroj pro Dětskou kliniku"/>
    <m/>
    <s v="33124120-2"/>
    <s v="2.3.634."/>
    <n v="490500"/>
    <x v="0"/>
    <d v="2022-03-31T00:00:00"/>
    <d v="2022-05-05T00:00:00"/>
    <d v="2022-08-09T00:00:00"/>
    <s v="Electric Medical Service, s.r.o."/>
    <m/>
    <n v="483600"/>
    <n v="585156"/>
    <m/>
    <m/>
    <m/>
    <d v="2022-08-09T00:00:00"/>
    <s v="SMLN-2022-617-000512_x000a_SMLN-2022-612-000152"/>
    <x v="108"/>
  </r>
  <r>
    <d v="2022-03-03T00:00:00"/>
    <s v="VZ-2022-000233"/>
    <x v="3"/>
    <s v="Olejníček"/>
    <x v="14"/>
    <n v="3"/>
    <s v="Ultrazvukový systém pro akutní péči pro KARIM"/>
    <m/>
    <s v="33124120-2"/>
    <s v="2.2.401."/>
    <n v="1459983"/>
    <x v="0"/>
    <d v="2022-03-31T00:00:00"/>
    <d v="2022-05-05T00:00:00"/>
    <d v="2022-06-27T00:00:00"/>
    <s v="Electric Medical Service, s.r.o."/>
    <m/>
    <n v="1446600"/>
    <n v="1750386"/>
    <m/>
    <m/>
    <m/>
    <d v="2022-06-27T00:00:00"/>
    <s v="SMLN-2022-617-000431_x000a_SMLN-2022-612-000112"/>
    <x v="109"/>
  </r>
  <r>
    <d v="2022-03-03T00:00:00"/>
    <s v="VZ-2022-000233"/>
    <x v="3"/>
    <s v="Olejníček"/>
    <x v="14"/>
    <n v="4"/>
    <s v="Mobilní ultrazvukové přístroje pro II.IK a KARIM"/>
    <m/>
    <s v="33124120-2"/>
    <s v="2.2.397., 2.2.402."/>
    <n v="2756250"/>
    <x v="0"/>
    <d v="2022-03-31T00:00:00"/>
    <d v="2022-05-05T00:00:00"/>
    <d v="2022-06-27T00:00:00"/>
    <s v="Electric Medical Service, s.r.o."/>
    <m/>
    <n v="2260600"/>
    <n v="2735326"/>
    <m/>
    <m/>
    <m/>
    <d v="2022-06-27T00:00:00"/>
    <s v="SMLN-2022-617-000434_x000a_SMLN-2022-612-000115"/>
    <x v="110"/>
  </r>
  <r>
    <d v="2022-03-03T00:00:00"/>
    <s v="VZ-2022-000233"/>
    <x v="4"/>
    <s v="Olejníček"/>
    <x v="14"/>
    <n v="5"/>
    <s v="Ultrazvukový přístroj pro Urologickou kliniku"/>
    <m/>
    <s v="33124120-2"/>
    <s v="2.3.628."/>
    <n v="948000"/>
    <x v="0"/>
    <d v="2022-03-31T00:00:00"/>
    <d v="2022-05-05T00:00:00"/>
    <d v="2022-06-27T00:00:00"/>
    <s v="NIMOTECH, s.r.o."/>
    <m/>
    <n v="917057.22"/>
    <n v="1109639.24"/>
    <m/>
    <m/>
    <m/>
    <d v="2022-06-27T00:00:00"/>
    <s v="SMLN-2022-617-000435_x000a_SMLN-2022-612-000116"/>
    <x v="109"/>
  </r>
  <r>
    <d v="2022-03-03T00:00:00"/>
    <s v="VZ-2022-000233"/>
    <x v="3"/>
    <s v="Olejníček"/>
    <x v="14"/>
    <n v="6"/>
    <s v="4D echokardiograf pro I.IK"/>
    <m/>
    <s v="33124120-2"/>
    <s v="2.3.592."/>
    <n v="4734839"/>
    <x v="0"/>
    <d v="2022-03-31T00:00:00"/>
    <d v="2022-05-05T00:00:00"/>
    <d v="2022-06-27T00:00:00"/>
    <s v="Electric Medical Service, s.r.o."/>
    <m/>
    <n v="4705600"/>
    <n v="5693776"/>
    <m/>
    <m/>
    <m/>
    <d v="2022-06-27T00:00:00"/>
    <s v="SMLN-2022-617-000432_x000a_SMLN-2022-612-000113"/>
    <x v="110"/>
  </r>
  <r>
    <d v="2022-03-03T00:00:00"/>
    <s v="VZ-2022-000233"/>
    <x v="4"/>
    <s v="Olejníček"/>
    <x v="14"/>
    <n v="7"/>
    <s v="Echokardiografický systém pro I.IK"/>
    <m/>
    <s v="33124120-2"/>
    <s v="2.2.322."/>
    <n v="1039735"/>
    <x v="0"/>
    <d v="2022-03-31T00:00:00"/>
    <d v="2022-05-05T00:00:00"/>
    <d v="2022-06-27T00:00:00"/>
    <s v="Electric Medical Service, s.r.o."/>
    <m/>
    <n v="1034600"/>
    <n v="1251866"/>
    <m/>
    <m/>
    <m/>
    <d v="2022-06-27T00:00:00"/>
    <s v="SMLN-2022-617-000433_x000a_SMLN-2022-612-000114"/>
    <x v="110"/>
  </r>
  <r>
    <s v="opakovaná VZ"/>
    <s v="VZ-2022-000234"/>
    <x v="4"/>
    <s v="Olejníček"/>
    <x v="181"/>
    <m/>
    <m/>
    <m/>
    <s v="33123210-3"/>
    <s v="2.3.599."/>
    <n v="1530000"/>
    <x v="2"/>
    <d v="2022-03-08T00:00:00"/>
    <d v="2022-03-15T00:00:00"/>
    <d v="2022-03-29T00:00:00"/>
    <s v="Kardio-Line spol. s r.o."/>
    <m/>
    <n v="1992800"/>
    <n v="2411288"/>
    <m/>
    <m/>
    <m/>
    <d v="2022-03-29T00:00:00"/>
    <s v="SMLN-2022-617-000203_x000a_SMLN-2022-612-000032"/>
    <x v="111"/>
  </r>
  <r>
    <d v="2022-03-03T00:00:00"/>
    <s v="VZ-2022-000239"/>
    <x v="2"/>
    <s v="Pavela"/>
    <x v="202"/>
    <m/>
    <m/>
    <m/>
    <s v="45215100-8"/>
    <s v="1.2.87."/>
    <n v="560000"/>
    <x v="2"/>
    <d v="2022-03-09T00:00:00"/>
    <d v="2022-03-22T00:00:00"/>
    <d v="2022-03-29T00:00:00"/>
    <s v="BDC Development s.r.o."/>
    <m/>
    <n v="585535.43999999994"/>
    <n v="708497.88"/>
    <m/>
    <m/>
    <m/>
    <d v="2022-03-30T00:00:00"/>
    <s v="SMLN-2022-618-000022"/>
    <x v="82"/>
  </r>
  <r>
    <d v="2022-02-24T00:00:00"/>
    <s v="VZ-2022-000242"/>
    <x v="6"/>
    <s v="Zdráhalová"/>
    <x v="203"/>
    <m/>
    <m/>
    <m/>
    <s v="33141620-2"/>
    <m/>
    <n v="12231182.550000001"/>
    <x v="0"/>
    <d v="2022-03-18T00:00:00"/>
    <d v="2022-05-20T00:00:00"/>
    <d v="2022-11-16T00:00:00"/>
    <s v="SANICARE s.r.o."/>
    <m/>
    <n v="11910294.4"/>
    <n v="14411456.220000001"/>
    <m/>
    <m/>
    <m/>
    <d v="2022-11-16T00:00:00"/>
    <s v="SMLN-2022-617-000806"/>
    <x v="112"/>
  </r>
  <r>
    <d v="2022-03-03T00:00:00"/>
    <s v="VZ-2022-000244"/>
    <x v="1"/>
    <s v="Ondráčková"/>
    <x v="204"/>
    <m/>
    <m/>
    <m/>
    <s v="33652300-8"/>
    <m/>
    <n v="132187891"/>
    <x v="0"/>
    <d v="2022-04-01T00:00:00"/>
    <d v="2022-05-05T00:00:00"/>
    <m/>
    <s v="zrušeno - bez hodnotitelné nabídky"/>
    <s v="nová VZ-2022-000551"/>
    <m/>
    <m/>
    <m/>
    <m/>
    <m/>
    <m/>
    <m/>
    <x v="4"/>
  </r>
  <r>
    <d v="2022-03-03T00:00:00"/>
    <s v="VZ-2022-000245"/>
    <x v="1"/>
    <s v="Ondráčková"/>
    <x v="205"/>
    <m/>
    <m/>
    <m/>
    <s v="33652300-8"/>
    <m/>
    <n v="1978910"/>
    <x v="0"/>
    <d v="2022-04-01T00:00:00"/>
    <d v="2022-05-05T00:00:00"/>
    <d v="2022-05-27T00:00:00"/>
    <s v="Alliance Healthcare s.r.o."/>
    <m/>
    <n v="1046443.44"/>
    <n v="1151087.78"/>
    <m/>
    <m/>
    <m/>
    <d v="2022-05-27T00:00:00"/>
    <s v="SMLN-2022-617-000373"/>
    <x v="6"/>
  </r>
  <r>
    <d v="2022-03-03T00:00:00"/>
    <s v="VZ-2022-000246"/>
    <x v="1"/>
    <s v="Ondráčková"/>
    <x v="206"/>
    <n v="1"/>
    <s v="IXAZOMID"/>
    <m/>
    <s v="33652300-8"/>
    <m/>
    <n v="8502309"/>
    <x v="0"/>
    <d v="2022-03-08T00:00:00"/>
    <d v="2022-04-27T00:00:00"/>
    <d v="2022-05-13T00:00:00"/>
    <s v="Alliance Healthcare s.r.o."/>
    <m/>
    <n v="8813237.0700000003"/>
    <n v="9694560.7799999993"/>
    <m/>
    <m/>
    <m/>
    <d v="2022-05-13T00:00:00"/>
    <s v="SMLN-2022-617-000350"/>
    <x v="88"/>
  </r>
  <r>
    <d v="2022-03-03T00:00:00"/>
    <s v="VZ-2022-000246"/>
    <x v="1"/>
    <s v="Ondráčková"/>
    <x v="206"/>
    <n v="2"/>
    <s v="ANAGRELID I."/>
    <m/>
    <s v="33652300-8"/>
    <m/>
    <n v="2045179"/>
    <x v="0"/>
    <d v="2022-03-08T00:00:00"/>
    <d v="2022-04-27T00:00:00"/>
    <d v="2022-05-13T00:00:00"/>
    <s v="Alliance Healthcare s.r.o."/>
    <m/>
    <n v="2045178.72"/>
    <n v="2249696.59"/>
    <m/>
    <m/>
    <m/>
    <d v="2022-05-13T00:00:00"/>
    <s v="SMLN-2022-617-000351"/>
    <x v="88"/>
  </r>
  <r>
    <d v="2022-03-03T00:00:00"/>
    <s v="VZ-2022-000246"/>
    <x v="1"/>
    <s v="Ondráčková"/>
    <x v="206"/>
    <n v="3"/>
    <s v="ANAGRELID II."/>
    <m/>
    <s v="33652300-8"/>
    <m/>
    <n v="635625"/>
    <x v="0"/>
    <d v="2022-03-08T00:00:00"/>
    <d v="2022-04-27T00:00:00"/>
    <d v="2022-05-13T00:00:00"/>
    <s v="PHOENIX lék.velkoobchod, s.r.o."/>
    <m/>
    <n v="633641.85"/>
    <n v="697006.04"/>
    <m/>
    <m/>
    <m/>
    <d v="2022-05-13T00:00:00"/>
    <s v="SMLN-2022-617-000352"/>
    <x v="80"/>
  </r>
  <r>
    <d v="2022-02-23T00:00:00"/>
    <s v="VZ-2022-000247"/>
    <x v="0"/>
    <s v="Valtová"/>
    <x v="207"/>
    <m/>
    <m/>
    <m/>
    <s v="33140000-3"/>
    <m/>
    <n v="2192300"/>
    <x v="0"/>
    <d v="2022-03-08T00:00:00"/>
    <d v="2022-07-27T00:00:00"/>
    <d v="2022-08-19T00:00:00"/>
    <s v="BS PRAGUE MEDICAL CS, spol. s r.o."/>
    <m/>
    <n v="2181740"/>
    <n v="2639905.4"/>
    <m/>
    <m/>
    <m/>
    <d v="2022-08-19T00:00:00"/>
    <s v="SMLN-2022-617-000570_x000a_SMLN-2022-614-000070"/>
    <x v="113"/>
  </r>
  <r>
    <d v="2022-03-01T00:00:00"/>
    <s v="VZ-2022-000248"/>
    <x v="0"/>
    <s v="Merta"/>
    <x v="208"/>
    <m/>
    <m/>
    <m/>
    <s v="33141200-2"/>
    <m/>
    <n v="158775474"/>
    <x v="0"/>
    <d v="2022-03-14T00:00:00"/>
    <d v="2022-04-14T00:00:00"/>
    <d v="2022-05-19T00:00:00"/>
    <s v="MEDEON s.r.o."/>
    <m/>
    <n v="158714871"/>
    <n v="192044994"/>
    <m/>
    <m/>
    <m/>
    <d v="2022-05-19T00:00:00"/>
    <s v="SMLN-2022-617-000367_x000a_SMLN-2022-614-000045_x000a_SMLN-2022-616-000021"/>
    <x v="63"/>
  </r>
  <r>
    <d v="2022-02-09T00:00:00"/>
    <s v="VZ-2022-000249"/>
    <x v="0"/>
    <s v="Valtová"/>
    <x v="209"/>
    <m/>
    <m/>
    <m/>
    <s v="33140000-3"/>
    <m/>
    <n v="2080500"/>
    <x v="0"/>
    <d v="2022-03-11T00:00:00"/>
    <d v="2022-04-13T00:00:00"/>
    <d v="2022-05-04T00:00:00"/>
    <s v="A care a.s."/>
    <m/>
    <n v="2080500"/>
    <n v="2517405"/>
    <m/>
    <m/>
    <m/>
    <d v="2022-05-04T00:00:00"/>
    <s v="SMLN-2022-617-000319_x000a_SMLN-2022-614-000043"/>
    <x v="114"/>
  </r>
  <r>
    <d v="2022-02-17T00:00:00"/>
    <s v="VZ-2022-000250"/>
    <x v="0"/>
    <s v="Valtová"/>
    <x v="210"/>
    <n v="1"/>
    <s v="5.1. Kličky pro polypektomii, jednorázové k resekci za studena"/>
    <m/>
    <s v="33140000-3"/>
    <m/>
    <n v="435000"/>
    <x v="0"/>
    <d v="2022-03-14T00:00:00"/>
    <d v="2022-06-06T00:00:00"/>
    <d v="2022-08-09T00:00:00"/>
    <s v="Medinet s.r.o."/>
    <m/>
    <n v="176000"/>
    <n v="212960"/>
    <m/>
    <m/>
    <m/>
    <d v="2022-08-09T00:00:00"/>
    <s v="SMLN-2022-617-000513_x000a_SMLN-2022-614-000059"/>
    <x v="115"/>
  </r>
  <r>
    <d v="2022-02-17T00:00:00"/>
    <s v="VZ-2022-000250"/>
    <x v="0"/>
    <s v="Valtová"/>
    <x v="210"/>
    <n v="2"/>
    <s v="5.3. Kličky pro polypektomii  jednorázové hybridní"/>
    <m/>
    <s v="33140000-3"/>
    <m/>
    <n v="1740000"/>
    <x v="0"/>
    <d v="2022-03-14T00:00:00"/>
    <d v="2022-06-06T00:00:00"/>
    <d v="2022-08-09T00:00:00"/>
    <s v="Olympus Czech Group, s.r.o., člen koncernu"/>
    <m/>
    <n v="748000"/>
    <n v="905080"/>
    <m/>
    <m/>
    <m/>
    <d v="2022-08-09T00:00:00"/>
    <s v="SMLN-2022-617-000514_x000a_SMLN-2022-614-000060"/>
    <x v="116"/>
  </r>
  <r>
    <d v="2022-02-17T00:00:00"/>
    <s v="VZ-2022-000250"/>
    <x v="0"/>
    <s v="Valtová"/>
    <x v="210"/>
    <n v="3"/>
    <s v="5.4. Souprava polypektomická jednorázová, k použití pro EMRC v horním GI traktu"/>
    <m/>
    <s v="33140000-3"/>
    <m/>
    <n v="1526200"/>
    <x v="0"/>
    <d v="2022-03-14T00:00:00"/>
    <d v="2022-06-06T00:00:00"/>
    <d v="2022-08-09T00:00:00"/>
    <s v="Olympus Czech Group, s.r.o., člen koncernu"/>
    <m/>
    <n v="77830"/>
    <n v="94174.3"/>
    <m/>
    <m/>
    <m/>
    <d v="2022-08-09T00:00:00"/>
    <s v="SMLN-2022-617-000515_x000a_SMLN-2022-614-000061"/>
    <x v="116"/>
  </r>
  <r>
    <d v="2022-02-17T00:00:00"/>
    <s v="VZ-2022-000250"/>
    <x v="0"/>
    <s v="Valtová"/>
    <x v="210"/>
    <n v="4"/>
    <s v="5.5. Kličky asymetrické jednorázové elektrochirurgické do gastroskopu"/>
    <m/>
    <s v="33140000-3"/>
    <m/>
    <n v="244200"/>
    <x v="0"/>
    <d v="2022-03-14T00:00:00"/>
    <d v="2022-06-06T00:00:00"/>
    <d v="2022-08-09T00:00:00"/>
    <s v="Boston Scientific Česká republika s.r.o."/>
    <m/>
    <n v="115500"/>
    <n v="139755"/>
    <m/>
    <m/>
    <m/>
    <d v="2022-08-09T00:00:00"/>
    <s v="SMLN-2022-617-000516_x000a_SMLN-2022-614-000062"/>
    <x v="117"/>
  </r>
  <r>
    <d v="2022-02-17T00:00:00"/>
    <s v="VZ-2022-000250"/>
    <x v="0"/>
    <s v="Valtová"/>
    <x v="210"/>
    <n v="5"/>
    <s v="5.2.1. Kličky polypektomické k diatermické polypektomii, jednorázové monofilamentní"/>
    <m/>
    <s v="33140000-3"/>
    <m/>
    <n v="440400"/>
    <x v="0"/>
    <d v="2022-03-14T00:00:00"/>
    <d v="2022-06-06T00:00:00"/>
    <d v="2022-08-09T00:00:00"/>
    <s v="Medinet s.r.o."/>
    <m/>
    <n v="243000"/>
    <n v="294030"/>
    <m/>
    <m/>
    <m/>
    <d v="2022-08-09T00:00:00"/>
    <s v="SMLN-2022-617-000517_x000a_SMLN-2022-614-000063"/>
    <x v="115"/>
  </r>
  <r>
    <d v="2022-02-17T00:00:00"/>
    <s v="VZ-2022-000250"/>
    <x v="0"/>
    <s v="Valtová"/>
    <x v="210"/>
    <n v="6"/>
    <s v="5.2.2. Kličky polypektomické k diatermické polypektomii, jednorázové  pletené    "/>
    <m/>
    <s v="33140000-3"/>
    <m/>
    <n v="860000"/>
    <x v="0"/>
    <d v="2022-03-14T00:00:00"/>
    <d v="2022-06-06T00:00:00"/>
    <d v="2022-08-09T00:00:00"/>
    <s v="Medinet s.r.o."/>
    <m/>
    <n v="560000"/>
    <n v="677600"/>
    <m/>
    <m/>
    <m/>
    <d v="2022-08-09T00:00:00"/>
    <s v="SMLN-2022-617-000518_x000a_SMLN-2022-614-000064_x000a_SMLN-2022-614-000065"/>
    <x v="115"/>
  </r>
  <r>
    <d v="2022-02-17T00:00:00"/>
    <s v="VZ-2022-000250"/>
    <x v="0"/>
    <s v="Valtová"/>
    <x v="210"/>
    <n v="7"/>
    <s v="5.2.3.  Kličky polypektomické k diatermické polypektomii, jednorázové pletené s přídavným opletením"/>
    <m/>
    <s v="33140000-3"/>
    <m/>
    <n v="311500"/>
    <x v="0"/>
    <d v="2022-03-14T00:00:00"/>
    <d v="2022-06-06T00:00:00"/>
    <d v="2022-08-09T00:00:00"/>
    <s v="Medinet s.r.o."/>
    <m/>
    <n v="205000"/>
    <n v="248050"/>
    <m/>
    <m/>
    <m/>
    <d v="2022-08-09T00:00:00"/>
    <s v="SMLN-2022-617-000519_x000a_SMLN-2022-614-000066"/>
    <x v="115"/>
  </r>
  <r>
    <d v="2022-03-03T00:00:00"/>
    <s v="VZ-2022-000251"/>
    <x v="3"/>
    <s v="Olejníček"/>
    <x v="211"/>
    <m/>
    <m/>
    <m/>
    <s v="33111650-2"/>
    <s v="2.3.595."/>
    <n v="10344909"/>
    <x v="0"/>
    <d v="2022-04-19T00:00:00"/>
    <d v="2022-06-15T00:00:00"/>
    <d v="2022-08-19T00:00:00"/>
    <s v="Stargen EU s.r.o."/>
    <m/>
    <n v="11657040"/>
    <n v="14105018.4"/>
    <m/>
    <m/>
    <m/>
    <d v="2022-08-19T00:00:00"/>
    <s v="SMLN-2022-617-000571_x000a_SMLN-2022-612-000172"/>
    <x v="118"/>
  </r>
  <r>
    <d v="2022-02-25T00:00:00"/>
    <s v="VZ-2022-000256"/>
    <x v="0"/>
    <s v="Dočkalová"/>
    <x v="212"/>
    <n v="1"/>
    <s v="Trokar s ochranným ostřím a fixačním balonkem"/>
    <m/>
    <s v="33162200-5"/>
    <m/>
    <n v="1590094"/>
    <x v="0"/>
    <d v="2022-03-11T00:00:00"/>
    <d v="2022-04-13T00:00:00"/>
    <m/>
    <s v="zrušeno - bez nabídky"/>
    <s v="nová VZ-2022-000442"/>
    <m/>
    <m/>
    <m/>
    <m/>
    <m/>
    <m/>
    <m/>
    <x v="4"/>
  </r>
  <r>
    <d v="2022-02-25T00:00:00"/>
    <s v="VZ-2022-000256"/>
    <x v="0"/>
    <s v="Dočkalová"/>
    <x v="212"/>
    <n v="2"/>
    <s v="Trokar s lineárním břitem a fixačním rukávem"/>
    <m/>
    <s v="33162200-5"/>
    <m/>
    <n v="1515757"/>
    <x v="0"/>
    <d v="2022-03-11T00:00:00"/>
    <d v="2022-04-13T00:00:00"/>
    <d v="2022-04-29T00:00:00"/>
    <s v="Medtronic Czechia s.r.o."/>
    <m/>
    <n v="830620"/>
    <n v="1005050.2"/>
    <m/>
    <m/>
    <m/>
    <d v="2022-04-29T00:00:00"/>
    <s v="SMLN-2022-617-000300"/>
    <x v="88"/>
  </r>
  <r>
    <d v="2022-03-04T00:00:00"/>
    <s v="VZ-2022-000257"/>
    <x v="3"/>
    <s v="Olejníček"/>
    <x v="213"/>
    <n v="1"/>
    <s v="Centrifuga pro Ústav klinické a molekulární patologie"/>
    <m/>
    <s v="33100000-1"/>
    <s v="2.2.425.,2.3.578."/>
    <n v="1294071"/>
    <x v="0"/>
    <d v="2022-04-19T00:00:00"/>
    <d v="2022-06-03T00:00:00"/>
    <d v="2022-08-01T00:00:00"/>
    <s v="SCHOELLER INSTRUMENTS, s.r.o."/>
    <m/>
    <n v="879700"/>
    <n v="10644374"/>
    <m/>
    <m/>
    <m/>
    <d v="2022-08-01T00:00:00"/>
    <s v="SMLN-2022-617-000489_x000a_SMLN-2022-612-000143"/>
    <x v="119"/>
  </r>
  <r>
    <d v="2022-03-04T00:00:00"/>
    <s v="VZ-2022-000257"/>
    <x v="3"/>
    <s v="Olejníček"/>
    <x v="213"/>
    <n v="2"/>
    <s v="Centrifugy pro Transfuzní oddělení"/>
    <m/>
    <s v="33100000-1"/>
    <s v="2.3.586.,2.3.627."/>
    <n v="794250"/>
    <x v="0"/>
    <d v="2022-04-19T00:00:00"/>
    <d v="2022-06-03T00:00:00"/>
    <d v="2022-08-01T00:00:00"/>
    <s v="SCHOELLER INSTRUMENTS, s.r.o."/>
    <m/>
    <n v="415200"/>
    <n v="502392"/>
    <m/>
    <m/>
    <m/>
    <d v="2022-08-01T00:00:00"/>
    <s v="SMLN-2022-617-000492_x000a_SMLN-2022-617-000493_x000a_SMLN-2022-612-000146"/>
    <x v="108"/>
  </r>
  <r>
    <d v="2022-03-04T00:00:00"/>
    <s v="VZ-2022-000257"/>
    <x v="3"/>
    <s v="Olejníček"/>
    <x v="213"/>
    <n v="3"/>
    <s v="Centrifuga pro OKB - LDMP"/>
    <m/>
    <s v="33100000-1"/>
    <s v="2.3.575."/>
    <n v="261612"/>
    <x v="0"/>
    <d v="2022-04-19T00:00:00"/>
    <d v="2022-06-03T00:00:00"/>
    <d v="2022-08-01T00:00:00"/>
    <s v="SCHOELLER INSTRUMENTS, s.r.o."/>
    <m/>
    <n v="169200"/>
    <n v="204732"/>
    <m/>
    <m/>
    <m/>
    <d v="2022-08-01T00:00:00"/>
    <s v="SMLN-2022-617-000490_x000a_SMLN-2022-612-000144"/>
    <x v="108"/>
  </r>
  <r>
    <d v="2022-03-04T00:00:00"/>
    <s v="VZ-2022-000257"/>
    <x v="3"/>
    <s v="Olejníček"/>
    <x v="213"/>
    <n v="4"/>
    <s v="Centrifuga pro OKB - úsek imunoanalytických metod"/>
    <m/>
    <s v="33100000-1"/>
    <s v="2.3.575."/>
    <n v="261612"/>
    <x v="0"/>
    <d v="2022-04-19T00:00:00"/>
    <d v="2022-06-03T00:00:00"/>
    <d v="2022-08-05T00:00:00"/>
    <s v="BioTech a.s."/>
    <m/>
    <n v="142000"/>
    <n v="171820"/>
    <m/>
    <m/>
    <m/>
    <d v="2022-08-05T00:00:00"/>
    <s v="SMLN-2022-617-000505_x000a_SMLN-2022-612-000149"/>
    <x v="120"/>
  </r>
  <r>
    <d v="2022-03-04T00:00:00"/>
    <s v="VZ-2022-000257"/>
    <x v="3"/>
    <s v="Olejníček"/>
    <x v="213"/>
    <n v="5"/>
    <s v="Vakuový koncentrátor"/>
    <m/>
    <s v="33100000-1"/>
    <s v="2.2.422."/>
    <n v="272000"/>
    <x v="0"/>
    <d v="2022-04-19T00:00:00"/>
    <d v="2022-06-03T00:00:00"/>
    <d v="2022-08-01T00:00:00"/>
    <s v="TRIGON PLUS s.r.o."/>
    <m/>
    <n v="236000"/>
    <n v="285560"/>
    <m/>
    <m/>
    <m/>
    <d v="2022-08-01T00:00:00"/>
    <s v="SMLN-2022-617-000494_x000a_SMLN-2022-612-000147"/>
    <x v="108"/>
  </r>
  <r>
    <d v="2022-03-04T00:00:00"/>
    <s v="VZ-2022-000257"/>
    <x v="4"/>
    <s v="Olejníček"/>
    <x v="213"/>
    <n v="6"/>
    <s v="Centrifuga pro Hemato-onkologickou kliniku"/>
    <m/>
    <s v="33100000-1"/>
    <s v="2.3.659."/>
    <n v="105000"/>
    <x v="0"/>
    <d v="2022-04-19T00:00:00"/>
    <d v="2022-06-03T00:00:00"/>
    <d v="2022-08-01T00:00:00"/>
    <s v="SCHOELLER INSTRUMENTS, s.r.o."/>
    <m/>
    <n v="62100"/>
    <n v="75141"/>
    <m/>
    <m/>
    <m/>
    <d v="2022-08-01T00:00:00"/>
    <s v="SMLN-2022-617-000491_x000a_SMLN-2022-612-000145"/>
    <x v="108"/>
  </r>
  <r>
    <d v="2022-03-04T00:00:00"/>
    <s v="VZ-2022-000259"/>
    <x v="6"/>
    <s v="Zdráhalová"/>
    <x v="214"/>
    <m/>
    <m/>
    <m/>
    <s v="39120000-9"/>
    <m/>
    <n v="2667613"/>
    <x v="0"/>
    <d v="2022-03-11T00:00:00"/>
    <d v="2022-04-19T00:00:00"/>
    <d v="2022-05-25T00:00:00"/>
    <s v="BRANTAL, spol. s r.o."/>
    <m/>
    <n v="2588444"/>
    <n v="3132017.24"/>
    <m/>
    <m/>
    <m/>
    <d v="2022-05-25T00:00:00"/>
    <s v="SMLN-2022-618-000029"/>
    <x v="6"/>
  </r>
  <r>
    <d v="2022-03-08T00:00:00"/>
    <s v="VZ-2022-000267"/>
    <x v="9"/>
    <s v="Miklík"/>
    <x v="215"/>
    <m/>
    <m/>
    <m/>
    <s v="72225000-8"/>
    <m/>
    <n v="1450000"/>
    <x v="2"/>
    <d v="2022-03-10T00:00:00"/>
    <d v="2022-03-17T00:00:00"/>
    <m/>
    <s v="zrušeno - upravit specifikaci"/>
    <s v="nová VZ-2022-000283"/>
    <m/>
    <m/>
    <m/>
    <m/>
    <m/>
    <m/>
    <m/>
    <x v="4"/>
  </r>
  <r>
    <d v="2022-03-01T00:00:00"/>
    <s v="VZ-2022-000269"/>
    <x v="0"/>
    <s v="Dočkalová"/>
    <x v="216"/>
    <m/>
    <m/>
    <m/>
    <s v="33140000-3"/>
    <m/>
    <n v="12643200"/>
    <x v="0"/>
    <d v="2022-03-18T00:00:00"/>
    <d v="2022-04-27T00:00:00"/>
    <d v="2022-05-25T00:00:00"/>
    <s v="Terumo BCT Europe N.V."/>
    <m/>
    <n v="12643200"/>
    <n v="15298272"/>
    <m/>
    <m/>
    <m/>
    <d v="2022-05-25T00:00:00"/>
    <s v="SMLN-2022-617-000370"/>
    <x v="121"/>
  </r>
  <r>
    <d v="2022-03-10T00:00:00"/>
    <s v="VZ-2022-000272"/>
    <x v="15"/>
    <s v="Jeřábková"/>
    <x v="217"/>
    <m/>
    <m/>
    <m/>
    <s v="55110000-4"/>
    <m/>
    <n v="700000"/>
    <x v="2"/>
    <d v="2022-03-11T00:00:00"/>
    <d v="2022-03-18T00:00:00"/>
    <d v="2022-03-22T00:00:00"/>
    <s v="HOTELPARK STADION a.s."/>
    <m/>
    <n v="736884.3"/>
    <n v="838000"/>
    <m/>
    <m/>
    <m/>
    <d v="2022-03-22T00:00:00"/>
    <s v="SMLN-2022-612-000029"/>
    <x v="20"/>
  </r>
  <r>
    <d v="2022-03-09T00:00:00"/>
    <s v="VZ-2022-000273"/>
    <x v="4"/>
    <s v="Olejníček"/>
    <x v="218"/>
    <n v="1"/>
    <s v="Mycí a dezinfekční automata na operační obuv - KUČOCH"/>
    <m/>
    <s v="33191000-5"/>
    <s v="2.2.443."/>
    <n v="432000"/>
    <x v="0"/>
    <d v="2022-04-13T00:00:00"/>
    <d v="2022-05-19T00:00:00"/>
    <d v="2022-06-10T00:00:00"/>
    <s v="MIELE, spol. s r.o."/>
    <m/>
    <n v="431245"/>
    <n v="521806.45"/>
    <m/>
    <m/>
    <m/>
    <d v="2022-06-10T00:00:00"/>
    <s v="SMLN-2022-617-000396_x000a_SMLN-2022-612-000100"/>
    <x v="102"/>
  </r>
  <r>
    <d v="2022-03-09T00:00:00"/>
    <s v="VZ-2022-000273"/>
    <x v="4"/>
    <s v="Olejníček"/>
    <x v="218"/>
    <n v="2"/>
    <s v="Desinfektor včetně příslušenství pro Dětskou kliniku"/>
    <m/>
    <s v="33191000-5"/>
    <s v="2.3.635."/>
    <n v="292000"/>
    <x v="0"/>
    <d v="2022-04-13T00:00:00"/>
    <d v="2022-05-19T00:00:00"/>
    <d v="2022-06-10T00:00:00"/>
    <s v="Fénix Brno, spol. s r.o."/>
    <m/>
    <n v="291142"/>
    <n v="352281.82"/>
    <m/>
    <m/>
    <m/>
    <d v="2022-06-10T00:00:00"/>
    <s v="SMLN-2022-617-000397_x000a_SMLN-2022-612-000101"/>
    <x v="102"/>
  </r>
  <r>
    <d v="2022-03-09T00:00:00"/>
    <s v="VZ-2022-000273"/>
    <x v="3"/>
    <s v="Olejníček"/>
    <x v="218"/>
    <n v="3"/>
    <s v="Laboratoní myčka pro mytí laboratorního skla - Ústav mikrobiologie"/>
    <m/>
    <s v="33191000-5"/>
    <s v="2.3.577."/>
    <n v="640810"/>
    <x v="0"/>
    <d v="2022-04-13T00:00:00"/>
    <d v="2022-05-19T00:00:00"/>
    <d v="2022-06-10T00:00:00"/>
    <s v="MIELE, spol. s r.o."/>
    <m/>
    <n v="571120"/>
    <n v="691055.2"/>
    <m/>
    <m/>
    <m/>
    <d v="2022-06-10T00:00:00"/>
    <s v="SMLN-2022-617-000398_x000a_SMLN-2022-612-000102"/>
    <x v="102"/>
  </r>
  <r>
    <d v="2022-02-25T00:00:00"/>
    <s v="VZ-2022-000275"/>
    <x v="0"/>
    <s v="Valtová"/>
    <x v="219"/>
    <m/>
    <m/>
    <m/>
    <s v="33140000-3"/>
    <m/>
    <n v="2308500"/>
    <x v="0"/>
    <d v="2022-03-15T00:00:00"/>
    <d v="2022-05-25T00:00:00"/>
    <d v="2022-06-16T00:00:00"/>
    <s v="Mediform, spol. s r.o."/>
    <m/>
    <n v="930000"/>
    <n v="1125300"/>
    <m/>
    <m/>
    <m/>
    <d v="2022-06-16T00:00:00"/>
    <s v="SMLN-2022-617-000412_x000a_SMLN-2022-614-000053"/>
    <x v="122"/>
  </r>
  <r>
    <s v="opakovaná VZ"/>
    <s v="VZ-2022-000283"/>
    <x v="9"/>
    <s v="Miklík"/>
    <x v="220"/>
    <m/>
    <m/>
    <m/>
    <s v="72225000-8"/>
    <m/>
    <n v="1450000"/>
    <x v="2"/>
    <d v="2022-03-16T00:00:00"/>
    <d v="2022-03-25T00:00:00"/>
    <d v="2022-04-07T00:00:00"/>
    <s v="GROUWE, s.r.o."/>
    <m/>
    <n v="990000"/>
    <n v="1197900"/>
    <m/>
    <m/>
    <m/>
    <d v="2022-04-07T00:00:00"/>
    <s v="SMLN-2022-612-000039"/>
    <x v="82"/>
  </r>
  <r>
    <d v="2022-03-16T00:00:00"/>
    <s v="VZ-2022-000284"/>
    <x v="6"/>
    <s v="Zdráhalová"/>
    <x v="221"/>
    <m/>
    <m/>
    <m/>
    <s v="39143121-0"/>
    <m/>
    <n v="1509200"/>
    <x v="2"/>
    <d v="2022-03-23T00:00:00"/>
    <d v="2022-04-01T00:00:00"/>
    <d v="2022-04-29T00:00:00"/>
    <s v="IN SPACE s.r.o."/>
    <m/>
    <n v="1930500"/>
    <n v="2335905"/>
    <m/>
    <m/>
    <m/>
    <d v="2022-04-29T00:00:00"/>
    <s v="SMLN-2022-617-000299"/>
    <x v="85"/>
  </r>
  <r>
    <s v="opakovaná VZ"/>
    <s v="VZ-2022-000286"/>
    <x v="0"/>
    <s v="Valtová"/>
    <x v="222"/>
    <m/>
    <m/>
    <m/>
    <s v="33140000-3"/>
    <m/>
    <n v="13758670"/>
    <x v="0"/>
    <d v="2022-03-18T00:00:00"/>
    <d v="2022-04-20T00:00:00"/>
    <d v="2022-05-04T00:00:00"/>
    <s v="A care a.s."/>
    <m/>
    <n v="13758670"/>
    <n v="15822470.5"/>
    <m/>
    <m/>
    <m/>
    <d v="2022-05-04T00:00:00"/>
    <s v="SMLN-2022-617-000320_x000a_SMLN-2022-614-000044"/>
    <x v="114"/>
  </r>
  <r>
    <d v="2022-03-17T00:00:00"/>
    <s v="VZ-2022-000290"/>
    <x v="4"/>
    <s v="Olejníček"/>
    <x v="223"/>
    <m/>
    <m/>
    <m/>
    <s v="33192400-6"/>
    <s v="2.2.444."/>
    <n v="631835"/>
    <x v="2"/>
    <d v="2022-03-21T00:00:00"/>
    <d v="2022-03-31T00:00:00"/>
    <d v="2022-04-20T00:00:00"/>
    <s v="SCHAFFEROVÁ spol. s r.o."/>
    <m/>
    <n v="929281.33"/>
    <n v="1124430.4099999999"/>
    <m/>
    <m/>
    <m/>
    <d v="2022-04-20T00:00:00"/>
    <s v="SMLN-2022-617-000266_x000a_SMLN-2022-612-000050"/>
    <x v="87"/>
  </r>
  <r>
    <d v="2022-03-17T00:00:00"/>
    <s v="VZ-2022-000291"/>
    <x v="0"/>
    <s v="Dočkalová"/>
    <x v="224"/>
    <m/>
    <m/>
    <m/>
    <s v="33162200-5"/>
    <m/>
    <n v="2782400"/>
    <x v="0"/>
    <d v="2022-03-21T00:00:00"/>
    <d v="2022-04-25T00:00:00"/>
    <d v="2022-05-09T00:00:00"/>
    <s v="ADYTON s.r.o."/>
    <m/>
    <n v="2782400"/>
    <n v="3199760"/>
    <m/>
    <m/>
    <m/>
    <d v="2022-05-09T00:00:00"/>
    <s v="SMLN-2022-617-000326"/>
    <x v="61"/>
  </r>
  <r>
    <s v="opakovaná VZ"/>
    <s v="VZ-2022-000293"/>
    <x v="3"/>
    <s v="Olejníček"/>
    <x v="225"/>
    <n v="1"/>
    <s v="Laboratorní mikroskopy   "/>
    <s v="38634000-8 "/>
    <s v="38634000-8 "/>
    <s v="2.3.569."/>
    <n v="1786211"/>
    <x v="0"/>
    <d v="2022-04-14T00:00:00"/>
    <d v="2022-05-20T00:00:00"/>
    <d v="2022-09-08T00:00:00"/>
    <s v="Sven BioLabs s.r.o."/>
    <m/>
    <n v="1793994"/>
    <n v="2170732.7400000002"/>
    <m/>
    <m/>
    <m/>
    <d v="2022-09-08T00:00:00"/>
    <s v="SMLN-2022-617-000619_x000a_SMLN-2022-612-000187"/>
    <x v="103"/>
  </r>
  <r>
    <s v="opakovaná VZ"/>
    <s v="VZ-2022-000293"/>
    <x v="4"/>
    <s v="Olejníček"/>
    <x v="225"/>
    <n v="2"/>
    <s v="Mikroskop pro III. Inetrní kliniku"/>
    <m/>
    <s v="38634000-8 "/>
    <m/>
    <n v="195162"/>
    <x v="0"/>
    <d v="2022-04-14T00:00:00"/>
    <d v="2022-05-20T00:00:00"/>
    <d v="2022-09-08T00:00:00"/>
    <s v="Sven BioLabs s.r.o."/>
    <m/>
    <n v="205668"/>
    <n v="248858.28"/>
    <m/>
    <m/>
    <m/>
    <d v="2022-09-08T00:00:00"/>
    <s v="SMLN-2022-617-000620_x000a_SMLN-2022-612-000188"/>
    <x v="103"/>
  </r>
  <r>
    <d v="2022-03-18T00:00:00"/>
    <s v="VZ-2022-000295"/>
    <x v="4"/>
    <s v="Olejníček"/>
    <x v="226"/>
    <m/>
    <m/>
    <m/>
    <s v="33160000-9"/>
    <s v="2.2.449."/>
    <n v="455000"/>
    <x v="0"/>
    <d v="2022-03-25T00:00:00"/>
    <d v="2022-04-26T00:00:00"/>
    <d v="2022-05-12T00:00:00"/>
    <s v="SCHAFFEROVÁ spol. s r.o."/>
    <m/>
    <n v="478600"/>
    <n v="579106"/>
    <m/>
    <m/>
    <m/>
    <d v="2022-05-12T00:00:00"/>
    <s v="SMLN-2022-617-000349_x000a_SMLN-2022-612-000080"/>
    <x v="123"/>
  </r>
  <r>
    <d v="2022-03-21T00:00:00"/>
    <s v="VZ-2022-000298"/>
    <x v="0"/>
    <s v="Dočkalová"/>
    <x v="227"/>
    <m/>
    <m/>
    <m/>
    <s v="33140000-3"/>
    <m/>
    <n v="1527150"/>
    <x v="2"/>
    <d v="2022-03-23T00:00:00"/>
    <d v="2022-04-01T00:00:00"/>
    <m/>
    <s v="zrušeno - bez hodnotitelné nabídky"/>
    <s v="nová VZ-2022-000542"/>
    <m/>
    <m/>
    <m/>
    <m/>
    <m/>
    <m/>
    <m/>
    <x v="4"/>
  </r>
  <r>
    <d v="2022-03-22T00:00:00"/>
    <s v="VZ-2022-000303"/>
    <x v="0"/>
    <s v="Valtová"/>
    <x v="228"/>
    <m/>
    <m/>
    <m/>
    <s v="33140000-3"/>
    <m/>
    <n v="1513044"/>
    <x v="2"/>
    <d v="2022-03-29T00:00:00"/>
    <d v="2022-04-07T00:00:00"/>
    <d v="2022-04-13T00:00:00"/>
    <s v="Cardiomedical, s.r.o."/>
    <m/>
    <n v="1437000"/>
    <n v="1652550"/>
    <m/>
    <m/>
    <m/>
    <d v="2022-04-13T00:00:00"/>
    <s v="SMLN-2022-617-000249_x000a_SMLN-2022-614-000038"/>
    <x v="111"/>
  </r>
  <r>
    <d v="2022-03-22T00:00:00"/>
    <s v="VZ-2022-000306"/>
    <x v="1"/>
    <s v="Ondráčková"/>
    <x v="229"/>
    <n v="1"/>
    <s v="FOSKARNET"/>
    <m/>
    <s v="33651400-2"/>
    <m/>
    <n v="10130509"/>
    <x v="0"/>
    <d v="2022-03-28T00:00:00"/>
    <d v="2022-06-01T00:00:00"/>
    <d v="2022-06-10T00:00:00"/>
    <s v="PHOENIX lék.velkoobchod, s.r.o."/>
    <m/>
    <n v="10130508.6"/>
    <n v="11143559.460000001"/>
    <m/>
    <m/>
    <m/>
    <d v="2022-06-10T00:00:00"/>
    <s v="SMLN-2022-617-000401"/>
    <x v="124"/>
  </r>
  <r>
    <d v="2022-05-06T00:00:00"/>
    <s v="VZ-2022-000307"/>
    <x v="1"/>
    <s v="Ondráčková"/>
    <x v="230"/>
    <n v="1"/>
    <s v="LAMIVUDIN"/>
    <m/>
    <s v="33651400-2"/>
    <m/>
    <n v="226023"/>
    <x v="0"/>
    <d v="2022-05-13T00:00:00"/>
    <d v="2022-07-01T00:00:00"/>
    <d v="2022-08-23T00:00:00"/>
    <s v="PHOENIX lék.velkoobchod, s.r.o."/>
    <m/>
    <n v="222454.89"/>
    <n v="244700.38"/>
    <m/>
    <m/>
    <m/>
    <d v="2022-08-24T00:00:00"/>
    <s v="SMLN-2022-617-000580"/>
    <x v="99"/>
  </r>
  <r>
    <d v="2022-05-06T00:00:00"/>
    <s v="VZ-2022-000307"/>
    <x v="1"/>
    <s v="Ondráčková"/>
    <x v="230"/>
    <n v="2"/>
    <s v="TENOFOVIR - DISOPROXIL "/>
    <m/>
    <s v="33651400-2"/>
    <m/>
    <n v="31693"/>
    <x v="0"/>
    <d v="2022-05-13T00:00:00"/>
    <d v="2022-07-01T00:00:00"/>
    <d v="2022-08-23T00:00:00"/>
    <s v="PHOENIX lék.velkoobchod, s.r.o."/>
    <m/>
    <n v="16188.66"/>
    <n v="17807.53"/>
    <m/>
    <m/>
    <m/>
    <d v="2022-08-24T00:00:00"/>
    <s v="SMLN-2022-617-000581"/>
    <x v="99"/>
  </r>
  <r>
    <d v="2022-05-06T00:00:00"/>
    <s v="VZ-2022-000307"/>
    <x v="1"/>
    <s v="Ondráčková"/>
    <x v="230"/>
    <n v="3"/>
    <s v="ENTEKAVIR "/>
    <m/>
    <s v="33651400-2"/>
    <m/>
    <n v="726985"/>
    <x v="0"/>
    <d v="2022-05-13T00:00:00"/>
    <d v="2022-07-01T00:00:00"/>
    <d v="2022-08-23T00:00:00"/>
    <s v="PHOENIX lék.velkoobchod, s.r.o."/>
    <m/>
    <n v="1659693.24"/>
    <n v="1825662.56"/>
    <m/>
    <m/>
    <m/>
    <d v="2022-08-24T00:00:00"/>
    <s v="SMLN-2022-617-000582"/>
    <x v="99"/>
  </r>
  <r>
    <d v="2022-05-06T00:00:00"/>
    <s v="VZ-2022-000307"/>
    <x v="1"/>
    <s v="Ondráčková"/>
    <x v="230"/>
    <n v="4"/>
    <s v="TENOFOVIR - DISOPROXIL A EMTRICITABIN"/>
    <m/>
    <s v="33651400-2"/>
    <m/>
    <n v="15532"/>
    <x v="0"/>
    <d v="2022-05-13T00:00:00"/>
    <d v="2022-07-01T00:00:00"/>
    <m/>
    <s v="zrušeno - bez nabídky"/>
    <m/>
    <m/>
    <m/>
    <m/>
    <m/>
    <m/>
    <m/>
    <m/>
    <x v="4"/>
  </r>
  <r>
    <d v="2022-05-06T00:00:00"/>
    <s v="VZ-2022-000307"/>
    <x v="1"/>
    <s v="Ondráčková"/>
    <x v="230"/>
    <n v="5"/>
    <s v="ELBASVIR A GRAZOPREVIR  "/>
    <m/>
    <s v="33651400-2"/>
    <m/>
    <n v="2891520"/>
    <x v="0"/>
    <d v="2022-05-13T00:00:00"/>
    <d v="2022-07-01T00:00:00"/>
    <d v="2022-08-23T00:00:00"/>
    <s v="Merck Sharp &amp; Dohme s.r.o."/>
    <m/>
    <n v="2734900.74"/>
    <n v="3008390.81"/>
    <m/>
    <m/>
    <m/>
    <d v="2022-08-24T00:00:00"/>
    <s v="SMLN-2022-617-000583"/>
    <x v="125"/>
  </r>
  <r>
    <d v="2022-03-22T00:00:00"/>
    <s v="VZ-2022-000308"/>
    <x v="1"/>
    <s v="Ondráčková"/>
    <x v="231"/>
    <n v="1"/>
    <s v="_x000a_FLUKONAZOL  "/>
    <m/>
    <s v="33651200-0"/>
    <m/>
    <n v="1416354"/>
    <x v="0"/>
    <d v="2022-04-01T00:00:00"/>
    <d v="2022-06-15T00:00:00"/>
    <d v="2022-08-10T00:00:00"/>
    <s v="PHOENIX lék.velkoobchod, s.r.o."/>
    <m/>
    <n v="6044666"/>
    <n v="6649132.5999999996"/>
    <m/>
    <m/>
    <m/>
    <d v="2022-08-10T00:00:00"/>
    <s v="SMLN-2022-617-000522"/>
    <x v="98"/>
  </r>
  <r>
    <d v="2022-03-22T00:00:00"/>
    <s v="VZ-2022-000308"/>
    <x v="1"/>
    <s v="Ondráčková"/>
    <x v="231"/>
    <n v="2"/>
    <s v="ITRAKONAZOL  I."/>
    <m/>
    <s v="33651200-0"/>
    <m/>
    <n v="119605"/>
    <x v="0"/>
    <d v="2022-04-01T00:00:00"/>
    <d v="2022-06-15T00:00:00"/>
    <m/>
    <s v="zrušeno - bez hodnotitelné nabídky"/>
    <m/>
    <m/>
    <m/>
    <m/>
    <m/>
    <m/>
    <m/>
    <m/>
    <x v="4"/>
  </r>
  <r>
    <d v="2022-03-22T00:00:00"/>
    <s v="VZ-2022-000308"/>
    <x v="1"/>
    <s v="Ondráčková"/>
    <x v="231"/>
    <n v="3"/>
    <s v="ITRAKONAZOL  II."/>
    <m/>
    <s v="33651200-0"/>
    <m/>
    <n v="115814"/>
    <x v="0"/>
    <d v="2022-04-01T00:00:00"/>
    <d v="2022-06-15T00:00:00"/>
    <d v="2022-08-10T00:00:00"/>
    <s v="PHOENIX lék.velkoobchod, s.r.o."/>
    <m/>
    <n v="114176.48"/>
    <n v="125594.13"/>
    <m/>
    <m/>
    <m/>
    <d v="2022-08-10T00:00:00"/>
    <s v="SMLN-2022-617-000523"/>
    <x v="98"/>
  </r>
  <r>
    <d v="2022-03-22T00:00:00"/>
    <s v="VZ-2022-000308"/>
    <x v="1"/>
    <s v="Ondráčková"/>
    <x v="231"/>
    <n v="4"/>
    <s v="ISAVUKONAZOL I."/>
    <m/>
    <s v="33651200-0"/>
    <m/>
    <n v="2299469"/>
    <x v="0"/>
    <d v="2022-04-01T00:00:00"/>
    <d v="2022-06-15T00:00:00"/>
    <d v="2022-08-10T00:00:00"/>
    <s v="PHOENIX lék.velkoobchod, s.r.o."/>
    <m/>
    <n v="2271260"/>
    <n v="2498386"/>
    <m/>
    <m/>
    <m/>
    <d v="2022-08-10T00:00:00"/>
    <s v="SMLN-2022-617-000524"/>
    <x v="98"/>
  </r>
  <r>
    <d v="2022-03-22T00:00:00"/>
    <s v="VZ-2022-000308"/>
    <x v="1"/>
    <s v="Ondráčková"/>
    <x v="231"/>
    <n v="5"/>
    <s v="ISAVUKONAZOL II."/>
    <m/>
    <s v="33651200-0"/>
    <m/>
    <n v="1174256"/>
    <x v="0"/>
    <d v="2022-04-01T00:00:00"/>
    <d v="2022-06-15T00:00:00"/>
    <d v="2022-08-10T00:00:00"/>
    <s v="PHOENIX lék.velkoobchod, s.r.o."/>
    <m/>
    <n v="1157661.1200000001"/>
    <n v="1273427.23"/>
    <m/>
    <m/>
    <m/>
    <d v="2022-08-10T00:00:00"/>
    <s v="SMLN-2022-617-000525"/>
    <x v="98"/>
  </r>
  <r>
    <d v="2022-03-22T00:00:00"/>
    <s v="VZ-2022-000308"/>
    <x v="1"/>
    <s v="Ondráčková"/>
    <x v="231"/>
    <n v="6"/>
    <s v="_x000a_KASPOFUNGIN  "/>
    <m/>
    <s v="33651200-0"/>
    <m/>
    <n v="542612"/>
    <x v="0"/>
    <d v="2022-04-01T00:00:00"/>
    <d v="2022-06-15T00:00:00"/>
    <d v="2022-08-10T00:00:00"/>
    <s v="Merck Sharp &amp; Dohme s.r.o."/>
    <m/>
    <n v="542608.12"/>
    <n v="596868.93000000005"/>
    <m/>
    <m/>
    <m/>
    <d v="2022-08-10T00:00:00"/>
    <s v="SMLN-2022-617-000526"/>
    <x v="107"/>
  </r>
  <r>
    <d v="2022-03-22T00:00:00"/>
    <s v="VZ-2022-000309"/>
    <x v="1"/>
    <s v="Ondráčková"/>
    <x v="232"/>
    <n v="1"/>
    <s v="_x000a_OFATUMUMAB  "/>
    <m/>
    <s v="33652300-8"/>
    <m/>
    <n v="74511965"/>
    <x v="0"/>
    <d v="2022-10-24T00:00:00"/>
    <d v="2022-12-20T00:00:00"/>
    <m/>
    <m/>
    <m/>
    <m/>
    <m/>
    <m/>
    <m/>
    <m/>
    <m/>
    <m/>
    <x v="4"/>
  </r>
  <r>
    <d v="2022-03-22T00:00:00"/>
    <s v="VZ-2022-000310"/>
    <x v="1"/>
    <s v="Ondráčková"/>
    <x v="233"/>
    <n v="1"/>
    <s v="TOFACITINIB"/>
    <m/>
    <s v="33652300-8"/>
    <m/>
    <n v="10184184"/>
    <x v="0"/>
    <d v="2022-03-28T00:00:00"/>
    <d v="2022-05-02T00:00:00"/>
    <d v="2022-05-10T00:00:00"/>
    <s v="PHOENIX lék.velkoobchod, s.r.o."/>
    <m/>
    <n v="10002391.5"/>
    <n v="11002630.65"/>
    <m/>
    <m/>
    <m/>
    <d v="2022-05-10T00:00:00"/>
    <s v="SMLN-2022-617-000329"/>
    <x v="80"/>
  </r>
  <r>
    <d v="2022-03-22T00:00:00"/>
    <s v="VZ-2022-000310"/>
    <x v="1"/>
    <s v="Ondráčková"/>
    <x v="233"/>
    <n v="2"/>
    <s v="LEFLUNOMID"/>
    <m/>
    <s v="33652300-8"/>
    <m/>
    <n v="270286"/>
    <x v="0"/>
    <d v="2022-03-28T00:00:00"/>
    <d v="2022-05-02T00:00:00"/>
    <d v="2022-05-10T00:00:00"/>
    <s v="Alliance Healthcare s.r.o."/>
    <m/>
    <n v="183136.65"/>
    <n v="201450.32"/>
    <m/>
    <m/>
    <m/>
    <d v="2022-05-10T00:00:00"/>
    <s v="SMLN-2022-617-000330"/>
    <x v="88"/>
  </r>
  <r>
    <d v="2022-03-22T00:00:00"/>
    <s v="VZ-2022-000311"/>
    <x v="1"/>
    <s v="Ondráčková"/>
    <x v="234"/>
    <n v="1"/>
    <s v="TEDUGLUTID"/>
    <m/>
    <s v="33610000-9"/>
    <m/>
    <n v="5434242"/>
    <x v="0"/>
    <d v="2022-04-11T00:00:00"/>
    <d v="2022-06-03T00:00:00"/>
    <d v="2022-06-30T00:00:00"/>
    <s v="Takeda Pharmaceuticals Czech Republic s.r.o."/>
    <m/>
    <n v="5434240.5300000003"/>
    <n v="5977664.5800000001"/>
    <m/>
    <m/>
    <m/>
    <d v="2022-06-30T00:00:00"/>
    <s v="SMLN-2022-617-000456"/>
    <x v="126"/>
  </r>
  <r>
    <d v="2022-03-22T00:00:00"/>
    <s v="VZ-2022-000312"/>
    <x v="1"/>
    <s v="Ondráčková"/>
    <x v="235"/>
    <n v="1"/>
    <s v="EKULIZUMAB  "/>
    <m/>
    <s v="33652300-8"/>
    <m/>
    <n v="270538297"/>
    <x v="0"/>
    <d v="2022-09-01T00:00:00"/>
    <d v="2022-10-31T00:00:00"/>
    <d v="2022-12-07T00:00:00"/>
    <s v="PHOENIX lék.velkoobchod, s.r.o."/>
    <m/>
    <n v="264954457.31999999"/>
    <n v="291449903.05000001"/>
    <m/>
    <m/>
    <m/>
    <d v="2022-12-07T00:00:00"/>
    <s v="SMLN-2022-617-000845"/>
    <x v="4"/>
  </r>
  <r>
    <d v="2022-03-23T00:00:00"/>
    <s v="VZ-2022-000315"/>
    <x v="3"/>
    <s v="Olejníček"/>
    <x v="236"/>
    <n v="1"/>
    <s v="Termocyklery pro HOK a Ústav genetiky"/>
    <m/>
    <s v="33100000-1"/>
    <s v="2.3.571.,2.3.582."/>
    <n v="449200"/>
    <x v="0"/>
    <d v="2022-05-02T00:00:00"/>
    <d v="2022-06-07T00:00:00"/>
    <d v="2022-08-17T00:00:00"/>
    <s v="BioTech a.s."/>
    <m/>
    <n v="448800"/>
    <n v="543048"/>
    <m/>
    <m/>
    <m/>
    <d v="2022-08-17T00:00:00"/>
    <s v="SMLN-2022-617-000557_x000a_SMLN-2022-612-000162"/>
    <x v="113"/>
  </r>
  <r>
    <d v="2022-03-23T00:00:00"/>
    <s v="VZ-2022-000315"/>
    <x v="3"/>
    <s v="Olejníček"/>
    <x v="236"/>
    <n v="2"/>
    <s v="qPCR pro Ústav genetiky"/>
    <m/>
    <s v="33100000-1"/>
    <s v="2.3.583."/>
    <n v="728000"/>
    <x v="0"/>
    <d v="2022-05-02T00:00:00"/>
    <d v="2022-06-07T00:00:00"/>
    <d v="2022-08-17T00:00:00"/>
    <s v="BioTech a.s."/>
    <m/>
    <n v="659700"/>
    <n v="798237"/>
    <m/>
    <m/>
    <m/>
    <d v="2022-08-17T00:00:00"/>
    <s v="SMLN-2022-617-000558_x000a_SMLN-2022-612-000163"/>
    <x v="113"/>
  </r>
  <r>
    <d v="2022-03-23T00:00:00"/>
    <s v="VZ-2022-000315"/>
    <x v="3"/>
    <s v="Olejníček"/>
    <x v="236"/>
    <n v="3"/>
    <s v="qPCR pro Ústav molekulární a klinické patologie"/>
    <m/>
    <s v="33100000-1"/>
    <s v="2.3.580."/>
    <n v="837500"/>
    <x v="0"/>
    <d v="2022-05-02T00:00:00"/>
    <d v="2022-06-07T00:00:00"/>
    <d v="2022-08-17T00:00:00"/>
    <s v="ROCHE s.r.o."/>
    <m/>
    <n v="826240"/>
    <n v="999750.4"/>
    <m/>
    <m/>
    <m/>
    <d v="2022-08-17T00:00:00"/>
    <s v="SMLN-2022-617-000559_x000a_SMLN-2022-612-000164"/>
    <x v="127"/>
  </r>
  <r>
    <d v="2022-03-23T00:00:00"/>
    <s v="VZ-2022-000315"/>
    <x v="3"/>
    <s v="Olejníček"/>
    <x v="236"/>
    <n v="4"/>
    <s v="qPCR pro HOK"/>
    <m/>
    <s v="33100000-1"/>
    <s v="2.3.573."/>
    <n v="869000"/>
    <x v="0"/>
    <d v="2022-05-02T00:00:00"/>
    <d v="2022-06-07T00:00:00"/>
    <d v="2022-08-17T00:00:00"/>
    <s v="BioTech a.s."/>
    <m/>
    <n v="758800"/>
    <n v="918148"/>
    <m/>
    <m/>
    <m/>
    <d v="2022-08-17T00:00:00"/>
    <s v="SMLN-2022-617-000560_x000a_SMLN-2022-612-000165"/>
    <x v="113"/>
  </r>
  <r>
    <d v="2022-03-23T00:00:00"/>
    <s v="VZ-2022-000315"/>
    <x v="3"/>
    <s v="Olejníček"/>
    <x v="236"/>
    <n v="5"/>
    <s v="dPCR systém pro HOK"/>
    <m/>
    <s v="33100000-1"/>
    <s v="2.2.417."/>
    <n v="1453340"/>
    <x v="0"/>
    <d v="2022-05-02T00:00:00"/>
    <d v="2022-06-07T00:00:00"/>
    <d v="2022-08-17T00:00:00"/>
    <s v="Explorea s.r.o."/>
    <m/>
    <n v="3420400"/>
    <n v="4138684"/>
    <m/>
    <m/>
    <m/>
    <d v="2022-08-17T00:00:00"/>
    <s v="SMLN-2022-617-000561_x000a_SMLN-2022-612-000166_x000a_SMLN-2022-617-000562"/>
    <x v="128"/>
  </r>
  <r>
    <d v="2022-03-23T00:00:00"/>
    <s v="VZ-2022-000315"/>
    <x v="3"/>
    <s v="Olejníček"/>
    <x v="236"/>
    <n v="6"/>
    <s v="ddPCR pro Ústav imunologie"/>
    <m/>
    <s v="33100000-1"/>
    <s v="2.2.423."/>
    <n v="11398066"/>
    <x v="0"/>
    <d v="2022-05-02T00:00:00"/>
    <d v="2022-06-07T00:00:00"/>
    <d v="2022-08-17T00:00:00"/>
    <s v="GeneTiCA s.r.o."/>
    <m/>
    <n v="7468205"/>
    <n v="9036528.0500000007"/>
    <m/>
    <m/>
    <m/>
    <d v="2022-08-17T00:00:00"/>
    <s v="SMLN-2022-617-000563_x000a_SMLN-2022-612-000167_x000a_SMLN-2022-617-000564"/>
    <x v="113"/>
  </r>
  <r>
    <d v="2022-03-23T00:00:00"/>
    <s v="VZ-2022-000318"/>
    <x v="0"/>
    <s v="Valtová"/>
    <x v="237"/>
    <m/>
    <m/>
    <m/>
    <s v="33140000-3"/>
    <m/>
    <n v="2236974"/>
    <x v="1"/>
    <d v="2022-04-01T00:00:00"/>
    <d v="2022-04-29T00:00:00"/>
    <d v="2022-06-14T00:00:00"/>
    <s v="Olympus Czech Group, s.r.o., člen koncernu"/>
    <m/>
    <n v="2167627.6"/>
    <n v="2622829.4"/>
    <m/>
    <m/>
    <m/>
    <d v="2022-06-14T00:00:00"/>
    <s v="SMLN-2022-617-000407_x000a_SMLN-2022-614-000052"/>
    <x v="104"/>
  </r>
  <r>
    <d v="2022-03-25T00:00:00"/>
    <s v="VZ-2022-000321"/>
    <x v="3"/>
    <s v="Olejníček"/>
    <x v="238"/>
    <n v="1"/>
    <s v="CO2 inkubátor - HOK"/>
    <m/>
    <s v="33152000-0"/>
    <s v="2.2.415."/>
    <n v="713670"/>
    <x v="0"/>
    <d v="2022-04-27T00:00:00"/>
    <d v="2022-06-10T00:00:00"/>
    <d v="2022-08-01T00:00:00"/>
    <s v="TRIGON PLUS s.r.o."/>
    <s v="nová VZ-2022-001135"/>
    <n v="747775"/>
    <n v="904807.75"/>
    <m/>
    <m/>
    <m/>
    <d v="2022-08-01T00:00:00"/>
    <s v="SMLN-2022-617-000483_x000a_SMLN-2022-612-000140"/>
    <x v="4"/>
  </r>
  <r>
    <d v="2022-03-25T00:00:00"/>
    <s v="VZ-2022-000321"/>
    <x v="3"/>
    <s v="Olejníček"/>
    <x v="238"/>
    <n v="2"/>
    <s v="Třepačka na trombocyty s inkubátorem"/>
    <m/>
    <s v="33152000-0"/>
    <s v="2.2.430."/>
    <n v="480368"/>
    <x v="0"/>
    <d v="2022-04-27T00:00:00"/>
    <d v="2022-06-10T00:00:00"/>
    <d v="2022-08-01T00:00:00"/>
    <s v="Fresenius Kabi s.r.o. Kabi s.r.o."/>
    <m/>
    <n v="513336"/>
    <n v="621136.56000000006"/>
    <m/>
    <m/>
    <m/>
    <d v="2022-08-01T00:00:00"/>
    <s v="SMLN-2022-617-000484_x000a_SMLN-2022-612-000141"/>
    <x v="108"/>
  </r>
  <r>
    <d v="2022-03-25T00:00:00"/>
    <s v="VZ-2022-000321"/>
    <x v="4"/>
    <s v="Olejníček"/>
    <x v="238"/>
    <n v="3"/>
    <s v="Inkubátor"/>
    <m/>
    <s v="33152000-0"/>
    <s v="2.3.615.,616."/>
    <n v="214876"/>
    <x v="0"/>
    <d v="2022-04-27T00:00:00"/>
    <d v="2022-06-10T00:00:00"/>
    <m/>
    <s v="zrušeno - bez nabídky"/>
    <s v="nová VZ-2022-000882"/>
    <m/>
    <m/>
    <m/>
    <m/>
    <m/>
    <m/>
    <m/>
    <x v="4"/>
  </r>
  <r>
    <d v="2022-03-25T00:00:00"/>
    <s v="VZ-2022-000321"/>
    <x v="4"/>
    <s v="Olejníček"/>
    <x v="238"/>
    <n v="4"/>
    <s v="CO2 inkubátor - mikrobiologie"/>
    <m/>
    <s v="33152000-0"/>
    <s v="2.3.650"/>
    <n v="422315"/>
    <x v="0"/>
    <d v="2022-04-27T00:00:00"/>
    <d v="2022-06-10T00:00:00"/>
    <d v="2022-08-01T00:00:00"/>
    <s v="SCHOELLER INSTRUMENTS, s.r.o."/>
    <m/>
    <n v="437250"/>
    <n v="529072.5"/>
    <m/>
    <m/>
    <m/>
    <d v="2022-08-01T00:00:00"/>
    <s v="SMLN-2022-617-000485_x000a_SMLN-2022-612-000142"/>
    <x v="108"/>
  </r>
  <r>
    <d v="2022-03-28T00:00:00"/>
    <s v="VZ-2022-000324"/>
    <x v="0"/>
    <s v="Valtová"/>
    <x v="239"/>
    <m/>
    <m/>
    <m/>
    <s v="33140000-3"/>
    <m/>
    <n v="1167300"/>
    <x v="0"/>
    <d v="2022-04-06T00:00:00"/>
    <d v="2022-05-19T00:00:00"/>
    <d v="2022-06-10T00:00:00"/>
    <s v="EspoMed spol. s r.o."/>
    <m/>
    <n v="1167300"/>
    <n v="1412433"/>
    <m/>
    <m/>
    <m/>
    <d v="2022-06-10T00:00:00"/>
    <s v="SMLN-2022-617-000400_x000a_SMLN-2022-614-000050"/>
    <x v="129"/>
  </r>
  <r>
    <d v="2022-03-25T00:00:00"/>
    <s v="VZ-2022-000325"/>
    <x v="16"/>
    <s v="Klimek"/>
    <x v="240"/>
    <n v="1"/>
    <s v="Sanitní vozidla DNR typu A2"/>
    <m/>
    <s v="34114122-0"/>
    <s v="4.2.179."/>
    <n v="3250000"/>
    <x v="0"/>
    <d v="2022-04-28T00:00:00"/>
    <d v="2022-05-31T00:00:00"/>
    <m/>
    <s v="zrušeno - bez hodnotitelné nabídky"/>
    <s v="nová VZ-2022-000717"/>
    <m/>
    <m/>
    <m/>
    <m/>
    <m/>
    <m/>
    <m/>
    <x v="4"/>
  </r>
  <r>
    <d v="2022-03-25T00:00:00"/>
    <s v="VZ-2022-000325"/>
    <x v="16"/>
    <s v="Klimek"/>
    <x v="240"/>
    <n v="2"/>
    <s v="Sanitní vozidlo DNR typu A2 s pohonem všech kol"/>
    <m/>
    <s v="34114122-0"/>
    <s v="4.2.179."/>
    <n v="1708000"/>
    <x v="0"/>
    <d v="2022-04-28T00:00:00"/>
    <d v="2022-05-31T00:00:00"/>
    <m/>
    <s v="zrušeno - bez hodnotitelné nabídky"/>
    <s v="nová VZ-2022-000717"/>
    <m/>
    <m/>
    <m/>
    <m/>
    <m/>
    <m/>
    <m/>
    <x v="4"/>
  </r>
  <r>
    <d v="2022-03-22T00:00:00"/>
    <s v="VZ-2022-000327"/>
    <x v="6"/>
    <s v="Zdráhalová"/>
    <x v="241"/>
    <m/>
    <m/>
    <m/>
    <s v="33141620-2"/>
    <m/>
    <n v="5819200"/>
    <x v="0"/>
    <d v="2022-04-14T00:00:00"/>
    <d v="2022-05-17T00:00:00"/>
    <d v="2022-11-24T00:00:00"/>
    <s v="Mölnlycke Health Care, s.r.o."/>
    <m/>
    <n v="9130000"/>
    <n v="11047300"/>
    <m/>
    <m/>
    <m/>
    <d v="2022-11-24T00:00:00"/>
    <s v="SMLN-2022-617-000823"/>
    <x v="130"/>
  </r>
  <r>
    <d v="2022-03-30T00:00:00"/>
    <s v="VZ-2022-000330"/>
    <x v="4"/>
    <s v="Novák"/>
    <x v="242"/>
    <m/>
    <m/>
    <m/>
    <s v="42131141-6"/>
    <m/>
    <n v="550000"/>
    <x v="2"/>
    <d v="2022-04-06T00:00:00"/>
    <d v="2022-04-20T00:00:00"/>
    <d v="2022-04-28T00:00:00"/>
    <s v="POLYMED medical CZ, a.s."/>
    <m/>
    <n v="689750.6"/>
    <n v="834598.24"/>
    <m/>
    <m/>
    <m/>
    <d v="2022-04-28T00:00:00"/>
    <s v="SMLN-2022-617-000290_x000a_SMLN-2022-612-000055"/>
    <x v="93"/>
  </r>
  <r>
    <d v="2022-03-29T00:00:00"/>
    <s v="VZ-2022-000331"/>
    <x v="1"/>
    <s v="Ondráčková"/>
    <x v="243"/>
    <m/>
    <m/>
    <m/>
    <s v="33651520-9"/>
    <m/>
    <n v="6521834"/>
    <x v="3"/>
    <d v="2022-05-09T00:00:00"/>
    <d v="2022-06-17T00:00:00"/>
    <d v="2022-07-07T00:00:00"/>
    <s v="AstraZeneca Czech Republic s.r.o."/>
    <m/>
    <n v="6521834"/>
    <n v="7174017.4000000004"/>
    <m/>
    <m/>
    <m/>
    <d v="2022-07-15T00:00:00"/>
    <s v="SMLN-2022-617-000460"/>
    <x v="131"/>
  </r>
  <r>
    <d v="2022-03-29T00:00:00"/>
    <s v="VZ-2022-000334"/>
    <x v="0"/>
    <s v="Merta"/>
    <x v="244"/>
    <m/>
    <m/>
    <m/>
    <s v="33182100-0"/>
    <m/>
    <n v="459200000"/>
    <x v="0"/>
    <d v="2022-04-07T00:00:00"/>
    <d v="2022-05-09T00:00:00"/>
    <d v="2022-06-13T00:00:00"/>
    <s v="Cardiomedical, s.r.o."/>
    <m/>
    <n v="459200000"/>
    <n v="528080000"/>
    <m/>
    <m/>
    <m/>
    <d v="2022-06-13T00:00:00"/>
    <s v="SMLN-2022-617-000405_x000a_SMLN-2022-614-000051_x000a_SMLN-2022-616-000024"/>
    <x v="71"/>
  </r>
  <r>
    <d v="2022-03-30T00:00:00"/>
    <s v="VZ-2022-000335"/>
    <x v="1"/>
    <s v="Ondráčková"/>
    <x v="245"/>
    <n v="1"/>
    <s v="VINKRISTIN "/>
    <m/>
    <s v="33652100-6"/>
    <m/>
    <n v="676658"/>
    <x v="0"/>
    <d v="2022-04-11T00:00:00"/>
    <d v="2022-07-20T00:00:00"/>
    <s v=" "/>
    <s v="PHARMOS, a.s., a.s."/>
    <m/>
    <n v="673001.52"/>
    <n v="740301.67"/>
    <m/>
    <m/>
    <m/>
    <d v="2022-10-19T00:00:00"/>
    <s v="SMLN-2022-617-000739"/>
    <x v="91"/>
  </r>
  <r>
    <d v="2022-03-30T00:00:00"/>
    <s v="VZ-2022-000335"/>
    <x v="1"/>
    <s v="Ondráčková"/>
    <x v="245"/>
    <n v="2"/>
    <s v="ETOPOSID  "/>
    <m/>
    <s v="33652100-6"/>
    <m/>
    <n v="773647"/>
    <x v="0"/>
    <d v="2022-04-11T00:00:00"/>
    <d v="2022-07-20T00:00:00"/>
    <d v="2022-10-19T00:00:00"/>
    <s v="Alliance Healthcare s.r.o."/>
    <m/>
    <n v="754847.52"/>
    <n v="830332.27"/>
    <m/>
    <m/>
    <m/>
    <d v="2022-10-19T00:00:00"/>
    <s v="SMLN-2022-617-000740"/>
    <x v="92"/>
  </r>
  <r>
    <d v="2022-03-30T00:00:00"/>
    <s v="VZ-2022-000335"/>
    <x v="1"/>
    <s v="Ondráčková"/>
    <x v="245"/>
    <n v="3"/>
    <s v="TOPOTEKAN  "/>
    <m/>
    <s v="33652100-6"/>
    <m/>
    <n v="174580"/>
    <x v="0"/>
    <d v="2022-04-11T00:00:00"/>
    <d v="2022-07-20T00:00:00"/>
    <d v="2022-10-19T00:00:00"/>
    <s v="ViaPharma s.r.o."/>
    <m/>
    <n v="174537"/>
    <n v="191990.7"/>
    <m/>
    <m/>
    <m/>
    <d v="2022-10-19T00:00:00"/>
    <s v="SMLN-2022-617-000741"/>
    <x v="4"/>
  </r>
  <r>
    <d v="2022-03-30T00:00:00"/>
    <s v="VZ-2022-000335"/>
    <x v="1"/>
    <s v="Ondráčková"/>
    <x v="245"/>
    <n v="4"/>
    <s v="TRABEKTEDIN "/>
    <m/>
    <s v="33652100-6"/>
    <m/>
    <n v="3277224"/>
    <x v="0"/>
    <d v="2022-04-11T00:00:00"/>
    <d v="2022-07-20T00:00:00"/>
    <d v="2022-12-29T00:00:00"/>
    <s v="Immedica Pharma AB"/>
    <m/>
    <n v="3277224"/>
    <n v="3604946.4"/>
    <m/>
    <m/>
    <m/>
    <d v="2022-12-29T00:00:00"/>
    <s v="SMLN-2022-617-000904"/>
    <x v="4"/>
  </r>
  <r>
    <d v="2022-03-03T00:00:00"/>
    <s v="VZ-2022-000343"/>
    <x v="0"/>
    <s v="Dočkalová"/>
    <x v="246"/>
    <m/>
    <m/>
    <m/>
    <s v="33141310-6"/>
    <m/>
    <n v="5849180"/>
    <x v="0"/>
    <d v="2022-05-12T00:00:00"/>
    <d v="2022-06-27T00:00:00"/>
    <d v="2022-07-21T00:00:00"/>
    <s v="Becton Dickinson Czechia, s.r.o."/>
    <m/>
    <n v="4937640"/>
    <n v="5974544"/>
    <m/>
    <m/>
    <m/>
    <d v="2022-07-21T00:00:00"/>
    <s v="SMLN-2022-617-000470"/>
    <x v="132"/>
  </r>
  <r>
    <d v="2022-03-29T00:00:00"/>
    <s v="VZ-2022-000349"/>
    <x v="4"/>
    <s v="Olejníček"/>
    <x v="247"/>
    <m/>
    <s v="NEREALIZOVÁNO V ROCE 2022 (PLÁN NA 2023)"/>
    <m/>
    <s v="33182100-0"/>
    <s v="2.2.363; 2.2.376;"/>
    <n v="3862488.43"/>
    <x v="0"/>
    <m/>
    <m/>
    <m/>
    <m/>
    <m/>
    <m/>
    <m/>
    <m/>
    <m/>
    <m/>
    <m/>
    <m/>
    <x v="4"/>
  </r>
  <r>
    <d v="2022-03-31T00:00:00"/>
    <s v="VZ-2022-000351-01"/>
    <x v="0"/>
    <s v="Dočkalová"/>
    <x v="248"/>
    <n v="1"/>
    <s v="Klipy a aplikátory klipů (specifikováno dle Ethicon Ligaclip)"/>
    <m/>
    <s v="33140000-3"/>
    <m/>
    <n v="1844100"/>
    <x v="0"/>
    <d v="2022-06-06T00:00:00"/>
    <d v="2022-08-22T00:00:00"/>
    <d v="2022-10-19T00:00:00"/>
    <s v="Johnson &amp; Johnson, s.r.o."/>
    <m/>
    <n v="900823.53"/>
    <n v="1089996.31"/>
    <m/>
    <m/>
    <m/>
    <d v="2022-10-19T00:00:00"/>
    <s v="SMLN-2022-617-000742_x000a_SMLN-2022-614-000087"/>
    <x v="133"/>
  </r>
  <r>
    <d v="2022-03-31T00:00:00"/>
    <s v="VZ-2022-000351-02"/>
    <x v="0"/>
    <s v="Dočkalová"/>
    <x v="248"/>
    <n v="2"/>
    <s v="Klipy a aplikátory klipů (specifikováno dle Weck HORIZON)"/>
    <m/>
    <s v="33140000-3"/>
    <m/>
    <n v="1287950"/>
    <x v="0"/>
    <d v="2022-06-06T00:00:00"/>
    <d v="2022-08-22T00:00:00"/>
    <d v="2022-10-19T00:00:00"/>
    <s v="Teleflex Medical s.r.o."/>
    <m/>
    <n v="1958815.08"/>
    <n v="2259329.9900000002"/>
    <m/>
    <m/>
    <m/>
    <d v="2022-10-19T00:00:00"/>
    <s v="SMLN-2022-617-000743"/>
    <x v="134"/>
  </r>
  <r>
    <d v="2022-03-31T00:00:00"/>
    <s v="VZ-2022-000351-03"/>
    <x v="0"/>
    <s v="Dočkalová"/>
    <x v="248"/>
    <n v="3"/>
    <s v="Klipy a aplikátory klipů (specifikováno dle Weck Hem-o-lok)"/>
    <m/>
    <s v="33140000-3"/>
    <m/>
    <n v="635950"/>
    <x v="0"/>
    <d v="2022-06-06T00:00:00"/>
    <d v="2022-08-22T00:00:00"/>
    <d v="2022-10-19T00:00:00"/>
    <s v="Teleflex Medical s.r.o."/>
    <m/>
    <n v="1585198.62"/>
    <n v="1842406.97"/>
    <m/>
    <m/>
    <m/>
    <d v="2022-10-19T00:00:00"/>
    <s v="SMLN-2022-617-000744"/>
    <x v="134"/>
  </r>
  <r>
    <d v="2022-04-05T00:00:00"/>
    <s v="VZ-2022-000352"/>
    <x v="4"/>
    <s v="Olejníček"/>
    <x v="249"/>
    <m/>
    <m/>
    <m/>
    <s v="38000000-5"/>
    <s v="2.3.638."/>
    <n v="64500"/>
    <x v="2"/>
    <d v="2022-04-11T00:00:00"/>
    <d v="2022-04-26T00:00:00"/>
    <d v="2022-05-03T00:00:00"/>
    <s v="SCHOELLER INSTRUMENTS, s.r.o."/>
    <m/>
    <n v="75200"/>
    <n v="90992"/>
    <m/>
    <m/>
    <m/>
    <d v="2022-05-03T00:00:00"/>
    <s v="SMLN-2022-617-000312_x000a_SMLN-2022-612-000068"/>
    <x v="85"/>
  </r>
  <r>
    <d v="2022-04-05T00:00:00"/>
    <s v="VZ-2022-000353"/>
    <x v="4"/>
    <s v="Olejníček"/>
    <x v="250"/>
    <m/>
    <m/>
    <m/>
    <s v="38000000-5"/>
    <s v="2.3.617."/>
    <n v="207450"/>
    <x v="2"/>
    <d v="2022-04-06T00:00:00"/>
    <d v="2022-04-20T00:00:00"/>
    <m/>
    <s v="zrušeno - úprava specifikace"/>
    <s v="nová VZ-2022-000444"/>
    <m/>
    <m/>
    <m/>
    <m/>
    <m/>
    <m/>
    <m/>
    <x v="4"/>
  </r>
  <r>
    <d v="2022-04-05T00:00:00"/>
    <s v="VZ-2022-000354"/>
    <x v="4"/>
    <s v="Olejníček"/>
    <x v="251"/>
    <n v="1"/>
    <s v="Odběrové křeslo pro kožní kliniku"/>
    <m/>
    <s v="33192300-5"/>
    <s v="2.2.435."/>
    <n v="99000"/>
    <x v="2"/>
    <d v="2022-04-11T00:00:00"/>
    <d v="2022-04-14T00:00:00"/>
    <d v="2022-05-02T00:00:00"/>
    <s v="CHIS, s.r.o."/>
    <m/>
    <n v="53800"/>
    <n v="65098"/>
    <m/>
    <m/>
    <m/>
    <d v="2022-05-02T00:00:00"/>
    <s v="SMLN-2022-617-000309_x000a_SMLN-2022-612-000057"/>
    <x v="76"/>
  </r>
  <r>
    <d v="2022-04-05T00:00:00"/>
    <s v="VZ-2022-000354"/>
    <x v="4"/>
    <s v="Olejníček"/>
    <x v="251"/>
    <n v="2"/>
    <s v="Odběrová křesla pro radiologickou kliniku"/>
    <m/>
    <s v="33192300-5"/>
    <s v="2.2.466."/>
    <n v="176000"/>
    <x v="2"/>
    <d v="2022-04-11T00:00:00"/>
    <d v="2022-04-14T00:00:00"/>
    <m/>
    <s v="zrušeno - bez nabídky"/>
    <s v="nová VZ-2022-000387"/>
    <m/>
    <m/>
    <m/>
    <m/>
    <m/>
    <m/>
    <m/>
    <x v="4"/>
  </r>
  <r>
    <d v="2022-04-05T00:00:00"/>
    <s v="VZ-2022-000354"/>
    <x v="4"/>
    <s v="Olejníček"/>
    <x v="251"/>
    <n v="3"/>
    <s v="Odběrová křesla pro HOK a II. Interní kliniku"/>
    <m/>
    <s v="33192300-5"/>
    <s v="2.2.144,251"/>
    <n v="443817"/>
    <x v="2"/>
    <d v="2022-04-11T00:00:00"/>
    <d v="2022-04-14T00:00:00"/>
    <d v="2022-05-02T00:00:00"/>
    <s v="PROMA REHA, s.r.o."/>
    <m/>
    <n v="416433"/>
    <n v="503883.86"/>
    <m/>
    <m/>
    <m/>
    <d v="2022-05-02T00:00:00"/>
    <s v="SMLN-2022-617-000310_x000a_SMLN-2022-612-000058"/>
    <x v="135"/>
  </r>
  <r>
    <d v="2022-04-05T00:00:00"/>
    <s v="VZ-2022-000356"/>
    <x v="0"/>
    <s v="Dočkalová"/>
    <x v="252"/>
    <m/>
    <m/>
    <m/>
    <s v="33140000-3"/>
    <m/>
    <n v="643200"/>
    <x v="2"/>
    <d v="2022-04-07T00:00:00"/>
    <d v="2022-04-20T00:00:00"/>
    <d v="2022-04-27T00:00:00"/>
    <s v="IMEDEX s.r.o."/>
    <m/>
    <n v="727200"/>
    <n v="879912"/>
    <m/>
    <m/>
    <m/>
    <d v="2022-04-27T00:00:00"/>
    <s v="SMLN-2022-617-000285"/>
    <x v="100"/>
  </r>
  <r>
    <s v="opakovaná VZ"/>
    <s v="VZ-2022-000357"/>
    <x v="4"/>
    <s v="Olejníček"/>
    <x v="253"/>
    <m/>
    <m/>
    <m/>
    <s v="33186200-9"/>
    <s v="2.3.605,647"/>
    <n v="421000"/>
    <x v="2"/>
    <d v="2022-04-07T00:00:00"/>
    <d v="2022-04-20T00:00:00"/>
    <d v="2022-05-03T00:00:00"/>
    <s v="SARSTED, spol. s r.o."/>
    <m/>
    <n v="430767"/>
    <n v="521228.07"/>
    <m/>
    <m/>
    <m/>
    <d v="2022-05-03T00:00:00"/>
    <s v="SMLN-2022-617-000311_x000a_SMLN-2022-612-000067"/>
    <x v="85"/>
  </r>
  <r>
    <s v="opakovaná VZ"/>
    <s v="VZ-2022-000360"/>
    <x v="4"/>
    <s v="Olejníček"/>
    <x v="254"/>
    <m/>
    <m/>
    <m/>
    <s v="33162100-4"/>
    <s v="2.2.469."/>
    <n v="404720"/>
    <x v="0"/>
    <d v="2022-04-14T00:00:00"/>
    <d v="2022-05-17T00:00:00"/>
    <d v="2022-06-02T00:00:00"/>
    <s v="Medtronic Czechia s.r.o."/>
    <m/>
    <n v="469542"/>
    <n v="568145.81999999995"/>
    <m/>
    <m/>
    <m/>
    <d v="2022-06-02T00:00:00"/>
    <s v="SMLN-2022-617-000385_x000a_SMLN-2022-612-000095"/>
    <x v="105"/>
  </r>
  <r>
    <d v="2022-04-07T00:00:00"/>
    <s v="VZ-2022-000363"/>
    <x v="16"/>
    <s v="Klimek"/>
    <x v="255"/>
    <m/>
    <m/>
    <m/>
    <s v="34136100-0"/>
    <s v="4.2.180."/>
    <n v="1239669"/>
    <x v="2"/>
    <d v="2022-04-21T00:00:00"/>
    <d v="2022-05-03T00:00:00"/>
    <m/>
    <s v="zrušeno - úprava specifikace vozidla"/>
    <s v="nová VZ-2022-000511"/>
    <m/>
    <m/>
    <m/>
    <m/>
    <m/>
    <m/>
    <m/>
    <x v="4"/>
  </r>
  <r>
    <d v="2022-04-11T00:00:00"/>
    <s v="VZ-2022-000366"/>
    <x v="0"/>
    <s v="Dočkalová"/>
    <x v="256"/>
    <m/>
    <m/>
    <m/>
    <s v="33140000-3"/>
    <m/>
    <n v="891820"/>
    <x v="2"/>
    <d v="2022-04-13T00:00:00"/>
    <d v="2022-04-22T00:00:00"/>
    <d v="2022-04-27T00:00:00"/>
    <s v="BIOMEDICA ČS, s.r.o."/>
    <m/>
    <n v="965900"/>
    <n v="1168739"/>
    <m/>
    <m/>
    <m/>
    <d v="2022-04-27T00:00:00"/>
    <s v="SMLN-2022-617-000287"/>
    <x v="78"/>
  </r>
  <r>
    <s v="opakovaná VZ"/>
    <s v="VZ-2022-000371"/>
    <x v="4"/>
    <s v="Olejníček"/>
    <x v="257"/>
    <n v="1"/>
    <s v="Speciální operační svítidla se širokým osvitem"/>
    <m/>
    <s v="31524110-9"/>
    <s v="2.2.448."/>
    <n v="2020000"/>
    <x v="0"/>
    <d v="2022-05-10T00:00:00"/>
    <d v="2022-06-14T00:00:00"/>
    <d v="2022-06-29T00:00:00"/>
    <s v="Medsol s.r.o."/>
    <m/>
    <n v="1650416"/>
    <n v="1997003.36"/>
    <m/>
    <m/>
    <m/>
    <d v="2022-06-29T00:00:00"/>
    <s v="SMLN-2022-617-000448_x000a_SMLN-2022-612-000121"/>
    <x v="136"/>
  </r>
  <r>
    <s v="opakovaná VZ"/>
    <s v="VZ-2022-000371"/>
    <x v="4"/>
    <s v="Olejníček"/>
    <x v="257"/>
    <n v="2"/>
    <s v="Samostatná mobilní zálohovaná svítidla"/>
    <m/>
    <s v="31524110-9"/>
    <s v="2.3.446.,2.3.467."/>
    <n v="595868"/>
    <x v="0"/>
    <d v="2022-05-10T00:00:00"/>
    <d v="2022-06-14T00:00:00"/>
    <d v="2022-06-29T00:00:00"/>
    <s v="Medsol s.r.o."/>
    <m/>
    <n v="654416"/>
    <n v="791843.36"/>
    <m/>
    <m/>
    <m/>
    <d v="2022-06-29T00:00:00"/>
    <s v="SMLN-2022-617-000450_x000a_SMLN-2022-612-000122"/>
    <x v="136"/>
  </r>
  <r>
    <s v="opakovaná VZ"/>
    <s v="VZ-2022-000371"/>
    <x v="4"/>
    <s v="Olejníček"/>
    <x v="257"/>
    <n v="3"/>
    <s v="Stropní samostatná operační svítidla"/>
    <m/>
    <s v="31524100-6"/>
    <s v="2.3.542."/>
    <n v="1567934"/>
    <x v="0"/>
    <d v="2022-05-10T00:00:00"/>
    <d v="2022-06-14T00:00:00"/>
    <d v="2022-08-11T00:00:00"/>
    <s v="Hoyer Praha s.r.o."/>
    <m/>
    <n v="1421384"/>
    <n v="1719874.64"/>
    <m/>
    <m/>
    <m/>
    <d v="2022-08-11T00:00:00"/>
    <s v="SMLN-2022-612-000159 SMLN-2022-617-000537"/>
    <x v="137"/>
  </r>
  <r>
    <s v="opakovaná VZ"/>
    <s v="VZ-2022-000371"/>
    <x v="4"/>
    <s v="Olejníček"/>
    <x v="257"/>
    <n v="4"/>
    <s v="Nástěnná zákroková svítidla"/>
    <m/>
    <s v="31524210-0"/>
    <m/>
    <n v="270000"/>
    <x v="0"/>
    <d v="2022-05-10T00:00:00"/>
    <d v="2022-06-14T00:00:00"/>
    <d v="2022-06-29T00:00:00"/>
    <s v="Dräger Medical, s.r.o."/>
    <m/>
    <n v="172190"/>
    <n v="208349.9"/>
    <m/>
    <m/>
    <m/>
    <d v="2022-06-30T00:00:00"/>
    <s v="SMLN-2022-617-000453_x000a_SMLN-2022-612-000125"/>
    <x v="138"/>
  </r>
  <r>
    <s v="opakovaná VZ"/>
    <s v="VZ-2022-000371"/>
    <x v="4"/>
    <s v="Olejníček"/>
    <x v="257"/>
    <n v="5"/>
    <s v="Vyšetřovací pojízdná svítidla a svítidla na zeď"/>
    <m/>
    <s v="31524100-6"/>
    <m/>
    <n v="2350000"/>
    <x v="0"/>
    <d v="2022-05-10T00:00:00"/>
    <d v="2022-06-14T00:00:00"/>
    <d v="2022-06-29T00:00:00"/>
    <s v="Dräger Medical, s.r.o."/>
    <m/>
    <n v="1334840"/>
    <n v="1615156.4"/>
    <m/>
    <m/>
    <m/>
    <d v="2022-06-30T00:00:00"/>
    <s v="SMLN-2022-617-000454_x000a_SMLN-2022-612-000126"/>
    <x v="138"/>
  </r>
  <r>
    <s v="opakovaná VZ"/>
    <s v="VZ-2022-000371"/>
    <x v="4"/>
    <s v="Olejníček"/>
    <x v="257"/>
    <n v="6"/>
    <s v="Operační svítidla s kamerami"/>
    <m/>
    <s v="31524110-9"/>
    <s v="2.3.568."/>
    <n v="1320000"/>
    <x v="0"/>
    <d v="2022-05-10T00:00:00"/>
    <d v="2022-06-14T00:00:00"/>
    <m/>
    <s v="zrušeno - úprava specifikace"/>
    <s v="nová VZ-2022-000898"/>
    <m/>
    <m/>
    <m/>
    <m/>
    <m/>
    <m/>
    <m/>
    <x v="4"/>
  </r>
  <r>
    <d v="2022-04-12T00:00:00"/>
    <s v="VZ-2022-000374"/>
    <x v="2"/>
    <s v="Pavela"/>
    <x v="258"/>
    <m/>
    <m/>
    <m/>
    <s v="45215140-0_x000a_71000000-8"/>
    <s v="1.2.83."/>
    <n v="99000000"/>
    <x v="0"/>
    <d v="2022-04-22T00:00:00"/>
    <d v="2022-05-27T00:00:00"/>
    <d v="2022-06-03T00:00:00"/>
    <s v="OHLA ŽS, a.s."/>
    <m/>
    <n v="180000000"/>
    <n v="217800000"/>
    <m/>
    <m/>
    <m/>
    <d v="2022-06-03T00:00:00"/>
    <s v="SMLN-2022-618-000033"/>
    <x v="139"/>
  </r>
  <r>
    <d v="2022-04-12T00:00:00"/>
    <s v="VZ-2022-000378"/>
    <x v="4"/>
    <s v="Novák"/>
    <x v="259"/>
    <m/>
    <m/>
    <m/>
    <s v="33194100-7"/>
    <m/>
    <n v="560000"/>
    <x v="2"/>
    <d v="2022-04-20T00:00:00"/>
    <d v="2022-04-28T00:00:00"/>
    <d v="2022-05-09T00:00:00"/>
    <s v="B. Braun Medical s.r.o."/>
    <m/>
    <n v="357306"/>
    <n v="432339.06"/>
    <m/>
    <m/>
    <m/>
    <d v="2022-05-09T00:00:00"/>
    <s v="SMLN-2022-617-000324_x000a_SMLN-2022-612-000073"/>
    <x v="72"/>
  </r>
  <r>
    <d v="2022-04-14T00:00:00"/>
    <s v="VZ-2022-000379"/>
    <x v="4"/>
    <s v="Olejníček"/>
    <x v="260"/>
    <m/>
    <m/>
    <m/>
    <s v="33122000-1"/>
    <s v="2.3.611."/>
    <n v="111000"/>
    <x v="2"/>
    <d v="2022-04-22T00:00:00"/>
    <d v="2022-05-03T00:00:00"/>
    <d v="2022-05-11T00:00:00"/>
    <s v="CMI s.r.o."/>
    <m/>
    <n v="110960"/>
    <n v="134261.6"/>
    <m/>
    <m/>
    <m/>
    <d v="2022-05-11T00:00:00"/>
    <s v="SMLN-2022-617-000344_x000a_SMLN-2022-612-000077"/>
    <x v="114"/>
  </r>
  <r>
    <d v="2022-04-14T00:00:00"/>
    <s v="VZ-2022-000380"/>
    <x v="4"/>
    <s v="Olejníček"/>
    <x v="261"/>
    <m/>
    <m/>
    <m/>
    <s v="33191100-6"/>
    <m/>
    <n v="155000"/>
    <x v="2"/>
    <d v="2022-04-22T00:00:00"/>
    <d v="2022-05-03T00:00:00"/>
    <d v="2022-05-11T00:00:00"/>
    <s v="Askin &amp; Co s.r.o."/>
    <m/>
    <n v="173390"/>
    <n v="209801.9"/>
    <m/>
    <m/>
    <m/>
    <d v="2022-05-12T00:00:00"/>
    <s v="SMLN-2022-617-000347_x000a_SMLN-2022-612-000079"/>
    <x v="140"/>
  </r>
  <r>
    <d v="2022-04-19T00:00:00"/>
    <s v="VZ-2022-000383"/>
    <x v="4"/>
    <s v="Olejníček"/>
    <x v="262"/>
    <n v="1"/>
    <s v="Sestava břišního rozvěrače"/>
    <m/>
    <s v="33162200-5"/>
    <s v="2.2.457."/>
    <n v="362000"/>
    <x v="2"/>
    <d v="2022-04-22T00:00:00"/>
    <d v="2022-05-04T00:00:00"/>
    <d v="2022-05-11T00:00:00"/>
    <s v="ONE Vision s.r.o."/>
    <m/>
    <n v="349906"/>
    <n v="423386"/>
    <m/>
    <m/>
    <m/>
    <d v="2022-05-11T00:00:00"/>
    <s v="SMLN-2022-617-000342_x000a_SMLN-2022-612-000075"/>
    <x v="114"/>
  </r>
  <r>
    <d v="2022-04-19T00:00:00"/>
    <s v="VZ-2022-000383"/>
    <x v="4"/>
    <s v="Olejníček"/>
    <x v="262"/>
    <n v="2"/>
    <s v="Flexibilní rameno pro ústní rozvěrač"/>
    <m/>
    <s v="33162200-5"/>
    <s v="2.2.472."/>
    <n v="152400"/>
    <x v="2"/>
    <d v="2022-04-22T00:00:00"/>
    <d v="2022-05-04T00:00:00"/>
    <d v="2022-05-11T00:00:00"/>
    <s v="Olympus Czech Group, s.r.o., člen koncernu"/>
    <m/>
    <n v="152340"/>
    <n v="184331.4"/>
    <m/>
    <m/>
    <m/>
    <d v="2022-05-11T00:00:00"/>
    <s v="SMLN-2022-617-000343_x000a_SMLN-2022-612-000076"/>
    <x v="123"/>
  </r>
  <r>
    <s v="opakovaná VZ"/>
    <s v="VZ-2022-000384"/>
    <x v="3"/>
    <s v="Olejníček"/>
    <x v="263"/>
    <m/>
    <m/>
    <m/>
    <s v="33186000-7"/>
    <s v="2.2.400."/>
    <n v="6061532"/>
    <x v="0"/>
    <d v="2022-05-25T00:00:00"/>
    <d v="2022-06-30T00:00:00"/>
    <m/>
    <s v="zrušeno - překročení ceny servisu"/>
    <s v="nvoá VZ-2022-000841"/>
    <m/>
    <m/>
    <m/>
    <m/>
    <m/>
    <m/>
    <m/>
    <x v="4"/>
  </r>
  <r>
    <s v="opakovaná VZ"/>
    <s v="VZ-2022-000387"/>
    <x v="4"/>
    <s v="Olejníček"/>
    <x v="264"/>
    <m/>
    <m/>
    <m/>
    <s v="33192300-5"/>
    <s v="2.2.466."/>
    <n v="176000"/>
    <x v="2"/>
    <d v="2022-04-22T00:00:00"/>
    <d v="2022-05-03T00:00:00"/>
    <d v="2022-05-11T00:00:00"/>
    <s v="RQL s.r.o."/>
    <m/>
    <n v="138498"/>
    <n v="167582.57999999999"/>
    <m/>
    <m/>
    <m/>
    <d v="2022-05-12T00:00:00"/>
    <s v="SMLN-2022-617-000346_x000a_SMLN-2022-612-000078"/>
    <x v="77"/>
  </r>
  <r>
    <d v="2022-04-05T00:00:00"/>
    <s v="VZ-2022-000388"/>
    <x v="4"/>
    <s v="Olejníček"/>
    <x v="265"/>
    <m/>
    <m/>
    <m/>
    <s v="33192230-3"/>
    <s v="2.2.447."/>
    <n v="3960000"/>
    <x v="0"/>
    <d v="2022-04-22T00:00:00"/>
    <d v="2022-06-06T00:00:00"/>
    <d v="2022-06-29T00:00:00"/>
    <s v="Hypokramed s.r.o."/>
    <m/>
    <n v="3426555"/>
    <n v="4146132"/>
    <m/>
    <m/>
    <m/>
    <d v="2022-06-30T00:00:00"/>
    <s v="SMLN-2022-617-000452_x000a_SMLN-2022-612-000124"/>
    <x v="81"/>
  </r>
  <r>
    <d v="2022-04-19T00:00:00"/>
    <s v="VZ-2022-000391"/>
    <x v="4"/>
    <s v="Olejníček"/>
    <x v="266"/>
    <m/>
    <m/>
    <m/>
    <s v="33123210-3"/>
    <s v="2.2.442."/>
    <n v="58000"/>
    <x v="2"/>
    <d v="2022-04-25T00:00:00"/>
    <d v="2022-05-04T00:00:00"/>
    <d v="2022-05-17T00:00:00"/>
    <s v="BTL zdravotnická technika, a.s."/>
    <m/>
    <n v="67300"/>
    <n v="81433"/>
    <m/>
    <m/>
    <m/>
    <d v="2022-05-17T00:00:00"/>
    <s v="SMLN-2022-617-000362_x000a_SMLN-2022-612-000086"/>
    <x v="123"/>
  </r>
  <r>
    <d v="2022-04-08T00:00:00"/>
    <s v="VZ-2022-000397"/>
    <x v="4"/>
    <s v="Olejníček"/>
    <x v="267"/>
    <m/>
    <m/>
    <m/>
    <s v="33172100-7"/>
    <s v="2.2.446."/>
    <n v="837125"/>
    <x v="0"/>
    <d v="2022-05-04T00:00:00"/>
    <d v="2022-06-06T00:00:00"/>
    <d v="2022-06-24T00:00:00"/>
    <s v="Dräger Medical, s.r.o."/>
    <m/>
    <n v="916925"/>
    <n v="1109479.25"/>
    <m/>
    <m/>
    <m/>
    <d v="2022-06-24T00:00:00"/>
    <s v="SMLN-2022-617-000427_x000a_SMLN-2022-612-000109"/>
    <x v="106"/>
  </r>
  <r>
    <d v="2022-04-12T00:00:00"/>
    <s v="VZ-2022-000401"/>
    <x v="0"/>
    <s v="Dočkalová"/>
    <x v="268"/>
    <m/>
    <m/>
    <m/>
    <s v="33140000-3"/>
    <m/>
    <n v="13817636"/>
    <x v="0"/>
    <d v="2022-05-02T00:00:00"/>
    <d v="2022-06-06T00:00:00"/>
    <d v="2022-07-11T00:00:00"/>
    <s v="Performa Medical, s.r.o."/>
    <m/>
    <n v="13817636"/>
    <n v="16719339.560000001"/>
    <m/>
    <m/>
    <m/>
    <d v="2022-07-14T00:00:00"/>
    <s v="SMLN-2022-617-000459"/>
    <x v="131"/>
  </r>
  <r>
    <d v="2022-04-19T00:00:00"/>
    <s v="VZ-2022-000403"/>
    <x v="9"/>
    <s v="Oravec"/>
    <x v="269"/>
    <m/>
    <m/>
    <m/>
    <s v="72261000-2"/>
    <m/>
    <n v="646000"/>
    <x v="2"/>
    <d v="2022-04-29T00:00:00"/>
    <d v="2022-05-06T00:00:00"/>
    <d v="2022-05-13T00:00:00"/>
    <s v="Carolina Biosystems, s.r.o."/>
    <m/>
    <n v="640000"/>
    <n v="774400"/>
    <m/>
    <m/>
    <m/>
    <d v="2022-05-13T00:00:00"/>
    <s v="SMLN-2022-612-000081"/>
    <x v="8"/>
  </r>
  <r>
    <d v="2022-04-19T00:00:00"/>
    <s v="VZ-2022-000404"/>
    <x v="4"/>
    <s v="Olejníček"/>
    <x v="270"/>
    <m/>
    <m/>
    <m/>
    <s v="39711100-0"/>
    <s v="2.3.660."/>
    <n v="201289"/>
    <x v="2"/>
    <d v="2022-04-27T00:00:00"/>
    <d v="2022-05-05T00:00:00"/>
    <d v="2022-05-16T00:00:00"/>
    <s v="Schoeller Instruments, s.r.o."/>
    <m/>
    <n v="92800"/>
    <n v="112288"/>
    <m/>
    <m/>
    <m/>
    <d v="2022-05-16T00:00:00"/>
    <s v="SMLN-2022-617-000354_x000a_SMLN-2022-612-000083"/>
    <x v="123"/>
  </r>
  <r>
    <s v="opakovaná VZ"/>
    <s v="VZ-2022-000405"/>
    <x v="4"/>
    <s v="Olejníček"/>
    <x v="271"/>
    <m/>
    <m/>
    <m/>
    <s v="33190000-8"/>
    <s v="2.3.468."/>
    <n v="124000"/>
    <x v="2"/>
    <d v="2022-04-27T00:00:00"/>
    <d v="2022-05-06T00:00:00"/>
    <d v="2022-05-17T00:00:00"/>
    <s v="SCHAFFEROVÁ spol. s r.o."/>
    <m/>
    <n v="63243"/>
    <n v="76524"/>
    <m/>
    <m/>
    <m/>
    <d v="2022-05-17T00:00:00"/>
    <s v="SMLN-2022-617-000361_x000a_SMLN-2022-612-000085"/>
    <x v="123"/>
  </r>
  <r>
    <d v="2022-04-21T00:00:00"/>
    <s v="VZ-2022-000409"/>
    <x v="9"/>
    <s v="Oravec"/>
    <x v="272"/>
    <m/>
    <m/>
    <m/>
    <s v="72261000-2"/>
    <m/>
    <n v="1932000"/>
    <x v="1"/>
    <d v="2022-05-04T00:00:00"/>
    <d v="2022-05-30T00:00:00"/>
    <d v="2022-06-09T00:00:00"/>
    <s v="DS Soft Olomouc, spol. s r.o."/>
    <m/>
    <n v="1932000"/>
    <n v="2337720"/>
    <m/>
    <m/>
    <m/>
    <d v="2022-06-09T00:00:00"/>
    <s v="SMLN-2022-612-000099"/>
    <x v="141"/>
  </r>
  <r>
    <d v="2022-04-25T00:00:00"/>
    <s v="VZ-2022-000413"/>
    <x v="17"/>
    <s v="Odehnalová"/>
    <x v="273"/>
    <m/>
    <m/>
    <m/>
    <s v="55110000-4"/>
    <m/>
    <n v="600000"/>
    <x v="2"/>
    <d v="2022-04-28T00:00:00"/>
    <d v="2022-05-06T00:00:00"/>
    <d v="2022-05-17T00:00:00"/>
    <s v="Marie Hrochová"/>
    <m/>
    <n v="419157"/>
    <n v="463800"/>
    <m/>
    <m/>
    <m/>
    <d v="2022-05-17T00:00:00"/>
    <s v="SMLN-2022-612-000084"/>
    <x v="76"/>
  </r>
  <r>
    <d v="2022-04-26T00:00:00"/>
    <s v="VZ-2022-000416"/>
    <x v="4"/>
    <s v="Olejníček"/>
    <x v="274"/>
    <m/>
    <m/>
    <m/>
    <s v="33100000-1"/>
    <m/>
    <n v="259000"/>
    <x v="2"/>
    <d v="2022-04-29T00:00:00"/>
    <d v="2022-05-12T00:00:00"/>
    <d v="2022-06-13T00:00:00"/>
    <s v="BARIA s.r.o."/>
    <m/>
    <n v="183400"/>
    <n v="221914"/>
    <m/>
    <m/>
    <m/>
    <d v="2022-06-13T00:00:00"/>
    <s v="SMLN-2022-617-000404_x000a_SMLN-2022-612-000104"/>
    <x v="142"/>
  </r>
  <r>
    <d v="2022-04-27T00:00:00"/>
    <s v="VZ-2022-000423"/>
    <x v="18"/>
    <s v="Norbertová"/>
    <x v="275"/>
    <m/>
    <m/>
    <m/>
    <s v="33122000-1"/>
    <m/>
    <n v="200000"/>
    <x v="2"/>
    <d v="2022-04-29T00:00:00"/>
    <d v="2022-05-10T00:00:00"/>
    <d v="2022-06-02T00:00:00"/>
    <s v="CMI s.r.o."/>
    <m/>
    <n v="190145"/>
    <n v="230075.45"/>
    <m/>
    <m/>
    <m/>
    <d v="2022-06-02T00:00:00"/>
    <s v="SMLN-2022-617-000382_x000a_SMLN-2022-612-000093"/>
    <x v="90"/>
  </r>
  <r>
    <d v="2022-04-28T00:00:00"/>
    <s v="VZ-2022-000424"/>
    <x v="1"/>
    <s v="Ondráčková"/>
    <x v="276"/>
    <n v="1"/>
    <s v="RIVAROXABAN"/>
    <m/>
    <s v="33621100-0"/>
    <m/>
    <n v="2265603"/>
    <x v="0"/>
    <d v="2022-05-02T00:00:00"/>
    <d v="2022-06-06T00:00:00"/>
    <m/>
    <s v="zrušeno - bez nabídky"/>
    <m/>
    <m/>
    <m/>
    <m/>
    <m/>
    <m/>
    <m/>
    <m/>
    <x v="4"/>
  </r>
  <r>
    <d v="2022-04-28T00:00:00"/>
    <s v="VZ-2022-000425"/>
    <x v="1"/>
    <s v="Ondráčková"/>
    <x v="277"/>
    <m/>
    <m/>
    <m/>
    <s v="24455000-8"/>
    <m/>
    <n v="2380000"/>
    <x v="1"/>
    <d v="2022-05-23T00:00:00"/>
    <d v="2022-06-09T00:00:00"/>
    <m/>
    <s v="zrušeno - úprava specifikace"/>
    <m/>
    <m/>
    <m/>
    <m/>
    <m/>
    <m/>
    <m/>
    <m/>
    <x v="4"/>
  </r>
  <r>
    <d v="2022-04-28T00:00:00"/>
    <s v="VZ-2022-000426"/>
    <x v="1"/>
    <s v="Ondráčková"/>
    <x v="278"/>
    <n v="1"/>
    <s v="SUNITINIB "/>
    <m/>
    <s v="33652000-5"/>
    <m/>
    <n v="9287100"/>
    <x v="0"/>
    <d v="2022-05-09T00:00:00"/>
    <d v="2022-06-13T00:00:00"/>
    <d v="2022-06-27T00:00:00"/>
    <s v="Alliance Healthcare s.r.o."/>
    <m/>
    <n v="576718.80000000005"/>
    <n v="634390.68000000005"/>
    <m/>
    <m/>
    <m/>
    <d v="2022-06-27T00:00:00"/>
    <s v="SMLN-2022-617-000436"/>
    <x v="104"/>
  </r>
  <r>
    <d v="2022-04-28T00:00:00"/>
    <s v="VZ-2022-000426"/>
    <x v="1"/>
    <s v="Ondráčková"/>
    <x v="278"/>
    <n v="2"/>
    <s v="REGORAFENIB"/>
    <m/>
    <s v="33652000-5"/>
    <m/>
    <n v="15520415"/>
    <x v="0"/>
    <d v="2022-05-09T00:00:00"/>
    <d v="2022-06-13T00:00:00"/>
    <d v="2022-06-27T00:00:00"/>
    <s v="BAYER s.r.o."/>
    <m/>
    <n v="15520401.359999999"/>
    <n v="17072441.5"/>
    <m/>
    <m/>
    <m/>
    <d v="2022-06-27T00:00:00"/>
    <s v="SMLN-2022-617-000437"/>
    <x v="121"/>
  </r>
  <r>
    <d v="2022-04-28T00:00:00"/>
    <s v="VZ-2022-000427"/>
    <x v="1"/>
    <s v="Ondráčková"/>
    <x v="279"/>
    <n v="1"/>
    <s v="BOTULOTOXIN TYP A"/>
    <m/>
    <s v="33632200-1"/>
    <m/>
    <n v="6507883"/>
    <x v="0"/>
    <d v="2022-05-02T00:00:00"/>
    <d v="2022-06-06T00:00:00"/>
    <d v="2022-06-29T00:00:00"/>
    <s v="PHOENIX lék.velkoobchod, s.r.o."/>
    <m/>
    <n v="6336554.1600000001"/>
    <n v="6970209.5800000001"/>
    <m/>
    <m/>
    <m/>
    <d v="2022-06-29T00:00:00"/>
    <s v="SMLN-2022-617-000447"/>
    <x v="104"/>
  </r>
  <r>
    <d v="2022-04-21T00:00:00"/>
    <s v="VZ-2022-000429"/>
    <x v="4"/>
    <s v="Olejníček"/>
    <x v="280"/>
    <m/>
    <m/>
    <m/>
    <s v="33120000-7"/>
    <s v="2.3.587, 2.3.642"/>
    <n v="4650000"/>
    <x v="0"/>
    <d v="2022-06-01T00:00:00"/>
    <d v="2022-08-08T00:00:00"/>
    <d v="2022-11-15T00:00:00"/>
    <s v="Kardio-Line spol. s r.o."/>
    <m/>
    <n v="4616200"/>
    <n v="5585602"/>
    <m/>
    <m/>
    <m/>
    <d v="2022-11-15T00:00:00"/>
    <s v="SMLN-2022-617-000799_x000a_SMLN-2022-612-000216_x000a_SMLN-2022-617-000800"/>
    <x v="130"/>
  </r>
  <r>
    <d v="2022-04-27T00:00:00"/>
    <s v="VZ-2022-000430"/>
    <x v="8"/>
    <s v="Kadlec"/>
    <x v="281"/>
    <m/>
    <m/>
    <m/>
    <s v="45262340-6"/>
    <m/>
    <n v="1500000"/>
    <x v="2"/>
    <d v="2022-05-02T00:00:00"/>
    <d v="2022-05-13T00:00:00"/>
    <m/>
    <s v="zrušeno - bez nabídky"/>
    <m/>
    <m/>
    <m/>
    <m/>
    <m/>
    <m/>
    <m/>
    <m/>
    <x v="4"/>
  </r>
  <r>
    <d v="2022-04-28T00:00:00"/>
    <s v="VZ-2022-000434"/>
    <x v="8"/>
    <s v="Kadlec"/>
    <x v="282"/>
    <m/>
    <m/>
    <m/>
    <s v="45421100-5"/>
    <m/>
    <n v="450000"/>
    <x v="2"/>
    <d v="2022-05-09T00:00:00"/>
    <d v="2022-05-18T00:00:00"/>
    <d v="2022-05-25T00:00:00"/>
    <s v="Stavitelství Pospíšil s.r.o."/>
    <m/>
    <n v="495884"/>
    <n v="600019.64"/>
    <m/>
    <m/>
    <m/>
    <d v="2022-05-25T00:00:00"/>
    <s v="SMLN-2022-618-000030"/>
    <x v="135"/>
  </r>
  <r>
    <s v="opakovaná VZ"/>
    <s v="VZ-2022-000442"/>
    <x v="0"/>
    <s v="Dočkalová"/>
    <x v="283"/>
    <m/>
    <s v="Trokar s ochranným ostřím a fixačním balonkem"/>
    <m/>
    <s v="33162200-5"/>
    <m/>
    <n v="1590094"/>
    <x v="0"/>
    <d v="2022-05-09T00:00:00"/>
    <d v="2022-06-10T00:00:00"/>
    <d v="2022-06-16T00:00:00"/>
    <s v="Surgicare s.r.o."/>
    <m/>
    <n v="1176687"/>
    <n v="1493791.27"/>
    <m/>
    <m/>
    <m/>
    <d v="2022-06-16T00:00:00"/>
    <s v="SMLN-2022-617-000413"/>
    <x v="71"/>
  </r>
  <r>
    <s v="opakovaná VZ"/>
    <s v="VZ-2022-000444"/>
    <x v="4"/>
    <s v="Olejníček"/>
    <x v="284"/>
    <m/>
    <m/>
    <m/>
    <s v="38000000-5"/>
    <s v="2.3.617."/>
    <n v="222450"/>
    <x v="2"/>
    <d v="2022-05-04T00:00:00"/>
    <d v="2022-05-13T00:00:00"/>
    <d v="2022-06-07T00:00:00"/>
    <s v="Merck Life Science spol. s r.o."/>
    <m/>
    <n v="188540"/>
    <n v="228133.4"/>
    <m/>
    <m/>
    <m/>
    <d v="2022-06-07T00:00:00"/>
    <s v="SMLN-2022-617-000392_x000a_SMLN-2022-612-000098"/>
    <x v="80"/>
  </r>
  <r>
    <d v="2022-04-21T00:00:00"/>
    <s v="VZ-2022-000447"/>
    <x v="5"/>
    <s v="Srovnal"/>
    <x v="285"/>
    <m/>
    <m/>
    <m/>
    <s v="45453100-8"/>
    <m/>
    <n v="7300000"/>
    <x v="1"/>
    <d v="2022-05-09T00:00:00"/>
    <d v="2022-05-26T00:00:00"/>
    <d v="2022-06-09T00:00:00"/>
    <s v="Stavitelství Pospíšil s.r.o."/>
    <m/>
    <n v="8745627"/>
    <n v="10582208.67"/>
    <m/>
    <m/>
    <m/>
    <d v="2022-06-09T00:00:00"/>
    <s v="SMLN-2022-618-000035"/>
    <x v="52"/>
  </r>
  <r>
    <d v="2022-04-28T00:00:00"/>
    <s v="VZ-2022-000450"/>
    <x v="19"/>
    <s v="Simon"/>
    <x v="286"/>
    <m/>
    <m/>
    <m/>
    <s v="98370000-7"/>
    <m/>
    <n v="4200000"/>
    <x v="0"/>
    <d v="2022-05-09T00:00:00"/>
    <d v="2022-06-15T00:00:00"/>
    <d v="2022-06-29T00:00:00"/>
    <s v="Pohřební služba MISERICORDIA s.r.o."/>
    <m/>
    <n v="8640000"/>
    <n v="9936000"/>
    <m/>
    <m/>
    <m/>
    <d v="2022-06-29T00:00:00"/>
    <s v="SMLN-2022-612-000117"/>
    <x v="143"/>
  </r>
  <r>
    <d v="2022-04-29T00:00:00"/>
    <s v="VZ-2022-000463"/>
    <x v="5"/>
    <s v="Srovnal"/>
    <x v="287"/>
    <m/>
    <m/>
    <m/>
    <s v="50711000-2"/>
    <m/>
    <n v="2600000"/>
    <x v="1"/>
    <d v="2022-05-13T00:00:00"/>
    <d v="2022-06-07T00:00:00"/>
    <d v="2022-07-15T00:00:00"/>
    <s v="ELMAR group spol. s r.o."/>
    <m/>
    <n v="1959330"/>
    <n v="2370789.2999999998"/>
    <m/>
    <m/>
    <m/>
    <d v="2022-07-15T00:00:00"/>
    <s v="SMLN-2022-618-000045"/>
    <x v="5"/>
  </r>
  <r>
    <d v="2022-05-05T00:00:00"/>
    <s v="VZ-2022-000464"/>
    <x v="4"/>
    <s v="Olejníček"/>
    <x v="288"/>
    <n v="1"/>
    <s v="Intraorální přístroj s přímou digitalizací"/>
    <m/>
    <s v="33111000-1"/>
    <s v="2.3.549."/>
    <n v="290000"/>
    <x v="0"/>
    <d v="2022-07-01T00:00:00"/>
    <d v="2022-08-31T00:00:00"/>
    <m/>
    <s v="zrušeno - bez nabídky"/>
    <s v="nová VZ-2022-001335"/>
    <m/>
    <m/>
    <m/>
    <m/>
    <m/>
    <m/>
    <m/>
    <x v="4"/>
  </r>
  <r>
    <d v="2022-05-05T00:00:00"/>
    <s v="VZ-2022-000464"/>
    <x v="4"/>
    <s v="Olejníček"/>
    <x v="288"/>
    <n v="2"/>
    <s v="Digitální pojízdný RTG přístroj"/>
    <m/>
    <s v="33111000-1"/>
    <s v="2.3.649."/>
    <n v="2580000"/>
    <x v="0"/>
    <d v="2022-07-01T00:00:00"/>
    <d v="2022-08-31T00:00:00"/>
    <d v="2022-10-11T00:00:00"/>
    <s v="F medical s.r.o."/>
    <m/>
    <n v="2310400"/>
    <n v="2795584"/>
    <m/>
    <m/>
    <m/>
    <d v="2022-10-11T00:00:00"/>
    <s v="SMLN-2022-617-000693_x000a_SMLN-2022-612-000202"/>
    <x v="144"/>
  </r>
  <r>
    <d v="2022-05-05T00:00:00"/>
    <s v="VZ-2022-000464"/>
    <x v="3"/>
    <s v="Olejníček"/>
    <x v="288"/>
    <n v="3"/>
    <s v="Digitální skiagrafický systém"/>
    <m/>
    <s v="33111000-1"/>
    <s v="2.3.593."/>
    <n v="5600000"/>
    <x v="0"/>
    <d v="2022-07-01T00:00:00"/>
    <d v="2022-08-31T00:00:00"/>
    <d v="2022-10-11T00:00:00"/>
    <s v="EXRAY s.r.o."/>
    <m/>
    <n v="5448600"/>
    <n v="6592806"/>
    <m/>
    <m/>
    <m/>
    <d v="2022-10-11T00:00:00"/>
    <s v="SMLN-2022-617-000694_x000a_SMLN-2022-612-000203"/>
    <x v="145"/>
  </r>
  <r>
    <d v="2022-05-05T00:00:00"/>
    <s v="VZ-2022-000464"/>
    <x v="3"/>
    <s v="Olejníček"/>
    <x v="288"/>
    <n v="4"/>
    <s v="Skiaskopicko-skiagrafický digitální RTG systém"/>
    <m/>
    <s v="33111000-1"/>
    <s v="2.3.594."/>
    <n v="9915243"/>
    <x v="0"/>
    <d v="2022-07-01T00:00:00"/>
    <d v="2022-08-31T00:00:00"/>
    <d v="2022-10-11T00:00:00"/>
    <s v="MEDIFINE a.s."/>
    <m/>
    <n v="9881270"/>
    <n v="11956336.699999999"/>
    <m/>
    <m/>
    <m/>
    <d v="2022-10-11T00:00:00"/>
    <s v="SMLN-2022-617-000695_x000a_SMLN-2022-612-000204"/>
    <x v="146"/>
  </r>
  <r>
    <d v="2022-05-05T00:00:00"/>
    <s v="VZ-2022-000468-01"/>
    <x v="0"/>
    <s v="Valtová"/>
    <x v="289"/>
    <n v="1"/>
    <s v="Stent pankreatický plastový rovný"/>
    <m/>
    <s v="33140000-3"/>
    <m/>
    <n v="377100"/>
    <x v="2"/>
    <d v="2022-05-12T00:00:00"/>
    <d v="2022-05-20T00:00:00"/>
    <d v="2022-06-01T00:00:00"/>
    <s v="Boston Scientific Česká republika s.r.o."/>
    <m/>
    <n v="255000"/>
    <n v="293250"/>
    <m/>
    <m/>
    <m/>
    <d v="2022-06-01T00:00:00"/>
    <s v="SMLN-2022-617-000379_x000a_SMLN-2022-614-000046"/>
    <x v="38"/>
  </r>
  <r>
    <d v="2022-05-05T00:00:00"/>
    <s v="VZ-2022-000468-02"/>
    <x v="0"/>
    <s v="Valtová"/>
    <x v="289"/>
    <n v="2"/>
    <s v="Stent pankreatický plastový single pigtail"/>
    <m/>
    <s v="33140000-3"/>
    <m/>
    <n v="134400"/>
    <x v="2"/>
    <d v="2022-05-12T00:00:00"/>
    <d v="2022-05-20T00:00:00"/>
    <d v="2022-06-01T00:00:00"/>
    <s v="Boston Scientific Česká republika s.r.o."/>
    <m/>
    <n v="85000"/>
    <n v="97750"/>
    <m/>
    <m/>
    <m/>
    <d v="2022-06-01T00:00:00"/>
    <s v="SMLN-2022-617-000380_x000a_SMLN-2022-614-000047"/>
    <x v="38"/>
  </r>
  <r>
    <d v="2022-05-05T00:00:00"/>
    <s v="VZ-2022-000469-01"/>
    <x v="0"/>
    <s v="Valtová"/>
    <x v="290"/>
    <n v="1"/>
    <s v="Stent biliární plastový I. (TTSO)"/>
    <m/>
    <s v="33140000-3"/>
    <m/>
    <n v="363300"/>
    <x v="1"/>
    <d v="2022-05-13T00:00:00"/>
    <d v="2022-06-15T00:00:00"/>
    <d v="2022-08-23T00:00:00"/>
    <s v="MEDIAL spol. s r.o."/>
    <m/>
    <n v="387345"/>
    <n v="445446.75"/>
    <m/>
    <m/>
    <m/>
    <d v="2022-08-23T00:00:00"/>
    <s v="SMLN-2022-617-000576_x000a_SMLN-2022-614-000072"/>
    <x v="147"/>
  </r>
  <r>
    <d v="2022-05-05T00:00:00"/>
    <s v="VZ-2022-000469-02"/>
    <x v="0"/>
    <s v="Valtová"/>
    <x v="290"/>
    <n v="2"/>
    <s v="Stent biliární plastový II. (CLSO)"/>
    <m/>
    <s v="33140000-3"/>
    <m/>
    <n v="1164800"/>
    <x v="1"/>
    <d v="2022-05-13T00:00:00"/>
    <d v="2022-06-15T00:00:00"/>
    <d v="2022-08-23T00:00:00"/>
    <s v="MEDIAL spol. s r.o."/>
    <m/>
    <n v="1164800"/>
    <n v="1339520"/>
    <m/>
    <m/>
    <m/>
    <d v="2022-08-23T00:00:00"/>
    <s v="SMLN-2022-617-000577_x000a_SMLN-2022-614-000073"/>
    <x v="147"/>
  </r>
  <r>
    <d v="2022-05-05T00:00:00"/>
    <s v="VZ-2022-000469-03"/>
    <x v="0"/>
    <s v="Valtová"/>
    <x v="290"/>
    <n v="3"/>
    <s v="Stent biliární plastový plastový double Pigtail"/>
    <m/>
    <s v="33140000-3"/>
    <m/>
    <n v="459000"/>
    <x v="1"/>
    <d v="2022-05-13T00:00:00"/>
    <d v="2022-06-15T00:00:00"/>
    <d v="2022-08-23T00:00:00"/>
    <s v="INLAB s.r.o."/>
    <m/>
    <n v="418800"/>
    <n v="481620"/>
    <m/>
    <m/>
    <m/>
    <d v="2022-08-23T00:00:00"/>
    <s v="SMLN-2022-617-000578_x000a_SMLN-2022-614-000074"/>
    <x v="99"/>
  </r>
  <r>
    <d v="2022-05-06T00:00:00"/>
    <s v="VZ-2022-000475"/>
    <x v="7"/>
    <s v="Svozil"/>
    <x v="291"/>
    <m/>
    <m/>
    <m/>
    <s v="45332200-5"/>
    <m/>
    <n v="540000"/>
    <x v="2"/>
    <d v="2022-05-13T00:00:00"/>
    <d v="2022-05-24T00:00:00"/>
    <d v="2022-06-01T00:00:00"/>
    <s v="INSTA CZ, s.r.o."/>
    <m/>
    <n v="768347.2"/>
    <n v="929700.11"/>
    <m/>
    <m/>
    <m/>
    <d v="2022-06-01T00:00:00"/>
    <s v="SMLN-2022-618-000031"/>
    <x v="71"/>
  </r>
  <r>
    <d v="2022-05-02T00:00:00"/>
    <s v="VZ-2022-000476"/>
    <x v="4"/>
    <s v="Olejníček"/>
    <x v="292"/>
    <m/>
    <m/>
    <m/>
    <s v="33152000-0"/>
    <s v="2.3.540."/>
    <n v="3380000"/>
    <x v="0"/>
    <d v="2022-05-17T00:00:00"/>
    <d v="2022-06-21T00:00:00"/>
    <d v="2022-06-29T00:00:00"/>
    <s v="YBUX s.r.o."/>
    <m/>
    <n v="3349000"/>
    <n v="4052290"/>
    <m/>
    <m/>
    <m/>
    <d v="2022-06-29T00:00:00"/>
    <s v="SMLN-2022-617-000443_x000a_SMLN-2022-612-000119_x000a_SMLN-2022-617-000444"/>
    <x v="148"/>
  </r>
  <r>
    <d v="2022-05-09T00:00:00"/>
    <s v="VZ-2022-000480"/>
    <x v="1"/>
    <s v="Ondráčková"/>
    <x v="293"/>
    <m/>
    <m/>
    <m/>
    <s v="33600000-6"/>
    <m/>
    <n v="10582800"/>
    <x v="0"/>
    <d v="2022-05-26T00:00:00"/>
    <d v="2022-06-30T00:00:00"/>
    <m/>
    <s v="zrušeno - bez hodnotitelné nabídky"/>
    <s v="nová VZ-2022-000813"/>
    <m/>
    <m/>
    <m/>
    <m/>
    <m/>
    <m/>
    <m/>
    <x v="4"/>
  </r>
  <r>
    <d v="2022-05-10T00:00:00"/>
    <s v="VZ-2022-000481"/>
    <x v="4"/>
    <s v="Olejníček"/>
    <x v="294"/>
    <m/>
    <m/>
    <m/>
    <s v="33191000-5"/>
    <s v="2.2.477."/>
    <n v="528000"/>
    <x v="0"/>
    <d v="2022-05-12T00:00:00"/>
    <d v="2022-06-15T00:00:00"/>
    <d v="2022-06-30T00:00:00"/>
    <s v="Fénix Brno, spol. s r.o."/>
    <m/>
    <n v="572484"/>
    <n v="692705.64"/>
    <m/>
    <m/>
    <m/>
    <d v="2022-06-30T00:00:00"/>
    <s v="SMLN-2022-617-000451_x000a_SMLN-2022-612-000123"/>
    <x v="149"/>
  </r>
  <r>
    <d v="2022-05-09T00:00:00"/>
    <s v="VZ-2022-000487-01"/>
    <x v="7"/>
    <s v="Svozil"/>
    <x v="295"/>
    <n v="1"/>
    <s v="Likvidace nebezpečných odpadů"/>
    <m/>
    <s v="90500000-2"/>
    <m/>
    <n v="128250000"/>
    <x v="0"/>
    <d v="2022-08-11T00:00:00"/>
    <d v="2022-10-26T00:00:00"/>
    <d v="2022-12-16T00:00:00"/>
    <s v="Veolia Energie ČR, a.s."/>
    <m/>
    <n v="107417279.38"/>
    <n v="129974908.05"/>
    <m/>
    <m/>
    <m/>
    <d v="2022-12-16T00:00:00"/>
    <s v="SMLN-2022-612-000232"/>
    <x v="4"/>
  </r>
  <r>
    <d v="2022-05-09T00:00:00"/>
    <s v="VZ-2022-000487-02"/>
    <x v="7"/>
    <s v="Svozil"/>
    <x v="295"/>
    <n v="2"/>
    <s v="Likvidace ostatních odpadů"/>
    <m/>
    <s v="90500000-2"/>
    <m/>
    <n v="11700000"/>
    <x v="0"/>
    <d v="2022-08-11T00:00:00"/>
    <d v="2022-10-26T00:00:00"/>
    <m/>
    <s v="zrušeno - neekonomická nabídka"/>
    <m/>
    <m/>
    <m/>
    <m/>
    <m/>
    <m/>
    <m/>
    <m/>
    <x v="4"/>
  </r>
  <r>
    <d v="2022-05-09T00:00:00"/>
    <s v="VZ-2022-000487-03"/>
    <x v="7"/>
    <s v="Svozil"/>
    <x v="295"/>
    <n v="3"/>
    <s v="Výkup odpadů"/>
    <m/>
    <s v="90500000-2"/>
    <m/>
    <n v="765000"/>
    <x v="0"/>
    <d v="2022-08-11T00:00:00"/>
    <d v="2022-10-26T00:00:00"/>
    <m/>
    <s v="zrušeno - bez nabídky"/>
    <m/>
    <m/>
    <m/>
    <m/>
    <m/>
    <m/>
    <m/>
    <m/>
    <x v="4"/>
  </r>
  <r>
    <d v="2022-05-11T00:00:00"/>
    <s v="VZ-2022-000488"/>
    <x v="0"/>
    <s v="Valtová"/>
    <x v="296"/>
    <m/>
    <m/>
    <m/>
    <s v="33140000-3"/>
    <m/>
    <n v="1193125"/>
    <x v="0"/>
    <d v="2022-05-24T00:00:00"/>
    <d v="2022-06-27T00:00:00"/>
    <d v="2022-08-12T00:00:00"/>
    <s v="A care a.s."/>
    <m/>
    <n v="1193055.25"/>
    <n v="1443596.85"/>
    <m/>
    <m/>
    <m/>
    <d v="2022-08-12T00:00:00"/>
    <s v="SMLN-2022-617-000539 SMLN-2022-614-000067"/>
    <x v="98"/>
  </r>
  <r>
    <d v="2022-05-12T00:00:00"/>
    <s v="VZ-2022-000494"/>
    <x v="4"/>
    <s v="Olejníček"/>
    <x v="297"/>
    <m/>
    <m/>
    <m/>
    <s v="33122000-1"/>
    <s v="2.3.669."/>
    <n v="253000"/>
    <x v="2"/>
    <d v="2022-05-12T00:00:00"/>
    <d v="2022-05-20T00:00:00"/>
    <d v="2022-06-02T00:00:00"/>
    <s v="CMI s.r.o."/>
    <m/>
    <n v="225670"/>
    <n v="273060.7"/>
    <m/>
    <m/>
    <m/>
    <d v="2022-06-02T00:00:00"/>
    <s v="SMLN-2022-617-000386_x000a_SMLN-2022-612-000096"/>
    <x v="90"/>
  </r>
  <r>
    <d v="2022-05-12T00:00:00"/>
    <s v="VZ-2022-000496"/>
    <x v="1"/>
    <s v="Ondráčková"/>
    <x v="298"/>
    <m/>
    <m/>
    <m/>
    <s v="33652000-5"/>
    <m/>
    <n v="3913800"/>
    <x v="0"/>
    <d v="2022-05-19T00:00:00"/>
    <d v="2022-06-23T00:00:00"/>
    <d v="2022-07-15T00:00:00"/>
    <s v="Alliance Healthcare s.r.o."/>
    <m/>
    <n v="2874013.08"/>
    <n v="3161414.39"/>
    <m/>
    <m/>
    <m/>
    <d v="2022-07-15T00:00:00"/>
    <s v="SMLN-2022-617-000462"/>
    <x v="121"/>
  </r>
  <r>
    <d v="2022-05-12T00:00:00"/>
    <s v="VZ-2022-000497"/>
    <x v="1"/>
    <s v="Ondráčková"/>
    <x v="299"/>
    <m/>
    <m/>
    <m/>
    <s v="33652000-5"/>
    <m/>
    <n v="14679615"/>
    <x v="0"/>
    <d v="2022-06-06T00:00:00"/>
    <d v="2022-07-11T00:00:00"/>
    <d v="2022-08-24T00:00:00"/>
    <s v="Alliance Healthcare s.r.o."/>
    <m/>
    <n v="14679613.039999999"/>
    <n v="16147574.34"/>
    <m/>
    <m/>
    <m/>
    <d v="2022-08-24T00:00:00"/>
    <s v="SMLN-2022-617-000586"/>
    <x v="150"/>
  </r>
  <r>
    <d v="2022-05-12T00:00:00"/>
    <s v="VZ-2022-000498"/>
    <x v="4"/>
    <s v="Olejníček"/>
    <x v="300"/>
    <m/>
    <m/>
    <m/>
    <s v="42923200-4"/>
    <s v="2.2.480."/>
    <n v="255000"/>
    <x v="2"/>
    <d v="2022-05-16T00:00:00"/>
    <d v="2022-05-24T00:00:00"/>
    <d v="2022-06-02T00:00:00"/>
    <s v="MedSystem s.r.o."/>
    <m/>
    <n v="220500"/>
    <n v="266805"/>
    <m/>
    <m/>
    <m/>
    <d v="2022-06-02T00:00:00"/>
    <s v="SMLN-2022-617-000381_x000a_SMLN-2022-612-000092"/>
    <x v="105"/>
  </r>
  <r>
    <d v="2022-05-11T00:00:00"/>
    <s v="VZ-2022-000502"/>
    <x v="0"/>
    <s v="Valtová"/>
    <x v="301"/>
    <m/>
    <m/>
    <m/>
    <s v="33140000-3"/>
    <m/>
    <n v="1083500"/>
    <x v="0"/>
    <d v="2022-05-25T00:00:00"/>
    <d v="2022-06-28T00:00:00"/>
    <d v="2022-08-23T00:00:00"/>
    <s v="A care a.s."/>
    <m/>
    <n v="1083460.6000000001"/>
    <n v="1310987.08"/>
    <m/>
    <m/>
    <m/>
    <d v="2022-08-23T00:00:00"/>
    <s v="SMLN-2022-617-000575_x000a_SMLN-2022-614-000071"/>
    <x v="117"/>
  </r>
  <r>
    <d v="2022-05-13T00:00:00"/>
    <s v="VZ-2022-000503-01"/>
    <x v="1"/>
    <s v="Ondráčková"/>
    <x v="302"/>
    <n v="1"/>
    <s v="SMĚS BAKTERIÁLNÍHO LYZÁTU (LYSATUM BACTERIALE MIXTUM) "/>
    <m/>
    <s v="33652000-5"/>
    <m/>
    <n v="112125"/>
    <x v="0"/>
    <d v="2022-05-24T00:00:00"/>
    <d v="2022-07-11T00:00:00"/>
    <d v="2022-08-23T00:00:00"/>
    <s v="PHOENIX lék.velkoobchod, s.r.o."/>
    <m/>
    <n v="111870"/>
    <n v="123057"/>
    <m/>
    <m/>
    <m/>
    <d v="2022-08-24T00:00:00"/>
    <s v="SMLN-2022-617-000584"/>
    <x v="103"/>
  </r>
  <r>
    <d v="2022-05-13T00:00:00"/>
    <s v="VZ-2022-000503-02"/>
    <x v="1"/>
    <s v="Ondráčková"/>
    <x v="302"/>
    <n v="2"/>
    <s v="BACILLUS CALMETTE-GUERIN (BACILLUS CALMETTE-GUERIN) "/>
    <m/>
    <s v="33652000-5"/>
    <m/>
    <n v="2305480"/>
    <x v="0"/>
    <d v="2022-05-24T00:00:00"/>
    <d v="2022-07-11T00:00:00"/>
    <d v="2022-08-23T00:00:00"/>
    <s v="PHOENIX lék.velkoobchod, s.r.o."/>
    <m/>
    <n v="2222207.79"/>
    <n v="2444428.5699999998"/>
    <m/>
    <m/>
    <m/>
    <d v="2022-08-24T00:00:00"/>
    <s v="SMLN-2022-617-000585"/>
    <x v="103"/>
  </r>
  <r>
    <d v="2022-05-13T00:00:00"/>
    <s v="VZ-2022-000504-01"/>
    <x v="1"/>
    <s v="Ondráčková"/>
    <x v="303"/>
    <n v="1"/>
    <s v="KAPTOPRIL "/>
    <m/>
    <s v="33622200-8"/>
    <m/>
    <n v="58465"/>
    <x v="2"/>
    <d v="2022-06-09T00:00:00"/>
    <d v="2022-06-28T00:00:00"/>
    <d v="2022-08-16T00:00:00"/>
    <s v="Alliance Healthcare s.r.o."/>
    <m/>
    <n v="57836.32"/>
    <n v="63619.95"/>
    <m/>
    <m/>
    <m/>
    <d v="2022-08-16T00:00:00"/>
    <s v="SMLN-2022-617-000548"/>
    <x v="66"/>
  </r>
  <r>
    <d v="2022-05-13T00:00:00"/>
    <s v="VZ-2022-000504-02"/>
    <x v="1"/>
    <s v="Ondráčková"/>
    <x v="303"/>
    <n v="2"/>
    <s v="_x000a_ENALAPRIL I."/>
    <m/>
    <s v="33622200-8"/>
    <m/>
    <n v="42573"/>
    <x v="2"/>
    <d v="2022-06-09T00:00:00"/>
    <d v="2022-06-28T00:00:00"/>
    <d v="2022-08-16T00:00:00"/>
    <s v="PHOENIX lék.velkoobchod, s.r.o."/>
    <m/>
    <n v="42573"/>
    <n v="46830.3"/>
    <m/>
    <m/>
    <m/>
    <d v="2022-08-16T00:00:00"/>
    <s v="SMLN-2022-617-000549"/>
    <x v="98"/>
  </r>
  <r>
    <d v="2022-05-13T00:00:00"/>
    <s v="VZ-2022-000504-03"/>
    <x v="1"/>
    <s v="Ondráčková"/>
    <x v="303"/>
    <n v="3"/>
    <s v="_x000a_ENALAPRIL II."/>
    <m/>
    <s v="33622200-8"/>
    <m/>
    <n v="44572"/>
    <x v="2"/>
    <d v="2022-06-09T00:00:00"/>
    <d v="2022-06-28T00:00:00"/>
    <d v="2022-08-16T00:00:00"/>
    <s v="PHOENIX lék.velkoobchod, s.r.o."/>
    <m/>
    <n v="44561.96"/>
    <n v="49018.16"/>
    <m/>
    <m/>
    <m/>
    <d v="2022-08-16T00:00:00"/>
    <s v="SMLN-2022-617-000550"/>
    <x v="98"/>
  </r>
  <r>
    <d v="2022-05-13T00:00:00"/>
    <s v="VZ-2022-000504-04"/>
    <x v="1"/>
    <s v="Ondráčková"/>
    <x v="303"/>
    <n v="4"/>
    <s v="PERINDOPRIL I."/>
    <m/>
    <s v="33622200-8"/>
    <m/>
    <n v="100344"/>
    <x v="2"/>
    <d v="2022-06-09T00:00:00"/>
    <d v="2022-06-28T00:00:00"/>
    <d v="2022-08-16T00:00:00"/>
    <s v="PHOENIX lék.velkoobchod, s.r.o."/>
    <m/>
    <n v="89464.36"/>
    <n v="98410.8"/>
    <m/>
    <m/>
    <m/>
    <d v="2022-08-16T00:00:00"/>
    <s v="SMLN-2022-617-000551"/>
    <x v="98"/>
  </r>
  <r>
    <d v="2022-05-13T00:00:00"/>
    <s v="VZ-2022-000504-05"/>
    <x v="1"/>
    <s v="Ondráčková"/>
    <x v="303"/>
    <n v="5"/>
    <s v="PERINDOPRIL II."/>
    <m/>
    <s v="33622200-8"/>
    <m/>
    <n v="957957"/>
    <x v="2"/>
    <d v="2022-06-09T00:00:00"/>
    <d v="2022-06-28T00:00:00"/>
    <d v="2022-08-16T00:00:00"/>
    <s v="PHOENIX lék.velkoobchod, s.r.o."/>
    <m/>
    <n v="957955.4"/>
    <n v="1053750.94"/>
    <m/>
    <m/>
    <m/>
    <d v="2022-08-16T00:00:00"/>
    <s v="SMLN-2022-617-000552"/>
    <x v="98"/>
  </r>
  <r>
    <d v="2022-05-13T00:00:00"/>
    <s v="VZ-2022-000504-06"/>
    <x v="1"/>
    <s v="Ondráčková"/>
    <x v="303"/>
    <n v="6"/>
    <s v="_x000a_RAMIPRIL"/>
    <m/>
    <s v="33622200-8"/>
    <m/>
    <n v="349305"/>
    <x v="2"/>
    <d v="2022-06-09T00:00:00"/>
    <d v="2022-06-28T00:00:00"/>
    <d v="2022-08-16T00:00:00"/>
    <s v="PHOENIX lék.velkoobchod, s.r.o."/>
    <m/>
    <n v="349066"/>
    <n v="383972.6"/>
    <m/>
    <m/>
    <m/>
    <d v="2022-08-16T00:00:00"/>
    <s v="SMLN-2022-617-000553"/>
    <x v="98"/>
  </r>
  <r>
    <d v="2022-05-13T00:00:00"/>
    <s v="VZ-2022-000504-07"/>
    <x v="1"/>
    <s v="Ondráčková"/>
    <x v="303"/>
    <n v="7"/>
    <s v="_x000a__x000a_FOSINOPRIL  "/>
    <m/>
    <s v="33622200-8"/>
    <m/>
    <n v="86076"/>
    <x v="2"/>
    <d v="2022-06-09T00:00:00"/>
    <d v="2022-06-28T00:00:00"/>
    <d v="2022-08-16T00:00:00"/>
    <s v="PHOENIX lék.velkoobchod, s.r.o."/>
    <m/>
    <n v="86075.92"/>
    <n v="94683.51"/>
    <m/>
    <m/>
    <m/>
    <d v="2022-08-16T00:00:00"/>
    <s v="SMLN-2022-617-000554"/>
    <x v="98"/>
  </r>
  <r>
    <d v="2022-05-13T00:00:00"/>
    <s v="VZ-2022-000504-08"/>
    <x v="1"/>
    <s v="Ondráčková"/>
    <x v="303"/>
    <n v="8"/>
    <s v="TRANDOLAPRIL  "/>
    <m/>
    <s v="33622200-8"/>
    <m/>
    <n v="81585"/>
    <x v="2"/>
    <d v="2022-06-09T00:00:00"/>
    <d v="2022-06-28T00:00:00"/>
    <d v="2022-08-16T00:00:00"/>
    <s v="Alliance Healthcare s.r.o."/>
    <m/>
    <n v="72999.12"/>
    <n v="80299.03"/>
    <m/>
    <m/>
    <m/>
    <d v="2022-08-16T00:00:00"/>
    <s v="SMLN-2022-617-000555"/>
    <x v="66"/>
  </r>
  <r>
    <d v="2022-05-13T00:00:00"/>
    <s v="VZ-2022-000506-01"/>
    <x v="1"/>
    <s v="Ondráčková"/>
    <x v="304"/>
    <n v="1"/>
    <s v="BENZYLPENICILIN"/>
    <m/>
    <s v="33651100-9"/>
    <m/>
    <n v="270516"/>
    <x v="0"/>
    <d v="2022-06-27T00:00:00"/>
    <d v="2022-08-01T00:00:00"/>
    <d v="2022-10-21T00:00:00"/>
    <s v="PHOENIX lék.velkoobchod, s.r.o."/>
    <m/>
    <n v="268169.40000000002"/>
    <n v="294986.34000000003"/>
    <m/>
    <m/>
    <m/>
    <d v="2022-10-21T00:00:00"/>
    <s v="SMLN-2022-617-000751"/>
    <x v="151"/>
  </r>
  <r>
    <d v="2022-05-13T00:00:00"/>
    <s v="VZ-2022-000506-02"/>
    <x v="1"/>
    <s v="Ondráčková"/>
    <x v="304"/>
    <n v="2"/>
    <s v="SULFAMETHOXAZOL A TRIMETHOPRIM I."/>
    <m/>
    <s v="33651100-9"/>
    <m/>
    <n v="701408"/>
    <x v="0"/>
    <d v="2022-06-27T00:00:00"/>
    <d v="2022-08-01T00:00:00"/>
    <d v="2022-10-21T00:00:00"/>
    <s v="PHARMOS, a.s., a.s."/>
    <m/>
    <n v="665585.81999999995"/>
    <n v="732144.4"/>
    <m/>
    <m/>
    <m/>
    <d v="2022-10-21T00:00:00"/>
    <s v="SMLN-2022-617-000752"/>
    <x v="152"/>
  </r>
  <r>
    <d v="2022-05-13T00:00:00"/>
    <s v="VZ-2022-000506-03"/>
    <x v="1"/>
    <s v="Ondráčková"/>
    <x v="304"/>
    <n v="3"/>
    <s v="SULFAMETHOXAZOL A TRIMETHOPRIM II."/>
    <m/>
    <s v="33651100-9"/>
    <m/>
    <n v="101354"/>
    <x v="0"/>
    <d v="2022-06-27T00:00:00"/>
    <d v="2022-08-01T00:00:00"/>
    <d v="2022-10-21T00:00:00"/>
    <s v="Alliance Healthcare s.r.o."/>
    <m/>
    <n v="90465.45"/>
    <n v="99512"/>
    <m/>
    <m/>
    <m/>
    <d v="2022-10-21T00:00:00"/>
    <s v="SMLN-2022-617-000753"/>
    <x v="151"/>
  </r>
  <r>
    <d v="2022-05-13T00:00:00"/>
    <s v="VZ-2022-000506-04"/>
    <x v="1"/>
    <s v="Ondráčková"/>
    <x v="304"/>
    <n v="4"/>
    <s v="SULFAMETHOXAZOL A TRIMETHOPRIM III."/>
    <m/>
    <s v="33651100-9"/>
    <m/>
    <n v="1485341"/>
    <x v="0"/>
    <d v="2022-06-27T00:00:00"/>
    <d v="2022-08-01T00:00:00"/>
    <m/>
    <s v="zrušeno - všichni účastníci odstoupili"/>
    <m/>
    <m/>
    <m/>
    <m/>
    <m/>
    <m/>
    <m/>
    <m/>
    <x v="4"/>
  </r>
  <r>
    <d v="2022-05-13T00:00:00"/>
    <s v="VZ-2022-000506-05"/>
    <x v="1"/>
    <s v="Ondráčková"/>
    <x v="304"/>
    <n v="5"/>
    <s v="VANKOMYCIN I."/>
    <m/>
    <s v="33651100-9"/>
    <m/>
    <n v="175924"/>
    <x v="0"/>
    <d v="2022-06-27T00:00:00"/>
    <d v="2022-08-01T00:00:00"/>
    <m/>
    <s v="zrušeno - bez nabídky"/>
    <m/>
    <m/>
    <m/>
    <m/>
    <m/>
    <m/>
    <m/>
    <m/>
    <x v="4"/>
  </r>
  <r>
    <d v="2022-05-13T00:00:00"/>
    <s v="VZ-2022-000506-06"/>
    <x v="1"/>
    <s v="Ondráčková"/>
    <x v="304"/>
    <n v="6"/>
    <s v="VANKOMYCIN II."/>
    <m/>
    <s v="33651100-9"/>
    <m/>
    <n v="877813"/>
    <x v="0"/>
    <d v="2022-06-27T00:00:00"/>
    <d v="2022-08-01T00:00:00"/>
    <d v="2022-10-21T00:00:00"/>
    <s v="zrušeno - odstoupení účastníků od nabídky"/>
    <m/>
    <n v="857190.15"/>
    <n v="942909.17"/>
    <m/>
    <m/>
    <m/>
    <d v="2022-10-21T00:00:00"/>
    <s v="SMLN-2022-617-000755"/>
    <x v="4"/>
  </r>
  <r>
    <d v="2022-05-06T00:00:00"/>
    <s v="VZ-2022-000507"/>
    <x v="4"/>
    <s v="Olejníček"/>
    <x v="305"/>
    <m/>
    <m/>
    <m/>
    <s v="33168100-6"/>
    <m/>
    <n v="1727250"/>
    <x v="0"/>
    <d v="2022-06-07T00:00:00"/>
    <d v="2022-07-12T00:00:00"/>
    <d v="2022-07-29T00:00:00"/>
    <s v="RADIX CZ s.r.o."/>
    <m/>
    <n v="1675938"/>
    <n v="2033208.98"/>
    <m/>
    <m/>
    <m/>
    <d v="2022-07-29T00:00:00"/>
    <s v="SMLN-2022-617-000480 SMLN-2022-617-000624_x000a_SMLN-2022-612-000138"/>
    <x v="120"/>
  </r>
  <r>
    <d v="2022-05-12T00:00:00"/>
    <s v="VZ-2022-000508"/>
    <x v="9"/>
    <s v="Oravec"/>
    <x v="306"/>
    <m/>
    <m/>
    <m/>
    <s v="72268000-1"/>
    <m/>
    <n v="396000"/>
    <x v="2"/>
    <d v="2022-05-19T00:00:00"/>
    <d v="2022-05-27T00:00:00"/>
    <d v="2022-06-02T00:00:00"/>
    <s v="Ústav radiačnej ochrany, s.r.o."/>
    <m/>
    <n v="396000"/>
    <n v="479160"/>
    <m/>
    <m/>
    <m/>
    <d v="2022-06-02T00:00:00"/>
    <s v="SMLN-2022-612-000091"/>
    <x v="153"/>
  </r>
  <r>
    <s v="opakovaná VZ"/>
    <s v="VZ-2022-000511"/>
    <x v="16"/>
    <s v="Klimek"/>
    <x v="307"/>
    <m/>
    <m/>
    <m/>
    <s v="34136100-0"/>
    <s v="4.2.180."/>
    <n v="1239669"/>
    <x v="2"/>
    <d v="2022-05-19T00:00:00"/>
    <d v="2022-06-02T00:00:00"/>
    <d v="2022-06-10T00:00:00"/>
    <s v="Auto Kubíček s.r.o."/>
    <m/>
    <n v="1223140.5"/>
    <n v="1480000"/>
    <m/>
    <m/>
    <m/>
    <d v="2022-06-10T00:00:00"/>
    <s v="SMLN-2022-617-000402"/>
    <x v="154"/>
  </r>
  <r>
    <d v="2022-05-16T00:00:00"/>
    <s v="VZ-2022-000512"/>
    <x v="4"/>
    <s v="Olejníček"/>
    <x v="308"/>
    <m/>
    <m/>
    <m/>
    <s v="38000000-5"/>
    <s v="2.3.612."/>
    <n v="58000"/>
    <x v="2"/>
    <d v="2022-05-24T00:00:00"/>
    <d v="2022-06-02T00:00:00"/>
    <d v="2022-06-16T00:00:00"/>
    <s v="Schoeller Instruments, s.r.o."/>
    <m/>
    <n v="68800"/>
    <n v="83248"/>
    <m/>
    <m/>
    <m/>
    <d v="2022-06-16T00:00:00"/>
    <s v="SMLN-2022-617-000410_x000a_SMLN-2022-612-000106"/>
    <x v="139"/>
  </r>
  <r>
    <d v="2022-05-16T00:00:00"/>
    <s v="VZ-2022-000513"/>
    <x v="0"/>
    <s v="Dočkalová"/>
    <x v="309"/>
    <m/>
    <m/>
    <m/>
    <s v="33162200-5"/>
    <m/>
    <n v="6170016.7999999998"/>
    <x v="0"/>
    <d v="2022-05-26T00:00:00"/>
    <d v="2022-06-29T00:00:00"/>
    <d v="2022-08-01T00:00:00"/>
    <s v="ADYTON s.r.o."/>
    <m/>
    <n v="6170016.7999999998"/>
    <n v="7095520"/>
    <m/>
    <m/>
    <m/>
    <d v="2022-08-04T00:00:00"/>
    <s v="SMLN-2022-617-000501"/>
    <x v="120"/>
  </r>
  <r>
    <s v="opakovaná VZ"/>
    <s v="VZ-2022-000514"/>
    <x v="3"/>
    <s v="Olejníček"/>
    <x v="310"/>
    <m/>
    <m/>
    <m/>
    <s v="33100000-1"/>
    <s v="2.2.428."/>
    <n v="545000"/>
    <x v="0"/>
    <d v="2022-06-16T00:00:00"/>
    <d v="2022-07-21T00:00:00"/>
    <d v="2022-08-05T00:00:00"/>
    <s v="JK - Trading spol. s r.o."/>
    <m/>
    <n v="449365"/>
    <n v="543731.65"/>
    <m/>
    <m/>
    <m/>
    <d v="2022-08-08T00:00:00"/>
    <s v="SMLN-2022-617-000506_x000a_SMLN-2022-612-000150"/>
    <x v="155"/>
  </r>
  <r>
    <d v="2022-05-16T00:00:00"/>
    <s v="VZ-2022-000515"/>
    <x v="5"/>
    <s v="Srovnal"/>
    <x v="311"/>
    <m/>
    <m/>
    <m/>
    <s v="45311000-0"/>
    <m/>
    <n v="4100000"/>
    <x v="2"/>
    <d v="2022-05-25T00:00:00"/>
    <d v="2022-06-03T00:00:00"/>
    <m/>
    <s v="zrušeno - chyba v PD"/>
    <m/>
    <m/>
    <m/>
    <m/>
    <m/>
    <m/>
    <m/>
    <m/>
    <x v="4"/>
  </r>
  <r>
    <d v="2022-05-16T00:00:00"/>
    <s v="VZ-2022-000516"/>
    <x v="4"/>
    <s v="Olejníček"/>
    <x v="312"/>
    <m/>
    <m/>
    <m/>
    <s v="33162000-3"/>
    <s v="2.2.459."/>
    <n v="5200000"/>
    <x v="0"/>
    <d v="2022-06-02T00:00:00"/>
    <d v="2022-07-08T00:00:00"/>
    <d v="2022-08-29T00:00:00"/>
    <s v="SKALA-Medica s.r.o."/>
    <m/>
    <n v="4995900"/>
    <n v="6045039"/>
    <m/>
    <m/>
    <m/>
    <d v="2022-08-29T00:00:00"/>
    <s v="SMLN-2022-617-000597_x000a_SMLN-2022-612-000178_x000a_SMLN-2022-617-000598"/>
    <x v="115"/>
  </r>
  <r>
    <d v="2022-05-12T00:00:00"/>
    <s v="VZ-2022-000517"/>
    <x v="20"/>
    <s v="Zemánek"/>
    <x v="313"/>
    <m/>
    <m/>
    <m/>
    <s v="50421000-2"/>
    <m/>
    <n v="980000"/>
    <x v="2"/>
    <d v="2022-05-25T00:00:00"/>
    <d v="2022-06-03T00:00:00"/>
    <m/>
    <s v="zrušeno - bez nabídky"/>
    <m/>
    <m/>
    <m/>
    <m/>
    <m/>
    <m/>
    <m/>
    <m/>
    <x v="4"/>
  </r>
  <r>
    <s v="opakovaná VZ"/>
    <s v="VZ-2022-000520"/>
    <x v="3"/>
    <s v="Olejníček"/>
    <x v="314"/>
    <m/>
    <m/>
    <m/>
    <s v="33192160-1"/>
    <s v="2.2.157; 2.3.528"/>
    <n v="810167"/>
    <x v="0"/>
    <d v="2022-06-02T00:00:00"/>
    <d v="2022-07-08T00:00:00"/>
    <d v="2022-08-01T00:00:00"/>
    <s v="Medsol s.r.o."/>
    <m/>
    <n v="1343330"/>
    <n v="1625429.3"/>
    <m/>
    <m/>
    <m/>
    <d v="2022-08-01T00:00:00"/>
    <s v="SMLN-2022-617-000481_x000a_SMLN-2022-617-000482_x000a_SMLN-2022-612-000139"/>
    <x v="33"/>
  </r>
  <r>
    <d v="2022-05-16T00:00:00"/>
    <s v="VZ-2022-000521"/>
    <x v="0"/>
    <s v="Dočkalová"/>
    <x v="315"/>
    <m/>
    <m/>
    <m/>
    <s v="33140000-3"/>
    <m/>
    <n v="1683470.4"/>
    <x v="2"/>
    <d v="2022-05-24T00:00:00"/>
    <d v="2022-06-01T00:00:00"/>
    <m/>
    <s v="zrušeno - překročení limitu VZMR"/>
    <s v="nová VZ-2022-000587"/>
    <m/>
    <m/>
    <m/>
    <m/>
    <m/>
    <m/>
    <m/>
    <x v="4"/>
  </r>
  <r>
    <d v="2022-05-19T00:00:00"/>
    <s v="VZ-2022-000531"/>
    <x v="5"/>
    <s v="Srovnal"/>
    <x v="316"/>
    <m/>
    <m/>
    <m/>
    <s v="45453100-8"/>
    <m/>
    <n v="21500000"/>
    <x v="1"/>
    <d v="2022-05-31T00:00:00"/>
    <d v="2022-06-24T00:00:00"/>
    <d v="2022-07-15T00:00:00"/>
    <s v="AL LOGIC, s.r.o."/>
    <m/>
    <n v="18334232.02"/>
    <n v="22184420.739999998"/>
    <m/>
    <m/>
    <m/>
    <d v="2022-07-19T00:00:00"/>
    <s v="SMLN-2022-618-000047"/>
    <x v="156"/>
  </r>
  <r>
    <d v="2022-05-23T00:00:00"/>
    <s v="VZ-2022-000535"/>
    <x v="6"/>
    <s v="Zdráhalová"/>
    <x v="317"/>
    <m/>
    <m/>
    <m/>
    <s v="39120000-9"/>
    <m/>
    <n v="850000"/>
    <x v="2"/>
    <d v="2022-05-25T00:00:00"/>
    <d v="2022-06-03T00:00:00"/>
    <d v="2022-06-10T00:00:00"/>
    <s v="BRANTAL, spol. s r.o."/>
    <m/>
    <n v="596870"/>
    <n v="722212.7"/>
    <m/>
    <m/>
    <m/>
    <d v="2022-06-10T00:00:00"/>
    <s v="SMLN-2022-618-000036"/>
    <x v="71"/>
  </r>
  <r>
    <d v="2022-05-18T00:00:00"/>
    <s v="VZ-2022-000536-01"/>
    <x v="4"/>
    <s v="Olejníček"/>
    <x v="318"/>
    <n v="1"/>
    <s v="Stolní svářečky pro sváření hadiček krevních vaků"/>
    <m/>
    <s v="38000000-5"/>
    <s v="2.3.623."/>
    <n v="304000"/>
    <x v="0"/>
    <d v="2022-06-06T00:00:00"/>
    <d v="2022-07-08T00:00:00"/>
    <m/>
    <s v="zrušeno - bez hodnotitelné nabídky"/>
    <s v="nová VZ-2022-001013"/>
    <m/>
    <m/>
    <m/>
    <m/>
    <m/>
    <m/>
    <m/>
    <x v="4"/>
  </r>
  <r>
    <d v="2022-05-18T00:00:00"/>
    <s v="VZ-2022-000536-02"/>
    <x v="4"/>
    <s v="Olejníček"/>
    <x v="318"/>
    <n v="2"/>
    <s v="Automatické protahovací kleště hadiček krevních vaků"/>
    <m/>
    <s v="38000000-5"/>
    <s v="2.3.624."/>
    <n v="138000"/>
    <x v="0"/>
    <d v="2022-06-06T00:00:00"/>
    <d v="2022-07-08T00:00:00"/>
    <d v="2022-08-11T00:00:00"/>
    <s v="SARSTED, spol. s r.o."/>
    <m/>
    <n v="105030"/>
    <n v="127086.3"/>
    <m/>
    <m/>
    <m/>
    <d v="2022-08-12T00:00:00"/>
    <s v="SMLN-2022-612-000154 SMLN-2022-617-000529"/>
    <x v="113"/>
  </r>
  <r>
    <d v="2022-05-18T00:00:00"/>
    <s v="VZ-2022-000536-03"/>
    <x v="4"/>
    <s v="Olejníček"/>
    <x v="318"/>
    <n v="3"/>
    <s v="Stolní sterilní svářečka pro spojení hadiček krevních vaků"/>
    <m/>
    <s v="38000000-5"/>
    <s v="2.3.626."/>
    <n v="7376000"/>
    <x v="0"/>
    <d v="2022-06-06T00:00:00"/>
    <d v="2022-07-08T00:00:00"/>
    <d v="2022-08-11T00:00:00"/>
    <s v="MEDISTYL- PHARMA a.s."/>
    <m/>
    <n v="3621100"/>
    <n v="4381531"/>
    <m/>
    <m/>
    <m/>
    <d v="2022-08-12T00:00:00"/>
    <s v="SMLN-2022-612-000155 SMLN-2022-617-000530 SMLN-2022-617-000532"/>
    <x v="157"/>
  </r>
  <r>
    <d v="2022-05-16T00:00:00"/>
    <s v="VZ-2022-000541"/>
    <x v="0"/>
    <s v="Dočkalová"/>
    <x v="319"/>
    <m/>
    <m/>
    <m/>
    <s v="33182220-7"/>
    <m/>
    <n v="8243460"/>
    <x v="0"/>
    <d v="2022-06-03T00:00:00"/>
    <d v="2022-07-08T00:00:00"/>
    <d v="2022-08-01T00:00:00"/>
    <s v="Edwards Lifesciences Czech Republic s.r.o."/>
    <m/>
    <n v="8243460"/>
    <n v="9479979"/>
    <m/>
    <m/>
    <m/>
    <d v="2022-08-03T00:00:00"/>
    <s v="SMLN-2022-617-000499_x000a_SMLN-2022-614-000056"/>
    <x v="158"/>
  </r>
  <r>
    <s v="opakovaná VZ"/>
    <s v="VZ-2022-000542"/>
    <x v="0"/>
    <s v="Dočkalová"/>
    <x v="320"/>
    <m/>
    <m/>
    <m/>
    <s v="33140000-3"/>
    <m/>
    <n v="505325"/>
    <x v="2"/>
    <d v="2022-05-30T00:00:00"/>
    <d v="2022-06-07T00:00:00"/>
    <d v="2022-06-17T00:00:00"/>
    <s v="Hoyer Praha s.r.o."/>
    <m/>
    <n v="505690.5"/>
    <n v="611885.51"/>
    <m/>
    <m/>
    <m/>
    <d v="2022-06-17T00:00:00"/>
    <s v="SMLN-2022-617-000414"/>
    <x v="159"/>
  </r>
  <r>
    <d v="2022-05-25T00:00:00"/>
    <s v="VZ-2022-000543"/>
    <x v="3"/>
    <s v="Olejníček"/>
    <x v="321"/>
    <m/>
    <m/>
    <m/>
    <s v="33168100-6 "/>
    <s v="2.2.461.;2.2.640.;2.2.641.; 2.2.670.; 2.2.398."/>
    <n v="8740000"/>
    <x v="0"/>
    <d v="2022-06-20T00:00:00"/>
    <d v="2022-07-26T00:00:00"/>
    <d v="2022-08-18T00:00:00"/>
    <s v="Olympus Czech Group, s.r.o., člen koncernu"/>
    <m/>
    <n v="8614208.1999999993"/>
    <n v="10423191.92"/>
    <m/>
    <m/>
    <m/>
    <d v="2022-08-18T00:00:00"/>
    <s v="SMLN-2022-617-000565_x000a_SMLN-2022-612-000168_x000a_SMLN-2022-617-000566"/>
    <x v="160"/>
  </r>
  <r>
    <d v="2022-05-10T00:00:00"/>
    <s v="VZ-2022-000545"/>
    <x v="1"/>
    <s v="Ondráčková"/>
    <x v="322"/>
    <m/>
    <m/>
    <m/>
    <s v="09343000-5"/>
    <m/>
    <n v="8949024"/>
    <x v="0"/>
    <d v="2022-06-13T00:00:00"/>
    <d v="2022-08-01T00:00:00"/>
    <d v="2022-09-19T00:00:00"/>
    <s v="THP Medical Products Vertriebs GmbH"/>
    <m/>
    <n v="8949024"/>
    <n v="9843926.4000000004"/>
    <m/>
    <m/>
    <m/>
    <d v="2022-09-19T00:00:00"/>
    <s v="SMLN-2022-617-000654"/>
    <x v="4"/>
  </r>
  <r>
    <d v="2022-05-25T00:00:00"/>
    <s v="VZ-2022-000548"/>
    <x v="4"/>
    <s v="Olejníček"/>
    <x v="323"/>
    <m/>
    <m/>
    <m/>
    <s v="33168000-5"/>
    <s v="2.2463.; 2.3.633."/>
    <n v="540000"/>
    <x v="2"/>
    <d v="2022-05-31T00:00:00"/>
    <d v="2022-06-09T00:00:00"/>
    <d v="2022-06-21T00:00:00"/>
    <s v="Olympus Czech Group, s.r.o., člen koncernu"/>
    <m/>
    <n v="504640"/>
    <n v="610614.4"/>
    <m/>
    <m/>
    <m/>
    <d v="2022-06-21T00:00:00"/>
    <s v="SMLN-2022-617-000418_x000a_SMLN-2022-612-000107"/>
    <x v="109"/>
  </r>
  <r>
    <d v="2022-05-25T00:00:00"/>
    <s v="VZ-2022-000551"/>
    <x v="1"/>
    <s v="Ondráčková"/>
    <x v="324"/>
    <m/>
    <m/>
    <m/>
    <s v="33652300-8"/>
    <m/>
    <n v="132187891"/>
    <x v="0"/>
    <d v="2022-06-06T00:00:00"/>
    <d v="2022-07-11T00:00:00"/>
    <d v="2022-09-01T00:00:00"/>
    <s v="PHOENIX lék.velkoobchod, s.r.o."/>
    <m/>
    <n v="129813155.92"/>
    <n v="142794471.50999999"/>
    <m/>
    <m/>
    <m/>
    <d v="2022-09-01T00:00:00"/>
    <s v="SMLN-2022-617-000607"/>
    <x v="99"/>
  </r>
  <r>
    <d v="2022-05-27T00:00:00"/>
    <s v="VZ-2022-000554"/>
    <x v="9"/>
    <s v="Miklík"/>
    <x v="325"/>
    <m/>
    <m/>
    <m/>
    <s v="48814000-7"/>
    <m/>
    <n v="80680000"/>
    <x v="0"/>
    <d v="2022-07-01T00:00:00"/>
    <d v="2022-10-10T00:00:00"/>
    <m/>
    <s v="zrušeno - rozhodnutí ÚOHS"/>
    <m/>
    <m/>
    <m/>
    <m/>
    <m/>
    <m/>
    <m/>
    <m/>
    <x v="4"/>
  </r>
  <r>
    <d v="2022-05-27T00:00:00"/>
    <s v="VZ-2022-000555"/>
    <x v="16"/>
    <s v="Klimek"/>
    <x v="326"/>
    <m/>
    <m/>
    <m/>
    <s v="34351100-3"/>
    <m/>
    <n v="600000"/>
    <x v="2"/>
    <d v="2022-05-31T00:00:00"/>
    <d v="2022-06-13T00:00:00"/>
    <d v="2022-06-16T00:00:00"/>
    <s v="SKARAB, s.r.o."/>
    <m/>
    <n v="611374"/>
    <n v="739762.54"/>
    <m/>
    <m/>
    <m/>
    <d v="2022-06-16T00:00:00"/>
    <s v="SMLN-2022-617-000411"/>
    <x v="154"/>
  </r>
  <r>
    <d v="2022-05-30T00:00:00"/>
    <s v="VZ-2022-000557"/>
    <x v="2"/>
    <s v="Pavela"/>
    <x v="327"/>
    <m/>
    <m/>
    <m/>
    <s v="71000000-8"/>
    <s v="1.2.90."/>
    <n v="450000"/>
    <x v="2"/>
    <d v="2022-06-02T00:00:00"/>
    <d v="2022-06-10T00:00:00"/>
    <d v="2022-06-22T00:00:00"/>
    <s v="STYLE STUDIO s.r.o."/>
    <m/>
    <n v="964000"/>
    <n v="1166440"/>
    <m/>
    <m/>
    <m/>
    <d v="2022-06-22T00:00:00"/>
    <s v="SMLN-2022-618-000040"/>
    <x v="154"/>
  </r>
  <r>
    <d v="2022-05-25T00:00:00"/>
    <s v="VZ-2022-000562"/>
    <x v="5"/>
    <s v="Srovnal"/>
    <x v="328"/>
    <m/>
    <m/>
    <m/>
    <s v="32570000-9"/>
    <m/>
    <n v="1980000"/>
    <x v="1"/>
    <d v="2022-06-16T00:00:00"/>
    <d v="2022-07-11T00:00:00"/>
    <d v="2022-07-28T00:00:00"/>
    <s v="MERIT GROUP a.s."/>
    <m/>
    <n v="1977000"/>
    <n v="2392170"/>
    <m/>
    <m/>
    <m/>
    <d v="2022-07-28T00:00:00"/>
    <s v="SMLN-2022-612-000137"/>
    <x v="158"/>
  </r>
  <r>
    <d v="2022-05-31T00:00:00"/>
    <s v="VZ-2022-000564"/>
    <x v="9"/>
    <s v="Oravec"/>
    <x v="329"/>
    <m/>
    <m/>
    <m/>
    <s v="30121100-4"/>
    <s v="3.2.55."/>
    <n v="722400"/>
    <x v="2"/>
    <d v="2022-06-08T00:00:00"/>
    <d v="2022-06-21T00:00:00"/>
    <d v="2022-07-14T00:00:00"/>
    <s v="Z + M Partner, spol. s r.o."/>
    <m/>
    <n v="1399440"/>
    <n v="1693322.4"/>
    <m/>
    <m/>
    <m/>
    <d v="2022-07-14T00:00:00"/>
    <s v="SMLN-2022-617-000458"/>
    <x v="131"/>
  </r>
  <r>
    <d v="2022-05-24T00:00:00"/>
    <s v="VZ-2022-000565"/>
    <x v="0"/>
    <s v="Dočkalová"/>
    <x v="330"/>
    <m/>
    <m/>
    <m/>
    <s v="33140000-3"/>
    <m/>
    <n v="2967986.78"/>
    <x v="1"/>
    <d v="2022-06-08T00:00:00"/>
    <d v="2022-06-24T00:00:00"/>
    <d v="2022-08-02T00:00:00"/>
    <s v="Becton Dickinson Czechia, s.r.o."/>
    <m/>
    <n v="2993737.52"/>
    <n v="3622422.4"/>
    <m/>
    <m/>
    <m/>
    <d v="2022-08-02T00:00:00"/>
    <s v="SMLN-2022-617-000497_x000a_SMLN-2022-616-000028"/>
    <x v="120"/>
  </r>
  <r>
    <d v="2022-05-26T00:00:00"/>
    <s v="VZ-2022-000572"/>
    <x v="0"/>
    <s v="Dočkalová"/>
    <x v="331"/>
    <m/>
    <m/>
    <m/>
    <s v="33140000-3"/>
    <m/>
    <n v="13142742"/>
    <x v="0"/>
    <d v="2022-06-14T00:00:00"/>
    <d v="2022-07-18T00:00:00"/>
    <d v="2022-09-13T00:00:00"/>
    <s v="Dialab  spol. s r.o."/>
    <m/>
    <n v="15536023.439999999"/>
    <n v="18798588.359999999"/>
    <m/>
    <m/>
    <m/>
    <d v="2022-09-13T00:00:00"/>
    <s v="SMLN-2022-617-000639"/>
    <x v="150"/>
  </r>
  <r>
    <d v="2022-05-31T00:00:00"/>
    <s v="VZ-2022-000573"/>
    <x v="4"/>
    <s v="Olejníček"/>
    <x v="332"/>
    <m/>
    <m/>
    <m/>
    <s v="33191000-5"/>
    <m/>
    <n v="486300"/>
    <x v="0"/>
    <d v="2022-06-06T00:00:00"/>
    <d v="2022-07-11T00:00:00"/>
    <d v="2022-08-04T00:00:00"/>
    <s v="MIELE, spol. s r.o."/>
    <m/>
    <n v="465700"/>
    <n v="563497"/>
    <m/>
    <m/>
    <m/>
    <d v="2022-08-04T00:00:00"/>
    <s v="SMLN-2022-617-000504_x000a_SMLN-2022-612-000148"/>
    <x v="108"/>
  </r>
  <r>
    <d v="2022-06-01T00:00:00"/>
    <s v="VZ-2022-000574"/>
    <x v="1"/>
    <s v="Ondráčková"/>
    <x v="333"/>
    <m/>
    <m/>
    <m/>
    <s v="33615100-5"/>
    <m/>
    <n v="1859402"/>
    <x v="0"/>
    <d v="2022-06-30T00:00:00"/>
    <d v="2022-08-05T00:00:00"/>
    <m/>
    <s v="zrušeno - bez nabídky"/>
    <s v="nová VZ-2022-001196"/>
    <m/>
    <m/>
    <m/>
    <m/>
    <m/>
    <m/>
    <m/>
    <x v="4"/>
  </r>
  <r>
    <d v="2022-06-01T00:00:00"/>
    <s v="VZ-2022-000575-01"/>
    <x v="1"/>
    <s v="Ondráčková"/>
    <x v="334"/>
    <n v="1"/>
    <s v="_x000a_FYTOMENADION I."/>
    <m/>
    <s v="33621000-9"/>
    <m/>
    <n v="164624"/>
    <x v="0"/>
    <d v="2022-06-13T00:00:00"/>
    <d v="2022-08-02T00:00:00"/>
    <m/>
    <s v="zrušeno - bez nabídky"/>
    <m/>
    <m/>
    <m/>
    <m/>
    <m/>
    <m/>
    <m/>
    <m/>
    <x v="4"/>
  </r>
  <r>
    <d v="2022-06-01T00:00:00"/>
    <s v="VZ-2022-000575-02"/>
    <x v="1"/>
    <s v="Ondráčková"/>
    <x v="334"/>
    <n v="2"/>
    <s v="_x000a_FYTOMENADION II."/>
    <m/>
    <s v="33621000-9"/>
    <m/>
    <n v="481220"/>
    <x v="0"/>
    <d v="2022-06-13T00:00:00"/>
    <d v="2022-08-02T00:00:00"/>
    <d v="2022-09-29T00:00:00"/>
    <s v="PHARMOS, a.s., a.s."/>
    <m/>
    <n v="478163.84"/>
    <n v="525980.22"/>
    <m/>
    <m/>
    <m/>
    <d v="2022-09-29T00:00:00"/>
    <s v="SMLN-2022-617-000669"/>
    <x v="99"/>
  </r>
  <r>
    <d v="2022-06-01T00:00:00"/>
    <s v="VZ-2022-000575-03"/>
    <x v="1"/>
    <s v="Ondráčková"/>
    <x v="334"/>
    <n v="3"/>
    <s v="FIBRINOGEN, APROTININ, THROMBIN, CHLORID VÁPENATÝ "/>
    <m/>
    <s v="33621000-9"/>
    <m/>
    <n v="5901668"/>
    <x v="0"/>
    <d v="2022-06-13T00:00:00"/>
    <d v="2022-08-02T00:00:00"/>
    <m/>
    <s v="zrušeno - bez nabídky"/>
    <m/>
    <m/>
    <m/>
    <m/>
    <m/>
    <m/>
    <m/>
    <m/>
    <x v="4"/>
  </r>
  <r>
    <d v="2022-06-01T00:00:00"/>
    <s v="VZ-2022-000575-04"/>
    <x v="1"/>
    <s v="Ondráčková"/>
    <x v="334"/>
    <n v="4"/>
    <s v="FIBRINOGEN, THROMBIN"/>
    <m/>
    <s v="33621000-9"/>
    <m/>
    <n v="2561854"/>
    <x v="0"/>
    <d v="2022-06-13T00:00:00"/>
    <d v="2022-08-02T00:00:00"/>
    <d v="2022-09-29T00:00:00"/>
    <s v="Alliance Healthcare s.r.o."/>
    <m/>
    <n v="2527505.2400000002"/>
    <n v="2780255.76"/>
    <m/>
    <m/>
    <m/>
    <d v="2022-09-29T00:00:00"/>
    <s v="SMLN-2022-617-000670"/>
    <x v="99"/>
  </r>
  <r>
    <d v="2022-06-01T00:00:00"/>
    <s v="VZ-2022-000576-01"/>
    <x v="1"/>
    <s v="Ondráčková"/>
    <x v="335"/>
    <n v="1"/>
    <s v="HYDROXYKARBAMID "/>
    <m/>
    <s v="33652000-5"/>
    <m/>
    <n v="934382"/>
    <x v="0"/>
    <d v="2022-06-14T00:00:00"/>
    <d v="2022-08-17T00:00:00"/>
    <d v="2022-09-29T00:00:00"/>
    <s v="PHOENIX lék.velkoobchod, s.r.o."/>
    <m/>
    <n v="925152"/>
    <n v="1017667.2"/>
    <m/>
    <m/>
    <m/>
    <d v="2022-09-29T00:00:00"/>
    <s v="SMLN-2022-617-000671"/>
    <x v="115"/>
  </r>
  <r>
    <d v="2022-06-01T00:00:00"/>
    <s v="VZ-2022-000576-02"/>
    <x v="1"/>
    <s v="Ondráčková"/>
    <x v="335"/>
    <n v="2"/>
    <s v="TRETINOIN"/>
    <m/>
    <s v="33652000-5"/>
    <m/>
    <n v="688631"/>
    <x v="0"/>
    <d v="2022-06-14T00:00:00"/>
    <d v="2022-08-17T00:00:00"/>
    <d v="2022-09-29T00:00:00"/>
    <s v="PHOENIX lék.velkoobchod, s.r.o."/>
    <m/>
    <n v="688630.32"/>
    <n v="757493.35"/>
    <m/>
    <m/>
    <m/>
    <d v="2022-09-29T00:00:00"/>
    <s v="SMLN-2022-617-000672"/>
    <x v="115"/>
  </r>
  <r>
    <d v="2022-06-01T00:00:00"/>
    <s v="VZ-2022-000576-03"/>
    <x v="1"/>
    <s v="Ondráčková"/>
    <x v="335"/>
    <n v="3"/>
    <s v="_x000a_MITOTAN  "/>
    <m/>
    <s v="33652000-5"/>
    <m/>
    <n v="910974"/>
    <x v="0"/>
    <d v="2022-06-14T00:00:00"/>
    <d v="2022-08-17T00:00:00"/>
    <d v="2022-09-29T00:00:00"/>
    <s v="PHOENIX lék.velkoobchod, s.r.o."/>
    <m/>
    <n v="895954.56"/>
    <n v="985550.02"/>
    <m/>
    <m/>
    <m/>
    <d v="2022-09-29T00:00:00"/>
    <s v="SMLN-2022-617-000673"/>
    <x v="115"/>
  </r>
  <r>
    <d v="2022-06-01T00:00:00"/>
    <s v="VZ-2022-000577"/>
    <x v="0"/>
    <s v="Valtová"/>
    <x v="336"/>
    <m/>
    <m/>
    <m/>
    <s v="33140000-3"/>
    <m/>
    <n v="650000"/>
    <x v="2"/>
    <d v="2022-06-08T00:00:00"/>
    <d v="2022-06-17T00:00:00"/>
    <d v="2022-06-29T00:00:00"/>
    <s v="MEDIAL spol. s r.o."/>
    <m/>
    <n v="650000"/>
    <n v="786500"/>
    <m/>
    <m/>
    <m/>
    <d v="2022-06-29T00:00:00"/>
    <s v="SMLN-2022-617-000441_x000a_SMLN-2022-614-000055"/>
    <x v="89"/>
  </r>
  <r>
    <d v="2022-06-01T00:00:00"/>
    <s v="VZ-2022-000578"/>
    <x v="21"/>
    <s v="Olejníček"/>
    <x v="337"/>
    <m/>
    <m/>
    <m/>
    <s v="33160000-9"/>
    <m/>
    <n v="2216400"/>
    <x v="0"/>
    <d v="2022-06-14T00:00:00"/>
    <d v="2022-07-19T00:00:00"/>
    <d v="2022-08-25T00:00:00"/>
    <s v="NORTH MED spol. s r.o."/>
    <m/>
    <n v="2215000"/>
    <n v="2680150"/>
    <m/>
    <m/>
    <m/>
    <d v="2022-08-25T00:00:00"/>
    <s v="SMLN-2022-617-000593_x000a_SMLN-2022-612-000176"/>
    <x v="65"/>
  </r>
  <r>
    <d v="2022-06-02T00:00:00"/>
    <s v="VZ-2022-000581"/>
    <x v="0"/>
    <s v="Valtová"/>
    <x v="338"/>
    <m/>
    <m/>
    <m/>
    <s v="33160000-9"/>
    <m/>
    <n v="1400000"/>
    <x v="2"/>
    <d v="2022-06-07T00:00:00"/>
    <d v="2022-06-17T00:00:00"/>
    <d v="2022-06-22T00:00:00"/>
    <s v="OLYMPUS CZECH GROUP, s.r.o., člen koncernu"/>
    <m/>
    <n v="1850400"/>
    <n v="2238984"/>
    <m/>
    <m/>
    <m/>
    <d v="2022-06-23T00:00:00"/>
    <s v="SMLN-2022-617-000425_x000a_SMLN-2022-614-000054"/>
    <x v="154"/>
  </r>
  <r>
    <s v="opakovaná VZ"/>
    <s v="VZ-2022-000584"/>
    <x v="3"/>
    <s v="Olejníček"/>
    <x v="339"/>
    <m/>
    <m/>
    <m/>
    <s v="33100000-1"/>
    <s v="2.2.419."/>
    <n v="3552600"/>
    <x v="0"/>
    <d v="2022-06-24T00:00:00"/>
    <d v="2022-07-29T00:00:00"/>
    <d v="2022-08-22T00:00:00"/>
    <s v="Schubert CZ, spol. s r.o."/>
    <m/>
    <n v="3588400"/>
    <n v="4341964"/>
    <m/>
    <m/>
    <m/>
    <d v="2022-08-22T00:00:00"/>
    <s v="SMLN-2022-617-000572_x000a_SMLN-2022-612-000173_x000a_SMLN-2022-617-000573"/>
    <x v="160"/>
  </r>
  <r>
    <d v="2022-06-02T00:00:00"/>
    <s v="VZ-2022-000585"/>
    <x v="4"/>
    <s v="Olejníček"/>
    <x v="340"/>
    <m/>
    <m/>
    <m/>
    <s v="33168100-6"/>
    <m/>
    <n v="432578"/>
    <x v="2"/>
    <d v="2022-06-08T00:00:00"/>
    <d v="2022-06-17T00:00:00"/>
    <d v="2022-06-29T00:00:00"/>
    <s v="CHEIRÓN a.s."/>
    <m/>
    <n v="407400"/>
    <n v="492954"/>
    <m/>
    <m/>
    <m/>
    <d v="2022-06-29T00:00:00"/>
    <s v="SMLN-2022-617-000445_x000a_SMLN-2022-612-000120"/>
    <x v="106"/>
  </r>
  <r>
    <d v="2022-06-01T00:00:00"/>
    <s v="VZ-2022-000586"/>
    <x v="0"/>
    <s v="Dočkalová"/>
    <x v="341"/>
    <m/>
    <m/>
    <m/>
    <s v="33140000-3"/>
    <m/>
    <n v="2747300"/>
    <x v="1"/>
    <d v="2022-06-07T00:00:00"/>
    <d v="2022-08-04T00:00:00"/>
    <d v="2022-09-16T00:00:00"/>
    <s v="EUROMEDICAL spol. s r.o."/>
    <m/>
    <n v="3577320"/>
    <n v="4328557.2"/>
    <m/>
    <m/>
    <m/>
    <d v="2022-09-16T00:00:00"/>
    <s v="SMLN-2022-617-000651"/>
    <x v="161"/>
  </r>
  <r>
    <s v="opakovaná VZ"/>
    <s v="VZ-2022-000587"/>
    <x v="0"/>
    <s v="Dočkalová"/>
    <x v="342"/>
    <m/>
    <m/>
    <m/>
    <s v="33140000-3"/>
    <m/>
    <n v="2201652.6"/>
    <x v="1"/>
    <d v="2022-06-07T00:00:00"/>
    <d v="2022-06-24T00:00:00"/>
    <d v="2022-08-01T00:00:00"/>
    <s v="CARDION s.r.o."/>
    <m/>
    <n v="1919007.83"/>
    <n v="2322000"/>
    <m/>
    <m/>
    <m/>
    <d v="2022-08-03T00:00:00"/>
    <s v="SMLN-2022-617-000500_x000a_SMLN-2022-614-000057"/>
    <x v="158"/>
  </r>
  <r>
    <d v="2022-06-06T00:00:00"/>
    <s v="VZ-2022-000589"/>
    <x v="9"/>
    <s v="Miklík"/>
    <x v="343"/>
    <m/>
    <m/>
    <m/>
    <s v="48710000-8"/>
    <s v="3.2.67."/>
    <n v="300000"/>
    <x v="2"/>
    <d v="2022-06-07T00:00:00"/>
    <d v="2022-06-16T00:00:00"/>
    <d v="2022-06-27T00:00:00"/>
    <s v="Scenario s.r.o."/>
    <m/>
    <n v="224518.65"/>
    <n v="271667.57"/>
    <m/>
    <m/>
    <m/>
    <d v="2022-06-27T00:00:00"/>
    <s v="SMLN-2022-612-000111"/>
    <x v="102"/>
  </r>
  <r>
    <d v="2022-05-30T00:00:00"/>
    <s v="VZ-2022-000595"/>
    <x v="0"/>
    <s v="Dočkalová"/>
    <x v="344"/>
    <m/>
    <m/>
    <m/>
    <s v="33183100-7"/>
    <m/>
    <n v="19109990"/>
    <x v="0"/>
    <d v="2022-06-14T00:00:00"/>
    <d v="2022-07-27T00:00:00"/>
    <d v="2022-09-06T00:00:00"/>
    <s v="Johnson &amp; Johnson, s.r.o."/>
    <m/>
    <n v="19318887.800000001"/>
    <n v="22216721.640000001"/>
    <m/>
    <m/>
    <m/>
    <d v="2022-09-06T00:00:00"/>
    <s v="SMLN-2022-617-000616_x000a_SMLN-2022-617-000617_x000a_SMLN-2022-614-000075"/>
    <x v="99"/>
  </r>
  <r>
    <d v="2022-06-08T00:00:00"/>
    <s v="VZ-2022-000602"/>
    <x v="21"/>
    <s v="Olejníček"/>
    <x v="345"/>
    <m/>
    <m/>
    <m/>
    <s v="33121300-7"/>
    <s v="2.3.667."/>
    <n v="728512"/>
    <x v="0"/>
    <d v="2022-06-14T00:00:00"/>
    <d v="2022-07-18T00:00:00"/>
    <d v="2022-09-30T00:00:00"/>
    <s v="WALTER Graphtek CZ s.r.o."/>
    <m/>
    <n v="703520"/>
    <n v="851259.2"/>
    <m/>
    <m/>
    <m/>
    <d v="2022-09-30T00:00:00"/>
    <s v="SMLN-2022-617-000674_x000a_SMLN-2022-612-000196"/>
    <x v="162"/>
  </r>
  <r>
    <d v="2022-06-08T00:00:00"/>
    <s v="VZ-2022-000603"/>
    <x v="4"/>
    <s v="Olejníček"/>
    <x v="346"/>
    <m/>
    <m/>
    <m/>
    <s v="33190000-8"/>
    <s v="2.3.418."/>
    <n v="307104"/>
    <x v="2"/>
    <d v="2022-06-10T00:00:00"/>
    <d v="2022-06-21T00:00:00"/>
    <d v="2022-06-29T00:00:00"/>
    <s v="INTERDENT s.r.o."/>
    <m/>
    <n v="303305.73"/>
    <n v="366999.88"/>
    <m/>
    <m/>
    <m/>
    <d v="2022-06-29T00:00:00"/>
    <s v="SMLN-2022-617-000442_x000a_SMLN-2022-612-000118"/>
    <x v="109"/>
  </r>
  <r>
    <d v="2022-06-08T00:00:00"/>
    <s v="VZ-2022-000605"/>
    <x v="0"/>
    <s v="Dočkalová"/>
    <x v="347"/>
    <m/>
    <m/>
    <m/>
    <s v="33182210-4 "/>
    <m/>
    <n v="31304348"/>
    <x v="0"/>
    <d v="2022-06-16T00:00:00"/>
    <d v="2022-07-19T00:00:00"/>
    <d v="2022-08-08T00:00:00"/>
    <s v="INLAB Medical s.r.o."/>
    <m/>
    <n v="31304000"/>
    <n v="35999600"/>
    <m/>
    <m/>
    <m/>
    <d v="2022-08-08T00:00:00"/>
    <s v="SMLN-2022-617-000508_x000a_SMLN-2022-614-000058_x000a_SMLN-2022-616-000030"/>
    <x v="125"/>
  </r>
  <r>
    <d v="2022-06-09T00:00:00"/>
    <s v="VZ-2022-000606-01"/>
    <x v="4"/>
    <s v="Olejníček"/>
    <x v="348"/>
    <n v="1"/>
    <s v="Centrální monitorovací systém včetně navýšení počtu pacientských licencí"/>
    <m/>
    <s v="33195100-4"/>
    <s v="2.2.464.,2.3.606"/>
    <n v="2700000"/>
    <x v="0"/>
    <d v="2022-06-17T00:00:00"/>
    <d v="2022-07-25T00:00:00"/>
    <d v="2022-08-30T00:00:00"/>
    <s v="S+T Plus s.r.o."/>
    <m/>
    <n v="2544470"/>
    <n v="3078808.7"/>
    <m/>
    <m/>
    <m/>
    <d v="2022-08-30T00:00:00"/>
    <s v="SMLN-2022-617-000601_x000a_SMLN-2022-612-000179"/>
    <x v="160"/>
  </r>
  <r>
    <d v="2022-06-09T00:00:00"/>
    <s v="VZ-2022-000606-02"/>
    <x v="4"/>
    <s v="Olejníček"/>
    <x v="348"/>
    <n v="2"/>
    <s v="Monitory vitálních funkcí - Traumabox a Infekční ambulance"/>
    <m/>
    <s v="33195100-4"/>
    <s v="2.2.487.,2.2.475"/>
    <n v="1787603"/>
    <x v="0"/>
    <d v="2022-06-17T00:00:00"/>
    <d v="2022-07-25T00:00:00"/>
    <d v="2022-08-30T00:00:00"/>
    <s v="S+T Plus s.r.o."/>
    <m/>
    <n v="1656140"/>
    <n v="2003929.4"/>
    <m/>
    <m/>
    <m/>
    <d v="2022-08-30T00:00:00"/>
    <s v="SMLN-2022-617-000602_x000a_SMLN-2022-612-000180"/>
    <x v="160"/>
  </r>
  <r>
    <d v="2022-06-09T00:00:00"/>
    <s v="VZ-2022-000606-03"/>
    <x v="4"/>
    <s v="Olejníček"/>
    <x v="348"/>
    <n v="3"/>
    <s v="Monitory vitálních funkcí s centrálním monitorem"/>
    <m/>
    <s v="33195100-4"/>
    <s v="2.3.673."/>
    <n v="302000"/>
    <x v="0"/>
    <d v="2022-06-17T00:00:00"/>
    <d v="2022-07-25T00:00:00"/>
    <m/>
    <s v="zrušeno - bez hodnotitelné nabídky"/>
    <m/>
    <m/>
    <m/>
    <m/>
    <m/>
    <m/>
    <m/>
    <m/>
    <x v="4"/>
  </r>
  <r>
    <d v="2022-06-09T00:00:00"/>
    <s v="VZ-2022-000606-04"/>
    <x v="4"/>
    <s v="Olejníček"/>
    <x v="348"/>
    <n v="4"/>
    <s v="Transportní monitor"/>
    <m/>
    <s v="33195100-4"/>
    <s v="2.3.604."/>
    <n v="370000"/>
    <x v="0"/>
    <d v="2022-06-17T00:00:00"/>
    <d v="2022-07-25T00:00:00"/>
    <d v="2022-08-30T00:00:00"/>
    <s v="medisap, s.r.o."/>
    <m/>
    <n v="370000"/>
    <n v="447700"/>
    <m/>
    <m/>
    <m/>
    <d v="2022-08-30T00:00:00"/>
    <s v="SMLN-2022-617-000603_x000a_SMLN-2022-612-000181"/>
    <x v="160"/>
  </r>
  <r>
    <d v="2022-06-02T00:00:00"/>
    <s v="VZ-2022-000610"/>
    <x v="0"/>
    <s v="Dočkalová"/>
    <x v="349"/>
    <m/>
    <m/>
    <m/>
    <s v="33140000-3"/>
    <m/>
    <n v="6482640"/>
    <x v="0"/>
    <d v="2022-06-17T00:00:00"/>
    <d v="2022-07-26T00:00:00"/>
    <d v="2022-08-12T00:00:00"/>
    <s v="Getinge Czech Republic, s.r.o."/>
    <m/>
    <n v="6482641.2800000003"/>
    <n v="7843996.1600000001"/>
    <m/>
    <m/>
    <m/>
    <d v="2022-08-12T00:00:00"/>
    <s v="SMLN-2022-617-000538"/>
    <x v="137"/>
  </r>
  <r>
    <d v="2022-06-10T00:00:00"/>
    <s v="VZ-2022-000617-01"/>
    <x v="0"/>
    <s v="Dočkalová"/>
    <x v="350"/>
    <n v="1"/>
    <s v="Kanyly k oxygenerátorům I."/>
    <m/>
    <s v="33140000-3"/>
    <m/>
    <n v="3696480"/>
    <x v="0"/>
    <d v="2022-06-21T00:00:00"/>
    <d v="2022-08-22T00:00:00"/>
    <d v="2022-10-13T00:00:00"/>
    <s v="Edwards Lifesciences Czech Republic s.r.o."/>
    <m/>
    <n v="3802500"/>
    <n v="4601025"/>
    <m/>
    <m/>
    <m/>
    <d v="2022-10-13T00:00:00"/>
    <s v="SMLN-2022-617-000710"/>
    <x v="133"/>
  </r>
  <r>
    <d v="2022-06-10T00:00:00"/>
    <s v="VZ-2022-000617-02"/>
    <x v="0"/>
    <s v="Dočkalová"/>
    <x v="350"/>
    <n v="2"/>
    <s v="Kanyly k oxygenerátorům II."/>
    <m/>
    <s v="33140000-3"/>
    <m/>
    <n v="1715350"/>
    <x v="0"/>
    <d v="2022-06-21T00:00:00"/>
    <d v="2022-08-22T00:00:00"/>
    <d v="2022-10-13T00:00:00"/>
    <s v="BIOMEDICA ČS, s.r.o."/>
    <m/>
    <n v="1715345.4"/>
    <n v="2075567.93"/>
    <m/>
    <m/>
    <m/>
    <d v="2022-10-13T00:00:00"/>
    <s v="SMLN-2022-617-000711"/>
    <x v="151"/>
  </r>
  <r>
    <d v="2022-06-10T00:00:00"/>
    <s v="VZ-2022-000617-03"/>
    <x v="0"/>
    <s v="Dočkalová"/>
    <x v="350"/>
    <n v="3"/>
    <s v="Kanyly k oxygenerátorům III."/>
    <m/>
    <s v="33140000-3"/>
    <m/>
    <n v="2075150"/>
    <x v="0"/>
    <d v="2022-06-21T00:00:00"/>
    <d v="2022-08-22T00:00:00"/>
    <d v="2022-10-13T00:00:00"/>
    <s v="Medtronic Czechia s.r.o."/>
    <m/>
    <n v="1958239.8"/>
    <n v="2369471.7000000002"/>
    <m/>
    <m/>
    <m/>
    <d v="2022-10-13T00:00:00"/>
    <s v="SMLN-2022-617-000712"/>
    <x v="163"/>
  </r>
  <r>
    <d v="2022-06-08T00:00:00"/>
    <s v="VZ-2022-000626"/>
    <x v="0"/>
    <s v="Dočkalová"/>
    <x v="351"/>
    <m/>
    <m/>
    <m/>
    <s v="33140000-3"/>
    <m/>
    <n v="1557945"/>
    <x v="1"/>
    <d v="2022-06-17T00:00:00"/>
    <d v="2022-07-14T00:00:00"/>
    <m/>
    <s v="zrušeno - bez hodnotitelné nabídky"/>
    <s v="nová VZ-2022-000943"/>
    <m/>
    <m/>
    <m/>
    <m/>
    <m/>
    <m/>
    <m/>
    <x v="4"/>
  </r>
  <r>
    <d v="2022-06-14T00:00:00"/>
    <s v="VZ-2022-000628-01"/>
    <x v="1"/>
    <s v="Ondráčková"/>
    <x v="352"/>
    <n v="1"/>
    <s v="METHYLERGOMETRIN "/>
    <m/>
    <s v="33641200-7"/>
    <m/>
    <n v="66413"/>
    <x v="1"/>
    <d v="2022-02-27T00:00:00"/>
    <d v="2022-08-11T00:00:00"/>
    <m/>
    <s v="zrušeno - bez nabídky"/>
    <m/>
    <m/>
    <m/>
    <m/>
    <m/>
    <m/>
    <m/>
    <m/>
    <x v="4"/>
  </r>
  <r>
    <d v="2022-06-14T00:00:00"/>
    <s v="VZ-2022-000628-02"/>
    <x v="1"/>
    <s v="Ondráčková"/>
    <x v="352"/>
    <n v="2"/>
    <s v="DINOPROSTON I."/>
    <m/>
    <s v="33641200-7"/>
    <m/>
    <n v="428134"/>
    <x v="1"/>
    <d v="2022-02-27T00:00:00"/>
    <d v="2022-08-11T00:00:00"/>
    <m/>
    <s v="zrušeno - bez nabídky"/>
    <m/>
    <m/>
    <m/>
    <m/>
    <m/>
    <m/>
    <m/>
    <m/>
    <x v="4"/>
  </r>
  <r>
    <d v="2022-06-14T00:00:00"/>
    <s v="VZ-2022-000628-03"/>
    <x v="1"/>
    <s v="Ondráčková"/>
    <x v="352"/>
    <n v="3"/>
    <s v="DINOPROSTON II."/>
    <m/>
    <s v="33641200-7"/>
    <m/>
    <n v="321110"/>
    <x v="1"/>
    <d v="2022-02-27T00:00:00"/>
    <d v="2022-08-11T00:00:00"/>
    <d v="2022-10-27T00:00:00"/>
    <s v="Alliance Healthcare s.r.o."/>
    <m/>
    <n v="316793.15999999997"/>
    <n v="248472.48"/>
    <m/>
    <m/>
    <m/>
    <d v="2022-10-27T00:00:00"/>
    <s v="SMLN-2022-617-000762"/>
    <x v="164"/>
  </r>
  <r>
    <d v="2022-06-14T00:00:00"/>
    <s v="VZ-2022-000628-04"/>
    <x v="1"/>
    <s v="Ondráčková"/>
    <x v="352"/>
    <n v="4"/>
    <s v="KARBOPROST  "/>
    <m/>
    <s v="33641200-7"/>
    <m/>
    <n v="6514"/>
    <x v="1"/>
    <d v="2022-02-27T00:00:00"/>
    <d v="2022-08-11T00:00:00"/>
    <d v="2022-10-27T00:00:00"/>
    <s v="Alliance Healthcare s.r.o."/>
    <m/>
    <n v="6426.36"/>
    <n v="7069"/>
    <m/>
    <m/>
    <m/>
    <d v="2022-10-27T00:00:00"/>
    <s v="SMLN-2022-617-000763"/>
    <x v="164"/>
  </r>
  <r>
    <d v="2022-06-14T00:00:00"/>
    <s v="VZ-2022-000628-05"/>
    <x v="1"/>
    <s v="Ondráčková"/>
    <x v="352"/>
    <n v="5"/>
    <s v="MISOPROSTOL I."/>
    <m/>
    <s v="33641200-7"/>
    <m/>
    <n v="529496"/>
    <x v="1"/>
    <d v="2022-02-27T00:00:00"/>
    <d v="2022-08-11T00:00:00"/>
    <m/>
    <s v="zrušeno - bez nabídky"/>
    <m/>
    <m/>
    <m/>
    <m/>
    <m/>
    <m/>
    <m/>
    <m/>
    <x v="4"/>
  </r>
  <r>
    <d v="2022-06-14T00:00:00"/>
    <s v="VZ-2022-000628-06"/>
    <x v="1"/>
    <s v="Ondráčková"/>
    <x v="352"/>
    <n v="6"/>
    <s v="MISOPROSTOL II."/>
    <m/>
    <s v="33641200-7"/>
    <m/>
    <n v="51400"/>
    <x v="1"/>
    <d v="2022-02-27T00:00:00"/>
    <d v="2022-08-11T00:00:00"/>
    <d v="2022-10-27T00:00:00"/>
    <s v="Alliance Healthcare s.r.o."/>
    <m/>
    <n v="49526.400000000001"/>
    <n v="54479.040000000001"/>
    <m/>
    <m/>
    <m/>
    <d v="2022-10-27T00:00:00"/>
    <s v="SMLN-2022-617-000764"/>
    <x v="164"/>
  </r>
  <r>
    <d v="2022-06-14T00:00:00"/>
    <s v="VZ-2022-000628-07"/>
    <x v="1"/>
    <s v="Ondráčková"/>
    <x v="352"/>
    <n v="7"/>
    <s v="HEXOPRENALIN-SULFÁT"/>
    <m/>
    <s v="33641200-7"/>
    <m/>
    <n v="145866"/>
    <x v="1"/>
    <d v="2022-02-27T00:00:00"/>
    <d v="2022-08-11T00:00:00"/>
    <d v="2022-10-27T00:00:00"/>
    <s v="Alliance Healthcare s.r.o."/>
    <m/>
    <n v="143862.48000000001"/>
    <n v="158248.73000000001"/>
    <m/>
    <m/>
    <m/>
    <d v="2022-10-27T00:00:00"/>
    <s v="SMLN-2022-617-000765"/>
    <x v="164"/>
  </r>
  <r>
    <d v="2022-06-14T00:00:00"/>
    <s v="VZ-2022-000628-08"/>
    <x v="1"/>
    <s v="Ondráčková"/>
    <x v="352"/>
    <n v="8"/>
    <s v="KABERGOLIN  "/>
    <m/>
    <s v="33641200-7"/>
    <m/>
    <n v="592911"/>
    <x v="1"/>
    <d v="2022-02-27T00:00:00"/>
    <d v="2022-08-11T00:00:00"/>
    <d v="2022-10-27T00:00:00"/>
    <s v="Alliance Healthcare s.r.o."/>
    <m/>
    <n v="589947.19999999995"/>
    <n v="648941.92000000004"/>
    <m/>
    <m/>
    <m/>
    <d v="2022-10-27T00:00:00"/>
    <s v="SMLN-2022-617-000766"/>
    <x v="164"/>
  </r>
  <r>
    <d v="2022-06-14T00:00:00"/>
    <s v="VZ-2022-000628-09"/>
    <x v="1"/>
    <s v="Ondráčková"/>
    <x v="352"/>
    <n v="9"/>
    <s v="ATOSIBAN "/>
    <m/>
    <s v="33641200-7"/>
    <m/>
    <n v="195280"/>
    <x v="1"/>
    <d v="2022-02-27T00:00:00"/>
    <d v="2022-08-11T00:00:00"/>
    <d v="2022-10-27T00:00:00"/>
    <s v="Alliance Healthcare s.r.o."/>
    <m/>
    <n v="143353.4"/>
    <n v="157688.74"/>
    <m/>
    <m/>
    <m/>
    <d v="2022-10-27T00:00:00"/>
    <s v="SMLN-2022-617-000767"/>
    <x v="164"/>
  </r>
  <r>
    <d v="2022-06-14T00:00:00"/>
    <s v="VZ-2022-000629-01"/>
    <x v="1"/>
    <s v="Ondráčková"/>
    <x v="353"/>
    <n v="1"/>
    <s v="PIRITRAMID "/>
    <m/>
    <s v="33661200-3"/>
    <m/>
    <n v="1246269"/>
    <x v="0"/>
    <d v="2022-06-27T00:00:00"/>
    <d v="2022-08-15T00:00:00"/>
    <d v="2022-10-11T00:00:00"/>
    <s v="Alliance Healthcare s.r.o."/>
    <m/>
    <n v="1226851.2"/>
    <n v="1349536.32"/>
    <m/>
    <m/>
    <m/>
    <d v="2022-10-11T00:00:00"/>
    <s v="SMLN-2022-617-000696"/>
    <x v="91"/>
  </r>
  <r>
    <d v="2022-06-14T00:00:00"/>
    <s v="VZ-2022-000629-02"/>
    <x v="1"/>
    <s v="Ondráčková"/>
    <x v="353"/>
    <n v="2"/>
    <s v="NALBUFIN "/>
    <m/>
    <s v="33661200-3"/>
    <m/>
    <n v="966768"/>
    <x v="0"/>
    <d v="2022-06-27T00:00:00"/>
    <d v="2022-08-15T00:00:00"/>
    <d v="2022-10-11T00:00:00"/>
    <s v="Alliance Healthcare s.r.o."/>
    <m/>
    <n v="964997.04"/>
    <n v="1061496.74"/>
    <m/>
    <m/>
    <m/>
    <d v="2022-10-11T00:00:00"/>
    <s v="SMLN-2022-617-000697"/>
    <x v="91"/>
  </r>
  <r>
    <d v="2022-06-14T00:00:00"/>
    <s v="VZ-2022-000629-03"/>
    <x v="1"/>
    <s v="Ondráčková"/>
    <x v="353"/>
    <n v="3"/>
    <s v="TRAMADOL A PARACETAMOL  "/>
    <m/>
    <s v="33661200-3"/>
    <m/>
    <n v="2599981"/>
    <x v="0"/>
    <d v="2022-06-27T00:00:00"/>
    <d v="2022-08-15T00:00:00"/>
    <d v="2022-10-11T00:00:00"/>
    <s v="Alliance Healthcare s.r.o."/>
    <m/>
    <n v="2395252.6800000002"/>
    <n v="2634777.9500000002"/>
    <m/>
    <m/>
    <m/>
    <d v="2022-10-11T00:00:00"/>
    <s v="SMLN-2022-617-000698"/>
    <x v="91"/>
  </r>
  <r>
    <d v="2022-06-14T00:00:00"/>
    <s v="VZ-2022-000629-04"/>
    <x v="1"/>
    <s v="Ondráčková"/>
    <x v="353"/>
    <n v="4"/>
    <s v="TRAMADOL A DEXKETOPROFEN  "/>
    <m/>
    <s v="33661200-3"/>
    <m/>
    <n v="216084"/>
    <x v="0"/>
    <d v="2022-06-27T00:00:00"/>
    <d v="2022-08-15T00:00:00"/>
    <d v="2022-10-11T00:00:00"/>
    <s v="Alliance Healthcare s.r.o."/>
    <m/>
    <n v="180823.67999999999"/>
    <n v="198906.05"/>
    <m/>
    <m/>
    <m/>
    <d v="2022-10-11T00:00:00"/>
    <s v="SMLN-2022-617-000699"/>
    <x v="91"/>
  </r>
  <r>
    <d v="2022-06-14T00:00:00"/>
    <s v="VZ-2022-000629-05"/>
    <x v="1"/>
    <s v="Ondráčková"/>
    <x v="353"/>
    <n v="5"/>
    <s v="TRAMADOL I. "/>
    <m/>
    <s v="33661200-3"/>
    <m/>
    <n v="164639"/>
    <x v="0"/>
    <d v="2022-06-27T00:00:00"/>
    <d v="2022-08-15T00:00:00"/>
    <m/>
    <s v="zrušeno - bez nabídky"/>
    <m/>
    <m/>
    <m/>
    <m/>
    <m/>
    <m/>
    <m/>
    <m/>
    <x v="4"/>
  </r>
  <r>
    <d v="2022-06-14T00:00:00"/>
    <s v="VZ-2022-000629-06"/>
    <x v="1"/>
    <s v="Ondráčková"/>
    <x v="353"/>
    <n v="6"/>
    <s v="TRAMADOL II."/>
    <m/>
    <s v="33661200-3"/>
    <m/>
    <n v="194217"/>
    <x v="0"/>
    <d v="2022-06-27T00:00:00"/>
    <d v="2022-08-15T00:00:00"/>
    <d v="2022-10-11T00:00:00"/>
    <s v="Alliance Healthcare s.r.o."/>
    <m/>
    <n v="194303.96"/>
    <n v="213734.36"/>
    <m/>
    <m/>
    <m/>
    <d v="2022-10-11T00:00:00"/>
    <s v="SMLN-2022-617-000700"/>
    <x v="146"/>
  </r>
  <r>
    <d v="2022-06-14T00:00:00"/>
    <s v="VZ-2022-000629-07"/>
    <x v="1"/>
    <s v="Ondráčková"/>
    <x v="353"/>
    <n v="7"/>
    <s v="TRAMADOL III."/>
    <m/>
    <s v="33661200-3"/>
    <m/>
    <n v="3362"/>
    <x v="0"/>
    <d v="2022-06-27T00:00:00"/>
    <d v="2022-08-15T00:00:00"/>
    <d v="2022-10-11T00:00:00"/>
    <s v="Alliance Healthcare s.r.o."/>
    <m/>
    <n v="3309.8"/>
    <n v="3640.78"/>
    <m/>
    <m/>
    <m/>
    <d v="2022-10-11T00:00:00"/>
    <s v="SMLN-2022-617-000701"/>
    <x v="146"/>
  </r>
  <r>
    <d v="2022-06-14T00:00:00"/>
    <s v="VZ-2022-000629-08"/>
    <x v="1"/>
    <s v="Ondráčková"/>
    <x v="353"/>
    <n v="8"/>
    <s v="TRAMADOL IV."/>
    <m/>
    <s v="33661200-3"/>
    <m/>
    <n v="590926"/>
    <x v="0"/>
    <d v="2022-06-27T00:00:00"/>
    <d v="2022-08-15T00:00:00"/>
    <d v="2022-10-11T00:00:00"/>
    <s v="PHOENIX lék.velkoobchod, s.r.o."/>
    <m/>
    <n v="594649.76"/>
    <n v="654114.74"/>
    <m/>
    <m/>
    <m/>
    <d v="2022-10-11T00:00:00"/>
    <s v="SMLN-2022-617-000702"/>
    <x v="151"/>
  </r>
  <r>
    <d v="2022-06-14T00:00:00"/>
    <s v="VZ-2022-000630-01"/>
    <x v="1"/>
    <s v="Ondráčková"/>
    <x v="354"/>
    <n v="1"/>
    <s v="METFORMIN A SITAGLIPTIN "/>
    <m/>
    <s v="33615000-4"/>
    <m/>
    <n v="564798"/>
    <x v="0"/>
    <d v="2022-06-30T00:00:00"/>
    <d v="2022-08-18T00:00:00"/>
    <d v="2022-10-21T00:00:00"/>
    <s v="Merck Sharp &amp; Dohme s.r.o."/>
    <m/>
    <n v="564796"/>
    <n v="621275.6"/>
    <m/>
    <m/>
    <m/>
    <d v="2022-10-21T00:00:00"/>
    <s v="SMLN-2022-617-000748"/>
    <x v="133"/>
  </r>
  <r>
    <d v="2022-06-14T00:00:00"/>
    <s v="VZ-2022-000630-02"/>
    <x v="1"/>
    <s v="Ondráčková"/>
    <x v="354"/>
    <n v="2"/>
    <s v="METFORMIN A VILDAGLIPTIN "/>
    <m/>
    <s v="33615000-4"/>
    <m/>
    <n v="528914"/>
    <x v="0"/>
    <d v="2022-06-30T00:00:00"/>
    <d v="2022-08-18T00:00:00"/>
    <d v="2022-10-21T00:00:00"/>
    <s v="Alliance Healthcare s.r.o."/>
    <m/>
    <n v="528913.76"/>
    <n v="581805.14"/>
    <m/>
    <m/>
    <m/>
    <d v="2022-10-21T00:00:00"/>
    <s v="SMLN-2022-617-000749"/>
    <x v="151"/>
  </r>
  <r>
    <d v="2022-06-14T00:00:00"/>
    <s v="VZ-2022-000630-03"/>
    <x v="1"/>
    <s v="Ondráčková"/>
    <x v="354"/>
    <n v="3"/>
    <s v="METFORMIN A LINAGLIPTIN "/>
    <m/>
    <s v="33615000-4"/>
    <m/>
    <n v="700255"/>
    <x v="0"/>
    <d v="2022-06-30T00:00:00"/>
    <d v="2022-08-18T00:00:00"/>
    <d v="2022-10-21T00:00:00"/>
    <s v="Boehringer Ingelheim, spol. s r.o."/>
    <m/>
    <n v="700253.08"/>
    <n v="770278.39"/>
    <m/>
    <m/>
    <m/>
    <d v="2022-10-21T00:00:00"/>
    <s v="SMLN-2022-617-000750"/>
    <x v="165"/>
  </r>
  <r>
    <d v="2022-06-14T00:00:00"/>
    <s v="VZ-2022-000631-01"/>
    <x v="1"/>
    <s v="Ondráčková"/>
    <x v="355"/>
    <n v="1"/>
    <s v="METFORMIN A DAPAGLIFLOZIN "/>
    <m/>
    <s v="33615000-4"/>
    <m/>
    <n v="824763"/>
    <x v="0"/>
    <d v="2022-06-22T00:00:00"/>
    <d v="2022-08-19T00:00:00"/>
    <d v="2022-10-04T00:00:00"/>
    <s v="PHOENIX lék.velkoobchod, s.r.o."/>
    <m/>
    <n v="824762.56"/>
    <n v="907238.82"/>
    <m/>
    <m/>
    <m/>
    <d v="2022-10-04T00:00:00"/>
    <s v="SMLN-2022-617-000676"/>
    <x v="115"/>
  </r>
  <r>
    <d v="2022-06-14T00:00:00"/>
    <s v="VZ-2022-000631-02"/>
    <x v="1"/>
    <s v="Ondráčková"/>
    <x v="355"/>
    <n v="2"/>
    <s v="METFORMIN A KANAGLIFLOZIN "/>
    <m/>
    <s v="33615000-4"/>
    <m/>
    <n v="53006"/>
    <x v="0"/>
    <d v="2022-06-22T00:00:00"/>
    <d v="2022-08-19T00:00:00"/>
    <d v="2022-10-04T00:00:00"/>
    <s v="PHOENIX lék.velkoobchod, s.r.o."/>
    <m/>
    <n v="52360.36"/>
    <n v="57596.4"/>
    <m/>
    <m/>
    <m/>
    <d v="2022-10-04T00:00:00"/>
    <s v="SMLN-2022-617-000678"/>
    <x v="115"/>
  </r>
  <r>
    <d v="2022-06-14T00:00:00"/>
    <s v="VZ-2022-000631-03"/>
    <x v="1"/>
    <s v="Ondráčková"/>
    <x v="355"/>
    <n v="3"/>
    <s v="METFORMIN A EMPAGLIFLOZIN "/>
    <m/>
    <s v="33615000-4"/>
    <m/>
    <n v="2105165"/>
    <x v="0"/>
    <d v="2022-06-22T00:00:00"/>
    <d v="2022-08-19T00:00:00"/>
    <d v="2022-10-04T00:00:00"/>
    <s v="PHARMOS, a.s., a.s."/>
    <m/>
    <n v="2074201.24"/>
    <n v="2281621.36"/>
    <m/>
    <m/>
    <m/>
    <d v="2022-10-04T00:00:00"/>
    <s v="SMLN-2022-617-000679"/>
    <x v="165"/>
  </r>
  <r>
    <d v="2022-06-15T00:00:00"/>
    <s v="VZ-2022-000639"/>
    <x v="4"/>
    <s v="Olejníček"/>
    <x v="356"/>
    <m/>
    <m/>
    <m/>
    <s v="33121200-6"/>
    <s v="2.2.458."/>
    <n v="855000"/>
    <x v="2"/>
    <d v="2022-06-16T00:00:00"/>
    <d v="2022-06-28T00:00:00"/>
    <d v="2022-07-19T00:00:00"/>
    <s v="BIP Medical CZ, s.r.o."/>
    <m/>
    <n v="840396.39"/>
    <n v="1016880"/>
    <m/>
    <m/>
    <m/>
    <d v="2022-07-19T00:00:00"/>
    <s v="SMLN-2022-617-000467_x000a_SMLN-2022-612-000130"/>
    <x v="166"/>
  </r>
  <r>
    <d v="2022-06-15T00:00:00"/>
    <s v="VZ-2022-000641"/>
    <x v="4"/>
    <s v="Olejníček"/>
    <x v="357"/>
    <m/>
    <m/>
    <m/>
    <s v="38311000-9"/>
    <s v="2.3.450."/>
    <n v="125000"/>
    <x v="2"/>
    <d v="2022-06-16T00:00:00"/>
    <d v="2022-06-24T00:00:00"/>
    <d v="2022-07-18T00:00:00"/>
    <s v="Stamed s.r.o."/>
    <m/>
    <n v="115940"/>
    <n v="140287.4"/>
    <m/>
    <m/>
    <m/>
    <d v="2022-07-18T00:00:00"/>
    <s v="SMLN-2022-617-000464_x000a_SMLN-2022-612-000128"/>
    <x v="109"/>
  </r>
  <r>
    <d v="2022-06-15T00:00:00"/>
    <s v="VZ-2022-000643-01"/>
    <x v="4"/>
    <s v="Olejníček"/>
    <x v="358"/>
    <n v="1"/>
    <s v="2 ks elektrochirurgického generátoru pro COSS a I.IK(OS)"/>
    <m/>
    <s v="33161000-6"/>
    <s v="2.3.601., 2.3.629."/>
    <n v="420000"/>
    <x v="2"/>
    <d v="2022-06-17T00:00:00"/>
    <d v="2022-06-21T00:00:00"/>
    <d v="2022-06-30T00:00:00"/>
    <s v="Medtronic Czechia s.r.o."/>
    <m/>
    <n v="485900"/>
    <n v="587939"/>
    <m/>
    <m/>
    <m/>
    <d v="2022-06-30T00:00:00"/>
    <s v="SMLN-2022-617-000455_x000a_SMLN-2022-612-000127"/>
    <x v="131"/>
  </r>
  <r>
    <d v="2022-06-15T00:00:00"/>
    <s v="VZ-2022-000643-02"/>
    <x v="4"/>
    <s v="Olejníček"/>
    <x v="359"/>
    <n v="2"/>
    <s v="Elektrochirurgický generátor pro Urologickou kliniku"/>
    <m/>
    <s v="33161000-6"/>
    <s v="2.3.632."/>
    <n v="490000"/>
    <x v="2"/>
    <d v="2022-06-17T00:00:00"/>
    <d v="2022-06-21T00:00:00"/>
    <m/>
    <s v="zrušeno - bez nabídky"/>
    <s v="nová VZ-2022-000799"/>
    <m/>
    <m/>
    <m/>
    <m/>
    <m/>
    <m/>
    <m/>
    <x v="4"/>
  </r>
  <r>
    <d v="2022-06-15T00:00:00"/>
    <s v="VZ-2022-000644"/>
    <x v="4"/>
    <s v="Olejníček"/>
    <x v="360"/>
    <m/>
    <m/>
    <m/>
    <s v="33124000-5"/>
    <s v="2.2.454."/>
    <n v="5085000"/>
    <x v="0"/>
    <d v="2022-06-24T00:00:00"/>
    <d v="2022-07-27T00:00:00"/>
    <d v="2022-08-19T00:00:00"/>
    <s v="MEDIAL spol. s r.o."/>
    <m/>
    <n v="5077041"/>
    <n v="6143219.6100000003"/>
    <m/>
    <m/>
    <m/>
    <d v="2022-08-19T00:00:00"/>
    <s v="SMLN-2022-617-000567_x000a_SMLN-2022-612-000170_x000a_SMLN-2022-617-000568"/>
    <x v="113"/>
  </r>
  <r>
    <d v="2022-06-14T00:00:00"/>
    <s v="VZ-2022-000645-01"/>
    <x v="1"/>
    <s v="Ondráčková"/>
    <x v="361"/>
    <n v="1"/>
    <s v="Somatropin I."/>
    <m/>
    <s v="33642100-3"/>
    <m/>
    <n v="98811586"/>
    <x v="0"/>
    <d v="2022-09-01T00:00:00"/>
    <d v="2022-11-10T00:00:00"/>
    <m/>
    <m/>
    <m/>
    <m/>
    <m/>
    <m/>
    <m/>
    <m/>
    <m/>
    <m/>
    <x v="4"/>
  </r>
  <r>
    <d v="2022-06-14T00:00:00"/>
    <s v="VZ-2022-000645-02"/>
    <x v="1"/>
    <s v="Ondráčková"/>
    <x v="361"/>
    <n v="2"/>
    <s v="Somatropin II."/>
    <m/>
    <s v="33642100-3"/>
    <m/>
    <n v="32346701"/>
    <x v="0"/>
    <d v="2022-09-01T00:00:00"/>
    <d v="2022-11-10T00:00:00"/>
    <m/>
    <m/>
    <m/>
    <m/>
    <m/>
    <m/>
    <m/>
    <m/>
    <m/>
    <m/>
    <x v="4"/>
  </r>
  <r>
    <d v="2022-06-14T00:00:00"/>
    <s v="VZ-2022-000645-03"/>
    <x v="1"/>
    <s v="Ondráčková"/>
    <x v="361"/>
    <n v="3"/>
    <s v="Somatropin III."/>
    <m/>
    <s v="33642100-3"/>
    <m/>
    <n v="105840243"/>
    <x v="0"/>
    <d v="2022-09-01T00:00:00"/>
    <d v="2022-11-10T00:00:00"/>
    <m/>
    <m/>
    <m/>
    <m/>
    <m/>
    <m/>
    <m/>
    <m/>
    <m/>
    <m/>
    <x v="4"/>
  </r>
  <r>
    <d v="2022-06-14T00:00:00"/>
    <s v="VZ-2022-000646-01"/>
    <x v="1"/>
    <s v="Ondráčková"/>
    <x v="362"/>
    <n v="1"/>
    <s v="Somatropin IV."/>
    <m/>
    <s v="33642100-3"/>
    <m/>
    <n v="14494324"/>
    <x v="0"/>
    <d v="2022-09-02T00:00:00"/>
    <d v="2022-11-09T00:00:00"/>
    <d v="2022-12-20T00:00:00"/>
    <s v="PHOENIX lék.velkoobchod, s.r.o."/>
    <m/>
    <n v="14238540.800000001"/>
    <n v="15662394.880000001"/>
    <m/>
    <m/>
    <m/>
    <d v="2022-12-20T00:00:00"/>
    <s v="SMLN-2022-617-000873"/>
    <x v="4"/>
  </r>
  <r>
    <d v="2022-06-14T00:00:00"/>
    <s v="VZ-2022-000646-02"/>
    <x v="1"/>
    <s v="Ondráčková"/>
    <x v="362"/>
    <n v="2"/>
    <s v="Somatropin V."/>
    <m/>
    <s v="33642100-3"/>
    <m/>
    <n v="30789264"/>
    <x v="0"/>
    <d v="2022-09-02T00:00:00"/>
    <d v="2022-11-09T00:00:00"/>
    <d v="2022-12-20T00:00:00"/>
    <s v="PROMEDICA PRAHA GROUP, a.s."/>
    <m/>
    <n v="30179426.879999999"/>
    <n v="33197369.57"/>
    <m/>
    <m/>
    <m/>
    <d v="2022-12-20T00:00:00"/>
    <s v="SMLN-2022-617-000874"/>
    <x v="4"/>
  </r>
  <r>
    <d v="2022-06-14T00:00:00"/>
    <s v="VZ-2022-000646-03"/>
    <x v="1"/>
    <s v="Ondráčková"/>
    <x v="362"/>
    <n v="3"/>
    <s v="Somatropin VI."/>
    <m/>
    <s v="33642100-3"/>
    <m/>
    <n v="39348576"/>
    <x v="0"/>
    <d v="2022-09-02T00:00:00"/>
    <d v="2022-11-09T00:00:00"/>
    <d v="2022-12-20T00:00:00"/>
    <s v="PROMEDICA PRAHA GROUP, a.s."/>
    <m/>
    <n v="37460291.039999999"/>
    <n v="41206320.140000001"/>
    <m/>
    <m/>
    <m/>
    <d v="2022-12-20T00:00:00"/>
    <s v="SMLN-2022-617-000875"/>
    <x v="4"/>
  </r>
  <r>
    <d v="2022-06-14T00:00:00"/>
    <s v="VZ-2022-000646-04"/>
    <x v="1"/>
    <s v="Ondráčková"/>
    <x v="362"/>
    <n v="4"/>
    <s v="Somatropin VII."/>
    <m/>
    <s v="33642100-3"/>
    <m/>
    <n v="2455442"/>
    <x v="0"/>
    <d v="2022-09-02T00:00:00"/>
    <d v="2022-11-09T00:00:00"/>
    <m/>
    <s v="zrušeno - bez nabídky"/>
    <m/>
    <m/>
    <m/>
    <m/>
    <m/>
    <m/>
    <m/>
    <m/>
    <x v="4"/>
  </r>
  <r>
    <d v="2022-06-14T00:00:00"/>
    <s v="VZ-2022-000648"/>
    <x v="1"/>
    <s v="Ondráčková"/>
    <x v="363"/>
    <m/>
    <m/>
    <m/>
    <s v="33661100-2"/>
    <m/>
    <n v="5682383"/>
    <x v="0"/>
    <d v="2022-09-22T00:00:00"/>
    <d v="2022-11-11T00:00:00"/>
    <d v="2022-12-08T00:00:00"/>
    <s v="Alliance Healthcare s.r.o."/>
    <m/>
    <n v="12091202.6"/>
    <n v="13300322.859999999"/>
    <m/>
    <m/>
    <m/>
    <d v="2022-12-08T00:00:00"/>
    <s v="SMLN-2022-617-000850"/>
    <x v="4"/>
  </r>
  <r>
    <d v="2022-06-14T00:00:00"/>
    <s v="VZ-2022-000649"/>
    <x v="1"/>
    <s v="Ondráčková"/>
    <x v="364"/>
    <m/>
    <m/>
    <m/>
    <s v="33661400-5"/>
    <m/>
    <n v="1676573"/>
    <x v="0"/>
    <d v="2022-06-22T00:00:00"/>
    <d v="2022-08-15T00:00:00"/>
    <d v="2022-10-18T00:00:00"/>
    <s v="PHARMOS, a.s., a.s."/>
    <m/>
    <n v="1532512.89"/>
    <n v="1685764.18"/>
    <m/>
    <m/>
    <m/>
    <d v="2022-10-18T00:00:00"/>
    <s v="SMLN-2022-617-000733"/>
    <x v="167"/>
  </r>
  <r>
    <d v="2022-06-14T00:00:00"/>
    <s v="VZ-2022-000650-01"/>
    <x v="1"/>
    <s v="Ondráčková"/>
    <x v="365"/>
    <n v="1"/>
    <s v="PRAMIPEXOL"/>
    <m/>
    <s v="33661400-5"/>
    <m/>
    <n v="275905"/>
    <x v="0"/>
    <d v="2022-06-22T00:00:00"/>
    <d v="2022-07-29T00:00:00"/>
    <d v="2022-08-31T00:00:00"/>
    <s v="Alliance Healthcare s.r.o."/>
    <m/>
    <n v="41055.18"/>
    <n v="45160.7"/>
    <m/>
    <m/>
    <m/>
    <d v="2022-08-31T00:00:00"/>
    <s v="SMLN-2022-617-000604"/>
    <x v="97"/>
  </r>
  <r>
    <d v="2022-06-14T00:00:00"/>
    <s v="VZ-2022-000650-02"/>
    <x v="1"/>
    <s v="Ondráčková"/>
    <x v="365"/>
    <n v="2"/>
    <s v="ROTIGOTIN"/>
    <m/>
    <s v="33661400-5"/>
    <m/>
    <n v="3156828"/>
    <x v="0"/>
    <d v="2022-06-22T00:00:00"/>
    <d v="2022-07-29T00:00:00"/>
    <m/>
    <s v="zrušeno - již uzavřena smlouva z jiné VZ"/>
    <m/>
    <m/>
    <m/>
    <m/>
    <m/>
    <m/>
    <m/>
    <m/>
    <x v="4"/>
  </r>
  <r>
    <d v="2022-06-14T00:00:00"/>
    <s v="VZ-2022-000651-01"/>
    <x v="1"/>
    <s v="Ondráčková"/>
    <x v="366"/>
    <n v="1"/>
    <s v="ALERGENOVÝ EXTRAKT Z TRAVNÍHO PYLU"/>
    <m/>
    <s v="33675000-2"/>
    <m/>
    <n v="1630264"/>
    <x v="0"/>
    <d v="2022-07-15T00:00:00"/>
    <d v="2022-08-19T00:00:00"/>
    <d v="2022-10-05T00:00:00"/>
    <s v="Alliance Healthcare s.r.o."/>
    <m/>
    <n v="1616141.07"/>
    <n v="1777755.18"/>
    <m/>
    <m/>
    <m/>
    <d v="2022-10-06T00:00:00"/>
    <s v="SMLN-2022-617-000682"/>
    <x v="91"/>
  </r>
  <r>
    <d v="2022-06-14T00:00:00"/>
    <s v="VZ-2022-000651-02"/>
    <x v="1"/>
    <s v="Ondráčková"/>
    <x v="366"/>
    <n v="2"/>
    <s v="ALERGENY Z TRAVNÍCH PYLŮ"/>
    <m/>
    <s v="33675000-2"/>
    <m/>
    <n v="476283"/>
    <x v="0"/>
    <d v="2022-07-15T00:00:00"/>
    <d v="2022-08-19T00:00:00"/>
    <m/>
    <s v="zrušeno - bez nabídky"/>
    <m/>
    <m/>
    <m/>
    <m/>
    <m/>
    <m/>
    <m/>
    <m/>
    <x v="4"/>
  </r>
  <r>
    <d v="2022-06-14T00:00:00"/>
    <s v="VZ-2022-000651-03"/>
    <x v="1"/>
    <s v="Ondráčková"/>
    <x v="366"/>
    <n v="3"/>
    <s v="DOMÁCÍ PRACH, ROZTOČI"/>
    <m/>
    <s v="33675000-2"/>
    <m/>
    <n v="2775077"/>
    <x v="0"/>
    <d v="2022-07-15T00:00:00"/>
    <d v="2022-08-19T00:00:00"/>
    <d v="2022-10-05T00:00:00"/>
    <s v="Alliance Healthcare s.r.o."/>
    <m/>
    <n v="3212387.1"/>
    <n v="3533625.81"/>
    <m/>
    <m/>
    <m/>
    <d v="2022-10-06T00:00:00"/>
    <s v="SMLN-2022-617-000683"/>
    <x v="91"/>
  </r>
  <r>
    <d v="2022-06-14T00:00:00"/>
    <s v="VZ-2022-000651-04"/>
    <x v="1"/>
    <s v="Ondráčková"/>
    <x v="366"/>
    <n v="4"/>
    <s v="ALERGENY Z PYLU BŘÍZY"/>
    <m/>
    <s v="33675000-2"/>
    <m/>
    <n v="781037"/>
    <x v="0"/>
    <d v="2022-07-15T00:00:00"/>
    <d v="2022-08-19T00:00:00"/>
    <d v="2022-10-05T00:00:00"/>
    <s v="Alliance Healthcare s.r.o."/>
    <m/>
    <n v="605799.54"/>
    <n v="666379.49"/>
    <m/>
    <m/>
    <m/>
    <d v="2022-10-06T00:00:00"/>
    <s v="SMLN-2022-617-000684"/>
    <x v="91"/>
  </r>
  <r>
    <d v="2022-06-14T00:00:00"/>
    <s v="VZ-2022-000651-05"/>
    <x v="1"/>
    <s v="Ondráčková"/>
    <x v="366"/>
    <n v="5"/>
    <s v="RŮZNÉ ALERGENY I."/>
    <m/>
    <s v="33675000-2"/>
    <m/>
    <n v="3135537"/>
    <x v="0"/>
    <d v="2022-07-15T00:00:00"/>
    <d v="2022-08-19T00:00:00"/>
    <m/>
    <s v="zrušeno - bez nabídky"/>
    <m/>
    <m/>
    <m/>
    <m/>
    <m/>
    <m/>
    <m/>
    <m/>
    <x v="4"/>
  </r>
  <r>
    <d v="2022-06-14T00:00:00"/>
    <s v="VZ-2022-000651-06"/>
    <x v="1"/>
    <s v="Ondráčková"/>
    <x v="366"/>
    <n v="6"/>
    <s v="RŮZNÉ ALERGENY II."/>
    <m/>
    <s v="33675000-2"/>
    <m/>
    <n v="781037"/>
    <x v="0"/>
    <d v="2022-07-15T00:00:00"/>
    <d v="2022-08-19T00:00:00"/>
    <m/>
    <s v="zrušeno - bez nabídky"/>
    <m/>
    <m/>
    <m/>
    <m/>
    <m/>
    <m/>
    <m/>
    <m/>
    <x v="4"/>
  </r>
  <r>
    <d v="2022-06-16T00:00:00"/>
    <s v="VZ-2022-000653"/>
    <x v="8"/>
    <s v="Kadlec"/>
    <x v="367"/>
    <m/>
    <m/>
    <m/>
    <s v="45331100-7"/>
    <m/>
    <n v="650000"/>
    <x v="2"/>
    <d v="2022-06-17T00:00:00"/>
    <d v="2022-06-28T00:00:00"/>
    <d v="2022-07-12T00:00:00"/>
    <s v="Slávek Vaško"/>
    <m/>
    <n v="396589"/>
    <n v="479872.69"/>
    <m/>
    <m/>
    <m/>
    <d v="2022-07-14T00:00:00"/>
    <s v="SMLN-2022-618-000044"/>
    <x v="110"/>
  </r>
  <r>
    <d v="2022-06-15T00:00:00"/>
    <s v="VZ-2022-000654"/>
    <x v="4"/>
    <s v="Olejníček"/>
    <x v="368"/>
    <m/>
    <m/>
    <m/>
    <s v="38000000-5"/>
    <m/>
    <n v="229556"/>
    <x v="2"/>
    <d v="2022-06-21T00:00:00"/>
    <d v="2022-06-30T00:00:00"/>
    <d v="2022-07-21T00:00:00"/>
    <s v="ALOGO, s.r.o."/>
    <m/>
    <n v="194735"/>
    <n v="235629.35"/>
    <m/>
    <m/>
    <m/>
    <d v="2022-07-21T00:00:00"/>
    <s v="SMLN-2022-617-000472_x000a_SMLN-2022-612-000132"/>
    <x v="109"/>
  </r>
  <r>
    <d v="2022-06-16T00:00:00"/>
    <s v="VZ-2022-000656"/>
    <x v="6"/>
    <s v="Zdráhalová"/>
    <x v="369"/>
    <m/>
    <m/>
    <m/>
    <s v="30197644-2"/>
    <m/>
    <n v="955530"/>
    <x v="2"/>
    <d v="2022-06-21T00:00:00"/>
    <d v="2022-06-30T00:00:00"/>
    <d v="2022-07-20T00:00:00"/>
    <s v="Jan Vytopil"/>
    <m/>
    <n v="895020"/>
    <n v="1082974.2"/>
    <m/>
    <m/>
    <m/>
    <d v="2022-07-20T00:00:00"/>
    <s v="SMLN-2022-617-000469"/>
    <x v="168"/>
  </r>
  <r>
    <d v="2022-06-16T00:00:00"/>
    <s v="VZ-2022-000657"/>
    <x v="0"/>
    <s v="Dočkalová"/>
    <x v="370"/>
    <m/>
    <m/>
    <m/>
    <s v="33140000-3"/>
    <m/>
    <n v="1673180"/>
    <x v="2"/>
    <d v="2022-06-21T00:00:00"/>
    <d v="2022-06-30T00:00:00"/>
    <d v="2022-07-19T00:00:00"/>
    <s v="Medtronic Czechia s.r.o."/>
    <m/>
    <n v="1667592.11"/>
    <n v="2017786.45"/>
    <m/>
    <m/>
    <m/>
    <d v="2022-07-19T00:00:00"/>
    <s v="SMLN-2022-617-000466"/>
    <x v="168"/>
  </r>
  <r>
    <d v="2022-06-17T00:00:00"/>
    <s v="VZ-2022-000663"/>
    <x v="1"/>
    <s v="Ondráčková"/>
    <x v="371"/>
    <m/>
    <m/>
    <m/>
    <s v="33651400-2"/>
    <m/>
    <n v="37739531"/>
    <x v="0"/>
    <d v="2022-09-16T00:00:00"/>
    <d v="2022-11-22T00:00:00"/>
    <d v="2022-12-07T00:00:00"/>
    <s v="Merck Sharp &amp; Dohme s.r.o."/>
    <m/>
    <n v="34098438.799999997"/>
    <n v="37508282.880000003"/>
    <m/>
    <m/>
    <m/>
    <d v="2022-12-07T00:00:00"/>
    <s v="SMLN-2022-617-000846"/>
    <x v="4"/>
  </r>
  <r>
    <d v="2022-06-20T00:00:00"/>
    <s v="VZ-2022-000665-01"/>
    <x v="1"/>
    <s v="Ondráčková"/>
    <x v="372"/>
    <n v="1"/>
    <s v="KLOPIDOGREL "/>
    <m/>
    <s v="33621100-0"/>
    <m/>
    <n v="736890"/>
    <x v="1"/>
    <d v="2022-07-07T00:00:00"/>
    <d v="2022-07-27T00:00:00"/>
    <d v="2022-09-13T00:00:00"/>
    <s v="PHARMOS, a.s., a.s."/>
    <m/>
    <n v="385989.12"/>
    <n v="424588.03"/>
    <m/>
    <m/>
    <m/>
    <d v="2022-09-13T00:00:00"/>
    <s v="SMLN-2022-617-000633"/>
    <x v="117"/>
  </r>
  <r>
    <d v="2022-06-20T00:00:00"/>
    <s v="VZ-2022-000665-02"/>
    <x v="1"/>
    <s v="Ondráčková"/>
    <x v="372"/>
    <n v="2"/>
    <s v="KYSELINA ACETYLSALICYLOVÁ I."/>
    <m/>
    <s v="33621100-0"/>
    <m/>
    <n v="690489"/>
    <x v="1"/>
    <d v="2022-07-07T00:00:00"/>
    <d v="2022-07-27T00:00:00"/>
    <d v="2022-09-13T00:00:00"/>
    <s v="PHARMOS, a.s., a.s."/>
    <m/>
    <n v="146390.56"/>
    <n v="161029.62"/>
    <m/>
    <m/>
    <m/>
    <d v="2022-09-13T00:00:00"/>
    <s v="SMLN-2022-617-000634"/>
    <x v="117"/>
  </r>
  <r>
    <d v="2022-06-20T00:00:00"/>
    <s v="VZ-2022-000665-03"/>
    <x v="1"/>
    <s v="Ondráčková"/>
    <x v="372"/>
    <n v="3"/>
    <s v="KYSELINA ACETYLSALICYLOVÁ II."/>
    <m/>
    <s v="33621100-0"/>
    <m/>
    <n v="172193"/>
    <x v="1"/>
    <d v="2022-07-07T00:00:00"/>
    <d v="2022-07-27T00:00:00"/>
    <d v="2022-09-13T00:00:00"/>
    <s v="PHARMOS, a.s., a.s."/>
    <m/>
    <n v="170314.8"/>
    <n v="187346.28"/>
    <m/>
    <m/>
    <m/>
    <d v="2022-09-13T00:00:00"/>
    <s v="SMLN-2022-617-000635"/>
    <x v="117"/>
  </r>
  <r>
    <d v="2022-06-20T00:00:00"/>
    <s v="VZ-2022-000665-04"/>
    <x v="1"/>
    <s v="Ondráčková"/>
    <x v="372"/>
    <n v="4"/>
    <s v="KYSELINA ACETYLSALICYLOVÁ S INDIKACÍ LÉČBY AKUTNÍHO INFARKTU MYOKARDU"/>
    <m/>
    <s v="33621100-0"/>
    <m/>
    <n v="111447"/>
    <x v="1"/>
    <d v="2022-07-07T00:00:00"/>
    <d v="2022-07-27T00:00:00"/>
    <m/>
    <s v="zrušeno - bez nabídky"/>
    <m/>
    <m/>
    <m/>
    <m/>
    <m/>
    <m/>
    <m/>
    <m/>
    <x v="4"/>
  </r>
  <r>
    <d v="2022-06-20T00:00:00"/>
    <s v="VZ-2022-000665-05"/>
    <x v="1"/>
    <s v="Ondráčková"/>
    <x v="372"/>
    <n v="5"/>
    <s v="KYSELINA ACETYLSALICYLOVÁ A GLYCIN"/>
    <m/>
    <s v="33621100-0"/>
    <m/>
    <n v="246783"/>
    <x v="1"/>
    <d v="2022-07-07T00:00:00"/>
    <d v="2022-07-27T00:00:00"/>
    <d v="2022-09-13T00:00:00"/>
    <s v="PHARMOS, a.s., a.s."/>
    <m/>
    <n v="195448.16"/>
    <n v="214992.98"/>
    <m/>
    <m/>
    <m/>
    <d v="2022-09-13T00:00:00"/>
    <s v="SMLN-2022-617-000636"/>
    <x v="117"/>
  </r>
  <r>
    <d v="2022-06-20T00:00:00"/>
    <s v="VZ-2022-000665-06"/>
    <x v="1"/>
    <s v="Ondráčková"/>
    <x v="372"/>
    <n v="6"/>
    <s v="RACEMICKÝ LYSIN-ACETYLSALICYLÁT "/>
    <m/>
    <s v="33621100-0"/>
    <m/>
    <n v="128180"/>
    <x v="1"/>
    <d v="2022-07-07T00:00:00"/>
    <d v="2022-07-27T00:00:00"/>
    <d v="2022-09-13T00:00:00"/>
    <s v="PHARMOS, a.s., a.s."/>
    <m/>
    <n v="126775.12"/>
    <n v="139452.63"/>
    <m/>
    <m/>
    <m/>
    <d v="2022-09-13T00:00:00"/>
    <s v="SMLN-2022-617-000637"/>
    <x v="117"/>
  </r>
  <r>
    <d v="2022-06-20T00:00:00"/>
    <s v="VZ-2022-000665-07"/>
    <x v="1"/>
    <s v="Ondráčková"/>
    <x v="372"/>
    <n v="7"/>
    <s v="EPTIFIBATID "/>
    <m/>
    <s v="33621100-0"/>
    <m/>
    <n v="642245"/>
    <x v="1"/>
    <d v="2022-07-07T00:00:00"/>
    <d v="2022-07-27T00:00:00"/>
    <d v="2022-09-13T00:00:00"/>
    <s v="PHOENIX lék.velkoobchod, s.r.o."/>
    <m/>
    <n v="635051.4"/>
    <n v="698556.54"/>
    <m/>
    <m/>
    <m/>
    <d v="2022-09-13T00:00:00"/>
    <s v="SMLN-2022-617-000638"/>
    <x v="115"/>
  </r>
  <r>
    <d v="2022-06-20T00:00:00"/>
    <s v="VZ-2022-000667-01"/>
    <x v="1"/>
    <s v="Ondráčková"/>
    <x v="373"/>
    <n v="1"/>
    <s v="EVEROLIMUS  "/>
    <m/>
    <s v="33652000-5"/>
    <m/>
    <n v="2856528"/>
    <x v="0"/>
    <d v="2022-06-27T00:00:00"/>
    <d v="2022-08-01T00:00:00"/>
    <d v="2022-10-17T00:00:00"/>
    <s v="PHOENIX lék.velkoobchod, s.r.o."/>
    <m/>
    <n v="1516906.8"/>
    <n v="1668597.48"/>
    <m/>
    <m/>
    <m/>
    <d v="2022-10-17T00:00:00"/>
    <s v="SMLN-2022-617-000727"/>
    <x v="151"/>
  </r>
  <r>
    <d v="2022-06-20T00:00:00"/>
    <s v="VZ-2022-000667-02"/>
    <x v="1"/>
    <s v="Ondráčková"/>
    <x v="373"/>
    <n v="2"/>
    <s v="DEFERASIROX"/>
    <m/>
    <s v="33652000-5"/>
    <m/>
    <n v="2402070"/>
    <x v="0"/>
    <d v="2022-06-27T00:00:00"/>
    <d v="2022-08-01T00:00:00"/>
    <d v="2022-10-17T00:00:00"/>
    <s v="PROMEDICA PRAHA GROUP, a.s."/>
    <m/>
    <n v="228159"/>
    <n v="250974.9"/>
    <m/>
    <m/>
    <m/>
    <d v="2022-10-17T00:00:00"/>
    <s v="SMLN-2022-617-000728"/>
    <x v="147"/>
  </r>
  <r>
    <d v="2022-06-21T00:00:00"/>
    <s v="VZ-2022-000669"/>
    <x v="4"/>
    <s v="Olejníček"/>
    <x v="374"/>
    <m/>
    <m/>
    <m/>
    <s v="33111710-1"/>
    <s v="2.3.653."/>
    <n v="2030000"/>
    <x v="0"/>
    <d v="2022-06-24T00:00:00"/>
    <d v="2022-07-28T00:00:00"/>
    <d v="2022-08-25T00:00:00"/>
    <s v="BIOMEDICA ČS, s.r.o."/>
    <m/>
    <n v="1998192"/>
    <n v="2417812.3199999998"/>
    <m/>
    <m/>
    <m/>
    <d v="2022-08-25T00:00:00"/>
    <s v="SMLN-2022-617-000592_x000a_SMLN-2022-612-000175"/>
    <x v="156"/>
  </r>
  <r>
    <s v="opakovaná VZ"/>
    <s v="VZ-2022-000674"/>
    <x v="4"/>
    <s v="Olejníček"/>
    <x v="375"/>
    <m/>
    <m/>
    <m/>
    <s v="39143112-4"/>
    <s v="2.3.513."/>
    <n v="360000"/>
    <x v="2"/>
    <d v="2022-06-27T00:00:00"/>
    <d v="2022-07-12T00:00:00"/>
    <d v="2022-07-19T00:00:00"/>
    <s v="Stamed s.r.o."/>
    <m/>
    <n v="351990"/>
    <n v="40750290"/>
    <m/>
    <m/>
    <m/>
    <d v="2022-07-19T00:00:00"/>
    <s v="SMLN-2022-617-000465_x000a_SMLN-2022-612-000129"/>
    <x v="110"/>
  </r>
  <r>
    <d v="2022-06-21T00:00:00"/>
    <s v="VZ-2022-000675"/>
    <x v="21"/>
    <s v="Olejníček"/>
    <x v="376"/>
    <m/>
    <m/>
    <m/>
    <s v="30232100-5"/>
    <s v="4.2.181."/>
    <n v="1115072"/>
    <x v="2"/>
    <d v="2022-06-27T00:00:00"/>
    <d v="2022-07-12T00:00:00"/>
    <d v="2022-07-22T00:00:00"/>
    <s v="NH Computers s.r.o."/>
    <m/>
    <n v="114869.52"/>
    <n v="1348992.12"/>
    <m/>
    <m/>
    <m/>
    <d v="2022-07-22T00:00:00"/>
    <s v="SMLN-2022-617-000473"/>
    <x v="168"/>
  </r>
  <r>
    <d v="2022-06-21T00:00:00"/>
    <s v="VZ-2022-000676"/>
    <x v="4"/>
    <s v="Olejníček"/>
    <x v="377"/>
    <m/>
    <m/>
    <m/>
    <s v="38000000-5"/>
    <s v="2.2.451."/>
    <n v="1697000"/>
    <x v="2"/>
    <d v="2022-06-27T00:00:00"/>
    <d v="2022-07-18T00:00:00"/>
    <m/>
    <s v="zrušeno - překročení ceny"/>
    <s v="nová VZ-2022-000794"/>
    <m/>
    <m/>
    <m/>
    <m/>
    <m/>
    <m/>
    <m/>
    <x v="4"/>
  </r>
  <r>
    <d v="2022-06-21T00:00:00"/>
    <s v="VZ-2022-000677-01"/>
    <x v="21"/>
    <s v="Olejníček"/>
    <x v="378"/>
    <n v="1"/>
    <s v="Skenovací mikroskop pro II. IK"/>
    <m/>
    <s v="38634000-8"/>
    <s v="2.3.668."/>
    <n v="670990"/>
    <x v="0"/>
    <d v="2022-06-28T00:00:00"/>
    <d v="2022-08-01T00:00:00"/>
    <d v="2022-09-01T00:00:00"/>
    <s v="SVEN BioLabs s.r.o."/>
    <m/>
    <n v="659692"/>
    <n v="798227.32"/>
    <m/>
    <m/>
    <m/>
    <d v="2022-09-01T00:00:00"/>
    <s v="SMLN-2022-617-000610_x000a_SMLN-2022-612-000183"/>
    <x v="169"/>
  </r>
  <r>
    <d v="2022-06-21T00:00:00"/>
    <s v="VZ-2022-000677-02"/>
    <x v="21"/>
    <s v="Olejníček"/>
    <x v="378"/>
    <n v="2"/>
    <s v="Upgrade mikroskopu pro HOK"/>
    <m/>
    <s v="38634000-8"/>
    <s v="2.2.478."/>
    <n v="601654"/>
    <x v="0"/>
    <d v="2022-06-28T00:00:00"/>
    <d v="2022-08-01T00:00:00"/>
    <d v="2022-09-01T00:00:00"/>
    <s v="SVEN BioLabs s.r.o."/>
    <m/>
    <n v="598454"/>
    <n v="724129.34"/>
    <m/>
    <m/>
    <m/>
    <d v="2022-09-01T00:00:00"/>
    <s v="SMLN-2022-617-000611_x000a_SMLN-2022-612-000184"/>
    <x v="169"/>
  </r>
  <r>
    <d v="2022-06-13T00:00:00"/>
    <s v="VZ-2022-000679"/>
    <x v="0"/>
    <s v="Dočkalová"/>
    <x v="379"/>
    <m/>
    <m/>
    <m/>
    <s v="33184200-5"/>
    <m/>
    <n v="373940.73"/>
    <x v="0"/>
    <d v="2022-06-29T00:00:00"/>
    <d v="2022-08-15T00:00:00"/>
    <d v="2022-09-19T00:00:00"/>
    <s v="Inova Surgical s.r.o."/>
    <m/>
    <n v="373940.73"/>
    <n v="430031.88"/>
    <m/>
    <m/>
    <m/>
    <d v="2022-09-19T00:00:00"/>
    <s v="SMLN-2022-617-000655"/>
    <x v="103"/>
  </r>
  <r>
    <s v="opakovaná VZ"/>
    <s v="VZ-2022-000680"/>
    <x v="1"/>
    <s v="Ondráčková"/>
    <x v="380"/>
    <m/>
    <s v="REMDESIVIR"/>
    <m/>
    <s v="33651400-2"/>
    <m/>
    <n v="40669427"/>
    <x v="0"/>
    <d v="2022-07-22T00:00:00"/>
    <d v="2022-08-26T00:00:00"/>
    <d v="2022-11-07T00:00:00"/>
    <s v="Gilead Sciences s.r.o."/>
    <m/>
    <n v="40166710.409999996"/>
    <n v="44183381.450000003"/>
    <m/>
    <m/>
    <m/>
    <d v="2022-11-07T00:00:00"/>
    <s v="SMLN-2022-617-000788"/>
    <x v="4"/>
  </r>
  <r>
    <d v="2022-06-21T00:00:00"/>
    <s v="VZ-2022-000681-01"/>
    <x v="4"/>
    <s v="Olejníček"/>
    <x v="381"/>
    <n v="1"/>
    <s v="3 ks zařízení pro fyzikální terapii"/>
    <m/>
    <s v="33150000-6"/>
    <s v="2.3.655."/>
    <n v="159415"/>
    <x v="2"/>
    <d v="2022-06-27T00:00:00"/>
    <d v="2022-07-12T00:00:00"/>
    <d v="2022-07-26T00:00:00"/>
    <s v="BTL zdravotnická technika, a.s."/>
    <m/>
    <n v="718600"/>
    <n v="869506"/>
    <m/>
    <m/>
    <m/>
    <d v="2022-07-26T00:00:00"/>
    <s v="SMLN-2022-617-000477_x000a_SMLN-2022-612-000135"/>
    <x v="170"/>
  </r>
  <r>
    <d v="2022-06-21T00:00:00"/>
    <s v="VZ-2022-000681-02"/>
    <x v="4"/>
    <s v="Olejníček"/>
    <x v="381"/>
    <n v="2"/>
    <s v=" 1 ks zařízení s EMG modulem pro fyzikální terapii"/>
    <m/>
    <s v="33150000-6"/>
    <s v="2.3.619."/>
    <n v="720000"/>
    <x v="2"/>
    <d v="2022-06-27T00:00:00"/>
    <d v="2022-07-12T00:00:00"/>
    <d v="2022-07-26T00:00:00"/>
    <s v="MADISSON, s.r.o."/>
    <m/>
    <n v="202200"/>
    <n v="244662"/>
    <m/>
    <m/>
    <m/>
    <d v="2022-07-26T00:00:00"/>
    <s v="SMLN-2022-617-000478_x000a_SMLN-2022-612-000136"/>
    <x v="143"/>
  </r>
  <r>
    <d v="2022-06-21T00:00:00"/>
    <s v="VZ-2022-000683-01"/>
    <x v="0"/>
    <s v="Merta"/>
    <x v="382"/>
    <n v="1"/>
    <s v="Systém pro katetrovou implantaci aortální chlopně (TAVI) – samoexpandibilní I."/>
    <m/>
    <s v="33182220-7"/>
    <m/>
    <n v="125235000"/>
    <x v="0"/>
    <d v="2022-07-26T00:00:00"/>
    <d v="2022-08-29T00:00:00"/>
    <d v="2022-09-19T00:00:00"/>
    <s v="CARDION s.r.o."/>
    <m/>
    <n v="125235000"/>
    <n v="144020250"/>
    <m/>
    <m/>
    <m/>
    <d v="2022-09-19T00:00:00"/>
    <s v="SMLN-2022-617-000657 SMLN-2022-614-000077"/>
    <x v="66"/>
  </r>
  <r>
    <d v="2022-06-21T00:00:00"/>
    <s v="VZ-2022-000683-02"/>
    <x v="0"/>
    <s v="Merta"/>
    <x v="382"/>
    <n v="2"/>
    <s v="Systém pro katetrovou implantaci aortální chlopně (TAVI) – samoexpandibilní II."/>
    <m/>
    <s v="33182220-7"/>
    <m/>
    <n v="25047000"/>
    <x v="0"/>
    <d v="2022-07-26T00:00:00"/>
    <d v="2022-08-29T00:00:00"/>
    <d v="2022-11-01T00:00:00"/>
    <s v="Boston Scientific Česká republika s.r.o."/>
    <m/>
    <n v="25047000"/>
    <n v="30306870"/>
    <m/>
    <m/>
    <m/>
    <d v="2022-11-02T00:00:00"/>
    <s v="SMLN-2022-617-000771_x000a_SMLN-2022-614-000088"/>
    <x v="171"/>
  </r>
  <r>
    <d v="2022-06-21T00:00:00"/>
    <s v="VZ-2022-000683-03"/>
    <x v="0"/>
    <s v="Merta"/>
    <x v="382"/>
    <n v="3"/>
    <s v="Systém pro katetrovou implantaci aortální chlopně (TAVI) – balónexpandibilní I."/>
    <m/>
    <s v="33182220-7"/>
    <m/>
    <n v="106212660"/>
    <x v="0"/>
    <d v="2022-07-26T00:00:00"/>
    <d v="2022-08-29T00:00:00"/>
    <d v="2022-09-19T00:00:00"/>
    <s v="Edwards Lifesciences Czech Republic s.r.o."/>
    <m/>
    <n v="106212660"/>
    <n v="122144559"/>
    <m/>
    <m/>
    <m/>
    <d v="2022-09-19T00:00:00"/>
    <s v="SMLN-2022-617-000658 SMLN-2022-614-000078"/>
    <x v="172"/>
  </r>
  <r>
    <d v="2022-06-21T00:00:00"/>
    <s v="VZ-2022-000683-04"/>
    <x v="0"/>
    <s v="Merta"/>
    <x v="382"/>
    <n v="4"/>
    <s v="Systém pro katetrovou implantaci aortální chlopně (TAVI) – balónexpandibilní II."/>
    <m/>
    <s v="33182220-7"/>
    <m/>
    <n v="67157310"/>
    <x v="0"/>
    <d v="2022-07-26T00:00:00"/>
    <d v="2022-08-29T00:00:00"/>
    <d v="2022-09-19T00:00:00"/>
    <s v="Edwards Lifesciences Czech Republic s.r.o."/>
    <m/>
    <n v="67157310"/>
    <n v="77230906.5"/>
    <m/>
    <m/>
    <m/>
    <d v="2022-09-19T00:00:00"/>
    <s v="SMLN-2022-617-000659 SMLN-2022-614-000079"/>
    <x v="172"/>
  </r>
  <r>
    <d v="2022-06-21T00:00:00"/>
    <s v="VZ-2022-000685"/>
    <x v="0"/>
    <s v="Dočkalová"/>
    <x v="383"/>
    <m/>
    <m/>
    <m/>
    <s v="33168100-6"/>
    <m/>
    <n v="1018000"/>
    <x v="2"/>
    <d v="2022-06-24T00:00:00"/>
    <d v="2022-07-12T00:00:00"/>
    <d v="2022-07-18T00:00:00"/>
    <s v="OLYMPUS CZECH GROUP, s.r.o., člen koncernu"/>
    <m/>
    <n v="1128090"/>
    <n v="1364988.9"/>
    <m/>
    <m/>
    <m/>
    <d v="2022-07-18T00:00:00"/>
    <s v="SMLN-2022-617-000463"/>
    <x v="170"/>
  </r>
  <r>
    <d v="2022-06-23T00:00:00"/>
    <s v="VZ-2022-000687"/>
    <x v="0"/>
    <s v="Dočkalová"/>
    <x v="384"/>
    <m/>
    <m/>
    <m/>
    <s v="33182210-4"/>
    <m/>
    <n v="17913000"/>
    <x v="0"/>
    <d v="2022-06-27T00:00:00"/>
    <d v="2022-07-29T00:00:00"/>
    <d v="2022-08-19T00:00:00"/>
    <s v="MEDKOTECH s.r.o."/>
    <m/>
    <n v="17913000"/>
    <n v="20599950"/>
    <m/>
    <m/>
    <m/>
    <d v="2022-08-19T00:00:00"/>
    <s v="SMLN-2022-617-000569_x000a_SMLN-2022-614-000069_x000a_SMLN-2022-616-000033"/>
    <x v="120"/>
  </r>
  <r>
    <d v="2022-06-22T00:00:00"/>
    <s v="VZ-2022-000691"/>
    <x v="0"/>
    <s v="Dočkalová"/>
    <x v="385"/>
    <m/>
    <m/>
    <m/>
    <s v="33140000-3"/>
    <m/>
    <n v="1297500"/>
    <x v="2"/>
    <d v="2022-06-27T00:00:00"/>
    <d v="2022-07-08T00:00:00"/>
    <d v="2022-07-15T00:00:00"/>
    <s v="MEDIAL spol. s r.o."/>
    <m/>
    <n v="1297500"/>
    <n v="1569975"/>
    <m/>
    <m/>
    <m/>
    <d v="2022-07-15T00:00:00"/>
    <s v="SMLN-2022-617-000461"/>
    <x v="166"/>
  </r>
  <r>
    <d v="2022-06-22T00:00:00"/>
    <s v="VZ-2022-000699"/>
    <x v="6"/>
    <s v="Zdráhalová"/>
    <x v="386"/>
    <m/>
    <m/>
    <m/>
    <s v="33141620-2"/>
    <m/>
    <n v="4851200"/>
    <x v="0"/>
    <d v="2022-07-01T00:00:00"/>
    <d v="2022-08-24T00:00:00"/>
    <m/>
    <s v="zrušeno - úprava specifikace"/>
    <m/>
    <m/>
    <m/>
    <m/>
    <m/>
    <m/>
    <m/>
    <m/>
    <x v="4"/>
  </r>
  <r>
    <d v="2022-06-27T00:00:00"/>
    <s v="VZ-2022-000704"/>
    <x v="4"/>
    <s v="Olejníček"/>
    <x v="387"/>
    <m/>
    <m/>
    <m/>
    <s v="39711100-0"/>
    <s v="2.2.484."/>
    <n v="156700"/>
    <x v="2"/>
    <d v="2022-07-01T00:00:00"/>
    <d v="2022-07-14T00:00:00"/>
    <d v="2022-07-21T00:00:00"/>
    <s v="KRD-obchodní společnost s.r.o."/>
    <m/>
    <n v="147050"/>
    <n v="177930.5"/>
    <m/>
    <m/>
    <m/>
    <d v="2022-07-21T00:00:00"/>
    <s v="SMLN-2022-617-000471_x000a_SMLN-2022-612-000131"/>
    <x v="132"/>
  </r>
  <r>
    <d v="2022-06-27T00:00:00"/>
    <s v="VZ-2022-000706"/>
    <x v="9"/>
    <s v="Oravec"/>
    <x v="388"/>
    <m/>
    <m/>
    <m/>
    <s v="48821000-9"/>
    <s v="3.2.62."/>
    <n v="4620000"/>
    <x v="0"/>
    <d v="2022-07-01T00:00:00"/>
    <d v="2022-08-04T00:00:00"/>
    <d v="2022-08-15T00:00:00"/>
    <s v="ERISERV, spol. s r.o."/>
    <m/>
    <n v="4717616"/>
    <n v="5708315.3600000003"/>
    <m/>
    <m/>
    <m/>
    <d v="2022-08-15T00:00:00"/>
    <s v="SMLN-2022-617-000542"/>
    <x v="173"/>
  </r>
  <r>
    <d v="2022-06-24T00:00:00"/>
    <s v="VZ-2022-000707"/>
    <x v="1"/>
    <s v="Ondráčková"/>
    <x v="389"/>
    <m/>
    <m/>
    <m/>
    <s v="33694000-1"/>
    <s v="2.4.231"/>
    <n v="29700000"/>
    <x v="0"/>
    <d v="2022-09-02T00:00:00"/>
    <d v="2022-10-12T00:00:00"/>
    <m/>
    <m/>
    <m/>
    <m/>
    <m/>
    <m/>
    <m/>
    <m/>
    <m/>
    <m/>
    <x v="4"/>
  </r>
  <r>
    <d v="2022-06-28T00:00:00"/>
    <s v="VZ-2022-000713-01"/>
    <x v="1"/>
    <s v="Ondráčková"/>
    <x v="390"/>
    <n v="1"/>
    <s v="MENOTROPIN"/>
    <m/>
    <s v="33641300-8"/>
    <m/>
    <n v="958983"/>
    <x v="0"/>
    <d v="2022-07-15T00:00:00"/>
    <d v="2022-08-18T00:00:00"/>
    <m/>
    <s v="zrušeno - bez nabídky"/>
    <m/>
    <m/>
    <m/>
    <m/>
    <m/>
    <m/>
    <m/>
    <m/>
    <x v="4"/>
  </r>
  <r>
    <d v="2022-06-28T00:00:00"/>
    <s v="VZ-2022-000713-02"/>
    <x v="1"/>
    <s v="Ondráčková"/>
    <x v="390"/>
    <n v="2"/>
    <s v="FOLITROPIN ALFA"/>
    <m/>
    <s v="33641300-8"/>
    <m/>
    <n v="4291155"/>
    <x v="0"/>
    <d v="2022-07-15T00:00:00"/>
    <d v="2022-08-18T00:00:00"/>
    <m/>
    <s v="zrušeno - bez nabídky"/>
    <m/>
    <m/>
    <m/>
    <m/>
    <m/>
    <m/>
    <m/>
    <m/>
    <x v="4"/>
  </r>
  <r>
    <d v="2022-06-28T00:00:00"/>
    <s v="VZ-2022-000713-03"/>
    <x v="1"/>
    <s v="Ondráčková"/>
    <x v="390"/>
    <n v="3"/>
    <s v="CHORIONGONADOTROPIN ALFA"/>
    <m/>
    <s v="33641300-8"/>
    <m/>
    <n v="1852032"/>
    <x v="0"/>
    <d v="2022-07-15T00:00:00"/>
    <d v="2022-08-18T00:00:00"/>
    <d v="2022-09-19T00:00:00"/>
    <s v="Alliance Healthcare s.r.o."/>
    <m/>
    <n v="1851866.64"/>
    <n v="2037053.3"/>
    <m/>
    <m/>
    <m/>
    <d v="2022-09-19T00:00:00"/>
    <s v="SMLN-2022-617-000652"/>
    <x v="116"/>
  </r>
  <r>
    <d v="2022-06-28T00:00:00"/>
    <s v="VZ-2022-000713-04"/>
    <x v="1"/>
    <s v="Ondráčková"/>
    <x v="390"/>
    <n v="4"/>
    <s v="GONADOTROPINY v KOMBINACI"/>
    <m/>
    <s v="33641300-8"/>
    <m/>
    <n v="3157726"/>
    <x v="0"/>
    <d v="2022-07-15T00:00:00"/>
    <d v="2022-08-18T00:00:00"/>
    <d v="2022-09-19T00:00:00"/>
    <s v="Alliance Healthcare s.r.o."/>
    <m/>
    <n v="3104761.62"/>
    <n v="3415237.78"/>
    <m/>
    <m/>
    <m/>
    <d v="2022-09-19T00:00:00"/>
    <s v="SMLN-2022-617-000653"/>
    <x v="116"/>
  </r>
  <r>
    <d v="2022-06-28T00:00:00"/>
    <s v="VZ-2022-000714"/>
    <x v="1"/>
    <s v="Ondráčková"/>
    <x v="391"/>
    <m/>
    <m/>
    <m/>
    <s v="33622200-8"/>
    <m/>
    <n v="8941954"/>
    <x v="0"/>
    <d v="2022-07-15T00:00:00"/>
    <d v="2022-08-18T00:00:00"/>
    <d v="2022-09-16T00:00:00"/>
    <s v="Alliance Healthcare s.r.o."/>
    <m/>
    <n v="8657416.5"/>
    <n v="9523158.1500000004"/>
    <m/>
    <m/>
    <m/>
    <d v="2022-09-16T00:00:00"/>
    <s v="SMLN-2022-617-000650"/>
    <x v="116"/>
  </r>
  <r>
    <d v="2022-06-29T00:00:00"/>
    <s v="VZ-2022-000715-01"/>
    <x v="1"/>
    <s v="Ondráčková"/>
    <x v="392"/>
    <n v="1"/>
    <s v="OXYTOCIN"/>
    <m/>
    <s v="33642100-3"/>
    <m/>
    <n v="105064"/>
    <x v="2"/>
    <d v="2022-07-15T00:00:00"/>
    <d v="2022-07-26T00:00:00"/>
    <d v="2022-08-11T00:00:00"/>
    <s v="PHARMOS, a.s., a.s."/>
    <m/>
    <n v="60660"/>
    <n v="66726"/>
    <m/>
    <m/>
    <m/>
    <d v="2022-08-11T00:00:00"/>
    <s v="SMLN-2022-617-000527"/>
    <x v="128"/>
  </r>
  <r>
    <d v="2022-06-29T00:00:00"/>
    <s v="VZ-2022-000715-02"/>
    <x v="1"/>
    <s v="Ondráčková"/>
    <x v="392"/>
    <n v="2"/>
    <s v="KARBETOCIN"/>
    <m/>
    <s v="33642100-3"/>
    <m/>
    <n v="1575000"/>
    <x v="2"/>
    <d v="2022-07-15T00:00:00"/>
    <d v="2022-07-26T00:00:00"/>
    <d v="2022-08-11T00:00:00"/>
    <s v="PHARMOS, a.s., a.s."/>
    <m/>
    <n v="1452559.5"/>
    <n v="1597815.45"/>
    <m/>
    <m/>
    <m/>
    <d v="2022-08-11T00:00:00"/>
    <s v="SMLN-2022-617-000528"/>
    <x v="128"/>
  </r>
  <r>
    <d v="2022-06-29T00:00:00"/>
    <s v="VZ-2022-000716-01"/>
    <x v="1"/>
    <s v="Ondráčková"/>
    <x v="393"/>
    <n v="1"/>
    <s v="ADENOSIN "/>
    <m/>
    <s v="33622100-7"/>
    <m/>
    <n v="115534"/>
    <x v="1"/>
    <d v="2022-07-22T00:00:00"/>
    <d v="2022-08-11T00:00:00"/>
    <m/>
    <s v="zrušeno - bez nabídky"/>
    <m/>
    <m/>
    <m/>
    <m/>
    <m/>
    <m/>
    <m/>
    <m/>
    <x v="4"/>
  </r>
  <r>
    <d v="2022-06-29T00:00:00"/>
    <s v="VZ-2022-000716-02"/>
    <x v="1"/>
    <s v="Ondráčková"/>
    <x v="393"/>
    <n v="2"/>
    <s v="TRIMETAZIDIN-DIHYDROCHLORID "/>
    <m/>
    <s v="33622100-7"/>
    <m/>
    <n v="259347"/>
    <x v="1"/>
    <d v="2022-07-22T00:00:00"/>
    <d v="2022-08-11T00:00:00"/>
    <d v="2022-10-11T00:00:00"/>
    <s v="Alliance Healthcare s.r.o."/>
    <m/>
    <n v="256413.08"/>
    <n v="282054.39"/>
    <m/>
    <m/>
    <m/>
    <d v="2022-10-11T00:00:00"/>
    <s v="SMLN-2022-617-000703"/>
    <x v="91"/>
  </r>
  <r>
    <d v="2022-06-29T00:00:00"/>
    <s v="VZ-2022-000716-03"/>
    <x v="1"/>
    <s v="Ondráčková"/>
    <x v="393"/>
    <n v="3"/>
    <s v="IVABRADIN I."/>
    <m/>
    <s v="33622100-7"/>
    <m/>
    <n v="41288"/>
    <x v="1"/>
    <d v="2022-07-22T00:00:00"/>
    <d v="2022-08-11T00:00:00"/>
    <d v="2022-10-11T00:00:00"/>
    <s v="Alliance Healthcare s.r.o."/>
    <m/>
    <n v="40123.919999999998"/>
    <n v="44136.31"/>
    <m/>
    <m/>
    <m/>
    <d v="2022-10-11T00:00:00"/>
    <s v="SMLN-2022-617-000704"/>
    <x v="91"/>
  </r>
  <r>
    <d v="2022-06-29T00:00:00"/>
    <s v="VZ-2022-000716-04"/>
    <x v="1"/>
    <s v="Ondráčková"/>
    <x v="393"/>
    <n v="4"/>
    <s v="IVABRADIN II."/>
    <m/>
    <s v="33622100-7"/>
    <m/>
    <n v="471626"/>
    <x v="1"/>
    <d v="2022-07-22T00:00:00"/>
    <d v="2022-08-11T00:00:00"/>
    <d v="2022-10-11T00:00:00"/>
    <s v="PHOENIX lék.velkoobchod, s.r.o."/>
    <m/>
    <n v="515393.32"/>
    <n v="566932.65"/>
    <m/>
    <m/>
    <m/>
    <d v="2022-10-11T00:00:00"/>
    <s v="SMLN-2022-617-000705"/>
    <x v="151"/>
  </r>
  <r>
    <d v="2022-06-29T00:00:00"/>
    <s v="VZ-2022-000716-05"/>
    <x v="1"/>
    <s v="Ondráčková"/>
    <x v="393"/>
    <n v="5"/>
    <s v="REGADENOSON"/>
    <m/>
    <s v="33622100-7"/>
    <m/>
    <n v="1392000"/>
    <x v="1"/>
    <d v="2022-07-22T00:00:00"/>
    <d v="2022-08-11T00:00:00"/>
    <d v="2022-10-11T00:00:00"/>
    <s v="M.G.P. spol. s r.o."/>
    <m/>
    <n v="1392000"/>
    <n v="1531200"/>
    <m/>
    <m/>
    <m/>
    <d v="2022-10-11T00:00:00"/>
    <s v="SMLN-2022-617-000706"/>
    <x v="145"/>
  </r>
  <r>
    <s v="opakovaná VZ"/>
    <s v="VZ-2022-000717-01 "/>
    <x v="16"/>
    <s v="Klimek"/>
    <x v="394"/>
    <n v="1"/>
    <s v="Sanitní vozidla DNR typu A2"/>
    <m/>
    <s v="34114122-0"/>
    <s v="4.2.179."/>
    <n v="3250000"/>
    <x v="0"/>
    <d v="2022-07-26T00:00:00"/>
    <d v="2022-08-30T00:00:00"/>
    <d v="2022-09-08T00:00:00"/>
    <s v="PROSSAN CZ s.r.o."/>
    <m/>
    <n v="2992000"/>
    <n v="3620320"/>
    <m/>
    <m/>
    <m/>
    <d v="2022-09-08T00:00:00"/>
    <s v="SMLN-2022-617-000621"/>
    <x v="145"/>
  </r>
  <r>
    <s v="opakovaná VZ"/>
    <s v="VZ-2022-000717-02 "/>
    <x v="16"/>
    <s v="Klimek"/>
    <x v="394"/>
    <n v="2"/>
    <s v="Sanitní vozidlo DNR typu A2 s pohonem všech kol"/>
    <m/>
    <s v="34114122-0"/>
    <s v="4.2.179."/>
    <n v="1708000"/>
    <x v="0"/>
    <d v="2022-07-26T00:00:00"/>
    <d v="2022-08-30T00:00:00"/>
    <d v="2022-09-08T00:00:00"/>
    <s v="PROSSAN CZ s.r.o."/>
    <m/>
    <n v="1586000"/>
    <n v="1919060"/>
    <m/>
    <m/>
    <m/>
    <d v="2022-09-08T00:00:00"/>
    <s v="SMLN-2022-617-000622"/>
    <x v="145"/>
  </r>
  <r>
    <d v="2022-06-29T00:00:00"/>
    <s v="VZ-2022-000718"/>
    <x v="1"/>
    <s v="Ondráčková"/>
    <x v="395"/>
    <m/>
    <m/>
    <m/>
    <s v="33651400-2"/>
    <m/>
    <n v="1384722"/>
    <x v="2"/>
    <d v="2022-07-15T00:00:00"/>
    <d v="2022-07-27T00:00:00"/>
    <d v="2022-08-11T00:00:00"/>
    <s v="Alliance Healthcare s.r.o."/>
    <m/>
    <n v="1369268.64"/>
    <n v="1506195.5"/>
    <m/>
    <m/>
    <m/>
    <d v="2022-08-11T00:00:00"/>
    <s v="SMLN-2022-617-000531"/>
    <x v="128"/>
  </r>
  <r>
    <d v="2022-06-29T00:00:00"/>
    <s v="VZ-2022-000719-01"/>
    <x v="1"/>
    <s v="Ondráčková"/>
    <x v="396"/>
    <n v="1"/>
    <s v="TEMOZOLOMID I."/>
    <m/>
    <s v="33652000-5"/>
    <m/>
    <n v="2600111"/>
    <x v="0"/>
    <d v="2022-07-15T00:00:00"/>
    <d v="2022-08-30T00:00:00"/>
    <d v="2022-10-18T00:00:00"/>
    <s v="PHOENIX lék.velkoobchod, s.r.o."/>
    <m/>
    <n v="2374529.16"/>
    <n v="2611982.08"/>
    <m/>
    <m/>
    <m/>
    <d v="2022-10-18T00:00:00"/>
    <s v="SMLN-2022-617-000729"/>
    <x v="133"/>
  </r>
  <r>
    <d v="2022-06-29T00:00:00"/>
    <s v="VZ-2022-000719-02"/>
    <x v="1"/>
    <s v="Ondráčková"/>
    <x v="396"/>
    <n v="2"/>
    <s v="TEMOZOLOMID II."/>
    <m/>
    <s v="33652000-5"/>
    <m/>
    <n v="2600111"/>
    <x v="0"/>
    <d v="2022-07-15T00:00:00"/>
    <d v="2022-08-30T00:00:00"/>
    <d v="2022-10-18T00:00:00"/>
    <s v="PROMEDICA PRAHA GROUP, a.s."/>
    <m/>
    <n v="2548111.88"/>
    <n v="2802923.07"/>
    <m/>
    <m/>
    <m/>
    <d v="2022-10-18T00:00:00"/>
    <s v="SMLN-2022-617-000730"/>
    <x v="147"/>
  </r>
  <r>
    <d v="2022-06-29T00:00:00"/>
    <s v="VZ-2022-000719-03"/>
    <x v="1"/>
    <s v="Ondráčková"/>
    <x v="396"/>
    <n v="3"/>
    <s v="DAKARBAZIN"/>
    <m/>
    <s v="33652000-5"/>
    <m/>
    <n v="567674"/>
    <x v="0"/>
    <d v="2022-07-15T00:00:00"/>
    <d v="2022-08-30T00:00:00"/>
    <d v="2022-10-18T00:00:00"/>
    <s v="PHOENIX lék.velkoobchod, s.r.o."/>
    <m/>
    <n v="558168"/>
    <n v="613984.80000000005"/>
    <m/>
    <m/>
    <m/>
    <d v="2022-10-18T00:00:00"/>
    <s v="SMLN-2022-617-000731"/>
    <x v="133"/>
  </r>
  <r>
    <d v="2022-06-30T00:00:00"/>
    <s v="VZ-2022-000720-01"/>
    <x v="0"/>
    <s v="Dočkalová"/>
    <x v="397"/>
    <n v="1"/>
    <s v="Katetry Fogarty  arteriální embolektomické"/>
    <m/>
    <s v="33140000-3 "/>
    <m/>
    <n v="582348"/>
    <x v="2"/>
    <d v="2022-07-11T00:00:00"/>
    <d v="2022-07-26T00:00:00"/>
    <d v="2022-08-17T00:00:00"/>
    <s v="Moravia Medizintechnik s.r.o."/>
    <m/>
    <n v="556311"/>
    <n v="673136.31"/>
    <m/>
    <m/>
    <m/>
    <d v="2022-08-17T00:00:00"/>
    <s v="SMLN-2022-617-000556"/>
    <x v="107"/>
  </r>
  <r>
    <d v="2022-06-30T00:00:00"/>
    <s v="VZ-2022-000720-02"/>
    <x v="0"/>
    <s v="Dočkalová"/>
    <x v="397"/>
    <n v="2"/>
    <s v="Katetry Fogarty trombektomické pro cévní protézy"/>
    <m/>
    <s v="33140000-3 "/>
    <m/>
    <n v="1079373"/>
    <x v="2"/>
    <d v="2022-07-11T00:00:00"/>
    <d v="2022-07-26T00:00:00"/>
    <m/>
    <s v="zrušeno - neekonomická nabídka"/>
    <s v="VZ-2023-000797"/>
    <m/>
    <m/>
    <m/>
    <m/>
    <m/>
    <m/>
    <m/>
    <x v="4"/>
  </r>
  <r>
    <d v="2022-07-01T00:00:00"/>
    <s v="VZ-2022-000723"/>
    <x v="0"/>
    <s v="Valtová"/>
    <x v="398"/>
    <m/>
    <m/>
    <m/>
    <s v="33140000-3"/>
    <m/>
    <n v="1360000"/>
    <x v="2"/>
    <d v="2022-07-25T00:00:00"/>
    <d v="2022-08-03T00:00:00"/>
    <d v="2022-08-16T00:00:00"/>
    <s v="ARID obchodní společnost, s.r.o."/>
    <m/>
    <n v="1360000"/>
    <n v="1645600"/>
    <m/>
    <m/>
    <m/>
    <d v="2022-08-16T00:00:00"/>
    <s v="SMLN-2022-617-000547_x000a_SMLN-2022-614-000068"/>
    <x v="107"/>
  </r>
  <r>
    <d v="2022-07-07T00:00:00"/>
    <s v="VZ-2022-000729"/>
    <x v="11"/>
    <s v="Cahlíková"/>
    <x v="399"/>
    <m/>
    <m/>
    <m/>
    <s v="72225000-8"/>
    <m/>
    <n v="200000"/>
    <x v="2"/>
    <d v="2022-07-07T00:00:00"/>
    <d v="2022-07-21T00:00:00"/>
    <d v="2022-07-26T00:00:00"/>
    <s v="Consult Hospital s.r.o."/>
    <m/>
    <n v="195000"/>
    <n v="235950"/>
    <m/>
    <m/>
    <m/>
    <d v="2022-07-26T00:00:00"/>
    <s v="SMLN-2022-612-000134"/>
    <x v="173"/>
  </r>
  <r>
    <d v="2022-07-01T00:00:00"/>
    <s v="VZ-2022-000730"/>
    <x v="0"/>
    <s v="Dočkalová"/>
    <x v="400"/>
    <m/>
    <m/>
    <m/>
    <s v="33140000-3 "/>
    <m/>
    <n v="4079520"/>
    <x v="0"/>
    <d v="2022-07-15T00:00:00"/>
    <d v="2022-08-18T00:00:00"/>
    <d v="2022-09-15T00:00:00"/>
    <s v="Mölnlycke Health Care, s.r.o."/>
    <m/>
    <n v="4327776"/>
    <n v="5236608.96"/>
    <m/>
    <m/>
    <m/>
    <d v="2022-09-15T00:00:00"/>
    <s v="SMLN-2022-617-000648"/>
    <x v="174"/>
  </r>
  <r>
    <d v="2022-07-07T00:00:00"/>
    <s v="VZ-2022-000732"/>
    <x v="4"/>
    <s v="Olejníček"/>
    <x v="401"/>
    <m/>
    <m/>
    <m/>
    <s v="33168100-6"/>
    <s v="2.3.676"/>
    <n v="150000"/>
    <x v="0"/>
    <d v="2022-07-15T00:00:00"/>
    <d v="2022-08-18T00:00:00"/>
    <d v="2022-09-02T00:00:00"/>
    <s v="OLYMPUS CZECH GROUP, s.r.o., člen koncernu"/>
    <m/>
    <n v="128440"/>
    <n v="155412.4"/>
    <m/>
    <m/>
    <m/>
    <d v="2022-09-02T00:00:00"/>
    <s v="SMLN-2022-617-000612_x000a_SMLN-2022-612-000185"/>
    <x v="66"/>
  </r>
  <r>
    <d v="2022-07-07T00:00:00"/>
    <s v="VZ-2022-000733-01"/>
    <x v="4"/>
    <s v="Olejníček"/>
    <x v="402"/>
    <n v="1"/>
    <s v="Mobilní přístroj pro aktivní nebo pasivní imobilizaci končetin"/>
    <m/>
    <s v="33155000-1"/>
    <s v="2.2.249"/>
    <n v="155300"/>
    <x v="2"/>
    <d v="2022-07-12T00:00:00"/>
    <d v="2022-08-02T00:00:00"/>
    <m/>
    <s v="zrušeno - bez nabídky"/>
    <m/>
    <m/>
    <m/>
    <m/>
    <m/>
    <m/>
    <m/>
    <m/>
    <x v="4"/>
  </r>
  <r>
    <d v="2022-07-07T00:00:00"/>
    <s v="VZ-2022-000733-02"/>
    <x v="4"/>
    <s v="Olejníček"/>
    <x v="402"/>
    <n v="2"/>
    <s v="Motodlaha"/>
    <m/>
    <s v="33155000-1"/>
    <s v="2.2.460"/>
    <n v="200000"/>
    <x v="2"/>
    <d v="2022-07-12T00:00:00"/>
    <d v="2022-08-02T00:00:00"/>
    <d v="2022-08-11T00:00:00"/>
    <s v="Fidia Pharma CZ, s.r.o."/>
    <m/>
    <n v="100325"/>
    <n v="121393.25"/>
    <m/>
    <m/>
    <m/>
    <d v="2022-08-11T00:00:00"/>
    <s v="SMLN-2022-617-000535_x000a_SMLN-2022-612-000157"/>
    <x v="103"/>
  </r>
  <r>
    <d v="2022-07-07T00:00:00"/>
    <s v="VZ-2022-000733-03"/>
    <x v="4"/>
    <s v="Olejníček"/>
    <x v="402"/>
    <n v="3"/>
    <s v="Rotoped rehabilitační"/>
    <m/>
    <s v="33155000-1"/>
    <s v="2.2.654"/>
    <n v="135000"/>
    <x v="2"/>
    <d v="2022-07-12T00:00:00"/>
    <d v="2022-08-02T00:00:00"/>
    <m/>
    <s v="zrušeno - bez nabídky"/>
    <m/>
    <m/>
    <m/>
    <m/>
    <m/>
    <m/>
    <m/>
    <m/>
    <x v="4"/>
  </r>
  <r>
    <d v="2022-07-07T00:00:00"/>
    <s v="VZ-2022-000734"/>
    <x v="4"/>
    <s v="Olejníček"/>
    <x v="403"/>
    <m/>
    <m/>
    <m/>
    <s v="33100000-1"/>
    <s v="2.2.479"/>
    <n v="958000"/>
    <x v="0"/>
    <d v="2022-07-20T00:00:00"/>
    <d v="2022-08-24T00:00:00"/>
    <d v="2022-09-12T00:00:00"/>
    <s v="BIO-RAD spol.s r.o."/>
    <m/>
    <n v="847091"/>
    <n v="1024980.11"/>
    <m/>
    <m/>
    <m/>
    <d v="2022-09-13T00:00:00"/>
    <s v="SMLN-2022-617-000631 SMLN-2022-612-000191"/>
    <x v="65"/>
  </r>
  <r>
    <d v="2022-07-07T00:00:00"/>
    <s v="VZ-2022-000736"/>
    <x v="4"/>
    <s v="Olejníček"/>
    <x v="404"/>
    <m/>
    <m/>
    <m/>
    <s v="38432200-4"/>
    <s v="2.3.630"/>
    <n v="935000"/>
    <x v="2"/>
    <d v="2022-07-25T00:00:00"/>
    <d v="2022-08-04T00:00:00"/>
    <d v="2022-08-11T00:00:00"/>
    <s v="Shimadzu Handels GmbH-organizační složka"/>
    <m/>
    <n v="937121"/>
    <n v="1133916.4099999999"/>
    <m/>
    <m/>
    <m/>
    <d v="2022-08-11T00:00:00"/>
    <s v="SMLN-2022-617-000536_x000a_SMLN-2022-612-000158"/>
    <x v="101"/>
  </r>
  <r>
    <d v="2022-07-13T00:00:00"/>
    <s v="VZ-2022-000743"/>
    <x v="15"/>
    <s v="Jeřábková"/>
    <x v="405"/>
    <m/>
    <m/>
    <m/>
    <s v="55110000-4"/>
    <m/>
    <n v="750000"/>
    <x v="2"/>
    <d v="2022-07-20T00:00:00"/>
    <d v="2022-07-29T00:00:00"/>
    <m/>
    <s v="zrušeno - nevyhovující nabídka, příliš drahá"/>
    <s v="nová VZ-2022-000854"/>
    <m/>
    <m/>
    <m/>
    <m/>
    <m/>
    <m/>
    <m/>
    <x v="4"/>
  </r>
  <r>
    <d v="2022-07-07T00:00:00"/>
    <s v="VZ-2022-000745"/>
    <x v="4"/>
    <s v="Olejníček"/>
    <x v="406"/>
    <m/>
    <m/>
    <m/>
    <s v="33182100-0"/>
    <s v="2.3.677"/>
    <n v="69000"/>
    <x v="2"/>
    <d v="2022-07-14T00:00:00"/>
    <d v="2022-07-26T00:00:00"/>
    <d v="2022-08-29T00:00:00"/>
    <s v="Medsol s.r.o."/>
    <m/>
    <n v="61956"/>
    <n v="74966.759999999995"/>
    <m/>
    <m/>
    <m/>
    <d v="2022-08-29T00:00:00"/>
    <s v="SMLN-2022-617-000596_x000a_SMLN-2022-612-000177"/>
    <x v="162"/>
  </r>
  <r>
    <d v="2022-07-13T00:00:00"/>
    <s v="VZ-2022-000746"/>
    <x v="2"/>
    <s v="Valíček"/>
    <x v="407"/>
    <m/>
    <m/>
    <m/>
    <s v="71000000-8"/>
    <s v="1.2.96"/>
    <n v="1200000"/>
    <x v="1"/>
    <d v="2022-07-15T00:00:00"/>
    <d v="2022-08-02T00:00:00"/>
    <d v="2022-08-04T00:00:00"/>
    <s v="M&amp;B eProjekce s.r.o."/>
    <m/>
    <n v="1170000"/>
    <n v="1415700"/>
    <m/>
    <m/>
    <m/>
    <d v="2022-08-04T00:00:00"/>
    <s v="SMLN-2022-618-000048"/>
    <x v="33"/>
  </r>
  <r>
    <d v="2022-07-12T00:00:00"/>
    <s v="VZ-2022-000749"/>
    <x v="8"/>
    <s v="Kadlec"/>
    <x v="408"/>
    <m/>
    <m/>
    <m/>
    <s v="45453000-7"/>
    <m/>
    <n v="3500000"/>
    <x v="2"/>
    <d v="2022-07-19T00:00:00"/>
    <d v="2022-08-09T00:00:00"/>
    <d v="2022-08-18T00:00:00"/>
    <s v="SEADON s.r.o."/>
    <m/>
    <n v="2648078"/>
    <n v="3204174.38"/>
    <m/>
    <m/>
    <m/>
    <d v="2022-08-18T00:00:00"/>
    <s v="SMLN-2022-618-000052"/>
    <x v="127"/>
  </r>
  <r>
    <d v="2022-07-14T00:00:00"/>
    <s v="VZ-2022-000752-01"/>
    <x v="1"/>
    <s v="Ondráčková"/>
    <x v="409"/>
    <n v="1"/>
    <s v="AVATROMBOPAG"/>
    <m/>
    <s v="33652000-5"/>
    <m/>
    <n v="663784"/>
    <x v="0"/>
    <d v="2022-07-22T00:00:00"/>
    <d v="2022-08-26T00:00:00"/>
    <d v="2022-09-14T00:00:00"/>
    <s v="PHARMOS, a.s., a.s."/>
    <m/>
    <n v="663782.01"/>
    <n v="730160.21"/>
    <m/>
    <m/>
    <m/>
    <d v="2022-09-14T00:00:00"/>
    <s v="SMLN-2022-617-000641"/>
    <x v="117"/>
  </r>
  <r>
    <d v="2022-07-14T00:00:00"/>
    <s v="VZ-2022-000752-02"/>
    <x v="1"/>
    <s v="Ondráčková"/>
    <x v="409"/>
    <n v="2"/>
    <s v="FOSTAMATINIB"/>
    <m/>
    <s v="33652000-5"/>
    <m/>
    <n v="5234100"/>
    <x v="0"/>
    <d v="2022-07-22T00:00:00"/>
    <d v="2022-08-26T00:00:00"/>
    <d v="2022-09-14T00:00:00"/>
    <s v="Grifols s.r.o."/>
    <m/>
    <n v="5234100"/>
    <n v="5757510"/>
    <m/>
    <m/>
    <m/>
    <d v="2022-09-14T00:00:00"/>
    <s v="SMLN-2022-617-000642"/>
    <x v="65"/>
  </r>
  <r>
    <d v="2022-07-14T00:00:00"/>
    <s v="VZ-2022-000753-01"/>
    <x v="1"/>
    <s v="Ondráčková"/>
    <x v="410"/>
    <n v="1"/>
    <s v="MOGAMULIZUMAB"/>
    <m/>
    <s v="33652000-5"/>
    <m/>
    <n v="1769897"/>
    <x v="0"/>
    <d v="2022-07-26T00:00:00"/>
    <d v="2022-08-29T00:00:00"/>
    <d v="2022-10-19T00:00:00"/>
    <s v="Alliance Healthcare s.r.o."/>
    <m/>
    <n v="1769896.2"/>
    <n v="1946885.82"/>
    <m/>
    <m/>
    <m/>
    <d v="2022-10-19T00:00:00"/>
    <s v="SMLN-2022-617-000736"/>
    <x v="152"/>
  </r>
  <r>
    <d v="2022-07-14T00:00:00"/>
    <s v="VZ-2022-000753-02"/>
    <x v="1"/>
    <s v="Ondráčková"/>
    <x v="410"/>
    <n v="2"/>
    <s v="IPILIMUMAB"/>
    <m/>
    <s v="33652000-5"/>
    <m/>
    <n v="51429393"/>
    <x v="0"/>
    <d v="2022-07-26T00:00:00"/>
    <d v="2022-08-29T00:00:00"/>
    <d v="2022-10-19T00:00:00"/>
    <s v="Bristol-Myers Squibb spol. s r.o."/>
    <m/>
    <n v="44291583.75"/>
    <n v="48720742.130000003"/>
    <m/>
    <m/>
    <m/>
    <d v="2022-10-19T00:00:00"/>
    <s v="SMLN-2022-617-000737"/>
    <x v="4"/>
  </r>
  <r>
    <d v="2022-07-14T00:00:00"/>
    <s v="VZ-2022-000753-03"/>
    <x v="1"/>
    <s v="Ondráčková"/>
    <x v="410"/>
    <n v="3"/>
    <s v="BELANTAMAB MAFODOTIN"/>
    <m/>
    <s v="33652000-5"/>
    <m/>
    <n v="23966043"/>
    <x v="0"/>
    <d v="2022-07-26T00:00:00"/>
    <d v="2022-08-29T00:00:00"/>
    <d v="2022-10-19T00:00:00"/>
    <s v="PHOENIX lék.velkoobchod, s.r.o."/>
    <m/>
    <n v="23370246.120000001"/>
    <n v="25707270.73"/>
    <m/>
    <m/>
    <m/>
    <d v="2022-10-19T00:00:00"/>
    <s v="SMLN-2022-617-000738"/>
    <x v="165"/>
  </r>
  <r>
    <d v="2022-07-14T00:00:00"/>
    <s v="VZ-2022-000754-01"/>
    <x v="1"/>
    <s v="Ondráčková"/>
    <x v="411"/>
    <n v="1"/>
    <s v="PARATHORMON"/>
    <m/>
    <s v="33642000-2"/>
    <m/>
    <n v="43814660"/>
    <x v="0"/>
    <d v="2022-07-22T00:00:00"/>
    <d v="2022-10-03T00:00:00"/>
    <d v="2022-11-15T00:00:00"/>
    <s v="Takeda Pharmaceuticals Czech Republic s.r.o."/>
    <m/>
    <n v="43814657.700000003"/>
    <n v="48196123.469999999"/>
    <m/>
    <m/>
    <m/>
    <d v="2022-11-15T00:00:00"/>
    <s v="SMLN-2022-617-000801"/>
    <x v="134"/>
  </r>
  <r>
    <d v="2022-07-14T00:00:00"/>
    <s v="VZ-2022-000754-02"/>
    <x v="1"/>
    <s v="Ondráčková"/>
    <x v="411"/>
    <n v="2"/>
    <s v="RAVULIZUMAB"/>
    <m/>
    <s v="33652300-8"/>
    <m/>
    <n v="24884591"/>
    <x v="0"/>
    <d v="2022-07-22T00:00:00"/>
    <d v="2022-10-03T00:00:00"/>
    <d v="2022-11-15T00:00:00"/>
    <s v="PHOENIX lék.velkoobchod, s.r.o."/>
    <m/>
    <n v="24884590.5"/>
    <n v="27373049.550000001"/>
    <m/>
    <m/>
    <m/>
    <d v="2022-11-15T00:00:00"/>
    <s v="SMLN-2022-617-000802"/>
    <x v="92"/>
  </r>
  <r>
    <d v="2022-07-14T00:00:00"/>
    <s v="VZ-2022-000755-01"/>
    <x v="1"/>
    <s v="Ondráčková"/>
    <x v="412"/>
    <n v="1"/>
    <s v="ENTREKTINIB"/>
    <m/>
    <s v="33652000-5"/>
    <m/>
    <n v="4122224"/>
    <x v="0"/>
    <d v="2022-07-22T00:00:00"/>
    <d v="2022-09-16T00:00:00"/>
    <d v="2022-10-26T00:00:00"/>
    <s v="ROCHE s.r.o."/>
    <m/>
    <n v="2397077.1"/>
    <n v="2636784.81"/>
    <m/>
    <m/>
    <m/>
    <d v="2022-10-26T00:00:00"/>
    <s v="SMLN-2022-617-000760"/>
    <x v="164"/>
  </r>
  <r>
    <d v="2022-07-14T00:00:00"/>
    <s v="VZ-2022-000755-02"/>
    <x v="1"/>
    <s v="Ondráčková"/>
    <x v="412"/>
    <n v="2"/>
    <s v="FEDRATINIB"/>
    <m/>
    <s v="33652000-5"/>
    <m/>
    <n v="12762744"/>
    <x v="0"/>
    <d v="2022-07-22T00:00:00"/>
    <d v="2022-09-16T00:00:00"/>
    <d v="2022-10-26T00:00:00"/>
    <s v="PHOENIX lék.velkoobchod, s.r.o."/>
    <m/>
    <n v="12762743.4"/>
    <n v="14039017.74"/>
    <m/>
    <m/>
    <m/>
    <d v="2022-10-26T00:00:00"/>
    <s v="SMLN-2022-617-000761"/>
    <x v="134"/>
  </r>
  <r>
    <d v="2022-07-14T00:00:00"/>
    <s v="VZ-2022-000756-01"/>
    <x v="1"/>
    <s v="Ondráčková"/>
    <x v="413"/>
    <n v="1"/>
    <s v="BEXAROTEN"/>
    <m/>
    <s v="33652300-8"/>
    <m/>
    <n v="917428"/>
    <x v="0"/>
    <d v="2022-08-23T00:00:00"/>
    <d v="2022-11-09T00:00:00"/>
    <m/>
    <m/>
    <m/>
    <m/>
    <m/>
    <m/>
    <m/>
    <m/>
    <m/>
    <m/>
    <x v="4"/>
  </r>
  <r>
    <d v="2022-07-14T00:00:00"/>
    <s v="VZ-2022-000756-02"/>
    <x v="1"/>
    <s v="Ondráčková"/>
    <x v="413"/>
    <n v="2"/>
    <s v="PERTUZUMAB A TRASTUZUMAB"/>
    <m/>
    <s v="33652300-8"/>
    <m/>
    <n v="2337932"/>
    <x v="0"/>
    <d v="2022-08-23T00:00:00"/>
    <d v="2022-11-09T00:00:00"/>
    <m/>
    <m/>
    <m/>
    <m/>
    <m/>
    <m/>
    <m/>
    <m/>
    <m/>
    <m/>
    <x v="4"/>
  </r>
  <r>
    <d v="2022-07-14T00:00:00"/>
    <s v="VZ-2022-000756-03"/>
    <x v="1"/>
    <s v="Ondráčková"/>
    <x v="413"/>
    <n v="3"/>
    <s v="CYTARABIN A DAUNORUBICIN"/>
    <m/>
    <s v="33652300-8"/>
    <m/>
    <n v="14089353"/>
    <x v="0"/>
    <d v="2022-08-23T00:00:00"/>
    <d v="2022-11-09T00:00:00"/>
    <m/>
    <m/>
    <m/>
    <m/>
    <m/>
    <m/>
    <m/>
    <m/>
    <m/>
    <m/>
    <x v="4"/>
  </r>
  <r>
    <d v="2022-07-11T00:00:00"/>
    <s v="VZ-2022-000766"/>
    <x v="4"/>
    <s v="Novák"/>
    <x v="414"/>
    <m/>
    <m/>
    <m/>
    <s v="39143123-4"/>
    <m/>
    <n v="1660000"/>
    <x v="2"/>
    <d v="2022-08-08T00:00:00"/>
    <d v="2022-08-17T00:00:00"/>
    <d v="2022-09-08T00:00:00"/>
    <s v="INDUBIA s.r.o."/>
    <m/>
    <n v="1696688"/>
    <n v="2052992.48"/>
    <m/>
    <m/>
    <m/>
    <d v="2022-09-08T00:00:00"/>
    <s v="SMLN-2022-617-000623_x000a_SMLN-2022-612-000189"/>
    <x v="175"/>
  </r>
  <r>
    <d v="2022-06-28T00:00:00"/>
    <s v="VZ-2022-000768-01"/>
    <x v="0"/>
    <s v="Valtová"/>
    <x v="415"/>
    <n v="1"/>
    <s v="14.5. Stengrafty aortální hrudní - proximální část"/>
    <m/>
    <s v="33140000-3"/>
    <m/>
    <n v="2580000"/>
    <x v="0"/>
    <d v="2022-07-26T00:00:00"/>
    <d v="2022-08-30T00:00:00"/>
    <d v="2022-10-13T00:00:00"/>
    <s v="ARID obchodní společnost, s.r.o."/>
    <m/>
    <n v="2580000"/>
    <n v="2967000"/>
    <m/>
    <m/>
    <m/>
    <d v="2022-10-13T00:00:00"/>
    <s v="SMLN-2022-617-000713_x000a_SMLN-2022-614-000080"/>
    <x v="147"/>
  </r>
  <r>
    <d v="2022-06-28T00:00:00"/>
    <s v="VZ-2022-000768-02"/>
    <x v="0"/>
    <s v="Valtová"/>
    <x v="415"/>
    <n v="2"/>
    <s v="14.8. Stengrafty aortální bifurkační břišní I."/>
    <m/>
    <s v="33140000-3"/>
    <m/>
    <n v="4110000"/>
    <x v="0"/>
    <d v="2022-07-26T00:00:00"/>
    <d v="2022-08-30T00:00:00"/>
    <d v="2022-10-13T00:00:00"/>
    <s v="ARID obchodní společnost, s.r.o."/>
    <m/>
    <n v="4110000"/>
    <n v="4726500"/>
    <m/>
    <m/>
    <m/>
    <d v="2022-10-13T00:00:00"/>
    <s v="SMLN-2022-617-000714_x000a_SMLN-2022-614-000081"/>
    <x v="147"/>
  </r>
  <r>
    <d v="2022-06-28T00:00:00"/>
    <s v="VZ-2022-000768-03"/>
    <x v="0"/>
    <s v="Valtová"/>
    <x v="415"/>
    <n v="3"/>
    <s v="14.9. Stengrafty tubulární do kompletu k tělu bifurkačního břišního aortálního stentgraftu, extenzní pro pravou a levou nožičku"/>
    <m/>
    <s v="33140000-3"/>
    <m/>
    <n v="8384200"/>
    <x v="0"/>
    <d v="2022-07-26T00:00:00"/>
    <d v="2022-08-30T00:00:00"/>
    <d v="2022-10-13T00:00:00"/>
    <s v="ARID obchodní společnost, s.r.o."/>
    <m/>
    <n v="8384200"/>
    <n v="9641830"/>
    <m/>
    <m/>
    <m/>
    <d v="2022-10-13T00:00:00"/>
    <s v="SMLN-2022-617-000715_x000a_SMLN-2022-614-000082"/>
    <x v="147"/>
  </r>
  <r>
    <d v="2022-06-28T00:00:00"/>
    <s v="VZ-2022-000768-04"/>
    <x v="0"/>
    <s v="Valtová"/>
    <x v="415"/>
    <n v="4"/>
    <s v="14.10. Stengrafty aorutální bifurkační břišní II. - tělo+nožička"/>
    <m/>
    <s v="33140000-3"/>
    <m/>
    <n v="4362500"/>
    <x v="0"/>
    <d v="2022-07-26T00:00:00"/>
    <d v="2022-08-30T00:00:00"/>
    <d v="2022-10-13T00:00:00"/>
    <s v="ARID obchodní společnost, s.r.o."/>
    <m/>
    <n v="4362500"/>
    <n v="5016875"/>
    <m/>
    <m/>
    <m/>
    <d v="2022-10-13T00:00:00"/>
    <s v="SMLN-2022-617-000716_x000a_SMLN-2022-614-000083"/>
    <x v="147"/>
  </r>
  <r>
    <d v="2022-06-28T00:00:00"/>
    <s v="VZ-2022-000768-05"/>
    <x v="0"/>
    <s v="Valtová"/>
    <x v="415"/>
    <n v="5"/>
    <s v=" 14.15. Stentgraft vaskulární aortální thorako-abdominální tubulární+konický"/>
    <m/>
    <s v="33140000-3"/>
    <m/>
    <n v="3785500"/>
    <x v="0"/>
    <d v="2022-07-26T00:00:00"/>
    <d v="2022-08-30T00:00:00"/>
    <d v="2022-10-13T00:00:00"/>
    <s v="ARID obchodní společnost, s.r.o."/>
    <m/>
    <n v="3785500"/>
    <n v="4353325"/>
    <m/>
    <m/>
    <m/>
    <d v="2022-10-13T00:00:00"/>
    <s v="SMLN-2022-617-000717_x000a_SMLN-2022-614-000084"/>
    <x v="147"/>
  </r>
  <r>
    <d v="2022-07-07T00:00:00"/>
    <s v="VZ-2022-000769"/>
    <x v="4"/>
    <s v="Zemánek"/>
    <x v="416"/>
    <m/>
    <m/>
    <m/>
    <s v="33194100-7"/>
    <m/>
    <n v="42000000"/>
    <x v="0"/>
    <d v="2022-09-02T00:00:00"/>
    <d v="2022-10-06T00:00:00"/>
    <d v="2022-11-04T00:00:00"/>
    <s v="B. Braun Medical s.r.o."/>
    <m/>
    <n v="55760214.439999998"/>
    <n v="67469859.469999999"/>
    <m/>
    <m/>
    <m/>
    <d v="2022-11-04T00:00:00"/>
    <s v="SMLN-2022-617-000779_x000a_SMLN-2022-612-000211_x000a_SMLN-2022-617-000780"/>
    <x v="176"/>
  </r>
  <r>
    <d v="2022-07-08T00:00:00"/>
    <s v="VZ-2022-000779"/>
    <x v="4"/>
    <s v="Novák"/>
    <x v="417"/>
    <m/>
    <m/>
    <m/>
    <s v="39143210-1"/>
    <m/>
    <n v="610000"/>
    <x v="2"/>
    <d v="2022-07-28T00:00:00"/>
    <d v="2022-08-10T00:00:00"/>
    <d v="2022-08-25T00:00:00"/>
    <s v="LINET spol. s r.o."/>
    <m/>
    <n v="419582"/>
    <n v="507694.22"/>
    <m/>
    <m/>
    <m/>
    <d v="2022-08-25T00:00:00"/>
    <s v="SMLN-2022-617-000591_x000a_SMLN-2022-612-000174"/>
    <x v="156"/>
  </r>
  <r>
    <d v="2022-07-11T00:00:00"/>
    <s v="VZ-2022-000784"/>
    <x v="5"/>
    <s v="Srovnal"/>
    <x v="418"/>
    <m/>
    <m/>
    <m/>
    <s v="38341300-0"/>
    <m/>
    <n v="3200000"/>
    <x v="1"/>
    <d v="2022-07-26T00:00:00"/>
    <d v="2022-08-19T00:00:00"/>
    <d v="2022-09-09T00:00:00"/>
    <s v="MEgA - Měřící Energetické Aparáty, a.s."/>
    <m/>
    <n v="3193800"/>
    <n v="3864498"/>
    <m/>
    <m/>
    <m/>
    <d v="2022-09-09T00:00:00"/>
    <s v="SMLN-2022-612-000190"/>
    <x v="66"/>
  </r>
  <r>
    <d v="2022-06-30T00:00:00"/>
    <s v="VZ-2022-000787"/>
    <x v="0"/>
    <s v="Valtová"/>
    <x v="419"/>
    <m/>
    <m/>
    <m/>
    <s v="33140000-3"/>
    <m/>
    <n v="3841734.5"/>
    <x v="0"/>
    <d v="2022-08-02T00:00:00"/>
    <d v="2022-09-05T00:00:00"/>
    <d v="2022-10-14T00:00:00"/>
    <s v="CARDION s.r.o."/>
    <m/>
    <n v="3841694.21"/>
    <n v="4648450"/>
    <m/>
    <m/>
    <m/>
    <d v="2022-10-14T00:00:00"/>
    <s v="SMLN-2022-617-000723_x000a_SMLN-2022-614-000085"/>
    <x v="4"/>
  </r>
  <r>
    <d v="2022-06-29T00:00:00"/>
    <s v="VZ-2022-000788-01"/>
    <x v="0"/>
    <s v="Valtová"/>
    <x v="420"/>
    <n v="1"/>
    <s v="Oxygenátory a hadicové sety"/>
    <m/>
    <s v="33140000-3"/>
    <m/>
    <n v="23889652"/>
    <x v="0"/>
    <d v="2022-08-05T00:00:00"/>
    <d v="2022-09-07T00:00:00"/>
    <m/>
    <s v="zrušeno - úprava specifikace"/>
    <s v="nová VZ-2022-000930"/>
    <m/>
    <m/>
    <m/>
    <m/>
    <m/>
    <m/>
    <m/>
    <x v="4"/>
  </r>
  <r>
    <d v="2022-06-29T00:00:00"/>
    <s v="VZ-2022-000788-02"/>
    <x v="0"/>
    <s v="Valtová"/>
    <x v="420"/>
    <n v="2"/>
    <s v="Minisystém pro mimotělní oběh"/>
    <m/>
    <s v="33140000-3"/>
    <m/>
    <n v="3636364"/>
    <x v="0"/>
    <d v="2022-08-05T00:00:00"/>
    <d v="2022-10-10T00:00:00"/>
    <d v="2022-12-05T00:00:00"/>
    <s v="CARDION s.r.o."/>
    <m/>
    <n v="3965289.26"/>
    <n v="4798000"/>
    <m/>
    <m/>
    <m/>
    <d v="2022-12-05T00:00:00"/>
    <s v="SMLN-2022-617-000839_x000a_SMLN-2022-614-000100"/>
    <x v="4"/>
  </r>
  <r>
    <d v="2022-07-20T00:00:00"/>
    <s v="VZ-2022-000789"/>
    <x v="4"/>
    <s v="Olejníček"/>
    <x v="421"/>
    <m/>
    <m/>
    <m/>
    <s v="33168100-6"/>
    <s v="2.2.492."/>
    <n v="272712"/>
    <x v="2"/>
    <d v="2022-07-25T00:00:00"/>
    <d v="2022-08-04T00:00:00"/>
    <d v="2022-08-16T00:00:00"/>
    <s v="GPS Praha, spol. s  r.o."/>
    <m/>
    <n v="229760"/>
    <n v="278009.59999999998"/>
    <m/>
    <m/>
    <m/>
    <d v="2022-08-16T00:00:00"/>
    <s v="SMLN-2022-617-000545_x000a_SMLN-2022-612-000160"/>
    <x v="113"/>
  </r>
  <r>
    <d v="2022-07-20T00:00:00"/>
    <s v="VZ-2022-000791"/>
    <x v="4"/>
    <s v="Olejníček"/>
    <x v="422"/>
    <m/>
    <m/>
    <m/>
    <s v="33155000-1"/>
    <s v="2.3.657."/>
    <n v="162000"/>
    <x v="2"/>
    <d v="2022-07-25T00:00:00"/>
    <d v="2022-08-03T00:00:00"/>
    <m/>
    <s v="zrušeno - úprava specifikace"/>
    <s v="nová VZ-2022-000859"/>
    <m/>
    <m/>
    <m/>
    <m/>
    <m/>
    <m/>
    <m/>
    <x v="4"/>
  </r>
  <r>
    <d v="2022-07-20T00:00:00"/>
    <s v="VZ-2022-000793"/>
    <x v="5"/>
    <s v="Srovnal"/>
    <x v="423"/>
    <m/>
    <m/>
    <m/>
    <s v="45432000-4"/>
    <m/>
    <n v="7500000"/>
    <x v="1"/>
    <d v="2022-07-22T00:00:00"/>
    <d v="2022-08-12T00:00:00"/>
    <m/>
    <s v="zrušeno - bez nabídky"/>
    <s v="nová VZ-2022-000885"/>
    <m/>
    <m/>
    <m/>
    <m/>
    <m/>
    <m/>
    <m/>
    <x v="4"/>
  </r>
  <r>
    <s v="opakovaná VZ"/>
    <s v="VZ-2022-000794"/>
    <x v="4"/>
    <s v="Olejníček"/>
    <x v="424"/>
    <m/>
    <m/>
    <m/>
    <s v="38000000-5"/>
    <s v="2.2.451."/>
    <n v="1777000"/>
    <x v="2"/>
    <d v="2022-07-25T00:00:00"/>
    <d v="2022-08-03T00:00:00"/>
    <d v="2022-08-11T00:00:00"/>
    <s v="DN FORMED Brno s.r.o."/>
    <m/>
    <n v="1663005.11"/>
    <n v="2012236.18"/>
    <m/>
    <m/>
    <m/>
    <d v="2022-08-11T00:00:00"/>
    <s v="SMLN-2022-617-000533_x000a_SMLN-2022-612-000156_x000a_SMLN-2022-617-000534"/>
    <x v="177"/>
  </r>
  <r>
    <d v="2022-07-22T00:00:00"/>
    <s v="VZ-2022-000798"/>
    <x v="2"/>
    <s v="Pavela"/>
    <x v="425"/>
    <m/>
    <m/>
    <m/>
    <s v="45232400-6"/>
    <m/>
    <n v="1000000"/>
    <x v="2"/>
    <d v="2022-07-25T00:00:00"/>
    <d v="2022-08-09T00:00:00"/>
    <d v="2022-08-12T00:00:00"/>
    <s v="BOPROSTA s.r.o."/>
    <m/>
    <n v="751987.08"/>
    <n v="909904.37"/>
    <m/>
    <m/>
    <m/>
    <d v="2022-08-12T00:00:00"/>
    <s v="SMLN-2022-618-000050"/>
    <x v="107"/>
  </r>
  <r>
    <s v="opakovaná VZ"/>
    <s v="VZ-2022-000799"/>
    <x v="4"/>
    <s v="Olejníček"/>
    <x v="426"/>
    <m/>
    <m/>
    <m/>
    <s v="33161000-6"/>
    <s v="2.3.632."/>
    <n v="490000"/>
    <x v="2"/>
    <d v="2022-07-26T00:00:00"/>
    <d v="2022-08-05T00:00:00"/>
    <d v="2022-08-16T00:00:00"/>
    <s v="OLYMPUS CZECH GROUP, s.r.o., člen koncernu"/>
    <m/>
    <n v="455740"/>
    <n v="551445.4"/>
    <m/>
    <m/>
    <m/>
    <d v="2022-08-16T00:00:00"/>
    <s v="SMLN-2022-617-000546_x000a_SMLN-2022-612-000161"/>
    <x v="178"/>
  </r>
  <r>
    <d v="2022-07-20T00:00:00"/>
    <s v="VZ-2022-000803"/>
    <x v="6"/>
    <s v="Zdráhalová"/>
    <x v="427"/>
    <m/>
    <m/>
    <m/>
    <s v="33141620-2"/>
    <m/>
    <n v="6831616"/>
    <x v="0"/>
    <d v="2022-08-18T00:00:00"/>
    <d v="2022-10-03T00:00:00"/>
    <d v="2022-11-22T00:00:00"/>
    <s v="Mölnlycke Health Care, s.r.o."/>
    <m/>
    <n v="11452320"/>
    <n v="12038824"/>
    <m/>
    <m/>
    <m/>
    <d v="2022-11-22T00:00:00"/>
    <s v="SMLN-2022-617-000819"/>
    <x v="112"/>
  </r>
  <r>
    <d v="2022-07-27T00:00:00"/>
    <s v="VZ-2022-000810"/>
    <x v="2"/>
    <s v="Hrubý"/>
    <x v="428"/>
    <m/>
    <m/>
    <m/>
    <s v="71240000-2"/>
    <s v="1.2.97."/>
    <n v="600000"/>
    <x v="2"/>
    <d v="2022-08-01T00:00:00"/>
    <d v="2022-08-12T00:00:00"/>
    <d v="2022-08-24T00:00:00"/>
    <s v="M&amp;B eProjekce s.r.o."/>
    <m/>
    <n v="1140000"/>
    <n v="1379400"/>
    <m/>
    <m/>
    <m/>
    <d v="2022-08-24T00:00:00"/>
    <s v="SMLN-2022-618-000054"/>
    <x v="66"/>
  </r>
  <r>
    <d v="2022-07-28T00:00:00"/>
    <s v="VZ-2022-000812"/>
    <x v="2"/>
    <s v="Valíček"/>
    <x v="429"/>
    <m/>
    <m/>
    <m/>
    <s v="45110000-1"/>
    <s v="1.2.89."/>
    <n v="70000000"/>
    <x v="0"/>
    <d v="2022-08-19T00:00:00"/>
    <d v="2022-10-19T00:00:00"/>
    <d v="2022-11-11T00:00:00"/>
    <s v="MORKUS Morava s.r.o."/>
    <m/>
    <n v="17240000.329999998"/>
    <n v="20860400.399999999"/>
    <m/>
    <m/>
    <m/>
    <d v="2022-11-11T00:00:00"/>
    <s v="SMLN-2022-618-000069"/>
    <x v="179"/>
  </r>
  <r>
    <s v="opakovaná VZ"/>
    <s v="VZ-2022-000813"/>
    <x v="1"/>
    <s v="Ondráčková"/>
    <x v="430"/>
    <m/>
    <m/>
    <m/>
    <s v="33600000-6"/>
    <m/>
    <n v="10353800"/>
    <x v="0"/>
    <d v="2022-08-03T00:00:00"/>
    <d v="2022-09-05T00:00:00"/>
    <d v="2022-10-12T00:00:00"/>
    <s v="M.G.P. spol. s r.o."/>
    <m/>
    <n v="10353800"/>
    <n v="11414590"/>
    <m/>
    <m/>
    <m/>
    <d v="2022-10-12T00:00:00"/>
    <s v="SMLN-2022-617-000709"/>
    <x v="91"/>
  </r>
  <r>
    <d v="2022-07-28T00:00:00"/>
    <s v="VZ-2022-000814"/>
    <x v="5"/>
    <s v="Srovnal"/>
    <x v="431"/>
    <m/>
    <m/>
    <m/>
    <s v="45342000-6"/>
    <s v="4.2.176."/>
    <n v="2100000"/>
    <x v="2"/>
    <d v="2022-08-01T00:00:00"/>
    <d v="2022-08-12T00:00:00"/>
    <m/>
    <s v="zrušeno - nemožnost realizace ze strany FNOL"/>
    <m/>
    <m/>
    <m/>
    <m/>
    <m/>
    <m/>
    <m/>
    <m/>
    <x v="4"/>
  </r>
  <r>
    <d v="2022-07-27T00:00:00"/>
    <s v="VZ-2022-000816"/>
    <x v="9"/>
    <s v="Oravec"/>
    <x v="432"/>
    <m/>
    <m/>
    <m/>
    <s v="30216130-6"/>
    <s v="3.2.70."/>
    <n v="2200000"/>
    <x v="1"/>
    <d v="2022-08-03T00:00:00"/>
    <d v="2022-08-19T00:00:00"/>
    <d v="2022-08-31T00:00:00"/>
    <s v="Kodys, spol. s r.o."/>
    <m/>
    <n v="2984535"/>
    <n v="3611287.35"/>
    <m/>
    <m/>
    <m/>
    <d v="2022-08-31T00:00:00"/>
    <s v="SMLN-2022-617-000606"/>
    <x v="127"/>
  </r>
  <r>
    <d v="2022-08-01T00:00:00"/>
    <s v="VZ-2022-000821"/>
    <x v="9"/>
    <s v="Oravec"/>
    <x v="433"/>
    <m/>
    <m/>
    <m/>
    <s v="48814400-1"/>
    <m/>
    <n v="400000"/>
    <x v="2"/>
    <d v="2022-08-09T00:00:00"/>
    <d v="2022-08-16T00:00:00"/>
    <d v="2022-08-19T00:00:00"/>
    <s v="MEDIWARE  a.s."/>
    <m/>
    <n v="391500"/>
    <n v="473715"/>
    <m/>
    <m/>
    <m/>
    <d v="2022-08-19T00:00:00"/>
    <s v="SMLN-2022-612-000169"/>
    <x v="120"/>
  </r>
  <r>
    <s v="opakovaná VZ"/>
    <s v="VZ-2022-000841"/>
    <x v="3"/>
    <s v="Olejníček"/>
    <x v="434"/>
    <m/>
    <m/>
    <m/>
    <s v="33186000-7"/>
    <s v="2.2.400."/>
    <n v="6061532"/>
    <x v="0"/>
    <d v="2022-09-02T00:00:00"/>
    <d v="2022-10-05T00:00:00"/>
    <m/>
    <s v="zrušeno - překročení ceny servisu"/>
    <s v="nová VZ-2022-001121"/>
    <m/>
    <m/>
    <m/>
    <m/>
    <m/>
    <m/>
    <m/>
    <x v="4"/>
  </r>
  <r>
    <d v="2022-07-29T00:00:00"/>
    <s v="VZ-2022-000842"/>
    <x v="5"/>
    <s v="Srovnal"/>
    <x v="435"/>
    <m/>
    <m/>
    <m/>
    <s v="42531000-7"/>
    <s v="4.2.183."/>
    <n v="900000"/>
    <x v="2"/>
    <d v="2022-08-10T00:00:00"/>
    <d v="2022-08-19T00:00:00"/>
    <d v="2022-09-14T00:00:00"/>
    <s v="Technika budov s.r.o."/>
    <m/>
    <n v="550417.5"/>
    <n v="666005.18000000005"/>
    <m/>
    <m/>
    <m/>
    <d v="2022-09-14T00:00:00"/>
    <s v="SMLN-2022-618-000056"/>
    <x v="66"/>
  </r>
  <r>
    <d v="2022-08-05T00:00:00"/>
    <s v="VZ-2022-000847"/>
    <x v="3"/>
    <s v="Olejníček"/>
    <x v="436"/>
    <m/>
    <m/>
    <m/>
    <s v="38000000-5"/>
    <s v="2.3.572."/>
    <n v="4028313"/>
    <x v="0"/>
    <d v="2022-08-25T00:00:00"/>
    <d v="2022-10-12T00:00:00"/>
    <d v="2022-11-04T00:00:00"/>
    <s v="PROMEDICA PRAHA GROUP, a.s."/>
    <m/>
    <n v="4643193"/>
    <n v="5618263.5300000003"/>
    <m/>
    <m/>
    <m/>
    <d v="2022-11-04T00:00:00"/>
    <s v="SMLN-2022-617-000778_x000a_SMLN-2022-612-000210"/>
    <x v="180"/>
  </r>
  <r>
    <d v="2022-08-04T00:00:00"/>
    <s v="VZ-2022-000848"/>
    <x v="1"/>
    <s v="Ondráčková"/>
    <x v="437"/>
    <m/>
    <m/>
    <m/>
    <s v="33652000-5"/>
    <m/>
    <n v="3999478"/>
    <x v="0"/>
    <d v="2022-08-11T00:00:00"/>
    <d v="2022-09-13T00:00:00"/>
    <m/>
    <s v="zrušeno - sanofi-aventis s.r.o. překročili nabídkovu cenu, vyloučeni 15.9."/>
    <m/>
    <m/>
    <m/>
    <m/>
    <m/>
    <m/>
    <m/>
    <m/>
    <x v="4"/>
  </r>
  <r>
    <d v="2022-08-04T00:00:00"/>
    <s v="VZ-2022-000849"/>
    <x v="1"/>
    <s v="Ondráčková"/>
    <x v="438"/>
    <m/>
    <m/>
    <m/>
    <s v="33642000-2"/>
    <m/>
    <n v="5905526"/>
    <x v="0"/>
    <d v="2022-08-11T00:00:00"/>
    <d v="2022-09-13T00:00:00"/>
    <d v="2022-11-01T00:00:00"/>
    <s v="ViaPharma s.r.o."/>
    <m/>
    <n v="5697882.6900000004"/>
    <n v="6267670.96"/>
    <m/>
    <m/>
    <m/>
    <d v="2022-11-01T00:00:00"/>
    <s v="SMLN-2022-617-000770"/>
    <x v="164"/>
  </r>
  <r>
    <d v="2022-08-02T00:00:00"/>
    <s v="VZ-2022-000850"/>
    <x v="1"/>
    <s v="Ondráčková"/>
    <x v="439"/>
    <m/>
    <m/>
    <m/>
    <s v="38434000-6"/>
    <m/>
    <n v="4170600"/>
    <x v="0"/>
    <d v="2022-09-27T00:00:00"/>
    <d v="2022-10-31T00:00:00"/>
    <m/>
    <s v="zrušeno - úprava zadání"/>
    <m/>
    <m/>
    <m/>
    <m/>
    <m/>
    <m/>
    <m/>
    <m/>
    <x v="4"/>
  </r>
  <r>
    <d v="2022-08-01T00:00:00"/>
    <s v="VZ-2022-000851"/>
    <x v="1"/>
    <s v="Ondráčková"/>
    <x v="440"/>
    <m/>
    <m/>
    <m/>
    <s v="33632200-1"/>
    <m/>
    <n v="13613262"/>
    <x v="0"/>
    <d v="2022-11-15T00:00:00"/>
    <d v="2023-02-08T00:00:00"/>
    <m/>
    <m/>
    <m/>
    <m/>
    <m/>
    <m/>
    <m/>
    <m/>
    <m/>
    <m/>
    <x v="4"/>
  </r>
  <r>
    <d v="2022-08-01T00:00:00"/>
    <s v="VZ-2022-000852"/>
    <x v="1"/>
    <s v="Ondráčková"/>
    <x v="441"/>
    <m/>
    <m/>
    <m/>
    <s v="33693000-4"/>
    <m/>
    <n v="6781508"/>
    <x v="0"/>
    <d v="2022-11-22T00:00:00"/>
    <d v="2023-01-26T00:00:00"/>
    <m/>
    <m/>
    <m/>
    <m/>
    <m/>
    <m/>
    <m/>
    <m/>
    <m/>
    <m/>
    <x v="4"/>
  </r>
  <r>
    <d v="2022-08-01T00:00:00"/>
    <s v="VZ-2022-000853"/>
    <x v="1"/>
    <s v="Ondráčková"/>
    <x v="442"/>
    <m/>
    <m/>
    <m/>
    <s v="33652200-7"/>
    <m/>
    <n v="12495448"/>
    <x v="0"/>
    <d v="2022-10-17T00:00:00"/>
    <d v="2022-11-21T00:00:00"/>
    <d v="2022-12-21T00:00:00"/>
    <s v="BAYER s.r.o."/>
    <m/>
    <n v="12495435.48"/>
    <n v="13744979.029999999"/>
    <m/>
    <m/>
    <m/>
    <d v="2022-12-21T00:00:00"/>
    <s v="SMLN-2022-617-000880"/>
    <x v="4"/>
  </r>
  <r>
    <s v="opakovaná VZ"/>
    <s v="VZ-2022-000854"/>
    <x v="15"/>
    <s v="Jeřábková"/>
    <x v="443"/>
    <m/>
    <m/>
    <m/>
    <s v="55110000-4"/>
    <m/>
    <n v="750000"/>
    <x v="2"/>
    <d v="2022-08-12T00:00:00"/>
    <d v="2022-08-18T00:00:00"/>
    <d v="2022-08-19T00:00:00"/>
    <s v="HOTELPARK STADION a.s."/>
    <m/>
    <n v="859438.02"/>
    <n v="971950"/>
    <m/>
    <m/>
    <m/>
    <d v="2022-08-19T00:00:00"/>
    <s v="SMLN-2022-612-000171"/>
    <x v="101"/>
  </r>
  <r>
    <d v="2022-08-08T00:00:00"/>
    <s v="VZ-2022-000857"/>
    <x v="4"/>
    <s v="Olejníček"/>
    <x v="444"/>
    <m/>
    <m/>
    <m/>
    <s v="33124100-6"/>
    <s v="2.3.652."/>
    <n v="148000"/>
    <x v="2"/>
    <d v="2022-08-12T00:00:00"/>
    <d v="2022-08-23T00:00:00"/>
    <m/>
    <s v="zrušeno - úprava specifikace"/>
    <s v="nová VZ-2022-001382"/>
    <m/>
    <m/>
    <m/>
    <m/>
    <m/>
    <m/>
    <m/>
    <x v="4"/>
  </r>
  <r>
    <s v="opakovaná VZ"/>
    <s v="VZ-2022-000859"/>
    <x v="4"/>
    <s v="Olejníček"/>
    <x v="445"/>
    <m/>
    <m/>
    <m/>
    <s v="33155000-1"/>
    <s v="2.3.657."/>
    <n v="162000"/>
    <x v="2"/>
    <d v="2022-08-12T00:00:00"/>
    <d v="2022-08-23T00:00:00"/>
    <d v="2022-09-26T00:00:00"/>
    <s v="Radim Holba"/>
    <m/>
    <n v="109500"/>
    <n v="126495"/>
    <m/>
    <m/>
    <m/>
    <d v="2022-09-26T00:00:00"/>
    <s v="SMLN-2022-617-000663_x000a_SMLN-2022-612-000193"/>
    <x v="181"/>
  </r>
  <r>
    <d v="2022-08-10T00:00:00"/>
    <s v="VZ-2022-000860"/>
    <x v="2"/>
    <s v="Zeman"/>
    <x v="446"/>
    <m/>
    <m/>
    <m/>
    <s v="45453000-7"/>
    <m/>
    <n v="2200000"/>
    <x v="2"/>
    <d v="2022-08-11T00:00:00"/>
    <d v="2022-08-23T00:00:00"/>
    <d v="2022-08-24T00:00:00"/>
    <s v="PTÁČEK - pozemní stavby s.r.o."/>
    <m/>
    <n v="2690742.63"/>
    <n v="3255798.58"/>
    <m/>
    <m/>
    <m/>
    <d v="2022-08-24T00:00:00"/>
    <s v="SMLN-2022-618-000053"/>
    <x v="156"/>
  </r>
  <r>
    <d v="2022-08-10T00:00:00"/>
    <s v="VZ-2022-000861-01"/>
    <x v="1"/>
    <s v="Ondráčková"/>
    <x v="447"/>
    <n v="1"/>
    <s v=" LEUPRORELIN"/>
    <m/>
    <s v="33642000-2"/>
    <m/>
    <n v="1456022"/>
    <x v="0"/>
    <d v="2022-08-19T00:00:00"/>
    <d v="2022-09-23T00:00:00"/>
    <d v="2022-11-08T00:00:00"/>
    <s v="PHOENIX lék.velkoobchod, s.r.o."/>
    <m/>
    <n v="735701.34"/>
    <n v="809271.47"/>
    <m/>
    <m/>
    <m/>
    <d v="2022-11-08T00:00:00"/>
    <s v="SMLN-2022-617-000789"/>
    <x v="92"/>
  </r>
  <r>
    <d v="2022-08-10T00:00:00"/>
    <s v="VZ-2022-000861-02"/>
    <x v="1"/>
    <s v="Ondráčková"/>
    <x v="447"/>
    <n v="2"/>
    <s v="LEUPRORELIN IMPLANTÁT"/>
    <m/>
    <s v="33642000-2"/>
    <m/>
    <n v="686894"/>
    <x v="0"/>
    <d v="2022-08-19T00:00:00"/>
    <d v="2022-09-23T00:00:00"/>
    <d v="2022-11-08T00:00:00"/>
    <s v="Alliance Healthcare s.r.o."/>
    <m/>
    <n v="686740.2"/>
    <n v="755414.22"/>
    <m/>
    <m/>
    <m/>
    <d v="2022-11-08T00:00:00"/>
    <s v="SMLN-2022-617-000790"/>
    <x v="164"/>
  </r>
  <r>
    <d v="2022-08-10T00:00:00"/>
    <s v="VZ-2022-000861-03"/>
    <x v="1"/>
    <s v="Ondráčková"/>
    <x v="447"/>
    <n v="3"/>
    <s v=" TRIPTORELIN"/>
    <m/>
    <s v="33642000-2"/>
    <m/>
    <n v="10196431"/>
    <x v="0"/>
    <d v="2022-08-19T00:00:00"/>
    <d v="2022-09-23T00:00:00"/>
    <d v="2022-11-08T00:00:00"/>
    <s v="Alliance Healthcare s.r.o."/>
    <m/>
    <n v="9307599.8100000005"/>
    <n v="10238359.789999999"/>
    <m/>
    <m/>
    <m/>
    <d v="2022-11-08T00:00:00"/>
    <s v="SMLN-2022-617-000791"/>
    <x v="164"/>
  </r>
  <r>
    <d v="2022-08-10T00:00:00"/>
    <s v="VZ-2022-000861-04"/>
    <x v="1"/>
    <s v="Ondráčková"/>
    <x v="447"/>
    <n v="4"/>
    <s v="DEGARELIX"/>
    <m/>
    <s v="33642000-2"/>
    <m/>
    <n v="4109641"/>
    <x v="0"/>
    <d v="2022-08-19T00:00:00"/>
    <d v="2022-09-23T00:00:00"/>
    <d v="2022-11-08T00:00:00"/>
    <s v="PHOENIX lék.velkoobchod, s.r.o."/>
    <m/>
    <n v="2054822.94"/>
    <n v="2260305.23"/>
    <m/>
    <m/>
    <m/>
    <d v="2022-11-08T00:00:00"/>
    <s v="SMLN-2022-617-000792"/>
    <x v="92"/>
  </r>
  <r>
    <d v="2022-08-10T00:00:00"/>
    <s v="VZ-2022-000862"/>
    <x v="1"/>
    <s v="Ondráčková"/>
    <x v="448"/>
    <m/>
    <m/>
    <m/>
    <s v="33622300-9"/>
    <m/>
    <n v="8136058"/>
    <x v="0"/>
    <d v="2022-09-16T00:00:00"/>
    <d v="2022-10-27T00:00:00"/>
    <d v="2022-11-29T00:00:00"/>
    <s v="PHOENIX lék.velkoobchod, s.r.o."/>
    <m/>
    <n v="8010426.2400000002"/>
    <n v="8811468.8599999994"/>
    <m/>
    <m/>
    <m/>
    <d v="2022-11-29T00:00:00"/>
    <s v="SMLN-2022-617-000828"/>
    <x v="4"/>
  </r>
  <r>
    <d v="2022-08-10T00:00:00"/>
    <s v="VZ-2022-000863"/>
    <x v="1"/>
    <s v="Ondráčková"/>
    <x v="449"/>
    <m/>
    <m/>
    <m/>
    <s v="33652100-6"/>
    <m/>
    <n v="60267982"/>
    <x v="0"/>
    <d v="2022-09-16T00:00:00"/>
    <d v="2022-11-28T00:00:00"/>
    <m/>
    <m/>
    <m/>
    <m/>
    <m/>
    <m/>
    <m/>
    <m/>
    <m/>
    <m/>
    <x v="4"/>
  </r>
  <r>
    <d v="2022-08-10T00:00:00"/>
    <s v="VZ-2022-000864-01"/>
    <x v="1"/>
    <s v="Ondráčková"/>
    <x v="450"/>
    <n v="1"/>
    <s v="ANASTROZOL"/>
    <m/>
    <s v="33642000-2"/>
    <m/>
    <n v="426539"/>
    <x v="0"/>
    <d v="2022-08-19T00:00:00"/>
    <d v="2022-10-27T00:00:00"/>
    <d v="2022-11-16T00:00:00"/>
    <s v="zrušeno - neposkytnutí součinosti k uzavření smlouvy"/>
    <m/>
    <n v="404439.39"/>
    <n v="444883.33"/>
    <m/>
    <m/>
    <m/>
    <d v="2022-11-16T00:00:00"/>
    <s v="SMLN-2022-617-000803"/>
    <x v="4"/>
  </r>
  <r>
    <d v="2022-08-10T00:00:00"/>
    <s v="VZ-2022-000864-02"/>
    <x v="1"/>
    <s v="Ondráčková"/>
    <x v="450"/>
    <n v="2"/>
    <s v="LETROZOL"/>
    <m/>
    <s v="33642000-2"/>
    <m/>
    <n v="3171502"/>
    <x v="0"/>
    <d v="2022-08-19T00:00:00"/>
    <d v="2022-10-27T00:00:00"/>
    <d v="2022-11-16T00:00:00"/>
    <s v="PHOENIX lék.velkoobchod, s.r.o."/>
    <m/>
    <n v="2169835.08"/>
    <n v="1386818.59"/>
    <m/>
    <m/>
    <m/>
    <d v="2022-11-16T00:00:00"/>
    <s v="SMLN-2022-617-000804"/>
    <x v="92"/>
  </r>
  <r>
    <d v="2022-08-10T00:00:00"/>
    <s v="VZ-2022-000864-03"/>
    <x v="1"/>
    <s v="Ondráčková"/>
    <x v="450"/>
    <n v="3"/>
    <s v="EXEMASTAN"/>
    <m/>
    <s v="33642000-2"/>
    <m/>
    <n v="543381"/>
    <x v="0"/>
    <d v="2022-08-19T00:00:00"/>
    <d v="2022-10-27T00:00:00"/>
    <d v="2022-11-16T00:00:00"/>
    <s v="ViaPharma s.r.o."/>
    <m/>
    <n v="538305.63"/>
    <n v="592136.18999999994"/>
    <m/>
    <m/>
    <m/>
    <d v="2022-11-16T00:00:00"/>
    <s v="SMLN-2022-617-000807"/>
    <x v="4"/>
  </r>
  <r>
    <d v="2022-08-10T00:00:00"/>
    <s v="VZ-2022-000865-01"/>
    <x v="1"/>
    <s v="Ondráčková"/>
    <x v="451"/>
    <n v="1"/>
    <s v="Králičí imunoglobulin proti buňkám brzlíku I."/>
    <m/>
    <s v="33652300-8"/>
    <m/>
    <n v="215820"/>
    <x v="0"/>
    <d v="2022-08-23T00:00:00"/>
    <d v="2022-09-27T00:00:00"/>
    <d v="2022-11-29T00:00:00"/>
    <s v="PHARMOS, a.s., a.s."/>
    <m/>
    <n v="164700.29999999999"/>
    <n v="181170.33"/>
    <m/>
    <m/>
    <m/>
    <d v="2022-11-29T00:00:00"/>
    <s v="SMLN-2022-617-000829"/>
    <x v="182"/>
  </r>
  <r>
    <d v="2022-08-10T00:00:00"/>
    <s v="VZ-2022-000865-02"/>
    <x v="1"/>
    <s v="Ondráčková"/>
    <x v="451"/>
    <n v="2"/>
    <s v="Králičí imunoglobulin proti buňkám brzlíku II."/>
    <m/>
    <s v="33652300-8"/>
    <m/>
    <n v="3516711"/>
    <x v="0"/>
    <d v="2022-08-23T00:00:00"/>
    <d v="2022-09-27T00:00:00"/>
    <d v="2022-11-29T00:00:00"/>
    <s v="PROMEDICA PRAHA GROUP, a.s."/>
    <m/>
    <n v="3438567"/>
    <n v="3782423.7"/>
    <m/>
    <m/>
    <m/>
    <d v="2022-11-29T00:00:00"/>
    <s v="SMLN-2022-617-000830"/>
    <x v="182"/>
  </r>
  <r>
    <d v="2022-08-10T00:00:00"/>
    <s v="VZ-2022-000869"/>
    <x v="0"/>
    <s v="Dočkalová"/>
    <x v="452"/>
    <m/>
    <m/>
    <m/>
    <s v="33140000-3 "/>
    <m/>
    <n v="738337"/>
    <x v="2"/>
    <d v="2022-08-15T00:00:00"/>
    <d v="2022-08-24T00:00:00"/>
    <d v="2022-09-06T00:00:00"/>
    <s v="IMEDEX s.r.o."/>
    <m/>
    <n v="843094"/>
    <n v="1020143.74"/>
    <m/>
    <m/>
    <m/>
    <d v="2022-09-06T00:00:00"/>
    <s v="SMLN-2022-617-000614"/>
    <x v="175"/>
  </r>
  <r>
    <d v="2022-08-08T00:00:00"/>
    <s v="VZ-2022-000871"/>
    <x v="0"/>
    <s v="Dočkalová"/>
    <x v="453"/>
    <m/>
    <m/>
    <m/>
    <s v="33140000-3"/>
    <m/>
    <n v="40000000"/>
    <x v="0"/>
    <d v="2022-08-22T00:00:00"/>
    <d v="2022-09-26T00:00:00"/>
    <d v="2022-10-17T00:00:00"/>
    <s v="PROMEDICA PRAHA GROUP, a.s."/>
    <m/>
    <n v="40000000"/>
    <n v="46000000"/>
    <m/>
    <m/>
    <m/>
    <d v="2022-10-17T00:00:00"/>
    <s v="SMLN-2022-617-000724_x000a_SMLN-2022-614-000086_x000a_SMLN-2022-616-000039"/>
    <x v="146"/>
  </r>
  <r>
    <d v="2022-08-02T00:00:00"/>
    <s v="VZ-2022-000872-01"/>
    <x v="0"/>
    <s v="Dočkalová"/>
    <x v="454"/>
    <n v="1"/>
    <s v="6.8. Řezací dilatační balónkové katétry vaskulární"/>
    <m/>
    <s v="33140000-3"/>
    <m/>
    <n v="122510"/>
    <x v="0"/>
    <d v="2022-08-23T00:00:00"/>
    <d v="2022-10-27T00:00:00"/>
    <d v="2022-11-30T00:00:00"/>
    <s v="Boston Scientific Česká republika s.r.o."/>
    <m/>
    <n v="122520"/>
    <n v="148249.20000000001"/>
    <m/>
    <m/>
    <m/>
    <d v="2022-11-30T00:00:00"/>
    <s v="SMLN-2022-617-000831_x000a_SMLN-2022-614-000094"/>
    <x v="4"/>
  </r>
  <r>
    <d v="2022-08-02T00:00:00"/>
    <s v="VZ-2022-000872-02"/>
    <x v="0"/>
    <s v="Dočkalová"/>
    <x v="454"/>
    <n v="2"/>
    <s v="6.9. Dilatační balónkové katétry vaskulární po mikrovodících drátech Monorial a OTW"/>
    <m/>
    <s v="33140000-3"/>
    <m/>
    <n v="399726"/>
    <x v="0"/>
    <d v="2022-08-23T00:00:00"/>
    <d v="2022-10-27T00:00:00"/>
    <d v="2022-11-30T00:00:00"/>
    <s v="Boston Scientific Česká republika s.r.o."/>
    <m/>
    <n v="386654.02"/>
    <n v="467851.7"/>
    <m/>
    <m/>
    <m/>
    <d v="2022-11-30T00:00:00"/>
    <s v="SMLN-2022-617-000832_x000a_SMLN-2022-614-000095"/>
    <x v="4"/>
  </r>
  <r>
    <d v="2022-08-11T00:00:00"/>
    <s v="VZ-2022-000875"/>
    <x v="4"/>
    <s v="Olejníček"/>
    <x v="455"/>
    <m/>
    <m/>
    <m/>
    <s v="33162000-3"/>
    <s v="2.3.526"/>
    <n v="12960034"/>
    <x v="0"/>
    <d v="2022-08-18T00:00:00"/>
    <d v="2022-09-20T00:00:00"/>
    <d v="2022-10-07T00:00:00"/>
    <s v="Medtronic Czechia s.r.o."/>
    <m/>
    <n v="13710208.84"/>
    <n v="16589352.67"/>
    <m/>
    <m/>
    <m/>
    <d v="2022-10-07T00:00:00"/>
    <s v="SMLN-2022-617-000689_x000a_SMLN-2022-612-000200_x000a_SMLN-2022-617-000690"/>
    <x v="144"/>
  </r>
  <r>
    <d v="2022-08-11T00:00:00"/>
    <s v="VZ-2022-000876"/>
    <x v="4"/>
    <s v="Olejníček"/>
    <x v="456"/>
    <m/>
    <m/>
    <m/>
    <s v="72260000-5"/>
    <s v="2.3.678"/>
    <n v="192855"/>
    <x v="2"/>
    <d v="2022-08-16T00:00:00"/>
    <d v="2022-08-25T00:00:00"/>
    <d v="2022-09-07T00:00:00"/>
    <s v="Medtronic Czechia s.r.o."/>
    <m/>
    <n v="192855"/>
    <n v="233354.55"/>
    <m/>
    <m/>
    <m/>
    <d v="2022-09-07T00:00:00"/>
    <s v="SMLN-2022-617-000618"/>
    <x v="162"/>
  </r>
  <r>
    <d v="2022-08-12T00:00:00"/>
    <s v="VZ-2022-000877"/>
    <x v="1"/>
    <s v="Ondráčková"/>
    <x v="457"/>
    <m/>
    <m/>
    <m/>
    <s v="33621100-0"/>
    <m/>
    <n v="12735446"/>
    <x v="0"/>
    <d v="2022-10-21T00:00:00"/>
    <d v="2022-11-25T00:00:00"/>
    <d v="2022-12-08T00:00:00"/>
    <s v="Alliance Healthcare s.r.o."/>
    <m/>
    <n v="12504244.039999999"/>
    <n v="13754668.439999999"/>
    <m/>
    <m/>
    <m/>
    <d v="2022-12-08T00:00:00"/>
    <s v="SMLN-2022-617-000855"/>
    <x v="4"/>
  </r>
  <r>
    <s v="opakovaná VZ"/>
    <s v="VZ-2022-000882"/>
    <x v="4"/>
    <s v="Olejníček"/>
    <x v="458"/>
    <m/>
    <m/>
    <m/>
    <s v="33152000-0"/>
    <s v="2.3.615,616"/>
    <n v="214876"/>
    <x v="0"/>
    <d v="2022-08-18T00:00:00"/>
    <d v="2022-09-23T00:00:00"/>
    <d v="2022-11-03T00:00:00"/>
    <s v="BMT Medical Technology s.r.o."/>
    <m/>
    <n v="190121.5"/>
    <n v="230047.02"/>
    <m/>
    <m/>
    <m/>
    <d v="2022-11-03T00:00:00"/>
    <s v="SMLN-2022-617-000775_x000a_SMLN-2022-612-000209"/>
    <x v="133"/>
  </r>
  <r>
    <s v="opakovaná VZ"/>
    <s v="VZ-2022-000885"/>
    <x v="5"/>
    <s v="Srovnal"/>
    <x v="459"/>
    <m/>
    <m/>
    <m/>
    <s v="45432000-4"/>
    <m/>
    <n v="7500000"/>
    <x v="1"/>
    <d v="2022-08-19T00:00:00"/>
    <d v="2022-09-06T00:00:00"/>
    <d v="2022-09-23T00:00:00"/>
    <s v="BRADA Interiéry s.r.o."/>
    <m/>
    <n v="6476240"/>
    <n v="7836250.4000000004"/>
    <m/>
    <m/>
    <m/>
    <d v="2022-09-23T00:00:00"/>
    <s v="SMLN-2022-618-000057"/>
    <x v="145"/>
  </r>
  <r>
    <d v="2022-08-16T00:00:00"/>
    <s v="VZ-2022-000886"/>
    <x v="0"/>
    <s v="Dočkalová"/>
    <x v="460"/>
    <m/>
    <m/>
    <m/>
    <s v="33168000-5"/>
    <m/>
    <n v="600000"/>
    <x v="2"/>
    <d v="2022-08-19T00:00:00"/>
    <d v="2022-08-30T00:00:00"/>
    <m/>
    <s v="zrušeno - bez nabídky"/>
    <s v="nová VZ-2022-001051"/>
    <m/>
    <m/>
    <m/>
    <m/>
    <m/>
    <m/>
    <m/>
    <x v="4"/>
  </r>
  <r>
    <s v="opakovaná VZ"/>
    <s v="VZ-2022-000898"/>
    <x v="4"/>
    <s v="Olejníček"/>
    <x v="461"/>
    <m/>
    <m/>
    <m/>
    <s v="31524110-9"/>
    <s v="2.3.568."/>
    <n v="1320000"/>
    <x v="0"/>
    <d v="2022-08-26T00:00:00"/>
    <d v="2022-09-27T00:00:00"/>
    <d v="2022-11-11T00:00:00"/>
    <s v="RADIX CZ s.r.o."/>
    <m/>
    <n v="1560948"/>
    <n v="1888746.92"/>
    <m/>
    <m/>
    <m/>
    <d v="2022-11-11T00:00:00"/>
    <s v="SMLN-2022-617-000796_x000a_SMLN-2022-612-000214"/>
    <x v="4"/>
  </r>
  <r>
    <d v="2022-08-12T00:00:00"/>
    <s v="VZ-2022-000899"/>
    <x v="4"/>
    <s v="Olejníček"/>
    <x v="462"/>
    <m/>
    <m/>
    <m/>
    <s v="38000000-5"/>
    <s v="2.2.483."/>
    <n v="641000"/>
    <x v="0"/>
    <d v="2022-08-22T00:00:00"/>
    <d v="2022-09-23T00:00:00"/>
    <d v="2022-10-25T00:00:00"/>
    <s v="Schoeller Instruments, s.r.o."/>
    <m/>
    <n v="399700"/>
    <n v="483637"/>
    <m/>
    <m/>
    <m/>
    <d v="2022-10-25T00:00:00"/>
    <s v="SMLN-2022-617-000757_x000a_SMLN-2022-612-000207"/>
    <x v="147"/>
  </r>
  <r>
    <d v="2022-07-28T00:00:00"/>
    <s v="VZ-2022-000905"/>
    <x v="5"/>
    <s v="Srovnal"/>
    <x v="463"/>
    <m/>
    <m/>
    <m/>
    <s v="42416100-6"/>
    <s v="4.2.173-174."/>
    <n v="2500000"/>
    <x v="1"/>
    <d v="2022-08-30T00:00:00"/>
    <d v="2022-09-16T00:00:00"/>
    <d v="2022-10-07T00:00:00"/>
    <s v="LIFTMONT CZ s.r.o."/>
    <m/>
    <n v="2690000"/>
    <n v="3254900"/>
    <m/>
    <m/>
    <m/>
    <d v="2022-10-07T00:00:00"/>
    <s v="SMLN-2022-618-000063"/>
    <x v="147"/>
  </r>
  <r>
    <d v="2022-08-22T00:00:00"/>
    <s v="VZ-2022-000907"/>
    <x v="4"/>
    <s v="Olejníček"/>
    <x v="464"/>
    <m/>
    <m/>
    <m/>
    <s v="33162100-4"/>
    <s v="2.2.493."/>
    <n v="136000"/>
    <x v="2"/>
    <d v="2022-08-25T00:00:00"/>
    <d v="2022-09-06T00:00:00"/>
    <d v="2022-09-26T00:00:00"/>
    <s v="DAHLHAUSEN CZ , spol. s r.o."/>
    <m/>
    <n v="119200"/>
    <n v="144232"/>
    <m/>
    <m/>
    <m/>
    <d v="2022-09-26T00:00:00"/>
    <s v="SMLN-2022-617-000664_x000a_SMLN-2022-612-000194"/>
    <x v="66"/>
  </r>
  <r>
    <d v="2022-08-17T00:00:00"/>
    <s v="VZ-2022-000908"/>
    <x v="4"/>
    <s v="Olejníček"/>
    <x v="465"/>
    <m/>
    <m/>
    <m/>
    <s v="33122000-1"/>
    <s v="2.3.598."/>
    <n v="3285000"/>
    <x v="0"/>
    <d v="2022-08-26T00:00:00"/>
    <d v="2022-09-27T00:00:00"/>
    <d v="2022-10-19T00:00:00"/>
    <s v="Askin &amp; Co s.r.o."/>
    <m/>
    <n v="3275150"/>
    <n v="3962931.5"/>
    <m/>
    <m/>
    <m/>
    <d v="2022-10-19T00:00:00"/>
    <s v="SMLN-2022-617-000735_x000a_SMLN-2022-612-000206"/>
    <x v="183"/>
  </r>
  <r>
    <d v="2022-08-22T00:00:00"/>
    <s v="VZ-2022-000909-01"/>
    <x v="1"/>
    <s v="Ondráčková"/>
    <x v="466"/>
    <n v="1"/>
    <s v="KYSELINA GADOTEROVÁ"/>
    <m/>
    <s v="33696800-3"/>
    <m/>
    <n v="3301280"/>
    <x v="0"/>
    <d v="2022-11-29T00:00:00"/>
    <d v="2023-01-02T00:00:00"/>
    <m/>
    <m/>
    <m/>
    <m/>
    <m/>
    <m/>
    <m/>
    <m/>
    <m/>
    <m/>
    <x v="4"/>
  </r>
  <r>
    <d v="2022-08-22T00:00:00"/>
    <s v="VZ-2022-000909-02"/>
    <x v="1"/>
    <s v="Ondráčková"/>
    <x v="466"/>
    <n v="2"/>
    <s v="KYSELINA GADOBENOVÁ"/>
    <m/>
    <s v="33696800-3"/>
    <m/>
    <n v="385268"/>
    <x v="0"/>
    <d v="2022-11-29T00:00:00"/>
    <d v="2023-01-02T00:00:00"/>
    <m/>
    <m/>
    <m/>
    <m/>
    <m/>
    <m/>
    <m/>
    <m/>
    <m/>
    <m/>
    <x v="4"/>
  </r>
  <r>
    <d v="2022-08-22T00:00:00"/>
    <s v="VZ-2022-000909-03"/>
    <x v="1"/>
    <s v="Ondráčková"/>
    <x v="466"/>
    <n v="3"/>
    <s v=" GADOBUTROL"/>
    <m/>
    <s v="33696800-3"/>
    <m/>
    <n v="5882097"/>
    <x v="0"/>
    <d v="2022-11-29T00:00:00"/>
    <d v="2023-01-02T00:00:00"/>
    <m/>
    <m/>
    <m/>
    <m/>
    <m/>
    <m/>
    <m/>
    <m/>
    <m/>
    <m/>
    <x v="4"/>
  </r>
  <r>
    <d v="2022-08-23T00:00:00"/>
    <s v="VZ-2022-000911"/>
    <x v="15"/>
    <s v="Jeřábková"/>
    <x v="467"/>
    <m/>
    <m/>
    <m/>
    <s v="55110000-4"/>
    <m/>
    <n v="550000"/>
    <x v="2"/>
    <d v="2022-08-25T00:00:00"/>
    <d v="2022-09-02T00:00:00"/>
    <d v="2022-09-07T00:00:00"/>
    <s v="CPI Hotels, a.s."/>
    <m/>
    <n v="353971.08"/>
    <n v="404605"/>
    <m/>
    <m/>
    <m/>
    <d v="2022-09-07T00:00:00"/>
    <s v="SMLN-2022-612-000186"/>
    <x v="118"/>
  </r>
  <r>
    <d v="2022-08-22T00:00:00"/>
    <s v="VZ-2022-000912-01"/>
    <x v="4"/>
    <s v="Olejníček"/>
    <x v="468"/>
    <n v="1"/>
    <s v="Lůžka pro I. Chirurgickou kliniku"/>
    <m/>
    <s v="33192160-1"/>
    <s v="2.3.639."/>
    <n v="1624113"/>
    <x v="0"/>
    <d v="2022-09-07T00:00:00"/>
    <d v="2022-10-26T00:00:00"/>
    <d v="2022-11-18T00:00:00"/>
    <s v="L I N E T spol. s r.o."/>
    <m/>
    <n v="1630860"/>
    <n v="1877982.6"/>
    <m/>
    <m/>
    <m/>
    <d v="2022-11-18T00:00:00"/>
    <s v="SMLN-2022-617-000814_x000a_SMLN-2022-612-000217"/>
    <x v="4"/>
  </r>
  <r>
    <d v="2022-08-22T00:00:00"/>
    <s v="VZ-2022-000912-02"/>
    <x v="4"/>
    <s v="Olejníček"/>
    <x v="468"/>
    <n v="2"/>
    <s v="Lehátka pro Kliniku chorob kožních a pohlavních"/>
    <m/>
    <s v="33192160-1"/>
    <s v="2.3.674."/>
    <n v="531000"/>
    <x v="0"/>
    <d v="2022-09-07T00:00:00"/>
    <d v="2022-10-26T00:00:00"/>
    <d v="2022-11-18T00:00:00"/>
    <s v="MADISSON, s.r.o."/>
    <m/>
    <n v="510450"/>
    <n v="617644.5"/>
    <m/>
    <m/>
    <m/>
    <d v="2022-11-18T00:00:00"/>
    <s v="SMLN-2022-617-000815_x000a_SMLN-2022-612-000218"/>
    <x v="130"/>
  </r>
  <r>
    <d v="2022-08-16T00:00:00"/>
    <s v="VZ-2022-000913-01"/>
    <x v="0"/>
    <s v="Valtová"/>
    <x v="469"/>
    <n v="1"/>
    <s v="Kleště bioptické jednorázové - čelisti hladké"/>
    <m/>
    <s v="33140000-3"/>
    <m/>
    <n v="31000"/>
    <x v="1"/>
    <d v="2022-08-30T00:00:00"/>
    <d v="2022-10-20T00:00:00"/>
    <d v="2022-11-30T00:00:00"/>
    <s v="OLYMPUS CZECH GROUP, s.r.o., člen koncernu"/>
    <m/>
    <n v="22351"/>
    <n v="27044.71"/>
    <m/>
    <m/>
    <m/>
    <d v="2022-11-30T00:00:00"/>
    <s v="SMLN-2022-617-000833_x000a_SMLN-2022-614-000096"/>
    <x v="4"/>
  </r>
  <r>
    <d v="2022-08-17T00:00:00"/>
    <s v="VZ-2022-000913-02"/>
    <x v="0"/>
    <s v="Valtová"/>
    <x v="469"/>
    <n v="2"/>
    <s v="Kleště bioptické jednorázové - čelisti hladké s bodcem"/>
    <m/>
    <s v="33140000-3"/>
    <m/>
    <n v="353400"/>
    <x v="1"/>
    <d v="2022-08-30T00:00:00"/>
    <d v="2022-10-20T00:00:00"/>
    <d v="2022-11-30T00:00:00"/>
    <s v="OLYMPUS CZECH GROUP, s.r.o., člen koncernu"/>
    <m/>
    <n v="254801.4"/>
    <n v="308309.69"/>
    <m/>
    <m/>
    <m/>
    <d v="2022-11-30T00:00:00"/>
    <s v="SMLN-2022-617-000834_x000a_SMLN-2022-614-000097"/>
    <x v="4"/>
  </r>
  <r>
    <d v="2022-08-18T00:00:00"/>
    <s v="VZ-2022-000913-03"/>
    <x v="0"/>
    <s v="Valtová"/>
    <x v="469"/>
    <n v="3"/>
    <s v="Kleště bioptické jednorázové - čelisti typ Aligátor"/>
    <m/>
    <s v="33140000-3"/>
    <m/>
    <n v="350840"/>
    <x v="1"/>
    <d v="2022-08-30T00:00:00"/>
    <d v="2022-10-20T00:00:00"/>
    <d v="2022-11-30T00:00:00"/>
    <s v="OLYMPUS CZECH GROUP, s.r.o., člen koncernu"/>
    <m/>
    <n v="219039.8"/>
    <n v="265038.15999999997"/>
    <m/>
    <m/>
    <m/>
    <d v="2022-11-30T00:00:00"/>
    <s v="SMLN-2022-617-000835_x000a_SMLN-2022-614-000098"/>
    <x v="4"/>
  </r>
  <r>
    <d v="2022-08-19T00:00:00"/>
    <s v="VZ-2022-000913-04"/>
    <x v="0"/>
    <s v="Valtová"/>
    <x v="469"/>
    <n v="4"/>
    <s v="Kleště bioptické jednorázové - čelisti typ Aligátor s bodcem"/>
    <m/>
    <s v="33140000-3"/>
    <m/>
    <n v="1224360"/>
    <x v="1"/>
    <d v="2022-08-30T00:00:00"/>
    <d v="2022-10-20T00:00:00"/>
    <d v="2022-11-30T00:00:00"/>
    <s v="OLYMPUS CZECH GROUP, s.r.o., člen koncernu"/>
    <m/>
    <n v="764404.2"/>
    <n v="924929.08"/>
    <m/>
    <m/>
    <m/>
    <d v="2022-11-30T00:00:00"/>
    <s v="SMLN-2022-617-000836_x000a_SMLN-2022-614-000099"/>
    <x v="4"/>
  </r>
  <r>
    <d v="2022-08-24T00:00:00"/>
    <s v="VZ-2022-000916"/>
    <x v="4"/>
    <s v="Olejníček"/>
    <x v="470"/>
    <m/>
    <m/>
    <m/>
    <s v="33191000-5"/>
    <m/>
    <n v="125000"/>
    <x v="0"/>
    <d v="2022-09-02T00:00:00"/>
    <d v="2022-10-04T00:00:00"/>
    <d v="2022-10-26T00:00:00"/>
    <s v="OLYMPUS CZECH GROUP, s.r.o., člen koncernu"/>
    <m/>
    <n v="118440"/>
    <n v="143312.4"/>
    <m/>
    <m/>
    <m/>
    <d v="2022-10-26T00:00:00"/>
    <s v="SMLN-2022-617-000759_x000a_SMLN-2022-612-000208"/>
    <x v="134"/>
  </r>
  <r>
    <d v="2022-08-25T00:00:00"/>
    <s v="VZ-2022-000917"/>
    <x v="0"/>
    <s v="Dočkalová"/>
    <x v="471"/>
    <m/>
    <m/>
    <m/>
    <s v="33140000-3"/>
    <m/>
    <n v="4053010"/>
    <x v="0"/>
    <d v="2022-09-06T00:00:00"/>
    <d v="2022-10-10T00:00:00"/>
    <d v="2022-11-09T00:00:00"/>
    <s v="TRIOS, spol. s r.o."/>
    <m/>
    <n v="4679692"/>
    <n v="5662427.3200000003"/>
    <m/>
    <m/>
    <m/>
    <d v="2022-11-09T00:00:00"/>
    <s v="SMLN-2022-617-000793"/>
    <x v="184"/>
  </r>
  <r>
    <d v="2022-08-24T00:00:00"/>
    <s v="VZ-2022-000919"/>
    <x v="4"/>
    <s v="Novák"/>
    <x v="472"/>
    <m/>
    <m/>
    <m/>
    <s v="33192300-5"/>
    <m/>
    <n v="545000"/>
    <x v="2"/>
    <d v="2022-08-30T00:00:00"/>
    <d v="2022-09-07T00:00:00"/>
    <d v="2022-09-14T00:00:00"/>
    <s v="Pro-Charitu s.r.o."/>
    <m/>
    <n v="514847"/>
    <n v="622964.87"/>
    <m/>
    <m/>
    <m/>
    <d v="2022-09-16T00:00:00"/>
    <s v="SMLN-2022-617-000643"/>
    <x v="125"/>
  </r>
  <r>
    <d v="2022-08-23T00:00:00"/>
    <s v="VZ-2022-000921"/>
    <x v="17"/>
    <s v="Mikolajová"/>
    <x v="473"/>
    <m/>
    <m/>
    <m/>
    <s v="48451000-4"/>
    <m/>
    <n v="1260480"/>
    <x v="1"/>
    <d v="2022-08-31T00:00:00"/>
    <d v="2022-09-16T00:00:00"/>
    <d v="2022-10-06T00:00:00"/>
    <s v="IVAR ID Poděbrady, s.r.o."/>
    <m/>
    <n v="1221680"/>
    <n v="1478232.8"/>
    <m/>
    <m/>
    <m/>
    <d v="2022-10-06T00:00:00"/>
    <s v="SMLN-2022-612-000199"/>
    <x v="145"/>
  </r>
  <r>
    <d v="2022-08-26T00:00:00"/>
    <s v="VZ-2022-000922-01"/>
    <x v="0"/>
    <s v="Dočkalová"/>
    <x v="474"/>
    <n v="1"/>
    <s v="Kontejnery sterilizační"/>
    <m/>
    <s v="33169400-6"/>
    <m/>
    <n v="1044300"/>
    <x v="2"/>
    <d v="2022-08-31T00:00:00"/>
    <d v="2022-09-08T00:00:00"/>
    <d v="2022-09-16T00:00:00"/>
    <s v="B. Braun Medical s.r.o."/>
    <m/>
    <n v="951303"/>
    <n v="1151076.6299999999"/>
    <m/>
    <m/>
    <m/>
    <d v="2022-09-16T00:00:00"/>
    <s v="SMLN-2022-617-000625"/>
    <x v="175"/>
  </r>
  <r>
    <d v="2022-08-26T00:00:00"/>
    <s v="VZ-2022-000922-02"/>
    <x v="0"/>
    <s v="Dočkalová"/>
    <x v="474"/>
    <n v="2"/>
    <s v="Kontejnery dekontaminační"/>
    <m/>
    <s v="33169400-6"/>
    <m/>
    <n v="452510"/>
    <x v="2"/>
    <d v="2022-08-31T00:00:00"/>
    <d v="2022-09-08T00:00:00"/>
    <d v="2022-09-16T00:00:00"/>
    <s v="B. Braun Medical s.r.o."/>
    <m/>
    <n v="433985"/>
    <n v="525121.85"/>
    <m/>
    <m/>
    <m/>
    <d v="2022-09-16T00:00:00"/>
    <s v="SMLN-2022-617-000626"/>
    <x v="175"/>
  </r>
  <r>
    <d v="2022-08-26T00:00:00"/>
    <s v="VZ-2022-000922-03"/>
    <x v="0"/>
    <s v="Dočkalová"/>
    <x v="474"/>
    <n v="3"/>
    <s v="Příslušenství ke kontejnerům sterilizačním a dekontaminačním"/>
    <m/>
    <s v="33141124-5"/>
    <m/>
    <n v="10160"/>
    <x v="2"/>
    <d v="2022-08-31T00:00:00"/>
    <d v="2022-09-08T00:00:00"/>
    <d v="2022-09-16T00:00:00"/>
    <s v="B. Braun Medical s.r.o."/>
    <m/>
    <n v="22202"/>
    <n v="26864.42"/>
    <m/>
    <m/>
    <m/>
    <d v="2022-09-16T00:00:00"/>
    <s v="SMLN-2022-617-000627"/>
    <x v="175"/>
  </r>
  <r>
    <d v="2022-08-26T00:00:00"/>
    <s v="VZ-2022-000925"/>
    <x v="4"/>
    <s v="Olejníček"/>
    <x v="475"/>
    <m/>
    <m/>
    <m/>
    <s v="33182100-0"/>
    <s v="2.2.495."/>
    <n v="172000"/>
    <x v="2"/>
    <d v="2022-08-30T00:00:00"/>
    <d v="2022-09-06T00:00:00"/>
    <d v="2022-09-26T00:00:00"/>
    <s v="Medsol s.r.o."/>
    <m/>
    <n v="112800"/>
    <n v="136488"/>
    <m/>
    <m/>
    <m/>
    <d v="2022-09-26T00:00:00"/>
    <s v="SMLN-2022-617-000665_x000a_SMLN-2022-612-000195"/>
    <x v="162"/>
  </r>
  <r>
    <s v="opakovaná VZ"/>
    <s v="VZ-2022-000930-01"/>
    <x v="0"/>
    <s v="Dočkalová"/>
    <x v="476"/>
    <n v="1"/>
    <s v="Oxygenátory pro kombinované srdeční operace"/>
    <m/>
    <s v="33140000-3"/>
    <m/>
    <n v="13001652"/>
    <x v="0"/>
    <d v="2022-09-02T00:00:00"/>
    <d v="2022-10-05T00:00:00"/>
    <d v="2022-11-16T00:00:00"/>
    <s v="CARDION s.r.o."/>
    <m/>
    <n v="14801652.890000001"/>
    <n v="17910000"/>
    <m/>
    <m/>
    <m/>
    <d v="2022-11-16T00:00:00"/>
    <s v="SMLN-2022-617-000808_x000a_SMLN-2022-614-000090"/>
    <x v="4"/>
  </r>
  <r>
    <s v="opakovaná VZ"/>
    <s v="VZ-2022-000930-02"/>
    <x v="0"/>
    <s v="Dočkalová"/>
    <x v="476"/>
    <n v="2"/>
    <s v="Oxygenátory pro jednoduché srdeční operace"/>
    <m/>
    <s v="33140000-3"/>
    <m/>
    <n v="10488000"/>
    <x v="0"/>
    <d v="2022-09-02T00:00:00"/>
    <d v="2022-10-05T00:00:00"/>
    <d v="2022-11-16T00:00:00"/>
    <s v="ALINEX-Kácovská, s.r.o."/>
    <m/>
    <n v="10230000"/>
    <n v="12378300"/>
    <m/>
    <m/>
    <m/>
    <d v="2022-11-16T00:00:00"/>
    <s v="SMLN-2022-617-000811_x000a_SMLN-2022-614-000091"/>
    <x v="182"/>
  </r>
  <r>
    <s v="opakovaná VZ"/>
    <s v="VZ-2022-000930-03"/>
    <x v="0"/>
    <s v="Dočkalová"/>
    <x v="476"/>
    <n v="3"/>
    <s v="Hadicové sety pro vedení mimotělního oběhu"/>
    <m/>
    <s v="33140000-3"/>
    <m/>
    <n v="400000"/>
    <x v="0"/>
    <d v="2022-09-02T00:00:00"/>
    <d v="2022-10-05T00:00:00"/>
    <d v="2022-11-16T00:00:00"/>
    <s v="ALINEX-Kácovská, s.r.o."/>
    <m/>
    <n v="290000"/>
    <n v="350900"/>
    <m/>
    <m/>
    <m/>
    <d v="2022-11-16T00:00:00"/>
    <s v="SMLN-2022-617-000812_x000a_SMLN-2022-614-000092"/>
    <x v="182"/>
  </r>
  <r>
    <d v="2022-08-29T00:00:00"/>
    <s v="VZ-2022-000932"/>
    <x v="16"/>
    <s v="Klimek"/>
    <x v="477"/>
    <m/>
    <m/>
    <m/>
    <s v="50114000-7"/>
    <m/>
    <n v="2000000"/>
    <x v="1"/>
    <d v="2022-10-07T00:00:00"/>
    <d v="2022-11-07T00:00:00"/>
    <d v="2022-11-14T00:00:00"/>
    <s v="KAR-mobil s.r.o."/>
    <m/>
    <n v="2000000"/>
    <s v="jednotkové ceny"/>
    <m/>
    <m/>
    <m/>
    <d v="2022-11-14T00:00:00"/>
    <s v="SMLN-2022-612-000215"/>
    <x v="176"/>
  </r>
  <r>
    <d v="2022-11-28T00:00:00"/>
    <s v="VZ-2022-000933"/>
    <x v="13"/>
    <s v="Křivková"/>
    <x v="478"/>
    <m/>
    <m/>
    <m/>
    <s v="79212300-6 "/>
    <m/>
    <n v="1200000"/>
    <x v="2"/>
    <d v="2022-11-29T00:00:00"/>
    <d v="2022-12-06T00:00:00"/>
    <d v="2022-12-07T00:00:00"/>
    <s v="FIZA, a.s."/>
    <m/>
    <n v="1140000"/>
    <n v="1379400"/>
    <m/>
    <m/>
    <m/>
    <d v="2022-12-08T00:00:00"/>
    <s v="SMLN-2022-612-000226"/>
    <x v="4"/>
  </r>
  <r>
    <d v="2022-08-30T00:00:00"/>
    <s v="VZ-2022-000936-01"/>
    <x v="1"/>
    <s v="Ondráčková"/>
    <x v="479"/>
    <n v="1"/>
    <s v="EPOETIN ALFA I."/>
    <m/>
    <s v="33652200-7 "/>
    <m/>
    <n v="12820156"/>
    <x v="0"/>
    <d v="2022-09-09T00:00:00"/>
    <d v="2022-10-31T00:00:00"/>
    <d v="2022-12-07T00:00:00"/>
    <s v="PROMEDICA PRAHA GROUP, a.s."/>
    <m/>
    <n v="12816020"/>
    <n v="14097622"/>
    <m/>
    <m/>
    <m/>
    <d v="2022-12-07T00:00:00"/>
    <s v="SMLN-2022-617-000847"/>
    <x v="4"/>
  </r>
  <r>
    <d v="2022-08-30T00:00:00"/>
    <s v="VZ-2022-000936-02"/>
    <x v="1"/>
    <s v="Ondráčková"/>
    <x v="479"/>
    <n v="2"/>
    <s v="EPOETIN ALFA IV."/>
    <m/>
    <s v="33652200-7 "/>
    <m/>
    <n v="5656061"/>
    <x v="0"/>
    <d v="2022-09-09T00:00:00"/>
    <d v="2022-10-31T00:00:00"/>
    <d v="2022-12-07T00:00:00"/>
    <s v="PROMEDICA PRAHA GROUP, a.s."/>
    <m/>
    <n v="5656060.7999999998"/>
    <n v="6221666.8799999999"/>
    <m/>
    <m/>
    <m/>
    <m/>
    <s v="účastní se pouze FN BRNO"/>
    <x v="4"/>
  </r>
  <r>
    <d v="2022-08-30T00:00:00"/>
    <s v="VZ-2022-000936-03"/>
    <x v="1"/>
    <s v="Ondráčková"/>
    <x v="479"/>
    <n v="3"/>
    <s v="DARBEPOETIN ALFA"/>
    <m/>
    <s v="33652200-7 "/>
    <m/>
    <n v="4342169"/>
    <x v="0"/>
    <d v="2022-09-09T00:00:00"/>
    <d v="2022-10-31T00:00:00"/>
    <d v="2022-12-07T00:00:00"/>
    <s v="Amgen s.r.o."/>
    <m/>
    <n v="4343279.3600000003"/>
    <n v="4777607.3"/>
    <m/>
    <m/>
    <m/>
    <d v="2022-12-07T00:00:00"/>
    <s v="SMLN-2022-617-000848"/>
    <x v="4"/>
  </r>
  <r>
    <d v="2022-08-30T00:00:00"/>
    <s v="VZ-2022-000936-04"/>
    <x v="1"/>
    <s v="Ondráčková"/>
    <x v="479"/>
    <n v="4"/>
    <s v="PEGEPOETIN BETA"/>
    <m/>
    <s v="33652200-7 "/>
    <m/>
    <n v="2883280"/>
    <x v="0"/>
    <d v="2022-09-09T00:00:00"/>
    <d v="2022-10-31T00:00:00"/>
    <d v="2022-12-07T00:00:00"/>
    <s v="PROMEDICA PRAHA GROUP, a.s."/>
    <m/>
    <n v="2883276.4"/>
    <n v="3171604.04"/>
    <m/>
    <m/>
    <m/>
    <d v="2022-12-07T00:00:00"/>
    <s v="SMLN-2022-617-000849"/>
    <x v="4"/>
  </r>
  <r>
    <d v="2022-08-30T00:00:00"/>
    <s v="VZ-2022-000937"/>
    <x v="1"/>
    <s v="Ondráčková"/>
    <x v="480"/>
    <m/>
    <m/>
    <m/>
    <s v="24965000-6"/>
    <m/>
    <n v="89144987"/>
    <x v="0"/>
    <d v="2022-09-05T00:00:00"/>
    <d v="2022-10-10T00:00:00"/>
    <d v="2022-10-24T00:00:00"/>
    <s v="PHOENIX lék.velkoobchod, s.r.o."/>
    <m/>
    <n v="89144986.560000002"/>
    <n v="98059485.219999999"/>
    <m/>
    <m/>
    <m/>
    <d v="2022-10-24T00:00:00"/>
    <s v="SMLN-2022-617-000756"/>
    <x v="134"/>
  </r>
  <r>
    <d v="2022-08-30T00:00:00"/>
    <s v="VZ-2022-000938-01"/>
    <x v="1"/>
    <s v="Ondráčková"/>
    <x v="481"/>
    <n v="1"/>
    <s v="Hypertonické a isotonické roztoky pro peritoneální dialýzu kompatibilní s příslušenstvím CAPD a Hemochoice Claria"/>
    <m/>
    <s v="33692800-5"/>
    <m/>
    <n v="6224854"/>
    <x v="0"/>
    <d v="2022-10-20T00:00:00"/>
    <d v="2022-12-09T00:00:00"/>
    <m/>
    <s v="zrušeno - jedinný účastník odstoupil od nabídky"/>
    <m/>
    <m/>
    <m/>
    <m/>
    <m/>
    <m/>
    <m/>
    <m/>
    <x v="4"/>
  </r>
  <r>
    <d v="2022-08-30T00:00:00"/>
    <s v="VZ-2022-000938-02"/>
    <x v="1"/>
    <s v="Ondráčková"/>
    <x v="481"/>
    <n v="2"/>
    <s v="Hypertonické roztoky pro peritoneální dialýzu kompatibilní s příslušenstvím Stay Safe a Sleep Safe"/>
    <m/>
    <s v="33692800-5"/>
    <m/>
    <n v="5764044"/>
    <x v="0"/>
    <d v="2022-10-20T00:00:00"/>
    <d v="2022-12-09T00:00:00"/>
    <m/>
    <m/>
    <m/>
    <m/>
    <m/>
    <m/>
    <m/>
    <m/>
    <m/>
    <m/>
    <x v="4"/>
  </r>
  <r>
    <d v="2022-08-25T00:00:00"/>
    <s v="VZ-2022-000942"/>
    <x v="0"/>
    <s v="Dočkalová"/>
    <x v="482"/>
    <m/>
    <m/>
    <m/>
    <s v="33182220-7"/>
    <m/>
    <n v="1890600"/>
    <x v="2"/>
    <d v="2022-09-02T00:00:00"/>
    <d v="2022-09-13T00:00:00"/>
    <d v="2022-09-15T00:00:00"/>
    <s v="Edwards Lifesciences Czech Republic s.r.o."/>
    <m/>
    <n v="1695000"/>
    <n v="1949250"/>
    <m/>
    <m/>
    <m/>
    <d v="2022-09-15T00:00:00"/>
    <s v="SMLN-2022-617-000649_x000a_SMLN-2022-614-000076"/>
    <x v="116"/>
  </r>
  <r>
    <s v="opakovaná VZ"/>
    <s v="VZ-2022-000943"/>
    <x v="0"/>
    <s v="Dočkalová"/>
    <x v="483"/>
    <m/>
    <m/>
    <m/>
    <s v="33140000-3"/>
    <m/>
    <n v="1557945"/>
    <x v="1"/>
    <d v="2022-09-05T00:00:00"/>
    <d v="2022-09-29T00:00:00"/>
    <d v="2022-11-16T00:00:00"/>
    <s v="S.A.B. Impex s.r.o."/>
    <m/>
    <n v="3493012"/>
    <n v="4226544.5199999996"/>
    <m/>
    <m/>
    <m/>
    <d v="2022-11-16T00:00:00"/>
    <s v="SMLN-2022-617-000805"/>
    <x v="182"/>
  </r>
  <r>
    <d v="2022-08-26T00:00:00"/>
    <s v="VZ-2022-000946-01"/>
    <x v="1"/>
    <s v="Ondráčková"/>
    <x v="484"/>
    <n v="1"/>
    <s v="INSULINUM GLARGINUM 100U"/>
    <m/>
    <s v="33615100-5"/>
    <m/>
    <n v="7102618"/>
    <x v="0"/>
    <d v="2022-12-06T00:00:00"/>
    <d v="2023-01-25T00:00:00"/>
    <m/>
    <m/>
    <m/>
    <m/>
    <m/>
    <m/>
    <m/>
    <m/>
    <m/>
    <m/>
    <x v="4"/>
  </r>
  <r>
    <d v="2022-08-26T00:00:00"/>
    <s v="VZ-2022-000946-02"/>
    <x v="1"/>
    <s v="Ondráčková"/>
    <x v="484"/>
    <n v="2"/>
    <s v="INSULINUM GLARGINUM 300U"/>
    <m/>
    <s v="33615100-5"/>
    <m/>
    <n v="5723312"/>
    <x v="0"/>
    <d v="2022-12-06T00:00:00"/>
    <d v="2023-01-25T00:00:00"/>
    <m/>
    <m/>
    <m/>
    <m/>
    <m/>
    <m/>
    <m/>
    <m/>
    <m/>
    <m/>
    <x v="4"/>
  </r>
  <r>
    <d v="2022-08-30T00:00:00"/>
    <s v="VZ-2022-000949"/>
    <x v="0"/>
    <s v="Dočkalová"/>
    <x v="485"/>
    <m/>
    <m/>
    <m/>
    <s v="33140000-3"/>
    <m/>
    <n v="537600"/>
    <x v="2"/>
    <d v="2022-09-05T00:00:00"/>
    <d v="2022-09-13T00:00:00"/>
    <d v="2022-09-26T00:00:00"/>
    <s v="PROMEDICA PRAHA GROUP, a.s."/>
    <m/>
    <n v="389760"/>
    <n v="471609.59999999998"/>
    <m/>
    <m/>
    <m/>
    <d v="2022-09-26T00:00:00"/>
    <s v="SMLN-2022-617-000666"/>
    <x v="99"/>
  </r>
  <r>
    <d v="2022-08-30T00:00:00"/>
    <s v="VZ-2022-000952"/>
    <x v="8"/>
    <s v="Kadlec"/>
    <x v="486"/>
    <m/>
    <m/>
    <m/>
    <s v="45261910-6"/>
    <m/>
    <n v="1000000"/>
    <x v="2"/>
    <d v="2022-09-05T00:00:00"/>
    <d v="2022-09-15T00:00:00"/>
    <d v="2022-09-29T00:00:00"/>
    <s v="W.H.A. system, spol. s r. o."/>
    <m/>
    <n v="990000"/>
    <n v="1197900"/>
    <m/>
    <m/>
    <m/>
    <d v="2022-09-29T00:00:00"/>
    <s v="SMLN-2022-618-000060"/>
    <x v="115"/>
  </r>
  <r>
    <d v="2022-08-30T00:00:00"/>
    <s v="VZ-2022-000953"/>
    <x v="8"/>
    <s v="Kadlec"/>
    <x v="487"/>
    <m/>
    <m/>
    <m/>
    <s v="45453000-7"/>
    <m/>
    <n v="350000"/>
    <x v="2"/>
    <d v="2022-09-05T00:00:00"/>
    <d v="2022-09-14T00:00:00"/>
    <d v="2022-09-26T00:00:00"/>
    <s v="LV Stavby Venclík s.r.o."/>
    <m/>
    <n v="262556.69"/>
    <n v="317693.59000000003"/>
    <m/>
    <m/>
    <m/>
    <d v="2022-09-26T00:00:00"/>
    <s v="SMLN-2022-618-000058"/>
    <x v="181"/>
  </r>
  <r>
    <d v="2022-08-31T00:00:00"/>
    <s v="VZ-2022-000955"/>
    <x v="0"/>
    <s v="Dočkalová"/>
    <x v="488"/>
    <m/>
    <m/>
    <m/>
    <s v="33140000-3"/>
    <m/>
    <n v="1384000"/>
    <x v="2"/>
    <d v="2022-09-06T00:00:00"/>
    <d v="2022-09-13T00:00:00"/>
    <d v="2022-09-26T00:00:00"/>
    <s v="Alcon Phramaceuticals (czech Republic) s.r.o."/>
    <m/>
    <n v="1453200"/>
    <n v="1758372"/>
    <m/>
    <m/>
    <m/>
    <d v="2022-09-26T00:00:00"/>
    <s v="SMLN-2022-617-000667"/>
    <x v="99"/>
  </r>
  <r>
    <d v="2022-08-31T00:00:00"/>
    <s v="VZ-2022-000957"/>
    <x v="0"/>
    <s v="Dočkalová"/>
    <x v="489"/>
    <m/>
    <m/>
    <m/>
    <s v="33168000-5"/>
    <m/>
    <n v="1350000"/>
    <x v="2"/>
    <d v="2022-09-07T00:00:00"/>
    <d v="2022-09-23T00:00:00"/>
    <d v="2022-11-03T00:00:00"/>
    <s v="BILLMED GROUP s.r.o."/>
    <m/>
    <n v="1440000"/>
    <n v="1742400"/>
    <m/>
    <m/>
    <m/>
    <d v="2022-11-03T00:00:00"/>
    <s v="SMLN-2022-617-000773_x000a_SMLN-2022-616-000042"/>
    <x v="164"/>
  </r>
  <r>
    <s v="z roku 2021"/>
    <s v="VZ-2022-000958-01"/>
    <x v="1"/>
    <s v="Ondráčková"/>
    <x v="490"/>
    <n v="1"/>
    <s v="OCPLEX"/>
    <m/>
    <s v="33621000-9"/>
    <m/>
    <n v="16150450"/>
    <x v="0"/>
    <m/>
    <m/>
    <m/>
    <s v="nebude realizováno v roce 2022"/>
    <m/>
    <m/>
    <m/>
    <m/>
    <m/>
    <m/>
    <m/>
    <m/>
    <x v="4"/>
  </r>
  <r>
    <s v="z roku 2021"/>
    <s v="VZ-2022-000958-02"/>
    <x v="1"/>
    <s v="Ondráčková"/>
    <x v="490"/>
    <n v="2"/>
    <s v="ALPROLIX"/>
    <m/>
    <s v="33621000-9"/>
    <m/>
    <n v="10745827"/>
    <x v="0"/>
    <m/>
    <m/>
    <m/>
    <s v="nebude realizováno v roce 2022"/>
    <m/>
    <m/>
    <m/>
    <m/>
    <m/>
    <m/>
    <m/>
    <m/>
    <x v="4"/>
  </r>
  <r>
    <d v="2022-09-05T00:00:00"/>
    <s v="VZ-2022-000961-01"/>
    <x v="0"/>
    <s v="Valtová"/>
    <x v="491"/>
    <n v="1"/>
    <s v=" 2. Zavaděč - sety pro femorální přístup 5F a 6F (sheathy)"/>
    <m/>
    <s v="33140000-3"/>
    <m/>
    <n v="480000"/>
    <x v="0"/>
    <d v="2022-09-09T00:00:00"/>
    <d v="2022-11-23T00:00:00"/>
    <d v="2022-12-22T00:00:00"/>
    <s v="Innova Medical s.r.o."/>
    <m/>
    <n v="472500"/>
    <n v="571725"/>
    <m/>
    <m/>
    <m/>
    <d v="2022-12-22T00:00:00"/>
    <s v="SMLN-2022-617-000892_x000a_SMLN-2022-614-000102"/>
    <x v="4"/>
  </r>
  <r>
    <d v="2022-09-05T00:00:00"/>
    <s v="VZ-2022-000961-02"/>
    <x v="0"/>
    <s v="Valtová"/>
    <x v="491"/>
    <n v="2"/>
    <s v="5. Koronární (PTCA) vodiče - základní typ"/>
    <m/>
    <s v="33140000-3"/>
    <m/>
    <n v="4860000"/>
    <x v="0"/>
    <d v="2022-09-09T00:00:00"/>
    <d v="2022-11-23T00:00:00"/>
    <d v="2022-12-22T00:00:00"/>
    <s v="MEDITRADE spol. s r.o."/>
    <m/>
    <n v="4860000"/>
    <n v="5880600"/>
    <m/>
    <m/>
    <m/>
    <d v="2022-12-22T00:00:00"/>
    <s v="SMLN-2022-617-000893_x000a_SMLN-2022-614-000103"/>
    <x v="4"/>
  </r>
  <r>
    <d v="2022-09-05T00:00:00"/>
    <s v="VZ-2022-000961-03"/>
    <x v="0"/>
    <s v="Valtová"/>
    <x v="491"/>
    <n v="3"/>
    <s v="6. Koronární (PTCA) vodiče - vodiče se zvýšenou odolností měkkého distálního konce, vč. vodičů pro použití chronických uzávěrů (CTO)"/>
    <m/>
    <s v="33140000-3"/>
    <m/>
    <n v="867000"/>
    <x v="0"/>
    <d v="2022-09-09T00:00:00"/>
    <d v="2022-11-23T00:00:00"/>
    <d v="2022-12-22T00:00:00"/>
    <s v="INLAB Medical s.r.o."/>
    <m/>
    <n v="735000"/>
    <n v="889350"/>
    <m/>
    <m/>
    <m/>
    <d v="2022-12-22T00:00:00"/>
    <s v="SMLN-2022-617-000894_x000a_SMLN-2022-614-000104"/>
    <x v="4"/>
  </r>
  <r>
    <d v="2022-09-05T00:00:00"/>
    <s v="VZ-2022-000961-04"/>
    <x v="0"/>
    <s v="Valtová"/>
    <x v="491"/>
    <n v="4"/>
    <s v="8. Balónkové dilatační katetry koronární - střednětlaký (semicompliantní)"/>
    <m/>
    <s v="33140000-3"/>
    <m/>
    <n v="3555000"/>
    <x v="0"/>
    <d v="2022-09-09T00:00:00"/>
    <d v="2022-11-23T00:00:00"/>
    <m/>
    <s v="BS PRAGUE MEDICAL CS, spol. s r.o."/>
    <m/>
    <n v="3555000"/>
    <n v="4301550"/>
    <m/>
    <m/>
    <m/>
    <m/>
    <m/>
    <x v="4"/>
  </r>
  <r>
    <d v="2022-09-05T00:00:00"/>
    <s v="VZ-2022-000961-05"/>
    <x v="0"/>
    <s v="Valtová"/>
    <x v="491"/>
    <n v="5"/>
    <s v="9. Balónkové katetry koronární  - vysokotlaké/postdilatační (noncompliantní)"/>
    <m/>
    <s v="33140000-3"/>
    <m/>
    <n v="13825000"/>
    <x v="0"/>
    <d v="2022-09-09T00:00:00"/>
    <d v="2022-11-23T00:00:00"/>
    <d v="2022-12-22T00:00:00"/>
    <s v="BS PRAGUE MEDICAL CS, spol. s r.o."/>
    <m/>
    <n v="13825000"/>
    <n v="16728250"/>
    <m/>
    <m/>
    <m/>
    <d v="2022-12-22T00:00:00"/>
    <s v="SMLN-2022-617-000895_x000a_SMLN-2022-614-000105"/>
    <x v="4"/>
  </r>
  <r>
    <d v="2022-09-05T00:00:00"/>
    <s v="VZ-2022-000961-06"/>
    <x v="0"/>
    <s v="Valtová"/>
    <x v="491"/>
    <n v="6"/>
    <s v="10. Balónkové katetry koronární  - vysokotlaké nízkoprofilové"/>
    <m/>
    <s v="33140000-3"/>
    <m/>
    <n v="2646900"/>
    <x v="0"/>
    <d v="2022-09-09T00:00:00"/>
    <d v="2022-11-23T00:00:00"/>
    <d v="2022-12-22T00:00:00"/>
    <s v="JI-MEDICAL a.s."/>
    <m/>
    <n v="2646900"/>
    <n v="3202749"/>
    <m/>
    <m/>
    <m/>
    <d v="2022-12-22T00:00:00"/>
    <s v="SMLN-2022-617-000896_x000a_SMLN-2022-614-000106"/>
    <x v="4"/>
  </r>
  <r>
    <d v="2022-09-05T00:00:00"/>
    <s v="VZ-2022-000961-07"/>
    <x v="0"/>
    <s v="Valtová"/>
    <x v="491"/>
    <n v="7"/>
    <s v="11. Balónkové dilatační katetry lékové (DEB)  "/>
    <m/>
    <s v="33140000-3"/>
    <m/>
    <n v="2520000"/>
    <x v="0"/>
    <d v="2022-09-09T00:00:00"/>
    <d v="2022-11-23T00:00:00"/>
    <d v="2022-12-22T00:00:00"/>
    <s v="B. Braun Medical s.r.o."/>
    <m/>
    <n v="2250000"/>
    <n v="2722500"/>
    <m/>
    <m/>
    <m/>
    <d v="2022-12-22T00:00:00"/>
    <s v="SMLN-2022-617-000897_x000a_SMLN-2022-614-000107"/>
    <x v="4"/>
  </r>
  <r>
    <d v="2022-09-05T00:00:00"/>
    <s v="VZ-2022-000961-08"/>
    <x v="0"/>
    <s v="Valtová"/>
    <x v="491"/>
    <n v="8"/>
    <s v="12. Vodící katetry - 6F "/>
    <m/>
    <s v="33140000-3"/>
    <m/>
    <n v="4320000"/>
    <x v="0"/>
    <d v="2022-09-09T00:00:00"/>
    <d v="2022-11-23T00:00:00"/>
    <m/>
    <s v="zrušeno - úprava specifikace"/>
    <m/>
    <m/>
    <m/>
    <m/>
    <m/>
    <m/>
    <m/>
    <m/>
    <x v="4"/>
  </r>
  <r>
    <d v="2022-09-05T00:00:00"/>
    <s v="VZ-2022-000961-09"/>
    <x v="0"/>
    <s v="Valtová"/>
    <x v="491"/>
    <n v="9"/>
    <s v="13. Vodící katetry - 5F"/>
    <m/>
    <s v="33140000-3"/>
    <m/>
    <n v="540000"/>
    <x v="0"/>
    <d v="2022-09-09T00:00:00"/>
    <d v="2022-11-23T00:00:00"/>
    <m/>
    <s v="Innova Medical s.r.o."/>
    <m/>
    <n v="900000"/>
    <n v="1089000"/>
    <m/>
    <m/>
    <m/>
    <m/>
    <m/>
    <x v="4"/>
  </r>
  <r>
    <d v="2022-09-05T00:00:00"/>
    <s v="VZ-2022-000961-10"/>
    <x v="0"/>
    <s v="Valtová"/>
    <x v="491"/>
    <n v="10"/>
    <s v="Mikrokatétr koronární Supercross"/>
    <m/>
    <s v="33140000-3"/>
    <m/>
    <n v="1249587"/>
    <x v="0"/>
    <d v="2022-09-09T00:00:00"/>
    <d v="2022-11-23T00:00:00"/>
    <m/>
    <s v="zrušeno - bez nabídky"/>
    <m/>
    <m/>
    <m/>
    <m/>
    <m/>
    <m/>
    <m/>
    <m/>
    <x v="4"/>
  </r>
  <r>
    <d v="2022-09-05T00:00:00"/>
    <s v="VZ-2022-000961-11"/>
    <x v="0"/>
    <s v="Valtová"/>
    <x v="491"/>
    <n v="11"/>
    <s v="Koronární stenty metalické (Bare metal stents-BMS)"/>
    <m/>
    <s v="33140000-3"/>
    <m/>
    <n v="748000"/>
    <x v="0"/>
    <d v="2022-09-09T00:00:00"/>
    <d v="2022-11-23T00:00:00"/>
    <d v="2022-12-22T00:00:00"/>
    <s v="Stimcare, s.r.o."/>
    <m/>
    <n v="748000"/>
    <n v="905080"/>
    <m/>
    <m/>
    <m/>
    <d v="2022-12-22T00:00:00"/>
    <s v="SMLN-2022-617-000898_x000a_SMLN-2022-614-000108"/>
    <x v="4"/>
  </r>
  <r>
    <d v="2022-09-06T00:00:00"/>
    <s v="VZ-2022-000964"/>
    <x v="0"/>
    <s v="Dočkalová"/>
    <x v="492"/>
    <m/>
    <m/>
    <m/>
    <s v="33162200-5"/>
    <m/>
    <n v="1924060"/>
    <x v="0"/>
    <d v="2022-09-16T00:00:00"/>
    <d v="2022-10-24T00:00:00"/>
    <m/>
    <m/>
    <m/>
    <m/>
    <m/>
    <m/>
    <m/>
    <m/>
    <m/>
    <m/>
    <x v="4"/>
  </r>
  <r>
    <d v="2022-09-06T00:00:00"/>
    <s v="VZ-2022-000973"/>
    <x v="4"/>
    <s v="Olejníček"/>
    <x v="493"/>
    <m/>
    <m/>
    <m/>
    <s v="33192300-5"/>
    <m/>
    <n v="398800"/>
    <x v="2"/>
    <d v="2022-09-07T00:00:00"/>
    <d v="2022-09-16T00:00:00"/>
    <d v="2022-10-05T00:00:00"/>
    <s v="KLARO , spol. s r.o."/>
    <m/>
    <n v="190404"/>
    <n v="230388.84"/>
    <m/>
    <m/>
    <m/>
    <d v="2022-10-05T00:00:00"/>
    <s v="SMLN-2022-617-000680_x000a_SMLN-2022-612-000198"/>
    <x v="145"/>
  </r>
  <r>
    <d v="2022-09-08T00:00:00"/>
    <s v="VZ-2022-000987-01"/>
    <x v="1"/>
    <s v="Ondráčková"/>
    <x v="494"/>
    <n v="1"/>
    <s v="DEXAMETHASON I.V."/>
    <m/>
    <s v="33642200-4"/>
    <m/>
    <n v="685461"/>
    <x v="0"/>
    <d v="2022-09-26T00:00:00"/>
    <d v="2022-12-13T00:00:00"/>
    <m/>
    <m/>
    <m/>
    <m/>
    <m/>
    <m/>
    <m/>
    <m/>
    <m/>
    <m/>
    <x v="4"/>
  </r>
  <r>
    <d v="2022-09-08T00:00:00"/>
    <s v="VZ-2022-000987-02"/>
    <x v="1"/>
    <s v="Ondráčková"/>
    <x v="494"/>
    <n v="2"/>
    <s v="DEXAMETHASON "/>
    <m/>
    <s v="33642200-4"/>
    <m/>
    <n v="5397006"/>
    <x v="0"/>
    <d v="2022-09-26T00:00:00"/>
    <d v="2022-12-13T00:00:00"/>
    <m/>
    <m/>
    <m/>
    <m/>
    <m/>
    <m/>
    <m/>
    <m/>
    <m/>
    <m/>
    <x v="4"/>
  </r>
  <r>
    <d v="2022-09-08T00:00:00"/>
    <s v="VZ-2022-000987-03"/>
    <x v="1"/>
    <s v="Ondráčková"/>
    <x v="494"/>
    <n v="3"/>
    <s v="METHYLPREDNISOLON i.v."/>
    <m/>
    <s v="33642200-4"/>
    <m/>
    <n v="5676329"/>
    <x v="0"/>
    <d v="2022-09-26T00:00:00"/>
    <d v="2022-12-13T00:00:00"/>
    <m/>
    <s v="zrušeno - bez nabídky"/>
    <m/>
    <m/>
    <m/>
    <m/>
    <m/>
    <m/>
    <m/>
    <m/>
    <x v="4"/>
  </r>
  <r>
    <d v="2022-09-08T00:00:00"/>
    <s v="VZ-2022-000987-04"/>
    <x v="1"/>
    <s v="Ondráčková"/>
    <x v="494"/>
    <n v="4"/>
    <s v="PREDNISON"/>
    <m/>
    <s v="33642200-4"/>
    <m/>
    <n v="2452725"/>
    <x v="0"/>
    <d v="2022-09-26T00:00:00"/>
    <d v="2022-12-13T00:00:00"/>
    <m/>
    <m/>
    <m/>
    <m/>
    <m/>
    <m/>
    <m/>
    <m/>
    <m/>
    <m/>
    <x v="4"/>
  </r>
  <r>
    <d v="2022-09-08T00:00:00"/>
    <s v="VZ-2022-000987-05"/>
    <x v="1"/>
    <s v="Ondráčková"/>
    <x v="494"/>
    <n v="5"/>
    <s v="HYDROKORTISON"/>
    <m/>
    <s v="33642200-4"/>
    <m/>
    <n v="2713869"/>
    <x v="0"/>
    <d v="2022-09-26T00:00:00"/>
    <d v="2022-12-13T00:00:00"/>
    <m/>
    <m/>
    <m/>
    <m/>
    <m/>
    <m/>
    <m/>
    <m/>
    <m/>
    <m/>
    <x v="4"/>
  </r>
  <r>
    <d v="2022-09-08T00:00:00"/>
    <s v="VZ-2022-000988-01"/>
    <x v="1"/>
    <s v="Ondráčková"/>
    <x v="495"/>
    <n v="1"/>
    <s v="ARGIPRESIN-ACETÁT"/>
    <m/>
    <s v="33642000-2"/>
    <m/>
    <n v="1329395"/>
    <x v="0"/>
    <d v="2022-11-04T00:00:00"/>
    <d v="2022-12-09T00:00:00"/>
    <m/>
    <m/>
    <m/>
    <m/>
    <m/>
    <m/>
    <m/>
    <m/>
    <m/>
    <m/>
    <x v="4"/>
  </r>
  <r>
    <d v="2022-09-08T00:00:00"/>
    <s v="VZ-2022-000988-02"/>
    <x v="1"/>
    <s v="Ondráčková"/>
    <x v="495"/>
    <n v="2"/>
    <s v="DESMOPRESIN-ACETÁT"/>
    <m/>
    <s v="33642000-2"/>
    <m/>
    <n v="2363241"/>
    <x v="0"/>
    <d v="2022-11-04T00:00:00"/>
    <d v="2022-12-09T00:00:00"/>
    <m/>
    <m/>
    <m/>
    <m/>
    <m/>
    <m/>
    <m/>
    <m/>
    <m/>
    <m/>
    <x v="4"/>
  </r>
  <r>
    <d v="2022-09-08T00:00:00"/>
    <s v="VZ-2022-000988-03"/>
    <x v="1"/>
    <s v="Ondráčková"/>
    <x v="495"/>
    <n v="3"/>
    <s v="TERLIPRESIN-ACETÁT"/>
    <m/>
    <s v="33642000-2"/>
    <m/>
    <n v="941068"/>
    <x v="0"/>
    <d v="2022-11-04T00:00:00"/>
    <d v="2022-12-09T00:00:00"/>
    <m/>
    <m/>
    <m/>
    <m/>
    <m/>
    <m/>
    <m/>
    <m/>
    <m/>
    <m/>
    <x v="4"/>
  </r>
  <r>
    <d v="2022-09-08T00:00:00"/>
    <s v="VZ-2022-000989"/>
    <x v="1"/>
    <s v="Ondráčková"/>
    <x v="496"/>
    <m/>
    <m/>
    <m/>
    <s v="33661500-6"/>
    <m/>
    <n v="908775"/>
    <x v="2"/>
    <d v="2022-11-14T00:00:00"/>
    <d v="2022-11-23T00:00:00"/>
    <m/>
    <s v="zrušeno - oprava zadání"/>
    <s v="nová VZ-2022-001361"/>
    <m/>
    <m/>
    <m/>
    <m/>
    <m/>
    <m/>
    <m/>
    <x v="4"/>
  </r>
  <r>
    <d v="2022-09-12T00:00:00"/>
    <s v="VZ-2022-000995"/>
    <x v="4"/>
    <s v="Olejníček"/>
    <x v="387"/>
    <m/>
    <m/>
    <m/>
    <s v="39711100-0"/>
    <s v="2.3.679"/>
    <n v="350580"/>
    <x v="2"/>
    <d v="2022-09-15T00:00:00"/>
    <d v="2022-09-23T00:00:00"/>
    <d v="2022-10-10T00:00:00"/>
    <s v="Schoeller Instruments, s.r.o."/>
    <m/>
    <n v="343200"/>
    <n v="415272"/>
    <m/>
    <m/>
    <m/>
    <d v="2022-10-10T00:00:00"/>
    <s v="SMLN-2022-617-000691_x000a_SMLN-2022-612-000201"/>
    <x v="145"/>
  </r>
  <r>
    <d v="2022-09-12T00:00:00"/>
    <s v="VZ-2022-000997"/>
    <x v="8"/>
    <s v="Kadlec"/>
    <x v="497"/>
    <m/>
    <m/>
    <m/>
    <s v="45261900-3"/>
    <m/>
    <n v="2300000"/>
    <x v="2"/>
    <d v="2022-09-15T00:00:00"/>
    <d v="2022-10-05T00:00:00"/>
    <d v="2022-10-21T00:00:00"/>
    <s v="DACH-IZOL s.r.o."/>
    <m/>
    <n v="1809160.75"/>
    <n v="2189084.5099999998"/>
    <m/>
    <m/>
    <m/>
    <d v="2022-10-21T00:00:00"/>
    <s v="SMLN-2022-618-000065"/>
    <x v="179"/>
  </r>
  <r>
    <d v="2022-09-12T00:00:00"/>
    <s v="VZ-2022-000998"/>
    <x v="0"/>
    <s v="Dočkalová"/>
    <x v="498"/>
    <m/>
    <m/>
    <m/>
    <s v="33162200-5"/>
    <m/>
    <n v="547820"/>
    <x v="0"/>
    <d v="2022-09-27T00:00:00"/>
    <d v="2022-10-31T00:00:00"/>
    <m/>
    <m/>
    <m/>
    <m/>
    <m/>
    <m/>
    <m/>
    <m/>
    <m/>
    <m/>
    <x v="4"/>
  </r>
  <r>
    <d v="2022-09-09T00:00:00"/>
    <s v="VZ-2022-000999"/>
    <x v="0"/>
    <s v="Dočkalová"/>
    <x v="499"/>
    <m/>
    <m/>
    <m/>
    <s v="33152200-5"/>
    <m/>
    <n v="4743130"/>
    <x v="0"/>
    <d v="2022-09-27T00:00:00"/>
    <d v="2022-11-30T00:00:00"/>
    <m/>
    <m/>
    <m/>
    <m/>
    <m/>
    <m/>
    <m/>
    <m/>
    <m/>
    <m/>
    <x v="4"/>
  </r>
  <r>
    <d v="2022-09-13T00:00:00"/>
    <s v="VZ-2022-001000"/>
    <x v="4"/>
    <s v="Olejníček"/>
    <x v="500"/>
    <m/>
    <m/>
    <m/>
    <s v="33157400-9"/>
    <s v="2.2.497"/>
    <n v="642701"/>
    <x v="2"/>
    <d v="2022-09-15T00:00:00"/>
    <d v="2022-09-27T00:00:00"/>
    <d v="2022-10-14T00:00:00"/>
    <s v="DARTIN spol. s r.o."/>
    <m/>
    <n v="526197.75"/>
    <n v="636699.28"/>
    <m/>
    <m/>
    <m/>
    <d v="2022-10-14T00:00:00"/>
    <s v="SMLN-2022-617-000721_x000a_SMLN-2022-612-000205"/>
    <x v="145"/>
  </r>
  <r>
    <d v="2022-09-13T00:00:00"/>
    <s v="VZ-2022-001001"/>
    <x v="5"/>
    <s v="Srovnal"/>
    <x v="501"/>
    <m/>
    <m/>
    <m/>
    <s v="50342000-4"/>
    <m/>
    <n v="550000"/>
    <x v="2"/>
    <d v="2022-09-15T00:00:00"/>
    <d v="2022-09-27T00:00:00"/>
    <d v="2022-10-10T00:00:00"/>
    <s v="Lukáš Dopita"/>
    <m/>
    <n v="375446"/>
    <n v="454289.67"/>
    <m/>
    <m/>
    <m/>
    <d v="2022-10-10T00:00:00"/>
    <s v="SMLN-2022-618-000064"/>
    <x v="185"/>
  </r>
  <r>
    <d v="2022-09-13T00:00:00"/>
    <s v="VZ-2022-001013"/>
    <x v="4"/>
    <s v="Olejníček"/>
    <x v="502"/>
    <m/>
    <m/>
    <m/>
    <s v="33191000-5"/>
    <s v="2.3.623"/>
    <n v="238000"/>
    <x v="0"/>
    <d v="2022-09-22T00:00:00"/>
    <d v="2022-10-31T00:00:00"/>
    <d v="2022-11-29T00:00:00"/>
    <s v="MEDISTYL- PHARMA a.s."/>
    <m/>
    <n v="302820"/>
    <n v="366412.2"/>
    <m/>
    <m/>
    <m/>
    <d v="2022-11-29T00:00:00"/>
    <s v="SMLN-2022-617-000826_x000a_SMLN-2022-612-000221"/>
    <x v="186"/>
  </r>
  <r>
    <d v="2022-09-14T00:00:00"/>
    <s v="VZ-2022-001016"/>
    <x v="4"/>
    <s v="Olejníček"/>
    <x v="503"/>
    <m/>
    <m/>
    <m/>
    <s v="33111000-1"/>
    <s v="2.2.498"/>
    <n v="140000"/>
    <x v="2"/>
    <d v="2022-09-27T00:00:00"/>
    <d v="2022-10-07T00:00:00"/>
    <d v="2022-10-14T00:00:00"/>
    <s v="Stargen EU s.r.o."/>
    <m/>
    <n v="121800"/>
    <n v="147378"/>
    <m/>
    <m/>
    <m/>
    <d v="2022-10-14T00:00:00"/>
    <s v="SMLN-2022-617-000722"/>
    <x v="146"/>
  </r>
  <r>
    <d v="2022-09-16T00:00:00"/>
    <s v="VZ-2022-001020"/>
    <x v="0"/>
    <s v="Dočkalová"/>
    <x v="504"/>
    <m/>
    <m/>
    <m/>
    <s v="33140000-3"/>
    <m/>
    <n v="1354240"/>
    <x v="2"/>
    <d v="2022-09-26T00:00:00"/>
    <d v="2022-10-04T00:00:00"/>
    <d v="2022-10-05T00:00:00"/>
    <s v="Medline International CZ s.r.o."/>
    <m/>
    <n v="1620595"/>
    <n v="1960919.95"/>
    <m/>
    <m/>
    <m/>
    <d v="2022-10-05T00:00:00"/>
    <s v="SMLN-2022-617-000681"/>
    <x v="66"/>
  </r>
  <r>
    <d v="2022-09-14T00:00:00"/>
    <s v="VZ-2022-001022"/>
    <x v="0"/>
    <s v="Zdráhalová"/>
    <x v="505"/>
    <m/>
    <m/>
    <m/>
    <s v="33141620-2 "/>
    <m/>
    <n v="2751513"/>
    <x v="0"/>
    <d v="2022-09-30T00:00:00"/>
    <d v="2022-11-01T00:00:00"/>
    <m/>
    <s v="zrušeno - úprava specifikace"/>
    <m/>
    <m/>
    <m/>
    <m/>
    <m/>
    <m/>
    <m/>
    <m/>
    <x v="4"/>
  </r>
  <r>
    <d v="2022-09-19T00:00:00"/>
    <s v="VZ-2022-001024"/>
    <x v="2"/>
    <s v="Valíček"/>
    <x v="506"/>
    <m/>
    <m/>
    <m/>
    <s v="71000000-8"/>
    <m/>
    <n v="20000000"/>
    <x v="0"/>
    <d v="2022-10-06T00:00:00"/>
    <d v="2022-12-16T00:00:00"/>
    <d v="2022-12-27T00:00:00"/>
    <s v="DigiTry + Siebert+Talaš"/>
    <m/>
    <n v="12458000"/>
    <n v="15074180"/>
    <m/>
    <m/>
    <m/>
    <d v="2022-12-27T00:00:00"/>
    <s v="SMLN-2022-618-000080"/>
    <x v="4"/>
  </r>
  <r>
    <d v="2022-09-19T00:00:00"/>
    <s v="VZ-2022-001025-01"/>
    <x v="1"/>
    <s v="Ondráčková"/>
    <x v="507"/>
    <n v="1"/>
    <s v="TRIMEKAIN-HYDROCHLORID"/>
    <m/>
    <s v="33661100-2"/>
    <m/>
    <n v="2930679"/>
    <x v="0"/>
    <d v="2022-10-13T00:00:00"/>
    <d v="2022-11-15T00:00:00"/>
    <d v="2022-12-21T00:00:00"/>
    <s v="Alliance Healthcare s.r.o."/>
    <m/>
    <n v="2887622.4"/>
    <n v="3176384.64"/>
    <m/>
    <m/>
    <m/>
    <d v="2022-12-21T00:00:00"/>
    <s v="SMLN-2022-617-000882"/>
    <x v="4"/>
  </r>
  <r>
    <d v="2022-09-19T00:00:00"/>
    <s v="VZ-2022-001025-02"/>
    <x v="1"/>
    <s v="Ondráčková"/>
    <x v="507"/>
    <n v="2"/>
    <s v="TRIMEKAIN-HYDROCHLORID A KARBETHOPENDECINIUM-BROMID"/>
    <m/>
    <s v="33661100-2"/>
    <m/>
    <n v="1823158"/>
    <x v="0"/>
    <d v="2022-10-13T00:00:00"/>
    <d v="2022-11-15T00:00:00"/>
    <d v="2022-12-21T00:00:00"/>
    <s v="Alliance Healthcare s.r.o."/>
    <m/>
    <n v="1765370.64"/>
    <n v="1941907.7"/>
    <m/>
    <m/>
    <m/>
    <d v="2022-12-21T00:00:00"/>
    <s v="SMLN-2022-617-000883"/>
    <x v="4"/>
  </r>
  <r>
    <d v="2022-09-19T00:00:00"/>
    <s v="VZ-2022-001025-03"/>
    <x v="1"/>
    <s v="Ondráčková"/>
    <x v="507"/>
    <n v="3"/>
    <s v="BUPIVAKAIN  "/>
    <m/>
    <s v="33661100-2"/>
    <m/>
    <n v="2357197"/>
    <x v="0"/>
    <d v="2022-10-13T00:00:00"/>
    <d v="2022-11-15T00:00:00"/>
    <d v="2022-12-21T00:00:00"/>
    <s v="PHOENIX lék. velkoobchod, s.r.o."/>
    <m/>
    <n v="1698102.24"/>
    <n v="1867912.46"/>
    <m/>
    <m/>
    <m/>
    <d v="2022-12-21T00:00:00"/>
    <s v="SMLN-2022-617-000885"/>
    <x v="4"/>
  </r>
  <r>
    <d v="2022-09-19T00:00:00"/>
    <s v="VZ-2022-001025-04"/>
    <x v="1"/>
    <s v="Ondráčková"/>
    <x v="507"/>
    <n v="4"/>
    <s v="LIDOKAIN "/>
    <m/>
    <s v="33661100-2"/>
    <m/>
    <n v="494433"/>
    <x v="0"/>
    <d v="2022-10-13T00:00:00"/>
    <d v="2022-11-15T00:00:00"/>
    <d v="2022-12-21T00:00:00"/>
    <s v="PHOENIX lék. velkoobchod, s.r.o."/>
    <m/>
    <n v="491961.28"/>
    <n v="541157.41"/>
    <m/>
    <m/>
    <m/>
    <d v="2022-12-21T00:00:00"/>
    <s v="SMLN-2022-617-000886"/>
    <x v="4"/>
  </r>
  <r>
    <d v="2022-09-19T00:00:00"/>
    <s v="VZ-2022-001025-05"/>
    <x v="1"/>
    <s v="Ondráčková"/>
    <x v="507"/>
    <n v="5"/>
    <s v="LEVOBUPIVAKAIN "/>
    <m/>
    <s v="33661100-2"/>
    <m/>
    <n v="1462800"/>
    <x v="0"/>
    <d v="2022-10-13T00:00:00"/>
    <d v="2022-11-15T00:00:00"/>
    <m/>
    <s v="zrušeno - bez nabídky"/>
    <m/>
    <m/>
    <m/>
    <m/>
    <m/>
    <m/>
    <m/>
    <m/>
    <x v="4"/>
  </r>
  <r>
    <d v="2022-09-19T00:00:00"/>
    <s v="VZ-2022-001025-06"/>
    <x v="1"/>
    <s v="Ondráčková"/>
    <x v="507"/>
    <n v="6"/>
    <s v="LIDOKAIN/PRILOKAIN"/>
    <m/>
    <s v="33661100-2"/>
    <m/>
    <n v="141314"/>
    <x v="0"/>
    <d v="2022-10-13T00:00:00"/>
    <d v="2022-11-15T00:00:00"/>
    <d v="2022-12-21T00:00:00"/>
    <s v="PHOENIX lék. velkoobchod, s.r.o."/>
    <m/>
    <n v="122897.36"/>
    <n v="135187.1"/>
    <m/>
    <m/>
    <m/>
    <d v="2022-12-21T00:00:00"/>
    <s v="SMLN-2022-617-000887"/>
    <x v="4"/>
  </r>
  <r>
    <d v="2022-09-19T00:00:00"/>
    <s v="VZ-2022-001025-07"/>
    <x v="1"/>
    <s v="Ondráčková"/>
    <x v="507"/>
    <n v="7"/>
    <s v="EPINEFRIN/ARTIKAIN"/>
    <m/>
    <s v="33661100-2"/>
    <m/>
    <n v="3848541"/>
    <x v="0"/>
    <d v="2022-10-13T00:00:00"/>
    <d v="2022-11-15T00:00:00"/>
    <m/>
    <s v="zrušeno - bez nabídky"/>
    <m/>
    <m/>
    <m/>
    <m/>
    <m/>
    <m/>
    <m/>
    <m/>
    <x v="4"/>
  </r>
  <r>
    <d v="2022-09-19T00:00:00"/>
    <s v="VZ-2022-001026"/>
    <x v="1"/>
    <s v="Ondráčková"/>
    <x v="508"/>
    <m/>
    <m/>
    <m/>
    <s v="33610000-9"/>
    <m/>
    <n v="9072548"/>
    <x v="0"/>
    <d v="2022-10-20T00:00:00"/>
    <d v="2023-01-12T00:00:00"/>
    <m/>
    <m/>
    <m/>
    <m/>
    <m/>
    <m/>
    <m/>
    <m/>
    <m/>
    <m/>
    <x v="4"/>
  </r>
  <r>
    <d v="2022-09-19T00:00:00"/>
    <s v="VZ-2022-001034"/>
    <x v="4"/>
    <s v="Olejníček"/>
    <x v="509"/>
    <m/>
    <m/>
    <m/>
    <s v="33195100-4"/>
    <m/>
    <n v="912648"/>
    <x v="2"/>
    <d v="2022-09-26T00:00:00"/>
    <d v="2022-10-03T00:00:00"/>
    <d v="2022-10-06T00:00:00"/>
    <s v="mySASY a.s."/>
    <m/>
    <n v="276697.5"/>
    <n v="334803.98"/>
    <m/>
    <m/>
    <m/>
    <d v="2022-10-06T00:00:00"/>
    <s v="SMLN-2022-617-000687"/>
    <x v="150"/>
  </r>
  <r>
    <d v="2022-09-26T00:00:00"/>
    <s v="VZ-2022-001049"/>
    <x v="0"/>
    <s v="Dočkalová"/>
    <x v="510"/>
    <m/>
    <m/>
    <m/>
    <s v="33162200-5"/>
    <m/>
    <n v="600000"/>
    <x v="0"/>
    <d v="2022-10-04T00:00:00"/>
    <d v="2023-01-05T00:00:00"/>
    <m/>
    <m/>
    <m/>
    <m/>
    <m/>
    <m/>
    <m/>
    <m/>
    <m/>
    <m/>
    <x v="4"/>
  </r>
  <r>
    <s v="opakovaná VZ"/>
    <s v="VZ-2022-001051"/>
    <x v="0"/>
    <s v="Dočkalová"/>
    <x v="511"/>
    <m/>
    <m/>
    <m/>
    <s v="33168000-5"/>
    <m/>
    <n v="600000"/>
    <x v="2"/>
    <d v="2022-09-29T00:00:00"/>
    <d v="2022-10-11T00:00:00"/>
    <d v="2022-11-23T00:00:00"/>
    <s v="INLAB s.r.o."/>
    <m/>
    <n v="792000"/>
    <n v="958320"/>
    <m/>
    <m/>
    <m/>
    <d v="2022-11-23T00:00:00"/>
    <s v="SMLN-2022-617-000822_x000a_SMLN-2022-616-000045"/>
    <x v="92"/>
  </r>
  <r>
    <d v="2022-09-26T00:00:00"/>
    <s v="VZ-2022-001053-01"/>
    <x v="4"/>
    <s v="Olejníček"/>
    <x v="512"/>
    <n v="1"/>
    <s v="Úpravna vody pro OKB"/>
    <m/>
    <s v="42912330-4"/>
    <s v="4.2.191, 2.3.613."/>
    <n v="845255"/>
    <x v="2"/>
    <d v="2022-10-05T00:00:00"/>
    <d v="2022-10-13T00:00:00"/>
    <d v="2022-11-04T00:00:00"/>
    <s v="AQUAL s.r.o."/>
    <m/>
    <n v="503584"/>
    <n v="609336.64"/>
    <m/>
    <m/>
    <m/>
    <d v="2022-11-04T00:00:00"/>
    <s v="SMLN-2022-617-000781_x000a_SMLN-2022-612-000212"/>
    <x v="187"/>
  </r>
  <r>
    <d v="2022-09-26T00:00:00"/>
    <s v="VZ-2022-001053-02"/>
    <x v="4"/>
    <s v="Olejníček"/>
    <x v="512"/>
    <n v="2"/>
    <s v="Úpravna vody pro SOUD"/>
    <m/>
    <s v="42912330-4"/>
    <s v="2.2.500."/>
    <n v="310000"/>
    <x v="2"/>
    <d v="2022-10-05T00:00:00"/>
    <d v="2022-10-13T00:00:00"/>
    <d v="2022-11-04T00:00:00"/>
    <s v="AQUAL s.r.o."/>
    <m/>
    <n v="225129"/>
    <n v="272406.09000000003"/>
    <m/>
    <m/>
    <m/>
    <d v="2022-11-04T00:00:00"/>
    <s v="SMLN-2022-617-000782_x000a_SMLN-2022-612-000213"/>
    <x v="187"/>
  </r>
  <r>
    <d v="2022-09-27T00:00:00"/>
    <s v="VZ-2022-001055"/>
    <x v="0"/>
    <s v="Dočkalová"/>
    <x v="513"/>
    <m/>
    <m/>
    <m/>
    <s v="33162200-5"/>
    <m/>
    <n v="558500"/>
    <x v="0"/>
    <d v="2022-10-04T00:00:00"/>
    <d v="2022-11-07T00:00:00"/>
    <m/>
    <m/>
    <m/>
    <m/>
    <m/>
    <m/>
    <m/>
    <m/>
    <m/>
    <m/>
    <x v="4"/>
  </r>
  <r>
    <d v="2022-10-05T00:00:00"/>
    <s v="VZ-2022-001060"/>
    <x v="22"/>
    <s v="Novák"/>
    <x v="514"/>
    <m/>
    <m/>
    <m/>
    <s v="33192120-9"/>
    <m/>
    <n v="305000"/>
    <x v="0"/>
    <d v="2022-10-11T00:00:00"/>
    <d v="2022-11-21T00:00:00"/>
    <d v="2022-12-06T00:00:00"/>
    <s v="PROMA REHA, s.r.o."/>
    <m/>
    <n v="232336.88"/>
    <n v="270117.81"/>
    <m/>
    <m/>
    <m/>
    <d v="2022-12-06T00:00:00"/>
    <s v="SMLN-2022-617-000841_x000a_SMLN-2022-612-000224"/>
    <x v="186"/>
  </r>
  <r>
    <d v="2022-09-30T00:00:00"/>
    <s v="VZ-2022-001061"/>
    <x v="9"/>
    <s v="Oravec"/>
    <x v="515"/>
    <m/>
    <m/>
    <m/>
    <s v="30214000-2"/>
    <m/>
    <n v="500000"/>
    <x v="2"/>
    <d v="2022-10-06T00:00:00"/>
    <d v="2022-10-18T00:00:00"/>
    <d v="2022-10-21T00:00:00"/>
    <s v="AUTOCONT a.s."/>
    <m/>
    <n v="546000"/>
    <n v="660660"/>
    <m/>
    <m/>
    <m/>
    <d v="2022-10-21T00:00:00"/>
    <s v="SMLN-2022-617-000746"/>
    <x v="188"/>
  </r>
  <r>
    <d v="2022-09-30T00:00:00"/>
    <s v="VZ-2022-001063"/>
    <x v="5"/>
    <s v="Srovnal"/>
    <x v="516"/>
    <m/>
    <m/>
    <m/>
    <s v="39314000-6"/>
    <s v="4.2.190."/>
    <n v="420000"/>
    <x v="2"/>
    <d v="2022-10-18T00:00:00"/>
    <d v="2022-10-27T00:00:00"/>
    <d v="2022-11-07T00:00:00"/>
    <s v="Jiří Ruček SET-ES"/>
    <m/>
    <n v="315973"/>
    <n v="382327.4"/>
    <m/>
    <m/>
    <m/>
    <d v="2022-11-07T00:00:00"/>
    <s v="SMLN-2022-617-000784"/>
    <x v="171"/>
  </r>
  <r>
    <d v="2022-09-30T00:00:00"/>
    <s v="VZ-2022-001064"/>
    <x v="1"/>
    <s v="Ondráčková"/>
    <x v="517"/>
    <m/>
    <m/>
    <m/>
    <s v="09343000-5"/>
    <m/>
    <n v="4407468"/>
    <x v="0"/>
    <d v="2022-12-15T00:00:00"/>
    <d v="2023-01-19T00:00:00"/>
    <m/>
    <m/>
    <m/>
    <m/>
    <m/>
    <m/>
    <m/>
    <m/>
    <m/>
    <m/>
    <x v="4"/>
  </r>
  <r>
    <d v="2022-09-30T00:00:00"/>
    <s v="VZ-2022-001065"/>
    <x v="9"/>
    <s v="Miklík"/>
    <x v="518"/>
    <m/>
    <m/>
    <m/>
    <s v="48730000-4"/>
    <s v="3.2.61."/>
    <n v="5800000"/>
    <x v="0"/>
    <d v="2022-10-07T00:00:00"/>
    <d v="2022-11-09T00:00:00"/>
    <d v="2022-11-22T00:00:00"/>
    <s v="AUTOCONT a.s."/>
    <m/>
    <n v="5795100"/>
    <n v="7012071"/>
    <m/>
    <m/>
    <m/>
    <d v="2022-11-22T00:00:00"/>
    <s v="SMLN-2022-617-000820"/>
    <x v="161"/>
  </r>
  <r>
    <s v="30.9.20022"/>
    <s v="VZ-2022-001071"/>
    <x v="5"/>
    <s v="Srovnal"/>
    <x v="519"/>
    <m/>
    <m/>
    <m/>
    <s v="42531000-7"/>
    <s v="4.2.189."/>
    <n v="1150000"/>
    <x v="2"/>
    <d v="2022-10-05T00:00:00"/>
    <d v="2022-10-14T00:00:00"/>
    <d v="2022-11-02T00:00:00"/>
    <s v="JKKLIMA Technologie s.r.o."/>
    <m/>
    <n v="934136.23"/>
    <n v="1130304.8400000001"/>
    <m/>
    <m/>
    <m/>
    <d v="2022-11-02T00:00:00"/>
    <s v="SMLN-2022-618-000068"/>
    <x v="171"/>
  </r>
  <r>
    <s v="opakovaná VZ"/>
    <s v="VZ-2022-001073"/>
    <x v="1"/>
    <s v="Ondráčková"/>
    <x v="520"/>
    <m/>
    <m/>
    <m/>
    <s v="33652300-8"/>
    <m/>
    <n v="345461"/>
    <x v="0"/>
    <d v="2022-10-13T00:00:00"/>
    <d v="2022-11-15T00:00:00"/>
    <m/>
    <m/>
    <m/>
    <m/>
    <m/>
    <m/>
    <m/>
    <m/>
    <m/>
    <m/>
    <x v="4"/>
  </r>
  <r>
    <d v="2022-10-03T00:00:00"/>
    <s v="VZ-2022-001081"/>
    <x v="9"/>
    <s v="Oravec"/>
    <x v="521"/>
    <m/>
    <m/>
    <m/>
    <s v="32552110-1"/>
    <m/>
    <n v="588000"/>
    <x v="2"/>
    <d v="2022-10-07T00:00:00"/>
    <d v="2022-10-18T00:00:00"/>
    <d v="2022-10-25T00:00:00"/>
    <s v="ERISERV, spol. s r.o."/>
    <m/>
    <n v="580000"/>
    <n v="701800"/>
    <m/>
    <m/>
    <m/>
    <d v="2022-10-25T00:00:00"/>
    <s v="SMLN-2022-617-000758"/>
    <x v="147"/>
  </r>
  <r>
    <d v="2022-10-05T00:00:00"/>
    <s v="VZ-2022-001097"/>
    <x v="7"/>
    <s v="Svozil"/>
    <x v="522"/>
    <m/>
    <m/>
    <m/>
    <s v="45453100-8"/>
    <m/>
    <n v="5100000"/>
    <x v="2"/>
    <d v="2022-10-12T00:00:00"/>
    <d v="2022-10-25T00:00:00"/>
    <d v="2022-10-25T00:00:00"/>
    <s v="VHT Vodohospodářské technologie s.r.o."/>
    <m/>
    <n v="5837620"/>
    <n v="7063520.2000000002"/>
    <m/>
    <m/>
    <m/>
    <d v="2022-10-25T00:00:00"/>
    <s v="SMLN-2022-618-000067"/>
    <x v="144"/>
  </r>
  <r>
    <d v="2022-10-06T00:00:00"/>
    <s v="VZ-2022-001102"/>
    <x v="1"/>
    <s v="Ondráčková"/>
    <x v="523"/>
    <m/>
    <m/>
    <m/>
    <s v="33652000-5"/>
    <m/>
    <n v="7827081"/>
    <x v="0"/>
    <d v="2022-10-21T00:00:00"/>
    <d v="2022-11-28T00:00:00"/>
    <d v="2022-12-16T00:00:00"/>
    <s v="PHOENIX lék.velkoobchod, s.r.o."/>
    <m/>
    <n v="7827080.6699999999"/>
    <n v="8609788.7400000002"/>
    <m/>
    <m/>
    <m/>
    <d v="2022-12-16T00:00:00"/>
    <s v="SMLN-2022-617-000869"/>
    <x v="4"/>
  </r>
  <r>
    <d v="2022-10-06T00:00:00"/>
    <s v="VZ-2022-001103"/>
    <x v="1"/>
    <s v="Ondráčková"/>
    <x v="524"/>
    <m/>
    <m/>
    <m/>
    <s v="33652000-5"/>
    <m/>
    <n v="96996000"/>
    <x v="0"/>
    <d v="2022-11-01T00:00:00"/>
    <d v="2022-12-19T00:00:00"/>
    <m/>
    <m/>
    <m/>
    <m/>
    <m/>
    <m/>
    <m/>
    <m/>
    <m/>
    <m/>
    <x v="4"/>
  </r>
  <r>
    <d v="2022-10-06T00:00:00"/>
    <s v="VZ-2022-001104-01"/>
    <x v="1"/>
    <s v="Ondráčková"/>
    <x v="525"/>
    <n v="1"/>
    <s v="TAMSULOSIN"/>
    <m/>
    <s v="33641000-5"/>
    <m/>
    <n v="527402"/>
    <x v="1"/>
    <m/>
    <m/>
    <m/>
    <m/>
    <m/>
    <m/>
    <m/>
    <m/>
    <m/>
    <m/>
    <m/>
    <m/>
    <x v="4"/>
  </r>
  <r>
    <d v="2022-10-06T00:00:00"/>
    <s v="VZ-2022-001104-02"/>
    <x v="1"/>
    <s v="Ondráčková"/>
    <x v="525"/>
    <n v="2"/>
    <s v="TAMSULOSIN A DUTASTERID"/>
    <m/>
    <s v="33641000-5"/>
    <m/>
    <n v="1081093"/>
    <x v="1"/>
    <m/>
    <m/>
    <m/>
    <m/>
    <m/>
    <m/>
    <m/>
    <m/>
    <m/>
    <m/>
    <m/>
    <m/>
    <x v="4"/>
  </r>
  <r>
    <d v="2022-10-06T00:00:00"/>
    <s v="VZ-2022-001104-03"/>
    <x v="1"/>
    <s v="Ondráčková"/>
    <x v="525"/>
    <n v="3"/>
    <s v="TAMSULOSIN A SOLIFENACIN"/>
    <m/>
    <s v="33641000-5"/>
    <m/>
    <n v="990009"/>
    <x v="1"/>
    <m/>
    <m/>
    <m/>
    <m/>
    <m/>
    <m/>
    <m/>
    <m/>
    <m/>
    <m/>
    <m/>
    <m/>
    <x v="4"/>
  </r>
  <r>
    <d v="2022-10-06T00:00:00"/>
    <s v="VZ-2022-001111"/>
    <x v="19"/>
    <s v="Olejníček"/>
    <x v="526"/>
    <m/>
    <m/>
    <m/>
    <s v="90910000-9"/>
    <m/>
    <n v="564800000"/>
    <x v="0"/>
    <d v="2022-11-23T00:00:00"/>
    <d v="2023-01-13T00:00:00"/>
    <m/>
    <m/>
    <m/>
    <m/>
    <m/>
    <m/>
    <m/>
    <m/>
    <m/>
    <m/>
    <x v="4"/>
  </r>
  <r>
    <d v="2022-10-07T00:00:00"/>
    <s v="VZ-2022-001113"/>
    <x v="4"/>
    <s v="Olejníček"/>
    <x v="527"/>
    <m/>
    <m/>
    <m/>
    <s v="30232100-5"/>
    <s v="2.2.502."/>
    <n v="125730"/>
    <x v="2"/>
    <d v="2022-10-12T00:00:00"/>
    <d v="2022-10-21T00:00:00"/>
    <d v="2022-11-03T00:00:00"/>
    <s v="JPS s.r.o."/>
    <m/>
    <n v="125700"/>
    <n v="152097"/>
    <m/>
    <m/>
    <m/>
    <d v="2022-11-03T00:00:00"/>
    <s v="SMLN-2022-617-000777"/>
    <x v="134"/>
  </r>
  <r>
    <s v="opakovaná VZ"/>
    <s v="VZ-2022-001121"/>
    <x v="3"/>
    <s v="Olejníček"/>
    <x v="528"/>
    <m/>
    <m/>
    <m/>
    <s v="33186000-7"/>
    <s v="2.2.400."/>
    <n v="6061532"/>
    <x v="0"/>
    <d v="2022-11-01T00:00:00"/>
    <d v="2022-12-05T00:00:00"/>
    <d v="2022-12-22T00:00:00"/>
    <s v="Reg- Pharm, s.r.o."/>
    <m/>
    <n v="6316732"/>
    <n v="7642035.7199999997"/>
    <m/>
    <m/>
    <m/>
    <d v="2022-12-22T00:00:00"/>
    <s v="SMLN-2022-617-000889_x000a_SMLN-2022-612-000235_x000a_SMLN-2022-617-000890"/>
    <x v="4"/>
  </r>
  <r>
    <d v="2022-10-11T00:00:00"/>
    <s v="VZ-2022-001123-01"/>
    <x v="0"/>
    <s v="Valtová"/>
    <x v="529"/>
    <n v="1"/>
    <s v="Set hadicový"/>
    <m/>
    <s v="33140000-3"/>
    <m/>
    <n v="1275260"/>
    <x v="0"/>
    <d v="2022-11-08T00:00:00"/>
    <d v="2022-12-12T00:00:00"/>
    <m/>
    <m/>
    <m/>
    <m/>
    <m/>
    <m/>
    <m/>
    <m/>
    <m/>
    <m/>
    <x v="4"/>
  </r>
  <r>
    <d v="2022-10-11T00:00:00"/>
    <s v="VZ-2022-001123-02"/>
    <x v="0"/>
    <s v="Valtová"/>
    <x v="529"/>
    <n v="2"/>
    <s v="Frézy k shaveru, kompatibilní k ASK konzole Synergy Shaver AR-8305"/>
    <m/>
    <s v="33140000-3"/>
    <m/>
    <n v="2860000"/>
    <x v="0"/>
    <d v="2022-11-08T00:00:00"/>
    <d v="2022-12-12T00:00:00"/>
    <m/>
    <m/>
    <m/>
    <m/>
    <m/>
    <m/>
    <m/>
    <m/>
    <m/>
    <m/>
    <x v="4"/>
  </r>
  <r>
    <d v="2022-10-11T00:00:00"/>
    <s v="VZ-2022-001123-03"/>
    <x v="0"/>
    <s v="Valtová"/>
    <x v="529"/>
    <n v="3"/>
    <s v="Elektrody (sondy) bipolární Apollo, radiofrekvenční ablace 50 a 90, odsávací i neodsávací"/>
    <m/>
    <s v="33140000-3"/>
    <m/>
    <n v="5280000"/>
    <x v="0"/>
    <d v="2022-11-08T00:00:00"/>
    <d v="2022-12-12T00:00:00"/>
    <m/>
    <m/>
    <m/>
    <m/>
    <m/>
    <m/>
    <m/>
    <m/>
    <m/>
    <m/>
    <x v="4"/>
  </r>
  <r>
    <d v="2022-10-11T00:00:00"/>
    <s v="VZ-2022-001126"/>
    <x v="4"/>
    <s v="Olejníček"/>
    <x v="530"/>
    <m/>
    <m/>
    <m/>
    <s v="38000000-5"/>
    <s v="2.3.680."/>
    <n v="6250000"/>
    <x v="0"/>
    <d v="2022-10-19T00:00:00"/>
    <d v="2022-12-21T00:00:00"/>
    <m/>
    <m/>
    <m/>
    <m/>
    <m/>
    <m/>
    <m/>
    <m/>
    <m/>
    <m/>
    <x v="4"/>
  </r>
  <r>
    <d v="2022-10-12T00:00:00"/>
    <s v="VZ-2022-001130"/>
    <x v="0"/>
    <s v="Valtová"/>
    <x v="531"/>
    <m/>
    <m/>
    <m/>
    <s v="33140000-3"/>
    <m/>
    <n v="614400"/>
    <x v="2"/>
    <d v="2022-10-14T00:00:00"/>
    <d v="2022-10-25T00:00:00"/>
    <d v="2022-11-03T00:00:00"/>
    <s v="INLAB s.r.o."/>
    <m/>
    <n v="614400"/>
    <n v="743424"/>
    <m/>
    <m/>
    <m/>
    <d v="2022-11-03T00:00:00"/>
    <s v="SMLN-2022-617-000776_x000a_SMLN-2022-614-000089"/>
    <x v="133"/>
  </r>
  <r>
    <s v="opakovaná VZ"/>
    <s v="VZ-2022-001135"/>
    <x v="3"/>
    <s v="Olejníček"/>
    <x v="532"/>
    <m/>
    <m/>
    <m/>
    <s v="33152000-0"/>
    <s v="2.2.415."/>
    <n v="713670"/>
    <x v="0"/>
    <d v="2022-11-01T00:00:00"/>
    <d v="2022-12-05T00:00:00"/>
    <d v="2022-12-19T00:00:00"/>
    <s v="TRIGON PLUS s.r.o."/>
    <m/>
    <n v="847150"/>
    <n v="1025051.5"/>
    <m/>
    <m/>
    <m/>
    <d v="2022-12-19T00:00:00"/>
    <s v="SMLN-2022-617-000870_x000a_SMLN-2022-612-000233"/>
    <x v="4"/>
  </r>
  <r>
    <d v="2022-10-13T00:00:00"/>
    <s v="VZ-2022-001137"/>
    <x v="5"/>
    <s v="Srovnal"/>
    <x v="533"/>
    <m/>
    <m/>
    <m/>
    <s v="39314000-6"/>
    <s v="4.2.193."/>
    <n v="170000"/>
    <x v="2"/>
    <d v="2022-10-18T00:00:00"/>
    <d v="2022-10-26T00:00:00"/>
    <m/>
    <s v="zrušeno - bez nabídky"/>
    <s v="nová VZ-2022-001198"/>
    <m/>
    <m/>
    <m/>
    <m/>
    <m/>
    <m/>
    <m/>
    <x v="4"/>
  </r>
  <r>
    <d v="2022-10-13T00:00:00"/>
    <s v="VZ-2022-001139"/>
    <x v="7"/>
    <s v="Svozil"/>
    <x v="534"/>
    <m/>
    <m/>
    <m/>
    <s v="45332200-5"/>
    <m/>
    <n v="550000"/>
    <x v="2"/>
    <d v="2022-10-18T00:00:00"/>
    <d v="2022-10-27T00:00:00"/>
    <m/>
    <s v="zrušeno - úprava specifikace"/>
    <s v="nová VZ-2022-001333"/>
    <m/>
    <m/>
    <m/>
    <m/>
    <m/>
    <m/>
    <m/>
    <x v="4"/>
  </r>
  <r>
    <d v="2022-10-06T00:00:00"/>
    <s v="VZ-2022-001140"/>
    <x v="5"/>
    <s v="Srovnal"/>
    <x v="535"/>
    <m/>
    <m/>
    <m/>
    <s v="50711000-2 "/>
    <m/>
    <n v="2700000"/>
    <x v="1"/>
    <d v="2022-10-31T00:00:00"/>
    <d v="2022-11-16T00:00:00"/>
    <d v="2022-12-09T00:00:00"/>
    <s v="ASSA ABLOY Entrance Systems, spol. s r.o."/>
    <m/>
    <n v="4144950"/>
    <n v="5015389.5"/>
    <m/>
    <m/>
    <m/>
    <d v="2022-12-09T00:00:00"/>
    <s v="SMLN-2022-612-000227"/>
    <x v="4"/>
  </r>
  <r>
    <d v="2022-10-14T00:00:00"/>
    <s v="VZ-2022-001145"/>
    <x v="5"/>
    <s v="Srovnal"/>
    <x v="536"/>
    <m/>
    <m/>
    <m/>
    <s v="51134000-0"/>
    <s v="4.2.194."/>
    <n v="1700000"/>
    <x v="2"/>
    <d v="2022-10-18T00:00:00"/>
    <d v="2022-10-27T00:00:00"/>
    <m/>
    <s v="zrušeno - překročen limit VZMR"/>
    <s v="nová VZ-2022-001213"/>
    <m/>
    <m/>
    <m/>
    <m/>
    <m/>
    <m/>
    <m/>
    <x v="4"/>
  </r>
  <r>
    <d v="2022-10-18T00:00:00"/>
    <s v="VZ-2022-001158-01"/>
    <x v="1"/>
    <s v="Ondráčková"/>
    <x v="198"/>
    <n v="1"/>
    <s v="Heparin I."/>
    <m/>
    <s v="33141550-0"/>
    <m/>
    <n v="5058793"/>
    <x v="0"/>
    <d v="2022-11-15T00:00:00"/>
    <d v="2022-12-27T00:00:00"/>
    <m/>
    <m/>
    <m/>
    <m/>
    <m/>
    <m/>
    <m/>
    <m/>
    <m/>
    <m/>
    <x v="4"/>
  </r>
  <r>
    <d v="2022-10-18T00:00:00"/>
    <s v="VZ-2022-001158-02"/>
    <x v="1"/>
    <s v="Ondráčková"/>
    <x v="198"/>
    <n v="2"/>
    <s v="ENOXAPARIN I."/>
    <m/>
    <s v="33141550-0"/>
    <m/>
    <n v="1899304"/>
    <x v="0"/>
    <d v="2022-11-15T00:00:00"/>
    <d v="2022-12-27T00:00:00"/>
    <m/>
    <m/>
    <m/>
    <m/>
    <m/>
    <m/>
    <m/>
    <m/>
    <m/>
    <m/>
    <x v="4"/>
  </r>
  <r>
    <d v="2022-10-18T00:00:00"/>
    <s v="VZ-2022-001158-03"/>
    <x v="1"/>
    <s v="Ondráčková"/>
    <x v="198"/>
    <n v="3"/>
    <s v="ENOXAPARIN II."/>
    <m/>
    <s v="33141550-0"/>
    <m/>
    <n v="8976917"/>
    <x v="0"/>
    <d v="2022-11-15T00:00:00"/>
    <d v="2022-12-27T00:00:00"/>
    <m/>
    <m/>
    <m/>
    <m/>
    <m/>
    <m/>
    <m/>
    <m/>
    <m/>
    <m/>
    <x v="4"/>
  </r>
  <r>
    <d v="2022-10-18T00:00:00"/>
    <s v="VZ-2022-001158-04"/>
    <x v="1"/>
    <s v="Ondráčková"/>
    <x v="198"/>
    <n v="4"/>
    <s v="NADROPARIN"/>
    <m/>
    <s v="33141550-0"/>
    <m/>
    <n v="53664539"/>
    <x v="0"/>
    <d v="2022-11-15T00:00:00"/>
    <d v="2022-12-27T00:00:00"/>
    <m/>
    <m/>
    <m/>
    <m/>
    <m/>
    <m/>
    <m/>
    <m/>
    <m/>
    <m/>
    <x v="4"/>
  </r>
  <r>
    <d v="2022-10-18T00:00:00"/>
    <s v="VZ-2022-001158-05"/>
    <x v="1"/>
    <s v="Ondráčková"/>
    <x v="198"/>
    <n v="5"/>
    <s v="BEMIPARIN"/>
    <m/>
    <s v="33141550-0"/>
    <m/>
    <n v="223438"/>
    <x v="0"/>
    <d v="2022-11-15T00:00:00"/>
    <d v="2022-12-27T00:00:00"/>
    <m/>
    <m/>
    <m/>
    <m/>
    <m/>
    <m/>
    <m/>
    <m/>
    <m/>
    <m/>
    <x v="4"/>
  </r>
  <r>
    <d v="2022-10-20T00:00:00"/>
    <s v="VZ-2022-001163-01"/>
    <x v="1"/>
    <s v="Ondráčková"/>
    <x v="537"/>
    <n v="1"/>
    <s v="ENFORTUMAB VEDOTIN"/>
    <m/>
    <s v="33652000-5"/>
    <m/>
    <n v="8676720"/>
    <x v="0"/>
    <d v="2022-11-03T00:00:00"/>
    <d v="2023-01-10T00:00:00"/>
    <m/>
    <m/>
    <m/>
    <m/>
    <m/>
    <m/>
    <m/>
    <m/>
    <m/>
    <m/>
    <x v="4"/>
  </r>
  <r>
    <d v="2022-10-20T00:00:00"/>
    <s v="VZ-2022-001163-02"/>
    <x v="1"/>
    <s v="Ondráčková"/>
    <x v="537"/>
    <n v="2"/>
    <s v="IRINOTEKAN-SUKROSOFÁT"/>
    <m/>
    <s v="33652000-5"/>
    <m/>
    <n v="4983532"/>
    <x v="0"/>
    <d v="2022-11-03T00:00:00"/>
    <d v="2023-01-10T00:00:00"/>
    <m/>
    <m/>
    <m/>
    <m/>
    <m/>
    <m/>
    <m/>
    <m/>
    <m/>
    <m/>
    <x v="4"/>
  </r>
  <r>
    <d v="2022-10-20T00:00:00"/>
    <s v="VZ-2022-001163-03"/>
    <x v="1"/>
    <s v="Ondráčková"/>
    <x v="537"/>
    <n v="3"/>
    <s v="SACITUZUMAB GOVITEKAN"/>
    <m/>
    <s v="33652000-5"/>
    <m/>
    <n v="2967085"/>
    <x v="0"/>
    <d v="2022-11-03T00:00:00"/>
    <d v="2023-01-10T00:00:00"/>
    <m/>
    <m/>
    <m/>
    <m/>
    <m/>
    <m/>
    <m/>
    <m/>
    <m/>
    <m/>
    <x v="4"/>
  </r>
  <r>
    <d v="2022-10-20T00:00:00"/>
    <s v="VZ-2022-001163-04"/>
    <x v="1"/>
    <s v="Ondráčková"/>
    <x v="537"/>
    <n v="4"/>
    <s v="TEBENTAFUSP "/>
    <m/>
    <s v="33652000-5"/>
    <m/>
    <n v="59449458"/>
    <x v="0"/>
    <d v="2022-11-03T00:00:00"/>
    <d v="2023-01-10T00:00:00"/>
    <m/>
    <m/>
    <m/>
    <m/>
    <m/>
    <m/>
    <m/>
    <m/>
    <m/>
    <m/>
    <x v="4"/>
  </r>
  <r>
    <d v="2022-10-20T00:00:00"/>
    <s v="VZ-2022-001163-05"/>
    <x v="1"/>
    <s v="Ondráčková"/>
    <x v="537"/>
    <n v="5"/>
    <s v="PRALSETINIB"/>
    <m/>
    <s v="33652000-5"/>
    <m/>
    <n v="6610119"/>
    <x v="0"/>
    <d v="2022-11-03T00:00:00"/>
    <d v="2023-01-10T00:00:00"/>
    <m/>
    <m/>
    <m/>
    <m/>
    <m/>
    <m/>
    <m/>
    <m/>
    <m/>
    <m/>
    <x v="4"/>
  </r>
  <r>
    <d v="2022-10-19T00:00:00"/>
    <s v="VZ-2022-001164"/>
    <x v="0"/>
    <s v="Dočkalová"/>
    <x v="538"/>
    <m/>
    <m/>
    <m/>
    <s v="33100000-1,33140000-3"/>
    <m/>
    <n v="1646340"/>
    <x v="2"/>
    <d v="2022-10-24T00:00:00"/>
    <d v="2022-11-01T00:00:00"/>
    <m/>
    <s v="zrušeno - překročen limit VZMR"/>
    <s v="nová VZ-2022-001232"/>
    <m/>
    <m/>
    <m/>
    <m/>
    <m/>
    <m/>
    <m/>
    <x v="4"/>
  </r>
  <r>
    <d v="2022-10-20T00:00:00"/>
    <s v="VZ-2022-001165"/>
    <x v="1"/>
    <s v="Ondráčková"/>
    <x v="539"/>
    <m/>
    <m/>
    <m/>
    <s v="33642000-2"/>
    <m/>
    <n v="5129564"/>
    <x v="0"/>
    <d v="2022-10-31T00:00:00"/>
    <d v="2022-12-05T00:00:00"/>
    <m/>
    <m/>
    <m/>
    <m/>
    <m/>
    <m/>
    <m/>
    <m/>
    <m/>
    <m/>
    <x v="4"/>
  </r>
  <r>
    <d v="2022-10-19T00:00:00"/>
    <s v="VZ-2022-001170"/>
    <x v="9"/>
    <s v="Oravec"/>
    <x v="540"/>
    <m/>
    <m/>
    <m/>
    <s v=" 30232120-1"/>
    <m/>
    <n v="360000"/>
    <x v="2"/>
    <d v="2022-10-25T00:00:00"/>
    <d v="2022-11-01T00:00:00"/>
    <d v="2022-11-07T00:00:00"/>
    <s v="SAJM COMP s.r.o."/>
    <m/>
    <n v="357000"/>
    <n v="431970"/>
    <m/>
    <m/>
    <m/>
    <d v="2022-11-07T00:00:00"/>
    <s v="SMLN-2022-617-000783"/>
    <x v="176"/>
  </r>
  <r>
    <d v="2022-10-21T00:00:00"/>
    <s v="VZ-2022-001172-01"/>
    <x v="0"/>
    <s v="Dočkalová"/>
    <x v="541"/>
    <n v="1"/>
    <s v="rozšíření stávajícího instrumentária dle katalogu Aesculap"/>
    <m/>
    <s v="33162200-5"/>
    <m/>
    <n v="623700"/>
    <x v="0"/>
    <d v="2022-10-31T00:00:00"/>
    <d v="2022-12-05T00:00:00"/>
    <m/>
    <m/>
    <m/>
    <m/>
    <m/>
    <m/>
    <m/>
    <m/>
    <m/>
    <m/>
    <x v="4"/>
  </r>
  <r>
    <d v="2022-10-21T00:00:00"/>
    <s v="VZ-2022-001172-02"/>
    <x v="0"/>
    <s v="Dočkalová"/>
    <x v="541"/>
    <n v="2"/>
    <s v="rozšíření stávajícího instrumentária dle katalogu  MEDICON eG"/>
    <m/>
    <s v="33162200-5"/>
    <m/>
    <n v="95250"/>
    <x v="0"/>
    <d v="2022-10-31T00:00:00"/>
    <d v="2022-12-05T00:00:00"/>
    <m/>
    <s v="zrušeno - bez nabídky"/>
    <m/>
    <m/>
    <m/>
    <m/>
    <m/>
    <m/>
    <m/>
    <m/>
    <x v="4"/>
  </r>
  <r>
    <d v="2022-10-21T00:00:00"/>
    <s v="VZ-2022-001173"/>
    <x v="9"/>
    <s v="Oravec"/>
    <x v="542"/>
    <m/>
    <m/>
    <m/>
    <s v="72150000-1"/>
    <m/>
    <n v="240000"/>
    <x v="4"/>
    <d v="2022-11-01T00:00:00"/>
    <d v="2022-11-14T00:00:00"/>
    <d v="2022-11-22T00:00:00"/>
    <s v="SoftwareONE Czech Republic s.r.o."/>
    <m/>
    <n v="164000"/>
    <n v="198440"/>
    <m/>
    <m/>
    <m/>
    <d v="2022-11-22T00:00:00"/>
    <s v="SMLN-2022-612-000219"/>
    <x v="164"/>
  </r>
  <r>
    <d v="2022-10-24T00:00:00"/>
    <s v="VZ-2022-001177"/>
    <x v="5"/>
    <s v="Srovnal"/>
    <x v="543"/>
    <m/>
    <m/>
    <m/>
    <s v="51112200-2"/>
    <m/>
    <n v="3000000"/>
    <x v="0"/>
    <d v="2022-11-04T00:00:00"/>
    <d v="2022-12-07T00:00:00"/>
    <d v="2022-12-16T00:00:00"/>
    <s v="ELMAR group spol. s r.o."/>
    <m/>
    <n v="2564878"/>
    <n v="3103502.38"/>
    <m/>
    <m/>
    <m/>
    <d v="2022-12-16T00:00:00"/>
    <s v="SMLN-2022-618-000077"/>
    <x v="4"/>
  </r>
  <r>
    <d v="2022-10-25T00:00:00"/>
    <s v="VZ-2022-001180"/>
    <x v="2"/>
    <s v="Zeman"/>
    <x v="544"/>
    <m/>
    <m/>
    <m/>
    <s v="71240000-2"/>
    <s v="1.2.98."/>
    <n v="1950000"/>
    <x v="1"/>
    <d v="2022-11-02T00:00:00"/>
    <d v="2022-11-23T00:00:00"/>
    <d v="2022-12-05T00:00:00"/>
    <s v="LT PROJEKT a.s."/>
    <m/>
    <n v="1850000"/>
    <n v="2238500"/>
    <m/>
    <m/>
    <m/>
    <d v="2022-12-05T00:00:00"/>
    <s v="SMLN-2022-618-000072"/>
    <x v="4"/>
  </r>
  <r>
    <d v="2022-10-27T00:00:00"/>
    <s v="VZ-2022-001195"/>
    <x v="1"/>
    <s v="Ondráčková"/>
    <x v="545"/>
    <m/>
    <m/>
    <m/>
    <s v="33621100-0"/>
    <m/>
    <n v="11105554"/>
    <x v="0"/>
    <d v="2022-11-15T00:00:00"/>
    <d v="2022-12-19T00:00:00"/>
    <m/>
    <m/>
    <m/>
    <m/>
    <m/>
    <m/>
    <m/>
    <m/>
    <m/>
    <m/>
    <x v="4"/>
  </r>
  <r>
    <s v="opakovaná VZ"/>
    <s v="VZ-2022-001196"/>
    <x v="1"/>
    <s v="Ondráčková"/>
    <x v="546"/>
    <m/>
    <m/>
    <m/>
    <s v="33615100-5"/>
    <m/>
    <n v="714307"/>
    <x v="0"/>
    <d v="2022-11-25T00:00:00"/>
    <d v="2022-12-27T00:00:00"/>
    <m/>
    <m/>
    <m/>
    <m/>
    <m/>
    <m/>
    <m/>
    <m/>
    <m/>
    <m/>
    <x v="4"/>
  </r>
  <r>
    <s v="opakovaná VZ"/>
    <s v="VZ-2022-001198"/>
    <x v="5"/>
    <s v="Srovnal"/>
    <x v="547"/>
    <m/>
    <m/>
    <m/>
    <s v="39314000-6"/>
    <s v="4.2.193."/>
    <n v="170000"/>
    <x v="2"/>
    <d v="2022-11-02T00:00:00"/>
    <d v="2022-11-10T00:00:00"/>
    <d v="2022-11-22T00:00:00"/>
    <s v="Multi CZ s.r.o."/>
    <m/>
    <n v="129511"/>
    <n v="156708.31"/>
    <m/>
    <m/>
    <m/>
    <d v="2022-11-22T00:00:00"/>
    <s v="SMLN-2022-617-000821"/>
    <x v="189"/>
  </r>
  <r>
    <d v="2022-10-31T00:00:00"/>
    <s v="VZ-2022-001203"/>
    <x v="1"/>
    <s v="Ondráčková"/>
    <x v="548"/>
    <m/>
    <m/>
    <m/>
    <s v="33651400-2"/>
    <m/>
    <n v="3589589"/>
    <x v="0"/>
    <d v="2022-12-09T00:00:00"/>
    <d v="2023-01-13T00:00:00"/>
    <m/>
    <m/>
    <m/>
    <m/>
    <m/>
    <m/>
    <m/>
    <m/>
    <m/>
    <m/>
    <x v="4"/>
  </r>
  <r>
    <d v="2022-10-31T00:00:00"/>
    <s v="VZ-2022-001204-01"/>
    <x v="1"/>
    <s v="Ondráčková"/>
    <x v="549"/>
    <n v="1"/>
    <s v="MESALAZIN"/>
    <m/>
    <s v="33614000-7"/>
    <m/>
    <n v="8595035"/>
    <x v="0"/>
    <d v="2022-11-25T00:00:00"/>
    <d v="2022-12-28T00:00:00"/>
    <m/>
    <s v="zrušeno - úprava zadání"/>
    <s v="nová VZ-2023-000294-01"/>
    <m/>
    <m/>
    <m/>
    <m/>
    <m/>
    <m/>
    <m/>
    <x v="4"/>
  </r>
  <r>
    <d v="2022-10-31T00:00:00"/>
    <s v="VZ-2022-001204-02"/>
    <x v="1"/>
    <s v="Ondráčková"/>
    <x v="549"/>
    <n v="2"/>
    <s v="SULFASALAZIN S POVIDONEM"/>
    <m/>
    <s v="33614000-7"/>
    <m/>
    <n v="340117"/>
    <x v="0"/>
    <d v="2022-11-25T00:00:00"/>
    <d v="2022-12-28T00:00:00"/>
    <m/>
    <s v="zrušeno - bez nabídky"/>
    <s v="nová VZ-2023-000294-02"/>
    <m/>
    <m/>
    <m/>
    <m/>
    <m/>
    <m/>
    <m/>
    <x v="4"/>
  </r>
  <r>
    <d v="2022-11-01T00:00:00"/>
    <s v="VZ-2022-001208-01"/>
    <x v="1"/>
    <s v="Ondráčková"/>
    <x v="550"/>
    <n v="1"/>
    <s v="Dezinfekční přípravky pro přímé použití a rychlou dezinfekci"/>
    <m/>
    <s v="33741300-9"/>
    <m/>
    <n v="7000783"/>
    <x v="0"/>
    <m/>
    <m/>
    <m/>
    <m/>
    <m/>
    <m/>
    <m/>
    <m/>
    <m/>
    <m/>
    <m/>
    <m/>
    <x v="4"/>
  </r>
  <r>
    <d v="2022-11-01T00:00:00"/>
    <s v="VZ-2022-001208-02"/>
    <x v="1"/>
    <s v="Ondráčková"/>
    <x v="550"/>
    <n v="2"/>
    <s v="Velké plochy, předměty"/>
    <m/>
    <s v="33741300-9"/>
    <m/>
    <n v="1873944"/>
    <x v="0"/>
    <m/>
    <m/>
    <m/>
    <m/>
    <m/>
    <m/>
    <m/>
    <m/>
    <m/>
    <m/>
    <m/>
    <m/>
    <x v="4"/>
  </r>
  <r>
    <d v="2022-11-01T00:00:00"/>
    <s v="VZ-2022-001209"/>
    <x v="1"/>
    <s v="Ondráčková"/>
    <x v="551"/>
    <m/>
    <m/>
    <m/>
    <s v="33741300-9"/>
    <m/>
    <n v="1483117"/>
    <x v="0"/>
    <m/>
    <m/>
    <m/>
    <m/>
    <m/>
    <m/>
    <m/>
    <m/>
    <m/>
    <m/>
    <m/>
    <m/>
    <x v="4"/>
  </r>
  <r>
    <d v="2022-01-01T00:00:00"/>
    <s v="VZ-2022-001210-01"/>
    <x v="1"/>
    <s v="Ondráčková"/>
    <x v="552"/>
    <n v="1"/>
    <s v="Dezinfekce, mytí a ošetření rukou I."/>
    <m/>
    <s v="33741300-9"/>
    <m/>
    <n v="784630"/>
    <x v="0"/>
    <m/>
    <m/>
    <m/>
    <m/>
    <m/>
    <m/>
    <m/>
    <m/>
    <m/>
    <m/>
    <m/>
    <m/>
    <x v="4"/>
  </r>
  <r>
    <d v="2022-01-01T00:00:00"/>
    <s v="VZ-2022-001210-02"/>
    <x v="1"/>
    <s v="Ondráčková"/>
    <x v="552"/>
    <n v="2"/>
    <s v="Dezinfekce, mytí a ošetření rukou II."/>
    <m/>
    <s v="33741300-9"/>
    <m/>
    <n v="1387535"/>
    <x v="0"/>
    <m/>
    <m/>
    <m/>
    <m/>
    <m/>
    <m/>
    <m/>
    <m/>
    <m/>
    <m/>
    <m/>
    <m/>
    <x v="4"/>
  </r>
  <r>
    <d v="2022-10-31T00:00:00"/>
    <s v="VZ-2022-001211"/>
    <x v="8"/>
    <s v="Kadlec"/>
    <x v="553"/>
    <m/>
    <m/>
    <m/>
    <s v="45453000-7"/>
    <m/>
    <n v="650000"/>
    <x v="2"/>
    <d v="2022-11-03T00:00:00"/>
    <d v="2022-11-15T00:00:00"/>
    <d v="2022-11-23T00:00:00"/>
    <s v="STAMO, s.r.o."/>
    <m/>
    <n v="584070.43000000005"/>
    <n v="706725.22"/>
    <m/>
    <m/>
    <m/>
    <d v="2022-11-23T00:00:00"/>
    <s v="SMLN-2022-618-000070"/>
    <x v="161"/>
  </r>
  <r>
    <d v="2022-11-01T00:00:00"/>
    <s v="VZ-2022-001212"/>
    <x v="1"/>
    <s v="Ondráčková"/>
    <x v="554"/>
    <m/>
    <m/>
    <m/>
    <s v="33741300-9"/>
    <m/>
    <n v="3747988"/>
    <x v="0"/>
    <m/>
    <m/>
    <m/>
    <m/>
    <m/>
    <m/>
    <m/>
    <m/>
    <m/>
    <m/>
    <m/>
    <m/>
    <x v="4"/>
  </r>
  <r>
    <s v="opakovaná VZ"/>
    <s v="VZ-2022-001213"/>
    <x v="5"/>
    <s v="Srovnal"/>
    <x v="536"/>
    <m/>
    <m/>
    <m/>
    <s v="51134000-0"/>
    <s v="4.2.194."/>
    <n v="2150000"/>
    <x v="1"/>
    <d v="2022-11-15T00:00:00"/>
    <d v="2022-12-06T00:00:00"/>
    <d v="2022-12-15T00:00:00"/>
    <s v="Dräger Medical, s.r.o."/>
    <m/>
    <n v="2152300"/>
    <n v="2604283"/>
    <m/>
    <m/>
    <m/>
    <d v="2022-12-15T00:00:00"/>
    <s v="SMLN-2022-617-000863"/>
    <x v="4"/>
  </r>
  <r>
    <d v="2022-11-03T00:00:00"/>
    <s v="VZ-2022-001225"/>
    <x v="5"/>
    <s v="Srovnal"/>
    <x v="555"/>
    <m/>
    <m/>
    <m/>
    <s v="45453000-7"/>
    <m/>
    <n v="5700000"/>
    <x v="2"/>
    <d v="2022-11-04T00:00:00"/>
    <d v="2022-11-21T00:00:00"/>
    <d v="2022-11-28T00:00:00"/>
    <s v="WH Develop s.r.o."/>
    <m/>
    <n v="4224664.22"/>
    <n v="5052500.58"/>
    <m/>
    <m/>
    <m/>
    <d v="2022-11-28T00:00:00"/>
    <s v="SMLN-2022-618-000071"/>
    <x v="190"/>
  </r>
  <r>
    <d v="2022-11-03T00:00:00"/>
    <s v="VZ-2022-001226"/>
    <x v="1"/>
    <s v="Ondráčková"/>
    <x v="556"/>
    <m/>
    <m/>
    <m/>
    <s v="33694000-1"/>
    <m/>
    <n v="52373000"/>
    <x v="0"/>
    <d v="2022-11-18T00:00:00"/>
    <d v="2023-01-17T00:00:00"/>
    <m/>
    <m/>
    <m/>
    <m/>
    <m/>
    <m/>
    <m/>
    <m/>
    <m/>
    <m/>
    <x v="4"/>
  </r>
  <r>
    <s v="opakovaná VZ"/>
    <s v="VZ-2022-001232"/>
    <x v="0"/>
    <s v="Dočkalová"/>
    <x v="538"/>
    <m/>
    <m/>
    <m/>
    <s v="33100000-1"/>
    <m/>
    <n v="2873340"/>
    <x v="1"/>
    <d v="2022-11-10T00:00:00"/>
    <d v="2022-11-30T00:00:00"/>
    <d v="2022-12-23T00:00:00"/>
    <s v="MGVIVA a.s."/>
    <m/>
    <n v="2873340"/>
    <n v="3476741.4"/>
    <m/>
    <m/>
    <m/>
    <d v="2022-12-23T00:00:00"/>
    <s v="SMLN-2022-617-000900_x000a_SMLN-2022-616-000048"/>
    <x v="4"/>
  </r>
  <r>
    <d v="2022-11-07T00:00:00"/>
    <s v="VZ-2022-001233"/>
    <x v="4"/>
    <s v="Olejníček"/>
    <x v="557"/>
    <m/>
    <m/>
    <m/>
    <s v="33100000-1"/>
    <s v="2.3.684."/>
    <n v="185000"/>
    <x v="0"/>
    <d v="2022-11-09T00:00:00"/>
    <d v="2023-01-11T00:00:00"/>
    <m/>
    <m/>
    <m/>
    <m/>
    <m/>
    <m/>
    <m/>
    <m/>
    <m/>
    <m/>
    <x v="4"/>
  </r>
  <r>
    <d v="2022-11-07T00:00:00"/>
    <s v="VZ-2022-001235"/>
    <x v="4"/>
    <s v="Olejníček"/>
    <x v="558"/>
    <m/>
    <m/>
    <m/>
    <s v="33166000-1"/>
    <s v="2.2.501."/>
    <n v="120000"/>
    <x v="2"/>
    <d v="2022-11-11T00:00:00"/>
    <d v="2022-11-22T00:00:00"/>
    <d v="2022-11-29T00:00:00"/>
    <s v="Chironax Frýdek - Místek s.r.o."/>
    <m/>
    <n v="73208"/>
    <n v="88581.68"/>
    <m/>
    <m/>
    <m/>
    <d v="2022-11-29T00:00:00"/>
    <s v="SMLN-2022-617-000827_x000a_SMLN-2022-612-000222"/>
    <x v="186"/>
  </r>
  <r>
    <d v="2022-11-03T00:00:00"/>
    <s v="VZ-2022-001240"/>
    <x v="0"/>
    <s v="Valtová"/>
    <x v="559"/>
    <m/>
    <m/>
    <m/>
    <s v="33140000-3"/>
    <m/>
    <n v="6763420"/>
    <x v="0"/>
    <d v="2022-11-25T00:00:00"/>
    <d v="2022-12-29T00:00:00"/>
    <m/>
    <m/>
    <m/>
    <m/>
    <m/>
    <m/>
    <m/>
    <m/>
    <m/>
    <m/>
    <x v="4"/>
  </r>
  <r>
    <d v="2022-11-07T00:00:00"/>
    <s v="VZ-2022-001242"/>
    <x v="2"/>
    <s v="Zeman"/>
    <x v="560"/>
    <m/>
    <m/>
    <m/>
    <s v="45000000-7"/>
    <m/>
    <n v="85000000"/>
    <x v="0"/>
    <d v="2022-11-16T00:00:00"/>
    <d v="2023-01-11T00:00:00"/>
    <m/>
    <m/>
    <m/>
    <m/>
    <m/>
    <m/>
    <m/>
    <m/>
    <m/>
    <m/>
    <x v="4"/>
  </r>
  <r>
    <d v="2022-11-08T00:00:00"/>
    <s v="VZ-2022-001245"/>
    <x v="4"/>
    <s v="Olejníček"/>
    <x v="561"/>
    <m/>
    <m/>
    <m/>
    <s v="33123000-8"/>
    <m/>
    <n v="1999500"/>
    <x v="2"/>
    <d v="2022-11-18T00:00:00"/>
    <d v="2022-11-29T00:00:00"/>
    <d v="2022-12-07T00:00:00"/>
    <s v="BTL zdravotnická technika, a.s."/>
    <m/>
    <n v="1570600"/>
    <n v="1900426"/>
    <m/>
    <m/>
    <m/>
    <d v="2022-12-07T00:00:00"/>
    <s v="SMLN-2022-617-000844_x000a_SMLN-2022-612-000225"/>
    <x v="4"/>
  </r>
  <r>
    <d v="2022-11-09T00:00:00"/>
    <s v="VZ-2022-001256"/>
    <x v="0"/>
    <s v="Dočkalová"/>
    <x v="562"/>
    <m/>
    <m/>
    <m/>
    <s v="33162200-5"/>
    <m/>
    <n v="506580"/>
    <x v="0"/>
    <d v="2022-11-28T00:00:00"/>
    <d v="2023-01-18T00:00:00"/>
    <m/>
    <m/>
    <m/>
    <m/>
    <m/>
    <m/>
    <m/>
    <m/>
    <m/>
    <m/>
    <x v="4"/>
  </r>
  <r>
    <d v="2022-11-09T00:00:00"/>
    <s v="VZ-2022-001266"/>
    <x v="20"/>
    <s v="Zemánek"/>
    <x v="563"/>
    <m/>
    <m/>
    <m/>
    <s v="50421000-2"/>
    <m/>
    <n v="27200000"/>
    <x v="0"/>
    <d v="2022-12-02T00:00:00"/>
    <d v="2023-01-02T00:00:00"/>
    <m/>
    <m/>
    <m/>
    <m/>
    <m/>
    <m/>
    <m/>
    <m/>
    <m/>
    <m/>
    <x v="4"/>
  </r>
  <r>
    <d v="2022-11-11T00:00:00"/>
    <s v="VZ-2022-001267"/>
    <x v="8"/>
    <s v="Kadlec"/>
    <x v="564"/>
    <m/>
    <m/>
    <m/>
    <s v="45261910-6"/>
    <m/>
    <n v="5500000"/>
    <x v="2"/>
    <d v="2022-11-16T00:00:00"/>
    <d v="2022-11-24T00:00:00"/>
    <d v="2022-12-06T00:00:00"/>
    <s v="W.H.A. systém, spol.  s r.o."/>
    <m/>
    <n v="2899000"/>
    <n v="3507790"/>
    <m/>
    <m/>
    <m/>
    <d v="2022-12-06T00:00:00"/>
    <s v="SMLN-2022-618-000073"/>
    <x v="4"/>
  </r>
  <r>
    <d v="2022-11-16T00:00:00"/>
    <s v="VZ-2022-001281"/>
    <x v="7"/>
    <s v="Svozil"/>
    <x v="565"/>
    <m/>
    <m/>
    <m/>
    <s v="45233200-1"/>
    <m/>
    <n v="380000"/>
    <x v="2"/>
    <d v="2022-11-18T00:00:00"/>
    <d v="2022-11-29T00:00:00"/>
    <m/>
    <s v="zrušeno - úprava zadání VV"/>
    <s v="nová VZ-2023-000171"/>
    <n v="448040"/>
    <n v="542128.4"/>
    <m/>
    <m/>
    <m/>
    <m/>
    <m/>
    <x v="4"/>
  </r>
  <r>
    <d v="2022-11-18T00:00:00"/>
    <s v="VZ-2022-001282"/>
    <x v="2"/>
    <s v="Pavela"/>
    <x v="566"/>
    <m/>
    <m/>
    <m/>
    <s v="71000000-8"/>
    <m/>
    <n v="15000000"/>
    <x v="0"/>
    <d v="2022-11-30T00:00:00"/>
    <d v="2023-01-04T00:00:00"/>
    <m/>
    <m/>
    <m/>
    <m/>
    <m/>
    <m/>
    <m/>
    <m/>
    <m/>
    <m/>
    <x v="4"/>
  </r>
  <r>
    <d v="2022-11-21T00:00:00"/>
    <s v="VZ-2022-001286"/>
    <x v="4"/>
    <s v="Olejníček"/>
    <x v="567"/>
    <m/>
    <m/>
    <m/>
    <s v="33161000-6"/>
    <s v="2.2.455."/>
    <n v="487087"/>
    <x v="2"/>
    <d v="2022-11-23T00:00:00"/>
    <d v="2022-12-01T00:00:00"/>
    <d v="2022-12-12T00:00:00"/>
    <s v="Surgipa Medical, spol. s r.o."/>
    <m/>
    <n v="478746.7"/>
    <n v="579283.51"/>
    <m/>
    <m/>
    <m/>
    <d v="2022-12-12T00:00:00"/>
    <s v="SMLN-2022-617-000859_x000a_SMLN-2022-612-000229"/>
    <x v="4"/>
  </r>
  <r>
    <d v="2022-11-21T00:00:00"/>
    <s v="VZ-2022-001288-01"/>
    <x v="0"/>
    <s v="Valtová"/>
    <x v="568"/>
    <n v="1"/>
    <s v="Rigidní dlaha pro stabilizaci dolní krční páteře předním přístupem bikortikálně a monokortikálně"/>
    <m/>
    <s v="33140000–3"/>
    <m/>
    <n v="4746000"/>
    <x v="0"/>
    <d v="2022-11-25T00:00:00"/>
    <d v="2023-01-06T00:00:00"/>
    <m/>
    <m/>
    <m/>
    <m/>
    <m/>
    <m/>
    <m/>
    <m/>
    <m/>
    <m/>
    <x v="4"/>
  </r>
  <r>
    <d v="2022-11-21T00:00:00"/>
    <s v="VZ-2022-001288-02"/>
    <x v="0"/>
    <s v="Valtová"/>
    <x v="568"/>
    <n v="2"/>
    <s v="Fúzní náhrada krční meziobratlové ploténky"/>
    <m/>
    <s v="33140000–3"/>
    <m/>
    <n v="17280000"/>
    <x v="0"/>
    <d v="2022-11-25T00:00:00"/>
    <d v="2023-01-06T00:00:00"/>
    <m/>
    <m/>
    <m/>
    <m/>
    <m/>
    <m/>
    <m/>
    <m/>
    <m/>
    <m/>
    <x v="4"/>
  </r>
  <r>
    <d v="2022-11-21T00:00:00"/>
    <s v="VZ-2022-001288-03"/>
    <x v="0"/>
    <s v="Valtová"/>
    <x v="568"/>
    <n v="3"/>
    <s v="Fúzní systém pro zadní stabilizaci krční páteře a okcipito-cervikální fixaci"/>
    <m/>
    <s v="33140000–3"/>
    <m/>
    <n v="2251680"/>
    <x v="0"/>
    <d v="2022-11-25T00:00:00"/>
    <d v="2023-01-06T00:00:00"/>
    <m/>
    <m/>
    <m/>
    <m/>
    <m/>
    <m/>
    <m/>
    <m/>
    <m/>
    <m/>
    <x v="4"/>
  </r>
  <r>
    <d v="2022-11-21T00:00:00"/>
    <s v="VZ-2022-001288-04"/>
    <x v="0"/>
    <s v="Valtová"/>
    <x v="568"/>
    <n v="4"/>
    <s v="Fúzní náhrada bederní meziobratlové ploténky z předního přístupu (ALIF)"/>
    <m/>
    <s v="33140000-3"/>
    <m/>
    <n v="2388000"/>
    <x v="0"/>
    <d v="2022-11-25T00:00:00"/>
    <d v="2023-01-06T00:00:00"/>
    <m/>
    <m/>
    <m/>
    <m/>
    <m/>
    <m/>
    <m/>
    <m/>
    <m/>
    <m/>
    <x v="4"/>
  </r>
  <r>
    <d v="2022-11-21T00:00:00"/>
    <s v="VZ-2022-001288-05"/>
    <x v="0"/>
    <s v="Valtová"/>
    <x v="568"/>
    <n v="5"/>
    <s v="Fúzní náhrada bederní meziobratlové ploténky expandibilní z bočního přístupu (LLIF, XLIF)"/>
    <m/>
    <s v="33140000-3"/>
    <m/>
    <n v="2350000"/>
    <x v="0"/>
    <d v="2022-11-25T00:00:00"/>
    <d v="2023-01-06T00:00:00"/>
    <m/>
    <m/>
    <m/>
    <m/>
    <m/>
    <m/>
    <m/>
    <m/>
    <m/>
    <m/>
    <x v="4"/>
  </r>
  <r>
    <d v="2022-11-21T00:00:00"/>
    <s v="VZ-2022-001288-06"/>
    <x v="0"/>
    <s v="Valtová"/>
    <x v="568"/>
    <n v="6"/>
    <s v="Fúzní náhrada bederní meziobratlové ploténky expandibilní ze zadního přístupu páteřním kanálem (PLIF)"/>
    <m/>
    <s v="33140000-3"/>
    <m/>
    <n v="3412500"/>
    <x v="0"/>
    <d v="2022-11-25T00:00:00"/>
    <d v="2023-01-06T00:00:00"/>
    <m/>
    <m/>
    <m/>
    <m/>
    <m/>
    <m/>
    <m/>
    <m/>
    <m/>
    <m/>
    <x v="4"/>
  </r>
  <r>
    <d v="2022-11-21T00:00:00"/>
    <s v="VZ-2022-001288-07"/>
    <x v="0"/>
    <s v="Valtová"/>
    <x v="568"/>
    <n v="7"/>
    <s v="Fúzní systém pro transpedikulární stabilizaci bederní páteře u degenerativních onemocnění s možností repozice olistézy (translačního posunu)"/>
    <m/>
    <s v="33140000-3"/>
    <m/>
    <n v="21800000"/>
    <x v="0"/>
    <d v="2022-11-25T00:00:00"/>
    <d v="2023-01-06T00:00:00"/>
    <m/>
    <m/>
    <m/>
    <m/>
    <m/>
    <m/>
    <m/>
    <m/>
    <m/>
    <m/>
    <x v="4"/>
  </r>
  <r>
    <d v="2022-11-21T00:00:00"/>
    <s v="VZ-2022-001288-08"/>
    <x v="0"/>
    <s v="Valtová"/>
    <x v="568"/>
    <n v="8"/>
    <s v="Fúzní systém pro transpedikulární stabilizaci hrudní a bederní páteře u traumat"/>
    <m/>
    <s v="33140000-3"/>
    <m/>
    <n v="1720000"/>
    <x v="0"/>
    <d v="2022-11-25T00:00:00"/>
    <d v="2023-01-06T00:00:00"/>
    <m/>
    <m/>
    <m/>
    <m/>
    <m/>
    <m/>
    <m/>
    <m/>
    <m/>
    <m/>
    <x v="4"/>
  </r>
  <r>
    <d v="2022-11-21T00:00:00"/>
    <s v="VZ-2022-001288-09"/>
    <x v="0"/>
    <s v="Valtová"/>
    <x v="568"/>
    <n v="9"/>
    <s v="Fúzní systém pro transpedikulární stabilizaci hrudní a bederní páteře u osteoporotické páteře s možností aplikace cementu šroubem"/>
    <m/>
    <s v="33140000-3"/>
    <m/>
    <n v="2184000"/>
    <x v="0"/>
    <d v="2022-11-25T00:00:00"/>
    <d v="2023-01-06T00:00:00"/>
    <m/>
    <m/>
    <m/>
    <m/>
    <m/>
    <m/>
    <m/>
    <m/>
    <m/>
    <m/>
    <x v="4"/>
  </r>
  <r>
    <d v="2022-11-21T00:00:00"/>
    <s v="VZ-2022-001288-10"/>
    <x v="0"/>
    <s v="Valtová"/>
    <x v="568"/>
    <n v="10"/>
    <s v="Vertebroplastická sada k perkutánní vertebroplastice hrudního a bederního obratle cementem"/>
    <m/>
    <s v="33140000-3"/>
    <m/>
    <n v="2260000"/>
    <x v="0"/>
    <d v="2022-11-25T00:00:00"/>
    <d v="2023-01-06T00:00:00"/>
    <m/>
    <m/>
    <m/>
    <m/>
    <m/>
    <m/>
    <m/>
    <m/>
    <m/>
    <m/>
    <x v="4"/>
  </r>
  <r>
    <d v="2022-11-21T00:00:00"/>
    <s v="VZ-2022-001288-11"/>
    <x v="0"/>
    <s v="Valtová"/>
    <x v="568"/>
    <n v="11"/>
    <s v="Fúzní systém pro stabilizaci sakro-iliakálního (SI) skloubení"/>
    <m/>
    <s v="33140000-3"/>
    <m/>
    <n v="4140000"/>
    <x v="0"/>
    <d v="2022-11-25T00:00:00"/>
    <d v="2023-01-06T00:00:00"/>
    <m/>
    <m/>
    <m/>
    <m/>
    <m/>
    <m/>
    <m/>
    <m/>
    <m/>
    <m/>
    <x v="4"/>
  </r>
  <r>
    <d v="2022-11-21T00:00:00"/>
    <s v="VZ-2022-001288-12"/>
    <x v="0"/>
    <s v="Valtová"/>
    <x v="568"/>
    <n v="12"/>
    <s v="Expandibilní náhrada obratlového těla hrudní a bederní páteře"/>
    <m/>
    <s v="33140000-3"/>
    <m/>
    <n v="4504700"/>
    <x v="0"/>
    <d v="2022-11-25T00:00:00"/>
    <d v="2023-01-06T00:00:00"/>
    <m/>
    <m/>
    <m/>
    <m/>
    <m/>
    <m/>
    <m/>
    <m/>
    <m/>
    <m/>
    <x v="4"/>
  </r>
  <r>
    <d v="2022-11-21T00:00:00"/>
    <s v="VZ-2022-001288-13"/>
    <x v="0"/>
    <s v="Valtová"/>
    <x v="568"/>
    <n v="13"/>
    <s v="Náhrada obratlového těla krční páteře"/>
    <m/>
    <s v="33140000-3"/>
    <m/>
    <n v="3504160"/>
    <x v="0"/>
    <d v="2022-11-25T00:00:00"/>
    <d v="2023-01-06T00:00:00"/>
    <m/>
    <m/>
    <m/>
    <m/>
    <m/>
    <m/>
    <m/>
    <m/>
    <m/>
    <m/>
    <x v="4"/>
  </r>
  <r>
    <d v="2022-11-21T00:00:00"/>
    <s v="VZ-2022-001290"/>
    <x v="0"/>
    <s v="Dočkalová"/>
    <x v="569"/>
    <m/>
    <m/>
    <m/>
    <s v="33140000-3"/>
    <m/>
    <n v="529200"/>
    <x v="2"/>
    <d v="2022-11-25T00:00:00"/>
    <d v="2022-12-08T00:00:00"/>
    <d v="2022-12-15T00:00:00"/>
    <s v="Laparotech Instruments s.r.o."/>
    <m/>
    <n v="529200"/>
    <n v="640332"/>
    <m/>
    <m/>
    <m/>
    <d v="2022-12-15T00:00:00"/>
    <s v="SMLN-2022-617-000866"/>
    <x v="4"/>
  </r>
  <r>
    <d v="2022-11-22T00:00:00"/>
    <s v="VZ-2022-001299"/>
    <x v="4"/>
    <s v="Olejníček"/>
    <x v="570"/>
    <m/>
    <m/>
    <m/>
    <s v="38434570-2"/>
    <s v="2.2.511."/>
    <n v="492000"/>
    <x v="2"/>
    <d v="2022-11-24T00:00:00"/>
    <d v="2022-12-02T00:00:00"/>
    <d v="2022-12-15T00:00:00"/>
    <s v="MEDISTA spol. s r.o."/>
    <m/>
    <n v="411280.32"/>
    <n v="497649.19"/>
    <m/>
    <m/>
    <m/>
    <d v="2022-12-15T00:00:00"/>
    <s v="SMLN-2022-617-000867_x000a_SMLN-2022-612-000231_x000a_SMLN-2022-617-000868"/>
    <x v="4"/>
  </r>
  <r>
    <d v="2022-11-23T00:00:00"/>
    <s v="VZ-2022-001302"/>
    <x v="0"/>
    <s v="Dočkalová"/>
    <x v="571"/>
    <m/>
    <m/>
    <m/>
    <s v="33140000-3"/>
    <m/>
    <n v="2589000"/>
    <x v="1"/>
    <d v="2022-11-29T00:00:00"/>
    <d v="2022-12-16T00:00:00"/>
    <m/>
    <s v="ADYTON s.r.o."/>
    <m/>
    <n v="2589000"/>
    <n v="2977350"/>
    <m/>
    <m/>
    <m/>
    <m/>
    <m/>
    <x v="4"/>
  </r>
  <r>
    <d v="2022-11-23T00:00:00"/>
    <s v="VZ-2022-001304"/>
    <x v="4"/>
    <s v="Olejníček"/>
    <x v="572"/>
    <m/>
    <m/>
    <m/>
    <s v="42912330-4"/>
    <s v="2.2.512."/>
    <n v="300000"/>
    <x v="2"/>
    <d v="2022-11-28T00:00:00"/>
    <d v="2022-12-06T00:00:00"/>
    <d v="2022-12-22T00:00:00"/>
    <s v="Fresenius Kabi s.r.o. Medical Care - ČR, s r.o."/>
    <m/>
    <n v="239620"/>
    <n v="289940.2"/>
    <m/>
    <m/>
    <m/>
    <d v="2022-12-22T00:00:00"/>
    <s v="SMLN-2022-617-000891_x000a_SMLN-2022-612-000236"/>
    <x v="4"/>
  </r>
  <r>
    <d v="2022-11-23T00:00:00"/>
    <s v="VZ-2022-001305"/>
    <x v="0"/>
    <s v="Valtová"/>
    <x v="573"/>
    <m/>
    <m/>
    <m/>
    <s v="33140000-3"/>
    <m/>
    <n v="4850000"/>
    <x v="0"/>
    <d v="2022-12-01T00:00:00"/>
    <d v="2023-01-23T00:00:00"/>
    <m/>
    <m/>
    <m/>
    <m/>
    <m/>
    <m/>
    <m/>
    <m/>
    <m/>
    <m/>
    <x v="4"/>
  </r>
  <r>
    <d v="2022-11-23T00:00:00"/>
    <s v="VZ-2022-001307"/>
    <x v="0"/>
    <s v="Dočkalová"/>
    <x v="574"/>
    <m/>
    <m/>
    <m/>
    <s v="33194100-7"/>
    <m/>
    <n v="2900000"/>
    <x v="1"/>
    <d v="2022-11-28T00:00:00"/>
    <d v="2023-01-16T00:00:00"/>
    <m/>
    <m/>
    <m/>
    <m/>
    <m/>
    <m/>
    <m/>
    <m/>
    <m/>
    <m/>
    <x v="4"/>
  </r>
  <r>
    <d v="2022-11-23T00:00:00"/>
    <s v="VZ-2022-001308"/>
    <x v="20"/>
    <s v="Zemánek"/>
    <x v="575"/>
    <m/>
    <m/>
    <m/>
    <s v="50400000-9"/>
    <m/>
    <n v="420000"/>
    <x v="2"/>
    <d v="2022-12-02T00:00:00"/>
    <d v="2022-12-13T00:00:00"/>
    <d v="2022-12-22T00:00:00"/>
    <s v="ROCHE s.r.o."/>
    <m/>
    <n v="472000"/>
    <n v="571120"/>
    <m/>
    <m/>
    <m/>
    <d v="2022-12-22T00:00:00"/>
    <s v="SMLN-2022-612-000234"/>
    <x v="4"/>
  </r>
  <r>
    <d v="2022-11-23T00:00:00"/>
    <s v="VZ-2022-001311"/>
    <x v="6"/>
    <s v="Zdráhalová"/>
    <x v="576"/>
    <m/>
    <m/>
    <m/>
    <s v="30199000-0"/>
    <m/>
    <n v="559800"/>
    <x v="2"/>
    <d v="2022-12-02T00:00:00"/>
    <d v="2022-12-13T00:00:00"/>
    <m/>
    <s v="zrušeno - bez hodnotitelné nabídky"/>
    <s v="nová VZ-2023-000001"/>
    <m/>
    <m/>
    <m/>
    <m/>
    <m/>
    <m/>
    <m/>
    <x v="4"/>
  </r>
  <r>
    <d v="2022-11-24T00:00:00"/>
    <s v="VZ-2022-001313"/>
    <x v="0"/>
    <s v="Dočkalová"/>
    <x v="577"/>
    <m/>
    <m/>
    <m/>
    <s v="33162200-5"/>
    <m/>
    <n v="20034600"/>
    <x v="0"/>
    <d v="2022-12-16T00:00:00"/>
    <d v="2023-01-18T00:00:00"/>
    <m/>
    <m/>
    <m/>
    <m/>
    <m/>
    <m/>
    <m/>
    <m/>
    <m/>
    <m/>
    <x v="4"/>
  </r>
  <r>
    <d v="2022-11-24T00:00:00"/>
    <s v="VZ-2022-001314-01"/>
    <x v="0"/>
    <s v="Valtová"/>
    <x v="578"/>
    <n v="1"/>
    <s v="1. Zavaděč - sety pro radiální přístup 5F a 6F (sheathy)"/>
    <m/>
    <s v="33140000-3"/>
    <m/>
    <n v="4292500"/>
    <x v="0"/>
    <m/>
    <m/>
    <m/>
    <m/>
    <m/>
    <m/>
    <m/>
    <m/>
    <m/>
    <m/>
    <m/>
    <m/>
    <x v="4"/>
  </r>
  <r>
    <d v="2022-11-24T00:00:00"/>
    <s v="VZ-2022-001314-02"/>
    <x v="0"/>
    <s v="Valtová"/>
    <x v="578"/>
    <n v="2"/>
    <s v="3. Diagnostické katetry angiografické koronární - Katetry 5F a 6F"/>
    <m/>
    <s v="33140000-3"/>
    <m/>
    <n v="248000"/>
    <x v="0"/>
    <m/>
    <m/>
    <m/>
    <m/>
    <m/>
    <m/>
    <m/>
    <m/>
    <m/>
    <m/>
    <m/>
    <m/>
    <x v="4"/>
  </r>
  <r>
    <d v="2022-11-24T00:00:00"/>
    <s v="VZ-2022-001314-03"/>
    <x v="0"/>
    <s v="Valtová"/>
    <x v="578"/>
    <n v="3"/>
    <s v="4. Diagnostické katetry angiografické koronární - Diagnostické radiální katetry  5F dedikované pro oboustrannou katetrizaci"/>
    <m/>
    <s v="33140000-3"/>
    <m/>
    <n v="6435000"/>
    <x v="0"/>
    <m/>
    <m/>
    <m/>
    <m/>
    <m/>
    <m/>
    <m/>
    <m/>
    <m/>
    <m/>
    <m/>
    <m/>
    <x v="4"/>
  </r>
  <r>
    <d v="2022-11-24T00:00:00"/>
    <s v="VZ-2022-001314-04"/>
    <x v="0"/>
    <s v="Valtová"/>
    <x v="578"/>
    <n v="4"/>
    <s v="7. Koronární (PTCA) vodiče - vodiče pro komplexní vinuté léze"/>
    <m/>
    <s v="33140000-3"/>
    <m/>
    <n v="1895000"/>
    <x v="0"/>
    <m/>
    <m/>
    <m/>
    <m/>
    <m/>
    <m/>
    <m/>
    <m/>
    <m/>
    <m/>
    <m/>
    <m/>
    <x v="4"/>
  </r>
  <r>
    <d v="2022-11-24T00:00:00"/>
    <s v="VZ-2022-001314-05"/>
    <x v="0"/>
    <s v="Valtová"/>
    <x v="578"/>
    <n v="5"/>
    <s v="14. Aspirační katetry"/>
    <m/>
    <s v="33140000-3"/>
    <m/>
    <n v="1525000"/>
    <x v="0"/>
    <m/>
    <m/>
    <m/>
    <m/>
    <m/>
    <m/>
    <m/>
    <m/>
    <m/>
    <m/>
    <m/>
    <m/>
    <x v="4"/>
  </r>
  <r>
    <s v="opakovaná VZ"/>
    <s v="VZ-2022-001314-06"/>
    <x v="0"/>
    <s v="Valtová"/>
    <x v="578"/>
    <n v="6"/>
    <s v="12.1. Vodící katetry - 6F - standardní"/>
    <m/>
    <s v="33140000-3"/>
    <m/>
    <n v="2736000"/>
    <x v="0"/>
    <m/>
    <m/>
    <m/>
    <m/>
    <m/>
    <m/>
    <m/>
    <m/>
    <m/>
    <m/>
    <m/>
    <m/>
    <x v="4"/>
  </r>
  <r>
    <s v="opakovaná VZ"/>
    <s v="VZ-2022-001314-07"/>
    <x v="0"/>
    <s v="Valtová"/>
    <x v="578"/>
    <n v="7"/>
    <s v="12.2.Vodící katetry – 6F – s prodlouženým atraumatickým tipem"/>
    <m/>
    <s v="33140000-3"/>
    <m/>
    <n v="1200000"/>
    <x v="0"/>
    <m/>
    <m/>
    <m/>
    <m/>
    <m/>
    <m/>
    <m/>
    <m/>
    <m/>
    <m/>
    <m/>
    <m/>
    <x v="4"/>
  </r>
  <r>
    <s v="opakovaná VZ"/>
    <s v="VZ-2022-001314-08"/>
    <x v="0"/>
    <s v="Valtová"/>
    <x v="578"/>
    <n v="8"/>
    <s v="12.3. Vodící katetry - 6F  - se zvýšenou oporou"/>
    <m/>
    <s v="33140000-3"/>
    <m/>
    <n v="1440000"/>
    <x v="0"/>
    <m/>
    <m/>
    <m/>
    <m/>
    <m/>
    <m/>
    <m/>
    <m/>
    <m/>
    <m/>
    <m/>
    <m/>
    <x v="4"/>
  </r>
  <r>
    <s v="opakovaná VZ"/>
    <s v="VZ-2022-001314-09"/>
    <x v="0"/>
    <s v="Valtová"/>
    <x v="578"/>
    <n v="9"/>
    <s v="Mikrokatétr koronární Supercross"/>
    <m/>
    <s v="33140000-3"/>
    <m/>
    <n v="1249587"/>
    <x v="0"/>
    <m/>
    <m/>
    <m/>
    <m/>
    <m/>
    <m/>
    <m/>
    <m/>
    <m/>
    <m/>
    <m/>
    <m/>
    <x v="4"/>
  </r>
  <r>
    <d v="2022-11-28T00:00:00"/>
    <s v="VZ-2022-001327"/>
    <x v="4"/>
    <s v="Olejníček"/>
    <x v="579"/>
    <m/>
    <m/>
    <m/>
    <s v="38436500-5"/>
    <s v="2.2.482."/>
    <n v="692781"/>
    <x v="2"/>
    <m/>
    <m/>
    <m/>
    <m/>
    <m/>
    <m/>
    <m/>
    <m/>
    <m/>
    <m/>
    <m/>
    <m/>
    <x v="4"/>
  </r>
  <r>
    <s v="opakovaná VZ"/>
    <s v="VZ-2022-001333"/>
    <x v="7"/>
    <s v="Svozil"/>
    <x v="580"/>
    <m/>
    <m/>
    <m/>
    <s v="45332200-5"/>
    <m/>
    <n v="550000"/>
    <x v="2"/>
    <d v="2022-12-02T00:00:00"/>
    <d v="2022-12-14T00:00:00"/>
    <d v="2022-12-19T00:00:00"/>
    <s v="MIZ Olomouc s.r.o."/>
    <m/>
    <n v="498638"/>
    <n v="603351.98"/>
    <m/>
    <m/>
    <m/>
    <d v="2022-12-19T00:00:00"/>
    <s v="SMLN-2022-618-000078"/>
    <x v="112"/>
  </r>
  <r>
    <s v="opakovaná VZ"/>
    <s v="VZ-2022-001335"/>
    <x v="4"/>
    <s v="Olejníček"/>
    <x v="581"/>
    <m/>
    <m/>
    <m/>
    <s v="33124200-7"/>
    <m/>
    <n v="290000"/>
    <x v="0"/>
    <d v="2022-12-01T00:00:00"/>
    <d v="2023-01-04T00:00:00"/>
    <m/>
    <m/>
    <m/>
    <m/>
    <m/>
    <m/>
    <m/>
    <m/>
    <m/>
    <m/>
    <x v="4"/>
  </r>
  <r>
    <d v="2022-11-28T00:00:00"/>
    <s v="VZ-2022-001336"/>
    <x v="0"/>
    <s v="Dočkalová"/>
    <x v="582"/>
    <m/>
    <m/>
    <m/>
    <s v="33162200-5"/>
    <m/>
    <n v="1096600"/>
    <x v="0"/>
    <d v="2022-12-02T00:00:00"/>
    <d v="2023-01-05T00:00:00"/>
    <m/>
    <m/>
    <m/>
    <m/>
    <m/>
    <m/>
    <m/>
    <m/>
    <m/>
    <m/>
    <x v="4"/>
  </r>
  <r>
    <d v="2022-11-30T00:00:00"/>
    <s v="VZ-2022-001338"/>
    <x v="4"/>
    <s v="Olejníček"/>
    <x v="583"/>
    <m/>
    <m/>
    <m/>
    <s v="33194100-7"/>
    <s v="2.3.689."/>
    <n v="166400"/>
    <x v="2"/>
    <d v="2022-12-01T00:00:00"/>
    <d v="2022-12-09T00:00:00"/>
    <m/>
    <m/>
    <m/>
    <m/>
    <m/>
    <m/>
    <m/>
    <m/>
    <m/>
    <m/>
    <x v="4"/>
  </r>
  <r>
    <d v="2022-11-30T00:00:00"/>
    <s v="VZ-2022-001339"/>
    <x v="4"/>
    <s v="Olejníček"/>
    <x v="584"/>
    <m/>
    <m/>
    <m/>
    <s v="33169100-3"/>
    <s v="2.3.685."/>
    <n v="31962689"/>
    <x v="0"/>
    <d v="2022-12-13T00:00:00"/>
    <d v="2023-01-16T00:00:00"/>
    <m/>
    <m/>
    <m/>
    <m/>
    <m/>
    <m/>
    <m/>
    <m/>
    <m/>
    <m/>
    <x v="4"/>
  </r>
  <r>
    <d v="2022-11-23T00:00:00"/>
    <s v="VZ-2022-001342"/>
    <x v="2"/>
    <s v="Langer"/>
    <x v="585"/>
    <m/>
    <m/>
    <m/>
    <s v="71000000-8 "/>
    <m/>
    <n v="7500000"/>
    <x v="0"/>
    <d v="2022-12-14T00:00:00"/>
    <d v="2023-01-16T00:00:00"/>
    <m/>
    <m/>
    <m/>
    <m/>
    <m/>
    <m/>
    <m/>
    <m/>
    <m/>
    <m/>
    <x v="4"/>
  </r>
  <r>
    <d v="2022-11-29T00:00:00"/>
    <s v="VZ-2022-001345"/>
    <x v="0"/>
    <s v="Valtová"/>
    <x v="586"/>
    <m/>
    <m/>
    <m/>
    <s v="33140000-3"/>
    <m/>
    <n v="2786400"/>
    <x v="1"/>
    <d v="2022-12-07T00:00:00"/>
    <d v="2023-01-13T00:00:00"/>
    <m/>
    <m/>
    <m/>
    <m/>
    <m/>
    <m/>
    <m/>
    <m/>
    <m/>
    <m/>
    <x v="4"/>
  </r>
  <r>
    <d v="2022-12-01T00:00:00"/>
    <s v="VZ-2022-001353-01"/>
    <x v="1"/>
    <s v="Ondráčková"/>
    <x v="587"/>
    <n v="1"/>
    <s v="ONDANSETRON"/>
    <m/>
    <s v="33652200-7 "/>
    <m/>
    <n v="820500"/>
    <x v="0"/>
    <m/>
    <m/>
    <m/>
    <m/>
    <m/>
    <m/>
    <m/>
    <m/>
    <m/>
    <m/>
    <m/>
    <m/>
    <x v="4"/>
  </r>
  <r>
    <d v="2022-12-01T00:00:00"/>
    <s v="VZ-2022-001353-02"/>
    <x v="1"/>
    <s v="Ondráčková"/>
    <x v="587"/>
    <n v="2"/>
    <s v="GRANISETRON"/>
    <m/>
    <s v="33652200-7 "/>
    <m/>
    <n v="200910"/>
    <x v="0"/>
    <m/>
    <m/>
    <m/>
    <m/>
    <m/>
    <m/>
    <m/>
    <m/>
    <m/>
    <m/>
    <m/>
    <m/>
    <x v="4"/>
  </r>
  <r>
    <d v="2022-12-01T00:00:00"/>
    <s v="VZ-2022-001353-03"/>
    <x v="1"/>
    <s v="Ondráčková"/>
    <x v="587"/>
    <n v="3"/>
    <s v="PALONOSETRON"/>
    <m/>
    <s v="33652200-7 "/>
    <m/>
    <n v="1001570"/>
    <x v="0"/>
    <m/>
    <m/>
    <m/>
    <m/>
    <m/>
    <m/>
    <m/>
    <m/>
    <m/>
    <m/>
    <m/>
    <m/>
    <x v="4"/>
  </r>
  <r>
    <d v="2022-12-01T00:00:00"/>
    <s v="VZ-2022-001354-01"/>
    <x v="1"/>
    <s v="Ondráčková"/>
    <x v="588"/>
    <n v="1"/>
    <s v="Sildenafil pro pacienty s indikací arteriální plicní hypertenze ve funkční třídě II. dle klasifikace NYHA"/>
    <m/>
    <s v="33642000-2"/>
    <m/>
    <n v="3197700"/>
    <x v="0"/>
    <m/>
    <m/>
    <m/>
    <m/>
    <m/>
    <m/>
    <m/>
    <m/>
    <m/>
    <m/>
    <m/>
    <m/>
    <x v="4"/>
  </r>
  <r>
    <d v="2022-12-01T00:00:00"/>
    <s v="VZ-2022-001354-02"/>
    <x v="1"/>
    <s v="Ondráčková"/>
    <x v="588"/>
    <n v="2"/>
    <s v="Sildenafil pro pacienty s indikací erektivní disfunkce"/>
    <m/>
    <s v="33642000-2"/>
    <m/>
    <n v="686464"/>
    <x v="0"/>
    <m/>
    <m/>
    <m/>
    <m/>
    <m/>
    <m/>
    <m/>
    <m/>
    <m/>
    <m/>
    <m/>
    <m/>
    <x v="4"/>
  </r>
  <r>
    <d v="2022-12-01T00:00:00"/>
    <s v="VZ-2022-001355-01"/>
    <x v="1"/>
    <s v="Ondráčková"/>
    <x v="589"/>
    <n v="1"/>
    <s v="THYROTROPIN ALFA"/>
    <m/>
    <s v="33642000-2"/>
    <m/>
    <n v="9752898"/>
    <x v="0"/>
    <m/>
    <m/>
    <m/>
    <m/>
    <m/>
    <m/>
    <m/>
    <m/>
    <m/>
    <m/>
    <m/>
    <m/>
    <x v="4"/>
  </r>
  <r>
    <d v="2022-12-01T00:00:00"/>
    <s v="VZ-2022-001355-02"/>
    <x v="1"/>
    <s v="Ondráčková"/>
    <x v="589"/>
    <n v="2"/>
    <s v="PEGVISOMANT"/>
    <m/>
    <s v="33642000-2"/>
    <m/>
    <n v="114943847"/>
    <x v="0"/>
    <m/>
    <m/>
    <m/>
    <m/>
    <m/>
    <m/>
    <m/>
    <m/>
    <m/>
    <m/>
    <m/>
    <m/>
    <x v="4"/>
  </r>
  <r>
    <d v="2022-12-05T00:00:00"/>
    <s v="VZ-2022-001360"/>
    <x v="1"/>
    <s v="Ondráčková"/>
    <x v="590"/>
    <m/>
    <s v="nebude realizováno v roce 2022 - bude se upravovat zadání"/>
    <m/>
    <s v="33614000-7"/>
    <m/>
    <n v="1605569"/>
    <x v="0"/>
    <m/>
    <m/>
    <m/>
    <m/>
    <m/>
    <m/>
    <m/>
    <m/>
    <m/>
    <m/>
    <m/>
    <m/>
    <x v="4"/>
  </r>
  <r>
    <s v="opakovaná VZ"/>
    <s v="VZ-2022-001361"/>
    <x v="1"/>
    <s v="Ondráčková"/>
    <x v="591"/>
    <m/>
    <m/>
    <m/>
    <s v="33661500-6"/>
    <m/>
    <n v="697450"/>
    <x v="2"/>
    <d v="2022-12-07T00:00:00"/>
    <d v="2022-12-16T00:00:00"/>
    <d v="2022-12-22T00:00:00"/>
    <s v="Alliance Healthcare, s.r.o."/>
    <m/>
    <n v="617752.05000000005"/>
    <n v="679527.26"/>
    <m/>
    <m/>
    <m/>
    <d v="2022-12-22T00:00:00"/>
    <s v="SMLN-2022-617-000888"/>
    <x v="4"/>
  </r>
  <r>
    <d v="2022-12-06T00:00:00"/>
    <s v="VZ-2022-001365"/>
    <x v="0"/>
    <s v="Dočkalová"/>
    <x v="592"/>
    <m/>
    <m/>
    <m/>
    <s v="33140000-3"/>
    <m/>
    <n v="1992000"/>
    <x v="1"/>
    <d v="2022-12-08T00:00:00"/>
    <d v="2022-12-28T00:00:00"/>
    <m/>
    <m/>
    <m/>
    <m/>
    <m/>
    <m/>
    <m/>
    <m/>
    <m/>
    <m/>
    <x v="4"/>
  </r>
  <r>
    <d v="2022-12-07T00:00:00"/>
    <s v="VZ-2022-001367"/>
    <x v="6"/>
    <s v="Zdráhalová"/>
    <x v="593"/>
    <m/>
    <m/>
    <m/>
    <s v="39830000-9"/>
    <m/>
    <n v="1303917"/>
    <x v="2"/>
    <d v="2022-12-08T00:00:00"/>
    <d v="2022-12-20T00:00:00"/>
    <m/>
    <m/>
    <m/>
    <m/>
    <m/>
    <m/>
    <m/>
    <m/>
    <m/>
    <m/>
    <x v="4"/>
  </r>
  <r>
    <d v="2022-12-06T00:00:00"/>
    <s v="VZ-2022-001369-01"/>
    <x v="0"/>
    <s v="Dočkalová"/>
    <x v="594"/>
    <n v="1"/>
    <s v="Sensory k systémům INVOS"/>
    <m/>
    <s v="33140000-3"/>
    <m/>
    <n v="403700"/>
    <x v="2"/>
    <d v="2022-12-13T00:00:00"/>
    <d v="2022-12-21T00:00:00"/>
    <m/>
    <s v="zrušeno - bez nabídky"/>
    <s v="nová VZ-2022-001415"/>
    <m/>
    <m/>
    <m/>
    <m/>
    <m/>
    <m/>
    <m/>
    <x v="4"/>
  </r>
  <r>
    <d v="2022-12-06T00:00:00"/>
    <s v="VZ-2022-001369-02"/>
    <x v="0"/>
    <s v="Dočkalová"/>
    <x v="594"/>
    <n v="2"/>
    <s v="Sensory k systémům Fore-sight ELITE a HemoSphere"/>
    <m/>
    <s v="33140000-3"/>
    <m/>
    <n v="1053360"/>
    <x v="2"/>
    <d v="2022-12-13T00:00:00"/>
    <d v="2022-12-21T00:00:00"/>
    <m/>
    <s v="Edwards Lifesciences Czech Republic s.r.o."/>
    <m/>
    <n v="877800"/>
    <n v="1062138"/>
    <m/>
    <m/>
    <m/>
    <m/>
    <m/>
    <x v="4"/>
  </r>
  <r>
    <d v="2022-12-08T00:00:00"/>
    <s v="VZ-2022-001380"/>
    <x v="0"/>
    <s v="Valtová"/>
    <x v="595"/>
    <m/>
    <m/>
    <m/>
    <s v="33140000-3"/>
    <m/>
    <n v="36939130.399999999"/>
    <x v="0"/>
    <d v="2022-12-13T00:00:00"/>
    <d v="2023-01-16T00:00:00"/>
    <m/>
    <m/>
    <m/>
    <m/>
    <m/>
    <m/>
    <m/>
    <m/>
    <m/>
    <m/>
    <x v="4"/>
  </r>
  <r>
    <s v="opakovaná VZ"/>
    <s v="VZ-2022-001382"/>
    <x v="4"/>
    <s v="Olejníček"/>
    <x v="596"/>
    <m/>
    <m/>
    <m/>
    <s v="33124100-6"/>
    <s v="2.3.652."/>
    <n v="148000"/>
    <x v="2"/>
    <d v="2022-12-13T00:00:00"/>
    <d v="2022-12-21T00:00:00"/>
    <m/>
    <m/>
    <m/>
    <m/>
    <m/>
    <m/>
    <m/>
    <m/>
    <m/>
    <m/>
    <x v="4"/>
  </r>
  <r>
    <d v="2022-12-15T00:00:00"/>
    <s v="VZ-2022-001399"/>
    <x v="0"/>
    <s v="Valtová"/>
    <x v="597"/>
    <m/>
    <m/>
    <m/>
    <s v="33140000–3"/>
    <m/>
    <n v="2012800"/>
    <x v="1"/>
    <d v="2022-12-22T00:00:00"/>
    <d v="2023-01-11T00:00:00"/>
    <m/>
    <m/>
    <m/>
    <m/>
    <m/>
    <m/>
    <m/>
    <m/>
    <m/>
    <m/>
    <x v="4"/>
  </r>
  <r>
    <d v="2022-12-14T00:00:00"/>
    <s v="VZ-2022-001402"/>
    <x v="0"/>
    <s v="Valtová"/>
    <x v="598"/>
    <m/>
    <m/>
    <m/>
    <s v="33140000–3"/>
    <m/>
    <n v="2392000"/>
    <x v="1"/>
    <d v="2022-12-22T00:00:00"/>
    <d v="2023-01-11T00:00:00"/>
    <m/>
    <m/>
    <m/>
    <m/>
    <m/>
    <m/>
    <m/>
    <m/>
    <m/>
    <m/>
    <x v="4"/>
  </r>
  <r>
    <d v="2022-12-21T00:00:00"/>
    <s v="VZ-2022-001406"/>
    <x v="6"/>
    <s v="Zdráhalová"/>
    <x v="599"/>
    <m/>
    <m/>
    <m/>
    <s v="39120000-9"/>
    <m/>
    <n v="4130812"/>
    <x v="0"/>
    <d v="2022-12-27T00:00:00"/>
    <d v="2023-02-06T00:00:00"/>
    <m/>
    <m/>
    <m/>
    <m/>
    <m/>
    <m/>
    <m/>
    <m/>
    <m/>
    <m/>
    <x v="4"/>
  </r>
  <r>
    <d v="2022-12-21T00:00:00"/>
    <s v="VZ-2022-001410"/>
    <x v="4"/>
    <s v="Olejníček"/>
    <x v="600"/>
    <m/>
    <m/>
    <m/>
    <s v="33195100-4"/>
    <s v="2.2.505."/>
    <n v="230000"/>
    <x v="2"/>
    <d v="2022-12-29T00:00:00"/>
    <d v="2023-01-10T00:00:00"/>
    <m/>
    <m/>
    <m/>
    <m/>
    <m/>
    <m/>
    <m/>
    <m/>
    <m/>
    <m/>
    <x v="4"/>
  </r>
  <r>
    <d v="2022-12-19T00:00:00"/>
    <s v="VZ-2022-001412"/>
    <x v="5"/>
    <s v="Srovnal"/>
    <x v="601"/>
    <m/>
    <m/>
    <m/>
    <s v="45312100-8"/>
    <m/>
    <n v="5500000"/>
    <x v="0"/>
    <m/>
    <m/>
    <m/>
    <m/>
    <m/>
    <m/>
    <m/>
    <m/>
    <m/>
    <m/>
    <m/>
    <m/>
    <x v="4"/>
  </r>
  <r>
    <s v="opakovaná VZ"/>
    <s v="VZ-2022-001415"/>
    <x v="0"/>
    <s v="Dočkalová"/>
    <x v="602"/>
    <m/>
    <m/>
    <m/>
    <s v="33140000-3"/>
    <m/>
    <n v="403700"/>
    <x v="2"/>
    <m/>
    <m/>
    <m/>
    <m/>
    <m/>
    <m/>
    <m/>
    <m/>
    <m/>
    <m/>
    <m/>
    <m/>
    <x v="4"/>
  </r>
  <r>
    <d v="2022-12-16T00:00:00"/>
    <s v="VZ-2022-001416"/>
    <x v="1"/>
    <s v="Ondráčková"/>
    <x v="603"/>
    <m/>
    <m/>
    <m/>
    <s v="71900000-7"/>
    <m/>
    <n v="1806250"/>
    <x v="2"/>
    <m/>
    <m/>
    <m/>
    <m/>
    <m/>
    <m/>
    <m/>
    <m/>
    <m/>
    <m/>
    <m/>
    <m/>
    <x v="4"/>
  </r>
  <r>
    <d v="2022-12-20T00:00:00"/>
    <s v="VZ-2022-001417"/>
    <x v="2"/>
    <s v="Spáčil"/>
    <x v="604"/>
    <m/>
    <m/>
    <m/>
    <s v="39120000-9"/>
    <m/>
    <n v="2500000"/>
    <x v="1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9">
  <r>
    <d v="2021-04-01T00:00:00"/>
    <s v="VZ-2021-000311"/>
    <x v="0"/>
    <s v="Dočkalová"/>
    <x v="0"/>
    <m/>
    <m/>
    <m/>
    <s v="33140000-3"/>
    <m/>
    <n v="81184000"/>
    <x v="0"/>
    <d v="2021-04-27T00:00:00"/>
    <d v="2021-07-12T00:00:00"/>
    <d v="2021-12-15T00:00:00"/>
    <s v="Terumo BCT Europe N.V."/>
    <m/>
    <n v="72480000"/>
    <n v="87700800"/>
    <m/>
    <m/>
    <m/>
    <d v="2021-12-16T00:00:00"/>
    <s v="SMLN-2021-616-000069_x000a_SMLN-2021-614-000129_x000a_SMLN-2021-616-000069"/>
    <x v="0"/>
  </r>
  <r>
    <d v="2021-06-02T00:00:00"/>
    <s v="VZ-2021-000555"/>
    <x v="1"/>
    <s v="Ondráčková"/>
    <x v="1"/>
    <n v="1"/>
    <s v="Infuzní vitamíny "/>
    <m/>
    <s v="33692510-5"/>
    <m/>
    <n v="29548800"/>
    <x v="0"/>
    <d v="2021-08-17T00:00:00"/>
    <d v="2021-10-12T00:00:00"/>
    <d v="2021-11-26T00:00:00"/>
    <s v="B. Braun Medical s.r.o."/>
    <m/>
    <n v="28645920"/>
    <n v="31510512"/>
    <m/>
    <m/>
    <m/>
    <d v="2021-11-26T00:00:00"/>
    <s v="SMLN-2021-617-000688"/>
    <x v="1"/>
  </r>
  <r>
    <d v="2021-06-09T00:00:00"/>
    <s v="VZ-2021-000584"/>
    <x v="2"/>
    <s v="Vzatek"/>
    <x v="2"/>
    <m/>
    <m/>
    <m/>
    <s v="71000000-8"/>
    <s v="1.2.77."/>
    <n v="2300000"/>
    <x v="1"/>
    <d v="2021-09-17T00:00:00"/>
    <d v="2021-10-06T00:00:00"/>
    <d v="2021-11-24T00:00:00"/>
    <s v="LT PROJEKT a.s."/>
    <m/>
    <n v="2850000"/>
    <n v="3448500"/>
    <m/>
    <m/>
    <m/>
    <d v="2021-11-24T00:00:00"/>
    <s v="SMLN-2021-618-000084"/>
    <x v="2"/>
  </r>
  <r>
    <d v="2021-12-13T00:00:00"/>
    <s v="VZ-2021-000615"/>
    <x v="1"/>
    <s v="Ondráčková"/>
    <x v="3"/>
    <n v="1"/>
    <s v="Sodná sůl treprostinilu pro pacienty s pumpou subkutánní"/>
    <m/>
    <s v="33652000-5 "/>
    <m/>
    <n v="10955758"/>
    <x v="0"/>
    <d v="2021-12-23T00:00:00"/>
    <d v="2022-03-01T00:00:00"/>
    <d v="2022-04-21T00:00:00"/>
    <s v="Alliance Healthcare s.r.o."/>
    <m/>
    <n v="11077244.199999999"/>
    <n v="12184968.619999999"/>
    <m/>
    <m/>
    <m/>
    <d v="2022-04-21T00:00:00"/>
    <s v="SMLN-2022-617-000269"/>
    <x v="3"/>
  </r>
  <r>
    <d v="2021-12-13T00:00:00"/>
    <s v="VZ-2021-000615"/>
    <x v="1"/>
    <s v="Ondráčková"/>
    <x v="3"/>
    <n v="2"/>
    <s v="Sodná sůl treprostinilu pro pacienty s implantabilní pumpou "/>
    <m/>
    <s v="33652000-5 "/>
    <m/>
    <n v="16521989"/>
    <x v="0"/>
    <d v="2021-12-23T00:00:00"/>
    <d v="2022-03-01T00:00:00"/>
    <m/>
    <m/>
    <m/>
    <m/>
    <m/>
    <m/>
    <m/>
    <m/>
    <m/>
    <m/>
    <x v="4"/>
  </r>
  <r>
    <d v="2021-06-24T00:00:00"/>
    <s v="VZ-2021-000640"/>
    <x v="0"/>
    <s v="Dočkalová"/>
    <x v="4"/>
    <n v="4"/>
    <s v="Staplery lineární  - bez nože"/>
    <m/>
    <s v="33162200-5"/>
    <m/>
    <n v="1333620"/>
    <x v="0"/>
    <d v="2021-07-22T00:00:00"/>
    <d v="2021-10-05T00:00:00"/>
    <d v="2022-04-29T00:00:00"/>
    <s v="B. Braun Medical s.r.o."/>
    <m/>
    <n v="811725"/>
    <n v="982187.25"/>
    <m/>
    <m/>
    <m/>
    <d v="2022-04-29T00:00:00"/>
    <s v="SMLN-2022-617-000292_x000a_SMLN-2022-614-000039"/>
    <x v="5"/>
  </r>
  <r>
    <d v="2021-06-24T00:00:00"/>
    <s v="VZ-2021-000640"/>
    <x v="0"/>
    <s v="Dočkalová"/>
    <x v="4"/>
    <n v="6"/>
    <s v="Endokatry/staplery s rovnou špičkou"/>
    <m/>
    <s v="33162200-5"/>
    <m/>
    <n v="2837580"/>
    <x v="0"/>
    <d v="2021-07-22T00:00:00"/>
    <d v="2021-10-05T00:00:00"/>
    <d v="2022-04-29T00:00:00"/>
    <s v="Johnson &amp; Johnson, s.r.o."/>
    <m/>
    <n v="2737708"/>
    <n v="3312626.68"/>
    <m/>
    <m/>
    <m/>
    <d v="2022-04-29T00:00:00"/>
    <s v="SMLN-2022-617-000293_x000a_SMLN-2022-614-000040"/>
    <x v="6"/>
  </r>
  <r>
    <d v="2021-06-24T00:00:00"/>
    <s v="VZ-2021-000640"/>
    <x v="0"/>
    <s v="Dočkalová"/>
    <x v="4"/>
    <n v="7"/>
    <s v="Cirkulární staplery zahnuté"/>
    <m/>
    <s v="33162200-5"/>
    <m/>
    <n v="2514360"/>
    <x v="0"/>
    <d v="2021-07-22T00:00:00"/>
    <d v="2021-10-05T00:00:00"/>
    <d v="2022-04-29T00:00:00"/>
    <s v="B. Braun Medical s.r.o."/>
    <m/>
    <n v="1999300"/>
    <n v="2419153"/>
    <m/>
    <m/>
    <m/>
    <d v="2022-04-29T00:00:00"/>
    <s v="SMLN-2022-617-000294_x000a_SMLN-2022-614-000041"/>
    <x v="5"/>
  </r>
  <r>
    <d v="2021-06-24T00:00:00"/>
    <s v="VZ-2021-000640"/>
    <x v="0"/>
    <s v="Dočkalová"/>
    <x v="4"/>
    <n v="9"/>
    <s v="Cirkulární staplery na operaci hemoroidů metodou dle Longa"/>
    <m/>
    <s v="33162200-5"/>
    <m/>
    <n v="717830"/>
    <x v="0"/>
    <d v="2021-07-22T00:00:00"/>
    <d v="2021-10-05T00:00:00"/>
    <d v="2021-12-01T00:00:00"/>
    <s v="B. Braun Medical s.r.o."/>
    <m/>
    <n v="694000"/>
    <n v="839740"/>
    <m/>
    <m/>
    <m/>
    <d v="2021-12-01T00:00:00"/>
    <s v="SMLN-2021-617-000695_x000a_SMLN-2021-614-000117"/>
    <x v="7"/>
  </r>
  <r>
    <d v="2021-06-24T00:00:00"/>
    <s v="VZ-2021-000640"/>
    <x v="0"/>
    <s v="Dočkalová"/>
    <x v="4"/>
    <n v="10"/>
    <s v="Staplery kožní"/>
    <m/>
    <s v="33162200-5"/>
    <m/>
    <n v="991250"/>
    <x v="0"/>
    <d v="2021-07-22T00:00:00"/>
    <d v="2021-10-05T00:00:00"/>
    <d v="2022-04-29T00:00:00"/>
    <s v="B. Braun Medical s.r.o."/>
    <m/>
    <n v="817000"/>
    <n v="988570"/>
    <m/>
    <m/>
    <m/>
    <d v="2022-04-29T00:00:00"/>
    <s v="SMLN-2022-617-000295_x000a_SMLN-2022-614-000042_x000a_SMLN-2022-617-000297"/>
    <x v="8"/>
  </r>
  <r>
    <d v="2021-07-14T00:00:00"/>
    <s v="VZ-2021-000703"/>
    <x v="3"/>
    <s v="Rosulek"/>
    <x v="5"/>
    <n v="1"/>
    <s v="Anesteziologické přístroje s monitorem vitálních funkcí"/>
    <m/>
    <s v="33172100-7"/>
    <s v="2.2.261."/>
    <n v="12450000"/>
    <x v="0"/>
    <d v="2021-09-01T00:00:00"/>
    <d v="2021-10-19T00:00:00"/>
    <d v="2022-01-13T00:00:00"/>
    <s v="Dräger Medical, s.r.o."/>
    <m/>
    <n v="8320800"/>
    <n v="10068168"/>
    <m/>
    <m/>
    <m/>
    <d v="2022-01-13T00:00:00"/>
    <s v="SMLN-2022-617-000012_x000a_SMLN-2022-612-000006_x000a_SMLN-2022-617-000013"/>
    <x v="9"/>
  </r>
  <r>
    <d v="2021-07-14T00:00:00"/>
    <s v="VZ-2021-000703"/>
    <x v="4"/>
    <s v="Rosulek"/>
    <x v="6"/>
    <n v="2"/>
    <s v="Anesteziologický přístroj s monitory vitálních funkcí pro magnetickou rezonanci"/>
    <m/>
    <s v="33172100-7"/>
    <s v="2.2.330."/>
    <n v="4938843"/>
    <x v="0"/>
    <d v="2021-09-01T00:00:00"/>
    <d v="2021-10-19T00:00:00"/>
    <d v="2022-01-13T00:00:00"/>
    <s v="Saegeling Medizintechnik, s.r.o."/>
    <m/>
    <n v="4930664"/>
    <n v="5966103.4400000004"/>
    <m/>
    <m/>
    <m/>
    <d v="2022-01-13T00:00:00"/>
    <s v="SMLN-2022-617-000014_x000a_SMLN-2022-612-000007_x000a_SMLN-2022-617-000015"/>
    <x v="10"/>
  </r>
  <r>
    <s v="opakovaná VZ"/>
    <s v="VZ-2021-000704"/>
    <x v="2"/>
    <s v="Valíček"/>
    <x v="7"/>
    <m/>
    <m/>
    <s v="71000000-8"/>
    <s v="71000000-8"/>
    <s v="1.2.67."/>
    <n v="40000000"/>
    <x v="0"/>
    <d v="2021-08-05T00:00:00"/>
    <d v="2021-09-07T00:00:00"/>
    <d v="2021-11-05T00:00:00"/>
    <s v="Adam Rujbr Architects s.r.o."/>
    <m/>
    <n v="21200000"/>
    <n v="25652000"/>
    <m/>
    <m/>
    <m/>
    <d v="2021-11-05T00:00:00"/>
    <s v="SMLN-2021-618-000077"/>
    <x v="11"/>
  </r>
  <r>
    <d v="2021-08-02T00:00:00"/>
    <s v="VZ-2021-000759"/>
    <x v="1"/>
    <s v="Ondráčková"/>
    <x v="8"/>
    <m/>
    <s v="emicizumab"/>
    <m/>
    <s v="33621000-9"/>
    <m/>
    <n v="22443749"/>
    <x v="0"/>
    <d v="2021-08-10T00:00:00"/>
    <d v="2021-09-13T00:00:00"/>
    <d v="2021-11-23T00:00:00"/>
    <s v="ROCHE s.r.o."/>
    <m/>
    <n v="6694369.5999999996"/>
    <n v="7363806.5599999996"/>
    <m/>
    <m/>
    <m/>
    <d v="2021-11-23T00:00:00"/>
    <s v="SMLN-2021-617-000674"/>
    <x v="1"/>
  </r>
  <r>
    <d v="2021-08-02T00:00:00"/>
    <s v="VZ-2021-000760"/>
    <x v="1"/>
    <s v="Ondráčková"/>
    <x v="9"/>
    <n v="1"/>
    <s v="FREMANEZUMAB"/>
    <m/>
    <s v="33661200-3"/>
    <m/>
    <n v="9228142"/>
    <x v="0"/>
    <d v="2021-08-04T00:00:00"/>
    <d v="2021-09-30T00:00:00"/>
    <d v="2021-11-02T00:00:00"/>
    <s v="Teva Pharmaceuticals CR s.r.o."/>
    <m/>
    <n v="9228142"/>
    <n v="10150956.199999999"/>
    <m/>
    <m/>
    <m/>
    <d v="2021-11-02T00:00:00"/>
    <s v="SMLN-2021-617-000605"/>
    <x v="12"/>
  </r>
  <r>
    <d v="2021-08-02T00:00:00"/>
    <s v="VZ-2021-000763"/>
    <x v="1"/>
    <s v="Ondráčková"/>
    <x v="10"/>
    <m/>
    <s v="diosmin v kombinaci"/>
    <m/>
    <s v="33621100-0"/>
    <m/>
    <n v="10670760"/>
    <x v="0"/>
    <d v="2021-09-16T00:00:00"/>
    <d v="2021-10-21T00:00:00"/>
    <d v="2021-11-23T00:00:00"/>
    <s v="PHOENIX lék.velkoobchod, s.r.o."/>
    <m/>
    <n v="8913685.9199999999"/>
    <n v="9805054.5099999998"/>
    <m/>
    <m/>
    <m/>
    <d v="2021-11-23T00:00:00"/>
    <s v="SMLN-2021-617-000673"/>
    <x v="13"/>
  </r>
  <r>
    <d v="2021-08-02T00:00:00"/>
    <s v="VZ-2021-000764"/>
    <x v="1"/>
    <s v="Ondráčková"/>
    <x v="11"/>
    <n v="1"/>
    <s v="KALCIUM-GLUKONÁT"/>
    <m/>
    <s v="33617000-8"/>
    <m/>
    <n v="1306314"/>
    <x v="0"/>
    <d v="2021-09-16T00:00:00"/>
    <d v="2021-12-12T00:00:00"/>
    <d v="2022-01-24T00:00:00"/>
    <s v="PHOENIX lék.velkoobchod, s.r.o."/>
    <m/>
    <n v="1448947.72"/>
    <n v="1593842.49"/>
    <m/>
    <m/>
    <m/>
    <d v="2022-01-24T00:00:00"/>
    <s v="SMLN-2022-617-000038"/>
    <x v="14"/>
  </r>
  <r>
    <d v="2021-08-02T00:00:00"/>
    <s v="VZ-2021-000764"/>
    <x v="1"/>
    <s v="Ondráčková"/>
    <x v="11"/>
    <n v="2"/>
    <s v="CHLORID VÁPENATÝ"/>
    <m/>
    <s v="33617000-8"/>
    <m/>
    <n v="4717059"/>
    <x v="0"/>
    <d v="2021-09-16T00:00:00"/>
    <d v="2021-12-12T00:00:00"/>
    <d v="2022-01-24T00:00:00"/>
    <s v="PHOENIX lék.velkoobchod, s.r.o."/>
    <m/>
    <n v="5233616.88"/>
    <n v="5756978.5700000003"/>
    <m/>
    <m/>
    <m/>
    <d v="2022-01-24T00:00:00"/>
    <s v="SMLN-2022-617-000039"/>
    <x v="14"/>
  </r>
  <r>
    <d v="2021-08-02T00:00:00"/>
    <s v="VZ-2021-000764"/>
    <x v="1"/>
    <s v="Ondráčková"/>
    <x v="11"/>
    <n v="3"/>
    <s v="SÍRAN HOŘEČNATÝ"/>
    <m/>
    <s v="33617000-8"/>
    <m/>
    <n v="7695003"/>
    <x v="0"/>
    <d v="2021-09-16T00:00:00"/>
    <d v="2021-12-12T00:00:00"/>
    <d v="2022-01-24T00:00:00"/>
    <s v="Alliance Healthcare s.r.o."/>
    <m/>
    <n v="7453713.4000000004"/>
    <n v="8199084.7400000002"/>
    <m/>
    <m/>
    <m/>
    <d v="2022-01-24T00:00:00"/>
    <s v="SMLN-2022-617-000040"/>
    <x v="15"/>
  </r>
  <r>
    <d v="2021-08-02T00:00:00"/>
    <s v="VZ-2021-000764"/>
    <x v="1"/>
    <s v="Ondráčková"/>
    <x v="11"/>
    <n v="4"/>
    <s v="HOŘČÍK V KOMBINACI RŮZNÝCH SOLÍ"/>
    <m/>
    <s v="33617000-8"/>
    <m/>
    <n v="10242662"/>
    <x v="0"/>
    <d v="2021-09-16T00:00:00"/>
    <d v="2021-12-12T00:00:00"/>
    <d v="2022-01-24T00:00:00"/>
    <s v="PHARMOS, a.s., a.s."/>
    <m/>
    <n v="10145450.880000001"/>
    <n v="11159995.970000001"/>
    <m/>
    <m/>
    <m/>
    <d v="2022-01-24T00:00:00"/>
    <s v="SMLN-2022-617-000041"/>
    <x v="16"/>
  </r>
  <r>
    <d v="2021-08-16T00:00:00"/>
    <s v="VZ-2021-000825"/>
    <x v="2"/>
    <s v="Spáčil"/>
    <x v="12"/>
    <m/>
    <m/>
    <m/>
    <s v="45223500-1"/>
    <s v="1.2.75."/>
    <n v="137766923.69999999"/>
    <x v="0"/>
    <d v="2021-09-21T00:00:00"/>
    <d v="2021-10-27T00:00:00"/>
    <d v="2021-11-09T00:00:00"/>
    <s v="OHLA ŽS, a.s."/>
    <m/>
    <n v="132485529.13"/>
    <n v="160307490.25"/>
    <m/>
    <m/>
    <m/>
    <d v="2021-11-09T00:00:00"/>
    <s v="SMLN-2021-618-000078"/>
    <x v="7"/>
  </r>
  <r>
    <d v="2021-08-17T00:00:00"/>
    <s v="VZ-2021-000840"/>
    <x v="0"/>
    <s v="Dočkalová"/>
    <x v="13"/>
    <m/>
    <m/>
    <m/>
    <s v="33141000-0_x000a_33181100-3"/>
    <m/>
    <n v="55920000"/>
    <x v="0"/>
    <d v="2021-08-23T00:00:00"/>
    <d v="2021-10-20T00:00:00"/>
    <d v="2022-01-05T00:00:00"/>
    <s v="Fresenius Kabi s.r.o. Medical Care - ČR, s.r.o."/>
    <m/>
    <n v="41146779"/>
    <n v="49363486.590000004"/>
    <m/>
    <m/>
    <m/>
    <d v="2022-01-05T00:00:00"/>
    <s v="SMLN-2022-617-000006_x000a_SMLN-2022-616-000002"/>
    <x v="12"/>
  </r>
  <r>
    <d v="2021-08-19T00:00:00"/>
    <s v="VZ-2021-000848"/>
    <x v="4"/>
    <s v="Olejníček"/>
    <x v="14"/>
    <n v="1"/>
    <s v="Mobilní ultrazvukový přístroj pro Urologickou kliniku "/>
    <m/>
    <s v="33124120-2"/>
    <s v="2.3.506."/>
    <n v="1651500"/>
    <x v="0"/>
    <d v="2021-10-06T00:00:00"/>
    <d v="2021-11-09T00:00:00"/>
    <d v="2021-12-16T00:00:00"/>
    <s v="MEDKONSULT, s.r.o."/>
    <m/>
    <n v="1650700"/>
    <n v="1997347"/>
    <m/>
    <m/>
    <m/>
    <d v="2021-12-16T00:00:00"/>
    <s v="SMLN-2021-617-000727_x000a_SMLN-2021-612-000150"/>
    <x v="17"/>
  </r>
  <r>
    <d v="2021-08-19T00:00:00"/>
    <s v="VZ-2021-000848"/>
    <x v="3"/>
    <s v="Olejníček"/>
    <x v="14"/>
    <n v="2"/>
    <s v="Transportabilní echokardiografický přístroj pro Kardiochirurgickou kliniku"/>
    <m/>
    <s v="33124120-2"/>
    <s v="2.2.306."/>
    <n v="2035000"/>
    <x v="0"/>
    <d v="2021-10-06T00:00:00"/>
    <d v="2021-11-09T00:00:00"/>
    <d v="2021-12-16T00:00:00"/>
    <s v="S+T Plus s.r.o."/>
    <m/>
    <n v="1995260"/>
    <n v="2414264.6"/>
    <m/>
    <m/>
    <m/>
    <d v="2021-12-16T00:00:00"/>
    <s v="SMLN-2021-617-000728_x000a_SMLN-2021-612-000151"/>
    <x v="18"/>
  </r>
  <r>
    <d v="2021-08-19T00:00:00"/>
    <s v="VZ-2021-000848"/>
    <x v="3"/>
    <s v="Olejníček"/>
    <x v="14"/>
    <n v="3"/>
    <s v="Echokardiografický přístroj pro Kardiochirurgickou kliniku"/>
    <m/>
    <s v="33124120-2"/>
    <s v="2.3.457."/>
    <n v="4194500"/>
    <x v="0"/>
    <d v="2021-10-06T00:00:00"/>
    <d v="2021-11-09T00:00:00"/>
    <d v="2021-12-16T00:00:00"/>
    <s v="S+T Plus s.r.o."/>
    <m/>
    <n v="4180160"/>
    <n v="5057993.5999999996"/>
    <m/>
    <m/>
    <m/>
    <d v="2021-12-16T00:00:00"/>
    <s v="SMLN-2021-617-000729_x000a_SMLN-2021-612-000152"/>
    <x v="19"/>
  </r>
  <r>
    <d v="2021-08-19T00:00:00"/>
    <s v="VZ-2021-000848"/>
    <x v="4"/>
    <s v="Olejníček"/>
    <x v="14"/>
    <n v="4"/>
    <s v="Lineární sonda pro Porodnicko-gynekologickou kliniku"/>
    <m/>
    <s v="33124120-2"/>
    <s v="2.2.349."/>
    <n v="125000"/>
    <x v="0"/>
    <d v="2021-10-06T00:00:00"/>
    <d v="2021-11-09T00:00:00"/>
    <d v="2021-12-16T00:00:00"/>
    <s v="Electric Medical Service, s.r.o."/>
    <m/>
    <n v="108000"/>
    <n v="130680"/>
    <m/>
    <m/>
    <m/>
    <d v="2021-12-16T00:00:00"/>
    <s v="SMLN-2021-617-000730_x000a_SMLN-2021-612-000153"/>
    <x v="17"/>
  </r>
  <r>
    <d v="2021-08-19T00:00:00"/>
    <s v="VZ-2021-000848"/>
    <x v="4"/>
    <s v="Olejníček"/>
    <x v="14"/>
    <n v="5"/>
    <s v="Echokardiografický přístroj střední třídy pro KTVS"/>
    <m/>
    <s v="33124120-2"/>
    <s v="2.3.523."/>
    <n v="1770000"/>
    <x v="0"/>
    <d v="2021-10-06T00:00:00"/>
    <d v="2021-11-09T00:00:00"/>
    <d v="2021-12-16T00:00:00"/>
    <s v="NIMOTECH, s.r.o."/>
    <m/>
    <n v="1136163.99"/>
    <n v="1374758.43"/>
    <m/>
    <m/>
    <m/>
    <d v="2021-12-16T00:00:00"/>
    <s v="SMLN-2021-617-000731_x000a_SMLN-2021-612-000154"/>
    <x v="17"/>
  </r>
  <r>
    <d v="2021-08-17T00:00:00"/>
    <s v="VZ-2021-000872"/>
    <x v="5"/>
    <s v="Srovnal"/>
    <x v="15"/>
    <n v="1"/>
    <s v="Chlazení budovy D1, 1.NP - 3.NP"/>
    <m/>
    <s v="42513290-4"/>
    <s v="4.2.154"/>
    <n v="4600000"/>
    <x v="0"/>
    <d v="2021-09-06T00:00:00"/>
    <d v="2021-10-11T00:00:00"/>
    <d v="2022-01-27T00:00:00"/>
    <s v="CLIMART s.r.o."/>
    <m/>
    <n v="3277300"/>
    <n v="3965533"/>
    <m/>
    <m/>
    <m/>
    <d v="2022-01-27T00:00:00"/>
    <s v="SMLN-2022-618-000007"/>
    <x v="20"/>
  </r>
  <r>
    <d v="2021-08-17T00:00:00"/>
    <s v="VZ-2021-000872"/>
    <x v="5"/>
    <s v="Srovnal"/>
    <x v="15"/>
    <n v="2"/>
    <s v="Dochlazování místností v budovách M1 a M2"/>
    <m/>
    <s v="42513290-4"/>
    <m/>
    <n v="1600000"/>
    <x v="0"/>
    <d v="2021-09-06T00:00:00"/>
    <d v="2021-10-11T00:00:00"/>
    <d v="2021-11-24T00:00:00"/>
    <s v="MK POWER s.r.o."/>
    <m/>
    <n v="1127500"/>
    <n v="1364275"/>
    <m/>
    <m/>
    <m/>
    <d v="2021-11-24T00:00:00"/>
    <s v="SMLN-2021-618-000082"/>
    <x v="21"/>
  </r>
  <r>
    <d v="2021-08-17T00:00:00"/>
    <s v="VZ-2021-000874"/>
    <x v="0"/>
    <s v="Zemánek"/>
    <x v="16"/>
    <m/>
    <m/>
    <m/>
    <s v="33140000-3"/>
    <m/>
    <n v="8723460"/>
    <x v="0"/>
    <d v="2021-09-23T00:00:00"/>
    <d v="2021-10-26T00:00:00"/>
    <d v="2021-12-09T00:00:00"/>
    <s v="Edwards Lifesciences Czech Republic s.r.o."/>
    <m/>
    <n v="8919795"/>
    <n v="10792951.949999999"/>
    <m/>
    <m/>
    <m/>
    <d v="2021-12-09T00:00:00"/>
    <s v="SMLN-2021-617-000716"/>
    <x v="22"/>
  </r>
  <r>
    <d v="2021-08-31T00:00:00"/>
    <s v="VZ-2021-000920"/>
    <x v="1"/>
    <s v="Ondráčková"/>
    <x v="17"/>
    <m/>
    <m/>
    <m/>
    <s v="33622200-8"/>
    <m/>
    <n v="6988880"/>
    <x v="0"/>
    <d v="2021-10-19T00:00:00"/>
    <d v="2021-12-16T00:00:00"/>
    <d v="2022-01-05T00:00:00"/>
    <s v="Alliance Healthcare s.r.o."/>
    <m/>
    <n v="6916884"/>
    <n v="7608572.4000000004"/>
    <m/>
    <m/>
    <m/>
    <d v="2022-01-05T00:00:00"/>
    <s v="SMLN-2022-617-000007"/>
    <x v="23"/>
  </r>
  <r>
    <d v="2021-08-31T00:00:00"/>
    <s v="VZ-2021-000929"/>
    <x v="4"/>
    <s v="Rosulek"/>
    <x v="18"/>
    <m/>
    <m/>
    <m/>
    <s v="33169100-3"/>
    <s v="2.3.416."/>
    <n v="6363636"/>
    <x v="0"/>
    <d v="2021-10-06T00:00:00"/>
    <d v="2021-11-08T00:00:00"/>
    <d v="2022-01-20T00:00:00"/>
    <s v="Hospimed, spol. s r.o."/>
    <m/>
    <n v="6363521"/>
    <n v="7699860.4100000001"/>
    <m/>
    <m/>
    <m/>
    <d v="2022-01-20T00:00:00"/>
    <s v="SMLN-2022-617-000028_x000a_SMLN-2022-612-000009_x000a_SMLN-2022-617-000029"/>
    <x v="24"/>
  </r>
  <r>
    <d v="2021-09-13T00:00:00"/>
    <s v="VZ-2021-000951"/>
    <x v="0"/>
    <s v="Valtová"/>
    <x v="19"/>
    <n v="1"/>
    <s v="Samoexpandibilní stenty vaskulární II."/>
    <m/>
    <s v="33140000-3"/>
    <m/>
    <n v="1500000"/>
    <x v="0"/>
    <d v="2021-09-23T00:00:00"/>
    <d v="2021-11-16T00:00:00"/>
    <d v="2021-12-01T00:00:00"/>
    <s v="MEDITRADE spol. s r.o."/>
    <m/>
    <n v="1500000"/>
    <n v="1725000"/>
    <m/>
    <m/>
    <m/>
    <d v="2021-12-01T00:00:00"/>
    <s v="SMLN-2021-617-000698_x000a_SMLN-2021-614-000121"/>
    <x v="2"/>
  </r>
  <r>
    <d v="2021-09-13T00:00:00"/>
    <s v="VZ-2021-000951"/>
    <x v="0"/>
    <s v="Valtová"/>
    <x v="19"/>
    <n v="2"/>
    <s v="Samoexpandibilní stenty vaskulární XL"/>
    <m/>
    <s v="33140000-3"/>
    <m/>
    <n v="189800"/>
    <x v="0"/>
    <d v="2021-09-23T00:00:00"/>
    <d v="2021-11-16T00:00:00"/>
    <d v="2021-12-01T00:00:00"/>
    <s v="BARD Czech Republic s.r.o."/>
    <m/>
    <n v="189800"/>
    <n v="218270"/>
    <m/>
    <m/>
    <m/>
    <d v="2021-12-01T00:00:00"/>
    <s v="SMLN-2021-617-000699_x000a_SMLN-2021-614-000122"/>
    <x v="2"/>
  </r>
  <r>
    <d v="2021-09-13T00:00:00"/>
    <s v="VZ-2021-000951"/>
    <x v="0"/>
    <s v="Valtová"/>
    <x v="19"/>
    <n v="3"/>
    <s v="Balónexpandibilní stenty vaskulární I."/>
    <m/>
    <s v="33140000-3"/>
    <m/>
    <n v="1635000"/>
    <x v="0"/>
    <d v="2021-09-23T00:00:00"/>
    <d v="2021-11-16T00:00:00"/>
    <d v="2021-12-01T00:00:00"/>
    <s v="Stimcare, s.r.o."/>
    <m/>
    <n v="1635000"/>
    <n v="1880250"/>
    <m/>
    <m/>
    <m/>
    <d v="2021-12-01T00:00:00"/>
    <s v="SMLN-2021-617-000700_x000a_SMLN-2021-614-000123"/>
    <x v="1"/>
  </r>
  <r>
    <d v="2021-09-13T00:00:00"/>
    <s v="VZ-2021-000951"/>
    <x v="0"/>
    <s v="Valtová"/>
    <x v="19"/>
    <n v="5"/>
    <s v="Karotické stenty vaskulární I."/>
    <m/>
    <s v="33140000-3"/>
    <m/>
    <n v="528000"/>
    <x v="0"/>
    <d v="2021-09-23T00:00:00"/>
    <d v="2021-11-16T00:00:00"/>
    <d v="2021-12-01T00:00:00"/>
    <s v="MEDITRADE spol. s r.o."/>
    <m/>
    <n v="528000"/>
    <n v="607200"/>
    <m/>
    <m/>
    <m/>
    <d v="2021-12-01T00:00:00"/>
    <s v="SMLN-2021-617-000701_x000a_SMLN-2021-614-000124"/>
    <x v="2"/>
  </r>
  <r>
    <d v="2021-09-13T00:00:00"/>
    <s v="VZ-2021-000951"/>
    <x v="0"/>
    <s v="Valtová"/>
    <x v="19"/>
    <n v="6"/>
    <s v="Karotické stenty vaskulární II."/>
    <m/>
    <s v="33140000-3"/>
    <m/>
    <n v="652170"/>
    <x v="0"/>
    <d v="2021-09-23T00:00:00"/>
    <d v="2021-11-16T00:00:00"/>
    <d v="2021-12-01T00:00:00"/>
    <s v="Stimcare, s.r.o."/>
    <m/>
    <n v="651900"/>
    <n v="749685"/>
    <m/>
    <m/>
    <m/>
    <d v="2021-12-01T00:00:00"/>
    <s v="SMLN-2021-617-000702_x000a_SMLN-2021-614-000125"/>
    <x v="1"/>
  </r>
  <r>
    <d v="2021-09-13T00:00:00"/>
    <s v="VZ-2021-000951"/>
    <x v="0"/>
    <s v="Valtová"/>
    <x v="19"/>
    <n v="7"/>
    <s v="Intrakraniální stenty vaskulární"/>
    <m/>
    <s v="33140000-3"/>
    <m/>
    <n v="26578800"/>
    <x v="0"/>
    <d v="2021-09-23T00:00:00"/>
    <d v="2021-11-16T00:00:00"/>
    <d v="2021-12-01T00:00:00"/>
    <s v="EspoMed spol. s r.o."/>
    <m/>
    <n v="26577000"/>
    <n v="30563550"/>
    <m/>
    <m/>
    <m/>
    <d v="2021-12-01T00:00:00"/>
    <s v="SMLN-2021-617-000703_x000a_SMLN-2021-614-000126"/>
    <x v="13"/>
  </r>
  <r>
    <d v="2021-09-20T00:00:00"/>
    <s v="VZ-2021-000997"/>
    <x v="6"/>
    <s v="Zdráhalová"/>
    <x v="20"/>
    <m/>
    <m/>
    <m/>
    <s v="33141620-2"/>
    <m/>
    <n v="3299200"/>
    <x v="1"/>
    <d v="2021-10-15T00:00:00"/>
    <d v="2021-11-10T00:00:00"/>
    <d v="2021-12-09T00:00:00"/>
    <s v="MANLOMKA s.r.o."/>
    <m/>
    <n v="3247680"/>
    <n v="3734852"/>
    <m/>
    <m/>
    <m/>
    <d v="2021-12-09T00:00:00"/>
    <s v="SMLN-2021-617-000717"/>
    <x v="1"/>
  </r>
  <r>
    <d v="2021-09-24T00:00:00"/>
    <s v="VZ-2021-001002"/>
    <x v="1"/>
    <s v="Ondráčková"/>
    <x v="21"/>
    <n v="2"/>
    <s v="KOBIMETINIB"/>
    <m/>
    <s v="33652000-5"/>
    <m/>
    <n v="370986"/>
    <x v="0"/>
    <d v="2021-09-30T00:00:00"/>
    <d v="2021-11-02T00:00:00"/>
    <d v="2021-12-01T00:00:00"/>
    <s v="ROCHE s.r.o."/>
    <m/>
    <n v="125634.9"/>
    <n v="138198.39000000001"/>
    <m/>
    <m/>
    <m/>
    <d v="2021-12-01T00:00:00"/>
    <s v="SMLN-2021-617-000693"/>
    <x v="1"/>
  </r>
  <r>
    <d v="2021-09-24T00:00:00"/>
    <s v="VZ-2021-001002"/>
    <x v="1"/>
    <s v="Ondráčková"/>
    <x v="21"/>
    <n v="3"/>
    <s v="PIRFENIDON"/>
    <m/>
    <s v="33652200-7"/>
    <m/>
    <n v="52685673"/>
    <x v="0"/>
    <d v="2021-09-30T00:00:00"/>
    <d v="2021-11-02T00:00:00"/>
    <d v="2021-12-01T00:00:00"/>
    <s v="ROCHE s.r.o."/>
    <m/>
    <n v="51324507.899999999"/>
    <n v="56456958.689999998"/>
    <m/>
    <m/>
    <m/>
    <d v="2021-12-01T00:00:00"/>
    <s v="SMLN-2021-617-000694"/>
    <x v="1"/>
  </r>
  <r>
    <d v="2021-09-24T00:00:00"/>
    <s v="VZ-2021-001010"/>
    <x v="1"/>
    <s v="Ondráčková"/>
    <x v="22"/>
    <n v="1"/>
    <s v="FLUCONAZOL I.V."/>
    <m/>
    <s v="33651200-0"/>
    <m/>
    <n v="1724688"/>
    <x v="0"/>
    <d v="2021-10-06T00:00:00"/>
    <d v="2021-12-21T00:00:00"/>
    <d v="2022-02-16T00:00:00"/>
    <s v="Fresenius Kabi s.r.o. Kabi s.r.o."/>
    <m/>
    <n v="1723115.4"/>
    <n v="1895426.94"/>
    <m/>
    <m/>
    <m/>
    <d v="2022-02-16T00:00:00"/>
    <s v="SMLN-2022-617-000108"/>
    <x v="25"/>
  </r>
  <r>
    <d v="2021-09-24T00:00:00"/>
    <s v="VZ-2021-001010"/>
    <x v="1"/>
    <s v="Ondráčková"/>
    <x v="22"/>
    <n v="2"/>
    <s v="VORIKONAZOL SANDOZ Tbl."/>
    <m/>
    <s v="33651200-0"/>
    <m/>
    <n v="1365165"/>
    <x v="0"/>
    <d v="2021-10-06T00:00:00"/>
    <d v="2021-12-21T00:00:00"/>
    <d v="2022-02-16T00:00:00"/>
    <s v="Alliance Healthcare s.r.o."/>
    <m/>
    <n v="1365300"/>
    <n v="1501830"/>
    <m/>
    <m/>
    <m/>
    <d v="2022-02-16T00:00:00"/>
    <s v="SMLN-2022-617-000109"/>
    <x v="15"/>
  </r>
  <r>
    <d v="2021-09-24T00:00:00"/>
    <s v="VZ-2021-001010"/>
    <x v="1"/>
    <s v="Ondráčková"/>
    <x v="22"/>
    <n v="3"/>
    <s v="VFEND Tbl."/>
    <m/>
    <s v="33651200-0"/>
    <m/>
    <n v="1365165"/>
    <x v="0"/>
    <d v="2021-10-06T00:00:00"/>
    <d v="2021-12-21T00:00:00"/>
    <d v="2022-02-16T00:00:00"/>
    <s v="PHOENIX lék.velkoobchod, s.r.o."/>
    <m/>
    <n v="1371580.38"/>
    <n v="1508738.42"/>
    <m/>
    <m/>
    <m/>
    <d v="2022-02-16T00:00:00"/>
    <s v="SMLN-2022-617-000110"/>
    <x v="14"/>
  </r>
  <r>
    <d v="2021-09-24T00:00:00"/>
    <s v="VZ-2021-001010"/>
    <x v="1"/>
    <s v="Ondráčková"/>
    <x v="22"/>
    <n v="4"/>
    <s v="VORICONAZOLE ACCORD Tbl."/>
    <m/>
    <s v="33651200-0"/>
    <m/>
    <n v="1365165"/>
    <x v="0"/>
    <d v="2021-10-06T00:00:00"/>
    <d v="2021-12-21T00:00:00"/>
    <d v="2022-02-16T00:00:00"/>
    <s v="ViaPharma s.r.o."/>
    <m/>
    <n v="1335996"/>
    <n v="1469595.6"/>
    <m/>
    <m/>
    <m/>
    <d v="2022-02-16T00:00:00"/>
    <s v="SMLN-2022-617-000111"/>
    <x v="26"/>
  </r>
  <r>
    <d v="2021-09-24T00:00:00"/>
    <s v="VZ-2021-001010"/>
    <x v="1"/>
    <s v="Ondráčková"/>
    <x v="22"/>
    <n v="5"/>
    <s v="VORICONAZOLE OLIKLA Tbl."/>
    <m/>
    <s v="33651200-0"/>
    <m/>
    <n v="72594"/>
    <x v="0"/>
    <d v="2021-10-06T00:00:00"/>
    <d v="2021-12-21T00:00:00"/>
    <d v="2022-02-16T00:00:00"/>
    <s v="PHARMOS, a.s., a.s."/>
    <m/>
    <n v="71750.399999999994"/>
    <n v="78925.440000000002"/>
    <m/>
    <m/>
    <m/>
    <d v="2022-02-16T00:00:00"/>
    <s v="SMLN-2022-617-000112"/>
    <x v="16"/>
  </r>
  <r>
    <d v="2021-09-24T00:00:00"/>
    <s v="VZ-2021-001010"/>
    <x v="1"/>
    <s v="Ondráčková"/>
    <x v="22"/>
    <n v="6"/>
    <s v="VORICONAZOLE TEVA Tbl."/>
    <m/>
    <s v="33651200-0"/>
    <m/>
    <n v="1365165"/>
    <x v="0"/>
    <d v="2021-10-06T00:00:00"/>
    <d v="2021-12-21T00:00:00"/>
    <d v="2022-02-16T00:00:00"/>
    <s v="Alliance Healthcare s.r.o."/>
    <m/>
    <n v="72511.86"/>
    <n v="79763.05"/>
    <m/>
    <m/>
    <m/>
    <d v="2022-02-16T00:00:00"/>
    <s v="SMLN-2022-617-000113"/>
    <x v="15"/>
  </r>
  <r>
    <d v="2021-09-24T00:00:00"/>
    <s v="VZ-2021-001010"/>
    <x v="1"/>
    <s v="Ondráčková"/>
    <x v="22"/>
    <n v="7"/>
    <s v="VORIKONAZOL MYLAN Tbl."/>
    <m/>
    <s v="33651200-0"/>
    <m/>
    <n v="1365165"/>
    <x v="0"/>
    <d v="2021-10-06T00:00:00"/>
    <d v="2021-12-21T00:00:00"/>
    <d v="2022-02-16T00:00:00"/>
    <s v="PHARMOS, a.s., a.s."/>
    <m/>
    <n v="540947.4"/>
    <n v="595042.14"/>
    <m/>
    <m/>
    <m/>
    <d v="2022-02-16T00:00:00"/>
    <s v="SMLN-2022-617-000114"/>
    <x v="16"/>
  </r>
  <r>
    <d v="2021-09-24T00:00:00"/>
    <s v="VZ-2021-001010"/>
    <x v="1"/>
    <s v="Ondráčková"/>
    <x v="22"/>
    <n v="8"/>
    <s v="VORIKONAZOL Tbl.  pro hospitalizované pacienty"/>
    <m/>
    <s v="33651200-0"/>
    <m/>
    <n v="224649"/>
    <x v="0"/>
    <d v="2021-10-06T00:00:00"/>
    <d v="2021-12-21T00:00:00"/>
    <d v="2022-02-16T00:00:00"/>
    <s v="ViaPharma s.r.o."/>
    <m/>
    <n v="209521.26"/>
    <n v="230473.39"/>
    <m/>
    <m/>
    <m/>
    <d v="2022-02-16T00:00:00"/>
    <s v="SMLN-2022-617-000115"/>
    <x v="26"/>
  </r>
  <r>
    <d v="2021-09-30T00:00:00"/>
    <s v="VZ-2021-001026"/>
    <x v="1"/>
    <s v="Ondráčková"/>
    <x v="23"/>
    <n v="1"/>
    <s v="SORAFENIB bez indikace diferencovaného karcinomu štítné žlázy "/>
    <m/>
    <s v="33652000-5"/>
    <m/>
    <n v="695760"/>
    <x v="0"/>
    <d v="2021-10-06T00:00:00"/>
    <d v="2021-12-27T00:00:00"/>
    <d v="2022-02-02T00:00:00"/>
    <s v="Alliance Healthcare s.r.o."/>
    <m/>
    <n v="377836.68"/>
    <n v="415620.35"/>
    <m/>
    <m/>
    <m/>
    <d v="2022-02-02T00:00:00"/>
    <s v="SMLN-2022-617-000059"/>
    <x v="27"/>
  </r>
  <r>
    <d v="2021-09-30T00:00:00"/>
    <s v="VZ-2021-001026"/>
    <x v="1"/>
    <s v="Ondráčková"/>
    <x v="23"/>
    <n v="2"/>
    <s v="MELFALAN"/>
    <m/>
    <s v="33652000-5"/>
    <m/>
    <n v="553461"/>
    <x v="0"/>
    <d v="2021-10-06T00:00:00"/>
    <d v="2021-12-27T00:00:00"/>
    <d v="2022-02-02T00:00:00"/>
    <s v="Alliance Healthcare s.r.o."/>
    <m/>
    <n v="549009.27"/>
    <n v="603910.19999999995"/>
    <m/>
    <m/>
    <m/>
    <d v="2022-02-02T00:00:00"/>
    <s v="SMLN-2022-617-000060"/>
    <x v="27"/>
  </r>
  <r>
    <d v="2021-09-30T00:00:00"/>
    <s v="VZ-2021-001026"/>
    <x v="1"/>
    <s v="Ondráčková"/>
    <x v="23"/>
    <n v="3"/>
    <s v="NELARABIN"/>
    <m/>
    <s v="33652000-5"/>
    <m/>
    <n v="1970539"/>
    <x v="0"/>
    <d v="2021-10-06T00:00:00"/>
    <d v="2021-12-27T00:00:00"/>
    <d v="2022-02-02T00:00:00"/>
    <s v="Alliance Healthcare s.r.o."/>
    <m/>
    <n v="1930145.76"/>
    <n v="2123160.34"/>
    <m/>
    <m/>
    <m/>
    <d v="2022-02-02T00:00:00"/>
    <s v="SMLN-2022-617-000061"/>
    <x v="27"/>
  </r>
  <r>
    <d v="2021-09-30T00:00:00"/>
    <s v="VZ-2021-001026"/>
    <x v="1"/>
    <s v="Ondráčková"/>
    <x v="23"/>
    <n v="4"/>
    <s v="OXID ARSENITÝ I."/>
    <m/>
    <s v="33652000-5"/>
    <m/>
    <n v="1744029"/>
    <x v="0"/>
    <d v="2021-10-06T00:00:00"/>
    <d v="2021-12-27T00:00:00"/>
    <d v="2022-02-02T00:00:00"/>
    <s v="PHOENIX lék.velkoobchod, s.r.o."/>
    <m/>
    <n v="1714919"/>
    <n v="1886454.9"/>
    <m/>
    <m/>
    <m/>
    <d v="2022-02-02T00:00:00"/>
    <s v="SMLN-2022-617-000062"/>
    <x v="27"/>
  </r>
  <r>
    <d v="2021-09-30T00:00:00"/>
    <s v="VZ-2021-001026"/>
    <x v="1"/>
    <s v="Ondráčková"/>
    <x v="23"/>
    <n v="5"/>
    <s v="OXID ARSENITÝ II."/>
    <m/>
    <s v="33652000-5"/>
    <m/>
    <n v="1335396"/>
    <x v="0"/>
    <d v="2021-10-06T00:00:00"/>
    <d v="2021-12-27T00:00:00"/>
    <d v="2022-02-02T00:00:00"/>
    <s v="ViaPharma s.r.o."/>
    <m/>
    <n v="1328324.92"/>
    <n v="1461157.41"/>
    <m/>
    <m/>
    <m/>
    <d v="2022-02-02T00:00:00"/>
    <s v="SMLN-2022-617-000063"/>
    <x v="26"/>
  </r>
  <r>
    <d v="2021-09-30T00:00:00"/>
    <s v="VZ-2021-001027"/>
    <x v="3"/>
    <s v="Valíček"/>
    <x v="24"/>
    <m/>
    <m/>
    <m/>
    <s v="45215100-8"/>
    <s v="1.3.27."/>
    <n v="160000000"/>
    <x v="0"/>
    <d v="2021-12-17T00:00:00"/>
    <d v="2022-01-28T00:00:00"/>
    <d v="2022-02-07T00:00:00"/>
    <s v="OHLA ŽS, a.s."/>
    <m/>
    <n v="156483215.03999999"/>
    <n v="189344690.19999999"/>
    <m/>
    <m/>
    <m/>
    <d v="2022-02-08T00:00:00"/>
    <s v="SMLN-2022-618-000009"/>
    <x v="28"/>
  </r>
  <r>
    <d v="2021-09-14T00:00:00"/>
    <s v="VZ-2021-001028"/>
    <x v="4"/>
    <s v="Rosulek"/>
    <x v="25"/>
    <m/>
    <m/>
    <m/>
    <s v="33122000-1"/>
    <s v="2.3.529."/>
    <n v="2800000"/>
    <x v="0"/>
    <d v="2021-10-11T00:00:00"/>
    <d v="2021-11-12T00:00:00"/>
    <d v="2021-12-23T00:00:00"/>
    <s v="Carl Zeiss spol. s r.o."/>
    <m/>
    <n v="2797840"/>
    <n v="3385386.4"/>
    <m/>
    <m/>
    <m/>
    <d v="2021-12-23T00:00:00"/>
    <s v="SMLN-2021-617-000748_x000a_SMLN-2021-612-000160"/>
    <x v="29"/>
  </r>
  <r>
    <s v="opakovaná VZ"/>
    <s v="VZ-2021-001041"/>
    <x v="1"/>
    <s v="Ondráčková"/>
    <x v="26"/>
    <n v="1"/>
    <s v="Spotřební materiál pro genetiku 1"/>
    <m/>
    <s v="33694000-1"/>
    <m/>
    <n v="733738"/>
    <x v="2"/>
    <d v="2021-10-11T00:00:00"/>
    <d v="2021-10-18T00:00:00"/>
    <d v="2022-12-16T00:00:00"/>
    <s v="ROCHE s.r.o."/>
    <m/>
    <n v="733735.96"/>
    <n v="887820.51"/>
    <m/>
    <m/>
    <m/>
    <d v="2021-12-16T00:00:00"/>
    <s v="SMLN-2021-617-000732"/>
    <x v="30"/>
  </r>
  <r>
    <s v="opakovaná VZ"/>
    <s v="VZ-2021-001041"/>
    <x v="1"/>
    <s v="Ondráčková"/>
    <x v="26"/>
    <n v="2"/>
    <s v="Spotřební materiál pro genetiku 2"/>
    <m/>
    <s v="33694000-1"/>
    <m/>
    <n v="102837"/>
    <x v="2"/>
    <d v="2021-10-11T00:00:00"/>
    <d v="2021-10-18T00:00:00"/>
    <d v="2022-03-04T00:00:00"/>
    <s v="BIOMEDICA ČS, s.r.o."/>
    <m/>
    <n v="47784"/>
    <n v="57818.64"/>
    <m/>
    <m/>
    <m/>
    <d v="2022-03-04T00:00:00"/>
    <s v="SMLN-2022-617-000144"/>
    <x v="31"/>
  </r>
  <r>
    <s v="opakovaná VZ"/>
    <s v="VZ-2021-001041"/>
    <x v="1"/>
    <s v="Ondráčková"/>
    <x v="26"/>
    <n v="4"/>
    <s v="Spotřební materiál pro genetiku 4"/>
    <m/>
    <s v="33694000-1"/>
    <m/>
    <n v="287058"/>
    <x v="2"/>
    <d v="2021-10-11T00:00:00"/>
    <d v="2021-10-18T00:00:00"/>
    <d v="2022-12-16T00:00:00"/>
    <s v="GeneTiCA s.r.o."/>
    <m/>
    <n v="301280"/>
    <n v="364548.8"/>
    <m/>
    <m/>
    <m/>
    <d v="2021-12-16T00:00:00"/>
    <s v="SMLN-2021-617-000733"/>
    <x v="13"/>
  </r>
  <r>
    <d v="2021-10-01T00:00:00"/>
    <s v="VZ-2021-001042"/>
    <x v="0"/>
    <s v="Valtová"/>
    <x v="27"/>
    <m/>
    <m/>
    <m/>
    <s v="33140000-3"/>
    <m/>
    <n v="4914000"/>
    <x v="0"/>
    <d v="2021-10-18T00:00:00"/>
    <d v="2021-11-22T00:00:00"/>
    <d v="2021-12-16T00:00:00"/>
    <s v="Innova Medical s.r.o."/>
    <m/>
    <n v="4851000"/>
    <n v="5869710"/>
    <m/>
    <m/>
    <m/>
    <d v="2021-12-16T00:00:00"/>
    <s v="SMLN-2021-617-000726_x000a_SMLN-2021-614-000130"/>
    <x v="32"/>
  </r>
  <r>
    <d v="2021-10-04T00:00:00"/>
    <s v="VZ-2021-001043"/>
    <x v="0"/>
    <s v="Valtová"/>
    <x v="28"/>
    <n v="1"/>
    <s v="Systémy pro uzavírání vstupů po perkutánních cévních výkonech I."/>
    <m/>
    <s v="33140000-3"/>
    <m/>
    <n v="3311000"/>
    <x v="0"/>
    <d v="2021-10-12T00:00:00"/>
    <d v="2021-11-16T00:00:00"/>
    <d v="2021-12-01T00:00:00"/>
    <s v="MEDITRADE spol. s r.o."/>
    <m/>
    <n v="3311000"/>
    <n v="3807650"/>
    <m/>
    <m/>
    <m/>
    <d v="2021-12-01T00:00:00"/>
    <s v="SMLN-2021-617-000696_x000a_SMLN-2021-614-000118_x000a_SMLN-2021-614-000119"/>
    <x v="22"/>
  </r>
  <r>
    <d v="2021-10-04T00:00:00"/>
    <s v="VZ-2021-001043"/>
    <x v="0"/>
    <s v="Valtová"/>
    <x v="28"/>
    <n v="2"/>
    <s v="Systémy pro uzavírání vstupů po perkutánních cévních výkonech II."/>
    <m/>
    <s v="33140000-3"/>
    <m/>
    <n v="5213900"/>
    <x v="0"/>
    <d v="2021-10-12T00:00:00"/>
    <d v="2021-11-16T00:00:00"/>
    <d v="2021-12-01T00:00:00"/>
    <s v="MEDITRADE spol. s r.o."/>
    <m/>
    <n v="5168000"/>
    <n v="5943200"/>
    <m/>
    <m/>
    <m/>
    <d v="2021-12-01T00:00:00"/>
    <s v="SMLN-2021-617-000697_x000a_SMLN-2021-614-000120"/>
    <x v="22"/>
  </r>
  <r>
    <d v="2021-10-04T00:00:00"/>
    <s v="VZ-2021-001044"/>
    <x v="0"/>
    <s v="Valtová"/>
    <x v="29"/>
    <n v="1"/>
    <s v="Diagnostické katétry  I."/>
    <m/>
    <s v="33140000-3"/>
    <m/>
    <n v="681480"/>
    <x v="0"/>
    <d v="2021-10-12T00:00:00"/>
    <d v="2021-11-15T00:00:00"/>
    <d v="2021-12-09T00:00:00"/>
    <s v="ARID obchodní společnost, s.r.o."/>
    <m/>
    <n v="681480"/>
    <n v="824590.8"/>
    <m/>
    <m/>
    <m/>
    <d v="2021-12-09T00:00:00"/>
    <s v="SMLN-2021-617-000718_x000a_SMLN-2021-614-000127"/>
    <x v="1"/>
  </r>
  <r>
    <d v="2021-10-04T00:00:00"/>
    <s v="VZ-2021-001044"/>
    <x v="0"/>
    <s v="Valtová"/>
    <x v="29"/>
    <n v="3"/>
    <s v="Hydrofilní diagnostické katétry"/>
    <m/>
    <s v="33140000-3"/>
    <m/>
    <n v="120600"/>
    <x v="0"/>
    <d v="2021-10-12T00:00:00"/>
    <d v="2021-11-15T00:00:00"/>
    <d v="2021-12-09T00:00:00"/>
    <s v="VAMEX, spol. s r.o."/>
    <m/>
    <n v="120600"/>
    <n v="145926"/>
    <m/>
    <m/>
    <m/>
    <d v="2021-12-09T00:00:00"/>
    <s v="SMLN-2021-617-000719_x000a_SMLN-2021-614-000128"/>
    <x v="18"/>
  </r>
  <r>
    <d v="2021-10-04T00:00:00"/>
    <s v="VZ-2021-001045"/>
    <x v="0"/>
    <s v="Dočkalová"/>
    <x v="30"/>
    <m/>
    <m/>
    <m/>
    <s v="33140000-3"/>
    <m/>
    <n v="3561600"/>
    <x v="0"/>
    <d v="2021-10-13T00:00:00"/>
    <d v="2021-11-25T00:00:00"/>
    <d v="2022-06-28T00:00:00"/>
    <s v="Perfect Distribution a.s."/>
    <m/>
    <n v="2415671"/>
    <n v="2922961.91"/>
    <m/>
    <m/>
    <m/>
    <d v="2022-06-28T00:00:00"/>
    <s v="SMLN-2022-617-000440"/>
    <x v="33"/>
  </r>
  <r>
    <d v="2021-11-16T00:00:00"/>
    <s v="VZ-2021-001073"/>
    <x v="1"/>
    <s v="Ondráčková"/>
    <x v="31"/>
    <m/>
    <m/>
    <m/>
    <s v="33694000-1"/>
    <m/>
    <n v="7471900"/>
    <x v="0"/>
    <d v="2021-12-06T00:00:00"/>
    <d v="2022-01-10T00:00:00"/>
    <d v="2022-02-10T00:00:00"/>
    <s v="Siemens Healthcare, s.r.o."/>
    <m/>
    <n v="7451240"/>
    <n v="9016000.4000000004"/>
    <m/>
    <m/>
    <m/>
    <d v="2022-02-10T00:00:00"/>
    <s v="SMLN-2022-617-000089_x000a_SMLN-2022-616-000009"/>
    <x v="34"/>
  </r>
  <r>
    <d v="2021-10-13T00:00:00"/>
    <s v="VZ-2021-001090"/>
    <x v="2"/>
    <s v="Zeman"/>
    <x v="32"/>
    <m/>
    <m/>
    <m/>
    <s v="45215100-8"/>
    <s v="1.2.73."/>
    <n v="40000000"/>
    <x v="1"/>
    <d v="2021-10-22T00:00:00"/>
    <d v="2021-11-25T00:00:00"/>
    <d v="2021-12-23T00:00:00"/>
    <s v="PTÁČEK - pozemní stavby s.r.o."/>
    <m/>
    <n v="43869660.420000002"/>
    <n v="53082289.109999999"/>
    <m/>
    <m/>
    <m/>
    <d v="2021-12-23T00:00:00"/>
    <s v="SMLN-2021-618-000092"/>
    <x v="35"/>
  </r>
  <r>
    <d v="2021-10-14T00:00:00"/>
    <s v="VZ-2021-001097"/>
    <x v="1"/>
    <s v="Ondráčková"/>
    <x v="33"/>
    <n v="2"/>
    <s v="ELISA kit"/>
    <m/>
    <s v="33694000-1"/>
    <m/>
    <n v="197787"/>
    <x v="2"/>
    <d v="2021-10-19T00:00:00"/>
    <d v="2021-10-26T00:00:00"/>
    <d v="2021-11-19T00:00:00"/>
    <s v="Bio-Port Europe s.r.o."/>
    <m/>
    <n v="153450"/>
    <n v="153450"/>
    <m/>
    <m/>
    <m/>
    <d v="2021-11-19T00:00:00"/>
    <s v="SMLN-2021-617-000669"/>
    <x v="7"/>
  </r>
  <r>
    <d v="2021-10-14T00:00:00"/>
    <s v="VZ-2021-001099"/>
    <x v="7"/>
    <s v="Svozil"/>
    <x v="34"/>
    <m/>
    <m/>
    <m/>
    <s v="45232150-8"/>
    <m/>
    <n v="7600000"/>
    <x v="1"/>
    <d v="2021-10-26T00:00:00"/>
    <d v="2021-11-30T00:00:00"/>
    <d v="2021-12-16T00:00:00"/>
    <s v="INSTA CZ, s.r.o."/>
    <m/>
    <n v="7313040"/>
    <n v="8848778"/>
    <m/>
    <m/>
    <m/>
    <d v="2021-12-16T00:00:00"/>
    <s v="SMLN-2021-618-000089"/>
    <x v="36"/>
  </r>
  <r>
    <d v="2021-10-15T00:00:00"/>
    <s v="VZ-2021-001111"/>
    <x v="1"/>
    <s v="Ondráčková"/>
    <x v="35"/>
    <n v="1"/>
    <s v="LAMICTAL"/>
    <m/>
    <s v="33661600-4"/>
    <m/>
    <n v="1276147"/>
    <x v="0"/>
    <d v="2021-10-21T00:00:00"/>
    <d v="2021-12-30T00:00:00"/>
    <d v="2022-01-24T00:00:00"/>
    <s v="PHARMOS, a.s., a.s."/>
    <m/>
    <n v="1263192.51"/>
    <n v="1389511.76"/>
    <m/>
    <m/>
    <m/>
    <d v="2022-01-24T00:00:00"/>
    <s v="SMLN-2022-617-000030"/>
    <x v="37"/>
  </r>
  <r>
    <d v="2021-10-15T00:00:00"/>
    <s v="VZ-2021-001111"/>
    <x v="1"/>
    <s v="Ondráčková"/>
    <x v="35"/>
    <n v="2"/>
    <s v="NEURONTIN"/>
    <m/>
    <s v="33661600-4"/>
    <m/>
    <n v="1972042"/>
    <x v="0"/>
    <d v="2021-10-21T00:00:00"/>
    <d v="2021-12-30T00:00:00"/>
    <d v="2022-01-24T00:00:00"/>
    <s v="PHARMOS, a.s., a.s."/>
    <m/>
    <n v="1938526.17"/>
    <n v="2132378.79"/>
    <m/>
    <m/>
    <m/>
    <d v="2022-01-24T00:00:00"/>
    <s v="SMLN-2022-617-000031"/>
    <x v="37"/>
  </r>
  <r>
    <d v="2021-10-15T00:00:00"/>
    <s v="VZ-2021-001111"/>
    <x v="1"/>
    <s v="Ondráčková"/>
    <x v="35"/>
    <n v="3"/>
    <s v="KEPPRA"/>
    <m/>
    <s v="33661600-4"/>
    <m/>
    <n v="2877337"/>
    <x v="0"/>
    <d v="2021-10-21T00:00:00"/>
    <d v="2021-12-30T00:00:00"/>
    <d v="2022-01-24T00:00:00"/>
    <s v="PHOENIX lék.velkoobchod, s.r.o."/>
    <m/>
    <n v="2830056.06"/>
    <n v="3113061.67"/>
    <m/>
    <m/>
    <m/>
    <d v="2022-01-24T00:00:00"/>
    <s v="SMLN-2022-617-000032"/>
    <x v="0"/>
  </r>
  <r>
    <d v="2021-10-15T00:00:00"/>
    <s v="VZ-2021-001111"/>
    <x v="1"/>
    <s v="Ondráčková"/>
    <x v="35"/>
    <n v="4"/>
    <s v="TRUND"/>
    <m/>
    <s v="33661600-4"/>
    <m/>
    <n v="684637"/>
    <x v="0"/>
    <d v="2021-10-21T00:00:00"/>
    <d v="2021-12-30T00:00:00"/>
    <d v="2022-01-24T00:00:00"/>
    <s v="PHOENIX lék.velkoobchod, s.r.o."/>
    <m/>
    <n v="676978.17"/>
    <n v="744675.99"/>
    <m/>
    <m/>
    <m/>
    <d v="2022-01-24T00:00:00"/>
    <s v="SMLN-2022-617-000033"/>
    <x v="0"/>
  </r>
  <r>
    <d v="2021-10-15T00:00:00"/>
    <s v="VZ-2021-001111"/>
    <x v="1"/>
    <s v="Ondráčková"/>
    <x v="35"/>
    <n v="5"/>
    <s v="LYRICA"/>
    <m/>
    <s v="33661600-4"/>
    <m/>
    <n v="1216758"/>
    <x v="0"/>
    <d v="2021-10-21T00:00:00"/>
    <d v="2021-12-30T00:00:00"/>
    <d v="2022-01-24T00:00:00"/>
    <s v="PHARMOS, a.s., a.s."/>
    <m/>
    <n v="1208450.73"/>
    <n v="1329295.8"/>
    <m/>
    <m/>
    <m/>
    <d v="2022-01-24T00:00:00"/>
    <s v="SMLN-2022-617-000034"/>
    <x v="37"/>
  </r>
  <r>
    <d v="2021-10-15T00:00:00"/>
    <s v="VZ-2021-001111"/>
    <x v="1"/>
    <s v="Ondráčková"/>
    <x v="35"/>
    <n v="6"/>
    <s v="PREGABALIN SANDOZ"/>
    <m/>
    <s v="33661600-4"/>
    <m/>
    <n v="7116805"/>
    <x v="0"/>
    <d v="2021-10-21T00:00:00"/>
    <d v="2021-12-30T00:00:00"/>
    <d v="2022-01-24T00:00:00"/>
    <s v="PHARMOS, a.s., a.s."/>
    <m/>
    <n v="7045927.4699999997"/>
    <n v="7750520.2199999997"/>
    <m/>
    <m/>
    <m/>
    <d v="2022-01-24T00:00:00"/>
    <s v="SMLN-2022-617-000035"/>
    <x v="37"/>
  </r>
  <r>
    <d v="2021-10-15T00:00:00"/>
    <s v="VZ-2021-001111"/>
    <x v="1"/>
    <s v="Ondráčková"/>
    <x v="35"/>
    <n v="7"/>
    <s v="ARKVIMMA"/>
    <m/>
    <s v="33661600-4"/>
    <m/>
    <n v="3120030"/>
    <x v="0"/>
    <d v="2021-10-21T00:00:00"/>
    <d v="2021-12-30T00:00:00"/>
    <d v="2022-01-24T00:00:00"/>
    <s v="PHARMOS, a.s., a.s."/>
    <m/>
    <n v="400542.12"/>
    <n v="450596.33"/>
    <m/>
    <m/>
    <m/>
    <d v="2022-01-24T00:00:00"/>
    <s v="SMLN-2022-617-000036"/>
    <x v="37"/>
  </r>
  <r>
    <d v="2021-10-15T00:00:00"/>
    <s v="VZ-2021-001112"/>
    <x v="1"/>
    <s v="Ondráčková"/>
    <x v="36"/>
    <m/>
    <m/>
    <m/>
    <s v="24111500-0"/>
    <m/>
    <n v="21966219"/>
    <x v="0"/>
    <d v="2021-11-25T00:00:00"/>
    <d v="2022-01-05T00:00:00"/>
    <d v="2022-03-18T00:00:00"/>
    <s v="Messer Technogas s.r.o."/>
    <m/>
    <n v="21636720"/>
    <n v="25507814.760000002"/>
    <m/>
    <m/>
    <m/>
    <d v="2022-03-18T00:00:00"/>
    <s v="SMLN-2022-617-000179_x000a_SMLN-2022-617-000180"/>
    <x v="38"/>
  </r>
  <r>
    <d v="2021-10-18T00:00:00"/>
    <s v="VZ-2021-001114"/>
    <x v="2"/>
    <s v="Pavela"/>
    <x v="37"/>
    <m/>
    <m/>
    <m/>
    <s v="45215140-4"/>
    <m/>
    <n v="95000000"/>
    <x v="0"/>
    <d v="2021-10-22T00:00:00"/>
    <d v="2021-12-20T00:00:00"/>
    <d v="2022-01-25T00:00:00"/>
    <s v="WAREX spol. s r.o."/>
    <m/>
    <n v="117999980"/>
    <n v="142779975.80000001"/>
    <m/>
    <m/>
    <m/>
    <d v="2022-01-25T00:00:00"/>
    <s v="SMLN-2022-618-000006"/>
    <x v="4"/>
  </r>
  <r>
    <d v="2021-10-15T00:00:00"/>
    <s v="VZ-2021-001120"/>
    <x v="2"/>
    <s v="Zeman"/>
    <x v="38"/>
    <m/>
    <m/>
    <m/>
    <s v="45223300-9"/>
    <s v="1.2.84."/>
    <n v="825000"/>
    <x v="2"/>
    <d v="2021-10-22T00:00:00"/>
    <d v="2021-11-03T00:00:00"/>
    <d v="2021-11-16T00:00:00"/>
    <s v="STAFSONS, s.r.o."/>
    <m/>
    <n v="927544.14"/>
    <n v="1122328.4099999999"/>
    <m/>
    <m/>
    <m/>
    <d v="2021-11-16T00:00:00"/>
    <s v="SMLN-2021-618-000080"/>
    <x v="17"/>
  </r>
  <r>
    <d v="2021-10-19T00:00:00"/>
    <s v="VZ-2021-001121"/>
    <x v="0"/>
    <s v="Valtová"/>
    <x v="39"/>
    <n v="1"/>
    <s v="2.1. Vodící dráty k vaskulárním intervencím I. "/>
    <m/>
    <s v="33140000-3"/>
    <m/>
    <n v="219000"/>
    <x v="0"/>
    <d v="2021-10-27T00:00:00"/>
    <d v="2022-01-18T00:00:00"/>
    <d v="2022-02-09T00:00:00"/>
    <s v="B. Braun Medical s.r.o."/>
    <m/>
    <n v="274000"/>
    <n v="331540"/>
    <m/>
    <m/>
    <m/>
    <d v="2022-02-11T00:00:00"/>
    <s v="SMLN-2022-617-000090_x000a_SMLN-2022-614-000017"/>
    <x v="16"/>
  </r>
  <r>
    <d v="2021-10-19T00:00:00"/>
    <s v="VZ-2021-001121"/>
    <x v="0"/>
    <s v="Valtová"/>
    <x v="39"/>
    <n v="2"/>
    <s v="2.2. Vodící dráty k vaskulárním intervencím II. "/>
    <m/>
    <s v="33140000-3"/>
    <m/>
    <n v="5617423"/>
    <x v="0"/>
    <d v="2021-10-27T00:00:00"/>
    <d v="2022-01-18T00:00:00"/>
    <d v="2022-02-09T00:00:00"/>
    <s v="VAMEX, spol. s r.o."/>
    <m/>
    <n v="5617422.7999999998"/>
    <n v="6797081.5899999999"/>
    <m/>
    <m/>
    <m/>
    <d v="2022-02-11T00:00:00"/>
    <s v="SMLN-2022-617-000091_x000a_SMLN-2022-614-000018"/>
    <x v="27"/>
  </r>
  <r>
    <d v="2021-10-19T00:00:00"/>
    <s v="VZ-2021-001121"/>
    <x v="0"/>
    <s v="Valtová"/>
    <x v="39"/>
    <n v="3"/>
    <s v="2.3. Vodící dráty k vaskulárním intervencím III. "/>
    <m/>
    <s v="33140000-3"/>
    <m/>
    <n v="674133"/>
    <x v="0"/>
    <d v="2021-10-27T00:00:00"/>
    <d v="2022-01-18T00:00:00"/>
    <d v="2022-02-09T00:00:00"/>
    <s v="ARID obchodní společnost, s.r.o."/>
    <m/>
    <n v="772131.6"/>
    <n v="934279.24"/>
    <m/>
    <m/>
    <m/>
    <d v="2022-02-11T00:00:00"/>
    <s v="SMLN-2022-617-000092_x000a_SMLN-2022-614-000019"/>
    <x v="25"/>
  </r>
  <r>
    <d v="2021-10-19T00:00:00"/>
    <s v="VZ-2021-001121"/>
    <x v="0"/>
    <s v="Valtová"/>
    <x v="39"/>
    <n v="4"/>
    <s v="2.4. Vodící mikrodráty k periferním vaskulárním intervencím "/>
    <m/>
    <s v="33140000-3"/>
    <m/>
    <n v="1167300"/>
    <x v="0"/>
    <d v="2021-10-27T00:00:00"/>
    <d v="2022-01-18T00:00:00"/>
    <m/>
    <s v="zrušeno - bez hodnotitelné nabídky"/>
    <m/>
    <m/>
    <m/>
    <m/>
    <m/>
    <m/>
    <m/>
    <m/>
    <x v="4"/>
  </r>
  <r>
    <d v="2021-10-19T00:00:00"/>
    <s v="VZ-2021-001121"/>
    <x v="0"/>
    <s v="Valtová"/>
    <x v="39"/>
    <n v="5"/>
    <s v="2.5. Vodící mikrodráty k vaskulárním neurointevencím I."/>
    <m/>
    <s v="33140000-3"/>
    <m/>
    <n v="1129933"/>
    <x v="0"/>
    <d v="2021-10-27T00:00:00"/>
    <d v="2022-01-18T00:00:00"/>
    <d v="2022-02-09T00:00:00"/>
    <s v="A care a.s."/>
    <m/>
    <n v="1129933"/>
    <n v="1367218.93"/>
    <m/>
    <m/>
    <m/>
    <d v="2022-02-11T00:00:00"/>
    <s v="SMLN-2022-617-000093_x000a_SMLN-2022-614-000020"/>
    <x v="15"/>
  </r>
  <r>
    <d v="2021-10-19T00:00:00"/>
    <s v="VZ-2021-001121"/>
    <x v="0"/>
    <s v="Valtová"/>
    <x v="39"/>
    <n v="6"/>
    <s v="2.7. Vodící mikrodráty k vaskulárním neurointervencím III."/>
    <m/>
    <s v="33140000-3"/>
    <m/>
    <n v="609420"/>
    <x v="0"/>
    <d v="2021-10-27T00:00:00"/>
    <d v="2022-01-18T00:00:00"/>
    <d v="2022-02-09T00:00:00"/>
    <s v="EspoMed spol. s r.o."/>
    <m/>
    <n v="609420"/>
    <n v="737398.2"/>
    <m/>
    <m/>
    <m/>
    <d v="2022-02-11T00:00:00"/>
    <s v="SMLN-2022-617-000094_x000a_SMLN-2022-614-000021"/>
    <x v="16"/>
  </r>
  <r>
    <d v="2021-10-21T00:00:00"/>
    <s v="VZ-2021-001126"/>
    <x v="1"/>
    <s v="Ondráčková"/>
    <x v="40"/>
    <n v="1"/>
    <s v="PALIPERIDON "/>
    <m/>
    <s v="33661500-6"/>
    <m/>
    <n v="4203966"/>
    <x v="0"/>
    <d v="2021-12-09T00:00:00"/>
    <d v="2022-01-12T00:00:00"/>
    <d v="2022-01-28T00:00:00"/>
    <s v="Alliance Healthcare s.r.o."/>
    <m/>
    <n v="4109545.44"/>
    <n v="4520499.9800000004"/>
    <m/>
    <m/>
    <m/>
    <d v="2022-01-28T00:00:00"/>
    <s v="SMLN-2022-617-000052"/>
    <x v="0"/>
  </r>
  <r>
    <d v="2021-10-21T00:00:00"/>
    <s v="VZ-2021-001127"/>
    <x v="1"/>
    <s v="Ondráčková"/>
    <x v="41"/>
    <n v="1"/>
    <s v="TIOTROPIUM-BROMID"/>
    <m/>
    <s v="33670000-7"/>
    <m/>
    <n v="9139774"/>
    <x v="0"/>
    <d v="2021-12-09T00:00:00"/>
    <d v="2022-01-12T00:00:00"/>
    <m/>
    <s v="zrušeno - bez nabídky"/>
    <m/>
    <m/>
    <m/>
    <m/>
    <m/>
    <m/>
    <m/>
    <m/>
    <x v="4"/>
  </r>
  <r>
    <d v="2021-10-19T00:00:00"/>
    <s v="VZ-2021-001131"/>
    <x v="0"/>
    <s v="Dočkalová"/>
    <x v="42"/>
    <n v="1"/>
    <s v="Láhve kojenecké"/>
    <m/>
    <s v="33140000-3"/>
    <m/>
    <n v="1244469"/>
    <x v="2"/>
    <d v="2021-10-26T00:00:00"/>
    <d v="2021-11-09T00:00:00"/>
    <d v="2021-12-10T00:00:00"/>
    <s v="MEDICAL M spol. s.r.o."/>
    <m/>
    <n v="1656392"/>
    <n v="2004928"/>
    <m/>
    <m/>
    <m/>
    <d v="2021-12-13T00:00:00"/>
    <s v="SMLN-2021-617-000722"/>
    <x v="1"/>
  </r>
  <r>
    <d v="2021-10-21T00:00:00"/>
    <s v="VZ-2021-001160"/>
    <x v="0"/>
    <s v="Valtová"/>
    <x v="43"/>
    <n v="1"/>
    <s v="14.1. Stentgraft aortální hrudní - proximální část I."/>
    <m/>
    <s v="33140000-3"/>
    <m/>
    <n v="640000"/>
    <x v="0"/>
    <d v="2021-11-03T00:00:00"/>
    <d v="2021-12-07T00:00:00"/>
    <d v="2021-12-22T00:00:00"/>
    <s v="ARID obchodní společnost, s.r.o."/>
    <m/>
    <n v="640000"/>
    <n v="736000"/>
    <m/>
    <m/>
    <m/>
    <d v="2021-12-22T00:00:00"/>
    <s v="SMLN-2021-617-000742_x000a_SMLN-2021-614-000133"/>
    <x v="32"/>
  </r>
  <r>
    <d v="2021-10-21T00:00:00"/>
    <s v="VZ-2021-001160"/>
    <x v="0"/>
    <s v="Valtová"/>
    <x v="43"/>
    <n v="2"/>
    <s v="14.4. Stentgrafty aortální pro reparaci disekcí sestupné části hrudní aorty"/>
    <m/>
    <s v="33140000-3"/>
    <m/>
    <n v="1935000"/>
    <x v="0"/>
    <d v="2021-11-03T00:00:00"/>
    <d v="2021-12-07T00:00:00"/>
    <d v="2021-12-22T00:00:00"/>
    <s v="ARID obchodní společnost, s.r.o."/>
    <m/>
    <n v="1935000"/>
    <n v="2225250"/>
    <m/>
    <m/>
    <m/>
    <d v="2021-12-22T00:00:00"/>
    <s v="SMLN-2021-617-000743_x000a_SMLN-2021-614-000134"/>
    <x v="32"/>
  </r>
  <r>
    <d v="2021-10-21T00:00:00"/>
    <s v="VZ-2021-001160"/>
    <x v="0"/>
    <s v="Valtová"/>
    <x v="43"/>
    <n v="3"/>
    <s v="14.7.  Stent tubulární komponentní určený pro modelování pravého lumen aorty při disekci aorty"/>
    <m/>
    <s v="33140000-3"/>
    <m/>
    <n v="113300"/>
    <x v="0"/>
    <d v="2021-11-03T00:00:00"/>
    <d v="2021-12-07T00:00:00"/>
    <d v="2021-12-22T00:00:00"/>
    <s v="ARID obchodní společnost, s.r.o."/>
    <m/>
    <n v="113300"/>
    <n v="130295"/>
    <m/>
    <m/>
    <m/>
    <d v="2021-12-22T00:00:00"/>
    <s v="SMLN-2021-617-000744_x000a_SMLN-2021-614-000135"/>
    <x v="32"/>
  </r>
  <r>
    <d v="2021-10-21T00:00:00"/>
    <s v="VZ-2021-001160"/>
    <x v="0"/>
    <s v="Valtová"/>
    <x v="43"/>
    <n v="4"/>
    <s v="14.11. Stentgraft tubulární aortální břišní k prodloužení těla bifurkačního stentgraftu - proximální extenze"/>
    <m/>
    <s v="33140000-3"/>
    <m/>
    <n v="292875"/>
    <x v="0"/>
    <d v="2021-11-03T00:00:00"/>
    <d v="2021-12-07T00:00:00"/>
    <d v="2021-12-22T00:00:00"/>
    <s v="ARID obchodní společnost, s.r.o."/>
    <m/>
    <n v="292875"/>
    <n v="336806.25"/>
    <m/>
    <m/>
    <m/>
    <d v="2021-12-22T00:00:00"/>
    <s v="SMLN-2021-617-000745_x000a_SMLN-2021-614-000136"/>
    <x v="32"/>
  </r>
  <r>
    <d v="2021-10-21T00:00:00"/>
    <s v="VZ-2021-001160"/>
    <x v="0"/>
    <s v="Valtová"/>
    <x v="43"/>
    <n v="5"/>
    <s v="14.13. Stentgraft vaskulární větvený pro vnitřní ilickou tepnu"/>
    <m/>
    <s v="33140000-3"/>
    <m/>
    <n v="921800"/>
    <x v="0"/>
    <d v="2021-11-03T00:00:00"/>
    <d v="2021-12-07T00:00:00"/>
    <d v="2021-12-22T00:00:00"/>
    <s v="ARID obchodní společnost, s.r.o."/>
    <m/>
    <n v="921800"/>
    <n v="1060070"/>
    <m/>
    <m/>
    <m/>
    <d v="2021-12-22T00:00:00"/>
    <s v="SMLN-2021-617-000746_x000a_SMLN-2021-614-000137"/>
    <x v="32"/>
  </r>
  <r>
    <d v="2021-10-21T00:00:00"/>
    <s v="VZ-2021-001160"/>
    <x v="0"/>
    <s v="Valtová"/>
    <x v="43"/>
    <n v="6"/>
    <s v="14.14. Stentgraft vaskulární arotální fenestrovaný"/>
    <m/>
    <s v="33140000-3"/>
    <m/>
    <n v="4415340"/>
    <x v="0"/>
    <d v="2021-11-03T00:00:00"/>
    <d v="2021-12-07T00:00:00"/>
    <d v="2021-12-22T00:00:00"/>
    <s v="ARID obchodní společnost, s.r.o."/>
    <m/>
    <n v="4415340"/>
    <n v="5077641"/>
    <m/>
    <m/>
    <m/>
    <d v="2021-12-22T00:00:00"/>
    <s v="SMLN-2021-617-000747_x000a_SMLN-2021-614-000138"/>
    <x v="32"/>
  </r>
  <r>
    <d v="2021-12-03T00:00:00"/>
    <s v="VZ-2021-001166"/>
    <x v="1"/>
    <s v="Ondráčková"/>
    <x v="44"/>
    <m/>
    <m/>
    <m/>
    <s v="33694000-1, 38434000"/>
    <m/>
    <n v="4716408"/>
    <x v="0"/>
    <d v="2021-12-20T00:00:00"/>
    <d v="2022-03-22T00:00:00"/>
    <m/>
    <s v="zrušeno - bez nabídky"/>
    <s v="nová VZ-2022-000850"/>
    <m/>
    <m/>
    <m/>
    <m/>
    <m/>
    <m/>
    <m/>
    <x v="4"/>
  </r>
  <r>
    <d v="2021-10-21T00:00:00"/>
    <s v="VZ-2021-001171"/>
    <x v="0"/>
    <s v="Dočkalová"/>
    <x v="45"/>
    <m/>
    <m/>
    <m/>
    <s v="33140000-3"/>
    <m/>
    <n v="4090909"/>
    <x v="0"/>
    <d v="2021-11-05T00:00:00"/>
    <d v="2021-12-09T00:00:00"/>
    <d v="2022-01-19T00:00:00"/>
    <s v="CARDION s.r.o."/>
    <m/>
    <n v="4080000"/>
    <n v="4936800"/>
    <m/>
    <m/>
    <m/>
    <d v="2022-01-19T00:00:00"/>
    <s v="SMLN-2022-617-000022_x000a_SMLN-2022-614-000001"/>
    <x v="39"/>
  </r>
  <r>
    <s v="opakovaná VZ"/>
    <s v="VZ-2021-001173"/>
    <x v="7"/>
    <s v="Svozil"/>
    <x v="46"/>
    <m/>
    <m/>
    <m/>
    <s v="45232150-8"/>
    <m/>
    <n v="7730000"/>
    <x v="0"/>
    <d v="2021-11-04T00:00:00"/>
    <d v="2021-12-09T00:00:00"/>
    <d v="2022-01-05T00:00:00"/>
    <s v="MORAVSKÁ VODÁRENSKÁ, a.s."/>
    <m/>
    <n v="7721900"/>
    <n v="9343499"/>
    <m/>
    <m/>
    <m/>
    <d v="2022-01-05T00:00:00"/>
    <s v="SMLN-2022-618-000001"/>
    <x v="35"/>
  </r>
  <r>
    <d v="2021-11-02T00:00:00"/>
    <s v="VZ-2021-001174"/>
    <x v="5"/>
    <s v="Srovnal"/>
    <x v="47"/>
    <m/>
    <m/>
    <m/>
    <s v="45453000-7"/>
    <m/>
    <n v="7300000"/>
    <x v="1"/>
    <d v="2021-11-05T00:00:00"/>
    <d v="2021-11-25T00:00:00"/>
    <d v="2021-12-16T00:00:00"/>
    <s v="zrušeno - ekonomické důvody"/>
    <s v="nová VZ-2022-000447"/>
    <n v="6868105.9500000002"/>
    <n v="8310408.2000000002"/>
    <m/>
    <m/>
    <m/>
    <d v="2021-12-16T00:00:00"/>
    <s v="SMLN-2021-618-000088"/>
    <x v="4"/>
  </r>
  <r>
    <d v="2021-11-03T00:00:00"/>
    <s v="VZ-2021-001175"/>
    <x v="8"/>
    <s v="Kadlec"/>
    <x v="48"/>
    <m/>
    <m/>
    <m/>
    <s v="45453000-7"/>
    <m/>
    <n v="6500000"/>
    <x v="1"/>
    <d v="2021-11-26T00:00:00"/>
    <d v="2021-12-15T00:00:00"/>
    <m/>
    <s v="zrušeno - úprava specifikace (počet vrat)"/>
    <m/>
    <m/>
    <m/>
    <m/>
    <m/>
    <m/>
    <m/>
    <m/>
    <x v="4"/>
  </r>
  <r>
    <d v="2021-10-25T00:00:00"/>
    <s v="VZ-2021-001178"/>
    <x v="4"/>
    <s v="Olejníček"/>
    <x v="49"/>
    <m/>
    <m/>
    <m/>
    <s v="33190000-8"/>
    <s v="2.2.279."/>
    <n v="1950000"/>
    <x v="2"/>
    <d v="2021-11-08T00:00:00"/>
    <d v="2021-11-16T00:00:00"/>
    <d v="2022-01-03T00:00:00"/>
    <s v="DN FORMED Brno s.r.o."/>
    <m/>
    <n v="1381318"/>
    <n v="1671394.78"/>
    <m/>
    <m/>
    <m/>
    <d v="2022-01-03T00:00:00"/>
    <s v="SMLN-2022-617-000002_x000a_SMLN-2022-612-000001"/>
    <x v="19"/>
  </r>
  <r>
    <d v="2021-10-08T00:00:00"/>
    <s v="VZ-2021-001183"/>
    <x v="4"/>
    <s v="Olejníček"/>
    <x v="50"/>
    <m/>
    <m/>
    <m/>
    <s v="33190000-8"/>
    <s v="2.3.560."/>
    <n v="190000"/>
    <x v="2"/>
    <d v="2021-11-08T00:00:00"/>
    <d v="2021-11-16T00:00:00"/>
    <d v="2021-12-03T00:00:00"/>
    <s v="Vivacom, s.r.o."/>
    <m/>
    <n v="176080"/>
    <n v="213056.8"/>
    <m/>
    <m/>
    <m/>
    <d v="2021-12-06T00:00:00"/>
    <s v="SMLN-2021-617-000712_x000a_SMLN-2021-612-000144"/>
    <x v="7"/>
  </r>
  <r>
    <s v="opakovaná VZ"/>
    <s v="VZ-2021-001184"/>
    <x v="0"/>
    <s v="Valtová"/>
    <x v="51"/>
    <m/>
    <m/>
    <m/>
    <s v="33140000-3"/>
    <m/>
    <n v="840000"/>
    <x v="0"/>
    <d v="2021-11-09T00:00:00"/>
    <d v="2021-12-13T00:00:00"/>
    <d v="2021-12-22T00:00:00"/>
    <s v="ARID obchodní společnost, s.r.o."/>
    <m/>
    <n v="945000"/>
    <n v="1086750"/>
    <m/>
    <m/>
    <m/>
    <d v="2021-12-22T00:00:00"/>
    <s v="SMLN-2021-617-000741_x000a_SMLN-2021-614-000132"/>
    <x v="32"/>
  </r>
  <r>
    <d v="2021-11-03T00:00:00"/>
    <s v="VZ-2021-001207"/>
    <x v="0"/>
    <s v="Valtová"/>
    <x v="52"/>
    <n v="1"/>
    <s v="6.1. Dilatační balónkové katétry vaskulární I."/>
    <m/>
    <s v="33140000-3"/>
    <m/>
    <n v="3683250"/>
    <x v="0"/>
    <d v="2021-11-19T00:00:00"/>
    <d v="2021-12-31T00:00:00"/>
    <d v="2022-02-07T00:00:00"/>
    <s v="Boston Scientific Česká republika s.r.o."/>
    <m/>
    <n v="3523500"/>
    <n v="4263435"/>
    <m/>
    <m/>
    <m/>
    <d v="2022-02-07T00:00:00"/>
    <s v="SMLN-2022-617-000071_x000a_SMLN-2022-614-000010"/>
    <x v="15"/>
  </r>
  <r>
    <d v="2021-11-03T00:00:00"/>
    <s v="VZ-2021-001207"/>
    <x v="0"/>
    <s v="Valtová"/>
    <x v="52"/>
    <n v="2"/>
    <s v="6.2. Dilatační balónkové katétry vaskulární II."/>
    <m/>
    <s v="33140000-3"/>
    <m/>
    <n v="720000"/>
    <x v="0"/>
    <d v="2021-11-19T00:00:00"/>
    <d v="2021-12-31T00:00:00"/>
    <d v="2022-02-07T00:00:00"/>
    <s v="BARD Czech Republic s.r.o."/>
    <m/>
    <n v="720000"/>
    <n v="871200"/>
    <m/>
    <m/>
    <m/>
    <d v="2022-02-07T00:00:00"/>
    <s v="SMLN-2022-617-000072_x000a_SMLN-2022-614-000011"/>
    <x v="25"/>
  </r>
  <r>
    <d v="2021-11-03T00:00:00"/>
    <s v="VZ-2021-001207"/>
    <x v="0"/>
    <s v="Valtová"/>
    <x v="52"/>
    <n v="3"/>
    <s v="6.3. Dilatační balónkové katétry vaskulární III."/>
    <m/>
    <s v="33140000-3"/>
    <m/>
    <n v="367500"/>
    <x v="0"/>
    <d v="2021-11-19T00:00:00"/>
    <d v="2021-12-31T00:00:00"/>
    <d v="2022-02-07T00:00:00"/>
    <s v="ARID obchodní společnost, s.r.o."/>
    <m/>
    <n v="367500"/>
    <n v="444675"/>
    <m/>
    <m/>
    <m/>
    <d v="2022-02-07T00:00:00"/>
    <s v="SMLN-2022-617-000073_x000a_SMLN-2022-614-000012"/>
    <x v="25"/>
  </r>
  <r>
    <d v="2021-11-03T00:00:00"/>
    <s v="VZ-2021-001207"/>
    <x v="0"/>
    <s v="Valtová"/>
    <x v="52"/>
    <n v="4"/>
    <s v="6.4. Dilatační balónkové katétry vaskulární noncompliant"/>
    <m/>
    <s v="33140000-3"/>
    <m/>
    <n v="2451600"/>
    <x v="0"/>
    <d v="2021-11-19T00:00:00"/>
    <d v="2021-12-31T00:00:00"/>
    <d v="2022-02-07T00:00:00"/>
    <s v="BS PRAGUE MEDICAL CS, spol. s r.o."/>
    <m/>
    <n v="2451600"/>
    <n v="2966436"/>
    <m/>
    <m/>
    <m/>
    <d v="2022-02-07T00:00:00"/>
    <s v="SMLN-2022-617-000074_x000a_SMLN-2022-614-000013"/>
    <x v="27"/>
  </r>
  <r>
    <d v="2021-11-03T00:00:00"/>
    <s v="VZ-2021-001207"/>
    <x v="0"/>
    <s v="Valtová"/>
    <x v="52"/>
    <n v="5"/>
    <s v="6.5. Dilatační balónkové katétry vaskulární noncompliant XXL"/>
    <m/>
    <s v="33140000-3"/>
    <m/>
    <n v="1320000"/>
    <x v="0"/>
    <d v="2021-11-19T00:00:00"/>
    <d v="2021-12-31T00:00:00"/>
    <d v="2022-02-07T00:00:00"/>
    <s v="Boston Scientific Česká republika s.r.o."/>
    <m/>
    <n v="1300000"/>
    <n v="1573000"/>
    <m/>
    <m/>
    <m/>
    <d v="2022-02-07T00:00:00"/>
    <s v="SMLN-2022-617-000075_x000a_SMLN-2022-614-000014"/>
    <x v="15"/>
  </r>
  <r>
    <d v="2021-11-03T00:00:00"/>
    <s v="VZ-2021-001207"/>
    <x v="0"/>
    <s v="Valtová"/>
    <x v="52"/>
    <n v="6"/>
    <s v="6.6. Dilatační balónkové katétry vaskulární po mikrovodících drátech monorial I."/>
    <m/>
    <s v="33140000-3"/>
    <m/>
    <n v="934800"/>
    <x v="0"/>
    <d v="2021-11-19T00:00:00"/>
    <d v="2021-12-31T00:00:00"/>
    <d v="2022-02-07T00:00:00"/>
    <s v="Boston Scientific Česká republika s.r.o."/>
    <m/>
    <n v="915000"/>
    <n v="1107150"/>
    <m/>
    <m/>
    <m/>
    <d v="2022-02-07T00:00:00"/>
    <s v="SMLN-2022-617-000076_x000a_SMLN-2022-614-000015"/>
    <x v="15"/>
  </r>
  <r>
    <d v="2021-11-03T00:00:00"/>
    <s v="VZ-2021-001207"/>
    <x v="0"/>
    <s v="Valtová"/>
    <x v="52"/>
    <n v="7"/>
    <s v="6.7. Dilatační balónkové katétry vaskulární intrakraniální"/>
    <m/>
    <s v="33140000-3"/>
    <m/>
    <n v="364140"/>
    <x v="0"/>
    <d v="2021-11-19T00:00:00"/>
    <d v="2021-12-31T00:00:00"/>
    <d v="2022-02-07T00:00:00"/>
    <s v="A care a.s."/>
    <m/>
    <n v="364140"/>
    <n v="440609.4"/>
    <m/>
    <m/>
    <m/>
    <d v="2022-02-07T00:00:00"/>
    <s v="SMLN-2022-617-000077_x000a_SMLN-2022-614-000016"/>
    <x v="40"/>
  </r>
  <r>
    <d v="2021-11-03T00:00:00"/>
    <s v="VZ-2021-001207"/>
    <x v="0"/>
    <s v="Valtová"/>
    <x v="52"/>
    <n v="8"/>
    <s v="6.8. Řezací dilatační balónkové katétry vaskulární"/>
    <m/>
    <s v="33140000-3"/>
    <m/>
    <n v="122510"/>
    <x v="0"/>
    <d v="2021-11-19T00:00:00"/>
    <d v="2021-12-31T00:00:00"/>
    <m/>
    <s v="zrušeno - bez hodnotitelné nabídky"/>
    <s v="nová VZ-2022-000872-01"/>
    <m/>
    <m/>
    <m/>
    <m/>
    <m/>
    <m/>
    <m/>
    <x v="4"/>
  </r>
  <r>
    <d v="2021-11-03T00:00:00"/>
    <s v="VZ-2021-001207"/>
    <x v="0"/>
    <s v="Valtová"/>
    <x v="52"/>
    <n v="9"/>
    <s v="6.9. Dilatační balónkové katétry vaskulární po mikrovodících drátech monorial II."/>
    <m/>
    <s v="33140000-3"/>
    <m/>
    <n v="399726"/>
    <x v="0"/>
    <d v="2021-11-19T00:00:00"/>
    <d v="2021-12-31T00:00:00"/>
    <m/>
    <s v="zrušeno - bez nabídky"/>
    <s v="nová VZ-2022-000872-02"/>
    <m/>
    <m/>
    <m/>
    <m/>
    <m/>
    <m/>
    <m/>
    <x v="4"/>
  </r>
  <r>
    <d v="2021-11-10T00:00:00"/>
    <s v="VZ-2021-001209"/>
    <x v="4"/>
    <s v="Olejníček"/>
    <x v="53"/>
    <n v="1"/>
    <s v="Termocykler"/>
    <m/>
    <s v="38434500-1"/>
    <s v="2.3.566."/>
    <n v="185000"/>
    <x v="2"/>
    <d v="2021-11-24T00:00:00"/>
    <d v="2021-12-02T00:00:00"/>
    <d v="2021-12-16T00:00:00"/>
    <s v="BIO-RAD spol.s r.o."/>
    <m/>
    <n v="149000"/>
    <n v="180290"/>
    <m/>
    <m/>
    <m/>
    <d v="2021-12-17T00:00:00"/>
    <s v="SMLN-2021-617-000736_x000a_SMLN-2021-612-000155"/>
    <x v="22"/>
  </r>
  <r>
    <d v="2021-11-10T00:00:00"/>
    <s v="VZ-2021-001209"/>
    <x v="4"/>
    <s v="Olejníček"/>
    <x v="53"/>
    <n v="2"/>
    <s v="384-jamkový modul k termocykleru"/>
    <m/>
    <s v="38434500-1"/>
    <s v="2.3.432."/>
    <n v="698300"/>
    <x v="2"/>
    <d v="2021-11-24T00:00:00"/>
    <d v="2021-12-02T00:00:00"/>
    <d v="2021-12-16T00:00:00"/>
    <s v="BIO-RAD spol.s r.o."/>
    <m/>
    <n v="688298"/>
    <n v="832840.58"/>
    <m/>
    <m/>
    <m/>
    <d v="2021-12-17T00:00:00"/>
    <s v="SMLN-2021-617-000737_x000a_SMLN-2021-612-000156"/>
    <x v="22"/>
  </r>
  <r>
    <d v="2021-11-09T00:00:00"/>
    <s v="VZ-2021-001214"/>
    <x v="0"/>
    <s v="Dočkalová"/>
    <x v="54"/>
    <m/>
    <m/>
    <m/>
    <s v="33182220-7"/>
    <m/>
    <n v="13891304.4"/>
    <x v="0"/>
    <d v="2021-11-24T00:00:00"/>
    <d v="2021-12-27T00:00:00"/>
    <d v="2022-01-20T00:00:00"/>
    <s v="CARDION s.r.o."/>
    <m/>
    <n v="13891304.4"/>
    <n v="15975000"/>
    <m/>
    <m/>
    <m/>
    <d v="2022-01-20T00:00:00"/>
    <s v="SMLN-2022-617-000027_x000a_SMLN-2022-614-000003"/>
    <x v="41"/>
  </r>
  <r>
    <d v="2021-12-01T00:00:00"/>
    <s v="VZ-2021-001229"/>
    <x v="1"/>
    <s v="Ondráčková"/>
    <x v="55"/>
    <m/>
    <m/>
    <m/>
    <s v="33694000-1"/>
    <m/>
    <n v="11758400"/>
    <x v="0"/>
    <d v="2021-12-20T00:00:00"/>
    <d v="2022-02-14T00:00:00"/>
    <d v="2022-03-15T00:00:00"/>
    <s v="Beckman Coulter Česká republika s.r.o."/>
    <m/>
    <n v="10704000"/>
    <n v="12951840"/>
    <m/>
    <m/>
    <m/>
    <d v="2022-03-15T00:00:00"/>
    <s v="SMLN-2022-617-000168_x000a_SMLN-2022-616-000012"/>
    <x v="42"/>
  </r>
  <r>
    <d v="2021-11-12T00:00:00"/>
    <s v="VZ-2021-001238"/>
    <x v="0"/>
    <s v="Valtová"/>
    <x v="56"/>
    <n v="1"/>
    <s v="Stříkačka inflační pro PTCA I. a Y konektor  s  tlakově ovládanou hemostatickou chlopní"/>
    <m/>
    <s v="33140000-3"/>
    <m/>
    <n v="4002000"/>
    <x v="0"/>
    <d v="2021-11-26T00:00:00"/>
    <d v="2021-12-29T00:00:00"/>
    <d v="2022-02-28T00:00:00"/>
    <s v="BS PRAGUE MEDICAL CS, spol. s r.o."/>
    <m/>
    <n v="4002000"/>
    <n v="4842420"/>
    <m/>
    <m/>
    <m/>
    <d v="2022-03-01T00:00:00"/>
    <s v="SMLN-2022-617-000131_x000a_SMLN-2022-614-000025"/>
    <x v="31"/>
  </r>
  <r>
    <d v="2021-11-12T00:00:00"/>
    <s v="VZ-2021-001238"/>
    <x v="0"/>
    <s v="Valtová"/>
    <x v="56"/>
    <n v="2"/>
    <s v="Stříkačka inflační pro PTCA II."/>
    <m/>
    <s v="33140000-3"/>
    <m/>
    <n v="850000"/>
    <x v="0"/>
    <d v="2021-11-26T00:00:00"/>
    <d v="2021-12-29T00:00:00"/>
    <d v="2022-02-28T00:00:00"/>
    <s v="BS PRAGUE MEDICAL CS, spol. s r.o."/>
    <m/>
    <n v="850000"/>
    <n v="1028500"/>
    <m/>
    <m/>
    <m/>
    <d v="2022-03-01T00:00:00"/>
    <s v="SMLN-2022-617-000132_x000a_SMLN-2022-614-000026"/>
    <x v="31"/>
  </r>
  <r>
    <d v="2021-11-01T00:00:00"/>
    <s v="VZ-2021-001240"/>
    <x v="4"/>
    <s v="Olejníček"/>
    <x v="57"/>
    <m/>
    <m/>
    <m/>
    <s v="33124120-2"/>
    <s v="2.2.386,392,393"/>
    <n v="1050000"/>
    <x v="0"/>
    <d v="2021-11-25T00:00:00"/>
    <d v="2022-01-17T00:00:00"/>
    <d v="2022-02-16T00:00:00"/>
    <s v="Electric Medical Service, s.r.o."/>
    <m/>
    <n v="630400"/>
    <n v="762784"/>
    <m/>
    <m/>
    <m/>
    <d v="2022-02-16T00:00:00"/>
    <s v="SMLN-2022-617-000106_x000a_SMLN-2022-612-000019"/>
    <x v="43"/>
  </r>
  <r>
    <d v="2021-11-15T00:00:00"/>
    <s v="VZ-2021-001241"/>
    <x v="4"/>
    <s v="Olejníček"/>
    <x v="58"/>
    <m/>
    <m/>
    <m/>
    <s v="33161000-6"/>
    <s v="2.2.356,357"/>
    <n v="493223"/>
    <x v="2"/>
    <d v="2021-11-24T00:00:00"/>
    <d v="2021-12-02T00:00:00"/>
    <d v="2022-02-21T00:00:00"/>
    <s v="Stargen EU s.r.o."/>
    <m/>
    <n v="440181.5"/>
    <n v="532619.61499999999"/>
    <m/>
    <m/>
    <m/>
    <d v="2022-02-21T00:00:00"/>
    <s v="SMLN-2022-617-000125_x000a_SMLN-2022-612-000021"/>
    <x v="16"/>
  </r>
  <r>
    <d v="2021-11-15T00:00:00"/>
    <s v="VZ-2021-001244"/>
    <x v="5"/>
    <s v="Srovnal"/>
    <x v="59"/>
    <m/>
    <m/>
    <m/>
    <s v="45223300-9"/>
    <s v="4.2.169."/>
    <n v="320000"/>
    <x v="2"/>
    <d v="2021-11-26T00:00:00"/>
    <d v="2021-12-06T00:00:00"/>
    <d v="2021-12-16T00:00:00"/>
    <s v="ELEKTRO-FLEXI s.r.o."/>
    <m/>
    <n v="235389"/>
    <n v="284820.69"/>
    <m/>
    <m/>
    <m/>
    <d v="2021-12-16T00:00:00"/>
    <s v="SMLN-2021-618-000090"/>
    <x v="7"/>
  </r>
  <r>
    <d v="2021-11-15T00:00:00"/>
    <s v="VZ-2021-001247"/>
    <x v="1"/>
    <s v="Ondráčková"/>
    <x v="60"/>
    <n v="1"/>
    <s v="Medicinální plyny z ATC N01AX63"/>
    <m/>
    <s v="24111500-0"/>
    <m/>
    <n v="4334535"/>
    <x v="0"/>
    <d v="2021-11-25T00:00:00"/>
    <d v="2022-01-05T00:00:00"/>
    <d v="2022-03-18T00:00:00"/>
    <s v="Messer Technogas s.r.o."/>
    <m/>
    <n v="3568953"/>
    <n v="4111973.13"/>
    <m/>
    <m/>
    <m/>
    <d v="2022-03-18T00:00:00"/>
    <s v="SMLN-2022-617-000181"/>
    <x v="38"/>
  </r>
  <r>
    <d v="2021-11-15T00:00:00"/>
    <s v="VZ-2021-001247"/>
    <x v="1"/>
    <s v="Ondráčková"/>
    <x v="60"/>
    <n v="2"/>
    <s v="Medicinální plyny I."/>
    <m/>
    <s v="24111500-0"/>
    <m/>
    <n v="1391250"/>
    <x v="0"/>
    <d v="2021-11-25T00:00:00"/>
    <d v="2022-01-05T00:00:00"/>
    <d v="2022-03-18T00:00:00"/>
    <s v="Messer Technogas s.r.o."/>
    <m/>
    <n v="1375374"/>
    <n v="1612933.14"/>
    <m/>
    <m/>
    <m/>
    <d v="2022-03-18T00:00:00"/>
    <s v="SMLN-2022-617-000182"/>
    <x v="38"/>
  </r>
  <r>
    <d v="2021-11-15T00:00:00"/>
    <s v="VZ-2021-001247"/>
    <x v="1"/>
    <s v="Ondráčková"/>
    <x v="60"/>
    <n v="3"/>
    <s v="Medicinální plyny II."/>
    <m/>
    <s v="24111500-0"/>
    <m/>
    <n v="1064952"/>
    <x v="0"/>
    <d v="2021-11-25T00:00:00"/>
    <d v="2022-01-05T00:00:00"/>
    <d v="2022-03-18T00:00:00"/>
    <s v="Messer Technogas s.r.o."/>
    <m/>
    <n v="1048971"/>
    <n v="1208119.71"/>
    <m/>
    <m/>
    <m/>
    <d v="2022-03-18T00:00:00"/>
    <s v="SMLN-2022-617-000183"/>
    <x v="38"/>
  </r>
  <r>
    <d v="2021-11-15T00:00:00"/>
    <s v="VZ-2021-001247"/>
    <x v="1"/>
    <s v="Ondráčková"/>
    <x v="60"/>
    <n v="4"/>
    <s v="Suchý led"/>
    <m/>
    <s v="24111500-0"/>
    <m/>
    <n v="55224"/>
    <x v="0"/>
    <d v="2021-11-25T00:00:00"/>
    <d v="2022-01-05T00:00:00"/>
    <m/>
    <s v="zrušeno - bez hodnotitelné nabídky"/>
    <m/>
    <m/>
    <m/>
    <m/>
    <m/>
    <m/>
    <m/>
    <m/>
    <x v="4"/>
  </r>
  <r>
    <d v="2021-11-19T00:00:00"/>
    <s v="VZ-2021-001251"/>
    <x v="9"/>
    <s v="Oravec"/>
    <x v="61"/>
    <m/>
    <m/>
    <m/>
    <s v="33124000-5"/>
    <s v="3.2.58."/>
    <n v="1470000"/>
    <x v="2"/>
    <d v="2021-11-29T00:00:00"/>
    <d v="2021-12-08T00:00:00"/>
    <d v="2021-12-16T00:00:00"/>
    <s v="OR-CZ spol. s r.o."/>
    <m/>
    <n v="1336800"/>
    <n v="1617528"/>
    <m/>
    <m/>
    <m/>
    <d v="2021-12-17T00:00:00"/>
    <s v="SMLN-2021-617-000735"/>
    <x v="44"/>
  </r>
  <r>
    <d v="2021-11-24T00:00:00"/>
    <s v="VZ-2021-001252"/>
    <x v="6"/>
    <s v="Zdráhalová"/>
    <x v="62"/>
    <m/>
    <m/>
    <m/>
    <s v="35113490-0"/>
    <m/>
    <n v="780000"/>
    <x v="2"/>
    <d v="2021-12-02T00:00:00"/>
    <d v="2021-12-08T00:00:00"/>
    <d v="2021-12-15T00:00:00"/>
    <s v="MEDISERVIS s.r.o."/>
    <m/>
    <n v="509400"/>
    <n v="616374"/>
    <m/>
    <m/>
    <m/>
    <d v="2021-12-15T00:00:00"/>
    <s v="SMLN-2021-617-000724"/>
    <x v="2"/>
  </r>
  <r>
    <d v="2021-11-12T00:00:00"/>
    <s v="VZ-2021-001257"/>
    <x v="8"/>
    <s v="Kadlec"/>
    <x v="63"/>
    <m/>
    <m/>
    <m/>
    <s v="45453000-7"/>
    <m/>
    <n v="350000"/>
    <x v="2"/>
    <d v="2021-11-26T00:00:00"/>
    <d v="2021-12-06T00:00:00"/>
    <d v="2021-12-16T00:00:00"/>
    <s v="ELEKTRO-FLEXI s.r.o."/>
    <m/>
    <n v="322050.71000000002"/>
    <n v="389681.36"/>
    <m/>
    <m/>
    <m/>
    <d v="2021-12-16T00:00:00"/>
    <s v="SMLN-2021-618-000091"/>
    <x v="7"/>
  </r>
  <r>
    <d v="2021-10-06T00:00:00"/>
    <s v="VZ-2021-001260"/>
    <x v="4"/>
    <s v="Olejníček"/>
    <x v="64"/>
    <m/>
    <m/>
    <m/>
    <s v="33158200-4"/>
    <s v="2.2.334."/>
    <n v="59000"/>
    <x v="2"/>
    <d v="2021-11-30T00:00:00"/>
    <d v="2021-12-10T00:00:00"/>
    <d v="2021-12-16T00:00:00"/>
    <s v="WALTER Graphtek CZ s.r.o."/>
    <m/>
    <n v="58970"/>
    <n v="71357.7"/>
    <m/>
    <m/>
    <m/>
    <d v="2021-12-16T00:00:00"/>
    <s v="SMLN-2021-617-000734"/>
    <x v="23"/>
  </r>
  <r>
    <s v="opakovaná VZ"/>
    <s v="VZ-2021-001263"/>
    <x v="0"/>
    <s v="Valtová"/>
    <x v="65"/>
    <m/>
    <m/>
    <m/>
    <s v="33140000-3"/>
    <m/>
    <n v="335440"/>
    <x v="2"/>
    <d v="2021-12-06T00:00:00"/>
    <d v="2021-12-13T00:00:00"/>
    <d v="2021-12-16T00:00:00"/>
    <s v="MSM, spol. s r.o."/>
    <m/>
    <n v="365897.6"/>
    <n v="442736.1"/>
    <m/>
    <m/>
    <m/>
    <d v="2021-12-17T00:00:00"/>
    <s v="SMLN-2021-617-000738_x000a_SMLN-2021-614-000131"/>
    <x v="1"/>
  </r>
  <r>
    <d v="2021-11-25T00:00:00"/>
    <s v="VZ-2021-001265"/>
    <x v="2"/>
    <s v="Langer"/>
    <x v="66"/>
    <m/>
    <m/>
    <m/>
    <s v="45454000-4"/>
    <s v="1.2.79."/>
    <n v="35000000"/>
    <x v="1"/>
    <d v="2021-11-30T00:00:00"/>
    <d v="2021-12-17T00:00:00"/>
    <d v="2022-01-13T00:00:00"/>
    <s v="PTÁČEK - pozemní stavby s.r.o."/>
    <m/>
    <n v="35695845.399999999"/>
    <n v="43191972.93"/>
    <m/>
    <m/>
    <m/>
    <d v="2022-01-13T00:00:00"/>
    <s v="SMLN-2022-618-000004"/>
    <x v="41"/>
  </r>
  <r>
    <d v="2021-11-25T00:00:00"/>
    <s v="VZ-2021-001268"/>
    <x v="6"/>
    <s v="Zdráhalová"/>
    <x v="67"/>
    <m/>
    <m/>
    <m/>
    <s v="39120000-9"/>
    <m/>
    <n v="1100000"/>
    <x v="2"/>
    <d v="2021-11-26T00:00:00"/>
    <d v="2021-12-17T00:00:00"/>
    <d v="2022-02-10T00:00:00"/>
    <s v="Artspect, a.s."/>
    <m/>
    <n v="898000"/>
    <n v="1086580"/>
    <m/>
    <m/>
    <m/>
    <d v="2022-02-10T00:00:00"/>
    <s v="SMLN-2022-618-000010"/>
    <x v="45"/>
  </r>
  <r>
    <d v="2021-11-16T00:00:00"/>
    <s v="VZ-2021-001272"/>
    <x v="0"/>
    <s v="Valtová"/>
    <x v="68"/>
    <m/>
    <m/>
    <m/>
    <s v="33140000-3"/>
    <m/>
    <n v="5986475"/>
    <x v="0"/>
    <d v="2021-12-02T00:00:00"/>
    <d v="2022-01-04T00:00:00"/>
    <d v="2022-02-02T00:00:00"/>
    <s v="Boston Scientific Česká republika s.r.o."/>
    <m/>
    <n v="5986474.5"/>
    <n v="7243634.2999999998"/>
    <m/>
    <m/>
    <m/>
    <d v="2022-02-02T00:00:00"/>
    <s v="SMLN-2022-617-000056_x000a_SMLN-2022-614-000005"/>
    <x v="46"/>
  </r>
  <r>
    <d v="2021-11-24T00:00:00"/>
    <s v="VZ-2021-001276"/>
    <x v="1"/>
    <s v="Ondráčková"/>
    <x v="69"/>
    <n v="1"/>
    <s v="IRINOTEKAN PEGYLOVANÝ"/>
    <m/>
    <s v="33652000-5"/>
    <m/>
    <n v="2227932"/>
    <x v="0"/>
    <d v="2021-12-06T00:00:00"/>
    <d v="2022-01-20T00:00:00"/>
    <m/>
    <s v="zrušeno - bez hodnotitelné nabídky"/>
    <m/>
    <m/>
    <m/>
    <m/>
    <m/>
    <m/>
    <m/>
    <m/>
    <x v="4"/>
  </r>
  <r>
    <d v="2021-11-24T00:00:00"/>
    <s v="VZ-2021-001276"/>
    <x v="1"/>
    <s v="Ondráčková"/>
    <x v="69"/>
    <n v="2"/>
    <s v="ALPELISIB"/>
    <m/>
    <s v="33652000-5"/>
    <m/>
    <n v="8217507"/>
    <x v="0"/>
    <d v="2021-12-06T00:00:00"/>
    <d v="2022-01-20T00:00:00"/>
    <d v="2022-03-08T00:00:00"/>
    <s v="Alliance Healthcare s.r.o."/>
    <m/>
    <n v="8217506.7000000002"/>
    <n v="9039257.3699999992"/>
    <m/>
    <m/>
    <m/>
    <d v="2022-03-08T00:00:00"/>
    <s v="SMLN-2022-617-000149"/>
    <x v="42"/>
  </r>
  <r>
    <d v="2021-11-24T00:00:00"/>
    <s v="VZ-2021-001276"/>
    <x v="1"/>
    <s v="Ondráčková"/>
    <x v="69"/>
    <n v="3"/>
    <s v="CETUXIMAB"/>
    <m/>
    <s v="33652000-5"/>
    <m/>
    <n v="28045433"/>
    <x v="0"/>
    <d v="2021-12-06T00:00:00"/>
    <d v="2022-01-20T00:00:00"/>
    <d v="2022-03-08T00:00:00"/>
    <s v="Alliance Healthcare s.r.o."/>
    <m/>
    <n v="24344919.300000001"/>
    <n v="26779411.23"/>
    <m/>
    <m/>
    <m/>
    <d v="2022-03-08T00:00:00"/>
    <s v="SMLN-2022-617-000150"/>
    <x v="42"/>
  </r>
  <r>
    <d v="2021-11-24T00:00:00"/>
    <s v="VZ-2021-001276"/>
    <x v="1"/>
    <s v="Ondráčková"/>
    <x v="69"/>
    <n v="4"/>
    <s v="PANITUMUMAB"/>
    <m/>
    <s v="33652000-5"/>
    <m/>
    <n v="27775405"/>
    <x v="0"/>
    <d v="2021-12-06T00:00:00"/>
    <d v="2022-01-20T00:00:00"/>
    <d v="2022-03-08T00:00:00"/>
    <s v="Amgen s.r.o."/>
    <m/>
    <n v="25872542.010000002"/>
    <n v="28459796.210000001"/>
    <m/>
    <m/>
    <m/>
    <d v="2022-03-08T00:00:00"/>
    <s v="SMLN-2022-617-000151"/>
    <x v="9"/>
  </r>
  <r>
    <d v="2021-11-24T00:00:00"/>
    <s v="VZ-2021-001276"/>
    <x v="1"/>
    <s v="Ondráčková"/>
    <x v="69"/>
    <n v="5"/>
    <s v="RAMUCIRUMAB"/>
    <m/>
    <s v="33652000-5"/>
    <m/>
    <n v="17089758"/>
    <x v="0"/>
    <d v="2021-12-06T00:00:00"/>
    <d v="2022-01-20T00:00:00"/>
    <d v="2022-03-08T00:00:00"/>
    <s v="ViaPharma s.r.o."/>
    <m/>
    <n v="15696147.6"/>
    <n v="17265762.359999999"/>
    <m/>
    <m/>
    <m/>
    <d v="2022-03-08T00:00:00"/>
    <s v="SMLN-2022-617-000152"/>
    <x v="47"/>
  </r>
  <r>
    <d v="2021-11-24T00:00:00"/>
    <s v="VZ-2021-001276"/>
    <x v="1"/>
    <s v="Ondráčková"/>
    <x v="69"/>
    <n v="6"/>
    <s v="LAROTREKTINIB"/>
    <m/>
    <s v="33652000-5"/>
    <m/>
    <n v="12126777"/>
    <x v="0"/>
    <d v="2021-12-06T00:00:00"/>
    <d v="2022-01-20T00:00:00"/>
    <d v="2022-03-08T00:00:00"/>
    <s v="BAYER s.r.o."/>
    <m/>
    <n v="12126777"/>
    <n v="13339454.699999999"/>
    <m/>
    <m/>
    <m/>
    <d v="2022-03-08T00:00:00"/>
    <s v="SMLN-2022-617-000153"/>
    <x v="9"/>
  </r>
  <r>
    <d v="2021-11-24T00:00:00"/>
    <s v="VZ-2021-001276"/>
    <x v="1"/>
    <s v="Ondráčková"/>
    <x v="69"/>
    <n v="7"/>
    <s v="GILTERITINIB"/>
    <m/>
    <s v="33652000-5"/>
    <m/>
    <n v="45734721"/>
    <x v="0"/>
    <d v="2021-12-06T00:00:00"/>
    <d v="2022-01-20T00:00:00"/>
    <d v="2022-03-08T00:00:00"/>
    <s v="PHOENIX lék.velkoobchod, s.r.o."/>
    <m/>
    <n v="45734720.039999999"/>
    <n v="50308192.039999999"/>
    <m/>
    <m/>
    <m/>
    <d v="2022-03-08T00:00:00"/>
    <s v="SMLN-2022-617-000154"/>
    <x v="3"/>
  </r>
  <r>
    <d v="2021-11-24T00:00:00"/>
    <s v="VZ-2021-001276"/>
    <x v="1"/>
    <s v="Ondráčková"/>
    <x v="69"/>
    <n v="8"/>
    <s v="ENTREKTINIB"/>
    <m/>
    <s v="33652000-5"/>
    <m/>
    <n v="13490912"/>
    <x v="0"/>
    <d v="2021-12-06T00:00:00"/>
    <d v="2022-01-20T00:00:00"/>
    <m/>
    <s v="zrušeno - bez nabídky"/>
    <m/>
    <m/>
    <m/>
    <m/>
    <m/>
    <m/>
    <m/>
    <m/>
    <x v="4"/>
  </r>
  <r>
    <d v="2021-11-24T00:00:00"/>
    <s v="VZ-2021-001277"/>
    <x v="1"/>
    <s v="Ondráčková"/>
    <x v="70"/>
    <n v="1"/>
    <s v="SIPONIMOD"/>
    <m/>
    <s v="33652300-8"/>
    <m/>
    <n v="2605479"/>
    <x v="0"/>
    <d v="2021-12-02T00:00:00"/>
    <d v="2022-02-16T00:00:00"/>
    <d v="2022-03-18T00:00:00"/>
    <s v="Alliance Healthcare s.r.o."/>
    <m/>
    <n v="5063448.66"/>
    <n v="5569793.5300000003"/>
    <m/>
    <m/>
    <m/>
    <d v="2022-03-18T00:00:00"/>
    <s v="SMLN-2022-617-000185"/>
    <x v="47"/>
  </r>
  <r>
    <d v="2021-11-24T00:00:00"/>
    <s v="VZ-2021-001277"/>
    <x v="1"/>
    <s v="Ondráčková"/>
    <x v="70"/>
    <n v="2"/>
    <s v="RAVULIZUMAB"/>
    <m/>
    <s v="33652300-8"/>
    <m/>
    <n v="7299480"/>
    <x v="0"/>
    <d v="2021-12-02T00:00:00"/>
    <d v="2022-02-16T00:00:00"/>
    <m/>
    <s v="zrušeno - bez hodnotitelné nabídky"/>
    <m/>
    <m/>
    <m/>
    <m/>
    <m/>
    <m/>
    <m/>
    <m/>
    <x v="4"/>
  </r>
  <r>
    <d v="2021-11-24T00:00:00"/>
    <s v="VZ-2021-001277"/>
    <x v="1"/>
    <s v="Ondráčková"/>
    <x v="70"/>
    <n v="3"/>
    <s v="MYFENAX"/>
    <m/>
    <s v="33652300-8"/>
    <m/>
    <n v="2022861"/>
    <x v="0"/>
    <d v="2021-12-02T00:00:00"/>
    <d v="2022-02-16T00:00:00"/>
    <d v="2022-03-18T00:00:00"/>
    <s v="PHOENIX lék.velkoobchod, s.r.o."/>
    <m/>
    <n v="2010543.3"/>
    <n v="2211597.63"/>
    <m/>
    <m/>
    <m/>
    <d v="2022-03-18T00:00:00"/>
    <s v="SMLN-2022-617-000186"/>
    <x v="3"/>
  </r>
  <r>
    <d v="2021-11-24T00:00:00"/>
    <s v="VZ-2021-001277"/>
    <x v="1"/>
    <s v="Ondráčková"/>
    <x v="70"/>
    <n v="4"/>
    <s v="MYFORTIC"/>
    <m/>
    <s v="33652300-8"/>
    <m/>
    <n v="518517"/>
    <x v="0"/>
    <d v="2021-12-02T00:00:00"/>
    <d v="2022-02-16T00:00:00"/>
    <d v="2022-03-18T00:00:00"/>
    <s v="Alliance Healthcare s.r.o."/>
    <m/>
    <n v="518516.76"/>
    <n v="570368.43999999994"/>
    <m/>
    <m/>
    <m/>
    <d v="2022-03-18T00:00:00"/>
    <s v="SMLN-2022-617-000187"/>
    <x v="47"/>
  </r>
  <r>
    <d v="2021-11-24T00:00:00"/>
    <s v="VZ-2021-001277"/>
    <x v="1"/>
    <s v="Ondráčková"/>
    <x v="70"/>
    <n v="5"/>
    <s v="DARVADSTROCEL"/>
    <m/>
    <s v="33652300-8"/>
    <m/>
    <n v="55000062"/>
    <x v="0"/>
    <d v="2021-12-02T00:00:00"/>
    <d v="2022-02-16T00:00:00"/>
    <d v="2022-03-18T00:00:00"/>
    <s v="Takeda Pharmaceuticals Czech Republic s.r.o."/>
    <m/>
    <n v="55000062"/>
    <n v="60500068.200000003"/>
    <m/>
    <m/>
    <m/>
    <d v="2022-03-18T00:00:00"/>
    <s v="SMLN-2022-617-000188"/>
    <x v="20"/>
  </r>
  <r>
    <d v="2021-12-03T00:00:00"/>
    <s v="VZ-2021-001279"/>
    <x v="8"/>
    <s v="Kadlec"/>
    <x v="71"/>
    <m/>
    <m/>
    <m/>
    <s v="45351000-2"/>
    <m/>
    <n v="500000"/>
    <x v="2"/>
    <d v="2021-12-14T00:00:00"/>
    <d v="2021-12-29T00:00:00"/>
    <d v="2022-01-12T00:00:00"/>
    <s v="ELEKTRO-FLEXI s.r.o."/>
    <m/>
    <n v="422671.08"/>
    <n v="511432.01"/>
    <m/>
    <m/>
    <m/>
    <d v="2022-01-12T00:00:00"/>
    <s v="SMLN-2022-618-000003"/>
    <x v="48"/>
  </r>
  <r>
    <d v="2021-11-25T00:00:00"/>
    <s v="VZ-2021-001281"/>
    <x v="0"/>
    <s v="Dočkalová"/>
    <x v="72"/>
    <m/>
    <m/>
    <m/>
    <s v="33162200-5"/>
    <m/>
    <n v="2549860"/>
    <x v="1"/>
    <d v="2021-12-02T00:00:00"/>
    <d v="2021-12-27T00:00:00"/>
    <d v="2022-01-20T00:00:00"/>
    <s v="Johnson &amp; Johnson, s.r.o."/>
    <m/>
    <n v="2123130"/>
    <n v="2568987.2999999998"/>
    <m/>
    <m/>
    <m/>
    <d v="2022-01-20T00:00:00"/>
    <s v="SMLN-2022-617-000026_x000a_SMLN-2022-614-000002"/>
    <x v="0"/>
  </r>
  <r>
    <s v="opakovaná VZ"/>
    <s v="VZ-2021-001282"/>
    <x v="1"/>
    <s v="Ondráčková"/>
    <x v="73"/>
    <m/>
    <m/>
    <m/>
    <s v="33694000-1"/>
    <m/>
    <n v="4650131"/>
    <x v="0"/>
    <d v="2021-12-07T00:00:00"/>
    <d v="2022-01-14T00:00:00"/>
    <d v="2022-02-01T00:00:00"/>
    <s v="Life Technologies Czech Republic s.r.o."/>
    <m/>
    <n v="4576788.6399999997"/>
    <n v="5537914.2400000002"/>
    <m/>
    <m/>
    <m/>
    <d v="2022-02-01T00:00:00"/>
    <s v="SMLN-2022-617-000055"/>
    <x v="40"/>
  </r>
  <r>
    <d v="2021-11-29T00:00:00"/>
    <s v="VZ-2021-001288"/>
    <x v="1"/>
    <s v="Ondráčková"/>
    <x v="74"/>
    <m/>
    <m/>
    <m/>
    <s v="33652100-6"/>
    <m/>
    <n v="32332000"/>
    <x v="3"/>
    <d v="2021-12-03T00:00:00"/>
    <d v="2022-01-05T00:00:00"/>
    <d v="2022-01-12T00:00:00"/>
    <s v="Novartis s.r.o."/>
    <m/>
    <n v="32332000"/>
    <n v="35565200"/>
    <m/>
    <m/>
    <m/>
    <d v="2022-01-12T00:00:00"/>
    <s v="SMLN-2022-617-000011"/>
    <x v="49"/>
  </r>
  <r>
    <d v="2021-11-30T00:00:00"/>
    <s v="VZ-2021-001289"/>
    <x v="1"/>
    <s v="Ondráčková"/>
    <x v="75"/>
    <m/>
    <m/>
    <m/>
    <s v="33694000-1"/>
    <m/>
    <n v="11814000"/>
    <x v="0"/>
    <d v="2021-12-17T00:00:00"/>
    <d v="2022-01-20T00:00:00"/>
    <d v="2022-03-14T00:00:00"/>
    <s v="Siemens Healthcare, s.r.o."/>
    <m/>
    <n v="11618568.6"/>
    <n v="14058468"/>
    <m/>
    <m/>
    <m/>
    <d v="2022-03-14T00:00:00"/>
    <s v="SMLN-2022-617-000166"/>
    <x v="50"/>
  </r>
  <r>
    <d v="2021-11-01T00:00:00"/>
    <s v="VZ-2021-001297"/>
    <x v="0"/>
    <s v="Dočkalová"/>
    <x v="76"/>
    <n v="1"/>
    <s v="Protézy cévní Gelsoft Plus"/>
    <m/>
    <s v="33184200-5"/>
    <m/>
    <n v="1154583"/>
    <x v="0"/>
    <d v="2021-12-09T00:00:00"/>
    <d v="2022-01-17T00:00:00"/>
    <d v="2022-03-07T00:00:00"/>
    <s v="IMMOMEDICAL CZ s.r.o."/>
    <m/>
    <n v="1145774"/>
    <n v="1317640.1000000001"/>
    <m/>
    <m/>
    <m/>
    <d v="2022-03-08T00:00:00"/>
    <s v="SMLN-2022-617-000145"/>
    <x v="51"/>
  </r>
  <r>
    <s v="opakovaná VZ"/>
    <s v="VZ-2021-001297"/>
    <x v="0"/>
    <s v="Dočkalová"/>
    <x v="76"/>
    <n v="2"/>
    <s v="Protézy cévní II."/>
    <m/>
    <s v="33184200-5"/>
    <m/>
    <n v="89870"/>
    <x v="0"/>
    <d v="2021-12-09T00:00:00"/>
    <d v="2022-01-17T00:00:00"/>
    <d v="2022-03-07T00:00:00"/>
    <s v="MEDITRADE spol. s r.o."/>
    <m/>
    <n v="89870"/>
    <n v="103350.3"/>
    <m/>
    <m/>
    <m/>
    <d v="2022-03-08T00:00:00"/>
    <s v="SMLN-2022-617-000146_x000a_SMLN-2022-614-000028"/>
    <x v="52"/>
  </r>
  <r>
    <s v="opakovaná VZ"/>
    <s v="VZ-2021-001297"/>
    <x v="0"/>
    <s v="Dočkalová"/>
    <x v="76"/>
    <n v="3"/>
    <s v="Protézy cévní III."/>
    <m/>
    <s v="33184200-5"/>
    <m/>
    <n v="1827770"/>
    <x v="0"/>
    <d v="2021-12-09T00:00:00"/>
    <d v="2022-01-17T00:00:00"/>
    <d v="2022-03-07T00:00:00"/>
    <s v="MEDITRADE spol. s r.o."/>
    <m/>
    <n v="1872770"/>
    <n v="2153685.5"/>
    <m/>
    <m/>
    <m/>
    <d v="2022-03-08T00:00:00"/>
    <s v="SMLN-2022-617-000147_x000a_SMLN-2022-614-000028"/>
    <x v="52"/>
  </r>
  <r>
    <s v="opakovaná VZ"/>
    <s v="VZ-2021-001297"/>
    <x v="0"/>
    <s v="Dočkalová"/>
    <x v="76"/>
    <n v="4"/>
    <s v="Protézy cévní IV."/>
    <m/>
    <s v="33184200-5"/>
    <m/>
    <n v="56870"/>
    <x v="0"/>
    <d v="2021-12-09T00:00:00"/>
    <d v="2022-01-17T00:00:00"/>
    <m/>
    <s v="zrušeno - bez hodnotitelné nabídky"/>
    <m/>
    <m/>
    <m/>
    <m/>
    <m/>
    <m/>
    <m/>
    <m/>
    <x v="4"/>
  </r>
  <r>
    <s v="opakovaná VZ"/>
    <s v="VZ-2021-001297"/>
    <x v="0"/>
    <s v="Dočkalová"/>
    <x v="76"/>
    <n v="5"/>
    <s v="Protézy cévní V."/>
    <m/>
    <s v="33184200-5"/>
    <m/>
    <n v="2835100"/>
    <x v="0"/>
    <d v="2021-12-09T00:00:00"/>
    <d v="2022-01-17T00:00:00"/>
    <d v="2022-03-07T00:00:00"/>
    <s v="MEDITRADE spol. s r.o."/>
    <m/>
    <n v="2835100"/>
    <n v="3260365"/>
    <m/>
    <m/>
    <m/>
    <d v="2022-03-08T00:00:00"/>
    <s v="SMLN-2022-617-000148_x000a_SMLN-2022-614-000028"/>
    <x v="52"/>
  </r>
  <r>
    <d v="2021-12-02T00:00:00"/>
    <s v="VZ-2021-001298"/>
    <x v="1"/>
    <s v="Ondráčková"/>
    <x v="77"/>
    <m/>
    <m/>
    <m/>
    <s v="33694000-1"/>
    <m/>
    <n v="1610000"/>
    <x v="1"/>
    <d v="2021-12-09T00:00:00"/>
    <d v="2022-01-04T00:00:00"/>
    <d v="2022-01-07T00:00:00"/>
    <s v="DYNEX LabSolutions, s.r.o."/>
    <m/>
    <n v="1587000"/>
    <n v="1587000"/>
    <m/>
    <m/>
    <m/>
    <d v="2022-01-07T00:00:00"/>
    <s v="SMLN-2022-617-000010"/>
    <x v="18"/>
  </r>
  <r>
    <d v="2021-12-02T00:00:00"/>
    <s v="VZ-2021-001299"/>
    <x v="1"/>
    <s v="Ondráčková"/>
    <x v="78"/>
    <n v="1"/>
    <s v="VANDETANIB "/>
    <m/>
    <s v="33652000-5"/>
    <m/>
    <n v="7836762"/>
    <x v="0"/>
    <d v="2021-12-08T00:00:00"/>
    <d v="2022-02-07T00:00:00"/>
    <d v="2022-03-11T00:00:00"/>
    <s v="sanofi-aventis, s.r.o."/>
    <m/>
    <n v="7836761.1900000004"/>
    <n v="8620437.3100000005"/>
    <m/>
    <m/>
    <m/>
    <d v="2022-03-11T00:00:00"/>
    <s v="SMLN-2022-617-000156"/>
    <x v="53"/>
  </r>
  <r>
    <d v="2021-12-02T00:00:00"/>
    <s v="VZ-2021-001299"/>
    <x v="1"/>
    <s v="Ondráčková"/>
    <x v="78"/>
    <n v="2"/>
    <s v="AFATINIB"/>
    <m/>
    <s v="33652000-5"/>
    <m/>
    <n v="1166820"/>
    <x v="0"/>
    <d v="2021-12-08T00:00:00"/>
    <d v="2022-02-07T00:00:00"/>
    <d v="2022-03-11T00:00:00"/>
    <s v="Boehringer Ingelheim, spol. s r.o."/>
    <m/>
    <n v="1166819.79"/>
    <n v="1283501.77"/>
    <m/>
    <m/>
    <m/>
    <d v="2022-03-11T00:00:00"/>
    <s v="SMLN-2022-617-000157"/>
    <x v="47"/>
  </r>
  <r>
    <d v="2021-12-02T00:00:00"/>
    <s v="VZ-2021-001299"/>
    <x v="1"/>
    <s v="Ondráčková"/>
    <x v="78"/>
    <n v="3"/>
    <s v="BOSUTINIB "/>
    <m/>
    <s v="33652000-5"/>
    <m/>
    <n v="2563207"/>
    <x v="0"/>
    <d v="2021-12-08T00:00:00"/>
    <d v="2022-02-07T00:00:00"/>
    <d v="2022-03-11T00:00:00"/>
    <s v="PHOENIX lék.velkoobchod, s.r.o."/>
    <m/>
    <n v="2563206.96"/>
    <n v="2819527.66"/>
    <m/>
    <m/>
    <m/>
    <d v="2022-03-11T00:00:00"/>
    <s v="SMLN-2022-617-000158"/>
    <x v="3"/>
  </r>
  <r>
    <d v="2021-12-02T00:00:00"/>
    <s v="VZ-2021-001299"/>
    <x v="1"/>
    <s v="Ondráčková"/>
    <x v="78"/>
    <n v="4"/>
    <s v="KRIZOTINIB "/>
    <m/>
    <s v="33652000-5"/>
    <m/>
    <n v="10710000"/>
    <x v="0"/>
    <d v="2021-12-08T00:00:00"/>
    <d v="2022-02-07T00:00:00"/>
    <d v="2022-03-11T00:00:00"/>
    <s v="PHOENIX lék.velkoobchod, s.r.o."/>
    <m/>
    <n v="10710000"/>
    <n v="11781000"/>
    <m/>
    <m/>
    <m/>
    <d v="2022-03-11T00:00:00"/>
    <s v="SMLN-2022-617-000159"/>
    <x v="3"/>
  </r>
  <r>
    <d v="2021-12-02T00:00:00"/>
    <s v="VZ-2021-001299"/>
    <x v="1"/>
    <s v="Ondráčková"/>
    <x v="78"/>
    <n v="5"/>
    <s v="PONATINIB "/>
    <m/>
    <s v="33652000-5"/>
    <m/>
    <n v="7435918"/>
    <x v="0"/>
    <d v="2021-12-08T00:00:00"/>
    <d v="2022-02-07T00:00:00"/>
    <d v="2022-03-11T00:00:00"/>
    <s v="Alliance Healthcare s.r.o."/>
    <m/>
    <n v="7432948.2599999998"/>
    <n v="8176243.0899999999"/>
    <m/>
    <m/>
    <m/>
    <d v="2022-03-11T00:00:00"/>
    <s v="SMLN-2022-617-000160"/>
    <x v="47"/>
  </r>
  <r>
    <d v="2021-12-02T00:00:00"/>
    <s v="VZ-2021-001299"/>
    <x v="1"/>
    <s v="Ondráčková"/>
    <x v="78"/>
    <n v="6"/>
    <s v="TRAMETINIB "/>
    <m/>
    <s v="33652000-5"/>
    <m/>
    <n v="46702858"/>
    <x v="0"/>
    <d v="2021-12-08T00:00:00"/>
    <d v="2022-02-07T00:00:00"/>
    <d v="2022-03-11T00:00:00"/>
    <s v="Alliance Healthcare s.r.o."/>
    <m/>
    <n v="46702857.329999998"/>
    <n v="51373143.060000002"/>
    <m/>
    <m/>
    <m/>
    <d v="2022-03-11T00:00:00"/>
    <s v="SMLN-2022-617-000161"/>
    <x v="47"/>
  </r>
  <r>
    <d v="2021-12-02T00:00:00"/>
    <s v="VZ-2021-001299"/>
    <x v="1"/>
    <s v="Ondráčková"/>
    <x v="78"/>
    <n v="7"/>
    <s v="NINTEDANIB"/>
    <m/>
    <s v="33652000-5"/>
    <m/>
    <n v="18432258"/>
    <x v="0"/>
    <d v="2021-12-08T00:00:00"/>
    <d v="2022-02-07T00:00:00"/>
    <d v="2022-03-11T00:00:00"/>
    <s v="Boehringer Ingelheim, spol. s r.o."/>
    <m/>
    <n v="18406931.100000001"/>
    <n v="20247624.210000001"/>
    <m/>
    <m/>
    <m/>
    <d v="2022-03-11T00:00:00"/>
    <s v="SMLN-2022-617-000162"/>
    <x v="47"/>
  </r>
  <r>
    <d v="2021-12-02T00:00:00"/>
    <s v="VZ-2021-001299"/>
    <x v="1"/>
    <s v="Ondráčková"/>
    <x v="78"/>
    <n v="8"/>
    <s v="LENVATINIB"/>
    <m/>
    <s v="33652000-5"/>
    <m/>
    <n v="15523659"/>
    <x v="0"/>
    <d v="2021-12-08T00:00:00"/>
    <d v="2022-02-07T00:00:00"/>
    <d v="2022-03-11T00:00:00"/>
    <s v="Alliance Healthcare s.r.o."/>
    <m/>
    <n v="15508572"/>
    <n v="17059429.199999999"/>
    <m/>
    <m/>
    <m/>
    <d v="2022-03-11T00:00:00"/>
    <s v="SMLN-2022-617-000163"/>
    <x v="47"/>
  </r>
  <r>
    <d v="2021-12-03T00:00:00"/>
    <s v="VZ-2021-001305"/>
    <x v="1"/>
    <s v="Ondráčková"/>
    <x v="79"/>
    <m/>
    <m/>
    <m/>
    <s v="38434000-6, 3694000-1"/>
    <m/>
    <n v="4200000"/>
    <x v="0"/>
    <d v="2021-12-20T00:00:00"/>
    <d v="2022-01-31T00:00:00"/>
    <m/>
    <s v="zrušeno - odpadla potřeba"/>
    <m/>
    <m/>
    <m/>
    <m/>
    <m/>
    <m/>
    <m/>
    <m/>
    <x v="4"/>
  </r>
  <r>
    <s v="opakovaná VZ"/>
    <s v="VZ-2021-001309"/>
    <x v="0"/>
    <s v="Valtová"/>
    <x v="80"/>
    <n v="1"/>
    <s v="Diagnostické katétry  II."/>
    <m/>
    <s v="33140000-3"/>
    <m/>
    <n v="1220800"/>
    <x v="0"/>
    <d v="2021-12-09T00:00:00"/>
    <d v="2022-01-11T00:00:00"/>
    <d v="2022-02-02T00:00:00"/>
    <s v="VAMEX, spol. s r.o."/>
    <m/>
    <n v="1315000"/>
    <n v="1591150"/>
    <m/>
    <m/>
    <m/>
    <d v="2022-02-02T00:00:00"/>
    <s v="SMLN-2022-617-000057_x000a_SMLN-2022-614-000006"/>
    <x v="41"/>
  </r>
  <r>
    <s v="opakovaná VZ"/>
    <s v="VZ-2021-001309"/>
    <x v="0"/>
    <s v="Valtová"/>
    <x v="80"/>
    <n v="2"/>
    <s v="Kalibrační diagnostické katétry"/>
    <m/>
    <s v="33140000-3"/>
    <m/>
    <n v="125160"/>
    <x v="0"/>
    <d v="2021-12-09T00:00:00"/>
    <d v="2022-01-11T00:00:00"/>
    <d v="2022-02-02T00:00:00"/>
    <s v="MSM, spol. s r.o."/>
    <m/>
    <n v="192000"/>
    <n v="232320"/>
    <m/>
    <m/>
    <m/>
    <d v="2022-02-02T00:00:00"/>
    <s v="SMLN-2022-617-000058_x000a_SMLN-2022-614-000007"/>
    <x v="46"/>
  </r>
  <r>
    <s v="opakovaná VZ"/>
    <s v="VZ-2021-001309"/>
    <x v="0"/>
    <s v="Valtová"/>
    <x v="80"/>
    <n v="3"/>
    <s v="Vodící katétry neurointervenční"/>
    <m/>
    <s v="33140000-3"/>
    <m/>
    <n v="2080500"/>
    <x v="0"/>
    <d v="2021-12-09T00:00:00"/>
    <d v="2022-01-11T00:00:00"/>
    <m/>
    <s v="zrušeno - bez nabídky"/>
    <m/>
    <m/>
    <m/>
    <m/>
    <m/>
    <m/>
    <m/>
    <m/>
    <x v="4"/>
  </r>
  <r>
    <d v="2021-12-07T00:00:00"/>
    <s v="VZ-2021-001310"/>
    <x v="0"/>
    <s v="Dočkalová"/>
    <x v="81"/>
    <m/>
    <m/>
    <m/>
    <s v="33140000-3"/>
    <m/>
    <n v="2883740"/>
    <x v="1"/>
    <d v="2021-12-10T00:00:00"/>
    <d v="2022-01-03T00:00:00"/>
    <d v="2022-01-05T00:00:00"/>
    <s v="B. Braun Medical s.r.o."/>
    <m/>
    <n v="2883740"/>
    <n v="3489325.4"/>
    <m/>
    <m/>
    <m/>
    <d v="2022-01-05T00:00:00"/>
    <s v="SMLN-2022-617-000005"/>
    <x v="54"/>
  </r>
  <r>
    <d v="2021-12-03T00:00:00"/>
    <s v="VZ-2021-001311"/>
    <x v="0"/>
    <s v="Dočkalová"/>
    <x v="82"/>
    <m/>
    <m/>
    <m/>
    <s v="33140000-3"/>
    <m/>
    <n v="2014020"/>
    <x v="1"/>
    <d v="2021-12-10T00:00:00"/>
    <d v="2021-12-30T00:00:00"/>
    <d v="2022-01-20T00:00:00"/>
    <s v="MR Diagnostic s.r.o."/>
    <m/>
    <n v="2013580.8"/>
    <n v="2436033.6"/>
    <m/>
    <m/>
    <m/>
    <d v="2022-01-20T00:00:00"/>
    <s v="SMLN-2022-617-000025"/>
    <x v="55"/>
  </r>
  <r>
    <d v="2021-12-06T00:00:00"/>
    <s v="VZ-2021-001315"/>
    <x v="10"/>
    <s v="Olejníček"/>
    <x v="83"/>
    <m/>
    <m/>
    <m/>
    <s v="33111620-3"/>
    <s v="2.2.410."/>
    <n v="390000"/>
    <x v="2"/>
    <d v="2021-12-23T00:00:00"/>
    <d v="2022-01-11T00:00:00"/>
    <d v="2022-01-18T00:00:00"/>
    <s v="GE Medical Systems Česká republika, s.r.o."/>
    <m/>
    <n v="390000"/>
    <n v="471900"/>
    <m/>
    <m/>
    <m/>
    <d v="2022-01-18T00:00:00"/>
    <s v="SMLN-2022-617-000020"/>
    <x v="56"/>
  </r>
  <r>
    <d v="2021-12-09T00:00:00"/>
    <s v="VZ-2021-001316"/>
    <x v="1"/>
    <s v="Ondráčková"/>
    <x v="84"/>
    <n v="1"/>
    <s v="KYSELINA OBETICHOLOVÁ"/>
    <m/>
    <s v="33610000-9"/>
    <m/>
    <n v="3123851"/>
    <x v="1"/>
    <d v="2021-12-10T00:00:00"/>
    <d v="2021-12-30T00:00:00"/>
    <d v="2022-01-28T00:00:00"/>
    <s v="Alliance Healthcare s.r.o."/>
    <m/>
    <n v="3123849.56"/>
    <n v="3436234.52"/>
    <m/>
    <m/>
    <m/>
    <d v="2022-01-28T00:00:00"/>
    <s v="SMLN-2022-617-000053"/>
    <x v="37"/>
  </r>
  <r>
    <s v="opakovaná VZ"/>
    <s v="VZ-2021-001318"/>
    <x v="0"/>
    <s v="Dočkalová"/>
    <x v="85"/>
    <m/>
    <m/>
    <m/>
    <s v="33140000-3"/>
    <m/>
    <n v="386194"/>
    <x v="2"/>
    <d v="2021-12-14T00:00:00"/>
    <d v="2021-12-22T00:00:00"/>
    <d v="2022-03-28T00:00:00"/>
    <s v="S.A.B. Impex s.r.o."/>
    <m/>
    <n v="495936"/>
    <n v="600082.56000000006"/>
    <m/>
    <m/>
    <m/>
    <d v="2022-03-28T00:00:00"/>
    <s v="SMLN-2022-617-000200"/>
    <x v="47"/>
  </r>
  <r>
    <d v="2021-11-25T00:00:00"/>
    <s v="VZ-2021-001322"/>
    <x v="0"/>
    <s v="Dočkalová"/>
    <x v="86"/>
    <m/>
    <m/>
    <m/>
    <s v="33162200-5"/>
    <m/>
    <n v="1056000"/>
    <x v="2"/>
    <d v="2021-12-14T00:00:00"/>
    <d v="2021-12-22T00:00:00"/>
    <d v="2021-12-29T00:00:00"/>
    <s v="Medtronic Czechia s.r.o."/>
    <m/>
    <n v="950400"/>
    <n v="1149984"/>
    <m/>
    <m/>
    <m/>
    <d v="2021-12-29T00:00:00"/>
    <s v="SMLN-2021-617-000749_x000a_SMLN-2021-614-000139"/>
    <x v="22"/>
  </r>
  <r>
    <d v="2021-12-01T00:00:00"/>
    <s v="VZ-2021-001323"/>
    <x v="11"/>
    <s v="Zemanová"/>
    <x v="87"/>
    <n v="1"/>
    <s v="Externí klinický audit v radiodiagnostice vč. Intervenční radiologie a kardiologie"/>
    <m/>
    <s v="79212300-6"/>
    <m/>
    <n v="350000"/>
    <x v="2"/>
    <d v="2021-12-29T00:00:00"/>
    <d v="2022-01-07T00:00:00"/>
    <d v="2022-01-25T00:00:00"/>
    <s v="OLE audity s.r.o."/>
    <m/>
    <n v="129800"/>
    <n v="157058"/>
    <m/>
    <m/>
    <m/>
    <d v="2022-01-25T00:00:00"/>
    <s v="SMLN-2022-612-000011"/>
    <x v="37"/>
  </r>
  <r>
    <d v="2021-12-01T00:00:00"/>
    <s v="VZ-2021-001323"/>
    <x v="11"/>
    <s v="Zemanová"/>
    <x v="87"/>
    <n v="2"/>
    <s v="Externí klinický audit v nukleární medicíně"/>
    <m/>
    <s v="79212300-6"/>
    <m/>
    <n v="200000"/>
    <x v="2"/>
    <d v="2021-12-29T00:00:00"/>
    <d v="2022-01-07T00:00:00"/>
    <d v="2022-01-25T00:00:00"/>
    <s v="M.G.P. spol. s r.o."/>
    <m/>
    <n v="70000"/>
    <n v="84700"/>
    <m/>
    <m/>
    <m/>
    <d v="2022-01-25T00:00:00"/>
    <s v="SMLN-2022-612-000012"/>
    <x v="54"/>
  </r>
  <r>
    <d v="2021-12-01T00:00:00"/>
    <s v="VZ-2021-001323"/>
    <x v="11"/>
    <s v="Zemanová"/>
    <x v="87"/>
    <n v="3"/>
    <s v="Externí klinický audit v radioterapii"/>
    <m/>
    <s v="79212300-6"/>
    <m/>
    <n v="150000"/>
    <x v="2"/>
    <d v="2021-12-29T00:00:00"/>
    <d v="2022-01-07T00:00:00"/>
    <d v="2022-01-25T00:00:00"/>
    <s v="VF, a.s."/>
    <m/>
    <n v="119000"/>
    <n v="143990"/>
    <m/>
    <m/>
    <m/>
    <d v="2022-01-25T00:00:00"/>
    <s v="SMLN-2022-612-000013"/>
    <x v="57"/>
  </r>
  <r>
    <d v="2021-12-06T00:00:00"/>
    <s v="VZ-2021-001326"/>
    <x v="4"/>
    <s v="Olejníček"/>
    <x v="88"/>
    <m/>
    <m/>
    <m/>
    <s v="33120000-7"/>
    <s v="2.3.476."/>
    <n v="472240"/>
    <x v="2"/>
    <d v="2021-12-23T00:00:00"/>
    <d v="2022-01-07T00:00:00"/>
    <d v="2022-01-24T00:00:00"/>
    <s v="Kurka.Med s.r.o."/>
    <m/>
    <n v="467286"/>
    <n v="565416.06000000006"/>
    <m/>
    <m/>
    <m/>
    <d v="2022-01-24T00:00:00"/>
    <s v="SMLN-2022-617-000042_x000a_SMLN-2022-612-000010_x000a_SMLN-2022-617-000043"/>
    <x v="49"/>
  </r>
  <r>
    <d v="2021-12-08T00:00:00"/>
    <s v="VZ-2021-001334"/>
    <x v="4"/>
    <s v="Olejníček"/>
    <x v="89"/>
    <m/>
    <m/>
    <m/>
    <s v="33162100-4"/>
    <s v="2.2.348."/>
    <n v="1040500"/>
    <x v="2"/>
    <d v="2021-12-23T00:00:00"/>
    <d v="2022-01-11T00:00:00"/>
    <m/>
    <s v="zrušeno - bez nabídky"/>
    <s v="nová VZ-2022-000087"/>
    <m/>
    <m/>
    <m/>
    <m/>
    <m/>
    <m/>
    <m/>
    <x v="4"/>
  </r>
  <r>
    <d v="2021-12-16T00:00:00"/>
    <s v="VZ-2021-001335"/>
    <x v="1"/>
    <s v="Ondráčková"/>
    <x v="90"/>
    <m/>
    <m/>
    <m/>
    <s v="33651100-9"/>
    <m/>
    <n v="3833895"/>
    <x v="0"/>
    <d v="2021-12-21T00:00:00"/>
    <d v="2022-01-24T00:00:00"/>
    <d v="2022-02-15T00:00:00"/>
    <s v="ViaPharma s.r.o."/>
    <m/>
    <n v="3815666.17"/>
    <n v="4197232.79"/>
    <m/>
    <m/>
    <m/>
    <d v="2022-02-15T00:00:00"/>
    <s v="SMLN-2022-617-000103"/>
    <x v="26"/>
  </r>
  <r>
    <d v="2021-12-16T00:00:00"/>
    <s v="VZ-2021-001336"/>
    <x v="1"/>
    <s v="Ondráčková"/>
    <x v="91"/>
    <n v="1"/>
    <s v="PEGINTERFERON BETA-1A"/>
    <m/>
    <s v="33652000-5"/>
    <m/>
    <n v="10393222"/>
    <x v="0"/>
    <d v="2021-12-23T00:00:00"/>
    <d v="2022-01-27T00:00:00"/>
    <d v="2022-02-18T00:00:00"/>
    <s v="Avenier a.s."/>
    <m/>
    <n v="10389053.4"/>
    <n v="11427958.470000001"/>
    <m/>
    <m/>
    <m/>
    <d v="2022-02-18T00:00:00"/>
    <s v="SMLN-2022-617-000120"/>
    <x v="15"/>
  </r>
  <r>
    <d v="2021-12-16T00:00:00"/>
    <s v="VZ-2021-001336"/>
    <x v="1"/>
    <s v="Ondráčková"/>
    <x v="91"/>
    <n v="2"/>
    <s v="POMALIDOMID"/>
    <m/>
    <s v="33652300-8"/>
    <m/>
    <n v="13524393"/>
    <x v="0"/>
    <d v="2021-12-23T00:00:00"/>
    <d v="2022-01-27T00:00:00"/>
    <d v="2022-02-18T00:00:00"/>
    <s v="PHOENIX lék.velkoobchod, s.r.o."/>
    <m/>
    <n v="7610779.2599999998"/>
    <n v="8371857.1900000004"/>
    <m/>
    <m/>
    <m/>
    <d v="2022-02-18T00:00:00"/>
    <s v="SMLN-2022-617-000121"/>
    <x v="14"/>
  </r>
  <r>
    <d v="2021-12-16T00:00:00"/>
    <s v="VZ-2021-001336"/>
    <x v="1"/>
    <s v="Ondráčková"/>
    <x v="91"/>
    <n v="3"/>
    <s v="PRASEČÍ PŘENOSOVÝ FAKTOR"/>
    <m/>
    <s v="33652000-5"/>
    <m/>
    <n v="5983454"/>
    <x v="0"/>
    <d v="2021-12-23T00:00:00"/>
    <d v="2022-01-27T00:00:00"/>
    <d v="2022-02-18T00:00:00"/>
    <s v="PHOENIX lék.velkoobchod, s.r.o."/>
    <m/>
    <n v="5971911.54"/>
    <n v="6569102.6900000004"/>
    <m/>
    <m/>
    <m/>
    <d v="2022-02-18T00:00:00"/>
    <s v="SMLN-2022-617-000122"/>
    <x v="14"/>
  </r>
  <r>
    <d v="2021-12-16T00:00:00"/>
    <s v="VZ-2021-001336"/>
    <x v="1"/>
    <s v="Ondráčková"/>
    <x v="91"/>
    <n v="4"/>
    <s v="MIDOSTAURIN"/>
    <m/>
    <s v="33652000-5"/>
    <m/>
    <n v="7206684"/>
    <x v="0"/>
    <d v="2021-12-23T00:00:00"/>
    <d v="2022-01-27T00:00:00"/>
    <d v="2022-02-18T00:00:00"/>
    <s v="Alliance Healthcare s.r.o."/>
    <m/>
    <n v="7206683.2800000003"/>
    <n v="7927351.6100000003"/>
    <m/>
    <m/>
    <m/>
    <d v="2022-02-18T00:00:00"/>
    <s v="SMLN-2022-617-000123"/>
    <x v="39"/>
  </r>
  <r>
    <d v="2021-12-16T00:00:00"/>
    <s v="VZ-2021-001337"/>
    <x v="1"/>
    <s v="Ondráčková"/>
    <x v="92"/>
    <n v="1"/>
    <s v="Dolforin"/>
    <m/>
    <s v="33661200-3"/>
    <m/>
    <n v="504160"/>
    <x v="0"/>
    <d v="2021-12-21T00:00:00"/>
    <d v="2022-01-24T00:00:00"/>
    <m/>
    <s v="zrušeno - bez nabídky"/>
    <m/>
    <m/>
    <m/>
    <m/>
    <m/>
    <m/>
    <m/>
    <m/>
    <x v="4"/>
  </r>
  <r>
    <d v="2021-12-16T00:00:00"/>
    <s v="VZ-2021-001337"/>
    <x v="1"/>
    <s v="Ondráčková"/>
    <x v="92"/>
    <n v="2"/>
    <s v="Durogesic"/>
    <m/>
    <s v="33661200-3"/>
    <m/>
    <n v="2473707"/>
    <x v="0"/>
    <d v="2021-12-21T00:00:00"/>
    <d v="2022-01-24T00:00:00"/>
    <d v="2022-03-02T00:00:00"/>
    <s v="Alliance Healthcare s.r.o."/>
    <m/>
    <n v="2469282.27"/>
    <n v="2716210.5"/>
    <m/>
    <m/>
    <m/>
    <d v="2022-03-02T00:00:00"/>
    <s v="SMLN-2022-617-000135"/>
    <x v="9"/>
  </r>
  <r>
    <d v="2021-12-16T00:00:00"/>
    <s v="VZ-2021-001337"/>
    <x v="1"/>
    <s v="Ondráčková"/>
    <x v="92"/>
    <n v="3"/>
    <s v="Fentalis"/>
    <m/>
    <s v="33661200-3"/>
    <m/>
    <n v="1853837"/>
    <x v="0"/>
    <d v="2021-12-21T00:00:00"/>
    <d v="2022-01-24T00:00:00"/>
    <d v="2022-03-02T00:00:00"/>
    <s v="Alliance Healthcare s.r.o."/>
    <m/>
    <n v="1850139.54"/>
    <n v="2035153.49"/>
    <m/>
    <m/>
    <m/>
    <d v="2022-03-02T00:00:00"/>
    <s v="SMLN-2022-617-000136"/>
    <x v="9"/>
  </r>
  <r>
    <d v="2021-12-16T00:00:00"/>
    <s v="VZ-2021-001337"/>
    <x v="1"/>
    <s v="Ondráčková"/>
    <x v="92"/>
    <n v="4"/>
    <s v="Palexia Retard"/>
    <m/>
    <s v="33661200-3"/>
    <m/>
    <n v="1895882"/>
    <x v="0"/>
    <d v="2021-12-21T00:00:00"/>
    <d v="2022-01-24T00:00:00"/>
    <d v="2022-03-02T00:00:00"/>
    <s v="PHOENIX lék.velkoobchod, s.r.o."/>
    <m/>
    <n v="1870520.13"/>
    <n v="2057572.14"/>
    <m/>
    <m/>
    <m/>
    <d v="2022-03-02T00:00:00"/>
    <s v="SMLN-2022-617-000137"/>
    <x v="9"/>
  </r>
  <r>
    <d v="2021-12-16T00:00:00"/>
    <s v="VZ-2021-001337"/>
    <x v="1"/>
    <s v="Ondráčková"/>
    <x v="92"/>
    <n v="5"/>
    <s v="Transtec"/>
    <m/>
    <s v="33661200-3"/>
    <m/>
    <n v="1544455"/>
    <x v="0"/>
    <d v="2021-12-21T00:00:00"/>
    <d v="2022-01-24T00:00:00"/>
    <d v="2022-03-02T00:00:00"/>
    <s v="ViaPharma s.r.o."/>
    <m/>
    <n v="1543219.26"/>
    <n v="1697541.19"/>
    <m/>
    <m/>
    <m/>
    <d v="2022-03-02T00:00:00"/>
    <s v="SMLN-2022-617-000138"/>
    <x v="47"/>
  </r>
  <r>
    <d v="2021-12-16T00:00:00"/>
    <s v="VZ-2021-001337"/>
    <x v="1"/>
    <s v="Ondráčková"/>
    <x v="92"/>
    <n v="6"/>
    <s v="Oxycodon Lannacher"/>
    <m/>
    <s v="33661200-3"/>
    <m/>
    <n v="2890813"/>
    <x v="0"/>
    <d v="2021-12-21T00:00:00"/>
    <d v="2022-01-24T00:00:00"/>
    <d v="2022-03-02T00:00:00"/>
    <s v="PHOENIX lék.velkoobchod, s.r.o."/>
    <m/>
    <n v="2883830.88"/>
    <n v="3172213.97"/>
    <m/>
    <m/>
    <m/>
    <d v="2022-03-02T00:00:00"/>
    <s v="SMLN-2022-617-000139"/>
    <x v="9"/>
  </r>
  <r>
    <d v="2021-12-16T00:00:00"/>
    <s v="VZ-2021-001337"/>
    <x v="1"/>
    <s v="Ondráčková"/>
    <x v="92"/>
    <n v="7"/>
    <s v="Lunaldin"/>
    <m/>
    <s v="33661200-3"/>
    <m/>
    <n v="6193398"/>
    <x v="0"/>
    <d v="2021-12-21T00:00:00"/>
    <d v="2022-01-24T00:00:00"/>
    <d v="2022-03-02T00:00:00"/>
    <s v="PHOENIX lék.velkoobchod, s.r.o."/>
    <m/>
    <n v="6148056.1799999997"/>
    <n v="6762861.7999999998"/>
    <m/>
    <m/>
    <m/>
    <d v="2022-03-02T00:00:00"/>
    <s v="SMLN-2022-617-000140"/>
    <x v="9"/>
  </r>
  <r>
    <d v="2021-12-16T00:00:00"/>
    <s v="VZ-2021-001338"/>
    <x v="1"/>
    <s v="Ondráčková"/>
    <x v="93"/>
    <m/>
    <m/>
    <m/>
    <s v="33621000-9"/>
    <m/>
    <n v="1454316"/>
    <x v="0"/>
    <d v="2021-12-17T00:00:00"/>
    <d v="2022-01-20T00:00:00"/>
    <d v="2022-02-15T00:00:00"/>
    <s v="Alliance Healthcare s.r.o."/>
    <m/>
    <n v="1386859.23"/>
    <n v="1525545.15"/>
    <m/>
    <m/>
    <m/>
    <d v="2022-02-15T00:00:00"/>
    <s v="SMLN-2022-617-000104"/>
    <x v="15"/>
  </r>
  <r>
    <d v="2021-12-17T00:00:00"/>
    <s v="VZ-2021-001343"/>
    <x v="0"/>
    <s v="Dočkalová"/>
    <x v="94"/>
    <m/>
    <m/>
    <m/>
    <s v="33140000-3 "/>
    <m/>
    <n v="2294037"/>
    <x v="0"/>
    <d v="2022-01-03T00:00:00"/>
    <d v="2022-02-04T00:00:00"/>
    <d v="2022-03-16T00:00:00"/>
    <s v="IMMOMEDICAL CZ s.r.o."/>
    <m/>
    <n v="2294037"/>
    <n v="2638142.5499999998"/>
    <m/>
    <m/>
    <m/>
    <d v="2022-03-16T00:00:00"/>
    <s v="SMLN-2022-617-000174_x000a_SMLN-2022-614-000031"/>
    <x v="42"/>
  </r>
  <r>
    <d v="2021-12-29T00:00:00"/>
    <s v="VZ-2021-001349"/>
    <x v="1"/>
    <s v="Ondráčková"/>
    <x v="95"/>
    <m/>
    <m/>
    <m/>
    <s v="33642000-2"/>
    <m/>
    <n v="63821520"/>
    <x v="0"/>
    <d v="2022-01-05T00:00:00"/>
    <d v="2022-02-08T00:00:00"/>
    <d v="2022-03-03T00:00:00"/>
    <s v="Janssen-Cilag s.r.o."/>
    <m/>
    <n v="63821520"/>
    <n v="70203672"/>
    <m/>
    <m/>
    <m/>
    <d v="2022-03-03T00:00:00"/>
    <s v="SMLN-2022-617-000142"/>
    <x v="26"/>
  </r>
  <r>
    <d v="2021-12-16T00:00:00"/>
    <s v="VZ-2022-000004"/>
    <x v="3"/>
    <s v="Olejníček"/>
    <x v="96"/>
    <m/>
    <m/>
    <m/>
    <s v="38634000-8"/>
    <s v="2.2.418."/>
    <n v="1828000"/>
    <x v="0"/>
    <d v="2022-02-02T00:00:00"/>
    <d v="2022-03-09T00:00:00"/>
    <d v="2022-04-05T00:00:00"/>
    <s v=" "/>
    <m/>
    <n v="2251608"/>
    <n v="2724445.68"/>
    <m/>
    <m/>
    <m/>
    <d v="2022-04-05T00:00:00"/>
    <s v="SMLN-2022-617-000212_x000a_SMLN-2022-612-000033_x000a_SMLN-2022-617-000213"/>
    <x v="58"/>
  </r>
  <r>
    <s v="opakovaná VZ"/>
    <s v="VZ-2022-000005"/>
    <x v="0"/>
    <s v="Dočkalová"/>
    <x v="97"/>
    <m/>
    <m/>
    <m/>
    <s v="33140000-3"/>
    <m/>
    <n v="6336997"/>
    <x v="0"/>
    <d v="2022-01-14T00:00:00"/>
    <d v="2022-02-16T00:00:00"/>
    <d v="2022-02-28T00:00:00"/>
    <s v="POLYMED medical CZ, a.s."/>
    <m/>
    <n v="6463140"/>
    <n v="7820399.4000000004"/>
    <m/>
    <m/>
    <m/>
    <d v="2022-03-01T00:00:00"/>
    <s v="SMLN-2022-617-000130"/>
    <x v="55"/>
  </r>
  <r>
    <d v="2021-12-30T00:00:00"/>
    <s v="VZ-2022-000006"/>
    <x v="0"/>
    <s v="Dočkalová"/>
    <x v="98"/>
    <m/>
    <m/>
    <m/>
    <s v="18424300-0"/>
    <m/>
    <n v="8370000"/>
    <x v="0"/>
    <d v="2022-01-10T00:00:00"/>
    <d v="2022-02-25T00:00:00"/>
    <d v="2022-04-07T00:00:00"/>
    <s v="KORAKO plus, s.r.o."/>
    <m/>
    <n v="5940000"/>
    <n v="7187400"/>
    <m/>
    <m/>
    <m/>
    <d v="2022-04-07T00:00:00"/>
    <s v="SMLN-2022-617-000229"/>
    <x v="59"/>
  </r>
  <r>
    <d v="2021-11-26T00:00:00"/>
    <s v="VZ-2022-000007"/>
    <x v="10"/>
    <s v="Rosulek"/>
    <x v="99"/>
    <m/>
    <m/>
    <m/>
    <s v="38000000-5"/>
    <s v="2.3.322., 2.2.411."/>
    <n v="9800000"/>
    <x v="0"/>
    <d v="2022-01-07T00:00:00"/>
    <d v="2022-02-23T00:00:00"/>
    <d v="2022-04-14T00:00:00"/>
    <s v="CANBERRA-PACKARD, s.r.o."/>
    <m/>
    <n v="14028200"/>
    <n v="16974122"/>
    <m/>
    <m/>
    <m/>
    <d v="2022-04-14T00:00:00"/>
    <s v="SMLN-2022-617-000255_x000a_SMLN-2022-612-000042"/>
    <x v="60"/>
  </r>
  <r>
    <d v="2021-12-02T00:00:00"/>
    <s v="VZ-2022-000008"/>
    <x v="10"/>
    <s v="Rosulek"/>
    <x v="100"/>
    <m/>
    <m/>
    <m/>
    <s v="33115000-9"/>
    <s v="2.2.409."/>
    <n v="129000000"/>
    <x v="0"/>
    <d v="2022-01-07T00:00:00"/>
    <d v="2022-02-11T00:00:00"/>
    <d v="2022-03-09T00:00:00"/>
    <s v="Siemens Healthcare, s.r.o."/>
    <m/>
    <n v="108903000"/>
    <n v="131772630"/>
    <m/>
    <m/>
    <m/>
    <d v="2022-03-10T00:00:00"/>
    <s v="SMLN-2022-617-000155_x000a_SMLN-2022-612-000027"/>
    <x v="10"/>
  </r>
  <r>
    <d v="2022-01-24T00:00:00"/>
    <s v="VZ-2022-000010"/>
    <x v="4"/>
    <s v="Rosulek"/>
    <x v="101"/>
    <n v="1"/>
    <s v="Vrtací akumulátorové soupravy"/>
    <m/>
    <s v="33160000-9"/>
    <s v="2.2.343."/>
    <n v="730000"/>
    <x v="0"/>
    <d v="2022-01-31T00:00:00"/>
    <d v="2022-03-18T00:00:00"/>
    <d v="2022-04-14T00:00:00"/>
    <s v="Johnson &amp; Johnson, s.r.o."/>
    <m/>
    <n v="750048"/>
    <n v="907558.1"/>
    <m/>
    <m/>
    <m/>
    <d v="2022-04-19T00:00:00"/>
    <s v="SMLN-2022-617-000260_x000a_SMLN-2022-612-000046"/>
    <x v="61"/>
  </r>
  <r>
    <d v="2022-01-24T00:00:00"/>
    <s v="VZ-2022-000010"/>
    <x v="4"/>
    <s v="Rosulek"/>
    <x v="101"/>
    <n v="2"/>
    <s v="Modulární bateriové soupravy"/>
    <m/>
    <s v="33160000-9"/>
    <s v="2.2.344."/>
    <n v="1140000"/>
    <x v="0"/>
    <d v="2022-01-31T00:00:00"/>
    <d v="2022-03-18T00:00:00"/>
    <d v="2022-04-14T00:00:00"/>
    <s v="Johnson &amp; Johnson, s.r.o."/>
    <m/>
    <n v="1044194"/>
    <n v="1263474.7"/>
    <m/>
    <m/>
    <m/>
    <d v="2022-04-19T00:00:00"/>
    <s v="SMLN-2022-617-000263_x000a_SMLN-2022-612-000048"/>
    <x v="61"/>
  </r>
  <r>
    <d v="2022-01-24T00:00:00"/>
    <s v="VZ-2022-000010"/>
    <x v="4"/>
    <s v="Rosulek"/>
    <x v="101"/>
    <n v="3"/>
    <s v="Vzduchem poháněné vrtací soupravy"/>
    <m/>
    <s v="33160000-9"/>
    <s v="2.3.658."/>
    <n v="310000"/>
    <x v="0"/>
    <d v="2022-01-31T00:00:00"/>
    <d v="2022-03-08T00:00:00"/>
    <m/>
    <s v="zrušeno - špatná speciífikace, navýšení počtu do část II."/>
    <m/>
    <m/>
    <m/>
    <m/>
    <m/>
    <m/>
    <m/>
    <m/>
    <x v="4"/>
  </r>
  <r>
    <d v="2022-01-24T00:00:00"/>
    <s v="VZ-2022-000010"/>
    <x v="4"/>
    <s v="Rosulek"/>
    <x v="101"/>
    <n v="4"/>
    <s v="Ultrazvukové (piezochirurgické) soupravy"/>
    <m/>
    <s v="33160000-9"/>
    <s v="2.3.550."/>
    <n v="230000"/>
    <x v="0"/>
    <d v="2022-01-31T00:00:00"/>
    <d v="2022-03-18T00:00:00"/>
    <d v="2022-04-14T00:00:00"/>
    <s v="Mectron.cz s.r.o."/>
    <m/>
    <n v="333960"/>
    <n v="404091.6"/>
    <m/>
    <m/>
    <m/>
    <d v="2022-04-19T00:00:00"/>
    <s v="SMLN-2022-617-000264_x000a_SMLN-2022-612-000049"/>
    <x v="62"/>
  </r>
  <r>
    <d v="2021-12-17T00:00:00"/>
    <s v="VZ-2022-000014"/>
    <x v="0"/>
    <s v="Dočkalová"/>
    <x v="102"/>
    <m/>
    <m/>
    <m/>
    <s v="33141310-6"/>
    <m/>
    <n v="593099"/>
    <x v="2"/>
    <d v="2022-01-05T00:00:00"/>
    <d v="2022-01-14T00:00:00"/>
    <d v="2022-01-27T00:00:00"/>
    <s v="Boston Scientific Česká republika s.r.o."/>
    <m/>
    <n v="821700"/>
    <n v="994257"/>
    <m/>
    <m/>
    <m/>
    <d v="2022-01-27T00:00:00"/>
    <s v="SMLN-2022-617-000047_x000a_SMLN-2022-614-000004"/>
    <x v="0"/>
  </r>
  <r>
    <s v="opakovaná VZ"/>
    <s v="VZ-2022-000015"/>
    <x v="6"/>
    <s v="Zdráhalová"/>
    <x v="103"/>
    <n v="1"/>
    <s v="Ochranná a zdravotnická obuv"/>
    <m/>
    <s v="18830000-6"/>
    <m/>
    <n v="5400000"/>
    <x v="0"/>
    <d v="2022-01-20T00:00:00"/>
    <d v="2022-02-24T00:00:00"/>
    <m/>
    <s v="zrušeno - dle hodnocení si zaměstnanci nechtějí změnu obuvi"/>
    <m/>
    <m/>
    <m/>
    <m/>
    <m/>
    <m/>
    <m/>
    <m/>
    <x v="4"/>
  </r>
  <r>
    <s v="opakovaná VZ"/>
    <s v="VZ-2022-000015"/>
    <x v="6"/>
    <s v="Zdráhalová"/>
    <x v="103"/>
    <n v="2"/>
    <s v="Obuv ochranná a zdravotnická typu Crocs"/>
    <m/>
    <s v="18830000-6"/>
    <m/>
    <n v="3168000"/>
    <x v="0"/>
    <d v="2022-01-20T00:00:00"/>
    <d v="2022-02-24T00:00:00"/>
    <d v="2022-05-26T00:00:00"/>
    <s v="Active Colour s.r.o."/>
    <m/>
    <n v="2808000"/>
    <n v="3397680"/>
    <m/>
    <m/>
    <m/>
    <d v="2022-05-31T00:00:00"/>
    <s v="SMLN-2022-617-000378"/>
    <x v="63"/>
  </r>
  <r>
    <d v="2021-12-20T00:00:00"/>
    <s v="VZ-2022-000017"/>
    <x v="0"/>
    <s v="Dočkalová"/>
    <x v="104"/>
    <m/>
    <m/>
    <m/>
    <s v="33140000-3"/>
    <m/>
    <n v="850613"/>
    <x v="2"/>
    <d v="2022-01-07T00:00:00"/>
    <d v="2022-01-18T00:00:00"/>
    <d v="2022-02-16T00:00:00"/>
    <s v="Medinet s.r.o."/>
    <m/>
    <n v="499770"/>
    <n v="604721.69999999995"/>
    <m/>
    <m/>
    <m/>
    <d v="2022-02-16T00:00:00"/>
    <s v="SMLN-2022-617-000107_x000a_SMLN-2022-614-000023"/>
    <x v="64"/>
  </r>
  <r>
    <d v="2022-01-05T00:00:00"/>
    <s v="VZ-2022-000019"/>
    <x v="1"/>
    <s v="Ondráčková"/>
    <x v="105"/>
    <m/>
    <m/>
    <m/>
    <s v="33652300-8"/>
    <m/>
    <n v="54535470"/>
    <x v="0"/>
    <d v="2022-01-14T00:00:00"/>
    <d v="2022-03-15T00:00:00"/>
    <m/>
    <s v="zrušeno - nutná změna specifikace"/>
    <s v="nová VZ-2022-000244"/>
    <m/>
    <m/>
    <m/>
    <m/>
    <m/>
    <m/>
    <m/>
    <x v="4"/>
  </r>
  <r>
    <d v="2022-01-05T00:00:00"/>
    <s v="VZ-2022-000020"/>
    <x v="1"/>
    <s v="Ondráčková"/>
    <x v="106"/>
    <n v="1"/>
    <s v="TRASTUZUMAB I.V."/>
    <m/>
    <s v="33652000-5"/>
    <m/>
    <n v="31242540"/>
    <x v="0"/>
    <d v="2022-06-06T00:00:00"/>
    <d v="2022-07-25T00:00:00"/>
    <d v="2022-09-12T00:00:00"/>
    <s v="PROMEDICA PRAHA GROUP, a.s."/>
    <m/>
    <n v="12838875"/>
    <n v="14122762.5"/>
    <m/>
    <m/>
    <m/>
    <d v="2022-09-12T00:00:00"/>
    <s v="SMLN-2022-617-000628"/>
    <x v="65"/>
  </r>
  <r>
    <d v="2022-01-05T00:00:00"/>
    <s v="VZ-2022-000020"/>
    <x v="1"/>
    <s v="Ondráčková"/>
    <x v="106"/>
    <n v="2"/>
    <s v="TRASTUZUMAB S.C."/>
    <m/>
    <s v="33652000-5"/>
    <m/>
    <n v="57904517"/>
    <x v="0"/>
    <d v="2022-06-06T00:00:00"/>
    <d v="2022-07-25T00:00:00"/>
    <d v="2022-09-12T00:00:00"/>
    <s v="ROCHE s.r.o."/>
    <m/>
    <n v="57673946.399999999"/>
    <n v="63441341.039999999"/>
    <m/>
    <m/>
    <m/>
    <d v="2022-09-12T00:00:00"/>
    <s v="SMLN-2022-617-000629"/>
    <x v="66"/>
  </r>
  <r>
    <d v="2022-01-05T00:00:00"/>
    <s v="VZ-2022-000021"/>
    <x v="1"/>
    <s v="Ondráčková"/>
    <x v="107"/>
    <n v="1"/>
    <s v="MACITENTAN"/>
    <m/>
    <s v="33622200-8"/>
    <m/>
    <n v="2616255"/>
    <x v="1"/>
    <d v="2022-01-13T00:00:00"/>
    <d v="2022-02-03T00:00:00"/>
    <d v="2022-02-15T00:00:00"/>
    <s v="Janssen-Cilag s.r.o."/>
    <m/>
    <n v="2616255"/>
    <n v="2877880.5"/>
    <m/>
    <m/>
    <m/>
    <d v="2022-02-15T00:00:00"/>
    <s v="SMLN-2022-617-000102"/>
    <x v="51"/>
  </r>
  <r>
    <d v="2022-01-04T00:00:00"/>
    <s v="VZ-2022-000022"/>
    <x v="0"/>
    <s v="Dočkalová"/>
    <x v="108"/>
    <n v="1"/>
    <s v="Doplnění a obnova instrumentária pro endoskopickou operativu dětí pro Urologickou kliniku "/>
    <m/>
    <s v="33162200-5"/>
    <m/>
    <n v="650000"/>
    <x v="0"/>
    <d v="2022-01-18T00:00:00"/>
    <d v="2022-02-21T00:00:00"/>
    <d v="2022-02-28T00:00:00"/>
    <s v="Hoyer Praha s.r.o."/>
    <m/>
    <n v="650713.12"/>
    <n v="787362.88"/>
    <m/>
    <m/>
    <m/>
    <d v="2022-02-28T00:00:00"/>
    <s v="SMLN-2022-617-000129"/>
    <x v="50"/>
  </r>
  <r>
    <d v="2022-01-04T00:00:00"/>
    <s v="VZ-2022-000022"/>
    <x v="0"/>
    <s v="Dočkalová"/>
    <x v="108"/>
    <n v="2"/>
    <s v="Nástroje endoskopické včetně příslušenství pro UROLOGICKOU KLINIKU "/>
    <m/>
    <s v="33162200-5"/>
    <m/>
    <n v="2479338"/>
    <x v="0"/>
    <d v="2022-01-18T00:00:00"/>
    <d v="2022-02-21T00:00:00"/>
    <d v="2022-03-24T00:00:00"/>
    <s v="Olympus Czech Group, s.r.o., člen koncernu"/>
    <m/>
    <n v="2472241"/>
    <n v="2991411.61"/>
    <m/>
    <m/>
    <m/>
    <d v="2022-03-24T00:00:00"/>
    <s v="SMLN-2022-617-000193"/>
    <x v="67"/>
  </r>
  <r>
    <d v="2021-12-16T00:00:00"/>
    <s v="VZ-2022-000025"/>
    <x v="4"/>
    <s v="Olejníček"/>
    <x v="109"/>
    <m/>
    <m/>
    <m/>
    <s v="33190000-8"/>
    <s v="2.3.548."/>
    <n v="70000"/>
    <x v="2"/>
    <d v="2022-01-11T00:00:00"/>
    <d v="2022-01-27T00:00:00"/>
    <d v="2022-02-11T00:00:00"/>
    <s v="SCHAFFEROVÁ spol. s r.o."/>
    <m/>
    <n v="55202.48"/>
    <n v="66795"/>
    <m/>
    <m/>
    <m/>
    <d v="2022-02-11T00:00:00"/>
    <s v="SMLN-2022-617-000095_x000a_SMLN-2022-612-000017"/>
    <x v="14"/>
  </r>
  <r>
    <d v="2021-11-11T00:00:00"/>
    <s v="VZ-2022-000028"/>
    <x v="5"/>
    <s v="Srovnal"/>
    <x v="110"/>
    <m/>
    <m/>
    <m/>
    <s v="32360000-4"/>
    <m/>
    <n v="1950000"/>
    <x v="2"/>
    <d v="2022-01-11T00:00:00"/>
    <d v="2022-01-20T00:00:00"/>
    <d v="2022-01-26T00:00:00"/>
    <s v="CODACO ELECTRONIC s.r.o."/>
    <m/>
    <n v="1930240.41"/>
    <n v="2335590.9"/>
    <m/>
    <m/>
    <m/>
    <d v="2022-01-26T00:00:00"/>
    <s v="SMLN-2022-617-000046"/>
    <x v="37"/>
  </r>
  <r>
    <d v="2021-12-21T00:00:00"/>
    <s v="VZ-2022-000029"/>
    <x v="10"/>
    <s v="Olejníček"/>
    <x v="111"/>
    <m/>
    <m/>
    <m/>
    <s v="33111620-3"/>
    <m/>
    <n v="2293200"/>
    <x v="0"/>
    <d v="2022-01-21T00:00:00"/>
    <d v="2022-02-24T00:00:00"/>
    <d v="2022-03-21T00:00:00"/>
    <s v="MEDKONSULT, s.r.o."/>
    <m/>
    <n v="2289300"/>
    <n v="2770053"/>
    <m/>
    <m/>
    <m/>
    <d v="2022-03-22T00:00:00"/>
    <s v="SMLN-2022-617-000190_x000a_SMLN-2022-612-000028"/>
    <x v="68"/>
  </r>
  <r>
    <d v="2021-12-27T00:00:00"/>
    <s v="VZ-2022-000033"/>
    <x v="4"/>
    <s v="Olejníček"/>
    <x v="112"/>
    <m/>
    <m/>
    <m/>
    <s v="33195100-4"/>
    <s v="2.2.436."/>
    <n v="180000"/>
    <x v="2"/>
    <d v="2022-01-13T00:00:00"/>
    <d v="2022-02-11T00:00:00"/>
    <m/>
    <s v="zrušeno - bez nabídky"/>
    <m/>
    <m/>
    <m/>
    <m/>
    <m/>
    <m/>
    <m/>
    <m/>
    <x v="4"/>
  </r>
  <r>
    <d v="2022-01-11T00:00:00"/>
    <s v="VZ-2022-000034"/>
    <x v="9"/>
    <s v="Miklík"/>
    <x v="113"/>
    <m/>
    <m/>
    <m/>
    <s v="72611000-6"/>
    <m/>
    <n v="1480000"/>
    <x v="2"/>
    <d v="2022-01-13T00:00:00"/>
    <d v="2022-01-19T00:00:00"/>
    <d v="2022-01-20T00:00:00"/>
    <s v="MERIT GROUP a.s."/>
    <m/>
    <n v="1435672"/>
    <n v="1737163.12"/>
    <m/>
    <m/>
    <m/>
    <d v="2022-01-20T00:00:00"/>
    <s v="SMLN-2022-612-000008"/>
    <x v="54"/>
  </r>
  <r>
    <d v="2022-01-11T00:00:00"/>
    <s v="VZ-2022-000035"/>
    <x v="0"/>
    <s v="Dočkalová"/>
    <x v="114"/>
    <m/>
    <m/>
    <m/>
    <s v="33140000-3"/>
    <m/>
    <n v="924000"/>
    <x v="2"/>
    <d v="2022-01-27T00:00:00"/>
    <d v="2022-02-04T00:00:00"/>
    <d v="2022-02-10T00:00:00"/>
    <s v="MEDISTA spol. s r.o."/>
    <m/>
    <n v="1117200"/>
    <n v="1351812"/>
    <m/>
    <m/>
    <m/>
    <d v="2022-02-10T00:00:00"/>
    <s v="SMLN-2022-617-000087"/>
    <x v="69"/>
  </r>
  <r>
    <d v="2022-01-11T00:00:00"/>
    <s v="VZ-2022-000037"/>
    <x v="0"/>
    <s v="Dočkalová"/>
    <x v="115"/>
    <m/>
    <m/>
    <m/>
    <s v="33140000-3"/>
    <m/>
    <n v="1050000"/>
    <x v="2"/>
    <d v="2022-01-13T00:00:00"/>
    <d v="2022-01-21T00:00:00"/>
    <d v="2022-01-27T00:00:00"/>
    <s v="Medtronic Czechia s.r.o."/>
    <m/>
    <n v="1050000"/>
    <n v="1270500"/>
    <m/>
    <m/>
    <m/>
    <d v="2022-01-27T00:00:00"/>
    <s v="SMLN-2022-617-000049"/>
    <x v="37"/>
  </r>
  <r>
    <d v="2022-01-11T00:00:00"/>
    <s v="VZ-2022-000038"/>
    <x v="3"/>
    <s v="Olejníček"/>
    <x v="116"/>
    <m/>
    <m/>
    <m/>
    <s v="38000000-5"/>
    <s v="2.2.421."/>
    <n v="1181361"/>
    <x v="0"/>
    <d v="2022-02-04T00:00:00"/>
    <d v="2022-03-10T00:00:00"/>
    <d v="2022-04-13T00:00:00"/>
    <s v="HPST, s.r.o."/>
    <m/>
    <n v="815841.79"/>
    <n v="987168.57"/>
    <m/>
    <m/>
    <m/>
    <d v="2022-04-19T00:00:00"/>
    <s v="SMLN-2022-617-000235_x000a_SMLN-2022-612-000040"/>
    <x v="70"/>
  </r>
  <r>
    <d v="2022-01-11T00:00:00"/>
    <s v="VZ-2022-000039"/>
    <x v="4"/>
    <s v="Olejníček"/>
    <x v="117"/>
    <m/>
    <m/>
    <m/>
    <s v="33124110-9"/>
    <s v="2.3.544."/>
    <n v="460000"/>
    <x v="2"/>
    <d v="2022-01-13T00:00:00"/>
    <d v="2022-01-24T00:00:00"/>
    <d v="2022-01-27T00:00:00"/>
    <s v="DEYMED Diagnostic s.r.o."/>
    <m/>
    <n v="232260"/>
    <n v="281034.59999999998"/>
    <m/>
    <m/>
    <m/>
    <d v="2022-01-27T00:00:00"/>
    <s v="SMLN-2022-617-000048_x000a_SMLN-2022-612-000014"/>
    <x v="46"/>
  </r>
  <r>
    <d v="2021-12-22T00:00:00"/>
    <s v="VZ-2022-000044"/>
    <x v="4"/>
    <s v="Olejníček"/>
    <x v="118"/>
    <n v="1"/>
    <s v="Transportní ventilátor"/>
    <m/>
    <s v="33157400-9"/>
    <s v="2.3.646."/>
    <n v="775868"/>
    <x v="0"/>
    <d v="2022-01-21T00:00:00"/>
    <d v="2022-03-29T00:00:00"/>
    <d v="2022-05-03T00:00:00"/>
    <s v="Dräger Medical, s.r.o."/>
    <m/>
    <n v="771180"/>
    <n v="933127.8"/>
    <m/>
    <m/>
    <m/>
    <d v="2022-05-04T00:00:00"/>
    <s v="SMLN-2022-617-000314_x000a_SMLN-2022-612-000069"/>
    <x v="71"/>
  </r>
  <r>
    <d v="2021-12-22T00:00:00"/>
    <s v="VZ-2022-000044"/>
    <x v="4"/>
    <s v="Olejníček"/>
    <x v="118"/>
    <n v="2"/>
    <s v="Ventilátor plicní pro invazivní a neinvazivní ventilační podporu"/>
    <m/>
    <s v="33157400-9"/>
    <s v="2.3.556."/>
    <n v="1560000"/>
    <x v="0"/>
    <d v="2022-01-21T00:00:00"/>
    <d v="2022-03-29T00:00:00"/>
    <d v="2022-05-03T00:00:00"/>
    <s v="A.M.I. - Analytical Medical Instruments, s.r.o."/>
    <m/>
    <n v="1639600"/>
    <n v="1983916"/>
    <m/>
    <m/>
    <m/>
    <d v="2022-05-04T00:00:00"/>
    <s v="SMLN-2022-617-000315_x000a_SMLN-2022-612-000070"/>
    <x v="72"/>
  </r>
  <r>
    <d v="2021-12-22T00:00:00"/>
    <s v="VZ-2022-000044"/>
    <x v="4"/>
    <s v="Olejníček"/>
    <x v="118"/>
    <n v="3"/>
    <s v="Příslušenství ke stávajícímu ventilátoru"/>
    <m/>
    <s v="33157400-9"/>
    <m/>
    <n v="180000"/>
    <x v="0"/>
    <d v="2022-01-21T00:00:00"/>
    <d v="2022-03-29T00:00:00"/>
    <d v="2022-05-03T00:00:00"/>
    <s v="A.M.I. - Analytical Medical Instruments, s.r.o."/>
    <m/>
    <n v="177700"/>
    <n v="215017"/>
    <m/>
    <m/>
    <m/>
    <d v="2022-05-04T00:00:00"/>
    <s v="SMLN-2022-617-000316_x000a_SMLN-2022-612-000071"/>
    <x v="72"/>
  </r>
  <r>
    <d v="2022-01-12T00:00:00"/>
    <s v="VZ-2022-000045"/>
    <x v="0"/>
    <s v="Valtová"/>
    <x v="119"/>
    <n v="1"/>
    <s v="Kardioplegický set pro krevní kardioplegii 4:1 s výměníkem tepla"/>
    <m/>
    <s v="33140000-3"/>
    <m/>
    <n v="1468350"/>
    <x v="2"/>
    <d v="2022-01-18T00:00:00"/>
    <d v="2022-01-27T00:00:00"/>
    <d v="2022-02-03T00:00:00"/>
    <s v="Medtronic Czechia s.r.o."/>
    <m/>
    <n v="1468350"/>
    <n v="1776708"/>
    <m/>
    <m/>
    <m/>
    <d v="2022-02-03T00:00:00"/>
    <s v="SMLN-2022-617-000067_x000a_SMLN-2022-614-000008"/>
    <x v="15"/>
  </r>
  <r>
    <d v="2022-01-12T00:00:00"/>
    <s v="VZ-2022-000045"/>
    <x v="0"/>
    <s v="Valtová"/>
    <x v="119"/>
    <n v="2"/>
    <s v="Kardioplegický set pro krevní kardioplegii 4:1 se spirálou do ledové tříště"/>
    <m/>
    <s v="33140000-3"/>
    <m/>
    <n v="400000"/>
    <x v="2"/>
    <d v="2022-01-18T00:00:00"/>
    <d v="2022-01-27T00:00:00"/>
    <d v="2022-02-03T00:00:00"/>
    <s v="ALINEX-Kácovská, s.r.o."/>
    <m/>
    <n v="400000"/>
    <n v="484000"/>
    <m/>
    <m/>
    <m/>
    <d v="2022-02-03T00:00:00"/>
    <s v="SMLN-2022-617-000068_x000a_SMLN-2022-614-000009"/>
    <x v="0"/>
  </r>
  <r>
    <d v="2022-01-12T00:00:00"/>
    <s v="VZ-2022-000048"/>
    <x v="4"/>
    <s v="Olejníček"/>
    <x v="120"/>
    <m/>
    <m/>
    <m/>
    <s v="33186200-9"/>
    <s v="2.3.605., 2.3.647."/>
    <n v="421000"/>
    <x v="2"/>
    <d v="2022-01-17T00:00:00"/>
    <d v="2022-01-25T00:00:00"/>
    <m/>
    <s v="zrušeno - bez nabídky"/>
    <s v="nová VZ-2022-000357"/>
    <m/>
    <m/>
    <m/>
    <m/>
    <m/>
    <m/>
    <m/>
    <x v="4"/>
  </r>
  <r>
    <d v="2022-01-11T00:00:00"/>
    <s v="VZ-2022-000050"/>
    <x v="0"/>
    <s v="Dočkalová"/>
    <x v="121"/>
    <n v="1"/>
    <s v="Materiál spotřební k anesteziologickým přístrojům výrobce GE Healthcare"/>
    <m/>
    <s v="33140000-3"/>
    <m/>
    <n v="2498000"/>
    <x v="0"/>
    <d v="2022-01-20T00:00:00"/>
    <d v="2022-02-21T00:00:00"/>
    <d v="2022-03-15T00:00:00"/>
    <s v="medisap, s.r.o."/>
    <m/>
    <n v="1456720"/>
    <n v="1762631.2"/>
    <m/>
    <m/>
    <m/>
    <d v="2022-03-15T00:00:00"/>
    <s v="SMLN-2022-617-000169"/>
    <x v="73"/>
  </r>
  <r>
    <d v="2022-01-11T00:00:00"/>
    <s v="VZ-2022-000050"/>
    <x v="0"/>
    <s v="Dočkalová"/>
    <x v="121"/>
    <n v="2"/>
    <s v="Materiál spotřební k anesteziologickým přístrojům výrobce Dräger Medical33140000-3"/>
    <m/>
    <m/>
    <m/>
    <n v="1392000"/>
    <x v="0"/>
    <d v="2022-01-20T00:00:00"/>
    <d v="2022-02-21T00:00:00"/>
    <d v="2022-03-15T00:00:00"/>
    <s v="Dräger Medical, s.r.o."/>
    <m/>
    <n v="1230000"/>
    <n v="1488300"/>
    <m/>
    <m/>
    <m/>
    <d v="2022-03-15T00:00:00"/>
    <s v="SMLN-2022-617-000170"/>
    <x v="53"/>
  </r>
  <r>
    <d v="2022-01-12T00:00:00"/>
    <s v="VZ-2022-000051"/>
    <x v="6"/>
    <s v="Zdráhalová"/>
    <x v="122"/>
    <m/>
    <m/>
    <m/>
    <s v="18142000-6"/>
    <m/>
    <n v="1020000"/>
    <x v="2"/>
    <d v="2022-01-18T00:00:00"/>
    <d v="2022-01-28T00:00:00"/>
    <d v="2022-02-08T00:00:00"/>
    <s v="VEVA GENERAL s.r.o."/>
    <m/>
    <n v="940000"/>
    <n v="1137400"/>
    <m/>
    <m/>
    <m/>
    <d v="2022-02-08T00:00:00"/>
    <s v="SMLN-2022-617-000084"/>
    <x v="46"/>
  </r>
  <r>
    <d v="2022-01-14T00:00:00"/>
    <s v="VZ-2022-000054"/>
    <x v="9"/>
    <s v="Miklík"/>
    <x v="123"/>
    <m/>
    <m/>
    <m/>
    <s v="72611000-6"/>
    <m/>
    <n v="1350000"/>
    <x v="2"/>
    <d v="2022-01-18T00:00:00"/>
    <d v="2022-01-28T00:00:00"/>
    <d v="2022-01-31T00:00:00"/>
    <s v="MERIT GROUP a.s."/>
    <m/>
    <n v="1334686"/>
    <n v="1614970.06"/>
    <m/>
    <m/>
    <m/>
    <d v="2022-01-31T00:00:00"/>
    <s v="SMLN-2022-612-000015"/>
    <x v="74"/>
  </r>
  <r>
    <d v="2022-01-17T00:00:00"/>
    <s v="VZ-2022-000057"/>
    <x v="0"/>
    <s v="Dočkalová"/>
    <x v="124"/>
    <m/>
    <m/>
    <m/>
    <s v="33140000-3"/>
    <m/>
    <n v="888000"/>
    <x v="2"/>
    <d v="2022-01-24T00:00:00"/>
    <d v="2022-02-04T00:00:00"/>
    <d v="2022-03-01T00:00:00"/>
    <s v="ASCO-MED, spol. s r.o."/>
    <m/>
    <n v="754000"/>
    <n v="912340"/>
    <m/>
    <m/>
    <m/>
    <d v="2022-03-01T00:00:00"/>
    <s v="SMLN-2022-617-000134"/>
    <x v="39"/>
  </r>
  <r>
    <d v="2022-01-17T00:00:00"/>
    <s v="VZ-2022-000059"/>
    <x v="0"/>
    <s v="Valtová"/>
    <x v="125"/>
    <m/>
    <m/>
    <m/>
    <s v="33140000-3"/>
    <m/>
    <n v="13758670"/>
    <x v="0"/>
    <d v="2022-02-01T00:00:00"/>
    <d v="2022-03-07T00:00:00"/>
    <m/>
    <s v="zrušeno - bez hodnotitelné nabídky"/>
    <s v="nová VZ-2022-000286"/>
    <m/>
    <m/>
    <m/>
    <m/>
    <m/>
    <m/>
    <m/>
    <x v="4"/>
  </r>
  <r>
    <d v="2022-01-18T00:00:00"/>
    <s v="VZ-2022-000061"/>
    <x v="9"/>
    <s v="Oravec"/>
    <x v="126"/>
    <m/>
    <m/>
    <m/>
    <s v="64214200-1"/>
    <m/>
    <n v="2160000"/>
    <x v="1"/>
    <d v="2022-01-28T00:00:00"/>
    <d v="2022-02-16T00:00:00"/>
    <d v="2022-03-07T00:00:00"/>
    <s v="ERISERV, spol. s r.o."/>
    <m/>
    <n v="2184000"/>
    <n v="2642640"/>
    <m/>
    <m/>
    <m/>
    <d v="2022-03-07T00:00:00"/>
    <s v="SMLN-2022-612-000026"/>
    <x v="75"/>
  </r>
  <r>
    <d v="2022-01-14T00:00:00"/>
    <s v="VZ-2022-000062"/>
    <x v="3"/>
    <s v="Olejníček"/>
    <x v="127"/>
    <m/>
    <m/>
    <m/>
    <s v="38000000-5"/>
    <s v="2.2.420."/>
    <n v="1874500"/>
    <x v="0"/>
    <d v="2022-02-04T00:00:00"/>
    <d v="2022-03-11T00:00:00"/>
    <d v="2022-04-19T00:00:00"/>
    <s v="ROCHE s.r.o."/>
    <m/>
    <n v="3201054"/>
    <n v="3873275.34"/>
    <m/>
    <m/>
    <m/>
    <d v="2022-04-19T00:00:00"/>
    <s v="SMLN-2022-617-000261_x000a_SMLN-2022-612-000047_x000a_SMLN-2022-617-000262"/>
    <x v="76"/>
  </r>
  <r>
    <d v="2022-01-18T00:00:00"/>
    <s v="VZ-2022-000063"/>
    <x v="0"/>
    <s v="Valtová"/>
    <x v="128"/>
    <m/>
    <m/>
    <m/>
    <s v="33140000-3"/>
    <m/>
    <n v="867600"/>
    <x v="2"/>
    <d v="2022-01-24T00:00:00"/>
    <d v="2022-02-03T00:00:00"/>
    <d v="2022-02-14T00:00:00"/>
    <s v="MEDIAL spol. s r.o."/>
    <m/>
    <n v="867780"/>
    <n v="1050013.8"/>
    <m/>
    <m/>
    <m/>
    <d v="2022-02-14T00:00:00"/>
    <s v="SMLN-2022-617-000101_x000a_SMLN-2022-614-000022"/>
    <x v="34"/>
  </r>
  <r>
    <d v="2022-01-19T00:00:00"/>
    <s v="VZ-2022-000066"/>
    <x v="1"/>
    <s v="Ondráčková"/>
    <x v="129"/>
    <n v="1"/>
    <s v="LEVODOPA A INHIBITOR DEKARBOXYLASY"/>
    <m/>
    <s v="33661400-5"/>
    <m/>
    <n v="22413203"/>
    <x v="0"/>
    <d v="2022-01-21T00:00:00"/>
    <d v="2022-02-25T00:00:00"/>
    <d v="2022-03-16T00:00:00"/>
    <s v="PHOENIX lék.velkoobchod, s.r.o."/>
    <m/>
    <n v="22413173.829999998"/>
    <n v="24654491.210000001"/>
    <m/>
    <m/>
    <m/>
    <d v="2022-03-16T00:00:00"/>
    <s v="SMLN-2022-617-000171"/>
    <x v="53"/>
  </r>
  <r>
    <d v="2022-01-19T00:00:00"/>
    <s v="VZ-2022-000066"/>
    <x v="1"/>
    <s v="Ondráčková"/>
    <x v="129"/>
    <n v="2"/>
    <s v="ISICOM"/>
    <m/>
    <s v="33661400-5"/>
    <m/>
    <n v="1248946"/>
    <x v="0"/>
    <d v="2022-01-21T00:00:00"/>
    <d v="2022-02-25T00:00:00"/>
    <d v="2022-03-16T00:00:00"/>
    <s v="Alliance Healthcare s.r.o."/>
    <m/>
    <n v="1241191.8"/>
    <n v="1365310.98"/>
    <m/>
    <m/>
    <m/>
    <d v="2022-03-16T00:00:00"/>
    <s v="SMLN-2022-617-000172"/>
    <x v="47"/>
  </r>
  <r>
    <d v="2022-01-19T00:00:00"/>
    <s v="VZ-2022-000066"/>
    <x v="1"/>
    <s v="Ondráčková"/>
    <x v="129"/>
    <n v="3"/>
    <s v="NAKOM"/>
    <m/>
    <s v="33661400-5"/>
    <m/>
    <n v="621180"/>
    <x v="0"/>
    <d v="2022-01-21T00:00:00"/>
    <d v="2022-02-25T00:00:00"/>
    <d v="2022-03-16T00:00:00"/>
    <s v="Alliance Healthcare s.r.o."/>
    <m/>
    <n v="588714.30000000005"/>
    <n v="647585.73"/>
    <m/>
    <m/>
    <m/>
    <d v="2022-03-16T00:00:00"/>
    <s v="SMLN-2022-617-000173"/>
    <x v="47"/>
  </r>
  <r>
    <d v="2022-01-19T00:00:00"/>
    <s v="VZ-2022-000069"/>
    <x v="12"/>
    <s v="Kadlec "/>
    <x v="130"/>
    <m/>
    <m/>
    <m/>
    <s v="45430000-7"/>
    <m/>
    <n v="900000"/>
    <x v="2"/>
    <d v="2022-01-21T00:00:00"/>
    <d v="2022-02-03T00:00:00"/>
    <d v="2022-02-10T00:00:00"/>
    <s v="Stavona Olomouc s.r.o."/>
    <m/>
    <n v="721814.42"/>
    <n v="873395.45"/>
    <m/>
    <m/>
    <m/>
    <d v="2022-02-10T00:00:00"/>
    <s v="SMLN-2022-618-000011"/>
    <x v="40"/>
  </r>
  <r>
    <d v="2022-01-14T00:00:00"/>
    <s v="VZ-2022-000070"/>
    <x v="3"/>
    <s v="Olejníček"/>
    <x v="131"/>
    <m/>
    <m/>
    <m/>
    <s v="38000000-5"/>
    <s v="2.3.579; 2.3.581"/>
    <n v="26960656"/>
    <x v="0"/>
    <d v="2022-02-28T00:00:00"/>
    <d v="2022-04-12T00:00:00"/>
    <d v="2022-05-18T00:00:00"/>
    <s v="MEDESA s.r.o."/>
    <m/>
    <n v="26947768"/>
    <n v="32606799.280000001"/>
    <m/>
    <m/>
    <m/>
    <d v="2022-05-18T00:00:00"/>
    <s v="SMLN-2022-617-000365_x000a_SMLN-2022-612-000087_x000a_SMLN-2022-617-000366"/>
    <x v="77"/>
  </r>
  <r>
    <s v="opakovaná VZ"/>
    <s v="VZ-2022-000071"/>
    <x v="0"/>
    <s v="Valtová"/>
    <x v="132"/>
    <n v="1"/>
    <s v="Stenty biliární samoexpandibilní metalické pletené pro drenáž žlučových cest"/>
    <m/>
    <s v="33140000-3"/>
    <m/>
    <n v="5441800"/>
    <x v="0"/>
    <d v="2022-02-17T00:00:00"/>
    <d v="2022-03-23T00:00:00"/>
    <d v="2022-04-05T00:00:00"/>
    <s v="Boston Scientific Česká republika s.r.o."/>
    <m/>
    <n v="4965000"/>
    <n v="5709750"/>
    <m/>
    <m/>
    <m/>
    <d v="2022-04-05T00:00:00"/>
    <s v="SMLN-2022-617-000208_x000a_SMLN-2022-614-000035"/>
    <x v="78"/>
  </r>
  <r>
    <s v="opakovaná VZ"/>
    <s v="VZ-2022-000071"/>
    <x v="0"/>
    <s v="Valtová"/>
    <x v="132"/>
    <n v="2"/>
    <s v="Stenty biliární samoexpandibilní metalické k léčbě obstrukce žlučovodů I."/>
    <m/>
    <s v="33140000-3"/>
    <m/>
    <n v="1436240"/>
    <x v="0"/>
    <d v="2022-02-17T00:00:00"/>
    <d v="2022-03-23T00:00:00"/>
    <d v="2022-04-05T00:00:00"/>
    <s v="INLAB s.r.o."/>
    <m/>
    <n v="1419617.39"/>
    <n v="1632560"/>
    <m/>
    <m/>
    <m/>
    <d v="2022-04-05T00:00:00"/>
    <s v="SMLN-2022-617-000209_x000a_SMLN-2022-614-000036"/>
    <x v="60"/>
  </r>
  <r>
    <s v="opakovaná VZ"/>
    <s v="VZ-2022-000071"/>
    <x v="0"/>
    <s v="Valtová"/>
    <x v="132"/>
    <n v="3"/>
    <s v="Stenty biliární samoexpandibilní metalické k léčbě obstrukce žlučovodů II."/>
    <m/>
    <s v="33140000-3"/>
    <m/>
    <n v="538590"/>
    <x v="0"/>
    <d v="2022-02-17T00:00:00"/>
    <d v="2022-03-23T00:00:00"/>
    <d v="2022-04-05T00:00:00"/>
    <s v="INLAB s.r.o."/>
    <m/>
    <n v="476139.13"/>
    <n v="547560"/>
    <m/>
    <m/>
    <m/>
    <d v="2022-04-05T00:00:00"/>
    <s v="SMLN-2022-617-000210_x000a_SMLN-2022-614-000037"/>
    <x v="60"/>
  </r>
  <r>
    <d v="2022-01-18T00:00:00"/>
    <s v="VZ-2022-000077"/>
    <x v="0"/>
    <s v="Dočkalová"/>
    <x v="133"/>
    <m/>
    <m/>
    <m/>
    <s v="33140000-3"/>
    <m/>
    <n v="800640"/>
    <x v="2"/>
    <d v="2022-01-24T00:00:00"/>
    <d v="2022-02-14T00:00:00"/>
    <d v="2022-02-23T00:00:00"/>
    <s v="A.M.I. - Analytical Medical Instruments, s.r.o."/>
    <m/>
    <n v="890758.8"/>
    <n v="1077818"/>
    <m/>
    <m/>
    <m/>
    <d v="2022-02-23T00:00:00"/>
    <s v="SMLN-2022-617-000127"/>
    <x v="51"/>
  </r>
  <r>
    <d v="2022-01-20T00:00:00"/>
    <s v="VZ-2022-000082"/>
    <x v="9"/>
    <s v="Oravec"/>
    <x v="134"/>
    <m/>
    <m/>
    <m/>
    <s v="30213300-8"/>
    <m/>
    <n v="8100000"/>
    <x v="0"/>
    <d v="2022-01-27T00:00:00"/>
    <d v="2022-03-10T00:00:00"/>
    <d v="2022-04-07T00:00:00"/>
    <s v="TOPSOFT JKM spol. s r.o."/>
    <m/>
    <n v="7443552"/>
    <n v="9006697.9199999999"/>
    <m/>
    <m/>
    <m/>
    <d v="2022-04-07T00:00:00"/>
    <s v="SMLN-2022-617-000223"/>
    <x v="79"/>
  </r>
  <r>
    <d v="2022-01-18T00:00:00"/>
    <s v="VZ-2022-000086"/>
    <x v="3"/>
    <s v="Olejníček"/>
    <x v="135"/>
    <m/>
    <m/>
    <m/>
    <s v="38000000-5"/>
    <s v="2.2.416."/>
    <n v="704000"/>
    <x v="0"/>
    <d v="2022-02-14T00:00:00"/>
    <d v="2022-03-23T00:00:00"/>
    <d v="2022-04-11T00:00:00"/>
    <s v="ALOGO, s.r.o."/>
    <m/>
    <n v="721500"/>
    <n v="873015"/>
    <m/>
    <m/>
    <m/>
    <d v="2022-04-12T00:00:00"/>
    <s v="SMLN-2022-617-000236_x000a_SMLN-2022-612-000041"/>
    <x v="78"/>
  </r>
  <r>
    <s v="opakovaná VZ"/>
    <s v="VZ-2022-000087"/>
    <x v="4"/>
    <s v="Olejníček"/>
    <x v="136"/>
    <m/>
    <m/>
    <m/>
    <s v="33162100-4"/>
    <s v="2.2.348."/>
    <n v="1040500"/>
    <x v="2"/>
    <d v="2022-01-26T00:00:00"/>
    <d v="2022-02-03T00:00:00"/>
    <d v="2022-02-14T00:00:00"/>
    <s v="Surgipa Medical, spol. s r.o."/>
    <m/>
    <n v="1010012.93"/>
    <n v="1222115.67"/>
    <m/>
    <m/>
    <m/>
    <d v="2022-02-14T00:00:00"/>
    <s v="SMLN-2022-617-000096_x000a_SMLN-2022-612-000018_x000a_SMLN-2022-617-000097"/>
    <x v="16"/>
  </r>
  <r>
    <d v="2022-01-20T00:00:00"/>
    <s v="VZ-2022-000094"/>
    <x v="1"/>
    <s v="Ondráčková"/>
    <x v="137"/>
    <n v="1"/>
    <s v="CELLCEPT"/>
    <m/>
    <s v="33652300-7"/>
    <m/>
    <n v="1921804"/>
    <x v="0"/>
    <d v="2022-01-27T00:00:00"/>
    <d v="2022-03-31T00:00:00"/>
    <d v="2022-05-11T00:00:00"/>
    <s v="Alliance Healthcare s.r.o."/>
    <m/>
    <n v="1814616.93"/>
    <n v="1996078.62"/>
    <m/>
    <m/>
    <m/>
    <d v="2022-05-11T00:00:00"/>
    <s v="SMLN-2022-617-000339"/>
    <x v="6"/>
  </r>
  <r>
    <d v="2022-01-20T00:00:00"/>
    <s v="VZ-2022-000094"/>
    <x v="1"/>
    <s v="Ondráčková"/>
    <x v="137"/>
    <n v="2"/>
    <s v="MYCOPHENOLAT MOFETIL SANDOZ"/>
    <m/>
    <s v="33652300-7"/>
    <m/>
    <n v="6520862"/>
    <x v="0"/>
    <d v="2022-01-27T00:00:00"/>
    <d v="2022-03-31T00:00:00"/>
    <d v="2022-05-11T00:00:00"/>
    <s v="PHOENIX lék.velkoobchod, s.r.o."/>
    <m/>
    <n v="4806553.32"/>
    <n v="5287208.6500000004"/>
    <m/>
    <m/>
    <m/>
    <d v="2022-05-11T00:00:00"/>
    <s v="SMLN-2022-617-000340"/>
    <x v="80"/>
  </r>
  <r>
    <d v="2022-01-20T00:00:00"/>
    <s v="VZ-2022-000094"/>
    <x v="1"/>
    <s v="Ondráčková"/>
    <x v="137"/>
    <n v="3"/>
    <s v="MYCOPHENOLIC ACID ACCORD"/>
    <m/>
    <s v="33652300-7"/>
    <m/>
    <n v="8922"/>
    <x v="0"/>
    <d v="2022-01-27T00:00:00"/>
    <d v="2022-03-31T00:00:00"/>
    <d v="2022-06-29T00:00:00"/>
    <s v="ViaPharma s.r.o."/>
    <m/>
    <n v="6772.98"/>
    <n v="7450.28"/>
    <m/>
    <m/>
    <m/>
    <d v="2022-06-29T00:00:00"/>
    <s v="SMLN-2022-617-000446"/>
    <x v="81"/>
  </r>
  <r>
    <d v="2022-01-20T00:00:00"/>
    <s v="VZ-2022-000095"/>
    <x v="1"/>
    <s v="Ondráčková"/>
    <x v="138"/>
    <n v="1"/>
    <s v="SUNITINIB I."/>
    <m/>
    <s v="33652000-5"/>
    <m/>
    <n v="9448731"/>
    <x v="0"/>
    <d v="2022-02-10T00:00:00"/>
    <d v="2022-03-17T00:00:00"/>
    <m/>
    <s v="zrušeno - sloučení do 1 části"/>
    <s v="nová VZ-2022-000426"/>
    <m/>
    <m/>
    <m/>
    <m/>
    <m/>
    <m/>
    <m/>
    <x v="4"/>
  </r>
  <r>
    <d v="2022-01-20T00:00:00"/>
    <s v="VZ-2022-000095"/>
    <x v="1"/>
    <s v="Ondráčková"/>
    <x v="138"/>
    <n v="2"/>
    <s v="SUNITINIB II."/>
    <m/>
    <s v="33652000-5"/>
    <m/>
    <n v="2456505"/>
    <x v="0"/>
    <d v="2022-02-10T00:00:00"/>
    <d v="2022-03-17T00:00:00"/>
    <m/>
    <s v="zrušeno - sloučení do 1 části"/>
    <s v="nová VZ-2022-000426"/>
    <m/>
    <m/>
    <m/>
    <m/>
    <m/>
    <m/>
    <m/>
    <x v="4"/>
  </r>
  <r>
    <d v="2022-01-20T00:00:00"/>
    <s v="VZ-2022-000095"/>
    <x v="1"/>
    <s v="Ondráčková"/>
    <x v="138"/>
    <n v="3"/>
    <s v="REGORAFENIB"/>
    <m/>
    <s v="33652000-5"/>
    <m/>
    <n v="15520350"/>
    <x v="0"/>
    <d v="2022-02-10T00:00:00"/>
    <d v="2022-03-17T00:00:00"/>
    <m/>
    <s v="zrušeno - překročení ceny"/>
    <s v="nová VZ-2022-000426"/>
    <m/>
    <m/>
    <m/>
    <m/>
    <m/>
    <m/>
    <m/>
    <x v="4"/>
  </r>
  <r>
    <d v="2022-01-20T00:00:00"/>
    <s v="VZ-2022-000095"/>
    <x v="1"/>
    <s v="Ondráčková"/>
    <x v="138"/>
    <n v="4"/>
    <s v="RIBOCIKLIB"/>
    <m/>
    <s v="33652000-5"/>
    <m/>
    <n v="41150168"/>
    <x v="0"/>
    <d v="2022-02-10T00:00:00"/>
    <d v="2022-03-17T00:00:00"/>
    <d v="2022-04-07T00:00:00"/>
    <s v="Alliance Healthcare s.r.o."/>
    <m/>
    <n v="41150167.560000002"/>
    <n v="45265184.32"/>
    <m/>
    <m/>
    <m/>
    <d v="2022-04-07T00:00:00"/>
    <s v="SMLN-2022-617-000225"/>
    <x v="60"/>
  </r>
  <r>
    <d v="2022-01-20T00:00:00"/>
    <s v="VZ-2022-000095"/>
    <x v="1"/>
    <s v="Ondráčková"/>
    <x v="138"/>
    <n v="5"/>
    <s v="IBRUTINIB"/>
    <m/>
    <s v="33652000-5"/>
    <m/>
    <n v="205485377"/>
    <x v="0"/>
    <d v="2022-02-10T00:00:00"/>
    <d v="2022-03-17T00:00:00"/>
    <d v="2022-04-07T00:00:00"/>
    <s v="Janssen-Cilag s.r.o."/>
    <m/>
    <n v="205485376.5"/>
    <n v="226033914.15000001"/>
    <m/>
    <m/>
    <m/>
    <d v="2022-04-07T00:00:00"/>
    <s v="SMLN-2022-617-000226"/>
    <x v="82"/>
  </r>
  <r>
    <d v="2022-01-20T00:00:00"/>
    <s v="VZ-2022-000095"/>
    <x v="1"/>
    <s v="Ondráčková"/>
    <x v="138"/>
    <n v="6"/>
    <s v="OSIMERTINIB"/>
    <m/>
    <s v="33652000-5"/>
    <m/>
    <n v="31486185"/>
    <x v="0"/>
    <d v="2022-02-10T00:00:00"/>
    <d v="2022-03-17T00:00:00"/>
    <d v="2022-04-07T00:00:00"/>
    <s v="PHOENIX lék.velkoobchod, s.r.o."/>
    <m/>
    <n v="31486184.52"/>
    <n v="34634802.969999999"/>
    <m/>
    <m/>
    <m/>
    <d v="2022-04-07T00:00:00"/>
    <s v="SMLN-2022-617-000227"/>
    <x v="83"/>
  </r>
  <r>
    <d v="2022-01-20T00:00:00"/>
    <s v="VZ-2022-000095"/>
    <x v="1"/>
    <s v="Ondráčková"/>
    <x v="138"/>
    <n v="7"/>
    <s v="DASATINIB"/>
    <m/>
    <s v="33652000-5"/>
    <m/>
    <n v="47284071"/>
    <x v="0"/>
    <d v="2022-02-10T00:00:00"/>
    <d v="2022-03-17T00:00:00"/>
    <d v="2022-04-07T00:00:00"/>
    <s v="PHARMOS, a.s., a.s."/>
    <m/>
    <n v="37969450.5"/>
    <n v="41766395.549999997"/>
    <m/>
    <m/>
    <m/>
    <d v="2022-04-07T00:00:00"/>
    <s v="SMLN-2022-617-000228"/>
    <x v="84"/>
  </r>
  <r>
    <d v="2022-01-20T00:00:00"/>
    <s v="VZ-2022-000096"/>
    <x v="1"/>
    <s v="Ondráčková"/>
    <x v="139"/>
    <n v="1"/>
    <s v="USTEKINUMAB"/>
    <m/>
    <s v="33652300-8"/>
    <m/>
    <n v="9541029"/>
    <x v="0"/>
    <d v="2022-02-11T00:00:00"/>
    <d v="2022-03-17T00:00:00"/>
    <d v="2022-04-25T00:00:00"/>
    <s v="Janssen-Cilag s.r.o."/>
    <m/>
    <n v="9523882.1199999992"/>
    <n v="10476270.33"/>
    <m/>
    <m/>
    <m/>
    <d v="2022-04-25T00:00:00"/>
    <s v="SMLN-2022-617-000281"/>
    <x v="3"/>
  </r>
  <r>
    <d v="2022-01-20T00:00:00"/>
    <s v="VZ-2022-000096"/>
    <x v="1"/>
    <s v="Ondráčková"/>
    <x v="139"/>
    <n v="2"/>
    <s v="TOCILIZUMAB"/>
    <m/>
    <s v="33652300-8"/>
    <m/>
    <n v="6507173"/>
    <x v="0"/>
    <d v="2022-02-11T00:00:00"/>
    <d v="2022-03-17T00:00:00"/>
    <d v="2022-04-25T00:00:00"/>
    <s v="ROCHE s.r.o."/>
    <m/>
    <n v="4917213.5999999996"/>
    <n v="5408934.96"/>
    <m/>
    <m/>
    <m/>
    <d v="2022-04-25T00:00:00"/>
    <s v="SMLN-2022-617-000282"/>
    <x v="85"/>
  </r>
  <r>
    <d v="2022-01-20T00:00:00"/>
    <s v="VZ-2022-000096"/>
    <x v="1"/>
    <s v="Ondráčková"/>
    <x v="139"/>
    <n v="3"/>
    <s v="SEKUKINUMAB"/>
    <m/>
    <s v="33652300-8"/>
    <m/>
    <n v="50133510"/>
    <x v="0"/>
    <d v="2022-02-11T00:00:00"/>
    <d v="2022-03-17T00:00:00"/>
    <d v="2022-04-25T00:00:00"/>
    <s v="Alliance Healthcare s.r.o."/>
    <m/>
    <n v="50133510"/>
    <n v="55146861"/>
    <m/>
    <m/>
    <m/>
    <d v="2022-04-25T00:00:00"/>
    <s v="SMLN-2022-617-000283"/>
    <x v="3"/>
  </r>
  <r>
    <d v="2022-01-20T00:00:00"/>
    <s v="VZ-2022-000096"/>
    <x v="1"/>
    <s v="Ondráčková"/>
    <x v="139"/>
    <n v="4"/>
    <s v="GUSELKUMAB"/>
    <m/>
    <s v="33652300-8"/>
    <m/>
    <n v="5930067"/>
    <x v="0"/>
    <d v="2022-02-11T00:00:00"/>
    <d v="2022-04-04T00:00:00"/>
    <d v="2022-04-25T00:00:00"/>
    <s v="Janssen-Cilag s.r.o."/>
    <m/>
    <n v="5929921.4400000004"/>
    <n v="6522913.5800000001"/>
    <m/>
    <m/>
    <m/>
    <d v="2022-04-25T00:00:00"/>
    <s v="SMLN-2022-617-000284"/>
    <x v="3"/>
  </r>
  <r>
    <d v="2022-01-20T00:00:00"/>
    <s v="VZ-2022-000097"/>
    <x v="0"/>
    <s v="Valtová"/>
    <x v="140"/>
    <m/>
    <m/>
    <m/>
    <s v="33140000-3"/>
    <m/>
    <n v="10268180"/>
    <x v="0"/>
    <d v="2022-01-27T00:00:00"/>
    <d v="2022-03-01T00:00:00"/>
    <d v="2022-03-25T00:00:00"/>
    <s v="CARDION s.r.o."/>
    <m/>
    <n v="10267768.59"/>
    <n v="12424000"/>
    <m/>
    <m/>
    <m/>
    <d v="2022-03-25T00:00:00"/>
    <s v="SMLN-2022-617-000197_x000a_SMLN-2022-614-000033"/>
    <x v="58"/>
  </r>
  <r>
    <d v="2022-01-25T00:00:00"/>
    <s v="VZ-2022-000098"/>
    <x v="1"/>
    <s v="Ondráčková"/>
    <x v="141"/>
    <n v="1"/>
    <s v="Imunoglobulín normální lidský"/>
    <m/>
    <s v="33651520-8"/>
    <m/>
    <n v="115345800"/>
    <x v="0"/>
    <d v="2022-03-04T00:00:00"/>
    <d v="2022-04-08T00:00:00"/>
    <d v="2022-04-29T00:00:00"/>
    <s v="Grifols s.r.o."/>
    <m/>
    <n v="115345800"/>
    <n v="126880380"/>
    <m/>
    <m/>
    <m/>
    <d v="2022-05-02T00:00:00"/>
    <s v="SMLN-2022-617-000301"/>
    <x v="72"/>
  </r>
  <r>
    <d v="2022-01-25T00:00:00"/>
    <s v="VZ-2022-000098"/>
    <x v="1"/>
    <s v="Ondráčková"/>
    <x v="141"/>
    <n v="2"/>
    <s v="APOMORFIN"/>
    <m/>
    <s v="33661400-5"/>
    <m/>
    <n v="9203094"/>
    <x v="0"/>
    <d v="2022-03-04T00:00:00"/>
    <d v="2022-04-08T00:00:00"/>
    <d v="2022-04-29T00:00:00"/>
    <s v="PHOENIX lék.velkoobchod, s.r.o."/>
    <m/>
    <n v="9121158"/>
    <n v="10033273.800000001"/>
    <m/>
    <m/>
    <m/>
    <d v="2022-05-02T00:00:00"/>
    <s v="SMLN-2022-617-000302"/>
    <x v="86"/>
  </r>
  <r>
    <d v="2022-01-25T00:00:00"/>
    <s v="VZ-2022-000098"/>
    <x v="1"/>
    <s v="Ondráčková"/>
    <x v="141"/>
    <n v="3"/>
    <s v="ROTIGOTIN"/>
    <m/>
    <s v="33661400-5"/>
    <m/>
    <n v="2992096"/>
    <x v="0"/>
    <d v="2022-03-04T00:00:00"/>
    <d v="2022-04-08T00:00:00"/>
    <d v="2022-04-29T00:00:00"/>
    <s v="PHOENIX lék.velkoobchod, s.r.o."/>
    <m/>
    <n v="2964859.44"/>
    <n v="3261345.38"/>
    <m/>
    <m/>
    <m/>
    <d v="2022-05-02T00:00:00"/>
    <s v="SMLN-2022-617-000303"/>
    <x v="86"/>
  </r>
  <r>
    <d v="2022-01-25T00:00:00"/>
    <s v="VZ-2022-000099"/>
    <x v="1"/>
    <s v="Ondráčková"/>
    <x v="142"/>
    <n v="1"/>
    <s v="VENETOKLAX"/>
    <m/>
    <s v="33652300-8"/>
    <m/>
    <n v="74890199"/>
    <x v="0"/>
    <d v="2022-01-28T00:00:00"/>
    <d v="2022-04-08T00:00:00"/>
    <d v="2022-05-04T00:00:00"/>
    <s v="AbbVie s.r.o."/>
    <m/>
    <n v="72916344.629999995"/>
    <n v="80207979.090000004"/>
    <m/>
    <m/>
    <m/>
    <d v="2022-05-04T00:00:00"/>
    <s v="SMLN-2022-617-000317"/>
    <x v="87"/>
  </r>
  <r>
    <d v="2022-01-25T00:00:00"/>
    <s v="VZ-2022-000099"/>
    <x v="1"/>
    <s v="Ondráčková"/>
    <x v="142"/>
    <n v="2"/>
    <s v="VISMODEGIB"/>
    <m/>
    <s v="33652300-8"/>
    <m/>
    <n v="10270085"/>
    <x v="0"/>
    <d v="2022-01-28T00:00:00"/>
    <d v="2022-04-08T00:00:00"/>
    <d v="2022-05-04T00:00:00"/>
    <s v="ROCHE s.r.o."/>
    <m/>
    <n v="10270084.199999999"/>
    <n v="11297092.619999999"/>
    <m/>
    <m/>
    <m/>
    <d v="2022-05-04T00:00:00"/>
    <s v="SMLN-2022-617-000318"/>
    <x v="86"/>
  </r>
  <r>
    <d v="2022-01-25T00:00:00"/>
    <s v="VZ-2022-000100"/>
    <x v="1"/>
    <s v="Ondráčková"/>
    <x v="143"/>
    <m/>
    <m/>
    <m/>
    <s v="33652000-5"/>
    <m/>
    <n v="89205210"/>
    <x v="0"/>
    <d v="2022-02-01T00:00:00"/>
    <d v="2022-04-20T00:00:00"/>
    <d v="2022-05-18T00:00:00"/>
    <s v="Teva Pharmaceuticals CR s.r.o."/>
    <m/>
    <n v="87429210.840000004"/>
    <n v="96172131.920000002"/>
    <m/>
    <m/>
    <m/>
    <d v="2022-05-18T00:00:00"/>
    <s v="SMLN-2022-617-000363"/>
    <x v="77"/>
  </r>
  <r>
    <d v="2022-01-25T00:00:00"/>
    <s v="VZ-2022-000101"/>
    <x v="1"/>
    <s v="Ondráčková"/>
    <x v="144"/>
    <n v="1"/>
    <s v="PAZOPANIB"/>
    <m/>
    <s v="33652000-5"/>
    <m/>
    <n v="11675518"/>
    <x v="0"/>
    <d v="2022-02-01T00:00:00"/>
    <d v="2022-04-04T00:00:00"/>
    <d v="2022-04-25T00:00:00"/>
    <s v="Alliance Healthcare s.r.o."/>
    <m/>
    <n v="11143974.27"/>
    <n v="12258371.699999999"/>
    <m/>
    <m/>
    <m/>
    <d v="2022-04-25T00:00:00"/>
    <s v="SMLN-2022-617-000275"/>
    <x v="3"/>
  </r>
  <r>
    <d v="2022-01-25T00:00:00"/>
    <s v="VZ-2022-000101"/>
    <x v="1"/>
    <s v="Ondráčková"/>
    <x v="144"/>
    <n v="2"/>
    <s v="EVEROLIMUS I."/>
    <m/>
    <s v="33652000-5"/>
    <m/>
    <n v="1238874"/>
    <x v="0"/>
    <d v="2022-02-01T00:00:00"/>
    <d v="2022-03-09T00:00:00"/>
    <m/>
    <s v="zrušeno - přiznaná úhrada od 5/2022, noví dodavatelé"/>
    <m/>
    <m/>
    <m/>
    <m/>
    <m/>
    <m/>
    <m/>
    <m/>
    <x v="4"/>
  </r>
  <r>
    <d v="2022-01-25T00:00:00"/>
    <s v="VZ-2022-000101"/>
    <x v="1"/>
    <s v="Ondráčková"/>
    <x v="144"/>
    <n v="3"/>
    <s v="EVEROLIMUS II."/>
    <m/>
    <s v="33652000-5"/>
    <m/>
    <n v="12593410"/>
    <x v="0"/>
    <d v="2022-02-01T00:00:00"/>
    <d v="2022-04-04T00:00:00"/>
    <d v="2022-04-25T00:00:00"/>
    <s v="Alliance Healthcare s.r.o."/>
    <m/>
    <n v="12593409.75"/>
    <n v="13852750.73"/>
    <m/>
    <m/>
    <m/>
    <d v="2022-04-25T00:00:00"/>
    <s v="SMLN-2022-617-000276"/>
    <x v="3"/>
  </r>
  <r>
    <d v="2022-01-25T00:00:00"/>
    <s v="VZ-2022-000101"/>
    <x v="1"/>
    <s v="Ondráčková"/>
    <x v="144"/>
    <n v="4"/>
    <s v="NILOTINIB"/>
    <m/>
    <s v="33652000-5"/>
    <m/>
    <n v="37525592"/>
    <x v="0"/>
    <d v="2022-02-01T00:00:00"/>
    <d v="2022-04-04T00:00:00"/>
    <d v="2022-04-25T00:00:00"/>
    <s v="Alliance Healthcare s.r.o."/>
    <m/>
    <n v="37104570.990000002"/>
    <n v="40815028.090000004"/>
    <m/>
    <m/>
    <m/>
    <d v="2022-04-25T00:00:00"/>
    <s v="SMLN-2022-617-000277"/>
    <x v="3"/>
  </r>
  <r>
    <d v="2022-01-25T00:00:00"/>
    <s v="VZ-2022-000101"/>
    <x v="1"/>
    <s v="Ondráčková"/>
    <x v="144"/>
    <n v="5"/>
    <s v="VEMURAFENIB"/>
    <m/>
    <s v="33652000-5"/>
    <m/>
    <n v="2325983"/>
    <x v="0"/>
    <d v="2022-02-01T00:00:00"/>
    <d v="2022-04-04T00:00:00"/>
    <d v="2022-04-25T00:00:00"/>
    <s v="ROCHE s.r.o."/>
    <m/>
    <n v="2325982.5"/>
    <n v="2558580.75"/>
    <m/>
    <m/>
    <m/>
    <d v="2022-04-25T00:00:00"/>
    <s v="SMLN-2022-617-000278"/>
    <x v="85"/>
  </r>
  <r>
    <d v="2022-01-25T00:00:00"/>
    <s v="VZ-2022-000101"/>
    <x v="1"/>
    <s v="Ondráčková"/>
    <x v="144"/>
    <n v="6"/>
    <s v="LAPATINIB"/>
    <m/>
    <s v="33652000-5"/>
    <m/>
    <n v="1165687"/>
    <x v="0"/>
    <d v="2022-02-01T00:00:00"/>
    <d v="2022-04-04T00:00:00"/>
    <d v="2022-04-25T00:00:00"/>
    <s v="Alliance Healthcare s.r.o."/>
    <m/>
    <n v="1165686.6000000001"/>
    <n v="1282255.26"/>
    <m/>
    <m/>
    <m/>
    <d v="2022-04-25T00:00:00"/>
    <s v="SMLN-2022-617-000279"/>
    <x v="3"/>
  </r>
  <r>
    <d v="2022-01-25T00:00:00"/>
    <s v="VZ-2022-000101"/>
    <x v="1"/>
    <s v="Ondráčková"/>
    <x v="144"/>
    <n v="7"/>
    <s v="AXITINIB"/>
    <m/>
    <s v="33652000-5"/>
    <m/>
    <n v="4753191"/>
    <x v="0"/>
    <d v="2022-02-01T00:00:00"/>
    <d v="2022-04-04T00:00:00"/>
    <d v="2022-04-25T00:00:00"/>
    <s v="PHOENIX lék.velkoobchod, s.r.o."/>
    <m/>
    <n v="3435314.46"/>
    <n v="3778845.91"/>
    <m/>
    <m/>
    <m/>
    <d v="2022-04-25T00:00:00"/>
    <s v="SMLN-2022-617-000280"/>
    <x v="86"/>
  </r>
  <r>
    <d v="2022-01-25T00:00:00"/>
    <s v="VZ-2022-000102"/>
    <x v="1"/>
    <s v="Ondráčková"/>
    <x v="145"/>
    <n v="1"/>
    <s v="OBINUTUZUMAB"/>
    <m/>
    <s v="33652000-5"/>
    <m/>
    <n v="19520763"/>
    <x v="0"/>
    <d v="2022-01-28T00:00:00"/>
    <d v="2022-04-11T00:00:00"/>
    <d v="2022-04-29T00:00:00"/>
    <s v="ROCHE s.r.o."/>
    <m/>
    <n v="15973472.4"/>
    <n v="17570819.640000001"/>
    <m/>
    <m/>
    <m/>
    <d v="2022-05-02T00:00:00"/>
    <s v="SMLN-2022-617-000304"/>
    <x v="88"/>
  </r>
  <r>
    <d v="2022-01-25T00:00:00"/>
    <s v="VZ-2022-000102"/>
    <x v="1"/>
    <s v="Ondráčková"/>
    <x v="145"/>
    <n v="2"/>
    <s v="PERTUZUMAB"/>
    <m/>
    <s v="33652000-5"/>
    <m/>
    <n v="106560000"/>
    <x v="0"/>
    <d v="2022-01-28T00:00:00"/>
    <d v="2022-04-11T00:00:00"/>
    <d v="2022-04-29T00:00:00"/>
    <s v="ROCHE s.r.o."/>
    <m/>
    <n v="66327561.600000001"/>
    <n v="72960317.760000005"/>
    <m/>
    <m/>
    <m/>
    <d v="2022-05-02T00:00:00"/>
    <s v="SMLN-2022-617-000305"/>
    <x v="88"/>
  </r>
  <r>
    <d v="2022-01-25T00:00:00"/>
    <s v="VZ-2022-000102"/>
    <x v="1"/>
    <s v="Ondráčková"/>
    <x v="145"/>
    <n v="3"/>
    <s v="TRASTUZUMAB EMTANSIN"/>
    <m/>
    <s v="33652000-5"/>
    <m/>
    <n v="35402466"/>
    <x v="0"/>
    <d v="2022-01-28T00:00:00"/>
    <d v="2022-04-11T00:00:00"/>
    <d v="2022-04-29T00:00:00"/>
    <s v="ROCHE s.r.o."/>
    <m/>
    <n v="34568473"/>
    <n v="38025320.850000001"/>
    <m/>
    <m/>
    <m/>
    <d v="2022-05-02T00:00:00"/>
    <s v="SMLN-2022-617-000306"/>
    <x v="88"/>
  </r>
  <r>
    <d v="2022-01-25T00:00:00"/>
    <s v="VZ-2022-000102"/>
    <x v="1"/>
    <s v="Ondráčková"/>
    <x v="145"/>
    <n v="4"/>
    <s v="IPILIMUMAB"/>
    <m/>
    <s v="33652000-5"/>
    <m/>
    <n v="51429393"/>
    <x v="0"/>
    <d v="2022-01-28T00:00:00"/>
    <d v="2022-04-11T00:00:00"/>
    <m/>
    <s v="zrušeno - bez nabídky"/>
    <m/>
    <m/>
    <m/>
    <m/>
    <m/>
    <m/>
    <m/>
    <m/>
    <x v="4"/>
  </r>
  <r>
    <d v="2022-01-25T00:00:00"/>
    <s v="VZ-2022-000102"/>
    <x v="1"/>
    <s v="Ondráčková"/>
    <x v="145"/>
    <n v="5"/>
    <s v="BRENTUXIMAB VEDOTIN"/>
    <m/>
    <s v="33652000-5"/>
    <m/>
    <n v="34138003"/>
    <x v="0"/>
    <d v="2022-01-28T00:00:00"/>
    <d v="2022-04-11T00:00:00"/>
    <d v="2022-04-29T00:00:00"/>
    <s v="Takeda Pharmaceuticals Czech Republic s.r.o."/>
    <m/>
    <n v="33074959.32"/>
    <n v="36382455.25"/>
    <m/>
    <m/>
    <m/>
    <d v="2022-05-02T00:00:00"/>
    <s v="SMLN-2022-617-000307"/>
    <x v="83"/>
  </r>
  <r>
    <d v="2022-01-25T00:00:00"/>
    <s v="VZ-2022-000103"/>
    <x v="1"/>
    <s v="Ondráčková"/>
    <x v="146"/>
    <n v="1"/>
    <s v="ATEZOLIZUMAB"/>
    <m/>
    <s v="33652000-5"/>
    <m/>
    <n v="29582336"/>
    <x v="0"/>
    <d v="2022-01-31T00:00:00"/>
    <d v="2022-04-08T00:00:00"/>
    <d v="2022-05-17T00:00:00"/>
    <s v="ROCHE s.r.o."/>
    <m/>
    <n v="29582335.199999999"/>
    <n v="32540568.719999999"/>
    <m/>
    <m/>
    <m/>
    <d v="2022-05-17T00:00:00"/>
    <s v="SMLN-2022-617-000355"/>
    <x v="38"/>
  </r>
  <r>
    <d v="2022-01-25T00:00:00"/>
    <s v="VZ-2022-000103"/>
    <x v="1"/>
    <s v="Ondráčková"/>
    <x v="146"/>
    <n v="2"/>
    <s v="DARATUMUMAB"/>
    <m/>
    <s v="33652000-5"/>
    <m/>
    <n v="117115400"/>
    <x v="0"/>
    <d v="2022-01-31T00:00:00"/>
    <d v="2022-04-08T00:00:00"/>
    <d v="2022-05-17T00:00:00"/>
    <s v="Janssen-Cilag s.r.o."/>
    <m/>
    <n v="117115399.26000001"/>
    <n v="128826939.19"/>
    <m/>
    <m/>
    <m/>
    <d v="2022-05-17T00:00:00"/>
    <s v="SMLN-2022-617-000356"/>
    <x v="72"/>
  </r>
  <r>
    <d v="2022-01-25T00:00:00"/>
    <s v="VZ-2022-000104"/>
    <x v="1"/>
    <s v="Ondráčková"/>
    <x v="147"/>
    <m/>
    <m/>
    <m/>
    <s v="33661000-1"/>
    <m/>
    <n v="95276076"/>
    <x v="0"/>
    <d v="2022-02-11T00:00:00"/>
    <d v="2022-03-17T00:00:00"/>
    <d v="2022-04-07T00:00:00"/>
    <s v="PHOENIX lék.velkoobchod, s.r.o."/>
    <m/>
    <n v="89921632.799999997"/>
    <n v="98913796.079999998"/>
    <m/>
    <m/>
    <m/>
    <d v="2022-04-07T00:00:00"/>
    <s v="SMLN-2022-617-000224"/>
    <x v="86"/>
  </r>
  <r>
    <s v="opakovaná VZ"/>
    <s v="VZ-2022-000105"/>
    <x v="4"/>
    <s v="Olejníček"/>
    <x v="148"/>
    <m/>
    <m/>
    <m/>
    <s v="33190000-8"/>
    <s v="2.3.468."/>
    <n v="74000"/>
    <x v="2"/>
    <d v="2022-02-09T00:00:00"/>
    <d v="2022-02-28T00:00:00"/>
    <m/>
    <s v="zrušeno - bez nabídky"/>
    <s v="nová VZ-2022-000405"/>
    <m/>
    <m/>
    <m/>
    <m/>
    <m/>
    <m/>
    <m/>
    <x v="4"/>
  </r>
  <r>
    <s v="převod z roku 2021"/>
    <s v="VZ-2022-000106"/>
    <x v="3"/>
    <s v="Rosulek"/>
    <x v="149"/>
    <n v="1"/>
    <s v="Intenzivní lůžka a vážicí lůžka s antidekubitními matracemi"/>
    <m/>
    <s v="33192120-9"/>
    <s v="2.3.517.,2.3.456.,2.2.260."/>
    <n v="4639115"/>
    <x v="0"/>
    <d v="2022-01-28T00:00:00"/>
    <d v="2022-03-03T00:00:00"/>
    <d v="2022-04-19T00:00:00"/>
    <s v="LINET spol. s r.o."/>
    <m/>
    <n v="5612603"/>
    <n v="6467237.4500000002"/>
    <m/>
    <m/>
    <m/>
    <d v="2022-04-19T00:00:00"/>
    <s v="SMLN-2022-617-000257_x000a_SMLN-2022-617-000258_x000a_SMLN-2022-612-000043_x000a_SMLN-2022-612-000044"/>
    <x v="78"/>
  </r>
  <r>
    <s v="převod z roku 2021"/>
    <s v="VZ-2022-000106"/>
    <x v="4"/>
    <s v="Rosulek"/>
    <x v="149"/>
    <n v="2"/>
    <s v="Univerzální elektrická lůžka"/>
    <m/>
    <s v="33192130-2"/>
    <s v="2.2.414."/>
    <n v="1230000"/>
    <x v="0"/>
    <d v="2022-01-28T00:00:00"/>
    <d v="2022-03-03T00:00:00"/>
    <d v="2022-04-19T00:00:00"/>
    <s v="PROMA REHA, s.r.o."/>
    <m/>
    <n v="1173543.42"/>
    <n v="1355289.93"/>
    <m/>
    <m/>
    <m/>
    <d v="2022-04-19T00:00:00"/>
    <s v="SMLN-2022-617-000259_x000a_SMLN-2022-612-000045"/>
    <x v="67"/>
  </r>
  <r>
    <s v="převod z roku 2021"/>
    <s v="VZ-2022-000106"/>
    <x v="3"/>
    <s v="Rosulek"/>
    <x v="149"/>
    <n v="3"/>
    <s v="Komfortní transportní vícesegmentová lehátka"/>
    <m/>
    <s v="33192160-1"/>
    <s v="2.3.528.,2.2.157."/>
    <n v="882167"/>
    <x v="0"/>
    <d v="2022-01-28T00:00:00"/>
    <d v="2022-03-03T00:00:00"/>
    <m/>
    <s v="zrušeno - neakceptovatelná pořizovací cena"/>
    <s v="nová VZ-2022-000520"/>
    <m/>
    <m/>
    <m/>
    <m/>
    <m/>
    <m/>
    <m/>
    <x v="4"/>
  </r>
  <r>
    <s v="převod z roku 2021"/>
    <s v="VZ-2022-000109"/>
    <x v="3"/>
    <s v="Olejníček"/>
    <x v="150"/>
    <n v="1"/>
    <s v="Laboratorní mikroskopy   "/>
    <m/>
    <s v="38634000-8 "/>
    <s v="2.3.569."/>
    <n v="1786211"/>
    <x v="0"/>
    <d v="2022-01-27T00:00:00"/>
    <d v="2022-03-02T00:00:00"/>
    <m/>
    <s v="zrušeno - překročení ceny servisu"/>
    <s v="nová VZ-2022-000293"/>
    <m/>
    <m/>
    <m/>
    <m/>
    <m/>
    <m/>
    <m/>
    <x v="4"/>
  </r>
  <r>
    <s v="převod z roku 2021"/>
    <s v="VZ-2022-000109"/>
    <x v="3"/>
    <s v="Olejníček"/>
    <x v="150"/>
    <n v="2"/>
    <s v="Inverzní optický mikroskop"/>
    <m/>
    <s v="38634000-8 "/>
    <m/>
    <n v="102536"/>
    <x v="0"/>
    <d v="2022-01-27T00:00:00"/>
    <d v="2022-03-02T00:00:00"/>
    <d v="2022-03-22T00:00:00"/>
    <s v="Sven BioLabs s.r.o."/>
    <m/>
    <n v="111187"/>
    <n v="134536.26999999999"/>
    <m/>
    <m/>
    <m/>
    <d v="2022-03-22T00:00:00"/>
    <s v="SMLN-2022-617-000191_x000a_SMLN-2022-612-000030"/>
    <x v="82"/>
  </r>
  <r>
    <s v="převod z roku 2021"/>
    <s v="VZ-2022-000109"/>
    <x v="4"/>
    <s v="Olejníček"/>
    <x v="150"/>
    <n v="3"/>
    <s v="Mikroskop pro III. Inetrní kliniku"/>
    <m/>
    <s v="38634000-8 "/>
    <m/>
    <n v="195162"/>
    <x v="0"/>
    <d v="2022-01-27T00:00:00"/>
    <d v="2022-03-02T00:00:00"/>
    <m/>
    <s v="zrušeno - překročení ceny servisu"/>
    <s v="nová VZ-2022-000293"/>
    <m/>
    <m/>
    <m/>
    <m/>
    <m/>
    <m/>
    <m/>
    <x v="4"/>
  </r>
  <r>
    <d v="2022-01-20T00:00:00"/>
    <s v="VZ-2022-000110"/>
    <x v="0"/>
    <s v="Dočkalová"/>
    <x v="151"/>
    <m/>
    <m/>
    <m/>
    <s v="33140000-3"/>
    <m/>
    <n v="25325528"/>
    <x v="0"/>
    <d v="2022-02-04T00:00:00"/>
    <d v="2022-03-08T00:00:00"/>
    <d v="2022-05-03T00:00:00"/>
    <s v="B. Braun Medical s.r.o."/>
    <m/>
    <n v="25325528"/>
    <n v="30643889.030000001"/>
    <m/>
    <m/>
    <m/>
    <d v="2022-05-03T00:00:00"/>
    <s v="SMLN-2022-617-000313_x000a_SMLN-2022-616-000019"/>
    <x v="89"/>
  </r>
  <r>
    <d v="2022-01-24T00:00:00"/>
    <s v="VZ-2022-000115"/>
    <x v="3"/>
    <s v="Olejníček"/>
    <x v="152"/>
    <m/>
    <m/>
    <m/>
    <s v="33186000-7"/>
    <s v="2.2.400."/>
    <n v="4372304"/>
    <x v="0"/>
    <d v="2022-02-18T00:00:00"/>
    <d v="2022-03-25T00:00:00"/>
    <m/>
    <s v="zrušeno - bez hodnotitelné nabídky"/>
    <s v="nová VZ-2022-000384"/>
    <m/>
    <m/>
    <m/>
    <m/>
    <m/>
    <m/>
    <m/>
    <x v="4"/>
  </r>
  <r>
    <d v="2022-01-26T00:00:00"/>
    <s v="VZ-2022-000120"/>
    <x v="3"/>
    <s v="Olejníček"/>
    <x v="153"/>
    <m/>
    <m/>
    <m/>
    <s v="38000000-5"/>
    <s v="2.2.424, 2.3.585."/>
    <n v="764000"/>
    <x v="0"/>
    <d v="2022-02-18T00:00:00"/>
    <d v="2022-03-24T00:00:00"/>
    <d v="2022-04-28T00:00:00"/>
    <s v="TRIGON PLUS s.r.o."/>
    <m/>
    <n v="808300"/>
    <n v="978043"/>
    <m/>
    <m/>
    <m/>
    <d v="2022-04-28T00:00:00"/>
    <s v="SMLN-2022-617-000291_x000a_SMLN-2022-612-000056"/>
    <x v="77"/>
  </r>
  <r>
    <d v="2022-01-27T00:00:00"/>
    <s v="VZ-2022-000121"/>
    <x v="3"/>
    <s v="Olejníček"/>
    <x v="154"/>
    <m/>
    <m/>
    <m/>
    <s v="38000000-5"/>
    <s v="2.3.570."/>
    <n v="469000"/>
    <x v="0"/>
    <d v="2022-02-18T00:00:00"/>
    <d v="2022-03-25T00:00:00"/>
    <d v="2022-04-28T00:00:00"/>
    <s v="TRIGON PLUS s.r.o."/>
    <m/>
    <n v="459300"/>
    <n v="555753"/>
    <m/>
    <m/>
    <m/>
    <d v="2022-04-28T00:00:00"/>
    <s v="SMLN-2022-617-000289_x000a_SMLN-2022-612-000054"/>
    <x v="77"/>
  </r>
  <r>
    <d v="2022-01-27T00:00:00"/>
    <s v="VZ-2022-000122"/>
    <x v="4"/>
    <s v="Olejníček"/>
    <x v="155"/>
    <n v="1"/>
    <s v="Speciální operační svítidla"/>
    <m/>
    <s v="31524110-9"/>
    <s v="2.2.448.;2.3.446.;2.3.467.;2.3.542."/>
    <n v="2893800"/>
    <x v="0"/>
    <d v="2022-02-23T00:00:00"/>
    <d v="2022-04-05T00:00:00"/>
    <m/>
    <s v="zrušeno - administrativní pochybení"/>
    <s v="nová VZ-2022-000371"/>
    <m/>
    <m/>
    <m/>
    <m/>
    <m/>
    <m/>
    <m/>
    <x v="4"/>
  </r>
  <r>
    <d v="2022-01-27T00:00:00"/>
    <s v="VZ-2022-000122"/>
    <x v="4"/>
    <s v="Olejníček"/>
    <x v="155"/>
    <n v="2"/>
    <s v="Operační svítidla s kamerami"/>
    <m/>
    <s v="31524110-9"/>
    <s v="2.3.568."/>
    <n v="1260000"/>
    <x v="0"/>
    <d v="2022-02-23T00:00:00"/>
    <d v="2022-04-05T00:00:00"/>
    <m/>
    <s v="zrušeno - administrativní pochybení"/>
    <s v="nová VZ-2022-000371"/>
    <m/>
    <m/>
    <m/>
    <m/>
    <m/>
    <m/>
    <m/>
    <x v="4"/>
  </r>
  <r>
    <d v="2022-01-27T00:00:00"/>
    <s v="VZ-2022-000122"/>
    <x v="4"/>
    <s v="Olejníček"/>
    <x v="155"/>
    <n v="3"/>
    <s v="Nástěnná zákroková svítidla"/>
    <m/>
    <s v="31524210-0"/>
    <s v="2.3.622."/>
    <n v="270000"/>
    <x v="0"/>
    <d v="2022-02-23T00:00:00"/>
    <d v="2022-04-05T00:00:00"/>
    <m/>
    <s v="zrušeno - administrativní pochybení"/>
    <s v="nová VZ-2022-000371"/>
    <m/>
    <m/>
    <m/>
    <m/>
    <m/>
    <m/>
    <m/>
    <x v="4"/>
  </r>
  <r>
    <d v="2022-01-27T00:00:00"/>
    <s v="VZ-2022-000122"/>
    <x v="4"/>
    <s v="Olejníček"/>
    <x v="155"/>
    <n v="4"/>
    <s v="Vyšetřovací svítidla"/>
    <m/>
    <s v="31524100-6"/>
    <m/>
    <n v="2350000"/>
    <x v="0"/>
    <d v="2022-02-23T00:00:00"/>
    <d v="2022-04-05T00:00:00"/>
    <m/>
    <s v="zrušeno - administrativní pochybení"/>
    <s v="nová VZ-2022-000371"/>
    <m/>
    <m/>
    <m/>
    <m/>
    <m/>
    <m/>
    <m/>
    <x v="4"/>
  </r>
  <r>
    <d v="2022-01-28T00:00:00"/>
    <s v="VZ-2022-000127"/>
    <x v="0"/>
    <s v="Dočkalová"/>
    <x v="156"/>
    <m/>
    <m/>
    <m/>
    <s v="33181520-3"/>
    <m/>
    <n v="14522150"/>
    <x v="0"/>
    <d v="2022-02-11T00:00:00"/>
    <d v="2022-03-16T00:00:00"/>
    <d v="2022-04-05T00:00:00"/>
    <s v="Fresenius Kabi s.r.o. Medical Care - ČR, s.r.o."/>
    <m/>
    <n v="14529292.1"/>
    <n v="17407386.82"/>
    <m/>
    <m/>
    <m/>
    <d v="2022-04-06T00:00:00"/>
    <s v="SMLN-2022-617-000219"/>
    <x v="87"/>
  </r>
  <r>
    <d v="2022-02-01T00:00:00"/>
    <s v="VZ-2022-000128"/>
    <x v="1"/>
    <s v="Ondráčková"/>
    <x v="157"/>
    <n v="1"/>
    <s v="CEFEPIM"/>
    <m/>
    <s v="33651100-9"/>
    <m/>
    <n v="64249"/>
    <x v="0"/>
    <d v="2022-02-10T00:00:00"/>
    <d v="2022-03-17T00:00:00"/>
    <d v="2022-05-17T00:00:00"/>
    <s v="ViaPharma s.r.o."/>
    <m/>
    <n v="45859.53"/>
    <n v="50445.48"/>
    <m/>
    <m/>
    <m/>
    <d v="2022-05-17T00:00:00"/>
    <s v="SMLN-2022-617-000357"/>
    <x v="90"/>
  </r>
  <r>
    <d v="2022-02-01T00:00:00"/>
    <s v="VZ-2022-000128"/>
    <x v="1"/>
    <s v="Ondráčková"/>
    <x v="157"/>
    <n v="2"/>
    <s v="SULFAMETHOXAZOL A TRIMETHOPRIM "/>
    <m/>
    <s v="33651100-9"/>
    <m/>
    <n v="1814267"/>
    <x v="0"/>
    <d v="2022-02-10T00:00:00"/>
    <d v="2022-03-17T00:00:00"/>
    <m/>
    <s v="zrušeno - bez nabídky"/>
    <m/>
    <m/>
    <m/>
    <m/>
    <m/>
    <m/>
    <m/>
    <m/>
    <x v="4"/>
  </r>
  <r>
    <d v="2022-02-01T00:00:00"/>
    <s v="VZ-2022-000128"/>
    <x v="1"/>
    <s v="Ondráčková"/>
    <x v="157"/>
    <n v="3"/>
    <s v="GENTAMICIN"/>
    <m/>
    <s v="33651100-9"/>
    <m/>
    <n v="500760"/>
    <x v="0"/>
    <d v="2022-02-10T00:00:00"/>
    <d v="2022-03-17T00:00:00"/>
    <d v="2022-05-17T00:00:00"/>
    <s v="PHOENIX lék.velkoobchod, s.r.o."/>
    <m/>
    <n v="500758.42"/>
    <n v="550834.26"/>
    <m/>
    <m/>
    <m/>
    <d v="2022-05-17T00:00:00"/>
    <s v="SMLN-2022-617-000358"/>
    <x v="80"/>
  </r>
  <r>
    <d v="2022-02-01T00:00:00"/>
    <s v="VZ-2022-000128"/>
    <x v="1"/>
    <s v="Ondráčková"/>
    <x v="157"/>
    <n v="4"/>
    <s v="GENTAMICIN II"/>
    <m/>
    <s v="33651100-9"/>
    <m/>
    <n v="353679"/>
    <x v="0"/>
    <d v="2022-02-10T00:00:00"/>
    <d v="2022-03-17T00:00:00"/>
    <d v="2022-05-17T00:00:00"/>
    <s v="PHARMOS, a.s., a.s."/>
    <m/>
    <n v="353667.12"/>
    <n v="389033.83"/>
    <m/>
    <m/>
    <m/>
    <d v="2022-05-17T00:00:00"/>
    <s v="SMLN-2022-617-000359"/>
    <x v="63"/>
  </r>
  <r>
    <d v="2022-02-01T00:00:00"/>
    <s v="VZ-2022-000128"/>
    <x v="1"/>
    <s v="Ondráčková"/>
    <x v="157"/>
    <n v="5"/>
    <s v="LINEZOLID"/>
    <m/>
    <s v="33651100-9"/>
    <m/>
    <n v="2873371"/>
    <x v="0"/>
    <d v="2022-02-10T00:00:00"/>
    <d v="2022-03-17T00:00:00"/>
    <d v="2022-05-17T00:00:00"/>
    <s v="Alliance Healthcare s.r.o."/>
    <m/>
    <n v="863284.14"/>
    <n v="949612.55"/>
    <m/>
    <m/>
    <m/>
    <d v="2022-05-17T00:00:00"/>
    <s v="SMLN-2022-617-000360"/>
    <x v="6"/>
  </r>
  <r>
    <d v="2022-02-01T00:00:00"/>
    <s v="VZ-2022-000129"/>
    <x v="1"/>
    <s v="Ondráčková"/>
    <x v="158"/>
    <n v="1"/>
    <s v="AMOXICILIN A INHIBITOR BETA-LAKTAMASY I."/>
    <m/>
    <s v="33651100-9"/>
    <m/>
    <n v="4183417"/>
    <x v="0"/>
    <d v="2022-02-16T00:00:00"/>
    <d v="2022-03-23T00:00:00"/>
    <d v="2022-04-12T00:00:00"/>
    <s v="Alliance Healthcare s.r.o."/>
    <m/>
    <n v="4163921.82"/>
    <n v="4580314"/>
    <m/>
    <m/>
    <m/>
    <d v="2022-04-12T00:00:00"/>
    <s v="SMLN-2022-617-000244"/>
    <x v="67"/>
  </r>
  <r>
    <d v="2022-02-01T00:00:00"/>
    <s v="VZ-2022-000129"/>
    <x v="1"/>
    <s v="Ondráčková"/>
    <x v="158"/>
    <n v="2"/>
    <s v="AMOXICILIN A INHIBITOR BETA-LAKTAMASY II."/>
    <m/>
    <s v="33651100-9"/>
    <m/>
    <n v="9062645"/>
    <x v="0"/>
    <d v="2022-02-16T00:00:00"/>
    <d v="2022-03-23T00:00:00"/>
    <d v="2022-04-12T00:00:00"/>
    <s v="Alliance Healthcare s.r.o."/>
    <m/>
    <n v="6961450.6500000004"/>
    <n v="7657595.7199999997"/>
    <m/>
    <m/>
    <m/>
    <d v="2022-04-12T00:00:00"/>
    <s v="SMLN-2022-617-000245"/>
    <x v="67"/>
  </r>
  <r>
    <d v="2022-02-01T00:00:00"/>
    <s v="VZ-2022-000129"/>
    <x v="1"/>
    <s v="Ondráčková"/>
    <x v="158"/>
    <n v="3"/>
    <s v="MEROPENEM"/>
    <m/>
    <s v="33651100-9"/>
    <m/>
    <n v="6367668"/>
    <x v="0"/>
    <d v="2022-02-16T00:00:00"/>
    <d v="2022-03-23T00:00:00"/>
    <d v="2022-04-12T00:00:00"/>
    <s v="Fresenius Kabi s.r.o. Kabi s.r.o."/>
    <m/>
    <n v="5707686"/>
    <n v="6278454.5999999996"/>
    <m/>
    <m/>
    <m/>
    <d v="2022-04-12T00:00:00"/>
    <s v="SMLN-2022-617-000246"/>
    <x v="60"/>
  </r>
  <r>
    <d v="2022-02-01T00:00:00"/>
    <s v="VZ-2022-000129"/>
    <x v="1"/>
    <s v="Ondráčková"/>
    <x v="158"/>
    <n v="4"/>
    <s v="KLARITHROMYCIN"/>
    <m/>
    <s v="33651100-9"/>
    <m/>
    <n v="784082"/>
    <x v="0"/>
    <d v="2022-02-16T00:00:00"/>
    <d v="2022-03-23T00:00:00"/>
    <d v="2022-04-12T00:00:00"/>
    <s v="Alliance Healthcare s.r.o."/>
    <m/>
    <n v="778073.79"/>
    <n v="855881.17"/>
    <m/>
    <m/>
    <m/>
    <d v="2022-04-12T00:00:00"/>
    <s v="SMLN-2022-617-000247"/>
    <x v="67"/>
  </r>
  <r>
    <d v="2022-02-09T00:00:00"/>
    <s v="VZ-2022-000130"/>
    <x v="13"/>
    <s v="Křivková"/>
    <x v="159"/>
    <m/>
    <m/>
    <m/>
    <s v="79710000-4 "/>
    <m/>
    <n v="960000"/>
    <x v="2"/>
    <d v="2022-02-14T00:00:00"/>
    <d v="2022-02-18T00:00:00"/>
    <d v="2022-02-21T00:00:00"/>
    <s v="S.O.S. a.s."/>
    <m/>
    <n v="576000"/>
    <n v="696960"/>
    <m/>
    <m/>
    <m/>
    <d v="2022-02-21T00:00:00"/>
    <s v="SMLN-2022-612-000020"/>
    <x v="40"/>
  </r>
  <r>
    <d v="2022-02-02T00:00:00"/>
    <s v="VZ-2022-000131"/>
    <x v="1"/>
    <s v="Ondráčková"/>
    <x v="160"/>
    <n v="1"/>
    <s v="TOBRAMYCIN I."/>
    <m/>
    <s v="33651100-9"/>
    <m/>
    <n v="4184875"/>
    <x v="0"/>
    <d v="2022-02-17T00:00:00"/>
    <d v="2022-03-24T00:00:00"/>
    <d v="2022-04-12T00:00:00"/>
    <s v="PHOENIX lék.velkoobchod, s.r.o."/>
    <m/>
    <n v="4119162"/>
    <n v="4531078.2"/>
    <m/>
    <m/>
    <m/>
    <d v="2022-04-12T00:00:00"/>
    <s v="SMLN-2022-617-000237"/>
    <x v="85"/>
  </r>
  <r>
    <d v="2022-02-02T00:00:00"/>
    <s v="VZ-2022-000131"/>
    <x v="1"/>
    <s v="Ondráčková"/>
    <x v="160"/>
    <n v="2"/>
    <s v="TOBRAMYCIN II."/>
    <m/>
    <s v="33651100-9"/>
    <m/>
    <n v="468380"/>
    <x v="0"/>
    <d v="2022-02-17T00:00:00"/>
    <d v="2022-03-24T00:00:00"/>
    <d v="2022-04-12T00:00:00"/>
    <s v="PHOENIX lék.velkoobchod, s.r.o."/>
    <m/>
    <n v="456544.5"/>
    <n v="502198.95"/>
    <m/>
    <m/>
    <m/>
    <d v="2022-04-12T00:00:00"/>
    <s v="SMLN-2022-617-000238"/>
    <x v="85"/>
  </r>
  <r>
    <d v="2022-02-02T00:00:00"/>
    <s v="VZ-2022-000132"/>
    <x v="1"/>
    <s v="Ondráčková"/>
    <x v="161"/>
    <n v="1"/>
    <s v="TIGECYKLIN"/>
    <m/>
    <s v="33651100-9"/>
    <m/>
    <n v="6981718"/>
    <x v="0"/>
    <d v="2022-02-15T00:00:00"/>
    <d v="2022-03-22T00:00:00"/>
    <d v="2022-04-12T00:00:00"/>
    <s v="PHOENIX lék.velkoobchod, s.r.o."/>
    <m/>
    <n v="5335387.2"/>
    <n v="5868925.9199999999"/>
    <m/>
    <m/>
    <m/>
    <d v="2022-04-12T00:00:00"/>
    <s v="SMLN-2022-617-000239"/>
    <x v="3"/>
  </r>
  <r>
    <d v="2022-02-02T00:00:00"/>
    <s v="VZ-2022-000132"/>
    <x v="1"/>
    <s v="Ondráčková"/>
    <x v="161"/>
    <n v="2"/>
    <s v="OXACILIN"/>
    <m/>
    <s v="33651100-9"/>
    <m/>
    <n v="768499"/>
    <x v="0"/>
    <d v="2022-02-15T00:00:00"/>
    <d v="2022-03-22T00:00:00"/>
    <d v="2022-04-12T00:00:00"/>
    <s v="Alliance Healthcare s.r.o."/>
    <m/>
    <n v="725075.01"/>
    <n v="797582.51"/>
    <m/>
    <m/>
    <m/>
    <d v="2022-04-12T00:00:00"/>
    <s v="SMLN-2022-617-000240"/>
    <x v="67"/>
  </r>
  <r>
    <d v="2022-02-02T00:00:00"/>
    <s v="VZ-2022-000132"/>
    <x v="1"/>
    <s v="Ondráčková"/>
    <x v="161"/>
    <n v="3"/>
    <s v="CEFAZOLIN"/>
    <m/>
    <s v="33651100-9"/>
    <m/>
    <n v="911721"/>
    <x v="0"/>
    <d v="2022-02-15T00:00:00"/>
    <d v="2022-03-22T00:00:00"/>
    <d v="2022-04-12T00:00:00"/>
    <s v="PHOENIX lék.velkoobchod, s.r.o."/>
    <m/>
    <n v="760505.4"/>
    <n v="836555.94"/>
    <m/>
    <m/>
    <m/>
    <d v="2022-04-12T00:00:00"/>
    <s v="SMLN-2022-617-000241"/>
    <x v="3"/>
  </r>
  <r>
    <d v="2022-02-02T00:00:00"/>
    <s v="VZ-2022-000132"/>
    <x v="1"/>
    <s v="Ondráčková"/>
    <x v="161"/>
    <n v="4"/>
    <s v="CEFUROXIM"/>
    <m/>
    <s v="33651100-9"/>
    <m/>
    <n v="437355"/>
    <x v="0"/>
    <d v="2022-02-15T00:00:00"/>
    <d v="2022-03-22T00:00:00"/>
    <d v="2022-04-12T00:00:00"/>
    <s v="PHOENIX lék.velkoobchod, s.r.o."/>
    <m/>
    <n v="391230"/>
    <n v="430353"/>
    <m/>
    <m/>
    <m/>
    <d v="2022-04-12T00:00:00"/>
    <s v="SMLN-2022-617-000242"/>
    <x v="3"/>
  </r>
  <r>
    <d v="2022-02-02T00:00:00"/>
    <s v="VZ-2022-000132"/>
    <x v="1"/>
    <s v="Ondráčková"/>
    <x v="161"/>
    <n v="5"/>
    <s v="IMIPENEM A CILASTATIN"/>
    <m/>
    <s v="33651100-9"/>
    <m/>
    <n v="531890"/>
    <x v="0"/>
    <d v="2022-02-15T00:00:00"/>
    <d v="2022-03-22T00:00:00"/>
    <d v="2022-04-12T00:00:00"/>
    <s v="ViaPharma s.r.o."/>
    <m/>
    <n v="354072.6"/>
    <n v="389479.86"/>
    <m/>
    <m/>
    <m/>
    <d v="2022-04-12T00:00:00"/>
    <s v="SMLN-2022-617-000243"/>
    <x v="60"/>
  </r>
  <r>
    <d v="2022-02-02T00:00:00"/>
    <s v="VZ-2022-000133"/>
    <x v="1"/>
    <s v="Ondráčková"/>
    <x v="162"/>
    <n v="1"/>
    <s v="KLINDAMYCIN"/>
    <m/>
    <s v="33651100-9"/>
    <m/>
    <n v="791607"/>
    <x v="0"/>
    <d v="2022-02-22T00:00:00"/>
    <d v="2022-03-28T00:00:00"/>
    <d v="2022-04-14T00:00:00"/>
    <s v="Fresenius Kabi s.r.o. Kabi s.r.o."/>
    <m/>
    <n v="757650"/>
    <n v="833415"/>
    <m/>
    <m/>
    <m/>
    <d v="2022-04-14T00:00:00"/>
    <s v="SMLN-2022-617-000251"/>
    <x v="78"/>
  </r>
  <r>
    <d v="2022-02-02T00:00:00"/>
    <s v="VZ-2022-000133"/>
    <x v="1"/>
    <s v="Ondráčková"/>
    <x v="162"/>
    <n v="2"/>
    <s v="AMIKACIN"/>
    <m/>
    <s v="33651100-9"/>
    <m/>
    <n v="1122434"/>
    <x v="0"/>
    <d v="2022-02-22T00:00:00"/>
    <d v="2022-03-28T00:00:00"/>
    <d v="2022-04-14T00:00:00"/>
    <s v="PHARMOS, a.s., a.s."/>
    <m/>
    <n v="710110.8"/>
    <n v="781121.88"/>
    <m/>
    <m/>
    <m/>
    <d v="2022-04-14T00:00:00"/>
    <s v="SMLN-2022-617-000252"/>
    <x v="78"/>
  </r>
  <r>
    <d v="2022-02-02T00:00:00"/>
    <s v="VZ-2022-000133"/>
    <x v="1"/>
    <s v="Ondráčková"/>
    <x v="162"/>
    <n v="3"/>
    <s v="OFLOXACIN"/>
    <m/>
    <s v="33651100-9"/>
    <m/>
    <n v="574179"/>
    <x v="0"/>
    <d v="2022-02-22T00:00:00"/>
    <d v="2022-03-28T00:00:00"/>
    <d v="2022-04-14T00:00:00"/>
    <s v="PHOENIX lék.velkoobchod, s.r.o."/>
    <m/>
    <n v="567477"/>
    <n v="624224.69999999995"/>
    <m/>
    <m/>
    <m/>
    <d v="2022-04-14T00:00:00"/>
    <s v="SMLN-2022-617-000253"/>
    <x v="3"/>
  </r>
  <r>
    <d v="2022-02-02T00:00:00"/>
    <s v="VZ-2022-000133"/>
    <x v="1"/>
    <s v="Ondráčková"/>
    <x v="162"/>
    <n v="4"/>
    <s v="VANKOMYCIN"/>
    <m/>
    <s v="33651100-9"/>
    <m/>
    <n v="705022"/>
    <x v="0"/>
    <d v="2022-02-22T00:00:00"/>
    <d v="2022-03-28T00:00:00"/>
    <m/>
    <s v="zrušeno - bez nabídky"/>
    <m/>
    <m/>
    <m/>
    <m/>
    <m/>
    <m/>
    <m/>
    <m/>
    <x v="4"/>
  </r>
  <r>
    <d v="2022-02-02T00:00:00"/>
    <s v="VZ-2022-000133"/>
    <x v="1"/>
    <s v="Ondráčková"/>
    <x v="162"/>
    <n v="5"/>
    <s v="METRONIDAZOL"/>
    <m/>
    <s v="33651100-9"/>
    <m/>
    <n v="1450226"/>
    <x v="0"/>
    <d v="2022-02-22T00:00:00"/>
    <d v="2022-03-28T00:00:00"/>
    <d v="2022-04-14T00:00:00"/>
    <s v="B. Braun Medical s.r.o."/>
    <m/>
    <n v="1092114"/>
    <n v="1201325.3999999999"/>
    <m/>
    <m/>
    <m/>
    <d v="2022-04-14T00:00:00"/>
    <s v="SMLN-2022-617-000254"/>
    <x v="78"/>
  </r>
  <r>
    <d v="2022-02-02T00:00:00"/>
    <s v="VZ-2022-000134"/>
    <x v="1"/>
    <s v="Ondráčková"/>
    <x v="163"/>
    <n v="1"/>
    <s v="BENZYLPENICILIN"/>
    <m/>
    <s v="33651100-9"/>
    <m/>
    <n v="267000"/>
    <x v="0"/>
    <d v="2022-02-25T00:00:00"/>
    <d v="2022-03-31T00:00:00"/>
    <m/>
    <s v="zrušeno - bez nabídky"/>
    <m/>
    <m/>
    <m/>
    <m/>
    <m/>
    <m/>
    <m/>
    <m/>
    <x v="4"/>
  </r>
  <r>
    <d v="2022-02-02T00:00:00"/>
    <s v="VZ-2022-000134"/>
    <x v="1"/>
    <s v="Ondráčková"/>
    <x v="163"/>
    <n v="2"/>
    <s v="SULTAMICILIN"/>
    <m/>
    <s v="33651100-9"/>
    <m/>
    <n v="130078"/>
    <x v="0"/>
    <d v="2022-02-25T00:00:00"/>
    <d v="2022-03-31T00:00:00"/>
    <d v="2022-10-11T00:00:00"/>
    <s v="Alliance Healthcare s.r.o."/>
    <m/>
    <n v="129950.64"/>
    <n v="142945.70000000001"/>
    <m/>
    <m/>
    <m/>
    <d v="2022-10-11T00:00:00"/>
    <s v="SMLN-2022-617-000707"/>
    <x v="91"/>
  </r>
  <r>
    <d v="2022-02-02T00:00:00"/>
    <s v="VZ-2022-000134"/>
    <x v="1"/>
    <s v="Ondráčková"/>
    <x v="163"/>
    <n v="3"/>
    <s v="CIPROFLOXACIN"/>
    <m/>
    <s v="33632100-0"/>
    <m/>
    <n v="325289"/>
    <x v="0"/>
    <d v="2022-02-25T00:00:00"/>
    <d v="2022-03-31T00:00:00"/>
    <d v="2022-05-11T00:00:00"/>
    <s v="PHARMOS, a.s., a.s."/>
    <m/>
    <n v="260729.19"/>
    <n v="286802.11"/>
    <m/>
    <m/>
    <m/>
    <d v="2022-05-11T00:00:00"/>
    <s v="SMLN-2022-617-000335"/>
    <x v="88"/>
  </r>
  <r>
    <d v="2022-02-02T00:00:00"/>
    <s v="VZ-2022-000134"/>
    <x v="1"/>
    <s v="Ondráčková"/>
    <x v="163"/>
    <n v="4"/>
    <s v="NIMESULID I."/>
    <m/>
    <s v="33632100-0"/>
    <m/>
    <n v="833506"/>
    <x v="0"/>
    <d v="2022-02-25T00:00:00"/>
    <d v="2022-03-31T00:00:00"/>
    <d v="2022-10-10T00:00:00"/>
    <s v="ViaPharma s.r.o."/>
    <m/>
    <n v="791657.04"/>
    <n v="870822.74"/>
    <m/>
    <m/>
    <m/>
    <d v="2022-10-11T00:00:00"/>
    <s v="SMLN-2022-617-000708"/>
    <x v="92"/>
  </r>
  <r>
    <d v="2022-02-02T00:00:00"/>
    <s v="VZ-2022-000134"/>
    <x v="1"/>
    <s v="Ondráčková"/>
    <x v="163"/>
    <n v="5"/>
    <s v="NIMESULID II."/>
    <m/>
    <s v="33632100-0"/>
    <m/>
    <n v="66074"/>
    <x v="0"/>
    <d v="2022-02-25T00:00:00"/>
    <d v="2022-03-31T00:00:00"/>
    <d v="2022-05-11T00:00:00"/>
    <s v="Alliance Healthcare s.r.o."/>
    <m/>
    <n v="35193.33"/>
    <n v="38712.660000000003"/>
    <m/>
    <m/>
    <m/>
    <d v="2022-05-11T00:00:00"/>
    <s v="SMLN-2022-617-000337"/>
    <x v="93"/>
  </r>
  <r>
    <d v="2022-02-02T00:00:00"/>
    <s v="VZ-2022-000134"/>
    <x v="1"/>
    <s v="Ondráčková"/>
    <x v="163"/>
    <n v="6"/>
    <s v="NIMESULID III."/>
    <m/>
    <s v="33632100-0"/>
    <m/>
    <n v="589788"/>
    <x v="0"/>
    <d v="2022-02-25T00:00:00"/>
    <d v="2022-03-31T00:00:00"/>
    <d v="2022-05-11T00:00:00"/>
    <s v="PHARMOS, a.s., a.s."/>
    <m/>
    <n v="320040"/>
    <n v="352044"/>
    <m/>
    <m/>
    <m/>
    <d v="2022-05-11T00:00:00"/>
    <s v="SMLN-2022-617-000338"/>
    <x v="88"/>
  </r>
  <r>
    <d v="2022-02-01T00:00:00"/>
    <s v="VZ-2022-000135"/>
    <x v="5"/>
    <s v="Srovnal"/>
    <x v="164"/>
    <m/>
    <m/>
    <m/>
    <s v="50711000-2"/>
    <m/>
    <n v="1100000"/>
    <x v="2"/>
    <d v="2022-02-07T00:00:00"/>
    <d v="2022-02-15T00:00:00"/>
    <d v="2022-03-15T00:00:00"/>
    <s v="ELMAR group spol. s r.o."/>
    <m/>
    <n v="1778896"/>
    <n v="2152464.16"/>
    <m/>
    <m/>
    <m/>
    <d v="2022-03-15T00:00:00"/>
    <s v="SMLN-2022-618-000018"/>
    <x v="47"/>
  </r>
  <r>
    <d v="2022-02-01T00:00:00"/>
    <s v="VZ-2022-000137"/>
    <x v="5"/>
    <s v="Srovnal"/>
    <x v="165"/>
    <m/>
    <m/>
    <m/>
    <s v="45421100-5"/>
    <m/>
    <n v="5500000"/>
    <x v="2"/>
    <d v="2022-02-09T00:00:00"/>
    <d v="2022-02-18T00:00:00"/>
    <d v="2022-03-09T00:00:00"/>
    <s v="WH Develop s.r.o."/>
    <m/>
    <n v="5014731.13"/>
    <n v="6067824.6699999999"/>
    <m/>
    <m/>
    <m/>
    <d v="2022-03-09T00:00:00"/>
    <s v="SMLN-2022-618-000015"/>
    <x v="94"/>
  </r>
  <r>
    <d v="2022-02-03T00:00:00"/>
    <s v="VZ-2022-000138"/>
    <x v="8"/>
    <s v="Kadlec"/>
    <x v="166"/>
    <m/>
    <m/>
    <m/>
    <s v="45432100-5"/>
    <m/>
    <n v="1900000"/>
    <x v="2"/>
    <d v="2022-02-11T00:00:00"/>
    <d v="2022-02-22T00:00:00"/>
    <d v="2022-03-09T00:00:00"/>
    <s v="Elektropráce Spáčil s.r.o."/>
    <m/>
    <n v="2345678.9900000002"/>
    <n v="2838271.58"/>
    <m/>
    <m/>
    <m/>
    <d v="2022-03-09T00:00:00"/>
    <s v="SMLN-2022-618-000016"/>
    <x v="9"/>
  </r>
  <r>
    <d v="2022-02-02T00:00:00"/>
    <s v="VZ-2022-000139"/>
    <x v="4"/>
    <s v="Olejníček"/>
    <x v="167"/>
    <m/>
    <m/>
    <m/>
    <s v="33100000-1"/>
    <s v="2.2.440/2.2.441"/>
    <n v="5872000"/>
    <x v="0"/>
    <d v="2022-02-14T00:00:00"/>
    <d v="2022-03-18T00:00:00"/>
    <d v="2022-04-05T00:00:00"/>
    <s v="Edwards Lifesciences Czech Republic s.r.o."/>
    <m/>
    <n v="6084000"/>
    <n v="7361640"/>
    <m/>
    <m/>
    <m/>
    <d v="2022-04-05T00:00:00"/>
    <s v="SMLN-2022-617-000216_x000a_SMLN-2022-612-000034_x000a_SMLN-2022-617-000217"/>
    <x v="82"/>
  </r>
  <r>
    <d v="2022-02-04T00:00:00"/>
    <s v="VZ-2022-000148"/>
    <x v="3"/>
    <s v="Olejníček"/>
    <x v="168"/>
    <m/>
    <m/>
    <m/>
    <s v="33100000-1"/>
    <s v="2.3.584."/>
    <n v="2730152"/>
    <x v="0"/>
    <d v="2022-03-11T00:00:00"/>
    <d v="2022-04-19T00:00:00"/>
    <d v="2022-05-26T00:00:00"/>
    <s v="Life Technologies Czech Republic s.r.o."/>
    <m/>
    <n v="3600650"/>
    <n v="4356786.5"/>
    <m/>
    <m/>
    <m/>
    <d v="2022-05-30T00:00:00"/>
    <s v="SMLN-2022-617-000375_x000a_SMLN-2022-612-000089_x000a_SMLN-2022-617-000376"/>
    <x v="95"/>
  </r>
  <r>
    <d v="2022-02-07T00:00:00"/>
    <s v="VZ-2022-000151"/>
    <x v="9"/>
    <s v="Miklík"/>
    <x v="169"/>
    <m/>
    <m/>
    <m/>
    <s v="48820000-2 "/>
    <s v="3.2.67."/>
    <n v="18180000"/>
    <x v="0"/>
    <d v="2022-02-17T00:00:00"/>
    <d v="2022-03-21T00:00:00"/>
    <d v="2022-03-25T00:00:00"/>
    <s v="MERIT GROUP a.s."/>
    <m/>
    <n v="17959900"/>
    <n v="21731479"/>
    <m/>
    <m/>
    <m/>
    <d v="2022-03-25T00:00:00"/>
    <s v="SMLN-2022-617-000194"/>
    <x v="96"/>
  </r>
  <r>
    <d v="2022-02-07T00:00:00"/>
    <s v="VZ-2022-000153"/>
    <x v="0"/>
    <s v="Dočkalová"/>
    <x v="170"/>
    <m/>
    <m/>
    <m/>
    <s v="33162200-5"/>
    <m/>
    <n v="1792416"/>
    <x v="2"/>
    <d v="2022-02-10T00:00:00"/>
    <d v="2022-02-28T00:00:00"/>
    <d v="2022-03-03T00:00:00"/>
    <s v="Olympus Czech Group, s.r.o., člen koncernu"/>
    <m/>
    <n v="1792416"/>
    <n v="2168823.36"/>
    <m/>
    <m/>
    <m/>
    <d v="2022-03-03T00:00:00"/>
    <s v="SMLN-2022-617-000143"/>
    <x v="9"/>
  </r>
  <r>
    <d v="2022-02-09T00:00:00"/>
    <s v="VZ-2022-000156"/>
    <x v="1"/>
    <s v="Ondráčková"/>
    <x v="171"/>
    <n v="1"/>
    <s v="eftrenonacog alfa"/>
    <m/>
    <s v="33621000-9"/>
    <m/>
    <n v="17078400"/>
    <x v="0"/>
    <d v="2022-02-18T00:00:00"/>
    <d v="2022-03-25T00:00:00"/>
    <m/>
    <s v="zrušeno - bez nabídky"/>
    <m/>
    <m/>
    <m/>
    <m/>
    <m/>
    <m/>
    <m/>
    <m/>
    <x v="4"/>
  </r>
  <r>
    <d v="2022-02-09T00:00:00"/>
    <s v="VZ-2022-000156"/>
    <x v="1"/>
    <s v="Ondráčková"/>
    <x v="171"/>
    <n v="2"/>
    <s v="nonacog beta pegol"/>
    <m/>
    <s v="36621000-9"/>
    <m/>
    <n v="17078400"/>
    <x v="0"/>
    <d v="2022-02-18T00:00:00"/>
    <d v="2022-03-25T00:00:00"/>
    <d v="2022-04-19T00:00:00"/>
    <s v="Alliance Healthcare s.r.o."/>
    <m/>
    <n v="15596320"/>
    <n v="17155952"/>
    <m/>
    <m/>
    <m/>
    <d v="2022-04-19T00:00:00"/>
    <s v="SMLN-2022-617-000265"/>
    <x v="78"/>
  </r>
  <r>
    <d v="2022-02-08T00:00:00"/>
    <s v="VZ-2022-000157"/>
    <x v="1"/>
    <s v="Ondráčková"/>
    <x v="172"/>
    <n v="1"/>
    <s v="TIOTROPIUM-BROMID I."/>
    <m/>
    <s v="33670000-7"/>
    <m/>
    <n v="554723"/>
    <x v="0"/>
    <d v="2022-10-04T00:00:00"/>
    <d v="2022-12-06T00:00:00"/>
    <m/>
    <m/>
    <m/>
    <m/>
    <m/>
    <m/>
    <m/>
    <m/>
    <m/>
    <m/>
    <x v="4"/>
  </r>
  <r>
    <d v="2022-02-08T00:00:00"/>
    <s v="VZ-2022-000157"/>
    <x v="1"/>
    <s v="Ondráčková"/>
    <x v="172"/>
    <n v="2"/>
    <s v="TIOTROPIUM-BROMID II."/>
    <m/>
    <s v="33670000-7"/>
    <m/>
    <n v="14578"/>
    <x v="0"/>
    <d v="2022-10-04T00:00:00"/>
    <d v="2022-12-06T00:00:00"/>
    <m/>
    <m/>
    <m/>
    <m/>
    <m/>
    <m/>
    <m/>
    <m/>
    <m/>
    <m/>
    <x v="4"/>
  </r>
  <r>
    <d v="2022-02-08T00:00:00"/>
    <s v="VZ-2022-000157"/>
    <x v="1"/>
    <s v="Ondráčková"/>
    <x v="172"/>
    <n v="3"/>
    <s v="TIOTROPIUM-BROMID  III."/>
    <m/>
    <s v="33670000-7"/>
    <m/>
    <n v="8497243"/>
    <x v="0"/>
    <d v="2022-10-04T00:00:00"/>
    <d v="2022-12-06T00:00:00"/>
    <m/>
    <m/>
    <m/>
    <m/>
    <m/>
    <m/>
    <m/>
    <m/>
    <m/>
    <m/>
    <x v="4"/>
  </r>
  <r>
    <d v="2022-05-18T00:00:00"/>
    <s v="VZ-2022-000158"/>
    <x v="1"/>
    <s v="Ondráčková"/>
    <x v="173"/>
    <n v="1"/>
    <s v="Adalimumab I."/>
    <m/>
    <s v="33652300-8"/>
    <m/>
    <n v="46819920"/>
    <x v="0"/>
    <d v="2022-05-23T00:00:00"/>
    <d v="2022-07-14T00:00:00"/>
    <d v="2022-09-01T00:00:00"/>
    <s v="Alliance Healthcare s.r.o."/>
    <m/>
    <n v="28859060.640000001"/>
    <n v="31744966.699999999"/>
    <m/>
    <m/>
    <m/>
    <d v="2022-09-01T00:00:00"/>
    <s v="SMLN-2022-617-000608"/>
    <x v="97"/>
  </r>
  <r>
    <d v="2022-05-18T00:00:00"/>
    <s v="VZ-2022-000158"/>
    <x v="1"/>
    <s v="Ondráčková"/>
    <x v="173"/>
    <n v="2"/>
    <s v="Adalimumab II."/>
    <m/>
    <s v="33652300-8"/>
    <m/>
    <n v="5554080"/>
    <x v="0"/>
    <d v="2022-05-23T00:00:00"/>
    <d v="2022-07-14T00:00:00"/>
    <d v="2022-09-01T00:00:00"/>
    <s v="PROMEDICA PRAHA GROUP, a.s."/>
    <m/>
    <n v="5388552"/>
    <n v="5927407.2000000002"/>
    <m/>
    <m/>
    <m/>
    <d v="2022-09-01T00:00:00"/>
    <s v="SMLN-2022-617-000609"/>
    <x v="98"/>
  </r>
  <r>
    <d v="2022-05-18T00:00:00"/>
    <s v="VZ-2022-000158"/>
    <x v="1"/>
    <s v="Ondráčková"/>
    <x v="173"/>
    <n v="3"/>
    <s v="Adalimumab III."/>
    <m/>
    <s v="33652300-8"/>
    <m/>
    <n v="345461"/>
    <x v="0"/>
    <d v="2022-05-23T00:00:00"/>
    <d v="2022-07-14T00:00:00"/>
    <m/>
    <s v="zrušeno - překročení ceny"/>
    <s v="nová VZ-2022-001073"/>
    <m/>
    <m/>
    <m/>
    <m/>
    <m/>
    <m/>
    <m/>
    <x v="4"/>
  </r>
  <r>
    <d v="2022-02-08T00:00:00"/>
    <s v="VZ-2022-000159"/>
    <x v="1"/>
    <s v="Ondráčková"/>
    <x v="174"/>
    <m/>
    <s v="OMALIZUMAB"/>
    <m/>
    <s v="33670000-7"/>
    <m/>
    <n v="102989302"/>
    <x v="0"/>
    <d v="2022-06-30T00:00:00"/>
    <d v="2022-08-05T00:00:00"/>
    <d v="2022-09-14T00:00:00"/>
    <s v="Alliance Healthcare s.r.o."/>
    <m/>
    <n v="102989299.76000001"/>
    <n v="113288229.73999999"/>
    <m/>
    <m/>
    <m/>
    <d v="2022-09-14T00:00:00"/>
    <s v="SMLN-2022-617-000640"/>
    <x v="99"/>
  </r>
  <r>
    <d v="2022-02-09T00:00:00"/>
    <s v="VZ-2022-000160"/>
    <x v="1"/>
    <s v="Ondráčková"/>
    <x v="175"/>
    <m/>
    <s v="TRASTUZUMAB DERUXTEKAN"/>
    <m/>
    <s v="33652000-5"/>
    <m/>
    <n v="91899879"/>
    <x v="0"/>
    <d v="2022-10-20T00:00:00"/>
    <d v="2023-01-04T00:00:00"/>
    <m/>
    <m/>
    <m/>
    <m/>
    <m/>
    <m/>
    <m/>
    <m/>
    <m/>
    <m/>
    <x v="4"/>
  </r>
  <r>
    <d v="2022-02-09T00:00:00"/>
    <s v="VZ-2022-000161"/>
    <x v="1"/>
    <s v="Ondráčková"/>
    <x v="176"/>
    <m/>
    <s v="REMDESIVIR"/>
    <m/>
    <s v="33651400-2"/>
    <m/>
    <n v="40669427"/>
    <x v="0"/>
    <d v="2022-02-14T00:00:00"/>
    <d v="2022-03-21T00:00:00"/>
    <m/>
    <s v="zrušeno"/>
    <s v="nová VZ-2022-000680"/>
    <m/>
    <m/>
    <m/>
    <m/>
    <m/>
    <m/>
    <m/>
    <x v="4"/>
  </r>
  <r>
    <d v="2022-02-10T00:00:00"/>
    <s v="VZ-2022-000166"/>
    <x v="1"/>
    <s v="Ondráčková"/>
    <x v="177"/>
    <n v="1"/>
    <s v="LYOFILIZOVANÝ BAKTERIÁLNÍ LYZÁT OM 85 (LYSATUM BACTERIALE OM 85 CRYODESICCATUM)"/>
    <m/>
    <s v="33652000-5"/>
    <m/>
    <n v="171432"/>
    <x v="0"/>
    <d v="2022-03-01T00:00:00"/>
    <d v="2022-04-04T00:00:00"/>
    <d v="2022-04-22T00:00:00"/>
    <s v="Alliance Healthcare s.r.o."/>
    <m/>
    <n v="162856.89000000001"/>
    <n v="179142.58"/>
    <m/>
    <m/>
    <m/>
    <d v="2022-04-22T00:00:00"/>
    <s v="SMLN-2022-617-000271"/>
    <x v="78"/>
  </r>
  <r>
    <d v="2022-02-10T00:00:00"/>
    <s v="VZ-2022-000166"/>
    <x v="1"/>
    <s v="Ondráčková"/>
    <x v="177"/>
    <n v="2"/>
    <s v="SMĚS BAKTERIÁLNÍHO LYZÁTU (LYSATUM BACTERIALE MIXTUM) "/>
    <m/>
    <s v="33652000-5"/>
    <m/>
    <n v="107434"/>
    <x v="0"/>
    <d v="2022-03-01T00:00:00"/>
    <d v="2022-04-04T00:00:00"/>
    <m/>
    <s v="zrušeno - bez nabídky"/>
    <s v="nová VZ-2022-000503"/>
    <m/>
    <m/>
    <m/>
    <m/>
    <m/>
    <m/>
    <m/>
    <x v="4"/>
  </r>
  <r>
    <d v="2022-02-10T00:00:00"/>
    <s v="VZ-2022-000166"/>
    <x v="1"/>
    <s v="Ondráčková"/>
    <x v="177"/>
    <n v="3"/>
    <s v="LYOFILIZOVANÝ LYZÁT ESCHERICHIA COLI (LYSATUM ESCHERICHIAE COLI CRYODESICCATUM)"/>
    <m/>
    <s v="33652000-5"/>
    <m/>
    <n v="108557"/>
    <x v="0"/>
    <d v="2022-03-01T00:00:00"/>
    <d v="2022-04-04T00:00:00"/>
    <d v="2022-04-22T00:00:00"/>
    <s v="Alliance Healthcare s.r.o."/>
    <m/>
    <n v="102722.94"/>
    <n v="112995.23"/>
    <m/>
    <m/>
    <m/>
    <d v="2022-04-22T00:00:00"/>
    <s v="SMLN-2022-617-000272"/>
    <x v="78"/>
  </r>
  <r>
    <d v="2022-02-10T00:00:00"/>
    <s v="VZ-2022-000166"/>
    <x v="1"/>
    <s v="Ondráčková"/>
    <x v="177"/>
    <n v="4"/>
    <s v="BACILLUS CALMETTE-GUERIN (BACILLUS CALMETTE-GUERIN)"/>
    <m/>
    <s v="33652000-5"/>
    <m/>
    <n v="2256091"/>
    <x v="0"/>
    <d v="2022-03-01T00:00:00"/>
    <d v="2022-04-04T00:00:00"/>
    <m/>
    <s v="zrušeno - bez nabídky"/>
    <s v="nová VZ-2022-000503"/>
    <m/>
    <m/>
    <m/>
    <m/>
    <m/>
    <m/>
    <m/>
    <x v="4"/>
  </r>
  <r>
    <d v="2022-02-10T00:00:00"/>
    <s v="VZ-2022-000166"/>
    <x v="1"/>
    <s v="Ondráčková"/>
    <x v="177"/>
    <n v="5"/>
    <s v="PLERIXAFOR"/>
    <m/>
    <s v="33652000-5"/>
    <m/>
    <n v="1990902"/>
    <x v="0"/>
    <d v="2022-03-01T00:00:00"/>
    <d v="2022-04-04T00:00:00"/>
    <d v="2022-04-22T00:00:00"/>
    <s v="sanofi-aventis, s.r.o."/>
    <m/>
    <n v="1990901.7"/>
    <n v="2189991.87"/>
    <m/>
    <m/>
    <m/>
    <d v="2022-04-22T00:00:00"/>
    <s v="SMLN-2022-617-000273"/>
    <x v="100"/>
  </r>
  <r>
    <d v="2022-02-10T00:00:00"/>
    <s v="VZ-2022-000167"/>
    <x v="1"/>
    <s v="Ondráčková"/>
    <x v="178"/>
    <m/>
    <m/>
    <m/>
    <s v="33652000-5"/>
    <m/>
    <n v="2368470"/>
    <x v="1"/>
    <d v="2022-03-07T00:00:00"/>
    <d v="2022-03-24T00:00:00"/>
    <d v="2022-04-27T00:00:00"/>
    <s v="Alliance Healthcare s.r.o."/>
    <m/>
    <n v="2328010.02"/>
    <n v="2560811.02"/>
    <m/>
    <m/>
    <m/>
    <d v="2022-04-27T00:00:00"/>
    <s v="SMLN-2022-617-000288"/>
    <x v="86"/>
  </r>
  <r>
    <d v="2022-02-10T00:00:00"/>
    <s v="VZ-2022-000170"/>
    <x v="3"/>
    <s v="Olejníček"/>
    <x v="179"/>
    <n v="1"/>
    <s v="Imunochemický ELISA automat pro Ústav imunologie"/>
    <m/>
    <s v="33100000-1"/>
    <s v="2.2.426."/>
    <n v="1072500"/>
    <x v="0"/>
    <d v="2022-03-10T00:00:00"/>
    <d v="2022-04-14T00:00:00"/>
    <d v="2022-08-05T00:00:00"/>
    <s v="LABOSERV s.r.o."/>
    <m/>
    <n v="951719"/>
    <n v="1151579.99"/>
    <m/>
    <m/>
    <m/>
    <d v="2022-08-08T00:00:00"/>
    <s v="SMLN-2022-617-000507_x000a_SMLN-2022-612-000151"/>
    <x v="101"/>
  </r>
  <r>
    <d v="2022-02-10T00:00:00"/>
    <s v="VZ-2022-000170"/>
    <x v="3"/>
    <s v="Olejníček"/>
    <x v="179"/>
    <n v="2"/>
    <s v="Imunochemický ELISA automat pro OKB"/>
    <m/>
    <s v="33100000-1"/>
    <s v="2.3.574."/>
    <n v="1459005"/>
    <x v="0"/>
    <d v="2022-03-10T00:00:00"/>
    <d v="2022-04-14T00:00:00"/>
    <d v="2022-06-14T00:00:00"/>
    <s v="BIO-RAD spol.s r.o."/>
    <m/>
    <n v="1323894"/>
    <n v="1601912.22"/>
    <m/>
    <m/>
    <m/>
    <d v="2022-06-15T00:00:00"/>
    <s v="SMLN-2022-617-000408_x000a_SMLN-2022-612-000105"/>
    <x v="102"/>
  </r>
  <r>
    <d v="2022-02-11T00:00:00"/>
    <s v="VZ-2022-000172"/>
    <x v="2"/>
    <s v="Langer"/>
    <x v="180"/>
    <m/>
    <m/>
    <m/>
    <s v="71000000-8"/>
    <s v="1.2.94."/>
    <n v="1500000"/>
    <x v="2"/>
    <d v="2022-02-15T00:00:00"/>
    <d v="2022-02-23T00:00:00"/>
    <d v="2022-03-10T00:00:00"/>
    <s v="STYLE STUDIO s.r.o."/>
    <m/>
    <n v="1248000"/>
    <n v="1510080"/>
    <m/>
    <m/>
    <m/>
    <d v="2022-03-10T00:00:00"/>
    <s v="SMLN-2022-618-000017"/>
    <x v="9"/>
  </r>
  <r>
    <d v="2022-02-11T00:00:00"/>
    <s v="VZ-2022-000178"/>
    <x v="4"/>
    <s v="Olejníček"/>
    <x v="181"/>
    <m/>
    <m/>
    <m/>
    <s v="33123210-3"/>
    <s v="2.3.599."/>
    <n v="1470000"/>
    <x v="2"/>
    <d v="2022-02-16T00:00:00"/>
    <d v="2022-02-25T00:00:00"/>
    <m/>
    <s v="zrušeno - překročení ceny"/>
    <s v="nová VZ-2022-000234"/>
    <m/>
    <m/>
    <m/>
    <m/>
    <m/>
    <m/>
    <m/>
    <x v="4"/>
  </r>
  <r>
    <d v="2022-02-09T00:00:00"/>
    <s v="VZ-2022-000181"/>
    <x v="0"/>
    <s v="Novák"/>
    <x v="182"/>
    <m/>
    <m/>
    <m/>
    <s v="33194110-0"/>
    <m/>
    <n v="14350000"/>
    <x v="0"/>
    <d v="2022-02-25T00:00:00"/>
    <d v="2022-04-20T00:00:00"/>
    <d v="2022-05-05T00:00:00"/>
    <s v="ASQA, a.s."/>
    <m/>
    <n v="6469950"/>
    <n v="7486846.5"/>
    <m/>
    <m/>
    <m/>
    <d v="2022-05-05T00:00:00"/>
    <s v="SMLN-2022-617-000322_x000a_SMLN-2022-612-000072_x000a_SMLN-2022-617-000323"/>
    <x v="88"/>
  </r>
  <r>
    <d v="2022-03-01T00:00:00"/>
    <s v="VZ-2022-000186"/>
    <x v="0"/>
    <s v="Valtová"/>
    <x v="183"/>
    <m/>
    <m/>
    <m/>
    <s v="33140000-3"/>
    <m/>
    <n v="1139600"/>
    <x v="2"/>
    <d v="2022-03-07T00:00:00"/>
    <d v="2022-03-17T00:00:00"/>
    <d v="2022-03-23T00:00:00"/>
    <s v="Medinet s.r.o."/>
    <m/>
    <n v="845600"/>
    <n v="1023176"/>
    <m/>
    <m/>
    <m/>
    <d v="2022-03-23T00:00:00"/>
    <s v="SMLN-2022-617-000100_x000a_SMLN-2022-614-000032"/>
    <x v="47"/>
  </r>
  <r>
    <d v="2022-02-14T00:00:00"/>
    <s v="VZ-2022-000190"/>
    <x v="4"/>
    <s v="Olejníček"/>
    <x v="184"/>
    <m/>
    <m/>
    <m/>
    <s v="33100000-1"/>
    <s v="2.3.610."/>
    <n v="4238231"/>
    <x v="0"/>
    <d v="2022-02-17T00:00:00"/>
    <d v="2022-03-22T00:00:00"/>
    <d v="2022-04-05T00:00:00"/>
    <s v="Medtronic Czechia s.r.o."/>
    <m/>
    <n v="5314028"/>
    <n v="6429973.8799999999"/>
    <m/>
    <m/>
    <m/>
    <d v="2022-04-05T00:00:00"/>
    <s v="SMLN-2022-617-000218_x000a_SMLN-2022-612-000035"/>
    <x v="3"/>
  </r>
  <r>
    <d v="2022-02-15T00:00:00"/>
    <s v="VZ-2022-000195"/>
    <x v="1"/>
    <s v="Ondráčková"/>
    <x v="185"/>
    <m/>
    <s v="SARILUMAB"/>
    <m/>
    <s v="33652300-8"/>
    <m/>
    <n v="11500873"/>
    <x v="0"/>
    <d v="2022-11-28T00:00:00"/>
    <d v="2023-01-02T00:00:00"/>
    <m/>
    <m/>
    <m/>
    <m/>
    <m/>
    <m/>
    <m/>
    <m/>
    <m/>
    <m/>
    <x v="4"/>
  </r>
  <r>
    <d v="2022-02-15T00:00:00"/>
    <s v="VZ-2022-000196 "/>
    <x v="1"/>
    <s v="Ondráčková"/>
    <x v="186"/>
    <m/>
    <s v="ANAKINRA"/>
    <m/>
    <s v="33652300-8"/>
    <m/>
    <n v="25726680"/>
    <x v="0"/>
    <d v="2022-11-22T00:00:00"/>
    <d v="2022-12-27T00:00:00"/>
    <m/>
    <m/>
    <m/>
    <m/>
    <m/>
    <m/>
    <m/>
    <m/>
    <m/>
    <m/>
    <x v="4"/>
  </r>
  <r>
    <d v="2022-02-15T00:00:00"/>
    <s v="VZ-2022-000197"/>
    <x v="1"/>
    <s v="Ondráčková"/>
    <x v="187"/>
    <m/>
    <s v="KANGRELOR"/>
    <m/>
    <s v="33621100-0"/>
    <m/>
    <n v="12071630"/>
    <x v="0"/>
    <d v="2022-08-23T00:00:00"/>
    <d v="2022-10-27T00:00:00"/>
    <d v="2022-11-14T00:00:00"/>
    <s v="PHOENIX lék.velkoobchod, s.r.o."/>
    <m/>
    <n v="14756832"/>
    <n v="16232515.199999999"/>
    <m/>
    <m/>
    <m/>
    <d v="2022-11-14T00:00:00"/>
    <s v="SMLN-2022-617-000798"/>
    <x v="92"/>
  </r>
  <r>
    <d v="2022-02-15T00:00:00"/>
    <s v="VZ-2022-000198"/>
    <x v="1"/>
    <s v="Ondráčková"/>
    <x v="188"/>
    <m/>
    <s v="ENZALUTAMID"/>
    <m/>
    <s v="33652200-7"/>
    <m/>
    <n v="139725667"/>
    <x v="0"/>
    <d v="2022-06-10T00:00:00"/>
    <d v="2022-08-01T00:00:00"/>
    <d v="2022-09-12T00:00:00"/>
    <s v="PHOENIX lék.velkoobchod, s.r.o."/>
    <m/>
    <n v="139725666.36000001"/>
    <n v="153698233"/>
    <m/>
    <m/>
    <m/>
    <d v="2022-09-12T00:00:00"/>
    <s v="SMLN-2022-617-000630"/>
    <x v="103"/>
  </r>
  <r>
    <d v="2022-02-02T00:00:00"/>
    <s v="VZ-2022-000201"/>
    <x v="0"/>
    <s v="Dočkalová"/>
    <x v="189"/>
    <m/>
    <m/>
    <m/>
    <s v="33162200-5"/>
    <m/>
    <n v="2056577"/>
    <x v="0"/>
    <d v="2022-02-28T00:00:00"/>
    <d v="2022-04-12T00:00:00"/>
    <d v="2022-05-02T00:00:00"/>
    <s v="B. Braun Medical s.r.o."/>
    <m/>
    <n v="1850864"/>
    <n v="2239545.44"/>
    <m/>
    <m/>
    <m/>
    <d v="2022-05-02T00:00:00"/>
    <s v="SMLN-2022-617-000308"/>
    <x v="72"/>
  </r>
  <r>
    <d v="2022-02-18T00:00:00"/>
    <s v="VZ-2022-000206"/>
    <x v="1"/>
    <s v="Ondráčková"/>
    <x v="190"/>
    <m/>
    <s v="AKALABRUTINIB"/>
    <m/>
    <s v="33652000-5"/>
    <m/>
    <n v="134757341"/>
    <x v="0"/>
    <d v="2022-09-02T00:00:00"/>
    <d v="2022-10-31T00:00:00"/>
    <d v="2022-11-24T00:00:00"/>
    <s v="PHOENIX lék.velkoobchod, s.r.o."/>
    <m/>
    <n v="117573518.40000001"/>
    <n v="129330870.23999999"/>
    <m/>
    <m/>
    <m/>
    <d v="2022-11-24T00:00:00"/>
    <s v="SMLN-2022-617-000824"/>
    <x v="4"/>
  </r>
  <r>
    <d v="2022-02-18T00:00:00"/>
    <s v="VZ-2022-000207"/>
    <x v="1"/>
    <s v="Ondráčková"/>
    <x v="191"/>
    <m/>
    <s v="RUXOLITINIB"/>
    <m/>
    <s v="33652000-5"/>
    <m/>
    <n v="133903759"/>
    <x v="0"/>
    <d v="2022-09-30T00:00:00"/>
    <d v="2022-11-04T00:00:00"/>
    <d v="2022-12-15T00:00:00"/>
    <s v="Alliance Healthcare s.r.o."/>
    <m/>
    <n v="133497916.56"/>
    <n v="146847708.22"/>
    <m/>
    <m/>
    <m/>
    <d v="2022-12-15T00:00:00"/>
    <s v="SMLN-2022-617-000862"/>
    <x v="4"/>
  </r>
  <r>
    <s v="opakovaná VZ"/>
    <s v="VZ-2022-000209"/>
    <x v="0"/>
    <s v="Dočkalová"/>
    <x v="192"/>
    <n v="1"/>
    <s v="Endokatry/staplery se zahnutou špičkou"/>
    <m/>
    <s v="33162200-5"/>
    <m/>
    <n v="701000"/>
    <x v="0"/>
    <d v="2022-03-03T00:00:00"/>
    <d v="2022-04-06T00:00:00"/>
    <d v="2022-06-03T00:00:00"/>
    <s v="Medtronic Czechia s.r.o."/>
    <m/>
    <n v="700000"/>
    <n v="847000"/>
    <m/>
    <m/>
    <m/>
    <d v="2022-06-03T00:00:00"/>
    <s v="SMLN-2022-617-000389_x000a_SMLN-2022-614-000048"/>
    <x v="104"/>
  </r>
  <r>
    <s v="opakovaná VZ"/>
    <s v="VZ-2022-000209"/>
    <x v="0"/>
    <s v="Dočkalová"/>
    <x v="192"/>
    <n v="2"/>
    <s v="Cirkulární staplery se sklopnou hlavicí"/>
    <m/>
    <s v="33162200-5"/>
    <m/>
    <n v="3488800"/>
    <x v="0"/>
    <d v="2022-03-03T00:00:00"/>
    <d v="2022-04-06T00:00:00"/>
    <d v="2022-06-03T00:00:00"/>
    <s v="Medtronic Czechia s.r.o."/>
    <m/>
    <n v="3488800"/>
    <n v="4221448"/>
    <m/>
    <m/>
    <m/>
    <d v="2022-06-03T00:00:00"/>
    <s v="SMLN-2022-617-000390_x000a_SMLN-2022-614-000049"/>
    <x v="104"/>
  </r>
  <r>
    <d v="2022-02-17T00:00:00"/>
    <s v="VZ-2022-000210"/>
    <x v="3"/>
    <s v="Olejníček"/>
    <x v="193"/>
    <n v="1"/>
    <s v="Modulární vybavení pro detekci virových, bakteriálních a mykotických původců infekčních onemocnění"/>
    <m/>
    <s v="33100000-1"/>
    <s v="2.3.576."/>
    <n v="8743610"/>
    <x v="0"/>
    <d v="2022-03-24T00:00:00"/>
    <d v="2022-05-16T00:00:00"/>
    <d v="2022-05-27T00:00:00"/>
    <s v="TRIOS, spol. s r.o."/>
    <m/>
    <n v="8809000"/>
    <n v="10658890"/>
    <m/>
    <m/>
    <m/>
    <d v="2022-05-27T00:00:00"/>
    <s v="SMLN-2022-617-000371_x000a_SMLN-2022-612-000088_x000a_SMLN-2022-617-000372"/>
    <x v="105"/>
  </r>
  <r>
    <d v="2022-02-17T00:00:00"/>
    <s v="VZ-2022-000210"/>
    <x v="3"/>
    <s v="Olejníček"/>
    <x v="193"/>
    <n v="2"/>
    <s v="Analyzátor mykologický"/>
    <m/>
    <s v="33100000-1"/>
    <s v="2.2.419."/>
    <n v="3552600"/>
    <x v="0"/>
    <d v="2022-03-24T00:00:00"/>
    <d v="2022-05-16T00:00:00"/>
    <m/>
    <s v="zrušeno - bez nabídky"/>
    <s v="nová VZ-2022-000584"/>
    <m/>
    <m/>
    <m/>
    <m/>
    <m/>
    <m/>
    <m/>
    <x v="4"/>
  </r>
  <r>
    <d v="2022-02-18T00:00:00"/>
    <s v="VZ-2022-000212"/>
    <x v="3"/>
    <s v="Olejníček"/>
    <x v="194"/>
    <m/>
    <m/>
    <m/>
    <s v="33162100-4"/>
    <s v="2.2.403."/>
    <n v="14386500"/>
    <x v="0"/>
    <d v="2022-03-23T00:00:00"/>
    <d v="2022-04-27T00:00:00"/>
    <d v="2022-09-14T00:00:00"/>
    <s v="Medtronic Czechia s.r.o."/>
    <m/>
    <n v="16718650"/>
    <n v="20229566.5"/>
    <m/>
    <m/>
    <m/>
    <d v="2022-09-14T00:00:00"/>
    <s v="SMLN-2022-617-000645 SMLN-2022-617-000644 SMLN-2022-612-000192"/>
    <x v="66"/>
  </r>
  <r>
    <d v="2022-02-23T00:00:00"/>
    <s v="VZ-2022-000215"/>
    <x v="4"/>
    <s v="Olejníček"/>
    <x v="195"/>
    <m/>
    <m/>
    <m/>
    <s v="33162100-4"/>
    <s v="2.2.469."/>
    <n v="404720"/>
    <x v="0"/>
    <d v="2022-03-02T00:00:00"/>
    <d v="2022-04-05T00:00:00"/>
    <m/>
    <s v="zrušeno - bez nabídky"/>
    <s v="nová VZ-2022-000360"/>
    <m/>
    <m/>
    <m/>
    <m/>
    <m/>
    <m/>
    <m/>
    <x v="4"/>
  </r>
  <r>
    <d v="2022-02-23T00:00:00"/>
    <s v="VZ-2022-000218"/>
    <x v="3"/>
    <s v="Olejníček"/>
    <x v="196"/>
    <n v="1"/>
    <s v="Přístroj na zpracování imunofluorescenčních sklíček"/>
    <m/>
    <s v="33100000-1"/>
    <s v="2.2.428."/>
    <n v="545000"/>
    <x v="0"/>
    <d v="2022-03-31T00:00:00"/>
    <d v="2022-05-06T00:00:00"/>
    <m/>
    <s v="zrušeno - překročení ceny"/>
    <s v="nová VZ-2022-000514"/>
    <m/>
    <m/>
    <m/>
    <m/>
    <m/>
    <m/>
    <m/>
    <x v="4"/>
  </r>
  <r>
    <d v="2022-02-23T00:00:00"/>
    <s v="VZ-2022-000218"/>
    <x v="3"/>
    <s v="Olejníček"/>
    <x v="196"/>
    <n v="2"/>
    <s v="Analyzátor pro zpracování imunoblotů"/>
    <m/>
    <s v="33100000-1"/>
    <s v="2.2.427."/>
    <n v="1697791"/>
    <x v="0"/>
    <d v="2022-03-31T00:00:00"/>
    <d v="2022-05-06T00:00:00"/>
    <d v="2022-06-21T00:00:00"/>
    <s v="DYNEX LabSolutions, s.r.o."/>
    <m/>
    <n v="2823629.6"/>
    <n v="3416591.82"/>
    <m/>
    <m/>
    <m/>
    <d v="2022-06-21T00:00:00"/>
    <s v="SMLN-2022-617-000419_x000a_SMLN-2022-612-000108_x000a_SMLN-2022-617-000420"/>
    <x v="102"/>
  </r>
  <r>
    <d v="2022-02-14T00:00:00"/>
    <s v="VZ-2022-000219"/>
    <x v="14"/>
    <s v="Olejníček"/>
    <x v="197"/>
    <m/>
    <m/>
    <m/>
    <s v="09331000-8"/>
    <s v="1.2.92."/>
    <n v="18600000"/>
    <x v="0"/>
    <d v="2022-04-27T00:00:00"/>
    <d v="2022-06-01T00:00:00"/>
    <d v="2022-07-01T00:00:00"/>
    <s v="IBG česko s.r.o."/>
    <m/>
    <n v="20429134"/>
    <n v="24719252.140000001"/>
    <m/>
    <m/>
    <m/>
    <d v="2022-07-01T00:00:00"/>
    <s v="SMLN-2022-618-000043"/>
    <x v="106"/>
  </r>
  <r>
    <d v="2022-02-25T00:00:00"/>
    <s v="VZ-2022-000221"/>
    <x v="1"/>
    <s v="Ondráčková"/>
    <x v="198"/>
    <n v="1"/>
    <s v="HEPARIN"/>
    <m/>
    <s v="33621100-0"/>
    <m/>
    <n v="3945622"/>
    <x v="0"/>
    <d v="2022-03-04T00:00:00"/>
    <d v="2022-04-20T00:00:00"/>
    <m/>
    <s v="zrušeno - bez nabídky"/>
    <s v="nová VZ-2022-001158"/>
    <m/>
    <m/>
    <m/>
    <m/>
    <m/>
    <m/>
    <m/>
    <x v="4"/>
  </r>
  <r>
    <d v="2022-02-25T00:00:00"/>
    <s v="VZ-2022-000221"/>
    <x v="1"/>
    <s v="Ondráčková"/>
    <x v="198"/>
    <n v="2"/>
    <s v="ANTITHROMBIN III"/>
    <m/>
    <s v="33621100-0"/>
    <m/>
    <n v="1155420"/>
    <x v="0"/>
    <d v="2022-03-04T00:00:00"/>
    <d v="2022-04-20T00:00:00"/>
    <d v="2022-05-09T00:00:00"/>
    <s v="PHOENIX lék.velkoobchod, s.r.o."/>
    <m/>
    <n v="610187.52000000002"/>
    <n v="671206.27"/>
    <m/>
    <m/>
    <m/>
    <d v="2022-05-10T00:00:00"/>
    <s v="SMLN-2022-617-000327"/>
    <x v="80"/>
  </r>
  <r>
    <d v="2022-02-25T00:00:00"/>
    <s v="VZ-2022-000221"/>
    <x v="1"/>
    <s v="Ondráčková"/>
    <x v="198"/>
    <n v="3"/>
    <s v="NADROPARIN"/>
    <m/>
    <s v="33621100-0"/>
    <m/>
    <n v="48828464"/>
    <x v="0"/>
    <d v="2022-03-04T00:00:00"/>
    <d v="2022-04-20T00:00:00"/>
    <m/>
    <s v="zrušeno - bez nabídky"/>
    <s v="nová VZ-2022-001158"/>
    <m/>
    <m/>
    <m/>
    <m/>
    <m/>
    <m/>
    <m/>
    <x v="4"/>
  </r>
  <r>
    <d v="2022-02-25T00:00:00"/>
    <s v="VZ-2022-000221"/>
    <x v="1"/>
    <s v="Ondráčková"/>
    <x v="198"/>
    <n v="4"/>
    <s v="SULODEXID "/>
    <m/>
    <s v="33621100-0"/>
    <m/>
    <n v="3616662"/>
    <x v="0"/>
    <d v="2022-03-04T00:00:00"/>
    <d v="2022-04-20T00:00:00"/>
    <d v="2022-05-09T00:00:00"/>
    <s v="Alliance Healthcare s.r.o."/>
    <m/>
    <n v="3609911.7"/>
    <n v="3970902.87"/>
    <m/>
    <m/>
    <m/>
    <d v="2022-05-10T00:00:00"/>
    <s v="SMLN-2022-617-000328"/>
    <x v="88"/>
  </r>
  <r>
    <d v="2022-02-28T00:00:00"/>
    <s v="VZ-2022-000222"/>
    <x v="4"/>
    <s v="Olejníček"/>
    <x v="199"/>
    <n v="1"/>
    <s v="Hlubokomrazící box"/>
    <m/>
    <s v="39711100-0"/>
    <s v="2.2.462."/>
    <n v="185298"/>
    <x v="2"/>
    <d v="2022-03-03T00:00:00"/>
    <d v="2022-03-15T00:00:00"/>
    <d v="2022-04-07T00:00:00"/>
    <s v="KRD-obchodní společnost s.r.o."/>
    <m/>
    <n v="262130"/>
    <n v="317177.3"/>
    <m/>
    <m/>
    <m/>
    <d v="2022-04-07T00:00:00"/>
    <s v="SMLN-2022-617-000220_x000a_SMLN-2022-612-000036"/>
    <x v="84"/>
  </r>
  <r>
    <d v="2022-02-28T00:00:00"/>
    <s v="VZ-2022-000222"/>
    <x v="4"/>
    <s v="Olejníček"/>
    <x v="199"/>
    <n v="2"/>
    <s v="Farmaceutická lednice"/>
    <m/>
    <s v="39711100-0"/>
    <s v="2.2.453.,470., 2.3.614.,651"/>
    <n v="420394"/>
    <x v="2"/>
    <d v="2022-03-03T00:00:00"/>
    <d v="2022-03-15T00:00:00"/>
    <d v="2022-04-07T00:00:00"/>
    <s v="SCHOELLER INSTRUMENTS, s.r.o."/>
    <m/>
    <n v="382200"/>
    <n v="462462"/>
    <m/>
    <m/>
    <m/>
    <d v="2022-04-07T00:00:00"/>
    <s v="SMLN-2022-617-000221_x000a_SMLN-2022-612-000037"/>
    <x v="84"/>
  </r>
  <r>
    <d v="2022-02-28T00:00:00"/>
    <s v="VZ-2022-000222"/>
    <x v="4"/>
    <s v="Olejníček"/>
    <x v="199"/>
    <n v="3"/>
    <s v="Mrazák"/>
    <m/>
    <s v="39711100-0"/>
    <s v="2.3.625."/>
    <n v="152496"/>
    <x v="2"/>
    <d v="2022-03-03T00:00:00"/>
    <d v="2022-03-15T00:00:00"/>
    <d v="2022-04-07T00:00:00"/>
    <s v="SCHOELLER INSTRUMENTS, s.r.o."/>
    <m/>
    <n v="168090"/>
    <n v="203388.9"/>
    <m/>
    <m/>
    <m/>
    <d v="2022-04-07T00:00:00"/>
    <s v="SMLN-2022-617-000222_x000a_SMLN-2022-612-000038"/>
    <x v="84"/>
  </r>
  <r>
    <d v="2022-02-23T00:00:00"/>
    <s v="VZ-2022-000225"/>
    <x v="4"/>
    <s v="Olejníček"/>
    <x v="200"/>
    <m/>
    <m/>
    <m/>
    <s v="33112000-8"/>
    <s v="2.2.450."/>
    <n v="28900000"/>
    <x v="0"/>
    <d v="2022-03-07T00:00:00"/>
    <d v="2022-05-09T00:00:00"/>
    <d v="2022-06-02T00:00:00"/>
    <s v="CARDION s.r.o."/>
    <m/>
    <n v="29018503.890000001"/>
    <n v="35112389.710000001"/>
    <m/>
    <m/>
    <m/>
    <d v="2022-06-02T00:00:00"/>
    <s v="SMLN-2022-617-000383_x000a_SMLN-2022-612-000094_x000a_SMLN-2022-617-000384"/>
    <x v="105"/>
  </r>
  <r>
    <d v="2022-03-01T00:00:00"/>
    <s v="VZ-2022-000228"/>
    <x v="5"/>
    <s v="Srovnal"/>
    <x v="201"/>
    <m/>
    <m/>
    <m/>
    <s v="45453100-8"/>
    <m/>
    <n v="1700000"/>
    <x v="2"/>
    <d v="2022-03-04T00:00:00"/>
    <d v="2022-03-15T00:00:00"/>
    <d v="2022-03-18T00:00:00"/>
    <s v="Stavitelství Pospíšil s.r.o."/>
    <m/>
    <n v="1406586.93"/>
    <n v="1701970.19"/>
    <m/>
    <m/>
    <m/>
    <d v="2022-03-18T00:00:00"/>
    <s v="SMLN-2022-618-000021"/>
    <x v="47"/>
  </r>
  <r>
    <d v="2022-03-03T00:00:00"/>
    <s v="VZ-2022-000233"/>
    <x v="3"/>
    <s v="Olejníček"/>
    <x v="14"/>
    <n v="1"/>
    <s v="Transporatabilní echokardiografický přístroj pro Dětskou kliniku"/>
    <m/>
    <s v="33124120-2"/>
    <s v="2.2.399."/>
    <n v="933000"/>
    <x v="0"/>
    <d v="2022-03-31T00:00:00"/>
    <d v="2022-05-05T00:00:00"/>
    <d v="2022-08-09T00:00:00"/>
    <s v="S+T Plus s.r.o."/>
    <m/>
    <n v="900660"/>
    <n v="1089798.6000000001"/>
    <m/>
    <m/>
    <m/>
    <d v="2022-08-09T00:00:00"/>
    <s v="SMLN-2022-617-000511_x000a_SMLN-2022-612-000152"/>
    <x v="107"/>
  </r>
  <r>
    <d v="2022-03-03T00:00:00"/>
    <s v="VZ-2022-000233"/>
    <x v="4"/>
    <s v="Olejníček"/>
    <x v="14"/>
    <n v="2"/>
    <s v="Pediatrický mobilní ultrazvukový přístroj pro Dětskou kliniku"/>
    <m/>
    <s v="33124120-2"/>
    <s v="2.3.634."/>
    <n v="490500"/>
    <x v="0"/>
    <d v="2022-03-31T00:00:00"/>
    <d v="2022-05-05T00:00:00"/>
    <d v="2022-08-09T00:00:00"/>
    <s v="Electric Medical Service, s.r.o."/>
    <m/>
    <n v="483600"/>
    <n v="585156"/>
    <m/>
    <m/>
    <m/>
    <d v="2022-08-09T00:00:00"/>
    <s v="SMLN-2022-617-000512_x000a_SMLN-2022-612-000152"/>
    <x v="108"/>
  </r>
  <r>
    <d v="2022-03-03T00:00:00"/>
    <s v="VZ-2022-000233"/>
    <x v="3"/>
    <s v="Olejníček"/>
    <x v="14"/>
    <n v="3"/>
    <s v="Ultrazvukový systém pro akutní péči pro KARIM"/>
    <m/>
    <s v="33124120-2"/>
    <s v="2.2.401."/>
    <n v="1459983"/>
    <x v="0"/>
    <d v="2022-03-31T00:00:00"/>
    <d v="2022-05-05T00:00:00"/>
    <d v="2022-06-27T00:00:00"/>
    <s v="Electric Medical Service, s.r.o."/>
    <m/>
    <n v="1446600"/>
    <n v="1750386"/>
    <m/>
    <m/>
    <m/>
    <d v="2022-06-27T00:00:00"/>
    <s v="SMLN-2022-617-000431_x000a_SMLN-2022-612-000112"/>
    <x v="109"/>
  </r>
  <r>
    <d v="2022-03-03T00:00:00"/>
    <s v="VZ-2022-000233"/>
    <x v="3"/>
    <s v="Olejníček"/>
    <x v="14"/>
    <n v="4"/>
    <s v="Mobilní ultrazvukové přístroje pro II.IK a KARIM"/>
    <m/>
    <s v="33124120-2"/>
    <s v="2.2.397., 2.2.402."/>
    <n v="2756250"/>
    <x v="0"/>
    <d v="2022-03-31T00:00:00"/>
    <d v="2022-05-05T00:00:00"/>
    <d v="2022-06-27T00:00:00"/>
    <s v="Electric Medical Service, s.r.o."/>
    <m/>
    <n v="2260600"/>
    <n v="2735326"/>
    <m/>
    <m/>
    <m/>
    <d v="2022-06-27T00:00:00"/>
    <s v="SMLN-2022-617-000434_x000a_SMLN-2022-612-000115"/>
    <x v="110"/>
  </r>
  <r>
    <d v="2022-03-03T00:00:00"/>
    <s v="VZ-2022-000233"/>
    <x v="4"/>
    <s v="Olejníček"/>
    <x v="14"/>
    <n v="5"/>
    <s v="Ultrazvukový přístroj pro Urologickou kliniku"/>
    <m/>
    <s v="33124120-2"/>
    <s v="2.3.628."/>
    <n v="948000"/>
    <x v="0"/>
    <d v="2022-03-31T00:00:00"/>
    <d v="2022-05-05T00:00:00"/>
    <d v="2022-06-27T00:00:00"/>
    <s v="NIMOTECH, s.r.o."/>
    <m/>
    <n v="917057.22"/>
    <n v="1109639.24"/>
    <m/>
    <m/>
    <m/>
    <d v="2022-06-27T00:00:00"/>
    <s v="SMLN-2022-617-000435_x000a_SMLN-2022-612-000116"/>
    <x v="109"/>
  </r>
  <r>
    <d v="2022-03-03T00:00:00"/>
    <s v="VZ-2022-000233"/>
    <x v="3"/>
    <s v="Olejníček"/>
    <x v="14"/>
    <n v="6"/>
    <s v="4D echokardiograf pro I.IK"/>
    <m/>
    <s v="33124120-2"/>
    <s v="2.3.592."/>
    <n v="4734839"/>
    <x v="0"/>
    <d v="2022-03-31T00:00:00"/>
    <d v="2022-05-05T00:00:00"/>
    <d v="2022-06-27T00:00:00"/>
    <s v="Electric Medical Service, s.r.o."/>
    <m/>
    <n v="4705600"/>
    <n v="5693776"/>
    <m/>
    <m/>
    <m/>
    <d v="2022-06-27T00:00:00"/>
    <s v="SMLN-2022-617-000432_x000a_SMLN-2022-612-000113"/>
    <x v="110"/>
  </r>
  <r>
    <d v="2022-03-03T00:00:00"/>
    <s v="VZ-2022-000233"/>
    <x v="4"/>
    <s v="Olejníček"/>
    <x v="14"/>
    <n v="7"/>
    <s v="Echokardiografický systém pro I.IK"/>
    <m/>
    <s v="33124120-2"/>
    <s v="2.2.322."/>
    <n v="1039735"/>
    <x v="0"/>
    <d v="2022-03-31T00:00:00"/>
    <d v="2022-05-05T00:00:00"/>
    <d v="2022-06-27T00:00:00"/>
    <s v="Electric Medical Service, s.r.o."/>
    <m/>
    <n v="1034600"/>
    <n v="1251866"/>
    <m/>
    <m/>
    <m/>
    <d v="2022-06-27T00:00:00"/>
    <s v="SMLN-2022-617-000433_x000a_SMLN-2022-612-000114"/>
    <x v="110"/>
  </r>
  <r>
    <s v="opakovaná VZ"/>
    <s v="VZ-2022-000234"/>
    <x v="4"/>
    <s v="Olejníček"/>
    <x v="181"/>
    <m/>
    <m/>
    <m/>
    <s v="33123210-3"/>
    <s v="2.3.599."/>
    <n v="1530000"/>
    <x v="2"/>
    <d v="2022-03-08T00:00:00"/>
    <d v="2022-03-15T00:00:00"/>
    <d v="2022-03-29T00:00:00"/>
    <s v="Kardio-Line spol. s r.o."/>
    <m/>
    <n v="1992800"/>
    <n v="2411288"/>
    <m/>
    <m/>
    <m/>
    <d v="2022-03-29T00:00:00"/>
    <s v="SMLN-2022-617-000203_x000a_SMLN-2022-612-000032"/>
    <x v="111"/>
  </r>
  <r>
    <d v="2022-03-03T00:00:00"/>
    <s v="VZ-2022-000239"/>
    <x v="2"/>
    <s v="Pavela"/>
    <x v="202"/>
    <m/>
    <m/>
    <m/>
    <s v="45215100-8"/>
    <s v="1.2.87."/>
    <n v="560000"/>
    <x v="2"/>
    <d v="2022-03-09T00:00:00"/>
    <d v="2022-03-22T00:00:00"/>
    <d v="2022-03-29T00:00:00"/>
    <s v="BDC Development s.r.o."/>
    <m/>
    <n v="585535.43999999994"/>
    <n v="708497.88"/>
    <m/>
    <m/>
    <m/>
    <d v="2022-03-30T00:00:00"/>
    <s v="SMLN-2022-618-000022"/>
    <x v="82"/>
  </r>
  <r>
    <d v="2022-02-24T00:00:00"/>
    <s v="VZ-2022-000242"/>
    <x v="6"/>
    <s v="Zdráhalová"/>
    <x v="203"/>
    <m/>
    <m/>
    <m/>
    <s v="33141620-2"/>
    <m/>
    <n v="12231182.550000001"/>
    <x v="0"/>
    <d v="2022-03-18T00:00:00"/>
    <d v="2022-05-20T00:00:00"/>
    <d v="2022-11-16T00:00:00"/>
    <s v="SANICARE s.r.o."/>
    <m/>
    <n v="11910294.4"/>
    <n v="14411456.220000001"/>
    <m/>
    <m/>
    <m/>
    <d v="2022-11-16T00:00:00"/>
    <s v="SMLN-2022-617-000806"/>
    <x v="112"/>
  </r>
  <r>
    <d v="2022-03-03T00:00:00"/>
    <s v="VZ-2022-000244"/>
    <x v="1"/>
    <s v="Ondráčková"/>
    <x v="204"/>
    <m/>
    <m/>
    <m/>
    <s v="33652300-8"/>
    <m/>
    <n v="132187891"/>
    <x v="0"/>
    <d v="2022-04-01T00:00:00"/>
    <d v="2022-05-05T00:00:00"/>
    <m/>
    <s v="zrušeno - bez hodnotitelné nabídky"/>
    <s v="nová VZ-2022-000551"/>
    <m/>
    <m/>
    <m/>
    <m/>
    <m/>
    <m/>
    <m/>
    <x v="4"/>
  </r>
  <r>
    <d v="2022-03-03T00:00:00"/>
    <s v="VZ-2022-000245"/>
    <x v="1"/>
    <s v="Ondráčková"/>
    <x v="205"/>
    <m/>
    <m/>
    <m/>
    <s v="33652300-8"/>
    <m/>
    <n v="1978910"/>
    <x v="0"/>
    <d v="2022-04-01T00:00:00"/>
    <d v="2022-05-05T00:00:00"/>
    <d v="2022-05-27T00:00:00"/>
    <s v="Alliance Healthcare s.r.o."/>
    <m/>
    <n v="1046443.44"/>
    <n v="1151087.78"/>
    <m/>
    <m/>
    <m/>
    <d v="2022-05-27T00:00:00"/>
    <s v="SMLN-2022-617-000373"/>
    <x v="6"/>
  </r>
  <r>
    <d v="2022-03-03T00:00:00"/>
    <s v="VZ-2022-000246"/>
    <x v="1"/>
    <s v="Ondráčková"/>
    <x v="206"/>
    <n v="1"/>
    <s v="IXAZOMID"/>
    <m/>
    <s v="33652300-8"/>
    <m/>
    <n v="8502309"/>
    <x v="0"/>
    <d v="2022-03-08T00:00:00"/>
    <d v="2022-04-27T00:00:00"/>
    <d v="2022-05-13T00:00:00"/>
    <s v="Alliance Healthcare s.r.o."/>
    <m/>
    <n v="8813237.0700000003"/>
    <n v="9694560.7799999993"/>
    <m/>
    <m/>
    <m/>
    <d v="2022-05-13T00:00:00"/>
    <s v="SMLN-2022-617-000350"/>
    <x v="88"/>
  </r>
  <r>
    <d v="2022-03-03T00:00:00"/>
    <s v="VZ-2022-000246"/>
    <x v="1"/>
    <s v="Ondráčková"/>
    <x v="206"/>
    <n v="2"/>
    <s v="ANAGRELID I."/>
    <m/>
    <s v="33652300-8"/>
    <m/>
    <n v="2045179"/>
    <x v="0"/>
    <d v="2022-03-08T00:00:00"/>
    <d v="2022-04-27T00:00:00"/>
    <d v="2022-05-13T00:00:00"/>
    <s v="Alliance Healthcare s.r.o."/>
    <m/>
    <n v="2045178.72"/>
    <n v="2249696.59"/>
    <m/>
    <m/>
    <m/>
    <d v="2022-05-13T00:00:00"/>
    <s v="SMLN-2022-617-000351"/>
    <x v="88"/>
  </r>
  <r>
    <d v="2022-03-03T00:00:00"/>
    <s v="VZ-2022-000246"/>
    <x v="1"/>
    <s v="Ondráčková"/>
    <x v="206"/>
    <n v="3"/>
    <s v="ANAGRELID II."/>
    <m/>
    <s v="33652300-8"/>
    <m/>
    <n v="635625"/>
    <x v="0"/>
    <d v="2022-03-08T00:00:00"/>
    <d v="2022-04-27T00:00:00"/>
    <d v="2022-05-13T00:00:00"/>
    <s v="PHOENIX lék.velkoobchod, s.r.o."/>
    <m/>
    <n v="633641.85"/>
    <n v="697006.04"/>
    <m/>
    <m/>
    <m/>
    <d v="2022-05-13T00:00:00"/>
    <s v="SMLN-2022-617-000352"/>
    <x v="80"/>
  </r>
  <r>
    <d v="2022-02-23T00:00:00"/>
    <s v="VZ-2022-000247"/>
    <x v="0"/>
    <s v="Valtová"/>
    <x v="207"/>
    <m/>
    <m/>
    <m/>
    <s v="33140000-3"/>
    <m/>
    <n v="2192300"/>
    <x v="0"/>
    <d v="2022-03-08T00:00:00"/>
    <d v="2022-07-27T00:00:00"/>
    <d v="2022-08-19T00:00:00"/>
    <s v="BS PRAGUE MEDICAL CS, spol. s r.o."/>
    <m/>
    <n v="2181740"/>
    <n v="2639905.4"/>
    <m/>
    <m/>
    <m/>
    <d v="2022-08-19T00:00:00"/>
    <s v="SMLN-2022-617-000570_x000a_SMLN-2022-614-000070"/>
    <x v="113"/>
  </r>
  <r>
    <d v="2022-03-01T00:00:00"/>
    <s v="VZ-2022-000248"/>
    <x v="0"/>
    <s v="Merta"/>
    <x v="208"/>
    <m/>
    <m/>
    <m/>
    <s v="33141200-2"/>
    <m/>
    <n v="158775474"/>
    <x v="0"/>
    <d v="2022-03-14T00:00:00"/>
    <d v="2022-04-14T00:00:00"/>
    <d v="2022-05-19T00:00:00"/>
    <s v="MEDEON s.r.o."/>
    <m/>
    <n v="158714871"/>
    <n v="192044994"/>
    <m/>
    <m/>
    <m/>
    <d v="2022-05-19T00:00:00"/>
    <s v="SMLN-2022-617-000367_x000a_SMLN-2022-614-000045_x000a_SMLN-2022-616-000021"/>
    <x v="63"/>
  </r>
  <r>
    <d v="2022-02-09T00:00:00"/>
    <s v="VZ-2022-000249"/>
    <x v="0"/>
    <s v="Valtová"/>
    <x v="209"/>
    <m/>
    <m/>
    <m/>
    <s v="33140000-3"/>
    <m/>
    <n v="2080500"/>
    <x v="0"/>
    <d v="2022-03-11T00:00:00"/>
    <d v="2022-04-13T00:00:00"/>
    <d v="2022-05-04T00:00:00"/>
    <s v="A care a.s."/>
    <m/>
    <n v="2080500"/>
    <n v="2517405"/>
    <m/>
    <m/>
    <m/>
    <d v="2022-05-04T00:00:00"/>
    <s v="SMLN-2022-617-000319_x000a_SMLN-2022-614-000043"/>
    <x v="114"/>
  </r>
  <r>
    <d v="2022-02-17T00:00:00"/>
    <s v="VZ-2022-000250"/>
    <x v="0"/>
    <s v="Valtová"/>
    <x v="210"/>
    <n v="1"/>
    <s v="5.1. Kličky pro polypektomii, jednorázové k resekci za studena"/>
    <m/>
    <s v="33140000-3"/>
    <m/>
    <n v="435000"/>
    <x v="0"/>
    <d v="2022-03-14T00:00:00"/>
    <d v="2022-06-06T00:00:00"/>
    <d v="2022-08-09T00:00:00"/>
    <s v="Medinet s.r.o."/>
    <m/>
    <n v="176000"/>
    <n v="212960"/>
    <m/>
    <m/>
    <m/>
    <d v="2022-08-09T00:00:00"/>
    <s v="SMLN-2022-617-000513_x000a_SMLN-2022-614-000059"/>
    <x v="115"/>
  </r>
  <r>
    <d v="2022-02-17T00:00:00"/>
    <s v="VZ-2022-000250"/>
    <x v="0"/>
    <s v="Valtová"/>
    <x v="210"/>
    <n v="2"/>
    <s v="5.3. Kličky pro polypektomii  jednorázové hybridní"/>
    <m/>
    <s v="33140000-3"/>
    <m/>
    <n v="1740000"/>
    <x v="0"/>
    <d v="2022-03-14T00:00:00"/>
    <d v="2022-06-06T00:00:00"/>
    <d v="2022-08-09T00:00:00"/>
    <s v="Olympus Czech Group, s.r.o., člen koncernu"/>
    <m/>
    <n v="748000"/>
    <n v="905080"/>
    <m/>
    <m/>
    <m/>
    <d v="2022-08-09T00:00:00"/>
    <s v="SMLN-2022-617-000514_x000a_SMLN-2022-614-000060"/>
    <x v="116"/>
  </r>
  <r>
    <d v="2022-02-17T00:00:00"/>
    <s v="VZ-2022-000250"/>
    <x v="0"/>
    <s v="Valtová"/>
    <x v="210"/>
    <n v="3"/>
    <s v="5.4. Souprava polypektomická jednorázová, k použití pro EMRC v horním GI traktu"/>
    <m/>
    <s v="33140000-3"/>
    <m/>
    <n v="1526200"/>
    <x v="0"/>
    <d v="2022-03-14T00:00:00"/>
    <d v="2022-06-06T00:00:00"/>
    <d v="2022-08-09T00:00:00"/>
    <s v="Olympus Czech Group, s.r.o., člen koncernu"/>
    <m/>
    <n v="77830"/>
    <n v="94174.3"/>
    <m/>
    <m/>
    <m/>
    <d v="2022-08-09T00:00:00"/>
    <s v="SMLN-2022-617-000515_x000a_SMLN-2022-614-000061"/>
    <x v="116"/>
  </r>
  <r>
    <d v="2022-02-17T00:00:00"/>
    <s v="VZ-2022-000250"/>
    <x v="0"/>
    <s v="Valtová"/>
    <x v="210"/>
    <n v="4"/>
    <s v="5.5. Kličky asymetrické jednorázové elektrochirurgické do gastroskopu"/>
    <m/>
    <s v="33140000-3"/>
    <m/>
    <n v="244200"/>
    <x v="0"/>
    <d v="2022-03-14T00:00:00"/>
    <d v="2022-06-06T00:00:00"/>
    <d v="2022-08-09T00:00:00"/>
    <s v="Boston Scientific Česká republika s.r.o."/>
    <m/>
    <n v="115500"/>
    <n v="139755"/>
    <m/>
    <m/>
    <m/>
    <d v="2022-08-09T00:00:00"/>
    <s v="SMLN-2022-617-000516_x000a_SMLN-2022-614-000062"/>
    <x v="117"/>
  </r>
  <r>
    <d v="2022-02-17T00:00:00"/>
    <s v="VZ-2022-000250"/>
    <x v="0"/>
    <s v="Valtová"/>
    <x v="210"/>
    <n v="5"/>
    <s v="5.2.1. Kličky polypektomické k diatermické polypektomii, jednorázové monofilamentní"/>
    <m/>
    <s v="33140000-3"/>
    <m/>
    <n v="440400"/>
    <x v="0"/>
    <d v="2022-03-14T00:00:00"/>
    <d v="2022-06-06T00:00:00"/>
    <d v="2022-08-09T00:00:00"/>
    <s v="Medinet s.r.o."/>
    <m/>
    <n v="243000"/>
    <n v="294030"/>
    <m/>
    <m/>
    <m/>
    <d v="2022-08-09T00:00:00"/>
    <s v="SMLN-2022-617-000517_x000a_SMLN-2022-614-000063"/>
    <x v="115"/>
  </r>
  <r>
    <d v="2022-02-17T00:00:00"/>
    <s v="VZ-2022-000250"/>
    <x v="0"/>
    <s v="Valtová"/>
    <x v="210"/>
    <n v="6"/>
    <s v="5.2.2. Kličky polypektomické k diatermické polypektomii, jednorázové  pletené    "/>
    <m/>
    <s v="33140000-3"/>
    <m/>
    <n v="860000"/>
    <x v="0"/>
    <d v="2022-03-14T00:00:00"/>
    <d v="2022-06-06T00:00:00"/>
    <d v="2022-08-09T00:00:00"/>
    <s v="Medinet s.r.o."/>
    <m/>
    <n v="560000"/>
    <n v="677600"/>
    <m/>
    <m/>
    <m/>
    <d v="2022-08-09T00:00:00"/>
    <s v="SMLN-2022-617-000518_x000a_SMLN-2022-614-000064_x000a_SMLN-2022-614-000065"/>
    <x v="115"/>
  </r>
  <r>
    <d v="2022-02-17T00:00:00"/>
    <s v="VZ-2022-000250"/>
    <x v="0"/>
    <s v="Valtová"/>
    <x v="210"/>
    <n v="7"/>
    <s v="5.2.3.  Kličky polypektomické k diatermické polypektomii, jednorázové pletené s přídavným opletením"/>
    <m/>
    <s v="33140000-3"/>
    <m/>
    <n v="311500"/>
    <x v="0"/>
    <d v="2022-03-14T00:00:00"/>
    <d v="2022-06-06T00:00:00"/>
    <d v="2022-08-09T00:00:00"/>
    <s v="Medinet s.r.o."/>
    <m/>
    <n v="205000"/>
    <n v="248050"/>
    <m/>
    <m/>
    <m/>
    <d v="2022-08-09T00:00:00"/>
    <s v="SMLN-2022-617-000519_x000a_SMLN-2022-614-000066"/>
    <x v="115"/>
  </r>
  <r>
    <d v="2022-03-03T00:00:00"/>
    <s v="VZ-2022-000251"/>
    <x v="3"/>
    <s v="Olejníček"/>
    <x v="211"/>
    <m/>
    <m/>
    <m/>
    <s v="33111650-2"/>
    <s v="2.3.595."/>
    <n v="10344909"/>
    <x v="0"/>
    <d v="2022-04-19T00:00:00"/>
    <d v="2022-06-15T00:00:00"/>
    <d v="2022-08-19T00:00:00"/>
    <s v="Stargen EU s.r.o."/>
    <m/>
    <n v="11657040"/>
    <n v="14105018.4"/>
    <m/>
    <m/>
    <m/>
    <d v="2022-08-19T00:00:00"/>
    <s v="SMLN-2022-617-000571_x000a_SMLN-2022-612-000172"/>
    <x v="118"/>
  </r>
  <r>
    <d v="2022-02-25T00:00:00"/>
    <s v="VZ-2022-000256"/>
    <x v="0"/>
    <s v="Dočkalová"/>
    <x v="212"/>
    <n v="1"/>
    <s v="Trokar s ochranným ostřím a fixačním balonkem"/>
    <m/>
    <s v="33162200-5"/>
    <m/>
    <n v="1590094"/>
    <x v="0"/>
    <d v="2022-03-11T00:00:00"/>
    <d v="2022-04-13T00:00:00"/>
    <m/>
    <s v="zrušeno - bez nabídky"/>
    <s v="nová VZ-2022-000442"/>
    <m/>
    <m/>
    <m/>
    <m/>
    <m/>
    <m/>
    <m/>
    <x v="4"/>
  </r>
  <r>
    <d v="2022-02-25T00:00:00"/>
    <s v="VZ-2022-000256"/>
    <x v="0"/>
    <s v="Dočkalová"/>
    <x v="212"/>
    <n v="2"/>
    <s v="Trokar s lineárním břitem a fixačním rukávem"/>
    <m/>
    <s v="33162200-5"/>
    <m/>
    <n v="1515757"/>
    <x v="0"/>
    <d v="2022-03-11T00:00:00"/>
    <d v="2022-04-13T00:00:00"/>
    <d v="2022-04-29T00:00:00"/>
    <s v="Medtronic Czechia s.r.o."/>
    <m/>
    <n v="830620"/>
    <n v="1005050.2"/>
    <m/>
    <m/>
    <m/>
    <d v="2022-04-29T00:00:00"/>
    <s v="SMLN-2022-617-000300"/>
    <x v="88"/>
  </r>
  <r>
    <d v="2022-03-04T00:00:00"/>
    <s v="VZ-2022-000257"/>
    <x v="3"/>
    <s v="Olejníček"/>
    <x v="213"/>
    <n v="1"/>
    <s v="Centrifuga pro Ústav klinické a molekulární patologie"/>
    <m/>
    <s v="33100000-1"/>
    <s v="2.2.425.,2.3.578."/>
    <n v="1294071"/>
    <x v="0"/>
    <d v="2022-04-19T00:00:00"/>
    <d v="2022-06-03T00:00:00"/>
    <d v="2022-08-01T00:00:00"/>
    <s v="SCHOELLER INSTRUMENTS, s.r.o."/>
    <m/>
    <n v="879700"/>
    <n v="10644374"/>
    <m/>
    <m/>
    <m/>
    <d v="2022-08-01T00:00:00"/>
    <s v="SMLN-2022-617-000489_x000a_SMLN-2022-612-000143"/>
    <x v="119"/>
  </r>
  <r>
    <d v="2022-03-04T00:00:00"/>
    <s v="VZ-2022-000257"/>
    <x v="3"/>
    <s v="Olejníček"/>
    <x v="213"/>
    <n v="2"/>
    <s v="Centrifugy pro Transfuzní oddělení"/>
    <m/>
    <s v="33100000-1"/>
    <s v="2.3.586.,2.3.627."/>
    <n v="794250"/>
    <x v="0"/>
    <d v="2022-04-19T00:00:00"/>
    <d v="2022-06-03T00:00:00"/>
    <d v="2022-08-01T00:00:00"/>
    <s v="SCHOELLER INSTRUMENTS, s.r.o."/>
    <m/>
    <n v="415200"/>
    <n v="502392"/>
    <m/>
    <m/>
    <m/>
    <d v="2022-08-01T00:00:00"/>
    <s v="SMLN-2022-617-000492_x000a_SMLN-2022-617-000493_x000a_SMLN-2022-612-000146"/>
    <x v="108"/>
  </r>
  <r>
    <d v="2022-03-04T00:00:00"/>
    <s v="VZ-2022-000257"/>
    <x v="3"/>
    <s v="Olejníček"/>
    <x v="213"/>
    <n v="3"/>
    <s v="Centrifuga pro OKB - LDMP"/>
    <m/>
    <s v="33100000-1"/>
    <s v="2.3.575."/>
    <n v="261612"/>
    <x v="0"/>
    <d v="2022-04-19T00:00:00"/>
    <d v="2022-06-03T00:00:00"/>
    <d v="2022-08-01T00:00:00"/>
    <s v="SCHOELLER INSTRUMENTS, s.r.o."/>
    <m/>
    <n v="169200"/>
    <n v="204732"/>
    <m/>
    <m/>
    <m/>
    <d v="2022-08-01T00:00:00"/>
    <s v="SMLN-2022-617-000490_x000a_SMLN-2022-612-000144"/>
    <x v="108"/>
  </r>
  <r>
    <d v="2022-03-04T00:00:00"/>
    <s v="VZ-2022-000257"/>
    <x v="3"/>
    <s v="Olejníček"/>
    <x v="213"/>
    <n v="4"/>
    <s v="Centrifuga pro OKB - úsek imunoanalytických metod"/>
    <m/>
    <s v="33100000-1"/>
    <s v="2.3.575."/>
    <n v="261612"/>
    <x v="0"/>
    <d v="2022-04-19T00:00:00"/>
    <d v="2022-06-03T00:00:00"/>
    <d v="2022-08-05T00:00:00"/>
    <s v="BioTech a.s."/>
    <m/>
    <n v="142000"/>
    <n v="171820"/>
    <m/>
    <m/>
    <m/>
    <d v="2022-08-05T00:00:00"/>
    <s v="SMLN-2022-617-000505_x000a_SMLN-2022-612-000149"/>
    <x v="120"/>
  </r>
  <r>
    <d v="2022-03-04T00:00:00"/>
    <s v="VZ-2022-000257"/>
    <x v="3"/>
    <s v="Olejníček"/>
    <x v="213"/>
    <n v="5"/>
    <s v="Vakuový koncentrátor"/>
    <m/>
    <s v="33100000-1"/>
    <s v="2.2.422."/>
    <n v="272000"/>
    <x v="0"/>
    <d v="2022-04-19T00:00:00"/>
    <d v="2022-06-03T00:00:00"/>
    <d v="2022-08-01T00:00:00"/>
    <s v="TRIGON PLUS s.r.o."/>
    <m/>
    <n v="236000"/>
    <n v="285560"/>
    <m/>
    <m/>
    <m/>
    <d v="2022-08-01T00:00:00"/>
    <s v="SMLN-2022-617-000494_x000a_SMLN-2022-612-000147"/>
    <x v="108"/>
  </r>
  <r>
    <d v="2022-03-04T00:00:00"/>
    <s v="VZ-2022-000257"/>
    <x v="4"/>
    <s v="Olejníček"/>
    <x v="213"/>
    <n v="6"/>
    <s v="Centrifuga pro Hemato-onkologickou kliniku"/>
    <m/>
    <s v="33100000-1"/>
    <s v="2.3.659."/>
    <n v="105000"/>
    <x v="0"/>
    <d v="2022-04-19T00:00:00"/>
    <d v="2022-06-03T00:00:00"/>
    <d v="2022-08-01T00:00:00"/>
    <s v="SCHOELLER INSTRUMENTS, s.r.o."/>
    <m/>
    <n v="62100"/>
    <n v="75141"/>
    <m/>
    <m/>
    <m/>
    <d v="2022-08-01T00:00:00"/>
    <s v="SMLN-2022-617-000491_x000a_SMLN-2022-612-000145"/>
    <x v="108"/>
  </r>
  <r>
    <d v="2022-03-04T00:00:00"/>
    <s v="VZ-2022-000259"/>
    <x v="6"/>
    <s v="Zdráhalová"/>
    <x v="214"/>
    <m/>
    <m/>
    <m/>
    <s v="39120000-9"/>
    <m/>
    <n v="2667613"/>
    <x v="0"/>
    <d v="2022-03-11T00:00:00"/>
    <d v="2022-04-19T00:00:00"/>
    <d v="2022-05-25T00:00:00"/>
    <s v="BRANTAL, spol. s r.o."/>
    <m/>
    <n v="2588444"/>
    <n v="3132017.24"/>
    <m/>
    <m/>
    <m/>
    <d v="2022-05-25T00:00:00"/>
    <s v="SMLN-2022-618-000029"/>
    <x v="6"/>
  </r>
  <r>
    <d v="2022-03-08T00:00:00"/>
    <s v="VZ-2022-000267"/>
    <x v="9"/>
    <s v="Miklík"/>
    <x v="215"/>
    <m/>
    <m/>
    <m/>
    <s v="72225000-8"/>
    <m/>
    <n v="1450000"/>
    <x v="2"/>
    <d v="2022-03-10T00:00:00"/>
    <d v="2022-03-17T00:00:00"/>
    <m/>
    <s v="zrušeno - upravit specifikaci"/>
    <s v="nová VZ-2022-000283"/>
    <m/>
    <m/>
    <m/>
    <m/>
    <m/>
    <m/>
    <m/>
    <x v="4"/>
  </r>
  <r>
    <d v="2022-03-01T00:00:00"/>
    <s v="VZ-2022-000269"/>
    <x v="0"/>
    <s v="Dočkalová"/>
    <x v="216"/>
    <m/>
    <m/>
    <m/>
    <s v="33140000-3"/>
    <m/>
    <n v="12643200"/>
    <x v="0"/>
    <d v="2022-03-18T00:00:00"/>
    <d v="2022-04-27T00:00:00"/>
    <d v="2022-05-25T00:00:00"/>
    <s v="Terumo BCT Europe N.V."/>
    <m/>
    <n v="12643200"/>
    <n v="15298272"/>
    <m/>
    <m/>
    <m/>
    <d v="2022-05-25T00:00:00"/>
    <s v="SMLN-2022-617-000370"/>
    <x v="121"/>
  </r>
  <r>
    <d v="2022-03-10T00:00:00"/>
    <s v="VZ-2022-000272"/>
    <x v="15"/>
    <s v="Jeřábková"/>
    <x v="217"/>
    <m/>
    <m/>
    <m/>
    <s v="55110000-4"/>
    <m/>
    <n v="700000"/>
    <x v="2"/>
    <d v="2022-03-11T00:00:00"/>
    <d v="2022-03-18T00:00:00"/>
    <d v="2022-03-22T00:00:00"/>
    <s v="HOTELPARK STADION a.s."/>
    <m/>
    <n v="736884.3"/>
    <n v="838000"/>
    <m/>
    <m/>
    <m/>
    <d v="2022-03-22T00:00:00"/>
    <s v="SMLN-2022-612-000029"/>
    <x v="20"/>
  </r>
  <r>
    <d v="2022-03-09T00:00:00"/>
    <s v="VZ-2022-000273"/>
    <x v="4"/>
    <s v="Olejníček"/>
    <x v="218"/>
    <n v="1"/>
    <s v="Mycí a dezinfekční automata na operační obuv - KUČOCH"/>
    <m/>
    <s v="33191000-5"/>
    <s v="2.2.443."/>
    <n v="432000"/>
    <x v="0"/>
    <d v="2022-04-13T00:00:00"/>
    <d v="2022-05-19T00:00:00"/>
    <d v="2022-06-10T00:00:00"/>
    <s v="MIELE, spol. s r.o."/>
    <m/>
    <n v="431245"/>
    <n v="521806.45"/>
    <m/>
    <m/>
    <m/>
    <d v="2022-06-10T00:00:00"/>
    <s v="SMLN-2022-617-000396_x000a_SMLN-2022-612-000100"/>
    <x v="102"/>
  </r>
  <r>
    <d v="2022-03-09T00:00:00"/>
    <s v="VZ-2022-000273"/>
    <x v="4"/>
    <s v="Olejníček"/>
    <x v="218"/>
    <n v="2"/>
    <s v="Desinfektor včetně příslušenství pro Dětskou kliniku"/>
    <m/>
    <s v="33191000-5"/>
    <s v="2.3.635."/>
    <n v="292000"/>
    <x v="0"/>
    <d v="2022-04-13T00:00:00"/>
    <d v="2022-05-19T00:00:00"/>
    <d v="2022-06-10T00:00:00"/>
    <s v="Fénix Brno, spol. s r.o."/>
    <m/>
    <n v="291142"/>
    <n v="352281.82"/>
    <m/>
    <m/>
    <m/>
    <d v="2022-06-10T00:00:00"/>
    <s v="SMLN-2022-617-000397_x000a_SMLN-2022-612-000101"/>
    <x v="102"/>
  </r>
  <r>
    <d v="2022-03-09T00:00:00"/>
    <s v="VZ-2022-000273"/>
    <x v="3"/>
    <s v="Olejníček"/>
    <x v="218"/>
    <n v="3"/>
    <s v="Laboratoní myčka pro mytí laboratorního skla - Ústav mikrobiologie"/>
    <m/>
    <s v="33191000-5"/>
    <s v="2.3.577."/>
    <n v="640810"/>
    <x v="0"/>
    <d v="2022-04-13T00:00:00"/>
    <d v="2022-05-19T00:00:00"/>
    <d v="2022-06-10T00:00:00"/>
    <s v="MIELE, spol. s r.o."/>
    <m/>
    <n v="571120"/>
    <n v="691055.2"/>
    <m/>
    <m/>
    <m/>
    <d v="2022-06-10T00:00:00"/>
    <s v="SMLN-2022-617-000398_x000a_SMLN-2022-612-000102"/>
    <x v="102"/>
  </r>
  <r>
    <d v="2022-02-25T00:00:00"/>
    <s v="VZ-2022-000275"/>
    <x v="0"/>
    <s v="Valtová"/>
    <x v="219"/>
    <m/>
    <m/>
    <m/>
    <s v="33140000-3"/>
    <m/>
    <n v="2308500"/>
    <x v="0"/>
    <d v="2022-03-15T00:00:00"/>
    <d v="2022-05-25T00:00:00"/>
    <d v="2022-06-16T00:00:00"/>
    <s v="Mediform, spol. s r.o."/>
    <m/>
    <n v="930000"/>
    <n v="1125300"/>
    <m/>
    <m/>
    <m/>
    <d v="2022-06-16T00:00:00"/>
    <s v="SMLN-2022-617-000412_x000a_SMLN-2022-614-000053"/>
    <x v="122"/>
  </r>
  <r>
    <s v="opakovaná VZ"/>
    <s v="VZ-2022-000283"/>
    <x v="9"/>
    <s v="Miklík"/>
    <x v="220"/>
    <m/>
    <m/>
    <m/>
    <s v="72225000-8"/>
    <m/>
    <n v="1450000"/>
    <x v="2"/>
    <d v="2022-03-16T00:00:00"/>
    <d v="2022-03-25T00:00:00"/>
    <d v="2022-04-07T00:00:00"/>
    <s v="GROUWE, s.r.o."/>
    <m/>
    <n v="990000"/>
    <n v="1197900"/>
    <m/>
    <m/>
    <m/>
    <d v="2022-04-07T00:00:00"/>
    <s v="SMLN-2022-612-000039"/>
    <x v="82"/>
  </r>
  <r>
    <d v="2022-03-16T00:00:00"/>
    <s v="VZ-2022-000284"/>
    <x v="6"/>
    <s v="Zdráhalová"/>
    <x v="221"/>
    <m/>
    <m/>
    <m/>
    <s v="39143121-0"/>
    <m/>
    <n v="1509200"/>
    <x v="2"/>
    <d v="2022-03-23T00:00:00"/>
    <d v="2022-04-01T00:00:00"/>
    <d v="2022-04-29T00:00:00"/>
    <s v="IN SPACE s.r.o."/>
    <m/>
    <n v="1930500"/>
    <n v="2335905"/>
    <m/>
    <m/>
    <m/>
    <d v="2022-04-29T00:00:00"/>
    <s v="SMLN-2022-617-000299"/>
    <x v="85"/>
  </r>
  <r>
    <s v="opakovaná VZ"/>
    <s v="VZ-2022-000286"/>
    <x v="0"/>
    <s v="Valtová"/>
    <x v="222"/>
    <m/>
    <m/>
    <m/>
    <s v="33140000-3"/>
    <m/>
    <n v="13758670"/>
    <x v="0"/>
    <d v="2022-03-18T00:00:00"/>
    <d v="2022-04-20T00:00:00"/>
    <d v="2022-05-04T00:00:00"/>
    <s v="A care a.s."/>
    <m/>
    <n v="13758670"/>
    <n v="15822470.5"/>
    <m/>
    <m/>
    <m/>
    <d v="2022-05-04T00:00:00"/>
    <s v="SMLN-2022-617-000320_x000a_SMLN-2022-614-000044"/>
    <x v="114"/>
  </r>
  <r>
    <d v="2022-03-17T00:00:00"/>
    <s v="VZ-2022-000290"/>
    <x v="4"/>
    <s v="Olejníček"/>
    <x v="223"/>
    <m/>
    <m/>
    <m/>
    <s v="33192400-6"/>
    <s v="2.2.444."/>
    <n v="631835"/>
    <x v="2"/>
    <d v="2022-03-21T00:00:00"/>
    <d v="2022-03-31T00:00:00"/>
    <d v="2022-04-20T00:00:00"/>
    <s v="SCHAFFEROVÁ spol. s r.o."/>
    <m/>
    <n v="929281.33"/>
    <n v="1124430.4099999999"/>
    <m/>
    <m/>
    <m/>
    <d v="2022-04-20T00:00:00"/>
    <s v="SMLN-2022-617-000266_x000a_SMLN-2022-612-000050"/>
    <x v="87"/>
  </r>
  <r>
    <d v="2022-03-17T00:00:00"/>
    <s v="VZ-2022-000291"/>
    <x v="0"/>
    <s v="Dočkalová"/>
    <x v="224"/>
    <m/>
    <m/>
    <m/>
    <s v="33162200-5"/>
    <m/>
    <n v="2782400"/>
    <x v="0"/>
    <d v="2022-03-21T00:00:00"/>
    <d v="2022-04-25T00:00:00"/>
    <d v="2022-05-09T00:00:00"/>
    <s v="ADYTON s.r.o."/>
    <m/>
    <n v="2782400"/>
    <n v="3199760"/>
    <m/>
    <m/>
    <m/>
    <d v="2022-05-09T00:00:00"/>
    <s v="SMLN-2022-617-000326"/>
    <x v="61"/>
  </r>
  <r>
    <s v="opakovaná VZ"/>
    <s v="VZ-2022-000293"/>
    <x v="3"/>
    <s v="Olejníček"/>
    <x v="225"/>
    <n v="1"/>
    <s v="Laboratorní mikroskopy   "/>
    <s v="38634000-8 "/>
    <s v="38634000-8 "/>
    <s v="2.3.569."/>
    <n v="1786211"/>
    <x v="0"/>
    <d v="2022-04-14T00:00:00"/>
    <d v="2022-05-20T00:00:00"/>
    <d v="2022-09-08T00:00:00"/>
    <s v="Sven BioLabs s.r.o."/>
    <m/>
    <n v="1793994"/>
    <n v="2170732.7400000002"/>
    <m/>
    <m/>
    <m/>
    <d v="2022-09-08T00:00:00"/>
    <s v="SMLN-2022-617-000619_x000a_SMLN-2022-612-000187"/>
    <x v="103"/>
  </r>
  <r>
    <s v="opakovaná VZ"/>
    <s v="VZ-2022-000293"/>
    <x v="4"/>
    <s v="Olejníček"/>
    <x v="225"/>
    <n v="2"/>
    <s v="Mikroskop pro III. Inetrní kliniku"/>
    <m/>
    <s v="38634000-8 "/>
    <m/>
    <n v="195162"/>
    <x v="0"/>
    <d v="2022-04-14T00:00:00"/>
    <d v="2022-05-20T00:00:00"/>
    <d v="2022-09-08T00:00:00"/>
    <s v="Sven BioLabs s.r.o."/>
    <m/>
    <n v="205668"/>
    <n v="248858.28"/>
    <m/>
    <m/>
    <m/>
    <d v="2022-09-08T00:00:00"/>
    <s v="SMLN-2022-617-000620_x000a_SMLN-2022-612-000188"/>
    <x v="103"/>
  </r>
  <r>
    <d v="2022-03-18T00:00:00"/>
    <s v="VZ-2022-000295"/>
    <x v="4"/>
    <s v="Olejníček"/>
    <x v="226"/>
    <m/>
    <m/>
    <m/>
    <s v="33160000-9"/>
    <s v="2.2.449."/>
    <n v="455000"/>
    <x v="0"/>
    <d v="2022-03-25T00:00:00"/>
    <d v="2022-04-26T00:00:00"/>
    <d v="2022-05-12T00:00:00"/>
    <s v="SCHAFFEROVÁ spol. s r.o."/>
    <m/>
    <n v="478600"/>
    <n v="579106"/>
    <m/>
    <m/>
    <m/>
    <d v="2022-05-12T00:00:00"/>
    <s v="SMLN-2022-617-000349_x000a_SMLN-2022-612-000080"/>
    <x v="123"/>
  </r>
  <r>
    <d v="2022-03-21T00:00:00"/>
    <s v="VZ-2022-000298"/>
    <x v="0"/>
    <s v="Dočkalová"/>
    <x v="227"/>
    <m/>
    <m/>
    <m/>
    <s v="33140000-3"/>
    <m/>
    <n v="1527150"/>
    <x v="2"/>
    <d v="2022-03-23T00:00:00"/>
    <d v="2022-04-01T00:00:00"/>
    <m/>
    <s v="zrušeno - bez hodnotitelné nabídky"/>
    <s v="nová VZ-2022-000542"/>
    <m/>
    <m/>
    <m/>
    <m/>
    <m/>
    <m/>
    <m/>
    <x v="4"/>
  </r>
  <r>
    <d v="2022-03-22T00:00:00"/>
    <s v="VZ-2022-000303"/>
    <x v="0"/>
    <s v="Valtová"/>
    <x v="228"/>
    <m/>
    <m/>
    <m/>
    <s v="33140000-3"/>
    <m/>
    <n v="1513044"/>
    <x v="2"/>
    <d v="2022-03-29T00:00:00"/>
    <d v="2022-04-07T00:00:00"/>
    <d v="2022-04-13T00:00:00"/>
    <s v="Cardiomedical, s.r.o."/>
    <m/>
    <n v="1437000"/>
    <n v="1652550"/>
    <m/>
    <m/>
    <m/>
    <d v="2022-04-13T00:00:00"/>
    <s v="SMLN-2022-617-000249_x000a_SMLN-2022-614-000038"/>
    <x v="111"/>
  </r>
  <r>
    <d v="2022-03-22T00:00:00"/>
    <s v="VZ-2022-000306"/>
    <x v="1"/>
    <s v="Ondráčková"/>
    <x v="229"/>
    <n v="1"/>
    <s v="FOSKARNET"/>
    <m/>
    <s v="33651400-2"/>
    <m/>
    <n v="10130509"/>
    <x v="0"/>
    <d v="2022-03-28T00:00:00"/>
    <d v="2022-06-01T00:00:00"/>
    <d v="2022-06-10T00:00:00"/>
    <s v="PHOENIX lék.velkoobchod, s.r.o."/>
    <m/>
    <n v="10130508.6"/>
    <n v="11143559.460000001"/>
    <m/>
    <m/>
    <m/>
    <d v="2022-06-10T00:00:00"/>
    <s v="SMLN-2022-617-000401"/>
    <x v="124"/>
  </r>
  <r>
    <d v="2022-05-06T00:00:00"/>
    <s v="VZ-2022-000307"/>
    <x v="1"/>
    <s v="Ondráčková"/>
    <x v="230"/>
    <n v="1"/>
    <s v="LAMIVUDIN"/>
    <m/>
    <s v="33651400-2"/>
    <m/>
    <n v="226023"/>
    <x v="0"/>
    <d v="2022-05-13T00:00:00"/>
    <d v="2022-07-01T00:00:00"/>
    <d v="2022-08-23T00:00:00"/>
    <s v="PHOENIX lék.velkoobchod, s.r.o."/>
    <m/>
    <n v="222454.89"/>
    <n v="244700.38"/>
    <m/>
    <m/>
    <m/>
    <d v="2022-08-24T00:00:00"/>
    <s v="SMLN-2022-617-000580"/>
    <x v="99"/>
  </r>
  <r>
    <d v="2022-05-06T00:00:00"/>
    <s v="VZ-2022-000307"/>
    <x v="1"/>
    <s v="Ondráčková"/>
    <x v="230"/>
    <n v="2"/>
    <s v="TENOFOVIR - DISOPROXIL "/>
    <m/>
    <s v="33651400-2"/>
    <m/>
    <n v="31693"/>
    <x v="0"/>
    <d v="2022-05-13T00:00:00"/>
    <d v="2022-07-01T00:00:00"/>
    <d v="2022-08-23T00:00:00"/>
    <s v="PHOENIX lék.velkoobchod, s.r.o."/>
    <m/>
    <n v="16188.66"/>
    <n v="17807.53"/>
    <m/>
    <m/>
    <m/>
    <d v="2022-08-24T00:00:00"/>
    <s v="SMLN-2022-617-000581"/>
    <x v="99"/>
  </r>
  <r>
    <d v="2022-05-06T00:00:00"/>
    <s v="VZ-2022-000307"/>
    <x v="1"/>
    <s v="Ondráčková"/>
    <x v="230"/>
    <n v="3"/>
    <s v="ENTEKAVIR "/>
    <m/>
    <s v="33651400-2"/>
    <m/>
    <n v="726985"/>
    <x v="0"/>
    <d v="2022-05-13T00:00:00"/>
    <d v="2022-07-01T00:00:00"/>
    <d v="2022-08-23T00:00:00"/>
    <s v="PHOENIX lék.velkoobchod, s.r.o."/>
    <m/>
    <n v="1659693.24"/>
    <n v="1825662.56"/>
    <m/>
    <m/>
    <m/>
    <d v="2022-08-24T00:00:00"/>
    <s v="SMLN-2022-617-000582"/>
    <x v="99"/>
  </r>
  <r>
    <d v="2022-05-06T00:00:00"/>
    <s v="VZ-2022-000307"/>
    <x v="1"/>
    <s v="Ondráčková"/>
    <x v="230"/>
    <n v="4"/>
    <s v="TENOFOVIR - DISOPROXIL A EMTRICITABIN"/>
    <m/>
    <s v="33651400-2"/>
    <m/>
    <n v="15532"/>
    <x v="0"/>
    <d v="2022-05-13T00:00:00"/>
    <d v="2022-07-01T00:00:00"/>
    <m/>
    <s v="zrušeno - bez nabídky"/>
    <m/>
    <m/>
    <m/>
    <m/>
    <m/>
    <m/>
    <m/>
    <m/>
    <x v="4"/>
  </r>
  <r>
    <d v="2022-05-06T00:00:00"/>
    <s v="VZ-2022-000307"/>
    <x v="1"/>
    <s v="Ondráčková"/>
    <x v="230"/>
    <n v="5"/>
    <s v="ELBASVIR A GRAZOPREVIR  "/>
    <m/>
    <s v="33651400-2"/>
    <m/>
    <n v="2891520"/>
    <x v="0"/>
    <d v="2022-05-13T00:00:00"/>
    <d v="2022-07-01T00:00:00"/>
    <d v="2022-08-23T00:00:00"/>
    <s v="Merck Sharp &amp; Dohme s.r.o."/>
    <m/>
    <n v="2734900.74"/>
    <n v="3008390.81"/>
    <m/>
    <m/>
    <m/>
    <d v="2022-08-24T00:00:00"/>
    <s v="SMLN-2022-617-000583"/>
    <x v="125"/>
  </r>
  <r>
    <d v="2022-03-22T00:00:00"/>
    <s v="VZ-2022-000308"/>
    <x v="1"/>
    <s v="Ondráčková"/>
    <x v="231"/>
    <n v="1"/>
    <s v="_x000a_FLUKONAZOL  "/>
    <m/>
    <s v="33651200-0"/>
    <m/>
    <n v="1416354"/>
    <x v="0"/>
    <d v="2022-04-01T00:00:00"/>
    <d v="2022-06-15T00:00:00"/>
    <d v="2022-08-10T00:00:00"/>
    <s v="PHOENIX lék.velkoobchod, s.r.o."/>
    <m/>
    <n v="6044666"/>
    <n v="6649132.5999999996"/>
    <m/>
    <m/>
    <m/>
    <d v="2022-08-10T00:00:00"/>
    <s v="SMLN-2022-617-000522"/>
    <x v="98"/>
  </r>
  <r>
    <d v="2022-03-22T00:00:00"/>
    <s v="VZ-2022-000308"/>
    <x v="1"/>
    <s v="Ondráčková"/>
    <x v="231"/>
    <n v="2"/>
    <s v="ITRAKONAZOL  I."/>
    <m/>
    <s v="33651200-0"/>
    <m/>
    <n v="119605"/>
    <x v="0"/>
    <d v="2022-04-01T00:00:00"/>
    <d v="2022-06-15T00:00:00"/>
    <m/>
    <s v="zrušeno - bez hodnotitelné nabídky"/>
    <m/>
    <m/>
    <m/>
    <m/>
    <m/>
    <m/>
    <m/>
    <m/>
    <x v="4"/>
  </r>
  <r>
    <d v="2022-03-22T00:00:00"/>
    <s v="VZ-2022-000308"/>
    <x v="1"/>
    <s v="Ondráčková"/>
    <x v="231"/>
    <n v="3"/>
    <s v="ITRAKONAZOL  II."/>
    <m/>
    <s v="33651200-0"/>
    <m/>
    <n v="115814"/>
    <x v="0"/>
    <d v="2022-04-01T00:00:00"/>
    <d v="2022-06-15T00:00:00"/>
    <d v="2022-08-10T00:00:00"/>
    <s v="PHOENIX lék.velkoobchod, s.r.o."/>
    <m/>
    <n v="114176.48"/>
    <n v="125594.13"/>
    <m/>
    <m/>
    <m/>
    <d v="2022-08-10T00:00:00"/>
    <s v="SMLN-2022-617-000523"/>
    <x v="98"/>
  </r>
  <r>
    <d v="2022-03-22T00:00:00"/>
    <s v="VZ-2022-000308"/>
    <x v="1"/>
    <s v="Ondráčková"/>
    <x v="231"/>
    <n v="4"/>
    <s v="ISAVUKONAZOL I."/>
    <m/>
    <s v="33651200-0"/>
    <m/>
    <n v="2299469"/>
    <x v="0"/>
    <d v="2022-04-01T00:00:00"/>
    <d v="2022-06-15T00:00:00"/>
    <d v="2022-08-10T00:00:00"/>
    <s v="PHOENIX lék.velkoobchod, s.r.o."/>
    <m/>
    <n v="2271260"/>
    <n v="2498386"/>
    <m/>
    <m/>
    <m/>
    <d v="2022-08-10T00:00:00"/>
    <s v="SMLN-2022-617-000524"/>
    <x v="98"/>
  </r>
  <r>
    <d v="2022-03-22T00:00:00"/>
    <s v="VZ-2022-000308"/>
    <x v="1"/>
    <s v="Ondráčková"/>
    <x v="231"/>
    <n v="5"/>
    <s v="ISAVUKONAZOL II."/>
    <m/>
    <s v="33651200-0"/>
    <m/>
    <n v="1174256"/>
    <x v="0"/>
    <d v="2022-04-01T00:00:00"/>
    <d v="2022-06-15T00:00:00"/>
    <d v="2022-08-10T00:00:00"/>
    <s v="PHOENIX lék.velkoobchod, s.r.o."/>
    <m/>
    <n v="1157661.1200000001"/>
    <n v="1273427.23"/>
    <m/>
    <m/>
    <m/>
    <d v="2022-08-10T00:00:00"/>
    <s v="SMLN-2022-617-000525"/>
    <x v="98"/>
  </r>
  <r>
    <d v="2022-03-22T00:00:00"/>
    <s v="VZ-2022-000308"/>
    <x v="1"/>
    <s v="Ondráčková"/>
    <x v="231"/>
    <n v="6"/>
    <s v="_x000a_KASPOFUNGIN  "/>
    <m/>
    <s v="33651200-0"/>
    <m/>
    <n v="542612"/>
    <x v="0"/>
    <d v="2022-04-01T00:00:00"/>
    <d v="2022-06-15T00:00:00"/>
    <d v="2022-08-10T00:00:00"/>
    <s v="Merck Sharp &amp; Dohme s.r.o."/>
    <m/>
    <n v="542608.12"/>
    <n v="596868.93000000005"/>
    <m/>
    <m/>
    <m/>
    <d v="2022-08-10T00:00:00"/>
    <s v="SMLN-2022-617-000526"/>
    <x v="107"/>
  </r>
  <r>
    <d v="2022-03-22T00:00:00"/>
    <s v="VZ-2022-000309"/>
    <x v="1"/>
    <s v="Ondráčková"/>
    <x v="232"/>
    <n v="1"/>
    <s v="_x000a_OFATUMUMAB  "/>
    <m/>
    <s v="33652300-8"/>
    <m/>
    <n v="74511965"/>
    <x v="0"/>
    <d v="2022-10-24T00:00:00"/>
    <d v="2022-12-20T00:00:00"/>
    <m/>
    <m/>
    <m/>
    <m/>
    <m/>
    <m/>
    <m/>
    <m/>
    <m/>
    <m/>
    <x v="4"/>
  </r>
  <r>
    <d v="2022-03-22T00:00:00"/>
    <s v="VZ-2022-000310"/>
    <x v="1"/>
    <s v="Ondráčková"/>
    <x v="233"/>
    <n v="1"/>
    <s v="TOFACITINIB"/>
    <m/>
    <s v="33652300-8"/>
    <m/>
    <n v="10184184"/>
    <x v="0"/>
    <d v="2022-03-28T00:00:00"/>
    <d v="2022-05-02T00:00:00"/>
    <d v="2022-05-10T00:00:00"/>
    <s v="PHOENIX lék.velkoobchod, s.r.o."/>
    <m/>
    <n v="10002391.5"/>
    <n v="11002630.65"/>
    <m/>
    <m/>
    <m/>
    <d v="2022-05-10T00:00:00"/>
    <s v="SMLN-2022-617-000329"/>
    <x v="80"/>
  </r>
  <r>
    <d v="2022-03-22T00:00:00"/>
    <s v="VZ-2022-000310"/>
    <x v="1"/>
    <s v="Ondráčková"/>
    <x v="233"/>
    <n v="2"/>
    <s v="LEFLUNOMID"/>
    <m/>
    <s v="33652300-8"/>
    <m/>
    <n v="270286"/>
    <x v="0"/>
    <d v="2022-03-28T00:00:00"/>
    <d v="2022-05-02T00:00:00"/>
    <d v="2022-05-10T00:00:00"/>
    <s v="Alliance Healthcare s.r.o."/>
    <m/>
    <n v="183136.65"/>
    <n v="201450.32"/>
    <m/>
    <m/>
    <m/>
    <d v="2022-05-10T00:00:00"/>
    <s v="SMLN-2022-617-000330"/>
    <x v="88"/>
  </r>
  <r>
    <d v="2022-03-22T00:00:00"/>
    <s v="VZ-2022-000311"/>
    <x v="1"/>
    <s v="Ondráčková"/>
    <x v="234"/>
    <n v="1"/>
    <s v="TEDUGLUTID"/>
    <m/>
    <s v="33610000-9"/>
    <m/>
    <n v="5434242"/>
    <x v="0"/>
    <d v="2022-04-11T00:00:00"/>
    <d v="2022-06-03T00:00:00"/>
    <d v="2022-06-30T00:00:00"/>
    <s v="Takeda Pharmaceuticals Czech Republic s.r.o."/>
    <m/>
    <n v="5434240.5300000003"/>
    <n v="5977664.5800000001"/>
    <m/>
    <m/>
    <m/>
    <d v="2022-06-30T00:00:00"/>
    <s v="SMLN-2022-617-000456"/>
    <x v="126"/>
  </r>
  <r>
    <d v="2022-03-22T00:00:00"/>
    <s v="VZ-2022-000312"/>
    <x v="1"/>
    <s v="Ondráčková"/>
    <x v="235"/>
    <n v="1"/>
    <s v="EKULIZUMAB  "/>
    <m/>
    <s v="33652300-8"/>
    <m/>
    <n v="270538297"/>
    <x v="0"/>
    <d v="2022-09-01T00:00:00"/>
    <d v="2022-10-31T00:00:00"/>
    <d v="2022-12-07T00:00:00"/>
    <s v="PHOENIX lék.velkoobchod, s.r.o."/>
    <m/>
    <n v="264954457.31999999"/>
    <n v="291449903.05000001"/>
    <m/>
    <m/>
    <m/>
    <d v="2022-12-07T00:00:00"/>
    <s v="SMLN-2022-617-000845"/>
    <x v="4"/>
  </r>
  <r>
    <d v="2022-03-23T00:00:00"/>
    <s v="VZ-2022-000315"/>
    <x v="3"/>
    <s v="Olejníček"/>
    <x v="236"/>
    <n v="1"/>
    <s v="Termocyklery pro HOK a Ústav genetiky"/>
    <m/>
    <s v="33100000-1"/>
    <s v="2.3.571.,2.3.582."/>
    <n v="449200"/>
    <x v="0"/>
    <d v="2022-05-02T00:00:00"/>
    <d v="2022-06-07T00:00:00"/>
    <d v="2022-08-17T00:00:00"/>
    <s v="BioTech a.s."/>
    <m/>
    <n v="448800"/>
    <n v="543048"/>
    <m/>
    <m/>
    <m/>
    <d v="2022-08-17T00:00:00"/>
    <s v="SMLN-2022-617-000557_x000a_SMLN-2022-612-000162"/>
    <x v="113"/>
  </r>
  <r>
    <d v="2022-03-23T00:00:00"/>
    <s v="VZ-2022-000315"/>
    <x v="3"/>
    <s v="Olejníček"/>
    <x v="236"/>
    <n v="2"/>
    <s v="qPCR pro Ústav genetiky"/>
    <m/>
    <s v="33100000-1"/>
    <s v="2.3.583."/>
    <n v="728000"/>
    <x v="0"/>
    <d v="2022-05-02T00:00:00"/>
    <d v="2022-06-07T00:00:00"/>
    <d v="2022-08-17T00:00:00"/>
    <s v="BioTech a.s."/>
    <m/>
    <n v="659700"/>
    <n v="798237"/>
    <m/>
    <m/>
    <m/>
    <d v="2022-08-17T00:00:00"/>
    <s v="SMLN-2022-617-000558_x000a_SMLN-2022-612-000163"/>
    <x v="113"/>
  </r>
  <r>
    <d v="2022-03-23T00:00:00"/>
    <s v="VZ-2022-000315"/>
    <x v="3"/>
    <s v="Olejníček"/>
    <x v="236"/>
    <n v="3"/>
    <s v="qPCR pro Ústav molekulární a klinické patologie"/>
    <m/>
    <s v="33100000-1"/>
    <s v="2.3.580."/>
    <n v="837500"/>
    <x v="0"/>
    <d v="2022-05-02T00:00:00"/>
    <d v="2022-06-07T00:00:00"/>
    <d v="2022-08-17T00:00:00"/>
    <s v="ROCHE s.r.o."/>
    <m/>
    <n v="826240"/>
    <n v="999750.4"/>
    <m/>
    <m/>
    <m/>
    <d v="2022-08-17T00:00:00"/>
    <s v="SMLN-2022-617-000559_x000a_SMLN-2022-612-000164"/>
    <x v="127"/>
  </r>
  <r>
    <d v="2022-03-23T00:00:00"/>
    <s v="VZ-2022-000315"/>
    <x v="3"/>
    <s v="Olejníček"/>
    <x v="236"/>
    <n v="4"/>
    <s v="qPCR pro HOK"/>
    <m/>
    <s v="33100000-1"/>
    <s v="2.3.573."/>
    <n v="869000"/>
    <x v="0"/>
    <d v="2022-05-02T00:00:00"/>
    <d v="2022-06-07T00:00:00"/>
    <d v="2022-08-17T00:00:00"/>
    <s v="BioTech a.s."/>
    <m/>
    <n v="758800"/>
    <n v="918148"/>
    <m/>
    <m/>
    <m/>
    <d v="2022-08-17T00:00:00"/>
    <s v="SMLN-2022-617-000560_x000a_SMLN-2022-612-000165"/>
    <x v="113"/>
  </r>
  <r>
    <d v="2022-03-23T00:00:00"/>
    <s v="VZ-2022-000315"/>
    <x v="3"/>
    <s v="Olejníček"/>
    <x v="236"/>
    <n v="5"/>
    <s v="dPCR systém pro HOK"/>
    <m/>
    <s v="33100000-1"/>
    <s v="2.2.417."/>
    <n v="1453340"/>
    <x v="0"/>
    <d v="2022-05-02T00:00:00"/>
    <d v="2022-06-07T00:00:00"/>
    <d v="2022-08-17T00:00:00"/>
    <s v="Explorea s.r.o."/>
    <m/>
    <n v="3420400"/>
    <n v="4138684"/>
    <m/>
    <m/>
    <m/>
    <d v="2022-08-17T00:00:00"/>
    <s v="SMLN-2022-617-000561_x000a_SMLN-2022-612-000166_x000a_SMLN-2022-617-000562"/>
    <x v="128"/>
  </r>
  <r>
    <d v="2022-03-23T00:00:00"/>
    <s v="VZ-2022-000315"/>
    <x v="3"/>
    <s v="Olejníček"/>
    <x v="236"/>
    <n v="6"/>
    <s v="ddPCR pro Ústav imunologie"/>
    <m/>
    <s v="33100000-1"/>
    <s v="2.2.423."/>
    <n v="11398066"/>
    <x v="0"/>
    <d v="2022-05-02T00:00:00"/>
    <d v="2022-06-07T00:00:00"/>
    <d v="2022-08-17T00:00:00"/>
    <s v="GeneTiCA s.r.o."/>
    <m/>
    <n v="7468205"/>
    <n v="9036528.0500000007"/>
    <m/>
    <m/>
    <m/>
    <d v="2022-08-17T00:00:00"/>
    <s v="SMLN-2022-617-000563_x000a_SMLN-2022-612-000167_x000a_SMLN-2022-617-000564"/>
    <x v="113"/>
  </r>
  <r>
    <d v="2022-03-23T00:00:00"/>
    <s v="VZ-2022-000318"/>
    <x v="0"/>
    <s v="Valtová"/>
    <x v="237"/>
    <m/>
    <m/>
    <m/>
    <s v="33140000-3"/>
    <m/>
    <n v="2236974"/>
    <x v="1"/>
    <d v="2022-04-01T00:00:00"/>
    <d v="2022-04-29T00:00:00"/>
    <d v="2022-06-14T00:00:00"/>
    <s v="Olympus Czech Group, s.r.o., člen koncernu"/>
    <m/>
    <n v="2167627.6"/>
    <n v="2622829.4"/>
    <m/>
    <m/>
    <m/>
    <d v="2022-06-14T00:00:00"/>
    <s v="SMLN-2022-617-000407_x000a_SMLN-2022-614-000052"/>
    <x v="104"/>
  </r>
  <r>
    <d v="2022-03-25T00:00:00"/>
    <s v="VZ-2022-000321"/>
    <x v="3"/>
    <s v="Olejníček"/>
    <x v="238"/>
    <n v="1"/>
    <s v="CO2 inkubátor - HOK"/>
    <m/>
    <s v="33152000-0"/>
    <s v="2.2.415."/>
    <n v="713670"/>
    <x v="0"/>
    <d v="2022-04-27T00:00:00"/>
    <d v="2022-06-10T00:00:00"/>
    <d v="2022-08-01T00:00:00"/>
    <s v="TRIGON PLUS s.r.o."/>
    <s v="nová VZ-2022-001135"/>
    <n v="747775"/>
    <n v="904807.75"/>
    <m/>
    <m/>
    <m/>
    <d v="2022-08-01T00:00:00"/>
    <s v="SMLN-2022-617-000483_x000a_SMLN-2022-612-000140"/>
    <x v="4"/>
  </r>
  <r>
    <d v="2022-03-25T00:00:00"/>
    <s v="VZ-2022-000321"/>
    <x v="3"/>
    <s v="Olejníček"/>
    <x v="238"/>
    <n v="2"/>
    <s v="Třepačka na trombocyty s inkubátorem"/>
    <m/>
    <s v="33152000-0"/>
    <s v="2.2.430."/>
    <n v="480368"/>
    <x v="0"/>
    <d v="2022-04-27T00:00:00"/>
    <d v="2022-06-10T00:00:00"/>
    <d v="2022-08-01T00:00:00"/>
    <s v="Fresenius Kabi s.r.o. Kabi s.r.o."/>
    <m/>
    <n v="513336"/>
    <n v="621136.56000000006"/>
    <m/>
    <m/>
    <m/>
    <d v="2022-08-01T00:00:00"/>
    <s v="SMLN-2022-617-000484_x000a_SMLN-2022-612-000141"/>
    <x v="108"/>
  </r>
  <r>
    <d v="2022-03-25T00:00:00"/>
    <s v="VZ-2022-000321"/>
    <x v="4"/>
    <s v="Olejníček"/>
    <x v="238"/>
    <n v="3"/>
    <s v="Inkubátor"/>
    <m/>
    <s v="33152000-0"/>
    <s v="2.3.615.,616."/>
    <n v="214876"/>
    <x v="0"/>
    <d v="2022-04-27T00:00:00"/>
    <d v="2022-06-10T00:00:00"/>
    <m/>
    <s v="zrušeno - bez nabídky"/>
    <s v="nová VZ-2022-000882"/>
    <m/>
    <m/>
    <m/>
    <m/>
    <m/>
    <m/>
    <m/>
    <x v="4"/>
  </r>
  <r>
    <d v="2022-03-25T00:00:00"/>
    <s v="VZ-2022-000321"/>
    <x v="4"/>
    <s v="Olejníček"/>
    <x v="238"/>
    <n v="4"/>
    <s v="CO2 inkubátor - mikrobiologie"/>
    <m/>
    <s v="33152000-0"/>
    <s v="2.3.650"/>
    <n v="422315"/>
    <x v="0"/>
    <d v="2022-04-27T00:00:00"/>
    <d v="2022-06-10T00:00:00"/>
    <d v="2022-08-01T00:00:00"/>
    <s v="SCHOELLER INSTRUMENTS, s.r.o."/>
    <m/>
    <n v="437250"/>
    <n v="529072.5"/>
    <m/>
    <m/>
    <m/>
    <d v="2022-08-01T00:00:00"/>
    <s v="SMLN-2022-617-000485_x000a_SMLN-2022-612-000142"/>
    <x v="108"/>
  </r>
  <r>
    <d v="2022-03-28T00:00:00"/>
    <s v="VZ-2022-000324"/>
    <x v="0"/>
    <s v="Valtová"/>
    <x v="239"/>
    <m/>
    <m/>
    <m/>
    <s v="33140000-3"/>
    <m/>
    <n v="1167300"/>
    <x v="0"/>
    <d v="2022-04-06T00:00:00"/>
    <d v="2022-05-19T00:00:00"/>
    <d v="2022-06-10T00:00:00"/>
    <s v="EspoMed spol. s r.o."/>
    <m/>
    <n v="1167300"/>
    <n v="1412433"/>
    <m/>
    <m/>
    <m/>
    <d v="2022-06-10T00:00:00"/>
    <s v="SMLN-2022-617-000400_x000a_SMLN-2022-614-000050"/>
    <x v="129"/>
  </r>
  <r>
    <d v="2022-03-25T00:00:00"/>
    <s v="VZ-2022-000325"/>
    <x v="16"/>
    <s v="Klimek"/>
    <x v="240"/>
    <n v="1"/>
    <s v="Sanitní vozidla DNR typu A2"/>
    <m/>
    <s v="34114122-0"/>
    <s v="4.2.179."/>
    <n v="3250000"/>
    <x v="0"/>
    <d v="2022-04-28T00:00:00"/>
    <d v="2022-05-31T00:00:00"/>
    <m/>
    <s v="zrušeno - bez hodnotitelné nabídky"/>
    <s v="nová VZ-2022-000717"/>
    <m/>
    <m/>
    <m/>
    <m/>
    <m/>
    <m/>
    <m/>
    <x v="4"/>
  </r>
  <r>
    <d v="2022-03-25T00:00:00"/>
    <s v="VZ-2022-000325"/>
    <x v="16"/>
    <s v="Klimek"/>
    <x v="240"/>
    <n v="2"/>
    <s v="Sanitní vozidlo DNR typu A2 s pohonem všech kol"/>
    <m/>
    <s v="34114122-0"/>
    <s v="4.2.179."/>
    <n v="1708000"/>
    <x v="0"/>
    <d v="2022-04-28T00:00:00"/>
    <d v="2022-05-31T00:00:00"/>
    <m/>
    <s v="zrušeno - bez hodnotitelné nabídky"/>
    <s v="nová VZ-2022-000717"/>
    <m/>
    <m/>
    <m/>
    <m/>
    <m/>
    <m/>
    <m/>
    <x v="4"/>
  </r>
  <r>
    <d v="2022-03-22T00:00:00"/>
    <s v="VZ-2022-000327"/>
    <x v="6"/>
    <s v="Zdráhalová"/>
    <x v="241"/>
    <m/>
    <m/>
    <m/>
    <s v="33141620-2"/>
    <m/>
    <n v="5819200"/>
    <x v="0"/>
    <d v="2022-04-14T00:00:00"/>
    <d v="2022-05-17T00:00:00"/>
    <d v="2022-11-24T00:00:00"/>
    <s v="Mölnlycke Health Care, s.r.o."/>
    <m/>
    <n v="9130000"/>
    <n v="11047300"/>
    <m/>
    <m/>
    <m/>
    <d v="2022-11-24T00:00:00"/>
    <s v="SMLN-2022-617-000823"/>
    <x v="130"/>
  </r>
  <r>
    <d v="2022-03-30T00:00:00"/>
    <s v="VZ-2022-000330"/>
    <x v="4"/>
    <s v="Novák"/>
    <x v="242"/>
    <m/>
    <m/>
    <m/>
    <s v="42131141-6"/>
    <m/>
    <n v="550000"/>
    <x v="2"/>
    <d v="2022-04-06T00:00:00"/>
    <d v="2022-04-20T00:00:00"/>
    <d v="2022-04-28T00:00:00"/>
    <s v="POLYMED medical CZ, a.s."/>
    <m/>
    <n v="689750.6"/>
    <n v="834598.24"/>
    <m/>
    <m/>
    <m/>
    <d v="2022-04-28T00:00:00"/>
    <s v="SMLN-2022-617-000290_x000a_SMLN-2022-612-000055"/>
    <x v="93"/>
  </r>
  <r>
    <d v="2022-03-29T00:00:00"/>
    <s v="VZ-2022-000331"/>
    <x v="1"/>
    <s v="Ondráčková"/>
    <x v="243"/>
    <m/>
    <m/>
    <m/>
    <s v="33651520-9"/>
    <m/>
    <n v="6521834"/>
    <x v="3"/>
    <d v="2022-05-09T00:00:00"/>
    <d v="2022-06-17T00:00:00"/>
    <d v="2022-07-07T00:00:00"/>
    <s v="AstraZeneca Czech Republic s.r.o."/>
    <m/>
    <n v="6521834"/>
    <n v="7174017.4000000004"/>
    <m/>
    <m/>
    <m/>
    <d v="2022-07-15T00:00:00"/>
    <s v="SMLN-2022-617-000460"/>
    <x v="131"/>
  </r>
  <r>
    <d v="2022-03-29T00:00:00"/>
    <s v="VZ-2022-000334"/>
    <x v="0"/>
    <s v="Merta"/>
    <x v="244"/>
    <m/>
    <m/>
    <m/>
    <s v="33182100-0"/>
    <m/>
    <n v="459200000"/>
    <x v="0"/>
    <d v="2022-04-07T00:00:00"/>
    <d v="2022-05-09T00:00:00"/>
    <d v="2022-06-13T00:00:00"/>
    <s v="Cardiomedical, s.r.o."/>
    <m/>
    <n v="459200000"/>
    <n v="528080000"/>
    <m/>
    <m/>
    <m/>
    <d v="2022-06-13T00:00:00"/>
    <s v="SMLN-2022-617-000405_x000a_SMLN-2022-614-000051_x000a_SMLN-2022-616-000024"/>
    <x v="71"/>
  </r>
  <r>
    <d v="2022-03-30T00:00:00"/>
    <s v="VZ-2022-000335"/>
    <x v="1"/>
    <s v="Ondráčková"/>
    <x v="245"/>
    <n v="1"/>
    <s v="VINKRISTIN "/>
    <m/>
    <s v="33652100-6"/>
    <m/>
    <n v="676658"/>
    <x v="0"/>
    <d v="2022-04-11T00:00:00"/>
    <d v="2022-07-20T00:00:00"/>
    <s v=" "/>
    <s v="PHARMOS, a.s., a.s."/>
    <m/>
    <n v="673001.52"/>
    <n v="740301.67"/>
    <m/>
    <m/>
    <m/>
    <d v="2022-10-19T00:00:00"/>
    <s v="SMLN-2022-617-000739"/>
    <x v="91"/>
  </r>
  <r>
    <d v="2022-03-30T00:00:00"/>
    <s v="VZ-2022-000335"/>
    <x v="1"/>
    <s v="Ondráčková"/>
    <x v="245"/>
    <n v="2"/>
    <s v="ETOPOSID  "/>
    <m/>
    <s v="33652100-6"/>
    <m/>
    <n v="773647"/>
    <x v="0"/>
    <d v="2022-04-11T00:00:00"/>
    <d v="2022-07-20T00:00:00"/>
    <d v="2022-10-19T00:00:00"/>
    <s v="Alliance Healthcare s.r.o."/>
    <m/>
    <n v="754847.52"/>
    <n v="830332.27"/>
    <m/>
    <m/>
    <m/>
    <d v="2022-10-19T00:00:00"/>
    <s v="SMLN-2022-617-000740"/>
    <x v="92"/>
  </r>
  <r>
    <d v="2022-03-30T00:00:00"/>
    <s v="VZ-2022-000335"/>
    <x v="1"/>
    <s v="Ondráčková"/>
    <x v="245"/>
    <n v="3"/>
    <s v="TOPOTEKAN  "/>
    <m/>
    <s v="33652100-6"/>
    <m/>
    <n v="174580"/>
    <x v="0"/>
    <d v="2022-04-11T00:00:00"/>
    <d v="2022-07-20T00:00:00"/>
    <d v="2022-10-19T00:00:00"/>
    <s v="ViaPharma s.r.o."/>
    <m/>
    <n v="174537"/>
    <n v="191990.7"/>
    <m/>
    <m/>
    <m/>
    <d v="2022-10-19T00:00:00"/>
    <s v="SMLN-2022-617-000741"/>
    <x v="4"/>
  </r>
  <r>
    <d v="2022-03-30T00:00:00"/>
    <s v="VZ-2022-000335"/>
    <x v="1"/>
    <s v="Ondráčková"/>
    <x v="245"/>
    <n v="4"/>
    <s v="TRABEKTEDIN "/>
    <m/>
    <s v="33652100-6"/>
    <m/>
    <n v="3277224"/>
    <x v="0"/>
    <d v="2022-04-11T00:00:00"/>
    <d v="2022-07-20T00:00:00"/>
    <d v="2022-12-29T00:00:00"/>
    <s v="Immedica Pharma AB"/>
    <m/>
    <n v="3277224"/>
    <n v="3604946.4"/>
    <m/>
    <m/>
    <m/>
    <d v="2022-12-29T00:00:00"/>
    <s v="SMLN-2022-617-000904"/>
    <x v="4"/>
  </r>
  <r>
    <d v="2022-03-03T00:00:00"/>
    <s v="VZ-2022-000343"/>
    <x v="0"/>
    <s v="Dočkalová"/>
    <x v="246"/>
    <m/>
    <m/>
    <m/>
    <s v="33141310-6"/>
    <m/>
    <n v="5849180"/>
    <x v="0"/>
    <d v="2022-05-12T00:00:00"/>
    <d v="2022-06-27T00:00:00"/>
    <d v="2022-07-21T00:00:00"/>
    <s v="Becton Dickinson Czechia, s.r.o."/>
    <m/>
    <n v="4937640"/>
    <n v="5974544"/>
    <m/>
    <m/>
    <m/>
    <d v="2022-07-21T00:00:00"/>
    <s v="SMLN-2022-617-000470"/>
    <x v="132"/>
  </r>
  <r>
    <d v="2022-03-29T00:00:00"/>
    <s v="VZ-2022-000349"/>
    <x v="4"/>
    <s v="Olejníček"/>
    <x v="247"/>
    <m/>
    <s v="NEREALIZOVÁNO V ROCE 2022 (PLÁN NA 2023)"/>
    <m/>
    <s v="33182100-0"/>
    <s v="2.2.363; 2.2.376;"/>
    <n v="3862488.43"/>
    <x v="0"/>
    <m/>
    <m/>
    <m/>
    <m/>
    <m/>
    <m/>
    <m/>
    <m/>
    <m/>
    <m/>
    <m/>
    <m/>
    <x v="4"/>
  </r>
  <r>
    <d v="2022-03-31T00:00:00"/>
    <s v="VZ-2022-000351-01"/>
    <x v="0"/>
    <s v="Dočkalová"/>
    <x v="248"/>
    <n v="1"/>
    <s v="Klipy a aplikátory klipů (specifikováno dle Ethicon Ligaclip)"/>
    <m/>
    <s v="33140000-3"/>
    <m/>
    <n v="1844100"/>
    <x v="0"/>
    <d v="2022-06-06T00:00:00"/>
    <d v="2022-08-22T00:00:00"/>
    <d v="2022-10-19T00:00:00"/>
    <s v="Johnson &amp; Johnson, s.r.o."/>
    <m/>
    <n v="900823.53"/>
    <n v="1089996.31"/>
    <m/>
    <m/>
    <m/>
    <d v="2022-10-19T00:00:00"/>
    <s v="SMLN-2022-617-000742_x000a_SMLN-2022-614-000087"/>
    <x v="133"/>
  </r>
  <r>
    <d v="2022-03-31T00:00:00"/>
    <s v="VZ-2022-000351-02"/>
    <x v="0"/>
    <s v="Dočkalová"/>
    <x v="248"/>
    <n v="2"/>
    <s v="Klipy a aplikátory klipů (specifikováno dle Weck HORIZON)"/>
    <m/>
    <s v="33140000-3"/>
    <m/>
    <n v="1287950"/>
    <x v="0"/>
    <d v="2022-06-06T00:00:00"/>
    <d v="2022-08-22T00:00:00"/>
    <d v="2022-10-19T00:00:00"/>
    <s v="Teleflex Medical s.r.o."/>
    <m/>
    <n v="1958815.08"/>
    <n v="2259329.9900000002"/>
    <m/>
    <m/>
    <m/>
    <d v="2022-10-19T00:00:00"/>
    <s v="SMLN-2022-617-000743"/>
    <x v="134"/>
  </r>
  <r>
    <d v="2022-03-31T00:00:00"/>
    <s v="VZ-2022-000351-03"/>
    <x v="0"/>
    <s v="Dočkalová"/>
    <x v="248"/>
    <n v="3"/>
    <s v="Klipy a aplikátory klipů (specifikováno dle Weck Hem-o-lok)"/>
    <m/>
    <s v="33140000-3"/>
    <m/>
    <n v="635950"/>
    <x v="0"/>
    <d v="2022-06-06T00:00:00"/>
    <d v="2022-08-22T00:00:00"/>
    <d v="2022-10-19T00:00:00"/>
    <s v="Teleflex Medical s.r.o."/>
    <m/>
    <n v="1585198.62"/>
    <n v="1842406.97"/>
    <m/>
    <m/>
    <m/>
    <d v="2022-10-19T00:00:00"/>
    <s v="SMLN-2022-617-000744"/>
    <x v="134"/>
  </r>
  <r>
    <d v="2022-04-05T00:00:00"/>
    <s v="VZ-2022-000352"/>
    <x v="4"/>
    <s v="Olejníček"/>
    <x v="249"/>
    <m/>
    <m/>
    <m/>
    <s v="38000000-5"/>
    <s v="2.3.638."/>
    <n v="64500"/>
    <x v="2"/>
    <d v="2022-04-11T00:00:00"/>
    <d v="2022-04-26T00:00:00"/>
    <d v="2022-05-03T00:00:00"/>
    <s v="SCHOELLER INSTRUMENTS, s.r.o."/>
    <m/>
    <n v="75200"/>
    <n v="90992"/>
    <m/>
    <m/>
    <m/>
    <d v="2022-05-03T00:00:00"/>
    <s v="SMLN-2022-617-000312_x000a_SMLN-2022-612-000068"/>
    <x v="85"/>
  </r>
  <r>
    <d v="2022-04-05T00:00:00"/>
    <s v="VZ-2022-000353"/>
    <x v="4"/>
    <s v="Olejníček"/>
    <x v="250"/>
    <m/>
    <m/>
    <m/>
    <s v="38000000-5"/>
    <s v="2.3.617."/>
    <n v="207450"/>
    <x v="2"/>
    <d v="2022-04-06T00:00:00"/>
    <d v="2022-04-20T00:00:00"/>
    <m/>
    <s v="zrušeno - úprava specifikace"/>
    <s v="nová VZ-2022-000444"/>
    <m/>
    <m/>
    <m/>
    <m/>
    <m/>
    <m/>
    <m/>
    <x v="4"/>
  </r>
  <r>
    <d v="2022-04-05T00:00:00"/>
    <s v="VZ-2022-000354"/>
    <x v="4"/>
    <s v="Olejníček"/>
    <x v="251"/>
    <n v="1"/>
    <s v="Odběrové křeslo pro kožní kliniku"/>
    <m/>
    <s v="33192300-5"/>
    <s v="2.2.435."/>
    <n v="99000"/>
    <x v="2"/>
    <d v="2022-04-11T00:00:00"/>
    <d v="2022-04-14T00:00:00"/>
    <d v="2022-05-02T00:00:00"/>
    <s v="CHIS, s.r.o."/>
    <m/>
    <n v="53800"/>
    <n v="65098"/>
    <m/>
    <m/>
    <m/>
    <d v="2022-05-02T00:00:00"/>
    <s v="SMLN-2022-617-000309_x000a_SMLN-2022-612-000057"/>
    <x v="76"/>
  </r>
  <r>
    <d v="2022-04-05T00:00:00"/>
    <s v="VZ-2022-000354"/>
    <x v="4"/>
    <s v="Olejníček"/>
    <x v="251"/>
    <n v="2"/>
    <s v="Odběrová křesla pro radiologickou kliniku"/>
    <m/>
    <s v="33192300-5"/>
    <s v="2.2.466."/>
    <n v="176000"/>
    <x v="2"/>
    <d v="2022-04-11T00:00:00"/>
    <d v="2022-04-14T00:00:00"/>
    <m/>
    <s v="zrušeno - bez nabídky"/>
    <s v="nová VZ-2022-000387"/>
    <m/>
    <m/>
    <m/>
    <m/>
    <m/>
    <m/>
    <m/>
    <x v="4"/>
  </r>
  <r>
    <d v="2022-04-05T00:00:00"/>
    <s v="VZ-2022-000354"/>
    <x v="4"/>
    <s v="Olejníček"/>
    <x v="251"/>
    <n v="3"/>
    <s v="Odběrová křesla pro HOK a II. Interní kliniku"/>
    <m/>
    <s v="33192300-5"/>
    <s v="2.2.144,251"/>
    <n v="443817"/>
    <x v="2"/>
    <d v="2022-04-11T00:00:00"/>
    <d v="2022-04-14T00:00:00"/>
    <d v="2022-05-02T00:00:00"/>
    <s v="PROMA REHA, s.r.o."/>
    <m/>
    <n v="416433"/>
    <n v="503883.86"/>
    <m/>
    <m/>
    <m/>
    <d v="2022-05-02T00:00:00"/>
    <s v="SMLN-2022-617-000310_x000a_SMLN-2022-612-000058"/>
    <x v="135"/>
  </r>
  <r>
    <d v="2022-04-05T00:00:00"/>
    <s v="VZ-2022-000356"/>
    <x v="0"/>
    <s v="Dočkalová"/>
    <x v="252"/>
    <m/>
    <m/>
    <m/>
    <s v="33140000-3"/>
    <m/>
    <n v="643200"/>
    <x v="2"/>
    <d v="2022-04-07T00:00:00"/>
    <d v="2022-04-20T00:00:00"/>
    <d v="2022-04-27T00:00:00"/>
    <s v="IMEDEX s.r.o."/>
    <m/>
    <n v="727200"/>
    <n v="879912"/>
    <m/>
    <m/>
    <m/>
    <d v="2022-04-27T00:00:00"/>
    <s v="SMLN-2022-617-000285"/>
    <x v="100"/>
  </r>
  <r>
    <s v="opakovaná VZ"/>
    <s v="VZ-2022-000357"/>
    <x v="4"/>
    <s v="Olejníček"/>
    <x v="253"/>
    <m/>
    <m/>
    <m/>
    <s v="33186200-9"/>
    <s v="2.3.605,647"/>
    <n v="421000"/>
    <x v="2"/>
    <d v="2022-04-07T00:00:00"/>
    <d v="2022-04-20T00:00:00"/>
    <d v="2022-05-03T00:00:00"/>
    <s v="SARSTED, spol. s r.o."/>
    <m/>
    <n v="430767"/>
    <n v="521228.07"/>
    <m/>
    <m/>
    <m/>
    <d v="2022-05-03T00:00:00"/>
    <s v="SMLN-2022-617-000311_x000a_SMLN-2022-612-000067"/>
    <x v="85"/>
  </r>
  <r>
    <s v="opakovaná VZ"/>
    <s v="VZ-2022-000360"/>
    <x v="4"/>
    <s v="Olejníček"/>
    <x v="254"/>
    <m/>
    <m/>
    <m/>
    <s v="33162100-4"/>
    <s v="2.2.469."/>
    <n v="404720"/>
    <x v="0"/>
    <d v="2022-04-14T00:00:00"/>
    <d v="2022-05-17T00:00:00"/>
    <d v="2022-06-02T00:00:00"/>
    <s v="Medtronic Czechia s.r.o."/>
    <m/>
    <n v="469542"/>
    <n v="568145.81999999995"/>
    <m/>
    <m/>
    <m/>
    <d v="2022-06-02T00:00:00"/>
    <s v="SMLN-2022-617-000385_x000a_SMLN-2022-612-000095"/>
    <x v="105"/>
  </r>
  <r>
    <d v="2022-04-07T00:00:00"/>
    <s v="VZ-2022-000363"/>
    <x v="16"/>
    <s v="Klimek"/>
    <x v="255"/>
    <m/>
    <m/>
    <m/>
    <s v="34136100-0"/>
    <s v="4.2.180."/>
    <n v="1239669"/>
    <x v="2"/>
    <d v="2022-04-21T00:00:00"/>
    <d v="2022-05-03T00:00:00"/>
    <m/>
    <s v="zrušeno - úprava specifikace vozidla"/>
    <s v="nová VZ-2022-000511"/>
    <m/>
    <m/>
    <m/>
    <m/>
    <m/>
    <m/>
    <m/>
    <x v="4"/>
  </r>
  <r>
    <d v="2022-04-11T00:00:00"/>
    <s v="VZ-2022-000366"/>
    <x v="0"/>
    <s v="Dočkalová"/>
    <x v="256"/>
    <m/>
    <m/>
    <m/>
    <s v="33140000-3"/>
    <m/>
    <n v="891820"/>
    <x v="2"/>
    <d v="2022-04-13T00:00:00"/>
    <d v="2022-04-22T00:00:00"/>
    <d v="2022-04-27T00:00:00"/>
    <s v="BIOMEDICA ČS, s.r.o."/>
    <m/>
    <n v="965900"/>
    <n v="1168739"/>
    <m/>
    <m/>
    <m/>
    <d v="2022-04-27T00:00:00"/>
    <s v="SMLN-2022-617-000287"/>
    <x v="78"/>
  </r>
  <r>
    <s v="opakovaná VZ"/>
    <s v="VZ-2022-000371"/>
    <x v="4"/>
    <s v="Olejníček"/>
    <x v="257"/>
    <n v="1"/>
    <s v="Speciální operační svítidla se širokým osvitem"/>
    <m/>
    <s v="31524110-9"/>
    <s v="2.2.448."/>
    <n v="2020000"/>
    <x v="0"/>
    <d v="2022-05-10T00:00:00"/>
    <d v="2022-06-14T00:00:00"/>
    <d v="2022-06-29T00:00:00"/>
    <s v="Medsol s.r.o."/>
    <m/>
    <n v="1650416"/>
    <n v="1997003.36"/>
    <m/>
    <m/>
    <m/>
    <d v="2022-06-29T00:00:00"/>
    <s v="SMLN-2022-617-000448_x000a_SMLN-2022-612-000121"/>
    <x v="136"/>
  </r>
  <r>
    <s v="opakovaná VZ"/>
    <s v="VZ-2022-000371"/>
    <x v="4"/>
    <s v="Olejníček"/>
    <x v="257"/>
    <n v="2"/>
    <s v="Samostatná mobilní zálohovaná svítidla"/>
    <m/>
    <s v="31524110-9"/>
    <s v="2.3.446.,2.3.467."/>
    <n v="595868"/>
    <x v="0"/>
    <d v="2022-05-10T00:00:00"/>
    <d v="2022-06-14T00:00:00"/>
    <d v="2022-06-29T00:00:00"/>
    <s v="Medsol s.r.o."/>
    <m/>
    <n v="654416"/>
    <n v="791843.36"/>
    <m/>
    <m/>
    <m/>
    <d v="2022-06-29T00:00:00"/>
    <s v="SMLN-2022-617-000450_x000a_SMLN-2022-612-000122"/>
    <x v="136"/>
  </r>
  <r>
    <s v="opakovaná VZ"/>
    <s v="VZ-2022-000371"/>
    <x v="4"/>
    <s v="Olejníček"/>
    <x v="257"/>
    <n v="3"/>
    <s v="Stropní samostatná operační svítidla"/>
    <m/>
    <s v="31524100-6"/>
    <s v="2.3.542."/>
    <n v="1567934"/>
    <x v="0"/>
    <d v="2022-05-10T00:00:00"/>
    <d v="2022-06-14T00:00:00"/>
    <d v="2022-08-11T00:00:00"/>
    <s v="Hoyer Praha s.r.o."/>
    <m/>
    <n v="1421384"/>
    <n v="1719874.64"/>
    <m/>
    <m/>
    <m/>
    <d v="2022-08-11T00:00:00"/>
    <s v="SMLN-2022-612-000159 SMLN-2022-617-000537"/>
    <x v="137"/>
  </r>
  <r>
    <s v="opakovaná VZ"/>
    <s v="VZ-2022-000371"/>
    <x v="4"/>
    <s v="Olejníček"/>
    <x v="257"/>
    <n v="4"/>
    <s v="Nástěnná zákroková svítidla"/>
    <m/>
    <s v="31524210-0"/>
    <m/>
    <n v="270000"/>
    <x v="0"/>
    <d v="2022-05-10T00:00:00"/>
    <d v="2022-06-14T00:00:00"/>
    <d v="2022-06-29T00:00:00"/>
    <s v="Dräger Medical, s.r.o."/>
    <m/>
    <n v="172190"/>
    <n v="208349.9"/>
    <m/>
    <m/>
    <m/>
    <d v="2022-06-30T00:00:00"/>
    <s v="SMLN-2022-617-000453_x000a_SMLN-2022-612-000125"/>
    <x v="138"/>
  </r>
  <r>
    <s v="opakovaná VZ"/>
    <s v="VZ-2022-000371"/>
    <x v="4"/>
    <s v="Olejníček"/>
    <x v="257"/>
    <n v="5"/>
    <s v="Vyšetřovací pojízdná svítidla a svítidla na zeď"/>
    <m/>
    <s v="31524100-6"/>
    <m/>
    <n v="2350000"/>
    <x v="0"/>
    <d v="2022-05-10T00:00:00"/>
    <d v="2022-06-14T00:00:00"/>
    <d v="2022-06-29T00:00:00"/>
    <s v="Dräger Medical, s.r.o."/>
    <m/>
    <n v="1334840"/>
    <n v="1615156.4"/>
    <m/>
    <m/>
    <m/>
    <d v="2022-06-30T00:00:00"/>
    <s v="SMLN-2022-617-000454_x000a_SMLN-2022-612-000126"/>
    <x v="138"/>
  </r>
  <r>
    <s v="opakovaná VZ"/>
    <s v="VZ-2022-000371"/>
    <x v="4"/>
    <s v="Olejníček"/>
    <x v="257"/>
    <n v="6"/>
    <s v="Operační svítidla s kamerami"/>
    <m/>
    <s v="31524110-9"/>
    <s v="2.3.568."/>
    <n v="1320000"/>
    <x v="0"/>
    <d v="2022-05-10T00:00:00"/>
    <d v="2022-06-14T00:00:00"/>
    <m/>
    <s v="zrušeno - úprava specifikace"/>
    <s v="nová VZ-2022-000898"/>
    <m/>
    <m/>
    <m/>
    <m/>
    <m/>
    <m/>
    <m/>
    <x v="4"/>
  </r>
  <r>
    <d v="2022-04-12T00:00:00"/>
    <s v="VZ-2022-000374"/>
    <x v="2"/>
    <s v="Pavela"/>
    <x v="258"/>
    <m/>
    <m/>
    <m/>
    <s v="45215140-0_x000a_71000000-8"/>
    <s v="1.2.83."/>
    <n v="99000000"/>
    <x v="0"/>
    <d v="2022-04-22T00:00:00"/>
    <d v="2022-05-27T00:00:00"/>
    <d v="2022-06-03T00:00:00"/>
    <s v="OHLA ŽS, a.s."/>
    <m/>
    <n v="180000000"/>
    <n v="217800000"/>
    <m/>
    <m/>
    <m/>
    <d v="2022-06-03T00:00:00"/>
    <s v="SMLN-2022-618-000033"/>
    <x v="139"/>
  </r>
  <r>
    <d v="2022-04-12T00:00:00"/>
    <s v="VZ-2022-000378"/>
    <x v="4"/>
    <s v="Novák"/>
    <x v="259"/>
    <m/>
    <m/>
    <m/>
    <s v="33194100-7"/>
    <m/>
    <n v="560000"/>
    <x v="2"/>
    <d v="2022-04-20T00:00:00"/>
    <d v="2022-04-28T00:00:00"/>
    <d v="2022-05-09T00:00:00"/>
    <s v="B. Braun Medical s.r.o."/>
    <m/>
    <n v="357306"/>
    <n v="432339.06"/>
    <m/>
    <m/>
    <m/>
    <d v="2022-05-09T00:00:00"/>
    <s v="SMLN-2022-617-000324_x000a_SMLN-2022-612-000073"/>
    <x v="72"/>
  </r>
  <r>
    <d v="2022-04-14T00:00:00"/>
    <s v="VZ-2022-000379"/>
    <x v="4"/>
    <s v="Olejníček"/>
    <x v="260"/>
    <m/>
    <m/>
    <m/>
    <s v="33122000-1"/>
    <s v="2.3.611."/>
    <n v="111000"/>
    <x v="2"/>
    <d v="2022-04-22T00:00:00"/>
    <d v="2022-05-03T00:00:00"/>
    <d v="2022-05-11T00:00:00"/>
    <s v="CMI s.r.o."/>
    <m/>
    <n v="110960"/>
    <n v="134261.6"/>
    <m/>
    <m/>
    <m/>
    <d v="2022-05-11T00:00:00"/>
    <s v="SMLN-2022-617-000344_x000a_SMLN-2022-612-000077"/>
    <x v="114"/>
  </r>
  <r>
    <d v="2022-04-14T00:00:00"/>
    <s v="VZ-2022-000380"/>
    <x v="4"/>
    <s v="Olejníček"/>
    <x v="261"/>
    <m/>
    <m/>
    <m/>
    <s v="33191100-6"/>
    <m/>
    <n v="155000"/>
    <x v="2"/>
    <d v="2022-04-22T00:00:00"/>
    <d v="2022-05-03T00:00:00"/>
    <d v="2022-05-11T00:00:00"/>
    <s v="Askin &amp; Co s.r.o."/>
    <m/>
    <n v="173390"/>
    <n v="209801.9"/>
    <m/>
    <m/>
    <m/>
    <d v="2022-05-12T00:00:00"/>
    <s v="SMLN-2022-617-000347_x000a_SMLN-2022-612-000079"/>
    <x v="140"/>
  </r>
  <r>
    <d v="2022-04-19T00:00:00"/>
    <s v="VZ-2022-000383"/>
    <x v="4"/>
    <s v="Olejníček"/>
    <x v="262"/>
    <n v="1"/>
    <s v="Sestava břišního rozvěrače"/>
    <m/>
    <s v="33162200-5"/>
    <s v="2.2.457."/>
    <n v="362000"/>
    <x v="2"/>
    <d v="2022-04-22T00:00:00"/>
    <d v="2022-05-04T00:00:00"/>
    <d v="2022-05-11T00:00:00"/>
    <s v="ONE Vision s.r.o."/>
    <m/>
    <n v="349906"/>
    <n v="423386"/>
    <m/>
    <m/>
    <m/>
    <d v="2022-05-11T00:00:00"/>
    <s v="SMLN-2022-617-000342_x000a_SMLN-2022-612-000075"/>
    <x v="114"/>
  </r>
  <r>
    <d v="2022-04-19T00:00:00"/>
    <s v="VZ-2022-000383"/>
    <x v="4"/>
    <s v="Olejníček"/>
    <x v="262"/>
    <n v="2"/>
    <s v="Flexibilní rameno pro ústní rozvěrač"/>
    <m/>
    <s v="33162200-5"/>
    <s v="2.2.472."/>
    <n v="152400"/>
    <x v="2"/>
    <d v="2022-04-22T00:00:00"/>
    <d v="2022-05-04T00:00:00"/>
    <d v="2022-05-11T00:00:00"/>
    <s v="Olympus Czech Group, s.r.o., člen koncernu"/>
    <m/>
    <n v="152340"/>
    <n v="184331.4"/>
    <m/>
    <m/>
    <m/>
    <d v="2022-05-11T00:00:00"/>
    <s v="SMLN-2022-617-000343_x000a_SMLN-2022-612-000076"/>
    <x v="123"/>
  </r>
  <r>
    <s v="opakovaná VZ"/>
    <s v="VZ-2022-000384"/>
    <x v="3"/>
    <s v="Olejníček"/>
    <x v="263"/>
    <m/>
    <m/>
    <m/>
    <s v="33186000-7"/>
    <s v="2.2.400."/>
    <n v="6061532"/>
    <x v="0"/>
    <d v="2022-05-25T00:00:00"/>
    <d v="2022-06-30T00:00:00"/>
    <m/>
    <s v="zrušeno - překročení ceny servisu"/>
    <s v="nvoá VZ-2022-000841"/>
    <m/>
    <m/>
    <m/>
    <m/>
    <m/>
    <m/>
    <m/>
    <x v="4"/>
  </r>
  <r>
    <s v="opakovaná VZ"/>
    <s v="VZ-2022-000387"/>
    <x v="4"/>
    <s v="Olejníček"/>
    <x v="264"/>
    <m/>
    <m/>
    <m/>
    <s v="33192300-5"/>
    <s v="2.2.466."/>
    <n v="176000"/>
    <x v="2"/>
    <d v="2022-04-22T00:00:00"/>
    <d v="2022-05-03T00:00:00"/>
    <d v="2022-05-11T00:00:00"/>
    <s v="RQL s.r.o."/>
    <m/>
    <n v="138498"/>
    <n v="167582.57999999999"/>
    <m/>
    <m/>
    <m/>
    <d v="2022-05-12T00:00:00"/>
    <s v="SMLN-2022-617-000346_x000a_SMLN-2022-612-000078"/>
    <x v="77"/>
  </r>
  <r>
    <d v="2022-04-05T00:00:00"/>
    <s v="VZ-2022-000388"/>
    <x v="4"/>
    <s v="Olejníček"/>
    <x v="265"/>
    <m/>
    <m/>
    <m/>
    <s v="33192230-3"/>
    <s v="2.2.447."/>
    <n v="3960000"/>
    <x v="0"/>
    <d v="2022-04-22T00:00:00"/>
    <d v="2022-06-06T00:00:00"/>
    <d v="2022-06-29T00:00:00"/>
    <s v="Hypokramed s.r.o."/>
    <m/>
    <n v="3426555"/>
    <n v="4146132"/>
    <m/>
    <m/>
    <m/>
    <d v="2022-06-30T00:00:00"/>
    <s v="SMLN-2022-617-000452_x000a_SMLN-2022-612-000124"/>
    <x v="81"/>
  </r>
  <r>
    <d v="2022-04-19T00:00:00"/>
    <s v="VZ-2022-000391"/>
    <x v="4"/>
    <s v="Olejníček"/>
    <x v="266"/>
    <m/>
    <m/>
    <m/>
    <s v="33123210-3"/>
    <s v="2.2.442."/>
    <n v="58000"/>
    <x v="2"/>
    <d v="2022-04-25T00:00:00"/>
    <d v="2022-05-04T00:00:00"/>
    <d v="2022-05-17T00:00:00"/>
    <s v="BTL zdravotnická technika, a.s."/>
    <m/>
    <n v="67300"/>
    <n v="81433"/>
    <m/>
    <m/>
    <m/>
    <d v="2022-05-17T00:00:00"/>
    <s v="SMLN-2022-617-000362_x000a_SMLN-2022-612-000086"/>
    <x v="123"/>
  </r>
  <r>
    <d v="2022-04-08T00:00:00"/>
    <s v="VZ-2022-000397"/>
    <x v="4"/>
    <s v="Olejníček"/>
    <x v="267"/>
    <m/>
    <m/>
    <m/>
    <s v="33172100-7"/>
    <s v="2.2.446."/>
    <n v="837125"/>
    <x v="0"/>
    <d v="2022-05-04T00:00:00"/>
    <d v="2022-06-06T00:00:00"/>
    <d v="2022-06-24T00:00:00"/>
    <s v="Dräger Medical, s.r.o."/>
    <m/>
    <n v="916925"/>
    <n v="1109479.25"/>
    <m/>
    <m/>
    <m/>
    <d v="2022-06-24T00:00:00"/>
    <s v="SMLN-2022-617-000427_x000a_SMLN-2022-612-000109"/>
    <x v="106"/>
  </r>
  <r>
    <d v="2022-04-12T00:00:00"/>
    <s v="VZ-2022-000401"/>
    <x v="0"/>
    <s v="Dočkalová"/>
    <x v="268"/>
    <m/>
    <m/>
    <m/>
    <s v="33140000-3"/>
    <m/>
    <n v="13817636"/>
    <x v="0"/>
    <d v="2022-05-02T00:00:00"/>
    <d v="2022-06-06T00:00:00"/>
    <d v="2022-07-11T00:00:00"/>
    <s v="Performa Medical, s.r.o."/>
    <m/>
    <n v="13817636"/>
    <n v="16719339.560000001"/>
    <m/>
    <m/>
    <m/>
    <d v="2022-07-14T00:00:00"/>
    <s v="SMLN-2022-617-000459"/>
    <x v="131"/>
  </r>
  <r>
    <d v="2022-04-19T00:00:00"/>
    <s v="VZ-2022-000403"/>
    <x v="9"/>
    <s v="Oravec"/>
    <x v="269"/>
    <m/>
    <m/>
    <m/>
    <s v="72261000-2"/>
    <m/>
    <n v="646000"/>
    <x v="2"/>
    <d v="2022-04-29T00:00:00"/>
    <d v="2022-05-06T00:00:00"/>
    <d v="2022-05-13T00:00:00"/>
    <s v="Carolina Biosystems, s.r.o."/>
    <m/>
    <n v="640000"/>
    <n v="774400"/>
    <m/>
    <m/>
    <m/>
    <d v="2022-05-13T00:00:00"/>
    <s v="SMLN-2022-612-000081"/>
    <x v="8"/>
  </r>
  <r>
    <d v="2022-04-19T00:00:00"/>
    <s v="VZ-2022-000404"/>
    <x v="4"/>
    <s v="Olejníček"/>
    <x v="270"/>
    <m/>
    <m/>
    <m/>
    <s v="39711100-0"/>
    <s v="2.3.660."/>
    <n v="201289"/>
    <x v="2"/>
    <d v="2022-04-27T00:00:00"/>
    <d v="2022-05-05T00:00:00"/>
    <d v="2022-05-16T00:00:00"/>
    <s v="Schoeller Instruments, s.r.o."/>
    <m/>
    <n v="92800"/>
    <n v="112288"/>
    <m/>
    <m/>
    <m/>
    <d v="2022-05-16T00:00:00"/>
    <s v="SMLN-2022-617-000354_x000a_SMLN-2022-612-000083"/>
    <x v="123"/>
  </r>
  <r>
    <s v="opakovaná VZ"/>
    <s v="VZ-2022-000405"/>
    <x v="4"/>
    <s v="Olejníček"/>
    <x v="271"/>
    <m/>
    <m/>
    <m/>
    <s v="33190000-8"/>
    <s v="2.3.468."/>
    <n v="124000"/>
    <x v="2"/>
    <d v="2022-04-27T00:00:00"/>
    <d v="2022-05-06T00:00:00"/>
    <d v="2022-05-17T00:00:00"/>
    <s v="SCHAFFEROVÁ spol. s r.o."/>
    <m/>
    <n v="63243"/>
    <n v="76524"/>
    <m/>
    <m/>
    <m/>
    <d v="2022-05-17T00:00:00"/>
    <s v="SMLN-2022-617-000361_x000a_SMLN-2022-612-000085"/>
    <x v="123"/>
  </r>
  <r>
    <d v="2022-04-21T00:00:00"/>
    <s v="VZ-2022-000409"/>
    <x v="9"/>
    <s v="Oravec"/>
    <x v="272"/>
    <m/>
    <m/>
    <m/>
    <s v="72261000-2"/>
    <m/>
    <n v="1932000"/>
    <x v="1"/>
    <d v="2022-05-04T00:00:00"/>
    <d v="2022-05-30T00:00:00"/>
    <d v="2022-06-09T00:00:00"/>
    <s v="DS Soft Olomouc, spol. s r.o."/>
    <m/>
    <n v="1932000"/>
    <n v="2337720"/>
    <m/>
    <m/>
    <m/>
    <d v="2022-06-09T00:00:00"/>
    <s v="SMLN-2022-612-000099"/>
    <x v="141"/>
  </r>
  <r>
    <d v="2022-04-25T00:00:00"/>
    <s v="VZ-2022-000413"/>
    <x v="17"/>
    <s v="Odehnalová"/>
    <x v="273"/>
    <m/>
    <m/>
    <m/>
    <s v="55110000-4"/>
    <m/>
    <n v="600000"/>
    <x v="2"/>
    <d v="2022-04-28T00:00:00"/>
    <d v="2022-05-06T00:00:00"/>
    <d v="2022-05-17T00:00:00"/>
    <s v="Marie Hrochová"/>
    <m/>
    <n v="419157"/>
    <n v="463800"/>
    <m/>
    <m/>
    <m/>
    <d v="2022-05-17T00:00:00"/>
    <s v="SMLN-2022-612-000084"/>
    <x v="76"/>
  </r>
  <r>
    <d v="2022-04-26T00:00:00"/>
    <s v="VZ-2022-000416"/>
    <x v="4"/>
    <s v="Olejníček"/>
    <x v="274"/>
    <m/>
    <m/>
    <m/>
    <s v="33100000-1"/>
    <m/>
    <n v="259000"/>
    <x v="2"/>
    <d v="2022-04-29T00:00:00"/>
    <d v="2022-05-12T00:00:00"/>
    <d v="2022-06-13T00:00:00"/>
    <s v="BARIA s.r.o."/>
    <m/>
    <n v="183400"/>
    <n v="221914"/>
    <m/>
    <m/>
    <m/>
    <d v="2022-06-13T00:00:00"/>
    <s v="SMLN-2022-617-000404_x000a_SMLN-2022-612-000104"/>
    <x v="142"/>
  </r>
  <r>
    <d v="2022-04-27T00:00:00"/>
    <s v="VZ-2022-000423"/>
    <x v="18"/>
    <s v="Norbertová"/>
    <x v="275"/>
    <m/>
    <m/>
    <m/>
    <s v="33122000-1"/>
    <m/>
    <n v="200000"/>
    <x v="2"/>
    <d v="2022-04-29T00:00:00"/>
    <d v="2022-05-10T00:00:00"/>
    <d v="2022-06-02T00:00:00"/>
    <s v="CMI s.r.o."/>
    <m/>
    <n v="190145"/>
    <n v="230075.45"/>
    <m/>
    <m/>
    <m/>
    <d v="2022-06-02T00:00:00"/>
    <s v="SMLN-2022-617-000382_x000a_SMLN-2022-612-000093"/>
    <x v="90"/>
  </r>
  <r>
    <d v="2022-04-28T00:00:00"/>
    <s v="VZ-2022-000424"/>
    <x v="1"/>
    <s v="Ondráčková"/>
    <x v="276"/>
    <n v="1"/>
    <s v="RIVAROXABAN"/>
    <m/>
    <s v="33621100-0"/>
    <m/>
    <n v="2265603"/>
    <x v="0"/>
    <d v="2022-05-02T00:00:00"/>
    <d v="2022-06-06T00:00:00"/>
    <m/>
    <s v="zrušeno - bez nabídky"/>
    <m/>
    <m/>
    <m/>
    <m/>
    <m/>
    <m/>
    <m/>
    <m/>
    <x v="4"/>
  </r>
  <r>
    <d v="2022-04-28T00:00:00"/>
    <s v="VZ-2022-000425"/>
    <x v="1"/>
    <s v="Ondráčková"/>
    <x v="277"/>
    <m/>
    <m/>
    <m/>
    <s v="24455000-8"/>
    <m/>
    <n v="2380000"/>
    <x v="1"/>
    <d v="2022-05-23T00:00:00"/>
    <d v="2022-06-09T00:00:00"/>
    <m/>
    <s v="zrušeno - úprava specifikace"/>
    <m/>
    <m/>
    <m/>
    <m/>
    <m/>
    <m/>
    <m/>
    <m/>
    <x v="4"/>
  </r>
  <r>
    <d v="2022-04-28T00:00:00"/>
    <s v="VZ-2022-000426"/>
    <x v="1"/>
    <s v="Ondráčková"/>
    <x v="278"/>
    <n v="1"/>
    <s v="SUNITINIB "/>
    <m/>
    <s v="33652000-5"/>
    <m/>
    <n v="9287100"/>
    <x v="0"/>
    <d v="2022-05-09T00:00:00"/>
    <d v="2022-06-13T00:00:00"/>
    <d v="2022-06-27T00:00:00"/>
    <s v="Alliance Healthcare s.r.o."/>
    <m/>
    <n v="576718.80000000005"/>
    <n v="634390.68000000005"/>
    <m/>
    <m/>
    <m/>
    <d v="2022-06-27T00:00:00"/>
    <s v="SMLN-2022-617-000436"/>
    <x v="104"/>
  </r>
  <r>
    <d v="2022-04-28T00:00:00"/>
    <s v="VZ-2022-000426"/>
    <x v="1"/>
    <s v="Ondráčková"/>
    <x v="278"/>
    <n v="2"/>
    <s v="REGORAFENIB"/>
    <m/>
    <s v="33652000-5"/>
    <m/>
    <n v="15520415"/>
    <x v="0"/>
    <d v="2022-05-09T00:00:00"/>
    <d v="2022-06-13T00:00:00"/>
    <d v="2022-06-27T00:00:00"/>
    <s v="BAYER s.r.o."/>
    <m/>
    <n v="15520401.359999999"/>
    <n v="17072441.5"/>
    <m/>
    <m/>
    <m/>
    <d v="2022-06-27T00:00:00"/>
    <s v="SMLN-2022-617-000437"/>
    <x v="121"/>
  </r>
  <r>
    <d v="2022-04-28T00:00:00"/>
    <s v="VZ-2022-000427"/>
    <x v="1"/>
    <s v="Ondráčková"/>
    <x v="279"/>
    <n v="1"/>
    <s v="BOTULOTOXIN TYP A"/>
    <m/>
    <s v="33632200-1"/>
    <m/>
    <n v="6507883"/>
    <x v="0"/>
    <d v="2022-05-02T00:00:00"/>
    <d v="2022-06-06T00:00:00"/>
    <d v="2022-06-29T00:00:00"/>
    <s v="PHOENIX lék.velkoobchod, s.r.o."/>
    <m/>
    <n v="6336554.1600000001"/>
    <n v="6970209.5800000001"/>
    <m/>
    <m/>
    <m/>
    <d v="2022-06-29T00:00:00"/>
    <s v="SMLN-2022-617-000447"/>
    <x v="104"/>
  </r>
  <r>
    <d v="2022-04-21T00:00:00"/>
    <s v="VZ-2022-000429"/>
    <x v="4"/>
    <s v="Olejníček"/>
    <x v="280"/>
    <m/>
    <m/>
    <m/>
    <s v="33120000-7"/>
    <s v="2.3.587, 2.3.642"/>
    <n v="4650000"/>
    <x v="0"/>
    <d v="2022-06-01T00:00:00"/>
    <d v="2022-08-08T00:00:00"/>
    <d v="2022-11-15T00:00:00"/>
    <s v="Kardio-Line spol. s r.o."/>
    <m/>
    <n v="4616200"/>
    <n v="5585602"/>
    <m/>
    <m/>
    <m/>
    <d v="2022-11-15T00:00:00"/>
    <s v="SMLN-2022-617-000799_x000a_SMLN-2022-612-000216_x000a_SMLN-2022-617-000800"/>
    <x v="130"/>
  </r>
  <r>
    <d v="2022-04-27T00:00:00"/>
    <s v="VZ-2022-000430"/>
    <x v="8"/>
    <s v="Kadlec"/>
    <x v="281"/>
    <m/>
    <m/>
    <m/>
    <s v="45262340-6"/>
    <m/>
    <n v="1500000"/>
    <x v="2"/>
    <d v="2022-05-02T00:00:00"/>
    <d v="2022-05-13T00:00:00"/>
    <m/>
    <s v="zrušeno - bez nabídky"/>
    <m/>
    <m/>
    <m/>
    <m/>
    <m/>
    <m/>
    <m/>
    <m/>
    <x v="4"/>
  </r>
  <r>
    <d v="2022-04-28T00:00:00"/>
    <s v="VZ-2022-000434"/>
    <x v="8"/>
    <s v="Kadlec"/>
    <x v="282"/>
    <m/>
    <m/>
    <m/>
    <s v="45421100-5"/>
    <m/>
    <n v="450000"/>
    <x v="2"/>
    <d v="2022-05-09T00:00:00"/>
    <d v="2022-05-18T00:00:00"/>
    <d v="2022-05-25T00:00:00"/>
    <s v="Stavitelství Pospíšil s.r.o."/>
    <m/>
    <n v="495884"/>
    <n v="600019.64"/>
    <m/>
    <m/>
    <m/>
    <d v="2022-05-25T00:00:00"/>
    <s v="SMLN-2022-618-000030"/>
    <x v="135"/>
  </r>
  <r>
    <s v="opakovaná VZ"/>
    <s v="VZ-2022-000442"/>
    <x v="0"/>
    <s v="Dočkalová"/>
    <x v="283"/>
    <m/>
    <s v="Trokar s ochranným ostřím a fixačním balonkem"/>
    <m/>
    <s v="33162200-5"/>
    <m/>
    <n v="1590094"/>
    <x v="0"/>
    <d v="2022-05-09T00:00:00"/>
    <d v="2022-06-10T00:00:00"/>
    <d v="2022-06-16T00:00:00"/>
    <s v="Surgicare s.r.o."/>
    <m/>
    <n v="1176687"/>
    <n v="1493791.27"/>
    <m/>
    <m/>
    <m/>
    <d v="2022-06-16T00:00:00"/>
    <s v="SMLN-2022-617-000413"/>
    <x v="71"/>
  </r>
  <r>
    <s v="opakovaná VZ"/>
    <s v="VZ-2022-000444"/>
    <x v="4"/>
    <s v="Olejníček"/>
    <x v="284"/>
    <m/>
    <m/>
    <m/>
    <s v="38000000-5"/>
    <s v="2.3.617."/>
    <n v="222450"/>
    <x v="2"/>
    <d v="2022-05-04T00:00:00"/>
    <d v="2022-05-13T00:00:00"/>
    <d v="2022-06-07T00:00:00"/>
    <s v="Merck Life Science spol. s r.o."/>
    <m/>
    <n v="188540"/>
    <n v="228133.4"/>
    <m/>
    <m/>
    <m/>
    <d v="2022-06-07T00:00:00"/>
    <s v="SMLN-2022-617-000392_x000a_SMLN-2022-612-000098"/>
    <x v="80"/>
  </r>
  <r>
    <d v="2022-04-21T00:00:00"/>
    <s v="VZ-2022-000447"/>
    <x v="5"/>
    <s v="Srovnal"/>
    <x v="285"/>
    <m/>
    <m/>
    <m/>
    <s v="45453100-8"/>
    <m/>
    <n v="7300000"/>
    <x v="1"/>
    <d v="2022-05-09T00:00:00"/>
    <d v="2022-05-26T00:00:00"/>
    <d v="2022-06-09T00:00:00"/>
    <s v="Stavitelství Pospíšil s.r.o."/>
    <m/>
    <n v="8745627"/>
    <n v="10582208.67"/>
    <m/>
    <m/>
    <m/>
    <d v="2022-06-09T00:00:00"/>
    <s v="SMLN-2022-618-000035"/>
    <x v="52"/>
  </r>
  <r>
    <d v="2022-04-28T00:00:00"/>
    <s v="VZ-2022-000450"/>
    <x v="19"/>
    <s v="Simon"/>
    <x v="286"/>
    <m/>
    <m/>
    <m/>
    <s v="98370000-7"/>
    <m/>
    <n v="4200000"/>
    <x v="0"/>
    <d v="2022-05-09T00:00:00"/>
    <d v="2022-06-15T00:00:00"/>
    <d v="2022-06-29T00:00:00"/>
    <s v="Pohřební služba MISERICORDIA s.r.o."/>
    <m/>
    <n v="8640000"/>
    <n v="9936000"/>
    <m/>
    <m/>
    <m/>
    <d v="2022-06-29T00:00:00"/>
    <s v="SMLN-2022-612-000117"/>
    <x v="143"/>
  </r>
  <r>
    <d v="2022-04-29T00:00:00"/>
    <s v="VZ-2022-000463"/>
    <x v="5"/>
    <s v="Srovnal"/>
    <x v="287"/>
    <m/>
    <m/>
    <m/>
    <s v="50711000-2"/>
    <m/>
    <n v="2600000"/>
    <x v="1"/>
    <d v="2022-05-13T00:00:00"/>
    <d v="2022-06-07T00:00:00"/>
    <d v="2022-07-15T00:00:00"/>
    <s v="ELMAR group spol. s r.o."/>
    <m/>
    <n v="1959330"/>
    <n v="2370789.2999999998"/>
    <m/>
    <m/>
    <m/>
    <d v="2022-07-15T00:00:00"/>
    <s v="SMLN-2022-618-000045"/>
    <x v="5"/>
  </r>
  <r>
    <d v="2022-05-05T00:00:00"/>
    <s v="VZ-2022-000464"/>
    <x v="4"/>
    <s v="Olejníček"/>
    <x v="288"/>
    <n v="1"/>
    <s v="Intraorální přístroj s přímou digitalizací"/>
    <m/>
    <s v="33111000-1"/>
    <s v="2.3.549."/>
    <n v="290000"/>
    <x v="0"/>
    <d v="2022-07-01T00:00:00"/>
    <d v="2022-08-31T00:00:00"/>
    <m/>
    <s v="zrušeno - bez nabídky"/>
    <s v="nová VZ-2022-001335"/>
    <m/>
    <m/>
    <m/>
    <m/>
    <m/>
    <m/>
    <m/>
    <x v="4"/>
  </r>
  <r>
    <d v="2022-05-05T00:00:00"/>
    <s v="VZ-2022-000464"/>
    <x v="4"/>
    <s v="Olejníček"/>
    <x v="288"/>
    <n v="2"/>
    <s v="Digitální pojízdný RTG přístroj"/>
    <m/>
    <s v="33111000-1"/>
    <s v="2.3.649."/>
    <n v="2580000"/>
    <x v="0"/>
    <d v="2022-07-01T00:00:00"/>
    <d v="2022-08-31T00:00:00"/>
    <d v="2022-10-11T00:00:00"/>
    <s v="F medical s.r.o."/>
    <m/>
    <n v="2310400"/>
    <n v="2795584"/>
    <m/>
    <m/>
    <m/>
    <d v="2022-10-11T00:00:00"/>
    <s v="SMLN-2022-617-000693_x000a_SMLN-2022-612-000202"/>
    <x v="144"/>
  </r>
  <r>
    <d v="2022-05-05T00:00:00"/>
    <s v="VZ-2022-000464"/>
    <x v="3"/>
    <s v="Olejníček"/>
    <x v="288"/>
    <n v="3"/>
    <s v="Digitální skiagrafický systém"/>
    <m/>
    <s v="33111000-1"/>
    <s v="2.3.593."/>
    <n v="5600000"/>
    <x v="0"/>
    <d v="2022-07-01T00:00:00"/>
    <d v="2022-08-31T00:00:00"/>
    <d v="2022-10-11T00:00:00"/>
    <s v="EXRAY s.r.o."/>
    <m/>
    <n v="5448600"/>
    <n v="6592806"/>
    <m/>
    <m/>
    <m/>
    <d v="2022-10-11T00:00:00"/>
    <s v="SMLN-2022-617-000694_x000a_SMLN-2022-612-000203"/>
    <x v="145"/>
  </r>
  <r>
    <d v="2022-05-05T00:00:00"/>
    <s v="VZ-2022-000464"/>
    <x v="3"/>
    <s v="Olejníček"/>
    <x v="288"/>
    <n v="4"/>
    <s v="Skiaskopicko-skiagrafický digitální RTG systém"/>
    <m/>
    <s v="33111000-1"/>
    <s v="2.3.594."/>
    <n v="9915243"/>
    <x v="0"/>
    <d v="2022-07-01T00:00:00"/>
    <d v="2022-08-31T00:00:00"/>
    <d v="2022-10-11T00:00:00"/>
    <s v="MEDIFINE a.s."/>
    <m/>
    <n v="9881270"/>
    <n v="11956336.699999999"/>
    <m/>
    <m/>
    <m/>
    <d v="2022-10-11T00:00:00"/>
    <s v="SMLN-2022-617-000695_x000a_SMLN-2022-612-000204"/>
    <x v="146"/>
  </r>
  <r>
    <d v="2022-05-05T00:00:00"/>
    <s v="VZ-2022-000468-01"/>
    <x v="0"/>
    <s v="Valtová"/>
    <x v="289"/>
    <n v="1"/>
    <s v="Stent pankreatický plastový rovný"/>
    <m/>
    <s v="33140000-3"/>
    <m/>
    <n v="377100"/>
    <x v="2"/>
    <d v="2022-05-12T00:00:00"/>
    <d v="2022-05-20T00:00:00"/>
    <d v="2022-06-01T00:00:00"/>
    <s v="Boston Scientific Česká republika s.r.o."/>
    <m/>
    <n v="255000"/>
    <n v="293250"/>
    <m/>
    <m/>
    <m/>
    <d v="2022-06-01T00:00:00"/>
    <s v="SMLN-2022-617-000379_x000a_SMLN-2022-614-000046"/>
    <x v="38"/>
  </r>
  <r>
    <d v="2022-05-05T00:00:00"/>
    <s v="VZ-2022-000468-02"/>
    <x v="0"/>
    <s v="Valtová"/>
    <x v="289"/>
    <n v="2"/>
    <s v="Stent pankreatický plastový single pigtail"/>
    <m/>
    <s v="33140000-3"/>
    <m/>
    <n v="134400"/>
    <x v="2"/>
    <d v="2022-05-12T00:00:00"/>
    <d v="2022-05-20T00:00:00"/>
    <d v="2022-06-01T00:00:00"/>
    <s v="Boston Scientific Česká republika s.r.o."/>
    <m/>
    <n v="85000"/>
    <n v="97750"/>
    <m/>
    <m/>
    <m/>
    <d v="2022-06-01T00:00:00"/>
    <s v="SMLN-2022-617-000380_x000a_SMLN-2022-614-000047"/>
    <x v="38"/>
  </r>
  <r>
    <d v="2022-05-05T00:00:00"/>
    <s v="VZ-2022-000469-01"/>
    <x v="0"/>
    <s v="Valtová"/>
    <x v="290"/>
    <n v="1"/>
    <s v="Stent biliární plastový I. (TTSO)"/>
    <m/>
    <s v="33140000-3"/>
    <m/>
    <n v="363300"/>
    <x v="1"/>
    <d v="2022-05-13T00:00:00"/>
    <d v="2022-06-15T00:00:00"/>
    <d v="2022-08-23T00:00:00"/>
    <s v="MEDIAL spol. s r.o."/>
    <m/>
    <n v="387345"/>
    <n v="445446.75"/>
    <m/>
    <m/>
    <m/>
    <d v="2022-08-23T00:00:00"/>
    <s v="SMLN-2022-617-000576_x000a_SMLN-2022-614-000072"/>
    <x v="147"/>
  </r>
  <r>
    <d v="2022-05-05T00:00:00"/>
    <s v="VZ-2022-000469-02"/>
    <x v="0"/>
    <s v="Valtová"/>
    <x v="290"/>
    <n v="2"/>
    <s v="Stent biliární plastový II. (CLSO)"/>
    <m/>
    <s v="33140000-3"/>
    <m/>
    <n v="1164800"/>
    <x v="1"/>
    <d v="2022-05-13T00:00:00"/>
    <d v="2022-06-15T00:00:00"/>
    <d v="2022-08-23T00:00:00"/>
    <s v="MEDIAL spol. s r.o."/>
    <m/>
    <n v="1164800"/>
    <n v="1339520"/>
    <m/>
    <m/>
    <m/>
    <d v="2022-08-23T00:00:00"/>
    <s v="SMLN-2022-617-000577_x000a_SMLN-2022-614-000073"/>
    <x v="147"/>
  </r>
  <r>
    <d v="2022-05-05T00:00:00"/>
    <s v="VZ-2022-000469-03"/>
    <x v="0"/>
    <s v="Valtová"/>
    <x v="290"/>
    <n v="3"/>
    <s v="Stent biliární plastový plastový double Pigtail"/>
    <m/>
    <s v="33140000-3"/>
    <m/>
    <n v="459000"/>
    <x v="1"/>
    <d v="2022-05-13T00:00:00"/>
    <d v="2022-06-15T00:00:00"/>
    <d v="2022-08-23T00:00:00"/>
    <s v="INLAB s.r.o."/>
    <m/>
    <n v="418800"/>
    <n v="481620"/>
    <m/>
    <m/>
    <m/>
    <d v="2022-08-23T00:00:00"/>
    <s v="SMLN-2022-617-000578_x000a_SMLN-2022-614-000074"/>
    <x v="99"/>
  </r>
  <r>
    <d v="2022-05-06T00:00:00"/>
    <s v="VZ-2022-000475"/>
    <x v="7"/>
    <s v="Svozil"/>
    <x v="291"/>
    <m/>
    <m/>
    <m/>
    <s v="45332200-5"/>
    <m/>
    <n v="540000"/>
    <x v="2"/>
    <d v="2022-05-13T00:00:00"/>
    <d v="2022-05-24T00:00:00"/>
    <d v="2022-06-01T00:00:00"/>
    <s v="INSTA CZ, s.r.o."/>
    <m/>
    <n v="768347.2"/>
    <n v="929700.11"/>
    <m/>
    <m/>
    <m/>
    <d v="2022-06-01T00:00:00"/>
    <s v="SMLN-2022-618-000031"/>
    <x v="71"/>
  </r>
  <r>
    <d v="2022-05-02T00:00:00"/>
    <s v="VZ-2022-000476"/>
    <x v="4"/>
    <s v="Olejníček"/>
    <x v="292"/>
    <m/>
    <m/>
    <m/>
    <s v="33152000-0"/>
    <s v="2.3.540."/>
    <n v="3380000"/>
    <x v="0"/>
    <d v="2022-05-17T00:00:00"/>
    <d v="2022-06-21T00:00:00"/>
    <d v="2022-06-29T00:00:00"/>
    <s v="YBUX s.r.o."/>
    <m/>
    <n v="3349000"/>
    <n v="4052290"/>
    <m/>
    <m/>
    <m/>
    <d v="2022-06-29T00:00:00"/>
    <s v="SMLN-2022-617-000443_x000a_SMLN-2022-612-000119_x000a_SMLN-2022-617-000444"/>
    <x v="148"/>
  </r>
  <r>
    <d v="2022-05-09T00:00:00"/>
    <s v="VZ-2022-000480"/>
    <x v="1"/>
    <s v="Ondráčková"/>
    <x v="293"/>
    <m/>
    <m/>
    <m/>
    <s v="33600000-6"/>
    <m/>
    <n v="10582800"/>
    <x v="0"/>
    <d v="2022-05-26T00:00:00"/>
    <d v="2022-06-30T00:00:00"/>
    <m/>
    <s v="zrušeno - bez hodnotitelné nabídky"/>
    <s v="nová VZ-2022-000813"/>
    <m/>
    <m/>
    <m/>
    <m/>
    <m/>
    <m/>
    <m/>
    <x v="4"/>
  </r>
  <r>
    <d v="2022-05-10T00:00:00"/>
    <s v="VZ-2022-000481"/>
    <x v="4"/>
    <s v="Olejníček"/>
    <x v="294"/>
    <m/>
    <m/>
    <m/>
    <s v="33191000-5"/>
    <s v="2.2.477."/>
    <n v="528000"/>
    <x v="0"/>
    <d v="2022-05-12T00:00:00"/>
    <d v="2022-06-15T00:00:00"/>
    <d v="2022-06-30T00:00:00"/>
    <s v="Fénix Brno, spol. s r.o."/>
    <m/>
    <n v="572484"/>
    <n v="692705.64"/>
    <m/>
    <m/>
    <m/>
    <d v="2022-06-30T00:00:00"/>
    <s v="SMLN-2022-617-000451_x000a_SMLN-2022-612-000123"/>
    <x v="149"/>
  </r>
  <r>
    <d v="2022-05-09T00:00:00"/>
    <s v="VZ-2022-000487-01"/>
    <x v="7"/>
    <s v="Svozil"/>
    <x v="295"/>
    <n v="1"/>
    <s v="Likvidace nebezpečných odpadů"/>
    <m/>
    <s v="90500000-2"/>
    <m/>
    <n v="128250000"/>
    <x v="0"/>
    <d v="2022-08-11T00:00:00"/>
    <d v="2022-10-26T00:00:00"/>
    <d v="2022-12-16T00:00:00"/>
    <s v="Veolia Energie ČR, a.s."/>
    <m/>
    <n v="107417279.38"/>
    <n v="129974908.05"/>
    <m/>
    <m/>
    <m/>
    <d v="2022-12-16T00:00:00"/>
    <s v="SMLN-2022-612-000232"/>
    <x v="4"/>
  </r>
  <r>
    <d v="2022-05-09T00:00:00"/>
    <s v="VZ-2022-000487-02"/>
    <x v="7"/>
    <s v="Svozil"/>
    <x v="295"/>
    <n v="2"/>
    <s v="Likvidace ostatních odpadů"/>
    <m/>
    <s v="90500000-2"/>
    <m/>
    <n v="11700000"/>
    <x v="0"/>
    <d v="2022-08-11T00:00:00"/>
    <d v="2022-10-26T00:00:00"/>
    <m/>
    <s v="zrušeno - neekonomická nabídka"/>
    <m/>
    <m/>
    <m/>
    <m/>
    <m/>
    <m/>
    <m/>
    <m/>
    <x v="4"/>
  </r>
  <r>
    <d v="2022-05-09T00:00:00"/>
    <s v="VZ-2022-000487-03"/>
    <x v="7"/>
    <s v="Svozil"/>
    <x v="295"/>
    <n v="3"/>
    <s v="Výkup odpadů"/>
    <m/>
    <s v="90500000-2"/>
    <m/>
    <n v="765000"/>
    <x v="0"/>
    <d v="2022-08-11T00:00:00"/>
    <d v="2022-10-26T00:00:00"/>
    <m/>
    <s v="zrušeno - bez nabídky"/>
    <m/>
    <m/>
    <m/>
    <m/>
    <m/>
    <m/>
    <m/>
    <m/>
    <x v="4"/>
  </r>
  <r>
    <d v="2022-05-11T00:00:00"/>
    <s v="VZ-2022-000488"/>
    <x v="0"/>
    <s v="Valtová"/>
    <x v="296"/>
    <m/>
    <m/>
    <m/>
    <s v="33140000-3"/>
    <m/>
    <n v="1193125"/>
    <x v="0"/>
    <d v="2022-05-24T00:00:00"/>
    <d v="2022-06-27T00:00:00"/>
    <d v="2022-08-12T00:00:00"/>
    <s v="A care a.s."/>
    <m/>
    <n v="1193055.25"/>
    <n v="1443596.85"/>
    <m/>
    <m/>
    <m/>
    <d v="2022-08-12T00:00:00"/>
    <s v="SMLN-2022-617-000539 SMLN-2022-614-000067"/>
    <x v="98"/>
  </r>
  <r>
    <d v="2022-05-12T00:00:00"/>
    <s v="VZ-2022-000494"/>
    <x v="4"/>
    <s v="Olejníček"/>
    <x v="297"/>
    <m/>
    <m/>
    <m/>
    <s v="33122000-1"/>
    <s v="2.3.669."/>
    <n v="253000"/>
    <x v="2"/>
    <d v="2022-05-12T00:00:00"/>
    <d v="2022-05-20T00:00:00"/>
    <d v="2022-06-02T00:00:00"/>
    <s v="CMI s.r.o."/>
    <m/>
    <n v="225670"/>
    <n v="273060.7"/>
    <m/>
    <m/>
    <m/>
    <d v="2022-06-02T00:00:00"/>
    <s v="SMLN-2022-617-000386_x000a_SMLN-2022-612-000096"/>
    <x v="90"/>
  </r>
  <r>
    <d v="2022-05-12T00:00:00"/>
    <s v="VZ-2022-000496"/>
    <x v="1"/>
    <s v="Ondráčková"/>
    <x v="298"/>
    <m/>
    <m/>
    <m/>
    <s v="33652000-5"/>
    <m/>
    <n v="3913800"/>
    <x v="0"/>
    <d v="2022-05-19T00:00:00"/>
    <d v="2022-06-23T00:00:00"/>
    <d v="2022-07-15T00:00:00"/>
    <s v="Alliance Healthcare s.r.o."/>
    <m/>
    <n v="2874013.08"/>
    <n v="3161414.39"/>
    <m/>
    <m/>
    <m/>
    <d v="2022-07-15T00:00:00"/>
    <s v="SMLN-2022-617-000462"/>
    <x v="121"/>
  </r>
  <r>
    <d v="2022-05-12T00:00:00"/>
    <s v="VZ-2022-000497"/>
    <x v="1"/>
    <s v="Ondráčková"/>
    <x v="299"/>
    <m/>
    <m/>
    <m/>
    <s v="33652000-5"/>
    <m/>
    <n v="14679615"/>
    <x v="0"/>
    <d v="2022-06-06T00:00:00"/>
    <d v="2022-07-11T00:00:00"/>
    <d v="2022-08-24T00:00:00"/>
    <s v="Alliance Healthcare s.r.o."/>
    <m/>
    <n v="14679613.039999999"/>
    <n v="16147574.34"/>
    <m/>
    <m/>
    <m/>
    <d v="2022-08-24T00:00:00"/>
    <s v="SMLN-2022-617-000586"/>
    <x v="150"/>
  </r>
  <r>
    <d v="2022-05-12T00:00:00"/>
    <s v="VZ-2022-000498"/>
    <x v="4"/>
    <s v="Olejníček"/>
    <x v="300"/>
    <m/>
    <m/>
    <m/>
    <s v="42923200-4"/>
    <s v="2.2.480."/>
    <n v="255000"/>
    <x v="2"/>
    <d v="2022-05-16T00:00:00"/>
    <d v="2022-05-24T00:00:00"/>
    <d v="2022-06-02T00:00:00"/>
    <s v="MedSystem s.r.o."/>
    <m/>
    <n v="220500"/>
    <n v="266805"/>
    <m/>
    <m/>
    <m/>
    <d v="2022-06-02T00:00:00"/>
    <s v="SMLN-2022-617-000381_x000a_SMLN-2022-612-000092"/>
    <x v="105"/>
  </r>
  <r>
    <d v="2022-05-11T00:00:00"/>
    <s v="VZ-2022-000502"/>
    <x v="0"/>
    <s v="Valtová"/>
    <x v="301"/>
    <m/>
    <m/>
    <m/>
    <s v="33140000-3"/>
    <m/>
    <n v="1083500"/>
    <x v="0"/>
    <d v="2022-05-25T00:00:00"/>
    <d v="2022-06-28T00:00:00"/>
    <d v="2022-08-23T00:00:00"/>
    <s v="A care a.s."/>
    <m/>
    <n v="1083460.6000000001"/>
    <n v="1310987.08"/>
    <m/>
    <m/>
    <m/>
    <d v="2022-08-23T00:00:00"/>
    <s v="SMLN-2022-617-000575_x000a_SMLN-2022-614-000071"/>
    <x v="117"/>
  </r>
  <r>
    <d v="2022-05-13T00:00:00"/>
    <s v="VZ-2022-000503-01"/>
    <x v="1"/>
    <s v="Ondráčková"/>
    <x v="302"/>
    <n v="1"/>
    <s v="SMĚS BAKTERIÁLNÍHO LYZÁTU (LYSATUM BACTERIALE MIXTUM) "/>
    <m/>
    <s v="33652000-5"/>
    <m/>
    <n v="112125"/>
    <x v="0"/>
    <d v="2022-05-24T00:00:00"/>
    <d v="2022-07-11T00:00:00"/>
    <d v="2022-08-23T00:00:00"/>
    <s v="PHOENIX lék.velkoobchod, s.r.o."/>
    <m/>
    <n v="111870"/>
    <n v="123057"/>
    <m/>
    <m/>
    <m/>
    <d v="2022-08-24T00:00:00"/>
    <s v="SMLN-2022-617-000584"/>
    <x v="103"/>
  </r>
  <r>
    <d v="2022-05-13T00:00:00"/>
    <s v="VZ-2022-000503-02"/>
    <x v="1"/>
    <s v="Ondráčková"/>
    <x v="302"/>
    <n v="2"/>
    <s v="BACILLUS CALMETTE-GUERIN (BACILLUS CALMETTE-GUERIN) "/>
    <m/>
    <s v="33652000-5"/>
    <m/>
    <n v="2305480"/>
    <x v="0"/>
    <d v="2022-05-24T00:00:00"/>
    <d v="2022-07-11T00:00:00"/>
    <d v="2022-08-23T00:00:00"/>
    <s v="PHOENIX lék.velkoobchod, s.r.o."/>
    <m/>
    <n v="2222207.79"/>
    <n v="2444428.5699999998"/>
    <m/>
    <m/>
    <m/>
    <d v="2022-08-24T00:00:00"/>
    <s v="SMLN-2022-617-000585"/>
    <x v="103"/>
  </r>
  <r>
    <d v="2022-05-13T00:00:00"/>
    <s v="VZ-2022-000504-01"/>
    <x v="1"/>
    <s v="Ondráčková"/>
    <x v="303"/>
    <n v="1"/>
    <s v="KAPTOPRIL "/>
    <m/>
    <s v="33622200-8"/>
    <m/>
    <n v="58465"/>
    <x v="2"/>
    <d v="2022-06-09T00:00:00"/>
    <d v="2022-06-28T00:00:00"/>
    <d v="2022-08-16T00:00:00"/>
    <s v="Alliance Healthcare s.r.o."/>
    <m/>
    <n v="57836.32"/>
    <n v="63619.95"/>
    <m/>
    <m/>
    <m/>
    <d v="2022-08-16T00:00:00"/>
    <s v="SMLN-2022-617-000548"/>
    <x v="66"/>
  </r>
  <r>
    <d v="2022-05-13T00:00:00"/>
    <s v="VZ-2022-000504-02"/>
    <x v="1"/>
    <s v="Ondráčková"/>
    <x v="303"/>
    <n v="2"/>
    <s v="_x000a_ENALAPRIL I."/>
    <m/>
    <s v="33622200-8"/>
    <m/>
    <n v="42573"/>
    <x v="2"/>
    <d v="2022-06-09T00:00:00"/>
    <d v="2022-06-28T00:00:00"/>
    <d v="2022-08-16T00:00:00"/>
    <s v="PHOENIX lék.velkoobchod, s.r.o."/>
    <m/>
    <n v="42573"/>
    <n v="46830.3"/>
    <m/>
    <m/>
    <m/>
    <d v="2022-08-16T00:00:00"/>
    <s v="SMLN-2022-617-000549"/>
    <x v="98"/>
  </r>
  <r>
    <d v="2022-05-13T00:00:00"/>
    <s v="VZ-2022-000504-03"/>
    <x v="1"/>
    <s v="Ondráčková"/>
    <x v="303"/>
    <n v="3"/>
    <s v="_x000a_ENALAPRIL II."/>
    <m/>
    <s v="33622200-8"/>
    <m/>
    <n v="44572"/>
    <x v="2"/>
    <d v="2022-06-09T00:00:00"/>
    <d v="2022-06-28T00:00:00"/>
    <d v="2022-08-16T00:00:00"/>
    <s v="PHOENIX lék.velkoobchod, s.r.o."/>
    <m/>
    <n v="44561.96"/>
    <n v="49018.16"/>
    <m/>
    <m/>
    <m/>
    <d v="2022-08-16T00:00:00"/>
    <s v="SMLN-2022-617-000550"/>
    <x v="98"/>
  </r>
  <r>
    <d v="2022-05-13T00:00:00"/>
    <s v="VZ-2022-000504-04"/>
    <x v="1"/>
    <s v="Ondráčková"/>
    <x v="303"/>
    <n v="4"/>
    <s v="PERINDOPRIL I."/>
    <m/>
    <s v="33622200-8"/>
    <m/>
    <n v="100344"/>
    <x v="2"/>
    <d v="2022-06-09T00:00:00"/>
    <d v="2022-06-28T00:00:00"/>
    <d v="2022-08-16T00:00:00"/>
    <s v="PHOENIX lék.velkoobchod, s.r.o."/>
    <m/>
    <n v="89464.36"/>
    <n v="98410.8"/>
    <m/>
    <m/>
    <m/>
    <d v="2022-08-16T00:00:00"/>
    <s v="SMLN-2022-617-000551"/>
    <x v="98"/>
  </r>
  <r>
    <d v="2022-05-13T00:00:00"/>
    <s v="VZ-2022-000504-05"/>
    <x v="1"/>
    <s v="Ondráčková"/>
    <x v="303"/>
    <n v="5"/>
    <s v="PERINDOPRIL II."/>
    <m/>
    <s v="33622200-8"/>
    <m/>
    <n v="957957"/>
    <x v="2"/>
    <d v="2022-06-09T00:00:00"/>
    <d v="2022-06-28T00:00:00"/>
    <d v="2022-08-16T00:00:00"/>
    <s v="PHOENIX lék.velkoobchod, s.r.o."/>
    <m/>
    <n v="957955.4"/>
    <n v="1053750.94"/>
    <m/>
    <m/>
    <m/>
    <d v="2022-08-16T00:00:00"/>
    <s v="SMLN-2022-617-000552"/>
    <x v="98"/>
  </r>
  <r>
    <d v="2022-05-13T00:00:00"/>
    <s v="VZ-2022-000504-06"/>
    <x v="1"/>
    <s v="Ondráčková"/>
    <x v="303"/>
    <n v="6"/>
    <s v="_x000a_RAMIPRIL"/>
    <m/>
    <s v="33622200-8"/>
    <m/>
    <n v="349305"/>
    <x v="2"/>
    <d v="2022-06-09T00:00:00"/>
    <d v="2022-06-28T00:00:00"/>
    <d v="2022-08-16T00:00:00"/>
    <s v="PHOENIX lék.velkoobchod, s.r.o."/>
    <m/>
    <n v="349066"/>
    <n v="383972.6"/>
    <m/>
    <m/>
    <m/>
    <d v="2022-08-16T00:00:00"/>
    <s v="SMLN-2022-617-000553"/>
    <x v="98"/>
  </r>
  <r>
    <d v="2022-05-13T00:00:00"/>
    <s v="VZ-2022-000504-07"/>
    <x v="1"/>
    <s v="Ondráčková"/>
    <x v="303"/>
    <n v="7"/>
    <s v="_x000a__x000a_FOSINOPRIL  "/>
    <m/>
    <s v="33622200-8"/>
    <m/>
    <n v="86076"/>
    <x v="2"/>
    <d v="2022-06-09T00:00:00"/>
    <d v="2022-06-28T00:00:00"/>
    <d v="2022-08-16T00:00:00"/>
    <s v="PHOENIX lék.velkoobchod, s.r.o."/>
    <m/>
    <n v="86075.92"/>
    <n v="94683.51"/>
    <m/>
    <m/>
    <m/>
    <d v="2022-08-16T00:00:00"/>
    <s v="SMLN-2022-617-000554"/>
    <x v="98"/>
  </r>
  <r>
    <d v="2022-05-13T00:00:00"/>
    <s v="VZ-2022-000504-08"/>
    <x v="1"/>
    <s v="Ondráčková"/>
    <x v="303"/>
    <n v="8"/>
    <s v="TRANDOLAPRIL  "/>
    <m/>
    <s v="33622200-8"/>
    <m/>
    <n v="81585"/>
    <x v="2"/>
    <d v="2022-06-09T00:00:00"/>
    <d v="2022-06-28T00:00:00"/>
    <d v="2022-08-16T00:00:00"/>
    <s v="Alliance Healthcare s.r.o."/>
    <m/>
    <n v="72999.12"/>
    <n v="80299.03"/>
    <m/>
    <m/>
    <m/>
    <d v="2022-08-16T00:00:00"/>
    <s v="SMLN-2022-617-000555"/>
    <x v="66"/>
  </r>
  <r>
    <d v="2022-05-13T00:00:00"/>
    <s v="VZ-2022-000506-01"/>
    <x v="1"/>
    <s v="Ondráčková"/>
    <x v="304"/>
    <n v="1"/>
    <s v="BENZYLPENICILIN"/>
    <m/>
    <s v="33651100-9"/>
    <m/>
    <n v="270516"/>
    <x v="0"/>
    <d v="2022-06-27T00:00:00"/>
    <d v="2022-08-01T00:00:00"/>
    <d v="2022-10-21T00:00:00"/>
    <s v="PHOENIX lék.velkoobchod, s.r.o."/>
    <m/>
    <n v="268169.40000000002"/>
    <n v="294986.34000000003"/>
    <m/>
    <m/>
    <m/>
    <d v="2022-10-21T00:00:00"/>
    <s v="SMLN-2022-617-000751"/>
    <x v="151"/>
  </r>
  <r>
    <d v="2022-05-13T00:00:00"/>
    <s v="VZ-2022-000506-02"/>
    <x v="1"/>
    <s v="Ondráčková"/>
    <x v="304"/>
    <n v="2"/>
    <s v="SULFAMETHOXAZOL A TRIMETHOPRIM I."/>
    <m/>
    <s v="33651100-9"/>
    <m/>
    <n v="701408"/>
    <x v="0"/>
    <d v="2022-06-27T00:00:00"/>
    <d v="2022-08-01T00:00:00"/>
    <d v="2022-10-21T00:00:00"/>
    <s v="PHARMOS, a.s., a.s."/>
    <m/>
    <n v="665585.81999999995"/>
    <n v="732144.4"/>
    <m/>
    <m/>
    <m/>
    <d v="2022-10-21T00:00:00"/>
    <s v="SMLN-2022-617-000752"/>
    <x v="152"/>
  </r>
  <r>
    <d v="2022-05-13T00:00:00"/>
    <s v="VZ-2022-000506-03"/>
    <x v="1"/>
    <s v="Ondráčková"/>
    <x v="304"/>
    <n v="3"/>
    <s v="SULFAMETHOXAZOL A TRIMETHOPRIM II."/>
    <m/>
    <s v="33651100-9"/>
    <m/>
    <n v="101354"/>
    <x v="0"/>
    <d v="2022-06-27T00:00:00"/>
    <d v="2022-08-01T00:00:00"/>
    <d v="2022-10-21T00:00:00"/>
    <s v="Alliance Healthcare s.r.o."/>
    <m/>
    <n v="90465.45"/>
    <n v="99512"/>
    <m/>
    <m/>
    <m/>
    <d v="2022-10-21T00:00:00"/>
    <s v="SMLN-2022-617-000753"/>
    <x v="151"/>
  </r>
  <r>
    <d v="2022-05-13T00:00:00"/>
    <s v="VZ-2022-000506-04"/>
    <x v="1"/>
    <s v="Ondráčková"/>
    <x v="304"/>
    <n v="4"/>
    <s v="SULFAMETHOXAZOL A TRIMETHOPRIM III."/>
    <m/>
    <s v="33651100-9"/>
    <m/>
    <n v="1485341"/>
    <x v="0"/>
    <d v="2022-06-27T00:00:00"/>
    <d v="2022-08-01T00:00:00"/>
    <m/>
    <s v="zrušeno - všichni účastníci odstoupili"/>
    <m/>
    <m/>
    <m/>
    <m/>
    <m/>
    <m/>
    <m/>
    <m/>
    <x v="4"/>
  </r>
  <r>
    <d v="2022-05-13T00:00:00"/>
    <s v="VZ-2022-000506-05"/>
    <x v="1"/>
    <s v="Ondráčková"/>
    <x v="304"/>
    <n v="5"/>
    <s v="VANKOMYCIN I."/>
    <m/>
    <s v="33651100-9"/>
    <m/>
    <n v="175924"/>
    <x v="0"/>
    <d v="2022-06-27T00:00:00"/>
    <d v="2022-08-01T00:00:00"/>
    <m/>
    <s v="zrušeno - bez nabídky"/>
    <m/>
    <m/>
    <m/>
    <m/>
    <m/>
    <m/>
    <m/>
    <m/>
    <x v="4"/>
  </r>
  <r>
    <d v="2022-05-13T00:00:00"/>
    <s v="VZ-2022-000506-06"/>
    <x v="1"/>
    <s v="Ondráčková"/>
    <x v="304"/>
    <n v="6"/>
    <s v="VANKOMYCIN II."/>
    <m/>
    <s v="33651100-9"/>
    <m/>
    <n v="877813"/>
    <x v="0"/>
    <d v="2022-06-27T00:00:00"/>
    <d v="2022-08-01T00:00:00"/>
    <d v="2022-10-21T00:00:00"/>
    <s v="zrušeno - odstoupení účastníků od nabídky"/>
    <m/>
    <n v="857190.15"/>
    <n v="942909.17"/>
    <m/>
    <m/>
    <m/>
    <d v="2022-10-21T00:00:00"/>
    <s v="SMLN-2022-617-000755"/>
    <x v="4"/>
  </r>
  <r>
    <d v="2022-05-06T00:00:00"/>
    <s v="VZ-2022-000507"/>
    <x v="4"/>
    <s v="Olejníček"/>
    <x v="305"/>
    <m/>
    <m/>
    <m/>
    <s v="33168100-6"/>
    <m/>
    <n v="1727250"/>
    <x v="0"/>
    <d v="2022-06-07T00:00:00"/>
    <d v="2022-07-12T00:00:00"/>
    <d v="2022-07-29T00:00:00"/>
    <s v="RADIX CZ s.r.o."/>
    <m/>
    <n v="1675938"/>
    <n v="2033208.98"/>
    <m/>
    <m/>
    <m/>
    <d v="2022-07-29T00:00:00"/>
    <s v="SMLN-2022-617-000480 SMLN-2022-617-000624_x000a_SMLN-2022-612-000138"/>
    <x v="120"/>
  </r>
  <r>
    <d v="2022-05-12T00:00:00"/>
    <s v="VZ-2022-000508"/>
    <x v="9"/>
    <s v="Oravec"/>
    <x v="306"/>
    <m/>
    <m/>
    <m/>
    <s v="72268000-1"/>
    <m/>
    <n v="396000"/>
    <x v="2"/>
    <d v="2022-05-19T00:00:00"/>
    <d v="2022-05-27T00:00:00"/>
    <d v="2022-06-02T00:00:00"/>
    <s v="Ústav radiačnej ochrany, s.r.o."/>
    <m/>
    <n v="396000"/>
    <n v="479160"/>
    <m/>
    <m/>
    <m/>
    <d v="2022-06-02T00:00:00"/>
    <s v="SMLN-2022-612-000091"/>
    <x v="153"/>
  </r>
  <r>
    <s v="opakovaná VZ"/>
    <s v="VZ-2022-000511"/>
    <x v="16"/>
    <s v="Klimek"/>
    <x v="307"/>
    <m/>
    <m/>
    <m/>
    <s v="34136100-0"/>
    <s v="4.2.180."/>
    <n v="1239669"/>
    <x v="2"/>
    <d v="2022-05-19T00:00:00"/>
    <d v="2022-06-02T00:00:00"/>
    <d v="2022-06-10T00:00:00"/>
    <s v="Auto Kubíček s.r.o."/>
    <m/>
    <n v="1223140.5"/>
    <n v="1480000"/>
    <m/>
    <m/>
    <m/>
    <d v="2022-06-10T00:00:00"/>
    <s v="SMLN-2022-617-000402"/>
    <x v="154"/>
  </r>
  <r>
    <d v="2022-05-16T00:00:00"/>
    <s v="VZ-2022-000512"/>
    <x v="4"/>
    <s v="Olejníček"/>
    <x v="308"/>
    <m/>
    <m/>
    <m/>
    <s v="38000000-5"/>
    <s v="2.3.612."/>
    <n v="58000"/>
    <x v="2"/>
    <d v="2022-05-24T00:00:00"/>
    <d v="2022-06-02T00:00:00"/>
    <d v="2022-06-16T00:00:00"/>
    <s v="Schoeller Instruments, s.r.o."/>
    <m/>
    <n v="68800"/>
    <n v="83248"/>
    <m/>
    <m/>
    <m/>
    <d v="2022-06-16T00:00:00"/>
    <s v="SMLN-2022-617-000410_x000a_SMLN-2022-612-000106"/>
    <x v="139"/>
  </r>
  <r>
    <d v="2022-05-16T00:00:00"/>
    <s v="VZ-2022-000513"/>
    <x v="0"/>
    <s v="Dočkalová"/>
    <x v="309"/>
    <m/>
    <m/>
    <m/>
    <s v="33162200-5"/>
    <m/>
    <n v="6170016.7999999998"/>
    <x v="0"/>
    <d v="2022-05-26T00:00:00"/>
    <d v="2022-06-29T00:00:00"/>
    <d v="2022-08-01T00:00:00"/>
    <s v="ADYTON s.r.o."/>
    <m/>
    <n v="6170016.7999999998"/>
    <n v="7095520"/>
    <m/>
    <m/>
    <m/>
    <d v="2022-08-04T00:00:00"/>
    <s v="SMLN-2022-617-000501"/>
    <x v="120"/>
  </r>
  <r>
    <s v="opakovaná VZ"/>
    <s v="VZ-2022-000514"/>
    <x v="3"/>
    <s v="Olejníček"/>
    <x v="310"/>
    <m/>
    <m/>
    <m/>
    <s v="33100000-1"/>
    <s v="2.2.428."/>
    <n v="545000"/>
    <x v="0"/>
    <d v="2022-06-16T00:00:00"/>
    <d v="2022-07-21T00:00:00"/>
    <d v="2022-08-05T00:00:00"/>
    <s v="JK - Trading spol. s r.o."/>
    <m/>
    <n v="449365"/>
    <n v="543731.65"/>
    <m/>
    <m/>
    <m/>
    <d v="2022-08-08T00:00:00"/>
    <s v="SMLN-2022-617-000506_x000a_SMLN-2022-612-000150"/>
    <x v="155"/>
  </r>
  <r>
    <d v="2022-05-16T00:00:00"/>
    <s v="VZ-2022-000515"/>
    <x v="5"/>
    <s v="Srovnal"/>
    <x v="311"/>
    <m/>
    <m/>
    <m/>
    <s v="45311000-0"/>
    <m/>
    <n v="4100000"/>
    <x v="2"/>
    <d v="2022-05-25T00:00:00"/>
    <d v="2022-06-03T00:00:00"/>
    <m/>
    <s v="zrušeno - chyba v PD"/>
    <m/>
    <m/>
    <m/>
    <m/>
    <m/>
    <m/>
    <m/>
    <m/>
    <x v="4"/>
  </r>
  <r>
    <d v="2022-05-16T00:00:00"/>
    <s v="VZ-2022-000516"/>
    <x v="4"/>
    <s v="Olejníček"/>
    <x v="312"/>
    <m/>
    <m/>
    <m/>
    <s v="33162000-3"/>
    <s v="2.2.459."/>
    <n v="5200000"/>
    <x v="0"/>
    <d v="2022-06-02T00:00:00"/>
    <d v="2022-07-08T00:00:00"/>
    <d v="2022-08-29T00:00:00"/>
    <s v="SKALA-Medica s.r.o."/>
    <m/>
    <n v="4995900"/>
    <n v="6045039"/>
    <m/>
    <m/>
    <m/>
    <d v="2022-08-29T00:00:00"/>
    <s v="SMLN-2022-617-000597_x000a_SMLN-2022-612-000178_x000a_SMLN-2022-617-000598"/>
    <x v="115"/>
  </r>
  <r>
    <d v="2022-05-12T00:00:00"/>
    <s v="VZ-2022-000517"/>
    <x v="20"/>
    <s v="Zemánek"/>
    <x v="313"/>
    <m/>
    <m/>
    <m/>
    <s v="50421000-2"/>
    <m/>
    <n v="980000"/>
    <x v="2"/>
    <d v="2022-05-25T00:00:00"/>
    <d v="2022-06-03T00:00:00"/>
    <m/>
    <s v="zrušeno - bez nabídky"/>
    <m/>
    <m/>
    <m/>
    <m/>
    <m/>
    <m/>
    <m/>
    <m/>
    <x v="4"/>
  </r>
  <r>
    <s v="opakovaná VZ"/>
    <s v="VZ-2022-000520"/>
    <x v="3"/>
    <s v="Olejníček"/>
    <x v="314"/>
    <m/>
    <m/>
    <m/>
    <s v="33192160-1"/>
    <s v="2.2.157; 2.3.528"/>
    <n v="810167"/>
    <x v="0"/>
    <d v="2022-06-02T00:00:00"/>
    <d v="2022-07-08T00:00:00"/>
    <d v="2022-08-01T00:00:00"/>
    <s v="Medsol s.r.o."/>
    <m/>
    <n v="1343330"/>
    <n v="1625429.3"/>
    <m/>
    <m/>
    <m/>
    <d v="2022-08-01T00:00:00"/>
    <s v="SMLN-2022-617-000481_x000a_SMLN-2022-617-000482_x000a_SMLN-2022-612-000139"/>
    <x v="33"/>
  </r>
  <r>
    <d v="2022-05-16T00:00:00"/>
    <s v="VZ-2022-000521"/>
    <x v="0"/>
    <s v="Dočkalová"/>
    <x v="315"/>
    <m/>
    <m/>
    <m/>
    <s v="33140000-3"/>
    <m/>
    <n v="1683470.4"/>
    <x v="2"/>
    <d v="2022-05-24T00:00:00"/>
    <d v="2022-06-01T00:00:00"/>
    <m/>
    <s v="zrušeno - překročení limitu VZMR"/>
    <s v="nová VZ-2022-000587"/>
    <m/>
    <m/>
    <m/>
    <m/>
    <m/>
    <m/>
    <m/>
    <x v="4"/>
  </r>
  <r>
    <d v="2022-05-19T00:00:00"/>
    <s v="VZ-2022-000531"/>
    <x v="5"/>
    <s v="Srovnal"/>
    <x v="316"/>
    <m/>
    <m/>
    <m/>
    <s v="45453100-8"/>
    <m/>
    <n v="21500000"/>
    <x v="1"/>
    <d v="2022-05-31T00:00:00"/>
    <d v="2022-06-24T00:00:00"/>
    <d v="2022-07-15T00:00:00"/>
    <s v="AL LOGIC, s.r.o."/>
    <m/>
    <n v="18334232.02"/>
    <n v="22184420.739999998"/>
    <m/>
    <m/>
    <m/>
    <d v="2022-07-19T00:00:00"/>
    <s v="SMLN-2022-618-000047"/>
    <x v="156"/>
  </r>
  <r>
    <d v="2022-05-23T00:00:00"/>
    <s v="VZ-2022-000535"/>
    <x v="6"/>
    <s v="Zdráhalová"/>
    <x v="317"/>
    <m/>
    <m/>
    <m/>
    <s v="39120000-9"/>
    <m/>
    <n v="850000"/>
    <x v="2"/>
    <d v="2022-05-25T00:00:00"/>
    <d v="2022-06-03T00:00:00"/>
    <d v="2022-06-10T00:00:00"/>
    <s v="BRANTAL, spol. s r.o."/>
    <m/>
    <n v="596870"/>
    <n v="722212.7"/>
    <m/>
    <m/>
    <m/>
    <d v="2022-06-10T00:00:00"/>
    <s v="SMLN-2022-618-000036"/>
    <x v="71"/>
  </r>
  <r>
    <d v="2022-05-18T00:00:00"/>
    <s v="VZ-2022-000536-01"/>
    <x v="4"/>
    <s v="Olejníček"/>
    <x v="318"/>
    <n v="1"/>
    <s v="Stolní svářečky pro sváření hadiček krevních vaků"/>
    <m/>
    <s v="38000000-5"/>
    <s v="2.3.623."/>
    <n v="304000"/>
    <x v="0"/>
    <d v="2022-06-06T00:00:00"/>
    <d v="2022-07-08T00:00:00"/>
    <m/>
    <s v="zrušeno - bez hodnotitelné nabídky"/>
    <s v="nová VZ-2022-001013"/>
    <m/>
    <m/>
    <m/>
    <m/>
    <m/>
    <m/>
    <m/>
    <x v="4"/>
  </r>
  <r>
    <d v="2022-05-18T00:00:00"/>
    <s v="VZ-2022-000536-02"/>
    <x v="4"/>
    <s v="Olejníček"/>
    <x v="318"/>
    <n v="2"/>
    <s v="Automatické protahovací kleště hadiček krevních vaků"/>
    <m/>
    <s v="38000000-5"/>
    <s v="2.3.624."/>
    <n v="138000"/>
    <x v="0"/>
    <d v="2022-06-06T00:00:00"/>
    <d v="2022-07-08T00:00:00"/>
    <d v="2022-08-11T00:00:00"/>
    <s v="SARSTED, spol. s r.o."/>
    <m/>
    <n v="105030"/>
    <n v="127086.3"/>
    <m/>
    <m/>
    <m/>
    <d v="2022-08-12T00:00:00"/>
    <s v="SMLN-2022-612-000154 SMLN-2022-617-000529"/>
    <x v="113"/>
  </r>
  <r>
    <d v="2022-05-18T00:00:00"/>
    <s v="VZ-2022-000536-03"/>
    <x v="4"/>
    <s v="Olejníček"/>
    <x v="318"/>
    <n v="3"/>
    <s v="Stolní sterilní svářečka pro spojení hadiček krevních vaků"/>
    <m/>
    <s v="38000000-5"/>
    <s v="2.3.626."/>
    <n v="7376000"/>
    <x v="0"/>
    <d v="2022-06-06T00:00:00"/>
    <d v="2022-07-08T00:00:00"/>
    <d v="2022-08-11T00:00:00"/>
    <s v="MEDISTYL- PHARMA a.s."/>
    <m/>
    <n v="3621100"/>
    <n v="4381531"/>
    <m/>
    <m/>
    <m/>
    <d v="2022-08-12T00:00:00"/>
    <s v="SMLN-2022-612-000155 SMLN-2022-617-000530 SMLN-2022-617-000532"/>
    <x v="157"/>
  </r>
  <r>
    <d v="2022-05-16T00:00:00"/>
    <s v="VZ-2022-000541"/>
    <x v="0"/>
    <s v="Dočkalová"/>
    <x v="319"/>
    <m/>
    <m/>
    <m/>
    <s v="33182220-7"/>
    <m/>
    <n v="8243460"/>
    <x v="0"/>
    <d v="2022-06-03T00:00:00"/>
    <d v="2022-07-08T00:00:00"/>
    <d v="2022-08-01T00:00:00"/>
    <s v="Edwards Lifesciences Czech Republic s.r.o."/>
    <m/>
    <n v="8243460"/>
    <n v="9479979"/>
    <m/>
    <m/>
    <m/>
    <d v="2022-08-03T00:00:00"/>
    <s v="SMLN-2022-617-000499_x000a_SMLN-2022-614-000056"/>
    <x v="158"/>
  </r>
  <r>
    <s v="opakovaná VZ"/>
    <s v="VZ-2022-000542"/>
    <x v="0"/>
    <s v="Dočkalová"/>
    <x v="320"/>
    <m/>
    <m/>
    <m/>
    <s v="33140000-3"/>
    <m/>
    <n v="505325"/>
    <x v="2"/>
    <d v="2022-05-30T00:00:00"/>
    <d v="2022-06-07T00:00:00"/>
    <d v="2022-06-17T00:00:00"/>
    <s v="Hoyer Praha s.r.o."/>
    <m/>
    <n v="505690.5"/>
    <n v="611885.51"/>
    <m/>
    <m/>
    <m/>
    <d v="2022-06-17T00:00:00"/>
    <s v="SMLN-2022-617-000414"/>
    <x v="159"/>
  </r>
  <r>
    <d v="2022-05-25T00:00:00"/>
    <s v="VZ-2022-000543"/>
    <x v="3"/>
    <s v="Olejníček"/>
    <x v="321"/>
    <m/>
    <m/>
    <m/>
    <s v="33168100-6 "/>
    <s v="2.2.461.;2.2.640.;2.2.641.; 2.2.670.; 2.2.398."/>
    <n v="8740000"/>
    <x v="0"/>
    <d v="2022-06-20T00:00:00"/>
    <d v="2022-07-26T00:00:00"/>
    <d v="2022-08-18T00:00:00"/>
    <s v="Olympus Czech Group, s.r.o., člen koncernu"/>
    <m/>
    <n v="8614208.1999999993"/>
    <n v="10423191.92"/>
    <m/>
    <m/>
    <m/>
    <d v="2022-08-18T00:00:00"/>
    <s v="SMLN-2022-617-000565_x000a_SMLN-2022-612-000168_x000a_SMLN-2022-617-000566"/>
    <x v="160"/>
  </r>
  <r>
    <d v="2022-05-10T00:00:00"/>
    <s v="VZ-2022-000545"/>
    <x v="1"/>
    <s v="Ondráčková"/>
    <x v="322"/>
    <m/>
    <m/>
    <m/>
    <s v="09343000-5"/>
    <m/>
    <n v="8949024"/>
    <x v="0"/>
    <d v="2022-06-13T00:00:00"/>
    <d v="2022-08-01T00:00:00"/>
    <d v="2022-09-19T00:00:00"/>
    <s v="THP Medical Products Vertriebs GmbH"/>
    <m/>
    <n v="8949024"/>
    <n v="9843926.4000000004"/>
    <m/>
    <m/>
    <m/>
    <d v="2022-09-19T00:00:00"/>
    <s v="SMLN-2022-617-000654"/>
    <x v="4"/>
  </r>
  <r>
    <d v="2022-05-25T00:00:00"/>
    <s v="VZ-2022-000548"/>
    <x v="4"/>
    <s v="Olejníček"/>
    <x v="323"/>
    <m/>
    <m/>
    <m/>
    <s v="33168000-5"/>
    <s v="2.2463.; 2.3.633."/>
    <n v="540000"/>
    <x v="2"/>
    <d v="2022-05-31T00:00:00"/>
    <d v="2022-06-09T00:00:00"/>
    <d v="2022-06-21T00:00:00"/>
    <s v="Olympus Czech Group, s.r.o., člen koncernu"/>
    <m/>
    <n v="504640"/>
    <n v="610614.4"/>
    <m/>
    <m/>
    <m/>
    <d v="2022-06-21T00:00:00"/>
    <s v="SMLN-2022-617-000418_x000a_SMLN-2022-612-000107"/>
    <x v="109"/>
  </r>
  <r>
    <d v="2022-05-25T00:00:00"/>
    <s v="VZ-2022-000551"/>
    <x v="1"/>
    <s v="Ondráčková"/>
    <x v="324"/>
    <m/>
    <m/>
    <m/>
    <s v="33652300-8"/>
    <m/>
    <n v="132187891"/>
    <x v="0"/>
    <d v="2022-06-06T00:00:00"/>
    <d v="2022-07-11T00:00:00"/>
    <d v="2022-09-01T00:00:00"/>
    <s v="PHOENIX lék.velkoobchod, s.r.o."/>
    <m/>
    <n v="129813155.92"/>
    <n v="142794471.50999999"/>
    <m/>
    <m/>
    <m/>
    <d v="2022-09-01T00:00:00"/>
    <s v="SMLN-2022-617-000607"/>
    <x v="99"/>
  </r>
  <r>
    <d v="2022-05-27T00:00:00"/>
    <s v="VZ-2022-000554"/>
    <x v="9"/>
    <s v="Miklík"/>
    <x v="325"/>
    <m/>
    <m/>
    <m/>
    <s v="48814000-7"/>
    <m/>
    <n v="80680000"/>
    <x v="0"/>
    <d v="2022-07-01T00:00:00"/>
    <d v="2022-10-10T00:00:00"/>
    <m/>
    <s v="zrušeno - rozhodnutí ÚOHS"/>
    <m/>
    <m/>
    <m/>
    <m/>
    <m/>
    <m/>
    <m/>
    <m/>
    <x v="4"/>
  </r>
  <r>
    <d v="2022-05-27T00:00:00"/>
    <s v="VZ-2022-000555"/>
    <x v="16"/>
    <s v="Klimek"/>
    <x v="326"/>
    <m/>
    <m/>
    <m/>
    <s v="34351100-3"/>
    <m/>
    <n v="600000"/>
    <x v="2"/>
    <d v="2022-05-31T00:00:00"/>
    <d v="2022-06-13T00:00:00"/>
    <d v="2022-06-16T00:00:00"/>
    <s v="SKARAB, s.r.o."/>
    <m/>
    <n v="611374"/>
    <n v="739762.54"/>
    <m/>
    <m/>
    <m/>
    <d v="2022-06-16T00:00:00"/>
    <s v="SMLN-2022-617-000411"/>
    <x v="154"/>
  </r>
  <r>
    <d v="2022-05-30T00:00:00"/>
    <s v="VZ-2022-000557"/>
    <x v="2"/>
    <s v="Pavela"/>
    <x v="327"/>
    <m/>
    <m/>
    <m/>
    <s v="71000000-8"/>
    <s v="1.2.90."/>
    <n v="450000"/>
    <x v="2"/>
    <d v="2022-06-02T00:00:00"/>
    <d v="2022-06-10T00:00:00"/>
    <d v="2022-06-22T00:00:00"/>
    <s v="STYLE STUDIO s.r.o."/>
    <m/>
    <n v="964000"/>
    <n v="1166440"/>
    <m/>
    <m/>
    <m/>
    <d v="2022-06-22T00:00:00"/>
    <s v="SMLN-2022-618-000040"/>
    <x v="154"/>
  </r>
  <r>
    <d v="2022-05-25T00:00:00"/>
    <s v="VZ-2022-000562"/>
    <x v="5"/>
    <s v="Srovnal"/>
    <x v="328"/>
    <m/>
    <m/>
    <m/>
    <s v="32570000-9"/>
    <m/>
    <n v="1980000"/>
    <x v="1"/>
    <d v="2022-06-16T00:00:00"/>
    <d v="2022-07-11T00:00:00"/>
    <d v="2022-07-28T00:00:00"/>
    <s v="MERIT GROUP a.s."/>
    <m/>
    <n v="1977000"/>
    <n v="2392170"/>
    <m/>
    <m/>
    <m/>
    <d v="2022-07-28T00:00:00"/>
    <s v="SMLN-2022-612-000137"/>
    <x v="158"/>
  </r>
  <r>
    <d v="2022-05-31T00:00:00"/>
    <s v="VZ-2022-000564"/>
    <x v="9"/>
    <s v="Oravec"/>
    <x v="329"/>
    <m/>
    <m/>
    <m/>
    <s v="30121100-4"/>
    <s v="3.2.55."/>
    <n v="722400"/>
    <x v="2"/>
    <d v="2022-06-08T00:00:00"/>
    <d v="2022-06-21T00:00:00"/>
    <d v="2022-07-14T00:00:00"/>
    <s v="Z + M Partner, spol. s r.o."/>
    <m/>
    <n v="1399440"/>
    <n v="1693322.4"/>
    <m/>
    <m/>
    <m/>
    <d v="2022-07-14T00:00:00"/>
    <s v="SMLN-2022-617-000458"/>
    <x v="131"/>
  </r>
  <r>
    <d v="2022-05-24T00:00:00"/>
    <s v="VZ-2022-000565"/>
    <x v="0"/>
    <s v="Dočkalová"/>
    <x v="330"/>
    <m/>
    <m/>
    <m/>
    <s v="33140000-3"/>
    <m/>
    <n v="2967986.78"/>
    <x v="1"/>
    <d v="2022-06-08T00:00:00"/>
    <d v="2022-06-24T00:00:00"/>
    <d v="2022-08-02T00:00:00"/>
    <s v="Becton Dickinson Czechia, s.r.o."/>
    <m/>
    <n v="2993737.52"/>
    <n v="3622422.4"/>
    <m/>
    <m/>
    <m/>
    <d v="2022-08-02T00:00:00"/>
    <s v="SMLN-2022-617-000497_x000a_SMLN-2022-616-000028"/>
    <x v="120"/>
  </r>
  <r>
    <d v="2022-05-26T00:00:00"/>
    <s v="VZ-2022-000572"/>
    <x v="0"/>
    <s v="Dočkalová"/>
    <x v="331"/>
    <m/>
    <m/>
    <m/>
    <s v="33140000-3"/>
    <m/>
    <n v="13142742"/>
    <x v="0"/>
    <d v="2022-06-14T00:00:00"/>
    <d v="2022-07-18T00:00:00"/>
    <d v="2022-09-13T00:00:00"/>
    <s v="Dialab  spol. s r.o."/>
    <m/>
    <n v="15536023.439999999"/>
    <n v="18798588.359999999"/>
    <m/>
    <m/>
    <m/>
    <d v="2022-09-13T00:00:00"/>
    <s v="SMLN-2022-617-000639"/>
    <x v="150"/>
  </r>
  <r>
    <d v="2022-05-31T00:00:00"/>
    <s v="VZ-2022-000573"/>
    <x v="4"/>
    <s v="Olejníček"/>
    <x v="332"/>
    <m/>
    <m/>
    <m/>
    <s v="33191000-5"/>
    <m/>
    <n v="486300"/>
    <x v="0"/>
    <d v="2022-06-06T00:00:00"/>
    <d v="2022-07-11T00:00:00"/>
    <d v="2022-08-04T00:00:00"/>
    <s v="MIELE, spol. s r.o."/>
    <m/>
    <n v="465700"/>
    <n v="563497"/>
    <m/>
    <m/>
    <m/>
    <d v="2022-08-04T00:00:00"/>
    <s v="SMLN-2022-617-000504_x000a_SMLN-2022-612-000148"/>
    <x v="108"/>
  </r>
  <r>
    <d v="2022-06-01T00:00:00"/>
    <s v="VZ-2022-000574"/>
    <x v="1"/>
    <s v="Ondráčková"/>
    <x v="333"/>
    <m/>
    <m/>
    <m/>
    <s v="33615100-5"/>
    <m/>
    <n v="1859402"/>
    <x v="0"/>
    <d v="2022-06-30T00:00:00"/>
    <d v="2022-08-05T00:00:00"/>
    <m/>
    <s v="zrušeno - bez nabídky"/>
    <s v="nová VZ-2022-001196"/>
    <m/>
    <m/>
    <m/>
    <m/>
    <m/>
    <m/>
    <m/>
    <x v="4"/>
  </r>
  <r>
    <d v="2022-06-01T00:00:00"/>
    <s v="VZ-2022-000575-01"/>
    <x v="1"/>
    <s v="Ondráčková"/>
    <x v="334"/>
    <n v="1"/>
    <s v="_x000a_FYTOMENADION I."/>
    <m/>
    <s v="33621000-9"/>
    <m/>
    <n v="164624"/>
    <x v="0"/>
    <d v="2022-06-13T00:00:00"/>
    <d v="2022-08-02T00:00:00"/>
    <m/>
    <s v="zrušeno - bez nabídky"/>
    <m/>
    <m/>
    <m/>
    <m/>
    <m/>
    <m/>
    <m/>
    <m/>
    <x v="4"/>
  </r>
  <r>
    <d v="2022-06-01T00:00:00"/>
    <s v="VZ-2022-000575-02"/>
    <x v="1"/>
    <s v="Ondráčková"/>
    <x v="334"/>
    <n v="2"/>
    <s v="_x000a_FYTOMENADION II."/>
    <m/>
    <s v="33621000-9"/>
    <m/>
    <n v="481220"/>
    <x v="0"/>
    <d v="2022-06-13T00:00:00"/>
    <d v="2022-08-02T00:00:00"/>
    <d v="2022-09-29T00:00:00"/>
    <s v="PHARMOS, a.s., a.s."/>
    <m/>
    <n v="478163.84"/>
    <n v="525980.22"/>
    <m/>
    <m/>
    <m/>
    <d v="2022-09-29T00:00:00"/>
    <s v="SMLN-2022-617-000669"/>
    <x v="99"/>
  </r>
  <r>
    <d v="2022-06-01T00:00:00"/>
    <s v="VZ-2022-000575-03"/>
    <x v="1"/>
    <s v="Ondráčková"/>
    <x v="334"/>
    <n v="3"/>
    <s v="FIBRINOGEN, APROTININ, THROMBIN, CHLORID VÁPENATÝ "/>
    <m/>
    <s v="33621000-9"/>
    <m/>
    <n v="5901668"/>
    <x v="0"/>
    <d v="2022-06-13T00:00:00"/>
    <d v="2022-08-02T00:00:00"/>
    <m/>
    <s v="zrušeno - bez nabídky"/>
    <m/>
    <m/>
    <m/>
    <m/>
    <m/>
    <m/>
    <m/>
    <m/>
    <x v="4"/>
  </r>
  <r>
    <d v="2022-06-01T00:00:00"/>
    <s v="VZ-2022-000575-04"/>
    <x v="1"/>
    <s v="Ondráčková"/>
    <x v="334"/>
    <n v="4"/>
    <s v="FIBRINOGEN, THROMBIN"/>
    <m/>
    <s v="33621000-9"/>
    <m/>
    <n v="2561854"/>
    <x v="0"/>
    <d v="2022-06-13T00:00:00"/>
    <d v="2022-08-02T00:00:00"/>
    <d v="2022-09-29T00:00:00"/>
    <s v="Alliance Healthcare s.r.o."/>
    <m/>
    <n v="2527505.2400000002"/>
    <n v="2780255.76"/>
    <m/>
    <m/>
    <m/>
    <d v="2022-09-29T00:00:00"/>
    <s v="SMLN-2022-617-000670"/>
    <x v="99"/>
  </r>
  <r>
    <d v="2022-06-01T00:00:00"/>
    <s v="VZ-2022-000576-01"/>
    <x v="1"/>
    <s v="Ondráčková"/>
    <x v="335"/>
    <n v="1"/>
    <s v="HYDROXYKARBAMID "/>
    <m/>
    <s v="33652000-5"/>
    <m/>
    <n v="934382"/>
    <x v="0"/>
    <d v="2022-06-14T00:00:00"/>
    <d v="2022-08-17T00:00:00"/>
    <d v="2022-09-29T00:00:00"/>
    <s v="PHOENIX lék.velkoobchod, s.r.o."/>
    <m/>
    <n v="925152"/>
    <n v="1017667.2"/>
    <m/>
    <m/>
    <m/>
    <d v="2022-09-29T00:00:00"/>
    <s v="SMLN-2022-617-000671"/>
    <x v="115"/>
  </r>
  <r>
    <d v="2022-06-01T00:00:00"/>
    <s v="VZ-2022-000576-02"/>
    <x v="1"/>
    <s v="Ondráčková"/>
    <x v="335"/>
    <n v="2"/>
    <s v="TRETINOIN"/>
    <m/>
    <s v="33652000-5"/>
    <m/>
    <n v="688631"/>
    <x v="0"/>
    <d v="2022-06-14T00:00:00"/>
    <d v="2022-08-17T00:00:00"/>
    <d v="2022-09-29T00:00:00"/>
    <s v="PHOENIX lék.velkoobchod, s.r.o."/>
    <m/>
    <n v="688630.32"/>
    <n v="757493.35"/>
    <m/>
    <m/>
    <m/>
    <d v="2022-09-29T00:00:00"/>
    <s v="SMLN-2022-617-000672"/>
    <x v="115"/>
  </r>
  <r>
    <d v="2022-06-01T00:00:00"/>
    <s v="VZ-2022-000576-03"/>
    <x v="1"/>
    <s v="Ondráčková"/>
    <x v="335"/>
    <n v="3"/>
    <s v="_x000a_MITOTAN  "/>
    <m/>
    <s v="33652000-5"/>
    <m/>
    <n v="910974"/>
    <x v="0"/>
    <d v="2022-06-14T00:00:00"/>
    <d v="2022-08-17T00:00:00"/>
    <d v="2022-09-29T00:00:00"/>
    <s v="PHOENIX lék.velkoobchod, s.r.o."/>
    <m/>
    <n v="895954.56"/>
    <n v="985550.02"/>
    <m/>
    <m/>
    <m/>
    <d v="2022-09-29T00:00:00"/>
    <s v="SMLN-2022-617-000673"/>
    <x v="115"/>
  </r>
  <r>
    <d v="2022-06-01T00:00:00"/>
    <s v="VZ-2022-000577"/>
    <x v="0"/>
    <s v="Valtová"/>
    <x v="336"/>
    <m/>
    <m/>
    <m/>
    <s v="33140000-3"/>
    <m/>
    <n v="650000"/>
    <x v="2"/>
    <d v="2022-06-08T00:00:00"/>
    <d v="2022-06-17T00:00:00"/>
    <d v="2022-06-29T00:00:00"/>
    <s v="MEDIAL spol. s r.o."/>
    <m/>
    <n v="650000"/>
    <n v="786500"/>
    <m/>
    <m/>
    <m/>
    <d v="2022-06-29T00:00:00"/>
    <s v="SMLN-2022-617-000441_x000a_SMLN-2022-614-000055"/>
    <x v="89"/>
  </r>
  <r>
    <d v="2022-06-01T00:00:00"/>
    <s v="VZ-2022-000578"/>
    <x v="21"/>
    <s v="Olejníček"/>
    <x v="337"/>
    <m/>
    <m/>
    <m/>
    <s v="33160000-9"/>
    <m/>
    <n v="2216400"/>
    <x v="0"/>
    <d v="2022-06-14T00:00:00"/>
    <d v="2022-07-19T00:00:00"/>
    <d v="2022-08-25T00:00:00"/>
    <s v="NORTH MED spol. s r.o."/>
    <m/>
    <n v="2215000"/>
    <n v="2680150"/>
    <m/>
    <m/>
    <m/>
    <d v="2022-08-25T00:00:00"/>
    <s v="SMLN-2022-617-000593_x000a_SMLN-2022-612-000176"/>
    <x v="65"/>
  </r>
  <r>
    <d v="2022-06-02T00:00:00"/>
    <s v="VZ-2022-000581"/>
    <x v="0"/>
    <s v="Valtová"/>
    <x v="338"/>
    <m/>
    <m/>
    <m/>
    <s v="33160000-9"/>
    <m/>
    <n v="1400000"/>
    <x v="2"/>
    <d v="2022-06-07T00:00:00"/>
    <d v="2022-06-17T00:00:00"/>
    <d v="2022-06-22T00:00:00"/>
    <s v="OLYMPUS CZECH GROUP, s.r.o., člen koncernu"/>
    <m/>
    <n v="1850400"/>
    <n v="2238984"/>
    <m/>
    <m/>
    <m/>
    <d v="2022-06-23T00:00:00"/>
    <s v="SMLN-2022-617-000425_x000a_SMLN-2022-614-000054"/>
    <x v="154"/>
  </r>
  <r>
    <s v="opakovaná VZ"/>
    <s v="VZ-2022-000584"/>
    <x v="3"/>
    <s v="Olejníček"/>
    <x v="339"/>
    <m/>
    <m/>
    <m/>
    <s v="33100000-1"/>
    <s v="2.2.419."/>
    <n v="3552600"/>
    <x v="0"/>
    <d v="2022-06-24T00:00:00"/>
    <d v="2022-07-29T00:00:00"/>
    <d v="2022-08-22T00:00:00"/>
    <s v="Schubert CZ, spol. s r.o."/>
    <m/>
    <n v="3588400"/>
    <n v="4341964"/>
    <m/>
    <m/>
    <m/>
    <d v="2022-08-22T00:00:00"/>
    <s v="SMLN-2022-617-000572_x000a_SMLN-2022-612-000173_x000a_SMLN-2022-617-000573"/>
    <x v="160"/>
  </r>
  <r>
    <d v="2022-06-02T00:00:00"/>
    <s v="VZ-2022-000585"/>
    <x v="4"/>
    <s v="Olejníček"/>
    <x v="340"/>
    <m/>
    <m/>
    <m/>
    <s v="33168100-6"/>
    <m/>
    <n v="432578"/>
    <x v="2"/>
    <d v="2022-06-08T00:00:00"/>
    <d v="2022-06-17T00:00:00"/>
    <d v="2022-06-29T00:00:00"/>
    <s v="CHEIRÓN a.s."/>
    <m/>
    <n v="407400"/>
    <n v="492954"/>
    <m/>
    <m/>
    <m/>
    <d v="2022-06-29T00:00:00"/>
    <s v="SMLN-2022-617-000445_x000a_SMLN-2022-612-000120"/>
    <x v="106"/>
  </r>
  <r>
    <d v="2022-06-01T00:00:00"/>
    <s v="VZ-2022-000586"/>
    <x v="0"/>
    <s v="Dočkalová"/>
    <x v="341"/>
    <m/>
    <m/>
    <m/>
    <s v="33140000-3"/>
    <m/>
    <n v="2747300"/>
    <x v="1"/>
    <d v="2022-06-07T00:00:00"/>
    <d v="2022-08-04T00:00:00"/>
    <d v="2022-09-16T00:00:00"/>
    <s v="EUROMEDICAL spol. s r.o."/>
    <m/>
    <n v="3577320"/>
    <n v="4328557.2"/>
    <m/>
    <m/>
    <m/>
    <d v="2022-09-16T00:00:00"/>
    <s v="SMLN-2022-617-000651"/>
    <x v="161"/>
  </r>
  <r>
    <s v="opakovaná VZ"/>
    <s v="VZ-2022-000587"/>
    <x v="0"/>
    <s v="Dočkalová"/>
    <x v="342"/>
    <m/>
    <m/>
    <m/>
    <s v="33140000-3"/>
    <m/>
    <n v="2201652.6"/>
    <x v="1"/>
    <d v="2022-06-07T00:00:00"/>
    <d v="2022-06-24T00:00:00"/>
    <d v="2022-08-01T00:00:00"/>
    <s v="CARDION s.r.o."/>
    <m/>
    <n v="1919007.83"/>
    <n v="2322000"/>
    <m/>
    <m/>
    <m/>
    <d v="2022-08-03T00:00:00"/>
    <s v="SMLN-2022-617-000500_x000a_SMLN-2022-614-000057"/>
    <x v="158"/>
  </r>
  <r>
    <d v="2022-06-06T00:00:00"/>
    <s v="VZ-2022-000589"/>
    <x v="9"/>
    <s v="Miklík"/>
    <x v="343"/>
    <m/>
    <m/>
    <m/>
    <s v="48710000-8"/>
    <s v="3.2.67."/>
    <n v="300000"/>
    <x v="2"/>
    <d v="2022-06-07T00:00:00"/>
    <d v="2022-06-16T00:00:00"/>
    <d v="2022-06-27T00:00:00"/>
    <s v="Scenario s.r.o."/>
    <m/>
    <n v="224518.65"/>
    <n v="271667.57"/>
    <m/>
    <m/>
    <m/>
    <d v="2022-06-27T00:00:00"/>
    <s v="SMLN-2022-612-000111"/>
    <x v="102"/>
  </r>
  <r>
    <d v="2022-05-30T00:00:00"/>
    <s v="VZ-2022-000595"/>
    <x v="0"/>
    <s v="Dočkalová"/>
    <x v="344"/>
    <m/>
    <m/>
    <m/>
    <s v="33183100-7"/>
    <m/>
    <n v="19109990"/>
    <x v="0"/>
    <d v="2022-06-14T00:00:00"/>
    <d v="2022-07-27T00:00:00"/>
    <d v="2022-09-06T00:00:00"/>
    <s v="Johnson &amp; Johnson, s.r.o."/>
    <m/>
    <n v="19318887.800000001"/>
    <n v="22216721.640000001"/>
    <m/>
    <m/>
    <m/>
    <d v="2022-09-06T00:00:00"/>
    <s v="SMLN-2022-617-000616_x000a_SMLN-2022-617-000617_x000a_SMLN-2022-614-000075"/>
    <x v="99"/>
  </r>
  <r>
    <d v="2022-06-08T00:00:00"/>
    <s v="VZ-2022-000602"/>
    <x v="21"/>
    <s v="Olejníček"/>
    <x v="345"/>
    <m/>
    <m/>
    <m/>
    <s v="33121300-7"/>
    <s v="2.3.667."/>
    <n v="728512"/>
    <x v="0"/>
    <d v="2022-06-14T00:00:00"/>
    <d v="2022-07-18T00:00:00"/>
    <d v="2022-09-30T00:00:00"/>
    <s v="WALTER Graphtek CZ s.r.o."/>
    <m/>
    <n v="703520"/>
    <n v="851259.2"/>
    <m/>
    <m/>
    <m/>
    <d v="2022-09-30T00:00:00"/>
    <s v="SMLN-2022-617-000674_x000a_SMLN-2022-612-000196"/>
    <x v="162"/>
  </r>
  <r>
    <d v="2022-06-08T00:00:00"/>
    <s v="VZ-2022-000603"/>
    <x v="4"/>
    <s v="Olejníček"/>
    <x v="346"/>
    <m/>
    <m/>
    <m/>
    <s v="33190000-8"/>
    <s v="2.3.418."/>
    <n v="307104"/>
    <x v="2"/>
    <d v="2022-06-10T00:00:00"/>
    <d v="2022-06-21T00:00:00"/>
    <d v="2022-06-29T00:00:00"/>
    <s v="INTERDENT s.r.o."/>
    <m/>
    <n v="303305.73"/>
    <n v="366999.88"/>
    <m/>
    <m/>
    <m/>
    <d v="2022-06-29T00:00:00"/>
    <s v="SMLN-2022-617-000442_x000a_SMLN-2022-612-000118"/>
    <x v="109"/>
  </r>
  <r>
    <d v="2022-06-08T00:00:00"/>
    <s v="VZ-2022-000605"/>
    <x v="0"/>
    <s v="Dočkalová"/>
    <x v="347"/>
    <m/>
    <m/>
    <m/>
    <s v="33182210-4 "/>
    <m/>
    <n v="31304348"/>
    <x v="0"/>
    <d v="2022-06-16T00:00:00"/>
    <d v="2022-07-19T00:00:00"/>
    <d v="2022-08-08T00:00:00"/>
    <s v="INLAB Medical s.r.o."/>
    <m/>
    <n v="31304000"/>
    <n v="35999600"/>
    <m/>
    <m/>
    <m/>
    <d v="2022-08-08T00:00:00"/>
    <s v="SMLN-2022-617-000508_x000a_SMLN-2022-614-000058_x000a_SMLN-2022-616-000030"/>
    <x v="125"/>
  </r>
  <r>
    <d v="2022-06-09T00:00:00"/>
    <s v="VZ-2022-000606-01"/>
    <x v="4"/>
    <s v="Olejníček"/>
    <x v="348"/>
    <n v="1"/>
    <s v="Centrální monitorovací systém včetně navýšení počtu pacientských licencí"/>
    <m/>
    <s v="33195100-4"/>
    <s v="2.2.464.,2.3.606"/>
    <n v="2700000"/>
    <x v="0"/>
    <d v="2022-06-17T00:00:00"/>
    <d v="2022-07-25T00:00:00"/>
    <d v="2022-08-30T00:00:00"/>
    <s v="S+T Plus s.r.o."/>
    <m/>
    <n v="2544470"/>
    <n v="3078808.7"/>
    <m/>
    <m/>
    <m/>
    <d v="2022-08-30T00:00:00"/>
    <s v="SMLN-2022-617-000601_x000a_SMLN-2022-612-000179"/>
    <x v="160"/>
  </r>
  <r>
    <d v="2022-06-09T00:00:00"/>
    <s v="VZ-2022-000606-02"/>
    <x v="4"/>
    <s v="Olejníček"/>
    <x v="348"/>
    <n v="2"/>
    <s v="Monitory vitálních funkcí - Traumabox a Infekční ambulance"/>
    <m/>
    <s v="33195100-4"/>
    <s v="2.2.487.,2.2.475"/>
    <n v="1787603"/>
    <x v="0"/>
    <d v="2022-06-17T00:00:00"/>
    <d v="2022-07-25T00:00:00"/>
    <d v="2022-08-30T00:00:00"/>
    <s v="S+T Plus s.r.o."/>
    <m/>
    <n v="1656140"/>
    <n v="2003929.4"/>
    <m/>
    <m/>
    <m/>
    <d v="2022-08-30T00:00:00"/>
    <s v="SMLN-2022-617-000602_x000a_SMLN-2022-612-000180"/>
    <x v="160"/>
  </r>
  <r>
    <d v="2022-06-09T00:00:00"/>
    <s v="VZ-2022-000606-03"/>
    <x v="4"/>
    <s v="Olejníček"/>
    <x v="348"/>
    <n v="3"/>
    <s v="Monitory vitálních funkcí s centrálním monitorem"/>
    <m/>
    <s v="33195100-4"/>
    <s v="2.3.673."/>
    <n v="302000"/>
    <x v="0"/>
    <d v="2022-06-17T00:00:00"/>
    <d v="2022-07-25T00:00:00"/>
    <m/>
    <s v="zrušeno - bez hodnotitelné nabídky"/>
    <m/>
    <m/>
    <m/>
    <m/>
    <m/>
    <m/>
    <m/>
    <m/>
    <x v="4"/>
  </r>
  <r>
    <d v="2022-06-09T00:00:00"/>
    <s v="VZ-2022-000606-04"/>
    <x v="4"/>
    <s v="Olejníček"/>
    <x v="348"/>
    <n v="4"/>
    <s v="Transportní monitor"/>
    <m/>
    <s v="33195100-4"/>
    <s v="2.3.604."/>
    <n v="370000"/>
    <x v="0"/>
    <d v="2022-06-17T00:00:00"/>
    <d v="2022-07-25T00:00:00"/>
    <d v="2022-08-30T00:00:00"/>
    <s v="medisap, s.r.o."/>
    <m/>
    <n v="370000"/>
    <n v="447700"/>
    <m/>
    <m/>
    <m/>
    <d v="2022-08-30T00:00:00"/>
    <s v="SMLN-2022-617-000603_x000a_SMLN-2022-612-000181"/>
    <x v="160"/>
  </r>
  <r>
    <d v="2022-06-02T00:00:00"/>
    <s v="VZ-2022-000610"/>
    <x v="0"/>
    <s v="Dočkalová"/>
    <x v="349"/>
    <m/>
    <m/>
    <m/>
    <s v="33140000-3"/>
    <m/>
    <n v="6482640"/>
    <x v="0"/>
    <d v="2022-06-17T00:00:00"/>
    <d v="2022-07-26T00:00:00"/>
    <d v="2022-08-12T00:00:00"/>
    <s v="Getinge Czech Republic, s.r.o."/>
    <m/>
    <n v="6482641.2800000003"/>
    <n v="7843996.1600000001"/>
    <m/>
    <m/>
    <m/>
    <d v="2022-08-12T00:00:00"/>
    <s v="SMLN-2022-617-000538"/>
    <x v="137"/>
  </r>
  <r>
    <d v="2022-06-10T00:00:00"/>
    <s v="VZ-2022-000617-01"/>
    <x v="0"/>
    <s v="Dočkalová"/>
    <x v="350"/>
    <n v="1"/>
    <s v="Kanyly k oxygenerátorům I."/>
    <m/>
    <s v="33140000-3"/>
    <m/>
    <n v="3696480"/>
    <x v="0"/>
    <d v="2022-06-21T00:00:00"/>
    <d v="2022-08-22T00:00:00"/>
    <d v="2022-10-13T00:00:00"/>
    <s v="Edwards Lifesciences Czech Republic s.r.o."/>
    <m/>
    <n v="3802500"/>
    <n v="4601025"/>
    <m/>
    <m/>
    <m/>
    <d v="2022-10-13T00:00:00"/>
    <s v="SMLN-2022-617-000710"/>
    <x v="133"/>
  </r>
  <r>
    <d v="2022-06-10T00:00:00"/>
    <s v="VZ-2022-000617-02"/>
    <x v="0"/>
    <s v="Dočkalová"/>
    <x v="350"/>
    <n v="2"/>
    <s v="Kanyly k oxygenerátorům II."/>
    <m/>
    <s v="33140000-3"/>
    <m/>
    <n v="1715350"/>
    <x v="0"/>
    <d v="2022-06-21T00:00:00"/>
    <d v="2022-08-22T00:00:00"/>
    <d v="2022-10-13T00:00:00"/>
    <s v="BIOMEDICA ČS, s.r.o."/>
    <m/>
    <n v="1715345.4"/>
    <n v="2075567.93"/>
    <m/>
    <m/>
    <m/>
    <d v="2022-10-13T00:00:00"/>
    <s v="SMLN-2022-617-000711"/>
    <x v="151"/>
  </r>
  <r>
    <d v="2022-06-10T00:00:00"/>
    <s v="VZ-2022-000617-03"/>
    <x v="0"/>
    <s v="Dočkalová"/>
    <x v="350"/>
    <n v="3"/>
    <s v="Kanyly k oxygenerátorům III."/>
    <m/>
    <s v="33140000-3"/>
    <m/>
    <n v="2075150"/>
    <x v="0"/>
    <d v="2022-06-21T00:00:00"/>
    <d v="2022-08-22T00:00:00"/>
    <d v="2022-10-13T00:00:00"/>
    <s v="Medtronic Czechia s.r.o."/>
    <m/>
    <n v="1958239.8"/>
    <n v="2369471.7000000002"/>
    <m/>
    <m/>
    <m/>
    <d v="2022-10-13T00:00:00"/>
    <s v="SMLN-2022-617-000712"/>
    <x v="163"/>
  </r>
  <r>
    <d v="2022-06-08T00:00:00"/>
    <s v="VZ-2022-000626"/>
    <x v="0"/>
    <s v="Dočkalová"/>
    <x v="351"/>
    <m/>
    <m/>
    <m/>
    <s v="33140000-3"/>
    <m/>
    <n v="1557945"/>
    <x v="1"/>
    <d v="2022-06-17T00:00:00"/>
    <d v="2022-07-14T00:00:00"/>
    <m/>
    <s v="zrušeno - bez hodnotitelné nabídky"/>
    <s v="nová VZ-2022-000943"/>
    <m/>
    <m/>
    <m/>
    <m/>
    <m/>
    <m/>
    <m/>
    <x v="4"/>
  </r>
  <r>
    <d v="2022-06-14T00:00:00"/>
    <s v="VZ-2022-000628-01"/>
    <x v="1"/>
    <s v="Ondráčková"/>
    <x v="352"/>
    <n v="1"/>
    <s v="METHYLERGOMETRIN "/>
    <m/>
    <s v="33641200-7"/>
    <m/>
    <n v="66413"/>
    <x v="1"/>
    <d v="2022-02-27T00:00:00"/>
    <d v="2022-08-11T00:00:00"/>
    <m/>
    <s v="zrušeno - bez nabídky"/>
    <m/>
    <m/>
    <m/>
    <m/>
    <m/>
    <m/>
    <m/>
    <m/>
    <x v="4"/>
  </r>
  <r>
    <d v="2022-06-14T00:00:00"/>
    <s v="VZ-2022-000628-02"/>
    <x v="1"/>
    <s v="Ondráčková"/>
    <x v="352"/>
    <n v="2"/>
    <s v="DINOPROSTON I."/>
    <m/>
    <s v="33641200-7"/>
    <m/>
    <n v="428134"/>
    <x v="1"/>
    <d v="2022-02-27T00:00:00"/>
    <d v="2022-08-11T00:00:00"/>
    <m/>
    <s v="zrušeno - bez nabídky"/>
    <m/>
    <m/>
    <m/>
    <m/>
    <m/>
    <m/>
    <m/>
    <m/>
    <x v="4"/>
  </r>
  <r>
    <d v="2022-06-14T00:00:00"/>
    <s v="VZ-2022-000628-03"/>
    <x v="1"/>
    <s v="Ondráčková"/>
    <x v="352"/>
    <n v="3"/>
    <s v="DINOPROSTON II."/>
    <m/>
    <s v="33641200-7"/>
    <m/>
    <n v="321110"/>
    <x v="1"/>
    <d v="2022-02-27T00:00:00"/>
    <d v="2022-08-11T00:00:00"/>
    <d v="2022-10-27T00:00:00"/>
    <s v="Alliance Healthcare s.r.o."/>
    <m/>
    <n v="316793.15999999997"/>
    <n v="248472.48"/>
    <m/>
    <m/>
    <m/>
    <d v="2022-10-27T00:00:00"/>
    <s v="SMLN-2022-617-000762"/>
    <x v="164"/>
  </r>
  <r>
    <d v="2022-06-14T00:00:00"/>
    <s v="VZ-2022-000628-04"/>
    <x v="1"/>
    <s v="Ondráčková"/>
    <x v="352"/>
    <n v="4"/>
    <s v="KARBOPROST  "/>
    <m/>
    <s v="33641200-7"/>
    <m/>
    <n v="6514"/>
    <x v="1"/>
    <d v="2022-02-27T00:00:00"/>
    <d v="2022-08-11T00:00:00"/>
    <d v="2022-10-27T00:00:00"/>
    <s v="Alliance Healthcare s.r.o."/>
    <m/>
    <n v="6426.36"/>
    <n v="7069"/>
    <m/>
    <m/>
    <m/>
    <d v="2022-10-27T00:00:00"/>
    <s v="SMLN-2022-617-000763"/>
    <x v="164"/>
  </r>
  <r>
    <d v="2022-06-14T00:00:00"/>
    <s v="VZ-2022-000628-05"/>
    <x v="1"/>
    <s v="Ondráčková"/>
    <x v="352"/>
    <n v="5"/>
    <s v="MISOPROSTOL I."/>
    <m/>
    <s v="33641200-7"/>
    <m/>
    <n v="529496"/>
    <x v="1"/>
    <d v="2022-02-27T00:00:00"/>
    <d v="2022-08-11T00:00:00"/>
    <m/>
    <s v="zrušeno - bez nabídky"/>
    <m/>
    <m/>
    <m/>
    <m/>
    <m/>
    <m/>
    <m/>
    <m/>
    <x v="4"/>
  </r>
  <r>
    <d v="2022-06-14T00:00:00"/>
    <s v="VZ-2022-000628-06"/>
    <x v="1"/>
    <s v="Ondráčková"/>
    <x v="352"/>
    <n v="6"/>
    <s v="MISOPROSTOL II."/>
    <m/>
    <s v="33641200-7"/>
    <m/>
    <n v="51400"/>
    <x v="1"/>
    <d v="2022-02-27T00:00:00"/>
    <d v="2022-08-11T00:00:00"/>
    <d v="2022-10-27T00:00:00"/>
    <s v="Alliance Healthcare s.r.o."/>
    <m/>
    <n v="49526.400000000001"/>
    <n v="54479.040000000001"/>
    <m/>
    <m/>
    <m/>
    <d v="2022-10-27T00:00:00"/>
    <s v="SMLN-2022-617-000764"/>
    <x v="164"/>
  </r>
  <r>
    <d v="2022-06-14T00:00:00"/>
    <s v="VZ-2022-000628-07"/>
    <x v="1"/>
    <s v="Ondráčková"/>
    <x v="352"/>
    <n v="7"/>
    <s v="HEXOPRENALIN-SULFÁT"/>
    <m/>
    <s v="33641200-7"/>
    <m/>
    <n v="145866"/>
    <x v="1"/>
    <d v="2022-02-27T00:00:00"/>
    <d v="2022-08-11T00:00:00"/>
    <d v="2022-10-27T00:00:00"/>
    <s v="Alliance Healthcare s.r.o."/>
    <m/>
    <n v="143862.48000000001"/>
    <n v="158248.73000000001"/>
    <m/>
    <m/>
    <m/>
    <d v="2022-10-27T00:00:00"/>
    <s v="SMLN-2022-617-000765"/>
    <x v="164"/>
  </r>
  <r>
    <d v="2022-06-14T00:00:00"/>
    <s v="VZ-2022-000628-08"/>
    <x v="1"/>
    <s v="Ondráčková"/>
    <x v="352"/>
    <n v="8"/>
    <s v="KABERGOLIN  "/>
    <m/>
    <s v="33641200-7"/>
    <m/>
    <n v="592911"/>
    <x v="1"/>
    <d v="2022-02-27T00:00:00"/>
    <d v="2022-08-11T00:00:00"/>
    <d v="2022-10-27T00:00:00"/>
    <s v="Alliance Healthcare s.r.o."/>
    <m/>
    <n v="589947.19999999995"/>
    <n v="648941.92000000004"/>
    <m/>
    <m/>
    <m/>
    <d v="2022-10-27T00:00:00"/>
    <s v="SMLN-2022-617-000766"/>
    <x v="164"/>
  </r>
  <r>
    <d v="2022-06-14T00:00:00"/>
    <s v="VZ-2022-000628-09"/>
    <x v="1"/>
    <s v="Ondráčková"/>
    <x v="352"/>
    <n v="9"/>
    <s v="ATOSIBAN "/>
    <m/>
    <s v="33641200-7"/>
    <m/>
    <n v="195280"/>
    <x v="1"/>
    <d v="2022-02-27T00:00:00"/>
    <d v="2022-08-11T00:00:00"/>
    <d v="2022-10-27T00:00:00"/>
    <s v="Alliance Healthcare s.r.o."/>
    <m/>
    <n v="143353.4"/>
    <n v="157688.74"/>
    <m/>
    <m/>
    <m/>
    <d v="2022-10-27T00:00:00"/>
    <s v="SMLN-2022-617-000767"/>
    <x v="164"/>
  </r>
  <r>
    <d v="2022-06-14T00:00:00"/>
    <s v="VZ-2022-000629-01"/>
    <x v="1"/>
    <s v="Ondráčková"/>
    <x v="353"/>
    <n v="1"/>
    <s v="PIRITRAMID "/>
    <m/>
    <s v="33661200-3"/>
    <m/>
    <n v="1246269"/>
    <x v="0"/>
    <d v="2022-06-27T00:00:00"/>
    <d v="2022-08-15T00:00:00"/>
    <d v="2022-10-11T00:00:00"/>
    <s v="Alliance Healthcare s.r.o."/>
    <m/>
    <n v="1226851.2"/>
    <n v="1349536.32"/>
    <m/>
    <m/>
    <m/>
    <d v="2022-10-11T00:00:00"/>
    <s v="SMLN-2022-617-000696"/>
    <x v="91"/>
  </r>
  <r>
    <d v="2022-06-14T00:00:00"/>
    <s v="VZ-2022-000629-02"/>
    <x v="1"/>
    <s v="Ondráčková"/>
    <x v="353"/>
    <n v="2"/>
    <s v="NALBUFIN "/>
    <m/>
    <s v="33661200-3"/>
    <m/>
    <n v="966768"/>
    <x v="0"/>
    <d v="2022-06-27T00:00:00"/>
    <d v="2022-08-15T00:00:00"/>
    <d v="2022-10-11T00:00:00"/>
    <s v="Alliance Healthcare s.r.o."/>
    <m/>
    <n v="964997.04"/>
    <n v="1061496.74"/>
    <m/>
    <m/>
    <m/>
    <d v="2022-10-11T00:00:00"/>
    <s v="SMLN-2022-617-000697"/>
    <x v="91"/>
  </r>
  <r>
    <d v="2022-06-14T00:00:00"/>
    <s v="VZ-2022-000629-03"/>
    <x v="1"/>
    <s v="Ondráčková"/>
    <x v="353"/>
    <n v="3"/>
    <s v="TRAMADOL A PARACETAMOL  "/>
    <m/>
    <s v="33661200-3"/>
    <m/>
    <n v="2599981"/>
    <x v="0"/>
    <d v="2022-06-27T00:00:00"/>
    <d v="2022-08-15T00:00:00"/>
    <d v="2022-10-11T00:00:00"/>
    <s v="Alliance Healthcare s.r.o."/>
    <m/>
    <n v="2395252.6800000002"/>
    <n v="2634777.9500000002"/>
    <m/>
    <m/>
    <m/>
    <d v="2022-10-11T00:00:00"/>
    <s v="SMLN-2022-617-000698"/>
    <x v="91"/>
  </r>
  <r>
    <d v="2022-06-14T00:00:00"/>
    <s v="VZ-2022-000629-04"/>
    <x v="1"/>
    <s v="Ondráčková"/>
    <x v="353"/>
    <n v="4"/>
    <s v="TRAMADOL A DEXKETOPROFEN  "/>
    <m/>
    <s v="33661200-3"/>
    <m/>
    <n v="216084"/>
    <x v="0"/>
    <d v="2022-06-27T00:00:00"/>
    <d v="2022-08-15T00:00:00"/>
    <d v="2022-10-11T00:00:00"/>
    <s v="Alliance Healthcare s.r.o."/>
    <m/>
    <n v="180823.67999999999"/>
    <n v="198906.05"/>
    <m/>
    <m/>
    <m/>
    <d v="2022-10-11T00:00:00"/>
    <s v="SMLN-2022-617-000699"/>
    <x v="91"/>
  </r>
  <r>
    <d v="2022-06-14T00:00:00"/>
    <s v="VZ-2022-000629-05"/>
    <x v="1"/>
    <s v="Ondráčková"/>
    <x v="353"/>
    <n v="5"/>
    <s v="TRAMADOL I. "/>
    <m/>
    <s v="33661200-3"/>
    <m/>
    <n v="164639"/>
    <x v="0"/>
    <d v="2022-06-27T00:00:00"/>
    <d v="2022-08-15T00:00:00"/>
    <m/>
    <s v="zrušeno - bez nabídky"/>
    <m/>
    <m/>
    <m/>
    <m/>
    <m/>
    <m/>
    <m/>
    <m/>
    <x v="4"/>
  </r>
  <r>
    <d v="2022-06-14T00:00:00"/>
    <s v="VZ-2022-000629-06"/>
    <x v="1"/>
    <s v="Ondráčková"/>
    <x v="353"/>
    <n v="6"/>
    <s v="TRAMADOL II."/>
    <m/>
    <s v="33661200-3"/>
    <m/>
    <n v="194217"/>
    <x v="0"/>
    <d v="2022-06-27T00:00:00"/>
    <d v="2022-08-15T00:00:00"/>
    <d v="2022-10-11T00:00:00"/>
    <s v="Alliance Healthcare s.r.o."/>
    <m/>
    <n v="194303.96"/>
    <n v="213734.36"/>
    <m/>
    <m/>
    <m/>
    <d v="2022-10-11T00:00:00"/>
    <s v="SMLN-2022-617-000700"/>
    <x v="146"/>
  </r>
  <r>
    <d v="2022-06-14T00:00:00"/>
    <s v="VZ-2022-000629-07"/>
    <x v="1"/>
    <s v="Ondráčková"/>
    <x v="353"/>
    <n v="7"/>
    <s v="TRAMADOL III."/>
    <m/>
    <s v="33661200-3"/>
    <m/>
    <n v="3362"/>
    <x v="0"/>
    <d v="2022-06-27T00:00:00"/>
    <d v="2022-08-15T00:00:00"/>
    <d v="2022-10-11T00:00:00"/>
    <s v="Alliance Healthcare s.r.o."/>
    <m/>
    <n v="3309.8"/>
    <n v="3640.78"/>
    <m/>
    <m/>
    <m/>
    <d v="2022-10-11T00:00:00"/>
    <s v="SMLN-2022-617-000701"/>
    <x v="146"/>
  </r>
  <r>
    <d v="2022-06-14T00:00:00"/>
    <s v="VZ-2022-000629-08"/>
    <x v="1"/>
    <s v="Ondráčková"/>
    <x v="353"/>
    <n v="8"/>
    <s v="TRAMADOL IV."/>
    <m/>
    <s v="33661200-3"/>
    <m/>
    <n v="590926"/>
    <x v="0"/>
    <d v="2022-06-27T00:00:00"/>
    <d v="2022-08-15T00:00:00"/>
    <d v="2022-10-11T00:00:00"/>
    <s v="PHOENIX lék.velkoobchod, s.r.o."/>
    <m/>
    <n v="594649.76"/>
    <n v="654114.74"/>
    <m/>
    <m/>
    <m/>
    <d v="2022-10-11T00:00:00"/>
    <s v="SMLN-2022-617-000702"/>
    <x v="151"/>
  </r>
  <r>
    <d v="2022-06-14T00:00:00"/>
    <s v="VZ-2022-000630-01"/>
    <x v="1"/>
    <s v="Ondráčková"/>
    <x v="354"/>
    <n v="1"/>
    <s v="METFORMIN A SITAGLIPTIN "/>
    <m/>
    <s v="33615000-4"/>
    <m/>
    <n v="564798"/>
    <x v="0"/>
    <d v="2022-06-30T00:00:00"/>
    <d v="2022-08-18T00:00:00"/>
    <d v="2022-10-21T00:00:00"/>
    <s v="Merck Sharp &amp; Dohme s.r.o."/>
    <m/>
    <n v="564796"/>
    <n v="621275.6"/>
    <m/>
    <m/>
    <m/>
    <d v="2022-10-21T00:00:00"/>
    <s v="SMLN-2022-617-000748"/>
    <x v="133"/>
  </r>
  <r>
    <d v="2022-06-14T00:00:00"/>
    <s v="VZ-2022-000630-02"/>
    <x v="1"/>
    <s v="Ondráčková"/>
    <x v="354"/>
    <n v="2"/>
    <s v="METFORMIN A VILDAGLIPTIN "/>
    <m/>
    <s v="33615000-4"/>
    <m/>
    <n v="528914"/>
    <x v="0"/>
    <d v="2022-06-30T00:00:00"/>
    <d v="2022-08-18T00:00:00"/>
    <d v="2022-10-21T00:00:00"/>
    <s v="Alliance Healthcare s.r.o."/>
    <m/>
    <n v="528913.76"/>
    <n v="581805.14"/>
    <m/>
    <m/>
    <m/>
    <d v="2022-10-21T00:00:00"/>
    <s v="SMLN-2022-617-000749"/>
    <x v="151"/>
  </r>
  <r>
    <d v="2022-06-14T00:00:00"/>
    <s v="VZ-2022-000630-03"/>
    <x v="1"/>
    <s v="Ondráčková"/>
    <x v="354"/>
    <n v="3"/>
    <s v="METFORMIN A LINAGLIPTIN "/>
    <m/>
    <s v="33615000-4"/>
    <m/>
    <n v="700255"/>
    <x v="0"/>
    <d v="2022-06-30T00:00:00"/>
    <d v="2022-08-18T00:00:00"/>
    <d v="2022-10-21T00:00:00"/>
    <s v="Boehringer Ingelheim, spol. s r.o."/>
    <m/>
    <n v="700253.08"/>
    <n v="770278.39"/>
    <m/>
    <m/>
    <m/>
    <d v="2022-10-21T00:00:00"/>
    <s v="SMLN-2022-617-000750"/>
    <x v="165"/>
  </r>
  <r>
    <d v="2022-06-14T00:00:00"/>
    <s v="VZ-2022-000631-01"/>
    <x v="1"/>
    <s v="Ondráčková"/>
    <x v="355"/>
    <n v="1"/>
    <s v="METFORMIN A DAPAGLIFLOZIN "/>
    <m/>
    <s v="33615000-4"/>
    <m/>
    <n v="824763"/>
    <x v="0"/>
    <d v="2022-06-22T00:00:00"/>
    <d v="2022-08-19T00:00:00"/>
    <d v="2022-10-04T00:00:00"/>
    <s v="PHOENIX lék.velkoobchod, s.r.o."/>
    <m/>
    <n v="824762.56"/>
    <n v="907238.82"/>
    <m/>
    <m/>
    <m/>
    <d v="2022-10-04T00:00:00"/>
    <s v="SMLN-2022-617-000676"/>
    <x v="115"/>
  </r>
  <r>
    <d v="2022-06-14T00:00:00"/>
    <s v="VZ-2022-000631-02"/>
    <x v="1"/>
    <s v="Ondráčková"/>
    <x v="355"/>
    <n v="2"/>
    <s v="METFORMIN A KANAGLIFLOZIN "/>
    <m/>
    <s v="33615000-4"/>
    <m/>
    <n v="53006"/>
    <x v="0"/>
    <d v="2022-06-22T00:00:00"/>
    <d v="2022-08-19T00:00:00"/>
    <d v="2022-10-04T00:00:00"/>
    <s v="PHOENIX lék.velkoobchod, s.r.o."/>
    <m/>
    <n v="52360.36"/>
    <n v="57596.4"/>
    <m/>
    <m/>
    <m/>
    <d v="2022-10-04T00:00:00"/>
    <s v="SMLN-2022-617-000678"/>
    <x v="115"/>
  </r>
  <r>
    <d v="2022-06-14T00:00:00"/>
    <s v="VZ-2022-000631-03"/>
    <x v="1"/>
    <s v="Ondráčková"/>
    <x v="355"/>
    <n v="3"/>
    <s v="METFORMIN A EMPAGLIFLOZIN "/>
    <m/>
    <s v="33615000-4"/>
    <m/>
    <n v="2105165"/>
    <x v="0"/>
    <d v="2022-06-22T00:00:00"/>
    <d v="2022-08-19T00:00:00"/>
    <d v="2022-10-04T00:00:00"/>
    <s v="PHARMOS, a.s., a.s."/>
    <m/>
    <n v="2074201.24"/>
    <n v="2281621.36"/>
    <m/>
    <m/>
    <m/>
    <d v="2022-10-04T00:00:00"/>
    <s v="SMLN-2022-617-000679"/>
    <x v="165"/>
  </r>
  <r>
    <d v="2022-06-15T00:00:00"/>
    <s v="VZ-2022-000639"/>
    <x v="4"/>
    <s v="Olejníček"/>
    <x v="356"/>
    <m/>
    <m/>
    <m/>
    <s v="33121200-6"/>
    <s v="2.2.458."/>
    <n v="855000"/>
    <x v="2"/>
    <d v="2022-06-16T00:00:00"/>
    <d v="2022-06-28T00:00:00"/>
    <d v="2022-07-19T00:00:00"/>
    <s v="BIP Medical CZ, s.r.o."/>
    <m/>
    <n v="840396.39"/>
    <n v="1016880"/>
    <m/>
    <m/>
    <m/>
    <d v="2022-07-19T00:00:00"/>
    <s v="SMLN-2022-617-000467_x000a_SMLN-2022-612-000130"/>
    <x v="166"/>
  </r>
  <r>
    <d v="2022-06-15T00:00:00"/>
    <s v="VZ-2022-000641"/>
    <x v="4"/>
    <s v="Olejníček"/>
    <x v="357"/>
    <m/>
    <m/>
    <m/>
    <s v="38311000-9"/>
    <s v="2.3.450."/>
    <n v="125000"/>
    <x v="2"/>
    <d v="2022-06-16T00:00:00"/>
    <d v="2022-06-24T00:00:00"/>
    <d v="2022-07-18T00:00:00"/>
    <s v="Stamed s.r.o."/>
    <m/>
    <n v="115940"/>
    <n v="140287.4"/>
    <m/>
    <m/>
    <m/>
    <d v="2022-07-18T00:00:00"/>
    <s v="SMLN-2022-617-000464_x000a_SMLN-2022-612-000128"/>
    <x v="109"/>
  </r>
  <r>
    <d v="2022-06-15T00:00:00"/>
    <s v="VZ-2022-000643-01"/>
    <x v="4"/>
    <s v="Olejníček"/>
    <x v="358"/>
    <n v="1"/>
    <s v="2 ks elektrochirurgického generátoru pro COSS a I.IK(OS)"/>
    <m/>
    <s v="33161000-6"/>
    <s v="2.3.601., 2.3.629."/>
    <n v="420000"/>
    <x v="2"/>
    <d v="2022-06-17T00:00:00"/>
    <d v="2022-06-21T00:00:00"/>
    <d v="2022-06-30T00:00:00"/>
    <s v="Medtronic Czechia s.r.o."/>
    <m/>
    <n v="485900"/>
    <n v="587939"/>
    <m/>
    <m/>
    <m/>
    <d v="2022-06-30T00:00:00"/>
    <s v="SMLN-2022-617-000455_x000a_SMLN-2022-612-000127"/>
    <x v="131"/>
  </r>
  <r>
    <d v="2022-06-15T00:00:00"/>
    <s v="VZ-2022-000643-02"/>
    <x v="4"/>
    <s v="Olejníček"/>
    <x v="359"/>
    <n v="2"/>
    <s v="Elektrochirurgický generátor pro Urologickou kliniku"/>
    <m/>
    <s v="33161000-6"/>
    <s v="2.3.632."/>
    <n v="490000"/>
    <x v="2"/>
    <d v="2022-06-17T00:00:00"/>
    <d v="2022-06-21T00:00:00"/>
    <m/>
    <s v="zrušeno - bez nabídky"/>
    <s v="nová VZ-2022-000799"/>
    <m/>
    <m/>
    <m/>
    <m/>
    <m/>
    <m/>
    <m/>
    <x v="4"/>
  </r>
  <r>
    <d v="2022-06-15T00:00:00"/>
    <s v="VZ-2022-000644"/>
    <x v="4"/>
    <s v="Olejníček"/>
    <x v="360"/>
    <m/>
    <m/>
    <m/>
    <s v="33124000-5"/>
    <s v="2.2.454."/>
    <n v="5085000"/>
    <x v="0"/>
    <d v="2022-06-24T00:00:00"/>
    <d v="2022-07-27T00:00:00"/>
    <d v="2022-08-19T00:00:00"/>
    <s v="MEDIAL spol. s r.o."/>
    <m/>
    <n v="5077041"/>
    <n v="6143219.6100000003"/>
    <m/>
    <m/>
    <m/>
    <d v="2022-08-19T00:00:00"/>
    <s v="SMLN-2022-617-000567_x000a_SMLN-2022-612-000170_x000a_SMLN-2022-617-000568"/>
    <x v="113"/>
  </r>
  <r>
    <d v="2022-06-14T00:00:00"/>
    <s v="VZ-2022-000645-01"/>
    <x v="1"/>
    <s v="Ondráčková"/>
    <x v="361"/>
    <n v="1"/>
    <s v="Somatropin I."/>
    <m/>
    <s v="33642100-3"/>
    <m/>
    <n v="98811586"/>
    <x v="0"/>
    <d v="2022-09-01T00:00:00"/>
    <d v="2022-11-10T00:00:00"/>
    <m/>
    <m/>
    <m/>
    <m/>
    <m/>
    <m/>
    <m/>
    <m/>
    <m/>
    <m/>
    <x v="4"/>
  </r>
  <r>
    <d v="2022-06-14T00:00:00"/>
    <s v="VZ-2022-000645-02"/>
    <x v="1"/>
    <s v="Ondráčková"/>
    <x v="361"/>
    <n v="2"/>
    <s v="Somatropin II."/>
    <m/>
    <s v="33642100-3"/>
    <m/>
    <n v="32346701"/>
    <x v="0"/>
    <d v="2022-09-01T00:00:00"/>
    <d v="2022-11-10T00:00:00"/>
    <m/>
    <m/>
    <m/>
    <m/>
    <m/>
    <m/>
    <m/>
    <m/>
    <m/>
    <m/>
    <x v="4"/>
  </r>
  <r>
    <d v="2022-06-14T00:00:00"/>
    <s v="VZ-2022-000645-03"/>
    <x v="1"/>
    <s v="Ondráčková"/>
    <x v="361"/>
    <n v="3"/>
    <s v="Somatropin III."/>
    <m/>
    <s v="33642100-3"/>
    <m/>
    <n v="105840243"/>
    <x v="0"/>
    <d v="2022-09-01T00:00:00"/>
    <d v="2022-11-10T00:00:00"/>
    <m/>
    <m/>
    <m/>
    <m/>
    <m/>
    <m/>
    <m/>
    <m/>
    <m/>
    <m/>
    <x v="4"/>
  </r>
  <r>
    <d v="2022-06-14T00:00:00"/>
    <s v="VZ-2022-000646-01"/>
    <x v="1"/>
    <s v="Ondráčková"/>
    <x v="362"/>
    <n v="1"/>
    <s v="Somatropin IV."/>
    <m/>
    <s v="33642100-3"/>
    <m/>
    <n v="14494324"/>
    <x v="0"/>
    <d v="2022-09-02T00:00:00"/>
    <d v="2022-11-09T00:00:00"/>
    <d v="2022-12-20T00:00:00"/>
    <s v="PHOENIX lék.velkoobchod, s.r.o."/>
    <m/>
    <n v="14238540.800000001"/>
    <n v="15662394.880000001"/>
    <m/>
    <m/>
    <m/>
    <d v="2022-12-20T00:00:00"/>
    <s v="SMLN-2022-617-000873"/>
    <x v="4"/>
  </r>
  <r>
    <d v="2022-06-14T00:00:00"/>
    <s v="VZ-2022-000646-02"/>
    <x v="1"/>
    <s v="Ondráčková"/>
    <x v="362"/>
    <n v="2"/>
    <s v="Somatropin V."/>
    <m/>
    <s v="33642100-3"/>
    <m/>
    <n v="30789264"/>
    <x v="0"/>
    <d v="2022-09-02T00:00:00"/>
    <d v="2022-11-09T00:00:00"/>
    <d v="2022-12-20T00:00:00"/>
    <s v="PROMEDICA PRAHA GROUP, a.s."/>
    <m/>
    <n v="30179426.879999999"/>
    <n v="33197369.57"/>
    <m/>
    <m/>
    <m/>
    <d v="2022-12-20T00:00:00"/>
    <s v="SMLN-2022-617-000874"/>
    <x v="4"/>
  </r>
  <r>
    <d v="2022-06-14T00:00:00"/>
    <s v="VZ-2022-000646-03"/>
    <x v="1"/>
    <s v="Ondráčková"/>
    <x v="362"/>
    <n v="3"/>
    <s v="Somatropin VI."/>
    <m/>
    <s v="33642100-3"/>
    <m/>
    <n v="39348576"/>
    <x v="0"/>
    <d v="2022-09-02T00:00:00"/>
    <d v="2022-11-09T00:00:00"/>
    <d v="2022-12-20T00:00:00"/>
    <s v="PROMEDICA PRAHA GROUP, a.s."/>
    <m/>
    <n v="37460291.039999999"/>
    <n v="41206320.140000001"/>
    <m/>
    <m/>
    <m/>
    <d v="2022-12-20T00:00:00"/>
    <s v="SMLN-2022-617-000875"/>
    <x v="4"/>
  </r>
  <r>
    <d v="2022-06-14T00:00:00"/>
    <s v="VZ-2022-000646-04"/>
    <x v="1"/>
    <s v="Ondráčková"/>
    <x v="362"/>
    <n v="4"/>
    <s v="Somatropin VII."/>
    <m/>
    <s v="33642100-3"/>
    <m/>
    <n v="2455442"/>
    <x v="0"/>
    <d v="2022-09-02T00:00:00"/>
    <d v="2022-11-09T00:00:00"/>
    <m/>
    <s v="zrušeno - bez nabídky"/>
    <m/>
    <m/>
    <m/>
    <m/>
    <m/>
    <m/>
    <m/>
    <m/>
    <x v="4"/>
  </r>
  <r>
    <d v="2022-06-14T00:00:00"/>
    <s v="VZ-2022-000648"/>
    <x v="1"/>
    <s v="Ondráčková"/>
    <x v="363"/>
    <m/>
    <m/>
    <m/>
    <s v="33661100-2"/>
    <m/>
    <n v="5682383"/>
    <x v="0"/>
    <d v="2022-09-22T00:00:00"/>
    <d v="2022-11-11T00:00:00"/>
    <d v="2022-12-08T00:00:00"/>
    <s v="Alliance Healthcare s.r.o."/>
    <m/>
    <n v="12091202.6"/>
    <n v="13300322.859999999"/>
    <m/>
    <m/>
    <m/>
    <d v="2022-12-08T00:00:00"/>
    <s v="SMLN-2022-617-000850"/>
    <x v="4"/>
  </r>
  <r>
    <d v="2022-06-14T00:00:00"/>
    <s v="VZ-2022-000649"/>
    <x v="1"/>
    <s v="Ondráčková"/>
    <x v="364"/>
    <m/>
    <m/>
    <m/>
    <s v="33661400-5"/>
    <m/>
    <n v="1676573"/>
    <x v="0"/>
    <d v="2022-06-22T00:00:00"/>
    <d v="2022-08-15T00:00:00"/>
    <d v="2022-10-18T00:00:00"/>
    <s v="PHARMOS, a.s., a.s."/>
    <m/>
    <n v="1532512.89"/>
    <n v="1685764.18"/>
    <m/>
    <m/>
    <m/>
    <d v="2022-10-18T00:00:00"/>
    <s v="SMLN-2022-617-000733"/>
    <x v="167"/>
  </r>
  <r>
    <d v="2022-06-14T00:00:00"/>
    <s v="VZ-2022-000650-01"/>
    <x v="1"/>
    <s v="Ondráčková"/>
    <x v="365"/>
    <n v="1"/>
    <s v="PRAMIPEXOL"/>
    <m/>
    <s v="33661400-5"/>
    <m/>
    <n v="275905"/>
    <x v="0"/>
    <d v="2022-06-22T00:00:00"/>
    <d v="2022-07-29T00:00:00"/>
    <d v="2022-08-31T00:00:00"/>
    <s v="Alliance Healthcare s.r.o."/>
    <m/>
    <n v="41055.18"/>
    <n v="45160.7"/>
    <m/>
    <m/>
    <m/>
    <d v="2022-08-31T00:00:00"/>
    <s v="SMLN-2022-617-000604"/>
    <x v="97"/>
  </r>
  <r>
    <d v="2022-06-14T00:00:00"/>
    <s v="VZ-2022-000650-02"/>
    <x v="1"/>
    <s v="Ondráčková"/>
    <x v="365"/>
    <n v="2"/>
    <s v="ROTIGOTIN"/>
    <m/>
    <s v="33661400-5"/>
    <m/>
    <n v="3156828"/>
    <x v="0"/>
    <d v="2022-06-22T00:00:00"/>
    <d v="2022-07-29T00:00:00"/>
    <m/>
    <s v="zrušeno - již uzavřena smlouva z jiné VZ"/>
    <m/>
    <m/>
    <m/>
    <m/>
    <m/>
    <m/>
    <m/>
    <m/>
    <x v="4"/>
  </r>
  <r>
    <d v="2022-06-14T00:00:00"/>
    <s v="VZ-2022-000651-01"/>
    <x v="1"/>
    <s v="Ondráčková"/>
    <x v="366"/>
    <n v="1"/>
    <s v="ALERGENOVÝ EXTRAKT Z TRAVNÍHO PYLU"/>
    <m/>
    <s v="33675000-2"/>
    <m/>
    <n v="1630264"/>
    <x v="0"/>
    <d v="2022-07-15T00:00:00"/>
    <d v="2022-08-19T00:00:00"/>
    <d v="2022-10-05T00:00:00"/>
    <s v="Alliance Healthcare s.r.o."/>
    <m/>
    <n v="1616141.07"/>
    <n v="1777755.18"/>
    <m/>
    <m/>
    <m/>
    <d v="2022-10-06T00:00:00"/>
    <s v="SMLN-2022-617-000682"/>
    <x v="91"/>
  </r>
  <r>
    <d v="2022-06-14T00:00:00"/>
    <s v="VZ-2022-000651-02"/>
    <x v="1"/>
    <s v="Ondráčková"/>
    <x v="366"/>
    <n v="2"/>
    <s v="ALERGENY Z TRAVNÍCH PYLŮ"/>
    <m/>
    <s v="33675000-2"/>
    <m/>
    <n v="476283"/>
    <x v="0"/>
    <d v="2022-07-15T00:00:00"/>
    <d v="2022-08-19T00:00:00"/>
    <m/>
    <s v="zrušeno - bez nabídky"/>
    <m/>
    <m/>
    <m/>
    <m/>
    <m/>
    <m/>
    <m/>
    <m/>
    <x v="4"/>
  </r>
  <r>
    <d v="2022-06-14T00:00:00"/>
    <s v="VZ-2022-000651-03"/>
    <x v="1"/>
    <s v="Ondráčková"/>
    <x v="366"/>
    <n v="3"/>
    <s v="DOMÁCÍ PRACH, ROZTOČI"/>
    <m/>
    <s v="33675000-2"/>
    <m/>
    <n v="2775077"/>
    <x v="0"/>
    <d v="2022-07-15T00:00:00"/>
    <d v="2022-08-19T00:00:00"/>
    <d v="2022-10-05T00:00:00"/>
    <s v="Alliance Healthcare s.r.o."/>
    <m/>
    <n v="3212387.1"/>
    <n v="3533625.81"/>
    <m/>
    <m/>
    <m/>
    <d v="2022-10-06T00:00:00"/>
    <s v="SMLN-2022-617-000683"/>
    <x v="91"/>
  </r>
  <r>
    <d v="2022-06-14T00:00:00"/>
    <s v="VZ-2022-000651-04"/>
    <x v="1"/>
    <s v="Ondráčková"/>
    <x v="366"/>
    <n v="4"/>
    <s v="ALERGENY Z PYLU BŘÍZY"/>
    <m/>
    <s v="33675000-2"/>
    <m/>
    <n v="781037"/>
    <x v="0"/>
    <d v="2022-07-15T00:00:00"/>
    <d v="2022-08-19T00:00:00"/>
    <d v="2022-10-05T00:00:00"/>
    <s v="Alliance Healthcare s.r.o."/>
    <m/>
    <n v="605799.54"/>
    <n v="666379.49"/>
    <m/>
    <m/>
    <m/>
    <d v="2022-10-06T00:00:00"/>
    <s v="SMLN-2022-617-000684"/>
    <x v="91"/>
  </r>
  <r>
    <d v="2022-06-14T00:00:00"/>
    <s v="VZ-2022-000651-05"/>
    <x v="1"/>
    <s v="Ondráčková"/>
    <x v="366"/>
    <n v="5"/>
    <s v="RŮZNÉ ALERGENY I."/>
    <m/>
    <s v="33675000-2"/>
    <m/>
    <n v="3135537"/>
    <x v="0"/>
    <d v="2022-07-15T00:00:00"/>
    <d v="2022-08-19T00:00:00"/>
    <m/>
    <s v="zrušeno - bez nabídky"/>
    <m/>
    <m/>
    <m/>
    <m/>
    <m/>
    <m/>
    <m/>
    <m/>
    <x v="4"/>
  </r>
  <r>
    <d v="2022-06-14T00:00:00"/>
    <s v="VZ-2022-000651-06"/>
    <x v="1"/>
    <s v="Ondráčková"/>
    <x v="366"/>
    <n v="6"/>
    <s v="RŮZNÉ ALERGENY II."/>
    <m/>
    <s v="33675000-2"/>
    <m/>
    <n v="781037"/>
    <x v="0"/>
    <d v="2022-07-15T00:00:00"/>
    <d v="2022-08-19T00:00:00"/>
    <m/>
    <s v="zrušeno - bez nabídky"/>
    <m/>
    <m/>
    <m/>
    <m/>
    <m/>
    <m/>
    <m/>
    <m/>
    <x v="4"/>
  </r>
  <r>
    <d v="2022-06-16T00:00:00"/>
    <s v="VZ-2022-000653"/>
    <x v="8"/>
    <s v="Kadlec"/>
    <x v="367"/>
    <m/>
    <m/>
    <m/>
    <s v="45331100-7"/>
    <m/>
    <n v="650000"/>
    <x v="2"/>
    <d v="2022-06-17T00:00:00"/>
    <d v="2022-06-28T00:00:00"/>
    <d v="2022-07-12T00:00:00"/>
    <s v="Slávek Vaško"/>
    <m/>
    <n v="396589"/>
    <n v="479872.69"/>
    <m/>
    <m/>
    <m/>
    <d v="2022-07-14T00:00:00"/>
    <s v="SMLN-2022-618-000044"/>
    <x v="110"/>
  </r>
  <r>
    <d v="2022-06-15T00:00:00"/>
    <s v="VZ-2022-000654"/>
    <x v="4"/>
    <s v="Olejníček"/>
    <x v="368"/>
    <m/>
    <m/>
    <m/>
    <s v="38000000-5"/>
    <m/>
    <n v="229556"/>
    <x v="2"/>
    <d v="2022-06-21T00:00:00"/>
    <d v="2022-06-30T00:00:00"/>
    <d v="2022-07-21T00:00:00"/>
    <s v="ALOGO, s.r.o."/>
    <m/>
    <n v="194735"/>
    <n v="235629.35"/>
    <m/>
    <m/>
    <m/>
    <d v="2022-07-21T00:00:00"/>
    <s v="SMLN-2022-617-000472_x000a_SMLN-2022-612-000132"/>
    <x v="109"/>
  </r>
  <r>
    <d v="2022-06-16T00:00:00"/>
    <s v="VZ-2022-000656"/>
    <x v="6"/>
    <s v="Zdráhalová"/>
    <x v="369"/>
    <m/>
    <m/>
    <m/>
    <s v="30197644-2"/>
    <m/>
    <n v="955530"/>
    <x v="2"/>
    <d v="2022-06-21T00:00:00"/>
    <d v="2022-06-30T00:00:00"/>
    <d v="2022-07-20T00:00:00"/>
    <s v="Jan Vytopil"/>
    <m/>
    <n v="895020"/>
    <n v="1082974.2"/>
    <m/>
    <m/>
    <m/>
    <d v="2022-07-20T00:00:00"/>
    <s v="SMLN-2022-617-000469"/>
    <x v="168"/>
  </r>
  <r>
    <d v="2022-06-16T00:00:00"/>
    <s v="VZ-2022-000657"/>
    <x v="0"/>
    <s v="Dočkalová"/>
    <x v="370"/>
    <m/>
    <m/>
    <m/>
    <s v="33140000-3"/>
    <m/>
    <n v="1673180"/>
    <x v="2"/>
    <d v="2022-06-21T00:00:00"/>
    <d v="2022-06-30T00:00:00"/>
    <d v="2022-07-19T00:00:00"/>
    <s v="Medtronic Czechia s.r.o."/>
    <m/>
    <n v="1667592.11"/>
    <n v="2017786.45"/>
    <m/>
    <m/>
    <m/>
    <d v="2022-07-19T00:00:00"/>
    <s v="SMLN-2022-617-000466"/>
    <x v="168"/>
  </r>
  <r>
    <d v="2022-06-17T00:00:00"/>
    <s v="VZ-2022-000663"/>
    <x v="1"/>
    <s v="Ondráčková"/>
    <x v="371"/>
    <m/>
    <m/>
    <m/>
    <s v="33651400-2"/>
    <m/>
    <n v="37739531"/>
    <x v="0"/>
    <d v="2022-09-16T00:00:00"/>
    <d v="2022-11-22T00:00:00"/>
    <d v="2022-12-07T00:00:00"/>
    <s v="Merck Sharp &amp; Dohme s.r.o."/>
    <m/>
    <n v="34098438.799999997"/>
    <n v="37508282.880000003"/>
    <m/>
    <m/>
    <m/>
    <d v="2022-12-07T00:00:00"/>
    <s v="SMLN-2022-617-000846"/>
    <x v="4"/>
  </r>
  <r>
    <d v="2022-06-20T00:00:00"/>
    <s v="VZ-2022-000665-01"/>
    <x v="1"/>
    <s v="Ondráčková"/>
    <x v="372"/>
    <n v="1"/>
    <s v="KLOPIDOGREL "/>
    <m/>
    <s v="33621100-0"/>
    <m/>
    <n v="736890"/>
    <x v="1"/>
    <d v="2022-07-07T00:00:00"/>
    <d v="2022-07-27T00:00:00"/>
    <d v="2022-09-13T00:00:00"/>
    <s v="PHARMOS, a.s., a.s."/>
    <m/>
    <n v="385989.12"/>
    <n v="424588.03"/>
    <m/>
    <m/>
    <m/>
    <d v="2022-09-13T00:00:00"/>
    <s v="SMLN-2022-617-000633"/>
    <x v="117"/>
  </r>
  <r>
    <d v="2022-06-20T00:00:00"/>
    <s v="VZ-2022-000665-02"/>
    <x v="1"/>
    <s v="Ondráčková"/>
    <x v="372"/>
    <n v="2"/>
    <s v="KYSELINA ACETYLSALICYLOVÁ I."/>
    <m/>
    <s v="33621100-0"/>
    <m/>
    <n v="690489"/>
    <x v="1"/>
    <d v="2022-07-07T00:00:00"/>
    <d v="2022-07-27T00:00:00"/>
    <d v="2022-09-13T00:00:00"/>
    <s v="PHARMOS, a.s., a.s."/>
    <m/>
    <n v="146390.56"/>
    <n v="161029.62"/>
    <m/>
    <m/>
    <m/>
    <d v="2022-09-13T00:00:00"/>
    <s v="SMLN-2022-617-000634"/>
    <x v="117"/>
  </r>
  <r>
    <d v="2022-06-20T00:00:00"/>
    <s v="VZ-2022-000665-03"/>
    <x v="1"/>
    <s v="Ondráčková"/>
    <x v="372"/>
    <n v="3"/>
    <s v="KYSELINA ACETYLSALICYLOVÁ II."/>
    <m/>
    <s v="33621100-0"/>
    <m/>
    <n v="172193"/>
    <x v="1"/>
    <d v="2022-07-07T00:00:00"/>
    <d v="2022-07-27T00:00:00"/>
    <d v="2022-09-13T00:00:00"/>
    <s v="PHARMOS, a.s., a.s."/>
    <m/>
    <n v="170314.8"/>
    <n v="187346.28"/>
    <m/>
    <m/>
    <m/>
    <d v="2022-09-13T00:00:00"/>
    <s v="SMLN-2022-617-000635"/>
    <x v="117"/>
  </r>
  <r>
    <d v="2022-06-20T00:00:00"/>
    <s v="VZ-2022-000665-04"/>
    <x v="1"/>
    <s v="Ondráčková"/>
    <x v="372"/>
    <n v="4"/>
    <s v="KYSELINA ACETYLSALICYLOVÁ S INDIKACÍ LÉČBY AKUTNÍHO INFARKTU MYOKARDU"/>
    <m/>
    <s v="33621100-0"/>
    <m/>
    <n v="111447"/>
    <x v="1"/>
    <d v="2022-07-07T00:00:00"/>
    <d v="2022-07-27T00:00:00"/>
    <m/>
    <s v="zrušeno - bez nabídky"/>
    <m/>
    <m/>
    <m/>
    <m/>
    <m/>
    <m/>
    <m/>
    <m/>
    <x v="4"/>
  </r>
  <r>
    <d v="2022-06-20T00:00:00"/>
    <s v="VZ-2022-000665-05"/>
    <x v="1"/>
    <s v="Ondráčková"/>
    <x v="372"/>
    <n v="5"/>
    <s v="KYSELINA ACETYLSALICYLOVÁ A GLYCIN"/>
    <m/>
    <s v="33621100-0"/>
    <m/>
    <n v="246783"/>
    <x v="1"/>
    <d v="2022-07-07T00:00:00"/>
    <d v="2022-07-27T00:00:00"/>
    <d v="2022-09-13T00:00:00"/>
    <s v="PHARMOS, a.s., a.s."/>
    <m/>
    <n v="195448.16"/>
    <n v="214992.98"/>
    <m/>
    <m/>
    <m/>
    <d v="2022-09-13T00:00:00"/>
    <s v="SMLN-2022-617-000636"/>
    <x v="117"/>
  </r>
  <r>
    <d v="2022-06-20T00:00:00"/>
    <s v="VZ-2022-000665-06"/>
    <x v="1"/>
    <s v="Ondráčková"/>
    <x v="372"/>
    <n v="6"/>
    <s v="RACEMICKÝ LYSIN-ACETYLSALICYLÁT "/>
    <m/>
    <s v="33621100-0"/>
    <m/>
    <n v="128180"/>
    <x v="1"/>
    <d v="2022-07-07T00:00:00"/>
    <d v="2022-07-27T00:00:00"/>
    <d v="2022-09-13T00:00:00"/>
    <s v="PHARMOS, a.s., a.s."/>
    <m/>
    <n v="126775.12"/>
    <n v="139452.63"/>
    <m/>
    <m/>
    <m/>
    <d v="2022-09-13T00:00:00"/>
    <s v="SMLN-2022-617-000637"/>
    <x v="117"/>
  </r>
  <r>
    <d v="2022-06-20T00:00:00"/>
    <s v="VZ-2022-000665-07"/>
    <x v="1"/>
    <s v="Ondráčková"/>
    <x v="372"/>
    <n v="7"/>
    <s v="EPTIFIBATID "/>
    <m/>
    <s v="33621100-0"/>
    <m/>
    <n v="642245"/>
    <x v="1"/>
    <d v="2022-07-07T00:00:00"/>
    <d v="2022-07-27T00:00:00"/>
    <d v="2022-09-13T00:00:00"/>
    <s v="PHOENIX lék.velkoobchod, s.r.o."/>
    <m/>
    <n v="635051.4"/>
    <n v="698556.54"/>
    <m/>
    <m/>
    <m/>
    <d v="2022-09-13T00:00:00"/>
    <s v="SMLN-2022-617-000638"/>
    <x v="115"/>
  </r>
  <r>
    <d v="2022-06-20T00:00:00"/>
    <s v="VZ-2022-000667-01"/>
    <x v="1"/>
    <s v="Ondráčková"/>
    <x v="373"/>
    <n v="1"/>
    <s v="EVEROLIMUS  "/>
    <m/>
    <s v="33652000-5"/>
    <m/>
    <n v="2856528"/>
    <x v="0"/>
    <d v="2022-06-27T00:00:00"/>
    <d v="2022-08-01T00:00:00"/>
    <d v="2022-10-17T00:00:00"/>
    <s v="PHOENIX lék.velkoobchod, s.r.o."/>
    <m/>
    <n v="1516906.8"/>
    <n v="1668597.48"/>
    <m/>
    <m/>
    <m/>
    <d v="2022-10-17T00:00:00"/>
    <s v="SMLN-2022-617-000727"/>
    <x v="151"/>
  </r>
  <r>
    <d v="2022-06-20T00:00:00"/>
    <s v="VZ-2022-000667-02"/>
    <x v="1"/>
    <s v="Ondráčková"/>
    <x v="373"/>
    <n v="2"/>
    <s v="DEFERASIROX"/>
    <m/>
    <s v="33652000-5"/>
    <m/>
    <n v="2402070"/>
    <x v="0"/>
    <d v="2022-06-27T00:00:00"/>
    <d v="2022-08-01T00:00:00"/>
    <d v="2022-10-17T00:00:00"/>
    <s v="PROMEDICA PRAHA GROUP, a.s."/>
    <m/>
    <n v="228159"/>
    <n v="250974.9"/>
    <m/>
    <m/>
    <m/>
    <d v="2022-10-17T00:00:00"/>
    <s v="SMLN-2022-617-000728"/>
    <x v="147"/>
  </r>
  <r>
    <d v="2022-06-21T00:00:00"/>
    <s v="VZ-2022-000669"/>
    <x v="4"/>
    <s v="Olejníček"/>
    <x v="374"/>
    <m/>
    <m/>
    <m/>
    <s v="33111710-1"/>
    <s v="2.3.653."/>
    <n v="2030000"/>
    <x v="0"/>
    <d v="2022-06-24T00:00:00"/>
    <d v="2022-07-28T00:00:00"/>
    <d v="2022-08-25T00:00:00"/>
    <s v="BIOMEDICA ČS, s.r.o."/>
    <m/>
    <n v="1998192"/>
    <n v="2417812.3199999998"/>
    <m/>
    <m/>
    <m/>
    <d v="2022-08-25T00:00:00"/>
    <s v="SMLN-2022-617-000592_x000a_SMLN-2022-612-000175"/>
    <x v="156"/>
  </r>
  <r>
    <s v="opakovaná VZ"/>
    <s v="VZ-2022-000674"/>
    <x v="4"/>
    <s v="Olejníček"/>
    <x v="375"/>
    <m/>
    <m/>
    <m/>
    <s v="39143112-4"/>
    <s v="2.3.513."/>
    <n v="360000"/>
    <x v="2"/>
    <d v="2022-06-27T00:00:00"/>
    <d v="2022-07-12T00:00:00"/>
    <d v="2022-07-19T00:00:00"/>
    <s v="Stamed s.r.o."/>
    <m/>
    <n v="351990"/>
    <n v="40750290"/>
    <m/>
    <m/>
    <m/>
    <d v="2022-07-19T00:00:00"/>
    <s v="SMLN-2022-617-000465_x000a_SMLN-2022-612-000129"/>
    <x v="110"/>
  </r>
  <r>
    <d v="2022-06-21T00:00:00"/>
    <s v="VZ-2022-000675"/>
    <x v="21"/>
    <s v="Olejníček"/>
    <x v="376"/>
    <m/>
    <m/>
    <m/>
    <s v="30232100-5"/>
    <s v="4.2.181."/>
    <n v="1115072"/>
    <x v="2"/>
    <d v="2022-06-27T00:00:00"/>
    <d v="2022-07-12T00:00:00"/>
    <d v="2022-07-22T00:00:00"/>
    <s v="NH Computers s.r.o."/>
    <m/>
    <n v="114869.52"/>
    <n v="1348992.12"/>
    <m/>
    <m/>
    <m/>
    <d v="2022-07-22T00:00:00"/>
    <s v="SMLN-2022-617-000473"/>
    <x v="168"/>
  </r>
  <r>
    <d v="2022-06-21T00:00:00"/>
    <s v="VZ-2022-000676"/>
    <x v="4"/>
    <s v="Olejníček"/>
    <x v="377"/>
    <m/>
    <m/>
    <m/>
    <s v="38000000-5"/>
    <s v="2.2.451."/>
    <n v="1697000"/>
    <x v="2"/>
    <d v="2022-06-27T00:00:00"/>
    <d v="2022-07-18T00:00:00"/>
    <m/>
    <s v="zrušeno - překročení ceny"/>
    <s v="nová VZ-2022-000794"/>
    <m/>
    <m/>
    <m/>
    <m/>
    <m/>
    <m/>
    <m/>
    <x v="4"/>
  </r>
  <r>
    <d v="2022-06-21T00:00:00"/>
    <s v="VZ-2022-000677-01"/>
    <x v="21"/>
    <s v="Olejníček"/>
    <x v="378"/>
    <n v="1"/>
    <s v="Skenovací mikroskop pro II. IK"/>
    <m/>
    <s v="38634000-8"/>
    <s v="2.3.668."/>
    <n v="670990"/>
    <x v="0"/>
    <d v="2022-06-28T00:00:00"/>
    <d v="2022-08-01T00:00:00"/>
    <d v="2022-09-01T00:00:00"/>
    <s v="SVEN BioLabs s.r.o."/>
    <m/>
    <n v="659692"/>
    <n v="798227.32"/>
    <m/>
    <m/>
    <m/>
    <d v="2022-09-01T00:00:00"/>
    <s v="SMLN-2022-617-000610_x000a_SMLN-2022-612-000183"/>
    <x v="169"/>
  </r>
  <r>
    <d v="2022-06-21T00:00:00"/>
    <s v="VZ-2022-000677-02"/>
    <x v="21"/>
    <s v="Olejníček"/>
    <x v="378"/>
    <n v="2"/>
    <s v="Upgrade mikroskopu pro HOK"/>
    <m/>
    <s v="38634000-8"/>
    <s v="2.2.478."/>
    <n v="601654"/>
    <x v="0"/>
    <d v="2022-06-28T00:00:00"/>
    <d v="2022-08-01T00:00:00"/>
    <d v="2022-09-01T00:00:00"/>
    <s v="SVEN BioLabs s.r.o."/>
    <m/>
    <n v="598454"/>
    <n v="724129.34"/>
    <m/>
    <m/>
    <m/>
    <d v="2022-09-01T00:00:00"/>
    <s v="SMLN-2022-617-000611_x000a_SMLN-2022-612-000184"/>
    <x v="169"/>
  </r>
  <r>
    <d v="2022-06-13T00:00:00"/>
    <s v="VZ-2022-000679"/>
    <x v="0"/>
    <s v="Dočkalová"/>
    <x v="379"/>
    <m/>
    <m/>
    <m/>
    <s v="33184200-5"/>
    <m/>
    <n v="373940.73"/>
    <x v="0"/>
    <d v="2022-06-29T00:00:00"/>
    <d v="2022-08-15T00:00:00"/>
    <d v="2022-09-19T00:00:00"/>
    <s v="Inova Surgical s.r.o."/>
    <m/>
    <n v="373940.73"/>
    <n v="430031.88"/>
    <m/>
    <m/>
    <m/>
    <d v="2022-09-19T00:00:00"/>
    <s v="SMLN-2022-617-000655"/>
    <x v="103"/>
  </r>
  <r>
    <s v="opakovaná VZ"/>
    <s v="VZ-2022-000680"/>
    <x v="1"/>
    <s v="Ondráčková"/>
    <x v="380"/>
    <m/>
    <s v="REMDESIVIR"/>
    <m/>
    <s v="33651400-2"/>
    <m/>
    <n v="40669427"/>
    <x v="0"/>
    <d v="2022-07-22T00:00:00"/>
    <d v="2022-08-26T00:00:00"/>
    <d v="2022-11-07T00:00:00"/>
    <s v="Gilead Sciences s.r.o."/>
    <m/>
    <n v="40166710.409999996"/>
    <n v="44183381.450000003"/>
    <m/>
    <m/>
    <m/>
    <d v="2022-11-07T00:00:00"/>
    <s v="SMLN-2022-617-000788"/>
    <x v="4"/>
  </r>
  <r>
    <d v="2022-06-21T00:00:00"/>
    <s v="VZ-2022-000681-01"/>
    <x v="4"/>
    <s v="Olejníček"/>
    <x v="381"/>
    <n v="1"/>
    <s v="3 ks zařízení pro fyzikální terapii"/>
    <m/>
    <s v="33150000-6"/>
    <s v="2.3.655."/>
    <n v="159415"/>
    <x v="2"/>
    <d v="2022-06-27T00:00:00"/>
    <d v="2022-07-12T00:00:00"/>
    <d v="2022-07-26T00:00:00"/>
    <s v="BTL zdravotnická technika, a.s."/>
    <m/>
    <n v="718600"/>
    <n v="869506"/>
    <m/>
    <m/>
    <m/>
    <d v="2022-07-26T00:00:00"/>
    <s v="SMLN-2022-617-000477_x000a_SMLN-2022-612-000135"/>
    <x v="170"/>
  </r>
  <r>
    <d v="2022-06-21T00:00:00"/>
    <s v="VZ-2022-000681-02"/>
    <x v="4"/>
    <s v="Olejníček"/>
    <x v="381"/>
    <n v="2"/>
    <s v=" 1 ks zařízení s EMG modulem pro fyzikální terapii"/>
    <m/>
    <s v="33150000-6"/>
    <s v="2.3.619."/>
    <n v="720000"/>
    <x v="2"/>
    <d v="2022-06-27T00:00:00"/>
    <d v="2022-07-12T00:00:00"/>
    <d v="2022-07-26T00:00:00"/>
    <s v="MADISSON, s.r.o."/>
    <m/>
    <n v="202200"/>
    <n v="244662"/>
    <m/>
    <m/>
    <m/>
    <d v="2022-07-26T00:00:00"/>
    <s v="SMLN-2022-617-000478_x000a_SMLN-2022-612-000136"/>
    <x v="143"/>
  </r>
  <r>
    <d v="2022-06-21T00:00:00"/>
    <s v="VZ-2022-000683-01"/>
    <x v="0"/>
    <s v="Merta"/>
    <x v="382"/>
    <n v="1"/>
    <s v="Systém pro katetrovou implantaci aortální chlopně (TAVI) – samoexpandibilní I."/>
    <m/>
    <s v="33182220-7"/>
    <m/>
    <n v="125235000"/>
    <x v="0"/>
    <d v="2022-07-26T00:00:00"/>
    <d v="2022-08-29T00:00:00"/>
    <d v="2022-09-19T00:00:00"/>
    <s v="CARDION s.r.o."/>
    <m/>
    <n v="125235000"/>
    <n v="144020250"/>
    <m/>
    <m/>
    <m/>
    <d v="2022-09-19T00:00:00"/>
    <s v="SMLN-2022-617-000657 SMLN-2022-614-000077"/>
    <x v="66"/>
  </r>
  <r>
    <d v="2022-06-21T00:00:00"/>
    <s v="VZ-2022-000683-02"/>
    <x v="0"/>
    <s v="Merta"/>
    <x v="382"/>
    <n v="2"/>
    <s v="Systém pro katetrovou implantaci aortální chlopně (TAVI) – samoexpandibilní II."/>
    <m/>
    <s v="33182220-7"/>
    <m/>
    <n v="25047000"/>
    <x v="0"/>
    <d v="2022-07-26T00:00:00"/>
    <d v="2022-08-29T00:00:00"/>
    <d v="2022-11-01T00:00:00"/>
    <s v="Boston Scientific Česká republika s.r.o."/>
    <m/>
    <n v="25047000"/>
    <n v="30306870"/>
    <m/>
    <m/>
    <m/>
    <d v="2022-11-02T00:00:00"/>
    <s v="SMLN-2022-617-000771_x000a_SMLN-2022-614-000088"/>
    <x v="171"/>
  </r>
  <r>
    <d v="2022-06-21T00:00:00"/>
    <s v="VZ-2022-000683-03"/>
    <x v="0"/>
    <s v="Merta"/>
    <x v="382"/>
    <n v="3"/>
    <s v="Systém pro katetrovou implantaci aortální chlopně (TAVI) – balónexpandibilní I."/>
    <m/>
    <s v="33182220-7"/>
    <m/>
    <n v="106212660"/>
    <x v="0"/>
    <d v="2022-07-26T00:00:00"/>
    <d v="2022-08-29T00:00:00"/>
    <d v="2022-09-19T00:00:00"/>
    <s v="Edwards Lifesciences Czech Republic s.r.o."/>
    <m/>
    <n v="106212660"/>
    <n v="122144559"/>
    <m/>
    <m/>
    <m/>
    <d v="2022-09-19T00:00:00"/>
    <s v="SMLN-2022-617-000658 SMLN-2022-614-000078"/>
    <x v="172"/>
  </r>
  <r>
    <d v="2022-06-21T00:00:00"/>
    <s v="VZ-2022-000683-04"/>
    <x v="0"/>
    <s v="Merta"/>
    <x v="382"/>
    <n v="4"/>
    <s v="Systém pro katetrovou implantaci aortální chlopně (TAVI) – balónexpandibilní II."/>
    <m/>
    <s v="33182220-7"/>
    <m/>
    <n v="67157310"/>
    <x v="0"/>
    <d v="2022-07-26T00:00:00"/>
    <d v="2022-08-29T00:00:00"/>
    <d v="2022-09-19T00:00:00"/>
    <s v="Edwards Lifesciences Czech Republic s.r.o."/>
    <m/>
    <n v="67157310"/>
    <n v="77230906.5"/>
    <m/>
    <m/>
    <m/>
    <d v="2022-09-19T00:00:00"/>
    <s v="SMLN-2022-617-000659 SMLN-2022-614-000079"/>
    <x v="172"/>
  </r>
  <r>
    <d v="2022-06-21T00:00:00"/>
    <s v="VZ-2022-000685"/>
    <x v="0"/>
    <s v="Dočkalová"/>
    <x v="383"/>
    <m/>
    <m/>
    <m/>
    <s v="33168100-6"/>
    <m/>
    <n v="1018000"/>
    <x v="2"/>
    <d v="2022-06-24T00:00:00"/>
    <d v="2022-07-12T00:00:00"/>
    <d v="2022-07-18T00:00:00"/>
    <s v="OLYMPUS CZECH GROUP, s.r.o., člen koncernu"/>
    <m/>
    <n v="1128090"/>
    <n v="1364988.9"/>
    <m/>
    <m/>
    <m/>
    <d v="2022-07-18T00:00:00"/>
    <s v="SMLN-2022-617-000463"/>
    <x v="170"/>
  </r>
  <r>
    <d v="2022-06-23T00:00:00"/>
    <s v="VZ-2022-000687"/>
    <x v="0"/>
    <s v="Dočkalová"/>
    <x v="384"/>
    <m/>
    <m/>
    <m/>
    <s v="33182210-4"/>
    <m/>
    <n v="17913000"/>
    <x v="0"/>
    <d v="2022-06-27T00:00:00"/>
    <d v="2022-07-29T00:00:00"/>
    <d v="2022-08-19T00:00:00"/>
    <s v="MEDKOTECH s.r.o."/>
    <m/>
    <n v="17913000"/>
    <n v="20599950"/>
    <m/>
    <m/>
    <m/>
    <d v="2022-08-19T00:00:00"/>
    <s v="SMLN-2022-617-000569_x000a_SMLN-2022-614-000069_x000a_SMLN-2022-616-000033"/>
    <x v="120"/>
  </r>
  <r>
    <d v="2022-06-22T00:00:00"/>
    <s v="VZ-2022-000691"/>
    <x v="0"/>
    <s v="Dočkalová"/>
    <x v="385"/>
    <m/>
    <m/>
    <m/>
    <s v="33140000-3"/>
    <m/>
    <n v="1297500"/>
    <x v="2"/>
    <d v="2022-06-27T00:00:00"/>
    <d v="2022-07-08T00:00:00"/>
    <d v="2022-07-15T00:00:00"/>
    <s v="MEDIAL spol. s r.o."/>
    <m/>
    <n v="1297500"/>
    <n v="1569975"/>
    <m/>
    <m/>
    <m/>
    <d v="2022-07-15T00:00:00"/>
    <s v="SMLN-2022-617-000461"/>
    <x v="166"/>
  </r>
  <r>
    <d v="2022-06-22T00:00:00"/>
    <s v="VZ-2022-000699"/>
    <x v="6"/>
    <s v="Zdráhalová"/>
    <x v="386"/>
    <m/>
    <m/>
    <m/>
    <s v="33141620-2"/>
    <m/>
    <n v="4851200"/>
    <x v="0"/>
    <d v="2022-07-01T00:00:00"/>
    <d v="2022-08-24T00:00:00"/>
    <m/>
    <s v="zrušeno - úprava specifikace"/>
    <m/>
    <m/>
    <m/>
    <m/>
    <m/>
    <m/>
    <m/>
    <m/>
    <x v="4"/>
  </r>
  <r>
    <d v="2022-06-27T00:00:00"/>
    <s v="VZ-2022-000704"/>
    <x v="4"/>
    <s v="Olejníček"/>
    <x v="387"/>
    <m/>
    <m/>
    <m/>
    <s v="39711100-0"/>
    <s v="2.2.484."/>
    <n v="156700"/>
    <x v="2"/>
    <d v="2022-07-01T00:00:00"/>
    <d v="2022-07-14T00:00:00"/>
    <d v="2022-07-21T00:00:00"/>
    <s v="KRD-obchodní společnost s.r.o."/>
    <m/>
    <n v="147050"/>
    <n v="177930.5"/>
    <m/>
    <m/>
    <m/>
    <d v="2022-07-21T00:00:00"/>
    <s v="SMLN-2022-617-000471_x000a_SMLN-2022-612-000131"/>
    <x v="132"/>
  </r>
  <r>
    <d v="2022-06-27T00:00:00"/>
    <s v="VZ-2022-000706"/>
    <x v="9"/>
    <s v="Oravec"/>
    <x v="388"/>
    <m/>
    <m/>
    <m/>
    <s v="48821000-9"/>
    <s v="3.2.62."/>
    <n v="4620000"/>
    <x v="0"/>
    <d v="2022-07-01T00:00:00"/>
    <d v="2022-08-04T00:00:00"/>
    <d v="2022-08-15T00:00:00"/>
    <s v="ERISERV, spol. s r.o."/>
    <m/>
    <n v="4717616"/>
    <n v="5708315.3600000003"/>
    <m/>
    <m/>
    <m/>
    <d v="2022-08-15T00:00:00"/>
    <s v="SMLN-2022-617-000542"/>
    <x v="173"/>
  </r>
  <r>
    <d v="2022-06-24T00:00:00"/>
    <s v="VZ-2022-000707"/>
    <x v="1"/>
    <s v="Ondráčková"/>
    <x v="389"/>
    <m/>
    <m/>
    <m/>
    <s v="33694000-1"/>
    <s v="2.4.231"/>
    <n v="29700000"/>
    <x v="0"/>
    <d v="2022-09-02T00:00:00"/>
    <d v="2022-10-12T00:00:00"/>
    <m/>
    <m/>
    <m/>
    <m/>
    <m/>
    <m/>
    <m/>
    <m/>
    <m/>
    <m/>
    <x v="4"/>
  </r>
  <r>
    <d v="2022-06-28T00:00:00"/>
    <s v="VZ-2022-000713-01"/>
    <x v="1"/>
    <s v="Ondráčková"/>
    <x v="390"/>
    <n v="1"/>
    <s v="MENOTROPIN"/>
    <m/>
    <s v="33641300-8"/>
    <m/>
    <n v="958983"/>
    <x v="0"/>
    <d v="2022-07-15T00:00:00"/>
    <d v="2022-08-18T00:00:00"/>
    <m/>
    <s v="zrušeno - bez nabídky"/>
    <m/>
    <m/>
    <m/>
    <m/>
    <m/>
    <m/>
    <m/>
    <m/>
    <x v="4"/>
  </r>
  <r>
    <d v="2022-06-28T00:00:00"/>
    <s v="VZ-2022-000713-02"/>
    <x v="1"/>
    <s v="Ondráčková"/>
    <x v="390"/>
    <n v="2"/>
    <s v="FOLITROPIN ALFA"/>
    <m/>
    <s v="33641300-8"/>
    <m/>
    <n v="4291155"/>
    <x v="0"/>
    <d v="2022-07-15T00:00:00"/>
    <d v="2022-08-18T00:00:00"/>
    <m/>
    <s v="zrušeno - bez nabídky"/>
    <m/>
    <m/>
    <m/>
    <m/>
    <m/>
    <m/>
    <m/>
    <m/>
    <x v="4"/>
  </r>
  <r>
    <d v="2022-06-28T00:00:00"/>
    <s v="VZ-2022-000713-03"/>
    <x v="1"/>
    <s v="Ondráčková"/>
    <x v="390"/>
    <n v="3"/>
    <s v="CHORIONGONADOTROPIN ALFA"/>
    <m/>
    <s v="33641300-8"/>
    <m/>
    <n v="1852032"/>
    <x v="0"/>
    <d v="2022-07-15T00:00:00"/>
    <d v="2022-08-18T00:00:00"/>
    <d v="2022-09-19T00:00:00"/>
    <s v="Alliance Healthcare s.r.o."/>
    <m/>
    <n v="1851866.64"/>
    <n v="2037053.3"/>
    <m/>
    <m/>
    <m/>
    <d v="2022-09-19T00:00:00"/>
    <s v="SMLN-2022-617-000652"/>
    <x v="116"/>
  </r>
  <r>
    <d v="2022-06-28T00:00:00"/>
    <s v="VZ-2022-000713-04"/>
    <x v="1"/>
    <s v="Ondráčková"/>
    <x v="390"/>
    <n v="4"/>
    <s v="GONADOTROPINY v KOMBINACI"/>
    <m/>
    <s v="33641300-8"/>
    <m/>
    <n v="3157726"/>
    <x v="0"/>
    <d v="2022-07-15T00:00:00"/>
    <d v="2022-08-18T00:00:00"/>
    <d v="2022-09-19T00:00:00"/>
    <s v="Alliance Healthcare s.r.o."/>
    <m/>
    <n v="3104761.62"/>
    <n v="3415237.78"/>
    <m/>
    <m/>
    <m/>
    <d v="2022-09-19T00:00:00"/>
    <s v="SMLN-2022-617-000653"/>
    <x v="116"/>
  </r>
  <r>
    <d v="2022-06-28T00:00:00"/>
    <s v="VZ-2022-000714"/>
    <x v="1"/>
    <s v="Ondráčková"/>
    <x v="391"/>
    <m/>
    <m/>
    <m/>
    <s v="33622200-8"/>
    <m/>
    <n v="8941954"/>
    <x v="0"/>
    <d v="2022-07-15T00:00:00"/>
    <d v="2022-08-18T00:00:00"/>
    <d v="2022-09-16T00:00:00"/>
    <s v="Alliance Healthcare s.r.o."/>
    <m/>
    <n v="8657416.5"/>
    <n v="9523158.1500000004"/>
    <m/>
    <m/>
    <m/>
    <d v="2022-09-16T00:00:00"/>
    <s v="SMLN-2022-617-000650"/>
    <x v="116"/>
  </r>
  <r>
    <d v="2022-06-29T00:00:00"/>
    <s v="VZ-2022-000715-01"/>
    <x v="1"/>
    <s v="Ondráčková"/>
    <x v="392"/>
    <n v="1"/>
    <s v="OXYTOCIN"/>
    <m/>
    <s v="33642100-3"/>
    <m/>
    <n v="105064"/>
    <x v="2"/>
    <d v="2022-07-15T00:00:00"/>
    <d v="2022-07-26T00:00:00"/>
    <d v="2022-08-11T00:00:00"/>
    <s v="PHARMOS, a.s., a.s."/>
    <m/>
    <n v="60660"/>
    <n v="66726"/>
    <m/>
    <m/>
    <m/>
    <d v="2022-08-11T00:00:00"/>
    <s v="SMLN-2022-617-000527"/>
    <x v="128"/>
  </r>
  <r>
    <d v="2022-06-29T00:00:00"/>
    <s v="VZ-2022-000715-02"/>
    <x v="1"/>
    <s v="Ondráčková"/>
    <x v="392"/>
    <n v="2"/>
    <s v="KARBETOCIN"/>
    <m/>
    <s v="33642100-3"/>
    <m/>
    <n v="1575000"/>
    <x v="2"/>
    <d v="2022-07-15T00:00:00"/>
    <d v="2022-07-26T00:00:00"/>
    <d v="2022-08-11T00:00:00"/>
    <s v="PHARMOS, a.s., a.s."/>
    <m/>
    <n v="1452559.5"/>
    <n v="1597815.45"/>
    <m/>
    <m/>
    <m/>
    <d v="2022-08-11T00:00:00"/>
    <s v="SMLN-2022-617-000528"/>
    <x v="128"/>
  </r>
  <r>
    <d v="2022-06-29T00:00:00"/>
    <s v="VZ-2022-000716-01"/>
    <x v="1"/>
    <s v="Ondráčková"/>
    <x v="393"/>
    <n v="1"/>
    <s v="ADENOSIN "/>
    <m/>
    <s v="33622100-7"/>
    <m/>
    <n v="115534"/>
    <x v="1"/>
    <d v="2022-07-22T00:00:00"/>
    <d v="2022-08-11T00:00:00"/>
    <m/>
    <s v="zrušeno - bez nabídky"/>
    <m/>
    <m/>
    <m/>
    <m/>
    <m/>
    <m/>
    <m/>
    <m/>
    <x v="4"/>
  </r>
  <r>
    <d v="2022-06-29T00:00:00"/>
    <s v="VZ-2022-000716-02"/>
    <x v="1"/>
    <s v="Ondráčková"/>
    <x v="393"/>
    <n v="2"/>
    <s v="TRIMETAZIDIN-DIHYDROCHLORID "/>
    <m/>
    <s v="33622100-7"/>
    <m/>
    <n v="259347"/>
    <x v="1"/>
    <d v="2022-07-22T00:00:00"/>
    <d v="2022-08-11T00:00:00"/>
    <d v="2022-10-11T00:00:00"/>
    <s v="Alliance Healthcare s.r.o."/>
    <m/>
    <n v="256413.08"/>
    <n v="282054.39"/>
    <m/>
    <m/>
    <m/>
    <d v="2022-10-11T00:00:00"/>
    <s v="SMLN-2022-617-000703"/>
    <x v="91"/>
  </r>
  <r>
    <d v="2022-06-29T00:00:00"/>
    <s v="VZ-2022-000716-03"/>
    <x v="1"/>
    <s v="Ondráčková"/>
    <x v="393"/>
    <n v="3"/>
    <s v="IVABRADIN I."/>
    <m/>
    <s v="33622100-7"/>
    <m/>
    <n v="41288"/>
    <x v="1"/>
    <d v="2022-07-22T00:00:00"/>
    <d v="2022-08-11T00:00:00"/>
    <d v="2022-10-11T00:00:00"/>
    <s v="Alliance Healthcare s.r.o."/>
    <m/>
    <n v="40123.919999999998"/>
    <n v="44136.31"/>
    <m/>
    <m/>
    <m/>
    <d v="2022-10-11T00:00:00"/>
    <s v="SMLN-2022-617-000704"/>
    <x v="91"/>
  </r>
  <r>
    <d v="2022-06-29T00:00:00"/>
    <s v="VZ-2022-000716-04"/>
    <x v="1"/>
    <s v="Ondráčková"/>
    <x v="393"/>
    <n v="4"/>
    <s v="IVABRADIN II."/>
    <m/>
    <s v="33622100-7"/>
    <m/>
    <n v="471626"/>
    <x v="1"/>
    <d v="2022-07-22T00:00:00"/>
    <d v="2022-08-11T00:00:00"/>
    <d v="2022-10-11T00:00:00"/>
    <s v="PHOENIX lék.velkoobchod, s.r.o."/>
    <m/>
    <n v="515393.32"/>
    <n v="566932.65"/>
    <m/>
    <m/>
    <m/>
    <d v="2022-10-11T00:00:00"/>
    <s v="SMLN-2022-617-000705"/>
    <x v="151"/>
  </r>
  <r>
    <d v="2022-06-29T00:00:00"/>
    <s v="VZ-2022-000716-05"/>
    <x v="1"/>
    <s v="Ondráčková"/>
    <x v="393"/>
    <n v="5"/>
    <s v="REGADENOSON"/>
    <m/>
    <s v="33622100-7"/>
    <m/>
    <n v="1392000"/>
    <x v="1"/>
    <d v="2022-07-22T00:00:00"/>
    <d v="2022-08-11T00:00:00"/>
    <d v="2022-10-11T00:00:00"/>
    <s v="M.G.P. spol. s r.o."/>
    <m/>
    <n v="1392000"/>
    <n v="1531200"/>
    <m/>
    <m/>
    <m/>
    <d v="2022-10-11T00:00:00"/>
    <s v="SMLN-2022-617-000706"/>
    <x v="145"/>
  </r>
  <r>
    <s v="opakovaná VZ"/>
    <s v="VZ-2022-000717-01 "/>
    <x v="16"/>
    <s v="Klimek"/>
    <x v="394"/>
    <n v="1"/>
    <s v="Sanitní vozidla DNR typu A2"/>
    <m/>
    <s v="34114122-0"/>
    <s v="4.2.179."/>
    <n v="3250000"/>
    <x v="0"/>
    <d v="2022-07-26T00:00:00"/>
    <d v="2022-08-30T00:00:00"/>
    <d v="2022-09-08T00:00:00"/>
    <s v="PROSSAN CZ s.r.o."/>
    <m/>
    <n v="2992000"/>
    <n v="3620320"/>
    <m/>
    <m/>
    <m/>
    <d v="2022-09-08T00:00:00"/>
    <s v="SMLN-2022-617-000621"/>
    <x v="145"/>
  </r>
  <r>
    <s v="opakovaná VZ"/>
    <s v="VZ-2022-000717-02 "/>
    <x v="16"/>
    <s v="Klimek"/>
    <x v="394"/>
    <n v="2"/>
    <s v="Sanitní vozidlo DNR typu A2 s pohonem všech kol"/>
    <m/>
    <s v="34114122-0"/>
    <s v="4.2.179."/>
    <n v="1708000"/>
    <x v="0"/>
    <d v="2022-07-26T00:00:00"/>
    <d v="2022-08-30T00:00:00"/>
    <d v="2022-09-08T00:00:00"/>
    <s v="PROSSAN CZ s.r.o."/>
    <m/>
    <n v="1586000"/>
    <n v="1919060"/>
    <m/>
    <m/>
    <m/>
    <d v="2022-09-08T00:00:00"/>
    <s v="SMLN-2022-617-000622"/>
    <x v="145"/>
  </r>
  <r>
    <d v="2022-06-29T00:00:00"/>
    <s v="VZ-2022-000718"/>
    <x v="1"/>
    <s v="Ondráčková"/>
    <x v="395"/>
    <m/>
    <m/>
    <m/>
    <s v="33651400-2"/>
    <m/>
    <n v="1384722"/>
    <x v="2"/>
    <d v="2022-07-15T00:00:00"/>
    <d v="2022-07-27T00:00:00"/>
    <d v="2022-08-11T00:00:00"/>
    <s v="Alliance Healthcare s.r.o."/>
    <m/>
    <n v="1369268.64"/>
    <n v="1506195.5"/>
    <m/>
    <m/>
    <m/>
    <d v="2022-08-11T00:00:00"/>
    <s v="SMLN-2022-617-000531"/>
    <x v="128"/>
  </r>
  <r>
    <d v="2022-06-29T00:00:00"/>
    <s v="VZ-2022-000719-01"/>
    <x v="1"/>
    <s v="Ondráčková"/>
    <x v="396"/>
    <n v="1"/>
    <s v="TEMOZOLOMID I."/>
    <m/>
    <s v="33652000-5"/>
    <m/>
    <n v="2600111"/>
    <x v="0"/>
    <d v="2022-07-15T00:00:00"/>
    <d v="2022-08-30T00:00:00"/>
    <d v="2022-10-18T00:00:00"/>
    <s v="PHOENIX lék.velkoobchod, s.r.o."/>
    <m/>
    <n v="2374529.16"/>
    <n v="2611982.08"/>
    <m/>
    <m/>
    <m/>
    <d v="2022-10-18T00:00:00"/>
    <s v="SMLN-2022-617-000729"/>
    <x v="133"/>
  </r>
  <r>
    <d v="2022-06-29T00:00:00"/>
    <s v="VZ-2022-000719-02"/>
    <x v="1"/>
    <s v="Ondráčková"/>
    <x v="396"/>
    <n v="2"/>
    <s v="TEMOZOLOMID II."/>
    <m/>
    <s v="33652000-5"/>
    <m/>
    <n v="2600111"/>
    <x v="0"/>
    <d v="2022-07-15T00:00:00"/>
    <d v="2022-08-30T00:00:00"/>
    <d v="2022-10-18T00:00:00"/>
    <s v="PROMEDICA PRAHA GROUP, a.s."/>
    <m/>
    <n v="2548111.88"/>
    <n v="2802923.07"/>
    <m/>
    <m/>
    <m/>
    <d v="2022-10-18T00:00:00"/>
    <s v="SMLN-2022-617-000730"/>
    <x v="147"/>
  </r>
  <r>
    <d v="2022-06-29T00:00:00"/>
    <s v="VZ-2022-000719-03"/>
    <x v="1"/>
    <s v="Ondráčková"/>
    <x v="396"/>
    <n v="3"/>
    <s v="DAKARBAZIN"/>
    <m/>
    <s v="33652000-5"/>
    <m/>
    <n v="567674"/>
    <x v="0"/>
    <d v="2022-07-15T00:00:00"/>
    <d v="2022-08-30T00:00:00"/>
    <d v="2022-10-18T00:00:00"/>
    <s v="PHOENIX lék.velkoobchod, s.r.o."/>
    <m/>
    <n v="558168"/>
    <n v="613984.80000000005"/>
    <m/>
    <m/>
    <m/>
    <d v="2022-10-18T00:00:00"/>
    <s v="SMLN-2022-617-000731"/>
    <x v="133"/>
  </r>
  <r>
    <d v="2022-06-30T00:00:00"/>
    <s v="VZ-2022-000720-01"/>
    <x v="0"/>
    <s v="Dočkalová"/>
    <x v="397"/>
    <n v="1"/>
    <s v="Katetry Fogarty  arteriální embolektomické"/>
    <m/>
    <s v="33140000-3 "/>
    <m/>
    <n v="582348"/>
    <x v="2"/>
    <d v="2022-07-11T00:00:00"/>
    <d v="2022-07-26T00:00:00"/>
    <d v="2022-08-17T00:00:00"/>
    <s v="Moravia Medizintechnik s.r.o."/>
    <m/>
    <n v="556311"/>
    <n v="673136.31"/>
    <m/>
    <m/>
    <m/>
    <d v="2022-08-17T00:00:00"/>
    <s v="SMLN-2022-617-000556"/>
    <x v="107"/>
  </r>
  <r>
    <d v="2022-06-30T00:00:00"/>
    <s v="VZ-2022-000720-02"/>
    <x v="0"/>
    <s v="Dočkalová"/>
    <x v="397"/>
    <n v="2"/>
    <s v="Katetry Fogarty trombektomické pro cévní protézy"/>
    <m/>
    <s v="33140000-3 "/>
    <m/>
    <n v="1079373"/>
    <x v="2"/>
    <d v="2022-07-11T00:00:00"/>
    <d v="2022-07-26T00:00:00"/>
    <m/>
    <s v="zrušeno - neekonomická nabídka"/>
    <s v="VZ-2023-000797"/>
    <m/>
    <m/>
    <m/>
    <m/>
    <m/>
    <m/>
    <m/>
    <x v="4"/>
  </r>
  <r>
    <d v="2022-07-01T00:00:00"/>
    <s v="VZ-2022-000723"/>
    <x v="0"/>
    <s v="Valtová"/>
    <x v="398"/>
    <m/>
    <m/>
    <m/>
    <s v="33140000-3"/>
    <m/>
    <n v="1360000"/>
    <x v="2"/>
    <d v="2022-07-25T00:00:00"/>
    <d v="2022-08-03T00:00:00"/>
    <d v="2022-08-16T00:00:00"/>
    <s v="ARID obchodní společnost, s.r.o."/>
    <m/>
    <n v="1360000"/>
    <n v="1645600"/>
    <m/>
    <m/>
    <m/>
    <d v="2022-08-16T00:00:00"/>
    <s v="SMLN-2022-617-000547_x000a_SMLN-2022-614-000068"/>
    <x v="107"/>
  </r>
  <r>
    <d v="2022-07-07T00:00:00"/>
    <s v="VZ-2022-000729"/>
    <x v="11"/>
    <s v="Cahlíková"/>
    <x v="399"/>
    <m/>
    <m/>
    <m/>
    <s v="72225000-8"/>
    <m/>
    <n v="200000"/>
    <x v="2"/>
    <d v="2022-07-07T00:00:00"/>
    <d v="2022-07-21T00:00:00"/>
    <d v="2022-07-26T00:00:00"/>
    <s v="Consult Hospital s.r.o."/>
    <m/>
    <n v="195000"/>
    <n v="235950"/>
    <m/>
    <m/>
    <m/>
    <d v="2022-07-26T00:00:00"/>
    <s v="SMLN-2022-612-000134"/>
    <x v="173"/>
  </r>
  <r>
    <d v="2022-07-01T00:00:00"/>
    <s v="VZ-2022-000730"/>
    <x v="0"/>
    <s v="Dočkalová"/>
    <x v="400"/>
    <m/>
    <m/>
    <m/>
    <s v="33140000-3 "/>
    <m/>
    <n v="4079520"/>
    <x v="0"/>
    <d v="2022-07-15T00:00:00"/>
    <d v="2022-08-18T00:00:00"/>
    <d v="2022-09-15T00:00:00"/>
    <s v="Mölnlycke Health Care, s.r.o."/>
    <m/>
    <n v="4327776"/>
    <n v="5236608.96"/>
    <m/>
    <m/>
    <m/>
    <d v="2022-09-15T00:00:00"/>
    <s v="SMLN-2022-617-000648"/>
    <x v="174"/>
  </r>
  <r>
    <d v="2022-07-07T00:00:00"/>
    <s v="VZ-2022-000732"/>
    <x v="4"/>
    <s v="Olejníček"/>
    <x v="401"/>
    <m/>
    <m/>
    <m/>
    <s v="33168100-6"/>
    <s v="2.3.676"/>
    <n v="150000"/>
    <x v="0"/>
    <d v="2022-07-15T00:00:00"/>
    <d v="2022-08-18T00:00:00"/>
    <d v="2022-09-02T00:00:00"/>
    <s v="OLYMPUS CZECH GROUP, s.r.o., člen koncernu"/>
    <m/>
    <n v="128440"/>
    <n v="155412.4"/>
    <m/>
    <m/>
    <m/>
    <d v="2022-09-02T00:00:00"/>
    <s v="SMLN-2022-617-000612_x000a_SMLN-2022-612-000185"/>
    <x v="66"/>
  </r>
  <r>
    <d v="2022-07-07T00:00:00"/>
    <s v="VZ-2022-000733-01"/>
    <x v="4"/>
    <s v="Olejníček"/>
    <x v="402"/>
    <n v="1"/>
    <s v="Mobilní přístroj pro aktivní nebo pasivní imobilizaci končetin"/>
    <m/>
    <s v="33155000-1"/>
    <s v="2.2.249"/>
    <n v="155300"/>
    <x v="2"/>
    <d v="2022-07-12T00:00:00"/>
    <d v="2022-08-02T00:00:00"/>
    <m/>
    <s v="zrušeno - bez nabídky"/>
    <m/>
    <m/>
    <m/>
    <m/>
    <m/>
    <m/>
    <m/>
    <m/>
    <x v="4"/>
  </r>
  <r>
    <d v="2022-07-07T00:00:00"/>
    <s v="VZ-2022-000733-02"/>
    <x v="4"/>
    <s v="Olejníček"/>
    <x v="402"/>
    <n v="2"/>
    <s v="Motodlaha"/>
    <m/>
    <s v="33155000-1"/>
    <s v="2.2.460"/>
    <n v="200000"/>
    <x v="2"/>
    <d v="2022-07-12T00:00:00"/>
    <d v="2022-08-02T00:00:00"/>
    <d v="2022-08-11T00:00:00"/>
    <s v="Fidia Pharma CZ, s.r.o."/>
    <m/>
    <n v="100325"/>
    <n v="121393.25"/>
    <m/>
    <m/>
    <m/>
    <d v="2022-08-11T00:00:00"/>
    <s v="SMLN-2022-617-000535_x000a_SMLN-2022-612-000157"/>
    <x v="103"/>
  </r>
  <r>
    <d v="2022-07-07T00:00:00"/>
    <s v="VZ-2022-000733-03"/>
    <x v="4"/>
    <s v="Olejníček"/>
    <x v="402"/>
    <n v="3"/>
    <s v="Rotoped rehabilitační"/>
    <m/>
    <s v="33155000-1"/>
    <s v="2.2.654"/>
    <n v="135000"/>
    <x v="2"/>
    <d v="2022-07-12T00:00:00"/>
    <d v="2022-08-02T00:00:00"/>
    <m/>
    <s v="zrušeno - bez nabídky"/>
    <m/>
    <m/>
    <m/>
    <m/>
    <m/>
    <m/>
    <m/>
    <m/>
    <x v="4"/>
  </r>
  <r>
    <d v="2022-07-07T00:00:00"/>
    <s v="VZ-2022-000734"/>
    <x v="4"/>
    <s v="Olejníček"/>
    <x v="403"/>
    <m/>
    <m/>
    <m/>
    <s v="33100000-1"/>
    <s v="2.2.479"/>
    <n v="958000"/>
    <x v="0"/>
    <d v="2022-07-20T00:00:00"/>
    <d v="2022-08-24T00:00:00"/>
    <d v="2022-09-12T00:00:00"/>
    <s v="BIO-RAD spol.s r.o."/>
    <m/>
    <n v="847091"/>
    <n v="1024980.11"/>
    <m/>
    <m/>
    <m/>
    <d v="2022-09-13T00:00:00"/>
    <s v="SMLN-2022-617-000631 SMLN-2022-612-000191"/>
    <x v="65"/>
  </r>
  <r>
    <d v="2022-07-07T00:00:00"/>
    <s v="VZ-2022-000736"/>
    <x v="4"/>
    <s v="Olejníček"/>
    <x v="404"/>
    <m/>
    <m/>
    <m/>
    <s v="38432200-4"/>
    <s v="2.3.630"/>
    <n v="935000"/>
    <x v="2"/>
    <d v="2022-07-25T00:00:00"/>
    <d v="2022-08-04T00:00:00"/>
    <d v="2022-08-11T00:00:00"/>
    <s v="Shimadzu Handels GmbH-organizační složka"/>
    <m/>
    <n v="937121"/>
    <n v="1133916.4099999999"/>
    <m/>
    <m/>
    <m/>
    <d v="2022-08-11T00:00:00"/>
    <s v="SMLN-2022-617-000536_x000a_SMLN-2022-612-000158"/>
    <x v="101"/>
  </r>
  <r>
    <d v="2022-07-13T00:00:00"/>
    <s v="VZ-2022-000743"/>
    <x v="15"/>
    <s v="Jeřábková"/>
    <x v="405"/>
    <m/>
    <m/>
    <m/>
    <s v="55110000-4"/>
    <m/>
    <n v="750000"/>
    <x v="2"/>
    <d v="2022-07-20T00:00:00"/>
    <d v="2022-07-29T00:00:00"/>
    <m/>
    <s v="zrušeno - nevyhovující nabídka, příliš drahá"/>
    <s v="nová VZ-2022-000854"/>
    <m/>
    <m/>
    <m/>
    <m/>
    <m/>
    <m/>
    <m/>
    <x v="4"/>
  </r>
  <r>
    <d v="2022-07-07T00:00:00"/>
    <s v="VZ-2022-000745"/>
    <x v="4"/>
    <s v="Olejníček"/>
    <x v="406"/>
    <m/>
    <m/>
    <m/>
    <s v="33182100-0"/>
    <s v="2.3.677"/>
    <n v="69000"/>
    <x v="2"/>
    <d v="2022-07-14T00:00:00"/>
    <d v="2022-07-26T00:00:00"/>
    <d v="2022-08-29T00:00:00"/>
    <s v="Medsol s.r.o."/>
    <m/>
    <n v="61956"/>
    <n v="74966.759999999995"/>
    <m/>
    <m/>
    <m/>
    <d v="2022-08-29T00:00:00"/>
    <s v="SMLN-2022-617-000596_x000a_SMLN-2022-612-000177"/>
    <x v="162"/>
  </r>
  <r>
    <d v="2022-07-13T00:00:00"/>
    <s v="VZ-2022-000746"/>
    <x v="2"/>
    <s v="Valíček"/>
    <x v="407"/>
    <m/>
    <m/>
    <m/>
    <s v="71000000-8"/>
    <s v="1.2.96"/>
    <n v="1200000"/>
    <x v="1"/>
    <d v="2022-07-15T00:00:00"/>
    <d v="2022-08-02T00:00:00"/>
    <d v="2022-08-04T00:00:00"/>
    <s v="M&amp;B eProjekce s.r.o."/>
    <m/>
    <n v="1170000"/>
    <n v="1415700"/>
    <m/>
    <m/>
    <m/>
    <d v="2022-08-04T00:00:00"/>
    <s v="SMLN-2022-618-000048"/>
    <x v="33"/>
  </r>
  <r>
    <d v="2022-07-12T00:00:00"/>
    <s v="VZ-2022-000749"/>
    <x v="8"/>
    <s v="Kadlec"/>
    <x v="408"/>
    <m/>
    <m/>
    <m/>
    <s v="45453000-7"/>
    <m/>
    <n v="3500000"/>
    <x v="2"/>
    <d v="2022-07-19T00:00:00"/>
    <d v="2022-08-09T00:00:00"/>
    <d v="2022-08-18T00:00:00"/>
    <s v="SEADON s.r.o."/>
    <m/>
    <n v="2648078"/>
    <n v="3204174.38"/>
    <m/>
    <m/>
    <m/>
    <d v="2022-08-18T00:00:00"/>
    <s v="SMLN-2022-618-000052"/>
    <x v="127"/>
  </r>
  <r>
    <d v="2022-07-14T00:00:00"/>
    <s v="VZ-2022-000752-01"/>
    <x v="1"/>
    <s v="Ondráčková"/>
    <x v="409"/>
    <n v="1"/>
    <s v="AVATROMBOPAG"/>
    <m/>
    <s v="33652000-5"/>
    <m/>
    <n v="663784"/>
    <x v="0"/>
    <d v="2022-07-22T00:00:00"/>
    <d v="2022-08-26T00:00:00"/>
    <d v="2022-09-14T00:00:00"/>
    <s v="PHARMOS, a.s., a.s."/>
    <m/>
    <n v="663782.01"/>
    <n v="730160.21"/>
    <m/>
    <m/>
    <m/>
    <d v="2022-09-14T00:00:00"/>
    <s v="SMLN-2022-617-000641"/>
    <x v="117"/>
  </r>
  <r>
    <d v="2022-07-14T00:00:00"/>
    <s v="VZ-2022-000752-02"/>
    <x v="1"/>
    <s v="Ondráčková"/>
    <x v="409"/>
    <n v="2"/>
    <s v="FOSTAMATINIB"/>
    <m/>
    <s v="33652000-5"/>
    <m/>
    <n v="5234100"/>
    <x v="0"/>
    <d v="2022-07-22T00:00:00"/>
    <d v="2022-08-26T00:00:00"/>
    <d v="2022-09-14T00:00:00"/>
    <s v="Grifols s.r.o."/>
    <m/>
    <n v="5234100"/>
    <n v="5757510"/>
    <m/>
    <m/>
    <m/>
    <d v="2022-09-14T00:00:00"/>
    <s v="SMLN-2022-617-000642"/>
    <x v="65"/>
  </r>
  <r>
    <d v="2022-07-14T00:00:00"/>
    <s v="VZ-2022-000753-01"/>
    <x v="1"/>
    <s v="Ondráčková"/>
    <x v="410"/>
    <n v="1"/>
    <s v="MOGAMULIZUMAB"/>
    <m/>
    <s v="33652000-5"/>
    <m/>
    <n v="1769897"/>
    <x v="0"/>
    <d v="2022-07-26T00:00:00"/>
    <d v="2022-08-29T00:00:00"/>
    <d v="2022-10-19T00:00:00"/>
    <s v="Alliance Healthcare s.r.o."/>
    <m/>
    <n v="1769896.2"/>
    <n v="1946885.82"/>
    <m/>
    <m/>
    <m/>
    <d v="2022-10-19T00:00:00"/>
    <s v="SMLN-2022-617-000736"/>
    <x v="152"/>
  </r>
  <r>
    <d v="2022-07-14T00:00:00"/>
    <s v="VZ-2022-000753-02"/>
    <x v="1"/>
    <s v="Ondráčková"/>
    <x v="410"/>
    <n v="2"/>
    <s v="IPILIMUMAB"/>
    <m/>
    <s v="33652000-5"/>
    <m/>
    <n v="51429393"/>
    <x v="0"/>
    <d v="2022-07-26T00:00:00"/>
    <d v="2022-08-29T00:00:00"/>
    <d v="2022-10-19T00:00:00"/>
    <s v="Bristol-Myers Squibb spol. s r.o."/>
    <m/>
    <n v="44291583.75"/>
    <n v="48720742.130000003"/>
    <m/>
    <m/>
    <m/>
    <d v="2022-10-19T00:00:00"/>
    <s v="SMLN-2022-617-000737"/>
    <x v="4"/>
  </r>
  <r>
    <d v="2022-07-14T00:00:00"/>
    <s v="VZ-2022-000753-03"/>
    <x v="1"/>
    <s v="Ondráčková"/>
    <x v="410"/>
    <n v="3"/>
    <s v="BELANTAMAB MAFODOTIN"/>
    <m/>
    <s v="33652000-5"/>
    <m/>
    <n v="23966043"/>
    <x v="0"/>
    <d v="2022-07-26T00:00:00"/>
    <d v="2022-08-29T00:00:00"/>
    <d v="2022-10-19T00:00:00"/>
    <s v="PHOENIX lék.velkoobchod, s.r.o."/>
    <m/>
    <n v="23370246.120000001"/>
    <n v="25707270.73"/>
    <m/>
    <m/>
    <m/>
    <d v="2022-10-19T00:00:00"/>
    <s v="SMLN-2022-617-000738"/>
    <x v="165"/>
  </r>
  <r>
    <d v="2022-07-14T00:00:00"/>
    <s v="VZ-2022-000754-01"/>
    <x v="1"/>
    <s v="Ondráčková"/>
    <x v="411"/>
    <n v="1"/>
    <s v="PARATHORMON"/>
    <m/>
    <s v="33642000-2"/>
    <m/>
    <n v="43814660"/>
    <x v="0"/>
    <d v="2022-07-22T00:00:00"/>
    <d v="2022-10-03T00:00:00"/>
    <d v="2022-11-15T00:00:00"/>
    <s v="Takeda Pharmaceuticals Czech Republic s.r.o."/>
    <m/>
    <n v="43814657.700000003"/>
    <n v="48196123.469999999"/>
    <m/>
    <m/>
    <m/>
    <d v="2022-11-15T00:00:00"/>
    <s v="SMLN-2022-617-000801"/>
    <x v="134"/>
  </r>
  <r>
    <d v="2022-07-14T00:00:00"/>
    <s v="VZ-2022-000754-02"/>
    <x v="1"/>
    <s v="Ondráčková"/>
    <x v="411"/>
    <n v="2"/>
    <s v="RAVULIZUMAB"/>
    <m/>
    <s v="33652300-8"/>
    <m/>
    <n v="24884591"/>
    <x v="0"/>
    <d v="2022-07-22T00:00:00"/>
    <d v="2022-10-03T00:00:00"/>
    <d v="2022-11-15T00:00:00"/>
    <s v="PHOENIX lék.velkoobchod, s.r.o."/>
    <m/>
    <n v="24884590.5"/>
    <n v="27373049.550000001"/>
    <m/>
    <m/>
    <m/>
    <d v="2022-11-15T00:00:00"/>
    <s v="SMLN-2022-617-000802"/>
    <x v="92"/>
  </r>
  <r>
    <d v="2022-07-14T00:00:00"/>
    <s v="VZ-2022-000755-01"/>
    <x v="1"/>
    <s v="Ondráčková"/>
    <x v="412"/>
    <n v="1"/>
    <s v="ENTREKTINIB"/>
    <m/>
    <s v="33652000-5"/>
    <m/>
    <n v="4122224"/>
    <x v="0"/>
    <d v="2022-07-22T00:00:00"/>
    <d v="2022-09-16T00:00:00"/>
    <d v="2022-10-26T00:00:00"/>
    <s v="ROCHE s.r.o."/>
    <m/>
    <n v="2397077.1"/>
    <n v="2636784.81"/>
    <m/>
    <m/>
    <m/>
    <d v="2022-10-26T00:00:00"/>
    <s v="SMLN-2022-617-000760"/>
    <x v="164"/>
  </r>
  <r>
    <d v="2022-07-14T00:00:00"/>
    <s v="VZ-2022-000755-02"/>
    <x v="1"/>
    <s v="Ondráčková"/>
    <x v="412"/>
    <n v="2"/>
    <s v="FEDRATINIB"/>
    <m/>
    <s v="33652000-5"/>
    <m/>
    <n v="12762744"/>
    <x v="0"/>
    <d v="2022-07-22T00:00:00"/>
    <d v="2022-09-16T00:00:00"/>
    <d v="2022-10-26T00:00:00"/>
    <s v="PHOENIX lék.velkoobchod, s.r.o."/>
    <m/>
    <n v="12762743.4"/>
    <n v="14039017.74"/>
    <m/>
    <m/>
    <m/>
    <d v="2022-10-26T00:00:00"/>
    <s v="SMLN-2022-617-000761"/>
    <x v="134"/>
  </r>
  <r>
    <d v="2022-07-14T00:00:00"/>
    <s v="VZ-2022-000756-01"/>
    <x v="1"/>
    <s v="Ondráčková"/>
    <x v="413"/>
    <n v="1"/>
    <s v="BEXAROTEN"/>
    <m/>
    <s v="33652300-8"/>
    <m/>
    <n v="917428"/>
    <x v="0"/>
    <d v="2022-08-23T00:00:00"/>
    <d v="2022-11-09T00:00:00"/>
    <m/>
    <m/>
    <m/>
    <m/>
    <m/>
    <m/>
    <m/>
    <m/>
    <m/>
    <m/>
    <x v="4"/>
  </r>
  <r>
    <d v="2022-07-14T00:00:00"/>
    <s v="VZ-2022-000756-02"/>
    <x v="1"/>
    <s v="Ondráčková"/>
    <x v="413"/>
    <n v="2"/>
    <s v="PERTUZUMAB A TRASTUZUMAB"/>
    <m/>
    <s v="33652300-8"/>
    <m/>
    <n v="2337932"/>
    <x v="0"/>
    <d v="2022-08-23T00:00:00"/>
    <d v="2022-11-09T00:00:00"/>
    <m/>
    <m/>
    <m/>
    <m/>
    <m/>
    <m/>
    <m/>
    <m/>
    <m/>
    <m/>
    <x v="4"/>
  </r>
  <r>
    <d v="2022-07-14T00:00:00"/>
    <s v="VZ-2022-000756-03"/>
    <x v="1"/>
    <s v="Ondráčková"/>
    <x v="413"/>
    <n v="3"/>
    <s v="CYTARABIN A DAUNORUBICIN"/>
    <m/>
    <s v="33652300-8"/>
    <m/>
    <n v="14089353"/>
    <x v="0"/>
    <d v="2022-08-23T00:00:00"/>
    <d v="2022-11-09T00:00:00"/>
    <m/>
    <m/>
    <m/>
    <m/>
    <m/>
    <m/>
    <m/>
    <m/>
    <m/>
    <m/>
    <x v="4"/>
  </r>
  <r>
    <d v="2022-07-11T00:00:00"/>
    <s v="VZ-2022-000766"/>
    <x v="4"/>
    <s v="Novák"/>
    <x v="414"/>
    <m/>
    <m/>
    <m/>
    <s v="39143123-4"/>
    <m/>
    <n v="1660000"/>
    <x v="2"/>
    <d v="2022-08-08T00:00:00"/>
    <d v="2022-08-17T00:00:00"/>
    <d v="2022-09-08T00:00:00"/>
    <s v="INDUBIA s.r.o."/>
    <m/>
    <n v="1696688"/>
    <n v="2052992.48"/>
    <m/>
    <m/>
    <m/>
    <d v="2022-09-08T00:00:00"/>
    <s v="SMLN-2022-617-000623_x000a_SMLN-2022-612-000189"/>
    <x v="175"/>
  </r>
  <r>
    <d v="2022-06-28T00:00:00"/>
    <s v="VZ-2022-000768-01"/>
    <x v="0"/>
    <s v="Valtová"/>
    <x v="415"/>
    <n v="1"/>
    <s v="14.5. Stengrafty aortální hrudní - proximální část"/>
    <m/>
    <s v="33140000-3"/>
    <m/>
    <n v="2580000"/>
    <x v="0"/>
    <d v="2022-07-26T00:00:00"/>
    <d v="2022-08-30T00:00:00"/>
    <d v="2022-10-13T00:00:00"/>
    <s v="ARID obchodní společnost, s.r.o."/>
    <m/>
    <n v="2580000"/>
    <n v="2967000"/>
    <m/>
    <m/>
    <m/>
    <d v="2022-10-13T00:00:00"/>
    <s v="SMLN-2022-617-000713_x000a_SMLN-2022-614-000080"/>
    <x v="147"/>
  </r>
  <r>
    <d v="2022-06-28T00:00:00"/>
    <s v="VZ-2022-000768-02"/>
    <x v="0"/>
    <s v="Valtová"/>
    <x v="415"/>
    <n v="2"/>
    <s v="14.8. Stengrafty aortální bifurkační břišní I."/>
    <m/>
    <s v="33140000-3"/>
    <m/>
    <n v="4110000"/>
    <x v="0"/>
    <d v="2022-07-26T00:00:00"/>
    <d v="2022-08-30T00:00:00"/>
    <d v="2022-10-13T00:00:00"/>
    <s v="ARID obchodní společnost, s.r.o."/>
    <m/>
    <n v="4110000"/>
    <n v="4726500"/>
    <m/>
    <m/>
    <m/>
    <d v="2022-10-13T00:00:00"/>
    <s v="SMLN-2022-617-000714_x000a_SMLN-2022-614-000081"/>
    <x v="147"/>
  </r>
  <r>
    <d v="2022-06-28T00:00:00"/>
    <s v="VZ-2022-000768-03"/>
    <x v="0"/>
    <s v="Valtová"/>
    <x v="415"/>
    <n v="3"/>
    <s v="14.9. Stengrafty tubulární do kompletu k tělu bifurkačního břišního aortálního stentgraftu, extenzní pro pravou a levou nožičku"/>
    <m/>
    <s v="33140000-3"/>
    <m/>
    <n v="8384200"/>
    <x v="0"/>
    <d v="2022-07-26T00:00:00"/>
    <d v="2022-08-30T00:00:00"/>
    <d v="2022-10-13T00:00:00"/>
    <s v="ARID obchodní společnost, s.r.o."/>
    <m/>
    <n v="8384200"/>
    <n v="9641830"/>
    <m/>
    <m/>
    <m/>
    <d v="2022-10-13T00:00:00"/>
    <s v="SMLN-2022-617-000715_x000a_SMLN-2022-614-000082"/>
    <x v="147"/>
  </r>
  <r>
    <d v="2022-06-28T00:00:00"/>
    <s v="VZ-2022-000768-04"/>
    <x v="0"/>
    <s v="Valtová"/>
    <x v="415"/>
    <n v="4"/>
    <s v="14.10. Stengrafty aorutální bifurkační břišní II. - tělo+nožička"/>
    <m/>
    <s v="33140000-3"/>
    <m/>
    <n v="4362500"/>
    <x v="0"/>
    <d v="2022-07-26T00:00:00"/>
    <d v="2022-08-30T00:00:00"/>
    <d v="2022-10-13T00:00:00"/>
    <s v="ARID obchodní společnost, s.r.o."/>
    <m/>
    <n v="4362500"/>
    <n v="5016875"/>
    <m/>
    <m/>
    <m/>
    <d v="2022-10-13T00:00:00"/>
    <s v="SMLN-2022-617-000716_x000a_SMLN-2022-614-000083"/>
    <x v="147"/>
  </r>
  <r>
    <d v="2022-06-28T00:00:00"/>
    <s v="VZ-2022-000768-05"/>
    <x v="0"/>
    <s v="Valtová"/>
    <x v="415"/>
    <n v="5"/>
    <s v=" 14.15. Stentgraft vaskulární aortální thorako-abdominální tubulární+konický"/>
    <m/>
    <s v="33140000-3"/>
    <m/>
    <n v="3785500"/>
    <x v="0"/>
    <d v="2022-07-26T00:00:00"/>
    <d v="2022-08-30T00:00:00"/>
    <d v="2022-10-13T00:00:00"/>
    <s v="ARID obchodní společnost, s.r.o."/>
    <m/>
    <n v="3785500"/>
    <n v="4353325"/>
    <m/>
    <m/>
    <m/>
    <d v="2022-10-13T00:00:00"/>
    <s v="SMLN-2022-617-000717_x000a_SMLN-2022-614-000084"/>
    <x v="147"/>
  </r>
  <r>
    <d v="2022-07-07T00:00:00"/>
    <s v="VZ-2022-000769"/>
    <x v="4"/>
    <s v="Zemánek"/>
    <x v="416"/>
    <m/>
    <m/>
    <m/>
    <s v="33194100-7"/>
    <m/>
    <n v="42000000"/>
    <x v="0"/>
    <d v="2022-09-02T00:00:00"/>
    <d v="2022-10-06T00:00:00"/>
    <d v="2022-11-04T00:00:00"/>
    <s v="B. Braun Medical s.r.o."/>
    <m/>
    <n v="55760214.439999998"/>
    <n v="67469859.469999999"/>
    <m/>
    <m/>
    <m/>
    <d v="2022-11-04T00:00:00"/>
    <s v="SMLN-2022-617-000779_x000a_SMLN-2022-612-000211_x000a_SMLN-2022-617-000780"/>
    <x v="176"/>
  </r>
  <r>
    <d v="2022-07-08T00:00:00"/>
    <s v="VZ-2022-000779"/>
    <x v="4"/>
    <s v="Novák"/>
    <x v="417"/>
    <m/>
    <m/>
    <m/>
    <s v="39143210-1"/>
    <m/>
    <n v="610000"/>
    <x v="2"/>
    <d v="2022-07-28T00:00:00"/>
    <d v="2022-08-10T00:00:00"/>
    <d v="2022-08-25T00:00:00"/>
    <s v="LINET spol. s r.o."/>
    <m/>
    <n v="419582"/>
    <n v="507694.22"/>
    <m/>
    <m/>
    <m/>
    <d v="2022-08-25T00:00:00"/>
    <s v="SMLN-2022-617-000591_x000a_SMLN-2022-612-000174"/>
    <x v="156"/>
  </r>
  <r>
    <d v="2022-07-11T00:00:00"/>
    <s v="VZ-2022-000784"/>
    <x v="5"/>
    <s v="Srovnal"/>
    <x v="418"/>
    <m/>
    <m/>
    <m/>
    <s v="38341300-0"/>
    <m/>
    <n v="3200000"/>
    <x v="1"/>
    <d v="2022-07-26T00:00:00"/>
    <d v="2022-08-19T00:00:00"/>
    <d v="2022-09-09T00:00:00"/>
    <s v="MEgA - Měřící Energetické Aparáty, a.s."/>
    <m/>
    <n v="3193800"/>
    <n v="3864498"/>
    <m/>
    <m/>
    <m/>
    <d v="2022-09-09T00:00:00"/>
    <s v="SMLN-2022-612-000190"/>
    <x v="66"/>
  </r>
  <r>
    <d v="2022-06-30T00:00:00"/>
    <s v="VZ-2022-000787"/>
    <x v="0"/>
    <s v="Valtová"/>
    <x v="419"/>
    <m/>
    <m/>
    <m/>
    <s v="33140000-3"/>
    <m/>
    <n v="3841734.5"/>
    <x v="0"/>
    <d v="2022-08-02T00:00:00"/>
    <d v="2022-09-05T00:00:00"/>
    <d v="2022-10-14T00:00:00"/>
    <s v="CARDION s.r.o."/>
    <m/>
    <n v="3841694.21"/>
    <n v="4648450"/>
    <m/>
    <m/>
    <m/>
    <d v="2022-10-14T00:00:00"/>
    <s v="SMLN-2022-617-000723_x000a_SMLN-2022-614-000085"/>
    <x v="4"/>
  </r>
  <r>
    <d v="2022-06-29T00:00:00"/>
    <s v="VZ-2022-000788-01"/>
    <x v="0"/>
    <s v="Valtová"/>
    <x v="420"/>
    <n v="1"/>
    <s v="Oxygenátory a hadicové sety"/>
    <m/>
    <s v="33140000-3"/>
    <m/>
    <n v="23889652"/>
    <x v="0"/>
    <d v="2022-08-05T00:00:00"/>
    <d v="2022-09-07T00:00:00"/>
    <m/>
    <s v="zrušeno - úprava specifikace"/>
    <s v="nová VZ-2022-000930"/>
    <m/>
    <m/>
    <m/>
    <m/>
    <m/>
    <m/>
    <m/>
    <x v="4"/>
  </r>
  <r>
    <d v="2022-06-29T00:00:00"/>
    <s v="VZ-2022-000788-02"/>
    <x v="0"/>
    <s v="Valtová"/>
    <x v="420"/>
    <n v="2"/>
    <s v="Minisystém pro mimotělní oběh"/>
    <m/>
    <s v="33140000-3"/>
    <m/>
    <n v="3636364"/>
    <x v="0"/>
    <d v="2022-08-05T00:00:00"/>
    <d v="2022-10-10T00:00:00"/>
    <d v="2022-12-05T00:00:00"/>
    <s v="CARDION s.r.o."/>
    <m/>
    <n v="3965289.26"/>
    <n v="4798000"/>
    <m/>
    <m/>
    <m/>
    <d v="2022-12-05T00:00:00"/>
    <s v="SMLN-2022-617-000839_x000a_SMLN-2022-614-000100"/>
    <x v="4"/>
  </r>
  <r>
    <d v="2022-07-20T00:00:00"/>
    <s v="VZ-2022-000789"/>
    <x v="4"/>
    <s v="Olejníček"/>
    <x v="421"/>
    <m/>
    <m/>
    <m/>
    <s v="33168100-6"/>
    <s v="2.2.492."/>
    <n v="272712"/>
    <x v="2"/>
    <d v="2022-07-25T00:00:00"/>
    <d v="2022-08-04T00:00:00"/>
    <d v="2022-08-16T00:00:00"/>
    <s v="GPS Praha, spol. s  r.o."/>
    <m/>
    <n v="229760"/>
    <n v="278009.59999999998"/>
    <m/>
    <m/>
    <m/>
    <d v="2022-08-16T00:00:00"/>
    <s v="SMLN-2022-617-000545_x000a_SMLN-2022-612-000160"/>
    <x v="113"/>
  </r>
  <r>
    <d v="2022-07-20T00:00:00"/>
    <s v="VZ-2022-000791"/>
    <x v="4"/>
    <s v="Olejníček"/>
    <x v="422"/>
    <m/>
    <m/>
    <m/>
    <s v="33155000-1"/>
    <s v="2.3.657."/>
    <n v="162000"/>
    <x v="2"/>
    <d v="2022-07-25T00:00:00"/>
    <d v="2022-08-03T00:00:00"/>
    <m/>
    <s v="zrušeno - úprava specifikace"/>
    <s v="nová VZ-2022-000859"/>
    <m/>
    <m/>
    <m/>
    <m/>
    <m/>
    <m/>
    <m/>
    <x v="4"/>
  </r>
  <r>
    <d v="2022-07-20T00:00:00"/>
    <s v="VZ-2022-000793"/>
    <x v="5"/>
    <s v="Srovnal"/>
    <x v="423"/>
    <m/>
    <m/>
    <m/>
    <s v="45432000-4"/>
    <m/>
    <n v="7500000"/>
    <x v="1"/>
    <d v="2022-07-22T00:00:00"/>
    <d v="2022-08-12T00:00:00"/>
    <m/>
    <s v="zrušeno - bez nabídky"/>
    <s v="nová VZ-2022-000885"/>
    <m/>
    <m/>
    <m/>
    <m/>
    <m/>
    <m/>
    <m/>
    <x v="4"/>
  </r>
  <r>
    <s v="opakovaná VZ"/>
    <s v="VZ-2022-000794"/>
    <x v="4"/>
    <s v="Olejníček"/>
    <x v="424"/>
    <m/>
    <m/>
    <m/>
    <s v="38000000-5"/>
    <s v="2.2.451."/>
    <n v="1777000"/>
    <x v="2"/>
    <d v="2022-07-25T00:00:00"/>
    <d v="2022-08-03T00:00:00"/>
    <d v="2022-08-11T00:00:00"/>
    <s v="DN FORMED Brno s.r.o."/>
    <m/>
    <n v="1663005.11"/>
    <n v="2012236.18"/>
    <m/>
    <m/>
    <m/>
    <d v="2022-08-11T00:00:00"/>
    <s v="SMLN-2022-617-000533_x000a_SMLN-2022-612-000156_x000a_SMLN-2022-617-000534"/>
    <x v="177"/>
  </r>
  <r>
    <d v="2022-07-22T00:00:00"/>
    <s v="VZ-2022-000798"/>
    <x v="2"/>
    <s v="Pavela"/>
    <x v="425"/>
    <m/>
    <m/>
    <m/>
    <s v="45232400-6"/>
    <m/>
    <n v="1000000"/>
    <x v="2"/>
    <d v="2022-07-25T00:00:00"/>
    <d v="2022-08-09T00:00:00"/>
    <d v="2022-08-12T00:00:00"/>
    <s v="BOPROSTA s.r.o."/>
    <m/>
    <n v="751987.08"/>
    <n v="909904.37"/>
    <m/>
    <m/>
    <m/>
    <d v="2022-08-12T00:00:00"/>
    <s v="SMLN-2022-618-000050"/>
    <x v="107"/>
  </r>
  <r>
    <s v="opakovaná VZ"/>
    <s v="VZ-2022-000799"/>
    <x v="4"/>
    <s v="Olejníček"/>
    <x v="426"/>
    <m/>
    <m/>
    <m/>
    <s v="33161000-6"/>
    <s v="2.3.632."/>
    <n v="490000"/>
    <x v="2"/>
    <d v="2022-07-26T00:00:00"/>
    <d v="2022-08-05T00:00:00"/>
    <d v="2022-08-16T00:00:00"/>
    <s v="OLYMPUS CZECH GROUP, s.r.o., člen koncernu"/>
    <m/>
    <n v="455740"/>
    <n v="551445.4"/>
    <m/>
    <m/>
    <m/>
    <d v="2022-08-16T00:00:00"/>
    <s v="SMLN-2022-617-000546_x000a_SMLN-2022-612-000161"/>
    <x v="178"/>
  </r>
  <r>
    <d v="2022-07-20T00:00:00"/>
    <s v="VZ-2022-000803"/>
    <x v="6"/>
    <s v="Zdráhalová"/>
    <x v="427"/>
    <m/>
    <m/>
    <m/>
    <s v="33141620-2"/>
    <m/>
    <n v="6831616"/>
    <x v="0"/>
    <d v="2022-08-18T00:00:00"/>
    <d v="2022-10-03T00:00:00"/>
    <d v="2022-11-22T00:00:00"/>
    <s v="Mölnlycke Health Care, s.r.o."/>
    <m/>
    <n v="11452320"/>
    <n v="12038824"/>
    <m/>
    <m/>
    <m/>
    <d v="2022-11-22T00:00:00"/>
    <s v="SMLN-2022-617-000819"/>
    <x v="112"/>
  </r>
  <r>
    <d v="2022-07-27T00:00:00"/>
    <s v="VZ-2022-000810"/>
    <x v="2"/>
    <s v="Hrubý"/>
    <x v="428"/>
    <m/>
    <m/>
    <m/>
    <s v="71240000-2"/>
    <s v="1.2.97."/>
    <n v="600000"/>
    <x v="2"/>
    <d v="2022-08-01T00:00:00"/>
    <d v="2022-08-12T00:00:00"/>
    <d v="2022-08-24T00:00:00"/>
    <s v="M&amp;B eProjekce s.r.o."/>
    <m/>
    <n v="1140000"/>
    <n v="1379400"/>
    <m/>
    <m/>
    <m/>
    <d v="2022-08-24T00:00:00"/>
    <s v="SMLN-2022-618-000054"/>
    <x v="66"/>
  </r>
  <r>
    <d v="2022-07-28T00:00:00"/>
    <s v="VZ-2022-000812"/>
    <x v="2"/>
    <s v="Valíček"/>
    <x v="429"/>
    <m/>
    <m/>
    <m/>
    <s v="45110000-1"/>
    <s v="1.2.89."/>
    <n v="70000000"/>
    <x v="0"/>
    <d v="2022-08-19T00:00:00"/>
    <d v="2022-10-19T00:00:00"/>
    <d v="2022-11-11T00:00:00"/>
    <s v="MORKUS Morava s.r.o."/>
    <m/>
    <n v="17240000.329999998"/>
    <n v="20860400.399999999"/>
    <m/>
    <m/>
    <m/>
    <d v="2022-11-11T00:00:00"/>
    <s v="SMLN-2022-618-000069"/>
    <x v="179"/>
  </r>
  <r>
    <s v="opakovaná VZ"/>
    <s v="VZ-2022-000813"/>
    <x v="1"/>
    <s v="Ondráčková"/>
    <x v="430"/>
    <m/>
    <m/>
    <m/>
    <s v="33600000-6"/>
    <m/>
    <n v="10353800"/>
    <x v="0"/>
    <d v="2022-08-03T00:00:00"/>
    <d v="2022-09-05T00:00:00"/>
    <d v="2022-10-12T00:00:00"/>
    <s v="M.G.P. spol. s r.o."/>
    <m/>
    <n v="10353800"/>
    <n v="11414590"/>
    <m/>
    <m/>
    <m/>
    <d v="2022-10-12T00:00:00"/>
    <s v="SMLN-2022-617-000709"/>
    <x v="91"/>
  </r>
  <r>
    <d v="2022-07-28T00:00:00"/>
    <s v="VZ-2022-000814"/>
    <x v="5"/>
    <s v="Srovnal"/>
    <x v="431"/>
    <m/>
    <m/>
    <m/>
    <s v="45342000-6"/>
    <s v="4.2.176."/>
    <n v="2100000"/>
    <x v="2"/>
    <d v="2022-08-01T00:00:00"/>
    <d v="2022-08-12T00:00:00"/>
    <m/>
    <s v="zrušeno - nemožnost realizace ze strany FNOL"/>
    <m/>
    <m/>
    <m/>
    <m/>
    <m/>
    <m/>
    <m/>
    <m/>
    <x v="4"/>
  </r>
  <r>
    <d v="2022-07-27T00:00:00"/>
    <s v="VZ-2022-000816"/>
    <x v="9"/>
    <s v="Oravec"/>
    <x v="432"/>
    <m/>
    <m/>
    <m/>
    <s v="30216130-6"/>
    <s v="3.2.70."/>
    <n v="2200000"/>
    <x v="1"/>
    <d v="2022-08-03T00:00:00"/>
    <d v="2022-08-19T00:00:00"/>
    <d v="2022-08-31T00:00:00"/>
    <s v="Kodys, spol. s r.o."/>
    <m/>
    <n v="2984535"/>
    <n v="3611287.35"/>
    <m/>
    <m/>
    <m/>
    <d v="2022-08-31T00:00:00"/>
    <s v="SMLN-2022-617-000606"/>
    <x v="127"/>
  </r>
  <r>
    <d v="2022-08-01T00:00:00"/>
    <s v="VZ-2022-000821"/>
    <x v="9"/>
    <s v="Oravec"/>
    <x v="433"/>
    <m/>
    <m/>
    <m/>
    <s v="48814400-1"/>
    <m/>
    <n v="400000"/>
    <x v="2"/>
    <d v="2022-08-09T00:00:00"/>
    <d v="2022-08-16T00:00:00"/>
    <d v="2022-08-19T00:00:00"/>
    <s v="MEDIWARE  a.s."/>
    <m/>
    <n v="391500"/>
    <n v="473715"/>
    <m/>
    <m/>
    <m/>
    <d v="2022-08-19T00:00:00"/>
    <s v="SMLN-2022-612-000169"/>
    <x v="120"/>
  </r>
  <r>
    <s v="opakovaná VZ"/>
    <s v="VZ-2022-000841"/>
    <x v="3"/>
    <s v="Olejníček"/>
    <x v="434"/>
    <m/>
    <m/>
    <m/>
    <s v="33186000-7"/>
    <s v="2.2.400."/>
    <n v="6061532"/>
    <x v="0"/>
    <d v="2022-09-02T00:00:00"/>
    <d v="2022-10-05T00:00:00"/>
    <m/>
    <s v="zrušeno - překročení ceny servisu"/>
    <s v="nová VZ-2022-001121"/>
    <m/>
    <m/>
    <m/>
    <m/>
    <m/>
    <m/>
    <m/>
    <x v="4"/>
  </r>
  <r>
    <d v="2022-07-29T00:00:00"/>
    <s v="VZ-2022-000842"/>
    <x v="5"/>
    <s v="Srovnal"/>
    <x v="435"/>
    <m/>
    <m/>
    <m/>
    <s v="42531000-7"/>
    <s v="4.2.183."/>
    <n v="900000"/>
    <x v="2"/>
    <d v="2022-08-10T00:00:00"/>
    <d v="2022-08-19T00:00:00"/>
    <d v="2022-09-14T00:00:00"/>
    <s v="Technika budov s.r.o."/>
    <m/>
    <n v="550417.5"/>
    <n v="666005.18000000005"/>
    <m/>
    <m/>
    <m/>
    <d v="2022-09-14T00:00:00"/>
    <s v="SMLN-2022-618-000056"/>
    <x v="66"/>
  </r>
  <r>
    <d v="2022-08-05T00:00:00"/>
    <s v="VZ-2022-000847"/>
    <x v="3"/>
    <s v="Olejníček"/>
    <x v="436"/>
    <m/>
    <m/>
    <m/>
    <s v="38000000-5"/>
    <s v="2.3.572."/>
    <n v="4028313"/>
    <x v="0"/>
    <d v="2022-08-25T00:00:00"/>
    <d v="2022-10-12T00:00:00"/>
    <d v="2022-11-04T00:00:00"/>
    <s v="PROMEDICA PRAHA GROUP, a.s."/>
    <m/>
    <n v="4643193"/>
    <n v="5618263.5300000003"/>
    <m/>
    <m/>
    <m/>
    <d v="2022-11-04T00:00:00"/>
    <s v="SMLN-2022-617-000778_x000a_SMLN-2022-612-000210"/>
    <x v="180"/>
  </r>
  <r>
    <d v="2022-08-04T00:00:00"/>
    <s v="VZ-2022-000848"/>
    <x v="1"/>
    <s v="Ondráčková"/>
    <x v="437"/>
    <m/>
    <m/>
    <m/>
    <s v="33652000-5"/>
    <m/>
    <n v="3999478"/>
    <x v="0"/>
    <d v="2022-08-11T00:00:00"/>
    <d v="2022-09-13T00:00:00"/>
    <m/>
    <s v="zrušeno - sanofi-aventis s.r.o. překročili nabídkovu cenu, vyloučeni 15.9."/>
    <m/>
    <m/>
    <m/>
    <m/>
    <m/>
    <m/>
    <m/>
    <m/>
    <x v="4"/>
  </r>
  <r>
    <d v="2022-08-04T00:00:00"/>
    <s v="VZ-2022-000849"/>
    <x v="1"/>
    <s v="Ondráčková"/>
    <x v="438"/>
    <m/>
    <m/>
    <m/>
    <s v="33642000-2"/>
    <m/>
    <n v="5905526"/>
    <x v="0"/>
    <d v="2022-08-11T00:00:00"/>
    <d v="2022-09-13T00:00:00"/>
    <d v="2022-11-01T00:00:00"/>
    <s v="ViaPharma s.r.o."/>
    <m/>
    <n v="5697882.6900000004"/>
    <n v="6267670.96"/>
    <m/>
    <m/>
    <m/>
    <d v="2022-11-01T00:00:00"/>
    <s v="SMLN-2022-617-000770"/>
    <x v="164"/>
  </r>
  <r>
    <d v="2022-08-02T00:00:00"/>
    <s v="VZ-2022-000850"/>
    <x v="1"/>
    <s v="Ondráčková"/>
    <x v="439"/>
    <m/>
    <m/>
    <m/>
    <s v="38434000-6"/>
    <m/>
    <n v="4170600"/>
    <x v="0"/>
    <d v="2022-09-27T00:00:00"/>
    <d v="2022-10-31T00:00:00"/>
    <m/>
    <s v="zrušeno - úprava zadání"/>
    <m/>
    <m/>
    <m/>
    <m/>
    <m/>
    <m/>
    <m/>
    <m/>
    <x v="4"/>
  </r>
  <r>
    <d v="2022-08-01T00:00:00"/>
    <s v="VZ-2022-000851"/>
    <x v="1"/>
    <s v="Ondráčková"/>
    <x v="440"/>
    <m/>
    <m/>
    <m/>
    <s v="33632200-1"/>
    <m/>
    <n v="13613262"/>
    <x v="0"/>
    <d v="2022-11-15T00:00:00"/>
    <d v="2023-02-08T00:00:00"/>
    <m/>
    <m/>
    <m/>
    <m/>
    <m/>
    <m/>
    <m/>
    <m/>
    <m/>
    <m/>
    <x v="4"/>
  </r>
  <r>
    <d v="2022-08-01T00:00:00"/>
    <s v="VZ-2022-000852"/>
    <x v="1"/>
    <s v="Ondráčková"/>
    <x v="441"/>
    <m/>
    <m/>
    <m/>
    <s v="33693000-4"/>
    <m/>
    <n v="6781508"/>
    <x v="0"/>
    <d v="2022-11-22T00:00:00"/>
    <d v="2023-01-26T00:00:00"/>
    <m/>
    <m/>
    <m/>
    <m/>
    <m/>
    <m/>
    <m/>
    <m/>
    <m/>
    <m/>
    <x v="4"/>
  </r>
  <r>
    <d v="2022-08-01T00:00:00"/>
    <s v="VZ-2022-000853"/>
    <x v="1"/>
    <s v="Ondráčková"/>
    <x v="442"/>
    <m/>
    <m/>
    <m/>
    <s v="33652200-7"/>
    <m/>
    <n v="12495448"/>
    <x v="0"/>
    <d v="2022-10-17T00:00:00"/>
    <d v="2022-11-21T00:00:00"/>
    <d v="2022-12-21T00:00:00"/>
    <s v="BAYER s.r.o."/>
    <m/>
    <n v="12495435.48"/>
    <n v="13744979.029999999"/>
    <m/>
    <m/>
    <m/>
    <d v="2022-12-21T00:00:00"/>
    <s v="SMLN-2022-617-000880"/>
    <x v="4"/>
  </r>
  <r>
    <s v="opakovaná VZ"/>
    <s v="VZ-2022-000854"/>
    <x v="15"/>
    <s v="Jeřábková"/>
    <x v="443"/>
    <m/>
    <m/>
    <m/>
    <s v="55110000-4"/>
    <m/>
    <n v="750000"/>
    <x v="2"/>
    <d v="2022-08-12T00:00:00"/>
    <d v="2022-08-18T00:00:00"/>
    <d v="2022-08-19T00:00:00"/>
    <s v="HOTELPARK STADION a.s."/>
    <m/>
    <n v="859438.02"/>
    <n v="971950"/>
    <m/>
    <m/>
    <m/>
    <d v="2022-08-19T00:00:00"/>
    <s v="SMLN-2022-612-000171"/>
    <x v="101"/>
  </r>
  <r>
    <d v="2022-08-08T00:00:00"/>
    <s v="VZ-2022-000857"/>
    <x v="4"/>
    <s v="Olejníček"/>
    <x v="444"/>
    <m/>
    <m/>
    <m/>
    <s v="33124100-6"/>
    <s v="2.3.652."/>
    <n v="148000"/>
    <x v="2"/>
    <d v="2022-08-12T00:00:00"/>
    <d v="2022-08-23T00:00:00"/>
    <m/>
    <s v="zrušeno - úprava specifikace"/>
    <s v="nová VZ-2022-001382"/>
    <m/>
    <m/>
    <m/>
    <m/>
    <m/>
    <m/>
    <m/>
    <x v="4"/>
  </r>
  <r>
    <s v="opakovaná VZ"/>
    <s v="VZ-2022-000859"/>
    <x v="4"/>
    <s v="Olejníček"/>
    <x v="445"/>
    <m/>
    <m/>
    <m/>
    <s v="33155000-1"/>
    <s v="2.3.657."/>
    <n v="162000"/>
    <x v="2"/>
    <d v="2022-08-12T00:00:00"/>
    <d v="2022-08-23T00:00:00"/>
    <d v="2022-09-26T00:00:00"/>
    <s v="Radim Holba"/>
    <m/>
    <n v="109500"/>
    <n v="126495"/>
    <m/>
    <m/>
    <m/>
    <d v="2022-09-26T00:00:00"/>
    <s v="SMLN-2022-617-000663_x000a_SMLN-2022-612-000193"/>
    <x v="181"/>
  </r>
  <r>
    <d v="2022-08-10T00:00:00"/>
    <s v="VZ-2022-000860"/>
    <x v="2"/>
    <s v="Zeman"/>
    <x v="446"/>
    <m/>
    <m/>
    <m/>
    <s v="45453000-7"/>
    <m/>
    <n v="2200000"/>
    <x v="2"/>
    <d v="2022-08-11T00:00:00"/>
    <d v="2022-08-23T00:00:00"/>
    <d v="2022-08-24T00:00:00"/>
    <s v="PTÁČEK - pozemní stavby s.r.o."/>
    <m/>
    <n v="2690742.63"/>
    <n v="3255798.58"/>
    <m/>
    <m/>
    <m/>
    <d v="2022-08-24T00:00:00"/>
    <s v="SMLN-2022-618-000053"/>
    <x v="156"/>
  </r>
  <r>
    <d v="2022-08-10T00:00:00"/>
    <s v="VZ-2022-000861-01"/>
    <x v="1"/>
    <s v="Ondráčková"/>
    <x v="447"/>
    <n v="1"/>
    <s v=" LEUPRORELIN"/>
    <m/>
    <s v="33642000-2"/>
    <m/>
    <n v="1456022"/>
    <x v="0"/>
    <d v="2022-08-19T00:00:00"/>
    <d v="2022-09-23T00:00:00"/>
    <d v="2022-11-08T00:00:00"/>
    <s v="PHOENIX lék.velkoobchod, s.r.o."/>
    <m/>
    <n v="735701.34"/>
    <n v="809271.47"/>
    <m/>
    <m/>
    <m/>
    <d v="2022-11-08T00:00:00"/>
    <s v="SMLN-2022-617-000789"/>
    <x v="92"/>
  </r>
  <r>
    <d v="2022-08-10T00:00:00"/>
    <s v="VZ-2022-000861-02"/>
    <x v="1"/>
    <s v="Ondráčková"/>
    <x v="447"/>
    <n v="2"/>
    <s v="LEUPRORELIN IMPLANTÁT"/>
    <m/>
    <s v="33642000-2"/>
    <m/>
    <n v="686894"/>
    <x v="0"/>
    <d v="2022-08-19T00:00:00"/>
    <d v="2022-09-23T00:00:00"/>
    <d v="2022-11-08T00:00:00"/>
    <s v="Alliance Healthcare s.r.o."/>
    <m/>
    <n v="686740.2"/>
    <n v="755414.22"/>
    <m/>
    <m/>
    <m/>
    <d v="2022-11-08T00:00:00"/>
    <s v="SMLN-2022-617-000790"/>
    <x v="164"/>
  </r>
  <r>
    <d v="2022-08-10T00:00:00"/>
    <s v="VZ-2022-000861-03"/>
    <x v="1"/>
    <s v="Ondráčková"/>
    <x v="447"/>
    <n v="3"/>
    <s v=" TRIPTORELIN"/>
    <m/>
    <s v="33642000-2"/>
    <m/>
    <n v="10196431"/>
    <x v="0"/>
    <d v="2022-08-19T00:00:00"/>
    <d v="2022-09-23T00:00:00"/>
    <d v="2022-11-08T00:00:00"/>
    <s v="Alliance Healthcare s.r.o."/>
    <m/>
    <n v="9307599.8100000005"/>
    <n v="10238359.789999999"/>
    <m/>
    <m/>
    <m/>
    <d v="2022-11-08T00:00:00"/>
    <s v="SMLN-2022-617-000791"/>
    <x v="164"/>
  </r>
  <r>
    <d v="2022-08-10T00:00:00"/>
    <s v="VZ-2022-000861-04"/>
    <x v="1"/>
    <s v="Ondráčková"/>
    <x v="447"/>
    <n v="4"/>
    <s v="DEGARELIX"/>
    <m/>
    <s v="33642000-2"/>
    <m/>
    <n v="4109641"/>
    <x v="0"/>
    <d v="2022-08-19T00:00:00"/>
    <d v="2022-09-23T00:00:00"/>
    <d v="2022-11-08T00:00:00"/>
    <s v="PHOENIX lék.velkoobchod, s.r.o."/>
    <m/>
    <n v="2054822.94"/>
    <n v="2260305.23"/>
    <m/>
    <m/>
    <m/>
    <d v="2022-11-08T00:00:00"/>
    <s v="SMLN-2022-617-000792"/>
    <x v="92"/>
  </r>
  <r>
    <d v="2022-08-10T00:00:00"/>
    <s v="VZ-2022-000862"/>
    <x v="1"/>
    <s v="Ondráčková"/>
    <x v="448"/>
    <m/>
    <m/>
    <m/>
    <s v="33622300-9"/>
    <m/>
    <n v="8136058"/>
    <x v="0"/>
    <d v="2022-09-16T00:00:00"/>
    <d v="2022-10-27T00:00:00"/>
    <d v="2022-11-29T00:00:00"/>
    <s v="PHOENIX lék.velkoobchod, s.r.o."/>
    <m/>
    <n v="8010426.2400000002"/>
    <n v="8811468.8599999994"/>
    <m/>
    <m/>
    <m/>
    <d v="2022-11-29T00:00:00"/>
    <s v="SMLN-2022-617-000828"/>
    <x v="4"/>
  </r>
  <r>
    <d v="2022-08-10T00:00:00"/>
    <s v="VZ-2022-000863"/>
    <x v="1"/>
    <s v="Ondráčková"/>
    <x v="449"/>
    <m/>
    <m/>
    <m/>
    <s v="33652100-6"/>
    <m/>
    <n v="60267982"/>
    <x v="0"/>
    <d v="2022-09-16T00:00:00"/>
    <d v="2022-11-28T00:00:00"/>
    <m/>
    <m/>
    <m/>
    <m/>
    <m/>
    <m/>
    <m/>
    <m/>
    <m/>
    <m/>
    <x v="4"/>
  </r>
  <r>
    <d v="2022-08-10T00:00:00"/>
    <s v="VZ-2022-000864-01"/>
    <x v="1"/>
    <s v="Ondráčková"/>
    <x v="450"/>
    <n v="1"/>
    <s v="ANASTROZOL"/>
    <m/>
    <s v="33642000-2"/>
    <m/>
    <n v="426539"/>
    <x v="0"/>
    <d v="2022-08-19T00:00:00"/>
    <d v="2022-10-27T00:00:00"/>
    <d v="2022-11-16T00:00:00"/>
    <s v="zrušeno - neposkytnutí součinosti k uzavření smlouvy"/>
    <m/>
    <n v="404439.39"/>
    <n v="444883.33"/>
    <m/>
    <m/>
    <m/>
    <d v="2022-11-16T00:00:00"/>
    <s v="SMLN-2022-617-000803"/>
    <x v="4"/>
  </r>
  <r>
    <d v="2022-08-10T00:00:00"/>
    <s v="VZ-2022-000864-02"/>
    <x v="1"/>
    <s v="Ondráčková"/>
    <x v="450"/>
    <n v="2"/>
    <s v="LETROZOL"/>
    <m/>
    <s v="33642000-2"/>
    <m/>
    <n v="3171502"/>
    <x v="0"/>
    <d v="2022-08-19T00:00:00"/>
    <d v="2022-10-27T00:00:00"/>
    <d v="2022-11-16T00:00:00"/>
    <s v="PHOENIX lék.velkoobchod, s.r.o."/>
    <m/>
    <n v="2169835.08"/>
    <n v="1386818.59"/>
    <m/>
    <m/>
    <m/>
    <d v="2022-11-16T00:00:00"/>
    <s v="SMLN-2022-617-000804"/>
    <x v="92"/>
  </r>
  <r>
    <d v="2022-08-10T00:00:00"/>
    <s v="VZ-2022-000864-03"/>
    <x v="1"/>
    <s v="Ondráčková"/>
    <x v="450"/>
    <n v="3"/>
    <s v="EXEMASTAN"/>
    <m/>
    <s v="33642000-2"/>
    <m/>
    <n v="543381"/>
    <x v="0"/>
    <d v="2022-08-19T00:00:00"/>
    <d v="2022-10-27T00:00:00"/>
    <d v="2022-11-16T00:00:00"/>
    <s v="ViaPharma s.r.o."/>
    <m/>
    <n v="538305.63"/>
    <n v="592136.18999999994"/>
    <m/>
    <m/>
    <m/>
    <d v="2022-11-16T00:00:00"/>
    <s v="SMLN-2022-617-000807"/>
    <x v="4"/>
  </r>
  <r>
    <d v="2022-08-10T00:00:00"/>
    <s v="VZ-2022-000865-01"/>
    <x v="1"/>
    <s v="Ondráčková"/>
    <x v="451"/>
    <n v="1"/>
    <s v="Králičí imunoglobulin proti buňkám brzlíku I."/>
    <m/>
    <s v="33652300-8"/>
    <m/>
    <n v="215820"/>
    <x v="0"/>
    <d v="2022-08-23T00:00:00"/>
    <d v="2022-09-27T00:00:00"/>
    <d v="2022-11-29T00:00:00"/>
    <s v="PHARMOS, a.s., a.s."/>
    <m/>
    <n v="164700.29999999999"/>
    <n v="181170.33"/>
    <m/>
    <m/>
    <m/>
    <d v="2022-11-29T00:00:00"/>
    <s v="SMLN-2022-617-000829"/>
    <x v="182"/>
  </r>
  <r>
    <d v="2022-08-10T00:00:00"/>
    <s v="VZ-2022-000865-02"/>
    <x v="1"/>
    <s v="Ondráčková"/>
    <x v="451"/>
    <n v="2"/>
    <s v="Králičí imunoglobulin proti buňkám brzlíku II."/>
    <m/>
    <s v="33652300-8"/>
    <m/>
    <n v="3516711"/>
    <x v="0"/>
    <d v="2022-08-23T00:00:00"/>
    <d v="2022-09-27T00:00:00"/>
    <d v="2022-11-29T00:00:00"/>
    <s v="PROMEDICA PRAHA GROUP, a.s."/>
    <m/>
    <n v="3438567"/>
    <n v="3782423.7"/>
    <m/>
    <m/>
    <m/>
    <d v="2022-11-29T00:00:00"/>
    <s v="SMLN-2022-617-000830"/>
    <x v="182"/>
  </r>
  <r>
    <d v="2022-08-10T00:00:00"/>
    <s v="VZ-2022-000869"/>
    <x v="0"/>
    <s v="Dočkalová"/>
    <x v="452"/>
    <m/>
    <m/>
    <m/>
    <s v="33140000-3 "/>
    <m/>
    <n v="738337"/>
    <x v="2"/>
    <d v="2022-08-15T00:00:00"/>
    <d v="2022-08-24T00:00:00"/>
    <d v="2022-09-06T00:00:00"/>
    <s v="IMEDEX s.r.o."/>
    <m/>
    <n v="843094"/>
    <n v="1020143.74"/>
    <m/>
    <m/>
    <m/>
    <d v="2022-09-06T00:00:00"/>
    <s v="SMLN-2022-617-000614"/>
    <x v="175"/>
  </r>
  <r>
    <d v="2022-08-08T00:00:00"/>
    <s v="VZ-2022-000871"/>
    <x v="0"/>
    <s v="Dočkalová"/>
    <x v="453"/>
    <m/>
    <m/>
    <m/>
    <s v="33140000-3"/>
    <m/>
    <n v="40000000"/>
    <x v="0"/>
    <d v="2022-08-22T00:00:00"/>
    <d v="2022-09-26T00:00:00"/>
    <d v="2022-10-17T00:00:00"/>
    <s v="PROMEDICA PRAHA GROUP, a.s."/>
    <m/>
    <n v="40000000"/>
    <n v="46000000"/>
    <m/>
    <m/>
    <m/>
    <d v="2022-10-17T00:00:00"/>
    <s v="SMLN-2022-617-000724_x000a_SMLN-2022-614-000086_x000a_SMLN-2022-616-000039"/>
    <x v="146"/>
  </r>
  <r>
    <d v="2022-08-02T00:00:00"/>
    <s v="VZ-2022-000872-01"/>
    <x v="0"/>
    <s v="Dočkalová"/>
    <x v="454"/>
    <n v="1"/>
    <s v="6.8. Řezací dilatační balónkové katétry vaskulární"/>
    <m/>
    <s v="33140000-3"/>
    <m/>
    <n v="122510"/>
    <x v="0"/>
    <d v="2022-08-23T00:00:00"/>
    <d v="2022-10-27T00:00:00"/>
    <d v="2022-11-30T00:00:00"/>
    <s v="Boston Scientific Česká republika s.r.o."/>
    <m/>
    <n v="122520"/>
    <n v="148249.20000000001"/>
    <m/>
    <m/>
    <m/>
    <d v="2022-11-30T00:00:00"/>
    <s v="SMLN-2022-617-000831_x000a_SMLN-2022-614-000094"/>
    <x v="4"/>
  </r>
  <r>
    <d v="2022-08-02T00:00:00"/>
    <s v="VZ-2022-000872-02"/>
    <x v="0"/>
    <s v="Dočkalová"/>
    <x v="454"/>
    <n v="2"/>
    <s v="6.9. Dilatační balónkové katétry vaskulární po mikrovodících drátech Monorial a OTW"/>
    <m/>
    <s v="33140000-3"/>
    <m/>
    <n v="399726"/>
    <x v="0"/>
    <d v="2022-08-23T00:00:00"/>
    <d v="2022-10-27T00:00:00"/>
    <d v="2022-11-30T00:00:00"/>
    <s v="Boston Scientific Česká republika s.r.o."/>
    <m/>
    <n v="386654.02"/>
    <n v="467851.7"/>
    <m/>
    <m/>
    <m/>
    <d v="2022-11-30T00:00:00"/>
    <s v="SMLN-2022-617-000832_x000a_SMLN-2022-614-000095"/>
    <x v="4"/>
  </r>
  <r>
    <d v="2022-08-11T00:00:00"/>
    <s v="VZ-2022-000875"/>
    <x v="4"/>
    <s v="Olejníček"/>
    <x v="455"/>
    <m/>
    <m/>
    <m/>
    <s v="33162000-3"/>
    <s v="2.3.526"/>
    <n v="12960034"/>
    <x v="0"/>
    <d v="2022-08-18T00:00:00"/>
    <d v="2022-09-20T00:00:00"/>
    <d v="2022-10-07T00:00:00"/>
    <s v="Medtronic Czechia s.r.o."/>
    <m/>
    <n v="13710208.84"/>
    <n v="16589352.67"/>
    <m/>
    <m/>
    <m/>
    <d v="2022-10-07T00:00:00"/>
    <s v="SMLN-2022-617-000689_x000a_SMLN-2022-612-000200_x000a_SMLN-2022-617-000690"/>
    <x v="144"/>
  </r>
  <r>
    <d v="2022-08-11T00:00:00"/>
    <s v="VZ-2022-000876"/>
    <x v="4"/>
    <s v="Olejníček"/>
    <x v="456"/>
    <m/>
    <m/>
    <m/>
    <s v="72260000-5"/>
    <s v="2.3.678"/>
    <n v="192855"/>
    <x v="2"/>
    <d v="2022-08-16T00:00:00"/>
    <d v="2022-08-25T00:00:00"/>
    <d v="2022-09-07T00:00:00"/>
    <s v="Medtronic Czechia s.r.o."/>
    <m/>
    <n v="192855"/>
    <n v="233354.55"/>
    <m/>
    <m/>
    <m/>
    <d v="2022-09-07T00:00:00"/>
    <s v="SMLN-2022-617-000618"/>
    <x v="162"/>
  </r>
  <r>
    <d v="2022-08-12T00:00:00"/>
    <s v="VZ-2022-000877"/>
    <x v="1"/>
    <s v="Ondráčková"/>
    <x v="457"/>
    <m/>
    <m/>
    <m/>
    <s v="33621100-0"/>
    <m/>
    <n v="12735446"/>
    <x v="0"/>
    <d v="2022-10-21T00:00:00"/>
    <d v="2022-11-25T00:00:00"/>
    <d v="2022-12-08T00:00:00"/>
    <s v="Alliance Healthcare s.r.o."/>
    <m/>
    <n v="12504244.039999999"/>
    <n v="13754668.439999999"/>
    <m/>
    <m/>
    <m/>
    <d v="2022-12-08T00:00:00"/>
    <s v="SMLN-2022-617-000855"/>
    <x v="4"/>
  </r>
  <r>
    <s v="opakovaná VZ"/>
    <s v="VZ-2022-000882"/>
    <x v="4"/>
    <s v="Olejníček"/>
    <x v="458"/>
    <m/>
    <m/>
    <m/>
    <s v="33152000-0"/>
    <s v="2.3.615,616"/>
    <n v="214876"/>
    <x v="0"/>
    <d v="2022-08-18T00:00:00"/>
    <d v="2022-09-23T00:00:00"/>
    <d v="2022-11-03T00:00:00"/>
    <s v="BMT Medical Technology s.r.o."/>
    <m/>
    <n v="190121.5"/>
    <n v="230047.02"/>
    <m/>
    <m/>
    <m/>
    <d v="2022-11-03T00:00:00"/>
    <s v="SMLN-2022-617-000775_x000a_SMLN-2022-612-000209"/>
    <x v="133"/>
  </r>
  <r>
    <s v="opakovaná VZ"/>
    <s v="VZ-2022-000885"/>
    <x v="5"/>
    <s v="Srovnal"/>
    <x v="459"/>
    <m/>
    <m/>
    <m/>
    <s v="45432000-4"/>
    <m/>
    <n v="7500000"/>
    <x v="1"/>
    <d v="2022-08-19T00:00:00"/>
    <d v="2022-09-06T00:00:00"/>
    <d v="2022-09-23T00:00:00"/>
    <s v="BRADA Interiéry s.r.o."/>
    <m/>
    <n v="6476240"/>
    <n v="7836250.4000000004"/>
    <m/>
    <m/>
    <m/>
    <d v="2022-09-23T00:00:00"/>
    <s v="SMLN-2022-618-000057"/>
    <x v="145"/>
  </r>
  <r>
    <d v="2022-08-16T00:00:00"/>
    <s v="VZ-2022-000886"/>
    <x v="0"/>
    <s v="Dočkalová"/>
    <x v="460"/>
    <m/>
    <m/>
    <m/>
    <s v="33168000-5"/>
    <m/>
    <n v="600000"/>
    <x v="2"/>
    <d v="2022-08-19T00:00:00"/>
    <d v="2022-08-30T00:00:00"/>
    <m/>
    <s v="zrušeno - bez nabídky"/>
    <s v="nová VZ-2022-001051"/>
    <m/>
    <m/>
    <m/>
    <m/>
    <m/>
    <m/>
    <m/>
    <x v="4"/>
  </r>
  <r>
    <s v="opakovaná VZ"/>
    <s v="VZ-2022-000898"/>
    <x v="4"/>
    <s v="Olejníček"/>
    <x v="461"/>
    <m/>
    <m/>
    <m/>
    <s v="31524110-9"/>
    <s v="2.3.568."/>
    <n v="1320000"/>
    <x v="0"/>
    <d v="2022-08-26T00:00:00"/>
    <d v="2022-09-27T00:00:00"/>
    <d v="2022-11-11T00:00:00"/>
    <s v="RADIX CZ s.r.o."/>
    <m/>
    <n v="1560948"/>
    <n v="1888746.92"/>
    <m/>
    <m/>
    <m/>
    <d v="2022-11-11T00:00:00"/>
    <s v="SMLN-2022-617-000796_x000a_SMLN-2022-612-000214"/>
    <x v="4"/>
  </r>
  <r>
    <d v="2022-08-12T00:00:00"/>
    <s v="VZ-2022-000899"/>
    <x v="4"/>
    <s v="Olejníček"/>
    <x v="462"/>
    <m/>
    <m/>
    <m/>
    <s v="38000000-5"/>
    <s v="2.2.483."/>
    <n v="641000"/>
    <x v="0"/>
    <d v="2022-08-22T00:00:00"/>
    <d v="2022-09-23T00:00:00"/>
    <d v="2022-10-25T00:00:00"/>
    <s v="Schoeller Instruments, s.r.o."/>
    <m/>
    <n v="399700"/>
    <n v="483637"/>
    <m/>
    <m/>
    <m/>
    <d v="2022-10-25T00:00:00"/>
    <s v="SMLN-2022-617-000757_x000a_SMLN-2022-612-000207"/>
    <x v="147"/>
  </r>
  <r>
    <d v="2022-07-28T00:00:00"/>
    <s v="VZ-2022-000905"/>
    <x v="5"/>
    <s v="Srovnal"/>
    <x v="463"/>
    <m/>
    <m/>
    <m/>
    <s v="42416100-6"/>
    <s v="4.2.173-174."/>
    <n v="2500000"/>
    <x v="1"/>
    <d v="2022-08-30T00:00:00"/>
    <d v="2022-09-16T00:00:00"/>
    <d v="2022-10-07T00:00:00"/>
    <s v="LIFTMONT CZ s.r.o."/>
    <m/>
    <n v="2690000"/>
    <n v="3254900"/>
    <m/>
    <m/>
    <m/>
    <d v="2022-10-07T00:00:00"/>
    <s v="SMLN-2022-618-000063"/>
    <x v="147"/>
  </r>
  <r>
    <d v="2022-08-22T00:00:00"/>
    <s v="VZ-2022-000907"/>
    <x v="4"/>
    <s v="Olejníček"/>
    <x v="464"/>
    <m/>
    <m/>
    <m/>
    <s v="33162100-4"/>
    <s v="2.2.493."/>
    <n v="136000"/>
    <x v="2"/>
    <d v="2022-08-25T00:00:00"/>
    <d v="2022-09-06T00:00:00"/>
    <d v="2022-09-26T00:00:00"/>
    <s v="DAHLHAUSEN CZ , spol. s r.o."/>
    <m/>
    <n v="119200"/>
    <n v="144232"/>
    <m/>
    <m/>
    <m/>
    <d v="2022-09-26T00:00:00"/>
    <s v="SMLN-2022-617-000664_x000a_SMLN-2022-612-000194"/>
    <x v="66"/>
  </r>
  <r>
    <d v="2022-08-17T00:00:00"/>
    <s v="VZ-2022-000908"/>
    <x v="4"/>
    <s v="Olejníček"/>
    <x v="465"/>
    <m/>
    <m/>
    <m/>
    <s v="33122000-1"/>
    <s v="2.3.598."/>
    <n v="3285000"/>
    <x v="0"/>
    <d v="2022-08-26T00:00:00"/>
    <d v="2022-09-27T00:00:00"/>
    <d v="2022-10-19T00:00:00"/>
    <s v="Askin &amp; Co s.r.o."/>
    <m/>
    <n v="3275150"/>
    <n v="3962931.5"/>
    <m/>
    <m/>
    <m/>
    <d v="2022-10-19T00:00:00"/>
    <s v="SMLN-2022-617-000735_x000a_SMLN-2022-612-000206"/>
    <x v="183"/>
  </r>
  <r>
    <d v="2022-08-22T00:00:00"/>
    <s v="VZ-2022-000909-01"/>
    <x v="1"/>
    <s v="Ondráčková"/>
    <x v="466"/>
    <n v="1"/>
    <s v="KYSELINA GADOTEROVÁ"/>
    <m/>
    <s v="33696800-3"/>
    <m/>
    <n v="3301280"/>
    <x v="0"/>
    <d v="2022-11-29T00:00:00"/>
    <d v="2023-01-02T00:00:00"/>
    <m/>
    <m/>
    <m/>
    <m/>
    <m/>
    <m/>
    <m/>
    <m/>
    <m/>
    <m/>
    <x v="4"/>
  </r>
  <r>
    <d v="2022-08-22T00:00:00"/>
    <s v="VZ-2022-000909-02"/>
    <x v="1"/>
    <s v="Ondráčková"/>
    <x v="466"/>
    <n v="2"/>
    <s v="KYSELINA GADOBENOVÁ"/>
    <m/>
    <s v="33696800-3"/>
    <m/>
    <n v="385268"/>
    <x v="0"/>
    <d v="2022-11-29T00:00:00"/>
    <d v="2023-01-02T00:00:00"/>
    <m/>
    <m/>
    <m/>
    <m/>
    <m/>
    <m/>
    <m/>
    <m/>
    <m/>
    <m/>
    <x v="4"/>
  </r>
  <r>
    <d v="2022-08-22T00:00:00"/>
    <s v="VZ-2022-000909-03"/>
    <x v="1"/>
    <s v="Ondráčková"/>
    <x v="466"/>
    <n v="3"/>
    <s v=" GADOBUTROL"/>
    <m/>
    <s v="33696800-3"/>
    <m/>
    <n v="5882097"/>
    <x v="0"/>
    <d v="2022-11-29T00:00:00"/>
    <d v="2023-01-02T00:00:00"/>
    <m/>
    <m/>
    <m/>
    <m/>
    <m/>
    <m/>
    <m/>
    <m/>
    <m/>
    <m/>
    <x v="4"/>
  </r>
  <r>
    <d v="2022-08-23T00:00:00"/>
    <s v="VZ-2022-000911"/>
    <x v="15"/>
    <s v="Jeřábková"/>
    <x v="467"/>
    <m/>
    <m/>
    <m/>
    <s v="55110000-4"/>
    <m/>
    <n v="550000"/>
    <x v="2"/>
    <d v="2022-08-25T00:00:00"/>
    <d v="2022-09-02T00:00:00"/>
    <d v="2022-09-07T00:00:00"/>
    <s v="CPI Hotels, a.s."/>
    <m/>
    <n v="353971.08"/>
    <n v="404605"/>
    <m/>
    <m/>
    <m/>
    <d v="2022-09-07T00:00:00"/>
    <s v="SMLN-2022-612-000186"/>
    <x v="118"/>
  </r>
  <r>
    <d v="2022-08-22T00:00:00"/>
    <s v="VZ-2022-000912-01"/>
    <x v="4"/>
    <s v="Olejníček"/>
    <x v="468"/>
    <n v="1"/>
    <s v="Lůžka pro I. Chirurgickou kliniku"/>
    <m/>
    <s v="33192160-1"/>
    <s v="2.3.639."/>
    <n v="1624113"/>
    <x v="0"/>
    <d v="2022-09-07T00:00:00"/>
    <d v="2022-10-26T00:00:00"/>
    <d v="2022-11-18T00:00:00"/>
    <s v="L I N E T spol. s r.o."/>
    <m/>
    <n v="1630860"/>
    <n v="1877982.6"/>
    <m/>
    <m/>
    <m/>
    <d v="2022-11-18T00:00:00"/>
    <s v="SMLN-2022-617-000814_x000a_SMLN-2022-612-000217"/>
    <x v="4"/>
  </r>
  <r>
    <d v="2022-08-22T00:00:00"/>
    <s v="VZ-2022-000912-02"/>
    <x v="4"/>
    <s v="Olejníček"/>
    <x v="468"/>
    <n v="2"/>
    <s v="Lehátka pro Kliniku chorob kožních a pohlavních"/>
    <m/>
    <s v="33192160-1"/>
    <s v="2.3.674."/>
    <n v="531000"/>
    <x v="0"/>
    <d v="2022-09-07T00:00:00"/>
    <d v="2022-10-26T00:00:00"/>
    <d v="2022-11-18T00:00:00"/>
    <s v="MADISSON, s.r.o."/>
    <m/>
    <n v="510450"/>
    <n v="617644.5"/>
    <m/>
    <m/>
    <m/>
    <d v="2022-11-18T00:00:00"/>
    <s v="SMLN-2022-617-000815_x000a_SMLN-2022-612-000218"/>
    <x v="130"/>
  </r>
  <r>
    <d v="2022-08-16T00:00:00"/>
    <s v="VZ-2022-000913-01"/>
    <x v="0"/>
    <s v="Valtová"/>
    <x v="469"/>
    <n v="1"/>
    <s v="Kleště bioptické jednorázové - čelisti hladké"/>
    <m/>
    <s v="33140000-3"/>
    <m/>
    <n v="31000"/>
    <x v="1"/>
    <d v="2022-08-30T00:00:00"/>
    <d v="2022-10-20T00:00:00"/>
    <d v="2022-11-30T00:00:00"/>
    <s v="OLYMPUS CZECH GROUP, s.r.o., člen koncernu"/>
    <m/>
    <n v="22351"/>
    <n v="27044.71"/>
    <m/>
    <m/>
    <m/>
    <d v="2022-11-30T00:00:00"/>
    <s v="SMLN-2022-617-000833_x000a_SMLN-2022-614-000096"/>
    <x v="4"/>
  </r>
  <r>
    <d v="2022-08-17T00:00:00"/>
    <s v="VZ-2022-000913-02"/>
    <x v="0"/>
    <s v="Valtová"/>
    <x v="469"/>
    <n v="2"/>
    <s v="Kleště bioptické jednorázové - čelisti hladké s bodcem"/>
    <m/>
    <s v="33140000-3"/>
    <m/>
    <n v="353400"/>
    <x v="1"/>
    <d v="2022-08-30T00:00:00"/>
    <d v="2022-10-20T00:00:00"/>
    <d v="2022-11-30T00:00:00"/>
    <s v="OLYMPUS CZECH GROUP, s.r.o., člen koncernu"/>
    <m/>
    <n v="254801.4"/>
    <n v="308309.69"/>
    <m/>
    <m/>
    <m/>
    <d v="2022-11-30T00:00:00"/>
    <s v="SMLN-2022-617-000834_x000a_SMLN-2022-614-000097"/>
    <x v="4"/>
  </r>
  <r>
    <d v="2022-08-18T00:00:00"/>
    <s v="VZ-2022-000913-03"/>
    <x v="0"/>
    <s v="Valtová"/>
    <x v="469"/>
    <n v="3"/>
    <s v="Kleště bioptické jednorázové - čelisti typ Aligátor"/>
    <m/>
    <s v="33140000-3"/>
    <m/>
    <n v="350840"/>
    <x v="1"/>
    <d v="2022-08-30T00:00:00"/>
    <d v="2022-10-20T00:00:00"/>
    <d v="2022-11-30T00:00:00"/>
    <s v="OLYMPUS CZECH GROUP, s.r.o., člen koncernu"/>
    <m/>
    <n v="219039.8"/>
    <n v="265038.15999999997"/>
    <m/>
    <m/>
    <m/>
    <d v="2022-11-30T00:00:00"/>
    <s v="SMLN-2022-617-000835_x000a_SMLN-2022-614-000098"/>
    <x v="4"/>
  </r>
  <r>
    <d v="2022-08-19T00:00:00"/>
    <s v="VZ-2022-000913-04"/>
    <x v="0"/>
    <s v="Valtová"/>
    <x v="469"/>
    <n v="4"/>
    <s v="Kleště bioptické jednorázové - čelisti typ Aligátor s bodcem"/>
    <m/>
    <s v="33140000-3"/>
    <m/>
    <n v="1224360"/>
    <x v="1"/>
    <d v="2022-08-30T00:00:00"/>
    <d v="2022-10-20T00:00:00"/>
    <d v="2022-11-30T00:00:00"/>
    <s v="OLYMPUS CZECH GROUP, s.r.o., člen koncernu"/>
    <m/>
    <n v="764404.2"/>
    <n v="924929.08"/>
    <m/>
    <m/>
    <m/>
    <d v="2022-11-30T00:00:00"/>
    <s v="SMLN-2022-617-000836_x000a_SMLN-2022-614-000099"/>
    <x v="4"/>
  </r>
  <r>
    <d v="2022-08-24T00:00:00"/>
    <s v="VZ-2022-000916"/>
    <x v="4"/>
    <s v="Olejníček"/>
    <x v="470"/>
    <m/>
    <m/>
    <m/>
    <s v="33191000-5"/>
    <m/>
    <n v="125000"/>
    <x v="0"/>
    <d v="2022-09-02T00:00:00"/>
    <d v="2022-10-04T00:00:00"/>
    <d v="2022-10-26T00:00:00"/>
    <s v="OLYMPUS CZECH GROUP, s.r.o., člen koncernu"/>
    <m/>
    <n v="118440"/>
    <n v="143312.4"/>
    <m/>
    <m/>
    <m/>
    <d v="2022-10-26T00:00:00"/>
    <s v="SMLN-2022-617-000759_x000a_SMLN-2022-612-000208"/>
    <x v="134"/>
  </r>
  <r>
    <d v="2022-08-25T00:00:00"/>
    <s v="VZ-2022-000917"/>
    <x v="0"/>
    <s v="Dočkalová"/>
    <x v="471"/>
    <m/>
    <m/>
    <m/>
    <s v="33140000-3"/>
    <m/>
    <n v="4053010"/>
    <x v="0"/>
    <d v="2022-09-06T00:00:00"/>
    <d v="2022-10-10T00:00:00"/>
    <d v="2022-11-09T00:00:00"/>
    <s v="TRIOS, spol. s r.o."/>
    <m/>
    <n v="4679692"/>
    <n v="5662427.3200000003"/>
    <m/>
    <m/>
    <m/>
    <d v="2022-11-09T00:00:00"/>
    <s v="SMLN-2022-617-000793"/>
    <x v="184"/>
  </r>
  <r>
    <d v="2022-08-24T00:00:00"/>
    <s v="VZ-2022-000919"/>
    <x v="4"/>
    <s v="Novák"/>
    <x v="472"/>
    <m/>
    <m/>
    <m/>
    <s v="33192300-5"/>
    <m/>
    <n v="545000"/>
    <x v="2"/>
    <d v="2022-08-30T00:00:00"/>
    <d v="2022-09-07T00:00:00"/>
    <d v="2022-09-14T00:00:00"/>
    <s v="Pro-Charitu s.r.o."/>
    <m/>
    <n v="514847"/>
    <n v="622964.87"/>
    <m/>
    <m/>
    <m/>
    <d v="2022-09-16T00:00:00"/>
    <s v="SMLN-2022-617-000643"/>
    <x v="125"/>
  </r>
  <r>
    <d v="2022-08-23T00:00:00"/>
    <s v="VZ-2022-000921"/>
    <x v="17"/>
    <s v="Mikolajová"/>
    <x v="473"/>
    <m/>
    <m/>
    <m/>
    <s v="48451000-4"/>
    <m/>
    <n v="1260480"/>
    <x v="1"/>
    <d v="2022-08-31T00:00:00"/>
    <d v="2022-09-16T00:00:00"/>
    <d v="2022-10-06T00:00:00"/>
    <s v="IVAR ID Poděbrady, s.r.o."/>
    <m/>
    <n v="1221680"/>
    <n v="1478232.8"/>
    <m/>
    <m/>
    <m/>
    <d v="2022-10-06T00:00:00"/>
    <s v="SMLN-2022-612-000199"/>
    <x v="145"/>
  </r>
  <r>
    <d v="2022-08-26T00:00:00"/>
    <s v="VZ-2022-000922-01"/>
    <x v="0"/>
    <s v="Dočkalová"/>
    <x v="474"/>
    <n v="1"/>
    <s v="Kontejnery sterilizační"/>
    <m/>
    <s v="33169400-6"/>
    <m/>
    <n v="1044300"/>
    <x v="2"/>
    <d v="2022-08-31T00:00:00"/>
    <d v="2022-09-08T00:00:00"/>
    <d v="2022-09-16T00:00:00"/>
    <s v="B. Braun Medical s.r.o."/>
    <m/>
    <n v="951303"/>
    <n v="1151076.6299999999"/>
    <m/>
    <m/>
    <m/>
    <d v="2022-09-16T00:00:00"/>
    <s v="SMLN-2022-617-000625"/>
    <x v="175"/>
  </r>
  <r>
    <d v="2022-08-26T00:00:00"/>
    <s v="VZ-2022-000922-02"/>
    <x v="0"/>
    <s v="Dočkalová"/>
    <x v="474"/>
    <n v="2"/>
    <s v="Kontejnery dekontaminační"/>
    <m/>
    <s v="33169400-6"/>
    <m/>
    <n v="452510"/>
    <x v="2"/>
    <d v="2022-08-31T00:00:00"/>
    <d v="2022-09-08T00:00:00"/>
    <d v="2022-09-16T00:00:00"/>
    <s v="B. Braun Medical s.r.o."/>
    <m/>
    <n v="433985"/>
    <n v="525121.85"/>
    <m/>
    <m/>
    <m/>
    <d v="2022-09-16T00:00:00"/>
    <s v="SMLN-2022-617-000626"/>
    <x v="175"/>
  </r>
  <r>
    <d v="2022-08-26T00:00:00"/>
    <s v="VZ-2022-000922-03"/>
    <x v="0"/>
    <s v="Dočkalová"/>
    <x v="474"/>
    <n v="3"/>
    <s v="Příslušenství ke kontejnerům sterilizačním a dekontaminačním"/>
    <m/>
    <s v="33141124-5"/>
    <m/>
    <n v="10160"/>
    <x v="2"/>
    <d v="2022-08-31T00:00:00"/>
    <d v="2022-09-08T00:00:00"/>
    <d v="2022-09-16T00:00:00"/>
    <s v="B. Braun Medical s.r.o."/>
    <m/>
    <n v="22202"/>
    <n v="26864.42"/>
    <m/>
    <m/>
    <m/>
    <d v="2022-09-16T00:00:00"/>
    <s v="SMLN-2022-617-000627"/>
    <x v="175"/>
  </r>
  <r>
    <d v="2022-08-26T00:00:00"/>
    <s v="VZ-2022-000925"/>
    <x v="4"/>
    <s v="Olejníček"/>
    <x v="475"/>
    <m/>
    <m/>
    <m/>
    <s v="33182100-0"/>
    <s v="2.2.495."/>
    <n v="172000"/>
    <x v="2"/>
    <d v="2022-08-30T00:00:00"/>
    <d v="2022-09-06T00:00:00"/>
    <d v="2022-09-26T00:00:00"/>
    <s v="Medsol s.r.o."/>
    <m/>
    <n v="112800"/>
    <n v="136488"/>
    <m/>
    <m/>
    <m/>
    <d v="2022-09-26T00:00:00"/>
    <s v="SMLN-2022-617-000665_x000a_SMLN-2022-612-000195"/>
    <x v="162"/>
  </r>
  <r>
    <s v="opakovaná VZ"/>
    <s v="VZ-2022-000930-01"/>
    <x v="0"/>
    <s v="Dočkalová"/>
    <x v="476"/>
    <n v="1"/>
    <s v="Oxygenátory pro kombinované srdeční operace"/>
    <m/>
    <s v="33140000-3"/>
    <m/>
    <n v="13001652"/>
    <x v="0"/>
    <d v="2022-09-02T00:00:00"/>
    <d v="2022-10-05T00:00:00"/>
    <d v="2022-11-16T00:00:00"/>
    <s v="CARDION s.r.o."/>
    <m/>
    <n v="14801652.890000001"/>
    <n v="17910000"/>
    <m/>
    <m/>
    <m/>
    <d v="2022-11-16T00:00:00"/>
    <s v="SMLN-2022-617-000808_x000a_SMLN-2022-614-000090"/>
    <x v="4"/>
  </r>
  <r>
    <s v="opakovaná VZ"/>
    <s v="VZ-2022-000930-02"/>
    <x v="0"/>
    <s v="Dočkalová"/>
    <x v="476"/>
    <n v="2"/>
    <s v="Oxygenátory pro jednoduché srdeční operace"/>
    <m/>
    <s v="33140000-3"/>
    <m/>
    <n v="10488000"/>
    <x v="0"/>
    <d v="2022-09-02T00:00:00"/>
    <d v="2022-10-05T00:00:00"/>
    <d v="2022-11-16T00:00:00"/>
    <s v="ALINEX-Kácovská, s.r.o."/>
    <m/>
    <n v="10230000"/>
    <n v="12378300"/>
    <m/>
    <m/>
    <m/>
    <d v="2022-11-16T00:00:00"/>
    <s v="SMLN-2022-617-000811_x000a_SMLN-2022-614-000091"/>
    <x v="182"/>
  </r>
  <r>
    <s v="opakovaná VZ"/>
    <s v="VZ-2022-000930-03"/>
    <x v="0"/>
    <s v="Dočkalová"/>
    <x v="476"/>
    <n v="3"/>
    <s v="Hadicové sety pro vedení mimotělního oběhu"/>
    <m/>
    <s v="33140000-3"/>
    <m/>
    <n v="400000"/>
    <x v="0"/>
    <d v="2022-09-02T00:00:00"/>
    <d v="2022-10-05T00:00:00"/>
    <d v="2022-11-16T00:00:00"/>
    <s v="ALINEX-Kácovská, s.r.o."/>
    <m/>
    <n v="290000"/>
    <n v="350900"/>
    <m/>
    <m/>
    <m/>
    <d v="2022-11-16T00:00:00"/>
    <s v="SMLN-2022-617-000812_x000a_SMLN-2022-614-000092"/>
    <x v="182"/>
  </r>
  <r>
    <d v="2022-08-29T00:00:00"/>
    <s v="VZ-2022-000932"/>
    <x v="16"/>
    <s v="Klimek"/>
    <x v="477"/>
    <m/>
    <m/>
    <m/>
    <s v="50114000-7"/>
    <m/>
    <n v="2000000"/>
    <x v="1"/>
    <d v="2022-10-07T00:00:00"/>
    <d v="2022-11-07T00:00:00"/>
    <d v="2022-11-14T00:00:00"/>
    <s v="KAR-mobil s.r.o."/>
    <m/>
    <n v="2000000"/>
    <s v="jednotkové ceny"/>
    <m/>
    <m/>
    <m/>
    <d v="2022-11-14T00:00:00"/>
    <s v="SMLN-2022-612-000215"/>
    <x v="176"/>
  </r>
  <r>
    <d v="2022-11-28T00:00:00"/>
    <s v="VZ-2022-000933"/>
    <x v="13"/>
    <s v="Křivková"/>
    <x v="478"/>
    <m/>
    <m/>
    <m/>
    <s v="79212300-6 "/>
    <m/>
    <n v="1200000"/>
    <x v="2"/>
    <d v="2022-11-29T00:00:00"/>
    <d v="2022-12-06T00:00:00"/>
    <d v="2022-12-07T00:00:00"/>
    <s v="FIZA, a.s."/>
    <m/>
    <n v="1140000"/>
    <n v="1379400"/>
    <m/>
    <m/>
    <m/>
    <d v="2022-12-08T00:00:00"/>
    <s v="SMLN-2022-612-000226"/>
    <x v="4"/>
  </r>
  <r>
    <d v="2022-08-30T00:00:00"/>
    <s v="VZ-2022-000936-01"/>
    <x v="1"/>
    <s v="Ondráčková"/>
    <x v="479"/>
    <n v="1"/>
    <s v="EPOETIN ALFA I."/>
    <m/>
    <s v="33652200-7 "/>
    <m/>
    <n v="12820156"/>
    <x v="0"/>
    <d v="2022-09-09T00:00:00"/>
    <d v="2022-10-31T00:00:00"/>
    <d v="2022-12-07T00:00:00"/>
    <s v="PROMEDICA PRAHA GROUP, a.s."/>
    <m/>
    <n v="12816020"/>
    <n v="14097622"/>
    <m/>
    <m/>
    <m/>
    <d v="2022-12-07T00:00:00"/>
    <s v="SMLN-2022-617-000847"/>
    <x v="4"/>
  </r>
  <r>
    <d v="2022-08-30T00:00:00"/>
    <s v="VZ-2022-000936-02"/>
    <x v="1"/>
    <s v="Ondráčková"/>
    <x v="479"/>
    <n v="2"/>
    <s v="EPOETIN ALFA IV."/>
    <m/>
    <s v="33652200-7 "/>
    <m/>
    <n v="5656061"/>
    <x v="0"/>
    <d v="2022-09-09T00:00:00"/>
    <d v="2022-10-31T00:00:00"/>
    <d v="2022-12-07T00:00:00"/>
    <s v="PROMEDICA PRAHA GROUP, a.s."/>
    <m/>
    <n v="5656060.7999999998"/>
    <n v="6221666.8799999999"/>
    <m/>
    <m/>
    <m/>
    <m/>
    <s v="účastní se pouze FN BRNO"/>
    <x v="4"/>
  </r>
  <r>
    <d v="2022-08-30T00:00:00"/>
    <s v="VZ-2022-000936-03"/>
    <x v="1"/>
    <s v="Ondráčková"/>
    <x v="479"/>
    <n v="3"/>
    <s v="DARBEPOETIN ALFA"/>
    <m/>
    <s v="33652200-7 "/>
    <m/>
    <n v="4342169"/>
    <x v="0"/>
    <d v="2022-09-09T00:00:00"/>
    <d v="2022-10-31T00:00:00"/>
    <d v="2022-12-07T00:00:00"/>
    <s v="Amgen s.r.o."/>
    <m/>
    <n v="4343279.3600000003"/>
    <n v="4777607.3"/>
    <m/>
    <m/>
    <m/>
    <d v="2022-12-07T00:00:00"/>
    <s v="SMLN-2022-617-000848"/>
    <x v="4"/>
  </r>
  <r>
    <d v="2022-08-30T00:00:00"/>
    <s v="VZ-2022-000936-04"/>
    <x v="1"/>
    <s v="Ondráčková"/>
    <x v="479"/>
    <n v="4"/>
    <s v="PEGEPOETIN BETA"/>
    <m/>
    <s v="33652200-7 "/>
    <m/>
    <n v="2883280"/>
    <x v="0"/>
    <d v="2022-09-09T00:00:00"/>
    <d v="2022-10-31T00:00:00"/>
    <d v="2022-12-07T00:00:00"/>
    <s v="PROMEDICA PRAHA GROUP, a.s."/>
    <m/>
    <n v="2883276.4"/>
    <n v="3171604.04"/>
    <m/>
    <m/>
    <m/>
    <d v="2022-12-07T00:00:00"/>
    <s v="SMLN-2022-617-000849"/>
    <x v="4"/>
  </r>
  <r>
    <d v="2022-08-30T00:00:00"/>
    <s v="VZ-2022-000937"/>
    <x v="1"/>
    <s v="Ondráčková"/>
    <x v="480"/>
    <m/>
    <m/>
    <m/>
    <s v="24965000-6"/>
    <m/>
    <n v="89144987"/>
    <x v="0"/>
    <d v="2022-09-05T00:00:00"/>
    <d v="2022-10-10T00:00:00"/>
    <d v="2022-10-24T00:00:00"/>
    <s v="PHOENIX lék.velkoobchod, s.r.o."/>
    <m/>
    <n v="89144986.560000002"/>
    <n v="98059485.219999999"/>
    <m/>
    <m/>
    <m/>
    <d v="2022-10-24T00:00:00"/>
    <s v="SMLN-2022-617-000756"/>
    <x v="134"/>
  </r>
  <r>
    <d v="2022-08-30T00:00:00"/>
    <s v="VZ-2022-000938-01"/>
    <x v="1"/>
    <s v="Ondráčková"/>
    <x v="481"/>
    <n v="1"/>
    <s v="Hypertonické a isotonické roztoky pro peritoneální dialýzu kompatibilní s příslušenstvím CAPD a Hemochoice Claria"/>
    <m/>
    <s v="33692800-5"/>
    <m/>
    <n v="6224854"/>
    <x v="0"/>
    <d v="2022-10-20T00:00:00"/>
    <d v="2022-12-09T00:00:00"/>
    <m/>
    <s v="zrušeno - jedinný účastník odstoupil od nabídky"/>
    <m/>
    <m/>
    <m/>
    <m/>
    <m/>
    <m/>
    <m/>
    <m/>
    <x v="4"/>
  </r>
  <r>
    <d v="2022-08-30T00:00:00"/>
    <s v="VZ-2022-000938-02"/>
    <x v="1"/>
    <s v="Ondráčková"/>
    <x v="481"/>
    <n v="2"/>
    <s v="Hypertonické roztoky pro peritoneální dialýzu kompatibilní s příslušenstvím Stay Safe a Sleep Safe"/>
    <m/>
    <s v="33692800-5"/>
    <m/>
    <n v="5764044"/>
    <x v="0"/>
    <d v="2022-10-20T00:00:00"/>
    <d v="2022-12-09T00:00:00"/>
    <m/>
    <m/>
    <m/>
    <m/>
    <m/>
    <m/>
    <m/>
    <m/>
    <m/>
    <m/>
    <x v="4"/>
  </r>
  <r>
    <d v="2022-08-25T00:00:00"/>
    <s v="VZ-2022-000942"/>
    <x v="0"/>
    <s v="Dočkalová"/>
    <x v="482"/>
    <m/>
    <m/>
    <m/>
    <s v="33182220-7"/>
    <m/>
    <n v="1890600"/>
    <x v="2"/>
    <d v="2022-09-02T00:00:00"/>
    <d v="2022-09-13T00:00:00"/>
    <d v="2022-09-15T00:00:00"/>
    <s v="Edwards Lifesciences Czech Republic s.r.o."/>
    <m/>
    <n v="1695000"/>
    <n v="1949250"/>
    <m/>
    <m/>
    <m/>
    <d v="2022-09-15T00:00:00"/>
    <s v="SMLN-2022-617-000649_x000a_SMLN-2022-614-000076"/>
    <x v="116"/>
  </r>
  <r>
    <s v="opakovaná VZ"/>
    <s v="VZ-2022-000943"/>
    <x v="0"/>
    <s v="Dočkalová"/>
    <x v="483"/>
    <m/>
    <m/>
    <m/>
    <s v="33140000-3"/>
    <m/>
    <n v="1557945"/>
    <x v="1"/>
    <d v="2022-09-05T00:00:00"/>
    <d v="2022-09-29T00:00:00"/>
    <d v="2022-11-16T00:00:00"/>
    <s v="S.A.B. Impex s.r.o."/>
    <m/>
    <n v="3493012"/>
    <n v="4226544.5199999996"/>
    <m/>
    <m/>
    <m/>
    <d v="2022-11-16T00:00:00"/>
    <s v="SMLN-2022-617-000805"/>
    <x v="182"/>
  </r>
  <r>
    <d v="2022-08-26T00:00:00"/>
    <s v="VZ-2022-000946-01"/>
    <x v="1"/>
    <s v="Ondráčková"/>
    <x v="484"/>
    <n v="1"/>
    <s v="INSULINUM GLARGINUM 100U"/>
    <m/>
    <s v="33615100-5"/>
    <m/>
    <n v="7102618"/>
    <x v="0"/>
    <d v="2022-12-06T00:00:00"/>
    <d v="2023-01-25T00:00:00"/>
    <m/>
    <m/>
    <m/>
    <m/>
    <m/>
    <m/>
    <m/>
    <m/>
    <m/>
    <m/>
    <x v="4"/>
  </r>
  <r>
    <d v="2022-08-26T00:00:00"/>
    <s v="VZ-2022-000946-02"/>
    <x v="1"/>
    <s v="Ondráčková"/>
    <x v="484"/>
    <n v="2"/>
    <s v="INSULINUM GLARGINUM 300U"/>
    <m/>
    <s v="33615100-5"/>
    <m/>
    <n v="5723312"/>
    <x v="0"/>
    <d v="2022-12-06T00:00:00"/>
    <d v="2023-01-25T00:00:00"/>
    <m/>
    <m/>
    <m/>
    <m/>
    <m/>
    <m/>
    <m/>
    <m/>
    <m/>
    <m/>
    <x v="4"/>
  </r>
  <r>
    <d v="2022-08-30T00:00:00"/>
    <s v="VZ-2022-000949"/>
    <x v="0"/>
    <s v="Dočkalová"/>
    <x v="485"/>
    <m/>
    <m/>
    <m/>
    <s v="33140000-3"/>
    <m/>
    <n v="537600"/>
    <x v="2"/>
    <d v="2022-09-05T00:00:00"/>
    <d v="2022-09-13T00:00:00"/>
    <d v="2022-09-26T00:00:00"/>
    <s v="PROMEDICA PRAHA GROUP, a.s."/>
    <m/>
    <n v="389760"/>
    <n v="471609.59999999998"/>
    <m/>
    <m/>
    <m/>
    <d v="2022-09-26T00:00:00"/>
    <s v="SMLN-2022-617-000666"/>
    <x v="99"/>
  </r>
  <r>
    <d v="2022-08-30T00:00:00"/>
    <s v="VZ-2022-000952"/>
    <x v="8"/>
    <s v="Kadlec"/>
    <x v="486"/>
    <m/>
    <m/>
    <m/>
    <s v="45261910-6"/>
    <m/>
    <n v="1000000"/>
    <x v="2"/>
    <d v="2022-09-05T00:00:00"/>
    <d v="2022-09-15T00:00:00"/>
    <d v="2022-09-29T00:00:00"/>
    <s v="W.H.A. system, spol. s r. o."/>
    <m/>
    <n v="990000"/>
    <n v="1197900"/>
    <m/>
    <m/>
    <m/>
    <d v="2022-09-29T00:00:00"/>
    <s v="SMLN-2022-618-000060"/>
    <x v="115"/>
  </r>
  <r>
    <d v="2022-08-30T00:00:00"/>
    <s v="VZ-2022-000953"/>
    <x v="8"/>
    <s v="Kadlec"/>
    <x v="487"/>
    <m/>
    <m/>
    <m/>
    <s v="45453000-7"/>
    <m/>
    <n v="350000"/>
    <x v="2"/>
    <d v="2022-09-05T00:00:00"/>
    <d v="2022-09-14T00:00:00"/>
    <d v="2022-09-26T00:00:00"/>
    <s v="LV Stavby Venclík s.r.o."/>
    <m/>
    <n v="262556.69"/>
    <n v="317693.59000000003"/>
    <m/>
    <m/>
    <m/>
    <d v="2022-09-26T00:00:00"/>
    <s v="SMLN-2022-618-000058"/>
    <x v="181"/>
  </r>
  <r>
    <d v="2022-08-31T00:00:00"/>
    <s v="VZ-2022-000955"/>
    <x v="0"/>
    <s v="Dočkalová"/>
    <x v="488"/>
    <m/>
    <m/>
    <m/>
    <s v="33140000-3"/>
    <m/>
    <n v="1384000"/>
    <x v="2"/>
    <d v="2022-09-06T00:00:00"/>
    <d v="2022-09-13T00:00:00"/>
    <d v="2022-09-26T00:00:00"/>
    <s v="Alcon Phramaceuticals (czech Republic) s.r.o."/>
    <m/>
    <n v="1453200"/>
    <n v="1758372"/>
    <m/>
    <m/>
    <m/>
    <d v="2022-09-26T00:00:00"/>
    <s v="SMLN-2022-617-000667"/>
    <x v="99"/>
  </r>
  <r>
    <d v="2022-08-31T00:00:00"/>
    <s v="VZ-2022-000957"/>
    <x v="0"/>
    <s v="Dočkalová"/>
    <x v="489"/>
    <m/>
    <m/>
    <m/>
    <s v="33168000-5"/>
    <m/>
    <n v="1350000"/>
    <x v="2"/>
    <d v="2022-09-07T00:00:00"/>
    <d v="2022-09-23T00:00:00"/>
    <d v="2022-11-03T00:00:00"/>
    <s v="BILLMED GROUP s.r.o."/>
    <m/>
    <n v="1440000"/>
    <n v="1742400"/>
    <m/>
    <m/>
    <m/>
    <d v="2022-11-03T00:00:00"/>
    <s v="SMLN-2022-617-000773_x000a_SMLN-2022-616-000042"/>
    <x v="164"/>
  </r>
  <r>
    <s v="z roku 2021"/>
    <s v="VZ-2022-000958-01"/>
    <x v="1"/>
    <s v="Ondráčková"/>
    <x v="490"/>
    <n v="1"/>
    <s v="OCPLEX"/>
    <m/>
    <s v="33621000-9"/>
    <m/>
    <n v="16150450"/>
    <x v="0"/>
    <m/>
    <m/>
    <m/>
    <s v="nebude realizováno v roce 2022"/>
    <m/>
    <m/>
    <m/>
    <m/>
    <m/>
    <m/>
    <m/>
    <m/>
    <x v="4"/>
  </r>
  <r>
    <s v="z roku 2021"/>
    <s v="VZ-2022-000958-02"/>
    <x v="1"/>
    <s v="Ondráčková"/>
    <x v="490"/>
    <n v="2"/>
    <s v="ALPROLIX"/>
    <m/>
    <s v="33621000-9"/>
    <m/>
    <n v="10745827"/>
    <x v="0"/>
    <m/>
    <m/>
    <m/>
    <s v="nebude realizováno v roce 2022"/>
    <m/>
    <m/>
    <m/>
    <m/>
    <m/>
    <m/>
    <m/>
    <m/>
    <x v="4"/>
  </r>
  <r>
    <d v="2022-09-05T00:00:00"/>
    <s v="VZ-2022-000961-01"/>
    <x v="0"/>
    <s v="Valtová"/>
    <x v="491"/>
    <n v="1"/>
    <s v=" 2. Zavaděč - sety pro femorální přístup 5F a 6F (sheathy)"/>
    <m/>
    <s v="33140000-3"/>
    <m/>
    <n v="480000"/>
    <x v="0"/>
    <d v="2022-09-09T00:00:00"/>
    <d v="2022-11-23T00:00:00"/>
    <d v="2022-12-22T00:00:00"/>
    <s v="Innova Medical s.r.o."/>
    <m/>
    <n v="472500"/>
    <n v="571725"/>
    <m/>
    <m/>
    <m/>
    <d v="2022-12-22T00:00:00"/>
    <s v="SMLN-2022-617-000892_x000a_SMLN-2022-614-000102"/>
    <x v="4"/>
  </r>
  <r>
    <d v="2022-09-05T00:00:00"/>
    <s v="VZ-2022-000961-02"/>
    <x v="0"/>
    <s v="Valtová"/>
    <x v="491"/>
    <n v="2"/>
    <s v="5. Koronární (PTCA) vodiče - základní typ"/>
    <m/>
    <s v="33140000-3"/>
    <m/>
    <n v="4860000"/>
    <x v="0"/>
    <d v="2022-09-09T00:00:00"/>
    <d v="2022-11-23T00:00:00"/>
    <d v="2022-12-22T00:00:00"/>
    <s v="MEDITRADE spol. s r.o."/>
    <m/>
    <n v="4860000"/>
    <n v="5880600"/>
    <m/>
    <m/>
    <m/>
    <d v="2022-12-22T00:00:00"/>
    <s v="SMLN-2022-617-000893_x000a_SMLN-2022-614-000103"/>
    <x v="4"/>
  </r>
  <r>
    <d v="2022-09-05T00:00:00"/>
    <s v="VZ-2022-000961-03"/>
    <x v="0"/>
    <s v="Valtová"/>
    <x v="491"/>
    <n v="3"/>
    <s v="6. Koronární (PTCA) vodiče - vodiče se zvýšenou odolností měkkého distálního konce, vč. vodičů pro použití chronických uzávěrů (CTO)"/>
    <m/>
    <s v="33140000-3"/>
    <m/>
    <n v="867000"/>
    <x v="0"/>
    <d v="2022-09-09T00:00:00"/>
    <d v="2022-11-23T00:00:00"/>
    <d v="2022-12-22T00:00:00"/>
    <s v="INLAB Medical s.r.o."/>
    <m/>
    <n v="735000"/>
    <n v="889350"/>
    <m/>
    <m/>
    <m/>
    <d v="2022-12-22T00:00:00"/>
    <s v="SMLN-2022-617-000894_x000a_SMLN-2022-614-000104"/>
    <x v="4"/>
  </r>
  <r>
    <d v="2022-09-05T00:00:00"/>
    <s v="VZ-2022-000961-04"/>
    <x v="0"/>
    <s v="Valtová"/>
    <x v="491"/>
    <n v="4"/>
    <s v="8. Balónkové dilatační katetry koronární - střednětlaký (semicompliantní)"/>
    <m/>
    <s v="33140000-3"/>
    <m/>
    <n v="3555000"/>
    <x v="0"/>
    <d v="2022-09-09T00:00:00"/>
    <d v="2022-11-23T00:00:00"/>
    <m/>
    <s v="BS PRAGUE MEDICAL CS, spol. s r.o."/>
    <m/>
    <n v="3555000"/>
    <n v="4301550"/>
    <m/>
    <m/>
    <m/>
    <m/>
    <m/>
    <x v="4"/>
  </r>
  <r>
    <d v="2022-09-05T00:00:00"/>
    <s v="VZ-2022-000961-05"/>
    <x v="0"/>
    <s v="Valtová"/>
    <x v="491"/>
    <n v="5"/>
    <s v="9. Balónkové katetry koronární  - vysokotlaké/postdilatační (noncompliantní)"/>
    <m/>
    <s v="33140000-3"/>
    <m/>
    <n v="13825000"/>
    <x v="0"/>
    <d v="2022-09-09T00:00:00"/>
    <d v="2022-11-23T00:00:00"/>
    <d v="2022-12-22T00:00:00"/>
    <s v="BS PRAGUE MEDICAL CS, spol. s r.o."/>
    <m/>
    <n v="13825000"/>
    <n v="16728250"/>
    <m/>
    <m/>
    <m/>
    <d v="2022-12-22T00:00:00"/>
    <s v="SMLN-2022-617-000895_x000a_SMLN-2022-614-000105"/>
    <x v="4"/>
  </r>
  <r>
    <d v="2022-09-05T00:00:00"/>
    <s v="VZ-2022-000961-06"/>
    <x v="0"/>
    <s v="Valtová"/>
    <x v="491"/>
    <n v="6"/>
    <s v="10. Balónkové katetry koronární  - vysokotlaké nízkoprofilové"/>
    <m/>
    <s v="33140000-3"/>
    <m/>
    <n v="2646900"/>
    <x v="0"/>
    <d v="2022-09-09T00:00:00"/>
    <d v="2022-11-23T00:00:00"/>
    <d v="2022-12-22T00:00:00"/>
    <s v="JI-MEDICAL a.s."/>
    <m/>
    <n v="2646900"/>
    <n v="3202749"/>
    <m/>
    <m/>
    <m/>
    <d v="2022-12-22T00:00:00"/>
    <s v="SMLN-2022-617-000896_x000a_SMLN-2022-614-000106"/>
    <x v="4"/>
  </r>
  <r>
    <d v="2022-09-05T00:00:00"/>
    <s v="VZ-2022-000961-07"/>
    <x v="0"/>
    <s v="Valtová"/>
    <x v="491"/>
    <n v="7"/>
    <s v="11. Balónkové dilatační katetry lékové (DEB)  "/>
    <m/>
    <s v="33140000-3"/>
    <m/>
    <n v="2520000"/>
    <x v="0"/>
    <d v="2022-09-09T00:00:00"/>
    <d v="2022-11-23T00:00:00"/>
    <d v="2022-12-22T00:00:00"/>
    <s v="B. Braun Medical s.r.o."/>
    <m/>
    <n v="2250000"/>
    <n v="2722500"/>
    <m/>
    <m/>
    <m/>
    <d v="2022-12-22T00:00:00"/>
    <s v="SMLN-2022-617-000897_x000a_SMLN-2022-614-000107"/>
    <x v="4"/>
  </r>
  <r>
    <d v="2022-09-05T00:00:00"/>
    <s v="VZ-2022-000961-08"/>
    <x v="0"/>
    <s v="Valtová"/>
    <x v="491"/>
    <n v="8"/>
    <s v="12. Vodící katetry - 6F "/>
    <m/>
    <s v="33140000-3"/>
    <m/>
    <n v="4320000"/>
    <x v="0"/>
    <d v="2022-09-09T00:00:00"/>
    <d v="2022-11-23T00:00:00"/>
    <m/>
    <s v="zrušeno - úprava specifikace"/>
    <m/>
    <m/>
    <m/>
    <m/>
    <m/>
    <m/>
    <m/>
    <m/>
    <x v="4"/>
  </r>
  <r>
    <d v="2022-09-05T00:00:00"/>
    <s v="VZ-2022-000961-09"/>
    <x v="0"/>
    <s v="Valtová"/>
    <x v="491"/>
    <n v="9"/>
    <s v="13. Vodící katetry - 5F"/>
    <m/>
    <s v="33140000-3"/>
    <m/>
    <n v="540000"/>
    <x v="0"/>
    <d v="2022-09-09T00:00:00"/>
    <d v="2022-11-23T00:00:00"/>
    <m/>
    <s v="Innova Medical s.r.o."/>
    <m/>
    <n v="900000"/>
    <n v="1089000"/>
    <m/>
    <m/>
    <m/>
    <m/>
    <m/>
    <x v="4"/>
  </r>
  <r>
    <d v="2022-09-05T00:00:00"/>
    <s v="VZ-2022-000961-10"/>
    <x v="0"/>
    <s v="Valtová"/>
    <x v="491"/>
    <n v="10"/>
    <s v="Mikrokatétr koronární Supercross"/>
    <m/>
    <s v="33140000-3"/>
    <m/>
    <n v="1249587"/>
    <x v="0"/>
    <d v="2022-09-09T00:00:00"/>
    <d v="2022-11-23T00:00:00"/>
    <m/>
    <s v="zrušeno - bez nabídky"/>
    <m/>
    <m/>
    <m/>
    <m/>
    <m/>
    <m/>
    <m/>
    <m/>
    <x v="4"/>
  </r>
  <r>
    <d v="2022-09-05T00:00:00"/>
    <s v="VZ-2022-000961-11"/>
    <x v="0"/>
    <s v="Valtová"/>
    <x v="491"/>
    <n v="11"/>
    <s v="Koronární stenty metalické (Bare metal stents-BMS)"/>
    <m/>
    <s v="33140000-3"/>
    <m/>
    <n v="748000"/>
    <x v="0"/>
    <d v="2022-09-09T00:00:00"/>
    <d v="2022-11-23T00:00:00"/>
    <d v="2022-12-22T00:00:00"/>
    <s v="Stimcare, s.r.o."/>
    <m/>
    <n v="748000"/>
    <n v="905080"/>
    <m/>
    <m/>
    <m/>
    <d v="2022-12-22T00:00:00"/>
    <s v="SMLN-2022-617-000898_x000a_SMLN-2022-614-000108"/>
    <x v="4"/>
  </r>
  <r>
    <d v="2022-09-06T00:00:00"/>
    <s v="VZ-2022-000964"/>
    <x v="0"/>
    <s v="Dočkalová"/>
    <x v="492"/>
    <m/>
    <m/>
    <m/>
    <s v="33162200-5"/>
    <m/>
    <n v="1924060"/>
    <x v="0"/>
    <d v="2022-09-16T00:00:00"/>
    <d v="2022-10-24T00:00:00"/>
    <m/>
    <m/>
    <m/>
    <m/>
    <m/>
    <m/>
    <m/>
    <m/>
    <m/>
    <m/>
    <x v="4"/>
  </r>
  <r>
    <d v="2022-09-06T00:00:00"/>
    <s v="VZ-2022-000973"/>
    <x v="4"/>
    <s v="Olejníček"/>
    <x v="493"/>
    <m/>
    <m/>
    <m/>
    <s v="33192300-5"/>
    <m/>
    <n v="398800"/>
    <x v="2"/>
    <d v="2022-09-07T00:00:00"/>
    <d v="2022-09-16T00:00:00"/>
    <d v="2022-10-05T00:00:00"/>
    <s v="KLARO , spol. s r.o."/>
    <m/>
    <n v="190404"/>
    <n v="230388.84"/>
    <m/>
    <m/>
    <m/>
    <d v="2022-10-05T00:00:00"/>
    <s v="SMLN-2022-617-000680_x000a_SMLN-2022-612-000198"/>
    <x v="145"/>
  </r>
  <r>
    <d v="2022-09-08T00:00:00"/>
    <s v="VZ-2022-000987-01"/>
    <x v="1"/>
    <s v="Ondráčková"/>
    <x v="494"/>
    <n v="1"/>
    <s v="DEXAMETHASON I.V."/>
    <m/>
    <s v="33642200-4"/>
    <m/>
    <n v="685461"/>
    <x v="0"/>
    <d v="2022-09-26T00:00:00"/>
    <d v="2022-12-13T00:00:00"/>
    <m/>
    <m/>
    <m/>
    <m/>
    <m/>
    <m/>
    <m/>
    <m/>
    <m/>
    <m/>
    <x v="4"/>
  </r>
  <r>
    <d v="2022-09-08T00:00:00"/>
    <s v="VZ-2022-000987-02"/>
    <x v="1"/>
    <s v="Ondráčková"/>
    <x v="494"/>
    <n v="2"/>
    <s v="DEXAMETHASON "/>
    <m/>
    <s v="33642200-4"/>
    <m/>
    <n v="5397006"/>
    <x v="0"/>
    <d v="2022-09-26T00:00:00"/>
    <d v="2022-12-13T00:00:00"/>
    <m/>
    <m/>
    <m/>
    <m/>
    <m/>
    <m/>
    <m/>
    <m/>
    <m/>
    <m/>
    <x v="4"/>
  </r>
  <r>
    <d v="2022-09-08T00:00:00"/>
    <s v="VZ-2022-000987-03"/>
    <x v="1"/>
    <s v="Ondráčková"/>
    <x v="494"/>
    <n v="3"/>
    <s v="METHYLPREDNISOLON i.v."/>
    <m/>
    <s v="33642200-4"/>
    <m/>
    <n v="5676329"/>
    <x v="0"/>
    <d v="2022-09-26T00:00:00"/>
    <d v="2022-12-13T00:00:00"/>
    <m/>
    <s v="zrušeno - bez nabídky"/>
    <m/>
    <m/>
    <m/>
    <m/>
    <m/>
    <m/>
    <m/>
    <m/>
    <x v="4"/>
  </r>
  <r>
    <d v="2022-09-08T00:00:00"/>
    <s v="VZ-2022-000987-04"/>
    <x v="1"/>
    <s v="Ondráčková"/>
    <x v="494"/>
    <n v="4"/>
    <s v="PREDNISON"/>
    <m/>
    <s v="33642200-4"/>
    <m/>
    <n v="2452725"/>
    <x v="0"/>
    <d v="2022-09-26T00:00:00"/>
    <d v="2022-12-13T00:00:00"/>
    <m/>
    <m/>
    <m/>
    <m/>
    <m/>
    <m/>
    <m/>
    <m/>
    <m/>
    <m/>
    <x v="4"/>
  </r>
  <r>
    <d v="2022-09-08T00:00:00"/>
    <s v="VZ-2022-000987-05"/>
    <x v="1"/>
    <s v="Ondráčková"/>
    <x v="494"/>
    <n v="5"/>
    <s v="HYDROKORTISON"/>
    <m/>
    <s v="33642200-4"/>
    <m/>
    <n v="2713869"/>
    <x v="0"/>
    <d v="2022-09-26T00:00:00"/>
    <d v="2022-12-13T00:00:00"/>
    <m/>
    <m/>
    <m/>
    <m/>
    <m/>
    <m/>
    <m/>
    <m/>
    <m/>
    <m/>
    <x v="4"/>
  </r>
  <r>
    <d v="2022-09-08T00:00:00"/>
    <s v="VZ-2022-000988-01"/>
    <x v="1"/>
    <s v="Ondráčková"/>
    <x v="495"/>
    <n v="1"/>
    <s v="ARGIPRESIN-ACETÁT"/>
    <m/>
    <s v="33642000-2"/>
    <m/>
    <n v="1329395"/>
    <x v="0"/>
    <d v="2022-11-04T00:00:00"/>
    <d v="2022-12-09T00:00:00"/>
    <m/>
    <m/>
    <m/>
    <m/>
    <m/>
    <m/>
    <m/>
    <m/>
    <m/>
    <m/>
    <x v="4"/>
  </r>
  <r>
    <d v="2022-09-08T00:00:00"/>
    <s v="VZ-2022-000988-02"/>
    <x v="1"/>
    <s v="Ondráčková"/>
    <x v="495"/>
    <n v="2"/>
    <s v="DESMOPRESIN-ACETÁT"/>
    <m/>
    <s v="33642000-2"/>
    <m/>
    <n v="2363241"/>
    <x v="0"/>
    <d v="2022-11-04T00:00:00"/>
    <d v="2022-12-09T00:00:00"/>
    <m/>
    <m/>
    <m/>
    <m/>
    <m/>
    <m/>
    <m/>
    <m/>
    <m/>
    <m/>
    <x v="4"/>
  </r>
  <r>
    <d v="2022-09-08T00:00:00"/>
    <s v="VZ-2022-000988-03"/>
    <x v="1"/>
    <s v="Ondráčková"/>
    <x v="495"/>
    <n v="3"/>
    <s v="TERLIPRESIN-ACETÁT"/>
    <m/>
    <s v="33642000-2"/>
    <m/>
    <n v="941068"/>
    <x v="0"/>
    <d v="2022-11-04T00:00:00"/>
    <d v="2022-12-09T00:00:00"/>
    <m/>
    <m/>
    <m/>
    <m/>
    <m/>
    <m/>
    <m/>
    <m/>
    <m/>
    <m/>
    <x v="4"/>
  </r>
  <r>
    <d v="2022-09-08T00:00:00"/>
    <s v="VZ-2022-000989"/>
    <x v="1"/>
    <s v="Ondráčková"/>
    <x v="496"/>
    <m/>
    <m/>
    <m/>
    <s v="33661500-6"/>
    <m/>
    <n v="908775"/>
    <x v="2"/>
    <d v="2022-11-14T00:00:00"/>
    <d v="2022-11-23T00:00:00"/>
    <m/>
    <s v="zrušeno - oprava zadání"/>
    <s v="nová VZ-2022-001361"/>
    <m/>
    <m/>
    <m/>
    <m/>
    <m/>
    <m/>
    <m/>
    <x v="4"/>
  </r>
  <r>
    <d v="2022-09-12T00:00:00"/>
    <s v="VZ-2022-000995"/>
    <x v="4"/>
    <s v="Olejníček"/>
    <x v="387"/>
    <m/>
    <m/>
    <m/>
    <s v="39711100-0"/>
    <s v="2.3.679"/>
    <n v="350580"/>
    <x v="2"/>
    <d v="2022-09-15T00:00:00"/>
    <d v="2022-09-23T00:00:00"/>
    <d v="2022-10-10T00:00:00"/>
    <s v="Schoeller Instruments, s.r.o."/>
    <m/>
    <n v="343200"/>
    <n v="415272"/>
    <m/>
    <m/>
    <m/>
    <d v="2022-10-10T00:00:00"/>
    <s v="SMLN-2022-617-000691_x000a_SMLN-2022-612-000201"/>
    <x v="145"/>
  </r>
  <r>
    <d v="2022-09-12T00:00:00"/>
    <s v="VZ-2022-000997"/>
    <x v="8"/>
    <s v="Kadlec"/>
    <x v="497"/>
    <m/>
    <m/>
    <m/>
    <s v="45261900-3"/>
    <m/>
    <n v="2300000"/>
    <x v="2"/>
    <d v="2022-09-15T00:00:00"/>
    <d v="2022-10-05T00:00:00"/>
    <d v="2022-10-21T00:00:00"/>
    <s v="DACH-IZOL s.r.o."/>
    <m/>
    <n v="1809160.75"/>
    <n v="2189084.5099999998"/>
    <m/>
    <m/>
    <m/>
    <d v="2022-10-21T00:00:00"/>
    <s v="SMLN-2022-618-000065"/>
    <x v="179"/>
  </r>
  <r>
    <d v="2022-09-12T00:00:00"/>
    <s v="VZ-2022-000998"/>
    <x v="0"/>
    <s v="Dočkalová"/>
    <x v="498"/>
    <m/>
    <m/>
    <m/>
    <s v="33162200-5"/>
    <m/>
    <n v="547820"/>
    <x v="0"/>
    <d v="2022-09-27T00:00:00"/>
    <d v="2022-10-31T00:00:00"/>
    <m/>
    <m/>
    <m/>
    <m/>
    <m/>
    <m/>
    <m/>
    <m/>
    <m/>
    <m/>
    <x v="4"/>
  </r>
  <r>
    <d v="2022-09-09T00:00:00"/>
    <s v="VZ-2022-000999"/>
    <x v="0"/>
    <s v="Dočkalová"/>
    <x v="499"/>
    <m/>
    <m/>
    <m/>
    <s v="33152200-5"/>
    <m/>
    <n v="4743130"/>
    <x v="0"/>
    <d v="2022-09-27T00:00:00"/>
    <d v="2022-11-30T00:00:00"/>
    <m/>
    <m/>
    <m/>
    <m/>
    <m/>
    <m/>
    <m/>
    <m/>
    <m/>
    <m/>
    <x v="4"/>
  </r>
  <r>
    <d v="2022-09-13T00:00:00"/>
    <s v="VZ-2022-001000"/>
    <x v="4"/>
    <s v="Olejníček"/>
    <x v="500"/>
    <m/>
    <m/>
    <m/>
    <s v="33157400-9"/>
    <s v="2.2.497"/>
    <n v="642701"/>
    <x v="2"/>
    <d v="2022-09-15T00:00:00"/>
    <d v="2022-09-27T00:00:00"/>
    <d v="2022-10-14T00:00:00"/>
    <s v="DARTIN spol. s r.o."/>
    <m/>
    <n v="526197.75"/>
    <n v="636699.28"/>
    <m/>
    <m/>
    <m/>
    <d v="2022-10-14T00:00:00"/>
    <s v="SMLN-2022-617-000721_x000a_SMLN-2022-612-000205"/>
    <x v="145"/>
  </r>
  <r>
    <d v="2022-09-13T00:00:00"/>
    <s v="VZ-2022-001001"/>
    <x v="5"/>
    <s v="Srovnal"/>
    <x v="501"/>
    <m/>
    <m/>
    <m/>
    <s v="50342000-4"/>
    <m/>
    <n v="550000"/>
    <x v="2"/>
    <d v="2022-09-15T00:00:00"/>
    <d v="2022-09-27T00:00:00"/>
    <d v="2022-10-10T00:00:00"/>
    <s v="Lukáš Dopita"/>
    <m/>
    <n v="375446"/>
    <n v="454289.67"/>
    <m/>
    <m/>
    <m/>
    <d v="2022-10-10T00:00:00"/>
    <s v="SMLN-2022-618-000064"/>
    <x v="185"/>
  </r>
  <r>
    <d v="2022-09-13T00:00:00"/>
    <s v="VZ-2022-001013"/>
    <x v="4"/>
    <s v="Olejníček"/>
    <x v="502"/>
    <m/>
    <m/>
    <m/>
    <s v="33191000-5"/>
    <s v="2.3.623"/>
    <n v="238000"/>
    <x v="0"/>
    <d v="2022-09-22T00:00:00"/>
    <d v="2022-10-31T00:00:00"/>
    <d v="2022-11-29T00:00:00"/>
    <s v="MEDISTYL- PHARMA a.s."/>
    <m/>
    <n v="302820"/>
    <n v="366412.2"/>
    <m/>
    <m/>
    <m/>
    <d v="2022-11-29T00:00:00"/>
    <s v="SMLN-2022-617-000826_x000a_SMLN-2022-612-000221"/>
    <x v="186"/>
  </r>
  <r>
    <d v="2022-09-14T00:00:00"/>
    <s v="VZ-2022-001016"/>
    <x v="4"/>
    <s v="Olejníček"/>
    <x v="503"/>
    <m/>
    <m/>
    <m/>
    <s v="33111000-1"/>
    <s v="2.2.498"/>
    <n v="140000"/>
    <x v="2"/>
    <d v="2022-09-27T00:00:00"/>
    <d v="2022-10-07T00:00:00"/>
    <d v="2022-10-14T00:00:00"/>
    <s v="Stargen EU s.r.o."/>
    <m/>
    <n v="121800"/>
    <n v="147378"/>
    <m/>
    <m/>
    <m/>
    <d v="2022-10-14T00:00:00"/>
    <s v="SMLN-2022-617-000722"/>
    <x v="146"/>
  </r>
  <r>
    <d v="2022-09-16T00:00:00"/>
    <s v="VZ-2022-001020"/>
    <x v="0"/>
    <s v="Dočkalová"/>
    <x v="504"/>
    <m/>
    <m/>
    <m/>
    <s v="33140000-3"/>
    <m/>
    <n v="1354240"/>
    <x v="2"/>
    <d v="2022-09-26T00:00:00"/>
    <d v="2022-10-04T00:00:00"/>
    <d v="2022-10-05T00:00:00"/>
    <s v="Medline International CZ s.r.o."/>
    <m/>
    <n v="1620595"/>
    <n v="1960919.95"/>
    <m/>
    <m/>
    <m/>
    <d v="2022-10-05T00:00:00"/>
    <s v="SMLN-2022-617-000681"/>
    <x v="66"/>
  </r>
  <r>
    <d v="2022-09-14T00:00:00"/>
    <s v="VZ-2022-001022"/>
    <x v="0"/>
    <s v="Zdráhalová"/>
    <x v="505"/>
    <m/>
    <m/>
    <m/>
    <s v="33141620-2 "/>
    <m/>
    <n v="2751513"/>
    <x v="0"/>
    <d v="2022-09-30T00:00:00"/>
    <d v="2022-11-01T00:00:00"/>
    <m/>
    <s v="zrušeno - úprava specifikace"/>
    <m/>
    <m/>
    <m/>
    <m/>
    <m/>
    <m/>
    <m/>
    <m/>
    <x v="4"/>
  </r>
  <r>
    <d v="2022-09-19T00:00:00"/>
    <s v="VZ-2022-001024"/>
    <x v="2"/>
    <s v="Valíček"/>
    <x v="506"/>
    <m/>
    <m/>
    <m/>
    <s v="71000000-8"/>
    <m/>
    <n v="20000000"/>
    <x v="0"/>
    <d v="2022-10-06T00:00:00"/>
    <d v="2022-12-16T00:00:00"/>
    <d v="2022-12-27T00:00:00"/>
    <s v="DigiTry + Siebert+Talaš"/>
    <m/>
    <n v="12458000"/>
    <n v="15074180"/>
    <m/>
    <m/>
    <m/>
    <d v="2022-12-27T00:00:00"/>
    <s v="SMLN-2022-618-000080"/>
    <x v="4"/>
  </r>
  <r>
    <d v="2022-09-19T00:00:00"/>
    <s v="VZ-2022-001025-01"/>
    <x v="1"/>
    <s v="Ondráčková"/>
    <x v="507"/>
    <n v="1"/>
    <s v="TRIMEKAIN-HYDROCHLORID"/>
    <m/>
    <s v="33661100-2"/>
    <m/>
    <n v="2930679"/>
    <x v="0"/>
    <d v="2022-10-13T00:00:00"/>
    <d v="2022-11-15T00:00:00"/>
    <d v="2022-12-21T00:00:00"/>
    <s v="Alliance Healthcare s.r.o."/>
    <m/>
    <n v="2887622.4"/>
    <n v="3176384.64"/>
    <m/>
    <m/>
    <m/>
    <d v="2022-12-21T00:00:00"/>
    <s v="SMLN-2022-617-000882"/>
    <x v="4"/>
  </r>
  <r>
    <d v="2022-09-19T00:00:00"/>
    <s v="VZ-2022-001025-02"/>
    <x v="1"/>
    <s v="Ondráčková"/>
    <x v="507"/>
    <n v="2"/>
    <s v="TRIMEKAIN-HYDROCHLORID A KARBETHOPENDECINIUM-BROMID"/>
    <m/>
    <s v="33661100-2"/>
    <m/>
    <n v="1823158"/>
    <x v="0"/>
    <d v="2022-10-13T00:00:00"/>
    <d v="2022-11-15T00:00:00"/>
    <d v="2022-12-21T00:00:00"/>
    <s v="Alliance Healthcare s.r.o."/>
    <m/>
    <n v="1765370.64"/>
    <n v="1941907.7"/>
    <m/>
    <m/>
    <m/>
    <d v="2022-12-21T00:00:00"/>
    <s v="SMLN-2022-617-000883"/>
    <x v="4"/>
  </r>
  <r>
    <d v="2022-09-19T00:00:00"/>
    <s v="VZ-2022-001025-03"/>
    <x v="1"/>
    <s v="Ondráčková"/>
    <x v="507"/>
    <n v="3"/>
    <s v="BUPIVAKAIN  "/>
    <m/>
    <s v="33661100-2"/>
    <m/>
    <n v="2357197"/>
    <x v="0"/>
    <d v="2022-10-13T00:00:00"/>
    <d v="2022-11-15T00:00:00"/>
    <d v="2022-12-21T00:00:00"/>
    <s v="PHOENIX lék. velkoobchod, s.r.o."/>
    <m/>
    <n v="1698102.24"/>
    <n v="1867912.46"/>
    <m/>
    <m/>
    <m/>
    <d v="2022-12-21T00:00:00"/>
    <s v="SMLN-2022-617-000885"/>
    <x v="4"/>
  </r>
  <r>
    <d v="2022-09-19T00:00:00"/>
    <s v="VZ-2022-001025-04"/>
    <x v="1"/>
    <s v="Ondráčková"/>
    <x v="507"/>
    <n v="4"/>
    <s v="LIDOKAIN "/>
    <m/>
    <s v="33661100-2"/>
    <m/>
    <n v="494433"/>
    <x v="0"/>
    <d v="2022-10-13T00:00:00"/>
    <d v="2022-11-15T00:00:00"/>
    <d v="2022-12-21T00:00:00"/>
    <s v="PHOENIX lék. velkoobchod, s.r.o."/>
    <m/>
    <n v="491961.28"/>
    <n v="541157.41"/>
    <m/>
    <m/>
    <m/>
    <d v="2022-12-21T00:00:00"/>
    <s v="SMLN-2022-617-000886"/>
    <x v="4"/>
  </r>
  <r>
    <d v="2022-09-19T00:00:00"/>
    <s v="VZ-2022-001025-05"/>
    <x v="1"/>
    <s v="Ondráčková"/>
    <x v="507"/>
    <n v="5"/>
    <s v="LEVOBUPIVAKAIN "/>
    <m/>
    <s v="33661100-2"/>
    <m/>
    <n v="1462800"/>
    <x v="0"/>
    <d v="2022-10-13T00:00:00"/>
    <d v="2022-11-15T00:00:00"/>
    <m/>
    <s v="zrušeno - bez nabídky"/>
    <m/>
    <m/>
    <m/>
    <m/>
    <m/>
    <m/>
    <m/>
    <m/>
    <x v="4"/>
  </r>
  <r>
    <d v="2022-09-19T00:00:00"/>
    <s v="VZ-2022-001025-06"/>
    <x v="1"/>
    <s v="Ondráčková"/>
    <x v="507"/>
    <n v="6"/>
    <s v="LIDOKAIN/PRILOKAIN"/>
    <m/>
    <s v="33661100-2"/>
    <m/>
    <n v="141314"/>
    <x v="0"/>
    <d v="2022-10-13T00:00:00"/>
    <d v="2022-11-15T00:00:00"/>
    <d v="2022-12-21T00:00:00"/>
    <s v="PHOENIX lék. velkoobchod, s.r.o."/>
    <m/>
    <n v="122897.36"/>
    <n v="135187.1"/>
    <m/>
    <m/>
    <m/>
    <d v="2022-12-21T00:00:00"/>
    <s v="SMLN-2022-617-000887"/>
    <x v="4"/>
  </r>
  <r>
    <d v="2022-09-19T00:00:00"/>
    <s v="VZ-2022-001025-07"/>
    <x v="1"/>
    <s v="Ondráčková"/>
    <x v="507"/>
    <n v="7"/>
    <s v="EPINEFRIN/ARTIKAIN"/>
    <m/>
    <s v="33661100-2"/>
    <m/>
    <n v="3848541"/>
    <x v="0"/>
    <d v="2022-10-13T00:00:00"/>
    <d v="2022-11-15T00:00:00"/>
    <m/>
    <s v="zrušeno - bez nabídky"/>
    <m/>
    <m/>
    <m/>
    <m/>
    <m/>
    <m/>
    <m/>
    <m/>
    <x v="4"/>
  </r>
  <r>
    <d v="2022-09-19T00:00:00"/>
    <s v="VZ-2022-001026"/>
    <x v="1"/>
    <s v="Ondráčková"/>
    <x v="508"/>
    <m/>
    <m/>
    <m/>
    <s v="33610000-9"/>
    <m/>
    <n v="9072548"/>
    <x v="0"/>
    <d v="2022-10-20T00:00:00"/>
    <d v="2023-01-12T00:00:00"/>
    <m/>
    <m/>
    <m/>
    <m/>
    <m/>
    <m/>
    <m/>
    <m/>
    <m/>
    <m/>
    <x v="4"/>
  </r>
  <r>
    <d v="2022-09-19T00:00:00"/>
    <s v="VZ-2022-001034"/>
    <x v="4"/>
    <s v="Olejníček"/>
    <x v="509"/>
    <m/>
    <m/>
    <m/>
    <s v="33195100-4"/>
    <m/>
    <n v="912648"/>
    <x v="2"/>
    <d v="2022-09-26T00:00:00"/>
    <d v="2022-10-03T00:00:00"/>
    <d v="2022-10-06T00:00:00"/>
    <s v="mySASY a.s."/>
    <m/>
    <n v="276697.5"/>
    <n v="334803.98"/>
    <m/>
    <m/>
    <m/>
    <d v="2022-10-06T00:00:00"/>
    <s v="SMLN-2022-617-000687"/>
    <x v="150"/>
  </r>
  <r>
    <d v="2022-09-26T00:00:00"/>
    <s v="VZ-2022-001049"/>
    <x v="0"/>
    <s v="Dočkalová"/>
    <x v="510"/>
    <m/>
    <m/>
    <m/>
    <s v="33162200-5"/>
    <m/>
    <n v="600000"/>
    <x v="0"/>
    <d v="2022-10-04T00:00:00"/>
    <d v="2023-01-05T00:00:00"/>
    <m/>
    <m/>
    <m/>
    <m/>
    <m/>
    <m/>
    <m/>
    <m/>
    <m/>
    <m/>
    <x v="4"/>
  </r>
  <r>
    <s v="opakovaná VZ"/>
    <s v="VZ-2022-001051"/>
    <x v="0"/>
    <s v="Dočkalová"/>
    <x v="511"/>
    <m/>
    <m/>
    <m/>
    <s v="33168000-5"/>
    <m/>
    <n v="600000"/>
    <x v="2"/>
    <d v="2022-09-29T00:00:00"/>
    <d v="2022-10-11T00:00:00"/>
    <d v="2022-11-23T00:00:00"/>
    <s v="INLAB s.r.o."/>
    <m/>
    <n v="792000"/>
    <n v="958320"/>
    <m/>
    <m/>
    <m/>
    <d v="2022-11-23T00:00:00"/>
    <s v="SMLN-2022-617-000822_x000a_SMLN-2022-616-000045"/>
    <x v="92"/>
  </r>
  <r>
    <d v="2022-09-26T00:00:00"/>
    <s v="VZ-2022-001053-01"/>
    <x v="4"/>
    <s v="Olejníček"/>
    <x v="512"/>
    <n v="1"/>
    <s v="Úpravna vody pro OKB"/>
    <m/>
    <s v="42912330-4"/>
    <s v="4.2.191, 2.3.613."/>
    <n v="845255"/>
    <x v="2"/>
    <d v="2022-10-05T00:00:00"/>
    <d v="2022-10-13T00:00:00"/>
    <d v="2022-11-04T00:00:00"/>
    <s v="AQUAL s.r.o."/>
    <m/>
    <n v="503584"/>
    <n v="609336.64"/>
    <m/>
    <m/>
    <m/>
    <d v="2022-11-04T00:00:00"/>
    <s v="SMLN-2022-617-000781_x000a_SMLN-2022-612-000212"/>
    <x v="187"/>
  </r>
  <r>
    <d v="2022-09-26T00:00:00"/>
    <s v="VZ-2022-001053-02"/>
    <x v="4"/>
    <s v="Olejníček"/>
    <x v="512"/>
    <n v="2"/>
    <s v="Úpravna vody pro SOUD"/>
    <m/>
    <s v="42912330-4"/>
    <s v="2.2.500."/>
    <n v="310000"/>
    <x v="2"/>
    <d v="2022-10-05T00:00:00"/>
    <d v="2022-10-13T00:00:00"/>
    <d v="2022-11-04T00:00:00"/>
    <s v="AQUAL s.r.o."/>
    <m/>
    <n v="225129"/>
    <n v="272406.09000000003"/>
    <m/>
    <m/>
    <m/>
    <d v="2022-11-04T00:00:00"/>
    <s v="SMLN-2022-617-000782_x000a_SMLN-2022-612-000213"/>
    <x v="187"/>
  </r>
  <r>
    <d v="2022-09-27T00:00:00"/>
    <s v="VZ-2022-001055"/>
    <x v="0"/>
    <s v="Dočkalová"/>
    <x v="513"/>
    <m/>
    <m/>
    <m/>
    <s v="33162200-5"/>
    <m/>
    <n v="558500"/>
    <x v="0"/>
    <d v="2022-10-04T00:00:00"/>
    <d v="2022-11-07T00:00:00"/>
    <m/>
    <m/>
    <m/>
    <m/>
    <m/>
    <m/>
    <m/>
    <m/>
    <m/>
    <m/>
    <x v="4"/>
  </r>
  <r>
    <d v="2022-10-05T00:00:00"/>
    <s v="VZ-2022-001060"/>
    <x v="22"/>
    <s v="Novák"/>
    <x v="514"/>
    <m/>
    <m/>
    <m/>
    <s v="33192120-9"/>
    <m/>
    <n v="305000"/>
    <x v="0"/>
    <d v="2022-10-11T00:00:00"/>
    <d v="2022-11-21T00:00:00"/>
    <d v="2022-12-06T00:00:00"/>
    <s v="PROMA REHA, s.r.o."/>
    <m/>
    <n v="232336.88"/>
    <n v="270117.81"/>
    <m/>
    <m/>
    <m/>
    <d v="2022-12-06T00:00:00"/>
    <s v="SMLN-2022-617-000841_x000a_SMLN-2022-612-000224"/>
    <x v="186"/>
  </r>
  <r>
    <d v="2022-09-30T00:00:00"/>
    <s v="VZ-2022-001061"/>
    <x v="9"/>
    <s v="Oravec"/>
    <x v="515"/>
    <m/>
    <m/>
    <m/>
    <s v="30214000-2"/>
    <m/>
    <n v="500000"/>
    <x v="2"/>
    <d v="2022-10-06T00:00:00"/>
    <d v="2022-10-18T00:00:00"/>
    <d v="2022-10-21T00:00:00"/>
    <s v="AUTOCONT a.s."/>
    <m/>
    <n v="546000"/>
    <n v="660660"/>
    <m/>
    <m/>
    <m/>
    <d v="2022-10-21T00:00:00"/>
    <s v="SMLN-2022-617-000746"/>
    <x v="188"/>
  </r>
  <r>
    <d v="2022-09-30T00:00:00"/>
    <s v="VZ-2022-001063"/>
    <x v="5"/>
    <s v="Srovnal"/>
    <x v="516"/>
    <m/>
    <m/>
    <m/>
    <s v="39314000-6"/>
    <s v="4.2.190."/>
    <n v="420000"/>
    <x v="2"/>
    <d v="2022-10-18T00:00:00"/>
    <d v="2022-10-27T00:00:00"/>
    <d v="2022-11-07T00:00:00"/>
    <s v="Jiří Ruček SET-ES"/>
    <m/>
    <n v="315973"/>
    <n v="382327.4"/>
    <m/>
    <m/>
    <m/>
    <d v="2022-11-07T00:00:00"/>
    <s v="SMLN-2022-617-000784"/>
    <x v="171"/>
  </r>
  <r>
    <d v="2022-09-30T00:00:00"/>
    <s v="VZ-2022-001064"/>
    <x v="1"/>
    <s v="Ondráčková"/>
    <x v="517"/>
    <m/>
    <m/>
    <m/>
    <s v="09343000-5"/>
    <m/>
    <n v="4407468"/>
    <x v="0"/>
    <d v="2022-12-15T00:00:00"/>
    <d v="2023-01-19T00:00:00"/>
    <m/>
    <m/>
    <m/>
    <m/>
    <m/>
    <m/>
    <m/>
    <m/>
    <m/>
    <m/>
    <x v="4"/>
  </r>
  <r>
    <d v="2022-09-30T00:00:00"/>
    <s v="VZ-2022-001065"/>
    <x v="9"/>
    <s v="Miklík"/>
    <x v="518"/>
    <m/>
    <m/>
    <m/>
    <s v="48730000-4"/>
    <s v="3.2.61."/>
    <n v="5800000"/>
    <x v="0"/>
    <d v="2022-10-07T00:00:00"/>
    <d v="2022-11-09T00:00:00"/>
    <d v="2022-11-22T00:00:00"/>
    <s v="AUTOCONT a.s."/>
    <m/>
    <n v="5795100"/>
    <n v="7012071"/>
    <m/>
    <m/>
    <m/>
    <d v="2022-11-22T00:00:00"/>
    <s v="SMLN-2022-617-000820"/>
    <x v="161"/>
  </r>
  <r>
    <s v="30.9.20022"/>
    <s v="VZ-2022-001071"/>
    <x v="5"/>
    <s v="Srovnal"/>
    <x v="519"/>
    <m/>
    <m/>
    <m/>
    <s v="42531000-7"/>
    <s v="4.2.189."/>
    <n v="1150000"/>
    <x v="2"/>
    <d v="2022-10-05T00:00:00"/>
    <d v="2022-10-14T00:00:00"/>
    <d v="2022-11-02T00:00:00"/>
    <s v="JKKLIMA Technologie s.r.o."/>
    <m/>
    <n v="934136.23"/>
    <n v="1130304.8400000001"/>
    <m/>
    <m/>
    <m/>
    <d v="2022-11-02T00:00:00"/>
    <s v="SMLN-2022-618-000068"/>
    <x v="171"/>
  </r>
  <r>
    <s v="opakovaná VZ"/>
    <s v="VZ-2022-001073"/>
    <x v="1"/>
    <s v="Ondráčková"/>
    <x v="520"/>
    <m/>
    <m/>
    <m/>
    <s v="33652300-8"/>
    <m/>
    <n v="345461"/>
    <x v="0"/>
    <d v="2022-10-13T00:00:00"/>
    <d v="2022-11-15T00:00:00"/>
    <m/>
    <m/>
    <m/>
    <m/>
    <m/>
    <m/>
    <m/>
    <m/>
    <m/>
    <m/>
    <x v="4"/>
  </r>
  <r>
    <d v="2022-10-03T00:00:00"/>
    <s v="VZ-2022-001081"/>
    <x v="9"/>
    <s v="Oravec"/>
    <x v="521"/>
    <m/>
    <m/>
    <m/>
    <s v="32552110-1"/>
    <m/>
    <n v="588000"/>
    <x v="2"/>
    <d v="2022-10-07T00:00:00"/>
    <d v="2022-10-18T00:00:00"/>
    <d v="2022-10-25T00:00:00"/>
    <s v="ERISERV, spol. s r.o."/>
    <m/>
    <n v="580000"/>
    <n v="701800"/>
    <m/>
    <m/>
    <m/>
    <d v="2022-10-25T00:00:00"/>
    <s v="SMLN-2022-617-000758"/>
    <x v="147"/>
  </r>
  <r>
    <d v="2022-10-05T00:00:00"/>
    <s v="VZ-2022-001097"/>
    <x v="7"/>
    <s v="Svozil"/>
    <x v="522"/>
    <m/>
    <m/>
    <m/>
    <s v="45453100-8"/>
    <m/>
    <n v="5100000"/>
    <x v="2"/>
    <d v="2022-10-12T00:00:00"/>
    <d v="2022-10-25T00:00:00"/>
    <d v="2022-10-25T00:00:00"/>
    <s v="VHT Vodohospodářské technologie s.r.o."/>
    <m/>
    <n v="5837620"/>
    <n v="7063520.2000000002"/>
    <m/>
    <m/>
    <m/>
    <d v="2022-10-25T00:00:00"/>
    <s v="SMLN-2022-618-000067"/>
    <x v="144"/>
  </r>
  <r>
    <d v="2022-10-06T00:00:00"/>
    <s v="VZ-2022-001102"/>
    <x v="1"/>
    <s v="Ondráčková"/>
    <x v="523"/>
    <m/>
    <m/>
    <m/>
    <s v="33652000-5"/>
    <m/>
    <n v="7827081"/>
    <x v="0"/>
    <d v="2022-10-21T00:00:00"/>
    <d v="2022-11-28T00:00:00"/>
    <d v="2022-12-16T00:00:00"/>
    <s v="PHOENIX lék.velkoobchod, s.r.o."/>
    <m/>
    <n v="7827080.6699999999"/>
    <n v="8609788.7400000002"/>
    <m/>
    <m/>
    <m/>
    <d v="2022-12-16T00:00:00"/>
    <s v="SMLN-2022-617-000869"/>
    <x v="4"/>
  </r>
  <r>
    <d v="2022-10-06T00:00:00"/>
    <s v="VZ-2022-001103"/>
    <x v="1"/>
    <s v="Ondráčková"/>
    <x v="524"/>
    <m/>
    <m/>
    <m/>
    <s v="33652000-5"/>
    <m/>
    <n v="96996000"/>
    <x v="0"/>
    <d v="2022-11-01T00:00:00"/>
    <d v="2022-12-19T00:00:00"/>
    <m/>
    <m/>
    <m/>
    <m/>
    <m/>
    <m/>
    <m/>
    <m/>
    <m/>
    <m/>
    <x v="4"/>
  </r>
  <r>
    <d v="2022-10-06T00:00:00"/>
    <s v="VZ-2022-001104-01"/>
    <x v="1"/>
    <s v="Ondráčková"/>
    <x v="525"/>
    <n v="1"/>
    <s v="TAMSULOSIN"/>
    <m/>
    <s v="33641000-5"/>
    <m/>
    <n v="527402"/>
    <x v="1"/>
    <m/>
    <m/>
    <m/>
    <m/>
    <m/>
    <m/>
    <m/>
    <m/>
    <m/>
    <m/>
    <m/>
    <m/>
    <x v="4"/>
  </r>
  <r>
    <d v="2022-10-06T00:00:00"/>
    <s v="VZ-2022-001104-02"/>
    <x v="1"/>
    <s v="Ondráčková"/>
    <x v="525"/>
    <n v="2"/>
    <s v="TAMSULOSIN A DUTASTERID"/>
    <m/>
    <s v="33641000-5"/>
    <m/>
    <n v="1081093"/>
    <x v="1"/>
    <m/>
    <m/>
    <m/>
    <m/>
    <m/>
    <m/>
    <m/>
    <m/>
    <m/>
    <m/>
    <m/>
    <m/>
    <x v="4"/>
  </r>
  <r>
    <d v="2022-10-06T00:00:00"/>
    <s v="VZ-2022-001104-03"/>
    <x v="1"/>
    <s v="Ondráčková"/>
    <x v="525"/>
    <n v="3"/>
    <s v="TAMSULOSIN A SOLIFENACIN"/>
    <m/>
    <s v="33641000-5"/>
    <m/>
    <n v="990009"/>
    <x v="1"/>
    <m/>
    <m/>
    <m/>
    <m/>
    <m/>
    <m/>
    <m/>
    <m/>
    <m/>
    <m/>
    <m/>
    <m/>
    <x v="4"/>
  </r>
  <r>
    <d v="2022-10-06T00:00:00"/>
    <s v="VZ-2022-001111"/>
    <x v="19"/>
    <s v="Olejníček"/>
    <x v="526"/>
    <m/>
    <m/>
    <m/>
    <s v="90910000-9"/>
    <m/>
    <n v="564800000"/>
    <x v="0"/>
    <d v="2022-11-23T00:00:00"/>
    <d v="2023-01-13T00:00:00"/>
    <m/>
    <m/>
    <m/>
    <m/>
    <m/>
    <m/>
    <m/>
    <m/>
    <m/>
    <m/>
    <x v="4"/>
  </r>
  <r>
    <d v="2022-10-07T00:00:00"/>
    <s v="VZ-2022-001113"/>
    <x v="4"/>
    <s v="Olejníček"/>
    <x v="527"/>
    <m/>
    <m/>
    <m/>
    <s v="30232100-5"/>
    <s v="2.2.502."/>
    <n v="125730"/>
    <x v="2"/>
    <d v="2022-10-12T00:00:00"/>
    <d v="2022-10-21T00:00:00"/>
    <d v="2022-11-03T00:00:00"/>
    <s v="JPS s.r.o."/>
    <m/>
    <n v="125700"/>
    <n v="152097"/>
    <m/>
    <m/>
    <m/>
    <d v="2022-11-03T00:00:00"/>
    <s v="SMLN-2022-617-000777"/>
    <x v="134"/>
  </r>
  <r>
    <s v="opakovaná VZ"/>
    <s v="VZ-2022-001121"/>
    <x v="3"/>
    <s v="Olejníček"/>
    <x v="528"/>
    <m/>
    <m/>
    <m/>
    <s v="33186000-7"/>
    <s v="2.2.400."/>
    <n v="6061532"/>
    <x v="0"/>
    <d v="2022-11-01T00:00:00"/>
    <d v="2022-12-05T00:00:00"/>
    <d v="2022-12-22T00:00:00"/>
    <s v="Reg- Pharm, s.r.o."/>
    <m/>
    <n v="6316732"/>
    <n v="7642035.7199999997"/>
    <m/>
    <m/>
    <m/>
    <d v="2022-12-22T00:00:00"/>
    <s v="SMLN-2022-617-000889_x000a_SMLN-2022-612-000235_x000a_SMLN-2022-617-000890"/>
    <x v="4"/>
  </r>
  <r>
    <d v="2022-10-11T00:00:00"/>
    <s v="VZ-2022-001123-01"/>
    <x v="0"/>
    <s v="Valtová"/>
    <x v="529"/>
    <n v="1"/>
    <s v="Set hadicový"/>
    <m/>
    <s v="33140000-3"/>
    <m/>
    <n v="1275260"/>
    <x v="0"/>
    <d v="2022-11-08T00:00:00"/>
    <d v="2022-12-12T00:00:00"/>
    <m/>
    <m/>
    <m/>
    <m/>
    <m/>
    <m/>
    <m/>
    <m/>
    <m/>
    <m/>
    <x v="4"/>
  </r>
  <r>
    <d v="2022-10-11T00:00:00"/>
    <s v="VZ-2022-001123-02"/>
    <x v="0"/>
    <s v="Valtová"/>
    <x v="529"/>
    <n v="2"/>
    <s v="Frézy k shaveru, kompatibilní k ASK konzole Synergy Shaver AR-8305"/>
    <m/>
    <s v="33140000-3"/>
    <m/>
    <n v="2860000"/>
    <x v="0"/>
    <d v="2022-11-08T00:00:00"/>
    <d v="2022-12-12T00:00:00"/>
    <m/>
    <m/>
    <m/>
    <m/>
    <m/>
    <m/>
    <m/>
    <m/>
    <m/>
    <m/>
    <x v="4"/>
  </r>
  <r>
    <d v="2022-10-11T00:00:00"/>
    <s v="VZ-2022-001123-03"/>
    <x v="0"/>
    <s v="Valtová"/>
    <x v="529"/>
    <n v="3"/>
    <s v="Elektrody (sondy) bipolární Apollo, radiofrekvenční ablace 50 a 90, odsávací i neodsávací"/>
    <m/>
    <s v="33140000-3"/>
    <m/>
    <n v="5280000"/>
    <x v="0"/>
    <d v="2022-11-08T00:00:00"/>
    <d v="2022-12-12T00:00:00"/>
    <m/>
    <m/>
    <m/>
    <m/>
    <m/>
    <m/>
    <m/>
    <m/>
    <m/>
    <m/>
    <x v="4"/>
  </r>
  <r>
    <d v="2022-10-11T00:00:00"/>
    <s v="VZ-2022-001126"/>
    <x v="4"/>
    <s v="Olejníček"/>
    <x v="530"/>
    <m/>
    <m/>
    <m/>
    <s v="38000000-5"/>
    <s v="2.3.680."/>
    <n v="6250000"/>
    <x v="0"/>
    <d v="2022-10-19T00:00:00"/>
    <d v="2022-12-21T00:00:00"/>
    <m/>
    <m/>
    <m/>
    <m/>
    <m/>
    <m/>
    <m/>
    <m/>
    <m/>
    <m/>
    <x v="4"/>
  </r>
  <r>
    <d v="2022-10-12T00:00:00"/>
    <s v="VZ-2022-001130"/>
    <x v="0"/>
    <s v="Valtová"/>
    <x v="531"/>
    <m/>
    <m/>
    <m/>
    <s v="33140000-3"/>
    <m/>
    <n v="614400"/>
    <x v="2"/>
    <d v="2022-10-14T00:00:00"/>
    <d v="2022-10-25T00:00:00"/>
    <d v="2022-11-03T00:00:00"/>
    <s v="INLAB s.r.o."/>
    <m/>
    <n v="614400"/>
    <n v="743424"/>
    <m/>
    <m/>
    <m/>
    <d v="2022-11-03T00:00:00"/>
    <s v="SMLN-2022-617-000776_x000a_SMLN-2022-614-000089"/>
    <x v="133"/>
  </r>
  <r>
    <s v="opakovaná VZ"/>
    <s v="VZ-2022-001135"/>
    <x v="3"/>
    <s v="Olejníček"/>
    <x v="532"/>
    <m/>
    <m/>
    <m/>
    <s v="33152000-0"/>
    <s v="2.2.415."/>
    <n v="713670"/>
    <x v="0"/>
    <d v="2022-11-01T00:00:00"/>
    <d v="2022-12-05T00:00:00"/>
    <d v="2022-12-19T00:00:00"/>
    <s v="TRIGON PLUS s.r.o."/>
    <m/>
    <n v="847150"/>
    <n v="1025051.5"/>
    <m/>
    <m/>
    <m/>
    <d v="2022-12-19T00:00:00"/>
    <s v="SMLN-2022-617-000870_x000a_SMLN-2022-612-000233"/>
    <x v="4"/>
  </r>
  <r>
    <d v="2022-10-13T00:00:00"/>
    <s v="VZ-2022-001137"/>
    <x v="5"/>
    <s v="Srovnal"/>
    <x v="533"/>
    <m/>
    <m/>
    <m/>
    <s v="39314000-6"/>
    <s v="4.2.193."/>
    <n v="170000"/>
    <x v="2"/>
    <d v="2022-10-18T00:00:00"/>
    <d v="2022-10-26T00:00:00"/>
    <m/>
    <s v="zrušeno - bez nabídky"/>
    <s v="nová VZ-2022-001198"/>
    <m/>
    <m/>
    <m/>
    <m/>
    <m/>
    <m/>
    <m/>
    <x v="4"/>
  </r>
  <r>
    <d v="2022-10-13T00:00:00"/>
    <s v="VZ-2022-001139"/>
    <x v="7"/>
    <s v="Svozil"/>
    <x v="534"/>
    <m/>
    <m/>
    <m/>
    <s v="45332200-5"/>
    <m/>
    <n v="550000"/>
    <x v="2"/>
    <d v="2022-10-18T00:00:00"/>
    <d v="2022-10-27T00:00:00"/>
    <m/>
    <s v="zrušeno - úprava specifikace"/>
    <s v="nová VZ-2022-001333"/>
    <m/>
    <m/>
    <m/>
    <m/>
    <m/>
    <m/>
    <m/>
    <x v="4"/>
  </r>
  <r>
    <d v="2022-10-06T00:00:00"/>
    <s v="VZ-2022-001140"/>
    <x v="5"/>
    <s v="Srovnal"/>
    <x v="535"/>
    <m/>
    <m/>
    <m/>
    <s v="50711000-2 "/>
    <m/>
    <n v="2700000"/>
    <x v="1"/>
    <d v="2022-10-31T00:00:00"/>
    <d v="2022-11-16T00:00:00"/>
    <d v="2022-12-09T00:00:00"/>
    <s v="ASSA ABLOY Entrance Systems, spol. s r.o."/>
    <m/>
    <n v="4144950"/>
    <n v="5015389.5"/>
    <m/>
    <m/>
    <m/>
    <d v="2022-12-09T00:00:00"/>
    <s v="SMLN-2022-612-000227"/>
    <x v="4"/>
  </r>
  <r>
    <d v="2022-10-14T00:00:00"/>
    <s v="VZ-2022-001145"/>
    <x v="5"/>
    <s v="Srovnal"/>
    <x v="536"/>
    <m/>
    <m/>
    <m/>
    <s v="51134000-0"/>
    <s v="4.2.194."/>
    <n v="1700000"/>
    <x v="2"/>
    <d v="2022-10-18T00:00:00"/>
    <d v="2022-10-27T00:00:00"/>
    <m/>
    <s v="zrušeno - překročen limit VZMR"/>
    <s v="nová VZ-2022-001213"/>
    <m/>
    <m/>
    <m/>
    <m/>
    <m/>
    <m/>
    <m/>
    <x v="4"/>
  </r>
  <r>
    <d v="2022-10-18T00:00:00"/>
    <s v="VZ-2022-001158-01"/>
    <x v="1"/>
    <s v="Ondráčková"/>
    <x v="198"/>
    <n v="1"/>
    <s v="Heparin I."/>
    <m/>
    <s v="33141550-0"/>
    <m/>
    <n v="5058793"/>
    <x v="0"/>
    <d v="2022-11-15T00:00:00"/>
    <d v="2022-12-27T00:00:00"/>
    <m/>
    <m/>
    <m/>
    <m/>
    <m/>
    <m/>
    <m/>
    <m/>
    <m/>
    <m/>
    <x v="4"/>
  </r>
  <r>
    <d v="2022-10-18T00:00:00"/>
    <s v="VZ-2022-001158-02"/>
    <x v="1"/>
    <s v="Ondráčková"/>
    <x v="198"/>
    <n v="2"/>
    <s v="ENOXAPARIN I."/>
    <m/>
    <s v="33141550-0"/>
    <m/>
    <n v="1899304"/>
    <x v="0"/>
    <d v="2022-11-15T00:00:00"/>
    <d v="2022-12-27T00:00:00"/>
    <m/>
    <m/>
    <m/>
    <m/>
    <m/>
    <m/>
    <m/>
    <m/>
    <m/>
    <m/>
    <x v="4"/>
  </r>
  <r>
    <d v="2022-10-18T00:00:00"/>
    <s v="VZ-2022-001158-03"/>
    <x v="1"/>
    <s v="Ondráčková"/>
    <x v="198"/>
    <n v="3"/>
    <s v="ENOXAPARIN II."/>
    <m/>
    <s v="33141550-0"/>
    <m/>
    <n v="8976917"/>
    <x v="0"/>
    <d v="2022-11-15T00:00:00"/>
    <d v="2022-12-27T00:00:00"/>
    <m/>
    <m/>
    <m/>
    <m/>
    <m/>
    <m/>
    <m/>
    <m/>
    <m/>
    <m/>
    <x v="4"/>
  </r>
  <r>
    <d v="2022-10-18T00:00:00"/>
    <s v="VZ-2022-001158-04"/>
    <x v="1"/>
    <s v="Ondráčková"/>
    <x v="198"/>
    <n v="4"/>
    <s v="NADROPARIN"/>
    <m/>
    <s v="33141550-0"/>
    <m/>
    <n v="53664539"/>
    <x v="0"/>
    <d v="2022-11-15T00:00:00"/>
    <d v="2022-12-27T00:00:00"/>
    <m/>
    <m/>
    <m/>
    <m/>
    <m/>
    <m/>
    <m/>
    <m/>
    <m/>
    <m/>
    <x v="4"/>
  </r>
  <r>
    <d v="2022-10-18T00:00:00"/>
    <s v="VZ-2022-001158-05"/>
    <x v="1"/>
    <s v="Ondráčková"/>
    <x v="198"/>
    <n v="5"/>
    <s v="BEMIPARIN"/>
    <m/>
    <s v="33141550-0"/>
    <m/>
    <n v="223438"/>
    <x v="0"/>
    <d v="2022-11-15T00:00:00"/>
    <d v="2022-12-27T00:00:00"/>
    <m/>
    <m/>
    <m/>
    <m/>
    <m/>
    <m/>
    <m/>
    <m/>
    <m/>
    <m/>
    <x v="4"/>
  </r>
  <r>
    <d v="2022-10-20T00:00:00"/>
    <s v="VZ-2022-001163-01"/>
    <x v="1"/>
    <s v="Ondráčková"/>
    <x v="537"/>
    <n v="1"/>
    <s v="ENFORTUMAB VEDOTIN"/>
    <m/>
    <s v="33652000-5"/>
    <m/>
    <n v="8676720"/>
    <x v="0"/>
    <d v="2022-11-03T00:00:00"/>
    <d v="2023-01-10T00:00:00"/>
    <m/>
    <m/>
    <m/>
    <m/>
    <m/>
    <m/>
    <m/>
    <m/>
    <m/>
    <m/>
    <x v="4"/>
  </r>
  <r>
    <d v="2022-10-20T00:00:00"/>
    <s v="VZ-2022-001163-02"/>
    <x v="1"/>
    <s v="Ondráčková"/>
    <x v="537"/>
    <n v="2"/>
    <s v="IRINOTEKAN-SUKROSOFÁT"/>
    <m/>
    <s v="33652000-5"/>
    <m/>
    <n v="4983532"/>
    <x v="0"/>
    <d v="2022-11-03T00:00:00"/>
    <d v="2023-01-10T00:00:00"/>
    <m/>
    <m/>
    <m/>
    <m/>
    <m/>
    <m/>
    <m/>
    <m/>
    <m/>
    <m/>
    <x v="4"/>
  </r>
  <r>
    <d v="2022-10-20T00:00:00"/>
    <s v="VZ-2022-001163-03"/>
    <x v="1"/>
    <s v="Ondráčková"/>
    <x v="537"/>
    <n v="3"/>
    <s v="SACITUZUMAB GOVITEKAN"/>
    <m/>
    <s v="33652000-5"/>
    <m/>
    <n v="2967085"/>
    <x v="0"/>
    <d v="2022-11-03T00:00:00"/>
    <d v="2023-01-10T00:00:00"/>
    <m/>
    <m/>
    <m/>
    <m/>
    <m/>
    <m/>
    <m/>
    <m/>
    <m/>
    <m/>
    <x v="4"/>
  </r>
  <r>
    <d v="2022-10-20T00:00:00"/>
    <s v="VZ-2022-001163-04"/>
    <x v="1"/>
    <s v="Ondráčková"/>
    <x v="537"/>
    <n v="4"/>
    <s v="TEBENTAFUSP "/>
    <m/>
    <s v="33652000-5"/>
    <m/>
    <n v="59449458"/>
    <x v="0"/>
    <d v="2022-11-03T00:00:00"/>
    <d v="2023-01-10T00:00:00"/>
    <m/>
    <m/>
    <m/>
    <m/>
    <m/>
    <m/>
    <m/>
    <m/>
    <m/>
    <m/>
    <x v="4"/>
  </r>
  <r>
    <d v="2022-10-20T00:00:00"/>
    <s v="VZ-2022-001163-05"/>
    <x v="1"/>
    <s v="Ondráčková"/>
    <x v="537"/>
    <n v="5"/>
    <s v="PRALSETINIB"/>
    <m/>
    <s v="33652000-5"/>
    <m/>
    <n v="6610119"/>
    <x v="0"/>
    <d v="2022-11-03T00:00:00"/>
    <d v="2023-01-10T00:00:00"/>
    <m/>
    <m/>
    <m/>
    <m/>
    <m/>
    <m/>
    <m/>
    <m/>
    <m/>
    <m/>
    <x v="4"/>
  </r>
  <r>
    <d v="2022-10-19T00:00:00"/>
    <s v="VZ-2022-001164"/>
    <x v="0"/>
    <s v="Dočkalová"/>
    <x v="538"/>
    <m/>
    <m/>
    <m/>
    <s v="33100000-1,33140000-3"/>
    <m/>
    <n v="1646340"/>
    <x v="2"/>
    <d v="2022-10-24T00:00:00"/>
    <d v="2022-11-01T00:00:00"/>
    <m/>
    <s v="zrušeno - překročen limit VZMR"/>
    <s v="nová VZ-2022-001232"/>
    <m/>
    <m/>
    <m/>
    <m/>
    <m/>
    <m/>
    <m/>
    <x v="4"/>
  </r>
  <r>
    <d v="2022-10-20T00:00:00"/>
    <s v="VZ-2022-001165"/>
    <x v="1"/>
    <s v="Ondráčková"/>
    <x v="539"/>
    <m/>
    <m/>
    <m/>
    <s v="33642000-2"/>
    <m/>
    <n v="5129564"/>
    <x v="0"/>
    <d v="2022-10-31T00:00:00"/>
    <d v="2022-12-05T00:00:00"/>
    <m/>
    <m/>
    <m/>
    <m/>
    <m/>
    <m/>
    <m/>
    <m/>
    <m/>
    <m/>
    <x v="4"/>
  </r>
  <r>
    <d v="2022-10-19T00:00:00"/>
    <s v="VZ-2022-001170"/>
    <x v="9"/>
    <s v="Oravec"/>
    <x v="540"/>
    <m/>
    <m/>
    <m/>
    <s v=" 30232120-1"/>
    <m/>
    <n v="360000"/>
    <x v="2"/>
    <d v="2022-10-25T00:00:00"/>
    <d v="2022-11-01T00:00:00"/>
    <d v="2022-11-07T00:00:00"/>
    <s v="SAJM COMP s.r.o."/>
    <m/>
    <n v="357000"/>
    <n v="431970"/>
    <m/>
    <m/>
    <m/>
    <d v="2022-11-07T00:00:00"/>
    <s v="SMLN-2022-617-000783"/>
    <x v="176"/>
  </r>
  <r>
    <d v="2022-10-21T00:00:00"/>
    <s v="VZ-2022-001172-01"/>
    <x v="0"/>
    <s v="Dočkalová"/>
    <x v="541"/>
    <n v="1"/>
    <s v="rozšíření stávajícího instrumentária dle katalogu Aesculap"/>
    <m/>
    <s v="33162200-5"/>
    <m/>
    <n v="623700"/>
    <x v="0"/>
    <d v="2022-10-31T00:00:00"/>
    <d v="2022-12-05T00:00:00"/>
    <m/>
    <m/>
    <m/>
    <m/>
    <m/>
    <m/>
    <m/>
    <m/>
    <m/>
    <m/>
    <x v="4"/>
  </r>
  <r>
    <d v="2022-10-21T00:00:00"/>
    <s v="VZ-2022-001172-02"/>
    <x v="0"/>
    <s v="Dočkalová"/>
    <x v="541"/>
    <n v="2"/>
    <s v="rozšíření stávajícího instrumentária dle katalogu  MEDICON eG"/>
    <m/>
    <s v="33162200-5"/>
    <m/>
    <n v="95250"/>
    <x v="0"/>
    <d v="2022-10-31T00:00:00"/>
    <d v="2022-12-05T00:00:00"/>
    <m/>
    <s v="zrušeno - bez nabídky"/>
    <m/>
    <m/>
    <m/>
    <m/>
    <m/>
    <m/>
    <m/>
    <m/>
    <x v="4"/>
  </r>
  <r>
    <d v="2022-10-21T00:00:00"/>
    <s v="VZ-2022-001173"/>
    <x v="9"/>
    <s v="Oravec"/>
    <x v="542"/>
    <m/>
    <m/>
    <m/>
    <s v="72150000-1"/>
    <m/>
    <n v="240000"/>
    <x v="4"/>
    <d v="2022-11-01T00:00:00"/>
    <d v="2022-11-14T00:00:00"/>
    <d v="2022-11-22T00:00:00"/>
    <s v="SoftwareONE Czech Republic s.r.o."/>
    <m/>
    <n v="164000"/>
    <n v="198440"/>
    <m/>
    <m/>
    <m/>
    <d v="2022-11-22T00:00:00"/>
    <s v="SMLN-2022-612-000219"/>
    <x v="164"/>
  </r>
  <r>
    <d v="2022-10-24T00:00:00"/>
    <s v="VZ-2022-001177"/>
    <x v="5"/>
    <s v="Srovnal"/>
    <x v="543"/>
    <m/>
    <m/>
    <m/>
    <s v="51112200-2"/>
    <m/>
    <n v="3000000"/>
    <x v="0"/>
    <d v="2022-11-04T00:00:00"/>
    <d v="2022-12-07T00:00:00"/>
    <d v="2022-12-16T00:00:00"/>
    <s v="ELMAR group spol. s r.o."/>
    <m/>
    <n v="2564878"/>
    <n v="3103502.38"/>
    <m/>
    <m/>
    <m/>
    <d v="2022-12-16T00:00:00"/>
    <s v="SMLN-2022-618-000077"/>
    <x v="4"/>
  </r>
  <r>
    <d v="2022-10-25T00:00:00"/>
    <s v="VZ-2022-001180"/>
    <x v="2"/>
    <s v="Zeman"/>
    <x v="544"/>
    <m/>
    <m/>
    <m/>
    <s v="71240000-2"/>
    <s v="1.2.98."/>
    <n v="1950000"/>
    <x v="1"/>
    <d v="2022-11-02T00:00:00"/>
    <d v="2022-11-23T00:00:00"/>
    <d v="2022-12-05T00:00:00"/>
    <s v="LT PROJEKT a.s."/>
    <m/>
    <n v="1850000"/>
    <n v="2238500"/>
    <m/>
    <m/>
    <m/>
    <d v="2022-12-05T00:00:00"/>
    <s v="SMLN-2022-618-000072"/>
    <x v="4"/>
  </r>
  <r>
    <d v="2022-10-27T00:00:00"/>
    <s v="VZ-2022-001195"/>
    <x v="1"/>
    <s v="Ondráčková"/>
    <x v="545"/>
    <m/>
    <m/>
    <m/>
    <s v="33621100-0"/>
    <m/>
    <n v="11105554"/>
    <x v="0"/>
    <d v="2022-11-15T00:00:00"/>
    <d v="2022-12-19T00:00:00"/>
    <m/>
    <m/>
    <m/>
    <m/>
    <m/>
    <m/>
    <m/>
    <m/>
    <m/>
    <m/>
    <x v="4"/>
  </r>
  <r>
    <s v="opakovaná VZ"/>
    <s v="VZ-2022-001196"/>
    <x v="1"/>
    <s v="Ondráčková"/>
    <x v="546"/>
    <m/>
    <m/>
    <m/>
    <s v="33615100-5"/>
    <m/>
    <n v="714307"/>
    <x v="0"/>
    <d v="2022-11-25T00:00:00"/>
    <d v="2022-12-27T00:00:00"/>
    <m/>
    <m/>
    <m/>
    <m/>
    <m/>
    <m/>
    <m/>
    <m/>
    <m/>
    <m/>
    <x v="4"/>
  </r>
  <r>
    <s v="opakovaná VZ"/>
    <s v="VZ-2022-001198"/>
    <x v="5"/>
    <s v="Srovnal"/>
    <x v="547"/>
    <m/>
    <m/>
    <m/>
    <s v="39314000-6"/>
    <s v="4.2.193."/>
    <n v="170000"/>
    <x v="2"/>
    <d v="2022-11-02T00:00:00"/>
    <d v="2022-11-10T00:00:00"/>
    <d v="2022-11-22T00:00:00"/>
    <s v="Multi CZ s.r.o."/>
    <m/>
    <n v="129511"/>
    <n v="156708.31"/>
    <m/>
    <m/>
    <m/>
    <d v="2022-11-22T00:00:00"/>
    <s v="SMLN-2022-617-000821"/>
    <x v="189"/>
  </r>
  <r>
    <d v="2022-10-31T00:00:00"/>
    <s v="VZ-2022-001203"/>
    <x v="1"/>
    <s v="Ondráčková"/>
    <x v="548"/>
    <m/>
    <m/>
    <m/>
    <s v="33651400-2"/>
    <m/>
    <n v="3589589"/>
    <x v="0"/>
    <d v="2022-12-09T00:00:00"/>
    <d v="2023-01-13T00:00:00"/>
    <m/>
    <m/>
    <m/>
    <m/>
    <m/>
    <m/>
    <m/>
    <m/>
    <m/>
    <m/>
    <x v="4"/>
  </r>
  <r>
    <d v="2022-10-31T00:00:00"/>
    <s v="VZ-2022-001204-01"/>
    <x v="1"/>
    <s v="Ondráčková"/>
    <x v="549"/>
    <n v="1"/>
    <s v="MESALAZIN"/>
    <m/>
    <s v="33614000-7"/>
    <m/>
    <n v="8595035"/>
    <x v="0"/>
    <d v="2022-11-25T00:00:00"/>
    <d v="2022-12-28T00:00:00"/>
    <m/>
    <s v="zrušeno - úprava zadání"/>
    <s v="nová VZ-2023-000294-01"/>
    <m/>
    <m/>
    <m/>
    <m/>
    <m/>
    <m/>
    <m/>
    <x v="4"/>
  </r>
  <r>
    <d v="2022-10-31T00:00:00"/>
    <s v="VZ-2022-001204-02"/>
    <x v="1"/>
    <s v="Ondráčková"/>
    <x v="549"/>
    <n v="2"/>
    <s v="SULFASALAZIN S POVIDONEM"/>
    <m/>
    <s v="33614000-7"/>
    <m/>
    <n v="340117"/>
    <x v="0"/>
    <d v="2022-11-25T00:00:00"/>
    <d v="2022-12-28T00:00:00"/>
    <m/>
    <s v="zrušeno - bez nabídky"/>
    <s v="nová VZ-2023-000294-02"/>
    <m/>
    <m/>
    <m/>
    <m/>
    <m/>
    <m/>
    <m/>
    <x v="4"/>
  </r>
  <r>
    <d v="2022-11-01T00:00:00"/>
    <s v="VZ-2022-001208-01"/>
    <x v="1"/>
    <s v="Ondráčková"/>
    <x v="550"/>
    <n v="1"/>
    <s v="Dezinfekční přípravky pro přímé použití a rychlou dezinfekci"/>
    <m/>
    <s v="33741300-9"/>
    <m/>
    <n v="7000783"/>
    <x v="0"/>
    <m/>
    <m/>
    <m/>
    <m/>
    <m/>
    <m/>
    <m/>
    <m/>
    <m/>
    <m/>
    <m/>
    <m/>
    <x v="4"/>
  </r>
  <r>
    <d v="2022-11-01T00:00:00"/>
    <s v="VZ-2022-001208-02"/>
    <x v="1"/>
    <s v="Ondráčková"/>
    <x v="550"/>
    <n v="2"/>
    <s v="Velké plochy, předměty"/>
    <m/>
    <s v="33741300-9"/>
    <m/>
    <n v="1873944"/>
    <x v="0"/>
    <m/>
    <m/>
    <m/>
    <m/>
    <m/>
    <m/>
    <m/>
    <m/>
    <m/>
    <m/>
    <m/>
    <m/>
    <x v="4"/>
  </r>
  <r>
    <d v="2022-11-01T00:00:00"/>
    <s v="VZ-2022-001209"/>
    <x v="1"/>
    <s v="Ondráčková"/>
    <x v="551"/>
    <m/>
    <m/>
    <m/>
    <s v="33741300-9"/>
    <m/>
    <n v="1483117"/>
    <x v="0"/>
    <m/>
    <m/>
    <m/>
    <m/>
    <m/>
    <m/>
    <m/>
    <m/>
    <m/>
    <m/>
    <m/>
    <m/>
    <x v="4"/>
  </r>
  <r>
    <d v="2022-01-01T00:00:00"/>
    <s v="VZ-2022-001210-01"/>
    <x v="1"/>
    <s v="Ondráčková"/>
    <x v="552"/>
    <n v="1"/>
    <s v="Dezinfekce, mytí a ošetření rukou I."/>
    <m/>
    <s v="33741300-9"/>
    <m/>
    <n v="784630"/>
    <x v="0"/>
    <m/>
    <m/>
    <m/>
    <m/>
    <m/>
    <m/>
    <m/>
    <m/>
    <m/>
    <m/>
    <m/>
    <m/>
    <x v="4"/>
  </r>
  <r>
    <d v="2022-01-01T00:00:00"/>
    <s v="VZ-2022-001210-02"/>
    <x v="1"/>
    <s v="Ondráčková"/>
    <x v="552"/>
    <n v="2"/>
    <s v="Dezinfekce, mytí a ošetření rukou II."/>
    <m/>
    <s v="33741300-9"/>
    <m/>
    <n v="1387535"/>
    <x v="0"/>
    <m/>
    <m/>
    <m/>
    <m/>
    <m/>
    <m/>
    <m/>
    <m/>
    <m/>
    <m/>
    <m/>
    <m/>
    <x v="4"/>
  </r>
  <r>
    <d v="2022-10-31T00:00:00"/>
    <s v="VZ-2022-001211"/>
    <x v="8"/>
    <s v="Kadlec"/>
    <x v="553"/>
    <m/>
    <m/>
    <m/>
    <s v="45453000-7"/>
    <m/>
    <n v="650000"/>
    <x v="2"/>
    <d v="2022-11-03T00:00:00"/>
    <d v="2022-11-15T00:00:00"/>
    <d v="2022-11-23T00:00:00"/>
    <s v="STAMO, s.r.o."/>
    <m/>
    <n v="584070.43000000005"/>
    <n v="706725.22"/>
    <m/>
    <m/>
    <m/>
    <d v="2022-11-23T00:00:00"/>
    <s v="SMLN-2022-618-000070"/>
    <x v="161"/>
  </r>
  <r>
    <d v="2022-11-01T00:00:00"/>
    <s v="VZ-2022-001212"/>
    <x v="1"/>
    <s v="Ondráčková"/>
    <x v="554"/>
    <m/>
    <m/>
    <m/>
    <s v="33741300-9"/>
    <m/>
    <n v="3747988"/>
    <x v="0"/>
    <m/>
    <m/>
    <m/>
    <m/>
    <m/>
    <m/>
    <m/>
    <m/>
    <m/>
    <m/>
    <m/>
    <m/>
    <x v="4"/>
  </r>
  <r>
    <s v="opakovaná VZ"/>
    <s v="VZ-2022-001213"/>
    <x v="5"/>
    <s v="Srovnal"/>
    <x v="536"/>
    <m/>
    <m/>
    <m/>
    <s v="51134000-0"/>
    <s v="4.2.194."/>
    <n v="2150000"/>
    <x v="1"/>
    <d v="2022-11-15T00:00:00"/>
    <d v="2022-12-06T00:00:00"/>
    <d v="2022-12-15T00:00:00"/>
    <s v="Dräger Medical, s.r.o."/>
    <m/>
    <n v="2152300"/>
    <n v="2604283"/>
    <m/>
    <m/>
    <m/>
    <d v="2022-12-15T00:00:00"/>
    <s v="SMLN-2022-617-000863"/>
    <x v="4"/>
  </r>
  <r>
    <d v="2022-11-03T00:00:00"/>
    <s v="VZ-2022-001225"/>
    <x v="5"/>
    <s v="Srovnal"/>
    <x v="555"/>
    <m/>
    <m/>
    <m/>
    <s v="45453000-7"/>
    <m/>
    <n v="5700000"/>
    <x v="2"/>
    <d v="2022-11-04T00:00:00"/>
    <d v="2022-11-21T00:00:00"/>
    <d v="2022-11-28T00:00:00"/>
    <s v="WH Develop s.r.o."/>
    <m/>
    <n v="4224664.22"/>
    <n v="5052500.58"/>
    <m/>
    <m/>
    <m/>
    <d v="2022-11-28T00:00:00"/>
    <s v="SMLN-2022-618-000071"/>
    <x v="190"/>
  </r>
  <r>
    <d v="2022-11-03T00:00:00"/>
    <s v="VZ-2022-001226"/>
    <x v="1"/>
    <s v="Ondráčková"/>
    <x v="556"/>
    <m/>
    <m/>
    <m/>
    <s v="33694000-1"/>
    <m/>
    <n v="52373000"/>
    <x v="0"/>
    <d v="2022-11-18T00:00:00"/>
    <d v="2023-01-17T00:00:00"/>
    <m/>
    <m/>
    <m/>
    <m/>
    <m/>
    <m/>
    <m/>
    <m/>
    <m/>
    <m/>
    <x v="4"/>
  </r>
  <r>
    <s v="opakovaná VZ"/>
    <s v="VZ-2022-001232"/>
    <x v="0"/>
    <s v="Dočkalová"/>
    <x v="538"/>
    <m/>
    <m/>
    <m/>
    <s v="33100000-1"/>
    <m/>
    <n v="2873340"/>
    <x v="1"/>
    <d v="2022-11-10T00:00:00"/>
    <d v="2022-11-30T00:00:00"/>
    <d v="2022-12-23T00:00:00"/>
    <s v="MGVIVA a.s."/>
    <m/>
    <n v="2873340"/>
    <n v="3476741.4"/>
    <m/>
    <m/>
    <m/>
    <d v="2022-12-23T00:00:00"/>
    <s v="SMLN-2022-617-000900_x000a_SMLN-2022-616-000048"/>
    <x v="4"/>
  </r>
  <r>
    <d v="2022-11-07T00:00:00"/>
    <s v="VZ-2022-001233"/>
    <x v="4"/>
    <s v="Olejníček"/>
    <x v="557"/>
    <m/>
    <m/>
    <m/>
    <s v="33100000-1"/>
    <s v="2.3.684."/>
    <n v="185000"/>
    <x v="0"/>
    <d v="2022-11-09T00:00:00"/>
    <d v="2023-01-11T00:00:00"/>
    <m/>
    <m/>
    <m/>
    <m/>
    <m/>
    <m/>
    <m/>
    <m/>
    <m/>
    <m/>
    <x v="4"/>
  </r>
  <r>
    <d v="2022-11-07T00:00:00"/>
    <s v="VZ-2022-001235"/>
    <x v="4"/>
    <s v="Olejníček"/>
    <x v="558"/>
    <m/>
    <m/>
    <m/>
    <s v="33166000-1"/>
    <s v="2.2.501."/>
    <n v="120000"/>
    <x v="2"/>
    <d v="2022-11-11T00:00:00"/>
    <d v="2022-11-22T00:00:00"/>
    <d v="2022-11-29T00:00:00"/>
    <s v="Chironax Frýdek - Místek s.r.o."/>
    <m/>
    <n v="73208"/>
    <n v="88581.68"/>
    <m/>
    <m/>
    <m/>
    <d v="2022-11-29T00:00:00"/>
    <s v="SMLN-2022-617-000827_x000a_SMLN-2022-612-000222"/>
    <x v="186"/>
  </r>
  <r>
    <d v="2022-11-03T00:00:00"/>
    <s v="VZ-2022-001240"/>
    <x v="0"/>
    <s v="Valtová"/>
    <x v="559"/>
    <m/>
    <m/>
    <m/>
    <s v="33140000-3"/>
    <m/>
    <n v="6763420"/>
    <x v="0"/>
    <d v="2022-11-25T00:00:00"/>
    <d v="2022-12-29T00:00:00"/>
    <m/>
    <m/>
    <m/>
    <m/>
    <m/>
    <m/>
    <m/>
    <m/>
    <m/>
    <m/>
    <x v="4"/>
  </r>
  <r>
    <d v="2022-11-07T00:00:00"/>
    <s v="VZ-2022-001242"/>
    <x v="2"/>
    <s v="Zeman"/>
    <x v="560"/>
    <m/>
    <m/>
    <m/>
    <s v="45000000-7"/>
    <m/>
    <n v="85000000"/>
    <x v="0"/>
    <d v="2022-11-16T00:00:00"/>
    <d v="2023-01-11T00:00:00"/>
    <m/>
    <m/>
    <m/>
    <m/>
    <m/>
    <m/>
    <m/>
    <m/>
    <m/>
    <m/>
    <x v="4"/>
  </r>
  <r>
    <d v="2022-11-08T00:00:00"/>
    <s v="VZ-2022-001245"/>
    <x v="4"/>
    <s v="Olejníček"/>
    <x v="561"/>
    <m/>
    <m/>
    <m/>
    <s v="33123000-8"/>
    <m/>
    <n v="1999500"/>
    <x v="2"/>
    <d v="2022-11-18T00:00:00"/>
    <d v="2022-11-29T00:00:00"/>
    <d v="2022-12-07T00:00:00"/>
    <s v="BTL zdravotnická technika, a.s."/>
    <m/>
    <n v="1570600"/>
    <n v="1900426"/>
    <m/>
    <m/>
    <m/>
    <d v="2022-12-07T00:00:00"/>
    <s v="SMLN-2022-617-000844_x000a_SMLN-2022-612-000225"/>
    <x v="4"/>
  </r>
  <r>
    <d v="2022-11-09T00:00:00"/>
    <s v="VZ-2022-001256"/>
    <x v="0"/>
    <s v="Dočkalová"/>
    <x v="562"/>
    <m/>
    <m/>
    <m/>
    <s v="33162200-5"/>
    <m/>
    <n v="506580"/>
    <x v="0"/>
    <d v="2022-11-28T00:00:00"/>
    <d v="2023-01-18T00:00:00"/>
    <m/>
    <m/>
    <m/>
    <m/>
    <m/>
    <m/>
    <m/>
    <m/>
    <m/>
    <m/>
    <x v="4"/>
  </r>
  <r>
    <d v="2022-11-09T00:00:00"/>
    <s v="VZ-2022-001266"/>
    <x v="20"/>
    <s v="Zemánek"/>
    <x v="563"/>
    <m/>
    <m/>
    <m/>
    <s v="50421000-2"/>
    <m/>
    <n v="27200000"/>
    <x v="0"/>
    <d v="2022-12-02T00:00:00"/>
    <d v="2023-01-02T00:00:00"/>
    <m/>
    <m/>
    <m/>
    <m/>
    <m/>
    <m/>
    <m/>
    <m/>
    <m/>
    <m/>
    <x v="4"/>
  </r>
  <r>
    <d v="2022-11-11T00:00:00"/>
    <s v="VZ-2022-001267"/>
    <x v="8"/>
    <s v="Kadlec"/>
    <x v="564"/>
    <m/>
    <m/>
    <m/>
    <s v="45261910-6"/>
    <m/>
    <n v="5500000"/>
    <x v="2"/>
    <d v="2022-11-16T00:00:00"/>
    <d v="2022-11-24T00:00:00"/>
    <d v="2022-12-06T00:00:00"/>
    <s v="W.H.A. systém, spol.  s r.o."/>
    <m/>
    <n v="2899000"/>
    <n v="3507790"/>
    <m/>
    <m/>
    <m/>
    <d v="2022-12-06T00:00:00"/>
    <s v="SMLN-2022-618-000073"/>
    <x v="4"/>
  </r>
  <r>
    <d v="2022-11-16T00:00:00"/>
    <s v="VZ-2022-001281"/>
    <x v="7"/>
    <s v="Svozil"/>
    <x v="565"/>
    <m/>
    <m/>
    <m/>
    <s v="45233200-1"/>
    <m/>
    <n v="380000"/>
    <x v="2"/>
    <d v="2022-11-18T00:00:00"/>
    <d v="2022-11-29T00:00:00"/>
    <m/>
    <s v="zrušeno - úprava zadání VV"/>
    <s v="nová VZ-2023-000171"/>
    <n v="448040"/>
    <n v="542128.4"/>
    <m/>
    <m/>
    <m/>
    <m/>
    <m/>
    <x v="4"/>
  </r>
  <r>
    <d v="2022-11-18T00:00:00"/>
    <s v="VZ-2022-001282"/>
    <x v="2"/>
    <s v="Pavela"/>
    <x v="566"/>
    <m/>
    <m/>
    <m/>
    <s v="71000000-8"/>
    <m/>
    <n v="15000000"/>
    <x v="0"/>
    <d v="2022-11-30T00:00:00"/>
    <d v="2023-01-04T00:00:00"/>
    <m/>
    <m/>
    <m/>
    <m/>
    <m/>
    <m/>
    <m/>
    <m/>
    <m/>
    <m/>
    <x v="4"/>
  </r>
  <r>
    <d v="2022-11-21T00:00:00"/>
    <s v="VZ-2022-001286"/>
    <x v="4"/>
    <s v="Olejníček"/>
    <x v="567"/>
    <m/>
    <m/>
    <m/>
    <s v="33161000-6"/>
    <s v="2.2.455."/>
    <n v="487087"/>
    <x v="2"/>
    <d v="2022-11-23T00:00:00"/>
    <d v="2022-12-01T00:00:00"/>
    <d v="2022-12-12T00:00:00"/>
    <s v="Surgipa Medical, spol. s r.o."/>
    <m/>
    <n v="478746.7"/>
    <n v="579283.51"/>
    <m/>
    <m/>
    <m/>
    <d v="2022-12-12T00:00:00"/>
    <s v="SMLN-2022-617-000859_x000a_SMLN-2022-612-000229"/>
    <x v="4"/>
  </r>
  <r>
    <d v="2022-11-21T00:00:00"/>
    <s v="VZ-2022-001288-01"/>
    <x v="0"/>
    <s v="Valtová"/>
    <x v="568"/>
    <n v="1"/>
    <s v="Rigidní dlaha pro stabilizaci dolní krční páteře předním přístupem bikortikálně a monokortikálně"/>
    <m/>
    <s v="33140000–3"/>
    <m/>
    <n v="4746000"/>
    <x v="0"/>
    <d v="2022-11-25T00:00:00"/>
    <d v="2023-01-06T00:00:00"/>
    <m/>
    <m/>
    <m/>
    <m/>
    <m/>
    <m/>
    <m/>
    <m/>
    <m/>
    <m/>
    <x v="4"/>
  </r>
  <r>
    <d v="2022-11-21T00:00:00"/>
    <s v="VZ-2022-001288-02"/>
    <x v="0"/>
    <s v="Valtová"/>
    <x v="568"/>
    <n v="2"/>
    <s v="Fúzní náhrada krční meziobratlové ploténky"/>
    <m/>
    <s v="33140000–3"/>
    <m/>
    <n v="17280000"/>
    <x v="0"/>
    <d v="2022-11-25T00:00:00"/>
    <d v="2023-01-06T00:00:00"/>
    <m/>
    <m/>
    <m/>
    <m/>
    <m/>
    <m/>
    <m/>
    <m/>
    <m/>
    <m/>
    <x v="4"/>
  </r>
  <r>
    <d v="2022-11-21T00:00:00"/>
    <s v="VZ-2022-001288-03"/>
    <x v="0"/>
    <s v="Valtová"/>
    <x v="568"/>
    <n v="3"/>
    <s v="Fúzní systém pro zadní stabilizaci krční páteře a okcipito-cervikální fixaci"/>
    <m/>
    <s v="33140000–3"/>
    <m/>
    <n v="2251680"/>
    <x v="0"/>
    <d v="2022-11-25T00:00:00"/>
    <d v="2023-01-06T00:00:00"/>
    <m/>
    <m/>
    <m/>
    <m/>
    <m/>
    <m/>
    <m/>
    <m/>
    <m/>
    <m/>
    <x v="4"/>
  </r>
  <r>
    <d v="2022-11-21T00:00:00"/>
    <s v="VZ-2022-001288-04"/>
    <x v="0"/>
    <s v="Valtová"/>
    <x v="568"/>
    <n v="4"/>
    <s v="Fúzní náhrada bederní meziobratlové ploténky z předního přístupu (ALIF)"/>
    <m/>
    <s v="33140000-3"/>
    <m/>
    <n v="2388000"/>
    <x v="0"/>
    <d v="2022-11-25T00:00:00"/>
    <d v="2023-01-06T00:00:00"/>
    <m/>
    <m/>
    <m/>
    <m/>
    <m/>
    <m/>
    <m/>
    <m/>
    <m/>
    <m/>
    <x v="4"/>
  </r>
  <r>
    <d v="2022-11-21T00:00:00"/>
    <s v="VZ-2022-001288-05"/>
    <x v="0"/>
    <s v="Valtová"/>
    <x v="568"/>
    <n v="5"/>
    <s v="Fúzní náhrada bederní meziobratlové ploténky expandibilní z bočního přístupu (LLIF, XLIF)"/>
    <m/>
    <s v="33140000-3"/>
    <m/>
    <n v="2350000"/>
    <x v="0"/>
    <d v="2022-11-25T00:00:00"/>
    <d v="2023-01-06T00:00:00"/>
    <m/>
    <m/>
    <m/>
    <m/>
    <m/>
    <m/>
    <m/>
    <m/>
    <m/>
    <m/>
    <x v="4"/>
  </r>
  <r>
    <d v="2022-11-21T00:00:00"/>
    <s v="VZ-2022-001288-06"/>
    <x v="0"/>
    <s v="Valtová"/>
    <x v="568"/>
    <n v="6"/>
    <s v="Fúzní náhrada bederní meziobratlové ploténky expandibilní ze zadního přístupu páteřním kanálem (PLIF)"/>
    <m/>
    <s v="33140000-3"/>
    <m/>
    <n v="3412500"/>
    <x v="0"/>
    <d v="2022-11-25T00:00:00"/>
    <d v="2023-01-06T00:00:00"/>
    <m/>
    <m/>
    <m/>
    <m/>
    <m/>
    <m/>
    <m/>
    <m/>
    <m/>
    <m/>
    <x v="4"/>
  </r>
  <r>
    <d v="2022-11-21T00:00:00"/>
    <s v="VZ-2022-001288-07"/>
    <x v="0"/>
    <s v="Valtová"/>
    <x v="568"/>
    <n v="7"/>
    <s v="Fúzní systém pro transpedikulární stabilizaci bederní páteře u degenerativních onemocnění s možností repozice olistézy (translačního posunu)"/>
    <m/>
    <s v="33140000-3"/>
    <m/>
    <n v="21800000"/>
    <x v="0"/>
    <d v="2022-11-25T00:00:00"/>
    <d v="2023-01-06T00:00:00"/>
    <m/>
    <m/>
    <m/>
    <m/>
    <m/>
    <m/>
    <m/>
    <m/>
    <m/>
    <m/>
    <x v="4"/>
  </r>
  <r>
    <d v="2022-11-21T00:00:00"/>
    <s v="VZ-2022-001288-08"/>
    <x v="0"/>
    <s v="Valtová"/>
    <x v="568"/>
    <n v="8"/>
    <s v="Fúzní systém pro transpedikulární stabilizaci hrudní a bederní páteře u traumat"/>
    <m/>
    <s v="33140000-3"/>
    <m/>
    <n v="1720000"/>
    <x v="0"/>
    <d v="2022-11-25T00:00:00"/>
    <d v="2023-01-06T00:00:00"/>
    <m/>
    <m/>
    <m/>
    <m/>
    <m/>
    <m/>
    <m/>
    <m/>
    <m/>
    <m/>
    <x v="4"/>
  </r>
  <r>
    <d v="2022-11-21T00:00:00"/>
    <s v="VZ-2022-001288-09"/>
    <x v="0"/>
    <s v="Valtová"/>
    <x v="568"/>
    <n v="9"/>
    <s v="Fúzní systém pro transpedikulární stabilizaci hrudní a bederní páteře u osteoporotické páteře s možností aplikace cementu šroubem"/>
    <m/>
    <s v="33140000-3"/>
    <m/>
    <n v="2184000"/>
    <x v="0"/>
    <d v="2022-11-25T00:00:00"/>
    <d v="2023-01-06T00:00:00"/>
    <m/>
    <m/>
    <m/>
    <m/>
    <m/>
    <m/>
    <m/>
    <m/>
    <m/>
    <m/>
    <x v="4"/>
  </r>
  <r>
    <d v="2022-11-21T00:00:00"/>
    <s v="VZ-2022-001288-10"/>
    <x v="0"/>
    <s v="Valtová"/>
    <x v="568"/>
    <n v="10"/>
    <s v="Vertebroplastická sada k perkutánní vertebroplastice hrudního a bederního obratle cementem"/>
    <m/>
    <s v="33140000-3"/>
    <m/>
    <n v="2260000"/>
    <x v="0"/>
    <d v="2022-11-25T00:00:00"/>
    <d v="2023-01-06T00:00:00"/>
    <m/>
    <m/>
    <m/>
    <m/>
    <m/>
    <m/>
    <m/>
    <m/>
    <m/>
    <m/>
    <x v="4"/>
  </r>
  <r>
    <d v="2022-11-21T00:00:00"/>
    <s v="VZ-2022-001288-11"/>
    <x v="0"/>
    <s v="Valtová"/>
    <x v="568"/>
    <n v="11"/>
    <s v="Fúzní systém pro stabilizaci sakro-iliakálního (SI) skloubení"/>
    <m/>
    <s v="33140000-3"/>
    <m/>
    <n v="4140000"/>
    <x v="0"/>
    <d v="2022-11-25T00:00:00"/>
    <d v="2023-01-06T00:00:00"/>
    <m/>
    <m/>
    <m/>
    <m/>
    <m/>
    <m/>
    <m/>
    <m/>
    <m/>
    <m/>
    <x v="4"/>
  </r>
  <r>
    <d v="2022-11-21T00:00:00"/>
    <s v="VZ-2022-001288-12"/>
    <x v="0"/>
    <s v="Valtová"/>
    <x v="568"/>
    <n v="12"/>
    <s v="Expandibilní náhrada obratlového těla hrudní a bederní páteře"/>
    <m/>
    <s v="33140000-3"/>
    <m/>
    <n v="4504700"/>
    <x v="0"/>
    <d v="2022-11-25T00:00:00"/>
    <d v="2023-01-06T00:00:00"/>
    <m/>
    <m/>
    <m/>
    <m/>
    <m/>
    <m/>
    <m/>
    <m/>
    <m/>
    <m/>
    <x v="4"/>
  </r>
  <r>
    <d v="2022-11-21T00:00:00"/>
    <s v="VZ-2022-001288-13"/>
    <x v="0"/>
    <s v="Valtová"/>
    <x v="568"/>
    <n v="13"/>
    <s v="Náhrada obratlového těla krční páteře"/>
    <m/>
    <s v="33140000-3"/>
    <m/>
    <n v="3504160"/>
    <x v="0"/>
    <d v="2022-11-25T00:00:00"/>
    <d v="2023-01-06T00:00:00"/>
    <m/>
    <m/>
    <m/>
    <m/>
    <m/>
    <m/>
    <m/>
    <m/>
    <m/>
    <m/>
    <x v="4"/>
  </r>
  <r>
    <d v="2022-11-21T00:00:00"/>
    <s v="VZ-2022-001290"/>
    <x v="0"/>
    <s v="Dočkalová"/>
    <x v="569"/>
    <m/>
    <m/>
    <m/>
    <s v="33140000-3"/>
    <m/>
    <n v="529200"/>
    <x v="2"/>
    <d v="2022-11-25T00:00:00"/>
    <d v="2022-12-08T00:00:00"/>
    <d v="2022-12-15T00:00:00"/>
    <s v="Laparotech Instruments s.r.o."/>
    <m/>
    <n v="529200"/>
    <n v="640332"/>
    <m/>
    <m/>
    <m/>
    <d v="2022-12-15T00:00:00"/>
    <s v="SMLN-2022-617-000866"/>
    <x v="4"/>
  </r>
  <r>
    <d v="2022-11-22T00:00:00"/>
    <s v="VZ-2022-001299"/>
    <x v="4"/>
    <s v="Olejníček"/>
    <x v="570"/>
    <m/>
    <m/>
    <m/>
    <s v="38434570-2"/>
    <s v="2.2.511."/>
    <n v="492000"/>
    <x v="2"/>
    <d v="2022-11-24T00:00:00"/>
    <d v="2022-12-02T00:00:00"/>
    <d v="2022-12-15T00:00:00"/>
    <s v="MEDISTA spol. s r.o."/>
    <m/>
    <n v="411280.32"/>
    <n v="497649.19"/>
    <m/>
    <m/>
    <m/>
    <d v="2022-12-15T00:00:00"/>
    <s v="SMLN-2022-617-000867_x000a_SMLN-2022-612-000231_x000a_SMLN-2022-617-000868"/>
    <x v="4"/>
  </r>
  <r>
    <d v="2022-11-23T00:00:00"/>
    <s v="VZ-2022-001302"/>
    <x v="0"/>
    <s v="Dočkalová"/>
    <x v="571"/>
    <m/>
    <m/>
    <m/>
    <s v="33140000-3"/>
    <m/>
    <n v="2589000"/>
    <x v="1"/>
    <d v="2022-11-29T00:00:00"/>
    <d v="2022-12-16T00:00:00"/>
    <m/>
    <s v="ADYTON s.r.o."/>
    <m/>
    <n v="2589000"/>
    <n v="2977350"/>
    <m/>
    <m/>
    <m/>
    <m/>
    <m/>
    <x v="4"/>
  </r>
  <r>
    <d v="2022-11-23T00:00:00"/>
    <s v="VZ-2022-001304"/>
    <x v="4"/>
    <s v="Olejníček"/>
    <x v="572"/>
    <m/>
    <m/>
    <m/>
    <s v="42912330-4"/>
    <s v="2.2.512."/>
    <n v="300000"/>
    <x v="2"/>
    <d v="2022-11-28T00:00:00"/>
    <d v="2022-12-06T00:00:00"/>
    <d v="2022-12-22T00:00:00"/>
    <s v="Fresenius Kabi s.r.o. Medical Care - ČR, s r.o."/>
    <m/>
    <n v="239620"/>
    <n v="289940.2"/>
    <m/>
    <m/>
    <m/>
    <d v="2022-12-22T00:00:00"/>
    <s v="SMLN-2022-617-000891_x000a_SMLN-2022-612-000236"/>
    <x v="4"/>
  </r>
  <r>
    <d v="2022-11-23T00:00:00"/>
    <s v="VZ-2022-001305"/>
    <x v="0"/>
    <s v="Valtová"/>
    <x v="573"/>
    <m/>
    <m/>
    <m/>
    <s v="33140000-3"/>
    <m/>
    <n v="4850000"/>
    <x v="0"/>
    <d v="2022-12-01T00:00:00"/>
    <d v="2023-01-23T00:00:00"/>
    <m/>
    <m/>
    <m/>
    <m/>
    <m/>
    <m/>
    <m/>
    <m/>
    <m/>
    <m/>
    <x v="4"/>
  </r>
  <r>
    <d v="2022-11-23T00:00:00"/>
    <s v="VZ-2022-001307"/>
    <x v="0"/>
    <s v="Dočkalová"/>
    <x v="574"/>
    <m/>
    <m/>
    <m/>
    <s v="33194100-7"/>
    <m/>
    <n v="2900000"/>
    <x v="1"/>
    <d v="2022-11-28T00:00:00"/>
    <d v="2023-01-16T00:00:00"/>
    <m/>
    <m/>
    <m/>
    <m/>
    <m/>
    <m/>
    <m/>
    <m/>
    <m/>
    <m/>
    <x v="4"/>
  </r>
  <r>
    <d v="2022-11-23T00:00:00"/>
    <s v="VZ-2022-001308"/>
    <x v="20"/>
    <s v="Zemánek"/>
    <x v="575"/>
    <m/>
    <m/>
    <m/>
    <s v="50400000-9"/>
    <m/>
    <n v="420000"/>
    <x v="2"/>
    <d v="2022-12-02T00:00:00"/>
    <d v="2022-12-13T00:00:00"/>
    <d v="2022-12-22T00:00:00"/>
    <s v="ROCHE s.r.o."/>
    <m/>
    <n v="472000"/>
    <n v="571120"/>
    <m/>
    <m/>
    <m/>
    <d v="2022-12-22T00:00:00"/>
    <s v="SMLN-2022-612-000234"/>
    <x v="4"/>
  </r>
  <r>
    <d v="2022-11-23T00:00:00"/>
    <s v="VZ-2022-001311"/>
    <x v="6"/>
    <s v="Zdráhalová"/>
    <x v="576"/>
    <m/>
    <m/>
    <m/>
    <s v="30199000-0"/>
    <m/>
    <n v="559800"/>
    <x v="2"/>
    <d v="2022-12-02T00:00:00"/>
    <d v="2022-12-13T00:00:00"/>
    <m/>
    <s v="zrušeno - bez hodnotitelné nabídky"/>
    <s v="nová VZ-2023-000001"/>
    <m/>
    <m/>
    <m/>
    <m/>
    <m/>
    <m/>
    <m/>
    <x v="4"/>
  </r>
  <r>
    <d v="2022-11-24T00:00:00"/>
    <s v="VZ-2022-001313"/>
    <x v="0"/>
    <s v="Dočkalová"/>
    <x v="577"/>
    <m/>
    <m/>
    <m/>
    <s v="33162200-5"/>
    <m/>
    <n v="20034600"/>
    <x v="0"/>
    <d v="2022-12-16T00:00:00"/>
    <d v="2023-01-18T00:00:00"/>
    <m/>
    <m/>
    <m/>
    <m/>
    <m/>
    <m/>
    <m/>
    <m/>
    <m/>
    <m/>
    <x v="4"/>
  </r>
  <r>
    <d v="2022-11-24T00:00:00"/>
    <s v="VZ-2022-001314-01"/>
    <x v="0"/>
    <s v="Valtová"/>
    <x v="578"/>
    <n v="1"/>
    <s v="1. Zavaděč - sety pro radiální přístup 5F a 6F (sheathy)"/>
    <m/>
    <s v="33140000-3"/>
    <m/>
    <n v="4292500"/>
    <x v="0"/>
    <m/>
    <m/>
    <m/>
    <m/>
    <m/>
    <m/>
    <m/>
    <m/>
    <m/>
    <m/>
    <m/>
    <m/>
    <x v="4"/>
  </r>
  <r>
    <d v="2022-11-24T00:00:00"/>
    <s v="VZ-2022-001314-02"/>
    <x v="0"/>
    <s v="Valtová"/>
    <x v="578"/>
    <n v="2"/>
    <s v="3. Diagnostické katetry angiografické koronární - Katetry 5F a 6F"/>
    <m/>
    <s v="33140000-3"/>
    <m/>
    <n v="248000"/>
    <x v="0"/>
    <m/>
    <m/>
    <m/>
    <m/>
    <m/>
    <m/>
    <m/>
    <m/>
    <m/>
    <m/>
    <m/>
    <m/>
    <x v="4"/>
  </r>
  <r>
    <d v="2022-11-24T00:00:00"/>
    <s v="VZ-2022-001314-03"/>
    <x v="0"/>
    <s v="Valtová"/>
    <x v="578"/>
    <n v="3"/>
    <s v="4. Diagnostické katetry angiografické koronární - Diagnostické radiální katetry  5F dedikované pro oboustrannou katetrizaci"/>
    <m/>
    <s v="33140000-3"/>
    <m/>
    <n v="6435000"/>
    <x v="0"/>
    <m/>
    <m/>
    <m/>
    <m/>
    <m/>
    <m/>
    <m/>
    <m/>
    <m/>
    <m/>
    <m/>
    <m/>
    <x v="4"/>
  </r>
  <r>
    <d v="2022-11-24T00:00:00"/>
    <s v="VZ-2022-001314-04"/>
    <x v="0"/>
    <s v="Valtová"/>
    <x v="578"/>
    <n v="4"/>
    <s v="7. Koronární (PTCA) vodiče - vodiče pro komplexní vinuté léze"/>
    <m/>
    <s v="33140000-3"/>
    <m/>
    <n v="1895000"/>
    <x v="0"/>
    <m/>
    <m/>
    <m/>
    <m/>
    <m/>
    <m/>
    <m/>
    <m/>
    <m/>
    <m/>
    <m/>
    <m/>
    <x v="4"/>
  </r>
  <r>
    <d v="2022-11-24T00:00:00"/>
    <s v="VZ-2022-001314-05"/>
    <x v="0"/>
    <s v="Valtová"/>
    <x v="578"/>
    <n v="5"/>
    <s v="14. Aspirační katetry"/>
    <m/>
    <s v="33140000-3"/>
    <m/>
    <n v="1525000"/>
    <x v="0"/>
    <m/>
    <m/>
    <m/>
    <m/>
    <m/>
    <m/>
    <m/>
    <m/>
    <m/>
    <m/>
    <m/>
    <m/>
    <x v="4"/>
  </r>
  <r>
    <s v="opakovaná VZ"/>
    <s v="VZ-2022-001314-06"/>
    <x v="0"/>
    <s v="Valtová"/>
    <x v="578"/>
    <n v="6"/>
    <s v="12.1. Vodící katetry - 6F - standardní"/>
    <m/>
    <s v="33140000-3"/>
    <m/>
    <n v="2736000"/>
    <x v="0"/>
    <m/>
    <m/>
    <m/>
    <m/>
    <m/>
    <m/>
    <m/>
    <m/>
    <m/>
    <m/>
    <m/>
    <m/>
    <x v="4"/>
  </r>
  <r>
    <s v="opakovaná VZ"/>
    <s v="VZ-2022-001314-07"/>
    <x v="0"/>
    <s v="Valtová"/>
    <x v="578"/>
    <n v="7"/>
    <s v="12.2.Vodící katetry – 6F – s prodlouženým atraumatickým tipem"/>
    <m/>
    <s v="33140000-3"/>
    <m/>
    <n v="1200000"/>
    <x v="0"/>
    <m/>
    <m/>
    <m/>
    <m/>
    <m/>
    <m/>
    <m/>
    <m/>
    <m/>
    <m/>
    <m/>
    <m/>
    <x v="4"/>
  </r>
  <r>
    <s v="opakovaná VZ"/>
    <s v="VZ-2022-001314-08"/>
    <x v="0"/>
    <s v="Valtová"/>
    <x v="578"/>
    <n v="8"/>
    <s v="12.3. Vodící katetry - 6F  - se zvýšenou oporou"/>
    <m/>
    <s v="33140000-3"/>
    <m/>
    <n v="1440000"/>
    <x v="0"/>
    <m/>
    <m/>
    <m/>
    <m/>
    <m/>
    <m/>
    <m/>
    <m/>
    <m/>
    <m/>
    <m/>
    <m/>
    <x v="4"/>
  </r>
  <r>
    <s v="opakovaná VZ"/>
    <s v="VZ-2022-001314-09"/>
    <x v="0"/>
    <s v="Valtová"/>
    <x v="578"/>
    <n v="9"/>
    <s v="Mikrokatétr koronární Supercross"/>
    <m/>
    <s v="33140000-3"/>
    <m/>
    <n v="1249587"/>
    <x v="0"/>
    <m/>
    <m/>
    <m/>
    <m/>
    <m/>
    <m/>
    <m/>
    <m/>
    <m/>
    <m/>
    <m/>
    <m/>
    <x v="4"/>
  </r>
  <r>
    <d v="2022-11-28T00:00:00"/>
    <s v="VZ-2022-001327"/>
    <x v="4"/>
    <s v="Olejníček"/>
    <x v="579"/>
    <m/>
    <m/>
    <m/>
    <s v="38436500-5"/>
    <s v="2.2.482."/>
    <n v="692781"/>
    <x v="2"/>
    <m/>
    <m/>
    <m/>
    <m/>
    <m/>
    <m/>
    <m/>
    <m/>
    <m/>
    <m/>
    <m/>
    <m/>
    <x v="4"/>
  </r>
  <r>
    <s v="opakovaná VZ"/>
    <s v="VZ-2022-001333"/>
    <x v="7"/>
    <s v="Svozil"/>
    <x v="580"/>
    <m/>
    <m/>
    <m/>
    <s v="45332200-5"/>
    <m/>
    <n v="550000"/>
    <x v="2"/>
    <d v="2022-12-02T00:00:00"/>
    <d v="2022-12-14T00:00:00"/>
    <d v="2022-12-19T00:00:00"/>
    <s v="MIZ Olomouc s.r.o."/>
    <m/>
    <n v="498638"/>
    <n v="603351.98"/>
    <m/>
    <m/>
    <m/>
    <d v="2022-12-19T00:00:00"/>
    <s v="SMLN-2022-618-000078"/>
    <x v="112"/>
  </r>
  <r>
    <s v="opakovaná VZ"/>
    <s v="VZ-2022-001335"/>
    <x v="4"/>
    <s v="Olejníček"/>
    <x v="581"/>
    <m/>
    <m/>
    <m/>
    <s v="33124200-7"/>
    <m/>
    <n v="290000"/>
    <x v="0"/>
    <d v="2022-12-01T00:00:00"/>
    <d v="2023-01-04T00:00:00"/>
    <m/>
    <m/>
    <m/>
    <m/>
    <m/>
    <m/>
    <m/>
    <m/>
    <m/>
    <m/>
    <x v="4"/>
  </r>
  <r>
    <d v="2022-11-28T00:00:00"/>
    <s v="VZ-2022-001336"/>
    <x v="0"/>
    <s v="Dočkalová"/>
    <x v="582"/>
    <m/>
    <m/>
    <m/>
    <s v="33162200-5"/>
    <m/>
    <n v="1096600"/>
    <x v="0"/>
    <d v="2022-12-02T00:00:00"/>
    <d v="2023-01-05T00:00:00"/>
    <m/>
    <m/>
    <m/>
    <m/>
    <m/>
    <m/>
    <m/>
    <m/>
    <m/>
    <m/>
    <x v="4"/>
  </r>
  <r>
    <d v="2022-11-30T00:00:00"/>
    <s v="VZ-2022-001338"/>
    <x v="4"/>
    <s v="Olejníček"/>
    <x v="583"/>
    <m/>
    <m/>
    <m/>
    <s v="33194100-7"/>
    <s v="2.3.689."/>
    <n v="166400"/>
    <x v="2"/>
    <d v="2022-12-01T00:00:00"/>
    <d v="2022-12-09T00:00:00"/>
    <m/>
    <m/>
    <m/>
    <m/>
    <m/>
    <m/>
    <m/>
    <m/>
    <m/>
    <m/>
    <x v="4"/>
  </r>
  <r>
    <d v="2022-11-30T00:00:00"/>
    <s v="VZ-2022-001339"/>
    <x v="4"/>
    <s v="Olejníček"/>
    <x v="584"/>
    <m/>
    <m/>
    <m/>
    <s v="33169100-3"/>
    <s v="2.3.685."/>
    <n v="31962689"/>
    <x v="0"/>
    <d v="2022-12-13T00:00:00"/>
    <d v="2023-01-16T00:00:00"/>
    <m/>
    <m/>
    <m/>
    <m/>
    <m/>
    <m/>
    <m/>
    <m/>
    <m/>
    <m/>
    <x v="4"/>
  </r>
  <r>
    <d v="2022-11-23T00:00:00"/>
    <s v="VZ-2022-001342"/>
    <x v="2"/>
    <s v="Langer"/>
    <x v="585"/>
    <m/>
    <m/>
    <m/>
    <s v="71000000-8 "/>
    <m/>
    <n v="7500000"/>
    <x v="0"/>
    <d v="2022-12-14T00:00:00"/>
    <d v="2023-01-16T00:00:00"/>
    <m/>
    <m/>
    <m/>
    <m/>
    <m/>
    <m/>
    <m/>
    <m/>
    <m/>
    <m/>
    <x v="4"/>
  </r>
  <r>
    <d v="2022-11-29T00:00:00"/>
    <s v="VZ-2022-001345"/>
    <x v="0"/>
    <s v="Valtová"/>
    <x v="586"/>
    <m/>
    <m/>
    <m/>
    <s v="33140000-3"/>
    <m/>
    <n v="2786400"/>
    <x v="1"/>
    <d v="2022-12-07T00:00:00"/>
    <d v="2023-01-13T00:00:00"/>
    <m/>
    <m/>
    <m/>
    <m/>
    <m/>
    <m/>
    <m/>
    <m/>
    <m/>
    <m/>
    <x v="4"/>
  </r>
  <r>
    <d v="2022-12-01T00:00:00"/>
    <s v="VZ-2022-001353-01"/>
    <x v="1"/>
    <s v="Ondráčková"/>
    <x v="587"/>
    <n v="1"/>
    <s v="ONDANSETRON"/>
    <m/>
    <s v="33652200-7 "/>
    <m/>
    <n v="820500"/>
    <x v="0"/>
    <m/>
    <m/>
    <m/>
    <m/>
    <m/>
    <m/>
    <m/>
    <m/>
    <m/>
    <m/>
    <m/>
    <m/>
    <x v="4"/>
  </r>
  <r>
    <d v="2022-12-01T00:00:00"/>
    <s v="VZ-2022-001353-02"/>
    <x v="1"/>
    <s v="Ondráčková"/>
    <x v="587"/>
    <n v="2"/>
    <s v="GRANISETRON"/>
    <m/>
    <s v="33652200-7 "/>
    <m/>
    <n v="200910"/>
    <x v="0"/>
    <m/>
    <m/>
    <m/>
    <m/>
    <m/>
    <m/>
    <m/>
    <m/>
    <m/>
    <m/>
    <m/>
    <m/>
    <x v="4"/>
  </r>
  <r>
    <d v="2022-12-01T00:00:00"/>
    <s v="VZ-2022-001353-03"/>
    <x v="1"/>
    <s v="Ondráčková"/>
    <x v="587"/>
    <n v="3"/>
    <s v="PALONOSETRON"/>
    <m/>
    <s v="33652200-7 "/>
    <m/>
    <n v="1001570"/>
    <x v="0"/>
    <m/>
    <m/>
    <m/>
    <m/>
    <m/>
    <m/>
    <m/>
    <m/>
    <m/>
    <m/>
    <m/>
    <m/>
    <x v="4"/>
  </r>
  <r>
    <d v="2022-12-01T00:00:00"/>
    <s v="VZ-2022-001354-01"/>
    <x v="1"/>
    <s v="Ondráčková"/>
    <x v="588"/>
    <n v="1"/>
    <s v="Sildenafil pro pacienty s indikací arteriální plicní hypertenze ve funkční třídě II. dle klasifikace NYHA"/>
    <m/>
    <s v="33642000-2"/>
    <m/>
    <n v="3197700"/>
    <x v="0"/>
    <m/>
    <m/>
    <m/>
    <m/>
    <m/>
    <m/>
    <m/>
    <m/>
    <m/>
    <m/>
    <m/>
    <m/>
    <x v="4"/>
  </r>
  <r>
    <d v="2022-12-01T00:00:00"/>
    <s v="VZ-2022-001354-02"/>
    <x v="1"/>
    <s v="Ondráčková"/>
    <x v="588"/>
    <n v="2"/>
    <s v="Sildenafil pro pacienty s indikací erektivní disfunkce"/>
    <m/>
    <s v="33642000-2"/>
    <m/>
    <n v="686464"/>
    <x v="0"/>
    <m/>
    <m/>
    <m/>
    <m/>
    <m/>
    <m/>
    <m/>
    <m/>
    <m/>
    <m/>
    <m/>
    <m/>
    <x v="4"/>
  </r>
  <r>
    <d v="2022-12-01T00:00:00"/>
    <s v="VZ-2022-001355-01"/>
    <x v="1"/>
    <s v="Ondráčková"/>
    <x v="589"/>
    <n v="1"/>
    <s v="THYROTROPIN ALFA"/>
    <m/>
    <s v="33642000-2"/>
    <m/>
    <n v="9752898"/>
    <x v="0"/>
    <m/>
    <m/>
    <m/>
    <m/>
    <m/>
    <m/>
    <m/>
    <m/>
    <m/>
    <m/>
    <m/>
    <m/>
    <x v="4"/>
  </r>
  <r>
    <d v="2022-12-01T00:00:00"/>
    <s v="VZ-2022-001355-02"/>
    <x v="1"/>
    <s v="Ondráčková"/>
    <x v="589"/>
    <n v="2"/>
    <s v="PEGVISOMANT"/>
    <m/>
    <s v="33642000-2"/>
    <m/>
    <n v="114943847"/>
    <x v="0"/>
    <m/>
    <m/>
    <m/>
    <m/>
    <m/>
    <m/>
    <m/>
    <m/>
    <m/>
    <m/>
    <m/>
    <m/>
    <x v="4"/>
  </r>
  <r>
    <d v="2022-12-05T00:00:00"/>
    <s v="VZ-2022-001360"/>
    <x v="1"/>
    <s v="Ondráčková"/>
    <x v="590"/>
    <m/>
    <s v="nebude realizováno v roce 2022 - bude se upravovat zadání"/>
    <m/>
    <s v="33614000-7"/>
    <m/>
    <n v="1605569"/>
    <x v="0"/>
    <m/>
    <m/>
    <m/>
    <m/>
    <m/>
    <m/>
    <m/>
    <m/>
    <m/>
    <m/>
    <m/>
    <m/>
    <x v="4"/>
  </r>
  <r>
    <s v="opakovaná VZ"/>
    <s v="VZ-2022-001361"/>
    <x v="1"/>
    <s v="Ondráčková"/>
    <x v="591"/>
    <m/>
    <m/>
    <m/>
    <s v="33661500-6"/>
    <m/>
    <n v="697450"/>
    <x v="2"/>
    <d v="2022-12-07T00:00:00"/>
    <d v="2022-12-16T00:00:00"/>
    <d v="2022-12-22T00:00:00"/>
    <s v="Alliance Healthcare, s.r.o."/>
    <m/>
    <n v="617752.05000000005"/>
    <n v="679527.26"/>
    <m/>
    <m/>
    <m/>
    <d v="2022-12-22T00:00:00"/>
    <s v="SMLN-2022-617-000888"/>
    <x v="4"/>
  </r>
  <r>
    <d v="2022-12-06T00:00:00"/>
    <s v="VZ-2022-001365"/>
    <x v="0"/>
    <s v="Dočkalová"/>
    <x v="592"/>
    <m/>
    <m/>
    <m/>
    <s v="33140000-3"/>
    <m/>
    <n v="1992000"/>
    <x v="1"/>
    <d v="2022-12-08T00:00:00"/>
    <d v="2022-12-28T00:00:00"/>
    <m/>
    <m/>
    <m/>
    <m/>
    <m/>
    <m/>
    <m/>
    <m/>
    <m/>
    <m/>
    <x v="4"/>
  </r>
  <r>
    <d v="2022-12-07T00:00:00"/>
    <s v="VZ-2022-001367"/>
    <x v="6"/>
    <s v="Zdráhalová"/>
    <x v="593"/>
    <m/>
    <m/>
    <m/>
    <s v="39830000-9"/>
    <m/>
    <n v="1303917"/>
    <x v="2"/>
    <d v="2022-12-08T00:00:00"/>
    <d v="2022-12-20T00:00:00"/>
    <m/>
    <m/>
    <m/>
    <m/>
    <m/>
    <m/>
    <m/>
    <m/>
    <m/>
    <m/>
    <x v="4"/>
  </r>
  <r>
    <d v="2022-12-06T00:00:00"/>
    <s v="VZ-2022-001369-01"/>
    <x v="0"/>
    <s v="Dočkalová"/>
    <x v="594"/>
    <n v="1"/>
    <s v="Sensory k systémům INVOS"/>
    <m/>
    <s v="33140000-3"/>
    <m/>
    <n v="403700"/>
    <x v="2"/>
    <d v="2022-12-13T00:00:00"/>
    <d v="2022-12-21T00:00:00"/>
    <m/>
    <s v="zrušeno - bez nabídky"/>
    <s v="nová VZ-2022-001415"/>
    <m/>
    <m/>
    <m/>
    <m/>
    <m/>
    <m/>
    <m/>
    <x v="4"/>
  </r>
  <r>
    <d v="2022-12-06T00:00:00"/>
    <s v="VZ-2022-001369-02"/>
    <x v="0"/>
    <s v="Dočkalová"/>
    <x v="594"/>
    <n v="2"/>
    <s v="Sensory k systémům Fore-sight ELITE a HemoSphere"/>
    <m/>
    <s v="33140000-3"/>
    <m/>
    <n v="1053360"/>
    <x v="2"/>
    <d v="2022-12-13T00:00:00"/>
    <d v="2022-12-21T00:00:00"/>
    <m/>
    <s v="Edwards Lifesciences Czech Republic s.r.o."/>
    <m/>
    <n v="877800"/>
    <n v="1062138"/>
    <m/>
    <m/>
    <m/>
    <m/>
    <m/>
    <x v="4"/>
  </r>
  <r>
    <d v="2022-12-08T00:00:00"/>
    <s v="VZ-2022-001380"/>
    <x v="0"/>
    <s v="Valtová"/>
    <x v="595"/>
    <m/>
    <m/>
    <m/>
    <s v="33140000-3"/>
    <m/>
    <n v="36939130.399999999"/>
    <x v="0"/>
    <d v="2022-12-13T00:00:00"/>
    <d v="2023-01-16T00:00:00"/>
    <m/>
    <m/>
    <m/>
    <m/>
    <m/>
    <m/>
    <m/>
    <m/>
    <m/>
    <m/>
    <x v="4"/>
  </r>
  <r>
    <s v="opakovaná VZ"/>
    <s v="VZ-2022-001382"/>
    <x v="4"/>
    <s v="Olejníček"/>
    <x v="596"/>
    <m/>
    <m/>
    <m/>
    <s v="33124100-6"/>
    <s v="2.3.652."/>
    <n v="148000"/>
    <x v="2"/>
    <d v="2022-12-13T00:00:00"/>
    <d v="2022-12-21T00:00:00"/>
    <m/>
    <m/>
    <m/>
    <m/>
    <m/>
    <m/>
    <m/>
    <m/>
    <m/>
    <m/>
    <x v="4"/>
  </r>
  <r>
    <d v="2022-12-15T00:00:00"/>
    <s v="VZ-2022-001399"/>
    <x v="0"/>
    <s v="Valtová"/>
    <x v="597"/>
    <m/>
    <m/>
    <m/>
    <s v="33140000–3"/>
    <m/>
    <n v="2012800"/>
    <x v="1"/>
    <d v="2022-12-22T00:00:00"/>
    <d v="2023-01-11T00:00:00"/>
    <m/>
    <m/>
    <m/>
    <m/>
    <m/>
    <m/>
    <m/>
    <m/>
    <m/>
    <m/>
    <x v="4"/>
  </r>
  <r>
    <d v="2022-12-14T00:00:00"/>
    <s v="VZ-2022-001402"/>
    <x v="0"/>
    <s v="Valtová"/>
    <x v="598"/>
    <m/>
    <m/>
    <m/>
    <s v="33140000–3"/>
    <m/>
    <n v="2392000"/>
    <x v="1"/>
    <d v="2022-12-22T00:00:00"/>
    <d v="2023-01-11T00:00:00"/>
    <m/>
    <m/>
    <m/>
    <m/>
    <m/>
    <m/>
    <m/>
    <m/>
    <m/>
    <m/>
    <x v="4"/>
  </r>
  <r>
    <d v="2022-12-21T00:00:00"/>
    <s v="VZ-2022-001406"/>
    <x v="6"/>
    <s v="Zdráhalová"/>
    <x v="599"/>
    <m/>
    <m/>
    <m/>
    <s v="39120000-9"/>
    <m/>
    <n v="4130812"/>
    <x v="0"/>
    <d v="2022-12-27T00:00:00"/>
    <d v="2023-02-06T00:00:00"/>
    <m/>
    <m/>
    <m/>
    <m/>
    <m/>
    <m/>
    <m/>
    <m/>
    <m/>
    <m/>
    <x v="4"/>
  </r>
  <r>
    <d v="2022-12-21T00:00:00"/>
    <s v="VZ-2022-001410"/>
    <x v="4"/>
    <s v="Olejníček"/>
    <x v="600"/>
    <m/>
    <m/>
    <m/>
    <s v="33195100-4"/>
    <s v="2.2.505."/>
    <n v="230000"/>
    <x v="2"/>
    <d v="2022-12-29T00:00:00"/>
    <d v="2023-01-10T00:00:00"/>
    <m/>
    <m/>
    <m/>
    <m/>
    <m/>
    <m/>
    <m/>
    <m/>
    <m/>
    <m/>
    <x v="4"/>
  </r>
  <r>
    <d v="2022-12-19T00:00:00"/>
    <s v="VZ-2022-001412"/>
    <x v="5"/>
    <s v="Srovnal"/>
    <x v="601"/>
    <m/>
    <m/>
    <m/>
    <s v="45312100-8"/>
    <m/>
    <n v="5500000"/>
    <x v="0"/>
    <m/>
    <m/>
    <m/>
    <m/>
    <m/>
    <m/>
    <m/>
    <m/>
    <m/>
    <m/>
    <m/>
    <m/>
    <x v="4"/>
  </r>
  <r>
    <s v="opakovaná VZ"/>
    <s v="VZ-2022-001415"/>
    <x v="0"/>
    <s v="Dočkalová"/>
    <x v="602"/>
    <m/>
    <m/>
    <m/>
    <s v="33140000-3"/>
    <m/>
    <n v="403700"/>
    <x v="2"/>
    <m/>
    <m/>
    <m/>
    <m/>
    <m/>
    <m/>
    <m/>
    <m/>
    <m/>
    <m/>
    <m/>
    <m/>
    <x v="4"/>
  </r>
  <r>
    <d v="2022-12-16T00:00:00"/>
    <s v="VZ-2022-001416"/>
    <x v="1"/>
    <s v="Ondráčková"/>
    <x v="603"/>
    <m/>
    <m/>
    <m/>
    <s v="71900000-7"/>
    <m/>
    <n v="1806250"/>
    <x v="2"/>
    <m/>
    <m/>
    <m/>
    <m/>
    <m/>
    <m/>
    <m/>
    <m/>
    <m/>
    <m/>
    <m/>
    <m/>
    <x v="4"/>
  </r>
  <r>
    <d v="2022-12-20T00:00:00"/>
    <s v="VZ-2022-001417"/>
    <x v="2"/>
    <s v="Spáčil"/>
    <x v="604"/>
    <m/>
    <m/>
    <m/>
    <s v="39120000-9"/>
    <m/>
    <n v="2500000"/>
    <x v="1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  <r>
    <m/>
    <m/>
    <x v="23"/>
    <m/>
    <x v="605"/>
    <m/>
    <m/>
    <m/>
    <m/>
    <m/>
    <m/>
    <x v="5"/>
    <m/>
    <m/>
    <m/>
    <m/>
    <m/>
    <m/>
    <m/>
    <m/>
    <m/>
    <m/>
    <m/>
    <m/>
    <x v="4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4">
  <r>
    <d v="2019-02-05T00:00:00"/>
    <s v="VZ-2019-000124"/>
    <s v="ZM"/>
    <s v="Čech"/>
    <x v="0"/>
    <n v="1"/>
    <s v="Rukavice operační sterilní pudrované"/>
    <m/>
    <s v="33141420-0"/>
    <m/>
    <n v="397171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s v="ZM"/>
    <s v="Čech"/>
    <x v="0"/>
    <n v="2"/>
    <s v="Rukavice operační sterilní nepudrované"/>
    <m/>
    <s v="33141420-0"/>
    <m/>
    <n v="874104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s v="ZM"/>
    <s v="Čech"/>
    <x v="0"/>
    <n v="3"/>
    <s v="Rukavice vyšetřovací nitrilové bez pudru v pevnosti 6N"/>
    <m/>
    <s v="33141420-0"/>
    <m/>
    <n v="2968290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s v="ZM"/>
    <s v="Čech"/>
    <x v="0"/>
    <n v="4"/>
    <s v="Rukavice vyšetřovací nitrilové bez pudru v pevnosti 9N "/>
    <m/>
    <s v="33141420-0"/>
    <m/>
    <n v="16065920"/>
    <x v="0"/>
    <d v="2019-03-29T00:00:00"/>
    <d v="2019-07-08T00:00:00"/>
    <m/>
    <m/>
    <m/>
    <m/>
    <m/>
    <m/>
    <m/>
    <m/>
    <m/>
    <m/>
    <x v="0"/>
    <d v="2020-02-26T00:00:00"/>
    <s v="10.2.2020 zrušeno"/>
  </r>
  <r>
    <d v="2019-02-05T00:00:00"/>
    <s v="VZ-2019-000124"/>
    <s v="ZM"/>
    <s v="Čech"/>
    <x v="0"/>
    <n v="5"/>
    <s v="Rukavice vyšetřovací latexové pudrované"/>
    <m/>
    <s v="33141420-0"/>
    <m/>
    <n v="41469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s v="ZM"/>
    <s v="Čech"/>
    <x v="0"/>
    <n v="6"/>
    <s v="Rukavice vyšetřovací latexové nepudrované"/>
    <m/>
    <s v="33141420-0"/>
    <m/>
    <n v="267840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s v="ZM"/>
    <s v="Čech"/>
    <x v="0"/>
    <n v="7"/>
    <s v="Rukavice vyšetřovací vinylové nepudrované"/>
    <m/>
    <s v="33141420-0"/>
    <m/>
    <n v="20880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4-09T00:00:00"/>
    <s v="VZ-2019-000384"/>
    <s v="LÉK"/>
    <s v="Ondráčková"/>
    <x v="1"/>
    <n v="2"/>
    <s v="Gentamicin  I."/>
    <s v="J01GB03"/>
    <s v="33651100-9"/>
    <m/>
    <n v="566785"/>
    <x v="0"/>
    <d v="2019-05-06T00:00:00"/>
    <d v="2019-07-12T00:00:00"/>
    <d v="2019-11-12T00:00:00"/>
    <s v="Alliance Healthcare s.r.o."/>
    <m/>
    <n v="565770.1"/>
    <n v="622347.11"/>
    <m/>
    <m/>
    <m/>
    <d v="2019-11-12T00:00:00"/>
    <s v="SMLN-2019-617-000562"/>
    <x v="1"/>
    <d v="2020-03-05T00:00:00"/>
    <d v="2022-02-23T00:00:00"/>
  </r>
  <r>
    <d v="2019-04-09T00:00:00"/>
    <s v="VZ-2019-000384"/>
    <s v="LÉK"/>
    <s v="Ondráčková"/>
    <x v="1"/>
    <n v="8"/>
    <s v="Linezolid"/>
    <s v="J01XX08"/>
    <s v="33651100-9"/>
    <m/>
    <n v="230996"/>
    <x v="0"/>
    <d v="2019-05-06T00:00:00"/>
    <d v="2019-07-12T00:00:00"/>
    <d v="2019-11-12T00:00:00"/>
    <s v="Fresenius Kabi s.r.o."/>
    <m/>
    <n v="229270"/>
    <n v="252197"/>
    <m/>
    <m/>
    <m/>
    <d v="2019-11-12T00:00:00"/>
    <s v="SMLN-2019-617-000563"/>
    <x v="1"/>
    <d v="2020-03-05T00:00:00"/>
    <d v="2022-02-23T00:00:00"/>
  </r>
  <r>
    <d v="2019-04-09T00:00:00"/>
    <s v="VZ-2019-000384"/>
    <s v="LÉK"/>
    <s v="Ondráčková"/>
    <x v="1"/>
    <n v="9"/>
    <s v="Sulfamethoxazol a trimethoprim"/>
    <s v="J01EE01"/>
    <s v="33651100-9"/>
    <m/>
    <n v="1057697"/>
    <x v="0"/>
    <d v="2019-05-06T00:00:00"/>
    <d v="2019-07-12T00:00:00"/>
    <d v="2019-11-12T00:00:00"/>
    <s v="PHOENIX lék.velkoobchod, s.r.o."/>
    <m/>
    <n v="1057608"/>
    <n v="1163368"/>
    <m/>
    <m/>
    <m/>
    <d v="2019-11-12T00:00:00"/>
    <s v="SMLN-2019-617-000564"/>
    <x v="1"/>
    <d v="2020-03-05T00:00:00"/>
    <d v="2022-02-23T00:00:00"/>
  </r>
  <r>
    <d v="2019-04-09T00:00:00"/>
    <s v="VZ-2019-000384"/>
    <s v="LÉK"/>
    <s v="Ondráčková"/>
    <x v="1"/>
    <n v="10"/>
    <s v="Klarithromycin"/>
    <s v="J01FA09"/>
    <s v="33651100-9"/>
    <m/>
    <n v="1855269"/>
    <x v="0"/>
    <d v="2019-05-06T00:00:00"/>
    <d v="2019-07-12T00:00:00"/>
    <d v="2019-11-12T00:00:00"/>
    <s v="PHARMOS, a.s."/>
    <m/>
    <n v="1833340.74"/>
    <n v="2016674.81"/>
    <m/>
    <m/>
    <m/>
    <d v="2019-11-12T00:00:00"/>
    <s v="SMLN-2019-617-000565"/>
    <x v="1"/>
    <d v="2020-03-05T00:00:00"/>
    <d v="2022-02-23T00:00:00"/>
  </r>
  <r>
    <d v="2019-04-09T00:00:00"/>
    <s v="VZ-2019-000384"/>
    <s v="LÉK"/>
    <s v="Ondráčková"/>
    <x v="1"/>
    <n v="11"/>
    <s v="Ceftazidim a sodná sůl avibactamu"/>
    <s v="J01DD52"/>
    <s v="33651100-9"/>
    <m/>
    <n v="151853"/>
    <x v="0"/>
    <d v="2019-05-06T00:00:00"/>
    <d v="2019-07-12T00:00:00"/>
    <d v="2019-11-12T00:00:00"/>
    <s v="PHOENIX lék.velkoobchod, s.r.o."/>
    <m/>
    <n v="150348.79999999999"/>
    <n v="165383.67999999999"/>
    <m/>
    <m/>
    <m/>
    <d v="2019-11-12T00:00:00"/>
    <s v="SMLN-2019-617-000566"/>
    <x v="1"/>
    <d v="2020-03-05T00:00:00"/>
    <d v="2022-02-23T00:00:00"/>
  </r>
  <r>
    <d v="2019-04-09T00:00:00"/>
    <s v="VZ-2019-000384"/>
    <s v="LÉK"/>
    <s v="Ondráčková"/>
    <x v="1"/>
    <n v="12"/>
    <s v="Cefepim"/>
    <s v="J01DE01"/>
    <s v="33651100-9"/>
    <m/>
    <n v="430818"/>
    <x v="0"/>
    <d v="2019-05-06T00:00:00"/>
    <d v="2019-07-12T00:00:00"/>
    <d v="2019-11-12T00:00:00"/>
    <s v="PHARMOS, a.s."/>
    <m/>
    <n v="258834.2"/>
    <n v="284717.62"/>
    <m/>
    <m/>
    <m/>
    <d v="2019-11-12T00:00:00"/>
    <s v="SMLN-2019-617-000567"/>
    <x v="1"/>
    <d v="2020-03-05T00:00:00"/>
    <d v="2022-02-23T00:00:00"/>
  </r>
  <r>
    <d v="2019-04-09T00:00:00"/>
    <s v="VZ-2019-000384"/>
    <s v="LÉK"/>
    <s v="Ondráčková"/>
    <x v="1"/>
    <n v="13"/>
    <s v="Tazobaktam a ceftolozan-sulfát"/>
    <s v="J01DI54"/>
    <s v="33651100-9"/>
    <m/>
    <n v="959749"/>
    <x v="0"/>
    <d v="2019-05-06T00:00:00"/>
    <d v="2019-07-12T00:00:00"/>
    <d v="2019-11-12T00:00:00"/>
    <s v="MSD s.r.o."/>
    <m/>
    <n v="942993.6"/>
    <n v="1037292.96"/>
    <m/>
    <m/>
    <m/>
    <d v="2019-11-12T00:00:00"/>
    <s v="SMLN-2019-617-000568"/>
    <x v="1"/>
    <d v="2020-03-05T00:00:00"/>
    <d v="2022-02-23T00:00:00"/>
  </r>
  <r>
    <d v="2019-04-09T00:00:00"/>
    <s v="VZ-2019-000384"/>
    <s v="LÉK"/>
    <s v="Ondráčková"/>
    <x v="1"/>
    <n v="15"/>
    <s v="Benzylpenicilin"/>
    <s v="J01CE01"/>
    <s v="33651100-9"/>
    <m/>
    <n v="164810"/>
    <x v="0"/>
    <d v="2019-05-06T00:00:00"/>
    <d v="2019-07-12T00:00:00"/>
    <d v="2020-01-30T00:00:00"/>
    <s v="PHARMOS, a.s."/>
    <m/>
    <n v="164807.20000000001"/>
    <n v="181287.92000000004"/>
    <m/>
    <m/>
    <m/>
    <d v="2020-01-31T00:00:00"/>
    <s v="SMLN-2020-617-000055"/>
    <x v="2"/>
    <d v="2020-03-05T00:00:00"/>
    <d v="2022-03-01T00:00:00"/>
  </r>
  <r>
    <d v="2019-04-24T00:00:00"/>
    <s v="VZ-2019-000453"/>
    <s v="ZM"/>
    <s v="Dočkalová"/>
    <x v="2"/>
    <n v="1"/>
    <s v="PCS2"/>
    <m/>
    <s v="33140000-3"/>
    <m/>
    <n v="31542000"/>
    <x v="0"/>
    <d v="2019-06-12T00:00:00"/>
    <d v="2019-08-28T00:00:00"/>
    <d v="2020-01-28T00:00:00"/>
    <s v="VIVACOM s..ro."/>
    <m/>
    <n v="31192000"/>
    <n v="37742320"/>
    <m/>
    <m/>
    <m/>
    <d v="2020-06-01T00:00:00"/>
    <s v="SMLN-2020-617-000216_x000a_SMLN-2020-616-000027"/>
    <x v="3"/>
    <d v="2020-07-28T00:00:00"/>
    <d v="2028-07-22T00:00:00"/>
  </r>
  <r>
    <d v="2019-04-24T00:00:00"/>
    <s v="VZ-2019-000453"/>
    <s v="ZM"/>
    <s v="Dočkalová"/>
    <x v="2"/>
    <n v="2"/>
    <s v="MCS+"/>
    <m/>
    <s v="33140000-3"/>
    <m/>
    <n v="19657800"/>
    <x v="0"/>
    <d v="2019-06-12T00:00:00"/>
    <d v="2019-08-28T00:00:00"/>
    <d v="2019-10-04T00:00:00"/>
    <s v="VAMEX, spol. s r.o."/>
    <m/>
    <n v="18450000"/>
    <n v="22324500"/>
    <m/>
    <m/>
    <m/>
    <d v="2019-10-07T00:00:00"/>
    <s v="SMLN-2019-617-000485_x000a_SMLN-2019-616-000060"/>
    <x v="4"/>
    <d v="2020-01-14T00:00:00"/>
    <d v="2028-01-05T00:00:00"/>
  </r>
  <r>
    <d v="2019-04-29T00:00:00"/>
    <s v="VZ-2019-000493"/>
    <s v="ZM"/>
    <s v="Dočkalová"/>
    <x v="3"/>
    <m/>
    <s v=" 3.3. námitky odmítnuty, zrušit VZ"/>
    <m/>
    <s v="33140000-3"/>
    <m/>
    <n v="57312000"/>
    <x v="0"/>
    <d v="2019-06-04T00:00:00"/>
    <d v="2019-09-04T00:00:00"/>
    <d v="2020-01-31T00:00:00"/>
    <s v="VIVACOM s..ro."/>
    <m/>
    <n v="46048000"/>
    <n v="55718080"/>
    <m/>
    <m/>
    <m/>
    <d v="2020-02-04T00:00:00"/>
    <s v="SMLN-2020-617-000062_x000a_SMLN-2020-616-000007"/>
    <x v="0"/>
    <d v="2020-04-07T00:00:00"/>
    <s v="13.3.2020 zušeno"/>
  </r>
  <r>
    <d v="2019-05-17T00:00:00"/>
    <s v="VZ-2019-000533"/>
    <s v="LÉK"/>
    <s v="Ondráčková"/>
    <x v="4"/>
    <n v="4"/>
    <s v="Sultamicilin"/>
    <s v="J01CR04"/>
    <s v="33651100-9"/>
    <m/>
    <n v="135108"/>
    <x v="0"/>
    <d v="2019-05-24T00:00:00"/>
    <d v="2019-07-11T00:00:00"/>
    <d v="2019-12-05T00:00:00"/>
    <s v="Alliance Healthcare s.r.o."/>
    <m/>
    <n v="134452.5"/>
    <n v="147897.75"/>
    <m/>
    <m/>
    <m/>
    <d v="2019-12-06T00:00:00"/>
    <s v="SMLN-2019-617-000628"/>
    <x v="5"/>
    <d v="2020-01-27T00:00:00"/>
    <d v="2022-01-23T00:00:00"/>
  </r>
  <r>
    <d v="2019-05-17T00:00:00"/>
    <s v="VZ-2019-000533"/>
    <s v="LÉK"/>
    <s v="Ondráčková"/>
    <x v="4"/>
    <n v="5"/>
    <s v="Ciprofloxacin"/>
    <s v="J01MA02"/>
    <s v="33651100-9"/>
    <m/>
    <n v="250029"/>
    <x v="0"/>
    <d v="2019-05-24T00:00:00"/>
    <d v="2019-07-11T00:00:00"/>
    <d v="2019-10-17T00:00:00"/>
    <s v="Alliance Healthcare s.r.o."/>
    <m/>
    <n v="215896.32000000001"/>
    <n v="237485.95"/>
    <m/>
    <m/>
    <m/>
    <d v="2019-10-18T00:00:00"/>
    <s v="SMLN-2019-617-000523"/>
    <x v="4"/>
    <d v="2020-01-17T00:00:00"/>
    <d v="2022-01-05T00:00:00"/>
  </r>
  <r>
    <d v="2019-05-17T00:00:00"/>
    <s v="VZ-2019-000536"/>
    <s v="LÉK"/>
    <s v="Ondráčková"/>
    <x v="5"/>
    <n v="1"/>
    <s v="Spotřební materiál pro AAS"/>
    <m/>
    <s v="33694000-1"/>
    <m/>
    <n v="7800"/>
    <x v="0"/>
    <d v="2019-06-14T00:00:00"/>
    <d v="2019-08-20T00:00:00"/>
    <d v="2019-12-17T00:00:00"/>
    <s v="LAB MARK a.s."/>
    <m/>
    <n v="7800"/>
    <n v="9438"/>
    <m/>
    <m/>
    <m/>
    <d v="2019-12-19T00:00:00"/>
    <s v="SMLN-2019-617-000653"/>
    <x v="6"/>
    <d v="2020-03-04T00:00:00"/>
    <d v="2021-02-18T00:00:00"/>
  </r>
  <r>
    <d v="2019-05-17T00:00:00"/>
    <s v="VZ-2019-000536"/>
    <s v="LÉK"/>
    <s v="Ondráčková"/>
    <x v="5"/>
    <n v="3"/>
    <s v="Spotřební materiál pro Arkray Adams "/>
    <m/>
    <s v="33694000-1"/>
    <m/>
    <n v="519966"/>
    <x v="0"/>
    <d v="2019-06-14T00:00:00"/>
    <d v="2019-08-20T00:00:00"/>
    <d v="2019-12-17T00:00:00"/>
    <s v="MEDISTA spol. s r.o."/>
    <m/>
    <n v="450000"/>
    <n v="544500"/>
    <m/>
    <m/>
    <m/>
    <d v="2019-12-19T00:00:00"/>
    <s v="SMLN-2019-617-000654"/>
    <x v="6"/>
    <d v="2020-03-04T00:00:00"/>
    <d v="2021-02-18T00:00:00"/>
  </r>
  <r>
    <d v="2019-05-17T00:00:00"/>
    <s v="VZ-2019-000536"/>
    <s v="LÉK"/>
    <s v="Ondráčková"/>
    <x v="5"/>
    <n v="4"/>
    <s v="Spotřební materiál pro Arkray Amonia Checker"/>
    <m/>
    <s v="33694000-1"/>
    <m/>
    <n v="43451"/>
    <x v="0"/>
    <d v="2019-06-14T00:00:00"/>
    <d v="2019-08-20T00:00:00"/>
    <d v="2019-12-17T00:00:00"/>
    <s v="MEDISTA spol. s r.o."/>
    <m/>
    <n v="43450"/>
    <n v="52574.5"/>
    <m/>
    <m/>
    <m/>
    <d v="2019-12-19T00:00:00"/>
    <s v="SMLN-2019-617-000655"/>
    <x v="6"/>
    <d v="2020-03-04T00:00:00"/>
    <d v="2021-02-18T00:00:00"/>
  </r>
  <r>
    <d v="2019-05-17T00:00:00"/>
    <s v="VZ-2019-000536"/>
    <s v="LÉK"/>
    <s v="Ondráčková"/>
    <x v="5"/>
    <n v="5"/>
    <s v="Spotřební materiál pro Arkray Osmometr I."/>
    <m/>
    <s v="33694000-1"/>
    <m/>
    <n v="9780"/>
    <x v="0"/>
    <d v="2019-06-14T00:00:00"/>
    <d v="2019-08-20T00:00:00"/>
    <d v="2019-12-17T00:00:00"/>
    <s v="MEDISTA spol. s r.o."/>
    <m/>
    <n v="9780"/>
    <n v="11833.8"/>
    <m/>
    <m/>
    <m/>
    <d v="2019-12-19T00:00:00"/>
    <s v="SMLN-2019-617-000656"/>
    <x v="6"/>
    <d v="2020-03-04T00:00:00"/>
    <d v="2021-02-18T00:00:00"/>
  </r>
  <r>
    <d v="2019-05-17T00:00:00"/>
    <s v="VZ-2019-000536"/>
    <s v="LÉK"/>
    <s v="Ondráčková"/>
    <x v="5"/>
    <n v="6"/>
    <s v="Spotřební materiál pro Arkray Osmometr II."/>
    <m/>
    <s v="33694000-1"/>
    <m/>
    <n v="1853"/>
    <x v="0"/>
    <d v="2019-06-14T00:00:00"/>
    <d v="2019-08-20T00:00:00"/>
    <d v="2019-12-17T00:00:00"/>
    <s v="MEDISTA spol. s r.o."/>
    <m/>
    <n v="1800"/>
    <n v="2178"/>
    <m/>
    <m/>
    <m/>
    <d v="2019-12-19T00:00:00"/>
    <s v="SMLN-2019-617-000657"/>
    <x v="6"/>
    <d v="2020-03-04T00:00:00"/>
    <d v="2021-02-18T00:00:00"/>
  </r>
  <r>
    <d v="2019-05-17T00:00:00"/>
    <s v="VZ-2019-000536"/>
    <s v="LÉK"/>
    <s v="Ondráčková"/>
    <x v="5"/>
    <n v="7"/>
    <s v="Spotřební materiál pro Dynablot"/>
    <m/>
    <s v="33694000-1"/>
    <m/>
    <n v="225101"/>
    <x v="0"/>
    <d v="2019-06-14T00:00:00"/>
    <d v="2019-08-20T00:00:00"/>
    <d v="2019-12-17T00:00:00"/>
    <s v="ASCO-MED, spol.  s r.o."/>
    <m/>
    <n v="204400"/>
    <n v="247324"/>
    <m/>
    <m/>
    <m/>
    <d v="2019-12-19T00:00:00"/>
    <s v="SMLN-2019-617-000658"/>
    <x v="6"/>
    <d v="2020-03-04T00:00:00"/>
    <d v="2021-02-18T00:00:00"/>
  </r>
  <r>
    <d v="2019-05-17T00:00:00"/>
    <s v="VZ-2019-000536"/>
    <s v="LÉK"/>
    <s v="Ondráčková"/>
    <x v="5"/>
    <n v="9"/>
    <s v="Spotřební materiál pro Evolis  II."/>
    <m/>
    <s v="33694000-1"/>
    <m/>
    <n v="160200"/>
    <x v="0"/>
    <d v="2019-06-14T00:00:00"/>
    <d v="2019-08-20T00:00:00"/>
    <d v="2019-12-17T00:00:00"/>
    <s v="Beckman Coulter Česká republika s.r.o."/>
    <m/>
    <n v="160200"/>
    <n v="193842"/>
    <m/>
    <m/>
    <m/>
    <d v="2019-12-19T00:00:00"/>
    <s v="SMLN-2019-617-000661"/>
    <x v="6"/>
    <d v="2020-03-04T00:00:00"/>
    <d v="2021-02-18T00:00:00"/>
  </r>
  <r>
    <d v="2019-05-17T00:00:00"/>
    <s v="VZ-2019-000536"/>
    <s v="LÉK"/>
    <s v="Ondráčková"/>
    <x v="5"/>
    <n v="10"/>
    <s v="Spotřební materiál pro Evolis  III."/>
    <m/>
    <s v="33694000-1"/>
    <m/>
    <n v="8775"/>
    <x v="0"/>
    <d v="2019-06-14T00:00:00"/>
    <d v="2019-08-20T00:00:00"/>
    <d v="2019-12-17T00:00:00"/>
    <s v="Bio-Rad spol. s r.o."/>
    <m/>
    <n v="8750"/>
    <n v="10587.5"/>
    <m/>
    <m/>
    <m/>
    <d v="2019-12-19T00:00:00"/>
    <s v="SMLN-2019-617-000662"/>
    <x v="6"/>
    <d v="2020-03-04T00:00:00"/>
    <d v="2021-02-18T00:00:00"/>
  </r>
  <r>
    <d v="2019-05-17T00:00:00"/>
    <s v="VZ-2019-000536"/>
    <s v="LÉK"/>
    <s v="Ondráčková"/>
    <x v="5"/>
    <n v="14"/>
    <s v="Spotřební materiál pro Evolis VII."/>
    <m/>
    <s v="33694000-1"/>
    <m/>
    <n v="253762"/>
    <x v="0"/>
    <d v="2019-06-14T00:00:00"/>
    <d v="2019-08-20T00:00:00"/>
    <d v="2019-12-17T00:00:00"/>
    <s v="Dynex LabSolutions s.r.o."/>
    <m/>
    <n v="242505.8"/>
    <n v="293432.02"/>
    <m/>
    <m/>
    <m/>
    <d v="2019-12-19T00:00:00"/>
    <s v="SMLN-2019-617-000663"/>
    <x v="6"/>
    <d v="2020-03-04T00:00:00"/>
    <d v="2021-02-18T00:00:00"/>
  </r>
  <r>
    <d v="2019-05-17T00:00:00"/>
    <s v="VZ-2019-000536"/>
    <s v="LÉK"/>
    <s v="Ondráčková"/>
    <x v="5"/>
    <n v="15"/>
    <s v="Spotřební materiál pro Immulite 2000"/>
    <m/>
    <s v="33694000-1"/>
    <m/>
    <n v="1070340"/>
    <x v="0"/>
    <d v="2019-06-14T00:00:00"/>
    <d v="2019-08-20T00:00:00"/>
    <d v="2019-12-17T00:00:00"/>
    <s v="Siemens Healthcare s.r.o."/>
    <m/>
    <n v="1023157.5"/>
    <n v="1238020.58"/>
    <m/>
    <m/>
    <m/>
    <d v="2019-12-19T00:00:00"/>
    <s v="SMLN-2019-617-000664"/>
    <x v="6"/>
    <d v="2020-03-04T00:00:00"/>
    <d v="2021-02-18T00:00:00"/>
  </r>
  <r>
    <d v="2019-05-17T00:00:00"/>
    <s v="VZ-2019-000541"/>
    <s v="LÉK"/>
    <s v="Ondráčková"/>
    <x v="6"/>
    <n v="1"/>
    <s v="Spotřební materiál pro CFX96 I."/>
    <m/>
    <s v="33694000-1"/>
    <m/>
    <n v="2903053"/>
    <x v="0"/>
    <d v="2019-06-04T00:00:00"/>
    <d v="2019-08-12T00:00:00"/>
    <d v="2019-12-19T00:00:00"/>
    <s v="GeneTiCA s.r.o."/>
    <m/>
    <n v="2903040"/>
    <n v="3512678.3999999999"/>
    <m/>
    <m/>
    <m/>
    <d v="2019-12-20T00:00:00"/>
    <s v="SMLN-2019-617-000666"/>
    <x v="7"/>
    <d v="2020-03-10T00:00:00"/>
    <d v="2021-02-24T00:00:00"/>
  </r>
  <r>
    <d v="2019-05-17T00:00:00"/>
    <s v="VZ-2019-000541"/>
    <s v="LÉK"/>
    <s v="Ondráčková"/>
    <x v="6"/>
    <n v="3"/>
    <s v="Spotřební materiál pro Cobas TaqMan"/>
    <m/>
    <s v="33694000-1"/>
    <m/>
    <n v="285400"/>
    <x v="0"/>
    <d v="2019-06-04T00:00:00"/>
    <d v="2019-08-12T00:00:00"/>
    <d v="2019-12-19T00:00:00"/>
    <s v="ROCHE s.r.o."/>
    <m/>
    <n v="285400"/>
    <n v="345334"/>
    <m/>
    <m/>
    <m/>
    <d v="2019-12-20T00:00:00"/>
    <s v="SMLN-2019-617-000667"/>
    <x v="7"/>
    <d v="2020-03-10T00:00:00"/>
    <d v="2021-02-24T00:00:00"/>
  </r>
  <r>
    <d v="2019-05-17T00:00:00"/>
    <s v="VZ-2019-000541"/>
    <s v="LÉK"/>
    <s v="Ondráčková"/>
    <x v="6"/>
    <n v="5"/>
    <s v="Spotřební materiál pro Fotometr Biotek ELx808 I."/>
    <m/>
    <s v="33694000-1"/>
    <m/>
    <n v="372050"/>
    <x v="0"/>
    <d v="2019-06-04T00:00:00"/>
    <d v="2019-08-12T00:00:00"/>
    <d v="2019-12-19T00:00:00"/>
    <s v="Biomedica ČS, s.r.o."/>
    <m/>
    <n v="237646.8"/>
    <n v="287552.63"/>
    <m/>
    <m/>
    <m/>
    <d v="2019-12-20T00:00:00"/>
    <s v="SMLN-2019-617-000668"/>
    <x v="7"/>
    <d v="2020-03-10T00:00:00"/>
    <d v="2021-02-24T00:00:00"/>
  </r>
  <r>
    <d v="2019-05-17T00:00:00"/>
    <s v="VZ-2019-000541"/>
    <s v="LÉK"/>
    <s v="Ondráčková"/>
    <x v="6"/>
    <n v="7"/>
    <s v="Spotřební materiál pro Fotometr Biotek ELx808 III."/>
    <m/>
    <s v="33694000-1"/>
    <m/>
    <n v="916955"/>
    <x v="0"/>
    <d v="2019-06-04T00:00:00"/>
    <d v="2019-08-12T00:00:00"/>
    <d v="2019-12-19T00:00:00"/>
    <s v="Dynex LabSolutions s.r.o."/>
    <m/>
    <n v="906965.5"/>
    <n v="1097428.26"/>
    <m/>
    <m/>
    <m/>
    <d v="2019-12-20T00:00:00"/>
    <s v="SMLN-2019-617-000669"/>
    <x v="7"/>
    <d v="2020-03-10T00:00:00"/>
    <d v="2021-02-24T00:00:00"/>
  </r>
  <r>
    <d v="2019-05-17T00:00:00"/>
    <s v="VZ-2019-000541"/>
    <s v="LÉK"/>
    <s v="Ondráčková"/>
    <x v="6"/>
    <n v="8"/>
    <s v="Kultivační média pro automat WASP"/>
    <m/>
    <s v="33694000-1"/>
    <m/>
    <n v="2769329"/>
    <x v="0"/>
    <d v="2019-06-04T00:00:00"/>
    <d v="2019-08-12T00:00:00"/>
    <d v="2019-12-19T00:00:00"/>
    <s v="TRIOS, spol. s r.o."/>
    <m/>
    <n v="2723403.66"/>
    <n v="3295318.43"/>
    <m/>
    <m/>
    <m/>
    <d v="2019-12-20T00:00:00"/>
    <s v="SMLN-2019-617-000670"/>
    <x v="7"/>
    <d v="2020-03-10T00:00:00"/>
    <d v="2021-02-24T00:00:00"/>
  </r>
  <r>
    <d v="2019-05-17T00:00:00"/>
    <s v="VZ-2019-000543"/>
    <s v="LÉK"/>
    <s v="Ondráčková"/>
    <x v="7"/>
    <n v="1"/>
    <s v="Spotřební materiál pro mikrobiologii II."/>
    <m/>
    <s v="33694000-1"/>
    <m/>
    <n v="182310"/>
    <x v="0"/>
    <d v="2019-06-05T00:00:00"/>
    <d v="2019-08-29T00:00:00"/>
    <d v="2020-01-14T00:00:00"/>
    <s v="Abbot Rapid Diagnostics s.r.o."/>
    <m/>
    <n v="182306.4"/>
    <n v="220590.74"/>
    <m/>
    <m/>
    <m/>
    <d v="2020-01-15T00:00:00"/>
    <s v="SMLN-2020-617-000018"/>
    <x v="8"/>
    <d v="2020-03-10T00:00:00"/>
    <d v="2021-02-25T00:00:00"/>
  </r>
  <r>
    <d v="2019-05-17T00:00:00"/>
    <s v="VZ-2019-000543"/>
    <s v="LÉK"/>
    <s v="Ondráčková"/>
    <x v="7"/>
    <n v="2"/>
    <s v="Spotřební materiál pro mikrobiologii III."/>
    <m/>
    <s v="33694000-1"/>
    <m/>
    <n v="291206"/>
    <x v="0"/>
    <d v="2019-06-05T00:00:00"/>
    <d v="2019-08-29T00:00:00"/>
    <d v="2020-01-14T00:00:00"/>
    <s v="Bio-Rad spol. s r.o."/>
    <m/>
    <n v="280887"/>
    <n v="339873.27"/>
    <m/>
    <m/>
    <m/>
    <d v="2020-01-15T00:00:00"/>
    <s v="SMLN-2020-617-000019"/>
    <x v="8"/>
    <d v="2020-03-10T00:00:00"/>
    <d v="2021-02-25T00:00:00"/>
  </r>
  <r>
    <d v="2019-05-17T00:00:00"/>
    <s v="VZ-2019-000543"/>
    <s v="LÉK"/>
    <s v="Ondráčková"/>
    <x v="7"/>
    <n v="3"/>
    <s v="Spotřební materiál pro mikrobiologii IV."/>
    <m/>
    <s v="33694000-1"/>
    <m/>
    <n v="12360"/>
    <x v="0"/>
    <d v="2019-06-05T00:00:00"/>
    <d v="2019-08-29T00:00:00"/>
    <d v="2020-01-14T00:00:00"/>
    <s v="BioVendor - Laboratorní medicína a.s."/>
    <m/>
    <n v="12355"/>
    <n v="14949.55"/>
    <m/>
    <m/>
    <m/>
    <d v="2020-01-15T00:00:00"/>
    <s v="SMLN-2020-617-000020"/>
    <x v="8"/>
    <d v="2020-03-10T00:00:00"/>
    <d v="2021-02-25T00:00:00"/>
  </r>
  <r>
    <d v="2019-05-17T00:00:00"/>
    <s v="VZ-2019-000543"/>
    <s v="LÉK"/>
    <s v="Ondráčková"/>
    <x v="7"/>
    <n v="4"/>
    <s v="Spotřební materiál pro mikrobiologii V."/>
    <m/>
    <s v="33694000-1"/>
    <m/>
    <n v="409529"/>
    <x v="0"/>
    <d v="2019-06-05T00:00:00"/>
    <d v="2019-08-29T00:00:00"/>
    <d v="2020-01-14T00:00:00"/>
    <s v="GALI spol. s r.o."/>
    <m/>
    <n v="377920"/>
    <n v="457283.2"/>
    <m/>
    <m/>
    <m/>
    <d v="2020-01-15T00:00:00"/>
    <s v="SMLN-2020-617-000021"/>
    <x v="8"/>
    <d v="2020-03-10T00:00:00"/>
    <d v="2021-02-25T00:00:00"/>
  </r>
  <r>
    <d v="2019-05-17T00:00:00"/>
    <s v="VZ-2019-000543"/>
    <s v="LÉK"/>
    <s v="Ondráčková"/>
    <x v="7"/>
    <n v="5"/>
    <s v="Spotřební materiál pro Qiacube"/>
    <m/>
    <s v="33694000-1"/>
    <m/>
    <n v="379509"/>
    <x v="0"/>
    <d v="2019-06-05T00:00:00"/>
    <d v="2019-08-29T00:00:00"/>
    <d v="2020-01-14T00:00:00"/>
    <s v="OXOID CZ s.r.o."/>
    <m/>
    <n v="354775.75"/>
    <n v="429278.66"/>
    <m/>
    <m/>
    <m/>
    <d v="2020-01-15T00:00:00"/>
    <s v="SMLN-2020-617-000022"/>
    <x v="8"/>
    <d v="2020-03-10T00:00:00"/>
    <d v="2021-02-25T00:00:00"/>
  </r>
  <r>
    <d v="2019-05-17T00:00:00"/>
    <s v="VZ-2019-000543"/>
    <s v="LÉK"/>
    <s v="Ondráčková"/>
    <x v="7"/>
    <n v="6"/>
    <s v="Spotřební materiál pro mikrobiologii VI."/>
    <m/>
    <s v="33694000-1"/>
    <m/>
    <n v="162467"/>
    <x v="0"/>
    <d v="2019-06-05T00:00:00"/>
    <d v="2019-08-29T00:00:00"/>
    <d v="2020-01-14T00:00:00"/>
    <s v="TRIOS, spol. s r.o."/>
    <m/>
    <n v="159480.6"/>
    <n v="192971.53"/>
    <m/>
    <m/>
    <m/>
    <d v="2020-01-15T00:00:00"/>
    <s v="SMLN-2020-617-000023"/>
    <x v="8"/>
    <d v="2020-03-10T00:00:00"/>
    <d v="2021-02-25T00:00:00"/>
  </r>
  <r>
    <d v="2019-05-17T00:00:00"/>
    <s v="VZ-2019-000543"/>
    <s v="LÉK"/>
    <s v="Ondráčková"/>
    <x v="7"/>
    <n v="8"/>
    <s v="Spotřební materiál pro mikrobiologii VIII."/>
    <m/>
    <s v="33694000-1"/>
    <m/>
    <n v="202652"/>
    <x v="0"/>
    <d v="2019-06-05T00:00:00"/>
    <d v="2019-08-29T00:00:00"/>
    <d v="2020-01-14T00:00:00"/>
    <s v="VIDIA spol. s r.o."/>
    <m/>
    <n v="193451"/>
    <n v="234075.71"/>
    <m/>
    <m/>
    <m/>
    <d v="2020-01-15T00:00:00"/>
    <s v="SMLN-2020-617-000024"/>
    <x v="8"/>
    <d v="2020-03-10T00:00:00"/>
    <d v="2021-02-25T00:00:00"/>
  </r>
  <r>
    <d v="2019-05-17T00:00:00"/>
    <s v="VZ-2019-000543"/>
    <s v="LÉK"/>
    <s v="Ondráčková"/>
    <x v="7"/>
    <n v="9"/>
    <s v="Spotřební materiál pro mikrobiologii  IX."/>
    <m/>
    <s v="33694000-1"/>
    <m/>
    <n v="601611"/>
    <x v="0"/>
    <d v="2019-06-05T00:00:00"/>
    <d v="2019-08-29T00:00:00"/>
    <d v="2020-01-14T00:00:00"/>
    <s v="BioVendor - Laboratorní medicína a.s."/>
    <m/>
    <n v="600024"/>
    <n v="726029.04"/>
    <m/>
    <m/>
    <m/>
    <d v="2020-01-15T00:00:00"/>
    <s v="SMLN-2020-617-000025"/>
    <x v="8"/>
    <d v="2020-03-10T00:00:00"/>
    <d v="2021-02-25T00:00:00"/>
  </r>
  <r>
    <d v="2019-05-17T00:00:00"/>
    <s v="VZ-2019-000543"/>
    <s v="LÉK"/>
    <s v="Ondráčková"/>
    <x v="7"/>
    <n v="10"/>
    <s v="Spotřební materiál pro mikrobiologii  X."/>
    <m/>
    <s v="33694000-1"/>
    <m/>
    <n v="253696"/>
    <x v="0"/>
    <d v="2019-06-05T00:00:00"/>
    <d v="2019-08-29T00:00:00"/>
    <d v="2020-01-14T00:00:00"/>
    <s v="TRIOS, spol. s r.o."/>
    <m/>
    <n v="253671.2"/>
    <n v="306942.15000000002"/>
    <m/>
    <m/>
    <m/>
    <d v="2020-01-15T00:00:00"/>
    <s v="SMLN-2020-617-000026"/>
    <x v="8"/>
    <d v="2020-03-10T00:00:00"/>
    <d v="2021-02-25T00:00:00"/>
  </r>
  <r>
    <d v="2019-05-17T00:00:00"/>
    <s v="VZ-2019-000543"/>
    <s v="LÉK"/>
    <s v="Ondráčková"/>
    <x v="7"/>
    <n v="11"/>
    <s v="Spotřební materiál pro Profiblot 48 Tecan"/>
    <m/>
    <s v="33694000-1"/>
    <m/>
    <n v="434935"/>
    <x v="0"/>
    <d v="2019-06-05T00:00:00"/>
    <d v="2019-08-29T00:00:00"/>
    <d v="2020-01-14T00:00:00"/>
    <s v="DYNEX Technologies spol.s r.o."/>
    <m/>
    <n v="428961"/>
    <n v="519042.81"/>
    <m/>
    <m/>
    <m/>
    <d v="2020-01-15T00:00:00"/>
    <s v="SMLN-2020-617-000027"/>
    <x v="8"/>
    <d v="2020-03-10T00:00:00"/>
    <d v="2021-02-25T00:00:00"/>
  </r>
  <r>
    <d v="2019-05-17T00:00:00"/>
    <s v="VZ-2019-000543"/>
    <s v="LÉK"/>
    <s v="Ondráčková"/>
    <x v="7"/>
    <n v="12"/>
    <s v="Spotřební materiál pro CFX96 III."/>
    <m/>
    <s v="33694000-1"/>
    <m/>
    <n v="918481"/>
    <x v="0"/>
    <d v="2019-06-05T00:00:00"/>
    <d v="2019-08-29T00:00:00"/>
    <d v="2020-01-14T00:00:00"/>
    <s v="Biomedica ČS, s.r.o."/>
    <m/>
    <n v="813050"/>
    <n v="983790.5"/>
    <m/>
    <m/>
    <m/>
    <d v="2020-01-15T00:00:00"/>
    <s v="SMLN-2020-617-000028"/>
    <x v="8"/>
    <d v="2020-03-10T00:00:00"/>
    <d v="2021-02-25T00:00:00"/>
  </r>
  <r>
    <d v="2019-05-17T00:00:00"/>
    <s v="VZ-2019-000543"/>
    <s v="LÉK"/>
    <s v="Ondráčková"/>
    <x v="7"/>
    <n v="13"/>
    <s v="Spotřební materiál pro CFX96 IV."/>
    <m/>
    <s v="33694000-1"/>
    <m/>
    <n v="320000"/>
    <x v="0"/>
    <d v="2019-06-05T00:00:00"/>
    <d v="2019-08-29T00:00:00"/>
    <d v="2020-01-14T00:00:00"/>
    <s v="GALI spol. s r.o."/>
    <m/>
    <n v="320000"/>
    <n v="387200"/>
    <m/>
    <m/>
    <m/>
    <d v="2020-01-15T00:00:00"/>
    <s v="SMLN-2020-617-000029"/>
    <x v="8"/>
    <d v="2020-03-10T00:00:00"/>
    <d v="2021-02-25T00:00:00"/>
  </r>
  <r>
    <d v="2019-05-17T00:00:00"/>
    <s v="VZ-2019-000543"/>
    <s v="LÉK"/>
    <s v="Ondráčková"/>
    <x v="7"/>
    <n v="14"/>
    <s v="Spotřební materiál pro GeneXpert, Cepheid"/>
    <m/>
    <s v="33694000-1"/>
    <m/>
    <n v="98615"/>
    <x v="0"/>
    <d v="2019-06-05T00:00:00"/>
    <d v="2019-08-29T00:00:00"/>
    <d v="2020-01-14T00:00:00"/>
    <s v="LABOSERV s.r.o."/>
    <m/>
    <n v="96305"/>
    <n v="116529.05"/>
    <m/>
    <m/>
    <m/>
    <d v="2020-01-15T00:00:00"/>
    <s v="SMLN-2020-617-000030"/>
    <x v="8"/>
    <d v="2020-03-10T00:00:00"/>
    <d v="2021-02-25T00:00:00"/>
  </r>
  <r>
    <d v="2019-05-17T00:00:00"/>
    <s v="VZ-2019-000544"/>
    <s v="LÉK"/>
    <s v="Ondráčková"/>
    <x v="8"/>
    <n v="1"/>
    <s v="Spotřební materiál pro BD FACSCanto"/>
    <m/>
    <s v="33694000-1"/>
    <m/>
    <n v="401500"/>
    <x v="0"/>
    <d v="2019-06-07T00:00:00"/>
    <d v="2019-08-13T00:00:00"/>
    <d v="2019-12-17T00:00:00"/>
    <s v="Becton Dickinson  Czechia, s.r.o."/>
    <m/>
    <n v="252220"/>
    <n v="305186.2"/>
    <m/>
    <m/>
    <m/>
    <d v="2019-12-19T00:00:00"/>
    <s v="SMLN-2019-617-000647"/>
    <x v="7"/>
    <d v="2020-03-09T00:00:00"/>
    <d v="2021-02-24T00:00:00"/>
  </r>
  <r>
    <d v="2019-05-17T00:00:00"/>
    <s v="VZ-2019-000544"/>
    <s v="LÉK"/>
    <s v="Ondráčková"/>
    <x v="8"/>
    <n v="2"/>
    <s v="Spotřební materiál pro Cyklery Bio Rad, Biometra I"/>
    <m/>
    <s v="33694000-1"/>
    <m/>
    <n v="3061174"/>
    <x v="0"/>
    <d v="2019-06-07T00:00:00"/>
    <d v="2019-08-13T00:00:00"/>
    <d v="2019-12-17T00:00:00"/>
    <s v="INTERSOL, spol. s r.o."/>
    <m/>
    <n v="3001319"/>
    <n v="3631595.99"/>
    <m/>
    <m/>
    <m/>
    <d v="2019-12-19T00:00:00"/>
    <s v="SMLN-2019-617-000648"/>
    <x v="7"/>
    <d v="2020-03-09T00:00:00"/>
    <d v="2021-02-24T00:00:00"/>
  </r>
  <r>
    <d v="2019-05-17T00:00:00"/>
    <s v="VZ-2019-000544"/>
    <s v="LÉK"/>
    <s v="Ondráčková"/>
    <x v="8"/>
    <n v="5"/>
    <s v="Elekroforézy Max Power 500"/>
    <m/>
    <s v="33694000-1"/>
    <m/>
    <n v="159200"/>
    <x v="0"/>
    <d v="2019-06-07T00:00:00"/>
    <d v="2019-08-13T00:00:00"/>
    <d v="2019-12-17T00:00:00"/>
    <s v="BioTech a.s."/>
    <m/>
    <n v="107440"/>
    <n v="130002.4"/>
    <m/>
    <m/>
    <m/>
    <d v="2019-12-19T00:00:00"/>
    <s v="SMLN-2019-617-000649"/>
    <x v="7"/>
    <d v="2020-03-09T00:00:00"/>
    <d v="2021-02-24T00:00:00"/>
  </r>
  <r>
    <d v="2019-05-17T00:00:00"/>
    <s v="VZ-2019-000544"/>
    <s v="LÉK"/>
    <s v="Ondráčková"/>
    <x v="8"/>
    <n v="6"/>
    <s v="Spotřební materiál pro  ELISA Reader Biotek"/>
    <m/>
    <s v="33694000-1"/>
    <m/>
    <n v="443295"/>
    <x v="0"/>
    <d v="2019-06-07T00:00:00"/>
    <d v="2019-08-13T00:00:00"/>
    <d v="2019-12-17T00:00:00"/>
    <s v="CEEMED s.r.o."/>
    <m/>
    <n v="443294"/>
    <n v="509788.1"/>
    <m/>
    <m/>
    <m/>
    <d v="2019-12-19T00:00:00"/>
    <s v="SMLN-2019-617-000650"/>
    <x v="7"/>
    <d v="2020-03-09T00:00:00"/>
    <d v="2021-02-24T00:00:00"/>
  </r>
  <r>
    <d v="2019-05-17T00:00:00"/>
    <s v="VZ-2019-000544"/>
    <s v="LÉK"/>
    <s v="Ondráčková"/>
    <x v="8"/>
    <n v="7"/>
    <s v="Spotřební materiál pro  fotometr Tecan Sunrise I."/>
    <m/>
    <s v="33694000-1"/>
    <m/>
    <n v="138334"/>
    <x v="0"/>
    <d v="2019-06-07T00:00:00"/>
    <d v="2019-08-13T00:00:00"/>
    <m/>
    <s v="zrušeno - jediný účastník vyloučen"/>
    <m/>
    <m/>
    <m/>
    <m/>
    <m/>
    <m/>
    <d v="2019-12-19T00:00:00"/>
    <s v="SMLN-2019-617-000651"/>
    <x v="0"/>
    <d v="2020-03-09T00:00:00"/>
    <s v="14.2. zrušeno"/>
  </r>
  <r>
    <d v="2019-05-17T00:00:00"/>
    <s v="VZ-2019-000544"/>
    <s v="LÉK"/>
    <s v="Ondráčková"/>
    <x v="8"/>
    <n v="9"/>
    <s v="Spotřební materiál pro fotometr Tecan Sunrise III."/>
    <m/>
    <s v="33694000-1"/>
    <m/>
    <n v="630771"/>
    <x v="0"/>
    <d v="2019-06-07T00:00:00"/>
    <d v="2019-08-13T00:00:00"/>
    <d v="2019-12-17T00:00:00"/>
    <s v="GALI spol. s r.o."/>
    <m/>
    <n v="630740"/>
    <n v="763195.4"/>
    <m/>
    <m/>
    <m/>
    <d v="2019-12-19T00:00:00"/>
    <s v="SMLN-2019-617-000652"/>
    <x v="7"/>
    <d v="2020-03-09T00:00:00"/>
    <d v="2021-02-24T00:00:00"/>
  </r>
  <r>
    <d v="2019-05-17T00:00:00"/>
    <s v="VZ-2019-000547"/>
    <s v="LÉK"/>
    <s v="Ondráčková"/>
    <x v="9"/>
    <n v="3"/>
    <s v="Protilátky a chemikálie pro IHC metody II."/>
    <m/>
    <s v="33694000-1"/>
    <m/>
    <n v="1064078"/>
    <x v="1"/>
    <d v="2019-06-05T00:00:00"/>
    <d v="2019-07-22T00:00:00"/>
    <d v="2019-10-30T00:00:00"/>
    <s v="ROCHE s.r.o."/>
    <m/>
    <n v="1053324.42"/>
    <n v="1274522.55"/>
    <m/>
    <m/>
    <m/>
    <d v="2019-10-31T00:00:00"/>
    <s v="SMLN-2019-617-000537"/>
    <x v="9"/>
    <d v="2020-01-24T00:00:00"/>
    <d v="2021-01-19T00:00:00"/>
  </r>
  <r>
    <d v="2019-05-17T00:00:00"/>
    <s v="VZ-2019-000547"/>
    <s v="LÉK"/>
    <s v="Ondráčková"/>
    <x v="9"/>
    <n v="5"/>
    <s v="Protilátky pro IHC metody I."/>
    <m/>
    <s v="33694000-1"/>
    <m/>
    <n v="256728"/>
    <x v="1"/>
    <d v="2019-06-05T00:00:00"/>
    <d v="2019-07-22T00:00:00"/>
    <d v="2019-10-30T00:00:00"/>
    <s v="ASCO-MED, spol.  s r.o."/>
    <m/>
    <n v="256725"/>
    <n v="310637.25"/>
    <m/>
    <m/>
    <m/>
    <d v="2019-10-31T00:00:00"/>
    <s v="SMLN-2019-617-000539"/>
    <x v="9"/>
    <d v="2020-01-24T00:00:00"/>
    <d v="2021-01-19T00:00:00"/>
  </r>
  <r>
    <d v="2019-05-17T00:00:00"/>
    <s v="VZ-2019-000547"/>
    <s v="LÉK"/>
    <s v="Ondráčková"/>
    <x v="9"/>
    <n v="9"/>
    <s v="Protilátky pro IHC metody V."/>
    <m/>
    <s v="33694000-1"/>
    <m/>
    <n v="91580"/>
    <x v="1"/>
    <d v="2019-06-05T00:00:00"/>
    <d v="2019-07-22T00:00:00"/>
    <d v="2019-10-30T00:00:00"/>
    <s v="Spinchem s.r.o."/>
    <m/>
    <n v="91578"/>
    <n v="110809.38"/>
    <m/>
    <m/>
    <m/>
    <d v="2019-10-31T00:00:00"/>
    <s v="SMLN-2019-617-000542"/>
    <x v="10"/>
    <d v="2020-02-07T00:00:00"/>
    <d v="2021-01-28T00:00:00"/>
  </r>
  <r>
    <d v="2019-05-24T00:00:00"/>
    <s v="VZ-2019-000600"/>
    <s v="LÉK"/>
    <s v="Ondráčková"/>
    <x v="10"/>
    <n v="2"/>
    <s v="Spotřební materiál pro molekulární biologii II."/>
    <m/>
    <s v="33694000-1"/>
    <m/>
    <n v="1636320"/>
    <x v="0"/>
    <d v="2019-07-01T00:00:00"/>
    <d v="2019-09-03T00:00:00"/>
    <d v="2019-11-07T00:00:00"/>
    <s v="DYNEX Technologies spol.s r.o."/>
    <m/>
    <n v="1390872"/>
    <n v="1682955.12"/>
    <m/>
    <m/>
    <m/>
    <d v="2019-11-12T00:00:00"/>
    <s v="SMLN-2019-617-000557"/>
    <x v="11"/>
    <d v="2020-01-20T00:00:00"/>
    <d v="2022-01-12T00:00:00"/>
  </r>
  <r>
    <d v="2019-05-24T00:00:00"/>
    <s v="VZ-2019-000600"/>
    <s v="LÉK"/>
    <s v="Ondráčková"/>
    <x v="10"/>
    <n v="4"/>
    <s v="Spotřební materiál pro molekulární biologii IV."/>
    <m/>
    <s v="33694000-1"/>
    <m/>
    <n v="1891521"/>
    <x v="0"/>
    <d v="2019-07-01T00:00:00"/>
    <d v="2019-09-03T00:00:00"/>
    <d v="2019-11-07T00:00:00"/>
    <s v="Carolina Biosystems, s.r.o."/>
    <m/>
    <n v="1458000"/>
    <n v="1764180"/>
    <m/>
    <m/>
    <m/>
    <d v="2019-11-12T00:00:00"/>
    <s v="SMLN-2019-617-000558"/>
    <x v="11"/>
    <d v="2020-01-20T00:00:00"/>
    <d v="2022-01-12T00:00:00"/>
  </r>
  <r>
    <d v="2019-05-24T00:00:00"/>
    <s v="VZ-2019-000600"/>
    <s v="LÉK"/>
    <s v="Ondráčková"/>
    <x v="10"/>
    <n v="8"/>
    <s v="Spotřební materiál pro průtokovou cytometrii II."/>
    <m/>
    <s v="33694000-1"/>
    <m/>
    <n v="2393323"/>
    <x v="0"/>
    <d v="2019-07-01T00:00:00"/>
    <d v="2019-09-03T00:00:00"/>
    <d v="2019-11-07T00:00:00"/>
    <s v="I.T.A. - Interact s.r.o."/>
    <m/>
    <n v="2367830"/>
    <n v="2865074.3"/>
    <m/>
    <m/>
    <m/>
    <d v="2019-11-12T00:00:00"/>
    <s v="SMLN-2019-617-000559"/>
    <x v="11"/>
    <d v="2020-01-20T00:00:00"/>
    <d v="2022-01-12T00:00:00"/>
  </r>
  <r>
    <d v="2019-05-24T00:00:00"/>
    <s v="VZ-2019-000601"/>
    <s v="LÉK"/>
    <s v="Ondráčková"/>
    <x v="11"/>
    <n v="2"/>
    <s v="Spotřební materiál pro genetiku  II."/>
    <m/>
    <s v="33694000-1"/>
    <m/>
    <n v="120719"/>
    <x v="1"/>
    <d v="2019-06-11T00:00:00"/>
    <d v="2019-07-24T00:00:00"/>
    <d v="2019-11-19T00:00:00"/>
    <s v="Bio-Rad spol. s r.o."/>
    <m/>
    <n v="120018"/>
    <n v="145221.78"/>
    <m/>
    <m/>
    <m/>
    <d v="2019-11-22T00:00:00"/>
    <s v="SMLN-2019-617-000594"/>
    <x v="9"/>
    <d v="2020-01-24T00:00:00"/>
    <d v="2021-01-19T00:00:00"/>
  </r>
  <r>
    <d v="2019-05-24T00:00:00"/>
    <s v="VZ-2019-000601"/>
    <s v="LÉK"/>
    <s v="Ondráčková"/>
    <x v="11"/>
    <n v="3"/>
    <s v="Spotřební materiál pro genetiku  III."/>
    <m/>
    <s v="33694000-1"/>
    <m/>
    <n v="106305"/>
    <x v="1"/>
    <d v="2019-06-11T00:00:00"/>
    <d v="2019-07-24T00:00:00"/>
    <d v="2019-12-05T00:00:00"/>
    <s v="BioTech a.s."/>
    <m/>
    <n v="61860"/>
    <n v="74850.600000000006"/>
    <m/>
    <m/>
    <m/>
    <d v="2019-12-06T00:00:00"/>
    <s v="SMLN-2019-617-000620"/>
    <x v="12"/>
    <d v="2020-02-21T00:00:00"/>
    <d v="2021-02-12T00:00:00"/>
  </r>
  <r>
    <d v="2019-05-24T00:00:00"/>
    <s v="VZ-2019-000601"/>
    <s v="LÉK"/>
    <s v="Ondráčková"/>
    <x v="11"/>
    <n v="4"/>
    <s v="Spotřební materiál pro genetiku  IV."/>
    <m/>
    <s v="33694000-1"/>
    <m/>
    <n v="278842"/>
    <x v="1"/>
    <d v="2019-06-11T00:00:00"/>
    <d v="2019-07-24T00:00:00"/>
    <d v="2019-11-19T00:00:00"/>
    <s v="GeneTiCA s.r.o."/>
    <m/>
    <n v="258489"/>
    <n v="312771.69"/>
    <m/>
    <m/>
    <m/>
    <d v="2019-11-22T00:00:00"/>
    <s v="SMLN-2019-617-000595"/>
    <x v="12"/>
    <d v="2020-02-21T00:00:00"/>
    <d v="2021-02-12T00:00:00"/>
  </r>
  <r>
    <d v="2019-05-24T00:00:00"/>
    <s v="VZ-2019-000601"/>
    <s v="LÉK"/>
    <s v="Ondráčková"/>
    <x v="11"/>
    <n v="6"/>
    <s v="Spotřební materiál pro genetiku  VI."/>
    <m/>
    <s v="33694000-1"/>
    <m/>
    <n v="1095475"/>
    <x v="1"/>
    <d v="2019-06-11T00:00:00"/>
    <d v="2019-07-24T00:00:00"/>
    <d v="2019-11-19T00:00:00"/>
    <s v="Life Technologies Czech Republic s.r.o."/>
    <m/>
    <n v="1052298.1000000001"/>
    <n v="1273280.7"/>
    <m/>
    <m/>
    <m/>
    <d v="2019-11-22T00:00:00"/>
    <s v="SMLN-2019-617-000596"/>
    <x v="12"/>
    <d v="2020-02-21T00:00:00"/>
    <d v="2021-02-12T00:00:00"/>
  </r>
  <r>
    <d v="2019-05-24T00:00:00"/>
    <s v="VZ-2019-000601"/>
    <s v="LÉK"/>
    <s v="Ondráčková"/>
    <x v="11"/>
    <n v="8"/>
    <s v="Spotřební materiál pro genetiku  VIII."/>
    <m/>
    <s v="33694000-1"/>
    <m/>
    <n v="222160"/>
    <x v="1"/>
    <d v="2019-06-11T00:00:00"/>
    <d v="2019-07-24T00:00:00"/>
    <d v="2019-11-19T00:00:00"/>
    <s v="ROCHE s.r.o."/>
    <m/>
    <n v="133296"/>
    <n v="161288.16"/>
    <m/>
    <m/>
    <m/>
    <d v="2019-11-22T00:00:00"/>
    <s v="SMLN-2019-617-000597"/>
    <x v="12"/>
    <d v="2020-02-21T00:00:00"/>
    <d v="2021-02-12T00:00:00"/>
  </r>
  <r>
    <d v="2019-05-24T00:00:00"/>
    <s v="VZ-2019-000602"/>
    <s v="LÉK"/>
    <s v="Ondráčková"/>
    <x v="12"/>
    <n v="2"/>
    <s v="Spotřební materiál pro experimentální medicínu II."/>
    <m/>
    <s v="33694000-1"/>
    <m/>
    <n v="142941"/>
    <x v="0"/>
    <d v="2019-06-14T00:00:00"/>
    <d v="2019-09-09T00:00:00"/>
    <d v="2019-11-19T00:00:00"/>
    <s v="HPST, s.r.o."/>
    <m/>
    <n v="142931.54"/>
    <n v="172947.16"/>
    <m/>
    <m/>
    <m/>
    <d v="2019-11-22T00:00:00"/>
    <s v="SMLN-2019-617-000586"/>
    <x v="9"/>
    <d v="2020-01-23T00:00:00"/>
    <d v="2021-01-19T00:00:00"/>
  </r>
  <r>
    <d v="2019-05-24T00:00:00"/>
    <s v="VZ-2019-000602"/>
    <s v="LÉK"/>
    <s v="Ondráčková"/>
    <x v="12"/>
    <n v="4"/>
    <s v="Spotřební materiál pro experimentální medicínu IV."/>
    <m/>
    <s v="33694000-1"/>
    <m/>
    <n v="235929"/>
    <x v="0"/>
    <d v="2019-06-14T00:00:00"/>
    <d v="2019-09-09T00:00:00"/>
    <d v="2019-11-19T00:00:00"/>
    <s v="INTIMEX s.r.o."/>
    <m/>
    <n v="235926"/>
    <n v="285470.46000000002"/>
    <m/>
    <m/>
    <m/>
    <d v="2019-11-22T00:00:00"/>
    <s v="SMLN-2019-617-000587"/>
    <x v="9"/>
    <d v="2020-01-23T00:00:00"/>
    <d v="2021-01-19T00:00:00"/>
  </r>
  <r>
    <d v="2019-05-24T00:00:00"/>
    <s v="VZ-2019-000602"/>
    <s v="LÉK"/>
    <s v="Ondráčková"/>
    <x v="12"/>
    <n v="5"/>
    <s v="Spotřební materiál pro experimentální medicínu V."/>
    <m/>
    <s v="33694000-1"/>
    <m/>
    <n v="74910"/>
    <x v="0"/>
    <d v="2019-06-14T00:00:00"/>
    <d v="2019-09-09T00:00:00"/>
    <d v="2019-11-19T00:00:00"/>
    <s v="KRD - obchodní společnost s.r.o."/>
    <m/>
    <n v="74700"/>
    <n v="90387"/>
    <m/>
    <m/>
    <m/>
    <d v="2019-11-22T00:00:00"/>
    <s v="SMLN-2019-617-000588"/>
    <x v="9"/>
    <d v="2020-01-23T00:00:00"/>
    <d v="2021-01-19T00:00:00"/>
  </r>
  <r>
    <d v="2019-05-24T00:00:00"/>
    <s v="VZ-2019-000602"/>
    <s v="LÉK"/>
    <s v="Ondráčková"/>
    <x v="12"/>
    <n v="6"/>
    <s v="Spotřební materiál pro experimentální medicínu VI."/>
    <m/>
    <s v="33694000-1"/>
    <m/>
    <n v="796520"/>
    <x v="0"/>
    <d v="2019-06-14T00:00:00"/>
    <d v="2019-09-09T00:00:00"/>
    <d v="2019-11-19T00:00:00"/>
    <s v="Life Technologies Czech Republic s.r.o."/>
    <m/>
    <n v="749113.9"/>
    <n v="906427.82"/>
    <m/>
    <m/>
    <m/>
    <d v="2019-11-22T00:00:00"/>
    <s v="SMLN-2019-617-000589"/>
    <x v="13"/>
    <d v="2020-02-19T00:00:00"/>
    <d v="2021-02-16T00:00:00"/>
  </r>
  <r>
    <d v="2019-05-24T00:00:00"/>
    <s v="VZ-2019-000602"/>
    <s v="LÉK"/>
    <s v="Ondráčková"/>
    <x v="12"/>
    <n v="7"/>
    <s v="Spotřební materiál pro experimentální medicínu VII."/>
    <m/>
    <s v="33694000-1"/>
    <m/>
    <n v="653040"/>
    <x v="0"/>
    <d v="2019-06-14T00:00:00"/>
    <d v="2019-09-09T00:00:00"/>
    <d v="2019-11-19T00:00:00"/>
    <s v="ROCHE s.r.o."/>
    <m/>
    <n v="653039.55000000005"/>
    <n v="790177.86"/>
    <m/>
    <m/>
    <m/>
    <d v="2019-11-22T00:00:00"/>
    <s v="SMLN-2019-617-000590"/>
    <x v="13"/>
    <d v="2020-02-19T00:00:00"/>
    <d v="2021-02-16T00:00:00"/>
  </r>
  <r>
    <d v="2019-05-24T00:00:00"/>
    <s v="VZ-2019-000602"/>
    <s v="LÉK"/>
    <s v="Ondráčková"/>
    <x v="12"/>
    <n v="8"/>
    <s v="Spotřební materiál pro IVF I. "/>
    <m/>
    <s v="33694000-1"/>
    <m/>
    <n v="504800"/>
    <x v="0"/>
    <d v="2019-06-14T00:00:00"/>
    <d v="2019-09-09T00:00:00"/>
    <d v="2019-11-19T00:00:00"/>
    <s v="East Port Praha, s.r.o."/>
    <m/>
    <n v="479481"/>
    <n v="580172.01"/>
    <m/>
    <m/>
    <m/>
    <d v="2019-11-22T00:00:00"/>
    <s v="SMLN-2019-617-000591"/>
    <x v="9"/>
    <d v="2020-01-23T00:00:00"/>
    <d v="2021-01-19T00:00:00"/>
  </r>
  <r>
    <d v="2019-05-24T00:00:00"/>
    <s v="VZ-2019-000602"/>
    <s v="LÉK"/>
    <s v="Ondráčková"/>
    <x v="12"/>
    <n v="9"/>
    <s v="Spotřební materiál pro IVF II. "/>
    <m/>
    <s v="33694000-1"/>
    <m/>
    <n v="742300"/>
    <x v="0"/>
    <d v="2019-06-14T00:00:00"/>
    <d v="2019-09-09T00:00:00"/>
    <d v="2019-11-19T00:00:00"/>
    <s v="PentaGen s.r.o."/>
    <m/>
    <n v="741850"/>
    <n v="897638.5"/>
    <m/>
    <m/>
    <m/>
    <d v="2019-11-22T00:00:00"/>
    <s v="SMLN-2019-617-000592"/>
    <x v="13"/>
    <d v="2020-02-19T00:00:00"/>
    <d v="2021-02-16T00:00:00"/>
  </r>
  <r>
    <s v="opakovaná VZ"/>
    <s v="VZ-2019-000624"/>
    <s v="IROP"/>
    <s v="Neudörflerová"/>
    <x v="13"/>
    <m/>
    <m/>
    <m/>
    <s v="33120000-7"/>
    <s v="2.3.336."/>
    <n v="101429.75"/>
    <x v="0"/>
    <d v="2019-07-15T00:00:00"/>
    <d v="2019-08-15T00:00:00"/>
    <d v="2019-11-15T00:00:00"/>
    <s v="WIDEX LINE s.r.o."/>
    <m/>
    <n v="93640"/>
    <n v="113304.4"/>
    <m/>
    <m/>
    <m/>
    <d v="2019-11-18T00:00:00"/>
    <s v="SMLN-2019-617-000582_x000a_SMLN-2019-612-000156"/>
    <x v="13"/>
    <d v="2020-02-18T00:00:00"/>
    <d v="2020-03-16T00:00:00"/>
  </r>
  <r>
    <d v="2019-06-24T00:00:00"/>
    <s v="VZ-2019-000706"/>
    <s v="LÉK"/>
    <s v="Ondráčková"/>
    <x v="14"/>
    <m/>
    <m/>
    <m/>
    <s v="33694000-1"/>
    <m/>
    <n v="21944616"/>
    <x v="0"/>
    <d v="2019-09-05T00:00:00"/>
    <d v="2019-10-17T00:00:00"/>
    <d v="2020-01-16T00:00:00"/>
    <s v="Bio-Rad spol. s r.o."/>
    <m/>
    <n v="17151844.68"/>
    <n v="19822392.530000001"/>
    <m/>
    <m/>
    <m/>
    <d v="2020-01-17T00:00:00"/>
    <s v="SMLN-2020-617-000035_x000a_SMLN-2020-616-000003"/>
    <x v="14"/>
    <d v="2020-03-17T00:00:00"/>
    <d v="2026-03-10T00:00:00"/>
  </r>
  <r>
    <d v="2019-06-24T00:00:00"/>
    <s v="VZ-2019-000708"/>
    <s v="LÉK"/>
    <s v="Ondráčková"/>
    <x v="15"/>
    <n v="1"/>
    <s v="Midostaurin"/>
    <m/>
    <s v="33652000-5"/>
    <m/>
    <n v="11889360"/>
    <x v="0"/>
    <d v="2019-09-03T00:00:00"/>
    <d v="2019-10-08T00:00:00"/>
    <d v="2019-11-12T00:00:00"/>
    <s v="Alliance Healthcare s.r.o."/>
    <m/>
    <n v="11889360"/>
    <n v="13078296"/>
    <m/>
    <m/>
    <m/>
    <d v="2019-11-13T00:00:00"/>
    <s v="SMLN-2019-617-000571"/>
    <x v="4"/>
    <d v="2020-01-09T00:00:00"/>
    <d v="2022-01-05T00:00:00"/>
  </r>
  <r>
    <d v="2019-06-24T00:00:00"/>
    <s v="VZ-2019-000710"/>
    <s v="LÉK"/>
    <s v="Ondráčková"/>
    <x v="16"/>
    <n v="1"/>
    <s v="Interferon alfa-2b"/>
    <m/>
    <s v="33652000-5"/>
    <m/>
    <n v="2304528"/>
    <x v="0"/>
    <d v="2019-08-02T00:00:00"/>
    <d v="2019-09-20T00:00:00"/>
    <d v="2019-12-05T00:00:00"/>
    <s v="PHARMOS, a.s."/>
    <m/>
    <n v="2279198.2000000002"/>
    <n v="2507118.02"/>
    <m/>
    <m/>
    <m/>
    <d v="2019-12-06T00:00:00"/>
    <s v="SMLN-2019-617-000623"/>
    <x v="15"/>
    <d v="2020-02-27T00:00:00"/>
    <d v="2022-02-09T00:00:00"/>
  </r>
  <r>
    <d v="2019-06-24T00:00:00"/>
    <s v="VZ-2019-000710"/>
    <s v="LÉK"/>
    <s v="Ondráčková"/>
    <x v="16"/>
    <n v="2"/>
    <s v="Interferon beta-1a I"/>
    <m/>
    <s v="33652000-5"/>
    <m/>
    <n v="34875745"/>
    <x v="0"/>
    <d v="2019-08-02T00:00:00"/>
    <d v="2019-09-20T00:00:00"/>
    <d v="2019-12-05T00:00:00"/>
    <s v="zrušeno - neposkytnutí součinnosti k uzavření smlouvy - jedinný účastník"/>
    <m/>
    <n v="34875744.960000001"/>
    <n v="38363319.460000001"/>
    <m/>
    <m/>
    <m/>
    <d v="2019-12-06T00:00:00"/>
    <s v="SMLN-2019-617-000626"/>
    <x v="0"/>
    <d v="2020-02-27T00:00:00"/>
    <s v="10.2.2020 vyloučení MERCK"/>
  </r>
  <r>
    <d v="2019-06-24T00:00:00"/>
    <s v="VZ-2019-000710"/>
    <s v="LÉK"/>
    <s v="Ondráčková"/>
    <x v="16"/>
    <n v="3"/>
    <s v="Interferon beta-1b"/>
    <m/>
    <s v="33652000-5"/>
    <m/>
    <n v="4011058"/>
    <x v="0"/>
    <d v="2019-08-02T00:00:00"/>
    <d v="2019-09-20T00:00:00"/>
    <d v="2019-12-05T00:00:00"/>
    <s v="BAYER s.r.o."/>
    <m/>
    <n v="4011000"/>
    <n v="4412100"/>
    <m/>
    <m/>
    <m/>
    <d v="2019-12-06T00:00:00"/>
    <s v="SMLN-2019-617-000624"/>
    <x v="15"/>
    <d v="2020-02-27T00:00:00"/>
    <d v="2022-02-09T00:00:00"/>
  </r>
  <r>
    <d v="2019-06-24T00:00:00"/>
    <s v="VZ-2019-000710"/>
    <s v="LÉK"/>
    <s v="Ondráčková"/>
    <x v="16"/>
    <n v="5"/>
    <s v="Peginterferon beta - 1a"/>
    <m/>
    <s v="33652000-5"/>
    <m/>
    <n v="13562801"/>
    <x v="0"/>
    <d v="2019-08-02T00:00:00"/>
    <d v="2019-09-20T00:00:00"/>
    <d v="2019-12-05T00:00:00"/>
    <s v="Avenier a.s."/>
    <m/>
    <n v="11639164.960000001"/>
    <n v="12803081.460000001"/>
    <m/>
    <m/>
    <m/>
    <d v="2019-12-06T00:00:00"/>
    <s v="SMLN-2019-617-000625"/>
    <x v="15"/>
    <d v="2020-02-27T00:00:00"/>
    <d v="2022-02-09T00:00:00"/>
  </r>
  <r>
    <d v="2019-06-20T00:00:00"/>
    <s v="VZ-2019-000730"/>
    <s v="ZT"/>
    <s v="Rosulek"/>
    <x v="17"/>
    <m/>
    <m/>
    <m/>
    <s v="33124120-2"/>
    <m/>
    <n v="4530000"/>
    <x v="0"/>
    <d v="2019-07-03T00:00:00"/>
    <d v="2019-08-21T00:00:00"/>
    <d v="2019-10-22T00:00:00"/>
    <s v="Exact Imaging BVBA"/>
    <m/>
    <n v="4802142"/>
    <n v="4802142"/>
    <m/>
    <m/>
    <m/>
    <d v="2019-10-24T00:00:00"/>
    <s v="SMLN-2019-617-000528_x000a_SMLN-2019-612-000128"/>
    <x v="16"/>
    <d v="2020-01-21T00:00:00"/>
    <d v="2020-03-13T00:00:00"/>
  </r>
  <r>
    <d v="2019-07-03T00:00:00"/>
    <s v="VZ-2019-000750"/>
    <s v="OLV"/>
    <s v="Kohutová"/>
    <x v="18"/>
    <m/>
    <m/>
    <m/>
    <s v="15980000-1 "/>
    <m/>
    <n v="8500000"/>
    <x v="0"/>
    <d v="2019-09-05T00:00:00"/>
    <d v="2019-10-08T00:00:00"/>
    <d v="2020-01-30T00:00:00"/>
    <s v="AF FOODS  Group a.s."/>
    <m/>
    <n v="8055900"/>
    <n v="9264285"/>
    <m/>
    <m/>
    <m/>
    <d v="2020-01-30T00:00:00"/>
    <s v="SMLN-2020-617-000053_x000a_SMLN-2020-616-000006"/>
    <x v="17"/>
    <d v="2020-03-16T00:00:00"/>
    <s v="doba neurčitá"/>
  </r>
  <r>
    <d v="2019-07-23T00:00:00"/>
    <s v="VZ-2019-000798"/>
    <s v="LÉK"/>
    <s v="Ondráčková"/>
    <x v="19"/>
    <n v="1"/>
    <s v="ANAKINRA"/>
    <m/>
    <s v="33652300-8"/>
    <m/>
    <n v="2143890"/>
    <x v="0"/>
    <d v="2019-08-01T00:00:00"/>
    <d v="2019-11-27T00:00:00"/>
    <d v="2020-01-21T00:00:00"/>
    <s v="PHARMOS, a.s."/>
    <m/>
    <n v="2143890"/>
    <n v="2358279"/>
    <m/>
    <m/>
    <m/>
    <d v="2020-01-23T00:00:00"/>
    <s v="SMLN-2020-617-000043"/>
    <x v="18"/>
    <d v="2020-03-24T00:00:00"/>
    <d v="2022-03-19T00:00:00"/>
  </r>
  <r>
    <d v="2019-07-23T00:00:00"/>
    <s v="VZ-2019-000798"/>
    <s v="LÉK"/>
    <s v="Ondráčková"/>
    <x v="19"/>
    <n v="2"/>
    <s v="SARILUMAB "/>
    <m/>
    <s v="33652300-8"/>
    <m/>
    <n v="3103225"/>
    <x v="0"/>
    <d v="2019-08-01T00:00:00"/>
    <d v="2019-11-27T00:00:00"/>
    <d v="2020-01-21T00:00:00"/>
    <s v="sanofi - aventis, s.r.o."/>
    <m/>
    <n v="3153926.88"/>
    <n v="3469319.57"/>
    <m/>
    <m/>
    <m/>
    <d v="2020-01-23T00:00:00"/>
    <s v="SMLN-2020-617-000044"/>
    <x v="18"/>
    <d v="2020-03-24T00:00:00"/>
    <d v="2022-03-19T00:00:00"/>
  </r>
  <r>
    <d v="2019-07-26T00:00:00"/>
    <s v="VZ-2019-000819"/>
    <s v="LÉK"/>
    <s v="Ondráčková"/>
    <x v="20"/>
    <n v="1"/>
    <s v="Blinatumomab"/>
    <m/>
    <s v="33652100-6"/>
    <m/>
    <n v="33090783"/>
    <x v="0"/>
    <d v="2019-11-25T00:00:00"/>
    <d v="2019-12-27T00:00:00"/>
    <d v="2020-02-18T00:00:00"/>
    <s v="Amgen s.r.o."/>
    <m/>
    <n v="31779972.199999999"/>
    <n v="34957969.420000002"/>
    <m/>
    <m/>
    <m/>
    <d v="2020-02-19T00:00:00"/>
    <s v="SMLN-2020-617-000077"/>
    <x v="19"/>
    <d v="2020-04-16T00:00:00"/>
    <s v="11.3..2024"/>
  </r>
  <r>
    <d v="2019-07-26T00:00:00"/>
    <s v="VZ-2019-000824"/>
    <s v="LÉK"/>
    <s v="Ondráčková"/>
    <x v="21"/>
    <n v="1"/>
    <s v="Sodná sůl treprostinilu"/>
    <m/>
    <s v="33621100-0"/>
    <m/>
    <n v="73272200"/>
    <x v="0"/>
    <d v="2019-09-11T00:00:00"/>
    <d v="2020-01-08T00:00:00"/>
    <m/>
    <m/>
    <m/>
    <m/>
    <m/>
    <m/>
    <m/>
    <m/>
    <m/>
    <m/>
    <x v="0"/>
    <d v="2020-04-16T00:00:00"/>
    <s v="30.3.2020 zrušeno"/>
  </r>
  <r>
    <d v="2019-07-26T00:00:00"/>
    <s v="VZ-2019-000825"/>
    <s v="LÉK"/>
    <s v="Ondráčková"/>
    <x v="22"/>
    <n v="5"/>
    <s v="GLEKAPREVIR A PIBRENTASVIR "/>
    <m/>
    <s v="33651400-2"/>
    <m/>
    <n v="24711846"/>
    <x v="0"/>
    <d v="2019-09-27T00:00:00"/>
    <d v="2019-10-30T00:00:00"/>
    <d v="2019-12-17T00:00:00"/>
    <s v="PHOENIX lék.velkoobchod, s.r.o."/>
    <m/>
    <n v="24687189.539999999"/>
    <n v="27155908.489999998"/>
    <m/>
    <m/>
    <m/>
    <d v="2019-12-19T00:00:00"/>
    <s v="SMLN-2019-617-000644"/>
    <x v="20"/>
    <d v="2020-02-06T00:00:00"/>
    <d v="2022-01-30T00:00:00"/>
  </r>
  <r>
    <d v="2019-07-26T00:00:00"/>
    <s v="VZ-2019-000826"/>
    <s v="LÉK"/>
    <s v="Ondráčková"/>
    <x v="23"/>
    <n v="1"/>
    <s v="Alemtuzumab"/>
    <m/>
    <s v="33652300-8"/>
    <m/>
    <n v="27093272"/>
    <x v="0"/>
    <d v="2019-11-25T00:00:00"/>
    <d v="2020-01-24T00:00:00"/>
    <d v="2020-03-31T00:00:00"/>
    <s v="sanofi - aventis, s.r.o."/>
    <m/>
    <n v="27093269.640000001"/>
    <n v="29802596.600000001"/>
    <m/>
    <m/>
    <m/>
    <d v="2020-04-01T00:00:00"/>
    <s v="SMLN-2020-617-000123"/>
    <x v="21"/>
    <d v="2020-06-12T00:00:00"/>
    <d v="2023-05-13T00:00:00"/>
  </r>
  <r>
    <d v="2019-08-13T00:00:00"/>
    <s v="VZ-2019-000862"/>
    <s v="LÉK"/>
    <s v="Ondráčková"/>
    <x v="24"/>
    <n v="1"/>
    <s v="Léčivý přípravek OCALIVA"/>
    <m/>
    <s v="33610000-9"/>
    <m/>
    <n v="6432000"/>
    <x v="0"/>
    <d v="2019-09-16T00:00:00"/>
    <d v="2019-10-18T00:00:00"/>
    <d v="2019-11-12T00:00:00"/>
    <s v="Alliance Healthcare s.r.o."/>
    <m/>
    <n v="5767106.8799999999"/>
    <n v="6343817.5700000003"/>
    <m/>
    <m/>
    <m/>
    <d v="2019-11-13T00:00:00"/>
    <s v="SMLN-2019-617-000573"/>
    <x v="22"/>
    <d v="2020-01-16T00:00:00"/>
    <d v="2022-01-08T00:00:00"/>
  </r>
  <r>
    <d v="2019-08-20T00:00:00"/>
    <s v="VZ-2019-000881"/>
    <s v="LÉK"/>
    <s v="Ondráčková"/>
    <x v="25"/>
    <n v="1"/>
    <s v="TERIFLUNOMID"/>
    <m/>
    <s v="33652300-8"/>
    <m/>
    <n v="127016998"/>
    <x v="0"/>
    <d v="2019-11-27T00:00:00"/>
    <d v="2020-01-06T00:00:00"/>
    <d v="2020-02-18T00:00:00"/>
    <s v="sanofi - aventis, s.r.o."/>
    <m/>
    <n v="109012617.59999999"/>
    <n v="119913879.36"/>
    <m/>
    <m/>
    <m/>
    <d v="2020-02-20T00:00:00"/>
    <s v="SMLN-2020-617-000086"/>
    <x v="21"/>
    <d v="2020-06-05T00:00:00"/>
    <d v="2023-05-13T00:00:00"/>
  </r>
  <r>
    <d v="2019-08-15T00:00:00"/>
    <s v="VZ-2019-000882"/>
    <s v="ZM"/>
    <s v="Dočkalová"/>
    <x v="26"/>
    <m/>
    <m/>
    <m/>
    <s v="33194100-7"/>
    <m/>
    <n v="2384424"/>
    <x v="1"/>
    <d v="2019-10-30T00:00:00"/>
    <d v="2019-11-20T00:00:00"/>
    <d v="2019-12-05T00:00:00"/>
    <s v="BAXTER CZECH spol. s r.o."/>
    <m/>
    <n v="2346120"/>
    <n v="2838805.2"/>
    <m/>
    <m/>
    <m/>
    <d v="2019-12-05T00:00:00"/>
    <s v="SMLN-2019-617-000615"/>
    <x v="23"/>
    <d v="2020-02-07T00:00:00"/>
    <d v="2023-02-04T00:00:00"/>
  </r>
  <r>
    <d v="2019-08-20T00:00:00"/>
    <s v="VZ-2019-000883"/>
    <s v="LÉK"/>
    <s v="Ondráčková"/>
    <x v="27"/>
    <n v="1"/>
    <s v="IVAKAFTOR"/>
    <m/>
    <s v="33670000-7"/>
    <m/>
    <n v="9364240"/>
    <x v="0"/>
    <d v="2019-09-16T00:00:00"/>
    <d v="2019-12-03T00:00:00"/>
    <m/>
    <s v="zrušeno - jedinný účastník vyloučen"/>
    <s v="nová VZ-2020-000814"/>
    <m/>
    <m/>
    <m/>
    <m/>
    <m/>
    <m/>
    <m/>
    <x v="0"/>
    <d v="2020-03-02T00:00:00"/>
    <s v="28.2. zrušení"/>
  </r>
  <r>
    <d v="2019-08-20T00:00:00"/>
    <s v="VZ-2019-000884"/>
    <s v="LÉK"/>
    <s v="Ondráčková"/>
    <x v="28"/>
    <n v="1"/>
    <s v="ETAMSYLÁT "/>
    <m/>
    <s v="33621000-9 "/>
    <m/>
    <n v="1381855"/>
    <x v="0"/>
    <d v="2019-10-08T00:00:00"/>
    <d v="2019-11-11T00:00:00"/>
    <d v="2019-12-05T00:00:00"/>
    <s v="Alliance Healthcare s.r.o."/>
    <m/>
    <n v="1381846.8"/>
    <n v="1520031.48"/>
    <m/>
    <m/>
    <m/>
    <d v="2019-12-06T00:00:00"/>
    <s v="SMLN-2019-617-000627"/>
    <x v="6"/>
    <d v="2020-02-26T00:00:00"/>
    <d v="2022-02-18T00:00:00"/>
  </r>
  <r>
    <d v="2019-08-23T00:00:00"/>
    <s v="VZ-2019-000907"/>
    <s v="ENERG"/>
    <s v="Srovnal"/>
    <x v="29"/>
    <m/>
    <m/>
    <m/>
    <s v="50700000-2"/>
    <m/>
    <n v="2500000"/>
    <x v="1"/>
    <d v="2019-09-20T00:00:00"/>
    <d v="2019-10-29T00:00:00"/>
    <d v="2019-12-03T00:00:00"/>
    <s v="Výtahy - elektro Žižka spol. s r.o."/>
    <m/>
    <n v="3340900"/>
    <n v="4042489"/>
    <m/>
    <m/>
    <m/>
    <d v="2019-12-04T00:00:00"/>
    <s v="SMLN-2019-618-000106"/>
    <x v="24"/>
    <d v="2020-01-15T00:00:00"/>
    <d v="2020-09-09T00:00:00"/>
  </r>
  <r>
    <d v="2019-07-08T00:00:00"/>
    <s v="VZ-2019-000912"/>
    <s v="PERS"/>
    <s v="Odehnalová"/>
    <x v="30"/>
    <m/>
    <m/>
    <m/>
    <s v="72411000-4"/>
    <m/>
    <n v="120000000"/>
    <x v="0"/>
    <d v="2019-11-28T00:00:00"/>
    <d v="2020-01-03T00:00:00"/>
    <d v="2020-02-12T00:00:00"/>
    <s v="Sodexo Pass ČR s.r.o."/>
    <m/>
    <n v="118200000"/>
    <n v="118200000"/>
    <m/>
    <m/>
    <m/>
    <d v="2020-02-14T00:00:00"/>
    <s v="SMLN-2020-612-000015"/>
    <x v="25"/>
    <d v="2020-05-14T00:00:00"/>
    <s v="doba neurčitá"/>
  </r>
  <r>
    <d v="2019-07-23T00:00:00"/>
    <s v="VZ-2019-000913"/>
    <s v="INF"/>
    <s v="Oravec"/>
    <x v="31"/>
    <m/>
    <m/>
    <m/>
    <s v="72261000-2"/>
    <m/>
    <n v="2587200"/>
    <x v="1"/>
    <d v="2019-10-24T00:00:00"/>
    <d v="2019-11-20T00:00:00"/>
    <d v="2019-12-11T00:00:00"/>
    <s v="BCV solutions s.r.o."/>
    <m/>
    <n v="1987200"/>
    <n v="2404512"/>
    <m/>
    <m/>
    <m/>
    <d v="2019-12-12T00:00:00"/>
    <s v="SMLN-2019-612-000164"/>
    <x v="26"/>
    <d v="2020-01-22T00:00:00"/>
    <s v="doba neurčitá"/>
  </r>
  <r>
    <d v="2019-08-14T00:00:00"/>
    <s v="VZ-2019-000915"/>
    <s v="ZM"/>
    <s v="Valtová"/>
    <x v="32"/>
    <m/>
    <m/>
    <m/>
    <s v="33140000-3"/>
    <m/>
    <n v="3943140"/>
    <x v="0"/>
    <d v="2019-10-31T00:00:00"/>
    <d v="2019-12-04T00:00:00"/>
    <d v="2019-12-17T00:00:00"/>
    <s v="Cardion s.r.o."/>
    <m/>
    <n v="3942981.82"/>
    <n v="4771008"/>
    <m/>
    <m/>
    <m/>
    <d v="2019-12-19T00:00:00"/>
    <s v="SMLN-2019-617-000643_x000a_SMLN-2019-614-000109"/>
    <x v="27"/>
    <d v="2020-01-31T00:00:00"/>
    <d v="2022-01-29T00:00:00"/>
  </r>
  <r>
    <d v="2019-08-30T00:00:00"/>
    <s v="VZ-2019-000928"/>
    <s v="LÉK"/>
    <s v="Ondráčková"/>
    <x v="33"/>
    <n v="1"/>
    <s v="Ambrisentan"/>
    <m/>
    <s v="33622200-8"/>
    <m/>
    <n v="8418067"/>
    <x v="0"/>
    <d v="2019-09-23T00:00:00"/>
    <d v="2019-10-24T00:00:00"/>
    <d v="2019-12-05T00:00:00"/>
    <s v="PHOENIX lék.velkoobchod, s.r.o."/>
    <m/>
    <n v="8316786.4000000004"/>
    <n v="9148465.0399999991"/>
    <m/>
    <m/>
    <m/>
    <d v="2019-12-06T00:00:00"/>
    <s v="SMLN-2019-617-000621"/>
    <x v="28"/>
    <d v="2020-01-17T00:00:00"/>
    <d v="2022-01-13T00:00:00"/>
  </r>
  <r>
    <d v="2019-08-30T00:00:00"/>
    <s v="VZ-2019-000929"/>
    <s v="LÉK"/>
    <s v="Ondráčková"/>
    <x v="34"/>
    <n v="1"/>
    <s v="Abirateron"/>
    <m/>
    <s v="33642000-2"/>
    <m/>
    <n v="28747836"/>
    <x v="0"/>
    <d v="2019-09-23T00:00:00"/>
    <d v="2019-11-04T00:00:00"/>
    <d v="2019-12-05T00:00:00"/>
    <s v="Janssen - Cilag s.r.o."/>
    <m/>
    <n v="28747836"/>
    <n v="31622620"/>
    <m/>
    <m/>
    <m/>
    <d v="2019-12-06T00:00:00"/>
    <s v="SMLN-2019-617-000622"/>
    <x v="28"/>
    <d v="2020-01-20T00:00:00"/>
    <d v="2022-01-13T00:00:00"/>
  </r>
  <r>
    <d v="2019-08-30T00:00:00"/>
    <s v="VZ-2019-000930"/>
    <s v="LÉK"/>
    <s v="Ondráčková"/>
    <x v="35"/>
    <n v="1"/>
    <s v="MACITENTAN"/>
    <m/>
    <m/>
    <m/>
    <n v="8023320"/>
    <x v="0"/>
    <d v="2019-10-08T00:00:00"/>
    <d v="2019-12-17T00:00:00"/>
    <d v="2020-01-09T00:00:00"/>
    <s v="Janssen - Cilag s.r.o."/>
    <m/>
    <n v="8023182"/>
    <n v="8825500.1999999993"/>
    <m/>
    <m/>
    <m/>
    <d v="2020-01-10T00:00:00"/>
    <s v="SMLN-2020-617-000006"/>
    <x v="20"/>
    <d v="2020-02-07T00:00:00"/>
    <d v="2022-01-30T00:00:00"/>
  </r>
  <r>
    <d v="2019-08-30T00:00:00"/>
    <s v="VZ-2019-000931"/>
    <s v="LÉK"/>
    <s v="Ondráčková"/>
    <x v="36"/>
    <n v="1"/>
    <s v="Dolforin"/>
    <m/>
    <s v="33661200-3"/>
    <m/>
    <n v="1102110"/>
    <x v="0"/>
    <d v="2019-10-21T00:00:00"/>
    <d v="2019-11-26T00:00:00"/>
    <d v="2020-01-09T00:00:00"/>
    <s v="PHOENIX lék.velkoobchod, s.r.o."/>
    <m/>
    <n v="999670.34"/>
    <n v="1099637.3700000001"/>
    <m/>
    <m/>
    <m/>
    <d v="2020-01-13T00:00:00"/>
    <s v="SMLN-2020-617-000010"/>
    <x v="29"/>
    <d v="2020-03-12T00:00:00"/>
    <d v="2022-02-27T00:00:00"/>
  </r>
  <r>
    <d v="2019-08-30T00:00:00"/>
    <s v="VZ-2019-000931"/>
    <s v="LÉK"/>
    <s v="Ondráčková"/>
    <x v="36"/>
    <n v="2"/>
    <s v="Durogesic"/>
    <m/>
    <s v="33661200-3"/>
    <m/>
    <n v="2613344"/>
    <x v="0"/>
    <d v="2019-10-21T00:00:00"/>
    <d v="2019-11-26T00:00:00"/>
    <d v="2020-01-09T00:00:00"/>
    <s v="PHOENIX lék.velkoobchod, s.r.o."/>
    <m/>
    <n v="2607720.96"/>
    <n v="2868493.06"/>
    <m/>
    <m/>
    <m/>
    <d v="2020-01-13T00:00:00"/>
    <s v="SMLN-2020-617-000011"/>
    <x v="29"/>
    <d v="2020-03-12T00:00:00"/>
    <d v="2022-02-27T00:00:00"/>
  </r>
  <r>
    <d v="2019-08-30T00:00:00"/>
    <s v="VZ-2019-000931"/>
    <s v="LÉK"/>
    <s v="Ondráčková"/>
    <x v="36"/>
    <n v="3"/>
    <s v="Fentalis"/>
    <m/>
    <s v="33661200-3"/>
    <m/>
    <n v="3847274"/>
    <x v="0"/>
    <d v="2019-10-21T00:00:00"/>
    <d v="2019-11-26T00:00:00"/>
    <d v="2020-01-09T00:00:00"/>
    <s v="Alliance Healthcare s.r.o."/>
    <m/>
    <n v="3847272.38"/>
    <n v="4230326.1900000004"/>
    <m/>
    <m/>
    <m/>
    <d v="2020-01-13T00:00:00"/>
    <s v="SMLN-2020-617-000012"/>
    <x v="30"/>
    <d v="2020-05-22T00:00:00"/>
    <d v="2022-05-19T00:00:00"/>
  </r>
  <r>
    <d v="2019-08-30T00:00:00"/>
    <s v="VZ-2019-000931"/>
    <s v="LÉK"/>
    <s v="Ondráčková"/>
    <x v="36"/>
    <n v="5"/>
    <s v="Transtec"/>
    <m/>
    <s v="33661200-3"/>
    <m/>
    <n v="2377388"/>
    <x v="0"/>
    <d v="2019-10-21T00:00:00"/>
    <d v="2019-11-26T00:00:00"/>
    <d v="2020-01-09T00:00:00"/>
    <s v="Alliance Healthcare s.r.o."/>
    <m/>
    <n v="2365392.4"/>
    <n v="2601931.64"/>
    <m/>
    <m/>
    <m/>
    <d v="2020-01-13T00:00:00"/>
    <s v="SMLN-2020-617-000013"/>
    <x v="29"/>
    <d v="2020-03-12T00:00:00"/>
    <d v="2022-02-27T00:00:00"/>
  </r>
  <r>
    <d v="2019-08-30T00:00:00"/>
    <s v="VZ-2019-000931"/>
    <s v="LÉK"/>
    <s v="Ondráčková"/>
    <x v="36"/>
    <n v="6"/>
    <s v="Oxycodon Lannacher"/>
    <m/>
    <s v="33661200-3"/>
    <m/>
    <n v="2900177"/>
    <x v="0"/>
    <d v="2019-10-21T00:00:00"/>
    <d v="2019-11-26T00:00:00"/>
    <d v="2020-01-09T00:00:00"/>
    <s v="Alliance Healthcare s.r.o."/>
    <m/>
    <n v="2893071.36"/>
    <n v="3182378.5"/>
    <m/>
    <m/>
    <m/>
    <d v="2020-01-13T00:00:00"/>
    <s v="SMLN-2020-617-000014"/>
    <x v="29"/>
    <d v="2020-03-12T00:00:00"/>
    <d v="2022-02-27T00:00:00"/>
  </r>
  <r>
    <d v="2019-08-30T00:00:00"/>
    <s v="VZ-2019-000931"/>
    <s v="LÉK"/>
    <s v="Ondráčková"/>
    <x v="36"/>
    <n v="7"/>
    <s v="Lunaldin"/>
    <m/>
    <s v="33661200-3"/>
    <m/>
    <n v="4406890"/>
    <x v="0"/>
    <d v="2019-10-21T00:00:00"/>
    <d v="2019-11-26T00:00:00"/>
    <d v="2020-01-09T00:00:00"/>
    <s v="Alliance Healthcare s.r.o."/>
    <m/>
    <n v="4405134.5599999996"/>
    <n v="4845648.0199999996"/>
    <m/>
    <m/>
    <m/>
    <d v="2020-01-13T00:00:00"/>
    <s v="SMLN-2020-617-000015"/>
    <x v="29"/>
    <d v="2020-03-12T00:00:00"/>
    <d v="2022-02-27T00:00:00"/>
  </r>
  <r>
    <d v="2019-09-02T00:00:00"/>
    <s v="VZ-2019-000942"/>
    <s v="LÉK"/>
    <s v="Ondráčková"/>
    <x v="37"/>
    <n v="1"/>
    <s v="THROMBOREDUCTIN 0,5 MG"/>
    <m/>
    <s v="33652000-5   "/>
    <m/>
    <n v="2257006"/>
    <x v="0"/>
    <d v="2019-10-17T00:00:00"/>
    <d v="2020-01-10T00:00:00"/>
    <d v="2020-03-17T00:00:00"/>
    <s v="Alliance Healthcare s.r.o."/>
    <m/>
    <n v="2255428.7999999998"/>
    <n v="2480971.6800000002"/>
    <m/>
    <m/>
    <m/>
    <d v="2020-03-19T00:00:00"/>
    <s v="SMLN-2020-617-000101"/>
    <x v="31"/>
    <d v="2020-05-11T00:00:00"/>
    <d v="2022-05-05T00:00:00"/>
  </r>
  <r>
    <d v="2019-09-02T00:00:00"/>
    <s v="VZ-2019-000942"/>
    <s v="LÉK"/>
    <s v="Ondráčková"/>
    <x v="37"/>
    <n v="2"/>
    <s v="Anagrelid Stada"/>
    <m/>
    <s v="33652000-5  "/>
    <m/>
    <n v="548404"/>
    <x v="0"/>
    <d v="2019-10-17T00:00:00"/>
    <d v="2020-01-10T00:00:00"/>
    <d v="2020-03-17T00:00:00"/>
    <s v="Alliance Healthcare s.r.o."/>
    <m/>
    <n v="547806.48"/>
    <n v="602587.13"/>
    <m/>
    <m/>
    <m/>
    <d v="2020-03-19T00:00:00"/>
    <s v="SMLN-2020-617-000102"/>
    <x v="32"/>
    <d v="2020-05-11T00:00:00"/>
    <d v="2022-04-26T00:00:00"/>
  </r>
  <r>
    <d v="2019-09-02T00:00:00"/>
    <s v="VZ-2019-000942"/>
    <s v="LÉK"/>
    <s v="Ondráčková"/>
    <x v="37"/>
    <n v="3"/>
    <s v="Vismodegib"/>
    <m/>
    <s v="33652000-5  "/>
    <m/>
    <n v="6102514"/>
    <x v="0"/>
    <d v="2019-10-17T00:00:00"/>
    <d v="2020-01-10T00:00:00"/>
    <d v="2020-03-17T00:00:00"/>
    <s v="ROCHE s.r.o."/>
    <m/>
    <n v="6102513.7999999998"/>
    <n v="6712765.1799999997"/>
    <m/>
    <m/>
    <m/>
    <d v="2020-03-19T00:00:00"/>
    <s v="SMLN-2020-617-000103"/>
    <x v="32"/>
    <d v="2020-05-11T00:00:00"/>
    <d v="2022-04-26T00:00:00"/>
  </r>
  <r>
    <d v="2019-09-02T00:00:00"/>
    <s v="VZ-2019-000942"/>
    <s v="LÉK"/>
    <s v="Ondráčková"/>
    <x v="37"/>
    <n v="4"/>
    <s v="Olaparib"/>
    <m/>
    <s v="33652000-5   "/>
    <m/>
    <n v="11043079"/>
    <x v="0"/>
    <d v="2019-10-17T00:00:00"/>
    <d v="2020-01-10T00:00:00"/>
    <d v="2020-03-17T00:00:00"/>
    <s v="PHOENIX lék.velkoobchod, s.r.o."/>
    <m/>
    <n v="11043079"/>
    <n v="12147386.83"/>
    <m/>
    <m/>
    <m/>
    <d v="2020-03-19T00:00:00"/>
    <s v="SMLN-2020-617-000104"/>
    <x v="32"/>
    <d v="2020-05-11T00:00:00"/>
    <d v="2022-04-26T00:00:00"/>
  </r>
  <r>
    <d v="2019-09-02T00:00:00"/>
    <s v="VZ-2019-000942"/>
    <s v="LÉK"/>
    <s v="Ondráčková"/>
    <x v="37"/>
    <n v="5"/>
    <s v="Hydroxykarbamid"/>
    <m/>
    <s v="33652000-5  "/>
    <m/>
    <n v="469154"/>
    <x v="0"/>
    <d v="2019-10-17T00:00:00"/>
    <d v="2020-01-10T00:00:00"/>
    <d v="2020-03-17T00:00:00"/>
    <s v="PHOENIX lék.velkoobchod, s.r.o."/>
    <m/>
    <n v="469153"/>
    <n v="516068.74"/>
    <m/>
    <m/>
    <m/>
    <d v="2020-03-19T00:00:00"/>
    <s v="SMLN-2020-617-000105"/>
    <x v="31"/>
    <d v="2020-05-11T00:00:00"/>
    <d v="2022-05-05T00:00:00"/>
  </r>
  <r>
    <d v="2019-09-02T00:00:00"/>
    <s v="VZ-2019-000942"/>
    <s v="LÉK"/>
    <s v="Ondráčková"/>
    <x v="37"/>
    <n v="6"/>
    <s v="IXAZOMIB-CITRÁT"/>
    <m/>
    <s v="33652000-5  "/>
    <m/>
    <n v="25724950"/>
    <x v="0"/>
    <d v="2019-10-17T00:00:00"/>
    <d v="2020-01-10T00:00:00"/>
    <d v="2020-03-17T00:00:00"/>
    <s v="Alliance Healthcare s.r.o."/>
    <m/>
    <n v="25724949.039999999"/>
    <n v="28297443.940000001"/>
    <m/>
    <m/>
    <m/>
    <d v="2020-03-19T00:00:00"/>
    <s v="SMLN-2020-617-000106"/>
    <x v="31"/>
    <d v="2020-05-11T00:00:00"/>
    <d v="2022-05-05T00:00:00"/>
  </r>
  <r>
    <d v="2019-09-02T00:00:00"/>
    <s v="VZ-2019-000942"/>
    <s v="LÉK"/>
    <s v="Ondráčková"/>
    <x v="37"/>
    <n v="7"/>
    <s v="VENETOKLAX"/>
    <m/>
    <s v="33652000-5   "/>
    <m/>
    <n v="2452038"/>
    <x v="0"/>
    <d v="2019-10-17T00:00:00"/>
    <d v="2020-01-10T00:00:00"/>
    <d v="2020-03-17T00:00:00"/>
    <s v="AbbVie s.r.o."/>
    <m/>
    <n v="2452038"/>
    <n v="2697241.8"/>
    <m/>
    <m/>
    <m/>
    <d v="2020-03-19T00:00:00"/>
    <s v="SMLN-2020-617-000107"/>
    <x v="32"/>
    <d v="2020-05-11T00:00:00"/>
    <d v="2022-04-26T00:00:00"/>
  </r>
  <r>
    <d v="2019-09-02T00:00:00"/>
    <s v="VZ-2019-000944"/>
    <s v="LÉK"/>
    <s v="Ondráčková"/>
    <x v="38"/>
    <n v="3"/>
    <s v="LYOFILIZOVANÝ BAKTERIÁLNÍ LYZÁT OM 85 (LYSATUM BACTERIALE OM 85 CRYODESICCATUM)"/>
    <m/>
    <s v="33652000-5"/>
    <m/>
    <n v="196833"/>
    <x v="0"/>
    <d v="2019-10-18T00:00:00"/>
    <d v="2019-11-21T00:00:00"/>
    <d v="2019-12-17T00:00:00"/>
    <s v="PHOENIX lék.velkoobchod, s.r.o."/>
    <m/>
    <n v="195963.12"/>
    <n v="215559.43"/>
    <m/>
    <m/>
    <m/>
    <d v="2019-12-19T00:00:00"/>
    <s v="SMLN-2019-617-000645"/>
    <x v="15"/>
    <d v="2020-02-18T00:00:00"/>
    <d v="2022-02-09T00:00:00"/>
  </r>
  <r>
    <d v="2019-09-02T00:00:00"/>
    <s v="VZ-2019-000944"/>
    <s v="LÉK"/>
    <s v="Ondráčková"/>
    <x v="38"/>
    <n v="4"/>
    <s v="PRASEČÍ PŘENOSOVÝ FAKTOR"/>
    <m/>
    <s v="33652000-5"/>
    <m/>
    <n v="6868497"/>
    <x v="0"/>
    <d v="2019-10-18T00:00:00"/>
    <d v="2019-11-21T00:00:00"/>
    <d v="2019-12-17T00:00:00"/>
    <s v="PHARMOS, a.s."/>
    <m/>
    <n v="6806504"/>
    <n v="7487154.4000000004"/>
    <m/>
    <m/>
    <m/>
    <d v="2019-12-19T00:00:00"/>
    <s v="SMLN-2019-617-000646"/>
    <x v="15"/>
    <d v="2020-02-18T00:00:00"/>
    <d v="2022-02-09T00:00:00"/>
  </r>
  <r>
    <d v="2019-09-02T00:00:00"/>
    <s v="VZ-2019-000945"/>
    <s v="LÉK"/>
    <s v="Ondráčková"/>
    <x v="39"/>
    <n v="1"/>
    <s v="Sekukinumab"/>
    <m/>
    <s v="33652300-8"/>
    <m/>
    <n v="20785905"/>
    <x v="0"/>
    <d v="2019-10-17T00:00:00"/>
    <d v="2019-11-29T00:00:00"/>
    <d v="2020-01-30T00:00:00"/>
    <s v="Alliance Healthcare s.r.o."/>
    <m/>
    <n v="20785905"/>
    <n v="22864495.5"/>
    <m/>
    <m/>
    <m/>
    <d v="2020-01-31T00:00:00"/>
    <s v="SMLN-2020-617-000056"/>
    <x v="33"/>
    <d v="2020-03-19T00:00:00"/>
    <d v="2022-03-17T00:00:00"/>
  </r>
  <r>
    <d v="2019-09-02T00:00:00"/>
    <s v="VZ-2019-000945"/>
    <s v="LÉK"/>
    <s v="Ondráčková"/>
    <x v="39"/>
    <n v="2"/>
    <s v="Ustekinumab"/>
    <m/>
    <s v="33652300-8"/>
    <m/>
    <n v="20787500"/>
    <x v="0"/>
    <d v="2019-10-17T00:00:00"/>
    <d v="2019-11-29T00:00:00"/>
    <d v="2020-01-30T00:00:00"/>
    <s v="Janssen - Cilag s.r.o."/>
    <m/>
    <n v="20787114.149999999"/>
    <n v="22865825.57"/>
    <m/>
    <m/>
    <m/>
    <d v="2020-01-31T00:00:00"/>
    <s v="SMLN-2020-617-000057"/>
    <x v="33"/>
    <d v="2020-03-19T00:00:00"/>
    <d v="2022-03-17T00:00:00"/>
  </r>
  <r>
    <d v="2019-09-02T00:00:00"/>
    <s v="VZ-2019-000945"/>
    <s v="LÉK"/>
    <s v="Ondráčková"/>
    <x v="39"/>
    <n v="3"/>
    <s v="Guselkumab"/>
    <m/>
    <s v="33652300-8"/>
    <m/>
    <n v="823621"/>
    <x v="0"/>
    <d v="2019-10-17T00:00:00"/>
    <d v="2019-11-29T00:00:00"/>
    <d v="2020-01-30T00:00:00"/>
    <s v="Janssen - Cilag s.r.o."/>
    <m/>
    <n v="823600.2"/>
    <n v="905960.22"/>
    <m/>
    <m/>
    <m/>
    <d v="2020-01-31T00:00:00"/>
    <s v="SMLN-2020-617-000058"/>
    <x v="33"/>
    <d v="2020-03-19T00:00:00"/>
    <d v="2022-03-17T00:00:00"/>
  </r>
  <r>
    <d v="2019-09-04T00:00:00"/>
    <s v="VZ-2019-000952"/>
    <s v="ZM"/>
    <s v="Dočkalová"/>
    <x v="40"/>
    <n v="1"/>
    <s v="Embolizační spirály odpoutatelné neurointervenční I."/>
    <m/>
    <s v="33140000-3"/>
    <m/>
    <n v="3733400"/>
    <x v="0"/>
    <d v="2019-12-04T00:00:00"/>
    <d v="2020-01-06T00:00:00"/>
    <d v="2020-01-28T00:00:00"/>
    <s v="A care a.s."/>
    <m/>
    <n v="3733240"/>
    <n v="4293226"/>
    <m/>
    <m/>
    <m/>
    <d v="2020-01-28T00:00:00"/>
    <s v="SMLN-2020-617-000048_x000a_SMLN-2020-614-000001"/>
    <x v="1"/>
    <d v="2020-03-05T00:00:00"/>
    <d v="2022-02-23T00:00:00"/>
  </r>
  <r>
    <d v="2019-09-04T00:00:00"/>
    <s v="VZ-2019-000952"/>
    <s v="ZM"/>
    <s v="Dočkalová"/>
    <x v="40"/>
    <n v="2"/>
    <s v="Embolizační spirály odpoutatelné neurointervenční II."/>
    <m/>
    <s v="33140000-3"/>
    <m/>
    <n v="141890.1"/>
    <x v="0"/>
    <d v="2019-12-04T00:00:00"/>
    <d v="2020-01-06T00:00:00"/>
    <d v="2020-01-28T00:00:00"/>
    <s v="A care a.s."/>
    <m/>
    <n v="141890"/>
    <n v="163173.5"/>
    <m/>
    <m/>
    <m/>
    <d v="2020-01-28T00:00:00"/>
    <s v="SMLN-2020-617-000049_x000a_SMLN-2020-614-000002"/>
    <x v="1"/>
    <d v="2020-03-05T00:00:00"/>
    <d v="2022-02-23T00:00:00"/>
  </r>
  <r>
    <d v="2019-09-04T00:00:00"/>
    <s v="VZ-2019-000953"/>
    <s v="LÉK"/>
    <s v="Ondráčková"/>
    <x v="41"/>
    <n v="1"/>
    <s v="Cetuximab"/>
    <m/>
    <s v="33652100-6"/>
    <m/>
    <n v="19686840"/>
    <x v="0"/>
    <d v="2019-09-23T00:00:00"/>
    <d v="2019-10-24T00:00:00"/>
    <d v="2019-11-12T00:00:00"/>
    <s v="Alliance Healthcare s.r.o."/>
    <m/>
    <n v="19686799.440000001"/>
    <n v="21655479.379999999"/>
    <m/>
    <m/>
    <m/>
    <d v="2019-11-13T00:00:00"/>
    <s v="SMLN-2019-617-000572"/>
    <x v="4"/>
    <d v="2020-01-10T00:00:00"/>
    <d v="2022-01-05T00:00:00"/>
  </r>
  <r>
    <d v="2019-09-09T00:00:00"/>
    <s v="VZ-2019-000979"/>
    <s v="VŠEOB"/>
    <s v="Smrčková"/>
    <x v="42"/>
    <m/>
    <m/>
    <m/>
    <s v="39120000-9"/>
    <m/>
    <n v="990000"/>
    <x v="0"/>
    <d v="2019-10-02T00:00:00"/>
    <d v="2019-10-29T00:00:00"/>
    <d v="2019-11-18T00:00:00"/>
    <s v="KSK Nábytek s.r.o."/>
    <m/>
    <n v="1209763"/>
    <n v="1463813.23"/>
    <m/>
    <m/>
    <m/>
    <d v="2019-11-18T00:00:00"/>
    <s v="SMLN-2019-618-000100"/>
    <x v="34"/>
    <d v="2020-01-14T00:00:00"/>
    <d v="2020-04-25T00:00:00"/>
  </r>
  <r>
    <d v="2019-09-06T00:00:00"/>
    <s v="VZ-2019-000984"/>
    <s v="IROP"/>
    <s v="Neudörflerová"/>
    <x v="43"/>
    <m/>
    <m/>
    <m/>
    <s v="33124120-2"/>
    <m/>
    <n v="1672092.56"/>
    <x v="0"/>
    <d v="2019-09-27T00:00:00"/>
    <d v="2019-10-29T00:00:00"/>
    <d v="2019-11-27T00:00:00"/>
    <s v="BIONIK Stapro Group s.r.o."/>
    <m/>
    <n v="1515550"/>
    <n v="1833815.5"/>
    <m/>
    <m/>
    <m/>
    <d v="2019-11-28T00:00:00"/>
    <s v="SMLN-2019-617-000604_x000a_SMLN-2019-612-000161"/>
    <x v="4"/>
    <d v="2020-01-10T00:00:00"/>
    <d v="2020-02-17T00:00:00"/>
  </r>
  <r>
    <d v="2019-09-06T00:00:00"/>
    <s v="VZ-2019-000987"/>
    <s v="IROP"/>
    <s v="Neudörflerová"/>
    <x v="44"/>
    <n v="1"/>
    <s v="Instrumentárium porodní "/>
    <m/>
    <s v="33169000-2 "/>
    <m/>
    <n v="941148.76"/>
    <x v="0"/>
    <d v="2019-09-27T00:00:00"/>
    <d v="2019-12-02T00:00:00"/>
    <d v="2019-12-19T00:00:00"/>
    <s v="MEDILAB s.r.o."/>
    <m/>
    <n v="649378.56000000006"/>
    <n v="785748.05760000006"/>
    <m/>
    <m/>
    <m/>
    <d v="2019-12-19T00:00:00"/>
    <s v="SMLN-2019-617-000659"/>
    <x v="26"/>
    <d v="2020-01-24T00:00:00"/>
    <d v="2020-04-15T00:00:00"/>
  </r>
  <r>
    <d v="2019-09-06T00:00:00"/>
    <s v="VZ-2019-000987"/>
    <s v="IROP"/>
    <s v="Neudörflerová"/>
    <x v="44"/>
    <n v="2"/>
    <s v="Instrumentárium pro císařský řez"/>
    <m/>
    <s v="33169000-2 "/>
    <m/>
    <n v="182823.14"/>
    <x v="0"/>
    <d v="2019-09-27T00:00:00"/>
    <d v="2019-12-02T00:00:00"/>
    <d v="2019-12-19T00:00:00"/>
    <s v="LaparoTech Instruments s.r.o."/>
    <m/>
    <n v="119000"/>
    <n v="143990"/>
    <m/>
    <m/>
    <m/>
    <d v="2019-12-19T00:00:00"/>
    <s v="SMLN-2019-617-000660"/>
    <x v="26"/>
    <d v="2020-01-24T00:00:00"/>
    <d v="2020-04-01T00:00:00"/>
  </r>
  <r>
    <d v="2019-09-13T00:00:00"/>
    <s v="VZ-2019-000995"/>
    <s v="INV"/>
    <s v="Spáčil"/>
    <x v="45"/>
    <m/>
    <m/>
    <m/>
    <s v="34923000-3"/>
    <s v="4.3.1."/>
    <n v="11500000"/>
    <x v="0"/>
    <d v="2019-10-02T00:00:00"/>
    <d v="2019-11-06T00:00:00"/>
    <d v="2019-12-13T00:00:00"/>
    <s v="Green Center s.r.o."/>
    <m/>
    <n v="11475709"/>
    <n v="13885607.890000001"/>
    <m/>
    <m/>
    <m/>
    <d v="2019-12-17T00:00:00"/>
    <s v="SMLN-2019-618-000113_x000a_SMLN-2019-612-000167"/>
    <x v="35"/>
    <d v="2020-02-07T00:00:00"/>
    <d v="2020-12-31T00:00:00"/>
  </r>
  <r>
    <d v="2019-09-06T00:00:00"/>
    <s v="VZ-2019-001011"/>
    <s v="ZM"/>
    <s v="Dočkalová"/>
    <x v="46"/>
    <m/>
    <m/>
    <m/>
    <s v="33140000-3"/>
    <m/>
    <n v="285180"/>
    <x v="2"/>
    <d v="2019-09-24T00:00:00"/>
    <d v="2019-10-04T00:00:00"/>
    <d v="2020-01-31T00:00:00"/>
    <s v="MSM, spol. s r.o."/>
    <m/>
    <n v="263012"/>
    <n v="318244.52"/>
    <m/>
    <m/>
    <m/>
    <d v="2020-01-31T00:00:00"/>
    <s v="SMLN-2020-617-000061_x000a_SMLN-2020-614-000003"/>
    <x v="8"/>
    <d v="2020-03-05T00:00:00"/>
    <d v="2022-02-25T00:00:00"/>
  </r>
  <r>
    <d v="2019-09-25T00:00:00"/>
    <s v="VZ-2019-001021"/>
    <s v="ZT"/>
    <s v="Rosulek"/>
    <x v="47"/>
    <m/>
    <m/>
    <m/>
    <s v="33158000-2"/>
    <s v="2.2.194."/>
    <n v="2670000"/>
    <x v="1"/>
    <d v="2019-10-07T00:00:00"/>
    <d v="2019-10-25T00:00:00"/>
    <d v="2019-12-11T00:00:00"/>
    <s v="Boston Scientific Česká Republika s.r.o."/>
    <m/>
    <n v="2668900"/>
    <n v="3229369"/>
    <m/>
    <m/>
    <m/>
    <d v="2019-12-12T00:00:00"/>
    <s v="SMLN-2019-617-000637_x000a_SMLN-2019-612-000165"/>
    <x v="36"/>
    <d v="2020-03-02T00:00:00"/>
    <d v="2020-03-06T00:00:00"/>
  </r>
  <r>
    <d v="2019-09-23T00:00:00"/>
    <s v="VZ-2019-001028"/>
    <s v="LÉK"/>
    <s v="Ondráčková"/>
    <x v="48"/>
    <n v="1"/>
    <s v="Thymoglobuline"/>
    <m/>
    <s v="33652300-8"/>
    <m/>
    <n v="5455972"/>
    <x v="0"/>
    <d v="2019-10-30T00:00:00"/>
    <d v="2019-12-02T00:00:00"/>
    <d v="2020-01-21T00:00:00"/>
    <s v="sanofi - aventis, s.r.o."/>
    <m/>
    <n v="5455971.8399999999"/>
    <n v="6001569.0199999996"/>
    <m/>
    <m/>
    <m/>
    <d v="2020-01-22T00:00:00"/>
    <s v="SMLN-2020-617-000039"/>
    <x v="37"/>
    <d v="2020-05-06T00:00:00"/>
    <d v="2022-05-03T00:00:00"/>
  </r>
  <r>
    <d v="2019-09-23T00:00:00"/>
    <s v="VZ-2019-001028"/>
    <s v="LÉK"/>
    <s v="Ondráčková"/>
    <x v="48"/>
    <n v="2"/>
    <s v="Tofacitinib-citrát"/>
    <m/>
    <s v="33652300-8"/>
    <m/>
    <n v="780222"/>
    <x v="0"/>
    <d v="2019-10-30T00:00:00"/>
    <d v="2019-12-02T00:00:00"/>
    <d v="2020-01-21T00:00:00"/>
    <s v="PHOENIX lék.velkoobchod, s.r.o."/>
    <m/>
    <n v="780184"/>
    <n v="858202.4"/>
    <m/>
    <m/>
    <m/>
    <d v="2020-01-22T00:00:00"/>
    <s v="SMLN-2020-617-000040"/>
    <x v="38"/>
    <d v="2020-05-06T00:00:00"/>
    <d v="2022-04-22T00:00:00"/>
  </r>
  <r>
    <d v="2019-09-23T00:00:00"/>
    <s v="VZ-2019-001028"/>
    <s v="LÉK"/>
    <s v="Ondráčková"/>
    <x v="48"/>
    <n v="5"/>
    <s v="Leflunopharm"/>
    <m/>
    <s v="33652300-8"/>
    <m/>
    <n v="300491"/>
    <x v="0"/>
    <d v="2019-10-30T00:00:00"/>
    <d v="2019-12-02T00:00:00"/>
    <d v="2020-01-21T00:00:00"/>
    <s v="PHARMOS, a.s."/>
    <m/>
    <n v="196957.72"/>
    <n v="216653.49"/>
    <m/>
    <m/>
    <m/>
    <d v="2020-01-22T00:00:00"/>
    <s v="SMLN-2020-617-000041"/>
    <x v="38"/>
    <d v="2020-05-06T00:00:00"/>
    <d v="2022-04-22T00:00:00"/>
  </r>
  <r>
    <d v="2019-09-23T00:00:00"/>
    <s v="VZ-2019-001030"/>
    <s v="LÉK"/>
    <s v="Ondráčková"/>
    <x v="49"/>
    <n v="1"/>
    <s v="Duodopa"/>
    <m/>
    <s v="33661400-5"/>
    <m/>
    <n v="21227976"/>
    <x v="0"/>
    <d v="2019-10-22T00:00:00"/>
    <d v="2019-11-28T00:00:00"/>
    <d v="2020-01-09T00:00:00"/>
    <s v="PHOENIX lék.velkoobchod, s.r.o."/>
    <m/>
    <n v="21226705.920000002"/>
    <n v="23349376.510000002"/>
    <m/>
    <m/>
    <m/>
    <d v="2020-01-10T00:00:00"/>
    <s v="SMLN-2020-617-000007"/>
    <x v="15"/>
    <d v="2020-02-18T00:00:00"/>
    <d v="2022-02-09T00:00:00"/>
  </r>
  <r>
    <d v="2019-09-23T00:00:00"/>
    <s v="VZ-2019-001030"/>
    <s v="LÉK"/>
    <s v="Ondráčková"/>
    <x v="49"/>
    <n v="2"/>
    <s v="Isicom"/>
    <m/>
    <s v="33661400-5"/>
    <m/>
    <n v="1061705"/>
    <x v="0"/>
    <d v="2019-10-22T00:00:00"/>
    <d v="2019-11-28T00:00:00"/>
    <d v="2020-01-09T00:00:00"/>
    <s v="PHARMOS, a.s."/>
    <m/>
    <n v="1057645.1599999999"/>
    <n v="1163409.68"/>
    <m/>
    <m/>
    <m/>
    <d v="2020-01-10T00:00:00"/>
    <s v="SMLN-2020-617-000008"/>
    <x v="15"/>
    <d v="2020-02-18T00:00:00"/>
    <d v="2022-02-09T00:00:00"/>
  </r>
  <r>
    <d v="2019-09-23T00:00:00"/>
    <s v="VZ-2019-001030"/>
    <s v="LÉK"/>
    <s v="Ondráčková"/>
    <x v="49"/>
    <n v="3"/>
    <s v="Madopar"/>
    <m/>
    <s v="33661400-5"/>
    <m/>
    <n v="65635"/>
    <x v="0"/>
    <d v="2019-10-22T00:00:00"/>
    <d v="2019-11-28T00:00:00"/>
    <d v="2020-01-09T00:00:00"/>
    <s v="PHARMOS, a.s."/>
    <m/>
    <n v="65363.72"/>
    <n v="71900.09"/>
    <m/>
    <m/>
    <m/>
    <d v="2020-01-10T00:00:00"/>
    <s v="SMLN-2020-617-000009"/>
    <x v="15"/>
    <d v="2020-02-18T00:00:00"/>
    <d v="2022-02-09T00:00:00"/>
  </r>
  <r>
    <d v="2019-10-01T00:00:00"/>
    <s v="VZ-2019-001056"/>
    <s v="VŠEOB"/>
    <s v="Smrčková"/>
    <x v="50"/>
    <m/>
    <m/>
    <m/>
    <s v="33141620-2"/>
    <m/>
    <n v="2735780"/>
    <x v="1"/>
    <d v="2019-12-12T00:00:00"/>
    <d v="2020-02-06T00:00:00"/>
    <m/>
    <s v="zrušeno - COVID"/>
    <m/>
    <m/>
    <m/>
    <m/>
    <m/>
    <m/>
    <m/>
    <m/>
    <x v="0"/>
    <d v="2020-07-10T00:00:00"/>
    <m/>
  </r>
  <r>
    <d v="2019-10-25T00:00:00"/>
    <s v="VZ-2019-001058"/>
    <s v="INF"/>
    <s v="Oravec"/>
    <x v="51"/>
    <m/>
    <m/>
    <m/>
    <s v="30213500-0"/>
    <s v="3.2.36."/>
    <n v="3383400"/>
    <x v="1"/>
    <d v="2019-12-12T00:00:00"/>
    <d v="2020-01-09T00:00:00"/>
    <d v="2020-01-27T00:00:00"/>
    <s v="DATASCAN, s.r.o."/>
    <m/>
    <n v="2502010"/>
    <n v="3027432.1"/>
    <m/>
    <m/>
    <m/>
    <d v="2020-01-27T00:00:00"/>
    <s v="SMLN-2020-617-000047"/>
    <x v="39"/>
    <d v="2020-03-10T00:00:00"/>
    <d v="2021-03-04T00:00:00"/>
  </r>
  <r>
    <d v="2019-10-15T00:00:00"/>
    <s v="VZ-2019-001107"/>
    <s v="ENERG"/>
    <s v="Srovnal"/>
    <x v="52"/>
    <m/>
    <m/>
    <m/>
    <s v="50532400-7"/>
    <m/>
    <n v="4500000"/>
    <x v="0"/>
    <d v="2019-10-22T00:00:00"/>
    <d v="2019-11-22T00:00:00"/>
    <d v="2019-12-03T00:00:00"/>
    <s v="Bc. Jakub Tomaštík"/>
    <m/>
    <n v="4266000"/>
    <n v="5161860"/>
    <m/>
    <m/>
    <m/>
    <d v="2019-12-04T00:00:00"/>
    <s v="SMLN-2019-618-000107"/>
    <x v="9"/>
    <d v="2020-01-21T00:00:00"/>
    <d v="2020-03-02T00:00:00"/>
  </r>
  <r>
    <d v="2019-10-17T00:00:00"/>
    <s v="VZ-2019-001122"/>
    <s v="ZT"/>
    <s v="Rosulek"/>
    <x v="53"/>
    <m/>
    <m/>
    <m/>
    <s v="33124100-6"/>
    <s v="2.2.230,2.2.232"/>
    <n v="1415000"/>
    <x v="2"/>
    <d v="2019-11-18T00:00:00"/>
    <d v="2019-11-26T00:00:00"/>
    <d v="2020-01-07T00:00:00"/>
    <s v="HOSPIMED, spol.s r.o."/>
    <m/>
    <n v="1413950"/>
    <n v="1710879.5"/>
    <m/>
    <m/>
    <m/>
    <d v="2020-01-08T00:00:00"/>
    <s v="SMLN-2020-617-000001_x000a_SMLN-2020-612-000001"/>
    <x v="40"/>
    <d v="2020-02-11T00:00:00"/>
    <d v="2020-04-07T00:00:00"/>
  </r>
  <r>
    <d v="2019-10-18T00:00:00"/>
    <s v="VZ-2019-001125"/>
    <s v="ZT"/>
    <s v="Novák"/>
    <x v="54"/>
    <m/>
    <m/>
    <m/>
    <s v="33162100-4,33140000-3"/>
    <s v="2.2.31."/>
    <n v="6323000"/>
    <x v="0"/>
    <d v="2019-10-23T00:00:00"/>
    <d v="2019-11-25T00:00:00"/>
    <d v="2019-12-11T00:00:00"/>
    <s v="SKALA-Medical s.r.o."/>
    <m/>
    <n v="6219800"/>
    <n v="7525958"/>
    <m/>
    <m/>
    <m/>
    <d v="2019-12-12T00:00:00"/>
    <s v="SMLN-2019-617-000635_x000a_SMLN-2019-612-000163_x000a_SMLN-2019-617-000636"/>
    <x v="10"/>
    <d v="2020-02-06T00:00:00"/>
    <s v="4.3.2020_x000a_28.1.2028"/>
  </r>
  <r>
    <d v="2019-10-21T00:00:00"/>
    <s v="VZ-2019-001126"/>
    <s v="INF"/>
    <s v="Gartner"/>
    <x v="55"/>
    <m/>
    <m/>
    <m/>
    <s v="72268000-1"/>
    <m/>
    <n v="1200000"/>
    <x v="2"/>
    <d v="2019-10-31T00:00:00"/>
    <d v="2019-11-12T00:00:00"/>
    <d v="2019-11-28T00:00:00"/>
    <s v="EXON s.r.o."/>
    <m/>
    <n v="896560"/>
    <n v="1084837.6000000001"/>
    <m/>
    <m/>
    <m/>
    <d v="2019-11-29T00:00:00"/>
    <s v="SMLN-2019-612-000162"/>
    <x v="9"/>
    <d v="2020-01-24T00:00:00"/>
    <s v="doba neurčitá"/>
  </r>
  <r>
    <d v="2019-10-21T00:00:00"/>
    <s v="VZ-2019-001129"/>
    <s v="ZM"/>
    <s v="Dočkalová"/>
    <x v="56"/>
    <m/>
    <m/>
    <m/>
    <s v="33169400-6 "/>
    <m/>
    <n v="882390"/>
    <x v="2"/>
    <d v="2019-11-07T00:00:00"/>
    <d v="2019-11-20T00:00:00"/>
    <d v="2019-12-04T00:00:00"/>
    <s v="B. Braun Medical s.r.o."/>
    <m/>
    <n v="882363"/>
    <n v="1067659.23"/>
    <m/>
    <m/>
    <m/>
    <d v="2019-12-04T00:00:00"/>
    <s v="SMLN-2019-617-000613"/>
    <x v="4"/>
    <d v="2020-01-07T00:00:00"/>
    <d v="2020-02-17T00:00:00"/>
  </r>
  <r>
    <d v="2019-10-22T00:00:00"/>
    <s v="VZ-2019-001132"/>
    <s v="LÉK"/>
    <s v="Ondráčková"/>
    <x v="57"/>
    <n v="1"/>
    <s v="TRASTUZUMAB EMTANSIN "/>
    <m/>
    <s v="33652100-6"/>
    <m/>
    <n v="12595778"/>
    <x v="0"/>
    <d v="2019-12-23T00:00:00"/>
    <d v="2020-02-26T00:00:00"/>
    <d v="2020-03-10T00:00:00"/>
    <s v="ROCHE s.r.o."/>
    <m/>
    <n v="12595776"/>
    <n v="13855353.600000001"/>
    <m/>
    <m/>
    <m/>
    <d v="2020-03-12T00:00:00"/>
    <s v="SMLN-2020-617-000092"/>
    <x v="41"/>
    <d v="2020-04-27T00:00:00"/>
    <d v="2022-04-16T00:00:00"/>
  </r>
  <r>
    <d v="2019-10-22T00:00:00"/>
    <s v="VZ-2019-001133"/>
    <s v="LÉK"/>
    <s v="Ondráčková"/>
    <x v="58"/>
    <n v="1"/>
    <s v="REQUIP MODUTAB"/>
    <m/>
    <s v="33661400-5"/>
    <m/>
    <n v="1397547"/>
    <x v="0"/>
    <d v="2019-11-13T00:00:00"/>
    <d v="2019-12-23T00:00:00"/>
    <d v="2020-02-18T00:00:00"/>
    <s v="PHOENIX lék.velkoobchod, s.r.o."/>
    <m/>
    <n v="1386261.84"/>
    <n v="1524888.02"/>
    <m/>
    <m/>
    <m/>
    <d v="2020-02-20T00:00:00"/>
    <s v="SMLN-2020-617-000083"/>
    <x v="42"/>
    <d v="2020-04-07T00:00:00"/>
    <d v="2022-03-30T00:00:00"/>
  </r>
  <r>
    <d v="2019-10-22T00:00:00"/>
    <s v="VZ-2019-001133"/>
    <s v="LÉK"/>
    <s v="Ondráčková"/>
    <x v="58"/>
    <n v="2"/>
    <s v="OPRYMEA"/>
    <m/>
    <s v="33661400-5"/>
    <m/>
    <n v="98913"/>
    <x v="0"/>
    <d v="2019-11-13T00:00:00"/>
    <d v="2019-12-23T00:00:00"/>
    <m/>
    <s v="zrušeno - bez nabídky"/>
    <m/>
    <m/>
    <m/>
    <m/>
    <m/>
    <m/>
    <m/>
    <m/>
    <x v="0"/>
    <d v="2020-03-10T00:00:00"/>
    <s v="18.2.2020 zrušeno"/>
  </r>
  <r>
    <d v="2019-10-22T00:00:00"/>
    <s v="VZ-2019-001133"/>
    <s v="LÉK"/>
    <s v="Ondráčková"/>
    <x v="58"/>
    <n v="3"/>
    <s v="GLEPARK"/>
    <m/>
    <s v="33661400-5"/>
    <m/>
    <n v="286872"/>
    <x v="0"/>
    <d v="2019-11-13T00:00:00"/>
    <d v="2019-12-23T00:00:00"/>
    <m/>
    <s v="zrušeno - bez nabídky"/>
    <m/>
    <m/>
    <m/>
    <m/>
    <m/>
    <m/>
    <m/>
    <m/>
    <x v="0"/>
    <d v="2020-03-10T00:00:00"/>
    <s v="18.2.2020 zrušeno"/>
  </r>
  <r>
    <d v="2019-10-22T00:00:00"/>
    <s v="VZ-2019-001133"/>
    <s v="LÉK"/>
    <s v="Ondráčková"/>
    <x v="58"/>
    <n v="4"/>
    <s v="DACEPTON"/>
    <m/>
    <s v="33661400-5"/>
    <m/>
    <n v="5219505"/>
    <x v="0"/>
    <d v="2019-11-13T00:00:00"/>
    <d v="2019-12-23T00:00:00"/>
    <d v="2020-02-18T00:00:00"/>
    <s v="PHOENIX lék.velkoobchod, s.r.o."/>
    <m/>
    <n v="5133281.32"/>
    <n v="5646609.4500000002"/>
    <m/>
    <m/>
    <m/>
    <d v="2020-02-20T00:00:00"/>
    <s v="SMLN-2020-617-000084"/>
    <x v="42"/>
    <d v="2020-04-07T00:00:00"/>
    <d v="2022-03-30T00:00:00"/>
  </r>
  <r>
    <d v="2019-10-22T00:00:00"/>
    <s v="VZ-2019-001133"/>
    <s v="LÉK"/>
    <s v="Ondráčková"/>
    <x v="58"/>
    <n v="5"/>
    <s v="NEUPRO"/>
    <m/>
    <s v="33661400-5"/>
    <m/>
    <n v="2622951"/>
    <x v="0"/>
    <d v="2019-11-13T00:00:00"/>
    <d v="2019-12-23T00:00:00"/>
    <d v="2020-02-18T00:00:00"/>
    <s v="Alliance Healthcare s.r.o."/>
    <m/>
    <n v="2611675.3199999998"/>
    <n v="2872842.85"/>
    <m/>
    <m/>
    <m/>
    <d v="2020-02-20T00:00:00"/>
    <s v="SMLN-2020-617-000085"/>
    <x v="42"/>
    <d v="2020-04-07T00:00:00"/>
    <d v="2022-03-30T00:00:00"/>
  </r>
  <r>
    <d v="2019-10-22T00:00:00"/>
    <s v="VZ-2019-001134"/>
    <s v="LÉK"/>
    <s v="Ondráčková"/>
    <x v="59"/>
    <n v="1"/>
    <s v="EVEROLIMUS"/>
    <m/>
    <s v="33652000-5"/>
    <m/>
    <n v="8390223"/>
    <x v="0"/>
    <d v="2019-11-13T00:00:00"/>
    <d v="2020-01-14T00:00:00"/>
    <d v="2020-03-31T00:00:00"/>
    <s v="Alliance Healthcare s.r.o."/>
    <m/>
    <n v="7377097.6399999997"/>
    <n v="8114807.4000000004"/>
    <m/>
    <m/>
    <m/>
    <d v="2020-04-01T00:00:00"/>
    <s v="SMLN-2020-617-000130"/>
    <x v="21"/>
    <d v="2020-05-27T00:00:00"/>
    <d v="2022-05-13T00:00:00"/>
  </r>
  <r>
    <d v="2019-10-22T00:00:00"/>
    <s v="VZ-2019-001134"/>
    <s v="LÉK"/>
    <s v="Ondráčková"/>
    <x v="59"/>
    <n v="2"/>
    <s v="PAZOPANIB"/>
    <m/>
    <s v="33652000-5"/>
    <m/>
    <n v="6654142"/>
    <x v="0"/>
    <d v="2019-11-13T00:00:00"/>
    <d v="2020-01-14T00:00:00"/>
    <d v="2020-03-31T00:00:00"/>
    <s v="Alliance Healthcare s.r.o."/>
    <m/>
    <n v="6720852.96"/>
    <n v="7392938.2599999998"/>
    <m/>
    <m/>
    <m/>
    <d v="2020-04-01T00:00:00"/>
    <s v="SMLN-2020-617-000131"/>
    <x v="21"/>
    <d v="2020-05-27T00:00:00"/>
    <d v="2022-05-13T00:00:00"/>
  </r>
  <r>
    <d v="2019-10-22T00:00:00"/>
    <s v="VZ-2019-001134"/>
    <s v="LÉK"/>
    <s v="Ondráčková"/>
    <x v="59"/>
    <n v="3"/>
    <s v="AFATINIB "/>
    <m/>
    <s v="33652000-5"/>
    <m/>
    <n v="4568564"/>
    <x v="0"/>
    <d v="2019-11-13T00:00:00"/>
    <d v="2020-01-14T00:00:00"/>
    <d v="2020-03-31T00:00:00"/>
    <s v="Boehringer Ingelheim spol. s r.o."/>
    <m/>
    <n v="4568562.3899999997"/>
    <n v="5025418.63"/>
    <m/>
    <m/>
    <m/>
    <d v="2020-04-01T00:00:00"/>
    <s v="SMLN-2020-617-000132"/>
    <x v="43"/>
    <d v="2020-06-10T00:00:00"/>
    <d v="2022-06-07T00:00:00"/>
  </r>
  <r>
    <d v="2019-10-22T00:00:00"/>
    <s v="VZ-2019-001134"/>
    <s v="LÉK"/>
    <s v="Ondráčková"/>
    <x v="59"/>
    <n v="4"/>
    <s v="VEMURAFENIB "/>
    <m/>
    <s v="33652000-5"/>
    <m/>
    <n v="2736450"/>
    <x v="0"/>
    <d v="2019-11-13T00:00:00"/>
    <d v="2020-01-14T00:00:00"/>
    <d v="2020-03-31T00:00:00"/>
    <s v="ROCHE s.r.o."/>
    <m/>
    <n v="2736450"/>
    <n v="3010095"/>
    <m/>
    <m/>
    <m/>
    <d v="2020-04-01T00:00:00"/>
    <s v="SMLN-2020-617-000133"/>
    <x v="21"/>
    <d v="2020-05-27T00:00:00"/>
    <d v="2022-05-13T00:00:00"/>
  </r>
  <r>
    <d v="2019-10-22T00:00:00"/>
    <s v="VZ-2019-001134"/>
    <s v="LÉK"/>
    <s v="Ondráčková"/>
    <x v="59"/>
    <n v="5"/>
    <s v="AXITINIB "/>
    <m/>
    <s v="33652000-5"/>
    <m/>
    <n v="1261016"/>
    <x v="0"/>
    <d v="2019-11-13T00:00:00"/>
    <d v="2020-01-14T00:00:00"/>
    <d v="2020-03-31T00:00:00"/>
    <s v="PHOENIX lék.velkoobchod, s.r.o."/>
    <m/>
    <n v="1260998"/>
    <n v="1387097.8"/>
    <m/>
    <m/>
    <m/>
    <d v="2020-04-01T00:00:00"/>
    <s v="SMLN-2020-617-000134"/>
    <x v="21"/>
    <d v="2020-05-27T00:00:00"/>
    <d v="2022-05-13T00:00:00"/>
  </r>
  <r>
    <d v="2019-10-22T00:00:00"/>
    <s v="VZ-2019-001134"/>
    <s v="LÉK"/>
    <s v="Ondráčková"/>
    <x v="59"/>
    <n v="6"/>
    <s v="RUXOLITINIB "/>
    <m/>
    <s v="33652000-5"/>
    <m/>
    <n v="22859565"/>
    <x v="0"/>
    <d v="2019-11-13T00:00:00"/>
    <d v="2020-01-14T00:00:00"/>
    <d v="2020-03-31T00:00:00"/>
    <s v="Alliance Healthcare s.r.o."/>
    <m/>
    <n v="22631621.52"/>
    <n v="24894783.670000002"/>
    <m/>
    <m/>
    <m/>
    <d v="2020-04-01T00:00:00"/>
    <s v="SMLN-2020-617-000135"/>
    <x v="21"/>
    <d v="2020-05-27T00:00:00"/>
    <d v="2022-05-13T00:00:00"/>
  </r>
  <r>
    <d v="2019-10-22T00:00:00"/>
    <s v="VZ-2019-001139"/>
    <s v="INV"/>
    <s v="Langer"/>
    <x v="60"/>
    <m/>
    <m/>
    <m/>
    <s v="45454100-5"/>
    <s v="1.3.21."/>
    <n v="6500000"/>
    <x v="1"/>
    <d v="2019-10-30T00:00:00"/>
    <d v="2019-11-15T00:00:00"/>
    <d v="2019-12-12T00:00:00"/>
    <s v="OHL ŽS a.s."/>
    <m/>
    <n v="7382425"/>
    <n v="8932734"/>
    <m/>
    <m/>
    <m/>
    <d v="2019-12-12T00:00:00"/>
    <s v="SMLN-2019-618-000111"/>
    <x v="44"/>
    <d v="2020-03-02T00:00:00"/>
    <d v="2020-07-01T00:00:00"/>
  </r>
  <r>
    <d v="2019-10-25T00:00:00"/>
    <s v="VZ-2019-001147"/>
    <s v="OSB"/>
    <s v="Vaida"/>
    <x v="61"/>
    <m/>
    <m/>
    <m/>
    <s v="45332300-6"/>
    <m/>
    <n v="500000"/>
    <x v="2"/>
    <d v="2019-11-01T00:00:00"/>
    <d v="2019-11-12T00:00:00"/>
    <d v="2019-11-18T00:00:00"/>
    <s v="MIZ Olomouc s.r.o."/>
    <m/>
    <n v="469550"/>
    <n v="568155.5"/>
    <m/>
    <m/>
    <m/>
    <d v="2019-11-19T00:00:00"/>
    <s v="SMLN-2019-618-000102"/>
    <x v="45"/>
    <d v="2020-01-24T00:00:00"/>
    <d v="2020-03-31T00:00:00"/>
  </r>
  <r>
    <d v="2019-10-31T00:00:00"/>
    <s v="VZ-2019-001156"/>
    <s v="ZT"/>
    <s v="Rosulek"/>
    <x v="62"/>
    <n v="1"/>
    <s v="Diodový laser"/>
    <m/>
    <s v="33169100-3"/>
    <s v="2.3.421."/>
    <n v="245000"/>
    <x v="2"/>
    <d v="2019-11-18T00:00:00"/>
    <d v="2019-11-27T00:00:00"/>
    <d v="2020-01-16T00:00:00"/>
    <s v="Lindcare CZ s.r.o."/>
    <m/>
    <n v="236000"/>
    <n v="285560"/>
    <m/>
    <m/>
    <m/>
    <d v="2020-01-17T00:00:00"/>
    <s v="SMLN-2020-617-000034_x000a_SMLN-2020-612-000004"/>
    <x v="12"/>
    <d v="2020-02-17T00:00:00"/>
    <d v="2020-02-15T00:00:00"/>
  </r>
  <r>
    <d v="2019-10-31T00:00:00"/>
    <s v="VZ-2019-001156"/>
    <s v="ZT"/>
    <s v="Rosulek"/>
    <x v="62"/>
    <n v="2"/>
    <s v="YAG/SLT laser"/>
    <m/>
    <s v="33169100-3"/>
    <s v="2.3.434."/>
    <n v="1750000"/>
    <x v="2"/>
    <d v="2019-11-18T00:00:00"/>
    <d v="2019-11-27T00:00:00"/>
    <m/>
    <s v="zrušeno - překročení ceny"/>
    <s v="nová VZ-2020-000040"/>
    <m/>
    <m/>
    <m/>
    <m/>
    <m/>
    <m/>
    <m/>
    <x v="0"/>
    <d v="2020-01-14T00:00:00"/>
    <m/>
  </r>
  <r>
    <d v="2019-11-01T00:00:00"/>
    <s v="VZ-2019-001163"/>
    <s v="PRAV"/>
    <s v="Procházková"/>
    <x v="63"/>
    <m/>
    <m/>
    <m/>
    <s v="66510000-8"/>
    <m/>
    <n v="48800000"/>
    <x v="0"/>
    <d v="2019-12-04T00:00:00"/>
    <d v="2020-01-07T00:00:00"/>
    <m/>
    <m/>
    <s v="nová VZ-2020-000098"/>
    <m/>
    <m/>
    <m/>
    <m/>
    <m/>
    <m/>
    <m/>
    <x v="0"/>
    <d v="2020-02-11T00:00:00"/>
    <s v="10.2.2020 zrušeno"/>
  </r>
  <r>
    <d v="2019-11-04T00:00:00"/>
    <s v="VZ-2019-001172"/>
    <s v="PERS"/>
    <s v="Freharová"/>
    <x v="64"/>
    <m/>
    <m/>
    <m/>
    <s v="72261000-2"/>
    <m/>
    <n v="3390000"/>
    <x v="1"/>
    <d v="2019-12-17T00:00:00"/>
    <d v="2020-01-13T00:00:00"/>
    <d v="2020-02-12T00:00:00"/>
    <s v="Vema, a.s."/>
    <m/>
    <n v="3384960"/>
    <n v="4095801.6"/>
    <m/>
    <m/>
    <m/>
    <d v="2020-02-13T00:00:00"/>
    <s v="SMLN-2020-612-000014"/>
    <x v="14"/>
    <d v="2020-03-12T00:00:00"/>
    <s v="doba neurčitá"/>
  </r>
  <r>
    <d v="2019-11-07T00:00:00"/>
    <s v="VZ-2019-001185"/>
    <s v="INF"/>
    <s v="Oravec"/>
    <x v="65"/>
    <m/>
    <m/>
    <m/>
    <s v="48180000-3, 72261000-2"/>
    <s v="3.2.45."/>
    <n v="1490000"/>
    <x v="2"/>
    <d v="2019-11-22T00:00:00"/>
    <d v="2019-12-09T00:00:00"/>
    <d v="2020-01-27T00:00:00"/>
    <s v="ARTiiS GROUP, a.s."/>
    <m/>
    <n v="872000"/>
    <n v="1055120"/>
    <m/>
    <m/>
    <m/>
    <d v="2020-01-27T00:00:00"/>
    <s v="SMLN-2020-618-000005_x000a_SMLN-2020-612-000008"/>
    <x v="1"/>
    <d v="2020-02-24T00:00:00"/>
    <d v="2020-04-01T00:00:00"/>
  </r>
  <r>
    <d v="2019-11-07T00:00:00"/>
    <s v="VZ-2019-001187"/>
    <s v="ZT"/>
    <s v="Rosulek"/>
    <x v="66"/>
    <m/>
    <m/>
    <m/>
    <s v="33191000-5"/>
    <s v="2.3.441."/>
    <n v="521900"/>
    <x v="2"/>
    <d v="2019-11-18T00:00:00"/>
    <d v="2019-11-28T00:00:00"/>
    <d v="2020-01-07T00:00:00"/>
    <s v="Miele spol. s r.o."/>
    <m/>
    <n v="330992"/>
    <n v="400500.32"/>
    <m/>
    <m/>
    <m/>
    <d v="2020-01-08T00:00:00"/>
    <s v="SMLN-2020-617-000002_x000a_SMLN-2020-612-000002"/>
    <x v="12"/>
    <d v="2020-02-18T00:00:00"/>
    <d v="2020-02-27T00:00:00"/>
  </r>
  <r>
    <d v="2019-11-01T00:00:00"/>
    <s v="VZ-2019-001188"/>
    <s v="ZM"/>
    <s v="Dočkalová"/>
    <x v="67"/>
    <m/>
    <m/>
    <m/>
    <s v="33168100-6"/>
    <m/>
    <n v="443280"/>
    <x v="2"/>
    <d v="2019-11-13T00:00:00"/>
    <d v="2019-11-22T00:00:00"/>
    <d v="2019-12-16T00:00:00"/>
    <s v="MEDIN, a.s."/>
    <m/>
    <n v="384604.8"/>
    <n v="465371.81"/>
    <m/>
    <m/>
    <m/>
    <d v="2019-12-16T00:00:00"/>
    <s v="SMLN-2019-617-000640"/>
    <x v="5"/>
    <d v="2020-01-27T00:00:00"/>
    <d v="2020-05-15T00:00:00"/>
  </r>
  <r>
    <d v="2019-12-20T00:00:00"/>
    <s v="VZ-2019-001189"/>
    <s v="ISPROFIN"/>
    <s v="Neudörflerová"/>
    <x v="68"/>
    <m/>
    <m/>
    <m/>
    <s v="33111620-3"/>
    <s v="2.3.319."/>
    <n v="23494497.559999999"/>
    <x v="0"/>
    <d v="2020-01-02T00:00:00"/>
    <d v="2020-02-10T00:00:00"/>
    <m/>
    <s v="zrušeno"/>
    <s v="nová VZ-2020-000448"/>
    <m/>
    <m/>
    <m/>
    <m/>
    <m/>
    <m/>
    <m/>
    <x v="0"/>
    <d v="2020-03-24T00:00:00"/>
    <s v="24.3.2020 zrušeno"/>
  </r>
  <r>
    <d v="2019-11-12T00:00:00"/>
    <s v="VZ-2019-001198"/>
    <s v="LÉK"/>
    <s v="Ondráčková"/>
    <x v="69"/>
    <m/>
    <s v="Imunochemická vyšetření s výpůjčkou analyzátoru"/>
    <m/>
    <s v="33694000-1; 38434000-6"/>
    <m/>
    <n v="6463919"/>
    <x v="0"/>
    <d v="2019-12-16T00:00:00"/>
    <d v="2020-01-20T00:00:00"/>
    <d v="2020-03-10T00:00:00"/>
    <s v="BioVendor - Laboratorní medicína a.s."/>
    <m/>
    <n v="5928756"/>
    <n v="7173795"/>
    <m/>
    <m/>
    <m/>
    <d v="2020-03-12T00:00:00"/>
    <s v="SMLN-2020-617-000091_x000a_SMLN-2020-616-000012"/>
    <x v="46"/>
    <d v="2020-04-27T00:00:00"/>
    <d v="2026-04-20T00:00:00"/>
  </r>
  <r>
    <d v="2019-11-13T00:00:00"/>
    <s v="VZ-2019-001204"/>
    <s v="ZM"/>
    <s v="Dočkalová"/>
    <x v="70"/>
    <n v="1"/>
    <s v="Láhve krmící jednorázové"/>
    <m/>
    <s v="33140000-3"/>
    <m/>
    <n v="663353.72"/>
    <x v="2"/>
    <d v="2019-11-19T00:00:00"/>
    <d v="2019-11-29T00:00:00"/>
    <d v="2019-12-10T00:00:00"/>
    <s v="MEDICAL M, spol.s  r.o."/>
    <m/>
    <n v="614920"/>
    <n v="744053.2"/>
    <m/>
    <m/>
    <m/>
    <d v="2019-12-11T00:00:00"/>
    <s v="SMLN-2019-617-000633"/>
    <x v="22"/>
    <d v="2020-01-13T00:00:00"/>
    <d v="2022-01-08T00:00:00"/>
  </r>
  <r>
    <d v="2019-11-13T00:00:00"/>
    <s v="VZ-2019-001204"/>
    <s v="ZM"/>
    <s v="Dočkalová"/>
    <x v="70"/>
    <n v="2"/>
    <s v="Dudlíky krmící jednorázové"/>
    <m/>
    <s v="33140000-3"/>
    <m/>
    <n v="332340.56"/>
    <x v="2"/>
    <d v="2019-11-19T00:00:00"/>
    <d v="2019-11-29T00:00:00"/>
    <d v="2019-12-10T00:00:00"/>
    <s v="S.A.B. Impex s.r.o."/>
    <m/>
    <n v="327954.8"/>
    <n v="396825.30799999996"/>
    <m/>
    <m/>
    <m/>
    <d v="2019-12-11T00:00:00"/>
    <s v="SMLN-2019-617-000634"/>
    <x v="9"/>
    <d v="2020-01-22T00:00:00"/>
    <d v="2022-01-19T00:00:00"/>
  </r>
  <r>
    <s v="opakovaná VZ"/>
    <s v="VZ-2019-001209"/>
    <s v="OSB"/>
    <s v="Vaida"/>
    <x v="71"/>
    <m/>
    <m/>
    <m/>
    <s v="4543000-7"/>
    <m/>
    <n v="1350000"/>
    <x v="2"/>
    <d v="2019-11-21T00:00:00"/>
    <d v="2019-11-28T00:00:00"/>
    <d v="2019-12-04T00:00:00"/>
    <s v="Elektropráce Spáčil s.r.o."/>
    <m/>
    <n v="1452256.26"/>
    <n v="1757230.0745999999"/>
    <m/>
    <m/>
    <m/>
    <d v="2019-12-04T00:00:00"/>
    <s v="SMLN-2019-618-000108"/>
    <x v="34"/>
    <d v="2020-01-14T00:00:00"/>
    <d v="2020-03-20T00:00:00"/>
  </r>
  <r>
    <d v="2019-11-19T00:00:00"/>
    <s v="VZ-2019-001210"/>
    <s v="SERVIS"/>
    <s v="Zemánek"/>
    <x v="72"/>
    <m/>
    <m/>
    <m/>
    <s v="50421000-2"/>
    <m/>
    <n v="1800000"/>
    <x v="2"/>
    <d v="2019-12-16T00:00:00"/>
    <d v="2020-01-07T00:00:00"/>
    <d v="2020-01-17T00:00:00"/>
    <s v="BioVendor - Laboratorní medicína a.s."/>
    <m/>
    <n v="1684048"/>
    <n v="2037698.08"/>
    <m/>
    <m/>
    <m/>
    <d v="2020-01-17T00:00:00"/>
    <s v="SMLN-2020-612-000005"/>
    <x v="7"/>
    <d v="2020-02-26T00:00:00"/>
    <d v="2025-02-24T00:00:00"/>
  </r>
  <r>
    <d v="2019-11-22T00:00:00"/>
    <s v="VZ-2019-001220"/>
    <s v="INF"/>
    <s v="Oravec"/>
    <x v="73"/>
    <m/>
    <m/>
    <m/>
    <s v="72411000-4"/>
    <m/>
    <n v="480000"/>
    <x v="2"/>
    <d v="2019-11-28T00:00:00"/>
    <d v="2019-12-06T00:00:00"/>
    <d v="2019-12-12T00:00:00"/>
    <s v="MERIT Group a.s."/>
    <m/>
    <n v="432000"/>
    <n v="522720"/>
    <m/>
    <m/>
    <m/>
    <d v="2019-12-13T00:00:00"/>
    <s v="SMLN-2019-612-000166"/>
    <x v="28"/>
    <d v="2020-01-15T00:00:00"/>
    <s v="doba neurčitá"/>
  </r>
  <r>
    <d v="2019-11-22T00:00:00"/>
    <s v="VZ-2019-001221"/>
    <s v="OSB"/>
    <s v="Vaida"/>
    <x v="74"/>
    <m/>
    <m/>
    <m/>
    <s v="45332300-6"/>
    <m/>
    <n v="300000"/>
    <x v="2"/>
    <d v="2019-12-05T00:00:00"/>
    <d v="2019-12-13T00:00:00"/>
    <d v="2019-12-19T00:00:00"/>
    <s v="INTOP Olomouc CZ s.r.o."/>
    <m/>
    <n v="288939"/>
    <n v="349616.2"/>
    <m/>
    <m/>
    <m/>
    <d v="2019-12-19T00:00:00"/>
    <s v="SMLN-2019-618-000114"/>
    <x v="9"/>
    <d v="2020-01-21T00:00:00"/>
    <d v="2020-03-04T00:00:00"/>
  </r>
  <r>
    <s v="opakovaná VZ"/>
    <s v="VZ-2019-001250"/>
    <s v="ZT"/>
    <s v="Rosulek"/>
    <x v="75"/>
    <m/>
    <m/>
    <m/>
    <s v="33124100-6"/>
    <m/>
    <n v="1340000"/>
    <x v="2"/>
    <d v="2019-12-04T00:00:00"/>
    <d v="2019-12-13T00:00:00"/>
    <d v="2020-01-09T00:00:00"/>
    <s v="bamed, s.r.o."/>
    <m/>
    <n v="1337309"/>
    <n v="1618143.89"/>
    <m/>
    <m/>
    <m/>
    <d v="2020-01-09T00:00:00"/>
    <s v="SMLN-2020-617-000004_x000a_SMLN-2020-612-000003"/>
    <x v="20"/>
    <d v="2020-02-05T00:00:00"/>
    <d v="2020-03-27T00:00:00"/>
  </r>
  <r>
    <s v="opakovaná VZ"/>
    <s v="VZ-2019-001260"/>
    <s v="REACT"/>
    <s v="Rosulek"/>
    <x v="76"/>
    <m/>
    <m/>
    <m/>
    <s v="33168100-6"/>
    <m/>
    <n v="513000"/>
    <x v="2"/>
    <d v="2019-12-10T00:00:00"/>
    <d v="2019-12-19T00:00:00"/>
    <d v="2020-02-17T00:00:00"/>
    <s v="GPS Praha, spol. s r.o."/>
    <m/>
    <n v="495440"/>
    <n v="599482.4"/>
    <m/>
    <m/>
    <m/>
    <d v="2020-02-17T00:00:00"/>
    <s v="SMLN-2020-617-000075_x000a_SMLN-2020-612-000017"/>
    <x v="47"/>
    <d v="2020-03-10T00:00:00"/>
    <d v="2020-03-23T00:00:00"/>
  </r>
  <r>
    <d v="2019-12-05T00:00:00"/>
    <s v="VZ-2019-001262"/>
    <s v="LÉK"/>
    <s v="Ondráčková"/>
    <x v="77"/>
    <n v="1"/>
    <s v="REGORAFENIB "/>
    <m/>
    <s v="33652000-5"/>
    <m/>
    <n v="5511956"/>
    <x v="0"/>
    <d v="2019-12-20T00:00:00"/>
    <d v="2020-01-24T00:00:00"/>
    <d v="2020-02-18T00:00:00"/>
    <s v="BAYER s.r.o."/>
    <m/>
    <n v="5511955.8600000003"/>
    <n v="6063151.4500000002"/>
    <m/>
    <m/>
    <m/>
    <d v="2020-02-19T00:00:00"/>
    <s v="SMLN-2020-617-000078"/>
    <x v="42"/>
    <d v="2020-04-07T00:00:00"/>
    <d v="2022-03-30T00:00:00"/>
  </r>
  <r>
    <d v="2019-12-05T00:00:00"/>
    <s v="VZ-2019-001262"/>
    <s v="LÉK"/>
    <s v="Ondráčková"/>
    <x v="77"/>
    <n v="2"/>
    <s v="DABRAFENIB "/>
    <m/>
    <s v="33652000-5"/>
    <m/>
    <n v="11127273"/>
    <x v="0"/>
    <d v="2019-12-20T00:00:00"/>
    <d v="2020-01-24T00:00:00"/>
    <m/>
    <s v="zrušeno - bez nabídky"/>
    <s v="nová VZ-2020-000309"/>
    <m/>
    <m/>
    <m/>
    <m/>
    <m/>
    <m/>
    <m/>
    <x v="0"/>
    <d v="2020-03-04T00:00:00"/>
    <s v="10.2. zrušeno"/>
  </r>
  <r>
    <d v="2019-12-05T00:00:00"/>
    <s v="VZ-2019-001262"/>
    <s v="LÉK"/>
    <s v="Ondráčková"/>
    <x v="77"/>
    <n v="3"/>
    <s v="IBRUTINIB "/>
    <m/>
    <s v="33652000-5"/>
    <m/>
    <n v="95343903"/>
    <x v="0"/>
    <d v="2019-12-20T00:00:00"/>
    <d v="2020-01-24T00:00:00"/>
    <d v="2020-02-18T00:00:00"/>
    <s v="Janssen - Cilag s.r.o."/>
    <m/>
    <n v="95343903"/>
    <n v="104878293.3"/>
    <m/>
    <m/>
    <m/>
    <d v="2020-02-19T00:00:00"/>
    <s v="SMLN-2020-617-000079"/>
    <x v="42"/>
    <d v="2020-04-07T00:00:00"/>
    <d v="2022-03-30T00:00:00"/>
  </r>
  <r>
    <d v="2019-12-05T00:00:00"/>
    <s v="VZ-2019-001262"/>
    <s v="LÉK"/>
    <s v="Ondráčková"/>
    <x v="77"/>
    <n v="4"/>
    <s v="LENVATINIB"/>
    <m/>
    <s v="33652000-5"/>
    <m/>
    <n v="5032508"/>
    <x v="0"/>
    <d v="2019-12-20T00:00:00"/>
    <d v="2020-01-24T00:00:00"/>
    <m/>
    <s v="zrušeno - bez nabídky"/>
    <s v="nová VZ-2020-000309"/>
    <m/>
    <m/>
    <m/>
    <m/>
    <m/>
    <m/>
    <m/>
    <x v="0"/>
    <d v="2020-03-04T00:00:00"/>
    <s v="10.2. zrušeno"/>
  </r>
  <r>
    <d v="2019-12-05T00:00:00"/>
    <s v="VZ-2019-001262"/>
    <s v="LÉK"/>
    <s v="Ondráčková"/>
    <x v="77"/>
    <n v="5"/>
    <s v="RIBOCIKLIB-SUKCINÁT"/>
    <m/>
    <s v="33652000-5"/>
    <m/>
    <n v="704780"/>
    <x v="0"/>
    <d v="2019-12-20T00:00:00"/>
    <d v="2020-01-24T00:00:00"/>
    <d v="2020-02-18T00:00:00"/>
    <s v="Alliance Healthcare s.r.o."/>
    <m/>
    <n v="704779.28"/>
    <n v="775257.21"/>
    <m/>
    <m/>
    <m/>
    <d v="2020-02-19T00:00:00"/>
    <s v="SMLN-2020-617-000080"/>
    <x v="42"/>
    <d v="2020-04-07T00:00:00"/>
    <d v="2022-03-30T00:00:00"/>
  </r>
  <r>
    <d v="2019-12-05T00:00:00"/>
    <s v="VZ-2019-001262"/>
    <s v="LÉK"/>
    <s v="Ondráčková"/>
    <x v="77"/>
    <n v="6"/>
    <s v="OSIMERTINIB "/>
    <m/>
    <s v="33652000-5"/>
    <m/>
    <n v="23556463"/>
    <x v="0"/>
    <d v="2019-12-20T00:00:00"/>
    <d v="2020-01-24T00:00:00"/>
    <d v="2020-02-18T00:00:00"/>
    <s v="PHOENIX lék.velkoobchod, s.r.o."/>
    <m/>
    <n v="23288929.039999999"/>
    <n v="25617821.940000001"/>
    <m/>
    <m/>
    <m/>
    <d v="2020-02-19T00:00:00"/>
    <s v="SMLN-2020-617-000081"/>
    <x v="42"/>
    <d v="2020-04-07T00:00:00"/>
    <d v="2022-03-30T00:00:00"/>
  </r>
  <r>
    <s v="opakovaná VZ"/>
    <s v="VZ-2019-001263"/>
    <s v="IROP"/>
    <s v="Neudörflerová"/>
    <x v="78"/>
    <m/>
    <m/>
    <m/>
    <s v="33190000-8"/>
    <m/>
    <n v="165495.85999999999"/>
    <x v="2"/>
    <d v="2020-01-02T00:00:00"/>
    <d v="2020-01-15T00:00:00"/>
    <d v="2020-01-21T00:00:00"/>
    <s v="ALFAMEDIC s.r.o."/>
    <m/>
    <n v="215872"/>
    <n v="261205.12"/>
    <m/>
    <m/>
    <m/>
    <d v="2020-01-22T00:00:00"/>
    <s v="SMLN-2020-617-000042_x000a_SMLN-2020-612-000006"/>
    <x v="6"/>
    <d v="2020-02-20T00:00:00"/>
    <d v="2020-04-01T00:00:00"/>
  </r>
  <r>
    <d v="2019-12-09T00:00:00"/>
    <s v="VZ-2019-001266"/>
    <s v="INF"/>
    <s v="Oravec"/>
    <x v="79"/>
    <m/>
    <m/>
    <m/>
    <s v="30231310-3"/>
    <m/>
    <n v="1001000"/>
    <x v="2"/>
    <d v="2019-12-19T00:00:00"/>
    <d v="2020-01-07T00:00:00"/>
    <d v="2020-01-17T00:00:00"/>
    <s v="Charita Opava"/>
    <m/>
    <n v="866457"/>
    <n v="1048412.97"/>
    <m/>
    <m/>
    <m/>
    <d v="2020-01-17T00:00:00"/>
    <s v="SMLN-2020-617-000036"/>
    <x v="15"/>
    <d v="2020-02-11T00:00:00"/>
    <d v="2021-02-09T00:00:00"/>
  </r>
  <r>
    <d v="2019-12-09T00:00:00"/>
    <s v="VZ-2019-001267"/>
    <s v="LÉK"/>
    <s v="Ondráčková"/>
    <x v="80"/>
    <n v="1"/>
    <s v="HEPARIN"/>
    <m/>
    <s v="33141550-0"/>
    <m/>
    <n v="2292556"/>
    <x v="0"/>
    <d v="2019-12-20T00:00:00"/>
    <d v="2020-03-09T00:00:00"/>
    <m/>
    <s v="zrušeno - bez nabídky"/>
    <s v="nová VZ-2020-000453"/>
    <m/>
    <m/>
    <m/>
    <m/>
    <m/>
    <m/>
    <m/>
    <x v="0"/>
    <d v="2020-03-31T00:00:00"/>
    <m/>
  </r>
  <r>
    <d v="2019-12-09T00:00:00"/>
    <s v="VZ-2019-001267"/>
    <s v="LÉK"/>
    <s v="Ondráčková"/>
    <x v="80"/>
    <n v="2"/>
    <s v="ENOXAPARIN "/>
    <m/>
    <s v="33141550-0"/>
    <m/>
    <n v="1293742"/>
    <x v="0"/>
    <d v="2019-12-20T00:00:00"/>
    <d v="2020-03-09T00:00:00"/>
    <m/>
    <s v="zrušeno - bez nabídky"/>
    <s v="nová VZ-2020-000453"/>
    <m/>
    <m/>
    <m/>
    <m/>
    <m/>
    <m/>
    <m/>
    <x v="0"/>
    <d v="2020-03-31T00:00:00"/>
    <m/>
  </r>
  <r>
    <d v="2019-12-09T00:00:00"/>
    <s v="VZ-2019-001267"/>
    <s v="LÉK"/>
    <s v="Ondráčková"/>
    <x v="80"/>
    <n v="3"/>
    <s v="NADROPARIN"/>
    <m/>
    <s v="33141550-0"/>
    <m/>
    <n v="33304068"/>
    <x v="0"/>
    <d v="2019-12-20T00:00:00"/>
    <d v="2020-03-09T00:00:00"/>
    <d v="2020-04-20T00:00:00"/>
    <s v="PHOENIX lék.velkoobchod, s.r.o."/>
    <m/>
    <n v="33302768.399999999"/>
    <n v="36633045.240000002"/>
    <m/>
    <m/>
    <m/>
    <d v="2020-04-20T00:00:00"/>
    <s v="SMLN-2020-617-000153"/>
    <x v="48"/>
    <d v="2020-06-05T00:00:00"/>
    <d v="2022-05-30T00:00:00"/>
  </r>
  <r>
    <d v="2019-12-09T00:00:00"/>
    <s v="VZ-2019-001267"/>
    <s v="LÉK"/>
    <s v="Ondráčková"/>
    <x v="80"/>
    <n v="4"/>
    <s v="SULODEXID "/>
    <m/>
    <s v="33141550-0"/>
    <m/>
    <n v="2244322"/>
    <x v="0"/>
    <d v="2019-12-20T00:00:00"/>
    <d v="2020-03-09T00:00:00"/>
    <d v="2020-04-20T00:00:00"/>
    <s v="Alliance Healthcare s.r.o."/>
    <m/>
    <n v="2226791.2200000002"/>
    <n v="2449470.34"/>
    <m/>
    <m/>
    <m/>
    <d v="2020-04-20T00:00:00"/>
    <s v="SMLN-2020-617-000154"/>
    <x v="48"/>
    <d v="2020-06-05T00:00:00"/>
    <d v="2022-05-30T00:00:00"/>
  </r>
  <r>
    <d v="2019-12-09T00:00:00"/>
    <s v="VZ-2019-001267"/>
    <s v="LÉK"/>
    <s v="Ondráčková"/>
    <x v="80"/>
    <n v="5"/>
    <s v="ANTITHROMBIN III"/>
    <m/>
    <s v="33141550-0"/>
    <m/>
    <n v="5023286"/>
    <x v="0"/>
    <d v="2019-12-20T00:00:00"/>
    <d v="2020-03-09T00:00:00"/>
    <d v="2020-04-20T00:00:00"/>
    <s v="PHOENIX lék.velkoobchod, s.r.o."/>
    <m/>
    <n v="2440587.7999999998"/>
    <n v="2684646.58"/>
    <m/>
    <m/>
    <m/>
    <d v="2020-04-20T00:00:00"/>
    <s v="SMLN-2020-617-000155"/>
    <x v="48"/>
    <d v="2020-06-05T00:00:00"/>
    <d v="2022-05-30T00:00:00"/>
  </r>
  <r>
    <d v="2019-12-11T00:00:00"/>
    <s v="VZ-2019-001278"/>
    <s v="ZT"/>
    <s v="Rosulek"/>
    <x v="81"/>
    <n v="1"/>
    <s v="Bronchoskopy"/>
    <m/>
    <s v="33168100-6"/>
    <s v="2.2.242,2.3.404"/>
    <n v="1459000"/>
    <x v="2"/>
    <d v="2019-12-19T00:00:00"/>
    <d v="2020-01-07T00:00:00"/>
    <d v="2020-01-31T00:00:00"/>
    <s v="Medinet s.r.o."/>
    <m/>
    <n v="1459000"/>
    <n v="1765390"/>
    <m/>
    <m/>
    <m/>
    <d v="2020-01-31T00:00:00"/>
    <s v="SMLN-2020-617-000059_x000a_SMLN-2020-612-000010"/>
    <x v="36"/>
    <d v="2020-02-26T00:00:00"/>
    <d v="2020-04-17T00:00:00"/>
  </r>
  <r>
    <d v="2019-12-11T00:00:00"/>
    <s v="VZ-2019-001278"/>
    <s v="ZT"/>
    <s v="Rosulek"/>
    <x v="81"/>
    <n v="2"/>
    <s v="Intubační bronchoskop"/>
    <m/>
    <s v="33168100-6"/>
    <s v="2.2.435"/>
    <n v="174000"/>
    <x v="2"/>
    <d v="2019-12-19T00:00:00"/>
    <d v="2020-01-07T00:00:00"/>
    <d v="2020-01-31T00:00:00"/>
    <s v="Medinet s.r.o."/>
    <m/>
    <n v="173999"/>
    <n v="210538.79"/>
    <m/>
    <m/>
    <m/>
    <d v="2020-01-31T00:00:00"/>
    <s v="SMLN-2020-617-000060_x000a_SMLN-2020-612-000011"/>
    <x v="36"/>
    <d v="2020-02-26T00:00:00"/>
    <d v="2020-04-17T00:00:00"/>
  </r>
  <r>
    <d v="2019-12-13T00:00:00"/>
    <s v="VZ-2019-001280"/>
    <s v="REACT"/>
    <s v="Rosulek"/>
    <x v="82"/>
    <m/>
    <m/>
    <m/>
    <s v="33192210-7"/>
    <s v="2.2.143,2.2.229"/>
    <n v="785500"/>
    <x v="2"/>
    <d v="2020-01-07T00:00:00"/>
    <d v="2020-01-17T00:00:00"/>
    <d v="2020-02-07T00:00:00"/>
    <s v="RQL s.r.o."/>
    <m/>
    <n v="687484"/>
    <n v="831855.64"/>
    <m/>
    <m/>
    <m/>
    <d v="2020-02-07T00:00:00"/>
    <s v="SMLN-2020-617-000065_x000a_SMLN-2020-612-000013"/>
    <x v="18"/>
    <d v="2020-03-25T00:00:00"/>
    <d v="2020-05-15T00:00:00"/>
  </r>
  <r>
    <d v="2019-12-12T00:00:00"/>
    <s v="VZ-2019-001281"/>
    <s v="ZT"/>
    <s v="Rosulek"/>
    <x v="83"/>
    <m/>
    <m/>
    <m/>
    <s v="33168100-6"/>
    <s v="2.2.228."/>
    <n v="330000"/>
    <x v="2"/>
    <d v="2020-01-13T00:00:00"/>
    <d v="2020-01-22T00:00:00"/>
    <d v="2020-02-17T00:00:00"/>
    <s v="CHEIRON a.s."/>
    <m/>
    <n v="329240"/>
    <n v="398380.4"/>
    <m/>
    <m/>
    <m/>
    <d v="2020-02-17T00:00:00"/>
    <s v="SMLN-2020-617-000076_x000a_SMLN-2020-612-000018"/>
    <x v="19"/>
    <d v="2020-03-13T00:00:00"/>
    <d v="2020-05-07T00:00:00"/>
  </r>
  <r>
    <d v="2019-12-10T00:00:00"/>
    <s v="VZ-2019-001283"/>
    <s v="INV"/>
    <s v="Jansa"/>
    <x v="84"/>
    <m/>
    <m/>
    <m/>
    <s v="45111000-8"/>
    <m/>
    <n v="4500000"/>
    <x v="2"/>
    <d v="2019-12-30T00:00:00"/>
    <d v="2020-01-22T00:00:00"/>
    <d v="2020-01-31T00:00:00"/>
    <s v="Polanský s.r.o."/>
    <m/>
    <n v="2649966.48"/>
    <n v="3206459.44"/>
    <m/>
    <m/>
    <m/>
    <d v="2020-01-31T00:00:00"/>
    <s v="SMLN-2020-618-000006"/>
    <x v="7"/>
    <d v="2020-02-25T00:00:00"/>
    <d v="2020-05-15T00:00:00"/>
  </r>
  <r>
    <d v="2019-12-17T00:00:00"/>
    <s v="VZ-2019-001287"/>
    <s v="INF"/>
    <s v="Oravec"/>
    <x v="85"/>
    <m/>
    <m/>
    <m/>
    <s v="72261000-2"/>
    <m/>
    <n v="910800"/>
    <x v="2"/>
    <d v="2019-12-27T00:00:00"/>
    <d v="2020-01-10T00:00:00"/>
    <m/>
    <s v="zrušeno - uzavřen výhodnější dodatek"/>
    <m/>
    <m/>
    <m/>
    <m/>
    <m/>
    <m/>
    <m/>
    <m/>
    <x v="0"/>
    <d v="2020-01-17T00:00:00"/>
    <m/>
  </r>
  <r>
    <d v="2019-12-16T00:00:00"/>
    <s v="VZ-2019-001288"/>
    <s v="LÉK"/>
    <s v="Ondráčková"/>
    <x v="86"/>
    <n v="1"/>
    <s v="ERLOTINIB-HYDROCHLORID"/>
    <m/>
    <s v="33652000-5"/>
    <m/>
    <n v="9044345"/>
    <x v="0"/>
    <d v="2019-12-23T00:00:00"/>
    <d v="2020-02-26T00:00:00"/>
    <m/>
    <m/>
    <s v="nová VZ-2020-000309"/>
    <m/>
    <m/>
    <m/>
    <m/>
    <m/>
    <m/>
    <m/>
    <x v="0"/>
    <d v="2020-03-17T00:00:00"/>
    <s v="17.3.2020 zrušeno"/>
  </r>
  <r>
    <d v="2019-12-16T00:00:00"/>
    <s v="VZ-2019-001288"/>
    <s v="LÉK"/>
    <s v="Ondráčková"/>
    <x v="86"/>
    <n v="2"/>
    <s v="SUNITINIB-MALÁT"/>
    <m/>
    <s v="33652000-5"/>
    <m/>
    <n v="48895034"/>
    <x v="0"/>
    <d v="2019-12-23T00:00:00"/>
    <d v="2020-02-26T00:00:00"/>
    <d v="2020-03-31T00:00:00"/>
    <s v="PHOENIX lék.velkoobchod, s.r.o."/>
    <m/>
    <n v="48895033.399999999"/>
    <n v="53784536.740000002"/>
    <m/>
    <m/>
    <m/>
    <d v="2020-04-01T00:00:00"/>
    <s v="SMLN-2020-617-000125"/>
    <x v="32"/>
    <d v="2020-05-11T00:00:00"/>
    <d v="2022-04-26T00:00:00"/>
  </r>
  <r>
    <d v="2019-12-16T00:00:00"/>
    <s v="VZ-2019-001288"/>
    <s v="LÉK"/>
    <s v="Ondráčková"/>
    <x v="86"/>
    <n v="3"/>
    <s v="SORAFENIB-TOSILÁT"/>
    <m/>
    <s v="33652000-5"/>
    <m/>
    <n v="15048787"/>
    <x v="0"/>
    <d v="2019-12-23T00:00:00"/>
    <d v="2020-02-26T00:00:00"/>
    <d v="2020-03-31T00:00:00"/>
    <s v="BAYER s.r.o."/>
    <m/>
    <n v="15048786.9"/>
    <n v="16553665.590000002"/>
    <m/>
    <m/>
    <m/>
    <d v="2020-04-01T00:00:00"/>
    <s v="SMLN-2020-617-000126"/>
    <x v="32"/>
    <d v="2020-05-11T00:00:00"/>
    <d v="2022-04-26T00:00:00"/>
  </r>
  <r>
    <d v="2019-12-16T00:00:00"/>
    <s v="VZ-2019-001288"/>
    <s v="LÉK"/>
    <s v="Ondráčková"/>
    <x v="86"/>
    <n v="4"/>
    <s v="MONOHYDRÁT DASATINIBU"/>
    <m/>
    <s v="33652000-5"/>
    <m/>
    <n v="26372808"/>
    <x v="0"/>
    <d v="2019-12-23T00:00:00"/>
    <d v="2020-02-26T00:00:00"/>
    <d v="2020-03-31T00:00:00"/>
    <s v="PHOENIX lék.velkoobchod, s.r.o."/>
    <m/>
    <n v="23843105.48"/>
    <n v="26227416.028000001"/>
    <m/>
    <m/>
    <m/>
    <d v="2020-04-01T00:00:00"/>
    <s v="SMLN-2020-617-000127"/>
    <x v="32"/>
    <d v="2020-05-11T00:00:00"/>
    <d v="2022-04-26T00:00:00"/>
  </r>
  <r>
    <d v="2019-12-16T00:00:00"/>
    <s v="VZ-2019-001288"/>
    <s v="LÉK"/>
    <s v="Ondráčková"/>
    <x v="86"/>
    <n v="5"/>
    <s v="MONOHYDRÁT LAPATINIB-DITOSILÁTU"/>
    <m/>
    <s v="33652000-5"/>
    <m/>
    <n v="2377087"/>
    <x v="0"/>
    <d v="2019-12-23T00:00:00"/>
    <d v="2020-02-26T00:00:00"/>
    <d v="2020-03-31T00:00:00"/>
    <s v="Alliance Healthcare s.r.o."/>
    <m/>
    <n v="2377086.4"/>
    <n v="2614795.04"/>
    <m/>
    <m/>
    <m/>
    <d v="2020-04-01T00:00:00"/>
    <s v="SMLN-2020-617-000128"/>
    <x v="31"/>
    <d v="2020-05-11T00:00:00"/>
    <d v="2022-05-05T00:00:00"/>
  </r>
  <r>
    <d v="2019-12-16T00:00:00"/>
    <s v="VZ-2019-001288"/>
    <s v="LÉK"/>
    <s v="Ondráčková"/>
    <x v="86"/>
    <n v="6"/>
    <s v="TEMSIROLIMUS"/>
    <m/>
    <s v="33652000-5"/>
    <m/>
    <n v="304833"/>
    <x v="0"/>
    <d v="2019-12-23T00:00:00"/>
    <d v="2020-02-26T00:00:00"/>
    <d v="2020-03-31T00:00:00"/>
    <s v="PHOENIX lék.velkoobchod, s.r.o."/>
    <m/>
    <n v="304832.48"/>
    <n v="335315.728"/>
    <m/>
    <m/>
    <m/>
    <d v="2020-04-01T00:00:00"/>
    <s v="SMLN-2020-617-000129"/>
    <x v="32"/>
    <d v="2020-05-11T00:00:00"/>
    <d v="2022-04-26T00:00:00"/>
  </r>
  <r>
    <d v="2019-12-16T00:00:00"/>
    <s v="VZ-2019-001290"/>
    <s v="VŠEOB"/>
    <s v="Smrčková"/>
    <x v="87"/>
    <m/>
    <m/>
    <m/>
    <s v="33772000-2"/>
    <m/>
    <n v="1993000"/>
    <x v="2"/>
    <d v="2019-12-30T00:00:00"/>
    <d v="2020-01-17T00:00:00"/>
    <m/>
    <s v="zrušeno - bez hodnotitelné nabídky - vzorky nespňují požadavky"/>
    <m/>
    <s v="nová VZ-2020-000146"/>
    <m/>
    <m/>
    <m/>
    <m/>
    <m/>
    <m/>
    <x v="0"/>
    <d v="2020-02-18T00:00:00"/>
    <m/>
  </r>
  <r>
    <d v="2019-12-19T00:00:00"/>
    <s v="VZ-2019-001292"/>
    <s v="VŠEOB"/>
    <s v="Smrčková"/>
    <x v="88"/>
    <m/>
    <m/>
    <m/>
    <s v="30197644-2"/>
    <m/>
    <n v="900000"/>
    <x v="2"/>
    <d v="2020-01-06T00:00:00"/>
    <d v="2020-01-17T00:00:00"/>
    <m/>
    <s v="zrušeno - bez hodnotitelné nabídky"/>
    <s v="nová VZ-2020-000249"/>
    <m/>
    <m/>
    <m/>
    <m/>
    <m/>
    <m/>
    <m/>
    <x v="0"/>
    <d v="2020-03-03T00:00:00"/>
    <m/>
  </r>
  <r>
    <s v="xxx"/>
    <s v="VZ-2020-000001"/>
    <s v="IROP26"/>
    <s v="Miklík"/>
    <x v="89"/>
    <m/>
    <m/>
    <m/>
    <s v="48810000-9"/>
    <m/>
    <n v="61617189.939999998"/>
    <x v="0"/>
    <d v="2020-03-23T00:00:00"/>
    <d v="2020-07-07T00:00:00"/>
    <d v="2020-09-10T00:00:00"/>
    <s v="OR-CZ spol. s r.o."/>
    <m/>
    <n v="57080000"/>
    <n v="69066800"/>
    <m/>
    <m/>
    <m/>
    <d v="2020-09-11T00:00:00"/>
    <s v="SMLN-2020-618-000076_x000a_SMLN-2020-612-000088"/>
    <x v="49"/>
    <d v="2020-11-27T00:00:00"/>
    <d v="2022-10-25T00:00:00"/>
  </r>
  <r>
    <s v="xxx"/>
    <s v="VZ-2020-000002"/>
    <s v="IROP26"/>
    <s v="Miklík"/>
    <x v="90"/>
    <m/>
    <m/>
    <m/>
    <s v="48820000-2"/>
    <m/>
    <n v="22706798.350000001"/>
    <x v="0"/>
    <d v="2020-03-23T00:00:00"/>
    <d v="2020-05-11T00:00:00"/>
    <m/>
    <m/>
    <s v="nová VZ-2020-000879"/>
    <m/>
    <m/>
    <m/>
    <m/>
    <m/>
    <m/>
    <m/>
    <x v="0"/>
    <d v="2020-07-17T00:00:00"/>
    <s v="30.6.2020 zrušeno"/>
  </r>
  <r>
    <d v="2019-12-13T00:00:00"/>
    <s v="VZ-2020-000003"/>
    <s v="ENERG"/>
    <s v="Eyer"/>
    <x v="91"/>
    <m/>
    <m/>
    <m/>
    <s v="45232221-7"/>
    <s v="4.2.121."/>
    <n v="5990000"/>
    <x v="2"/>
    <d v="2020-01-10T00:00:00"/>
    <d v="2020-01-23T00:00:00"/>
    <d v="2020-02-11T00:00:00"/>
    <s v="zrušeno - bude nová PD"/>
    <s v="nová VZ-2020-000900"/>
    <m/>
    <m/>
    <m/>
    <m/>
    <m/>
    <d v="2020-02-12T00:00:00"/>
    <s v="SMLN-2020-618-000008"/>
    <x v="0"/>
    <d v="2020-06-05T00:00:00"/>
    <m/>
  </r>
  <r>
    <d v="2019-12-13T00:00:00"/>
    <s v="VZ-2020-000004"/>
    <s v="ENERG"/>
    <s v="Srovnal"/>
    <x v="92"/>
    <m/>
    <m/>
    <m/>
    <s v="45454100-5"/>
    <m/>
    <n v="16259000"/>
    <x v="1"/>
    <d v="2020-01-22T00:00:00"/>
    <d v="2020-02-11T00:00:00"/>
    <d v="2020-02-20T00:00:00"/>
    <s v="OHL ŽS a.s."/>
    <m/>
    <n v="17080713.219999999"/>
    <n v="20667663"/>
    <m/>
    <m/>
    <m/>
    <d v="2020-02-20T00:00:00"/>
    <s v="SMLN-2020-618-000013"/>
    <x v="50"/>
    <d v="2020-03-27T00:00:00"/>
    <d v="2020-05-31T00:00:00"/>
  </r>
  <r>
    <d v="2019-11-26T00:00:00"/>
    <s v="VZ-2020-000005"/>
    <s v="LÉK"/>
    <s v="Ondráčková"/>
    <x v="93"/>
    <n v="1"/>
    <s v="Idelalisib"/>
    <m/>
    <s v="33652100-6"/>
    <m/>
    <n v="61538056"/>
    <x v="0"/>
    <d v="2020-01-29T00:00:00"/>
    <d v="2020-04-14T00:00:00"/>
    <m/>
    <s v="zrušeno - bez nabídky"/>
    <s v="nová VZ-2020-000476"/>
    <m/>
    <m/>
    <m/>
    <m/>
    <m/>
    <m/>
    <m/>
    <x v="0"/>
    <d v="2020-04-17T00:00:00"/>
    <s v="17.4.2020 zrušeno"/>
  </r>
  <r>
    <d v="2019-11-26T00:00:00"/>
    <s v="VZ-2020-000006"/>
    <s v="LÉK"/>
    <s v="Ondráčková"/>
    <x v="94"/>
    <n v="1"/>
    <s v="Omalizumab"/>
    <m/>
    <s v="33673000-8"/>
    <m/>
    <n v="47341396"/>
    <x v="0"/>
    <d v="2020-01-31T00:00:00"/>
    <d v="2020-03-06T00:00:00"/>
    <d v="2020-03-31T00:00:00"/>
    <s v="Alliance Healthcare s.r.o."/>
    <m/>
    <n v="47341395.380000003"/>
    <n v="52075534.918000005"/>
    <m/>
    <m/>
    <m/>
    <d v="2020-04-01T00:00:00"/>
    <s v="SMLN-2020-617-000124"/>
    <x v="31"/>
    <d v="2020-05-25T00:00:00"/>
    <d v="2022-05-05T00:00:00"/>
  </r>
  <r>
    <d v="2019-11-26T00:00:00"/>
    <s v="VZ-2020-000007"/>
    <s v="LÉK"/>
    <s v="Ondráčková"/>
    <x v="95"/>
    <n v="1"/>
    <s v="Thyrotropin alfa"/>
    <m/>
    <s v="33642100-3"/>
    <m/>
    <n v="1210714"/>
    <x v="2"/>
    <d v="2020-02-18T00:00:00"/>
    <d v="2020-02-28T00:00:00"/>
    <d v="2020-03-31T00:00:00"/>
    <s v="sanofi - aventis, s.r.o."/>
    <m/>
    <n v="1210712.3999999999"/>
    <n v="1331783.8"/>
    <m/>
    <m/>
    <m/>
    <d v="2020-04-02T00:00:00"/>
    <s v="SMLN-2020-617-000136"/>
    <x v="21"/>
    <d v="2020-05-18T00:00:00"/>
    <d v="2022-05-13T00:00:00"/>
  </r>
  <r>
    <d v="2019-11-26T00:00:00"/>
    <s v="VZ-2020-000007"/>
    <s v="LÉK"/>
    <s v="Ondráčková"/>
    <x v="95"/>
    <n v="2"/>
    <s v="Pegvisomant"/>
    <m/>
    <s v="33642100-3"/>
    <m/>
    <n v="637924"/>
    <x v="2"/>
    <d v="2020-02-18T00:00:00"/>
    <d v="2020-02-28T00:00:00"/>
    <d v="2020-03-31T00:00:00"/>
    <s v="PHOENIX lék.velkoobchod, s.r.o."/>
    <m/>
    <n v="632793.19999999995"/>
    <n v="696072.52"/>
    <m/>
    <m/>
    <m/>
    <d v="2020-04-02T00:00:00"/>
    <s v="SMLN-2020-617-000137"/>
    <x v="21"/>
    <d v="2020-05-18T00:00:00"/>
    <d v="2022-05-13T00:00:00"/>
  </r>
  <r>
    <d v="2019-09-02T00:00:00"/>
    <s v="VZ-2020-000008"/>
    <s v="LÉK"/>
    <s v="Ondráčková"/>
    <x v="96"/>
    <n v="1"/>
    <s v="Bortezomib"/>
    <m/>
    <s v="33652000-5  "/>
    <m/>
    <n v="1299600"/>
    <x v="0"/>
    <d v="2020-02-25T00:00:00"/>
    <d v="2020-04-28T00:00:00"/>
    <d v="2020-05-27T00:00:00"/>
    <s v="ViaPharma s.r.o."/>
    <m/>
    <n v="1029078"/>
    <n v="1131985.8"/>
    <m/>
    <m/>
    <m/>
    <d v="2020-05-28T00:00:00"/>
    <s v="SMLN-2020-617-000206"/>
    <x v="51"/>
    <d v="2020-07-13T00:00:00"/>
    <d v="2022-06-30T00:00:00"/>
  </r>
  <r>
    <d v="2019-09-02T00:00:00"/>
    <s v="VZ-2020-000008"/>
    <s v="LÉK"/>
    <s v="Ondráčková"/>
    <x v="96"/>
    <n v="2"/>
    <s v="Pegaspargasa"/>
    <m/>
    <s v="33652000-5  "/>
    <m/>
    <n v="2043895"/>
    <x v="0"/>
    <d v="2020-02-25T00:00:00"/>
    <d v="2020-04-28T00:00:00"/>
    <m/>
    <m/>
    <m/>
    <m/>
    <m/>
    <m/>
    <m/>
    <m/>
    <m/>
    <m/>
    <x v="0"/>
    <d v="2020-05-18T00:00:00"/>
    <s v="6.5. 2020 zrušeno"/>
  </r>
  <r>
    <d v="2019-09-02T00:00:00"/>
    <s v="VZ-2020-000008"/>
    <s v="LÉK"/>
    <s v="Ondráčková"/>
    <x v="96"/>
    <n v="3"/>
    <s v="Irinotekan"/>
    <m/>
    <s v="33652000-5  "/>
    <m/>
    <n v="677539"/>
    <x v="0"/>
    <d v="2020-02-25T00:00:00"/>
    <d v="2020-04-28T00:00:00"/>
    <d v="2020-05-27T00:00:00"/>
    <s v="Fresenius Kabi s.r.o."/>
    <m/>
    <n v="480627.6"/>
    <n v="528690.36"/>
    <m/>
    <m/>
    <m/>
    <d v="2020-05-28T00:00:00"/>
    <s v="SMLN-2020-617-000207"/>
    <x v="51"/>
    <d v="2020-07-13T00:00:00"/>
    <d v="2022-06-30T00:00:00"/>
  </r>
  <r>
    <d v="2019-09-02T00:00:00"/>
    <s v="VZ-2020-000008"/>
    <s v="LÉK"/>
    <s v="Ondráčková"/>
    <x v="96"/>
    <n v="4"/>
    <s v="Eribulin-mesylát"/>
    <m/>
    <s v="33652000-5  "/>
    <m/>
    <n v="8531817"/>
    <x v="0"/>
    <d v="2020-02-25T00:00:00"/>
    <d v="2020-04-28T00:00:00"/>
    <d v="2020-05-27T00:00:00"/>
    <s v="PHOENIX lék.velkoobchod, s.r.o."/>
    <m/>
    <n v="8530960.8200000003"/>
    <n v="9384056.9000000004"/>
    <m/>
    <m/>
    <m/>
    <d v="2020-05-28T00:00:00"/>
    <s v="SMLN-2020-617-000208"/>
    <x v="52"/>
    <d v="2020-07-31T00:00:00"/>
    <d v="2022-07-20T00:00:00"/>
  </r>
  <r>
    <d v="2019-09-02T00:00:00"/>
    <s v="VZ-2020-000008"/>
    <s v="LÉK"/>
    <s v="Ondráčková"/>
    <x v="96"/>
    <n v="5"/>
    <s v="Aflibercept"/>
    <m/>
    <s v="33652000-5  "/>
    <m/>
    <n v="3476529"/>
    <x v="0"/>
    <d v="2020-02-25T00:00:00"/>
    <d v="2020-04-28T00:00:00"/>
    <d v="2020-05-27T00:00:00"/>
    <s v="sanofi - aventis, s.r.o."/>
    <m/>
    <n v="3476527.3"/>
    <n v="3824180.03"/>
    <m/>
    <m/>
    <m/>
    <d v="2020-05-28T00:00:00"/>
    <s v="SMLN-2020-617-000209"/>
    <x v="53"/>
    <d v="2020-07-13T00:00:00"/>
    <d v="2022-07-06T00:00:00"/>
  </r>
  <r>
    <d v="2019-09-02T00:00:00"/>
    <s v="VZ-2020-000008"/>
    <s v="LÉK"/>
    <s v="Ondráčková"/>
    <x v="96"/>
    <n v="6"/>
    <s v="Asparaginasa produkovaná Erwinia chrysanthemi"/>
    <m/>
    <s v="33652000-5  "/>
    <m/>
    <n v="910770"/>
    <x v="0"/>
    <d v="2020-02-25T00:00:00"/>
    <d v="2020-04-28T00:00:00"/>
    <m/>
    <m/>
    <m/>
    <m/>
    <m/>
    <m/>
    <m/>
    <m/>
    <m/>
    <m/>
    <x v="0"/>
    <d v="2020-05-18T00:00:00"/>
    <s v="6.5. 2020 zrušeno"/>
  </r>
  <r>
    <d v="2019-09-02T00:00:00"/>
    <s v="VZ-2020-000008"/>
    <s v="LÉK"/>
    <s v="Ondráčková"/>
    <x v="96"/>
    <n v="7"/>
    <s v="Topotecan"/>
    <m/>
    <s v="33652000-5  "/>
    <m/>
    <n v="218849"/>
    <x v="0"/>
    <d v="2020-02-25T00:00:00"/>
    <d v="2020-04-28T00:00:00"/>
    <d v="2020-05-27T00:00:00"/>
    <s v="PHOENIX lék.velkoobchod, s.r.o."/>
    <m/>
    <n v="32477.439999999999"/>
    <n v="35725.18"/>
    <m/>
    <m/>
    <m/>
    <d v="2020-05-28T00:00:00"/>
    <s v="SMLN-2020-617-000210"/>
    <x v="51"/>
    <d v="2020-07-13T00:00:00"/>
    <d v="2022-06-30T00:00:00"/>
  </r>
  <r>
    <d v="2019-10-01T00:00:00"/>
    <s v="VZ-2020-000013"/>
    <s v="ZT"/>
    <s v="Rosulek"/>
    <x v="97"/>
    <m/>
    <m/>
    <m/>
    <s v="33123220-6"/>
    <s v="2.3.302."/>
    <n v="37230000"/>
    <x v="0"/>
    <d v="2020-01-09T00:00:00"/>
    <d v="2020-03-04T00:00:00"/>
    <d v="2020-03-16T00:00:00"/>
    <s v="Philips Česká republika s.r.o."/>
    <m/>
    <n v="27555000"/>
    <n v="33341550"/>
    <m/>
    <m/>
    <m/>
    <d v="2020-03-16T00:00:00"/>
    <s v="SMLN-2020-617-000100_x000a_SMLN-2020-613-000010_x000a_SMLN-2020-613-000011"/>
    <x v="54"/>
    <d v="2020-04-22T00:00:00"/>
    <d v="2020-08-24T00:00:00"/>
  </r>
  <r>
    <d v="2020-01-03T00:00:00"/>
    <s v="VZ-2020-000018"/>
    <s v="MARKET"/>
    <s v="Jeřábková"/>
    <x v="98"/>
    <m/>
    <m/>
    <m/>
    <s v="55520000-1"/>
    <m/>
    <n v="250000"/>
    <x v="2"/>
    <d v="2020-01-14T00:00:00"/>
    <d v="2020-01-23T00:00:00"/>
    <d v="2020-01-27T00:00:00"/>
    <s v="Grand lahůdky, s.r.o."/>
    <m/>
    <n v="219132.23"/>
    <n v="265150"/>
    <m/>
    <m/>
    <m/>
    <d v="2020-01-27T00:00:00"/>
    <s v="SMLN-2020-612-000007"/>
    <x v="1"/>
    <d v="2020-02-25T00:00:00"/>
    <d v="2020-03-06T00:00:00"/>
  </r>
  <r>
    <s v="xxx"/>
    <s v="VZ-2020-000020"/>
    <s v="LÉK"/>
    <s v="Ondráčková"/>
    <x v="99"/>
    <m/>
    <m/>
    <m/>
    <s v="33694000-1"/>
    <m/>
    <n v="150000000"/>
    <x v="0"/>
    <d v="2020-01-31T00:00:00"/>
    <d v="2020-04-22T00:00:00"/>
    <m/>
    <m/>
    <m/>
    <m/>
    <m/>
    <m/>
    <m/>
    <m/>
    <m/>
    <m/>
    <x v="0"/>
    <m/>
    <m/>
  </r>
  <r>
    <d v="2019-11-27T00:00:00"/>
    <s v="VZ-2020-000026"/>
    <s v="INV"/>
    <s v="Spáčil"/>
    <x v="100"/>
    <m/>
    <m/>
    <m/>
    <s v="71200000-0"/>
    <m/>
    <n v="2500000"/>
    <x v="1"/>
    <d v="2020-01-15T00:00:00"/>
    <d v="2020-02-05T00:00:00"/>
    <d v="2020-04-07T00:00:00"/>
    <s v="LT Projekt a.s."/>
    <m/>
    <n v="1950000"/>
    <n v="2359500"/>
    <m/>
    <m/>
    <m/>
    <d v="2020-04-08T00:00:00"/>
    <s v="SMLN-2020-618-000024"/>
    <x v="55"/>
    <d v="2020-05-27T00:00:00"/>
    <d v="2020-09-19T00:00:00"/>
  </r>
  <r>
    <d v="2020-01-13T00:00:00"/>
    <s v="VZ-2020-000029"/>
    <s v="INF"/>
    <s v="Oravec"/>
    <x v="101"/>
    <m/>
    <m/>
    <m/>
    <s v="72610000-9"/>
    <m/>
    <n v="900000"/>
    <x v="2"/>
    <d v="2020-01-15T00:00:00"/>
    <d v="2020-01-22T00:00:00"/>
    <m/>
    <s v="zrušeno - nesplnění podmínek, "/>
    <s v="nová VZ-2020-000078"/>
    <m/>
    <s v="zrušeno - nesplnění podmínek, nová VZ-2020-000078"/>
    <m/>
    <m/>
    <m/>
    <m/>
    <m/>
    <x v="0"/>
    <d v="2020-01-28T00:00:00"/>
    <m/>
  </r>
  <r>
    <d v="2019-10-07T00:00:00"/>
    <s v="VZ-2020-000030"/>
    <s v="ZM"/>
    <s v="Dočkalová"/>
    <x v="102"/>
    <m/>
    <m/>
    <s v="33162200-5"/>
    <s v="33162200-5"/>
    <m/>
    <n v="900000"/>
    <x v="2"/>
    <d v="2020-01-21T00:00:00"/>
    <d v="2020-01-31T00:00:00"/>
    <d v="2020-03-11T00:00:00"/>
    <s v="MEDILAB s.r.o."/>
    <m/>
    <n v="641717.05000000005"/>
    <n v="776477.63"/>
    <m/>
    <m/>
    <m/>
    <d v="2020-03-12T00:00:00"/>
    <s v="SMLN-2020-617-000093"/>
    <x v="56"/>
    <d v="2020-03-27T00:00:00"/>
    <d v="2020-06-18T00:00:00"/>
  </r>
  <r>
    <d v="2020-01-10T00:00:00"/>
    <s v="VZ-2020-000031"/>
    <s v="ZM"/>
    <s v="Dočkalová"/>
    <x v="103"/>
    <m/>
    <m/>
    <m/>
    <s v="33140000-3"/>
    <m/>
    <n v="7960000"/>
    <x v="0"/>
    <d v="2020-02-18T00:00:00"/>
    <d v="2020-03-20T00:00:00"/>
    <d v="2020-03-31T00:00:00"/>
    <s v="Terumo BCT Europe N.V."/>
    <m/>
    <n v="7941600"/>
    <n v="9609336"/>
    <m/>
    <m/>
    <m/>
    <d v="2020-04-02T00:00:00"/>
    <s v="SMLN-2020-617-000138"/>
    <x v="57"/>
    <d v="2020-06-25T00:00:00"/>
    <d v="2022-06-23T00:00:00"/>
  </r>
  <r>
    <d v="2019-10-02T00:00:00"/>
    <s v="VZ-2020-000032"/>
    <s v="ZM"/>
    <s v="Dočkalová"/>
    <x v="104"/>
    <m/>
    <m/>
    <m/>
    <s v="33140000-3"/>
    <m/>
    <n v="4382693"/>
    <x v="0"/>
    <d v="2020-04-20T00:00:00"/>
    <d v="2020-06-08T00:00:00"/>
    <m/>
    <m/>
    <m/>
    <m/>
    <m/>
    <m/>
    <m/>
    <m/>
    <m/>
    <m/>
    <x v="0"/>
    <m/>
    <m/>
  </r>
  <r>
    <d v="2019-12-20T00:00:00"/>
    <s v="VZ-2020-000033"/>
    <s v="REACT"/>
    <s v="Rosulek"/>
    <x v="105"/>
    <n v="1"/>
    <s v="Multioborové elektrochirurgické generátory se samostatnou argonovou jendotkou"/>
    <m/>
    <s v="33161000-6"/>
    <s v="2.3.377."/>
    <n v="3245000"/>
    <x v="0"/>
    <d v="2020-01-29T00:00:00"/>
    <d v="2020-03-12T00:00:00"/>
    <d v="2020-05-20T00:00:00"/>
    <s v="Stargen EU s.r.o."/>
    <m/>
    <n v="2861903"/>
    <n v="3462902.63"/>
    <m/>
    <m/>
    <m/>
    <d v="2020-05-20T00:00:00"/>
    <s v="SMLN-2020-617-000194_x000a_SMLN-2020-612-000038"/>
    <x v="51"/>
    <d v="2020-07-13T00:00:00"/>
    <d v="2020-07-29T00:00:00"/>
  </r>
  <r>
    <d v="2019-12-20T00:00:00"/>
    <s v="VZ-2020-000033"/>
    <s v="ZT"/>
    <s v="Rosulek"/>
    <x v="105"/>
    <n v="2"/>
    <s v="Mobilní elektrochirurgické generátory se samostatnou argon-plazmovou jendotkou"/>
    <m/>
    <s v="33161000-6"/>
    <s v="2.2.234., 2.3.370."/>
    <n v="1730000"/>
    <x v="0"/>
    <d v="2020-01-29T00:00:00"/>
    <d v="2020-03-12T00:00:00"/>
    <m/>
    <s v="zrušeno - bez nabídky"/>
    <s v="nová VZ-2020-000604"/>
    <m/>
    <m/>
    <m/>
    <m/>
    <m/>
    <m/>
    <m/>
    <x v="0"/>
    <d v="2020-03-27T00:00:00"/>
    <s v="27.3.2020 zrušeno"/>
  </r>
  <r>
    <s v="opakovaná VZ"/>
    <s v="VZ-2020-000040"/>
    <s v="ZT"/>
    <s v="Rosulek"/>
    <x v="106"/>
    <m/>
    <m/>
    <m/>
    <s v="33169100-3"/>
    <s v="2.3.434."/>
    <n v="1750000"/>
    <x v="2"/>
    <d v="2020-01-20T00:00:00"/>
    <d v="2020-01-28T00:00:00"/>
    <d v="2020-02-17T00:00:00"/>
    <s v="CMI s.r.o."/>
    <m/>
    <n v="1749999"/>
    <n v="2117498.79"/>
    <m/>
    <m/>
    <m/>
    <d v="2020-02-17T00:00:00"/>
    <s v="SMLN-2020-617-000073_x000a_SMLN-2020-612-000016"/>
    <x v="47"/>
    <d v="2020-03-10T00:00:00"/>
    <d v="2020-04-08T00:00:00"/>
  </r>
  <r>
    <s v="opakovaná VZ"/>
    <s v="VZ-2020-000051"/>
    <s v="ZT"/>
    <s v="Olejníček"/>
    <x v="107"/>
    <m/>
    <m/>
    <m/>
    <s v="31643100-6_x000a_33115100-0_x000a_50421000-2"/>
    <s v="2.3.420."/>
    <n v="431388000"/>
    <x v="0"/>
    <d v="2020-03-05T00:00:00"/>
    <d v="2020-04-09T00:00:00"/>
    <d v="2020-06-08T00:00:00"/>
    <s v="AMEDIS, spol. s r.o."/>
    <m/>
    <n v="415080820"/>
    <n v="502247792.19999999"/>
    <m/>
    <m/>
    <m/>
    <d v="2020-06-09T00:00:00"/>
    <s v="SMLN-2020-617-000230_x000a_SMLN-2020-612-000042_x000a_SMLN-2020-617-000232_x000a_SMLN-2020-612-000043"/>
    <x v="0"/>
    <m/>
    <m/>
  </r>
  <r>
    <d v="2019-09-13T00:00:00"/>
    <s v="VZ-2020-000055"/>
    <s v="LÉK"/>
    <s v="Ondráčková"/>
    <x v="108"/>
    <m/>
    <m/>
    <m/>
    <s v="33141625-7"/>
    <m/>
    <n v="1440000"/>
    <x v="2"/>
    <d v="2020-02-19T00:00:00"/>
    <d v="2020-02-28T00:00:00"/>
    <d v="2020-03-16T00:00:00"/>
    <s v="BioVendor - Laboratorní medicína a.s."/>
    <m/>
    <n v="1440000"/>
    <n v="1742400"/>
    <m/>
    <m/>
    <m/>
    <d v="2020-03-16T00:00:00"/>
    <s v="SMLN-2020-617-000096 _x000a_SMLN-2020-616-000014"/>
    <x v="46"/>
    <d v="2020-04-24T00:00:00"/>
    <d v="2026-04-20T00:00:00"/>
  </r>
  <r>
    <d v="2019-11-28T00:00:00"/>
    <s v="VZ-2020-000057"/>
    <s v="ENERG"/>
    <s v="Srovnal"/>
    <x v="109"/>
    <m/>
    <m/>
    <s v="50750000-7"/>
    <s v="50750000-7"/>
    <m/>
    <n v="6500000"/>
    <x v="0"/>
    <d v="2020-01-29T00:00:00"/>
    <d v="2020-03-17T00:00:00"/>
    <d v="2020-04-16T00:00:00"/>
    <s v="LIFTMONT CZ s.r.o."/>
    <m/>
    <n v="2097308"/>
    <n v="2537740"/>
    <m/>
    <m/>
    <m/>
    <d v="2020-04-16T00:00:00"/>
    <s v="SMLN-2020-612-000029"/>
    <x v="21"/>
    <d v="2020-05-18T00:00:00"/>
    <d v="2024-05-13T00:00:00"/>
  </r>
  <r>
    <d v="2020-01-10T00:00:00"/>
    <s v="VZ-2020-000061"/>
    <s v="ZT"/>
    <s v="Rosulek"/>
    <x v="110"/>
    <m/>
    <m/>
    <m/>
    <s v="38311000-8"/>
    <s v="2.3.432."/>
    <n v="1520000"/>
    <x v="2"/>
    <d v="2020-02-11T00:00:00"/>
    <d v="2020-02-21T00:00:00"/>
    <d v="2020-03-16T00:00:00"/>
    <s v="MEDISTA spol. s r.o."/>
    <m/>
    <n v="1469320"/>
    <n v="1777877.2"/>
    <m/>
    <m/>
    <m/>
    <d v="2020-03-16T00:00:00"/>
    <s v="SMLN-2020-617-000098 SMLN-2020-617-000099_x000a_SMLN-2020-612-000022"/>
    <x v="58"/>
    <d v="2020-04-15T00:00:00"/>
    <d v="2020-05-08T00:00:00"/>
  </r>
  <r>
    <s v="opakovaná VZ"/>
    <s v="VZ-2020-000078"/>
    <s v="INF"/>
    <s v="Oravec"/>
    <x v="101"/>
    <m/>
    <m/>
    <m/>
    <s v="72610000-9"/>
    <m/>
    <n v="1230000"/>
    <x v="2"/>
    <d v="2020-01-29T00:00:00"/>
    <d v="2020-02-05T00:00:00"/>
    <d v="2020-02-05T00:00:00"/>
    <s v="MERIT Group a.s."/>
    <m/>
    <n v="1230091"/>
    <n v="1488410.1099999999"/>
    <m/>
    <m/>
    <m/>
    <d v="2020-02-05T00:00:00"/>
    <s v="SMLN-2020-612-000012"/>
    <x v="59"/>
    <d v="2020-02-14T00:00:00"/>
    <d v="2021-02-15T00:00:00"/>
  </r>
  <r>
    <d v="2020-01-27T00:00:00"/>
    <s v="VZ-2020-000081"/>
    <s v="ZT"/>
    <s v="Rosulek"/>
    <x v="111"/>
    <n v="1"/>
    <s v="Ultrazvukový přístrojcentrální pro RTG"/>
    <m/>
    <s v="33124120-2"/>
    <s v="2.3.407."/>
    <n v="2223853"/>
    <x v="0"/>
    <d v="2020-02-05T00:00:00"/>
    <d v="2020-03-09T00:00:00"/>
    <d v="2020-04-30T00:00:00"/>
    <s v="NIMOTECH, s.r.o."/>
    <m/>
    <n v="1999899.64"/>
    <n v="2419878.5644"/>
    <m/>
    <m/>
    <m/>
    <d v="2020-04-30T00:00:00"/>
    <s v="SMLN-2020-617-000166_x000a_SMLN-2020-612-000031"/>
    <x v="60"/>
    <d v="2020-06-01T00:00:00"/>
    <d v="2020-07-20T00:00:00"/>
  </r>
  <r>
    <d v="2020-01-27T00:00:00"/>
    <s v="VZ-2020-000081"/>
    <s v="ZT"/>
    <s v="Rosulek"/>
    <x v="111"/>
    <n v="2"/>
    <s v="Přenosný ultrazvukový systém por PICC team"/>
    <m/>
    <s v="33124120-2"/>
    <s v="2.2.246."/>
    <n v="441223"/>
    <x v="0"/>
    <d v="2020-02-05T00:00:00"/>
    <d v="2020-03-09T00:00:00"/>
    <d v="2020-07-16T00:00:00"/>
    <s v="Electric Medical Service, s.r.o."/>
    <m/>
    <n v="436100"/>
    <n v="527681"/>
    <m/>
    <m/>
    <m/>
    <d v="2020-07-17T00:00:00"/>
    <s v="SMLN-2020-617-000285_x000a_SMLN-2020-612-000052"/>
    <x v="61"/>
    <d v="2020-08-12T00:00:00"/>
    <d v="2020-10-02T00:00:00"/>
  </r>
  <r>
    <d v="2020-01-27T00:00:00"/>
    <s v="VZ-2020-000081"/>
    <s v="ZT"/>
    <s v="Rosulek"/>
    <x v="111"/>
    <n v="3"/>
    <s v="Konvexní sonda k UVZ systému pro UROL"/>
    <m/>
    <s v="33124120-2"/>
    <s v="2.2.191."/>
    <n v="168198"/>
    <x v="0"/>
    <d v="2020-02-05T00:00:00"/>
    <d v="2020-03-09T00:00:00"/>
    <d v="2020-04-30T00:00:00"/>
    <s v="MEDKONSULT, s.r.o."/>
    <m/>
    <n v="168114"/>
    <n v="203417.94"/>
    <m/>
    <m/>
    <m/>
    <d v="2020-04-30T00:00:00"/>
    <s v="SMLN-2020-617-000167_x000a_SMLN-2020-612-000032"/>
    <x v="60"/>
    <d v="2020-06-01T00:00:00"/>
    <d v="2020-05-30T00:00:00"/>
  </r>
  <r>
    <d v="2020-01-27T00:00:00"/>
    <s v="VZ-2020-000081"/>
    <s v="ZT"/>
    <s v="Rosulek"/>
    <x v="111"/>
    <n v="4"/>
    <s v="Konvexní sonda k UVZ systému pro NEUR"/>
    <m/>
    <s v="33124120-2"/>
    <s v="2.2.245."/>
    <n v="120100"/>
    <x v="0"/>
    <d v="2020-02-05T00:00:00"/>
    <d v="2020-03-09T00:00:00"/>
    <d v="2020-04-30T00:00:00"/>
    <s v="Electric Medical Service, s.r.o."/>
    <m/>
    <n v="120100"/>
    <n v="145321"/>
    <m/>
    <m/>
    <m/>
    <d v="2020-04-30T00:00:00"/>
    <s v="SMLN-2020-617-000168_x000a_SMLN-2020-612-000033"/>
    <x v="60"/>
    <d v="2020-06-01T00:00:00"/>
    <d v="2020-07-20T00:00:00"/>
  </r>
  <r>
    <d v="2020-01-27T00:00:00"/>
    <s v="VZ-2020-000088"/>
    <s v="INV"/>
    <s v="Langer"/>
    <x v="112"/>
    <m/>
    <m/>
    <m/>
    <s v="45233160-8"/>
    <s v="4.2.136.,4.3.10"/>
    <n v="4150000"/>
    <x v="2"/>
    <d v="2020-02-05T00:00:00"/>
    <d v="2020-02-18T00:00:00"/>
    <d v="2020-02-20T00:00:00"/>
    <s v="INSTA CZ s.r.o."/>
    <m/>
    <n v="4191066.48"/>
    <n v="5071190.4400000004"/>
    <m/>
    <m/>
    <m/>
    <d v="2020-02-20T00:00:00"/>
    <s v="SMLN-2020-618-000014"/>
    <x v="62"/>
    <d v="2020-03-19T00:00:00"/>
    <d v="2020-05-21T00:00:00"/>
  </r>
  <r>
    <d v="2020-01-28T00:00:00"/>
    <s v="VZ-2020-000091"/>
    <s v="LÉK"/>
    <s v="Ondráčková"/>
    <x v="113"/>
    <m/>
    <m/>
    <m/>
    <s v="33694000-1"/>
    <m/>
    <n v="2264700"/>
    <x v="1"/>
    <d v="2020-02-12T00:00:00"/>
    <d v="2020-03-09T00:00:00"/>
    <d v="2020-03-31T00:00:00"/>
    <s v="Biomedica ČS, s.r.o."/>
    <m/>
    <n v="2264700"/>
    <n v="2740287"/>
    <m/>
    <m/>
    <m/>
    <d v="2020-04-01T00:00:00"/>
    <s v="SMLN-2020-617-000122"/>
    <x v="32"/>
    <d v="2020-05-07T00:00:00"/>
    <d v="2023-04-26T00:00:00"/>
  </r>
  <r>
    <d v="2020-01-30T00:00:00"/>
    <s v="VZ-2020-000093"/>
    <s v="ZM"/>
    <s v="Merta"/>
    <x v="114"/>
    <n v="1"/>
    <s v="Systém pro katetrovou implantaci aortální chlopně (TAVI) - samoexpandibilní I."/>
    <m/>
    <s v="33182220-7"/>
    <m/>
    <n v="64526050"/>
    <x v="0"/>
    <d v="2020-02-18T00:00:00"/>
    <d v="2020-04-27T00:00:00"/>
    <d v="2020-05-11T00:00:00"/>
    <s v="Cardion s.r.o."/>
    <m/>
    <n v="64515000"/>
    <n v="74192250"/>
    <m/>
    <m/>
    <m/>
    <d v="2020-05-11T00:00:00"/>
    <s v="SMLN-2020-617-000176_x000a_SMLN-2020-612-000036"/>
    <x v="52"/>
    <d v="2020-07-28T00:00:00"/>
    <d v="2022-07-20T00:00:00"/>
  </r>
  <r>
    <d v="2020-01-30T00:00:00"/>
    <s v="VZ-2020-000093"/>
    <s v="ZM"/>
    <s v="Merta"/>
    <x v="114"/>
    <n v="2"/>
    <s v="Systém pro katetrovou implantaci aortální chlopně (TAVI) - samoexpandibilní II."/>
    <m/>
    <s v="33182220-7"/>
    <m/>
    <n v="88400000"/>
    <x v="0"/>
    <d v="2020-02-18T00:00:00"/>
    <d v="2020-04-27T00:00:00"/>
    <m/>
    <s v="zrušeno - překročení ceny"/>
    <m/>
    <m/>
    <m/>
    <m/>
    <m/>
    <m/>
    <m/>
    <m/>
    <x v="0"/>
    <d v="2020-06-17T00:00:00"/>
    <s v="22.5.2020 zrušeno"/>
  </r>
  <r>
    <d v="2020-01-30T00:00:00"/>
    <s v="VZ-2020-000093"/>
    <s v="ZM"/>
    <s v="Merta"/>
    <x v="114"/>
    <n v="3"/>
    <s v="Systém pro katetrovou implantaci aortální chlopně (TAVI) - balónexpandibilní"/>
    <m/>
    <s v="33182220-7"/>
    <m/>
    <n v="90146710"/>
    <x v="0"/>
    <d v="2020-02-18T00:00:00"/>
    <d v="2020-04-27T00:00:00"/>
    <d v="2020-05-11T00:00:00"/>
    <s v="Edwards Lifesciences Czech Republic s.r.o."/>
    <m/>
    <n v="89167500"/>
    <n v="102542625"/>
    <m/>
    <m/>
    <m/>
    <d v="2020-05-11T00:00:00"/>
    <s v="SMLN-2020-617-000177_x000a_SMLN-2020-612-000037"/>
    <x v="63"/>
    <d v="2020-07-28T00:00:00"/>
    <d v="2022-07-23T00:00:00"/>
  </r>
  <r>
    <s v="opakovaná VZ"/>
    <s v="VZ-2020-000098"/>
    <s v="PRAV"/>
    <s v="Procházková"/>
    <x v="63"/>
    <m/>
    <m/>
    <m/>
    <s v="66510000-8"/>
    <m/>
    <n v="49777600"/>
    <x v="0"/>
    <d v="2020-02-14T00:00:00"/>
    <d v="2020-03-16T00:00:00"/>
    <d v="2020-03-20T00:00:00"/>
    <s v="Kooperativa pojišťovna a.s."/>
    <m/>
    <n v="48468720"/>
    <n v="48468720"/>
    <m/>
    <m/>
    <m/>
    <d v="2020-03-24T00:00:00"/>
    <s v="SMLN-2020-612-000024_x000a_SMLN-2020-612-000025"/>
    <x v="64"/>
    <d v="2020-04-30T00:00:00"/>
    <s v="doba neurčitá"/>
  </r>
  <r>
    <d v="2020-01-29T00:00:00"/>
    <s v="VZ-2020-000099"/>
    <s v="INV"/>
    <s v="Říha"/>
    <x v="115"/>
    <m/>
    <m/>
    <m/>
    <s v="45233100-0"/>
    <m/>
    <n v="17015000"/>
    <x v="1"/>
    <d v="2020-02-10T00:00:00"/>
    <d v="2020-03-03T00:00:00"/>
    <d v="2020-04-16T00:00:00"/>
    <s v="KARETA  spol. s r.o."/>
    <m/>
    <n v="14399897.57"/>
    <n v="17423876.059999999"/>
    <m/>
    <m/>
    <m/>
    <d v="2020-04-16T00:00:00"/>
    <s v="SMLN-2020-618-000030"/>
    <x v="65"/>
    <d v="2020-05-22T00:00:00"/>
    <d v="2020-10-19T00:00:00"/>
  </r>
  <r>
    <d v="2020-01-24T00:00:00"/>
    <s v="VZ-2020-000109"/>
    <s v="VŠEOB"/>
    <s v="Smrčková"/>
    <x v="116"/>
    <m/>
    <m/>
    <m/>
    <s v="30192000-1"/>
    <m/>
    <n v="1240000"/>
    <x v="2"/>
    <d v="2020-02-12T00:00:00"/>
    <d v="2020-02-21T00:00:00"/>
    <m/>
    <m/>
    <m/>
    <m/>
    <m/>
    <m/>
    <m/>
    <m/>
    <m/>
    <m/>
    <x v="0"/>
    <d v="2020-03-20T00:00:00"/>
    <m/>
  </r>
  <r>
    <d v="2020-01-27T00:00:00"/>
    <s v="VZ-2020-000112"/>
    <s v="ZT"/>
    <s v="Rosulek"/>
    <x v="117"/>
    <m/>
    <m/>
    <m/>
    <s v="33111400-5"/>
    <s v="2.3.307."/>
    <n v="6230000"/>
    <x v="0"/>
    <d v="2020-02-27T00:00:00"/>
    <d v="2020-04-15T00:00:00"/>
    <d v="2020-06-04T00:00:00"/>
    <s v="FOMA Medical, spol.s r.o."/>
    <m/>
    <n v="4916530"/>
    <n v="5949001.2999999998"/>
    <m/>
    <m/>
    <m/>
    <d v="2020-06-04T00:00:00"/>
    <s v="SMLN-2020-617-000224_x000a_SMLN-2020-612-000041"/>
    <x v="53"/>
    <d v="2020-07-14T00:00:00"/>
    <d v="2020-09-01T00:00:00"/>
  </r>
  <r>
    <d v="2020-01-28T00:00:00"/>
    <s v="VZ-2020-000115"/>
    <s v="VŠEOB"/>
    <s v="Smrčková"/>
    <x v="118"/>
    <m/>
    <m/>
    <m/>
    <s v="39120000-9"/>
    <m/>
    <n v="1895000"/>
    <x v="0"/>
    <d v="2020-02-10T00:00:00"/>
    <d v="2020-03-12T00:00:00"/>
    <d v="2020-03-31T00:00:00"/>
    <s v="Potrusil s.r.o."/>
    <m/>
    <n v="1424910.2"/>
    <n v="1724141.34"/>
    <m/>
    <m/>
    <m/>
    <d v="2020-04-01T00:00:00"/>
    <s v="SMLN-2020-618-000023"/>
    <x v="66"/>
    <d v="2020-05-12T00:00:00"/>
    <d v="2020-06-20T00:00:00"/>
  </r>
  <r>
    <d v="2020-02-04T00:00:00"/>
    <s v="VZ-2020-000116"/>
    <s v="LÉK"/>
    <s v="Ondráčková"/>
    <x v="119"/>
    <n v="1"/>
    <s v="IPILIMUMAB "/>
    <m/>
    <s v="33652100-6"/>
    <m/>
    <n v="22860645"/>
    <x v="0"/>
    <d v="2020-02-20T00:00:00"/>
    <d v="2020-03-24T00:00:00"/>
    <d v="2020-05-14T00:00:00"/>
    <s v="Bristol-Myers Squibb spol. s r.o."/>
    <m/>
    <n v="22860644.629999999"/>
    <n v="25146709.09"/>
    <m/>
    <m/>
    <m/>
    <d v="2020-05-15T00:00:00"/>
    <s v="SMLN-2020-617-000181"/>
    <x v="48"/>
    <d v="2020-06-05T00:00:00"/>
    <d v="2022-05-30T00:00:00"/>
  </r>
  <r>
    <d v="2020-02-04T00:00:00"/>
    <s v="VZ-2020-000116"/>
    <s v="LÉK"/>
    <s v="Ondráčková"/>
    <x v="119"/>
    <n v="2"/>
    <s v="BRENTUXIMAB VEDOTIN"/>
    <m/>
    <s v="33652100-6"/>
    <m/>
    <n v="3355445"/>
    <x v="0"/>
    <d v="2020-02-20T00:00:00"/>
    <d v="2020-03-24T00:00:00"/>
    <d v="2020-05-14T00:00:00"/>
    <s v="Avenier a.s."/>
    <m/>
    <n v="3355444.7"/>
    <n v="3690989.17"/>
    <m/>
    <m/>
    <m/>
    <d v="2020-05-15T00:00:00"/>
    <s v="SMLN-2020-617-000182"/>
    <x v="48"/>
    <d v="2020-06-05T00:00:00"/>
    <d v="2022-05-30T00:00:00"/>
  </r>
  <r>
    <d v="2020-02-04T00:00:00"/>
    <s v="VZ-2020-000116"/>
    <s v="LÉK"/>
    <s v="Ondráčková"/>
    <x v="119"/>
    <n v="3"/>
    <s v="PERTUZUMAB "/>
    <m/>
    <s v="33652100-6"/>
    <m/>
    <n v="9600000"/>
    <x v="0"/>
    <d v="2020-02-20T00:00:00"/>
    <d v="2020-03-24T00:00:00"/>
    <d v="2020-05-14T00:00:00"/>
    <s v="ROCHE s.r.o."/>
    <m/>
    <n v="9600000"/>
    <n v="10560000"/>
    <m/>
    <m/>
    <m/>
    <d v="2020-05-15T00:00:00"/>
    <s v="SMLN-2020-617-000183"/>
    <x v="48"/>
    <d v="2020-06-05T00:00:00"/>
    <d v="2022-05-30T00:00:00"/>
  </r>
  <r>
    <d v="2020-02-04T00:00:00"/>
    <s v="VZ-2020-000116"/>
    <s v="LÉK"/>
    <s v="Ondráčková"/>
    <x v="119"/>
    <n v="4"/>
    <s v="OBINUTUZUMAB "/>
    <m/>
    <s v="33652100-6"/>
    <m/>
    <n v="2263277"/>
    <x v="0"/>
    <d v="2020-02-20T00:00:00"/>
    <d v="2020-03-24T00:00:00"/>
    <d v="2020-05-14T00:00:00"/>
    <s v="ROCHE s.r.o."/>
    <m/>
    <n v="2263276.7999999998"/>
    <n v="2489604.48"/>
    <m/>
    <m/>
    <m/>
    <d v="2020-05-15T00:00:00"/>
    <s v="SMLN-2020-617-000184"/>
    <x v="48"/>
    <d v="2020-06-05T00:00:00"/>
    <d v="2022-05-30T00:00:00"/>
  </r>
  <r>
    <d v="2020-02-04T00:00:00"/>
    <s v="VZ-2020-000117"/>
    <s v="LÉK"/>
    <s v="Ondráčková"/>
    <x v="120"/>
    <n v="1"/>
    <s v="PEMBROLIZUMAB "/>
    <m/>
    <s v="33652100-6"/>
    <m/>
    <n v="25172233"/>
    <x v="0"/>
    <d v="2020-02-25T00:00:00"/>
    <d v="2020-03-30T00:00:00"/>
    <m/>
    <m/>
    <s v="nová VZ-2020-000309"/>
    <m/>
    <m/>
    <m/>
    <m/>
    <m/>
    <m/>
    <m/>
    <x v="0"/>
    <d v="2020-04-20T00:00:00"/>
    <s v="17.4.2020 zrušeno"/>
  </r>
  <r>
    <d v="2020-02-04T00:00:00"/>
    <s v="VZ-2020-000117"/>
    <s v="LÉK"/>
    <s v="Ondráčková"/>
    <x v="120"/>
    <n v="2"/>
    <s v="ELOTUZUMAB "/>
    <m/>
    <s v="33652100-6"/>
    <m/>
    <n v="3576096"/>
    <x v="0"/>
    <d v="2020-02-25T00:00:00"/>
    <d v="2020-03-30T00:00:00"/>
    <m/>
    <m/>
    <s v="nová VZ-2020-000569"/>
    <m/>
    <m/>
    <m/>
    <m/>
    <m/>
    <m/>
    <m/>
    <x v="0"/>
    <d v="2020-04-20T00:00:00"/>
    <s v="17.4.2020 zrušeno"/>
  </r>
  <r>
    <d v="2020-02-04T00:00:00"/>
    <s v="VZ-2020-000117"/>
    <s v="LÉK"/>
    <s v="Ondráčková"/>
    <x v="120"/>
    <n v="3"/>
    <s v="DARATUMUMAB "/>
    <m/>
    <s v="33652100-6"/>
    <m/>
    <n v="11846739"/>
    <x v="0"/>
    <d v="2020-02-25T00:00:00"/>
    <d v="2020-03-30T00:00:00"/>
    <d v="2020-04-29T00:00:00"/>
    <s v="Janssen - Cilag s.r.o."/>
    <m/>
    <n v="11846737.880000001"/>
    <n v="13031411.67"/>
    <m/>
    <m/>
    <m/>
    <d v="2020-04-29T00:00:00"/>
    <s v="SMLN-2020-617-000164"/>
    <x v="60"/>
    <d v="2020-06-02T00:00:00"/>
    <d v="2022-05-24T00:00:00"/>
  </r>
  <r>
    <d v="2020-02-04T00:00:00"/>
    <s v="VZ-2020-000117"/>
    <s v="LÉK"/>
    <s v="Ondráčková"/>
    <x v="120"/>
    <n v="4"/>
    <s v="ATEZOLIZUMAB "/>
    <m/>
    <s v="33652100-6"/>
    <m/>
    <n v="2531559"/>
    <x v="0"/>
    <d v="2020-02-25T00:00:00"/>
    <d v="2020-03-30T00:00:00"/>
    <d v="2020-04-29T00:00:00"/>
    <s v="ROCHE s.r.o."/>
    <m/>
    <n v="1516195.3"/>
    <n v="1667814.83"/>
    <m/>
    <m/>
    <m/>
    <d v="2020-04-29T00:00:00"/>
    <s v="SMLN-2020-617-000165"/>
    <x v="60"/>
    <d v="2020-06-02T00:00:00"/>
    <d v="2022-05-24T00:00:00"/>
  </r>
  <r>
    <d v="2020-02-05T00:00:00"/>
    <s v="VZ-2020-000119"/>
    <s v="OSB"/>
    <s v="Vaida"/>
    <x v="121"/>
    <m/>
    <m/>
    <m/>
    <s v="45262000-1"/>
    <m/>
    <n v="1200000"/>
    <x v="2"/>
    <d v="2020-02-10T00:00:00"/>
    <d v="2020-02-20T00:00:00"/>
    <d v="2020-03-03T00:00:00"/>
    <s v="Elektropráce Spáčil s.r.o."/>
    <m/>
    <n v="1094345"/>
    <n v="1324157.45"/>
    <m/>
    <m/>
    <m/>
    <d v="2020-03-03T00:00:00"/>
    <s v="SMLN-2020-618-000015"/>
    <x v="42"/>
    <d v="2020-03-31T00:00:00"/>
    <d v="2020-07-29T00:00:00"/>
  </r>
  <r>
    <d v="2020-02-05T00:00:00"/>
    <s v="VZ-2020-000120"/>
    <s v="OSB"/>
    <s v="Vaida"/>
    <x v="122"/>
    <m/>
    <m/>
    <m/>
    <s v="45453000-7"/>
    <m/>
    <n v="400000"/>
    <x v="2"/>
    <d v="2020-03-06T00:00:00"/>
    <d v="2020-03-18T00:00:00"/>
    <m/>
    <s v="zrušeno COVID-19"/>
    <m/>
    <m/>
    <m/>
    <m/>
    <m/>
    <m/>
    <m/>
    <m/>
    <x v="0"/>
    <d v="2020-03-24T00:00:00"/>
    <m/>
  </r>
  <r>
    <d v="2020-02-05T00:00:00"/>
    <s v="VZ-2020-000121"/>
    <s v="OSB"/>
    <s v="Vaida"/>
    <x v="123"/>
    <m/>
    <m/>
    <m/>
    <s v="45453000-7"/>
    <m/>
    <n v="990000"/>
    <x v="2"/>
    <d v="2020-02-18T00:00:00"/>
    <d v="2020-02-27T00:00:00"/>
    <d v="2020-03-05T00:00:00"/>
    <s v="Elektropráce Spáčil s.r.o."/>
    <m/>
    <n v="877411.85"/>
    <n v="1061668.3400000001"/>
    <m/>
    <m/>
    <m/>
    <d v="2020-03-06T00:00:00"/>
    <s v="SMLN-2020-618-000019"/>
    <x v="67"/>
    <d v="2020-04-06T00:00:00"/>
    <d v="2020-09-02T00:00:00"/>
  </r>
  <r>
    <d v="2020-01-27T00:00:00"/>
    <s v="VZ-2020-000122"/>
    <s v="VŠEOB"/>
    <s v="Smrčková"/>
    <x v="124"/>
    <m/>
    <m/>
    <m/>
    <s v="39830000-9, 33700000-7"/>
    <m/>
    <n v="674000"/>
    <x v="2"/>
    <d v="2020-02-20T00:00:00"/>
    <d v="2020-02-28T00:00:00"/>
    <m/>
    <s v="zrušeno"/>
    <s v="nová VZ-2020-000259"/>
    <m/>
    <m/>
    <m/>
    <m/>
    <m/>
    <m/>
    <m/>
    <x v="0"/>
    <d v="2020-03-13T00:00:00"/>
    <m/>
  </r>
  <r>
    <d v="2020-01-27T00:00:00"/>
    <s v="VZ-2020-000125"/>
    <s v="METR"/>
    <s v="Filip"/>
    <x v="125"/>
    <n v="1"/>
    <s v="Kalibrace a validace měřidel a zařízení FNOL "/>
    <m/>
    <s v="50410000-2"/>
    <m/>
    <n v="7000000"/>
    <x v="0"/>
    <d v="2020-02-11T00:00:00"/>
    <d v="2020-03-16T00:00:00"/>
    <d v="2020-03-26T00:00:00"/>
    <s v="KALIST AKL s.r.o."/>
    <m/>
    <n v="6895095"/>
    <n v="8343064.9500000002"/>
    <m/>
    <m/>
    <m/>
    <d v="2020-03-26T00:00:00"/>
    <s v="SMLN-2020-612-000026"/>
    <x v="66"/>
    <d v="2020-05-12T00:00:00"/>
    <d v="2023-12-31T00:00:00"/>
  </r>
  <r>
    <d v="2020-01-27T00:00:00"/>
    <s v="VZ-2020-000125"/>
    <s v="METR"/>
    <s v="Filip"/>
    <x v="125"/>
    <n v="2"/>
    <s v="Kalibrace a validace monitorovacího systému ConWin"/>
    <m/>
    <s v="50410000-2"/>
    <m/>
    <n v="3500000"/>
    <x v="0"/>
    <d v="2020-02-11T00:00:00"/>
    <d v="2020-03-16T00:00:00"/>
    <d v="2020-03-26T00:00:00"/>
    <s v="KALIST AKL s.r.o."/>
    <m/>
    <n v="3367420"/>
    <n v="4074578.2"/>
    <m/>
    <m/>
    <m/>
    <d v="2020-03-26T00:00:00"/>
    <s v="SMLN-2020-612-000027"/>
    <x v="66"/>
    <d v="2020-05-12T00:00:00"/>
    <d v="2023-12-31T00:00:00"/>
  </r>
  <r>
    <d v="2020-02-11T00:00:00"/>
    <s v="VZ-2020-000139"/>
    <s v="INV"/>
    <s v="Spáčil"/>
    <x v="126"/>
    <m/>
    <m/>
    <m/>
    <s v="45453000-7"/>
    <s v="4.2.137."/>
    <n v="5000000"/>
    <x v="2"/>
    <d v="2020-02-18T00:00:00"/>
    <d v="2020-02-28T00:00:00"/>
    <d v="2020-03-05T00:00:00"/>
    <s v="OHL ŽS a.s."/>
    <m/>
    <n v="5850027.46"/>
    <n v="7078533.2300000004"/>
    <m/>
    <m/>
    <m/>
    <d v="2020-03-06T00:00:00"/>
    <s v="SMLN-2020-618-000018"/>
    <x v="21"/>
    <d v="2020-05-15T00:00:00"/>
    <d v="2020-09-11T00:00:00"/>
  </r>
  <r>
    <s v="opakovaná VZ"/>
    <s v="VZ-2020-000144"/>
    <s v="ZT"/>
    <s v="Rosulek"/>
    <x v="127"/>
    <m/>
    <m/>
    <m/>
    <s v="33162100-4"/>
    <s v="2.3.308."/>
    <n v="5000000"/>
    <x v="0"/>
    <d v="2020-05-27T00:00:00"/>
    <d v="2020-06-30T00:00:00"/>
    <d v="2020-07-09T00:00:00"/>
    <s v="Ing. Aleš Závorka"/>
    <m/>
    <n v="5751218"/>
    <n v="6958973.7800000003"/>
    <m/>
    <m/>
    <m/>
    <d v="2020-07-10T00:00:00"/>
    <s v="SMLN-2020-617-000274_x000a_SMLN-2020-612-000049_x000a_SMLN-2020-617-000275"/>
    <x v="0"/>
    <d v="2020-08-17T00:00:00"/>
    <s v="30.7.2020 zrušeno"/>
  </r>
  <r>
    <s v="opakovaná VZ"/>
    <s v="VZ-2020-000146"/>
    <s v="VŠEOB"/>
    <s v="Smrčková"/>
    <x v="87"/>
    <m/>
    <m/>
    <m/>
    <s v="33772000-2"/>
    <m/>
    <n v="1500000"/>
    <x v="2"/>
    <d v="2020-02-26T00:00:00"/>
    <d v="2020-03-10T00:00:00"/>
    <m/>
    <m/>
    <m/>
    <m/>
    <m/>
    <m/>
    <m/>
    <m/>
    <m/>
    <m/>
    <x v="0"/>
    <d v="2020-04-06T00:00:00"/>
    <m/>
  </r>
  <r>
    <d v="2020-02-17T00:00:00"/>
    <s v="VZ-2020-000149"/>
    <s v="ENERG"/>
    <s v="Srovnal"/>
    <x v="128"/>
    <m/>
    <m/>
    <m/>
    <s v="42513290-4"/>
    <m/>
    <n v="14600000"/>
    <x v="0"/>
    <d v="2020-02-26T00:00:00"/>
    <d v="2020-04-07T00:00:00"/>
    <d v="2020-04-23T00:00:00"/>
    <s v="CLIMART s.r.o."/>
    <m/>
    <n v="10445328.949999999"/>
    <n v="12638848.029499998"/>
    <m/>
    <m/>
    <m/>
    <d v="2020-04-23T00:00:00"/>
    <s v="SMLN-2020-618-000034"/>
    <x v="21"/>
    <d v="2020-05-15T00:00:00"/>
    <s v="dle výzvy zadavatele"/>
  </r>
  <r>
    <d v="2020-02-17T00:00:00"/>
    <s v="VZ-2020-000153"/>
    <s v="OSB"/>
    <s v="Vaida"/>
    <x v="129"/>
    <m/>
    <m/>
    <m/>
    <s v="45453000-7"/>
    <m/>
    <n v="400000"/>
    <x v="2"/>
    <d v="2020-02-24T00:00:00"/>
    <d v="2020-03-03T00:00:00"/>
    <d v="2020-03-05T00:00:00"/>
    <s v="Elektropráce Spáčil s.r.o."/>
    <m/>
    <n v="439971.61"/>
    <n v="532365.65"/>
    <m/>
    <m/>
    <m/>
    <d v="2020-03-06T00:00:00"/>
    <s v="SMLN-2020-618-000017"/>
    <x v="42"/>
    <d v="2020-03-31T00:00:00"/>
    <d v="2020-05-14T00:00:00"/>
  </r>
  <r>
    <d v="2020-02-19T00:00:00"/>
    <s v="VZ-2020-000158"/>
    <s v="INV"/>
    <s v="Říha"/>
    <x v="130"/>
    <m/>
    <m/>
    <m/>
    <s v="45216200-6"/>
    <s v="4.2.114."/>
    <n v="17213115"/>
    <x v="1"/>
    <d v="2020-02-25T00:00:00"/>
    <d v="2020-03-16T00:00:00"/>
    <d v="2020-04-15T00:00:00"/>
    <s v="DEV Company, spol. s .r.o."/>
    <m/>
    <n v="15958865.68"/>
    <n v="19310227.469999999"/>
    <m/>
    <m/>
    <m/>
    <d v="2020-04-15T00:00:00"/>
    <s v="SMLN-2020-618-000028"/>
    <x v="21"/>
    <d v="2020-05-18T00:00:00"/>
    <d v="2020-11-13T00:00:00"/>
  </r>
  <r>
    <d v="2019-09-23T00:00:00"/>
    <s v="VZ-2020-000160"/>
    <s v="ZM"/>
    <s v="Dočkalová"/>
    <x v="131"/>
    <m/>
    <m/>
    <m/>
    <s v="33141310-6"/>
    <m/>
    <n v="11160000"/>
    <x v="0"/>
    <d v="2020-07-21T00:00:00"/>
    <d v="2020-08-21T00:00:00"/>
    <d v="2020-10-05T00:00:00"/>
    <s v="Becton Dickinson  Czechia, s.r.o."/>
    <m/>
    <n v="10626240"/>
    <n v="12865440"/>
    <m/>
    <m/>
    <m/>
    <d v="2020-10-05T00:00:00"/>
    <s v="SMLN-2020-617-000453"/>
    <x v="68"/>
    <d v="2020-11-16T00:00:00"/>
    <d v="2023-10-26T00:00:00"/>
  </r>
  <r>
    <d v="2020-05-05T00:00:00"/>
    <s v="VZ-2020-000164"/>
    <s v="REACT"/>
    <s v="Rosulek"/>
    <x v="132"/>
    <m/>
    <m/>
    <m/>
    <s v="33162100-4"/>
    <s v="2.3.395."/>
    <n v="8514000"/>
    <x v="0"/>
    <d v="2020-05-07T00:00:00"/>
    <d v="2020-07-08T00:00:00"/>
    <d v="2020-07-20T00:00:00"/>
    <s v="Carl Zeiss, spol. s r.o."/>
    <m/>
    <n v="11496500"/>
    <n v="13910765"/>
    <m/>
    <m/>
    <m/>
    <d v="2020-07-20T00:00:00"/>
    <s v="SMLN-2020-617-000287_x000a_SMLN-2020-612-000056"/>
    <x v="69"/>
    <d v="2020-08-12T00:00:00"/>
    <d v="2020-10-06T00:00:00"/>
  </r>
  <r>
    <d v="2020-02-20T00:00:00"/>
    <s v="VZ-2020-000165"/>
    <s v="LÉK"/>
    <s v="Ondráčková"/>
    <x v="133"/>
    <n v="1"/>
    <s v="IMURAN"/>
    <s v="L04AX01"/>
    <s v="33652300-8"/>
    <m/>
    <n v="912366"/>
    <x v="0"/>
    <d v="2020-02-26T00:00:00"/>
    <d v="2020-05-12T00:00:00"/>
    <d v="2020-06-17T00:00:00"/>
    <s v="PHOENIX lék.velkoobchod, s.r.o."/>
    <m/>
    <n v="912366"/>
    <n v="1003602.6"/>
    <m/>
    <m/>
    <m/>
    <d v="2020-06-17T00:00:00"/>
    <s v="SMLN-2020-617-000242"/>
    <x v="70"/>
    <d v="2020-07-31T00:00:00"/>
    <d v="2023-08-05T00:00:00"/>
  </r>
  <r>
    <d v="2020-02-20T00:00:00"/>
    <s v="VZ-2020-000165"/>
    <s v="LÉK"/>
    <s v="Ondráčková"/>
    <x v="133"/>
    <n v="2"/>
    <s v="THALIDOMID "/>
    <s v="L04AX02"/>
    <s v="33652300-8"/>
    <m/>
    <n v="1155943"/>
    <x v="0"/>
    <d v="2020-02-26T00:00:00"/>
    <d v="2020-05-12T00:00:00"/>
    <m/>
    <s v="zrušeno - bez nabídky"/>
    <m/>
    <m/>
    <m/>
    <m/>
    <m/>
    <m/>
    <m/>
    <m/>
    <x v="0"/>
    <d v="2020-06-03T00:00:00"/>
    <s v="21.5. zrušeno"/>
  </r>
  <r>
    <d v="2020-02-20T00:00:00"/>
    <s v="VZ-2020-000165"/>
    <s v="LÉK"/>
    <s v="Ondráčková"/>
    <x v="133"/>
    <n v="3"/>
    <s v="METOJECT PEN"/>
    <s v="L04AX03"/>
    <s v="33652300-8"/>
    <m/>
    <n v="2890296"/>
    <x v="0"/>
    <d v="2020-02-26T00:00:00"/>
    <d v="2020-05-12T00:00:00"/>
    <d v="2020-06-17T00:00:00"/>
    <s v="PHARMOS, a.s."/>
    <m/>
    <n v="2764543.92"/>
    <n v="3040998.31"/>
    <m/>
    <m/>
    <m/>
    <d v="2020-06-17T00:00:00"/>
    <s v="SMLN-2020-617-000243"/>
    <x v="70"/>
    <d v="2020-07-31T00:00:00"/>
    <d v="2023-07-19T00:00:00"/>
  </r>
  <r>
    <d v="2020-02-20T00:00:00"/>
    <s v="VZ-2020-000166"/>
    <s v="LÉK"/>
    <s v="Ondráčková"/>
    <x v="134"/>
    <n v="1"/>
    <s v="MYCOPHENOLAT MOFETIL SANDOZ"/>
    <s v="L04AA06"/>
    <s v="33652300-8"/>
    <m/>
    <n v="8575115"/>
    <x v="0"/>
    <d v="2020-02-25T00:00:00"/>
    <d v="2020-05-11T00:00:00"/>
    <d v="2020-06-17T00:00:00"/>
    <s v="PHOENIX lék.velkoobchod, s.r.o."/>
    <m/>
    <n v="8519745.7200000007"/>
    <n v="9371720.2899999991"/>
    <m/>
    <m/>
    <m/>
    <d v="2020-06-17T00:00:00"/>
    <s v="SMLN-2020-617-000244"/>
    <x v="63"/>
    <d v="2020-08-04T00:00:00"/>
    <d v="2023-07-23T00:00:00"/>
  </r>
  <r>
    <d v="2020-02-20T00:00:00"/>
    <s v="VZ-2020-000166"/>
    <s v="LÉK"/>
    <s v="Ondráčková"/>
    <x v="134"/>
    <n v="2"/>
    <s v="SIROLIMUS "/>
    <s v="L04AA10"/>
    <s v="33652300-8"/>
    <m/>
    <n v="3587029"/>
    <x v="0"/>
    <d v="2020-02-25T00:00:00"/>
    <d v="2020-05-11T00:00:00"/>
    <d v="2020-06-17T00:00:00"/>
    <s v="PHOENIX lék.velkoobchod, s.r.o."/>
    <m/>
    <n v="3538087.5"/>
    <n v="3891896.25"/>
    <m/>
    <m/>
    <m/>
    <d v="2020-06-17T00:00:00"/>
    <s v="SMLN-2020-617-000245"/>
    <x v="63"/>
    <d v="2020-08-04T00:00:00"/>
    <d v="2023-07-23T00:00:00"/>
  </r>
  <r>
    <d v="2020-02-20T00:00:00"/>
    <s v="VZ-2020-000166"/>
    <s v="LÉK"/>
    <s v="Ondráčková"/>
    <x v="134"/>
    <n v="3"/>
    <s v="NATALIZUMAB "/>
    <s v="L04AA23"/>
    <s v="33652300-8"/>
    <m/>
    <n v="51849797"/>
    <x v="0"/>
    <d v="2020-02-25T00:00:00"/>
    <d v="2020-05-11T00:00:00"/>
    <d v="2020-06-17T00:00:00"/>
    <s v="Avenier a.s."/>
    <m/>
    <n v="51821830.5"/>
    <n v="57004013.549999997"/>
    <m/>
    <m/>
    <m/>
    <d v="2020-06-17T00:00:00"/>
    <s v="SMLN-2020-617-000246"/>
    <x v="63"/>
    <d v="2020-08-04T00:00:00"/>
    <d v="2023-07-23T00:00:00"/>
  </r>
  <r>
    <d v="2020-02-20T00:00:00"/>
    <s v="VZ-2020-000166"/>
    <s v="LÉK"/>
    <s v="Ondráčková"/>
    <x v="134"/>
    <n v="4"/>
    <s v="BELIMUMAB "/>
    <s v="L04AA26"/>
    <s v="33652300-8"/>
    <m/>
    <n v="627942"/>
    <x v="0"/>
    <d v="2020-02-25T00:00:00"/>
    <d v="2020-05-11T00:00:00"/>
    <d v="2020-06-17T00:00:00"/>
    <s v="PHOENIX lék.velkoobchod, s.r.o."/>
    <m/>
    <n v="619900.59"/>
    <n v="681890.65"/>
    <m/>
    <m/>
    <m/>
    <d v="2020-06-17T00:00:00"/>
    <s v="SMLN-2020-617-000247"/>
    <x v="63"/>
    <d v="2020-08-04T00:00:00"/>
    <d v="2023-07-23T00:00:00"/>
  </r>
  <r>
    <d v="2020-02-20T00:00:00"/>
    <s v="VZ-2020-000166"/>
    <s v="LÉK"/>
    <s v="Ondráčková"/>
    <x v="134"/>
    <n v="5"/>
    <s v="FINGOLIMOD "/>
    <s v="L04AA27"/>
    <s v="33652300-8"/>
    <m/>
    <n v="158286063"/>
    <x v="0"/>
    <d v="2020-02-25T00:00:00"/>
    <d v="2020-05-11T00:00:00"/>
    <d v="2020-06-17T00:00:00"/>
    <s v="Alliance Healthcare s.r.o."/>
    <m/>
    <n v="158286062.88"/>
    <n v="174114669.16999999"/>
    <m/>
    <m/>
    <m/>
    <d v="2020-06-17T00:00:00"/>
    <s v="SMLN-2020-617-000248"/>
    <x v="63"/>
    <d v="2020-08-04T00:00:00"/>
    <d v="2023-07-23T00:00:00"/>
  </r>
  <r>
    <d v="2020-02-20T00:00:00"/>
    <s v="VZ-2020-000166"/>
    <s v="LÉK"/>
    <s v="Ondráčková"/>
    <x v="134"/>
    <n v="6"/>
    <s v="BARICITINIB "/>
    <s v="L04AA37"/>
    <s v="33652300-8"/>
    <m/>
    <n v="7622914"/>
    <x v="0"/>
    <d v="2020-02-25T00:00:00"/>
    <d v="2020-05-11T00:00:00"/>
    <d v="2020-06-17T00:00:00"/>
    <s v="ELI LILLY ČR, s.r.o."/>
    <m/>
    <n v="7622913.5999999996"/>
    <n v="8385204.96"/>
    <m/>
    <m/>
    <m/>
    <d v="2020-06-17T00:00:00"/>
    <s v="SMLN-2020-617-000249"/>
    <x v="71"/>
    <d v="2020-08-04T00:00:00"/>
    <d v="2023-07-27T00:00:00"/>
  </r>
  <r>
    <d v="2020-02-20T00:00:00"/>
    <s v="VZ-2020-000166"/>
    <s v="LÉK"/>
    <s v="Ondráčková"/>
    <x v="134"/>
    <n v="7"/>
    <s v="KLADRIBIN "/>
    <s v="L04AA40"/>
    <s v="33652300-8"/>
    <m/>
    <n v="54746422"/>
    <x v="0"/>
    <d v="2020-02-25T00:00:00"/>
    <d v="2020-05-11T00:00:00"/>
    <d v="2020-06-17T00:00:00"/>
    <s v="Alliance Healthcare s.r.o."/>
    <m/>
    <n v="54746420.609999999"/>
    <n v="60221062.670000002"/>
    <m/>
    <m/>
    <m/>
    <d v="2020-06-17T00:00:00"/>
    <s v="SMLN-2020-617-000250"/>
    <x v="63"/>
    <d v="2020-08-04T00:00:00"/>
    <d v="2023-07-23T00:00:00"/>
  </r>
  <r>
    <d v="2020-02-20T00:00:00"/>
    <s v="VZ-2020-000175"/>
    <s v="INV"/>
    <s v="Vzatek"/>
    <x v="135"/>
    <m/>
    <m/>
    <m/>
    <s v="45453000-7"/>
    <s v="1.3.13."/>
    <n v="72000000"/>
    <x v="0"/>
    <d v="2020-04-17T00:00:00"/>
    <d v="2020-07-01T00:00:00"/>
    <d v="2020-07-22T00:00:00"/>
    <s v="ESOX, spol. s r.o."/>
    <m/>
    <n v="53986406.109999999"/>
    <n v="65323551.393100001"/>
    <m/>
    <m/>
    <m/>
    <d v="2020-07-22T00:00:00"/>
    <s v="SMLN-2020-618-000053"/>
    <x v="72"/>
    <d v="2020-08-17T00:00:00"/>
    <d v="2021-10-31T00:00:00"/>
  </r>
  <r>
    <d v="2019-10-31T00:00:00"/>
    <s v="VZ-2020-000180"/>
    <s v="VŠEOB"/>
    <s v="Smrčková"/>
    <x v="136"/>
    <m/>
    <m/>
    <m/>
    <s v="33141620-2"/>
    <m/>
    <n v="12231200"/>
    <x v="0"/>
    <d v="2020-03-09T00:00:00"/>
    <d v="2020-04-09T00:00:00"/>
    <m/>
    <s v="zrušeno - COVID-19"/>
    <m/>
    <m/>
    <m/>
    <m/>
    <m/>
    <m/>
    <m/>
    <m/>
    <x v="0"/>
    <d v="2020-03-30T00:00:00"/>
    <s v="27.3.2020 zrušeno"/>
  </r>
  <r>
    <d v="2020-02-25T00:00:00"/>
    <s v="VZ-2020-000186"/>
    <s v="INF"/>
    <s v="Oravec"/>
    <x v="137"/>
    <m/>
    <m/>
    <m/>
    <s v="30232100-5"/>
    <m/>
    <n v="458140"/>
    <x v="2"/>
    <d v="2020-02-27T00:00:00"/>
    <d v="2020-03-11T00:00:00"/>
    <d v="2020-03-27T00:00:00"/>
    <s v="DATASCAN, s.r.o."/>
    <m/>
    <n v="441681"/>
    <n v="534434.01"/>
    <m/>
    <m/>
    <m/>
    <d v="2020-03-27T00:00:00"/>
    <s v="SMLN-2020-617-000118"/>
    <x v="41"/>
    <d v="2020-04-27T00:00:00"/>
    <d v="2021-04-16T00:00:00"/>
  </r>
  <r>
    <d v="2019-10-21T00:00:00"/>
    <s v="VZ-2020-000194"/>
    <s v="ZM"/>
    <s v="Dočkalová"/>
    <x v="138"/>
    <n v="1"/>
    <s v="Elektroda stimulační/defibrilační/EKG kompatibilní s defibrilátory CORPULS 3"/>
    <m/>
    <s v="33140000-3"/>
    <m/>
    <n v="19419.04"/>
    <x v="1"/>
    <d v="2020-03-13T00:00:00"/>
    <d v="2020-04-01T00:00:00"/>
    <m/>
    <s v="zrušeno - překročení ceny"/>
    <m/>
    <m/>
    <m/>
    <m/>
    <m/>
    <m/>
    <m/>
    <m/>
    <x v="0"/>
    <d v="2020-05-05T00:00:00"/>
    <s v="29.4. zrušeno"/>
  </r>
  <r>
    <d v="2019-10-21T00:00:00"/>
    <s v="VZ-2020-000194"/>
    <s v="ZM"/>
    <s v="Dočkalová"/>
    <x v="138"/>
    <n v="2"/>
    <s v="Elektroda defibrilační/EKG kompatibilní s defibrilátory LIFEPAK"/>
    <m/>
    <s v="33140000-3"/>
    <m/>
    <n v="2052176"/>
    <x v="1"/>
    <d v="2020-03-13T00:00:00"/>
    <d v="2020-04-01T00:00:00"/>
    <d v="2020-04-20T00:00:00"/>
    <s v="Medsol s.r.o."/>
    <m/>
    <n v="2052176"/>
    <n v="2483132.96"/>
    <m/>
    <m/>
    <m/>
    <d v="2020-04-20T00:00:00"/>
    <s v="SMLN-2020-617-000152"/>
    <x v="73"/>
    <d v="2020-05-05T00:00:00"/>
    <d v="2024-04-28T00:00:00"/>
  </r>
  <r>
    <d v="2019-10-21T00:00:00"/>
    <s v="VZ-2020-000194"/>
    <s v="ZM"/>
    <s v="Dočkalová"/>
    <x v="138"/>
    <n v="3"/>
    <s v="Elektroda defibrilační/EKG kompatibilní s defibrilátory ZOLL"/>
    <m/>
    <s v="33140000-3"/>
    <m/>
    <n v="29520"/>
    <x v="1"/>
    <d v="2020-03-13T00:00:00"/>
    <d v="2020-04-01T00:00:00"/>
    <m/>
    <s v="zrušeno - bez nabídky"/>
    <m/>
    <m/>
    <m/>
    <m/>
    <m/>
    <m/>
    <m/>
    <m/>
    <x v="0"/>
    <d v="2020-05-05T00:00:00"/>
    <s v="9.4. zrušeno"/>
  </r>
  <r>
    <d v="2019-10-21T00:00:00"/>
    <s v="VZ-2020-000194"/>
    <s v="ZM"/>
    <s v="Dočkalová"/>
    <x v="138"/>
    <n v="4"/>
    <s v="Elektroda defibrilační/EKG kompatibilní s defibrilátory Responder 1100"/>
    <m/>
    <s v="33140000-3"/>
    <m/>
    <n v="174240"/>
    <x v="1"/>
    <d v="2020-03-13T00:00:00"/>
    <d v="2020-04-01T00:00:00"/>
    <m/>
    <s v="zrušeno - bez nabídky"/>
    <m/>
    <m/>
    <m/>
    <m/>
    <m/>
    <m/>
    <m/>
    <m/>
    <x v="0"/>
    <d v="2020-05-05T00:00:00"/>
    <s v="9.4. zrušeno"/>
  </r>
  <r>
    <d v="2019-11-19T00:00:00"/>
    <s v="VZ-2020-000195"/>
    <s v="ZM"/>
    <s v="Valtová"/>
    <x v="139"/>
    <m/>
    <m/>
    <m/>
    <s v="33140000-3"/>
    <m/>
    <n v="1340211"/>
    <x v="2"/>
    <d v="2020-03-05T00:00:00"/>
    <d v="2020-03-18T00:00:00"/>
    <d v="2020-05-20T00:00:00"/>
    <s v="SynMedical s.r.o."/>
    <m/>
    <n v="1547581.1"/>
    <n v="1779730.9"/>
    <m/>
    <m/>
    <m/>
    <d v="2020-05-21T00:00:00"/>
    <s v="SMLN-2020-617-000197_x000a_SMLN-2020-616-000023"/>
    <x v="74"/>
    <d v="2020-07-01T00:00:00"/>
    <d v="2023-06-28T00:00:00"/>
  </r>
  <r>
    <d v="2020-02-06T00:00:00"/>
    <s v="VZ-2020-000196"/>
    <s v="VŠEOB"/>
    <s v="Smrčková"/>
    <x v="140"/>
    <m/>
    <m/>
    <m/>
    <s v="33141620-2"/>
    <m/>
    <n v="13313200"/>
    <x v="0"/>
    <d v="2020-03-05T00:00:00"/>
    <d v="2020-04-20T00:00:00"/>
    <m/>
    <s v="zrušeno - COVID-19"/>
    <m/>
    <m/>
    <m/>
    <m/>
    <m/>
    <m/>
    <m/>
    <m/>
    <x v="0"/>
    <d v="2020-03-26T00:00:00"/>
    <s v="26.3.2020 zrušeno"/>
  </r>
  <r>
    <d v="2020-02-27T00:00:00"/>
    <s v="VZ-2020-000202"/>
    <s v="ZM"/>
    <s v="Dočkalová"/>
    <x v="141"/>
    <m/>
    <m/>
    <m/>
    <s v="33162200-5"/>
    <m/>
    <n v="930000"/>
    <x v="2"/>
    <d v="2020-03-04T00:00:00"/>
    <d v="2020-03-16T00:00:00"/>
    <d v="2020-03-26T00:00:00"/>
    <s v="Arthrex s.r.o."/>
    <m/>
    <n v="750000"/>
    <n v="907500"/>
    <m/>
    <m/>
    <m/>
    <d v="2020-03-27T00:00:00"/>
    <s v="SMLN-2020-617-000117"/>
    <x v="46"/>
    <d v="2020-04-24T00:00:00"/>
    <d v="2020-06-02T00:00:00"/>
  </r>
  <r>
    <d v="2020-02-28T00:00:00"/>
    <s v="VZ-2020-000207"/>
    <s v="ZM"/>
    <s v="Dočkalová"/>
    <x v="142"/>
    <m/>
    <m/>
    <m/>
    <s v="33140000-3 "/>
    <m/>
    <n v="1500000"/>
    <x v="2"/>
    <d v="2020-03-04T00:00:00"/>
    <d v="2020-03-16T00:00:00"/>
    <d v="2020-03-19T00:00:00"/>
    <s v="VAMEX, spol. s r.o."/>
    <s v="nová VZ-2020-000490"/>
    <n v="1320000"/>
    <n v="1597200"/>
    <m/>
    <m/>
    <m/>
    <d v="2020-03-19T00:00:00"/>
    <s v="SMLN-2020-617-000109"/>
    <x v="0"/>
    <d v="2020-05-07T00:00:00"/>
    <m/>
  </r>
  <r>
    <d v="2020-03-02T00:00:00"/>
    <s v="VZ-2020-000208"/>
    <s v="ENERG"/>
    <s v="Srovnal"/>
    <x v="143"/>
    <m/>
    <m/>
    <m/>
    <s v="45316200-7"/>
    <s v="4.2.52."/>
    <n v="1000000"/>
    <x v="2"/>
    <d v="2020-03-23T00:00:00"/>
    <d v="2020-04-01T00:00:00"/>
    <d v="2020-04-08T00:00:00"/>
    <s v="CODACO ELECTRONIC s.r.o."/>
    <m/>
    <n v="945994"/>
    <n v="1144653"/>
    <m/>
    <m/>
    <m/>
    <d v="2020-04-08T00:00:00"/>
    <s v="SMLN-2020-618-000025"/>
    <x v="75"/>
    <d v="2020-06-04T00:00:00"/>
    <m/>
  </r>
  <r>
    <d v="2020-02-12T00:00:00"/>
    <s v="VZ-2020-000209"/>
    <s v="ZM"/>
    <s v="Valtová"/>
    <x v="144"/>
    <n v="1"/>
    <s v="Kardioplegický set 4:1 s výměníkem tepla"/>
    <m/>
    <s v="33140000-3"/>
    <m/>
    <n v="816000"/>
    <x v="2"/>
    <d v="2020-03-13T00:00:00"/>
    <d v="2020-03-25T00:00:00"/>
    <d v="2020-03-27T00:00:00"/>
    <s v="Medtronic Czechia s.r.o."/>
    <m/>
    <n v="815750"/>
    <n v="987060"/>
    <m/>
    <m/>
    <m/>
    <d v="2020-03-30T00:00:00"/>
    <s v="SMLN-2020-617-000120_x000a_SMLN-2020-614-000004"/>
    <x v="32"/>
    <d v="2020-04-30T00:00:00"/>
    <d v="2022-04-26T00:00:00"/>
  </r>
  <r>
    <d v="2020-02-12T00:00:00"/>
    <s v="VZ-2020-000209"/>
    <s v="ZM"/>
    <s v="Valtová"/>
    <x v="144"/>
    <n v="2"/>
    <s v="Kardioplegický set 4:1 se spirálou do ledové tříště"/>
    <m/>
    <s v="33140000-3"/>
    <m/>
    <n v="572740"/>
    <x v="2"/>
    <d v="2020-03-13T00:00:00"/>
    <d v="2020-03-25T00:00:00"/>
    <m/>
    <s v="zrušeno - špatně podaná nabídka"/>
    <s v="nová VZ-2020-000294"/>
    <m/>
    <m/>
    <m/>
    <m/>
    <m/>
    <m/>
    <m/>
    <x v="0"/>
    <d v="2020-03-30T00:00:00"/>
    <m/>
  </r>
  <r>
    <m/>
    <s v="VZ-2020-000216"/>
    <s v="LÉK"/>
    <s v="Ondráčková"/>
    <x v="145"/>
    <n v="1"/>
    <s v="Izolace DNA/RNA z peletů leukocytů a izolace cf DNA ze vzorků plazmy"/>
    <m/>
    <s v="33694000-1"/>
    <m/>
    <n v="1416288"/>
    <x v="1"/>
    <d v="2020-04-17T00:00:00"/>
    <d v="2020-05-25T00:00:00"/>
    <m/>
    <s v="zrušeno - překročení ceny"/>
    <m/>
    <m/>
    <m/>
    <m/>
    <m/>
    <m/>
    <m/>
    <m/>
    <x v="0"/>
    <d v="2020-06-26T00:00:00"/>
    <s v="26.6.2020 zrušeno"/>
  </r>
  <r>
    <m/>
    <s v="VZ-2020-000216"/>
    <s v="LÉK"/>
    <s v="Ondráčková"/>
    <x v="145"/>
    <n v="2"/>
    <s v="Izolace humánní DNA ze vzorků plné krve"/>
    <m/>
    <s v="33694000-1"/>
    <m/>
    <n v="614544"/>
    <x v="1"/>
    <d v="2020-04-17T00:00:00"/>
    <d v="2020-05-25T00:00:00"/>
    <m/>
    <s v="zrušeno - bez nabídky"/>
    <m/>
    <m/>
    <m/>
    <m/>
    <m/>
    <m/>
    <m/>
    <m/>
    <x v="0"/>
    <d v="2020-05-29T00:00:00"/>
    <s v="27.5.2020 zrušeno"/>
  </r>
  <r>
    <d v="2020-03-04T00:00:00"/>
    <s v="VZ-2020-000221"/>
    <s v="ENERG"/>
    <s v="Srovnal"/>
    <x v="146"/>
    <m/>
    <m/>
    <m/>
    <s v="45315300-1"/>
    <m/>
    <n v="850000"/>
    <x v="2"/>
    <d v="2020-03-13T00:00:00"/>
    <d v="2020-03-24T00:00:00"/>
    <d v="2020-04-09T00:00:00"/>
    <s v="Tojapa s.r.o."/>
    <m/>
    <n v="675906"/>
    <n v="817846.26"/>
    <m/>
    <m/>
    <m/>
    <d v="2020-04-09T00:00:00"/>
    <s v="SMLN-2020-618-000026"/>
    <x v="21"/>
    <d v="2020-05-15T00:00:00"/>
    <d v="2020-06-25T00:00:00"/>
  </r>
  <r>
    <d v="2020-03-05T00:00:00"/>
    <s v="VZ-2020-000227"/>
    <s v="DOPR"/>
    <s v="Klimek"/>
    <x v="147"/>
    <m/>
    <m/>
    <m/>
    <s v="34136000-9"/>
    <s v="4.2.127."/>
    <n v="538000"/>
    <x v="2"/>
    <d v="2020-03-13T00:00:00"/>
    <d v="2020-03-26T00:00:00"/>
    <m/>
    <s v="zrušeno - bez nabídky"/>
    <s v="nová VZ-2020-000340"/>
    <m/>
    <m/>
    <m/>
    <m/>
    <m/>
    <m/>
    <m/>
    <x v="0"/>
    <d v="2020-03-26T00:00:00"/>
    <m/>
  </r>
  <r>
    <d v="2020-03-04T00:00:00"/>
    <s v="VZ-2020-000233"/>
    <s v="INV"/>
    <s v="Jansa"/>
    <x v="148"/>
    <m/>
    <m/>
    <m/>
    <s v="45215100-8"/>
    <m/>
    <n v="1500000"/>
    <x v="2"/>
    <d v="2020-03-11T00:00:00"/>
    <d v="2020-03-20T00:00:00"/>
    <d v="2020-04-20T00:00:00"/>
    <s v="EP Rožnov, a.s."/>
    <m/>
    <n v="1293497.8700000001"/>
    <n v="1565132.4227"/>
    <m/>
    <m/>
    <m/>
    <d v="2020-04-21T00:00:00"/>
    <s v="SMLN-2020-618-000032"/>
    <x v="76"/>
    <d v="2020-05-15T00:00:00"/>
    <d v="2020-07-05T00:00:00"/>
  </r>
  <r>
    <d v="2020-03-05T00:00:00"/>
    <s v="VZ-2020-000239"/>
    <s v="INV"/>
    <s v="Vzatek"/>
    <x v="149"/>
    <m/>
    <m/>
    <m/>
    <s v="45215100-8"/>
    <s v="1.3.23."/>
    <n v="1700000"/>
    <x v="2"/>
    <d v="2020-03-13T00:00:00"/>
    <d v="2020-03-24T00:00:00"/>
    <d v="2020-04-17T00:00:00"/>
    <s v="OHL ŽS a.s."/>
    <m/>
    <n v="2303782.92"/>
    <n v="2787577.33"/>
    <m/>
    <m/>
    <m/>
    <d v="2020-04-17T00:00:00"/>
    <s v="SMLN-2020-618-000031"/>
    <x v="21"/>
    <d v="2020-05-15T00:00:00"/>
    <d v="2020-07-19T00:00:00"/>
  </r>
  <r>
    <d v="2020-03-10T00:00:00"/>
    <s v="VZ-2020-000246"/>
    <s v="OSB"/>
    <s v="Vaida"/>
    <x v="150"/>
    <m/>
    <m/>
    <m/>
    <s v="45453000-7"/>
    <m/>
    <n v="300000"/>
    <x v="2"/>
    <d v="2020-03-19T00:00:00"/>
    <d v="2020-04-06T00:00:00"/>
    <m/>
    <s v="zrušeno - COVID (Mikušková, Vaida)"/>
    <m/>
    <m/>
    <m/>
    <m/>
    <m/>
    <m/>
    <m/>
    <m/>
    <x v="0"/>
    <d v="2020-04-16T00:00:00"/>
    <m/>
  </r>
  <r>
    <s v="opakovaná VZ"/>
    <s v="VZ-2020-000249"/>
    <s v="VŠEOB"/>
    <s v="Smrčková"/>
    <x v="151"/>
    <m/>
    <m/>
    <m/>
    <s v="30197644-2"/>
    <m/>
    <n v="900000"/>
    <x v="2"/>
    <d v="2020-03-24T00:00:00"/>
    <d v="2020-04-03T00:00:00"/>
    <d v="2020-04-23T00:00:00"/>
    <s v="VKUS-BUSTAN, s.r.o."/>
    <m/>
    <n v="839520"/>
    <n v="1015819.2"/>
    <m/>
    <m/>
    <m/>
    <d v="2020-04-23T00:00:00"/>
    <s v="SMLN-2020-617-000158"/>
    <x v="55"/>
    <d v="2020-05-25T00:00:00"/>
    <d v="2021-05-21T00:00:00"/>
  </r>
  <r>
    <d v="2020-03-09T00:00:00"/>
    <s v="VZ-2020-000254"/>
    <s v="ZM"/>
    <s v="Merta"/>
    <x v="152"/>
    <n v="1"/>
    <s v="Zavaděč - sety pro radiální přístup 5F a 6F (sheathy)"/>
    <m/>
    <s v="33141240-4"/>
    <m/>
    <n v="2762500"/>
    <x v="0"/>
    <d v="2020-05-20T00:00:00"/>
    <d v="2020-06-25T00:00:00"/>
    <m/>
    <s v="zrušeno - bez nabídky"/>
    <s v="nová VZ-2020-001299"/>
    <m/>
    <m/>
    <m/>
    <m/>
    <m/>
    <m/>
    <m/>
    <x v="0"/>
    <d v="2020-07-17T00:00:00"/>
    <s v="30.6.2020 zrušeno"/>
  </r>
  <r>
    <d v="2020-03-09T00:00:00"/>
    <s v="VZ-2020-000254"/>
    <s v="ZM"/>
    <s v="Merta"/>
    <x v="152"/>
    <n v="2"/>
    <s v="Zavaděč - sety pro femorální přístup 5F a 6F (sheathy)"/>
    <m/>
    <s v="33141240-4"/>
    <m/>
    <n v="264000"/>
    <x v="0"/>
    <d v="2020-05-20T00:00:00"/>
    <d v="2020-06-25T00:00:00"/>
    <d v="2020-09-21T00:00:00"/>
    <s v="Boston Scientific Česká rrepublika s.r.o."/>
    <m/>
    <n v="256000"/>
    <n v="309760"/>
    <m/>
    <m/>
    <m/>
    <d v="2020-09-21T00:00:00"/>
    <s v="SMLN-2020-617-000417_x000a_SMLN-2020-614-000031"/>
    <x v="68"/>
    <d v="2020-11-06T00:00:00"/>
    <d v="2022-10-26T00:00:00"/>
  </r>
  <r>
    <d v="2020-03-09T00:00:00"/>
    <s v="VZ-2020-000254"/>
    <s v="ZM"/>
    <s v="Merta"/>
    <x v="152"/>
    <n v="3"/>
    <s v="Diagnostické katetry angiografické koronární - Katetry 5F a 6F "/>
    <m/>
    <s v="33141200-2"/>
    <m/>
    <n v="264000"/>
    <x v="0"/>
    <d v="2020-05-20T00:00:00"/>
    <d v="2020-06-25T00:00:00"/>
    <m/>
    <m/>
    <s v="nová VZ-2020-001299"/>
    <m/>
    <m/>
    <m/>
    <m/>
    <m/>
    <m/>
    <m/>
    <x v="0"/>
    <d v="2020-09-15T00:00:00"/>
    <s v="26.8.2020 zrušeno"/>
  </r>
  <r>
    <d v="2020-03-09T00:00:00"/>
    <s v="VZ-2020-000254"/>
    <s v="ZM"/>
    <s v="Merta"/>
    <x v="152"/>
    <n v="4"/>
    <s v="Diagnostické katetry angiografické koronární - Diagnostické radiální katetry  5F dedikované pro oboustrannou katetrizaci "/>
    <m/>
    <s v="33141200-2"/>
    <m/>
    <n v="4290000"/>
    <x v="0"/>
    <d v="2020-05-20T00:00:00"/>
    <d v="2020-06-25T00:00:00"/>
    <m/>
    <s v="zrušeno - bez nabídky"/>
    <s v="nová VZ-2020-001299"/>
    <m/>
    <m/>
    <m/>
    <m/>
    <m/>
    <m/>
    <m/>
    <x v="0"/>
    <d v="2020-07-17T00:00:00"/>
    <s v="30.6.2020 zrušeno"/>
  </r>
  <r>
    <d v="2020-03-09T00:00:00"/>
    <s v="VZ-2020-000254"/>
    <s v="ZM"/>
    <s v="Merta"/>
    <x v="152"/>
    <n v="5"/>
    <s v="Koronární (PTCA) vodiče - základní typ "/>
    <m/>
    <s v="33141240-4"/>
    <m/>
    <n v="2760000"/>
    <x v="0"/>
    <d v="2020-05-20T00:00:00"/>
    <d v="2020-06-25T00:00:00"/>
    <d v="2020-09-21T00:00:00"/>
    <s v="Meditrade spol.s  r.o."/>
    <m/>
    <n v="2760000"/>
    <n v="3339600"/>
    <m/>
    <m/>
    <m/>
    <d v="2020-09-21T00:00:00"/>
    <s v="SMLN-2020-617-000418_x000a_SMLN-2020-614-000032"/>
    <x v="77"/>
    <d v="2020-11-06T00:00:00"/>
    <d v="2022-10-29T00:00:00"/>
  </r>
  <r>
    <d v="2020-03-09T00:00:00"/>
    <s v="VZ-2020-000254"/>
    <s v="ZM"/>
    <s v="Merta"/>
    <x v="152"/>
    <n v="6"/>
    <s v="Koronární (PTCA) vodiče - vodiče se zvýšenou odolností měkkého distálního konce, včetně vodičů pro použití chronických uzávěrů (CTO)"/>
    <m/>
    <s v="33141240-4"/>
    <m/>
    <n v="1740000"/>
    <x v="0"/>
    <d v="2020-05-20T00:00:00"/>
    <d v="2020-06-25T00:00:00"/>
    <d v="2020-09-21T00:00:00"/>
    <s v="Boston Scientific Česká rrepublika s.r.o."/>
    <m/>
    <n v="1734000"/>
    <n v="2098140"/>
    <m/>
    <m/>
    <m/>
    <d v="2020-09-21T00:00:00"/>
    <s v="SMLN-2020-617-000419_x000a_SMLN-2020-614-000033"/>
    <x v="68"/>
    <d v="2020-11-06T00:00:00"/>
    <d v="2022-10-26T00:00:00"/>
  </r>
  <r>
    <d v="2020-03-09T00:00:00"/>
    <s v="VZ-2020-000254"/>
    <s v="ZM"/>
    <s v="Merta"/>
    <x v="152"/>
    <n v="7"/>
    <s v="Koronární (PTCA) vodiče - vodiče pro komplexní vinuté léze "/>
    <m/>
    <s v="33141240-4"/>
    <m/>
    <n v="1326500"/>
    <x v="0"/>
    <d v="2020-05-20T00:00:00"/>
    <d v="2020-06-25T00:00:00"/>
    <m/>
    <s v="zrušeno - bez nabídky"/>
    <s v="nová VZ-2020-001299"/>
    <m/>
    <m/>
    <m/>
    <m/>
    <m/>
    <m/>
    <m/>
    <x v="0"/>
    <d v="2020-07-17T00:00:00"/>
    <s v="30.6.2020 zrušeno"/>
  </r>
  <r>
    <d v="2020-03-09T00:00:00"/>
    <s v="VZ-2020-000254"/>
    <s v="ZM"/>
    <s v="Merta"/>
    <x v="152"/>
    <n v="8"/>
    <s v="Balónkové dilatační katetry koronární - střednětlaký (semicompliantní) "/>
    <m/>
    <s v="33141210-5"/>
    <m/>
    <n v="3160000"/>
    <x v="0"/>
    <d v="2020-05-20T00:00:00"/>
    <d v="2020-06-25T00:00:00"/>
    <d v="2020-09-21T00:00:00"/>
    <s v="BS PRAGUE MEDICAL CS, spol. s r.o."/>
    <m/>
    <n v="3160000"/>
    <n v="3823600"/>
    <m/>
    <m/>
    <m/>
    <d v="2020-09-21T00:00:00"/>
    <s v="SMLN-2020-617-000420_x000a_SMLN-2020-614-000034"/>
    <x v="68"/>
    <d v="2020-11-06T00:00:00"/>
    <d v="2022-10-26T00:00:00"/>
  </r>
  <r>
    <d v="2020-03-09T00:00:00"/>
    <s v="VZ-2020-000254"/>
    <s v="ZM"/>
    <s v="Merta"/>
    <x v="152"/>
    <n v="9"/>
    <s v="Balónkové katetry koronární  - vysokotlaké/postdilatační (noncompliantní) "/>
    <m/>
    <s v="33141210-5"/>
    <m/>
    <n v="5530000"/>
    <x v="0"/>
    <d v="2020-05-20T00:00:00"/>
    <d v="2020-06-25T00:00:00"/>
    <d v="2020-09-21T00:00:00"/>
    <s v="BS PRAGUE MEDICAL CS, spol. s r.o."/>
    <m/>
    <n v="5530000"/>
    <n v="6691300"/>
    <m/>
    <m/>
    <m/>
    <d v="2020-09-21T00:00:00"/>
    <s v="SMLN-2020-617-000421_x000a_SMLN-2020-614-000035"/>
    <x v="68"/>
    <d v="2020-11-06T00:00:00"/>
    <d v="2022-10-26T00:00:00"/>
  </r>
  <r>
    <d v="2020-03-09T00:00:00"/>
    <s v="VZ-2020-000254"/>
    <s v="ZM"/>
    <s v="Merta"/>
    <x v="152"/>
    <n v="10"/>
    <s v="Balónkové katetry koronární  - vysokotlaké nízkoprofilové "/>
    <m/>
    <s v="33141210-5"/>
    <m/>
    <n v="588200"/>
    <x v="0"/>
    <d v="2020-05-20T00:00:00"/>
    <d v="2020-06-25T00:00:00"/>
    <d v="2020-09-21T00:00:00"/>
    <s v="JI – Medical a.s."/>
    <m/>
    <n v="588200"/>
    <n v="711722"/>
    <m/>
    <m/>
    <m/>
    <d v="2020-09-21T00:00:00"/>
    <s v="SMLN-2020-617-000422_x000a_SMLN-2020-614-000036"/>
    <x v="78"/>
    <d v="2020-11-06T00:00:00"/>
    <d v="2022-11-01T00:00:00"/>
  </r>
  <r>
    <d v="2020-03-09T00:00:00"/>
    <s v="VZ-2020-000254"/>
    <s v="ZM"/>
    <s v="Merta"/>
    <x v="152"/>
    <n v="11"/>
    <s v="Balónkové dilatační katetry lékové (DEB) "/>
    <m/>
    <s v="33141210-5"/>
    <m/>
    <n v="1727850"/>
    <x v="0"/>
    <d v="2020-05-20T00:00:00"/>
    <d v="2020-06-25T00:00:00"/>
    <d v="2020-09-21T00:00:00"/>
    <s v="B. Braun Medical s.r.o."/>
    <m/>
    <n v="1680000"/>
    <n v="2032800"/>
    <m/>
    <m/>
    <m/>
    <d v="2020-09-21T00:00:00"/>
    <s v="SMLN-2020-617-000423_x000a_SMLN-2020-614-000037"/>
    <x v="77"/>
    <d v="2020-11-06T00:00:00"/>
    <d v="2022-10-29T00:00:00"/>
  </r>
  <r>
    <d v="2020-03-09T00:00:00"/>
    <s v="VZ-2020-000254"/>
    <s v="ZM"/>
    <s v="Merta"/>
    <x v="152"/>
    <n v="12"/>
    <s v="Vodící katetry -  6F "/>
    <m/>
    <s v="33141200-2"/>
    <m/>
    <n v="3500000"/>
    <x v="0"/>
    <d v="2020-05-20T00:00:00"/>
    <d v="2020-06-25T00:00:00"/>
    <d v="2020-09-21T00:00:00"/>
    <s v="Medtronic Czechia s.r.o."/>
    <m/>
    <n v="2520000"/>
    <n v="3049200"/>
    <m/>
    <m/>
    <m/>
    <d v="2020-09-21T00:00:00"/>
    <s v="SMLN-2020-617-000424_x000a_SMLN-2020-614-000038"/>
    <x v="68"/>
    <d v="2020-11-06T00:00:00"/>
    <d v="2022-10-26T00:00:00"/>
  </r>
  <r>
    <d v="2020-03-09T00:00:00"/>
    <s v="VZ-2020-000254"/>
    <s v="ZM"/>
    <s v="Merta"/>
    <x v="152"/>
    <n v="13"/>
    <s v="Vodící katetry -  5F "/>
    <m/>
    <s v="33141200-2"/>
    <m/>
    <n v="875000"/>
    <x v="0"/>
    <d v="2020-05-20T00:00:00"/>
    <d v="2020-06-25T00:00:00"/>
    <m/>
    <m/>
    <s v="nová VZ-2020-001299"/>
    <m/>
    <m/>
    <m/>
    <m/>
    <m/>
    <m/>
    <m/>
    <x v="0"/>
    <d v="2020-09-15T00:00:00"/>
    <s v="26.8.2020 zrušeno"/>
  </r>
  <r>
    <d v="2020-03-09T00:00:00"/>
    <s v="VZ-2020-000254"/>
    <s v="ZM"/>
    <s v="Merta"/>
    <x v="152"/>
    <n v="14"/>
    <s v="Aspirační katetry "/>
    <m/>
    <s v="33141200-2"/>
    <m/>
    <n v="1008000"/>
    <x v="0"/>
    <d v="2020-05-20T00:00:00"/>
    <d v="2020-06-25T00:00:00"/>
    <m/>
    <s v="zrušeno - 1nabídky překoročila cenu"/>
    <s v="nová VZ-2020-001299"/>
    <m/>
    <m/>
    <m/>
    <m/>
    <m/>
    <m/>
    <m/>
    <x v="0"/>
    <d v="2020-07-17T00:00:00"/>
    <s v="30.6. vyloučení"/>
  </r>
  <r>
    <s v="opakovaná VZ"/>
    <s v="VZ-2020-000259"/>
    <s v="VŠEOB"/>
    <s v="Smrčková"/>
    <x v="153"/>
    <m/>
    <m/>
    <m/>
    <s v="39830000-9, 33700000-7"/>
    <m/>
    <n v="670000"/>
    <x v="2"/>
    <d v="2020-03-18T00:00:00"/>
    <d v="2020-03-27T00:00:00"/>
    <d v="2020-04-07T00:00:00"/>
    <s v="Rudolf Šaman"/>
    <m/>
    <n v="669741.85"/>
    <n v="810387.64"/>
    <m/>
    <m/>
    <m/>
    <d v="2020-04-08T00:00:00"/>
    <s v="SMLN-2020-617-000142"/>
    <x v="66"/>
    <d v="2020-05-13T00:00:00"/>
    <d v="2021-05-10T00:00:00"/>
  </r>
  <r>
    <d v="2020-03-11T00:00:00"/>
    <s v="VZ-2020-000265"/>
    <s v="MARKET"/>
    <s v="Jeřábková"/>
    <x v="154"/>
    <m/>
    <m/>
    <m/>
    <s v="55120000-7"/>
    <m/>
    <n v="500000"/>
    <x v="2"/>
    <d v="2020-04-02T00:00:00"/>
    <d v="2020-04-15T00:00:00"/>
    <m/>
    <m/>
    <s v="nová VZ-2020-000877"/>
    <m/>
    <m/>
    <m/>
    <m/>
    <m/>
    <m/>
    <m/>
    <x v="0"/>
    <d v="2020-06-02T00:00:00"/>
    <m/>
  </r>
  <r>
    <d v="2020-03-11T00:00:00"/>
    <s v="VZ-2020-000266"/>
    <s v="MARKET"/>
    <s v="Jeřábková"/>
    <x v="155"/>
    <m/>
    <m/>
    <m/>
    <s v="55120000-7"/>
    <m/>
    <n v="800000"/>
    <x v="2"/>
    <d v="2020-04-02T00:00:00"/>
    <d v="2020-04-15T00:00:00"/>
    <m/>
    <m/>
    <m/>
    <m/>
    <m/>
    <m/>
    <m/>
    <m/>
    <m/>
    <m/>
    <x v="0"/>
    <d v="2020-06-02T00:00:00"/>
    <m/>
  </r>
  <r>
    <d v="2020-03-11T00:00:00"/>
    <s v="VZ-2020-000267"/>
    <s v="MARKET"/>
    <s v="Jeřábková"/>
    <x v="156"/>
    <m/>
    <m/>
    <m/>
    <s v="55120000-7"/>
    <m/>
    <n v="600000"/>
    <x v="2"/>
    <d v="2020-04-03T00:00:00"/>
    <d v="2020-04-15T00:00:00"/>
    <m/>
    <m/>
    <s v="nová VZ-2020-000878"/>
    <m/>
    <m/>
    <m/>
    <m/>
    <m/>
    <m/>
    <m/>
    <x v="0"/>
    <d v="2020-06-02T00:00:00"/>
    <m/>
  </r>
  <r>
    <d v="2020-03-16T00:00:00"/>
    <s v="VZ-2020-000268"/>
    <s v="EKOLOG"/>
    <s v="Svozil"/>
    <x v="157"/>
    <m/>
    <m/>
    <m/>
    <s v="45233200-1"/>
    <s v="4.3.8."/>
    <n v="2480000"/>
    <x v="2"/>
    <d v="2020-03-23T00:00:00"/>
    <d v="2020-04-06T00:00:00"/>
    <d v="2020-04-22T00:00:00"/>
    <s v="zrušeno - úprava zadání"/>
    <s v="nová VZ-2020-000599"/>
    <n v="2442000"/>
    <n v="2954820"/>
    <m/>
    <m/>
    <m/>
    <d v="2020-04-22T00:00:00"/>
    <s v="SMLN-2020-618-000033"/>
    <x v="0"/>
    <d v="2020-06-09T00:00:00"/>
    <m/>
  </r>
  <r>
    <d v="2020-03-09T00:00:00"/>
    <s v="VZ-2020-000270"/>
    <s v="ZT"/>
    <s v="Rosulek"/>
    <x v="158"/>
    <m/>
    <m/>
    <m/>
    <s v="33192230-3"/>
    <s v="2.3.436"/>
    <n v="495000"/>
    <x v="2"/>
    <d v="2020-03-20T00:00:00"/>
    <d v="2020-03-30T00:00:00"/>
    <d v="2020-04-16T00:00:00"/>
    <s v="Jandaservis s.r.o."/>
    <m/>
    <n v="495000"/>
    <n v="598950"/>
    <m/>
    <m/>
    <m/>
    <d v="2020-04-16T00:00:00"/>
    <s v="SMLN-2020-617-000149"/>
    <x v="79"/>
    <d v="2020-05-07T00:00:00"/>
    <d v="2020-06-16T00:00:00"/>
  </r>
  <r>
    <d v="2020-03-10T00:00:00"/>
    <s v="VZ-2020-000271"/>
    <s v="INF"/>
    <s v="Oravec"/>
    <x v="159"/>
    <m/>
    <m/>
    <m/>
    <s v="48180000-3"/>
    <m/>
    <n v="1173600"/>
    <x v="2"/>
    <d v="2020-03-24T00:00:00"/>
    <d v="2020-04-03T00:00:00"/>
    <d v="2020-04-08T00:00:00"/>
    <s v="EFA services, s.r.o."/>
    <m/>
    <n v="1173600"/>
    <n v="1420056"/>
    <m/>
    <m/>
    <m/>
    <d v="2020-04-14T00:00:00"/>
    <s v="SMLN-2020-618-000027_x000a_SMLN-2020-612-000028"/>
    <x v="55"/>
    <d v="2020-05-27T00:00:00"/>
    <d v="2022-05-21T00:00:00"/>
  </r>
  <r>
    <d v="2020-03-18T00:00:00"/>
    <s v="VZ-2020-000273"/>
    <s v="VŠEOB"/>
    <s v="Smrčková"/>
    <x v="160"/>
    <m/>
    <m/>
    <m/>
    <s v="39100000-3"/>
    <m/>
    <n v="1840000"/>
    <x v="2"/>
    <d v="2020-03-24T00:00:00"/>
    <d v="2020-04-02T00:00:00"/>
    <d v="2020-04-14T00:00:00"/>
    <s v="Iridium spol.s r.o."/>
    <m/>
    <n v="1887121"/>
    <n v="2283416.41"/>
    <m/>
    <m/>
    <m/>
    <d v="2020-04-15T00:00:00"/>
    <s v="SMLN-2020-617-000145"/>
    <x v="66"/>
    <d v="2020-05-13T00:00:00"/>
    <d v="2020-05-25T00:00:00"/>
  </r>
  <r>
    <d v="2020-03-19T00:00:00"/>
    <s v="VZ-2020-000276"/>
    <s v="INF"/>
    <s v="Oravec"/>
    <x v="161"/>
    <m/>
    <m/>
    <m/>
    <s v="72268000-1"/>
    <m/>
    <n v="45180000"/>
    <x v="0"/>
    <d v="2020-03-31T00:00:00"/>
    <d v="2020-05-04T00:00:00"/>
    <d v="2020-05-06T00:00:00"/>
    <s v="SoftwareONE Czech Republic s.r.o."/>
    <m/>
    <n v="36891845"/>
    <n v="44639132.450000003"/>
    <m/>
    <m/>
    <m/>
    <d v="2020-05-06T00:00:00"/>
    <s v="SMLN-2020-617-000171_x000a_SMLN-2020-612-000034"/>
    <x v="80"/>
    <d v="2020-05-29T00:00:00"/>
    <d v="2023-05-31T00:00:00"/>
  </r>
  <r>
    <d v="2020-03-25T00:00:00"/>
    <s v="VZ-2020-000283"/>
    <s v="INF"/>
    <s v="Oravec"/>
    <x v="162"/>
    <m/>
    <m/>
    <m/>
    <s v="32552110-1"/>
    <m/>
    <n v="613636"/>
    <x v="2"/>
    <d v="2020-03-31T00:00:00"/>
    <d v="2020-04-09T00:00:00"/>
    <d v="2020-04-16T00:00:00"/>
    <s v="ERISERV, spol. s r.o."/>
    <m/>
    <n v="647500"/>
    <n v="783475"/>
    <m/>
    <m/>
    <m/>
    <d v="2020-04-16T00:00:00"/>
    <s v="SMLN-2020-617-000147"/>
    <x v="32"/>
    <d v="2020-04-28T00:00:00"/>
    <d v="2021-04-26T00:00:00"/>
  </r>
  <r>
    <s v="opakovaná VZ"/>
    <s v="VZ-2020-000294"/>
    <s v="ZM"/>
    <s v="Valtová"/>
    <x v="163"/>
    <m/>
    <m/>
    <m/>
    <s v="33140000-3"/>
    <m/>
    <n v="572740"/>
    <x v="2"/>
    <d v="2020-04-06T00:00:00"/>
    <d v="2020-04-15T00:00:00"/>
    <d v="2020-04-21T00:00:00"/>
    <s v="ALINEX - Kácovská, s.r.o."/>
    <m/>
    <n v="560000"/>
    <n v="677600"/>
    <m/>
    <m/>
    <m/>
    <d v="2020-04-21T00:00:00"/>
    <s v="SMLN-2020-617-000156_x000a_SMLN-2020-614-000005"/>
    <x v="76"/>
    <d v="2020-05-15T00:00:00"/>
    <d v="2022-05-12T00:00:00"/>
  </r>
  <r>
    <d v="2020-03-31T00:00:00"/>
    <s v="VZ-2020-000305"/>
    <s v="LÉK"/>
    <s v="Ondráčková"/>
    <x v="164"/>
    <n v="1"/>
    <s v="Immunate stim plus"/>
    <m/>
    <s v="33621000-9"/>
    <m/>
    <n v="14033580"/>
    <x v="0"/>
    <d v="2020-04-03T00:00:00"/>
    <d v="2020-05-20T00:00:00"/>
    <d v="2020-06-17T00:00:00"/>
    <s v="Takeda Pharmaceuticals CR s.r.o."/>
    <m/>
    <n v="14033580"/>
    <n v="15436938"/>
    <m/>
    <m/>
    <m/>
    <d v="2020-06-17T00:00:00"/>
    <s v="SMLN-2020-617-000251"/>
    <x v="52"/>
    <d v="2020-07-31T00:00:00"/>
    <d v="2023-07-20T00:00:00"/>
  </r>
  <r>
    <d v="2020-03-31T00:00:00"/>
    <s v="VZ-2020-000305"/>
    <s v="LÉK"/>
    <s v="Ondráčková"/>
    <x v="164"/>
    <n v="2"/>
    <s v="Fanhdi"/>
    <m/>
    <s v="33621000-9"/>
    <m/>
    <n v="17968824"/>
    <x v="0"/>
    <d v="2020-04-03T00:00:00"/>
    <d v="2020-05-20T00:00:00"/>
    <d v="2020-06-17T00:00:00"/>
    <s v="Grifols s.r.o."/>
    <m/>
    <n v="16125300"/>
    <n v="17737830"/>
    <m/>
    <m/>
    <m/>
    <d v="2020-06-17T00:00:00"/>
    <s v="SMLN-2020-617-000252"/>
    <x v="52"/>
    <d v="2020-07-31T00:00:00"/>
    <d v="2023-07-20T00:00:00"/>
  </r>
  <r>
    <d v="2020-03-31T00:00:00"/>
    <s v="VZ-2020-000305"/>
    <s v="LÉK"/>
    <s v="Ondráčková"/>
    <x v="164"/>
    <n v="3"/>
    <s v="Wilate"/>
    <m/>
    <s v="33621000-9"/>
    <m/>
    <n v="4649832"/>
    <x v="0"/>
    <d v="2020-04-03T00:00:00"/>
    <d v="2020-05-20T00:00:00"/>
    <d v="2020-06-17T00:00:00"/>
    <s v="PHOENIX lék.velkoobchod, s.r.o."/>
    <m/>
    <n v="4173724.8"/>
    <n v="4591097.28"/>
    <m/>
    <m/>
    <m/>
    <d v="2020-06-17T00:00:00"/>
    <s v="SMLN-2020-617-000253"/>
    <x v="52"/>
    <d v="2020-07-31T00:00:00"/>
    <d v="2023-07-20T00:00:00"/>
  </r>
  <r>
    <d v="2020-03-31T00:00:00"/>
    <s v="VZ-2020-000306"/>
    <s v="LÉK"/>
    <s v="Ondráčková"/>
    <x v="165"/>
    <n v="1"/>
    <s v="Faktor VII Baxalta"/>
    <m/>
    <s v="33621000-9"/>
    <m/>
    <n v="334412"/>
    <x v="0"/>
    <d v="2020-04-06T00:00:00"/>
    <d v="2020-05-28T00:00:00"/>
    <d v="2020-08-25T00:00:00"/>
    <s v="Takeda Pharmaceuticals CR s.r.o."/>
    <m/>
    <n v="334411.2"/>
    <n v="367852.32"/>
    <m/>
    <m/>
    <m/>
    <d v="2020-08-25T00:00:00"/>
    <s v="SMLN-2020-617-000354"/>
    <x v="81"/>
    <d v="2020-10-02T00:00:00"/>
    <d v="2023-09-28T00:00:00"/>
  </r>
  <r>
    <d v="2020-03-31T00:00:00"/>
    <s v="VZ-2020-000306"/>
    <s v="LÉK"/>
    <s v="Ondráčková"/>
    <x v="165"/>
    <n v="2"/>
    <s v="Immunine"/>
    <m/>
    <s v="33621000-9"/>
    <m/>
    <n v="2257169"/>
    <x v="0"/>
    <d v="2020-04-06T00:00:00"/>
    <d v="2020-05-28T00:00:00"/>
    <d v="2020-08-25T00:00:00"/>
    <s v="Takeda Pharmaceuticals CR s.r.o."/>
    <m/>
    <n v="2257168.2000000002"/>
    <n v="2482885.02"/>
    <m/>
    <m/>
    <m/>
    <d v="2020-08-25T00:00:00"/>
    <s v="SMLN-2020-617-000355"/>
    <x v="81"/>
    <d v="2020-10-02T00:00:00"/>
    <d v="2023-09-28T00:00:00"/>
  </r>
  <r>
    <d v="2020-03-31T00:00:00"/>
    <s v="VZ-2020-000306"/>
    <s v="LÉK"/>
    <s v="Ondráčková"/>
    <x v="165"/>
    <n v="3"/>
    <s v="Octanine F"/>
    <m/>
    <s v="33621000-9"/>
    <m/>
    <n v="1278426"/>
    <x v="0"/>
    <d v="2020-04-06T00:00:00"/>
    <d v="2020-05-28T00:00:00"/>
    <d v="2020-08-25T00:00:00"/>
    <s v="PHOENIX lék.velkoobchod, s.r.o."/>
    <m/>
    <n v="1278425.7"/>
    <n v="1406268.27"/>
    <m/>
    <m/>
    <m/>
    <d v="2020-08-25T00:00:00"/>
    <s v="SMLN-2020-617-000356"/>
    <x v="82"/>
    <d v="2020-10-02T00:00:00"/>
    <d v="2023-09-21T00:00:00"/>
  </r>
  <r>
    <d v="2020-03-31T00:00:00"/>
    <s v="VZ-2020-000306"/>
    <s v="LÉK"/>
    <s v="Ondráčková"/>
    <x v="165"/>
    <n v="4"/>
    <s v="Feiba NF"/>
    <m/>
    <s v="33621000-9"/>
    <m/>
    <n v="279030"/>
    <x v="0"/>
    <d v="2020-04-06T00:00:00"/>
    <d v="2020-05-28T00:00:00"/>
    <d v="2020-08-25T00:00:00"/>
    <s v="Takeda Pharmaceuticals CR s.r.o."/>
    <m/>
    <n v="275370"/>
    <n v="302907"/>
    <m/>
    <m/>
    <m/>
    <d v="2020-08-25T00:00:00"/>
    <s v="SMLN-2020-617-000357"/>
    <x v="81"/>
    <d v="2020-10-02T00:00:00"/>
    <d v="2023-09-28T00:00:00"/>
  </r>
  <r>
    <d v="2020-03-31T00:00:00"/>
    <s v="VZ-2020-000306"/>
    <s v="LÉK"/>
    <s v="Ondráčková"/>
    <x v="165"/>
    <n v="5"/>
    <s v="Ocplex"/>
    <m/>
    <s v="33621000-9"/>
    <m/>
    <n v="8223689"/>
    <x v="0"/>
    <d v="2020-04-06T00:00:00"/>
    <d v="2020-05-28T00:00:00"/>
    <m/>
    <s v="zrušeno - špatné zadání"/>
    <m/>
    <m/>
    <m/>
    <m/>
    <m/>
    <m/>
    <m/>
    <m/>
    <x v="0"/>
    <d v="2020-07-28T00:00:00"/>
    <s v="3.7.2020 zrušeno"/>
  </r>
  <r>
    <d v="2020-03-31T00:00:00"/>
    <s v="VZ-2020-000309"/>
    <s v="LÉK"/>
    <s v="Ondráčková"/>
    <x v="166"/>
    <n v="1"/>
    <s v="BASILIXIMAB"/>
    <s v="L04AC02"/>
    <s v="33652300-8"/>
    <m/>
    <n v="3200000"/>
    <x v="0"/>
    <d v="2020-04-09T00:00:00"/>
    <d v="2020-05-14T00:00:00"/>
    <d v="2020-06-17T00:00:00"/>
    <s v="Alliance Healthcare s.r.o."/>
    <m/>
    <n v="3199999.44"/>
    <n v="3519999.38"/>
    <m/>
    <m/>
    <m/>
    <d v="2020-06-17T00:00:00"/>
    <s v="SMLN-2020-617-000254"/>
    <x v="52"/>
    <d v="2020-07-29T00:00:00"/>
    <d v="2023-07-20T00:00:00"/>
  </r>
  <r>
    <d v="2020-03-31T00:00:00"/>
    <s v="VZ-2020-000309"/>
    <s v="LÉK"/>
    <s v="Ondráčková"/>
    <x v="166"/>
    <n v="2"/>
    <s v="BRODALUMAB "/>
    <s v="L04AC12"/>
    <s v="33652300-8"/>
    <m/>
    <n v="4936084"/>
    <x v="0"/>
    <d v="2020-04-09T00:00:00"/>
    <d v="2020-05-14T00:00:00"/>
    <d v="2020-06-17T00:00:00"/>
    <s v="Movianto Česká republika s.r.o."/>
    <m/>
    <n v="4936083.3"/>
    <n v="5429691.6299999999"/>
    <m/>
    <m/>
    <m/>
    <d v="2020-06-17T00:00:00"/>
    <s v="SMLN-2020-617-000255"/>
    <x v="52"/>
    <d v="2020-07-29T00:00:00"/>
    <d v="2023-07-20T00:00:00"/>
  </r>
  <r>
    <d v="2020-03-31T00:00:00"/>
    <s v="VZ-2020-000309"/>
    <s v="LÉK"/>
    <s v="Ondráčková"/>
    <x v="166"/>
    <n v="3"/>
    <s v="ERLOTINIB-HYDROCHLORID "/>
    <s v="L04XE03"/>
    <s v="33652300-8"/>
    <m/>
    <n v="1991146"/>
    <x v="0"/>
    <d v="2020-04-09T00:00:00"/>
    <d v="2020-05-14T00:00:00"/>
    <d v="2020-06-17T00:00:00"/>
    <s v="Alliance Healthcare s.r.o."/>
    <m/>
    <n v="1979937.27"/>
    <n v="2177931"/>
    <m/>
    <m/>
    <m/>
    <d v="2020-06-17T00:00:00"/>
    <s v="SMLN-2020-617-000256"/>
    <x v="52"/>
    <d v="2020-07-29T00:00:00"/>
    <d v="2023-07-20T00:00:00"/>
  </r>
  <r>
    <d v="2020-03-31T00:00:00"/>
    <s v="VZ-2020-000309"/>
    <s v="LÉK"/>
    <s v="Ondráčková"/>
    <x v="166"/>
    <n v="4"/>
    <s v="DABRAFENIB-MESILÁT"/>
    <s v="L04XE23"/>
    <s v="33652300-8"/>
    <m/>
    <n v="26912563"/>
    <x v="0"/>
    <d v="2020-04-09T00:00:00"/>
    <d v="2020-05-14T00:00:00"/>
    <d v="2020-06-17T00:00:00"/>
    <s v="Alliance Healthcare s.r.o."/>
    <m/>
    <n v="26912561.82"/>
    <n v="29603818"/>
    <m/>
    <m/>
    <m/>
    <d v="2020-06-17T00:00:00"/>
    <s v="SMLN-2020-617-000257"/>
    <x v="52"/>
    <d v="2020-07-29T00:00:00"/>
    <d v="2023-07-20T00:00:00"/>
  </r>
  <r>
    <d v="2020-03-31T00:00:00"/>
    <s v="VZ-2020-000309"/>
    <s v="LÉK"/>
    <s v="Ondráčková"/>
    <x v="166"/>
    <n v="5"/>
    <s v="PEMBROLIZUMAB "/>
    <s v="L01XC18"/>
    <s v="33652100-6"/>
    <m/>
    <n v="36817368"/>
    <x v="0"/>
    <d v="2020-04-09T00:00:00"/>
    <d v="2020-05-14T00:00:00"/>
    <d v="2020-06-17T00:00:00"/>
    <s v="Merck Sharp &amp; Dohme s.r.o."/>
    <m/>
    <n v="36817333.350000001"/>
    <n v="40499066.689999998"/>
    <m/>
    <m/>
    <m/>
    <d v="2020-06-17T00:00:00"/>
    <s v="SMLN-2020-617-000258"/>
    <x v="52"/>
    <d v="2020-07-29T00:00:00"/>
    <d v="2023-07-20T00:00:00"/>
  </r>
  <r>
    <d v="2020-03-31T00:00:00"/>
    <s v="VZ-2020-000309"/>
    <s v="LÉK"/>
    <s v="Ondráčková"/>
    <x v="166"/>
    <n v="6"/>
    <s v="LENVATINIB-MESILÁT"/>
    <s v="L04XE29"/>
    <s v="33652300-8"/>
    <m/>
    <n v="9788229"/>
    <x v="0"/>
    <d v="2020-04-09T00:00:00"/>
    <d v="2020-05-14T00:00:00"/>
    <d v="2020-06-17T00:00:00"/>
    <s v="Alliance Healthcare s.r.o."/>
    <m/>
    <n v="9788229"/>
    <n v="10767051.9"/>
    <m/>
    <m/>
    <m/>
    <d v="2020-06-17T00:00:00"/>
    <s v="SMLN-2020-617-000259"/>
    <x v="52"/>
    <d v="2020-07-29T00:00:00"/>
    <d v="2023-07-20T00:00:00"/>
  </r>
  <r>
    <d v="2020-03-31T00:00:00"/>
    <s v="VZ-2020-000310"/>
    <s v="LÉK"/>
    <s v="Ondráčková"/>
    <x v="167"/>
    <n v="1"/>
    <s v="ENBREL"/>
    <s v="L04AB01"/>
    <s v="33652300-8"/>
    <m/>
    <n v="26086745"/>
    <x v="0"/>
    <d v="2020-04-17T00:00:00"/>
    <d v="2020-07-08T00:00:00"/>
    <d v="2020-08-17T00:00:00"/>
    <s v="PHOENIX lék.velkoobchod, s.r.o."/>
    <m/>
    <n v="25575264"/>
    <n v="28132790.399999999"/>
    <m/>
    <m/>
    <m/>
    <d v="2020-08-17T00:00:00"/>
    <s v="SMLN-2020-617-000333"/>
    <x v="83"/>
    <d v="2020-09-16T00:00:00"/>
    <d v="2023-09-10T00:00:00"/>
  </r>
  <r>
    <d v="2020-03-31T00:00:00"/>
    <s v="VZ-2020-000310"/>
    <s v="LÉK"/>
    <s v="Ondráčková"/>
    <x v="167"/>
    <n v="2"/>
    <s v="CERTOLIZUMAB PEGOL "/>
    <s v="L04AB05"/>
    <s v="33652300-8"/>
    <m/>
    <n v="7634625"/>
    <x v="0"/>
    <d v="2020-04-17T00:00:00"/>
    <d v="2020-07-08T00:00:00"/>
    <d v="2020-08-17T00:00:00"/>
    <s v="Alliance Healthcare s.r.o."/>
    <m/>
    <n v="7847409.7800000003"/>
    <n v="8632150.7599999998"/>
    <m/>
    <m/>
    <m/>
    <d v="2020-08-17T00:00:00"/>
    <s v="SMLN-2020-617-000334"/>
    <x v="83"/>
    <d v="2020-09-16T00:00:00"/>
    <d v="2023-09-10T00:00:00"/>
  </r>
  <r>
    <d v="2020-03-31T00:00:00"/>
    <s v="VZ-2020-000310"/>
    <s v="LÉK"/>
    <s v="Ondráčková"/>
    <x v="167"/>
    <n v="3"/>
    <s v="GOLIMUMAB "/>
    <s v="L04AB06"/>
    <s v="33652300-8"/>
    <m/>
    <n v="12200996"/>
    <x v="0"/>
    <d v="2020-04-17T00:00:00"/>
    <d v="2020-07-08T00:00:00"/>
    <d v="2020-08-17T00:00:00"/>
    <s v="Merck Sharp &amp; Dohme s.r.o."/>
    <m/>
    <n v="12200995.439999999"/>
    <n v="13421094.98"/>
    <m/>
    <m/>
    <m/>
    <d v="2020-08-17T00:00:00"/>
    <s v="SMLN-2020-617-000335"/>
    <x v="83"/>
    <d v="2020-09-16T00:00:00"/>
    <d v="2023-09-10T00:00:00"/>
  </r>
  <r>
    <d v="2020-03-31T00:00:00"/>
    <s v="VZ-2020-000310"/>
    <s v="LÉK"/>
    <s v="Ondráčková"/>
    <x v="167"/>
    <n v="4"/>
    <s v="INFLIXIMAB pro léčbu dospělých pacientů"/>
    <s v="L04AB02"/>
    <s v="33652300-8"/>
    <m/>
    <n v="21367800"/>
    <x v="0"/>
    <d v="2020-04-17T00:00:00"/>
    <d v="2020-07-08T00:00:00"/>
    <m/>
    <m/>
    <m/>
    <m/>
    <m/>
    <m/>
    <m/>
    <m/>
    <m/>
    <m/>
    <x v="0"/>
    <d v="2020-09-04T00:00:00"/>
    <s v="12.8.2020 zrušeno"/>
  </r>
  <r>
    <d v="2020-03-31T00:00:00"/>
    <s v="VZ-2020-000312"/>
    <s v="LÉK"/>
    <s v="Ondráčková"/>
    <x v="168"/>
    <n v="1"/>
    <s v="IVAKAFTOR A TEZAKAFTOR "/>
    <s v="R07AX31"/>
    <s v="33670000-7"/>
    <m/>
    <n v="5831517"/>
    <x v="0"/>
    <d v="2020-04-24T00:00:00"/>
    <d v="2020-05-29T00:00:00"/>
    <d v="2020-06-17T00:00:00"/>
    <s v="Vertex Pharmaceuticals (Ireland) Limited"/>
    <m/>
    <n v="5831516.4800000004"/>
    <n v="6414668.1299999999"/>
    <m/>
    <m/>
    <m/>
    <d v="2020-06-17T00:00:00"/>
    <s v="SMLN-2020-617-000260"/>
    <x v="84"/>
    <d v="2020-08-17T00:00:00"/>
    <d v="2024-08-13T00:00:00"/>
  </r>
  <r>
    <d v="2020-03-31T00:00:00"/>
    <s v="VZ-2020-000312"/>
    <s v="LÉK"/>
    <s v="Ondráčková"/>
    <x v="168"/>
    <n v="2"/>
    <s v="IVAKAFTOR "/>
    <s v="R07AX02"/>
    <s v="33670000-7"/>
    <m/>
    <n v="21517045"/>
    <x v="0"/>
    <d v="2020-04-24T00:00:00"/>
    <d v="2020-05-29T00:00:00"/>
    <m/>
    <s v="zrušeno - bez nabídky"/>
    <m/>
    <m/>
    <m/>
    <m/>
    <m/>
    <m/>
    <m/>
    <m/>
    <x v="0"/>
    <d v="2020-06-17T00:00:00"/>
    <s v="16.6. zrušeno"/>
  </r>
  <r>
    <d v="2020-03-31T00:00:00"/>
    <s v="VZ-2020-000312"/>
    <s v="LÉK"/>
    <s v="Ondráčková"/>
    <x v="168"/>
    <n v="3"/>
    <s v="IVAKAFTOR A LUMAKAFTOR "/>
    <s v="R07AX30"/>
    <s v="33670000-7"/>
    <m/>
    <n v="64077000"/>
    <x v="0"/>
    <d v="2020-04-24T00:00:00"/>
    <d v="2020-05-29T00:00:00"/>
    <d v="2020-06-17T00:00:00"/>
    <s v="Vertex Pharmaceuticals (Ireland) Limited"/>
    <m/>
    <n v="64076999.840000004"/>
    <n v="70484699.819999993"/>
    <m/>
    <m/>
    <m/>
    <d v="2020-06-17T00:00:00"/>
    <s v="SMLN-2020-617-000261"/>
    <x v="84"/>
    <d v="2020-08-17T00:00:00"/>
    <d v="2024-08-13T00:00:00"/>
  </r>
  <r>
    <d v="2020-04-08T00:00:00"/>
    <s v="VZ-2020-000333"/>
    <s v="MARKET"/>
    <s v="Jeřábková"/>
    <x v="169"/>
    <m/>
    <m/>
    <m/>
    <s v="55120000-7"/>
    <m/>
    <n v="250000"/>
    <x v="2"/>
    <d v="2020-04-16T00:00:00"/>
    <d v="2020-04-28T00:00:00"/>
    <m/>
    <s v="zrušeno - změna zadávacích podmínek"/>
    <m/>
    <m/>
    <m/>
    <m/>
    <m/>
    <m/>
    <m/>
    <m/>
    <x v="0"/>
    <d v="2020-04-30T00:00:00"/>
    <m/>
  </r>
  <r>
    <d v="2020-04-15T00:00:00"/>
    <s v="VZ-2020-000340"/>
    <s v="DOPR"/>
    <s v="Klimek"/>
    <x v="170"/>
    <m/>
    <m/>
    <m/>
    <s v="34136000-9"/>
    <s v="4.2.127."/>
    <n v="538000"/>
    <x v="2"/>
    <d v="2020-04-22T00:00:00"/>
    <d v="2020-04-30T00:00:00"/>
    <d v="2020-05-12T00:00:00"/>
    <s v="BRNOCAR a.s."/>
    <m/>
    <n v="579000"/>
    <n v="700590"/>
    <m/>
    <m/>
    <m/>
    <d v="2020-05-12T00:00:00"/>
    <s v="SMLN-2020-617-000179"/>
    <x v="75"/>
    <d v="2020-06-04T00:00:00"/>
    <d v="2020-10-26T00:00:00"/>
  </r>
  <r>
    <d v="2020-04-17T00:00:00"/>
    <s v="VZ-2020-000356"/>
    <s v="ZT"/>
    <s v="Zemánek"/>
    <x v="171"/>
    <m/>
    <m/>
    <m/>
    <s v="33162100-4"/>
    <s v="2.3.498."/>
    <n v="820000"/>
    <x v="2"/>
    <d v="2020-06-18T00:00:00"/>
    <d v="2020-07-01T00:00:00"/>
    <m/>
    <s v="zrušeno - bez hodnotitelné nabídky"/>
    <s v="nová VZ-2020-000736"/>
    <m/>
    <m/>
    <m/>
    <m/>
    <m/>
    <m/>
    <m/>
    <x v="0"/>
    <d v="2020-07-14T00:00:00"/>
    <m/>
  </r>
  <r>
    <d v="2020-04-17T00:00:00"/>
    <s v="VZ-2020-000357"/>
    <s v="ZT"/>
    <s v="Zemánek"/>
    <x v="172"/>
    <m/>
    <m/>
    <m/>
    <s v="33162100-4"/>
    <s v="2.3.497."/>
    <n v="1500000"/>
    <x v="2"/>
    <d v="2020-06-18T00:00:00"/>
    <d v="2020-07-01T00:00:00"/>
    <d v="2020-07-22T00:00:00"/>
    <s v="Johnson  &amp; Johnson s.r.o."/>
    <m/>
    <n v="1460000"/>
    <n v="1766600"/>
    <m/>
    <m/>
    <m/>
    <d v="2020-07-23T00:00:00"/>
    <s v="SMLN-2020-617-000291_x000a_SMLN-2020-612-000062"/>
    <x v="85"/>
    <d v="2020-08-24T00:00:00"/>
    <d v="2020-09-18T00:00:00"/>
  </r>
  <r>
    <d v="2020-04-16T00:00:00"/>
    <s v="VZ-2020-000358"/>
    <s v="INF"/>
    <s v="Hlavinka"/>
    <x v="173"/>
    <m/>
    <m/>
    <m/>
    <s v="32422000-7"/>
    <s v="3.3.1."/>
    <n v="4603306"/>
    <x v="3"/>
    <d v="2020-04-20T00:00:00"/>
    <d v="2020-04-21T00:00:00"/>
    <d v="2020-04-23T00:00:00"/>
    <s v="MERIT GROUP a.s."/>
    <m/>
    <n v="4569000"/>
    <n v="5528490"/>
    <m/>
    <m/>
    <m/>
    <d v="2020-04-23T00:00:00"/>
    <s v="SMLN-2020-617-000157"/>
    <x v="64"/>
    <d v="2020-04-29T00:00:00"/>
    <d v="2020-05-19T00:00:00"/>
  </r>
  <r>
    <d v="2020-04-17T00:00:00"/>
    <s v="VZ-2020-000366"/>
    <s v="ZM"/>
    <s v="Dočkalová"/>
    <x v="174"/>
    <m/>
    <m/>
    <m/>
    <s v="33140000-3"/>
    <m/>
    <n v="1588800"/>
    <x v="2"/>
    <d v="2020-04-24T00:00:00"/>
    <d v="2020-05-05T00:00:00"/>
    <d v="2020-05-27T00:00:00"/>
    <s v="MeMed CZ s.r.o."/>
    <m/>
    <n v="1588800"/>
    <n v="1922440"/>
    <m/>
    <m/>
    <m/>
    <d v="2020-05-27T00:00:00"/>
    <s v="SMLN-2020-617-000205"/>
    <x v="57"/>
    <d v="2020-06-25T00:00:00"/>
    <s v="doba neurčitá"/>
  </r>
  <r>
    <d v="2020-04-16T00:00:00"/>
    <s v="VZ-2020-000367"/>
    <s v="MARKET"/>
    <s v="Jeřábková"/>
    <x v="175"/>
    <m/>
    <m/>
    <m/>
    <s v="92222000-3"/>
    <m/>
    <n v="1000000"/>
    <x v="2"/>
    <d v="2020-05-13T00:00:00"/>
    <d v="2020-05-25T00:00:00"/>
    <m/>
    <s v="zrušeno - upravit specifikaci a vypsat znovu"/>
    <s v="Marketing  - Proebiz"/>
    <m/>
    <m/>
    <m/>
    <m/>
    <m/>
    <m/>
    <m/>
    <x v="0"/>
    <d v="2020-06-12T00:00:00"/>
    <m/>
  </r>
  <r>
    <d v="2020-04-22T00:00:00"/>
    <s v="VZ-2020-000371"/>
    <s v="REACT"/>
    <s v="Rosulek"/>
    <x v="176"/>
    <m/>
    <m/>
    <m/>
    <s v="33168100-6"/>
    <s v="2.2.258, 2.3.459"/>
    <n v="445000"/>
    <x v="2"/>
    <d v="2020-04-28T00:00:00"/>
    <d v="2020-05-07T00:00:00"/>
    <d v="2020-05-21T00:00:00"/>
    <s v="GPS Praha, spol. s r.o."/>
    <m/>
    <n v="468440"/>
    <n v="566812.4"/>
    <m/>
    <m/>
    <m/>
    <d v="2020-05-21T00:00:00"/>
    <s v="SMLN-2020-617-000198_x000a_SMLN-2020-612-000039"/>
    <x v="86"/>
    <d v="2020-06-24T00:00:00"/>
    <d v="2020-09-14T00:00:00"/>
  </r>
  <r>
    <d v="2020-04-22T00:00:00"/>
    <s v="VZ-2020-000372"/>
    <s v="ZT"/>
    <s v="Rosulek"/>
    <x v="177"/>
    <m/>
    <m/>
    <m/>
    <s v="33162100-4"/>
    <s v="2.2.262."/>
    <n v="413223"/>
    <x v="2"/>
    <d v="2020-05-04T00:00:00"/>
    <d v="2020-05-14T00:00:00"/>
    <d v="2020-06-22T00:00:00"/>
    <s v="Olympus Czech Group, s.r.o."/>
    <m/>
    <n v="411300"/>
    <n v="497673"/>
    <m/>
    <m/>
    <m/>
    <d v="2020-06-22T00:00:00"/>
    <s v="SMLN-2020-617-000266"/>
    <x v="87"/>
    <d v="2020-07-21T00:00:00"/>
    <d v="2020-09-18T00:00:00"/>
  </r>
  <r>
    <d v="2020-04-23T00:00:00"/>
    <s v="VZ-2020-000383"/>
    <s v="ZT"/>
    <s v="Rosulek"/>
    <x v="178"/>
    <m/>
    <m/>
    <m/>
    <s v="48180000-3"/>
    <s v="2.3.414."/>
    <n v="656000"/>
    <x v="2"/>
    <d v="2020-05-20T00:00:00"/>
    <d v="2020-05-29T00:00:00"/>
    <d v="2020-06-10T00:00:00"/>
    <s v="Laboratory Imaging s.r.o."/>
    <m/>
    <n v="710640"/>
    <n v="859874.4"/>
    <m/>
    <m/>
    <m/>
    <d v="2020-06-10T00:00:00"/>
    <s v="SMLN-2020-617-000234"/>
    <x v="53"/>
    <d v="2020-07-14T00:00:00"/>
    <s v="doba neurčitá"/>
  </r>
  <r>
    <d v="2020-04-24T00:00:00"/>
    <s v="VZ-2020-000392"/>
    <s v="INV"/>
    <s v="Langer"/>
    <x v="179"/>
    <m/>
    <m/>
    <m/>
    <s v="45215100-8"/>
    <s v="1.3.24."/>
    <n v="5000000"/>
    <x v="2"/>
    <d v="2020-05-04T00:00:00"/>
    <d v="2020-05-20T00:00:00"/>
    <d v="2020-06-10T00:00:00"/>
    <s v="EP Rožnov, a.s."/>
    <m/>
    <n v="5475931.1200000001"/>
    <n v="6625876.6600000001"/>
    <m/>
    <m/>
    <m/>
    <d v="2020-06-10T00:00:00"/>
    <s v="SMLN-2020-618-000044"/>
    <x v="88"/>
    <d v="2020-07-14T00:00:00"/>
    <d v="2020-11-05T00:00:00"/>
  </r>
  <r>
    <d v="2020-04-23T00:00:00"/>
    <s v="VZ-2020-000393"/>
    <s v="ZT"/>
    <s v="Novák"/>
    <x v="180"/>
    <m/>
    <m/>
    <m/>
    <s v="33190000-8"/>
    <m/>
    <n v="700000"/>
    <x v="2"/>
    <d v="2020-05-07T00:00:00"/>
    <d v="2020-05-19T00:00:00"/>
    <m/>
    <s v="zrušeno - vypsat bez servisu"/>
    <s v="nová VZ-2020-000495"/>
    <m/>
    <m/>
    <m/>
    <m/>
    <m/>
    <m/>
    <m/>
    <x v="0"/>
    <d v="2020-05-20T00:00:00"/>
    <m/>
  </r>
  <r>
    <d v="2020-05-25T00:00:00"/>
    <s v="VZ-2020-000394"/>
    <s v="BOZP"/>
    <s v="Kotzot"/>
    <x v="181"/>
    <m/>
    <m/>
    <m/>
    <s v="51700000-9"/>
    <m/>
    <n v="270000"/>
    <x v="2"/>
    <d v="2020-06-08T00:00:00"/>
    <d v="2020-06-18T00:00:00"/>
    <d v="2020-06-30T00:00:00"/>
    <s v="MERIT GROUP a.s."/>
    <m/>
    <n v="305567"/>
    <n v="369736"/>
    <m/>
    <m/>
    <m/>
    <d v="2020-06-30T00:00:00"/>
    <s v="SMLN-2020-618-000049"/>
    <x v="89"/>
    <d v="2020-07-23T00:00:00"/>
    <d v="2020-08-31T00:00:00"/>
  </r>
  <r>
    <d v="2020-02-12T00:00:00"/>
    <s v="VZ-2020-000400"/>
    <s v="ZM"/>
    <s v="Valtová"/>
    <x v="182"/>
    <n v="1"/>
    <s v="Oxygenátory pro kombinované srdeční operace "/>
    <m/>
    <s v="33186100-8 "/>
    <m/>
    <n v="14446280"/>
    <x v="0"/>
    <d v="2020-06-09T00:00:00"/>
    <d v="2020-07-27T00:00:00"/>
    <d v="2020-08-12T00:00:00"/>
    <s v="Cardion s.r.o."/>
    <m/>
    <n v="14446280"/>
    <n v="17480000"/>
    <m/>
    <m/>
    <m/>
    <d v="2020-08-12T00:00:00"/>
    <s v="SMLN-2020-617-000327_x000a_SMLN-2020-614-000022"/>
    <x v="90"/>
    <d v="2020-09-03T00:00:00"/>
    <d v="2022-08-31T00:00:00"/>
  </r>
  <r>
    <d v="2020-02-12T00:00:00"/>
    <s v="VZ-2020-000400"/>
    <s v="ZM"/>
    <s v="Valtová"/>
    <x v="182"/>
    <n v="2"/>
    <s v="Minisystém pro mimotělní oběh pro výkony na otevřeném srdci "/>
    <m/>
    <s v="33186100-8 "/>
    <m/>
    <n v="1454546"/>
    <x v="0"/>
    <d v="2020-06-09T00:00:00"/>
    <d v="2020-07-27T00:00:00"/>
    <d v="2020-08-12T00:00:00"/>
    <s v="Cardion s.r.o."/>
    <m/>
    <n v="1454545.45"/>
    <n v="1760000"/>
    <m/>
    <m/>
    <m/>
    <d v="2020-08-12T00:00:00"/>
    <s v="SMLN-2020-617-000328_x000a_SMLN-2020-614-000023"/>
    <x v="90"/>
    <d v="2020-09-03T00:00:00"/>
    <d v="2022-08-31T00:00:00"/>
  </r>
  <r>
    <d v="2020-04-27T00:00:00"/>
    <s v="VZ-2020-000417"/>
    <s v="INF"/>
    <s v="Miklík"/>
    <x v="183"/>
    <m/>
    <m/>
    <m/>
    <s v="48820000-2"/>
    <s v="3.2.20, 3.2.37"/>
    <n v="5500000"/>
    <x v="0"/>
    <d v="2020-04-30T00:00:00"/>
    <d v="2020-05-18T00:00:00"/>
    <d v="2020-05-20T00:00:00"/>
    <s v="MERIT GROUP a.s."/>
    <m/>
    <n v="5493988.2699999996"/>
    <n v="6647728.8099999996"/>
    <m/>
    <m/>
    <m/>
    <d v="2020-05-20T00:00:00"/>
    <s v="SMLN-2020-617-000193"/>
    <x v="91"/>
    <d v="2020-06-16T00:00:00"/>
    <d v="2020-07-22T00:00:00"/>
  </r>
  <r>
    <d v="2020-04-27T00:00:00"/>
    <s v="VZ-2020-000428"/>
    <s v="ZM"/>
    <s v="Valtová"/>
    <x v="184"/>
    <m/>
    <m/>
    <m/>
    <s v="33140000-3"/>
    <m/>
    <n v="862920"/>
    <x v="2"/>
    <d v="2020-05-13T00:00:00"/>
    <d v="2020-05-26T00:00:00"/>
    <d v="2020-06-18T00:00:00"/>
    <s v="Medtronic Czechia s.r.o."/>
    <m/>
    <n v="1075320"/>
    <n v="1301137.2"/>
    <m/>
    <m/>
    <m/>
    <d v="2020-06-18T00:00:00"/>
    <s v="SMLN-2020-617-000263_x000a_SMLN-2020-614-000009"/>
    <x v="87"/>
    <d v="2020-07-21T00:00:00"/>
    <d v="2022-07-16T00:00:00"/>
  </r>
  <r>
    <d v="2020-04-20T00:00:00"/>
    <s v="VZ-2020-000431"/>
    <s v="ENERG"/>
    <s v="Srovnal"/>
    <x v="185"/>
    <m/>
    <m/>
    <m/>
    <s v="31710000-6"/>
    <m/>
    <n v="6000000"/>
    <x v="0"/>
    <d v="2020-05-13T00:00:00"/>
    <d v="2020-06-17T00:00:00"/>
    <d v="2020-06-25T00:00:00"/>
    <s v="Kadlec-elektronika s.r.o."/>
    <m/>
    <n v="4959300"/>
    <n v="6000753"/>
    <m/>
    <m/>
    <m/>
    <d v="2020-06-25T00:00:00"/>
    <s v="SMLN-2020-618-000048"/>
    <x v="92"/>
    <d v="2020-08-26T00:00:00"/>
    <d v="2024-08-16T00:00:00"/>
  </r>
  <r>
    <d v="2020-05-04T00:00:00"/>
    <s v="VZ-2020-000437"/>
    <s v="DOPR"/>
    <s v="Klimek"/>
    <x v="186"/>
    <m/>
    <m/>
    <m/>
    <s v="34300000-0"/>
    <m/>
    <n v="400000"/>
    <x v="2"/>
    <d v="2020-05-14T00:00:00"/>
    <d v="2020-05-28T00:00:00"/>
    <d v="2020-06-02T00:00:00"/>
    <s v="PNEUCENTRUM N&amp;N s.r.o."/>
    <m/>
    <n v="426300"/>
    <n v="515823"/>
    <m/>
    <m/>
    <m/>
    <d v="2020-06-02T00:00:00"/>
    <s v="SMLN-2020-617-000220"/>
    <x v="53"/>
    <d v="2020-07-14T00:00:00"/>
    <d v="2022-07-06T00:00:00"/>
  </r>
  <r>
    <d v="2020-04-30T00:00:00"/>
    <s v="VZ-2020-000439"/>
    <s v="INF"/>
    <s v="Oravec"/>
    <x v="187"/>
    <m/>
    <m/>
    <m/>
    <s v="72261000-2"/>
    <s v="3.2.12."/>
    <n v="945000"/>
    <x v="2"/>
    <d v="2020-05-27T00:00:00"/>
    <d v="2020-06-11T00:00:00"/>
    <m/>
    <s v="zrušeno  - úprava zadávacích podmínek"/>
    <s v="nová VZ-2020-000658"/>
    <m/>
    <m/>
    <m/>
    <m/>
    <m/>
    <m/>
    <m/>
    <x v="0"/>
    <d v="2020-06-18T00:00:00"/>
    <m/>
  </r>
  <r>
    <s v="opakovaná VZ"/>
    <s v="VZ-2020-000448"/>
    <s v="ISPROFIN"/>
    <s v="Neudörflerová"/>
    <x v="188"/>
    <m/>
    <m/>
    <m/>
    <s v="33111620-3"/>
    <s v="2.3.319."/>
    <n v="23494497.559999999"/>
    <x v="0"/>
    <d v="2020-06-04T00:00:00"/>
    <d v="2020-07-07T00:00:00"/>
    <d v="2020-07-23T00:00:00"/>
    <s v="Stargen EU s.r.o."/>
    <m/>
    <n v="12133448"/>
    <n v="14681472.08"/>
    <m/>
    <m/>
    <m/>
    <d v="2020-07-23T00:00:00"/>
    <s v="SMLN-2020-617-000292_x000a_SMLN-2020-612-000063"/>
    <x v="84"/>
    <d v="2020-08-14T00:00:00"/>
    <d v="2020-11-13T00:00:00"/>
  </r>
  <r>
    <d v="2020-04-29T00:00:00"/>
    <s v="VZ-2020-000449"/>
    <s v="ZT"/>
    <s v="Rosulek"/>
    <x v="189"/>
    <m/>
    <m/>
    <m/>
    <s v="33190000-8"/>
    <s v="2.2.281,282"/>
    <n v="489000"/>
    <x v="2"/>
    <d v="2020-05-12T00:00:00"/>
    <d v="2020-05-22T00:00:00"/>
    <d v="2020-05-28T00:00:00"/>
    <s v="AKC konstrukce s.r.o."/>
    <m/>
    <n v="480200"/>
    <n v="581042"/>
    <m/>
    <m/>
    <m/>
    <d v="2020-05-29T00:00:00"/>
    <s v="SMLN-2020-617-000212_x000a_SMLN-2020-612-000040"/>
    <x v="43"/>
    <d v="2020-06-09T00:00:00"/>
    <d v="2020-07-20T00:00:00"/>
  </r>
  <r>
    <d v="2020-05-05T00:00:00"/>
    <s v="VZ-2020-000453"/>
    <s v="LÉK"/>
    <s v="Ondráčková"/>
    <x v="190"/>
    <n v="1"/>
    <s v="HEPARIN"/>
    <m/>
    <s v="33621100-0"/>
    <m/>
    <n v="3127212"/>
    <x v="0"/>
    <d v="2020-05-15T00:00:00"/>
    <d v="2020-08-13T00:00:00"/>
    <m/>
    <s v="zrušeno - bez nabídky"/>
    <s v="bude se opakovat"/>
    <m/>
    <m/>
    <m/>
    <m/>
    <m/>
    <m/>
    <m/>
    <x v="0"/>
    <d v="2020-08-19T00:00:00"/>
    <s v="19.8.2020 zrušeno"/>
  </r>
  <r>
    <d v="2020-05-05T00:00:00"/>
    <s v="VZ-2020-000453"/>
    <s v="LÉK"/>
    <s v="Ondráčková"/>
    <x v="190"/>
    <n v="2"/>
    <s v="APIXABAN"/>
    <m/>
    <s v="33621100-0"/>
    <m/>
    <n v="11918478"/>
    <x v="0"/>
    <d v="2020-05-15T00:00:00"/>
    <d v="2020-08-13T00:00:00"/>
    <d v="2020-10-07T00:00:00"/>
    <s v="PHOENIX lék.velkoobchod, s.r.o."/>
    <m/>
    <n v="11805472.5"/>
    <n v="12986019.75"/>
    <m/>
    <m/>
    <m/>
    <d v="2020-10-07T00:00:00"/>
    <s v="SMLN-2020-617-000456"/>
    <x v="93"/>
    <d v="2020-11-19T00:00:00"/>
    <d v="2023-11-03T00:00:00"/>
  </r>
  <r>
    <d v="2020-05-05T00:00:00"/>
    <s v="VZ-2020-000453"/>
    <s v="LÉK"/>
    <s v="Ondráčková"/>
    <x v="190"/>
    <n v="3"/>
    <s v="RIVAROXABAN"/>
    <m/>
    <s v="33621100-0"/>
    <m/>
    <n v="8792088"/>
    <x v="0"/>
    <d v="2020-05-15T00:00:00"/>
    <d v="2020-08-13T00:00:00"/>
    <m/>
    <s v="zrušeno  bez nabídky"/>
    <s v="bude se opakovat"/>
    <m/>
    <m/>
    <m/>
    <m/>
    <m/>
    <m/>
    <m/>
    <x v="0"/>
    <d v="2020-08-19T00:00:00"/>
    <s v="19.8.2020 zrušeno"/>
  </r>
  <r>
    <d v="2020-05-05T00:00:00"/>
    <s v="VZ-2020-000453"/>
    <s v="LÉK"/>
    <s v="Ondráčková"/>
    <x v="190"/>
    <n v="4"/>
    <s v="DABIGATRAN-ETEXILÁT"/>
    <m/>
    <s v="33621100-0"/>
    <m/>
    <n v="6916307"/>
    <x v="0"/>
    <d v="2020-05-15T00:00:00"/>
    <d v="2020-08-13T00:00:00"/>
    <d v="2020-10-07T00:00:00"/>
    <s v="Boehringer Ingelheim spol. s r.o."/>
    <m/>
    <n v="6916305.7800000003"/>
    <n v="7607936.3600000003"/>
    <m/>
    <m/>
    <m/>
    <d v="2020-10-07T00:00:00"/>
    <s v="SMLN-2020-617-000457"/>
    <x v="94"/>
    <d v="2020-11-19T00:00:00"/>
    <d v="2023-11-12T00:00:00"/>
  </r>
  <r>
    <d v="2020-05-05T00:00:00"/>
    <s v="VZ-2020-000453"/>
    <s v="LÉK"/>
    <s v="Ondráčková"/>
    <x v="190"/>
    <n v="5"/>
    <s v="ENOXAPARIN "/>
    <m/>
    <s v="33621100-0"/>
    <m/>
    <n v="1899087"/>
    <x v="0"/>
    <d v="2020-05-15T00:00:00"/>
    <d v="2020-08-13T00:00:00"/>
    <d v="2020-10-07T00:00:00"/>
    <s v="Alliance Healthcare s.r.o."/>
    <m/>
    <n v="1582576.2"/>
    <n v="1740833.82"/>
    <m/>
    <m/>
    <m/>
    <d v="2020-10-07T00:00:00"/>
    <s v="SMLN-2020-617-000458"/>
    <x v="93"/>
    <d v="2020-11-19T00:00:00"/>
    <d v="2023-11-03T00:00:00"/>
  </r>
  <r>
    <d v="2020-05-05T00:00:00"/>
    <s v="VZ-2020-000454"/>
    <s v="LÉK"/>
    <s v="Ondráčková"/>
    <x v="191"/>
    <n v="1"/>
    <s v="HAEMOCOMPLETTAN P"/>
    <m/>
    <s v="33621000-9"/>
    <m/>
    <n v="2141062"/>
    <x v="0"/>
    <d v="2020-05-15T00:00:00"/>
    <d v="2020-06-19T00:00:00"/>
    <d v="2020-07-09T00:00:00"/>
    <s v="CSL Behring s.r.o."/>
    <m/>
    <n v="2123053.5"/>
    <n v="2335358.85"/>
    <m/>
    <m/>
    <m/>
    <d v="2020-07-13T00:00:00"/>
    <s v="SMLN-2020-617-000276"/>
    <x v="95"/>
    <d v="2020-09-03T00:00:00"/>
    <d v="2023-08-26T00:00:00"/>
  </r>
  <r>
    <d v="2020-05-05T00:00:00"/>
    <s v="VZ-2020-000454"/>
    <s v="LÉK"/>
    <s v="Ondráčková"/>
    <x v="191"/>
    <n v="2"/>
    <s v="KANAVIT"/>
    <m/>
    <s v="33621000-9"/>
    <m/>
    <n v="597993"/>
    <x v="0"/>
    <d v="2020-05-15T00:00:00"/>
    <d v="2020-06-19T00:00:00"/>
    <m/>
    <s v="zrušeno - špatné zadání"/>
    <m/>
    <m/>
    <m/>
    <m/>
    <m/>
    <m/>
    <m/>
    <m/>
    <x v="0"/>
    <d v="2020-07-28T00:00:00"/>
    <s v="3.7.2020 zrušeno"/>
  </r>
  <r>
    <d v="2020-05-05T00:00:00"/>
    <s v="VZ-2020-000454"/>
    <s v="LÉK"/>
    <s v="Ondráčková"/>
    <x v="191"/>
    <n v="3"/>
    <s v="HEMLIBRA"/>
    <m/>
    <s v="33621000-9"/>
    <m/>
    <n v="3276624"/>
    <x v="0"/>
    <d v="2020-05-15T00:00:00"/>
    <d v="2020-06-19T00:00:00"/>
    <d v="2020-07-09T00:00:00"/>
    <s v="ROCHE s.r.o."/>
    <m/>
    <n v="3276624"/>
    <n v="3604286.4"/>
    <m/>
    <m/>
    <m/>
    <d v="2020-07-13T00:00:00"/>
    <s v="SMLN-2020-617-000277"/>
    <x v="92"/>
    <d v="2020-09-03T00:00:00"/>
    <d v="2023-08-16T00:00:00"/>
  </r>
  <r>
    <d v="2020-05-05T00:00:00"/>
    <s v="VZ-2020-000454"/>
    <s v="LÉK"/>
    <s v="Ondráčková"/>
    <x v="191"/>
    <n v="4"/>
    <s v="NOVOSEVEN"/>
    <m/>
    <s v="33621000-9"/>
    <m/>
    <n v="4799667"/>
    <x v="0"/>
    <d v="2020-05-15T00:00:00"/>
    <d v="2020-06-19T00:00:00"/>
    <d v="2020-07-09T00:00:00"/>
    <s v="Alliance Healthcare s.r.o."/>
    <m/>
    <n v="4799665.3499999996"/>
    <n v="5279631.8899999997"/>
    <m/>
    <m/>
    <m/>
    <d v="2020-07-13T00:00:00"/>
    <s v="SMLN-2020-617-000278"/>
    <x v="84"/>
    <d v="2020-09-03T00:00:00"/>
    <d v="2023-08-13T00:00:00"/>
  </r>
  <r>
    <d v="2020-05-05T00:00:00"/>
    <s v="VZ-2020-000454"/>
    <s v="LÉK"/>
    <s v="Ondráčková"/>
    <x v="191"/>
    <n v="5"/>
    <s v="REFACTO AF"/>
    <m/>
    <s v="33621000-9"/>
    <m/>
    <n v="4223469"/>
    <x v="0"/>
    <d v="2020-05-15T00:00:00"/>
    <d v="2020-06-19T00:00:00"/>
    <d v="2020-07-09T00:00:00"/>
    <s v="PHOENIX lék.velkoobchod, s.r.o."/>
    <m/>
    <n v="4223467.29"/>
    <n v="4645814.0199999996"/>
    <m/>
    <m/>
    <m/>
    <d v="2020-07-13T00:00:00"/>
    <s v="SMLN-2020-617-000279"/>
    <x v="72"/>
    <d v="2020-09-03T00:00:00"/>
    <d v="2023-08-11T00:00:00"/>
  </r>
  <r>
    <d v="2020-05-07T00:00:00"/>
    <s v="VZ-2020-000462"/>
    <s v="SERVIS"/>
    <s v="Zemánek"/>
    <x v="192"/>
    <m/>
    <m/>
    <m/>
    <s v="33167000-8"/>
    <m/>
    <n v="810000"/>
    <x v="2"/>
    <d v="2020-05-28T00:00:00"/>
    <d v="2020-06-09T00:00:00"/>
    <d v="2020-06-15T00:00:00"/>
    <s v="Dräger Medical s.r.o."/>
    <m/>
    <n v="477112"/>
    <n v="577305.52"/>
    <m/>
    <m/>
    <m/>
    <d v="2020-06-15T00:00:00"/>
    <s v="SMLN-2020-617-000241_x000a_SMLN-2020-612-000044"/>
    <x v="51"/>
    <d v="2020-07-02T00:00:00"/>
    <d v="2020-08-26T00:00:00"/>
  </r>
  <r>
    <d v="2020-04-30T00:00:00"/>
    <s v="VZ-2020-000463"/>
    <s v="ENERG"/>
    <s v="Srovnal"/>
    <x v="193"/>
    <m/>
    <m/>
    <m/>
    <s v="33190000-8"/>
    <m/>
    <n v="4800000"/>
    <x v="0"/>
    <d v="2020-06-26T00:00:00"/>
    <d v="2020-07-31T00:00:00"/>
    <d v="2020-08-26T00:00:00"/>
    <s v="Dräger Medical s.r.o."/>
    <m/>
    <n v="2918210"/>
    <n v="3531034.1"/>
    <m/>
    <m/>
    <m/>
    <d v="2020-08-26T00:00:00"/>
    <s v="SMLN-2020-617-000365_x000a_SMLN-2020-612-000076"/>
    <x v="96"/>
    <d v="2020-12-21T00:00:00"/>
    <n v="2021"/>
  </r>
  <r>
    <d v="2020-05-12T00:00:00"/>
    <s v="VZ-2020-000464"/>
    <s v="ZT"/>
    <s v="Novák"/>
    <x v="194"/>
    <m/>
    <m/>
    <m/>
    <s v="33169300-5"/>
    <m/>
    <n v="1000000"/>
    <x v="2"/>
    <d v="2020-05-15T00:00:00"/>
    <d v="2020-05-26T00:00:00"/>
    <d v="2020-06-12T00:00:00"/>
    <s v="Pro-Charitu s.r.o."/>
    <m/>
    <n v="1050323"/>
    <n v="1270890.83"/>
    <m/>
    <m/>
    <m/>
    <d v="2020-06-12T00:00:00"/>
    <s v="SMLN-2020-617-000238"/>
    <x v="97"/>
    <d v="2020-07-14T00:00:00"/>
    <d v="2020-08-27T00:00:00"/>
  </r>
  <r>
    <d v="2020-05-11T00:00:00"/>
    <s v="VZ-2020-000476"/>
    <s v="LÉK"/>
    <s v="Ondráčková"/>
    <x v="195"/>
    <m/>
    <m/>
    <m/>
    <s v="33652100-6 "/>
    <m/>
    <n v="66386351"/>
    <x v="0"/>
    <d v="2020-06-18T00:00:00"/>
    <d v="2020-08-13T00:00:00"/>
    <d v="2020-09-10T00:00:00"/>
    <s v="Gilead Sciences s.r.o."/>
    <m/>
    <n v="66386350.719999999"/>
    <n v="73024985.790000007"/>
    <m/>
    <m/>
    <m/>
    <d v="2020-09-10T00:00:00"/>
    <s v="SMLN-2020-617-000391"/>
    <x v="98"/>
    <d v="2020-11-16T00:00:00"/>
    <d v="2024-10-15T00:00:00"/>
  </r>
  <r>
    <d v="2020-05-11T00:00:00"/>
    <s v="VZ-2020-000477"/>
    <s v="LÉK"/>
    <s v="Ondráčková"/>
    <x v="196"/>
    <m/>
    <m/>
    <m/>
    <s v="33652100-6"/>
    <m/>
    <n v="87098147"/>
    <x v="0"/>
    <d v="2020-06-22T00:00:00"/>
    <d v="2020-07-27T00:00:00"/>
    <d v="2020-08-06T00:00:00"/>
    <s v="Amgen s.r.o."/>
    <m/>
    <n v="87098146.290000007"/>
    <n v="95807960.920000002"/>
    <m/>
    <m/>
    <m/>
    <d v="2020-08-06T00:00:00"/>
    <s v="SMLN-2020-617-000318"/>
    <x v="83"/>
    <d v="2020-10-08T00:00:00"/>
    <d v="2023-09-10T00:00:00"/>
  </r>
  <r>
    <d v="2020-05-15T00:00:00"/>
    <s v="VZ-2020-000478"/>
    <s v="ZM"/>
    <s v="Merta"/>
    <x v="197"/>
    <n v="1"/>
    <s v="Kardiostimulátory s možností vzdálené kontroly a monitorace pacienta včetně jednotky pro vzdálenou monitoraci"/>
    <m/>
    <s v="33182210-4 "/>
    <m/>
    <n v="45869095"/>
    <x v="0"/>
    <d v="2020-05-25T00:00:00"/>
    <d v="2020-06-29T00:00:00"/>
    <d v="2020-07-28T00:00:00"/>
    <s v="Cardiomedical s.r.o."/>
    <m/>
    <n v="45869095"/>
    <n v="52749459.25"/>
    <m/>
    <m/>
    <m/>
    <d v="2020-07-30T00:00:00"/>
    <s v="SMLN-2020-617-000298_x000a_SMLN-2020-614-000013_x000a_SMLN-2020-616-000034"/>
    <x v="99"/>
    <d v="2020-09-30T00:00:00"/>
    <d v="2023-09-22T00:00:00"/>
  </r>
  <r>
    <d v="2020-05-15T00:00:00"/>
    <s v="VZ-2020-000478"/>
    <s v="ZM"/>
    <s v="Merta"/>
    <x v="197"/>
    <n v="2"/>
    <s v="Kardiostimulátory s možností včasného upozornění hrozícího srdečního selhání"/>
    <m/>
    <s v="33182210-4 "/>
    <m/>
    <n v="9626321"/>
    <x v="0"/>
    <d v="2020-05-25T00:00:00"/>
    <d v="2020-06-29T00:00:00"/>
    <d v="2020-07-28T00:00:00"/>
    <s v="CARDION  s.r.o."/>
    <m/>
    <n v="9624913.0399999991"/>
    <n v="11068650"/>
    <m/>
    <m/>
    <m/>
    <d v="2020-07-30T00:00:00"/>
    <s v="SMLN-2020-617-000299_x000a_SMLN-2020-614-000014_x000a_SMLN-2020-616-000035"/>
    <x v="99"/>
    <d v="2020-09-30T00:00:00"/>
    <d v="2023-09-22T00:00:00"/>
  </r>
  <r>
    <d v="2020-05-15T00:00:00"/>
    <s v="VZ-2020-000478"/>
    <s v="ZM"/>
    <s v="Merta"/>
    <x v="197"/>
    <n v="3"/>
    <s v="Kardiostimulátory pro pacienty po extrakci pro závažné infekční komplikace výkonu a pro pacienty s vysokým potencionálním rizikem vzniku infekčních komplikací"/>
    <m/>
    <s v="33182210-4 "/>
    <m/>
    <n v="3103825"/>
    <x v="0"/>
    <d v="2020-05-25T00:00:00"/>
    <d v="2020-06-29T00:00:00"/>
    <m/>
    <s v="zrušeno - 1 nabídka nesplnila zadání"/>
    <s v="nová VZ-2020-001283"/>
    <m/>
    <m/>
    <m/>
    <m/>
    <m/>
    <m/>
    <m/>
    <x v="0"/>
    <d v="2020-09-15T00:00:00"/>
    <s v="19.8.2020 zrušeno"/>
  </r>
  <r>
    <d v="2020-05-15T00:00:00"/>
    <s v="VZ-2020-000478"/>
    <s v="ZM"/>
    <s v="Merta"/>
    <x v="197"/>
    <n v="4"/>
    <s v="Kardiostimulátory s duálním senzorem, hemodynamickým monitorováním kontraktility pomocí transvalvulární impedance (TVI) a možností vzdálené kontroly včetně komunikačního prostředku"/>
    <m/>
    <s v="33182210-4 "/>
    <m/>
    <n v="7238400"/>
    <x v="0"/>
    <d v="2020-05-25T00:00:00"/>
    <d v="2020-06-29T00:00:00"/>
    <d v="2020-07-28T00:00:00"/>
    <s v="MEDKOTECH s.r.o."/>
    <m/>
    <n v="7238400"/>
    <n v="8324160"/>
    <m/>
    <m/>
    <m/>
    <d v="2020-07-30T00:00:00"/>
    <s v="SMLN-2020-617-000300_x000a_SMLN-2020-614-000015_x000a_SMLN-2020-616-000036"/>
    <x v="99"/>
    <d v="2020-09-30T00:00:00"/>
    <d v="2023-09-22T00:00:00"/>
  </r>
  <r>
    <d v="2020-05-15T00:00:00"/>
    <s v="VZ-2020-000478"/>
    <s v="ZM"/>
    <s v="Merta"/>
    <x v="197"/>
    <n v="5"/>
    <s v="Systém bezelektrodového kardiostimulátoru zaváděného katetrizační technikou"/>
    <m/>
    <s v="33182210-4 "/>
    <m/>
    <n v="8525000"/>
    <x v="0"/>
    <d v="2020-05-25T00:00:00"/>
    <d v="2020-06-29T00:00:00"/>
    <d v="2020-07-28T00:00:00"/>
    <s v="Medtronic Czechia s.r.o."/>
    <m/>
    <n v="8525000"/>
    <n v="9803750"/>
    <m/>
    <m/>
    <m/>
    <d v="2020-07-30T00:00:00"/>
    <s v="SMLN-2020-617-000301_x000a_SMLN-2020-614-000016_x000a_SMLN-2020-616-000037"/>
    <x v="99"/>
    <d v="2020-09-30T00:00:00"/>
    <d v="2023-09-22T00:00:00"/>
  </r>
  <r>
    <d v="2020-05-18T00:00:00"/>
    <s v="VZ-2020-000479"/>
    <s v="INF"/>
    <s v="Oravec"/>
    <x v="198"/>
    <m/>
    <m/>
    <m/>
    <s v="64212100-6"/>
    <m/>
    <n v="430000"/>
    <x v="2"/>
    <d v="2020-06-05T00:00:00"/>
    <d v="2020-06-19T00:00:00"/>
    <m/>
    <s v="zrušeno"/>
    <m/>
    <m/>
    <m/>
    <m/>
    <m/>
    <m/>
    <m/>
    <m/>
    <x v="0"/>
    <d v="2020-07-22T00:00:00"/>
    <m/>
  </r>
  <r>
    <d v="2020-05-19T00:00:00"/>
    <s v="VZ-2020-000490"/>
    <s v="ZM"/>
    <s v="Dočkalová"/>
    <x v="199"/>
    <m/>
    <m/>
    <m/>
    <s v="33140000-3"/>
    <m/>
    <n v="1500000"/>
    <x v="2"/>
    <d v="2020-05-26T00:00:00"/>
    <d v="2020-06-09T00:00:00"/>
    <d v="2020-06-29T00:00:00"/>
    <s v="Fresenius Kabi s.r.o."/>
    <m/>
    <n v="1377000"/>
    <n v="1666170"/>
    <m/>
    <m/>
    <m/>
    <d v="2020-06-29T00:00:00"/>
    <s v="SMLN-2020-617-000269"/>
    <x v="100"/>
    <d v="2020-08-13T00:00:00"/>
    <d v="2023-08-05T00:00:00"/>
  </r>
  <r>
    <d v="2020-04-15T00:00:00"/>
    <s v="VZ-2020-000492"/>
    <s v="DOPR"/>
    <s v="Klimek"/>
    <x v="200"/>
    <n v="1"/>
    <s v="Servis sanitních vozidel "/>
    <m/>
    <s v="50110000-9, 34300000"/>
    <m/>
    <n v="5200000"/>
    <x v="0"/>
    <d v="2020-07-16T00:00:00"/>
    <d v="2020-08-19T00:00:00"/>
    <d v="2020-09-24T00:00:00"/>
    <s v="AUTO ČECHÁK s.r.o."/>
    <m/>
    <n v="5200000"/>
    <s v="jednotkové ceny"/>
    <m/>
    <m/>
    <m/>
    <d v="2020-09-30T00:00:00"/>
    <s v="SMLN-2020-618-000085"/>
    <x v="101"/>
    <d v="2020-12-03T00:00:00"/>
    <d v="2024-11-19T00:00:00"/>
  </r>
  <r>
    <d v="2020-04-15T00:00:00"/>
    <s v="VZ-2020-000492"/>
    <s v="DOPR"/>
    <s v="Klimek"/>
    <x v="200"/>
    <n v="2"/>
    <s v="Servis osobních vozidel "/>
    <m/>
    <s v="50110000-9, 34300000"/>
    <m/>
    <n v="2000000"/>
    <x v="0"/>
    <d v="2020-07-16T00:00:00"/>
    <d v="2020-08-19T00:00:00"/>
    <d v="2020-09-24T00:00:00"/>
    <s v="Jiří Klanica"/>
    <m/>
    <n v="2000000"/>
    <s v="jednotkové ceny"/>
    <m/>
    <m/>
    <m/>
    <d v="2020-09-30T00:00:00"/>
    <s v="SMLN-2020-618-000086"/>
    <x v="102"/>
    <d v="2020-12-03T00:00:00"/>
    <d v="2024-12-01T00:00:00"/>
  </r>
  <r>
    <d v="2020-04-15T00:00:00"/>
    <s v="VZ-2020-000492"/>
    <s v="DOPR"/>
    <s v="Klimek"/>
    <x v="200"/>
    <n v="3"/>
    <s v="Servis dodávkových vozidel (vozidla koncernu VW)"/>
    <m/>
    <s v="50110000-9, 34300000"/>
    <m/>
    <n v="1300000"/>
    <x v="0"/>
    <d v="2020-07-16T00:00:00"/>
    <d v="2020-08-19T00:00:00"/>
    <d v="2020-09-24T00:00:00"/>
    <s v="Jiří Klanica"/>
    <m/>
    <n v="1300000"/>
    <s v="jednotkové ceny"/>
    <m/>
    <m/>
    <m/>
    <d v="2020-09-30T00:00:00"/>
    <s v="SMLN-2020-618-000087"/>
    <x v="102"/>
    <d v="2020-12-03T00:00:00"/>
    <d v="2024-12-01T00:00:00"/>
  </r>
  <r>
    <d v="2020-04-15T00:00:00"/>
    <s v="VZ-2020-000492"/>
    <s v="DOPR"/>
    <s v="Klimek"/>
    <x v="200"/>
    <n v="4"/>
    <s v="Servis dodávkových vozidel (mimo vozidla koncernu VW)"/>
    <m/>
    <s v="50110000-9, 34300000"/>
    <m/>
    <n v="200000"/>
    <x v="0"/>
    <d v="2020-07-16T00:00:00"/>
    <d v="2020-08-19T00:00:00"/>
    <d v="2020-09-24T00:00:00"/>
    <s v="Jiří Klanica"/>
    <m/>
    <n v="200000"/>
    <s v="jednotkové ceny"/>
    <m/>
    <m/>
    <m/>
    <d v="2020-09-30T00:00:00"/>
    <s v="SMLN-2020-618-000088"/>
    <x v="102"/>
    <d v="2020-12-03T00:00:00"/>
    <d v="2024-12-01T00:00:00"/>
  </r>
  <r>
    <s v="opakovaná VZ"/>
    <s v="VZ-2020-000495"/>
    <s v="ZT"/>
    <s v="Novák"/>
    <x v="201"/>
    <m/>
    <m/>
    <m/>
    <s v="33100000-1"/>
    <m/>
    <n v="700000"/>
    <x v="2"/>
    <d v="2020-05-25T00:00:00"/>
    <d v="2020-06-02T00:00:00"/>
    <d v="2020-06-10T00:00:00"/>
    <s v="Dräger Medical s.r.o."/>
    <m/>
    <n v="692875"/>
    <n v="838378.75"/>
    <m/>
    <m/>
    <m/>
    <d v="2020-06-11T00:00:00"/>
    <s v="SMLN-2020-617-000235"/>
    <x v="52"/>
    <d v="2020-07-27T00:00:00"/>
    <d v="2020-08-18T00:00:00"/>
  </r>
  <r>
    <d v="2020-05-15T00:00:00"/>
    <s v="VZ-2020-000496"/>
    <s v="ZM"/>
    <s v="Merta"/>
    <x v="202"/>
    <n v="1"/>
    <s v="ICD s komplexní monitorací"/>
    <m/>
    <s v="33182100-0"/>
    <m/>
    <n v="250080000"/>
    <x v="0"/>
    <d v="2020-05-27T00:00:00"/>
    <d v="2020-07-01T00:00:00"/>
    <d v="2020-08-10T00:00:00"/>
    <s v="Cardiomedical s.r.o."/>
    <m/>
    <n v="250080000"/>
    <n v="287592000"/>
    <m/>
    <m/>
    <m/>
    <d v="2020-08-10T00:00:00"/>
    <s v="SMLN-2020-617-000324_x000a_SMLN-2020-614-000019_x000a_SMLN-2020-616-000041"/>
    <x v="103"/>
    <d v="2020-09-29T00:00:00"/>
    <d v="2023-09-15T00:00:00"/>
  </r>
  <r>
    <d v="2020-05-15T00:00:00"/>
    <s v="VZ-2020-000496"/>
    <s v="ZM"/>
    <s v="Merta"/>
    <x v="202"/>
    <n v="2"/>
    <s v="ICD s možností zvýšené ochrany a programovatelných parametrů výboje"/>
    <m/>
    <s v="33182100-0"/>
    <m/>
    <n v="56950000"/>
    <x v="0"/>
    <d v="2020-05-27T00:00:00"/>
    <d v="2020-07-01T00:00:00"/>
    <d v="2020-08-10T00:00:00"/>
    <s v="Cardion s.r.o."/>
    <m/>
    <n v="56923000"/>
    <n v="65461450"/>
    <m/>
    <m/>
    <m/>
    <d v="2020-08-10T00:00:00"/>
    <s v="SMLN-2020-617-000325_x000a_SMLN-2020-614-000020_x000a_SMLN-2020-616-000042"/>
    <x v="103"/>
    <d v="2020-09-29T00:00:00"/>
    <d v="2023-09-15T00:00:00"/>
  </r>
  <r>
    <d v="2020-05-15T00:00:00"/>
    <s v="VZ-2020-000496"/>
    <s v="ZM"/>
    <s v="Merta"/>
    <x v="202"/>
    <n v="3"/>
    <s v="ICD pro komplexní mnagement pacientů s vysokým rizikem infekčních komplikací"/>
    <m/>
    <s v="33182100-0"/>
    <m/>
    <n v="25040000"/>
    <x v="0"/>
    <d v="2020-05-27T00:00:00"/>
    <d v="2020-07-01T00:00:00"/>
    <m/>
    <m/>
    <s v="nová VZ-2020-001285"/>
    <m/>
    <m/>
    <m/>
    <m/>
    <m/>
    <m/>
    <m/>
    <x v="0"/>
    <d v="2020-09-29T00:00:00"/>
    <s v="2.9.2020 zrušeno"/>
  </r>
  <r>
    <d v="2020-05-15T00:00:00"/>
    <s v="VZ-2020-000496"/>
    <s v="ZM"/>
    <s v="Merta"/>
    <x v="202"/>
    <n v="4"/>
    <s v="Standardní ICD terapie"/>
    <m/>
    <s v="33182100-0"/>
    <m/>
    <n v="72497500"/>
    <x v="0"/>
    <d v="2020-05-27T00:00:00"/>
    <d v="2020-07-01T00:00:00"/>
    <d v="2020-08-10T00:00:00"/>
    <s v="INLAB Medical s.r.o."/>
    <m/>
    <n v="72497500"/>
    <n v="83396125"/>
    <m/>
    <m/>
    <m/>
    <d v="2020-08-10T00:00:00"/>
    <s v="SMLN-2020-617-000326_x000a_SMLN-2020-614-000021_x000a_SMLN-2020-616-000043"/>
    <x v="103"/>
    <d v="2020-09-29T00:00:00"/>
    <d v="2023-09-15T00:00:00"/>
  </r>
  <r>
    <d v="2020-05-21T00:00:00"/>
    <s v="VZ-2020-000499"/>
    <s v="OVZ"/>
    <s v="Bodinkova"/>
    <x v="203"/>
    <n v="1"/>
    <s v="Plně automatizovaná koagulace"/>
    <m/>
    <s v="33694000-1; 38434000"/>
    <m/>
    <n v="16530527"/>
    <x v="0"/>
    <d v="2020-06-18T00:00:00"/>
    <d v="2020-08-18T00:00:00"/>
    <d v="2020-10-20T00:00:00"/>
    <s v="Werfen Czech s.r.o."/>
    <m/>
    <n v="15004968.720000001"/>
    <n v="18156012.149999999"/>
    <m/>
    <m/>
    <m/>
    <d v="2020-10-20T00:00:00"/>
    <s v="SMLN-2020-617-000494_x000a_SMLN-2020-616-000052"/>
    <x v="104"/>
    <d v="2020-11-24T00:00:00"/>
    <s v="6 let s automatickou prolongací"/>
  </r>
  <r>
    <d v="2020-05-21T00:00:00"/>
    <s v="VZ-2020-000499"/>
    <s v="OVZ"/>
    <s v="Bodinkova"/>
    <x v="203"/>
    <n v="2"/>
    <s v="Plně automatizovaná imunoanalýza"/>
    <m/>
    <s v="33694000-1; 38434000"/>
    <m/>
    <n v="3020564"/>
    <x v="0"/>
    <d v="2020-06-18T00:00:00"/>
    <d v="2020-08-18T00:00:00"/>
    <d v="2020-10-20T00:00:00"/>
    <s v="Werfen Czech s.r.o."/>
    <m/>
    <n v="3272935.64"/>
    <n v="3960252.12"/>
    <m/>
    <m/>
    <m/>
    <d v="2020-10-20T00:00:00"/>
    <s v="SMLN-2020-617-000495_x000a_SMLN-2020-616-000053"/>
    <x v="104"/>
    <d v="2020-11-24T00:00:00"/>
    <s v="6 let s automatickou prolongací"/>
  </r>
  <r>
    <d v="2020-05-15T00:00:00"/>
    <s v="VZ-2020-000529"/>
    <s v="OSB"/>
    <s v="Vaida"/>
    <x v="204"/>
    <m/>
    <m/>
    <m/>
    <s v="45261910-6"/>
    <m/>
    <n v="450000"/>
    <x v="2"/>
    <d v="2020-05-29T00:00:00"/>
    <d v="2020-06-09T00:00:00"/>
    <m/>
    <s v="zrušeno - nutno vypracovat statický posudek"/>
    <m/>
    <m/>
    <m/>
    <m/>
    <m/>
    <m/>
    <m/>
    <m/>
    <x v="0"/>
    <d v="2020-06-04T00:00:00"/>
    <m/>
  </r>
  <r>
    <d v="2020-05-15T00:00:00"/>
    <s v="VZ-2020-000530"/>
    <s v="ZT"/>
    <s v="Rosulek"/>
    <x v="205"/>
    <m/>
    <m/>
    <m/>
    <s v="33111610-0"/>
    <m/>
    <n v="63500000"/>
    <x v="0"/>
    <d v="2020-08-10T00:00:00"/>
    <d v="2020-10-05T00:00:00"/>
    <d v="2020-11-10T00:00:00"/>
    <s v="Siemens Healthcare s.r.o."/>
    <m/>
    <n v="58153200"/>
    <n v="70365372"/>
    <m/>
    <m/>
    <m/>
    <d v="2020-11-10T00:00:00"/>
    <s v="SMLN-2020-617-000525_x000a_SMLN-2020-612-000114"/>
    <x v="105"/>
    <d v="2021-01-05T00:00:00"/>
    <s v="do 3 měsíců od písemné výzvy"/>
  </r>
  <r>
    <d v="2020-05-18T00:00:00"/>
    <s v="VZ-2020-000532"/>
    <s v="ZM"/>
    <s v="Dočkalová"/>
    <x v="206"/>
    <m/>
    <m/>
    <m/>
    <s v="33140000-3"/>
    <m/>
    <n v="6344402"/>
    <x v="0"/>
    <d v="2020-06-15T00:00:00"/>
    <d v="2020-07-17T00:00:00"/>
    <d v="2020-08-04T00:00:00"/>
    <s v="Gettinge Czech Republic s.r.o."/>
    <m/>
    <n v="6518986.4000000004"/>
    <n v="7887972.0800000001"/>
    <m/>
    <m/>
    <m/>
    <d v="2020-08-04T00:00:00"/>
    <s v="SMLN-2020-617-000311_x000a_SMLN-2020-617-000312_x000a_SMLN-2020-614-000017"/>
    <x v="81"/>
    <d v="2020-10-02T00:00:00"/>
    <s v="doba neurčitá"/>
  </r>
  <r>
    <d v="2020-05-20T00:00:00"/>
    <s v="VZ-2020-000534"/>
    <s v="ZM"/>
    <s v="Dočkalová"/>
    <x v="207"/>
    <m/>
    <m/>
    <m/>
    <s v="33140000-3"/>
    <m/>
    <n v="1493100"/>
    <x v="2"/>
    <d v="2020-06-02T00:00:00"/>
    <d v="2020-06-11T00:00:00"/>
    <m/>
    <s v="zrušeno - bez nabídky"/>
    <s v="nová VZ-2020-000623"/>
    <m/>
    <m/>
    <m/>
    <m/>
    <m/>
    <m/>
    <m/>
    <x v="0"/>
    <d v="2020-06-11T00:00:00"/>
    <m/>
  </r>
  <r>
    <d v="2020-05-06T00:00:00"/>
    <s v="VZ-2020-000540"/>
    <s v="ZM"/>
    <s v="Merta"/>
    <x v="208"/>
    <n v="1"/>
    <s v="Koronární stenty lékové 1 (Drug Eluting Stents - DES)"/>
    <m/>
    <s v="33184500-8"/>
    <m/>
    <n v="26880000"/>
    <x v="0"/>
    <d v="2020-06-18T00:00:00"/>
    <d v="2020-08-04T00:00:00"/>
    <d v="2020-10-12T00:00:00"/>
    <s v="Cardiomedical s.r.o."/>
    <m/>
    <n v="26880000"/>
    <n v="30911999.999999996"/>
    <m/>
    <m/>
    <m/>
    <d v="2020-10-12T00:00:00"/>
    <s v="SMLN-2020-617-000468_x000a_SMLN-2020-614-000040"/>
    <x v="94"/>
    <d v="2020-12-02T00:00:00"/>
    <d v="2023-11-12T00:00:00"/>
  </r>
  <r>
    <d v="2020-05-06T00:00:00"/>
    <s v="VZ-2020-000540"/>
    <s v="ZM"/>
    <s v="Merta"/>
    <x v="208"/>
    <n v="2"/>
    <s v="Koronární stenty lékové 2 (Drug Eluting Stents - DES)"/>
    <m/>
    <s v="33184500-8"/>
    <m/>
    <n v="14520000"/>
    <x v="0"/>
    <d v="2020-06-18T00:00:00"/>
    <d v="2020-08-04T00:00:00"/>
    <d v="2020-10-12T00:00:00"/>
    <s v="INLAB Medical s.r.o."/>
    <m/>
    <n v="14520000"/>
    <n v="16697999.999999998"/>
    <m/>
    <m/>
    <m/>
    <d v="2020-10-12T00:00:00"/>
    <s v="SMLN-2020-617-000469_x000a_SMLN-2020-614-000041"/>
    <x v="94"/>
    <d v="2020-12-02T00:00:00"/>
    <d v="2023-11-12T00:00:00"/>
  </r>
  <r>
    <d v="2020-05-06T00:00:00"/>
    <s v="VZ-2020-000540"/>
    <s v="ZM"/>
    <s v="Merta"/>
    <x v="208"/>
    <n v="3"/>
    <s v="Koronární stenty lékové 3 (Drug Eluting Stents - DES)"/>
    <m/>
    <s v="33184500-8"/>
    <m/>
    <n v="6525000"/>
    <x v="0"/>
    <d v="2020-06-18T00:00:00"/>
    <d v="2020-08-04T00:00:00"/>
    <d v="2020-10-12T00:00:00"/>
    <s v="VENAMA s.r.o."/>
    <m/>
    <n v="6525000"/>
    <n v="7503749.9999999991"/>
    <m/>
    <m/>
    <m/>
    <d v="2020-10-12T00:00:00"/>
    <s v="SMLN-2020-617-000470_x000a_SMLN-2020-614-000042"/>
    <x v="94"/>
    <d v="2020-12-02T00:00:00"/>
    <d v="2023-11-12T00:00:00"/>
  </r>
  <r>
    <d v="2020-05-06T00:00:00"/>
    <s v="VZ-2020-000540"/>
    <s v="ZM"/>
    <s v="Merta"/>
    <x v="208"/>
    <n v="4"/>
    <s v="Koronární stenty lékové 4 (Drug Eluting Stents - DES)"/>
    <m/>
    <s v="33184500-8"/>
    <m/>
    <n v="7260000"/>
    <x v="0"/>
    <d v="2020-06-18T00:00:00"/>
    <d v="2020-08-04T00:00:00"/>
    <d v="2020-10-12T00:00:00"/>
    <s v="Boston Scientific Česká rrepublika s.r.o."/>
    <m/>
    <n v="7260000"/>
    <n v="8348999.9999999991"/>
    <m/>
    <m/>
    <m/>
    <d v="2020-10-12T00:00:00"/>
    <s v="SMLN-2020-617-000471_x000a_SMLN-2020-614-000043"/>
    <x v="106"/>
    <d v="2020-12-02T00:00:00"/>
    <d v="2023-11-24T00:00:00"/>
  </r>
  <r>
    <d v="2020-05-06T00:00:00"/>
    <s v="VZ-2020-000540"/>
    <s v="ZM"/>
    <s v="Merta"/>
    <x v="208"/>
    <n v="5"/>
    <s v="Koronární stenty lékové 5 (Drug Eluting Stents - DES)"/>
    <m/>
    <s v="33184500-8"/>
    <m/>
    <n v="2730000"/>
    <x v="0"/>
    <d v="2020-06-18T00:00:00"/>
    <d v="2020-08-04T00:00:00"/>
    <d v="2020-10-12T00:00:00"/>
    <s v="Stimcare s.r.o."/>
    <m/>
    <n v="2724000"/>
    <n v="3132599.9999999995"/>
    <m/>
    <m/>
    <m/>
    <d v="2020-10-12T00:00:00"/>
    <s v="SMLN-2020-617-000472_x000a_SMLN-2020-614-000044"/>
    <x v="101"/>
    <d v="2020-12-02T00:00:00"/>
    <d v="2023-11-19T00:00:00"/>
  </r>
  <r>
    <d v="2020-05-06T00:00:00"/>
    <s v="VZ-2020-000540"/>
    <s v="ZM"/>
    <s v="Merta"/>
    <x v="208"/>
    <n v="6"/>
    <s v="Koronární stenty metalické (Bare Metal Stents - BMS)"/>
    <m/>
    <s v="33184500-8"/>
    <m/>
    <n v="2340000"/>
    <x v="0"/>
    <d v="2020-06-18T00:00:00"/>
    <d v="2020-08-04T00:00:00"/>
    <d v="2020-10-12T00:00:00"/>
    <s v="Cardiomedical s.r.o."/>
    <m/>
    <n v="1580000"/>
    <n v="1816999.9999999998"/>
    <m/>
    <m/>
    <m/>
    <d v="2020-10-12T00:00:00"/>
    <s v="SMLN-2020-617-000473_x000a_SMLN-2020-614-000045"/>
    <x v="94"/>
    <d v="2020-12-02T00:00:00"/>
    <d v="2023-11-12T00:00:00"/>
  </r>
  <r>
    <d v="2020-08-18T00:00:00"/>
    <s v="VZ-2020-000568"/>
    <s v="LÉK"/>
    <s v="Ondráčková"/>
    <x v="209"/>
    <n v="1"/>
    <s v="LP s obsahem pegfilgrastimu nebo lipegfilgrastimu v monoterapii s vykazovacím limitem A"/>
    <m/>
    <s v="33652000-5"/>
    <m/>
    <n v="594360"/>
    <x v="0"/>
    <d v="2020-08-20T00:00:00"/>
    <d v="2020-09-22T00:00:00"/>
    <d v="2020-10-27T00:00:00"/>
    <s v="PROMEDICA Praha Group, a.s."/>
    <m/>
    <n v="371280"/>
    <n v="408408"/>
    <m/>
    <m/>
    <m/>
    <d v="2020-10-27T00:00:00"/>
    <s v="SMLN-2020-617-000499"/>
    <x v="101"/>
    <d v="2020-11-27T00:00:00"/>
    <d v="2023-11-19T00:00:00"/>
  </r>
  <r>
    <d v="2020-08-18T00:00:00"/>
    <s v="VZ-2020-000568"/>
    <s v="LÉK"/>
    <s v="Ondráčková"/>
    <x v="209"/>
    <n v="2"/>
    <s v="LP s obsahem pegfilgrastimu nebo lipegfilgrastimu v monoterapii bez vykazovacího limitu A"/>
    <m/>
    <s v="33652000-5"/>
    <m/>
    <n v="3133507"/>
    <x v="0"/>
    <d v="2020-08-20T00:00:00"/>
    <d v="2020-09-22T00:00:00"/>
    <d v="2020-10-27T00:00:00"/>
    <s v="ViaPharma s.r.o."/>
    <m/>
    <n v="3115092.24"/>
    <n v="3426601.46"/>
    <m/>
    <m/>
    <m/>
    <d v="2020-10-27T00:00:00"/>
    <s v="SMLN-2020-617-000500"/>
    <x v="101"/>
    <d v="2020-11-27T00:00:00"/>
    <d v="2023-11-19T00:00:00"/>
  </r>
  <r>
    <d v="2020-08-18T00:00:00"/>
    <s v="VZ-2020-000568"/>
    <s v="LÉK"/>
    <s v="Ondráčková"/>
    <x v="209"/>
    <n v="3"/>
    <s v="Zarzio"/>
    <m/>
    <s v="33652000-5"/>
    <m/>
    <n v="3224802"/>
    <x v="0"/>
    <d v="2020-08-20T00:00:00"/>
    <d v="2020-09-22T00:00:00"/>
    <d v="2020-10-27T00:00:00"/>
    <s v="PROMEDICA Praha Group, a.s."/>
    <m/>
    <n v="3224804.67"/>
    <n v="3547281.84"/>
    <m/>
    <m/>
    <m/>
    <d v="2020-10-27T00:00:00"/>
    <s v="SMLN-2020-617-000501"/>
    <x v="101"/>
    <d v="2020-11-27T00:00:00"/>
    <d v="2023-11-19T00:00:00"/>
  </r>
  <r>
    <d v="2020-05-29T00:00:00"/>
    <s v="VZ-2020-000569"/>
    <s v="LÉK"/>
    <s v="Ondráčková"/>
    <x v="210"/>
    <n v="1"/>
    <s v="PEGASPARGASA "/>
    <m/>
    <s v="33652100-6"/>
    <m/>
    <n v="2725193"/>
    <x v="0"/>
    <d v="2020-06-15T00:00:00"/>
    <d v="2020-07-20T00:00:00"/>
    <d v="2020-08-06T00:00:00"/>
    <s v="PHOENIX lék.velkoobchod, s.r.o."/>
    <m/>
    <n v="2725192.8"/>
    <n v="2997712.08"/>
    <m/>
    <m/>
    <m/>
    <d v="2020-08-06T00:00:00"/>
    <s v="SMLN-2020-617-000319"/>
    <x v="99"/>
    <d v="2020-10-05T00:00:00"/>
    <d v="2023-09-22T00:00:00"/>
  </r>
  <r>
    <d v="2020-05-29T00:00:00"/>
    <s v="VZ-2020-000569"/>
    <s v="LÉK"/>
    <s v="Ondráčková"/>
    <x v="210"/>
    <n v="2"/>
    <s v="ELOTUZUMAB"/>
    <m/>
    <s v="33652100-6"/>
    <m/>
    <n v="4395618"/>
    <x v="0"/>
    <d v="2020-06-15T00:00:00"/>
    <d v="2020-07-20T00:00:00"/>
    <d v="2020-08-06T00:00:00"/>
    <s v="Bristol-Myers Squibb spol. s r.o."/>
    <m/>
    <n v="4395618"/>
    <n v="4835179.8"/>
    <m/>
    <m/>
    <m/>
    <d v="2020-08-06T00:00:00"/>
    <s v="SMLN-2020-617-000320"/>
    <x v="82"/>
    <d v="2020-10-05T00:00:00"/>
    <d v="2023-09-21T00:00:00"/>
  </r>
  <r>
    <d v="2020-05-29T00:00:00"/>
    <s v="VZ-2020-000570"/>
    <s v="LÉK"/>
    <s v="Ondráčková"/>
    <x v="211"/>
    <n v="1"/>
    <s v="Rekombinantní přípravky na prevenci a léčbu krvácení u hemofilie A, dále u nemocných hemofilií A s inhibitorem proti FVIII (titr do 5 BU) 3. a vyšší generace"/>
    <m/>
    <s v="33621000-9"/>
    <m/>
    <n v="17564332.5"/>
    <x v="0"/>
    <d v="2020-06-12T00:00:00"/>
    <d v="2020-07-14T00:00:00"/>
    <d v="2020-08-26T00:00:00"/>
    <s v="PHOENIX lék.velkoobchod, s.r.o."/>
    <m/>
    <n v="16646602.5"/>
    <n v="18311262.75"/>
    <m/>
    <m/>
    <m/>
    <d v="2020-08-26T00:00:00"/>
    <s v="SMLN-2020-617-000358"/>
    <x v="82"/>
    <d v="2020-09-30T00:00:00"/>
    <d v="2023-09-21T00:00:00"/>
  </r>
  <r>
    <d v="2020-05-29T00:00:00"/>
    <s v="VZ-2020-000570"/>
    <s v="LÉK"/>
    <s v="Ondráčková"/>
    <x v="211"/>
    <n v="2"/>
    <s v="Hemofilie A-Koagulační faktor VIII - rekombinantní s delším biologickým poločasem- pro pacienty starší 12 let"/>
    <m/>
    <s v="33621000-9"/>
    <m/>
    <n v="30240000"/>
    <x v="0"/>
    <d v="2020-06-12T00:00:00"/>
    <d v="2020-07-14T00:00:00"/>
    <d v="2020-08-26T00:00:00"/>
    <s v="PHARMOS, a.s."/>
    <m/>
    <n v="29887120"/>
    <n v="32864832"/>
    <m/>
    <m/>
    <m/>
    <d v="2020-08-26T00:00:00"/>
    <s v="SMLN-2020-617-000359"/>
    <x v="83"/>
    <d v="2020-09-30T00:00:00"/>
    <d v="2023-09-10T00:00:00"/>
  </r>
  <r>
    <d v="2020-05-29T00:00:00"/>
    <s v="VZ-2020-000570"/>
    <s v="LÉK"/>
    <s v="Ondráčková"/>
    <x v="211"/>
    <n v="3"/>
    <s v="Hemofilie A-Koagulační faktor VIII - rekombinantní s delším biologickým poločasem- pro pacienty mladší 12 let"/>
    <m/>
    <s v="33621000-9"/>
    <m/>
    <n v="5040000"/>
    <x v="0"/>
    <d v="2020-06-12T00:00:00"/>
    <d v="2020-07-14T00:00:00"/>
    <d v="2020-08-26T00:00:00"/>
    <s v="PHARMOS, a.s."/>
    <m/>
    <n v="4979520"/>
    <n v="5477472"/>
    <m/>
    <m/>
    <m/>
    <d v="2020-08-26T00:00:00"/>
    <s v="SMLN-2020-617-000360"/>
    <x v="83"/>
    <d v="2020-09-30T00:00:00"/>
    <d v="2023-09-10T00:00:00"/>
  </r>
  <r>
    <d v="2020-05-29T00:00:00"/>
    <s v="VZ-2020-000571"/>
    <s v="LÉK"/>
    <s v="Ondráčková"/>
    <x v="212"/>
    <n v="1"/>
    <s v="Octanate"/>
    <m/>
    <s v="33621000-9"/>
    <m/>
    <n v="2838938"/>
    <x v="0"/>
    <d v="2020-06-19T00:00:00"/>
    <d v="2020-07-23T00:00:00"/>
    <d v="2020-08-18T00:00:00"/>
    <s v="PHOENIX lék.velkoobchod, s.r.o."/>
    <m/>
    <n v="2811375"/>
    <n v="3092512.5"/>
    <m/>
    <m/>
    <m/>
    <d v="2020-08-18T00:00:00"/>
    <s v="SMLN-2020-617-000336"/>
    <x v="82"/>
    <d v="2020-09-25T00:00:00"/>
    <d v="2023-09-21T00:00:00"/>
  </r>
  <r>
    <d v="2020-05-29T00:00:00"/>
    <s v="VZ-2020-000571"/>
    <s v="LÉK"/>
    <s v="Ondráčková"/>
    <x v="212"/>
    <n v="2"/>
    <s v="Advate"/>
    <m/>
    <s v="33621000-9"/>
    <m/>
    <n v="12399645"/>
    <x v="0"/>
    <d v="2020-06-19T00:00:00"/>
    <d v="2020-07-23T00:00:00"/>
    <d v="2020-08-18T00:00:00"/>
    <s v="Takeda Pharmaceuticals Czech Republic s.r.o."/>
    <m/>
    <n v="12057256.5"/>
    <n v="13262982.15"/>
    <m/>
    <m/>
    <m/>
    <d v="2020-08-18T00:00:00"/>
    <s v="SMLN-2020-617-000337"/>
    <x v="83"/>
    <d v="2020-09-25T00:00:00"/>
    <d v="2023-09-10T00:00:00"/>
  </r>
  <r>
    <d v="2020-05-29T00:00:00"/>
    <s v="VZ-2020-000571"/>
    <s v="LÉK"/>
    <s v="Ondráčková"/>
    <x v="212"/>
    <n v="3"/>
    <s v="Nuwiq "/>
    <m/>
    <s v="33621000-9"/>
    <m/>
    <n v="339249"/>
    <x v="0"/>
    <d v="2020-06-19T00:00:00"/>
    <d v="2020-07-23T00:00:00"/>
    <d v="2020-08-18T00:00:00"/>
    <s v="PHOENIX lék.velkoobchod, s.r.o."/>
    <m/>
    <n v="338916"/>
    <n v="372807.6"/>
    <m/>
    <m/>
    <m/>
    <d v="2020-08-18T00:00:00"/>
    <s v="SMLN-2020-617-000338"/>
    <x v="82"/>
    <d v="2020-09-25T00:00:00"/>
    <d v="2023-09-21T00:00:00"/>
  </r>
  <r>
    <d v="2020-05-29T00:00:00"/>
    <s v="VZ-2020-000571"/>
    <s v="LÉK"/>
    <s v="Ondráčková"/>
    <x v="212"/>
    <n v="4"/>
    <s v="ELOCTA "/>
    <m/>
    <s v="33621000-9"/>
    <m/>
    <n v="1484453"/>
    <x v="0"/>
    <d v="2020-06-19T00:00:00"/>
    <d v="2020-07-23T00:00:00"/>
    <d v="2020-08-18T00:00:00"/>
    <s v="PHARMOS, a.s."/>
    <m/>
    <n v="1444950"/>
    <n v="1589445"/>
    <m/>
    <m/>
    <m/>
    <d v="2020-08-18T00:00:00"/>
    <s v="SMLN-2020-617-000339"/>
    <x v="83"/>
    <d v="2020-09-25T00:00:00"/>
    <d v="2023-09-10T00:00:00"/>
  </r>
  <r>
    <d v="2020-05-29T00:00:00"/>
    <s v="VZ-2020-000571"/>
    <s v="LÉK"/>
    <s v="Ondráčková"/>
    <x v="212"/>
    <n v="5"/>
    <s v="Novoeight "/>
    <m/>
    <s v="33621000-9"/>
    <m/>
    <n v="6326727"/>
    <x v="0"/>
    <d v="2020-06-19T00:00:00"/>
    <d v="2020-07-23T00:00:00"/>
    <d v="2020-08-18T00:00:00"/>
    <s v="Alliance Healthcare s.r.o."/>
    <m/>
    <n v="6326726.9400000004"/>
    <n v="6959399.6299999999"/>
    <m/>
    <m/>
    <m/>
    <d v="2020-08-18T00:00:00"/>
    <s v="SMLN-2020-617-000340"/>
    <x v="83"/>
    <d v="2020-09-25T00:00:00"/>
    <d v="2023-09-10T00:00:00"/>
  </r>
  <r>
    <d v="2020-05-29T00:00:00"/>
    <s v="VZ-2020-000571"/>
    <s v="LÉK"/>
    <s v="Ondráčková"/>
    <x v="212"/>
    <n v="6"/>
    <s v="Adynovi"/>
    <m/>
    <s v="33621000-9"/>
    <m/>
    <n v="3093238"/>
    <x v="0"/>
    <d v="2020-06-19T00:00:00"/>
    <d v="2020-07-23T00:00:00"/>
    <d v="2020-08-18T00:00:00"/>
    <s v="Takeda Pharmaceuticals Czech Republic s.r.o."/>
    <m/>
    <n v="3093236.88"/>
    <n v="3402560.57"/>
    <m/>
    <m/>
    <m/>
    <d v="2020-08-18T00:00:00"/>
    <s v="SMLN-2020-617-000341"/>
    <x v="83"/>
    <d v="2020-09-25T00:00:00"/>
    <d v="2023-09-10T00:00:00"/>
  </r>
  <r>
    <d v="2020-05-27T00:00:00"/>
    <s v="VZ-2020-000573"/>
    <s v="OSB"/>
    <s v="Vaida"/>
    <x v="213"/>
    <m/>
    <m/>
    <m/>
    <s v="45331100-7"/>
    <m/>
    <n v="500000"/>
    <x v="2"/>
    <d v="2020-06-08T00:00:00"/>
    <d v="2020-06-19T00:00:00"/>
    <d v="2020-06-25T00:00:00"/>
    <s v="MIZ Olomouc s.r.o."/>
    <m/>
    <n v="499720.33"/>
    <n v="604661.6"/>
    <m/>
    <m/>
    <m/>
    <d v="2020-06-25T00:00:00"/>
    <s v="SMLN-2020-618-000047"/>
    <x v="88"/>
    <d v="2020-07-14T00:00:00"/>
    <d v="2020-09-08T00:00:00"/>
  </r>
  <r>
    <d v="2020-05-27T00:00:00"/>
    <s v="VZ-2020-000574"/>
    <s v="ZM"/>
    <s v="Dočkalová"/>
    <x v="214"/>
    <m/>
    <m/>
    <m/>
    <s v="33140000-3"/>
    <m/>
    <n v="1669448"/>
    <x v="2"/>
    <d v="2020-06-10T00:00:00"/>
    <d v="2020-06-23T00:00:00"/>
    <m/>
    <s v="zrušeno - úprava zadávací dokumentace"/>
    <s v="nová VZ-2020-000927"/>
    <m/>
    <m/>
    <m/>
    <m/>
    <m/>
    <m/>
    <m/>
    <x v="0"/>
    <d v="2020-06-15T00:00:00"/>
    <m/>
  </r>
  <r>
    <d v="2020-06-02T00:00:00"/>
    <s v="VZ-2020-000578"/>
    <s v="INF"/>
    <s v="Oravec"/>
    <x v="215"/>
    <m/>
    <m/>
    <m/>
    <s v="32524000-2"/>
    <m/>
    <n v="330000"/>
    <x v="2"/>
    <d v="2020-06-11T00:00:00"/>
    <d v="2020-06-23T00:00:00"/>
    <d v="2020-06-26T00:00:00"/>
    <s v="Eriserv, spol. s r.o."/>
    <m/>
    <n v="258000"/>
    <n v="312180"/>
    <m/>
    <m/>
    <m/>
    <d v="2020-06-26T00:00:00"/>
    <s v="SMLN-2020-617-000268"/>
    <x v="70"/>
    <d v="2020-07-21T00:00:00"/>
    <d v="2020-08-19T00:00:00"/>
  </r>
  <r>
    <d v="2020-06-04T00:00:00"/>
    <s v="VZ-2020-000583"/>
    <s v="ZT"/>
    <s v="Rosulek"/>
    <x v="216"/>
    <n v="1"/>
    <s v="Polohovatelná křesla pro odběry"/>
    <m/>
    <s v="33192210-7"/>
    <s v="2.2.144, 2.2.251"/>
    <n v="385000"/>
    <x v="2"/>
    <d v="2020-06-15T00:00:00"/>
    <d v="2020-06-30T00:00:00"/>
    <m/>
    <s v="zrušeno "/>
    <s v="nová VZ-2020-000882"/>
    <m/>
    <m/>
    <m/>
    <m/>
    <m/>
    <m/>
    <m/>
    <x v="0"/>
    <d v="2020-08-13T00:00:00"/>
    <m/>
  </r>
  <r>
    <d v="2020-06-04T00:00:00"/>
    <s v="VZ-2020-000583"/>
    <s v="ZT"/>
    <s v="Rosulek"/>
    <x v="216"/>
    <n v="2"/>
    <s v="Elektricky polohovatelná křesla pro stacionář HOK"/>
    <m/>
    <s v="33192210-7"/>
    <s v="2.2.250"/>
    <n v="1610000"/>
    <x v="2"/>
    <d v="2020-06-15T00:00:00"/>
    <d v="2020-06-30T00:00:00"/>
    <m/>
    <s v="zrušeno"/>
    <s v="nová VZ-2020-000882"/>
    <m/>
    <m/>
    <m/>
    <m/>
    <m/>
    <m/>
    <m/>
    <x v="0"/>
    <d v="2020-08-13T00:00:00"/>
    <m/>
  </r>
  <r>
    <d v="2020-06-08T00:00:00"/>
    <s v="VZ-2020-000597"/>
    <s v="INF"/>
    <s v="Oravec"/>
    <x v="217"/>
    <m/>
    <m/>
    <m/>
    <s v="72261000-2"/>
    <m/>
    <n v="1682752"/>
    <x v="2"/>
    <d v="2020-06-16T00:00:00"/>
    <d v="2020-06-25T00:00:00"/>
    <m/>
    <s v="zrušeno - bez nabídky"/>
    <s v="nová VZ-2020-000687"/>
    <m/>
    <m/>
    <m/>
    <m/>
    <m/>
    <m/>
    <m/>
    <x v="0"/>
    <d v="2020-06-26T00:00:00"/>
    <m/>
  </r>
  <r>
    <d v="2020-06-09T00:00:00"/>
    <s v="VZ-2020-000598"/>
    <s v="ZM"/>
    <s v="Dočkalová"/>
    <x v="218"/>
    <m/>
    <m/>
    <m/>
    <s v="33140000-3"/>
    <m/>
    <n v="672000"/>
    <x v="2"/>
    <d v="2020-08-07T00:00:00"/>
    <d v="2020-08-26T00:00:00"/>
    <m/>
    <s v="zrušeno - neekonomická nabídka"/>
    <s v="nová VZ-2020-000910"/>
    <m/>
    <m/>
    <m/>
    <m/>
    <m/>
    <m/>
    <m/>
    <x v="0"/>
    <d v="2020-08-27T00:00:00"/>
    <m/>
  </r>
  <r>
    <s v="opakovaná VZ"/>
    <s v="VZ-2020-000599"/>
    <s v="EKOLOG"/>
    <s v="Svozil"/>
    <x v="219"/>
    <m/>
    <m/>
    <m/>
    <s v="45233200-1"/>
    <s v="4.3.8."/>
    <n v="3000000"/>
    <x v="2"/>
    <d v="2020-06-18T00:00:00"/>
    <d v="2020-06-30T00:00:00"/>
    <d v="2020-07-20T00:00:00"/>
    <s v="Navláčil stavební firma s.r.o."/>
    <m/>
    <n v="3022009.08"/>
    <n v="3656630.99"/>
    <m/>
    <m/>
    <m/>
    <d v="2020-07-20T00:00:00"/>
    <s v="SMLN-2020-618-000051"/>
    <x v="107"/>
    <d v="2020-09-08T00:00:00"/>
    <d v="2021-01-22T00:00:00"/>
  </r>
  <r>
    <s v="opakovaná VZ"/>
    <s v="VZ-2020-000604"/>
    <s v="REACT"/>
    <s v="Rosulek"/>
    <x v="220"/>
    <m/>
    <m/>
    <m/>
    <s v="33161000-6"/>
    <s v="2.2.234, 2.3.370"/>
    <n v="1730000"/>
    <x v="0"/>
    <d v="2020-06-18T00:00:00"/>
    <d v="2020-07-20T00:00:00"/>
    <d v="2020-09-23T00:00:00"/>
    <s v="Stargen EU s.r.o."/>
    <m/>
    <n v="1705433"/>
    <n v="2063573.92"/>
    <m/>
    <m/>
    <m/>
    <d v="2020-09-23T00:00:00"/>
    <s v="SMLN-2020-617-000437_x000a_SMLN-2020-612-000095"/>
    <x v="108"/>
    <d v="2020-11-02T00:00:00"/>
    <d v="2020-12-07T00:00:00"/>
  </r>
  <r>
    <d v="2020-06-01T00:00:00"/>
    <s v="VZ-2020-000612"/>
    <s v="ZM"/>
    <s v="Dočkalová"/>
    <x v="221"/>
    <n v="1"/>
    <s v="14.5. Stengrafty aortální hrudní - proximální část"/>
    <m/>
    <s v="33140000-3 "/>
    <m/>
    <n v="1377288"/>
    <x v="0"/>
    <d v="2020-06-22T00:00:00"/>
    <d v="2020-08-06T00:00:00"/>
    <d v="2020-09-10T00:00:00"/>
    <s v="ARID obchodní společnost, s.r.o."/>
    <m/>
    <n v="1548000"/>
    <n v="1780199.9999999998"/>
    <m/>
    <m/>
    <m/>
    <d v="2020-09-10T00:00:00"/>
    <s v="SMLN-2020-617-000394_x000a_SMLN-2020-614-000026"/>
    <x v="109"/>
    <d v="2020-10-06T00:00:00"/>
    <d v="2022-09-30T00:00:00"/>
  </r>
  <r>
    <d v="2020-06-01T00:00:00"/>
    <s v="VZ-2020-000612"/>
    <s v="ZM"/>
    <s v="Dočkalová"/>
    <x v="221"/>
    <n v="2"/>
    <s v="14.8. Stengrafty aortální bifurkační břišní I."/>
    <m/>
    <s v="33140000-3 "/>
    <m/>
    <n v="2250090"/>
    <x v="0"/>
    <d v="2020-06-22T00:00:00"/>
    <d v="2020-08-06T00:00:00"/>
    <d v="2020-09-10T00:00:00"/>
    <s v="ARID obchodní společnost, s.r.o."/>
    <m/>
    <n v="3151000"/>
    <n v="3623649.9999999995"/>
    <m/>
    <m/>
    <m/>
    <d v="2020-09-10T00:00:00"/>
    <s v="SMLN-2020-617-000395_x000a_SMLN-2020-614-000027"/>
    <x v="109"/>
    <d v="2020-10-06T00:00:00"/>
    <d v="2022-09-30T00:00:00"/>
  </r>
  <r>
    <d v="2020-06-01T00:00:00"/>
    <s v="VZ-2020-000612"/>
    <s v="ZM"/>
    <s v="Dočkalová"/>
    <x v="221"/>
    <n v="3"/>
    <s v="14.9. Stengrafty tubulární do kompletu k tělu bifurkačního břišního aortálního stengraftu, extenzivní pro pravou a levou nožičku"/>
    <m/>
    <s v="33140000-3 "/>
    <m/>
    <n v="5588250"/>
    <x v="0"/>
    <d v="2020-06-22T00:00:00"/>
    <d v="2020-08-06T00:00:00"/>
    <d v="2020-09-10T00:00:00"/>
    <s v="ARID obchodní společnost, s.r.o."/>
    <m/>
    <n v="6798000"/>
    <n v="7817699.9999999991"/>
    <m/>
    <m/>
    <m/>
    <d v="2020-09-10T00:00:00"/>
    <s v="SMLN-2020-617-000396_x000a_SMLN-2020-614-000028"/>
    <x v="109"/>
    <d v="2020-10-06T00:00:00"/>
    <d v="2022-09-30T00:00:00"/>
  </r>
  <r>
    <d v="2020-06-01T00:00:00"/>
    <s v="VZ-2020-000612"/>
    <s v="ZM"/>
    <s v="Dočkalová"/>
    <x v="221"/>
    <n v="4"/>
    <s v="14.10. Stengrafty aortální bifurkační břišní II."/>
    <m/>
    <s v="33140000-3 "/>
    <m/>
    <n v="320000"/>
    <x v="0"/>
    <d v="2020-06-22T00:00:00"/>
    <d v="2020-08-06T00:00:00"/>
    <d v="2020-09-10T00:00:00"/>
    <s v="ARID obchodní společnost, s.r.o."/>
    <m/>
    <n v="254000"/>
    <n v="292100"/>
    <m/>
    <m/>
    <m/>
    <d v="2020-09-10T00:00:00"/>
    <s v="SMLN-2020-617-000397_x000a_SMLN-2020-614-000029"/>
    <x v="109"/>
    <d v="2020-10-06T00:00:00"/>
    <d v="2022-09-30T00:00:00"/>
  </r>
  <r>
    <d v="2020-06-01T00:00:00"/>
    <s v="VZ-2020-000612"/>
    <s v="ZM"/>
    <s v="Dočkalová"/>
    <x v="221"/>
    <n v="5"/>
    <s v="14.15. Stengrafty vaskulární aortální thorako-abdominální pro endovaskulární reparaci thorako-abdominálního aneuryzmatu"/>
    <m/>
    <s v="33140000-3 "/>
    <m/>
    <n v="1367416"/>
    <x v="0"/>
    <d v="2020-06-22T00:00:00"/>
    <d v="2020-08-06T00:00:00"/>
    <d v="2020-09-10T00:00:00"/>
    <s v="ARID obchodní společnost, s.r.o."/>
    <m/>
    <n v="3028400"/>
    <n v="3482659.9999999995"/>
    <m/>
    <m/>
    <m/>
    <d v="2020-09-10T00:00:00"/>
    <s v="SMLN-2020-617-000398_x000a_SMLN-2020-614-000030"/>
    <x v="109"/>
    <d v="2020-10-06T00:00:00"/>
    <d v="2022-09-30T00:00:00"/>
  </r>
  <r>
    <d v="2020-06-10T00:00:00"/>
    <s v="VZ-2020-000614"/>
    <s v="ENERG"/>
    <s v="Eyer"/>
    <x v="222"/>
    <m/>
    <m/>
    <m/>
    <s v="45232221-7"/>
    <s v="4.3.10."/>
    <n v="2900000"/>
    <x v="2"/>
    <d v="2020-06-19T00:00:00"/>
    <d v="2020-07-02T00:00:00"/>
    <d v="2020-07-14T00:00:00"/>
    <s v="ELPREMO s.r.o."/>
    <m/>
    <n v="1967359.4"/>
    <n v="2380504.87"/>
    <m/>
    <m/>
    <m/>
    <d v="2020-07-14T00:00:00"/>
    <s v="SMLN-2020-618-000050"/>
    <x v="61"/>
    <d v="2020-08-11T00:00:00"/>
    <d v="2020-11-20T00:00:00"/>
  </r>
  <r>
    <d v="2020-06-11T00:00:00"/>
    <s v="VZ-2020-000616"/>
    <s v="ZM"/>
    <s v="Merta"/>
    <x v="223"/>
    <n v="1"/>
    <s v="Srdeční aortální chlopně mechanické s kavitálním pivotem"/>
    <m/>
    <s v="33182220-7"/>
    <m/>
    <n v="1350000"/>
    <x v="0"/>
    <d v="2020-08-14T00:00:00"/>
    <d v="2020-10-02T00:00:00"/>
    <d v="2020-10-16T00:00:00"/>
    <s v="Cardion s.r.o."/>
    <m/>
    <n v="1350000"/>
    <n v="1552500"/>
    <m/>
    <m/>
    <m/>
    <d v="2020-10-16T00:00:00"/>
    <s v="SMLN-2020-617-000481_x000a_SMLN-2020-614-000046"/>
    <x v="110"/>
    <d v="2020-11-24T00:00:00"/>
    <d v="2023-11-10T00:00:00"/>
  </r>
  <r>
    <d v="2020-06-11T00:00:00"/>
    <s v="VZ-2020-000616"/>
    <s v="ZM"/>
    <s v="Merta"/>
    <x v="223"/>
    <n v="2"/>
    <s v="Srdeční aortální chlopně mechanické pro nižší hladinu antikoagulace (INR 1,5-2)"/>
    <m/>
    <s v="33182220-7"/>
    <m/>
    <n v="225650"/>
    <x v="0"/>
    <d v="2020-08-14T00:00:00"/>
    <d v="2020-10-02T00:00:00"/>
    <d v="2020-10-16T00:00:00"/>
    <s v="Meditrade spol.s  r.o."/>
    <m/>
    <n v="225650"/>
    <n v="259497.5"/>
    <m/>
    <m/>
    <m/>
    <d v="2020-10-16T00:00:00"/>
    <s v="SMLN-2020-617-000482_x000a_SMLN-2020-614-000047"/>
    <x v="104"/>
    <d v="2020-11-24T00:00:00"/>
    <d v="2023-11-15T00:00:00"/>
  </r>
  <r>
    <d v="2020-06-11T00:00:00"/>
    <s v="VZ-2020-000616"/>
    <s v="ZM"/>
    <s v="Merta"/>
    <x v="223"/>
    <n v="3"/>
    <s v="Srdeční mitrální chlopně mechanické"/>
    <m/>
    <s v="33182220-7"/>
    <m/>
    <n v="580000"/>
    <x v="0"/>
    <d v="2020-08-14T00:00:00"/>
    <d v="2020-10-02T00:00:00"/>
    <d v="2020-10-16T00:00:00"/>
    <s v="Cardion s.r.o."/>
    <m/>
    <n v="580000"/>
    <n v="667000"/>
    <m/>
    <m/>
    <m/>
    <d v="2020-10-16T00:00:00"/>
    <s v="SMLN-2020-617-000483_x000a_SMLN-2020-614-000048"/>
    <x v="110"/>
    <d v="2020-11-24T00:00:00"/>
    <d v="2023-11-10T00:00:00"/>
  </r>
  <r>
    <d v="2020-06-11T00:00:00"/>
    <s v="VZ-2020-000616"/>
    <s v="ZM"/>
    <s v="Merta"/>
    <x v="223"/>
    <n v="4"/>
    <s v="Srdeční aortální chlopně biologické perikardiální do těsných anulů"/>
    <m/>
    <s v="33182220-7"/>
    <m/>
    <n v="15840000"/>
    <x v="0"/>
    <d v="2020-08-14T00:00:00"/>
    <d v="2020-10-02T00:00:00"/>
    <d v="2020-10-16T00:00:00"/>
    <s v="Cardion s.r.o."/>
    <m/>
    <n v="15840000"/>
    <n v="18216000"/>
    <m/>
    <m/>
    <m/>
    <d v="2020-10-16T00:00:00"/>
    <s v="SMLN-2020-617-000484_x000a_SMLN-2020-614-000049"/>
    <x v="110"/>
    <d v="2020-11-24T00:00:00"/>
    <d v="2023-11-10T00:00:00"/>
  </r>
  <r>
    <d v="2020-06-11T00:00:00"/>
    <s v="VZ-2020-000616"/>
    <s v="ZM"/>
    <s v="Merta"/>
    <x v="223"/>
    <n v="5"/>
    <s v="Srdeční aortální chlopně biologické perikardiální do větších anulů"/>
    <m/>
    <s v="33182220-7"/>
    <m/>
    <n v="2542500"/>
    <x v="0"/>
    <d v="2020-08-14T00:00:00"/>
    <d v="2020-10-02T00:00:00"/>
    <d v="2020-10-16T00:00:00"/>
    <s v="Edwards Lifesciences Czech Republic s.r.o."/>
    <m/>
    <n v="2922750"/>
    <n v="3361162.5"/>
    <m/>
    <m/>
    <m/>
    <d v="2020-10-16T00:00:00"/>
    <s v="SMLN-2020-617-000485_x000a_SMLN-2020-614-000050"/>
    <x v="110"/>
    <d v="2020-11-24T00:00:00"/>
    <d v="2023-11-10T00:00:00"/>
  </r>
  <r>
    <d v="2020-06-11T00:00:00"/>
    <s v="VZ-2020-000616"/>
    <s v="ZM"/>
    <s v="Merta"/>
    <x v="223"/>
    <n v="6"/>
    <s v="Srdeční aortální chlopně biologické perikardiální do větších anulů s dlouhodobou životností"/>
    <m/>
    <s v="33182220-7"/>
    <m/>
    <n v="3584000"/>
    <x v="0"/>
    <d v="2020-08-14T00:00:00"/>
    <d v="2020-10-02T00:00:00"/>
    <d v="2020-10-16T00:00:00"/>
    <s v="Edwards Lifesciences Czech Republic s.r.o."/>
    <m/>
    <n v="3584000"/>
    <n v="4121600"/>
    <m/>
    <m/>
    <m/>
    <d v="2020-10-16T00:00:00"/>
    <s v="SMLN-2020-617-000486_x000a_SMLN-2020-614-000051"/>
    <x v="110"/>
    <d v="2020-11-24T00:00:00"/>
    <d v="2023-11-10T00:00:00"/>
  </r>
  <r>
    <d v="2020-06-11T00:00:00"/>
    <s v="VZ-2020-000616"/>
    <s v="ZM"/>
    <s v="Merta"/>
    <x v="223"/>
    <n v="7"/>
    <s v="Srdeční mitrální chlopně biologické prasečí"/>
    <m/>
    <s v="33182220-7"/>
    <m/>
    <n v="1540000"/>
    <x v="0"/>
    <d v="2020-08-14T00:00:00"/>
    <d v="2020-10-02T00:00:00"/>
    <d v="2020-10-16T00:00:00"/>
    <s v="Cardion s.r.o."/>
    <m/>
    <n v="1540000"/>
    <n v="1771000"/>
    <m/>
    <m/>
    <m/>
    <d v="2020-10-16T00:00:00"/>
    <s v="SMLN-2020-617-000487_x000a_SMLN-2020-614-000052"/>
    <x v="110"/>
    <d v="2020-11-24T00:00:00"/>
    <d v="2023-11-10T00:00:00"/>
  </r>
  <r>
    <d v="2020-06-11T00:00:00"/>
    <s v="VZ-2020-000616"/>
    <s v="ZM"/>
    <s v="Merta"/>
    <x v="223"/>
    <n v="8"/>
    <s v="Anuloplastické prstence Semirigidní mitrální velikosti 24 – 40 mm"/>
    <m/>
    <s v="33182220-7"/>
    <m/>
    <n v="824400"/>
    <x v="0"/>
    <d v="2020-08-14T00:00:00"/>
    <d v="2020-10-02T00:00:00"/>
    <d v="2020-10-16T00:00:00"/>
    <s v="Edwards Lifesciences Czech Republic s.r.o."/>
    <m/>
    <n v="824400"/>
    <n v="948060"/>
    <m/>
    <m/>
    <m/>
    <d v="2020-10-16T00:00:00"/>
    <s v="SMLN-2020-617-000488_x000a_SMLN-2020-614-000053"/>
    <x v="110"/>
    <d v="2020-11-24T00:00:00"/>
    <d v="2023-11-10T00:00:00"/>
  </r>
  <r>
    <d v="2020-06-11T00:00:00"/>
    <s v="VZ-2020-000616"/>
    <s v="ZM"/>
    <s v="Merta"/>
    <x v="223"/>
    <n v="9"/>
    <s v="Anuloplastické prstence semirigidní trikuspidální velikosti 26-36 mm "/>
    <m/>
    <s v="33182220-7"/>
    <m/>
    <n v="1018650"/>
    <x v="0"/>
    <d v="2020-08-14T00:00:00"/>
    <d v="2020-10-02T00:00:00"/>
    <d v="2020-10-16T00:00:00"/>
    <s v="Edwards Lifesciences Czech Republic s.r.o."/>
    <m/>
    <n v="1018650"/>
    <n v="1171447.5"/>
    <m/>
    <m/>
    <m/>
    <d v="2020-10-16T00:00:00"/>
    <s v="SMLN-2020-617-000489_x000a_SMLN-2020-614-000054"/>
    <x v="110"/>
    <d v="2020-11-24T00:00:00"/>
    <d v="2023-11-10T00:00:00"/>
  </r>
  <r>
    <d v="2020-06-11T00:00:00"/>
    <s v="VZ-2020-000616"/>
    <s v="ZM"/>
    <s v="Merta"/>
    <x v="223"/>
    <n v="10"/>
    <s v="Srdeční aortální chlopně biologické perikardiální pro mladší pacienty, přizpůsobené pro budoucí „valve-in-valve“ implantaci"/>
    <m/>
    <s v="33182220-7"/>
    <m/>
    <n v="2592000"/>
    <x v="0"/>
    <d v="2020-08-14T00:00:00"/>
    <d v="2020-10-02T00:00:00"/>
    <d v="2020-10-16T00:00:00"/>
    <s v="Edwards Lifesciences Czech Republic s.r.o."/>
    <m/>
    <n v="2592000"/>
    <n v="2980800"/>
    <m/>
    <m/>
    <m/>
    <d v="2020-10-16T00:00:00"/>
    <s v="SMLN-2020-617-000490_x000a_SMLN-2020-614-000055"/>
    <x v="110"/>
    <d v="2020-11-24T00:00:00"/>
    <d v="2023-11-10T00:00:00"/>
  </r>
  <r>
    <s v="opakovaná VZ"/>
    <s v="VZ-2020-000623"/>
    <s v="ZM"/>
    <s v="Dočkalová"/>
    <x v="224"/>
    <m/>
    <m/>
    <m/>
    <s v="33140000-3"/>
    <m/>
    <n v="1493100"/>
    <x v="2"/>
    <d v="2020-07-01T00:00:00"/>
    <d v="2020-07-10T00:00:00"/>
    <d v="2020-08-04T00:00:00"/>
    <s v="EUROMEDICAL spol. s r.o."/>
    <m/>
    <n v="1650972.4"/>
    <n v="1997646"/>
    <m/>
    <m/>
    <m/>
    <d v="2020-08-04T00:00:00"/>
    <s v="SMLN-2020-617-000308"/>
    <x v="103"/>
    <d v="2020-09-23T00:00:00"/>
    <d v="2022-09-15T00:00:00"/>
  </r>
  <r>
    <d v="2020-06-12T00:00:00"/>
    <s v="VZ-2020-000624"/>
    <s v="KRIZ"/>
    <s v="Kohoutová"/>
    <x v="225"/>
    <n v="1"/>
    <s v="Analýza hrozeb a školící činnost v oblasti bezpečnosti FNOL"/>
    <m/>
    <s v="80610000-3"/>
    <m/>
    <n v="429752"/>
    <x v="2"/>
    <d v="2020-06-19T00:00:00"/>
    <d v="2020-06-30T00:00:00"/>
    <d v="2020-07-20T00:00:00"/>
    <s v="DOVERVILLE s.r.o."/>
    <m/>
    <n v="341000"/>
    <n v="412610"/>
    <m/>
    <m/>
    <m/>
    <d v="2020-07-20T00:00:00"/>
    <s v="SMLN-2020-612-000054"/>
    <x v="111"/>
    <d v="2020-07-23T00:00:00"/>
    <d v="2020-12-31T00:00:00"/>
  </r>
  <r>
    <d v="2020-06-12T00:00:00"/>
    <s v="VZ-2020-000624"/>
    <s v="KRIZ"/>
    <s v="Kohoutová"/>
    <x v="225"/>
    <n v="2"/>
    <s v="Analýza hrozeb a školící činnost v oblasti bezpečnosti FNOL - KZL"/>
    <m/>
    <s v="80610000-3"/>
    <m/>
    <n v="107438"/>
    <x v="2"/>
    <d v="2020-06-19T00:00:00"/>
    <d v="2020-06-30T00:00:00"/>
    <d v="2020-07-20T00:00:00"/>
    <s v="Centrum akademických a vzdělávacích služeb a.s."/>
    <m/>
    <n v="80000"/>
    <n v="96800"/>
    <m/>
    <m/>
    <m/>
    <d v="2020-07-20T00:00:00"/>
    <s v="SMLN-2020-612-000055"/>
    <x v="111"/>
    <d v="2020-07-23T00:00:00"/>
    <d v="2020-12-31T00:00:00"/>
  </r>
  <r>
    <d v="2020-06-09T00:00:00"/>
    <s v="VZ-2020-000630"/>
    <s v="ZT"/>
    <s v="Zemánek"/>
    <x v="226"/>
    <m/>
    <m/>
    <m/>
    <s v="33162100-4"/>
    <m/>
    <n v="4000000"/>
    <x v="0"/>
    <d v="2020-06-26T00:00:00"/>
    <d v="2020-07-29T00:00:00"/>
    <d v="2020-09-14T00:00:00"/>
    <s v="medisap, s.r.o."/>
    <m/>
    <n v="3599990"/>
    <n v="4355987.9000000004"/>
    <m/>
    <m/>
    <m/>
    <d v="2020-09-14T00:00:00"/>
    <s v="SMLN-2020-617-000407_x000a_SMLN-2020-612-000089"/>
    <x v="112"/>
    <d v="2020-10-22T00:00:00"/>
    <d v="2020-12-23T00:00:00"/>
  </r>
  <r>
    <d v="2020-06-15T00:00:00"/>
    <s v="VZ-2020-000633"/>
    <s v="LÉK"/>
    <s v="Ondráčková"/>
    <x v="227"/>
    <m/>
    <m/>
    <m/>
    <s v="33616000-1"/>
    <m/>
    <n v="1496880"/>
    <x v="2"/>
    <d v="2020-07-07T00:00:00"/>
    <d v="2020-07-17T00:00:00"/>
    <d v="2020-08-04T00:00:00"/>
    <s v="Maxpharma servis s.r.o."/>
    <m/>
    <n v="1496880"/>
    <n v="1721412"/>
    <m/>
    <m/>
    <m/>
    <d v="2020-08-04T00:00:00"/>
    <s v="SMLN-2020-617-000310"/>
    <x v="83"/>
    <d v="2020-09-16T00:00:00"/>
    <d v="2023-09-10T00:00:00"/>
  </r>
  <r>
    <d v="2020-06-15T00:00:00"/>
    <s v="VZ-2020-000634"/>
    <s v="LÉK"/>
    <s v="Ondráčková"/>
    <x v="228"/>
    <n v="1"/>
    <s v="BOTOX"/>
    <m/>
    <s v="33632200-1"/>
    <m/>
    <n v="3312000"/>
    <x v="0"/>
    <d v="2020-06-18T00:00:00"/>
    <d v="2020-07-20T00:00:00"/>
    <m/>
    <s v="zrušeno - špatné zadání"/>
    <s v="nová VZ-2020-000815"/>
    <m/>
    <m/>
    <m/>
    <m/>
    <m/>
    <m/>
    <m/>
    <x v="0"/>
    <d v="2020-07-13T00:00:00"/>
    <s v="10.7.2020 zrušeno"/>
  </r>
  <r>
    <d v="2020-06-15T00:00:00"/>
    <s v="VZ-2020-000634"/>
    <s v="LÉK"/>
    <s v="Ondráčková"/>
    <x v="228"/>
    <n v="2"/>
    <s v="DYSPORT"/>
    <m/>
    <s v="33632200-1"/>
    <m/>
    <n v="7564413"/>
    <x v="0"/>
    <d v="2020-06-18T00:00:00"/>
    <d v="2020-07-20T00:00:00"/>
    <m/>
    <s v="zrušeno - špatné zadání"/>
    <s v="nová VZ-2020-000815"/>
    <m/>
    <m/>
    <m/>
    <m/>
    <m/>
    <m/>
    <m/>
    <x v="0"/>
    <d v="2020-07-13T00:00:00"/>
    <s v="10.7.2020 zrušeno"/>
  </r>
  <r>
    <d v="2020-06-15T00:00:00"/>
    <s v="VZ-2020-000634"/>
    <s v="LÉK"/>
    <s v="Ondráčková"/>
    <x v="228"/>
    <n v="3"/>
    <s v="XEOMIN"/>
    <m/>
    <s v="33632200-1"/>
    <m/>
    <n v="9316800"/>
    <x v="0"/>
    <d v="2020-06-18T00:00:00"/>
    <d v="2020-07-20T00:00:00"/>
    <m/>
    <s v="zrušeno - špatné zadání"/>
    <s v="nová VZ-2020-000815"/>
    <m/>
    <m/>
    <m/>
    <m/>
    <m/>
    <m/>
    <m/>
    <x v="0"/>
    <d v="2020-07-13T00:00:00"/>
    <s v="10.7.2020 zrušeno"/>
  </r>
  <r>
    <d v="2020-06-15T00:00:00"/>
    <s v="VZ-2020-000635"/>
    <s v="LÉK"/>
    <s v="Ondráčková"/>
    <x v="229"/>
    <n v="1"/>
    <s v="OKTREOTID"/>
    <m/>
    <s v="33642100-3"/>
    <m/>
    <n v="1173750"/>
    <x v="0"/>
    <d v="2020-06-22T00:00:00"/>
    <d v="2020-07-27T00:00:00"/>
    <d v="2020-08-26T00:00:00"/>
    <s v="Alliance Healthcare s.r.o."/>
    <m/>
    <n v="1173750"/>
    <n v="1291125"/>
    <m/>
    <m/>
    <m/>
    <d v="2020-08-26T00:00:00"/>
    <s v="SMLN-2020-617-000361"/>
    <x v="83"/>
    <d v="2020-09-18T00:00:00"/>
    <d v="2023-09-10T00:00:00"/>
  </r>
  <r>
    <d v="2020-06-15T00:00:00"/>
    <s v="VZ-2020-000635"/>
    <s v="LÉK"/>
    <s v="Ondráčková"/>
    <x v="229"/>
    <n v="2"/>
    <s v="OKTREOTID-ACETÁT"/>
    <m/>
    <s v="33642100-3"/>
    <m/>
    <n v="11337300"/>
    <x v="0"/>
    <d v="2020-06-22T00:00:00"/>
    <d v="2020-07-27T00:00:00"/>
    <d v="2020-08-26T00:00:00"/>
    <s v="Alliance Healthcare s.r.o."/>
    <m/>
    <n v="11337300"/>
    <n v="12471030"/>
    <m/>
    <m/>
    <m/>
    <d v="2020-08-26T00:00:00"/>
    <s v="SMLN-2020-617-000362"/>
    <x v="83"/>
    <d v="2020-09-18T00:00:00"/>
    <d v="2023-09-10T00:00:00"/>
  </r>
  <r>
    <d v="2020-06-15T00:00:00"/>
    <s v="VZ-2020-000635"/>
    <s v="LÉK"/>
    <s v="Ondráčková"/>
    <x v="229"/>
    <n v="3"/>
    <s v="LANREOTID-ACETÁT"/>
    <m/>
    <s v="33642100-3"/>
    <m/>
    <n v="11203762"/>
    <x v="0"/>
    <d v="2020-06-22T00:00:00"/>
    <d v="2020-07-27T00:00:00"/>
    <d v="2020-08-26T00:00:00"/>
    <s v="PHARMOS, a.s."/>
    <m/>
    <n v="11158418.1"/>
    <n v="12274259.91"/>
    <m/>
    <m/>
    <m/>
    <d v="2020-08-26T00:00:00"/>
    <s v="SMLN-2020-617-000363"/>
    <x v="83"/>
    <d v="2020-09-18T00:00:00"/>
    <d v="2023-09-10T00:00:00"/>
  </r>
  <r>
    <d v="2020-06-15T00:00:00"/>
    <s v="VZ-2020-000636"/>
    <s v="LÉK"/>
    <s v="Ondráčková"/>
    <x v="230"/>
    <n v="1"/>
    <s v="VINBLASTIN-SULFÁT"/>
    <m/>
    <s v="33652100-6"/>
    <m/>
    <n v="482160"/>
    <x v="0"/>
    <d v="2020-06-18T00:00:00"/>
    <d v="2020-07-23T00:00:00"/>
    <d v="2020-08-17T00:00:00"/>
    <s v="PHOENIX lék.velkoobchod, s.r.o."/>
    <m/>
    <n v="482160"/>
    <n v="530376"/>
    <m/>
    <m/>
    <m/>
    <d v="2020-08-17T00:00:00"/>
    <s v="SMLN-2020-617-000329"/>
    <x v="82"/>
    <d v="2020-09-23T00:00:00"/>
    <d v="2023-09-21T00:00:00"/>
  </r>
  <r>
    <d v="2020-06-15T00:00:00"/>
    <s v="VZ-2020-000636"/>
    <s v="LÉK"/>
    <s v="Ondráčková"/>
    <x v="230"/>
    <n v="2"/>
    <s v="VINORELBINE GLENMARK"/>
    <m/>
    <s v="33652100-6"/>
    <m/>
    <n v="6790108"/>
    <x v="0"/>
    <d v="2020-06-18T00:00:00"/>
    <d v="2020-07-23T00:00:00"/>
    <d v="2020-08-17T00:00:00"/>
    <s v="PROMEDICA Praha Group, a.s."/>
    <m/>
    <n v="6532122.1500000004"/>
    <n v="7185334.3700000001"/>
    <m/>
    <m/>
    <m/>
    <d v="2020-08-17T00:00:00"/>
    <s v="SMLN-2020-617-000330"/>
    <x v="83"/>
    <d v="2020-09-23T00:00:00"/>
    <d v="2023-09-10T00:00:00"/>
  </r>
  <r>
    <d v="2020-06-15T00:00:00"/>
    <s v="VZ-2020-000636"/>
    <s v="LÉK"/>
    <s v="Ondráčková"/>
    <x v="230"/>
    <n v="3"/>
    <s v="VINORELBIN-DITARTARÁT"/>
    <m/>
    <s v="33652100-6"/>
    <m/>
    <n v="1036906"/>
    <x v="0"/>
    <d v="2020-06-18T00:00:00"/>
    <d v="2020-07-23T00:00:00"/>
    <d v="2020-08-17T00:00:00"/>
    <s v="Alliance Healthcare s.r.o."/>
    <m/>
    <n v="936032.7"/>
    <n v="1029635.97"/>
    <m/>
    <m/>
    <m/>
    <d v="2020-08-17T00:00:00"/>
    <s v="SMLN-2020-617-000331"/>
    <x v="83"/>
    <d v="2020-09-23T00:00:00"/>
    <d v="2023-09-10T00:00:00"/>
  </r>
  <r>
    <d v="2020-06-15T00:00:00"/>
    <s v="VZ-2020-000636"/>
    <s v="LÉK"/>
    <s v="Ondráčková"/>
    <x v="230"/>
    <n v="4"/>
    <s v="VINFLUNIN-DITARTARÁT"/>
    <m/>
    <s v="33652100-6"/>
    <m/>
    <n v="2368248"/>
    <x v="0"/>
    <d v="2020-06-18T00:00:00"/>
    <d v="2020-07-23T00:00:00"/>
    <d v="2020-08-17T00:00:00"/>
    <s v="Alliance Healthcare s.r.o."/>
    <m/>
    <n v="1742463.48"/>
    <n v="1916709.83"/>
    <m/>
    <m/>
    <m/>
    <d v="2020-08-17T00:00:00"/>
    <s v="SMLN-2020-617-000332"/>
    <x v="83"/>
    <d v="2020-09-23T00:00:00"/>
    <d v="2023-09-10T00:00:00"/>
  </r>
  <r>
    <d v="2020-06-10T00:00:00"/>
    <s v="VZ-2020-000638"/>
    <s v="ZM"/>
    <s v="Dočkalová"/>
    <x v="231"/>
    <m/>
    <m/>
    <m/>
    <s v="33140000-3"/>
    <m/>
    <n v="727625"/>
    <x v="2"/>
    <d v="2020-06-18T00:00:00"/>
    <d v="2020-06-30T00:00:00"/>
    <d v="2020-07-15T00:00:00"/>
    <s v="A care a.s."/>
    <m/>
    <n v="727625"/>
    <n v="880426.7"/>
    <m/>
    <m/>
    <m/>
    <d v="2020-07-15T00:00:00"/>
    <s v="SMLN-2020-617-000282_x000a_SMLN-2020-614-000011"/>
    <x v="71"/>
    <d v="2020-08-06T00:00:00"/>
    <d v="2022-07-27T00:00:00"/>
  </r>
  <r>
    <d v="2020-06-10T00:00:00"/>
    <s v="VZ-2020-000639"/>
    <s v="ZM"/>
    <s v="Dočkalová"/>
    <x v="232"/>
    <m/>
    <m/>
    <m/>
    <s v="33140000-3"/>
    <m/>
    <n v="523490"/>
    <x v="2"/>
    <d v="2020-06-18T00:00:00"/>
    <d v="2020-07-03T00:00:00"/>
    <d v="2020-07-15T00:00:00"/>
    <s v="A care a.s."/>
    <m/>
    <n v="531880.56000000006"/>
    <n v="643575.48"/>
    <m/>
    <m/>
    <m/>
    <d v="2020-07-15T00:00:00"/>
    <s v="SMLN-2020-617-000283_x000a_SMLN-2020-614-000012"/>
    <x v="71"/>
    <d v="2020-08-06T00:00:00"/>
    <d v="2022-07-27T00:00:00"/>
  </r>
  <r>
    <d v="2020-06-17T00:00:00"/>
    <s v="VZ-2020-000648"/>
    <s v="LÉK"/>
    <s v="Ondráčková"/>
    <x v="233"/>
    <n v="1"/>
    <s v="CUVITRU"/>
    <m/>
    <s v="33651520-9"/>
    <m/>
    <n v="2095601"/>
    <x v="0"/>
    <d v="2020-06-22T00:00:00"/>
    <d v="2020-08-17T00:00:00"/>
    <d v="2020-09-16T00:00:00"/>
    <s v="Takeda Pharmaceuticals Czech Republic s.r.o."/>
    <m/>
    <n v="2110980"/>
    <n v="2322078"/>
    <m/>
    <m/>
    <m/>
    <d v="2020-09-16T00:00:00"/>
    <s v="SMLN-2020-617-000411"/>
    <x v="113"/>
    <d v="2020-10-13T00:00:00"/>
    <d v="2023-10-07T00:00:00"/>
  </r>
  <r>
    <d v="2020-06-17T00:00:00"/>
    <s v="VZ-2020-000648"/>
    <s v="LÉK"/>
    <s v="Ondráčková"/>
    <x v="233"/>
    <n v="2"/>
    <s v="GAMMANORM"/>
    <m/>
    <s v="33651520-9"/>
    <m/>
    <n v="4764264"/>
    <x v="0"/>
    <d v="2020-06-22T00:00:00"/>
    <d v="2020-08-17T00:00:00"/>
    <m/>
    <s v="zrušeno - bez nabídky"/>
    <s v="dodavatel nedá nabídku ani s OT a nebude garantovat dodávky"/>
    <m/>
    <m/>
    <m/>
    <m/>
    <m/>
    <m/>
    <m/>
    <x v="0"/>
    <d v="2020-08-19T00:00:00"/>
    <m/>
  </r>
  <r>
    <d v="2020-06-17T00:00:00"/>
    <s v="VZ-2020-000648"/>
    <s v="LÉK"/>
    <s v="Ondráčková"/>
    <x v="233"/>
    <n v="3"/>
    <s v="HIZENTRA"/>
    <m/>
    <s v="33651520-9"/>
    <m/>
    <n v="7763383"/>
    <x v="0"/>
    <d v="2020-06-22T00:00:00"/>
    <d v="2020-08-17T00:00:00"/>
    <d v="2020-09-16T00:00:00"/>
    <s v="CSL Behring s.r.o."/>
    <m/>
    <n v="7763381.4900000002"/>
    <n v="8539719.6400000006"/>
    <m/>
    <m/>
    <m/>
    <d v="2020-09-16T00:00:00"/>
    <s v="SMLN-2020-617-000412"/>
    <x v="113"/>
    <d v="2020-10-13T00:00:00"/>
    <d v="2023-10-07T00:00:00"/>
  </r>
  <r>
    <d v="2020-06-17T00:00:00"/>
    <s v="VZ-2020-000648"/>
    <s v="LÉK"/>
    <s v="Ondráčková"/>
    <x v="233"/>
    <n v="4"/>
    <s v="HYQVIA"/>
    <m/>
    <s v="33651520-9"/>
    <m/>
    <n v="11793000"/>
    <x v="0"/>
    <d v="2020-06-22T00:00:00"/>
    <d v="2020-08-17T00:00:00"/>
    <d v="2020-09-16T00:00:00"/>
    <s v="Takeda Pharmaceuticals Czech Republic s.r.o."/>
    <m/>
    <n v="11793000"/>
    <n v="12972300"/>
    <m/>
    <m/>
    <m/>
    <d v="2020-09-16T00:00:00"/>
    <s v="SMLN-2020-617-000413"/>
    <x v="113"/>
    <d v="2020-10-13T00:00:00"/>
    <d v="2023-10-07T00:00:00"/>
  </r>
  <r>
    <d v="2020-06-09T00:00:00"/>
    <s v="VZ-2020-000654"/>
    <s v="ZT"/>
    <s v="Rosulek"/>
    <x v="234"/>
    <m/>
    <m/>
    <m/>
    <s v="33124100-6"/>
    <s v="2.2.244."/>
    <n v="282000"/>
    <x v="2"/>
    <d v="2020-06-26T00:00:00"/>
    <d v="2020-07-07T00:00:00"/>
    <d v="2020-07-22T00:00:00"/>
    <s v="Medsol s.r.o."/>
    <m/>
    <n v="281996"/>
    <n v="341215.16"/>
    <m/>
    <m/>
    <m/>
    <d v="2020-07-22T00:00:00"/>
    <s v="SMLN-2020-617-000290_x000a_SMLN-2020-612-000061"/>
    <x v="114"/>
    <d v="2020-08-13T00:00:00"/>
    <d v="2020-10-09T00:00:00"/>
  </r>
  <r>
    <d v="2020-06-19T00:00:00"/>
    <s v="VZ-2020-000657"/>
    <s v="LÉK"/>
    <s v="Ondráčková"/>
    <x v="235"/>
    <m/>
    <m/>
    <m/>
    <s v="71900000-7 "/>
    <m/>
    <n v="7530000"/>
    <x v="0"/>
    <d v="2020-06-24T00:00:00"/>
    <d v="2020-07-31T00:00:00"/>
    <d v="2020-08-12T00:00:00"/>
    <s v="DYNEX LAbSolutions, s.r.o."/>
    <m/>
    <n v="7488400"/>
    <n v="9060964"/>
    <m/>
    <m/>
    <m/>
    <d v="2020-08-13T00:00:00"/>
    <s v="SMLN-2020-612-000072"/>
    <x v="115"/>
    <d v="2020-09-11T00:00:00"/>
    <d v="2021-01-09T00:00:00"/>
  </r>
  <r>
    <s v="opakovaná VZ"/>
    <s v="VZ-2020-000658"/>
    <s v="NIT"/>
    <s v="Oravec"/>
    <x v="236"/>
    <m/>
    <m/>
    <m/>
    <s v="72261000-2"/>
    <s v="3.2.12."/>
    <n v="945000"/>
    <x v="2"/>
    <d v="2020-06-19T00:00:00"/>
    <d v="2020-06-26T00:00:00"/>
    <d v="2020-07-01T00:00:00"/>
    <s v="Bach systems s.r.o."/>
    <m/>
    <n v="943200"/>
    <n v="1141272"/>
    <m/>
    <m/>
    <m/>
    <d v="2020-07-01T00:00:00"/>
    <s v="SMLN-2020-612-000046"/>
    <x v="70"/>
    <d v="2020-07-23T00:00:00"/>
    <s v="doba neurčitá"/>
  </r>
  <r>
    <d v="2020-06-18T00:00:00"/>
    <s v="VZ-2020-000659"/>
    <s v="ZT"/>
    <s v="Rosulek"/>
    <x v="237"/>
    <n v="1"/>
    <s v="Stomatologická souprava"/>
    <m/>
    <s v="33192400-6"/>
    <s v="2.3.389."/>
    <n v="360579"/>
    <x v="2"/>
    <d v="2020-06-26T00:00:00"/>
    <d v="2020-07-08T00:00:00"/>
    <d v="2020-08-03T00:00:00"/>
    <s v="SpofaDental a.s."/>
    <m/>
    <n v="365300"/>
    <n v="442013"/>
    <m/>
    <m/>
    <m/>
    <d v="2020-08-03T00:00:00"/>
    <s v="SMLN-2020-617-000302_x000a_SMLN-2020-612-000066"/>
    <x v="107"/>
    <d v="2020-09-08T00:00:00"/>
    <d v="2020-10-09T00:00:00"/>
  </r>
  <r>
    <d v="2020-06-18T00:00:00"/>
    <s v="VZ-2020-000659"/>
    <s v="ZT"/>
    <s v="Rosulek"/>
    <x v="237"/>
    <n v="2"/>
    <s v="Kompresory"/>
    <m/>
    <s v="33192400-6"/>
    <s v="2.3.496."/>
    <n v="575454"/>
    <x v="2"/>
    <d v="2020-06-26T00:00:00"/>
    <d v="2020-07-08T00:00:00"/>
    <d v="2020-08-03T00:00:00"/>
    <s v="SpofaDental a.s."/>
    <m/>
    <n v="542400"/>
    <n v="656304"/>
    <m/>
    <m/>
    <m/>
    <d v="2020-08-03T00:00:00"/>
    <s v="SMLN-2020-617-000303_x000a_SMLN-2020-612-000067"/>
    <x v="107"/>
    <d v="2020-09-08T00:00:00"/>
    <d v="2020-10-09T00:00:00"/>
  </r>
  <r>
    <d v="2020-06-03T00:00:00"/>
    <s v="VZ-2020-000664"/>
    <s v="ZM"/>
    <s v="Dočkalová"/>
    <x v="238"/>
    <n v="1"/>
    <s v="Materiál spotřební pro peritoneální dialýzu I."/>
    <m/>
    <s v="33140000-3"/>
    <m/>
    <n v="5049102"/>
    <x v="0"/>
    <d v="2020-06-24T00:00:00"/>
    <d v="2020-07-29T00:00:00"/>
    <d v="2020-09-04T00:00:00"/>
    <s v="BAXTER CZECH spol. s r.o."/>
    <m/>
    <n v="5049102"/>
    <n v="6109413.4199999999"/>
    <m/>
    <m/>
    <m/>
    <d v="2020-09-04T00:00:00"/>
    <s v="SMLN-2020-617-000378"/>
    <x v="116"/>
    <d v="2020-10-20T00:00:00"/>
    <s v="doba neurčitá"/>
  </r>
  <r>
    <d v="2020-06-03T00:00:00"/>
    <s v="VZ-2020-000664"/>
    <s v="ZM"/>
    <s v="Dočkalová"/>
    <x v="239"/>
    <n v="2"/>
    <s v="Materiál spotřební pro peritoneální dialýzu II."/>
    <m/>
    <s v="33140000-3"/>
    <m/>
    <n v="3986590.4"/>
    <x v="0"/>
    <d v="2020-06-24T00:00:00"/>
    <d v="2020-07-29T00:00:00"/>
    <d v="2020-09-04T00:00:00"/>
    <s v="Fresenius Medical Care s.r.o."/>
    <m/>
    <n v="3986590.4"/>
    <n v="4823774.38"/>
    <m/>
    <m/>
    <m/>
    <d v="2020-09-04T00:00:00"/>
    <s v="SMLN-2020-617-000379"/>
    <x v="116"/>
    <d v="2020-10-20T00:00:00"/>
    <s v="doba neurčitá"/>
  </r>
  <r>
    <d v="2020-04-27T00:00:00"/>
    <s v="VZ-2020-000665"/>
    <s v="ZM"/>
    <s v="Valtová"/>
    <x v="240"/>
    <m/>
    <m/>
    <m/>
    <s v="33140000-3"/>
    <m/>
    <n v="4140720"/>
    <x v="0"/>
    <d v="2020-07-01T00:00:00"/>
    <d v="2020-08-03T00:00:00"/>
    <m/>
    <m/>
    <m/>
    <m/>
    <m/>
    <m/>
    <m/>
    <m/>
    <m/>
    <m/>
    <x v="0"/>
    <d v="2020-09-07T00:00:00"/>
    <s v="20.8.2020 zrušeno"/>
  </r>
  <r>
    <d v="2020-06-18T00:00:00"/>
    <s v="VZ-2020-000667"/>
    <s v="ZT"/>
    <s v="Rosulek"/>
    <x v="241"/>
    <m/>
    <m/>
    <m/>
    <s v="33162100-4"/>
    <s v="2.3.390."/>
    <n v="3542148"/>
    <x v="1"/>
    <d v="2020-08-24T00:00:00"/>
    <d v="2020-09-10T00:00:00"/>
    <m/>
    <s v="zrušeno - bez nabídky"/>
    <s v="nový VZ-2020-001012"/>
    <m/>
    <m/>
    <m/>
    <m/>
    <m/>
    <m/>
    <m/>
    <x v="0"/>
    <d v="2020-09-15T00:00:00"/>
    <s v="15.9.2020 zrušeno"/>
  </r>
  <r>
    <d v="2020-06-19T00:00:00"/>
    <s v="VZ-2020-000669"/>
    <s v="INV"/>
    <s v="Spáčil"/>
    <x v="242"/>
    <m/>
    <m/>
    <m/>
    <s v="45454100-5"/>
    <s v="1.3.22."/>
    <n v="63474626"/>
    <x v="0"/>
    <d v="2020-06-26T00:00:00"/>
    <d v="2020-08-25T00:00:00"/>
    <d v="2020-09-04T00:00:00"/>
    <s v="OHL ŽS, a.s."/>
    <m/>
    <n v="47301965.979999997"/>
    <n v="57235378.840000004"/>
    <m/>
    <m/>
    <m/>
    <d v="2020-09-04T00:00:00"/>
    <s v="SMLN-2020-618-000069"/>
    <x v="117"/>
    <d v="2020-10-01T00:00:00"/>
    <d v="2021-09-27T00:00:00"/>
  </r>
  <r>
    <d v="2020-06-18T00:00:00"/>
    <s v="VZ-2020-000673"/>
    <s v="ZT"/>
    <s v="Rosulek"/>
    <x v="243"/>
    <m/>
    <m/>
    <m/>
    <s v="33155000-1"/>
    <s v="2.2.227."/>
    <n v="1031736"/>
    <x v="2"/>
    <d v="2020-07-02T00:00:00"/>
    <d v="2020-07-15T00:00:00"/>
    <d v="2020-07-27T00:00:00"/>
    <s v="Stargen EU s.r.o."/>
    <m/>
    <n v="1031500"/>
    <n v="1248115"/>
    <m/>
    <m/>
    <m/>
    <d v="2020-07-27T00:00:00"/>
    <s v="SMLN-2020-617-000296_x000a_SMLN-2020-612-000064"/>
    <x v="92"/>
    <d v="2020-08-24T00:00:00"/>
    <d v="2020-09-28T00:00:00"/>
  </r>
  <r>
    <d v="2020-06-23T00:00:00"/>
    <s v="VZ-2020-000676"/>
    <s v="REACT"/>
    <s v="Rosulek"/>
    <x v="244"/>
    <m/>
    <m/>
    <m/>
    <s v="33186000-7"/>
    <s v="2.3.491."/>
    <n v="2314049"/>
    <x v="1"/>
    <d v="2020-07-16T00:00:00"/>
    <d v="2020-08-05T00:00:00"/>
    <d v="2020-09-10T00:00:00"/>
    <s v="Gettinge Czech Republic s.r.o."/>
    <m/>
    <n v="2314030.58"/>
    <n v="2799977"/>
    <m/>
    <m/>
    <m/>
    <d v="2020-09-10T00:00:00"/>
    <s v="SMLN-2020-617-000400_x000a_SMLN-2020-612-000087"/>
    <x v="118"/>
    <d v="2020-10-29T00:00:00"/>
    <d v="2021-02-11T00:00:00"/>
  </r>
  <r>
    <d v="2020-06-24T00:00:00"/>
    <s v="VZ-2020-000683"/>
    <s v="ZM"/>
    <s v="Dočkalová"/>
    <x v="245"/>
    <m/>
    <m/>
    <m/>
    <s v="33140000-3"/>
    <m/>
    <n v="2160160"/>
    <x v="1"/>
    <d v="2020-07-02T00:00:00"/>
    <d v="2020-07-22T00:00:00"/>
    <m/>
    <s v="zrušeno - bez nabídky"/>
    <s v="nová VZ-2020-000766"/>
    <m/>
    <m/>
    <m/>
    <m/>
    <m/>
    <m/>
    <m/>
    <x v="0"/>
    <d v="2020-07-24T00:00:00"/>
    <s v="22.7. zrušení na podpis"/>
  </r>
  <r>
    <s v="opakovaná VZ"/>
    <s v="VZ-2020-000687"/>
    <s v="INF"/>
    <s v="Oravec"/>
    <x v="246"/>
    <m/>
    <m/>
    <m/>
    <s v="72261000-2"/>
    <m/>
    <n v="1682752"/>
    <x v="2"/>
    <d v="2020-06-29T00:00:00"/>
    <d v="2020-07-14T00:00:00"/>
    <d v="2020-07-20T00:00:00"/>
    <s v="Alogo, s.r.o."/>
    <m/>
    <n v="1682750"/>
    <n v="2036127.5"/>
    <m/>
    <m/>
    <m/>
    <d v="2020-07-20T00:00:00"/>
    <s v="SMLN-2020-612-000053"/>
    <x v="119"/>
    <d v="2020-08-17T00:00:00"/>
    <d v="2025-08-12T00:00:00"/>
  </r>
  <r>
    <d v="2020-06-23T00:00:00"/>
    <s v="VZ-2020-000696"/>
    <s v="ZT"/>
    <s v="Rosulek"/>
    <x v="247"/>
    <m/>
    <m/>
    <m/>
    <s v="38510000-3"/>
    <s v="2.3.431."/>
    <n v="1825537"/>
    <x v="2"/>
    <d v="2020-07-02T00:00:00"/>
    <d v="2020-07-21T00:00:00"/>
    <d v="2020-08-05T00:00:00"/>
    <s v="Nikon CEE GmbH, odštěpný závod"/>
    <m/>
    <n v="1644610"/>
    <n v="1989978.1"/>
    <m/>
    <m/>
    <m/>
    <d v="2020-08-05T00:00:00"/>
    <s v="SMLN-2020-617-000309_x000a_SMLN-2020-612-000068"/>
    <x v="120"/>
    <d v="2020-08-28T00:00:00"/>
    <d v="2020-10-20T00:00:00"/>
  </r>
  <r>
    <d v="2020-06-29T00:00:00"/>
    <s v="VZ-2020-000697"/>
    <s v="ZM"/>
    <s v="Merta"/>
    <x v="248"/>
    <m/>
    <m/>
    <m/>
    <s v="33141200-2"/>
    <m/>
    <n v="175414549"/>
    <x v="0"/>
    <d v="2020-07-14T00:00:00"/>
    <d v="2020-08-26T00:00:00"/>
    <m/>
    <s v="zrušeno"/>
    <s v="bude realizováno sdružený nákupem"/>
    <m/>
    <m/>
    <m/>
    <m/>
    <m/>
    <m/>
    <m/>
    <x v="0"/>
    <d v="2020-09-15T00:00:00"/>
    <s v="28.8.2020 zrušeno"/>
  </r>
  <r>
    <d v="2020-05-27T00:00:00"/>
    <s v="VZ-2020-000699"/>
    <s v="ZM"/>
    <s v="Valtová"/>
    <x v="249"/>
    <m/>
    <m/>
    <m/>
    <s v="33140000–3"/>
    <m/>
    <n v="7128000"/>
    <x v="0"/>
    <d v="2020-07-22T00:00:00"/>
    <d v="2020-08-24T00:00:00"/>
    <d v="2020-09-03T00:00:00"/>
    <s v="Cardiomedical s.r.o."/>
    <m/>
    <n v="7128000"/>
    <n v="8197200"/>
    <m/>
    <m/>
    <m/>
    <d v="2020-09-03T00:00:00"/>
    <s v="SMLN-2020-617-000377_x000a_SMLN-2020-614-000025"/>
    <x v="81"/>
    <d v="2020-09-30T00:00:00"/>
    <d v="2023-09-28T00:00:00"/>
  </r>
  <r>
    <d v="2020-06-29T00:00:00"/>
    <s v="VZ-2020-000702"/>
    <s v="ZT"/>
    <s v="Rosulek"/>
    <x v="250"/>
    <m/>
    <m/>
    <m/>
    <s v="33190000-8"/>
    <s v="2.3.391,466,504..."/>
    <n v="343347"/>
    <x v="2"/>
    <d v="2020-07-15T00:00:00"/>
    <d v="2020-07-28T00:00:00"/>
    <d v="2020-08-31T00:00:00"/>
    <s v="Prodispa s.r.o."/>
    <m/>
    <n v="258900"/>
    <n v="313269"/>
    <m/>
    <m/>
    <m/>
    <d v="2020-09-01T00:00:00"/>
    <s v="SMLN-2020-617-000374_x000a_SMLN-2020-612-000080"/>
    <x v="121"/>
    <d v="2020-09-24T00:00:00"/>
    <d v="2020-11-23T00:00:00"/>
  </r>
  <r>
    <d v="2020-06-23T00:00:00"/>
    <s v="VZ-2020-000703"/>
    <s v="ZT"/>
    <s v="Rosulek"/>
    <x v="251"/>
    <m/>
    <m/>
    <m/>
    <s v="38434570-2"/>
    <s v="2.2.284"/>
    <n v="1092000"/>
    <x v="2"/>
    <d v="2020-07-27T00:00:00"/>
    <d v="2020-08-05T00:00:00"/>
    <m/>
    <s v="zrušeno - 1 nabídka překročila předpokládanou hodnotu"/>
    <m/>
    <m/>
    <m/>
    <m/>
    <m/>
    <m/>
    <m/>
    <m/>
    <x v="0"/>
    <d v="2020-08-06T00:00:00"/>
    <m/>
  </r>
  <r>
    <d v="2020-06-30T00:00:00"/>
    <s v="VZ-2020-000704"/>
    <s v="ZT"/>
    <s v="Rosulek"/>
    <x v="252"/>
    <m/>
    <m/>
    <m/>
    <s v="38416000-4"/>
    <s v="2.3.443, 2.3.501"/>
    <n v="506280"/>
    <x v="2"/>
    <d v="2020-07-27T00:00:00"/>
    <d v="2020-08-06T00:00:00"/>
    <d v="2020-09-01T00:00:00"/>
    <s v="IMEDEX s.r.o."/>
    <m/>
    <n v="484640"/>
    <n v="586414"/>
    <m/>
    <m/>
    <m/>
    <d v="2020-09-01T00:00:00"/>
    <s v="SMLN-2020-617-000375_x000a_SMLN-2020-612-000081"/>
    <x v="122"/>
    <d v="2020-10-07T00:00:00"/>
    <d v="2020-11-02T00:00:00"/>
  </r>
  <r>
    <d v="2020-06-30T00:00:00"/>
    <s v="VZ-2020-000705"/>
    <s v="OSB"/>
    <s v="Vaida"/>
    <x v="253"/>
    <m/>
    <m/>
    <m/>
    <s v="50700000-2"/>
    <m/>
    <n v="1200000"/>
    <x v="2"/>
    <d v="2020-07-14T00:00:00"/>
    <d v="2020-07-27T00:00:00"/>
    <d v="2020-08-12T00:00:00"/>
    <s v="ASSA ABLOY Entrance Systems, spol.s r.o."/>
    <m/>
    <n v="1174840"/>
    <n v="1421556.4"/>
    <m/>
    <m/>
    <m/>
    <d v="2020-08-13T00:00:00"/>
    <s v="SMLN-2020-612-000071"/>
    <x v="123"/>
    <d v="2020-09-04T00:00:00"/>
    <d v="2022-12-31T00:00:00"/>
  </r>
  <r>
    <d v="2020-06-30T00:00:00"/>
    <s v="VZ-2020-000706"/>
    <s v="LÉK"/>
    <s v="Ondráčková"/>
    <x v="254"/>
    <n v="1"/>
    <s v="Nutridrink"/>
    <m/>
    <s v="15880000-0"/>
    <m/>
    <n v="9211449"/>
    <x v="0"/>
    <d v="2020-07-13T00:00:00"/>
    <d v="2020-08-17T00:00:00"/>
    <m/>
    <s v="zrušeno - administrativní pochybení"/>
    <m/>
    <m/>
    <m/>
    <m/>
    <m/>
    <m/>
    <m/>
    <m/>
    <x v="0"/>
    <d v="2020-11-04T00:00:00"/>
    <s v="9.10.2020 zrušeno"/>
  </r>
  <r>
    <d v="2020-06-30T00:00:00"/>
    <s v="VZ-2020-000706"/>
    <s v="LÉK"/>
    <s v="Ondráčková"/>
    <x v="254"/>
    <n v="2"/>
    <s v="Diasip"/>
    <m/>
    <s v="15880000-0"/>
    <m/>
    <n v="713124"/>
    <x v="0"/>
    <d v="2020-07-13T00:00:00"/>
    <d v="2020-08-17T00:00:00"/>
    <d v="2020-10-12T00:00:00"/>
    <s v="Alliance Healthcare s.r.o."/>
    <m/>
    <n v="705431.77"/>
    <n v="811246.54"/>
    <m/>
    <m/>
    <m/>
    <d v="2020-10-12T00:00:00"/>
    <s v="SMLN-2020-617-000467"/>
    <x v="110"/>
    <d v="2020-11-16T00:00:00"/>
    <d v="2023-11-10T00:00:00"/>
  </r>
  <r>
    <d v="2020-06-30T00:00:00"/>
    <s v="VZ-2020-000707"/>
    <s v="LÉK"/>
    <s v="Ondráčková"/>
    <x v="255"/>
    <n v="1"/>
    <s v="Enterální výživa I."/>
    <m/>
    <s v="15880000-0"/>
    <m/>
    <n v="1347950"/>
    <x v="0"/>
    <d v="2020-07-21T00:00:00"/>
    <d v="2020-08-21T00:00:00"/>
    <m/>
    <s v="zrušeno - administrativní pochybení"/>
    <s v="nová VZ-2020-000856"/>
    <m/>
    <m/>
    <m/>
    <m/>
    <m/>
    <m/>
    <m/>
    <x v="0"/>
    <d v="2020-08-14T00:00:00"/>
    <s v="13.8.2020 zrušeno"/>
  </r>
  <r>
    <d v="2020-06-30T00:00:00"/>
    <s v="VZ-2020-000707"/>
    <s v="LÉK"/>
    <s v="Ondráčková"/>
    <x v="255"/>
    <n v="2"/>
    <s v="Enterální výživa I."/>
    <m/>
    <s v="15880000-0"/>
    <m/>
    <n v="3589383"/>
    <x v="0"/>
    <d v="2020-07-21T00:00:00"/>
    <d v="2020-08-21T00:00:00"/>
    <m/>
    <s v="zrušeno - administrativní pochybení"/>
    <s v="nová VZ-2020-000856"/>
    <m/>
    <m/>
    <m/>
    <m/>
    <m/>
    <m/>
    <m/>
    <x v="0"/>
    <d v="2020-08-14T00:00:00"/>
    <s v="13.8.2020 zrušeno"/>
  </r>
  <r>
    <d v="2020-07-09T00:00:00"/>
    <s v="VZ-2020-000720"/>
    <s v="INF"/>
    <s v="Miklík"/>
    <x v="256"/>
    <m/>
    <m/>
    <m/>
    <s v="72261000-2"/>
    <m/>
    <n v="603305"/>
    <x v="2"/>
    <d v="2020-07-09T00:00:00"/>
    <d v="2020-07-16T00:00:00"/>
    <d v="2020-07-16T00:00:00"/>
    <s v="DATA-INTER spol. s r.o."/>
    <m/>
    <n v="569000"/>
    <n v="688490"/>
    <m/>
    <m/>
    <m/>
    <d v="2020-07-16T00:00:00"/>
    <s v="SMLN-2020-612-000051"/>
    <x v="124"/>
    <d v="2020-08-04T00:00:00"/>
    <d v="2023-08-04T00:00:00"/>
  </r>
  <r>
    <d v="2020-07-09T00:00:00"/>
    <s v="VZ-2020-000721"/>
    <s v="ZT"/>
    <s v="Rosulek"/>
    <x v="257"/>
    <m/>
    <m/>
    <m/>
    <s v="33151400-7 "/>
    <s v="2.3.487"/>
    <n v="1028973"/>
    <x v="2"/>
    <d v="2020-07-10T00:00:00"/>
    <d v="2020-07-20T00:00:00"/>
    <d v="2020-08-07T00:00:00"/>
    <s v="úmrtí Ing. Pleška - "/>
    <s v="nová VZ-2020-001029"/>
    <n v="1041473"/>
    <n v="1041473"/>
    <m/>
    <m/>
    <m/>
    <d v="2020-08-07T00:00:00"/>
    <s v="SMLN-2020-617-000322_x000a_SMLN-2020-612-000070"/>
    <x v="120"/>
    <d v="2020-08-26T00:00:00"/>
    <d v="2020-09-22T00:00:00"/>
  </r>
  <r>
    <s v="opakovaná VZ"/>
    <s v="VZ-2020-000736"/>
    <s v="ZT"/>
    <s v="Zemánek"/>
    <x v="258"/>
    <m/>
    <m/>
    <m/>
    <s v="33162100-4"/>
    <s v="2.3.498."/>
    <n v="830000"/>
    <x v="2"/>
    <d v="2020-07-15T00:00:00"/>
    <d v="2020-07-23T00:00:00"/>
    <d v="2020-07-28T00:00:00"/>
    <s v="SUBITO CZ spol.s  r.o."/>
    <m/>
    <n v="795300"/>
    <n v="962313"/>
    <m/>
    <m/>
    <m/>
    <d v="2020-07-28T00:00:00"/>
    <s v="SMLN-2020-617-000297_x000a_SMLN-2020-612-000065"/>
    <x v="69"/>
    <d v="2020-08-17T00:00:00"/>
    <d v="2020-10-10T00:00:00"/>
  </r>
  <r>
    <d v="2020-07-07T00:00:00"/>
    <s v="VZ-2020-000740"/>
    <s v="ZT"/>
    <s v="Rosulek"/>
    <x v="259"/>
    <m/>
    <m/>
    <m/>
    <s v="33127000-6"/>
    <s v="2.2.280"/>
    <n v="1314049"/>
    <x v="2"/>
    <d v="2020-07-22T00:00:00"/>
    <d v="2020-07-31T00:00:00"/>
    <d v="2020-08-27T00:00:00"/>
    <s v="DYNEX Technologies spol.s r.o."/>
    <m/>
    <n v="1396700"/>
    <n v="1690007"/>
    <m/>
    <m/>
    <m/>
    <d v="2020-08-27T00:00:00"/>
    <s v="SMLN-2020-617-000370_x000a_SMLN-2020-612-000078"/>
    <x v="117"/>
    <d v="2020-10-01T00:00:00"/>
    <d v="2020-12-04T00:00:00"/>
  </r>
  <r>
    <d v="2020-07-07T00:00:00"/>
    <s v="VZ-2020-000742"/>
    <s v="ZT"/>
    <s v="Rosulek"/>
    <x v="260"/>
    <m/>
    <m/>
    <m/>
    <s v="38000000-5"/>
    <s v="2.2.290."/>
    <n v="3845000"/>
    <x v="0"/>
    <d v="2020-08-10T00:00:00"/>
    <d v="2020-09-11T00:00:00"/>
    <d v="2020-09-30T00:00:00"/>
    <s v="DYNEX LAbSolutions, s.r.o."/>
    <m/>
    <n v="3825965"/>
    <n v="4629417.6500000004"/>
    <m/>
    <m/>
    <m/>
    <d v="2020-09-30T00:00:00"/>
    <s v="SMLN-2020-617-000447_x000a_SMLN-2020-612-000102"/>
    <x v="125"/>
    <d v="2020-11-06T00:00:00"/>
    <d v="2020-12-24T00:00:00"/>
  </r>
  <r>
    <d v="2020-07-13T00:00:00"/>
    <s v="VZ-2020-000744"/>
    <s v="ZM"/>
    <s v="Valtová"/>
    <x v="261"/>
    <n v="1"/>
    <s v="Rigidní dlaha pro stabilizaci dolní krční páteře předním přístupem bikortikálně"/>
    <m/>
    <s v="33184100-4"/>
    <m/>
    <n v="274000"/>
    <x v="0"/>
    <d v="2020-08-18T00:00:00"/>
    <d v="2020-10-16T00:00:00"/>
    <m/>
    <s v="zrušeno - překročení ceny"/>
    <s v="nová VZ-2021-000316"/>
    <m/>
    <m/>
    <m/>
    <m/>
    <m/>
    <m/>
    <m/>
    <x v="0"/>
    <d v="2020-12-15T00:00:00"/>
    <s v="23.11.2020 zrušeno"/>
  </r>
  <r>
    <d v="2020-07-13T00:00:00"/>
    <s v="VZ-2020-000744"/>
    <s v="ZM"/>
    <s v="Valtová"/>
    <x v="261"/>
    <n v="2"/>
    <s v="Rigidní dlaha pro stabilizaci dolní krční páteře předním přístupem monokortikálně"/>
    <m/>
    <s v="33184100-4"/>
    <m/>
    <n v="274000"/>
    <x v="0"/>
    <d v="2020-08-18T00:00:00"/>
    <d v="2020-10-16T00:00:00"/>
    <d v="2020-12-14T00:00:00"/>
    <s v="Johnson  &amp; Johnson s.r.o."/>
    <m/>
    <n v="272250"/>
    <n v="313087.5"/>
    <m/>
    <m/>
    <m/>
    <d v="2020-12-15T00:00:00"/>
    <s v="SMLN-2020-617-000564_x000a_SMLN-2020-614-000067_x000a_SMLN-2020-616-000070"/>
    <x v="0"/>
    <m/>
    <m/>
  </r>
  <r>
    <d v="2020-07-13T00:00:00"/>
    <s v="VZ-2020-000744"/>
    <s v="ZM"/>
    <s v="Valtová"/>
    <x v="261"/>
    <n v="3"/>
    <s v="Fúzní náhrada krční meziobratlové ploténky "/>
    <m/>
    <s v="33184100-4"/>
    <m/>
    <n v="5400000"/>
    <x v="0"/>
    <d v="2020-08-18T00:00:00"/>
    <d v="2020-10-16T00:00:00"/>
    <d v="2020-12-14T00:00:00"/>
    <s v="BoneCare s.r.o."/>
    <m/>
    <n v="5400000"/>
    <n v="6210000"/>
    <m/>
    <m/>
    <m/>
    <d v="2020-12-15T00:00:00"/>
    <s v="SMLN-2020-617-000565_x000a_SMLN-2020-614-000068_x000a_SMLN-2020-616-000071"/>
    <x v="0"/>
    <m/>
    <m/>
  </r>
  <r>
    <d v="2020-07-13T00:00:00"/>
    <s v="VZ-2020-000744"/>
    <s v="ZM"/>
    <s v="Valtová"/>
    <x v="261"/>
    <n v="4"/>
    <s v="Fúzní systém pro zadní stabilizaci krční páteře a okcipito-cervikální fixaci"/>
    <m/>
    <s v="33184100-4"/>
    <m/>
    <n v="964000"/>
    <x v="0"/>
    <d v="2020-08-18T00:00:00"/>
    <d v="2020-10-16T00:00:00"/>
    <d v="2020-12-14T00:00:00"/>
    <s v="Johnson  &amp; Johnson s.r.o."/>
    <m/>
    <n v="565680"/>
    <n v="650532"/>
    <m/>
    <m/>
    <m/>
    <d v="2020-12-15T00:00:00"/>
    <s v="SMLN-2020-617-000566_x000a_SMLN-2020-614-000069_x000a_SMLN-2020-616-000072"/>
    <x v="0"/>
    <m/>
    <m/>
  </r>
  <r>
    <d v="2020-07-13T00:00:00"/>
    <s v="VZ-2020-000744"/>
    <s v="ZM"/>
    <s v="Valtová"/>
    <x v="261"/>
    <n v="5"/>
    <s v="Fúzní náhrada bederní meziobratlové ploténky z předního přístupu (ALIF)"/>
    <m/>
    <s v="33184100-4"/>
    <m/>
    <n v="995000"/>
    <x v="0"/>
    <d v="2020-08-18T00:00:00"/>
    <d v="2020-10-16T00:00:00"/>
    <d v="2020-12-14T00:00:00"/>
    <s v="BoneCare s.r.o."/>
    <m/>
    <n v="995000"/>
    <n v="1144250"/>
    <m/>
    <m/>
    <m/>
    <d v="2020-12-15T00:00:00"/>
    <s v="SMLN-2020-617-000567_x000a_SMLN-2020-614-000070_x000a_SMLN-2020-616-000073"/>
    <x v="0"/>
    <m/>
    <s v="2.12. vyloučení JPM na podpis"/>
  </r>
  <r>
    <d v="2020-07-13T00:00:00"/>
    <s v="VZ-2020-000744"/>
    <s v="ZM"/>
    <s v="Valtová"/>
    <x v="261"/>
    <n v="6"/>
    <s v="Fúzní náhrada bederní meziobratlové ploténky expandibilní z bočního přístupu (LLIF, XLIF)"/>
    <m/>
    <s v="33184100-4"/>
    <m/>
    <n v="2820000"/>
    <x v="0"/>
    <d v="2020-08-18T00:00:00"/>
    <d v="2020-10-16T00:00:00"/>
    <d v="2020-12-14T00:00:00"/>
    <s v="BoneCare s.r.o."/>
    <m/>
    <n v="2820000"/>
    <n v="3243000"/>
    <m/>
    <m/>
    <m/>
    <d v="2020-12-15T00:00:00"/>
    <s v="SMLN-2020-617-000568_x000a_SMLN-2020-614-000071_x000a_SMLN-2020-616-000074"/>
    <x v="0"/>
    <m/>
    <m/>
  </r>
  <r>
    <d v="2020-07-13T00:00:00"/>
    <s v="VZ-2020-000744"/>
    <s v="ZM"/>
    <s v="Valtová"/>
    <x v="261"/>
    <n v="7"/>
    <s v="Fúzní náhrada bederní meziobratlové ploténky expandibilní ze zadního přístupu páteřním kanálem (PLIF)"/>
    <m/>
    <s v="33184100-4"/>
    <m/>
    <n v="1365043"/>
    <x v="0"/>
    <d v="2020-08-18T00:00:00"/>
    <d v="2020-10-16T00:00:00"/>
    <d v="2020-12-14T00:00:00"/>
    <s v="BoneCare s.r.o."/>
    <m/>
    <n v="1365000"/>
    <n v="1569750"/>
    <m/>
    <m/>
    <m/>
    <d v="2020-12-15T00:00:00"/>
    <s v="SMLN-2020-617-000569_x000a_SMLN-2020-614-000072_x000a_SMLN-2020-616-000075"/>
    <x v="0"/>
    <m/>
    <m/>
  </r>
  <r>
    <d v="2020-07-13T00:00:00"/>
    <s v="VZ-2020-000744"/>
    <s v="ZM"/>
    <s v="Valtová"/>
    <x v="261"/>
    <n v="8"/>
    <s v="Fúzní systém pro transpedikulární stabilizaci bederní páteře u degenerativních onemocnění s možností repozice olistézy (translačního posunu)"/>
    <m/>
    <s v="33184100-4"/>
    <m/>
    <n v="7630000"/>
    <x v="0"/>
    <d v="2020-08-18T00:00:00"/>
    <d v="2020-10-16T00:00:00"/>
    <d v="2020-12-14T00:00:00"/>
    <s v="BoneCare s.r.o."/>
    <m/>
    <n v="7630000"/>
    <n v="8774500"/>
    <m/>
    <m/>
    <m/>
    <d v="2020-12-15T00:00:00"/>
    <s v="SMLN-2020-617-000570_x000a_SMLN-2020-614-000073_x000a_SMLN-2020-616-000076"/>
    <x v="0"/>
    <m/>
    <m/>
  </r>
  <r>
    <d v="2020-07-13T00:00:00"/>
    <s v="VZ-2020-000744"/>
    <s v="ZM"/>
    <s v="Valtová"/>
    <x v="261"/>
    <n v="9"/>
    <s v="Fúzní systém pro transpedikulární stabilizaci hrudní a bederní páteře u traumat"/>
    <m/>
    <s v="33184100-4"/>
    <m/>
    <n v="1800000"/>
    <x v="0"/>
    <d v="2020-08-18T00:00:00"/>
    <d v="2020-10-16T00:00:00"/>
    <d v="2020-12-14T00:00:00"/>
    <s v="BoneCare s.r.o."/>
    <m/>
    <n v="1720000"/>
    <n v="1978000"/>
    <m/>
    <m/>
    <m/>
    <d v="2020-12-15T00:00:00"/>
    <s v="SMLN-2020-617-000571_x000a_SMLN-2020-614-000074_x000a_SMLN-2020-616-000077"/>
    <x v="0"/>
    <m/>
    <m/>
  </r>
  <r>
    <d v="2020-07-13T00:00:00"/>
    <s v="VZ-2020-000744"/>
    <s v="ZM"/>
    <s v="Valtová"/>
    <x v="261"/>
    <n v="10"/>
    <s v="Fúzní systém pro transpedikulární stabilizaci hrudní a bederní páteře u osteoporotické páteře s možností aplikace cementu šroubem"/>
    <m/>
    <s v="33184100-4"/>
    <m/>
    <n v="3460000"/>
    <x v="0"/>
    <d v="2020-08-18T00:00:00"/>
    <d v="2020-10-16T00:00:00"/>
    <d v="2020-12-14T00:00:00"/>
    <s v="Johnson  &amp; Johnson s.r.o."/>
    <m/>
    <n v="2900000"/>
    <n v="3335000"/>
    <m/>
    <m/>
    <m/>
    <d v="2020-12-16T00:00:00"/>
    <s v="SMLN-2020-617-000572_x000a_SMLN-2020-614-000075_x000a_SMLN-2020-616-000078"/>
    <x v="0"/>
    <m/>
    <m/>
  </r>
  <r>
    <d v="2020-07-13T00:00:00"/>
    <s v="VZ-2020-000744"/>
    <s v="ZM"/>
    <s v="Valtová"/>
    <x v="261"/>
    <n v="11"/>
    <s v="Fúzní náhrada krčního, hrudního a bederního obratlového těla s možností mechanické expanze"/>
    <m/>
    <s v="33184100-4"/>
    <m/>
    <n v="2778000"/>
    <x v="0"/>
    <d v="2020-08-18T00:00:00"/>
    <d v="2020-10-16T00:00:00"/>
    <d v="2020-12-14T00:00:00"/>
    <s v="BoneCare s.r.o."/>
    <m/>
    <n v="2640000"/>
    <n v="3036000"/>
    <m/>
    <m/>
    <m/>
    <d v="2020-12-16T00:00:00"/>
    <s v="SMLN-2020-617-000573_x000a_SMLN-2020-614-000076_x000a_SMLN-2020-616-000079"/>
    <x v="0"/>
    <m/>
    <m/>
  </r>
  <r>
    <d v="2020-07-13T00:00:00"/>
    <s v="VZ-2020-000744"/>
    <s v="ZM"/>
    <s v="Valtová"/>
    <x v="261"/>
    <n v="12"/>
    <s v="Vertebroplastická sada k perkutánní vertebroplastice hrudního a bederního obratle cementem"/>
    <m/>
    <s v="33184100-4"/>
    <m/>
    <n v="2260000"/>
    <x v="0"/>
    <d v="2020-08-18T00:00:00"/>
    <d v="2020-10-16T00:00:00"/>
    <d v="2020-12-14T00:00:00"/>
    <s v="Johnson  &amp; Johnson s.r.o."/>
    <m/>
    <n v="2260000"/>
    <n v="2651800"/>
    <m/>
    <m/>
    <m/>
    <d v="2020-12-16T00:00:00"/>
    <s v="SMLN-2020-617-000574_x000a_SMLN-2020-614-000077_x000a_SMLN-2020-616-000080"/>
    <x v="0"/>
    <m/>
    <m/>
  </r>
  <r>
    <d v="2020-07-13T00:00:00"/>
    <s v="VZ-2020-000744"/>
    <s v="ZM"/>
    <s v="Valtová"/>
    <x v="261"/>
    <n v="13"/>
    <s v="Fúzní systém pro stabilizaci sakro-iliakálního (SI) skloubení"/>
    <m/>
    <s v="33184100-4"/>
    <m/>
    <n v="2070000"/>
    <x v="0"/>
    <d v="2020-08-18T00:00:00"/>
    <d v="2020-10-16T00:00:00"/>
    <d v="2020-12-14T00:00:00"/>
    <s v="Spinemedical s.r.o."/>
    <m/>
    <n v="2070000"/>
    <n v="2380500"/>
    <m/>
    <m/>
    <m/>
    <d v="2020-12-16T00:00:00"/>
    <s v="SMLN-2020-617-000575_x000a_SMLN-2020-614-000078_x000a_SMLN-2020-616-000081"/>
    <x v="0"/>
    <m/>
    <m/>
  </r>
  <r>
    <d v="2020-07-07T00:00:00"/>
    <s v="VZ-2020-000746"/>
    <s v="ZT"/>
    <s v="Rosulek"/>
    <x v="262"/>
    <m/>
    <m/>
    <m/>
    <s v="38433210-4"/>
    <s v="2.2.86."/>
    <n v="431000"/>
    <x v="2"/>
    <d v="2020-07-24T00:00:00"/>
    <d v="2020-08-06T00:00:00"/>
    <d v="2020-09-10T00:00:00"/>
    <s v="Uni-Export Instruments s.r.o."/>
    <m/>
    <n v="431200"/>
    <n v="521752"/>
    <m/>
    <m/>
    <m/>
    <d v="2020-09-10T00:00:00"/>
    <s v="SMLN-2020-617-000392_x000a_SMLN-2020-612-000086"/>
    <x v="126"/>
    <d v="2020-10-12T00:00:00"/>
    <d v="2020-12-04T00:00:00"/>
  </r>
  <r>
    <d v="2020-07-07T00:00:00"/>
    <s v="VZ-2020-000761"/>
    <s v="ZT"/>
    <s v="Rosulek"/>
    <x v="263"/>
    <m/>
    <m/>
    <m/>
    <s v="33124110-9"/>
    <s v="2.3.494"/>
    <n v="2294481"/>
    <x v="1"/>
    <d v="2020-07-24T00:00:00"/>
    <d v="2020-08-12T00:00:00"/>
    <d v="2020-08-26T00:00:00"/>
    <s v="Stargen EU s.r.o."/>
    <m/>
    <n v="2294351"/>
    <n v="2776164.71"/>
    <m/>
    <m/>
    <m/>
    <d v="2020-08-26T00:00:00"/>
    <s v="SMLN-2020-617-000367_x000a_SMLN-2020-612-000077"/>
    <x v="127"/>
    <d v="2020-09-21T00:00:00"/>
    <d v="2020-11-12T00:00:00"/>
  </r>
  <r>
    <d v="2020-07-17T00:00:00"/>
    <s v="VZ-2020-000763"/>
    <s v="VŠEOB"/>
    <s v="Smrčková"/>
    <x v="264"/>
    <m/>
    <m/>
    <m/>
    <s v="39120000-9"/>
    <m/>
    <n v="490000"/>
    <x v="2"/>
    <d v="2020-07-27T00:00:00"/>
    <d v="2020-08-05T00:00:00"/>
    <d v="2020-08-07T00:00:00"/>
    <s v="Český nábytek a.s."/>
    <m/>
    <n v="439164"/>
    <n v="531388.43999999994"/>
    <m/>
    <m/>
    <m/>
    <d v="2020-08-07T00:00:00"/>
    <s v="SMLN-2020-617-000323"/>
    <x v="107"/>
    <d v="2020-09-08T00:00:00"/>
    <d v="2020-11-27T00:00:00"/>
  </r>
  <r>
    <s v="opakovaná VZ"/>
    <s v="VZ-2020-000766"/>
    <s v="ZM"/>
    <s v="Dočkalová"/>
    <x v="265"/>
    <m/>
    <m/>
    <m/>
    <s v="33140000-3"/>
    <m/>
    <n v="2160160"/>
    <x v="1"/>
    <d v="2020-08-03T00:00:00"/>
    <d v="2020-08-19T00:00:00"/>
    <d v="2020-09-11T00:00:00"/>
    <s v="Terumo BCT Europe N.V."/>
    <m/>
    <n v="2166400"/>
    <n v="2621344"/>
    <m/>
    <m/>
    <m/>
    <d v="2020-09-11T00:00:00"/>
    <s v="SMLN-2020-617-000404"/>
    <x v="110"/>
    <d v="2020-11-19T00:00:00"/>
    <s v="doba neurčitá"/>
  </r>
  <r>
    <d v="2020-07-22T00:00:00"/>
    <s v="VZ-2020-000774"/>
    <s v="INF"/>
    <s v="Oravec"/>
    <x v="266"/>
    <m/>
    <m/>
    <m/>
    <s v="72261000-2"/>
    <m/>
    <n v="740000"/>
    <x v="2"/>
    <d v="2020-08-04T00:00:00"/>
    <d v="2020-08-13T00:00:00"/>
    <d v="2020-08-19T00:00:00"/>
    <s v="systém IN s.r.o."/>
    <m/>
    <n v="599141.86"/>
    <n v="724961.65"/>
    <m/>
    <m/>
    <m/>
    <d v="2020-08-19T00:00:00"/>
    <s v="SMLN-2020-612-000073"/>
    <x v="128"/>
    <d v="2020-09-01T00:00:00"/>
    <s v="doba neurčitá"/>
  </r>
  <r>
    <d v="2020-07-23T00:00:00"/>
    <s v="VZ-2020-000777"/>
    <s v="ENERG"/>
    <s v="Eyer"/>
    <x v="267"/>
    <m/>
    <m/>
    <m/>
    <s v="45262340-6"/>
    <m/>
    <n v="510000"/>
    <x v="2"/>
    <d v="2020-07-28T00:00:00"/>
    <d v="2020-08-11T00:00:00"/>
    <d v="2020-08-17T00:00:00"/>
    <s v="DEV COMPANY, spol. s r.o."/>
    <m/>
    <n v="499925"/>
    <n v="604909.25"/>
    <m/>
    <m/>
    <m/>
    <d v="2020-08-17T00:00:00"/>
    <s v="SMLN-2020-618-000061"/>
    <x v="123"/>
    <d v="2020-09-04T00:00:00"/>
    <d v="2020-10-15T00:00:00"/>
  </r>
  <r>
    <d v="2020-07-28T00:00:00"/>
    <s v="VZ-2020-000778"/>
    <s v="INF"/>
    <s v="Oravec"/>
    <x v="268"/>
    <m/>
    <m/>
    <m/>
    <s v="30213100-6"/>
    <s v="3.2.50."/>
    <n v="478500"/>
    <x v="2"/>
    <d v="2020-08-10T00:00:00"/>
    <d v="2020-08-24T00:00:00"/>
    <d v="2020-08-27T00:00:00"/>
    <s v="AUTOCONT a.s."/>
    <m/>
    <n v="536800"/>
    <n v="649528"/>
    <m/>
    <m/>
    <m/>
    <d v="2020-08-27T00:00:00"/>
    <s v="SMLN-2020-617-000369"/>
    <x v="129"/>
    <d v="2020-09-11T00:00:00"/>
    <d v="2021-09-09T00:00:00"/>
  </r>
  <r>
    <d v="2020-07-29T00:00:00"/>
    <s v="VZ-2020-000779"/>
    <s v="INV"/>
    <s v="Spáčil"/>
    <x v="269"/>
    <m/>
    <m/>
    <m/>
    <s v="45453000-7"/>
    <m/>
    <n v="2710341"/>
    <x v="2"/>
    <d v="2020-07-31T00:00:00"/>
    <d v="2020-08-10T00:00:00"/>
    <d v="2020-08-19T00:00:00"/>
    <s v="OHL ŽS, a.s."/>
    <m/>
    <n v="2285427.7799999998"/>
    <n v="2765367.61"/>
    <m/>
    <m/>
    <m/>
    <d v="2020-08-19T00:00:00"/>
    <s v="SMLN-2020-618-000063"/>
    <x v="117"/>
    <d v="2020-09-30T00:00:00"/>
    <d v="2020-10-15T00:00:00"/>
  </r>
  <r>
    <d v="2020-07-28T00:00:00"/>
    <s v="VZ-2020-000780"/>
    <s v="REACT"/>
    <s v="Rosulek"/>
    <x v="270"/>
    <m/>
    <m/>
    <m/>
    <s v="33168100-6"/>
    <s v="2.2.256"/>
    <n v="1046580"/>
    <x v="2"/>
    <d v="2020-08-05T00:00:00"/>
    <d v="2020-08-18T00:00:00"/>
    <d v="2020-09-23T00:00:00"/>
    <s v="Olympus Czech Group, s.r.o."/>
    <m/>
    <n v="1053240"/>
    <n v="1274420.3999999999"/>
    <m/>
    <m/>
    <m/>
    <d v="2020-09-23T00:00:00"/>
    <s v="SMLN-2020-617-000432_x000a_SMLN-2020-612-000093"/>
    <x v="130"/>
    <d v="2020-10-14T00:00:00"/>
    <d v="2020-12-02T00:00:00"/>
  </r>
  <r>
    <d v="2020-07-31T00:00:00"/>
    <s v="VZ-2020-000788"/>
    <s v="LÉK"/>
    <s v="Ondráčková"/>
    <x v="271"/>
    <m/>
    <m/>
    <m/>
    <s v="24455000-8"/>
    <m/>
    <n v="167450"/>
    <x v="2"/>
    <d v="2020-08-07T00:00:00"/>
    <d v="2020-08-20T00:00:00"/>
    <d v="2020-08-24T00:00:00"/>
    <s v="PROMEDICA Praha Group, a.s."/>
    <m/>
    <n v="157630"/>
    <n v="190732.3"/>
    <m/>
    <m/>
    <m/>
    <d v="2020-08-24T00:00:00"/>
    <s v="SMLN-2020-617-000353"/>
    <x v="83"/>
    <d v="2020-09-15T00:00:00"/>
    <d v="2020-09-22T00:00:00"/>
  </r>
  <r>
    <d v="2020-07-31T00:00:00"/>
    <s v="VZ-2020-000789"/>
    <s v="LÉK"/>
    <s v="Ondráčková"/>
    <x v="272"/>
    <n v="1"/>
    <s v="PROMANUM PURE "/>
    <m/>
    <s v="24455000-8"/>
    <m/>
    <n v="250395"/>
    <x v="2"/>
    <d v="2020-08-07T00:00:00"/>
    <d v="2020-08-19T00:00:00"/>
    <d v="2020-08-20T00:00:00"/>
    <s v="B. Braun Medical s.r.o."/>
    <m/>
    <n v="249476"/>
    <n v="301865.96000000002"/>
    <m/>
    <m/>
    <m/>
    <d v="2020-08-20T00:00:00"/>
    <s v="SMLN-2020-617-000342"/>
    <x v="99"/>
    <d v="2020-09-24T00:00:00"/>
    <d v="2020-10-02T00:00:00"/>
  </r>
  <r>
    <d v="2020-07-31T00:00:00"/>
    <s v="VZ-2020-000789"/>
    <s v="LÉK"/>
    <s v="Ondráčková"/>
    <x v="272"/>
    <n v="2"/>
    <s v="STERILLIUM"/>
    <m/>
    <s v="24455000-8"/>
    <m/>
    <n v="361887"/>
    <x v="2"/>
    <d v="2020-08-07T00:00:00"/>
    <d v="2020-08-19T00:00:00"/>
    <d v="2020-08-20T00:00:00"/>
    <s v="Distrimed s.r.o."/>
    <m/>
    <n v="361582.1"/>
    <n v="437514.34"/>
    <m/>
    <m/>
    <m/>
    <d v="2020-08-20T00:00:00"/>
    <s v="SMLN-2020-617-000343"/>
    <x v="129"/>
    <d v="2020-09-15T00:00:00"/>
    <d v="2020-09-15T00:00:00"/>
  </r>
  <r>
    <d v="2020-07-31T00:00:00"/>
    <s v="VZ-2020-000789"/>
    <s v="LÉK"/>
    <s v="Ondráčková"/>
    <x v="272"/>
    <n v="3"/>
    <s v="SOFTA-MAN VISCORUB"/>
    <m/>
    <s v="24455000-8"/>
    <m/>
    <n v="62370"/>
    <x v="2"/>
    <d v="2020-08-07T00:00:00"/>
    <d v="2020-08-19T00:00:00"/>
    <d v="2020-08-20T00:00:00"/>
    <s v="B.Braun Medical s.r.o."/>
    <m/>
    <n v="62080"/>
    <n v="75116.800000000003"/>
    <m/>
    <m/>
    <m/>
    <d v="2020-08-20T00:00:00"/>
    <s v="SMLN-2020-617-000344"/>
    <x v="99"/>
    <d v="2020-09-24T00:00:00"/>
    <d v="2020-10-02T00:00:00"/>
  </r>
  <r>
    <d v="2020-07-31T00:00:00"/>
    <s v="VZ-2020-000789"/>
    <s v="LÉK"/>
    <s v="Ondráčková"/>
    <x v="272"/>
    <n v="4"/>
    <s v="BAKTOLIN PURE "/>
    <m/>
    <s v="24455000-8"/>
    <m/>
    <n v="214787"/>
    <x v="2"/>
    <d v="2020-08-07T00:00:00"/>
    <d v="2020-08-19T00:00:00"/>
    <d v="2020-08-20T00:00:00"/>
    <s v="Hartman-Rico a.s."/>
    <m/>
    <n v="214596.9"/>
    <n v="259662.25"/>
    <m/>
    <m/>
    <m/>
    <d v="2020-08-20T00:00:00"/>
    <s v="SMLN-2020-617-000345"/>
    <x v="131"/>
    <d v="2020-09-16T00:00:00"/>
    <d v="2020-09-23T00:00:00"/>
  </r>
  <r>
    <d v="2020-07-31T00:00:00"/>
    <s v="VZ-2020-000789"/>
    <s v="LÉK"/>
    <s v="Ondráčková"/>
    <x v="272"/>
    <n v="5"/>
    <s v="LIFOSAN SOFT"/>
    <m/>
    <s v="24455000-8"/>
    <m/>
    <n v="63719"/>
    <x v="2"/>
    <d v="2020-08-07T00:00:00"/>
    <d v="2020-08-19T00:00:00"/>
    <d v="2020-08-20T00:00:00"/>
    <s v="B.Braun Medical s.r.o."/>
    <m/>
    <n v="63228"/>
    <n v="76505.88"/>
    <m/>
    <m/>
    <m/>
    <d v="2020-08-20T00:00:00"/>
    <s v="SMLN-2020-617-000346"/>
    <x v="99"/>
    <d v="2020-09-24T00:00:00"/>
    <d v="2020-10-02T00:00:00"/>
  </r>
  <r>
    <d v="2020-07-31T00:00:00"/>
    <s v="VZ-2020-000789"/>
    <s v="LÉK"/>
    <s v="Ondráčková"/>
    <x v="272"/>
    <n v="6"/>
    <s v="SOFTASKIN"/>
    <m/>
    <s v="24455000-8"/>
    <m/>
    <n v="12073"/>
    <x v="2"/>
    <d v="2020-08-07T00:00:00"/>
    <d v="2020-08-19T00:00:00"/>
    <d v="2020-08-20T00:00:00"/>
    <s v="B.Braun Medical s.r.o."/>
    <m/>
    <n v="11983"/>
    <n v="14499.43"/>
    <m/>
    <m/>
    <m/>
    <d v="2020-08-20T00:00:00"/>
    <s v="SMLN-2020-617-000347"/>
    <x v="99"/>
    <d v="2020-09-24T00:00:00"/>
    <d v="2020-10-02T00:00:00"/>
  </r>
  <r>
    <d v="2020-07-31T00:00:00"/>
    <s v="VZ-2020-000790"/>
    <s v="LÉK"/>
    <s v="Ondráčková"/>
    <x v="273"/>
    <n v="1"/>
    <s v="Dezinfekční ubrosuky na bázi alkoholu bez obsahu aldehydů a jiných účinných látek zatěžujících prostředí"/>
    <m/>
    <s v="24455000-8"/>
    <m/>
    <n v="107405"/>
    <x v="2"/>
    <d v="2020-08-07T00:00:00"/>
    <d v="2020-08-21T00:00:00"/>
    <d v="2020-09-08T00:00:00"/>
    <s v="PROMEDICA Praha Group, a.s."/>
    <m/>
    <n v="104900"/>
    <n v="126929"/>
    <m/>
    <m/>
    <m/>
    <d v="2020-09-08T00:00:00"/>
    <s v="SMLN-2020-617-000384"/>
    <x v="121"/>
    <d v="2020-09-24T00:00:00"/>
    <d v="2020-09-29T00:00:00"/>
  </r>
  <r>
    <d v="2020-07-31T00:00:00"/>
    <s v="VZ-2020-000790"/>
    <s v="LÉK"/>
    <s v="Ondráčková"/>
    <x v="273"/>
    <n v="2"/>
    <s v="Dezinfekční ubrousky na citlivé povrchy (obrazovky, displeje, inkubátory, ultrazvukové sondy, apod.) bez obsahu nebo s nízkým obsahem alkoholu"/>
    <m/>
    <s v="24455000-8"/>
    <m/>
    <n v="196901"/>
    <x v="2"/>
    <d v="2020-08-07T00:00:00"/>
    <d v="2020-08-21T00:00:00"/>
    <d v="2020-09-15T00:00:00"/>
    <s v="PROMEDICA Praha Group, a.s."/>
    <s v="Ecolab odstoupil"/>
    <n v="167220"/>
    <n v="202336.19999999998"/>
    <m/>
    <m/>
    <m/>
    <d v="2020-09-15T00:00:00"/>
    <s v="SMLN-2020-617-000408"/>
    <x v="81"/>
    <d v="2020-10-02T00:00:00"/>
    <d v="2020-10-07T00:00:00"/>
  </r>
  <r>
    <d v="2020-07-31T00:00:00"/>
    <s v="VZ-2020-000790"/>
    <s v="LÉK"/>
    <s v="Ondráčková"/>
    <x v="273"/>
    <n v="3"/>
    <s v="Dezinfekční přípravky s rozprašovačem pro aplikaci postřikem na bázi alkoholu bez obsahu aldehydů a jiných účinných látek zatěžujících prostředí"/>
    <m/>
    <s v="24455000-8"/>
    <m/>
    <n v="100000"/>
    <x v="2"/>
    <d v="2020-08-07T00:00:00"/>
    <d v="2020-08-21T00:00:00"/>
    <d v="2020-09-08T00:00:00"/>
    <s v="PROMEDICA Praha Group, a.s."/>
    <s v="B. Braun odstoupil"/>
    <n v="98400"/>
    <n v="119064"/>
    <m/>
    <m/>
    <m/>
    <d v="2020-09-17T00:00:00"/>
    <s v="SMLN-2020-617-000415"/>
    <x v="122"/>
    <d v="2020-10-07T00:00:00"/>
    <d v="2020-10-14T00:00:00"/>
  </r>
  <r>
    <d v="2020-07-31T00:00:00"/>
    <s v="VZ-2020-000790"/>
    <s v="LÉK"/>
    <s v="Ondráčková"/>
    <x v="273"/>
    <n v="4"/>
    <s v="Dezinfekční přípravky bez obsahu alkoholu pro aplikaci ve formě pěny  na citlivé materiály"/>
    <m/>
    <s v="24455000-8"/>
    <m/>
    <n v="19598"/>
    <x v="2"/>
    <d v="2020-08-07T00:00:00"/>
    <d v="2020-08-21T00:00:00"/>
    <d v="2020-09-08T00:00:00"/>
    <s v="PROMEDICA Praha Group, a.s."/>
    <m/>
    <n v="17380"/>
    <n v="21029.8"/>
    <m/>
    <m/>
    <m/>
    <d v="2020-09-08T00:00:00"/>
    <s v="SMLN-2020-617-000387"/>
    <x v="121"/>
    <d v="2020-09-24T00:00:00"/>
    <d v="2020-09-29T00:00:00"/>
  </r>
  <r>
    <d v="2020-07-31T00:00:00"/>
    <s v="VZ-2020-000795"/>
    <s v="VŠEOB"/>
    <s v="Smrčková"/>
    <x v="274"/>
    <m/>
    <m/>
    <m/>
    <s v="33772000-2"/>
    <m/>
    <n v="810000"/>
    <x v="2"/>
    <d v="2020-08-10T00:00:00"/>
    <d v="2020-08-26T00:00:00"/>
    <d v="2020-09-22T00:00:00"/>
    <s v="PROMEDICA Praha Group, a.s."/>
    <m/>
    <n v="825471"/>
    <n v="998819.91"/>
    <m/>
    <m/>
    <m/>
    <d v="2020-09-22T00:00:00"/>
    <s v="SMLN-2020-617-000426"/>
    <x v="113"/>
    <d v="2020-10-13T00:00:00"/>
    <d v="2022-10-07T00:00:00"/>
  </r>
  <r>
    <d v="2020-08-14T00:00:00"/>
    <s v="VZ-2020-000804"/>
    <s v="OSB"/>
    <s v="Vaida"/>
    <x v="275"/>
    <m/>
    <m/>
    <m/>
    <s v="45430000-0"/>
    <m/>
    <n v="1200000"/>
    <x v="2"/>
    <d v="2020-08-19T00:00:00"/>
    <d v="2020-08-28T00:00:00"/>
    <d v="2020-09-03T00:00:00"/>
    <s v="BRADA Interiéry s.r.o."/>
    <m/>
    <n v="1287690"/>
    <n v="1558104.9"/>
    <m/>
    <m/>
    <m/>
    <d v="2020-09-03T00:00:00"/>
    <s v="SMLN-2020-618-000060"/>
    <x v="117"/>
    <d v="2020-09-25T00:00:00"/>
    <d v="2022-09-30T00:00:00"/>
  </r>
  <r>
    <d v="2020-08-14T00:00:00"/>
    <s v="VZ-2020-000805"/>
    <s v="OSB"/>
    <s v="Vaida"/>
    <x v="276"/>
    <m/>
    <m/>
    <m/>
    <s v="45261910-6"/>
    <m/>
    <n v="1745000"/>
    <x v="2"/>
    <d v="2020-08-19T00:00:00"/>
    <d v="2020-09-10T00:00:00"/>
    <d v="2020-09-17T00:00:00"/>
    <s v="IZOTECH Moravia , spol. s r.o."/>
    <m/>
    <n v="1786375.48"/>
    <n v="2161514.33"/>
    <m/>
    <m/>
    <m/>
    <d v="2020-09-18T00:00:00"/>
    <s v="SMLN-2020-618-000080"/>
    <x v="98"/>
    <d v="2020-10-16T00:00:00"/>
    <d v="2020-12-23T00:00:00"/>
  </r>
  <r>
    <d v="2020-08-07T00:00:00"/>
    <s v="VZ-2020-000806"/>
    <s v="OSB"/>
    <s v="Vaida"/>
    <x v="277"/>
    <m/>
    <m/>
    <m/>
    <s v="45421132-8"/>
    <m/>
    <n v="310000"/>
    <x v="2"/>
    <d v="2020-08-18T00:00:00"/>
    <d v="2020-08-28T00:00:00"/>
    <d v="2020-09-08T00:00:00"/>
    <s v="OHL ŽS, a.s."/>
    <m/>
    <n v="260746.36"/>
    <n v="315503.09999999998"/>
    <m/>
    <m/>
    <m/>
    <d v="2020-09-08T00:00:00"/>
    <s v="SMLN-2020-618-000073"/>
    <x v="132"/>
    <d v="2020-10-08T00:00:00"/>
    <d v="2020-12-13T00:00:00"/>
  </r>
  <r>
    <d v="2020-08-07T00:00:00"/>
    <s v="VZ-2020-000807"/>
    <s v="OSB"/>
    <s v="Vaida"/>
    <x v="278"/>
    <m/>
    <m/>
    <m/>
    <s v="45453100-8"/>
    <m/>
    <n v="1700000"/>
    <x v="2"/>
    <d v="2020-08-18T00:00:00"/>
    <d v="2020-09-01T00:00:00"/>
    <m/>
    <s v="zrušeno - bez nabídky"/>
    <m/>
    <m/>
    <m/>
    <m/>
    <m/>
    <m/>
    <m/>
    <m/>
    <x v="0"/>
    <d v="2020-09-01T00:00:00"/>
    <m/>
  </r>
  <r>
    <d v="2020-08-05T00:00:00"/>
    <s v="VZ-2020-000809"/>
    <s v="VŠEOB"/>
    <s v="Smrčková"/>
    <x v="279"/>
    <m/>
    <m/>
    <m/>
    <s v="39550000-2"/>
    <m/>
    <n v="1620000"/>
    <x v="2"/>
    <d v="2020-08-10T00:00:00"/>
    <d v="2020-08-14T00:00:00"/>
    <d v="2020-08-31T00:00:00"/>
    <s v="S.A.B. Impex s.r.o."/>
    <m/>
    <n v="1431000"/>
    <n v="1731600"/>
    <m/>
    <m/>
    <m/>
    <d v="2020-08-31T00:00:00"/>
    <s v="SMLN-2020-617-000372"/>
    <x v="133"/>
    <d v="2020-09-15T00:00:00"/>
    <d v="2021-09-13T00:00:00"/>
  </r>
  <r>
    <d v="2020-07-30T00:00:00"/>
    <s v="VZ-2020-000812"/>
    <s v="ZT"/>
    <s v="Rosulek"/>
    <x v="280"/>
    <m/>
    <m/>
    <m/>
    <s v="38950000-9"/>
    <s v="2.2.291"/>
    <n v="1835025"/>
    <x v="2"/>
    <d v="2020-08-07T00:00:00"/>
    <d v="2020-08-18T00:00:00"/>
    <d v="2020-09-09T00:00:00"/>
    <s v="East Port Praha, s.r.o."/>
    <m/>
    <n v="1442300"/>
    <n v="1745183"/>
    <m/>
    <m/>
    <m/>
    <d v="2020-09-10T00:00:00"/>
    <s v="SMLN-2020-617-000389_x000a_SMLN-2020-612-000085_x000a_SMLN-2020-617-000390"/>
    <x v="132"/>
    <d v="2020-10-08T00:00:00"/>
    <d v="2020-11-17T00:00:00"/>
  </r>
  <r>
    <d v="2020-08-06T00:00:00"/>
    <s v="VZ-2020-000814"/>
    <s v="LÉK"/>
    <s v="Ondráčková"/>
    <x v="281"/>
    <n v="1"/>
    <s v="IVAKAFTOR"/>
    <m/>
    <s v="33670000-7"/>
    <m/>
    <n v="21558475"/>
    <x v="0"/>
    <d v="2020-08-11T00:00:00"/>
    <d v="2020-09-15T00:00:00"/>
    <d v="2020-10-07T00:00:00"/>
    <s v="Vertex Pharmaceuticals (Ireland) Limited"/>
    <m/>
    <n v="21558474"/>
    <n v="23714321.399999999"/>
    <m/>
    <m/>
    <m/>
    <d v="2020-10-08T00:00:00"/>
    <s v="SMLN-2020-617-000463"/>
    <x v="77"/>
    <d v="2020-11-03T00:00:00"/>
    <d v="2024-10-29T00:00:00"/>
  </r>
  <r>
    <d v="2020-08-06T00:00:00"/>
    <s v="VZ-2020-000815"/>
    <s v="LÉK"/>
    <s v="Ondráčková"/>
    <x v="282"/>
    <n v="1"/>
    <s v="BOTOX"/>
    <m/>
    <s v="33632200-1"/>
    <m/>
    <n v="7314000"/>
    <x v="0"/>
    <d v="2020-08-07T00:00:00"/>
    <d v="2020-09-10T00:00:00"/>
    <d v="2020-09-23T00:00:00"/>
    <s v="Alliance Healthcare s.r.o."/>
    <m/>
    <n v="6835224.5"/>
    <n v="7518746.9500000002"/>
    <m/>
    <m/>
    <m/>
    <d v="2020-09-23T00:00:00"/>
    <s v="SMLN-2020-617-000436"/>
    <x v="93"/>
    <d v="2020-11-09T00:00:00"/>
    <d v="2023-11-03T00:00:00"/>
  </r>
  <r>
    <d v="2020-08-06T00:00:00"/>
    <s v="VZ-2020-000815"/>
    <s v="LÉK"/>
    <s v="Ondráčková"/>
    <x v="282"/>
    <n v="2"/>
    <s v="DYSPORT"/>
    <m/>
    <s v="33632200-1"/>
    <m/>
    <n v="3604311"/>
    <x v="0"/>
    <d v="2020-08-07T00:00:00"/>
    <d v="2020-09-10T00:00:00"/>
    <m/>
    <s v="zrušeno - překročení ceny"/>
    <m/>
    <m/>
    <m/>
    <m/>
    <m/>
    <m/>
    <m/>
    <m/>
    <x v="0"/>
    <d v="2020-10-26T00:00:00"/>
    <s v="30.9.2020 zrušeno"/>
  </r>
  <r>
    <d v="2020-08-06T00:00:00"/>
    <s v="VZ-2020-000815"/>
    <s v="LÉK"/>
    <s v="Ondráčková"/>
    <x v="282"/>
    <n v="3"/>
    <s v="XEOMIN"/>
    <m/>
    <s v="33632200-1"/>
    <m/>
    <n v="9316800"/>
    <x v="0"/>
    <d v="2020-08-07T00:00:00"/>
    <d v="2020-09-10T00:00:00"/>
    <d v="2020-09-23T00:00:00"/>
    <s v="PHOENIX lék.velkoobchod, s.r.o."/>
    <m/>
    <n v="9225000"/>
    <n v="10147500"/>
    <m/>
    <m/>
    <m/>
    <d v="2020-09-23T00:00:00"/>
    <s v="SMLN-2020-617-000438"/>
    <x v="134"/>
    <d v="2020-10-26T00:00:00"/>
    <d v="2023-10-19T00:00:00"/>
  </r>
  <r>
    <d v="2020-08-05T00:00:00"/>
    <s v="VZ-2020-000818"/>
    <s v="VŠEOB"/>
    <s v="Smrčková"/>
    <x v="283"/>
    <m/>
    <m/>
    <m/>
    <s v="33140000-3"/>
    <m/>
    <n v="1800000"/>
    <x v="2"/>
    <d v="2020-08-10T00:00:00"/>
    <d v="2020-08-17T00:00:00"/>
    <d v="2020-08-31T00:00:00"/>
    <s v="BLACK STORM s.r.o."/>
    <m/>
    <n v="1102500"/>
    <n v="1334025"/>
    <m/>
    <m/>
    <m/>
    <d v="2020-08-31T00:00:00"/>
    <s v="SMLN-2020-617-000373"/>
    <x v="83"/>
    <d v="2020-09-14T00:00:00"/>
    <d v="2021-09-10T00:00:00"/>
  </r>
  <r>
    <d v="2020-08-07T00:00:00"/>
    <s v="VZ-2020-000820"/>
    <s v="VŠEOB"/>
    <s v="Smrčková"/>
    <x v="284"/>
    <m/>
    <m/>
    <m/>
    <s v="18142000-6"/>
    <m/>
    <n v="1440000"/>
    <x v="2"/>
    <d v="2020-08-11T00:00:00"/>
    <d v="2020-08-18T00:00:00"/>
    <d v="2020-08-26T00:00:00"/>
    <s v="GENERAL TRADING s.r.o."/>
    <m/>
    <n v="991200"/>
    <n v="1199352"/>
    <m/>
    <m/>
    <m/>
    <d v="2020-08-26T00:00:00"/>
    <s v="SMLN-2020-617-000364"/>
    <x v="83"/>
    <d v="2020-09-15T00:00:00"/>
    <d v="2021-09-10T00:00:00"/>
  </r>
  <r>
    <d v="2020-07-21T00:00:00"/>
    <s v="VZ-2020-000821"/>
    <s v="ZM"/>
    <s v="Valtová"/>
    <x v="285"/>
    <n v="1"/>
    <s v="Sety k ASK pumpě"/>
    <m/>
    <s v="33140000 – 3"/>
    <m/>
    <n v="988250"/>
    <x v="0"/>
    <d v="2020-08-26T00:00:00"/>
    <d v="2020-10-12T00:00:00"/>
    <d v="2020-10-27T00:00:00"/>
    <s v="Johnson  &amp; Johnson s.r.o."/>
    <m/>
    <n v="988250"/>
    <n v="1195782.5"/>
    <m/>
    <m/>
    <m/>
    <d v="2020-10-27T00:00:00"/>
    <s v="SMLN-2020-617-000507_x000a_SMLN-2020-614-000059"/>
    <x v="135"/>
    <d v="2020-12-15T00:00:00"/>
    <d v="2022-12-07T00:00:00"/>
  </r>
  <r>
    <d v="2020-07-21T00:00:00"/>
    <s v="VZ-2020-000821"/>
    <s v="ZM"/>
    <s v="Valtová"/>
    <x v="285"/>
    <n v="2"/>
    <s v="Frézy k shaveru"/>
    <m/>
    <s v="33140000 – 3"/>
    <m/>
    <n v="3600000"/>
    <x v="0"/>
    <d v="2020-08-26T00:00:00"/>
    <d v="2020-10-12T00:00:00"/>
    <d v="2020-10-27T00:00:00"/>
    <s v="Johnson  &amp; Johnson s.r.o."/>
    <m/>
    <n v="3600000"/>
    <n v="4356000"/>
    <m/>
    <m/>
    <m/>
    <d v="2020-10-27T00:00:00"/>
    <s v="SMLN-2020-617-000508_x000a_SMLN-2020-614-000060"/>
    <x v="135"/>
    <d v="2020-12-15T00:00:00"/>
    <d v="2022-12-07T00:00:00"/>
  </r>
  <r>
    <d v="2020-07-21T00:00:00"/>
    <s v="VZ-2020-000821"/>
    <s v="ZM"/>
    <s v="Valtová"/>
    <x v="285"/>
    <n v="3"/>
    <s v="Elektrody VAPR"/>
    <m/>
    <s v="33140000 – 3"/>
    <m/>
    <n v="3088000"/>
    <x v="0"/>
    <d v="2020-08-26T00:00:00"/>
    <d v="2020-10-12T00:00:00"/>
    <d v="2020-10-27T00:00:00"/>
    <s v="Johnson  &amp; Johnson s.r.o."/>
    <m/>
    <n v="3088000"/>
    <n v="3736480"/>
    <m/>
    <m/>
    <m/>
    <d v="2020-10-27T00:00:00"/>
    <s v="SMLN-2020-617-000509_x000a_SMLN-2020-614-000061"/>
    <x v="135"/>
    <d v="2020-12-15T00:00:00"/>
    <d v="2022-12-07T00:00:00"/>
  </r>
  <r>
    <d v="2020-07-21T00:00:00"/>
    <s v="VZ-2020-000822"/>
    <s v="ZM"/>
    <s v="Valtová"/>
    <x v="286"/>
    <n v="1"/>
    <s v="Sety k ASK duální pumpě"/>
    <m/>
    <s v="33140000 – 3"/>
    <m/>
    <n v="565000"/>
    <x v="0"/>
    <d v="2020-08-27T00:00:00"/>
    <d v="2020-10-12T00:00:00"/>
    <d v="2020-10-27T00:00:00"/>
    <s v="Arthrex s.r.o."/>
    <m/>
    <n v="565000"/>
    <n v="683650"/>
    <m/>
    <m/>
    <m/>
    <d v="2020-10-27T00:00:00"/>
    <s v="SMLN-2020-617-000504_x000a_SMLN-2020-614-000056"/>
    <x v="106"/>
    <d v="2020-11-30T00:00:00"/>
    <d v="2022-11-24T00:00:00"/>
  </r>
  <r>
    <d v="2020-07-21T00:00:00"/>
    <s v="VZ-2020-000822"/>
    <s v="ZM"/>
    <s v="Valtová"/>
    <x v="286"/>
    <n v="2"/>
    <s v="Frézy k shaveru"/>
    <m/>
    <s v="33140000 – 3"/>
    <m/>
    <n v="1928335"/>
    <x v="0"/>
    <d v="2020-08-27T00:00:00"/>
    <d v="2020-10-12T00:00:00"/>
    <d v="2020-10-27T00:00:00"/>
    <s v="Arthrex s.r.o."/>
    <m/>
    <n v="1928335"/>
    <n v="2333285.35"/>
    <m/>
    <m/>
    <m/>
    <d v="2020-10-27T00:00:00"/>
    <s v="SMLN-2020-617-000505_x000a_SMLN-2020-614-000057"/>
    <x v="106"/>
    <d v="2020-11-30T00:00:00"/>
    <d v="2022-11-24T00:00:00"/>
  </r>
  <r>
    <d v="2020-07-21T00:00:00"/>
    <s v="VZ-2020-000822"/>
    <s v="ZM"/>
    <s v="Valtová"/>
    <x v="286"/>
    <n v="3"/>
    <s v="Sonda bipolární"/>
    <m/>
    <s v="33140000 – 3"/>
    <m/>
    <n v="1560000"/>
    <x v="0"/>
    <d v="2020-08-27T00:00:00"/>
    <d v="2020-10-12T00:00:00"/>
    <d v="2020-10-27T00:00:00"/>
    <s v="Arthrex s.r.o."/>
    <m/>
    <n v="1560000"/>
    <n v="1887600"/>
    <m/>
    <m/>
    <m/>
    <d v="2020-10-27T00:00:00"/>
    <s v="SMLN-2020-617-000506_x000a_SMLN-2020-614-000058"/>
    <x v="106"/>
    <d v="2020-11-30T00:00:00"/>
    <d v="2022-11-24T00:00:00"/>
  </r>
  <r>
    <d v="2020-08-06T00:00:00"/>
    <s v="VZ-2020-000823"/>
    <s v="EKOLOG"/>
    <s v="Svozil"/>
    <x v="287"/>
    <m/>
    <m/>
    <m/>
    <s v="45231300-8"/>
    <m/>
    <n v="1560000"/>
    <x v="2"/>
    <d v="2020-08-17T00:00:00"/>
    <d v="2020-09-01T00:00:00"/>
    <m/>
    <s v="zrušeno - ad výstavba F"/>
    <m/>
    <m/>
    <m/>
    <m/>
    <m/>
    <m/>
    <m/>
    <m/>
    <x v="0"/>
    <d v="2020-09-03T00:00:00"/>
    <m/>
  </r>
  <r>
    <d v="2020-08-07T00:00:00"/>
    <s v="VZ-2020-000824"/>
    <s v="VŠEOB"/>
    <s v="Smrčková"/>
    <x v="288"/>
    <m/>
    <m/>
    <m/>
    <s v="18142000-6"/>
    <m/>
    <n v="400000"/>
    <x v="2"/>
    <d v="2020-08-11T00:00:00"/>
    <d v="2020-08-18T00:00:00"/>
    <d v="2020-08-26T00:00:00"/>
    <s v="GENERAL TRADING s.r.o."/>
    <m/>
    <n v="330550"/>
    <n v="399965.5"/>
    <m/>
    <m/>
    <m/>
    <d v="2020-08-26T00:00:00"/>
    <s v="SMLN-2020-617-000366"/>
    <x v="83"/>
    <d v="2020-09-15T00:00:00"/>
    <d v="2021-09-10T00:00:00"/>
  </r>
  <r>
    <d v="2020-08-07T00:00:00"/>
    <s v="VZ-2020-000825"/>
    <s v="LÉK"/>
    <s v="Ondráčková"/>
    <x v="289"/>
    <n v="1"/>
    <s v="EPOPROSTENOL "/>
    <m/>
    <s v="33621100-0"/>
    <m/>
    <n v="13114622"/>
    <x v="0"/>
    <d v="2020-08-11T00:00:00"/>
    <d v="2020-09-15T00:00:00"/>
    <m/>
    <s v="zrušeno - úprava zadání"/>
    <m/>
    <m/>
    <m/>
    <m/>
    <m/>
    <m/>
    <m/>
    <m/>
    <x v="0"/>
    <d v="2020-10-29T00:00:00"/>
    <s v="1.10.2020 zrušeno"/>
  </r>
  <r>
    <d v="2020-08-07T00:00:00"/>
    <s v="VZ-2020-000825"/>
    <s v="LÉK"/>
    <s v="Ondráčková"/>
    <x v="289"/>
    <n v="2"/>
    <s v="TIKAGRELOR "/>
    <m/>
    <s v="33621100-0"/>
    <m/>
    <n v="2298259"/>
    <x v="0"/>
    <d v="2020-08-11T00:00:00"/>
    <d v="2020-09-15T00:00:00"/>
    <d v="2020-10-01T00:00:00"/>
    <s v="PHOENIX lék.velkoobchod, s.r.o."/>
    <m/>
    <n v="2296032.81"/>
    <n v="2525636.09"/>
    <m/>
    <m/>
    <m/>
    <d v="2020-10-01T00:00:00"/>
    <s v="SMLN-2020-617-000448"/>
    <x v="78"/>
    <d v="2020-11-05T00:00:00"/>
    <d v="2023-11-01T00:00:00"/>
  </r>
  <r>
    <d v="2020-08-07T00:00:00"/>
    <s v="VZ-2020-000825"/>
    <s v="LÉK"/>
    <s v="Ondráčková"/>
    <x v="289"/>
    <n v="3"/>
    <s v="SELEXIPAG "/>
    <m/>
    <s v="33621100-0"/>
    <m/>
    <n v="32395073"/>
    <x v="0"/>
    <d v="2020-08-11T00:00:00"/>
    <d v="2020-09-15T00:00:00"/>
    <m/>
    <s v="zrušeno - bez nabídky"/>
    <m/>
    <m/>
    <m/>
    <m/>
    <m/>
    <m/>
    <m/>
    <m/>
    <x v="0"/>
    <d v="2020-10-29T00:00:00"/>
    <s v="1.10.2020 zrušeno"/>
  </r>
  <r>
    <d v="2020-08-07T00:00:00"/>
    <s v="VZ-2020-000826"/>
    <s v="LÉK"/>
    <s v="Ondráčková"/>
    <x v="290"/>
    <n v="1"/>
    <s v="Enterální výživa pro podání sondou"/>
    <m/>
    <s v="15880000-0"/>
    <m/>
    <n v="16631778"/>
    <x v="0"/>
    <d v="2020-08-14T00:00:00"/>
    <d v="2020-09-17T00:00:00"/>
    <m/>
    <s v="zrušeno - tato část bude rozdělena na další části"/>
    <m/>
    <m/>
    <m/>
    <m/>
    <m/>
    <m/>
    <m/>
    <m/>
    <x v="0"/>
    <d v="2020-09-07T00:00:00"/>
    <s v="7.9.2020 zrušeno"/>
  </r>
  <r>
    <d v="2020-08-07T00:00:00"/>
    <s v="VZ-2020-000826"/>
    <s v="LÉK"/>
    <s v="Ondráčková"/>
    <x v="290"/>
    <n v="2"/>
    <s v="Enterální výživa I."/>
    <m/>
    <s v="15880000-0"/>
    <m/>
    <n v="4474683"/>
    <x v="0"/>
    <d v="2020-08-14T00:00:00"/>
    <d v="2020-09-17T00:00:00"/>
    <d v="2020-12-17T00:00:00"/>
    <s v="PHARMOS, a.s."/>
    <m/>
    <n v="4452801.9000000004"/>
    <n v="4898082.09"/>
    <m/>
    <m/>
    <m/>
    <d v="2020-12-18T00:00:00"/>
    <s v="SMLN-2020-617-000580"/>
    <x v="0"/>
    <m/>
    <m/>
  </r>
  <r>
    <d v="2020-08-07T00:00:00"/>
    <s v="VZ-2020-000826"/>
    <s v="LÉK"/>
    <s v="Ondráčková"/>
    <x v="290"/>
    <n v="3"/>
    <s v="Enterální výživa II."/>
    <m/>
    <s v="15880000-0"/>
    <m/>
    <n v="1138770"/>
    <x v="0"/>
    <d v="2020-08-14T00:00:00"/>
    <d v="2020-09-17T00:00:00"/>
    <d v="2020-12-17T00:00:00"/>
    <s v="PHARMOS, a.s."/>
    <m/>
    <n v="940666.44"/>
    <n v="1034733.08"/>
    <m/>
    <m/>
    <m/>
    <d v="2020-12-18T00:00:00"/>
    <s v="SMLN-2020-617-000581"/>
    <x v="0"/>
    <m/>
    <m/>
  </r>
  <r>
    <d v="2020-08-07T00:00:00"/>
    <s v="VZ-2020-000826"/>
    <s v="LÉK"/>
    <s v="Ondráčková"/>
    <x v="290"/>
    <n v="4"/>
    <s v="Enterální výživa III."/>
    <m/>
    <s v="15880000-0"/>
    <m/>
    <n v="933372"/>
    <x v="0"/>
    <d v="2020-08-14T00:00:00"/>
    <d v="2020-09-17T00:00:00"/>
    <d v="2020-12-09T00:00:00"/>
    <s v="Fresenius Kabi s.r.o."/>
    <m/>
    <n v="933314.4"/>
    <n v="1026645.84"/>
    <m/>
    <m/>
    <m/>
    <d v="2020-12-09T00:00:00"/>
    <s v="SMLN-2020-617-000559"/>
    <x v="0"/>
    <m/>
    <m/>
  </r>
  <r>
    <d v="2020-08-06T00:00:00"/>
    <s v="VZ-2020-000828"/>
    <s v="EKOLOG"/>
    <s v="Svozil"/>
    <x v="291"/>
    <m/>
    <m/>
    <m/>
    <s v="45332200-5"/>
    <m/>
    <n v="2390000"/>
    <x v="2"/>
    <d v="2020-08-26T00:00:00"/>
    <d v="2020-09-08T00:00:00"/>
    <d v="2020-09-17T00:00:00"/>
    <s v="MIZ Olomouc s.r.o."/>
    <m/>
    <n v="2049100"/>
    <n v="2479411"/>
    <m/>
    <m/>
    <m/>
    <d v="2020-09-18T00:00:00"/>
    <s v="SMLN-2020-618-000081"/>
    <x v="98"/>
    <d v="2020-10-16T00:00:00"/>
    <d v="2020-12-15T00:00:00"/>
  </r>
  <r>
    <d v="2020-08-07T00:00:00"/>
    <s v="VZ-2020-000833"/>
    <s v="REACT"/>
    <s v="Rosulek"/>
    <x v="292"/>
    <m/>
    <m/>
    <m/>
    <s v="33195100-4"/>
    <s v="2.3.460"/>
    <n v="320096"/>
    <x v="2"/>
    <d v="2020-08-17T00:00:00"/>
    <d v="2020-08-26T00:00:00"/>
    <d v="2020-09-03T00:00:00"/>
    <s v="medisap, s.r.o."/>
    <m/>
    <n v="320096"/>
    <n v="387316.16"/>
    <m/>
    <m/>
    <m/>
    <d v="2020-09-03T00:00:00"/>
    <s v="SMLN-2020-617-000376_x000a_SMLN-2020-612-000082"/>
    <x v="136"/>
    <d v="2020-10-02T00:00:00"/>
    <d v="2020-11-11T00:00:00"/>
  </r>
  <r>
    <d v="2020-08-11T00:00:00"/>
    <s v="VZ-2020-000852"/>
    <s v="INV"/>
    <s v="Valíček"/>
    <x v="293"/>
    <m/>
    <m/>
    <m/>
    <s v="71000000-8 "/>
    <s v="1.2.66."/>
    <n v="5000000"/>
    <x v="0"/>
    <d v="2020-08-14T00:00:00"/>
    <d v="2020-09-18T00:00:00"/>
    <d v="2020-09-30T00:00:00"/>
    <s v="EP Rožnov, a.s."/>
    <m/>
    <n v="4317000"/>
    <n v="5223570"/>
    <m/>
    <m/>
    <m/>
    <d v="2020-10-01T00:00:00"/>
    <s v="SMLN-2020-618-000089"/>
    <x v="137"/>
    <d v="2020-12-31T00:00:00"/>
    <d v="2021-05-20T00:00:00"/>
  </r>
  <r>
    <d v="2020-08-07T00:00:00"/>
    <s v="VZ-2020-000854"/>
    <s v="ZT"/>
    <s v="Rosulek"/>
    <x v="294"/>
    <m/>
    <m/>
    <m/>
    <s v="33162100-4"/>
    <s v="2.2.265"/>
    <n v="740496"/>
    <x v="2"/>
    <d v="2020-08-19T00:00:00"/>
    <d v="2020-08-28T00:00:00"/>
    <d v="2020-09-23T00:00:00"/>
    <s v="Medtronic Czechia s.r.o."/>
    <m/>
    <n v="740495"/>
    <n v="895998.95"/>
    <m/>
    <m/>
    <m/>
    <d v="2020-09-23T00:00:00"/>
    <s v="SMLN-2020-617-000433"/>
    <x v="125"/>
    <d v="2020-11-03T00:00:00"/>
    <d v="2020-12-17T00:00:00"/>
  </r>
  <r>
    <s v="opakovaná VZ"/>
    <s v="VZ-2020-000856"/>
    <s v="LÉK"/>
    <s v="Ondráčková"/>
    <x v="295"/>
    <n v="1"/>
    <s v="Enterální výživa I."/>
    <m/>
    <s v="15880000-0"/>
    <m/>
    <n v="1347950"/>
    <x v="0"/>
    <d v="2020-08-18T00:00:00"/>
    <d v="2020-09-22T00:00:00"/>
    <d v="2020-10-29T00:00:00"/>
    <s v="Alliance Healthcare s.r.o."/>
    <m/>
    <n v="822850.75"/>
    <n v="946278.36"/>
    <m/>
    <m/>
    <m/>
    <d v="2020-10-29T00:00:00"/>
    <s v="SMLN-2020-617-000516"/>
    <x v="138"/>
    <d v="2020-12-09T00:00:00"/>
    <d v="2023-12-06T00:00:00"/>
  </r>
  <r>
    <s v="opakovaná VZ"/>
    <s v="VZ-2020-000856"/>
    <s v="LÉK"/>
    <s v="Ondráčková"/>
    <x v="295"/>
    <n v="2"/>
    <s v="Enterální výživa II."/>
    <m/>
    <s v="15880000-0"/>
    <m/>
    <n v="3589383"/>
    <x v="0"/>
    <d v="2020-08-18T00:00:00"/>
    <d v="2020-09-22T00:00:00"/>
    <d v="2020-10-29T00:00:00"/>
    <s v="Alliance Healthcare s.r.o."/>
    <m/>
    <n v="3532990.39"/>
    <n v="4062938.95"/>
    <m/>
    <m/>
    <m/>
    <d v="2020-10-29T00:00:00"/>
    <s v="SMLN-2020-617-000517"/>
    <x v="138"/>
    <d v="2020-12-09T00:00:00"/>
    <d v="2023-12-06T00:00:00"/>
  </r>
  <r>
    <d v="2020-08-14T00:00:00"/>
    <s v="VZ-2020-000862"/>
    <s v="ZM"/>
    <s v="Dočkalová"/>
    <x v="296"/>
    <m/>
    <m/>
    <m/>
    <s v="18424300-0"/>
    <m/>
    <n v="1425000"/>
    <x v="2"/>
    <d v="2020-08-24T00:00:00"/>
    <d v="2020-09-03T00:00:00"/>
    <m/>
    <s v="zrušeno - bez nabídky"/>
    <m/>
    <m/>
    <m/>
    <m/>
    <m/>
    <m/>
    <m/>
    <m/>
    <x v="0"/>
    <d v="2020-09-03T00:00:00"/>
    <m/>
  </r>
  <r>
    <d v="2020-08-10T00:00:00"/>
    <s v="VZ-2020-000863"/>
    <s v="REACT"/>
    <s v="Rosulek"/>
    <x v="297"/>
    <m/>
    <m/>
    <m/>
    <s v="33162100-4"/>
    <s v="2.3.442"/>
    <n v="661157"/>
    <x v="2"/>
    <d v="2020-08-24T00:00:00"/>
    <d v="2020-09-03T00:00:00"/>
    <d v="2020-09-25T00:00:00"/>
    <s v="RADIX CZ s.r.o."/>
    <m/>
    <n v="476008"/>
    <n v="575969.67999999993"/>
    <m/>
    <m/>
    <m/>
    <d v="2020-09-25T00:00:00"/>
    <s v="SMLN-2020-617-000445_x000a_SMLN-2020-612-000099"/>
    <x v="78"/>
    <d v="2020-11-05T00:00:00"/>
    <d v="2020-12-14T00:00:00"/>
  </r>
  <r>
    <d v="2020-08-17T00:00:00"/>
    <s v="VZ-2020-000866"/>
    <s v="ZT"/>
    <s v="Hajdúch"/>
    <x v="298"/>
    <m/>
    <m/>
    <m/>
    <s v="38000000-5"/>
    <s v="?"/>
    <n v="26210000"/>
    <x v="0"/>
    <d v="2020-08-20T00:00:00"/>
    <d v="2020-10-12T00:00:00"/>
    <m/>
    <s v="zrušeno - bez hodnotitelné nabídky"/>
    <m/>
    <m/>
    <m/>
    <m/>
    <m/>
    <m/>
    <m/>
    <m/>
    <x v="0"/>
    <d v="2020-11-20T00:00:00"/>
    <s v="4.11.2020 zrušeno"/>
  </r>
  <r>
    <d v="2020-08-17T00:00:00"/>
    <s v="VZ-2020-000867"/>
    <s v="ZT"/>
    <s v="Rosulek"/>
    <x v="299"/>
    <n v="1"/>
    <s v="Hlubokomrazící boxy"/>
    <m/>
    <s v="39711100-0"/>
    <s v="2.2.276.,2.2.285.,2.3.477."/>
    <n v="801934"/>
    <x v="2"/>
    <d v="2020-08-21T00:00:00"/>
    <d v="2020-09-02T00:00:00"/>
    <d v="2020-09-22T00:00:00"/>
    <s v="Schoeller Instruments, s.r.o."/>
    <m/>
    <n v="972850"/>
    <n v="1177148.5"/>
    <m/>
    <m/>
    <m/>
    <d v="2020-09-23T00:00:00"/>
    <s v="SMLN-2020-617-000428_x000a_SMLN-2020-612-000091"/>
    <x v="112"/>
    <d v="2020-10-15T00:00:00"/>
    <d v="2020-12-09T00:00:00"/>
  </r>
  <r>
    <d v="2020-08-17T00:00:00"/>
    <s v="VZ-2020-000867"/>
    <s v="ZT"/>
    <s v="Rosulek"/>
    <x v="299"/>
    <n v="2"/>
    <s v="Famaceutické lednice"/>
    <m/>
    <s v="39711100-0"/>
    <s v="2.2.264.,2.2.277.,.2.3.475."/>
    <n v="546116"/>
    <x v="2"/>
    <d v="2020-08-21T00:00:00"/>
    <d v="2020-09-02T00:00:00"/>
    <d v="2020-09-22T00:00:00"/>
    <s v="Schoeller Instruments, s.r.o."/>
    <m/>
    <n v="508800"/>
    <n v="615648"/>
    <m/>
    <m/>
    <m/>
    <d v="2020-09-23T00:00:00"/>
    <s v="SMLN-2020-617-000429_x000a_SMLN-2020-612-000092"/>
    <x v="112"/>
    <d v="2020-10-15T00:00:00"/>
    <d v="2020-12-09T00:00:00"/>
  </r>
  <r>
    <d v="2020-08-14T00:00:00"/>
    <s v="VZ-2020-000869"/>
    <s v="INV"/>
    <s v="Valíček"/>
    <x v="300"/>
    <m/>
    <m/>
    <m/>
    <s v="71000000-8"/>
    <s v="6.1."/>
    <n v="62500000"/>
    <x v="0"/>
    <d v="2020-11-12T00:00:00"/>
    <d v="2020-12-14T00:00:00"/>
    <m/>
    <m/>
    <m/>
    <m/>
    <m/>
    <m/>
    <m/>
    <m/>
    <m/>
    <m/>
    <x v="0"/>
    <m/>
    <m/>
  </r>
  <r>
    <d v="2020-08-18T00:00:00"/>
    <s v="VZ-2020-000874"/>
    <s v="LÉK"/>
    <s v="Ondráčková"/>
    <x v="301"/>
    <n v="1"/>
    <s v="EVOLOKUMAB"/>
    <m/>
    <s v="33622000-6"/>
    <m/>
    <n v="16043040"/>
    <x v="0"/>
    <d v="2020-08-26T00:00:00"/>
    <d v="2020-09-25T00:00:00"/>
    <d v="2020-10-20T00:00:00"/>
    <s v="Amgen s.r.o."/>
    <m/>
    <n v="16043040"/>
    <n v="17647344"/>
    <m/>
    <m/>
    <m/>
    <d v="2020-10-20T00:00:00"/>
    <s v="SMLN-2020-617-000492"/>
    <x v="104"/>
    <d v="2020-11-23T00:00:00"/>
    <d v="2023-11-15T00:00:00"/>
  </r>
  <r>
    <d v="2020-08-18T00:00:00"/>
    <s v="VZ-2020-000874"/>
    <s v="LÉK"/>
    <s v="Ondráčková"/>
    <x v="301"/>
    <n v="2"/>
    <s v="ALIROKUMAB"/>
    <m/>
    <s v="33622000-6"/>
    <m/>
    <n v="10405041"/>
    <x v="0"/>
    <d v="2020-08-26T00:00:00"/>
    <d v="2020-09-25T00:00:00"/>
    <d v="2020-10-20T00:00:00"/>
    <s v="sanofi-aventis, s.r.o."/>
    <m/>
    <n v="10405040.1"/>
    <n v="11445544.109999999"/>
    <m/>
    <m/>
    <m/>
    <d v="2020-10-20T00:00:00"/>
    <s v="SMLN-2020-617-000493"/>
    <x v="94"/>
    <d v="2020-11-23T00:00:00"/>
    <d v="2023-11-12T00:00:00"/>
  </r>
  <r>
    <d v="2020-08-17T00:00:00"/>
    <s v="VZ-2020-000875"/>
    <s v="ENERG"/>
    <s v="Srovnal"/>
    <x v="302"/>
    <m/>
    <m/>
    <m/>
    <s v="42123000-7"/>
    <m/>
    <n v="700000"/>
    <x v="2"/>
    <d v="2020-08-25T00:00:00"/>
    <d v="2020-09-11T00:00:00"/>
    <d v="2020-09-17T00:00:00"/>
    <s v="Dräger Medical s.r.o."/>
    <m/>
    <n v="562000"/>
    <n v="680020"/>
    <m/>
    <m/>
    <m/>
    <d v="2020-09-18T00:00:00"/>
    <s v="SMLN-2020-617-000416"/>
    <x v="98"/>
    <d v="2020-10-16T00:00:00"/>
    <d v="2020-11-27T00:00:00"/>
  </r>
  <r>
    <d v="2020-08-14T00:00:00"/>
    <s v="VZ-2020-000876"/>
    <s v="BOZP"/>
    <s v="Kotzot"/>
    <x v="303"/>
    <m/>
    <m/>
    <m/>
    <s v="50413200-5"/>
    <m/>
    <n v="400000"/>
    <x v="2"/>
    <d v="2020-09-07T00:00:00"/>
    <d v="2020-09-15T00:00:00"/>
    <d v="2020-10-01T00:00:00"/>
    <s v="ST Security a.s."/>
    <m/>
    <n v="271740"/>
    <n v="328805.40000000002"/>
    <m/>
    <m/>
    <m/>
    <d v="2020-10-01T00:00:00"/>
    <s v="SMLN-2020-612-000107"/>
    <x v="112"/>
    <d v="2020-10-15T00:00:00"/>
    <d v="2023-10-31T00:00:00"/>
  </r>
  <r>
    <d v="2020-08-19T00:00:00"/>
    <s v="VZ-2020-000877"/>
    <s v="MARKET"/>
    <s v="Jeřábková"/>
    <x v="304"/>
    <m/>
    <m/>
    <m/>
    <s v="55120000-7"/>
    <m/>
    <n v="500000"/>
    <x v="2"/>
    <d v="2020-08-25T00:00:00"/>
    <d v="2020-09-03T00:00:00"/>
    <m/>
    <s v="zrušeno - proběhne formou videokonference"/>
    <m/>
    <m/>
    <m/>
    <m/>
    <m/>
    <m/>
    <m/>
    <m/>
    <x v="0"/>
    <d v="2020-09-02T00:00:00"/>
    <m/>
  </r>
  <r>
    <d v="2020-08-19T00:00:00"/>
    <s v="VZ-2020-000878"/>
    <s v="MARKET"/>
    <s v="Jeřábková"/>
    <x v="305"/>
    <m/>
    <m/>
    <m/>
    <s v="55120000-7"/>
    <m/>
    <n v="680000"/>
    <x v="2"/>
    <d v="2020-08-25T00:00:00"/>
    <d v="2020-09-03T00:00:00"/>
    <d v="2020-09-15T00:00:00"/>
    <s v="zrušeno - nouzový stav"/>
    <m/>
    <n v="704421"/>
    <n v="790300"/>
    <m/>
    <m/>
    <m/>
    <d v="2020-09-15T00:00:00"/>
    <s v="SMLN-2020-612-000090"/>
    <x v="0"/>
    <d v="2020-09-29T00:00:00"/>
    <m/>
  </r>
  <r>
    <s v="opakovaná VZ"/>
    <s v="VZ-2020-000879"/>
    <s v="IROP26"/>
    <s v="Miklík"/>
    <x v="306"/>
    <m/>
    <m/>
    <m/>
    <s v="48820000-2"/>
    <m/>
    <n v="22706798"/>
    <x v="0"/>
    <d v="2020-09-17T00:00:00"/>
    <d v="2020-10-19T00:00:00"/>
    <d v="2020-11-05T00:00:00"/>
    <s v="ARATEC GROUP s.r.o."/>
    <m/>
    <n v="22632179"/>
    <n v="27384936.59"/>
    <m/>
    <m/>
    <m/>
    <d v="2020-11-05T00:00:00"/>
    <s v="SMLN-2020-617-000519_x000a_SMLN-2020-612-000111"/>
    <x v="139"/>
    <d v="2020-12-28T00:00:00"/>
    <d v="2021-03-18T00:00:00"/>
  </r>
  <r>
    <s v="opakovaná VZ"/>
    <s v="VZ-2020-000882"/>
    <s v="ZT"/>
    <s v="Rosulek"/>
    <x v="307"/>
    <n v="1"/>
    <s v="Polohovatelná křesla pro odběry"/>
    <m/>
    <s v="33193120-6"/>
    <s v="2.2.251."/>
    <n v="278000"/>
    <x v="2"/>
    <d v="2020-08-24T00:00:00"/>
    <d v="2020-09-04T00:00:00"/>
    <m/>
    <s v="zrušeno - bez hodnotitelné nabídky"/>
    <s v="nová VZ-2020-001071"/>
    <m/>
    <m/>
    <m/>
    <m/>
    <m/>
    <m/>
    <m/>
    <x v="0"/>
    <d v="2020-09-30T00:00:00"/>
    <m/>
  </r>
  <r>
    <s v="opakovaná VZ"/>
    <s v="VZ-2020-000882"/>
    <s v="ZT"/>
    <s v="Rosulek"/>
    <x v="307"/>
    <n v="2"/>
    <s v="Elektricky polohovatelná křesla pro stacionář HOK"/>
    <m/>
    <s v="33193120-6"/>
    <s v="2.2.250."/>
    <n v="1709000"/>
    <x v="2"/>
    <d v="2020-08-24T00:00:00"/>
    <d v="2020-09-04T00:00:00"/>
    <d v="2020-11-20T00:00:00"/>
    <s v="RQL s.r.o."/>
    <m/>
    <n v="1407731"/>
    <n v="1703354.51"/>
    <m/>
    <m/>
    <m/>
    <d v="2020-11-20T00:00:00"/>
    <s v="SMLN-2020-617-000534_x000a_SMLN-2020-612-000117"/>
    <x v="140"/>
    <d v="2020-12-22T00:00:00"/>
    <d v="2021-01-14T00:00:00"/>
  </r>
  <r>
    <s v="opakovaná VZ"/>
    <s v="VZ-2020-000885"/>
    <s v="ZT"/>
    <s v="Rosulek"/>
    <x v="308"/>
    <m/>
    <m/>
    <m/>
    <s v="38434570-2"/>
    <s v="2.2.284"/>
    <n v="1053000"/>
    <x v="2"/>
    <d v="2020-08-26T00:00:00"/>
    <d v="2020-09-04T00:00:00"/>
    <d v="2020-09-23T00:00:00"/>
    <s v="HPST, s.r.o."/>
    <m/>
    <n v="1049838.48"/>
    <n v="1270304.56"/>
    <m/>
    <m/>
    <m/>
    <d v="2020-09-23T00:00:00"/>
    <s v="SMLN-2020-617-000434_x000a_SMLN-2020-612-000094_x000a_SMLN-2020-617-000435"/>
    <x v="141"/>
    <d v="2020-10-16T00:00:00"/>
    <d v="2020-11-26T00:00:00"/>
  </r>
  <r>
    <d v="2020-08-20T00:00:00"/>
    <s v="VZ-2020-000886"/>
    <s v="ZT"/>
    <s v="Novák"/>
    <x v="309"/>
    <m/>
    <m/>
    <m/>
    <s v="38434500-1"/>
    <s v="2.2.301"/>
    <n v="1400000"/>
    <x v="2"/>
    <d v="2020-08-26T00:00:00"/>
    <d v="2020-09-07T00:00:00"/>
    <d v="2020-09-23T00:00:00"/>
    <s v="BIO-RAD spol. s r.o."/>
    <m/>
    <n v="1421682"/>
    <n v="1720235.22"/>
    <m/>
    <m/>
    <m/>
    <d v="2020-09-23T00:00:00"/>
    <s v="SMLN-2020-617-000439_x000a_SMLN-2020-612-000096"/>
    <x v="125"/>
    <d v="2020-11-03T00:00:00"/>
    <d v="2020-12-24T00:00:00"/>
  </r>
  <r>
    <d v="2020-08-19T00:00:00"/>
    <s v="VZ-2020-000894"/>
    <s v="LÉK"/>
    <s v="Ondráčková"/>
    <x v="310"/>
    <m/>
    <m/>
    <m/>
    <s v="33696500-0"/>
    <m/>
    <n v="3800000"/>
    <x v="0"/>
    <d v="2020-09-11T00:00:00"/>
    <d v="2020-10-21T00:00:00"/>
    <d v="2020-11-13T00:00:00"/>
    <s v="PROMEDICA Praha Group, a.s."/>
    <m/>
    <n v="3444614.88"/>
    <n v="4167984"/>
    <m/>
    <m/>
    <m/>
    <d v="2020-11-13T00:00:00"/>
    <s v="SMLN-2020-617-000526_x000a_SMLN-2020-616-000056"/>
    <x v="142"/>
    <d v="2020-12-18T00:00:00"/>
    <d v="2024-12-14T00:00:00"/>
  </r>
  <r>
    <d v="2020-08-24T00:00:00"/>
    <s v="VZ-2020-000896"/>
    <s v="ENERG"/>
    <s v="Srovnal"/>
    <x v="311"/>
    <m/>
    <m/>
    <m/>
    <s v="50532400-7"/>
    <m/>
    <n v="1950000"/>
    <x v="2"/>
    <d v="2020-09-03T00:00:00"/>
    <d v="2020-09-15T00:00:00"/>
    <d v="2020-10-05T00:00:00"/>
    <s v="ELMAR group s.r.o."/>
    <m/>
    <n v="1182531"/>
    <n v="1430863"/>
    <m/>
    <m/>
    <m/>
    <d v="2020-10-05T00:00:00"/>
    <s v="SMLN-2020-618-000093"/>
    <x v="78"/>
    <d v="2020-11-03T00:00:00"/>
    <d v="2020-12-14T00:00:00"/>
  </r>
  <r>
    <d v="2020-08-05T00:00:00"/>
    <s v="VZ-2020-000897"/>
    <s v="ENERG"/>
    <s v="Srovnal"/>
    <x v="312"/>
    <m/>
    <m/>
    <m/>
    <s v="42514310-8"/>
    <m/>
    <n v="2400000"/>
    <x v="1"/>
    <d v="2020-09-03T00:00:00"/>
    <d v="2020-09-24T00:00:00"/>
    <d v="2020-10-05T00:00:00"/>
    <s v="TROX KS Filter s.r.o."/>
    <m/>
    <n v="3386236.52"/>
    <n v="4097346.19"/>
    <m/>
    <m/>
    <m/>
    <d v="2020-10-06T00:00:00"/>
    <s v="SMLN-2020-617-000454"/>
    <x v="106"/>
    <d v="2020-12-01T00:00:00"/>
    <d v="2024-11-24T00:00:00"/>
  </r>
  <r>
    <d v="2020-08-20T00:00:00"/>
    <s v="VZ-2020-000898"/>
    <s v="INF"/>
    <s v="Miklík"/>
    <x v="313"/>
    <m/>
    <m/>
    <m/>
    <s v="48821000-9"/>
    <s v="3.2.52."/>
    <n v="561984"/>
    <x v="2"/>
    <d v="2020-08-31T00:00:00"/>
    <d v="2020-09-08T00:00:00"/>
    <d v="2020-09-10T00:00:00"/>
    <s v="AUTOCONT, a.s."/>
    <m/>
    <n v="532460"/>
    <n v="644276.6"/>
    <m/>
    <m/>
    <m/>
    <d v="2020-09-10T00:00:00"/>
    <s v="SMLN-2020-617-000393"/>
    <x v="122"/>
    <d v="2020-10-06T00:00:00"/>
    <d v="2020-11-14T00:00:00"/>
  </r>
  <r>
    <d v="2020-08-25T00:00:00"/>
    <s v="VZ-2020-000900"/>
    <s v="ENERG"/>
    <s v="Eyer"/>
    <x v="314"/>
    <m/>
    <m/>
    <m/>
    <s v="45232221-7"/>
    <s v="4.2.121."/>
    <n v="8650000"/>
    <x v="1"/>
    <d v="2020-09-15T00:00:00"/>
    <d v="2020-10-08T00:00:00"/>
    <d v="2020-11-12T00:00:00"/>
    <s v="ČEZ Energetické služby s.r.o."/>
    <m/>
    <n v="8127838.2699999996"/>
    <n v="9834684.3100000005"/>
    <m/>
    <m/>
    <m/>
    <d v="2020-11-13T00:00:00"/>
    <s v="SMLN-2020-618-000108"/>
    <x v="0"/>
    <m/>
    <m/>
  </r>
  <r>
    <d v="2020-08-26T00:00:00"/>
    <s v="VZ-2020-000907"/>
    <s v="INV"/>
    <s v="Valíček"/>
    <x v="315"/>
    <m/>
    <m/>
    <m/>
    <s v="71000000-8"/>
    <s v="1.2.68."/>
    <n v="40000000"/>
    <x v="0"/>
    <d v="2020-09-04T00:00:00"/>
    <d v="2020-11-02T00:00:00"/>
    <d v="2020-12-09T00:00:00"/>
    <s v="Projekty FN Olomouc – F"/>
    <m/>
    <n v="28988500"/>
    <n v="35076085"/>
    <m/>
    <m/>
    <m/>
    <d v="2020-12-09T00:00:00"/>
    <s v="SMLN-2020-618-000117"/>
    <x v="0"/>
    <m/>
    <m/>
  </r>
  <r>
    <d v="2020-08-27T00:00:00"/>
    <s v="VZ-2020-000908"/>
    <s v="ENERG"/>
    <s v="Srovnal"/>
    <x v="316"/>
    <m/>
    <m/>
    <m/>
    <s v="50532400-7"/>
    <m/>
    <n v="5000000"/>
    <x v="0"/>
    <d v="2020-09-24T00:00:00"/>
    <d v="2020-12-15T00:00:00"/>
    <m/>
    <s v="zrušeno - rozdělit VZ na části"/>
    <m/>
    <m/>
    <m/>
    <m/>
    <m/>
    <m/>
    <m/>
    <m/>
    <x v="0"/>
    <d v="2020-12-10T00:00:00"/>
    <s v="8.12.2020 zrušeno"/>
  </r>
  <r>
    <s v="opakovaná VZ"/>
    <s v="VZ-2020-000910"/>
    <s v="ZM"/>
    <s v="Dočkalová"/>
    <x v="317"/>
    <m/>
    <m/>
    <m/>
    <s v="33140000-3"/>
    <m/>
    <n v="672000"/>
    <x v="2"/>
    <d v="2020-09-01T00:00:00"/>
    <d v="2020-09-11T00:00:00"/>
    <d v="2020-10-07T00:00:00"/>
    <s v="CoroMedical s.r.o."/>
    <m/>
    <n v="744000"/>
    <n v="900240"/>
    <m/>
    <m/>
    <m/>
    <d v="2020-10-07T00:00:00"/>
    <s v="SMLN-2020-617-000461_x000a_SMLN-2020-616-000048"/>
    <x v="78"/>
    <d v="2020-11-04T00:00:00"/>
    <s v="doba neurčitá"/>
  </r>
  <r>
    <d v="2020-08-27T00:00:00"/>
    <s v="VZ-2020-000912"/>
    <s v="OSB"/>
    <s v="Kadlec"/>
    <x v="318"/>
    <m/>
    <m/>
    <m/>
    <s v="45453000-7"/>
    <m/>
    <n v="500000"/>
    <x v="2"/>
    <d v="2020-09-03T00:00:00"/>
    <d v="2020-09-22T00:00:00"/>
    <d v="2020-10-01T00:00:00"/>
    <s v="Marek Alt"/>
    <m/>
    <n v="298353.28999999998"/>
    <n v="361007.48"/>
    <m/>
    <m/>
    <m/>
    <d v="2020-10-01T00:00:00"/>
    <s v="SMLN-2020-618-000090"/>
    <x v="68"/>
    <d v="2020-10-27T00:00:00"/>
    <d v="2020-12-08T00:00:00"/>
  </r>
  <r>
    <d v="2020-08-27T00:00:00"/>
    <s v="VZ-2020-000913"/>
    <s v="OSB"/>
    <s v="Kadlec"/>
    <x v="319"/>
    <m/>
    <m/>
    <m/>
    <s v="45453000-7"/>
    <m/>
    <n v="400000"/>
    <x v="2"/>
    <d v="2020-09-03T00:00:00"/>
    <d v="2020-09-15T00:00:00"/>
    <d v="2020-10-22T00:00:00"/>
    <s v="Stavitelství Pospíšil s.r.o."/>
    <m/>
    <n v="445113"/>
    <n v="538587"/>
    <m/>
    <m/>
    <m/>
    <d v="2020-10-22T00:00:00"/>
    <s v="SMLN-2020-618-000096"/>
    <x v="143"/>
    <d v="2020-11-12T00:00:00"/>
    <d v="2020-12-24T00:00:00"/>
  </r>
  <r>
    <d v="2020-09-01T00:00:00"/>
    <s v="VZ-2020-000920"/>
    <s v="INV"/>
    <s v="Valíček"/>
    <x v="320"/>
    <m/>
    <m/>
    <m/>
    <s v="71000000-8"/>
    <s v="1.2.67."/>
    <n v="40000000"/>
    <x v="0"/>
    <d v="2020-09-07T00:00:00"/>
    <d v="2020-11-06T00:00:00"/>
    <m/>
    <m/>
    <m/>
    <m/>
    <m/>
    <m/>
    <m/>
    <m/>
    <m/>
    <m/>
    <x v="0"/>
    <m/>
    <m/>
  </r>
  <r>
    <d v="2020-09-01T00:00:00"/>
    <s v="VZ-2020-000922"/>
    <s v="ZT"/>
    <s v="Rosulek"/>
    <x v="321"/>
    <m/>
    <m/>
    <m/>
    <s v="33115100-0"/>
    <s v="2.2.275.,2.3.502."/>
    <n v="100000000"/>
    <x v="0"/>
    <d v="2020-12-17T00:00:00"/>
    <d v="2021-01-19T00:00:00"/>
    <m/>
    <m/>
    <m/>
    <m/>
    <m/>
    <m/>
    <m/>
    <m/>
    <m/>
    <m/>
    <x v="0"/>
    <m/>
    <m/>
  </r>
  <r>
    <d v="2020-08-28T00:00:00"/>
    <s v="VZ-2020-000924"/>
    <s v="INV"/>
    <s v="Zeman"/>
    <x v="322"/>
    <m/>
    <m/>
    <m/>
    <s v="71000000-8"/>
    <s v="1.3.19."/>
    <n v="600000"/>
    <x v="2"/>
    <d v="2020-09-03T00:00:00"/>
    <d v="2020-09-17T00:00:00"/>
    <d v="2020-09-18T00:00:00"/>
    <s v="LAPLAN s.r.o."/>
    <m/>
    <n v="790000"/>
    <n v="955900"/>
    <m/>
    <m/>
    <m/>
    <d v="2020-09-21T00:00:00"/>
    <s v="SMLN-2020-618-000082"/>
    <x v="144"/>
    <d v="2020-10-26T00:00:00"/>
    <d v="2021-02-20T00:00:00"/>
  </r>
  <r>
    <s v="opakovaná VZ"/>
    <s v="VZ-2020-000927"/>
    <s v="ZM"/>
    <s v="Dočkalová"/>
    <x v="323"/>
    <n v="1"/>
    <s v="Čidla saturační SpO2 k pulzním oxymetrům MASIMO"/>
    <m/>
    <s v="33140000-3"/>
    <m/>
    <n v="1226400"/>
    <x v="1"/>
    <d v="2020-09-11T00:00:00"/>
    <d v="2020-09-30T00:00:00"/>
    <d v="2020-10-29T00:00:00"/>
    <s v="medisap, s.r.o."/>
    <m/>
    <n v="1224000"/>
    <n v="1481040"/>
    <m/>
    <m/>
    <m/>
    <d v="2020-10-29T00:00:00"/>
    <s v="SMLN-2020-617-000515"/>
    <x v="106"/>
    <d v="2020-12-03T00:00:00"/>
    <s v="doba neurčitá"/>
  </r>
  <r>
    <s v="opakovaná VZ"/>
    <s v="VZ-2020-000927"/>
    <s v="ZM"/>
    <s v="Dočkalová"/>
    <x v="323"/>
    <n v="2"/>
    <s v="Materiál spotřební k pulzním oxymetrům MASIMO"/>
    <m/>
    <s v="33140000-3"/>
    <m/>
    <n v="2116000"/>
    <x v="1"/>
    <d v="2020-09-11T00:00:00"/>
    <d v="2020-09-30T00:00:00"/>
    <m/>
    <s v="zrušeno - překročení ceny"/>
    <m/>
    <m/>
    <m/>
    <m/>
    <m/>
    <m/>
    <m/>
    <m/>
    <x v="0"/>
    <d v="2020-12-03T00:00:00"/>
    <s v="3.11.2020 zrušeno"/>
  </r>
  <r>
    <d v="2020-08-28T00:00:00"/>
    <s v="VZ-2020-000929"/>
    <s v="LÉK"/>
    <s v="Ondráčková"/>
    <x v="324"/>
    <m/>
    <m/>
    <m/>
    <s v="33694000-1"/>
    <m/>
    <n v="1996800"/>
    <x v="2"/>
    <d v="2020-09-02T00:00:00"/>
    <d v="2020-09-09T00:00:00"/>
    <m/>
    <m/>
    <m/>
    <m/>
    <m/>
    <m/>
    <m/>
    <m/>
    <m/>
    <m/>
    <x v="0"/>
    <d v="2020-09-14T00:00:00"/>
    <m/>
  </r>
  <r>
    <d v="2020-08-28T00:00:00"/>
    <s v="VZ-2020-000930"/>
    <s v="LÉK"/>
    <s v="Ondráčková"/>
    <x v="325"/>
    <m/>
    <m/>
    <m/>
    <s v="33694000-1"/>
    <m/>
    <n v="1800000"/>
    <x v="2"/>
    <d v="2020-09-03T00:00:00"/>
    <d v="2020-09-09T00:00:00"/>
    <m/>
    <s v="zrušeno - překročení ceny"/>
    <m/>
    <m/>
    <m/>
    <m/>
    <m/>
    <m/>
    <m/>
    <m/>
    <x v="0"/>
    <d v="2020-09-09T00:00:00"/>
    <m/>
  </r>
  <r>
    <d v="2020-08-28T00:00:00"/>
    <s v="VZ-2020-000931"/>
    <s v="LÉK"/>
    <s v="Ondráčková"/>
    <x v="326"/>
    <m/>
    <m/>
    <m/>
    <s v="33694000-1"/>
    <m/>
    <n v="1800000"/>
    <x v="2"/>
    <d v="2020-09-03T00:00:00"/>
    <d v="2020-09-09T00:00:00"/>
    <m/>
    <s v="zrušeno - bez nabídky"/>
    <m/>
    <m/>
    <m/>
    <m/>
    <m/>
    <m/>
    <m/>
    <m/>
    <x v="0"/>
    <d v="2020-09-09T00:00:00"/>
    <m/>
  </r>
  <r>
    <d v="2020-08-06T00:00:00"/>
    <s v="VZ-2020-000934"/>
    <s v="ZM"/>
    <s v="Valtová"/>
    <x v="327"/>
    <n v="1"/>
    <s v="Jednorázový endoskopický klipovací systém s nabitým klipem - žaludek/tračník"/>
    <m/>
    <s v="33140000-3 "/>
    <m/>
    <n v="4660000"/>
    <x v="0"/>
    <d v="2020-09-11T00:00:00"/>
    <d v="2020-11-16T00:00:00"/>
    <m/>
    <m/>
    <m/>
    <m/>
    <m/>
    <m/>
    <m/>
    <m/>
    <m/>
    <m/>
    <x v="0"/>
    <d v="2020-12-11T00:00:00"/>
    <s v="8.12.2020 zrušeno"/>
  </r>
  <r>
    <d v="2020-08-06T00:00:00"/>
    <s v="VZ-2020-000934"/>
    <s v="ZM"/>
    <s v="Valtová"/>
    <x v="327"/>
    <n v="2"/>
    <s v="Jednorázový endoskopický klipovací systém Resolution Clip 360"/>
    <m/>
    <s v="33140000-3 "/>
    <m/>
    <n v="972210"/>
    <x v="0"/>
    <d v="2020-09-11T00:00:00"/>
    <d v="2020-11-16T00:00:00"/>
    <m/>
    <m/>
    <m/>
    <m/>
    <m/>
    <m/>
    <m/>
    <m/>
    <m/>
    <m/>
    <x v="0"/>
    <d v="2020-12-11T00:00:00"/>
    <s v="8.12.2020 zrušeno"/>
  </r>
  <r>
    <d v="2020-08-06T00:00:00"/>
    <s v="VZ-2020-000934"/>
    <s v="ZM"/>
    <s v="Valtová"/>
    <x v="327"/>
    <n v="3"/>
    <s v="Klipy ke klipovači na jednorázové i opakované použití - žaludek / colon"/>
    <m/>
    <s v="33140000-3 "/>
    <m/>
    <n v="132090"/>
    <x v="0"/>
    <d v="2020-09-11T00:00:00"/>
    <d v="2020-11-16T00:00:00"/>
    <m/>
    <m/>
    <m/>
    <m/>
    <m/>
    <m/>
    <m/>
    <m/>
    <m/>
    <m/>
    <x v="0"/>
    <d v="2020-12-11T00:00:00"/>
    <s v="8.12.2020 zrušeno"/>
  </r>
  <r>
    <d v="2020-09-04T00:00:00"/>
    <s v="VZ-2020-000941"/>
    <s v="LÉK"/>
    <s v="Ondráčková"/>
    <x v="328"/>
    <n v="1"/>
    <s v="KIOVIG"/>
    <m/>
    <s v="33651520-9"/>
    <m/>
    <n v="17281625"/>
    <x v="0"/>
    <d v="2020-09-07T00:00:00"/>
    <d v="2020-11-16T00:00:00"/>
    <d v="2020-12-18T00:00:00"/>
    <s v="Takeda Pharmaceuticals Czech Republic s.r.o."/>
    <m/>
    <n v="17281625"/>
    <n v="19009787.5"/>
    <m/>
    <m/>
    <m/>
    <d v="2020-12-18T00:00:00"/>
    <s v="SMLN-2020-617-000582"/>
    <x v="0"/>
    <m/>
    <m/>
  </r>
  <r>
    <d v="2020-09-04T00:00:00"/>
    <s v="VZ-2020-000941"/>
    <s v="LÉK"/>
    <s v="Ondráčková"/>
    <x v="328"/>
    <n v="2"/>
    <s v="GAMMAGARD S/D"/>
    <m/>
    <s v="33651520-9"/>
    <m/>
    <n v="1223550"/>
    <x v="0"/>
    <d v="2020-09-07T00:00:00"/>
    <d v="2020-11-16T00:00:00"/>
    <d v="2020-12-18T00:00:00"/>
    <s v="Takeda Pharmaceuticals Czech Republic s.r.o."/>
    <m/>
    <n v="1223550"/>
    <n v="1345905"/>
    <m/>
    <m/>
    <m/>
    <d v="2020-12-18T00:00:00"/>
    <s v="SMLN-2020-617-000583"/>
    <x v="0"/>
    <m/>
    <m/>
  </r>
  <r>
    <d v="2020-09-04T00:00:00"/>
    <s v="VZ-2020-000941"/>
    <s v="LÉK"/>
    <s v="Ondráčková"/>
    <x v="328"/>
    <n v="3"/>
    <s v="FLEBOGAMMA DIF"/>
    <m/>
    <s v="33651520-9"/>
    <m/>
    <n v="98897533"/>
    <x v="0"/>
    <d v="2020-09-07T00:00:00"/>
    <d v="2020-11-16T00:00:00"/>
    <d v="2020-12-18T00:00:00"/>
    <s v="Grfols s.r.o."/>
    <m/>
    <n v="98897532.5"/>
    <n v="108787285.75"/>
    <m/>
    <m/>
    <m/>
    <d v="2020-12-18T00:00:00"/>
    <s v="SMLN-2020-617-000584"/>
    <x v="0"/>
    <m/>
    <m/>
  </r>
  <r>
    <d v="2020-09-04T00:00:00"/>
    <s v="VZ-2020-000942"/>
    <s v="LÉK"/>
    <s v="Ondráčková"/>
    <x v="329"/>
    <n v="1"/>
    <s v="INFLECTRA pro léčbu stávajících pacientů"/>
    <m/>
    <s v="33652300-8"/>
    <m/>
    <n v="26177675"/>
    <x v="0"/>
    <d v="2020-09-10T00:00:00"/>
    <d v="2020-10-14T00:00:00"/>
    <d v="2020-11-25T00:00:00"/>
    <s v="Alliance Healthcare s.r.o."/>
    <m/>
    <n v="25744379.5"/>
    <n v="28318817.449999999"/>
    <m/>
    <m/>
    <m/>
    <d v="2020-11-26T00:00:00"/>
    <s v="SMLN-2020-617-000536"/>
    <x v="0"/>
    <m/>
    <m/>
  </r>
  <r>
    <d v="2020-09-04T00:00:00"/>
    <s v="VZ-2020-000942"/>
    <s v="LÉK"/>
    <s v="Ondráčková"/>
    <x v="329"/>
    <n v="2"/>
    <s v="REMICADE pro léčbu stávajících pacientů"/>
    <m/>
    <s v="33652300-8"/>
    <m/>
    <n v="3165978"/>
    <x v="0"/>
    <d v="2020-09-10T00:00:00"/>
    <d v="2020-10-14T00:00:00"/>
    <d v="2020-11-25T00:00:00"/>
    <s v="Merck Sharp &amp; Dohme s.r.o."/>
    <m/>
    <n v="3165978"/>
    <n v="3482575.8"/>
    <m/>
    <m/>
    <m/>
    <d v="2020-11-26T00:00:00"/>
    <s v="SMLN-2020-617-000537"/>
    <x v="139"/>
    <d v="2021-01-15T00:00:00"/>
    <d v="2025-12-17T00:00:00"/>
  </r>
  <r>
    <d v="2020-09-04T00:00:00"/>
    <s v="VZ-2020-000942"/>
    <s v="LÉK"/>
    <s v="Ondráčková"/>
    <x v="329"/>
    <n v="3"/>
    <s v="INFLIXIMAB  pro léčbu nových dospělých pacientů a  dospělých pacientů před prvním switchem"/>
    <m/>
    <s v="33652300-8"/>
    <m/>
    <n v="24741000"/>
    <x v="0"/>
    <d v="2020-09-10T00:00:00"/>
    <d v="2020-10-14T00:00:00"/>
    <d v="2020-11-25T00:00:00"/>
    <s v="Promedica Praha Group, a.s."/>
    <m/>
    <n v="19105550"/>
    <n v="21016105"/>
    <m/>
    <m/>
    <m/>
    <d v="2020-11-26T00:00:00"/>
    <s v="SMLN-2020-617-000538"/>
    <x v="139"/>
    <d v="2021-01-15T00:00:00"/>
    <d v="2025-12-17T00:00:00"/>
  </r>
  <r>
    <d v="2020-09-04T00:00:00"/>
    <s v="VZ-2020-000943"/>
    <s v="LÉK"/>
    <s v="Ondráčková"/>
    <x v="330"/>
    <m/>
    <m/>
    <m/>
    <s v="33652300-8"/>
    <m/>
    <n v="8423486"/>
    <x v="0"/>
    <d v="2020-11-27T00:00:00"/>
    <d v="2021-01-15T00:00:00"/>
    <m/>
    <m/>
    <m/>
    <m/>
    <m/>
    <m/>
    <m/>
    <m/>
    <m/>
    <m/>
    <x v="0"/>
    <m/>
    <m/>
  </r>
  <r>
    <d v="2020-09-03T00:00:00"/>
    <s v="VZ-2020-000960"/>
    <s v="INF"/>
    <s v="Miklík"/>
    <x v="331"/>
    <m/>
    <m/>
    <m/>
    <s v="48900000-7"/>
    <s v="3.3.1."/>
    <n v="2533000"/>
    <x v="1"/>
    <d v="2020-09-18T00:00:00"/>
    <d v="2020-10-16T00:00:00"/>
    <d v="2020-11-03T00:00:00"/>
    <s v="CALEUM a.s."/>
    <m/>
    <n v="2985000"/>
    <n v="3611850"/>
    <m/>
    <m/>
    <m/>
    <d v="2020-11-06T00:00:00"/>
    <s v="SMLN-2020-617-000521_x000a_SMLN-2020-612-000112"/>
    <x v="145"/>
    <d v="2020-12-03T00:00:00"/>
    <d v="2021-01-29T00:00:00"/>
  </r>
  <r>
    <d v="2020-09-08T00:00:00"/>
    <s v="VZ-2020-000961"/>
    <s v="LÉK"/>
    <s v="Ondráčková"/>
    <x v="332"/>
    <n v="1"/>
    <s v="ABRAXANE"/>
    <m/>
    <s v="33652100-6"/>
    <m/>
    <n v="15458000"/>
    <x v="0"/>
    <d v="2020-09-17T00:00:00"/>
    <d v="2020-10-19T00:00:00"/>
    <d v="2020-12-01T00:00:00"/>
    <s v="PHOENIX lék.velkoobchod, s.r.o."/>
    <m/>
    <n v="15457754.07"/>
    <n v="17003529.48"/>
    <m/>
    <m/>
    <m/>
    <d v="2020-12-01T00:00:00"/>
    <s v="SMLN-2020-617-000543"/>
    <x v="0"/>
    <m/>
    <m/>
  </r>
  <r>
    <d v="2020-09-08T00:00:00"/>
    <s v="VZ-2020-000961"/>
    <s v="LÉK"/>
    <s v="Ondráčková"/>
    <x v="332"/>
    <n v="2"/>
    <s v="PAKLITAXEL  "/>
    <m/>
    <s v="33652100-6"/>
    <m/>
    <n v="1692418"/>
    <x v="0"/>
    <d v="2020-09-17T00:00:00"/>
    <d v="2020-10-19T00:00:00"/>
    <m/>
    <s v="zrušeno - bez hodnotitelné nabídky"/>
    <m/>
    <m/>
    <m/>
    <m/>
    <m/>
    <m/>
    <m/>
    <m/>
    <x v="0"/>
    <d v="2020-11-30T00:00:00"/>
    <s v="27.10.2020 zrušeno"/>
  </r>
  <r>
    <d v="2020-09-08T00:00:00"/>
    <s v="VZ-2020-000961"/>
    <s v="LÉK"/>
    <s v="Ondráčková"/>
    <x v="332"/>
    <n v="3"/>
    <s v="JEVTANA"/>
    <m/>
    <s v="33652100-6"/>
    <m/>
    <n v="4999322"/>
    <x v="0"/>
    <d v="2020-09-17T00:00:00"/>
    <d v="2020-10-19T00:00:00"/>
    <m/>
    <s v="zrušeno - bez nabídky"/>
    <m/>
    <m/>
    <m/>
    <m/>
    <m/>
    <m/>
    <m/>
    <m/>
    <x v="0"/>
    <d v="2020-11-30T00:00:00"/>
    <s v="27.10.2020 zrušeno"/>
  </r>
  <r>
    <d v="2020-09-04T00:00:00"/>
    <s v="VZ-2020-000962"/>
    <s v="INF"/>
    <s v="Oravec"/>
    <x v="333"/>
    <m/>
    <m/>
    <m/>
    <s v="30125110-5 "/>
    <m/>
    <n v="4960000"/>
    <x v="0"/>
    <d v="2020-10-09T00:00:00"/>
    <d v="2021-01-13T00:00:00"/>
    <m/>
    <m/>
    <m/>
    <m/>
    <m/>
    <m/>
    <m/>
    <m/>
    <m/>
    <m/>
    <x v="0"/>
    <m/>
    <m/>
  </r>
  <r>
    <d v="2020-09-07T00:00:00"/>
    <s v="VZ-2020-000967"/>
    <s v="ENERG"/>
    <s v="Srovnal"/>
    <x v="334"/>
    <m/>
    <m/>
    <m/>
    <s v="50710000-5"/>
    <m/>
    <n v="2700000"/>
    <x v="0"/>
    <d v="2020-09-24T00:00:00"/>
    <d v="2020-10-27T00:00:00"/>
    <d v="2020-11-13T00:00:00"/>
    <s v="ELMAR group s.r.o."/>
    <m/>
    <n v="1830310"/>
    <n v="2214675"/>
    <m/>
    <m/>
    <m/>
    <d v="2020-11-13T00:00:00"/>
    <s v="SMLN-2020-618-000109"/>
    <x v="146"/>
    <d v="2021-01-07T00:00:00"/>
    <d v="2021-02-24T00:00:00"/>
  </r>
  <r>
    <d v="2020-09-11T00:00:00"/>
    <s v="VZ-2020-000976"/>
    <s v="LÉK"/>
    <s v="Ondráčková"/>
    <x v="335"/>
    <m/>
    <m/>
    <m/>
    <s v="33694000-1"/>
    <m/>
    <n v="1999920"/>
    <x v="2"/>
    <d v="2020-09-11T00:00:00"/>
    <d v="2020-09-18T00:00:00"/>
    <d v="2020-11-16T00:00:00"/>
    <s v="MEDISTA spol. s r.o."/>
    <m/>
    <n v="1141192.8"/>
    <n v="1381206.29"/>
    <m/>
    <m/>
    <m/>
    <d v="2020-11-16T00:00:00"/>
    <s v="SMLN-2020-617-000528"/>
    <x v="138"/>
    <d v="2020-12-09T00:00:00"/>
    <d v="2020-12-21T00:00:00"/>
  </r>
  <r>
    <d v="2020-09-11T00:00:00"/>
    <s v="VZ-2020-000984"/>
    <s v="LÉK"/>
    <s v="Ondráčková"/>
    <x v="336"/>
    <m/>
    <m/>
    <m/>
    <s v="33694000-1"/>
    <m/>
    <n v="1999360"/>
    <x v="2"/>
    <d v="2020-09-16T00:00:00"/>
    <d v="2020-09-24T00:00:00"/>
    <m/>
    <s v="zrušeno - bez hodnotitelné nabídky"/>
    <m/>
    <m/>
    <m/>
    <m/>
    <m/>
    <m/>
    <m/>
    <m/>
    <x v="0"/>
    <d v="2020-11-06T00:00:00"/>
    <m/>
  </r>
  <r>
    <d v="2020-09-15T00:00:00"/>
    <s v="VZ-2020-000993"/>
    <s v="INF"/>
    <s v="Oravec"/>
    <x v="337"/>
    <m/>
    <m/>
    <m/>
    <s v="30213300-8"/>
    <m/>
    <n v="7319250"/>
    <x v="0"/>
    <d v="2020-09-22T00:00:00"/>
    <d v="2020-11-30T00:00:00"/>
    <m/>
    <m/>
    <m/>
    <m/>
    <m/>
    <m/>
    <m/>
    <m/>
    <m/>
    <m/>
    <x v="0"/>
    <m/>
    <m/>
  </r>
  <r>
    <d v="2020-09-07T00:00:00"/>
    <s v="VZ-2020-000998"/>
    <s v="ENERG"/>
    <s v="Srovnal"/>
    <x v="338"/>
    <m/>
    <m/>
    <m/>
    <s v="42416100-6"/>
    <m/>
    <n v="3500000"/>
    <x v="0"/>
    <d v="2020-10-06T00:00:00"/>
    <d v="2020-12-08T00:00:00"/>
    <m/>
    <s v="LIFTMONT CZ s.r.o."/>
    <m/>
    <n v="2790000"/>
    <n v="3375900"/>
    <m/>
    <m/>
    <m/>
    <m/>
    <m/>
    <x v="0"/>
    <m/>
    <m/>
  </r>
  <r>
    <d v="2020-09-16T00:00:00"/>
    <s v="VZ-2020-001002"/>
    <s v="ENERG"/>
    <s v="Eyer"/>
    <x v="339"/>
    <m/>
    <m/>
    <m/>
    <s v="45311100-1"/>
    <m/>
    <n v="3228000"/>
    <x v="2"/>
    <d v="2020-09-21T00:00:00"/>
    <d v="2020-09-30T00:00:00"/>
    <d v="2020-10-05T00:00:00"/>
    <s v="EBMT TZB, s .r.o."/>
    <m/>
    <n v="2997859"/>
    <n v="3627409.39"/>
    <m/>
    <m/>
    <m/>
    <d v="2020-10-05T00:00:00"/>
    <s v="SMLN-2020-618-000091"/>
    <x v="144"/>
    <d v="2020-10-26T00:00:00"/>
    <d v="2021-01-01T00:00:00"/>
  </r>
  <r>
    <d v="2020-09-16T00:00:00"/>
    <s v="VZ-2020-001003"/>
    <s v="LÉK"/>
    <s v="Ondráčková"/>
    <x v="340"/>
    <n v="1"/>
    <s v="ADVAGRAF pro stávající pacienty"/>
    <m/>
    <s v="33652300-8"/>
    <m/>
    <n v="39747523"/>
    <x v="0"/>
    <d v="2020-09-22T00:00:00"/>
    <d v="2020-10-26T00:00:00"/>
    <d v="2020-12-02T00:00:00"/>
    <s v="PHOENIX lék.velkoobchod, s.r.o."/>
    <m/>
    <n v="39747521.100000001"/>
    <n v="43722273.210000001"/>
    <m/>
    <m/>
    <m/>
    <d v="2020-12-02T00:00:00"/>
    <s v="SMLN-2020-617-000549"/>
    <x v="0"/>
    <m/>
    <m/>
  </r>
  <r>
    <d v="2020-09-16T00:00:00"/>
    <s v="VZ-2020-001003"/>
    <s v="LÉK"/>
    <s v="Ondráčková"/>
    <x v="340"/>
    <n v="2"/>
    <s v="PROGRAF pro stávající pacienty"/>
    <m/>
    <s v="33652300-8"/>
    <m/>
    <n v="2834659"/>
    <x v="0"/>
    <d v="2020-09-22T00:00:00"/>
    <d v="2020-10-26T00:00:00"/>
    <d v="2020-12-02T00:00:00"/>
    <s v="PHOENIX lék.velkoobchod, s.r.o."/>
    <m/>
    <n v="2834657.1"/>
    <n v="3118122.81"/>
    <m/>
    <m/>
    <m/>
    <d v="2020-12-02T00:00:00"/>
    <s v="SMLN-2020-617-000550"/>
    <x v="0"/>
    <m/>
    <m/>
  </r>
  <r>
    <d v="2020-09-16T00:00:00"/>
    <s v="VZ-2020-001003"/>
    <s v="LÉK"/>
    <s v="Ondráčková"/>
    <x v="340"/>
    <n v="3"/>
    <s v="ENVARSUS  pro stávající pacienty"/>
    <m/>
    <s v="33652300-8"/>
    <m/>
    <n v="3091238"/>
    <x v="0"/>
    <d v="2020-09-22T00:00:00"/>
    <d v="2020-10-26T00:00:00"/>
    <d v="2020-12-02T00:00:00"/>
    <s v="PHOENIX lék.velkoobchod, s.r.o."/>
    <m/>
    <n v="3058371.85"/>
    <n v="3364209.04"/>
    <m/>
    <m/>
    <m/>
    <d v="2020-12-02T00:00:00"/>
    <s v="SMLN-2020-617-000551"/>
    <x v="0"/>
    <m/>
    <m/>
  </r>
  <r>
    <d v="2020-09-16T00:00:00"/>
    <s v="VZ-2020-001003"/>
    <s v="LÉK"/>
    <s v="Ondráčková"/>
    <x v="340"/>
    <n v="4"/>
    <s v="DALIPORT pro nové pacienty po první transplantaci"/>
    <m/>
    <s v="33652300-8"/>
    <m/>
    <n v="4157967"/>
    <x v="0"/>
    <d v="2020-09-22T00:00:00"/>
    <d v="2020-10-26T00:00:00"/>
    <d v="2020-12-02T00:00:00"/>
    <s v="PHOENIX lék.velkoobchod, s.r.o."/>
    <m/>
    <n v="3978802.5"/>
    <n v="4376682.75"/>
    <m/>
    <m/>
    <m/>
    <d v="2020-12-02T00:00:00"/>
    <s v="SMLN-2020-617-000552"/>
    <x v="0"/>
    <m/>
    <m/>
  </r>
  <r>
    <d v="2020-09-16T00:00:00"/>
    <s v="VZ-2020-001003"/>
    <s v="LÉK"/>
    <s v="Ondráčková"/>
    <x v="340"/>
    <n v="5"/>
    <s v="EQUORAL"/>
    <m/>
    <s v="33652300-8"/>
    <m/>
    <n v="1749662"/>
    <x v="0"/>
    <d v="2020-09-22T00:00:00"/>
    <d v="2020-10-26T00:00:00"/>
    <d v="2020-12-02T00:00:00"/>
    <s v="PHOENIX lék.velkoobchod, s.r.o."/>
    <m/>
    <n v="1745639.1"/>
    <n v="1920203.01"/>
    <m/>
    <m/>
    <m/>
    <d v="2020-12-02T00:00:00"/>
    <s v="SMLN-2020-617-000553"/>
    <x v="0"/>
    <m/>
    <m/>
  </r>
  <r>
    <d v="2020-09-16T00:00:00"/>
    <s v="VZ-2020-001003"/>
    <s v="LÉK"/>
    <s v="Ondráčková"/>
    <x v="340"/>
    <n v="6"/>
    <s v="SANDIMMUN NEORAL"/>
    <m/>
    <s v="33652300-8"/>
    <m/>
    <n v="4479566"/>
    <x v="0"/>
    <d v="2020-09-22T00:00:00"/>
    <d v="2020-10-26T00:00:00"/>
    <d v="2020-12-02T00:00:00"/>
    <s v="Alliance Healthcare s.r.o."/>
    <m/>
    <n v="4479563.8"/>
    <n v="4927520.18"/>
    <m/>
    <m/>
    <m/>
    <d v="2020-12-02T00:00:00"/>
    <s v="SMLN-2020-617-000554"/>
    <x v="0"/>
    <m/>
    <m/>
  </r>
  <r>
    <d v="2020-09-08T00:00:00"/>
    <s v="VZ-2020-001007"/>
    <s v="SERVIS"/>
    <s v="Zemánek"/>
    <x v="341"/>
    <m/>
    <m/>
    <m/>
    <s v="50421000-2"/>
    <m/>
    <n v="3000000"/>
    <x v="1"/>
    <d v="2020-09-22T00:00:00"/>
    <d v="2020-10-14T00:00:00"/>
    <d v="2020-11-10T00:00:00"/>
    <s v="BMT Medical Technology s.r.o."/>
    <m/>
    <n v="368940"/>
    <n v="446417.4"/>
    <m/>
    <m/>
    <m/>
    <d v="2020-11-11T00:00:00"/>
    <s v="SMLN-2020-612-000115"/>
    <x v="0"/>
    <m/>
    <m/>
  </r>
  <r>
    <s v="opakovaná VZ"/>
    <s v="VZ-2020-001012"/>
    <s v="ZT"/>
    <s v="Rosulek"/>
    <x v="342"/>
    <m/>
    <m/>
    <m/>
    <s v="33130000-0"/>
    <s v="2.3.390."/>
    <n v="3542148"/>
    <x v="1"/>
    <d v="2020-09-22T00:00:00"/>
    <d v="2020-10-15T00:00:00"/>
    <m/>
    <m/>
    <m/>
    <m/>
    <m/>
    <m/>
    <m/>
    <m/>
    <m/>
    <m/>
    <x v="0"/>
    <m/>
    <m/>
  </r>
  <r>
    <d v="2020-09-18T00:00:00"/>
    <s v="VZ-2020-001013"/>
    <s v="ENERG"/>
    <s v="Srovnal"/>
    <x v="343"/>
    <m/>
    <m/>
    <m/>
    <s v="45453000-7"/>
    <m/>
    <n v="1950000"/>
    <x v="2"/>
    <d v="2020-09-22T00:00:00"/>
    <d v="2020-10-06T00:00:00"/>
    <d v="2020-11-03T00:00:00"/>
    <s v="Stavitelství Pospíšil s.r.o."/>
    <m/>
    <n v="1801972"/>
    <n v="2180386"/>
    <m/>
    <m/>
    <m/>
    <d v="2020-11-04T00:00:00"/>
    <s v="SMLN-2020-618-000104"/>
    <x v="106"/>
    <d v="2020-12-01T00:00:00"/>
    <d v="2021-02-07T00:00:00"/>
  </r>
  <r>
    <d v="2020-09-18T00:00:00"/>
    <s v="VZ-2020-001018"/>
    <s v="ENERG"/>
    <s v="Eyer"/>
    <x v="344"/>
    <m/>
    <m/>
    <m/>
    <s v="45316100-6"/>
    <m/>
    <n v="2500000"/>
    <x v="2"/>
    <d v="2020-09-22T00:00:00"/>
    <d v="2020-10-06T00:00:00"/>
    <d v="2020-11-03T00:00:00"/>
    <s v="Opluštil-Stavby elektromontáže s.r.o."/>
    <m/>
    <n v="2365930"/>
    <n v="2862775.3"/>
    <m/>
    <m/>
    <m/>
    <d v="2020-11-03T00:00:00"/>
    <s v="SMLN-2020-618-000103"/>
    <x v="102"/>
    <d v="2020-12-04T00:00:00"/>
    <d v="2021-01-27T00:00:00"/>
  </r>
  <r>
    <d v="2020-09-14T00:00:00"/>
    <s v="VZ-2020-001020"/>
    <s v="ENERG"/>
    <s v="Srovnal"/>
    <x v="345"/>
    <m/>
    <m/>
    <m/>
    <s v="33190000-8"/>
    <m/>
    <n v="5800000"/>
    <x v="0"/>
    <d v="2020-10-07T00:00:00"/>
    <d v="2020-11-18T00:00:00"/>
    <d v="2020-11-30T00:00:00"/>
    <s v="Dräger Medical s.r.o."/>
    <m/>
    <n v="5085998"/>
    <n v="6154057.5800000001"/>
    <m/>
    <m/>
    <m/>
    <d v="2020-11-30T00:00:00"/>
    <s v="SMLN-2020-617-000540_x000a_SMLN-2020-612-000120_x000a_SMLN-2020-612-000121"/>
    <x v="0"/>
    <m/>
    <m/>
  </r>
  <r>
    <d v="2020-09-11T00:00:00"/>
    <s v="VZ-2020-001022"/>
    <s v="INV"/>
    <s v="Langer"/>
    <x v="346"/>
    <m/>
    <m/>
    <m/>
    <s v="45215100-8"/>
    <s v="1.3.20."/>
    <n v="60000000"/>
    <x v="0"/>
    <d v="2020-09-23T00:00:00"/>
    <d v="2020-10-30T00:00:00"/>
    <d v="2020-11-23T00:00:00"/>
    <s v="OHL ŽS, a.s."/>
    <m/>
    <n v="59460506.189999998"/>
    <n v="71947212.489999995"/>
    <m/>
    <m/>
    <m/>
    <d v="2020-11-23T00:00:00"/>
    <s v="SMLN-2020-618-000114"/>
    <x v="0"/>
    <m/>
    <m/>
  </r>
  <r>
    <d v="2020-09-21T00:00:00"/>
    <s v="VZ-2020-001024"/>
    <s v="ENERG"/>
    <s v="Srovnal"/>
    <x v="347"/>
    <m/>
    <m/>
    <m/>
    <s v="45261910-6"/>
    <m/>
    <n v="350000"/>
    <x v="2"/>
    <d v="2020-09-23T00:00:00"/>
    <d v="2020-10-07T00:00:00"/>
    <m/>
    <s v="zrušeno - bez nabídky"/>
    <s v="nová VZ-2020-001187"/>
    <m/>
    <m/>
    <m/>
    <m/>
    <m/>
    <m/>
    <m/>
    <x v="0"/>
    <d v="2020-10-07T00:00:00"/>
    <m/>
  </r>
  <r>
    <s v="opakovaná VZ"/>
    <s v="VZ-2020-001029"/>
    <s v="ZT"/>
    <s v="Rosulek"/>
    <x v="348"/>
    <m/>
    <m/>
    <m/>
    <s v="33151400-7"/>
    <s v="2.3.487."/>
    <n v="1028973"/>
    <x v="2"/>
    <d v="2020-09-25T00:00:00"/>
    <d v="2020-10-08T00:00:00"/>
    <d v="2020-10-13T00:00:00"/>
    <s v="Elekta Services s.r.o."/>
    <m/>
    <n v="895199.29"/>
    <n v="1083191.1399999999"/>
    <m/>
    <m/>
    <m/>
    <d v="2020-10-13T00:00:00"/>
    <s v="SMLN-2020-617-000475"/>
    <x v="147"/>
    <d v="2020-11-11T00:00:00"/>
    <d v="2020-12-18T00:00:00"/>
  </r>
  <r>
    <d v="2020-09-21T00:00:00"/>
    <s v="VZ-2020-001035"/>
    <s v="ZM"/>
    <s v="Merta"/>
    <x v="349"/>
    <n v="1"/>
    <s v="Impantabilní dvoukanálový neurostimulační systém k léčbě Hlubokou Mozkovou Stimulací (DBS) - MRI kompatibilní - dobíjitelný"/>
    <m/>
    <s v="33158210-7"/>
    <m/>
    <n v="13712000"/>
    <x v="0"/>
    <d v="2020-10-09T00:00:00"/>
    <d v="2020-11-11T00:00:00"/>
    <d v="2020-12-01T00:00:00"/>
    <s v="MEDIFINE a.s."/>
    <m/>
    <n v="13692775.68"/>
    <n v="15806771.359999999"/>
    <m/>
    <m/>
    <m/>
    <d v="2020-12-02T00:00:00"/>
    <s v="SMLN-2020-617-000544_x000a_SMLN-2020-614-000062_x000a_SMLN-2020-616-000064"/>
    <x v="0"/>
    <m/>
    <m/>
  </r>
  <r>
    <d v="2020-09-21T00:00:00"/>
    <s v="VZ-2020-001035"/>
    <s v="ZM"/>
    <s v="Merta"/>
    <x v="349"/>
    <n v="2"/>
    <s v="Impantabilní dvoukanálový neurostimulační systém k léčbě Hlubokou Mozkovou Stimulací (DBS) - MRI kompatibilní - nedobíjitelný"/>
    <m/>
    <s v="33158210-7"/>
    <m/>
    <n v="82786000"/>
    <x v="0"/>
    <d v="2020-10-09T00:00:00"/>
    <d v="2020-11-11T00:00:00"/>
    <d v="2020-12-01T00:00:00"/>
    <s v="MEDIFINE a.s."/>
    <m/>
    <n v="81157914.239999995"/>
    <n v="93603937.439999998"/>
    <m/>
    <m/>
    <m/>
    <d v="2020-12-02T00:00:00"/>
    <s v="SMLN-2020-617-000545_x000a_SMLN-2020-614-000065"/>
    <x v="0"/>
    <m/>
    <m/>
  </r>
  <r>
    <d v="2020-09-21T00:00:00"/>
    <s v="VZ-2020-001035"/>
    <s v="ZM"/>
    <s v="Merta"/>
    <x v="349"/>
    <n v="3"/>
    <s v="Implantabilní neurostimulační systém dvoukanálový k léčbě boelstivých stavů - MRI kompatibilní - nedobíjitelný"/>
    <m/>
    <s v="33158210-7"/>
    <m/>
    <n v="38800000"/>
    <x v="0"/>
    <d v="2020-10-09T00:00:00"/>
    <d v="2020-11-11T00:00:00"/>
    <d v="2020-12-01T00:00:00"/>
    <s v="MEDIFINE a.s."/>
    <m/>
    <n v="38794688"/>
    <n v="44793519"/>
    <m/>
    <m/>
    <m/>
    <d v="2020-12-02T00:00:00"/>
    <s v="SMLN-2020-617-000546_x000a_SMLN-2020-614-000064"/>
    <x v="0"/>
    <m/>
    <m/>
  </r>
  <r>
    <d v="2020-09-21T00:00:00"/>
    <s v="VZ-2020-001035"/>
    <s v="ZM"/>
    <s v="Merta"/>
    <x v="349"/>
    <n v="4"/>
    <s v="Implantabilní neurostimulační systém dvoukanálový k léčbě boelstivých stavů - MRI kompatibilní - dobíjitelný"/>
    <m/>
    <s v="33158210-7"/>
    <m/>
    <n v="7344000"/>
    <x v="0"/>
    <d v="2020-10-09T00:00:00"/>
    <d v="2020-11-11T00:00:00"/>
    <d v="2020-12-01T00:00:00"/>
    <s v="MEDIFINE a.s."/>
    <m/>
    <n v="7340860.9199999999"/>
    <n v="8458339.5600000005"/>
    <m/>
    <m/>
    <m/>
    <d v="2020-12-02T00:00:00"/>
    <s v="SMLN-2020-617-000547_x000a_SMLN-2020-614-000065"/>
    <x v="0"/>
    <m/>
    <m/>
  </r>
  <r>
    <d v="2020-09-21T00:00:00"/>
    <s v="VZ-2020-001035"/>
    <s v="ZM"/>
    <s v="Merta"/>
    <x v="349"/>
    <n v="5"/>
    <s v="Implantabilní programovatelné lékové pumpy"/>
    <m/>
    <s v="33158210-7"/>
    <m/>
    <n v="11816000"/>
    <x v="0"/>
    <d v="2020-10-09T00:00:00"/>
    <d v="2020-11-11T00:00:00"/>
    <d v="2020-12-01T00:00:00"/>
    <s v="MEDIFINE a.s."/>
    <m/>
    <n v="11805145.800000001"/>
    <n v="13631965.199999999"/>
    <m/>
    <m/>
    <m/>
    <d v="2020-12-02T00:00:00"/>
    <s v="SMLN-2020-617-000548_x000a_SMLN-2020-614-000066"/>
    <x v="0"/>
    <m/>
    <m/>
  </r>
  <r>
    <d v="2020-09-24T00:00:00"/>
    <s v="VZ-2020-001042"/>
    <s v="LÉK"/>
    <s v="Ondráčková"/>
    <x v="350"/>
    <m/>
    <m/>
    <m/>
    <s v="33694000-1"/>
    <m/>
    <n v="15400000"/>
    <x v="0"/>
    <d v="2020-10-23T00:00:00"/>
    <d v="2020-11-25T00:00:00"/>
    <m/>
    <s v="zrušeno - bez hodnotitelné nabídky"/>
    <s v="nová VZ-2020-001312"/>
    <m/>
    <m/>
    <m/>
    <m/>
    <m/>
    <m/>
    <m/>
    <x v="0"/>
    <d v="2020-12-01T00:00:00"/>
    <s v="1.12.2020 zrušeno"/>
  </r>
  <r>
    <d v="2020-09-14T00:00:00"/>
    <s v="VZ-2020-001065"/>
    <s v="ENERG"/>
    <s v="Srovnal"/>
    <x v="351"/>
    <m/>
    <m/>
    <m/>
    <s v="45333000-0"/>
    <m/>
    <n v="450000"/>
    <x v="2"/>
    <d v="2020-10-02T00:00:00"/>
    <d v="2020-10-13T00:00:00"/>
    <d v="2020-10-23T00:00:00"/>
    <s v="Dräger Medical s.r.o."/>
    <m/>
    <n v="400222"/>
    <n v="484268.62"/>
    <m/>
    <m/>
    <m/>
    <d v="2020-10-23T00:00:00"/>
    <s v="SMLN-2020-618-000097"/>
    <x v="106"/>
    <d v="2020-12-01T00:00:00"/>
    <d v="2021-01-20T00:00:00"/>
  </r>
  <r>
    <d v="2020-09-29T00:00:00"/>
    <s v="VZ-2020-001070"/>
    <s v="INV"/>
    <s v="Zeman"/>
    <x v="352"/>
    <m/>
    <m/>
    <m/>
    <s v="45215100-8"/>
    <s v="1.2.60."/>
    <n v="550000"/>
    <x v="2"/>
    <d v="2020-10-02T00:00:00"/>
    <d v="2020-10-09T00:00:00"/>
    <d v="2020-10-12T00:00:00"/>
    <s v="EP Rožnov, a.s."/>
    <m/>
    <n v="502010"/>
    <n v="607432.1"/>
    <m/>
    <m/>
    <m/>
    <d v="2020-10-12T00:00:00"/>
    <s v="SMLN-2020-618-000094"/>
    <x v="143"/>
    <d v="2020-11-12T00:00:00"/>
    <d v="2020-12-10T00:00:00"/>
  </r>
  <r>
    <s v="opakovaná VZ"/>
    <s v="VZ-2020-001071"/>
    <s v="ZT"/>
    <s v="Rosulek"/>
    <x v="353"/>
    <m/>
    <m/>
    <m/>
    <s v="33193120-6"/>
    <m/>
    <n v="278000"/>
    <x v="2"/>
    <d v="2020-11-24T00:00:00"/>
    <d v="2020-12-07T00:00:00"/>
    <m/>
    <m/>
    <m/>
    <m/>
    <m/>
    <m/>
    <m/>
    <m/>
    <m/>
    <m/>
    <x v="0"/>
    <d v="2020-12-18T00:00:00"/>
    <m/>
  </r>
  <r>
    <d v="2020-10-01T00:00:00"/>
    <s v="VZ-2020-001077"/>
    <s v="LÉK"/>
    <s v="Ondráčková"/>
    <x v="354"/>
    <n v="1"/>
    <s v="ERENUMAB "/>
    <m/>
    <s v="33661200-3"/>
    <m/>
    <n v="27930766"/>
    <x v="0"/>
    <d v="2020-11-26T00:00:00"/>
    <d v="2020-12-28T00:00:00"/>
    <m/>
    <m/>
    <m/>
    <m/>
    <m/>
    <m/>
    <m/>
    <m/>
    <m/>
    <m/>
    <x v="0"/>
    <m/>
    <m/>
  </r>
  <r>
    <d v="2020-10-01T00:00:00"/>
    <s v="VZ-2020-001078"/>
    <s v="LÉK"/>
    <s v="Ondráčková"/>
    <x v="355"/>
    <n v="1"/>
    <s v="GEMTUZUMAB OZOGAMICIN "/>
    <m/>
    <s v="33652100-6"/>
    <m/>
    <n v="77771612"/>
    <x v="0"/>
    <d v="2020-11-24T00:00:00"/>
    <d v="2021-01-25T00:00:00"/>
    <m/>
    <m/>
    <m/>
    <m/>
    <m/>
    <m/>
    <m/>
    <m/>
    <m/>
    <m/>
    <x v="0"/>
    <m/>
    <m/>
  </r>
  <r>
    <d v="2020-10-01T00:00:00"/>
    <s v="VZ-2020-001079"/>
    <s v="VŠEOB"/>
    <s v="Smrčková"/>
    <x v="356"/>
    <m/>
    <m/>
    <m/>
    <s v="35113490-0"/>
    <m/>
    <n v="1300000"/>
    <x v="2"/>
    <d v="2020-10-02T00:00:00"/>
    <d v="2020-10-08T00:00:00"/>
    <d v="2020-10-12T00:00:00"/>
    <s v="Medisun, s.r.o."/>
    <m/>
    <n v="1300000"/>
    <n v="1573000"/>
    <m/>
    <m/>
    <m/>
    <d v="2020-10-12T00:00:00"/>
    <s v="SMLN-2020-617-000466"/>
    <x v="78"/>
    <d v="2020-11-03T00:00:00"/>
    <d v="2020-11-09T00:00:00"/>
  </r>
  <r>
    <d v="2020-06-01T00:00:00"/>
    <s v="VZ-2020-001080"/>
    <s v="EKOLOG"/>
    <s v="Svozil"/>
    <x v="357"/>
    <m/>
    <m/>
    <m/>
    <s v="45232150-8"/>
    <m/>
    <n v="1050000"/>
    <x v="2"/>
    <d v="2020-11-27T00:00:00"/>
    <d v="2020-12-10T00:00:00"/>
    <m/>
    <s v="zrušeno - bez nabídky"/>
    <m/>
    <m/>
    <m/>
    <m/>
    <m/>
    <m/>
    <m/>
    <m/>
    <x v="0"/>
    <m/>
    <m/>
  </r>
  <r>
    <d v="2020-09-24T00:00:00"/>
    <s v="VZ-2020-001085"/>
    <s v="ENERG"/>
    <s v="Srovnal"/>
    <x v="358"/>
    <m/>
    <m/>
    <m/>
    <s v="50532400-7"/>
    <m/>
    <n v="3000000"/>
    <x v="0"/>
    <d v="2020-10-13T00:00:00"/>
    <d v="2020-11-18T00:00:00"/>
    <d v="2020-12-17T00:00:00"/>
    <s v="ELMAR group s.r.o."/>
    <m/>
    <n v="1683818"/>
    <n v="2037420"/>
    <m/>
    <m/>
    <m/>
    <d v="2020-12-17T00:00:00"/>
    <s v="SMLN-2020-618-000120"/>
    <x v="146"/>
    <d v="2021-01-07T00:00:00"/>
    <d v="2021-02-10T00:00:00"/>
  </r>
  <r>
    <d v="2020-10-02T00:00:00"/>
    <s v="VZ-2020-001086"/>
    <s v="ENERG"/>
    <s v="Eyer"/>
    <x v="359"/>
    <m/>
    <m/>
    <m/>
    <s v="45311100-1"/>
    <m/>
    <n v="3900000"/>
    <x v="2"/>
    <d v="2020-10-06T00:00:00"/>
    <d v="2020-10-20T00:00:00"/>
    <d v="2020-10-23T00:00:00"/>
    <s v="ELPREMO, spol. s.r.o."/>
    <m/>
    <n v="3061779"/>
    <n v="3704753"/>
    <m/>
    <m/>
    <m/>
    <d v="2020-10-23T00:00:00"/>
    <s v="SMLN-2020-618-000098"/>
    <x v="102"/>
    <d v="2020-12-07T00:00:00"/>
    <d v="2021-01-13T00:00:00"/>
  </r>
  <r>
    <d v="2020-10-02T00:00:00"/>
    <s v="VZ-2020-001088"/>
    <s v="ZT"/>
    <s v="Rosulek"/>
    <x v="360"/>
    <m/>
    <m/>
    <m/>
    <s v="38423000-6"/>
    <s v="2.3.507."/>
    <n v="320000"/>
    <x v="2"/>
    <d v="2020-10-09T00:00:00"/>
    <d v="2020-10-22T00:00:00"/>
    <m/>
    <s v="zrušeno - bez hodnotitlené nabídky, špatně technikcé parametry"/>
    <m/>
    <m/>
    <m/>
    <m/>
    <m/>
    <m/>
    <m/>
    <m/>
    <x v="0"/>
    <d v="2020-12-17T00:00:00"/>
    <m/>
  </r>
  <r>
    <d v="2020-09-29T00:00:00"/>
    <s v="VZ-2020-001094"/>
    <s v="KIPE"/>
    <s v="Hlavinka"/>
    <x v="361"/>
    <m/>
    <m/>
    <m/>
    <s v="72227000-2"/>
    <m/>
    <n v="1500000"/>
    <x v="2"/>
    <d v="2020-11-20T00:00:00"/>
    <d v="2020-12-07T00:00:00"/>
    <d v="2020-12-17T00:00:00"/>
    <s v="GROUWE, s.r.o."/>
    <m/>
    <n v="990000"/>
    <n v="1197900"/>
    <m/>
    <m/>
    <m/>
    <d v="2020-12-17T00:00:00"/>
    <s v="SMLN-2020-612-000127"/>
    <x v="0"/>
    <m/>
    <m/>
  </r>
  <r>
    <d v="2020-10-05T00:00:00"/>
    <s v="VZ-2020-001098"/>
    <s v="INF"/>
    <s v="Miklík"/>
    <x v="362"/>
    <m/>
    <m/>
    <m/>
    <s v="72611000-6"/>
    <m/>
    <n v="814049"/>
    <x v="2"/>
    <d v="2020-10-13T00:00:00"/>
    <d v="2020-10-20T00:00:00"/>
    <d v="2020-10-21T00:00:00"/>
    <s v="MERIT GROUP a.s."/>
    <m/>
    <n v="791473"/>
    <n v="957682.33"/>
    <m/>
    <m/>
    <m/>
    <d v="2020-10-21T00:00:00"/>
    <s v="SMLN-2020-612-000110"/>
    <x v="147"/>
    <d v="2020-11-10T00:00:00"/>
    <d v="2023-11-30T00:00:00"/>
  </r>
  <r>
    <d v="2020-10-06T00:00:00"/>
    <s v="VZ-2020-001099"/>
    <s v="ZT"/>
    <s v="Novák"/>
    <x v="363"/>
    <m/>
    <m/>
    <m/>
    <s v="38434500-1"/>
    <m/>
    <n v="1560000"/>
    <x v="2"/>
    <d v="2020-10-07T00:00:00"/>
    <d v="2020-10-09T00:00:00"/>
    <d v="2020-10-20T00:00:00"/>
    <s v="I.T.A. - Interact s.r.o."/>
    <m/>
    <n v="1638000"/>
    <n v="1981980"/>
    <m/>
    <m/>
    <m/>
    <d v="2020-10-20T00:00:00"/>
    <s v="SMLN-2020-617-000496_x000a_SMLN-2020-612-000109"/>
    <x v="106"/>
    <d v="2020-11-30T00:00:00"/>
    <d v="2020-12-16T00:00:00"/>
  </r>
  <r>
    <d v="2020-09-24T00:00:00"/>
    <s v="VZ-2020-001102"/>
    <s v="ENERG"/>
    <s v="Srovnal"/>
    <x v="364"/>
    <m/>
    <m/>
    <m/>
    <s v="42419510-4 "/>
    <m/>
    <n v="3500000"/>
    <x v="2"/>
    <d v="2020-10-19T00:00:00"/>
    <d v="2020-10-30T00:00:00"/>
    <d v="2020-11-04T00:00:00"/>
    <s v="MERIT GROUP a.s."/>
    <m/>
    <n v="2513797.41"/>
    <n v="3041694.87"/>
    <m/>
    <m/>
    <m/>
    <d v="2020-11-04T00:00:00"/>
    <s v="SMLN-2020-618-000105"/>
    <x v="145"/>
    <d v="2020-12-03T00:00:00"/>
    <d v="2021-01-25T00:00:00"/>
  </r>
  <r>
    <d v="2020-10-08T00:00:00"/>
    <s v="VZ-2020-001119"/>
    <s v="ZT"/>
    <s v="Rosulek"/>
    <x v="365"/>
    <m/>
    <m/>
    <m/>
    <s v="38341500-2"/>
    <s v="2.3.461."/>
    <n v="930000"/>
    <x v="2"/>
    <d v="2020-10-15T00:00:00"/>
    <d v="2020-10-23T00:00:00"/>
    <d v="2020-11-30T00:00:00"/>
    <s v="CANBERRA-PACKARD, s.r.o."/>
    <m/>
    <n v="534600"/>
    <n v="646866"/>
    <m/>
    <m/>
    <m/>
    <d v="2020-11-30T00:00:00"/>
    <s v="SMLN-2020-617-000541_x000a_SMLN-2020-612-000122"/>
    <x v="148"/>
    <d v="2021-01-05T00:00:00"/>
    <d v="2021-03-08T00:00:00"/>
  </r>
  <r>
    <d v="2020-09-14T00:00:00"/>
    <s v="VZ-2020-001120"/>
    <s v="ENERG"/>
    <s v="Srovnal"/>
    <x v="366"/>
    <m/>
    <m/>
    <m/>
    <s v="50700000-2"/>
    <m/>
    <n v="5160000"/>
    <x v="0"/>
    <d v="2020-10-19T00:00:00"/>
    <d v="2020-12-02T00:00:00"/>
    <m/>
    <s v="Výtahy-Elektro Žižka spol. s r.o.                               "/>
    <m/>
    <n v="4379500"/>
    <n v="5299195"/>
    <m/>
    <m/>
    <m/>
    <m/>
    <m/>
    <x v="0"/>
    <m/>
    <m/>
  </r>
  <r>
    <d v="2020-10-07T00:00:00"/>
    <s v="VZ-2020-001142"/>
    <s v="ENERG"/>
    <s v="Srovnal"/>
    <x v="367"/>
    <m/>
    <m/>
    <m/>
    <s v="50532400-7"/>
    <m/>
    <n v="5600000"/>
    <x v="0"/>
    <d v="2020-10-23T00:00:00"/>
    <d v="2020-11-27T00:00:00"/>
    <d v="2020-12-17T00:00:00"/>
    <s v="ELMAR group s.r.o."/>
    <m/>
    <n v="4143832"/>
    <n v="5014037"/>
    <m/>
    <m/>
    <m/>
    <d v="2020-12-17T00:00:00"/>
    <s v="SMLN-2020-618-000121"/>
    <x v="146"/>
    <d v="2021-01-06T00:00:00"/>
    <d v="2021-02-10T00:00:00"/>
  </r>
  <r>
    <d v="2020-10-16T00:00:00"/>
    <s v="VZ-2020-001143"/>
    <s v="OSB"/>
    <s v="Kadlec"/>
    <x v="368"/>
    <m/>
    <m/>
    <m/>
    <s v="45453100-8"/>
    <m/>
    <n v="2700000"/>
    <x v="2"/>
    <d v="2020-10-23T00:00:00"/>
    <d v="2020-11-03T00:00:00"/>
    <d v="2020-11-23T00:00:00"/>
    <s v="SEADON, s.r.o."/>
    <m/>
    <n v="1925459.74"/>
    <n v="2329806.29"/>
    <m/>
    <m/>
    <m/>
    <d v="2020-11-23T00:00:00"/>
    <s v="SMLN-2020-618-000113"/>
    <x v="0"/>
    <m/>
    <m/>
  </r>
  <r>
    <d v="2020-10-08T00:00:00"/>
    <s v="VZ-2020-001150"/>
    <s v="ZT"/>
    <s v="Rosulek"/>
    <x v="369"/>
    <m/>
    <m/>
    <m/>
    <s v="38950000-9"/>
    <m/>
    <n v="284000"/>
    <x v="2"/>
    <d v="2020-10-21T00:00:00"/>
    <d v="2020-10-30T00:00:00"/>
    <m/>
    <s v="zrušeno - bez nabídky"/>
    <m/>
    <m/>
    <m/>
    <m/>
    <m/>
    <m/>
    <m/>
    <m/>
    <x v="0"/>
    <d v="2020-10-30T00:00:00"/>
    <m/>
  </r>
  <r>
    <d v="2020-11-30T00:00:00"/>
    <s v="VZ-2020-001153"/>
    <s v="ZT"/>
    <s v="Rosulek"/>
    <x v="370"/>
    <m/>
    <m/>
    <m/>
    <s v="38000000-5"/>
    <s v="2.3.482"/>
    <n v="1282000"/>
    <x v="2"/>
    <d v="2020-12-02T00:00:00"/>
    <d v="2020-12-18T00:00:00"/>
    <m/>
    <m/>
    <m/>
    <m/>
    <m/>
    <m/>
    <m/>
    <m/>
    <m/>
    <m/>
    <x v="0"/>
    <m/>
    <m/>
  </r>
  <r>
    <d v="2020-11-23T00:00:00"/>
    <s v="VZ-2020-001154"/>
    <s v="ZT"/>
    <s v="Rosulek"/>
    <x v="371"/>
    <m/>
    <m/>
    <m/>
    <s v="38000000-5"/>
    <s v="2.2.273"/>
    <n v="330000"/>
    <x v="2"/>
    <d v="2020-11-25T00:00:00"/>
    <d v="2020-12-09T00:00:00"/>
    <m/>
    <m/>
    <m/>
    <m/>
    <m/>
    <m/>
    <m/>
    <m/>
    <m/>
    <m/>
    <x v="0"/>
    <m/>
    <m/>
  </r>
  <r>
    <d v="2020-11-26T00:00:00"/>
    <s v="VZ-2020-001155"/>
    <s v="ZT"/>
    <s v="Rosulek"/>
    <x v="372"/>
    <m/>
    <m/>
    <m/>
    <s v="33155000-1"/>
    <s v="2.3.464"/>
    <n v="727000"/>
    <x v="2"/>
    <d v="2020-12-01T00:00:00"/>
    <d v="2020-12-11T00:00:00"/>
    <m/>
    <m/>
    <m/>
    <m/>
    <m/>
    <m/>
    <m/>
    <m/>
    <m/>
    <m/>
    <x v="0"/>
    <m/>
    <m/>
  </r>
  <r>
    <d v="2020-10-19T00:00:00"/>
    <s v="VZ-2020-001157"/>
    <s v="LÉK"/>
    <s v="Ondráčková"/>
    <x v="373"/>
    <n v="1"/>
    <s v="ACTRAPID PENFILL"/>
    <m/>
    <s v="33615100-5"/>
    <m/>
    <n v="3271950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s v="LÉK"/>
    <s v="Ondráčková"/>
    <x v="373"/>
    <n v="2"/>
    <s v="HUMULIN R"/>
    <m/>
    <s v="33615100-5"/>
    <m/>
    <n v="1306500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s v="LÉK"/>
    <s v="Ondráčková"/>
    <x v="373"/>
    <n v="3"/>
    <s v="HUMALOG"/>
    <m/>
    <s v="33615100-5"/>
    <m/>
    <n v="1129930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s v="LÉK"/>
    <s v="Ondráčková"/>
    <x v="373"/>
    <n v="4"/>
    <s v="FIASP"/>
    <m/>
    <s v="33615100-5"/>
    <m/>
    <n v="1966708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s v="LÉK"/>
    <s v="Ondráčková"/>
    <x v="373"/>
    <n v="5"/>
    <s v="NOVORAPID"/>
    <m/>
    <s v="33615100-5"/>
    <m/>
    <n v="10607165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s v="LÉK"/>
    <s v="Ondráčková"/>
    <x v="373"/>
    <n v="6"/>
    <s v="APIDRA"/>
    <m/>
    <s v="33615100-5"/>
    <m/>
    <n v="339465"/>
    <x v="0"/>
    <d v="2020-10-23T00:00:00"/>
    <d v="2020-12-23T00:00:00"/>
    <m/>
    <m/>
    <m/>
    <m/>
    <m/>
    <m/>
    <m/>
    <m/>
    <m/>
    <m/>
    <x v="0"/>
    <m/>
    <m/>
  </r>
  <r>
    <d v="2020-10-19T00:00:00"/>
    <s v="VZ-2020-001158"/>
    <s v="LÉK"/>
    <s v="Ondráčková"/>
    <x v="374"/>
    <n v="1"/>
    <s v="SEBELIPASA ALFA"/>
    <m/>
    <s v="24965000-6; 33621100-0"/>
    <m/>
    <n v="125530696"/>
    <x v="0"/>
    <d v="2020-10-23T00:00:00"/>
    <d v="2020-12-28T00:00:00"/>
    <m/>
    <m/>
    <m/>
    <m/>
    <m/>
    <m/>
    <m/>
    <m/>
    <m/>
    <m/>
    <x v="0"/>
    <m/>
    <m/>
  </r>
  <r>
    <d v="2020-10-19T00:00:00"/>
    <s v="VZ-2020-001158"/>
    <s v="LÉK"/>
    <s v="Ondráčková"/>
    <x v="374"/>
    <n v="2"/>
    <s v="SELEXIPAG "/>
    <m/>
    <s v="24965000-6; 33621100-0"/>
    <m/>
    <n v="32395073"/>
    <x v="0"/>
    <d v="2020-10-23T00:00:00"/>
    <d v="2020-12-28T00:00:00"/>
    <m/>
    <m/>
    <m/>
    <m/>
    <m/>
    <m/>
    <m/>
    <m/>
    <m/>
    <m/>
    <x v="0"/>
    <m/>
    <m/>
  </r>
  <r>
    <d v="2020-10-20T00:00:00"/>
    <s v="VZ-2020-001159"/>
    <s v="ZM"/>
    <s v="Dočkalová"/>
    <x v="375"/>
    <m/>
    <m/>
    <m/>
    <s v="33140000-3"/>
    <m/>
    <n v="1999006"/>
    <x v="2"/>
    <d v="2020-10-20T00:00:00"/>
    <d v="2020-10-26T00:00:00"/>
    <d v="2020-10-29T00:00:00"/>
    <s v="Pro-Charitu s.r.o."/>
    <m/>
    <n v="1999006"/>
    <n v="2418797.2599999998"/>
    <m/>
    <m/>
    <m/>
    <d v="2020-10-29T00:00:00"/>
    <s v="SMLN-2020-617-000510"/>
    <x v="104"/>
    <d v="2020-11-23T00:00:00"/>
    <d v="2020-12-01T00:00:00"/>
  </r>
  <r>
    <d v="2020-10-13T00:00:00"/>
    <s v="VZ-2020-001164"/>
    <s v="ZT"/>
    <s v="Rosulek"/>
    <x v="376"/>
    <m/>
    <m/>
    <m/>
    <s v="38950000-9"/>
    <m/>
    <n v="2010000"/>
    <x v="1"/>
    <d v="2020-10-30T00:00:00"/>
    <d v="2020-11-18T00:00:00"/>
    <m/>
    <m/>
    <m/>
    <m/>
    <m/>
    <m/>
    <m/>
    <m/>
    <m/>
    <m/>
    <x v="0"/>
    <m/>
    <m/>
  </r>
  <r>
    <d v="2020-10-21T00:00:00"/>
    <s v="VZ-2020-001168"/>
    <s v="ENERG"/>
    <s v="Eyer"/>
    <x v="377"/>
    <m/>
    <m/>
    <m/>
    <s v="50712000-9"/>
    <m/>
    <n v="1100000"/>
    <x v="2"/>
    <d v="2020-10-23T00:00:00"/>
    <d v="2020-11-10T00:00:00"/>
    <d v="2020-11-18T00:00:00"/>
    <s v="MIZ Olomouc, s.r.o."/>
    <m/>
    <n v="1024800"/>
    <n v="1240008"/>
    <m/>
    <m/>
    <m/>
    <d v="2020-11-18T00:00:00"/>
    <s v="SMLN-2020-618-000111"/>
    <x v="138"/>
    <d v="2020-12-09T00:00:00"/>
    <d v="2021-02-15T00:00:00"/>
  </r>
  <r>
    <d v="2020-10-13T00:00:00"/>
    <s v="VZ-2020-001170"/>
    <s v="INV"/>
    <s v="Langer"/>
    <x v="378"/>
    <m/>
    <m/>
    <m/>
    <s v="45453000-7"/>
    <s v="1.2.70."/>
    <n v="40000000"/>
    <x v="1"/>
    <d v="2020-11-06T00:00:00"/>
    <d v="2020-12-02T00:00:00"/>
    <d v="2020-12-18T00:00:00"/>
    <s v="OHL ŽS, a.s."/>
    <m/>
    <n v="39893319.039999999"/>
    <n v="48270916.038399994"/>
    <m/>
    <m/>
    <m/>
    <d v="2020-12-18T00:00:00"/>
    <s v="SMLN-2020-618-000123"/>
    <x v="0"/>
    <m/>
    <m/>
  </r>
  <r>
    <d v="2020-10-27T00:00:00"/>
    <s v="VZ-2020-001178"/>
    <s v="ZM"/>
    <s v="Dočkalová"/>
    <x v="379"/>
    <m/>
    <m/>
    <m/>
    <s v="33181200-4"/>
    <m/>
    <n v="802000"/>
    <x v="2"/>
    <d v="2020-10-27T00:00:00"/>
    <d v="2020-11-03T00:00:00"/>
    <d v="2020-11-03T00:00:00"/>
    <s v="Medizone s.r.o."/>
    <m/>
    <n v="800120"/>
    <n v="968145.2"/>
    <m/>
    <m/>
    <m/>
    <d v="2020-11-03T00:00:00"/>
    <s v="SMLN-2020-617-000518"/>
    <x v="101"/>
    <d v="2020-11-25T00:00:00"/>
    <d v="2020-12-04T00:00:00"/>
  </r>
  <r>
    <d v="2020-10-16T00:00:00"/>
    <s v="VZ-2020-001180"/>
    <s v="INV"/>
    <s v="Spáčil"/>
    <x v="380"/>
    <m/>
    <m/>
    <m/>
    <s v="45215100-8"/>
    <s v="1.3.25."/>
    <n v="106000000"/>
    <x v="0"/>
    <d v="2020-11-02T00:00:00"/>
    <d v="2021-01-11T00:00:00"/>
    <m/>
    <m/>
    <m/>
    <m/>
    <m/>
    <m/>
    <m/>
    <m/>
    <m/>
    <m/>
    <x v="0"/>
    <m/>
    <m/>
  </r>
  <r>
    <s v="opakovaná VZ"/>
    <s v="VZ-2020-001187"/>
    <s v="ENERG"/>
    <s v="Srovnal"/>
    <x v="381"/>
    <m/>
    <m/>
    <m/>
    <s v="45261910-6"/>
    <m/>
    <n v="476720"/>
    <x v="2"/>
    <d v="2020-11-04T00:00:00"/>
    <d v="2020-11-13T00:00:00"/>
    <d v="2020-11-18T00:00:00"/>
    <s v="SEADON s.r.o."/>
    <m/>
    <n v="506218.61"/>
    <n v="612524.52"/>
    <m/>
    <m/>
    <m/>
    <d v="2020-11-18T00:00:00"/>
    <s v="SMLN-2020-618-000110"/>
    <x v="0"/>
    <m/>
    <m/>
  </r>
  <r>
    <d v="2020-10-30T00:00:00"/>
    <s v="VZ-2020-001192"/>
    <s v="INF"/>
    <s v="Miklík"/>
    <x v="382"/>
    <m/>
    <m/>
    <m/>
    <s v="48730000-4"/>
    <s v="3.3.1."/>
    <n v="1350000"/>
    <x v="2"/>
    <d v="2020-11-03T00:00:00"/>
    <d v="2020-11-13T00:00:00"/>
    <d v="2020-11-16T00:00:00"/>
    <s v="MERIT group a.s."/>
    <m/>
    <n v="1057500"/>
    <n v="1279575"/>
    <m/>
    <m/>
    <m/>
    <d v="2020-11-16T00:00:00"/>
    <s v="SMLN-2020-617-000530"/>
    <x v="149"/>
    <d v="2020-12-14T00:00:00"/>
    <d v="2021-01-03T00:00:00"/>
  </r>
  <r>
    <d v="2020-10-29T00:00:00"/>
    <s v="VZ-2020-001195"/>
    <s v="ZM"/>
    <s v="Dočkalová"/>
    <x v="383"/>
    <n v="1"/>
    <s v="Chirurgické nástroje dle katalogového čísla výrobce AESCULAP AG"/>
    <m/>
    <s v="33162200-5"/>
    <m/>
    <n v="816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s v="ZM"/>
    <s v="Dočkalová"/>
    <x v="383"/>
    <n v="2"/>
    <s v="Chirurgické nástroje dle katalogového čísla výrobce MEDIN, a.s., Allgaier instrumente GmbH"/>
    <m/>
    <s v="33162200-5"/>
    <m/>
    <n v="3659405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s v="ZM"/>
    <s v="Dočkalová"/>
    <x v="383"/>
    <n v="3"/>
    <s v="Chirurgické nástroje dle katalogového čísla výrobce KATENA PRODUCTS, INC."/>
    <m/>
    <s v="33162200-5"/>
    <m/>
    <n v="26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s v="ZM"/>
    <s v="Dočkalová"/>
    <x v="383"/>
    <n v="4"/>
    <s v="Chirurgické nástroje dle katalogového čísla výrobce Tekno-Medical, GmbH"/>
    <m/>
    <s v="33162200-5"/>
    <m/>
    <n v="72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s v="ZM"/>
    <s v="Dočkalová"/>
    <x v="383"/>
    <n v="5"/>
    <s v="Chirurgické nástroje dle katalogového čísla výrobce ASANUS Medizintechnik GmbH"/>
    <m/>
    <s v="33162200-5"/>
    <m/>
    <n v="105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s v="ZM"/>
    <s v="Dočkalová"/>
    <x v="383"/>
    <n v="6"/>
    <s v="Chirurgické nástroje dle katalogového čísla výrobce Bausch &amp; Lomb, GmbH"/>
    <m/>
    <s v="33162200-5"/>
    <m/>
    <n v="337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s v="ZM"/>
    <s v="Dočkalová"/>
    <x v="383"/>
    <n v="7"/>
    <s v="Chirurgické nástroje dle katalogového čísla výrobce KARL STORZ GmbH, SPIGGLE &amp; THEIS Medizintechnik GmbH, MEDICON eG"/>
    <m/>
    <s v="33162200-5"/>
    <m/>
    <n v="330000"/>
    <x v="0"/>
    <d v="2020-11-09T00:00:00"/>
    <d v="2021-01-04T00:00:00"/>
    <m/>
    <m/>
    <m/>
    <m/>
    <m/>
    <m/>
    <m/>
    <m/>
    <m/>
    <m/>
    <x v="0"/>
    <m/>
    <m/>
  </r>
  <r>
    <d v="2020-10-27T00:00:00"/>
    <s v="VZ-2020-001200"/>
    <s v="INF"/>
    <s v="Miklík"/>
    <x v="384"/>
    <m/>
    <m/>
    <m/>
    <s v="48823000-3"/>
    <s v="3.2.25."/>
    <n v="1035000"/>
    <x v="0"/>
    <d v="2020-11-13T00:00:00"/>
    <d v="2020-12-31T00:00:00"/>
    <m/>
    <m/>
    <m/>
    <m/>
    <m/>
    <m/>
    <m/>
    <m/>
    <m/>
    <m/>
    <x v="0"/>
    <m/>
    <m/>
  </r>
  <r>
    <d v="2020-12-03T00:00:00"/>
    <s v="VZ-2020-001209"/>
    <s v="ZT"/>
    <s v="Rosulek"/>
    <x v="385"/>
    <n v="1"/>
    <s v="Laboratorní váha pro Ústav mikrobiologie"/>
    <m/>
    <s v="38311000-9"/>
    <s v="2.3.422."/>
    <n v="124000"/>
    <x v="2"/>
    <m/>
    <m/>
    <m/>
    <m/>
    <m/>
    <m/>
    <m/>
    <m/>
    <m/>
    <m/>
    <m/>
    <m/>
    <x v="0"/>
    <m/>
    <m/>
  </r>
  <r>
    <d v="2020-12-03T00:00:00"/>
    <s v="VZ-2020-001209"/>
    <s v="ZT"/>
    <s v="Rosulek"/>
    <x v="385"/>
    <n v="2"/>
    <s v="Laboratorní váha pro Oddělení klinické biochemie"/>
    <m/>
    <s v="38311000-9"/>
    <s v="2.3.399."/>
    <n v="132000"/>
    <x v="2"/>
    <m/>
    <m/>
    <m/>
    <m/>
    <m/>
    <m/>
    <m/>
    <m/>
    <m/>
    <m/>
    <m/>
    <m/>
    <x v="0"/>
    <m/>
    <m/>
  </r>
  <r>
    <d v="2020-12-03T00:00:00"/>
    <s v="VZ-2020-001209"/>
    <s v="ZT"/>
    <s v="Rosulek"/>
    <x v="385"/>
    <n v="3"/>
    <s v="Laboratorní váha ke gravimetrické přípravě cytostatik pro Lékárnu"/>
    <m/>
    <s v="38311000-9"/>
    <s v="2.3.392."/>
    <n v="157000"/>
    <x v="2"/>
    <m/>
    <m/>
    <m/>
    <m/>
    <m/>
    <m/>
    <m/>
    <m/>
    <m/>
    <m/>
    <m/>
    <m/>
    <x v="0"/>
    <m/>
    <m/>
  </r>
  <r>
    <d v="2020-12-03T00:00:00"/>
    <s v="VZ-2020-001209"/>
    <s v="ZT"/>
    <s v="Rosulek"/>
    <x v="385"/>
    <n v="4"/>
    <s v="Laboratorní váha pro přípravu paenterální výživy pro Lékárnu"/>
    <m/>
    <s v="38311000-9"/>
    <s v="2.3.469."/>
    <n v="82000"/>
    <x v="2"/>
    <m/>
    <m/>
    <m/>
    <m/>
    <m/>
    <m/>
    <m/>
    <m/>
    <m/>
    <m/>
    <m/>
    <m/>
    <x v="0"/>
    <m/>
    <m/>
  </r>
  <r>
    <d v="2020-12-03T00:00:00"/>
    <s v="VZ-2020-001209"/>
    <s v="ZT"/>
    <s v="Rosulek"/>
    <x v="385"/>
    <n v="5"/>
    <s v="Laboratorní váha pro přípravu sterilních léčiv pro Lékárnu"/>
    <m/>
    <s v="38311000-9"/>
    <s v="2.3.470."/>
    <n v="74000"/>
    <x v="2"/>
    <m/>
    <m/>
    <m/>
    <m/>
    <m/>
    <m/>
    <m/>
    <m/>
    <m/>
    <m/>
    <m/>
    <m/>
    <x v="0"/>
    <m/>
    <m/>
  </r>
  <r>
    <d v="2020-11-11T00:00:00"/>
    <s v="VZ-2020-001222"/>
    <s v="INF"/>
    <s v="Oravec"/>
    <x v="386"/>
    <m/>
    <m/>
    <m/>
    <s v="30121100-4"/>
    <m/>
    <n v="813800"/>
    <x v="2"/>
    <d v="2020-11-16T00:00:00"/>
    <d v="2020-12-02T00:00:00"/>
    <d v="2020-12-21T00:00:00"/>
    <s v="Can 21 s.r.o."/>
    <m/>
    <n v="796847.4"/>
    <n v="964185.35"/>
    <m/>
    <m/>
    <m/>
    <d v="2020-12-21T00:00:00"/>
    <s v="SMLN-2020-617-000585"/>
    <x v="0"/>
    <m/>
    <m/>
  </r>
  <r>
    <d v="2020-11-11T00:00:00"/>
    <s v="VZ-2020-001225"/>
    <s v="EKOLOG"/>
    <s v="Svozil"/>
    <x v="387"/>
    <m/>
    <m/>
    <m/>
    <s v="65100000-4"/>
    <m/>
    <n v="400000"/>
    <x v="2"/>
    <d v="2020-11-16T00:00:00"/>
    <d v="2020-11-27T00:00:00"/>
    <d v="2020-11-30T00:00:00"/>
    <s v="qzp, s.r.o."/>
    <m/>
    <n v="514500"/>
    <n v="622545"/>
    <m/>
    <m/>
    <m/>
    <d v="2020-11-30T00:00:00"/>
    <s v="SMLN-2020-612-000119"/>
    <x v="137"/>
    <d v="2020-12-22T00:00:00"/>
    <d v="2029-04-03T00:00:00"/>
  </r>
  <r>
    <d v="2020-11-12T00:00:00"/>
    <s v="VZ-2020-001228"/>
    <s v="LÉK"/>
    <s v="Ondráčková"/>
    <x v="388"/>
    <n v="1"/>
    <s v="MONOHYDRÁT CYKLOFOSFAMIDU"/>
    <m/>
    <s v="33652000-5"/>
    <m/>
    <n v="1887318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s v="LÉK"/>
    <s v="Ondráčková"/>
    <x v="388"/>
    <n v="2"/>
    <s v="MELFALAN "/>
    <m/>
    <s v="33652000-5"/>
    <m/>
    <n v="3638257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s v="LÉK"/>
    <s v="Ondráčková"/>
    <x v="388"/>
    <n v="3"/>
    <s v="IFOSFAMID "/>
    <m/>
    <s v="33652000-5"/>
    <m/>
    <n v="3777877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s v="LÉK"/>
    <s v="Ondráčková"/>
    <x v="388"/>
    <n v="4"/>
    <s v="BUSULFAN"/>
    <m/>
    <s v="33652000-5"/>
    <m/>
    <n v="1920000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s v="LÉK"/>
    <s v="Ondráčková"/>
    <x v="388"/>
    <n v="5"/>
    <s v="THIOTEPA"/>
    <m/>
    <s v="33652000-5"/>
    <m/>
    <n v="1622291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s v="LÉK"/>
    <s v="Ondráčková"/>
    <x v="388"/>
    <n v="6"/>
    <s v="KARMUSTIN"/>
    <m/>
    <s v="33652000-5"/>
    <m/>
    <n v="2338034"/>
    <x v="0"/>
    <d v="2020-12-28T00:00:00"/>
    <d v="2021-01-29T00:00:00"/>
    <m/>
    <m/>
    <m/>
    <m/>
    <m/>
    <m/>
    <m/>
    <m/>
    <m/>
    <m/>
    <x v="0"/>
    <m/>
    <m/>
  </r>
  <r>
    <d v="2020-11-12T00:00:00"/>
    <s v="VZ-2020-001229"/>
    <s v="LÉK"/>
    <s v="Ondráčková"/>
    <x v="389"/>
    <n v="1"/>
    <s v="AMPICILIN A INHIBITOR BETA-LAKTAMASY "/>
    <m/>
    <s v="33651100-9"/>
    <m/>
    <n v="2465378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s v="LÉK"/>
    <s v="Ondráčková"/>
    <x v="389"/>
    <n v="2"/>
    <s v="PIPERACILIN A INHIBITOR BETA-LAKTAMASY "/>
    <m/>
    <s v="33651100-9"/>
    <m/>
    <n v="7121640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s v="LÉK"/>
    <s v="Ondráčková"/>
    <x v="389"/>
    <n v="3"/>
    <s v="CEFTAZIDIM "/>
    <m/>
    <s v="33651100-9"/>
    <m/>
    <n v="2157101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s v="LÉK"/>
    <s v="Ondráčková"/>
    <x v="389"/>
    <n v="4"/>
    <s v="TOBRAMYCIN "/>
    <m/>
    <s v="33651100-9"/>
    <m/>
    <n v="4292816"/>
    <x v="0"/>
    <d v="2020-12-04T00:00:00"/>
    <d v="2021-01-06T00:00:00"/>
    <m/>
    <s v="zrušeno - úpravit zadání "/>
    <m/>
    <m/>
    <m/>
    <m/>
    <m/>
    <m/>
    <m/>
    <m/>
    <x v="0"/>
    <d v="2021-01-14T00:00:00"/>
    <s v="29.12.2020 zrušeno"/>
  </r>
  <r>
    <d v="2020-11-12T00:00:00"/>
    <s v="VZ-2020-001229"/>
    <s v="LÉK"/>
    <s v="Ondráčková"/>
    <x v="389"/>
    <n v="5"/>
    <s v="CIPROFLOXACIN I.V."/>
    <m/>
    <s v="33651100-9"/>
    <m/>
    <n v="1789080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s v="LÉK"/>
    <s v="Ondráčková"/>
    <x v="389"/>
    <n v="6"/>
    <s v="KOLISTIN "/>
    <m/>
    <s v="33651100-9"/>
    <m/>
    <n v="1317252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s v="LÉK"/>
    <s v="Ondráčková"/>
    <x v="389"/>
    <n v="7"/>
    <s v="KLARITHROMYCIN INF."/>
    <m/>
    <s v="33651100-9"/>
    <m/>
    <n v="5475600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s v="LÉK"/>
    <s v="Ondráčková"/>
    <x v="389"/>
    <n v="8"/>
    <s v="LINEZOLID  SANDOZ"/>
    <m/>
    <s v="33651100-9"/>
    <m/>
    <n v="927765"/>
    <x v="0"/>
    <d v="2020-12-04T00:00:00"/>
    <d v="2021-01-06T00:00:00"/>
    <m/>
    <s v="zrušeno - úpravit zadání "/>
    <m/>
    <m/>
    <m/>
    <m/>
    <m/>
    <m/>
    <m/>
    <m/>
    <x v="0"/>
    <d v="2021-01-14T00:00:00"/>
    <s v="23.12.2020 zrušeno"/>
  </r>
  <r>
    <d v="2020-11-12T00:00:00"/>
    <s v="VZ-2020-001230"/>
    <s v="LÉK"/>
    <s v="Ondráčková"/>
    <x v="390"/>
    <n v="1"/>
    <s v="AIRFLUSAN"/>
    <m/>
    <s v="33670000-7"/>
    <m/>
    <n v="1551621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s v="LÉK"/>
    <s v="Ondráčková"/>
    <x v="390"/>
    <n v="2"/>
    <s v="FULLHALE"/>
    <m/>
    <s v="33670000-7"/>
    <m/>
    <n v="419556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s v="LÉK"/>
    <s v="Ondráčková"/>
    <x v="390"/>
    <n v="3"/>
    <s v="SERETIDE"/>
    <m/>
    <s v="33670000-7"/>
    <m/>
    <n v="1811917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s v="LÉK"/>
    <s v="Ondráčková"/>
    <x v="390"/>
    <n v="4"/>
    <s v="SYMBICORT"/>
    <m/>
    <s v="33670000-7"/>
    <m/>
    <n v="7429475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s v="LÉK"/>
    <s v="Ondráčková"/>
    <x v="390"/>
    <n v="5"/>
    <s v="VILANTEROL A FLUTIKASON-FUROÁT "/>
    <m/>
    <s v="33670000-7"/>
    <m/>
    <n v="4344271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s v="LÉK"/>
    <s v="Ondráčková"/>
    <x v="390"/>
    <n v="6"/>
    <s v="FORMOTEROL A BEKLOMETASON "/>
    <m/>
    <s v="33670000-7"/>
    <m/>
    <n v="2837161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s v="LÉK"/>
    <s v="Ondráčková"/>
    <x v="390"/>
    <n v="7"/>
    <s v="FORMOTEROL A FLUTIKASON"/>
    <m/>
    <s v="33670000-7"/>
    <m/>
    <n v="2236892"/>
    <x v="0"/>
    <d v="2020-12-04T00:00:00"/>
    <d v="2021-01-06T00:00:00"/>
    <m/>
    <m/>
    <m/>
    <m/>
    <m/>
    <m/>
    <m/>
    <m/>
    <m/>
    <m/>
    <x v="0"/>
    <m/>
    <m/>
  </r>
  <r>
    <d v="2020-11-03T00:00:00"/>
    <s v="VZ-2020-001231"/>
    <s v="ENERG"/>
    <s v="Srovnal"/>
    <x v="391"/>
    <m/>
    <m/>
    <m/>
    <s v="50411100-0"/>
    <m/>
    <n v="3000000"/>
    <x v="0"/>
    <d v="2020-11-26T00:00:00"/>
    <d v="2020-12-28T00:00:00"/>
    <m/>
    <s v="zrušeno - bez nabídky"/>
    <m/>
    <m/>
    <m/>
    <m/>
    <m/>
    <m/>
    <m/>
    <m/>
    <x v="0"/>
    <d v="2020-12-29T00:00:00"/>
    <m/>
  </r>
  <r>
    <s v="opakovaná VZ"/>
    <s v="VZ-2020-001239"/>
    <s v="ZM"/>
    <s v="Dočkalová"/>
    <x v="392"/>
    <m/>
    <m/>
    <m/>
    <s v="33140000-3"/>
    <m/>
    <n v="2116000"/>
    <x v="1"/>
    <d v="2020-11-23T00:00:00"/>
    <d v="2020-12-09T00:00:00"/>
    <m/>
    <s v="LHL s.r.o."/>
    <m/>
    <n v="2115360"/>
    <n v="2559585.6"/>
    <m/>
    <m/>
    <m/>
    <m/>
    <m/>
    <x v="0"/>
    <m/>
    <m/>
  </r>
  <r>
    <d v="2020-11-16T00:00:00"/>
    <s v="VZ-2020-001240"/>
    <s v="EKOLOG"/>
    <s v="Svozil"/>
    <x v="393"/>
    <m/>
    <m/>
    <m/>
    <s v="45332200-5"/>
    <m/>
    <n v="1350000"/>
    <x v="2"/>
    <d v="2020-11-23T00:00:00"/>
    <d v="2020-12-03T00:00:00"/>
    <d v="2020-12-16T00:00:00"/>
    <s v="LB 2000, s.r.o."/>
    <m/>
    <n v="458568"/>
    <n v="554868"/>
    <m/>
    <m/>
    <m/>
    <d v="2020-12-16T00:00:00"/>
    <s v="SMLN-2020-618-000119"/>
    <x v="0"/>
    <m/>
    <m/>
  </r>
  <r>
    <d v="2020-11-13T00:00:00"/>
    <s v="VZ-2020-001242"/>
    <s v="ENERG"/>
    <s v="Srovnal"/>
    <x v="394"/>
    <m/>
    <m/>
    <m/>
    <s v="42512200-0"/>
    <s v="4.2.148, 149"/>
    <n v="720000"/>
    <x v="2"/>
    <d v="2020-11-23T00:00:00"/>
    <d v="2020-12-03T00:00:00"/>
    <d v="2020-12-08T00:00:00"/>
    <s v="Air - Klimont s.r.o."/>
    <m/>
    <n v="662355"/>
    <n v="801449"/>
    <m/>
    <m/>
    <m/>
    <d v="2020-12-09T00:00:00"/>
    <s v="SMLN-2020-618-000116"/>
    <x v="0"/>
    <m/>
    <m/>
  </r>
  <r>
    <s v="opakovaná VZ"/>
    <s v="VZ-2020-001248"/>
    <s v="ZT"/>
    <s v="Hajdúch"/>
    <x v="395"/>
    <m/>
    <m/>
    <m/>
    <s v="38000000-5"/>
    <m/>
    <n v="10100000"/>
    <x v="0"/>
    <d v="2020-11-24T00:00:00"/>
    <d v="2020-12-28T00:00:00"/>
    <m/>
    <m/>
    <m/>
    <m/>
    <m/>
    <m/>
    <m/>
    <m/>
    <m/>
    <m/>
    <x v="0"/>
    <m/>
    <m/>
  </r>
  <r>
    <d v="2020-11-20T00:00:00"/>
    <s v="VZ-2020-001251"/>
    <s v="LÉK"/>
    <s v="Ondráčková"/>
    <x v="396"/>
    <n v="1"/>
    <s v="TAMOXIFEN"/>
    <m/>
    <s v="33652200-7"/>
    <m/>
    <n v="1082451"/>
    <x v="0"/>
    <m/>
    <m/>
    <m/>
    <m/>
    <m/>
    <m/>
    <m/>
    <m/>
    <m/>
    <m/>
    <m/>
    <m/>
    <x v="0"/>
    <m/>
    <m/>
  </r>
  <r>
    <d v="2020-11-20T00:00:00"/>
    <s v="VZ-2020-001251"/>
    <s v="LÉK"/>
    <s v="Ondráčková"/>
    <x v="396"/>
    <n v="2"/>
    <s v="FULVESTRANT"/>
    <m/>
    <s v="33652200-7"/>
    <m/>
    <n v="7967688"/>
    <x v="0"/>
    <m/>
    <m/>
    <m/>
    <m/>
    <m/>
    <m/>
    <m/>
    <m/>
    <m/>
    <m/>
    <m/>
    <m/>
    <x v="0"/>
    <m/>
    <m/>
  </r>
  <r>
    <d v="2020-11-24T00:00:00"/>
    <s v="VZ-2020-001257"/>
    <s v="ZM"/>
    <s v="Valtová"/>
    <x v="397"/>
    <m/>
    <m/>
    <m/>
    <s v="33140000-3"/>
    <m/>
    <n v="5785125"/>
    <x v="0"/>
    <d v="2020-12-03T00:00:00"/>
    <d v="2021-01-05T00:00:00"/>
    <m/>
    <m/>
    <m/>
    <m/>
    <m/>
    <m/>
    <m/>
    <m/>
    <m/>
    <m/>
    <x v="0"/>
    <m/>
    <m/>
  </r>
  <r>
    <d v="2020-11-20T00:00:00"/>
    <s v="VZ-2020-001258"/>
    <s v="ZM"/>
    <s v="Dočkalová"/>
    <x v="398"/>
    <m/>
    <m/>
    <m/>
    <s v="33140000-3"/>
    <m/>
    <n v="19019100"/>
    <x v="0"/>
    <d v="2020-12-08T00:00:00"/>
    <d v="2021-01-11T00:00:00"/>
    <m/>
    <m/>
    <m/>
    <m/>
    <m/>
    <m/>
    <m/>
    <m/>
    <m/>
    <m/>
    <x v="0"/>
    <m/>
    <m/>
  </r>
  <r>
    <d v="2020-11-24T00:00:00"/>
    <s v="VZ-2020-001259"/>
    <s v="OSB"/>
    <s v="Kadlec"/>
    <x v="399"/>
    <m/>
    <m/>
    <m/>
    <s v="45332200-5"/>
    <m/>
    <n v="850000"/>
    <x v="2"/>
    <d v="2020-12-01T00:00:00"/>
    <d v="2020-12-11T00:00:00"/>
    <d v="2020-12-22T00:00:00"/>
    <s v="VV TOP s.r.o."/>
    <m/>
    <n v="584523"/>
    <n v="707272.83"/>
    <m/>
    <m/>
    <m/>
    <d v="2020-12-22T00:00:00"/>
    <s v="SMLN-2020-618-000124"/>
    <x v="0"/>
    <m/>
    <m/>
  </r>
  <r>
    <d v="2020-11-26T00:00:00"/>
    <s v="VZ-2020-001265"/>
    <s v="LÉK"/>
    <s v="Ondráčková"/>
    <x v="400"/>
    <n v="1"/>
    <s v="ACC Injekt"/>
    <m/>
    <s v="33674000-5"/>
    <m/>
    <n v="1012484"/>
    <x v="0"/>
    <d v="2020-12-07T00:00:00"/>
    <d v="2021-01-08T00:00:00"/>
    <m/>
    <m/>
    <m/>
    <m/>
    <m/>
    <m/>
    <m/>
    <m/>
    <m/>
    <m/>
    <x v="0"/>
    <m/>
    <m/>
  </r>
  <r>
    <d v="2020-11-26T00:00:00"/>
    <s v="VZ-2020-001265"/>
    <s v="LÉK"/>
    <s v="Ondráčková"/>
    <x v="400"/>
    <n v="2"/>
    <s v="AMBROBENE INJ."/>
    <m/>
    <s v="33674000-5"/>
    <m/>
    <n v="292383"/>
    <x v="0"/>
    <d v="2020-12-07T00:00:00"/>
    <d v="2021-01-08T00:00:00"/>
    <m/>
    <m/>
    <m/>
    <m/>
    <m/>
    <m/>
    <m/>
    <m/>
    <m/>
    <m/>
    <x v="0"/>
    <m/>
    <m/>
  </r>
  <r>
    <d v="2020-11-26T00:00:00"/>
    <s v="VZ-2020-001265"/>
    <s v="LÉK"/>
    <s v="Ondráčková"/>
    <x v="400"/>
    <n v="3"/>
    <s v="DORNASA ALFA "/>
    <m/>
    <s v="33674000-5"/>
    <m/>
    <n v="7136766"/>
    <x v="0"/>
    <d v="2020-12-07T00:00:00"/>
    <d v="2021-01-08T00:00:00"/>
    <m/>
    <m/>
    <m/>
    <m/>
    <m/>
    <m/>
    <m/>
    <m/>
    <m/>
    <m/>
    <x v="0"/>
    <m/>
    <m/>
  </r>
  <r>
    <d v="2020-11-26T00:00:00"/>
    <s v="VZ-2020-001265"/>
    <s v="LÉK"/>
    <s v="Ondráčková"/>
    <x v="400"/>
    <n v="4"/>
    <s v="ERDOSTEIN "/>
    <m/>
    <s v="33674000-5"/>
    <m/>
    <n v="2915317"/>
    <x v="0"/>
    <d v="2020-12-07T00:00:00"/>
    <d v="2021-01-08T00:00:00"/>
    <m/>
    <m/>
    <m/>
    <m/>
    <m/>
    <m/>
    <m/>
    <m/>
    <m/>
    <m/>
    <x v="0"/>
    <m/>
    <m/>
  </r>
  <r>
    <d v="2020-11-26T00:00:00"/>
    <s v="VZ-2020-001266"/>
    <s v="LÉK"/>
    <s v="Ondráčková"/>
    <x v="401"/>
    <n v="1"/>
    <s v="FENOTEROL A IPRATROPIUM-BROMID "/>
    <m/>
    <s v="33670000-7"/>
    <m/>
    <n v="1519736"/>
    <x v="0"/>
    <d v="2020-12-08T00:00:00"/>
    <d v="2021-01-26T00:00:00"/>
    <m/>
    <m/>
    <m/>
    <m/>
    <m/>
    <m/>
    <m/>
    <m/>
    <m/>
    <m/>
    <x v="0"/>
    <m/>
    <m/>
  </r>
  <r>
    <d v="2020-11-26T00:00:00"/>
    <s v="VZ-2020-001266"/>
    <s v="LÉK"/>
    <s v="Ondráčková"/>
    <x v="401"/>
    <n v="2"/>
    <s v="INDAKATEROL A GLYCOPYRRONIUM-BROMID "/>
    <m/>
    <s v="33670000-7"/>
    <m/>
    <n v="961257"/>
    <x v="0"/>
    <d v="2020-12-08T00:00:00"/>
    <d v="2021-01-26T00:00:00"/>
    <m/>
    <m/>
    <m/>
    <m/>
    <m/>
    <m/>
    <m/>
    <m/>
    <m/>
    <m/>
    <x v="0"/>
    <m/>
    <m/>
  </r>
  <r>
    <d v="2020-11-26T00:00:00"/>
    <s v="VZ-2020-001266"/>
    <s v="LÉK"/>
    <s v="Ondráčková"/>
    <x v="401"/>
    <n v="3"/>
    <s v="BRIMICA GENUAIR"/>
    <m/>
    <s v="33670000-7"/>
    <m/>
    <n v="758692"/>
    <x v="0"/>
    <d v="2020-12-08T00:00:00"/>
    <d v="2021-01-26T00:00:00"/>
    <m/>
    <m/>
    <m/>
    <m/>
    <m/>
    <m/>
    <m/>
    <m/>
    <m/>
    <m/>
    <x v="0"/>
    <m/>
    <m/>
  </r>
  <r>
    <d v="2020-11-26T00:00:00"/>
    <s v="VZ-2020-001266"/>
    <s v="LÉK"/>
    <s v="Ondráčková"/>
    <x v="401"/>
    <n v="4"/>
    <s v="DIHYDRÁT FORMOTEROL-FUMARÁTU  A GLYKOPYRRONIUM-BROMID"/>
    <m/>
    <s v="33670000-7"/>
    <m/>
    <n v="325365"/>
    <x v="0"/>
    <d v="2020-12-08T00:00:00"/>
    <d v="2021-01-26T00:00:00"/>
    <m/>
    <m/>
    <m/>
    <m/>
    <m/>
    <m/>
    <m/>
    <m/>
    <m/>
    <m/>
    <x v="0"/>
    <m/>
    <m/>
  </r>
  <r>
    <d v="2020-11-26T00:00:00"/>
    <s v="VZ-2020-001266"/>
    <s v="LÉK"/>
    <s v="Ondráčková"/>
    <x v="401"/>
    <n v="5"/>
    <s v="OLODATEROL A TIOTROPIUM-BROMID "/>
    <m/>
    <s v="33670000-7"/>
    <m/>
    <n v="3438683"/>
    <x v="0"/>
    <d v="2020-12-08T00:00:00"/>
    <d v="2021-01-26T00:00:00"/>
    <m/>
    <m/>
    <m/>
    <m/>
    <m/>
    <m/>
    <m/>
    <m/>
    <m/>
    <m/>
    <x v="0"/>
    <m/>
    <m/>
  </r>
  <r>
    <d v="2020-11-27T00:00:00"/>
    <s v="VZ-2020-001269"/>
    <s v="INV"/>
    <s v="Langer"/>
    <x v="402"/>
    <m/>
    <m/>
    <m/>
    <s v="45112000-5 "/>
    <m/>
    <n v="3500000"/>
    <x v="2"/>
    <d v="2020-12-02T00:00:00"/>
    <d v="2020-12-15T00:00:00"/>
    <d v="2020-12-17T00:00:00"/>
    <s v="DEV COMPANY, spol. s r.o."/>
    <m/>
    <n v="2697075.57"/>
    <n v="3263461.44"/>
    <m/>
    <m/>
    <m/>
    <d v="2020-12-17T00:00:00"/>
    <s v="SMLN-2020-618-000122"/>
    <x v="0"/>
    <m/>
    <m/>
  </r>
  <r>
    <d v="2020-11-27T00:00:00"/>
    <s v="VZ-2020-001275"/>
    <s v="LÉK"/>
    <s v="Ondráčková"/>
    <x v="403"/>
    <n v="1"/>
    <s v="Mikafungin"/>
    <m/>
    <s v="33651200-0"/>
    <m/>
    <n v="5019815"/>
    <x v="0"/>
    <d v="2020-12-07T00:00:00"/>
    <d v="2021-01-08T00:00:00"/>
    <m/>
    <m/>
    <m/>
    <m/>
    <m/>
    <m/>
    <m/>
    <m/>
    <m/>
    <m/>
    <x v="0"/>
    <m/>
    <m/>
  </r>
  <r>
    <d v="2020-11-27T00:00:00"/>
    <s v="VZ-2020-001275"/>
    <s v="LÉK"/>
    <s v="Ondráčková"/>
    <x v="403"/>
    <n v="2"/>
    <s v="Anidulafungin"/>
    <m/>
    <s v="33651200-0"/>
    <m/>
    <n v="3706073"/>
    <x v="0"/>
    <d v="2020-12-07T00:00:00"/>
    <d v="2021-01-08T00:00:00"/>
    <m/>
    <m/>
    <m/>
    <m/>
    <m/>
    <m/>
    <m/>
    <m/>
    <m/>
    <m/>
    <x v="0"/>
    <m/>
    <m/>
  </r>
  <r>
    <s v="opakovaná VZ"/>
    <s v="VZ-2020-001280"/>
    <s v="ZM"/>
    <s v="Merta"/>
    <x v="404"/>
    <m/>
    <s v="VZ-2021-000068"/>
    <m/>
    <s v="33141200-2"/>
    <m/>
    <n v="185325240"/>
    <x v="0"/>
    <m/>
    <m/>
    <m/>
    <m/>
    <m/>
    <m/>
    <m/>
    <m/>
    <m/>
    <m/>
    <m/>
    <m/>
    <x v="0"/>
    <m/>
    <m/>
  </r>
  <r>
    <s v="opakovaná VZ"/>
    <s v="VZ-2020-001283"/>
    <s v="ZM"/>
    <s v="Merta"/>
    <x v="405"/>
    <m/>
    <m/>
    <m/>
    <s v="33182210-4"/>
    <m/>
    <n v="3103825"/>
    <x v="0"/>
    <d v="2020-12-15T00:00:00"/>
    <d v="2021-01-18T00:00:00"/>
    <m/>
    <m/>
    <m/>
    <m/>
    <m/>
    <m/>
    <m/>
    <m/>
    <m/>
    <m/>
    <x v="0"/>
    <m/>
    <m/>
  </r>
  <r>
    <s v="opakovaná VZ"/>
    <s v="VZ-2020-001285"/>
    <s v="ZM"/>
    <s v="Merta"/>
    <x v="406"/>
    <m/>
    <m/>
    <m/>
    <s v="33182100-0"/>
    <m/>
    <n v="25040000"/>
    <x v="0"/>
    <d v="2020-12-16T00:00:00"/>
    <d v="2021-01-28T00:00:00"/>
    <m/>
    <m/>
    <m/>
    <m/>
    <m/>
    <m/>
    <m/>
    <m/>
    <m/>
    <m/>
    <x v="0"/>
    <m/>
    <m/>
  </r>
  <r>
    <s v="opakovaná VZ"/>
    <s v="VZ-2020-001299"/>
    <s v="ZM"/>
    <s v="Merta"/>
    <x v="407"/>
    <n v="1"/>
    <s v="Zavaděč - sety pro radiální přístup 5F a 6F (sheathy)"/>
    <m/>
    <s v="33141240-4"/>
    <m/>
    <n v="27625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s v="ZM"/>
    <s v="Merta"/>
    <x v="407"/>
    <n v="2"/>
    <s v="Diagnostické katetry angiografické koronární - Katetry 5F a 6F "/>
    <m/>
    <s v="33141200-2"/>
    <m/>
    <n v="2640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s v="ZM"/>
    <s v="Merta"/>
    <x v="407"/>
    <n v="3"/>
    <s v="Diagnostické katetry angiografické koronární - Diagnostické radiální katetry  5F dedikované pro oboustrannou katetrizaci "/>
    <m/>
    <s v="33141200-2"/>
    <m/>
    <n v="42900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s v="ZM"/>
    <s v="Merta"/>
    <x v="407"/>
    <n v="4"/>
    <s v="Koronární (PTCA) vodiče - vodiče pro komplexní vinuté léze "/>
    <m/>
    <s v="33141240-4"/>
    <m/>
    <n v="13265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s v="ZM"/>
    <s v="Merta"/>
    <x v="407"/>
    <n v="5"/>
    <s v="Vodící katetry -  5F "/>
    <m/>
    <s v="33141200-2"/>
    <m/>
    <n v="8750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s v="ZM"/>
    <s v="Merta"/>
    <x v="407"/>
    <n v="6"/>
    <s v="Aspirační katetry "/>
    <m/>
    <s v="33141200-2"/>
    <m/>
    <n v="1008000"/>
    <x v="0"/>
    <d v="2020-12-10T00:00:00"/>
    <d v="2021-01-11T00:00:00"/>
    <m/>
    <m/>
    <m/>
    <m/>
    <m/>
    <m/>
    <m/>
    <m/>
    <m/>
    <m/>
    <x v="0"/>
    <m/>
    <m/>
  </r>
  <r>
    <d v="2020-12-09T00:00:00"/>
    <s v="VZ-2020-001312"/>
    <s v="LÉK"/>
    <s v="Ondráčková"/>
    <x v="408"/>
    <m/>
    <m/>
    <m/>
    <s v="33694000-1"/>
    <m/>
    <n v="15250000"/>
    <x v="0"/>
    <d v="2020-12-16T00:00:00"/>
    <d v="2021-01-18T00:00:00"/>
    <m/>
    <m/>
    <m/>
    <m/>
    <m/>
    <m/>
    <m/>
    <m/>
    <m/>
    <m/>
    <x v="0"/>
    <m/>
    <m/>
  </r>
  <r>
    <d v="2020-12-01T00:00:00"/>
    <s v="VZ-2020-001320"/>
    <s v="INV"/>
    <s v="Valíček"/>
    <x v="409"/>
    <m/>
    <m/>
    <m/>
    <s v="71000000-8"/>
    <s v="1.3.27."/>
    <n v="15000000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s v="LÉK"/>
    <s v="Ondráčková"/>
    <x v="410"/>
    <n v="1"/>
    <s v="GRAZAX"/>
    <m/>
    <s v="33675000-2"/>
    <m/>
    <n v="1879678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s v="LÉK"/>
    <s v="Ondráčková"/>
    <x v="410"/>
    <n v="2"/>
    <s v="ORALAIR"/>
    <m/>
    <s v="33675000-2"/>
    <m/>
    <n v="3048116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s v="LÉK"/>
    <s v="Ondráčková"/>
    <x v="410"/>
    <n v="3"/>
    <s v="POLLINEX RYE"/>
    <m/>
    <s v="33675000-2"/>
    <m/>
    <n v="596452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s v="LÉK"/>
    <s v="Ondráčková"/>
    <x v="410"/>
    <n v="4"/>
    <s v="ACARIZAX"/>
    <m/>
    <s v="33675000-2"/>
    <m/>
    <n v="2702846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s v="LÉK"/>
    <s v="Ondráčková"/>
    <x v="410"/>
    <n v="5"/>
    <s v="POLLINEX TREE"/>
    <m/>
    <s v="33675000-2"/>
    <m/>
    <n v="705451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s v="LÉK"/>
    <s v="Ondráčková"/>
    <x v="410"/>
    <n v="6"/>
    <s v="ALUTARD SQ HMYZÍ ALERGENY"/>
    <m/>
    <s v="33675000-2"/>
    <m/>
    <n v="691921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s v="LÉK"/>
    <s v="Ondráčková"/>
    <x v="410"/>
    <n v="7"/>
    <s v="STALORAL 300"/>
    <m/>
    <s v="33675000-2"/>
    <m/>
    <n v="755060"/>
    <x v="0"/>
    <d v="2020-12-18T00:00:00"/>
    <d v="2021-01-20T00:00:00"/>
    <m/>
    <m/>
    <m/>
    <m/>
    <m/>
    <m/>
    <m/>
    <m/>
    <m/>
    <m/>
    <x v="0"/>
    <m/>
    <m/>
  </r>
  <r>
    <d v="2020-12-15T00:00:00"/>
    <s v="VZ-2020-001328"/>
    <s v="LÉK"/>
    <s v="Ondráčková"/>
    <x v="411"/>
    <n v="1"/>
    <s v="ACIKLOVIR I.V."/>
    <m/>
    <s v="33651400-2"/>
    <m/>
    <n v="1228500"/>
    <x v="0"/>
    <d v="2020-12-18T00:00:00"/>
    <d v="2021-01-21T00:00:00"/>
    <m/>
    <m/>
    <m/>
    <m/>
    <m/>
    <m/>
    <m/>
    <m/>
    <m/>
    <m/>
    <x v="0"/>
    <m/>
    <m/>
  </r>
  <r>
    <d v="2020-12-15T00:00:00"/>
    <s v="VZ-2020-001328"/>
    <s v="LÉK"/>
    <s v="Ondráčková"/>
    <x v="411"/>
    <n v="2"/>
    <s v="ACIKLOVIR TBL."/>
    <m/>
    <s v="33651400-2"/>
    <m/>
    <n v="2403469"/>
    <x v="0"/>
    <d v="2020-12-18T00:00:00"/>
    <d v="2021-01-21T00:00:00"/>
    <m/>
    <m/>
    <m/>
    <m/>
    <m/>
    <m/>
    <m/>
    <m/>
    <m/>
    <m/>
    <x v="0"/>
    <m/>
    <m/>
  </r>
  <r>
    <d v="2020-12-15T00:00:00"/>
    <s v="VZ-2020-001328"/>
    <s v="LÉK"/>
    <s v="Ondráčková"/>
    <x v="411"/>
    <n v="3"/>
    <s v="GANCIKLOVIR"/>
    <m/>
    <s v="33651400-2"/>
    <m/>
    <n v="700714"/>
    <x v="0"/>
    <d v="2020-12-18T00:00:00"/>
    <d v="2021-01-21T00:00:00"/>
    <m/>
    <m/>
    <m/>
    <m/>
    <m/>
    <m/>
    <m/>
    <m/>
    <m/>
    <m/>
    <x v="0"/>
    <m/>
    <m/>
  </r>
  <r>
    <d v="2020-12-15T00:00:00"/>
    <s v="VZ-2020-001328"/>
    <s v="LÉK"/>
    <s v="Ondráčková"/>
    <x v="411"/>
    <n v="4"/>
    <s v="CIDOFOVIR"/>
    <m/>
    <s v="33651400-2"/>
    <m/>
    <n v="3508066"/>
    <x v="0"/>
    <d v="2020-12-18T00:00:00"/>
    <d v="2021-01-21T00:00:00"/>
    <m/>
    <m/>
    <m/>
    <m/>
    <m/>
    <m/>
    <m/>
    <m/>
    <m/>
    <m/>
    <x v="0"/>
    <m/>
    <m/>
  </r>
  <r>
    <d v="2020-12-15T00:00:00"/>
    <s v="VZ-2020-001329"/>
    <s v="VŠEOB"/>
    <s v="Smrčková"/>
    <x v="412"/>
    <m/>
    <m/>
    <m/>
    <s v="39120000-9"/>
    <m/>
    <n v="2200000"/>
    <x v="1"/>
    <d v="2020-12-17T00:00:00"/>
    <d v="2021-01-15T00:00:00"/>
    <m/>
    <m/>
    <m/>
    <m/>
    <m/>
    <m/>
    <m/>
    <m/>
    <m/>
    <m/>
    <x v="0"/>
    <m/>
    <m/>
  </r>
  <r>
    <s v="opakovaná VZ"/>
    <s v="VZ-2020-001333"/>
    <s v="ZT"/>
    <s v="Rosulek"/>
    <x v="413"/>
    <m/>
    <m/>
    <m/>
    <s v="33122000-1"/>
    <s v="2.3.507"/>
    <n v="320000"/>
    <x v="2"/>
    <d v="2020-12-21T00:00:00"/>
    <d v="2021-01-08T00:00:00"/>
    <m/>
    <s v="zrušeno - na profilu špatně zadavatel"/>
    <s v="nová VZ-2020-001342"/>
    <m/>
    <m/>
    <m/>
    <m/>
    <m/>
    <m/>
    <m/>
    <x v="0"/>
    <d v="2020-12-29T00:00:00"/>
    <m/>
  </r>
  <r>
    <d v="2020-12-17T00:00:00"/>
    <s v="VZ-2020-001334"/>
    <s v="ZM"/>
    <s v="Dočkalová"/>
    <x v="296"/>
    <m/>
    <m/>
    <m/>
    <s v="18424300-0"/>
    <m/>
    <n v="30000000"/>
    <x v="0"/>
    <d v="2020-12-18T00:00:00"/>
    <d v="2021-01-19T00:00:00"/>
    <m/>
    <m/>
    <m/>
    <m/>
    <m/>
    <m/>
    <m/>
    <m/>
    <m/>
    <m/>
    <x v="0"/>
    <m/>
    <m/>
  </r>
  <r>
    <s v="opakovaná VZ"/>
    <s v="VZ-2020-001342"/>
    <s v="ZT"/>
    <s v="Rosulek"/>
    <x v="414"/>
    <m/>
    <m/>
    <m/>
    <s v="33122000-1"/>
    <s v="2.3.507"/>
    <n v="320000"/>
    <x v="2"/>
    <d v="2020-12-31T00:00:00"/>
    <d v="2021-01-12T00:00:00"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  <r>
    <m/>
    <m/>
    <m/>
    <m/>
    <x v="415"/>
    <m/>
    <m/>
    <m/>
    <m/>
    <m/>
    <m/>
    <x v="4"/>
    <m/>
    <m/>
    <m/>
    <m/>
    <m/>
    <m/>
    <m/>
    <m/>
    <m/>
    <m/>
    <m/>
    <m/>
    <x v="0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4">
  <r>
    <d v="2019-02-05T00:00:00"/>
    <s v="VZ-2019-000124"/>
    <x v="0"/>
    <s v="Čech"/>
    <x v="0"/>
    <n v="1"/>
    <s v="Rukavice operační sterilní pudrované"/>
    <m/>
    <s v="33141420-0"/>
    <m/>
    <n v="397171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x v="0"/>
    <s v="Čech"/>
    <x v="0"/>
    <n v="2"/>
    <s v="Rukavice operační sterilní nepudrované"/>
    <m/>
    <s v="33141420-0"/>
    <m/>
    <n v="874104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x v="0"/>
    <s v="Čech"/>
    <x v="0"/>
    <n v="3"/>
    <s v="Rukavice vyšetřovací nitrilové bez pudru v pevnosti 6N"/>
    <m/>
    <s v="33141420-0"/>
    <m/>
    <n v="2968290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x v="0"/>
    <s v="Čech"/>
    <x v="0"/>
    <n v="4"/>
    <s v="Rukavice vyšetřovací nitrilové bez pudru v pevnosti 9N "/>
    <m/>
    <s v="33141420-0"/>
    <m/>
    <n v="16065920"/>
    <x v="0"/>
    <d v="2019-03-29T00:00:00"/>
    <d v="2019-07-08T00:00:00"/>
    <m/>
    <m/>
    <m/>
    <m/>
    <m/>
    <m/>
    <m/>
    <m/>
    <m/>
    <m/>
    <x v="0"/>
    <d v="2020-02-26T00:00:00"/>
    <s v="10.2.2020 zrušeno"/>
  </r>
  <r>
    <d v="2019-02-05T00:00:00"/>
    <s v="VZ-2019-000124"/>
    <x v="0"/>
    <s v="Čech"/>
    <x v="0"/>
    <n v="5"/>
    <s v="Rukavice vyšetřovací latexové pudrované"/>
    <m/>
    <s v="33141420-0"/>
    <m/>
    <n v="41469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x v="0"/>
    <s v="Čech"/>
    <x v="0"/>
    <n v="6"/>
    <s v="Rukavice vyšetřovací latexové nepudrované"/>
    <m/>
    <s v="33141420-0"/>
    <m/>
    <n v="267840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2-05T00:00:00"/>
    <s v="VZ-2019-000124"/>
    <x v="0"/>
    <s v="Čech"/>
    <x v="0"/>
    <n v="7"/>
    <s v="Rukavice vyšetřovací vinylové nepudrované"/>
    <m/>
    <s v="33141420-0"/>
    <m/>
    <n v="208800"/>
    <x v="0"/>
    <d v="2019-03-29T00:00:00"/>
    <d v="2019-07-08T00:00:00"/>
    <m/>
    <m/>
    <m/>
    <m/>
    <m/>
    <m/>
    <m/>
    <m/>
    <m/>
    <m/>
    <x v="0"/>
    <d v="2020-05-19T00:00:00"/>
    <s v="29.4. zrušeno"/>
  </r>
  <r>
    <d v="2019-04-09T00:00:00"/>
    <s v="VZ-2019-000384"/>
    <x v="1"/>
    <s v="Ondráčková"/>
    <x v="1"/>
    <n v="2"/>
    <s v="Gentamicin  I."/>
    <s v="J01GB03"/>
    <s v="33651100-9"/>
    <m/>
    <n v="566785"/>
    <x v="0"/>
    <d v="2019-05-06T00:00:00"/>
    <d v="2019-07-12T00:00:00"/>
    <d v="2019-11-12T00:00:00"/>
    <s v="Alliance Healthcare s.r.o."/>
    <m/>
    <n v="565770.1"/>
    <n v="622347.11"/>
    <m/>
    <m/>
    <m/>
    <d v="2019-11-12T00:00:00"/>
    <s v="SMLN-2019-617-000562"/>
    <x v="1"/>
    <d v="2020-03-05T00:00:00"/>
    <d v="2022-02-23T00:00:00"/>
  </r>
  <r>
    <d v="2019-04-09T00:00:00"/>
    <s v="VZ-2019-000384"/>
    <x v="1"/>
    <s v="Ondráčková"/>
    <x v="1"/>
    <n v="8"/>
    <s v="Linezolid"/>
    <s v="J01XX08"/>
    <s v="33651100-9"/>
    <m/>
    <n v="230996"/>
    <x v="0"/>
    <d v="2019-05-06T00:00:00"/>
    <d v="2019-07-12T00:00:00"/>
    <d v="2019-11-12T00:00:00"/>
    <s v="Fresenius Kabi s.r.o."/>
    <m/>
    <n v="229270"/>
    <n v="252197"/>
    <m/>
    <m/>
    <m/>
    <d v="2019-11-12T00:00:00"/>
    <s v="SMLN-2019-617-000563"/>
    <x v="1"/>
    <d v="2020-03-05T00:00:00"/>
    <d v="2022-02-23T00:00:00"/>
  </r>
  <r>
    <d v="2019-04-09T00:00:00"/>
    <s v="VZ-2019-000384"/>
    <x v="1"/>
    <s v="Ondráčková"/>
    <x v="1"/>
    <n v="9"/>
    <s v="Sulfamethoxazol a trimethoprim"/>
    <s v="J01EE01"/>
    <s v="33651100-9"/>
    <m/>
    <n v="1057697"/>
    <x v="0"/>
    <d v="2019-05-06T00:00:00"/>
    <d v="2019-07-12T00:00:00"/>
    <d v="2019-11-12T00:00:00"/>
    <s v="PHOENIX lék.velkoobchod, s.r.o."/>
    <m/>
    <n v="1057608"/>
    <n v="1163368"/>
    <m/>
    <m/>
    <m/>
    <d v="2019-11-12T00:00:00"/>
    <s v="SMLN-2019-617-000564"/>
    <x v="1"/>
    <d v="2020-03-05T00:00:00"/>
    <d v="2022-02-23T00:00:00"/>
  </r>
  <r>
    <d v="2019-04-09T00:00:00"/>
    <s v="VZ-2019-000384"/>
    <x v="1"/>
    <s v="Ondráčková"/>
    <x v="1"/>
    <n v="10"/>
    <s v="Klarithromycin"/>
    <s v="J01FA09"/>
    <s v="33651100-9"/>
    <m/>
    <n v="1855269"/>
    <x v="0"/>
    <d v="2019-05-06T00:00:00"/>
    <d v="2019-07-12T00:00:00"/>
    <d v="2019-11-12T00:00:00"/>
    <s v="PHARMOS, a.s."/>
    <m/>
    <n v="1833340.74"/>
    <n v="2016674.81"/>
    <m/>
    <m/>
    <m/>
    <d v="2019-11-12T00:00:00"/>
    <s v="SMLN-2019-617-000565"/>
    <x v="1"/>
    <d v="2020-03-05T00:00:00"/>
    <d v="2022-02-23T00:00:00"/>
  </r>
  <r>
    <d v="2019-04-09T00:00:00"/>
    <s v="VZ-2019-000384"/>
    <x v="1"/>
    <s v="Ondráčková"/>
    <x v="1"/>
    <n v="11"/>
    <s v="Ceftazidim a sodná sůl avibactamu"/>
    <s v="J01DD52"/>
    <s v="33651100-9"/>
    <m/>
    <n v="151853"/>
    <x v="0"/>
    <d v="2019-05-06T00:00:00"/>
    <d v="2019-07-12T00:00:00"/>
    <d v="2019-11-12T00:00:00"/>
    <s v="PHOENIX lék.velkoobchod, s.r.o."/>
    <m/>
    <n v="150348.79999999999"/>
    <n v="165383.67999999999"/>
    <m/>
    <m/>
    <m/>
    <d v="2019-11-12T00:00:00"/>
    <s v="SMLN-2019-617-000566"/>
    <x v="1"/>
    <d v="2020-03-05T00:00:00"/>
    <d v="2022-02-23T00:00:00"/>
  </r>
  <r>
    <d v="2019-04-09T00:00:00"/>
    <s v="VZ-2019-000384"/>
    <x v="1"/>
    <s v="Ondráčková"/>
    <x v="1"/>
    <n v="12"/>
    <s v="Cefepim"/>
    <s v="J01DE01"/>
    <s v="33651100-9"/>
    <m/>
    <n v="430818"/>
    <x v="0"/>
    <d v="2019-05-06T00:00:00"/>
    <d v="2019-07-12T00:00:00"/>
    <d v="2019-11-12T00:00:00"/>
    <s v="PHARMOS, a.s."/>
    <m/>
    <n v="258834.2"/>
    <n v="284717.62"/>
    <m/>
    <m/>
    <m/>
    <d v="2019-11-12T00:00:00"/>
    <s v="SMLN-2019-617-000567"/>
    <x v="1"/>
    <d v="2020-03-05T00:00:00"/>
    <d v="2022-02-23T00:00:00"/>
  </r>
  <r>
    <d v="2019-04-09T00:00:00"/>
    <s v="VZ-2019-000384"/>
    <x v="1"/>
    <s v="Ondráčková"/>
    <x v="1"/>
    <n v="13"/>
    <s v="Tazobaktam a ceftolozan-sulfát"/>
    <s v="J01DI54"/>
    <s v="33651100-9"/>
    <m/>
    <n v="959749"/>
    <x v="0"/>
    <d v="2019-05-06T00:00:00"/>
    <d v="2019-07-12T00:00:00"/>
    <d v="2019-11-12T00:00:00"/>
    <s v="MSD s.r.o."/>
    <m/>
    <n v="942993.6"/>
    <n v="1037292.96"/>
    <m/>
    <m/>
    <m/>
    <d v="2019-11-12T00:00:00"/>
    <s v="SMLN-2019-617-000568"/>
    <x v="1"/>
    <d v="2020-03-05T00:00:00"/>
    <d v="2022-02-23T00:00:00"/>
  </r>
  <r>
    <d v="2019-04-09T00:00:00"/>
    <s v="VZ-2019-000384"/>
    <x v="1"/>
    <s v="Ondráčková"/>
    <x v="1"/>
    <n v="15"/>
    <s v="Benzylpenicilin"/>
    <s v="J01CE01"/>
    <s v="33651100-9"/>
    <m/>
    <n v="164810"/>
    <x v="0"/>
    <d v="2019-05-06T00:00:00"/>
    <d v="2019-07-12T00:00:00"/>
    <d v="2020-01-30T00:00:00"/>
    <s v="PHARMOS, a.s."/>
    <m/>
    <n v="164807.20000000001"/>
    <n v="181287.92000000004"/>
    <m/>
    <m/>
    <m/>
    <d v="2020-01-31T00:00:00"/>
    <s v="SMLN-2020-617-000055"/>
    <x v="2"/>
    <d v="2020-03-05T00:00:00"/>
    <d v="2022-03-01T00:00:00"/>
  </r>
  <r>
    <d v="2019-04-24T00:00:00"/>
    <s v="VZ-2019-000453"/>
    <x v="0"/>
    <s v="Dočkalová"/>
    <x v="2"/>
    <n v="1"/>
    <s v="PCS2"/>
    <m/>
    <s v="33140000-3"/>
    <m/>
    <n v="31542000"/>
    <x v="0"/>
    <d v="2019-06-12T00:00:00"/>
    <d v="2019-08-28T00:00:00"/>
    <d v="2020-01-28T00:00:00"/>
    <s v="VIVACOM s..ro."/>
    <m/>
    <n v="31192000"/>
    <n v="37742320"/>
    <m/>
    <m/>
    <m/>
    <d v="2020-06-01T00:00:00"/>
    <s v="SMLN-2020-617-000216_x000a_SMLN-2020-616-000027"/>
    <x v="3"/>
    <d v="2020-07-28T00:00:00"/>
    <d v="2028-07-22T00:00:00"/>
  </r>
  <r>
    <d v="2019-04-24T00:00:00"/>
    <s v="VZ-2019-000453"/>
    <x v="0"/>
    <s v="Dočkalová"/>
    <x v="2"/>
    <n v="2"/>
    <s v="MCS+"/>
    <m/>
    <s v="33140000-3"/>
    <m/>
    <n v="19657800"/>
    <x v="0"/>
    <d v="2019-06-12T00:00:00"/>
    <d v="2019-08-28T00:00:00"/>
    <d v="2019-10-04T00:00:00"/>
    <s v="VAMEX, spol. s r.o."/>
    <m/>
    <n v="18450000"/>
    <n v="22324500"/>
    <m/>
    <m/>
    <m/>
    <d v="2019-10-07T00:00:00"/>
    <s v="SMLN-2019-617-000485_x000a_SMLN-2019-616-000060"/>
    <x v="4"/>
    <d v="2020-01-14T00:00:00"/>
    <d v="2028-01-05T00:00:00"/>
  </r>
  <r>
    <d v="2019-04-29T00:00:00"/>
    <s v="VZ-2019-000493"/>
    <x v="0"/>
    <s v="Dočkalová"/>
    <x v="3"/>
    <m/>
    <s v=" 3.3. námitky odmítnuty, zrušit VZ"/>
    <m/>
    <s v="33140000-3"/>
    <m/>
    <n v="57312000"/>
    <x v="0"/>
    <d v="2019-06-04T00:00:00"/>
    <d v="2019-09-04T00:00:00"/>
    <d v="2020-01-31T00:00:00"/>
    <s v="VIVACOM s..ro."/>
    <m/>
    <n v="46048000"/>
    <n v="55718080"/>
    <m/>
    <m/>
    <m/>
    <d v="2020-02-04T00:00:00"/>
    <s v="SMLN-2020-617-000062_x000a_SMLN-2020-616-000007"/>
    <x v="0"/>
    <d v="2020-04-07T00:00:00"/>
    <s v="13.3.2020 zušeno"/>
  </r>
  <r>
    <d v="2019-05-17T00:00:00"/>
    <s v="VZ-2019-000533"/>
    <x v="1"/>
    <s v="Ondráčková"/>
    <x v="4"/>
    <n v="4"/>
    <s v="Sultamicilin"/>
    <s v="J01CR04"/>
    <s v="33651100-9"/>
    <m/>
    <n v="135108"/>
    <x v="0"/>
    <d v="2019-05-24T00:00:00"/>
    <d v="2019-07-11T00:00:00"/>
    <d v="2019-12-05T00:00:00"/>
    <s v="Alliance Healthcare s.r.o."/>
    <m/>
    <n v="134452.5"/>
    <n v="147897.75"/>
    <m/>
    <m/>
    <m/>
    <d v="2019-12-06T00:00:00"/>
    <s v="SMLN-2019-617-000628"/>
    <x v="5"/>
    <d v="2020-01-27T00:00:00"/>
    <d v="2022-01-23T00:00:00"/>
  </r>
  <r>
    <d v="2019-05-17T00:00:00"/>
    <s v="VZ-2019-000533"/>
    <x v="1"/>
    <s v="Ondráčková"/>
    <x v="4"/>
    <n v="5"/>
    <s v="Ciprofloxacin"/>
    <s v="J01MA02"/>
    <s v="33651100-9"/>
    <m/>
    <n v="250029"/>
    <x v="0"/>
    <d v="2019-05-24T00:00:00"/>
    <d v="2019-07-11T00:00:00"/>
    <d v="2019-10-17T00:00:00"/>
    <s v="Alliance Healthcare s.r.o."/>
    <m/>
    <n v="215896.32000000001"/>
    <n v="237485.95"/>
    <m/>
    <m/>
    <m/>
    <d v="2019-10-18T00:00:00"/>
    <s v="SMLN-2019-617-000523"/>
    <x v="4"/>
    <d v="2020-01-17T00:00:00"/>
    <d v="2022-01-05T00:00:00"/>
  </r>
  <r>
    <d v="2019-05-17T00:00:00"/>
    <s v="VZ-2019-000536"/>
    <x v="1"/>
    <s v="Ondráčková"/>
    <x v="5"/>
    <n v="1"/>
    <s v="Spotřební materiál pro AAS"/>
    <m/>
    <s v="33694000-1"/>
    <m/>
    <n v="7800"/>
    <x v="0"/>
    <d v="2019-06-14T00:00:00"/>
    <d v="2019-08-20T00:00:00"/>
    <d v="2019-12-17T00:00:00"/>
    <s v="LAB MARK a.s."/>
    <m/>
    <n v="7800"/>
    <n v="9438"/>
    <m/>
    <m/>
    <m/>
    <d v="2019-12-19T00:00:00"/>
    <s v="SMLN-2019-617-000653"/>
    <x v="6"/>
    <d v="2020-03-04T00:00:00"/>
    <d v="2021-02-18T00:00:00"/>
  </r>
  <r>
    <d v="2019-05-17T00:00:00"/>
    <s v="VZ-2019-000536"/>
    <x v="1"/>
    <s v="Ondráčková"/>
    <x v="5"/>
    <n v="3"/>
    <s v="Spotřební materiál pro Arkray Adams "/>
    <m/>
    <s v="33694000-1"/>
    <m/>
    <n v="519966"/>
    <x v="0"/>
    <d v="2019-06-14T00:00:00"/>
    <d v="2019-08-20T00:00:00"/>
    <d v="2019-12-17T00:00:00"/>
    <s v="MEDISTA spol. s r.o."/>
    <m/>
    <n v="450000"/>
    <n v="544500"/>
    <m/>
    <m/>
    <m/>
    <d v="2019-12-19T00:00:00"/>
    <s v="SMLN-2019-617-000654"/>
    <x v="6"/>
    <d v="2020-03-04T00:00:00"/>
    <d v="2021-02-18T00:00:00"/>
  </r>
  <r>
    <d v="2019-05-17T00:00:00"/>
    <s v="VZ-2019-000536"/>
    <x v="1"/>
    <s v="Ondráčková"/>
    <x v="5"/>
    <n v="4"/>
    <s v="Spotřební materiál pro Arkray Amonia Checker"/>
    <m/>
    <s v="33694000-1"/>
    <m/>
    <n v="43451"/>
    <x v="0"/>
    <d v="2019-06-14T00:00:00"/>
    <d v="2019-08-20T00:00:00"/>
    <d v="2019-12-17T00:00:00"/>
    <s v="MEDISTA spol. s r.o."/>
    <m/>
    <n v="43450"/>
    <n v="52574.5"/>
    <m/>
    <m/>
    <m/>
    <d v="2019-12-19T00:00:00"/>
    <s v="SMLN-2019-617-000655"/>
    <x v="6"/>
    <d v="2020-03-04T00:00:00"/>
    <d v="2021-02-18T00:00:00"/>
  </r>
  <r>
    <d v="2019-05-17T00:00:00"/>
    <s v="VZ-2019-000536"/>
    <x v="1"/>
    <s v="Ondráčková"/>
    <x v="5"/>
    <n v="5"/>
    <s v="Spotřební materiál pro Arkray Osmometr I."/>
    <m/>
    <s v="33694000-1"/>
    <m/>
    <n v="9780"/>
    <x v="0"/>
    <d v="2019-06-14T00:00:00"/>
    <d v="2019-08-20T00:00:00"/>
    <d v="2019-12-17T00:00:00"/>
    <s v="MEDISTA spol. s r.o."/>
    <m/>
    <n v="9780"/>
    <n v="11833.8"/>
    <m/>
    <m/>
    <m/>
    <d v="2019-12-19T00:00:00"/>
    <s v="SMLN-2019-617-000656"/>
    <x v="6"/>
    <d v="2020-03-04T00:00:00"/>
    <d v="2021-02-18T00:00:00"/>
  </r>
  <r>
    <d v="2019-05-17T00:00:00"/>
    <s v="VZ-2019-000536"/>
    <x v="1"/>
    <s v="Ondráčková"/>
    <x v="5"/>
    <n v="6"/>
    <s v="Spotřební materiál pro Arkray Osmometr II."/>
    <m/>
    <s v="33694000-1"/>
    <m/>
    <n v="1853"/>
    <x v="0"/>
    <d v="2019-06-14T00:00:00"/>
    <d v="2019-08-20T00:00:00"/>
    <d v="2019-12-17T00:00:00"/>
    <s v="MEDISTA spol. s r.o."/>
    <m/>
    <n v="1800"/>
    <n v="2178"/>
    <m/>
    <m/>
    <m/>
    <d v="2019-12-19T00:00:00"/>
    <s v="SMLN-2019-617-000657"/>
    <x v="6"/>
    <d v="2020-03-04T00:00:00"/>
    <d v="2021-02-18T00:00:00"/>
  </r>
  <r>
    <d v="2019-05-17T00:00:00"/>
    <s v="VZ-2019-000536"/>
    <x v="1"/>
    <s v="Ondráčková"/>
    <x v="5"/>
    <n v="7"/>
    <s v="Spotřební materiál pro Dynablot"/>
    <m/>
    <s v="33694000-1"/>
    <m/>
    <n v="225101"/>
    <x v="0"/>
    <d v="2019-06-14T00:00:00"/>
    <d v="2019-08-20T00:00:00"/>
    <d v="2019-12-17T00:00:00"/>
    <s v="ASCO-MED, spol.  s r.o."/>
    <m/>
    <n v="204400"/>
    <n v="247324"/>
    <m/>
    <m/>
    <m/>
    <d v="2019-12-19T00:00:00"/>
    <s v="SMLN-2019-617-000658"/>
    <x v="6"/>
    <d v="2020-03-04T00:00:00"/>
    <d v="2021-02-18T00:00:00"/>
  </r>
  <r>
    <d v="2019-05-17T00:00:00"/>
    <s v="VZ-2019-000536"/>
    <x v="1"/>
    <s v="Ondráčková"/>
    <x v="5"/>
    <n v="9"/>
    <s v="Spotřební materiál pro Evolis  II."/>
    <m/>
    <s v="33694000-1"/>
    <m/>
    <n v="160200"/>
    <x v="0"/>
    <d v="2019-06-14T00:00:00"/>
    <d v="2019-08-20T00:00:00"/>
    <d v="2019-12-17T00:00:00"/>
    <s v="Beckman Coulter Česká republika s.r.o."/>
    <m/>
    <n v="160200"/>
    <n v="193842"/>
    <m/>
    <m/>
    <m/>
    <d v="2019-12-19T00:00:00"/>
    <s v="SMLN-2019-617-000661"/>
    <x v="6"/>
    <d v="2020-03-04T00:00:00"/>
    <d v="2021-02-18T00:00:00"/>
  </r>
  <r>
    <d v="2019-05-17T00:00:00"/>
    <s v="VZ-2019-000536"/>
    <x v="1"/>
    <s v="Ondráčková"/>
    <x v="5"/>
    <n v="10"/>
    <s v="Spotřební materiál pro Evolis  III."/>
    <m/>
    <s v="33694000-1"/>
    <m/>
    <n v="8775"/>
    <x v="0"/>
    <d v="2019-06-14T00:00:00"/>
    <d v="2019-08-20T00:00:00"/>
    <d v="2019-12-17T00:00:00"/>
    <s v="Bio-Rad spol. s r.o."/>
    <m/>
    <n v="8750"/>
    <n v="10587.5"/>
    <m/>
    <m/>
    <m/>
    <d v="2019-12-19T00:00:00"/>
    <s v="SMLN-2019-617-000662"/>
    <x v="6"/>
    <d v="2020-03-04T00:00:00"/>
    <d v="2021-02-18T00:00:00"/>
  </r>
  <r>
    <d v="2019-05-17T00:00:00"/>
    <s v="VZ-2019-000536"/>
    <x v="1"/>
    <s v="Ondráčková"/>
    <x v="5"/>
    <n v="14"/>
    <s v="Spotřební materiál pro Evolis VII."/>
    <m/>
    <s v="33694000-1"/>
    <m/>
    <n v="253762"/>
    <x v="0"/>
    <d v="2019-06-14T00:00:00"/>
    <d v="2019-08-20T00:00:00"/>
    <d v="2019-12-17T00:00:00"/>
    <s v="Dynex LabSolutions s.r.o."/>
    <m/>
    <n v="242505.8"/>
    <n v="293432.02"/>
    <m/>
    <m/>
    <m/>
    <d v="2019-12-19T00:00:00"/>
    <s v="SMLN-2019-617-000663"/>
    <x v="6"/>
    <d v="2020-03-04T00:00:00"/>
    <d v="2021-02-18T00:00:00"/>
  </r>
  <r>
    <d v="2019-05-17T00:00:00"/>
    <s v="VZ-2019-000536"/>
    <x v="1"/>
    <s v="Ondráčková"/>
    <x v="5"/>
    <n v="15"/>
    <s v="Spotřební materiál pro Immulite 2000"/>
    <m/>
    <s v="33694000-1"/>
    <m/>
    <n v="1070340"/>
    <x v="0"/>
    <d v="2019-06-14T00:00:00"/>
    <d v="2019-08-20T00:00:00"/>
    <d v="2019-12-17T00:00:00"/>
    <s v="Siemens Healthcare s.r.o."/>
    <m/>
    <n v="1023157.5"/>
    <n v="1238020.58"/>
    <m/>
    <m/>
    <m/>
    <d v="2019-12-19T00:00:00"/>
    <s v="SMLN-2019-617-000664"/>
    <x v="6"/>
    <d v="2020-03-04T00:00:00"/>
    <d v="2021-02-18T00:00:00"/>
  </r>
  <r>
    <d v="2019-05-17T00:00:00"/>
    <s v="VZ-2019-000541"/>
    <x v="1"/>
    <s v="Ondráčková"/>
    <x v="6"/>
    <n v="1"/>
    <s v="Spotřební materiál pro CFX96 I."/>
    <m/>
    <s v="33694000-1"/>
    <m/>
    <n v="2903053"/>
    <x v="0"/>
    <d v="2019-06-04T00:00:00"/>
    <d v="2019-08-12T00:00:00"/>
    <d v="2019-12-19T00:00:00"/>
    <s v="GeneTiCA s.r.o."/>
    <m/>
    <n v="2903040"/>
    <n v="3512678.3999999999"/>
    <m/>
    <m/>
    <m/>
    <d v="2019-12-20T00:00:00"/>
    <s v="SMLN-2019-617-000666"/>
    <x v="7"/>
    <d v="2020-03-10T00:00:00"/>
    <d v="2021-02-24T00:00:00"/>
  </r>
  <r>
    <d v="2019-05-17T00:00:00"/>
    <s v="VZ-2019-000541"/>
    <x v="1"/>
    <s v="Ondráčková"/>
    <x v="6"/>
    <n v="3"/>
    <s v="Spotřební materiál pro Cobas TaqMan"/>
    <m/>
    <s v="33694000-1"/>
    <m/>
    <n v="285400"/>
    <x v="0"/>
    <d v="2019-06-04T00:00:00"/>
    <d v="2019-08-12T00:00:00"/>
    <d v="2019-12-19T00:00:00"/>
    <s v="ROCHE s.r.o."/>
    <m/>
    <n v="285400"/>
    <n v="345334"/>
    <m/>
    <m/>
    <m/>
    <d v="2019-12-20T00:00:00"/>
    <s v="SMLN-2019-617-000667"/>
    <x v="7"/>
    <d v="2020-03-10T00:00:00"/>
    <d v="2021-02-24T00:00:00"/>
  </r>
  <r>
    <d v="2019-05-17T00:00:00"/>
    <s v="VZ-2019-000541"/>
    <x v="1"/>
    <s v="Ondráčková"/>
    <x v="6"/>
    <n v="5"/>
    <s v="Spotřební materiál pro Fotometr Biotek ELx808 I."/>
    <m/>
    <s v="33694000-1"/>
    <m/>
    <n v="372050"/>
    <x v="0"/>
    <d v="2019-06-04T00:00:00"/>
    <d v="2019-08-12T00:00:00"/>
    <d v="2019-12-19T00:00:00"/>
    <s v="Biomedica ČS, s.r.o."/>
    <m/>
    <n v="237646.8"/>
    <n v="287552.63"/>
    <m/>
    <m/>
    <m/>
    <d v="2019-12-20T00:00:00"/>
    <s v="SMLN-2019-617-000668"/>
    <x v="7"/>
    <d v="2020-03-10T00:00:00"/>
    <d v="2021-02-24T00:00:00"/>
  </r>
  <r>
    <d v="2019-05-17T00:00:00"/>
    <s v="VZ-2019-000541"/>
    <x v="1"/>
    <s v="Ondráčková"/>
    <x v="6"/>
    <n v="7"/>
    <s v="Spotřební materiál pro Fotometr Biotek ELx808 III."/>
    <m/>
    <s v="33694000-1"/>
    <m/>
    <n v="916955"/>
    <x v="0"/>
    <d v="2019-06-04T00:00:00"/>
    <d v="2019-08-12T00:00:00"/>
    <d v="2019-12-19T00:00:00"/>
    <s v="Dynex LabSolutions s.r.o."/>
    <m/>
    <n v="906965.5"/>
    <n v="1097428.26"/>
    <m/>
    <m/>
    <m/>
    <d v="2019-12-20T00:00:00"/>
    <s v="SMLN-2019-617-000669"/>
    <x v="7"/>
    <d v="2020-03-10T00:00:00"/>
    <d v="2021-02-24T00:00:00"/>
  </r>
  <r>
    <d v="2019-05-17T00:00:00"/>
    <s v="VZ-2019-000541"/>
    <x v="1"/>
    <s v="Ondráčková"/>
    <x v="6"/>
    <n v="8"/>
    <s v="Kultivační média pro automat WASP"/>
    <m/>
    <s v="33694000-1"/>
    <m/>
    <n v="2769329"/>
    <x v="0"/>
    <d v="2019-06-04T00:00:00"/>
    <d v="2019-08-12T00:00:00"/>
    <d v="2019-12-19T00:00:00"/>
    <s v="TRIOS, spol. s r.o."/>
    <m/>
    <n v="2723403.66"/>
    <n v="3295318.43"/>
    <m/>
    <m/>
    <m/>
    <d v="2019-12-20T00:00:00"/>
    <s v="SMLN-2019-617-000670"/>
    <x v="7"/>
    <d v="2020-03-10T00:00:00"/>
    <d v="2021-02-24T00:00:00"/>
  </r>
  <r>
    <d v="2019-05-17T00:00:00"/>
    <s v="VZ-2019-000543"/>
    <x v="1"/>
    <s v="Ondráčková"/>
    <x v="7"/>
    <n v="1"/>
    <s v="Spotřební materiál pro mikrobiologii II."/>
    <m/>
    <s v="33694000-1"/>
    <m/>
    <n v="182310"/>
    <x v="0"/>
    <d v="2019-06-05T00:00:00"/>
    <d v="2019-08-29T00:00:00"/>
    <d v="2020-01-14T00:00:00"/>
    <s v="Abbot Rapid Diagnostics s.r.o."/>
    <m/>
    <n v="182306.4"/>
    <n v="220590.74"/>
    <m/>
    <m/>
    <m/>
    <d v="2020-01-15T00:00:00"/>
    <s v="SMLN-2020-617-000018"/>
    <x v="8"/>
    <d v="2020-03-10T00:00:00"/>
    <d v="2021-02-25T00:00:00"/>
  </r>
  <r>
    <d v="2019-05-17T00:00:00"/>
    <s v="VZ-2019-000543"/>
    <x v="1"/>
    <s v="Ondráčková"/>
    <x v="7"/>
    <n v="2"/>
    <s v="Spotřební materiál pro mikrobiologii III."/>
    <m/>
    <s v="33694000-1"/>
    <m/>
    <n v="291206"/>
    <x v="0"/>
    <d v="2019-06-05T00:00:00"/>
    <d v="2019-08-29T00:00:00"/>
    <d v="2020-01-14T00:00:00"/>
    <s v="Bio-Rad spol. s r.o."/>
    <m/>
    <n v="280887"/>
    <n v="339873.27"/>
    <m/>
    <m/>
    <m/>
    <d v="2020-01-15T00:00:00"/>
    <s v="SMLN-2020-617-000019"/>
    <x v="8"/>
    <d v="2020-03-10T00:00:00"/>
    <d v="2021-02-25T00:00:00"/>
  </r>
  <r>
    <d v="2019-05-17T00:00:00"/>
    <s v="VZ-2019-000543"/>
    <x v="1"/>
    <s v="Ondráčková"/>
    <x v="7"/>
    <n v="3"/>
    <s v="Spotřební materiál pro mikrobiologii IV."/>
    <m/>
    <s v="33694000-1"/>
    <m/>
    <n v="12360"/>
    <x v="0"/>
    <d v="2019-06-05T00:00:00"/>
    <d v="2019-08-29T00:00:00"/>
    <d v="2020-01-14T00:00:00"/>
    <s v="BioVendor - Laboratorní medicína a.s."/>
    <m/>
    <n v="12355"/>
    <n v="14949.55"/>
    <m/>
    <m/>
    <m/>
    <d v="2020-01-15T00:00:00"/>
    <s v="SMLN-2020-617-000020"/>
    <x v="8"/>
    <d v="2020-03-10T00:00:00"/>
    <d v="2021-02-25T00:00:00"/>
  </r>
  <r>
    <d v="2019-05-17T00:00:00"/>
    <s v="VZ-2019-000543"/>
    <x v="1"/>
    <s v="Ondráčková"/>
    <x v="7"/>
    <n v="4"/>
    <s v="Spotřební materiál pro mikrobiologii V."/>
    <m/>
    <s v="33694000-1"/>
    <m/>
    <n v="409529"/>
    <x v="0"/>
    <d v="2019-06-05T00:00:00"/>
    <d v="2019-08-29T00:00:00"/>
    <d v="2020-01-14T00:00:00"/>
    <s v="GALI spol. s r.o."/>
    <m/>
    <n v="377920"/>
    <n v="457283.2"/>
    <m/>
    <m/>
    <m/>
    <d v="2020-01-15T00:00:00"/>
    <s v="SMLN-2020-617-000021"/>
    <x v="8"/>
    <d v="2020-03-10T00:00:00"/>
    <d v="2021-02-25T00:00:00"/>
  </r>
  <r>
    <d v="2019-05-17T00:00:00"/>
    <s v="VZ-2019-000543"/>
    <x v="1"/>
    <s v="Ondráčková"/>
    <x v="7"/>
    <n v="5"/>
    <s v="Spotřební materiál pro Qiacube"/>
    <m/>
    <s v="33694000-1"/>
    <m/>
    <n v="379509"/>
    <x v="0"/>
    <d v="2019-06-05T00:00:00"/>
    <d v="2019-08-29T00:00:00"/>
    <d v="2020-01-14T00:00:00"/>
    <s v="OXOID CZ s.r.o."/>
    <m/>
    <n v="354775.75"/>
    <n v="429278.66"/>
    <m/>
    <m/>
    <m/>
    <d v="2020-01-15T00:00:00"/>
    <s v="SMLN-2020-617-000022"/>
    <x v="8"/>
    <d v="2020-03-10T00:00:00"/>
    <d v="2021-02-25T00:00:00"/>
  </r>
  <r>
    <d v="2019-05-17T00:00:00"/>
    <s v="VZ-2019-000543"/>
    <x v="1"/>
    <s v="Ondráčková"/>
    <x v="7"/>
    <n v="6"/>
    <s v="Spotřební materiál pro mikrobiologii VI."/>
    <m/>
    <s v="33694000-1"/>
    <m/>
    <n v="162467"/>
    <x v="0"/>
    <d v="2019-06-05T00:00:00"/>
    <d v="2019-08-29T00:00:00"/>
    <d v="2020-01-14T00:00:00"/>
    <s v="TRIOS, spol. s r.o."/>
    <m/>
    <n v="159480.6"/>
    <n v="192971.53"/>
    <m/>
    <m/>
    <m/>
    <d v="2020-01-15T00:00:00"/>
    <s v="SMLN-2020-617-000023"/>
    <x v="8"/>
    <d v="2020-03-10T00:00:00"/>
    <d v="2021-02-25T00:00:00"/>
  </r>
  <r>
    <d v="2019-05-17T00:00:00"/>
    <s v="VZ-2019-000543"/>
    <x v="1"/>
    <s v="Ondráčková"/>
    <x v="7"/>
    <n v="8"/>
    <s v="Spotřební materiál pro mikrobiologii VIII."/>
    <m/>
    <s v="33694000-1"/>
    <m/>
    <n v="202652"/>
    <x v="0"/>
    <d v="2019-06-05T00:00:00"/>
    <d v="2019-08-29T00:00:00"/>
    <d v="2020-01-14T00:00:00"/>
    <s v="VIDIA spol. s r.o."/>
    <m/>
    <n v="193451"/>
    <n v="234075.71"/>
    <m/>
    <m/>
    <m/>
    <d v="2020-01-15T00:00:00"/>
    <s v="SMLN-2020-617-000024"/>
    <x v="8"/>
    <d v="2020-03-10T00:00:00"/>
    <d v="2021-02-25T00:00:00"/>
  </r>
  <r>
    <d v="2019-05-17T00:00:00"/>
    <s v="VZ-2019-000543"/>
    <x v="1"/>
    <s v="Ondráčková"/>
    <x v="7"/>
    <n v="9"/>
    <s v="Spotřební materiál pro mikrobiologii  IX."/>
    <m/>
    <s v="33694000-1"/>
    <m/>
    <n v="601611"/>
    <x v="0"/>
    <d v="2019-06-05T00:00:00"/>
    <d v="2019-08-29T00:00:00"/>
    <d v="2020-01-14T00:00:00"/>
    <s v="BioVendor - Laboratorní medicína a.s."/>
    <m/>
    <n v="600024"/>
    <n v="726029.04"/>
    <m/>
    <m/>
    <m/>
    <d v="2020-01-15T00:00:00"/>
    <s v="SMLN-2020-617-000025"/>
    <x v="8"/>
    <d v="2020-03-10T00:00:00"/>
    <d v="2021-02-25T00:00:00"/>
  </r>
  <r>
    <d v="2019-05-17T00:00:00"/>
    <s v="VZ-2019-000543"/>
    <x v="1"/>
    <s v="Ondráčková"/>
    <x v="7"/>
    <n v="10"/>
    <s v="Spotřební materiál pro mikrobiologii  X."/>
    <m/>
    <s v="33694000-1"/>
    <m/>
    <n v="253696"/>
    <x v="0"/>
    <d v="2019-06-05T00:00:00"/>
    <d v="2019-08-29T00:00:00"/>
    <d v="2020-01-14T00:00:00"/>
    <s v="TRIOS, spol. s r.o."/>
    <m/>
    <n v="253671.2"/>
    <n v="306942.15000000002"/>
    <m/>
    <m/>
    <m/>
    <d v="2020-01-15T00:00:00"/>
    <s v="SMLN-2020-617-000026"/>
    <x v="8"/>
    <d v="2020-03-10T00:00:00"/>
    <d v="2021-02-25T00:00:00"/>
  </r>
  <r>
    <d v="2019-05-17T00:00:00"/>
    <s v="VZ-2019-000543"/>
    <x v="1"/>
    <s v="Ondráčková"/>
    <x v="7"/>
    <n v="11"/>
    <s v="Spotřební materiál pro Profiblot 48 Tecan"/>
    <m/>
    <s v="33694000-1"/>
    <m/>
    <n v="434935"/>
    <x v="0"/>
    <d v="2019-06-05T00:00:00"/>
    <d v="2019-08-29T00:00:00"/>
    <d v="2020-01-14T00:00:00"/>
    <s v="DYNEX Technologies spol.s r.o."/>
    <m/>
    <n v="428961"/>
    <n v="519042.81"/>
    <m/>
    <m/>
    <m/>
    <d v="2020-01-15T00:00:00"/>
    <s v="SMLN-2020-617-000027"/>
    <x v="8"/>
    <d v="2020-03-10T00:00:00"/>
    <d v="2021-02-25T00:00:00"/>
  </r>
  <r>
    <d v="2019-05-17T00:00:00"/>
    <s v="VZ-2019-000543"/>
    <x v="1"/>
    <s v="Ondráčková"/>
    <x v="7"/>
    <n v="12"/>
    <s v="Spotřební materiál pro CFX96 III."/>
    <m/>
    <s v="33694000-1"/>
    <m/>
    <n v="918481"/>
    <x v="0"/>
    <d v="2019-06-05T00:00:00"/>
    <d v="2019-08-29T00:00:00"/>
    <d v="2020-01-14T00:00:00"/>
    <s v="Biomedica ČS, s.r.o."/>
    <m/>
    <n v="813050"/>
    <n v="983790.5"/>
    <m/>
    <m/>
    <m/>
    <d v="2020-01-15T00:00:00"/>
    <s v="SMLN-2020-617-000028"/>
    <x v="8"/>
    <d v="2020-03-10T00:00:00"/>
    <d v="2021-02-25T00:00:00"/>
  </r>
  <r>
    <d v="2019-05-17T00:00:00"/>
    <s v="VZ-2019-000543"/>
    <x v="1"/>
    <s v="Ondráčková"/>
    <x v="7"/>
    <n v="13"/>
    <s v="Spotřební materiál pro CFX96 IV."/>
    <m/>
    <s v="33694000-1"/>
    <m/>
    <n v="320000"/>
    <x v="0"/>
    <d v="2019-06-05T00:00:00"/>
    <d v="2019-08-29T00:00:00"/>
    <d v="2020-01-14T00:00:00"/>
    <s v="GALI spol. s r.o."/>
    <m/>
    <n v="320000"/>
    <n v="387200"/>
    <m/>
    <m/>
    <m/>
    <d v="2020-01-15T00:00:00"/>
    <s v="SMLN-2020-617-000029"/>
    <x v="8"/>
    <d v="2020-03-10T00:00:00"/>
    <d v="2021-02-25T00:00:00"/>
  </r>
  <r>
    <d v="2019-05-17T00:00:00"/>
    <s v="VZ-2019-000543"/>
    <x v="1"/>
    <s v="Ondráčková"/>
    <x v="7"/>
    <n v="14"/>
    <s v="Spotřební materiál pro GeneXpert, Cepheid"/>
    <m/>
    <s v="33694000-1"/>
    <m/>
    <n v="98615"/>
    <x v="0"/>
    <d v="2019-06-05T00:00:00"/>
    <d v="2019-08-29T00:00:00"/>
    <d v="2020-01-14T00:00:00"/>
    <s v="LABOSERV s.r.o."/>
    <m/>
    <n v="96305"/>
    <n v="116529.05"/>
    <m/>
    <m/>
    <m/>
    <d v="2020-01-15T00:00:00"/>
    <s v="SMLN-2020-617-000030"/>
    <x v="8"/>
    <d v="2020-03-10T00:00:00"/>
    <d v="2021-02-25T00:00:00"/>
  </r>
  <r>
    <d v="2019-05-17T00:00:00"/>
    <s v="VZ-2019-000544"/>
    <x v="1"/>
    <s v="Ondráčková"/>
    <x v="8"/>
    <n v="1"/>
    <s v="Spotřební materiál pro BD FACSCanto"/>
    <m/>
    <s v="33694000-1"/>
    <m/>
    <n v="401500"/>
    <x v="0"/>
    <d v="2019-06-07T00:00:00"/>
    <d v="2019-08-13T00:00:00"/>
    <d v="2019-12-17T00:00:00"/>
    <s v="Becton Dickinson  Czechia, s.r.o."/>
    <m/>
    <n v="252220"/>
    <n v="305186.2"/>
    <m/>
    <m/>
    <m/>
    <d v="2019-12-19T00:00:00"/>
    <s v="SMLN-2019-617-000647"/>
    <x v="7"/>
    <d v="2020-03-09T00:00:00"/>
    <d v="2021-02-24T00:00:00"/>
  </r>
  <r>
    <d v="2019-05-17T00:00:00"/>
    <s v="VZ-2019-000544"/>
    <x v="1"/>
    <s v="Ondráčková"/>
    <x v="8"/>
    <n v="2"/>
    <s v="Spotřební materiál pro Cyklery Bio Rad, Biometra I"/>
    <m/>
    <s v="33694000-1"/>
    <m/>
    <n v="3061174"/>
    <x v="0"/>
    <d v="2019-06-07T00:00:00"/>
    <d v="2019-08-13T00:00:00"/>
    <d v="2019-12-17T00:00:00"/>
    <s v="INTERSOL, spol. s r.o."/>
    <m/>
    <n v="3001319"/>
    <n v="3631595.99"/>
    <m/>
    <m/>
    <m/>
    <d v="2019-12-19T00:00:00"/>
    <s v="SMLN-2019-617-000648"/>
    <x v="7"/>
    <d v="2020-03-09T00:00:00"/>
    <d v="2021-02-24T00:00:00"/>
  </r>
  <r>
    <d v="2019-05-17T00:00:00"/>
    <s v="VZ-2019-000544"/>
    <x v="1"/>
    <s v="Ondráčková"/>
    <x v="8"/>
    <n v="5"/>
    <s v="Elekroforézy Max Power 500"/>
    <m/>
    <s v="33694000-1"/>
    <m/>
    <n v="159200"/>
    <x v="0"/>
    <d v="2019-06-07T00:00:00"/>
    <d v="2019-08-13T00:00:00"/>
    <d v="2019-12-17T00:00:00"/>
    <s v="BioTech a.s."/>
    <m/>
    <n v="107440"/>
    <n v="130002.4"/>
    <m/>
    <m/>
    <m/>
    <d v="2019-12-19T00:00:00"/>
    <s v="SMLN-2019-617-000649"/>
    <x v="7"/>
    <d v="2020-03-09T00:00:00"/>
    <d v="2021-02-24T00:00:00"/>
  </r>
  <r>
    <d v="2019-05-17T00:00:00"/>
    <s v="VZ-2019-000544"/>
    <x v="1"/>
    <s v="Ondráčková"/>
    <x v="8"/>
    <n v="6"/>
    <s v="Spotřební materiál pro  ELISA Reader Biotek"/>
    <m/>
    <s v="33694000-1"/>
    <m/>
    <n v="443295"/>
    <x v="0"/>
    <d v="2019-06-07T00:00:00"/>
    <d v="2019-08-13T00:00:00"/>
    <d v="2019-12-17T00:00:00"/>
    <s v="CEEMED s.r.o."/>
    <m/>
    <n v="443294"/>
    <n v="509788.1"/>
    <m/>
    <m/>
    <m/>
    <d v="2019-12-19T00:00:00"/>
    <s v="SMLN-2019-617-000650"/>
    <x v="7"/>
    <d v="2020-03-09T00:00:00"/>
    <d v="2021-02-24T00:00:00"/>
  </r>
  <r>
    <d v="2019-05-17T00:00:00"/>
    <s v="VZ-2019-000544"/>
    <x v="1"/>
    <s v="Ondráčková"/>
    <x v="8"/>
    <n v="7"/>
    <s v="Spotřební materiál pro  fotometr Tecan Sunrise I."/>
    <m/>
    <s v="33694000-1"/>
    <m/>
    <n v="138334"/>
    <x v="0"/>
    <d v="2019-06-07T00:00:00"/>
    <d v="2019-08-13T00:00:00"/>
    <m/>
    <s v="zrušeno - jediný účastník vyloučen"/>
    <m/>
    <m/>
    <m/>
    <m/>
    <m/>
    <m/>
    <d v="2019-12-19T00:00:00"/>
    <s v="SMLN-2019-617-000651"/>
    <x v="0"/>
    <d v="2020-03-09T00:00:00"/>
    <s v="14.2. zrušeno"/>
  </r>
  <r>
    <d v="2019-05-17T00:00:00"/>
    <s v="VZ-2019-000544"/>
    <x v="1"/>
    <s v="Ondráčková"/>
    <x v="8"/>
    <n v="9"/>
    <s v="Spotřební materiál pro fotometr Tecan Sunrise III."/>
    <m/>
    <s v="33694000-1"/>
    <m/>
    <n v="630771"/>
    <x v="0"/>
    <d v="2019-06-07T00:00:00"/>
    <d v="2019-08-13T00:00:00"/>
    <d v="2019-12-17T00:00:00"/>
    <s v="GALI spol. s r.o."/>
    <m/>
    <n v="630740"/>
    <n v="763195.4"/>
    <m/>
    <m/>
    <m/>
    <d v="2019-12-19T00:00:00"/>
    <s v="SMLN-2019-617-000652"/>
    <x v="7"/>
    <d v="2020-03-09T00:00:00"/>
    <d v="2021-02-24T00:00:00"/>
  </r>
  <r>
    <d v="2019-05-17T00:00:00"/>
    <s v="VZ-2019-000547"/>
    <x v="1"/>
    <s v="Ondráčková"/>
    <x v="9"/>
    <n v="3"/>
    <s v="Protilátky a chemikálie pro IHC metody II."/>
    <m/>
    <s v="33694000-1"/>
    <m/>
    <n v="1064078"/>
    <x v="1"/>
    <d v="2019-06-05T00:00:00"/>
    <d v="2019-07-22T00:00:00"/>
    <d v="2019-10-30T00:00:00"/>
    <s v="ROCHE s.r.o."/>
    <m/>
    <n v="1053324.42"/>
    <n v="1274522.55"/>
    <m/>
    <m/>
    <m/>
    <d v="2019-10-31T00:00:00"/>
    <s v="SMLN-2019-617-000537"/>
    <x v="9"/>
    <d v="2020-01-24T00:00:00"/>
    <d v="2021-01-19T00:00:00"/>
  </r>
  <r>
    <d v="2019-05-17T00:00:00"/>
    <s v="VZ-2019-000547"/>
    <x v="1"/>
    <s v="Ondráčková"/>
    <x v="9"/>
    <n v="5"/>
    <s v="Protilátky pro IHC metody I."/>
    <m/>
    <s v="33694000-1"/>
    <m/>
    <n v="256728"/>
    <x v="1"/>
    <d v="2019-06-05T00:00:00"/>
    <d v="2019-07-22T00:00:00"/>
    <d v="2019-10-30T00:00:00"/>
    <s v="ASCO-MED, spol.  s r.o."/>
    <m/>
    <n v="256725"/>
    <n v="310637.25"/>
    <m/>
    <m/>
    <m/>
    <d v="2019-10-31T00:00:00"/>
    <s v="SMLN-2019-617-000539"/>
    <x v="9"/>
    <d v="2020-01-24T00:00:00"/>
    <d v="2021-01-19T00:00:00"/>
  </r>
  <r>
    <d v="2019-05-17T00:00:00"/>
    <s v="VZ-2019-000547"/>
    <x v="1"/>
    <s v="Ondráčková"/>
    <x v="9"/>
    <n v="9"/>
    <s v="Protilátky pro IHC metody V."/>
    <m/>
    <s v="33694000-1"/>
    <m/>
    <n v="91580"/>
    <x v="1"/>
    <d v="2019-06-05T00:00:00"/>
    <d v="2019-07-22T00:00:00"/>
    <d v="2019-10-30T00:00:00"/>
    <s v="Spinchem s.r.o."/>
    <m/>
    <n v="91578"/>
    <n v="110809.38"/>
    <m/>
    <m/>
    <m/>
    <d v="2019-10-31T00:00:00"/>
    <s v="SMLN-2019-617-000542"/>
    <x v="10"/>
    <d v="2020-02-07T00:00:00"/>
    <d v="2021-01-28T00:00:00"/>
  </r>
  <r>
    <d v="2019-05-24T00:00:00"/>
    <s v="VZ-2019-000600"/>
    <x v="1"/>
    <s v="Ondráčková"/>
    <x v="10"/>
    <n v="2"/>
    <s v="Spotřební materiál pro molekulární biologii II."/>
    <m/>
    <s v="33694000-1"/>
    <m/>
    <n v="1636320"/>
    <x v="0"/>
    <d v="2019-07-01T00:00:00"/>
    <d v="2019-09-03T00:00:00"/>
    <d v="2019-11-07T00:00:00"/>
    <s v="DYNEX Technologies spol.s r.o."/>
    <m/>
    <n v="1390872"/>
    <n v="1682955.12"/>
    <m/>
    <m/>
    <m/>
    <d v="2019-11-12T00:00:00"/>
    <s v="SMLN-2019-617-000557"/>
    <x v="11"/>
    <d v="2020-01-20T00:00:00"/>
    <d v="2022-01-12T00:00:00"/>
  </r>
  <r>
    <d v="2019-05-24T00:00:00"/>
    <s v="VZ-2019-000600"/>
    <x v="1"/>
    <s v="Ondráčková"/>
    <x v="10"/>
    <n v="4"/>
    <s v="Spotřební materiál pro molekulární biologii IV."/>
    <m/>
    <s v="33694000-1"/>
    <m/>
    <n v="1891521"/>
    <x v="0"/>
    <d v="2019-07-01T00:00:00"/>
    <d v="2019-09-03T00:00:00"/>
    <d v="2019-11-07T00:00:00"/>
    <s v="Carolina Biosystems, s.r.o."/>
    <m/>
    <n v="1458000"/>
    <n v="1764180"/>
    <m/>
    <m/>
    <m/>
    <d v="2019-11-12T00:00:00"/>
    <s v="SMLN-2019-617-000558"/>
    <x v="11"/>
    <d v="2020-01-20T00:00:00"/>
    <d v="2022-01-12T00:00:00"/>
  </r>
  <r>
    <d v="2019-05-24T00:00:00"/>
    <s v="VZ-2019-000600"/>
    <x v="1"/>
    <s v="Ondráčková"/>
    <x v="10"/>
    <n v="8"/>
    <s v="Spotřební materiál pro průtokovou cytometrii II."/>
    <m/>
    <s v="33694000-1"/>
    <m/>
    <n v="2393323"/>
    <x v="0"/>
    <d v="2019-07-01T00:00:00"/>
    <d v="2019-09-03T00:00:00"/>
    <d v="2019-11-07T00:00:00"/>
    <s v="I.T.A. - Interact s.r.o."/>
    <m/>
    <n v="2367830"/>
    <n v="2865074.3"/>
    <m/>
    <m/>
    <m/>
    <d v="2019-11-12T00:00:00"/>
    <s v="SMLN-2019-617-000559"/>
    <x v="11"/>
    <d v="2020-01-20T00:00:00"/>
    <d v="2022-01-12T00:00:00"/>
  </r>
  <r>
    <d v="2019-05-24T00:00:00"/>
    <s v="VZ-2019-000601"/>
    <x v="1"/>
    <s v="Ondráčková"/>
    <x v="11"/>
    <n v="2"/>
    <s v="Spotřební materiál pro genetiku  II."/>
    <m/>
    <s v="33694000-1"/>
    <m/>
    <n v="120719"/>
    <x v="1"/>
    <d v="2019-06-11T00:00:00"/>
    <d v="2019-07-24T00:00:00"/>
    <d v="2019-11-19T00:00:00"/>
    <s v="Bio-Rad spol. s r.o."/>
    <m/>
    <n v="120018"/>
    <n v="145221.78"/>
    <m/>
    <m/>
    <m/>
    <d v="2019-11-22T00:00:00"/>
    <s v="SMLN-2019-617-000594"/>
    <x v="9"/>
    <d v="2020-01-24T00:00:00"/>
    <d v="2021-01-19T00:00:00"/>
  </r>
  <r>
    <d v="2019-05-24T00:00:00"/>
    <s v="VZ-2019-000601"/>
    <x v="1"/>
    <s v="Ondráčková"/>
    <x v="11"/>
    <n v="3"/>
    <s v="Spotřební materiál pro genetiku  III."/>
    <m/>
    <s v="33694000-1"/>
    <m/>
    <n v="106305"/>
    <x v="1"/>
    <d v="2019-06-11T00:00:00"/>
    <d v="2019-07-24T00:00:00"/>
    <d v="2019-12-05T00:00:00"/>
    <s v="BioTech a.s."/>
    <m/>
    <n v="61860"/>
    <n v="74850.600000000006"/>
    <m/>
    <m/>
    <m/>
    <d v="2019-12-06T00:00:00"/>
    <s v="SMLN-2019-617-000620"/>
    <x v="12"/>
    <d v="2020-02-21T00:00:00"/>
    <d v="2021-02-12T00:00:00"/>
  </r>
  <r>
    <d v="2019-05-24T00:00:00"/>
    <s v="VZ-2019-000601"/>
    <x v="1"/>
    <s v="Ondráčková"/>
    <x v="11"/>
    <n v="4"/>
    <s v="Spotřební materiál pro genetiku  IV."/>
    <m/>
    <s v="33694000-1"/>
    <m/>
    <n v="278842"/>
    <x v="1"/>
    <d v="2019-06-11T00:00:00"/>
    <d v="2019-07-24T00:00:00"/>
    <d v="2019-11-19T00:00:00"/>
    <s v="GeneTiCA s.r.o."/>
    <m/>
    <n v="258489"/>
    <n v="312771.69"/>
    <m/>
    <m/>
    <m/>
    <d v="2019-11-22T00:00:00"/>
    <s v="SMLN-2019-617-000595"/>
    <x v="12"/>
    <d v="2020-02-21T00:00:00"/>
    <d v="2021-02-12T00:00:00"/>
  </r>
  <r>
    <d v="2019-05-24T00:00:00"/>
    <s v="VZ-2019-000601"/>
    <x v="1"/>
    <s v="Ondráčková"/>
    <x v="11"/>
    <n v="6"/>
    <s v="Spotřební materiál pro genetiku  VI."/>
    <m/>
    <s v="33694000-1"/>
    <m/>
    <n v="1095475"/>
    <x v="1"/>
    <d v="2019-06-11T00:00:00"/>
    <d v="2019-07-24T00:00:00"/>
    <d v="2019-11-19T00:00:00"/>
    <s v="Life Technologies Czech Republic s.r.o."/>
    <m/>
    <n v="1052298.1000000001"/>
    <n v="1273280.7"/>
    <m/>
    <m/>
    <m/>
    <d v="2019-11-22T00:00:00"/>
    <s v="SMLN-2019-617-000596"/>
    <x v="12"/>
    <d v="2020-02-21T00:00:00"/>
    <d v="2021-02-12T00:00:00"/>
  </r>
  <r>
    <d v="2019-05-24T00:00:00"/>
    <s v="VZ-2019-000601"/>
    <x v="1"/>
    <s v="Ondráčková"/>
    <x v="11"/>
    <n v="8"/>
    <s v="Spotřební materiál pro genetiku  VIII."/>
    <m/>
    <s v="33694000-1"/>
    <m/>
    <n v="222160"/>
    <x v="1"/>
    <d v="2019-06-11T00:00:00"/>
    <d v="2019-07-24T00:00:00"/>
    <d v="2019-11-19T00:00:00"/>
    <s v="ROCHE s.r.o."/>
    <m/>
    <n v="133296"/>
    <n v="161288.16"/>
    <m/>
    <m/>
    <m/>
    <d v="2019-11-22T00:00:00"/>
    <s v="SMLN-2019-617-000597"/>
    <x v="12"/>
    <d v="2020-02-21T00:00:00"/>
    <d v="2021-02-12T00:00:00"/>
  </r>
  <r>
    <d v="2019-05-24T00:00:00"/>
    <s v="VZ-2019-000602"/>
    <x v="1"/>
    <s v="Ondráčková"/>
    <x v="12"/>
    <n v="2"/>
    <s v="Spotřební materiál pro experimentální medicínu II."/>
    <m/>
    <s v="33694000-1"/>
    <m/>
    <n v="142941"/>
    <x v="0"/>
    <d v="2019-06-14T00:00:00"/>
    <d v="2019-09-09T00:00:00"/>
    <d v="2019-11-19T00:00:00"/>
    <s v="HPST, s.r.o."/>
    <m/>
    <n v="142931.54"/>
    <n v="172947.16"/>
    <m/>
    <m/>
    <m/>
    <d v="2019-11-22T00:00:00"/>
    <s v="SMLN-2019-617-000586"/>
    <x v="9"/>
    <d v="2020-01-23T00:00:00"/>
    <d v="2021-01-19T00:00:00"/>
  </r>
  <r>
    <d v="2019-05-24T00:00:00"/>
    <s v="VZ-2019-000602"/>
    <x v="1"/>
    <s v="Ondráčková"/>
    <x v="12"/>
    <n v="4"/>
    <s v="Spotřební materiál pro experimentální medicínu IV."/>
    <m/>
    <s v="33694000-1"/>
    <m/>
    <n v="235929"/>
    <x v="0"/>
    <d v="2019-06-14T00:00:00"/>
    <d v="2019-09-09T00:00:00"/>
    <d v="2019-11-19T00:00:00"/>
    <s v="INTIMEX s.r.o."/>
    <m/>
    <n v="235926"/>
    <n v="285470.46000000002"/>
    <m/>
    <m/>
    <m/>
    <d v="2019-11-22T00:00:00"/>
    <s v="SMLN-2019-617-000587"/>
    <x v="9"/>
    <d v="2020-01-23T00:00:00"/>
    <d v="2021-01-19T00:00:00"/>
  </r>
  <r>
    <d v="2019-05-24T00:00:00"/>
    <s v="VZ-2019-000602"/>
    <x v="1"/>
    <s v="Ondráčková"/>
    <x v="12"/>
    <n v="5"/>
    <s v="Spotřební materiál pro experimentální medicínu V."/>
    <m/>
    <s v="33694000-1"/>
    <m/>
    <n v="74910"/>
    <x v="0"/>
    <d v="2019-06-14T00:00:00"/>
    <d v="2019-09-09T00:00:00"/>
    <d v="2019-11-19T00:00:00"/>
    <s v="KRD - obchodní společnost s.r.o."/>
    <m/>
    <n v="74700"/>
    <n v="90387"/>
    <m/>
    <m/>
    <m/>
    <d v="2019-11-22T00:00:00"/>
    <s v="SMLN-2019-617-000588"/>
    <x v="9"/>
    <d v="2020-01-23T00:00:00"/>
    <d v="2021-01-19T00:00:00"/>
  </r>
  <r>
    <d v="2019-05-24T00:00:00"/>
    <s v="VZ-2019-000602"/>
    <x v="1"/>
    <s v="Ondráčková"/>
    <x v="12"/>
    <n v="6"/>
    <s v="Spotřební materiál pro experimentální medicínu VI."/>
    <m/>
    <s v="33694000-1"/>
    <m/>
    <n v="796520"/>
    <x v="0"/>
    <d v="2019-06-14T00:00:00"/>
    <d v="2019-09-09T00:00:00"/>
    <d v="2019-11-19T00:00:00"/>
    <s v="Life Technologies Czech Republic s.r.o."/>
    <m/>
    <n v="749113.9"/>
    <n v="906427.82"/>
    <m/>
    <m/>
    <m/>
    <d v="2019-11-22T00:00:00"/>
    <s v="SMLN-2019-617-000589"/>
    <x v="13"/>
    <d v="2020-02-19T00:00:00"/>
    <d v="2021-02-16T00:00:00"/>
  </r>
  <r>
    <d v="2019-05-24T00:00:00"/>
    <s v="VZ-2019-000602"/>
    <x v="1"/>
    <s v="Ondráčková"/>
    <x v="12"/>
    <n v="7"/>
    <s v="Spotřební materiál pro experimentální medicínu VII."/>
    <m/>
    <s v="33694000-1"/>
    <m/>
    <n v="653040"/>
    <x v="0"/>
    <d v="2019-06-14T00:00:00"/>
    <d v="2019-09-09T00:00:00"/>
    <d v="2019-11-19T00:00:00"/>
    <s v="ROCHE s.r.o."/>
    <m/>
    <n v="653039.55000000005"/>
    <n v="790177.86"/>
    <m/>
    <m/>
    <m/>
    <d v="2019-11-22T00:00:00"/>
    <s v="SMLN-2019-617-000590"/>
    <x v="13"/>
    <d v="2020-02-19T00:00:00"/>
    <d v="2021-02-16T00:00:00"/>
  </r>
  <r>
    <d v="2019-05-24T00:00:00"/>
    <s v="VZ-2019-000602"/>
    <x v="1"/>
    <s v="Ondráčková"/>
    <x v="12"/>
    <n v="8"/>
    <s v="Spotřební materiál pro IVF I. "/>
    <m/>
    <s v="33694000-1"/>
    <m/>
    <n v="504800"/>
    <x v="0"/>
    <d v="2019-06-14T00:00:00"/>
    <d v="2019-09-09T00:00:00"/>
    <d v="2019-11-19T00:00:00"/>
    <s v="East Port Praha, s.r.o."/>
    <m/>
    <n v="479481"/>
    <n v="580172.01"/>
    <m/>
    <m/>
    <m/>
    <d v="2019-11-22T00:00:00"/>
    <s v="SMLN-2019-617-000591"/>
    <x v="9"/>
    <d v="2020-01-23T00:00:00"/>
    <d v="2021-01-19T00:00:00"/>
  </r>
  <r>
    <d v="2019-05-24T00:00:00"/>
    <s v="VZ-2019-000602"/>
    <x v="1"/>
    <s v="Ondráčková"/>
    <x v="12"/>
    <n v="9"/>
    <s v="Spotřební materiál pro IVF II. "/>
    <m/>
    <s v="33694000-1"/>
    <m/>
    <n v="742300"/>
    <x v="0"/>
    <d v="2019-06-14T00:00:00"/>
    <d v="2019-09-09T00:00:00"/>
    <d v="2019-11-19T00:00:00"/>
    <s v="PentaGen s.r.o."/>
    <m/>
    <n v="741850"/>
    <n v="897638.5"/>
    <m/>
    <m/>
    <m/>
    <d v="2019-11-22T00:00:00"/>
    <s v="SMLN-2019-617-000592"/>
    <x v="13"/>
    <d v="2020-02-19T00:00:00"/>
    <d v="2021-02-16T00:00:00"/>
  </r>
  <r>
    <s v="opakovaná VZ"/>
    <s v="VZ-2019-000624"/>
    <x v="2"/>
    <s v="Neudörflerová"/>
    <x v="13"/>
    <m/>
    <m/>
    <m/>
    <s v="33120000-7"/>
    <s v="2.3.336."/>
    <n v="101429.75"/>
    <x v="0"/>
    <d v="2019-07-15T00:00:00"/>
    <d v="2019-08-15T00:00:00"/>
    <d v="2019-11-15T00:00:00"/>
    <s v="WIDEX LINE s.r.o."/>
    <m/>
    <n v="93640"/>
    <n v="113304.4"/>
    <m/>
    <m/>
    <m/>
    <d v="2019-11-18T00:00:00"/>
    <s v="SMLN-2019-617-000582_x000a_SMLN-2019-612-000156"/>
    <x v="13"/>
    <d v="2020-02-18T00:00:00"/>
    <d v="2020-03-16T00:00:00"/>
  </r>
  <r>
    <d v="2019-06-24T00:00:00"/>
    <s v="VZ-2019-000706"/>
    <x v="1"/>
    <s v="Ondráčková"/>
    <x v="14"/>
    <m/>
    <m/>
    <m/>
    <s v="33694000-1"/>
    <m/>
    <n v="21944616"/>
    <x v="0"/>
    <d v="2019-09-05T00:00:00"/>
    <d v="2019-10-17T00:00:00"/>
    <d v="2020-01-16T00:00:00"/>
    <s v="Bio-Rad spol. s r.o."/>
    <m/>
    <n v="17151844.68"/>
    <n v="19822392.530000001"/>
    <m/>
    <m/>
    <m/>
    <d v="2020-01-17T00:00:00"/>
    <s v="SMLN-2020-617-000035_x000a_SMLN-2020-616-000003"/>
    <x v="14"/>
    <d v="2020-03-17T00:00:00"/>
    <d v="2026-03-10T00:00:00"/>
  </r>
  <r>
    <d v="2019-06-24T00:00:00"/>
    <s v="VZ-2019-000708"/>
    <x v="1"/>
    <s v="Ondráčková"/>
    <x v="15"/>
    <n v="1"/>
    <s v="Midostaurin"/>
    <m/>
    <s v="33652000-5"/>
    <m/>
    <n v="11889360"/>
    <x v="0"/>
    <d v="2019-09-03T00:00:00"/>
    <d v="2019-10-08T00:00:00"/>
    <d v="2019-11-12T00:00:00"/>
    <s v="Alliance Healthcare s.r.o."/>
    <m/>
    <n v="11889360"/>
    <n v="13078296"/>
    <m/>
    <m/>
    <m/>
    <d v="2019-11-13T00:00:00"/>
    <s v="SMLN-2019-617-000571"/>
    <x v="4"/>
    <d v="2020-01-09T00:00:00"/>
    <d v="2022-01-05T00:00:00"/>
  </r>
  <r>
    <d v="2019-06-24T00:00:00"/>
    <s v="VZ-2019-000710"/>
    <x v="1"/>
    <s v="Ondráčková"/>
    <x v="16"/>
    <n v="1"/>
    <s v="Interferon alfa-2b"/>
    <m/>
    <s v="33652000-5"/>
    <m/>
    <n v="2304528"/>
    <x v="0"/>
    <d v="2019-08-02T00:00:00"/>
    <d v="2019-09-20T00:00:00"/>
    <d v="2019-12-05T00:00:00"/>
    <s v="PHARMOS, a.s."/>
    <m/>
    <n v="2279198.2000000002"/>
    <n v="2507118.02"/>
    <m/>
    <m/>
    <m/>
    <d v="2019-12-06T00:00:00"/>
    <s v="SMLN-2019-617-000623"/>
    <x v="15"/>
    <d v="2020-02-27T00:00:00"/>
    <d v="2022-02-09T00:00:00"/>
  </r>
  <r>
    <d v="2019-06-24T00:00:00"/>
    <s v="VZ-2019-000710"/>
    <x v="1"/>
    <s v="Ondráčková"/>
    <x v="16"/>
    <n v="2"/>
    <s v="Interferon beta-1a I"/>
    <m/>
    <s v="33652000-5"/>
    <m/>
    <n v="34875745"/>
    <x v="0"/>
    <d v="2019-08-02T00:00:00"/>
    <d v="2019-09-20T00:00:00"/>
    <d v="2019-12-05T00:00:00"/>
    <s v="zrušeno - neposkytnutí součinnosti k uzavření smlouvy - jedinný účastník"/>
    <m/>
    <n v="34875744.960000001"/>
    <n v="38363319.460000001"/>
    <m/>
    <m/>
    <m/>
    <d v="2019-12-06T00:00:00"/>
    <s v="SMLN-2019-617-000626"/>
    <x v="0"/>
    <d v="2020-02-27T00:00:00"/>
    <s v="10.2.2020 vyloučení MERCK"/>
  </r>
  <r>
    <d v="2019-06-24T00:00:00"/>
    <s v="VZ-2019-000710"/>
    <x v="1"/>
    <s v="Ondráčková"/>
    <x v="16"/>
    <n v="3"/>
    <s v="Interferon beta-1b"/>
    <m/>
    <s v="33652000-5"/>
    <m/>
    <n v="4011058"/>
    <x v="0"/>
    <d v="2019-08-02T00:00:00"/>
    <d v="2019-09-20T00:00:00"/>
    <d v="2019-12-05T00:00:00"/>
    <s v="BAYER s.r.o."/>
    <m/>
    <n v="4011000"/>
    <n v="4412100"/>
    <m/>
    <m/>
    <m/>
    <d v="2019-12-06T00:00:00"/>
    <s v="SMLN-2019-617-000624"/>
    <x v="15"/>
    <d v="2020-02-27T00:00:00"/>
    <d v="2022-02-09T00:00:00"/>
  </r>
  <r>
    <d v="2019-06-24T00:00:00"/>
    <s v="VZ-2019-000710"/>
    <x v="1"/>
    <s v="Ondráčková"/>
    <x v="16"/>
    <n v="5"/>
    <s v="Peginterferon beta - 1a"/>
    <m/>
    <s v="33652000-5"/>
    <m/>
    <n v="13562801"/>
    <x v="0"/>
    <d v="2019-08-02T00:00:00"/>
    <d v="2019-09-20T00:00:00"/>
    <d v="2019-12-05T00:00:00"/>
    <s v="Avenier a.s."/>
    <m/>
    <n v="11639164.960000001"/>
    <n v="12803081.460000001"/>
    <m/>
    <m/>
    <m/>
    <d v="2019-12-06T00:00:00"/>
    <s v="SMLN-2019-617-000625"/>
    <x v="15"/>
    <d v="2020-02-27T00:00:00"/>
    <d v="2022-02-09T00:00:00"/>
  </r>
  <r>
    <d v="2019-06-20T00:00:00"/>
    <s v="VZ-2019-000730"/>
    <x v="3"/>
    <s v="Rosulek"/>
    <x v="17"/>
    <m/>
    <m/>
    <m/>
    <s v="33124120-2"/>
    <m/>
    <n v="4530000"/>
    <x v="0"/>
    <d v="2019-07-03T00:00:00"/>
    <d v="2019-08-21T00:00:00"/>
    <d v="2019-10-22T00:00:00"/>
    <s v="Exact Imaging BVBA"/>
    <m/>
    <n v="4802142"/>
    <n v="4802142"/>
    <m/>
    <m/>
    <m/>
    <d v="2019-10-24T00:00:00"/>
    <s v="SMLN-2019-617-000528_x000a_SMLN-2019-612-000128"/>
    <x v="16"/>
    <d v="2020-01-21T00:00:00"/>
    <d v="2020-03-13T00:00:00"/>
  </r>
  <r>
    <d v="2019-07-03T00:00:00"/>
    <s v="VZ-2019-000750"/>
    <x v="4"/>
    <s v="Kohutová"/>
    <x v="18"/>
    <m/>
    <m/>
    <m/>
    <s v="15980000-1 "/>
    <m/>
    <n v="8500000"/>
    <x v="0"/>
    <d v="2019-09-05T00:00:00"/>
    <d v="2019-10-08T00:00:00"/>
    <d v="2020-01-30T00:00:00"/>
    <s v="AF FOODS  Group a.s."/>
    <m/>
    <n v="8055900"/>
    <n v="9264285"/>
    <m/>
    <m/>
    <m/>
    <d v="2020-01-30T00:00:00"/>
    <s v="SMLN-2020-617-000053_x000a_SMLN-2020-616-000006"/>
    <x v="17"/>
    <d v="2020-03-16T00:00:00"/>
    <s v="doba neurčitá"/>
  </r>
  <r>
    <d v="2019-07-23T00:00:00"/>
    <s v="VZ-2019-000798"/>
    <x v="1"/>
    <s v="Ondráčková"/>
    <x v="19"/>
    <n v="1"/>
    <s v="ANAKINRA"/>
    <m/>
    <s v="33652300-8"/>
    <m/>
    <n v="2143890"/>
    <x v="0"/>
    <d v="2019-08-01T00:00:00"/>
    <d v="2019-11-27T00:00:00"/>
    <d v="2020-01-21T00:00:00"/>
    <s v="PHARMOS, a.s."/>
    <m/>
    <n v="2143890"/>
    <n v="2358279"/>
    <m/>
    <m/>
    <m/>
    <d v="2020-01-23T00:00:00"/>
    <s v="SMLN-2020-617-000043"/>
    <x v="18"/>
    <d v="2020-03-24T00:00:00"/>
    <d v="2022-03-19T00:00:00"/>
  </r>
  <r>
    <d v="2019-07-23T00:00:00"/>
    <s v="VZ-2019-000798"/>
    <x v="1"/>
    <s v="Ondráčková"/>
    <x v="19"/>
    <n v="2"/>
    <s v="SARILUMAB "/>
    <m/>
    <s v="33652300-8"/>
    <m/>
    <n v="3103225"/>
    <x v="0"/>
    <d v="2019-08-01T00:00:00"/>
    <d v="2019-11-27T00:00:00"/>
    <d v="2020-01-21T00:00:00"/>
    <s v="sanofi - aventis, s.r.o."/>
    <m/>
    <n v="3153926.88"/>
    <n v="3469319.57"/>
    <m/>
    <m/>
    <m/>
    <d v="2020-01-23T00:00:00"/>
    <s v="SMLN-2020-617-000044"/>
    <x v="18"/>
    <d v="2020-03-24T00:00:00"/>
    <d v="2022-03-19T00:00:00"/>
  </r>
  <r>
    <d v="2019-07-26T00:00:00"/>
    <s v="VZ-2019-000819"/>
    <x v="1"/>
    <s v="Ondráčková"/>
    <x v="20"/>
    <n v="1"/>
    <s v="Blinatumomab"/>
    <m/>
    <s v="33652100-6"/>
    <m/>
    <n v="33090783"/>
    <x v="0"/>
    <d v="2019-11-25T00:00:00"/>
    <d v="2019-12-27T00:00:00"/>
    <d v="2020-02-18T00:00:00"/>
    <s v="Amgen s.r.o."/>
    <m/>
    <n v="31779972.199999999"/>
    <n v="34957969.420000002"/>
    <m/>
    <m/>
    <m/>
    <d v="2020-02-19T00:00:00"/>
    <s v="SMLN-2020-617-000077"/>
    <x v="19"/>
    <d v="2020-04-16T00:00:00"/>
    <s v="11.3..2024"/>
  </r>
  <r>
    <d v="2019-07-26T00:00:00"/>
    <s v="VZ-2019-000824"/>
    <x v="1"/>
    <s v="Ondráčková"/>
    <x v="21"/>
    <n v="1"/>
    <s v="Sodná sůl treprostinilu"/>
    <m/>
    <s v="33621100-0"/>
    <m/>
    <n v="73272200"/>
    <x v="0"/>
    <d v="2019-09-11T00:00:00"/>
    <d v="2020-01-08T00:00:00"/>
    <m/>
    <m/>
    <m/>
    <m/>
    <m/>
    <m/>
    <m/>
    <m/>
    <m/>
    <m/>
    <x v="0"/>
    <d v="2020-04-16T00:00:00"/>
    <s v="30.3.2020 zrušeno"/>
  </r>
  <r>
    <d v="2019-07-26T00:00:00"/>
    <s v="VZ-2019-000825"/>
    <x v="1"/>
    <s v="Ondráčková"/>
    <x v="22"/>
    <n v="5"/>
    <s v="GLEKAPREVIR A PIBRENTASVIR "/>
    <m/>
    <s v="33651400-2"/>
    <m/>
    <n v="24711846"/>
    <x v="0"/>
    <d v="2019-09-27T00:00:00"/>
    <d v="2019-10-30T00:00:00"/>
    <d v="2019-12-17T00:00:00"/>
    <s v="PHOENIX lék.velkoobchod, s.r.o."/>
    <m/>
    <n v="24687189.539999999"/>
    <n v="27155908.489999998"/>
    <m/>
    <m/>
    <m/>
    <d v="2019-12-19T00:00:00"/>
    <s v="SMLN-2019-617-000644"/>
    <x v="20"/>
    <d v="2020-02-06T00:00:00"/>
    <d v="2022-01-30T00:00:00"/>
  </r>
  <r>
    <d v="2019-07-26T00:00:00"/>
    <s v="VZ-2019-000826"/>
    <x v="1"/>
    <s v="Ondráčková"/>
    <x v="23"/>
    <n v="1"/>
    <s v="Alemtuzumab"/>
    <m/>
    <s v="33652300-8"/>
    <m/>
    <n v="27093272"/>
    <x v="0"/>
    <d v="2019-11-25T00:00:00"/>
    <d v="2020-01-24T00:00:00"/>
    <d v="2020-03-31T00:00:00"/>
    <s v="sanofi - aventis, s.r.o."/>
    <m/>
    <n v="27093269.640000001"/>
    <n v="29802596.600000001"/>
    <m/>
    <m/>
    <m/>
    <d v="2020-04-01T00:00:00"/>
    <s v="SMLN-2020-617-000123"/>
    <x v="21"/>
    <d v="2020-06-12T00:00:00"/>
    <d v="2023-05-13T00:00:00"/>
  </r>
  <r>
    <d v="2019-08-13T00:00:00"/>
    <s v="VZ-2019-000862"/>
    <x v="1"/>
    <s v="Ondráčková"/>
    <x v="24"/>
    <n v="1"/>
    <s v="Léčivý přípravek OCALIVA"/>
    <m/>
    <s v="33610000-9"/>
    <m/>
    <n v="6432000"/>
    <x v="0"/>
    <d v="2019-09-16T00:00:00"/>
    <d v="2019-10-18T00:00:00"/>
    <d v="2019-11-12T00:00:00"/>
    <s v="Alliance Healthcare s.r.o."/>
    <m/>
    <n v="5767106.8799999999"/>
    <n v="6343817.5700000003"/>
    <m/>
    <m/>
    <m/>
    <d v="2019-11-13T00:00:00"/>
    <s v="SMLN-2019-617-000573"/>
    <x v="22"/>
    <d v="2020-01-16T00:00:00"/>
    <d v="2022-01-08T00:00:00"/>
  </r>
  <r>
    <d v="2019-08-20T00:00:00"/>
    <s v="VZ-2019-000881"/>
    <x v="1"/>
    <s v="Ondráčková"/>
    <x v="25"/>
    <n v="1"/>
    <s v="TERIFLUNOMID"/>
    <m/>
    <s v="33652300-8"/>
    <m/>
    <n v="127016998"/>
    <x v="0"/>
    <d v="2019-11-27T00:00:00"/>
    <d v="2020-01-06T00:00:00"/>
    <d v="2020-02-18T00:00:00"/>
    <s v="sanofi - aventis, s.r.o."/>
    <m/>
    <n v="109012617.59999999"/>
    <n v="119913879.36"/>
    <m/>
    <m/>
    <m/>
    <d v="2020-02-20T00:00:00"/>
    <s v="SMLN-2020-617-000086"/>
    <x v="21"/>
    <d v="2020-06-05T00:00:00"/>
    <d v="2023-05-13T00:00:00"/>
  </r>
  <r>
    <d v="2019-08-15T00:00:00"/>
    <s v="VZ-2019-000882"/>
    <x v="0"/>
    <s v="Dočkalová"/>
    <x v="26"/>
    <m/>
    <m/>
    <m/>
    <s v="33194100-7"/>
    <m/>
    <n v="2384424"/>
    <x v="1"/>
    <d v="2019-10-30T00:00:00"/>
    <d v="2019-11-20T00:00:00"/>
    <d v="2019-12-05T00:00:00"/>
    <s v="BAXTER CZECH spol. s r.o."/>
    <m/>
    <n v="2346120"/>
    <n v="2838805.2"/>
    <m/>
    <m/>
    <m/>
    <d v="2019-12-05T00:00:00"/>
    <s v="SMLN-2019-617-000615"/>
    <x v="23"/>
    <d v="2020-02-07T00:00:00"/>
    <d v="2023-02-04T00:00:00"/>
  </r>
  <r>
    <d v="2019-08-20T00:00:00"/>
    <s v="VZ-2019-000883"/>
    <x v="1"/>
    <s v="Ondráčková"/>
    <x v="27"/>
    <n v="1"/>
    <s v="IVAKAFTOR"/>
    <m/>
    <s v="33670000-7"/>
    <m/>
    <n v="9364240"/>
    <x v="0"/>
    <d v="2019-09-16T00:00:00"/>
    <d v="2019-12-03T00:00:00"/>
    <m/>
    <s v="zrušeno - jedinný účastník vyloučen"/>
    <s v="nová VZ-2020-000814"/>
    <m/>
    <m/>
    <m/>
    <m/>
    <m/>
    <m/>
    <m/>
    <x v="0"/>
    <d v="2020-03-02T00:00:00"/>
    <s v="28.2. zrušení"/>
  </r>
  <r>
    <d v="2019-08-20T00:00:00"/>
    <s v="VZ-2019-000884"/>
    <x v="1"/>
    <s v="Ondráčková"/>
    <x v="28"/>
    <n v="1"/>
    <s v="ETAMSYLÁT "/>
    <m/>
    <s v="33621000-9 "/>
    <m/>
    <n v="1381855"/>
    <x v="0"/>
    <d v="2019-10-08T00:00:00"/>
    <d v="2019-11-11T00:00:00"/>
    <d v="2019-12-05T00:00:00"/>
    <s v="Alliance Healthcare s.r.o."/>
    <m/>
    <n v="1381846.8"/>
    <n v="1520031.48"/>
    <m/>
    <m/>
    <m/>
    <d v="2019-12-06T00:00:00"/>
    <s v="SMLN-2019-617-000627"/>
    <x v="6"/>
    <d v="2020-02-26T00:00:00"/>
    <d v="2022-02-18T00:00:00"/>
  </r>
  <r>
    <d v="2019-08-23T00:00:00"/>
    <s v="VZ-2019-000907"/>
    <x v="5"/>
    <s v="Srovnal"/>
    <x v="29"/>
    <m/>
    <m/>
    <m/>
    <s v="50700000-2"/>
    <m/>
    <n v="2500000"/>
    <x v="1"/>
    <d v="2019-09-20T00:00:00"/>
    <d v="2019-10-29T00:00:00"/>
    <d v="2019-12-03T00:00:00"/>
    <s v="Výtahy - elektro Žižka spol. s r.o."/>
    <m/>
    <n v="3340900"/>
    <n v="4042489"/>
    <m/>
    <m/>
    <m/>
    <d v="2019-12-04T00:00:00"/>
    <s v="SMLN-2019-618-000106"/>
    <x v="24"/>
    <d v="2020-01-15T00:00:00"/>
    <d v="2020-09-09T00:00:00"/>
  </r>
  <r>
    <d v="2019-07-08T00:00:00"/>
    <s v="VZ-2019-000912"/>
    <x v="6"/>
    <s v="Odehnalová"/>
    <x v="30"/>
    <m/>
    <m/>
    <m/>
    <s v="72411000-4"/>
    <m/>
    <n v="120000000"/>
    <x v="0"/>
    <d v="2019-11-28T00:00:00"/>
    <d v="2020-01-03T00:00:00"/>
    <d v="2020-02-12T00:00:00"/>
    <s v="Sodexo Pass ČR s.r.o."/>
    <m/>
    <n v="118200000"/>
    <n v="118200000"/>
    <m/>
    <m/>
    <m/>
    <d v="2020-02-14T00:00:00"/>
    <s v="SMLN-2020-612-000015"/>
    <x v="25"/>
    <d v="2020-05-14T00:00:00"/>
    <s v="doba neurčitá"/>
  </r>
  <r>
    <d v="2019-07-23T00:00:00"/>
    <s v="VZ-2019-000913"/>
    <x v="7"/>
    <s v="Oravec"/>
    <x v="31"/>
    <m/>
    <m/>
    <m/>
    <s v="72261000-2"/>
    <m/>
    <n v="2587200"/>
    <x v="1"/>
    <d v="2019-10-24T00:00:00"/>
    <d v="2019-11-20T00:00:00"/>
    <d v="2019-12-11T00:00:00"/>
    <s v="BCV solutions s.r.o."/>
    <m/>
    <n v="1987200"/>
    <n v="2404512"/>
    <m/>
    <m/>
    <m/>
    <d v="2019-12-12T00:00:00"/>
    <s v="SMLN-2019-612-000164"/>
    <x v="26"/>
    <d v="2020-01-22T00:00:00"/>
    <s v="doba neurčitá"/>
  </r>
  <r>
    <d v="2019-08-14T00:00:00"/>
    <s v="VZ-2019-000915"/>
    <x v="0"/>
    <s v="Valtová"/>
    <x v="32"/>
    <m/>
    <m/>
    <m/>
    <s v="33140000-3"/>
    <m/>
    <n v="3943140"/>
    <x v="0"/>
    <d v="2019-10-31T00:00:00"/>
    <d v="2019-12-04T00:00:00"/>
    <d v="2019-12-17T00:00:00"/>
    <s v="Cardion s.r.o."/>
    <m/>
    <n v="3942981.82"/>
    <n v="4771008"/>
    <m/>
    <m/>
    <m/>
    <d v="2019-12-19T00:00:00"/>
    <s v="SMLN-2019-617-000643_x000a_SMLN-2019-614-000109"/>
    <x v="27"/>
    <d v="2020-01-31T00:00:00"/>
    <d v="2022-01-29T00:00:00"/>
  </r>
  <r>
    <d v="2019-08-30T00:00:00"/>
    <s v="VZ-2019-000928"/>
    <x v="1"/>
    <s v="Ondráčková"/>
    <x v="33"/>
    <n v="1"/>
    <s v="Ambrisentan"/>
    <m/>
    <s v="33622200-8"/>
    <m/>
    <n v="8418067"/>
    <x v="0"/>
    <d v="2019-09-23T00:00:00"/>
    <d v="2019-10-24T00:00:00"/>
    <d v="2019-12-05T00:00:00"/>
    <s v="PHOENIX lék.velkoobchod, s.r.o."/>
    <m/>
    <n v="8316786.4000000004"/>
    <n v="9148465.0399999991"/>
    <m/>
    <m/>
    <m/>
    <d v="2019-12-06T00:00:00"/>
    <s v="SMLN-2019-617-000621"/>
    <x v="28"/>
    <d v="2020-01-17T00:00:00"/>
    <d v="2022-01-13T00:00:00"/>
  </r>
  <r>
    <d v="2019-08-30T00:00:00"/>
    <s v="VZ-2019-000929"/>
    <x v="1"/>
    <s v="Ondráčková"/>
    <x v="34"/>
    <n v="1"/>
    <s v="Abirateron"/>
    <m/>
    <s v="33642000-2"/>
    <m/>
    <n v="28747836"/>
    <x v="0"/>
    <d v="2019-09-23T00:00:00"/>
    <d v="2019-11-04T00:00:00"/>
    <d v="2019-12-05T00:00:00"/>
    <s v="Janssen - Cilag s.r.o."/>
    <m/>
    <n v="28747836"/>
    <n v="31622620"/>
    <m/>
    <m/>
    <m/>
    <d v="2019-12-06T00:00:00"/>
    <s v="SMLN-2019-617-000622"/>
    <x v="28"/>
    <d v="2020-01-20T00:00:00"/>
    <d v="2022-01-13T00:00:00"/>
  </r>
  <r>
    <d v="2019-08-30T00:00:00"/>
    <s v="VZ-2019-000930"/>
    <x v="1"/>
    <s v="Ondráčková"/>
    <x v="35"/>
    <n v="1"/>
    <s v="MACITENTAN"/>
    <m/>
    <m/>
    <m/>
    <n v="8023320"/>
    <x v="0"/>
    <d v="2019-10-08T00:00:00"/>
    <d v="2019-12-17T00:00:00"/>
    <d v="2020-01-09T00:00:00"/>
    <s v="Janssen - Cilag s.r.o."/>
    <m/>
    <n v="8023182"/>
    <n v="8825500.1999999993"/>
    <m/>
    <m/>
    <m/>
    <d v="2020-01-10T00:00:00"/>
    <s v="SMLN-2020-617-000006"/>
    <x v="20"/>
    <d v="2020-02-07T00:00:00"/>
    <d v="2022-01-30T00:00:00"/>
  </r>
  <r>
    <d v="2019-08-30T00:00:00"/>
    <s v="VZ-2019-000931"/>
    <x v="1"/>
    <s v="Ondráčková"/>
    <x v="36"/>
    <n v="1"/>
    <s v="Dolforin"/>
    <m/>
    <s v="33661200-3"/>
    <m/>
    <n v="1102110"/>
    <x v="0"/>
    <d v="2019-10-21T00:00:00"/>
    <d v="2019-11-26T00:00:00"/>
    <d v="2020-01-09T00:00:00"/>
    <s v="PHOENIX lék.velkoobchod, s.r.o."/>
    <m/>
    <n v="999670.34"/>
    <n v="1099637.3700000001"/>
    <m/>
    <m/>
    <m/>
    <d v="2020-01-13T00:00:00"/>
    <s v="SMLN-2020-617-000010"/>
    <x v="29"/>
    <d v="2020-03-12T00:00:00"/>
    <d v="2022-02-27T00:00:00"/>
  </r>
  <r>
    <d v="2019-08-30T00:00:00"/>
    <s v="VZ-2019-000931"/>
    <x v="1"/>
    <s v="Ondráčková"/>
    <x v="36"/>
    <n v="2"/>
    <s v="Durogesic"/>
    <m/>
    <s v="33661200-3"/>
    <m/>
    <n v="2613344"/>
    <x v="0"/>
    <d v="2019-10-21T00:00:00"/>
    <d v="2019-11-26T00:00:00"/>
    <d v="2020-01-09T00:00:00"/>
    <s v="PHOENIX lék.velkoobchod, s.r.o."/>
    <m/>
    <n v="2607720.96"/>
    <n v="2868493.06"/>
    <m/>
    <m/>
    <m/>
    <d v="2020-01-13T00:00:00"/>
    <s v="SMLN-2020-617-000011"/>
    <x v="29"/>
    <d v="2020-03-12T00:00:00"/>
    <d v="2022-02-27T00:00:00"/>
  </r>
  <r>
    <d v="2019-08-30T00:00:00"/>
    <s v="VZ-2019-000931"/>
    <x v="1"/>
    <s v="Ondráčková"/>
    <x v="36"/>
    <n v="3"/>
    <s v="Fentalis"/>
    <m/>
    <s v="33661200-3"/>
    <m/>
    <n v="3847274"/>
    <x v="0"/>
    <d v="2019-10-21T00:00:00"/>
    <d v="2019-11-26T00:00:00"/>
    <d v="2020-01-09T00:00:00"/>
    <s v="Alliance Healthcare s.r.o."/>
    <m/>
    <n v="3847272.38"/>
    <n v="4230326.1900000004"/>
    <m/>
    <m/>
    <m/>
    <d v="2020-01-13T00:00:00"/>
    <s v="SMLN-2020-617-000012"/>
    <x v="30"/>
    <d v="2020-05-22T00:00:00"/>
    <d v="2022-05-19T00:00:00"/>
  </r>
  <r>
    <d v="2019-08-30T00:00:00"/>
    <s v="VZ-2019-000931"/>
    <x v="1"/>
    <s v="Ondráčková"/>
    <x v="36"/>
    <n v="5"/>
    <s v="Transtec"/>
    <m/>
    <s v="33661200-3"/>
    <m/>
    <n v="2377388"/>
    <x v="0"/>
    <d v="2019-10-21T00:00:00"/>
    <d v="2019-11-26T00:00:00"/>
    <d v="2020-01-09T00:00:00"/>
    <s v="Alliance Healthcare s.r.o."/>
    <m/>
    <n v="2365392.4"/>
    <n v="2601931.64"/>
    <m/>
    <m/>
    <m/>
    <d v="2020-01-13T00:00:00"/>
    <s v="SMLN-2020-617-000013"/>
    <x v="29"/>
    <d v="2020-03-12T00:00:00"/>
    <d v="2022-02-27T00:00:00"/>
  </r>
  <r>
    <d v="2019-08-30T00:00:00"/>
    <s v="VZ-2019-000931"/>
    <x v="1"/>
    <s v="Ondráčková"/>
    <x v="36"/>
    <n v="6"/>
    <s v="Oxycodon Lannacher"/>
    <m/>
    <s v="33661200-3"/>
    <m/>
    <n v="2900177"/>
    <x v="0"/>
    <d v="2019-10-21T00:00:00"/>
    <d v="2019-11-26T00:00:00"/>
    <d v="2020-01-09T00:00:00"/>
    <s v="Alliance Healthcare s.r.o."/>
    <m/>
    <n v="2893071.36"/>
    <n v="3182378.5"/>
    <m/>
    <m/>
    <m/>
    <d v="2020-01-13T00:00:00"/>
    <s v="SMLN-2020-617-000014"/>
    <x v="29"/>
    <d v="2020-03-12T00:00:00"/>
    <d v="2022-02-27T00:00:00"/>
  </r>
  <r>
    <d v="2019-08-30T00:00:00"/>
    <s v="VZ-2019-000931"/>
    <x v="1"/>
    <s v="Ondráčková"/>
    <x v="36"/>
    <n v="7"/>
    <s v="Lunaldin"/>
    <m/>
    <s v="33661200-3"/>
    <m/>
    <n v="4406890"/>
    <x v="0"/>
    <d v="2019-10-21T00:00:00"/>
    <d v="2019-11-26T00:00:00"/>
    <d v="2020-01-09T00:00:00"/>
    <s v="Alliance Healthcare s.r.o."/>
    <m/>
    <n v="4405134.5599999996"/>
    <n v="4845648.0199999996"/>
    <m/>
    <m/>
    <m/>
    <d v="2020-01-13T00:00:00"/>
    <s v="SMLN-2020-617-000015"/>
    <x v="29"/>
    <d v="2020-03-12T00:00:00"/>
    <d v="2022-02-27T00:00:00"/>
  </r>
  <r>
    <d v="2019-09-02T00:00:00"/>
    <s v="VZ-2019-000942"/>
    <x v="1"/>
    <s v="Ondráčková"/>
    <x v="37"/>
    <n v="1"/>
    <s v="THROMBOREDUCTIN 0,5 MG"/>
    <m/>
    <s v="33652000-5   "/>
    <m/>
    <n v="2257006"/>
    <x v="0"/>
    <d v="2019-10-17T00:00:00"/>
    <d v="2020-01-10T00:00:00"/>
    <d v="2020-03-17T00:00:00"/>
    <s v="Alliance Healthcare s.r.o."/>
    <m/>
    <n v="2255428.7999999998"/>
    <n v="2480971.6800000002"/>
    <m/>
    <m/>
    <m/>
    <d v="2020-03-19T00:00:00"/>
    <s v="SMLN-2020-617-000101"/>
    <x v="31"/>
    <d v="2020-05-11T00:00:00"/>
    <d v="2022-05-05T00:00:00"/>
  </r>
  <r>
    <d v="2019-09-02T00:00:00"/>
    <s v="VZ-2019-000942"/>
    <x v="1"/>
    <s v="Ondráčková"/>
    <x v="37"/>
    <n v="2"/>
    <s v="Anagrelid Stada"/>
    <m/>
    <s v="33652000-5  "/>
    <m/>
    <n v="548404"/>
    <x v="0"/>
    <d v="2019-10-17T00:00:00"/>
    <d v="2020-01-10T00:00:00"/>
    <d v="2020-03-17T00:00:00"/>
    <s v="Alliance Healthcare s.r.o."/>
    <m/>
    <n v="547806.48"/>
    <n v="602587.13"/>
    <m/>
    <m/>
    <m/>
    <d v="2020-03-19T00:00:00"/>
    <s v="SMLN-2020-617-000102"/>
    <x v="32"/>
    <d v="2020-05-11T00:00:00"/>
    <d v="2022-04-26T00:00:00"/>
  </r>
  <r>
    <d v="2019-09-02T00:00:00"/>
    <s v="VZ-2019-000942"/>
    <x v="1"/>
    <s v="Ondráčková"/>
    <x v="37"/>
    <n v="3"/>
    <s v="Vismodegib"/>
    <m/>
    <s v="33652000-5  "/>
    <m/>
    <n v="6102514"/>
    <x v="0"/>
    <d v="2019-10-17T00:00:00"/>
    <d v="2020-01-10T00:00:00"/>
    <d v="2020-03-17T00:00:00"/>
    <s v="ROCHE s.r.o."/>
    <m/>
    <n v="6102513.7999999998"/>
    <n v="6712765.1799999997"/>
    <m/>
    <m/>
    <m/>
    <d v="2020-03-19T00:00:00"/>
    <s v="SMLN-2020-617-000103"/>
    <x v="32"/>
    <d v="2020-05-11T00:00:00"/>
    <d v="2022-04-26T00:00:00"/>
  </r>
  <r>
    <d v="2019-09-02T00:00:00"/>
    <s v="VZ-2019-000942"/>
    <x v="1"/>
    <s v="Ondráčková"/>
    <x v="37"/>
    <n v="4"/>
    <s v="Olaparib"/>
    <m/>
    <s v="33652000-5   "/>
    <m/>
    <n v="11043079"/>
    <x v="0"/>
    <d v="2019-10-17T00:00:00"/>
    <d v="2020-01-10T00:00:00"/>
    <d v="2020-03-17T00:00:00"/>
    <s v="PHOENIX lék.velkoobchod, s.r.o."/>
    <m/>
    <n v="11043079"/>
    <n v="12147386.83"/>
    <m/>
    <m/>
    <m/>
    <d v="2020-03-19T00:00:00"/>
    <s v="SMLN-2020-617-000104"/>
    <x v="32"/>
    <d v="2020-05-11T00:00:00"/>
    <d v="2022-04-26T00:00:00"/>
  </r>
  <r>
    <d v="2019-09-02T00:00:00"/>
    <s v="VZ-2019-000942"/>
    <x v="1"/>
    <s v="Ondráčková"/>
    <x v="37"/>
    <n v="5"/>
    <s v="Hydroxykarbamid"/>
    <m/>
    <s v="33652000-5  "/>
    <m/>
    <n v="469154"/>
    <x v="0"/>
    <d v="2019-10-17T00:00:00"/>
    <d v="2020-01-10T00:00:00"/>
    <d v="2020-03-17T00:00:00"/>
    <s v="PHOENIX lék.velkoobchod, s.r.o."/>
    <m/>
    <n v="469153"/>
    <n v="516068.74"/>
    <m/>
    <m/>
    <m/>
    <d v="2020-03-19T00:00:00"/>
    <s v="SMLN-2020-617-000105"/>
    <x v="31"/>
    <d v="2020-05-11T00:00:00"/>
    <d v="2022-05-05T00:00:00"/>
  </r>
  <r>
    <d v="2019-09-02T00:00:00"/>
    <s v="VZ-2019-000942"/>
    <x v="1"/>
    <s v="Ondráčková"/>
    <x v="37"/>
    <n v="6"/>
    <s v="IXAZOMIB-CITRÁT"/>
    <m/>
    <s v="33652000-5  "/>
    <m/>
    <n v="25724950"/>
    <x v="0"/>
    <d v="2019-10-17T00:00:00"/>
    <d v="2020-01-10T00:00:00"/>
    <d v="2020-03-17T00:00:00"/>
    <s v="Alliance Healthcare s.r.o."/>
    <m/>
    <n v="25724949.039999999"/>
    <n v="28297443.940000001"/>
    <m/>
    <m/>
    <m/>
    <d v="2020-03-19T00:00:00"/>
    <s v="SMLN-2020-617-000106"/>
    <x v="31"/>
    <d v="2020-05-11T00:00:00"/>
    <d v="2022-05-05T00:00:00"/>
  </r>
  <r>
    <d v="2019-09-02T00:00:00"/>
    <s v="VZ-2019-000942"/>
    <x v="1"/>
    <s v="Ondráčková"/>
    <x v="37"/>
    <n v="7"/>
    <s v="VENETOKLAX"/>
    <m/>
    <s v="33652000-5   "/>
    <m/>
    <n v="2452038"/>
    <x v="0"/>
    <d v="2019-10-17T00:00:00"/>
    <d v="2020-01-10T00:00:00"/>
    <d v="2020-03-17T00:00:00"/>
    <s v="AbbVie s.r.o."/>
    <m/>
    <n v="2452038"/>
    <n v="2697241.8"/>
    <m/>
    <m/>
    <m/>
    <d v="2020-03-19T00:00:00"/>
    <s v="SMLN-2020-617-000107"/>
    <x v="32"/>
    <d v="2020-05-11T00:00:00"/>
    <d v="2022-04-26T00:00:00"/>
  </r>
  <r>
    <d v="2019-09-02T00:00:00"/>
    <s v="VZ-2019-000944"/>
    <x v="1"/>
    <s v="Ondráčková"/>
    <x v="38"/>
    <n v="3"/>
    <s v="LYOFILIZOVANÝ BAKTERIÁLNÍ LYZÁT OM 85 (LYSATUM BACTERIALE OM 85 CRYODESICCATUM)"/>
    <m/>
    <s v="33652000-5"/>
    <m/>
    <n v="196833"/>
    <x v="0"/>
    <d v="2019-10-18T00:00:00"/>
    <d v="2019-11-21T00:00:00"/>
    <d v="2019-12-17T00:00:00"/>
    <s v="PHOENIX lék.velkoobchod, s.r.o."/>
    <m/>
    <n v="195963.12"/>
    <n v="215559.43"/>
    <m/>
    <m/>
    <m/>
    <d v="2019-12-19T00:00:00"/>
    <s v="SMLN-2019-617-000645"/>
    <x v="15"/>
    <d v="2020-02-18T00:00:00"/>
    <d v="2022-02-09T00:00:00"/>
  </r>
  <r>
    <d v="2019-09-02T00:00:00"/>
    <s v="VZ-2019-000944"/>
    <x v="1"/>
    <s v="Ondráčková"/>
    <x v="38"/>
    <n v="4"/>
    <s v="PRASEČÍ PŘENOSOVÝ FAKTOR"/>
    <m/>
    <s v="33652000-5"/>
    <m/>
    <n v="6868497"/>
    <x v="0"/>
    <d v="2019-10-18T00:00:00"/>
    <d v="2019-11-21T00:00:00"/>
    <d v="2019-12-17T00:00:00"/>
    <s v="PHARMOS, a.s."/>
    <m/>
    <n v="6806504"/>
    <n v="7487154.4000000004"/>
    <m/>
    <m/>
    <m/>
    <d v="2019-12-19T00:00:00"/>
    <s v="SMLN-2019-617-000646"/>
    <x v="15"/>
    <d v="2020-02-18T00:00:00"/>
    <d v="2022-02-09T00:00:00"/>
  </r>
  <r>
    <d v="2019-09-02T00:00:00"/>
    <s v="VZ-2019-000945"/>
    <x v="1"/>
    <s v="Ondráčková"/>
    <x v="39"/>
    <n v="1"/>
    <s v="Sekukinumab"/>
    <m/>
    <s v="33652300-8"/>
    <m/>
    <n v="20785905"/>
    <x v="0"/>
    <d v="2019-10-17T00:00:00"/>
    <d v="2019-11-29T00:00:00"/>
    <d v="2020-01-30T00:00:00"/>
    <s v="Alliance Healthcare s.r.o."/>
    <m/>
    <n v="20785905"/>
    <n v="22864495.5"/>
    <m/>
    <m/>
    <m/>
    <d v="2020-01-31T00:00:00"/>
    <s v="SMLN-2020-617-000056"/>
    <x v="33"/>
    <d v="2020-03-19T00:00:00"/>
    <d v="2022-03-17T00:00:00"/>
  </r>
  <r>
    <d v="2019-09-02T00:00:00"/>
    <s v="VZ-2019-000945"/>
    <x v="1"/>
    <s v="Ondráčková"/>
    <x v="39"/>
    <n v="2"/>
    <s v="Ustekinumab"/>
    <m/>
    <s v="33652300-8"/>
    <m/>
    <n v="20787500"/>
    <x v="0"/>
    <d v="2019-10-17T00:00:00"/>
    <d v="2019-11-29T00:00:00"/>
    <d v="2020-01-30T00:00:00"/>
    <s v="Janssen - Cilag s.r.o."/>
    <m/>
    <n v="20787114.149999999"/>
    <n v="22865825.57"/>
    <m/>
    <m/>
    <m/>
    <d v="2020-01-31T00:00:00"/>
    <s v="SMLN-2020-617-000057"/>
    <x v="33"/>
    <d v="2020-03-19T00:00:00"/>
    <d v="2022-03-17T00:00:00"/>
  </r>
  <r>
    <d v="2019-09-02T00:00:00"/>
    <s v="VZ-2019-000945"/>
    <x v="1"/>
    <s v="Ondráčková"/>
    <x v="39"/>
    <n v="3"/>
    <s v="Guselkumab"/>
    <m/>
    <s v="33652300-8"/>
    <m/>
    <n v="823621"/>
    <x v="0"/>
    <d v="2019-10-17T00:00:00"/>
    <d v="2019-11-29T00:00:00"/>
    <d v="2020-01-30T00:00:00"/>
    <s v="Janssen - Cilag s.r.o."/>
    <m/>
    <n v="823600.2"/>
    <n v="905960.22"/>
    <m/>
    <m/>
    <m/>
    <d v="2020-01-31T00:00:00"/>
    <s v="SMLN-2020-617-000058"/>
    <x v="33"/>
    <d v="2020-03-19T00:00:00"/>
    <d v="2022-03-17T00:00:00"/>
  </r>
  <r>
    <d v="2019-09-04T00:00:00"/>
    <s v="VZ-2019-000952"/>
    <x v="0"/>
    <s v="Dočkalová"/>
    <x v="40"/>
    <n v="1"/>
    <s v="Embolizační spirály odpoutatelné neurointervenční I."/>
    <m/>
    <s v="33140000-3"/>
    <m/>
    <n v="3733400"/>
    <x v="0"/>
    <d v="2019-12-04T00:00:00"/>
    <d v="2020-01-06T00:00:00"/>
    <d v="2020-01-28T00:00:00"/>
    <s v="A care a.s."/>
    <m/>
    <n v="3733240"/>
    <n v="4293226"/>
    <m/>
    <m/>
    <m/>
    <d v="2020-01-28T00:00:00"/>
    <s v="SMLN-2020-617-000048_x000a_SMLN-2020-614-000001"/>
    <x v="1"/>
    <d v="2020-03-05T00:00:00"/>
    <d v="2022-02-23T00:00:00"/>
  </r>
  <r>
    <d v="2019-09-04T00:00:00"/>
    <s v="VZ-2019-000952"/>
    <x v="0"/>
    <s v="Dočkalová"/>
    <x v="40"/>
    <n v="2"/>
    <s v="Embolizační spirály odpoutatelné neurointervenční II."/>
    <m/>
    <s v="33140000-3"/>
    <m/>
    <n v="141890.1"/>
    <x v="0"/>
    <d v="2019-12-04T00:00:00"/>
    <d v="2020-01-06T00:00:00"/>
    <d v="2020-01-28T00:00:00"/>
    <s v="A care a.s."/>
    <m/>
    <n v="141890"/>
    <n v="163173.5"/>
    <m/>
    <m/>
    <m/>
    <d v="2020-01-28T00:00:00"/>
    <s v="SMLN-2020-617-000049_x000a_SMLN-2020-614-000002"/>
    <x v="1"/>
    <d v="2020-03-05T00:00:00"/>
    <d v="2022-02-23T00:00:00"/>
  </r>
  <r>
    <d v="2019-09-04T00:00:00"/>
    <s v="VZ-2019-000953"/>
    <x v="1"/>
    <s v="Ondráčková"/>
    <x v="41"/>
    <n v="1"/>
    <s v="Cetuximab"/>
    <m/>
    <s v="33652100-6"/>
    <m/>
    <n v="19686840"/>
    <x v="0"/>
    <d v="2019-09-23T00:00:00"/>
    <d v="2019-10-24T00:00:00"/>
    <d v="2019-11-12T00:00:00"/>
    <s v="Alliance Healthcare s.r.o."/>
    <m/>
    <n v="19686799.440000001"/>
    <n v="21655479.379999999"/>
    <m/>
    <m/>
    <m/>
    <d v="2019-11-13T00:00:00"/>
    <s v="SMLN-2019-617-000572"/>
    <x v="4"/>
    <d v="2020-01-10T00:00:00"/>
    <d v="2022-01-05T00:00:00"/>
  </r>
  <r>
    <d v="2019-09-09T00:00:00"/>
    <s v="VZ-2019-000979"/>
    <x v="8"/>
    <s v="Smrčková"/>
    <x v="42"/>
    <m/>
    <m/>
    <m/>
    <s v="39120000-9"/>
    <m/>
    <n v="990000"/>
    <x v="0"/>
    <d v="2019-10-02T00:00:00"/>
    <d v="2019-10-29T00:00:00"/>
    <d v="2019-11-18T00:00:00"/>
    <s v="KSK Nábytek s.r.o."/>
    <m/>
    <n v="1209763"/>
    <n v="1463813.23"/>
    <m/>
    <m/>
    <m/>
    <d v="2019-11-18T00:00:00"/>
    <s v="SMLN-2019-618-000100"/>
    <x v="34"/>
    <d v="2020-01-14T00:00:00"/>
    <d v="2020-04-25T00:00:00"/>
  </r>
  <r>
    <d v="2019-09-06T00:00:00"/>
    <s v="VZ-2019-000984"/>
    <x v="2"/>
    <s v="Neudörflerová"/>
    <x v="43"/>
    <m/>
    <m/>
    <m/>
    <s v="33124120-2"/>
    <m/>
    <n v="1672092.56"/>
    <x v="0"/>
    <d v="2019-09-27T00:00:00"/>
    <d v="2019-10-29T00:00:00"/>
    <d v="2019-11-27T00:00:00"/>
    <s v="BIONIK Stapro Group s.r.o."/>
    <m/>
    <n v="1515550"/>
    <n v="1833815.5"/>
    <m/>
    <m/>
    <m/>
    <d v="2019-11-28T00:00:00"/>
    <s v="SMLN-2019-617-000604_x000a_SMLN-2019-612-000161"/>
    <x v="4"/>
    <d v="2020-01-10T00:00:00"/>
    <d v="2020-02-17T00:00:00"/>
  </r>
  <r>
    <d v="2019-09-06T00:00:00"/>
    <s v="VZ-2019-000987"/>
    <x v="2"/>
    <s v="Neudörflerová"/>
    <x v="44"/>
    <n v="1"/>
    <s v="Instrumentárium porodní "/>
    <m/>
    <s v="33169000-2 "/>
    <m/>
    <n v="941148.76"/>
    <x v="0"/>
    <d v="2019-09-27T00:00:00"/>
    <d v="2019-12-02T00:00:00"/>
    <d v="2019-12-19T00:00:00"/>
    <s v="MEDILAB s.r.o."/>
    <m/>
    <n v="649378.56000000006"/>
    <n v="785748.05760000006"/>
    <m/>
    <m/>
    <m/>
    <d v="2019-12-19T00:00:00"/>
    <s v="SMLN-2019-617-000659"/>
    <x v="26"/>
    <d v="2020-01-24T00:00:00"/>
    <d v="2020-04-15T00:00:00"/>
  </r>
  <r>
    <d v="2019-09-06T00:00:00"/>
    <s v="VZ-2019-000987"/>
    <x v="2"/>
    <s v="Neudörflerová"/>
    <x v="44"/>
    <n v="2"/>
    <s v="Instrumentárium pro císařský řez"/>
    <m/>
    <s v="33169000-2 "/>
    <m/>
    <n v="182823.14"/>
    <x v="0"/>
    <d v="2019-09-27T00:00:00"/>
    <d v="2019-12-02T00:00:00"/>
    <d v="2019-12-19T00:00:00"/>
    <s v="LaparoTech Instruments s.r.o."/>
    <m/>
    <n v="119000"/>
    <n v="143990"/>
    <m/>
    <m/>
    <m/>
    <d v="2019-12-19T00:00:00"/>
    <s v="SMLN-2019-617-000660"/>
    <x v="26"/>
    <d v="2020-01-24T00:00:00"/>
    <d v="2020-04-01T00:00:00"/>
  </r>
  <r>
    <d v="2019-09-13T00:00:00"/>
    <s v="VZ-2019-000995"/>
    <x v="9"/>
    <s v="Spáčil"/>
    <x v="45"/>
    <m/>
    <m/>
    <m/>
    <s v="34923000-3"/>
    <s v="4.3.1."/>
    <n v="11500000"/>
    <x v="0"/>
    <d v="2019-10-02T00:00:00"/>
    <d v="2019-11-06T00:00:00"/>
    <d v="2019-12-13T00:00:00"/>
    <s v="Green Center s.r.o."/>
    <m/>
    <n v="11475709"/>
    <n v="13885607.890000001"/>
    <m/>
    <m/>
    <m/>
    <d v="2019-12-17T00:00:00"/>
    <s v="SMLN-2019-618-000113_x000a_SMLN-2019-612-000167"/>
    <x v="35"/>
    <d v="2020-02-07T00:00:00"/>
    <d v="2020-12-31T00:00:00"/>
  </r>
  <r>
    <d v="2019-09-06T00:00:00"/>
    <s v="VZ-2019-001011"/>
    <x v="0"/>
    <s v="Dočkalová"/>
    <x v="46"/>
    <m/>
    <m/>
    <m/>
    <s v="33140000-3"/>
    <m/>
    <n v="285180"/>
    <x v="2"/>
    <d v="2019-09-24T00:00:00"/>
    <d v="2019-10-04T00:00:00"/>
    <d v="2020-01-31T00:00:00"/>
    <s v="MSM, spol. s r.o."/>
    <m/>
    <n v="263012"/>
    <n v="318244.52"/>
    <m/>
    <m/>
    <m/>
    <d v="2020-01-31T00:00:00"/>
    <s v="SMLN-2020-617-000061_x000a_SMLN-2020-614-000003"/>
    <x v="8"/>
    <d v="2020-03-05T00:00:00"/>
    <d v="2022-02-25T00:00:00"/>
  </r>
  <r>
    <d v="2019-09-25T00:00:00"/>
    <s v="VZ-2019-001021"/>
    <x v="3"/>
    <s v="Rosulek"/>
    <x v="47"/>
    <m/>
    <m/>
    <m/>
    <s v="33158000-2"/>
    <s v="2.2.194."/>
    <n v="2670000"/>
    <x v="1"/>
    <d v="2019-10-07T00:00:00"/>
    <d v="2019-10-25T00:00:00"/>
    <d v="2019-12-11T00:00:00"/>
    <s v="Boston Scientific Česká Republika s.r.o."/>
    <m/>
    <n v="2668900"/>
    <n v="3229369"/>
    <m/>
    <m/>
    <m/>
    <d v="2019-12-12T00:00:00"/>
    <s v="SMLN-2019-617-000637_x000a_SMLN-2019-612-000165"/>
    <x v="36"/>
    <d v="2020-03-02T00:00:00"/>
    <d v="2020-03-06T00:00:00"/>
  </r>
  <r>
    <d v="2019-09-23T00:00:00"/>
    <s v="VZ-2019-001028"/>
    <x v="1"/>
    <s v="Ondráčková"/>
    <x v="48"/>
    <n v="1"/>
    <s v="Thymoglobuline"/>
    <m/>
    <s v="33652300-8"/>
    <m/>
    <n v="5455972"/>
    <x v="0"/>
    <d v="2019-10-30T00:00:00"/>
    <d v="2019-12-02T00:00:00"/>
    <d v="2020-01-21T00:00:00"/>
    <s v="sanofi - aventis, s.r.o."/>
    <m/>
    <n v="5455971.8399999999"/>
    <n v="6001569.0199999996"/>
    <m/>
    <m/>
    <m/>
    <d v="2020-01-22T00:00:00"/>
    <s v="SMLN-2020-617-000039"/>
    <x v="37"/>
    <d v="2020-05-06T00:00:00"/>
    <d v="2022-05-03T00:00:00"/>
  </r>
  <r>
    <d v="2019-09-23T00:00:00"/>
    <s v="VZ-2019-001028"/>
    <x v="1"/>
    <s v="Ondráčková"/>
    <x v="48"/>
    <n v="2"/>
    <s v="Tofacitinib-citrát"/>
    <m/>
    <s v="33652300-8"/>
    <m/>
    <n v="780222"/>
    <x v="0"/>
    <d v="2019-10-30T00:00:00"/>
    <d v="2019-12-02T00:00:00"/>
    <d v="2020-01-21T00:00:00"/>
    <s v="PHOENIX lék.velkoobchod, s.r.o."/>
    <m/>
    <n v="780184"/>
    <n v="858202.4"/>
    <m/>
    <m/>
    <m/>
    <d v="2020-01-22T00:00:00"/>
    <s v="SMLN-2020-617-000040"/>
    <x v="38"/>
    <d v="2020-05-06T00:00:00"/>
    <d v="2022-04-22T00:00:00"/>
  </r>
  <r>
    <d v="2019-09-23T00:00:00"/>
    <s v="VZ-2019-001028"/>
    <x v="1"/>
    <s v="Ondráčková"/>
    <x v="48"/>
    <n v="5"/>
    <s v="Leflunopharm"/>
    <m/>
    <s v="33652300-8"/>
    <m/>
    <n v="300491"/>
    <x v="0"/>
    <d v="2019-10-30T00:00:00"/>
    <d v="2019-12-02T00:00:00"/>
    <d v="2020-01-21T00:00:00"/>
    <s v="PHARMOS, a.s."/>
    <m/>
    <n v="196957.72"/>
    <n v="216653.49"/>
    <m/>
    <m/>
    <m/>
    <d v="2020-01-22T00:00:00"/>
    <s v="SMLN-2020-617-000041"/>
    <x v="38"/>
    <d v="2020-05-06T00:00:00"/>
    <d v="2022-04-22T00:00:00"/>
  </r>
  <r>
    <d v="2019-09-23T00:00:00"/>
    <s v="VZ-2019-001030"/>
    <x v="1"/>
    <s v="Ondráčková"/>
    <x v="49"/>
    <n v="1"/>
    <s v="Duodopa"/>
    <m/>
    <s v="33661400-5"/>
    <m/>
    <n v="21227976"/>
    <x v="0"/>
    <d v="2019-10-22T00:00:00"/>
    <d v="2019-11-28T00:00:00"/>
    <d v="2020-01-09T00:00:00"/>
    <s v="PHOENIX lék.velkoobchod, s.r.o."/>
    <m/>
    <n v="21226705.920000002"/>
    <n v="23349376.510000002"/>
    <m/>
    <m/>
    <m/>
    <d v="2020-01-10T00:00:00"/>
    <s v="SMLN-2020-617-000007"/>
    <x v="15"/>
    <d v="2020-02-18T00:00:00"/>
    <d v="2022-02-09T00:00:00"/>
  </r>
  <r>
    <d v="2019-09-23T00:00:00"/>
    <s v="VZ-2019-001030"/>
    <x v="1"/>
    <s v="Ondráčková"/>
    <x v="49"/>
    <n v="2"/>
    <s v="Isicom"/>
    <m/>
    <s v="33661400-5"/>
    <m/>
    <n v="1061705"/>
    <x v="0"/>
    <d v="2019-10-22T00:00:00"/>
    <d v="2019-11-28T00:00:00"/>
    <d v="2020-01-09T00:00:00"/>
    <s v="PHARMOS, a.s."/>
    <m/>
    <n v="1057645.1599999999"/>
    <n v="1163409.68"/>
    <m/>
    <m/>
    <m/>
    <d v="2020-01-10T00:00:00"/>
    <s v="SMLN-2020-617-000008"/>
    <x v="15"/>
    <d v="2020-02-18T00:00:00"/>
    <d v="2022-02-09T00:00:00"/>
  </r>
  <r>
    <d v="2019-09-23T00:00:00"/>
    <s v="VZ-2019-001030"/>
    <x v="1"/>
    <s v="Ondráčková"/>
    <x v="49"/>
    <n v="3"/>
    <s v="Madopar"/>
    <m/>
    <s v="33661400-5"/>
    <m/>
    <n v="65635"/>
    <x v="0"/>
    <d v="2019-10-22T00:00:00"/>
    <d v="2019-11-28T00:00:00"/>
    <d v="2020-01-09T00:00:00"/>
    <s v="PHARMOS, a.s."/>
    <m/>
    <n v="65363.72"/>
    <n v="71900.09"/>
    <m/>
    <m/>
    <m/>
    <d v="2020-01-10T00:00:00"/>
    <s v="SMLN-2020-617-000009"/>
    <x v="15"/>
    <d v="2020-02-18T00:00:00"/>
    <d v="2022-02-09T00:00:00"/>
  </r>
  <r>
    <d v="2019-10-01T00:00:00"/>
    <s v="VZ-2019-001056"/>
    <x v="8"/>
    <s v="Smrčková"/>
    <x v="50"/>
    <m/>
    <m/>
    <m/>
    <s v="33141620-2"/>
    <m/>
    <n v="2735780"/>
    <x v="1"/>
    <d v="2019-12-12T00:00:00"/>
    <d v="2020-02-06T00:00:00"/>
    <m/>
    <s v="zrušeno - COVID"/>
    <m/>
    <m/>
    <m/>
    <m/>
    <m/>
    <m/>
    <m/>
    <m/>
    <x v="0"/>
    <d v="2020-07-10T00:00:00"/>
    <m/>
  </r>
  <r>
    <d v="2019-10-25T00:00:00"/>
    <s v="VZ-2019-001058"/>
    <x v="7"/>
    <s v="Oravec"/>
    <x v="51"/>
    <m/>
    <m/>
    <m/>
    <s v="30213500-0"/>
    <s v="3.2.36."/>
    <n v="3383400"/>
    <x v="1"/>
    <d v="2019-12-12T00:00:00"/>
    <d v="2020-01-09T00:00:00"/>
    <d v="2020-01-27T00:00:00"/>
    <s v="DATASCAN, s.r.o."/>
    <m/>
    <n v="2502010"/>
    <n v="3027432.1"/>
    <m/>
    <m/>
    <m/>
    <d v="2020-01-27T00:00:00"/>
    <s v="SMLN-2020-617-000047"/>
    <x v="39"/>
    <d v="2020-03-10T00:00:00"/>
    <d v="2021-03-04T00:00:00"/>
  </r>
  <r>
    <d v="2019-10-15T00:00:00"/>
    <s v="VZ-2019-001107"/>
    <x v="5"/>
    <s v="Srovnal"/>
    <x v="52"/>
    <m/>
    <m/>
    <m/>
    <s v="50532400-7"/>
    <m/>
    <n v="4500000"/>
    <x v="0"/>
    <d v="2019-10-22T00:00:00"/>
    <d v="2019-11-22T00:00:00"/>
    <d v="2019-12-03T00:00:00"/>
    <s v="Bc. Jakub Tomaštík"/>
    <m/>
    <n v="4266000"/>
    <n v="5161860"/>
    <m/>
    <m/>
    <m/>
    <d v="2019-12-04T00:00:00"/>
    <s v="SMLN-2019-618-000107"/>
    <x v="9"/>
    <d v="2020-01-21T00:00:00"/>
    <d v="2020-03-02T00:00:00"/>
  </r>
  <r>
    <d v="2019-10-17T00:00:00"/>
    <s v="VZ-2019-001122"/>
    <x v="3"/>
    <s v="Rosulek"/>
    <x v="53"/>
    <m/>
    <m/>
    <m/>
    <s v="33124100-6"/>
    <s v="2.2.230,2.2.232"/>
    <n v="1415000"/>
    <x v="2"/>
    <d v="2019-11-18T00:00:00"/>
    <d v="2019-11-26T00:00:00"/>
    <d v="2020-01-07T00:00:00"/>
    <s v="HOSPIMED, spol.s r.o."/>
    <m/>
    <n v="1413950"/>
    <n v="1710879.5"/>
    <m/>
    <m/>
    <m/>
    <d v="2020-01-08T00:00:00"/>
    <s v="SMLN-2020-617-000001_x000a_SMLN-2020-612-000001"/>
    <x v="40"/>
    <d v="2020-02-11T00:00:00"/>
    <d v="2020-04-07T00:00:00"/>
  </r>
  <r>
    <d v="2019-10-18T00:00:00"/>
    <s v="VZ-2019-001125"/>
    <x v="3"/>
    <s v="Novák"/>
    <x v="54"/>
    <m/>
    <m/>
    <m/>
    <s v="33162100-4,33140000-3"/>
    <s v="2.2.31."/>
    <n v="6323000"/>
    <x v="0"/>
    <d v="2019-10-23T00:00:00"/>
    <d v="2019-11-25T00:00:00"/>
    <d v="2019-12-11T00:00:00"/>
    <s v="SKALA-Medical s.r.o."/>
    <m/>
    <n v="6219800"/>
    <n v="7525958"/>
    <m/>
    <m/>
    <m/>
    <d v="2019-12-12T00:00:00"/>
    <s v="SMLN-2019-617-000635_x000a_SMLN-2019-612-000163_x000a_SMLN-2019-617-000636"/>
    <x v="10"/>
    <d v="2020-02-06T00:00:00"/>
    <s v="4.3.2020_x000a_28.1.2028"/>
  </r>
  <r>
    <d v="2019-10-21T00:00:00"/>
    <s v="VZ-2019-001126"/>
    <x v="7"/>
    <s v="Gartner"/>
    <x v="55"/>
    <m/>
    <m/>
    <m/>
    <s v="72268000-1"/>
    <m/>
    <n v="1200000"/>
    <x v="2"/>
    <d v="2019-10-31T00:00:00"/>
    <d v="2019-11-12T00:00:00"/>
    <d v="2019-11-28T00:00:00"/>
    <s v="EXON s.r.o."/>
    <m/>
    <n v="896560"/>
    <n v="1084837.6000000001"/>
    <m/>
    <m/>
    <m/>
    <d v="2019-11-29T00:00:00"/>
    <s v="SMLN-2019-612-000162"/>
    <x v="9"/>
    <d v="2020-01-24T00:00:00"/>
    <s v="doba neurčitá"/>
  </r>
  <r>
    <d v="2019-10-21T00:00:00"/>
    <s v="VZ-2019-001129"/>
    <x v="0"/>
    <s v="Dočkalová"/>
    <x v="56"/>
    <m/>
    <m/>
    <m/>
    <s v="33169400-6 "/>
    <m/>
    <n v="882390"/>
    <x v="2"/>
    <d v="2019-11-07T00:00:00"/>
    <d v="2019-11-20T00:00:00"/>
    <d v="2019-12-04T00:00:00"/>
    <s v="B. Braun Medical s.r.o."/>
    <m/>
    <n v="882363"/>
    <n v="1067659.23"/>
    <m/>
    <m/>
    <m/>
    <d v="2019-12-04T00:00:00"/>
    <s v="SMLN-2019-617-000613"/>
    <x v="4"/>
    <d v="2020-01-07T00:00:00"/>
    <d v="2020-02-17T00:00:00"/>
  </r>
  <r>
    <d v="2019-10-22T00:00:00"/>
    <s v="VZ-2019-001132"/>
    <x v="1"/>
    <s v="Ondráčková"/>
    <x v="57"/>
    <n v="1"/>
    <s v="TRASTUZUMAB EMTANSIN "/>
    <m/>
    <s v="33652100-6"/>
    <m/>
    <n v="12595778"/>
    <x v="0"/>
    <d v="2019-12-23T00:00:00"/>
    <d v="2020-02-26T00:00:00"/>
    <d v="2020-03-10T00:00:00"/>
    <s v="ROCHE s.r.o."/>
    <m/>
    <n v="12595776"/>
    <n v="13855353.600000001"/>
    <m/>
    <m/>
    <m/>
    <d v="2020-03-12T00:00:00"/>
    <s v="SMLN-2020-617-000092"/>
    <x v="41"/>
    <d v="2020-04-27T00:00:00"/>
    <d v="2022-04-16T00:00:00"/>
  </r>
  <r>
    <d v="2019-10-22T00:00:00"/>
    <s v="VZ-2019-001133"/>
    <x v="1"/>
    <s v="Ondráčková"/>
    <x v="58"/>
    <n v="1"/>
    <s v="REQUIP MODUTAB"/>
    <m/>
    <s v="33661400-5"/>
    <m/>
    <n v="1397547"/>
    <x v="0"/>
    <d v="2019-11-13T00:00:00"/>
    <d v="2019-12-23T00:00:00"/>
    <d v="2020-02-18T00:00:00"/>
    <s v="PHOENIX lék.velkoobchod, s.r.o."/>
    <m/>
    <n v="1386261.84"/>
    <n v="1524888.02"/>
    <m/>
    <m/>
    <m/>
    <d v="2020-02-20T00:00:00"/>
    <s v="SMLN-2020-617-000083"/>
    <x v="42"/>
    <d v="2020-04-07T00:00:00"/>
    <d v="2022-03-30T00:00:00"/>
  </r>
  <r>
    <d v="2019-10-22T00:00:00"/>
    <s v="VZ-2019-001133"/>
    <x v="1"/>
    <s v="Ondráčková"/>
    <x v="58"/>
    <n v="2"/>
    <s v="OPRYMEA"/>
    <m/>
    <s v="33661400-5"/>
    <m/>
    <n v="98913"/>
    <x v="0"/>
    <d v="2019-11-13T00:00:00"/>
    <d v="2019-12-23T00:00:00"/>
    <m/>
    <s v="zrušeno - bez nabídky"/>
    <m/>
    <m/>
    <m/>
    <m/>
    <m/>
    <m/>
    <m/>
    <m/>
    <x v="0"/>
    <d v="2020-03-10T00:00:00"/>
    <s v="18.2.2020 zrušeno"/>
  </r>
  <r>
    <d v="2019-10-22T00:00:00"/>
    <s v="VZ-2019-001133"/>
    <x v="1"/>
    <s v="Ondráčková"/>
    <x v="58"/>
    <n v="3"/>
    <s v="GLEPARK"/>
    <m/>
    <s v="33661400-5"/>
    <m/>
    <n v="286872"/>
    <x v="0"/>
    <d v="2019-11-13T00:00:00"/>
    <d v="2019-12-23T00:00:00"/>
    <m/>
    <s v="zrušeno - bez nabídky"/>
    <m/>
    <m/>
    <m/>
    <m/>
    <m/>
    <m/>
    <m/>
    <m/>
    <x v="0"/>
    <d v="2020-03-10T00:00:00"/>
    <s v="18.2.2020 zrušeno"/>
  </r>
  <r>
    <d v="2019-10-22T00:00:00"/>
    <s v="VZ-2019-001133"/>
    <x v="1"/>
    <s v="Ondráčková"/>
    <x v="58"/>
    <n v="4"/>
    <s v="DACEPTON"/>
    <m/>
    <s v="33661400-5"/>
    <m/>
    <n v="5219505"/>
    <x v="0"/>
    <d v="2019-11-13T00:00:00"/>
    <d v="2019-12-23T00:00:00"/>
    <d v="2020-02-18T00:00:00"/>
    <s v="PHOENIX lék.velkoobchod, s.r.o."/>
    <m/>
    <n v="5133281.32"/>
    <n v="5646609.4500000002"/>
    <m/>
    <m/>
    <m/>
    <d v="2020-02-20T00:00:00"/>
    <s v="SMLN-2020-617-000084"/>
    <x v="42"/>
    <d v="2020-04-07T00:00:00"/>
    <d v="2022-03-30T00:00:00"/>
  </r>
  <r>
    <d v="2019-10-22T00:00:00"/>
    <s v="VZ-2019-001133"/>
    <x v="1"/>
    <s v="Ondráčková"/>
    <x v="58"/>
    <n v="5"/>
    <s v="NEUPRO"/>
    <m/>
    <s v="33661400-5"/>
    <m/>
    <n v="2622951"/>
    <x v="0"/>
    <d v="2019-11-13T00:00:00"/>
    <d v="2019-12-23T00:00:00"/>
    <d v="2020-02-18T00:00:00"/>
    <s v="Alliance Healthcare s.r.o."/>
    <m/>
    <n v="2611675.3199999998"/>
    <n v="2872842.85"/>
    <m/>
    <m/>
    <m/>
    <d v="2020-02-20T00:00:00"/>
    <s v="SMLN-2020-617-000085"/>
    <x v="42"/>
    <d v="2020-04-07T00:00:00"/>
    <d v="2022-03-30T00:00:00"/>
  </r>
  <r>
    <d v="2019-10-22T00:00:00"/>
    <s v="VZ-2019-001134"/>
    <x v="1"/>
    <s v="Ondráčková"/>
    <x v="59"/>
    <n v="1"/>
    <s v="EVEROLIMUS"/>
    <m/>
    <s v="33652000-5"/>
    <m/>
    <n v="8390223"/>
    <x v="0"/>
    <d v="2019-11-13T00:00:00"/>
    <d v="2020-01-14T00:00:00"/>
    <d v="2020-03-31T00:00:00"/>
    <s v="Alliance Healthcare s.r.o."/>
    <m/>
    <n v="7377097.6399999997"/>
    <n v="8114807.4000000004"/>
    <m/>
    <m/>
    <m/>
    <d v="2020-04-01T00:00:00"/>
    <s v="SMLN-2020-617-000130"/>
    <x v="21"/>
    <d v="2020-05-27T00:00:00"/>
    <d v="2022-05-13T00:00:00"/>
  </r>
  <r>
    <d v="2019-10-22T00:00:00"/>
    <s v="VZ-2019-001134"/>
    <x v="1"/>
    <s v="Ondráčková"/>
    <x v="59"/>
    <n v="2"/>
    <s v="PAZOPANIB"/>
    <m/>
    <s v="33652000-5"/>
    <m/>
    <n v="6654142"/>
    <x v="0"/>
    <d v="2019-11-13T00:00:00"/>
    <d v="2020-01-14T00:00:00"/>
    <d v="2020-03-31T00:00:00"/>
    <s v="Alliance Healthcare s.r.o."/>
    <m/>
    <n v="6720852.96"/>
    <n v="7392938.2599999998"/>
    <m/>
    <m/>
    <m/>
    <d v="2020-04-01T00:00:00"/>
    <s v="SMLN-2020-617-000131"/>
    <x v="21"/>
    <d v="2020-05-27T00:00:00"/>
    <d v="2022-05-13T00:00:00"/>
  </r>
  <r>
    <d v="2019-10-22T00:00:00"/>
    <s v="VZ-2019-001134"/>
    <x v="1"/>
    <s v="Ondráčková"/>
    <x v="59"/>
    <n v="3"/>
    <s v="AFATINIB "/>
    <m/>
    <s v="33652000-5"/>
    <m/>
    <n v="4568564"/>
    <x v="0"/>
    <d v="2019-11-13T00:00:00"/>
    <d v="2020-01-14T00:00:00"/>
    <d v="2020-03-31T00:00:00"/>
    <s v="Boehringer Ingelheim spol. s r.o."/>
    <m/>
    <n v="4568562.3899999997"/>
    <n v="5025418.63"/>
    <m/>
    <m/>
    <m/>
    <d v="2020-04-01T00:00:00"/>
    <s v="SMLN-2020-617-000132"/>
    <x v="43"/>
    <d v="2020-06-10T00:00:00"/>
    <d v="2022-06-07T00:00:00"/>
  </r>
  <r>
    <d v="2019-10-22T00:00:00"/>
    <s v="VZ-2019-001134"/>
    <x v="1"/>
    <s v="Ondráčková"/>
    <x v="59"/>
    <n v="4"/>
    <s v="VEMURAFENIB "/>
    <m/>
    <s v="33652000-5"/>
    <m/>
    <n v="2736450"/>
    <x v="0"/>
    <d v="2019-11-13T00:00:00"/>
    <d v="2020-01-14T00:00:00"/>
    <d v="2020-03-31T00:00:00"/>
    <s v="ROCHE s.r.o."/>
    <m/>
    <n v="2736450"/>
    <n v="3010095"/>
    <m/>
    <m/>
    <m/>
    <d v="2020-04-01T00:00:00"/>
    <s v="SMLN-2020-617-000133"/>
    <x v="21"/>
    <d v="2020-05-27T00:00:00"/>
    <d v="2022-05-13T00:00:00"/>
  </r>
  <r>
    <d v="2019-10-22T00:00:00"/>
    <s v="VZ-2019-001134"/>
    <x v="1"/>
    <s v="Ondráčková"/>
    <x v="59"/>
    <n v="5"/>
    <s v="AXITINIB "/>
    <m/>
    <s v="33652000-5"/>
    <m/>
    <n v="1261016"/>
    <x v="0"/>
    <d v="2019-11-13T00:00:00"/>
    <d v="2020-01-14T00:00:00"/>
    <d v="2020-03-31T00:00:00"/>
    <s v="PHOENIX lék.velkoobchod, s.r.o."/>
    <m/>
    <n v="1260998"/>
    <n v="1387097.8"/>
    <m/>
    <m/>
    <m/>
    <d v="2020-04-01T00:00:00"/>
    <s v="SMLN-2020-617-000134"/>
    <x v="21"/>
    <d v="2020-05-27T00:00:00"/>
    <d v="2022-05-13T00:00:00"/>
  </r>
  <r>
    <d v="2019-10-22T00:00:00"/>
    <s v="VZ-2019-001134"/>
    <x v="1"/>
    <s v="Ondráčková"/>
    <x v="59"/>
    <n v="6"/>
    <s v="RUXOLITINIB "/>
    <m/>
    <s v="33652000-5"/>
    <m/>
    <n v="22859565"/>
    <x v="0"/>
    <d v="2019-11-13T00:00:00"/>
    <d v="2020-01-14T00:00:00"/>
    <d v="2020-03-31T00:00:00"/>
    <s v="Alliance Healthcare s.r.o."/>
    <m/>
    <n v="22631621.52"/>
    <n v="24894783.670000002"/>
    <m/>
    <m/>
    <m/>
    <d v="2020-04-01T00:00:00"/>
    <s v="SMLN-2020-617-000135"/>
    <x v="21"/>
    <d v="2020-05-27T00:00:00"/>
    <d v="2022-05-13T00:00:00"/>
  </r>
  <r>
    <d v="2019-10-22T00:00:00"/>
    <s v="VZ-2019-001139"/>
    <x v="9"/>
    <s v="Langer"/>
    <x v="60"/>
    <m/>
    <m/>
    <m/>
    <s v="45454100-5"/>
    <s v="1.3.21."/>
    <n v="6500000"/>
    <x v="1"/>
    <d v="2019-10-30T00:00:00"/>
    <d v="2019-11-15T00:00:00"/>
    <d v="2019-12-12T00:00:00"/>
    <s v="OHL ŽS a.s."/>
    <m/>
    <n v="7382425"/>
    <n v="8932734"/>
    <m/>
    <m/>
    <m/>
    <d v="2019-12-12T00:00:00"/>
    <s v="SMLN-2019-618-000111"/>
    <x v="44"/>
    <d v="2020-03-02T00:00:00"/>
    <d v="2020-07-01T00:00:00"/>
  </r>
  <r>
    <d v="2019-10-25T00:00:00"/>
    <s v="VZ-2019-001147"/>
    <x v="10"/>
    <s v="Vaida"/>
    <x v="61"/>
    <m/>
    <m/>
    <m/>
    <s v="45332300-6"/>
    <m/>
    <n v="500000"/>
    <x v="2"/>
    <d v="2019-11-01T00:00:00"/>
    <d v="2019-11-12T00:00:00"/>
    <d v="2019-11-18T00:00:00"/>
    <s v="MIZ Olomouc s.r.o."/>
    <m/>
    <n v="469550"/>
    <n v="568155.5"/>
    <m/>
    <m/>
    <m/>
    <d v="2019-11-19T00:00:00"/>
    <s v="SMLN-2019-618-000102"/>
    <x v="45"/>
    <d v="2020-01-24T00:00:00"/>
    <d v="2020-03-31T00:00:00"/>
  </r>
  <r>
    <d v="2019-10-31T00:00:00"/>
    <s v="VZ-2019-001156"/>
    <x v="3"/>
    <s v="Rosulek"/>
    <x v="62"/>
    <n v="1"/>
    <s v="Diodový laser"/>
    <m/>
    <s v="33169100-3"/>
    <s v="2.3.421."/>
    <n v="245000"/>
    <x v="2"/>
    <d v="2019-11-18T00:00:00"/>
    <d v="2019-11-27T00:00:00"/>
    <d v="2020-01-16T00:00:00"/>
    <s v="Lindcare CZ s.r.o."/>
    <m/>
    <n v="236000"/>
    <n v="285560"/>
    <m/>
    <m/>
    <m/>
    <d v="2020-01-17T00:00:00"/>
    <s v="SMLN-2020-617-000034_x000a_SMLN-2020-612-000004"/>
    <x v="12"/>
    <d v="2020-02-17T00:00:00"/>
    <d v="2020-02-15T00:00:00"/>
  </r>
  <r>
    <d v="2019-10-31T00:00:00"/>
    <s v="VZ-2019-001156"/>
    <x v="3"/>
    <s v="Rosulek"/>
    <x v="62"/>
    <n v="2"/>
    <s v="YAG/SLT laser"/>
    <m/>
    <s v="33169100-3"/>
    <s v="2.3.434."/>
    <n v="1750000"/>
    <x v="2"/>
    <d v="2019-11-18T00:00:00"/>
    <d v="2019-11-27T00:00:00"/>
    <m/>
    <s v="zrušeno - překročení ceny"/>
    <s v="nová VZ-2020-000040"/>
    <m/>
    <m/>
    <m/>
    <m/>
    <m/>
    <m/>
    <m/>
    <x v="0"/>
    <d v="2020-01-14T00:00:00"/>
    <m/>
  </r>
  <r>
    <d v="2019-11-01T00:00:00"/>
    <s v="VZ-2019-001163"/>
    <x v="11"/>
    <s v="Procházková"/>
    <x v="63"/>
    <m/>
    <m/>
    <m/>
    <s v="66510000-8"/>
    <m/>
    <n v="48800000"/>
    <x v="0"/>
    <d v="2019-12-04T00:00:00"/>
    <d v="2020-01-07T00:00:00"/>
    <m/>
    <m/>
    <s v="nová VZ-2020-000098"/>
    <m/>
    <m/>
    <m/>
    <m/>
    <m/>
    <m/>
    <m/>
    <x v="0"/>
    <d v="2020-02-11T00:00:00"/>
    <s v="10.2.2020 zrušeno"/>
  </r>
  <r>
    <d v="2019-11-04T00:00:00"/>
    <s v="VZ-2019-001172"/>
    <x v="6"/>
    <s v="Freharová"/>
    <x v="64"/>
    <m/>
    <m/>
    <m/>
    <s v="72261000-2"/>
    <m/>
    <n v="3390000"/>
    <x v="1"/>
    <d v="2019-12-17T00:00:00"/>
    <d v="2020-01-13T00:00:00"/>
    <d v="2020-02-12T00:00:00"/>
    <s v="Vema, a.s."/>
    <m/>
    <n v="3384960"/>
    <n v="4095801.6"/>
    <m/>
    <m/>
    <m/>
    <d v="2020-02-13T00:00:00"/>
    <s v="SMLN-2020-612-000014"/>
    <x v="14"/>
    <d v="2020-03-12T00:00:00"/>
    <s v="doba neurčitá"/>
  </r>
  <r>
    <d v="2019-11-07T00:00:00"/>
    <s v="VZ-2019-001185"/>
    <x v="7"/>
    <s v="Oravec"/>
    <x v="65"/>
    <m/>
    <m/>
    <m/>
    <s v="48180000-3, 72261000-2"/>
    <s v="3.2.45."/>
    <n v="1490000"/>
    <x v="2"/>
    <d v="2019-11-22T00:00:00"/>
    <d v="2019-12-09T00:00:00"/>
    <d v="2020-01-27T00:00:00"/>
    <s v="ARTiiS GROUP, a.s."/>
    <m/>
    <n v="872000"/>
    <n v="1055120"/>
    <m/>
    <m/>
    <m/>
    <d v="2020-01-27T00:00:00"/>
    <s v="SMLN-2020-618-000005_x000a_SMLN-2020-612-000008"/>
    <x v="1"/>
    <d v="2020-02-24T00:00:00"/>
    <d v="2020-04-01T00:00:00"/>
  </r>
  <r>
    <d v="2019-11-07T00:00:00"/>
    <s v="VZ-2019-001187"/>
    <x v="3"/>
    <s v="Rosulek"/>
    <x v="66"/>
    <m/>
    <m/>
    <m/>
    <s v="33191000-5"/>
    <s v="2.3.441."/>
    <n v="521900"/>
    <x v="2"/>
    <d v="2019-11-18T00:00:00"/>
    <d v="2019-11-28T00:00:00"/>
    <d v="2020-01-07T00:00:00"/>
    <s v="Miele spol. s r.o."/>
    <m/>
    <n v="330992"/>
    <n v="400500.32"/>
    <m/>
    <m/>
    <m/>
    <d v="2020-01-08T00:00:00"/>
    <s v="SMLN-2020-617-000002_x000a_SMLN-2020-612-000002"/>
    <x v="12"/>
    <d v="2020-02-18T00:00:00"/>
    <d v="2020-02-27T00:00:00"/>
  </r>
  <r>
    <d v="2019-11-01T00:00:00"/>
    <s v="VZ-2019-001188"/>
    <x v="0"/>
    <s v="Dočkalová"/>
    <x v="67"/>
    <m/>
    <m/>
    <m/>
    <s v="33168100-6"/>
    <m/>
    <n v="443280"/>
    <x v="2"/>
    <d v="2019-11-13T00:00:00"/>
    <d v="2019-11-22T00:00:00"/>
    <d v="2019-12-16T00:00:00"/>
    <s v="MEDIN, a.s."/>
    <m/>
    <n v="384604.8"/>
    <n v="465371.81"/>
    <m/>
    <m/>
    <m/>
    <d v="2019-12-16T00:00:00"/>
    <s v="SMLN-2019-617-000640"/>
    <x v="5"/>
    <d v="2020-01-27T00:00:00"/>
    <d v="2020-05-15T00:00:00"/>
  </r>
  <r>
    <d v="2019-12-20T00:00:00"/>
    <s v="VZ-2019-001189"/>
    <x v="12"/>
    <s v="Neudörflerová"/>
    <x v="68"/>
    <m/>
    <m/>
    <m/>
    <s v="33111620-3"/>
    <s v="2.3.319."/>
    <n v="23494497.559999999"/>
    <x v="0"/>
    <d v="2020-01-02T00:00:00"/>
    <d v="2020-02-10T00:00:00"/>
    <m/>
    <s v="zrušeno"/>
    <s v="nová VZ-2020-000448"/>
    <m/>
    <m/>
    <m/>
    <m/>
    <m/>
    <m/>
    <m/>
    <x v="0"/>
    <d v="2020-03-24T00:00:00"/>
    <s v="24.3.2020 zrušeno"/>
  </r>
  <r>
    <d v="2019-11-12T00:00:00"/>
    <s v="VZ-2019-001198"/>
    <x v="1"/>
    <s v="Ondráčková"/>
    <x v="69"/>
    <m/>
    <s v="Imunochemická vyšetření s výpůjčkou analyzátoru"/>
    <m/>
    <s v="33694000-1; 38434000-6"/>
    <m/>
    <n v="6463919"/>
    <x v="0"/>
    <d v="2019-12-16T00:00:00"/>
    <d v="2020-01-20T00:00:00"/>
    <d v="2020-03-10T00:00:00"/>
    <s v="BioVendor - Laboratorní medicína a.s."/>
    <m/>
    <n v="5928756"/>
    <n v="7173795"/>
    <m/>
    <m/>
    <m/>
    <d v="2020-03-12T00:00:00"/>
    <s v="SMLN-2020-617-000091_x000a_SMLN-2020-616-000012"/>
    <x v="46"/>
    <d v="2020-04-27T00:00:00"/>
    <d v="2026-04-20T00:00:00"/>
  </r>
  <r>
    <d v="2019-11-13T00:00:00"/>
    <s v="VZ-2019-001204"/>
    <x v="0"/>
    <s v="Dočkalová"/>
    <x v="70"/>
    <n v="1"/>
    <s v="Láhve krmící jednorázové"/>
    <m/>
    <s v="33140000-3"/>
    <m/>
    <n v="663353.72"/>
    <x v="2"/>
    <d v="2019-11-19T00:00:00"/>
    <d v="2019-11-29T00:00:00"/>
    <d v="2019-12-10T00:00:00"/>
    <s v="MEDICAL M, spol.s  r.o."/>
    <m/>
    <n v="614920"/>
    <n v="744053.2"/>
    <m/>
    <m/>
    <m/>
    <d v="2019-12-11T00:00:00"/>
    <s v="SMLN-2019-617-000633"/>
    <x v="22"/>
    <d v="2020-01-13T00:00:00"/>
    <d v="2022-01-08T00:00:00"/>
  </r>
  <r>
    <d v="2019-11-13T00:00:00"/>
    <s v="VZ-2019-001204"/>
    <x v="0"/>
    <s v="Dočkalová"/>
    <x v="70"/>
    <n v="2"/>
    <s v="Dudlíky krmící jednorázové"/>
    <m/>
    <s v="33140000-3"/>
    <m/>
    <n v="332340.56"/>
    <x v="2"/>
    <d v="2019-11-19T00:00:00"/>
    <d v="2019-11-29T00:00:00"/>
    <d v="2019-12-10T00:00:00"/>
    <s v="S.A.B. Impex s.r.o."/>
    <m/>
    <n v="327954.8"/>
    <n v="396825.30799999996"/>
    <m/>
    <m/>
    <m/>
    <d v="2019-12-11T00:00:00"/>
    <s v="SMLN-2019-617-000634"/>
    <x v="9"/>
    <d v="2020-01-22T00:00:00"/>
    <d v="2022-01-19T00:00:00"/>
  </r>
  <r>
    <s v="opakovaná VZ"/>
    <s v="VZ-2019-001209"/>
    <x v="10"/>
    <s v="Vaida"/>
    <x v="71"/>
    <m/>
    <m/>
    <m/>
    <s v="4543000-7"/>
    <m/>
    <n v="1350000"/>
    <x v="2"/>
    <d v="2019-11-21T00:00:00"/>
    <d v="2019-11-28T00:00:00"/>
    <d v="2019-12-04T00:00:00"/>
    <s v="Elektropráce Spáčil s.r.o."/>
    <m/>
    <n v="1452256.26"/>
    <n v="1757230.0745999999"/>
    <m/>
    <m/>
    <m/>
    <d v="2019-12-04T00:00:00"/>
    <s v="SMLN-2019-618-000108"/>
    <x v="34"/>
    <d v="2020-01-14T00:00:00"/>
    <d v="2020-03-20T00:00:00"/>
  </r>
  <r>
    <d v="2019-11-19T00:00:00"/>
    <s v="VZ-2019-001210"/>
    <x v="13"/>
    <s v="Zemánek"/>
    <x v="72"/>
    <m/>
    <m/>
    <m/>
    <s v="50421000-2"/>
    <m/>
    <n v="1800000"/>
    <x v="2"/>
    <d v="2019-12-16T00:00:00"/>
    <d v="2020-01-07T00:00:00"/>
    <d v="2020-01-17T00:00:00"/>
    <s v="BioVendor - Laboratorní medicína a.s."/>
    <m/>
    <n v="1684048"/>
    <n v="2037698.08"/>
    <m/>
    <m/>
    <m/>
    <d v="2020-01-17T00:00:00"/>
    <s v="SMLN-2020-612-000005"/>
    <x v="7"/>
    <d v="2020-02-26T00:00:00"/>
    <d v="2025-02-24T00:00:00"/>
  </r>
  <r>
    <d v="2019-11-22T00:00:00"/>
    <s v="VZ-2019-001220"/>
    <x v="7"/>
    <s v="Oravec"/>
    <x v="73"/>
    <m/>
    <m/>
    <m/>
    <s v="72411000-4"/>
    <m/>
    <n v="480000"/>
    <x v="2"/>
    <d v="2019-11-28T00:00:00"/>
    <d v="2019-12-06T00:00:00"/>
    <d v="2019-12-12T00:00:00"/>
    <s v="MERIT Group a.s."/>
    <m/>
    <n v="432000"/>
    <n v="522720"/>
    <m/>
    <m/>
    <m/>
    <d v="2019-12-13T00:00:00"/>
    <s v="SMLN-2019-612-000166"/>
    <x v="28"/>
    <d v="2020-01-15T00:00:00"/>
    <s v="doba neurčitá"/>
  </r>
  <r>
    <d v="2019-11-22T00:00:00"/>
    <s v="VZ-2019-001221"/>
    <x v="10"/>
    <s v="Vaida"/>
    <x v="74"/>
    <m/>
    <m/>
    <m/>
    <s v="45332300-6"/>
    <m/>
    <n v="300000"/>
    <x v="2"/>
    <d v="2019-12-05T00:00:00"/>
    <d v="2019-12-13T00:00:00"/>
    <d v="2019-12-19T00:00:00"/>
    <s v="INTOP Olomouc CZ s.r.o."/>
    <m/>
    <n v="288939"/>
    <n v="349616.2"/>
    <m/>
    <m/>
    <m/>
    <d v="2019-12-19T00:00:00"/>
    <s v="SMLN-2019-618-000114"/>
    <x v="9"/>
    <d v="2020-01-21T00:00:00"/>
    <d v="2020-03-04T00:00:00"/>
  </r>
  <r>
    <s v="opakovaná VZ"/>
    <s v="VZ-2019-001250"/>
    <x v="3"/>
    <s v="Rosulek"/>
    <x v="75"/>
    <m/>
    <m/>
    <m/>
    <s v="33124100-6"/>
    <m/>
    <n v="1340000"/>
    <x v="2"/>
    <d v="2019-12-04T00:00:00"/>
    <d v="2019-12-13T00:00:00"/>
    <d v="2020-01-09T00:00:00"/>
    <s v="bamed, s.r.o."/>
    <m/>
    <n v="1337309"/>
    <n v="1618143.89"/>
    <m/>
    <m/>
    <m/>
    <d v="2020-01-09T00:00:00"/>
    <s v="SMLN-2020-617-000004_x000a_SMLN-2020-612-000003"/>
    <x v="20"/>
    <d v="2020-02-05T00:00:00"/>
    <d v="2020-03-27T00:00:00"/>
  </r>
  <r>
    <s v="opakovaná VZ"/>
    <s v="VZ-2019-001260"/>
    <x v="14"/>
    <s v="Rosulek"/>
    <x v="76"/>
    <m/>
    <m/>
    <m/>
    <s v="33168100-6"/>
    <m/>
    <n v="513000"/>
    <x v="2"/>
    <d v="2019-12-10T00:00:00"/>
    <d v="2019-12-19T00:00:00"/>
    <d v="2020-02-17T00:00:00"/>
    <s v="GPS Praha, spol. s r.o."/>
    <m/>
    <n v="495440"/>
    <n v="599482.4"/>
    <m/>
    <m/>
    <m/>
    <d v="2020-02-17T00:00:00"/>
    <s v="SMLN-2020-617-000075_x000a_SMLN-2020-612-000017"/>
    <x v="47"/>
    <d v="2020-03-10T00:00:00"/>
    <d v="2020-03-23T00:00:00"/>
  </r>
  <r>
    <d v="2019-12-05T00:00:00"/>
    <s v="VZ-2019-001262"/>
    <x v="1"/>
    <s v="Ondráčková"/>
    <x v="77"/>
    <n v="1"/>
    <s v="REGORAFENIB "/>
    <m/>
    <s v="33652000-5"/>
    <m/>
    <n v="5511956"/>
    <x v="0"/>
    <d v="2019-12-20T00:00:00"/>
    <d v="2020-01-24T00:00:00"/>
    <d v="2020-02-18T00:00:00"/>
    <s v="BAYER s.r.o."/>
    <m/>
    <n v="5511955.8600000003"/>
    <n v="6063151.4500000002"/>
    <m/>
    <m/>
    <m/>
    <d v="2020-02-19T00:00:00"/>
    <s v="SMLN-2020-617-000078"/>
    <x v="42"/>
    <d v="2020-04-07T00:00:00"/>
    <d v="2022-03-30T00:00:00"/>
  </r>
  <r>
    <d v="2019-12-05T00:00:00"/>
    <s v="VZ-2019-001262"/>
    <x v="1"/>
    <s v="Ondráčková"/>
    <x v="77"/>
    <n v="2"/>
    <s v="DABRAFENIB "/>
    <m/>
    <s v="33652000-5"/>
    <m/>
    <n v="11127273"/>
    <x v="0"/>
    <d v="2019-12-20T00:00:00"/>
    <d v="2020-01-24T00:00:00"/>
    <m/>
    <s v="zrušeno - bez nabídky"/>
    <s v="nová VZ-2020-000309"/>
    <m/>
    <m/>
    <m/>
    <m/>
    <m/>
    <m/>
    <m/>
    <x v="0"/>
    <d v="2020-03-04T00:00:00"/>
    <s v="10.2. zrušeno"/>
  </r>
  <r>
    <d v="2019-12-05T00:00:00"/>
    <s v="VZ-2019-001262"/>
    <x v="1"/>
    <s v="Ondráčková"/>
    <x v="77"/>
    <n v="3"/>
    <s v="IBRUTINIB "/>
    <m/>
    <s v="33652000-5"/>
    <m/>
    <n v="95343903"/>
    <x v="0"/>
    <d v="2019-12-20T00:00:00"/>
    <d v="2020-01-24T00:00:00"/>
    <d v="2020-02-18T00:00:00"/>
    <s v="Janssen - Cilag s.r.o."/>
    <m/>
    <n v="95343903"/>
    <n v="104878293.3"/>
    <m/>
    <m/>
    <m/>
    <d v="2020-02-19T00:00:00"/>
    <s v="SMLN-2020-617-000079"/>
    <x v="42"/>
    <d v="2020-04-07T00:00:00"/>
    <d v="2022-03-30T00:00:00"/>
  </r>
  <r>
    <d v="2019-12-05T00:00:00"/>
    <s v="VZ-2019-001262"/>
    <x v="1"/>
    <s v="Ondráčková"/>
    <x v="77"/>
    <n v="4"/>
    <s v="LENVATINIB"/>
    <m/>
    <s v="33652000-5"/>
    <m/>
    <n v="5032508"/>
    <x v="0"/>
    <d v="2019-12-20T00:00:00"/>
    <d v="2020-01-24T00:00:00"/>
    <m/>
    <s v="zrušeno - bez nabídky"/>
    <s v="nová VZ-2020-000309"/>
    <m/>
    <m/>
    <m/>
    <m/>
    <m/>
    <m/>
    <m/>
    <x v="0"/>
    <d v="2020-03-04T00:00:00"/>
    <s v="10.2. zrušeno"/>
  </r>
  <r>
    <d v="2019-12-05T00:00:00"/>
    <s v="VZ-2019-001262"/>
    <x v="1"/>
    <s v="Ondráčková"/>
    <x v="77"/>
    <n v="5"/>
    <s v="RIBOCIKLIB-SUKCINÁT"/>
    <m/>
    <s v="33652000-5"/>
    <m/>
    <n v="704780"/>
    <x v="0"/>
    <d v="2019-12-20T00:00:00"/>
    <d v="2020-01-24T00:00:00"/>
    <d v="2020-02-18T00:00:00"/>
    <s v="Alliance Healthcare s.r.o."/>
    <m/>
    <n v="704779.28"/>
    <n v="775257.21"/>
    <m/>
    <m/>
    <m/>
    <d v="2020-02-19T00:00:00"/>
    <s v="SMLN-2020-617-000080"/>
    <x v="42"/>
    <d v="2020-04-07T00:00:00"/>
    <d v="2022-03-30T00:00:00"/>
  </r>
  <r>
    <d v="2019-12-05T00:00:00"/>
    <s v="VZ-2019-001262"/>
    <x v="1"/>
    <s v="Ondráčková"/>
    <x v="77"/>
    <n v="6"/>
    <s v="OSIMERTINIB "/>
    <m/>
    <s v="33652000-5"/>
    <m/>
    <n v="23556463"/>
    <x v="0"/>
    <d v="2019-12-20T00:00:00"/>
    <d v="2020-01-24T00:00:00"/>
    <d v="2020-02-18T00:00:00"/>
    <s v="PHOENIX lék.velkoobchod, s.r.o."/>
    <m/>
    <n v="23288929.039999999"/>
    <n v="25617821.940000001"/>
    <m/>
    <m/>
    <m/>
    <d v="2020-02-19T00:00:00"/>
    <s v="SMLN-2020-617-000081"/>
    <x v="42"/>
    <d v="2020-04-07T00:00:00"/>
    <d v="2022-03-30T00:00:00"/>
  </r>
  <r>
    <s v="opakovaná VZ"/>
    <s v="VZ-2019-001263"/>
    <x v="2"/>
    <s v="Neudörflerová"/>
    <x v="78"/>
    <m/>
    <m/>
    <m/>
    <s v="33190000-8"/>
    <m/>
    <n v="165495.85999999999"/>
    <x v="2"/>
    <d v="2020-01-02T00:00:00"/>
    <d v="2020-01-15T00:00:00"/>
    <d v="2020-01-21T00:00:00"/>
    <s v="ALFAMEDIC s.r.o."/>
    <m/>
    <n v="215872"/>
    <n v="261205.12"/>
    <m/>
    <m/>
    <m/>
    <d v="2020-01-22T00:00:00"/>
    <s v="SMLN-2020-617-000042_x000a_SMLN-2020-612-000006"/>
    <x v="6"/>
    <d v="2020-02-20T00:00:00"/>
    <d v="2020-04-01T00:00:00"/>
  </r>
  <r>
    <d v="2019-12-09T00:00:00"/>
    <s v="VZ-2019-001266"/>
    <x v="7"/>
    <s v="Oravec"/>
    <x v="79"/>
    <m/>
    <m/>
    <m/>
    <s v="30231310-3"/>
    <m/>
    <n v="1001000"/>
    <x v="2"/>
    <d v="2019-12-19T00:00:00"/>
    <d v="2020-01-07T00:00:00"/>
    <d v="2020-01-17T00:00:00"/>
    <s v="Charita Opava"/>
    <m/>
    <n v="866457"/>
    <n v="1048412.97"/>
    <m/>
    <m/>
    <m/>
    <d v="2020-01-17T00:00:00"/>
    <s v="SMLN-2020-617-000036"/>
    <x v="15"/>
    <d v="2020-02-11T00:00:00"/>
    <d v="2021-02-09T00:00:00"/>
  </r>
  <r>
    <d v="2019-12-09T00:00:00"/>
    <s v="VZ-2019-001267"/>
    <x v="1"/>
    <s v="Ondráčková"/>
    <x v="80"/>
    <n v="1"/>
    <s v="HEPARIN"/>
    <m/>
    <s v="33141550-0"/>
    <m/>
    <n v="2292556"/>
    <x v="0"/>
    <d v="2019-12-20T00:00:00"/>
    <d v="2020-03-09T00:00:00"/>
    <m/>
    <s v="zrušeno - bez nabídky"/>
    <s v="nová VZ-2020-000453"/>
    <m/>
    <m/>
    <m/>
    <m/>
    <m/>
    <m/>
    <m/>
    <x v="0"/>
    <d v="2020-03-31T00:00:00"/>
    <m/>
  </r>
  <r>
    <d v="2019-12-09T00:00:00"/>
    <s v="VZ-2019-001267"/>
    <x v="1"/>
    <s v="Ondráčková"/>
    <x v="80"/>
    <n v="2"/>
    <s v="ENOXAPARIN "/>
    <m/>
    <s v="33141550-0"/>
    <m/>
    <n v="1293742"/>
    <x v="0"/>
    <d v="2019-12-20T00:00:00"/>
    <d v="2020-03-09T00:00:00"/>
    <m/>
    <s v="zrušeno - bez nabídky"/>
    <s v="nová VZ-2020-000453"/>
    <m/>
    <m/>
    <m/>
    <m/>
    <m/>
    <m/>
    <m/>
    <x v="0"/>
    <d v="2020-03-31T00:00:00"/>
    <m/>
  </r>
  <r>
    <d v="2019-12-09T00:00:00"/>
    <s v="VZ-2019-001267"/>
    <x v="1"/>
    <s v="Ondráčková"/>
    <x v="80"/>
    <n v="3"/>
    <s v="NADROPARIN"/>
    <m/>
    <s v="33141550-0"/>
    <m/>
    <n v="33304068"/>
    <x v="0"/>
    <d v="2019-12-20T00:00:00"/>
    <d v="2020-03-09T00:00:00"/>
    <d v="2020-04-20T00:00:00"/>
    <s v="PHOENIX lék.velkoobchod, s.r.o."/>
    <m/>
    <n v="33302768.399999999"/>
    <n v="36633045.240000002"/>
    <m/>
    <m/>
    <m/>
    <d v="2020-04-20T00:00:00"/>
    <s v="SMLN-2020-617-000153"/>
    <x v="48"/>
    <d v="2020-06-05T00:00:00"/>
    <d v="2022-05-30T00:00:00"/>
  </r>
  <r>
    <d v="2019-12-09T00:00:00"/>
    <s v="VZ-2019-001267"/>
    <x v="1"/>
    <s v="Ondráčková"/>
    <x v="80"/>
    <n v="4"/>
    <s v="SULODEXID "/>
    <m/>
    <s v="33141550-0"/>
    <m/>
    <n v="2244322"/>
    <x v="0"/>
    <d v="2019-12-20T00:00:00"/>
    <d v="2020-03-09T00:00:00"/>
    <d v="2020-04-20T00:00:00"/>
    <s v="Alliance Healthcare s.r.o."/>
    <m/>
    <n v="2226791.2200000002"/>
    <n v="2449470.34"/>
    <m/>
    <m/>
    <m/>
    <d v="2020-04-20T00:00:00"/>
    <s v="SMLN-2020-617-000154"/>
    <x v="48"/>
    <d v="2020-06-05T00:00:00"/>
    <d v="2022-05-30T00:00:00"/>
  </r>
  <r>
    <d v="2019-12-09T00:00:00"/>
    <s v="VZ-2019-001267"/>
    <x v="1"/>
    <s v="Ondráčková"/>
    <x v="80"/>
    <n v="5"/>
    <s v="ANTITHROMBIN III"/>
    <m/>
    <s v="33141550-0"/>
    <m/>
    <n v="5023286"/>
    <x v="0"/>
    <d v="2019-12-20T00:00:00"/>
    <d v="2020-03-09T00:00:00"/>
    <d v="2020-04-20T00:00:00"/>
    <s v="PHOENIX lék.velkoobchod, s.r.o."/>
    <m/>
    <n v="2440587.7999999998"/>
    <n v="2684646.58"/>
    <m/>
    <m/>
    <m/>
    <d v="2020-04-20T00:00:00"/>
    <s v="SMLN-2020-617-000155"/>
    <x v="48"/>
    <d v="2020-06-05T00:00:00"/>
    <d v="2022-05-30T00:00:00"/>
  </r>
  <r>
    <d v="2019-12-11T00:00:00"/>
    <s v="VZ-2019-001278"/>
    <x v="3"/>
    <s v="Rosulek"/>
    <x v="81"/>
    <n v="1"/>
    <s v="Bronchoskopy"/>
    <m/>
    <s v="33168100-6"/>
    <s v="2.2.242,2.3.404"/>
    <n v="1459000"/>
    <x v="2"/>
    <d v="2019-12-19T00:00:00"/>
    <d v="2020-01-07T00:00:00"/>
    <d v="2020-01-31T00:00:00"/>
    <s v="Medinet s.r.o."/>
    <m/>
    <n v="1459000"/>
    <n v="1765390"/>
    <m/>
    <m/>
    <m/>
    <d v="2020-01-31T00:00:00"/>
    <s v="SMLN-2020-617-000059_x000a_SMLN-2020-612-000010"/>
    <x v="36"/>
    <d v="2020-02-26T00:00:00"/>
    <d v="2020-04-17T00:00:00"/>
  </r>
  <r>
    <d v="2019-12-11T00:00:00"/>
    <s v="VZ-2019-001278"/>
    <x v="3"/>
    <s v="Rosulek"/>
    <x v="81"/>
    <n v="2"/>
    <s v="Intubační bronchoskop"/>
    <m/>
    <s v="33168100-6"/>
    <s v="2.2.435"/>
    <n v="174000"/>
    <x v="2"/>
    <d v="2019-12-19T00:00:00"/>
    <d v="2020-01-07T00:00:00"/>
    <d v="2020-01-31T00:00:00"/>
    <s v="Medinet s.r.o."/>
    <m/>
    <n v="173999"/>
    <n v="210538.79"/>
    <m/>
    <m/>
    <m/>
    <d v="2020-01-31T00:00:00"/>
    <s v="SMLN-2020-617-000060_x000a_SMLN-2020-612-000011"/>
    <x v="36"/>
    <d v="2020-02-26T00:00:00"/>
    <d v="2020-04-17T00:00:00"/>
  </r>
  <r>
    <d v="2019-12-13T00:00:00"/>
    <s v="VZ-2019-001280"/>
    <x v="14"/>
    <s v="Rosulek"/>
    <x v="82"/>
    <m/>
    <m/>
    <m/>
    <s v="33192210-7"/>
    <s v="2.2.143,2.2.229"/>
    <n v="785500"/>
    <x v="2"/>
    <d v="2020-01-07T00:00:00"/>
    <d v="2020-01-17T00:00:00"/>
    <d v="2020-02-07T00:00:00"/>
    <s v="RQL s.r.o."/>
    <m/>
    <n v="687484"/>
    <n v="831855.64"/>
    <m/>
    <m/>
    <m/>
    <d v="2020-02-07T00:00:00"/>
    <s v="SMLN-2020-617-000065_x000a_SMLN-2020-612-000013"/>
    <x v="18"/>
    <d v="2020-03-25T00:00:00"/>
    <d v="2020-05-15T00:00:00"/>
  </r>
  <r>
    <d v="2019-12-12T00:00:00"/>
    <s v="VZ-2019-001281"/>
    <x v="3"/>
    <s v="Rosulek"/>
    <x v="83"/>
    <m/>
    <m/>
    <m/>
    <s v="33168100-6"/>
    <s v="2.2.228."/>
    <n v="330000"/>
    <x v="2"/>
    <d v="2020-01-13T00:00:00"/>
    <d v="2020-01-22T00:00:00"/>
    <d v="2020-02-17T00:00:00"/>
    <s v="CHEIRON a.s."/>
    <m/>
    <n v="329240"/>
    <n v="398380.4"/>
    <m/>
    <m/>
    <m/>
    <d v="2020-02-17T00:00:00"/>
    <s v="SMLN-2020-617-000076_x000a_SMLN-2020-612-000018"/>
    <x v="19"/>
    <d v="2020-03-13T00:00:00"/>
    <d v="2020-05-07T00:00:00"/>
  </r>
  <r>
    <d v="2019-12-10T00:00:00"/>
    <s v="VZ-2019-001283"/>
    <x v="9"/>
    <s v="Jansa"/>
    <x v="84"/>
    <m/>
    <m/>
    <m/>
    <s v="45111000-8"/>
    <m/>
    <n v="4500000"/>
    <x v="2"/>
    <d v="2019-12-30T00:00:00"/>
    <d v="2020-01-22T00:00:00"/>
    <d v="2020-01-31T00:00:00"/>
    <s v="Polanský s.r.o."/>
    <m/>
    <n v="2649966.48"/>
    <n v="3206459.44"/>
    <m/>
    <m/>
    <m/>
    <d v="2020-01-31T00:00:00"/>
    <s v="SMLN-2020-618-000006"/>
    <x v="7"/>
    <d v="2020-02-25T00:00:00"/>
    <d v="2020-05-15T00:00:00"/>
  </r>
  <r>
    <d v="2019-12-17T00:00:00"/>
    <s v="VZ-2019-001287"/>
    <x v="7"/>
    <s v="Oravec"/>
    <x v="85"/>
    <m/>
    <m/>
    <m/>
    <s v="72261000-2"/>
    <m/>
    <n v="910800"/>
    <x v="2"/>
    <d v="2019-12-27T00:00:00"/>
    <d v="2020-01-10T00:00:00"/>
    <m/>
    <s v="zrušeno - uzavřen výhodnější dodatek"/>
    <m/>
    <m/>
    <m/>
    <m/>
    <m/>
    <m/>
    <m/>
    <m/>
    <x v="0"/>
    <d v="2020-01-17T00:00:00"/>
    <m/>
  </r>
  <r>
    <d v="2019-12-16T00:00:00"/>
    <s v="VZ-2019-001288"/>
    <x v="1"/>
    <s v="Ondráčková"/>
    <x v="86"/>
    <n v="1"/>
    <s v="ERLOTINIB-HYDROCHLORID"/>
    <m/>
    <s v="33652000-5"/>
    <m/>
    <n v="9044345"/>
    <x v="0"/>
    <d v="2019-12-23T00:00:00"/>
    <d v="2020-02-26T00:00:00"/>
    <m/>
    <m/>
    <s v="nová VZ-2020-000309"/>
    <m/>
    <m/>
    <m/>
    <m/>
    <m/>
    <m/>
    <m/>
    <x v="0"/>
    <d v="2020-03-17T00:00:00"/>
    <s v="17.3.2020 zrušeno"/>
  </r>
  <r>
    <d v="2019-12-16T00:00:00"/>
    <s v="VZ-2019-001288"/>
    <x v="1"/>
    <s v="Ondráčková"/>
    <x v="86"/>
    <n v="2"/>
    <s v="SUNITINIB-MALÁT"/>
    <m/>
    <s v="33652000-5"/>
    <m/>
    <n v="48895034"/>
    <x v="0"/>
    <d v="2019-12-23T00:00:00"/>
    <d v="2020-02-26T00:00:00"/>
    <d v="2020-03-31T00:00:00"/>
    <s v="PHOENIX lék.velkoobchod, s.r.o."/>
    <m/>
    <n v="48895033.399999999"/>
    <n v="53784536.740000002"/>
    <m/>
    <m/>
    <m/>
    <d v="2020-04-01T00:00:00"/>
    <s v="SMLN-2020-617-000125"/>
    <x v="32"/>
    <d v="2020-05-11T00:00:00"/>
    <d v="2022-04-26T00:00:00"/>
  </r>
  <r>
    <d v="2019-12-16T00:00:00"/>
    <s v="VZ-2019-001288"/>
    <x v="1"/>
    <s v="Ondráčková"/>
    <x v="86"/>
    <n v="3"/>
    <s v="SORAFENIB-TOSILÁT"/>
    <m/>
    <s v="33652000-5"/>
    <m/>
    <n v="15048787"/>
    <x v="0"/>
    <d v="2019-12-23T00:00:00"/>
    <d v="2020-02-26T00:00:00"/>
    <d v="2020-03-31T00:00:00"/>
    <s v="BAYER s.r.o."/>
    <m/>
    <n v="15048786.9"/>
    <n v="16553665.590000002"/>
    <m/>
    <m/>
    <m/>
    <d v="2020-04-01T00:00:00"/>
    <s v="SMLN-2020-617-000126"/>
    <x v="32"/>
    <d v="2020-05-11T00:00:00"/>
    <d v="2022-04-26T00:00:00"/>
  </r>
  <r>
    <d v="2019-12-16T00:00:00"/>
    <s v="VZ-2019-001288"/>
    <x v="1"/>
    <s v="Ondráčková"/>
    <x v="86"/>
    <n v="4"/>
    <s v="MONOHYDRÁT DASATINIBU"/>
    <m/>
    <s v="33652000-5"/>
    <m/>
    <n v="26372808"/>
    <x v="0"/>
    <d v="2019-12-23T00:00:00"/>
    <d v="2020-02-26T00:00:00"/>
    <d v="2020-03-31T00:00:00"/>
    <s v="PHOENIX lék.velkoobchod, s.r.o."/>
    <m/>
    <n v="23843105.48"/>
    <n v="26227416.028000001"/>
    <m/>
    <m/>
    <m/>
    <d v="2020-04-01T00:00:00"/>
    <s v="SMLN-2020-617-000127"/>
    <x v="32"/>
    <d v="2020-05-11T00:00:00"/>
    <d v="2022-04-26T00:00:00"/>
  </r>
  <r>
    <d v="2019-12-16T00:00:00"/>
    <s v="VZ-2019-001288"/>
    <x v="1"/>
    <s v="Ondráčková"/>
    <x v="86"/>
    <n v="5"/>
    <s v="MONOHYDRÁT LAPATINIB-DITOSILÁTU"/>
    <m/>
    <s v="33652000-5"/>
    <m/>
    <n v="2377087"/>
    <x v="0"/>
    <d v="2019-12-23T00:00:00"/>
    <d v="2020-02-26T00:00:00"/>
    <d v="2020-03-31T00:00:00"/>
    <s v="Alliance Healthcare s.r.o."/>
    <m/>
    <n v="2377086.4"/>
    <n v="2614795.04"/>
    <m/>
    <m/>
    <m/>
    <d v="2020-04-01T00:00:00"/>
    <s v="SMLN-2020-617-000128"/>
    <x v="31"/>
    <d v="2020-05-11T00:00:00"/>
    <d v="2022-05-05T00:00:00"/>
  </r>
  <r>
    <d v="2019-12-16T00:00:00"/>
    <s v="VZ-2019-001288"/>
    <x v="1"/>
    <s v="Ondráčková"/>
    <x v="86"/>
    <n v="6"/>
    <s v="TEMSIROLIMUS"/>
    <m/>
    <s v="33652000-5"/>
    <m/>
    <n v="304833"/>
    <x v="0"/>
    <d v="2019-12-23T00:00:00"/>
    <d v="2020-02-26T00:00:00"/>
    <d v="2020-03-31T00:00:00"/>
    <s v="PHOENIX lék.velkoobchod, s.r.o."/>
    <m/>
    <n v="304832.48"/>
    <n v="335315.728"/>
    <m/>
    <m/>
    <m/>
    <d v="2020-04-01T00:00:00"/>
    <s v="SMLN-2020-617-000129"/>
    <x v="32"/>
    <d v="2020-05-11T00:00:00"/>
    <d v="2022-04-26T00:00:00"/>
  </r>
  <r>
    <d v="2019-12-16T00:00:00"/>
    <s v="VZ-2019-001290"/>
    <x v="8"/>
    <s v="Smrčková"/>
    <x v="87"/>
    <m/>
    <m/>
    <m/>
    <s v="33772000-2"/>
    <m/>
    <n v="1993000"/>
    <x v="2"/>
    <d v="2019-12-30T00:00:00"/>
    <d v="2020-01-17T00:00:00"/>
    <m/>
    <s v="zrušeno - bez hodnotitelné nabídky - vzorky nespňují požadavky"/>
    <m/>
    <s v="nová VZ-2020-000146"/>
    <m/>
    <m/>
    <m/>
    <m/>
    <m/>
    <m/>
    <x v="0"/>
    <d v="2020-02-18T00:00:00"/>
    <m/>
  </r>
  <r>
    <d v="2019-12-19T00:00:00"/>
    <s v="VZ-2019-001292"/>
    <x v="8"/>
    <s v="Smrčková"/>
    <x v="88"/>
    <m/>
    <m/>
    <m/>
    <s v="30197644-2"/>
    <m/>
    <n v="900000"/>
    <x v="2"/>
    <d v="2020-01-06T00:00:00"/>
    <d v="2020-01-17T00:00:00"/>
    <m/>
    <s v="zrušeno - bez hodnotitelné nabídky"/>
    <s v="nová VZ-2020-000249"/>
    <m/>
    <m/>
    <m/>
    <m/>
    <m/>
    <m/>
    <m/>
    <x v="0"/>
    <d v="2020-03-03T00:00:00"/>
    <m/>
  </r>
  <r>
    <s v="xxx"/>
    <s v="VZ-2020-000001"/>
    <x v="15"/>
    <s v="Miklík"/>
    <x v="89"/>
    <m/>
    <m/>
    <m/>
    <s v="48810000-9"/>
    <m/>
    <n v="61617189.939999998"/>
    <x v="0"/>
    <d v="2020-03-23T00:00:00"/>
    <d v="2020-07-07T00:00:00"/>
    <d v="2020-09-10T00:00:00"/>
    <s v="OR-CZ spol. s r.o."/>
    <m/>
    <n v="57080000"/>
    <n v="69066800"/>
    <m/>
    <m/>
    <m/>
    <d v="2020-09-11T00:00:00"/>
    <s v="SMLN-2020-618-000076_x000a_SMLN-2020-612-000088"/>
    <x v="49"/>
    <d v="2020-11-27T00:00:00"/>
    <d v="2022-10-25T00:00:00"/>
  </r>
  <r>
    <s v="xxx"/>
    <s v="VZ-2020-000002"/>
    <x v="15"/>
    <s v="Miklík"/>
    <x v="90"/>
    <m/>
    <m/>
    <m/>
    <s v="48820000-2"/>
    <m/>
    <n v="22706798.350000001"/>
    <x v="0"/>
    <d v="2020-03-23T00:00:00"/>
    <d v="2020-05-11T00:00:00"/>
    <m/>
    <m/>
    <s v="nová VZ-2020-000879"/>
    <m/>
    <m/>
    <m/>
    <m/>
    <m/>
    <m/>
    <m/>
    <x v="0"/>
    <d v="2020-07-17T00:00:00"/>
    <s v="30.6.2020 zrušeno"/>
  </r>
  <r>
    <d v="2019-12-13T00:00:00"/>
    <s v="VZ-2020-000003"/>
    <x v="5"/>
    <s v="Eyer"/>
    <x v="91"/>
    <m/>
    <m/>
    <m/>
    <s v="45232221-7"/>
    <s v="4.2.121."/>
    <n v="5990000"/>
    <x v="2"/>
    <d v="2020-01-10T00:00:00"/>
    <d v="2020-01-23T00:00:00"/>
    <d v="2020-02-11T00:00:00"/>
    <s v="zrušeno - bude nová PD"/>
    <s v="nová VZ-2020-000900"/>
    <m/>
    <m/>
    <m/>
    <m/>
    <m/>
    <d v="2020-02-12T00:00:00"/>
    <s v="SMLN-2020-618-000008"/>
    <x v="0"/>
    <d v="2020-06-05T00:00:00"/>
    <m/>
  </r>
  <r>
    <d v="2019-12-13T00:00:00"/>
    <s v="VZ-2020-000004"/>
    <x v="5"/>
    <s v="Srovnal"/>
    <x v="92"/>
    <m/>
    <m/>
    <m/>
    <s v="45454100-5"/>
    <m/>
    <n v="16259000"/>
    <x v="1"/>
    <d v="2020-01-22T00:00:00"/>
    <d v="2020-02-11T00:00:00"/>
    <d v="2020-02-20T00:00:00"/>
    <s v="OHL ŽS a.s."/>
    <m/>
    <n v="17080713.219999999"/>
    <n v="20667663"/>
    <m/>
    <m/>
    <m/>
    <d v="2020-02-20T00:00:00"/>
    <s v="SMLN-2020-618-000013"/>
    <x v="50"/>
    <d v="2020-03-27T00:00:00"/>
    <d v="2020-05-31T00:00:00"/>
  </r>
  <r>
    <d v="2019-11-26T00:00:00"/>
    <s v="VZ-2020-000005"/>
    <x v="1"/>
    <s v="Ondráčková"/>
    <x v="93"/>
    <n v="1"/>
    <s v="Idelalisib"/>
    <m/>
    <s v="33652100-6"/>
    <m/>
    <n v="61538056"/>
    <x v="0"/>
    <d v="2020-01-29T00:00:00"/>
    <d v="2020-04-14T00:00:00"/>
    <m/>
    <s v="zrušeno - bez nabídky"/>
    <s v="nová VZ-2020-000476"/>
    <m/>
    <m/>
    <m/>
    <m/>
    <m/>
    <m/>
    <m/>
    <x v="0"/>
    <d v="2020-04-17T00:00:00"/>
    <s v="17.4.2020 zrušeno"/>
  </r>
  <r>
    <d v="2019-11-26T00:00:00"/>
    <s v="VZ-2020-000006"/>
    <x v="1"/>
    <s v="Ondráčková"/>
    <x v="94"/>
    <n v="1"/>
    <s v="Omalizumab"/>
    <m/>
    <s v="33673000-8"/>
    <m/>
    <n v="47341396"/>
    <x v="0"/>
    <d v="2020-01-31T00:00:00"/>
    <d v="2020-03-06T00:00:00"/>
    <d v="2020-03-31T00:00:00"/>
    <s v="Alliance Healthcare s.r.o."/>
    <m/>
    <n v="47341395.380000003"/>
    <n v="52075534.918000005"/>
    <m/>
    <m/>
    <m/>
    <d v="2020-04-01T00:00:00"/>
    <s v="SMLN-2020-617-000124"/>
    <x v="31"/>
    <d v="2020-05-25T00:00:00"/>
    <d v="2022-05-05T00:00:00"/>
  </r>
  <r>
    <d v="2019-11-26T00:00:00"/>
    <s v="VZ-2020-000007"/>
    <x v="1"/>
    <s v="Ondráčková"/>
    <x v="95"/>
    <n v="1"/>
    <s v="Thyrotropin alfa"/>
    <m/>
    <s v="33642100-3"/>
    <m/>
    <n v="1210714"/>
    <x v="2"/>
    <d v="2020-02-18T00:00:00"/>
    <d v="2020-02-28T00:00:00"/>
    <d v="2020-03-31T00:00:00"/>
    <s v="sanofi - aventis, s.r.o."/>
    <m/>
    <n v="1210712.3999999999"/>
    <n v="1331783.8"/>
    <m/>
    <m/>
    <m/>
    <d v="2020-04-02T00:00:00"/>
    <s v="SMLN-2020-617-000136"/>
    <x v="21"/>
    <d v="2020-05-18T00:00:00"/>
    <d v="2022-05-13T00:00:00"/>
  </r>
  <r>
    <d v="2019-11-26T00:00:00"/>
    <s v="VZ-2020-000007"/>
    <x v="1"/>
    <s v="Ondráčková"/>
    <x v="95"/>
    <n v="2"/>
    <s v="Pegvisomant"/>
    <m/>
    <s v="33642100-3"/>
    <m/>
    <n v="637924"/>
    <x v="2"/>
    <d v="2020-02-18T00:00:00"/>
    <d v="2020-02-28T00:00:00"/>
    <d v="2020-03-31T00:00:00"/>
    <s v="PHOENIX lék.velkoobchod, s.r.o."/>
    <m/>
    <n v="632793.19999999995"/>
    <n v="696072.52"/>
    <m/>
    <m/>
    <m/>
    <d v="2020-04-02T00:00:00"/>
    <s v="SMLN-2020-617-000137"/>
    <x v="21"/>
    <d v="2020-05-18T00:00:00"/>
    <d v="2022-05-13T00:00:00"/>
  </r>
  <r>
    <d v="2019-09-02T00:00:00"/>
    <s v="VZ-2020-000008"/>
    <x v="1"/>
    <s v="Ondráčková"/>
    <x v="96"/>
    <n v="1"/>
    <s v="Bortezomib"/>
    <m/>
    <s v="33652000-5  "/>
    <m/>
    <n v="1299600"/>
    <x v="0"/>
    <d v="2020-02-25T00:00:00"/>
    <d v="2020-04-28T00:00:00"/>
    <d v="2020-05-27T00:00:00"/>
    <s v="ViaPharma s.r.o."/>
    <m/>
    <n v="1029078"/>
    <n v="1131985.8"/>
    <m/>
    <m/>
    <m/>
    <d v="2020-05-28T00:00:00"/>
    <s v="SMLN-2020-617-000206"/>
    <x v="51"/>
    <d v="2020-07-13T00:00:00"/>
    <d v="2022-06-30T00:00:00"/>
  </r>
  <r>
    <d v="2019-09-02T00:00:00"/>
    <s v="VZ-2020-000008"/>
    <x v="1"/>
    <s v="Ondráčková"/>
    <x v="96"/>
    <n v="2"/>
    <s v="Pegaspargasa"/>
    <m/>
    <s v="33652000-5  "/>
    <m/>
    <n v="2043895"/>
    <x v="0"/>
    <d v="2020-02-25T00:00:00"/>
    <d v="2020-04-28T00:00:00"/>
    <m/>
    <m/>
    <m/>
    <m/>
    <m/>
    <m/>
    <m/>
    <m/>
    <m/>
    <m/>
    <x v="0"/>
    <d v="2020-05-18T00:00:00"/>
    <s v="6.5. 2020 zrušeno"/>
  </r>
  <r>
    <d v="2019-09-02T00:00:00"/>
    <s v="VZ-2020-000008"/>
    <x v="1"/>
    <s v="Ondráčková"/>
    <x v="96"/>
    <n v="3"/>
    <s v="Irinotekan"/>
    <m/>
    <s v="33652000-5  "/>
    <m/>
    <n v="677539"/>
    <x v="0"/>
    <d v="2020-02-25T00:00:00"/>
    <d v="2020-04-28T00:00:00"/>
    <d v="2020-05-27T00:00:00"/>
    <s v="Fresenius Kabi s.r.o."/>
    <m/>
    <n v="480627.6"/>
    <n v="528690.36"/>
    <m/>
    <m/>
    <m/>
    <d v="2020-05-28T00:00:00"/>
    <s v="SMLN-2020-617-000207"/>
    <x v="51"/>
    <d v="2020-07-13T00:00:00"/>
    <d v="2022-06-30T00:00:00"/>
  </r>
  <r>
    <d v="2019-09-02T00:00:00"/>
    <s v="VZ-2020-000008"/>
    <x v="1"/>
    <s v="Ondráčková"/>
    <x v="96"/>
    <n v="4"/>
    <s v="Eribulin-mesylát"/>
    <m/>
    <s v="33652000-5  "/>
    <m/>
    <n v="8531817"/>
    <x v="0"/>
    <d v="2020-02-25T00:00:00"/>
    <d v="2020-04-28T00:00:00"/>
    <d v="2020-05-27T00:00:00"/>
    <s v="PHOENIX lék.velkoobchod, s.r.o."/>
    <m/>
    <n v="8530960.8200000003"/>
    <n v="9384056.9000000004"/>
    <m/>
    <m/>
    <m/>
    <d v="2020-05-28T00:00:00"/>
    <s v="SMLN-2020-617-000208"/>
    <x v="52"/>
    <d v="2020-07-31T00:00:00"/>
    <d v="2022-07-20T00:00:00"/>
  </r>
  <r>
    <d v="2019-09-02T00:00:00"/>
    <s v="VZ-2020-000008"/>
    <x v="1"/>
    <s v="Ondráčková"/>
    <x v="96"/>
    <n v="5"/>
    <s v="Aflibercept"/>
    <m/>
    <s v="33652000-5  "/>
    <m/>
    <n v="3476529"/>
    <x v="0"/>
    <d v="2020-02-25T00:00:00"/>
    <d v="2020-04-28T00:00:00"/>
    <d v="2020-05-27T00:00:00"/>
    <s v="sanofi - aventis, s.r.o."/>
    <m/>
    <n v="3476527.3"/>
    <n v="3824180.03"/>
    <m/>
    <m/>
    <m/>
    <d v="2020-05-28T00:00:00"/>
    <s v="SMLN-2020-617-000209"/>
    <x v="53"/>
    <d v="2020-07-13T00:00:00"/>
    <d v="2022-07-06T00:00:00"/>
  </r>
  <r>
    <d v="2019-09-02T00:00:00"/>
    <s v="VZ-2020-000008"/>
    <x v="1"/>
    <s v="Ondráčková"/>
    <x v="96"/>
    <n v="6"/>
    <s v="Asparaginasa produkovaná Erwinia chrysanthemi"/>
    <m/>
    <s v="33652000-5  "/>
    <m/>
    <n v="910770"/>
    <x v="0"/>
    <d v="2020-02-25T00:00:00"/>
    <d v="2020-04-28T00:00:00"/>
    <m/>
    <m/>
    <m/>
    <m/>
    <m/>
    <m/>
    <m/>
    <m/>
    <m/>
    <m/>
    <x v="0"/>
    <d v="2020-05-18T00:00:00"/>
    <s v="6.5. 2020 zrušeno"/>
  </r>
  <r>
    <d v="2019-09-02T00:00:00"/>
    <s v="VZ-2020-000008"/>
    <x v="1"/>
    <s v="Ondráčková"/>
    <x v="96"/>
    <n v="7"/>
    <s v="Topotecan"/>
    <m/>
    <s v="33652000-5  "/>
    <m/>
    <n v="218849"/>
    <x v="0"/>
    <d v="2020-02-25T00:00:00"/>
    <d v="2020-04-28T00:00:00"/>
    <d v="2020-05-27T00:00:00"/>
    <s v="PHOENIX lék.velkoobchod, s.r.o."/>
    <m/>
    <n v="32477.439999999999"/>
    <n v="35725.18"/>
    <m/>
    <m/>
    <m/>
    <d v="2020-05-28T00:00:00"/>
    <s v="SMLN-2020-617-000210"/>
    <x v="51"/>
    <d v="2020-07-13T00:00:00"/>
    <d v="2022-06-30T00:00:00"/>
  </r>
  <r>
    <d v="2019-10-01T00:00:00"/>
    <s v="VZ-2020-000013"/>
    <x v="3"/>
    <s v="Rosulek"/>
    <x v="97"/>
    <m/>
    <m/>
    <m/>
    <s v="33123220-6"/>
    <s v="2.3.302."/>
    <n v="37230000"/>
    <x v="0"/>
    <d v="2020-01-09T00:00:00"/>
    <d v="2020-03-04T00:00:00"/>
    <d v="2020-03-16T00:00:00"/>
    <s v="Philips Česká republika s.r.o."/>
    <m/>
    <n v="27555000"/>
    <n v="33341550"/>
    <m/>
    <m/>
    <m/>
    <d v="2020-03-16T00:00:00"/>
    <s v="SMLN-2020-617-000100_x000a_SMLN-2020-613-000010_x000a_SMLN-2020-613-000011"/>
    <x v="54"/>
    <d v="2020-04-22T00:00:00"/>
    <d v="2020-08-24T00:00:00"/>
  </r>
  <r>
    <d v="2020-01-03T00:00:00"/>
    <s v="VZ-2020-000018"/>
    <x v="16"/>
    <s v="Jeřábková"/>
    <x v="98"/>
    <m/>
    <m/>
    <m/>
    <s v="55520000-1"/>
    <m/>
    <n v="250000"/>
    <x v="2"/>
    <d v="2020-01-14T00:00:00"/>
    <d v="2020-01-23T00:00:00"/>
    <d v="2020-01-27T00:00:00"/>
    <s v="Grand lahůdky, s.r.o."/>
    <m/>
    <n v="219132.23"/>
    <n v="265150"/>
    <m/>
    <m/>
    <m/>
    <d v="2020-01-27T00:00:00"/>
    <s v="SMLN-2020-612-000007"/>
    <x v="1"/>
    <d v="2020-02-25T00:00:00"/>
    <d v="2020-03-06T00:00:00"/>
  </r>
  <r>
    <s v="xxx"/>
    <s v="VZ-2020-000020"/>
    <x v="1"/>
    <s v="Ondráčková"/>
    <x v="99"/>
    <m/>
    <m/>
    <m/>
    <s v="33694000-1"/>
    <m/>
    <n v="150000000"/>
    <x v="0"/>
    <d v="2020-01-31T00:00:00"/>
    <d v="2020-04-22T00:00:00"/>
    <m/>
    <m/>
    <m/>
    <m/>
    <m/>
    <m/>
    <m/>
    <m/>
    <m/>
    <m/>
    <x v="0"/>
    <m/>
    <m/>
  </r>
  <r>
    <d v="2019-11-27T00:00:00"/>
    <s v="VZ-2020-000026"/>
    <x v="9"/>
    <s v="Spáčil"/>
    <x v="100"/>
    <m/>
    <m/>
    <m/>
    <s v="71200000-0"/>
    <m/>
    <n v="2500000"/>
    <x v="1"/>
    <d v="2020-01-15T00:00:00"/>
    <d v="2020-02-05T00:00:00"/>
    <d v="2020-04-07T00:00:00"/>
    <s v="LT Projekt a.s."/>
    <m/>
    <n v="1950000"/>
    <n v="2359500"/>
    <m/>
    <m/>
    <m/>
    <d v="2020-04-08T00:00:00"/>
    <s v="SMLN-2020-618-000024"/>
    <x v="55"/>
    <d v="2020-05-27T00:00:00"/>
    <d v="2020-09-19T00:00:00"/>
  </r>
  <r>
    <d v="2020-01-13T00:00:00"/>
    <s v="VZ-2020-000029"/>
    <x v="7"/>
    <s v="Oravec"/>
    <x v="101"/>
    <m/>
    <m/>
    <m/>
    <s v="72610000-9"/>
    <m/>
    <n v="900000"/>
    <x v="2"/>
    <d v="2020-01-15T00:00:00"/>
    <d v="2020-01-22T00:00:00"/>
    <m/>
    <s v="zrušeno - nesplnění podmínek, "/>
    <s v="nová VZ-2020-000078"/>
    <m/>
    <s v="zrušeno - nesplnění podmínek, nová VZ-2020-000078"/>
    <m/>
    <m/>
    <m/>
    <m/>
    <m/>
    <x v="0"/>
    <d v="2020-01-28T00:00:00"/>
    <m/>
  </r>
  <r>
    <d v="2019-10-07T00:00:00"/>
    <s v="VZ-2020-000030"/>
    <x v="0"/>
    <s v="Dočkalová"/>
    <x v="102"/>
    <m/>
    <m/>
    <s v="33162200-5"/>
    <s v="33162200-5"/>
    <m/>
    <n v="900000"/>
    <x v="2"/>
    <d v="2020-01-21T00:00:00"/>
    <d v="2020-01-31T00:00:00"/>
    <d v="2020-03-11T00:00:00"/>
    <s v="MEDILAB s.r.o."/>
    <m/>
    <n v="641717.05000000005"/>
    <n v="776477.63"/>
    <m/>
    <m/>
    <m/>
    <d v="2020-03-12T00:00:00"/>
    <s v="SMLN-2020-617-000093"/>
    <x v="56"/>
    <d v="2020-03-27T00:00:00"/>
    <d v="2020-06-18T00:00:00"/>
  </r>
  <r>
    <d v="2020-01-10T00:00:00"/>
    <s v="VZ-2020-000031"/>
    <x v="0"/>
    <s v="Dočkalová"/>
    <x v="103"/>
    <m/>
    <m/>
    <m/>
    <s v="33140000-3"/>
    <m/>
    <n v="7960000"/>
    <x v="0"/>
    <d v="2020-02-18T00:00:00"/>
    <d v="2020-03-20T00:00:00"/>
    <d v="2020-03-31T00:00:00"/>
    <s v="Terumo BCT Europe N.V."/>
    <m/>
    <n v="7941600"/>
    <n v="9609336"/>
    <m/>
    <m/>
    <m/>
    <d v="2020-04-02T00:00:00"/>
    <s v="SMLN-2020-617-000138"/>
    <x v="57"/>
    <d v="2020-06-25T00:00:00"/>
    <d v="2022-06-23T00:00:00"/>
  </r>
  <r>
    <d v="2019-10-02T00:00:00"/>
    <s v="VZ-2020-000032"/>
    <x v="0"/>
    <s v="Dočkalová"/>
    <x v="104"/>
    <m/>
    <m/>
    <m/>
    <s v="33140000-3"/>
    <m/>
    <n v="4382693"/>
    <x v="0"/>
    <d v="2020-04-20T00:00:00"/>
    <d v="2020-06-08T00:00:00"/>
    <m/>
    <m/>
    <m/>
    <m/>
    <m/>
    <m/>
    <m/>
    <m/>
    <m/>
    <m/>
    <x v="0"/>
    <m/>
    <m/>
  </r>
  <r>
    <d v="2019-12-20T00:00:00"/>
    <s v="VZ-2020-000033"/>
    <x v="14"/>
    <s v="Rosulek"/>
    <x v="105"/>
    <n v="1"/>
    <s v="Multioborové elektrochirurgické generátory se samostatnou argonovou jendotkou"/>
    <m/>
    <s v="33161000-6"/>
    <s v="2.3.377."/>
    <n v="3245000"/>
    <x v="0"/>
    <d v="2020-01-29T00:00:00"/>
    <d v="2020-03-12T00:00:00"/>
    <d v="2020-05-20T00:00:00"/>
    <s v="Stargen EU s.r.o."/>
    <m/>
    <n v="2861903"/>
    <n v="3462902.63"/>
    <m/>
    <m/>
    <m/>
    <d v="2020-05-20T00:00:00"/>
    <s v="SMLN-2020-617-000194_x000a_SMLN-2020-612-000038"/>
    <x v="51"/>
    <d v="2020-07-13T00:00:00"/>
    <d v="2020-07-29T00:00:00"/>
  </r>
  <r>
    <d v="2019-12-20T00:00:00"/>
    <s v="VZ-2020-000033"/>
    <x v="3"/>
    <s v="Rosulek"/>
    <x v="105"/>
    <n v="2"/>
    <s v="Mobilní elektrochirurgické generátory se samostatnou argon-plazmovou jendotkou"/>
    <m/>
    <s v="33161000-6"/>
    <s v="2.2.234., 2.3.370."/>
    <n v="1730000"/>
    <x v="0"/>
    <d v="2020-01-29T00:00:00"/>
    <d v="2020-03-12T00:00:00"/>
    <m/>
    <s v="zrušeno - bez nabídky"/>
    <s v="nová VZ-2020-000604"/>
    <m/>
    <m/>
    <m/>
    <m/>
    <m/>
    <m/>
    <m/>
    <x v="0"/>
    <d v="2020-03-27T00:00:00"/>
    <s v="27.3.2020 zrušeno"/>
  </r>
  <r>
    <s v="opakovaná VZ"/>
    <s v="VZ-2020-000040"/>
    <x v="3"/>
    <s v="Rosulek"/>
    <x v="106"/>
    <m/>
    <m/>
    <m/>
    <s v="33169100-3"/>
    <s v="2.3.434."/>
    <n v="1750000"/>
    <x v="2"/>
    <d v="2020-01-20T00:00:00"/>
    <d v="2020-01-28T00:00:00"/>
    <d v="2020-02-17T00:00:00"/>
    <s v="CMI s.r.o."/>
    <m/>
    <n v="1749999"/>
    <n v="2117498.79"/>
    <m/>
    <m/>
    <m/>
    <d v="2020-02-17T00:00:00"/>
    <s v="SMLN-2020-617-000073_x000a_SMLN-2020-612-000016"/>
    <x v="47"/>
    <d v="2020-03-10T00:00:00"/>
    <d v="2020-04-08T00:00:00"/>
  </r>
  <r>
    <s v="opakovaná VZ"/>
    <s v="VZ-2020-000051"/>
    <x v="3"/>
    <s v="Olejníček"/>
    <x v="107"/>
    <m/>
    <m/>
    <m/>
    <s v="31643100-6_x000a_33115100-0_x000a_50421000-2"/>
    <s v="2.3.420."/>
    <n v="431388000"/>
    <x v="0"/>
    <d v="2020-03-05T00:00:00"/>
    <d v="2020-04-09T00:00:00"/>
    <d v="2020-06-08T00:00:00"/>
    <s v="AMEDIS, spol. s r.o."/>
    <m/>
    <n v="415080820"/>
    <n v="502247792.19999999"/>
    <m/>
    <m/>
    <m/>
    <d v="2020-06-09T00:00:00"/>
    <s v="SMLN-2020-617-000230_x000a_SMLN-2020-612-000042_x000a_SMLN-2020-617-000232_x000a_SMLN-2020-612-000043"/>
    <x v="0"/>
    <m/>
    <m/>
  </r>
  <r>
    <d v="2019-09-13T00:00:00"/>
    <s v="VZ-2020-000055"/>
    <x v="1"/>
    <s v="Ondráčková"/>
    <x v="108"/>
    <m/>
    <m/>
    <m/>
    <s v="33141625-7"/>
    <m/>
    <n v="1440000"/>
    <x v="2"/>
    <d v="2020-02-19T00:00:00"/>
    <d v="2020-02-28T00:00:00"/>
    <d v="2020-03-16T00:00:00"/>
    <s v="BioVendor - Laboratorní medicína a.s."/>
    <m/>
    <n v="1440000"/>
    <n v="1742400"/>
    <m/>
    <m/>
    <m/>
    <d v="2020-03-16T00:00:00"/>
    <s v="SMLN-2020-617-000096 _x000a_SMLN-2020-616-000014"/>
    <x v="46"/>
    <d v="2020-04-24T00:00:00"/>
    <d v="2026-04-20T00:00:00"/>
  </r>
  <r>
    <d v="2019-11-28T00:00:00"/>
    <s v="VZ-2020-000057"/>
    <x v="5"/>
    <s v="Srovnal"/>
    <x v="109"/>
    <m/>
    <m/>
    <s v="50750000-7"/>
    <s v="50750000-7"/>
    <m/>
    <n v="6500000"/>
    <x v="0"/>
    <d v="2020-01-29T00:00:00"/>
    <d v="2020-03-17T00:00:00"/>
    <d v="2020-04-16T00:00:00"/>
    <s v="LIFTMONT CZ s.r.o."/>
    <m/>
    <n v="2097308"/>
    <n v="2537740"/>
    <m/>
    <m/>
    <m/>
    <d v="2020-04-16T00:00:00"/>
    <s v="SMLN-2020-612-000029"/>
    <x v="21"/>
    <d v="2020-05-18T00:00:00"/>
    <d v="2024-05-13T00:00:00"/>
  </r>
  <r>
    <d v="2020-01-10T00:00:00"/>
    <s v="VZ-2020-000061"/>
    <x v="3"/>
    <s v="Rosulek"/>
    <x v="110"/>
    <m/>
    <m/>
    <m/>
    <s v="38311000-8"/>
    <s v="2.3.432."/>
    <n v="1520000"/>
    <x v="2"/>
    <d v="2020-02-11T00:00:00"/>
    <d v="2020-02-21T00:00:00"/>
    <d v="2020-03-16T00:00:00"/>
    <s v="MEDISTA spol. s r.o."/>
    <m/>
    <n v="1469320"/>
    <n v="1777877.2"/>
    <m/>
    <m/>
    <m/>
    <d v="2020-03-16T00:00:00"/>
    <s v="SMLN-2020-617-000098 SMLN-2020-617-000099_x000a_SMLN-2020-612-000022"/>
    <x v="58"/>
    <d v="2020-04-15T00:00:00"/>
    <d v="2020-05-08T00:00:00"/>
  </r>
  <r>
    <s v="opakovaná VZ"/>
    <s v="VZ-2020-000078"/>
    <x v="7"/>
    <s v="Oravec"/>
    <x v="101"/>
    <m/>
    <m/>
    <m/>
    <s v="72610000-9"/>
    <m/>
    <n v="1230000"/>
    <x v="2"/>
    <d v="2020-01-29T00:00:00"/>
    <d v="2020-02-05T00:00:00"/>
    <d v="2020-02-05T00:00:00"/>
    <s v="MERIT Group a.s."/>
    <m/>
    <n v="1230091"/>
    <n v="1488410.1099999999"/>
    <m/>
    <m/>
    <m/>
    <d v="2020-02-05T00:00:00"/>
    <s v="SMLN-2020-612-000012"/>
    <x v="59"/>
    <d v="2020-02-14T00:00:00"/>
    <d v="2021-02-15T00:00:00"/>
  </r>
  <r>
    <d v="2020-01-27T00:00:00"/>
    <s v="VZ-2020-000081"/>
    <x v="3"/>
    <s v="Rosulek"/>
    <x v="111"/>
    <n v="1"/>
    <s v="Ultrazvukový přístrojcentrální pro RTG"/>
    <m/>
    <s v="33124120-2"/>
    <s v="2.3.407."/>
    <n v="2223853"/>
    <x v="0"/>
    <d v="2020-02-05T00:00:00"/>
    <d v="2020-03-09T00:00:00"/>
    <d v="2020-04-30T00:00:00"/>
    <s v="NIMOTECH, s.r.o."/>
    <m/>
    <n v="1999899.64"/>
    <n v="2419878.5644"/>
    <m/>
    <m/>
    <m/>
    <d v="2020-04-30T00:00:00"/>
    <s v="SMLN-2020-617-000166_x000a_SMLN-2020-612-000031"/>
    <x v="60"/>
    <d v="2020-06-01T00:00:00"/>
    <d v="2020-07-20T00:00:00"/>
  </r>
  <r>
    <d v="2020-01-27T00:00:00"/>
    <s v="VZ-2020-000081"/>
    <x v="3"/>
    <s v="Rosulek"/>
    <x v="111"/>
    <n v="2"/>
    <s v="Přenosný ultrazvukový systém por PICC team"/>
    <m/>
    <s v="33124120-2"/>
    <s v="2.2.246."/>
    <n v="441223"/>
    <x v="0"/>
    <d v="2020-02-05T00:00:00"/>
    <d v="2020-03-09T00:00:00"/>
    <d v="2020-07-16T00:00:00"/>
    <s v="Electric Medical Service, s.r.o."/>
    <m/>
    <n v="436100"/>
    <n v="527681"/>
    <m/>
    <m/>
    <m/>
    <d v="2020-07-17T00:00:00"/>
    <s v="SMLN-2020-617-000285_x000a_SMLN-2020-612-000052"/>
    <x v="61"/>
    <d v="2020-08-12T00:00:00"/>
    <d v="2020-10-02T00:00:00"/>
  </r>
  <r>
    <d v="2020-01-27T00:00:00"/>
    <s v="VZ-2020-000081"/>
    <x v="3"/>
    <s v="Rosulek"/>
    <x v="111"/>
    <n v="3"/>
    <s v="Konvexní sonda k UVZ systému pro UROL"/>
    <m/>
    <s v="33124120-2"/>
    <s v="2.2.191."/>
    <n v="168198"/>
    <x v="0"/>
    <d v="2020-02-05T00:00:00"/>
    <d v="2020-03-09T00:00:00"/>
    <d v="2020-04-30T00:00:00"/>
    <s v="MEDKONSULT, s.r.o."/>
    <m/>
    <n v="168114"/>
    <n v="203417.94"/>
    <m/>
    <m/>
    <m/>
    <d v="2020-04-30T00:00:00"/>
    <s v="SMLN-2020-617-000167_x000a_SMLN-2020-612-000032"/>
    <x v="60"/>
    <d v="2020-06-01T00:00:00"/>
    <d v="2020-05-30T00:00:00"/>
  </r>
  <r>
    <d v="2020-01-27T00:00:00"/>
    <s v="VZ-2020-000081"/>
    <x v="3"/>
    <s v="Rosulek"/>
    <x v="111"/>
    <n v="4"/>
    <s v="Konvexní sonda k UVZ systému pro NEUR"/>
    <m/>
    <s v="33124120-2"/>
    <s v="2.2.245."/>
    <n v="120100"/>
    <x v="0"/>
    <d v="2020-02-05T00:00:00"/>
    <d v="2020-03-09T00:00:00"/>
    <d v="2020-04-30T00:00:00"/>
    <s v="Electric Medical Service, s.r.o."/>
    <m/>
    <n v="120100"/>
    <n v="145321"/>
    <m/>
    <m/>
    <m/>
    <d v="2020-04-30T00:00:00"/>
    <s v="SMLN-2020-617-000168_x000a_SMLN-2020-612-000033"/>
    <x v="60"/>
    <d v="2020-06-01T00:00:00"/>
    <d v="2020-07-20T00:00:00"/>
  </r>
  <r>
    <d v="2020-01-27T00:00:00"/>
    <s v="VZ-2020-000088"/>
    <x v="9"/>
    <s v="Langer"/>
    <x v="112"/>
    <m/>
    <m/>
    <m/>
    <s v="45233160-8"/>
    <s v="4.2.136.,4.3.10"/>
    <n v="4150000"/>
    <x v="2"/>
    <d v="2020-02-05T00:00:00"/>
    <d v="2020-02-18T00:00:00"/>
    <d v="2020-02-20T00:00:00"/>
    <s v="INSTA CZ s.r.o."/>
    <m/>
    <n v="4191066.48"/>
    <n v="5071190.4400000004"/>
    <m/>
    <m/>
    <m/>
    <d v="2020-02-20T00:00:00"/>
    <s v="SMLN-2020-618-000014"/>
    <x v="62"/>
    <d v="2020-03-19T00:00:00"/>
    <d v="2020-05-21T00:00:00"/>
  </r>
  <r>
    <d v="2020-01-28T00:00:00"/>
    <s v="VZ-2020-000091"/>
    <x v="1"/>
    <s v="Ondráčková"/>
    <x v="113"/>
    <m/>
    <m/>
    <m/>
    <s v="33694000-1"/>
    <m/>
    <n v="2264700"/>
    <x v="1"/>
    <d v="2020-02-12T00:00:00"/>
    <d v="2020-03-09T00:00:00"/>
    <d v="2020-03-31T00:00:00"/>
    <s v="Biomedica ČS, s.r.o."/>
    <m/>
    <n v="2264700"/>
    <n v="2740287"/>
    <m/>
    <m/>
    <m/>
    <d v="2020-04-01T00:00:00"/>
    <s v="SMLN-2020-617-000122"/>
    <x v="32"/>
    <d v="2020-05-07T00:00:00"/>
    <d v="2023-04-26T00:00:00"/>
  </r>
  <r>
    <d v="2020-01-30T00:00:00"/>
    <s v="VZ-2020-000093"/>
    <x v="0"/>
    <s v="Merta"/>
    <x v="114"/>
    <n v="1"/>
    <s v="Systém pro katetrovou implantaci aortální chlopně (TAVI) - samoexpandibilní I."/>
    <m/>
    <s v="33182220-7"/>
    <m/>
    <n v="64526050"/>
    <x v="0"/>
    <d v="2020-02-18T00:00:00"/>
    <d v="2020-04-27T00:00:00"/>
    <d v="2020-05-11T00:00:00"/>
    <s v="Cardion s.r.o."/>
    <m/>
    <n v="64515000"/>
    <n v="74192250"/>
    <m/>
    <m/>
    <m/>
    <d v="2020-05-11T00:00:00"/>
    <s v="SMLN-2020-617-000176_x000a_SMLN-2020-612-000036"/>
    <x v="52"/>
    <d v="2020-07-28T00:00:00"/>
    <d v="2022-07-20T00:00:00"/>
  </r>
  <r>
    <d v="2020-01-30T00:00:00"/>
    <s v="VZ-2020-000093"/>
    <x v="0"/>
    <s v="Merta"/>
    <x v="114"/>
    <n v="2"/>
    <s v="Systém pro katetrovou implantaci aortální chlopně (TAVI) - samoexpandibilní II."/>
    <m/>
    <s v="33182220-7"/>
    <m/>
    <n v="88400000"/>
    <x v="0"/>
    <d v="2020-02-18T00:00:00"/>
    <d v="2020-04-27T00:00:00"/>
    <m/>
    <s v="zrušeno - překročení ceny"/>
    <m/>
    <m/>
    <m/>
    <m/>
    <m/>
    <m/>
    <m/>
    <m/>
    <x v="0"/>
    <d v="2020-06-17T00:00:00"/>
    <s v="22.5.2020 zrušeno"/>
  </r>
  <r>
    <d v="2020-01-30T00:00:00"/>
    <s v="VZ-2020-000093"/>
    <x v="0"/>
    <s v="Merta"/>
    <x v="114"/>
    <n v="3"/>
    <s v="Systém pro katetrovou implantaci aortální chlopně (TAVI) - balónexpandibilní"/>
    <m/>
    <s v="33182220-7"/>
    <m/>
    <n v="90146710"/>
    <x v="0"/>
    <d v="2020-02-18T00:00:00"/>
    <d v="2020-04-27T00:00:00"/>
    <d v="2020-05-11T00:00:00"/>
    <s v="Edwards Lifesciences Czech Republic s.r.o."/>
    <m/>
    <n v="89167500"/>
    <n v="102542625"/>
    <m/>
    <m/>
    <m/>
    <d v="2020-05-11T00:00:00"/>
    <s v="SMLN-2020-617-000177_x000a_SMLN-2020-612-000037"/>
    <x v="63"/>
    <d v="2020-07-28T00:00:00"/>
    <d v="2022-07-23T00:00:00"/>
  </r>
  <r>
    <s v="opakovaná VZ"/>
    <s v="VZ-2020-000098"/>
    <x v="11"/>
    <s v="Procházková"/>
    <x v="63"/>
    <m/>
    <m/>
    <m/>
    <s v="66510000-8"/>
    <m/>
    <n v="49777600"/>
    <x v="0"/>
    <d v="2020-02-14T00:00:00"/>
    <d v="2020-03-16T00:00:00"/>
    <d v="2020-03-20T00:00:00"/>
    <s v="Kooperativa pojišťovna a.s."/>
    <m/>
    <n v="48468720"/>
    <n v="48468720"/>
    <m/>
    <m/>
    <m/>
    <d v="2020-03-24T00:00:00"/>
    <s v="SMLN-2020-612-000024_x000a_SMLN-2020-612-000025"/>
    <x v="64"/>
    <d v="2020-04-30T00:00:00"/>
    <s v="doba neurčitá"/>
  </r>
  <r>
    <d v="2020-01-29T00:00:00"/>
    <s v="VZ-2020-000099"/>
    <x v="9"/>
    <s v="Říha"/>
    <x v="115"/>
    <m/>
    <m/>
    <m/>
    <s v="45233100-0"/>
    <m/>
    <n v="17015000"/>
    <x v="1"/>
    <d v="2020-02-10T00:00:00"/>
    <d v="2020-03-03T00:00:00"/>
    <d v="2020-04-16T00:00:00"/>
    <s v="KARETA  spol. s r.o."/>
    <m/>
    <n v="14399897.57"/>
    <n v="17423876.059999999"/>
    <m/>
    <m/>
    <m/>
    <d v="2020-04-16T00:00:00"/>
    <s v="SMLN-2020-618-000030"/>
    <x v="65"/>
    <d v="2020-05-22T00:00:00"/>
    <d v="2020-10-19T00:00:00"/>
  </r>
  <r>
    <d v="2020-01-24T00:00:00"/>
    <s v="VZ-2020-000109"/>
    <x v="8"/>
    <s v="Smrčková"/>
    <x v="116"/>
    <m/>
    <m/>
    <m/>
    <s v="30192000-1"/>
    <m/>
    <n v="1240000"/>
    <x v="2"/>
    <d v="2020-02-12T00:00:00"/>
    <d v="2020-02-21T00:00:00"/>
    <m/>
    <m/>
    <m/>
    <m/>
    <m/>
    <m/>
    <m/>
    <m/>
    <m/>
    <m/>
    <x v="0"/>
    <d v="2020-03-20T00:00:00"/>
    <m/>
  </r>
  <r>
    <d v="2020-01-27T00:00:00"/>
    <s v="VZ-2020-000112"/>
    <x v="3"/>
    <s v="Rosulek"/>
    <x v="117"/>
    <m/>
    <m/>
    <m/>
    <s v="33111400-5"/>
    <s v="2.3.307."/>
    <n v="6230000"/>
    <x v="0"/>
    <d v="2020-02-27T00:00:00"/>
    <d v="2020-04-15T00:00:00"/>
    <d v="2020-06-04T00:00:00"/>
    <s v="FOMA Medical, spol.s r.o."/>
    <m/>
    <n v="4916530"/>
    <n v="5949001.2999999998"/>
    <m/>
    <m/>
    <m/>
    <d v="2020-06-04T00:00:00"/>
    <s v="SMLN-2020-617-000224_x000a_SMLN-2020-612-000041"/>
    <x v="53"/>
    <d v="2020-07-14T00:00:00"/>
    <d v="2020-09-01T00:00:00"/>
  </r>
  <r>
    <d v="2020-01-28T00:00:00"/>
    <s v="VZ-2020-000115"/>
    <x v="8"/>
    <s v="Smrčková"/>
    <x v="118"/>
    <m/>
    <m/>
    <m/>
    <s v="39120000-9"/>
    <m/>
    <n v="1895000"/>
    <x v="0"/>
    <d v="2020-02-10T00:00:00"/>
    <d v="2020-03-12T00:00:00"/>
    <d v="2020-03-31T00:00:00"/>
    <s v="Potrusil s.r.o."/>
    <m/>
    <n v="1424910.2"/>
    <n v="1724141.34"/>
    <m/>
    <m/>
    <m/>
    <d v="2020-04-01T00:00:00"/>
    <s v="SMLN-2020-618-000023"/>
    <x v="66"/>
    <d v="2020-05-12T00:00:00"/>
    <d v="2020-06-20T00:00:00"/>
  </r>
  <r>
    <d v="2020-02-04T00:00:00"/>
    <s v="VZ-2020-000116"/>
    <x v="1"/>
    <s v="Ondráčková"/>
    <x v="119"/>
    <n v="1"/>
    <s v="IPILIMUMAB "/>
    <m/>
    <s v="33652100-6"/>
    <m/>
    <n v="22860645"/>
    <x v="0"/>
    <d v="2020-02-20T00:00:00"/>
    <d v="2020-03-24T00:00:00"/>
    <d v="2020-05-14T00:00:00"/>
    <s v="Bristol-Myers Squibb spol. s r.o."/>
    <m/>
    <n v="22860644.629999999"/>
    <n v="25146709.09"/>
    <m/>
    <m/>
    <m/>
    <d v="2020-05-15T00:00:00"/>
    <s v="SMLN-2020-617-000181"/>
    <x v="48"/>
    <d v="2020-06-05T00:00:00"/>
    <d v="2022-05-30T00:00:00"/>
  </r>
  <r>
    <d v="2020-02-04T00:00:00"/>
    <s v="VZ-2020-000116"/>
    <x v="1"/>
    <s v="Ondráčková"/>
    <x v="119"/>
    <n v="2"/>
    <s v="BRENTUXIMAB VEDOTIN"/>
    <m/>
    <s v="33652100-6"/>
    <m/>
    <n v="3355445"/>
    <x v="0"/>
    <d v="2020-02-20T00:00:00"/>
    <d v="2020-03-24T00:00:00"/>
    <d v="2020-05-14T00:00:00"/>
    <s v="Avenier a.s."/>
    <m/>
    <n v="3355444.7"/>
    <n v="3690989.17"/>
    <m/>
    <m/>
    <m/>
    <d v="2020-05-15T00:00:00"/>
    <s v="SMLN-2020-617-000182"/>
    <x v="48"/>
    <d v="2020-06-05T00:00:00"/>
    <d v="2022-05-30T00:00:00"/>
  </r>
  <r>
    <d v="2020-02-04T00:00:00"/>
    <s v="VZ-2020-000116"/>
    <x v="1"/>
    <s v="Ondráčková"/>
    <x v="119"/>
    <n v="3"/>
    <s v="PERTUZUMAB "/>
    <m/>
    <s v="33652100-6"/>
    <m/>
    <n v="9600000"/>
    <x v="0"/>
    <d v="2020-02-20T00:00:00"/>
    <d v="2020-03-24T00:00:00"/>
    <d v="2020-05-14T00:00:00"/>
    <s v="ROCHE s.r.o."/>
    <m/>
    <n v="9600000"/>
    <n v="10560000"/>
    <m/>
    <m/>
    <m/>
    <d v="2020-05-15T00:00:00"/>
    <s v="SMLN-2020-617-000183"/>
    <x v="48"/>
    <d v="2020-06-05T00:00:00"/>
    <d v="2022-05-30T00:00:00"/>
  </r>
  <r>
    <d v="2020-02-04T00:00:00"/>
    <s v="VZ-2020-000116"/>
    <x v="1"/>
    <s v="Ondráčková"/>
    <x v="119"/>
    <n v="4"/>
    <s v="OBINUTUZUMAB "/>
    <m/>
    <s v="33652100-6"/>
    <m/>
    <n v="2263277"/>
    <x v="0"/>
    <d v="2020-02-20T00:00:00"/>
    <d v="2020-03-24T00:00:00"/>
    <d v="2020-05-14T00:00:00"/>
    <s v="ROCHE s.r.o."/>
    <m/>
    <n v="2263276.7999999998"/>
    <n v="2489604.48"/>
    <m/>
    <m/>
    <m/>
    <d v="2020-05-15T00:00:00"/>
    <s v="SMLN-2020-617-000184"/>
    <x v="48"/>
    <d v="2020-06-05T00:00:00"/>
    <d v="2022-05-30T00:00:00"/>
  </r>
  <r>
    <d v="2020-02-04T00:00:00"/>
    <s v="VZ-2020-000117"/>
    <x v="1"/>
    <s v="Ondráčková"/>
    <x v="120"/>
    <n v="1"/>
    <s v="PEMBROLIZUMAB "/>
    <m/>
    <s v="33652100-6"/>
    <m/>
    <n v="25172233"/>
    <x v="0"/>
    <d v="2020-02-25T00:00:00"/>
    <d v="2020-03-30T00:00:00"/>
    <m/>
    <m/>
    <s v="nová VZ-2020-000309"/>
    <m/>
    <m/>
    <m/>
    <m/>
    <m/>
    <m/>
    <m/>
    <x v="0"/>
    <d v="2020-04-20T00:00:00"/>
    <s v="17.4.2020 zrušeno"/>
  </r>
  <r>
    <d v="2020-02-04T00:00:00"/>
    <s v="VZ-2020-000117"/>
    <x v="1"/>
    <s v="Ondráčková"/>
    <x v="120"/>
    <n v="2"/>
    <s v="ELOTUZUMAB "/>
    <m/>
    <s v="33652100-6"/>
    <m/>
    <n v="3576096"/>
    <x v="0"/>
    <d v="2020-02-25T00:00:00"/>
    <d v="2020-03-30T00:00:00"/>
    <m/>
    <m/>
    <s v="nová VZ-2020-000569"/>
    <m/>
    <m/>
    <m/>
    <m/>
    <m/>
    <m/>
    <m/>
    <x v="0"/>
    <d v="2020-04-20T00:00:00"/>
    <s v="17.4.2020 zrušeno"/>
  </r>
  <r>
    <d v="2020-02-04T00:00:00"/>
    <s v="VZ-2020-000117"/>
    <x v="1"/>
    <s v="Ondráčková"/>
    <x v="120"/>
    <n v="3"/>
    <s v="DARATUMUMAB "/>
    <m/>
    <s v="33652100-6"/>
    <m/>
    <n v="11846739"/>
    <x v="0"/>
    <d v="2020-02-25T00:00:00"/>
    <d v="2020-03-30T00:00:00"/>
    <d v="2020-04-29T00:00:00"/>
    <s v="Janssen - Cilag s.r.o."/>
    <m/>
    <n v="11846737.880000001"/>
    <n v="13031411.67"/>
    <m/>
    <m/>
    <m/>
    <d v="2020-04-29T00:00:00"/>
    <s v="SMLN-2020-617-000164"/>
    <x v="60"/>
    <d v="2020-06-02T00:00:00"/>
    <d v="2022-05-24T00:00:00"/>
  </r>
  <r>
    <d v="2020-02-04T00:00:00"/>
    <s v="VZ-2020-000117"/>
    <x v="1"/>
    <s v="Ondráčková"/>
    <x v="120"/>
    <n v="4"/>
    <s v="ATEZOLIZUMAB "/>
    <m/>
    <s v="33652100-6"/>
    <m/>
    <n v="2531559"/>
    <x v="0"/>
    <d v="2020-02-25T00:00:00"/>
    <d v="2020-03-30T00:00:00"/>
    <d v="2020-04-29T00:00:00"/>
    <s v="ROCHE s.r.o."/>
    <m/>
    <n v="1516195.3"/>
    <n v="1667814.83"/>
    <m/>
    <m/>
    <m/>
    <d v="2020-04-29T00:00:00"/>
    <s v="SMLN-2020-617-000165"/>
    <x v="60"/>
    <d v="2020-06-02T00:00:00"/>
    <d v="2022-05-24T00:00:00"/>
  </r>
  <r>
    <d v="2020-02-05T00:00:00"/>
    <s v="VZ-2020-000119"/>
    <x v="10"/>
    <s v="Vaida"/>
    <x v="121"/>
    <m/>
    <m/>
    <m/>
    <s v="45262000-1"/>
    <m/>
    <n v="1200000"/>
    <x v="2"/>
    <d v="2020-02-10T00:00:00"/>
    <d v="2020-02-20T00:00:00"/>
    <d v="2020-03-03T00:00:00"/>
    <s v="Elektropráce Spáčil s.r.o."/>
    <m/>
    <n v="1094345"/>
    <n v="1324157.45"/>
    <m/>
    <m/>
    <m/>
    <d v="2020-03-03T00:00:00"/>
    <s v="SMLN-2020-618-000015"/>
    <x v="42"/>
    <d v="2020-03-31T00:00:00"/>
    <d v="2020-07-29T00:00:00"/>
  </r>
  <r>
    <d v="2020-02-05T00:00:00"/>
    <s v="VZ-2020-000120"/>
    <x v="10"/>
    <s v="Vaida"/>
    <x v="122"/>
    <m/>
    <m/>
    <m/>
    <s v="45453000-7"/>
    <m/>
    <n v="400000"/>
    <x v="2"/>
    <d v="2020-03-06T00:00:00"/>
    <d v="2020-03-18T00:00:00"/>
    <m/>
    <s v="zrušeno COVID-19"/>
    <m/>
    <m/>
    <m/>
    <m/>
    <m/>
    <m/>
    <m/>
    <m/>
    <x v="0"/>
    <d v="2020-03-24T00:00:00"/>
    <m/>
  </r>
  <r>
    <d v="2020-02-05T00:00:00"/>
    <s v="VZ-2020-000121"/>
    <x v="10"/>
    <s v="Vaida"/>
    <x v="123"/>
    <m/>
    <m/>
    <m/>
    <s v="45453000-7"/>
    <m/>
    <n v="990000"/>
    <x v="2"/>
    <d v="2020-02-18T00:00:00"/>
    <d v="2020-02-27T00:00:00"/>
    <d v="2020-03-05T00:00:00"/>
    <s v="Elektropráce Spáčil s.r.o."/>
    <m/>
    <n v="877411.85"/>
    <n v="1061668.3400000001"/>
    <m/>
    <m/>
    <m/>
    <d v="2020-03-06T00:00:00"/>
    <s v="SMLN-2020-618-000019"/>
    <x v="67"/>
    <d v="2020-04-06T00:00:00"/>
    <d v="2020-09-02T00:00:00"/>
  </r>
  <r>
    <d v="2020-01-27T00:00:00"/>
    <s v="VZ-2020-000122"/>
    <x v="8"/>
    <s v="Smrčková"/>
    <x v="124"/>
    <m/>
    <m/>
    <m/>
    <s v="39830000-9, 33700000-7"/>
    <m/>
    <n v="674000"/>
    <x v="2"/>
    <d v="2020-02-20T00:00:00"/>
    <d v="2020-02-28T00:00:00"/>
    <m/>
    <s v="zrušeno"/>
    <s v="nová VZ-2020-000259"/>
    <m/>
    <m/>
    <m/>
    <m/>
    <m/>
    <m/>
    <m/>
    <x v="0"/>
    <d v="2020-03-13T00:00:00"/>
    <m/>
  </r>
  <r>
    <d v="2020-01-27T00:00:00"/>
    <s v="VZ-2020-000125"/>
    <x v="17"/>
    <s v="Filip"/>
    <x v="125"/>
    <n v="1"/>
    <s v="Kalibrace a validace měřidel a zařízení FNOL "/>
    <m/>
    <s v="50410000-2"/>
    <m/>
    <n v="7000000"/>
    <x v="0"/>
    <d v="2020-02-11T00:00:00"/>
    <d v="2020-03-16T00:00:00"/>
    <d v="2020-03-26T00:00:00"/>
    <s v="KALIST AKL s.r.o."/>
    <m/>
    <n v="6895095"/>
    <n v="8343064.9500000002"/>
    <m/>
    <m/>
    <m/>
    <d v="2020-03-26T00:00:00"/>
    <s v="SMLN-2020-612-000026"/>
    <x v="66"/>
    <d v="2020-05-12T00:00:00"/>
    <d v="2023-12-31T00:00:00"/>
  </r>
  <r>
    <d v="2020-01-27T00:00:00"/>
    <s v="VZ-2020-000125"/>
    <x v="17"/>
    <s v="Filip"/>
    <x v="125"/>
    <n v="2"/>
    <s v="Kalibrace a validace monitorovacího systému ConWin"/>
    <m/>
    <s v="50410000-2"/>
    <m/>
    <n v="3500000"/>
    <x v="0"/>
    <d v="2020-02-11T00:00:00"/>
    <d v="2020-03-16T00:00:00"/>
    <d v="2020-03-26T00:00:00"/>
    <s v="KALIST AKL s.r.o."/>
    <m/>
    <n v="3367420"/>
    <n v="4074578.2"/>
    <m/>
    <m/>
    <m/>
    <d v="2020-03-26T00:00:00"/>
    <s v="SMLN-2020-612-000027"/>
    <x v="66"/>
    <d v="2020-05-12T00:00:00"/>
    <d v="2023-12-31T00:00:00"/>
  </r>
  <r>
    <d v="2020-02-11T00:00:00"/>
    <s v="VZ-2020-000139"/>
    <x v="9"/>
    <s v="Spáčil"/>
    <x v="126"/>
    <m/>
    <m/>
    <m/>
    <s v="45453000-7"/>
    <s v="4.2.137."/>
    <n v="5000000"/>
    <x v="2"/>
    <d v="2020-02-18T00:00:00"/>
    <d v="2020-02-28T00:00:00"/>
    <d v="2020-03-05T00:00:00"/>
    <s v="OHL ŽS a.s."/>
    <m/>
    <n v="5850027.46"/>
    <n v="7078533.2300000004"/>
    <m/>
    <m/>
    <m/>
    <d v="2020-03-06T00:00:00"/>
    <s v="SMLN-2020-618-000018"/>
    <x v="21"/>
    <d v="2020-05-15T00:00:00"/>
    <d v="2020-09-11T00:00:00"/>
  </r>
  <r>
    <s v="opakovaná VZ"/>
    <s v="VZ-2020-000144"/>
    <x v="3"/>
    <s v="Rosulek"/>
    <x v="127"/>
    <m/>
    <m/>
    <m/>
    <s v="33162100-4"/>
    <s v="2.3.308."/>
    <n v="5000000"/>
    <x v="0"/>
    <d v="2020-05-27T00:00:00"/>
    <d v="2020-06-30T00:00:00"/>
    <d v="2020-07-09T00:00:00"/>
    <s v="Ing. Aleš Závorka"/>
    <m/>
    <n v="5751218"/>
    <n v="6958973.7800000003"/>
    <m/>
    <m/>
    <m/>
    <d v="2020-07-10T00:00:00"/>
    <s v="SMLN-2020-617-000274_x000a_SMLN-2020-612-000049_x000a_SMLN-2020-617-000275"/>
    <x v="0"/>
    <d v="2020-08-17T00:00:00"/>
    <s v="30.7.2020 zrušeno"/>
  </r>
  <r>
    <s v="opakovaná VZ"/>
    <s v="VZ-2020-000146"/>
    <x v="8"/>
    <s v="Smrčková"/>
    <x v="87"/>
    <m/>
    <m/>
    <m/>
    <s v="33772000-2"/>
    <m/>
    <n v="1500000"/>
    <x v="2"/>
    <d v="2020-02-26T00:00:00"/>
    <d v="2020-03-10T00:00:00"/>
    <m/>
    <m/>
    <m/>
    <m/>
    <m/>
    <m/>
    <m/>
    <m/>
    <m/>
    <m/>
    <x v="0"/>
    <d v="2020-04-06T00:00:00"/>
    <m/>
  </r>
  <r>
    <d v="2020-02-17T00:00:00"/>
    <s v="VZ-2020-000149"/>
    <x v="5"/>
    <s v="Srovnal"/>
    <x v="128"/>
    <m/>
    <m/>
    <m/>
    <s v="42513290-4"/>
    <m/>
    <n v="14600000"/>
    <x v="0"/>
    <d v="2020-02-26T00:00:00"/>
    <d v="2020-04-07T00:00:00"/>
    <d v="2020-04-23T00:00:00"/>
    <s v="CLIMART s.r.o."/>
    <m/>
    <n v="10445328.949999999"/>
    <n v="12638848.029499998"/>
    <m/>
    <m/>
    <m/>
    <d v="2020-04-23T00:00:00"/>
    <s v="SMLN-2020-618-000034"/>
    <x v="21"/>
    <d v="2020-05-15T00:00:00"/>
    <s v="dle výzvy zadavatele"/>
  </r>
  <r>
    <d v="2020-02-17T00:00:00"/>
    <s v="VZ-2020-000153"/>
    <x v="10"/>
    <s v="Vaida"/>
    <x v="129"/>
    <m/>
    <m/>
    <m/>
    <s v="45453000-7"/>
    <m/>
    <n v="400000"/>
    <x v="2"/>
    <d v="2020-02-24T00:00:00"/>
    <d v="2020-03-03T00:00:00"/>
    <d v="2020-03-05T00:00:00"/>
    <s v="Elektropráce Spáčil s.r.o."/>
    <m/>
    <n v="439971.61"/>
    <n v="532365.65"/>
    <m/>
    <m/>
    <m/>
    <d v="2020-03-06T00:00:00"/>
    <s v="SMLN-2020-618-000017"/>
    <x v="42"/>
    <d v="2020-03-31T00:00:00"/>
    <d v="2020-05-14T00:00:00"/>
  </r>
  <r>
    <d v="2020-02-19T00:00:00"/>
    <s v="VZ-2020-000158"/>
    <x v="9"/>
    <s v="Říha"/>
    <x v="130"/>
    <m/>
    <m/>
    <m/>
    <s v="45216200-6"/>
    <s v="4.2.114."/>
    <n v="17213115"/>
    <x v="1"/>
    <d v="2020-02-25T00:00:00"/>
    <d v="2020-03-16T00:00:00"/>
    <d v="2020-04-15T00:00:00"/>
    <s v="DEV Company, spol. s .r.o."/>
    <m/>
    <n v="15958865.68"/>
    <n v="19310227.469999999"/>
    <m/>
    <m/>
    <m/>
    <d v="2020-04-15T00:00:00"/>
    <s v="SMLN-2020-618-000028"/>
    <x v="21"/>
    <d v="2020-05-18T00:00:00"/>
    <d v="2020-11-13T00:00:00"/>
  </r>
  <r>
    <d v="2019-09-23T00:00:00"/>
    <s v="VZ-2020-000160"/>
    <x v="0"/>
    <s v="Dočkalová"/>
    <x v="131"/>
    <m/>
    <m/>
    <m/>
    <s v="33141310-6"/>
    <m/>
    <n v="11160000"/>
    <x v="0"/>
    <d v="2020-07-21T00:00:00"/>
    <d v="2020-08-21T00:00:00"/>
    <d v="2020-10-05T00:00:00"/>
    <s v="Becton Dickinson  Czechia, s.r.o."/>
    <m/>
    <n v="10626240"/>
    <n v="12865440"/>
    <m/>
    <m/>
    <m/>
    <d v="2020-10-05T00:00:00"/>
    <s v="SMLN-2020-617-000453"/>
    <x v="68"/>
    <d v="2020-11-16T00:00:00"/>
    <d v="2023-10-26T00:00:00"/>
  </r>
  <r>
    <d v="2020-05-05T00:00:00"/>
    <s v="VZ-2020-000164"/>
    <x v="14"/>
    <s v="Rosulek"/>
    <x v="132"/>
    <m/>
    <m/>
    <m/>
    <s v="33162100-4"/>
    <s v="2.3.395."/>
    <n v="8514000"/>
    <x v="0"/>
    <d v="2020-05-07T00:00:00"/>
    <d v="2020-07-08T00:00:00"/>
    <d v="2020-07-20T00:00:00"/>
    <s v="Carl Zeiss, spol. s r.o."/>
    <m/>
    <n v="11496500"/>
    <n v="13910765"/>
    <m/>
    <m/>
    <m/>
    <d v="2020-07-20T00:00:00"/>
    <s v="SMLN-2020-617-000287_x000a_SMLN-2020-612-000056"/>
    <x v="69"/>
    <d v="2020-08-12T00:00:00"/>
    <d v="2020-10-06T00:00:00"/>
  </r>
  <r>
    <d v="2020-02-20T00:00:00"/>
    <s v="VZ-2020-000165"/>
    <x v="1"/>
    <s v="Ondráčková"/>
    <x v="133"/>
    <n v="1"/>
    <s v="IMURAN"/>
    <s v="L04AX01"/>
    <s v="33652300-8"/>
    <m/>
    <n v="912366"/>
    <x v="0"/>
    <d v="2020-02-26T00:00:00"/>
    <d v="2020-05-12T00:00:00"/>
    <d v="2020-06-17T00:00:00"/>
    <s v="PHOENIX lék.velkoobchod, s.r.o."/>
    <m/>
    <n v="912366"/>
    <n v="1003602.6"/>
    <m/>
    <m/>
    <m/>
    <d v="2020-06-17T00:00:00"/>
    <s v="SMLN-2020-617-000242"/>
    <x v="70"/>
    <d v="2020-07-31T00:00:00"/>
    <d v="2023-08-05T00:00:00"/>
  </r>
  <r>
    <d v="2020-02-20T00:00:00"/>
    <s v="VZ-2020-000165"/>
    <x v="1"/>
    <s v="Ondráčková"/>
    <x v="133"/>
    <n v="2"/>
    <s v="THALIDOMID "/>
    <s v="L04AX02"/>
    <s v="33652300-8"/>
    <m/>
    <n v="1155943"/>
    <x v="0"/>
    <d v="2020-02-26T00:00:00"/>
    <d v="2020-05-12T00:00:00"/>
    <m/>
    <s v="zrušeno - bez nabídky"/>
    <m/>
    <m/>
    <m/>
    <m/>
    <m/>
    <m/>
    <m/>
    <m/>
    <x v="0"/>
    <d v="2020-06-03T00:00:00"/>
    <s v="21.5. zrušeno"/>
  </r>
  <r>
    <d v="2020-02-20T00:00:00"/>
    <s v="VZ-2020-000165"/>
    <x v="1"/>
    <s v="Ondráčková"/>
    <x v="133"/>
    <n v="3"/>
    <s v="METOJECT PEN"/>
    <s v="L04AX03"/>
    <s v="33652300-8"/>
    <m/>
    <n v="2890296"/>
    <x v="0"/>
    <d v="2020-02-26T00:00:00"/>
    <d v="2020-05-12T00:00:00"/>
    <d v="2020-06-17T00:00:00"/>
    <s v="PHARMOS, a.s."/>
    <m/>
    <n v="2764543.92"/>
    <n v="3040998.31"/>
    <m/>
    <m/>
    <m/>
    <d v="2020-06-17T00:00:00"/>
    <s v="SMLN-2020-617-000243"/>
    <x v="70"/>
    <d v="2020-07-31T00:00:00"/>
    <d v="2023-07-19T00:00:00"/>
  </r>
  <r>
    <d v="2020-02-20T00:00:00"/>
    <s v="VZ-2020-000166"/>
    <x v="1"/>
    <s v="Ondráčková"/>
    <x v="134"/>
    <n v="1"/>
    <s v="MYCOPHENOLAT MOFETIL SANDOZ"/>
    <s v="L04AA06"/>
    <s v="33652300-8"/>
    <m/>
    <n v="8575115"/>
    <x v="0"/>
    <d v="2020-02-25T00:00:00"/>
    <d v="2020-05-11T00:00:00"/>
    <d v="2020-06-17T00:00:00"/>
    <s v="PHOENIX lék.velkoobchod, s.r.o."/>
    <m/>
    <n v="8519745.7200000007"/>
    <n v="9371720.2899999991"/>
    <m/>
    <m/>
    <m/>
    <d v="2020-06-17T00:00:00"/>
    <s v="SMLN-2020-617-000244"/>
    <x v="63"/>
    <d v="2020-08-04T00:00:00"/>
    <d v="2023-07-23T00:00:00"/>
  </r>
  <r>
    <d v="2020-02-20T00:00:00"/>
    <s v="VZ-2020-000166"/>
    <x v="1"/>
    <s v="Ondráčková"/>
    <x v="134"/>
    <n v="2"/>
    <s v="SIROLIMUS "/>
    <s v="L04AA10"/>
    <s v="33652300-8"/>
    <m/>
    <n v="3587029"/>
    <x v="0"/>
    <d v="2020-02-25T00:00:00"/>
    <d v="2020-05-11T00:00:00"/>
    <d v="2020-06-17T00:00:00"/>
    <s v="PHOENIX lék.velkoobchod, s.r.o."/>
    <m/>
    <n v="3538087.5"/>
    <n v="3891896.25"/>
    <m/>
    <m/>
    <m/>
    <d v="2020-06-17T00:00:00"/>
    <s v="SMLN-2020-617-000245"/>
    <x v="63"/>
    <d v="2020-08-04T00:00:00"/>
    <d v="2023-07-23T00:00:00"/>
  </r>
  <r>
    <d v="2020-02-20T00:00:00"/>
    <s v="VZ-2020-000166"/>
    <x v="1"/>
    <s v="Ondráčková"/>
    <x v="134"/>
    <n v="3"/>
    <s v="NATALIZUMAB "/>
    <s v="L04AA23"/>
    <s v="33652300-8"/>
    <m/>
    <n v="51849797"/>
    <x v="0"/>
    <d v="2020-02-25T00:00:00"/>
    <d v="2020-05-11T00:00:00"/>
    <d v="2020-06-17T00:00:00"/>
    <s v="Avenier a.s."/>
    <m/>
    <n v="51821830.5"/>
    <n v="57004013.549999997"/>
    <m/>
    <m/>
    <m/>
    <d v="2020-06-17T00:00:00"/>
    <s v="SMLN-2020-617-000246"/>
    <x v="63"/>
    <d v="2020-08-04T00:00:00"/>
    <d v="2023-07-23T00:00:00"/>
  </r>
  <r>
    <d v="2020-02-20T00:00:00"/>
    <s v="VZ-2020-000166"/>
    <x v="1"/>
    <s v="Ondráčková"/>
    <x v="134"/>
    <n v="4"/>
    <s v="BELIMUMAB "/>
    <s v="L04AA26"/>
    <s v="33652300-8"/>
    <m/>
    <n v="627942"/>
    <x v="0"/>
    <d v="2020-02-25T00:00:00"/>
    <d v="2020-05-11T00:00:00"/>
    <d v="2020-06-17T00:00:00"/>
    <s v="PHOENIX lék.velkoobchod, s.r.o."/>
    <m/>
    <n v="619900.59"/>
    <n v="681890.65"/>
    <m/>
    <m/>
    <m/>
    <d v="2020-06-17T00:00:00"/>
    <s v="SMLN-2020-617-000247"/>
    <x v="63"/>
    <d v="2020-08-04T00:00:00"/>
    <d v="2023-07-23T00:00:00"/>
  </r>
  <r>
    <d v="2020-02-20T00:00:00"/>
    <s v="VZ-2020-000166"/>
    <x v="1"/>
    <s v="Ondráčková"/>
    <x v="134"/>
    <n v="5"/>
    <s v="FINGOLIMOD "/>
    <s v="L04AA27"/>
    <s v="33652300-8"/>
    <m/>
    <n v="158286063"/>
    <x v="0"/>
    <d v="2020-02-25T00:00:00"/>
    <d v="2020-05-11T00:00:00"/>
    <d v="2020-06-17T00:00:00"/>
    <s v="Alliance Healthcare s.r.o."/>
    <m/>
    <n v="158286062.88"/>
    <n v="174114669.16999999"/>
    <m/>
    <m/>
    <m/>
    <d v="2020-06-17T00:00:00"/>
    <s v="SMLN-2020-617-000248"/>
    <x v="63"/>
    <d v="2020-08-04T00:00:00"/>
    <d v="2023-07-23T00:00:00"/>
  </r>
  <r>
    <d v="2020-02-20T00:00:00"/>
    <s v="VZ-2020-000166"/>
    <x v="1"/>
    <s v="Ondráčková"/>
    <x v="134"/>
    <n v="6"/>
    <s v="BARICITINIB "/>
    <s v="L04AA37"/>
    <s v="33652300-8"/>
    <m/>
    <n v="7622914"/>
    <x v="0"/>
    <d v="2020-02-25T00:00:00"/>
    <d v="2020-05-11T00:00:00"/>
    <d v="2020-06-17T00:00:00"/>
    <s v="ELI LILLY ČR, s.r.o."/>
    <m/>
    <n v="7622913.5999999996"/>
    <n v="8385204.96"/>
    <m/>
    <m/>
    <m/>
    <d v="2020-06-17T00:00:00"/>
    <s v="SMLN-2020-617-000249"/>
    <x v="71"/>
    <d v="2020-08-04T00:00:00"/>
    <d v="2023-07-27T00:00:00"/>
  </r>
  <r>
    <d v="2020-02-20T00:00:00"/>
    <s v="VZ-2020-000166"/>
    <x v="1"/>
    <s v="Ondráčková"/>
    <x v="134"/>
    <n v="7"/>
    <s v="KLADRIBIN "/>
    <s v="L04AA40"/>
    <s v="33652300-8"/>
    <m/>
    <n v="54746422"/>
    <x v="0"/>
    <d v="2020-02-25T00:00:00"/>
    <d v="2020-05-11T00:00:00"/>
    <d v="2020-06-17T00:00:00"/>
    <s v="Alliance Healthcare s.r.o."/>
    <m/>
    <n v="54746420.609999999"/>
    <n v="60221062.670000002"/>
    <m/>
    <m/>
    <m/>
    <d v="2020-06-17T00:00:00"/>
    <s v="SMLN-2020-617-000250"/>
    <x v="63"/>
    <d v="2020-08-04T00:00:00"/>
    <d v="2023-07-23T00:00:00"/>
  </r>
  <r>
    <d v="2020-02-20T00:00:00"/>
    <s v="VZ-2020-000175"/>
    <x v="9"/>
    <s v="Vzatek"/>
    <x v="135"/>
    <m/>
    <m/>
    <m/>
    <s v="45453000-7"/>
    <s v="1.3.13."/>
    <n v="72000000"/>
    <x v="0"/>
    <d v="2020-04-17T00:00:00"/>
    <d v="2020-07-01T00:00:00"/>
    <d v="2020-07-22T00:00:00"/>
    <s v="ESOX, spol. s r.o."/>
    <m/>
    <n v="53986406.109999999"/>
    <n v="65323551.393100001"/>
    <m/>
    <m/>
    <m/>
    <d v="2020-07-22T00:00:00"/>
    <s v="SMLN-2020-618-000053"/>
    <x v="72"/>
    <d v="2020-08-17T00:00:00"/>
    <d v="2021-10-31T00:00:00"/>
  </r>
  <r>
    <d v="2019-10-31T00:00:00"/>
    <s v="VZ-2020-000180"/>
    <x v="8"/>
    <s v="Smrčková"/>
    <x v="136"/>
    <m/>
    <m/>
    <m/>
    <s v="33141620-2"/>
    <m/>
    <n v="12231200"/>
    <x v="0"/>
    <d v="2020-03-09T00:00:00"/>
    <d v="2020-04-09T00:00:00"/>
    <m/>
    <s v="zrušeno - COVID-19"/>
    <m/>
    <m/>
    <m/>
    <m/>
    <m/>
    <m/>
    <m/>
    <m/>
    <x v="0"/>
    <d v="2020-03-30T00:00:00"/>
    <s v="27.3.2020 zrušeno"/>
  </r>
  <r>
    <d v="2020-02-25T00:00:00"/>
    <s v="VZ-2020-000186"/>
    <x v="7"/>
    <s v="Oravec"/>
    <x v="137"/>
    <m/>
    <m/>
    <m/>
    <s v="30232100-5"/>
    <m/>
    <n v="458140"/>
    <x v="2"/>
    <d v="2020-02-27T00:00:00"/>
    <d v="2020-03-11T00:00:00"/>
    <d v="2020-03-27T00:00:00"/>
    <s v="DATASCAN, s.r.o."/>
    <m/>
    <n v="441681"/>
    <n v="534434.01"/>
    <m/>
    <m/>
    <m/>
    <d v="2020-03-27T00:00:00"/>
    <s v="SMLN-2020-617-000118"/>
    <x v="41"/>
    <d v="2020-04-27T00:00:00"/>
    <d v="2021-04-16T00:00:00"/>
  </r>
  <r>
    <d v="2019-10-21T00:00:00"/>
    <s v="VZ-2020-000194"/>
    <x v="0"/>
    <s v="Dočkalová"/>
    <x v="138"/>
    <n v="1"/>
    <s v="Elektroda stimulační/defibrilační/EKG kompatibilní s defibrilátory CORPULS 3"/>
    <m/>
    <s v="33140000-3"/>
    <m/>
    <n v="19419.04"/>
    <x v="1"/>
    <d v="2020-03-13T00:00:00"/>
    <d v="2020-04-01T00:00:00"/>
    <m/>
    <s v="zrušeno - překročení ceny"/>
    <m/>
    <m/>
    <m/>
    <m/>
    <m/>
    <m/>
    <m/>
    <m/>
    <x v="0"/>
    <d v="2020-05-05T00:00:00"/>
    <s v="29.4. zrušeno"/>
  </r>
  <r>
    <d v="2019-10-21T00:00:00"/>
    <s v="VZ-2020-000194"/>
    <x v="0"/>
    <s v="Dočkalová"/>
    <x v="138"/>
    <n v="2"/>
    <s v="Elektroda defibrilační/EKG kompatibilní s defibrilátory LIFEPAK"/>
    <m/>
    <s v="33140000-3"/>
    <m/>
    <n v="2052176"/>
    <x v="1"/>
    <d v="2020-03-13T00:00:00"/>
    <d v="2020-04-01T00:00:00"/>
    <d v="2020-04-20T00:00:00"/>
    <s v="Medsol s.r.o."/>
    <m/>
    <n v="2052176"/>
    <n v="2483132.96"/>
    <m/>
    <m/>
    <m/>
    <d v="2020-04-20T00:00:00"/>
    <s v="SMLN-2020-617-000152"/>
    <x v="73"/>
    <d v="2020-05-05T00:00:00"/>
    <d v="2024-04-28T00:00:00"/>
  </r>
  <r>
    <d v="2019-10-21T00:00:00"/>
    <s v="VZ-2020-000194"/>
    <x v="0"/>
    <s v="Dočkalová"/>
    <x v="138"/>
    <n v="3"/>
    <s v="Elektroda defibrilační/EKG kompatibilní s defibrilátory ZOLL"/>
    <m/>
    <s v="33140000-3"/>
    <m/>
    <n v="29520"/>
    <x v="1"/>
    <d v="2020-03-13T00:00:00"/>
    <d v="2020-04-01T00:00:00"/>
    <m/>
    <s v="zrušeno - bez nabídky"/>
    <m/>
    <m/>
    <m/>
    <m/>
    <m/>
    <m/>
    <m/>
    <m/>
    <x v="0"/>
    <d v="2020-05-05T00:00:00"/>
    <s v="9.4. zrušeno"/>
  </r>
  <r>
    <d v="2019-10-21T00:00:00"/>
    <s v="VZ-2020-000194"/>
    <x v="0"/>
    <s v="Dočkalová"/>
    <x v="138"/>
    <n v="4"/>
    <s v="Elektroda defibrilační/EKG kompatibilní s defibrilátory Responder 1100"/>
    <m/>
    <s v="33140000-3"/>
    <m/>
    <n v="174240"/>
    <x v="1"/>
    <d v="2020-03-13T00:00:00"/>
    <d v="2020-04-01T00:00:00"/>
    <m/>
    <s v="zrušeno - bez nabídky"/>
    <m/>
    <m/>
    <m/>
    <m/>
    <m/>
    <m/>
    <m/>
    <m/>
    <x v="0"/>
    <d v="2020-05-05T00:00:00"/>
    <s v="9.4. zrušeno"/>
  </r>
  <r>
    <d v="2019-11-19T00:00:00"/>
    <s v="VZ-2020-000195"/>
    <x v="0"/>
    <s v="Valtová"/>
    <x v="139"/>
    <m/>
    <m/>
    <m/>
    <s v="33140000-3"/>
    <m/>
    <n v="1340211"/>
    <x v="2"/>
    <d v="2020-03-05T00:00:00"/>
    <d v="2020-03-18T00:00:00"/>
    <d v="2020-05-20T00:00:00"/>
    <s v="SynMedical s.r.o."/>
    <m/>
    <n v="1547581.1"/>
    <n v="1779730.9"/>
    <m/>
    <m/>
    <m/>
    <d v="2020-05-21T00:00:00"/>
    <s v="SMLN-2020-617-000197_x000a_SMLN-2020-616-000023"/>
    <x v="74"/>
    <d v="2020-07-01T00:00:00"/>
    <d v="2023-06-28T00:00:00"/>
  </r>
  <r>
    <d v="2020-02-06T00:00:00"/>
    <s v="VZ-2020-000196"/>
    <x v="8"/>
    <s v="Smrčková"/>
    <x v="140"/>
    <m/>
    <m/>
    <m/>
    <s v="33141620-2"/>
    <m/>
    <n v="13313200"/>
    <x v="0"/>
    <d v="2020-03-05T00:00:00"/>
    <d v="2020-04-20T00:00:00"/>
    <m/>
    <s v="zrušeno - COVID-19"/>
    <m/>
    <m/>
    <m/>
    <m/>
    <m/>
    <m/>
    <m/>
    <m/>
    <x v="0"/>
    <d v="2020-03-26T00:00:00"/>
    <s v="26.3.2020 zrušeno"/>
  </r>
  <r>
    <d v="2020-02-27T00:00:00"/>
    <s v="VZ-2020-000202"/>
    <x v="0"/>
    <s v="Dočkalová"/>
    <x v="141"/>
    <m/>
    <m/>
    <m/>
    <s v="33162200-5"/>
    <m/>
    <n v="930000"/>
    <x v="2"/>
    <d v="2020-03-04T00:00:00"/>
    <d v="2020-03-16T00:00:00"/>
    <d v="2020-03-26T00:00:00"/>
    <s v="Arthrex s.r.o."/>
    <m/>
    <n v="750000"/>
    <n v="907500"/>
    <m/>
    <m/>
    <m/>
    <d v="2020-03-27T00:00:00"/>
    <s v="SMLN-2020-617-000117"/>
    <x v="46"/>
    <d v="2020-04-24T00:00:00"/>
    <d v="2020-06-02T00:00:00"/>
  </r>
  <r>
    <d v="2020-02-28T00:00:00"/>
    <s v="VZ-2020-000207"/>
    <x v="0"/>
    <s v="Dočkalová"/>
    <x v="142"/>
    <m/>
    <m/>
    <m/>
    <s v="33140000-3 "/>
    <m/>
    <n v="1500000"/>
    <x v="2"/>
    <d v="2020-03-04T00:00:00"/>
    <d v="2020-03-16T00:00:00"/>
    <d v="2020-03-19T00:00:00"/>
    <s v="VAMEX, spol. s r.o."/>
    <s v="nová VZ-2020-000490"/>
    <n v="1320000"/>
    <n v="1597200"/>
    <m/>
    <m/>
    <m/>
    <d v="2020-03-19T00:00:00"/>
    <s v="SMLN-2020-617-000109"/>
    <x v="0"/>
    <d v="2020-05-07T00:00:00"/>
    <m/>
  </r>
  <r>
    <d v="2020-03-02T00:00:00"/>
    <s v="VZ-2020-000208"/>
    <x v="5"/>
    <s v="Srovnal"/>
    <x v="143"/>
    <m/>
    <m/>
    <m/>
    <s v="45316200-7"/>
    <s v="4.2.52."/>
    <n v="1000000"/>
    <x v="2"/>
    <d v="2020-03-23T00:00:00"/>
    <d v="2020-04-01T00:00:00"/>
    <d v="2020-04-08T00:00:00"/>
    <s v="CODACO ELECTRONIC s.r.o."/>
    <m/>
    <n v="945994"/>
    <n v="1144653"/>
    <m/>
    <m/>
    <m/>
    <d v="2020-04-08T00:00:00"/>
    <s v="SMLN-2020-618-000025"/>
    <x v="75"/>
    <d v="2020-06-04T00:00:00"/>
    <m/>
  </r>
  <r>
    <d v="2020-02-12T00:00:00"/>
    <s v="VZ-2020-000209"/>
    <x v="0"/>
    <s v="Valtová"/>
    <x v="144"/>
    <n v="1"/>
    <s v="Kardioplegický set 4:1 s výměníkem tepla"/>
    <m/>
    <s v="33140000-3"/>
    <m/>
    <n v="816000"/>
    <x v="2"/>
    <d v="2020-03-13T00:00:00"/>
    <d v="2020-03-25T00:00:00"/>
    <d v="2020-03-27T00:00:00"/>
    <s v="Medtronic Czechia s.r.o."/>
    <m/>
    <n v="815750"/>
    <n v="987060"/>
    <m/>
    <m/>
    <m/>
    <d v="2020-03-30T00:00:00"/>
    <s v="SMLN-2020-617-000120_x000a_SMLN-2020-614-000004"/>
    <x v="32"/>
    <d v="2020-04-30T00:00:00"/>
    <d v="2022-04-26T00:00:00"/>
  </r>
  <r>
    <d v="2020-02-12T00:00:00"/>
    <s v="VZ-2020-000209"/>
    <x v="0"/>
    <s v="Valtová"/>
    <x v="144"/>
    <n v="2"/>
    <s v="Kardioplegický set 4:1 se spirálou do ledové tříště"/>
    <m/>
    <s v="33140000-3"/>
    <m/>
    <n v="572740"/>
    <x v="2"/>
    <d v="2020-03-13T00:00:00"/>
    <d v="2020-03-25T00:00:00"/>
    <m/>
    <s v="zrušeno - špatně podaná nabídka"/>
    <s v="nová VZ-2020-000294"/>
    <m/>
    <m/>
    <m/>
    <m/>
    <m/>
    <m/>
    <m/>
    <x v="0"/>
    <d v="2020-03-30T00:00:00"/>
    <m/>
  </r>
  <r>
    <m/>
    <s v="VZ-2020-000216"/>
    <x v="1"/>
    <s v="Ondráčková"/>
    <x v="145"/>
    <n v="1"/>
    <s v="Izolace DNA/RNA z peletů leukocytů a izolace cf DNA ze vzorků plazmy"/>
    <m/>
    <s v="33694000-1"/>
    <m/>
    <n v="1416288"/>
    <x v="1"/>
    <d v="2020-04-17T00:00:00"/>
    <d v="2020-05-25T00:00:00"/>
    <m/>
    <s v="zrušeno - překročení ceny"/>
    <m/>
    <m/>
    <m/>
    <m/>
    <m/>
    <m/>
    <m/>
    <m/>
    <x v="0"/>
    <d v="2020-06-26T00:00:00"/>
    <s v="26.6.2020 zrušeno"/>
  </r>
  <r>
    <m/>
    <s v="VZ-2020-000216"/>
    <x v="1"/>
    <s v="Ondráčková"/>
    <x v="145"/>
    <n v="2"/>
    <s v="Izolace humánní DNA ze vzorků plné krve"/>
    <m/>
    <s v="33694000-1"/>
    <m/>
    <n v="614544"/>
    <x v="1"/>
    <d v="2020-04-17T00:00:00"/>
    <d v="2020-05-25T00:00:00"/>
    <m/>
    <s v="zrušeno - bez nabídky"/>
    <m/>
    <m/>
    <m/>
    <m/>
    <m/>
    <m/>
    <m/>
    <m/>
    <x v="0"/>
    <d v="2020-05-29T00:00:00"/>
    <s v="27.5.2020 zrušeno"/>
  </r>
  <r>
    <d v="2020-03-04T00:00:00"/>
    <s v="VZ-2020-000221"/>
    <x v="5"/>
    <s v="Srovnal"/>
    <x v="146"/>
    <m/>
    <m/>
    <m/>
    <s v="45315300-1"/>
    <m/>
    <n v="850000"/>
    <x v="2"/>
    <d v="2020-03-13T00:00:00"/>
    <d v="2020-03-24T00:00:00"/>
    <d v="2020-04-09T00:00:00"/>
    <s v="Tojapa s.r.o."/>
    <m/>
    <n v="675906"/>
    <n v="817846.26"/>
    <m/>
    <m/>
    <m/>
    <d v="2020-04-09T00:00:00"/>
    <s v="SMLN-2020-618-000026"/>
    <x v="21"/>
    <d v="2020-05-15T00:00:00"/>
    <d v="2020-06-25T00:00:00"/>
  </r>
  <r>
    <d v="2020-03-05T00:00:00"/>
    <s v="VZ-2020-000227"/>
    <x v="18"/>
    <s v="Klimek"/>
    <x v="147"/>
    <m/>
    <m/>
    <m/>
    <s v="34136000-9"/>
    <s v="4.2.127."/>
    <n v="538000"/>
    <x v="2"/>
    <d v="2020-03-13T00:00:00"/>
    <d v="2020-03-26T00:00:00"/>
    <m/>
    <s v="zrušeno - bez nabídky"/>
    <s v="nová VZ-2020-000340"/>
    <m/>
    <m/>
    <m/>
    <m/>
    <m/>
    <m/>
    <m/>
    <x v="0"/>
    <d v="2020-03-26T00:00:00"/>
    <m/>
  </r>
  <r>
    <d v="2020-03-04T00:00:00"/>
    <s v="VZ-2020-000233"/>
    <x v="9"/>
    <s v="Jansa"/>
    <x v="148"/>
    <m/>
    <m/>
    <m/>
    <s v="45215100-8"/>
    <m/>
    <n v="1500000"/>
    <x v="2"/>
    <d v="2020-03-11T00:00:00"/>
    <d v="2020-03-20T00:00:00"/>
    <d v="2020-04-20T00:00:00"/>
    <s v="EP Rožnov, a.s."/>
    <m/>
    <n v="1293497.8700000001"/>
    <n v="1565132.4227"/>
    <m/>
    <m/>
    <m/>
    <d v="2020-04-21T00:00:00"/>
    <s v="SMLN-2020-618-000032"/>
    <x v="76"/>
    <d v="2020-05-15T00:00:00"/>
    <d v="2020-07-05T00:00:00"/>
  </r>
  <r>
    <d v="2020-03-05T00:00:00"/>
    <s v="VZ-2020-000239"/>
    <x v="9"/>
    <s v="Vzatek"/>
    <x v="149"/>
    <m/>
    <m/>
    <m/>
    <s v="45215100-8"/>
    <s v="1.3.23."/>
    <n v="1700000"/>
    <x v="2"/>
    <d v="2020-03-13T00:00:00"/>
    <d v="2020-03-24T00:00:00"/>
    <d v="2020-04-17T00:00:00"/>
    <s v="OHL ŽS a.s."/>
    <m/>
    <n v="2303782.92"/>
    <n v="2787577.33"/>
    <m/>
    <m/>
    <m/>
    <d v="2020-04-17T00:00:00"/>
    <s v="SMLN-2020-618-000031"/>
    <x v="21"/>
    <d v="2020-05-15T00:00:00"/>
    <d v="2020-07-19T00:00:00"/>
  </r>
  <r>
    <d v="2020-03-10T00:00:00"/>
    <s v="VZ-2020-000246"/>
    <x v="10"/>
    <s v="Vaida"/>
    <x v="150"/>
    <m/>
    <m/>
    <m/>
    <s v="45453000-7"/>
    <m/>
    <n v="300000"/>
    <x v="2"/>
    <d v="2020-03-19T00:00:00"/>
    <d v="2020-04-06T00:00:00"/>
    <m/>
    <s v="zrušeno - COVID (Mikušková, Vaida)"/>
    <m/>
    <m/>
    <m/>
    <m/>
    <m/>
    <m/>
    <m/>
    <m/>
    <x v="0"/>
    <d v="2020-04-16T00:00:00"/>
    <m/>
  </r>
  <r>
    <s v="opakovaná VZ"/>
    <s v="VZ-2020-000249"/>
    <x v="8"/>
    <s v="Smrčková"/>
    <x v="151"/>
    <m/>
    <m/>
    <m/>
    <s v="30197644-2"/>
    <m/>
    <n v="900000"/>
    <x v="2"/>
    <d v="2020-03-24T00:00:00"/>
    <d v="2020-04-03T00:00:00"/>
    <d v="2020-04-23T00:00:00"/>
    <s v="VKUS-BUSTAN, s.r.o."/>
    <m/>
    <n v="839520"/>
    <n v="1015819.2"/>
    <m/>
    <m/>
    <m/>
    <d v="2020-04-23T00:00:00"/>
    <s v="SMLN-2020-617-000158"/>
    <x v="55"/>
    <d v="2020-05-25T00:00:00"/>
    <d v="2021-05-21T00:00:00"/>
  </r>
  <r>
    <d v="2020-03-09T00:00:00"/>
    <s v="VZ-2020-000254"/>
    <x v="0"/>
    <s v="Merta"/>
    <x v="152"/>
    <n v="1"/>
    <s v="Zavaděč - sety pro radiální přístup 5F a 6F (sheathy)"/>
    <m/>
    <s v="33141240-4"/>
    <m/>
    <n v="2762500"/>
    <x v="0"/>
    <d v="2020-05-20T00:00:00"/>
    <d v="2020-06-25T00:00:00"/>
    <m/>
    <s v="zrušeno - bez nabídky"/>
    <s v="nová VZ-2020-001299"/>
    <m/>
    <m/>
    <m/>
    <m/>
    <m/>
    <m/>
    <m/>
    <x v="0"/>
    <d v="2020-07-17T00:00:00"/>
    <s v="30.6.2020 zrušeno"/>
  </r>
  <r>
    <d v="2020-03-09T00:00:00"/>
    <s v="VZ-2020-000254"/>
    <x v="0"/>
    <s v="Merta"/>
    <x v="152"/>
    <n v="2"/>
    <s v="Zavaděč - sety pro femorální přístup 5F a 6F (sheathy)"/>
    <m/>
    <s v="33141240-4"/>
    <m/>
    <n v="264000"/>
    <x v="0"/>
    <d v="2020-05-20T00:00:00"/>
    <d v="2020-06-25T00:00:00"/>
    <d v="2020-09-21T00:00:00"/>
    <s v="Boston Scientific Česká rrepublika s.r.o."/>
    <m/>
    <n v="256000"/>
    <n v="309760"/>
    <m/>
    <m/>
    <m/>
    <d v="2020-09-21T00:00:00"/>
    <s v="SMLN-2020-617-000417_x000a_SMLN-2020-614-000031"/>
    <x v="68"/>
    <d v="2020-11-06T00:00:00"/>
    <d v="2022-10-26T00:00:00"/>
  </r>
  <r>
    <d v="2020-03-09T00:00:00"/>
    <s v="VZ-2020-000254"/>
    <x v="0"/>
    <s v="Merta"/>
    <x v="152"/>
    <n v="3"/>
    <s v="Diagnostické katetry angiografické koronární - Katetry 5F a 6F "/>
    <m/>
    <s v="33141200-2"/>
    <m/>
    <n v="264000"/>
    <x v="0"/>
    <d v="2020-05-20T00:00:00"/>
    <d v="2020-06-25T00:00:00"/>
    <m/>
    <m/>
    <s v="nová VZ-2020-001299"/>
    <m/>
    <m/>
    <m/>
    <m/>
    <m/>
    <m/>
    <m/>
    <x v="0"/>
    <d v="2020-09-15T00:00:00"/>
    <s v="26.8.2020 zrušeno"/>
  </r>
  <r>
    <d v="2020-03-09T00:00:00"/>
    <s v="VZ-2020-000254"/>
    <x v="0"/>
    <s v="Merta"/>
    <x v="152"/>
    <n v="4"/>
    <s v="Diagnostické katetry angiografické koronární - Diagnostické radiální katetry  5F dedikované pro oboustrannou katetrizaci "/>
    <m/>
    <s v="33141200-2"/>
    <m/>
    <n v="4290000"/>
    <x v="0"/>
    <d v="2020-05-20T00:00:00"/>
    <d v="2020-06-25T00:00:00"/>
    <m/>
    <s v="zrušeno - bez nabídky"/>
    <s v="nová VZ-2020-001299"/>
    <m/>
    <m/>
    <m/>
    <m/>
    <m/>
    <m/>
    <m/>
    <x v="0"/>
    <d v="2020-07-17T00:00:00"/>
    <s v="30.6.2020 zrušeno"/>
  </r>
  <r>
    <d v="2020-03-09T00:00:00"/>
    <s v="VZ-2020-000254"/>
    <x v="0"/>
    <s v="Merta"/>
    <x v="152"/>
    <n v="5"/>
    <s v="Koronární (PTCA) vodiče - základní typ "/>
    <m/>
    <s v="33141240-4"/>
    <m/>
    <n v="2760000"/>
    <x v="0"/>
    <d v="2020-05-20T00:00:00"/>
    <d v="2020-06-25T00:00:00"/>
    <d v="2020-09-21T00:00:00"/>
    <s v="Meditrade spol.s  r.o."/>
    <m/>
    <n v="2760000"/>
    <n v="3339600"/>
    <m/>
    <m/>
    <m/>
    <d v="2020-09-21T00:00:00"/>
    <s v="SMLN-2020-617-000418_x000a_SMLN-2020-614-000032"/>
    <x v="77"/>
    <d v="2020-11-06T00:00:00"/>
    <d v="2022-10-29T00:00:00"/>
  </r>
  <r>
    <d v="2020-03-09T00:00:00"/>
    <s v="VZ-2020-000254"/>
    <x v="0"/>
    <s v="Merta"/>
    <x v="152"/>
    <n v="6"/>
    <s v="Koronární (PTCA) vodiče - vodiče se zvýšenou odolností měkkého distálního konce, včetně vodičů pro použití chronických uzávěrů (CTO)"/>
    <m/>
    <s v="33141240-4"/>
    <m/>
    <n v="1740000"/>
    <x v="0"/>
    <d v="2020-05-20T00:00:00"/>
    <d v="2020-06-25T00:00:00"/>
    <d v="2020-09-21T00:00:00"/>
    <s v="Boston Scientific Česká rrepublika s.r.o."/>
    <m/>
    <n v="1734000"/>
    <n v="2098140"/>
    <m/>
    <m/>
    <m/>
    <d v="2020-09-21T00:00:00"/>
    <s v="SMLN-2020-617-000419_x000a_SMLN-2020-614-000033"/>
    <x v="68"/>
    <d v="2020-11-06T00:00:00"/>
    <d v="2022-10-26T00:00:00"/>
  </r>
  <r>
    <d v="2020-03-09T00:00:00"/>
    <s v="VZ-2020-000254"/>
    <x v="0"/>
    <s v="Merta"/>
    <x v="152"/>
    <n v="7"/>
    <s v="Koronární (PTCA) vodiče - vodiče pro komplexní vinuté léze "/>
    <m/>
    <s v="33141240-4"/>
    <m/>
    <n v="1326500"/>
    <x v="0"/>
    <d v="2020-05-20T00:00:00"/>
    <d v="2020-06-25T00:00:00"/>
    <m/>
    <s v="zrušeno - bez nabídky"/>
    <s v="nová VZ-2020-001299"/>
    <m/>
    <m/>
    <m/>
    <m/>
    <m/>
    <m/>
    <m/>
    <x v="0"/>
    <d v="2020-07-17T00:00:00"/>
    <s v="30.6.2020 zrušeno"/>
  </r>
  <r>
    <d v="2020-03-09T00:00:00"/>
    <s v="VZ-2020-000254"/>
    <x v="0"/>
    <s v="Merta"/>
    <x v="152"/>
    <n v="8"/>
    <s v="Balónkové dilatační katetry koronární - střednětlaký (semicompliantní) "/>
    <m/>
    <s v="33141210-5"/>
    <m/>
    <n v="3160000"/>
    <x v="0"/>
    <d v="2020-05-20T00:00:00"/>
    <d v="2020-06-25T00:00:00"/>
    <d v="2020-09-21T00:00:00"/>
    <s v="BS PRAGUE MEDICAL CS, spol. s r.o."/>
    <m/>
    <n v="3160000"/>
    <n v="3823600"/>
    <m/>
    <m/>
    <m/>
    <d v="2020-09-21T00:00:00"/>
    <s v="SMLN-2020-617-000420_x000a_SMLN-2020-614-000034"/>
    <x v="68"/>
    <d v="2020-11-06T00:00:00"/>
    <d v="2022-10-26T00:00:00"/>
  </r>
  <r>
    <d v="2020-03-09T00:00:00"/>
    <s v="VZ-2020-000254"/>
    <x v="0"/>
    <s v="Merta"/>
    <x v="152"/>
    <n v="9"/>
    <s v="Balónkové katetry koronární  - vysokotlaké/postdilatační (noncompliantní) "/>
    <m/>
    <s v="33141210-5"/>
    <m/>
    <n v="5530000"/>
    <x v="0"/>
    <d v="2020-05-20T00:00:00"/>
    <d v="2020-06-25T00:00:00"/>
    <d v="2020-09-21T00:00:00"/>
    <s v="BS PRAGUE MEDICAL CS, spol. s r.o."/>
    <m/>
    <n v="5530000"/>
    <n v="6691300"/>
    <m/>
    <m/>
    <m/>
    <d v="2020-09-21T00:00:00"/>
    <s v="SMLN-2020-617-000421_x000a_SMLN-2020-614-000035"/>
    <x v="68"/>
    <d v="2020-11-06T00:00:00"/>
    <d v="2022-10-26T00:00:00"/>
  </r>
  <r>
    <d v="2020-03-09T00:00:00"/>
    <s v="VZ-2020-000254"/>
    <x v="0"/>
    <s v="Merta"/>
    <x v="152"/>
    <n v="10"/>
    <s v="Balónkové katetry koronární  - vysokotlaké nízkoprofilové "/>
    <m/>
    <s v="33141210-5"/>
    <m/>
    <n v="588200"/>
    <x v="0"/>
    <d v="2020-05-20T00:00:00"/>
    <d v="2020-06-25T00:00:00"/>
    <d v="2020-09-21T00:00:00"/>
    <s v="JI – Medical a.s."/>
    <m/>
    <n v="588200"/>
    <n v="711722"/>
    <m/>
    <m/>
    <m/>
    <d v="2020-09-21T00:00:00"/>
    <s v="SMLN-2020-617-000422_x000a_SMLN-2020-614-000036"/>
    <x v="78"/>
    <d v="2020-11-06T00:00:00"/>
    <d v="2022-11-01T00:00:00"/>
  </r>
  <r>
    <d v="2020-03-09T00:00:00"/>
    <s v="VZ-2020-000254"/>
    <x v="0"/>
    <s v="Merta"/>
    <x v="152"/>
    <n v="11"/>
    <s v="Balónkové dilatační katetry lékové (DEB) "/>
    <m/>
    <s v="33141210-5"/>
    <m/>
    <n v="1727850"/>
    <x v="0"/>
    <d v="2020-05-20T00:00:00"/>
    <d v="2020-06-25T00:00:00"/>
    <d v="2020-09-21T00:00:00"/>
    <s v="B. Braun Medical s.r.o."/>
    <m/>
    <n v="1680000"/>
    <n v="2032800"/>
    <m/>
    <m/>
    <m/>
    <d v="2020-09-21T00:00:00"/>
    <s v="SMLN-2020-617-000423_x000a_SMLN-2020-614-000037"/>
    <x v="77"/>
    <d v="2020-11-06T00:00:00"/>
    <d v="2022-10-29T00:00:00"/>
  </r>
  <r>
    <d v="2020-03-09T00:00:00"/>
    <s v="VZ-2020-000254"/>
    <x v="0"/>
    <s v="Merta"/>
    <x v="152"/>
    <n v="12"/>
    <s v="Vodící katetry -  6F "/>
    <m/>
    <s v="33141200-2"/>
    <m/>
    <n v="3500000"/>
    <x v="0"/>
    <d v="2020-05-20T00:00:00"/>
    <d v="2020-06-25T00:00:00"/>
    <d v="2020-09-21T00:00:00"/>
    <s v="Medtronic Czechia s.r.o."/>
    <m/>
    <n v="2520000"/>
    <n v="3049200"/>
    <m/>
    <m/>
    <m/>
    <d v="2020-09-21T00:00:00"/>
    <s v="SMLN-2020-617-000424_x000a_SMLN-2020-614-000038"/>
    <x v="68"/>
    <d v="2020-11-06T00:00:00"/>
    <d v="2022-10-26T00:00:00"/>
  </r>
  <r>
    <d v="2020-03-09T00:00:00"/>
    <s v="VZ-2020-000254"/>
    <x v="0"/>
    <s v="Merta"/>
    <x v="152"/>
    <n v="13"/>
    <s v="Vodící katetry -  5F "/>
    <m/>
    <s v="33141200-2"/>
    <m/>
    <n v="875000"/>
    <x v="0"/>
    <d v="2020-05-20T00:00:00"/>
    <d v="2020-06-25T00:00:00"/>
    <m/>
    <m/>
    <s v="nová VZ-2020-001299"/>
    <m/>
    <m/>
    <m/>
    <m/>
    <m/>
    <m/>
    <m/>
    <x v="0"/>
    <d v="2020-09-15T00:00:00"/>
    <s v="26.8.2020 zrušeno"/>
  </r>
  <r>
    <d v="2020-03-09T00:00:00"/>
    <s v="VZ-2020-000254"/>
    <x v="0"/>
    <s v="Merta"/>
    <x v="152"/>
    <n v="14"/>
    <s v="Aspirační katetry "/>
    <m/>
    <s v="33141200-2"/>
    <m/>
    <n v="1008000"/>
    <x v="0"/>
    <d v="2020-05-20T00:00:00"/>
    <d v="2020-06-25T00:00:00"/>
    <m/>
    <s v="zrušeno - 1nabídky překoročila cenu"/>
    <s v="nová VZ-2020-001299"/>
    <m/>
    <m/>
    <m/>
    <m/>
    <m/>
    <m/>
    <m/>
    <x v="0"/>
    <d v="2020-07-17T00:00:00"/>
    <s v="30.6. vyloučení"/>
  </r>
  <r>
    <s v="opakovaná VZ"/>
    <s v="VZ-2020-000259"/>
    <x v="8"/>
    <s v="Smrčková"/>
    <x v="153"/>
    <m/>
    <m/>
    <m/>
    <s v="39830000-9, 33700000-7"/>
    <m/>
    <n v="670000"/>
    <x v="2"/>
    <d v="2020-03-18T00:00:00"/>
    <d v="2020-03-27T00:00:00"/>
    <d v="2020-04-07T00:00:00"/>
    <s v="Rudolf Šaman"/>
    <m/>
    <n v="669741.85"/>
    <n v="810387.64"/>
    <m/>
    <m/>
    <m/>
    <d v="2020-04-08T00:00:00"/>
    <s v="SMLN-2020-617-000142"/>
    <x v="66"/>
    <d v="2020-05-13T00:00:00"/>
    <d v="2021-05-10T00:00:00"/>
  </r>
  <r>
    <d v="2020-03-11T00:00:00"/>
    <s v="VZ-2020-000265"/>
    <x v="16"/>
    <s v="Jeřábková"/>
    <x v="154"/>
    <m/>
    <m/>
    <m/>
    <s v="55120000-7"/>
    <m/>
    <n v="500000"/>
    <x v="2"/>
    <d v="2020-04-02T00:00:00"/>
    <d v="2020-04-15T00:00:00"/>
    <m/>
    <m/>
    <s v="nová VZ-2020-000877"/>
    <m/>
    <m/>
    <m/>
    <m/>
    <m/>
    <m/>
    <m/>
    <x v="0"/>
    <d v="2020-06-02T00:00:00"/>
    <m/>
  </r>
  <r>
    <d v="2020-03-11T00:00:00"/>
    <s v="VZ-2020-000266"/>
    <x v="16"/>
    <s v="Jeřábková"/>
    <x v="155"/>
    <m/>
    <m/>
    <m/>
    <s v="55120000-7"/>
    <m/>
    <n v="800000"/>
    <x v="2"/>
    <d v="2020-04-02T00:00:00"/>
    <d v="2020-04-15T00:00:00"/>
    <m/>
    <m/>
    <m/>
    <m/>
    <m/>
    <m/>
    <m/>
    <m/>
    <m/>
    <m/>
    <x v="0"/>
    <d v="2020-06-02T00:00:00"/>
    <m/>
  </r>
  <r>
    <d v="2020-03-11T00:00:00"/>
    <s v="VZ-2020-000267"/>
    <x v="16"/>
    <s v="Jeřábková"/>
    <x v="156"/>
    <m/>
    <m/>
    <m/>
    <s v="55120000-7"/>
    <m/>
    <n v="600000"/>
    <x v="2"/>
    <d v="2020-04-03T00:00:00"/>
    <d v="2020-04-15T00:00:00"/>
    <m/>
    <m/>
    <s v="nová VZ-2020-000878"/>
    <m/>
    <m/>
    <m/>
    <m/>
    <m/>
    <m/>
    <m/>
    <x v="0"/>
    <d v="2020-06-02T00:00:00"/>
    <m/>
  </r>
  <r>
    <d v="2020-03-16T00:00:00"/>
    <s v="VZ-2020-000268"/>
    <x v="19"/>
    <s v="Svozil"/>
    <x v="157"/>
    <m/>
    <m/>
    <m/>
    <s v="45233200-1"/>
    <s v="4.3.8."/>
    <n v="2480000"/>
    <x v="2"/>
    <d v="2020-03-23T00:00:00"/>
    <d v="2020-04-06T00:00:00"/>
    <d v="2020-04-22T00:00:00"/>
    <s v="zrušeno - úprava zadání"/>
    <s v="nová VZ-2020-000599"/>
    <n v="2442000"/>
    <n v="2954820"/>
    <m/>
    <m/>
    <m/>
    <d v="2020-04-22T00:00:00"/>
    <s v="SMLN-2020-618-000033"/>
    <x v="0"/>
    <d v="2020-06-09T00:00:00"/>
    <m/>
  </r>
  <r>
    <d v="2020-03-09T00:00:00"/>
    <s v="VZ-2020-000270"/>
    <x v="3"/>
    <s v="Rosulek"/>
    <x v="158"/>
    <m/>
    <m/>
    <m/>
    <s v="33192230-3"/>
    <s v="2.3.436"/>
    <n v="495000"/>
    <x v="2"/>
    <d v="2020-03-20T00:00:00"/>
    <d v="2020-03-30T00:00:00"/>
    <d v="2020-04-16T00:00:00"/>
    <s v="Jandaservis s.r.o."/>
    <m/>
    <n v="495000"/>
    <n v="598950"/>
    <m/>
    <m/>
    <m/>
    <d v="2020-04-16T00:00:00"/>
    <s v="SMLN-2020-617-000149"/>
    <x v="79"/>
    <d v="2020-05-07T00:00:00"/>
    <d v="2020-06-16T00:00:00"/>
  </r>
  <r>
    <d v="2020-03-10T00:00:00"/>
    <s v="VZ-2020-000271"/>
    <x v="7"/>
    <s v="Oravec"/>
    <x v="159"/>
    <m/>
    <m/>
    <m/>
    <s v="48180000-3"/>
    <m/>
    <n v="1173600"/>
    <x v="2"/>
    <d v="2020-03-24T00:00:00"/>
    <d v="2020-04-03T00:00:00"/>
    <d v="2020-04-08T00:00:00"/>
    <s v="EFA services, s.r.o."/>
    <m/>
    <n v="1173600"/>
    <n v="1420056"/>
    <m/>
    <m/>
    <m/>
    <d v="2020-04-14T00:00:00"/>
    <s v="SMLN-2020-618-000027_x000a_SMLN-2020-612-000028"/>
    <x v="55"/>
    <d v="2020-05-27T00:00:00"/>
    <d v="2022-05-21T00:00:00"/>
  </r>
  <r>
    <d v="2020-03-18T00:00:00"/>
    <s v="VZ-2020-000273"/>
    <x v="8"/>
    <s v="Smrčková"/>
    <x v="160"/>
    <m/>
    <m/>
    <m/>
    <s v="39100000-3"/>
    <m/>
    <n v="1840000"/>
    <x v="2"/>
    <d v="2020-03-24T00:00:00"/>
    <d v="2020-04-02T00:00:00"/>
    <d v="2020-04-14T00:00:00"/>
    <s v="Iridium spol.s r.o."/>
    <m/>
    <n v="1887121"/>
    <n v="2283416.41"/>
    <m/>
    <m/>
    <m/>
    <d v="2020-04-15T00:00:00"/>
    <s v="SMLN-2020-617-000145"/>
    <x v="66"/>
    <d v="2020-05-13T00:00:00"/>
    <d v="2020-05-25T00:00:00"/>
  </r>
  <r>
    <d v="2020-03-19T00:00:00"/>
    <s v="VZ-2020-000276"/>
    <x v="7"/>
    <s v="Oravec"/>
    <x v="161"/>
    <m/>
    <m/>
    <m/>
    <s v="72268000-1"/>
    <m/>
    <n v="45180000"/>
    <x v="0"/>
    <d v="2020-03-31T00:00:00"/>
    <d v="2020-05-04T00:00:00"/>
    <d v="2020-05-06T00:00:00"/>
    <s v="SoftwareONE Czech Republic s.r.o."/>
    <m/>
    <n v="36891845"/>
    <n v="44639132.450000003"/>
    <m/>
    <m/>
    <m/>
    <d v="2020-05-06T00:00:00"/>
    <s v="SMLN-2020-617-000171_x000a_SMLN-2020-612-000034"/>
    <x v="80"/>
    <d v="2020-05-29T00:00:00"/>
    <d v="2023-05-31T00:00:00"/>
  </r>
  <r>
    <d v="2020-03-25T00:00:00"/>
    <s v="VZ-2020-000283"/>
    <x v="7"/>
    <s v="Oravec"/>
    <x v="162"/>
    <m/>
    <m/>
    <m/>
    <s v="32552110-1"/>
    <m/>
    <n v="613636"/>
    <x v="2"/>
    <d v="2020-03-31T00:00:00"/>
    <d v="2020-04-09T00:00:00"/>
    <d v="2020-04-16T00:00:00"/>
    <s v="ERISERV, spol. s r.o."/>
    <m/>
    <n v="647500"/>
    <n v="783475"/>
    <m/>
    <m/>
    <m/>
    <d v="2020-04-16T00:00:00"/>
    <s v="SMLN-2020-617-000147"/>
    <x v="32"/>
    <d v="2020-04-28T00:00:00"/>
    <d v="2021-04-26T00:00:00"/>
  </r>
  <r>
    <s v="opakovaná VZ"/>
    <s v="VZ-2020-000294"/>
    <x v="0"/>
    <s v="Valtová"/>
    <x v="163"/>
    <m/>
    <m/>
    <m/>
    <s v="33140000-3"/>
    <m/>
    <n v="572740"/>
    <x v="2"/>
    <d v="2020-04-06T00:00:00"/>
    <d v="2020-04-15T00:00:00"/>
    <d v="2020-04-21T00:00:00"/>
    <s v="ALINEX - Kácovská, s.r.o."/>
    <m/>
    <n v="560000"/>
    <n v="677600"/>
    <m/>
    <m/>
    <m/>
    <d v="2020-04-21T00:00:00"/>
    <s v="SMLN-2020-617-000156_x000a_SMLN-2020-614-000005"/>
    <x v="76"/>
    <d v="2020-05-15T00:00:00"/>
    <d v="2022-05-12T00:00:00"/>
  </r>
  <r>
    <d v="2020-03-31T00:00:00"/>
    <s v="VZ-2020-000305"/>
    <x v="1"/>
    <s v="Ondráčková"/>
    <x v="164"/>
    <n v="1"/>
    <s v="Immunate stim plus"/>
    <m/>
    <s v="33621000-9"/>
    <m/>
    <n v="14033580"/>
    <x v="0"/>
    <d v="2020-04-03T00:00:00"/>
    <d v="2020-05-20T00:00:00"/>
    <d v="2020-06-17T00:00:00"/>
    <s v="Takeda Pharmaceuticals CR s.r.o."/>
    <m/>
    <n v="14033580"/>
    <n v="15436938"/>
    <m/>
    <m/>
    <m/>
    <d v="2020-06-17T00:00:00"/>
    <s v="SMLN-2020-617-000251"/>
    <x v="52"/>
    <d v="2020-07-31T00:00:00"/>
    <d v="2023-07-20T00:00:00"/>
  </r>
  <r>
    <d v="2020-03-31T00:00:00"/>
    <s v="VZ-2020-000305"/>
    <x v="1"/>
    <s v="Ondráčková"/>
    <x v="164"/>
    <n v="2"/>
    <s v="Fanhdi"/>
    <m/>
    <s v="33621000-9"/>
    <m/>
    <n v="17968824"/>
    <x v="0"/>
    <d v="2020-04-03T00:00:00"/>
    <d v="2020-05-20T00:00:00"/>
    <d v="2020-06-17T00:00:00"/>
    <s v="Grifols s.r.o."/>
    <m/>
    <n v="16125300"/>
    <n v="17737830"/>
    <m/>
    <m/>
    <m/>
    <d v="2020-06-17T00:00:00"/>
    <s v="SMLN-2020-617-000252"/>
    <x v="52"/>
    <d v="2020-07-31T00:00:00"/>
    <d v="2023-07-20T00:00:00"/>
  </r>
  <r>
    <d v="2020-03-31T00:00:00"/>
    <s v="VZ-2020-000305"/>
    <x v="1"/>
    <s v="Ondráčková"/>
    <x v="164"/>
    <n v="3"/>
    <s v="Wilate"/>
    <m/>
    <s v="33621000-9"/>
    <m/>
    <n v="4649832"/>
    <x v="0"/>
    <d v="2020-04-03T00:00:00"/>
    <d v="2020-05-20T00:00:00"/>
    <d v="2020-06-17T00:00:00"/>
    <s v="PHOENIX lék.velkoobchod, s.r.o."/>
    <m/>
    <n v="4173724.8"/>
    <n v="4591097.28"/>
    <m/>
    <m/>
    <m/>
    <d v="2020-06-17T00:00:00"/>
    <s v="SMLN-2020-617-000253"/>
    <x v="52"/>
    <d v="2020-07-31T00:00:00"/>
    <d v="2023-07-20T00:00:00"/>
  </r>
  <r>
    <d v="2020-03-31T00:00:00"/>
    <s v="VZ-2020-000306"/>
    <x v="1"/>
    <s v="Ondráčková"/>
    <x v="165"/>
    <n v="1"/>
    <s v="Faktor VII Baxalta"/>
    <m/>
    <s v="33621000-9"/>
    <m/>
    <n v="334412"/>
    <x v="0"/>
    <d v="2020-04-06T00:00:00"/>
    <d v="2020-05-28T00:00:00"/>
    <d v="2020-08-25T00:00:00"/>
    <s v="Takeda Pharmaceuticals CR s.r.o."/>
    <m/>
    <n v="334411.2"/>
    <n v="367852.32"/>
    <m/>
    <m/>
    <m/>
    <d v="2020-08-25T00:00:00"/>
    <s v="SMLN-2020-617-000354"/>
    <x v="81"/>
    <d v="2020-10-02T00:00:00"/>
    <d v="2023-09-28T00:00:00"/>
  </r>
  <r>
    <d v="2020-03-31T00:00:00"/>
    <s v="VZ-2020-000306"/>
    <x v="1"/>
    <s v="Ondráčková"/>
    <x v="165"/>
    <n v="2"/>
    <s v="Immunine"/>
    <m/>
    <s v="33621000-9"/>
    <m/>
    <n v="2257169"/>
    <x v="0"/>
    <d v="2020-04-06T00:00:00"/>
    <d v="2020-05-28T00:00:00"/>
    <d v="2020-08-25T00:00:00"/>
    <s v="Takeda Pharmaceuticals CR s.r.o."/>
    <m/>
    <n v="2257168.2000000002"/>
    <n v="2482885.02"/>
    <m/>
    <m/>
    <m/>
    <d v="2020-08-25T00:00:00"/>
    <s v="SMLN-2020-617-000355"/>
    <x v="81"/>
    <d v="2020-10-02T00:00:00"/>
    <d v="2023-09-28T00:00:00"/>
  </r>
  <r>
    <d v="2020-03-31T00:00:00"/>
    <s v="VZ-2020-000306"/>
    <x v="1"/>
    <s v="Ondráčková"/>
    <x v="165"/>
    <n v="3"/>
    <s v="Octanine F"/>
    <m/>
    <s v="33621000-9"/>
    <m/>
    <n v="1278426"/>
    <x v="0"/>
    <d v="2020-04-06T00:00:00"/>
    <d v="2020-05-28T00:00:00"/>
    <d v="2020-08-25T00:00:00"/>
    <s v="PHOENIX lék.velkoobchod, s.r.o."/>
    <m/>
    <n v="1278425.7"/>
    <n v="1406268.27"/>
    <m/>
    <m/>
    <m/>
    <d v="2020-08-25T00:00:00"/>
    <s v="SMLN-2020-617-000356"/>
    <x v="82"/>
    <d v="2020-10-02T00:00:00"/>
    <d v="2023-09-21T00:00:00"/>
  </r>
  <r>
    <d v="2020-03-31T00:00:00"/>
    <s v="VZ-2020-000306"/>
    <x v="1"/>
    <s v="Ondráčková"/>
    <x v="165"/>
    <n v="4"/>
    <s v="Feiba NF"/>
    <m/>
    <s v="33621000-9"/>
    <m/>
    <n v="279030"/>
    <x v="0"/>
    <d v="2020-04-06T00:00:00"/>
    <d v="2020-05-28T00:00:00"/>
    <d v="2020-08-25T00:00:00"/>
    <s v="Takeda Pharmaceuticals CR s.r.o."/>
    <m/>
    <n v="275370"/>
    <n v="302907"/>
    <m/>
    <m/>
    <m/>
    <d v="2020-08-25T00:00:00"/>
    <s v="SMLN-2020-617-000357"/>
    <x v="81"/>
    <d v="2020-10-02T00:00:00"/>
    <d v="2023-09-28T00:00:00"/>
  </r>
  <r>
    <d v="2020-03-31T00:00:00"/>
    <s v="VZ-2020-000306"/>
    <x v="1"/>
    <s v="Ondráčková"/>
    <x v="165"/>
    <n v="5"/>
    <s v="Ocplex"/>
    <m/>
    <s v="33621000-9"/>
    <m/>
    <n v="8223689"/>
    <x v="0"/>
    <d v="2020-04-06T00:00:00"/>
    <d v="2020-05-28T00:00:00"/>
    <m/>
    <s v="zrušeno - špatné zadání"/>
    <m/>
    <m/>
    <m/>
    <m/>
    <m/>
    <m/>
    <m/>
    <m/>
    <x v="0"/>
    <d v="2020-07-28T00:00:00"/>
    <s v="3.7.2020 zrušeno"/>
  </r>
  <r>
    <d v="2020-03-31T00:00:00"/>
    <s v="VZ-2020-000309"/>
    <x v="1"/>
    <s v="Ondráčková"/>
    <x v="166"/>
    <n v="1"/>
    <s v="BASILIXIMAB"/>
    <s v="L04AC02"/>
    <s v="33652300-8"/>
    <m/>
    <n v="3200000"/>
    <x v="0"/>
    <d v="2020-04-09T00:00:00"/>
    <d v="2020-05-14T00:00:00"/>
    <d v="2020-06-17T00:00:00"/>
    <s v="Alliance Healthcare s.r.o."/>
    <m/>
    <n v="3199999.44"/>
    <n v="3519999.38"/>
    <m/>
    <m/>
    <m/>
    <d v="2020-06-17T00:00:00"/>
    <s v="SMLN-2020-617-000254"/>
    <x v="52"/>
    <d v="2020-07-29T00:00:00"/>
    <d v="2023-07-20T00:00:00"/>
  </r>
  <r>
    <d v="2020-03-31T00:00:00"/>
    <s v="VZ-2020-000309"/>
    <x v="1"/>
    <s v="Ondráčková"/>
    <x v="166"/>
    <n v="2"/>
    <s v="BRODALUMAB "/>
    <s v="L04AC12"/>
    <s v="33652300-8"/>
    <m/>
    <n v="4936084"/>
    <x v="0"/>
    <d v="2020-04-09T00:00:00"/>
    <d v="2020-05-14T00:00:00"/>
    <d v="2020-06-17T00:00:00"/>
    <s v="Movianto Česká republika s.r.o."/>
    <m/>
    <n v="4936083.3"/>
    <n v="5429691.6299999999"/>
    <m/>
    <m/>
    <m/>
    <d v="2020-06-17T00:00:00"/>
    <s v="SMLN-2020-617-000255"/>
    <x v="52"/>
    <d v="2020-07-29T00:00:00"/>
    <d v="2023-07-20T00:00:00"/>
  </r>
  <r>
    <d v="2020-03-31T00:00:00"/>
    <s v="VZ-2020-000309"/>
    <x v="1"/>
    <s v="Ondráčková"/>
    <x v="166"/>
    <n v="3"/>
    <s v="ERLOTINIB-HYDROCHLORID "/>
    <s v="L04XE03"/>
    <s v="33652300-8"/>
    <m/>
    <n v="1991146"/>
    <x v="0"/>
    <d v="2020-04-09T00:00:00"/>
    <d v="2020-05-14T00:00:00"/>
    <d v="2020-06-17T00:00:00"/>
    <s v="Alliance Healthcare s.r.o."/>
    <m/>
    <n v="1979937.27"/>
    <n v="2177931"/>
    <m/>
    <m/>
    <m/>
    <d v="2020-06-17T00:00:00"/>
    <s v="SMLN-2020-617-000256"/>
    <x v="52"/>
    <d v="2020-07-29T00:00:00"/>
    <d v="2023-07-20T00:00:00"/>
  </r>
  <r>
    <d v="2020-03-31T00:00:00"/>
    <s v="VZ-2020-000309"/>
    <x v="1"/>
    <s v="Ondráčková"/>
    <x v="166"/>
    <n v="4"/>
    <s v="DABRAFENIB-MESILÁT"/>
    <s v="L04XE23"/>
    <s v="33652300-8"/>
    <m/>
    <n v="26912563"/>
    <x v="0"/>
    <d v="2020-04-09T00:00:00"/>
    <d v="2020-05-14T00:00:00"/>
    <d v="2020-06-17T00:00:00"/>
    <s v="Alliance Healthcare s.r.o."/>
    <m/>
    <n v="26912561.82"/>
    <n v="29603818"/>
    <m/>
    <m/>
    <m/>
    <d v="2020-06-17T00:00:00"/>
    <s v="SMLN-2020-617-000257"/>
    <x v="52"/>
    <d v="2020-07-29T00:00:00"/>
    <d v="2023-07-20T00:00:00"/>
  </r>
  <r>
    <d v="2020-03-31T00:00:00"/>
    <s v="VZ-2020-000309"/>
    <x v="1"/>
    <s v="Ondráčková"/>
    <x v="166"/>
    <n v="5"/>
    <s v="PEMBROLIZUMAB "/>
    <s v="L01XC18"/>
    <s v="33652100-6"/>
    <m/>
    <n v="36817368"/>
    <x v="0"/>
    <d v="2020-04-09T00:00:00"/>
    <d v="2020-05-14T00:00:00"/>
    <d v="2020-06-17T00:00:00"/>
    <s v="Merck Sharp &amp; Dohme s.r.o."/>
    <m/>
    <n v="36817333.350000001"/>
    <n v="40499066.689999998"/>
    <m/>
    <m/>
    <m/>
    <d v="2020-06-17T00:00:00"/>
    <s v="SMLN-2020-617-000258"/>
    <x v="52"/>
    <d v="2020-07-29T00:00:00"/>
    <d v="2023-07-20T00:00:00"/>
  </r>
  <r>
    <d v="2020-03-31T00:00:00"/>
    <s v="VZ-2020-000309"/>
    <x v="1"/>
    <s v="Ondráčková"/>
    <x v="166"/>
    <n v="6"/>
    <s v="LENVATINIB-MESILÁT"/>
    <s v="L04XE29"/>
    <s v="33652300-8"/>
    <m/>
    <n v="9788229"/>
    <x v="0"/>
    <d v="2020-04-09T00:00:00"/>
    <d v="2020-05-14T00:00:00"/>
    <d v="2020-06-17T00:00:00"/>
    <s v="Alliance Healthcare s.r.o."/>
    <m/>
    <n v="9788229"/>
    <n v="10767051.9"/>
    <m/>
    <m/>
    <m/>
    <d v="2020-06-17T00:00:00"/>
    <s v="SMLN-2020-617-000259"/>
    <x v="52"/>
    <d v="2020-07-29T00:00:00"/>
    <d v="2023-07-20T00:00:00"/>
  </r>
  <r>
    <d v="2020-03-31T00:00:00"/>
    <s v="VZ-2020-000310"/>
    <x v="1"/>
    <s v="Ondráčková"/>
    <x v="167"/>
    <n v="1"/>
    <s v="ENBREL"/>
    <s v="L04AB01"/>
    <s v="33652300-8"/>
    <m/>
    <n v="26086745"/>
    <x v="0"/>
    <d v="2020-04-17T00:00:00"/>
    <d v="2020-07-08T00:00:00"/>
    <d v="2020-08-17T00:00:00"/>
    <s v="PHOENIX lék.velkoobchod, s.r.o."/>
    <m/>
    <n v="25575264"/>
    <n v="28132790.399999999"/>
    <m/>
    <m/>
    <m/>
    <d v="2020-08-17T00:00:00"/>
    <s v="SMLN-2020-617-000333"/>
    <x v="83"/>
    <d v="2020-09-16T00:00:00"/>
    <d v="2023-09-10T00:00:00"/>
  </r>
  <r>
    <d v="2020-03-31T00:00:00"/>
    <s v="VZ-2020-000310"/>
    <x v="1"/>
    <s v="Ondráčková"/>
    <x v="167"/>
    <n v="2"/>
    <s v="CERTOLIZUMAB PEGOL "/>
    <s v="L04AB05"/>
    <s v="33652300-8"/>
    <m/>
    <n v="7634625"/>
    <x v="0"/>
    <d v="2020-04-17T00:00:00"/>
    <d v="2020-07-08T00:00:00"/>
    <d v="2020-08-17T00:00:00"/>
    <s v="Alliance Healthcare s.r.o."/>
    <m/>
    <n v="7847409.7800000003"/>
    <n v="8632150.7599999998"/>
    <m/>
    <m/>
    <m/>
    <d v="2020-08-17T00:00:00"/>
    <s v="SMLN-2020-617-000334"/>
    <x v="83"/>
    <d v="2020-09-16T00:00:00"/>
    <d v="2023-09-10T00:00:00"/>
  </r>
  <r>
    <d v="2020-03-31T00:00:00"/>
    <s v="VZ-2020-000310"/>
    <x v="1"/>
    <s v="Ondráčková"/>
    <x v="167"/>
    <n v="3"/>
    <s v="GOLIMUMAB "/>
    <s v="L04AB06"/>
    <s v="33652300-8"/>
    <m/>
    <n v="12200996"/>
    <x v="0"/>
    <d v="2020-04-17T00:00:00"/>
    <d v="2020-07-08T00:00:00"/>
    <d v="2020-08-17T00:00:00"/>
    <s v="Merck Sharp &amp; Dohme s.r.o."/>
    <m/>
    <n v="12200995.439999999"/>
    <n v="13421094.98"/>
    <m/>
    <m/>
    <m/>
    <d v="2020-08-17T00:00:00"/>
    <s v="SMLN-2020-617-000335"/>
    <x v="83"/>
    <d v="2020-09-16T00:00:00"/>
    <d v="2023-09-10T00:00:00"/>
  </r>
  <r>
    <d v="2020-03-31T00:00:00"/>
    <s v="VZ-2020-000310"/>
    <x v="1"/>
    <s v="Ondráčková"/>
    <x v="167"/>
    <n v="4"/>
    <s v="INFLIXIMAB pro léčbu dospělých pacientů"/>
    <s v="L04AB02"/>
    <s v="33652300-8"/>
    <m/>
    <n v="21367800"/>
    <x v="0"/>
    <d v="2020-04-17T00:00:00"/>
    <d v="2020-07-08T00:00:00"/>
    <m/>
    <m/>
    <m/>
    <m/>
    <m/>
    <m/>
    <m/>
    <m/>
    <m/>
    <m/>
    <x v="0"/>
    <d v="2020-09-04T00:00:00"/>
    <s v="12.8.2020 zrušeno"/>
  </r>
  <r>
    <d v="2020-03-31T00:00:00"/>
    <s v="VZ-2020-000312"/>
    <x v="1"/>
    <s v="Ondráčková"/>
    <x v="168"/>
    <n v="1"/>
    <s v="IVAKAFTOR A TEZAKAFTOR "/>
    <s v="R07AX31"/>
    <s v="33670000-7"/>
    <m/>
    <n v="5831517"/>
    <x v="0"/>
    <d v="2020-04-24T00:00:00"/>
    <d v="2020-05-29T00:00:00"/>
    <d v="2020-06-17T00:00:00"/>
    <s v="Vertex Pharmaceuticals (Ireland) Limited"/>
    <m/>
    <n v="5831516.4800000004"/>
    <n v="6414668.1299999999"/>
    <m/>
    <m/>
    <m/>
    <d v="2020-06-17T00:00:00"/>
    <s v="SMLN-2020-617-000260"/>
    <x v="84"/>
    <d v="2020-08-17T00:00:00"/>
    <d v="2024-08-13T00:00:00"/>
  </r>
  <r>
    <d v="2020-03-31T00:00:00"/>
    <s v="VZ-2020-000312"/>
    <x v="1"/>
    <s v="Ondráčková"/>
    <x v="168"/>
    <n v="2"/>
    <s v="IVAKAFTOR "/>
    <s v="R07AX02"/>
    <s v="33670000-7"/>
    <m/>
    <n v="21517045"/>
    <x v="0"/>
    <d v="2020-04-24T00:00:00"/>
    <d v="2020-05-29T00:00:00"/>
    <m/>
    <s v="zrušeno - bez nabídky"/>
    <m/>
    <m/>
    <m/>
    <m/>
    <m/>
    <m/>
    <m/>
    <m/>
    <x v="0"/>
    <d v="2020-06-17T00:00:00"/>
    <s v="16.6. zrušeno"/>
  </r>
  <r>
    <d v="2020-03-31T00:00:00"/>
    <s v="VZ-2020-000312"/>
    <x v="1"/>
    <s v="Ondráčková"/>
    <x v="168"/>
    <n v="3"/>
    <s v="IVAKAFTOR A LUMAKAFTOR "/>
    <s v="R07AX30"/>
    <s v="33670000-7"/>
    <m/>
    <n v="64077000"/>
    <x v="0"/>
    <d v="2020-04-24T00:00:00"/>
    <d v="2020-05-29T00:00:00"/>
    <d v="2020-06-17T00:00:00"/>
    <s v="Vertex Pharmaceuticals (Ireland) Limited"/>
    <m/>
    <n v="64076999.840000004"/>
    <n v="70484699.819999993"/>
    <m/>
    <m/>
    <m/>
    <d v="2020-06-17T00:00:00"/>
    <s v="SMLN-2020-617-000261"/>
    <x v="84"/>
    <d v="2020-08-17T00:00:00"/>
    <d v="2024-08-13T00:00:00"/>
  </r>
  <r>
    <d v="2020-04-08T00:00:00"/>
    <s v="VZ-2020-000333"/>
    <x v="16"/>
    <s v="Jeřábková"/>
    <x v="169"/>
    <m/>
    <m/>
    <m/>
    <s v="55120000-7"/>
    <m/>
    <n v="250000"/>
    <x v="2"/>
    <d v="2020-04-16T00:00:00"/>
    <d v="2020-04-28T00:00:00"/>
    <m/>
    <s v="zrušeno - změna zadávacích podmínek"/>
    <m/>
    <m/>
    <m/>
    <m/>
    <m/>
    <m/>
    <m/>
    <m/>
    <x v="0"/>
    <d v="2020-04-30T00:00:00"/>
    <m/>
  </r>
  <r>
    <d v="2020-04-15T00:00:00"/>
    <s v="VZ-2020-000340"/>
    <x v="18"/>
    <s v="Klimek"/>
    <x v="170"/>
    <m/>
    <m/>
    <m/>
    <s v="34136000-9"/>
    <s v="4.2.127."/>
    <n v="538000"/>
    <x v="2"/>
    <d v="2020-04-22T00:00:00"/>
    <d v="2020-04-30T00:00:00"/>
    <d v="2020-05-12T00:00:00"/>
    <s v="BRNOCAR a.s."/>
    <m/>
    <n v="579000"/>
    <n v="700590"/>
    <m/>
    <m/>
    <m/>
    <d v="2020-05-12T00:00:00"/>
    <s v="SMLN-2020-617-000179"/>
    <x v="75"/>
    <d v="2020-06-04T00:00:00"/>
    <d v="2020-10-26T00:00:00"/>
  </r>
  <r>
    <d v="2020-04-17T00:00:00"/>
    <s v="VZ-2020-000356"/>
    <x v="3"/>
    <s v="Zemánek"/>
    <x v="171"/>
    <m/>
    <m/>
    <m/>
    <s v="33162100-4"/>
    <s v="2.3.498."/>
    <n v="820000"/>
    <x v="2"/>
    <d v="2020-06-18T00:00:00"/>
    <d v="2020-07-01T00:00:00"/>
    <m/>
    <s v="zrušeno - bez hodnotitelné nabídky"/>
    <s v="nová VZ-2020-000736"/>
    <m/>
    <m/>
    <m/>
    <m/>
    <m/>
    <m/>
    <m/>
    <x v="0"/>
    <d v="2020-07-14T00:00:00"/>
    <m/>
  </r>
  <r>
    <d v="2020-04-17T00:00:00"/>
    <s v="VZ-2020-000357"/>
    <x v="3"/>
    <s v="Zemánek"/>
    <x v="172"/>
    <m/>
    <m/>
    <m/>
    <s v="33162100-4"/>
    <s v="2.3.497."/>
    <n v="1500000"/>
    <x v="2"/>
    <d v="2020-06-18T00:00:00"/>
    <d v="2020-07-01T00:00:00"/>
    <d v="2020-07-22T00:00:00"/>
    <s v="Johnson  &amp; Johnson s.r.o."/>
    <m/>
    <n v="1460000"/>
    <n v="1766600"/>
    <m/>
    <m/>
    <m/>
    <d v="2020-07-23T00:00:00"/>
    <s v="SMLN-2020-617-000291_x000a_SMLN-2020-612-000062"/>
    <x v="85"/>
    <d v="2020-08-24T00:00:00"/>
    <d v="2020-09-18T00:00:00"/>
  </r>
  <r>
    <d v="2020-04-16T00:00:00"/>
    <s v="VZ-2020-000358"/>
    <x v="7"/>
    <s v="Hlavinka"/>
    <x v="173"/>
    <m/>
    <m/>
    <m/>
    <s v="32422000-7"/>
    <s v="3.3.1."/>
    <n v="4603306"/>
    <x v="3"/>
    <d v="2020-04-20T00:00:00"/>
    <d v="2020-04-21T00:00:00"/>
    <d v="2020-04-23T00:00:00"/>
    <s v="MERIT GROUP a.s."/>
    <m/>
    <n v="4569000"/>
    <n v="5528490"/>
    <m/>
    <m/>
    <m/>
    <d v="2020-04-23T00:00:00"/>
    <s v="SMLN-2020-617-000157"/>
    <x v="64"/>
    <d v="2020-04-29T00:00:00"/>
    <d v="2020-05-19T00:00:00"/>
  </r>
  <r>
    <d v="2020-04-17T00:00:00"/>
    <s v="VZ-2020-000366"/>
    <x v="0"/>
    <s v="Dočkalová"/>
    <x v="174"/>
    <m/>
    <m/>
    <m/>
    <s v="33140000-3"/>
    <m/>
    <n v="1588800"/>
    <x v="2"/>
    <d v="2020-04-24T00:00:00"/>
    <d v="2020-05-05T00:00:00"/>
    <d v="2020-05-27T00:00:00"/>
    <s v="MeMed CZ s.r.o."/>
    <m/>
    <n v="1588800"/>
    <n v="1922440"/>
    <m/>
    <m/>
    <m/>
    <d v="2020-05-27T00:00:00"/>
    <s v="SMLN-2020-617-000205"/>
    <x v="57"/>
    <d v="2020-06-25T00:00:00"/>
    <s v="doba neurčitá"/>
  </r>
  <r>
    <d v="2020-04-16T00:00:00"/>
    <s v="VZ-2020-000367"/>
    <x v="16"/>
    <s v="Jeřábková"/>
    <x v="175"/>
    <m/>
    <m/>
    <m/>
    <s v="92222000-3"/>
    <m/>
    <n v="1000000"/>
    <x v="2"/>
    <d v="2020-05-13T00:00:00"/>
    <d v="2020-05-25T00:00:00"/>
    <m/>
    <s v="zrušeno - upravit specifikaci a vypsat znovu"/>
    <s v="Marketing  - Proebiz"/>
    <m/>
    <m/>
    <m/>
    <m/>
    <m/>
    <m/>
    <m/>
    <x v="0"/>
    <d v="2020-06-12T00:00:00"/>
    <m/>
  </r>
  <r>
    <d v="2020-04-22T00:00:00"/>
    <s v="VZ-2020-000371"/>
    <x v="14"/>
    <s v="Rosulek"/>
    <x v="176"/>
    <m/>
    <m/>
    <m/>
    <s v="33168100-6"/>
    <s v="2.2.258, 2.3.459"/>
    <n v="445000"/>
    <x v="2"/>
    <d v="2020-04-28T00:00:00"/>
    <d v="2020-05-07T00:00:00"/>
    <d v="2020-05-21T00:00:00"/>
    <s v="GPS Praha, spol. s r.o."/>
    <m/>
    <n v="468440"/>
    <n v="566812.4"/>
    <m/>
    <m/>
    <m/>
    <d v="2020-05-21T00:00:00"/>
    <s v="SMLN-2020-617-000198_x000a_SMLN-2020-612-000039"/>
    <x v="86"/>
    <d v="2020-06-24T00:00:00"/>
    <d v="2020-09-14T00:00:00"/>
  </r>
  <r>
    <d v="2020-04-22T00:00:00"/>
    <s v="VZ-2020-000372"/>
    <x v="3"/>
    <s v="Rosulek"/>
    <x v="177"/>
    <m/>
    <m/>
    <m/>
    <s v="33162100-4"/>
    <s v="2.2.262."/>
    <n v="413223"/>
    <x v="2"/>
    <d v="2020-05-04T00:00:00"/>
    <d v="2020-05-14T00:00:00"/>
    <d v="2020-06-22T00:00:00"/>
    <s v="Olympus Czech Group, s.r.o."/>
    <m/>
    <n v="411300"/>
    <n v="497673"/>
    <m/>
    <m/>
    <m/>
    <d v="2020-06-22T00:00:00"/>
    <s v="SMLN-2020-617-000266"/>
    <x v="87"/>
    <d v="2020-07-21T00:00:00"/>
    <d v="2020-09-18T00:00:00"/>
  </r>
  <r>
    <d v="2020-04-23T00:00:00"/>
    <s v="VZ-2020-000383"/>
    <x v="3"/>
    <s v="Rosulek"/>
    <x v="178"/>
    <m/>
    <m/>
    <m/>
    <s v="48180000-3"/>
    <s v="2.3.414."/>
    <n v="656000"/>
    <x v="2"/>
    <d v="2020-05-20T00:00:00"/>
    <d v="2020-05-29T00:00:00"/>
    <d v="2020-06-10T00:00:00"/>
    <s v="Laboratory Imaging s.r.o."/>
    <m/>
    <n v="710640"/>
    <n v="859874.4"/>
    <m/>
    <m/>
    <m/>
    <d v="2020-06-10T00:00:00"/>
    <s v="SMLN-2020-617-000234"/>
    <x v="53"/>
    <d v="2020-07-14T00:00:00"/>
    <s v="doba neurčitá"/>
  </r>
  <r>
    <d v="2020-04-24T00:00:00"/>
    <s v="VZ-2020-000392"/>
    <x v="9"/>
    <s v="Langer"/>
    <x v="179"/>
    <m/>
    <m/>
    <m/>
    <s v="45215100-8"/>
    <s v="1.3.24."/>
    <n v="5000000"/>
    <x v="2"/>
    <d v="2020-05-04T00:00:00"/>
    <d v="2020-05-20T00:00:00"/>
    <d v="2020-06-10T00:00:00"/>
    <s v="EP Rožnov, a.s."/>
    <m/>
    <n v="5475931.1200000001"/>
    <n v="6625876.6600000001"/>
    <m/>
    <m/>
    <m/>
    <d v="2020-06-10T00:00:00"/>
    <s v="SMLN-2020-618-000044"/>
    <x v="88"/>
    <d v="2020-07-14T00:00:00"/>
    <d v="2020-11-05T00:00:00"/>
  </r>
  <r>
    <d v="2020-04-23T00:00:00"/>
    <s v="VZ-2020-000393"/>
    <x v="3"/>
    <s v="Novák"/>
    <x v="180"/>
    <m/>
    <m/>
    <m/>
    <s v="33190000-8"/>
    <m/>
    <n v="700000"/>
    <x v="2"/>
    <d v="2020-05-07T00:00:00"/>
    <d v="2020-05-19T00:00:00"/>
    <m/>
    <s v="zrušeno - vypsat bez servisu"/>
    <s v="nová VZ-2020-000495"/>
    <m/>
    <m/>
    <m/>
    <m/>
    <m/>
    <m/>
    <m/>
    <x v="0"/>
    <d v="2020-05-20T00:00:00"/>
    <m/>
  </r>
  <r>
    <d v="2020-05-25T00:00:00"/>
    <s v="VZ-2020-000394"/>
    <x v="20"/>
    <s v="Kotzot"/>
    <x v="181"/>
    <m/>
    <m/>
    <m/>
    <s v="51700000-9"/>
    <m/>
    <n v="270000"/>
    <x v="2"/>
    <d v="2020-06-08T00:00:00"/>
    <d v="2020-06-18T00:00:00"/>
    <d v="2020-06-30T00:00:00"/>
    <s v="MERIT GROUP a.s."/>
    <m/>
    <n v="305567"/>
    <n v="369736"/>
    <m/>
    <m/>
    <m/>
    <d v="2020-06-30T00:00:00"/>
    <s v="SMLN-2020-618-000049"/>
    <x v="89"/>
    <d v="2020-07-23T00:00:00"/>
    <d v="2020-08-31T00:00:00"/>
  </r>
  <r>
    <d v="2020-02-12T00:00:00"/>
    <s v="VZ-2020-000400"/>
    <x v="0"/>
    <s v="Valtová"/>
    <x v="182"/>
    <n v="1"/>
    <s v="Oxygenátory pro kombinované srdeční operace "/>
    <m/>
    <s v="33186100-8 "/>
    <m/>
    <n v="14446280"/>
    <x v="0"/>
    <d v="2020-06-09T00:00:00"/>
    <d v="2020-07-27T00:00:00"/>
    <d v="2020-08-12T00:00:00"/>
    <s v="Cardion s.r.o."/>
    <m/>
    <n v="14446280"/>
    <n v="17480000"/>
    <m/>
    <m/>
    <m/>
    <d v="2020-08-12T00:00:00"/>
    <s v="SMLN-2020-617-000327_x000a_SMLN-2020-614-000022"/>
    <x v="90"/>
    <d v="2020-09-03T00:00:00"/>
    <d v="2022-08-31T00:00:00"/>
  </r>
  <r>
    <d v="2020-02-12T00:00:00"/>
    <s v="VZ-2020-000400"/>
    <x v="0"/>
    <s v="Valtová"/>
    <x v="182"/>
    <n v="2"/>
    <s v="Minisystém pro mimotělní oběh pro výkony na otevřeném srdci "/>
    <m/>
    <s v="33186100-8 "/>
    <m/>
    <n v="1454546"/>
    <x v="0"/>
    <d v="2020-06-09T00:00:00"/>
    <d v="2020-07-27T00:00:00"/>
    <d v="2020-08-12T00:00:00"/>
    <s v="Cardion s.r.o."/>
    <m/>
    <n v="1454545.45"/>
    <n v="1760000"/>
    <m/>
    <m/>
    <m/>
    <d v="2020-08-12T00:00:00"/>
    <s v="SMLN-2020-617-000328_x000a_SMLN-2020-614-000023"/>
    <x v="90"/>
    <d v="2020-09-03T00:00:00"/>
    <d v="2022-08-31T00:00:00"/>
  </r>
  <r>
    <d v="2020-04-27T00:00:00"/>
    <s v="VZ-2020-000417"/>
    <x v="7"/>
    <s v="Miklík"/>
    <x v="183"/>
    <m/>
    <m/>
    <m/>
    <s v="48820000-2"/>
    <s v="3.2.20, 3.2.37"/>
    <n v="5500000"/>
    <x v="0"/>
    <d v="2020-04-30T00:00:00"/>
    <d v="2020-05-18T00:00:00"/>
    <d v="2020-05-20T00:00:00"/>
    <s v="MERIT GROUP a.s."/>
    <m/>
    <n v="5493988.2699999996"/>
    <n v="6647728.8099999996"/>
    <m/>
    <m/>
    <m/>
    <d v="2020-05-20T00:00:00"/>
    <s v="SMLN-2020-617-000193"/>
    <x v="91"/>
    <d v="2020-06-16T00:00:00"/>
    <d v="2020-07-22T00:00:00"/>
  </r>
  <r>
    <d v="2020-04-27T00:00:00"/>
    <s v="VZ-2020-000428"/>
    <x v="0"/>
    <s v="Valtová"/>
    <x v="184"/>
    <m/>
    <m/>
    <m/>
    <s v="33140000-3"/>
    <m/>
    <n v="862920"/>
    <x v="2"/>
    <d v="2020-05-13T00:00:00"/>
    <d v="2020-05-26T00:00:00"/>
    <d v="2020-06-18T00:00:00"/>
    <s v="Medtronic Czechia s.r.o."/>
    <m/>
    <n v="1075320"/>
    <n v="1301137.2"/>
    <m/>
    <m/>
    <m/>
    <d v="2020-06-18T00:00:00"/>
    <s v="SMLN-2020-617-000263_x000a_SMLN-2020-614-000009"/>
    <x v="87"/>
    <d v="2020-07-21T00:00:00"/>
    <d v="2022-07-16T00:00:00"/>
  </r>
  <r>
    <d v="2020-04-20T00:00:00"/>
    <s v="VZ-2020-000431"/>
    <x v="5"/>
    <s v="Srovnal"/>
    <x v="185"/>
    <m/>
    <m/>
    <m/>
    <s v="31710000-6"/>
    <m/>
    <n v="6000000"/>
    <x v="0"/>
    <d v="2020-05-13T00:00:00"/>
    <d v="2020-06-17T00:00:00"/>
    <d v="2020-06-25T00:00:00"/>
    <s v="Kadlec-elektronika s.r.o."/>
    <m/>
    <n v="4959300"/>
    <n v="6000753"/>
    <m/>
    <m/>
    <m/>
    <d v="2020-06-25T00:00:00"/>
    <s v="SMLN-2020-618-000048"/>
    <x v="92"/>
    <d v="2020-08-26T00:00:00"/>
    <d v="2024-08-16T00:00:00"/>
  </r>
  <r>
    <d v="2020-05-04T00:00:00"/>
    <s v="VZ-2020-000437"/>
    <x v="18"/>
    <s v="Klimek"/>
    <x v="186"/>
    <m/>
    <m/>
    <m/>
    <s v="34300000-0"/>
    <m/>
    <n v="400000"/>
    <x v="2"/>
    <d v="2020-05-14T00:00:00"/>
    <d v="2020-05-28T00:00:00"/>
    <d v="2020-06-02T00:00:00"/>
    <s v="PNEUCENTRUM N&amp;N s.r.o."/>
    <m/>
    <n v="426300"/>
    <n v="515823"/>
    <m/>
    <m/>
    <m/>
    <d v="2020-06-02T00:00:00"/>
    <s v="SMLN-2020-617-000220"/>
    <x v="53"/>
    <d v="2020-07-14T00:00:00"/>
    <d v="2022-07-06T00:00:00"/>
  </r>
  <r>
    <d v="2020-04-30T00:00:00"/>
    <s v="VZ-2020-000439"/>
    <x v="7"/>
    <s v="Oravec"/>
    <x v="187"/>
    <m/>
    <m/>
    <m/>
    <s v="72261000-2"/>
    <s v="3.2.12."/>
    <n v="945000"/>
    <x v="2"/>
    <d v="2020-05-27T00:00:00"/>
    <d v="2020-06-11T00:00:00"/>
    <m/>
    <s v="zrušeno  - úprava zadávacích podmínek"/>
    <s v="nová VZ-2020-000658"/>
    <m/>
    <m/>
    <m/>
    <m/>
    <m/>
    <m/>
    <m/>
    <x v="0"/>
    <d v="2020-06-18T00:00:00"/>
    <m/>
  </r>
  <r>
    <s v="opakovaná VZ"/>
    <s v="VZ-2020-000448"/>
    <x v="12"/>
    <s v="Neudörflerová"/>
    <x v="188"/>
    <m/>
    <m/>
    <m/>
    <s v="33111620-3"/>
    <s v="2.3.319."/>
    <n v="23494497.559999999"/>
    <x v="0"/>
    <d v="2020-06-04T00:00:00"/>
    <d v="2020-07-07T00:00:00"/>
    <d v="2020-07-23T00:00:00"/>
    <s v="Stargen EU s.r.o."/>
    <m/>
    <n v="12133448"/>
    <n v="14681472.08"/>
    <m/>
    <m/>
    <m/>
    <d v="2020-07-23T00:00:00"/>
    <s v="SMLN-2020-617-000292_x000a_SMLN-2020-612-000063"/>
    <x v="84"/>
    <d v="2020-08-14T00:00:00"/>
    <d v="2020-11-13T00:00:00"/>
  </r>
  <r>
    <d v="2020-04-29T00:00:00"/>
    <s v="VZ-2020-000449"/>
    <x v="3"/>
    <s v="Rosulek"/>
    <x v="189"/>
    <m/>
    <m/>
    <m/>
    <s v="33190000-8"/>
    <s v="2.2.281,282"/>
    <n v="489000"/>
    <x v="2"/>
    <d v="2020-05-12T00:00:00"/>
    <d v="2020-05-22T00:00:00"/>
    <d v="2020-05-28T00:00:00"/>
    <s v="AKC konstrukce s.r.o."/>
    <m/>
    <n v="480200"/>
    <n v="581042"/>
    <m/>
    <m/>
    <m/>
    <d v="2020-05-29T00:00:00"/>
    <s v="SMLN-2020-617-000212_x000a_SMLN-2020-612-000040"/>
    <x v="43"/>
    <d v="2020-06-09T00:00:00"/>
    <d v="2020-07-20T00:00:00"/>
  </r>
  <r>
    <d v="2020-05-05T00:00:00"/>
    <s v="VZ-2020-000453"/>
    <x v="1"/>
    <s v="Ondráčková"/>
    <x v="190"/>
    <n v="1"/>
    <s v="HEPARIN"/>
    <m/>
    <s v="33621100-0"/>
    <m/>
    <n v="3127212"/>
    <x v="0"/>
    <d v="2020-05-15T00:00:00"/>
    <d v="2020-08-13T00:00:00"/>
    <m/>
    <s v="zrušeno - bez nabídky"/>
    <s v="bude se opakovat"/>
    <m/>
    <m/>
    <m/>
    <m/>
    <m/>
    <m/>
    <m/>
    <x v="0"/>
    <d v="2020-08-19T00:00:00"/>
    <s v="19.8.2020 zrušeno"/>
  </r>
  <r>
    <d v="2020-05-05T00:00:00"/>
    <s v="VZ-2020-000453"/>
    <x v="1"/>
    <s v="Ondráčková"/>
    <x v="190"/>
    <n v="2"/>
    <s v="APIXABAN"/>
    <m/>
    <s v="33621100-0"/>
    <m/>
    <n v="11918478"/>
    <x v="0"/>
    <d v="2020-05-15T00:00:00"/>
    <d v="2020-08-13T00:00:00"/>
    <d v="2020-10-07T00:00:00"/>
    <s v="PHOENIX lék.velkoobchod, s.r.o."/>
    <m/>
    <n v="11805472.5"/>
    <n v="12986019.75"/>
    <m/>
    <m/>
    <m/>
    <d v="2020-10-07T00:00:00"/>
    <s v="SMLN-2020-617-000456"/>
    <x v="93"/>
    <d v="2020-11-19T00:00:00"/>
    <d v="2023-11-03T00:00:00"/>
  </r>
  <r>
    <d v="2020-05-05T00:00:00"/>
    <s v="VZ-2020-000453"/>
    <x v="1"/>
    <s v="Ondráčková"/>
    <x v="190"/>
    <n v="3"/>
    <s v="RIVAROXABAN"/>
    <m/>
    <s v="33621100-0"/>
    <m/>
    <n v="8792088"/>
    <x v="0"/>
    <d v="2020-05-15T00:00:00"/>
    <d v="2020-08-13T00:00:00"/>
    <m/>
    <s v="zrušeno  bez nabídky"/>
    <s v="bude se opakovat"/>
    <m/>
    <m/>
    <m/>
    <m/>
    <m/>
    <m/>
    <m/>
    <x v="0"/>
    <d v="2020-08-19T00:00:00"/>
    <s v="19.8.2020 zrušeno"/>
  </r>
  <r>
    <d v="2020-05-05T00:00:00"/>
    <s v="VZ-2020-000453"/>
    <x v="1"/>
    <s v="Ondráčková"/>
    <x v="190"/>
    <n v="4"/>
    <s v="DABIGATRAN-ETEXILÁT"/>
    <m/>
    <s v="33621100-0"/>
    <m/>
    <n v="6916307"/>
    <x v="0"/>
    <d v="2020-05-15T00:00:00"/>
    <d v="2020-08-13T00:00:00"/>
    <d v="2020-10-07T00:00:00"/>
    <s v="Boehringer Ingelheim spol. s r.o."/>
    <m/>
    <n v="6916305.7800000003"/>
    <n v="7607936.3600000003"/>
    <m/>
    <m/>
    <m/>
    <d v="2020-10-07T00:00:00"/>
    <s v="SMLN-2020-617-000457"/>
    <x v="94"/>
    <d v="2020-11-19T00:00:00"/>
    <d v="2023-11-12T00:00:00"/>
  </r>
  <r>
    <d v="2020-05-05T00:00:00"/>
    <s v="VZ-2020-000453"/>
    <x v="1"/>
    <s v="Ondráčková"/>
    <x v="190"/>
    <n v="5"/>
    <s v="ENOXAPARIN "/>
    <m/>
    <s v="33621100-0"/>
    <m/>
    <n v="1899087"/>
    <x v="0"/>
    <d v="2020-05-15T00:00:00"/>
    <d v="2020-08-13T00:00:00"/>
    <d v="2020-10-07T00:00:00"/>
    <s v="Alliance Healthcare s.r.o."/>
    <m/>
    <n v="1582576.2"/>
    <n v="1740833.82"/>
    <m/>
    <m/>
    <m/>
    <d v="2020-10-07T00:00:00"/>
    <s v="SMLN-2020-617-000458"/>
    <x v="93"/>
    <d v="2020-11-19T00:00:00"/>
    <d v="2023-11-03T00:00:00"/>
  </r>
  <r>
    <d v="2020-05-05T00:00:00"/>
    <s v="VZ-2020-000454"/>
    <x v="1"/>
    <s v="Ondráčková"/>
    <x v="191"/>
    <n v="1"/>
    <s v="HAEMOCOMPLETTAN P"/>
    <m/>
    <s v="33621000-9"/>
    <m/>
    <n v="2141062"/>
    <x v="0"/>
    <d v="2020-05-15T00:00:00"/>
    <d v="2020-06-19T00:00:00"/>
    <d v="2020-07-09T00:00:00"/>
    <s v="CSL Behring s.r.o."/>
    <m/>
    <n v="2123053.5"/>
    <n v="2335358.85"/>
    <m/>
    <m/>
    <m/>
    <d v="2020-07-13T00:00:00"/>
    <s v="SMLN-2020-617-000276"/>
    <x v="95"/>
    <d v="2020-09-03T00:00:00"/>
    <d v="2023-08-26T00:00:00"/>
  </r>
  <r>
    <d v="2020-05-05T00:00:00"/>
    <s v="VZ-2020-000454"/>
    <x v="1"/>
    <s v="Ondráčková"/>
    <x v="191"/>
    <n v="2"/>
    <s v="KANAVIT"/>
    <m/>
    <s v="33621000-9"/>
    <m/>
    <n v="597993"/>
    <x v="0"/>
    <d v="2020-05-15T00:00:00"/>
    <d v="2020-06-19T00:00:00"/>
    <m/>
    <s v="zrušeno - špatné zadání"/>
    <m/>
    <m/>
    <m/>
    <m/>
    <m/>
    <m/>
    <m/>
    <m/>
    <x v="0"/>
    <d v="2020-07-28T00:00:00"/>
    <s v="3.7.2020 zrušeno"/>
  </r>
  <r>
    <d v="2020-05-05T00:00:00"/>
    <s v="VZ-2020-000454"/>
    <x v="1"/>
    <s v="Ondráčková"/>
    <x v="191"/>
    <n v="3"/>
    <s v="HEMLIBRA"/>
    <m/>
    <s v="33621000-9"/>
    <m/>
    <n v="3276624"/>
    <x v="0"/>
    <d v="2020-05-15T00:00:00"/>
    <d v="2020-06-19T00:00:00"/>
    <d v="2020-07-09T00:00:00"/>
    <s v="ROCHE s.r.o."/>
    <m/>
    <n v="3276624"/>
    <n v="3604286.4"/>
    <m/>
    <m/>
    <m/>
    <d v="2020-07-13T00:00:00"/>
    <s v="SMLN-2020-617-000277"/>
    <x v="92"/>
    <d v="2020-09-03T00:00:00"/>
    <d v="2023-08-16T00:00:00"/>
  </r>
  <r>
    <d v="2020-05-05T00:00:00"/>
    <s v="VZ-2020-000454"/>
    <x v="1"/>
    <s v="Ondráčková"/>
    <x v="191"/>
    <n v="4"/>
    <s v="NOVOSEVEN"/>
    <m/>
    <s v="33621000-9"/>
    <m/>
    <n v="4799667"/>
    <x v="0"/>
    <d v="2020-05-15T00:00:00"/>
    <d v="2020-06-19T00:00:00"/>
    <d v="2020-07-09T00:00:00"/>
    <s v="Alliance Healthcare s.r.o."/>
    <m/>
    <n v="4799665.3499999996"/>
    <n v="5279631.8899999997"/>
    <m/>
    <m/>
    <m/>
    <d v="2020-07-13T00:00:00"/>
    <s v="SMLN-2020-617-000278"/>
    <x v="84"/>
    <d v="2020-09-03T00:00:00"/>
    <d v="2023-08-13T00:00:00"/>
  </r>
  <r>
    <d v="2020-05-05T00:00:00"/>
    <s v="VZ-2020-000454"/>
    <x v="1"/>
    <s v="Ondráčková"/>
    <x v="191"/>
    <n v="5"/>
    <s v="REFACTO AF"/>
    <m/>
    <s v="33621000-9"/>
    <m/>
    <n v="4223469"/>
    <x v="0"/>
    <d v="2020-05-15T00:00:00"/>
    <d v="2020-06-19T00:00:00"/>
    <d v="2020-07-09T00:00:00"/>
    <s v="PHOENIX lék.velkoobchod, s.r.o."/>
    <m/>
    <n v="4223467.29"/>
    <n v="4645814.0199999996"/>
    <m/>
    <m/>
    <m/>
    <d v="2020-07-13T00:00:00"/>
    <s v="SMLN-2020-617-000279"/>
    <x v="72"/>
    <d v="2020-09-03T00:00:00"/>
    <d v="2023-08-11T00:00:00"/>
  </r>
  <r>
    <d v="2020-05-07T00:00:00"/>
    <s v="VZ-2020-000462"/>
    <x v="13"/>
    <s v="Zemánek"/>
    <x v="192"/>
    <m/>
    <m/>
    <m/>
    <s v="33167000-8"/>
    <m/>
    <n v="810000"/>
    <x v="2"/>
    <d v="2020-05-28T00:00:00"/>
    <d v="2020-06-09T00:00:00"/>
    <d v="2020-06-15T00:00:00"/>
    <s v="Dräger Medical s.r.o."/>
    <m/>
    <n v="477112"/>
    <n v="577305.52"/>
    <m/>
    <m/>
    <m/>
    <d v="2020-06-15T00:00:00"/>
    <s v="SMLN-2020-617-000241_x000a_SMLN-2020-612-000044"/>
    <x v="51"/>
    <d v="2020-07-02T00:00:00"/>
    <d v="2020-08-26T00:00:00"/>
  </r>
  <r>
    <d v="2020-04-30T00:00:00"/>
    <s v="VZ-2020-000463"/>
    <x v="5"/>
    <s v="Srovnal"/>
    <x v="193"/>
    <m/>
    <m/>
    <m/>
    <s v="33190000-8"/>
    <m/>
    <n v="4800000"/>
    <x v="0"/>
    <d v="2020-06-26T00:00:00"/>
    <d v="2020-07-31T00:00:00"/>
    <d v="2020-08-26T00:00:00"/>
    <s v="Dräger Medical s.r.o."/>
    <m/>
    <n v="2918210"/>
    <n v="3531034.1"/>
    <m/>
    <m/>
    <m/>
    <d v="2020-08-26T00:00:00"/>
    <s v="SMLN-2020-617-000365_x000a_SMLN-2020-612-000076"/>
    <x v="96"/>
    <d v="2020-12-21T00:00:00"/>
    <n v="2021"/>
  </r>
  <r>
    <d v="2020-05-12T00:00:00"/>
    <s v="VZ-2020-000464"/>
    <x v="3"/>
    <s v="Novák"/>
    <x v="194"/>
    <m/>
    <m/>
    <m/>
    <s v="33169300-5"/>
    <m/>
    <n v="1000000"/>
    <x v="2"/>
    <d v="2020-05-15T00:00:00"/>
    <d v="2020-05-26T00:00:00"/>
    <d v="2020-06-12T00:00:00"/>
    <s v="Pro-Charitu s.r.o."/>
    <m/>
    <n v="1050323"/>
    <n v="1270890.83"/>
    <m/>
    <m/>
    <m/>
    <d v="2020-06-12T00:00:00"/>
    <s v="SMLN-2020-617-000238"/>
    <x v="97"/>
    <d v="2020-07-14T00:00:00"/>
    <d v="2020-08-27T00:00:00"/>
  </r>
  <r>
    <d v="2020-05-11T00:00:00"/>
    <s v="VZ-2020-000476"/>
    <x v="1"/>
    <s v="Ondráčková"/>
    <x v="195"/>
    <m/>
    <m/>
    <m/>
    <s v="33652100-6 "/>
    <m/>
    <n v="66386351"/>
    <x v="0"/>
    <d v="2020-06-18T00:00:00"/>
    <d v="2020-08-13T00:00:00"/>
    <d v="2020-09-10T00:00:00"/>
    <s v="Gilead Sciences s.r.o."/>
    <m/>
    <n v="66386350.719999999"/>
    <n v="73024985.790000007"/>
    <m/>
    <m/>
    <m/>
    <d v="2020-09-10T00:00:00"/>
    <s v="SMLN-2020-617-000391"/>
    <x v="98"/>
    <d v="2020-11-16T00:00:00"/>
    <d v="2024-10-15T00:00:00"/>
  </r>
  <r>
    <d v="2020-05-11T00:00:00"/>
    <s v="VZ-2020-000477"/>
    <x v="1"/>
    <s v="Ondráčková"/>
    <x v="196"/>
    <m/>
    <m/>
    <m/>
    <s v="33652100-6"/>
    <m/>
    <n v="87098147"/>
    <x v="0"/>
    <d v="2020-06-22T00:00:00"/>
    <d v="2020-07-27T00:00:00"/>
    <d v="2020-08-06T00:00:00"/>
    <s v="Amgen s.r.o."/>
    <m/>
    <n v="87098146.290000007"/>
    <n v="95807960.920000002"/>
    <m/>
    <m/>
    <m/>
    <d v="2020-08-06T00:00:00"/>
    <s v="SMLN-2020-617-000318"/>
    <x v="83"/>
    <d v="2020-10-08T00:00:00"/>
    <d v="2023-09-10T00:00:00"/>
  </r>
  <r>
    <d v="2020-05-15T00:00:00"/>
    <s v="VZ-2020-000478"/>
    <x v="0"/>
    <s v="Merta"/>
    <x v="197"/>
    <n v="1"/>
    <s v="Kardiostimulátory s možností vzdálené kontroly a monitorace pacienta včetně jednotky pro vzdálenou monitoraci"/>
    <m/>
    <s v="33182210-4 "/>
    <m/>
    <n v="45869095"/>
    <x v="0"/>
    <d v="2020-05-25T00:00:00"/>
    <d v="2020-06-29T00:00:00"/>
    <d v="2020-07-28T00:00:00"/>
    <s v="Cardiomedical s.r.o."/>
    <m/>
    <n v="45869095"/>
    <n v="52749459.25"/>
    <m/>
    <m/>
    <m/>
    <d v="2020-07-30T00:00:00"/>
    <s v="SMLN-2020-617-000298_x000a_SMLN-2020-614-000013_x000a_SMLN-2020-616-000034"/>
    <x v="99"/>
    <d v="2020-09-30T00:00:00"/>
    <d v="2023-09-22T00:00:00"/>
  </r>
  <r>
    <d v="2020-05-15T00:00:00"/>
    <s v="VZ-2020-000478"/>
    <x v="0"/>
    <s v="Merta"/>
    <x v="197"/>
    <n v="2"/>
    <s v="Kardiostimulátory s možností včasného upozornění hrozícího srdečního selhání"/>
    <m/>
    <s v="33182210-4 "/>
    <m/>
    <n v="9626321"/>
    <x v="0"/>
    <d v="2020-05-25T00:00:00"/>
    <d v="2020-06-29T00:00:00"/>
    <d v="2020-07-28T00:00:00"/>
    <s v="CARDION  s.r.o."/>
    <m/>
    <n v="9624913.0399999991"/>
    <n v="11068650"/>
    <m/>
    <m/>
    <m/>
    <d v="2020-07-30T00:00:00"/>
    <s v="SMLN-2020-617-000299_x000a_SMLN-2020-614-000014_x000a_SMLN-2020-616-000035"/>
    <x v="99"/>
    <d v="2020-09-30T00:00:00"/>
    <d v="2023-09-22T00:00:00"/>
  </r>
  <r>
    <d v="2020-05-15T00:00:00"/>
    <s v="VZ-2020-000478"/>
    <x v="0"/>
    <s v="Merta"/>
    <x v="197"/>
    <n v="3"/>
    <s v="Kardiostimulátory pro pacienty po extrakci pro závažné infekční komplikace výkonu a pro pacienty s vysokým potencionálním rizikem vzniku infekčních komplikací"/>
    <m/>
    <s v="33182210-4 "/>
    <m/>
    <n v="3103825"/>
    <x v="0"/>
    <d v="2020-05-25T00:00:00"/>
    <d v="2020-06-29T00:00:00"/>
    <m/>
    <s v="zrušeno - 1 nabídka nesplnila zadání"/>
    <s v="nová VZ-2020-001283"/>
    <m/>
    <m/>
    <m/>
    <m/>
    <m/>
    <m/>
    <m/>
    <x v="0"/>
    <d v="2020-09-15T00:00:00"/>
    <s v="19.8.2020 zrušeno"/>
  </r>
  <r>
    <d v="2020-05-15T00:00:00"/>
    <s v="VZ-2020-000478"/>
    <x v="0"/>
    <s v="Merta"/>
    <x v="197"/>
    <n v="4"/>
    <s v="Kardiostimulátory s duálním senzorem, hemodynamickým monitorováním kontraktility pomocí transvalvulární impedance (TVI) a možností vzdálené kontroly včetně komunikačního prostředku"/>
    <m/>
    <s v="33182210-4 "/>
    <m/>
    <n v="7238400"/>
    <x v="0"/>
    <d v="2020-05-25T00:00:00"/>
    <d v="2020-06-29T00:00:00"/>
    <d v="2020-07-28T00:00:00"/>
    <s v="MEDKOTECH s.r.o."/>
    <m/>
    <n v="7238400"/>
    <n v="8324160"/>
    <m/>
    <m/>
    <m/>
    <d v="2020-07-30T00:00:00"/>
    <s v="SMLN-2020-617-000300_x000a_SMLN-2020-614-000015_x000a_SMLN-2020-616-000036"/>
    <x v="99"/>
    <d v="2020-09-30T00:00:00"/>
    <d v="2023-09-22T00:00:00"/>
  </r>
  <r>
    <d v="2020-05-15T00:00:00"/>
    <s v="VZ-2020-000478"/>
    <x v="0"/>
    <s v="Merta"/>
    <x v="197"/>
    <n v="5"/>
    <s v="Systém bezelektrodového kardiostimulátoru zaváděného katetrizační technikou"/>
    <m/>
    <s v="33182210-4 "/>
    <m/>
    <n v="8525000"/>
    <x v="0"/>
    <d v="2020-05-25T00:00:00"/>
    <d v="2020-06-29T00:00:00"/>
    <d v="2020-07-28T00:00:00"/>
    <s v="Medtronic Czechia s.r.o."/>
    <m/>
    <n v="8525000"/>
    <n v="9803750"/>
    <m/>
    <m/>
    <m/>
    <d v="2020-07-30T00:00:00"/>
    <s v="SMLN-2020-617-000301_x000a_SMLN-2020-614-000016_x000a_SMLN-2020-616-000037"/>
    <x v="99"/>
    <d v="2020-09-30T00:00:00"/>
    <d v="2023-09-22T00:00:00"/>
  </r>
  <r>
    <d v="2020-05-18T00:00:00"/>
    <s v="VZ-2020-000479"/>
    <x v="7"/>
    <s v="Oravec"/>
    <x v="198"/>
    <m/>
    <m/>
    <m/>
    <s v="64212100-6"/>
    <m/>
    <n v="430000"/>
    <x v="2"/>
    <d v="2020-06-05T00:00:00"/>
    <d v="2020-06-19T00:00:00"/>
    <m/>
    <s v="zrušeno"/>
    <m/>
    <m/>
    <m/>
    <m/>
    <m/>
    <m/>
    <m/>
    <m/>
    <x v="0"/>
    <d v="2020-07-22T00:00:00"/>
    <m/>
  </r>
  <r>
    <d v="2020-05-19T00:00:00"/>
    <s v="VZ-2020-000490"/>
    <x v="0"/>
    <s v="Dočkalová"/>
    <x v="199"/>
    <m/>
    <m/>
    <m/>
    <s v="33140000-3"/>
    <m/>
    <n v="1500000"/>
    <x v="2"/>
    <d v="2020-05-26T00:00:00"/>
    <d v="2020-06-09T00:00:00"/>
    <d v="2020-06-29T00:00:00"/>
    <s v="Fresenius Kabi s.r.o."/>
    <m/>
    <n v="1377000"/>
    <n v="1666170"/>
    <m/>
    <m/>
    <m/>
    <d v="2020-06-29T00:00:00"/>
    <s v="SMLN-2020-617-000269"/>
    <x v="100"/>
    <d v="2020-08-13T00:00:00"/>
    <d v="2023-08-05T00:00:00"/>
  </r>
  <r>
    <d v="2020-04-15T00:00:00"/>
    <s v="VZ-2020-000492"/>
    <x v="18"/>
    <s v="Klimek"/>
    <x v="200"/>
    <n v="1"/>
    <s v="Servis sanitních vozidel "/>
    <m/>
    <s v="50110000-9, 34300000"/>
    <m/>
    <n v="5200000"/>
    <x v="0"/>
    <d v="2020-07-16T00:00:00"/>
    <d v="2020-08-19T00:00:00"/>
    <d v="2020-09-24T00:00:00"/>
    <s v="AUTO ČECHÁK s.r.o."/>
    <m/>
    <n v="5200000"/>
    <s v="jednotkové ceny"/>
    <m/>
    <m/>
    <m/>
    <d v="2020-09-30T00:00:00"/>
    <s v="SMLN-2020-618-000085"/>
    <x v="101"/>
    <d v="2020-12-03T00:00:00"/>
    <d v="2024-11-19T00:00:00"/>
  </r>
  <r>
    <d v="2020-04-15T00:00:00"/>
    <s v="VZ-2020-000492"/>
    <x v="18"/>
    <s v="Klimek"/>
    <x v="200"/>
    <n v="2"/>
    <s v="Servis osobních vozidel "/>
    <m/>
    <s v="50110000-9, 34300000"/>
    <m/>
    <n v="2000000"/>
    <x v="0"/>
    <d v="2020-07-16T00:00:00"/>
    <d v="2020-08-19T00:00:00"/>
    <d v="2020-09-24T00:00:00"/>
    <s v="Jiří Klanica"/>
    <m/>
    <n v="2000000"/>
    <s v="jednotkové ceny"/>
    <m/>
    <m/>
    <m/>
    <d v="2020-09-30T00:00:00"/>
    <s v="SMLN-2020-618-000086"/>
    <x v="102"/>
    <d v="2020-12-03T00:00:00"/>
    <d v="2024-12-01T00:00:00"/>
  </r>
  <r>
    <d v="2020-04-15T00:00:00"/>
    <s v="VZ-2020-000492"/>
    <x v="18"/>
    <s v="Klimek"/>
    <x v="200"/>
    <n v="3"/>
    <s v="Servis dodávkových vozidel (vozidla koncernu VW)"/>
    <m/>
    <s v="50110000-9, 34300000"/>
    <m/>
    <n v="1300000"/>
    <x v="0"/>
    <d v="2020-07-16T00:00:00"/>
    <d v="2020-08-19T00:00:00"/>
    <d v="2020-09-24T00:00:00"/>
    <s v="Jiří Klanica"/>
    <m/>
    <n v="1300000"/>
    <s v="jednotkové ceny"/>
    <m/>
    <m/>
    <m/>
    <d v="2020-09-30T00:00:00"/>
    <s v="SMLN-2020-618-000087"/>
    <x v="102"/>
    <d v="2020-12-03T00:00:00"/>
    <d v="2024-12-01T00:00:00"/>
  </r>
  <r>
    <d v="2020-04-15T00:00:00"/>
    <s v="VZ-2020-000492"/>
    <x v="18"/>
    <s v="Klimek"/>
    <x v="200"/>
    <n v="4"/>
    <s v="Servis dodávkových vozidel (mimo vozidla koncernu VW)"/>
    <m/>
    <s v="50110000-9, 34300000"/>
    <m/>
    <n v="200000"/>
    <x v="0"/>
    <d v="2020-07-16T00:00:00"/>
    <d v="2020-08-19T00:00:00"/>
    <d v="2020-09-24T00:00:00"/>
    <s v="Jiří Klanica"/>
    <m/>
    <n v="200000"/>
    <s v="jednotkové ceny"/>
    <m/>
    <m/>
    <m/>
    <d v="2020-09-30T00:00:00"/>
    <s v="SMLN-2020-618-000088"/>
    <x v="102"/>
    <d v="2020-12-03T00:00:00"/>
    <d v="2024-12-01T00:00:00"/>
  </r>
  <r>
    <s v="opakovaná VZ"/>
    <s v="VZ-2020-000495"/>
    <x v="3"/>
    <s v="Novák"/>
    <x v="201"/>
    <m/>
    <m/>
    <m/>
    <s v="33100000-1"/>
    <m/>
    <n v="700000"/>
    <x v="2"/>
    <d v="2020-05-25T00:00:00"/>
    <d v="2020-06-02T00:00:00"/>
    <d v="2020-06-10T00:00:00"/>
    <s v="Dräger Medical s.r.o."/>
    <m/>
    <n v="692875"/>
    <n v="838378.75"/>
    <m/>
    <m/>
    <m/>
    <d v="2020-06-11T00:00:00"/>
    <s v="SMLN-2020-617-000235"/>
    <x v="52"/>
    <d v="2020-07-27T00:00:00"/>
    <d v="2020-08-18T00:00:00"/>
  </r>
  <r>
    <d v="2020-05-15T00:00:00"/>
    <s v="VZ-2020-000496"/>
    <x v="0"/>
    <s v="Merta"/>
    <x v="202"/>
    <n v="1"/>
    <s v="ICD s komplexní monitorací"/>
    <m/>
    <s v="33182100-0"/>
    <m/>
    <n v="250080000"/>
    <x v="0"/>
    <d v="2020-05-27T00:00:00"/>
    <d v="2020-07-01T00:00:00"/>
    <d v="2020-08-10T00:00:00"/>
    <s v="Cardiomedical s.r.o."/>
    <m/>
    <n v="250080000"/>
    <n v="287592000"/>
    <m/>
    <m/>
    <m/>
    <d v="2020-08-10T00:00:00"/>
    <s v="SMLN-2020-617-000324_x000a_SMLN-2020-614-000019_x000a_SMLN-2020-616-000041"/>
    <x v="103"/>
    <d v="2020-09-29T00:00:00"/>
    <d v="2023-09-15T00:00:00"/>
  </r>
  <r>
    <d v="2020-05-15T00:00:00"/>
    <s v="VZ-2020-000496"/>
    <x v="0"/>
    <s v="Merta"/>
    <x v="202"/>
    <n v="2"/>
    <s v="ICD s možností zvýšené ochrany a programovatelných parametrů výboje"/>
    <m/>
    <s v="33182100-0"/>
    <m/>
    <n v="56950000"/>
    <x v="0"/>
    <d v="2020-05-27T00:00:00"/>
    <d v="2020-07-01T00:00:00"/>
    <d v="2020-08-10T00:00:00"/>
    <s v="Cardion s.r.o."/>
    <m/>
    <n v="56923000"/>
    <n v="65461450"/>
    <m/>
    <m/>
    <m/>
    <d v="2020-08-10T00:00:00"/>
    <s v="SMLN-2020-617-000325_x000a_SMLN-2020-614-000020_x000a_SMLN-2020-616-000042"/>
    <x v="103"/>
    <d v="2020-09-29T00:00:00"/>
    <d v="2023-09-15T00:00:00"/>
  </r>
  <r>
    <d v="2020-05-15T00:00:00"/>
    <s v="VZ-2020-000496"/>
    <x v="0"/>
    <s v="Merta"/>
    <x v="202"/>
    <n v="3"/>
    <s v="ICD pro komplexní mnagement pacientů s vysokým rizikem infekčních komplikací"/>
    <m/>
    <s v="33182100-0"/>
    <m/>
    <n v="25040000"/>
    <x v="0"/>
    <d v="2020-05-27T00:00:00"/>
    <d v="2020-07-01T00:00:00"/>
    <m/>
    <m/>
    <s v="nová VZ-2020-001285"/>
    <m/>
    <m/>
    <m/>
    <m/>
    <m/>
    <m/>
    <m/>
    <x v="0"/>
    <d v="2020-09-29T00:00:00"/>
    <s v="2.9.2020 zrušeno"/>
  </r>
  <r>
    <d v="2020-05-15T00:00:00"/>
    <s v="VZ-2020-000496"/>
    <x v="0"/>
    <s v="Merta"/>
    <x v="202"/>
    <n v="4"/>
    <s v="Standardní ICD terapie"/>
    <m/>
    <s v="33182100-0"/>
    <m/>
    <n v="72497500"/>
    <x v="0"/>
    <d v="2020-05-27T00:00:00"/>
    <d v="2020-07-01T00:00:00"/>
    <d v="2020-08-10T00:00:00"/>
    <s v="INLAB Medical s.r.o."/>
    <m/>
    <n v="72497500"/>
    <n v="83396125"/>
    <m/>
    <m/>
    <m/>
    <d v="2020-08-10T00:00:00"/>
    <s v="SMLN-2020-617-000326_x000a_SMLN-2020-614-000021_x000a_SMLN-2020-616-000043"/>
    <x v="103"/>
    <d v="2020-09-29T00:00:00"/>
    <d v="2023-09-15T00:00:00"/>
  </r>
  <r>
    <d v="2020-05-21T00:00:00"/>
    <s v="VZ-2020-000499"/>
    <x v="21"/>
    <s v="Bodinkova"/>
    <x v="203"/>
    <n v="1"/>
    <s v="Plně automatizovaná koagulace"/>
    <m/>
    <s v="33694000-1; 38434000"/>
    <m/>
    <n v="16530527"/>
    <x v="0"/>
    <d v="2020-06-18T00:00:00"/>
    <d v="2020-08-18T00:00:00"/>
    <d v="2020-10-20T00:00:00"/>
    <s v="Werfen Czech s.r.o."/>
    <m/>
    <n v="15004968.720000001"/>
    <n v="18156012.149999999"/>
    <m/>
    <m/>
    <m/>
    <d v="2020-10-20T00:00:00"/>
    <s v="SMLN-2020-617-000494_x000a_SMLN-2020-616-000052"/>
    <x v="104"/>
    <d v="2020-11-24T00:00:00"/>
    <s v="6 let s automatickou prolongací"/>
  </r>
  <r>
    <d v="2020-05-21T00:00:00"/>
    <s v="VZ-2020-000499"/>
    <x v="21"/>
    <s v="Bodinkova"/>
    <x v="203"/>
    <n v="2"/>
    <s v="Plně automatizovaná imunoanalýza"/>
    <m/>
    <s v="33694000-1; 38434000"/>
    <m/>
    <n v="3020564"/>
    <x v="0"/>
    <d v="2020-06-18T00:00:00"/>
    <d v="2020-08-18T00:00:00"/>
    <d v="2020-10-20T00:00:00"/>
    <s v="Werfen Czech s.r.o."/>
    <m/>
    <n v="3272935.64"/>
    <n v="3960252.12"/>
    <m/>
    <m/>
    <m/>
    <d v="2020-10-20T00:00:00"/>
    <s v="SMLN-2020-617-000495_x000a_SMLN-2020-616-000053"/>
    <x v="104"/>
    <d v="2020-11-24T00:00:00"/>
    <s v="6 let s automatickou prolongací"/>
  </r>
  <r>
    <d v="2020-05-15T00:00:00"/>
    <s v="VZ-2020-000529"/>
    <x v="10"/>
    <s v="Vaida"/>
    <x v="204"/>
    <m/>
    <m/>
    <m/>
    <s v="45261910-6"/>
    <m/>
    <n v="450000"/>
    <x v="2"/>
    <d v="2020-05-29T00:00:00"/>
    <d v="2020-06-09T00:00:00"/>
    <m/>
    <s v="zrušeno - nutno vypracovat statický posudek"/>
    <m/>
    <m/>
    <m/>
    <m/>
    <m/>
    <m/>
    <m/>
    <m/>
    <x v="0"/>
    <d v="2020-06-04T00:00:00"/>
    <m/>
  </r>
  <r>
    <d v="2020-05-15T00:00:00"/>
    <s v="VZ-2020-000530"/>
    <x v="3"/>
    <s v="Rosulek"/>
    <x v="205"/>
    <m/>
    <m/>
    <m/>
    <s v="33111610-0"/>
    <m/>
    <n v="63500000"/>
    <x v="0"/>
    <d v="2020-08-10T00:00:00"/>
    <d v="2020-10-05T00:00:00"/>
    <d v="2020-11-10T00:00:00"/>
    <s v="Siemens Healthcare s.r.o."/>
    <m/>
    <n v="58153200"/>
    <n v="70365372"/>
    <m/>
    <m/>
    <m/>
    <d v="2020-11-10T00:00:00"/>
    <s v="SMLN-2020-617-000525_x000a_SMLN-2020-612-000114"/>
    <x v="105"/>
    <d v="2021-01-05T00:00:00"/>
    <s v="do 3 měsíců od písemné výzvy"/>
  </r>
  <r>
    <d v="2020-05-18T00:00:00"/>
    <s v="VZ-2020-000532"/>
    <x v="0"/>
    <s v="Dočkalová"/>
    <x v="206"/>
    <m/>
    <m/>
    <m/>
    <s v="33140000-3"/>
    <m/>
    <n v="6344402"/>
    <x v="0"/>
    <d v="2020-06-15T00:00:00"/>
    <d v="2020-07-17T00:00:00"/>
    <d v="2020-08-04T00:00:00"/>
    <s v="Gettinge Czech Republic s.r.o."/>
    <m/>
    <n v="6518986.4000000004"/>
    <n v="7887972.0800000001"/>
    <m/>
    <m/>
    <m/>
    <d v="2020-08-04T00:00:00"/>
    <s v="SMLN-2020-617-000311_x000a_SMLN-2020-617-000312_x000a_SMLN-2020-614-000017"/>
    <x v="81"/>
    <d v="2020-10-02T00:00:00"/>
    <s v="doba neurčitá"/>
  </r>
  <r>
    <d v="2020-05-20T00:00:00"/>
    <s v="VZ-2020-000534"/>
    <x v="0"/>
    <s v="Dočkalová"/>
    <x v="207"/>
    <m/>
    <m/>
    <m/>
    <s v="33140000-3"/>
    <m/>
    <n v="1493100"/>
    <x v="2"/>
    <d v="2020-06-02T00:00:00"/>
    <d v="2020-06-11T00:00:00"/>
    <m/>
    <s v="zrušeno - bez nabídky"/>
    <s v="nová VZ-2020-000623"/>
    <m/>
    <m/>
    <m/>
    <m/>
    <m/>
    <m/>
    <m/>
    <x v="0"/>
    <d v="2020-06-11T00:00:00"/>
    <m/>
  </r>
  <r>
    <d v="2020-05-06T00:00:00"/>
    <s v="VZ-2020-000540"/>
    <x v="0"/>
    <s v="Merta"/>
    <x v="208"/>
    <n v="1"/>
    <s v="Koronární stenty lékové 1 (Drug Eluting Stents - DES)"/>
    <m/>
    <s v="33184500-8"/>
    <m/>
    <n v="26880000"/>
    <x v="0"/>
    <d v="2020-06-18T00:00:00"/>
    <d v="2020-08-04T00:00:00"/>
    <d v="2020-10-12T00:00:00"/>
    <s v="Cardiomedical s.r.o."/>
    <m/>
    <n v="26880000"/>
    <n v="30911999.999999996"/>
    <m/>
    <m/>
    <m/>
    <d v="2020-10-12T00:00:00"/>
    <s v="SMLN-2020-617-000468_x000a_SMLN-2020-614-000040"/>
    <x v="94"/>
    <d v="2020-12-02T00:00:00"/>
    <d v="2023-11-12T00:00:00"/>
  </r>
  <r>
    <d v="2020-05-06T00:00:00"/>
    <s v="VZ-2020-000540"/>
    <x v="0"/>
    <s v="Merta"/>
    <x v="208"/>
    <n v="2"/>
    <s v="Koronární stenty lékové 2 (Drug Eluting Stents - DES)"/>
    <m/>
    <s v="33184500-8"/>
    <m/>
    <n v="14520000"/>
    <x v="0"/>
    <d v="2020-06-18T00:00:00"/>
    <d v="2020-08-04T00:00:00"/>
    <d v="2020-10-12T00:00:00"/>
    <s v="INLAB Medical s.r.o."/>
    <m/>
    <n v="14520000"/>
    <n v="16697999.999999998"/>
    <m/>
    <m/>
    <m/>
    <d v="2020-10-12T00:00:00"/>
    <s v="SMLN-2020-617-000469_x000a_SMLN-2020-614-000041"/>
    <x v="94"/>
    <d v="2020-12-02T00:00:00"/>
    <d v="2023-11-12T00:00:00"/>
  </r>
  <r>
    <d v="2020-05-06T00:00:00"/>
    <s v="VZ-2020-000540"/>
    <x v="0"/>
    <s v="Merta"/>
    <x v="208"/>
    <n v="3"/>
    <s v="Koronární stenty lékové 3 (Drug Eluting Stents - DES)"/>
    <m/>
    <s v="33184500-8"/>
    <m/>
    <n v="6525000"/>
    <x v="0"/>
    <d v="2020-06-18T00:00:00"/>
    <d v="2020-08-04T00:00:00"/>
    <d v="2020-10-12T00:00:00"/>
    <s v="VENAMA s.r.o."/>
    <m/>
    <n v="6525000"/>
    <n v="7503749.9999999991"/>
    <m/>
    <m/>
    <m/>
    <d v="2020-10-12T00:00:00"/>
    <s v="SMLN-2020-617-000470_x000a_SMLN-2020-614-000042"/>
    <x v="94"/>
    <d v="2020-12-02T00:00:00"/>
    <d v="2023-11-12T00:00:00"/>
  </r>
  <r>
    <d v="2020-05-06T00:00:00"/>
    <s v="VZ-2020-000540"/>
    <x v="0"/>
    <s v="Merta"/>
    <x v="208"/>
    <n v="4"/>
    <s v="Koronární stenty lékové 4 (Drug Eluting Stents - DES)"/>
    <m/>
    <s v="33184500-8"/>
    <m/>
    <n v="7260000"/>
    <x v="0"/>
    <d v="2020-06-18T00:00:00"/>
    <d v="2020-08-04T00:00:00"/>
    <d v="2020-10-12T00:00:00"/>
    <s v="Boston Scientific Česká rrepublika s.r.o."/>
    <m/>
    <n v="7260000"/>
    <n v="8348999.9999999991"/>
    <m/>
    <m/>
    <m/>
    <d v="2020-10-12T00:00:00"/>
    <s v="SMLN-2020-617-000471_x000a_SMLN-2020-614-000043"/>
    <x v="106"/>
    <d v="2020-12-02T00:00:00"/>
    <d v="2023-11-24T00:00:00"/>
  </r>
  <r>
    <d v="2020-05-06T00:00:00"/>
    <s v="VZ-2020-000540"/>
    <x v="0"/>
    <s v="Merta"/>
    <x v="208"/>
    <n v="5"/>
    <s v="Koronární stenty lékové 5 (Drug Eluting Stents - DES)"/>
    <m/>
    <s v="33184500-8"/>
    <m/>
    <n v="2730000"/>
    <x v="0"/>
    <d v="2020-06-18T00:00:00"/>
    <d v="2020-08-04T00:00:00"/>
    <d v="2020-10-12T00:00:00"/>
    <s v="Stimcare s.r.o."/>
    <m/>
    <n v="2724000"/>
    <n v="3132599.9999999995"/>
    <m/>
    <m/>
    <m/>
    <d v="2020-10-12T00:00:00"/>
    <s v="SMLN-2020-617-000472_x000a_SMLN-2020-614-000044"/>
    <x v="101"/>
    <d v="2020-12-02T00:00:00"/>
    <d v="2023-11-19T00:00:00"/>
  </r>
  <r>
    <d v="2020-05-06T00:00:00"/>
    <s v="VZ-2020-000540"/>
    <x v="0"/>
    <s v="Merta"/>
    <x v="208"/>
    <n v="6"/>
    <s v="Koronární stenty metalické (Bare Metal Stents - BMS)"/>
    <m/>
    <s v="33184500-8"/>
    <m/>
    <n v="2340000"/>
    <x v="0"/>
    <d v="2020-06-18T00:00:00"/>
    <d v="2020-08-04T00:00:00"/>
    <d v="2020-10-12T00:00:00"/>
    <s v="Cardiomedical s.r.o."/>
    <m/>
    <n v="1580000"/>
    <n v="1816999.9999999998"/>
    <m/>
    <m/>
    <m/>
    <d v="2020-10-12T00:00:00"/>
    <s v="SMLN-2020-617-000473_x000a_SMLN-2020-614-000045"/>
    <x v="94"/>
    <d v="2020-12-02T00:00:00"/>
    <d v="2023-11-12T00:00:00"/>
  </r>
  <r>
    <d v="2020-08-18T00:00:00"/>
    <s v="VZ-2020-000568"/>
    <x v="1"/>
    <s v="Ondráčková"/>
    <x v="209"/>
    <n v="1"/>
    <s v="LP s obsahem pegfilgrastimu nebo lipegfilgrastimu v monoterapii s vykazovacím limitem A"/>
    <m/>
    <s v="33652000-5"/>
    <m/>
    <n v="594360"/>
    <x v="0"/>
    <d v="2020-08-20T00:00:00"/>
    <d v="2020-09-22T00:00:00"/>
    <d v="2020-10-27T00:00:00"/>
    <s v="PROMEDICA Praha Group, a.s."/>
    <m/>
    <n v="371280"/>
    <n v="408408"/>
    <m/>
    <m/>
    <m/>
    <d v="2020-10-27T00:00:00"/>
    <s v="SMLN-2020-617-000499"/>
    <x v="101"/>
    <d v="2020-11-27T00:00:00"/>
    <d v="2023-11-19T00:00:00"/>
  </r>
  <r>
    <d v="2020-08-18T00:00:00"/>
    <s v="VZ-2020-000568"/>
    <x v="1"/>
    <s v="Ondráčková"/>
    <x v="209"/>
    <n v="2"/>
    <s v="LP s obsahem pegfilgrastimu nebo lipegfilgrastimu v monoterapii bez vykazovacího limitu A"/>
    <m/>
    <s v="33652000-5"/>
    <m/>
    <n v="3133507"/>
    <x v="0"/>
    <d v="2020-08-20T00:00:00"/>
    <d v="2020-09-22T00:00:00"/>
    <d v="2020-10-27T00:00:00"/>
    <s v="ViaPharma s.r.o."/>
    <m/>
    <n v="3115092.24"/>
    <n v="3426601.46"/>
    <m/>
    <m/>
    <m/>
    <d v="2020-10-27T00:00:00"/>
    <s v="SMLN-2020-617-000500"/>
    <x v="101"/>
    <d v="2020-11-27T00:00:00"/>
    <d v="2023-11-19T00:00:00"/>
  </r>
  <r>
    <d v="2020-08-18T00:00:00"/>
    <s v="VZ-2020-000568"/>
    <x v="1"/>
    <s v="Ondráčková"/>
    <x v="209"/>
    <n v="3"/>
    <s v="Zarzio"/>
    <m/>
    <s v="33652000-5"/>
    <m/>
    <n v="3224802"/>
    <x v="0"/>
    <d v="2020-08-20T00:00:00"/>
    <d v="2020-09-22T00:00:00"/>
    <d v="2020-10-27T00:00:00"/>
    <s v="PROMEDICA Praha Group, a.s."/>
    <m/>
    <n v="3224804.67"/>
    <n v="3547281.84"/>
    <m/>
    <m/>
    <m/>
    <d v="2020-10-27T00:00:00"/>
    <s v="SMLN-2020-617-000501"/>
    <x v="101"/>
    <d v="2020-11-27T00:00:00"/>
    <d v="2023-11-19T00:00:00"/>
  </r>
  <r>
    <d v="2020-05-29T00:00:00"/>
    <s v="VZ-2020-000569"/>
    <x v="1"/>
    <s v="Ondráčková"/>
    <x v="210"/>
    <n v="1"/>
    <s v="PEGASPARGASA "/>
    <m/>
    <s v="33652100-6"/>
    <m/>
    <n v="2725193"/>
    <x v="0"/>
    <d v="2020-06-15T00:00:00"/>
    <d v="2020-07-20T00:00:00"/>
    <d v="2020-08-06T00:00:00"/>
    <s v="PHOENIX lék.velkoobchod, s.r.o."/>
    <m/>
    <n v="2725192.8"/>
    <n v="2997712.08"/>
    <m/>
    <m/>
    <m/>
    <d v="2020-08-06T00:00:00"/>
    <s v="SMLN-2020-617-000319"/>
    <x v="99"/>
    <d v="2020-10-05T00:00:00"/>
    <d v="2023-09-22T00:00:00"/>
  </r>
  <r>
    <d v="2020-05-29T00:00:00"/>
    <s v="VZ-2020-000569"/>
    <x v="1"/>
    <s v="Ondráčková"/>
    <x v="210"/>
    <n v="2"/>
    <s v="ELOTUZUMAB"/>
    <m/>
    <s v="33652100-6"/>
    <m/>
    <n v="4395618"/>
    <x v="0"/>
    <d v="2020-06-15T00:00:00"/>
    <d v="2020-07-20T00:00:00"/>
    <d v="2020-08-06T00:00:00"/>
    <s v="Bristol-Myers Squibb spol. s r.o."/>
    <m/>
    <n v="4395618"/>
    <n v="4835179.8"/>
    <m/>
    <m/>
    <m/>
    <d v="2020-08-06T00:00:00"/>
    <s v="SMLN-2020-617-000320"/>
    <x v="82"/>
    <d v="2020-10-05T00:00:00"/>
    <d v="2023-09-21T00:00:00"/>
  </r>
  <r>
    <d v="2020-05-29T00:00:00"/>
    <s v="VZ-2020-000570"/>
    <x v="1"/>
    <s v="Ondráčková"/>
    <x v="211"/>
    <n v="1"/>
    <s v="Rekombinantní přípravky na prevenci a léčbu krvácení u hemofilie A, dále u nemocných hemofilií A s inhibitorem proti FVIII (titr do 5 BU) 3. a vyšší generace"/>
    <m/>
    <s v="33621000-9"/>
    <m/>
    <n v="17564332.5"/>
    <x v="0"/>
    <d v="2020-06-12T00:00:00"/>
    <d v="2020-07-14T00:00:00"/>
    <d v="2020-08-26T00:00:00"/>
    <s v="PHOENIX lék.velkoobchod, s.r.o."/>
    <m/>
    <n v="16646602.5"/>
    <n v="18311262.75"/>
    <m/>
    <m/>
    <m/>
    <d v="2020-08-26T00:00:00"/>
    <s v="SMLN-2020-617-000358"/>
    <x v="82"/>
    <d v="2020-09-30T00:00:00"/>
    <d v="2023-09-21T00:00:00"/>
  </r>
  <r>
    <d v="2020-05-29T00:00:00"/>
    <s v="VZ-2020-000570"/>
    <x v="1"/>
    <s v="Ondráčková"/>
    <x v="211"/>
    <n v="2"/>
    <s v="Hemofilie A-Koagulační faktor VIII - rekombinantní s delším biologickým poločasem- pro pacienty starší 12 let"/>
    <m/>
    <s v="33621000-9"/>
    <m/>
    <n v="30240000"/>
    <x v="0"/>
    <d v="2020-06-12T00:00:00"/>
    <d v="2020-07-14T00:00:00"/>
    <d v="2020-08-26T00:00:00"/>
    <s v="PHARMOS, a.s."/>
    <m/>
    <n v="29887120"/>
    <n v="32864832"/>
    <m/>
    <m/>
    <m/>
    <d v="2020-08-26T00:00:00"/>
    <s v="SMLN-2020-617-000359"/>
    <x v="83"/>
    <d v="2020-09-30T00:00:00"/>
    <d v="2023-09-10T00:00:00"/>
  </r>
  <r>
    <d v="2020-05-29T00:00:00"/>
    <s v="VZ-2020-000570"/>
    <x v="1"/>
    <s v="Ondráčková"/>
    <x v="211"/>
    <n v="3"/>
    <s v="Hemofilie A-Koagulační faktor VIII - rekombinantní s delším biologickým poločasem- pro pacienty mladší 12 let"/>
    <m/>
    <s v="33621000-9"/>
    <m/>
    <n v="5040000"/>
    <x v="0"/>
    <d v="2020-06-12T00:00:00"/>
    <d v="2020-07-14T00:00:00"/>
    <d v="2020-08-26T00:00:00"/>
    <s v="PHARMOS, a.s."/>
    <m/>
    <n v="4979520"/>
    <n v="5477472"/>
    <m/>
    <m/>
    <m/>
    <d v="2020-08-26T00:00:00"/>
    <s v="SMLN-2020-617-000360"/>
    <x v="83"/>
    <d v="2020-09-30T00:00:00"/>
    <d v="2023-09-10T00:00:00"/>
  </r>
  <r>
    <d v="2020-05-29T00:00:00"/>
    <s v="VZ-2020-000571"/>
    <x v="1"/>
    <s v="Ondráčková"/>
    <x v="212"/>
    <n v="1"/>
    <s v="Octanate"/>
    <m/>
    <s v="33621000-9"/>
    <m/>
    <n v="2838938"/>
    <x v="0"/>
    <d v="2020-06-19T00:00:00"/>
    <d v="2020-07-23T00:00:00"/>
    <d v="2020-08-18T00:00:00"/>
    <s v="PHOENIX lék.velkoobchod, s.r.o."/>
    <m/>
    <n v="2811375"/>
    <n v="3092512.5"/>
    <m/>
    <m/>
    <m/>
    <d v="2020-08-18T00:00:00"/>
    <s v="SMLN-2020-617-000336"/>
    <x v="82"/>
    <d v="2020-09-25T00:00:00"/>
    <d v="2023-09-21T00:00:00"/>
  </r>
  <r>
    <d v="2020-05-29T00:00:00"/>
    <s v="VZ-2020-000571"/>
    <x v="1"/>
    <s v="Ondráčková"/>
    <x v="212"/>
    <n v="2"/>
    <s v="Advate"/>
    <m/>
    <s v="33621000-9"/>
    <m/>
    <n v="12399645"/>
    <x v="0"/>
    <d v="2020-06-19T00:00:00"/>
    <d v="2020-07-23T00:00:00"/>
    <d v="2020-08-18T00:00:00"/>
    <s v="Takeda Pharmaceuticals Czech Republic s.r.o."/>
    <m/>
    <n v="12057256.5"/>
    <n v="13262982.15"/>
    <m/>
    <m/>
    <m/>
    <d v="2020-08-18T00:00:00"/>
    <s v="SMLN-2020-617-000337"/>
    <x v="83"/>
    <d v="2020-09-25T00:00:00"/>
    <d v="2023-09-10T00:00:00"/>
  </r>
  <r>
    <d v="2020-05-29T00:00:00"/>
    <s v="VZ-2020-000571"/>
    <x v="1"/>
    <s v="Ondráčková"/>
    <x v="212"/>
    <n v="3"/>
    <s v="Nuwiq "/>
    <m/>
    <s v="33621000-9"/>
    <m/>
    <n v="339249"/>
    <x v="0"/>
    <d v="2020-06-19T00:00:00"/>
    <d v="2020-07-23T00:00:00"/>
    <d v="2020-08-18T00:00:00"/>
    <s v="PHOENIX lék.velkoobchod, s.r.o."/>
    <m/>
    <n v="338916"/>
    <n v="372807.6"/>
    <m/>
    <m/>
    <m/>
    <d v="2020-08-18T00:00:00"/>
    <s v="SMLN-2020-617-000338"/>
    <x v="82"/>
    <d v="2020-09-25T00:00:00"/>
    <d v="2023-09-21T00:00:00"/>
  </r>
  <r>
    <d v="2020-05-29T00:00:00"/>
    <s v="VZ-2020-000571"/>
    <x v="1"/>
    <s v="Ondráčková"/>
    <x v="212"/>
    <n v="4"/>
    <s v="ELOCTA "/>
    <m/>
    <s v="33621000-9"/>
    <m/>
    <n v="1484453"/>
    <x v="0"/>
    <d v="2020-06-19T00:00:00"/>
    <d v="2020-07-23T00:00:00"/>
    <d v="2020-08-18T00:00:00"/>
    <s v="PHARMOS, a.s."/>
    <m/>
    <n v="1444950"/>
    <n v="1589445"/>
    <m/>
    <m/>
    <m/>
    <d v="2020-08-18T00:00:00"/>
    <s v="SMLN-2020-617-000339"/>
    <x v="83"/>
    <d v="2020-09-25T00:00:00"/>
    <d v="2023-09-10T00:00:00"/>
  </r>
  <r>
    <d v="2020-05-29T00:00:00"/>
    <s v="VZ-2020-000571"/>
    <x v="1"/>
    <s v="Ondráčková"/>
    <x v="212"/>
    <n v="5"/>
    <s v="Novoeight "/>
    <m/>
    <s v="33621000-9"/>
    <m/>
    <n v="6326727"/>
    <x v="0"/>
    <d v="2020-06-19T00:00:00"/>
    <d v="2020-07-23T00:00:00"/>
    <d v="2020-08-18T00:00:00"/>
    <s v="Alliance Healthcare s.r.o."/>
    <m/>
    <n v="6326726.9400000004"/>
    <n v="6959399.6299999999"/>
    <m/>
    <m/>
    <m/>
    <d v="2020-08-18T00:00:00"/>
    <s v="SMLN-2020-617-000340"/>
    <x v="83"/>
    <d v="2020-09-25T00:00:00"/>
    <d v="2023-09-10T00:00:00"/>
  </r>
  <r>
    <d v="2020-05-29T00:00:00"/>
    <s v="VZ-2020-000571"/>
    <x v="1"/>
    <s v="Ondráčková"/>
    <x v="212"/>
    <n v="6"/>
    <s v="Adynovi"/>
    <m/>
    <s v="33621000-9"/>
    <m/>
    <n v="3093238"/>
    <x v="0"/>
    <d v="2020-06-19T00:00:00"/>
    <d v="2020-07-23T00:00:00"/>
    <d v="2020-08-18T00:00:00"/>
    <s v="Takeda Pharmaceuticals Czech Republic s.r.o."/>
    <m/>
    <n v="3093236.88"/>
    <n v="3402560.57"/>
    <m/>
    <m/>
    <m/>
    <d v="2020-08-18T00:00:00"/>
    <s v="SMLN-2020-617-000341"/>
    <x v="83"/>
    <d v="2020-09-25T00:00:00"/>
    <d v="2023-09-10T00:00:00"/>
  </r>
  <r>
    <d v="2020-05-27T00:00:00"/>
    <s v="VZ-2020-000573"/>
    <x v="10"/>
    <s v="Vaida"/>
    <x v="213"/>
    <m/>
    <m/>
    <m/>
    <s v="45331100-7"/>
    <m/>
    <n v="500000"/>
    <x v="2"/>
    <d v="2020-06-08T00:00:00"/>
    <d v="2020-06-19T00:00:00"/>
    <d v="2020-06-25T00:00:00"/>
    <s v="MIZ Olomouc s.r.o."/>
    <m/>
    <n v="499720.33"/>
    <n v="604661.6"/>
    <m/>
    <m/>
    <m/>
    <d v="2020-06-25T00:00:00"/>
    <s v="SMLN-2020-618-000047"/>
    <x v="88"/>
    <d v="2020-07-14T00:00:00"/>
    <d v="2020-09-08T00:00:00"/>
  </r>
  <r>
    <d v="2020-05-27T00:00:00"/>
    <s v="VZ-2020-000574"/>
    <x v="0"/>
    <s v="Dočkalová"/>
    <x v="214"/>
    <m/>
    <m/>
    <m/>
    <s v="33140000-3"/>
    <m/>
    <n v="1669448"/>
    <x v="2"/>
    <d v="2020-06-10T00:00:00"/>
    <d v="2020-06-23T00:00:00"/>
    <m/>
    <s v="zrušeno - úprava zadávací dokumentace"/>
    <s v="nová VZ-2020-000927"/>
    <m/>
    <m/>
    <m/>
    <m/>
    <m/>
    <m/>
    <m/>
    <x v="0"/>
    <d v="2020-06-15T00:00:00"/>
    <m/>
  </r>
  <r>
    <d v="2020-06-02T00:00:00"/>
    <s v="VZ-2020-000578"/>
    <x v="7"/>
    <s v="Oravec"/>
    <x v="215"/>
    <m/>
    <m/>
    <m/>
    <s v="32524000-2"/>
    <m/>
    <n v="330000"/>
    <x v="2"/>
    <d v="2020-06-11T00:00:00"/>
    <d v="2020-06-23T00:00:00"/>
    <d v="2020-06-26T00:00:00"/>
    <s v="Eriserv, spol. s r.o."/>
    <m/>
    <n v="258000"/>
    <n v="312180"/>
    <m/>
    <m/>
    <m/>
    <d v="2020-06-26T00:00:00"/>
    <s v="SMLN-2020-617-000268"/>
    <x v="70"/>
    <d v="2020-07-21T00:00:00"/>
    <d v="2020-08-19T00:00:00"/>
  </r>
  <r>
    <d v="2020-06-04T00:00:00"/>
    <s v="VZ-2020-000583"/>
    <x v="3"/>
    <s v="Rosulek"/>
    <x v="216"/>
    <n v="1"/>
    <s v="Polohovatelná křesla pro odběry"/>
    <m/>
    <s v="33192210-7"/>
    <s v="2.2.144, 2.2.251"/>
    <n v="385000"/>
    <x v="2"/>
    <d v="2020-06-15T00:00:00"/>
    <d v="2020-06-30T00:00:00"/>
    <m/>
    <s v="zrušeno "/>
    <s v="nová VZ-2020-000882"/>
    <m/>
    <m/>
    <m/>
    <m/>
    <m/>
    <m/>
    <m/>
    <x v="0"/>
    <d v="2020-08-13T00:00:00"/>
    <m/>
  </r>
  <r>
    <d v="2020-06-04T00:00:00"/>
    <s v="VZ-2020-000583"/>
    <x v="3"/>
    <s v="Rosulek"/>
    <x v="216"/>
    <n v="2"/>
    <s v="Elektricky polohovatelná křesla pro stacionář HOK"/>
    <m/>
    <s v="33192210-7"/>
    <s v="2.2.250"/>
    <n v="1610000"/>
    <x v="2"/>
    <d v="2020-06-15T00:00:00"/>
    <d v="2020-06-30T00:00:00"/>
    <m/>
    <s v="zrušeno"/>
    <s v="nová VZ-2020-000882"/>
    <m/>
    <m/>
    <m/>
    <m/>
    <m/>
    <m/>
    <m/>
    <x v="0"/>
    <d v="2020-08-13T00:00:00"/>
    <m/>
  </r>
  <r>
    <d v="2020-06-08T00:00:00"/>
    <s v="VZ-2020-000597"/>
    <x v="7"/>
    <s v="Oravec"/>
    <x v="217"/>
    <m/>
    <m/>
    <m/>
    <s v="72261000-2"/>
    <m/>
    <n v="1682752"/>
    <x v="2"/>
    <d v="2020-06-16T00:00:00"/>
    <d v="2020-06-25T00:00:00"/>
    <m/>
    <s v="zrušeno - bez nabídky"/>
    <s v="nová VZ-2020-000687"/>
    <m/>
    <m/>
    <m/>
    <m/>
    <m/>
    <m/>
    <m/>
    <x v="0"/>
    <d v="2020-06-26T00:00:00"/>
    <m/>
  </r>
  <r>
    <d v="2020-06-09T00:00:00"/>
    <s v="VZ-2020-000598"/>
    <x v="0"/>
    <s v="Dočkalová"/>
    <x v="218"/>
    <m/>
    <m/>
    <m/>
    <s v="33140000-3"/>
    <m/>
    <n v="672000"/>
    <x v="2"/>
    <d v="2020-08-07T00:00:00"/>
    <d v="2020-08-26T00:00:00"/>
    <m/>
    <s v="zrušeno - neekonomická nabídka"/>
    <s v="nová VZ-2020-000910"/>
    <m/>
    <m/>
    <m/>
    <m/>
    <m/>
    <m/>
    <m/>
    <x v="0"/>
    <d v="2020-08-27T00:00:00"/>
    <m/>
  </r>
  <r>
    <s v="opakovaná VZ"/>
    <s v="VZ-2020-000599"/>
    <x v="19"/>
    <s v="Svozil"/>
    <x v="219"/>
    <m/>
    <m/>
    <m/>
    <s v="45233200-1"/>
    <s v="4.3.8."/>
    <n v="3000000"/>
    <x v="2"/>
    <d v="2020-06-18T00:00:00"/>
    <d v="2020-06-30T00:00:00"/>
    <d v="2020-07-20T00:00:00"/>
    <s v="Navláčil stavební firma s.r.o."/>
    <m/>
    <n v="3022009.08"/>
    <n v="3656630.99"/>
    <m/>
    <m/>
    <m/>
    <d v="2020-07-20T00:00:00"/>
    <s v="SMLN-2020-618-000051"/>
    <x v="107"/>
    <d v="2020-09-08T00:00:00"/>
    <d v="2021-01-22T00:00:00"/>
  </r>
  <r>
    <s v="opakovaná VZ"/>
    <s v="VZ-2020-000604"/>
    <x v="14"/>
    <s v="Rosulek"/>
    <x v="220"/>
    <m/>
    <m/>
    <m/>
    <s v="33161000-6"/>
    <s v="2.2.234, 2.3.370"/>
    <n v="1730000"/>
    <x v="0"/>
    <d v="2020-06-18T00:00:00"/>
    <d v="2020-07-20T00:00:00"/>
    <d v="2020-09-23T00:00:00"/>
    <s v="Stargen EU s.r.o."/>
    <m/>
    <n v="1705433"/>
    <n v="2063573.92"/>
    <m/>
    <m/>
    <m/>
    <d v="2020-09-23T00:00:00"/>
    <s v="SMLN-2020-617-000437_x000a_SMLN-2020-612-000095"/>
    <x v="108"/>
    <d v="2020-11-02T00:00:00"/>
    <d v="2020-12-07T00:00:00"/>
  </r>
  <r>
    <d v="2020-06-01T00:00:00"/>
    <s v="VZ-2020-000612"/>
    <x v="0"/>
    <s v="Dočkalová"/>
    <x v="221"/>
    <n v="1"/>
    <s v="14.5. Stengrafty aortální hrudní - proximální část"/>
    <m/>
    <s v="33140000-3 "/>
    <m/>
    <n v="1377288"/>
    <x v="0"/>
    <d v="2020-06-22T00:00:00"/>
    <d v="2020-08-06T00:00:00"/>
    <d v="2020-09-10T00:00:00"/>
    <s v="ARID obchodní společnost, s.r.o."/>
    <m/>
    <n v="1548000"/>
    <n v="1780199.9999999998"/>
    <m/>
    <m/>
    <m/>
    <d v="2020-09-10T00:00:00"/>
    <s v="SMLN-2020-617-000394_x000a_SMLN-2020-614-000026"/>
    <x v="109"/>
    <d v="2020-10-06T00:00:00"/>
    <d v="2022-09-30T00:00:00"/>
  </r>
  <r>
    <d v="2020-06-01T00:00:00"/>
    <s v="VZ-2020-000612"/>
    <x v="0"/>
    <s v="Dočkalová"/>
    <x v="221"/>
    <n v="2"/>
    <s v="14.8. Stengrafty aortální bifurkační břišní I."/>
    <m/>
    <s v="33140000-3 "/>
    <m/>
    <n v="2250090"/>
    <x v="0"/>
    <d v="2020-06-22T00:00:00"/>
    <d v="2020-08-06T00:00:00"/>
    <d v="2020-09-10T00:00:00"/>
    <s v="ARID obchodní společnost, s.r.o."/>
    <m/>
    <n v="3151000"/>
    <n v="3623649.9999999995"/>
    <m/>
    <m/>
    <m/>
    <d v="2020-09-10T00:00:00"/>
    <s v="SMLN-2020-617-000395_x000a_SMLN-2020-614-000027"/>
    <x v="109"/>
    <d v="2020-10-06T00:00:00"/>
    <d v="2022-09-30T00:00:00"/>
  </r>
  <r>
    <d v="2020-06-01T00:00:00"/>
    <s v="VZ-2020-000612"/>
    <x v="0"/>
    <s v="Dočkalová"/>
    <x v="221"/>
    <n v="3"/>
    <s v="14.9. Stengrafty tubulární do kompletu k tělu bifurkačního břišního aortálního stengraftu, extenzivní pro pravou a levou nožičku"/>
    <m/>
    <s v="33140000-3 "/>
    <m/>
    <n v="5588250"/>
    <x v="0"/>
    <d v="2020-06-22T00:00:00"/>
    <d v="2020-08-06T00:00:00"/>
    <d v="2020-09-10T00:00:00"/>
    <s v="ARID obchodní společnost, s.r.o."/>
    <m/>
    <n v="6798000"/>
    <n v="7817699.9999999991"/>
    <m/>
    <m/>
    <m/>
    <d v="2020-09-10T00:00:00"/>
    <s v="SMLN-2020-617-000396_x000a_SMLN-2020-614-000028"/>
    <x v="109"/>
    <d v="2020-10-06T00:00:00"/>
    <d v="2022-09-30T00:00:00"/>
  </r>
  <r>
    <d v="2020-06-01T00:00:00"/>
    <s v="VZ-2020-000612"/>
    <x v="0"/>
    <s v="Dočkalová"/>
    <x v="221"/>
    <n v="4"/>
    <s v="14.10. Stengrafty aortální bifurkační břišní II."/>
    <m/>
    <s v="33140000-3 "/>
    <m/>
    <n v="320000"/>
    <x v="0"/>
    <d v="2020-06-22T00:00:00"/>
    <d v="2020-08-06T00:00:00"/>
    <d v="2020-09-10T00:00:00"/>
    <s v="ARID obchodní společnost, s.r.o."/>
    <m/>
    <n v="254000"/>
    <n v="292100"/>
    <m/>
    <m/>
    <m/>
    <d v="2020-09-10T00:00:00"/>
    <s v="SMLN-2020-617-000397_x000a_SMLN-2020-614-000029"/>
    <x v="109"/>
    <d v="2020-10-06T00:00:00"/>
    <d v="2022-09-30T00:00:00"/>
  </r>
  <r>
    <d v="2020-06-01T00:00:00"/>
    <s v="VZ-2020-000612"/>
    <x v="0"/>
    <s v="Dočkalová"/>
    <x v="221"/>
    <n v="5"/>
    <s v="14.15. Stengrafty vaskulární aortální thorako-abdominální pro endovaskulární reparaci thorako-abdominálního aneuryzmatu"/>
    <m/>
    <s v="33140000-3 "/>
    <m/>
    <n v="1367416"/>
    <x v="0"/>
    <d v="2020-06-22T00:00:00"/>
    <d v="2020-08-06T00:00:00"/>
    <d v="2020-09-10T00:00:00"/>
    <s v="ARID obchodní společnost, s.r.o."/>
    <m/>
    <n v="3028400"/>
    <n v="3482659.9999999995"/>
    <m/>
    <m/>
    <m/>
    <d v="2020-09-10T00:00:00"/>
    <s v="SMLN-2020-617-000398_x000a_SMLN-2020-614-000030"/>
    <x v="109"/>
    <d v="2020-10-06T00:00:00"/>
    <d v="2022-09-30T00:00:00"/>
  </r>
  <r>
    <d v="2020-06-10T00:00:00"/>
    <s v="VZ-2020-000614"/>
    <x v="5"/>
    <s v="Eyer"/>
    <x v="222"/>
    <m/>
    <m/>
    <m/>
    <s v="45232221-7"/>
    <s v="4.3.10."/>
    <n v="2900000"/>
    <x v="2"/>
    <d v="2020-06-19T00:00:00"/>
    <d v="2020-07-02T00:00:00"/>
    <d v="2020-07-14T00:00:00"/>
    <s v="ELPREMO s.r.o."/>
    <m/>
    <n v="1967359.4"/>
    <n v="2380504.87"/>
    <m/>
    <m/>
    <m/>
    <d v="2020-07-14T00:00:00"/>
    <s v="SMLN-2020-618-000050"/>
    <x v="61"/>
    <d v="2020-08-11T00:00:00"/>
    <d v="2020-11-20T00:00:00"/>
  </r>
  <r>
    <d v="2020-06-11T00:00:00"/>
    <s v="VZ-2020-000616"/>
    <x v="0"/>
    <s v="Merta"/>
    <x v="223"/>
    <n v="1"/>
    <s v="Srdeční aortální chlopně mechanické s kavitálním pivotem"/>
    <m/>
    <s v="33182220-7"/>
    <m/>
    <n v="1350000"/>
    <x v="0"/>
    <d v="2020-08-14T00:00:00"/>
    <d v="2020-10-02T00:00:00"/>
    <d v="2020-10-16T00:00:00"/>
    <s v="Cardion s.r.o."/>
    <m/>
    <n v="1350000"/>
    <n v="1552500"/>
    <m/>
    <m/>
    <m/>
    <d v="2020-10-16T00:00:00"/>
    <s v="SMLN-2020-617-000481_x000a_SMLN-2020-614-000046"/>
    <x v="110"/>
    <d v="2020-11-24T00:00:00"/>
    <d v="2023-11-10T00:00:00"/>
  </r>
  <r>
    <d v="2020-06-11T00:00:00"/>
    <s v="VZ-2020-000616"/>
    <x v="0"/>
    <s v="Merta"/>
    <x v="223"/>
    <n v="2"/>
    <s v="Srdeční aortální chlopně mechanické pro nižší hladinu antikoagulace (INR 1,5-2)"/>
    <m/>
    <s v="33182220-7"/>
    <m/>
    <n v="225650"/>
    <x v="0"/>
    <d v="2020-08-14T00:00:00"/>
    <d v="2020-10-02T00:00:00"/>
    <d v="2020-10-16T00:00:00"/>
    <s v="Meditrade spol.s  r.o."/>
    <m/>
    <n v="225650"/>
    <n v="259497.5"/>
    <m/>
    <m/>
    <m/>
    <d v="2020-10-16T00:00:00"/>
    <s v="SMLN-2020-617-000482_x000a_SMLN-2020-614-000047"/>
    <x v="104"/>
    <d v="2020-11-24T00:00:00"/>
    <d v="2023-11-15T00:00:00"/>
  </r>
  <r>
    <d v="2020-06-11T00:00:00"/>
    <s v="VZ-2020-000616"/>
    <x v="0"/>
    <s v="Merta"/>
    <x v="223"/>
    <n v="3"/>
    <s v="Srdeční mitrální chlopně mechanické"/>
    <m/>
    <s v="33182220-7"/>
    <m/>
    <n v="580000"/>
    <x v="0"/>
    <d v="2020-08-14T00:00:00"/>
    <d v="2020-10-02T00:00:00"/>
    <d v="2020-10-16T00:00:00"/>
    <s v="Cardion s.r.o."/>
    <m/>
    <n v="580000"/>
    <n v="667000"/>
    <m/>
    <m/>
    <m/>
    <d v="2020-10-16T00:00:00"/>
    <s v="SMLN-2020-617-000483_x000a_SMLN-2020-614-000048"/>
    <x v="110"/>
    <d v="2020-11-24T00:00:00"/>
    <d v="2023-11-10T00:00:00"/>
  </r>
  <r>
    <d v="2020-06-11T00:00:00"/>
    <s v="VZ-2020-000616"/>
    <x v="0"/>
    <s v="Merta"/>
    <x v="223"/>
    <n v="4"/>
    <s v="Srdeční aortální chlopně biologické perikardiální do těsných anulů"/>
    <m/>
    <s v="33182220-7"/>
    <m/>
    <n v="15840000"/>
    <x v="0"/>
    <d v="2020-08-14T00:00:00"/>
    <d v="2020-10-02T00:00:00"/>
    <d v="2020-10-16T00:00:00"/>
    <s v="Cardion s.r.o."/>
    <m/>
    <n v="15840000"/>
    <n v="18216000"/>
    <m/>
    <m/>
    <m/>
    <d v="2020-10-16T00:00:00"/>
    <s v="SMLN-2020-617-000484_x000a_SMLN-2020-614-000049"/>
    <x v="110"/>
    <d v="2020-11-24T00:00:00"/>
    <d v="2023-11-10T00:00:00"/>
  </r>
  <r>
    <d v="2020-06-11T00:00:00"/>
    <s v="VZ-2020-000616"/>
    <x v="0"/>
    <s v="Merta"/>
    <x v="223"/>
    <n v="5"/>
    <s v="Srdeční aortální chlopně biologické perikardiální do větších anulů"/>
    <m/>
    <s v="33182220-7"/>
    <m/>
    <n v="2542500"/>
    <x v="0"/>
    <d v="2020-08-14T00:00:00"/>
    <d v="2020-10-02T00:00:00"/>
    <d v="2020-10-16T00:00:00"/>
    <s v="Edwards Lifesciences Czech Republic s.r.o."/>
    <m/>
    <n v="2922750"/>
    <n v="3361162.5"/>
    <m/>
    <m/>
    <m/>
    <d v="2020-10-16T00:00:00"/>
    <s v="SMLN-2020-617-000485_x000a_SMLN-2020-614-000050"/>
    <x v="110"/>
    <d v="2020-11-24T00:00:00"/>
    <d v="2023-11-10T00:00:00"/>
  </r>
  <r>
    <d v="2020-06-11T00:00:00"/>
    <s v="VZ-2020-000616"/>
    <x v="0"/>
    <s v="Merta"/>
    <x v="223"/>
    <n v="6"/>
    <s v="Srdeční aortální chlopně biologické perikardiální do větších anulů s dlouhodobou životností"/>
    <m/>
    <s v="33182220-7"/>
    <m/>
    <n v="3584000"/>
    <x v="0"/>
    <d v="2020-08-14T00:00:00"/>
    <d v="2020-10-02T00:00:00"/>
    <d v="2020-10-16T00:00:00"/>
    <s v="Edwards Lifesciences Czech Republic s.r.o."/>
    <m/>
    <n v="3584000"/>
    <n v="4121600"/>
    <m/>
    <m/>
    <m/>
    <d v="2020-10-16T00:00:00"/>
    <s v="SMLN-2020-617-000486_x000a_SMLN-2020-614-000051"/>
    <x v="110"/>
    <d v="2020-11-24T00:00:00"/>
    <d v="2023-11-10T00:00:00"/>
  </r>
  <r>
    <d v="2020-06-11T00:00:00"/>
    <s v="VZ-2020-000616"/>
    <x v="0"/>
    <s v="Merta"/>
    <x v="223"/>
    <n v="7"/>
    <s v="Srdeční mitrální chlopně biologické prasečí"/>
    <m/>
    <s v="33182220-7"/>
    <m/>
    <n v="1540000"/>
    <x v="0"/>
    <d v="2020-08-14T00:00:00"/>
    <d v="2020-10-02T00:00:00"/>
    <d v="2020-10-16T00:00:00"/>
    <s v="Cardion s.r.o."/>
    <m/>
    <n v="1540000"/>
    <n v="1771000"/>
    <m/>
    <m/>
    <m/>
    <d v="2020-10-16T00:00:00"/>
    <s v="SMLN-2020-617-000487_x000a_SMLN-2020-614-000052"/>
    <x v="110"/>
    <d v="2020-11-24T00:00:00"/>
    <d v="2023-11-10T00:00:00"/>
  </r>
  <r>
    <d v="2020-06-11T00:00:00"/>
    <s v="VZ-2020-000616"/>
    <x v="0"/>
    <s v="Merta"/>
    <x v="223"/>
    <n v="8"/>
    <s v="Anuloplastické prstence Semirigidní mitrální velikosti 24 – 40 mm"/>
    <m/>
    <s v="33182220-7"/>
    <m/>
    <n v="824400"/>
    <x v="0"/>
    <d v="2020-08-14T00:00:00"/>
    <d v="2020-10-02T00:00:00"/>
    <d v="2020-10-16T00:00:00"/>
    <s v="Edwards Lifesciences Czech Republic s.r.o."/>
    <m/>
    <n v="824400"/>
    <n v="948060"/>
    <m/>
    <m/>
    <m/>
    <d v="2020-10-16T00:00:00"/>
    <s v="SMLN-2020-617-000488_x000a_SMLN-2020-614-000053"/>
    <x v="110"/>
    <d v="2020-11-24T00:00:00"/>
    <d v="2023-11-10T00:00:00"/>
  </r>
  <r>
    <d v="2020-06-11T00:00:00"/>
    <s v="VZ-2020-000616"/>
    <x v="0"/>
    <s v="Merta"/>
    <x v="223"/>
    <n v="9"/>
    <s v="Anuloplastické prstence semirigidní trikuspidální velikosti 26-36 mm "/>
    <m/>
    <s v="33182220-7"/>
    <m/>
    <n v="1018650"/>
    <x v="0"/>
    <d v="2020-08-14T00:00:00"/>
    <d v="2020-10-02T00:00:00"/>
    <d v="2020-10-16T00:00:00"/>
    <s v="Edwards Lifesciences Czech Republic s.r.o."/>
    <m/>
    <n v="1018650"/>
    <n v="1171447.5"/>
    <m/>
    <m/>
    <m/>
    <d v="2020-10-16T00:00:00"/>
    <s v="SMLN-2020-617-000489_x000a_SMLN-2020-614-000054"/>
    <x v="110"/>
    <d v="2020-11-24T00:00:00"/>
    <d v="2023-11-10T00:00:00"/>
  </r>
  <r>
    <d v="2020-06-11T00:00:00"/>
    <s v="VZ-2020-000616"/>
    <x v="0"/>
    <s v="Merta"/>
    <x v="223"/>
    <n v="10"/>
    <s v="Srdeční aortální chlopně biologické perikardiální pro mladší pacienty, přizpůsobené pro budoucí „valve-in-valve“ implantaci"/>
    <m/>
    <s v="33182220-7"/>
    <m/>
    <n v="2592000"/>
    <x v="0"/>
    <d v="2020-08-14T00:00:00"/>
    <d v="2020-10-02T00:00:00"/>
    <d v="2020-10-16T00:00:00"/>
    <s v="Edwards Lifesciences Czech Republic s.r.o."/>
    <m/>
    <n v="2592000"/>
    <n v="2980800"/>
    <m/>
    <m/>
    <m/>
    <d v="2020-10-16T00:00:00"/>
    <s v="SMLN-2020-617-000490_x000a_SMLN-2020-614-000055"/>
    <x v="110"/>
    <d v="2020-11-24T00:00:00"/>
    <d v="2023-11-10T00:00:00"/>
  </r>
  <r>
    <s v="opakovaná VZ"/>
    <s v="VZ-2020-000623"/>
    <x v="0"/>
    <s v="Dočkalová"/>
    <x v="224"/>
    <m/>
    <m/>
    <m/>
    <s v="33140000-3"/>
    <m/>
    <n v="1493100"/>
    <x v="2"/>
    <d v="2020-07-01T00:00:00"/>
    <d v="2020-07-10T00:00:00"/>
    <d v="2020-08-04T00:00:00"/>
    <s v="EUROMEDICAL spol. s r.o."/>
    <m/>
    <n v="1650972.4"/>
    <n v="1997646"/>
    <m/>
    <m/>
    <m/>
    <d v="2020-08-04T00:00:00"/>
    <s v="SMLN-2020-617-000308"/>
    <x v="103"/>
    <d v="2020-09-23T00:00:00"/>
    <d v="2022-09-15T00:00:00"/>
  </r>
  <r>
    <d v="2020-06-12T00:00:00"/>
    <s v="VZ-2020-000624"/>
    <x v="22"/>
    <s v="Kohoutová"/>
    <x v="225"/>
    <n v="1"/>
    <s v="Analýza hrozeb a školící činnost v oblasti bezpečnosti FNOL"/>
    <m/>
    <s v="80610000-3"/>
    <m/>
    <n v="429752"/>
    <x v="2"/>
    <d v="2020-06-19T00:00:00"/>
    <d v="2020-06-30T00:00:00"/>
    <d v="2020-07-20T00:00:00"/>
    <s v="DOVERVILLE s.r.o."/>
    <m/>
    <n v="341000"/>
    <n v="412610"/>
    <m/>
    <m/>
    <m/>
    <d v="2020-07-20T00:00:00"/>
    <s v="SMLN-2020-612-000054"/>
    <x v="111"/>
    <d v="2020-07-23T00:00:00"/>
    <d v="2020-12-31T00:00:00"/>
  </r>
  <r>
    <d v="2020-06-12T00:00:00"/>
    <s v="VZ-2020-000624"/>
    <x v="22"/>
    <s v="Kohoutová"/>
    <x v="225"/>
    <n v="2"/>
    <s v="Analýza hrozeb a školící činnost v oblasti bezpečnosti FNOL - KZL"/>
    <m/>
    <s v="80610000-3"/>
    <m/>
    <n v="107438"/>
    <x v="2"/>
    <d v="2020-06-19T00:00:00"/>
    <d v="2020-06-30T00:00:00"/>
    <d v="2020-07-20T00:00:00"/>
    <s v="Centrum akademických a vzdělávacích služeb a.s."/>
    <m/>
    <n v="80000"/>
    <n v="96800"/>
    <m/>
    <m/>
    <m/>
    <d v="2020-07-20T00:00:00"/>
    <s v="SMLN-2020-612-000055"/>
    <x v="111"/>
    <d v="2020-07-23T00:00:00"/>
    <d v="2020-12-31T00:00:00"/>
  </r>
  <r>
    <d v="2020-06-09T00:00:00"/>
    <s v="VZ-2020-000630"/>
    <x v="3"/>
    <s v="Zemánek"/>
    <x v="226"/>
    <m/>
    <m/>
    <m/>
    <s v="33162100-4"/>
    <m/>
    <n v="4000000"/>
    <x v="0"/>
    <d v="2020-06-26T00:00:00"/>
    <d v="2020-07-29T00:00:00"/>
    <d v="2020-09-14T00:00:00"/>
    <s v="medisap, s.r.o."/>
    <m/>
    <n v="3599990"/>
    <n v="4355987.9000000004"/>
    <m/>
    <m/>
    <m/>
    <d v="2020-09-14T00:00:00"/>
    <s v="SMLN-2020-617-000407_x000a_SMLN-2020-612-000089"/>
    <x v="112"/>
    <d v="2020-10-22T00:00:00"/>
    <d v="2020-12-23T00:00:00"/>
  </r>
  <r>
    <d v="2020-06-15T00:00:00"/>
    <s v="VZ-2020-000633"/>
    <x v="1"/>
    <s v="Ondráčková"/>
    <x v="227"/>
    <m/>
    <m/>
    <m/>
    <s v="33616000-1"/>
    <m/>
    <n v="1496880"/>
    <x v="2"/>
    <d v="2020-07-07T00:00:00"/>
    <d v="2020-07-17T00:00:00"/>
    <d v="2020-08-04T00:00:00"/>
    <s v="Maxpharma servis s.r.o."/>
    <m/>
    <n v="1496880"/>
    <n v="1721412"/>
    <m/>
    <m/>
    <m/>
    <d v="2020-08-04T00:00:00"/>
    <s v="SMLN-2020-617-000310"/>
    <x v="83"/>
    <d v="2020-09-16T00:00:00"/>
    <d v="2023-09-10T00:00:00"/>
  </r>
  <r>
    <d v="2020-06-15T00:00:00"/>
    <s v="VZ-2020-000634"/>
    <x v="1"/>
    <s v="Ondráčková"/>
    <x v="228"/>
    <n v="1"/>
    <s v="BOTOX"/>
    <m/>
    <s v="33632200-1"/>
    <m/>
    <n v="3312000"/>
    <x v="0"/>
    <d v="2020-06-18T00:00:00"/>
    <d v="2020-07-20T00:00:00"/>
    <m/>
    <s v="zrušeno - špatné zadání"/>
    <s v="nová VZ-2020-000815"/>
    <m/>
    <m/>
    <m/>
    <m/>
    <m/>
    <m/>
    <m/>
    <x v="0"/>
    <d v="2020-07-13T00:00:00"/>
    <s v="10.7.2020 zrušeno"/>
  </r>
  <r>
    <d v="2020-06-15T00:00:00"/>
    <s v="VZ-2020-000634"/>
    <x v="1"/>
    <s v="Ondráčková"/>
    <x v="228"/>
    <n v="2"/>
    <s v="DYSPORT"/>
    <m/>
    <s v="33632200-1"/>
    <m/>
    <n v="7564413"/>
    <x v="0"/>
    <d v="2020-06-18T00:00:00"/>
    <d v="2020-07-20T00:00:00"/>
    <m/>
    <s v="zrušeno - špatné zadání"/>
    <s v="nová VZ-2020-000815"/>
    <m/>
    <m/>
    <m/>
    <m/>
    <m/>
    <m/>
    <m/>
    <x v="0"/>
    <d v="2020-07-13T00:00:00"/>
    <s v="10.7.2020 zrušeno"/>
  </r>
  <r>
    <d v="2020-06-15T00:00:00"/>
    <s v="VZ-2020-000634"/>
    <x v="1"/>
    <s v="Ondráčková"/>
    <x v="228"/>
    <n v="3"/>
    <s v="XEOMIN"/>
    <m/>
    <s v="33632200-1"/>
    <m/>
    <n v="9316800"/>
    <x v="0"/>
    <d v="2020-06-18T00:00:00"/>
    <d v="2020-07-20T00:00:00"/>
    <m/>
    <s v="zrušeno - špatné zadání"/>
    <s v="nová VZ-2020-000815"/>
    <m/>
    <m/>
    <m/>
    <m/>
    <m/>
    <m/>
    <m/>
    <x v="0"/>
    <d v="2020-07-13T00:00:00"/>
    <s v="10.7.2020 zrušeno"/>
  </r>
  <r>
    <d v="2020-06-15T00:00:00"/>
    <s v="VZ-2020-000635"/>
    <x v="1"/>
    <s v="Ondráčková"/>
    <x v="229"/>
    <n v="1"/>
    <s v="OKTREOTID"/>
    <m/>
    <s v="33642100-3"/>
    <m/>
    <n v="1173750"/>
    <x v="0"/>
    <d v="2020-06-22T00:00:00"/>
    <d v="2020-07-27T00:00:00"/>
    <d v="2020-08-26T00:00:00"/>
    <s v="Alliance Healthcare s.r.o."/>
    <m/>
    <n v="1173750"/>
    <n v="1291125"/>
    <m/>
    <m/>
    <m/>
    <d v="2020-08-26T00:00:00"/>
    <s v="SMLN-2020-617-000361"/>
    <x v="83"/>
    <d v="2020-09-18T00:00:00"/>
    <d v="2023-09-10T00:00:00"/>
  </r>
  <r>
    <d v="2020-06-15T00:00:00"/>
    <s v="VZ-2020-000635"/>
    <x v="1"/>
    <s v="Ondráčková"/>
    <x v="229"/>
    <n v="2"/>
    <s v="OKTREOTID-ACETÁT"/>
    <m/>
    <s v="33642100-3"/>
    <m/>
    <n v="11337300"/>
    <x v="0"/>
    <d v="2020-06-22T00:00:00"/>
    <d v="2020-07-27T00:00:00"/>
    <d v="2020-08-26T00:00:00"/>
    <s v="Alliance Healthcare s.r.o."/>
    <m/>
    <n v="11337300"/>
    <n v="12471030"/>
    <m/>
    <m/>
    <m/>
    <d v="2020-08-26T00:00:00"/>
    <s v="SMLN-2020-617-000362"/>
    <x v="83"/>
    <d v="2020-09-18T00:00:00"/>
    <d v="2023-09-10T00:00:00"/>
  </r>
  <r>
    <d v="2020-06-15T00:00:00"/>
    <s v="VZ-2020-000635"/>
    <x v="1"/>
    <s v="Ondráčková"/>
    <x v="229"/>
    <n v="3"/>
    <s v="LANREOTID-ACETÁT"/>
    <m/>
    <s v="33642100-3"/>
    <m/>
    <n v="11203762"/>
    <x v="0"/>
    <d v="2020-06-22T00:00:00"/>
    <d v="2020-07-27T00:00:00"/>
    <d v="2020-08-26T00:00:00"/>
    <s v="PHARMOS, a.s."/>
    <m/>
    <n v="11158418.1"/>
    <n v="12274259.91"/>
    <m/>
    <m/>
    <m/>
    <d v="2020-08-26T00:00:00"/>
    <s v="SMLN-2020-617-000363"/>
    <x v="83"/>
    <d v="2020-09-18T00:00:00"/>
    <d v="2023-09-10T00:00:00"/>
  </r>
  <r>
    <d v="2020-06-15T00:00:00"/>
    <s v="VZ-2020-000636"/>
    <x v="1"/>
    <s v="Ondráčková"/>
    <x v="230"/>
    <n v="1"/>
    <s v="VINBLASTIN-SULFÁT"/>
    <m/>
    <s v="33652100-6"/>
    <m/>
    <n v="482160"/>
    <x v="0"/>
    <d v="2020-06-18T00:00:00"/>
    <d v="2020-07-23T00:00:00"/>
    <d v="2020-08-17T00:00:00"/>
    <s v="PHOENIX lék.velkoobchod, s.r.o."/>
    <m/>
    <n v="482160"/>
    <n v="530376"/>
    <m/>
    <m/>
    <m/>
    <d v="2020-08-17T00:00:00"/>
    <s v="SMLN-2020-617-000329"/>
    <x v="82"/>
    <d v="2020-09-23T00:00:00"/>
    <d v="2023-09-21T00:00:00"/>
  </r>
  <r>
    <d v="2020-06-15T00:00:00"/>
    <s v="VZ-2020-000636"/>
    <x v="1"/>
    <s v="Ondráčková"/>
    <x v="230"/>
    <n v="2"/>
    <s v="VINORELBINE GLENMARK"/>
    <m/>
    <s v="33652100-6"/>
    <m/>
    <n v="6790108"/>
    <x v="0"/>
    <d v="2020-06-18T00:00:00"/>
    <d v="2020-07-23T00:00:00"/>
    <d v="2020-08-17T00:00:00"/>
    <s v="PROMEDICA Praha Group, a.s."/>
    <m/>
    <n v="6532122.1500000004"/>
    <n v="7185334.3700000001"/>
    <m/>
    <m/>
    <m/>
    <d v="2020-08-17T00:00:00"/>
    <s v="SMLN-2020-617-000330"/>
    <x v="83"/>
    <d v="2020-09-23T00:00:00"/>
    <d v="2023-09-10T00:00:00"/>
  </r>
  <r>
    <d v="2020-06-15T00:00:00"/>
    <s v="VZ-2020-000636"/>
    <x v="1"/>
    <s v="Ondráčková"/>
    <x v="230"/>
    <n v="3"/>
    <s v="VINORELBIN-DITARTARÁT"/>
    <m/>
    <s v="33652100-6"/>
    <m/>
    <n v="1036906"/>
    <x v="0"/>
    <d v="2020-06-18T00:00:00"/>
    <d v="2020-07-23T00:00:00"/>
    <d v="2020-08-17T00:00:00"/>
    <s v="Alliance Healthcare s.r.o."/>
    <m/>
    <n v="936032.7"/>
    <n v="1029635.97"/>
    <m/>
    <m/>
    <m/>
    <d v="2020-08-17T00:00:00"/>
    <s v="SMLN-2020-617-000331"/>
    <x v="83"/>
    <d v="2020-09-23T00:00:00"/>
    <d v="2023-09-10T00:00:00"/>
  </r>
  <r>
    <d v="2020-06-15T00:00:00"/>
    <s v="VZ-2020-000636"/>
    <x v="1"/>
    <s v="Ondráčková"/>
    <x v="230"/>
    <n v="4"/>
    <s v="VINFLUNIN-DITARTARÁT"/>
    <m/>
    <s v="33652100-6"/>
    <m/>
    <n v="2368248"/>
    <x v="0"/>
    <d v="2020-06-18T00:00:00"/>
    <d v="2020-07-23T00:00:00"/>
    <d v="2020-08-17T00:00:00"/>
    <s v="Alliance Healthcare s.r.o."/>
    <m/>
    <n v="1742463.48"/>
    <n v="1916709.83"/>
    <m/>
    <m/>
    <m/>
    <d v="2020-08-17T00:00:00"/>
    <s v="SMLN-2020-617-000332"/>
    <x v="83"/>
    <d v="2020-09-23T00:00:00"/>
    <d v="2023-09-10T00:00:00"/>
  </r>
  <r>
    <d v="2020-06-10T00:00:00"/>
    <s v="VZ-2020-000638"/>
    <x v="0"/>
    <s v="Dočkalová"/>
    <x v="231"/>
    <m/>
    <m/>
    <m/>
    <s v="33140000-3"/>
    <m/>
    <n v="727625"/>
    <x v="2"/>
    <d v="2020-06-18T00:00:00"/>
    <d v="2020-06-30T00:00:00"/>
    <d v="2020-07-15T00:00:00"/>
    <s v="A care a.s."/>
    <m/>
    <n v="727625"/>
    <n v="880426.7"/>
    <m/>
    <m/>
    <m/>
    <d v="2020-07-15T00:00:00"/>
    <s v="SMLN-2020-617-000282_x000a_SMLN-2020-614-000011"/>
    <x v="71"/>
    <d v="2020-08-06T00:00:00"/>
    <d v="2022-07-27T00:00:00"/>
  </r>
  <r>
    <d v="2020-06-10T00:00:00"/>
    <s v="VZ-2020-000639"/>
    <x v="0"/>
    <s v="Dočkalová"/>
    <x v="232"/>
    <m/>
    <m/>
    <m/>
    <s v="33140000-3"/>
    <m/>
    <n v="523490"/>
    <x v="2"/>
    <d v="2020-06-18T00:00:00"/>
    <d v="2020-07-03T00:00:00"/>
    <d v="2020-07-15T00:00:00"/>
    <s v="A care a.s."/>
    <m/>
    <n v="531880.56000000006"/>
    <n v="643575.48"/>
    <m/>
    <m/>
    <m/>
    <d v="2020-07-15T00:00:00"/>
    <s v="SMLN-2020-617-000283_x000a_SMLN-2020-614-000012"/>
    <x v="71"/>
    <d v="2020-08-06T00:00:00"/>
    <d v="2022-07-27T00:00:00"/>
  </r>
  <r>
    <d v="2020-06-17T00:00:00"/>
    <s v="VZ-2020-000648"/>
    <x v="1"/>
    <s v="Ondráčková"/>
    <x v="233"/>
    <n v="1"/>
    <s v="CUVITRU"/>
    <m/>
    <s v="33651520-9"/>
    <m/>
    <n v="2095601"/>
    <x v="0"/>
    <d v="2020-06-22T00:00:00"/>
    <d v="2020-08-17T00:00:00"/>
    <d v="2020-09-16T00:00:00"/>
    <s v="Takeda Pharmaceuticals Czech Republic s.r.o."/>
    <m/>
    <n v="2110980"/>
    <n v="2322078"/>
    <m/>
    <m/>
    <m/>
    <d v="2020-09-16T00:00:00"/>
    <s v="SMLN-2020-617-000411"/>
    <x v="113"/>
    <d v="2020-10-13T00:00:00"/>
    <d v="2023-10-07T00:00:00"/>
  </r>
  <r>
    <d v="2020-06-17T00:00:00"/>
    <s v="VZ-2020-000648"/>
    <x v="1"/>
    <s v="Ondráčková"/>
    <x v="233"/>
    <n v="2"/>
    <s v="GAMMANORM"/>
    <m/>
    <s v="33651520-9"/>
    <m/>
    <n v="4764264"/>
    <x v="0"/>
    <d v="2020-06-22T00:00:00"/>
    <d v="2020-08-17T00:00:00"/>
    <m/>
    <s v="zrušeno - bez nabídky"/>
    <s v="dodavatel nedá nabídku ani s OT a nebude garantovat dodávky"/>
    <m/>
    <m/>
    <m/>
    <m/>
    <m/>
    <m/>
    <m/>
    <x v="0"/>
    <d v="2020-08-19T00:00:00"/>
    <m/>
  </r>
  <r>
    <d v="2020-06-17T00:00:00"/>
    <s v="VZ-2020-000648"/>
    <x v="1"/>
    <s v="Ondráčková"/>
    <x v="233"/>
    <n v="3"/>
    <s v="HIZENTRA"/>
    <m/>
    <s v="33651520-9"/>
    <m/>
    <n v="7763383"/>
    <x v="0"/>
    <d v="2020-06-22T00:00:00"/>
    <d v="2020-08-17T00:00:00"/>
    <d v="2020-09-16T00:00:00"/>
    <s v="CSL Behring s.r.o."/>
    <m/>
    <n v="7763381.4900000002"/>
    <n v="8539719.6400000006"/>
    <m/>
    <m/>
    <m/>
    <d v="2020-09-16T00:00:00"/>
    <s v="SMLN-2020-617-000412"/>
    <x v="113"/>
    <d v="2020-10-13T00:00:00"/>
    <d v="2023-10-07T00:00:00"/>
  </r>
  <r>
    <d v="2020-06-17T00:00:00"/>
    <s v="VZ-2020-000648"/>
    <x v="1"/>
    <s v="Ondráčková"/>
    <x v="233"/>
    <n v="4"/>
    <s v="HYQVIA"/>
    <m/>
    <s v="33651520-9"/>
    <m/>
    <n v="11793000"/>
    <x v="0"/>
    <d v="2020-06-22T00:00:00"/>
    <d v="2020-08-17T00:00:00"/>
    <d v="2020-09-16T00:00:00"/>
    <s v="Takeda Pharmaceuticals Czech Republic s.r.o."/>
    <m/>
    <n v="11793000"/>
    <n v="12972300"/>
    <m/>
    <m/>
    <m/>
    <d v="2020-09-16T00:00:00"/>
    <s v="SMLN-2020-617-000413"/>
    <x v="113"/>
    <d v="2020-10-13T00:00:00"/>
    <d v="2023-10-07T00:00:00"/>
  </r>
  <r>
    <d v="2020-06-09T00:00:00"/>
    <s v="VZ-2020-000654"/>
    <x v="3"/>
    <s v="Rosulek"/>
    <x v="234"/>
    <m/>
    <m/>
    <m/>
    <s v="33124100-6"/>
    <s v="2.2.244."/>
    <n v="282000"/>
    <x v="2"/>
    <d v="2020-06-26T00:00:00"/>
    <d v="2020-07-07T00:00:00"/>
    <d v="2020-07-22T00:00:00"/>
    <s v="Medsol s.r.o."/>
    <m/>
    <n v="281996"/>
    <n v="341215.16"/>
    <m/>
    <m/>
    <m/>
    <d v="2020-07-22T00:00:00"/>
    <s v="SMLN-2020-617-000290_x000a_SMLN-2020-612-000061"/>
    <x v="114"/>
    <d v="2020-08-13T00:00:00"/>
    <d v="2020-10-09T00:00:00"/>
  </r>
  <r>
    <d v="2020-06-19T00:00:00"/>
    <s v="VZ-2020-000657"/>
    <x v="1"/>
    <s v="Ondráčková"/>
    <x v="235"/>
    <m/>
    <m/>
    <m/>
    <s v="71900000-7 "/>
    <m/>
    <n v="7530000"/>
    <x v="0"/>
    <d v="2020-06-24T00:00:00"/>
    <d v="2020-07-31T00:00:00"/>
    <d v="2020-08-12T00:00:00"/>
    <s v="DYNEX LAbSolutions, s.r.o."/>
    <m/>
    <n v="7488400"/>
    <n v="9060964"/>
    <m/>
    <m/>
    <m/>
    <d v="2020-08-13T00:00:00"/>
    <s v="SMLN-2020-612-000072"/>
    <x v="115"/>
    <d v="2020-09-11T00:00:00"/>
    <d v="2021-01-09T00:00:00"/>
  </r>
  <r>
    <s v="opakovaná VZ"/>
    <s v="VZ-2020-000658"/>
    <x v="23"/>
    <s v="Oravec"/>
    <x v="236"/>
    <m/>
    <m/>
    <m/>
    <s v="72261000-2"/>
    <s v="3.2.12."/>
    <n v="945000"/>
    <x v="2"/>
    <d v="2020-06-19T00:00:00"/>
    <d v="2020-06-26T00:00:00"/>
    <d v="2020-07-01T00:00:00"/>
    <s v="Bach systems s.r.o."/>
    <m/>
    <n v="943200"/>
    <n v="1141272"/>
    <m/>
    <m/>
    <m/>
    <d v="2020-07-01T00:00:00"/>
    <s v="SMLN-2020-612-000046"/>
    <x v="70"/>
    <d v="2020-07-23T00:00:00"/>
    <s v="doba neurčitá"/>
  </r>
  <r>
    <d v="2020-06-18T00:00:00"/>
    <s v="VZ-2020-000659"/>
    <x v="3"/>
    <s v="Rosulek"/>
    <x v="237"/>
    <n v="1"/>
    <s v="Stomatologická souprava"/>
    <m/>
    <s v="33192400-6"/>
    <s v="2.3.389."/>
    <n v="360579"/>
    <x v="2"/>
    <d v="2020-06-26T00:00:00"/>
    <d v="2020-07-08T00:00:00"/>
    <d v="2020-08-03T00:00:00"/>
    <s v="SpofaDental a.s."/>
    <m/>
    <n v="365300"/>
    <n v="442013"/>
    <m/>
    <m/>
    <m/>
    <d v="2020-08-03T00:00:00"/>
    <s v="SMLN-2020-617-000302_x000a_SMLN-2020-612-000066"/>
    <x v="107"/>
    <d v="2020-09-08T00:00:00"/>
    <d v="2020-10-09T00:00:00"/>
  </r>
  <r>
    <d v="2020-06-18T00:00:00"/>
    <s v="VZ-2020-000659"/>
    <x v="3"/>
    <s v="Rosulek"/>
    <x v="237"/>
    <n v="2"/>
    <s v="Kompresory"/>
    <m/>
    <s v="33192400-6"/>
    <s v="2.3.496."/>
    <n v="575454"/>
    <x v="2"/>
    <d v="2020-06-26T00:00:00"/>
    <d v="2020-07-08T00:00:00"/>
    <d v="2020-08-03T00:00:00"/>
    <s v="SpofaDental a.s."/>
    <m/>
    <n v="542400"/>
    <n v="656304"/>
    <m/>
    <m/>
    <m/>
    <d v="2020-08-03T00:00:00"/>
    <s v="SMLN-2020-617-000303_x000a_SMLN-2020-612-000067"/>
    <x v="107"/>
    <d v="2020-09-08T00:00:00"/>
    <d v="2020-10-09T00:00:00"/>
  </r>
  <r>
    <d v="2020-06-03T00:00:00"/>
    <s v="VZ-2020-000664"/>
    <x v="0"/>
    <s v="Dočkalová"/>
    <x v="238"/>
    <n v="1"/>
    <s v="Materiál spotřební pro peritoneální dialýzu I."/>
    <m/>
    <s v="33140000-3"/>
    <m/>
    <n v="5049102"/>
    <x v="0"/>
    <d v="2020-06-24T00:00:00"/>
    <d v="2020-07-29T00:00:00"/>
    <d v="2020-09-04T00:00:00"/>
    <s v="BAXTER CZECH spol. s r.o."/>
    <m/>
    <n v="5049102"/>
    <n v="6109413.4199999999"/>
    <m/>
    <m/>
    <m/>
    <d v="2020-09-04T00:00:00"/>
    <s v="SMLN-2020-617-000378"/>
    <x v="116"/>
    <d v="2020-10-20T00:00:00"/>
    <s v="doba neurčitá"/>
  </r>
  <r>
    <d v="2020-06-03T00:00:00"/>
    <s v="VZ-2020-000664"/>
    <x v="0"/>
    <s v="Dočkalová"/>
    <x v="239"/>
    <n v="2"/>
    <s v="Materiál spotřební pro peritoneální dialýzu II."/>
    <m/>
    <s v="33140000-3"/>
    <m/>
    <n v="3986590.4"/>
    <x v="0"/>
    <d v="2020-06-24T00:00:00"/>
    <d v="2020-07-29T00:00:00"/>
    <d v="2020-09-04T00:00:00"/>
    <s v="Fresenius Medical Care s.r.o."/>
    <m/>
    <n v="3986590.4"/>
    <n v="4823774.38"/>
    <m/>
    <m/>
    <m/>
    <d v="2020-09-04T00:00:00"/>
    <s v="SMLN-2020-617-000379"/>
    <x v="116"/>
    <d v="2020-10-20T00:00:00"/>
    <s v="doba neurčitá"/>
  </r>
  <r>
    <d v="2020-04-27T00:00:00"/>
    <s v="VZ-2020-000665"/>
    <x v="0"/>
    <s v="Valtová"/>
    <x v="240"/>
    <m/>
    <m/>
    <m/>
    <s v="33140000-3"/>
    <m/>
    <n v="4140720"/>
    <x v="0"/>
    <d v="2020-07-01T00:00:00"/>
    <d v="2020-08-03T00:00:00"/>
    <m/>
    <m/>
    <m/>
    <m/>
    <m/>
    <m/>
    <m/>
    <m/>
    <m/>
    <m/>
    <x v="0"/>
    <d v="2020-09-07T00:00:00"/>
    <s v="20.8.2020 zrušeno"/>
  </r>
  <r>
    <d v="2020-06-18T00:00:00"/>
    <s v="VZ-2020-000667"/>
    <x v="3"/>
    <s v="Rosulek"/>
    <x v="241"/>
    <m/>
    <m/>
    <m/>
    <s v="33162100-4"/>
    <s v="2.3.390."/>
    <n v="3542148"/>
    <x v="1"/>
    <d v="2020-08-24T00:00:00"/>
    <d v="2020-09-10T00:00:00"/>
    <m/>
    <s v="zrušeno - bez nabídky"/>
    <s v="nový VZ-2020-001012"/>
    <m/>
    <m/>
    <m/>
    <m/>
    <m/>
    <m/>
    <m/>
    <x v="0"/>
    <d v="2020-09-15T00:00:00"/>
    <s v="15.9.2020 zrušeno"/>
  </r>
  <r>
    <d v="2020-06-19T00:00:00"/>
    <s v="VZ-2020-000669"/>
    <x v="9"/>
    <s v="Spáčil"/>
    <x v="242"/>
    <m/>
    <m/>
    <m/>
    <s v="45454100-5"/>
    <s v="1.3.22."/>
    <n v="63474626"/>
    <x v="0"/>
    <d v="2020-06-26T00:00:00"/>
    <d v="2020-08-25T00:00:00"/>
    <d v="2020-09-04T00:00:00"/>
    <s v="OHL ŽS, a.s."/>
    <m/>
    <n v="47301965.979999997"/>
    <n v="57235378.840000004"/>
    <m/>
    <m/>
    <m/>
    <d v="2020-09-04T00:00:00"/>
    <s v="SMLN-2020-618-000069"/>
    <x v="117"/>
    <d v="2020-10-01T00:00:00"/>
    <d v="2021-09-27T00:00:00"/>
  </r>
  <r>
    <d v="2020-06-18T00:00:00"/>
    <s v="VZ-2020-000673"/>
    <x v="3"/>
    <s v="Rosulek"/>
    <x v="243"/>
    <m/>
    <m/>
    <m/>
    <s v="33155000-1"/>
    <s v="2.2.227."/>
    <n v="1031736"/>
    <x v="2"/>
    <d v="2020-07-02T00:00:00"/>
    <d v="2020-07-15T00:00:00"/>
    <d v="2020-07-27T00:00:00"/>
    <s v="Stargen EU s.r.o."/>
    <m/>
    <n v="1031500"/>
    <n v="1248115"/>
    <m/>
    <m/>
    <m/>
    <d v="2020-07-27T00:00:00"/>
    <s v="SMLN-2020-617-000296_x000a_SMLN-2020-612-000064"/>
    <x v="92"/>
    <d v="2020-08-24T00:00:00"/>
    <d v="2020-09-28T00:00:00"/>
  </r>
  <r>
    <d v="2020-06-23T00:00:00"/>
    <s v="VZ-2020-000676"/>
    <x v="14"/>
    <s v="Rosulek"/>
    <x v="244"/>
    <m/>
    <m/>
    <m/>
    <s v="33186000-7"/>
    <s v="2.3.491."/>
    <n v="2314049"/>
    <x v="1"/>
    <d v="2020-07-16T00:00:00"/>
    <d v="2020-08-05T00:00:00"/>
    <d v="2020-09-10T00:00:00"/>
    <s v="Gettinge Czech Republic s.r.o."/>
    <m/>
    <n v="2314030.58"/>
    <n v="2799977"/>
    <m/>
    <m/>
    <m/>
    <d v="2020-09-10T00:00:00"/>
    <s v="SMLN-2020-617-000400_x000a_SMLN-2020-612-000087"/>
    <x v="118"/>
    <d v="2020-10-29T00:00:00"/>
    <d v="2021-02-11T00:00:00"/>
  </r>
  <r>
    <d v="2020-06-24T00:00:00"/>
    <s v="VZ-2020-000683"/>
    <x v="0"/>
    <s v="Dočkalová"/>
    <x v="245"/>
    <m/>
    <m/>
    <m/>
    <s v="33140000-3"/>
    <m/>
    <n v="2160160"/>
    <x v="1"/>
    <d v="2020-07-02T00:00:00"/>
    <d v="2020-07-22T00:00:00"/>
    <m/>
    <s v="zrušeno - bez nabídky"/>
    <s v="nová VZ-2020-000766"/>
    <m/>
    <m/>
    <m/>
    <m/>
    <m/>
    <m/>
    <m/>
    <x v="0"/>
    <d v="2020-07-24T00:00:00"/>
    <s v="22.7. zrušení na podpis"/>
  </r>
  <r>
    <s v="opakovaná VZ"/>
    <s v="VZ-2020-000687"/>
    <x v="7"/>
    <s v="Oravec"/>
    <x v="246"/>
    <m/>
    <m/>
    <m/>
    <s v="72261000-2"/>
    <m/>
    <n v="1682752"/>
    <x v="2"/>
    <d v="2020-06-29T00:00:00"/>
    <d v="2020-07-14T00:00:00"/>
    <d v="2020-07-20T00:00:00"/>
    <s v="Alogo, s.r.o."/>
    <m/>
    <n v="1682750"/>
    <n v="2036127.5"/>
    <m/>
    <m/>
    <m/>
    <d v="2020-07-20T00:00:00"/>
    <s v="SMLN-2020-612-000053"/>
    <x v="119"/>
    <d v="2020-08-17T00:00:00"/>
    <d v="2025-08-12T00:00:00"/>
  </r>
  <r>
    <d v="2020-06-23T00:00:00"/>
    <s v="VZ-2020-000696"/>
    <x v="3"/>
    <s v="Rosulek"/>
    <x v="247"/>
    <m/>
    <m/>
    <m/>
    <s v="38510000-3"/>
    <s v="2.3.431."/>
    <n v="1825537"/>
    <x v="2"/>
    <d v="2020-07-02T00:00:00"/>
    <d v="2020-07-21T00:00:00"/>
    <d v="2020-08-05T00:00:00"/>
    <s v="Nikon CEE GmbH, odštěpný závod"/>
    <m/>
    <n v="1644610"/>
    <n v="1989978.1"/>
    <m/>
    <m/>
    <m/>
    <d v="2020-08-05T00:00:00"/>
    <s v="SMLN-2020-617-000309_x000a_SMLN-2020-612-000068"/>
    <x v="120"/>
    <d v="2020-08-28T00:00:00"/>
    <d v="2020-10-20T00:00:00"/>
  </r>
  <r>
    <d v="2020-06-29T00:00:00"/>
    <s v="VZ-2020-000697"/>
    <x v="0"/>
    <s v="Merta"/>
    <x v="248"/>
    <m/>
    <m/>
    <m/>
    <s v="33141200-2"/>
    <m/>
    <n v="175414549"/>
    <x v="0"/>
    <d v="2020-07-14T00:00:00"/>
    <d v="2020-08-26T00:00:00"/>
    <m/>
    <s v="zrušeno"/>
    <s v="bude realizováno sdružený nákupem"/>
    <m/>
    <m/>
    <m/>
    <m/>
    <m/>
    <m/>
    <m/>
    <x v="0"/>
    <d v="2020-09-15T00:00:00"/>
    <s v="28.8.2020 zrušeno"/>
  </r>
  <r>
    <d v="2020-05-27T00:00:00"/>
    <s v="VZ-2020-000699"/>
    <x v="0"/>
    <s v="Valtová"/>
    <x v="249"/>
    <m/>
    <m/>
    <m/>
    <s v="33140000–3"/>
    <m/>
    <n v="7128000"/>
    <x v="0"/>
    <d v="2020-07-22T00:00:00"/>
    <d v="2020-08-24T00:00:00"/>
    <d v="2020-09-03T00:00:00"/>
    <s v="Cardiomedical s.r.o."/>
    <m/>
    <n v="7128000"/>
    <n v="8197200"/>
    <m/>
    <m/>
    <m/>
    <d v="2020-09-03T00:00:00"/>
    <s v="SMLN-2020-617-000377_x000a_SMLN-2020-614-000025"/>
    <x v="81"/>
    <d v="2020-09-30T00:00:00"/>
    <d v="2023-09-28T00:00:00"/>
  </r>
  <r>
    <d v="2020-06-29T00:00:00"/>
    <s v="VZ-2020-000702"/>
    <x v="3"/>
    <s v="Rosulek"/>
    <x v="250"/>
    <m/>
    <m/>
    <m/>
    <s v="33190000-8"/>
    <s v="2.3.391,466,504..."/>
    <n v="343347"/>
    <x v="2"/>
    <d v="2020-07-15T00:00:00"/>
    <d v="2020-07-28T00:00:00"/>
    <d v="2020-08-31T00:00:00"/>
    <s v="Prodispa s.r.o."/>
    <m/>
    <n v="258900"/>
    <n v="313269"/>
    <m/>
    <m/>
    <m/>
    <d v="2020-09-01T00:00:00"/>
    <s v="SMLN-2020-617-000374_x000a_SMLN-2020-612-000080"/>
    <x v="121"/>
    <d v="2020-09-24T00:00:00"/>
    <d v="2020-11-23T00:00:00"/>
  </r>
  <r>
    <d v="2020-06-23T00:00:00"/>
    <s v="VZ-2020-000703"/>
    <x v="3"/>
    <s v="Rosulek"/>
    <x v="251"/>
    <m/>
    <m/>
    <m/>
    <s v="38434570-2"/>
    <s v="2.2.284"/>
    <n v="1092000"/>
    <x v="2"/>
    <d v="2020-07-27T00:00:00"/>
    <d v="2020-08-05T00:00:00"/>
    <m/>
    <s v="zrušeno - 1 nabídka překročila předpokládanou hodnotu"/>
    <m/>
    <m/>
    <m/>
    <m/>
    <m/>
    <m/>
    <m/>
    <m/>
    <x v="0"/>
    <d v="2020-08-06T00:00:00"/>
    <m/>
  </r>
  <r>
    <d v="2020-06-30T00:00:00"/>
    <s v="VZ-2020-000704"/>
    <x v="3"/>
    <s v="Rosulek"/>
    <x v="252"/>
    <m/>
    <m/>
    <m/>
    <s v="38416000-4"/>
    <s v="2.3.443, 2.3.501"/>
    <n v="506280"/>
    <x v="2"/>
    <d v="2020-07-27T00:00:00"/>
    <d v="2020-08-06T00:00:00"/>
    <d v="2020-09-01T00:00:00"/>
    <s v="IMEDEX s.r.o."/>
    <m/>
    <n v="484640"/>
    <n v="586414"/>
    <m/>
    <m/>
    <m/>
    <d v="2020-09-01T00:00:00"/>
    <s v="SMLN-2020-617-000375_x000a_SMLN-2020-612-000081"/>
    <x v="122"/>
    <d v="2020-10-07T00:00:00"/>
    <d v="2020-11-02T00:00:00"/>
  </r>
  <r>
    <d v="2020-06-30T00:00:00"/>
    <s v="VZ-2020-000705"/>
    <x v="10"/>
    <s v="Vaida"/>
    <x v="253"/>
    <m/>
    <m/>
    <m/>
    <s v="50700000-2"/>
    <m/>
    <n v="1200000"/>
    <x v="2"/>
    <d v="2020-07-14T00:00:00"/>
    <d v="2020-07-27T00:00:00"/>
    <d v="2020-08-12T00:00:00"/>
    <s v="ASSA ABLOY Entrance Systems, spol.s r.o."/>
    <m/>
    <n v="1174840"/>
    <n v="1421556.4"/>
    <m/>
    <m/>
    <m/>
    <d v="2020-08-13T00:00:00"/>
    <s v="SMLN-2020-612-000071"/>
    <x v="123"/>
    <d v="2020-09-04T00:00:00"/>
    <d v="2022-12-31T00:00:00"/>
  </r>
  <r>
    <d v="2020-06-30T00:00:00"/>
    <s v="VZ-2020-000706"/>
    <x v="1"/>
    <s v="Ondráčková"/>
    <x v="254"/>
    <n v="1"/>
    <s v="Nutridrink"/>
    <m/>
    <s v="15880000-0"/>
    <m/>
    <n v="9211449"/>
    <x v="0"/>
    <d v="2020-07-13T00:00:00"/>
    <d v="2020-08-17T00:00:00"/>
    <m/>
    <s v="zrušeno - administrativní pochybení"/>
    <m/>
    <m/>
    <m/>
    <m/>
    <m/>
    <m/>
    <m/>
    <m/>
    <x v="0"/>
    <d v="2020-11-04T00:00:00"/>
    <s v="9.10.2020 zrušeno"/>
  </r>
  <r>
    <d v="2020-06-30T00:00:00"/>
    <s v="VZ-2020-000706"/>
    <x v="1"/>
    <s v="Ondráčková"/>
    <x v="254"/>
    <n v="2"/>
    <s v="Diasip"/>
    <m/>
    <s v="15880000-0"/>
    <m/>
    <n v="713124"/>
    <x v="0"/>
    <d v="2020-07-13T00:00:00"/>
    <d v="2020-08-17T00:00:00"/>
    <d v="2020-10-12T00:00:00"/>
    <s v="Alliance Healthcare s.r.o."/>
    <m/>
    <n v="705431.77"/>
    <n v="811246.54"/>
    <m/>
    <m/>
    <m/>
    <d v="2020-10-12T00:00:00"/>
    <s v="SMLN-2020-617-000467"/>
    <x v="110"/>
    <d v="2020-11-16T00:00:00"/>
    <d v="2023-11-10T00:00:00"/>
  </r>
  <r>
    <d v="2020-06-30T00:00:00"/>
    <s v="VZ-2020-000707"/>
    <x v="1"/>
    <s v="Ondráčková"/>
    <x v="255"/>
    <n v="1"/>
    <s v="Enterální výživa I."/>
    <m/>
    <s v="15880000-0"/>
    <m/>
    <n v="1347950"/>
    <x v="0"/>
    <d v="2020-07-21T00:00:00"/>
    <d v="2020-08-21T00:00:00"/>
    <m/>
    <s v="zrušeno - administrativní pochybení"/>
    <s v="nová VZ-2020-000856"/>
    <m/>
    <m/>
    <m/>
    <m/>
    <m/>
    <m/>
    <m/>
    <x v="0"/>
    <d v="2020-08-14T00:00:00"/>
    <s v="13.8.2020 zrušeno"/>
  </r>
  <r>
    <d v="2020-06-30T00:00:00"/>
    <s v="VZ-2020-000707"/>
    <x v="1"/>
    <s v="Ondráčková"/>
    <x v="255"/>
    <n v="2"/>
    <s v="Enterální výživa I."/>
    <m/>
    <s v="15880000-0"/>
    <m/>
    <n v="3589383"/>
    <x v="0"/>
    <d v="2020-07-21T00:00:00"/>
    <d v="2020-08-21T00:00:00"/>
    <m/>
    <s v="zrušeno - administrativní pochybení"/>
    <s v="nová VZ-2020-000856"/>
    <m/>
    <m/>
    <m/>
    <m/>
    <m/>
    <m/>
    <m/>
    <x v="0"/>
    <d v="2020-08-14T00:00:00"/>
    <s v="13.8.2020 zrušeno"/>
  </r>
  <r>
    <d v="2020-07-09T00:00:00"/>
    <s v="VZ-2020-000720"/>
    <x v="7"/>
    <s v="Miklík"/>
    <x v="256"/>
    <m/>
    <m/>
    <m/>
    <s v="72261000-2"/>
    <m/>
    <n v="603305"/>
    <x v="2"/>
    <d v="2020-07-09T00:00:00"/>
    <d v="2020-07-16T00:00:00"/>
    <d v="2020-07-16T00:00:00"/>
    <s v="DATA-INTER spol. s r.o."/>
    <m/>
    <n v="569000"/>
    <n v="688490"/>
    <m/>
    <m/>
    <m/>
    <d v="2020-07-16T00:00:00"/>
    <s v="SMLN-2020-612-000051"/>
    <x v="124"/>
    <d v="2020-08-04T00:00:00"/>
    <d v="2023-08-04T00:00:00"/>
  </r>
  <r>
    <d v="2020-07-09T00:00:00"/>
    <s v="VZ-2020-000721"/>
    <x v="3"/>
    <s v="Rosulek"/>
    <x v="257"/>
    <m/>
    <m/>
    <m/>
    <s v="33151400-7 "/>
    <s v="2.3.487"/>
    <n v="1028973"/>
    <x v="2"/>
    <d v="2020-07-10T00:00:00"/>
    <d v="2020-07-20T00:00:00"/>
    <d v="2020-08-07T00:00:00"/>
    <s v="úmrtí Ing. Pleška - "/>
    <s v="nová VZ-2020-001029"/>
    <n v="1041473"/>
    <n v="1041473"/>
    <m/>
    <m/>
    <m/>
    <d v="2020-08-07T00:00:00"/>
    <s v="SMLN-2020-617-000322_x000a_SMLN-2020-612-000070"/>
    <x v="120"/>
    <d v="2020-08-26T00:00:00"/>
    <d v="2020-09-22T00:00:00"/>
  </r>
  <r>
    <s v="opakovaná VZ"/>
    <s v="VZ-2020-000736"/>
    <x v="3"/>
    <s v="Zemánek"/>
    <x v="258"/>
    <m/>
    <m/>
    <m/>
    <s v="33162100-4"/>
    <s v="2.3.498."/>
    <n v="830000"/>
    <x v="2"/>
    <d v="2020-07-15T00:00:00"/>
    <d v="2020-07-23T00:00:00"/>
    <d v="2020-07-28T00:00:00"/>
    <s v="SUBITO CZ spol.s  r.o."/>
    <m/>
    <n v="795300"/>
    <n v="962313"/>
    <m/>
    <m/>
    <m/>
    <d v="2020-07-28T00:00:00"/>
    <s v="SMLN-2020-617-000297_x000a_SMLN-2020-612-000065"/>
    <x v="69"/>
    <d v="2020-08-17T00:00:00"/>
    <d v="2020-10-10T00:00:00"/>
  </r>
  <r>
    <d v="2020-07-07T00:00:00"/>
    <s v="VZ-2020-000740"/>
    <x v="3"/>
    <s v="Rosulek"/>
    <x v="259"/>
    <m/>
    <m/>
    <m/>
    <s v="33127000-6"/>
    <s v="2.2.280"/>
    <n v="1314049"/>
    <x v="2"/>
    <d v="2020-07-22T00:00:00"/>
    <d v="2020-07-31T00:00:00"/>
    <d v="2020-08-27T00:00:00"/>
    <s v="DYNEX Technologies spol.s r.o."/>
    <m/>
    <n v="1396700"/>
    <n v="1690007"/>
    <m/>
    <m/>
    <m/>
    <d v="2020-08-27T00:00:00"/>
    <s v="SMLN-2020-617-000370_x000a_SMLN-2020-612-000078"/>
    <x v="117"/>
    <d v="2020-10-01T00:00:00"/>
    <d v="2020-12-04T00:00:00"/>
  </r>
  <r>
    <d v="2020-07-07T00:00:00"/>
    <s v="VZ-2020-000742"/>
    <x v="3"/>
    <s v="Rosulek"/>
    <x v="260"/>
    <m/>
    <m/>
    <m/>
    <s v="38000000-5"/>
    <s v="2.2.290."/>
    <n v="3845000"/>
    <x v="0"/>
    <d v="2020-08-10T00:00:00"/>
    <d v="2020-09-11T00:00:00"/>
    <d v="2020-09-30T00:00:00"/>
    <s v="DYNEX LAbSolutions, s.r.o."/>
    <m/>
    <n v="3825965"/>
    <n v="4629417.6500000004"/>
    <m/>
    <m/>
    <m/>
    <d v="2020-09-30T00:00:00"/>
    <s v="SMLN-2020-617-000447_x000a_SMLN-2020-612-000102"/>
    <x v="125"/>
    <d v="2020-11-06T00:00:00"/>
    <d v="2020-12-24T00:00:00"/>
  </r>
  <r>
    <d v="2020-07-13T00:00:00"/>
    <s v="VZ-2020-000744"/>
    <x v="0"/>
    <s v="Valtová"/>
    <x v="261"/>
    <n v="1"/>
    <s v="Rigidní dlaha pro stabilizaci dolní krční páteře předním přístupem bikortikálně"/>
    <m/>
    <s v="33184100-4"/>
    <m/>
    <n v="274000"/>
    <x v="0"/>
    <d v="2020-08-18T00:00:00"/>
    <d v="2020-10-16T00:00:00"/>
    <m/>
    <s v="zrušeno - překročení ceny"/>
    <s v="nová VZ-2021-000316"/>
    <m/>
    <m/>
    <m/>
    <m/>
    <m/>
    <m/>
    <m/>
    <x v="0"/>
    <d v="2020-12-15T00:00:00"/>
    <s v="23.11.2020 zrušeno"/>
  </r>
  <r>
    <d v="2020-07-13T00:00:00"/>
    <s v="VZ-2020-000744"/>
    <x v="0"/>
    <s v="Valtová"/>
    <x v="261"/>
    <n v="2"/>
    <s v="Rigidní dlaha pro stabilizaci dolní krční páteře předním přístupem monokortikálně"/>
    <m/>
    <s v="33184100-4"/>
    <m/>
    <n v="274000"/>
    <x v="0"/>
    <d v="2020-08-18T00:00:00"/>
    <d v="2020-10-16T00:00:00"/>
    <d v="2020-12-14T00:00:00"/>
    <s v="Johnson  &amp; Johnson s.r.o."/>
    <m/>
    <n v="272250"/>
    <n v="313087.5"/>
    <m/>
    <m/>
    <m/>
    <d v="2020-12-15T00:00:00"/>
    <s v="SMLN-2020-617-000564_x000a_SMLN-2020-614-000067_x000a_SMLN-2020-616-000070"/>
    <x v="0"/>
    <m/>
    <m/>
  </r>
  <r>
    <d v="2020-07-13T00:00:00"/>
    <s v="VZ-2020-000744"/>
    <x v="0"/>
    <s v="Valtová"/>
    <x v="261"/>
    <n v="3"/>
    <s v="Fúzní náhrada krční meziobratlové ploténky "/>
    <m/>
    <s v="33184100-4"/>
    <m/>
    <n v="5400000"/>
    <x v="0"/>
    <d v="2020-08-18T00:00:00"/>
    <d v="2020-10-16T00:00:00"/>
    <d v="2020-12-14T00:00:00"/>
    <s v="BoneCare s.r.o."/>
    <m/>
    <n v="5400000"/>
    <n v="6210000"/>
    <m/>
    <m/>
    <m/>
    <d v="2020-12-15T00:00:00"/>
    <s v="SMLN-2020-617-000565_x000a_SMLN-2020-614-000068_x000a_SMLN-2020-616-000071"/>
    <x v="0"/>
    <m/>
    <m/>
  </r>
  <r>
    <d v="2020-07-13T00:00:00"/>
    <s v="VZ-2020-000744"/>
    <x v="0"/>
    <s v="Valtová"/>
    <x v="261"/>
    <n v="4"/>
    <s v="Fúzní systém pro zadní stabilizaci krční páteře a okcipito-cervikální fixaci"/>
    <m/>
    <s v="33184100-4"/>
    <m/>
    <n v="964000"/>
    <x v="0"/>
    <d v="2020-08-18T00:00:00"/>
    <d v="2020-10-16T00:00:00"/>
    <d v="2020-12-14T00:00:00"/>
    <s v="Johnson  &amp; Johnson s.r.o."/>
    <m/>
    <n v="565680"/>
    <n v="650532"/>
    <m/>
    <m/>
    <m/>
    <d v="2020-12-15T00:00:00"/>
    <s v="SMLN-2020-617-000566_x000a_SMLN-2020-614-000069_x000a_SMLN-2020-616-000072"/>
    <x v="0"/>
    <m/>
    <m/>
  </r>
  <r>
    <d v="2020-07-13T00:00:00"/>
    <s v="VZ-2020-000744"/>
    <x v="0"/>
    <s v="Valtová"/>
    <x v="261"/>
    <n v="5"/>
    <s v="Fúzní náhrada bederní meziobratlové ploténky z předního přístupu (ALIF)"/>
    <m/>
    <s v="33184100-4"/>
    <m/>
    <n v="995000"/>
    <x v="0"/>
    <d v="2020-08-18T00:00:00"/>
    <d v="2020-10-16T00:00:00"/>
    <d v="2020-12-14T00:00:00"/>
    <s v="BoneCare s.r.o."/>
    <m/>
    <n v="995000"/>
    <n v="1144250"/>
    <m/>
    <m/>
    <m/>
    <d v="2020-12-15T00:00:00"/>
    <s v="SMLN-2020-617-000567_x000a_SMLN-2020-614-000070_x000a_SMLN-2020-616-000073"/>
    <x v="0"/>
    <m/>
    <s v="2.12. vyloučení JPM na podpis"/>
  </r>
  <r>
    <d v="2020-07-13T00:00:00"/>
    <s v="VZ-2020-000744"/>
    <x v="0"/>
    <s v="Valtová"/>
    <x v="261"/>
    <n v="6"/>
    <s v="Fúzní náhrada bederní meziobratlové ploténky expandibilní z bočního přístupu (LLIF, XLIF)"/>
    <m/>
    <s v="33184100-4"/>
    <m/>
    <n v="2820000"/>
    <x v="0"/>
    <d v="2020-08-18T00:00:00"/>
    <d v="2020-10-16T00:00:00"/>
    <d v="2020-12-14T00:00:00"/>
    <s v="BoneCare s.r.o."/>
    <m/>
    <n v="2820000"/>
    <n v="3243000"/>
    <m/>
    <m/>
    <m/>
    <d v="2020-12-15T00:00:00"/>
    <s v="SMLN-2020-617-000568_x000a_SMLN-2020-614-000071_x000a_SMLN-2020-616-000074"/>
    <x v="0"/>
    <m/>
    <m/>
  </r>
  <r>
    <d v="2020-07-13T00:00:00"/>
    <s v="VZ-2020-000744"/>
    <x v="0"/>
    <s v="Valtová"/>
    <x v="261"/>
    <n v="7"/>
    <s v="Fúzní náhrada bederní meziobratlové ploténky expandibilní ze zadního přístupu páteřním kanálem (PLIF)"/>
    <m/>
    <s v="33184100-4"/>
    <m/>
    <n v="1365043"/>
    <x v="0"/>
    <d v="2020-08-18T00:00:00"/>
    <d v="2020-10-16T00:00:00"/>
    <d v="2020-12-14T00:00:00"/>
    <s v="BoneCare s.r.o."/>
    <m/>
    <n v="1365000"/>
    <n v="1569750"/>
    <m/>
    <m/>
    <m/>
    <d v="2020-12-15T00:00:00"/>
    <s v="SMLN-2020-617-000569_x000a_SMLN-2020-614-000072_x000a_SMLN-2020-616-000075"/>
    <x v="0"/>
    <m/>
    <m/>
  </r>
  <r>
    <d v="2020-07-13T00:00:00"/>
    <s v="VZ-2020-000744"/>
    <x v="0"/>
    <s v="Valtová"/>
    <x v="261"/>
    <n v="8"/>
    <s v="Fúzní systém pro transpedikulární stabilizaci bederní páteře u degenerativních onemocnění s možností repozice olistézy (translačního posunu)"/>
    <m/>
    <s v="33184100-4"/>
    <m/>
    <n v="7630000"/>
    <x v="0"/>
    <d v="2020-08-18T00:00:00"/>
    <d v="2020-10-16T00:00:00"/>
    <d v="2020-12-14T00:00:00"/>
    <s v="BoneCare s.r.o."/>
    <m/>
    <n v="7630000"/>
    <n v="8774500"/>
    <m/>
    <m/>
    <m/>
    <d v="2020-12-15T00:00:00"/>
    <s v="SMLN-2020-617-000570_x000a_SMLN-2020-614-000073_x000a_SMLN-2020-616-000076"/>
    <x v="0"/>
    <m/>
    <m/>
  </r>
  <r>
    <d v="2020-07-13T00:00:00"/>
    <s v="VZ-2020-000744"/>
    <x v="0"/>
    <s v="Valtová"/>
    <x v="261"/>
    <n v="9"/>
    <s v="Fúzní systém pro transpedikulární stabilizaci hrudní a bederní páteře u traumat"/>
    <m/>
    <s v="33184100-4"/>
    <m/>
    <n v="1800000"/>
    <x v="0"/>
    <d v="2020-08-18T00:00:00"/>
    <d v="2020-10-16T00:00:00"/>
    <d v="2020-12-14T00:00:00"/>
    <s v="BoneCare s.r.o."/>
    <m/>
    <n v="1720000"/>
    <n v="1978000"/>
    <m/>
    <m/>
    <m/>
    <d v="2020-12-15T00:00:00"/>
    <s v="SMLN-2020-617-000571_x000a_SMLN-2020-614-000074_x000a_SMLN-2020-616-000077"/>
    <x v="0"/>
    <m/>
    <m/>
  </r>
  <r>
    <d v="2020-07-13T00:00:00"/>
    <s v="VZ-2020-000744"/>
    <x v="0"/>
    <s v="Valtová"/>
    <x v="261"/>
    <n v="10"/>
    <s v="Fúzní systém pro transpedikulární stabilizaci hrudní a bederní páteře u osteoporotické páteře s možností aplikace cementu šroubem"/>
    <m/>
    <s v="33184100-4"/>
    <m/>
    <n v="3460000"/>
    <x v="0"/>
    <d v="2020-08-18T00:00:00"/>
    <d v="2020-10-16T00:00:00"/>
    <d v="2020-12-14T00:00:00"/>
    <s v="Johnson  &amp; Johnson s.r.o."/>
    <m/>
    <n v="2900000"/>
    <n v="3335000"/>
    <m/>
    <m/>
    <m/>
    <d v="2020-12-16T00:00:00"/>
    <s v="SMLN-2020-617-000572_x000a_SMLN-2020-614-000075_x000a_SMLN-2020-616-000078"/>
    <x v="0"/>
    <m/>
    <m/>
  </r>
  <r>
    <d v="2020-07-13T00:00:00"/>
    <s v="VZ-2020-000744"/>
    <x v="0"/>
    <s v="Valtová"/>
    <x v="261"/>
    <n v="11"/>
    <s v="Fúzní náhrada krčního, hrudního a bederního obratlového těla s možností mechanické expanze"/>
    <m/>
    <s v="33184100-4"/>
    <m/>
    <n v="2778000"/>
    <x v="0"/>
    <d v="2020-08-18T00:00:00"/>
    <d v="2020-10-16T00:00:00"/>
    <d v="2020-12-14T00:00:00"/>
    <s v="BoneCare s.r.o."/>
    <m/>
    <n v="2640000"/>
    <n v="3036000"/>
    <m/>
    <m/>
    <m/>
    <d v="2020-12-16T00:00:00"/>
    <s v="SMLN-2020-617-000573_x000a_SMLN-2020-614-000076_x000a_SMLN-2020-616-000079"/>
    <x v="0"/>
    <m/>
    <m/>
  </r>
  <r>
    <d v="2020-07-13T00:00:00"/>
    <s v="VZ-2020-000744"/>
    <x v="0"/>
    <s v="Valtová"/>
    <x v="261"/>
    <n v="12"/>
    <s v="Vertebroplastická sada k perkutánní vertebroplastice hrudního a bederního obratle cementem"/>
    <m/>
    <s v="33184100-4"/>
    <m/>
    <n v="2260000"/>
    <x v="0"/>
    <d v="2020-08-18T00:00:00"/>
    <d v="2020-10-16T00:00:00"/>
    <d v="2020-12-14T00:00:00"/>
    <s v="Johnson  &amp; Johnson s.r.o."/>
    <m/>
    <n v="2260000"/>
    <n v="2651800"/>
    <m/>
    <m/>
    <m/>
    <d v="2020-12-16T00:00:00"/>
    <s v="SMLN-2020-617-000574_x000a_SMLN-2020-614-000077_x000a_SMLN-2020-616-000080"/>
    <x v="0"/>
    <m/>
    <m/>
  </r>
  <r>
    <d v="2020-07-13T00:00:00"/>
    <s v="VZ-2020-000744"/>
    <x v="0"/>
    <s v="Valtová"/>
    <x v="261"/>
    <n v="13"/>
    <s v="Fúzní systém pro stabilizaci sakro-iliakálního (SI) skloubení"/>
    <m/>
    <s v="33184100-4"/>
    <m/>
    <n v="2070000"/>
    <x v="0"/>
    <d v="2020-08-18T00:00:00"/>
    <d v="2020-10-16T00:00:00"/>
    <d v="2020-12-14T00:00:00"/>
    <s v="Spinemedical s.r.o."/>
    <m/>
    <n v="2070000"/>
    <n v="2380500"/>
    <m/>
    <m/>
    <m/>
    <d v="2020-12-16T00:00:00"/>
    <s v="SMLN-2020-617-000575_x000a_SMLN-2020-614-000078_x000a_SMLN-2020-616-000081"/>
    <x v="0"/>
    <m/>
    <m/>
  </r>
  <r>
    <d v="2020-07-07T00:00:00"/>
    <s v="VZ-2020-000746"/>
    <x v="3"/>
    <s v="Rosulek"/>
    <x v="262"/>
    <m/>
    <m/>
    <m/>
    <s v="38433210-4"/>
    <s v="2.2.86."/>
    <n v="431000"/>
    <x v="2"/>
    <d v="2020-07-24T00:00:00"/>
    <d v="2020-08-06T00:00:00"/>
    <d v="2020-09-10T00:00:00"/>
    <s v="Uni-Export Instruments s.r.o."/>
    <m/>
    <n v="431200"/>
    <n v="521752"/>
    <m/>
    <m/>
    <m/>
    <d v="2020-09-10T00:00:00"/>
    <s v="SMLN-2020-617-000392_x000a_SMLN-2020-612-000086"/>
    <x v="126"/>
    <d v="2020-10-12T00:00:00"/>
    <d v="2020-12-04T00:00:00"/>
  </r>
  <r>
    <d v="2020-07-07T00:00:00"/>
    <s v="VZ-2020-000761"/>
    <x v="3"/>
    <s v="Rosulek"/>
    <x v="263"/>
    <m/>
    <m/>
    <m/>
    <s v="33124110-9"/>
    <s v="2.3.494"/>
    <n v="2294481"/>
    <x v="1"/>
    <d v="2020-07-24T00:00:00"/>
    <d v="2020-08-12T00:00:00"/>
    <d v="2020-08-26T00:00:00"/>
    <s v="Stargen EU s.r.o."/>
    <m/>
    <n v="2294351"/>
    <n v="2776164.71"/>
    <m/>
    <m/>
    <m/>
    <d v="2020-08-26T00:00:00"/>
    <s v="SMLN-2020-617-000367_x000a_SMLN-2020-612-000077"/>
    <x v="127"/>
    <d v="2020-09-21T00:00:00"/>
    <d v="2020-11-12T00:00:00"/>
  </r>
  <r>
    <d v="2020-07-17T00:00:00"/>
    <s v="VZ-2020-000763"/>
    <x v="8"/>
    <s v="Smrčková"/>
    <x v="264"/>
    <m/>
    <m/>
    <m/>
    <s v="39120000-9"/>
    <m/>
    <n v="490000"/>
    <x v="2"/>
    <d v="2020-07-27T00:00:00"/>
    <d v="2020-08-05T00:00:00"/>
    <d v="2020-08-07T00:00:00"/>
    <s v="Český nábytek a.s."/>
    <m/>
    <n v="439164"/>
    <n v="531388.43999999994"/>
    <m/>
    <m/>
    <m/>
    <d v="2020-08-07T00:00:00"/>
    <s v="SMLN-2020-617-000323"/>
    <x v="107"/>
    <d v="2020-09-08T00:00:00"/>
    <d v="2020-11-27T00:00:00"/>
  </r>
  <r>
    <s v="opakovaná VZ"/>
    <s v="VZ-2020-000766"/>
    <x v="0"/>
    <s v="Dočkalová"/>
    <x v="265"/>
    <m/>
    <m/>
    <m/>
    <s v="33140000-3"/>
    <m/>
    <n v="2160160"/>
    <x v="1"/>
    <d v="2020-08-03T00:00:00"/>
    <d v="2020-08-19T00:00:00"/>
    <d v="2020-09-11T00:00:00"/>
    <s v="Terumo BCT Europe N.V."/>
    <m/>
    <n v="2166400"/>
    <n v="2621344"/>
    <m/>
    <m/>
    <m/>
    <d v="2020-09-11T00:00:00"/>
    <s v="SMLN-2020-617-000404"/>
    <x v="110"/>
    <d v="2020-11-19T00:00:00"/>
    <s v="doba neurčitá"/>
  </r>
  <r>
    <d v="2020-07-22T00:00:00"/>
    <s v="VZ-2020-000774"/>
    <x v="7"/>
    <s v="Oravec"/>
    <x v="266"/>
    <m/>
    <m/>
    <m/>
    <s v="72261000-2"/>
    <m/>
    <n v="740000"/>
    <x v="2"/>
    <d v="2020-08-04T00:00:00"/>
    <d v="2020-08-13T00:00:00"/>
    <d v="2020-08-19T00:00:00"/>
    <s v="systém IN s.r.o."/>
    <m/>
    <n v="599141.86"/>
    <n v="724961.65"/>
    <m/>
    <m/>
    <m/>
    <d v="2020-08-19T00:00:00"/>
    <s v="SMLN-2020-612-000073"/>
    <x v="128"/>
    <d v="2020-09-01T00:00:00"/>
    <s v="doba neurčitá"/>
  </r>
  <r>
    <d v="2020-07-23T00:00:00"/>
    <s v="VZ-2020-000777"/>
    <x v="5"/>
    <s v="Eyer"/>
    <x v="267"/>
    <m/>
    <m/>
    <m/>
    <s v="45262340-6"/>
    <m/>
    <n v="510000"/>
    <x v="2"/>
    <d v="2020-07-28T00:00:00"/>
    <d v="2020-08-11T00:00:00"/>
    <d v="2020-08-17T00:00:00"/>
    <s v="DEV COMPANY, spol. s r.o."/>
    <m/>
    <n v="499925"/>
    <n v="604909.25"/>
    <m/>
    <m/>
    <m/>
    <d v="2020-08-17T00:00:00"/>
    <s v="SMLN-2020-618-000061"/>
    <x v="123"/>
    <d v="2020-09-04T00:00:00"/>
    <d v="2020-10-15T00:00:00"/>
  </r>
  <r>
    <d v="2020-07-28T00:00:00"/>
    <s v="VZ-2020-000778"/>
    <x v="7"/>
    <s v="Oravec"/>
    <x v="268"/>
    <m/>
    <m/>
    <m/>
    <s v="30213100-6"/>
    <s v="3.2.50."/>
    <n v="478500"/>
    <x v="2"/>
    <d v="2020-08-10T00:00:00"/>
    <d v="2020-08-24T00:00:00"/>
    <d v="2020-08-27T00:00:00"/>
    <s v="AUTOCONT a.s."/>
    <m/>
    <n v="536800"/>
    <n v="649528"/>
    <m/>
    <m/>
    <m/>
    <d v="2020-08-27T00:00:00"/>
    <s v="SMLN-2020-617-000369"/>
    <x v="129"/>
    <d v="2020-09-11T00:00:00"/>
    <d v="2021-09-09T00:00:00"/>
  </r>
  <r>
    <d v="2020-07-29T00:00:00"/>
    <s v="VZ-2020-000779"/>
    <x v="9"/>
    <s v="Spáčil"/>
    <x v="269"/>
    <m/>
    <m/>
    <m/>
    <s v="45453000-7"/>
    <m/>
    <n v="2710341"/>
    <x v="2"/>
    <d v="2020-07-31T00:00:00"/>
    <d v="2020-08-10T00:00:00"/>
    <d v="2020-08-19T00:00:00"/>
    <s v="OHL ŽS, a.s."/>
    <m/>
    <n v="2285427.7799999998"/>
    <n v="2765367.61"/>
    <m/>
    <m/>
    <m/>
    <d v="2020-08-19T00:00:00"/>
    <s v="SMLN-2020-618-000063"/>
    <x v="117"/>
    <d v="2020-09-30T00:00:00"/>
    <d v="2020-10-15T00:00:00"/>
  </r>
  <r>
    <d v="2020-07-28T00:00:00"/>
    <s v="VZ-2020-000780"/>
    <x v="14"/>
    <s v="Rosulek"/>
    <x v="270"/>
    <m/>
    <m/>
    <m/>
    <s v="33168100-6"/>
    <s v="2.2.256"/>
    <n v="1046580"/>
    <x v="2"/>
    <d v="2020-08-05T00:00:00"/>
    <d v="2020-08-18T00:00:00"/>
    <d v="2020-09-23T00:00:00"/>
    <s v="Olympus Czech Group, s.r.o."/>
    <m/>
    <n v="1053240"/>
    <n v="1274420.3999999999"/>
    <m/>
    <m/>
    <m/>
    <d v="2020-09-23T00:00:00"/>
    <s v="SMLN-2020-617-000432_x000a_SMLN-2020-612-000093"/>
    <x v="130"/>
    <d v="2020-10-14T00:00:00"/>
    <d v="2020-12-02T00:00:00"/>
  </r>
  <r>
    <d v="2020-07-31T00:00:00"/>
    <s v="VZ-2020-000788"/>
    <x v="1"/>
    <s v="Ondráčková"/>
    <x v="271"/>
    <m/>
    <m/>
    <m/>
    <s v="24455000-8"/>
    <m/>
    <n v="167450"/>
    <x v="2"/>
    <d v="2020-08-07T00:00:00"/>
    <d v="2020-08-20T00:00:00"/>
    <d v="2020-08-24T00:00:00"/>
    <s v="PROMEDICA Praha Group, a.s."/>
    <m/>
    <n v="157630"/>
    <n v="190732.3"/>
    <m/>
    <m/>
    <m/>
    <d v="2020-08-24T00:00:00"/>
    <s v="SMLN-2020-617-000353"/>
    <x v="83"/>
    <d v="2020-09-15T00:00:00"/>
    <d v="2020-09-22T00:00:00"/>
  </r>
  <r>
    <d v="2020-07-31T00:00:00"/>
    <s v="VZ-2020-000789"/>
    <x v="1"/>
    <s v="Ondráčková"/>
    <x v="272"/>
    <n v="1"/>
    <s v="PROMANUM PURE "/>
    <m/>
    <s v="24455000-8"/>
    <m/>
    <n v="250395"/>
    <x v="2"/>
    <d v="2020-08-07T00:00:00"/>
    <d v="2020-08-19T00:00:00"/>
    <d v="2020-08-20T00:00:00"/>
    <s v="B. Braun Medical s.r.o."/>
    <m/>
    <n v="249476"/>
    <n v="301865.96000000002"/>
    <m/>
    <m/>
    <m/>
    <d v="2020-08-20T00:00:00"/>
    <s v="SMLN-2020-617-000342"/>
    <x v="99"/>
    <d v="2020-09-24T00:00:00"/>
    <d v="2020-10-02T00:00:00"/>
  </r>
  <r>
    <d v="2020-07-31T00:00:00"/>
    <s v="VZ-2020-000789"/>
    <x v="1"/>
    <s v="Ondráčková"/>
    <x v="272"/>
    <n v="2"/>
    <s v="STERILLIUM"/>
    <m/>
    <s v="24455000-8"/>
    <m/>
    <n v="361887"/>
    <x v="2"/>
    <d v="2020-08-07T00:00:00"/>
    <d v="2020-08-19T00:00:00"/>
    <d v="2020-08-20T00:00:00"/>
    <s v="Distrimed s.r.o."/>
    <m/>
    <n v="361582.1"/>
    <n v="437514.34"/>
    <m/>
    <m/>
    <m/>
    <d v="2020-08-20T00:00:00"/>
    <s v="SMLN-2020-617-000343"/>
    <x v="129"/>
    <d v="2020-09-15T00:00:00"/>
    <d v="2020-09-15T00:00:00"/>
  </r>
  <r>
    <d v="2020-07-31T00:00:00"/>
    <s v="VZ-2020-000789"/>
    <x v="1"/>
    <s v="Ondráčková"/>
    <x v="272"/>
    <n v="3"/>
    <s v="SOFTA-MAN VISCORUB"/>
    <m/>
    <s v="24455000-8"/>
    <m/>
    <n v="62370"/>
    <x v="2"/>
    <d v="2020-08-07T00:00:00"/>
    <d v="2020-08-19T00:00:00"/>
    <d v="2020-08-20T00:00:00"/>
    <s v="B.Braun Medical s.r.o."/>
    <m/>
    <n v="62080"/>
    <n v="75116.800000000003"/>
    <m/>
    <m/>
    <m/>
    <d v="2020-08-20T00:00:00"/>
    <s v="SMLN-2020-617-000344"/>
    <x v="99"/>
    <d v="2020-09-24T00:00:00"/>
    <d v="2020-10-02T00:00:00"/>
  </r>
  <r>
    <d v="2020-07-31T00:00:00"/>
    <s v="VZ-2020-000789"/>
    <x v="1"/>
    <s v="Ondráčková"/>
    <x v="272"/>
    <n v="4"/>
    <s v="BAKTOLIN PURE "/>
    <m/>
    <s v="24455000-8"/>
    <m/>
    <n v="214787"/>
    <x v="2"/>
    <d v="2020-08-07T00:00:00"/>
    <d v="2020-08-19T00:00:00"/>
    <d v="2020-08-20T00:00:00"/>
    <s v="Hartman-Rico a.s."/>
    <m/>
    <n v="214596.9"/>
    <n v="259662.25"/>
    <m/>
    <m/>
    <m/>
    <d v="2020-08-20T00:00:00"/>
    <s v="SMLN-2020-617-000345"/>
    <x v="131"/>
    <d v="2020-09-16T00:00:00"/>
    <d v="2020-09-23T00:00:00"/>
  </r>
  <r>
    <d v="2020-07-31T00:00:00"/>
    <s v="VZ-2020-000789"/>
    <x v="1"/>
    <s v="Ondráčková"/>
    <x v="272"/>
    <n v="5"/>
    <s v="LIFOSAN SOFT"/>
    <m/>
    <s v="24455000-8"/>
    <m/>
    <n v="63719"/>
    <x v="2"/>
    <d v="2020-08-07T00:00:00"/>
    <d v="2020-08-19T00:00:00"/>
    <d v="2020-08-20T00:00:00"/>
    <s v="B.Braun Medical s.r.o."/>
    <m/>
    <n v="63228"/>
    <n v="76505.88"/>
    <m/>
    <m/>
    <m/>
    <d v="2020-08-20T00:00:00"/>
    <s v="SMLN-2020-617-000346"/>
    <x v="99"/>
    <d v="2020-09-24T00:00:00"/>
    <d v="2020-10-02T00:00:00"/>
  </r>
  <r>
    <d v="2020-07-31T00:00:00"/>
    <s v="VZ-2020-000789"/>
    <x v="1"/>
    <s v="Ondráčková"/>
    <x v="272"/>
    <n v="6"/>
    <s v="SOFTASKIN"/>
    <m/>
    <s v="24455000-8"/>
    <m/>
    <n v="12073"/>
    <x v="2"/>
    <d v="2020-08-07T00:00:00"/>
    <d v="2020-08-19T00:00:00"/>
    <d v="2020-08-20T00:00:00"/>
    <s v="B.Braun Medical s.r.o."/>
    <m/>
    <n v="11983"/>
    <n v="14499.43"/>
    <m/>
    <m/>
    <m/>
    <d v="2020-08-20T00:00:00"/>
    <s v="SMLN-2020-617-000347"/>
    <x v="99"/>
    <d v="2020-09-24T00:00:00"/>
    <d v="2020-10-02T00:00:00"/>
  </r>
  <r>
    <d v="2020-07-31T00:00:00"/>
    <s v="VZ-2020-000790"/>
    <x v="1"/>
    <s v="Ondráčková"/>
    <x v="273"/>
    <n v="1"/>
    <s v="Dezinfekční ubrosuky na bázi alkoholu bez obsahu aldehydů a jiných účinných látek zatěžujících prostředí"/>
    <m/>
    <s v="24455000-8"/>
    <m/>
    <n v="107405"/>
    <x v="2"/>
    <d v="2020-08-07T00:00:00"/>
    <d v="2020-08-21T00:00:00"/>
    <d v="2020-09-08T00:00:00"/>
    <s v="PROMEDICA Praha Group, a.s."/>
    <m/>
    <n v="104900"/>
    <n v="126929"/>
    <m/>
    <m/>
    <m/>
    <d v="2020-09-08T00:00:00"/>
    <s v="SMLN-2020-617-000384"/>
    <x v="121"/>
    <d v="2020-09-24T00:00:00"/>
    <d v="2020-09-29T00:00:00"/>
  </r>
  <r>
    <d v="2020-07-31T00:00:00"/>
    <s v="VZ-2020-000790"/>
    <x v="1"/>
    <s v="Ondráčková"/>
    <x v="273"/>
    <n v="2"/>
    <s v="Dezinfekční ubrousky na citlivé povrchy (obrazovky, displeje, inkubátory, ultrazvukové sondy, apod.) bez obsahu nebo s nízkým obsahem alkoholu"/>
    <m/>
    <s v="24455000-8"/>
    <m/>
    <n v="196901"/>
    <x v="2"/>
    <d v="2020-08-07T00:00:00"/>
    <d v="2020-08-21T00:00:00"/>
    <d v="2020-09-15T00:00:00"/>
    <s v="PROMEDICA Praha Group, a.s."/>
    <s v="Ecolab odstoupil"/>
    <n v="167220"/>
    <n v="202336.19999999998"/>
    <m/>
    <m/>
    <m/>
    <d v="2020-09-15T00:00:00"/>
    <s v="SMLN-2020-617-000408"/>
    <x v="81"/>
    <d v="2020-10-02T00:00:00"/>
    <d v="2020-10-07T00:00:00"/>
  </r>
  <r>
    <d v="2020-07-31T00:00:00"/>
    <s v="VZ-2020-000790"/>
    <x v="1"/>
    <s v="Ondráčková"/>
    <x v="273"/>
    <n v="3"/>
    <s v="Dezinfekční přípravky s rozprašovačem pro aplikaci postřikem na bázi alkoholu bez obsahu aldehydů a jiných účinných látek zatěžujících prostředí"/>
    <m/>
    <s v="24455000-8"/>
    <m/>
    <n v="100000"/>
    <x v="2"/>
    <d v="2020-08-07T00:00:00"/>
    <d v="2020-08-21T00:00:00"/>
    <d v="2020-09-08T00:00:00"/>
    <s v="PROMEDICA Praha Group, a.s."/>
    <s v="B. Braun odstoupil"/>
    <n v="98400"/>
    <n v="119064"/>
    <m/>
    <m/>
    <m/>
    <d v="2020-09-17T00:00:00"/>
    <s v="SMLN-2020-617-000415"/>
    <x v="122"/>
    <d v="2020-10-07T00:00:00"/>
    <d v="2020-10-14T00:00:00"/>
  </r>
  <r>
    <d v="2020-07-31T00:00:00"/>
    <s v="VZ-2020-000790"/>
    <x v="1"/>
    <s v="Ondráčková"/>
    <x v="273"/>
    <n v="4"/>
    <s v="Dezinfekční přípravky bez obsahu alkoholu pro aplikaci ve formě pěny  na citlivé materiály"/>
    <m/>
    <s v="24455000-8"/>
    <m/>
    <n v="19598"/>
    <x v="2"/>
    <d v="2020-08-07T00:00:00"/>
    <d v="2020-08-21T00:00:00"/>
    <d v="2020-09-08T00:00:00"/>
    <s v="PROMEDICA Praha Group, a.s."/>
    <m/>
    <n v="17380"/>
    <n v="21029.8"/>
    <m/>
    <m/>
    <m/>
    <d v="2020-09-08T00:00:00"/>
    <s v="SMLN-2020-617-000387"/>
    <x v="121"/>
    <d v="2020-09-24T00:00:00"/>
    <d v="2020-09-29T00:00:00"/>
  </r>
  <r>
    <d v="2020-07-31T00:00:00"/>
    <s v="VZ-2020-000795"/>
    <x v="8"/>
    <s v="Smrčková"/>
    <x v="274"/>
    <m/>
    <m/>
    <m/>
    <s v="33772000-2"/>
    <m/>
    <n v="810000"/>
    <x v="2"/>
    <d v="2020-08-10T00:00:00"/>
    <d v="2020-08-26T00:00:00"/>
    <d v="2020-09-22T00:00:00"/>
    <s v="PROMEDICA Praha Group, a.s."/>
    <m/>
    <n v="825471"/>
    <n v="998819.91"/>
    <m/>
    <m/>
    <m/>
    <d v="2020-09-22T00:00:00"/>
    <s v="SMLN-2020-617-000426"/>
    <x v="113"/>
    <d v="2020-10-13T00:00:00"/>
    <d v="2022-10-07T00:00:00"/>
  </r>
  <r>
    <d v="2020-08-14T00:00:00"/>
    <s v="VZ-2020-000804"/>
    <x v="10"/>
    <s v="Vaida"/>
    <x v="275"/>
    <m/>
    <m/>
    <m/>
    <s v="45430000-0"/>
    <m/>
    <n v="1200000"/>
    <x v="2"/>
    <d v="2020-08-19T00:00:00"/>
    <d v="2020-08-28T00:00:00"/>
    <d v="2020-09-03T00:00:00"/>
    <s v="BRADA Interiéry s.r.o."/>
    <m/>
    <n v="1287690"/>
    <n v="1558104.9"/>
    <m/>
    <m/>
    <m/>
    <d v="2020-09-03T00:00:00"/>
    <s v="SMLN-2020-618-000060"/>
    <x v="117"/>
    <d v="2020-09-25T00:00:00"/>
    <d v="2022-09-30T00:00:00"/>
  </r>
  <r>
    <d v="2020-08-14T00:00:00"/>
    <s v="VZ-2020-000805"/>
    <x v="10"/>
    <s v="Vaida"/>
    <x v="276"/>
    <m/>
    <m/>
    <m/>
    <s v="45261910-6"/>
    <m/>
    <n v="1745000"/>
    <x v="2"/>
    <d v="2020-08-19T00:00:00"/>
    <d v="2020-09-10T00:00:00"/>
    <d v="2020-09-17T00:00:00"/>
    <s v="IZOTECH Moravia , spol. s r.o."/>
    <m/>
    <n v="1786375.48"/>
    <n v="2161514.33"/>
    <m/>
    <m/>
    <m/>
    <d v="2020-09-18T00:00:00"/>
    <s v="SMLN-2020-618-000080"/>
    <x v="98"/>
    <d v="2020-10-16T00:00:00"/>
    <d v="2020-12-23T00:00:00"/>
  </r>
  <r>
    <d v="2020-08-07T00:00:00"/>
    <s v="VZ-2020-000806"/>
    <x v="10"/>
    <s v="Vaida"/>
    <x v="277"/>
    <m/>
    <m/>
    <m/>
    <s v="45421132-8"/>
    <m/>
    <n v="310000"/>
    <x v="2"/>
    <d v="2020-08-18T00:00:00"/>
    <d v="2020-08-28T00:00:00"/>
    <d v="2020-09-08T00:00:00"/>
    <s v="OHL ŽS, a.s."/>
    <m/>
    <n v="260746.36"/>
    <n v="315503.09999999998"/>
    <m/>
    <m/>
    <m/>
    <d v="2020-09-08T00:00:00"/>
    <s v="SMLN-2020-618-000073"/>
    <x v="132"/>
    <d v="2020-10-08T00:00:00"/>
    <d v="2020-12-13T00:00:00"/>
  </r>
  <r>
    <d v="2020-08-07T00:00:00"/>
    <s v="VZ-2020-000807"/>
    <x v="10"/>
    <s v="Vaida"/>
    <x v="278"/>
    <m/>
    <m/>
    <m/>
    <s v="45453100-8"/>
    <m/>
    <n v="1700000"/>
    <x v="2"/>
    <d v="2020-08-18T00:00:00"/>
    <d v="2020-09-01T00:00:00"/>
    <m/>
    <s v="zrušeno - bez nabídky"/>
    <m/>
    <m/>
    <m/>
    <m/>
    <m/>
    <m/>
    <m/>
    <m/>
    <x v="0"/>
    <d v="2020-09-01T00:00:00"/>
    <m/>
  </r>
  <r>
    <d v="2020-08-05T00:00:00"/>
    <s v="VZ-2020-000809"/>
    <x v="8"/>
    <s v="Smrčková"/>
    <x v="279"/>
    <m/>
    <m/>
    <m/>
    <s v="39550000-2"/>
    <m/>
    <n v="1620000"/>
    <x v="2"/>
    <d v="2020-08-10T00:00:00"/>
    <d v="2020-08-14T00:00:00"/>
    <d v="2020-08-31T00:00:00"/>
    <s v="S.A.B. Impex s.r.o."/>
    <m/>
    <n v="1431000"/>
    <n v="1731600"/>
    <m/>
    <m/>
    <m/>
    <d v="2020-08-31T00:00:00"/>
    <s v="SMLN-2020-617-000372"/>
    <x v="133"/>
    <d v="2020-09-15T00:00:00"/>
    <d v="2021-09-13T00:00:00"/>
  </r>
  <r>
    <d v="2020-07-30T00:00:00"/>
    <s v="VZ-2020-000812"/>
    <x v="3"/>
    <s v="Rosulek"/>
    <x v="280"/>
    <m/>
    <m/>
    <m/>
    <s v="38950000-9"/>
    <s v="2.2.291"/>
    <n v="1835025"/>
    <x v="2"/>
    <d v="2020-08-07T00:00:00"/>
    <d v="2020-08-18T00:00:00"/>
    <d v="2020-09-09T00:00:00"/>
    <s v="East Port Praha, s.r.o."/>
    <m/>
    <n v="1442300"/>
    <n v="1745183"/>
    <m/>
    <m/>
    <m/>
    <d v="2020-09-10T00:00:00"/>
    <s v="SMLN-2020-617-000389_x000a_SMLN-2020-612-000085_x000a_SMLN-2020-617-000390"/>
    <x v="132"/>
    <d v="2020-10-08T00:00:00"/>
    <d v="2020-11-17T00:00:00"/>
  </r>
  <r>
    <d v="2020-08-06T00:00:00"/>
    <s v="VZ-2020-000814"/>
    <x v="1"/>
    <s v="Ondráčková"/>
    <x v="281"/>
    <n v="1"/>
    <s v="IVAKAFTOR"/>
    <m/>
    <s v="33670000-7"/>
    <m/>
    <n v="21558475"/>
    <x v="0"/>
    <d v="2020-08-11T00:00:00"/>
    <d v="2020-09-15T00:00:00"/>
    <d v="2020-10-07T00:00:00"/>
    <s v="Vertex Pharmaceuticals (Ireland) Limited"/>
    <m/>
    <n v="21558474"/>
    <n v="23714321.399999999"/>
    <m/>
    <m/>
    <m/>
    <d v="2020-10-08T00:00:00"/>
    <s v="SMLN-2020-617-000463"/>
    <x v="77"/>
    <d v="2020-11-03T00:00:00"/>
    <d v="2024-10-29T00:00:00"/>
  </r>
  <r>
    <d v="2020-08-06T00:00:00"/>
    <s v="VZ-2020-000815"/>
    <x v="1"/>
    <s v="Ondráčková"/>
    <x v="282"/>
    <n v="1"/>
    <s v="BOTOX"/>
    <m/>
    <s v="33632200-1"/>
    <m/>
    <n v="7314000"/>
    <x v="0"/>
    <d v="2020-08-07T00:00:00"/>
    <d v="2020-09-10T00:00:00"/>
    <d v="2020-09-23T00:00:00"/>
    <s v="Alliance Healthcare s.r.o."/>
    <m/>
    <n v="6835224.5"/>
    <n v="7518746.9500000002"/>
    <m/>
    <m/>
    <m/>
    <d v="2020-09-23T00:00:00"/>
    <s v="SMLN-2020-617-000436"/>
    <x v="93"/>
    <d v="2020-11-09T00:00:00"/>
    <d v="2023-11-03T00:00:00"/>
  </r>
  <r>
    <d v="2020-08-06T00:00:00"/>
    <s v="VZ-2020-000815"/>
    <x v="1"/>
    <s v="Ondráčková"/>
    <x v="282"/>
    <n v="2"/>
    <s v="DYSPORT"/>
    <m/>
    <s v="33632200-1"/>
    <m/>
    <n v="3604311"/>
    <x v="0"/>
    <d v="2020-08-07T00:00:00"/>
    <d v="2020-09-10T00:00:00"/>
    <m/>
    <s v="zrušeno - překročení ceny"/>
    <m/>
    <m/>
    <m/>
    <m/>
    <m/>
    <m/>
    <m/>
    <m/>
    <x v="0"/>
    <d v="2020-10-26T00:00:00"/>
    <s v="30.9.2020 zrušeno"/>
  </r>
  <r>
    <d v="2020-08-06T00:00:00"/>
    <s v="VZ-2020-000815"/>
    <x v="1"/>
    <s v="Ondráčková"/>
    <x v="282"/>
    <n v="3"/>
    <s v="XEOMIN"/>
    <m/>
    <s v="33632200-1"/>
    <m/>
    <n v="9316800"/>
    <x v="0"/>
    <d v="2020-08-07T00:00:00"/>
    <d v="2020-09-10T00:00:00"/>
    <d v="2020-09-23T00:00:00"/>
    <s v="PHOENIX lék.velkoobchod, s.r.o."/>
    <m/>
    <n v="9225000"/>
    <n v="10147500"/>
    <m/>
    <m/>
    <m/>
    <d v="2020-09-23T00:00:00"/>
    <s v="SMLN-2020-617-000438"/>
    <x v="134"/>
    <d v="2020-10-26T00:00:00"/>
    <d v="2023-10-19T00:00:00"/>
  </r>
  <r>
    <d v="2020-08-05T00:00:00"/>
    <s v="VZ-2020-000818"/>
    <x v="8"/>
    <s v="Smrčková"/>
    <x v="283"/>
    <m/>
    <m/>
    <m/>
    <s v="33140000-3"/>
    <m/>
    <n v="1800000"/>
    <x v="2"/>
    <d v="2020-08-10T00:00:00"/>
    <d v="2020-08-17T00:00:00"/>
    <d v="2020-08-31T00:00:00"/>
    <s v="BLACK STORM s.r.o."/>
    <m/>
    <n v="1102500"/>
    <n v="1334025"/>
    <m/>
    <m/>
    <m/>
    <d v="2020-08-31T00:00:00"/>
    <s v="SMLN-2020-617-000373"/>
    <x v="83"/>
    <d v="2020-09-14T00:00:00"/>
    <d v="2021-09-10T00:00:00"/>
  </r>
  <r>
    <d v="2020-08-07T00:00:00"/>
    <s v="VZ-2020-000820"/>
    <x v="8"/>
    <s v="Smrčková"/>
    <x v="284"/>
    <m/>
    <m/>
    <m/>
    <s v="18142000-6"/>
    <m/>
    <n v="1440000"/>
    <x v="2"/>
    <d v="2020-08-11T00:00:00"/>
    <d v="2020-08-18T00:00:00"/>
    <d v="2020-08-26T00:00:00"/>
    <s v="GENERAL TRADING s.r.o."/>
    <m/>
    <n v="991200"/>
    <n v="1199352"/>
    <m/>
    <m/>
    <m/>
    <d v="2020-08-26T00:00:00"/>
    <s v="SMLN-2020-617-000364"/>
    <x v="83"/>
    <d v="2020-09-15T00:00:00"/>
    <d v="2021-09-10T00:00:00"/>
  </r>
  <r>
    <d v="2020-07-21T00:00:00"/>
    <s v="VZ-2020-000821"/>
    <x v="0"/>
    <s v="Valtová"/>
    <x v="285"/>
    <n v="1"/>
    <s v="Sety k ASK pumpě"/>
    <m/>
    <s v="33140000 – 3"/>
    <m/>
    <n v="988250"/>
    <x v="0"/>
    <d v="2020-08-26T00:00:00"/>
    <d v="2020-10-12T00:00:00"/>
    <d v="2020-10-27T00:00:00"/>
    <s v="Johnson  &amp; Johnson s.r.o."/>
    <m/>
    <n v="988250"/>
    <n v="1195782.5"/>
    <m/>
    <m/>
    <m/>
    <d v="2020-10-27T00:00:00"/>
    <s v="SMLN-2020-617-000507_x000a_SMLN-2020-614-000059"/>
    <x v="135"/>
    <d v="2020-12-15T00:00:00"/>
    <d v="2022-12-07T00:00:00"/>
  </r>
  <r>
    <d v="2020-07-21T00:00:00"/>
    <s v="VZ-2020-000821"/>
    <x v="0"/>
    <s v="Valtová"/>
    <x v="285"/>
    <n v="2"/>
    <s v="Frézy k shaveru"/>
    <m/>
    <s v="33140000 – 3"/>
    <m/>
    <n v="3600000"/>
    <x v="0"/>
    <d v="2020-08-26T00:00:00"/>
    <d v="2020-10-12T00:00:00"/>
    <d v="2020-10-27T00:00:00"/>
    <s v="Johnson  &amp; Johnson s.r.o."/>
    <m/>
    <n v="3600000"/>
    <n v="4356000"/>
    <m/>
    <m/>
    <m/>
    <d v="2020-10-27T00:00:00"/>
    <s v="SMLN-2020-617-000508_x000a_SMLN-2020-614-000060"/>
    <x v="135"/>
    <d v="2020-12-15T00:00:00"/>
    <d v="2022-12-07T00:00:00"/>
  </r>
  <r>
    <d v="2020-07-21T00:00:00"/>
    <s v="VZ-2020-000821"/>
    <x v="0"/>
    <s v="Valtová"/>
    <x v="285"/>
    <n v="3"/>
    <s v="Elektrody VAPR"/>
    <m/>
    <s v="33140000 – 3"/>
    <m/>
    <n v="3088000"/>
    <x v="0"/>
    <d v="2020-08-26T00:00:00"/>
    <d v="2020-10-12T00:00:00"/>
    <d v="2020-10-27T00:00:00"/>
    <s v="Johnson  &amp; Johnson s.r.o."/>
    <m/>
    <n v="3088000"/>
    <n v="3736480"/>
    <m/>
    <m/>
    <m/>
    <d v="2020-10-27T00:00:00"/>
    <s v="SMLN-2020-617-000509_x000a_SMLN-2020-614-000061"/>
    <x v="135"/>
    <d v="2020-12-15T00:00:00"/>
    <d v="2022-12-07T00:00:00"/>
  </r>
  <r>
    <d v="2020-07-21T00:00:00"/>
    <s v="VZ-2020-000822"/>
    <x v="0"/>
    <s v="Valtová"/>
    <x v="286"/>
    <n v="1"/>
    <s v="Sety k ASK duální pumpě"/>
    <m/>
    <s v="33140000 – 3"/>
    <m/>
    <n v="565000"/>
    <x v="0"/>
    <d v="2020-08-27T00:00:00"/>
    <d v="2020-10-12T00:00:00"/>
    <d v="2020-10-27T00:00:00"/>
    <s v="Arthrex s.r.o."/>
    <m/>
    <n v="565000"/>
    <n v="683650"/>
    <m/>
    <m/>
    <m/>
    <d v="2020-10-27T00:00:00"/>
    <s v="SMLN-2020-617-000504_x000a_SMLN-2020-614-000056"/>
    <x v="106"/>
    <d v="2020-11-30T00:00:00"/>
    <d v="2022-11-24T00:00:00"/>
  </r>
  <r>
    <d v="2020-07-21T00:00:00"/>
    <s v="VZ-2020-000822"/>
    <x v="0"/>
    <s v="Valtová"/>
    <x v="286"/>
    <n v="2"/>
    <s v="Frézy k shaveru"/>
    <m/>
    <s v="33140000 – 3"/>
    <m/>
    <n v="1928335"/>
    <x v="0"/>
    <d v="2020-08-27T00:00:00"/>
    <d v="2020-10-12T00:00:00"/>
    <d v="2020-10-27T00:00:00"/>
    <s v="Arthrex s.r.o."/>
    <m/>
    <n v="1928335"/>
    <n v="2333285.35"/>
    <m/>
    <m/>
    <m/>
    <d v="2020-10-27T00:00:00"/>
    <s v="SMLN-2020-617-000505_x000a_SMLN-2020-614-000057"/>
    <x v="106"/>
    <d v="2020-11-30T00:00:00"/>
    <d v="2022-11-24T00:00:00"/>
  </r>
  <r>
    <d v="2020-07-21T00:00:00"/>
    <s v="VZ-2020-000822"/>
    <x v="0"/>
    <s v="Valtová"/>
    <x v="286"/>
    <n v="3"/>
    <s v="Sonda bipolární"/>
    <m/>
    <s v="33140000 – 3"/>
    <m/>
    <n v="1560000"/>
    <x v="0"/>
    <d v="2020-08-27T00:00:00"/>
    <d v="2020-10-12T00:00:00"/>
    <d v="2020-10-27T00:00:00"/>
    <s v="Arthrex s.r.o."/>
    <m/>
    <n v="1560000"/>
    <n v="1887600"/>
    <m/>
    <m/>
    <m/>
    <d v="2020-10-27T00:00:00"/>
    <s v="SMLN-2020-617-000506_x000a_SMLN-2020-614-000058"/>
    <x v="106"/>
    <d v="2020-11-30T00:00:00"/>
    <d v="2022-11-24T00:00:00"/>
  </r>
  <r>
    <d v="2020-08-06T00:00:00"/>
    <s v="VZ-2020-000823"/>
    <x v="19"/>
    <s v="Svozil"/>
    <x v="287"/>
    <m/>
    <m/>
    <m/>
    <s v="45231300-8"/>
    <m/>
    <n v="1560000"/>
    <x v="2"/>
    <d v="2020-08-17T00:00:00"/>
    <d v="2020-09-01T00:00:00"/>
    <m/>
    <s v="zrušeno - ad výstavba F"/>
    <m/>
    <m/>
    <m/>
    <m/>
    <m/>
    <m/>
    <m/>
    <m/>
    <x v="0"/>
    <d v="2020-09-03T00:00:00"/>
    <m/>
  </r>
  <r>
    <d v="2020-08-07T00:00:00"/>
    <s v="VZ-2020-000824"/>
    <x v="8"/>
    <s v="Smrčková"/>
    <x v="288"/>
    <m/>
    <m/>
    <m/>
    <s v="18142000-6"/>
    <m/>
    <n v="400000"/>
    <x v="2"/>
    <d v="2020-08-11T00:00:00"/>
    <d v="2020-08-18T00:00:00"/>
    <d v="2020-08-26T00:00:00"/>
    <s v="GENERAL TRADING s.r.o."/>
    <m/>
    <n v="330550"/>
    <n v="399965.5"/>
    <m/>
    <m/>
    <m/>
    <d v="2020-08-26T00:00:00"/>
    <s v="SMLN-2020-617-000366"/>
    <x v="83"/>
    <d v="2020-09-15T00:00:00"/>
    <d v="2021-09-10T00:00:00"/>
  </r>
  <r>
    <d v="2020-08-07T00:00:00"/>
    <s v="VZ-2020-000825"/>
    <x v="1"/>
    <s v="Ondráčková"/>
    <x v="289"/>
    <n v="1"/>
    <s v="EPOPROSTENOL "/>
    <m/>
    <s v="33621100-0"/>
    <m/>
    <n v="13114622"/>
    <x v="0"/>
    <d v="2020-08-11T00:00:00"/>
    <d v="2020-09-15T00:00:00"/>
    <m/>
    <s v="zrušeno - úprava zadání"/>
    <m/>
    <m/>
    <m/>
    <m/>
    <m/>
    <m/>
    <m/>
    <m/>
    <x v="0"/>
    <d v="2020-10-29T00:00:00"/>
    <s v="1.10.2020 zrušeno"/>
  </r>
  <r>
    <d v="2020-08-07T00:00:00"/>
    <s v="VZ-2020-000825"/>
    <x v="1"/>
    <s v="Ondráčková"/>
    <x v="289"/>
    <n v="2"/>
    <s v="TIKAGRELOR "/>
    <m/>
    <s v="33621100-0"/>
    <m/>
    <n v="2298259"/>
    <x v="0"/>
    <d v="2020-08-11T00:00:00"/>
    <d v="2020-09-15T00:00:00"/>
    <d v="2020-10-01T00:00:00"/>
    <s v="PHOENIX lék.velkoobchod, s.r.o."/>
    <m/>
    <n v="2296032.81"/>
    <n v="2525636.09"/>
    <m/>
    <m/>
    <m/>
    <d v="2020-10-01T00:00:00"/>
    <s v="SMLN-2020-617-000448"/>
    <x v="78"/>
    <d v="2020-11-05T00:00:00"/>
    <d v="2023-11-01T00:00:00"/>
  </r>
  <r>
    <d v="2020-08-07T00:00:00"/>
    <s v="VZ-2020-000825"/>
    <x v="1"/>
    <s v="Ondráčková"/>
    <x v="289"/>
    <n v="3"/>
    <s v="SELEXIPAG "/>
    <m/>
    <s v="33621100-0"/>
    <m/>
    <n v="32395073"/>
    <x v="0"/>
    <d v="2020-08-11T00:00:00"/>
    <d v="2020-09-15T00:00:00"/>
    <m/>
    <s v="zrušeno - bez nabídky"/>
    <m/>
    <m/>
    <m/>
    <m/>
    <m/>
    <m/>
    <m/>
    <m/>
    <x v="0"/>
    <d v="2020-10-29T00:00:00"/>
    <s v="1.10.2020 zrušeno"/>
  </r>
  <r>
    <d v="2020-08-07T00:00:00"/>
    <s v="VZ-2020-000826"/>
    <x v="1"/>
    <s v="Ondráčková"/>
    <x v="290"/>
    <n v="1"/>
    <s v="Enterální výživa pro podání sondou"/>
    <m/>
    <s v="15880000-0"/>
    <m/>
    <n v="16631778"/>
    <x v="0"/>
    <d v="2020-08-14T00:00:00"/>
    <d v="2020-09-17T00:00:00"/>
    <m/>
    <s v="zrušeno - tato část bude rozdělena na další části"/>
    <m/>
    <m/>
    <m/>
    <m/>
    <m/>
    <m/>
    <m/>
    <m/>
    <x v="0"/>
    <d v="2020-09-07T00:00:00"/>
    <s v="7.9.2020 zrušeno"/>
  </r>
  <r>
    <d v="2020-08-07T00:00:00"/>
    <s v="VZ-2020-000826"/>
    <x v="1"/>
    <s v="Ondráčková"/>
    <x v="290"/>
    <n v="2"/>
    <s v="Enterální výživa I."/>
    <m/>
    <s v="15880000-0"/>
    <m/>
    <n v="4474683"/>
    <x v="0"/>
    <d v="2020-08-14T00:00:00"/>
    <d v="2020-09-17T00:00:00"/>
    <d v="2020-12-17T00:00:00"/>
    <s v="PHARMOS, a.s."/>
    <m/>
    <n v="4452801.9000000004"/>
    <n v="4898082.09"/>
    <m/>
    <m/>
    <m/>
    <d v="2020-12-18T00:00:00"/>
    <s v="SMLN-2020-617-000580"/>
    <x v="0"/>
    <m/>
    <m/>
  </r>
  <r>
    <d v="2020-08-07T00:00:00"/>
    <s v="VZ-2020-000826"/>
    <x v="1"/>
    <s v="Ondráčková"/>
    <x v="290"/>
    <n v="3"/>
    <s v="Enterální výživa II."/>
    <m/>
    <s v="15880000-0"/>
    <m/>
    <n v="1138770"/>
    <x v="0"/>
    <d v="2020-08-14T00:00:00"/>
    <d v="2020-09-17T00:00:00"/>
    <d v="2020-12-17T00:00:00"/>
    <s v="PHARMOS, a.s."/>
    <m/>
    <n v="940666.44"/>
    <n v="1034733.08"/>
    <m/>
    <m/>
    <m/>
    <d v="2020-12-18T00:00:00"/>
    <s v="SMLN-2020-617-000581"/>
    <x v="0"/>
    <m/>
    <m/>
  </r>
  <r>
    <d v="2020-08-07T00:00:00"/>
    <s v="VZ-2020-000826"/>
    <x v="1"/>
    <s v="Ondráčková"/>
    <x v="290"/>
    <n v="4"/>
    <s v="Enterální výživa III."/>
    <m/>
    <s v="15880000-0"/>
    <m/>
    <n v="933372"/>
    <x v="0"/>
    <d v="2020-08-14T00:00:00"/>
    <d v="2020-09-17T00:00:00"/>
    <d v="2020-12-09T00:00:00"/>
    <s v="Fresenius Kabi s.r.o."/>
    <m/>
    <n v="933314.4"/>
    <n v="1026645.84"/>
    <m/>
    <m/>
    <m/>
    <d v="2020-12-09T00:00:00"/>
    <s v="SMLN-2020-617-000559"/>
    <x v="0"/>
    <m/>
    <m/>
  </r>
  <r>
    <d v="2020-08-06T00:00:00"/>
    <s v="VZ-2020-000828"/>
    <x v="19"/>
    <s v="Svozil"/>
    <x v="291"/>
    <m/>
    <m/>
    <m/>
    <s v="45332200-5"/>
    <m/>
    <n v="2390000"/>
    <x v="2"/>
    <d v="2020-08-26T00:00:00"/>
    <d v="2020-09-08T00:00:00"/>
    <d v="2020-09-17T00:00:00"/>
    <s v="MIZ Olomouc s.r.o."/>
    <m/>
    <n v="2049100"/>
    <n v="2479411"/>
    <m/>
    <m/>
    <m/>
    <d v="2020-09-18T00:00:00"/>
    <s v="SMLN-2020-618-000081"/>
    <x v="98"/>
    <d v="2020-10-16T00:00:00"/>
    <d v="2020-12-15T00:00:00"/>
  </r>
  <r>
    <d v="2020-08-07T00:00:00"/>
    <s v="VZ-2020-000833"/>
    <x v="14"/>
    <s v="Rosulek"/>
    <x v="292"/>
    <m/>
    <m/>
    <m/>
    <s v="33195100-4"/>
    <s v="2.3.460"/>
    <n v="320096"/>
    <x v="2"/>
    <d v="2020-08-17T00:00:00"/>
    <d v="2020-08-26T00:00:00"/>
    <d v="2020-09-03T00:00:00"/>
    <s v="medisap, s.r.o."/>
    <m/>
    <n v="320096"/>
    <n v="387316.16"/>
    <m/>
    <m/>
    <m/>
    <d v="2020-09-03T00:00:00"/>
    <s v="SMLN-2020-617-000376_x000a_SMLN-2020-612-000082"/>
    <x v="136"/>
    <d v="2020-10-02T00:00:00"/>
    <d v="2020-11-11T00:00:00"/>
  </r>
  <r>
    <d v="2020-08-11T00:00:00"/>
    <s v="VZ-2020-000852"/>
    <x v="9"/>
    <s v="Valíček"/>
    <x v="293"/>
    <m/>
    <m/>
    <m/>
    <s v="71000000-8 "/>
    <s v="1.2.66."/>
    <n v="5000000"/>
    <x v="0"/>
    <d v="2020-08-14T00:00:00"/>
    <d v="2020-09-18T00:00:00"/>
    <d v="2020-09-30T00:00:00"/>
    <s v="EP Rožnov, a.s."/>
    <m/>
    <n v="4317000"/>
    <n v="5223570"/>
    <m/>
    <m/>
    <m/>
    <d v="2020-10-01T00:00:00"/>
    <s v="SMLN-2020-618-000089"/>
    <x v="137"/>
    <d v="2020-12-31T00:00:00"/>
    <d v="2021-05-20T00:00:00"/>
  </r>
  <r>
    <d v="2020-08-07T00:00:00"/>
    <s v="VZ-2020-000854"/>
    <x v="3"/>
    <s v="Rosulek"/>
    <x v="294"/>
    <m/>
    <m/>
    <m/>
    <s v="33162100-4"/>
    <s v="2.2.265"/>
    <n v="740496"/>
    <x v="2"/>
    <d v="2020-08-19T00:00:00"/>
    <d v="2020-08-28T00:00:00"/>
    <d v="2020-09-23T00:00:00"/>
    <s v="Medtronic Czechia s.r.o."/>
    <m/>
    <n v="740495"/>
    <n v="895998.95"/>
    <m/>
    <m/>
    <m/>
    <d v="2020-09-23T00:00:00"/>
    <s v="SMLN-2020-617-000433"/>
    <x v="125"/>
    <d v="2020-11-03T00:00:00"/>
    <d v="2020-12-17T00:00:00"/>
  </r>
  <r>
    <s v="opakovaná VZ"/>
    <s v="VZ-2020-000856"/>
    <x v="1"/>
    <s v="Ondráčková"/>
    <x v="295"/>
    <n v="1"/>
    <s v="Enterální výživa I."/>
    <m/>
    <s v="15880000-0"/>
    <m/>
    <n v="1347950"/>
    <x v="0"/>
    <d v="2020-08-18T00:00:00"/>
    <d v="2020-09-22T00:00:00"/>
    <d v="2020-10-29T00:00:00"/>
    <s v="Alliance Healthcare s.r.o."/>
    <m/>
    <n v="822850.75"/>
    <n v="946278.36"/>
    <m/>
    <m/>
    <m/>
    <d v="2020-10-29T00:00:00"/>
    <s v="SMLN-2020-617-000516"/>
    <x v="138"/>
    <d v="2020-12-09T00:00:00"/>
    <d v="2023-12-06T00:00:00"/>
  </r>
  <r>
    <s v="opakovaná VZ"/>
    <s v="VZ-2020-000856"/>
    <x v="1"/>
    <s v="Ondráčková"/>
    <x v="295"/>
    <n v="2"/>
    <s v="Enterální výživa II."/>
    <m/>
    <s v="15880000-0"/>
    <m/>
    <n v="3589383"/>
    <x v="0"/>
    <d v="2020-08-18T00:00:00"/>
    <d v="2020-09-22T00:00:00"/>
    <d v="2020-10-29T00:00:00"/>
    <s v="Alliance Healthcare s.r.o."/>
    <m/>
    <n v="3532990.39"/>
    <n v="4062938.95"/>
    <m/>
    <m/>
    <m/>
    <d v="2020-10-29T00:00:00"/>
    <s v="SMLN-2020-617-000517"/>
    <x v="138"/>
    <d v="2020-12-09T00:00:00"/>
    <d v="2023-12-06T00:00:00"/>
  </r>
  <r>
    <d v="2020-08-14T00:00:00"/>
    <s v="VZ-2020-000862"/>
    <x v="0"/>
    <s v="Dočkalová"/>
    <x v="296"/>
    <m/>
    <m/>
    <m/>
    <s v="18424300-0"/>
    <m/>
    <n v="1425000"/>
    <x v="2"/>
    <d v="2020-08-24T00:00:00"/>
    <d v="2020-09-03T00:00:00"/>
    <m/>
    <s v="zrušeno - bez nabídky"/>
    <m/>
    <m/>
    <m/>
    <m/>
    <m/>
    <m/>
    <m/>
    <m/>
    <x v="0"/>
    <d v="2020-09-03T00:00:00"/>
    <m/>
  </r>
  <r>
    <d v="2020-08-10T00:00:00"/>
    <s v="VZ-2020-000863"/>
    <x v="14"/>
    <s v="Rosulek"/>
    <x v="297"/>
    <m/>
    <m/>
    <m/>
    <s v="33162100-4"/>
    <s v="2.3.442"/>
    <n v="661157"/>
    <x v="2"/>
    <d v="2020-08-24T00:00:00"/>
    <d v="2020-09-03T00:00:00"/>
    <d v="2020-09-25T00:00:00"/>
    <s v="RADIX CZ s.r.o."/>
    <m/>
    <n v="476008"/>
    <n v="575969.67999999993"/>
    <m/>
    <m/>
    <m/>
    <d v="2020-09-25T00:00:00"/>
    <s v="SMLN-2020-617-000445_x000a_SMLN-2020-612-000099"/>
    <x v="78"/>
    <d v="2020-11-05T00:00:00"/>
    <d v="2020-12-14T00:00:00"/>
  </r>
  <r>
    <d v="2020-08-17T00:00:00"/>
    <s v="VZ-2020-000866"/>
    <x v="3"/>
    <s v="Hajdúch"/>
    <x v="298"/>
    <m/>
    <m/>
    <m/>
    <s v="38000000-5"/>
    <s v="?"/>
    <n v="26210000"/>
    <x v="0"/>
    <d v="2020-08-20T00:00:00"/>
    <d v="2020-10-12T00:00:00"/>
    <m/>
    <s v="zrušeno - bez hodnotitelné nabídky"/>
    <m/>
    <m/>
    <m/>
    <m/>
    <m/>
    <m/>
    <m/>
    <m/>
    <x v="0"/>
    <d v="2020-11-20T00:00:00"/>
    <s v="4.11.2020 zrušeno"/>
  </r>
  <r>
    <d v="2020-08-17T00:00:00"/>
    <s v="VZ-2020-000867"/>
    <x v="3"/>
    <s v="Rosulek"/>
    <x v="299"/>
    <n v="1"/>
    <s v="Hlubokomrazící boxy"/>
    <m/>
    <s v="39711100-0"/>
    <s v="2.2.276.,2.2.285.,2.3.477."/>
    <n v="801934"/>
    <x v="2"/>
    <d v="2020-08-21T00:00:00"/>
    <d v="2020-09-02T00:00:00"/>
    <d v="2020-09-22T00:00:00"/>
    <s v="Schoeller Instruments, s.r.o."/>
    <m/>
    <n v="972850"/>
    <n v="1177148.5"/>
    <m/>
    <m/>
    <m/>
    <d v="2020-09-23T00:00:00"/>
    <s v="SMLN-2020-617-000428_x000a_SMLN-2020-612-000091"/>
    <x v="112"/>
    <d v="2020-10-15T00:00:00"/>
    <d v="2020-12-09T00:00:00"/>
  </r>
  <r>
    <d v="2020-08-17T00:00:00"/>
    <s v="VZ-2020-000867"/>
    <x v="3"/>
    <s v="Rosulek"/>
    <x v="299"/>
    <n v="2"/>
    <s v="Famaceutické lednice"/>
    <m/>
    <s v="39711100-0"/>
    <s v="2.2.264.,2.2.277.,.2.3.475."/>
    <n v="546116"/>
    <x v="2"/>
    <d v="2020-08-21T00:00:00"/>
    <d v="2020-09-02T00:00:00"/>
    <d v="2020-09-22T00:00:00"/>
    <s v="Schoeller Instruments, s.r.o."/>
    <m/>
    <n v="508800"/>
    <n v="615648"/>
    <m/>
    <m/>
    <m/>
    <d v="2020-09-23T00:00:00"/>
    <s v="SMLN-2020-617-000429_x000a_SMLN-2020-612-000092"/>
    <x v="112"/>
    <d v="2020-10-15T00:00:00"/>
    <d v="2020-12-09T00:00:00"/>
  </r>
  <r>
    <d v="2020-08-14T00:00:00"/>
    <s v="VZ-2020-000869"/>
    <x v="9"/>
    <s v="Valíček"/>
    <x v="300"/>
    <m/>
    <m/>
    <m/>
    <s v="71000000-8"/>
    <s v="6.1."/>
    <n v="62500000"/>
    <x v="0"/>
    <d v="2020-11-12T00:00:00"/>
    <d v="2020-12-14T00:00:00"/>
    <m/>
    <m/>
    <m/>
    <m/>
    <m/>
    <m/>
    <m/>
    <m/>
    <m/>
    <m/>
    <x v="0"/>
    <m/>
    <m/>
  </r>
  <r>
    <d v="2020-08-18T00:00:00"/>
    <s v="VZ-2020-000874"/>
    <x v="1"/>
    <s v="Ondráčková"/>
    <x v="301"/>
    <n v="1"/>
    <s v="EVOLOKUMAB"/>
    <m/>
    <s v="33622000-6"/>
    <m/>
    <n v="16043040"/>
    <x v="0"/>
    <d v="2020-08-26T00:00:00"/>
    <d v="2020-09-25T00:00:00"/>
    <d v="2020-10-20T00:00:00"/>
    <s v="Amgen s.r.o."/>
    <m/>
    <n v="16043040"/>
    <n v="17647344"/>
    <m/>
    <m/>
    <m/>
    <d v="2020-10-20T00:00:00"/>
    <s v="SMLN-2020-617-000492"/>
    <x v="104"/>
    <d v="2020-11-23T00:00:00"/>
    <d v="2023-11-15T00:00:00"/>
  </r>
  <r>
    <d v="2020-08-18T00:00:00"/>
    <s v="VZ-2020-000874"/>
    <x v="1"/>
    <s v="Ondráčková"/>
    <x v="301"/>
    <n v="2"/>
    <s v="ALIROKUMAB"/>
    <m/>
    <s v="33622000-6"/>
    <m/>
    <n v="10405041"/>
    <x v="0"/>
    <d v="2020-08-26T00:00:00"/>
    <d v="2020-09-25T00:00:00"/>
    <d v="2020-10-20T00:00:00"/>
    <s v="sanofi-aventis, s.r.o."/>
    <m/>
    <n v="10405040.1"/>
    <n v="11445544.109999999"/>
    <m/>
    <m/>
    <m/>
    <d v="2020-10-20T00:00:00"/>
    <s v="SMLN-2020-617-000493"/>
    <x v="94"/>
    <d v="2020-11-23T00:00:00"/>
    <d v="2023-11-12T00:00:00"/>
  </r>
  <r>
    <d v="2020-08-17T00:00:00"/>
    <s v="VZ-2020-000875"/>
    <x v="5"/>
    <s v="Srovnal"/>
    <x v="302"/>
    <m/>
    <m/>
    <m/>
    <s v="42123000-7"/>
    <m/>
    <n v="700000"/>
    <x v="2"/>
    <d v="2020-08-25T00:00:00"/>
    <d v="2020-09-11T00:00:00"/>
    <d v="2020-09-17T00:00:00"/>
    <s v="Dräger Medical s.r.o."/>
    <m/>
    <n v="562000"/>
    <n v="680020"/>
    <m/>
    <m/>
    <m/>
    <d v="2020-09-18T00:00:00"/>
    <s v="SMLN-2020-617-000416"/>
    <x v="98"/>
    <d v="2020-10-16T00:00:00"/>
    <d v="2020-11-27T00:00:00"/>
  </r>
  <r>
    <d v="2020-08-14T00:00:00"/>
    <s v="VZ-2020-000876"/>
    <x v="20"/>
    <s v="Kotzot"/>
    <x v="303"/>
    <m/>
    <m/>
    <m/>
    <s v="50413200-5"/>
    <m/>
    <n v="400000"/>
    <x v="2"/>
    <d v="2020-09-07T00:00:00"/>
    <d v="2020-09-15T00:00:00"/>
    <d v="2020-10-01T00:00:00"/>
    <s v="ST Security a.s."/>
    <m/>
    <n v="271740"/>
    <n v="328805.40000000002"/>
    <m/>
    <m/>
    <m/>
    <d v="2020-10-01T00:00:00"/>
    <s v="SMLN-2020-612-000107"/>
    <x v="112"/>
    <d v="2020-10-15T00:00:00"/>
    <d v="2023-10-31T00:00:00"/>
  </r>
  <r>
    <d v="2020-08-19T00:00:00"/>
    <s v="VZ-2020-000877"/>
    <x v="16"/>
    <s v="Jeřábková"/>
    <x v="304"/>
    <m/>
    <m/>
    <m/>
    <s v="55120000-7"/>
    <m/>
    <n v="500000"/>
    <x v="2"/>
    <d v="2020-08-25T00:00:00"/>
    <d v="2020-09-03T00:00:00"/>
    <m/>
    <s v="zrušeno - proběhne formou videokonference"/>
    <m/>
    <m/>
    <m/>
    <m/>
    <m/>
    <m/>
    <m/>
    <m/>
    <x v="0"/>
    <d v="2020-09-02T00:00:00"/>
    <m/>
  </r>
  <r>
    <d v="2020-08-19T00:00:00"/>
    <s v="VZ-2020-000878"/>
    <x v="16"/>
    <s v="Jeřábková"/>
    <x v="305"/>
    <m/>
    <m/>
    <m/>
    <s v="55120000-7"/>
    <m/>
    <n v="680000"/>
    <x v="2"/>
    <d v="2020-08-25T00:00:00"/>
    <d v="2020-09-03T00:00:00"/>
    <d v="2020-09-15T00:00:00"/>
    <s v="zrušeno - nouzový stav"/>
    <m/>
    <n v="704421"/>
    <n v="790300"/>
    <m/>
    <m/>
    <m/>
    <d v="2020-09-15T00:00:00"/>
    <s v="SMLN-2020-612-000090"/>
    <x v="0"/>
    <d v="2020-09-29T00:00:00"/>
    <m/>
  </r>
  <r>
    <s v="opakovaná VZ"/>
    <s v="VZ-2020-000879"/>
    <x v="15"/>
    <s v="Miklík"/>
    <x v="306"/>
    <m/>
    <m/>
    <m/>
    <s v="48820000-2"/>
    <m/>
    <n v="22706798"/>
    <x v="0"/>
    <d v="2020-09-17T00:00:00"/>
    <d v="2020-10-19T00:00:00"/>
    <d v="2020-11-05T00:00:00"/>
    <s v="ARATEC GROUP s.r.o."/>
    <m/>
    <n v="22632179"/>
    <n v="27384936.59"/>
    <m/>
    <m/>
    <m/>
    <d v="2020-11-05T00:00:00"/>
    <s v="SMLN-2020-617-000519_x000a_SMLN-2020-612-000111"/>
    <x v="139"/>
    <d v="2020-12-28T00:00:00"/>
    <d v="2021-03-18T00:00:00"/>
  </r>
  <r>
    <s v="opakovaná VZ"/>
    <s v="VZ-2020-000882"/>
    <x v="3"/>
    <s v="Rosulek"/>
    <x v="307"/>
    <n v="1"/>
    <s v="Polohovatelná křesla pro odběry"/>
    <m/>
    <s v="33193120-6"/>
    <s v="2.2.251."/>
    <n v="278000"/>
    <x v="2"/>
    <d v="2020-08-24T00:00:00"/>
    <d v="2020-09-04T00:00:00"/>
    <m/>
    <s v="zrušeno - bez hodnotitelné nabídky"/>
    <s v="nová VZ-2020-001071"/>
    <m/>
    <m/>
    <m/>
    <m/>
    <m/>
    <m/>
    <m/>
    <x v="0"/>
    <d v="2020-09-30T00:00:00"/>
    <m/>
  </r>
  <r>
    <s v="opakovaná VZ"/>
    <s v="VZ-2020-000882"/>
    <x v="3"/>
    <s v="Rosulek"/>
    <x v="307"/>
    <n v="2"/>
    <s v="Elektricky polohovatelná křesla pro stacionář HOK"/>
    <m/>
    <s v="33193120-6"/>
    <s v="2.2.250."/>
    <n v="1709000"/>
    <x v="2"/>
    <d v="2020-08-24T00:00:00"/>
    <d v="2020-09-04T00:00:00"/>
    <d v="2020-11-20T00:00:00"/>
    <s v="RQL s.r.o."/>
    <m/>
    <n v="1407731"/>
    <n v="1703354.51"/>
    <m/>
    <m/>
    <m/>
    <d v="2020-11-20T00:00:00"/>
    <s v="SMLN-2020-617-000534_x000a_SMLN-2020-612-000117"/>
    <x v="140"/>
    <d v="2020-12-22T00:00:00"/>
    <d v="2021-01-14T00:00:00"/>
  </r>
  <r>
    <s v="opakovaná VZ"/>
    <s v="VZ-2020-000885"/>
    <x v="3"/>
    <s v="Rosulek"/>
    <x v="308"/>
    <m/>
    <m/>
    <m/>
    <s v="38434570-2"/>
    <s v="2.2.284"/>
    <n v="1053000"/>
    <x v="2"/>
    <d v="2020-08-26T00:00:00"/>
    <d v="2020-09-04T00:00:00"/>
    <d v="2020-09-23T00:00:00"/>
    <s v="HPST, s.r.o."/>
    <m/>
    <n v="1049838.48"/>
    <n v="1270304.56"/>
    <m/>
    <m/>
    <m/>
    <d v="2020-09-23T00:00:00"/>
    <s v="SMLN-2020-617-000434_x000a_SMLN-2020-612-000094_x000a_SMLN-2020-617-000435"/>
    <x v="141"/>
    <d v="2020-10-16T00:00:00"/>
    <d v="2020-11-26T00:00:00"/>
  </r>
  <r>
    <d v="2020-08-20T00:00:00"/>
    <s v="VZ-2020-000886"/>
    <x v="3"/>
    <s v="Novák"/>
    <x v="309"/>
    <m/>
    <m/>
    <m/>
    <s v="38434500-1"/>
    <s v="2.2.301"/>
    <n v="1400000"/>
    <x v="2"/>
    <d v="2020-08-26T00:00:00"/>
    <d v="2020-09-07T00:00:00"/>
    <d v="2020-09-23T00:00:00"/>
    <s v="BIO-RAD spol. s r.o."/>
    <m/>
    <n v="1421682"/>
    <n v="1720235.22"/>
    <m/>
    <m/>
    <m/>
    <d v="2020-09-23T00:00:00"/>
    <s v="SMLN-2020-617-000439_x000a_SMLN-2020-612-000096"/>
    <x v="125"/>
    <d v="2020-11-03T00:00:00"/>
    <d v="2020-12-24T00:00:00"/>
  </r>
  <r>
    <d v="2020-08-19T00:00:00"/>
    <s v="VZ-2020-000894"/>
    <x v="1"/>
    <s v="Ondráčková"/>
    <x v="310"/>
    <m/>
    <m/>
    <m/>
    <s v="33696500-0"/>
    <m/>
    <n v="3800000"/>
    <x v="0"/>
    <d v="2020-09-11T00:00:00"/>
    <d v="2020-10-21T00:00:00"/>
    <d v="2020-11-13T00:00:00"/>
    <s v="PROMEDICA Praha Group, a.s."/>
    <m/>
    <n v="3444614.88"/>
    <n v="4167984"/>
    <m/>
    <m/>
    <m/>
    <d v="2020-11-13T00:00:00"/>
    <s v="SMLN-2020-617-000526_x000a_SMLN-2020-616-000056"/>
    <x v="142"/>
    <d v="2020-12-18T00:00:00"/>
    <d v="2024-12-14T00:00:00"/>
  </r>
  <r>
    <d v="2020-08-24T00:00:00"/>
    <s v="VZ-2020-000896"/>
    <x v="5"/>
    <s v="Srovnal"/>
    <x v="311"/>
    <m/>
    <m/>
    <m/>
    <s v="50532400-7"/>
    <m/>
    <n v="1950000"/>
    <x v="2"/>
    <d v="2020-09-03T00:00:00"/>
    <d v="2020-09-15T00:00:00"/>
    <d v="2020-10-05T00:00:00"/>
    <s v="ELMAR group s.r.o."/>
    <m/>
    <n v="1182531"/>
    <n v="1430863"/>
    <m/>
    <m/>
    <m/>
    <d v="2020-10-05T00:00:00"/>
    <s v="SMLN-2020-618-000093"/>
    <x v="78"/>
    <d v="2020-11-03T00:00:00"/>
    <d v="2020-12-14T00:00:00"/>
  </r>
  <r>
    <d v="2020-08-05T00:00:00"/>
    <s v="VZ-2020-000897"/>
    <x v="5"/>
    <s v="Srovnal"/>
    <x v="312"/>
    <m/>
    <m/>
    <m/>
    <s v="42514310-8"/>
    <m/>
    <n v="2400000"/>
    <x v="1"/>
    <d v="2020-09-03T00:00:00"/>
    <d v="2020-09-24T00:00:00"/>
    <d v="2020-10-05T00:00:00"/>
    <s v="TROX KS Filter s.r.o."/>
    <m/>
    <n v="3386236.52"/>
    <n v="4097346.19"/>
    <m/>
    <m/>
    <m/>
    <d v="2020-10-06T00:00:00"/>
    <s v="SMLN-2020-617-000454"/>
    <x v="106"/>
    <d v="2020-12-01T00:00:00"/>
    <d v="2024-11-24T00:00:00"/>
  </r>
  <r>
    <d v="2020-08-20T00:00:00"/>
    <s v="VZ-2020-000898"/>
    <x v="7"/>
    <s v="Miklík"/>
    <x v="313"/>
    <m/>
    <m/>
    <m/>
    <s v="48821000-9"/>
    <s v="3.2.52."/>
    <n v="561984"/>
    <x v="2"/>
    <d v="2020-08-31T00:00:00"/>
    <d v="2020-09-08T00:00:00"/>
    <d v="2020-09-10T00:00:00"/>
    <s v="AUTOCONT, a.s."/>
    <m/>
    <n v="532460"/>
    <n v="644276.6"/>
    <m/>
    <m/>
    <m/>
    <d v="2020-09-10T00:00:00"/>
    <s v="SMLN-2020-617-000393"/>
    <x v="122"/>
    <d v="2020-10-06T00:00:00"/>
    <d v="2020-11-14T00:00:00"/>
  </r>
  <r>
    <d v="2020-08-25T00:00:00"/>
    <s v="VZ-2020-000900"/>
    <x v="5"/>
    <s v="Eyer"/>
    <x v="314"/>
    <m/>
    <m/>
    <m/>
    <s v="45232221-7"/>
    <s v="4.2.121."/>
    <n v="8650000"/>
    <x v="1"/>
    <d v="2020-09-15T00:00:00"/>
    <d v="2020-10-08T00:00:00"/>
    <d v="2020-11-12T00:00:00"/>
    <s v="ČEZ Energetické služby s.r.o."/>
    <m/>
    <n v="8127838.2699999996"/>
    <n v="9834684.3100000005"/>
    <m/>
    <m/>
    <m/>
    <d v="2020-11-13T00:00:00"/>
    <s v="SMLN-2020-618-000108"/>
    <x v="0"/>
    <m/>
    <m/>
  </r>
  <r>
    <d v="2020-08-26T00:00:00"/>
    <s v="VZ-2020-000907"/>
    <x v="9"/>
    <s v="Valíček"/>
    <x v="315"/>
    <m/>
    <m/>
    <m/>
    <s v="71000000-8"/>
    <s v="1.2.68."/>
    <n v="40000000"/>
    <x v="0"/>
    <d v="2020-09-04T00:00:00"/>
    <d v="2020-11-02T00:00:00"/>
    <d v="2020-12-09T00:00:00"/>
    <s v="Projekty FN Olomouc – F"/>
    <m/>
    <n v="28988500"/>
    <n v="35076085"/>
    <m/>
    <m/>
    <m/>
    <d v="2020-12-09T00:00:00"/>
    <s v="SMLN-2020-618-000117"/>
    <x v="0"/>
    <m/>
    <m/>
  </r>
  <r>
    <d v="2020-08-27T00:00:00"/>
    <s v="VZ-2020-000908"/>
    <x v="5"/>
    <s v="Srovnal"/>
    <x v="316"/>
    <m/>
    <m/>
    <m/>
    <s v="50532400-7"/>
    <m/>
    <n v="5000000"/>
    <x v="0"/>
    <d v="2020-09-24T00:00:00"/>
    <d v="2020-12-15T00:00:00"/>
    <m/>
    <s v="zrušeno - rozdělit VZ na části"/>
    <m/>
    <m/>
    <m/>
    <m/>
    <m/>
    <m/>
    <m/>
    <m/>
    <x v="0"/>
    <d v="2020-12-10T00:00:00"/>
    <s v="8.12.2020 zrušeno"/>
  </r>
  <r>
    <s v="opakovaná VZ"/>
    <s v="VZ-2020-000910"/>
    <x v="0"/>
    <s v="Dočkalová"/>
    <x v="317"/>
    <m/>
    <m/>
    <m/>
    <s v="33140000-3"/>
    <m/>
    <n v="672000"/>
    <x v="2"/>
    <d v="2020-09-01T00:00:00"/>
    <d v="2020-09-11T00:00:00"/>
    <d v="2020-10-07T00:00:00"/>
    <s v="CoroMedical s.r.o."/>
    <m/>
    <n v="744000"/>
    <n v="900240"/>
    <m/>
    <m/>
    <m/>
    <d v="2020-10-07T00:00:00"/>
    <s v="SMLN-2020-617-000461_x000a_SMLN-2020-616-000048"/>
    <x v="78"/>
    <d v="2020-11-04T00:00:00"/>
    <s v="doba neurčitá"/>
  </r>
  <r>
    <d v="2020-08-27T00:00:00"/>
    <s v="VZ-2020-000912"/>
    <x v="10"/>
    <s v="Kadlec"/>
    <x v="318"/>
    <m/>
    <m/>
    <m/>
    <s v="45453000-7"/>
    <m/>
    <n v="500000"/>
    <x v="2"/>
    <d v="2020-09-03T00:00:00"/>
    <d v="2020-09-22T00:00:00"/>
    <d v="2020-10-01T00:00:00"/>
    <s v="Marek Alt"/>
    <m/>
    <n v="298353.28999999998"/>
    <n v="361007.48"/>
    <m/>
    <m/>
    <m/>
    <d v="2020-10-01T00:00:00"/>
    <s v="SMLN-2020-618-000090"/>
    <x v="68"/>
    <d v="2020-10-27T00:00:00"/>
    <d v="2020-12-08T00:00:00"/>
  </r>
  <r>
    <d v="2020-08-27T00:00:00"/>
    <s v="VZ-2020-000913"/>
    <x v="10"/>
    <s v="Kadlec"/>
    <x v="319"/>
    <m/>
    <m/>
    <m/>
    <s v="45453000-7"/>
    <m/>
    <n v="400000"/>
    <x v="2"/>
    <d v="2020-09-03T00:00:00"/>
    <d v="2020-09-15T00:00:00"/>
    <d v="2020-10-22T00:00:00"/>
    <s v="Stavitelství Pospíšil s.r.o."/>
    <m/>
    <n v="445113"/>
    <n v="538587"/>
    <m/>
    <m/>
    <m/>
    <d v="2020-10-22T00:00:00"/>
    <s v="SMLN-2020-618-000096"/>
    <x v="143"/>
    <d v="2020-11-12T00:00:00"/>
    <d v="2020-12-24T00:00:00"/>
  </r>
  <r>
    <d v="2020-09-01T00:00:00"/>
    <s v="VZ-2020-000920"/>
    <x v="9"/>
    <s v="Valíček"/>
    <x v="320"/>
    <m/>
    <m/>
    <m/>
    <s v="71000000-8"/>
    <s v="1.2.67."/>
    <n v="40000000"/>
    <x v="0"/>
    <d v="2020-09-07T00:00:00"/>
    <d v="2020-11-06T00:00:00"/>
    <m/>
    <m/>
    <m/>
    <m/>
    <m/>
    <m/>
    <m/>
    <m/>
    <m/>
    <m/>
    <x v="0"/>
    <m/>
    <m/>
  </r>
  <r>
    <d v="2020-09-01T00:00:00"/>
    <s v="VZ-2020-000922"/>
    <x v="3"/>
    <s v="Rosulek"/>
    <x v="321"/>
    <m/>
    <m/>
    <m/>
    <s v="33115100-0"/>
    <s v="2.2.275.,2.3.502."/>
    <n v="100000000"/>
    <x v="0"/>
    <d v="2020-12-17T00:00:00"/>
    <d v="2021-01-19T00:00:00"/>
    <m/>
    <m/>
    <m/>
    <m/>
    <m/>
    <m/>
    <m/>
    <m/>
    <m/>
    <m/>
    <x v="0"/>
    <m/>
    <m/>
  </r>
  <r>
    <d v="2020-08-28T00:00:00"/>
    <s v="VZ-2020-000924"/>
    <x v="9"/>
    <s v="Zeman"/>
    <x v="322"/>
    <m/>
    <m/>
    <m/>
    <s v="71000000-8"/>
    <s v="1.3.19."/>
    <n v="600000"/>
    <x v="2"/>
    <d v="2020-09-03T00:00:00"/>
    <d v="2020-09-17T00:00:00"/>
    <d v="2020-09-18T00:00:00"/>
    <s v="LAPLAN s.r.o."/>
    <m/>
    <n v="790000"/>
    <n v="955900"/>
    <m/>
    <m/>
    <m/>
    <d v="2020-09-21T00:00:00"/>
    <s v="SMLN-2020-618-000082"/>
    <x v="144"/>
    <d v="2020-10-26T00:00:00"/>
    <d v="2021-02-20T00:00:00"/>
  </r>
  <r>
    <s v="opakovaná VZ"/>
    <s v="VZ-2020-000927"/>
    <x v="0"/>
    <s v="Dočkalová"/>
    <x v="323"/>
    <n v="1"/>
    <s v="Čidla saturační SpO2 k pulzním oxymetrům MASIMO"/>
    <m/>
    <s v="33140000-3"/>
    <m/>
    <n v="1226400"/>
    <x v="1"/>
    <d v="2020-09-11T00:00:00"/>
    <d v="2020-09-30T00:00:00"/>
    <d v="2020-10-29T00:00:00"/>
    <s v="medisap, s.r.o."/>
    <m/>
    <n v="1224000"/>
    <n v="1481040"/>
    <m/>
    <m/>
    <m/>
    <d v="2020-10-29T00:00:00"/>
    <s v="SMLN-2020-617-000515"/>
    <x v="106"/>
    <d v="2020-12-03T00:00:00"/>
    <s v="doba neurčitá"/>
  </r>
  <r>
    <s v="opakovaná VZ"/>
    <s v="VZ-2020-000927"/>
    <x v="0"/>
    <s v="Dočkalová"/>
    <x v="323"/>
    <n v="2"/>
    <s v="Materiál spotřební k pulzním oxymetrům MASIMO"/>
    <m/>
    <s v="33140000-3"/>
    <m/>
    <n v="2116000"/>
    <x v="1"/>
    <d v="2020-09-11T00:00:00"/>
    <d v="2020-09-30T00:00:00"/>
    <m/>
    <s v="zrušeno - překročení ceny"/>
    <m/>
    <m/>
    <m/>
    <m/>
    <m/>
    <m/>
    <m/>
    <m/>
    <x v="0"/>
    <d v="2020-12-03T00:00:00"/>
    <s v="3.11.2020 zrušeno"/>
  </r>
  <r>
    <d v="2020-08-28T00:00:00"/>
    <s v="VZ-2020-000929"/>
    <x v="1"/>
    <s v="Ondráčková"/>
    <x v="324"/>
    <m/>
    <m/>
    <m/>
    <s v="33694000-1"/>
    <m/>
    <n v="1996800"/>
    <x v="2"/>
    <d v="2020-09-02T00:00:00"/>
    <d v="2020-09-09T00:00:00"/>
    <m/>
    <m/>
    <m/>
    <m/>
    <m/>
    <m/>
    <m/>
    <m/>
    <m/>
    <m/>
    <x v="0"/>
    <d v="2020-09-14T00:00:00"/>
    <m/>
  </r>
  <r>
    <d v="2020-08-28T00:00:00"/>
    <s v="VZ-2020-000930"/>
    <x v="1"/>
    <s v="Ondráčková"/>
    <x v="325"/>
    <m/>
    <m/>
    <m/>
    <s v="33694000-1"/>
    <m/>
    <n v="1800000"/>
    <x v="2"/>
    <d v="2020-09-03T00:00:00"/>
    <d v="2020-09-09T00:00:00"/>
    <m/>
    <s v="zrušeno - překročení ceny"/>
    <m/>
    <m/>
    <m/>
    <m/>
    <m/>
    <m/>
    <m/>
    <m/>
    <x v="0"/>
    <d v="2020-09-09T00:00:00"/>
    <m/>
  </r>
  <r>
    <d v="2020-08-28T00:00:00"/>
    <s v="VZ-2020-000931"/>
    <x v="1"/>
    <s v="Ondráčková"/>
    <x v="326"/>
    <m/>
    <m/>
    <m/>
    <s v="33694000-1"/>
    <m/>
    <n v="1800000"/>
    <x v="2"/>
    <d v="2020-09-03T00:00:00"/>
    <d v="2020-09-09T00:00:00"/>
    <m/>
    <s v="zrušeno - bez nabídky"/>
    <m/>
    <m/>
    <m/>
    <m/>
    <m/>
    <m/>
    <m/>
    <m/>
    <x v="0"/>
    <d v="2020-09-09T00:00:00"/>
    <m/>
  </r>
  <r>
    <d v="2020-08-06T00:00:00"/>
    <s v="VZ-2020-000934"/>
    <x v="0"/>
    <s v="Valtová"/>
    <x v="327"/>
    <n v="1"/>
    <s v="Jednorázový endoskopický klipovací systém s nabitým klipem - žaludek/tračník"/>
    <m/>
    <s v="33140000-3 "/>
    <m/>
    <n v="4660000"/>
    <x v="0"/>
    <d v="2020-09-11T00:00:00"/>
    <d v="2020-11-16T00:00:00"/>
    <m/>
    <m/>
    <m/>
    <m/>
    <m/>
    <m/>
    <m/>
    <m/>
    <m/>
    <m/>
    <x v="0"/>
    <d v="2020-12-11T00:00:00"/>
    <s v="8.12.2020 zrušeno"/>
  </r>
  <r>
    <d v="2020-08-06T00:00:00"/>
    <s v="VZ-2020-000934"/>
    <x v="0"/>
    <s v="Valtová"/>
    <x v="327"/>
    <n v="2"/>
    <s v="Jednorázový endoskopický klipovací systém Resolution Clip 360"/>
    <m/>
    <s v="33140000-3 "/>
    <m/>
    <n v="972210"/>
    <x v="0"/>
    <d v="2020-09-11T00:00:00"/>
    <d v="2020-11-16T00:00:00"/>
    <m/>
    <m/>
    <m/>
    <m/>
    <m/>
    <m/>
    <m/>
    <m/>
    <m/>
    <m/>
    <x v="0"/>
    <d v="2020-12-11T00:00:00"/>
    <s v="8.12.2020 zrušeno"/>
  </r>
  <r>
    <d v="2020-08-06T00:00:00"/>
    <s v="VZ-2020-000934"/>
    <x v="0"/>
    <s v="Valtová"/>
    <x v="327"/>
    <n v="3"/>
    <s v="Klipy ke klipovači na jednorázové i opakované použití - žaludek / colon"/>
    <m/>
    <s v="33140000-3 "/>
    <m/>
    <n v="132090"/>
    <x v="0"/>
    <d v="2020-09-11T00:00:00"/>
    <d v="2020-11-16T00:00:00"/>
    <m/>
    <m/>
    <m/>
    <m/>
    <m/>
    <m/>
    <m/>
    <m/>
    <m/>
    <m/>
    <x v="0"/>
    <d v="2020-12-11T00:00:00"/>
    <s v="8.12.2020 zrušeno"/>
  </r>
  <r>
    <d v="2020-09-04T00:00:00"/>
    <s v="VZ-2020-000941"/>
    <x v="1"/>
    <s v="Ondráčková"/>
    <x v="328"/>
    <n v="1"/>
    <s v="KIOVIG"/>
    <m/>
    <s v="33651520-9"/>
    <m/>
    <n v="17281625"/>
    <x v="0"/>
    <d v="2020-09-07T00:00:00"/>
    <d v="2020-11-16T00:00:00"/>
    <d v="2020-12-18T00:00:00"/>
    <s v="Takeda Pharmaceuticals Czech Republic s.r.o."/>
    <m/>
    <n v="17281625"/>
    <n v="19009787.5"/>
    <m/>
    <m/>
    <m/>
    <d v="2020-12-18T00:00:00"/>
    <s v="SMLN-2020-617-000582"/>
    <x v="0"/>
    <m/>
    <m/>
  </r>
  <r>
    <d v="2020-09-04T00:00:00"/>
    <s v="VZ-2020-000941"/>
    <x v="1"/>
    <s v="Ondráčková"/>
    <x v="328"/>
    <n v="2"/>
    <s v="GAMMAGARD S/D"/>
    <m/>
    <s v="33651520-9"/>
    <m/>
    <n v="1223550"/>
    <x v="0"/>
    <d v="2020-09-07T00:00:00"/>
    <d v="2020-11-16T00:00:00"/>
    <d v="2020-12-18T00:00:00"/>
    <s v="Takeda Pharmaceuticals Czech Republic s.r.o."/>
    <m/>
    <n v="1223550"/>
    <n v="1345905"/>
    <m/>
    <m/>
    <m/>
    <d v="2020-12-18T00:00:00"/>
    <s v="SMLN-2020-617-000583"/>
    <x v="0"/>
    <m/>
    <m/>
  </r>
  <r>
    <d v="2020-09-04T00:00:00"/>
    <s v="VZ-2020-000941"/>
    <x v="1"/>
    <s v="Ondráčková"/>
    <x v="328"/>
    <n v="3"/>
    <s v="FLEBOGAMMA DIF"/>
    <m/>
    <s v="33651520-9"/>
    <m/>
    <n v="98897533"/>
    <x v="0"/>
    <d v="2020-09-07T00:00:00"/>
    <d v="2020-11-16T00:00:00"/>
    <d v="2020-12-18T00:00:00"/>
    <s v="Grfols s.r.o."/>
    <m/>
    <n v="98897532.5"/>
    <n v="108787285.75"/>
    <m/>
    <m/>
    <m/>
    <d v="2020-12-18T00:00:00"/>
    <s v="SMLN-2020-617-000584"/>
    <x v="0"/>
    <m/>
    <m/>
  </r>
  <r>
    <d v="2020-09-04T00:00:00"/>
    <s v="VZ-2020-000942"/>
    <x v="1"/>
    <s v="Ondráčková"/>
    <x v="329"/>
    <n v="1"/>
    <s v="INFLECTRA pro léčbu stávajících pacientů"/>
    <m/>
    <s v="33652300-8"/>
    <m/>
    <n v="26177675"/>
    <x v="0"/>
    <d v="2020-09-10T00:00:00"/>
    <d v="2020-10-14T00:00:00"/>
    <d v="2020-11-25T00:00:00"/>
    <s v="Alliance Healthcare s.r.o."/>
    <m/>
    <n v="25744379.5"/>
    <n v="28318817.449999999"/>
    <m/>
    <m/>
    <m/>
    <d v="2020-11-26T00:00:00"/>
    <s v="SMLN-2020-617-000536"/>
    <x v="0"/>
    <m/>
    <m/>
  </r>
  <r>
    <d v="2020-09-04T00:00:00"/>
    <s v="VZ-2020-000942"/>
    <x v="1"/>
    <s v="Ondráčková"/>
    <x v="329"/>
    <n v="2"/>
    <s v="REMICADE pro léčbu stávajících pacientů"/>
    <m/>
    <s v="33652300-8"/>
    <m/>
    <n v="3165978"/>
    <x v="0"/>
    <d v="2020-09-10T00:00:00"/>
    <d v="2020-10-14T00:00:00"/>
    <d v="2020-11-25T00:00:00"/>
    <s v="Merck Sharp &amp; Dohme s.r.o."/>
    <m/>
    <n v="3165978"/>
    <n v="3482575.8"/>
    <m/>
    <m/>
    <m/>
    <d v="2020-11-26T00:00:00"/>
    <s v="SMLN-2020-617-000537"/>
    <x v="139"/>
    <d v="2021-01-15T00:00:00"/>
    <d v="2025-12-17T00:00:00"/>
  </r>
  <r>
    <d v="2020-09-04T00:00:00"/>
    <s v="VZ-2020-000942"/>
    <x v="1"/>
    <s v="Ondráčková"/>
    <x v="329"/>
    <n v="3"/>
    <s v="INFLIXIMAB  pro léčbu nových dospělých pacientů a  dospělých pacientů před prvním switchem"/>
    <m/>
    <s v="33652300-8"/>
    <m/>
    <n v="24741000"/>
    <x v="0"/>
    <d v="2020-09-10T00:00:00"/>
    <d v="2020-10-14T00:00:00"/>
    <d v="2020-11-25T00:00:00"/>
    <s v="Promedica Praha Group, a.s."/>
    <m/>
    <n v="19105550"/>
    <n v="21016105"/>
    <m/>
    <m/>
    <m/>
    <d v="2020-11-26T00:00:00"/>
    <s v="SMLN-2020-617-000538"/>
    <x v="139"/>
    <d v="2021-01-15T00:00:00"/>
    <d v="2025-12-17T00:00:00"/>
  </r>
  <r>
    <d v="2020-09-04T00:00:00"/>
    <s v="VZ-2020-000943"/>
    <x v="1"/>
    <s v="Ondráčková"/>
    <x v="330"/>
    <m/>
    <m/>
    <m/>
    <s v="33652300-8"/>
    <m/>
    <n v="8423486"/>
    <x v="0"/>
    <d v="2020-11-27T00:00:00"/>
    <d v="2021-01-15T00:00:00"/>
    <m/>
    <m/>
    <m/>
    <m/>
    <m/>
    <m/>
    <m/>
    <m/>
    <m/>
    <m/>
    <x v="0"/>
    <m/>
    <m/>
  </r>
  <r>
    <d v="2020-09-03T00:00:00"/>
    <s v="VZ-2020-000960"/>
    <x v="7"/>
    <s v="Miklík"/>
    <x v="331"/>
    <m/>
    <m/>
    <m/>
    <s v="48900000-7"/>
    <s v="3.3.1."/>
    <n v="2533000"/>
    <x v="1"/>
    <d v="2020-09-18T00:00:00"/>
    <d v="2020-10-16T00:00:00"/>
    <d v="2020-11-03T00:00:00"/>
    <s v="CALEUM a.s."/>
    <m/>
    <n v="2985000"/>
    <n v="3611850"/>
    <m/>
    <m/>
    <m/>
    <d v="2020-11-06T00:00:00"/>
    <s v="SMLN-2020-617-000521_x000a_SMLN-2020-612-000112"/>
    <x v="145"/>
    <d v="2020-12-03T00:00:00"/>
    <d v="2021-01-29T00:00:00"/>
  </r>
  <r>
    <d v="2020-09-08T00:00:00"/>
    <s v="VZ-2020-000961"/>
    <x v="1"/>
    <s v="Ondráčková"/>
    <x v="332"/>
    <n v="1"/>
    <s v="ABRAXANE"/>
    <m/>
    <s v="33652100-6"/>
    <m/>
    <n v="15458000"/>
    <x v="0"/>
    <d v="2020-09-17T00:00:00"/>
    <d v="2020-10-19T00:00:00"/>
    <d v="2020-12-01T00:00:00"/>
    <s v="PHOENIX lék.velkoobchod, s.r.o."/>
    <m/>
    <n v="15457754.07"/>
    <n v="17003529.48"/>
    <m/>
    <m/>
    <m/>
    <d v="2020-12-01T00:00:00"/>
    <s v="SMLN-2020-617-000543"/>
    <x v="0"/>
    <m/>
    <m/>
  </r>
  <r>
    <d v="2020-09-08T00:00:00"/>
    <s v="VZ-2020-000961"/>
    <x v="1"/>
    <s v="Ondráčková"/>
    <x v="332"/>
    <n v="2"/>
    <s v="PAKLITAXEL  "/>
    <m/>
    <s v="33652100-6"/>
    <m/>
    <n v="1692418"/>
    <x v="0"/>
    <d v="2020-09-17T00:00:00"/>
    <d v="2020-10-19T00:00:00"/>
    <m/>
    <s v="zrušeno - bez hodnotitelné nabídky"/>
    <m/>
    <m/>
    <m/>
    <m/>
    <m/>
    <m/>
    <m/>
    <m/>
    <x v="0"/>
    <d v="2020-11-30T00:00:00"/>
    <s v="27.10.2020 zrušeno"/>
  </r>
  <r>
    <d v="2020-09-08T00:00:00"/>
    <s v="VZ-2020-000961"/>
    <x v="1"/>
    <s v="Ondráčková"/>
    <x v="332"/>
    <n v="3"/>
    <s v="JEVTANA"/>
    <m/>
    <s v="33652100-6"/>
    <m/>
    <n v="4999322"/>
    <x v="0"/>
    <d v="2020-09-17T00:00:00"/>
    <d v="2020-10-19T00:00:00"/>
    <m/>
    <s v="zrušeno - bez nabídky"/>
    <m/>
    <m/>
    <m/>
    <m/>
    <m/>
    <m/>
    <m/>
    <m/>
    <x v="0"/>
    <d v="2020-11-30T00:00:00"/>
    <s v="27.10.2020 zrušeno"/>
  </r>
  <r>
    <d v="2020-09-04T00:00:00"/>
    <s v="VZ-2020-000962"/>
    <x v="7"/>
    <s v="Oravec"/>
    <x v="333"/>
    <m/>
    <m/>
    <m/>
    <s v="30125110-5 "/>
    <m/>
    <n v="4960000"/>
    <x v="0"/>
    <d v="2020-10-09T00:00:00"/>
    <d v="2021-01-13T00:00:00"/>
    <m/>
    <m/>
    <m/>
    <m/>
    <m/>
    <m/>
    <m/>
    <m/>
    <m/>
    <m/>
    <x v="0"/>
    <m/>
    <m/>
  </r>
  <r>
    <d v="2020-09-07T00:00:00"/>
    <s v="VZ-2020-000967"/>
    <x v="5"/>
    <s v="Srovnal"/>
    <x v="334"/>
    <m/>
    <m/>
    <m/>
    <s v="50710000-5"/>
    <m/>
    <n v="2700000"/>
    <x v="0"/>
    <d v="2020-09-24T00:00:00"/>
    <d v="2020-10-27T00:00:00"/>
    <d v="2020-11-13T00:00:00"/>
    <s v="ELMAR group s.r.o."/>
    <m/>
    <n v="1830310"/>
    <n v="2214675"/>
    <m/>
    <m/>
    <m/>
    <d v="2020-11-13T00:00:00"/>
    <s v="SMLN-2020-618-000109"/>
    <x v="146"/>
    <d v="2021-01-07T00:00:00"/>
    <d v="2021-02-24T00:00:00"/>
  </r>
  <r>
    <d v="2020-09-11T00:00:00"/>
    <s v="VZ-2020-000976"/>
    <x v="1"/>
    <s v="Ondráčková"/>
    <x v="335"/>
    <m/>
    <m/>
    <m/>
    <s v="33694000-1"/>
    <m/>
    <n v="1999920"/>
    <x v="2"/>
    <d v="2020-09-11T00:00:00"/>
    <d v="2020-09-18T00:00:00"/>
    <d v="2020-11-16T00:00:00"/>
    <s v="MEDISTA spol. s r.o."/>
    <m/>
    <n v="1141192.8"/>
    <n v="1381206.29"/>
    <m/>
    <m/>
    <m/>
    <d v="2020-11-16T00:00:00"/>
    <s v="SMLN-2020-617-000528"/>
    <x v="138"/>
    <d v="2020-12-09T00:00:00"/>
    <d v="2020-12-21T00:00:00"/>
  </r>
  <r>
    <d v="2020-09-11T00:00:00"/>
    <s v="VZ-2020-000984"/>
    <x v="1"/>
    <s v="Ondráčková"/>
    <x v="336"/>
    <m/>
    <m/>
    <m/>
    <s v="33694000-1"/>
    <m/>
    <n v="1999360"/>
    <x v="2"/>
    <d v="2020-09-16T00:00:00"/>
    <d v="2020-09-24T00:00:00"/>
    <m/>
    <s v="zrušeno - bez hodnotitelné nabídky"/>
    <m/>
    <m/>
    <m/>
    <m/>
    <m/>
    <m/>
    <m/>
    <m/>
    <x v="0"/>
    <d v="2020-11-06T00:00:00"/>
    <m/>
  </r>
  <r>
    <d v="2020-09-15T00:00:00"/>
    <s v="VZ-2020-000993"/>
    <x v="7"/>
    <s v="Oravec"/>
    <x v="337"/>
    <m/>
    <m/>
    <m/>
    <s v="30213300-8"/>
    <m/>
    <n v="7319250"/>
    <x v="0"/>
    <d v="2020-09-22T00:00:00"/>
    <d v="2020-11-30T00:00:00"/>
    <m/>
    <m/>
    <m/>
    <m/>
    <m/>
    <m/>
    <m/>
    <m/>
    <m/>
    <m/>
    <x v="0"/>
    <m/>
    <m/>
  </r>
  <r>
    <d v="2020-09-07T00:00:00"/>
    <s v="VZ-2020-000998"/>
    <x v="5"/>
    <s v="Srovnal"/>
    <x v="338"/>
    <m/>
    <m/>
    <m/>
    <s v="42416100-6"/>
    <m/>
    <n v="3500000"/>
    <x v="0"/>
    <d v="2020-10-06T00:00:00"/>
    <d v="2020-12-08T00:00:00"/>
    <m/>
    <s v="LIFTMONT CZ s.r.o."/>
    <m/>
    <n v="2790000"/>
    <n v="3375900"/>
    <m/>
    <m/>
    <m/>
    <m/>
    <m/>
    <x v="0"/>
    <m/>
    <m/>
  </r>
  <r>
    <d v="2020-09-16T00:00:00"/>
    <s v="VZ-2020-001002"/>
    <x v="5"/>
    <s v="Eyer"/>
    <x v="339"/>
    <m/>
    <m/>
    <m/>
    <s v="45311100-1"/>
    <m/>
    <n v="3228000"/>
    <x v="2"/>
    <d v="2020-09-21T00:00:00"/>
    <d v="2020-09-30T00:00:00"/>
    <d v="2020-10-05T00:00:00"/>
    <s v="EBMT TZB, s .r.o."/>
    <m/>
    <n v="2997859"/>
    <n v="3627409.39"/>
    <m/>
    <m/>
    <m/>
    <d v="2020-10-05T00:00:00"/>
    <s v="SMLN-2020-618-000091"/>
    <x v="144"/>
    <d v="2020-10-26T00:00:00"/>
    <d v="2021-01-01T00:00:00"/>
  </r>
  <r>
    <d v="2020-09-16T00:00:00"/>
    <s v="VZ-2020-001003"/>
    <x v="1"/>
    <s v="Ondráčková"/>
    <x v="340"/>
    <n v="1"/>
    <s v="ADVAGRAF pro stávající pacienty"/>
    <m/>
    <s v="33652300-8"/>
    <m/>
    <n v="39747523"/>
    <x v="0"/>
    <d v="2020-09-22T00:00:00"/>
    <d v="2020-10-26T00:00:00"/>
    <d v="2020-12-02T00:00:00"/>
    <s v="PHOENIX lék.velkoobchod, s.r.o."/>
    <m/>
    <n v="39747521.100000001"/>
    <n v="43722273.210000001"/>
    <m/>
    <m/>
    <m/>
    <d v="2020-12-02T00:00:00"/>
    <s v="SMLN-2020-617-000549"/>
    <x v="0"/>
    <m/>
    <m/>
  </r>
  <r>
    <d v="2020-09-16T00:00:00"/>
    <s v="VZ-2020-001003"/>
    <x v="1"/>
    <s v="Ondráčková"/>
    <x v="340"/>
    <n v="2"/>
    <s v="PROGRAF pro stávající pacienty"/>
    <m/>
    <s v="33652300-8"/>
    <m/>
    <n v="2834659"/>
    <x v="0"/>
    <d v="2020-09-22T00:00:00"/>
    <d v="2020-10-26T00:00:00"/>
    <d v="2020-12-02T00:00:00"/>
    <s v="PHOENIX lék.velkoobchod, s.r.o."/>
    <m/>
    <n v="2834657.1"/>
    <n v="3118122.81"/>
    <m/>
    <m/>
    <m/>
    <d v="2020-12-02T00:00:00"/>
    <s v="SMLN-2020-617-000550"/>
    <x v="0"/>
    <m/>
    <m/>
  </r>
  <r>
    <d v="2020-09-16T00:00:00"/>
    <s v="VZ-2020-001003"/>
    <x v="1"/>
    <s v="Ondráčková"/>
    <x v="340"/>
    <n v="3"/>
    <s v="ENVARSUS  pro stávající pacienty"/>
    <m/>
    <s v="33652300-8"/>
    <m/>
    <n v="3091238"/>
    <x v="0"/>
    <d v="2020-09-22T00:00:00"/>
    <d v="2020-10-26T00:00:00"/>
    <d v="2020-12-02T00:00:00"/>
    <s v="PHOENIX lék.velkoobchod, s.r.o."/>
    <m/>
    <n v="3058371.85"/>
    <n v="3364209.04"/>
    <m/>
    <m/>
    <m/>
    <d v="2020-12-02T00:00:00"/>
    <s v="SMLN-2020-617-000551"/>
    <x v="0"/>
    <m/>
    <m/>
  </r>
  <r>
    <d v="2020-09-16T00:00:00"/>
    <s v="VZ-2020-001003"/>
    <x v="1"/>
    <s v="Ondráčková"/>
    <x v="340"/>
    <n v="4"/>
    <s v="DALIPORT pro nové pacienty po první transplantaci"/>
    <m/>
    <s v="33652300-8"/>
    <m/>
    <n v="4157967"/>
    <x v="0"/>
    <d v="2020-09-22T00:00:00"/>
    <d v="2020-10-26T00:00:00"/>
    <d v="2020-12-02T00:00:00"/>
    <s v="PHOENIX lék.velkoobchod, s.r.o."/>
    <m/>
    <n v="3978802.5"/>
    <n v="4376682.75"/>
    <m/>
    <m/>
    <m/>
    <d v="2020-12-02T00:00:00"/>
    <s v="SMLN-2020-617-000552"/>
    <x v="0"/>
    <m/>
    <m/>
  </r>
  <r>
    <d v="2020-09-16T00:00:00"/>
    <s v="VZ-2020-001003"/>
    <x v="1"/>
    <s v="Ondráčková"/>
    <x v="340"/>
    <n v="5"/>
    <s v="EQUORAL"/>
    <m/>
    <s v="33652300-8"/>
    <m/>
    <n v="1749662"/>
    <x v="0"/>
    <d v="2020-09-22T00:00:00"/>
    <d v="2020-10-26T00:00:00"/>
    <d v="2020-12-02T00:00:00"/>
    <s v="PHOENIX lék.velkoobchod, s.r.o."/>
    <m/>
    <n v="1745639.1"/>
    <n v="1920203.01"/>
    <m/>
    <m/>
    <m/>
    <d v="2020-12-02T00:00:00"/>
    <s v="SMLN-2020-617-000553"/>
    <x v="0"/>
    <m/>
    <m/>
  </r>
  <r>
    <d v="2020-09-16T00:00:00"/>
    <s v="VZ-2020-001003"/>
    <x v="1"/>
    <s v="Ondráčková"/>
    <x v="340"/>
    <n v="6"/>
    <s v="SANDIMMUN NEORAL"/>
    <m/>
    <s v="33652300-8"/>
    <m/>
    <n v="4479566"/>
    <x v="0"/>
    <d v="2020-09-22T00:00:00"/>
    <d v="2020-10-26T00:00:00"/>
    <d v="2020-12-02T00:00:00"/>
    <s v="Alliance Healthcare s.r.o."/>
    <m/>
    <n v="4479563.8"/>
    <n v="4927520.18"/>
    <m/>
    <m/>
    <m/>
    <d v="2020-12-02T00:00:00"/>
    <s v="SMLN-2020-617-000554"/>
    <x v="0"/>
    <m/>
    <m/>
  </r>
  <r>
    <d v="2020-09-08T00:00:00"/>
    <s v="VZ-2020-001007"/>
    <x v="13"/>
    <s v="Zemánek"/>
    <x v="341"/>
    <m/>
    <m/>
    <m/>
    <s v="50421000-2"/>
    <m/>
    <n v="3000000"/>
    <x v="1"/>
    <d v="2020-09-22T00:00:00"/>
    <d v="2020-10-14T00:00:00"/>
    <d v="2020-11-10T00:00:00"/>
    <s v="BMT Medical Technology s.r.o."/>
    <m/>
    <n v="368940"/>
    <n v="446417.4"/>
    <m/>
    <m/>
    <m/>
    <d v="2020-11-11T00:00:00"/>
    <s v="SMLN-2020-612-000115"/>
    <x v="0"/>
    <m/>
    <m/>
  </r>
  <r>
    <s v="opakovaná VZ"/>
    <s v="VZ-2020-001012"/>
    <x v="3"/>
    <s v="Rosulek"/>
    <x v="342"/>
    <m/>
    <m/>
    <m/>
    <s v="33130000-0"/>
    <s v="2.3.390."/>
    <n v="3542148"/>
    <x v="1"/>
    <d v="2020-09-22T00:00:00"/>
    <d v="2020-10-15T00:00:00"/>
    <m/>
    <m/>
    <m/>
    <m/>
    <m/>
    <m/>
    <m/>
    <m/>
    <m/>
    <m/>
    <x v="0"/>
    <m/>
    <m/>
  </r>
  <r>
    <d v="2020-09-18T00:00:00"/>
    <s v="VZ-2020-001013"/>
    <x v="5"/>
    <s v="Srovnal"/>
    <x v="343"/>
    <m/>
    <m/>
    <m/>
    <s v="45453000-7"/>
    <m/>
    <n v="1950000"/>
    <x v="2"/>
    <d v="2020-09-22T00:00:00"/>
    <d v="2020-10-06T00:00:00"/>
    <d v="2020-11-03T00:00:00"/>
    <s v="Stavitelství Pospíšil s.r.o."/>
    <m/>
    <n v="1801972"/>
    <n v="2180386"/>
    <m/>
    <m/>
    <m/>
    <d v="2020-11-04T00:00:00"/>
    <s v="SMLN-2020-618-000104"/>
    <x v="106"/>
    <d v="2020-12-01T00:00:00"/>
    <d v="2021-02-07T00:00:00"/>
  </r>
  <r>
    <d v="2020-09-18T00:00:00"/>
    <s v="VZ-2020-001018"/>
    <x v="5"/>
    <s v="Eyer"/>
    <x v="344"/>
    <m/>
    <m/>
    <m/>
    <s v="45316100-6"/>
    <m/>
    <n v="2500000"/>
    <x v="2"/>
    <d v="2020-09-22T00:00:00"/>
    <d v="2020-10-06T00:00:00"/>
    <d v="2020-11-03T00:00:00"/>
    <s v="Opluštil-Stavby elektromontáže s.r.o."/>
    <m/>
    <n v="2365930"/>
    <n v="2862775.3"/>
    <m/>
    <m/>
    <m/>
    <d v="2020-11-03T00:00:00"/>
    <s v="SMLN-2020-618-000103"/>
    <x v="102"/>
    <d v="2020-12-04T00:00:00"/>
    <d v="2021-01-27T00:00:00"/>
  </r>
  <r>
    <d v="2020-09-14T00:00:00"/>
    <s v="VZ-2020-001020"/>
    <x v="5"/>
    <s v="Srovnal"/>
    <x v="345"/>
    <m/>
    <m/>
    <m/>
    <s v="33190000-8"/>
    <m/>
    <n v="5800000"/>
    <x v="0"/>
    <d v="2020-10-07T00:00:00"/>
    <d v="2020-11-18T00:00:00"/>
    <d v="2020-11-30T00:00:00"/>
    <s v="Dräger Medical s.r.o."/>
    <m/>
    <n v="5085998"/>
    <n v="6154057.5800000001"/>
    <m/>
    <m/>
    <m/>
    <d v="2020-11-30T00:00:00"/>
    <s v="SMLN-2020-617-000540_x000a_SMLN-2020-612-000120_x000a_SMLN-2020-612-000121"/>
    <x v="0"/>
    <m/>
    <m/>
  </r>
  <r>
    <d v="2020-09-11T00:00:00"/>
    <s v="VZ-2020-001022"/>
    <x v="9"/>
    <s v="Langer"/>
    <x v="346"/>
    <m/>
    <m/>
    <m/>
    <s v="45215100-8"/>
    <s v="1.3.20."/>
    <n v="60000000"/>
    <x v="0"/>
    <d v="2020-09-23T00:00:00"/>
    <d v="2020-10-30T00:00:00"/>
    <d v="2020-11-23T00:00:00"/>
    <s v="OHL ŽS, a.s."/>
    <m/>
    <n v="59460506.189999998"/>
    <n v="71947212.489999995"/>
    <m/>
    <m/>
    <m/>
    <d v="2020-11-23T00:00:00"/>
    <s v="SMLN-2020-618-000114"/>
    <x v="0"/>
    <m/>
    <m/>
  </r>
  <r>
    <d v="2020-09-21T00:00:00"/>
    <s v="VZ-2020-001024"/>
    <x v="5"/>
    <s v="Srovnal"/>
    <x v="347"/>
    <m/>
    <m/>
    <m/>
    <s v="45261910-6"/>
    <m/>
    <n v="350000"/>
    <x v="2"/>
    <d v="2020-09-23T00:00:00"/>
    <d v="2020-10-07T00:00:00"/>
    <m/>
    <s v="zrušeno - bez nabídky"/>
    <s v="nová VZ-2020-001187"/>
    <m/>
    <m/>
    <m/>
    <m/>
    <m/>
    <m/>
    <m/>
    <x v="0"/>
    <d v="2020-10-07T00:00:00"/>
    <m/>
  </r>
  <r>
    <s v="opakovaná VZ"/>
    <s v="VZ-2020-001029"/>
    <x v="3"/>
    <s v="Rosulek"/>
    <x v="348"/>
    <m/>
    <m/>
    <m/>
    <s v="33151400-7"/>
    <s v="2.3.487."/>
    <n v="1028973"/>
    <x v="2"/>
    <d v="2020-09-25T00:00:00"/>
    <d v="2020-10-08T00:00:00"/>
    <d v="2020-10-13T00:00:00"/>
    <s v="Elekta Services s.r.o."/>
    <m/>
    <n v="895199.29"/>
    <n v="1083191.1399999999"/>
    <m/>
    <m/>
    <m/>
    <d v="2020-10-13T00:00:00"/>
    <s v="SMLN-2020-617-000475"/>
    <x v="147"/>
    <d v="2020-11-11T00:00:00"/>
    <d v="2020-12-18T00:00:00"/>
  </r>
  <r>
    <d v="2020-09-21T00:00:00"/>
    <s v="VZ-2020-001035"/>
    <x v="0"/>
    <s v="Merta"/>
    <x v="349"/>
    <n v="1"/>
    <s v="Impantabilní dvoukanálový neurostimulační systém k léčbě Hlubokou Mozkovou Stimulací (DBS) - MRI kompatibilní - dobíjitelný"/>
    <m/>
    <s v="33158210-7"/>
    <m/>
    <n v="13712000"/>
    <x v="0"/>
    <d v="2020-10-09T00:00:00"/>
    <d v="2020-11-11T00:00:00"/>
    <d v="2020-12-01T00:00:00"/>
    <s v="MEDIFINE a.s."/>
    <m/>
    <n v="13692775.68"/>
    <n v="15806771.359999999"/>
    <m/>
    <m/>
    <m/>
    <d v="2020-12-02T00:00:00"/>
    <s v="SMLN-2020-617-000544_x000a_SMLN-2020-614-000062_x000a_SMLN-2020-616-000064"/>
    <x v="0"/>
    <m/>
    <m/>
  </r>
  <r>
    <d v="2020-09-21T00:00:00"/>
    <s v="VZ-2020-001035"/>
    <x v="0"/>
    <s v="Merta"/>
    <x v="349"/>
    <n v="2"/>
    <s v="Impantabilní dvoukanálový neurostimulační systém k léčbě Hlubokou Mozkovou Stimulací (DBS) - MRI kompatibilní - nedobíjitelný"/>
    <m/>
    <s v="33158210-7"/>
    <m/>
    <n v="82786000"/>
    <x v="0"/>
    <d v="2020-10-09T00:00:00"/>
    <d v="2020-11-11T00:00:00"/>
    <d v="2020-12-01T00:00:00"/>
    <s v="MEDIFINE a.s."/>
    <m/>
    <n v="81157914.239999995"/>
    <n v="93603937.439999998"/>
    <m/>
    <m/>
    <m/>
    <d v="2020-12-02T00:00:00"/>
    <s v="SMLN-2020-617-000545_x000a_SMLN-2020-614-000065"/>
    <x v="0"/>
    <m/>
    <m/>
  </r>
  <r>
    <d v="2020-09-21T00:00:00"/>
    <s v="VZ-2020-001035"/>
    <x v="0"/>
    <s v="Merta"/>
    <x v="349"/>
    <n v="3"/>
    <s v="Implantabilní neurostimulační systém dvoukanálový k léčbě boelstivých stavů - MRI kompatibilní - nedobíjitelný"/>
    <m/>
    <s v="33158210-7"/>
    <m/>
    <n v="38800000"/>
    <x v="0"/>
    <d v="2020-10-09T00:00:00"/>
    <d v="2020-11-11T00:00:00"/>
    <d v="2020-12-01T00:00:00"/>
    <s v="MEDIFINE a.s."/>
    <m/>
    <n v="38794688"/>
    <n v="44793519"/>
    <m/>
    <m/>
    <m/>
    <d v="2020-12-02T00:00:00"/>
    <s v="SMLN-2020-617-000546_x000a_SMLN-2020-614-000064"/>
    <x v="0"/>
    <m/>
    <m/>
  </r>
  <r>
    <d v="2020-09-21T00:00:00"/>
    <s v="VZ-2020-001035"/>
    <x v="0"/>
    <s v="Merta"/>
    <x v="349"/>
    <n v="4"/>
    <s v="Implantabilní neurostimulační systém dvoukanálový k léčbě boelstivých stavů - MRI kompatibilní - dobíjitelný"/>
    <m/>
    <s v="33158210-7"/>
    <m/>
    <n v="7344000"/>
    <x v="0"/>
    <d v="2020-10-09T00:00:00"/>
    <d v="2020-11-11T00:00:00"/>
    <d v="2020-12-01T00:00:00"/>
    <s v="MEDIFINE a.s."/>
    <m/>
    <n v="7340860.9199999999"/>
    <n v="8458339.5600000005"/>
    <m/>
    <m/>
    <m/>
    <d v="2020-12-02T00:00:00"/>
    <s v="SMLN-2020-617-000547_x000a_SMLN-2020-614-000065"/>
    <x v="0"/>
    <m/>
    <m/>
  </r>
  <r>
    <d v="2020-09-21T00:00:00"/>
    <s v="VZ-2020-001035"/>
    <x v="0"/>
    <s v="Merta"/>
    <x v="349"/>
    <n v="5"/>
    <s v="Implantabilní programovatelné lékové pumpy"/>
    <m/>
    <s v="33158210-7"/>
    <m/>
    <n v="11816000"/>
    <x v="0"/>
    <d v="2020-10-09T00:00:00"/>
    <d v="2020-11-11T00:00:00"/>
    <d v="2020-12-01T00:00:00"/>
    <s v="MEDIFINE a.s."/>
    <m/>
    <n v="11805145.800000001"/>
    <n v="13631965.199999999"/>
    <m/>
    <m/>
    <m/>
    <d v="2020-12-02T00:00:00"/>
    <s v="SMLN-2020-617-000548_x000a_SMLN-2020-614-000066"/>
    <x v="0"/>
    <m/>
    <m/>
  </r>
  <r>
    <d v="2020-09-24T00:00:00"/>
    <s v="VZ-2020-001042"/>
    <x v="1"/>
    <s v="Ondráčková"/>
    <x v="350"/>
    <m/>
    <m/>
    <m/>
    <s v="33694000-1"/>
    <m/>
    <n v="15400000"/>
    <x v="0"/>
    <d v="2020-10-23T00:00:00"/>
    <d v="2020-11-25T00:00:00"/>
    <m/>
    <s v="zrušeno - bez hodnotitelné nabídky"/>
    <s v="nová VZ-2020-001312"/>
    <m/>
    <m/>
    <m/>
    <m/>
    <m/>
    <m/>
    <m/>
    <x v="0"/>
    <d v="2020-12-01T00:00:00"/>
    <s v="1.12.2020 zrušeno"/>
  </r>
  <r>
    <d v="2020-09-14T00:00:00"/>
    <s v="VZ-2020-001065"/>
    <x v="5"/>
    <s v="Srovnal"/>
    <x v="351"/>
    <m/>
    <m/>
    <m/>
    <s v="45333000-0"/>
    <m/>
    <n v="450000"/>
    <x v="2"/>
    <d v="2020-10-02T00:00:00"/>
    <d v="2020-10-13T00:00:00"/>
    <d v="2020-10-23T00:00:00"/>
    <s v="Dräger Medical s.r.o."/>
    <m/>
    <n v="400222"/>
    <n v="484268.62"/>
    <m/>
    <m/>
    <m/>
    <d v="2020-10-23T00:00:00"/>
    <s v="SMLN-2020-618-000097"/>
    <x v="106"/>
    <d v="2020-12-01T00:00:00"/>
    <d v="2021-01-20T00:00:00"/>
  </r>
  <r>
    <d v="2020-09-29T00:00:00"/>
    <s v="VZ-2020-001070"/>
    <x v="9"/>
    <s v="Zeman"/>
    <x v="352"/>
    <m/>
    <m/>
    <m/>
    <s v="45215100-8"/>
    <s v="1.2.60."/>
    <n v="550000"/>
    <x v="2"/>
    <d v="2020-10-02T00:00:00"/>
    <d v="2020-10-09T00:00:00"/>
    <d v="2020-10-12T00:00:00"/>
    <s v="EP Rožnov, a.s."/>
    <m/>
    <n v="502010"/>
    <n v="607432.1"/>
    <m/>
    <m/>
    <m/>
    <d v="2020-10-12T00:00:00"/>
    <s v="SMLN-2020-618-000094"/>
    <x v="143"/>
    <d v="2020-11-12T00:00:00"/>
    <d v="2020-12-10T00:00:00"/>
  </r>
  <r>
    <s v="opakovaná VZ"/>
    <s v="VZ-2020-001071"/>
    <x v="3"/>
    <s v="Rosulek"/>
    <x v="353"/>
    <m/>
    <m/>
    <m/>
    <s v="33193120-6"/>
    <m/>
    <n v="278000"/>
    <x v="2"/>
    <d v="2020-11-24T00:00:00"/>
    <d v="2020-12-07T00:00:00"/>
    <m/>
    <m/>
    <m/>
    <m/>
    <m/>
    <m/>
    <m/>
    <m/>
    <m/>
    <m/>
    <x v="0"/>
    <d v="2020-12-18T00:00:00"/>
    <m/>
  </r>
  <r>
    <d v="2020-10-01T00:00:00"/>
    <s v="VZ-2020-001077"/>
    <x v="1"/>
    <s v="Ondráčková"/>
    <x v="354"/>
    <n v="1"/>
    <s v="ERENUMAB "/>
    <m/>
    <s v="33661200-3"/>
    <m/>
    <n v="27930766"/>
    <x v="0"/>
    <d v="2020-11-26T00:00:00"/>
    <d v="2020-12-28T00:00:00"/>
    <m/>
    <m/>
    <m/>
    <m/>
    <m/>
    <m/>
    <m/>
    <m/>
    <m/>
    <m/>
    <x v="0"/>
    <m/>
    <m/>
  </r>
  <r>
    <d v="2020-10-01T00:00:00"/>
    <s v="VZ-2020-001078"/>
    <x v="1"/>
    <s v="Ondráčková"/>
    <x v="355"/>
    <n v="1"/>
    <s v="GEMTUZUMAB OZOGAMICIN "/>
    <m/>
    <s v="33652100-6"/>
    <m/>
    <n v="77771612"/>
    <x v="0"/>
    <d v="2020-11-24T00:00:00"/>
    <d v="2021-01-25T00:00:00"/>
    <m/>
    <m/>
    <m/>
    <m/>
    <m/>
    <m/>
    <m/>
    <m/>
    <m/>
    <m/>
    <x v="0"/>
    <m/>
    <m/>
  </r>
  <r>
    <d v="2020-10-01T00:00:00"/>
    <s v="VZ-2020-001079"/>
    <x v="8"/>
    <s v="Smrčková"/>
    <x v="356"/>
    <m/>
    <m/>
    <m/>
    <s v="35113490-0"/>
    <m/>
    <n v="1300000"/>
    <x v="2"/>
    <d v="2020-10-02T00:00:00"/>
    <d v="2020-10-08T00:00:00"/>
    <d v="2020-10-12T00:00:00"/>
    <s v="Medisun, s.r.o."/>
    <m/>
    <n v="1300000"/>
    <n v="1573000"/>
    <m/>
    <m/>
    <m/>
    <d v="2020-10-12T00:00:00"/>
    <s v="SMLN-2020-617-000466"/>
    <x v="78"/>
    <d v="2020-11-03T00:00:00"/>
    <d v="2020-11-09T00:00:00"/>
  </r>
  <r>
    <d v="2020-06-01T00:00:00"/>
    <s v="VZ-2020-001080"/>
    <x v="19"/>
    <s v="Svozil"/>
    <x v="357"/>
    <m/>
    <m/>
    <m/>
    <s v="45232150-8"/>
    <m/>
    <n v="1050000"/>
    <x v="2"/>
    <d v="2020-11-27T00:00:00"/>
    <d v="2020-12-10T00:00:00"/>
    <m/>
    <s v="zrušeno - bez nabídky"/>
    <m/>
    <m/>
    <m/>
    <m/>
    <m/>
    <m/>
    <m/>
    <m/>
    <x v="0"/>
    <m/>
    <m/>
  </r>
  <r>
    <d v="2020-09-24T00:00:00"/>
    <s v="VZ-2020-001085"/>
    <x v="5"/>
    <s v="Srovnal"/>
    <x v="358"/>
    <m/>
    <m/>
    <m/>
    <s v="50532400-7"/>
    <m/>
    <n v="3000000"/>
    <x v="0"/>
    <d v="2020-10-13T00:00:00"/>
    <d v="2020-11-18T00:00:00"/>
    <d v="2020-12-17T00:00:00"/>
    <s v="ELMAR group s.r.o."/>
    <m/>
    <n v="1683818"/>
    <n v="2037420"/>
    <m/>
    <m/>
    <m/>
    <d v="2020-12-17T00:00:00"/>
    <s v="SMLN-2020-618-000120"/>
    <x v="146"/>
    <d v="2021-01-07T00:00:00"/>
    <d v="2021-02-10T00:00:00"/>
  </r>
  <r>
    <d v="2020-10-02T00:00:00"/>
    <s v="VZ-2020-001086"/>
    <x v="5"/>
    <s v="Eyer"/>
    <x v="359"/>
    <m/>
    <m/>
    <m/>
    <s v="45311100-1"/>
    <m/>
    <n v="3900000"/>
    <x v="2"/>
    <d v="2020-10-06T00:00:00"/>
    <d v="2020-10-20T00:00:00"/>
    <d v="2020-10-23T00:00:00"/>
    <s v="ELPREMO, spol. s.r.o."/>
    <m/>
    <n v="3061779"/>
    <n v="3704753"/>
    <m/>
    <m/>
    <m/>
    <d v="2020-10-23T00:00:00"/>
    <s v="SMLN-2020-618-000098"/>
    <x v="102"/>
    <d v="2020-12-07T00:00:00"/>
    <d v="2021-01-13T00:00:00"/>
  </r>
  <r>
    <d v="2020-10-02T00:00:00"/>
    <s v="VZ-2020-001088"/>
    <x v="3"/>
    <s v="Rosulek"/>
    <x v="360"/>
    <m/>
    <m/>
    <m/>
    <s v="38423000-6"/>
    <s v="2.3.507."/>
    <n v="320000"/>
    <x v="2"/>
    <d v="2020-10-09T00:00:00"/>
    <d v="2020-10-22T00:00:00"/>
    <m/>
    <s v="zrušeno - bez hodnotitlené nabídky, špatně technikcé parametry"/>
    <m/>
    <m/>
    <m/>
    <m/>
    <m/>
    <m/>
    <m/>
    <m/>
    <x v="0"/>
    <d v="2020-12-17T00:00:00"/>
    <m/>
  </r>
  <r>
    <d v="2020-09-29T00:00:00"/>
    <s v="VZ-2020-001094"/>
    <x v="24"/>
    <s v="Hlavinka"/>
    <x v="361"/>
    <m/>
    <m/>
    <m/>
    <s v="72227000-2"/>
    <m/>
    <n v="1500000"/>
    <x v="2"/>
    <d v="2020-11-20T00:00:00"/>
    <d v="2020-12-07T00:00:00"/>
    <d v="2020-12-17T00:00:00"/>
    <s v="GROUWE, s.r.o."/>
    <m/>
    <n v="990000"/>
    <n v="1197900"/>
    <m/>
    <m/>
    <m/>
    <d v="2020-12-17T00:00:00"/>
    <s v="SMLN-2020-612-000127"/>
    <x v="0"/>
    <m/>
    <m/>
  </r>
  <r>
    <d v="2020-10-05T00:00:00"/>
    <s v="VZ-2020-001098"/>
    <x v="7"/>
    <s v="Miklík"/>
    <x v="362"/>
    <m/>
    <m/>
    <m/>
    <s v="72611000-6"/>
    <m/>
    <n v="814049"/>
    <x v="2"/>
    <d v="2020-10-13T00:00:00"/>
    <d v="2020-10-20T00:00:00"/>
    <d v="2020-10-21T00:00:00"/>
    <s v="MERIT GROUP a.s."/>
    <m/>
    <n v="791473"/>
    <n v="957682.33"/>
    <m/>
    <m/>
    <m/>
    <d v="2020-10-21T00:00:00"/>
    <s v="SMLN-2020-612-000110"/>
    <x v="147"/>
    <d v="2020-11-10T00:00:00"/>
    <d v="2023-11-30T00:00:00"/>
  </r>
  <r>
    <d v="2020-10-06T00:00:00"/>
    <s v="VZ-2020-001099"/>
    <x v="3"/>
    <s v="Novák"/>
    <x v="363"/>
    <m/>
    <m/>
    <m/>
    <s v="38434500-1"/>
    <m/>
    <n v="1560000"/>
    <x v="2"/>
    <d v="2020-10-07T00:00:00"/>
    <d v="2020-10-09T00:00:00"/>
    <d v="2020-10-20T00:00:00"/>
    <s v="I.T.A. - Interact s.r.o."/>
    <m/>
    <n v="1638000"/>
    <n v="1981980"/>
    <m/>
    <m/>
    <m/>
    <d v="2020-10-20T00:00:00"/>
    <s v="SMLN-2020-617-000496_x000a_SMLN-2020-612-000109"/>
    <x v="106"/>
    <d v="2020-11-30T00:00:00"/>
    <d v="2020-12-16T00:00:00"/>
  </r>
  <r>
    <d v="2020-09-24T00:00:00"/>
    <s v="VZ-2020-001102"/>
    <x v="5"/>
    <s v="Srovnal"/>
    <x v="364"/>
    <m/>
    <m/>
    <m/>
    <s v="42419510-4 "/>
    <m/>
    <n v="3500000"/>
    <x v="2"/>
    <d v="2020-10-19T00:00:00"/>
    <d v="2020-10-30T00:00:00"/>
    <d v="2020-11-04T00:00:00"/>
    <s v="MERIT GROUP a.s."/>
    <m/>
    <n v="2513797.41"/>
    <n v="3041694.87"/>
    <m/>
    <m/>
    <m/>
    <d v="2020-11-04T00:00:00"/>
    <s v="SMLN-2020-618-000105"/>
    <x v="145"/>
    <d v="2020-12-03T00:00:00"/>
    <d v="2021-01-25T00:00:00"/>
  </r>
  <r>
    <d v="2020-10-08T00:00:00"/>
    <s v="VZ-2020-001119"/>
    <x v="3"/>
    <s v="Rosulek"/>
    <x v="365"/>
    <m/>
    <m/>
    <m/>
    <s v="38341500-2"/>
    <s v="2.3.461."/>
    <n v="930000"/>
    <x v="2"/>
    <d v="2020-10-15T00:00:00"/>
    <d v="2020-10-23T00:00:00"/>
    <d v="2020-11-30T00:00:00"/>
    <s v="CANBERRA-PACKARD, s.r.o."/>
    <m/>
    <n v="534600"/>
    <n v="646866"/>
    <m/>
    <m/>
    <m/>
    <d v="2020-11-30T00:00:00"/>
    <s v="SMLN-2020-617-000541_x000a_SMLN-2020-612-000122"/>
    <x v="148"/>
    <d v="2021-01-05T00:00:00"/>
    <d v="2021-03-08T00:00:00"/>
  </r>
  <r>
    <d v="2020-09-14T00:00:00"/>
    <s v="VZ-2020-001120"/>
    <x v="5"/>
    <s v="Srovnal"/>
    <x v="366"/>
    <m/>
    <m/>
    <m/>
    <s v="50700000-2"/>
    <m/>
    <n v="5160000"/>
    <x v="0"/>
    <d v="2020-10-19T00:00:00"/>
    <d v="2020-12-02T00:00:00"/>
    <m/>
    <s v="Výtahy-Elektro Žižka spol. s r.o.                               "/>
    <m/>
    <n v="4379500"/>
    <n v="5299195"/>
    <m/>
    <m/>
    <m/>
    <m/>
    <m/>
    <x v="0"/>
    <m/>
    <m/>
  </r>
  <r>
    <d v="2020-10-07T00:00:00"/>
    <s v="VZ-2020-001142"/>
    <x v="5"/>
    <s v="Srovnal"/>
    <x v="367"/>
    <m/>
    <m/>
    <m/>
    <s v="50532400-7"/>
    <m/>
    <n v="5600000"/>
    <x v="0"/>
    <d v="2020-10-23T00:00:00"/>
    <d v="2020-11-27T00:00:00"/>
    <d v="2020-12-17T00:00:00"/>
    <s v="ELMAR group s.r.o."/>
    <m/>
    <n v="4143832"/>
    <n v="5014037"/>
    <m/>
    <m/>
    <m/>
    <d v="2020-12-17T00:00:00"/>
    <s v="SMLN-2020-618-000121"/>
    <x v="146"/>
    <d v="2021-01-06T00:00:00"/>
    <d v="2021-02-10T00:00:00"/>
  </r>
  <r>
    <d v="2020-10-16T00:00:00"/>
    <s v="VZ-2020-001143"/>
    <x v="10"/>
    <s v="Kadlec"/>
    <x v="368"/>
    <m/>
    <m/>
    <m/>
    <s v="45453100-8"/>
    <m/>
    <n v="2700000"/>
    <x v="2"/>
    <d v="2020-10-23T00:00:00"/>
    <d v="2020-11-03T00:00:00"/>
    <d v="2020-11-23T00:00:00"/>
    <s v="SEADON, s.r.o."/>
    <m/>
    <n v="1925459.74"/>
    <n v="2329806.29"/>
    <m/>
    <m/>
    <m/>
    <d v="2020-11-23T00:00:00"/>
    <s v="SMLN-2020-618-000113"/>
    <x v="0"/>
    <m/>
    <m/>
  </r>
  <r>
    <d v="2020-10-08T00:00:00"/>
    <s v="VZ-2020-001150"/>
    <x v="3"/>
    <s v="Rosulek"/>
    <x v="369"/>
    <m/>
    <m/>
    <m/>
    <s v="38950000-9"/>
    <m/>
    <n v="284000"/>
    <x v="2"/>
    <d v="2020-10-21T00:00:00"/>
    <d v="2020-10-30T00:00:00"/>
    <m/>
    <s v="zrušeno - bez nabídky"/>
    <m/>
    <m/>
    <m/>
    <m/>
    <m/>
    <m/>
    <m/>
    <m/>
    <x v="0"/>
    <d v="2020-10-30T00:00:00"/>
    <m/>
  </r>
  <r>
    <d v="2020-11-30T00:00:00"/>
    <s v="VZ-2020-001153"/>
    <x v="3"/>
    <s v="Rosulek"/>
    <x v="370"/>
    <m/>
    <m/>
    <m/>
    <s v="38000000-5"/>
    <s v="2.3.482"/>
    <n v="1282000"/>
    <x v="2"/>
    <d v="2020-12-02T00:00:00"/>
    <d v="2020-12-18T00:00:00"/>
    <m/>
    <m/>
    <m/>
    <m/>
    <m/>
    <m/>
    <m/>
    <m/>
    <m/>
    <m/>
    <x v="0"/>
    <m/>
    <m/>
  </r>
  <r>
    <d v="2020-11-23T00:00:00"/>
    <s v="VZ-2020-001154"/>
    <x v="3"/>
    <s v="Rosulek"/>
    <x v="371"/>
    <m/>
    <m/>
    <m/>
    <s v="38000000-5"/>
    <s v="2.2.273"/>
    <n v="330000"/>
    <x v="2"/>
    <d v="2020-11-25T00:00:00"/>
    <d v="2020-12-09T00:00:00"/>
    <m/>
    <m/>
    <m/>
    <m/>
    <m/>
    <m/>
    <m/>
    <m/>
    <m/>
    <m/>
    <x v="0"/>
    <m/>
    <m/>
  </r>
  <r>
    <d v="2020-11-26T00:00:00"/>
    <s v="VZ-2020-001155"/>
    <x v="3"/>
    <s v="Rosulek"/>
    <x v="372"/>
    <m/>
    <m/>
    <m/>
    <s v="33155000-1"/>
    <s v="2.3.464"/>
    <n v="727000"/>
    <x v="2"/>
    <d v="2020-12-01T00:00:00"/>
    <d v="2020-12-11T00:00:00"/>
    <m/>
    <m/>
    <m/>
    <m/>
    <m/>
    <m/>
    <m/>
    <m/>
    <m/>
    <m/>
    <x v="0"/>
    <m/>
    <m/>
  </r>
  <r>
    <d v="2020-10-19T00:00:00"/>
    <s v="VZ-2020-001157"/>
    <x v="1"/>
    <s v="Ondráčková"/>
    <x v="373"/>
    <n v="1"/>
    <s v="ACTRAPID PENFILL"/>
    <m/>
    <s v="33615100-5"/>
    <m/>
    <n v="3271950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x v="1"/>
    <s v="Ondráčková"/>
    <x v="373"/>
    <n v="2"/>
    <s v="HUMULIN R"/>
    <m/>
    <s v="33615100-5"/>
    <m/>
    <n v="1306500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x v="1"/>
    <s v="Ondráčková"/>
    <x v="373"/>
    <n v="3"/>
    <s v="HUMALOG"/>
    <m/>
    <s v="33615100-5"/>
    <m/>
    <n v="1129930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x v="1"/>
    <s v="Ondráčková"/>
    <x v="373"/>
    <n v="4"/>
    <s v="FIASP"/>
    <m/>
    <s v="33615100-5"/>
    <m/>
    <n v="1966708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x v="1"/>
    <s v="Ondráčková"/>
    <x v="373"/>
    <n v="5"/>
    <s v="NOVORAPID"/>
    <m/>
    <s v="33615100-5"/>
    <m/>
    <n v="10607165"/>
    <x v="0"/>
    <d v="2020-10-23T00:00:00"/>
    <d v="2020-12-23T00:00:00"/>
    <m/>
    <m/>
    <m/>
    <m/>
    <m/>
    <m/>
    <m/>
    <m/>
    <m/>
    <m/>
    <x v="0"/>
    <m/>
    <m/>
  </r>
  <r>
    <d v="2020-10-19T00:00:00"/>
    <s v="VZ-2020-001157"/>
    <x v="1"/>
    <s v="Ondráčková"/>
    <x v="373"/>
    <n v="6"/>
    <s v="APIDRA"/>
    <m/>
    <s v="33615100-5"/>
    <m/>
    <n v="339465"/>
    <x v="0"/>
    <d v="2020-10-23T00:00:00"/>
    <d v="2020-12-23T00:00:00"/>
    <m/>
    <m/>
    <m/>
    <m/>
    <m/>
    <m/>
    <m/>
    <m/>
    <m/>
    <m/>
    <x v="0"/>
    <m/>
    <m/>
  </r>
  <r>
    <d v="2020-10-19T00:00:00"/>
    <s v="VZ-2020-001158"/>
    <x v="1"/>
    <s v="Ondráčková"/>
    <x v="374"/>
    <n v="1"/>
    <s v="SEBELIPASA ALFA"/>
    <m/>
    <s v="24965000-6; 33621100-0"/>
    <m/>
    <n v="125530696"/>
    <x v="0"/>
    <d v="2020-10-23T00:00:00"/>
    <d v="2020-12-28T00:00:00"/>
    <m/>
    <m/>
    <m/>
    <m/>
    <m/>
    <m/>
    <m/>
    <m/>
    <m/>
    <m/>
    <x v="0"/>
    <m/>
    <m/>
  </r>
  <r>
    <d v="2020-10-19T00:00:00"/>
    <s v="VZ-2020-001158"/>
    <x v="1"/>
    <s v="Ondráčková"/>
    <x v="374"/>
    <n v="2"/>
    <s v="SELEXIPAG "/>
    <m/>
    <s v="24965000-6; 33621100-0"/>
    <m/>
    <n v="32395073"/>
    <x v="0"/>
    <d v="2020-10-23T00:00:00"/>
    <d v="2020-12-28T00:00:00"/>
    <m/>
    <m/>
    <m/>
    <m/>
    <m/>
    <m/>
    <m/>
    <m/>
    <m/>
    <m/>
    <x v="0"/>
    <m/>
    <m/>
  </r>
  <r>
    <d v="2020-10-20T00:00:00"/>
    <s v="VZ-2020-001159"/>
    <x v="0"/>
    <s v="Dočkalová"/>
    <x v="375"/>
    <m/>
    <m/>
    <m/>
    <s v="33140000-3"/>
    <m/>
    <n v="1999006"/>
    <x v="2"/>
    <d v="2020-10-20T00:00:00"/>
    <d v="2020-10-26T00:00:00"/>
    <d v="2020-10-29T00:00:00"/>
    <s v="Pro-Charitu s.r.o."/>
    <m/>
    <n v="1999006"/>
    <n v="2418797.2599999998"/>
    <m/>
    <m/>
    <m/>
    <d v="2020-10-29T00:00:00"/>
    <s v="SMLN-2020-617-000510"/>
    <x v="104"/>
    <d v="2020-11-23T00:00:00"/>
    <d v="2020-12-01T00:00:00"/>
  </r>
  <r>
    <d v="2020-10-13T00:00:00"/>
    <s v="VZ-2020-001164"/>
    <x v="3"/>
    <s v="Rosulek"/>
    <x v="376"/>
    <m/>
    <m/>
    <m/>
    <s v="38950000-9"/>
    <m/>
    <n v="2010000"/>
    <x v="1"/>
    <d v="2020-10-30T00:00:00"/>
    <d v="2020-11-18T00:00:00"/>
    <m/>
    <m/>
    <m/>
    <m/>
    <m/>
    <m/>
    <m/>
    <m/>
    <m/>
    <m/>
    <x v="0"/>
    <m/>
    <m/>
  </r>
  <r>
    <d v="2020-10-21T00:00:00"/>
    <s v="VZ-2020-001168"/>
    <x v="5"/>
    <s v="Eyer"/>
    <x v="377"/>
    <m/>
    <m/>
    <m/>
    <s v="50712000-9"/>
    <m/>
    <n v="1100000"/>
    <x v="2"/>
    <d v="2020-10-23T00:00:00"/>
    <d v="2020-11-10T00:00:00"/>
    <d v="2020-11-18T00:00:00"/>
    <s v="MIZ Olomouc, s.r.o."/>
    <m/>
    <n v="1024800"/>
    <n v="1240008"/>
    <m/>
    <m/>
    <m/>
    <d v="2020-11-18T00:00:00"/>
    <s v="SMLN-2020-618-000111"/>
    <x v="138"/>
    <d v="2020-12-09T00:00:00"/>
    <d v="2021-02-15T00:00:00"/>
  </r>
  <r>
    <d v="2020-10-13T00:00:00"/>
    <s v="VZ-2020-001170"/>
    <x v="9"/>
    <s v="Langer"/>
    <x v="378"/>
    <m/>
    <m/>
    <m/>
    <s v="45453000-7"/>
    <s v="1.2.70."/>
    <n v="40000000"/>
    <x v="1"/>
    <d v="2020-11-06T00:00:00"/>
    <d v="2020-12-02T00:00:00"/>
    <d v="2020-12-18T00:00:00"/>
    <s v="OHL ŽS, a.s."/>
    <m/>
    <n v="39893319.039999999"/>
    <n v="48270916.038399994"/>
    <m/>
    <m/>
    <m/>
    <d v="2020-12-18T00:00:00"/>
    <s v="SMLN-2020-618-000123"/>
    <x v="0"/>
    <m/>
    <m/>
  </r>
  <r>
    <d v="2020-10-27T00:00:00"/>
    <s v="VZ-2020-001178"/>
    <x v="0"/>
    <s v="Dočkalová"/>
    <x v="379"/>
    <m/>
    <m/>
    <m/>
    <s v="33181200-4"/>
    <m/>
    <n v="802000"/>
    <x v="2"/>
    <d v="2020-10-27T00:00:00"/>
    <d v="2020-11-03T00:00:00"/>
    <d v="2020-11-03T00:00:00"/>
    <s v="Medizone s.r.o."/>
    <m/>
    <n v="800120"/>
    <n v="968145.2"/>
    <m/>
    <m/>
    <m/>
    <d v="2020-11-03T00:00:00"/>
    <s v="SMLN-2020-617-000518"/>
    <x v="101"/>
    <d v="2020-11-25T00:00:00"/>
    <d v="2020-12-04T00:00:00"/>
  </r>
  <r>
    <d v="2020-10-16T00:00:00"/>
    <s v="VZ-2020-001180"/>
    <x v="9"/>
    <s v="Spáčil"/>
    <x v="380"/>
    <m/>
    <m/>
    <m/>
    <s v="45215100-8"/>
    <s v="1.3.25."/>
    <n v="106000000"/>
    <x v="0"/>
    <d v="2020-11-02T00:00:00"/>
    <d v="2021-01-11T00:00:00"/>
    <m/>
    <m/>
    <m/>
    <m/>
    <m/>
    <m/>
    <m/>
    <m/>
    <m/>
    <m/>
    <x v="0"/>
    <m/>
    <m/>
  </r>
  <r>
    <s v="opakovaná VZ"/>
    <s v="VZ-2020-001187"/>
    <x v="5"/>
    <s v="Srovnal"/>
    <x v="381"/>
    <m/>
    <m/>
    <m/>
    <s v="45261910-6"/>
    <m/>
    <n v="476720"/>
    <x v="2"/>
    <d v="2020-11-04T00:00:00"/>
    <d v="2020-11-13T00:00:00"/>
    <d v="2020-11-18T00:00:00"/>
    <s v="SEADON s.r.o."/>
    <m/>
    <n v="506218.61"/>
    <n v="612524.52"/>
    <m/>
    <m/>
    <m/>
    <d v="2020-11-18T00:00:00"/>
    <s v="SMLN-2020-618-000110"/>
    <x v="0"/>
    <m/>
    <m/>
  </r>
  <r>
    <d v="2020-10-30T00:00:00"/>
    <s v="VZ-2020-001192"/>
    <x v="7"/>
    <s v="Miklík"/>
    <x v="382"/>
    <m/>
    <m/>
    <m/>
    <s v="48730000-4"/>
    <s v="3.3.1."/>
    <n v="1350000"/>
    <x v="2"/>
    <d v="2020-11-03T00:00:00"/>
    <d v="2020-11-13T00:00:00"/>
    <d v="2020-11-16T00:00:00"/>
    <s v="MERIT group a.s."/>
    <m/>
    <n v="1057500"/>
    <n v="1279575"/>
    <m/>
    <m/>
    <m/>
    <d v="2020-11-16T00:00:00"/>
    <s v="SMLN-2020-617-000530"/>
    <x v="149"/>
    <d v="2020-12-14T00:00:00"/>
    <d v="2021-01-03T00:00:00"/>
  </r>
  <r>
    <d v="2020-10-29T00:00:00"/>
    <s v="VZ-2020-001195"/>
    <x v="0"/>
    <s v="Dočkalová"/>
    <x v="383"/>
    <n v="1"/>
    <s v="Chirurgické nástroje dle katalogového čísla výrobce AESCULAP AG"/>
    <m/>
    <s v="33162200-5"/>
    <m/>
    <n v="816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x v="0"/>
    <s v="Dočkalová"/>
    <x v="383"/>
    <n v="2"/>
    <s v="Chirurgické nástroje dle katalogového čísla výrobce MEDIN, a.s., Allgaier instrumente GmbH"/>
    <m/>
    <s v="33162200-5"/>
    <m/>
    <n v="3659405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x v="0"/>
    <s v="Dočkalová"/>
    <x v="383"/>
    <n v="3"/>
    <s v="Chirurgické nástroje dle katalogového čísla výrobce KATENA PRODUCTS, INC."/>
    <m/>
    <s v="33162200-5"/>
    <m/>
    <n v="26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x v="0"/>
    <s v="Dočkalová"/>
    <x v="383"/>
    <n v="4"/>
    <s v="Chirurgické nástroje dle katalogového čísla výrobce Tekno-Medical, GmbH"/>
    <m/>
    <s v="33162200-5"/>
    <m/>
    <n v="72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x v="0"/>
    <s v="Dočkalová"/>
    <x v="383"/>
    <n v="5"/>
    <s v="Chirurgické nástroje dle katalogového čísla výrobce ASANUS Medizintechnik GmbH"/>
    <m/>
    <s v="33162200-5"/>
    <m/>
    <n v="105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x v="0"/>
    <s v="Dočkalová"/>
    <x v="383"/>
    <n v="6"/>
    <s v="Chirurgické nástroje dle katalogového čísla výrobce Bausch &amp; Lomb, GmbH"/>
    <m/>
    <s v="33162200-5"/>
    <m/>
    <n v="337000"/>
    <x v="0"/>
    <d v="2020-11-09T00:00:00"/>
    <d v="2021-01-04T00:00:00"/>
    <m/>
    <m/>
    <m/>
    <m/>
    <m/>
    <m/>
    <m/>
    <m/>
    <m/>
    <m/>
    <x v="0"/>
    <m/>
    <m/>
  </r>
  <r>
    <d v="2020-10-29T00:00:00"/>
    <s v="VZ-2020-001195"/>
    <x v="0"/>
    <s v="Dočkalová"/>
    <x v="383"/>
    <n v="7"/>
    <s v="Chirurgické nástroje dle katalogového čísla výrobce KARL STORZ GmbH, SPIGGLE &amp; THEIS Medizintechnik GmbH, MEDICON eG"/>
    <m/>
    <s v="33162200-5"/>
    <m/>
    <n v="330000"/>
    <x v="0"/>
    <d v="2020-11-09T00:00:00"/>
    <d v="2021-01-04T00:00:00"/>
    <m/>
    <m/>
    <m/>
    <m/>
    <m/>
    <m/>
    <m/>
    <m/>
    <m/>
    <m/>
    <x v="0"/>
    <m/>
    <m/>
  </r>
  <r>
    <d v="2020-10-27T00:00:00"/>
    <s v="VZ-2020-001200"/>
    <x v="7"/>
    <s v="Miklík"/>
    <x v="384"/>
    <m/>
    <m/>
    <m/>
    <s v="48823000-3"/>
    <s v="3.2.25."/>
    <n v="1035000"/>
    <x v="0"/>
    <d v="2020-11-13T00:00:00"/>
    <d v="2020-12-31T00:00:00"/>
    <m/>
    <m/>
    <m/>
    <m/>
    <m/>
    <m/>
    <m/>
    <m/>
    <m/>
    <m/>
    <x v="0"/>
    <m/>
    <m/>
  </r>
  <r>
    <d v="2020-12-03T00:00:00"/>
    <s v="VZ-2020-001209"/>
    <x v="3"/>
    <s v="Rosulek"/>
    <x v="385"/>
    <n v="1"/>
    <s v="Laboratorní váha pro Ústav mikrobiologie"/>
    <m/>
    <s v="38311000-9"/>
    <s v="2.3.422."/>
    <n v="124000"/>
    <x v="2"/>
    <m/>
    <m/>
    <m/>
    <m/>
    <m/>
    <m/>
    <m/>
    <m/>
    <m/>
    <m/>
    <m/>
    <m/>
    <x v="0"/>
    <m/>
    <m/>
  </r>
  <r>
    <d v="2020-12-03T00:00:00"/>
    <s v="VZ-2020-001209"/>
    <x v="3"/>
    <s v="Rosulek"/>
    <x v="385"/>
    <n v="2"/>
    <s v="Laboratorní váha pro Oddělení klinické biochemie"/>
    <m/>
    <s v="38311000-9"/>
    <s v="2.3.399."/>
    <n v="132000"/>
    <x v="2"/>
    <m/>
    <m/>
    <m/>
    <m/>
    <m/>
    <m/>
    <m/>
    <m/>
    <m/>
    <m/>
    <m/>
    <m/>
    <x v="0"/>
    <m/>
    <m/>
  </r>
  <r>
    <d v="2020-12-03T00:00:00"/>
    <s v="VZ-2020-001209"/>
    <x v="3"/>
    <s v="Rosulek"/>
    <x v="385"/>
    <n v="3"/>
    <s v="Laboratorní váha ke gravimetrické přípravě cytostatik pro Lékárnu"/>
    <m/>
    <s v="38311000-9"/>
    <s v="2.3.392."/>
    <n v="157000"/>
    <x v="2"/>
    <m/>
    <m/>
    <m/>
    <m/>
    <m/>
    <m/>
    <m/>
    <m/>
    <m/>
    <m/>
    <m/>
    <m/>
    <x v="0"/>
    <m/>
    <m/>
  </r>
  <r>
    <d v="2020-12-03T00:00:00"/>
    <s v="VZ-2020-001209"/>
    <x v="3"/>
    <s v="Rosulek"/>
    <x v="385"/>
    <n v="4"/>
    <s v="Laboratorní váha pro přípravu paenterální výživy pro Lékárnu"/>
    <m/>
    <s v="38311000-9"/>
    <s v="2.3.469."/>
    <n v="82000"/>
    <x v="2"/>
    <m/>
    <m/>
    <m/>
    <m/>
    <m/>
    <m/>
    <m/>
    <m/>
    <m/>
    <m/>
    <m/>
    <m/>
    <x v="0"/>
    <m/>
    <m/>
  </r>
  <r>
    <d v="2020-12-03T00:00:00"/>
    <s v="VZ-2020-001209"/>
    <x v="3"/>
    <s v="Rosulek"/>
    <x v="385"/>
    <n v="5"/>
    <s v="Laboratorní váha pro přípravu sterilních léčiv pro Lékárnu"/>
    <m/>
    <s v="38311000-9"/>
    <s v="2.3.470."/>
    <n v="74000"/>
    <x v="2"/>
    <m/>
    <m/>
    <m/>
    <m/>
    <m/>
    <m/>
    <m/>
    <m/>
    <m/>
    <m/>
    <m/>
    <m/>
    <x v="0"/>
    <m/>
    <m/>
  </r>
  <r>
    <d v="2020-11-11T00:00:00"/>
    <s v="VZ-2020-001222"/>
    <x v="7"/>
    <s v="Oravec"/>
    <x v="386"/>
    <m/>
    <m/>
    <m/>
    <s v="30121100-4"/>
    <m/>
    <n v="813800"/>
    <x v="2"/>
    <d v="2020-11-16T00:00:00"/>
    <d v="2020-12-02T00:00:00"/>
    <d v="2020-12-21T00:00:00"/>
    <s v="Can 21 s.r.o."/>
    <m/>
    <n v="796847.4"/>
    <n v="964185.35"/>
    <m/>
    <m/>
    <m/>
    <d v="2020-12-21T00:00:00"/>
    <s v="SMLN-2020-617-000585"/>
    <x v="0"/>
    <m/>
    <m/>
  </r>
  <r>
    <d v="2020-11-11T00:00:00"/>
    <s v="VZ-2020-001225"/>
    <x v="19"/>
    <s v="Svozil"/>
    <x v="387"/>
    <m/>
    <m/>
    <m/>
    <s v="65100000-4"/>
    <m/>
    <n v="400000"/>
    <x v="2"/>
    <d v="2020-11-16T00:00:00"/>
    <d v="2020-11-27T00:00:00"/>
    <d v="2020-11-30T00:00:00"/>
    <s v="qzp, s.r.o."/>
    <m/>
    <n v="514500"/>
    <n v="622545"/>
    <m/>
    <m/>
    <m/>
    <d v="2020-11-30T00:00:00"/>
    <s v="SMLN-2020-612-000119"/>
    <x v="137"/>
    <d v="2020-12-22T00:00:00"/>
    <d v="2029-04-03T00:00:00"/>
  </r>
  <r>
    <d v="2020-11-12T00:00:00"/>
    <s v="VZ-2020-001228"/>
    <x v="1"/>
    <s v="Ondráčková"/>
    <x v="388"/>
    <n v="1"/>
    <s v="MONOHYDRÁT CYKLOFOSFAMIDU"/>
    <m/>
    <s v="33652000-5"/>
    <m/>
    <n v="1887318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x v="1"/>
    <s v="Ondráčková"/>
    <x v="388"/>
    <n v="2"/>
    <s v="MELFALAN "/>
    <m/>
    <s v="33652000-5"/>
    <m/>
    <n v="3638257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x v="1"/>
    <s v="Ondráčková"/>
    <x v="388"/>
    <n v="3"/>
    <s v="IFOSFAMID "/>
    <m/>
    <s v="33652000-5"/>
    <m/>
    <n v="3777877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x v="1"/>
    <s v="Ondráčková"/>
    <x v="388"/>
    <n v="4"/>
    <s v="BUSULFAN"/>
    <m/>
    <s v="33652000-5"/>
    <m/>
    <n v="1920000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x v="1"/>
    <s v="Ondráčková"/>
    <x v="388"/>
    <n v="5"/>
    <s v="THIOTEPA"/>
    <m/>
    <s v="33652000-5"/>
    <m/>
    <n v="1622291"/>
    <x v="0"/>
    <d v="2020-12-28T00:00:00"/>
    <d v="2021-01-29T00:00:00"/>
    <m/>
    <m/>
    <m/>
    <m/>
    <m/>
    <m/>
    <m/>
    <m/>
    <m/>
    <m/>
    <x v="0"/>
    <m/>
    <m/>
  </r>
  <r>
    <d v="2020-11-12T00:00:00"/>
    <s v="VZ-2020-001228"/>
    <x v="1"/>
    <s v="Ondráčková"/>
    <x v="388"/>
    <n v="6"/>
    <s v="KARMUSTIN"/>
    <m/>
    <s v="33652000-5"/>
    <m/>
    <n v="2338034"/>
    <x v="0"/>
    <d v="2020-12-28T00:00:00"/>
    <d v="2021-01-29T00:00:00"/>
    <m/>
    <m/>
    <m/>
    <m/>
    <m/>
    <m/>
    <m/>
    <m/>
    <m/>
    <m/>
    <x v="0"/>
    <m/>
    <m/>
  </r>
  <r>
    <d v="2020-11-12T00:00:00"/>
    <s v="VZ-2020-001229"/>
    <x v="1"/>
    <s v="Ondráčková"/>
    <x v="389"/>
    <n v="1"/>
    <s v="AMPICILIN A INHIBITOR BETA-LAKTAMASY "/>
    <m/>
    <s v="33651100-9"/>
    <m/>
    <n v="2465378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x v="1"/>
    <s v="Ondráčková"/>
    <x v="389"/>
    <n v="2"/>
    <s v="PIPERACILIN A INHIBITOR BETA-LAKTAMASY "/>
    <m/>
    <s v="33651100-9"/>
    <m/>
    <n v="7121640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x v="1"/>
    <s v="Ondráčková"/>
    <x v="389"/>
    <n v="3"/>
    <s v="CEFTAZIDIM "/>
    <m/>
    <s v="33651100-9"/>
    <m/>
    <n v="2157101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x v="1"/>
    <s v="Ondráčková"/>
    <x v="389"/>
    <n v="4"/>
    <s v="TOBRAMYCIN "/>
    <m/>
    <s v="33651100-9"/>
    <m/>
    <n v="4292816"/>
    <x v="0"/>
    <d v="2020-12-04T00:00:00"/>
    <d v="2021-01-06T00:00:00"/>
    <m/>
    <s v="zrušeno - úpravit zadání "/>
    <m/>
    <m/>
    <m/>
    <m/>
    <m/>
    <m/>
    <m/>
    <m/>
    <x v="0"/>
    <d v="2021-01-14T00:00:00"/>
    <s v="29.12.2020 zrušeno"/>
  </r>
  <r>
    <d v="2020-11-12T00:00:00"/>
    <s v="VZ-2020-001229"/>
    <x v="1"/>
    <s v="Ondráčková"/>
    <x v="389"/>
    <n v="5"/>
    <s v="CIPROFLOXACIN I.V."/>
    <m/>
    <s v="33651100-9"/>
    <m/>
    <n v="1789080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x v="1"/>
    <s v="Ondráčková"/>
    <x v="389"/>
    <n v="6"/>
    <s v="KOLISTIN "/>
    <m/>
    <s v="33651100-9"/>
    <m/>
    <n v="1317252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x v="1"/>
    <s v="Ondráčková"/>
    <x v="389"/>
    <n v="7"/>
    <s v="KLARITHROMYCIN INF."/>
    <m/>
    <s v="33651100-9"/>
    <m/>
    <n v="5475600"/>
    <x v="0"/>
    <d v="2020-12-04T00:00:00"/>
    <d v="2021-01-06T00:00:00"/>
    <m/>
    <m/>
    <m/>
    <m/>
    <m/>
    <m/>
    <m/>
    <m/>
    <m/>
    <m/>
    <x v="0"/>
    <m/>
    <m/>
  </r>
  <r>
    <d v="2020-11-12T00:00:00"/>
    <s v="VZ-2020-001229"/>
    <x v="1"/>
    <s v="Ondráčková"/>
    <x v="389"/>
    <n v="8"/>
    <s v="LINEZOLID  SANDOZ"/>
    <m/>
    <s v="33651100-9"/>
    <m/>
    <n v="927765"/>
    <x v="0"/>
    <d v="2020-12-04T00:00:00"/>
    <d v="2021-01-06T00:00:00"/>
    <m/>
    <s v="zrušeno - úpravit zadání "/>
    <m/>
    <m/>
    <m/>
    <m/>
    <m/>
    <m/>
    <m/>
    <m/>
    <x v="0"/>
    <d v="2021-01-14T00:00:00"/>
    <s v="23.12.2020 zrušeno"/>
  </r>
  <r>
    <d v="2020-11-12T00:00:00"/>
    <s v="VZ-2020-001230"/>
    <x v="1"/>
    <s v="Ondráčková"/>
    <x v="390"/>
    <n v="1"/>
    <s v="AIRFLUSAN"/>
    <m/>
    <s v="33670000-7"/>
    <m/>
    <n v="1551621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x v="1"/>
    <s v="Ondráčková"/>
    <x v="390"/>
    <n v="2"/>
    <s v="FULLHALE"/>
    <m/>
    <s v="33670000-7"/>
    <m/>
    <n v="419556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x v="1"/>
    <s v="Ondráčková"/>
    <x v="390"/>
    <n v="3"/>
    <s v="SERETIDE"/>
    <m/>
    <s v="33670000-7"/>
    <m/>
    <n v="1811917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x v="1"/>
    <s v="Ondráčková"/>
    <x v="390"/>
    <n v="4"/>
    <s v="SYMBICORT"/>
    <m/>
    <s v="33670000-7"/>
    <m/>
    <n v="7429475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x v="1"/>
    <s v="Ondráčková"/>
    <x v="390"/>
    <n v="5"/>
    <s v="VILANTEROL A FLUTIKASON-FUROÁT "/>
    <m/>
    <s v="33670000-7"/>
    <m/>
    <n v="4344271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x v="1"/>
    <s v="Ondráčková"/>
    <x v="390"/>
    <n v="6"/>
    <s v="FORMOTEROL A BEKLOMETASON "/>
    <m/>
    <s v="33670000-7"/>
    <m/>
    <n v="2837161"/>
    <x v="0"/>
    <d v="2020-12-04T00:00:00"/>
    <d v="2021-01-06T00:00:00"/>
    <m/>
    <m/>
    <m/>
    <m/>
    <m/>
    <m/>
    <m/>
    <m/>
    <m/>
    <m/>
    <x v="0"/>
    <m/>
    <m/>
  </r>
  <r>
    <d v="2020-11-12T00:00:00"/>
    <s v="VZ-2020-001230"/>
    <x v="1"/>
    <s v="Ondráčková"/>
    <x v="390"/>
    <n v="7"/>
    <s v="FORMOTEROL A FLUTIKASON"/>
    <m/>
    <s v="33670000-7"/>
    <m/>
    <n v="2236892"/>
    <x v="0"/>
    <d v="2020-12-04T00:00:00"/>
    <d v="2021-01-06T00:00:00"/>
    <m/>
    <m/>
    <m/>
    <m/>
    <m/>
    <m/>
    <m/>
    <m/>
    <m/>
    <m/>
    <x v="0"/>
    <m/>
    <m/>
  </r>
  <r>
    <d v="2020-11-03T00:00:00"/>
    <s v="VZ-2020-001231"/>
    <x v="5"/>
    <s v="Srovnal"/>
    <x v="391"/>
    <m/>
    <m/>
    <m/>
    <s v="50411100-0"/>
    <m/>
    <n v="3000000"/>
    <x v="0"/>
    <d v="2020-11-26T00:00:00"/>
    <d v="2020-12-28T00:00:00"/>
    <m/>
    <s v="zrušeno - bez nabídky"/>
    <m/>
    <m/>
    <m/>
    <m/>
    <m/>
    <m/>
    <m/>
    <m/>
    <x v="0"/>
    <d v="2020-12-29T00:00:00"/>
    <m/>
  </r>
  <r>
    <s v="opakovaná VZ"/>
    <s v="VZ-2020-001239"/>
    <x v="0"/>
    <s v="Dočkalová"/>
    <x v="392"/>
    <m/>
    <m/>
    <m/>
    <s v="33140000-3"/>
    <m/>
    <n v="2116000"/>
    <x v="1"/>
    <d v="2020-11-23T00:00:00"/>
    <d v="2020-12-09T00:00:00"/>
    <m/>
    <s v="LHL s.r.o."/>
    <m/>
    <n v="2115360"/>
    <n v="2559585.6"/>
    <m/>
    <m/>
    <m/>
    <m/>
    <m/>
    <x v="0"/>
    <m/>
    <m/>
  </r>
  <r>
    <d v="2020-11-16T00:00:00"/>
    <s v="VZ-2020-001240"/>
    <x v="19"/>
    <s v="Svozil"/>
    <x v="393"/>
    <m/>
    <m/>
    <m/>
    <s v="45332200-5"/>
    <m/>
    <n v="1350000"/>
    <x v="2"/>
    <d v="2020-11-23T00:00:00"/>
    <d v="2020-12-03T00:00:00"/>
    <d v="2020-12-16T00:00:00"/>
    <s v="LB 2000, s.r.o."/>
    <m/>
    <n v="458568"/>
    <n v="554868"/>
    <m/>
    <m/>
    <m/>
    <d v="2020-12-16T00:00:00"/>
    <s v="SMLN-2020-618-000119"/>
    <x v="0"/>
    <m/>
    <m/>
  </r>
  <r>
    <d v="2020-11-13T00:00:00"/>
    <s v="VZ-2020-001242"/>
    <x v="5"/>
    <s v="Srovnal"/>
    <x v="394"/>
    <m/>
    <m/>
    <m/>
    <s v="42512200-0"/>
    <s v="4.2.148, 149"/>
    <n v="720000"/>
    <x v="2"/>
    <d v="2020-11-23T00:00:00"/>
    <d v="2020-12-03T00:00:00"/>
    <d v="2020-12-08T00:00:00"/>
    <s v="Air - Klimont s.r.o."/>
    <m/>
    <n v="662355"/>
    <n v="801449"/>
    <m/>
    <m/>
    <m/>
    <d v="2020-12-09T00:00:00"/>
    <s v="SMLN-2020-618-000116"/>
    <x v="0"/>
    <m/>
    <m/>
  </r>
  <r>
    <s v="opakovaná VZ"/>
    <s v="VZ-2020-001248"/>
    <x v="3"/>
    <s v="Hajdúch"/>
    <x v="395"/>
    <m/>
    <m/>
    <m/>
    <s v="38000000-5"/>
    <m/>
    <n v="10100000"/>
    <x v="0"/>
    <d v="2020-11-24T00:00:00"/>
    <d v="2020-12-28T00:00:00"/>
    <m/>
    <m/>
    <m/>
    <m/>
    <m/>
    <m/>
    <m/>
    <m/>
    <m/>
    <m/>
    <x v="0"/>
    <m/>
    <m/>
  </r>
  <r>
    <d v="2020-11-20T00:00:00"/>
    <s v="VZ-2020-001251"/>
    <x v="1"/>
    <s v="Ondráčková"/>
    <x v="396"/>
    <n v="1"/>
    <s v="TAMOXIFEN"/>
    <m/>
    <s v="33652200-7"/>
    <m/>
    <n v="1082451"/>
    <x v="0"/>
    <m/>
    <m/>
    <m/>
    <m/>
    <m/>
    <m/>
    <m/>
    <m/>
    <m/>
    <m/>
    <m/>
    <m/>
    <x v="0"/>
    <m/>
    <m/>
  </r>
  <r>
    <d v="2020-11-20T00:00:00"/>
    <s v="VZ-2020-001251"/>
    <x v="1"/>
    <s v="Ondráčková"/>
    <x v="396"/>
    <n v="2"/>
    <s v="FULVESTRANT"/>
    <m/>
    <s v="33652200-7"/>
    <m/>
    <n v="7967688"/>
    <x v="0"/>
    <m/>
    <m/>
    <m/>
    <m/>
    <m/>
    <m/>
    <m/>
    <m/>
    <m/>
    <m/>
    <m/>
    <m/>
    <x v="0"/>
    <m/>
    <m/>
  </r>
  <r>
    <d v="2020-11-24T00:00:00"/>
    <s v="VZ-2020-001257"/>
    <x v="0"/>
    <s v="Valtová"/>
    <x v="397"/>
    <m/>
    <m/>
    <m/>
    <s v="33140000-3"/>
    <m/>
    <n v="5785125"/>
    <x v="0"/>
    <d v="2020-12-03T00:00:00"/>
    <d v="2021-01-05T00:00:00"/>
    <m/>
    <m/>
    <m/>
    <m/>
    <m/>
    <m/>
    <m/>
    <m/>
    <m/>
    <m/>
    <x v="0"/>
    <m/>
    <m/>
  </r>
  <r>
    <d v="2020-11-20T00:00:00"/>
    <s v="VZ-2020-001258"/>
    <x v="0"/>
    <s v="Dočkalová"/>
    <x v="398"/>
    <m/>
    <m/>
    <m/>
    <s v="33140000-3"/>
    <m/>
    <n v="19019100"/>
    <x v="0"/>
    <d v="2020-12-08T00:00:00"/>
    <d v="2021-01-11T00:00:00"/>
    <m/>
    <m/>
    <m/>
    <m/>
    <m/>
    <m/>
    <m/>
    <m/>
    <m/>
    <m/>
    <x v="0"/>
    <m/>
    <m/>
  </r>
  <r>
    <d v="2020-11-24T00:00:00"/>
    <s v="VZ-2020-001259"/>
    <x v="10"/>
    <s v="Kadlec"/>
    <x v="399"/>
    <m/>
    <m/>
    <m/>
    <s v="45332200-5"/>
    <m/>
    <n v="850000"/>
    <x v="2"/>
    <d v="2020-12-01T00:00:00"/>
    <d v="2020-12-11T00:00:00"/>
    <d v="2020-12-22T00:00:00"/>
    <s v="VV TOP s.r.o."/>
    <m/>
    <n v="584523"/>
    <n v="707272.83"/>
    <m/>
    <m/>
    <m/>
    <d v="2020-12-22T00:00:00"/>
    <s v="SMLN-2020-618-000124"/>
    <x v="0"/>
    <m/>
    <m/>
  </r>
  <r>
    <d v="2020-11-26T00:00:00"/>
    <s v="VZ-2020-001265"/>
    <x v="1"/>
    <s v="Ondráčková"/>
    <x v="400"/>
    <n v="1"/>
    <s v="ACC Injekt"/>
    <m/>
    <s v="33674000-5"/>
    <m/>
    <n v="1012484"/>
    <x v="0"/>
    <d v="2020-12-07T00:00:00"/>
    <d v="2021-01-08T00:00:00"/>
    <m/>
    <m/>
    <m/>
    <m/>
    <m/>
    <m/>
    <m/>
    <m/>
    <m/>
    <m/>
    <x v="0"/>
    <m/>
    <m/>
  </r>
  <r>
    <d v="2020-11-26T00:00:00"/>
    <s v="VZ-2020-001265"/>
    <x v="1"/>
    <s v="Ondráčková"/>
    <x v="400"/>
    <n v="2"/>
    <s v="AMBROBENE INJ."/>
    <m/>
    <s v="33674000-5"/>
    <m/>
    <n v="292383"/>
    <x v="0"/>
    <d v="2020-12-07T00:00:00"/>
    <d v="2021-01-08T00:00:00"/>
    <m/>
    <m/>
    <m/>
    <m/>
    <m/>
    <m/>
    <m/>
    <m/>
    <m/>
    <m/>
    <x v="0"/>
    <m/>
    <m/>
  </r>
  <r>
    <d v="2020-11-26T00:00:00"/>
    <s v="VZ-2020-001265"/>
    <x v="1"/>
    <s v="Ondráčková"/>
    <x v="400"/>
    <n v="3"/>
    <s v="DORNASA ALFA "/>
    <m/>
    <s v="33674000-5"/>
    <m/>
    <n v="7136766"/>
    <x v="0"/>
    <d v="2020-12-07T00:00:00"/>
    <d v="2021-01-08T00:00:00"/>
    <m/>
    <m/>
    <m/>
    <m/>
    <m/>
    <m/>
    <m/>
    <m/>
    <m/>
    <m/>
    <x v="0"/>
    <m/>
    <m/>
  </r>
  <r>
    <d v="2020-11-26T00:00:00"/>
    <s v="VZ-2020-001265"/>
    <x v="1"/>
    <s v="Ondráčková"/>
    <x v="400"/>
    <n v="4"/>
    <s v="ERDOSTEIN "/>
    <m/>
    <s v="33674000-5"/>
    <m/>
    <n v="2915317"/>
    <x v="0"/>
    <d v="2020-12-07T00:00:00"/>
    <d v="2021-01-08T00:00:00"/>
    <m/>
    <m/>
    <m/>
    <m/>
    <m/>
    <m/>
    <m/>
    <m/>
    <m/>
    <m/>
    <x v="0"/>
    <m/>
    <m/>
  </r>
  <r>
    <d v="2020-11-26T00:00:00"/>
    <s v="VZ-2020-001266"/>
    <x v="1"/>
    <s v="Ondráčková"/>
    <x v="401"/>
    <n v="1"/>
    <s v="FENOTEROL A IPRATROPIUM-BROMID "/>
    <m/>
    <s v="33670000-7"/>
    <m/>
    <n v="1519736"/>
    <x v="0"/>
    <d v="2020-12-08T00:00:00"/>
    <d v="2021-01-26T00:00:00"/>
    <m/>
    <m/>
    <m/>
    <m/>
    <m/>
    <m/>
    <m/>
    <m/>
    <m/>
    <m/>
    <x v="0"/>
    <m/>
    <m/>
  </r>
  <r>
    <d v="2020-11-26T00:00:00"/>
    <s v="VZ-2020-001266"/>
    <x v="1"/>
    <s v="Ondráčková"/>
    <x v="401"/>
    <n v="2"/>
    <s v="INDAKATEROL A GLYCOPYRRONIUM-BROMID "/>
    <m/>
    <s v="33670000-7"/>
    <m/>
    <n v="961257"/>
    <x v="0"/>
    <d v="2020-12-08T00:00:00"/>
    <d v="2021-01-26T00:00:00"/>
    <m/>
    <m/>
    <m/>
    <m/>
    <m/>
    <m/>
    <m/>
    <m/>
    <m/>
    <m/>
    <x v="0"/>
    <m/>
    <m/>
  </r>
  <r>
    <d v="2020-11-26T00:00:00"/>
    <s v="VZ-2020-001266"/>
    <x v="1"/>
    <s v="Ondráčková"/>
    <x v="401"/>
    <n v="3"/>
    <s v="BRIMICA GENUAIR"/>
    <m/>
    <s v="33670000-7"/>
    <m/>
    <n v="758692"/>
    <x v="0"/>
    <d v="2020-12-08T00:00:00"/>
    <d v="2021-01-26T00:00:00"/>
    <m/>
    <m/>
    <m/>
    <m/>
    <m/>
    <m/>
    <m/>
    <m/>
    <m/>
    <m/>
    <x v="0"/>
    <m/>
    <m/>
  </r>
  <r>
    <d v="2020-11-26T00:00:00"/>
    <s v="VZ-2020-001266"/>
    <x v="1"/>
    <s v="Ondráčková"/>
    <x v="401"/>
    <n v="4"/>
    <s v="DIHYDRÁT FORMOTEROL-FUMARÁTU  A GLYKOPYRRONIUM-BROMID"/>
    <m/>
    <s v="33670000-7"/>
    <m/>
    <n v="325365"/>
    <x v="0"/>
    <d v="2020-12-08T00:00:00"/>
    <d v="2021-01-26T00:00:00"/>
    <m/>
    <m/>
    <m/>
    <m/>
    <m/>
    <m/>
    <m/>
    <m/>
    <m/>
    <m/>
    <x v="0"/>
    <m/>
    <m/>
  </r>
  <r>
    <d v="2020-11-26T00:00:00"/>
    <s v="VZ-2020-001266"/>
    <x v="1"/>
    <s v="Ondráčková"/>
    <x v="401"/>
    <n v="5"/>
    <s v="OLODATEROL A TIOTROPIUM-BROMID "/>
    <m/>
    <s v="33670000-7"/>
    <m/>
    <n v="3438683"/>
    <x v="0"/>
    <d v="2020-12-08T00:00:00"/>
    <d v="2021-01-26T00:00:00"/>
    <m/>
    <m/>
    <m/>
    <m/>
    <m/>
    <m/>
    <m/>
    <m/>
    <m/>
    <m/>
    <x v="0"/>
    <m/>
    <m/>
  </r>
  <r>
    <d v="2020-11-27T00:00:00"/>
    <s v="VZ-2020-001269"/>
    <x v="9"/>
    <s v="Langer"/>
    <x v="402"/>
    <m/>
    <m/>
    <m/>
    <s v="45112000-5 "/>
    <m/>
    <n v="3500000"/>
    <x v="2"/>
    <d v="2020-12-02T00:00:00"/>
    <d v="2020-12-15T00:00:00"/>
    <d v="2020-12-17T00:00:00"/>
    <s v="DEV COMPANY, spol. s r.o."/>
    <m/>
    <n v="2697075.57"/>
    <n v="3263461.44"/>
    <m/>
    <m/>
    <m/>
    <d v="2020-12-17T00:00:00"/>
    <s v="SMLN-2020-618-000122"/>
    <x v="0"/>
    <m/>
    <m/>
  </r>
  <r>
    <d v="2020-11-27T00:00:00"/>
    <s v="VZ-2020-001275"/>
    <x v="1"/>
    <s v="Ondráčková"/>
    <x v="403"/>
    <n v="1"/>
    <s v="Mikafungin"/>
    <m/>
    <s v="33651200-0"/>
    <m/>
    <n v="5019815"/>
    <x v="0"/>
    <d v="2020-12-07T00:00:00"/>
    <d v="2021-01-08T00:00:00"/>
    <m/>
    <m/>
    <m/>
    <m/>
    <m/>
    <m/>
    <m/>
    <m/>
    <m/>
    <m/>
    <x v="0"/>
    <m/>
    <m/>
  </r>
  <r>
    <d v="2020-11-27T00:00:00"/>
    <s v="VZ-2020-001275"/>
    <x v="1"/>
    <s v="Ondráčková"/>
    <x v="403"/>
    <n v="2"/>
    <s v="Anidulafungin"/>
    <m/>
    <s v="33651200-0"/>
    <m/>
    <n v="3706073"/>
    <x v="0"/>
    <d v="2020-12-07T00:00:00"/>
    <d v="2021-01-08T00:00:00"/>
    <m/>
    <m/>
    <m/>
    <m/>
    <m/>
    <m/>
    <m/>
    <m/>
    <m/>
    <m/>
    <x v="0"/>
    <m/>
    <m/>
  </r>
  <r>
    <s v="opakovaná VZ"/>
    <s v="VZ-2020-001280"/>
    <x v="0"/>
    <s v="Merta"/>
    <x v="404"/>
    <m/>
    <s v="VZ-2021-000068"/>
    <m/>
    <s v="33141200-2"/>
    <m/>
    <n v="185325240"/>
    <x v="0"/>
    <m/>
    <m/>
    <m/>
    <m/>
    <m/>
    <m/>
    <m/>
    <m/>
    <m/>
    <m/>
    <m/>
    <m/>
    <x v="0"/>
    <m/>
    <m/>
  </r>
  <r>
    <s v="opakovaná VZ"/>
    <s v="VZ-2020-001283"/>
    <x v="0"/>
    <s v="Merta"/>
    <x v="405"/>
    <m/>
    <m/>
    <m/>
    <s v="33182210-4"/>
    <m/>
    <n v="3103825"/>
    <x v="0"/>
    <d v="2020-12-15T00:00:00"/>
    <d v="2021-01-18T00:00:00"/>
    <m/>
    <m/>
    <m/>
    <m/>
    <m/>
    <m/>
    <m/>
    <m/>
    <m/>
    <m/>
    <x v="0"/>
    <m/>
    <m/>
  </r>
  <r>
    <s v="opakovaná VZ"/>
    <s v="VZ-2020-001285"/>
    <x v="0"/>
    <s v="Merta"/>
    <x v="406"/>
    <m/>
    <m/>
    <m/>
    <s v="33182100-0"/>
    <m/>
    <n v="25040000"/>
    <x v="0"/>
    <d v="2020-12-16T00:00:00"/>
    <d v="2021-01-28T00:00:00"/>
    <m/>
    <m/>
    <m/>
    <m/>
    <m/>
    <m/>
    <m/>
    <m/>
    <m/>
    <m/>
    <x v="0"/>
    <m/>
    <m/>
  </r>
  <r>
    <s v="opakovaná VZ"/>
    <s v="VZ-2020-001299"/>
    <x v="0"/>
    <s v="Merta"/>
    <x v="407"/>
    <n v="1"/>
    <s v="Zavaděč - sety pro radiální přístup 5F a 6F (sheathy)"/>
    <m/>
    <s v="33141240-4"/>
    <m/>
    <n v="27625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x v="0"/>
    <s v="Merta"/>
    <x v="407"/>
    <n v="2"/>
    <s v="Diagnostické katetry angiografické koronární - Katetry 5F a 6F "/>
    <m/>
    <s v="33141200-2"/>
    <m/>
    <n v="2640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x v="0"/>
    <s v="Merta"/>
    <x v="407"/>
    <n v="3"/>
    <s v="Diagnostické katetry angiografické koronární - Diagnostické radiální katetry  5F dedikované pro oboustrannou katetrizaci "/>
    <m/>
    <s v="33141200-2"/>
    <m/>
    <n v="42900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x v="0"/>
    <s v="Merta"/>
    <x v="407"/>
    <n v="4"/>
    <s v="Koronární (PTCA) vodiče - vodiče pro komplexní vinuté léze "/>
    <m/>
    <s v="33141240-4"/>
    <m/>
    <n v="13265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x v="0"/>
    <s v="Merta"/>
    <x v="407"/>
    <n v="5"/>
    <s v="Vodící katetry -  5F "/>
    <m/>
    <s v="33141200-2"/>
    <m/>
    <n v="875000"/>
    <x v="0"/>
    <d v="2020-12-10T00:00:00"/>
    <d v="2021-01-11T00:00:00"/>
    <m/>
    <m/>
    <m/>
    <m/>
    <m/>
    <m/>
    <m/>
    <m/>
    <m/>
    <m/>
    <x v="0"/>
    <m/>
    <m/>
  </r>
  <r>
    <s v="opakovaná VZ"/>
    <s v="VZ-2020-001299"/>
    <x v="0"/>
    <s v="Merta"/>
    <x v="407"/>
    <n v="6"/>
    <s v="Aspirační katetry "/>
    <m/>
    <s v="33141200-2"/>
    <m/>
    <n v="1008000"/>
    <x v="0"/>
    <d v="2020-12-10T00:00:00"/>
    <d v="2021-01-11T00:00:00"/>
    <m/>
    <m/>
    <m/>
    <m/>
    <m/>
    <m/>
    <m/>
    <m/>
    <m/>
    <m/>
    <x v="0"/>
    <m/>
    <m/>
  </r>
  <r>
    <d v="2020-12-09T00:00:00"/>
    <s v="VZ-2020-001312"/>
    <x v="1"/>
    <s v="Ondráčková"/>
    <x v="408"/>
    <m/>
    <m/>
    <m/>
    <s v="33694000-1"/>
    <m/>
    <n v="15250000"/>
    <x v="0"/>
    <d v="2020-12-16T00:00:00"/>
    <d v="2021-01-18T00:00:00"/>
    <m/>
    <m/>
    <m/>
    <m/>
    <m/>
    <m/>
    <m/>
    <m/>
    <m/>
    <m/>
    <x v="0"/>
    <m/>
    <m/>
  </r>
  <r>
    <d v="2020-12-01T00:00:00"/>
    <s v="VZ-2020-001320"/>
    <x v="9"/>
    <s v="Valíček"/>
    <x v="409"/>
    <m/>
    <m/>
    <m/>
    <s v="71000000-8"/>
    <s v="1.3.27."/>
    <n v="15000000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x v="1"/>
    <s v="Ondráčková"/>
    <x v="410"/>
    <n v="1"/>
    <s v="GRAZAX"/>
    <m/>
    <s v="33675000-2"/>
    <m/>
    <n v="1879678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x v="1"/>
    <s v="Ondráčková"/>
    <x v="410"/>
    <n v="2"/>
    <s v="ORALAIR"/>
    <m/>
    <s v="33675000-2"/>
    <m/>
    <n v="3048116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x v="1"/>
    <s v="Ondráčková"/>
    <x v="410"/>
    <n v="3"/>
    <s v="POLLINEX RYE"/>
    <m/>
    <s v="33675000-2"/>
    <m/>
    <n v="596452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x v="1"/>
    <s v="Ondráčková"/>
    <x v="410"/>
    <n v="4"/>
    <s v="ACARIZAX"/>
    <m/>
    <s v="33675000-2"/>
    <m/>
    <n v="2702846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x v="1"/>
    <s v="Ondráčková"/>
    <x v="410"/>
    <n v="5"/>
    <s v="POLLINEX TREE"/>
    <m/>
    <s v="33675000-2"/>
    <m/>
    <n v="705451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x v="1"/>
    <s v="Ondráčková"/>
    <x v="410"/>
    <n v="6"/>
    <s v="ALUTARD SQ HMYZÍ ALERGENY"/>
    <m/>
    <s v="33675000-2"/>
    <m/>
    <n v="691921"/>
    <x v="0"/>
    <d v="2020-12-18T00:00:00"/>
    <d v="2021-01-20T00:00:00"/>
    <m/>
    <m/>
    <m/>
    <m/>
    <m/>
    <m/>
    <m/>
    <m/>
    <m/>
    <m/>
    <x v="0"/>
    <m/>
    <m/>
  </r>
  <r>
    <d v="2020-12-15T00:00:00"/>
    <s v="VZ-2020-001327"/>
    <x v="1"/>
    <s v="Ondráčková"/>
    <x v="410"/>
    <n v="7"/>
    <s v="STALORAL 300"/>
    <m/>
    <s v="33675000-2"/>
    <m/>
    <n v="755060"/>
    <x v="0"/>
    <d v="2020-12-18T00:00:00"/>
    <d v="2021-01-20T00:00:00"/>
    <m/>
    <m/>
    <m/>
    <m/>
    <m/>
    <m/>
    <m/>
    <m/>
    <m/>
    <m/>
    <x v="0"/>
    <m/>
    <m/>
  </r>
  <r>
    <d v="2020-12-15T00:00:00"/>
    <s v="VZ-2020-001328"/>
    <x v="1"/>
    <s v="Ondráčková"/>
    <x v="411"/>
    <n v="1"/>
    <s v="ACIKLOVIR I.V."/>
    <m/>
    <s v="33651400-2"/>
    <m/>
    <n v="1228500"/>
    <x v="0"/>
    <d v="2020-12-18T00:00:00"/>
    <d v="2021-01-21T00:00:00"/>
    <m/>
    <m/>
    <m/>
    <m/>
    <m/>
    <m/>
    <m/>
    <m/>
    <m/>
    <m/>
    <x v="0"/>
    <m/>
    <m/>
  </r>
  <r>
    <d v="2020-12-15T00:00:00"/>
    <s v="VZ-2020-001328"/>
    <x v="1"/>
    <s v="Ondráčková"/>
    <x v="411"/>
    <n v="2"/>
    <s v="ACIKLOVIR TBL."/>
    <m/>
    <s v="33651400-2"/>
    <m/>
    <n v="2403469"/>
    <x v="0"/>
    <d v="2020-12-18T00:00:00"/>
    <d v="2021-01-21T00:00:00"/>
    <m/>
    <m/>
    <m/>
    <m/>
    <m/>
    <m/>
    <m/>
    <m/>
    <m/>
    <m/>
    <x v="0"/>
    <m/>
    <m/>
  </r>
  <r>
    <d v="2020-12-15T00:00:00"/>
    <s v="VZ-2020-001328"/>
    <x v="1"/>
    <s v="Ondráčková"/>
    <x v="411"/>
    <n v="3"/>
    <s v="GANCIKLOVIR"/>
    <m/>
    <s v="33651400-2"/>
    <m/>
    <n v="700714"/>
    <x v="0"/>
    <d v="2020-12-18T00:00:00"/>
    <d v="2021-01-21T00:00:00"/>
    <m/>
    <m/>
    <m/>
    <m/>
    <m/>
    <m/>
    <m/>
    <m/>
    <m/>
    <m/>
    <x v="0"/>
    <m/>
    <m/>
  </r>
  <r>
    <d v="2020-12-15T00:00:00"/>
    <s v="VZ-2020-001328"/>
    <x v="1"/>
    <s v="Ondráčková"/>
    <x v="411"/>
    <n v="4"/>
    <s v="CIDOFOVIR"/>
    <m/>
    <s v="33651400-2"/>
    <m/>
    <n v="3508066"/>
    <x v="0"/>
    <d v="2020-12-18T00:00:00"/>
    <d v="2021-01-21T00:00:00"/>
    <m/>
    <m/>
    <m/>
    <m/>
    <m/>
    <m/>
    <m/>
    <m/>
    <m/>
    <m/>
    <x v="0"/>
    <m/>
    <m/>
  </r>
  <r>
    <d v="2020-12-15T00:00:00"/>
    <s v="VZ-2020-001329"/>
    <x v="8"/>
    <s v="Smrčková"/>
    <x v="412"/>
    <m/>
    <m/>
    <m/>
    <s v="39120000-9"/>
    <m/>
    <n v="2200000"/>
    <x v="1"/>
    <d v="2020-12-17T00:00:00"/>
    <d v="2021-01-15T00:00:00"/>
    <m/>
    <m/>
    <m/>
    <m/>
    <m/>
    <m/>
    <m/>
    <m/>
    <m/>
    <m/>
    <x v="0"/>
    <m/>
    <m/>
  </r>
  <r>
    <s v="opakovaná VZ"/>
    <s v="VZ-2020-001333"/>
    <x v="3"/>
    <s v="Rosulek"/>
    <x v="413"/>
    <m/>
    <m/>
    <m/>
    <s v="33122000-1"/>
    <s v="2.3.507"/>
    <n v="320000"/>
    <x v="2"/>
    <d v="2020-12-21T00:00:00"/>
    <d v="2021-01-08T00:00:00"/>
    <m/>
    <s v="zrušeno - na profilu špatně zadavatel"/>
    <s v="nová VZ-2020-001342"/>
    <m/>
    <m/>
    <m/>
    <m/>
    <m/>
    <m/>
    <m/>
    <x v="0"/>
    <d v="2020-12-29T00:00:00"/>
    <m/>
  </r>
  <r>
    <d v="2020-12-17T00:00:00"/>
    <s v="VZ-2020-001334"/>
    <x v="0"/>
    <s v="Dočkalová"/>
    <x v="296"/>
    <m/>
    <m/>
    <m/>
    <s v="18424300-0"/>
    <m/>
    <n v="30000000"/>
    <x v="0"/>
    <d v="2020-12-18T00:00:00"/>
    <d v="2021-01-19T00:00:00"/>
    <m/>
    <m/>
    <m/>
    <m/>
    <m/>
    <m/>
    <m/>
    <m/>
    <m/>
    <m/>
    <x v="0"/>
    <m/>
    <m/>
  </r>
  <r>
    <s v="opakovaná VZ"/>
    <s v="VZ-2020-001342"/>
    <x v="3"/>
    <s v="Rosulek"/>
    <x v="414"/>
    <m/>
    <m/>
    <m/>
    <s v="33122000-1"/>
    <s v="2.3.507"/>
    <n v="320000"/>
    <x v="2"/>
    <d v="2020-12-31T00:00:00"/>
    <d v="2021-01-12T00:00:00"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  <r>
    <m/>
    <m/>
    <x v="25"/>
    <m/>
    <x v="415"/>
    <m/>
    <m/>
    <m/>
    <m/>
    <m/>
    <m/>
    <x v="4"/>
    <m/>
    <m/>
    <m/>
    <m/>
    <m/>
    <m/>
    <m/>
    <m/>
    <m/>
    <m/>
    <m/>
    <m/>
    <x v="0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8">
  <r>
    <d v="2023-03-01T00:00:00"/>
    <s v="VZ-2023-000268"/>
    <x v="0"/>
    <s v="Valíček"/>
    <s v="Kučera"/>
    <x v="0"/>
    <m/>
    <m/>
    <s v="podepsaná smlouva"/>
    <s v="45000000-7"/>
    <m/>
    <n v="3495000000"/>
    <x v="0"/>
    <d v="2023-12-19T00:00:00"/>
    <d v="2024-06-07T00:00:00"/>
    <d v="2024-06-25T00:00:00"/>
    <s v="GEMO, OHLA ŽS, HOCHTIEF"/>
    <m/>
    <n v="3479900000"/>
    <n v="4210679000"/>
    <m/>
    <m/>
    <m/>
    <d v="2024-06-26T00:00:00"/>
    <s v="SMLN-2024-618-100031_x000a_SMLN-2024-618-100032_x000a_SMLN-2024-618-100033"/>
    <x v="0"/>
  </r>
  <r>
    <d v="2023-12-20T00:00:00"/>
    <s v="VZ-2023-001525-01"/>
    <x v="1"/>
    <s v="Vlčková"/>
    <s v="Hašková"/>
    <x v="1"/>
    <n v="1"/>
    <s v="SYMBICORT"/>
    <s v="podepsaná smlouva"/>
    <s v="33670000-7"/>
    <m/>
    <n v="6133954"/>
    <x v="0"/>
    <d v="2024-01-09T00:00:00"/>
    <d v="2024-03-30T00:00:00"/>
    <d v="2024-04-24T00:00:00"/>
    <s v="PHOENIX lék. velkoobchod, s.r.o."/>
    <m/>
    <n v="6123479.5199999996"/>
    <n v="6858297.0599999996"/>
    <m/>
    <m/>
    <m/>
    <d v="2024-04-24T00:00:00"/>
    <s v="SMLN-2024-617-100253"/>
    <x v="1"/>
  </r>
  <r>
    <d v="2023-12-20T00:00:00"/>
    <s v="VZ-2023-001525-02"/>
    <x v="1"/>
    <s v="Vlčková"/>
    <s v="Hašková"/>
    <x v="1"/>
    <n v="2"/>
    <s v="FORMOTEROL A BUDESONID"/>
    <s v="zrušeno"/>
    <s v="33670000-7"/>
    <m/>
    <n v="67452"/>
    <x v="0"/>
    <d v="2024-01-09T00:00:00"/>
    <d v="2024-03-30T00:00:00"/>
    <m/>
    <s v="zrušeno - bez nabídky"/>
    <s v="nová VZ-2024-000332-02"/>
    <m/>
    <m/>
    <m/>
    <m/>
    <m/>
    <m/>
    <m/>
    <x v="2"/>
  </r>
  <r>
    <d v="2023-12-20T00:00:00"/>
    <s v="VZ-2023-001525-03"/>
    <x v="1"/>
    <s v="Vlčková"/>
    <s v="Hašková"/>
    <x v="1"/>
    <n v="3"/>
    <s v="Relvar Ellipta"/>
    <s v="podepsaná smlouva"/>
    <s v="33670000-7"/>
    <m/>
    <n v="4551400"/>
    <x v="0"/>
    <d v="2024-01-09T00:00:00"/>
    <d v="2024-03-30T00:00:00"/>
    <d v="2024-04-24T00:00:00"/>
    <s v="PHARMOS, a.s."/>
    <m/>
    <n v="4550952.3"/>
    <n v="5097066.58"/>
    <m/>
    <m/>
    <m/>
    <d v="2024-04-24T00:00:00"/>
    <s v="SMLN-2024-617-100254"/>
    <x v="1"/>
  </r>
  <r>
    <d v="2023-12-20T00:00:00"/>
    <s v="VZ-2023-001525-04"/>
    <x v="1"/>
    <s v="Vlčková"/>
    <s v="Hašková"/>
    <x v="1"/>
    <n v="4"/>
    <s v="FORMOTEROL A BEKLOMETASON"/>
    <s v="podepsaná smlouva"/>
    <s v="33670000-7"/>
    <m/>
    <n v="4356153"/>
    <x v="0"/>
    <d v="2024-01-09T00:00:00"/>
    <d v="2024-03-30T00:00:00"/>
    <d v="2024-04-24T00:00:00"/>
    <s v="PHOENIX lék. velkoobchod, s.r.o."/>
    <m/>
    <n v="4309758.72"/>
    <n v="4826929.7699999996"/>
    <m/>
    <m/>
    <m/>
    <d v="2024-04-24T00:00:00"/>
    <s v="SMLN-2024-617-100255"/>
    <x v="1"/>
  </r>
  <r>
    <d v="2023-12-20T00:00:00"/>
    <s v="VZ-2023-001525-05"/>
    <x v="1"/>
    <s v="Vlčková"/>
    <s v="Hašková"/>
    <x v="1"/>
    <n v="5"/>
    <s v="Flutiform"/>
    <s v="zrušeno"/>
    <s v="33670000-7"/>
    <m/>
    <n v="2530650"/>
    <x v="0"/>
    <d v="2024-01-09T00:00:00"/>
    <d v="2024-03-30T00:00:00"/>
    <m/>
    <s v="zrušeno - bez nabídky"/>
    <s v="nová VZ-2024-000332-03"/>
    <m/>
    <m/>
    <m/>
    <m/>
    <m/>
    <m/>
    <m/>
    <x v="2"/>
  </r>
  <r>
    <d v="2023-12-20T00:00:00"/>
    <s v="VZ-2023-001525-06"/>
    <x v="1"/>
    <s v="Vlčková"/>
    <s v="Hašková"/>
    <x v="1"/>
    <n v="6"/>
    <s v="ATECTURA BREEZHALER "/>
    <s v="podepsaná smlouva"/>
    <s v="33670000-7"/>
    <m/>
    <n v="107161"/>
    <x v="0"/>
    <d v="2024-01-09T00:00:00"/>
    <d v="2024-03-30T00:00:00"/>
    <d v="2024-04-24T00:00:00"/>
    <s v="Alliance Healthcare s.r.o."/>
    <m/>
    <n v="107160"/>
    <n v="120019.2"/>
    <m/>
    <m/>
    <m/>
    <d v="2024-04-24T00:00:00"/>
    <s v="SMLN-2024-617-100256"/>
    <x v="1"/>
  </r>
  <r>
    <d v="2023-12-20T00:00:00"/>
    <s v="VZ-2023-001526-01"/>
    <x v="1"/>
    <s v="Vlčková"/>
    <s v="Hašková"/>
    <x v="2"/>
    <n v="1"/>
    <s v="Acetylcystein"/>
    <s v="zrušeno"/>
    <s v="33670000-7"/>
    <m/>
    <n v="257634"/>
    <x v="0"/>
    <d v="2024-01-09T00:00:00"/>
    <d v="2024-02-13T00:00:00"/>
    <m/>
    <s v="zrušeno - bez nabídky"/>
    <s v="nová VZ-2024-000313"/>
    <m/>
    <m/>
    <m/>
    <m/>
    <m/>
    <m/>
    <m/>
    <x v="2"/>
  </r>
  <r>
    <d v="2023-12-20T00:00:00"/>
    <s v="VZ-2023-001526-02"/>
    <x v="1"/>
    <s v="Vlčková"/>
    <s v="Hašková"/>
    <x v="2"/>
    <n v="2"/>
    <s v="Ambroxol-hydrochlorid"/>
    <s v="podepsaná smlouva"/>
    <s v="33670000-7"/>
    <m/>
    <n v="218256"/>
    <x v="0"/>
    <d v="2024-01-09T00:00:00"/>
    <d v="2024-02-13T00:00:00"/>
    <d v="2024-04-03T00:00:00"/>
    <s v="PHARMOS, a.s."/>
    <m/>
    <n v="201696"/>
    <n v="225899.51999999999"/>
    <m/>
    <m/>
    <m/>
    <d v="2024-04-03T00:00:00"/>
    <s v="SMLN-2024-617-100188"/>
    <x v="3"/>
  </r>
  <r>
    <d v="2023-12-20T00:00:00"/>
    <s v="VZ-2023-001526-03"/>
    <x v="1"/>
    <s v="Vlčková"/>
    <s v="Hašková"/>
    <x v="2"/>
    <n v="3"/>
    <s v="DORNASA ALFA "/>
    <s v="podepsaná smlouva"/>
    <s v="33670000-7"/>
    <m/>
    <n v="4753612"/>
    <x v="0"/>
    <d v="2024-01-09T00:00:00"/>
    <d v="2024-02-13T00:00:00"/>
    <d v="2024-04-03T00:00:00"/>
    <s v="PHOENIX lék. velkoobchod, s.r.o."/>
    <m/>
    <n v="4752185.28"/>
    <n v="5322447.51"/>
    <m/>
    <m/>
    <m/>
    <d v="2024-04-03T00:00:00"/>
    <s v="SMLN-2024-617-100189"/>
    <x v="3"/>
  </r>
  <r>
    <d v="2023-12-20T00:00:00"/>
    <s v="VZ-2023-001526-04"/>
    <x v="1"/>
    <s v="Vlčková"/>
    <s v="Hašková"/>
    <x v="2"/>
    <n v="4"/>
    <s v="ERDOSTEIN "/>
    <s v="podepsaná smlouva"/>
    <s v="33670000-7"/>
    <m/>
    <n v="5678724"/>
    <x v="0"/>
    <d v="2024-01-09T00:00:00"/>
    <d v="2024-02-13T00:00:00"/>
    <d v="2024-04-03T00:00:00"/>
    <s v="PHARMOS, a.s."/>
    <m/>
    <n v="5658883.8300000001"/>
    <n v="6337949.8899999997"/>
    <m/>
    <m/>
    <m/>
    <d v="2024-04-03T00:00:00"/>
    <s v="SMLN-2024-617-100190"/>
    <x v="3"/>
  </r>
  <r>
    <d v="2023-12-20T00:00:00"/>
    <s v="VZ-2023-001532"/>
    <x v="0"/>
    <s v="Spáčil"/>
    <s v="Staňková"/>
    <x v="3"/>
    <m/>
    <m/>
    <s v="podepsaná smlouva"/>
    <s v="45233290-8"/>
    <s v="1.2.108."/>
    <n v="1000000"/>
    <x v="1"/>
    <d v="2024-01-04T00:00:00"/>
    <d v="2024-01-15T00:00:00"/>
    <d v="2024-01-19T00:00:00"/>
    <s v="SEKNE, spol. s r.o."/>
    <m/>
    <n v="565673.68999999994"/>
    <n v="684465.16"/>
    <m/>
    <m/>
    <m/>
    <d v="2024-01-19T00:00:00"/>
    <s v="SMLN-2024-618-100005"/>
    <x v="4"/>
  </r>
  <r>
    <d v="2023-12-11T00:00:00"/>
    <s v="VZ-2024-000008-01"/>
    <x v="1"/>
    <s v="Vlčková"/>
    <s v="Bodinková"/>
    <x v="4"/>
    <n v="1"/>
    <s v="Berodual"/>
    <s v="zrušeno"/>
    <s v="33670000-7"/>
    <m/>
    <n v="1923663"/>
    <x v="0"/>
    <d v="2024-01-10T00:00:00"/>
    <d v="2024-03-22T00:00:00"/>
    <m/>
    <s v="zrušeno - bez nabídky"/>
    <s v="nová VZ-2024-000332-01"/>
    <m/>
    <m/>
    <m/>
    <m/>
    <m/>
    <m/>
    <m/>
    <x v="2"/>
  </r>
  <r>
    <d v="2023-12-11T00:00:00"/>
    <s v="VZ-2024-000008-02"/>
    <x v="1"/>
    <s v="Vlčková"/>
    <s v="Bodinková"/>
    <x v="4"/>
    <n v="2"/>
    <s v="Ultibro Brezhaler"/>
    <s v="podepsaná smlouva"/>
    <s v="33670000-7"/>
    <m/>
    <n v="895830"/>
    <x v="0"/>
    <d v="2024-01-10T00:00:00"/>
    <d v="2024-03-22T00:00:00"/>
    <d v="2024-04-24T00:00:00"/>
    <s v="Alliance Healthcare s.r.o."/>
    <m/>
    <n v="895829.76"/>
    <n v="1003329.33"/>
    <m/>
    <m/>
    <m/>
    <d v="2024-04-24T00:00:00"/>
    <s v="SMLN-2024-617-100263"/>
    <x v="5"/>
  </r>
  <r>
    <d v="2023-12-11T00:00:00"/>
    <s v="VZ-2024-000008-03"/>
    <x v="1"/>
    <s v="Vlčková"/>
    <s v="Bodinková"/>
    <x v="4"/>
    <n v="3"/>
    <s v="FORMOTEROL A AKLIDINIUM-BROMID"/>
    <s v="podepsaná smlouva"/>
    <s v="33670000-7"/>
    <m/>
    <n v="801622"/>
    <x v="0"/>
    <d v="2024-01-10T00:00:00"/>
    <d v="2024-03-22T00:00:00"/>
    <d v="2024-04-24T00:00:00"/>
    <s v="PHOENIX lék. velkoobchod, s.r.o."/>
    <m/>
    <n v="799080.93"/>
    <n v="894970.64"/>
    <m/>
    <m/>
    <m/>
    <d v="2024-04-24T00:00:00"/>
    <s v="SMLN-2024-617-100264"/>
    <x v="6"/>
  </r>
  <r>
    <d v="2023-12-11T00:00:00"/>
    <s v="VZ-2024-000008-04"/>
    <x v="1"/>
    <s v="Vlčková"/>
    <s v="Bodinková"/>
    <x v="4"/>
    <n v="4"/>
    <s v="Bevespi aerosphere"/>
    <s v="podepsaná smlouva"/>
    <s v="33670000-7"/>
    <m/>
    <n v="250008"/>
    <x v="0"/>
    <d v="2024-01-10T00:00:00"/>
    <d v="2024-03-22T00:00:00"/>
    <d v="2024-04-24T00:00:00"/>
    <s v="PHOENIX lék. velkoobchod, s.r.o."/>
    <m/>
    <n v="250008"/>
    <n v="280008.96000000002"/>
    <m/>
    <m/>
    <m/>
    <d v="2024-04-24T00:00:00"/>
    <s v="SMLN-2024-617-100265"/>
    <x v="6"/>
  </r>
  <r>
    <d v="2023-12-11T00:00:00"/>
    <s v="VZ-2024-000008-05"/>
    <x v="1"/>
    <s v="Vlčková"/>
    <s v="Bodinková"/>
    <x v="4"/>
    <n v="5"/>
    <s v="Spiolto"/>
    <s v="zrušeno"/>
    <s v="33670000-7"/>
    <m/>
    <n v="3096948"/>
    <x v="0"/>
    <d v="2024-01-10T00:00:00"/>
    <d v="2024-03-22T00:00:00"/>
    <m/>
    <s v="zrušeno - bez nabídky"/>
    <s v="nová VZ-2024-000332-02"/>
    <m/>
    <m/>
    <m/>
    <m/>
    <m/>
    <m/>
    <m/>
    <x v="2"/>
  </r>
  <r>
    <d v="2024-01-03T00:00:00"/>
    <s v="VZ-2024-000010"/>
    <x v="2"/>
    <s v="Skulová"/>
    <s v="Štýbnarová"/>
    <x v="5"/>
    <m/>
    <m/>
    <s v="zrušeno"/>
    <s v="42912330-4"/>
    <s v="2.3.709."/>
    <n v="440000"/>
    <x v="1"/>
    <d v="2024-01-08T00:00:00"/>
    <d v="2024-01-22T00:00:00"/>
    <m/>
    <s v="zrušeno - bez hodnotitelné nabídky"/>
    <s v="nová VZ-2024-000116"/>
    <m/>
    <m/>
    <m/>
    <m/>
    <m/>
    <m/>
    <m/>
    <x v="2"/>
  </r>
  <r>
    <d v="2023-09-21T00:00:00"/>
    <s v="VZ-2024-000011"/>
    <x v="3"/>
    <s v="Zemánková"/>
    <s v="Bodinková"/>
    <x v="6"/>
    <m/>
    <m/>
    <s v="podepsaná smlouva"/>
    <s v="33694000-1_x000a_38434000-"/>
    <m/>
    <n v="254733510"/>
    <x v="0"/>
    <d v="2024-01-05T00:00:00"/>
    <d v="2024-03-01T00:00:00"/>
    <d v="2024-04-05T00:00:00"/>
    <s v="ROCHE s.r.o."/>
    <m/>
    <n v="104921063.52"/>
    <n v="126954486.84999999"/>
    <m/>
    <m/>
    <m/>
    <d v="2024-04-05T00:00:00"/>
    <s v="SMLN-2024-617-100202_x000a_SMLN-2024-616-100028"/>
    <x v="7"/>
  </r>
  <r>
    <d v="2024-01-05T00:00:00"/>
    <s v="VZ-2024-000014"/>
    <x v="2"/>
    <s v="Skulová"/>
    <s v="Zdražilová"/>
    <x v="7"/>
    <m/>
    <m/>
    <s v="zrušeno"/>
    <s v="33192230-3"/>
    <s v="2.3.720."/>
    <n v="1320000"/>
    <x v="0"/>
    <d v="2024-01-10T00:00:00"/>
    <d v="2024-02-15T00:00:00"/>
    <m/>
    <s v="zrušeno - bez hodnotitelné nabídky"/>
    <s v="nová VZ-2024-000333"/>
    <m/>
    <m/>
    <m/>
    <m/>
    <m/>
    <m/>
    <m/>
    <x v="2"/>
  </r>
  <r>
    <d v="2024-01-05T00:00:00"/>
    <s v="VZ-2024-000015"/>
    <x v="2"/>
    <s v="Skulová"/>
    <s v="Staňková"/>
    <x v="8"/>
    <m/>
    <m/>
    <s v="podepsaná smlouva"/>
    <s v="33121500-9"/>
    <s v="2.3.802,818,821,825"/>
    <n v="408000"/>
    <x v="1"/>
    <d v="2024-01-10T00:00:00"/>
    <d v="2024-01-22T00:00:00"/>
    <d v="2024-02-02T00:00:00"/>
    <s v="BTL zdravotnická technika, a.s."/>
    <m/>
    <n v="405600"/>
    <n v="490776"/>
    <m/>
    <m/>
    <m/>
    <d v="2024-02-02T00:00:00"/>
    <s v="SMLN-2024-617-100055_x000a_SMLN-2024-612-100014"/>
    <x v="8"/>
  </r>
  <r>
    <d v="2024-01-05T00:00:00"/>
    <s v="VZ-2024-000017"/>
    <x v="2"/>
    <s v="Skulová"/>
    <s v="Štýbnarová"/>
    <x v="9"/>
    <m/>
    <m/>
    <s v="zrušeno"/>
    <s v="33192120-9"/>
    <s v="2.3.773"/>
    <n v="1496528"/>
    <x v="1"/>
    <d v="2024-01-10T00:00:00"/>
    <d v="2024-01-24T00:00:00"/>
    <m/>
    <s v="zrušeno"/>
    <s v="nová VZ-2024-000189"/>
    <m/>
    <m/>
    <m/>
    <m/>
    <m/>
    <m/>
    <m/>
    <x v="2"/>
  </r>
  <r>
    <d v="2024-01-05T00:00:00"/>
    <s v="VZ-2024-000018"/>
    <x v="2"/>
    <s v="Skulová"/>
    <s v="Staňková"/>
    <x v="10"/>
    <m/>
    <m/>
    <s v="podepsaná smlouva"/>
    <s v="33124100-6"/>
    <s v="2.2.621"/>
    <n v="810000"/>
    <x v="1"/>
    <d v="2024-01-10T00:00:00"/>
    <d v="2024-01-22T00:00:00"/>
    <d v="2024-01-25T00:00:00"/>
    <s v="Perfect Distribution a.s."/>
    <m/>
    <n v="730800"/>
    <n v="884268"/>
    <m/>
    <m/>
    <m/>
    <d v="2024-01-25T00:00:00"/>
    <s v="SMLN-2024-617-100044_x000a_SMLN-2024-612-100012"/>
    <x v="9"/>
  </r>
  <r>
    <d v="2024-12-20T00:00:00"/>
    <s v="VZ-2024-000020"/>
    <x v="0"/>
    <s v="Langer"/>
    <s v="Kučera"/>
    <x v="11"/>
    <m/>
    <s v="původně VZ-2023-001523"/>
    <s v="podepsaná smlouva"/>
    <s v="45000000-7_x000a_ 45215100-8 "/>
    <m/>
    <n v="325000000"/>
    <x v="0"/>
    <d v="2024-02-27T00:00:00"/>
    <d v="2024-06-28T00:00:00"/>
    <d v="2024-07-04T00:00:00"/>
    <s v="OHLA ŽS, a.s."/>
    <m/>
    <n v="226355651.81999999"/>
    <n v="273890338.69999999"/>
    <m/>
    <m/>
    <m/>
    <d v="2024-07-04T00:00:00"/>
    <s v="SMLN-2024-618-100034"/>
    <x v="10"/>
  </r>
  <r>
    <d v="2024-01-09T00:00:00"/>
    <s v="VZ-2024-000031"/>
    <x v="1"/>
    <s v="Vondrková"/>
    <s v="Hašková"/>
    <x v="12"/>
    <m/>
    <m/>
    <s v="podepsaná smlouva"/>
    <s v="33651100-9"/>
    <m/>
    <n v="6161766"/>
    <x v="0"/>
    <d v="2024-01-15T00:00:00"/>
    <d v="2024-02-19T00:00:00"/>
    <d v="2024-03-26T00:00:00"/>
    <s v="Alliance Healthcare s.r.o."/>
    <m/>
    <n v="6068683.5"/>
    <n v="6796925.5199999996"/>
    <m/>
    <m/>
    <m/>
    <d v="2024-03-26T00:00:00"/>
    <s v="SMLN-2024-617-100171"/>
    <x v="3"/>
  </r>
  <r>
    <d v="2024-01-09T00:00:00"/>
    <s v="VZ-2024-000032"/>
    <x v="1"/>
    <s v="Vondrková"/>
    <s v="Hašková"/>
    <x v="13"/>
    <m/>
    <m/>
    <s v="podepsaná smlouva"/>
    <s v="33652000-5"/>
    <m/>
    <n v="1503046"/>
    <x v="1"/>
    <d v="2024-01-17T00:00:00"/>
    <d v="2024-02-08T00:00:00"/>
    <d v="2024-02-27T00:00:00"/>
    <s v="BAXTER CZECH spol. s r.o."/>
    <m/>
    <n v="1452789"/>
    <n v="1627123.68"/>
    <m/>
    <m/>
    <m/>
    <d v="2024-02-27T00:00:00"/>
    <s v="SMLN-2024-617-100105"/>
    <x v="11"/>
  </r>
  <r>
    <d v="2024-01-09T00:00:00"/>
    <s v="VZ-2024-000033"/>
    <x v="1"/>
    <s v="Vondrková"/>
    <s v="Hašková"/>
    <x v="14"/>
    <m/>
    <m/>
    <s v="podepsaná smlouva"/>
    <s v="33652200-7"/>
    <m/>
    <n v="1270265"/>
    <x v="1"/>
    <d v="2024-01-17T00:00:00"/>
    <d v="2024-01-31T00:00:00"/>
    <d v="2024-02-21T00:00:00"/>
    <s v="Alliance Healthcare s.r.o."/>
    <m/>
    <n v="1120072.8"/>
    <n v="1254481.54"/>
    <m/>
    <m/>
    <m/>
    <d v="2024-02-21T00:00:00"/>
    <s v="SMLN-2024-617-100084"/>
    <x v="12"/>
  </r>
  <r>
    <d v="2024-01-09T00:00:00"/>
    <s v="VZ-2024-000034"/>
    <x v="1"/>
    <s v="Vondrková"/>
    <s v="Hašková"/>
    <x v="15"/>
    <m/>
    <m/>
    <s v="zrušeno"/>
    <s v="33652000-5"/>
    <m/>
    <n v="1190600"/>
    <x v="1"/>
    <d v="2024-01-12T00:00:00"/>
    <d v="2024-01-31T00:00:00"/>
    <m/>
    <s v="zrušeno - bez nabídky"/>
    <s v="nová VZ-2024-000449"/>
    <m/>
    <m/>
    <m/>
    <m/>
    <m/>
    <m/>
    <m/>
    <x v="2"/>
  </r>
  <r>
    <d v="2024-01-10T00:00:00"/>
    <s v="VZ-2024-000037"/>
    <x v="2"/>
    <s v="Skulová"/>
    <s v="Štýbnarová"/>
    <x v="16"/>
    <m/>
    <m/>
    <s v="podepsaná smlouva"/>
    <s v="33171100-0"/>
    <s v="2.3.826, 2.2.610"/>
    <n v="930000"/>
    <x v="1"/>
    <d v="2024-01-15T00:00:00"/>
    <d v="2024-01-26T00:00:00"/>
    <d v="2024-02-14T00:00:00"/>
    <s v="G P S Praha, spol. s r.o."/>
    <m/>
    <n v="900400"/>
    <n v="1089484"/>
    <m/>
    <m/>
    <m/>
    <d v="2024-02-14T00:00:00"/>
    <s v="SMLN-2024-617-100071_x000a_SMLN-2024-612-100018"/>
    <x v="13"/>
  </r>
  <r>
    <d v="2024-01-09T00:00:00"/>
    <s v="VZ-2024-000039-01"/>
    <x v="1"/>
    <s v="Vlčková"/>
    <s v="Bodinková"/>
    <x v="17"/>
    <n v="1"/>
    <s v="DENOSUMAB"/>
    <s v="podepsaná smlouva"/>
    <s v="33632000-9"/>
    <m/>
    <n v="33050425"/>
    <x v="0"/>
    <d v="2024-01-18T00:00:00"/>
    <d v="2024-02-22T00:00:00"/>
    <d v="2024-03-19T00:00:00"/>
    <s v="Amgen s.r.o."/>
    <m/>
    <n v="32761504.59"/>
    <n v="36692885.140000001"/>
    <m/>
    <m/>
    <m/>
    <d v="2024-03-19T00:00:00"/>
    <s v="SMLN-2024-617-100151"/>
    <x v="14"/>
  </r>
  <r>
    <d v="2024-01-09T00:00:00"/>
    <s v="VZ-2024-000039-02"/>
    <x v="1"/>
    <s v="Vlčková"/>
    <s v="Bodinková"/>
    <x v="17"/>
    <n v="2"/>
    <s v="BUROZUMAB"/>
    <s v="podepsaná smlouva"/>
    <s v="33632000-9"/>
    <m/>
    <n v="13402526"/>
    <x v="0"/>
    <d v="2024-01-18T00:00:00"/>
    <d v="2024-02-22T00:00:00"/>
    <d v="2024-03-19T00:00:00"/>
    <s v="PHOENIX lék. velkoobchod, s.r.o."/>
    <m/>
    <n v="13672645.35"/>
    <n v="15313362.789999999"/>
    <m/>
    <m/>
    <m/>
    <d v="2024-03-19T00:00:00"/>
    <s v="SMLN-2024-617-100152"/>
    <x v="14"/>
  </r>
  <r>
    <d v="2024-01-09T00:00:00"/>
    <s v="VZ-2024-000040"/>
    <x v="1"/>
    <s v="Vlčková"/>
    <s v="Bodinková"/>
    <x v="18"/>
    <m/>
    <m/>
    <s v="podepsaná smlouva"/>
    <s v="33630000-5"/>
    <m/>
    <n v="53438862"/>
    <x v="0"/>
    <d v="2024-01-16T00:00:00"/>
    <d v="2024-02-21T00:00:00"/>
    <d v="2024-03-11T00:00:00"/>
    <s v="Sanofi s.r.o."/>
    <m/>
    <n v="53438859.93"/>
    <n v="59851523.119999997"/>
    <m/>
    <m/>
    <m/>
    <d v="2024-03-11T00:00:00"/>
    <s v="SMLN-2024-617-100136"/>
    <x v="15"/>
  </r>
  <r>
    <d v="2024-01-10T00:00:00"/>
    <s v="VZ-2024-000044"/>
    <x v="4"/>
    <s v="Zdráhalová"/>
    <s v="Staňková"/>
    <x v="19"/>
    <m/>
    <m/>
    <s v="podepsaná smlouva"/>
    <s v="30199000-0"/>
    <m/>
    <n v="1324225.1399999999"/>
    <x v="1"/>
    <d v="2024-01-12T00:00:00"/>
    <d v="2024-01-23T00:00:00"/>
    <d v="2024-02-07T00:00:00"/>
    <s v="Bartoň a Partner s.r.o."/>
    <m/>
    <n v="1267536.77"/>
    <n v="1533719.5"/>
    <m/>
    <m/>
    <m/>
    <d v="2024-02-07T00:00:00"/>
    <s v="SMLN-2024-617-100059"/>
    <x v="16"/>
  </r>
  <r>
    <d v="2023-11-21T00:00:00"/>
    <s v="VZ-2024-000045"/>
    <x v="2"/>
    <s v="Skulová"/>
    <s v="Kučera"/>
    <x v="20"/>
    <m/>
    <s v="původně VZ-2023-001441"/>
    <s v="zrušeno"/>
    <s v="33111720-4"/>
    <s v="2.2.593."/>
    <n v="51640000"/>
    <x v="0"/>
    <d v="2024-01-22T00:00:00"/>
    <d v="2024-03-15T00:00:00"/>
    <m/>
    <s v="zrušeno - bez hodnotitelné nabídky"/>
    <s v="nová VZ-2024-000371"/>
    <m/>
    <m/>
    <m/>
    <m/>
    <m/>
    <m/>
    <m/>
    <x v="2"/>
  </r>
  <r>
    <d v="2024-01-11T00:00:00"/>
    <s v="VZ-2024-000047"/>
    <x v="5"/>
    <s v="Valtová"/>
    <s v="Štýbnarová"/>
    <x v="21"/>
    <m/>
    <m/>
    <s v="podepsaná smlouva"/>
    <s v="33140000–3"/>
    <m/>
    <n v="604000"/>
    <x v="1"/>
    <d v="2024-01-12T00:00:00"/>
    <d v="2024-01-29T00:00:00"/>
    <d v="2024-02-01T00:00:00"/>
    <s v="Olympus Czech Group, s.r.o., člen koncernu"/>
    <m/>
    <n v="766400"/>
    <n v="858368"/>
    <m/>
    <m/>
    <m/>
    <d v="2024-02-01T00:00:00"/>
    <s v="SMLN-2024-617-100052_x000a_SMLN-2024-614-100004"/>
    <x v="17"/>
  </r>
  <r>
    <d v="2024-01-11T00:00:00"/>
    <s v="VZ-2024-000050"/>
    <x v="5"/>
    <s v="Dočkalová"/>
    <s v="Staňková"/>
    <x v="22"/>
    <m/>
    <m/>
    <s v="podepsaná smlouva"/>
    <s v="33731110-7"/>
    <m/>
    <n v="531000"/>
    <x v="1"/>
    <d v="2024-01-17T00:00:00"/>
    <d v="2024-01-29T00:00:00"/>
    <d v="2024-02-02T00:00:00"/>
    <s v="Medicontur CZ s.r.o."/>
    <m/>
    <n v="531000"/>
    <n v="594720"/>
    <m/>
    <m/>
    <m/>
    <d v="2024-02-02T00:00:00"/>
    <s v="SMLN-2024-617-100054"/>
    <x v="17"/>
  </r>
  <r>
    <d v="2024-01-11T00:00:00"/>
    <s v="VZ-2024-000057"/>
    <x v="2"/>
    <s v="Skulová"/>
    <s v="Kučera"/>
    <x v="23"/>
    <m/>
    <m/>
    <s v="podepsaná smlouva"/>
    <s v="33112000-8"/>
    <s v="2.2.522"/>
    <n v="3075000"/>
    <x v="2"/>
    <d v="2024-02-19T00:00:00"/>
    <d v="2024-03-07T00:00:00"/>
    <d v="2024-04-05T00:00:00"/>
    <s v="CARDION s.r.o."/>
    <m/>
    <n v="2924142.8"/>
    <n v="3322261"/>
    <m/>
    <m/>
    <m/>
    <d v="2024-04-05T00:00:00"/>
    <s v="SMLN-2024-617-100199_x000a_SMLN-2024-612-100043_x000a_SMLN-2024-617-100201"/>
    <x v="18"/>
  </r>
  <r>
    <d v="2024-01-16T00:00:00"/>
    <s v="VZ-2024-000058-01"/>
    <x v="2"/>
    <s v="Skulová"/>
    <s v="Zdražilová"/>
    <x v="24"/>
    <n v="1"/>
    <s v="Flexibilní videoendoskop pro ORL"/>
    <s v="podepsaná smlouva"/>
    <s v="33168100-6"/>
    <s v="2.3.782"/>
    <n v="410000"/>
    <x v="0"/>
    <d v="2024-01-23T00:00:00"/>
    <d v="2024-02-28T00:00:00"/>
    <d v="2024-04-11T00:00:00"/>
    <s v="Olympus Czech Group, s.r.o., člen koncernu"/>
    <m/>
    <n v="386100"/>
    <n v="467181"/>
    <m/>
    <m/>
    <m/>
    <d v="2024-04-11T00:00:00"/>
    <s v="SMLN-2024-617-100215_x000a_SMLN-2024-612-100045"/>
    <x v="19"/>
  </r>
  <r>
    <d v="2024-01-16T00:00:00"/>
    <s v="VZ-2024-000058-02"/>
    <x v="2"/>
    <s v="Skulová"/>
    <s v="Zdražilová"/>
    <x v="24"/>
    <n v="2"/>
    <s v="Endoskopy pro II.IK"/>
    <s v="podepsaná smlouva"/>
    <s v="33168100-6"/>
    <s v="2.3.785"/>
    <n v="1990000"/>
    <x v="0"/>
    <d v="2024-01-23T00:00:00"/>
    <d v="2024-02-28T00:00:00"/>
    <d v="2024-04-11T00:00:00"/>
    <s v="Olympus Czech Group, s.r.o., člen koncernu"/>
    <m/>
    <n v="1907700"/>
    <n v="2308317"/>
    <m/>
    <m/>
    <m/>
    <d v="2024-04-11T00:00:00"/>
    <s v="SMLN-2024-617-100216_x000a_SMLN-2024-612-100046"/>
    <x v="20"/>
  </r>
  <r>
    <d v="2024-01-16T00:00:00"/>
    <s v="VZ-2024-000058-03"/>
    <x v="2"/>
    <s v="Skulová"/>
    <s v="Zdražilová"/>
    <x v="24"/>
    <n v="3"/>
    <s v="Radiální sonda k endosonografu"/>
    <s v="podepsaná smlouva"/>
    <s v="33168100-6"/>
    <s v="2.3.788"/>
    <n v="228000"/>
    <x v="0"/>
    <d v="2024-01-23T00:00:00"/>
    <d v="2024-02-28T00:00:00"/>
    <d v="2024-04-11T00:00:00"/>
    <s v="Olympus Czech Group, s.r.o., člen koncernu"/>
    <m/>
    <n v="227144"/>
    <n v="274844.24"/>
    <m/>
    <m/>
    <m/>
    <d v="2024-04-11T00:00:00"/>
    <s v="SMLN-2024-617-100217"/>
    <x v="20"/>
  </r>
  <r>
    <d v="2024-01-15T00:00:00"/>
    <s v="VZ-2024-000059"/>
    <x v="4"/>
    <s v="Zdráhalová"/>
    <s v="Zdražilová"/>
    <x v="25"/>
    <m/>
    <m/>
    <s v="podepsaná smlouva"/>
    <s v="30197644-2"/>
    <m/>
    <n v="2540000"/>
    <x v="2"/>
    <d v="2024-01-23T00:00:00"/>
    <d v="2024-02-12T00:00:00"/>
    <d v="2024-03-11T00:00:00"/>
    <s v="Office Assistance s.r.o."/>
    <m/>
    <n v="1098380"/>
    <n v="1329039.8"/>
    <m/>
    <m/>
    <m/>
    <d v="2024-03-11T00:00:00"/>
    <s v="SMLN-2024-617-100140"/>
    <x v="21"/>
  </r>
  <r>
    <d v="2024-01-15T00:00:00"/>
    <s v="VZ-2024-000061"/>
    <x v="5"/>
    <s v="Dočkalová"/>
    <s v="Hašková"/>
    <x v="26"/>
    <m/>
    <m/>
    <s v="smlouva v kolečku"/>
    <s v="33141310-6"/>
    <m/>
    <n v="5024700"/>
    <x v="0"/>
    <d v="2024-01-22T00:00:00"/>
    <d v="2024-02-29T00:00:00"/>
    <d v="2024-07-31T00:00:00"/>
    <s v="Z+M Partner , spol. s r.o."/>
    <m/>
    <n v="6503020.7999999998"/>
    <n v="7283383.2999999998"/>
    <m/>
    <m/>
    <m/>
    <d v="2024-07-31T00:00:00"/>
    <s v="SMLN-2024-617-100434"/>
    <x v="2"/>
  </r>
  <r>
    <d v="2024-01-17T00:00:00"/>
    <s v="VZ-2024-000063"/>
    <x v="1"/>
    <s v="Vlčková"/>
    <s v="Bodinková"/>
    <x v="27"/>
    <m/>
    <m/>
    <s v="podepsaná smlouva"/>
    <s v="33652000-5"/>
    <m/>
    <n v="5249326"/>
    <x v="0"/>
    <d v="2024-01-23T00:00:00"/>
    <d v="2024-02-27T00:00:00"/>
    <d v="2024-03-04T00:00:00"/>
    <s v="PHOENIX lék. velkoobchod, s.r.o."/>
    <m/>
    <n v="5249324.82"/>
    <n v="5879243.7999999998"/>
    <m/>
    <m/>
    <m/>
    <d v="2024-03-04T00:00:00"/>
    <s v="SMLN-2024-617-100123"/>
    <x v="15"/>
  </r>
  <r>
    <d v="2024-01-17T00:00:00"/>
    <s v="VZ-2024-000065"/>
    <x v="3"/>
    <s v="Zemánková"/>
    <s v="Hašková"/>
    <x v="28"/>
    <m/>
    <m/>
    <s v="zrušeno"/>
    <s v="38434000-6_x000a_33694000-1"/>
    <s v="2.3.780"/>
    <n v="1788590"/>
    <x v="1"/>
    <d v="2024-02-02T00:00:00"/>
    <d v="2024-02-16T00:00:00"/>
    <m/>
    <s v="zrušeno - bez nabídky"/>
    <m/>
    <m/>
    <m/>
    <m/>
    <m/>
    <m/>
    <m/>
    <m/>
    <x v="2"/>
  </r>
  <r>
    <d v="2024-01-17T00:00:00"/>
    <s v="VZ-2024-000066"/>
    <x v="1"/>
    <s v="Vondrková"/>
    <s v="Staňková"/>
    <x v="29"/>
    <m/>
    <m/>
    <s v="podepsaná smlouva"/>
    <s v="33652000-5"/>
    <m/>
    <n v="1293812"/>
    <x v="1"/>
    <d v="2024-01-19T00:00:00"/>
    <d v="2024-02-08T00:00:00"/>
    <d v="2024-02-15T00:00:00"/>
    <s v="BAXTER CZECH spol. s r.o."/>
    <m/>
    <n v="1242325.5"/>
    <n v="1391404.56"/>
    <m/>
    <m/>
    <m/>
    <d v="2024-02-15T00:00:00"/>
    <s v="SMLN-2024-617-100073"/>
    <x v="13"/>
  </r>
  <r>
    <d v="2024-01-17T00:00:00"/>
    <s v="VZ-2024-000067"/>
    <x v="2"/>
    <s v="Skulová"/>
    <s v="Zdražilová"/>
    <x v="30"/>
    <m/>
    <m/>
    <s v="podepsaná smlouva"/>
    <s v="33160000-9_x000a_33162000-3"/>
    <s v="2.3.774"/>
    <n v="13336600"/>
    <x v="0"/>
    <d v="2024-01-23T00:00:00"/>
    <d v="2024-02-29T00:00:00"/>
    <d v="2024-03-22T00:00:00"/>
    <s v="Carl Zeiss spol. s r.o."/>
    <m/>
    <n v="13311600"/>
    <n v="16107036"/>
    <m/>
    <m/>
    <m/>
    <d v="2024-03-22T00:00:00"/>
    <s v="SMLN-2024-617-100162_x000a_SMLN-2024-612-100038"/>
    <x v="22"/>
  </r>
  <r>
    <d v="2024-01-17T00:00:00"/>
    <s v="VZ-2024-000068"/>
    <x v="1"/>
    <s v="Vondrková"/>
    <s v="Štýbnarová"/>
    <x v="31"/>
    <m/>
    <m/>
    <s v="podepsaná smlouva"/>
    <s v="33652200-7"/>
    <m/>
    <n v="763028"/>
    <x v="1"/>
    <d v="2024-01-22T00:00:00"/>
    <d v="2024-02-02T00:00:00"/>
    <d v="2024-02-08T00:00:00"/>
    <s v="PROMEDICA PRAHA GROUP, a.s."/>
    <m/>
    <n v="743700.36"/>
    <n v="832244.04"/>
    <m/>
    <m/>
    <m/>
    <d v="2024-02-08T00:00:00"/>
    <s v="SMLN-2024-617-100062"/>
    <x v="23"/>
  </r>
  <r>
    <d v="2024-01-18T00:00:00"/>
    <s v="VZ-2024-000070"/>
    <x v="1"/>
    <s v="Vondrková"/>
    <s v="Štýbnarová"/>
    <x v="32"/>
    <m/>
    <m/>
    <s v="zrušeno"/>
    <s v="33692510-5"/>
    <m/>
    <n v="1206432"/>
    <x v="1"/>
    <d v="2024-01-22T00:00:00"/>
    <d v="2024-02-02T00:00:00"/>
    <m/>
    <s v="zrušeno - bez nabídky"/>
    <m/>
    <m/>
    <m/>
    <m/>
    <m/>
    <m/>
    <m/>
    <m/>
    <x v="2"/>
  </r>
  <r>
    <d v="2024-01-19T00:00:00"/>
    <s v="VZ-2024-000072-01"/>
    <x v="2"/>
    <s v="Skulová"/>
    <s v="Štýbnarová"/>
    <x v="33"/>
    <n v="1"/>
    <s v="Hlubokomrazící box"/>
    <s v="podepsaná smlouva"/>
    <s v="39711100-0"/>
    <s v="2.2.617"/>
    <n v="330000"/>
    <x v="1"/>
    <d v="2024-01-22T00:00:00"/>
    <d v="2024-02-12T00:00:00"/>
    <d v="2024-02-22T00:00:00"/>
    <s v="KRD - obchodní společnost s.r.o."/>
    <m/>
    <n v="327000"/>
    <n v="395670"/>
    <m/>
    <m/>
    <m/>
    <d v="2024-02-22T00:00:00"/>
    <s v="SMLN-2024-617-100087_x000a_SMLN-2024-612-100023"/>
    <x v="24"/>
  </r>
  <r>
    <d v="2024-01-19T00:00:00"/>
    <s v="VZ-2024-000072-02"/>
    <x v="2"/>
    <s v="Skulová"/>
    <s v="Štýbnarová"/>
    <x v="33"/>
    <n v="2"/>
    <s v="Laboratorní lednice s mrazákem"/>
    <s v="podepsaná smlouva"/>
    <s v="39711100-0"/>
    <s v="2.2.594"/>
    <n v="120000"/>
    <x v="1"/>
    <d v="2024-01-22T00:00:00"/>
    <d v="2024-02-12T00:00:00"/>
    <d v="2024-02-22T00:00:00"/>
    <s v="SCHOELLER INSTRUMENTS, s.r.o."/>
    <m/>
    <n v="82400"/>
    <n v="99704"/>
    <m/>
    <m/>
    <m/>
    <d v="2024-02-22T00:00:00"/>
    <s v="SMLN-2024-617-100088_x000a_SMLN-2024-612-100024"/>
    <x v="25"/>
  </r>
  <r>
    <d v="2024-01-19T00:00:00"/>
    <s v="VZ-2024-000074"/>
    <x v="6"/>
    <s v="Srovnal"/>
    <s v="Staňková"/>
    <x v="34"/>
    <m/>
    <m/>
    <s v="podepsaná smlouva"/>
    <s v="79417000-0"/>
    <m/>
    <n v="1950000"/>
    <x v="1"/>
    <d v="2024-02-15T00:00:00"/>
    <d v="2024-03-12T00:00:00"/>
    <d v="2024-04-02T00:00:00"/>
    <s v="EBIS, spol. s r.o."/>
    <m/>
    <n v="858080"/>
    <n v="1038276.8"/>
    <m/>
    <m/>
    <m/>
    <d v="2024-04-02T00:00:00"/>
    <s v="SMLN-2024-612-100041"/>
    <x v="18"/>
  </r>
  <r>
    <d v="2024-01-19T00:00:00"/>
    <s v="VZ-2024-000076-01"/>
    <x v="2"/>
    <s v="Skulová"/>
    <s v="Zdražilová"/>
    <x v="35"/>
    <n v="1"/>
    <s v="Mobilní záznamové zařízení pro centrální operační sály (COS)"/>
    <s v="podepsaná smlouva"/>
    <s v="33197000-7"/>
    <s v="2.2.325"/>
    <n v="623229"/>
    <x v="0"/>
    <d v="2024-01-26T00:00:00"/>
    <d v="2024-04-04T00:00:00"/>
    <d v="2024-05-06T00:00:00"/>
    <s v="Medirecord CZ s.r.o."/>
    <m/>
    <n v="558879"/>
    <n v="676243.59"/>
    <m/>
    <m/>
    <m/>
    <d v="2024-05-06T00:00:00"/>
    <s v="SMLN-2024-617-100287_x000a_SMLN-2024-612-100060"/>
    <x v="19"/>
  </r>
  <r>
    <d v="2024-01-19T00:00:00"/>
    <s v="VZ-2024-000076-02"/>
    <x v="2"/>
    <s v="Skulová"/>
    <s v="Zdražilová"/>
    <x v="35"/>
    <n v="2"/>
    <s v="Nahrávací zařízení s videomaticí pro 2. interní kliniku"/>
    <s v="podepsaná smlouva"/>
    <s v="33197000-7"/>
    <s v="2.3.631"/>
    <n v="1105344"/>
    <x v="0"/>
    <d v="2024-01-26T00:00:00"/>
    <d v="2024-04-04T00:00:00"/>
    <d v="2024-05-06T00:00:00"/>
    <s v="Medirecord CZ s.r.o."/>
    <m/>
    <n v="1040994"/>
    <n v="1259602.74"/>
    <m/>
    <m/>
    <m/>
    <d v="2024-05-06T00:00:00"/>
    <s v="SMLN-2024-617-100288_x000a_SMLN-2024-612-100061"/>
    <x v="19"/>
  </r>
  <r>
    <d v="2024-01-19T00:00:00"/>
    <s v="VZ-2024-000077"/>
    <x v="4"/>
    <s v="Zdráhalová"/>
    <s v="Staňková"/>
    <x v="36"/>
    <m/>
    <m/>
    <s v="podepsaná smlouva"/>
    <s v="39830000-9"/>
    <m/>
    <n v="902868"/>
    <x v="1"/>
    <d v="2024-01-22T00:00:00"/>
    <d v="2024-02-02T00:00:00"/>
    <d v="2024-02-26T00:00:00"/>
    <s v="KARFO velkoobchod s.r.o."/>
    <m/>
    <n v="845333.15"/>
    <n v="1022853.11"/>
    <m/>
    <m/>
    <m/>
    <d v="2024-02-26T00:00:00"/>
    <s v="SMLN-2024-617-100100"/>
    <x v="24"/>
  </r>
  <r>
    <d v="2024-01-16T00:00:00"/>
    <s v="VZ-2024-000081"/>
    <x v="5"/>
    <s v="Dočkalová"/>
    <s v="Hašková"/>
    <x v="37"/>
    <m/>
    <m/>
    <s v="zrušeno"/>
    <s v="33140000-3"/>
    <m/>
    <n v="5670000"/>
    <x v="0"/>
    <d v="2024-01-23T00:00:00"/>
    <d v="2024-02-27T00:00:00"/>
    <m/>
    <s v="zrušeno - oprava zadání"/>
    <m/>
    <m/>
    <m/>
    <m/>
    <m/>
    <m/>
    <m/>
    <m/>
    <x v="2"/>
  </r>
  <r>
    <d v="2024-01-22T00:00:00"/>
    <s v="VZ-2024-000086"/>
    <x v="1"/>
    <s v="Vlčková"/>
    <s v="Hašková"/>
    <x v="38"/>
    <m/>
    <m/>
    <s v="podepsaná smlouva"/>
    <s v="33642000-2"/>
    <m/>
    <n v="3524091"/>
    <x v="0"/>
    <d v="2024-01-25T00:00:00"/>
    <d v="2024-02-29T00:00:00"/>
    <d v="2024-03-26T00:00:00"/>
    <s v="Alliance Healthcare s.r.o."/>
    <m/>
    <n v="3461074.41"/>
    <n v="3876403.34"/>
    <m/>
    <m/>
    <m/>
    <d v="2024-03-26T00:00:00"/>
    <s v="SMLN-2024-617-100169"/>
    <x v="26"/>
  </r>
  <r>
    <d v="2024-01-22T00:00:00"/>
    <s v="VZ-2024-000087-01"/>
    <x v="1"/>
    <s v="Vlčková"/>
    <s v="Hašková"/>
    <x v="39"/>
    <n v="1"/>
    <s v="INTERFERON BETA-1A I."/>
    <s v="zrušeno"/>
    <s v="33652000-5"/>
    <m/>
    <n v="45602115"/>
    <x v="0"/>
    <d v="2024-01-25T00:00:00"/>
    <d v="2024-02-29T00:00:00"/>
    <m/>
    <s v="zrušeno - změna v distribuci"/>
    <s v="VZ-2024-000320"/>
    <m/>
    <m/>
    <m/>
    <m/>
    <m/>
    <m/>
    <m/>
    <x v="2"/>
  </r>
  <r>
    <d v="2024-01-22T00:00:00"/>
    <s v="VZ-2024-000087-02"/>
    <x v="1"/>
    <s v="Vlčková"/>
    <s v="Hašková"/>
    <x v="39"/>
    <n v="2"/>
    <s v="INTERFERON BETA-1A II."/>
    <s v="podepsaná smlouva"/>
    <s v="33652000-5"/>
    <m/>
    <n v="40527433"/>
    <x v="0"/>
    <d v="2024-01-25T00:00:00"/>
    <d v="2024-02-29T00:00:00"/>
    <d v="2024-03-26T00:00:00"/>
    <s v="Avenier a.s."/>
    <m/>
    <n v="40503598.079999998"/>
    <n v="45364029.850000001"/>
    <m/>
    <m/>
    <m/>
    <d v="2024-03-26T00:00:00"/>
    <s v="SMLN-2024-617-100173"/>
    <x v="3"/>
  </r>
  <r>
    <d v="2024-01-17T00:00:00"/>
    <s v="VZ-2024-000088-01"/>
    <x v="1"/>
    <s v="Vlčková"/>
    <s v="Bodinková"/>
    <x v="40"/>
    <n v="1"/>
    <s v="IVAKAFTOR A TEZAKAFTOR"/>
    <s v="podepsaná smlouva"/>
    <s v="33670000-7"/>
    <m/>
    <n v="9879982"/>
    <x v="0"/>
    <d v="2024-01-26T00:00:00"/>
    <d v="2024-06-18T00:00:00"/>
    <d v="2024-08-09T00:00:00"/>
    <s v="Vertex Pharmaceuticals (Ireland) Limited"/>
    <m/>
    <n v="9879980.5500000007"/>
    <n v="11065578.220000001"/>
    <m/>
    <m/>
    <m/>
    <d v="2024-08-09T00:00:00"/>
    <s v="SMLN-2024-617-100448"/>
    <x v="27"/>
  </r>
  <r>
    <d v="2024-01-17T00:00:00"/>
    <s v="VZ-2024-000088-02"/>
    <x v="1"/>
    <s v="Vlčková"/>
    <s v="Bodinková"/>
    <x v="40"/>
    <n v="2"/>
    <s v="IVAKAFTOR A LUMAKAFTOR"/>
    <s v="podepsaná smlouva"/>
    <s v="33670000-7"/>
    <m/>
    <n v="122146781"/>
    <x v="0"/>
    <d v="2024-01-26T00:00:00"/>
    <d v="2024-06-18T00:00:00"/>
    <d v="2024-08-09T00:00:00"/>
    <s v="Vertex Pharmaceuticals (Ireland) Limited"/>
    <m/>
    <n v="121146779.42"/>
    <n v="136804392.94999999"/>
    <m/>
    <m/>
    <m/>
    <d v="2024-08-09T00:00:00"/>
    <s v="SMLN-2024-617-100449"/>
    <x v="27"/>
  </r>
  <r>
    <d v="2024-01-22T00:00:00"/>
    <s v="VZ-2024-000089"/>
    <x v="2"/>
    <s v="Skulová"/>
    <s v="Zdražilová"/>
    <x v="41"/>
    <m/>
    <m/>
    <s v="podepsaná smlouva"/>
    <s v="33124120-2"/>
    <s v="2.3.777"/>
    <n v="3925000"/>
    <x v="0"/>
    <d v="2024-01-26T00:00:00"/>
    <d v="2024-03-01T00:00:00"/>
    <d v="2024-03-21T00:00:00"/>
    <s v="MEDKONSULT, s.r.o."/>
    <m/>
    <n v="3845300"/>
    <n v="4652813"/>
    <m/>
    <m/>
    <m/>
    <d v="2024-03-21T00:00:00"/>
    <s v="SMLN-2024-617-100160_x000a_SMLN-2024-612-100036"/>
    <x v="14"/>
  </r>
  <r>
    <d v="2024-01-23T00:00:00"/>
    <s v="VZ-2024-000091"/>
    <x v="5"/>
    <s v="Merta"/>
    <s v="Hašková"/>
    <x v="42"/>
    <m/>
    <m/>
    <s v="podepsaná smlouva"/>
    <s v="33182220-7"/>
    <m/>
    <n v="290110000"/>
    <x v="0"/>
    <d v="2024-02-09T00:00:00"/>
    <d v="2024-03-15T00:00:00"/>
    <d v="2024-03-25T00:00:00"/>
    <s v="CARDION s.r.o."/>
    <m/>
    <n v="290110000"/>
    <n v="324923200"/>
    <m/>
    <m/>
    <m/>
    <d v="2024-03-26T00:00:00"/>
    <s v="SMLN-2024-617-100167_x000a_SMLN-2024-614-100019"/>
    <x v="28"/>
  </r>
  <r>
    <d v="2024-01-22T00:00:00"/>
    <s v="VZ-2024-000096"/>
    <x v="7"/>
    <s v="Oravec"/>
    <s v="Staňková"/>
    <x v="43"/>
    <m/>
    <m/>
    <s v="podepsaná smlouva"/>
    <s v="72268000-1"/>
    <m/>
    <n v="1430000"/>
    <x v="1"/>
    <d v="2024-01-29T00:00:00"/>
    <d v="2024-02-09T00:00:00"/>
    <d v="2024-02-29T00:00:00"/>
    <s v="Conceptica s.r.o."/>
    <m/>
    <n v="957400"/>
    <n v="1158454"/>
    <m/>
    <m/>
    <m/>
    <d v="2024-02-29T00:00:00"/>
    <s v="SMLN-2024-618-100007_x000a_SMLN-2024-612-100029"/>
    <x v="24"/>
  </r>
  <r>
    <d v="2024-01-19T00:00:00"/>
    <s v="VZ-2024-000097"/>
    <x v="5"/>
    <s v="Dočkalová"/>
    <s v="Štýbnarová"/>
    <x v="44"/>
    <m/>
    <m/>
    <s v="podepsaná smlouva"/>
    <s v="33140000-3"/>
    <m/>
    <n v="1425680"/>
    <x v="1"/>
    <d v="2024-01-29T00:00:00"/>
    <d v="2024-02-09T00:00:00"/>
    <d v="2024-02-20T00:00:00"/>
    <s v="DYNEX LabSolutions, s.r.o."/>
    <m/>
    <n v="1853294"/>
    <n v="2242485.7400000002"/>
    <m/>
    <m/>
    <m/>
    <d v="2024-02-20T00:00:00"/>
    <s v="SMLN-2024-617-100078"/>
    <x v="29"/>
  </r>
  <r>
    <d v="2024-01-23T00:00:00"/>
    <s v="VZ-2024-000098"/>
    <x v="1"/>
    <s v="Vlčková"/>
    <s v="Bodinková"/>
    <x v="45"/>
    <m/>
    <m/>
    <s v="podepsaná smlouva"/>
    <s v="33652300-8"/>
    <m/>
    <n v="7985124"/>
    <x v="0"/>
    <d v="2024-01-26T00:00:00"/>
    <d v="2024-03-01T00:00:00"/>
    <d v="2024-04-03T00:00:00"/>
    <s v="Janssen-Cilag s.r.o."/>
    <m/>
    <n v="7985018.1600000001"/>
    <n v="8943220.3399999999"/>
    <m/>
    <m/>
    <m/>
    <d v="2024-04-03T00:00:00"/>
    <s v="SMLN-2024-617-100187"/>
    <x v="22"/>
  </r>
  <r>
    <d v="2024-01-24T00:00:00"/>
    <s v="VZ-2024-000099"/>
    <x v="1"/>
    <s v="Vondrková"/>
    <s v="Bodinková"/>
    <x v="46"/>
    <m/>
    <m/>
    <s v="podepsaná smlouva"/>
    <s v="33652300-8"/>
    <m/>
    <n v="7869981"/>
    <x v="0"/>
    <d v="2024-01-26T00:00:00"/>
    <d v="2024-03-01T00:00:00"/>
    <d v="2024-03-26T00:00:00"/>
    <s v="Janssen-Cilag s.r.o."/>
    <m/>
    <n v="7869980.1600000001"/>
    <n v="8814377.7799999993"/>
    <m/>
    <m/>
    <m/>
    <d v="2024-03-26T00:00:00"/>
    <s v="SMLN-2024-617-100174"/>
    <x v="22"/>
  </r>
  <r>
    <d v="2024-01-24T00:00:00"/>
    <s v="VZ-2024-000100"/>
    <x v="1"/>
    <s v="Vondrková"/>
    <s v="Bodinková"/>
    <x v="47"/>
    <m/>
    <m/>
    <s v="podepsaná smlouva"/>
    <s v="33652100-6"/>
    <m/>
    <n v="4279897"/>
    <x v="0"/>
    <d v="2024-01-26T00:00:00"/>
    <d v="2024-03-01T00:00:00"/>
    <d v="2024-04-04T00:00:00"/>
    <s v="Alliance Healthcare s.r.o."/>
    <m/>
    <n v="4279896.12"/>
    <n v="4793483.6500000004"/>
    <m/>
    <m/>
    <m/>
    <d v="2024-04-05T00:00:00"/>
    <s v="SMLN-2024-617-100193"/>
    <x v="18"/>
  </r>
  <r>
    <d v="2024-01-26T00:00:00"/>
    <s v="VZ-2024-000106"/>
    <x v="5"/>
    <s v="Čech"/>
    <s v="Zdražilová"/>
    <x v="48"/>
    <m/>
    <m/>
    <s v="zaveden DNS"/>
    <s v="33162200-5, 33169000"/>
    <m/>
    <n v="50000000"/>
    <x v="3"/>
    <d v="2024-02-06T00:00:00"/>
    <d v="2024-03-11T00:00:00"/>
    <d v="2024-04-05T00:00:00"/>
    <s v="9 dodavatelů"/>
    <m/>
    <m/>
    <m/>
    <m/>
    <m/>
    <m/>
    <m/>
    <m/>
    <x v="2"/>
  </r>
  <r>
    <d v="2024-01-26T00:00:00"/>
    <s v="VZ-2024-000107-01"/>
    <x v="5"/>
    <s v="Valtová"/>
    <s v="Hašková"/>
    <x v="49"/>
    <n v="1"/>
    <s v="Katétry pro návrat do pravého lumen cévy I."/>
    <s v="podepsaná smlouva"/>
    <s v="33140000–3"/>
    <m/>
    <n v="1250000"/>
    <x v="2"/>
    <d v="2024-02-05T00:00:00"/>
    <d v="2024-02-26T00:00:00"/>
    <d v="2024-04-17T00:00:00"/>
    <s v="VAMEX, spol. s r.o."/>
    <m/>
    <n v="1425000"/>
    <n v="1596000"/>
    <m/>
    <m/>
    <m/>
    <d v="2024-04-17T00:00:00"/>
    <s v="SMLN-2024-617-100235_x000a_SMLN-2024-614-100028"/>
    <x v="30"/>
  </r>
  <r>
    <d v="2024-01-26T00:00:00"/>
    <s v="VZ-2024-000107-02"/>
    <x v="5"/>
    <s v="Valtová"/>
    <s v="Hašková"/>
    <x v="49"/>
    <n v="2"/>
    <s v="Katétry pro návrat do pravého lumen cévy II."/>
    <s v="podepsaná smlouva"/>
    <s v="33140000–3"/>
    <m/>
    <n v="757145"/>
    <x v="2"/>
    <d v="2024-02-05T00:00:00"/>
    <d v="2024-02-26T00:00:00"/>
    <d v="2024-04-17T00:00:00"/>
    <s v="VarioMedical Plus, s.r.o."/>
    <m/>
    <n v="757144.75"/>
    <n v="848002.12"/>
    <m/>
    <m/>
    <m/>
    <d v="2024-04-17T00:00:00"/>
    <s v="SMLN-2024-617-100236_x000a_SMLN-2024-614-100029"/>
    <x v="7"/>
  </r>
  <r>
    <d v="2024-01-29T00:00:00"/>
    <s v="VZ-2024-000110"/>
    <x v="8"/>
    <s v="Novák"/>
    <s v="Štýbnarová"/>
    <x v="50"/>
    <m/>
    <m/>
    <s v="zrušeno"/>
    <s v="42514000-2"/>
    <m/>
    <n v="925500"/>
    <x v="1"/>
    <d v="2024-02-01T00:00:00"/>
    <d v="2024-02-12T00:00:00"/>
    <m/>
    <s v="zrušeno - bez hodnotitelné nabídky"/>
    <s v="nová VZ-2024-000181"/>
    <m/>
    <m/>
    <m/>
    <m/>
    <m/>
    <m/>
    <m/>
    <x v="2"/>
  </r>
  <r>
    <d v="2024-01-30T00:00:00"/>
    <s v="VZ-2024-000112"/>
    <x v="6"/>
    <s v="Srovnal"/>
    <s v="Kučera"/>
    <x v="51"/>
    <m/>
    <m/>
    <s v="zaveden DNS"/>
    <s v="39100000-3"/>
    <m/>
    <n v="25000000"/>
    <x v="3"/>
    <d v="2024-02-06T00:00:00"/>
    <d v="2024-03-11T00:00:00"/>
    <d v="2024-03-21T00:00:00"/>
    <s v="15 dodavatelů"/>
    <m/>
    <m/>
    <m/>
    <m/>
    <m/>
    <m/>
    <m/>
    <m/>
    <x v="2"/>
  </r>
  <r>
    <d v="2024-01-30T00:00:00"/>
    <s v="VZ-2024-000113-01"/>
    <x v="2"/>
    <s v="Skulová"/>
    <s v="Staňková"/>
    <x v="52"/>
    <n v="1"/>
    <s v="Farmaceutická lednice"/>
    <s v="podepsaná smlouva"/>
    <s v="39711100-0"/>
    <s v="2.2.588"/>
    <n v="140000"/>
    <x v="1"/>
    <d v="2024-02-02T00:00:00"/>
    <d v="2024-02-16T00:00:00"/>
    <d v="2024-03-13T00:00:00"/>
    <s v="SCHOELLER INSTRUMENTS, s.r.o."/>
    <m/>
    <n v="101650"/>
    <n v="122996.5"/>
    <m/>
    <m/>
    <m/>
    <d v="2024-03-13T00:00:00"/>
    <s v="SMLN-2024-617-100146_x000a_SMLN-2024-612-100033"/>
    <x v="31"/>
  </r>
  <r>
    <d v="2024-01-30T00:00:00"/>
    <s v="VZ-2024-000113-02"/>
    <x v="2"/>
    <s v="Skulová"/>
    <s v="Staňková"/>
    <x v="52"/>
    <n v="2"/>
    <s v="Chladící skříň"/>
    <s v="podepsaná smlouva"/>
    <s v="39711100-0"/>
    <s v="2.2.630"/>
    <n v="120000"/>
    <x v="1"/>
    <d v="2024-02-02T00:00:00"/>
    <d v="2024-02-16T00:00:00"/>
    <d v="2024-02-23T00:00:00"/>
    <s v="KESA, s.r.o."/>
    <m/>
    <n v="56039"/>
    <n v="67807.19"/>
    <m/>
    <m/>
    <m/>
    <d v="2023-02-23T00:00:00"/>
    <s v="SMLN-2024-617-100091_x000a_SMLN-2024-612-100027"/>
    <x v="15"/>
  </r>
  <r>
    <d v="2024-01-30T00:00:00"/>
    <s v="VZ-2024-000115"/>
    <x v="5"/>
    <s v="Dočkalová"/>
    <s v="Hašková"/>
    <x v="53"/>
    <m/>
    <m/>
    <s v="zrušeno"/>
    <s v="33184100-4"/>
    <m/>
    <n v="31252173.68"/>
    <x v="0"/>
    <d v="2024-02-07T00:00:00"/>
    <d v="2024-03-18T00:00:00"/>
    <m/>
    <s v="zrušeno - překročení ceny"/>
    <s v="nová VZ-2024-000377"/>
    <m/>
    <m/>
    <m/>
    <m/>
    <m/>
    <m/>
    <m/>
    <x v="2"/>
  </r>
  <r>
    <s v="opakovaná VZ"/>
    <s v="VZ-2024-000116"/>
    <x v="2"/>
    <s v="Skulová"/>
    <s v="Štýbnarová"/>
    <x v="54"/>
    <m/>
    <m/>
    <s v="podepsaná smlouva"/>
    <s v="42912330-4"/>
    <s v="2.3.709."/>
    <n v="440000"/>
    <x v="1"/>
    <d v="2024-02-01T00:00:00"/>
    <d v="2024-02-12T00:00:00"/>
    <d v="2024-02-22T00:00:00"/>
    <s v="AQUAL s.r.o."/>
    <m/>
    <n v="263666"/>
    <n v="319035.86"/>
    <m/>
    <m/>
    <m/>
    <d v="2024-02-22T00:00:00"/>
    <s v="SMLN-2024-617-100089_x000a_SMLN-2024-612-100025"/>
    <x v="24"/>
  </r>
  <r>
    <s v="převod z roku 2023"/>
    <s v="VZ-2024-000117"/>
    <x v="0"/>
    <s v="Spáčil Z."/>
    <s v="Kučera"/>
    <x v="55"/>
    <m/>
    <m/>
    <s v="podepsaná smlouva"/>
    <s v="71315400-3 "/>
    <m/>
    <n v="25000000"/>
    <x v="0"/>
    <d v="2024-03-04T00:00:00"/>
    <d v="2024-04-08T00:00:00"/>
    <d v="2024-06-05T00:00:00"/>
    <s v="SAFETY PRO s.r.o."/>
    <m/>
    <n v="23757120"/>
    <n v="28746115.199999999"/>
    <m/>
    <m/>
    <m/>
    <d v="2024-06-05T00:00:00"/>
    <s v="SMLN-2024-613-100019"/>
    <x v="32"/>
  </r>
  <r>
    <d v="2024-01-31T00:00:00"/>
    <s v="VZ-2024-000119"/>
    <x v="7"/>
    <s v="Oravec"/>
    <s v="Staňková"/>
    <x v="56"/>
    <m/>
    <m/>
    <s v="podepsaná smlouva"/>
    <s v="32250000-0"/>
    <m/>
    <n v="620000"/>
    <x v="1"/>
    <d v="2024-02-12T00:00:00"/>
    <d v="2024-03-04T00:00:00"/>
    <d v="2024-03-13T00:00:00"/>
    <s v="CSF, s.r.o."/>
    <m/>
    <n v="599335"/>
    <n v="725195.35"/>
    <m/>
    <m/>
    <m/>
    <d v="2024-03-13T00:00:00"/>
    <s v="SMLN-2024-617-100143"/>
    <x v="15"/>
  </r>
  <r>
    <d v="2024-02-01T00:00:00"/>
    <s v="VZ-2024-000121"/>
    <x v="1"/>
    <s v="Vondrková"/>
    <s v="Staňková"/>
    <x v="57"/>
    <m/>
    <m/>
    <s v="zrušeno"/>
    <s v="33652100-6"/>
    <m/>
    <n v="1131201"/>
    <x v="1"/>
    <d v="2024-02-08T00:00:00"/>
    <d v="2024-03-11T00:00:00"/>
    <m/>
    <s v="zrušeno - bez hodnotitelné nabídky"/>
    <s v="nová VZ-2024-000267"/>
    <m/>
    <m/>
    <m/>
    <m/>
    <m/>
    <m/>
    <m/>
    <x v="2"/>
  </r>
  <r>
    <d v="2024-02-01T00:00:00"/>
    <s v="VZ-2024-000122"/>
    <x v="5"/>
    <s v="Valtová"/>
    <s v="Zdražilová"/>
    <x v="58"/>
    <m/>
    <m/>
    <s v="zrušeno"/>
    <s v="33140000 -3"/>
    <m/>
    <n v="2066400"/>
    <x v="2"/>
    <d v="2024-02-16T00:00:00"/>
    <d v="2024-03-08T00:00:00"/>
    <d v="2024-04-16T00:00:00"/>
    <s v="zrušeno - neposkytnutí součinnosti"/>
    <s v="nová VZ-2024-000483"/>
    <n v="2583000"/>
    <n v="2892960"/>
    <m/>
    <m/>
    <m/>
    <d v="2024-04-16T00:00:00"/>
    <s v="SMLN-2024-617-100223_x000a_SMLN-2024-614-100025"/>
    <x v="2"/>
  </r>
  <r>
    <d v="2024-02-01T00:00:00"/>
    <s v="VZ-2024-000123"/>
    <x v="5"/>
    <s v="Dočkalová"/>
    <s v="Hašková"/>
    <x v="59"/>
    <m/>
    <m/>
    <s v="podepsaná smlouva"/>
    <s v="33140000 -3"/>
    <m/>
    <n v="5785000"/>
    <x v="0"/>
    <d v="2024-02-07T00:00:00"/>
    <d v="2024-03-13T00:00:00"/>
    <d v="2024-04-08T00:00:00"/>
    <s v="B. Braun Medical s.r.o."/>
    <m/>
    <n v="6597950.8399999999"/>
    <n v="7389704.9400000004"/>
    <m/>
    <m/>
    <m/>
    <d v="2024-04-08T00:00:00"/>
    <s v="SMLN-2024-617-100205_x000a_SMLN-2024-614-100020_x000a_SMLN-2024-616-100029"/>
    <x v="20"/>
  </r>
  <r>
    <d v="2024-02-02T00:00:00"/>
    <s v="VZ-2024-000125"/>
    <x v="6"/>
    <s v="Srovnal"/>
    <s v="Štýbnarová"/>
    <x v="60"/>
    <m/>
    <m/>
    <s v="podepsaná smlouva"/>
    <s v="39100000-3"/>
    <m/>
    <n v="1500000"/>
    <x v="1"/>
    <d v="2024-02-07T00:00:00"/>
    <d v="2024-03-01T00:00:00"/>
    <d v="2024-03-05T00:00:00"/>
    <s v="TOKA a.s."/>
    <m/>
    <n v="1545199"/>
    <n v="1869690.79"/>
    <m/>
    <m/>
    <m/>
    <d v="2024-03-05T00:00:00"/>
    <s v="SMLN-2024-618-100009"/>
    <x v="15"/>
  </r>
  <r>
    <d v="2024-02-05T00:00:00"/>
    <s v="VZ-2024-000135"/>
    <x v="1"/>
    <s v="Vondrková"/>
    <s v="Bodinková"/>
    <x v="61"/>
    <m/>
    <m/>
    <s v="podepsaná smlouva"/>
    <s v="33642200-4"/>
    <m/>
    <n v="2209093"/>
    <x v="4"/>
    <d v="2024-02-19T00:00:00"/>
    <d v="2024-03-13T00:00:00"/>
    <d v="2024-04-23T00:00:00"/>
    <s v="PHOENIX lék. velkoobchod, s.r.o."/>
    <m/>
    <n v="2130136.8199999998"/>
    <n v="2385753.2400000002"/>
    <m/>
    <m/>
    <m/>
    <d v="2024-04-23T00:00:00"/>
    <s v="SMLN-2024-617-100252"/>
    <x v="33"/>
  </r>
  <r>
    <d v="2024-02-05T00:00:00"/>
    <s v="VZ-2024-000136"/>
    <x v="2"/>
    <s v="Skulová"/>
    <s v="Štýbnarová"/>
    <x v="62"/>
    <m/>
    <m/>
    <s v="podepsaná smlouva"/>
    <s v="33192120-9"/>
    <s v="2.2.626."/>
    <n v="570000"/>
    <x v="1"/>
    <d v="2024-02-09T00:00:00"/>
    <d v="2024-02-20T00:00:00"/>
    <d v="2024-02-23T00:00:00"/>
    <s v="PROMA REHA, s.r.o."/>
    <m/>
    <n v="563338.35"/>
    <n v="681639.4"/>
    <m/>
    <m/>
    <m/>
    <d v="2024-02-23T00:00:00"/>
    <s v="SMLN-2024-617-100090_x000a_SMLN-2024-612-100026"/>
    <x v="24"/>
  </r>
  <r>
    <d v="2024-02-05T00:00:00"/>
    <s v="VZ-2024-000138"/>
    <x v="2"/>
    <s v="Skulová"/>
    <s v="Staňková"/>
    <x v="63"/>
    <m/>
    <m/>
    <s v="podepsaná smlouva"/>
    <s v="33128000-3"/>
    <s v="2.3.810."/>
    <n v="1990000"/>
    <x v="1"/>
    <d v="2024-02-09T00:00:00"/>
    <d v="2024-02-20T00:00:00"/>
    <d v="2024-03-01T00:00:00"/>
    <s v="Medicontur CZ s.r.o."/>
    <m/>
    <n v="1689281"/>
    <n v="2044030.01"/>
    <m/>
    <m/>
    <m/>
    <d v="2024-03-01T00:00:00"/>
    <s v="SMLN-2024-617-100119 SMLN-2024-612-100030"/>
    <x v="34"/>
  </r>
  <r>
    <d v="2024-02-05T00:00:00"/>
    <s v="VZ-2024-000139"/>
    <x v="2"/>
    <s v="Skulová"/>
    <s v="Štýbnarová"/>
    <x v="64"/>
    <m/>
    <m/>
    <s v="podepsaná smlouva"/>
    <s v="38000000-5"/>
    <s v="2.2.615."/>
    <n v="151000"/>
    <x v="1"/>
    <d v="2024-02-09T00:00:00"/>
    <d v="2024-02-20T00:00:00"/>
    <d v="2024-03-21T00:00:00"/>
    <s v="bamed s.r.o."/>
    <m/>
    <n v="132980.4"/>
    <n v="160906.28"/>
    <m/>
    <m/>
    <m/>
    <d v="2024-03-22T00:00:00"/>
    <s v="SMLN-2024-617-100161_x000a_SMLN-2024-612-100037"/>
    <x v="35"/>
  </r>
  <r>
    <d v="2024-02-05T00:00:00"/>
    <s v="VZ-2024-000140"/>
    <x v="2"/>
    <s v="Skulová"/>
    <s v="Staňková"/>
    <x v="65"/>
    <m/>
    <m/>
    <s v="podepsaná smlouva"/>
    <s v="38000000-5"/>
    <s v="2.2.614."/>
    <n v="358000"/>
    <x v="1"/>
    <d v="2024-02-09T00:00:00"/>
    <d v="2024-02-20T00:00:00"/>
    <d v="2024-03-05T00:00:00"/>
    <s v="BARIA s.r.o."/>
    <m/>
    <n v="351999"/>
    <n v="421078.79"/>
    <m/>
    <m/>
    <m/>
    <d v="2024-03-05T00:00:00"/>
    <s v="SMLN-2024-617-100124_x000a_SMLN-2024-612-100017"/>
    <x v="15"/>
  </r>
  <r>
    <d v="2024-02-06T00:00:00"/>
    <s v="VZ-2024-000142"/>
    <x v="5"/>
    <s v="Dočkalová"/>
    <s v="Zdražilová"/>
    <x v="66"/>
    <m/>
    <m/>
    <s v="podepsaná smlouva"/>
    <s v="33140000-3"/>
    <m/>
    <n v="3241320"/>
    <x v="2"/>
    <d v="2024-02-08T00:00:00"/>
    <d v="2024-02-27T00:00:00"/>
    <d v="2024-03-11T00:00:00"/>
    <s v="Getinge Czech Republic, s.r.o."/>
    <m/>
    <n v="3638965.76"/>
    <n v="4075641.65"/>
    <m/>
    <m/>
    <m/>
    <d v="2024-03-25T00:00:00"/>
    <s v="SMLN-2024-617-100139"/>
    <x v="31"/>
  </r>
  <r>
    <d v="2024-02-06T00:00:00"/>
    <s v="VZ-2024-000146"/>
    <x v="5"/>
    <s v="Dočkalová"/>
    <s v="Staňková"/>
    <x v="67"/>
    <m/>
    <m/>
    <s v="zrušeno"/>
    <s v="33162200-5"/>
    <m/>
    <n v="632000"/>
    <x v="1"/>
    <d v="2024-02-08T00:00:00"/>
    <d v="2024-02-19T00:00:00"/>
    <m/>
    <s v="zrušeno - bez nabídky"/>
    <s v="nová VZ-2024-000183"/>
    <m/>
    <m/>
    <m/>
    <m/>
    <m/>
    <m/>
    <m/>
    <x v="2"/>
  </r>
  <r>
    <d v="2024-02-07T00:00:00"/>
    <s v="VZ-2024-000147-01"/>
    <x v="1"/>
    <s v="Vlčková"/>
    <s v="Hašková"/>
    <x v="68"/>
    <n v="1"/>
    <s v="AMBRISENTAN I."/>
    <s v="podepsaná smlouva"/>
    <s v="33622200-8"/>
    <m/>
    <n v="6879192"/>
    <x v="0"/>
    <d v="2024-02-19T00:00:00"/>
    <d v="2024-03-25T00:00:00"/>
    <d v="2024-04-19T00:00:00"/>
    <s v="Alliance Healthcare s.r.o."/>
    <m/>
    <n v="3093236.1"/>
    <n v="3464424.43"/>
    <m/>
    <m/>
    <m/>
    <d v="2024-04-19T00:00:00"/>
    <s v="SMLN-2024-617-100244"/>
    <x v="33"/>
  </r>
  <r>
    <d v="2024-02-07T00:00:00"/>
    <s v="VZ-2024-000147-02"/>
    <x v="1"/>
    <s v="Vlčková"/>
    <s v="Hašková"/>
    <x v="68"/>
    <n v="2"/>
    <s v="AMBRISENTAN II."/>
    <s v="podepsaná smlouva"/>
    <s v="33622200-8"/>
    <m/>
    <n v="429112"/>
    <x v="0"/>
    <d v="2024-02-19T00:00:00"/>
    <d v="2024-03-25T00:00:00"/>
    <d v="2024-04-19T00:00:00"/>
    <s v="PROMEDICA PRAHA GROUP, a.s."/>
    <m/>
    <n v="241430.39999999999"/>
    <n v="270402.05"/>
    <m/>
    <m/>
    <m/>
    <d v="2024-04-19T00:00:00"/>
    <s v="SMLN-2024-617-100245"/>
    <x v="33"/>
  </r>
  <r>
    <d v="2024-02-07T00:00:00"/>
    <s v="VZ-2024-000149"/>
    <x v="5"/>
    <s v="Valtová"/>
    <s v="Štýbnarová"/>
    <x v="69"/>
    <m/>
    <m/>
    <s v="podepsaná smlouva"/>
    <s v="33140000-3"/>
    <m/>
    <n v="902696"/>
    <x v="1"/>
    <d v="2024-02-12T00:00:00"/>
    <d v="2024-02-23T00:00:00"/>
    <d v="2024-03-06T00:00:00"/>
    <s v="ARID obchodní společnost, s.r.o."/>
    <m/>
    <n v="860200"/>
    <n v="963424"/>
    <m/>
    <m/>
    <m/>
    <d v="2024-03-06T00:00:00"/>
    <s v="SMLN-2024-617-100127_x000a_SMLN-2024-614-100010"/>
    <x v="15"/>
  </r>
  <r>
    <d v="2024-02-08T00:00:00"/>
    <s v="VZ-2024-000150"/>
    <x v="5"/>
    <s v="Valtová"/>
    <s v="Štýbnarová"/>
    <x v="70"/>
    <m/>
    <m/>
    <s v="podepsaná smlouva"/>
    <s v="33140000-3"/>
    <m/>
    <n v="775000"/>
    <x v="1"/>
    <d v="2024-02-12T00:00:00"/>
    <d v="2024-02-23T00:00:00"/>
    <d v="2024-03-06T00:00:00"/>
    <s v="Stimcare, s.r.o."/>
    <m/>
    <n v="774792.5"/>
    <n v="867767.6"/>
    <m/>
    <m/>
    <m/>
    <d v="2024-03-06T00:00:00"/>
    <s v="SMLN-2024-617-100126_x000a_SMLN-2024-614-100009"/>
    <x v="31"/>
  </r>
  <r>
    <d v="2024-02-09T00:00:00"/>
    <s v="VZ-2024-000151"/>
    <x v="5"/>
    <s v="Valtová"/>
    <s v="Zdražilová"/>
    <x v="71"/>
    <m/>
    <m/>
    <s v="zrušeno"/>
    <s v="33140000-3"/>
    <m/>
    <n v="2467400"/>
    <x v="0"/>
    <d v="2024-02-19T00:00:00"/>
    <d v="2024-04-02T00:00:00"/>
    <m/>
    <s v="zrušeno - úprava specifikace"/>
    <s v="nová VZ-2024-000484"/>
    <n v="2337400"/>
    <n v="2617888"/>
    <m/>
    <m/>
    <m/>
    <m/>
    <m/>
    <x v="2"/>
  </r>
  <r>
    <d v="2024-02-07T00:00:00"/>
    <s v="VZ-2024-000153"/>
    <x v="1"/>
    <s v="Vlčková"/>
    <s v="Bodinková"/>
    <x v="72"/>
    <m/>
    <m/>
    <s v="podepsaná smlouva"/>
    <s v="33600000-6"/>
    <m/>
    <n v="230888939"/>
    <x v="5"/>
    <d v="2024-02-16T00:00:00"/>
    <d v="2024-02-19T00:00:00"/>
    <d v="2024-02-23T00:00:00"/>
    <s v="Gilead Sciences s.r.o."/>
    <m/>
    <n v="206150838.15000001"/>
    <n v="230888938.80000001"/>
    <m/>
    <m/>
    <m/>
    <d v="2024-02-14T00:00:00"/>
    <s v="SMLN-2024-617-100068"/>
    <x v="29"/>
  </r>
  <r>
    <d v="2024-02-08T00:00:00"/>
    <s v="VZ-2024-000154"/>
    <x v="9"/>
    <s v="Kula"/>
    <s v="Staňková"/>
    <x v="73"/>
    <m/>
    <m/>
    <s v="podepsaná smlouva"/>
    <s v="79300000-7"/>
    <m/>
    <n v="830000"/>
    <x v="1"/>
    <d v="2024-02-09T00:00:00"/>
    <d v="2024-03-01T00:00:00"/>
    <d v="2024-03-05T00:00:00"/>
    <s v="Inboox CZ, s.r.o."/>
    <m/>
    <n v="460000"/>
    <n v="556600"/>
    <m/>
    <m/>
    <m/>
    <d v="2024-03-06T00:00:00"/>
    <s v="SMLN-2024-612-100032"/>
    <x v="36"/>
  </r>
  <r>
    <d v="2024-02-08T00:00:00"/>
    <s v="VZ-2024-000155-01"/>
    <x v="5"/>
    <s v="Čech"/>
    <s v="Zdražilová"/>
    <x v="74"/>
    <n v="1"/>
    <s v="Revizní náhrady kolenního kloubu pro biologicky starší pacienty"/>
    <s v="podepsaná smlouva"/>
    <s v="33141750-2"/>
    <m/>
    <n v="13232000"/>
    <x v="0"/>
    <d v="2024-02-14T00:00:00"/>
    <d v="2024-04-17T00:00:00"/>
    <d v="2024-06-20T00:00:00"/>
    <s v="Zimmer Czech, s.r.o."/>
    <m/>
    <n v="16299331.199999999"/>
    <n v="18255250.940000001"/>
    <m/>
    <m/>
    <m/>
    <d v="2024-06-20T00:00:00"/>
    <s v="SMLN-2024-617-100364"/>
    <x v="37"/>
  </r>
  <r>
    <d v="2024-02-08T00:00:00"/>
    <s v="VZ-2024-000155-02"/>
    <x v="5"/>
    <s v="Čech"/>
    <s v="Zdražilová"/>
    <x v="74"/>
    <n v="2"/>
    <s v="Revizní náhrady kolenního kloubu pro biologicky mladší pacienty"/>
    <s v="podepsaná smlouva"/>
    <s v="33141750-2"/>
    <m/>
    <n v="9184000"/>
    <x v="0"/>
    <d v="2024-02-14T00:00:00"/>
    <d v="2024-04-17T00:00:00"/>
    <d v="2024-06-20T00:00:00"/>
    <s v="Johnson  &amp; Johnson, s.r.o."/>
    <m/>
    <n v="10136780"/>
    <n v="11353193.6"/>
    <m/>
    <m/>
    <m/>
    <d v="2024-06-20T00:00:00"/>
    <s v="SMLN-2024-617-100365"/>
    <x v="37"/>
  </r>
  <r>
    <d v="2024-02-09T00:00:00"/>
    <s v="VZ-2024-000156"/>
    <x v="5"/>
    <s v="Valtová"/>
    <s v="Hašková"/>
    <x v="75"/>
    <m/>
    <m/>
    <s v="podepsaná smlouva"/>
    <s v="33140000-3"/>
    <m/>
    <n v="2800000"/>
    <x v="2"/>
    <d v="2024-02-21T00:00:00"/>
    <d v="2024-03-11T00:00:00"/>
    <d v="2024-04-16T00:00:00"/>
    <s v="EspoMed spol. s r.o."/>
    <m/>
    <n v="2800000"/>
    <n v="3136000"/>
    <m/>
    <m/>
    <m/>
    <d v="2024-04-16T00:00:00"/>
    <s v="SMLN-2024-617-100222_x000a_SMLN-2024-614-100024"/>
    <x v="38"/>
  </r>
  <r>
    <d v="2024-02-13T00:00:00"/>
    <s v="VZ-2024-000157"/>
    <x v="6"/>
    <s v="Srovnal"/>
    <s v="Kučera"/>
    <x v="76"/>
    <m/>
    <m/>
    <s v="podepsaná smlouva"/>
    <s v="44111000-1"/>
    <m/>
    <n v="2500000"/>
    <x v="2"/>
    <d v="2024-02-27T00:00:00"/>
    <d v="2024-03-15T00:00:00"/>
    <d v="2024-04-02T00:00:00"/>
    <s v="TRADIX UH, a.s."/>
    <m/>
    <n v="1220703.24"/>
    <n v="1477050.92"/>
    <m/>
    <m/>
    <m/>
    <d v="2024-04-02T00:00:00"/>
    <s v="SMLN-2024-617-100182"/>
    <x v="20"/>
  </r>
  <r>
    <d v="2024-02-13T00:00:00"/>
    <s v="VZ-2024-000159"/>
    <x v="5"/>
    <s v="Valtová"/>
    <s v="Zdražilová"/>
    <x v="77"/>
    <m/>
    <m/>
    <s v="podepsaná smlouva"/>
    <s v="33140000-3"/>
    <m/>
    <n v="6222800"/>
    <x v="0"/>
    <d v="2024-02-21T00:00:00"/>
    <d v="2024-03-28T00:00:00"/>
    <d v="2024-04-17T00:00:00"/>
    <s v="Boston Scientific Česká republika, s.r.o."/>
    <m/>
    <n v="6185200"/>
    <n v="6927424"/>
    <m/>
    <m/>
    <m/>
    <d v="2024-04-17T00:00:00"/>
    <s v="SMLN-2024-617-100239"/>
    <x v="38"/>
  </r>
  <r>
    <d v="2024-02-13T00:00:00"/>
    <s v="VZ-2024-000163-01"/>
    <x v="1"/>
    <s v="Vondrková"/>
    <s v="Bodinková"/>
    <x v="78"/>
    <n v="1"/>
    <s v="Parenterální výživa pro domácí použití I."/>
    <s v="podepsaná smlouva"/>
    <s v="33692510-5"/>
    <m/>
    <n v="431814"/>
    <x v="4"/>
    <d v="2024-02-26T00:00:00"/>
    <d v="2024-03-18T00:00:00"/>
    <d v="2024-04-24T00:00:00"/>
    <s v="Fresenius Kabi s.r.o."/>
    <m/>
    <n v="401221.16"/>
    <n v="449367.7"/>
    <m/>
    <m/>
    <m/>
    <d v="2024-04-24T00:00:00"/>
    <s v="SMLN-2024-617-100257"/>
    <x v="19"/>
  </r>
  <r>
    <d v="2024-02-13T00:00:00"/>
    <s v="VZ-2024-000163-02"/>
    <x v="1"/>
    <s v="Vondrková"/>
    <s v="Bodinková"/>
    <x v="78"/>
    <n v="2"/>
    <s v="Parenterální výživa pro domácí použití II."/>
    <s v="podepsaná smlouva"/>
    <s v="33692510-5"/>
    <m/>
    <n v="1577173"/>
    <x v="4"/>
    <d v="2024-02-26T00:00:00"/>
    <d v="2024-03-18T00:00:00"/>
    <d v="2024-04-24T00:00:00"/>
    <s v="B. Braun Medical s.r.o."/>
    <m/>
    <n v="1538347.2"/>
    <n v="1722948.86"/>
    <m/>
    <m/>
    <m/>
    <d v="2024-04-24T00:00:00"/>
    <s v="SMLN-2024-617-100259"/>
    <x v="19"/>
  </r>
  <r>
    <d v="2024-02-13T00:00:00"/>
    <s v="VZ-2024-000163-03"/>
    <x v="1"/>
    <s v="Vondrková"/>
    <s v="Bodinková"/>
    <x v="78"/>
    <n v="3"/>
    <s v="Parenterální výživa pro domácí použití III."/>
    <s v="podepsaná smlouva"/>
    <s v="33692510-5"/>
    <m/>
    <n v="494239.34"/>
    <x v="4"/>
    <d v="2024-02-26T00:00:00"/>
    <d v="2024-03-18T00:00:00"/>
    <d v="2024-04-24T00:00:00"/>
    <s v="BAXTER CZECH spol. s r.o."/>
    <m/>
    <n v="494239.34"/>
    <n v="553548.06000000006"/>
    <m/>
    <m/>
    <m/>
    <d v="2024-04-24T00:00:00"/>
    <s v="SMLN-2024-617-100260"/>
    <x v="19"/>
  </r>
  <r>
    <d v="2024-02-13T00:00:00"/>
    <s v="VZ-2024-000165"/>
    <x v="5"/>
    <s v="Dočkalová"/>
    <s v="Hašková"/>
    <x v="79"/>
    <m/>
    <m/>
    <s v="zrušeno"/>
    <s v="33140000-3"/>
    <m/>
    <n v="4290000"/>
    <x v="0"/>
    <d v="2024-02-27T00:00:00"/>
    <d v="2024-04-25T00:00:00"/>
    <m/>
    <s v="zrušeno - úprava podmínek"/>
    <m/>
    <m/>
    <m/>
    <m/>
    <m/>
    <m/>
    <m/>
    <m/>
    <x v="2"/>
  </r>
  <r>
    <d v="2024-02-16T00:00:00"/>
    <s v="VZ-2024-000174"/>
    <x v="5"/>
    <s v="Valtová"/>
    <s v="Štýbnarová"/>
    <x v="80"/>
    <m/>
    <m/>
    <s v="podepsaná smlouva"/>
    <s v="33140000-3"/>
    <m/>
    <n v="540000"/>
    <x v="1"/>
    <d v="2024-02-20T00:00:00"/>
    <d v="2024-03-04T00:00:00"/>
    <d v="2024-03-08T00:00:00"/>
    <s v="Prague Medical s.r.o."/>
    <m/>
    <n v="540000"/>
    <n v="604800"/>
    <m/>
    <m/>
    <m/>
    <d v="2024-03-08T00:00:00"/>
    <s v="SMLN-2024-617-100130_x000a_SMLN-2024-614-100011"/>
    <x v="15"/>
  </r>
  <r>
    <d v="2024-02-19T00:00:00"/>
    <s v="VZ-2024-000176-01"/>
    <x v="2"/>
    <s v="Skulová"/>
    <s v="Kučera"/>
    <x v="81"/>
    <n v="1"/>
    <s v="UZV pro KNM"/>
    <s v="podepsaná smlouva"/>
    <s v="33112300-1"/>
    <s v="2.2.595."/>
    <n v="540000"/>
    <x v="0"/>
    <d v="2024-02-28T00:00:00"/>
    <d v="2024-04-23T00:00:00"/>
    <m/>
    <s v="Electric Medical Services, s.r.o."/>
    <m/>
    <n v="483800"/>
    <n v="585398"/>
    <m/>
    <m/>
    <m/>
    <d v="2024-05-09T00:00:00"/>
    <s v="SMLN-2024-617-100296_x000a_SMLN-2024-612-100064"/>
    <x v="39"/>
  </r>
  <r>
    <d v="2024-02-19T00:00:00"/>
    <s v="VZ-2024-000176-02"/>
    <x v="2"/>
    <s v="Skulová"/>
    <s v="Kučera"/>
    <x v="81"/>
    <n v="2"/>
    <s v="Bezdrátový ultrazvuk pro Traumatologickou kliniku"/>
    <s v="podepsaná smlouva"/>
    <s v="33112200-0"/>
    <s v="2.2.624, 2.2.612"/>
    <n v="200000"/>
    <x v="0"/>
    <d v="2024-02-28T00:00:00"/>
    <d v="2024-04-23T00:00:00"/>
    <m/>
    <s v="Electric Medical Services, s.r.o."/>
    <m/>
    <n v="316800"/>
    <n v="383328"/>
    <m/>
    <m/>
    <m/>
    <d v="2024-05-09T00:00:00"/>
    <s v="SMLN-2024-617-100297_x000a_SMLN-2024-617-100298"/>
    <x v="39"/>
  </r>
  <r>
    <d v="2024-02-19T00:00:00"/>
    <s v="VZ-2024-000176-03"/>
    <x v="2"/>
    <s v="Skulová"/>
    <s v="Kučera"/>
    <x v="81"/>
    <n v="3"/>
    <s v="UZV pro POR_GYN"/>
    <s v="podepsaná smlouva"/>
    <s v="33112200-0"/>
    <s v="2.3.798."/>
    <n v="2940000"/>
    <x v="0"/>
    <d v="2024-02-28T00:00:00"/>
    <d v="2024-04-23T00:00:00"/>
    <m/>
    <s v="Electric Medical Services, s.r.o."/>
    <m/>
    <n v="2848800"/>
    <n v="3447048"/>
    <m/>
    <m/>
    <m/>
    <d v="2024-05-09T00:00:00"/>
    <s v="SMLN-2024-617-100299_x000a_SMLN-2024-612-100065"/>
    <x v="39"/>
  </r>
  <r>
    <d v="2024-02-19T00:00:00"/>
    <s v="VZ-2024-000177"/>
    <x v="2"/>
    <s v="Skulová"/>
    <s v="Staňková"/>
    <x v="82"/>
    <m/>
    <m/>
    <s v="podepsaná smlouva"/>
    <s v="85171000-8"/>
    <s v="2.2.625."/>
    <n v="91000"/>
    <x v="1"/>
    <d v="2024-02-21T00:00:00"/>
    <d v="2024-03-04T00:00:00"/>
    <d v="2024-03-05T00:00:00"/>
    <s v="MADISSON, s.r.o."/>
    <m/>
    <n v="90530"/>
    <n v="109541.3"/>
    <m/>
    <m/>
    <m/>
    <d v="2024-03-05T00:00:00"/>
    <s v="SMLN-2024-617-100125 SMLN-2024-612-100031"/>
    <x v="34"/>
  </r>
  <r>
    <d v="2024-02-19T00:00:00"/>
    <s v="VZ-2024-000178"/>
    <x v="5"/>
    <s v="Valtová"/>
    <s v="Staňková"/>
    <x v="83"/>
    <m/>
    <m/>
    <s v="podepsaná smlouva"/>
    <s v="33140000-3"/>
    <m/>
    <n v="1558000"/>
    <x v="1"/>
    <d v="2024-02-22T00:00:00"/>
    <d v="2024-03-04T00:00:00"/>
    <d v="2024-03-11T00:00:00"/>
    <s v="ARID obchodní společnost, s.r.o."/>
    <m/>
    <n v="1558000"/>
    <n v="1744960"/>
    <m/>
    <m/>
    <m/>
    <d v="2024-03-11T00:00:00"/>
    <s v="SMLN-2024-617-100137_x000a_SMLN-2024-614-100012"/>
    <x v="15"/>
  </r>
  <r>
    <d v="2024-02-19T00:00:00"/>
    <s v="VZ-2024-000180"/>
    <x v="1"/>
    <s v="Vondrková"/>
    <s v="Bodinková"/>
    <x v="84"/>
    <m/>
    <m/>
    <s v="podepsaná smlouva"/>
    <s v="33652000-5"/>
    <m/>
    <n v="34388429"/>
    <x v="4"/>
    <d v="2024-02-26T00:00:00"/>
    <d v="2024-04-02T00:00:00"/>
    <d v="2024-04-22T00:00:00"/>
    <s v="GlaxoSmithKline, s.r.o."/>
    <m/>
    <n v="28069205.399999999"/>
    <n v="31437510.050000001"/>
    <m/>
    <m/>
    <m/>
    <d v="2024-04-22T00:00:00"/>
    <s v="SMLN-2024-617-100249"/>
    <x v="40"/>
  </r>
  <r>
    <s v="VZ-2024-000110"/>
    <s v="VZ-2024-000181"/>
    <x v="8"/>
    <s v="Novák"/>
    <s v="Štýbnarová"/>
    <x v="85"/>
    <m/>
    <m/>
    <s v="podepsaná smlouva"/>
    <s v="42514000-2"/>
    <m/>
    <n v="925500"/>
    <x v="1"/>
    <d v="2024-02-23T00:00:00"/>
    <d v="2024-03-11T00:00:00"/>
    <d v="2024-03-21T00:00:00"/>
    <s v="Clean nad Health s.r.o."/>
    <m/>
    <n v="1947900"/>
    <n v="2356959"/>
    <m/>
    <m/>
    <m/>
    <d v="2024-03-21T00:00:00"/>
    <s v="SMLN-2024-617-100158_x000a_SMLN-2024-612-100035"/>
    <x v="41"/>
  </r>
  <r>
    <d v="2024-02-20T00:00:00"/>
    <s v="VZ-2024-000182"/>
    <x v="6"/>
    <s v="Srovnal"/>
    <s v="Kučera"/>
    <x v="86"/>
    <m/>
    <m/>
    <s v="podepsaná smlouva"/>
    <s v="50334400-9"/>
    <m/>
    <n v="10000000"/>
    <x v="0"/>
    <d v="2024-02-28T00:00:00"/>
    <d v="2024-04-02T00:00:00"/>
    <d v="2024-04-17T00:00:00"/>
    <s v="MERIT GROUP a.s."/>
    <m/>
    <n v="9525000"/>
    <n v="11525250"/>
    <m/>
    <m/>
    <m/>
    <d v="2024-04-17T00:00:00"/>
    <s v="SMLN-2024-612-100048"/>
    <x v="42"/>
  </r>
  <r>
    <s v="VZ-2024-000146"/>
    <s v="VZ-2024-000183"/>
    <x v="5"/>
    <s v="Dočkalová"/>
    <s v="Staňková"/>
    <x v="87"/>
    <m/>
    <m/>
    <s v="podepsaná smlouva"/>
    <s v="33140000-3"/>
    <m/>
    <n v="632000"/>
    <x v="1"/>
    <d v="2024-02-21T00:00:00"/>
    <d v="2024-03-04T00:00:00"/>
    <d v="2024-03-11T00:00:00"/>
    <s v="EP SERVICES s.r.o."/>
    <m/>
    <n v="632000"/>
    <n v="707840"/>
    <m/>
    <m/>
    <m/>
    <d v="2024-03-11T00:00:00"/>
    <s v="SMLN-2024-617-100138_x000a_SMLN-2024-614-100013"/>
    <x v="14"/>
  </r>
  <r>
    <d v="2024-02-20T00:00:00"/>
    <s v="VZ-2024-000185"/>
    <x v="10"/>
    <s v="Zemánek"/>
    <s v="Kučera"/>
    <x v="88"/>
    <m/>
    <m/>
    <s v="podepsaná smlouva"/>
    <s v="50421000-2"/>
    <m/>
    <n v="36000000"/>
    <x v="0"/>
    <d v="2024-05-24T00:00:00"/>
    <d v="2024-06-27T00:00:00"/>
    <d v="2024-07-09T00:00:00"/>
    <s v="Siemens Healthcare s.r.o."/>
    <m/>
    <n v="503741.68"/>
    <n v="609527.43000000005"/>
    <m/>
    <m/>
    <m/>
    <d v="2024-07-10T00:00:00"/>
    <s v="SMLN-2024-612-100085_x000a_SMLN-2024-612-100086_x000a_SMLN-2024-612-100087"/>
    <x v="43"/>
  </r>
  <r>
    <d v="2024-02-20T00:00:00"/>
    <s v="VZ-2024-000186"/>
    <x v="5"/>
    <s v="Dočkalová"/>
    <s v="Zdražilová"/>
    <x v="89"/>
    <m/>
    <m/>
    <s v="podepsaná smlouva"/>
    <s v="33141200-2"/>
    <m/>
    <n v="2775600"/>
    <x v="2"/>
    <d v="2024-02-27T00:00:00"/>
    <d v="2024-04-02T00:00:00"/>
    <d v="2024-04-08T00:00:00"/>
    <s v="B. Braun Medical s.r.o."/>
    <m/>
    <n v="2520000"/>
    <n v="2822400"/>
    <m/>
    <m/>
    <m/>
    <d v="2024-04-08T00:00:00"/>
    <s v="SMLN-2024-617-100204"/>
    <x v="30"/>
  </r>
  <r>
    <d v="2024-02-20T00:00:00"/>
    <s v="VZ-2024-000187"/>
    <x v="5"/>
    <s v="Valtová"/>
    <s v="Zdražilová"/>
    <x v="90"/>
    <m/>
    <m/>
    <s v="podepsaná smlouva"/>
    <s v="33140000-3"/>
    <m/>
    <n v="6621446"/>
    <x v="0"/>
    <d v="2024-02-27T00:00:00"/>
    <d v="2024-04-03T00:00:00"/>
    <d v="2024-04-18T00:00:00"/>
    <s v="CARDION s.r.o."/>
    <m/>
    <n v="6621446"/>
    <n v="7416019.5199999996"/>
    <m/>
    <m/>
    <m/>
    <d v="2024-04-18T00:00:00"/>
    <s v="SMLN-2024-617-100240_x000a_SMLN-2024-614-100032"/>
    <x v="44"/>
  </r>
  <r>
    <s v="VZ-2024-000017"/>
    <s v="VZ-2024-000189"/>
    <x v="2"/>
    <s v="Skulová"/>
    <s v="Štýbnarová"/>
    <x v="91"/>
    <m/>
    <m/>
    <s v="podepsaná smlouva"/>
    <s v="33192120-9"/>
    <s v="2.3.773, 2.3.789, 2.2.503, 2.2.504"/>
    <n v="1643376"/>
    <x v="1"/>
    <d v="2024-02-27T00:00:00"/>
    <d v="2024-03-13T00:00:00"/>
    <d v="2024-04-02T00:00:00"/>
    <s v="L I N E T spol.s r .o."/>
    <m/>
    <n v="1610480"/>
    <n v="1825932.68"/>
    <m/>
    <m/>
    <m/>
    <d v="2024-04-02T00:00:00"/>
    <s v="SMLN-2024-617-100185_x000a_SMLN-2024-612-100042"/>
    <x v="41"/>
  </r>
  <r>
    <d v="2024-02-21T00:00:00"/>
    <s v="VZ-2024-000190-01"/>
    <x v="5"/>
    <s v="Čech"/>
    <s v="Zdražilová"/>
    <x v="92"/>
    <n v="1"/>
    <s v="TEP kyčelního kloubu - revizní"/>
    <s v="podepsaná smlouva"/>
    <s v="33141750-2"/>
    <m/>
    <n v="8324540"/>
    <x v="0"/>
    <d v="2024-03-12T00:00:00"/>
    <d v="2024-05-24T00:00:00"/>
    <d v="2024-07-22T00:00:00"/>
    <s v="Zimmer Czech, s.r.o."/>
    <m/>
    <n v="8324522.4000000004"/>
    <n v="9323465.0899999999"/>
    <m/>
    <m/>
    <m/>
    <d v="2024-07-22T00:00:00"/>
    <s v="SMLN-2024-617-100416_x000a_SMLN-2024-614-100051_x000a_SMLN-2024-616-100055"/>
    <x v="45"/>
  </r>
  <r>
    <d v="2024-02-21T00:00:00"/>
    <s v="VZ-2024-000190-02"/>
    <x v="5"/>
    <s v="Čech"/>
    <s v="Zdražilová"/>
    <x v="92"/>
    <n v="2"/>
    <s v="TEP kyčelního kloubu "/>
    <s v="zrušeno"/>
    <s v="33141750-2"/>
    <m/>
    <n v="54014586"/>
    <x v="0"/>
    <d v="2024-03-12T00:00:00"/>
    <d v="2024-05-24T00:00:00"/>
    <m/>
    <s v="zrušeno - bez hodnotitelné nabídky"/>
    <s v="nová VZ-2024-000567"/>
    <m/>
    <m/>
    <m/>
    <m/>
    <m/>
    <m/>
    <m/>
    <x v="2"/>
  </r>
  <r>
    <d v="2024-02-21T00:00:00"/>
    <s v="VZ-2024-000190-03"/>
    <x v="5"/>
    <s v="Čech"/>
    <s v="Zdražilová"/>
    <x v="92"/>
    <n v="3"/>
    <s v="TEP kolenního kloubu"/>
    <s v="podepsaná smlouva"/>
    <s v="33141750-2"/>
    <m/>
    <n v="45743600"/>
    <x v="0"/>
    <d v="2024-03-12T00:00:00"/>
    <d v="2024-05-24T00:00:00"/>
    <d v="2024-07-22T00:00:00"/>
    <s v="Zimmer Czech, s.r.o."/>
    <m/>
    <n v="45743190"/>
    <n v="51232372.799999997"/>
    <m/>
    <m/>
    <m/>
    <d v="2024-07-22T00:00:00"/>
    <s v="SMLN-2024-617-100417_x000a_SMLN-2024-614-100052_x000a_SMLN-2024-616-100056"/>
    <x v="45"/>
  </r>
  <r>
    <d v="2024-02-21T00:00:00"/>
    <s v="VZ-2024-000192"/>
    <x v="5"/>
    <s v="Dočkalová"/>
    <s v="Staňková"/>
    <x v="93"/>
    <m/>
    <m/>
    <s v="podepsaná smlouva"/>
    <s v="31711140-6"/>
    <m/>
    <n v="578360"/>
    <x v="1"/>
    <d v="2024-02-26T00:00:00"/>
    <d v="2024-03-08T00:00:00"/>
    <d v="2024-03-12T00:00:00"/>
    <s v="Medtronic Czechia s.r.o."/>
    <m/>
    <n v="578360"/>
    <n v="647763.19999999995"/>
    <m/>
    <m/>
    <m/>
    <d v="2024-03-12T00:00:00"/>
    <s v="SMLN-2024-617-100142"/>
    <x v="15"/>
  </r>
  <r>
    <d v="2024-02-21T00:00:00"/>
    <s v="VZ-2024-000193"/>
    <x v="5"/>
    <s v="Valtová"/>
    <s v="Hašková"/>
    <x v="94"/>
    <m/>
    <m/>
    <s v="podepsaná smlouva"/>
    <s v="33140000-3"/>
    <m/>
    <n v="3659750"/>
    <x v="0"/>
    <d v="2024-02-28T00:00:00"/>
    <d v="2024-04-03T00:00:00"/>
    <d v="2024-04-11T00:00:00"/>
    <s v="MEDIAL spol. s r.o."/>
    <m/>
    <n v="3659750"/>
    <n v="4098920"/>
    <m/>
    <m/>
    <m/>
    <d v="2024-04-11T00:00:00"/>
    <s v="SMLN-2024-617-100211_x000a_SMLN-2024-614-100021"/>
    <x v="22"/>
  </r>
  <r>
    <d v="2024-02-22T00:00:00"/>
    <s v="VZ-2024-000194"/>
    <x v="11"/>
    <s v="Klimek"/>
    <s v="Kučera"/>
    <x v="95"/>
    <m/>
    <m/>
    <s v="podepsaná smlouva"/>
    <s v="34144400-2"/>
    <m/>
    <n v="2479200"/>
    <x v="2"/>
    <d v="2024-03-11T00:00:00"/>
    <d v="2024-03-28T00:00:00"/>
    <d v="2024-04-08T00:00:00"/>
    <s v="Daniš Davaztechnik s.r.o."/>
    <m/>
    <n v="1889600"/>
    <n v="2286416"/>
    <m/>
    <m/>
    <m/>
    <d v="2024-04-08T00:00:00"/>
    <s v="SMLN-2024-617-100206"/>
    <x v="44"/>
  </r>
  <r>
    <d v="2024-02-22T00:00:00"/>
    <s v="VZ-2024-000196"/>
    <x v="5"/>
    <s v="Valtová"/>
    <s v="Štýbnarová"/>
    <x v="96"/>
    <m/>
    <m/>
    <s v="podepsaná smlouva"/>
    <s v="33140000-3"/>
    <m/>
    <n v="1850400"/>
    <x v="1"/>
    <d v="2024-02-27T00:00:00"/>
    <d v="2024-03-15T00:00:00"/>
    <d v="2024-03-22T00:00:00"/>
    <s v="Olympus Czech Group, s.r.o., člen koncernu"/>
    <m/>
    <n v="1850400"/>
    <n v="2072448"/>
    <m/>
    <m/>
    <m/>
    <d v="2024-03-22T00:00:00"/>
    <s v="SMLN-2024-617-100163_x000a_SMLN-2024-614-100017"/>
    <x v="21"/>
  </r>
  <r>
    <d v="2024-02-22T00:00:00"/>
    <s v="VZ-2024-000197"/>
    <x v="1"/>
    <s v="Vondrková"/>
    <s v="Bodinková"/>
    <x v="97"/>
    <m/>
    <m/>
    <s v="podepsaná smlouva"/>
    <s v="33652100-6"/>
    <m/>
    <n v="4947000"/>
    <x v="0"/>
    <d v="2024-02-29T00:00:00"/>
    <d v="2024-04-05T00:00:00"/>
    <d v="2024-04-24T00:00:00"/>
    <s v="PROMEDICA PRAHA GROUP, a.s."/>
    <m/>
    <n v="4022158.35"/>
    <n v="4504817.3499999996"/>
    <m/>
    <m/>
    <m/>
    <d v="2024-04-24T00:00:00"/>
    <s v="SMLN-2024-617-100262"/>
    <x v="19"/>
  </r>
  <r>
    <d v="2024-02-23T00:00:00"/>
    <s v="VZ-2024-000201"/>
    <x v="2"/>
    <s v="Skulová"/>
    <s v="Staňková"/>
    <x v="98"/>
    <m/>
    <m/>
    <s v="podepsaná smlouva"/>
    <s v="38000000-5"/>
    <s v="2.2.618."/>
    <n v="68000"/>
    <x v="1"/>
    <d v="2024-02-28T00:00:00"/>
    <d v="2024-03-11T00:00:00"/>
    <d v="2024-03-13T00:00:00"/>
    <s v="BioTech a.s."/>
    <m/>
    <n v="70000"/>
    <n v="84700"/>
    <m/>
    <m/>
    <m/>
    <d v="2024-03-13T00:00:00"/>
    <s v="SMLN-2024-617-100147"/>
    <x v="31"/>
  </r>
  <r>
    <d v="2024-03-05T00:00:00"/>
    <s v="VZ-2024-000203"/>
    <x v="3"/>
    <s v="Zemánková"/>
    <s v="Kučera"/>
    <x v="99"/>
    <m/>
    <m/>
    <s v="podepsaná smlouva"/>
    <s v="33694000-1"/>
    <m/>
    <n v="21800840"/>
    <x v="0"/>
    <d v="2024-04-11T00:00:00"/>
    <d v="2024-05-15T00:00:00"/>
    <d v="2024-05-29T00:00:00"/>
    <s v="RADIOMETER s.r.o."/>
    <m/>
    <n v="19089213.120000001"/>
    <n v="22756182.059999999"/>
    <m/>
    <m/>
    <m/>
    <d v="2024-05-29T00:00:00"/>
    <s v="SMLN-2024-617-100329_x000a_SMLN-2024-616-100039"/>
    <x v="46"/>
  </r>
  <r>
    <d v="2024-02-23T00:00:00"/>
    <s v="VZ-2024-000204"/>
    <x v="1"/>
    <s v="Vlčková"/>
    <s v="Bodinková"/>
    <x v="100"/>
    <m/>
    <m/>
    <s v="podepsaná smlouva"/>
    <s v="09343000-5"/>
    <m/>
    <n v="8833594"/>
    <x v="4"/>
    <d v="2024-03-11T00:00:00"/>
    <d v="2024-03-22T00:00:00"/>
    <d v="2024-04-04T00:00:00"/>
    <s v="M.G.P. spol. s r.o."/>
    <m/>
    <n v="8833593.5999999996"/>
    <n v="9893624.8300000001"/>
    <m/>
    <m/>
    <m/>
    <d v="2024-04-05T00:00:00"/>
    <s v="SMLN-2024-617-100192"/>
    <x v="47"/>
  </r>
  <r>
    <d v="2024-03-06T00:00:00"/>
    <s v="VZ-2024-000205"/>
    <x v="1"/>
    <s v="Vondrková"/>
    <s v="Hašková"/>
    <x v="101"/>
    <m/>
    <m/>
    <s v="zrušeno"/>
    <s v="33652300-8"/>
    <m/>
    <n v="8352986"/>
    <x v="0"/>
    <d v="2024-03-18T00:00:00"/>
    <d v="2024-04-22T00:00:00"/>
    <m/>
    <s v="zrušeno - překročení ceny"/>
    <s v="nová VZ-2024-000444"/>
    <m/>
    <m/>
    <m/>
    <m/>
    <m/>
    <m/>
    <m/>
    <x v="2"/>
  </r>
  <r>
    <d v="2024-02-26T00:00:00"/>
    <s v="VZ-2024-000206"/>
    <x v="1"/>
    <s v="Vlčková"/>
    <s v="Hašková"/>
    <x v="102"/>
    <m/>
    <m/>
    <s v="podepsaná smlouva"/>
    <s v="33652300-8"/>
    <m/>
    <n v="10818656"/>
    <x v="0"/>
    <d v="2024-03-12T00:00:00"/>
    <d v="2024-04-16T00:00:00"/>
    <d v="2024-05-03T00:00:00"/>
    <s v="Alliance Healthcare s.r.o."/>
    <m/>
    <n v="10818655.529999999"/>
    <n v="12116894.189999999"/>
    <m/>
    <m/>
    <m/>
    <d v="2024-05-03T00:00:00"/>
    <s v="SMLN-2024-617-100286"/>
    <x v="5"/>
  </r>
  <r>
    <d v="2024-02-26T00:00:00"/>
    <s v="VZ-2024-000207"/>
    <x v="2"/>
    <s v="Skulová"/>
    <s v="Zdražilová"/>
    <x v="103"/>
    <m/>
    <m/>
    <s v="zrušeno"/>
    <s v="33168100-6"/>
    <s v="2.3.784"/>
    <n v="5089999"/>
    <x v="0"/>
    <d v="2024-03-04T00:00:00"/>
    <d v="2024-04-09T00:00:00"/>
    <m/>
    <s v="zrušeno - bez nabídky"/>
    <s v="nová VZ-2024-000401"/>
    <m/>
    <m/>
    <m/>
    <m/>
    <m/>
    <m/>
    <m/>
    <x v="2"/>
  </r>
  <r>
    <d v="2024-02-27T00:00:00"/>
    <s v="VZ-2024-000210"/>
    <x v="5"/>
    <s v="Dočkalová"/>
    <s v="Štýbnarová"/>
    <x v="104"/>
    <m/>
    <m/>
    <s v="zrušeno"/>
    <s v="33198200-6"/>
    <m/>
    <n v="1834200"/>
    <x v="1"/>
    <d v="2024-03-01T00:00:00"/>
    <d v="2024-03-12T00:00:00"/>
    <m/>
    <s v="zrušeno - překročení limitu VZMR"/>
    <s v="nová VZ-2024-000241"/>
    <m/>
    <m/>
    <m/>
    <m/>
    <m/>
    <m/>
    <m/>
    <x v="2"/>
  </r>
  <r>
    <d v="2024-03-04T00:00:00"/>
    <s v="VZ-2024-000214"/>
    <x v="5"/>
    <s v="Valtová"/>
    <s v="Zdražilová"/>
    <x v="105"/>
    <m/>
    <m/>
    <s v="podepsaná smlouva"/>
    <s v="33140000-3"/>
    <m/>
    <n v="3062533.9"/>
    <x v="2"/>
    <d v="2024-03-11T00:00:00"/>
    <d v="2024-03-28T00:00:00"/>
    <d v="2024-04-17T00:00:00"/>
    <s v="Olympus Czech Group, s.r.o., člen koncernu"/>
    <m/>
    <n v="3062533.9"/>
    <n v="3430037.97"/>
    <m/>
    <m/>
    <m/>
    <d v="2024-04-17T00:00:00"/>
    <s v="SMLN-2024-617-100238_x000a_SMLN-2024-614-100030"/>
    <x v="3"/>
  </r>
  <r>
    <d v="2024-03-04T00:00:00"/>
    <s v="VZ-2024-000215"/>
    <x v="12"/>
    <s v="Svozil"/>
    <s v="Štýbnarová"/>
    <x v="106"/>
    <m/>
    <m/>
    <s v="podepsaná smlouva"/>
    <s v="45252000-8"/>
    <m/>
    <n v="5800000"/>
    <x v="1"/>
    <d v="2024-03-06T00:00:00"/>
    <d v="2024-03-18T00:00:00"/>
    <d v="2024-03-22T00:00:00"/>
    <s v="VHT Vodohospodářské technologie s.r.o."/>
    <m/>
    <n v="5155042.47"/>
    <n v="6237601.3899999997"/>
    <m/>
    <m/>
    <m/>
    <d v="2024-03-22T00:00:00"/>
    <s v="SMLN-2024-618-100010"/>
    <x v="21"/>
  </r>
  <r>
    <d v="2024-03-06T00:00:00"/>
    <s v="VZ-2024-000216-01"/>
    <x v="1"/>
    <s v="Vondrková"/>
    <s v="Hašková"/>
    <x v="107"/>
    <n v="1"/>
    <s v="TAMSULOSIN I."/>
    <s v="zrušeno"/>
    <s v="33641000-5"/>
    <m/>
    <n v="324361"/>
    <x v="0"/>
    <d v="2024-03-12T00:00:00"/>
    <d v="2024-04-16T00:00:00"/>
    <m/>
    <s v="zrušeno - bez nabídky"/>
    <m/>
    <m/>
    <m/>
    <m/>
    <m/>
    <m/>
    <m/>
    <m/>
    <x v="2"/>
  </r>
  <r>
    <d v="2024-03-06T00:00:00"/>
    <s v="VZ-2024-000216-02"/>
    <x v="1"/>
    <s v="Vondrková"/>
    <s v="Hašková"/>
    <x v="107"/>
    <n v="2"/>
    <s v="TAMSULOSIN II."/>
    <s v="podepsaná smlouva"/>
    <s v="33641000-5"/>
    <m/>
    <n v="40634"/>
    <x v="0"/>
    <d v="2024-03-12T00:00:00"/>
    <d v="2024-04-16T00:00:00"/>
    <d v="2024-05-21T00:00:00"/>
    <s v="PHOENIX lék. velkoobchod, s.r.o."/>
    <m/>
    <n v="40260"/>
    <n v="45091.199999999997"/>
    <m/>
    <m/>
    <m/>
    <d v="2024-05-21T00:00:00"/>
    <s v="SMLN-2024-617-100317"/>
    <x v="48"/>
  </r>
  <r>
    <d v="2024-03-06T00:00:00"/>
    <s v="VZ-2024-000216-03"/>
    <x v="1"/>
    <s v="Vondrková"/>
    <s v="Hašková"/>
    <x v="107"/>
    <n v="3"/>
    <s v="TAMSULOSIN A DUTASTERID ve fixní kombinaci"/>
    <s v="podepsaná smlouva"/>
    <s v="33641000-5"/>
    <m/>
    <n v="1108308"/>
    <x v="0"/>
    <d v="2024-03-12T00:00:00"/>
    <d v="2024-04-16T00:00:00"/>
    <d v="2024-05-21T00:00:00"/>
    <s v="PHOENIX lék. velkoobchod, s.r.o."/>
    <m/>
    <n v="1104763.2"/>
    <n v="1237334.78"/>
    <m/>
    <m/>
    <m/>
    <d v="2024-05-21T00:00:00"/>
    <s v="SMLN-2024-617-100318"/>
    <x v="48"/>
  </r>
  <r>
    <d v="2024-03-06T00:00:00"/>
    <s v="VZ-2024-000216-04"/>
    <x v="1"/>
    <s v="Vondrková"/>
    <s v="Hašková"/>
    <x v="107"/>
    <n v="4"/>
    <s v="TAMSULOSIN A SOLIFENACIN ve fixní kombinaci I."/>
    <s v="podepsaná smlouva"/>
    <s v="33641000-5"/>
    <m/>
    <n v="46504"/>
    <x v="0"/>
    <d v="2024-03-12T00:00:00"/>
    <d v="2024-04-16T00:00:00"/>
    <d v="2024-05-21T00:00:00"/>
    <s v="PHOENIX lék. velkoobchod, s.r.o."/>
    <m/>
    <n v="45746.55"/>
    <n v="51236.14"/>
    <m/>
    <m/>
    <m/>
    <d v="2024-05-21T00:00:00"/>
    <s v="SMLN-2024-617-100319"/>
    <x v="48"/>
  </r>
  <r>
    <d v="2024-03-06T00:00:00"/>
    <s v="VZ-2024-000216-05"/>
    <x v="1"/>
    <s v="Vondrková"/>
    <s v="Hašková"/>
    <x v="107"/>
    <n v="5"/>
    <s v="TAMSULOSIN A SOLIFENACIN ve fixní kombinaci  II."/>
    <s v="podepsaná smlouva"/>
    <s v="33641000-5"/>
    <m/>
    <n v="906019"/>
    <x v="0"/>
    <d v="2024-03-12T00:00:00"/>
    <d v="2024-04-16T00:00:00"/>
    <d v="2024-05-21T00:00:00"/>
    <s v="PHOENIX lék. velkoobchod, s.r.o."/>
    <m/>
    <n v="888254.31"/>
    <n v="994844.83"/>
    <m/>
    <m/>
    <m/>
    <d v="2024-05-21T00:00:00"/>
    <s v="SMLN-2024-617-100320"/>
    <x v="48"/>
  </r>
  <r>
    <d v="2024-03-04T00:00:00"/>
    <s v="VZ-2024-000217"/>
    <x v="5"/>
    <s v="Valtová"/>
    <s v="Staňková"/>
    <x v="108"/>
    <m/>
    <m/>
    <s v="podepsaná smlouva"/>
    <s v="33140000-3"/>
    <m/>
    <n v="713000"/>
    <x v="1"/>
    <d v="2024-03-15T00:00:00"/>
    <d v="2024-04-02T00:00:00"/>
    <d v="2024-04-19T00:00:00"/>
    <s v="Prague Medical s.r.o."/>
    <m/>
    <n v="713000"/>
    <n v="798560"/>
    <m/>
    <m/>
    <m/>
    <d v="2024-04-19T00:00:00"/>
    <s v="SMLN-2024-617-100242_x000a_SMLN-2024-614-100033"/>
    <x v="26"/>
  </r>
  <r>
    <d v="2024-03-04T00:00:00"/>
    <s v="VZ-2024-000218-01"/>
    <x v="2"/>
    <s v="Skulová"/>
    <s v="Kučera"/>
    <x v="109"/>
    <n v="1"/>
    <s v="Akumulátorová souprava"/>
    <s v="podepsaná smlouva"/>
    <s v="33160000-9"/>
    <s v="2.2.583"/>
    <n v="677200"/>
    <x v="0"/>
    <d v="2024-04-10T00:00:00"/>
    <d v="2024-05-14T00:00:00"/>
    <d v="2024-05-30T00:00:00"/>
    <s v="Johnson  &amp; Johnson, s.r.o."/>
    <m/>
    <n v="676056.3"/>
    <n v="818028.12"/>
    <m/>
    <m/>
    <m/>
    <d v="2024-05-30T00:00:00"/>
    <s v="SMLN-2024-617-100331_x000a_SMLN-2024-612-100070"/>
    <x v="46"/>
  </r>
  <r>
    <d v="2024-03-04T00:00:00"/>
    <s v="VZ-2024-000218-02"/>
    <x v="2"/>
    <s v="Skulová"/>
    <s v="Kučera"/>
    <x v="109"/>
    <n v="2"/>
    <s v="Modulární bateriové vrtačky"/>
    <s v="podepsaná smlouva"/>
    <s v="33160000-9"/>
    <s v="2.2.532 2.2.600 2.2.602"/>
    <n v="1500200"/>
    <x v="0"/>
    <d v="2024-04-10T00:00:00"/>
    <d v="2024-05-14T00:00:00"/>
    <d v="2024-05-30T00:00:00"/>
    <s v="Johnson  &amp; Johnson, s.r.o."/>
    <m/>
    <n v="1500198.84"/>
    <n v="1815240.6"/>
    <m/>
    <m/>
    <m/>
    <d v="2024-05-30T00:00:00"/>
    <s v="SMLN-2024-617-100332_x000a_SMLN-2024-612-100071"/>
    <x v="46"/>
  </r>
  <r>
    <d v="2024-03-04T00:00:00"/>
    <s v="VZ-2024-000218-03"/>
    <x v="2"/>
    <s v="Skulová"/>
    <s v="Kučera"/>
    <x v="109"/>
    <n v="3"/>
    <s v="Vrtačky a oscilační pily"/>
    <s v="zrušeno"/>
    <s v="33160000-9"/>
    <s v="2.2.602"/>
    <n v="1359000"/>
    <x v="0"/>
    <d v="2024-04-10T00:00:00"/>
    <d v="2024-05-14T00:00:00"/>
    <m/>
    <s v="zrušeno - bez nabídky"/>
    <m/>
    <m/>
    <m/>
    <m/>
    <m/>
    <m/>
    <m/>
    <m/>
    <x v="2"/>
  </r>
  <r>
    <d v="2024-03-04T00:00:00"/>
    <s v="VZ-2024-000219-01"/>
    <x v="2"/>
    <s v="Skulová"/>
    <s v="Štýbnarová"/>
    <x v="110"/>
    <n v="1"/>
    <s v="Dezinfektor podložních mís pro HOK"/>
    <s v="podepsaná smlouva"/>
    <s v="33191000-5"/>
    <s v="2.3.775"/>
    <n v="210000"/>
    <x v="1"/>
    <d v="2024-03-07T00:00:00"/>
    <d v="2024-03-25T00:00:00"/>
    <d v="2024-04-26T00:00:00"/>
    <s v="MEDISUN profi s.r.o."/>
    <m/>
    <n v="159657.45000000001"/>
    <n v="193185.51"/>
    <m/>
    <m/>
    <m/>
    <d v="2024-04-26T00:00:00"/>
    <s v="SMLN-2024-617-100271_x000a_SMLN-2024-612-100052"/>
    <x v="38"/>
  </r>
  <r>
    <d v="2024-03-04T00:00:00"/>
    <s v="VZ-2024-000219-02"/>
    <x v="2"/>
    <s v="Skulová"/>
    <s v="Štýbnarová"/>
    <x v="110"/>
    <n v="2"/>
    <s v="Dezinfektory podložních mís"/>
    <s v="podepsaná smlouva"/>
    <s v="33191000-5"/>
    <s v="2.3.803 2.3.804 2.3.805 2.3.834"/>
    <n v="1110000"/>
    <x v="1"/>
    <d v="2024-03-07T00:00:00"/>
    <d v="2024-03-25T00:00:00"/>
    <d v="2024-04-26T00:00:00"/>
    <s v="Fénix Brno spol. s r.o."/>
    <m/>
    <n v="1101244"/>
    <n v="1332505.24"/>
    <m/>
    <m/>
    <m/>
    <d v="2024-04-29T00:00:00"/>
    <s v="SMLN-2024-617-100272_x000a_,SMLN-2024-612-100053"/>
    <x v="19"/>
  </r>
  <r>
    <d v="2024-03-04T00:00:00"/>
    <s v="VZ-2024-000219-03"/>
    <x v="2"/>
    <s v="Skulová"/>
    <s v="Štýbnarová"/>
    <x v="110"/>
    <n v="3"/>
    <s v="Myčka obuvi"/>
    <s v="podepsaná smlouva"/>
    <s v="33191000-5"/>
    <s v="2.3.833"/>
    <n v="484000"/>
    <x v="1"/>
    <d v="2024-03-07T00:00:00"/>
    <d v="2024-03-25T00:00:00"/>
    <d v="2024-04-26T00:00:00"/>
    <s v="MIELE, spol.s  r.o."/>
    <m/>
    <n v="468706"/>
    <n v="567134.26"/>
    <m/>
    <m/>
    <m/>
    <d v="2024-04-29T00:00:00"/>
    <s v="SMLN-2024-617-100273_x000a_SMLN-2024-612-100054"/>
    <x v="1"/>
  </r>
  <r>
    <d v="2024-03-04T00:00:00"/>
    <s v="VZ-2024-000220"/>
    <x v="2"/>
    <s v="Skulová"/>
    <s v="Staňková"/>
    <x v="111"/>
    <m/>
    <m/>
    <s v="podepsaná smlouva"/>
    <s v="38344000-8"/>
    <s v="2.3.813"/>
    <n v="372000"/>
    <x v="1"/>
    <d v="2024-03-11T00:00:00"/>
    <d v="2024-03-22T00:00:00"/>
    <d v="2024-03-28T00:00:00"/>
    <s v="ANAMET s.r.o."/>
    <m/>
    <n v="365733"/>
    <n v="442536.93"/>
    <m/>
    <m/>
    <m/>
    <d v="2024-03-28T00:00:00"/>
    <s v="SMLN-2024-617-100179_x000a_SMLN-2024-612-100040"/>
    <x v="47"/>
  </r>
  <r>
    <d v="2024-03-12T00:00:00"/>
    <s v="VZ-2024-000221"/>
    <x v="5"/>
    <s v="Valtová"/>
    <s v="Štýbnarová"/>
    <x v="112"/>
    <m/>
    <m/>
    <s v="podepsaná smlouva"/>
    <s v="33140000-3"/>
    <m/>
    <n v="1225148"/>
    <x v="1"/>
    <d v="2024-03-18T00:00:00"/>
    <d v="2024-04-02T00:00:00"/>
    <d v="2024-04-16T00:00:00"/>
    <s v="CARDION s.r.o."/>
    <m/>
    <n v="1225147.6000000001"/>
    <n v="1372165.4"/>
    <m/>
    <m/>
    <m/>
    <d v="2024-04-16T00:00:00"/>
    <s v="SMLN-2024-617-100227_x000a_SMLN-2024-614-100027"/>
    <x v="3"/>
  </r>
  <r>
    <d v="2024-03-06T00:00:00"/>
    <s v="VZ-2024-000222"/>
    <x v="1"/>
    <s v="Vondrková"/>
    <s v="Hašková"/>
    <x v="113"/>
    <m/>
    <m/>
    <s v="podepsaná smlouva"/>
    <s v="33651400-2"/>
    <m/>
    <n v="6351870"/>
    <x v="0"/>
    <d v="2024-03-18T00:00:00"/>
    <d v="2024-04-22T00:00:00"/>
    <d v="2024-05-07T00:00:00"/>
    <s v="PHOENIX lék. velkoobchod, s.r.o."/>
    <m/>
    <n v="2877000"/>
    <n v="3222240"/>
    <m/>
    <m/>
    <m/>
    <d v="2024-05-07T00:00:00"/>
    <s v="SMLN-2024-617-100292"/>
    <x v="49"/>
  </r>
  <r>
    <d v="2024-03-07T00:00:00"/>
    <s v="VZ-2024-000223"/>
    <x v="2"/>
    <s v="Skulová"/>
    <s v="Štýbnarová"/>
    <x v="114"/>
    <m/>
    <m/>
    <s v="podepsaná smlouva"/>
    <s v="33122000-1"/>
    <s v="2.3.827"/>
    <n v="242000"/>
    <x v="1"/>
    <d v="2024-03-12T00:00:00"/>
    <d v="2024-04-04T00:00:00"/>
    <d v="2024-04-26T00:00:00"/>
    <s v="CMI s.r.o."/>
    <m/>
    <n v="171830"/>
    <n v="207914.3"/>
    <m/>
    <m/>
    <m/>
    <d v="2024-04-29T00:00:00"/>
    <s v="SMLN-2024-617-100274_x000a_SMLN-2024-612-100055"/>
    <x v="33"/>
  </r>
  <r>
    <d v="2024-03-07T00:00:00"/>
    <s v="VZ-2024-000224"/>
    <x v="2"/>
    <s v="Skulová"/>
    <s v="Staňková"/>
    <x v="115"/>
    <m/>
    <m/>
    <s v="podepsaná smlouva"/>
    <s v="33157000-5"/>
    <s v="2.2.628"/>
    <n v="178500"/>
    <x v="1"/>
    <d v="2024-03-20T00:00:00"/>
    <d v="2024-04-02T00:00:00"/>
    <d v="2024-04-09T00:00:00"/>
    <s v="A.M.I. - Analytical Medical Instruments, s.r.o."/>
    <m/>
    <n v="177600"/>
    <n v="214896"/>
    <m/>
    <m/>
    <m/>
    <d v="2024-04-09T00:00:00"/>
    <s v="SMLN-2024-617-100209"/>
    <x v="7"/>
  </r>
  <r>
    <d v="2024-03-07T00:00:00"/>
    <s v="VZ-2024-000225"/>
    <x v="5"/>
    <s v="Dočkalová"/>
    <s v="Zdražilová"/>
    <x v="116"/>
    <m/>
    <m/>
    <s v="podepsaná smlouva"/>
    <s v="33182100-0"/>
    <m/>
    <n v="1948500"/>
    <x v="0"/>
    <d v="2024-03-18T00:00:00"/>
    <d v="2024-04-22T00:00:00"/>
    <d v="2024-05-22T00:00:00"/>
    <s v="Boston Scientific Česká republika, s.r.o."/>
    <m/>
    <n v="1948500"/>
    <n v="2182320"/>
    <m/>
    <m/>
    <m/>
    <d v="2024-05-22T00:00:00"/>
    <s v="SMLN-2024-617-100321_x000a_SMLN-2024-614-100038"/>
    <x v="49"/>
  </r>
  <r>
    <d v="2024-03-07T00:00:00"/>
    <s v="VZ-2024-000226"/>
    <x v="5"/>
    <s v="Valtová"/>
    <s v="Staňková"/>
    <x v="117"/>
    <m/>
    <m/>
    <s v="podepsaná smlouva"/>
    <s v="33140000-3"/>
    <m/>
    <n v="1074000"/>
    <x v="1"/>
    <d v="2024-03-18T00:00:00"/>
    <d v="2024-04-09T00:00:00"/>
    <d v="2024-04-11T00:00:00"/>
    <s v="Medtronic Czechia s.r.o."/>
    <m/>
    <n v="1074000"/>
    <n v="1202880"/>
    <m/>
    <m/>
    <m/>
    <d v="2024-04-11T00:00:00"/>
    <s v="SMLN-2024-617-100214_x000a_SMLN-2024-614-100022"/>
    <x v="50"/>
  </r>
  <r>
    <d v="2024-03-08T00:00:00"/>
    <s v="VZ-2024-000227"/>
    <x v="5"/>
    <s v="Dočkalová"/>
    <s v="Zdražilová"/>
    <x v="118"/>
    <m/>
    <m/>
    <s v="podepsaná smlouva"/>
    <s v="33140000-3"/>
    <m/>
    <n v="5012160"/>
    <x v="0"/>
    <d v="2024-03-13T00:00:00"/>
    <d v="2024-05-02T00:00:00"/>
    <d v="2024-05-23T00:00:00"/>
    <s v="INOVA SURGICAL s.r.o."/>
    <m/>
    <n v="5627200"/>
    <n v="6302464"/>
    <m/>
    <m/>
    <m/>
    <d v="2024-05-24T00:00:00"/>
    <s v="SMLN-2024-617-100325_x000a_SMLN-2024-614-100039"/>
    <x v="51"/>
  </r>
  <r>
    <d v="2024-03-08T00:00:00"/>
    <s v="VZ-2024-000228"/>
    <x v="5"/>
    <s v="Valtová"/>
    <s v="Zdražilová"/>
    <x v="119"/>
    <m/>
    <m/>
    <s v="podepsaná smlouva"/>
    <s v="33140000-3"/>
    <m/>
    <n v="2703000"/>
    <x v="2"/>
    <d v="2024-03-13T00:00:00"/>
    <d v="2024-04-04T00:00:00"/>
    <d v="2024-04-16T00:00:00"/>
    <s v="ARID obchodní společnost, s.r.o."/>
    <m/>
    <n v="2703000"/>
    <n v="3027360"/>
    <m/>
    <m/>
    <m/>
    <d v="2024-04-16T00:00:00"/>
    <s v="SMLN-2024-617-100224_x000a_SMLN-2024-614-100026"/>
    <x v="7"/>
  </r>
  <r>
    <d v="2024-03-12T00:00:00"/>
    <s v="VZ-2024-000229"/>
    <x v="5"/>
    <s v="Dočkalová"/>
    <s v="Zdražilová"/>
    <x v="120"/>
    <m/>
    <m/>
    <s v="podepsaná smlouva"/>
    <s v="33140000-3"/>
    <m/>
    <n v="868000"/>
    <x v="0"/>
    <d v="2024-03-18T00:00:00"/>
    <d v="2024-04-22T00:00:00"/>
    <d v="2024-05-03T00:00:00"/>
    <s v="Edwards Lifesciences Czech Republic s.r.o."/>
    <m/>
    <n v="868000"/>
    <n v="972160"/>
    <m/>
    <m/>
    <m/>
    <d v="2024-05-03T00:00:00"/>
    <s v="SMLN-2024-617-100284_x000a_SMLN-2024-614-100034"/>
    <x v="52"/>
  </r>
  <r>
    <d v="2024-03-08T00:00:00"/>
    <s v="VZ-2024-000230"/>
    <x v="6"/>
    <s v="Kadlec"/>
    <s v="Staňková"/>
    <x v="121"/>
    <m/>
    <m/>
    <s v="podepsaná smlouva"/>
    <s v="45453000-7"/>
    <m/>
    <n v="1500000"/>
    <x v="1"/>
    <d v="2024-03-20T00:00:00"/>
    <d v="2024-04-02T00:00:00"/>
    <d v="2024-04-15T00:00:00"/>
    <s v="Elektropráce Spáčil s.r.o."/>
    <m/>
    <n v="1589000.24"/>
    <n v="1922690.29"/>
    <m/>
    <m/>
    <m/>
    <d v="2024-04-15T00:00:00"/>
    <s v="SMLN-2024-618-100014"/>
    <x v="26"/>
  </r>
  <r>
    <d v="2024-03-15T00:00:00"/>
    <s v="VZ-2024-000232"/>
    <x v="5"/>
    <s v="Valtová"/>
    <s v="Zdražilová"/>
    <x v="122"/>
    <m/>
    <m/>
    <s v="podepsaná smlouva"/>
    <s v="33140000-3"/>
    <m/>
    <n v="9339960"/>
    <x v="0"/>
    <d v="2024-04-08T00:00:00"/>
    <d v="2024-05-14T00:00:00"/>
    <d v="2024-05-30T00:00:00"/>
    <s v="VAMEX, spol. s r.o."/>
    <m/>
    <n v="9340081.8000000007"/>
    <n v="10460891.619999999"/>
    <m/>
    <m/>
    <m/>
    <d v="2024-05-30T00:00:00"/>
    <s v="SMLN-2024-617-100334_x000a_SMLN-2024-614-100040_x000a_SMLN-2024-616-100041"/>
    <x v="53"/>
  </r>
  <r>
    <d v="2024-03-12T00:00:00"/>
    <s v="VZ-2024-000234"/>
    <x v="5"/>
    <s v="Dočkalová"/>
    <s v="Zdražilová"/>
    <x v="123"/>
    <m/>
    <m/>
    <s v="podepsaná smlouva"/>
    <s v="33162200-5"/>
    <m/>
    <n v="3610480"/>
    <x v="0"/>
    <d v="2024-03-19T00:00:00"/>
    <d v="2024-04-24T00:00:00"/>
    <d v="2024-05-03T00:00:00"/>
    <s v="ADYTON s.r.o., (angl. Ltd, něm. GmbH, franc. S.R.L.A.)"/>
    <m/>
    <n v="3610468"/>
    <n v="4043724.16"/>
    <m/>
    <m/>
    <m/>
    <d v="2024-05-03T00:00:00"/>
    <s v="SMLN-2024-617-100285_x000a_SMLN-2024-614-100035"/>
    <x v="19"/>
  </r>
  <r>
    <d v="2024-03-12T00:00:00"/>
    <s v="VZ-2024-000235"/>
    <x v="6"/>
    <s v="Srovnal"/>
    <s v="Kučera"/>
    <x v="124"/>
    <m/>
    <m/>
    <s v="podepsaná smlouva"/>
    <s v="45453100-8"/>
    <m/>
    <n v="5500000"/>
    <x v="2"/>
    <d v="2024-03-26T00:00:00"/>
    <d v="2024-04-19T00:00:00"/>
    <d v="2024-05-03T00:00:00"/>
    <s v="PTÁČEK - pozemní stavby s.r.o."/>
    <m/>
    <n v="2499491.96"/>
    <n v="3024385.27"/>
    <m/>
    <m/>
    <m/>
    <d v="2024-05-03T00:00:00"/>
    <s v="SMLN-2024-618-100016"/>
    <x v="1"/>
  </r>
  <r>
    <d v="2024-04-18T00:00:00"/>
    <s v="VZ-2024-000239"/>
    <x v="0"/>
    <s v="Pavela"/>
    <s v="Staňková"/>
    <x v="125"/>
    <m/>
    <m/>
    <s v="zrušeno"/>
    <s v="71318000-0"/>
    <m/>
    <n v="1000000"/>
    <x v="1"/>
    <d v="2024-04-29T00:00:00"/>
    <d v="2024-05-20T00:00:00"/>
    <m/>
    <s v="zrušeno"/>
    <s v="nová VZ-2024-000424"/>
    <m/>
    <m/>
    <m/>
    <m/>
    <m/>
    <m/>
    <m/>
    <x v="2"/>
  </r>
  <r>
    <d v="2024-03-14T00:00:00"/>
    <s v="VZ-2024-000240"/>
    <x v="5"/>
    <s v="Valtová"/>
    <s v="Zdražilová"/>
    <x v="126"/>
    <m/>
    <m/>
    <s v="podepsaná smlouva"/>
    <s v="33140000-3"/>
    <m/>
    <n v="2726000"/>
    <x v="0"/>
    <d v="2024-03-20T00:00:00"/>
    <d v="2024-04-25T00:00:00"/>
    <d v="2024-05-17T00:00:00"/>
    <s v="A care a.s."/>
    <m/>
    <n v="2726000"/>
    <n v="3053120"/>
    <m/>
    <m/>
    <m/>
    <d v="2024-05-17T00:00:00"/>
    <s v="SMLN-2024-617-100313_x000a_SMLN-2024-614-100037"/>
    <x v="53"/>
  </r>
  <r>
    <s v="VZ-2024-000210"/>
    <s v="VZ-2024-000241"/>
    <x v="5"/>
    <s v="Dočkalová"/>
    <s v="Zdražilová"/>
    <x v="127"/>
    <m/>
    <m/>
    <s v="podepsaná smlouva"/>
    <s v="33198200-6"/>
    <m/>
    <n v="2153855"/>
    <x v="2"/>
    <d v="2024-03-18T00:00:00"/>
    <d v="2024-04-15T00:00:00"/>
    <d v="2024-04-19T00:00:00"/>
    <s v="TZMO Czech Republic s.r.o."/>
    <m/>
    <n v="2138725.98"/>
    <n v="2395373.1"/>
    <m/>
    <m/>
    <m/>
    <d v="2024-04-19T00:00:00"/>
    <s v="SMLN-2024-617-100243"/>
    <x v="26"/>
  </r>
  <r>
    <d v="2024-03-13T00:00:00"/>
    <s v="VZ-2024-000242"/>
    <x v="1"/>
    <s v="Vlčková"/>
    <s v="Bodinková"/>
    <x v="128"/>
    <m/>
    <m/>
    <s v="podepsaná smlouva"/>
    <s v="09343000-5"/>
    <m/>
    <n v="94013400"/>
    <x v="0"/>
    <d v="2024-04-15T00:00:00"/>
    <d v="2024-06-20T00:00:00"/>
    <d v="2024-07-15T00:00:00"/>
    <s v="RadioMedic s.r.o."/>
    <m/>
    <n v="93840000"/>
    <n v="105100800"/>
    <m/>
    <m/>
    <m/>
    <d v="2024-07-15T00:00:00"/>
    <s v="SMLN-2024-617-100407"/>
    <x v="54"/>
  </r>
  <r>
    <d v="2024-03-13T00:00:00"/>
    <s v="VZ-2024-000243"/>
    <x v="13"/>
    <s v="Hrabálek"/>
    <s v="Štýbnarová"/>
    <x v="129"/>
    <m/>
    <m/>
    <s v="zrušeno"/>
    <s v="92000000-1"/>
    <m/>
    <n v="400000"/>
    <x v="1"/>
    <d v="2024-03-18T00:00:00"/>
    <d v="2024-04-02T00:00:00"/>
    <m/>
    <s v="zrušeno - úprava zadávacích podmínek"/>
    <s v="nová VZ-2024-000465"/>
    <m/>
    <m/>
    <m/>
    <m/>
    <m/>
    <m/>
    <m/>
    <x v="2"/>
  </r>
  <r>
    <d v="2024-03-14T00:00:00"/>
    <s v="VZ-2024-000246"/>
    <x v="2"/>
    <s v="Skulová"/>
    <s v="Staňková"/>
    <x v="130"/>
    <m/>
    <m/>
    <s v="podepsaná smlouva"/>
    <s v="33162100-4"/>
    <s v="2.3.776."/>
    <n v="540000"/>
    <x v="1"/>
    <d v="2024-03-20T00:00:00"/>
    <d v="2024-04-10T00:00:00"/>
    <d v="2024-05-07T00:00:00"/>
    <s v="MGVIVA a.s."/>
    <m/>
    <n v="778510.82"/>
    <n v="941998.09"/>
    <m/>
    <m/>
    <m/>
    <d v="2024-05-07T00:00:00"/>
    <s v="SMLN-2024-617-100291_x000a_SMLN-2024-612-100062"/>
    <x v="33"/>
  </r>
  <r>
    <d v="2024-03-20T00:00:00"/>
    <s v="VZ-2024-000248"/>
    <x v="6"/>
    <s v="Srovnal"/>
    <s v="Kučera"/>
    <x v="131"/>
    <m/>
    <m/>
    <s v="podepsaná smlouva"/>
    <s v="45442100-8"/>
    <m/>
    <n v="20000000"/>
    <x v="2"/>
    <d v="2024-04-05T00:00:00"/>
    <d v="2024-04-24T00:00:00"/>
    <d v="2024-06-12T00:00:00"/>
    <s v="STAVNEMO s.r.o."/>
    <m/>
    <n v="19297755.550000001"/>
    <n v="23350284.210000001"/>
    <m/>
    <m/>
    <m/>
    <d v="2024-06-12T00:00:00"/>
    <s v="SMLN-2024-618-100028"/>
    <x v="55"/>
  </r>
  <r>
    <d v="2024-07-04T00:00:00"/>
    <s v="VZ-2024-000249"/>
    <x v="14"/>
    <s v="Šišma"/>
    <s v="Kučera"/>
    <x v="132"/>
    <m/>
    <m/>
    <s v="smlouva v kolečku"/>
    <s v="66172000-6"/>
    <m/>
    <n v="5000000"/>
    <x v="0"/>
    <d v="2024-07-15T00:00:00"/>
    <d v="2024-08-19T00:00:00"/>
    <d v="2024-09-13T00:00:00"/>
    <s v="Global Payments, s.r.o."/>
    <m/>
    <n v="4048000"/>
    <n v="4048000"/>
    <m/>
    <m/>
    <m/>
    <d v="2024-09-13T00:00:00"/>
    <s v="SMLN-2024-612-100115"/>
    <x v="2"/>
  </r>
  <r>
    <d v="2024-03-14T00:00:00"/>
    <s v="VZ-2024-000250"/>
    <x v="6"/>
    <s v="Kadlec"/>
    <s v="Štýbnarová"/>
    <x v="133"/>
    <m/>
    <m/>
    <s v="podepsaná smlouva"/>
    <s v="45453000-7"/>
    <m/>
    <n v="600000"/>
    <x v="1"/>
    <d v="2024-03-21T00:00:00"/>
    <d v="2024-04-08T00:00:00"/>
    <d v="2024-04-24T00:00:00"/>
    <s v="AL LOGIC, s.r.o."/>
    <m/>
    <n v="418006.83"/>
    <n v="505788.26"/>
    <m/>
    <m/>
    <m/>
    <d v="2024-04-24T00:00:00"/>
    <s v="SMLN-2024-618-100015"/>
    <x v="19"/>
  </r>
  <r>
    <d v="2024-03-20T00:00:00"/>
    <s v="VZ-2024-000252"/>
    <x v="4"/>
    <s v="Zdráhalová"/>
    <s v="Zdražilová"/>
    <x v="134"/>
    <m/>
    <m/>
    <s v="podepsaná smlouva"/>
    <s v="33770000-8"/>
    <m/>
    <n v="3189888"/>
    <x v="2"/>
    <d v="2024-03-22T00:00:00"/>
    <d v="2024-04-12T00:00:00"/>
    <d v="2024-04-25T00:00:00"/>
    <s v="KORAKO  plus, s.r.o."/>
    <m/>
    <n v="3129593"/>
    <n v="3786807.53"/>
    <m/>
    <m/>
    <m/>
    <d v="2024-04-25T00:00:00"/>
    <s v="SMLN-2024-617-100266"/>
    <x v="33"/>
  </r>
  <r>
    <d v="2024-03-20T00:00:00"/>
    <s v="VZ-2024-000256"/>
    <x v="1"/>
    <s v="Vondrková"/>
    <s v="Hašková"/>
    <x v="135"/>
    <m/>
    <m/>
    <s v="podepsaná smlouva"/>
    <s v="33651400-2"/>
    <m/>
    <n v="8823510"/>
    <x v="4"/>
    <d v="2024-03-26T00:00:00"/>
    <d v="2024-04-09T00:00:00"/>
    <d v="2024-04-22T00:00:00"/>
    <s v="Alliance Healthcare s.r.o."/>
    <m/>
    <n v="8682368.5199999996"/>
    <n v="9724252.7400000002"/>
    <m/>
    <m/>
    <m/>
    <d v="2024-04-22T00:00:00"/>
    <s v="SMLN-2024-617-100248"/>
    <x v="56"/>
  </r>
  <r>
    <d v="2024-04-02T00:00:00"/>
    <s v="VZ-2024-000257"/>
    <x v="7"/>
    <s v="Oravec"/>
    <s v="Staňková"/>
    <x v="136"/>
    <m/>
    <m/>
    <s v="podepsaná smlouva"/>
    <s v="72261000-2"/>
    <m/>
    <n v="560000"/>
    <x v="1"/>
    <d v="2024-04-09T00:00:00"/>
    <d v="2024-04-22T00:00:00"/>
    <d v="2024-04-30T00:00:00"/>
    <s v="Steiner, s.r.o."/>
    <m/>
    <n v="768000"/>
    <n v="929280"/>
    <m/>
    <m/>
    <m/>
    <d v="2024-04-30T00:00:00"/>
    <s v="SMLN-2024-612-100058"/>
    <x v="1"/>
  </r>
  <r>
    <d v="2024-03-20T00:00:00"/>
    <s v="VZ-2024-000258"/>
    <x v="5"/>
    <s v="Dočkalová"/>
    <s v="Štýbnarová"/>
    <x v="137"/>
    <m/>
    <m/>
    <s v="podepsaná smlouva"/>
    <s v="33169400-6"/>
    <m/>
    <n v="1007000"/>
    <x v="1"/>
    <d v="2024-03-27T00:00:00"/>
    <d v="2024-04-15T00:00:00"/>
    <d v="2024-04-23T00:00:00"/>
    <s v="B. Braun Medical s.r.o."/>
    <m/>
    <n v="906190"/>
    <n v="1096489.8999999999"/>
    <m/>
    <m/>
    <m/>
    <d v="2024-04-23T00:00:00"/>
    <s v="SMLN-2024-617-100250"/>
    <x v="26"/>
  </r>
  <r>
    <d v="2024-03-26T00:00:00"/>
    <s v="VZ-2024-000264"/>
    <x v="1"/>
    <s v="Vlčková"/>
    <s v="Bodinková"/>
    <x v="138"/>
    <m/>
    <m/>
    <s v="podepsaná smlouva"/>
    <s v="09343000-5"/>
    <m/>
    <n v="8633450"/>
    <x v="4"/>
    <d v="2024-04-04T00:00:00"/>
    <d v="2024-04-16T00:00:00"/>
    <d v="2024-04-24T00:00:00"/>
    <s v="M.G.P. spol. s r.o."/>
    <m/>
    <n v="8329507"/>
    <n v="9329047.8399999999"/>
    <m/>
    <m/>
    <m/>
    <d v="2024-04-24T00:00:00"/>
    <s v="SMLN-2024-617-100261"/>
    <x v="26"/>
  </r>
  <r>
    <d v="2024-03-26T00:00:00"/>
    <s v="VZ-2024-000265"/>
    <x v="1"/>
    <s v="Vlčková"/>
    <s v="Bodinková"/>
    <x v="139"/>
    <m/>
    <m/>
    <s v="podepsaná smlouva"/>
    <s v="09343000-5"/>
    <m/>
    <n v="3947520"/>
    <x v="0"/>
    <d v="2024-04-10T00:00:00"/>
    <d v="2024-05-15T00:00:00"/>
    <d v="2024-05-28T00:00:00"/>
    <s v="BAYER s.r.o."/>
    <m/>
    <n v="3947520"/>
    <n v="4421222.4000000004"/>
    <m/>
    <m/>
    <m/>
    <d v="2024-05-28T00:00:00"/>
    <s v="SMLN-2024-617-100327"/>
    <x v="52"/>
  </r>
  <r>
    <s v="VZ-2024-000121"/>
    <s v="VZ-2024-000267"/>
    <x v="1"/>
    <s v="Vondrková"/>
    <s v="Staňková"/>
    <x v="140"/>
    <m/>
    <m/>
    <s v="podepsaná smlouva"/>
    <s v="33652100-6"/>
    <m/>
    <n v="1215734"/>
    <x v="1"/>
    <d v="2024-03-26T00:00:00"/>
    <d v="2024-04-08T00:00:00"/>
    <d v="2024-04-16T00:00:00"/>
    <s v="ViaPharma, s.r.o."/>
    <m/>
    <n v="1215720.96"/>
    <n v="1361607.48"/>
    <m/>
    <m/>
    <m/>
    <d v="2024-04-16T00:00:00"/>
    <s v="SMLN-2024-617-100221"/>
    <x v="7"/>
  </r>
  <r>
    <d v="2024-03-25T00:00:00"/>
    <s v="VZ-2024-000268-01"/>
    <x v="1"/>
    <s v="Vlčková"/>
    <s v="Hašková"/>
    <x v="141"/>
    <n v="1"/>
    <s v="CERNEVIT"/>
    <s v="podepsaná smlouva"/>
    <s v="33692510-5"/>
    <m/>
    <n v="1624320"/>
    <x v="2"/>
    <d v="2024-03-28T00:00:00"/>
    <d v="2024-04-19T00:00:00"/>
    <d v="2024-04-30T00:00:00"/>
    <s v="BAXTER CZECH spol. s r.o."/>
    <m/>
    <n v="1624320"/>
    <n v="1819238.3999999999"/>
    <m/>
    <m/>
    <m/>
    <d v="2024-04-30T00:00:00"/>
    <s v="SMLN-2024-617-100279"/>
    <x v="48"/>
  </r>
  <r>
    <d v="2024-03-25T00:00:00"/>
    <s v="VZ-2024-000268-02"/>
    <x v="1"/>
    <s v="Vlčková"/>
    <s v="Hašková"/>
    <x v="141"/>
    <n v="2"/>
    <s v="SOLUVIT"/>
    <s v="podepsaná smlouva"/>
    <s v="33692510-5"/>
    <m/>
    <n v="520905"/>
    <x v="2"/>
    <d v="2024-03-28T00:00:00"/>
    <d v="2024-04-19T00:00:00"/>
    <d v="2024-04-30T00:00:00"/>
    <s v="Fresenius Kabi s.r.o."/>
    <m/>
    <n v="520904.67"/>
    <n v="583413.23"/>
    <m/>
    <m/>
    <m/>
    <d v="2024-04-30T00:00:00"/>
    <s v="SMLN-2024-617-100280"/>
    <x v="48"/>
  </r>
  <r>
    <d v="2024-03-25T00:00:00"/>
    <s v="VZ-2024-000268-03"/>
    <x v="1"/>
    <s v="Vlčková"/>
    <s v="Hašková"/>
    <x v="141"/>
    <n v="3"/>
    <s v="VITALAPID N ADULT"/>
    <s v="podepsaná smlouva"/>
    <s v="33692510-5"/>
    <m/>
    <n v="113304"/>
    <x v="2"/>
    <d v="2024-03-28T00:00:00"/>
    <d v="2024-04-19T00:00:00"/>
    <d v="2024-04-30T00:00:00"/>
    <s v="Fresenius Kabi s.r.o."/>
    <m/>
    <n v="113303.4"/>
    <n v="126899.81"/>
    <m/>
    <m/>
    <m/>
    <d v="2024-04-30T00:00:00"/>
    <s v="SMLN-2024-617-100281"/>
    <x v="48"/>
  </r>
  <r>
    <d v="2024-03-25T00:00:00"/>
    <s v="VZ-2024-000268-04"/>
    <x v="1"/>
    <s v="Vlčková"/>
    <s v="Hašková"/>
    <x v="141"/>
    <n v="4"/>
    <s v="VITALAPID N INFANT"/>
    <s v="podepsaná smlouva"/>
    <s v="33692510-5"/>
    <m/>
    <n v="208975"/>
    <x v="2"/>
    <d v="2024-03-28T00:00:00"/>
    <d v="2024-04-19T00:00:00"/>
    <d v="2024-04-30T00:00:00"/>
    <s v="Fresenius Kabi s.r.o."/>
    <m/>
    <n v="208974.78"/>
    <n v="234051.75"/>
    <m/>
    <m/>
    <m/>
    <d v="2024-04-30T00:00:00"/>
    <s v="SMLN-2024-617-100282"/>
    <x v="48"/>
  </r>
  <r>
    <d v="2024-03-25T00:00:00"/>
    <s v="VZ-2024-000269"/>
    <x v="1"/>
    <s v="Vlčková"/>
    <s v="Staňková"/>
    <x v="142"/>
    <m/>
    <m/>
    <s v="podepsaná smlouva"/>
    <s v="33652300-8"/>
    <m/>
    <n v="654516"/>
    <x v="1"/>
    <d v="2024-03-27T00:00:00"/>
    <d v="2024-04-17T00:00:00"/>
    <d v="2024-04-22T00:00:00"/>
    <s v="PROMEDICA PRAHA GROUP, a.s."/>
    <m/>
    <n v="648398.69999999995"/>
    <n v="726206.54"/>
    <m/>
    <m/>
    <m/>
    <d v="2024-04-22T00:00:00"/>
    <s v="SMLN-2024-617-100246"/>
    <x v="19"/>
  </r>
  <r>
    <d v="2024-04-08T00:00:00"/>
    <s v="VZ-2024-000270"/>
    <x v="1"/>
    <s v="Vondrková"/>
    <s v="Zdražilová"/>
    <x v="143"/>
    <m/>
    <m/>
    <s v="podepsaná smlouva"/>
    <s v="33652100-6"/>
    <m/>
    <n v="29595081"/>
    <x v="0"/>
    <d v="2024-04-11T00:00:00"/>
    <d v="2024-05-16T00:00:00"/>
    <d v="2024-06-05T00:00:00"/>
    <s v="Avenier a.s."/>
    <m/>
    <n v="29595070.440000001"/>
    <n v="33146478.890000001"/>
    <m/>
    <m/>
    <m/>
    <d v="2024-06-05T00:00:00"/>
    <s v="SMLN-2024-617-100340"/>
    <x v="57"/>
  </r>
  <r>
    <d v="2024-05-06T00:00:00"/>
    <s v="VZ-2024-000273"/>
    <x v="1"/>
    <s v="Vondrková"/>
    <s v="Bodinková"/>
    <x v="144"/>
    <m/>
    <m/>
    <s v="podepsaná smlouva"/>
    <s v="33642000-2"/>
    <m/>
    <n v="5308751"/>
    <x v="0"/>
    <d v="2024-05-09T00:00:00"/>
    <d v="2024-06-13T00:00:00"/>
    <d v="2024-06-24T00:00:00"/>
    <s v="Alliance Healthcare s.r.o."/>
    <m/>
    <n v="3230469"/>
    <n v="3618125.28"/>
    <m/>
    <m/>
    <m/>
    <d v="2024-06-24T00:00:00"/>
    <s v="SMLN-2024-617-100374"/>
    <x v="58"/>
  </r>
  <r>
    <d v="2024-03-26T00:00:00"/>
    <s v="VZ-2024-000274"/>
    <x v="1"/>
    <s v="Vlčková"/>
    <s v="Bodinková"/>
    <x v="145"/>
    <m/>
    <m/>
    <s v="podepsaná smlouva"/>
    <s v="33652000-5"/>
    <m/>
    <n v="2316576"/>
    <x v="0"/>
    <d v="2024-04-05T00:00:00"/>
    <d v="2024-05-30T00:00:00"/>
    <d v="2024-06-17T00:00:00"/>
    <s v="Alliance Healthcare s.r.o."/>
    <m/>
    <n v="860814.72"/>
    <n v="964112.49"/>
    <m/>
    <m/>
    <m/>
    <d v="2024-06-17T00:00:00"/>
    <s v="SMLN-2024-617-100350"/>
    <x v="59"/>
  </r>
  <r>
    <d v="2024-03-26T00:00:00"/>
    <s v="VZ-2024-000275-01"/>
    <x v="5"/>
    <s v="Valtová"/>
    <s v="Zdražilová"/>
    <x v="146"/>
    <n v="1"/>
    <s v="Ablační katetry pro provádění konvenčních ablací"/>
    <s v="podepsaná smlouva"/>
    <s v="33141200-2"/>
    <m/>
    <n v="2677500"/>
    <x v="0"/>
    <d v="2024-04-02T00:00:00"/>
    <d v="2024-05-09T00:00:00"/>
    <d v="2024-07-11T00:00:00"/>
    <s v="Cardiomedical s.r.o."/>
    <m/>
    <n v="2677500"/>
    <n v="2998800"/>
    <m/>
    <m/>
    <m/>
    <d v="2024-07-11T00:00:00"/>
    <s v="SMLN-2024-617-100392_x000a_SMLN-2024-614-100045"/>
    <x v="60"/>
  </r>
  <r>
    <d v="2024-03-26T00:00:00"/>
    <s v="VZ-2024-000275-02"/>
    <x v="5"/>
    <s v="Valtová"/>
    <s v="Zdražilová"/>
    <x v="146"/>
    <n v="2"/>
    <s v="Základní diagnostické katetry fixní"/>
    <s v="zrušeno"/>
    <s v="33141200-2"/>
    <m/>
    <n v="4340000"/>
    <x v="0"/>
    <d v="2024-04-02T00:00:00"/>
    <d v="2024-05-09T00:00:00"/>
    <m/>
    <s v="zrušeno - bez hodnotitelné nabídky"/>
    <s v="nová VZ-2024-000558-01"/>
    <m/>
    <m/>
    <m/>
    <m/>
    <m/>
    <m/>
    <m/>
    <x v="2"/>
  </r>
  <r>
    <d v="2024-03-26T00:00:00"/>
    <s v="VZ-2024-000275-03"/>
    <x v="5"/>
    <s v="Valtová"/>
    <s v="Zdražilová"/>
    <x v="146"/>
    <n v="3"/>
    <s v="Základní diagnostické katetry řiditelné I."/>
    <s v="podepsaná smlouva"/>
    <s v="33141200-2"/>
    <m/>
    <n v="5991400"/>
    <x v="0"/>
    <d v="2024-04-02T00:00:00"/>
    <d v="2024-05-09T00:00:00"/>
    <d v="2024-07-11T00:00:00"/>
    <s v="CARDION s.r.o."/>
    <m/>
    <n v="5974000"/>
    <n v="6690880"/>
    <m/>
    <m/>
    <m/>
    <d v="2024-07-11T00:00:00"/>
    <s v="SMLN-2024-617-100393_x000a_SMLN-2024-614-100046"/>
    <x v="61"/>
  </r>
  <r>
    <d v="2024-03-26T00:00:00"/>
    <s v="VZ-2024-000275-04"/>
    <x v="5"/>
    <s v="Valtová"/>
    <s v="Zdražilová"/>
    <x v="146"/>
    <n v="4"/>
    <s v="Základní diagnostické katetry řiditelné II."/>
    <s v="podepsaná smlouva"/>
    <s v="33141200-2"/>
    <m/>
    <n v="3327680"/>
    <x v="0"/>
    <d v="2024-04-02T00:00:00"/>
    <d v="2024-05-09T00:00:00"/>
    <d v="2024-07-11T00:00:00"/>
    <s v="Cardiomedical s.r.o."/>
    <m/>
    <n v="3327540"/>
    <n v="3726844.8"/>
    <m/>
    <m/>
    <m/>
    <d v="2024-07-11T00:00:00"/>
    <s v="SMLN-2024-617-100394_x000a_SMLN-2024-614-100047"/>
    <x v="60"/>
  </r>
  <r>
    <d v="2024-03-26T00:00:00"/>
    <s v="VZ-2024-000275-05"/>
    <x v="5"/>
    <s v="Valtová"/>
    <s v="Zdražilová"/>
    <x v="146"/>
    <n v="5"/>
    <s v="Hemostatický zavaděč katetrů – stabilizační fixní"/>
    <s v="zrušeno"/>
    <s v="33141200-2"/>
    <m/>
    <n v="6363250"/>
    <x v="0"/>
    <d v="2024-04-02T00:00:00"/>
    <d v="2024-05-09T00:00:00"/>
    <m/>
    <s v="zrušeno - úprava specifikace"/>
    <s v="nová VZ-2024-000558-02"/>
    <m/>
    <m/>
    <m/>
    <m/>
    <m/>
    <m/>
    <m/>
    <x v="2"/>
  </r>
  <r>
    <d v="2024-03-26T00:00:00"/>
    <s v="VZ-2024-000275-06"/>
    <x v="5"/>
    <s v="Valtová"/>
    <s v="Zdražilová"/>
    <x v="146"/>
    <n v="6"/>
    <s v="Hemostatický zavaděč katetrů – stabilizační řiditelný"/>
    <s v="podepsaná smlouva"/>
    <s v="33141200-2"/>
    <m/>
    <n v="34796400"/>
    <x v="0"/>
    <d v="2024-04-02T00:00:00"/>
    <d v="2024-05-09T00:00:00"/>
    <d v="2024-07-11T00:00:00"/>
    <s v="CARDION s.r.o."/>
    <m/>
    <n v="34796400"/>
    <n v="38971968"/>
    <m/>
    <m/>
    <m/>
    <d v="2024-07-11T00:00:00"/>
    <s v="SMLN-2024-617-100395_x000a_SMLN-2024-614-100048"/>
    <x v="60"/>
  </r>
  <r>
    <d v="2024-03-26T00:00:00"/>
    <s v="VZ-2024-000275-07"/>
    <x v="5"/>
    <s v="Valtová"/>
    <s v="Zdražilová"/>
    <x v="146"/>
    <n v="7"/>
    <s v="Transseptální jehly"/>
    <s v="podepsaná smlouva"/>
    <s v="33141320-9"/>
    <m/>
    <n v="17328000"/>
    <x v="0"/>
    <d v="2024-04-02T00:00:00"/>
    <d v="2024-05-09T00:00:00"/>
    <d v="2024-07-11T00:00:00"/>
    <s v="CARDION s.r.o."/>
    <m/>
    <n v="17328000"/>
    <n v="19407360"/>
    <m/>
    <m/>
    <m/>
    <d v="2024-07-11T00:00:00"/>
    <s v="SMLN-2024-617-100396_x000a_SMLN-2024-614-100049"/>
    <x v="60"/>
  </r>
  <r>
    <d v="2024-03-26T00:00:00"/>
    <s v="VZ-2024-000275-08"/>
    <x v="5"/>
    <s v="Valtová"/>
    <s v="Zdražilová"/>
    <x v="146"/>
    <n v="8"/>
    <s v="Intrakardiální ultrazvukový katetr"/>
    <s v="zrušeno"/>
    <s v="33141200-2"/>
    <m/>
    <n v="31817500"/>
    <x v="0"/>
    <d v="2024-04-02T00:00:00"/>
    <d v="2024-05-09T00:00:00"/>
    <m/>
    <m/>
    <s v="nová VZ-2024-000664"/>
    <m/>
    <m/>
    <m/>
    <m/>
    <m/>
    <m/>
    <m/>
    <x v="2"/>
  </r>
  <r>
    <d v="2024-04-08T00:00:00"/>
    <s v="VZ-2024-000277"/>
    <x v="1"/>
    <s v="Vondrková"/>
    <s v="Bodinková"/>
    <x v="147"/>
    <m/>
    <m/>
    <s v="hodnocení"/>
    <s v="33621100-0"/>
    <m/>
    <n v="16553687"/>
    <x v="0"/>
    <d v="2024-04-25T00:00:00"/>
    <d v="2024-06-13T00:00:00"/>
    <m/>
    <m/>
    <m/>
    <m/>
    <m/>
    <m/>
    <m/>
    <m/>
    <m/>
    <m/>
    <x v="2"/>
  </r>
  <r>
    <d v="2024-03-26T00:00:00"/>
    <s v="VZ-2024-000280"/>
    <x v="2"/>
    <s v="Skulová"/>
    <s v="Štýbnarová"/>
    <x v="148"/>
    <m/>
    <m/>
    <s v="podepsaná smlouva"/>
    <s v="33120000-7"/>
    <s v="2.2.613."/>
    <n v="187158"/>
    <x v="1"/>
    <d v="2024-04-04T00:00:00"/>
    <d v="2024-04-15T00:00:00"/>
    <d v="2024-04-26T00:00:00"/>
    <s v="Kurka.Med s.r.o."/>
    <m/>
    <n v="159756"/>
    <n v="184427.43"/>
    <m/>
    <m/>
    <m/>
    <d v="2024-04-29T00:00:00"/>
    <s v="SMLN-2024-617-100275_x000a_SMLN-2024-612-100056_x000a_SMLN-2024-617-100276"/>
    <x v="1"/>
  </r>
  <r>
    <d v="2024-04-01T00:00:00"/>
    <s v="VZ-2024-000281"/>
    <x v="7"/>
    <s v="Pohlídal"/>
    <s v="Staňková"/>
    <x v="149"/>
    <m/>
    <m/>
    <s v="podepsaná smlouva"/>
    <s v="30216130-6"/>
    <m/>
    <n v="374000"/>
    <x v="1"/>
    <d v="2024-04-04T00:00:00"/>
    <d v="2024-04-15T00:00:00"/>
    <d v="2024-05-02T00:00:00"/>
    <s v="DATASCAN, s.r.o."/>
    <m/>
    <n v="334950"/>
    <n v="405289.5"/>
    <m/>
    <m/>
    <m/>
    <d v="2024-05-02T00:00:00"/>
    <s v="SMLN-2024-617-100283"/>
    <x v="19"/>
  </r>
  <r>
    <d v="2024-03-26T00:00:00"/>
    <s v="VZ-2024-000283"/>
    <x v="6"/>
    <s v="Kadlec"/>
    <s v="Staňková"/>
    <x v="150"/>
    <m/>
    <m/>
    <s v="zrušeno"/>
    <s v="45421100-5"/>
    <m/>
    <n v="300000"/>
    <x v="1"/>
    <d v="2024-03-28T00:00:00"/>
    <d v="2024-04-08T00:00:00"/>
    <m/>
    <s v="zrušeno - oprava zadání"/>
    <s v="nová VZ-2024-000324"/>
    <m/>
    <m/>
    <m/>
    <m/>
    <m/>
    <m/>
    <m/>
    <x v="2"/>
  </r>
  <r>
    <d v="2024-03-26T00:00:00"/>
    <s v="VZ-2024-000284"/>
    <x v="5"/>
    <s v="Dočkalová"/>
    <s v="Štýbnarová"/>
    <x v="151"/>
    <m/>
    <m/>
    <s v="podepsaná smlouva"/>
    <s v="33141641-5"/>
    <m/>
    <n v="1171500"/>
    <x v="1"/>
    <d v="2024-03-28T00:00:00"/>
    <d v="2024-04-09T00:00:00"/>
    <d v="2024-04-19T00:00:00"/>
    <s v="Olympus Czech Group, s.r.o., člen koncernu"/>
    <m/>
    <n v="1221000"/>
    <n v="1477410"/>
    <m/>
    <m/>
    <m/>
    <d v="2024-04-19T00:00:00"/>
    <s v="SMLN-2024-617-100241"/>
    <x v="50"/>
  </r>
  <r>
    <d v="2024-04-08T00:00:00"/>
    <s v="VZ-2024-000285"/>
    <x v="1"/>
    <s v="Vondrková"/>
    <s v="Hašková"/>
    <x v="152"/>
    <m/>
    <m/>
    <s v="podepsaná smlouva"/>
    <s v="33661200-3"/>
    <m/>
    <n v="18663614"/>
    <x v="0"/>
    <d v="2024-04-11T00:00:00"/>
    <d v="2024-05-16T00:00:00"/>
    <d v="2024-06-03T00:00:00"/>
    <s v="PHOENIX lék. velkoobchod, s.r.o."/>
    <m/>
    <n v="15381560.699999999"/>
    <n v="17227347.98"/>
    <m/>
    <m/>
    <m/>
    <d v="2024-06-03T00:00:00"/>
    <s v="SMLN-2024-617-100336"/>
    <x v="62"/>
  </r>
  <r>
    <d v="2024-03-28T00:00:00"/>
    <s v="VZ-2024-000287"/>
    <x v="2"/>
    <s v="Skulová"/>
    <s v="Zdražilová"/>
    <x v="153"/>
    <m/>
    <m/>
    <s v="podepsaná smlouva"/>
    <s v="33168100-6"/>
    <s v="2.3.703, 2.3.701, 2.3.783.,2.2.515, 2.2.603"/>
    <n v="13532372.52"/>
    <x v="0"/>
    <d v="2024-04-25T00:00:00"/>
    <d v="2024-06-20T00:00:00"/>
    <d v="2024-08-05T00:00:00"/>
    <s v="Olympus Czech Group, s.r.o., člen koncernu"/>
    <m/>
    <n v="12646133.5"/>
    <n v="15301821.539999999"/>
    <m/>
    <m/>
    <m/>
    <d v="2024-08-05T00:00:00"/>
    <s v="SMLN-2024-617-100437_x000a_SMLN-2024-612-100099_x000a_SMLN-2024-617-100438"/>
    <x v="63"/>
  </r>
  <r>
    <d v="2024-06-17T00:00:00"/>
    <s v="VZ-2024-000288"/>
    <x v="11"/>
    <s v="Klimek"/>
    <s v="Kučera"/>
    <x v="154"/>
    <m/>
    <m/>
    <s v="zrušeno"/>
    <s v="34114122-0"/>
    <m/>
    <n v="2479200"/>
    <x v="2"/>
    <d v="2024-06-26T00:00:00"/>
    <d v="2024-07-17T00:00:00"/>
    <m/>
    <s v="zrušeno - bez nabídky"/>
    <m/>
    <m/>
    <m/>
    <m/>
    <m/>
    <m/>
    <m/>
    <m/>
    <x v="2"/>
  </r>
  <r>
    <d v="2024-04-02T00:00:00"/>
    <s v="VZ-2024-000289"/>
    <x v="2"/>
    <s v="Skulová"/>
    <s v="Štýbnarová"/>
    <x v="155"/>
    <m/>
    <m/>
    <s v="podepsaná smlouva"/>
    <s v="38433000-9"/>
    <s v="2.3.835."/>
    <n v="335000"/>
    <x v="1"/>
    <d v="2024-04-04T00:00:00"/>
    <d v="2024-04-15T00:00:00"/>
    <d v="2024-04-26T00:00:00"/>
    <s v="LAB MARK a.s."/>
    <m/>
    <n v="200400"/>
    <n v="242484"/>
    <m/>
    <m/>
    <m/>
    <d v="2024-04-29T00:00:00"/>
    <s v="SMLN-2024-617-100277_x000a_SMLN-2024-612-100057"/>
    <x v="38"/>
  </r>
  <r>
    <d v="2024-04-03T00:00:00"/>
    <s v="VZ-2024-000291"/>
    <x v="15"/>
    <s v="Odehnalová"/>
    <s v="Staňková"/>
    <x v="156"/>
    <m/>
    <m/>
    <s v="podepsaná smlouva"/>
    <s v="55110000-4"/>
    <m/>
    <n v="600000"/>
    <x v="1"/>
    <d v="2024-04-09T00:00:00"/>
    <d v="2024-04-22T00:00:00"/>
    <d v="2024-05-02T00:00:00"/>
    <s v="Marie Hrochová"/>
    <m/>
    <n v="438908"/>
    <n v="494180"/>
    <m/>
    <m/>
    <m/>
    <d v="2024-05-02T00:00:00"/>
    <s v="SMLN-2024-612-100059"/>
    <x v="64"/>
  </r>
  <r>
    <d v="2024-04-08T00:00:00"/>
    <s v="VZ-2024-000292"/>
    <x v="1"/>
    <s v="Vondrková"/>
    <s v="Bodinková"/>
    <x v="157"/>
    <m/>
    <m/>
    <s v="podepsaná smlouva"/>
    <s v="33692510-5"/>
    <m/>
    <n v="20650653"/>
    <x v="0"/>
    <d v="2024-04-16T00:00:00"/>
    <d v="2024-06-17T00:00:00"/>
    <d v="2024-07-19T00:00:00"/>
    <s v="B. Braun Medical s.r.o."/>
    <m/>
    <n v="19569395.199999999"/>
    <n v="21917722.620000001"/>
    <m/>
    <m/>
    <m/>
    <d v="2024-07-19T00:00:00"/>
    <s v="SMLN-2024-617-100414"/>
    <x v="61"/>
  </r>
  <r>
    <d v="2024-04-11T00:00:00"/>
    <s v="VZ-2024-000293"/>
    <x v="1"/>
    <s v="Vondrková"/>
    <s v="Hašková"/>
    <x v="158"/>
    <m/>
    <m/>
    <s v="podepsaná smlouva"/>
    <s v="33622200-8"/>
    <m/>
    <n v="20068966"/>
    <x v="0"/>
    <d v="2024-04-19T00:00:00"/>
    <d v="2024-06-26T00:00:00"/>
    <d v="2024-07-15T00:00:00"/>
    <s v="Merck Sharp &amp; Dohme s.r.o."/>
    <m/>
    <n v="20068964.460000001"/>
    <n v="22477240.620000001"/>
    <m/>
    <m/>
    <m/>
    <d v="2024-07-15T00:00:00"/>
    <s v="SMLN-2024-617-100406"/>
    <x v="65"/>
  </r>
  <r>
    <d v="2024-04-03T00:00:00"/>
    <s v="VZ-2024-000294"/>
    <x v="2"/>
    <s v="Skulová"/>
    <s v="Staňková"/>
    <x v="159"/>
    <m/>
    <m/>
    <s v="podepsaná smlouva"/>
    <s v="33152000-0"/>
    <s v="2.2.631"/>
    <n v="167840"/>
    <x v="1"/>
    <d v="2024-04-08T00:00:00"/>
    <d v="2024-04-29T00:00:00"/>
    <d v="2024-05-07T00:00:00"/>
    <s v="TRIGON PLUS, s.r.o."/>
    <m/>
    <n v="147240"/>
    <n v="178160.4"/>
    <m/>
    <m/>
    <m/>
    <d v="2024-05-07T00:00:00"/>
    <s v="SMLN-2024-617-100293_x000a_SMLN-2024-612-100063"/>
    <x v="33"/>
  </r>
  <r>
    <d v="2024-04-03T00:00:00"/>
    <s v="VZ-2024-000295"/>
    <x v="2"/>
    <s v="Skulová"/>
    <s v="Staňková"/>
    <x v="160"/>
    <m/>
    <m/>
    <s v="podepsaná smlouva"/>
    <s v="24111700-2"/>
    <s v="2.3.816"/>
    <n v="437000"/>
    <x v="1"/>
    <d v="2024-04-04T00:00:00"/>
    <d v="2024-04-15T00:00:00"/>
    <d v="2024-04-26T00:00:00"/>
    <s v="Chromservis s.r.o."/>
    <m/>
    <n v="420100"/>
    <n v="508321"/>
    <m/>
    <m/>
    <m/>
    <d v="2024-04-26T00:00:00"/>
    <s v="SMLN-2024-617-100270_x000a_SMLN-2024-612-100051"/>
    <x v="38"/>
  </r>
  <r>
    <d v="2024-04-04T00:00:00"/>
    <s v="VZ-2024-000297"/>
    <x v="2"/>
    <s v="Skulová"/>
    <s v="Štýbnarová"/>
    <x v="161"/>
    <m/>
    <m/>
    <s v="podepsaná smlouva"/>
    <s v="33192230-3"/>
    <s v="2.2.632"/>
    <n v="196000"/>
    <x v="1"/>
    <d v="2024-04-08T00:00:00"/>
    <d v="2024-04-19T00:00:00"/>
    <d v="2024-05-09T00:00:00"/>
    <s v="GETINGE Czech Republic s.r.o."/>
    <m/>
    <n v="185428"/>
    <n v="224367.88"/>
    <m/>
    <m/>
    <m/>
    <d v="2024-05-09T00:00:00"/>
    <s v="SMLN-2024-617-100300_x000a_SMLN-2024-612-100067"/>
    <x v="52"/>
  </r>
  <r>
    <d v="2024-04-04T00:00:00"/>
    <s v="VZ-2024-000298"/>
    <x v="7"/>
    <s v="Miklík"/>
    <s v="Staňková"/>
    <x v="162"/>
    <m/>
    <m/>
    <s v="podepsaná smlouva"/>
    <s v="72261000-2"/>
    <m/>
    <n v="1990000"/>
    <x v="1"/>
    <d v="2024-04-09T00:00:00"/>
    <d v="2024-04-22T00:00:00"/>
    <d v="2024-04-24T00:00:00"/>
    <s v="SoftwareONE Czech Republic s.r.o."/>
    <m/>
    <n v="1962400"/>
    <n v="2374504"/>
    <m/>
    <m/>
    <m/>
    <d v="2024-04-24T00:00:00"/>
    <s v="SMLN-2024-612-100050"/>
    <x v="42"/>
  </r>
  <r>
    <d v="2024-04-04T00:00:00"/>
    <s v="VZ-2024-000299"/>
    <x v="5"/>
    <s v="Dočkalová"/>
    <s v="Zdražilová"/>
    <x v="163"/>
    <m/>
    <m/>
    <s v="podepsaná smlouva"/>
    <s v="33182000-9"/>
    <m/>
    <n v="24260880"/>
    <x v="0"/>
    <d v="2024-04-11T00:00:00"/>
    <d v="2024-05-31T00:00:00"/>
    <d v="2024-06-17T00:00:00"/>
    <s v="PROMEDICA PRAHA GROUP, a.s."/>
    <m/>
    <n v="24260850"/>
    <n v="27172152"/>
    <m/>
    <m/>
    <m/>
    <d v="2024-06-17T00:00:00"/>
    <s v="SMLN-2024-617-100349_x000a_SMLN-2024-614-100042_x000a_SMLN-2024-616-100048"/>
    <x v="66"/>
  </r>
  <r>
    <d v="2024-04-04T00:00:00"/>
    <s v="VZ-2024-000300"/>
    <x v="2"/>
    <s v="Skulová"/>
    <s v="Štýbnarová"/>
    <x v="164"/>
    <m/>
    <m/>
    <s v="podepsaná smlouva"/>
    <s v="38510000-3"/>
    <s v="2.2.633"/>
    <n v="345000"/>
    <x v="1"/>
    <d v="2024-04-08T00:00:00"/>
    <d v="2024-04-19T00:00:00"/>
    <m/>
    <s v="Sven BioLabs s.r.o."/>
    <m/>
    <n v="322260"/>
    <n v="389934.6"/>
    <m/>
    <m/>
    <m/>
    <d v="2024-05-09T00:00:00"/>
    <s v="SMLN-2024-617-100301_x000a_SMLN-2024-612-100068"/>
    <x v="6"/>
  </r>
  <r>
    <d v="2024-04-04T00:00:00"/>
    <s v="VZ-2024-000301-01"/>
    <x v="2"/>
    <s v="Skulová"/>
    <s v="Zdražilová"/>
    <x v="165"/>
    <n v="1"/>
    <s v="SW a HW upgradu stávající MR MAGNETON AVANTO"/>
    <s v="podepsaná smlouva"/>
    <s v="33111610-0"/>
    <s v="2.2.620"/>
    <n v="32912000"/>
    <x v="0"/>
    <d v="2024-05-29T00:00:00"/>
    <d v="2024-07-29T00:00:00"/>
    <d v="2024-09-03T00:00:00"/>
    <s v="Siemens Healthcare s.r.o."/>
    <m/>
    <n v="32790000"/>
    <n v="39675900"/>
    <m/>
    <m/>
    <m/>
    <d v="2024-09-03T00:00:00"/>
    <s v="SMLN-2024-617-100489_x000a_SMLN-2024-612-100108"/>
    <x v="67"/>
  </r>
  <r>
    <d v="2024-04-04T00:00:00"/>
    <s v="VZ-2024-000301-02"/>
    <x v="2"/>
    <s v="Skulová"/>
    <s v="Zdražilová"/>
    <x v="165"/>
    <n v="2"/>
    <s v="SW upgradu stávající MR MAGNETOM Aera"/>
    <s v="podepsaná smlouva"/>
    <s v="33111610-0"/>
    <m/>
    <n v="15910000"/>
    <x v="0"/>
    <d v="2024-05-29T00:00:00"/>
    <d v="2024-07-29T00:00:00"/>
    <d v="2024-09-03T00:00:00"/>
    <s v="Siemens Healthcare s.r.o."/>
    <m/>
    <n v="15910000"/>
    <n v="19251100"/>
    <m/>
    <m/>
    <m/>
    <d v="2024-09-03T00:00:00"/>
    <s v="SMLN-2024-617-100490_x000a_SMLN-2024-612-100109"/>
    <x v="67"/>
  </r>
  <r>
    <d v="2024-04-11T00:00:00"/>
    <s v="VZ-2024-000304"/>
    <x v="1"/>
    <s v="Vlčková"/>
    <s v="Hašková"/>
    <x v="166"/>
    <m/>
    <m/>
    <s v="podepsaná smlouva"/>
    <s v="33652000-5"/>
    <m/>
    <n v="10133047"/>
    <x v="0"/>
    <d v="2024-04-18T00:00:00"/>
    <d v="2024-05-30T00:00:00"/>
    <d v="2024-06-17T00:00:00"/>
    <s v="Janssen-Cilag s.r.o."/>
    <m/>
    <n v="6421185.6299999999"/>
    <n v="7191727.9100000001"/>
    <m/>
    <m/>
    <m/>
    <d v="2024-06-17T00:00:00"/>
    <s v="SMLN-2024-617-100354"/>
    <x v="62"/>
  </r>
  <r>
    <d v="2024-04-11T00:00:00"/>
    <s v="VZ-2024-000305"/>
    <x v="1"/>
    <s v="Vlčková"/>
    <s v="Bodinková"/>
    <x v="167"/>
    <m/>
    <m/>
    <s v="podepsaná smlouva"/>
    <s v="33652000-5"/>
    <m/>
    <n v="4525920"/>
    <x v="0"/>
    <d v="2024-04-15T00:00:00"/>
    <d v="2024-05-20T00:00:00"/>
    <d v="2024-06-17T00:00:00"/>
    <s v="Gilead Sciences s.r.o."/>
    <m/>
    <n v="4525920"/>
    <n v="5069030.4000000004"/>
    <m/>
    <m/>
    <m/>
    <d v="2024-06-17T00:00:00"/>
    <s v="SMLN-2024-617-100352"/>
    <x v="37"/>
  </r>
  <r>
    <d v="2024-04-11T00:00:00"/>
    <s v="VZ-2024-000306"/>
    <x v="1"/>
    <s v="Vlčková"/>
    <s v="Bodinková"/>
    <x v="168"/>
    <m/>
    <m/>
    <s v="podepsaná smlouva"/>
    <s v="33651400-2"/>
    <m/>
    <n v="11186411"/>
    <x v="0"/>
    <d v="2024-04-15T00:00:00"/>
    <d v="2024-05-20T00:00:00"/>
    <d v="2024-06-17T00:00:00"/>
    <s v="PHOENIX lék. velkoobchod, s.r.o."/>
    <m/>
    <n v="11131560"/>
    <n v="12467347.199999999"/>
    <m/>
    <m/>
    <m/>
    <d v="2024-06-17T00:00:00"/>
    <s v="SMLN-2024-617-100355"/>
    <x v="58"/>
  </r>
  <r>
    <d v="2024-04-11T00:00:00"/>
    <s v="VZ-2024-000307"/>
    <x v="1"/>
    <s v="Vlčková"/>
    <s v="Bodinková"/>
    <x v="169"/>
    <m/>
    <m/>
    <s v="podepsaná smlouva"/>
    <s v="33652100-6"/>
    <m/>
    <n v="14877818"/>
    <x v="0"/>
    <d v="2024-04-19T00:00:00"/>
    <d v="2024-05-24T00:00:00"/>
    <d v="2024-06-05T00:00:00"/>
    <s v="Gilead Sciences s.r.o."/>
    <m/>
    <n v="14877816.880000001"/>
    <n v="16663154.91"/>
    <m/>
    <m/>
    <m/>
    <d v="2024-06-05T00:00:00"/>
    <s v="SMLN-2024-617-100339"/>
    <x v="37"/>
  </r>
  <r>
    <d v="2024-04-11T00:00:00"/>
    <s v="VZ-2024-000308"/>
    <x v="1"/>
    <s v="Vondrková"/>
    <s v="Bodinková"/>
    <x v="170"/>
    <m/>
    <m/>
    <s v="podepsaná smlouva"/>
    <s v="33621000-9"/>
    <m/>
    <n v="20084976"/>
    <x v="0"/>
    <d v="2024-06-12T00:00:00"/>
    <d v="2024-08-16T00:00:00"/>
    <d v="2024-09-24T00:00:00"/>
    <s v="PHOENIX lék. velkoobchod, s.r.o."/>
    <m/>
    <n v="8831086.5600000005"/>
    <n v="9890816.9499999993"/>
    <m/>
    <m/>
    <m/>
    <d v="2024-09-24T00:00:00"/>
    <s v="SMLN-2024-617-100515"/>
    <x v="68"/>
  </r>
  <r>
    <s v="VZ-2023-001242"/>
    <s v="VZ-2024-000309"/>
    <x v="1"/>
    <s v="Vlčková"/>
    <s v="Štýbnarová"/>
    <x v="171"/>
    <m/>
    <m/>
    <s v="podepsaná smlouva"/>
    <s v="33631600-8"/>
    <m/>
    <n v="485903"/>
    <x v="1"/>
    <d v="2024-04-22T00:00:00"/>
    <d v="2024-05-03T00:00:00"/>
    <d v="2024-05-15T00:00:00"/>
    <s v="B. Braun Medical s.r.o."/>
    <m/>
    <n v="485901.87"/>
    <n v="544210.09"/>
    <m/>
    <m/>
    <m/>
    <d v="2024-05-15T00:00:00"/>
    <s v="SMLN-2024-617-100311"/>
    <x v="33"/>
  </r>
  <r>
    <d v="2024-04-11T00:00:00"/>
    <s v="VZ-2024-000310-01"/>
    <x v="1"/>
    <s v="Vlčková"/>
    <s v="Hašková"/>
    <x v="172"/>
    <n v="1"/>
    <s v="Imunoglobulin ve formě prášku a rozpouštědla pro přípravu infuzního roztoku"/>
    <s v="podepsaná smlouva"/>
    <s v="33651520-9"/>
    <m/>
    <n v="598160"/>
    <x v="0"/>
    <d v="2024-04-18T00:00:00"/>
    <d v="2024-05-23T00:00:00"/>
    <d v="2024-07-02T00:00:00"/>
    <s v="Takeda Pharmaceuticals Czech Republic s.r.o."/>
    <m/>
    <n v="598160"/>
    <n v="669939.19999999995"/>
    <m/>
    <m/>
    <m/>
    <d v="2024-07-02T00:00:00"/>
    <s v="SMLN-2024-617-100382"/>
    <x v="69"/>
  </r>
  <r>
    <d v="2024-04-11T00:00:00"/>
    <s v="VZ-2024-000310-02"/>
    <x v="1"/>
    <s v="Vlčková"/>
    <s v="Hašková"/>
    <x v="172"/>
    <n v="2"/>
    <s v="Kiovig- pro chronické pacienty nasazené na tomto LP"/>
    <s v="podepsaná smlouva"/>
    <s v="33651520-9"/>
    <m/>
    <n v="3840000"/>
    <x v="0"/>
    <d v="2024-04-18T00:00:00"/>
    <d v="2024-05-23T00:00:00"/>
    <d v="2024-07-02T00:00:00"/>
    <s v="Takeda Pharmaceuticals Czech Republic s.r.o."/>
    <m/>
    <n v="3840000"/>
    <n v="4300800"/>
    <m/>
    <m/>
    <m/>
    <d v="2024-07-02T00:00:00"/>
    <s v="SMLN-2024-617-100383"/>
    <x v="69"/>
  </r>
  <r>
    <d v="2024-04-11T00:00:00"/>
    <s v="VZ-2024-000311"/>
    <x v="1"/>
    <s v="Vondrková"/>
    <s v="Bodinková"/>
    <x v="173"/>
    <m/>
    <m/>
    <s v="zrušeno"/>
    <s v="33670000-7"/>
    <m/>
    <n v="431178230"/>
    <x v="0"/>
    <d v="2024-04-22T00:00:00"/>
    <d v="2024-06-27T00:00:00"/>
    <m/>
    <s v="zrušeno - překročení ceny"/>
    <s v="nová VZ-2024-000509"/>
    <m/>
    <m/>
    <m/>
    <m/>
    <m/>
    <m/>
    <m/>
    <x v="2"/>
  </r>
  <r>
    <d v="2024-04-10T00:00:00"/>
    <s v="VZ-2024-000312"/>
    <x v="7"/>
    <s v="Oravec"/>
    <s v="Staňková"/>
    <x v="174"/>
    <m/>
    <m/>
    <s v="zrušeno"/>
    <s v="32552100-8"/>
    <m/>
    <n v="850000"/>
    <x v="1"/>
    <d v="2024-04-15T00:00:00"/>
    <d v="2024-04-26T00:00:00"/>
    <m/>
    <s v="zrušeno - nutná úprava zadání"/>
    <s v="nová VZ-2024-000380"/>
    <m/>
    <m/>
    <m/>
    <m/>
    <m/>
    <m/>
    <m/>
    <x v="2"/>
  </r>
  <r>
    <d v="2024-04-11T00:00:00"/>
    <s v="VZ-2024-000313"/>
    <x v="1"/>
    <s v="Vlčková"/>
    <s v="Štýbnarová"/>
    <x v="175"/>
    <m/>
    <m/>
    <s v="podepsaná smlouva"/>
    <s v="33674000-5"/>
    <m/>
    <n v="360622"/>
    <x v="1"/>
    <d v="2024-04-16T00:00:00"/>
    <d v="2024-04-29T00:00:00"/>
    <d v="2024-05-14T00:00:00"/>
    <s v="PROMEDICA PRAHA GROUP, a.s."/>
    <m/>
    <n v="346616.82"/>
    <n v="388210.84"/>
    <m/>
    <m/>
    <m/>
    <d v="2024-05-14T00:00:00"/>
    <s v="SMLN-2024-617-100307"/>
    <x v="6"/>
  </r>
  <r>
    <d v="2024-04-15T00:00:00"/>
    <s v="VZ-2024-000314"/>
    <x v="5"/>
    <s v="Dočkalová"/>
    <s v="Zdražilová"/>
    <x v="176"/>
    <m/>
    <m/>
    <s v="hodnocení"/>
    <s v="33140000-3"/>
    <m/>
    <n v="10795736"/>
    <x v="0"/>
    <d v="2024-08-21T00:00:00"/>
    <d v="2024-10-01T00:00:00"/>
    <m/>
    <m/>
    <m/>
    <m/>
    <m/>
    <m/>
    <m/>
    <m/>
    <m/>
    <m/>
    <x v="2"/>
  </r>
  <r>
    <d v="2024-04-17T00:00:00"/>
    <s v="VZ-2024-000318-01"/>
    <x v="1"/>
    <s v="Vlčková"/>
    <s v="Bodinková"/>
    <x v="177"/>
    <n v="1"/>
    <s v="Humalog"/>
    <s v="podepsaná smlouva"/>
    <s v="33615100-5"/>
    <m/>
    <n v="869962"/>
    <x v="0"/>
    <d v="2024-04-24T00:00:00"/>
    <d v="2024-05-29T00:00:00"/>
    <d v="2024-06-06T00:00:00"/>
    <s v="Alliance Healthcare s.r.o."/>
    <m/>
    <n v="851268.49"/>
    <n v="953420.71"/>
    <m/>
    <m/>
    <m/>
    <d v="2024-06-06T00:00:00"/>
    <s v="SMLN-2024-617-100342"/>
    <x v="48"/>
  </r>
  <r>
    <d v="2024-04-17T00:00:00"/>
    <s v="VZ-2024-000318-02"/>
    <x v="1"/>
    <s v="Vlčková"/>
    <s v="Bodinková"/>
    <x v="177"/>
    <n v="2"/>
    <s v="Lyumjev"/>
    <s v="podepsaná smlouva"/>
    <s v="33615100-5"/>
    <m/>
    <n v="3217279"/>
    <x v="0"/>
    <d v="2024-04-24T00:00:00"/>
    <d v="2024-05-29T00:00:00"/>
    <d v="2024-06-06T00:00:00"/>
    <s v="Alliance Healthcare s.r.o."/>
    <m/>
    <n v="3138232.83"/>
    <n v="3514820.77"/>
    <m/>
    <m/>
    <m/>
    <d v="2024-06-06T00:00:00"/>
    <s v="SMLN-2024-617-100343"/>
    <x v="48"/>
  </r>
  <r>
    <d v="2024-04-17T00:00:00"/>
    <s v="VZ-2024-000318-03"/>
    <x v="1"/>
    <s v="Vlčková"/>
    <s v="Bodinková"/>
    <x v="177"/>
    <n v="3"/>
    <s v="Fiasp"/>
    <s v="podepsaná smlouva"/>
    <s v="33615100-5"/>
    <m/>
    <n v="4591912"/>
    <x v="0"/>
    <d v="2024-04-24T00:00:00"/>
    <d v="2024-05-29T00:00:00"/>
    <d v="2024-06-06T00:00:00"/>
    <s v="Alliance Healthcare s.r.o."/>
    <m/>
    <n v="4511135.32"/>
    <n v="5052470.4400000004"/>
    <m/>
    <m/>
    <m/>
    <d v="2024-06-06T00:00:00"/>
    <s v="SMLN-2024-617-100344"/>
    <x v="48"/>
  </r>
  <r>
    <d v="2024-04-17T00:00:00"/>
    <s v="VZ-2024-000318-04"/>
    <x v="1"/>
    <s v="Vlčková"/>
    <s v="Bodinková"/>
    <x v="177"/>
    <n v="4"/>
    <s v="Novorapid"/>
    <s v="podepsaná smlouva"/>
    <s v="33615100-5"/>
    <m/>
    <n v="9699428"/>
    <x v="0"/>
    <d v="2024-04-24T00:00:00"/>
    <d v="2024-05-29T00:00:00"/>
    <d v="2024-06-06T00:00:00"/>
    <s v="Alliance Healthcare s.r.o."/>
    <m/>
    <n v="9376349.6099999994"/>
    <n v="10501511.560000001"/>
    <m/>
    <m/>
    <m/>
    <d v="2024-06-06T00:00:00"/>
    <s v="SMLN-2024-617-100345"/>
    <x v="48"/>
  </r>
  <r>
    <d v="2024-04-11T00:00:00"/>
    <s v="VZ-2024-000320"/>
    <x v="1"/>
    <s v="Vlčková"/>
    <s v="Hašková"/>
    <x v="178"/>
    <m/>
    <m/>
    <s v="podepsaná smlouva"/>
    <s v="33652000-5"/>
    <m/>
    <n v="45602115"/>
    <x v="0"/>
    <d v="2024-04-19T00:00:00"/>
    <d v="2024-05-24T00:00:00"/>
    <d v="2024-06-03T00:00:00"/>
    <s v="Alliance Healthcare s.r.o."/>
    <m/>
    <n v="46504999.590000004"/>
    <n v="52085599.539999999"/>
    <m/>
    <m/>
    <m/>
    <d v="2024-06-03T00:00:00"/>
    <s v="SMLN-2024-617-100337"/>
    <x v="53"/>
  </r>
  <r>
    <d v="2024-04-11T00:00:00"/>
    <s v="VZ-2024-000321"/>
    <x v="5"/>
    <s v="Valtová"/>
    <s v="Kučera"/>
    <x v="179"/>
    <m/>
    <m/>
    <s v="podepsaná smlouva"/>
    <s v="33140000-3"/>
    <m/>
    <n v="4480000"/>
    <x v="0"/>
    <d v="2024-04-15T00:00:00"/>
    <d v="2024-06-04T00:00:00"/>
    <d v="2024-08-06T00:00:00"/>
    <s v="S.A.B. Impex, s.r.o."/>
    <m/>
    <n v="2998000"/>
    <n v="3357760"/>
    <m/>
    <m/>
    <m/>
    <d v="2024-08-06T00:00:00"/>
    <s v="SMLN-2024-617-100439_x000a_SMLN-2024-614-100053"/>
    <x v="70"/>
  </r>
  <r>
    <s v="VZ-2024-000283"/>
    <s v="VZ-2024-000324"/>
    <x v="6"/>
    <s v="Kadlec"/>
    <s v="Staňková"/>
    <x v="180"/>
    <m/>
    <m/>
    <s v="podepsaná smlouva"/>
    <s v="45421100-5"/>
    <m/>
    <n v="220000"/>
    <x v="1"/>
    <d v="2024-04-16T00:00:00"/>
    <d v="2024-04-29T00:00:00"/>
    <d v="2024-06-12T00:00:00"/>
    <s v="LG -DINEX spol. s r.o."/>
    <m/>
    <n v="210591.59"/>
    <n v="254815.82"/>
    <m/>
    <m/>
    <m/>
    <d v="2024-06-12T00:00:00"/>
    <s v="SMLN-2024-618-100027"/>
    <x v="48"/>
  </r>
  <r>
    <d v="2024-04-12T00:00:00"/>
    <s v="VZ-2024-000325"/>
    <x v="6"/>
    <s v="Kadlec"/>
    <s v="Staňková"/>
    <x v="181"/>
    <m/>
    <m/>
    <s v="podepsaná smlouva"/>
    <s v="45453000-7"/>
    <m/>
    <n v="250000"/>
    <x v="1"/>
    <d v="2024-04-17T00:00:00"/>
    <d v="2024-04-29T00:00:00"/>
    <d v="2024-05-14T00:00:00"/>
    <s v="BDC Development, s.r.o."/>
    <m/>
    <n v="104662"/>
    <n v="126641.02"/>
    <m/>
    <m/>
    <m/>
    <d v="2024-05-14T00:00:00"/>
    <s v="SMLN-2024-618-100020"/>
    <x v="49"/>
  </r>
  <r>
    <d v="2024-04-12T00:00:00"/>
    <s v="VZ-2024-000326"/>
    <x v="1"/>
    <s v="Ondráčková"/>
    <s v="Hašková"/>
    <x v="182"/>
    <m/>
    <m/>
    <s v="zaveden DNS"/>
    <s v="33631600-8, 33741300-9"/>
    <m/>
    <n v="55000000"/>
    <x v="3"/>
    <d v="2024-04-18T00:00:00"/>
    <d v="2024-05-22T00:00:00"/>
    <d v="2024-06-03T00:00:00"/>
    <s v="8 dodavatelů"/>
    <m/>
    <m/>
    <m/>
    <m/>
    <m/>
    <m/>
    <m/>
    <m/>
    <x v="2"/>
  </r>
  <r>
    <d v="2024-04-12T00:00:00"/>
    <s v="VZ-2024-000327"/>
    <x v="3"/>
    <s v="Ondráčková"/>
    <s v="Bodinková"/>
    <x v="183"/>
    <m/>
    <m/>
    <s v="zaveden DNS"/>
    <s v="33694000-1, 38434000-6"/>
    <m/>
    <n v="500000000"/>
    <x v="3"/>
    <d v="2024-04-19T00:00:00"/>
    <d v="2024-05-22T00:00:00"/>
    <d v="2024-06-03T00:00:00"/>
    <s v="53 dodavatelů"/>
    <m/>
    <m/>
    <m/>
    <m/>
    <m/>
    <m/>
    <m/>
    <m/>
    <x v="2"/>
  </r>
  <r>
    <d v="2024-04-23T00:00:00"/>
    <s v="VZ-2024-000332-01"/>
    <x v="1"/>
    <s v="Vlčková"/>
    <s v="Bodinková"/>
    <x v="184"/>
    <n v="1"/>
    <s v="Inhalační sympatomimetika I"/>
    <s v="podepsaná smlouva"/>
    <s v="33670000-7"/>
    <m/>
    <n v="5073615"/>
    <x v="0"/>
    <d v="2024-04-25T00:00:00"/>
    <d v="2024-05-31T00:00:00"/>
    <d v="2024-06-17T00:00:00"/>
    <s v="Boehringer Ingelheim, spol. s r.o."/>
    <m/>
    <n v="5036831.4800000004"/>
    <n v="5641251.2599999998"/>
    <m/>
    <m/>
    <m/>
    <d v="2024-06-17T00:00:00"/>
    <s v="SMLN-2024-617-100351"/>
    <x v="69"/>
  </r>
  <r>
    <d v="2024-04-23T00:00:00"/>
    <s v="VZ-2024-000332-02"/>
    <x v="1"/>
    <s v="Vlčková"/>
    <s v="Bodinková"/>
    <x v="184"/>
    <n v="2"/>
    <s v="Inhalační sympatomimetika II"/>
    <s v="zrušeno"/>
    <s v="33670000-7"/>
    <m/>
    <n v="170914"/>
    <x v="0"/>
    <d v="2024-04-25T00:00:00"/>
    <d v="2024-05-31T00:00:00"/>
    <m/>
    <s v="zrušeno - bez nabídky"/>
    <m/>
    <m/>
    <m/>
    <m/>
    <m/>
    <m/>
    <m/>
    <m/>
    <x v="2"/>
  </r>
  <r>
    <d v="2024-04-23T00:00:00"/>
    <s v="VZ-2024-000332-03"/>
    <x v="1"/>
    <s v="Vlčková"/>
    <s v="Bodinková"/>
    <x v="184"/>
    <n v="3"/>
    <s v="Flutiform"/>
    <s v="zrušeno"/>
    <s v="33670000-7"/>
    <m/>
    <n v="2546205"/>
    <x v="0"/>
    <d v="2024-04-25T00:00:00"/>
    <d v="2024-05-31T00:00:00"/>
    <m/>
    <s v="zrušeno - bez nabídky"/>
    <m/>
    <m/>
    <m/>
    <m/>
    <m/>
    <m/>
    <m/>
    <m/>
    <x v="2"/>
  </r>
  <r>
    <d v="2024-04-17T00:00:00"/>
    <s v="VZ-2024-000333"/>
    <x v="2"/>
    <s v="Skulová"/>
    <s v="Zdražilová"/>
    <x v="185"/>
    <m/>
    <m/>
    <s v="podepsaná smlouva"/>
    <s v="33192230-3"/>
    <s v="2.3.720."/>
    <n v="1120000"/>
    <x v="0"/>
    <d v="2024-04-29T00:00:00"/>
    <d v="2024-06-04T00:00:00"/>
    <d v="2024-06-20T00:00:00"/>
    <s v="BULLETIN .CZ s.r.o."/>
    <m/>
    <n v="909900"/>
    <n v="1100979"/>
    <m/>
    <m/>
    <m/>
    <d v="2024-06-20T00:00:00"/>
    <s v="SMLN-2024-617-100361_x000a_SMLN-2024-612-100074"/>
    <x v="58"/>
  </r>
  <r>
    <d v="2024-06-21T00:00:00"/>
    <s v="VZ-2024-000334-01"/>
    <x v="1"/>
    <s v="Vlčková"/>
    <s v="Bodinková"/>
    <x v="186"/>
    <n v="1"/>
    <s v="Koncentrovaný tekutý přípravek s účinnou látkou bez obsahu chlóru"/>
    <s v="nerealizováno"/>
    <s v="33631600-8"/>
    <m/>
    <n v="136124"/>
    <x v="0"/>
    <m/>
    <m/>
    <m/>
    <m/>
    <m/>
    <m/>
    <m/>
    <m/>
    <m/>
    <m/>
    <m/>
    <m/>
    <x v="2"/>
  </r>
  <r>
    <d v="2024-06-21T00:00:00"/>
    <s v="VZ-2024-000334-02"/>
    <x v="1"/>
    <s v="Vlčková"/>
    <s v="Bodinková"/>
    <x v="186"/>
    <n v="2"/>
    <s v="Dezinfekční přípravek s obsahem chlóru ve formě tablet"/>
    <s v="nerealizováno"/>
    <s v="33631600-8"/>
    <m/>
    <n v="34168"/>
    <x v="0"/>
    <m/>
    <m/>
    <m/>
    <m/>
    <m/>
    <m/>
    <m/>
    <m/>
    <m/>
    <m/>
    <m/>
    <m/>
    <x v="2"/>
  </r>
  <r>
    <d v="2024-04-18T00:00:00"/>
    <s v="VZ-2024-000335"/>
    <x v="0"/>
    <s v="Spáčil Z."/>
    <s v="Štýbnarová"/>
    <x v="187"/>
    <m/>
    <m/>
    <s v="podepsaná smlouva"/>
    <s v="71000000-8"/>
    <m/>
    <n v="550000"/>
    <x v="1"/>
    <d v="2024-05-03T00:00:00"/>
    <d v="2024-05-17T00:00:00"/>
    <d v="2024-05-22T00:00:00"/>
    <s v="Adam Rujbr Architects s.r.o."/>
    <m/>
    <n v="344500"/>
    <n v="416845"/>
    <m/>
    <m/>
    <m/>
    <d v="2024-05-22T00:00:00"/>
    <s v="SMLN-2024-618-100021"/>
    <x v="49"/>
  </r>
  <r>
    <d v="2024-05-13T00:00:00"/>
    <s v="VZ-2024-000338"/>
    <x v="4"/>
    <s v="Zdráhalová"/>
    <s v="Zdražilová"/>
    <x v="188"/>
    <m/>
    <m/>
    <s v="podepsaná smlouva"/>
    <s v="39112000-0"/>
    <m/>
    <n v="2290000"/>
    <x v="2"/>
    <d v="2024-05-27T00:00:00"/>
    <d v="2024-06-13T00:00:00"/>
    <d v="2024-07-09T00:00:00"/>
    <s v="HONA INVESTMENT s.r.o."/>
    <m/>
    <n v="1881200"/>
    <n v="2276252"/>
    <m/>
    <m/>
    <m/>
    <d v="2024-07-09T00:00:00"/>
    <s v="SMLN-2024-617-100386"/>
    <x v="65"/>
  </r>
  <r>
    <d v="2024-04-19T00:00:00"/>
    <s v="VZ-2024-000340"/>
    <x v="0"/>
    <s v="Spáčil Z."/>
    <s v="Staňková"/>
    <x v="189"/>
    <m/>
    <m/>
    <s v="podepsaná smlouva"/>
    <s v="45213300-6"/>
    <m/>
    <n v="4780000"/>
    <x v="1"/>
    <d v="2024-04-30T00:00:00"/>
    <d v="2024-05-17T00:00:00"/>
    <d v="2024-05-29T00:00:00"/>
    <s v="DW STAVBY BRNO s.r.o."/>
    <m/>
    <n v="3406475.46"/>
    <n v="4121835.31"/>
    <m/>
    <m/>
    <m/>
    <d v="2024-05-29T00:00:00"/>
    <s v="SMLN-2024-618-100023"/>
    <x v="71"/>
  </r>
  <r>
    <d v="2024-04-25T00:00:00"/>
    <s v="VZ-2024-000341"/>
    <x v="4"/>
    <s v="Zdráhalová"/>
    <s v="Štýbnarová"/>
    <x v="190"/>
    <m/>
    <m/>
    <s v="podepsaná smlouva"/>
    <s v="32324000-0"/>
    <m/>
    <n v="800000"/>
    <x v="1"/>
    <d v="2024-05-06T00:00:00"/>
    <d v="2024-05-17T00:00:00"/>
    <d v="2024-05-28T00:00:00"/>
    <s v="Alcaserv Czech, a.s."/>
    <m/>
    <n v="732700"/>
    <n v="886567"/>
    <m/>
    <m/>
    <m/>
    <d v="2024-05-28T00:00:00"/>
    <s v="SMLN-2024-617-100326"/>
    <x v="49"/>
  </r>
  <r>
    <d v="2024-04-19T00:00:00"/>
    <s v="VZ-2024-000343"/>
    <x v="6"/>
    <s v="Srovnal"/>
    <s v="Kučera"/>
    <x v="191"/>
    <m/>
    <m/>
    <s v="podepsaná smlouva"/>
    <s v="42512300-1"/>
    <s v="4.2.220."/>
    <n v="4545200"/>
    <x v="0"/>
    <d v="2024-05-21T00:00:00"/>
    <d v="2024-06-24T00:00:00"/>
    <d v="2024-07-09T00:00:00"/>
    <s v="Blažek Erik"/>
    <m/>
    <n v="2656318"/>
    <n v="3214145"/>
    <m/>
    <m/>
    <m/>
    <d v="2024-07-10T00:00:00"/>
    <s v="SMLN-2024-618-100038"/>
    <x v="72"/>
  </r>
  <r>
    <d v="2024-04-19T00:00:00"/>
    <s v="VZ-2024-000345"/>
    <x v="6"/>
    <s v="Srovnal"/>
    <s v="Kučera"/>
    <x v="192"/>
    <m/>
    <m/>
    <s v="smlouva v kolečku"/>
    <s v="42512300-1"/>
    <s v="4.2.218."/>
    <n v="661120"/>
    <x v="0"/>
    <d v="2024-05-21T00:00:00"/>
    <d v="2024-06-24T00:00:00"/>
    <d v="2024-10-04T00:00:00"/>
    <s v="BDC Development s.r.o."/>
    <m/>
    <n v="593662"/>
    <n v="718331"/>
    <m/>
    <m/>
    <m/>
    <d v="2024-10-04T00:00:00"/>
    <s v="SMLN-2024-618-100037"/>
    <x v="2"/>
  </r>
  <r>
    <d v="2024-04-23T00:00:00"/>
    <s v="VZ-2024-000349"/>
    <x v="1"/>
    <s v="Vlčková"/>
    <s v="Hašková"/>
    <x v="193"/>
    <m/>
    <m/>
    <s v="zrušeno"/>
    <s v="33651400-2"/>
    <m/>
    <n v="18841323"/>
    <x v="0"/>
    <d v="2024-04-26T00:00:00"/>
    <d v="2024-05-31T00:00:00"/>
    <m/>
    <s v="zrušeno - bez nabídky"/>
    <m/>
    <m/>
    <m/>
    <m/>
    <m/>
    <m/>
    <m/>
    <m/>
    <x v="2"/>
  </r>
  <r>
    <d v="2024-04-23T00:00:00"/>
    <s v="VZ-2024-000351-01"/>
    <x v="2"/>
    <s v="Skulová"/>
    <s v="Zdražilová"/>
    <x v="194"/>
    <n v="1"/>
    <s v="Nástroje chirurgické - specifikováno dle katalogu Aesculap Surgical Instruments"/>
    <s v="podepsaná smlouva"/>
    <s v="33169000-2"/>
    <m/>
    <n v="4898000"/>
    <x v="4"/>
    <d v="2024-05-27T00:00:00"/>
    <d v="2024-06-27T00:00:00"/>
    <d v="2024-07-18T00:00:00"/>
    <s v="B. Braun Medical s.r.o."/>
    <m/>
    <n v="5811250"/>
    <n v="7031612.5"/>
    <m/>
    <m/>
    <m/>
    <d v="2024-07-18T00:00:00"/>
    <s v="SMLN-2024-617-100410"/>
    <x v="73"/>
  </r>
  <r>
    <d v="2024-04-23T00:00:00"/>
    <s v="VZ-2024-000351-02"/>
    <x v="2"/>
    <s v="Skulová"/>
    <s v="Zdražilová"/>
    <x v="194"/>
    <n v="2"/>
    <s v="Nástroje chirurgické - specifikováno dle katalogu MEDIN, a.s."/>
    <s v="podepsaná smlouva"/>
    <s v="33169000-2"/>
    <m/>
    <n v="636000"/>
    <x v="4"/>
    <d v="2024-05-27T00:00:00"/>
    <d v="2024-06-27T00:00:00"/>
    <d v="2024-07-18T00:00:00"/>
    <s v="MEDIN, a.s."/>
    <m/>
    <n v="407235.2"/>
    <n v="792754.59"/>
    <m/>
    <m/>
    <m/>
    <d v="2024-07-18T00:00:00"/>
    <s v="SMLN-2024-617-100411"/>
    <x v="54"/>
  </r>
  <r>
    <d v="2024-06-24T00:00:00"/>
    <s v="VZ-2024-000356"/>
    <x v="5"/>
    <s v="Valtová"/>
    <s v="Zdražilová"/>
    <x v="195"/>
    <m/>
    <m/>
    <s v="smlouva v kolečku"/>
    <s v="33140000-3 "/>
    <m/>
    <n v="4007240"/>
    <x v="0"/>
    <d v="2024-06-27T00:00:00"/>
    <d v="2024-08-22T00:00:00"/>
    <d v="2024-09-25T00:00:00"/>
    <s v="EndoTech s.r.o."/>
    <m/>
    <n v="3723000"/>
    <n v="4169760"/>
    <m/>
    <m/>
    <m/>
    <d v="2024-09-25T00:00:00"/>
    <s v="SMLN-2024-617-100518_x000a_SMLN-2024-614-100068"/>
    <x v="2"/>
  </r>
  <r>
    <d v="2024-04-24T00:00:00"/>
    <s v="VZ-2024-000357"/>
    <x v="1"/>
    <s v="Vlčková"/>
    <s v="Bodinková"/>
    <x v="196"/>
    <m/>
    <m/>
    <s v="podepsaná smlouva"/>
    <s v="33631600-8"/>
    <m/>
    <n v="3155066"/>
    <x v="0"/>
    <d v="2024-04-26T00:00:00"/>
    <d v="2024-06-14T00:00:00"/>
    <d v="2024-07-18T00:00:00"/>
    <s v="PROMEDICA PRAHA GROUP, a.s."/>
    <m/>
    <n v="2375190.65"/>
    <n v="2873980.68"/>
    <m/>
    <m/>
    <m/>
    <d v="2024-07-18T00:00:00"/>
    <s v="SMLN-2024-617-100412"/>
    <x v="74"/>
  </r>
  <r>
    <d v="2024-04-24T00:00:00"/>
    <s v="VZ-2024-000359"/>
    <x v="5"/>
    <s v="Valtová"/>
    <s v="Hašková"/>
    <x v="197"/>
    <m/>
    <m/>
    <s v="zrušeno"/>
    <s v="33140000-3"/>
    <m/>
    <n v="6438000"/>
    <x v="0"/>
    <d v="2024-04-29T00:00:00"/>
    <d v="2024-06-17T00:00:00"/>
    <m/>
    <s v="zrušeno - bez nabídky"/>
    <s v="nová VZ-2024-000672"/>
    <m/>
    <m/>
    <m/>
    <m/>
    <m/>
    <m/>
    <m/>
    <x v="2"/>
  </r>
  <r>
    <d v="2024-04-29T00:00:00"/>
    <s v="VZ-2024-000360"/>
    <x v="2"/>
    <s v="Skulová"/>
    <s v="Štýbnarová"/>
    <x v="198"/>
    <m/>
    <m/>
    <s v="podepsaná smlouva"/>
    <s v="38300000-8"/>
    <s v="2.3.791."/>
    <n v="109584"/>
    <x v="1"/>
    <d v="2024-05-03T00:00:00"/>
    <d v="2024-05-14T00:00:00"/>
    <d v="2024-05-29T00:00:00"/>
    <s v="KALIST AKL s.r.o."/>
    <m/>
    <n v="50865"/>
    <n v="61546.65"/>
    <m/>
    <m/>
    <m/>
    <d v="2024-05-29T00:00:00"/>
    <s v="SMLN-2024-617-100330_x000a_SMLN-2024-612-100069"/>
    <x v="49"/>
  </r>
  <r>
    <d v="2024-04-25T00:00:00"/>
    <s v="VZ-2024-000361"/>
    <x v="5"/>
    <s v="Valtová"/>
    <s v="Hašková"/>
    <x v="199"/>
    <m/>
    <m/>
    <s v="podepsaná smlouva"/>
    <s v="33182210-4"/>
    <m/>
    <n v="65024110"/>
    <x v="0"/>
    <d v="2024-06-12T00:00:00"/>
    <d v="2024-07-17T00:00:00"/>
    <d v="2024-08-30T00:00:00"/>
    <s v="Cardiomedical s.r.o."/>
    <m/>
    <n v="65015305"/>
    <n v="72817141.599999994"/>
    <m/>
    <m/>
    <m/>
    <d v="2024-08-30T00:00:00"/>
    <s v="SMLN-2024-617-100486_x000a_SMLN-2024-614-100064"/>
    <x v="75"/>
  </r>
  <r>
    <d v="2024-05-09T00:00:00"/>
    <s v="VZ-2024-000362"/>
    <x v="6"/>
    <s v="Srovnal"/>
    <s v="Kučera"/>
    <x v="200"/>
    <m/>
    <m/>
    <s v="podepsaná smlouva"/>
    <s v="39151000-5"/>
    <m/>
    <n v="2000000"/>
    <x v="4"/>
    <d v="2024-05-15T00:00:00"/>
    <d v="2024-05-30T00:00:00"/>
    <d v="2024-07-16T00:00:00"/>
    <s v="Intersyss s.r.o."/>
    <m/>
    <n v="2522094"/>
    <n v="3051733.74"/>
    <m/>
    <m/>
    <m/>
    <d v="2024-07-16T00:00:00"/>
    <s v="SMLN-2024-618-100029"/>
    <x v="58"/>
  </r>
  <r>
    <d v="2024-05-09T00:00:00"/>
    <s v="VZ-2024-000363"/>
    <x v="6"/>
    <s v="Kadlec"/>
    <s v="Kučera"/>
    <x v="201"/>
    <m/>
    <m/>
    <s v="podepsaná smlouva"/>
    <s v="44212381-3"/>
    <m/>
    <n v="4500000"/>
    <x v="0"/>
    <d v="2024-05-16T00:00:00"/>
    <d v="2024-06-19T00:00:00"/>
    <d v="2024-07-16T00:00:00"/>
    <s v="INVISTA Craft s.r.o."/>
    <m/>
    <n v="4365010"/>
    <n v="5281662.0999999996"/>
    <m/>
    <m/>
    <m/>
    <d v="2024-07-16T00:00:00"/>
    <s v="SMLN-2024-618-100039"/>
    <x v="76"/>
  </r>
  <r>
    <d v="2024-04-26T00:00:00"/>
    <s v="VZ-2024-000364"/>
    <x v="5"/>
    <s v="Valtová"/>
    <s v="Zdražilová"/>
    <x v="202"/>
    <m/>
    <m/>
    <s v="podepsaná smlouva"/>
    <s v="33183100-7"/>
    <m/>
    <n v="3628966"/>
    <x v="0"/>
    <d v="2024-05-02T00:00:00"/>
    <d v="2024-06-07T00:00:00"/>
    <d v="2024-06-20T00:00:00"/>
    <s v="Arthrex s.r.o."/>
    <m/>
    <n v="3628966"/>
    <n v="4064441.92"/>
    <m/>
    <m/>
    <m/>
    <d v="2024-06-20T00:00:00"/>
    <s v="SMLN-2024-617-100362_x000a_SMLN-2024-614-100043"/>
    <x v="59"/>
  </r>
  <r>
    <d v="2024-04-30T00:00:00"/>
    <s v="VZ-2024-000365"/>
    <x v="4"/>
    <s v="Zdráhalová"/>
    <s v="Staňková"/>
    <x v="203"/>
    <m/>
    <m/>
    <s v="podepsaná smlouva"/>
    <s v="35113400-3"/>
    <m/>
    <n v="1685255"/>
    <x v="1"/>
    <d v="2024-06-05T00:00:00"/>
    <d v="2024-07-15T00:00:00"/>
    <d v="2024-09-19T00:00:00"/>
    <s v="CLINITEX ZPS s.r.o."/>
    <m/>
    <n v="1167075"/>
    <n v="1412160.75"/>
    <m/>
    <m/>
    <m/>
    <d v="2024-09-19T00:00:00"/>
    <s v="SMLN-2024-617-100508"/>
    <x v="77"/>
  </r>
  <r>
    <d v="2024-04-29T00:00:00"/>
    <s v="VZ-2024-000366"/>
    <x v="2"/>
    <s v="Skulová"/>
    <s v="Zdražilová"/>
    <x v="204"/>
    <m/>
    <m/>
    <s v="podepsaná smlouva"/>
    <s v="33195100-4"/>
    <s v="2.3.712."/>
    <n v="3700000"/>
    <x v="0"/>
    <d v="2024-05-10T00:00:00"/>
    <d v="2024-07-09T00:00:00"/>
    <d v="2024-08-06T00:00:00"/>
    <s v="SNT Plus s.r.o."/>
    <m/>
    <n v="3599260"/>
    <n v="4355104.5999999996"/>
    <m/>
    <m/>
    <m/>
    <d v="2024-08-06T00:00:00"/>
    <s v="SMLN-2024-617-100440_x000a_SMLN-2024-612-100100"/>
    <x v="73"/>
  </r>
  <r>
    <d v="2024-05-09T00:00:00"/>
    <s v="VZ-2024-000367"/>
    <x v="6"/>
    <s v="Kadlec"/>
    <s v="Staňková"/>
    <x v="205"/>
    <m/>
    <m/>
    <s v="podepsaná smlouva"/>
    <s v="45453000-7"/>
    <m/>
    <n v="1000000"/>
    <x v="1"/>
    <d v="2024-05-13T00:00:00"/>
    <d v="2024-05-24T00:00:00"/>
    <d v="2024-06-03T00:00:00"/>
    <s v="BDC Development, s.r.o."/>
    <m/>
    <n v="821163"/>
    <n v="993607.23"/>
    <m/>
    <m/>
    <m/>
    <d v="2024-06-03T00:00:00"/>
    <s v="SMLN-2024-618-100024"/>
    <x v="71"/>
  </r>
  <r>
    <d v="2024-05-22T00:00:00"/>
    <s v="VZ-2024-000368"/>
    <x v="0"/>
    <s v="Hrubý"/>
    <s v="Staňková"/>
    <x v="206"/>
    <m/>
    <m/>
    <s v="zrušeno"/>
    <s v="71240000-2, 71000000-8"/>
    <m/>
    <n v="800000"/>
    <x v="1"/>
    <d v="2024-05-28T00:00:00"/>
    <d v="2024-06-10T00:00:00"/>
    <m/>
    <s v="zrušeno - úprava specifikace"/>
    <s v="nová VZ-2024-000500"/>
    <m/>
    <m/>
    <m/>
    <m/>
    <m/>
    <m/>
    <m/>
    <x v="2"/>
  </r>
  <r>
    <s v="VZ-2024-000045"/>
    <s v="VZ-2024-000371"/>
    <x v="2"/>
    <s v="Skulová"/>
    <s v="Kučera"/>
    <x v="20"/>
    <m/>
    <m/>
    <s v="podepsaná smlouva"/>
    <s v="33111720-4"/>
    <s v="2.2.593."/>
    <n v="50800000"/>
    <x v="0"/>
    <d v="2024-05-14T00:00:00"/>
    <d v="2024-06-19T00:00:00"/>
    <d v="2024-07-03T00:00:00"/>
    <s v="Sdružení Philips a EDOMED"/>
    <m/>
    <n v="50315700"/>
    <n v="60881997"/>
    <m/>
    <m/>
    <m/>
    <d v="2024-07-03T00:00:00"/>
    <s v="SMLN-2024-612-100081_x000a_SMLN-2024-612-100082_x000a_SMLN-2024-617-100385"/>
    <x v="43"/>
  </r>
  <r>
    <d v="2024-04-30T00:00:00"/>
    <s v="VZ-2024-000372"/>
    <x v="2"/>
    <s v="Skulová"/>
    <s v="Hašková"/>
    <x v="207"/>
    <m/>
    <m/>
    <s v="hodnocení"/>
    <s v="33168100-6"/>
    <s v="2.3.838."/>
    <n v="1060000"/>
    <x v="0"/>
    <d v="2024-05-16T00:00:00"/>
    <d v="2024-08-01T00:00:00"/>
    <m/>
    <m/>
    <m/>
    <m/>
    <m/>
    <m/>
    <m/>
    <m/>
    <m/>
    <m/>
    <x v="2"/>
  </r>
  <r>
    <d v="2024-06-11T00:00:00"/>
    <s v="VZ-2024-000374"/>
    <x v="9"/>
    <s v="Hlavinka"/>
    <s v="Kučera"/>
    <x v="208"/>
    <m/>
    <m/>
    <s v="vypsaná VZ"/>
    <s v="48000000-8 "/>
    <m/>
    <n v="185000000"/>
    <x v="0"/>
    <d v="2024-06-12T00:00:00"/>
    <d v="2024-10-21T00:00:00"/>
    <m/>
    <m/>
    <m/>
    <m/>
    <m/>
    <m/>
    <m/>
    <m/>
    <m/>
    <m/>
    <x v="2"/>
  </r>
  <r>
    <s v="VZ-2024-000115"/>
    <s v="VZ-2024-000377"/>
    <x v="5"/>
    <s v="Dočkalová"/>
    <s v="Zdražilová"/>
    <x v="53"/>
    <m/>
    <m/>
    <s v="podepsaná smlouva"/>
    <s v="33184100-4"/>
    <m/>
    <n v="31252173.68"/>
    <x v="0"/>
    <d v="2024-05-06T00:00:00"/>
    <d v="2024-06-11T00:00:00"/>
    <d v="2024-06-20T00:00:00"/>
    <s v="CARDION s.r.o."/>
    <m/>
    <n v="31251600"/>
    <n v="35001792"/>
    <m/>
    <m/>
    <m/>
    <d v="2024-06-20T00:00:00"/>
    <s v="SMLN-2024-617-100363_x000a_SMLN-2024-614-100044"/>
    <x v="78"/>
  </r>
  <r>
    <d v="2024-05-06T00:00:00"/>
    <s v="VZ-2024-000378-01"/>
    <x v="1"/>
    <s v="Vondrková"/>
    <s v="Bodinková"/>
    <x v="209"/>
    <n v="1"/>
    <s v="Irigační roztok I."/>
    <s v="podepsaná smlouva"/>
    <s v="33695000-8"/>
    <m/>
    <n v="1540729"/>
    <x v="0"/>
    <d v="2024-05-21T00:00:00"/>
    <d v="2024-07-24T00:00:00"/>
    <d v="2024-08-08T00:00:00"/>
    <s v="BAXTER CZECH spol. s r.o."/>
    <m/>
    <n v="1540728.12"/>
    <n v="1725615.49"/>
    <m/>
    <m/>
    <m/>
    <d v="2024-08-08T00:00:00"/>
    <s v="SMLN-2024-617-100445"/>
    <x v="70"/>
  </r>
  <r>
    <d v="2024-05-06T00:00:00"/>
    <s v="VZ-2024-000378-02"/>
    <x v="1"/>
    <s v="Vondrková"/>
    <s v="Bodinková"/>
    <x v="209"/>
    <n v="2"/>
    <s v="Irigační roztok II."/>
    <s v="podepsaná smlouva"/>
    <s v="33695000-8"/>
    <m/>
    <n v="265140"/>
    <x v="0"/>
    <d v="2024-05-21T00:00:00"/>
    <d v="2024-07-24T00:00:00"/>
    <d v="2024-08-08T00:00:00"/>
    <s v="BAXTER CZECH spol. s r.o."/>
    <m/>
    <n v="265140"/>
    <n v="296956.79999999999"/>
    <m/>
    <m/>
    <m/>
    <d v="2024-08-08T00:00:00"/>
    <s v="SMLN-2024-617-100446"/>
    <x v="70"/>
  </r>
  <r>
    <d v="2024-05-06T00:00:00"/>
    <s v="VZ-2024-000378-03"/>
    <x v="1"/>
    <s v="Vondrková"/>
    <s v="Bodinková"/>
    <x v="209"/>
    <n v="3"/>
    <s v="Irigační roztok III."/>
    <s v="podepsaná smlouva"/>
    <s v="33695000-8"/>
    <m/>
    <n v="1389521"/>
    <x v="0"/>
    <d v="2024-05-21T00:00:00"/>
    <d v="2024-07-24T00:00:00"/>
    <d v="2024-08-08T00:00:00"/>
    <s v="BAXTER CZECH spol. s r.o."/>
    <m/>
    <n v="1389520.08"/>
    <n v="1556262.49"/>
    <m/>
    <m/>
    <m/>
    <d v="2024-08-08T00:00:00"/>
    <s v="SMLN-2024-617-100447"/>
    <x v="70"/>
  </r>
  <r>
    <s v="VZ-2024-000312"/>
    <s v="VZ-2024-000380"/>
    <x v="7"/>
    <s v="Oravec"/>
    <s v="Staňková"/>
    <x v="210"/>
    <m/>
    <m/>
    <s v="podepsaná smlouva"/>
    <s v="32552100-8"/>
    <m/>
    <n v="816000"/>
    <x v="1"/>
    <d v="2024-05-06T00:00:00"/>
    <d v="2024-05-17T00:00:00"/>
    <d v="2024-05-28T00:00:00"/>
    <s v="ERISERV, spol. s r.o."/>
    <m/>
    <n v="731250"/>
    <n v="884812.5"/>
    <m/>
    <m/>
    <m/>
    <d v="2024-05-28T00:00:00"/>
    <s v="SMLN-2024-617-100328"/>
    <x v="79"/>
  </r>
  <r>
    <d v="2024-05-06T00:00:00"/>
    <s v="VZ-2024-000381"/>
    <x v="1"/>
    <s v="Vondrková"/>
    <s v="Bodinková"/>
    <x v="211"/>
    <m/>
    <m/>
    <s v="podepsaná smlouva"/>
    <s v="33652000-5"/>
    <m/>
    <n v="21269388"/>
    <x v="0"/>
    <d v="2024-05-09T00:00:00"/>
    <d v="2024-07-09T00:00:00"/>
    <d v="2024-08-07T00:00:00"/>
    <s v="ROCHE s.r.o."/>
    <m/>
    <n v="21269388"/>
    <n v="23821714.559999999"/>
    <m/>
    <m/>
    <m/>
    <d v="2024-08-07T00:00:00"/>
    <s v="SMLN-2024-617-100442"/>
    <x v="80"/>
  </r>
  <r>
    <d v="2024-05-09T00:00:00"/>
    <s v="VZ-2024-000382"/>
    <x v="5"/>
    <s v="Valtová"/>
    <s v="Hašková"/>
    <x v="212"/>
    <m/>
    <m/>
    <s v="podepsaná smlouva"/>
    <s v="33158210-7"/>
    <m/>
    <n v="21880345"/>
    <x v="0"/>
    <d v="2024-06-13T00:00:00"/>
    <d v="2024-07-18T00:00:00"/>
    <d v="2024-08-30T00:00:00"/>
    <s v="MEDIFINE, a.s."/>
    <m/>
    <n v="21880322.870000001"/>
    <n v="24505961.609999999"/>
    <m/>
    <m/>
    <m/>
    <d v="2024-08-30T00:00:00"/>
    <s v="SMLN-2024-617-100485_x000a_SMLN-2024-614-100063_x000a_SMLN-2024-616-100060"/>
    <x v="67"/>
  </r>
  <r>
    <d v="2024-05-06T00:00:00"/>
    <s v="VZ-2024-000383"/>
    <x v="1"/>
    <s v="Vondrková"/>
    <s v="Bodinková"/>
    <x v="213"/>
    <m/>
    <m/>
    <s v="podepsaná smlouva"/>
    <s v="33652000-5"/>
    <m/>
    <n v="12700087"/>
    <x v="0"/>
    <d v="2024-05-14T00:00:00"/>
    <d v="2024-06-18T00:00:00"/>
    <d v="2024-06-24T00:00:00"/>
    <s v="PHOENIX lék. velkoobchod, s.r.o."/>
    <m/>
    <n v="12699938.550000001"/>
    <n v="14223931.18"/>
    <m/>
    <m/>
    <m/>
    <d v="2024-06-24T00:00:00"/>
    <s v="SMLN-2024-617-100373"/>
    <x v="81"/>
  </r>
  <r>
    <d v="2024-05-06T00:00:00"/>
    <s v="VZ-2024-000385-01"/>
    <x v="1"/>
    <s v="Vondrková"/>
    <s v="Hašková"/>
    <x v="214"/>
    <n v="1"/>
    <s v="TRIMEKAIN-HYDROCHLORID i.v"/>
    <s v="podepsaná smlouva"/>
    <s v="33661100-2"/>
    <m/>
    <n v="2643583"/>
    <x v="0"/>
    <d v="2024-05-15T00:00:00"/>
    <d v="2024-06-19T00:00:00"/>
    <d v="2024-07-15T00:00:00"/>
    <s v="PROMEDICA PRAHA GROUP, a.s."/>
    <m/>
    <n v="2613552.6"/>
    <n v="2927178.91"/>
    <m/>
    <m/>
    <m/>
    <d v="2024-07-15T00:00:00"/>
    <s v="SMLN-2024-617-100401"/>
    <x v="32"/>
  </r>
  <r>
    <d v="2024-05-06T00:00:00"/>
    <s v="VZ-2024-000385-02"/>
    <x v="1"/>
    <s v="Vondrková"/>
    <s v="Hašková"/>
    <x v="214"/>
    <n v="2"/>
    <s v=" TRIMEKAIN-HYDROCHLORID, KOMBINACE"/>
    <s v="podepsaná smlouva"/>
    <s v="33661100-2"/>
    <m/>
    <n v="1282304"/>
    <x v="0"/>
    <d v="2024-05-15T00:00:00"/>
    <d v="2024-06-19T00:00:00"/>
    <d v="2024-07-15T00:00:00"/>
    <s v="PROMEDICA PRAHA GROUP, a.s."/>
    <m/>
    <n v="1275009.3"/>
    <n v="1428010.42"/>
    <m/>
    <m/>
    <m/>
    <d v="2024-07-15T00:00:00"/>
    <s v="SMLN-2024-617-100402"/>
    <x v="32"/>
  </r>
  <r>
    <d v="2024-05-06T00:00:00"/>
    <s v="VZ-2024-000385-03"/>
    <x v="1"/>
    <s v="Vondrková"/>
    <s v="Hašková"/>
    <x v="214"/>
    <n v="3"/>
    <s v="LEVOBUPIVAKAIN"/>
    <s v="podepsaná smlouva"/>
    <s v="33661100-2"/>
    <m/>
    <n v="3322992"/>
    <x v="0"/>
    <d v="2024-05-15T00:00:00"/>
    <d v="2024-06-19T00:00:00"/>
    <d v="2024-07-15T00:00:00"/>
    <s v="Fresenius Kabi s.r.o."/>
    <m/>
    <n v="3322992"/>
    <n v="3721751.04"/>
    <m/>
    <m/>
    <m/>
    <d v="2024-07-15T00:00:00"/>
    <s v="SMLN-2024-617-100403"/>
    <x v="32"/>
  </r>
  <r>
    <d v="2024-05-06T00:00:00"/>
    <s v="VZ-2024-000385-04"/>
    <x v="1"/>
    <s v="Vondrková"/>
    <s v="Hašková"/>
    <x v="214"/>
    <n v="4"/>
    <s v="ARTIKAIN, KOMBINACE"/>
    <s v="podepsaná smlouva"/>
    <s v="33661100-2"/>
    <m/>
    <n v="3252012"/>
    <x v="0"/>
    <d v="2024-05-15T00:00:00"/>
    <d v="2024-06-19T00:00:00"/>
    <d v="2024-07-15T00:00:00"/>
    <s v="Alliance Healthcare s.r.o."/>
    <m/>
    <n v="3207589.2"/>
    <n v="3592499.9"/>
    <m/>
    <m/>
    <m/>
    <d v="2024-07-15T00:00:00"/>
    <s v="SMLN-2024-617-100404"/>
    <x v="32"/>
  </r>
  <r>
    <d v="2024-06-24T00:00:00"/>
    <s v="VZ-2024-000386"/>
    <x v="0"/>
    <s v="Pavela"/>
    <s v="Kučera"/>
    <x v="215"/>
    <m/>
    <m/>
    <s v="hodnocení"/>
    <s v="48411000-2"/>
    <m/>
    <n v="2300000"/>
    <x v="2"/>
    <d v="2024-07-02T00:00:00"/>
    <d v="2024-07-24T00:00:00"/>
    <m/>
    <m/>
    <m/>
    <m/>
    <m/>
    <m/>
    <m/>
    <m/>
    <m/>
    <m/>
    <x v="2"/>
  </r>
  <r>
    <d v="2024-05-06T00:00:00"/>
    <s v="VZ-2024-000387"/>
    <x v="1"/>
    <s v="Vlčková"/>
    <s v="Hašková"/>
    <x v="216"/>
    <m/>
    <m/>
    <s v="podepsaná smlouva"/>
    <s v="33652000-5"/>
    <m/>
    <n v="3073773"/>
    <x v="0"/>
    <d v="2024-05-15T00:00:00"/>
    <d v="2024-06-19T00:00:00"/>
    <d v="2024-07-15T00:00:00"/>
    <s v="Alliance Healthcare s.r.o."/>
    <m/>
    <n v="3063984.3"/>
    <n v="3431662.42"/>
    <m/>
    <m/>
    <m/>
    <d v="2024-07-15T00:00:00"/>
    <s v="SMLN-2024-617-100405"/>
    <x v="74"/>
  </r>
  <r>
    <d v="2024-05-06T00:00:00"/>
    <s v="VZ-2024-000388"/>
    <x v="1"/>
    <s v="Vlčková"/>
    <s v="Bodinková"/>
    <x v="217"/>
    <m/>
    <m/>
    <s v="podepsaná smlouva"/>
    <s v="33651400-2"/>
    <m/>
    <n v="9606557"/>
    <x v="0"/>
    <d v="2024-05-09T00:00:00"/>
    <d v="2024-06-13T00:00:00"/>
    <d v="2024-06-26T00:00:00"/>
    <s v="Gilead Sciences s.r.o."/>
    <m/>
    <n v="9606555.7200000007"/>
    <n v="10759342.41"/>
    <m/>
    <m/>
    <m/>
    <d v="2024-06-26T00:00:00"/>
    <s v="SMLN-2024-617-100376"/>
    <x v="61"/>
  </r>
  <r>
    <d v="2024-05-06T00:00:00"/>
    <s v="VZ-2024-000389"/>
    <x v="1"/>
    <s v="Vlčková"/>
    <s v="Bodinková"/>
    <x v="218"/>
    <m/>
    <m/>
    <s v="podepsaná smlouva"/>
    <s v="33652000-5"/>
    <m/>
    <n v="2357265"/>
    <x v="0"/>
    <d v="2024-05-14T00:00:00"/>
    <d v="2024-07-12T00:00:00"/>
    <d v="2024-08-15T00:00:00"/>
    <s v="ROCHE s.r.o."/>
    <m/>
    <n v="2357263.5"/>
    <n v="2640135.12"/>
    <m/>
    <m/>
    <m/>
    <d v="2024-08-15T00:00:00"/>
    <s v="SMLN-2024-617-100459"/>
    <x v="63"/>
  </r>
  <r>
    <d v="2024-05-06T00:00:00"/>
    <s v="VZ-2024-000392"/>
    <x v="1"/>
    <s v="Vlčková"/>
    <s v="Bodinková"/>
    <x v="219"/>
    <m/>
    <m/>
    <s v="zrušeno"/>
    <s v="09343000-5"/>
    <m/>
    <n v="3176250"/>
    <x v="0"/>
    <d v="2024-05-15T00:00:00"/>
    <d v="2024-06-19T00:00:00"/>
    <m/>
    <s v="zrušeno - úpravy dodacích podmínek"/>
    <s v="nová VZ-2024-000504"/>
    <m/>
    <m/>
    <m/>
    <m/>
    <m/>
    <m/>
    <m/>
    <x v="2"/>
  </r>
  <r>
    <d v="2024-05-06T00:00:00"/>
    <s v="VZ-2024-000393"/>
    <x v="1"/>
    <s v="Vlčková"/>
    <s v="Hašková"/>
    <x v="220"/>
    <m/>
    <m/>
    <s v="podepsaná smlouva"/>
    <s v="33661300-4"/>
    <m/>
    <n v="1744935"/>
    <x v="0"/>
    <d v="2024-05-14T00:00:00"/>
    <d v="2024-06-18T00:00:00"/>
    <d v="2024-07-02T00:00:00"/>
    <s v="Alliance Healthcare s.r.o."/>
    <m/>
    <n v="1718911.05"/>
    <n v="1925180.38"/>
    <m/>
    <m/>
    <m/>
    <d v="2024-07-02T00:00:00"/>
    <s v="SMLN-2024-617-100384"/>
    <x v="58"/>
  </r>
  <r>
    <d v="2024-05-09T00:00:00"/>
    <s v="VZ-2024-000395"/>
    <x v="5"/>
    <s v="Valtová"/>
    <s v="Zdražilová"/>
    <x v="221"/>
    <m/>
    <m/>
    <s v="hodnocení"/>
    <s v="33140000-3"/>
    <m/>
    <n v="1142480"/>
    <x v="0"/>
    <d v="2024-05-24T00:00:00"/>
    <d v="2024-08-07T00:00:00"/>
    <m/>
    <m/>
    <m/>
    <m/>
    <m/>
    <m/>
    <m/>
    <m/>
    <m/>
    <m/>
    <x v="2"/>
  </r>
  <r>
    <d v="2024-05-24T00:00:00"/>
    <s v="VZ-2024-000400"/>
    <x v="2"/>
    <s v="Skulová"/>
    <s v="Kučera"/>
    <x v="222"/>
    <m/>
    <m/>
    <s v="podepsaná smlouva"/>
    <s v="33100000-1"/>
    <s v="2.3.840."/>
    <n v="3715561.2"/>
    <x v="0"/>
    <d v="2024-06-04T00:00:00"/>
    <d v="2024-07-08T00:00:00"/>
    <d v="2024-08-07T00:00:00"/>
    <s v="MEDISTA s.r.o."/>
    <m/>
    <n v="2578665.38"/>
    <n v="3120185.12"/>
    <m/>
    <m/>
    <m/>
    <d v="2024-08-08T00:00:00"/>
    <s v="SMLN-2024-617-100443_x000a_SMLN-2024-612-100101_x000a_SMLN-2024-617-100444"/>
    <x v="82"/>
  </r>
  <r>
    <s v="VZ-2024-000207"/>
    <s v="VZ-2024-000401"/>
    <x v="2"/>
    <s v="Skulová"/>
    <s v="Zdražilová"/>
    <x v="223"/>
    <m/>
    <m/>
    <s v="podepsaná smlouva"/>
    <s v="33168100-6"/>
    <s v="2.3.784."/>
    <n v="5089999"/>
    <x v="0"/>
    <d v="2024-05-14T00:00:00"/>
    <d v="2024-06-19T00:00:00"/>
    <d v="2024-07-09T00:00:00"/>
    <s v="Olympus Czech Group, s.r.o., člen koncernu"/>
    <m/>
    <n v="5082500"/>
    <n v="6149825"/>
    <m/>
    <m/>
    <m/>
    <d v="2024-07-09T00:00:00"/>
    <s v="SMLN-2024-617-100387_x000a_SMLN-2024-612-100083"/>
    <x v="60"/>
  </r>
  <r>
    <d v="2024-05-10T00:00:00"/>
    <s v="VZ-2024-000402"/>
    <x v="0"/>
    <s v="Zeman"/>
    <s v="Kučera"/>
    <x v="224"/>
    <m/>
    <m/>
    <s v="podepsaná smlouva"/>
    <s v="45215100-8"/>
    <s v="1.3.31."/>
    <n v="9850000"/>
    <x v="2"/>
    <d v="2024-05-15T00:00:00"/>
    <d v="2024-06-05T00:00:00"/>
    <d v="2024-06-06T00:00:00"/>
    <s v="PTÁČEK - pozemní stavby s.r.o."/>
    <m/>
    <n v="10399788.939999999"/>
    <n v="12583744.619999999"/>
    <m/>
    <m/>
    <m/>
    <d v="2024-06-06T00:00:00"/>
    <s v="SMLN-2024-618-100026"/>
    <x v="62"/>
  </r>
  <r>
    <d v="2024-05-13T00:00:00"/>
    <s v="VZ-2024-000403"/>
    <x v="5"/>
    <s v="Valtová"/>
    <s v="Zdražilová"/>
    <x v="225"/>
    <m/>
    <m/>
    <s v="podepsaná smlouva"/>
    <s v="33140000-3"/>
    <m/>
    <n v="2280992"/>
    <x v="0"/>
    <d v="2024-05-22T00:00:00"/>
    <d v="2024-07-01T00:00:00"/>
    <d v="2024-08-22T00:00:00"/>
    <s v="CAMEDICA PAWEŁ HARASIMIUK SPÓŁKA KOMANDYTOWA"/>
    <m/>
    <n v="716000"/>
    <n v="716000"/>
    <m/>
    <m/>
    <m/>
    <d v="2024-08-22T00:00:00"/>
    <s v="SMLN-2024-617-100472_x000a_SMLN-2024-614-100059"/>
    <x v="83"/>
  </r>
  <r>
    <d v="2024-05-22T00:00:00"/>
    <s v="VZ-2024-000404"/>
    <x v="2"/>
    <s v="Skulová"/>
    <s v="Kučera"/>
    <x v="226"/>
    <m/>
    <m/>
    <s v="zrušeno"/>
    <s v="33169000-2"/>
    <m/>
    <n v="202260"/>
    <x v="0"/>
    <d v="2024-05-30T00:00:00"/>
    <d v="2024-07-04T00:00:00"/>
    <m/>
    <s v="zrušeno - bez nabídky"/>
    <s v="nová VZ-2024-000541"/>
    <m/>
    <m/>
    <m/>
    <m/>
    <m/>
    <m/>
    <m/>
    <x v="2"/>
  </r>
  <r>
    <d v="2024-05-17T00:00:00"/>
    <s v="VZ-2024-000405-01"/>
    <x v="3"/>
    <s v="Zemánková"/>
    <s v="Bodinková"/>
    <x v="227"/>
    <n v="1"/>
    <s v="Vyšetření autoprotilátek při podezření na celiakii"/>
    <s v="podepsaná smlouva"/>
    <s v="33694000-1"/>
    <m/>
    <n v="714067"/>
    <x v="1"/>
    <d v="2024-06-07T00:00:00"/>
    <d v="2024-07-01T00:00:00"/>
    <d v="2024-07-10T00:00:00"/>
    <s v="SEBIA Czech republic s.r.o."/>
    <m/>
    <n v="385416.82"/>
    <n v="466354.35"/>
    <m/>
    <m/>
    <m/>
    <d v="2024-07-10T00:00:00"/>
    <s v="SMLN-2024-617-100390"/>
    <x v="59"/>
  </r>
  <r>
    <d v="2024-05-17T00:00:00"/>
    <s v="VZ-2024-000405-02"/>
    <x v="3"/>
    <s v="Zemánková"/>
    <s v="Bodinková"/>
    <x v="227"/>
    <n v="2"/>
    <s v="Vyšetření autoprotilátek při podezření na systémová autoimunitní onemocnění a protilátky proti annexinu V."/>
    <s v="zrušeno"/>
    <s v="33694000-1"/>
    <m/>
    <n v="523755"/>
    <x v="1"/>
    <d v="2024-06-07T00:00:00"/>
    <d v="2024-07-01T00:00:00"/>
    <m/>
    <s v="zrušeno - bez hodnotitelné nabídky"/>
    <m/>
    <m/>
    <m/>
    <m/>
    <m/>
    <m/>
    <m/>
    <m/>
    <x v="2"/>
  </r>
  <r>
    <d v="2024-05-17T00:00:00"/>
    <s v="VZ-2024-000405-03"/>
    <x v="3"/>
    <s v="Zemánková"/>
    <s v="Bodinková"/>
    <x v="227"/>
    <n v="3"/>
    <s v="Vyšetření autoprotilátek u vaskulitid, glomerulonefritid, zánětl. střevních onemocnění, imunokomplexových stavů"/>
    <s v="podepsaná smlouva"/>
    <s v="33694000-1"/>
    <m/>
    <n v="345492"/>
    <x v="1"/>
    <d v="2024-06-07T00:00:00"/>
    <d v="2024-07-01T00:00:00"/>
    <d v="2024-07-10T00:00:00"/>
    <s v="SEBIA Czech republic s.r.o."/>
    <m/>
    <n v="213484.09"/>
    <n v="258315.75"/>
    <m/>
    <m/>
    <m/>
    <d v="2024-07-10T00:00:00"/>
    <s v="SMLN-2024-617-100391"/>
    <x v="59"/>
  </r>
  <r>
    <d v="2024-05-15T00:00:00"/>
    <s v="VZ-2024-000406-01"/>
    <x v="1"/>
    <s v="Vondrková"/>
    <s v="Bodinková"/>
    <x v="228"/>
    <n v="1"/>
    <s v="KABOZANTINIB I."/>
    <s v="podepsaná smlouva"/>
    <s v="33652000-5"/>
    <m/>
    <n v="167963794.80000001"/>
    <x v="0"/>
    <d v="2024-05-21T00:00:00"/>
    <d v="2024-06-25T00:00:00"/>
    <d v="2024-08-09T00:00:00"/>
    <s v="Alliance Healthcare s.r.o."/>
    <m/>
    <n v="85529322.370000005"/>
    <n v="95792841.060000002"/>
    <m/>
    <m/>
    <m/>
    <d v="2024-08-09T00:00:00"/>
    <s v="SMLN-2024-617-100450"/>
    <x v="67"/>
  </r>
  <r>
    <d v="2024-05-15T00:00:00"/>
    <s v="VZ-2024-000406-02"/>
    <x v="1"/>
    <s v="Vondrková"/>
    <s v="Bodinková"/>
    <x v="228"/>
    <n v="2"/>
    <s v="KABOZANTINIB II."/>
    <s v="zrušeno"/>
    <s v="33652000-5"/>
    <m/>
    <n v="10343376"/>
    <x v="0"/>
    <d v="2024-05-21T00:00:00"/>
    <d v="2024-06-25T00:00:00"/>
    <m/>
    <s v="zrušeno - bez nabídky"/>
    <m/>
    <m/>
    <m/>
    <m/>
    <m/>
    <m/>
    <m/>
    <m/>
    <x v="2"/>
  </r>
  <r>
    <d v="2024-05-15T00:00:00"/>
    <s v="VZ-2024-000407"/>
    <x v="1"/>
    <s v="Vondrková"/>
    <s v="Staňková"/>
    <x v="229"/>
    <m/>
    <m/>
    <s v="podepsaná smlouva"/>
    <s v="33661200-3"/>
    <m/>
    <n v="1601198"/>
    <x v="1"/>
    <d v="2024-05-20T00:00:00"/>
    <d v="2024-06-10T00:00:00"/>
    <d v="2024-06-17T00:00:00"/>
    <s v="Alliance Healthcare s.r.o."/>
    <m/>
    <n v="1685859.36"/>
    <n v="1888162.48"/>
    <m/>
    <m/>
    <m/>
    <d v="2024-06-17T00:00:00"/>
    <s v="SMLN-2024-617-100356"/>
    <x v="78"/>
  </r>
  <r>
    <d v="2024-05-17T00:00:00"/>
    <s v="VZ-2024-000410"/>
    <x v="5"/>
    <s v="Dočkalová"/>
    <s v="Štýbnarová"/>
    <x v="230"/>
    <m/>
    <m/>
    <s v="zrušeno"/>
    <s v="33120000-7"/>
    <m/>
    <n v="680000"/>
    <x v="1"/>
    <d v="2024-05-24T00:00:00"/>
    <d v="2024-06-12T00:00:00"/>
    <m/>
    <s v="zrušeno - bez hodnotitelné nabídky"/>
    <s v="nová VZ-2024-000537"/>
    <m/>
    <m/>
    <m/>
    <m/>
    <m/>
    <m/>
    <m/>
    <x v="2"/>
  </r>
  <r>
    <d v="2024-05-16T00:00:00"/>
    <s v="VZ-2024-000412"/>
    <x v="5"/>
    <s v="Dočkalová"/>
    <s v="Zdražilová"/>
    <x v="231"/>
    <m/>
    <m/>
    <s v="hodnocení"/>
    <s v="33184100-4, 33184600-9"/>
    <m/>
    <n v="2685356"/>
    <x v="0"/>
    <d v="2024-05-21T00:00:00"/>
    <d v="2024-08-20T00:00:00"/>
    <m/>
    <m/>
    <m/>
    <m/>
    <m/>
    <m/>
    <m/>
    <m/>
    <m/>
    <m/>
    <x v="2"/>
  </r>
  <r>
    <d v="2024-05-20T00:00:00"/>
    <s v="VZ-2024-000415"/>
    <x v="5"/>
    <s v="Dočkalová"/>
    <s v="Hašková"/>
    <x v="232"/>
    <m/>
    <m/>
    <s v="podepsaná smlouva"/>
    <s v="33141115-9"/>
    <m/>
    <n v="3882000"/>
    <x v="0"/>
    <d v="2024-05-28T00:00:00"/>
    <d v="2024-07-02T00:00:00"/>
    <d v="2024-07-31T00:00:00"/>
    <s v="Perfect Distribution a.s."/>
    <m/>
    <n v="4148000"/>
    <n v="4645760"/>
    <m/>
    <m/>
    <m/>
    <d v="2024-07-31T00:00:00"/>
    <s v="SMLN-2024-617-100427"/>
    <x v="72"/>
  </r>
  <r>
    <d v="2024-05-21T00:00:00"/>
    <s v="VZ-2024-000416"/>
    <x v="7"/>
    <s v="Pohlídal"/>
    <s v="Štýbnarová"/>
    <x v="233"/>
    <m/>
    <m/>
    <s v="podepsaná smlouva"/>
    <s v="30213100-6"/>
    <m/>
    <n v="1830000"/>
    <x v="1"/>
    <d v="2024-05-30T00:00:00"/>
    <d v="2024-06-10T00:00:00"/>
    <d v="2024-06-19T00:00:00"/>
    <s v="Aricoma Systems a.s."/>
    <m/>
    <n v="1476900"/>
    <n v="1787049"/>
    <m/>
    <m/>
    <m/>
    <d v="2024-06-19T00:00:00"/>
    <s v="SMLN-2024-617-100359"/>
    <x v="84"/>
  </r>
  <r>
    <d v="2024-05-27T00:00:00"/>
    <s v="VZ-2024-000418"/>
    <x v="5"/>
    <s v="Dočkalová"/>
    <s v="Štýbnarová"/>
    <x v="234"/>
    <m/>
    <m/>
    <s v="podepsaná smlouva"/>
    <s v="33191000-5"/>
    <m/>
    <n v="1630160"/>
    <x v="1"/>
    <d v="2024-06-05T00:00:00"/>
    <d v="2024-06-24T00:00:00"/>
    <d v="2024-07-02T00:00:00"/>
    <s v="UNIPRO - ALPHA C.S., spol. s r.o."/>
    <m/>
    <n v="1630160"/>
    <n v="1972493.6"/>
    <m/>
    <m/>
    <m/>
    <d v="2024-07-02T00:00:00"/>
    <s v="SMLN-2024-617-100381"/>
    <x v="43"/>
  </r>
  <r>
    <d v="2024-05-21T00:00:00"/>
    <s v="VZ-2024-000421"/>
    <x v="13"/>
    <s v="Hrabálek"/>
    <s v="Štýbnarová"/>
    <x v="235"/>
    <m/>
    <m/>
    <s v="podepsaná smlouva"/>
    <s v="55110000-4"/>
    <m/>
    <n v="700000"/>
    <x v="1"/>
    <d v="2024-05-24T00:00:00"/>
    <d v="2024-06-04T00:00:00"/>
    <d v="2024-06-19T00:00:00"/>
    <s v="HOTELPARK STADION a.s."/>
    <m/>
    <n v="621315.38"/>
    <n v="725450"/>
    <m/>
    <m/>
    <m/>
    <d v="2024-06-19T00:00:00"/>
    <s v="SMLN-2024-612-100073"/>
    <x v="85"/>
  </r>
  <r>
    <d v="2024-05-22T00:00:00"/>
    <s v="VZ-2024-000422-01"/>
    <x v="1"/>
    <s v="Vondrková"/>
    <s v="Hašková"/>
    <x v="236"/>
    <n v="1"/>
    <s v="Fentanyl I.V."/>
    <s v="podepsaná smlouva"/>
    <s v="33661200-3"/>
    <m/>
    <n v="33510"/>
    <x v="0"/>
    <d v="2024-06-05T00:00:00"/>
    <d v="2024-07-10T00:00:00"/>
    <d v="2024-08-15T00:00:00"/>
    <s v="Alliance Healthcare s.r.o."/>
    <m/>
    <n v="33484.5"/>
    <n v="37502.639999999999"/>
    <m/>
    <m/>
    <m/>
    <d v="2024-08-15T00:00:00"/>
    <s v="SMLN-2024-617-100457"/>
    <x v="86"/>
  </r>
  <r>
    <d v="2024-05-22T00:00:00"/>
    <s v="VZ-2024-000422-02"/>
    <x v="1"/>
    <s v="Vondrková"/>
    <s v="Hašková"/>
    <x v="236"/>
    <n v="2"/>
    <s v="Fentanyl"/>
    <s v="podepsaná smlouva"/>
    <s v="33661200-3"/>
    <m/>
    <n v="17007046"/>
    <x v="0"/>
    <d v="2024-06-05T00:00:00"/>
    <d v="2024-07-10T00:00:00"/>
    <d v="2024-08-15T00:00:00"/>
    <s v="Alliance Healthcare s.r.o."/>
    <m/>
    <n v="16954663.190000001"/>
    <n v="18989222.77"/>
    <m/>
    <m/>
    <m/>
    <d v="2024-08-15T00:00:00"/>
    <s v="SMLN-2024-617-100458"/>
    <x v="86"/>
  </r>
  <r>
    <d v="2024-05-21T00:00:00"/>
    <s v="VZ-2024-000423-01"/>
    <x v="1"/>
    <s v="Vlčková"/>
    <s v="Bodinková"/>
    <x v="237"/>
    <n v="1"/>
    <s v="Topiramat"/>
    <s v="zrušeno"/>
    <s v="33661300-4"/>
    <m/>
    <n v="418968"/>
    <x v="0"/>
    <d v="2024-05-27T00:00:00"/>
    <d v="2024-07-10T00:00:00"/>
    <m/>
    <s v="zrušeno - bez nabídky"/>
    <s v="nová VZ-2024-000616-01"/>
    <m/>
    <m/>
    <m/>
    <m/>
    <m/>
    <m/>
    <m/>
    <x v="2"/>
  </r>
  <r>
    <d v="2024-05-21T00:00:00"/>
    <s v="VZ-2024-000423-02"/>
    <x v="1"/>
    <s v="Vlčková"/>
    <s v="Bodinková"/>
    <x v="237"/>
    <n v="2"/>
    <s v="Levetiracetam"/>
    <s v="podepsaná smlouva"/>
    <s v="33661300-4"/>
    <m/>
    <n v="2161344"/>
    <x v="0"/>
    <d v="2024-05-27T00:00:00"/>
    <d v="2024-07-10T00:00:00"/>
    <d v="2024-08-22T00:00:00"/>
    <s v="PHOENIX lék. velkoobchod, s.r.o."/>
    <m/>
    <n v="2158188.09"/>
    <n v="2417170.66"/>
    <m/>
    <m/>
    <m/>
    <d v="2024-08-22T00:00:00"/>
    <s v="SMLN-2024-617-100474"/>
    <x v="87"/>
  </r>
  <r>
    <d v="2024-05-21T00:00:00"/>
    <s v="VZ-2024-000423-03"/>
    <x v="1"/>
    <s v="Vlčková"/>
    <s v="Bodinková"/>
    <x v="237"/>
    <n v="3"/>
    <s v="Lakosamid"/>
    <s v="zrušeno"/>
    <s v="33661300-4"/>
    <m/>
    <n v="1784961"/>
    <x v="0"/>
    <d v="2024-05-27T00:00:00"/>
    <d v="2024-07-10T00:00:00"/>
    <m/>
    <s v="zrušeno - bez nabídky"/>
    <s v="VZ-2024-000616-02/03"/>
    <m/>
    <m/>
    <m/>
    <m/>
    <m/>
    <m/>
    <m/>
    <x v="2"/>
  </r>
  <r>
    <d v="2024-05-22T00:00:00"/>
    <s v="VZ-2024-000424"/>
    <x v="0"/>
    <s v="Langer"/>
    <s v="Štýbnarová"/>
    <x v="125"/>
    <m/>
    <m/>
    <s v="podepsaná smlouva"/>
    <s v="71318000-0"/>
    <m/>
    <n v="1000000"/>
    <x v="1"/>
    <d v="2024-05-24T00:00:00"/>
    <d v="2024-06-04T00:00:00"/>
    <d v="2024-06-14T00:00:00"/>
    <s v="BIM Consulting s.r.o."/>
    <m/>
    <n v="654791.5"/>
    <n v="828850"/>
    <m/>
    <m/>
    <m/>
    <d v="2024-06-14T00:00:00"/>
    <s v="SMLN-2024-612-100072"/>
    <x v="60"/>
  </r>
  <r>
    <d v="2024-06-05T00:00:00"/>
    <s v="VZ-2024-000426"/>
    <x v="1"/>
    <s v="Vlčková"/>
    <s v="Hašková"/>
    <x v="238"/>
    <m/>
    <m/>
    <s v="zrušeno"/>
    <s v="33652300-8"/>
    <m/>
    <n v="24900000"/>
    <x v="0"/>
    <d v="2024-07-11T00:00:00"/>
    <d v="2024-07-16T00:00:00"/>
    <m/>
    <s v="zrušeno - bez nabídky"/>
    <s v="nová VZ-2024-000626"/>
    <m/>
    <m/>
    <m/>
    <m/>
    <m/>
    <m/>
    <m/>
    <x v="2"/>
  </r>
  <r>
    <d v="2024-05-23T00:00:00"/>
    <s v="VZ-2024-000428"/>
    <x v="1"/>
    <s v="Vlčková"/>
    <s v="Bodinková"/>
    <x v="239"/>
    <m/>
    <m/>
    <s v="podepsaná smlouva"/>
    <s v="33621100-0"/>
    <m/>
    <n v="820200"/>
    <x v="0"/>
    <d v="2024-07-11T00:00:00"/>
    <d v="2024-07-16T00:00:00"/>
    <d v="2024-08-28T00:00:00"/>
    <s v="Alliance Healthcare s.r.o."/>
    <m/>
    <n v="820200"/>
    <n v="918624"/>
    <m/>
    <m/>
    <m/>
    <d v="2024-08-28T00:00:00"/>
    <s v="SMLN-2024-617-100481"/>
    <x v="45"/>
  </r>
  <r>
    <d v="2024-06-11T00:00:00"/>
    <s v="VZ-2024-000430"/>
    <x v="8"/>
    <s v="Novák"/>
    <s v="Staňková"/>
    <x v="240"/>
    <m/>
    <m/>
    <s v="zrušeno"/>
    <s v="33194100-7"/>
    <m/>
    <n v="810000"/>
    <x v="1"/>
    <d v="2024-06-20T00:00:00"/>
    <d v="2024-07-01T00:00:00"/>
    <m/>
    <s v="zrušeno - neekonomická nabídka"/>
    <s v="nová VZ-2024-000556"/>
    <m/>
    <m/>
    <m/>
    <m/>
    <m/>
    <m/>
    <m/>
    <x v="2"/>
  </r>
  <r>
    <d v="2024-05-24T00:00:00"/>
    <s v="VZ-2024-000431"/>
    <x v="2"/>
    <s v="Skulová"/>
    <s v="Staňková"/>
    <x v="241"/>
    <m/>
    <m/>
    <s v="podepsaná smlouva"/>
    <s v="33100000-1"/>
    <s v="2.2.635."/>
    <n v="40000"/>
    <x v="1"/>
    <d v="2024-05-29T00:00:00"/>
    <d v="2024-06-10T00:00:00"/>
    <d v="2024-06-17T00:00:00"/>
    <s v="Petr Kubálek"/>
    <m/>
    <n v="40000"/>
    <n v="48400"/>
    <m/>
    <m/>
    <m/>
    <d v="2024-06-17T00:00:00"/>
    <s v="SMLN-2024-617-100353"/>
    <x v="88"/>
  </r>
  <r>
    <d v="2024-05-24T00:00:00"/>
    <s v="VZ-2024-000432"/>
    <x v="6"/>
    <s v="Kadlec"/>
    <s v="Staňková"/>
    <x v="242"/>
    <m/>
    <m/>
    <s v="podepsaná smlouva"/>
    <s v="45233100-0"/>
    <m/>
    <n v="450000"/>
    <x v="1"/>
    <d v="2024-05-30T00:00:00"/>
    <d v="2024-06-10T00:00:00"/>
    <d v="2024-06-25T00:00:00"/>
    <s v="GALVA TRANS, s.r.o."/>
    <m/>
    <n v="215236.64"/>
    <n v="260436.33"/>
    <m/>
    <m/>
    <m/>
    <d v="2024-06-25T00:00:00"/>
    <s v="SMLN-2024-618-100030"/>
    <x v="85"/>
  </r>
  <r>
    <d v="2024-05-28T00:00:00"/>
    <s v="VZ-2024-000433"/>
    <x v="2"/>
    <s v="Skulová"/>
    <s v="Štýbnarová"/>
    <x v="243"/>
    <m/>
    <m/>
    <s v="zrušeno"/>
    <s v="33162000-3"/>
    <s v="2.3.787."/>
    <n v="539312"/>
    <x v="1"/>
    <d v="2024-05-29T00:00:00"/>
    <d v="2024-06-17T00:00:00"/>
    <m/>
    <s v="zrušeno - bez nabídky"/>
    <m/>
    <m/>
    <m/>
    <m/>
    <m/>
    <m/>
    <m/>
    <m/>
    <x v="2"/>
  </r>
  <r>
    <d v="2024-05-27T00:00:00"/>
    <s v="VZ-2024-000434"/>
    <x v="13"/>
    <s v="Hrabálek"/>
    <s v="Staňková"/>
    <x v="244"/>
    <m/>
    <m/>
    <s v="podepsaná smlouva"/>
    <s v="92000000-1"/>
    <m/>
    <n v="800000"/>
    <x v="1"/>
    <d v="2024-05-30T00:00:00"/>
    <d v="2024-06-10T00:00:00"/>
    <d v="2024-06-24T00:00:00"/>
    <s v="Gm5 s.r.o."/>
    <m/>
    <n v="785000"/>
    <n v="949850"/>
    <m/>
    <m/>
    <m/>
    <d v="2024-06-24T00:00:00"/>
    <s v="SMLN-2024-612-100078"/>
    <x v="89"/>
  </r>
  <r>
    <d v="2024-05-29T00:00:00"/>
    <s v="VZ-2024-000435"/>
    <x v="5"/>
    <s v="Dočkalová"/>
    <s v="Hašková"/>
    <x v="245"/>
    <m/>
    <m/>
    <s v="zrušeno"/>
    <s v="33140000-3"/>
    <m/>
    <n v="3050000"/>
    <x v="2"/>
    <d v="2024-06-06T00:00:00"/>
    <d v="2024-06-27T00:00:00"/>
    <m/>
    <s v="zrušeno - bez nabídky"/>
    <m/>
    <m/>
    <m/>
    <m/>
    <m/>
    <m/>
    <m/>
    <m/>
    <x v="2"/>
  </r>
  <r>
    <d v="2024-06-03T00:00:00"/>
    <s v="VZ-2024-000437-01"/>
    <x v="1"/>
    <s v="Vondrková"/>
    <s v="Bodinková"/>
    <x v="246"/>
    <n v="1"/>
    <s v="ENTERÁLNÍ VÝŽIVA I."/>
    <s v="podepsaná smlouva"/>
    <s v="15880000-0"/>
    <m/>
    <n v="8749589"/>
    <x v="0"/>
    <d v="2024-06-07T00:00:00"/>
    <d v="2024-07-12T00:00:00"/>
    <d v="2024-08-21T00:00:00"/>
    <s v="Fresenius Kabi s.r.o."/>
    <m/>
    <n v="6340461.7800000003"/>
    <n v="7102170.0700000003"/>
    <m/>
    <m/>
    <m/>
    <d v="2024-08-21T00:00:00"/>
    <s v="SMLN-2024-617-100469"/>
    <x v="67"/>
  </r>
  <r>
    <d v="2024-06-03T00:00:00"/>
    <s v="VZ-2024-000437-02"/>
    <x v="1"/>
    <s v="Vondrková"/>
    <s v="Bodinková"/>
    <x v="246"/>
    <n v="2"/>
    <s v="ENTERÁLNÍ VÝŽIVA II."/>
    <s v="zrušeno"/>
    <s v="15880000-0"/>
    <m/>
    <n v="78171"/>
    <x v="0"/>
    <d v="2024-06-07T00:00:00"/>
    <d v="2024-07-12T00:00:00"/>
    <m/>
    <s v="zrušeno - bez hodnotitelné nabídky"/>
    <m/>
    <m/>
    <m/>
    <m/>
    <m/>
    <m/>
    <m/>
    <m/>
    <x v="2"/>
  </r>
  <r>
    <d v="2024-05-30T00:00:00"/>
    <s v="VZ-2024-000440"/>
    <x v="2"/>
    <s v="Skulová"/>
    <s v="Zdražilová"/>
    <x v="247"/>
    <m/>
    <m/>
    <s v="podepsaná smlouva"/>
    <s v="33168100-6"/>
    <s v="2.3.848."/>
    <n v="150000"/>
    <x v="0"/>
    <d v="2024-06-04T00:00:00"/>
    <d v="2024-07-10T00:00:00"/>
    <d v="2024-07-22T00:00:00"/>
    <s v="Olympus Czech Group, s.r.o., člen koncernu"/>
    <m/>
    <n v="150000"/>
    <n v="181500"/>
    <m/>
    <m/>
    <m/>
    <d v="2024-07-22T00:00:00"/>
    <s v="SMLN-2024-617-100415_x000a_SMLN-2024-612-100092"/>
    <x v="90"/>
  </r>
  <r>
    <d v="2024-06-04T00:00:00"/>
    <s v="VZ-2024-000444"/>
    <x v="1"/>
    <s v="Vondrková"/>
    <s v="Bodinková"/>
    <x v="248"/>
    <m/>
    <m/>
    <s v="zrušeno"/>
    <s v="33652300-8"/>
    <m/>
    <n v="3069472"/>
    <x v="4"/>
    <d v="2024-06-07T00:00:00"/>
    <d v="2024-06-20T00:00:00"/>
    <m/>
    <s v="zrušeno - bez hodnotitelné nabídky - špatné zadání"/>
    <s v="nová VZ-2024-000544"/>
    <m/>
    <m/>
    <m/>
    <m/>
    <m/>
    <m/>
    <m/>
    <x v="2"/>
  </r>
  <r>
    <d v="2024-06-17T00:00:00"/>
    <s v="VZ-2024-000445"/>
    <x v="5"/>
    <s v="Dočkalová"/>
    <s v="Štýbnarová"/>
    <x v="249"/>
    <m/>
    <m/>
    <s v="podepsaná smlouva"/>
    <s v="33162100-4"/>
    <m/>
    <n v="1170000"/>
    <x v="1"/>
    <d v="2024-06-20T00:00:00"/>
    <d v="2024-07-01T00:00:00"/>
    <d v="2024-07-11T00:00:00"/>
    <s v="S.A.B. Impex, s.r.o."/>
    <m/>
    <n v="1170000"/>
    <n v="1310400"/>
    <m/>
    <m/>
    <m/>
    <d v="2024-07-11T00:00:00"/>
    <s v="SMLN-2024-617-100400_x000a_SMLN-2024-616-100052"/>
    <x v="59"/>
  </r>
  <r>
    <d v="2024-06-05T00:00:00"/>
    <s v="VZ-2024-000447"/>
    <x v="0"/>
    <s v="Spáčil Z."/>
    <s v="Kučera"/>
    <x v="250"/>
    <m/>
    <m/>
    <s v="smlouva v kolečku"/>
    <s v="71000000-8"/>
    <s v="1.2.117."/>
    <n v="8250000"/>
    <x v="0"/>
    <d v="2024-06-19T00:00:00"/>
    <d v="2024-07-23T00:00:00"/>
    <d v="2024-09-10T00:00:00"/>
    <s v="STYLE STUDIO s.r.o."/>
    <m/>
    <n v="3848000"/>
    <n v="4656080"/>
    <m/>
    <m/>
    <m/>
    <d v="2024-09-10T00:00:00"/>
    <s v="SMLN-2024-618-100049"/>
    <x v="2"/>
  </r>
  <r>
    <s v="VZ-2024-000034"/>
    <s v="VZ-2024-000449"/>
    <x v="1"/>
    <s v="Vondrková"/>
    <s v="Staňková"/>
    <x v="251"/>
    <m/>
    <m/>
    <s v="podepsaná smlouva"/>
    <s v="33652000-5"/>
    <m/>
    <n v="933255"/>
    <x v="1"/>
    <d v="2024-06-06T00:00:00"/>
    <d v="2024-06-17T00:00:00"/>
    <d v="2024-06-26T00:00:00"/>
    <s v="Fresenius Kabi s.r.o."/>
    <m/>
    <n v="933246.83"/>
    <n v="1045236.45"/>
    <m/>
    <m/>
    <m/>
    <d v="2024-06-26T00:00:00"/>
    <s v="SMLN-2024-617-100375"/>
    <x v="91"/>
  </r>
  <r>
    <d v="2024-06-11T00:00:00"/>
    <s v="VZ-2024-000450-01"/>
    <x v="5"/>
    <s v="Valtová"/>
    <s v="Zdražilová"/>
    <x v="252"/>
    <n v="1"/>
    <s v="Samoexpandibilní stentgrafty vaskulární periferní I."/>
    <s v="podepsaná smlouva"/>
    <s v="33140000-3"/>
    <m/>
    <n v="1600000"/>
    <x v="0"/>
    <d v="2024-06-14T00:00:00"/>
    <d v="2024-07-19T00:00:00"/>
    <d v="2024-08-16T00:00:00"/>
    <s v="Becton Dickinson Czechia, s.r.o."/>
    <m/>
    <n v="1580000"/>
    <n v="1769600"/>
    <m/>
    <m/>
    <m/>
    <d v="2024-08-16T00:00:00"/>
    <s v="SMLN-2024-617-100461_x000a_SMLN-2024-614-100055"/>
    <x v="86"/>
  </r>
  <r>
    <d v="2024-06-11T00:00:00"/>
    <s v="VZ-2024-000450-02"/>
    <x v="5"/>
    <s v="Valtová"/>
    <s v="Zdražilová"/>
    <x v="252"/>
    <n v="2"/>
    <s v="Samoexpandibilní stentgrafty vaskulární periferní II."/>
    <s v="podepsaná smlouva"/>
    <s v="33140000-3"/>
    <m/>
    <n v="16791330"/>
    <x v="0"/>
    <d v="2024-06-14T00:00:00"/>
    <d v="2024-07-19T00:00:00"/>
    <d v="2024-08-16T00:00:00"/>
    <s v="MEDITRADE spol. s r.o."/>
    <m/>
    <n v="16791329.760000002"/>
    <n v="18806289.329999998"/>
    <m/>
    <m/>
    <m/>
    <d v="2024-08-16T00:00:00"/>
    <s v="SMLN-2024-617-100462_x000a_SMLN-2024-617-100463_x000a_SMLN-2024-614-100056"/>
    <x v="86"/>
  </r>
  <r>
    <d v="2024-06-11T00:00:00"/>
    <s v="VZ-2024-000450-03"/>
    <x v="5"/>
    <s v="Valtová"/>
    <s v="Zdražilová"/>
    <x v="252"/>
    <n v="3"/>
    <s v="Balónexpandibilní stentgrafty vaskulární"/>
    <s v="podepsaná smlouva"/>
    <s v="33140000-3"/>
    <m/>
    <n v="3150000"/>
    <x v="0"/>
    <d v="2024-06-14T00:00:00"/>
    <d v="2024-07-19T00:00:00"/>
    <d v="2024-08-16T00:00:00"/>
    <s v="VarioMedical Plus, s.r.o."/>
    <m/>
    <n v="3150000"/>
    <n v="3528000"/>
    <m/>
    <m/>
    <m/>
    <d v="2024-08-16T00:00:00"/>
    <s v="SMLN-2024-617-100464_x000a_SMLN-2024-614-100057"/>
    <x v="86"/>
  </r>
  <r>
    <d v="2024-06-11T00:00:00"/>
    <s v="VZ-2024-000450-04"/>
    <x v="5"/>
    <s v="Valtová"/>
    <s v="Zdražilová"/>
    <x v="252"/>
    <n v="4"/>
    <s v="Stentgrafty vaskulární do TIPS"/>
    <s v="podepsaná smlouva"/>
    <s v="33140000-3"/>
    <m/>
    <n v="3966000"/>
    <x v="0"/>
    <d v="2024-06-14T00:00:00"/>
    <d v="2024-07-19T00:00:00"/>
    <d v="2024-08-16T00:00:00"/>
    <s v="MEDITRADE spol. s r.o."/>
    <m/>
    <n v="3966000"/>
    <n v="4441920"/>
    <m/>
    <m/>
    <m/>
    <d v="2024-08-16T00:00:00"/>
    <s v="SMLN-2024-617-100465_x000a_SMLN-2024-614-100058"/>
    <x v="86"/>
  </r>
  <r>
    <d v="2024-06-05T00:00:00"/>
    <s v="VZ-2024-000452"/>
    <x v="6"/>
    <s v="Srovnal"/>
    <s v="Kučera"/>
    <x v="253"/>
    <m/>
    <m/>
    <s v="podepsaná smlouva"/>
    <s v="39314000-6"/>
    <m/>
    <n v="3718000"/>
    <x v="0"/>
    <d v="2024-07-02T00:00:00"/>
    <d v="2024-08-05T00:00:00"/>
    <d v="2024-08-21T00:00:00"/>
    <s v="MGVIVA a.s."/>
    <m/>
    <n v="3447000"/>
    <n v="4170870"/>
    <m/>
    <m/>
    <m/>
    <d v="2024-08-21T00:00:00"/>
    <s v="SMLN-2024-617-100470"/>
    <x v="82"/>
  </r>
  <r>
    <d v="2024-06-06T00:00:00"/>
    <s v="VZ-2024-000454"/>
    <x v="2"/>
    <s v="Skulová"/>
    <s v="Štýbnarová"/>
    <x v="254"/>
    <m/>
    <m/>
    <s v="podepsaná smlouva"/>
    <s v="33166000-1"/>
    <s v="2.2.639."/>
    <n v="38900"/>
    <x v="1"/>
    <d v="2024-06-12T00:00:00"/>
    <d v="2024-06-24T00:00:00"/>
    <d v="2024-07-11T00:00:00"/>
    <s v="Viamed s.r.o."/>
    <m/>
    <n v="38900"/>
    <n v="47069"/>
    <m/>
    <m/>
    <m/>
    <d v="2024-07-11T00:00:00"/>
    <s v="SMLN-2024-617-100399"/>
    <x v="59"/>
  </r>
  <r>
    <d v="2024-06-11T00:00:00"/>
    <s v="VZ-2024-000455"/>
    <x v="2"/>
    <s v="Skulová"/>
    <s v="Zdražilová"/>
    <x v="255"/>
    <m/>
    <m/>
    <s v="zrušeno"/>
    <s v="33150000-6"/>
    <s v="2.3.841."/>
    <n v="266900"/>
    <x v="0"/>
    <d v="2024-07-17T00:00:00"/>
    <d v="2024-08-22T00:00:00"/>
    <m/>
    <s v="zrušeno - spatně vyplněný KL"/>
    <s v="nová VZ-2024-000739"/>
    <m/>
    <m/>
    <m/>
    <m/>
    <m/>
    <m/>
    <m/>
    <x v="2"/>
  </r>
  <r>
    <d v="2024-06-06T00:00:00"/>
    <s v="VZ-2024-000456"/>
    <x v="2"/>
    <s v="Skulová"/>
    <s v="Staňková"/>
    <x v="256"/>
    <m/>
    <m/>
    <s v="podepsaná smlouva"/>
    <s v="33111650-2"/>
    <s v="2.2.634."/>
    <n v="800000"/>
    <x v="1"/>
    <d v="2024-06-10T00:00:00"/>
    <d v="2024-06-21T00:00:00"/>
    <d v="2024-07-02T00:00:00"/>
    <s v="Stargen EU s.r.o."/>
    <m/>
    <n v="800000"/>
    <n v="968000"/>
    <m/>
    <m/>
    <m/>
    <d v="2024-07-02T00:00:00"/>
    <s v="SMLN-2024-617-100380"/>
    <x v="81"/>
  </r>
  <r>
    <d v="2024-06-17T00:00:00"/>
    <s v="VZ-2024-000457"/>
    <x v="11"/>
    <s v="Klimek"/>
    <s v="Staňková"/>
    <x v="257"/>
    <m/>
    <m/>
    <s v="podepsaná smlouva"/>
    <s v="34351100-3"/>
    <m/>
    <n v="600000"/>
    <x v="1"/>
    <d v="2024-06-26T00:00:00"/>
    <d v="2024-07-08T00:00:00"/>
    <d v="2024-07-11T00:00:00"/>
    <s v="PNEUCENTRUM N &amp; N s.r.o."/>
    <m/>
    <n v="687000"/>
    <n v="831270"/>
    <m/>
    <m/>
    <m/>
    <d v="2024-07-11T00:00:00"/>
    <s v="SMLN-2024-617-100397"/>
    <x v="59"/>
  </r>
  <r>
    <d v="2024-06-27T00:00:00"/>
    <s v="VZ-2024-000458"/>
    <x v="3"/>
    <s v="Zemánková"/>
    <s v="Bodinková"/>
    <x v="258"/>
    <m/>
    <m/>
    <s v="hodnocení"/>
    <s v="33694000-1_x000a_72316000-3_x000a_48814000-7"/>
    <m/>
    <n v="15304170"/>
    <x v="0"/>
    <d v="2024-07-15T00:00:00"/>
    <d v="2024-09-26T00:00:00"/>
    <m/>
    <m/>
    <m/>
    <m/>
    <m/>
    <m/>
    <m/>
    <m/>
    <m/>
    <m/>
    <x v="2"/>
  </r>
  <r>
    <d v="2024-06-10T00:00:00"/>
    <s v="VZ-2024-000464"/>
    <x v="13"/>
    <s v="Hrabálek"/>
    <s v="Staňková"/>
    <x v="259"/>
    <m/>
    <m/>
    <s v="podepsaná smlouva"/>
    <s v="55120000-7"/>
    <m/>
    <n v="1300000"/>
    <x v="1"/>
    <d v="2024-06-12T00:00:00"/>
    <d v="2024-06-24T00:00:00"/>
    <d v="2024-06-26T00:00:00"/>
    <s v="HOTELPARK STADION a.s."/>
    <m/>
    <n v="1065565.75"/>
    <n v="1234400"/>
    <m/>
    <m/>
    <m/>
    <d v="2024-06-26T00:00:00"/>
    <s v="SMLN-2024-612-100080"/>
    <x v="88"/>
  </r>
  <r>
    <d v="2024-06-11T00:00:00"/>
    <s v="VZ-2024-000465"/>
    <x v="13"/>
    <s v="Hrabálek"/>
    <s v="Štýbnarová"/>
    <x v="260"/>
    <m/>
    <m/>
    <s v="podepsaná smlouva"/>
    <s v="92000000-1"/>
    <m/>
    <n v="430000"/>
    <x v="1"/>
    <d v="2024-06-17T00:00:00"/>
    <d v="2024-06-28T00:00:00"/>
    <d v="2024-07-09T00:00:00"/>
    <s v="Výstaviště Flóra Olomouc a.s."/>
    <m/>
    <n v="401110"/>
    <n v="485343.1"/>
    <m/>
    <m/>
    <m/>
    <d v="2024-07-09T00:00:00"/>
    <s v="SMLN-2024-612-100084"/>
    <x v="92"/>
  </r>
  <r>
    <d v="2024-06-13T00:00:00"/>
    <s v="VZ-2024-000468-01"/>
    <x v="2"/>
    <s v="Skulová"/>
    <s v="Staňková"/>
    <x v="261"/>
    <n v="1"/>
    <s v="Farmaceutická lednice pro Oční kliniku"/>
    <s v="podepsaná smlouva"/>
    <s v="39711100-0"/>
    <m/>
    <n v="123000"/>
    <x v="1"/>
    <d v="2024-06-20T00:00:00"/>
    <d v="2024-07-17T00:00:00"/>
    <d v="2024-07-31T00:00:00"/>
    <s v="KRD - obchodní společnost s.r.o."/>
    <m/>
    <n v="74690"/>
    <n v="90374.9"/>
    <m/>
    <m/>
    <m/>
    <d v="2024-07-31T00:00:00"/>
    <s v="SMLN-2024-617-100429_x000a_SMLN-2024-612-100096"/>
    <x v="27"/>
  </r>
  <r>
    <d v="2024-06-13T00:00:00"/>
    <s v="VZ-2024-000468-02"/>
    <x v="2"/>
    <s v="Skulová"/>
    <s v="Staňková"/>
    <x v="261"/>
    <n v="2"/>
    <s v="Laboratorní mrazák pro HOK"/>
    <s v="podepsaná smlouva"/>
    <s v="39711100-0"/>
    <s v="2.3.839"/>
    <n v="112000"/>
    <x v="1"/>
    <d v="2024-06-20T00:00:00"/>
    <d v="2024-07-17T00:00:00"/>
    <d v="2024-07-31T00:00:00"/>
    <s v="SCHOELLER INSTRUMENTS, s.r.o."/>
    <m/>
    <n v="83500"/>
    <n v="101035"/>
    <m/>
    <m/>
    <m/>
    <d v="2024-07-31T00:00:00"/>
    <s v="SMLN-2024-617-100430_x000a_SMLN-2024-612-100097"/>
    <x v="74"/>
  </r>
  <r>
    <d v="2024-06-13T00:00:00"/>
    <s v="VZ-2024-000468-03"/>
    <x v="2"/>
    <s v="Skulová"/>
    <s v="Staňková"/>
    <x v="261"/>
    <n v="3"/>
    <s v="Laboratorní lednice pro HOK"/>
    <s v="podepsaná smlouva"/>
    <s v="39711100-0"/>
    <s v="2.3.839"/>
    <n v="222000"/>
    <x v="1"/>
    <d v="2024-06-20T00:00:00"/>
    <d v="2024-07-17T00:00:00"/>
    <d v="2024-07-31T00:00:00"/>
    <s v="SCHOELLER INSTRUMENTS, s.r.o."/>
    <m/>
    <n v="164200"/>
    <n v="198682"/>
    <m/>
    <m/>
    <m/>
    <d v="2024-07-31T00:00:00"/>
    <s v="SMLN-2024-617-100431_x000a_SMLN-2024-612-100098"/>
    <x v="74"/>
  </r>
  <r>
    <d v="2024-06-13T00:00:00"/>
    <s v="VZ-2024-000469"/>
    <x v="2"/>
    <s v="Skulová"/>
    <s v="Štýbnarová"/>
    <x v="262"/>
    <m/>
    <m/>
    <s v="podepsaná smlouva"/>
    <s v="33152000-0"/>
    <s v="2.2.641"/>
    <n v="188000"/>
    <x v="1"/>
    <d v="2024-06-19T00:00:00"/>
    <d v="2024-07-01T00:00:00"/>
    <d v="2024-07-11T00:00:00"/>
    <s v="LINEQ s.r.o."/>
    <m/>
    <n v="159278"/>
    <n v="192726.38"/>
    <m/>
    <m/>
    <m/>
    <d v="2024-07-11T00:00:00"/>
    <s v="SMLN-2024-617-100398"/>
    <x v="59"/>
  </r>
  <r>
    <d v="2024-06-18T00:00:00"/>
    <s v="VZ-2024-000470"/>
    <x v="1"/>
    <s v="Vondrková"/>
    <s v="Bodinková"/>
    <x v="263"/>
    <m/>
    <m/>
    <s v="podepsaná smlouva"/>
    <s v="33652100-6"/>
    <m/>
    <n v="495811638"/>
    <x v="0"/>
    <d v="2024-06-21T00:00:00"/>
    <d v="2024-07-26T00:00:00"/>
    <d v="2024-08-26T00:00:00"/>
    <s v="Bristol-Myers Squibb spol. s r.o."/>
    <m/>
    <n v="495811616.83999997"/>
    <n v="555309010.86000001"/>
    <m/>
    <m/>
    <m/>
    <d v="2024-08-26T00:00:00"/>
    <s v="SMLN-2024-617-100475"/>
    <x v="73"/>
  </r>
  <r>
    <d v="2024-06-13T00:00:00"/>
    <s v="VZ-2024-000472"/>
    <x v="6"/>
    <s v="Srovnal"/>
    <s v="Kučera"/>
    <x v="264"/>
    <m/>
    <m/>
    <s v="podepsaná smlouva"/>
    <s v="39151000-5"/>
    <m/>
    <n v="710000"/>
    <x v="4"/>
    <d v="2024-06-19T00:00:00"/>
    <d v="2024-07-16T00:00:00"/>
    <d v="2024-08-12T00:00:00"/>
    <s v="AL LOGIC s.r.o."/>
    <m/>
    <n v="886704"/>
    <n v="1072911.8400000001"/>
    <m/>
    <m/>
    <m/>
    <d v="2024-08-12T00:00:00"/>
    <s v="SMLN-2024-618-100043"/>
    <x v="80"/>
  </r>
  <r>
    <d v="2024-06-24T00:00:00"/>
    <s v="VZ-2024-000474"/>
    <x v="8"/>
    <s v="Novák"/>
    <s v="Štýbnarová"/>
    <x v="265"/>
    <m/>
    <m/>
    <s v="smlouva v kolečku"/>
    <s v="42131141-6"/>
    <m/>
    <n v="1200000"/>
    <x v="1"/>
    <d v="2024-06-27T00:00:00"/>
    <d v="2024-07-25T00:00:00"/>
    <d v="2024-10-09T00:00:00"/>
    <s v="POLYMED medical CZ, a.s."/>
    <m/>
    <n v="749880"/>
    <n v="907354.8"/>
    <m/>
    <m/>
    <m/>
    <d v="2024-10-09T00:00:00"/>
    <s v="SMLN-2024-617-100547"/>
    <x v="2"/>
  </r>
  <r>
    <d v="2024-06-14T00:00:00"/>
    <s v="VZ-2024-000475"/>
    <x v="13"/>
    <s v="Hrabálek"/>
    <s v="Štýbnarová"/>
    <x v="266"/>
    <m/>
    <m/>
    <s v="podepsaná smlouva"/>
    <s v="92222000-3"/>
    <m/>
    <n v="250000"/>
    <x v="1"/>
    <d v="2024-06-19T00:00:00"/>
    <d v="2024-07-10T00:00:00"/>
    <d v="2024-07-29T00:00:00"/>
    <s v="ITV Public s.r.o."/>
    <m/>
    <n v="240000"/>
    <n v="290400"/>
    <m/>
    <m/>
    <m/>
    <d v="2024-07-29T00:00:00"/>
    <s v="SMLN-2024-612-100093"/>
    <x v="54"/>
  </r>
  <r>
    <d v="2024-06-21T00:00:00"/>
    <s v="VZ-2024-000479"/>
    <x v="1"/>
    <s v="Vlčková"/>
    <s v="Hašková"/>
    <x v="267"/>
    <m/>
    <m/>
    <s v="zrušeno"/>
    <s v="33661300-4"/>
    <m/>
    <n v="1147500"/>
    <x v="0"/>
    <d v="2024-06-26T00:00:00"/>
    <d v="2024-07-31T00:00:00"/>
    <m/>
    <s v="zrušeno - lék jen pro specializovaná centra, FNOL není"/>
    <m/>
    <n v="1144662.3"/>
    <n v="1282021.78"/>
    <m/>
    <m/>
    <m/>
    <m/>
    <m/>
    <x v="2"/>
  </r>
  <r>
    <d v="2024-06-21T00:00:00"/>
    <s v="VZ-2024-000480"/>
    <x v="1"/>
    <s v="Vlčková"/>
    <s v="Hašková"/>
    <x v="268"/>
    <m/>
    <m/>
    <s v="podepsaná smlouva"/>
    <s v="33600000-6"/>
    <m/>
    <n v="3190257"/>
    <x v="0"/>
    <d v="2024-07-08T00:00:00"/>
    <d v="2024-08-12T00:00:00"/>
    <d v="2024-09-09T00:00:00"/>
    <s v="PHOENIX lék. velkoobchod, s.r.o."/>
    <m/>
    <n v="3190256.4"/>
    <n v="3573087.17"/>
    <m/>
    <m/>
    <m/>
    <d v="2024-09-09T00:00:00"/>
    <s v="SMLN-2024-617-100499"/>
    <x v="67"/>
  </r>
  <r>
    <d v="2024-06-21T00:00:00"/>
    <s v="VZ-2024-000481"/>
    <x v="1"/>
    <s v="Vondrková"/>
    <s v="Bodinková"/>
    <x v="269"/>
    <m/>
    <m/>
    <s v="podepsaná smlouva"/>
    <s v="33652000-5"/>
    <m/>
    <n v="40261680"/>
    <x v="0"/>
    <d v="2024-06-26T00:00:00"/>
    <d v="2024-07-31T00:00:00"/>
    <d v="2024-08-09T00:00:00"/>
    <s v="PHOENIX lék. velkoobchod, s.r.o."/>
    <m/>
    <n v="40261626"/>
    <n v="45093021.119999997"/>
    <m/>
    <m/>
    <m/>
    <d v="2024-08-09T00:00:00"/>
    <s v="SMLN-2024-617-100451"/>
    <x v="27"/>
  </r>
  <r>
    <d v="2024-06-18T00:00:00"/>
    <s v="VZ-2024-000482-01"/>
    <x v="5"/>
    <s v="Valtová"/>
    <s v="Staňková"/>
    <x v="270"/>
    <n v="1"/>
    <s v="Stent biliární plastový I. (TTSO)"/>
    <s v="podepsaná smlouva"/>
    <s v="33140000-3"/>
    <m/>
    <n v="188139"/>
    <x v="1"/>
    <d v="2024-06-21T00:00:00"/>
    <d v="2024-07-12T00:00:00"/>
    <d v="2024-08-28T00:00:00"/>
    <s v="MEDIAL spol. s r.o."/>
    <m/>
    <n v="168300"/>
    <n v="188496"/>
    <m/>
    <m/>
    <m/>
    <d v="2024-08-28T00:00:00"/>
    <s v="SMLN-2024-617-100478_x000a_SMLN-2024-614-100060"/>
    <x v="87"/>
  </r>
  <r>
    <d v="2024-06-18T00:00:00"/>
    <s v="VZ-2024-000482-02"/>
    <x v="5"/>
    <s v="Valtová"/>
    <s v="Staňková"/>
    <x v="270"/>
    <n v="2"/>
    <s v="Stent biliární plastový II. (CLSO)"/>
    <s v="podepsaná smlouva"/>
    <s v="33140000-3"/>
    <m/>
    <n v="865280"/>
    <x v="1"/>
    <d v="2024-06-21T00:00:00"/>
    <d v="2024-07-12T00:00:00"/>
    <d v="2024-08-28T00:00:00"/>
    <s v="MEDIAL spol. s r.o."/>
    <m/>
    <n v="858000"/>
    <n v="960960"/>
    <m/>
    <m/>
    <m/>
    <d v="2024-08-28T00:00:00"/>
    <s v="SMLN-2024-617-100479_x000a_SMLN-2024-614-100061"/>
    <x v="93"/>
  </r>
  <r>
    <d v="2024-06-18T00:00:00"/>
    <s v="VZ-2024-000482-03"/>
    <x v="5"/>
    <s v="Valtová"/>
    <s v="Staňková"/>
    <x v="270"/>
    <n v="3"/>
    <s v="Stent biliární plastový plastový double Pigtail"/>
    <s v="podepsaná smlouva"/>
    <s v="33140000-3"/>
    <m/>
    <n v="767800"/>
    <x v="1"/>
    <d v="2024-06-21T00:00:00"/>
    <d v="2024-07-12T00:00:00"/>
    <d v="2024-08-28T00:00:00"/>
    <s v="INLAB s.r.o."/>
    <m/>
    <n v="737000"/>
    <n v="825440"/>
    <m/>
    <m/>
    <m/>
    <d v="2024-08-28T00:00:00"/>
    <s v="SMLN-2024-617-100480_x000a_SMLN-2024-614-100062"/>
    <x v="73"/>
  </r>
  <r>
    <s v="VZ-2024-000122"/>
    <s v="VZ-2024-000483"/>
    <x v="5"/>
    <s v="Valtová"/>
    <s v="Zdražilová"/>
    <x v="271"/>
    <m/>
    <m/>
    <s v="podepsaná smlouva"/>
    <s v="33140000-3"/>
    <m/>
    <n v="2583000"/>
    <x v="2"/>
    <d v="2024-06-20T00:00:00"/>
    <d v="2024-07-10T00:00:00"/>
    <d v="2024-07-18T00:00:00"/>
    <s v="EspoMed spol. s r.o."/>
    <m/>
    <n v="2583000"/>
    <n v="2892960"/>
    <m/>
    <m/>
    <m/>
    <d v="2024-07-18T00:00:00"/>
    <s v="SMLN-2024-617-100413_x000a_SMLN-2024-614-100050"/>
    <x v="60"/>
  </r>
  <r>
    <s v="VZ-2024-000151"/>
    <s v="VZ-2024-000484"/>
    <x v="5"/>
    <s v="Valtová"/>
    <s v="Hašková"/>
    <x v="272"/>
    <m/>
    <m/>
    <s v="podepsaná smlouva"/>
    <s v="33140000-3"/>
    <m/>
    <n v="2467400"/>
    <x v="0"/>
    <d v="2024-06-26T00:00:00"/>
    <d v="2024-07-31T00:00:00"/>
    <d v="2024-09-12T00:00:00"/>
    <s v="Boston Scientific Česká republika, s.r.o."/>
    <m/>
    <n v="2272400"/>
    <n v="2545088"/>
    <m/>
    <m/>
    <m/>
    <d v="2024-09-12T00:00:00"/>
    <s v="SMLN-2024-617-100502_x000a_SMLN-2024-614-100066"/>
    <x v="94"/>
  </r>
  <r>
    <d v="2024-06-21T00:00:00"/>
    <s v="VZ-2024-000485"/>
    <x v="1"/>
    <s v="Vlčková"/>
    <s v="Bodinková"/>
    <x v="273"/>
    <m/>
    <m/>
    <s v="podepsaná smlouva"/>
    <s v="33600000-6"/>
    <m/>
    <n v="56284301"/>
    <x v="0"/>
    <d v="2024-06-26T00:00:00"/>
    <d v="2024-07-31T00:00:00"/>
    <d v="2024-08-21T00:00:00"/>
    <s v="CSL BEHRING s.r.o."/>
    <m/>
    <n v="56284300.799999997"/>
    <n v="63038416.899999999"/>
    <m/>
    <m/>
    <m/>
    <d v="2024-08-21T00:00:00"/>
    <s v="SMLN-2024-617-100468"/>
    <x v="63"/>
  </r>
  <r>
    <d v="2024-06-25T00:00:00"/>
    <s v="VZ-2024-000487"/>
    <x v="1"/>
    <s v="Vondrková"/>
    <s v="Bodinková"/>
    <x v="274"/>
    <m/>
    <m/>
    <s v="podepsaná smlouva"/>
    <s v="33652100-6"/>
    <m/>
    <n v="6816892.46"/>
    <x v="0"/>
    <d v="2024-06-28T00:00:00"/>
    <d v="2024-08-07T00:00:00"/>
    <d v="2024-09-24T00:00:00"/>
    <s v="PROMEDICA PRAHA GROUP, a.s."/>
    <m/>
    <n v="4540152"/>
    <n v="5084970.24"/>
    <m/>
    <m/>
    <m/>
    <d v="2024-09-24T00:00:00"/>
    <s v="SMLN-2024-617-100517"/>
    <x v="68"/>
  </r>
  <r>
    <d v="2024-06-21T00:00:00"/>
    <s v="VZ-2024-000488"/>
    <x v="1"/>
    <s v="Vlčková"/>
    <s v="Bodinková"/>
    <x v="275"/>
    <m/>
    <m/>
    <s v="podepsaná smlouva"/>
    <s v="09343000-5"/>
    <m/>
    <n v="3961993"/>
    <x v="0"/>
    <d v="2024-07-02T00:00:00"/>
    <d v="2024-09-10T00:00:00"/>
    <d v="2024-09-30T00:00:00"/>
    <s v="RadioMedic s.r.o."/>
    <m/>
    <n v="3962016"/>
    <n v="4437457.92"/>
    <m/>
    <m/>
    <m/>
    <d v="2024-10-01T00:00:00"/>
    <s v="SMLN-2024-617-100526"/>
    <x v="95"/>
  </r>
  <r>
    <d v="2024-06-20T00:00:00"/>
    <s v="VZ-2024-000489"/>
    <x v="8"/>
    <s v="Novák"/>
    <s v="Zdražilová"/>
    <x v="276"/>
    <m/>
    <m/>
    <s v="vypsaná VZ"/>
    <s v="33100000-1, 39143112-4"/>
    <m/>
    <n v="1631406"/>
    <x v="0"/>
    <d v="2024-08-28T00:00:00"/>
    <d v="2024-10-16T00:00:00"/>
    <m/>
    <m/>
    <m/>
    <m/>
    <m/>
    <m/>
    <m/>
    <m/>
    <m/>
    <m/>
    <x v="2"/>
  </r>
  <r>
    <d v="2024-06-21T00:00:00"/>
    <s v="VZ-2024-000490-01"/>
    <x v="1"/>
    <s v="Vondrková"/>
    <s v="Bodinková"/>
    <x v="277"/>
    <n v="1"/>
    <s v="PANTOPRAZOL i.v."/>
    <s v="podepsaná smlouva"/>
    <s v="33610000-9"/>
    <m/>
    <n v="2913000"/>
    <x v="0"/>
    <d v="2024-06-27T00:00:00"/>
    <d v="2024-08-01T00:00:00"/>
    <d v="2024-08-28T00:00:00"/>
    <s v="PHARMOS a.s."/>
    <m/>
    <n v="2548875"/>
    <n v="2854740"/>
    <m/>
    <m/>
    <m/>
    <d v="2024-08-28T00:00:00"/>
    <s v="SMLN-2024-617-100482"/>
    <x v="67"/>
  </r>
  <r>
    <d v="2024-06-21T00:00:00"/>
    <s v="VZ-2024-000490-02"/>
    <x v="1"/>
    <s v="Vondrková"/>
    <s v="Bodinková"/>
    <x v="277"/>
    <n v="2"/>
    <s v="PANTOPRAZOL vázaný na lékařský předpis"/>
    <s v="podepsaná smlouva"/>
    <s v="33610000-9"/>
    <m/>
    <n v="3279632"/>
    <x v="0"/>
    <d v="2024-06-27T00:00:00"/>
    <d v="2024-08-01T00:00:00"/>
    <d v="2024-08-28T00:00:00"/>
    <s v="Alliance Healthcare s.r.o."/>
    <m/>
    <n v="2924366.37"/>
    <n v="3275290.33"/>
    <m/>
    <m/>
    <m/>
    <d v="2024-08-28T00:00:00"/>
    <s v="SMLN-2024-617-100483"/>
    <x v="67"/>
  </r>
  <r>
    <d v="2024-06-21T00:00:00"/>
    <s v="VZ-2024-000490-03"/>
    <x v="1"/>
    <s v="Vondrková"/>
    <s v="Bodinková"/>
    <x v="277"/>
    <n v="3"/>
    <s v="PANTOPRAZOL volně prodejný"/>
    <s v="zrušeno"/>
    <s v="33610000-9"/>
    <m/>
    <n v="1610"/>
    <x v="0"/>
    <d v="2024-06-27T00:00:00"/>
    <d v="2024-08-01T00:00:00"/>
    <m/>
    <s v="zrušeno - bez nabídky"/>
    <m/>
    <m/>
    <m/>
    <m/>
    <m/>
    <m/>
    <m/>
    <m/>
    <x v="2"/>
  </r>
  <r>
    <d v="2024-06-21T00:00:00"/>
    <s v="VZ-2024-000492"/>
    <x v="1"/>
    <s v="Vondrková"/>
    <s v="Hašková"/>
    <x v="278"/>
    <m/>
    <m/>
    <s v="zrušeno"/>
    <s v="33621100-0"/>
    <m/>
    <n v="9524490.5999999996"/>
    <x v="0"/>
    <d v="2024-07-08T00:00:00"/>
    <d v="2024-08-12T00:00:00"/>
    <m/>
    <s v="zrušeno - bez nabídky"/>
    <m/>
    <m/>
    <m/>
    <m/>
    <m/>
    <m/>
    <m/>
    <m/>
    <x v="2"/>
  </r>
  <r>
    <d v="2024-06-26T00:00:00"/>
    <s v="VZ-2024-000493"/>
    <x v="12"/>
    <s v="Svozil"/>
    <s v="Staňková"/>
    <x v="279"/>
    <m/>
    <m/>
    <s v="podepsaná smlouva"/>
    <s v="45232400-6"/>
    <m/>
    <n v="5800000"/>
    <x v="1"/>
    <d v="2024-07-01T00:00:00"/>
    <d v="2024-07-12T00:00:00"/>
    <d v="2024-07-17T00:00:00"/>
    <s v="MIZ  - BMH OLOMOUC"/>
    <m/>
    <n v="5491177"/>
    <n v="6644324.1699999999"/>
    <m/>
    <m/>
    <m/>
    <d v="2024-07-17T00:00:00"/>
    <s v="SMLN-2024-618-100041"/>
    <x v="43"/>
  </r>
  <r>
    <d v="2024-06-21T00:00:00"/>
    <s v="VZ-2024-000495-01"/>
    <x v="1"/>
    <s v="Vondrková"/>
    <s v="Staňková"/>
    <x v="280"/>
    <n v="1"/>
    <s v="OMEPRAZOL i.v."/>
    <s v="podepsaná smlouva"/>
    <s v="33610000-9"/>
    <m/>
    <n v="97173"/>
    <x v="1"/>
    <d v="2024-06-26T00:00:00"/>
    <d v="2024-07-10T00:00:00"/>
    <d v="2024-07-22T00:00:00"/>
    <s v="PROMEDICA PRAHA GROUP, a.s."/>
    <m/>
    <n v="68785.740000000005"/>
    <n v="77040.03"/>
    <m/>
    <m/>
    <m/>
    <d v="2024-07-22T00:00:00"/>
    <s v="SMLN-2024-617-100419"/>
    <x v="96"/>
  </r>
  <r>
    <d v="2024-06-21T00:00:00"/>
    <s v="VZ-2024-000495-02"/>
    <x v="1"/>
    <s v="Vondrková"/>
    <s v="Staňková"/>
    <x v="280"/>
    <n v="2"/>
    <s v="OMEPRAZOL vázaný na lékařský předpis"/>
    <s v="zrušeno"/>
    <s v="33610000-9"/>
    <m/>
    <n v="1251902"/>
    <x v="1"/>
    <d v="2024-06-26T00:00:00"/>
    <d v="2024-07-10T00:00:00"/>
    <m/>
    <s v="zrušeno - špatné zadání"/>
    <m/>
    <m/>
    <m/>
    <m/>
    <m/>
    <m/>
    <m/>
    <m/>
    <x v="2"/>
  </r>
  <r>
    <d v="2024-06-21T00:00:00"/>
    <s v="VZ-2024-000495-03"/>
    <x v="1"/>
    <s v="Vondrková"/>
    <s v="Staňková"/>
    <x v="280"/>
    <n v="3"/>
    <s v="OMEPRAZOL volně prodejný"/>
    <s v="zrušeno"/>
    <s v="33610000-9"/>
    <m/>
    <n v="183592"/>
    <x v="1"/>
    <d v="2024-06-26T00:00:00"/>
    <d v="2024-07-10T00:00:00"/>
    <m/>
    <s v="zrušeno - bez nabídky"/>
    <m/>
    <m/>
    <m/>
    <m/>
    <m/>
    <m/>
    <m/>
    <m/>
    <x v="2"/>
  </r>
  <r>
    <d v="2024-06-24T00:00:00"/>
    <s v="VZ-2024-000496-01"/>
    <x v="2"/>
    <s v="Skulová"/>
    <s v="Kučera"/>
    <x v="281"/>
    <n v="1"/>
    <s v="Autokláv parní"/>
    <s v="smlouva v kolečku"/>
    <s v="33191000-5"/>
    <s v="2.3.847."/>
    <n v="650000"/>
    <x v="0"/>
    <d v="2024-07-11T00:00:00"/>
    <d v="2024-09-10T00:00:00"/>
    <d v="2024-10-04T00:00:00"/>
    <s v="BMT  Medical Technology s.r.o."/>
    <m/>
    <n v="669000"/>
    <n v="809490"/>
    <m/>
    <m/>
    <m/>
    <d v="2024-10-04T00:00:00"/>
    <s v="SMLN-2024-617-100542_x000a_SMLP-2024-624-100007"/>
    <x v="2"/>
  </r>
  <r>
    <d v="2024-06-24T00:00:00"/>
    <s v="VZ-2024-000496-02"/>
    <x v="2"/>
    <s v="Skulová"/>
    <s v="Kučera"/>
    <x v="281"/>
    <n v="2"/>
    <s v="Prokládací parní sterilizátor s integrovaným vyvíječem páry"/>
    <s v="smlouva v kolečku"/>
    <s v="33191000-5"/>
    <s v="2.3.797."/>
    <n v="2250000"/>
    <x v="0"/>
    <d v="2024-07-11T00:00:00"/>
    <d v="2024-09-10T00:00:00"/>
    <d v="2024-10-04T00:00:00"/>
    <s v="BMT  Medical Technology s.r.o."/>
    <m/>
    <n v="2049400"/>
    <n v="2479774"/>
    <m/>
    <m/>
    <m/>
    <d v="2024-10-04T00:00:00"/>
    <s v="SMLN-2024-617-100544_x000a_SMLP-2024-624-100006"/>
    <x v="2"/>
  </r>
  <r>
    <d v="2024-06-24T00:00:00"/>
    <s v="VZ-2024-000496-03"/>
    <x v="2"/>
    <s v="Skulová"/>
    <s v="Kučera"/>
    <x v="281"/>
    <n v="3"/>
    <s v="Horkovzdušný sterilizátor OKB"/>
    <s v="zrušeno"/>
    <s v="33191000-5"/>
    <s v="2.3.817."/>
    <n v="185000"/>
    <x v="0"/>
    <d v="2024-07-11T00:00:00"/>
    <d v="2024-09-10T00:00:00"/>
    <m/>
    <s v="zrušeno"/>
    <m/>
    <m/>
    <m/>
    <m/>
    <m/>
    <m/>
    <m/>
    <m/>
    <x v="2"/>
  </r>
  <r>
    <d v="2024-06-25T00:00:00"/>
    <s v="VZ-2024-000497"/>
    <x v="6"/>
    <s v="Kadlec"/>
    <s v="Štýbnarová"/>
    <x v="282"/>
    <m/>
    <m/>
    <s v="podepsaná smlouva"/>
    <s v="45233100-0"/>
    <m/>
    <n v="250000"/>
    <x v="1"/>
    <d v="2024-07-02T00:00:00"/>
    <d v="2024-07-15T00:00:00"/>
    <d v="2024-08-06T00:00:00"/>
    <s v="BDC Development, s.r.o."/>
    <m/>
    <n v="241000"/>
    <n v="291610"/>
    <m/>
    <m/>
    <m/>
    <d v="2024-08-06T00:00:00"/>
    <s v="SMLN-2024-618-100044"/>
    <x v="97"/>
  </r>
  <r>
    <d v="2024-08-15T00:00:00"/>
    <s v="VZ-2024-000498-01"/>
    <x v="11"/>
    <s v="Klimek"/>
    <s v="Kučera"/>
    <x v="283"/>
    <n v="1"/>
    <s v="Elektromobil s výstražným světelným zařízením"/>
    <s v="hodnocení"/>
    <s v="34144900-7"/>
    <s v="4.2.223"/>
    <n v="1173925.9099999999"/>
    <x v="0"/>
    <d v="2024-08-15T00:00:00"/>
    <d v="2024-09-23T00:00:00"/>
    <d v="2024-10-03T00:00:00"/>
    <s v="Auto Trutnov s.r.o."/>
    <m/>
    <n v="1247686.51"/>
    <n v="1509700.68"/>
    <m/>
    <m/>
    <m/>
    <d v="2024-10-03T00:00:00"/>
    <s v="SMLN-2024-617-100539"/>
    <x v="2"/>
  </r>
  <r>
    <d v="2024-08-15T00:00:00"/>
    <s v="VZ-2024-000498-02"/>
    <x v="11"/>
    <s v="Klimek"/>
    <s v="Kučera"/>
    <x v="283"/>
    <n v="2"/>
    <s v="Elektromobily"/>
    <s v="hodnocení"/>
    <s v="34144900-7"/>
    <s v="4.2.223"/>
    <n v="2126209.66"/>
    <x v="0"/>
    <d v="2024-08-15T00:00:00"/>
    <d v="2024-09-23T00:00:00"/>
    <d v="2024-10-03T00:00:00"/>
    <s v="Auto Trutnov s.r.o."/>
    <m/>
    <n v="1927047.1"/>
    <n v="2331727"/>
    <m/>
    <m/>
    <m/>
    <d v="2024-10-03T00:00:00"/>
    <s v="SMLN-2024-617-100540"/>
    <x v="2"/>
  </r>
  <r>
    <d v="2024-08-15T00:00:00"/>
    <s v="VZ-2024-000498-03"/>
    <x v="11"/>
    <s v="Klimek"/>
    <s v="Kučera"/>
    <x v="283"/>
    <n v="3"/>
    <s v="Užitkový elektromobil"/>
    <s v="hodnocení"/>
    <s v="34144900-7"/>
    <s v="4.2.223"/>
    <n v="570881.68000000005"/>
    <x v="0"/>
    <d v="2024-08-15T00:00:00"/>
    <d v="2024-09-23T00:00:00"/>
    <m/>
    <s v="UH CAR, s r.o."/>
    <m/>
    <n v="511020"/>
    <n v="618334.19999999995"/>
    <m/>
    <m/>
    <m/>
    <m/>
    <s v="SMLN-2024-617-100541"/>
    <x v="2"/>
  </r>
  <r>
    <d v="2024-06-26T00:00:00"/>
    <s v="VZ-2024-000500"/>
    <x v="0"/>
    <s v="Hrubý"/>
    <s v="Štýbnarová"/>
    <x v="284"/>
    <m/>
    <m/>
    <s v="podepsaná smlouva"/>
    <s v="71240000-2"/>
    <s v="1.2.118."/>
    <n v="800000"/>
    <x v="1"/>
    <d v="2024-07-01T00:00:00"/>
    <d v="2024-07-12T00:00:00"/>
    <d v="2024-07-16T00:00:00"/>
    <s v="LT PROJEKT a.s."/>
    <m/>
    <n v="975000"/>
    <n v="1179750"/>
    <m/>
    <m/>
    <m/>
    <d v="2024-07-16T00:00:00"/>
    <s v="SMLN-2024-618-100040"/>
    <x v="65"/>
  </r>
  <r>
    <d v="2024-06-26T00:00:00"/>
    <s v="VZ-2024-000502"/>
    <x v="5"/>
    <s v="Dočkalová"/>
    <s v="Hašková"/>
    <x v="285"/>
    <m/>
    <m/>
    <s v="hodnocení"/>
    <s v="33141620-2, 33140000-3"/>
    <m/>
    <n v="4992000"/>
    <x v="0"/>
    <d v="2024-07-11T00:00:00"/>
    <d v="2024-09-04T00:00:00"/>
    <m/>
    <m/>
    <m/>
    <m/>
    <m/>
    <m/>
    <m/>
    <m/>
    <m/>
    <m/>
    <x v="2"/>
  </r>
  <r>
    <d v="2024-06-28T00:00:00"/>
    <s v="VZ-2024-000503"/>
    <x v="1"/>
    <s v="Vlčková"/>
    <s v="Hašková"/>
    <x v="286"/>
    <m/>
    <m/>
    <s v="zrušeno"/>
    <s v="33621100-0"/>
    <m/>
    <n v="9936470"/>
    <x v="0"/>
    <d v="2024-07-29T00:00:00"/>
    <d v="2024-09-16T00:00:00"/>
    <m/>
    <s v="zrušeno - bez nabídky"/>
    <m/>
    <m/>
    <m/>
    <m/>
    <m/>
    <m/>
    <m/>
    <m/>
    <x v="2"/>
  </r>
  <r>
    <d v="2024-06-28T00:00:00"/>
    <s v="VZ-2024-000504"/>
    <x v="1"/>
    <s v="Vlčková"/>
    <s v="Bodinková"/>
    <x v="287"/>
    <m/>
    <m/>
    <s v="hodnocení"/>
    <s v="09343000-5"/>
    <m/>
    <n v="2805825"/>
    <x v="0"/>
    <d v="2024-07-10T00:00:00"/>
    <d v="2024-09-23T00:00:00"/>
    <m/>
    <m/>
    <m/>
    <m/>
    <m/>
    <m/>
    <m/>
    <m/>
    <m/>
    <m/>
    <x v="2"/>
  </r>
  <r>
    <d v="2024-06-28T00:00:00"/>
    <s v="VZ-2024-000509"/>
    <x v="1"/>
    <s v="Vondrková"/>
    <s v="Bodinková"/>
    <x v="288"/>
    <m/>
    <m/>
    <s v="zrušeno"/>
    <s v="33670000-7"/>
    <m/>
    <n v="431211230"/>
    <x v="0"/>
    <d v="2024-07-04T00:00:00"/>
    <d v="2024-10-10T00:00:00"/>
    <m/>
    <s v="zrušeno - bez nabídky"/>
    <m/>
    <m/>
    <m/>
    <m/>
    <m/>
    <m/>
    <m/>
    <m/>
    <x v="2"/>
  </r>
  <r>
    <d v="2024-07-16T00:00:00"/>
    <s v="VZ-2024-000511"/>
    <x v="7"/>
    <s v="Pohlídal"/>
    <s v="Staňková"/>
    <x v="289"/>
    <m/>
    <m/>
    <s v="podepsaná smlouva"/>
    <s v="33124000-5"/>
    <s v="3.2.87"/>
    <n v="1849896.4"/>
    <x v="1"/>
    <d v="2024-07-19T00:00:00"/>
    <d v="2024-07-30T00:00:00"/>
    <d v="2024-07-31T00:00:00"/>
    <s v="OR-CZ spol. s r.o."/>
    <m/>
    <n v="1814300"/>
    <n v="2195303"/>
    <m/>
    <m/>
    <m/>
    <d v="2024-07-31T00:00:00"/>
    <s v="SMLN-2024-617-100432"/>
    <x v="98"/>
  </r>
  <r>
    <d v="2024-07-02T00:00:00"/>
    <s v="VZ-2024-000513"/>
    <x v="2"/>
    <s v="Skulová"/>
    <s v="Zdražilová"/>
    <x v="290"/>
    <m/>
    <m/>
    <s v="hodnocení"/>
    <s v="33115100-0"/>
    <s v="2.3.849."/>
    <n v="46000000"/>
    <x v="0"/>
    <d v="2024-08-16T00:00:00"/>
    <d v="2024-10-14T00:00:00"/>
    <m/>
    <m/>
    <m/>
    <m/>
    <m/>
    <m/>
    <m/>
    <m/>
    <m/>
    <m/>
    <x v="2"/>
  </r>
  <r>
    <d v="2024-07-23T00:00:00"/>
    <s v="VZ-2024-000514"/>
    <x v="1"/>
    <s v="Vlčková"/>
    <s v="Bodinková"/>
    <x v="291"/>
    <m/>
    <m/>
    <s v="vypsaná VZ"/>
    <s v="09343000-5"/>
    <m/>
    <n v="5986397"/>
    <x v="0"/>
    <d v="2024-08-02T00:00:00"/>
    <d v="2024-10-17T00:00:00"/>
    <m/>
    <m/>
    <m/>
    <m/>
    <m/>
    <m/>
    <m/>
    <m/>
    <m/>
    <m/>
    <x v="2"/>
  </r>
  <r>
    <d v="2024-07-01T00:00:00"/>
    <s v="VZ-2024-000515"/>
    <x v="5"/>
    <s v="Dočkalová"/>
    <s v="Hašková"/>
    <x v="292"/>
    <m/>
    <m/>
    <s v="hodnocení"/>
    <s v="33772000-2, 33140000-3"/>
    <m/>
    <n v="3650000"/>
    <x v="0"/>
    <d v="2024-07-12T00:00:00"/>
    <d v="2024-09-19T00:00:00"/>
    <m/>
    <s v="Perfect Distribution a.s."/>
    <m/>
    <n v="2632500"/>
    <n v="3185325"/>
    <m/>
    <m/>
    <m/>
    <m/>
    <m/>
    <x v="2"/>
  </r>
  <r>
    <d v="2024-07-08T00:00:00"/>
    <s v="VZ-2024-000517"/>
    <x v="4"/>
    <s v="Zdráhalová"/>
    <s v="Staňková"/>
    <x v="293"/>
    <m/>
    <m/>
    <s v="podepsaná smlouva"/>
    <s v="39221110-1"/>
    <m/>
    <n v="1913800"/>
    <x v="1"/>
    <d v="2024-07-11T00:00:00"/>
    <d v="2024-07-22T00:00:00"/>
    <d v="2024-07-31T00:00:00"/>
    <s v="Multi CZ s.r.o."/>
    <m/>
    <n v="1926400"/>
    <n v="2330944"/>
    <m/>
    <m/>
    <m/>
    <d v="2024-07-31T00:00:00"/>
    <s v="SMLN-2024-617-100428"/>
    <x v="10"/>
  </r>
  <r>
    <d v="2024-07-03T00:00:00"/>
    <s v="VZ-2024-000518-01"/>
    <x v="5"/>
    <s v="Valtová"/>
    <s v="Hašková"/>
    <x v="294"/>
    <n v="1"/>
    <s v="Kličky pro polypektomii  jednorázové hybridní"/>
    <s v="hodnocení"/>
    <s v="33140000-3"/>
    <m/>
    <n v="710600"/>
    <x v="2"/>
    <d v="2024-07-17T00:00:00"/>
    <d v="2024-08-23T00:00:00"/>
    <m/>
    <s v="Olympus Czech Group, s.r.o., člen koncernu"/>
    <m/>
    <n v="710600"/>
    <n v="795872"/>
    <m/>
    <m/>
    <m/>
    <m/>
    <m/>
    <x v="2"/>
  </r>
  <r>
    <d v="2024-07-03T00:00:00"/>
    <s v="VZ-2024-000518-02"/>
    <x v="5"/>
    <s v="Valtová"/>
    <s v="Hašková"/>
    <x v="294"/>
    <n v="2"/>
    <s v="Kličky k diatermické polypektomii, jednorázové monofilamentní"/>
    <s v="zrušeno"/>
    <s v="33140000-3"/>
    <m/>
    <n v="243000"/>
    <x v="2"/>
    <d v="2024-07-17T00:00:00"/>
    <d v="2024-08-23T00:00:00"/>
    <m/>
    <s v="zrušeno - bez nabídky"/>
    <m/>
    <m/>
    <m/>
    <m/>
    <m/>
    <m/>
    <m/>
    <m/>
    <x v="2"/>
  </r>
  <r>
    <d v="2024-07-03T00:00:00"/>
    <s v="VZ-2024-000518-03"/>
    <x v="5"/>
    <s v="Valtová"/>
    <s v="Hašková"/>
    <x v="294"/>
    <n v="3"/>
    <s v="Kličky k diatermické polypektomii, jednorázové pletené"/>
    <s v="zrušeno"/>
    <s v="33140000-3"/>
    <m/>
    <n v="1120000"/>
    <x v="2"/>
    <d v="2024-07-17T00:00:00"/>
    <d v="2024-08-23T00:00:00"/>
    <m/>
    <s v="zrušeno - bez hodnotitelné nabídky"/>
    <m/>
    <m/>
    <m/>
    <m/>
    <m/>
    <m/>
    <m/>
    <m/>
    <x v="2"/>
  </r>
  <r>
    <d v="2024-07-02T00:00:00"/>
    <s v="VZ-2024-000519"/>
    <x v="1"/>
    <s v="Vondrková"/>
    <s v="Bodinková"/>
    <x v="295"/>
    <m/>
    <m/>
    <s v="zrušeno"/>
    <s v="33652000-5"/>
    <m/>
    <n v="14429119"/>
    <x v="4"/>
    <d v="2024-07-10T00:00:00"/>
    <d v="2024-07-23T00:00:00"/>
    <m/>
    <s v="zrušeno - bez nabídky"/>
    <s v="nová VZ-2024-000663"/>
    <m/>
    <m/>
    <m/>
    <m/>
    <m/>
    <m/>
    <m/>
    <x v="2"/>
  </r>
  <r>
    <d v="2024-07-03T00:00:00"/>
    <s v="VZ-2024-000520"/>
    <x v="2"/>
    <s v="Skulová"/>
    <s v="Štýbnarová"/>
    <x v="296"/>
    <m/>
    <m/>
    <s v="podepsaná smlouva"/>
    <s v="33121300-7"/>
    <s v="2.2.654."/>
    <n v="940000"/>
    <x v="1"/>
    <d v="2024-07-08T00:00:00"/>
    <d v="2024-07-19T00:00:00"/>
    <d v="2024-07-30T00:00:00"/>
    <s v="EduProduct s.r.o."/>
    <m/>
    <n v="936000"/>
    <n v="1132560"/>
    <m/>
    <m/>
    <m/>
    <d v="2024-07-30T00:00:00"/>
    <s v="SMLN-2024-617-100426"/>
    <x v="65"/>
  </r>
  <r>
    <d v="2024-07-04T00:00:00"/>
    <s v="VZ-2024-000521"/>
    <x v="1"/>
    <s v="Vondrková"/>
    <s v="Bodinková"/>
    <x v="297"/>
    <m/>
    <m/>
    <s v="vypsaná VZ"/>
    <s v="33651400-2"/>
    <m/>
    <n v="63333493"/>
    <x v="0"/>
    <d v="2024-10-02T00:00:00"/>
    <d v="2024-11-06T00:00:00"/>
    <m/>
    <m/>
    <m/>
    <m/>
    <m/>
    <m/>
    <m/>
    <m/>
    <m/>
    <m/>
    <x v="2"/>
  </r>
  <r>
    <d v="2024-07-03T00:00:00"/>
    <s v="VZ-2024-000523"/>
    <x v="5"/>
    <s v="Valtová"/>
    <s v="Zdražilová"/>
    <x v="298"/>
    <m/>
    <m/>
    <s v="podepsaná smlouva"/>
    <s v="33140000-3"/>
    <m/>
    <n v="2449190"/>
    <x v="2"/>
    <d v="2024-07-12T00:00:00"/>
    <d v="2024-08-30T00:00:00"/>
    <d v="2024-09-23T00:00:00"/>
    <s v="ELLA-CS s.r.o."/>
    <m/>
    <n v="2495090"/>
    <n v="2794500.8"/>
    <m/>
    <m/>
    <m/>
    <d v="2024-09-23T00:00:00"/>
    <s v="SMLN-2024-617-100513_x000a_SMLN-2024-614-100067"/>
    <x v="95"/>
  </r>
  <r>
    <d v="2024-07-08T00:00:00"/>
    <s v="VZ-2024-000526"/>
    <x v="1"/>
    <s v="Vondrková"/>
    <s v="Bodinková"/>
    <x v="299"/>
    <m/>
    <m/>
    <s v="vypsaná VZ"/>
    <s v="33652300-8"/>
    <m/>
    <n v="54721702"/>
    <x v="0"/>
    <d v="2024-10-04T00:00:00"/>
    <d v="2024-11-08T00:00:00"/>
    <m/>
    <m/>
    <m/>
    <m/>
    <m/>
    <m/>
    <m/>
    <m/>
    <m/>
    <m/>
    <x v="2"/>
  </r>
  <r>
    <d v="2024-07-09T00:00:00"/>
    <s v="VZ-2024-000527"/>
    <x v="2"/>
    <s v="Skulová"/>
    <s v="Zdražilová"/>
    <x v="300"/>
    <m/>
    <m/>
    <s v="podepsaná smlouva"/>
    <s v="33162200-5"/>
    <m/>
    <n v="408240"/>
    <x v="4"/>
    <d v="2024-07-11T00:00:00"/>
    <d v="2024-07-23T00:00:00"/>
    <d v="2024-08-12T00:00:00"/>
    <s v="GRANDYX s.r.o."/>
    <m/>
    <n v="365664"/>
    <n v="442453.44"/>
    <m/>
    <m/>
    <m/>
    <d v="2024-08-12T00:00:00"/>
    <s v="SMLN-2024-617-100452"/>
    <x v="72"/>
  </r>
  <r>
    <d v="2024-07-09T00:00:00"/>
    <s v="VZ-2024-000528"/>
    <x v="5"/>
    <s v="Dočkalová"/>
    <s v="Staňková"/>
    <x v="301"/>
    <m/>
    <m/>
    <s v="podepsaná smlouva"/>
    <s v="33140000-3"/>
    <m/>
    <n v="516120"/>
    <x v="1"/>
    <d v="2024-07-11T00:00:00"/>
    <d v="2024-07-22T00:00:00"/>
    <d v="2024-07-29T00:00:00"/>
    <s v="medisap s.r.o."/>
    <m/>
    <n v="633520"/>
    <n v="709542.40000000002"/>
    <m/>
    <m/>
    <m/>
    <d v="2024-07-29T00:00:00"/>
    <s v="SMLN-2024-617-100423"/>
    <x v="32"/>
  </r>
  <r>
    <d v="2024-07-09T00:00:00"/>
    <s v="VZ-2024-000529"/>
    <x v="2"/>
    <s v="Skulová"/>
    <s v="Zdražilová"/>
    <x v="302"/>
    <m/>
    <m/>
    <s v="zrušeno"/>
    <s v="33150000-6"/>
    <s v="2.2.644."/>
    <n v="225000"/>
    <x v="0"/>
    <d v="2024-07-26T00:00:00"/>
    <d v="2024-08-30T00:00:00"/>
    <m/>
    <s v="zrušeno - špatně vyplněná nabídka"/>
    <m/>
    <m/>
    <m/>
    <m/>
    <m/>
    <m/>
    <m/>
    <m/>
    <x v="2"/>
  </r>
  <r>
    <d v="2024-07-08T00:00:00"/>
    <s v="VZ-2024-000531"/>
    <x v="6"/>
    <s v="Srovnal"/>
    <s v="Kučera"/>
    <x v="303"/>
    <m/>
    <m/>
    <s v="smlouva v kolečku"/>
    <s v="42510000-4"/>
    <s v="4.2.208."/>
    <n v="1239600"/>
    <x v="0"/>
    <d v="2024-07-18T00:00:00"/>
    <d v="2024-08-22T00:00:00"/>
    <d v="2024-09-25T00:00:00"/>
    <s v="EP Rožnov a.s."/>
    <m/>
    <n v="1011000"/>
    <n v="1223310.3700000001"/>
    <m/>
    <m/>
    <m/>
    <d v="2024-09-25T00:00:00"/>
    <s v="SMLN-2024-618-100053"/>
    <x v="2"/>
  </r>
  <r>
    <d v="2024-07-08T00:00:00"/>
    <s v="VZ-2024-000532"/>
    <x v="6"/>
    <s v="Srovnal"/>
    <s v="Kučera"/>
    <x v="304"/>
    <m/>
    <m/>
    <s v="smlouva v kolečku"/>
    <s v="42520000-7"/>
    <s v="4.2.222."/>
    <n v="850000"/>
    <x v="0"/>
    <d v="2024-07-18T00:00:00"/>
    <d v="2024-08-22T00:00:00"/>
    <d v="2024-10-04T00:00:00"/>
    <s v="BDC Development s.r.o."/>
    <m/>
    <n v="559956"/>
    <n v="677547"/>
    <m/>
    <m/>
    <m/>
    <d v="2024-10-04T00:00:00"/>
    <s v="SMLN-2024-618-100055"/>
    <x v="2"/>
  </r>
  <r>
    <d v="2024-07-09T00:00:00"/>
    <s v="VZ-2024-000534"/>
    <x v="2"/>
    <s v="Skulová"/>
    <s v="Štýbnarová"/>
    <x v="305"/>
    <m/>
    <m/>
    <s v="podepsaná smlouva"/>
    <s v="33161000-6"/>
    <s v="2.2.638."/>
    <n v="63640"/>
    <x v="1"/>
    <d v="2024-07-11T00:00:00"/>
    <d v="2024-07-22T00:00:00"/>
    <d v="2024-08-22T00:00:00"/>
    <s v="Viamed s.r.o."/>
    <m/>
    <n v="63630"/>
    <n v="76992.3"/>
    <m/>
    <m/>
    <m/>
    <d v="2024-08-22T00:00:00"/>
    <s v="SMLN-2024-617-100473_x000a_SMLN-2024-612-100104"/>
    <x v="73"/>
  </r>
  <r>
    <d v="2024-07-09T00:00:00"/>
    <s v="VZ-2024-000535"/>
    <x v="5"/>
    <s v="Dočkalová"/>
    <s v="Hašková"/>
    <x v="306"/>
    <m/>
    <m/>
    <s v="zrušeno"/>
    <s v="33140000-3"/>
    <m/>
    <n v="2299040"/>
    <x v="0"/>
    <d v="2024-07-17T00:00:00"/>
    <d v="2024-08-21T00:00:00"/>
    <m/>
    <s v="zrušeno - překročení ceny"/>
    <s v="nová VZ-2024-000720"/>
    <m/>
    <m/>
    <m/>
    <m/>
    <m/>
    <m/>
    <m/>
    <x v="2"/>
  </r>
  <r>
    <d v="2024-07-10T00:00:00"/>
    <s v="VZ-2024-000537"/>
    <x v="5"/>
    <s v="Dočkalová"/>
    <s v="Staňková"/>
    <x v="307"/>
    <m/>
    <m/>
    <s v="podepsaná smlouva"/>
    <s v="33120000-7"/>
    <m/>
    <n v="680000"/>
    <x v="1"/>
    <d v="2024-07-12T00:00:00"/>
    <d v="2024-07-23T00:00:00"/>
    <d v="2024-07-29T00:00:00"/>
    <s v="Medtronic Czechia s.r.o."/>
    <m/>
    <n v="685894"/>
    <n v="784042.4"/>
    <m/>
    <m/>
    <m/>
    <d v="2024-07-29T00:00:00"/>
    <s v="SMLN-2024-617-100424_x000a_SMLN-2024-617-100425"/>
    <x v="72"/>
  </r>
  <r>
    <d v="2024-07-10T00:00:00"/>
    <s v="VZ-2024-000538"/>
    <x v="0"/>
    <s v="Zeman"/>
    <s v="Staňková"/>
    <x v="308"/>
    <m/>
    <m/>
    <s v="podepsaná smlouva"/>
    <s v="45421100-5"/>
    <m/>
    <n v="3700000"/>
    <x v="1"/>
    <d v="2024-07-15T00:00:00"/>
    <d v="2024-07-29T00:00:00"/>
    <d v="2024-08-20T00:00:00"/>
    <s v="SULKO s.r.o."/>
    <m/>
    <n v="3524329"/>
    <n v="4264438.09"/>
    <m/>
    <m/>
    <m/>
    <d v="2024-08-20T00:00:00"/>
    <s v="SMLN-2024-618-100046"/>
    <x v="75"/>
  </r>
  <r>
    <d v="2024-07-15T00:00:00"/>
    <s v="VZ-2024-000539"/>
    <x v="10"/>
    <s v="Zemánek"/>
    <s v="Kučera"/>
    <x v="309"/>
    <m/>
    <m/>
    <s v="podepsaná smlouva"/>
    <s v="50400000-9"/>
    <m/>
    <n v="3600000"/>
    <x v="0"/>
    <d v="2024-07-18T00:00:00"/>
    <d v="2024-08-22T00:00:00"/>
    <d v="2024-09-12T00:00:00"/>
    <s v="Philips Česká republika s.r.o."/>
    <m/>
    <n v="98770"/>
    <n v="119511.7"/>
    <m/>
    <m/>
    <m/>
    <d v="2024-09-12T00:00:00"/>
    <s v="SMLN-2024-612-100113"/>
    <x v="99"/>
  </r>
  <r>
    <d v="2024-07-12T00:00:00"/>
    <s v="VZ-2024-000540"/>
    <x v="4"/>
    <s v="Zdráhalová"/>
    <s v="Hašková"/>
    <x v="310"/>
    <m/>
    <m/>
    <s v="smlouva v kolečku"/>
    <s v="35113490-0"/>
    <m/>
    <n v="2304000"/>
    <x v="0"/>
    <d v="2024-07-22T00:00:00"/>
    <d v="2024-08-23T00:00:00"/>
    <d v="2024-10-10T00:00:00"/>
    <s v="S.A.B. Impex, s.r.o."/>
    <m/>
    <n v="1564800"/>
    <n v="1752576"/>
    <m/>
    <m/>
    <m/>
    <d v="2024-10-10T00:00:00"/>
    <s v="SMLN-2024-617-100550"/>
    <x v="2"/>
  </r>
  <r>
    <d v="2024-07-11T00:00:00"/>
    <s v="VZ-2024-000541"/>
    <x v="2"/>
    <s v="Skulová"/>
    <s v="Kučera"/>
    <x v="311"/>
    <m/>
    <m/>
    <s v="podepsaná smlouva"/>
    <s v="33169000-2"/>
    <s v="2.2.640."/>
    <n v="232260"/>
    <x v="0"/>
    <d v="2024-07-16T00:00:00"/>
    <d v="2024-08-20T00:00:00"/>
    <d v="2024-09-03T00:00:00"/>
    <s v="Johnson  &amp; Johnson s.r.o."/>
    <m/>
    <n v="232260"/>
    <n v="281034.59999999998"/>
    <m/>
    <m/>
    <m/>
    <d v="2024-09-03T00:00:00"/>
    <s v="SMLN-2024-617-100488_x000a_SMLN-2024-612-100107"/>
    <x v="83"/>
  </r>
  <r>
    <d v="2024-07-11T00:00:00"/>
    <s v="VZ-2024-000542"/>
    <x v="5"/>
    <s v="Dočkalová"/>
    <s v="Zdražilová"/>
    <x v="312"/>
    <m/>
    <m/>
    <s v="hodnocení"/>
    <s v="33199000-1"/>
    <m/>
    <n v="22491157"/>
    <x v="0"/>
    <d v="2024-07-17T00:00:00"/>
    <d v="2024-09-24T00:00:00"/>
    <m/>
    <m/>
    <m/>
    <m/>
    <m/>
    <m/>
    <m/>
    <m/>
    <m/>
    <m/>
    <x v="2"/>
  </r>
  <r>
    <d v="2024-07-11T00:00:00"/>
    <s v="VZ-2024-000543"/>
    <x v="5"/>
    <s v="Dočkalová"/>
    <s v="Staňková"/>
    <x v="313"/>
    <m/>
    <m/>
    <s v="podepsaná smlouva"/>
    <s v="39550000-2, 33140000-3"/>
    <m/>
    <n v="1395264"/>
    <x v="1"/>
    <d v="2024-07-16T00:00:00"/>
    <d v="2024-07-29T00:00:00"/>
    <d v="2024-07-31T00:00:00"/>
    <s v="Mölnlycke Health Care s.r.o."/>
    <m/>
    <n v="1395280"/>
    <n v="1562713.6"/>
    <m/>
    <m/>
    <m/>
    <d v="2024-07-31T00:00:00"/>
    <s v="SMLN-2024-617-100433"/>
    <x v="72"/>
  </r>
  <r>
    <d v="2024-07-11T00:00:00"/>
    <s v="VZ-2024-000544"/>
    <x v="1"/>
    <s v="Vondrková"/>
    <s v="Bodinková"/>
    <x v="314"/>
    <m/>
    <m/>
    <s v="podepsaná smlouva"/>
    <s v="33652300-8"/>
    <m/>
    <n v="3069472"/>
    <x v="4"/>
    <d v="2024-07-17T00:00:00"/>
    <d v="2024-07-29T00:00:00"/>
    <d v="2024-08-07T00:00:00"/>
    <s v="Avenier a.s."/>
    <m/>
    <n v="3069471.15"/>
    <n v="3437807.69"/>
    <m/>
    <m/>
    <m/>
    <d v="2024-08-07T00:00:00"/>
    <s v="SMLN-2024-617-100441"/>
    <x v="100"/>
  </r>
  <r>
    <d v="2024-07-29T00:00:00"/>
    <s v="VZ-2024-000545"/>
    <x v="2"/>
    <s v="Skulová"/>
    <s v="Staňková"/>
    <x v="315"/>
    <m/>
    <m/>
    <s v="zrušeno"/>
    <s v="38000000-5"/>
    <s v="2.2.653"/>
    <n v="590000"/>
    <x v="1"/>
    <d v="2024-07-31T00:00:00"/>
    <d v="2024-08-26T00:00:00"/>
    <m/>
    <s v="zrušeno - úprava zadávacích podmínek"/>
    <s v="nová VZ-2024-000689"/>
    <m/>
    <m/>
    <m/>
    <m/>
    <m/>
    <m/>
    <m/>
    <x v="2"/>
  </r>
  <r>
    <d v="2024-07-15T00:00:00"/>
    <s v="VZ-2024-000546"/>
    <x v="3"/>
    <s v="Zemánková"/>
    <s v="Bodinková"/>
    <x v="316"/>
    <m/>
    <m/>
    <s v="podepsaná smlouva"/>
    <s v="33694000-1"/>
    <m/>
    <n v="534000"/>
    <x v="1"/>
    <d v="2024-07-18T00:00:00"/>
    <d v="2024-07-30T00:00:00"/>
    <d v="2024-08-01T00:00:00"/>
    <s v="SEBIA Czech republic s.r.o."/>
    <m/>
    <n v="411162.84"/>
    <n v="497507.04"/>
    <m/>
    <m/>
    <m/>
    <d v="2024-08-01T00:00:00"/>
    <s v="SMLN-2024-617-100435"/>
    <x v="101"/>
  </r>
  <r>
    <d v="2024-07-17T00:00:00"/>
    <s v="VZ-2024-000548"/>
    <x v="3"/>
    <s v="Zemánková"/>
    <s v="Bodinková"/>
    <x v="317"/>
    <m/>
    <m/>
    <s v="hodnocení"/>
    <s v="33694000-1, 48814000-7"/>
    <m/>
    <n v="1020070"/>
    <x v="0"/>
    <d v="2024-08-12T00:00:00"/>
    <d v="2024-10-10T00:00:00"/>
    <m/>
    <m/>
    <m/>
    <m/>
    <m/>
    <m/>
    <m/>
    <m/>
    <m/>
    <m/>
    <x v="2"/>
  </r>
  <r>
    <d v="2024-07-12T00:00:00"/>
    <s v="VZ-2024-000549"/>
    <x v="5"/>
    <s v="Valtová"/>
    <s v="Staňková"/>
    <x v="318"/>
    <m/>
    <m/>
    <s v="podepsaná smlouva"/>
    <s v="33140000-3"/>
    <m/>
    <n v="512000"/>
    <x v="1"/>
    <d v="2024-07-16T00:00:00"/>
    <d v="2024-07-29T00:00:00"/>
    <d v="2024-08-12T00:00:00"/>
    <s v="ARID obchodní společnosti, s.r.o."/>
    <m/>
    <n v="512000"/>
    <n v="573440"/>
    <m/>
    <m/>
    <m/>
    <d v="2024-08-12T00:00:00"/>
    <s v="SMLN-2024-617-100453_x000a_SMLN-2024-614-100054"/>
    <x v="10"/>
  </r>
  <r>
    <d v="2024-07-16T00:00:00"/>
    <s v="VZ-2024-000550"/>
    <x v="3"/>
    <s v="Zemánková"/>
    <s v="Bodinková"/>
    <x v="319"/>
    <m/>
    <m/>
    <s v="zrušeno"/>
    <s v="33694000-1"/>
    <m/>
    <n v="1485000"/>
    <x v="0"/>
    <d v="2024-08-05T00:00:00"/>
    <d v="2024-09-13T00:00:00"/>
    <m/>
    <s v="zrušeno - bez nabídky"/>
    <m/>
    <m/>
    <m/>
    <m/>
    <m/>
    <m/>
    <m/>
    <m/>
    <x v="2"/>
  </r>
  <r>
    <d v="2024-07-17T00:00:00"/>
    <s v="VZ-2024-000551"/>
    <x v="1"/>
    <s v="Vondrková"/>
    <s v="Hašková"/>
    <x v="320"/>
    <m/>
    <m/>
    <s v="hodnocení"/>
    <s v="33695000-8"/>
    <m/>
    <n v="3293118"/>
    <x v="0"/>
    <d v="2024-08-13T00:00:00"/>
    <d v="2024-09-17T00:00:00"/>
    <m/>
    <m/>
    <m/>
    <m/>
    <m/>
    <m/>
    <m/>
    <m/>
    <m/>
    <m/>
    <x v="2"/>
  </r>
  <r>
    <d v="2024-07-15T00:00:00"/>
    <s v="VZ-2024-000552"/>
    <x v="0"/>
    <s v="Spáčil Z."/>
    <s v="Staňková"/>
    <x v="321"/>
    <m/>
    <m/>
    <s v="podepsaná smlouva"/>
    <s v="71318000-0"/>
    <m/>
    <n v="522000"/>
    <x v="1"/>
    <d v="2024-07-19T00:00:00"/>
    <d v="2024-07-30T00:00:00"/>
    <d v="2024-08-16T00:00:00"/>
    <s v="BIM Consulting s.r.o."/>
    <m/>
    <n v="310500"/>
    <n v="375705"/>
    <m/>
    <m/>
    <m/>
    <d v="2024-08-16T00:00:00"/>
    <s v="SMLN-2024-612-100102"/>
    <x v="82"/>
  </r>
  <r>
    <d v="2024-07-30T00:00:00"/>
    <s v="VZ-2024-000554-01"/>
    <x v="1"/>
    <s v="Vondrková"/>
    <s v="Bodinková"/>
    <x v="322"/>
    <n v="1"/>
    <s v="TAKROLIMUS I."/>
    <s v="smlouva v kolečku"/>
    <s v="33652300-8"/>
    <m/>
    <n v="32057790"/>
    <x v="0"/>
    <d v="2024-08-06T00:00:00"/>
    <d v="2024-09-11T00:00:00"/>
    <d v="2024-10-10T00:00:00"/>
    <s v="PHOENIX lék. velkoobchod, s.r.o."/>
    <m/>
    <n v="32057785.949999999"/>
    <n v="35904720.259999998"/>
    <m/>
    <m/>
    <m/>
    <d v="2024-10-10T00:00:00"/>
    <s v="SMLN-2024-617-100553"/>
    <x v="2"/>
  </r>
  <r>
    <d v="2024-07-30T00:00:00"/>
    <s v="VZ-2024-000554-02"/>
    <x v="1"/>
    <s v="Vondrková"/>
    <s v="Bodinková"/>
    <x v="322"/>
    <n v="2"/>
    <s v="TAKROLIMUS II."/>
    <s v="smlouva v kolečku"/>
    <s v="33652300-8"/>
    <m/>
    <n v="15969462"/>
    <x v="0"/>
    <d v="2024-08-06T00:00:00"/>
    <d v="2024-09-11T00:00:00"/>
    <d v="2024-10-10T00:00:00"/>
    <s v="PHOENIX lék. velkoobchod, s.r.o."/>
    <m/>
    <n v="15774086.050000001"/>
    <n v="17666976.379999999"/>
    <m/>
    <m/>
    <m/>
    <d v="2024-10-10T00:00:00"/>
    <s v="SMLN-2024-617-100554"/>
    <x v="2"/>
  </r>
  <r>
    <d v="2024-07-18T00:00:00"/>
    <s v="VZ-2024-000556"/>
    <x v="8"/>
    <s v="Novák"/>
    <s v="Staňková"/>
    <x v="323"/>
    <m/>
    <m/>
    <s v="zrušeno"/>
    <s v="33194100-7"/>
    <m/>
    <n v="516396"/>
    <x v="1"/>
    <d v="2024-07-24T00:00:00"/>
    <d v="2024-08-05T00:00:00"/>
    <m/>
    <s v="zrušeno - dodavatel použil nesprávné dokumenty"/>
    <s v="nová VZ-2024-000612"/>
    <m/>
    <m/>
    <m/>
    <m/>
    <m/>
    <m/>
    <m/>
    <x v="2"/>
  </r>
  <r>
    <d v="2024-07-24T00:00:00"/>
    <s v="VZ-2024-000558-01"/>
    <x v="5"/>
    <s v="Valtová"/>
    <s v="Zdražilová"/>
    <x v="324"/>
    <n v="1"/>
    <s v="Základní diagnostické katetry fixní"/>
    <s v="vypsaná VZ"/>
    <s v="33140000-3"/>
    <m/>
    <n v="4340000"/>
    <x v="0"/>
    <d v="2024-07-29T00:00:00"/>
    <d v="2024-10-21T00:00:00"/>
    <m/>
    <m/>
    <m/>
    <m/>
    <m/>
    <m/>
    <m/>
    <m/>
    <m/>
    <m/>
    <x v="2"/>
  </r>
  <r>
    <d v="2024-07-24T00:00:00"/>
    <s v="VZ-2024-000558-02"/>
    <x v="5"/>
    <s v="Valtová"/>
    <s v="Zdražilová"/>
    <x v="324"/>
    <n v="2"/>
    <s v="Hemostatický zavaděč katetrů – stabilizační fixní"/>
    <s v="vypsaná VZ"/>
    <s v="33140000-3"/>
    <m/>
    <n v="6363249.3499999996"/>
    <x v="0"/>
    <d v="2024-07-29T00:00:00"/>
    <d v="2024-10-21T00:00:00"/>
    <m/>
    <m/>
    <m/>
    <m/>
    <m/>
    <m/>
    <m/>
    <m/>
    <m/>
    <m/>
    <x v="2"/>
  </r>
  <r>
    <d v="2024-07-19T00:00:00"/>
    <s v="VZ-2024-000559"/>
    <x v="1"/>
    <s v="Vlčková"/>
    <s v="Hašková"/>
    <x v="325"/>
    <m/>
    <m/>
    <s v="smlouva v kolečku"/>
    <s v="33652300-8"/>
    <m/>
    <n v="6972815"/>
    <x v="0"/>
    <d v="2024-07-31T00:00:00"/>
    <d v="2024-09-04T00:00:00"/>
    <d v="2024-09-23T00:00:00"/>
    <s v="PHOENIX lék. velkoobchod, s.r.o."/>
    <m/>
    <n v="6972814.7999999998"/>
    <n v="7809552.5800000001"/>
    <m/>
    <m/>
    <m/>
    <d v="2024-09-23T00:00:00"/>
    <s v="SMLN-2024-617-100510"/>
    <x v="2"/>
  </r>
  <r>
    <d v="2024-07-19T00:00:00"/>
    <s v="VZ-2024-000560"/>
    <x v="1"/>
    <s v="Vlčková"/>
    <s v="Hašková"/>
    <x v="326"/>
    <m/>
    <m/>
    <s v="vypsaná VZ"/>
    <s v="33652000-5"/>
    <m/>
    <n v="18808463"/>
    <x v="0"/>
    <d v="2024-07-24T00:00:00"/>
    <d v="2024-11-01T00:00:00"/>
    <m/>
    <m/>
    <m/>
    <m/>
    <m/>
    <m/>
    <m/>
    <m/>
    <m/>
    <m/>
    <x v="2"/>
  </r>
  <r>
    <d v="2024-07-19T00:00:00"/>
    <s v="VZ-2024-000561"/>
    <x v="1"/>
    <s v="Vlčková"/>
    <s v="Hašková"/>
    <x v="327"/>
    <m/>
    <m/>
    <s v="podepsaná smlouva"/>
    <s v="33651400-2"/>
    <m/>
    <n v="9061584"/>
    <x v="0"/>
    <d v="2024-07-24T00:00:00"/>
    <d v="2024-08-28T00:00:00"/>
    <d v="2024-09-09T00:00:00"/>
    <s v="Alliance Healthcare s.r.o."/>
    <m/>
    <n v="8713195.1999999993"/>
    <n v="9758778.6199999992"/>
    <m/>
    <m/>
    <m/>
    <d v="2024-09-09T00:00:00"/>
    <s v="SMLN-2024-617-100498"/>
    <x v="68"/>
  </r>
  <r>
    <d v="2024-07-19T00:00:00"/>
    <s v="VZ-2024-000562"/>
    <x v="1"/>
    <s v="Vondrková"/>
    <s v="Bodinková"/>
    <x v="328"/>
    <m/>
    <m/>
    <s v="vypsaná VZ"/>
    <s v="33621300-2"/>
    <m/>
    <n v="83497556"/>
    <x v="0"/>
    <d v="2024-10-10T00:00:00"/>
    <d v="2024-11-14T00:00:00"/>
    <m/>
    <m/>
    <m/>
    <m/>
    <m/>
    <m/>
    <m/>
    <m/>
    <m/>
    <m/>
    <x v="2"/>
  </r>
  <r>
    <d v="2024-07-19T00:00:00"/>
    <s v="VZ-2024-000563"/>
    <x v="1"/>
    <s v="Vlčková"/>
    <s v="Hašková"/>
    <x v="329"/>
    <m/>
    <m/>
    <s v="smlouva v kolečku"/>
    <s v="33652000-5"/>
    <m/>
    <n v="9390533"/>
    <x v="0"/>
    <d v="2024-07-23T00:00:00"/>
    <d v="2024-09-09T00:00:00"/>
    <d v="2024-09-27T00:00:00"/>
    <s v="ELI LILLY ČR s.r.o."/>
    <m/>
    <n v="9390531.9000000004"/>
    <n v="10517395.73"/>
    <m/>
    <m/>
    <m/>
    <d v="2024-09-27T00:00:00"/>
    <s v="SMLN-2024-617-100520"/>
    <x v="2"/>
  </r>
  <r>
    <d v="2024-07-19T00:00:00"/>
    <s v="VZ-2024-000564"/>
    <x v="3"/>
    <s v="Zemánková"/>
    <s v="Bodinková"/>
    <x v="330"/>
    <m/>
    <m/>
    <s v="smlouva v kolečku"/>
    <s v="38434000-6, 33694000-1"/>
    <m/>
    <n v="5553600"/>
    <x v="4"/>
    <d v="2024-08-27T00:00:00"/>
    <d v="2024-09-09T00:00:00"/>
    <m/>
    <s v="BioVendor - Laboratorní medicína a.s."/>
    <m/>
    <n v="4272000"/>
    <n v="4784640"/>
    <m/>
    <m/>
    <m/>
    <m/>
    <m/>
    <x v="2"/>
  </r>
  <r>
    <d v="2024-07-31T00:00:00"/>
    <s v="VZ-2024-000565"/>
    <x v="1"/>
    <s v="Vlčková"/>
    <s v="Hašková"/>
    <x v="331"/>
    <m/>
    <m/>
    <s v="zrušeno"/>
    <s v="33622100-7"/>
    <m/>
    <n v="4675600"/>
    <x v="4"/>
    <d v="2024-08-07T00:00:00"/>
    <d v="2024-08-19T00:00:00"/>
    <m/>
    <s v="zrušeno - překročerní ceny"/>
    <s v="nová VZ-2024-000659"/>
    <m/>
    <m/>
    <m/>
    <m/>
    <m/>
    <m/>
    <m/>
    <x v="2"/>
  </r>
  <r>
    <d v="2024-07-19T00:00:00"/>
    <s v="VZ-2024-000566"/>
    <x v="1"/>
    <s v="Vondrková"/>
    <s v="Bodinková"/>
    <x v="332"/>
    <m/>
    <m/>
    <s v="vypsaná VZ"/>
    <s v="33651400-2"/>
    <m/>
    <n v="12596537"/>
    <x v="0"/>
    <d v="2024-09-25T00:00:00"/>
    <d v="2024-10-30T00:00:00"/>
    <m/>
    <m/>
    <m/>
    <m/>
    <m/>
    <m/>
    <m/>
    <m/>
    <m/>
    <m/>
    <x v="2"/>
  </r>
  <r>
    <d v="2024-07-23T00:00:00"/>
    <s v="VZ-2024-000567"/>
    <x v="5"/>
    <s v="Valtová"/>
    <s v="Zdražilová"/>
    <x v="333"/>
    <m/>
    <m/>
    <s v="hodnocení"/>
    <s v="33141750-2"/>
    <m/>
    <n v="54014586"/>
    <x v="0"/>
    <d v="2024-07-29T00:00:00"/>
    <d v="2024-09-03T00:00:00"/>
    <m/>
    <s v="Zimmer Czech, s.r.o."/>
    <m/>
    <n v="54002810.240000002"/>
    <n v="60483147.469999999"/>
    <m/>
    <m/>
    <m/>
    <m/>
    <m/>
    <x v="2"/>
  </r>
  <r>
    <d v="2024-07-19T00:00:00"/>
    <s v="VZ-2024-000568"/>
    <x v="1"/>
    <s v="Vlčková"/>
    <s v="Hašková"/>
    <x v="334"/>
    <m/>
    <m/>
    <s v="smlouva v kolečku"/>
    <s v="33600000-6"/>
    <m/>
    <n v="4256236"/>
    <x v="0"/>
    <d v="2024-07-30T00:00:00"/>
    <d v="2024-09-03T00:00:00"/>
    <d v="2024-09-23T00:00:00"/>
    <s v="PHOENIX lék. velkoobchod, s.r.o."/>
    <m/>
    <n v="4247004.87"/>
    <n v="4756645.45"/>
    <m/>
    <m/>
    <m/>
    <d v="2024-09-23T00:00:00"/>
    <s v="SMLN-2024-617-100511"/>
    <x v="2"/>
  </r>
  <r>
    <d v="2024-07-19T00:00:00"/>
    <s v="VZ-2024-000569"/>
    <x v="1"/>
    <s v="Vondrková"/>
    <s v="Bodinková"/>
    <x v="335"/>
    <m/>
    <m/>
    <s v="podepsaná smlouva"/>
    <s v="33652000-5"/>
    <m/>
    <n v="59950650"/>
    <x v="0"/>
    <d v="2024-08-09T00:00:00"/>
    <d v="2024-09-13T00:00:00"/>
    <d v="2024-09-30T00:00:00"/>
    <s v="Bristol-Myers Squibb spol. s r.o."/>
    <m/>
    <n v="59357075.700000003"/>
    <n v="66479924.780000001"/>
    <m/>
    <m/>
    <m/>
    <d v="2024-09-30T00:00:00"/>
    <s v="SMLN-2024-617-100524"/>
    <x v="102"/>
  </r>
  <r>
    <d v="2024-07-19T00:00:00"/>
    <s v="VZ-2024-000570"/>
    <x v="2"/>
    <s v="Skulová"/>
    <s v="Zdražilová"/>
    <x v="336"/>
    <m/>
    <m/>
    <s v="smlouva v kolečku"/>
    <s v="33124200-7"/>
    <s v="2.3.850."/>
    <n v="3500000"/>
    <x v="0"/>
    <d v="2024-07-30T00:00:00"/>
    <d v="2024-09-04T00:00:00"/>
    <d v="2024-10-07T00:00:00"/>
    <s v="F medical s.r.o."/>
    <m/>
    <n v="3458935"/>
    <n v="4185311.35"/>
    <m/>
    <m/>
    <m/>
    <d v="2024-10-07T00:00:00"/>
    <s v="SMLN-2024-617-100545_x000a_SMLN-2024-612-100121"/>
    <x v="2"/>
  </r>
  <r>
    <d v="2024-07-19T00:00:00"/>
    <s v="VZ-2024-000571"/>
    <x v="2"/>
    <s v="Skulová"/>
    <s v="Zdražilová"/>
    <x v="337"/>
    <m/>
    <m/>
    <s v="zrušeno"/>
    <s v="33150000-6"/>
    <s v="2.2.648."/>
    <n v="1116000"/>
    <x v="0"/>
    <d v="2024-08-19T00:00:00"/>
    <d v="2024-09-24T00:00:00"/>
    <m/>
    <s v="zrušeno - bude se opakovat"/>
    <m/>
    <m/>
    <m/>
    <m/>
    <m/>
    <m/>
    <m/>
    <m/>
    <x v="2"/>
  </r>
  <r>
    <d v="2024-07-22T00:00:00"/>
    <s v="VZ-2024-000572"/>
    <x v="2"/>
    <s v="Skulová"/>
    <s v="Zdražilová"/>
    <x v="338"/>
    <m/>
    <m/>
    <s v="smlouva v kolečku"/>
    <s v="33150000-6"/>
    <s v="2.2.643."/>
    <n v="1515000"/>
    <x v="0"/>
    <d v="2024-08-20T00:00:00"/>
    <d v="2024-09-25T00:00:00"/>
    <d v="2024-10-08T00:00:00"/>
    <s v="BTL zdravotnická technika, a.s."/>
    <m/>
    <n v="1454700"/>
    <n v="1760187"/>
    <m/>
    <m/>
    <m/>
    <d v="2024-10-08T00:00:00"/>
    <s v="SMLN-2024-617-100546_x000a_SMLN-2024-612-100122"/>
    <x v="2"/>
  </r>
  <r>
    <d v="2024-07-22T00:00:00"/>
    <s v="VZ-2024-000573"/>
    <x v="2"/>
    <s v="Skulová"/>
    <s v="Zdražilová"/>
    <x v="339"/>
    <m/>
    <m/>
    <s v="hodnocení"/>
    <s v="33150000-6"/>
    <s v="2.2.646."/>
    <n v="715000"/>
    <x v="0"/>
    <d v="2024-08-21T00:00:00"/>
    <d v="2024-09-26T00:00:00"/>
    <m/>
    <s v="BTL zdravotnická technika, a.s."/>
    <m/>
    <n v="685620"/>
    <n v="829600.2"/>
    <m/>
    <m/>
    <m/>
    <m/>
    <m/>
    <x v="2"/>
  </r>
  <r>
    <d v="2024-07-22T00:00:00"/>
    <s v="VZ-2024-000574"/>
    <x v="2"/>
    <s v="Skulová"/>
    <s v="Zdražilová"/>
    <x v="340"/>
    <m/>
    <m/>
    <s v="hodnocení"/>
    <s v="33150000-6"/>
    <s v="2.2.649."/>
    <n v="1030000"/>
    <x v="0"/>
    <d v="2024-08-27T00:00:00"/>
    <d v="2024-10-02T00:00:00"/>
    <m/>
    <s v="BTL zdravotnická technika, a.s."/>
    <m/>
    <n v="1029700"/>
    <n v="1245937"/>
    <m/>
    <m/>
    <m/>
    <m/>
    <m/>
    <x v="2"/>
  </r>
  <r>
    <d v="2024-08-02T00:00:00"/>
    <s v="VZ-2024-000577"/>
    <x v="0"/>
    <s v="Spáčil O."/>
    <s v="Kučera"/>
    <x v="341"/>
    <m/>
    <m/>
    <s v="zrušeno"/>
    <s v="45215100-8"/>
    <s v="1.2.114."/>
    <n v="75000000"/>
    <x v="2"/>
    <d v="2024-08-09T00:00:00"/>
    <d v="2024-08-30T00:00:00"/>
    <m/>
    <s v="zrušeno - oprava typu zadávacího řízení "/>
    <s v="nová VZ-2024-000631"/>
    <m/>
    <m/>
    <m/>
    <m/>
    <m/>
    <m/>
    <m/>
    <x v="2"/>
  </r>
  <r>
    <d v="2024-07-22T00:00:00"/>
    <s v="VZ-2024-000578"/>
    <x v="1"/>
    <s v="Vlčková"/>
    <s v="Hašková"/>
    <x v="342"/>
    <m/>
    <m/>
    <s v="smlouva v kolečku"/>
    <s v="33693000-4"/>
    <m/>
    <n v="1692000"/>
    <x v="2"/>
    <d v="2024-07-30T00:00:00"/>
    <d v="2024-08-20T00:00:00"/>
    <d v="2024-09-27T00:00:00"/>
    <s v="Alliance Healthcare s.r.o."/>
    <m/>
    <n v="358140"/>
    <n v="401116.8"/>
    <m/>
    <m/>
    <m/>
    <d v="2024-09-27T00:00:00"/>
    <s v="SMLN-2024-617-100522"/>
    <x v="2"/>
  </r>
  <r>
    <d v="2024-07-23T00:00:00"/>
    <s v="VZ-2024-000581"/>
    <x v="1"/>
    <s v="Vlčková"/>
    <s v="Hašková"/>
    <x v="343"/>
    <m/>
    <m/>
    <s v="smlouva v kolečku"/>
    <s v="33610000-9"/>
    <m/>
    <n v="4050000"/>
    <x v="0"/>
    <d v="2024-07-30T00:00:00"/>
    <d v="2024-09-03T00:00:00"/>
    <d v="2024-09-27T00:00:00"/>
    <s v="Alliance Healthcare s.r.o."/>
    <m/>
    <n v="3972240"/>
    <n v="4448908.8"/>
    <m/>
    <m/>
    <m/>
    <d v="2024-09-27T00:00:00"/>
    <s v="SMLN-2024-617-100521"/>
    <x v="2"/>
  </r>
  <r>
    <d v="2024-07-29T00:00:00"/>
    <s v="VZ-2024-000582"/>
    <x v="13"/>
    <s v="Jeřábková"/>
    <s v="Staňková"/>
    <x v="344"/>
    <m/>
    <m/>
    <s v="podepsaná smlouva"/>
    <s v="79800000-2"/>
    <m/>
    <n v="830000"/>
    <x v="1"/>
    <d v="2024-08-05T00:00:00"/>
    <d v="2024-08-16T00:00:00"/>
    <d v="2024-08-22T00:00:00"/>
    <s v="TISKÁRNA . BUDÍK . GRAFIKA  s.r.o."/>
    <m/>
    <n v="502216.67"/>
    <n v="607682.17000000004"/>
    <m/>
    <m/>
    <m/>
    <d v="2024-08-22T00:00:00"/>
    <s v="SMLN-2024-617-100471"/>
    <x v="82"/>
  </r>
  <r>
    <d v="2024-07-24T00:00:00"/>
    <s v="VZ-2024-000583"/>
    <x v="5"/>
    <s v="Valtová"/>
    <s v="Zdražilová"/>
    <x v="345"/>
    <m/>
    <m/>
    <s v="smlouva v kolečku"/>
    <s v="33182210-4"/>
    <m/>
    <n v="4464285.5999999996"/>
    <x v="0"/>
    <d v="2024-07-26T00:00:00"/>
    <d v="2024-09-12T00:00:00"/>
    <d v="2024-09-30T00:00:00"/>
    <s v="Medtronic Czechia s.r.o."/>
    <m/>
    <n v="4464285.5999999996"/>
    <n v="4999999.87"/>
    <m/>
    <m/>
    <m/>
    <d v="2024-09-30T00:00:00"/>
    <s v="SMLN-2024-617-100525_x000a_SMLN-2024-614-100069_x000a_SMLN-2024-616-100066"/>
    <x v="2"/>
  </r>
  <r>
    <d v="2024-07-25T00:00:00"/>
    <s v="VZ-2024-000584"/>
    <x v="6"/>
    <s v="Kadlec"/>
    <s v="Staňková"/>
    <x v="346"/>
    <m/>
    <m/>
    <s v="podepsaná smlouva"/>
    <s v="45453000-7"/>
    <m/>
    <n v="650000"/>
    <x v="1"/>
    <d v="2024-07-29T00:00:00"/>
    <d v="2024-08-09T00:00:00"/>
    <d v="2024-08-20T00:00:00"/>
    <s v="POZEMSTAV Prostějov, a.s."/>
    <m/>
    <n v="492031.78"/>
    <n v="595358.44999999995"/>
    <m/>
    <m/>
    <m/>
    <d v="2024-08-20T00:00:00"/>
    <s v="SMLN-2024-618-100045"/>
    <x v="27"/>
  </r>
  <r>
    <d v="2024-08-01T00:00:00"/>
    <s v="VZ-2024-000585"/>
    <x v="4"/>
    <s v="Zdráhalová"/>
    <s v="Zdražilová"/>
    <x v="347"/>
    <m/>
    <m/>
    <s v="hodnocení"/>
    <s v="33141620-2, 33140000-3"/>
    <m/>
    <n v="3307000"/>
    <x v="0"/>
    <d v="2024-08-07T00:00:00"/>
    <d v="2024-09-12T00:00:00"/>
    <m/>
    <m/>
    <m/>
    <m/>
    <m/>
    <m/>
    <m/>
    <m/>
    <m/>
    <m/>
    <x v="2"/>
  </r>
  <r>
    <d v="2024-07-29T00:00:00"/>
    <s v="VZ-2024-000586"/>
    <x v="2"/>
    <s v="Skulová"/>
    <s v="Staňková"/>
    <x v="348"/>
    <m/>
    <m/>
    <s v="zrušeno"/>
    <s v="33170000-2"/>
    <s v="2.2.607"/>
    <n v="289900"/>
    <x v="1"/>
    <d v="2024-08-01T00:00:00"/>
    <d v="2024-08-19T00:00:00"/>
    <m/>
    <s v="zrušeno - špatně vyplněný krycí list"/>
    <s v="nová VZ-2024-000654"/>
    <m/>
    <m/>
    <m/>
    <m/>
    <m/>
    <m/>
    <m/>
    <x v="2"/>
  </r>
  <r>
    <d v="2024-08-01T00:00:00"/>
    <s v="VZ-2024-000593"/>
    <x v="1"/>
    <s v="Vondrková"/>
    <s v="Bodinková"/>
    <x v="349"/>
    <m/>
    <m/>
    <s v="zrušeno"/>
    <s v="33670000-7"/>
    <m/>
    <n v="479867310"/>
    <x v="0"/>
    <d v="2024-08-06T00:00:00"/>
    <d v="2024-10-14T00:00:00"/>
    <m/>
    <s v="zrušeno - bez nabídky"/>
    <m/>
    <m/>
    <m/>
    <m/>
    <m/>
    <m/>
    <m/>
    <m/>
    <x v="2"/>
  </r>
  <r>
    <d v="2024-08-03T00:00:00"/>
    <s v="VZ-2024-000595"/>
    <x v="4"/>
    <s v="Zdráhalová"/>
    <s v="Hašková"/>
    <x v="350"/>
    <m/>
    <m/>
    <s v="smlouva v kolečku"/>
    <s v="33140000-3"/>
    <m/>
    <n v="2524796"/>
    <x v="2"/>
    <d v="2024-08-19T00:00:00"/>
    <d v="2024-09-09T00:00:00"/>
    <d v="2024-10-01T00:00:00"/>
    <s v="Mölnlycko Health Care, s.r.o."/>
    <m/>
    <n v="2524796"/>
    <n v="2827771.52"/>
    <m/>
    <m/>
    <m/>
    <d v="2024-10-01T00:00:00"/>
    <s v="SMLN-2024-617-100535"/>
    <x v="2"/>
  </r>
  <r>
    <d v="2024-08-01T00:00:00"/>
    <s v="VZ-2024-000598"/>
    <x v="2"/>
    <s v="Skulová"/>
    <s v="Zdražilová"/>
    <x v="351"/>
    <m/>
    <m/>
    <s v="hodnocení"/>
    <s v="33150000-6"/>
    <s v="2.2.647."/>
    <n v="886334"/>
    <x v="0"/>
    <d v="2024-08-27T00:00:00"/>
    <d v="2024-10-01T00:00:00"/>
    <m/>
    <s v="BTL zdravotnická technika, a.s."/>
    <m/>
    <n v="886030"/>
    <n v="1072096.3"/>
    <m/>
    <m/>
    <m/>
    <m/>
    <m/>
    <x v="2"/>
  </r>
  <r>
    <d v="2024-08-01T00:00:00"/>
    <s v="VZ-2024-000599"/>
    <x v="2"/>
    <s v="Skulová"/>
    <s v="Štýbnarová"/>
    <x v="352"/>
    <m/>
    <m/>
    <s v="zrušeno"/>
    <s v="33100000-1"/>
    <s v="2.3.851."/>
    <n v="558500"/>
    <x v="1"/>
    <d v="2024-08-07T00:00:00"/>
    <d v="2024-08-19T00:00:00"/>
    <m/>
    <s v="zrušeno - špatně vyplnění KL"/>
    <s v="nová VZ-2024-000758"/>
    <m/>
    <m/>
    <m/>
    <m/>
    <m/>
    <m/>
    <m/>
    <x v="2"/>
  </r>
  <r>
    <d v="2024-08-01T00:00:00"/>
    <s v="VZ-2024-000600-01"/>
    <x v="2"/>
    <s v="Skulová"/>
    <s v="Zdražilová"/>
    <x v="353"/>
    <n v="1"/>
    <s v="UZV pro Radioologii"/>
    <s v="smlouva v kolečku"/>
    <s v="33112200-0"/>
    <s v="2.3.814."/>
    <n v="2960000"/>
    <x v="0"/>
    <d v="2024-08-12T00:00:00"/>
    <d v="2024-09-16T00:00:00"/>
    <d v="2024-10-15T00:00:00"/>
    <s v="NIMOTECH, s.r.o."/>
    <m/>
    <n v="2924913.44"/>
    <n v="3539145.26"/>
    <m/>
    <m/>
    <m/>
    <d v="2024-10-15T00:00:00"/>
    <s v="SMLN-2024-617-100561_x000a_SMLN-2024-612-100127"/>
    <x v="2"/>
  </r>
  <r>
    <d v="2024-08-01T00:00:00"/>
    <s v="VZ-2024-000600-02"/>
    <x v="2"/>
    <s v="Skulová"/>
    <s v="Zdražilová"/>
    <x v="353"/>
    <n v="2"/>
    <s v="UZV pro Neurologii"/>
    <s v="smlouva v kolečku"/>
    <s v="33112200-0"/>
    <s v="2.3.807."/>
    <n v="2060000"/>
    <x v="0"/>
    <d v="2024-08-12T00:00:00"/>
    <d v="2024-09-16T00:00:00"/>
    <d v="2024-10-15T00:00:00"/>
    <s v="Electric Medical Service, s.r.o."/>
    <m/>
    <n v="1956800"/>
    <n v="2367728"/>
    <m/>
    <m/>
    <m/>
    <d v="2024-10-15T00:00:00"/>
    <s v="SMLN-2024-617-100562_x000a_SMLN-2024-612-100128"/>
    <x v="2"/>
  </r>
  <r>
    <d v="2024-08-01T00:00:00"/>
    <s v="VZ-2024-000600-03"/>
    <x v="2"/>
    <s v="Skulová"/>
    <s v="Zdražilová"/>
    <x v="353"/>
    <n v="3"/>
    <s v="Bezdrátové  UZV"/>
    <s v="smlouva v kolečku"/>
    <s v="33112200-0"/>
    <s v="2.2.658, 2.2.637"/>
    <n v="529388"/>
    <x v="0"/>
    <d v="2024-08-12T00:00:00"/>
    <d v="2024-09-16T00:00:00"/>
    <d v="2024-10-15T00:00:00"/>
    <s v="Electric Medical Service, s.r.o."/>
    <m/>
    <n v="506800"/>
    <n v="613228"/>
    <m/>
    <m/>
    <m/>
    <d v="2024-10-15T00:00:00"/>
    <s v="SMLN-2024-617-100563_x000a_SMLN-2024-612-100129"/>
    <x v="2"/>
  </r>
  <r>
    <d v="2024-08-29T00:00:00"/>
    <s v="VZ-2024-000601-01"/>
    <x v="5"/>
    <s v="Dočkalová"/>
    <s v="Hašková"/>
    <x v="354"/>
    <n v="1"/>
    <s v="Podložky pod nemocné jednorázové I."/>
    <s v="vypsaná VZ"/>
    <s v="33141621-9, 33140000-3"/>
    <m/>
    <n v="203520"/>
    <x v="0"/>
    <d v="2024-09-03T00:00:00"/>
    <d v="2024-10-31T00:00:00"/>
    <m/>
    <m/>
    <m/>
    <m/>
    <m/>
    <m/>
    <m/>
    <m/>
    <m/>
    <m/>
    <x v="2"/>
  </r>
  <r>
    <d v="2024-08-29T00:00:00"/>
    <s v="VZ-2024-000601-02"/>
    <x v="5"/>
    <s v="Dočkalová"/>
    <s v="Hašková"/>
    <x v="354"/>
    <n v="2"/>
    <s v="Podložky pod nemocné jednorázové II."/>
    <s v="vypsaná VZ"/>
    <s v="33141621-9, 33140000-3"/>
    <m/>
    <n v="4336400"/>
    <x v="0"/>
    <d v="2024-09-03T00:00:00"/>
    <d v="2024-10-31T00:00:00"/>
    <m/>
    <m/>
    <m/>
    <m/>
    <m/>
    <m/>
    <m/>
    <m/>
    <m/>
    <m/>
    <x v="2"/>
  </r>
  <r>
    <d v="2024-08-01T00:00:00"/>
    <s v="VZ-2024-000602"/>
    <x v="2"/>
    <s v="Skulová"/>
    <s v="Zdražilová"/>
    <x v="355"/>
    <m/>
    <m/>
    <s v="hodnocení"/>
    <s v="38000000-5"/>
    <s v="2.2.558."/>
    <n v="4880880"/>
    <x v="0"/>
    <d v="2024-08-26T00:00:00"/>
    <d v="2024-09-30T00:00:00"/>
    <m/>
    <m/>
    <m/>
    <m/>
    <m/>
    <m/>
    <m/>
    <m/>
    <m/>
    <m/>
    <x v="2"/>
  </r>
  <r>
    <d v="2024-08-08T00:00:00"/>
    <s v="VZ-2024-000603-01"/>
    <x v="1"/>
    <s v="Vlčková"/>
    <s v="Bodinková"/>
    <x v="356"/>
    <n v="1"/>
    <s v="Koncentrovaný práškový přípravek s účinnou látkou bez obsahu chlóru "/>
    <s v="vypsaná VZ"/>
    <s v="33631600-8"/>
    <m/>
    <n v="136164"/>
    <x v="0"/>
    <d v="2024-09-04T00:00:00"/>
    <d v="2024-11-01T00:00:00"/>
    <m/>
    <m/>
    <m/>
    <m/>
    <m/>
    <m/>
    <m/>
    <m/>
    <m/>
    <m/>
    <x v="2"/>
  </r>
  <r>
    <d v="2024-08-08T00:00:00"/>
    <s v="VZ-2024-000603-02"/>
    <x v="1"/>
    <s v="Vlčková"/>
    <s v="Bodinková"/>
    <x v="356"/>
    <n v="2"/>
    <s v="Dezinfekční přípravek s obsahem chlóru ve formě tablet"/>
    <s v="vypsaná VZ"/>
    <s v="33631600-8"/>
    <m/>
    <n v="26400"/>
    <x v="0"/>
    <d v="2024-09-04T00:00:00"/>
    <d v="2024-11-01T00:00:00"/>
    <m/>
    <m/>
    <m/>
    <m/>
    <m/>
    <m/>
    <m/>
    <m/>
    <m/>
    <m/>
    <x v="2"/>
  </r>
  <r>
    <d v="2024-08-08T00:00:00"/>
    <s v="VZ-2024-000603-03"/>
    <x v="1"/>
    <s v="Vlčková"/>
    <s v="Bodinková"/>
    <x v="356"/>
    <n v="3"/>
    <s v="Bezbarvý tekutý alkoholový dezinfekční přípravek k okamžitému použití k dezinfekci kůže před vpichem s obsahem chlorhexidinglukonátu do 1% a oxidativních látek  do 0,5%, bez obsahu jódu"/>
    <s v="vypsaná VZ"/>
    <s v="33631600-8"/>
    <m/>
    <n v="9100"/>
    <x v="0"/>
    <d v="2024-09-04T00:00:00"/>
    <d v="2024-11-01T00:00:00"/>
    <m/>
    <m/>
    <m/>
    <m/>
    <m/>
    <m/>
    <m/>
    <m/>
    <m/>
    <m/>
    <x v="2"/>
  </r>
  <r>
    <d v="2024-08-02T00:00:00"/>
    <s v="VZ-2024-000604-01"/>
    <x v="5"/>
    <s v="Valtová"/>
    <s v="Hašková"/>
    <x v="357"/>
    <n v="1"/>
    <s v="Pouzdra zaváděcí k vaskulárním intervencím"/>
    <s v="vypsaná VZ"/>
    <s v="33140000-3"/>
    <m/>
    <n v="2550636.5"/>
    <x v="0"/>
    <d v="2024-08-29T00:00:00"/>
    <d v="2024-10-29T00:00:00"/>
    <m/>
    <m/>
    <m/>
    <m/>
    <m/>
    <m/>
    <m/>
    <m/>
    <m/>
    <m/>
    <x v="2"/>
  </r>
  <r>
    <d v="2024-08-02T00:00:00"/>
    <s v="VZ-2024-000604-02"/>
    <x v="5"/>
    <s v="Valtová"/>
    <s v="Hašková"/>
    <x v="357"/>
    <n v="2"/>
    <s v="Speciální zaváděcí pouzdra k vaskulárním intervencím I."/>
    <s v="vypsaná VZ"/>
    <s v="33140000-3"/>
    <m/>
    <n v="3546792.4"/>
    <x v="0"/>
    <d v="2024-08-29T00:00:00"/>
    <d v="2024-10-29T00:00:00"/>
    <m/>
    <m/>
    <m/>
    <m/>
    <m/>
    <m/>
    <m/>
    <m/>
    <m/>
    <m/>
    <x v="2"/>
  </r>
  <r>
    <d v="2024-08-02T00:00:00"/>
    <s v="VZ-2024-000604-03"/>
    <x v="5"/>
    <s v="Valtová"/>
    <s v="Hašková"/>
    <x v="357"/>
    <n v="3"/>
    <s v="Speciální zaváděcí pouzdra k vaskulárním intervencím II."/>
    <s v="vypsaná VZ"/>
    <s v="33140000-3"/>
    <m/>
    <n v="69841.2"/>
    <x v="0"/>
    <d v="2024-08-29T00:00:00"/>
    <d v="2024-10-29T00:00:00"/>
    <m/>
    <m/>
    <m/>
    <m/>
    <m/>
    <m/>
    <m/>
    <m/>
    <m/>
    <m/>
    <x v="2"/>
  </r>
  <r>
    <d v="2024-08-02T00:00:00"/>
    <s v="VZ-2024-000604-04"/>
    <x v="5"/>
    <s v="Valtová"/>
    <s v="Hašková"/>
    <x v="357"/>
    <n v="4"/>
    <s v="Mikropunkční sety"/>
    <s v="vypsaná VZ"/>
    <s v="33140000-3"/>
    <m/>
    <n v="194400"/>
    <x v="0"/>
    <d v="2024-08-29T00:00:00"/>
    <d v="2024-10-29T00:00:00"/>
    <m/>
    <m/>
    <m/>
    <m/>
    <m/>
    <m/>
    <m/>
    <m/>
    <m/>
    <m/>
    <x v="2"/>
  </r>
  <r>
    <d v="2024-08-01T00:00:00"/>
    <s v="VZ-2024-000605"/>
    <x v="2"/>
    <s v="Skulová"/>
    <s v="Staňková"/>
    <x v="358"/>
    <m/>
    <m/>
    <s v="podepsaná smlouva"/>
    <s v="73100000-3"/>
    <m/>
    <n v="200000"/>
    <x v="1"/>
    <d v="2024-08-08T00:00:00"/>
    <d v="2024-08-19T00:00:00"/>
    <d v="2024-08-26T00:00:00"/>
    <s v="Univerzita Palackého v Olomouci"/>
    <m/>
    <n v="183233.16"/>
    <n v="221712.12"/>
    <m/>
    <m/>
    <m/>
    <d v="2024-08-26T00:00:00"/>
    <s v="SMLN-2024-612-100106"/>
    <x v="75"/>
  </r>
  <r>
    <d v="2024-08-02T00:00:00"/>
    <s v="VZ-2024-000606"/>
    <x v="5"/>
    <s v="Dočkalová"/>
    <s v="Štýbnarová"/>
    <x v="359"/>
    <m/>
    <m/>
    <s v="podepsaná smlouva"/>
    <s v="33692500-2, 33141310-6"/>
    <m/>
    <n v="1305650"/>
    <x v="1"/>
    <d v="2024-08-07T00:00:00"/>
    <d v="2024-08-19T00:00:00"/>
    <d v="2024-08-26T00:00:00"/>
    <s v="Olympus Czech Group, s.r.o., člen koncernu"/>
    <m/>
    <n v="1374336"/>
    <n v="1539256.3200000001"/>
    <m/>
    <m/>
    <m/>
    <d v="2024-08-26T00:00:00"/>
    <s v="SMLN-2024-617-100476"/>
    <x v="93"/>
  </r>
  <r>
    <d v="2024-08-20T00:00:00"/>
    <s v="VZ-2024-000607-01"/>
    <x v="5"/>
    <s v="Valtová"/>
    <s v="Hašková"/>
    <x v="360"/>
    <n v="1"/>
    <s v="Mikrokatétry neurointervenční IV."/>
    <s v="hodnocení"/>
    <s v="33140000-3"/>
    <m/>
    <n v="3469920"/>
    <x v="0"/>
    <d v="2024-08-28T00:00:00"/>
    <d v="2024-10-02T00:00:00"/>
    <m/>
    <m/>
    <m/>
    <m/>
    <m/>
    <m/>
    <m/>
    <m/>
    <m/>
    <m/>
    <x v="2"/>
  </r>
  <r>
    <d v="2024-08-20T00:00:00"/>
    <s v="VZ-2024-000607-02"/>
    <x v="5"/>
    <s v="Valtová"/>
    <s v="Hašková"/>
    <x v="360"/>
    <n v="2"/>
    <s v="Mikrokatétry neurointervenční V."/>
    <s v="hodnocení"/>
    <s v="33140000-3"/>
    <m/>
    <n v="904800"/>
    <x v="0"/>
    <d v="2024-08-28T00:00:00"/>
    <d v="2024-10-02T00:00:00"/>
    <m/>
    <m/>
    <m/>
    <m/>
    <m/>
    <m/>
    <m/>
    <m/>
    <m/>
    <m/>
    <x v="2"/>
  </r>
  <r>
    <d v="2024-08-20T00:00:00"/>
    <s v="VZ-2024-000607-03"/>
    <x v="5"/>
    <s v="Valtová"/>
    <s v="Hašková"/>
    <x v="360"/>
    <n v="3"/>
    <s v="Mikrokatétry neurointervenční VI."/>
    <s v="hodnocení"/>
    <s v="33140000-3"/>
    <m/>
    <n v="1156560"/>
    <x v="0"/>
    <d v="2024-08-28T00:00:00"/>
    <d v="2024-10-02T00:00:00"/>
    <m/>
    <m/>
    <m/>
    <m/>
    <m/>
    <m/>
    <m/>
    <m/>
    <m/>
    <m/>
    <x v="2"/>
  </r>
  <r>
    <d v="2024-09-09T00:00:00"/>
    <s v="VZ-2024-000608"/>
    <x v="1"/>
    <s v="Vondrková"/>
    <s v="Hašková"/>
    <x v="361"/>
    <m/>
    <m/>
    <s v="vypsaná VZ"/>
    <s v="33651200-0"/>
    <m/>
    <n v="2187457"/>
    <x v="0"/>
    <d v="2024-09-13T00:00:00"/>
    <d v="2024-10-18T00:00:00"/>
    <m/>
    <m/>
    <m/>
    <m/>
    <m/>
    <m/>
    <m/>
    <m/>
    <m/>
    <m/>
    <x v="2"/>
  </r>
  <r>
    <d v="2024-08-21T00:00:00"/>
    <s v="VZ-2024-000609"/>
    <x v="5"/>
    <s v="Valtová"/>
    <s v="Hašková"/>
    <x v="362"/>
    <m/>
    <m/>
    <s v="hodnocení"/>
    <s v="33140000-3"/>
    <m/>
    <n v="3306182"/>
    <x v="0"/>
    <d v="2024-08-28T00:00:00"/>
    <d v="2024-10-14T00:00:00"/>
    <m/>
    <m/>
    <m/>
    <m/>
    <m/>
    <m/>
    <m/>
    <m/>
    <m/>
    <m/>
    <x v="2"/>
  </r>
  <r>
    <d v="2024-08-21T00:00:00"/>
    <s v="VZ-2024-000611"/>
    <x v="5"/>
    <s v="Valtová"/>
    <s v="Zdražilová"/>
    <x v="363"/>
    <m/>
    <m/>
    <s v="vypsaná VZ"/>
    <s v="33140000-3"/>
    <m/>
    <n v="39203700"/>
    <x v="0"/>
    <d v="2024-09-04T00:00:00"/>
    <d v="2024-10-30T00:00:00"/>
    <m/>
    <m/>
    <m/>
    <m/>
    <m/>
    <m/>
    <m/>
    <m/>
    <m/>
    <m/>
    <x v="2"/>
  </r>
  <r>
    <d v="2024-08-19T00:00:00"/>
    <s v="VZ-2024-000612"/>
    <x v="8"/>
    <s v="Novák"/>
    <s v="Staňková"/>
    <x v="364"/>
    <m/>
    <m/>
    <s v="podepsaná smlouva"/>
    <s v="33194100-7"/>
    <m/>
    <n v="516396"/>
    <x v="1"/>
    <d v="2024-08-22T00:00:00"/>
    <d v="2024-09-02T00:00:00"/>
    <d v="2024-09-03T00:00:00"/>
    <s v="B. Braun Medical s.r.o."/>
    <m/>
    <n v="516396"/>
    <n v="624839.16"/>
    <m/>
    <m/>
    <m/>
    <d v="2024-09-03T00:00:00"/>
    <s v="SMLN-2024-617-100487"/>
    <x v="45"/>
  </r>
  <r>
    <d v="2024-08-19T00:00:00"/>
    <s v="VZ-2024-000613"/>
    <x v="2"/>
    <s v="Skulová"/>
    <s v="Štýbnarová"/>
    <x v="365"/>
    <m/>
    <m/>
    <s v="zrušeno"/>
    <s v="38000000-5"/>
    <s v="2.3.809."/>
    <n v="220000"/>
    <x v="1"/>
    <d v="2024-08-23T00:00:00"/>
    <d v="2024-09-03T00:00:00"/>
    <m/>
    <s v="zrušeno "/>
    <s v="nová VZ-2024-000759"/>
    <m/>
    <m/>
    <m/>
    <m/>
    <m/>
    <m/>
    <m/>
    <x v="2"/>
  </r>
  <r>
    <d v="2024-08-09T00:00:00"/>
    <s v="VZ-2024-000614"/>
    <x v="1"/>
    <s v="Vlčková"/>
    <s v="Bodinková"/>
    <x v="366"/>
    <m/>
    <m/>
    <s v="hodnocení"/>
    <s v="09343000-5"/>
    <m/>
    <n v="1617724"/>
    <x v="0"/>
    <d v="2024-08-19T00:00:00"/>
    <d v="2024-09-23T00:00:00"/>
    <m/>
    <m/>
    <m/>
    <m/>
    <m/>
    <m/>
    <m/>
    <m/>
    <m/>
    <m/>
    <x v="2"/>
  </r>
  <r>
    <d v="2024-08-08T00:00:00"/>
    <s v="VZ-2024-000615"/>
    <x v="1"/>
    <s v="Vondrková"/>
    <s v="Bodinková"/>
    <x v="367"/>
    <m/>
    <m/>
    <s v="hodnocení"/>
    <s v="33652000-5"/>
    <m/>
    <n v="4963290"/>
    <x v="0"/>
    <d v="2024-08-26T00:00:00"/>
    <d v="2024-09-30T00:00:00"/>
    <m/>
    <m/>
    <m/>
    <m/>
    <m/>
    <m/>
    <m/>
    <m/>
    <m/>
    <m/>
    <x v="2"/>
  </r>
  <r>
    <d v="2024-08-08T00:00:00"/>
    <s v="VZ-2024-000616-01"/>
    <x v="1"/>
    <s v="Vlčková"/>
    <s v="Bodinková"/>
    <x v="368"/>
    <n v="1"/>
    <s v="TOPIRAMAT"/>
    <s v="zrušeno"/>
    <s v="33661300-4"/>
    <m/>
    <n v="424500"/>
    <x v="0"/>
    <d v="2024-08-19T00:00:00"/>
    <d v="2024-09-30T00:00:00"/>
    <m/>
    <s v="zrušeno - bez nabídky"/>
    <m/>
    <m/>
    <m/>
    <m/>
    <m/>
    <m/>
    <m/>
    <m/>
    <x v="2"/>
  </r>
  <r>
    <d v="2024-08-08T00:00:00"/>
    <s v="VZ-2024-000616-02"/>
    <x v="1"/>
    <s v="Vlčková"/>
    <s v="Bodinková"/>
    <x v="368"/>
    <n v="2"/>
    <s v="LAKOSAMID"/>
    <s v="zrušeno"/>
    <s v="33661300-4"/>
    <m/>
    <n v="1688721"/>
    <x v="0"/>
    <d v="2024-08-19T00:00:00"/>
    <d v="2024-09-30T00:00:00"/>
    <m/>
    <s v="zrušeno - bez nabídky"/>
    <m/>
    <m/>
    <m/>
    <m/>
    <m/>
    <m/>
    <m/>
    <m/>
    <x v="2"/>
  </r>
  <r>
    <d v="2024-08-08T00:00:00"/>
    <s v="VZ-2024-000616-03"/>
    <x v="1"/>
    <s v="Vlčková"/>
    <s v="Bodinková"/>
    <x v="368"/>
    <n v="3"/>
    <s v="LAKOSAMID II"/>
    <s v="hodnocení"/>
    <s v="33661300-4"/>
    <m/>
    <n v="100140"/>
    <x v="0"/>
    <d v="2024-08-19T00:00:00"/>
    <d v="2024-09-30T00:00:00"/>
    <m/>
    <s v="PHOENIX lék. velkoobchod, s.r.o."/>
    <m/>
    <n v="96772.29"/>
    <n v="108384.96000000001"/>
    <m/>
    <m/>
    <m/>
    <m/>
    <m/>
    <x v="2"/>
  </r>
  <r>
    <d v="2024-08-26T00:00:00"/>
    <s v="VZ-2024-000617"/>
    <x v="3"/>
    <s v="Zemánková"/>
    <s v="Bodinková"/>
    <x v="369"/>
    <m/>
    <m/>
    <s v="hodnocení"/>
    <s v="33694000-1, 38434000-6"/>
    <s v="2.4.254"/>
    <n v="9048000"/>
    <x v="4"/>
    <d v="2024-09-04T00:00:00"/>
    <d v="2024-10-03T00:00:00"/>
    <m/>
    <m/>
    <m/>
    <m/>
    <m/>
    <m/>
    <m/>
    <m/>
    <m/>
    <m/>
    <x v="2"/>
  </r>
  <r>
    <d v="2024-08-19T00:00:00"/>
    <s v="VZ-2024-000618"/>
    <x v="2"/>
    <s v="Skulová"/>
    <s v="Staňková"/>
    <x v="370"/>
    <m/>
    <m/>
    <s v="podepsaná smlouva"/>
    <s v="39711110-3"/>
    <s v="2.3.852, 2.3.853"/>
    <n v="170000"/>
    <x v="1"/>
    <d v="2024-08-23T00:00:00"/>
    <d v="2024-09-03T00:00:00"/>
    <d v="2024-09-06T00:00:00"/>
    <s v="Unimed Praha  s.r.o."/>
    <m/>
    <n v="133334"/>
    <n v="161334.14000000001"/>
    <m/>
    <m/>
    <m/>
    <d v="2024-09-06T00:00:00"/>
    <s v="SMLN-2024-617-100497_x000a_SMLN-2024-612-100110"/>
    <x v="94"/>
  </r>
  <r>
    <d v="2024-08-08T00:00:00"/>
    <s v="VZ-2024-000619"/>
    <x v="1"/>
    <s v="Vondrková"/>
    <s v="Bodinková"/>
    <x v="371"/>
    <m/>
    <m/>
    <s v="vypsaná VZ"/>
    <s v="33652100-6"/>
    <m/>
    <n v="2790000"/>
    <x v="0"/>
    <d v="2024-08-13T00:00:00"/>
    <d v="2024-12-04T00:00:00"/>
    <m/>
    <m/>
    <m/>
    <m/>
    <m/>
    <m/>
    <m/>
    <m/>
    <m/>
    <m/>
    <x v="2"/>
  </r>
  <r>
    <d v="2024-08-19T00:00:00"/>
    <s v="VZ-2024-000620"/>
    <x v="2"/>
    <s v="Skulová"/>
    <s v="Štýbnarová"/>
    <x v="372"/>
    <m/>
    <m/>
    <s v="zrušeno"/>
    <s v="33162000-3"/>
    <s v="2.2.659."/>
    <n v="116000"/>
    <x v="1"/>
    <d v="2024-08-23T00:00:00"/>
    <d v="2024-09-03T00:00:00"/>
    <m/>
    <s v="zrušeno - bez nabídky"/>
    <s v="nová VZ-2024-000692"/>
    <m/>
    <m/>
    <m/>
    <m/>
    <m/>
    <m/>
    <m/>
    <x v="2"/>
  </r>
  <r>
    <d v="2024-08-08T00:00:00"/>
    <s v="VZ-2024-000621"/>
    <x v="1"/>
    <s v="Vondrková"/>
    <s v="Bodinková"/>
    <x v="373"/>
    <m/>
    <m/>
    <s v="hodnocení"/>
    <s v="33662100-9"/>
    <m/>
    <n v="4512961"/>
    <x v="0"/>
    <d v="2024-08-26T00:00:00"/>
    <d v="2024-09-30T00:00:00"/>
    <m/>
    <s v="PHOENIX lék. velkoobchod, s.r.o."/>
    <m/>
    <n v="4483532.7"/>
    <n v="5021556.62"/>
    <m/>
    <m/>
    <m/>
    <m/>
    <m/>
    <x v="2"/>
  </r>
  <r>
    <d v="2024-08-09T00:00:00"/>
    <s v="VZ-2024-000622"/>
    <x v="1"/>
    <s v="Vlčková"/>
    <s v="Bodinková"/>
    <x v="374"/>
    <m/>
    <m/>
    <s v="vypsaná VZ"/>
    <s v="33652300-8"/>
    <m/>
    <n v="12842048"/>
    <x v="0"/>
    <d v="2024-08-26T00:00:00"/>
    <d v="2024-11-01T00:00:00"/>
    <m/>
    <m/>
    <m/>
    <m/>
    <m/>
    <m/>
    <m/>
    <m/>
    <m/>
    <m/>
    <x v="2"/>
  </r>
  <r>
    <d v="2024-08-21T00:00:00"/>
    <s v="VZ-2024-000623"/>
    <x v="4"/>
    <s v="Zdráhalová"/>
    <s v="Zdražilová"/>
    <x v="375"/>
    <m/>
    <m/>
    <s v="vypsaná VZ"/>
    <s v="33140000-3"/>
    <m/>
    <n v="2430000"/>
    <x v="0"/>
    <d v="2024-08-29T00:00:00"/>
    <d v="2024-10-17T00:00:00"/>
    <m/>
    <m/>
    <m/>
    <m/>
    <m/>
    <m/>
    <m/>
    <m/>
    <m/>
    <m/>
    <x v="2"/>
  </r>
  <r>
    <d v="2024-08-13T00:00:00"/>
    <s v="VZ-2024-000624"/>
    <x v="3"/>
    <s v="Zemánková"/>
    <s v="Bodinková"/>
    <x v="376"/>
    <m/>
    <m/>
    <s v="podepsaná smlouva"/>
    <s v="33694000-1,38434000-6"/>
    <m/>
    <n v="8454850"/>
    <x v="4"/>
    <d v="2024-08-26T00:00:00"/>
    <d v="2024-09-06T00:00:00"/>
    <d v="2024-09-25T00:00:00"/>
    <s v="_x0009_&quot;APR&quot; spol. s r.o."/>
    <m/>
    <n v="6501000"/>
    <n v="7281120"/>
    <m/>
    <m/>
    <m/>
    <d v="2024-09-25T00:00:00"/>
    <s v="SMLN-2024-617-100519_x000a_SMLN-2024-616-100065"/>
    <x v="68"/>
  </r>
  <r>
    <s v="VZ-2024-000426"/>
    <s v="VZ-2024-000626"/>
    <x v="1"/>
    <s v="Vondrková"/>
    <s v="Bodinková"/>
    <x v="377"/>
    <m/>
    <m/>
    <s v="hodnocení"/>
    <s v="33652300-8"/>
    <m/>
    <n v="15562500"/>
    <x v="0"/>
    <d v="2024-08-26T00:00:00"/>
    <d v="2024-09-30T00:00:00"/>
    <m/>
    <m/>
    <m/>
    <m/>
    <m/>
    <m/>
    <m/>
    <m/>
    <m/>
    <m/>
    <x v="2"/>
  </r>
  <r>
    <d v="2024-08-13T00:00:00"/>
    <s v="VZ-2024-000628"/>
    <x v="1"/>
    <s v="Vondrková"/>
    <s v="Bodinková"/>
    <x v="378"/>
    <m/>
    <m/>
    <s v="smlouva v kolečku"/>
    <s v="09343000-5"/>
    <m/>
    <n v="11778125"/>
    <x v="4"/>
    <d v="2024-08-30T00:00:00"/>
    <d v="2024-09-16T00:00:00"/>
    <d v="2024-10-10T00:00:00"/>
    <s v="M.G.P. spol. s r.o."/>
    <m/>
    <n v="11778124.800000001"/>
    <n v="13191499.779999999"/>
    <m/>
    <m/>
    <m/>
    <d v="2024-10-10T00:00:00"/>
    <s v="SMLN-2024-617-100552"/>
    <x v="2"/>
  </r>
  <r>
    <d v="2024-08-19T00:00:00"/>
    <s v="VZ-2024-000629"/>
    <x v="6"/>
    <s v="Srovnal"/>
    <s v="Kučera"/>
    <x v="379"/>
    <m/>
    <m/>
    <s v="hodnocení"/>
    <s v="50711000-2"/>
    <m/>
    <n v="3600000"/>
    <x v="0"/>
    <d v="2024-09-03T00:00:00"/>
    <d v="2024-10-08T00:00:00"/>
    <m/>
    <m/>
    <m/>
    <m/>
    <m/>
    <m/>
    <m/>
    <m/>
    <m/>
    <m/>
    <x v="2"/>
  </r>
  <r>
    <d v="2024-09-12T00:00:00"/>
    <s v="VZ-2024-000630"/>
    <x v="13"/>
    <s v="Hrabálek"/>
    <s v="Štýbnarová"/>
    <x v="380"/>
    <m/>
    <m/>
    <s v="smlouva v kolečku"/>
    <s v="55120000-7, 55110000-4"/>
    <m/>
    <n v="1000000"/>
    <x v="1"/>
    <d v="2024-09-13T00:00:00"/>
    <d v="2024-09-24T00:00:00"/>
    <d v="2024-09-27T00:00:00"/>
    <s v="CENTRAL PARK FLORA s.r.o."/>
    <m/>
    <n v="375163.65"/>
    <n v="430450"/>
    <m/>
    <m/>
    <m/>
    <d v="2024-09-27T00:00:00"/>
    <s v="SMLN-2024-612-100117"/>
    <x v="2"/>
  </r>
  <r>
    <d v="2024-08-14T00:00:00"/>
    <s v="VZ-2024-000631"/>
    <x v="0"/>
    <s v="Spáčil O."/>
    <s v="Kučera"/>
    <x v="381"/>
    <m/>
    <m/>
    <s v="smlouva v kolečku"/>
    <s v="45215100-8"/>
    <s v="1.2.114."/>
    <n v="75000000"/>
    <x v="0"/>
    <d v="2024-08-14T00:00:00"/>
    <d v="2024-09-30T00:00:00"/>
    <d v="2024-10-15T00:00:00"/>
    <s v="OHLA ŽS, a.s."/>
    <m/>
    <n v="99611408.659999996"/>
    <n v="120529804.48"/>
    <m/>
    <m/>
    <m/>
    <d v="2024-10-15T00:00:00"/>
    <s v="SMLN-2024-618-100059"/>
    <x v="2"/>
  </r>
  <r>
    <d v="2024-09-20T00:00:00"/>
    <s v="VZ-2024-000632"/>
    <x v="6"/>
    <s v="Srovnal"/>
    <s v="Kučera"/>
    <x v="382"/>
    <m/>
    <m/>
    <s v="hodnocení"/>
    <s v="45453100-8"/>
    <m/>
    <n v="9500000"/>
    <x v="2"/>
    <d v="2024-09-24T00:00:00"/>
    <d v="2024-10-11T00:00:00"/>
    <m/>
    <m/>
    <m/>
    <m/>
    <m/>
    <m/>
    <m/>
    <m/>
    <m/>
    <m/>
    <x v="2"/>
  </r>
  <r>
    <d v="2024-08-15T00:00:00"/>
    <s v="VZ-2024-000635"/>
    <x v="6"/>
    <s v="Kadlec"/>
    <s v="Staňková"/>
    <x v="383"/>
    <m/>
    <m/>
    <s v="smlouva v kolečku"/>
    <s v="45111100-9"/>
    <m/>
    <n v="750000"/>
    <x v="1"/>
    <d v="2024-08-21T00:00:00"/>
    <d v="2024-09-02T00:00:00"/>
    <d v="2024-10-08T00:00:00"/>
    <s v="Stavby Střechy Komíny s.r.o."/>
    <m/>
    <n v="1202647.8"/>
    <n v="1455203.84"/>
    <m/>
    <m/>
    <m/>
    <d v="2024-10-08T00:00:00"/>
    <s v="SMLN-2024-618-100056"/>
    <x v="2"/>
  </r>
  <r>
    <d v="2024-08-19T00:00:00"/>
    <s v="VZ-2024-000636"/>
    <x v="8"/>
    <s v="Novák"/>
    <s v="Zdražilová"/>
    <x v="384"/>
    <m/>
    <m/>
    <s v="hodnocení"/>
    <s v="33192000-2"/>
    <m/>
    <n v="2000000"/>
    <x v="0"/>
    <d v="2024-09-04T00:00:00"/>
    <d v="2024-10-09T00:00:00"/>
    <m/>
    <m/>
    <m/>
    <m/>
    <m/>
    <m/>
    <m/>
    <m/>
    <m/>
    <m/>
    <x v="2"/>
  </r>
  <r>
    <d v="2024-08-19T00:00:00"/>
    <s v="VZ-2024-000637"/>
    <x v="8"/>
    <s v="Novák"/>
    <s v="Zdražilová"/>
    <x v="385"/>
    <m/>
    <m/>
    <s v="vypsaná VZ"/>
    <s v="33192300-5"/>
    <m/>
    <n v="2160000"/>
    <x v="0"/>
    <d v="2024-09-05T00:00:00"/>
    <d v="2024-11-07T00:00:00"/>
    <m/>
    <m/>
    <m/>
    <m/>
    <m/>
    <m/>
    <m/>
    <m/>
    <m/>
    <m/>
    <x v="2"/>
  </r>
  <r>
    <d v="2024-08-20T00:00:00"/>
    <s v="VZ-2024-000638"/>
    <x v="2"/>
    <s v="Skulová"/>
    <s v="Zdražilová"/>
    <x v="386"/>
    <m/>
    <m/>
    <s v="smlouva v kolečku"/>
    <s v="33124120-2"/>
    <s v="2.2.652."/>
    <n v="307920"/>
    <x v="0"/>
    <d v="2024-08-26T00:00:00"/>
    <d v="2024-09-30T00:00:00"/>
    <d v="2024-10-15T00:00:00"/>
    <s v="Electric Medical Service, s.r.o."/>
    <m/>
    <n v="293700"/>
    <n v="355377"/>
    <m/>
    <m/>
    <m/>
    <d v="2024-10-15T00:00:00"/>
    <s v="SMLN-2024-617-100564_x000a_SMLN-2024-612-100130"/>
    <x v="2"/>
  </r>
  <r>
    <d v="2024-08-16T00:00:00"/>
    <s v="SFTL"/>
    <x v="1"/>
    <s v="Běhal"/>
    <s v="Bodinková"/>
    <x v="387"/>
    <m/>
    <m/>
    <s v="hodnocení"/>
    <s v="33600000-6"/>
    <m/>
    <n v="720000000"/>
    <x v="3"/>
    <d v="2024-08-29T00:00:00"/>
    <d v="2024-10-01T00:00:00"/>
    <d v="2024-10-14T00:00:00"/>
    <s v="9 dodavatelů"/>
    <m/>
    <m/>
    <m/>
    <m/>
    <m/>
    <m/>
    <m/>
    <m/>
    <x v="2"/>
  </r>
  <r>
    <d v="2024-08-21T00:00:00"/>
    <s v="VZ-2024-000643"/>
    <x v="0"/>
    <s v="Spáčil O."/>
    <s v="Staňková"/>
    <x v="388"/>
    <m/>
    <m/>
    <s v="podepsaná smlouva"/>
    <s v="71318000-0"/>
    <m/>
    <n v="944400"/>
    <x v="1"/>
    <d v="2024-08-28T00:00:00"/>
    <d v="2024-09-09T00:00:00"/>
    <d v="2024-09-19T00:00:00"/>
    <s v="Ing. Martin Řezáč"/>
    <m/>
    <n v="512400"/>
    <n v="512400"/>
    <m/>
    <m/>
    <m/>
    <d v="2024-09-19T00:00:00"/>
    <s v="SMLN-2024-612-100116"/>
    <x v="103"/>
  </r>
  <r>
    <d v="2024-08-21T00:00:00"/>
    <s v="VZ-2024-000645"/>
    <x v="1"/>
    <s v="Vondrková"/>
    <s v="Bodinková"/>
    <x v="389"/>
    <m/>
    <m/>
    <s v="zrušeno"/>
    <s v="33651200-0"/>
    <m/>
    <n v="3540428"/>
    <x v="0"/>
    <d v="2024-07-28T00:00:00"/>
    <d v="2024-10-01T00:00:00"/>
    <m/>
    <s v="zrušeno - bez nabídky"/>
    <m/>
    <m/>
    <m/>
    <m/>
    <m/>
    <m/>
    <m/>
    <m/>
    <x v="2"/>
  </r>
  <r>
    <d v="2024-09-02T00:00:00"/>
    <s v="VZ-2024-000648"/>
    <x v="2"/>
    <s v="Skulová"/>
    <s v="Zdražilová"/>
    <x v="390"/>
    <m/>
    <m/>
    <s v="vypsaná VZ"/>
    <s v="33158000-2"/>
    <s v="2.2.651"/>
    <n v="1580000"/>
    <x v="0"/>
    <d v="2024-09-30T00:00:00"/>
    <d v="2024-11-05T00:00:00"/>
    <m/>
    <m/>
    <m/>
    <m/>
    <m/>
    <m/>
    <m/>
    <m/>
    <m/>
    <m/>
    <x v="2"/>
  </r>
  <r>
    <d v="2024-08-26T00:00:00"/>
    <s v="VZ-2024-000649"/>
    <x v="2"/>
    <s v="Skulová"/>
    <s v="Zdražilová"/>
    <x v="391"/>
    <m/>
    <m/>
    <s v="vypsaná VZ"/>
    <s v="33158000-2"/>
    <s v="2.3.846."/>
    <n v="4580000"/>
    <x v="0"/>
    <d v="2024-09-23T00:00:00"/>
    <d v="2024-10-29T00:00:00"/>
    <m/>
    <m/>
    <m/>
    <m/>
    <m/>
    <m/>
    <m/>
    <m/>
    <m/>
    <m/>
    <x v="2"/>
  </r>
  <r>
    <d v="2024-08-26T00:00:00"/>
    <s v="VZ-2024-000650"/>
    <x v="2"/>
    <s v="Skulová"/>
    <s v="Zdražilová"/>
    <x v="392"/>
    <m/>
    <m/>
    <s v="vypsaná VZ"/>
    <s v="33158000-2"/>
    <s v="2.3.845."/>
    <n v="4991039"/>
    <x v="0"/>
    <d v="2024-09-25T00:00:00"/>
    <d v="2024-10-31T00:00:00"/>
    <m/>
    <m/>
    <m/>
    <m/>
    <m/>
    <m/>
    <m/>
    <m/>
    <m/>
    <m/>
    <x v="2"/>
  </r>
  <r>
    <d v="2024-08-21T00:00:00"/>
    <s v="VZ-2024-000651"/>
    <x v="1"/>
    <s v="Vondrková"/>
    <s v="Bodinková"/>
    <x v="393"/>
    <m/>
    <m/>
    <s v="hodnocení"/>
    <s v="33615000-4"/>
    <m/>
    <n v="4720365"/>
    <x v="0"/>
    <d v="2024-08-27T00:00:00"/>
    <d v="2024-10-01T00:00:00"/>
    <s v="."/>
    <m/>
    <m/>
    <m/>
    <m/>
    <m/>
    <m/>
    <m/>
    <m/>
    <m/>
    <x v="2"/>
  </r>
  <r>
    <d v="2024-08-26T00:00:00"/>
    <s v="VZ-2024-000653"/>
    <x v="2"/>
    <s v="Skulová"/>
    <s v="Zdražilová"/>
    <x v="394"/>
    <m/>
    <m/>
    <s v="vypsaná VZ"/>
    <s v="33158000-2"/>
    <s v="2.3.844."/>
    <n v="4339000"/>
    <x v="0"/>
    <d v="2024-09-26T00:00:00"/>
    <d v="2024-11-01T00:00:00"/>
    <m/>
    <m/>
    <m/>
    <m/>
    <m/>
    <m/>
    <m/>
    <m/>
    <m/>
    <m/>
    <x v="2"/>
  </r>
  <r>
    <s v="VZ-2024-000586"/>
    <s v="VZ-2024-000654"/>
    <x v="2"/>
    <s v="Skulová"/>
    <s v="Staňková"/>
    <x v="395"/>
    <m/>
    <m/>
    <s v="podepsaná smlouva"/>
    <s v="33170000-2"/>
    <s v="2.2.607"/>
    <n v="258300"/>
    <x v="1"/>
    <d v="2024-08-26T00:00:00"/>
    <d v="2024-09-06T00:00:00"/>
    <d v="2024-09-12T00:00:00"/>
    <s v="medisap, s.r.o."/>
    <m/>
    <n v="258300"/>
    <n v="312543"/>
    <m/>
    <m/>
    <m/>
    <d v="2024-09-12T00:00:00"/>
    <s v="SMLN-2024-617-100503_x000a_SMLN-2024-612-100114"/>
    <x v="68"/>
  </r>
  <r>
    <d v="2024-08-26T00:00:00"/>
    <s v="VZ-2024-000655-01"/>
    <x v="2"/>
    <s v="Skulová"/>
    <s v="Hašková"/>
    <x v="396"/>
    <n v="1"/>
    <s v="Lehátka pro Kožní kliniku"/>
    <s v="zrušeno"/>
    <s v="33192160-1"/>
    <s v="2.2.660."/>
    <n v="142000"/>
    <x v="0"/>
    <d v="2024-09-06T00:00:00"/>
    <d v="2024-10-10T00:00:00"/>
    <m/>
    <s v="zrušeno - bez nabídky"/>
    <m/>
    <m/>
    <m/>
    <m/>
    <m/>
    <m/>
    <m/>
    <m/>
    <x v="2"/>
  </r>
  <r>
    <d v="2024-08-26T00:00:00"/>
    <s v="VZ-2024-000655-02"/>
    <x v="2"/>
    <s v="Skulová"/>
    <s v="Hašková"/>
    <x v="396"/>
    <n v="2"/>
    <s v="Lehátka pro URGENT"/>
    <s v="hodnocení"/>
    <s v="33192160-1"/>
    <s v="2.3.854."/>
    <n v="2046921"/>
    <x v="0"/>
    <d v="2024-09-06T00:00:00"/>
    <d v="2024-10-10T00:00:00"/>
    <m/>
    <m/>
    <m/>
    <m/>
    <m/>
    <m/>
    <m/>
    <m/>
    <m/>
    <m/>
    <x v="2"/>
  </r>
  <r>
    <d v="2024-08-22T00:00:00"/>
    <s v="VZ-2024-000656"/>
    <x v="5"/>
    <s v="Valtová"/>
    <s v="Zdražilová"/>
    <x v="397"/>
    <m/>
    <m/>
    <s v="hodnocení"/>
    <s v="33141750-2"/>
    <m/>
    <n v="7885385"/>
    <x v="0"/>
    <d v="2024-08-28T00:00:00"/>
    <d v="2024-10-02T00:00:00"/>
    <m/>
    <m/>
    <m/>
    <m/>
    <m/>
    <m/>
    <m/>
    <m/>
    <m/>
    <m/>
    <x v="2"/>
  </r>
  <r>
    <d v="2024-08-28T00:00:00"/>
    <s v="VZ-2024-000657"/>
    <x v="4"/>
    <s v="Zdráhalová"/>
    <s v="Hašková"/>
    <x v="398"/>
    <m/>
    <m/>
    <s v="hodnocení"/>
    <s v="33199000-1"/>
    <m/>
    <n v="2330180"/>
    <x v="0"/>
    <d v="2024-09-04T00:00:00"/>
    <d v="2024-10-14T00:00:00"/>
    <m/>
    <m/>
    <m/>
    <m/>
    <m/>
    <m/>
    <m/>
    <m/>
    <m/>
    <m/>
    <x v="2"/>
  </r>
  <r>
    <d v="2024-10-03T00:00:00"/>
    <s v="VZ-2024-000658"/>
    <x v="3"/>
    <s v="Ondráčková"/>
    <s v="Bodinková"/>
    <x v="399"/>
    <m/>
    <m/>
    <s v="ZD na podpis"/>
    <s v="33694000-1, 38434000-6"/>
    <s v="2.4.238"/>
    <n v="26892400"/>
    <x v="0"/>
    <m/>
    <m/>
    <m/>
    <m/>
    <m/>
    <m/>
    <m/>
    <m/>
    <m/>
    <m/>
    <m/>
    <m/>
    <x v="2"/>
  </r>
  <r>
    <s v="VZ-2024-000565"/>
    <s v="VZ-2024-000659"/>
    <x v="1"/>
    <s v="Vlčková"/>
    <s v="Bodinková"/>
    <x v="400"/>
    <m/>
    <m/>
    <s v="hodnocení"/>
    <s v="33622100-7"/>
    <m/>
    <n v="4651492"/>
    <x v="4"/>
    <d v="2024-09-12T00:00:00"/>
    <d v="2024-09-24T00:00:00"/>
    <m/>
    <m/>
    <m/>
    <m/>
    <m/>
    <m/>
    <m/>
    <m/>
    <m/>
    <m/>
    <x v="2"/>
  </r>
  <r>
    <d v="2024-10-15T00:00:00"/>
    <s v="VZ-2024-000660"/>
    <x v="3"/>
    <s v="Zemánková"/>
    <s v="Bodinková"/>
    <x v="401"/>
    <m/>
    <m/>
    <s v="připravuje se"/>
    <s v="33694000-1; 38434520-7; 38434000-6"/>
    <m/>
    <n v="4360800"/>
    <x v="0"/>
    <m/>
    <m/>
    <m/>
    <m/>
    <m/>
    <m/>
    <m/>
    <m/>
    <m/>
    <m/>
    <m/>
    <m/>
    <x v="2"/>
  </r>
  <r>
    <d v="2024-08-27T00:00:00"/>
    <s v="VZ-2024-000661-01"/>
    <x v="1"/>
    <s v="Vlčková"/>
    <s v="Štýbnarová"/>
    <x v="402"/>
    <n v="1"/>
    <s v="Sezónní OL proti chřipce tetravalentní, povrchový antigen, inaktivovaná"/>
    <s v="hodnocení"/>
    <s v="33651600-4"/>
    <m/>
    <n v="20475"/>
    <x v="1"/>
    <d v="2024-09-04T00:00:00"/>
    <d v="2024-10-14T00:00:00"/>
    <m/>
    <m/>
    <m/>
    <m/>
    <m/>
    <m/>
    <m/>
    <m/>
    <m/>
    <m/>
    <x v="2"/>
  </r>
  <r>
    <d v="2024-08-27T00:00:00"/>
    <s v="VZ-2024-000661-02"/>
    <x v="1"/>
    <s v="Vlčková"/>
    <s v="Štýbnarová"/>
    <x v="402"/>
    <n v="2"/>
    <s v="Sezónní OL proti chřipce tetravalentní,  štěpený virion, inaktivovaný"/>
    <s v="hodnocení"/>
    <s v="33651600-4"/>
    <m/>
    <n v="167888"/>
    <x v="1"/>
    <d v="2024-09-04T00:00:00"/>
    <d v="2024-10-14T00:00:00"/>
    <m/>
    <m/>
    <m/>
    <m/>
    <m/>
    <m/>
    <m/>
    <m/>
    <m/>
    <m/>
    <x v="2"/>
  </r>
  <r>
    <d v="2024-08-27T00:00:00"/>
    <s v="VZ-2024-000661-03"/>
    <x v="1"/>
    <s v="Vlčková"/>
    <s v="Štýbnarová"/>
    <x v="402"/>
    <n v="3"/>
    <s v="OL proti žluté zimnici"/>
    <s v="hodnocení"/>
    <s v="33651600-4"/>
    <m/>
    <n v="69300"/>
    <x v="1"/>
    <d v="2024-09-04T00:00:00"/>
    <d v="2024-10-14T00:00:00"/>
    <m/>
    <m/>
    <m/>
    <m/>
    <m/>
    <m/>
    <m/>
    <m/>
    <m/>
    <m/>
    <x v="2"/>
  </r>
  <r>
    <d v="2024-08-27T00:00:00"/>
    <s v="VZ-2024-000661-04"/>
    <x v="1"/>
    <s v="Vlčková"/>
    <s v="Štýbnarová"/>
    <x v="402"/>
    <n v="4"/>
    <s v="OL proti planým neštovicím I"/>
    <s v="hodnocení"/>
    <s v="33651600-4"/>
    <m/>
    <n v="43782"/>
    <x v="1"/>
    <d v="2024-09-04T00:00:00"/>
    <d v="2024-10-14T00:00:00"/>
    <m/>
    <m/>
    <m/>
    <m/>
    <m/>
    <m/>
    <m/>
    <m/>
    <m/>
    <m/>
    <x v="2"/>
  </r>
  <r>
    <d v="2024-08-27T00:00:00"/>
    <s v="VZ-2024-000661-05"/>
    <x v="1"/>
    <s v="Vlčková"/>
    <s v="Štýbnarová"/>
    <x v="402"/>
    <n v="5"/>
    <s v="OL proti planým neštovicím II"/>
    <s v="hodnocení"/>
    <s v="33651600-4"/>
    <m/>
    <n v="22008"/>
    <x v="1"/>
    <d v="2024-09-04T00:00:00"/>
    <d v="2024-10-14T00:00:00"/>
    <m/>
    <m/>
    <m/>
    <m/>
    <m/>
    <m/>
    <m/>
    <m/>
    <m/>
    <m/>
    <x v="2"/>
  </r>
  <r>
    <d v="2024-08-27T00:00:00"/>
    <s v="VZ-2024-000661-06"/>
    <x v="1"/>
    <s v="Vlčková"/>
    <s v="Štýbnarová"/>
    <x v="402"/>
    <n v="6"/>
    <s v="OL proti vzteklině"/>
    <s v="hodnocení"/>
    <s v="33651600-4"/>
    <m/>
    <n v="229878"/>
    <x v="1"/>
    <d v="2024-09-04T00:00:00"/>
    <d v="2024-10-14T00:00:00"/>
    <m/>
    <m/>
    <m/>
    <m/>
    <m/>
    <m/>
    <m/>
    <m/>
    <m/>
    <m/>
    <x v="2"/>
  </r>
  <r>
    <d v="2024-08-27T00:00:00"/>
    <s v="VZ-2024-000661-07"/>
    <x v="1"/>
    <s v="Vlčková"/>
    <s v="Štýbnarová"/>
    <x v="402"/>
    <n v="7"/>
    <s v="OL proti planým neštovicím III"/>
    <s v="hodnocení"/>
    <s v="33651600-4"/>
    <m/>
    <n v="245760"/>
    <x v="1"/>
    <d v="2024-09-04T00:00:00"/>
    <d v="2024-10-14T00:00:00"/>
    <m/>
    <m/>
    <m/>
    <m/>
    <m/>
    <m/>
    <m/>
    <m/>
    <m/>
    <m/>
    <x v="2"/>
  </r>
  <r>
    <s v="VZ-2024-000519"/>
    <s v="VZ-2024-000663"/>
    <x v="1"/>
    <s v="Vondrková"/>
    <s v="Siková"/>
    <x v="403"/>
    <m/>
    <m/>
    <s v="smlouva v kolečku"/>
    <s v="33652000-5"/>
    <m/>
    <n v="14429119"/>
    <x v="4"/>
    <d v="2024-09-12T00:00:00"/>
    <d v="2024-10-02T00:00:00"/>
    <d v="2024-10-14T00:00:00"/>
    <s v="ELI LILLY ČR, s.r.o."/>
    <m/>
    <n v="14429118.4"/>
    <n v="16160612.6"/>
    <m/>
    <m/>
    <m/>
    <d v="2024-10-14T00:00:00"/>
    <s v="SMLN-2024-617-100558"/>
    <x v="2"/>
  </r>
  <r>
    <s v="VZ-2024-000275"/>
    <s v="VZ-2024-000664"/>
    <x v="5"/>
    <s v="Valtová"/>
    <s v="Zdražilová"/>
    <x v="404"/>
    <m/>
    <m/>
    <s v="vypsaná VZ"/>
    <s v="33140000-3"/>
    <m/>
    <n v="29600000"/>
    <x v="0"/>
    <d v="2024-09-19T00:00:00"/>
    <d v="2024-10-24T00:00:00"/>
    <m/>
    <m/>
    <m/>
    <m/>
    <m/>
    <m/>
    <m/>
    <m/>
    <m/>
    <m/>
    <x v="2"/>
  </r>
  <r>
    <d v="2024-08-28T00:00:00"/>
    <s v="VZ-2024-000666-01"/>
    <x v="1"/>
    <s v="Vlčková"/>
    <s v="Štýbnarová"/>
    <x v="405"/>
    <n v="1"/>
    <s v="OL proti hepatitidě typu A, inaktivovaný celý virus, od 16 let_x000a_"/>
    <s v="smlouva v kolečku"/>
    <s v="33651600-4"/>
    <m/>
    <n v="243271"/>
    <x v="1"/>
    <d v="2024-09-04T00:00:00"/>
    <d v="2024-09-16T00:00:00"/>
    <d v="2024-10-01T00:00:00"/>
    <s v="PHOENIX lék. velkoobchod, s.r.o."/>
    <m/>
    <n v="241218"/>
    <n v="270164.15999999997"/>
    <m/>
    <m/>
    <m/>
    <d v="2024-10-01T00:00:00"/>
    <s v="SMLN-2024-617-100527"/>
    <x v="2"/>
  </r>
  <r>
    <d v="2024-08-28T00:00:00"/>
    <s v="VZ-2024-000666-02"/>
    <x v="1"/>
    <s v="Vlčková"/>
    <s v="Štýbnarová"/>
    <x v="405"/>
    <n v="2"/>
    <s v="OL proti hepatitidě typu A, inaktivovaný celý virus, od 1 roku_x000a_"/>
    <s v="smlouva v kolečku"/>
    <s v="33651600-4"/>
    <m/>
    <n v="42236"/>
    <x v="1"/>
    <d v="2024-09-04T00:00:00"/>
    <d v="2024-09-16T00:00:00"/>
    <d v="2024-10-01T00:00:00"/>
    <s v="PHOENIX lék. velkoobchod, s.r.o."/>
    <m/>
    <n v="41074.800000000003"/>
    <n v="46003.78"/>
    <m/>
    <m/>
    <m/>
    <d v="2024-10-01T00:00:00"/>
    <s v="SMLN-2024-617-100528"/>
    <x v="2"/>
  </r>
  <r>
    <d v="2024-08-28T00:00:00"/>
    <s v="VZ-2024-000666-03"/>
    <x v="1"/>
    <s v="Vlčková"/>
    <s v="Štýbnarová"/>
    <x v="405"/>
    <n v="3"/>
    <s v="Rekombinantní OL proti hepatitidě B, purifikovaný antigen, 0-15 let_x000a_"/>
    <s v="smlouva v kolečku"/>
    <s v="33651600-4"/>
    <m/>
    <n v="9312"/>
    <x v="1"/>
    <d v="2024-09-04T00:00:00"/>
    <d v="2024-09-16T00:00:00"/>
    <d v="2024-10-01T00:00:00"/>
    <s v="PHOENIX lék. velkoobchod, s.r.o."/>
    <m/>
    <n v="9302.4"/>
    <n v="10418.69"/>
    <m/>
    <m/>
    <m/>
    <d v="2024-10-01T00:00:00"/>
    <s v="SMLN-2024-617-100529"/>
    <x v="2"/>
  </r>
  <r>
    <d v="2024-08-28T00:00:00"/>
    <s v="VZ-2024-000666-04"/>
    <x v="1"/>
    <s v="Vlčková"/>
    <s v="Štýbnarová"/>
    <x v="405"/>
    <n v="4"/>
    <s v="Rekombinantní OL proti hepatitidě B, purifikovaný antigen, od 16 let _x000a_"/>
    <s v="smlouva v kolečku"/>
    <s v="33651600-4"/>
    <m/>
    <n v="26621"/>
    <x v="1"/>
    <d v="2024-09-04T00:00:00"/>
    <d v="2024-09-16T00:00:00"/>
    <d v="2024-10-01T00:00:00"/>
    <s v="PHOENIX lék. velkoobchod, s.r.o."/>
    <m/>
    <n v="26432.1"/>
    <n v="29603.95"/>
    <m/>
    <m/>
    <m/>
    <d v="2024-10-01T00:00:00"/>
    <s v="SMLN-2024-617-100530"/>
    <x v="2"/>
  </r>
  <r>
    <d v="2024-08-28T00:00:00"/>
    <s v="VZ-2024-000666-05"/>
    <x v="1"/>
    <s v="Vlčková"/>
    <s v="Štýbnarová"/>
    <x v="405"/>
    <n v="5"/>
    <s v="Kombinovaná OL proti hepatitidě A + B"/>
    <s v="smlouva v kolečku"/>
    <s v="33651600-4"/>
    <m/>
    <n v="79113"/>
    <x v="1"/>
    <d v="2024-09-04T00:00:00"/>
    <d v="2024-09-16T00:00:00"/>
    <d v="2024-10-01T00:00:00"/>
    <s v="PHOENIX lék. velkoobchod, s.r.o."/>
    <m/>
    <n v="78337.2"/>
    <n v="87737.66"/>
    <m/>
    <m/>
    <m/>
    <d v="2024-10-01T00:00:00"/>
    <s v="SMLN-2024-617-100531"/>
    <x v="2"/>
  </r>
  <r>
    <d v="2024-08-28T00:00:00"/>
    <s v="VZ-2024-000666-06"/>
    <x v="1"/>
    <s v="Vlčková"/>
    <s v="Štýbnarová"/>
    <x v="405"/>
    <n v="6"/>
    <s v="Živá OL proti rotavirům pentavalentní"/>
    <s v="smlouva v kolečku"/>
    <s v="33651600-4"/>
    <m/>
    <n v="19436"/>
    <x v="1"/>
    <d v="2024-09-04T00:00:00"/>
    <d v="2024-09-16T00:00:00"/>
    <d v="2024-10-01T00:00:00"/>
    <s v="PHOENIX lék. velkoobchod, s.r.o."/>
    <m/>
    <n v="19273.2"/>
    <n v="21585.98"/>
    <m/>
    <m/>
    <m/>
    <d v="2024-10-01T00:00:00"/>
    <s v="SMLN-2024-617-100532"/>
    <x v="2"/>
  </r>
  <r>
    <d v="2024-08-28T00:00:00"/>
    <s v="VZ-2024-000666-07"/>
    <x v="1"/>
    <s v="Vlčková"/>
    <s v="Štýbnarová"/>
    <x v="405"/>
    <n v="7"/>
    <s v="Živá OL proti rotavirům "/>
    <s v="smlouva v kolečku"/>
    <s v="33651600-4"/>
    <m/>
    <n v="207087"/>
    <x v="1"/>
    <d v="2024-09-04T00:00:00"/>
    <d v="2024-09-16T00:00:00"/>
    <d v="2024-10-01T00:00:00"/>
    <s v="PHOENIX lék. velkoobchod, s.r.o."/>
    <m/>
    <n v="200613.6"/>
    <n v="224687.23"/>
    <m/>
    <m/>
    <m/>
    <d v="2024-10-01T00:00:00"/>
    <s v="SMLN-2024-617-100533"/>
    <x v="2"/>
  </r>
  <r>
    <d v="2024-08-28T00:00:00"/>
    <s v="VZ-2024-000666-08"/>
    <x v="1"/>
    <s v="Vlčková"/>
    <s v="Štýbnarová"/>
    <x v="405"/>
    <n v="8"/>
    <s v="OL proti meningokokům skupin A, C, W-135, Y od 6 týdnů věku"/>
    <s v="smlouva v kolečku"/>
    <s v="33651600-4"/>
    <m/>
    <n v="173223"/>
    <x v="1"/>
    <d v="2024-09-04T00:00:00"/>
    <d v="2024-09-16T00:00:00"/>
    <d v="2024-10-01T00:00:00"/>
    <s v="PHOENIX lék. velkoobchod, s.r.o."/>
    <m/>
    <n v="168526.8"/>
    <n v="188750.02"/>
    <m/>
    <m/>
    <m/>
    <d v="2024-10-01T00:00:00"/>
    <s v="SMLN-2024-617-100534"/>
    <x v="2"/>
  </r>
  <r>
    <d v="2024-09-06T00:00:00"/>
    <s v="VZ-2024-000668"/>
    <x v="1"/>
    <s v="Vondrková"/>
    <s v="Hašková"/>
    <x v="406"/>
    <m/>
    <m/>
    <s v="vypsaná VZ"/>
    <s v="33695000-8"/>
    <m/>
    <n v="4644514"/>
    <x v="0"/>
    <d v="2024-09-24T00:00:00"/>
    <d v="2024-10-29T00:00:00"/>
    <m/>
    <m/>
    <m/>
    <m/>
    <m/>
    <m/>
    <m/>
    <m/>
    <m/>
    <m/>
    <x v="2"/>
  </r>
  <r>
    <d v="2024-09-13T00:00:00"/>
    <s v="VZ-2024-000669"/>
    <x v="1"/>
    <s v="Vlčková"/>
    <s v="Bodinková"/>
    <x v="407"/>
    <m/>
    <m/>
    <s v="připravuje se"/>
    <s v="09343000-5"/>
    <m/>
    <n v="1924890"/>
    <x v="0"/>
    <m/>
    <m/>
    <m/>
    <m/>
    <m/>
    <m/>
    <m/>
    <m/>
    <m/>
    <m/>
    <m/>
    <m/>
    <x v="2"/>
  </r>
  <r>
    <d v="2024-08-28T00:00:00"/>
    <s v="VZ-2024-000672"/>
    <x v="5"/>
    <s v="Valtová"/>
    <s v="Siková"/>
    <x v="408"/>
    <m/>
    <m/>
    <s v="vypsaná VZ"/>
    <s v="33140000-3"/>
    <m/>
    <n v="9624000"/>
    <x v="0"/>
    <d v="2024-09-16T00:00:00"/>
    <d v="2024-10-21T00:00:00"/>
    <m/>
    <m/>
    <m/>
    <m/>
    <m/>
    <m/>
    <m/>
    <m/>
    <m/>
    <m/>
    <x v="2"/>
  </r>
  <r>
    <d v="2024-08-29T00:00:00"/>
    <s v="VZ-2024-000673-01"/>
    <x v="5"/>
    <s v="Dočkalová"/>
    <s v="Zdražilová"/>
    <x v="409"/>
    <n v="1"/>
    <s v="Staplery lineární (Lineární katry) - s integrálním nožem ve stapleru"/>
    <s v="vypsaná VZ"/>
    <s v="33162200-5"/>
    <m/>
    <n v="2151303"/>
    <x v="0"/>
    <d v="2024-09-06T00:00:00"/>
    <d v="2024-10-24T00:00:00"/>
    <m/>
    <m/>
    <m/>
    <m/>
    <m/>
    <m/>
    <m/>
    <m/>
    <m/>
    <m/>
    <x v="2"/>
  </r>
  <r>
    <d v="2024-08-29T00:00:00"/>
    <s v="VZ-2024-000673-02"/>
    <x v="5"/>
    <s v="Dočkalová"/>
    <s v="Zdražilová"/>
    <x v="409"/>
    <n v="2"/>
    <s v="Staplery lineární (Lineární katry) - s nožem v zásobníku"/>
    <s v="vypsaná VZ"/>
    <s v="33162200-5"/>
    <m/>
    <n v="3371000"/>
    <x v="0"/>
    <d v="2024-09-06T00:00:00"/>
    <d v="2024-10-24T00:00:00"/>
    <m/>
    <m/>
    <m/>
    <m/>
    <m/>
    <m/>
    <m/>
    <m/>
    <m/>
    <m/>
    <x v="2"/>
  </r>
  <r>
    <d v="2024-08-29T00:00:00"/>
    <s v="VZ-2024-000673-03"/>
    <x v="5"/>
    <s v="Dočkalová"/>
    <s v="Zdražilová"/>
    <x v="409"/>
    <n v="3"/>
    <s v="Staplery lineární - s nožem - se zahnutou (okrouhlou) hlavou"/>
    <s v="vypsaná VZ"/>
    <s v="33162200-5"/>
    <m/>
    <n v="3658206"/>
    <x v="0"/>
    <d v="2024-09-06T00:00:00"/>
    <d v="2024-10-24T00:00:00"/>
    <m/>
    <m/>
    <m/>
    <m/>
    <m/>
    <m/>
    <m/>
    <m/>
    <m/>
    <m/>
    <x v="2"/>
  </r>
  <r>
    <d v="2024-08-29T00:00:00"/>
    <s v="VZ-2024-000673-04"/>
    <x v="5"/>
    <s v="Dočkalová"/>
    <s v="Zdražilová"/>
    <x v="409"/>
    <n v="4"/>
    <s v="Cirkulární staplery na operaci hemoroidů metodou dle Longa"/>
    <s v="vypsaná VZ"/>
    <s v="33162200-5"/>
    <m/>
    <n v="1510000"/>
    <x v="0"/>
    <d v="2024-09-06T00:00:00"/>
    <d v="2024-10-24T00:00:00"/>
    <m/>
    <m/>
    <m/>
    <m/>
    <m/>
    <m/>
    <m/>
    <m/>
    <m/>
    <m/>
    <x v="2"/>
  </r>
  <r>
    <d v="2024-09-06T00:00:00"/>
    <s v="VZ-2024-000674"/>
    <x v="1"/>
    <s v="Vondrková"/>
    <s v="Hašková"/>
    <x v="410"/>
    <m/>
    <m/>
    <s v="vypsaná VZ"/>
    <s v="33695000-8"/>
    <m/>
    <n v="6144133"/>
    <x v="0"/>
    <d v="2024-09-27T00:00:00"/>
    <d v="2024-11-01T00:00:00"/>
    <m/>
    <m/>
    <m/>
    <m/>
    <m/>
    <m/>
    <m/>
    <m/>
    <m/>
    <m/>
    <x v="2"/>
  </r>
  <r>
    <d v="2024-08-30T00:00:00"/>
    <s v="VZ-2024-000677-01"/>
    <x v="1"/>
    <s v="Vondrková"/>
    <s v="Bodinková"/>
    <x v="411"/>
    <n v="1"/>
    <s v="Speciální výživa pro nedonošence s hmotností do 1500g"/>
    <s v="hodnocení"/>
    <s v="15880000-0"/>
    <m/>
    <n v="22172"/>
    <x v="1"/>
    <d v="2024-09-17T00:00:00"/>
    <d v="2024-09-30T00:00:00"/>
    <m/>
    <m/>
    <m/>
    <m/>
    <m/>
    <m/>
    <m/>
    <m/>
    <m/>
    <m/>
    <x v="2"/>
  </r>
  <r>
    <d v="2024-08-30T00:00:00"/>
    <s v="VZ-2024-000677-02"/>
    <x v="1"/>
    <s v="Vondrková"/>
    <s v="Bodinková"/>
    <x v="411"/>
    <n v="2"/>
    <s v="Speciální výživa - doplněk k mateřskémumléku  pro děti s extrémně nízkou porodní váhou"/>
    <s v="hodnocení"/>
    <s v="15880000-0"/>
    <m/>
    <n v="94965"/>
    <x v="1"/>
    <d v="2024-09-17T00:00:00"/>
    <d v="2024-09-30T00:00:00"/>
    <m/>
    <m/>
    <m/>
    <m/>
    <m/>
    <m/>
    <m/>
    <m/>
    <m/>
    <m/>
    <x v="2"/>
  </r>
  <r>
    <d v="2024-08-30T00:00:00"/>
    <s v="VZ-2024-000677-03"/>
    <x v="1"/>
    <s v="Vondrková"/>
    <s v="Bodinková"/>
    <x v="411"/>
    <n v="3"/>
    <s v="Mléčná kojenecká výživa  pro děti ve věku 0-6 měsíců"/>
    <s v="hodnocení"/>
    <s v="15880000-0"/>
    <m/>
    <n v="97375"/>
    <x v="1"/>
    <d v="2024-09-17T00:00:00"/>
    <d v="2024-09-30T00:00:00"/>
    <m/>
    <m/>
    <m/>
    <m/>
    <m/>
    <m/>
    <m/>
    <m/>
    <m/>
    <m/>
    <x v="2"/>
  </r>
  <r>
    <d v="2024-09-02T00:00:00"/>
    <s v="VZ-2024-000678"/>
    <x v="6"/>
    <s v="Kadlec"/>
    <s v="Štýbnarová"/>
    <x v="412"/>
    <m/>
    <m/>
    <s v="podepsaná smlouva"/>
    <s v="45453000-7"/>
    <m/>
    <n v="900000"/>
    <x v="1"/>
    <d v="2024-09-03T00:00:00"/>
    <d v="2024-09-16T00:00:00"/>
    <d v="2024-09-30T00:00:00"/>
    <s v="Stavitelství Pospíšil s.r.o."/>
    <m/>
    <n v="740712"/>
    <n v="896261.52"/>
    <m/>
    <m/>
    <m/>
    <d v="2024-09-30T00:00:00"/>
    <s v="SMLN-2024-618-100054"/>
    <x v="95"/>
  </r>
  <r>
    <d v="2024-09-02T00:00:00"/>
    <s v="VZ-2024-000679-01"/>
    <x v="1"/>
    <s v="Vondrková"/>
    <s v="Bodinková"/>
    <x v="413"/>
    <n v="1"/>
    <s v="TADALAFIL u dospělých k léčbě PAH třídy II a III "/>
    <s v="vypsaná VZ"/>
    <s v="33641000-5"/>
    <m/>
    <n v="7484339"/>
    <x v="0"/>
    <d v="2024-10-04T00:00:00"/>
    <d v="2024-11-08T00:00:00"/>
    <m/>
    <m/>
    <m/>
    <m/>
    <m/>
    <m/>
    <m/>
    <m/>
    <m/>
    <m/>
    <x v="2"/>
  </r>
  <r>
    <d v="2024-09-02T00:00:00"/>
    <s v="VZ-2024-000679-02"/>
    <x v="1"/>
    <s v="Vondrková"/>
    <s v="Bodinková"/>
    <x v="413"/>
    <n v="2"/>
    <s v="TADALAFIL pro léčbu erektivní dysfunkce "/>
    <s v="připravuje se"/>
    <s v="33641000-5"/>
    <m/>
    <n v="1075113"/>
    <x v="0"/>
    <m/>
    <m/>
    <m/>
    <m/>
    <m/>
    <m/>
    <m/>
    <m/>
    <m/>
    <m/>
    <m/>
    <m/>
    <x v="2"/>
  </r>
  <r>
    <d v="2024-09-02T00:00:00"/>
    <s v="VZ-2024-000679-03"/>
    <x v="1"/>
    <s v="Vondrková"/>
    <s v="Bodinková"/>
    <x v="413"/>
    <n v="3"/>
    <s v="TADALAFIL  pro léčbu příznaků a symptomů benigní hyperplazie prostaty  "/>
    <s v="připravuje se"/>
    <s v="33641000-5"/>
    <m/>
    <n v="704683"/>
    <x v="0"/>
    <m/>
    <m/>
    <m/>
    <m/>
    <m/>
    <m/>
    <m/>
    <m/>
    <m/>
    <m/>
    <m/>
    <m/>
    <x v="2"/>
  </r>
  <r>
    <d v="2024-09-03T00:00:00"/>
    <s v="VZ-2024-000682"/>
    <x v="3"/>
    <s v="Zemánková"/>
    <s v="Bodinková"/>
    <x v="414"/>
    <m/>
    <m/>
    <s v="smlouva v kolečku"/>
    <s v="33694000-1"/>
    <m/>
    <n v="387600"/>
    <x v="4"/>
    <d v="2024-09-17T00:00:00"/>
    <d v="2024-10-01T00:00:00"/>
    <d v="2024-10-15T00:00:00"/>
    <s v="Merck Life Science spol.s  r.o."/>
    <m/>
    <n v="387600"/>
    <n v="468996"/>
    <m/>
    <m/>
    <m/>
    <d v="2024-10-15T00:00:00"/>
    <s v="SMLN-2024-617-100559"/>
    <x v="2"/>
  </r>
  <r>
    <d v="2024-09-06T00:00:00"/>
    <s v="VZ-2024-000685"/>
    <x v="1"/>
    <s v="Vondrková"/>
    <s v="Bodinková"/>
    <x v="415"/>
    <m/>
    <m/>
    <s v="připravuje se"/>
    <s v="33617000-8"/>
    <m/>
    <n v="11379403"/>
    <x v="0"/>
    <m/>
    <m/>
    <m/>
    <m/>
    <m/>
    <m/>
    <m/>
    <m/>
    <m/>
    <m/>
    <m/>
    <m/>
    <x v="2"/>
  </r>
  <r>
    <d v="2024-09-05T00:00:00"/>
    <s v="VZ-2024-000686"/>
    <x v="2"/>
    <s v="Skulová"/>
    <s v="Kučera"/>
    <x v="416"/>
    <m/>
    <m/>
    <s v="vypsaná VZ"/>
    <s v="33162100-4"/>
    <s v="2.2.604. 2.2.605."/>
    <n v="410800000"/>
    <x v="0"/>
    <d v="2024-10-03T00:00:00"/>
    <d v="2024-11-06T00:00:00"/>
    <m/>
    <m/>
    <m/>
    <m/>
    <m/>
    <m/>
    <m/>
    <m/>
    <m/>
    <m/>
    <x v="2"/>
  </r>
  <r>
    <d v="2024-09-06T00:00:00"/>
    <s v="VZ-2024-000687-01"/>
    <x v="1"/>
    <s v="Vlčková"/>
    <s v="Siková"/>
    <x v="417"/>
    <n v="1"/>
    <s v="Semaglutid - injekční roztok v předplněném peru"/>
    <s v="vypsaná VZ"/>
    <s v="33610000-9"/>
    <m/>
    <n v="3113607"/>
    <x v="0"/>
    <d v="2024-09-13T00:00:00"/>
    <d v="2024-10-21T00:00:00"/>
    <m/>
    <m/>
    <m/>
    <m/>
    <m/>
    <m/>
    <m/>
    <m/>
    <m/>
    <m/>
    <x v="2"/>
  </r>
  <r>
    <d v="2024-09-06T00:00:00"/>
    <s v="VZ-2024-000687-02"/>
    <x v="1"/>
    <s v="Vlčková"/>
    <s v="Siková"/>
    <x v="417"/>
    <n v="2"/>
    <s v="Semaglutid - tableta"/>
    <s v="vypsaná VZ"/>
    <s v="33610000-9"/>
    <m/>
    <n v="2160044"/>
    <x v="0"/>
    <d v="2024-09-13T00:00:00"/>
    <d v="2024-10-21T00:00:00"/>
    <m/>
    <m/>
    <m/>
    <m/>
    <m/>
    <m/>
    <m/>
    <m/>
    <m/>
    <m/>
    <x v="2"/>
  </r>
  <r>
    <s v="VZ-2024-000545"/>
    <s v="VZ-2024-000689"/>
    <x v="2"/>
    <s v="Skulová"/>
    <s v="Staňková"/>
    <x v="418"/>
    <m/>
    <m/>
    <s v="podepsaná smlouva"/>
    <s v="38000000-5"/>
    <s v="2.2.653."/>
    <n v="590000"/>
    <x v="1"/>
    <d v="2024-09-05T00:00:00"/>
    <d v="2024-09-23T00:00:00"/>
    <d v="2024-09-27T00:00:00"/>
    <s v="AQUA - CHEMIE, s.r.o."/>
    <m/>
    <n v="613622"/>
    <n v="742482.62"/>
    <m/>
    <m/>
    <m/>
    <d v="2024-09-27T00:00:00"/>
    <s v="SMLN-2024-617-100523_x000a_SMLN-2024-612-100118"/>
    <x v="95"/>
  </r>
  <r>
    <d v="2024-09-13T00:00:00"/>
    <s v="VZ-2024-000691-01"/>
    <x v="1"/>
    <s v="Vondrková"/>
    <s v="Siková"/>
    <x v="419"/>
    <n v="1"/>
    <s v="AFATINIB"/>
    <s v="vypsaná VZ"/>
    <s v="33652000-5"/>
    <m/>
    <n v="231373"/>
    <x v="0"/>
    <d v="2024-09-23T00:00:00"/>
    <d v="2024-10-29T00:00:00"/>
    <m/>
    <m/>
    <m/>
    <m/>
    <m/>
    <m/>
    <m/>
    <m/>
    <m/>
    <m/>
    <x v="2"/>
  </r>
  <r>
    <d v="2024-09-13T00:00:00"/>
    <s v="VZ-2024-000691-02"/>
    <x v="1"/>
    <s v="Vondrková"/>
    <s v="Siková"/>
    <x v="419"/>
    <n v="2"/>
    <s v="OSIMERTINIB"/>
    <s v="vypsaná VZ"/>
    <s v="33652000-5"/>
    <m/>
    <n v="135147299"/>
    <x v="0"/>
    <d v="2024-09-23T00:00:00"/>
    <d v="2024-10-29T00:00:00"/>
    <m/>
    <m/>
    <m/>
    <m/>
    <m/>
    <m/>
    <m/>
    <m/>
    <m/>
    <m/>
    <x v="2"/>
  </r>
  <r>
    <s v="VZ-2024-000620"/>
    <s v="VZ-2024-000692"/>
    <x v="2"/>
    <s v="Skulová"/>
    <s v="Štýbnarová"/>
    <x v="420"/>
    <m/>
    <m/>
    <s v="smlouva v kolečku"/>
    <s v="33162000-3"/>
    <s v="2.2.659."/>
    <n v="179000"/>
    <x v="1"/>
    <d v="2024-09-11T00:00:00"/>
    <d v="2024-09-23T00:00:00"/>
    <d v="2024-10-14T00:00:00"/>
    <s v="MAC´s MEDICAL CEE, s.r.o."/>
    <m/>
    <n v="150365"/>
    <n v="181941.65"/>
    <m/>
    <m/>
    <m/>
    <d v="2024-10-14T00:00:00"/>
    <s v="SMLN-2024-617-100556_x000a_SMLN-2024-612-100125"/>
    <x v="2"/>
  </r>
  <r>
    <d v="2024-09-09T00:00:00"/>
    <s v="VZ-2024-000694"/>
    <x v="2"/>
    <s v="Skulová"/>
    <s v="Zdražilová"/>
    <x v="421"/>
    <m/>
    <m/>
    <s v="připravuje se"/>
    <s v="33197000-7"/>
    <s v="2.3.829."/>
    <n v="3260000"/>
    <x v="0"/>
    <m/>
    <m/>
    <m/>
    <m/>
    <m/>
    <m/>
    <m/>
    <m/>
    <m/>
    <m/>
    <m/>
    <m/>
    <x v="2"/>
  </r>
  <r>
    <d v="2024-09-09T00:00:00"/>
    <s v="VZ-2024-000695"/>
    <x v="2"/>
    <s v="Skulová"/>
    <s v="Štýbnarová"/>
    <x v="422"/>
    <m/>
    <m/>
    <s v="podepsaná smlouva"/>
    <s v="38510000-3"/>
    <s v="2.2.661."/>
    <n v="156000"/>
    <x v="1"/>
    <d v="2024-09-11T00:00:00"/>
    <d v="2024-09-23T00:00:00"/>
    <d v="2024-10-03T00:00:00"/>
    <s v="Sven BioLabs s.r.o."/>
    <m/>
    <n v="156000"/>
    <n v="188760"/>
    <m/>
    <m/>
    <m/>
    <d v="2024-10-03T00:00:00"/>
    <s v="SMLN-2024-617-100537"/>
    <x v="95"/>
  </r>
  <r>
    <d v="2024-09-09T00:00:00"/>
    <s v="VZ-2024-000696"/>
    <x v="2"/>
    <s v="Skulová"/>
    <s v="Staňková"/>
    <x v="423"/>
    <m/>
    <m/>
    <s v="podepsaná smlouva"/>
    <s v="38000000-5"/>
    <s v="2.2.642"/>
    <n v="360000"/>
    <x v="1"/>
    <d v="2024-09-11T00:00:00"/>
    <d v="2024-09-23T00:00:00"/>
    <d v="2024-10-03T00:00:00"/>
    <s v="SYNPO, akciová společnost"/>
    <m/>
    <n v="310000"/>
    <n v="375100"/>
    <m/>
    <m/>
    <m/>
    <d v="2024-10-03T00:00:00"/>
    <s v="SMLN-2024-617-100538_x000a_SMLN-2024-612-100120"/>
    <x v="68"/>
  </r>
  <r>
    <d v="2024-09-09T00:00:00"/>
    <s v="VZ-2024-000697"/>
    <x v="2"/>
    <s v="Skulová"/>
    <s v="Štýbnarová"/>
    <x v="424"/>
    <m/>
    <m/>
    <s v="smlouva v kolečku"/>
    <s v="33121000-4"/>
    <s v="2.2.662."/>
    <n v="402000"/>
    <x v="1"/>
    <d v="2024-09-11T00:00:00"/>
    <d v="2024-09-23T00:00:00"/>
    <d v="2024-10-14T00:00:00"/>
    <s v="Medsol s.r.o."/>
    <m/>
    <n v="398544"/>
    <n v="482238.24"/>
    <m/>
    <m/>
    <m/>
    <d v="2024-10-14T00:00:00"/>
    <s v="SMLN-2024-617-100557_x000a_SMLN-2024-612-100126"/>
    <x v="2"/>
  </r>
  <r>
    <d v="2024-09-09T00:00:00"/>
    <s v="VZ-2024-000698"/>
    <x v="1"/>
    <s v="Vondrková"/>
    <s v="Siková"/>
    <x v="425"/>
    <m/>
    <m/>
    <s v="smlouva v kolečku"/>
    <s v="33652300-8"/>
    <m/>
    <n v="30457719"/>
    <x v="4"/>
    <d v="2024-09-12T00:00:00"/>
    <d v="2024-09-30T00:00:00"/>
    <d v="2024-10-15T00:00:00"/>
    <s v="Bristol-Myers Squibb spol. s r.o."/>
    <m/>
    <n v="30381761.640000001"/>
    <n v="34027573.039999999"/>
    <m/>
    <m/>
    <m/>
    <d v="2024-10-15T00:00:00"/>
    <s v="SMLN-2024-617-100560"/>
    <x v="2"/>
  </r>
  <r>
    <d v="2024-09-11T00:00:00"/>
    <s v="VZ-2024-000701"/>
    <x v="1"/>
    <s v="Vondrková"/>
    <s v="Hašková"/>
    <x v="426"/>
    <m/>
    <m/>
    <s v="hodnocení"/>
    <s v="33651200-0"/>
    <m/>
    <n v="6056285"/>
    <x v="4"/>
    <d v="2024-09-23T00:00:00"/>
    <d v="2024-10-04T00:00:00"/>
    <m/>
    <m/>
    <m/>
    <m/>
    <m/>
    <m/>
    <m/>
    <m/>
    <m/>
    <m/>
    <x v="2"/>
  </r>
  <r>
    <d v="2024-09-10T00:00:00"/>
    <s v="VZ-2024-000702"/>
    <x v="2"/>
    <s v="Skulová"/>
    <s v="Siková"/>
    <x v="427"/>
    <m/>
    <m/>
    <s v="vypsaná VZ"/>
    <s v="38432200-4"/>
    <s v="2.2.601. 2.3.856."/>
    <n v="17319800"/>
    <x v="0"/>
    <d v="2024-09-26T00:00:00"/>
    <d v="2024-11-01T00:00:00"/>
    <m/>
    <m/>
    <m/>
    <m/>
    <m/>
    <m/>
    <m/>
    <m/>
    <m/>
    <m/>
    <x v="2"/>
  </r>
  <r>
    <d v="2024-09-10T00:00:00"/>
    <s v="VZ-2024-000703-01"/>
    <x v="2"/>
    <s v="Skulová"/>
    <s v="Štýbnarová"/>
    <x v="428"/>
    <n v="1"/>
    <s v="Operační čelní světla pro ORL"/>
    <s v="hodnocení"/>
    <s v="33160000-9"/>
    <s v="2.3.855."/>
    <n v="148000"/>
    <x v="1"/>
    <d v="2024-09-13T00:00:00"/>
    <d v="2024-10-01T00:00:00"/>
    <m/>
    <m/>
    <m/>
    <m/>
    <m/>
    <m/>
    <m/>
    <m/>
    <m/>
    <m/>
    <x v="2"/>
  </r>
  <r>
    <d v="2024-09-10T00:00:00"/>
    <s v="VZ-2024-000703-02"/>
    <x v="2"/>
    <s v="Skulová"/>
    <s v="Štýbnarová"/>
    <x v="428"/>
    <n v="2"/>
    <s v="Operačí čelní světla pro KCHIR"/>
    <s v="hodnocení"/>
    <s v="33160000-9"/>
    <s v="2.3.662."/>
    <n v="210000"/>
    <x v="1"/>
    <d v="2024-09-13T00:00:00"/>
    <d v="2024-10-01T00:00:00"/>
    <m/>
    <m/>
    <m/>
    <m/>
    <m/>
    <m/>
    <m/>
    <m/>
    <m/>
    <m/>
    <x v="2"/>
  </r>
  <r>
    <d v="2024-09-10T00:00:00"/>
    <s v="VZ-2024-000704"/>
    <x v="2"/>
    <s v="Skulová"/>
    <s v="Staňková"/>
    <x v="429"/>
    <m/>
    <m/>
    <s v="zrušeno"/>
    <s v="33160000-9"/>
    <s v="2.3.665."/>
    <n v="215000"/>
    <x v="1"/>
    <d v="2024-09-13T00:00:00"/>
    <d v="2024-09-24T00:00:00"/>
    <m/>
    <s v="zrušeno - překročení ceny servisu"/>
    <s v="nová VZ-2024-000769"/>
    <m/>
    <m/>
    <m/>
    <m/>
    <m/>
    <m/>
    <m/>
    <x v="2"/>
  </r>
  <r>
    <d v="2024-09-10T00:00:00"/>
    <s v="VZ-2024-000705"/>
    <x v="2"/>
    <s v="Skulová"/>
    <s v="Zdražilová"/>
    <x v="430"/>
    <m/>
    <m/>
    <s v="vypsaná VZ"/>
    <s v="33100000-1"/>
    <s v="2.2.663."/>
    <n v="2442648.17"/>
    <x v="0"/>
    <d v="2024-09-16T00:00:00"/>
    <d v="2024-10-21T00:00:00"/>
    <m/>
    <m/>
    <m/>
    <m/>
    <m/>
    <m/>
    <m/>
    <m/>
    <m/>
    <m/>
    <x v="2"/>
  </r>
  <r>
    <d v="2024-09-10T00:00:00"/>
    <s v="VZ-2024-000706"/>
    <x v="6"/>
    <s v="Srovnal"/>
    <s v="Kučera"/>
    <x v="431"/>
    <m/>
    <m/>
    <s v="vypsaná VZ"/>
    <s v="42416100-6"/>
    <m/>
    <n v="2644480"/>
    <x v="0"/>
    <d v="2024-09-12T00:00:00"/>
    <d v="2024-10-17T00:00:00"/>
    <m/>
    <m/>
    <m/>
    <m/>
    <m/>
    <m/>
    <m/>
    <m/>
    <m/>
    <m/>
    <x v="2"/>
  </r>
  <r>
    <d v="2024-09-11T00:00:00"/>
    <s v="VZ-2024-000712"/>
    <x v="5"/>
    <s v="Dočkalová"/>
    <s v="Staňková"/>
    <x v="432"/>
    <m/>
    <m/>
    <s v="smlouva v kolečku"/>
    <s v="33141641-5, 33140000-3"/>
    <m/>
    <n v="1784680"/>
    <x v="1"/>
    <d v="2024-09-20T00:00:00"/>
    <d v="2024-10-01T00:00:00"/>
    <d v="2024-10-09T00:00:00"/>
    <s v="MGVIVA a.s."/>
    <m/>
    <n v="1784680"/>
    <n v="1998841.6"/>
    <m/>
    <m/>
    <m/>
    <d v="2024-10-09T00:00:00"/>
    <s v="SMLN-2024-617-100548"/>
    <x v="2"/>
  </r>
  <r>
    <d v="2024-09-13T00:00:00"/>
    <s v="VZ-2024-000714"/>
    <x v="1"/>
    <s v="Vlčková"/>
    <s v="Hašková"/>
    <x v="433"/>
    <m/>
    <m/>
    <s v="vypsaná VZ"/>
    <s v="33631600-8"/>
    <m/>
    <n v="669600"/>
    <x v="4"/>
    <d v="2024-10-02T00:00:00"/>
    <d v="2024-10-23T00:00:00"/>
    <m/>
    <m/>
    <m/>
    <m/>
    <m/>
    <m/>
    <m/>
    <m/>
    <m/>
    <m/>
    <x v="2"/>
  </r>
  <r>
    <d v="2024-09-12T00:00:00"/>
    <s v="VZ-2024-000715"/>
    <x v="2"/>
    <s v="Skulová"/>
    <s v="Staňková"/>
    <x v="434"/>
    <m/>
    <m/>
    <s v="zrušeno"/>
    <s v="33100000-1"/>
    <s v="2.2.666."/>
    <n v="271896"/>
    <x v="1"/>
    <d v="2024-09-13T00:00:00"/>
    <d v="2024-09-24T00:00:00"/>
    <m/>
    <s v="zrušeno - bez hodnotitelné nabídky"/>
    <s v="nová VZ-2024-000770"/>
    <m/>
    <m/>
    <m/>
    <m/>
    <m/>
    <m/>
    <m/>
    <x v="2"/>
  </r>
  <r>
    <d v="2024-09-11T00:00:00"/>
    <s v="VZ-2024-000716-01"/>
    <x v="2"/>
    <s v="Skulová"/>
    <s v="Zdražilová"/>
    <x v="435"/>
    <n v="1"/>
    <s v="Nástroje chirurgické - specifikováno dle katalogu Aesculap Surgical Instruments"/>
    <s v="vráceno k doplnění"/>
    <s v="33162000-3"/>
    <m/>
    <n v="5135600.4000000004"/>
    <x v="4"/>
    <m/>
    <m/>
    <m/>
    <m/>
    <m/>
    <m/>
    <m/>
    <m/>
    <m/>
    <m/>
    <m/>
    <m/>
    <x v="2"/>
  </r>
  <r>
    <d v="2024-09-11T00:00:00"/>
    <s v="VZ-2024-000716-02"/>
    <x v="2"/>
    <s v="Skulová"/>
    <s v="Zdražilová"/>
    <x v="435"/>
    <n v="2"/>
    <s v="Nástroje chirurgické - specifikováno dle katalogu MEDIN, a.s."/>
    <s v="vráceno k doplnění"/>
    <s v="33162000-3"/>
    <m/>
    <n v="153242.25"/>
    <x v="4"/>
    <m/>
    <m/>
    <m/>
    <m/>
    <m/>
    <m/>
    <m/>
    <m/>
    <m/>
    <m/>
    <m/>
    <m/>
    <x v="2"/>
  </r>
  <r>
    <d v="2024-09-11T00:00:00"/>
    <s v="VZ-2024-000716-03"/>
    <x v="2"/>
    <s v="Skulová"/>
    <s v="Zdražilová"/>
    <x v="435"/>
    <n v="3"/>
    <s v="Nástroje chirurgické - specifikováno dle katalogu OneVision"/>
    <s v="vráceno k doplnění"/>
    <s v="33162000-3"/>
    <m/>
    <n v="494186"/>
    <x v="4"/>
    <m/>
    <m/>
    <m/>
    <m/>
    <m/>
    <m/>
    <m/>
    <m/>
    <m/>
    <m/>
    <m/>
    <m/>
    <x v="2"/>
  </r>
  <r>
    <d v="2024-09-11T00:00:00"/>
    <s v="VZ-2024-000716-04"/>
    <x v="2"/>
    <s v="Skulová"/>
    <s v="Zdražilová"/>
    <x v="435"/>
    <n v="4"/>
    <s v="Nástroje chirurgické - specifikováno dle katalogu Geister"/>
    <s v="vráceno k doplnění"/>
    <s v="33162000-3"/>
    <m/>
    <n v="430363.64"/>
    <x v="4"/>
    <m/>
    <m/>
    <m/>
    <m/>
    <m/>
    <m/>
    <m/>
    <m/>
    <m/>
    <m/>
    <m/>
    <m/>
    <x v="2"/>
  </r>
  <r>
    <d v="2024-09-11T00:00:00"/>
    <s v="VZ-2024-000716-05"/>
    <x v="2"/>
    <s v="Skulová"/>
    <s v="Zdražilová"/>
    <x v="435"/>
    <n v="5"/>
    <s v="Nástroje chirurgické - specifikováno dle katalogu Delacroix-Chevalier"/>
    <s v="vráceno k doplnění"/>
    <s v="33162000-3"/>
    <m/>
    <n v="618000"/>
    <x v="4"/>
    <m/>
    <m/>
    <m/>
    <m/>
    <m/>
    <m/>
    <m/>
    <m/>
    <m/>
    <m/>
    <m/>
    <m/>
    <x v="2"/>
  </r>
  <r>
    <d v="2024-09-11T00:00:00"/>
    <s v="VZ-2024-000716-06"/>
    <x v="2"/>
    <s v="Skulová"/>
    <s v="Zdražilová"/>
    <x v="435"/>
    <n v="6"/>
    <s v="Nástroje chirurgické - specifikováno dle katalogu Scanlan"/>
    <s v="vráceno k doplnění"/>
    <s v="33162000-3"/>
    <m/>
    <n v="3636363.64"/>
    <x v="4"/>
    <m/>
    <m/>
    <m/>
    <m/>
    <m/>
    <m/>
    <m/>
    <m/>
    <m/>
    <m/>
    <m/>
    <m/>
    <x v="2"/>
  </r>
  <r>
    <d v="2024-09-13T00:00:00"/>
    <s v="VZ-2024-000717"/>
    <x v="1"/>
    <s v="Vlčková"/>
    <s v="Hašková"/>
    <x v="436"/>
    <m/>
    <m/>
    <s v="vypsaná VZ"/>
    <s v="33631600-8"/>
    <m/>
    <n v="511170"/>
    <x v="4"/>
    <d v="2024-10-03T00:00:00"/>
    <d v="2024-10-23T00:00:00"/>
    <m/>
    <m/>
    <m/>
    <m/>
    <m/>
    <m/>
    <m/>
    <m/>
    <m/>
    <m/>
    <x v="2"/>
  </r>
  <r>
    <d v="2024-09-12T00:00:00"/>
    <s v="VZ-2024-000719"/>
    <x v="2"/>
    <s v="Skulová"/>
    <s v="Štýbnarová"/>
    <x v="437"/>
    <m/>
    <m/>
    <s v="zrušeno"/>
    <s v="33162000-3"/>
    <s v="2.3.857."/>
    <n v="81000"/>
    <x v="1"/>
    <d v="2024-09-13T00:00:00"/>
    <d v="2024-09-27T00:00:00"/>
    <m/>
    <s v="zrušeno - bez hodnotitelné nabídky"/>
    <s v="nová VZ-2024-000"/>
    <m/>
    <m/>
    <m/>
    <m/>
    <m/>
    <m/>
    <m/>
    <x v="2"/>
  </r>
  <r>
    <d v="2024-09-12T00:00:00"/>
    <s v="VZ-2024-000720"/>
    <x v="5"/>
    <s v="Dočkalová"/>
    <s v="Siková"/>
    <x v="438"/>
    <m/>
    <m/>
    <s v="vypsaná VZ"/>
    <s v="33140000-3"/>
    <m/>
    <n v="2299040"/>
    <x v="0"/>
    <d v="2024-09-24T00:00:00"/>
    <d v="2024-10-30T00:00:00"/>
    <m/>
    <m/>
    <m/>
    <m/>
    <m/>
    <m/>
    <m/>
    <m/>
    <m/>
    <m/>
    <x v="2"/>
  </r>
  <r>
    <d v="2024-09-12T00:00:00"/>
    <s v="VZ-2024-000721"/>
    <x v="2"/>
    <s v="Skulová"/>
    <s v="Zdražilová"/>
    <x v="439"/>
    <m/>
    <m/>
    <s v="vypsaná VZ"/>
    <s v="33191100-6"/>
    <s v="2.3.858."/>
    <n v="1800880"/>
    <x v="0"/>
    <d v="2024-09-23T00:00:00"/>
    <d v="2024-10-29T00:00:00"/>
    <m/>
    <m/>
    <m/>
    <m/>
    <m/>
    <m/>
    <m/>
    <m/>
    <m/>
    <m/>
    <x v="2"/>
  </r>
  <r>
    <d v="2024-09-16T00:00:00"/>
    <s v="VZ-2024-000722"/>
    <x v="5"/>
    <s v="Dočkalová"/>
    <s v="Štýbnarová"/>
    <x v="440"/>
    <m/>
    <m/>
    <s v="hodnocení"/>
    <s v="33140000-3"/>
    <m/>
    <n v="615000"/>
    <x v="1"/>
    <d v="2024-09-24T00:00:00"/>
    <d v="2024-10-07T00:00:00"/>
    <m/>
    <s v="Stimcare s.r.o."/>
    <m/>
    <n v="615000"/>
    <n v="688800"/>
    <m/>
    <m/>
    <m/>
    <m/>
    <m/>
    <x v="2"/>
  </r>
  <r>
    <d v="2024-09-16T00:00:00"/>
    <s v="VZ-2024-000723"/>
    <x v="5"/>
    <s v="Valtová"/>
    <s v="Staňková"/>
    <x v="441"/>
    <m/>
    <m/>
    <s v="hodnocení"/>
    <s v="33140000-3"/>
    <m/>
    <n v="1020548"/>
    <x v="1"/>
    <d v="2024-09-20T00:00:00"/>
    <d v="2024-10-01T00:00:00"/>
    <m/>
    <m/>
    <m/>
    <m/>
    <m/>
    <m/>
    <m/>
    <m/>
    <m/>
    <m/>
    <x v="2"/>
  </r>
  <r>
    <d v="2024-09-19T00:00:00"/>
    <s v="VZ-2024-000724"/>
    <x v="1"/>
    <s v="Vondrková"/>
    <s v="Siková"/>
    <x v="442"/>
    <m/>
    <m/>
    <s v="vypsaná VZ"/>
    <s v="33652300-8"/>
    <m/>
    <n v="7869981"/>
    <x v="0"/>
    <d v="2024-09-24T00:00:00"/>
    <d v="2024-10-29T00:00:00"/>
    <m/>
    <m/>
    <m/>
    <m/>
    <m/>
    <m/>
    <m/>
    <m/>
    <m/>
    <m/>
    <x v="2"/>
  </r>
  <r>
    <d v="2024-09-19T00:00:00"/>
    <s v="VZ-2024-000726"/>
    <x v="1"/>
    <s v="Vlčková"/>
    <s v="Štýbnarová"/>
    <x v="443"/>
    <m/>
    <m/>
    <s v="zrušeno"/>
    <s v="09343000-5"/>
    <m/>
    <n v="1647000"/>
    <x v="1"/>
    <d v="2024-09-24T00:00:00"/>
    <d v="2024-10-07T00:00:00"/>
    <m/>
    <s v="zrušeno - bez nabídky"/>
    <s v="nová VZ-2024-000782"/>
    <m/>
    <m/>
    <m/>
    <m/>
    <m/>
    <m/>
    <m/>
    <x v="2"/>
  </r>
  <r>
    <d v="2024-09-19T00:00:00"/>
    <s v="VZ-2024-000728"/>
    <x v="1"/>
    <s v="Vlčková"/>
    <s v="Bodinková"/>
    <x v="444"/>
    <m/>
    <m/>
    <s v="vypsaná VZ"/>
    <s v="09343000-5"/>
    <m/>
    <n v="2509980"/>
    <x v="0"/>
    <d v="2024-10-02T00:00:00"/>
    <d v="2024-11-06T00:00:00"/>
    <m/>
    <m/>
    <m/>
    <m/>
    <m/>
    <m/>
    <m/>
    <m/>
    <m/>
    <m/>
    <x v="2"/>
  </r>
  <r>
    <d v="2024-09-18T00:00:00"/>
    <s v="VZ-2024-000729"/>
    <x v="5"/>
    <s v="Dočkalová"/>
    <s v="Štýbnarová"/>
    <x v="445"/>
    <m/>
    <m/>
    <s v="hodnocení"/>
    <s v="33162200-5"/>
    <m/>
    <n v="705600"/>
    <x v="1"/>
    <d v="2024-09-20T00:00:00"/>
    <d v="2024-10-01T00:00:00"/>
    <m/>
    <m/>
    <m/>
    <m/>
    <m/>
    <m/>
    <m/>
    <m/>
    <m/>
    <m/>
    <x v="2"/>
  </r>
  <r>
    <d v="2024-09-18T00:00:00"/>
    <s v="VZ-2024-000733"/>
    <x v="6"/>
    <s v="Kadlec"/>
    <s v="Staňková"/>
    <x v="446"/>
    <m/>
    <m/>
    <s v="vypsaná VZ"/>
    <s v="45421100-5"/>
    <m/>
    <n v="180000"/>
    <x v="1"/>
    <d v="2024-09-20T00:00:00"/>
    <d v="2024-10-18T00:00:00"/>
    <m/>
    <m/>
    <m/>
    <m/>
    <m/>
    <m/>
    <m/>
    <m/>
    <m/>
    <m/>
    <x v="2"/>
  </r>
  <r>
    <d v="2024-09-19T00:00:00"/>
    <s v="VZ-2024-000734-01"/>
    <x v="5"/>
    <s v="Valtová"/>
    <s v="Siková"/>
    <x v="447"/>
    <n v="1"/>
    <s v="Diagnostické katétry  I."/>
    <s v="vypsaná VZ"/>
    <s v="33140000-3"/>
    <m/>
    <n v="1022292"/>
    <x v="0"/>
    <d v="2024-09-27T00:00:00"/>
    <d v="2024-11-01T00:00:00"/>
    <m/>
    <m/>
    <m/>
    <m/>
    <m/>
    <m/>
    <m/>
    <m/>
    <m/>
    <m/>
    <x v="2"/>
  </r>
  <r>
    <d v="2024-09-19T00:00:00"/>
    <s v="VZ-2024-000734-02"/>
    <x v="5"/>
    <s v="Valtová"/>
    <s v="Siková"/>
    <x v="447"/>
    <n v="2"/>
    <s v="Hydrofilní diagnostické katétry III."/>
    <s v="vypsaná VZ"/>
    <s v="33140000-3"/>
    <m/>
    <n v="120600"/>
    <x v="0"/>
    <d v="2024-09-27T00:00:00"/>
    <d v="2024-11-01T00:00:00"/>
    <m/>
    <m/>
    <m/>
    <m/>
    <m/>
    <m/>
    <m/>
    <m/>
    <m/>
    <m/>
    <x v="2"/>
  </r>
  <r>
    <d v="2024-09-20T00:00:00"/>
    <s v="VZ-2024-000735"/>
    <x v="2"/>
    <s v="Skulová"/>
    <s v="Zdražilová"/>
    <x v="448"/>
    <m/>
    <m/>
    <s v="vypsaná VZ"/>
    <s v="33158000-2"/>
    <s v="2.2.650."/>
    <n v="3590000"/>
    <x v="0"/>
    <d v="2024-10-15T00:00:00"/>
    <d v="2024-11-20T00:00:00"/>
    <m/>
    <m/>
    <m/>
    <m/>
    <m/>
    <m/>
    <m/>
    <m/>
    <m/>
    <m/>
    <x v="2"/>
  </r>
  <r>
    <d v="2024-09-20T00:00:00"/>
    <s v="VZ-2024-000736"/>
    <x v="2"/>
    <s v="Skulová"/>
    <s v="Zdražilová"/>
    <x v="449"/>
    <m/>
    <m/>
    <s v="ZD na podpis"/>
    <s v="33150000-6"/>
    <s v="2.3.843."/>
    <n v="2815000"/>
    <x v="0"/>
    <m/>
    <m/>
    <m/>
    <m/>
    <m/>
    <m/>
    <m/>
    <m/>
    <m/>
    <m/>
    <m/>
    <m/>
    <x v="2"/>
  </r>
  <r>
    <d v="2024-09-20T00:00:00"/>
    <s v="VZ-2024-000737"/>
    <x v="2"/>
    <s v="Skulová"/>
    <s v="Zdražilová"/>
    <x v="450"/>
    <m/>
    <m/>
    <s v="připravuje se"/>
    <s v="33150000-6"/>
    <s v="2.3.842."/>
    <n v="4300000"/>
    <x v="0"/>
    <m/>
    <m/>
    <m/>
    <m/>
    <m/>
    <m/>
    <m/>
    <m/>
    <m/>
    <m/>
    <m/>
    <m/>
    <x v="2"/>
  </r>
  <r>
    <d v="2024-09-20T00:00:00"/>
    <s v="VZ-2024-000738"/>
    <x v="2"/>
    <s v="Skulová"/>
    <s v="Zdražilová"/>
    <x v="451"/>
    <m/>
    <m/>
    <s v="ZD na podpis"/>
    <s v="33150000-6"/>
    <s v="2.2.645."/>
    <n v="998000"/>
    <x v="0"/>
    <m/>
    <m/>
    <m/>
    <m/>
    <m/>
    <m/>
    <m/>
    <m/>
    <m/>
    <m/>
    <m/>
    <m/>
    <x v="2"/>
  </r>
  <r>
    <s v="VZ-2024-000455"/>
    <s v="VZ-2024-000739"/>
    <x v="2"/>
    <s v="Skulová"/>
    <s v="Zdražilová"/>
    <x v="452"/>
    <m/>
    <m/>
    <s v="vypsaná VZ"/>
    <s v="33150000-6"/>
    <s v="2.3.841."/>
    <n v="266900"/>
    <x v="0"/>
    <d v="2024-10-11T00:00:00"/>
    <d v="2024-11-15T00:00:00"/>
    <m/>
    <m/>
    <m/>
    <m/>
    <m/>
    <m/>
    <m/>
    <m/>
    <m/>
    <m/>
    <x v="2"/>
  </r>
  <r>
    <d v="2024-09-20T00:00:00"/>
    <s v="VZ-2024-000740"/>
    <x v="1"/>
    <s v="Vlčková"/>
    <s v="Štýbnarová"/>
    <x v="453"/>
    <m/>
    <m/>
    <s v="hodnocení"/>
    <s v="33661300-4"/>
    <m/>
    <n v="847380"/>
    <x v="1"/>
    <d v="2024-09-24T00:00:00"/>
    <d v="2024-10-14T00:00:00"/>
    <m/>
    <m/>
    <m/>
    <m/>
    <m/>
    <m/>
    <m/>
    <m/>
    <m/>
    <m/>
    <x v="2"/>
  </r>
  <r>
    <d v="2024-09-20T00:00:00"/>
    <s v="VZ-2024-000745"/>
    <x v="6"/>
    <s v="Srovnal"/>
    <s v="Staňková"/>
    <x v="454"/>
    <m/>
    <m/>
    <s v="smlouva v kolečku"/>
    <s v="45453100-8"/>
    <m/>
    <n v="1250000"/>
    <x v="1"/>
    <d v="2024-09-25T00:00:00"/>
    <d v="2024-10-07T00:00:00"/>
    <d v="2024-10-15T00:00:00"/>
    <s v="POZEMSTAV Prostějov, a.s."/>
    <m/>
    <n v="832494.28"/>
    <n v="1007318.08"/>
    <m/>
    <m/>
    <m/>
    <d v="2024-10-15T00:00:00"/>
    <s v="SMLN-2024-618-100060"/>
    <x v="2"/>
  </r>
  <r>
    <d v="2024-09-26T00:00:00"/>
    <s v="VZ-2024-000746"/>
    <x v="4"/>
    <s v="Zdráhalová"/>
    <s v="Štýbnarová"/>
    <x v="455"/>
    <m/>
    <m/>
    <s v="vypsaná VZ"/>
    <s v="33140000-3"/>
    <m/>
    <n v="1264000"/>
    <x v="1"/>
    <d v="2024-10-03T00:00:00"/>
    <d v="2024-10-23T00:00:00"/>
    <m/>
    <m/>
    <m/>
    <m/>
    <m/>
    <m/>
    <m/>
    <m/>
    <m/>
    <m/>
    <x v="2"/>
  </r>
  <r>
    <d v="2024-09-20T00:00:00"/>
    <s v="VZ-2024-000748"/>
    <x v="1"/>
    <s v="Vondrková"/>
    <s v="Hašková"/>
    <x v="456"/>
    <m/>
    <m/>
    <s v="vypsaná VZ"/>
    <s v="33661300-4"/>
    <m/>
    <n v="5905219"/>
    <x v="0"/>
    <d v="2024-10-01T00:00:00"/>
    <d v="2024-11-05T00:00:00"/>
    <m/>
    <m/>
    <m/>
    <m/>
    <m/>
    <m/>
    <m/>
    <m/>
    <m/>
    <m/>
    <x v="2"/>
  </r>
  <r>
    <d v="2024-10-08T00:00:00"/>
    <s v="VZ-2024-000751"/>
    <x v="5"/>
    <s v="Dočkalová"/>
    <s v="Hašková"/>
    <x v="457"/>
    <m/>
    <m/>
    <s v="připravuje se"/>
    <s v="33151400-7"/>
    <m/>
    <n v="3828820"/>
    <x v="0"/>
    <m/>
    <m/>
    <m/>
    <m/>
    <m/>
    <m/>
    <m/>
    <m/>
    <m/>
    <m/>
    <m/>
    <m/>
    <x v="2"/>
  </r>
  <r>
    <d v="2024-09-25T00:00:00"/>
    <s v="VZ-2024-000752"/>
    <x v="5"/>
    <s v="Valtová"/>
    <s v="Štýbnarová"/>
    <x v="458"/>
    <m/>
    <m/>
    <s v="vypsaná VZ"/>
    <s v="33140000-3"/>
    <m/>
    <n v="1385700"/>
    <x v="1"/>
    <d v="2024-10-01T00:00:00"/>
    <d v="2024-10-29T00:00:00"/>
    <m/>
    <m/>
    <m/>
    <m/>
    <m/>
    <m/>
    <m/>
    <m/>
    <m/>
    <m/>
    <x v="2"/>
  </r>
  <r>
    <d v="2024-09-25T00:00:00"/>
    <s v="VZ-2024-000753"/>
    <x v="2"/>
    <s v="Skulová"/>
    <s v="Štýbnarová"/>
    <x v="459"/>
    <m/>
    <m/>
    <s v="hodnocení"/>
    <s v="38510000-3"/>
    <s v="2.3.811, 2.2.619"/>
    <n v="560240"/>
    <x v="1"/>
    <d v="2024-10-01T00:00:00"/>
    <d v="2024-10-14T00:00:00"/>
    <m/>
    <m/>
    <m/>
    <m/>
    <m/>
    <m/>
    <m/>
    <m/>
    <m/>
    <m/>
    <x v="2"/>
  </r>
  <r>
    <d v="2024-09-27T00:00:00"/>
    <s v="VZ-2024-000755"/>
    <x v="5"/>
    <s v="Dočkalová"/>
    <s v="Siková"/>
    <x v="460"/>
    <m/>
    <m/>
    <s v="vypsaná VZ"/>
    <s v="33183100-7, 33140000-3"/>
    <m/>
    <n v="2490000"/>
    <x v="0"/>
    <d v="2024-10-01T00:00:00"/>
    <d v="2024-11-06T00:00:00"/>
    <m/>
    <m/>
    <m/>
    <m/>
    <m/>
    <m/>
    <m/>
    <m/>
    <m/>
    <m/>
    <x v="2"/>
  </r>
  <r>
    <d v="2024-09-30T00:00:00"/>
    <s v="VZ-2024-000756"/>
    <x v="1"/>
    <s v="Vondrková"/>
    <s v="Bodinková"/>
    <x v="461"/>
    <m/>
    <m/>
    <s v="vypsaná VZ"/>
    <s v="33622000-6"/>
    <m/>
    <n v="11334856"/>
    <x v="0"/>
    <d v="2024-10-03T00:00:00"/>
    <d v="2024-11-07T00:00:00"/>
    <m/>
    <m/>
    <m/>
    <m/>
    <m/>
    <m/>
    <m/>
    <m/>
    <m/>
    <m/>
    <x v="2"/>
  </r>
  <r>
    <d v="2024-09-27T00:00:00"/>
    <s v="VZ-2024-000757"/>
    <x v="2"/>
    <s v="Skulová"/>
    <s v="Štýbnarová"/>
    <x v="462"/>
    <m/>
    <m/>
    <s v="hodnocení"/>
    <s v="79995100-6"/>
    <s v="2.3.859."/>
    <n v="1502875"/>
    <x v="1"/>
    <d v="2024-10-04T00:00:00"/>
    <d v="2024-10-15T00:00:00"/>
    <m/>
    <m/>
    <m/>
    <m/>
    <m/>
    <m/>
    <m/>
    <m/>
    <m/>
    <m/>
    <x v="2"/>
  </r>
  <r>
    <s v="VZ-2024-000599"/>
    <s v="VZ-2024-000758"/>
    <x v="2"/>
    <s v="Skulová"/>
    <s v="Štýbnarová"/>
    <x v="463"/>
    <m/>
    <m/>
    <s v="hodnocení"/>
    <s v="38434500-1"/>
    <s v="2.3.851."/>
    <n v="585500"/>
    <x v="1"/>
    <d v="2024-10-02T00:00:00"/>
    <d v="2024-10-15T00:00:00"/>
    <m/>
    <m/>
    <m/>
    <m/>
    <m/>
    <m/>
    <m/>
    <m/>
    <m/>
    <m/>
    <x v="2"/>
  </r>
  <r>
    <s v="VZ-2024-000613"/>
    <s v="VZ-2024-000759"/>
    <x v="2"/>
    <s v="Skulová"/>
    <s v="Štýbnarová"/>
    <x v="365"/>
    <m/>
    <m/>
    <s v="hodnocení"/>
    <s v="38000000-5"/>
    <s v="2.3.809."/>
    <n v="220000"/>
    <x v="1"/>
    <d v="2024-10-02T00:00:00"/>
    <d v="2024-10-15T00:00:00"/>
    <m/>
    <m/>
    <m/>
    <m/>
    <m/>
    <m/>
    <m/>
    <m/>
    <m/>
    <m/>
    <x v="2"/>
  </r>
  <r>
    <d v="2024-09-30T00:00:00"/>
    <s v="VZ-2024-000760"/>
    <x v="6"/>
    <s v="Srovnal"/>
    <s v="Kučera"/>
    <x v="464"/>
    <m/>
    <m/>
    <s v="vypsaná VZ"/>
    <s v="42512300-1"/>
    <s v="4.2.225."/>
    <n v="8264000"/>
    <x v="0"/>
    <d v="2024-10-09T00:00:00"/>
    <d v="2024-11-12T00:00:00"/>
    <m/>
    <m/>
    <m/>
    <m/>
    <m/>
    <m/>
    <m/>
    <m/>
    <m/>
    <m/>
    <x v="2"/>
  </r>
  <r>
    <d v="2024-09-30T00:00:00"/>
    <s v="VZ-2024-000761-01"/>
    <x v="1"/>
    <s v="Vlčková"/>
    <s v="Hašková"/>
    <x v="465"/>
    <n v="1"/>
    <s v="Gabagamma"/>
    <s v="vypsaná VZ"/>
    <s v="33661300-4"/>
    <m/>
    <n v="4299"/>
    <x v="0"/>
    <d v="2024-10-11T00:00:00"/>
    <d v="2024-11-15T00:00:00"/>
    <m/>
    <m/>
    <m/>
    <m/>
    <m/>
    <m/>
    <m/>
    <m/>
    <m/>
    <m/>
    <x v="2"/>
  </r>
  <r>
    <d v="2024-09-30T00:00:00"/>
    <s v="VZ-2024-000761-02"/>
    <x v="1"/>
    <s v="Vlčková"/>
    <s v="Hašková"/>
    <x v="465"/>
    <n v="2"/>
    <s v="GABAPENTIN TEVA"/>
    <s v="vypsaná VZ"/>
    <s v="33661300-4"/>
    <m/>
    <n v="75513"/>
    <x v="0"/>
    <d v="2024-10-11T00:00:00"/>
    <d v="2024-11-15T00:00:00"/>
    <m/>
    <m/>
    <m/>
    <m/>
    <m/>
    <m/>
    <m/>
    <m/>
    <m/>
    <m/>
    <x v="2"/>
  </r>
  <r>
    <d v="2024-09-30T00:00:00"/>
    <s v="VZ-2024-000761-03"/>
    <x v="1"/>
    <s v="Vlčková"/>
    <s v="Hašková"/>
    <x v="465"/>
    <n v="3"/>
    <s v="GABANOX"/>
    <s v="vypsaná VZ"/>
    <s v="33661300-4"/>
    <m/>
    <n v="351057"/>
    <x v="0"/>
    <d v="2024-10-11T00:00:00"/>
    <d v="2024-11-15T00:00:00"/>
    <m/>
    <m/>
    <m/>
    <m/>
    <m/>
    <m/>
    <m/>
    <m/>
    <m/>
    <m/>
    <x v="2"/>
  </r>
  <r>
    <d v="2024-09-30T00:00:00"/>
    <s v="VZ-2024-000761-04"/>
    <x v="1"/>
    <s v="Vlčková"/>
    <s v="Hašková"/>
    <x v="465"/>
    <n v="4"/>
    <s v="Neurontin"/>
    <s v="vypsaná VZ"/>
    <s v="33661300-4"/>
    <m/>
    <n v="1756836"/>
    <x v="0"/>
    <d v="2024-10-11T00:00:00"/>
    <d v="2024-11-15T00:00:00"/>
    <m/>
    <m/>
    <m/>
    <m/>
    <m/>
    <m/>
    <m/>
    <m/>
    <m/>
    <m/>
    <x v="2"/>
  </r>
  <r>
    <d v="2024-09-30T00:00:00"/>
    <s v="VZ-2024-000761-05"/>
    <x v="1"/>
    <s v="Vlčková"/>
    <s v="Hašková"/>
    <x v="465"/>
    <n v="5"/>
    <s v="GORDIUS"/>
    <s v="vypsaná VZ"/>
    <s v="33661300-4"/>
    <m/>
    <n v="30945"/>
    <x v="0"/>
    <d v="2024-10-11T00:00:00"/>
    <d v="2024-11-15T00:00:00"/>
    <m/>
    <m/>
    <m/>
    <m/>
    <m/>
    <m/>
    <m/>
    <m/>
    <m/>
    <m/>
    <x v="2"/>
  </r>
  <r>
    <d v="2024-09-30T00:00:00"/>
    <s v="VZ-2024-000761-06"/>
    <x v="1"/>
    <s v="Vlčková"/>
    <s v="Hašková"/>
    <x v="465"/>
    <n v="6"/>
    <s v="GRIMODIN"/>
    <s v="vypsaná VZ"/>
    <s v="33661300-4"/>
    <m/>
    <n v="19911"/>
    <x v="0"/>
    <d v="2024-10-11T00:00:00"/>
    <d v="2024-11-15T00:00:00"/>
    <m/>
    <m/>
    <m/>
    <m/>
    <m/>
    <m/>
    <m/>
    <m/>
    <m/>
    <m/>
    <x v="2"/>
  </r>
  <r>
    <d v="2024-09-30T00:00:00"/>
    <s v="VZ-2024-000762"/>
    <x v="5"/>
    <s v="Dočkalová"/>
    <s v="Siková"/>
    <x v="466"/>
    <m/>
    <m/>
    <s v="vypsaná VZ"/>
    <s v="33793000-5"/>
    <m/>
    <n v="2628000"/>
    <x v="0"/>
    <d v="2024-10-04T00:00:00"/>
    <d v="2024-11-11T00:00:00"/>
    <m/>
    <m/>
    <m/>
    <m/>
    <m/>
    <m/>
    <m/>
    <m/>
    <m/>
    <m/>
    <x v="2"/>
  </r>
  <r>
    <d v="2024-09-30T00:00:00"/>
    <s v="VZ-2024-000763-01"/>
    <x v="5"/>
    <s v="Valtová"/>
    <s v="Siková"/>
    <x v="467"/>
    <n v="1"/>
    <s v="Samoexpandibilní stenty vaskulární II.  "/>
    <s v="vypsaná VZ"/>
    <s v="33140000-3"/>
    <m/>
    <n v="2600000"/>
    <x v="0"/>
    <d v="2024-10-04T00:00:00"/>
    <d v="2024-11-11T00:00:00"/>
    <m/>
    <m/>
    <m/>
    <m/>
    <m/>
    <m/>
    <m/>
    <m/>
    <m/>
    <m/>
    <x v="2"/>
  </r>
  <r>
    <d v="2024-09-30T00:00:00"/>
    <s v="VZ-2024-000763-02"/>
    <x v="5"/>
    <s v="Valtová"/>
    <s v="Siková"/>
    <x v="467"/>
    <n v="2"/>
    <s v="Samoexpandibilní stenty vaskulární XL"/>
    <s v="vypsaná VZ"/>
    <s v="33140000-3"/>
    <m/>
    <n v="284700"/>
    <x v="0"/>
    <d v="2024-10-04T00:00:00"/>
    <d v="2024-11-11T00:00:00"/>
    <m/>
    <m/>
    <m/>
    <m/>
    <m/>
    <m/>
    <m/>
    <m/>
    <m/>
    <m/>
    <x v="2"/>
  </r>
  <r>
    <d v="2024-09-30T00:00:00"/>
    <s v="VZ-2024-000763-03"/>
    <x v="5"/>
    <s v="Valtová"/>
    <s v="Siková"/>
    <x v="467"/>
    <n v="3"/>
    <s v="Balónexpandibilní stenty vaskulární I."/>
    <s v="vypsaná VZ"/>
    <s v="33140000-3"/>
    <m/>
    <n v="3662400"/>
    <x v="0"/>
    <d v="2024-10-04T00:00:00"/>
    <d v="2024-11-11T00:00:00"/>
    <m/>
    <m/>
    <m/>
    <m/>
    <m/>
    <m/>
    <m/>
    <m/>
    <m/>
    <m/>
    <x v="2"/>
  </r>
  <r>
    <d v="2024-09-30T00:00:00"/>
    <s v="VZ-2024-000763-04"/>
    <x v="5"/>
    <s v="Valtová"/>
    <s v="Siková"/>
    <x v="467"/>
    <n v="4"/>
    <s v="Karotické stenty vaskulární I."/>
    <s v="vypsaná VZ"/>
    <s v="33140000-3"/>
    <m/>
    <n v="528000"/>
    <x v="0"/>
    <d v="2024-10-04T00:00:00"/>
    <d v="2024-11-11T00:00:00"/>
    <m/>
    <m/>
    <m/>
    <m/>
    <m/>
    <m/>
    <m/>
    <m/>
    <m/>
    <m/>
    <x v="2"/>
  </r>
  <r>
    <d v="2024-09-30T00:00:00"/>
    <s v="VZ-2024-000763-05"/>
    <x v="5"/>
    <s v="Valtová"/>
    <s v="Siková"/>
    <x v="467"/>
    <n v="5"/>
    <s v="Karotické stenty vaskulární II."/>
    <s v="vypsaná VZ"/>
    <s v="33140000-3"/>
    <m/>
    <n v="2607600"/>
    <x v="0"/>
    <d v="2024-10-04T00:00:00"/>
    <d v="2024-11-11T00:00:00"/>
    <m/>
    <m/>
    <m/>
    <m/>
    <m/>
    <m/>
    <m/>
    <m/>
    <m/>
    <m/>
    <x v="2"/>
  </r>
  <r>
    <d v="2024-09-30T00:00:00"/>
    <s v="VZ-2024-000763-06"/>
    <x v="5"/>
    <s v="Valtová"/>
    <s v="Siková"/>
    <x v="467"/>
    <n v="6"/>
    <s v="Intrakraniální stenty vaskulární"/>
    <s v="vypsaná VZ"/>
    <s v="33140000-3"/>
    <m/>
    <n v="29530000"/>
    <x v="0"/>
    <d v="2024-10-04T00:00:00"/>
    <d v="2024-11-11T00:00:00"/>
    <m/>
    <m/>
    <m/>
    <m/>
    <m/>
    <m/>
    <m/>
    <m/>
    <m/>
    <m/>
    <x v="2"/>
  </r>
  <r>
    <d v="2024-10-07T00:00:00"/>
    <s v="VZ-2024-000764"/>
    <x v="4"/>
    <s v="Zdráhalová"/>
    <s v="Siková"/>
    <x v="468"/>
    <m/>
    <m/>
    <s v="vypsaná VZ"/>
    <s v="33199000-1"/>
    <m/>
    <n v="1401000"/>
    <x v="0"/>
    <d v="2024-10-15T00:00:00"/>
    <d v="2024-11-19T00:00:00"/>
    <m/>
    <m/>
    <m/>
    <m/>
    <m/>
    <m/>
    <m/>
    <m/>
    <m/>
    <m/>
    <x v="2"/>
  </r>
  <r>
    <d v="2024-10-02T00:00:00"/>
    <s v="VZ-2024-000765"/>
    <x v="12"/>
    <s v="Svozil"/>
    <s v="Staňková"/>
    <x v="469"/>
    <m/>
    <m/>
    <s v="vypsaná VZ"/>
    <s v="45232400-6"/>
    <m/>
    <n v="5500000"/>
    <x v="1"/>
    <d v="2024-10-09T00:00:00"/>
    <d v="2024-10-21T00:00:00"/>
    <m/>
    <m/>
    <m/>
    <m/>
    <m/>
    <m/>
    <m/>
    <m/>
    <m/>
    <m/>
    <x v="2"/>
  </r>
  <r>
    <d v="2024-10-02T00:00:00"/>
    <s v="VZ-2024-000766"/>
    <x v="6"/>
    <s v="Srovnal"/>
    <s v="Kučera"/>
    <x v="470"/>
    <m/>
    <m/>
    <s v="vypsaná VZ"/>
    <s v="39151000-5"/>
    <m/>
    <n v="1000000"/>
    <x v="4"/>
    <d v="2024-10-04T00:00:00"/>
    <d v="2024-10-16T00:00:00"/>
    <m/>
    <m/>
    <m/>
    <m/>
    <m/>
    <m/>
    <m/>
    <m/>
    <m/>
    <m/>
    <x v="2"/>
  </r>
  <r>
    <d v="2024-10-03T00:00:00"/>
    <s v="VZ-2024-000767"/>
    <x v="7"/>
    <s v="Pohlídal"/>
    <s v="Štýbnarová"/>
    <x v="471"/>
    <m/>
    <m/>
    <s v="vypsaná VZ"/>
    <s v="30214000-2"/>
    <m/>
    <n v="810000"/>
    <x v="1"/>
    <d v="2024-10-09T00:00:00"/>
    <d v="2024-10-21T00:00:00"/>
    <m/>
    <m/>
    <m/>
    <m/>
    <m/>
    <m/>
    <m/>
    <m/>
    <m/>
    <m/>
    <x v="2"/>
  </r>
  <r>
    <d v="2024-10-09T00:00:00"/>
    <s v="VZ-2024-000768"/>
    <x v="1"/>
    <s v="Vlčková"/>
    <s v="Bodinková"/>
    <x v="472"/>
    <m/>
    <m/>
    <s v="připravuje se"/>
    <s v="09343000-5"/>
    <m/>
    <n v="12739246"/>
    <x v="4"/>
    <m/>
    <m/>
    <m/>
    <m/>
    <m/>
    <m/>
    <m/>
    <m/>
    <m/>
    <m/>
    <m/>
    <m/>
    <x v="2"/>
  </r>
  <r>
    <s v="VZ-2024-000704"/>
    <s v="VZ-2024-000769"/>
    <x v="2"/>
    <s v="Skulová"/>
    <s v="Staňková"/>
    <x v="473"/>
    <m/>
    <m/>
    <s v="vypsaná VZ"/>
    <s v="33160000-9"/>
    <s v="2.3.665."/>
    <n v="229200"/>
    <x v="1"/>
    <d v="2024-10-08T00:00:00"/>
    <d v="2024-10-21T00:00:00"/>
    <m/>
    <m/>
    <m/>
    <m/>
    <m/>
    <m/>
    <m/>
    <m/>
    <m/>
    <m/>
    <x v="2"/>
  </r>
  <r>
    <s v="VZ-2024-000715"/>
    <s v="VZ-2024-000770"/>
    <x v="2"/>
    <s v="Skulová"/>
    <s v="Staňková"/>
    <x v="474"/>
    <m/>
    <m/>
    <s v="vypsaná VZ"/>
    <s v="33100000-1"/>
    <s v="2.2.666."/>
    <n v="231896"/>
    <x v="1"/>
    <d v="2024-10-08T00:00:00"/>
    <d v="2024-10-21T00:00:00"/>
    <m/>
    <m/>
    <m/>
    <m/>
    <m/>
    <m/>
    <m/>
    <m/>
    <m/>
    <m/>
    <x v="2"/>
  </r>
  <r>
    <d v="2024-10-09T00:00:00"/>
    <s v="VZ-2024-000771"/>
    <x v="2"/>
    <s v="Skulová"/>
    <s v="Štýbnarová"/>
    <x v="475"/>
    <m/>
    <m/>
    <s v="vypsaná VZ"/>
    <s v="42923200-4"/>
    <m/>
    <n v="72000"/>
    <x v="1"/>
    <d v="2024-10-15T00:00:00"/>
    <d v="2024-10-29T00:00:00"/>
    <m/>
    <m/>
    <m/>
    <m/>
    <m/>
    <m/>
    <m/>
    <m/>
    <m/>
    <m/>
    <x v="2"/>
  </r>
  <r>
    <d v="2024-10-04T00:00:00"/>
    <s v="VZ-2024-000772-01"/>
    <x v="5"/>
    <s v="Valtová"/>
    <s v="Siková"/>
    <x v="476"/>
    <n v="1"/>
    <s v="Diagnostické katétry  II."/>
    <s v="vypsaná VZ"/>
    <s v="33140000-3"/>
    <m/>
    <n v="2309500"/>
    <x v="0"/>
    <d v="2024-10-10T00:00:00"/>
    <d v="2024-11-14T00:00:00"/>
    <m/>
    <m/>
    <m/>
    <m/>
    <m/>
    <m/>
    <m/>
    <m/>
    <m/>
    <m/>
    <x v="2"/>
  </r>
  <r>
    <d v="2024-10-04T00:00:00"/>
    <s v="VZ-2024-000772-02"/>
    <x v="5"/>
    <s v="Valtová"/>
    <s v="Siková"/>
    <x v="476"/>
    <n v="2"/>
    <s v="Kalibrační diagnostické katétry"/>
    <s v="vypsaná VZ"/>
    <s v="33140000-3"/>
    <m/>
    <n v="704000"/>
    <x v="0"/>
    <d v="2024-10-10T00:00:00"/>
    <d v="2024-11-14T00:00:00"/>
    <m/>
    <m/>
    <m/>
    <m/>
    <m/>
    <m/>
    <m/>
    <m/>
    <m/>
    <m/>
    <x v="2"/>
  </r>
  <r>
    <d v="2024-10-03T00:00:00"/>
    <s v="VZ-2024-000776"/>
    <x v="6"/>
    <s v="Srovnal"/>
    <s v="Kučera"/>
    <x v="477"/>
    <m/>
    <m/>
    <s v="ZD na podpis"/>
    <s v="45421100-5"/>
    <m/>
    <n v="3900000"/>
    <x v="0"/>
    <m/>
    <m/>
    <m/>
    <m/>
    <m/>
    <m/>
    <m/>
    <m/>
    <m/>
    <m/>
    <m/>
    <m/>
    <x v="2"/>
  </r>
  <r>
    <d v="2024-10-02T00:00:00"/>
    <s v="VZ-2024-000777"/>
    <x v="6"/>
    <s v="Srovnal"/>
    <s v="Štýbnarová"/>
    <x v="478"/>
    <m/>
    <m/>
    <s v="vypsaná VZ"/>
    <s v="45454100-5"/>
    <m/>
    <n v="1300000"/>
    <x v="1"/>
    <d v="2024-10-07T00:00:00"/>
    <d v="2024-10-18T00:00:00"/>
    <m/>
    <m/>
    <m/>
    <m/>
    <m/>
    <m/>
    <m/>
    <m/>
    <m/>
    <m/>
    <x v="2"/>
  </r>
  <r>
    <d v="2024-10-02T00:00:00"/>
    <s v="VZ-2024-000778"/>
    <x v="6"/>
    <s v="Srovnal"/>
    <s v="Staňková"/>
    <x v="479"/>
    <m/>
    <m/>
    <s v="vypsaná VZ"/>
    <s v="45262600-7"/>
    <m/>
    <n v="2000000"/>
    <x v="1"/>
    <d v="2024-10-09T00:00:00"/>
    <d v="2024-10-21T00:00:00"/>
    <m/>
    <m/>
    <m/>
    <m/>
    <m/>
    <m/>
    <m/>
    <m/>
    <m/>
    <m/>
    <x v="2"/>
  </r>
  <r>
    <d v="2024-10-02T00:00:00"/>
    <s v="VZ-2024-000780"/>
    <x v="5"/>
    <s v="Dočkalová"/>
    <s v="Štýbnarová"/>
    <x v="480"/>
    <m/>
    <m/>
    <s v="vypsaná VZ"/>
    <s v="33140000-3"/>
    <m/>
    <n v="932400"/>
    <x v="1"/>
    <d v="2024-10-04T00:00:00"/>
    <d v="2024-10-16T00:00:00"/>
    <m/>
    <m/>
    <m/>
    <m/>
    <m/>
    <m/>
    <m/>
    <m/>
    <m/>
    <m/>
    <x v="2"/>
  </r>
  <r>
    <s v="VZ-2024-000726"/>
    <s v="VZ-2024-000782"/>
    <x v="1"/>
    <s v="Vlčková"/>
    <s v="Bodinková"/>
    <x v="481"/>
    <m/>
    <m/>
    <s v="ZD na podpis"/>
    <s v="09343000-5"/>
    <m/>
    <n v="1940000"/>
    <x v="0"/>
    <m/>
    <m/>
    <m/>
    <m/>
    <m/>
    <m/>
    <m/>
    <m/>
    <m/>
    <m/>
    <m/>
    <m/>
    <x v="2"/>
  </r>
  <r>
    <d v="2024-10-03T00:00:00"/>
    <s v="VZ-2024-000783"/>
    <x v="5"/>
    <s v="Valtová"/>
    <s v="Siková"/>
    <x v="482"/>
    <m/>
    <m/>
    <s v="vypsaná VZ"/>
    <s v="33140000-3"/>
    <m/>
    <n v="13298000"/>
    <x v="0"/>
    <d v="2024-10-10T00:00:00"/>
    <d v="2024-11-14T00:00:00"/>
    <m/>
    <m/>
    <m/>
    <m/>
    <m/>
    <m/>
    <m/>
    <m/>
    <m/>
    <m/>
    <x v="2"/>
  </r>
  <r>
    <d v="2024-10-03T00:00:00"/>
    <s v="VZ-2024-000784"/>
    <x v="5"/>
    <s v="Dočkalová"/>
    <s v="Štýbnarová"/>
    <x v="483"/>
    <m/>
    <m/>
    <s v="vypsaná VZ"/>
    <s v="33162200-5"/>
    <m/>
    <n v="777600"/>
    <x v="1"/>
    <d v="2024-10-08T00:00:00"/>
    <d v="2024-10-21T00:00:00"/>
    <m/>
    <m/>
    <m/>
    <m/>
    <m/>
    <m/>
    <m/>
    <m/>
    <m/>
    <m/>
    <x v="2"/>
  </r>
  <r>
    <d v="2024-10-03T00:00:00"/>
    <s v="VZ-2024-000785"/>
    <x v="1"/>
    <s v="Vlčková"/>
    <s v="Bodinková"/>
    <x v="484"/>
    <m/>
    <m/>
    <s v="připravuje se"/>
    <s v="33661300-4"/>
    <m/>
    <n v="2113221"/>
    <x v="0"/>
    <m/>
    <m/>
    <m/>
    <m/>
    <m/>
    <m/>
    <m/>
    <m/>
    <m/>
    <m/>
    <m/>
    <m/>
    <x v="2"/>
  </r>
  <r>
    <d v="2024-10-04T00:00:00"/>
    <s v="VZ-2024-000786"/>
    <x v="6"/>
    <s v="Srovnal"/>
    <s v="Staňková"/>
    <x v="485"/>
    <m/>
    <m/>
    <s v="vypsaná VZ"/>
    <s v="50720000-8"/>
    <m/>
    <n v="1400000"/>
    <x v="1"/>
    <d v="2024-10-09T00:00:00"/>
    <d v="2024-10-21T00:00:00"/>
    <m/>
    <m/>
    <m/>
    <m/>
    <m/>
    <m/>
    <m/>
    <m/>
    <m/>
    <m/>
    <x v="2"/>
  </r>
  <r>
    <d v="2024-10-07T00:00:00"/>
    <s v="VZ-2024-000787"/>
    <x v="5"/>
    <s v="Dočkalová"/>
    <s v="Hašková"/>
    <x v="486"/>
    <m/>
    <m/>
    <s v="ZD na podpis"/>
    <s v="33140000-3"/>
    <m/>
    <n v="2143000"/>
    <x v="0"/>
    <m/>
    <m/>
    <m/>
    <m/>
    <m/>
    <m/>
    <m/>
    <m/>
    <m/>
    <m/>
    <m/>
    <m/>
    <x v="2"/>
  </r>
  <r>
    <d v="2024-10-09T00:00:00"/>
    <s v="VZ-2024-000792"/>
    <x v="5"/>
    <s v="Dočkalová"/>
    <s v="Siková"/>
    <x v="487"/>
    <m/>
    <m/>
    <s v="vypsaná VZ"/>
    <s v="19520000-7"/>
    <m/>
    <n v="2323660"/>
    <x v="0"/>
    <d v="2024-10-15T00:00:00"/>
    <d v="2024-11-19T00:00:00"/>
    <m/>
    <m/>
    <m/>
    <m/>
    <m/>
    <m/>
    <m/>
    <m/>
    <m/>
    <m/>
    <x v="2"/>
  </r>
  <r>
    <d v="2024-10-14T00:00:00"/>
    <s v="VZ-2024-000793"/>
    <x v="0"/>
    <s v="Zeman"/>
    <s v="Kučera"/>
    <x v="488"/>
    <m/>
    <m/>
    <s v="připravuje se"/>
    <s v="45215100-8"/>
    <s v="1.2.115."/>
    <n v="28500000"/>
    <x v="2"/>
    <m/>
    <m/>
    <m/>
    <m/>
    <m/>
    <m/>
    <m/>
    <m/>
    <m/>
    <m/>
    <m/>
    <m/>
    <x v="2"/>
  </r>
  <r>
    <d v="2024-10-10T00:00:00"/>
    <s v="VZ-2024-000799"/>
    <x v="1"/>
    <s v="Vondrková"/>
    <s v="Hašková"/>
    <x v="489"/>
    <m/>
    <m/>
    <s v="připravuje se"/>
    <s v="33652300-8"/>
    <m/>
    <n v="12692322"/>
    <x v="0"/>
    <m/>
    <m/>
    <m/>
    <m/>
    <m/>
    <m/>
    <m/>
    <m/>
    <m/>
    <m/>
    <m/>
    <m/>
    <x v="2"/>
  </r>
  <r>
    <d v="2024-10-15T00:00:00"/>
    <s v="VZ-2024-000802"/>
    <x v="0"/>
    <s v="Spáčil O."/>
    <s v="Staňková"/>
    <x v="490"/>
    <m/>
    <m/>
    <s v="připravuje se"/>
    <s v="45110000-1"/>
    <s v="1.2.121."/>
    <n v="1033000"/>
    <x v="1"/>
    <m/>
    <m/>
    <m/>
    <m/>
    <m/>
    <m/>
    <m/>
    <m/>
    <m/>
    <m/>
    <m/>
    <m/>
    <x v="2"/>
  </r>
  <r>
    <d v="2024-10-15T00:00:00"/>
    <s v="VZ-2024-000805"/>
    <x v="1"/>
    <s v="Vlčková"/>
    <s v="Hašková"/>
    <x v="491"/>
    <m/>
    <m/>
    <s v="připravuje se"/>
    <s v="33652000-5"/>
    <m/>
    <n v="158522697"/>
    <x v="0"/>
    <m/>
    <m/>
    <m/>
    <m/>
    <m/>
    <m/>
    <m/>
    <m/>
    <m/>
    <m/>
    <m/>
    <m/>
    <x v="2"/>
  </r>
  <r>
    <d v="2024-10-15T00:00:00"/>
    <s v="VZ-2024-000807"/>
    <x v="1"/>
    <s v="Vlčková"/>
    <s v="Siková"/>
    <x v="492"/>
    <m/>
    <m/>
    <s v="připravuje se"/>
    <s v="33652000-5"/>
    <m/>
    <n v="11677756"/>
    <x v="0"/>
    <m/>
    <m/>
    <m/>
    <m/>
    <m/>
    <m/>
    <m/>
    <m/>
    <m/>
    <m/>
    <m/>
    <m/>
    <x v="2"/>
  </r>
  <r>
    <d v="2024-10-15T00:00:00"/>
    <s v="VZ-2024-000808"/>
    <x v="1"/>
    <s v="Vlčková"/>
    <s v="Siková"/>
    <x v="493"/>
    <m/>
    <m/>
    <s v="připravuje se"/>
    <s v="33652000-5"/>
    <m/>
    <n v="9048020"/>
    <x v="0"/>
    <m/>
    <m/>
    <m/>
    <m/>
    <m/>
    <m/>
    <m/>
    <m/>
    <m/>
    <m/>
    <m/>
    <m/>
    <x v="2"/>
  </r>
  <r>
    <d v="2024-10-15T00:00:00"/>
    <s v="VZ-2024-000823-01"/>
    <x v="2"/>
    <s v="Skulová"/>
    <s v="Zdražilová"/>
    <x v="494"/>
    <n v="1"/>
    <s v="UZV pro III. IK"/>
    <s v="připravuje se"/>
    <s v="33112200-0"/>
    <s v="2.3.786."/>
    <n v="2460000"/>
    <x v="0"/>
    <m/>
    <m/>
    <m/>
    <m/>
    <m/>
    <m/>
    <m/>
    <m/>
    <m/>
    <m/>
    <m/>
    <m/>
    <x v="2"/>
  </r>
  <r>
    <d v="2024-10-15T00:00:00"/>
    <s v="VZ-2024-000823-02"/>
    <x v="2"/>
    <s v="Skulová"/>
    <s v="Zdražilová"/>
    <x v="494"/>
    <n v="2"/>
    <s v="UZV pro KCHIR"/>
    <s v="připravuje se"/>
    <s v="33112200-0"/>
    <s v="2.3.860."/>
    <n v="1760000"/>
    <x v="0"/>
    <m/>
    <m/>
    <m/>
    <m/>
    <m/>
    <m/>
    <m/>
    <m/>
    <m/>
    <m/>
    <m/>
    <m/>
    <x v="2"/>
  </r>
  <r>
    <d v="2024-10-15T00:00:00"/>
    <s v="VZ-2024-000823-03"/>
    <x v="2"/>
    <s v="Skulová"/>
    <s v="Zdražilová"/>
    <x v="494"/>
    <n v="3"/>
    <s v="Echokardiograf pro I. IK"/>
    <s v="připravuje se"/>
    <s v="33112200-0"/>
    <s v="2.2.668."/>
    <n v="1382240"/>
    <x v="0"/>
    <m/>
    <m/>
    <m/>
    <m/>
    <m/>
    <m/>
    <m/>
    <m/>
    <m/>
    <m/>
    <m/>
    <m/>
    <x v="2"/>
  </r>
  <r>
    <d v="2024-10-15T00:00:00"/>
    <s v="VZ-2024-000823-04"/>
    <x v="2"/>
    <s v="Skulová"/>
    <s v="Zdražilová"/>
    <x v="494"/>
    <n v="4"/>
    <s v="UZV sonda pro DK"/>
    <s v="připravuje se"/>
    <s v="33112200-0"/>
    <m/>
    <n v="129000"/>
    <x v="0"/>
    <m/>
    <m/>
    <m/>
    <m/>
    <m/>
    <m/>
    <m/>
    <m/>
    <m/>
    <m/>
    <m/>
    <m/>
    <x v="2"/>
  </r>
  <r>
    <d v="2024-10-15T00:00:00"/>
    <s v="VZ-2024-000825"/>
    <x v="12"/>
    <s v="Svozil"/>
    <m/>
    <x v="495"/>
    <m/>
    <m/>
    <s v="připravuje se"/>
    <m/>
    <m/>
    <n v="5800000"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  <r>
    <m/>
    <m/>
    <x v="16"/>
    <m/>
    <m/>
    <x v="496"/>
    <m/>
    <m/>
    <m/>
    <m/>
    <m/>
    <m/>
    <x v="6"/>
    <m/>
    <m/>
    <m/>
    <m/>
    <m/>
    <m/>
    <m/>
    <m/>
    <m/>
    <m/>
    <m/>
    <m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8">
  <r>
    <d v="2023-03-01T00:00:00"/>
    <s v="VZ-2023-000268"/>
    <x v="0"/>
    <s v="Valíček"/>
    <s v="Kučera"/>
    <x v="0"/>
    <x v="0"/>
    <m/>
    <s v="podepsaná smlouva"/>
    <s v="45000000-7"/>
    <m/>
    <n v="3495000000"/>
    <x v="0"/>
    <d v="2023-12-19T00:00:00"/>
    <d v="2024-06-07T00:00:00"/>
    <d v="2024-06-25T00:00:00"/>
    <s v="GEMO, OHLA ŽS, HOCHTIEF"/>
    <m/>
    <n v="3479900000"/>
    <n v="4210679000"/>
    <m/>
    <m/>
    <m/>
    <d v="2024-06-26T00:00:00"/>
    <s v="SMLN-2024-618-100031_x000a_SMLN-2024-618-100032_x000a_SMLN-2024-618-100033"/>
    <x v="0"/>
    <m/>
    <d v="2028-06-01T00:00:00"/>
  </r>
  <r>
    <d v="2023-12-20T00:00:00"/>
    <s v="VZ-2023-001525-01"/>
    <x v="1"/>
    <s v="Vlčková"/>
    <s v="Hašková"/>
    <x v="1"/>
    <x v="1"/>
    <s v="SYMBICORT"/>
    <s v="podepsaná smlouva"/>
    <s v="33670000-7"/>
    <m/>
    <n v="6133954"/>
    <x v="0"/>
    <d v="2024-01-09T00:00:00"/>
    <d v="2024-03-30T00:00:00"/>
    <d v="2024-04-24T00:00:00"/>
    <s v="PHOENIX lék. velkoobchod, s.r.o."/>
    <m/>
    <n v="6123479.5199999996"/>
    <n v="6858297.0599999996"/>
    <m/>
    <m/>
    <m/>
    <d v="2024-04-24T00:00:00"/>
    <s v="SMLN-2024-617-100253"/>
    <x v="1"/>
    <d v="2024-05-20T00:00:00"/>
    <d v="2027-05-16T00:00:00"/>
  </r>
  <r>
    <d v="2023-12-20T00:00:00"/>
    <s v="VZ-2023-001525-02"/>
    <x v="1"/>
    <s v="Vlčková"/>
    <s v="Hašková"/>
    <x v="1"/>
    <x v="2"/>
    <s v="FORMOTEROL A BUDESONID"/>
    <s v="zrušeno"/>
    <s v="33670000-7"/>
    <m/>
    <n v="67452"/>
    <x v="0"/>
    <d v="2024-01-09T00:00:00"/>
    <d v="2024-03-30T00:00:00"/>
    <m/>
    <s v="zrušeno - bez nabídky"/>
    <s v="nová VZ-2024-000332-02"/>
    <m/>
    <m/>
    <m/>
    <m/>
    <m/>
    <m/>
    <m/>
    <x v="2"/>
    <d v="2024-05-15T00:00:00"/>
    <s v="17.4.2024 zrušeno"/>
  </r>
  <r>
    <d v="2023-12-20T00:00:00"/>
    <s v="VZ-2023-001525-03"/>
    <x v="1"/>
    <s v="Vlčková"/>
    <s v="Hašková"/>
    <x v="1"/>
    <x v="3"/>
    <s v="Relvar Ellipta"/>
    <s v="podepsaná smlouva"/>
    <s v="33670000-7"/>
    <m/>
    <n v="4551400"/>
    <x v="0"/>
    <d v="2024-01-09T00:00:00"/>
    <d v="2024-03-30T00:00:00"/>
    <d v="2024-04-24T00:00:00"/>
    <s v="PHARMOS, a.s."/>
    <m/>
    <n v="4550952.3"/>
    <n v="5097066.58"/>
    <m/>
    <m/>
    <m/>
    <d v="2024-04-24T00:00:00"/>
    <s v="SMLN-2024-617-100254"/>
    <x v="1"/>
    <d v="2024-05-20T00:00:00"/>
    <d v="2027-05-16T00:00:00"/>
  </r>
  <r>
    <d v="2023-12-20T00:00:00"/>
    <s v="VZ-2023-001525-04"/>
    <x v="1"/>
    <s v="Vlčková"/>
    <s v="Hašková"/>
    <x v="1"/>
    <x v="4"/>
    <s v="FORMOTEROL A BEKLOMETASON"/>
    <s v="podepsaná smlouva"/>
    <s v="33670000-7"/>
    <m/>
    <n v="4356153"/>
    <x v="0"/>
    <d v="2024-01-09T00:00:00"/>
    <d v="2024-03-30T00:00:00"/>
    <d v="2024-04-24T00:00:00"/>
    <s v="PHOENIX lék. velkoobchod, s.r.o."/>
    <m/>
    <n v="4309758.72"/>
    <n v="4826929.7699999996"/>
    <m/>
    <m/>
    <m/>
    <d v="2024-04-24T00:00:00"/>
    <s v="SMLN-2024-617-100255"/>
    <x v="1"/>
    <d v="2024-05-20T00:00:00"/>
    <d v="2027-05-16T00:00:00"/>
  </r>
  <r>
    <d v="2023-12-20T00:00:00"/>
    <s v="VZ-2023-001525-05"/>
    <x v="1"/>
    <s v="Vlčková"/>
    <s v="Hašková"/>
    <x v="1"/>
    <x v="5"/>
    <s v="Flutiform"/>
    <s v="zrušeno"/>
    <s v="33670000-7"/>
    <m/>
    <n v="2530650"/>
    <x v="0"/>
    <d v="2024-01-09T00:00:00"/>
    <d v="2024-03-30T00:00:00"/>
    <m/>
    <s v="zrušeno - bez nabídky"/>
    <s v="nová VZ-2024-000332-03"/>
    <m/>
    <m/>
    <m/>
    <m/>
    <m/>
    <m/>
    <m/>
    <x v="2"/>
    <d v="2024-05-15T00:00:00"/>
    <s v="17.4.2024 zrušeno"/>
  </r>
  <r>
    <d v="2023-12-20T00:00:00"/>
    <s v="VZ-2023-001525-06"/>
    <x v="1"/>
    <s v="Vlčková"/>
    <s v="Hašková"/>
    <x v="1"/>
    <x v="6"/>
    <s v="ATECTURA BREEZHALER "/>
    <s v="podepsaná smlouva"/>
    <s v="33670000-7"/>
    <m/>
    <n v="107161"/>
    <x v="0"/>
    <d v="2024-01-09T00:00:00"/>
    <d v="2024-03-30T00:00:00"/>
    <d v="2024-04-24T00:00:00"/>
    <s v="Alliance Healthcare s.r.o."/>
    <m/>
    <n v="107160"/>
    <n v="120019.2"/>
    <m/>
    <m/>
    <m/>
    <d v="2024-04-24T00:00:00"/>
    <s v="SMLN-2024-617-100256"/>
    <x v="1"/>
    <d v="2024-05-20T00:00:00"/>
    <d v="2027-05-16T00:00:00"/>
  </r>
  <r>
    <d v="2023-12-20T00:00:00"/>
    <s v="VZ-2023-001526-01"/>
    <x v="1"/>
    <s v="Vlčková"/>
    <s v="Hašková"/>
    <x v="2"/>
    <x v="1"/>
    <s v="Acetylcystein"/>
    <s v="zrušeno"/>
    <s v="33670000-7"/>
    <m/>
    <n v="257634"/>
    <x v="0"/>
    <d v="2024-01-09T00:00:00"/>
    <d v="2024-02-13T00:00:00"/>
    <m/>
    <s v="zrušeno - bez nabídky"/>
    <s v="nová VZ-2024-000313"/>
    <m/>
    <m/>
    <m/>
    <m/>
    <m/>
    <m/>
    <m/>
    <x v="2"/>
    <d v="2024-04-10T00:00:00"/>
    <s v="14.3.2024 zrušeno"/>
  </r>
  <r>
    <d v="2023-12-20T00:00:00"/>
    <s v="VZ-2023-001526-02"/>
    <x v="1"/>
    <s v="Vlčková"/>
    <s v="Hašková"/>
    <x v="2"/>
    <x v="2"/>
    <s v="Ambroxol-hydrochlorid"/>
    <s v="podepsaná smlouva"/>
    <s v="33670000-7"/>
    <m/>
    <n v="218256"/>
    <x v="0"/>
    <d v="2024-01-09T00:00:00"/>
    <d v="2024-02-13T00:00:00"/>
    <d v="2024-04-03T00:00:00"/>
    <s v="PHARMOS, a.s."/>
    <m/>
    <n v="201696"/>
    <n v="225899.51999999999"/>
    <m/>
    <m/>
    <m/>
    <d v="2024-04-03T00:00:00"/>
    <s v="SMLN-2024-617-100188"/>
    <x v="3"/>
    <d v="2024-04-23T00:00:00"/>
    <d v="2027-04-21T00:00:00"/>
  </r>
  <r>
    <d v="2023-12-20T00:00:00"/>
    <s v="VZ-2023-001526-03"/>
    <x v="1"/>
    <s v="Vlčková"/>
    <s v="Hašková"/>
    <x v="2"/>
    <x v="3"/>
    <s v="DORNASA ALFA "/>
    <s v="podepsaná smlouva"/>
    <s v="33670000-7"/>
    <m/>
    <n v="4753612"/>
    <x v="0"/>
    <d v="2024-01-09T00:00:00"/>
    <d v="2024-02-13T00:00:00"/>
    <d v="2024-04-03T00:00:00"/>
    <s v="PHOENIX lék. velkoobchod, s.r.o."/>
    <m/>
    <n v="4752185.28"/>
    <n v="5322447.51"/>
    <m/>
    <m/>
    <m/>
    <d v="2024-04-03T00:00:00"/>
    <s v="SMLN-2024-617-100189"/>
    <x v="3"/>
    <d v="2024-04-23T00:00:00"/>
    <d v="2027-04-21T00:00:00"/>
  </r>
  <r>
    <d v="2023-12-20T00:00:00"/>
    <s v="VZ-2023-001526-04"/>
    <x v="1"/>
    <s v="Vlčková"/>
    <s v="Hašková"/>
    <x v="2"/>
    <x v="4"/>
    <s v="ERDOSTEIN "/>
    <s v="podepsaná smlouva"/>
    <s v="33670000-7"/>
    <m/>
    <n v="5678724"/>
    <x v="0"/>
    <d v="2024-01-09T00:00:00"/>
    <d v="2024-02-13T00:00:00"/>
    <d v="2024-04-03T00:00:00"/>
    <s v="PHARMOS, a.s."/>
    <m/>
    <n v="5658883.8300000001"/>
    <n v="6337949.8899999997"/>
    <m/>
    <m/>
    <m/>
    <d v="2024-04-03T00:00:00"/>
    <s v="SMLN-2024-617-100190"/>
    <x v="3"/>
    <d v="2024-04-23T00:00:00"/>
    <d v="2027-04-21T00:00:00"/>
  </r>
  <r>
    <d v="2023-12-20T00:00:00"/>
    <s v="VZ-2023-001532"/>
    <x v="0"/>
    <s v="Spáčil"/>
    <s v="Staňková"/>
    <x v="3"/>
    <x v="0"/>
    <m/>
    <s v="podepsaná smlouva"/>
    <s v="45233290-8"/>
    <s v="1.2.108."/>
    <n v="1000000"/>
    <x v="1"/>
    <d v="2024-01-04T00:00:00"/>
    <d v="2024-01-15T00:00:00"/>
    <d v="2024-01-19T00:00:00"/>
    <s v="SEKNE, spol. s r.o."/>
    <m/>
    <n v="565673.68999999994"/>
    <n v="684465.16"/>
    <m/>
    <m/>
    <m/>
    <d v="2024-01-19T00:00:00"/>
    <s v="SMLN-2024-618-100005"/>
    <x v="4"/>
    <d v="2024-02-06T00:00:00"/>
    <m/>
  </r>
  <r>
    <d v="2023-12-11T00:00:00"/>
    <s v="VZ-2024-000008-01"/>
    <x v="1"/>
    <s v="Vlčková"/>
    <s v="Bodinková"/>
    <x v="4"/>
    <x v="1"/>
    <s v="Berodual"/>
    <s v="zrušeno"/>
    <s v="33670000-7"/>
    <m/>
    <n v="1923663"/>
    <x v="0"/>
    <d v="2024-01-10T00:00:00"/>
    <d v="2024-03-22T00:00:00"/>
    <m/>
    <s v="zrušeno - bez nabídky"/>
    <s v="nová VZ-2024-000332-01"/>
    <m/>
    <m/>
    <m/>
    <m/>
    <m/>
    <m/>
    <m/>
    <x v="2"/>
    <d v="2024-05-15T00:00:00"/>
    <s v="18.4.2024 zrušeno"/>
  </r>
  <r>
    <d v="2023-12-11T00:00:00"/>
    <s v="VZ-2024-000008-02"/>
    <x v="1"/>
    <s v="Vlčková"/>
    <s v="Bodinková"/>
    <x v="4"/>
    <x v="2"/>
    <s v="Ultibro Brezhaler"/>
    <s v="podepsaná smlouva"/>
    <s v="33670000-7"/>
    <m/>
    <n v="895830"/>
    <x v="0"/>
    <d v="2024-01-10T00:00:00"/>
    <d v="2024-03-22T00:00:00"/>
    <d v="2024-04-24T00:00:00"/>
    <s v="Alliance Healthcare s.r.o."/>
    <m/>
    <n v="895829.76"/>
    <n v="1003329.33"/>
    <m/>
    <m/>
    <m/>
    <d v="2024-04-24T00:00:00"/>
    <s v="SMLN-2024-617-100263"/>
    <x v="5"/>
    <d v="2024-05-27T00:00:00"/>
    <d v="2027-05-23T00:00:00"/>
  </r>
  <r>
    <d v="2023-12-11T00:00:00"/>
    <s v="VZ-2024-000008-03"/>
    <x v="1"/>
    <s v="Vlčková"/>
    <s v="Bodinková"/>
    <x v="4"/>
    <x v="3"/>
    <s v="FORMOTEROL A AKLIDINIUM-BROMID"/>
    <s v="podepsaná smlouva"/>
    <s v="33670000-7"/>
    <m/>
    <n v="801622"/>
    <x v="0"/>
    <d v="2024-01-10T00:00:00"/>
    <d v="2024-03-22T00:00:00"/>
    <d v="2024-04-24T00:00:00"/>
    <s v="PHOENIX lék. velkoobchod, s.r.o."/>
    <m/>
    <n v="799080.93"/>
    <n v="894970.64"/>
    <m/>
    <m/>
    <m/>
    <d v="2024-04-24T00:00:00"/>
    <s v="SMLN-2024-617-100264"/>
    <x v="6"/>
    <d v="2024-05-27T00:00:00"/>
    <d v="2027-05-22T00:00:00"/>
  </r>
  <r>
    <d v="2023-12-11T00:00:00"/>
    <s v="VZ-2024-000008-04"/>
    <x v="1"/>
    <s v="Vlčková"/>
    <s v="Bodinková"/>
    <x v="4"/>
    <x v="4"/>
    <s v="Bevespi aerosphere"/>
    <s v="podepsaná smlouva"/>
    <s v="33670000-7"/>
    <m/>
    <n v="250008"/>
    <x v="0"/>
    <d v="2024-01-10T00:00:00"/>
    <d v="2024-03-22T00:00:00"/>
    <d v="2024-04-24T00:00:00"/>
    <s v="PHOENIX lék. velkoobchod, s.r.o."/>
    <m/>
    <n v="250008"/>
    <n v="280008.96000000002"/>
    <m/>
    <m/>
    <m/>
    <d v="2024-04-24T00:00:00"/>
    <s v="SMLN-2024-617-100265"/>
    <x v="6"/>
    <d v="2024-05-27T00:00:00"/>
    <d v="2027-05-22T00:00:00"/>
  </r>
  <r>
    <d v="2023-12-11T00:00:00"/>
    <s v="VZ-2024-000008-05"/>
    <x v="1"/>
    <s v="Vlčková"/>
    <s v="Bodinková"/>
    <x v="4"/>
    <x v="5"/>
    <s v="Spiolto"/>
    <s v="zrušeno"/>
    <s v="33670000-7"/>
    <m/>
    <n v="3096948"/>
    <x v="0"/>
    <d v="2024-01-10T00:00:00"/>
    <d v="2024-03-22T00:00:00"/>
    <m/>
    <s v="zrušeno - bez nabídky"/>
    <s v="nová VZ-2024-000332-02"/>
    <m/>
    <m/>
    <m/>
    <m/>
    <m/>
    <m/>
    <m/>
    <x v="2"/>
    <d v="2024-05-15T00:00:00"/>
    <s v="18.4.2024 zrušeno"/>
  </r>
  <r>
    <d v="2024-01-03T00:00:00"/>
    <s v="VZ-2024-000010"/>
    <x v="2"/>
    <s v="Skulová"/>
    <s v="Štýbnarová"/>
    <x v="5"/>
    <x v="0"/>
    <m/>
    <s v="zrušeno"/>
    <s v="42912330-4"/>
    <s v="2.3.709."/>
    <n v="440000"/>
    <x v="1"/>
    <d v="2024-01-08T00:00:00"/>
    <d v="2024-01-22T00:00:00"/>
    <m/>
    <s v="zrušeno - bez hodnotitelné nabídky"/>
    <s v="nová VZ-2024-000116"/>
    <m/>
    <m/>
    <m/>
    <m/>
    <m/>
    <m/>
    <m/>
    <x v="2"/>
    <d v="2024-01-31T00:00:00"/>
    <m/>
  </r>
  <r>
    <d v="2023-09-21T00:00:00"/>
    <s v="VZ-2024-000011"/>
    <x v="3"/>
    <s v="Zemánková"/>
    <s v="Bodinková"/>
    <x v="6"/>
    <x v="0"/>
    <m/>
    <s v="podepsaná smlouva"/>
    <s v="33694000-1_x000a_38434000-"/>
    <m/>
    <n v="254733510"/>
    <x v="0"/>
    <d v="2024-01-05T00:00:00"/>
    <d v="2024-03-01T00:00:00"/>
    <d v="2024-04-05T00:00:00"/>
    <s v="ROCHE s.r.o."/>
    <m/>
    <n v="104921063.52"/>
    <n v="126954486.84999999"/>
    <m/>
    <m/>
    <m/>
    <d v="2024-04-05T00:00:00"/>
    <s v="SMLN-2024-617-100202_x000a_SMLN-2024-616-100028"/>
    <x v="7"/>
    <d v="2024-05-06T00:00:00"/>
    <s v="8 let"/>
  </r>
  <r>
    <d v="2024-01-05T00:00:00"/>
    <s v="VZ-2024-000014"/>
    <x v="2"/>
    <s v="Skulová"/>
    <s v="Zdražilová"/>
    <x v="7"/>
    <x v="0"/>
    <m/>
    <s v="zrušeno"/>
    <s v="33192230-3"/>
    <s v="2.3.720."/>
    <n v="1320000"/>
    <x v="0"/>
    <d v="2024-01-10T00:00:00"/>
    <d v="2024-02-15T00:00:00"/>
    <m/>
    <s v="zrušeno - bez hodnotitelné nabídky"/>
    <s v="nová VZ-2024-000333"/>
    <m/>
    <m/>
    <m/>
    <m/>
    <m/>
    <m/>
    <m/>
    <x v="2"/>
    <d v="2024-04-12T00:00:00"/>
    <s v="2.4.2024 zrušeno"/>
  </r>
  <r>
    <d v="2024-01-05T00:00:00"/>
    <s v="VZ-2024-000015"/>
    <x v="2"/>
    <s v="Skulová"/>
    <s v="Staňková"/>
    <x v="8"/>
    <x v="0"/>
    <m/>
    <s v="podepsaná smlouva"/>
    <s v="33121500-9"/>
    <s v="2.3.802,818,821,825"/>
    <n v="408000"/>
    <x v="1"/>
    <d v="2024-01-10T00:00:00"/>
    <d v="2024-01-22T00:00:00"/>
    <d v="2024-02-02T00:00:00"/>
    <s v="BTL zdravotnická technika, a.s."/>
    <m/>
    <n v="405600"/>
    <n v="490776"/>
    <m/>
    <m/>
    <m/>
    <d v="2024-02-02T00:00:00"/>
    <s v="SMLN-2024-617-100055_x000a_SMLN-2024-612-100014"/>
    <x v="8"/>
    <d v="2024-02-13T00:00:00"/>
    <d v="2024-05-07T00:00:00"/>
  </r>
  <r>
    <d v="2024-01-05T00:00:00"/>
    <s v="VZ-2024-000017"/>
    <x v="2"/>
    <s v="Skulová"/>
    <s v="Štýbnarová"/>
    <x v="9"/>
    <x v="0"/>
    <m/>
    <s v="zrušeno"/>
    <s v="33192120-9"/>
    <s v="2.3.773"/>
    <n v="1496528"/>
    <x v="1"/>
    <d v="2024-01-10T00:00:00"/>
    <d v="2024-01-24T00:00:00"/>
    <m/>
    <s v="zrušeno"/>
    <s v="nová VZ-2024-000189"/>
    <m/>
    <m/>
    <m/>
    <m/>
    <m/>
    <m/>
    <m/>
    <x v="2"/>
    <d v="2024-02-15T00:00:00"/>
    <m/>
  </r>
  <r>
    <d v="2024-01-05T00:00:00"/>
    <s v="VZ-2024-000018"/>
    <x v="2"/>
    <s v="Skulová"/>
    <s v="Staňková"/>
    <x v="10"/>
    <x v="0"/>
    <m/>
    <s v="podepsaná smlouva"/>
    <s v="33124100-6"/>
    <s v="2.2.621"/>
    <n v="810000"/>
    <x v="1"/>
    <d v="2024-01-10T00:00:00"/>
    <d v="2024-01-22T00:00:00"/>
    <d v="2024-01-25T00:00:00"/>
    <s v="Perfect Distribution a.s."/>
    <m/>
    <n v="730800"/>
    <n v="884268"/>
    <m/>
    <m/>
    <m/>
    <d v="2024-01-25T00:00:00"/>
    <s v="SMLN-2024-617-100044_x000a_SMLN-2024-612-100012"/>
    <x v="9"/>
    <d v="2024-02-01T00:00:00"/>
    <d v="2024-02-14T00:00:00"/>
  </r>
  <r>
    <d v="2024-12-20T00:00:00"/>
    <s v="VZ-2024-000020"/>
    <x v="0"/>
    <s v="Langer"/>
    <s v="Kučera"/>
    <x v="11"/>
    <x v="0"/>
    <s v="původně VZ-2023-001523"/>
    <s v="podepsaná smlouva"/>
    <s v="45000000-7_x000a_ 45215100-8 "/>
    <m/>
    <n v="325000000"/>
    <x v="0"/>
    <d v="2024-02-27T00:00:00"/>
    <d v="2024-06-28T00:00:00"/>
    <d v="2024-07-04T00:00:00"/>
    <s v="OHLA ŽS, a.s."/>
    <m/>
    <n v="226355651.81999999"/>
    <n v="273890338.69999999"/>
    <m/>
    <m/>
    <m/>
    <d v="2024-07-04T00:00:00"/>
    <s v="SMLN-2024-618-100034"/>
    <x v="10"/>
    <d v="2024-08-23T00:00:00"/>
    <m/>
  </r>
  <r>
    <d v="2024-01-09T00:00:00"/>
    <s v="VZ-2024-000031"/>
    <x v="1"/>
    <s v="Vondrková"/>
    <s v="Hašková"/>
    <x v="12"/>
    <x v="0"/>
    <m/>
    <s v="podepsaná smlouva"/>
    <s v="33651100-9"/>
    <m/>
    <n v="6161766"/>
    <x v="0"/>
    <d v="2024-01-15T00:00:00"/>
    <d v="2024-02-19T00:00:00"/>
    <d v="2024-03-26T00:00:00"/>
    <s v="Alliance Healthcare s.r.o."/>
    <m/>
    <n v="6068683.5"/>
    <n v="6796925.5199999996"/>
    <m/>
    <m/>
    <m/>
    <d v="2024-03-26T00:00:00"/>
    <s v="SMLN-2024-617-100171"/>
    <x v="3"/>
    <d v="2024-04-23T00:00:00"/>
    <d v="2027-04-21T00:00:00"/>
  </r>
  <r>
    <d v="2024-01-09T00:00:00"/>
    <s v="VZ-2024-000032"/>
    <x v="1"/>
    <s v="Vondrková"/>
    <s v="Hašková"/>
    <x v="13"/>
    <x v="0"/>
    <m/>
    <s v="podepsaná smlouva"/>
    <s v="33652000-5"/>
    <m/>
    <n v="1503046"/>
    <x v="1"/>
    <d v="2024-01-17T00:00:00"/>
    <d v="2024-02-08T00:00:00"/>
    <d v="2024-02-27T00:00:00"/>
    <s v="BAXTER CZECH spol. s r.o."/>
    <m/>
    <n v="1452789"/>
    <n v="1627123.68"/>
    <m/>
    <m/>
    <m/>
    <d v="2024-02-27T00:00:00"/>
    <s v="SMLN-2024-617-100105"/>
    <x v="11"/>
    <d v="2024-03-14T00:00:00"/>
    <d v="2027-05-03T00:00:00"/>
  </r>
  <r>
    <d v="2024-01-09T00:00:00"/>
    <s v="VZ-2024-000033"/>
    <x v="1"/>
    <s v="Vondrková"/>
    <s v="Hašková"/>
    <x v="14"/>
    <x v="0"/>
    <m/>
    <s v="podepsaná smlouva"/>
    <s v="33652200-7"/>
    <m/>
    <n v="1270265"/>
    <x v="1"/>
    <d v="2024-01-17T00:00:00"/>
    <d v="2024-01-31T00:00:00"/>
    <d v="2024-02-21T00:00:00"/>
    <s v="Alliance Healthcare s.r.o."/>
    <m/>
    <n v="1120072.8"/>
    <n v="1254481.54"/>
    <m/>
    <m/>
    <m/>
    <d v="2024-02-21T00:00:00"/>
    <s v="SMLN-2024-617-100084"/>
    <x v="12"/>
    <d v="2024-03-01T00:00:00"/>
    <d v="2027-06-09T00:00:00"/>
  </r>
  <r>
    <d v="2024-01-09T00:00:00"/>
    <s v="VZ-2024-000034"/>
    <x v="1"/>
    <s v="Vondrková"/>
    <s v="Hašková"/>
    <x v="15"/>
    <x v="0"/>
    <m/>
    <s v="zrušeno"/>
    <s v="33652000-5"/>
    <m/>
    <n v="1190600"/>
    <x v="1"/>
    <d v="2024-01-12T00:00:00"/>
    <d v="2024-01-31T00:00:00"/>
    <m/>
    <s v="zrušeno - bez nabídky"/>
    <s v="nová VZ-2024-000449"/>
    <m/>
    <m/>
    <m/>
    <m/>
    <m/>
    <m/>
    <m/>
    <x v="2"/>
    <d v="2024-01-31T00:00:00"/>
    <m/>
  </r>
  <r>
    <d v="2024-01-10T00:00:00"/>
    <s v="VZ-2024-000037"/>
    <x v="2"/>
    <s v="Skulová"/>
    <s v="Štýbnarová"/>
    <x v="16"/>
    <x v="0"/>
    <m/>
    <s v="podepsaná smlouva"/>
    <s v="33171100-0"/>
    <s v="2.3.826, 2.2.610"/>
    <n v="930000"/>
    <x v="1"/>
    <d v="2024-01-15T00:00:00"/>
    <d v="2024-01-26T00:00:00"/>
    <d v="2024-02-14T00:00:00"/>
    <s v="G P S Praha, spol. s r.o."/>
    <m/>
    <n v="900400"/>
    <n v="1089484"/>
    <m/>
    <m/>
    <m/>
    <d v="2024-02-14T00:00:00"/>
    <s v="SMLN-2024-617-100071_x000a_SMLN-2024-612-100018"/>
    <x v="13"/>
    <d v="2024-02-23T00:00:00"/>
    <d v="2024-04-23T00:00:00"/>
  </r>
  <r>
    <d v="2024-01-09T00:00:00"/>
    <s v="VZ-2024-000039-01"/>
    <x v="1"/>
    <s v="Vlčková"/>
    <s v="Bodinková"/>
    <x v="17"/>
    <x v="1"/>
    <s v="DENOSUMAB"/>
    <s v="podepsaná smlouva"/>
    <s v="33632000-9"/>
    <m/>
    <n v="33050425"/>
    <x v="0"/>
    <d v="2024-01-18T00:00:00"/>
    <d v="2024-02-22T00:00:00"/>
    <d v="2024-03-19T00:00:00"/>
    <s v="Amgen s.r.o."/>
    <m/>
    <n v="32761504.59"/>
    <n v="36692885.140000001"/>
    <m/>
    <m/>
    <m/>
    <d v="2024-03-19T00:00:00"/>
    <s v="SMLN-2024-617-100151"/>
    <x v="14"/>
    <d v="2024-04-08T00:00:00"/>
    <d v="2027-06-15T00:00:00"/>
  </r>
  <r>
    <d v="2024-01-09T00:00:00"/>
    <s v="VZ-2024-000039-02"/>
    <x v="1"/>
    <s v="Vlčková"/>
    <s v="Bodinková"/>
    <x v="17"/>
    <x v="2"/>
    <s v="BUROZUMAB"/>
    <s v="podepsaná smlouva"/>
    <s v="33632000-9"/>
    <m/>
    <n v="13402526"/>
    <x v="0"/>
    <d v="2024-01-18T00:00:00"/>
    <d v="2024-02-22T00:00:00"/>
    <d v="2024-03-19T00:00:00"/>
    <s v="PHOENIX lék. velkoobchod, s.r.o."/>
    <m/>
    <n v="13672645.35"/>
    <n v="15313362.789999999"/>
    <m/>
    <m/>
    <m/>
    <d v="2024-03-19T00:00:00"/>
    <s v="SMLN-2024-617-100152"/>
    <x v="14"/>
    <d v="2024-04-08T00:00:00"/>
    <d v="2027-06-06T00:00:00"/>
  </r>
  <r>
    <d v="2024-01-09T00:00:00"/>
    <s v="VZ-2024-000040"/>
    <x v="1"/>
    <s v="Vlčková"/>
    <s v="Bodinková"/>
    <x v="18"/>
    <x v="0"/>
    <m/>
    <s v="podepsaná smlouva"/>
    <s v="33630000-5"/>
    <m/>
    <n v="53438862"/>
    <x v="0"/>
    <d v="2024-01-16T00:00:00"/>
    <d v="2024-02-21T00:00:00"/>
    <d v="2024-03-11T00:00:00"/>
    <s v="Sanofi s.r.o."/>
    <m/>
    <n v="53438859.93"/>
    <n v="59851523.119999997"/>
    <m/>
    <m/>
    <m/>
    <d v="2024-03-11T00:00:00"/>
    <s v="SMLN-2024-617-100136"/>
    <x v="15"/>
    <d v="2024-03-20T00:00:00"/>
    <d v="2027-07-20T00:00:00"/>
  </r>
  <r>
    <d v="2024-01-10T00:00:00"/>
    <s v="VZ-2024-000044"/>
    <x v="4"/>
    <s v="Zdráhalová"/>
    <s v="Staňková"/>
    <x v="19"/>
    <x v="0"/>
    <m/>
    <s v="podepsaná smlouva"/>
    <s v="30199000-0"/>
    <m/>
    <n v="1324225.1399999999"/>
    <x v="1"/>
    <d v="2024-01-12T00:00:00"/>
    <d v="2024-01-23T00:00:00"/>
    <d v="2024-02-07T00:00:00"/>
    <s v="Bartoň a Partner s.r.o."/>
    <m/>
    <n v="1267536.77"/>
    <n v="1533719.5"/>
    <m/>
    <m/>
    <m/>
    <d v="2024-02-07T00:00:00"/>
    <s v="SMLN-2024-617-100059"/>
    <x v="16"/>
    <d v="2024-02-20T00:00:00"/>
    <d v="2025-02-19T00:00:00"/>
  </r>
  <r>
    <d v="2023-11-21T00:00:00"/>
    <s v="VZ-2024-000045"/>
    <x v="2"/>
    <s v="Skulová"/>
    <s v="Kučera"/>
    <x v="20"/>
    <x v="0"/>
    <s v="původně VZ-2023-001441"/>
    <s v="zrušeno"/>
    <s v="33111720-4"/>
    <s v="2.2.593."/>
    <n v="51640000"/>
    <x v="0"/>
    <d v="2024-01-22T00:00:00"/>
    <d v="2024-03-15T00:00:00"/>
    <m/>
    <s v="zrušeno - bez hodnotitelné nabídky"/>
    <s v="nová VZ-2024-000371"/>
    <m/>
    <m/>
    <m/>
    <m/>
    <m/>
    <m/>
    <m/>
    <x v="2"/>
    <d v="2024-05-17T00:00:00"/>
    <s v="22.4.2024 zrušeno"/>
  </r>
  <r>
    <d v="2024-01-11T00:00:00"/>
    <s v="VZ-2024-000047"/>
    <x v="5"/>
    <s v="Valtová"/>
    <s v="Štýbnarová"/>
    <x v="21"/>
    <x v="0"/>
    <m/>
    <s v="podepsaná smlouva"/>
    <s v="33140000–3"/>
    <m/>
    <n v="604000"/>
    <x v="1"/>
    <d v="2024-01-12T00:00:00"/>
    <d v="2024-01-29T00:00:00"/>
    <d v="2024-02-01T00:00:00"/>
    <s v="Olympus Czech Group, s.r.o., člen koncernu"/>
    <m/>
    <n v="766400"/>
    <n v="858368"/>
    <m/>
    <m/>
    <m/>
    <d v="2024-02-01T00:00:00"/>
    <s v="SMLN-2024-617-100052_x000a_SMLN-2024-614-100004"/>
    <x v="17"/>
    <d v="2024-02-12T00:00:00"/>
    <d v="2028-04-18T00:00:00"/>
  </r>
  <r>
    <d v="2024-01-11T00:00:00"/>
    <s v="VZ-2024-000050"/>
    <x v="5"/>
    <s v="Dočkalová"/>
    <s v="Staňková"/>
    <x v="22"/>
    <x v="0"/>
    <m/>
    <s v="podepsaná smlouva"/>
    <s v="33731110-7"/>
    <m/>
    <n v="531000"/>
    <x v="1"/>
    <d v="2024-01-17T00:00:00"/>
    <d v="2024-01-29T00:00:00"/>
    <d v="2024-02-02T00:00:00"/>
    <s v="Medicontur CZ s.r.o."/>
    <m/>
    <n v="531000"/>
    <n v="594720"/>
    <m/>
    <m/>
    <m/>
    <d v="2024-02-02T00:00:00"/>
    <s v="SMLN-2024-617-100054"/>
    <x v="17"/>
    <d v="2024-02-12T00:00:00"/>
    <d v="2027-04-23T00:00:00"/>
  </r>
  <r>
    <d v="2024-01-11T00:00:00"/>
    <s v="VZ-2024-000057"/>
    <x v="2"/>
    <s v="Skulová"/>
    <s v="Kučera"/>
    <x v="23"/>
    <x v="0"/>
    <m/>
    <s v="podepsaná smlouva"/>
    <s v="33112000-8"/>
    <s v="2.2.522"/>
    <n v="3075000"/>
    <x v="2"/>
    <d v="2024-02-19T00:00:00"/>
    <d v="2024-03-07T00:00:00"/>
    <d v="2024-04-05T00:00:00"/>
    <s v="CARDION s.r.o."/>
    <m/>
    <n v="2924142.8"/>
    <n v="3322261"/>
    <m/>
    <m/>
    <m/>
    <d v="2024-04-05T00:00:00"/>
    <s v="SMLN-2024-617-100199_x000a_SMLN-2024-612-100043_x000a_SMLN-2024-617-100201"/>
    <x v="18"/>
    <d v="2024-05-03T00:00:00"/>
    <d v="2024-05-18T00:00:00"/>
  </r>
  <r>
    <d v="2024-01-16T00:00:00"/>
    <s v="VZ-2024-000058-01"/>
    <x v="2"/>
    <s v="Skulová"/>
    <s v="Zdražilová"/>
    <x v="24"/>
    <x v="1"/>
    <s v="Flexibilní videoendoskop pro ORL"/>
    <s v="podepsaná smlouva"/>
    <s v="33168100-6"/>
    <s v="2.3.782"/>
    <n v="410000"/>
    <x v="0"/>
    <d v="2024-01-23T00:00:00"/>
    <d v="2024-02-28T00:00:00"/>
    <d v="2024-04-11T00:00:00"/>
    <s v="Olympus Czech Group, s.r.o., člen koncernu"/>
    <m/>
    <n v="386100"/>
    <n v="467181"/>
    <m/>
    <m/>
    <m/>
    <d v="2024-04-11T00:00:00"/>
    <s v="SMLN-2024-617-100215_x000a_SMLN-2024-612-100045"/>
    <x v="19"/>
    <d v="2024-05-20T00:00:00"/>
    <d v="2024-06-27T00:00:00"/>
  </r>
  <r>
    <d v="2024-01-16T00:00:00"/>
    <s v="VZ-2024-000058-02"/>
    <x v="2"/>
    <s v="Skulová"/>
    <s v="Zdražilová"/>
    <x v="24"/>
    <x v="2"/>
    <s v="Endoskopy pro II.IK"/>
    <s v="podepsaná smlouva"/>
    <s v="33168100-6"/>
    <s v="2.3.785"/>
    <n v="1990000"/>
    <x v="0"/>
    <d v="2024-01-23T00:00:00"/>
    <d v="2024-02-28T00:00:00"/>
    <d v="2024-04-11T00:00:00"/>
    <s v="Olympus Czech Group, s.r.o., člen koncernu"/>
    <m/>
    <n v="1907700"/>
    <n v="2308317"/>
    <m/>
    <m/>
    <m/>
    <d v="2024-04-11T00:00:00"/>
    <s v="SMLN-2024-617-100216_x000a_SMLN-2024-612-100046"/>
    <x v="20"/>
    <d v="2024-05-20T00:00:00"/>
    <d v="2025-05-07T00:00:00"/>
  </r>
  <r>
    <d v="2024-01-16T00:00:00"/>
    <s v="VZ-2024-000058-03"/>
    <x v="2"/>
    <s v="Skulová"/>
    <s v="Zdražilová"/>
    <x v="24"/>
    <x v="3"/>
    <s v="Radiální sonda k endosonografu"/>
    <s v="podepsaná smlouva"/>
    <s v="33168100-6"/>
    <s v="2.3.788"/>
    <n v="228000"/>
    <x v="0"/>
    <d v="2024-01-23T00:00:00"/>
    <d v="2024-02-28T00:00:00"/>
    <d v="2024-04-11T00:00:00"/>
    <s v="Olympus Czech Group, s.r.o., člen koncernu"/>
    <m/>
    <n v="227144"/>
    <n v="274844.24"/>
    <m/>
    <m/>
    <m/>
    <d v="2024-04-11T00:00:00"/>
    <s v="SMLN-2024-617-100217"/>
    <x v="20"/>
    <d v="2024-05-20T00:00:00"/>
    <d v="2024-06-18T00:00:00"/>
  </r>
  <r>
    <d v="2024-01-15T00:00:00"/>
    <s v="VZ-2024-000059"/>
    <x v="4"/>
    <s v="Zdráhalová"/>
    <s v="Zdražilová"/>
    <x v="25"/>
    <x v="0"/>
    <m/>
    <s v="podepsaná smlouva"/>
    <s v="30197644-2"/>
    <m/>
    <n v="2540000"/>
    <x v="2"/>
    <d v="2024-01-23T00:00:00"/>
    <d v="2024-02-12T00:00:00"/>
    <d v="2024-03-11T00:00:00"/>
    <s v="Office Assistance s.r.o."/>
    <m/>
    <n v="1098380"/>
    <n v="1329039.8"/>
    <m/>
    <m/>
    <m/>
    <d v="2024-03-11T00:00:00"/>
    <s v="SMLN-2024-617-100140"/>
    <x v="21"/>
    <d v="2024-04-08T00:00:00"/>
    <d v="2025-04-01T00:00:00"/>
  </r>
  <r>
    <d v="2024-01-15T00:00:00"/>
    <s v="VZ-2024-000061"/>
    <x v="5"/>
    <s v="Dočkalová"/>
    <s v="Hašková"/>
    <x v="26"/>
    <x v="0"/>
    <m/>
    <s v="smlouva v kolečku"/>
    <s v="33141310-6"/>
    <m/>
    <n v="5024700"/>
    <x v="0"/>
    <d v="2024-01-22T00:00:00"/>
    <d v="2024-02-29T00:00:00"/>
    <d v="2024-07-31T00:00:00"/>
    <s v="Z+M Partner , spol. s r.o."/>
    <m/>
    <n v="6503020.7999999998"/>
    <n v="7283383.2999999998"/>
    <m/>
    <m/>
    <m/>
    <d v="2024-07-31T00:00:00"/>
    <s v="SMLN-2024-617-100434"/>
    <x v="2"/>
    <m/>
    <m/>
  </r>
  <r>
    <d v="2024-01-17T00:00:00"/>
    <s v="VZ-2024-000063"/>
    <x v="1"/>
    <s v="Vlčková"/>
    <s v="Bodinková"/>
    <x v="27"/>
    <x v="0"/>
    <m/>
    <s v="podepsaná smlouva"/>
    <s v="33652000-5"/>
    <m/>
    <n v="5249326"/>
    <x v="0"/>
    <d v="2024-01-23T00:00:00"/>
    <d v="2024-02-27T00:00:00"/>
    <d v="2024-03-04T00:00:00"/>
    <s v="PHOENIX lék. velkoobchod, s.r.o."/>
    <m/>
    <n v="5249324.82"/>
    <n v="5879243.7999999998"/>
    <m/>
    <m/>
    <m/>
    <d v="2024-03-04T00:00:00"/>
    <s v="SMLN-2024-617-100123"/>
    <x v="15"/>
    <d v="2024-03-21T00:00:00"/>
    <d v="2027-06-02T00:00:00"/>
  </r>
  <r>
    <d v="2024-01-17T00:00:00"/>
    <s v="VZ-2024-000065"/>
    <x v="3"/>
    <s v="Zemánková"/>
    <s v="Hašková"/>
    <x v="28"/>
    <x v="0"/>
    <m/>
    <s v="zrušeno"/>
    <s v="38434000-6_x000a_33694000-1"/>
    <s v="2.3.780"/>
    <n v="1788590"/>
    <x v="1"/>
    <d v="2024-02-02T00:00:00"/>
    <d v="2024-02-16T00:00:00"/>
    <m/>
    <s v="zrušeno - bez nabídky"/>
    <m/>
    <m/>
    <m/>
    <m/>
    <m/>
    <m/>
    <m/>
    <m/>
    <x v="2"/>
    <d v="2024-02-21T00:00:00"/>
    <m/>
  </r>
  <r>
    <d v="2024-01-17T00:00:00"/>
    <s v="VZ-2024-000066"/>
    <x v="1"/>
    <s v="Vondrková"/>
    <s v="Staňková"/>
    <x v="29"/>
    <x v="0"/>
    <m/>
    <s v="podepsaná smlouva"/>
    <s v="33652000-5"/>
    <m/>
    <n v="1293812"/>
    <x v="1"/>
    <d v="2024-01-19T00:00:00"/>
    <d v="2024-02-08T00:00:00"/>
    <d v="2024-02-15T00:00:00"/>
    <s v="BAXTER CZECH spol. s r.o."/>
    <m/>
    <n v="1242325.5"/>
    <n v="1391404.56"/>
    <m/>
    <m/>
    <m/>
    <d v="2024-02-15T00:00:00"/>
    <s v="SMLN-2024-617-100073"/>
    <x v="13"/>
    <d v="2024-02-23T00:00:00"/>
    <d v="2027-05-03T00:00:00"/>
  </r>
  <r>
    <d v="2024-01-17T00:00:00"/>
    <s v="VZ-2024-000067"/>
    <x v="2"/>
    <s v="Skulová"/>
    <s v="Zdražilová"/>
    <x v="30"/>
    <x v="0"/>
    <m/>
    <s v="podepsaná smlouva"/>
    <s v="33160000-9_x000a_33162000-3"/>
    <s v="2.3.774"/>
    <n v="13336600"/>
    <x v="0"/>
    <d v="2024-01-23T00:00:00"/>
    <d v="2024-02-29T00:00:00"/>
    <d v="2024-03-22T00:00:00"/>
    <s v="Carl Zeiss spol. s r.o."/>
    <m/>
    <n v="13311600"/>
    <n v="16107036"/>
    <m/>
    <m/>
    <m/>
    <d v="2024-03-22T00:00:00"/>
    <s v="SMLN-2024-617-100162_x000a_SMLN-2024-612-100038"/>
    <x v="22"/>
    <d v="2024-04-25T00:00:00"/>
    <d v="2024-09-03T00:00:00"/>
  </r>
  <r>
    <d v="2024-01-17T00:00:00"/>
    <s v="VZ-2024-000068"/>
    <x v="1"/>
    <s v="Vondrková"/>
    <s v="Štýbnarová"/>
    <x v="31"/>
    <x v="0"/>
    <m/>
    <s v="podepsaná smlouva"/>
    <s v="33652200-7"/>
    <m/>
    <n v="763028"/>
    <x v="1"/>
    <d v="2024-01-22T00:00:00"/>
    <d v="2024-02-02T00:00:00"/>
    <d v="2024-02-08T00:00:00"/>
    <s v="PROMEDICA PRAHA GROUP, a.s."/>
    <m/>
    <n v="743700.36"/>
    <n v="832244.04"/>
    <m/>
    <m/>
    <m/>
    <d v="2024-02-08T00:00:00"/>
    <s v="SMLN-2024-617-100062"/>
    <x v="23"/>
    <d v="2024-02-16T00:00:00"/>
    <d v="2027-02-15T00:00:00"/>
  </r>
  <r>
    <d v="2024-01-18T00:00:00"/>
    <s v="VZ-2024-000070"/>
    <x v="1"/>
    <s v="Vondrková"/>
    <s v="Štýbnarová"/>
    <x v="32"/>
    <x v="0"/>
    <m/>
    <s v="zrušeno"/>
    <s v="33692510-5"/>
    <m/>
    <n v="1206432"/>
    <x v="1"/>
    <d v="2024-01-22T00:00:00"/>
    <d v="2024-02-02T00:00:00"/>
    <m/>
    <s v="zrušeno - bez nabídky"/>
    <m/>
    <m/>
    <m/>
    <m/>
    <m/>
    <m/>
    <m/>
    <m/>
    <x v="2"/>
    <d v="2024-02-02T00:00:00"/>
    <m/>
  </r>
  <r>
    <d v="2024-01-19T00:00:00"/>
    <s v="VZ-2024-000072-01"/>
    <x v="2"/>
    <s v="Skulová"/>
    <s v="Štýbnarová"/>
    <x v="33"/>
    <x v="1"/>
    <s v="Hlubokomrazící box"/>
    <s v="podepsaná smlouva"/>
    <s v="39711100-0"/>
    <s v="2.2.617"/>
    <n v="330000"/>
    <x v="1"/>
    <d v="2024-01-22T00:00:00"/>
    <d v="2024-02-12T00:00:00"/>
    <d v="2024-02-22T00:00:00"/>
    <s v="KRD - obchodní společnost s.r.o."/>
    <m/>
    <n v="327000"/>
    <n v="395670"/>
    <m/>
    <m/>
    <m/>
    <d v="2024-02-22T00:00:00"/>
    <s v="SMLN-2024-617-100087_x000a_SMLN-2024-612-100023"/>
    <x v="24"/>
    <d v="2024-03-07T00:00:00"/>
    <d v="2024-05-15T00:00:00"/>
  </r>
  <r>
    <d v="2024-01-19T00:00:00"/>
    <s v="VZ-2024-000072-02"/>
    <x v="2"/>
    <s v="Skulová"/>
    <s v="Štýbnarová"/>
    <x v="33"/>
    <x v="2"/>
    <s v="Laboratorní lednice s mrazákem"/>
    <s v="podepsaná smlouva"/>
    <s v="39711100-0"/>
    <s v="2.2.594"/>
    <n v="120000"/>
    <x v="1"/>
    <d v="2024-01-22T00:00:00"/>
    <d v="2024-02-12T00:00:00"/>
    <d v="2024-02-22T00:00:00"/>
    <s v="SCHOELLER INSTRUMENTS, s.r.o."/>
    <m/>
    <n v="82400"/>
    <n v="99704"/>
    <m/>
    <m/>
    <m/>
    <d v="2024-02-22T00:00:00"/>
    <s v="SMLN-2024-617-100088_x000a_SMLN-2024-612-100024"/>
    <x v="25"/>
    <d v="2024-03-01T00:00:00"/>
    <d v="2024-04-30T00:00:00"/>
  </r>
  <r>
    <d v="2024-01-19T00:00:00"/>
    <s v="VZ-2024-000074"/>
    <x v="6"/>
    <s v="Srovnal"/>
    <s v="Staňková"/>
    <x v="34"/>
    <x v="0"/>
    <m/>
    <s v="podepsaná smlouva"/>
    <s v="79417000-0"/>
    <m/>
    <n v="1950000"/>
    <x v="1"/>
    <d v="2024-02-15T00:00:00"/>
    <d v="2024-03-12T00:00:00"/>
    <d v="2024-04-02T00:00:00"/>
    <s v="EBIS, spol. s r.o."/>
    <m/>
    <n v="858080"/>
    <n v="1038276.8"/>
    <m/>
    <m/>
    <m/>
    <d v="2024-04-02T00:00:00"/>
    <s v="SMLN-2024-612-100041"/>
    <x v="18"/>
    <d v="2024-04-19T00:00:00"/>
    <d v="2024-06-27T00:00:00"/>
  </r>
  <r>
    <d v="2024-01-19T00:00:00"/>
    <s v="VZ-2024-000076-01"/>
    <x v="2"/>
    <s v="Skulová"/>
    <s v="Zdražilová"/>
    <x v="35"/>
    <x v="1"/>
    <s v="Mobilní záznamové zařízení pro centrální operační sály (COS)"/>
    <s v="podepsaná smlouva"/>
    <s v="33197000-7"/>
    <s v="2.2.325"/>
    <n v="623229"/>
    <x v="0"/>
    <d v="2024-01-26T00:00:00"/>
    <d v="2024-04-04T00:00:00"/>
    <d v="2024-05-06T00:00:00"/>
    <s v="Medirecord CZ s.r.o."/>
    <m/>
    <n v="558879"/>
    <n v="676243.59"/>
    <m/>
    <m/>
    <m/>
    <d v="2024-05-06T00:00:00"/>
    <s v="SMLN-2024-617-100287_x000a_SMLN-2024-612-100060"/>
    <x v="19"/>
    <d v="2024-05-20T00:00:00"/>
    <d v="2024-06-24T00:00:00"/>
  </r>
  <r>
    <d v="2024-01-19T00:00:00"/>
    <s v="VZ-2024-000076-02"/>
    <x v="2"/>
    <s v="Skulová"/>
    <s v="Zdražilová"/>
    <x v="35"/>
    <x v="2"/>
    <s v="Nahrávací zařízení s videomaticí pro 2. interní kliniku"/>
    <s v="podepsaná smlouva"/>
    <s v="33197000-7"/>
    <s v="2.3.631"/>
    <n v="1105344"/>
    <x v="0"/>
    <d v="2024-01-26T00:00:00"/>
    <d v="2024-04-04T00:00:00"/>
    <d v="2024-05-06T00:00:00"/>
    <s v="Medirecord CZ s.r.o."/>
    <m/>
    <n v="1040994"/>
    <n v="1259602.74"/>
    <m/>
    <m/>
    <m/>
    <d v="2024-05-06T00:00:00"/>
    <s v="SMLN-2024-617-100288_x000a_SMLN-2024-612-100061"/>
    <x v="19"/>
    <d v="2024-05-20T00:00:00"/>
    <d v="2024-06-24T00:00:00"/>
  </r>
  <r>
    <d v="2024-01-19T00:00:00"/>
    <s v="VZ-2024-000077"/>
    <x v="4"/>
    <s v="Zdráhalová"/>
    <s v="Staňková"/>
    <x v="36"/>
    <x v="0"/>
    <m/>
    <s v="podepsaná smlouva"/>
    <s v="39830000-9"/>
    <m/>
    <n v="902868"/>
    <x v="1"/>
    <d v="2024-01-22T00:00:00"/>
    <d v="2024-02-02T00:00:00"/>
    <d v="2024-02-26T00:00:00"/>
    <s v="KARFO velkoobchod s.r.o."/>
    <m/>
    <n v="845333.15"/>
    <n v="1022853.11"/>
    <m/>
    <m/>
    <m/>
    <d v="2024-02-26T00:00:00"/>
    <s v="SMLN-2024-617-100100"/>
    <x v="24"/>
    <d v="2024-03-07T00:00:00"/>
    <d v="2025-03-05T00:00:00"/>
  </r>
  <r>
    <d v="2024-01-16T00:00:00"/>
    <s v="VZ-2024-000081"/>
    <x v="5"/>
    <s v="Dočkalová"/>
    <s v="Hašková"/>
    <x v="37"/>
    <x v="0"/>
    <m/>
    <s v="zrušeno"/>
    <s v="33140000-3"/>
    <m/>
    <n v="5670000"/>
    <x v="0"/>
    <d v="2024-01-23T00:00:00"/>
    <d v="2024-02-27T00:00:00"/>
    <m/>
    <s v="zrušeno - oprava zadání"/>
    <m/>
    <m/>
    <m/>
    <m/>
    <m/>
    <m/>
    <m/>
    <m/>
    <x v="2"/>
    <d v="2024-06-07T00:00:00"/>
    <s v="22.5.2024 zrušeno"/>
  </r>
  <r>
    <d v="2024-01-22T00:00:00"/>
    <s v="VZ-2024-000086"/>
    <x v="1"/>
    <s v="Vlčková"/>
    <s v="Hašková"/>
    <x v="38"/>
    <x v="0"/>
    <m/>
    <s v="podepsaná smlouva"/>
    <s v="33642000-2"/>
    <m/>
    <n v="3524091"/>
    <x v="0"/>
    <d v="2024-01-25T00:00:00"/>
    <d v="2024-02-29T00:00:00"/>
    <d v="2024-03-26T00:00:00"/>
    <s v="Alliance Healthcare s.r.o."/>
    <m/>
    <n v="3461074.41"/>
    <n v="3876403.34"/>
    <m/>
    <m/>
    <m/>
    <d v="2024-03-26T00:00:00"/>
    <s v="SMLN-2024-617-100169"/>
    <x v="26"/>
    <d v="2024-05-02T00:00:00"/>
    <d v="2027-07-20T00:00:00"/>
  </r>
  <r>
    <d v="2024-01-22T00:00:00"/>
    <s v="VZ-2024-000087-01"/>
    <x v="1"/>
    <s v="Vlčková"/>
    <s v="Hašková"/>
    <x v="39"/>
    <x v="1"/>
    <s v="INTERFERON BETA-1A I."/>
    <s v="zrušeno"/>
    <s v="33652000-5"/>
    <m/>
    <n v="45602115"/>
    <x v="0"/>
    <d v="2024-01-25T00:00:00"/>
    <d v="2024-02-29T00:00:00"/>
    <m/>
    <s v="zrušeno - změna v distribuci"/>
    <s v="VZ-2024-000320"/>
    <m/>
    <m/>
    <m/>
    <m/>
    <m/>
    <m/>
    <m/>
    <x v="2"/>
    <d v="2024-03-08T00:00:00"/>
    <s v="12.2.2024 zrušeno"/>
  </r>
  <r>
    <d v="2024-01-22T00:00:00"/>
    <s v="VZ-2024-000087-02"/>
    <x v="1"/>
    <s v="Vlčková"/>
    <s v="Hašková"/>
    <x v="39"/>
    <x v="2"/>
    <s v="INTERFERON BETA-1A II."/>
    <s v="podepsaná smlouva"/>
    <s v="33652000-5"/>
    <m/>
    <n v="40527433"/>
    <x v="0"/>
    <d v="2024-01-25T00:00:00"/>
    <d v="2024-02-29T00:00:00"/>
    <d v="2024-03-26T00:00:00"/>
    <s v="Avenier a.s."/>
    <m/>
    <n v="40503598.079999998"/>
    <n v="45364029.850000001"/>
    <m/>
    <m/>
    <m/>
    <d v="2024-03-26T00:00:00"/>
    <s v="SMLN-2024-617-100173"/>
    <x v="3"/>
    <d v="2024-04-23T00:00:00"/>
    <d v="2027-05-12T00:00:00"/>
  </r>
  <r>
    <d v="2024-01-17T00:00:00"/>
    <s v="VZ-2024-000088-01"/>
    <x v="1"/>
    <s v="Vlčková"/>
    <s v="Bodinková"/>
    <x v="40"/>
    <x v="1"/>
    <s v="IVAKAFTOR A TEZAKAFTOR"/>
    <s v="podepsaná smlouva"/>
    <s v="33670000-7"/>
    <m/>
    <n v="9879982"/>
    <x v="0"/>
    <d v="2024-01-26T00:00:00"/>
    <d v="2024-06-18T00:00:00"/>
    <d v="2024-08-09T00:00:00"/>
    <s v="Vertex Pharmaceuticals (Ireland) Limited"/>
    <m/>
    <n v="9879980.5500000007"/>
    <n v="11065578.220000001"/>
    <m/>
    <m/>
    <m/>
    <d v="2024-08-09T00:00:00"/>
    <s v="SMLN-2024-617-100448"/>
    <x v="27"/>
    <d v="2024-08-28T00:00:00"/>
    <d v="2027-08-26T00:00:00"/>
  </r>
  <r>
    <d v="2024-01-17T00:00:00"/>
    <s v="VZ-2024-000088-02"/>
    <x v="1"/>
    <s v="Vlčková"/>
    <s v="Bodinková"/>
    <x v="40"/>
    <x v="2"/>
    <s v="IVAKAFTOR A LUMAKAFTOR"/>
    <s v="podepsaná smlouva"/>
    <s v="33670000-7"/>
    <m/>
    <n v="122146781"/>
    <x v="0"/>
    <d v="2024-01-26T00:00:00"/>
    <d v="2024-06-18T00:00:00"/>
    <d v="2024-08-09T00:00:00"/>
    <s v="Vertex Pharmaceuticals (Ireland) Limited"/>
    <m/>
    <n v="121146779.42"/>
    <n v="136804392.94999999"/>
    <m/>
    <m/>
    <m/>
    <d v="2024-08-09T00:00:00"/>
    <s v="SMLN-2024-617-100449"/>
    <x v="27"/>
    <d v="2024-08-28T00:00:00"/>
    <d v="2027-08-26T00:00:00"/>
  </r>
  <r>
    <d v="2024-01-22T00:00:00"/>
    <s v="VZ-2024-000089"/>
    <x v="2"/>
    <s v="Skulová"/>
    <s v="Zdražilová"/>
    <x v="41"/>
    <x v="0"/>
    <m/>
    <s v="podepsaná smlouva"/>
    <s v="33124120-2"/>
    <s v="2.3.777"/>
    <n v="3925000"/>
    <x v="0"/>
    <d v="2024-01-26T00:00:00"/>
    <d v="2024-03-01T00:00:00"/>
    <d v="2024-03-21T00:00:00"/>
    <s v="MEDKONSULT, s.r.o."/>
    <m/>
    <n v="3845300"/>
    <n v="4652813"/>
    <m/>
    <m/>
    <m/>
    <d v="2024-03-21T00:00:00"/>
    <s v="SMLN-2024-617-100160_x000a_SMLN-2024-612-100036"/>
    <x v="14"/>
    <d v="2024-04-08T00:00:00"/>
    <d v="2024-06-13T00:00:00"/>
  </r>
  <r>
    <d v="2024-01-23T00:00:00"/>
    <s v="VZ-2024-000091"/>
    <x v="5"/>
    <s v="Merta"/>
    <s v="Hašková"/>
    <x v="42"/>
    <x v="0"/>
    <m/>
    <s v="podepsaná smlouva"/>
    <s v="33182220-7"/>
    <m/>
    <n v="290110000"/>
    <x v="0"/>
    <d v="2024-02-09T00:00:00"/>
    <d v="2024-03-15T00:00:00"/>
    <d v="2024-03-25T00:00:00"/>
    <s v="CARDION s.r.o."/>
    <m/>
    <n v="290110000"/>
    <n v="324923200"/>
    <m/>
    <m/>
    <m/>
    <d v="2024-03-26T00:00:00"/>
    <s v="SMLN-2024-617-100167_x000a_SMLN-2024-614-100019"/>
    <x v="28"/>
    <d v="2024-04-23T00:00:00"/>
    <d v="2028-04-11T00:00:00"/>
  </r>
  <r>
    <d v="2024-01-22T00:00:00"/>
    <s v="VZ-2024-000096"/>
    <x v="7"/>
    <s v="Oravec"/>
    <s v="Staňková"/>
    <x v="43"/>
    <x v="0"/>
    <m/>
    <s v="podepsaná smlouva"/>
    <s v="72268000-1"/>
    <m/>
    <n v="1430000"/>
    <x v="1"/>
    <d v="2024-01-29T00:00:00"/>
    <d v="2024-02-09T00:00:00"/>
    <d v="2024-02-29T00:00:00"/>
    <s v="Conceptica s.r.o."/>
    <m/>
    <n v="957400"/>
    <n v="1158454"/>
    <m/>
    <m/>
    <m/>
    <d v="2024-02-29T00:00:00"/>
    <s v="SMLN-2024-618-100007_x000a_SMLN-2024-612-100029"/>
    <x v="24"/>
    <d v="2024-03-07T00:00:00"/>
    <d v="2024-10-05T00:00:00"/>
  </r>
  <r>
    <d v="2024-01-19T00:00:00"/>
    <s v="VZ-2024-000097"/>
    <x v="5"/>
    <s v="Dočkalová"/>
    <s v="Štýbnarová"/>
    <x v="44"/>
    <x v="0"/>
    <m/>
    <s v="podepsaná smlouva"/>
    <s v="33140000-3"/>
    <m/>
    <n v="1425680"/>
    <x v="1"/>
    <d v="2024-01-29T00:00:00"/>
    <d v="2024-02-09T00:00:00"/>
    <d v="2024-02-20T00:00:00"/>
    <s v="DYNEX LabSolutions, s.r.o."/>
    <m/>
    <n v="1853294"/>
    <n v="2242485.7400000002"/>
    <m/>
    <m/>
    <m/>
    <d v="2024-02-20T00:00:00"/>
    <s v="SMLN-2024-617-100078"/>
    <x v="29"/>
    <d v="2024-02-27T00:00:00"/>
    <d v="2028-02-26T00:00:00"/>
  </r>
  <r>
    <d v="2024-01-23T00:00:00"/>
    <s v="VZ-2024-000098"/>
    <x v="1"/>
    <s v="Vlčková"/>
    <s v="Bodinková"/>
    <x v="45"/>
    <x v="0"/>
    <m/>
    <s v="podepsaná smlouva"/>
    <s v="33652300-8"/>
    <m/>
    <n v="7985124"/>
    <x v="0"/>
    <d v="2024-01-26T00:00:00"/>
    <d v="2024-03-01T00:00:00"/>
    <d v="2024-04-03T00:00:00"/>
    <s v="Janssen-Cilag s.r.o."/>
    <m/>
    <n v="7985018.1600000001"/>
    <n v="8943220.3399999999"/>
    <m/>
    <m/>
    <m/>
    <d v="2024-04-03T00:00:00"/>
    <s v="SMLN-2024-617-100187"/>
    <x v="22"/>
    <d v="2024-04-17T00:00:00"/>
    <d v="2027-04-15T00:00:00"/>
  </r>
  <r>
    <d v="2024-01-24T00:00:00"/>
    <s v="VZ-2024-000099"/>
    <x v="1"/>
    <s v="Vondrková"/>
    <s v="Bodinková"/>
    <x v="46"/>
    <x v="0"/>
    <m/>
    <s v="podepsaná smlouva"/>
    <s v="33652300-8"/>
    <m/>
    <n v="7869981"/>
    <x v="0"/>
    <d v="2024-01-26T00:00:00"/>
    <d v="2024-03-01T00:00:00"/>
    <d v="2024-03-26T00:00:00"/>
    <s v="Janssen-Cilag s.r.o."/>
    <m/>
    <n v="7869980.1600000001"/>
    <n v="8814377.7799999993"/>
    <m/>
    <m/>
    <m/>
    <d v="2024-03-26T00:00:00"/>
    <s v="SMLN-2024-617-100174"/>
    <x v="22"/>
    <d v="2024-04-17T00:00:00"/>
    <d v="2027-04-15T00:00:00"/>
  </r>
  <r>
    <d v="2024-01-24T00:00:00"/>
    <s v="VZ-2024-000100"/>
    <x v="1"/>
    <s v="Vondrková"/>
    <s v="Bodinková"/>
    <x v="47"/>
    <x v="0"/>
    <m/>
    <s v="podepsaná smlouva"/>
    <s v="33652100-6"/>
    <m/>
    <n v="4279897"/>
    <x v="0"/>
    <d v="2024-01-26T00:00:00"/>
    <d v="2024-03-01T00:00:00"/>
    <d v="2024-04-04T00:00:00"/>
    <s v="Alliance Healthcare s.r.o."/>
    <m/>
    <n v="4279896.12"/>
    <n v="4793483.6500000004"/>
    <m/>
    <m/>
    <m/>
    <d v="2024-04-05T00:00:00"/>
    <s v="SMLN-2024-617-100193"/>
    <x v="18"/>
    <d v="2024-04-22T00:00:00"/>
    <d v="2028-05-25T00:00:00"/>
  </r>
  <r>
    <d v="2024-01-26T00:00:00"/>
    <s v="VZ-2024-000106"/>
    <x v="5"/>
    <s v="Čech"/>
    <s v="Zdražilová"/>
    <x v="48"/>
    <x v="0"/>
    <m/>
    <s v="zaveden DNS"/>
    <s v="33162200-5, 33169000"/>
    <m/>
    <n v="50000000"/>
    <x v="3"/>
    <d v="2024-02-06T00:00:00"/>
    <d v="2024-03-11T00:00:00"/>
    <d v="2024-04-05T00:00:00"/>
    <s v="9 dodavatelů"/>
    <m/>
    <m/>
    <m/>
    <m/>
    <m/>
    <m/>
    <m/>
    <m/>
    <x v="2"/>
    <d v="2024-04-11T00:00:00"/>
    <m/>
  </r>
  <r>
    <d v="2024-01-26T00:00:00"/>
    <s v="VZ-2024-000107-01"/>
    <x v="5"/>
    <s v="Valtová"/>
    <s v="Hašková"/>
    <x v="49"/>
    <x v="1"/>
    <s v="Katétry pro návrat do pravého lumen cévy I."/>
    <s v="podepsaná smlouva"/>
    <s v="33140000–3"/>
    <m/>
    <n v="1250000"/>
    <x v="2"/>
    <d v="2024-02-05T00:00:00"/>
    <d v="2024-02-26T00:00:00"/>
    <d v="2024-04-17T00:00:00"/>
    <s v="VAMEX, spol. s r.o."/>
    <m/>
    <n v="1425000"/>
    <n v="1596000"/>
    <m/>
    <m/>
    <m/>
    <d v="2024-04-17T00:00:00"/>
    <s v="SMLN-2024-617-100235_x000a_SMLN-2024-614-100028"/>
    <x v="30"/>
    <d v="2024-05-03T00:00:00"/>
    <d v="2028-05-31T00:00:00"/>
  </r>
  <r>
    <d v="2024-01-26T00:00:00"/>
    <s v="VZ-2024-000107-02"/>
    <x v="5"/>
    <s v="Valtová"/>
    <s v="Hašková"/>
    <x v="49"/>
    <x v="2"/>
    <s v="Katétry pro návrat do pravého lumen cévy II."/>
    <s v="podepsaná smlouva"/>
    <s v="33140000–3"/>
    <m/>
    <n v="757145"/>
    <x v="2"/>
    <d v="2024-02-05T00:00:00"/>
    <d v="2024-02-26T00:00:00"/>
    <d v="2024-04-17T00:00:00"/>
    <s v="VarioMedical Plus, s.r.o."/>
    <m/>
    <n v="757144.75"/>
    <n v="848002.12"/>
    <m/>
    <m/>
    <m/>
    <d v="2024-04-17T00:00:00"/>
    <s v="SMLN-2024-617-100236_x000a_SMLN-2024-614-100029"/>
    <x v="7"/>
    <d v="2024-05-03T00:00:00"/>
    <d v="2028-05-31T00:00:00"/>
  </r>
  <r>
    <d v="2024-01-29T00:00:00"/>
    <s v="VZ-2024-000110"/>
    <x v="8"/>
    <s v="Novák"/>
    <s v="Štýbnarová"/>
    <x v="50"/>
    <x v="0"/>
    <m/>
    <s v="zrušeno"/>
    <s v="42514000-2"/>
    <m/>
    <n v="925500"/>
    <x v="1"/>
    <d v="2024-02-01T00:00:00"/>
    <d v="2024-02-12T00:00:00"/>
    <m/>
    <s v="zrušeno - bez hodnotitelné nabídky"/>
    <s v="nová VZ-2024-000181"/>
    <m/>
    <m/>
    <m/>
    <m/>
    <m/>
    <m/>
    <m/>
    <x v="2"/>
    <d v="2024-02-19T00:00:00"/>
    <m/>
  </r>
  <r>
    <d v="2024-01-30T00:00:00"/>
    <s v="VZ-2024-000112"/>
    <x v="6"/>
    <s v="Srovnal"/>
    <s v="Kučera"/>
    <x v="51"/>
    <x v="0"/>
    <m/>
    <s v="zaveden DNS"/>
    <s v="39100000-3"/>
    <m/>
    <n v="25000000"/>
    <x v="3"/>
    <d v="2024-02-06T00:00:00"/>
    <d v="2024-03-11T00:00:00"/>
    <d v="2024-03-21T00:00:00"/>
    <s v="15 dodavatelů"/>
    <m/>
    <m/>
    <m/>
    <m/>
    <m/>
    <m/>
    <m/>
    <m/>
    <x v="2"/>
    <d v="2024-03-28T00:00:00"/>
    <m/>
  </r>
  <r>
    <d v="2024-01-30T00:00:00"/>
    <s v="VZ-2024-000113-01"/>
    <x v="2"/>
    <s v="Skulová"/>
    <s v="Staňková"/>
    <x v="52"/>
    <x v="1"/>
    <s v="Farmaceutická lednice"/>
    <s v="podepsaná smlouva"/>
    <s v="39711100-0"/>
    <s v="2.2.588"/>
    <n v="140000"/>
    <x v="1"/>
    <d v="2024-02-02T00:00:00"/>
    <d v="2024-02-16T00:00:00"/>
    <d v="2024-03-13T00:00:00"/>
    <s v="SCHOELLER INSTRUMENTS, s.r.o."/>
    <m/>
    <n v="101650"/>
    <n v="122996.5"/>
    <m/>
    <m/>
    <m/>
    <d v="2024-03-13T00:00:00"/>
    <s v="SMLN-2024-617-100146_x000a_SMLN-2024-612-100033"/>
    <x v="31"/>
    <d v="2024-03-25T00:00:00"/>
    <d v="2024-05-24T00:00:00"/>
  </r>
  <r>
    <d v="2024-01-30T00:00:00"/>
    <s v="VZ-2024-000113-02"/>
    <x v="2"/>
    <s v="Skulová"/>
    <s v="Staňková"/>
    <x v="52"/>
    <x v="2"/>
    <s v="Chladící skříň"/>
    <s v="podepsaná smlouva"/>
    <s v="39711100-0"/>
    <s v="2.2.630"/>
    <n v="120000"/>
    <x v="1"/>
    <d v="2024-02-02T00:00:00"/>
    <d v="2024-02-16T00:00:00"/>
    <d v="2024-02-23T00:00:00"/>
    <s v="KESA, s.r.o."/>
    <m/>
    <n v="56039"/>
    <n v="67807.19"/>
    <m/>
    <m/>
    <m/>
    <d v="2023-02-23T00:00:00"/>
    <s v="SMLN-2024-617-100091_x000a_SMLN-2024-612-100027"/>
    <x v="15"/>
    <d v="2024-03-20T00:00:00"/>
    <d v="2024-05-18T00:00:00"/>
  </r>
  <r>
    <d v="2024-01-30T00:00:00"/>
    <s v="VZ-2024-000115"/>
    <x v="5"/>
    <s v="Dočkalová"/>
    <s v="Hašková"/>
    <x v="53"/>
    <x v="0"/>
    <m/>
    <s v="zrušeno"/>
    <s v="33184100-4"/>
    <m/>
    <n v="31252173.68"/>
    <x v="0"/>
    <d v="2024-02-07T00:00:00"/>
    <d v="2024-03-18T00:00:00"/>
    <m/>
    <s v="zrušeno - překročení ceny"/>
    <s v="nová VZ-2024-000377"/>
    <m/>
    <m/>
    <m/>
    <m/>
    <m/>
    <m/>
    <m/>
    <x v="2"/>
    <d v="2024-04-30T00:00:00"/>
    <s v="24.4.2024 zrušeno"/>
  </r>
  <r>
    <s v="opakovaná VZ"/>
    <s v="VZ-2024-000116"/>
    <x v="2"/>
    <s v="Skulová"/>
    <s v="Štýbnarová"/>
    <x v="54"/>
    <x v="0"/>
    <m/>
    <s v="podepsaná smlouva"/>
    <s v="42912330-4"/>
    <s v="2.3.709."/>
    <n v="440000"/>
    <x v="1"/>
    <d v="2024-02-01T00:00:00"/>
    <d v="2024-02-12T00:00:00"/>
    <d v="2024-02-22T00:00:00"/>
    <s v="AQUAL s.r.o."/>
    <m/>
    <n v="263666"/>
    <n v="319035.86"/>
    <m/>
    <m/>
    <m/>
    <d v="2024-02-22T00:00:00"/>
    <s v="SMLN-2024-617-100089_x000a_SMLN-2024-612-100025"/>
    <x v="24"/>
    <d v="2024-03-07T00:00:00"/>
    <d v="2024-05-05T00:00:00"/>
  </r>
  <r>
    <s v="převod z roku 2023"/>
    <s v="VZ-2024-000117"/>
    <x v="0"/>
    <s v="Spáčil Z."/>
    <s v="Kučera"/>
    <x v="55"/>
    <x v="0"/>
    <m/>
    <s v="podepsaná smlouva"/>
    <s v="71315400-3 "/>
    <m/>
    <n v="25000000"/>
    <x v="0"/>
    <d v="2024-03-04T00:00:00"/>
    <d v="2024-04-08T00:00:00"/>
    <d v="2024-06-05T00:00:00"/>
    <s v="SAFETY PRO s.r.o."/>
    <m/>
    <n v="23757120"/>
    <n v="28746115.199999999"/>
    <m/>
    <m/>
    <m/>
    <d v="2024-06-05T00:00:00"/>
    <s v="SMLN-2024-613-100019"/>
    <x v="32"/>
    <d v="2024-09-03T00:00:00"/>
    <m/>
  </r>
  <r>
    <d v="2024-01-31T00:00:00"/>
    <s v="VZ-2024-000119"/>
    <x v="7"/>
    <s v="Oravec"/>
    <s v="Staňková"/>
    <x v="56"/>
    <x v="0"/>
    <m/>
    <s v="podepsaná smlouva"/>
    <s v="32250000-0"/>
    <m/>
    <n v="620000"/>
    <x v="1"/>
    <d v="2024-02-12T00:00:00"/>
    <d v="2024-03-04T00:00:00"/>
    <d v="2024-03-13T00:00:00"/>
    <s v="CSF, s.r.o."/>
    <m/>
    <n v="599335"/>
    <n v="725195.35"/>
    <m/>
    <m/>
    <m/>
    <d v="2024-03-13T00:00:00"/>
    <s v="SMLN-2024-617-100143"/>
    <x v="15"/>
    <d v="2024-03-19T00:00:00"/>
    <d v="2025-03-18T00:00:00"/>
  </r>
  <r>
    <d v="2024-02-01T00:00:00"/>
    <s v="VZ-2024-000121"/>
    <x v="1"/>
    <s v="Vondrková"/>
    <s v="Staňková"/>
    <x v="57"/>
    <x v="0"/>
    <m/>
    <s v="zrušeno"/>
    <s v="33652100-6"/>
    <m/>
    <n v="1131201"/>
    <x v="1"/>
    <d v="2024-02-08T00:00:00"/>
    <d v="2024-03-11T00:00:00"/>
    <m/>
    <s v="zrušeno - bez hodnotitelné nabídky"/>
    <s v="nová VZ-2024-000267"/>
    <m/>
    <m/>
    <m/>
    <m/>
    <m/>
    <m/>
    <m/>
    <x v="2"/>
    <d v="2024-03-19T00:00:00"/>
    <m/>
  </r>
  <r>
    <d v="2024-02-01T00:00:00"/>
    <s v="VZ-2024-000122"/>
    <x v="5"/>
    <s v="Valtová"/>
    <s v="Zdražilová"/>
    <x v="58"/>
    <x v="0"/>
    <m/>
    <s v="zrušeno"/>
    <s v="33140000 -3"/>
    <m/>
    <n v="2066400"/>
    <x v="2"/>
    <d v="2024-02-16T00:00:00"/>
    <d v="2024-03-08T00:00:00"/>
    <d v="2024-04-16T00:00:00"/>
    <s v="zrušeno - neposkytnutí součinnosti"/>
    <s v="nová VZ-2024-000483"/>
    <n v="2583000"/>
    <n v="2892960"/>
    <m/>
    <m/>
    <m/>
    <d v="2024-04-16T00:00:00"/>
    <s v="SMLN-2024-617-100223_x000a_SMLN-2024-614-100025"/>
    <x v="2"/>
    <d v="2024-06-13T00:00:00"/>
    <s v="27.5.2024 zrušeno"/>
  </r>
  <r>
    <d v="2024-02-01T00:00:00"/>
    <s v="VZ-2024-000123"/>
    <x v="5"/>
    <s v="Dočkalová"/>
    <s v="Hašková"/>
    <x v="59"/>
    <x v="0"/>
    <m/>
    <s v="podepsaná smlouva"/>
    <s v="33140000 -3"/>
    <m/>
    <n v="5785000"/>
    <x v="0"/>
    <d v="2024-02-07T00:00:00"/>
    <d v="2024-03-13T00:00:00"/>
    <d v="2024-04-08T00:00:00"/>
    <s v="B. Braun Medical s.r.o."/>
    <m/>
    <n v="6597950.8399999999"/>
    <n v="7389704.9400000004"/>
    <m/>
    <m/>
    <m/>
    <d v="2024-04-08T00:00:00"/>
    <s v="SMLN-2024-617-100205_x000a_SMLN-2024-614-100020_x000a_SMLN-2024-616-100029"/>
    <x v="20"/>
    <d v="2024-05-07T00:00:00"/>
    <d v="2027-05-06T00:00:00"/>
  </r>
  <r>
    <d v="2024-02-02T00:00:00"/>
    <s v="VZ-2024-000125"/>
    <x v="6"/>
    <s v="Srovnal"/>
    <s v="Štýbnarová"/>
    <x v="60"/>
    <x v="0"/>
    <m/>
    <s v="podepsaná smlouva"/>
    <s v="39100000-3"/>
    <m/>
    <n v="1500000"/>
    <x v="1"/>
    <d v="2024-02-07T00:00:00"/>
    <d v="2024-03-01T00:00:00"/>
    <d v="2024-03-05T00:00:00"/>
    <s v="TOKA a.s."/>
    <m/>
    <n v="1545199"/>
    <n v="1869690.79"/>
    <m/>
    <m/>
    <m/>
    <d v="2024-03-05T00:00:00"/>
    <s v="SMLN-2024-618-100009"/>
    <x v="15"/>
    <d v="2024-03-19T00:00:00"/>
    <m/>
  </r>
  <r>
    <d v="2024-02-05T00:00:00"/>
    <s v="VZ-2024-000135"/>
    <x v="1"/>
    <s v="Vondrková"/>
    <s v="Bodinková"/>
    <x v="61"/>
    <x v="0"/>
    <m/>
    <s v="podepsaná smlouva"/>
    <s v="33642200-4"/>
    <m/>
    <n v="2209093"/>
    <x v="4"/>
    <d v="2024-02-19T00:00:00"/>
    <d v="2024-03-13T00:00:00"/>
    <d v="2024-04-23T00:00:00"/>
    <s v="PHOENIX lék. velkoobchod, s.r.o."/>
    <m/>
    <n v="2130136.8199999998"/>
    <n v="2385753.2400000002"/>
    <m/>
    <m/>
    <m/>
    <d v="2024-04-23T00:00:00"/>
    <s v="SMLN-2024-617-100252"/>
    <x v="33"/>
    <d v="2024-05-23T00:00:00"/>
    <d v="2025-05-20T00:00:00"/>
  </r>
  <r>
    <d v="2024-02-05T00:00:00"/>
    <s v="VZ-2024-000136"/>
    <x v="2"/>
    <s v="Skulová"/>
    <s v="Štýbnarová"/>
    <x v="62"/>
    <x v="0"/>
    <m/>
    <s v="podepsaná smlouva"/>
    <s v="33192120-9"/>
    <s v="2.2.626."/>
    <n v="570000"/>
    <x v="1"/>
    <d v="2024-02-09T00:00:00"/>
    <d v="2024-02-20T00:00:00"/>
    <d v="2024-02-23T00:00:00"/>
    <s v="PROMA REHA, s.r.o."/>
    <m/>
    <n v="563338.35"/>
    <n v="681639.4"/>
    <m/>
    <m/>
    <m/>
    <d v="2024-02-23T00:00:00"/>
    <s v="SMLN-2024-617-100090_x000a_SMLN-2024-612-100026"/>
    <x v="24"/>
    <d v="2024-03-07T00:00:00"/>
    <d v="2024-08-28T00:00:00"/>
  </r>
  <r>
    <d v="2024-02-05T00:00:00"/>
    <s v="VZ-2024-000138"/>
    <x v="2"/>
    <s v="Skulová"/>
    <s v="Staňková"/>
    <x v="63"/>
    <x v="0"/>
    <m/>
    <s v="podepsaná smlouva"/>
    <s v="33128000-3"/>
    <s v="2.3.810."/>
    <n v="1990000"/>
    <x v="1"/>
    <d v="2024-02-09T00:00:00"/>
    <d v="2024-02-20T00:00:00"/>
    <d v="2024-03-01T00:00:00"/>
    <s v="Medicontur CZ s.r.o."/>
    <m/>
    <n v="1689281"/>
    <n v="2044030.01"/>
    <m/>
    <m/>
    <m/>
    <d v="2024-03-01T00:00:00"/>
    <s v="SMLN-2024-617-100119 SMLN-2024-612-100030"/>
    <x v="34"/>
    <d v="2024-03-18T00:00:00"/>
    <d v="2024-05-14T00:00:00"/>
  </r>
  <r>
    <d v="2024-02-05T00:00:00"/>
    <s v="VZ-2024-000139"/>
    <x v="2"/>
    <s v="Skulová"/>
    <s v="Štýbnarová"/>
    <x v="64"/>
    <x v="0"/>
    <m/>
    <s v="podepsaná smlouva"/>
    <s v="38000000-5"/>
    <s v="2.2.615."/>
    <n v="151000"/>
    <x v="1"/>
    <d v="2024-02-09T00:00:00"/>
    <d v="2024-02-20T00:00:00"/>
    <d v="2024-03-21T00:00:00"/>
    <s v="bamed s.r.o."/>
    <m/>
    <n v="132980.4"/>
    <n v="160906.28"/>
    <m/>
    <m/>
    <m/>
    <d v="2024-03-22T00:00:00"/>
    <s v="SMLN-2024-617-100161_x000a_SMLN-2024-612-100037"/>
    <x v="35"/>
    <d v="2024-03-28T00:00:00"/>
    <d v="2024-07-25T00:00:00"/>
  </r>
  <r>
    <d v="2024-02-05T00:00:00"/>
    <s v="VZ-2024-000140"/>
    <x v="2"/>
    <s v="Skulová"/>
    <s v="Staňková"/>
    <x v="65"/>
    <x v="0"/>
    <m/>
    <s v="podepsaná smlouva"/>
    <s v="38000000-5"/>
    <s v="2.2.614."/>
    <n v="358000"/>
    <x v="1"/>
    <d v="2024-02-09T00:00:00"/>
    <d v="2024-02-20T00:00:00"/>
    <d v="2024-03-05T00:00:00"/>
    <s v="BARIA s.r.o."/>
    <m/>
    <n v="351999"/>
    <n v="421078.79"/>
    <m/>
    <m/>
    <m/>
    <d v="2024-03-05T00:00:00"/>
    <s v="SMLN-2024-617-100124_x000a_SMLN-2024-612-100017"/>
    <x v="15"/>
    <d v="2024-03-20T00:00:00"/>
    <d v="2024-05-18T00:00:00"/>
  </r>
  <r>
    <d v="2024-02-06T00:00:00"/>
    <s v="VZ-2024-000142"/>
    <x v="5"/>
    <s v="Dočkalová"/>
    <s v="Zdražilová"/>
    <x v="66"/>
    <x v="0"/>
    <m/>
    <s v="podepsaná smlouva"/>
    <s v="33140000-3"/>
    <m/>
    <n v="3241320"/>
    <x v="2"/>
    <d v="2024-02-08T00:00:00"/>
    <d v="2024-02-27T00:00:00"/>
    <d v="2024-03-11T00:00:00"/>
    <s v="Getinge Czech Republic, s.r.o."/>
    <m/>
    <n v="3638965.76"/>
    <n v="4075641.65"/>
    <m/>
    <m/>
    <m/>
    <d v="2024-03-25T00:00:00"/>
    <s v="SMLN-2024-617-100139"/>
    <x v="31"/>
    <d v="2024-03-27T00:00:00"/>
    <d v="2028-03-24T00:00:00"/>
  </r>
  <r>
    <d v="2024-02-06T00:00:00"/>
    <s v="VZ-2024-000146"/>
    <x v="5"/>
    <s v="Dočkalová"/>
    <s v="Staňková"/>
    <x v="67"/>
    <x v="0"/>
    <m/>
    <s v="zrušeno"/>
    <s v="33162200-5"/>
    <m/>
    <n v="632000"/>
    <x v="1"/>
    <d v="2024-02-08T00:00:00"/>
    <d v="2024-02-19T00:00:00"/>
    <m/>
    <s v="zrušeno - bez nabídky"/>
    <s v="nová VZ-2024-000183"/>
    <m/>
    <m/>
    <m/>
    <m/>
    <m/>
    <m/>
    <m/>
    <x v="2"/>
    <d v="2024-02-19T00:00:00"/>
    <m/>
  </r>
  <r>
    <d v="2024-02-07T00:00:00"/>
    <s v="VZ-2024-000147-01"/>
    <x v="1"/>
    <s v="Vlčková"/>
    <s v="Hašková"/>
    <x v="68"/>
    <x v="1"/>
    <s v="AMBRISENTAN I."/>
    <s v="podepsaná smlouva"/>
    <s v="33622200-8"/>
    <m/>
    <n v="6879192"/>
    <x v="0"/>
    <d v="2024-02-19T00:00:00"/>
    <d v="2024-03-25T00:00:00"/>
    <d v="2024-04-19T00:00:00"/>
    <s v="Alliance Healthcare s.r.o."/>
    <m/>
    <n v="3093236.1"/>
    <n v="3464424.43"/>
    <m/>
    <m/>
    <m/>
    <d v="2024-04-19T00:00:00"/>
    <s v="SMLN-2024-617-100244"/>
    <x v="33"/>
    <d v="2024-05-23T00:00:00"/>
    <d v="2027-08-08T00:00:00"/>
  </r>
  <r>
    <d v="2024-02-07T00:00:00"/>
    <s v="VZ-2024-000147-02"/>
    <x v="1"/>
    <s v="Vlčková"/>
    <s v="Hašková"/>
    <x v="68"/>
    <x v="2"/>
    <s v="AMBRISENTAN II."/>
    <s v="podepsaná smlouva"/>
    <s v="33622200-8"/>
    <m/>
    <n v="429112"/>
    <x v="0"/>
    <d v="2024-02-19T00:00:00"/>
    <d v="2024-03-25T00:00:00"/>
    <d v="2024-04-19T00:00:00"/>
    <s v="PROMEDICA PRAHA GROUP, a.s."/>
    <m/>
    <n v="241430.39999999999"/>
    <n v="270402.05"/>
    <m/>
    <m/>
    <m/>
    <d v="2024-04-19T00:00:00"/>
    <s v="SMLN-2024-617-100245"/>
    <x v="33"/>
    <d v="2024-05-23T00:00:00"/>
    <d v="2027-08-08T00:00:00"/>
  </r>
  <r>
    <d v="2024-02-07T00:00:00"/>
    <s v="VZ-2024-000149"/>
    <x v="5"/>
    <s v="Valtová"/>
    <s v="Štýbnarová"/>
    <x v="69"/>
    <x v="0"/>
    <m/>
    <s v="podepsaná smlouva"/>
    <s v="33140000-3"/>
    <m/>
    <n v="902696"/>
    <x v="1"/>
    <d v="2024-02-12T00:00:00"/>
    <d v="2024-02-23T00:00:00"/>
    <d v="2024-03-06T00:00:00"/>
    <s v="ARID obchodní společnost, s.r.o."/>
    <m/>
    <n v="860200"/>
    <n v="963424"/>
    <m/>
    <m/>
    <m/>
    <d v="2024-03-06T00:00:00"/>
    <s v="SMLN-2024-617-100127_x000a_SMLN-2024-614-100010"/>
    <x v="15"/>
    <d v="2024-03-19T00:00:00"/>
    <d v="2028-08-30T00:00:00"/>
  </r>
  <r>
    <d v="2024-02-08T00:00:00"/>
    <s v="VZ-2024-000150"/>
    <x v="5"/>
    <s v="Valtová"/>
    <s v="Štýbnarová"/>
    <x v="70"/>
    <x v="0"/>
    <m/>
    <s v="podepsaná smlouva"/>
    <s v="33140000-3"/>
    <m/>
    <n v="775000"/>
    <x v="1"/>
    <d v="2024-02-12T00:00:00"/>
    <d v="2024-02-23T00:00:00"/>
    <d v="2024-03-06T00:00:00"/>
    <s v="Stimcare, s.r.o."/>
    <m/>
    <n v="774792.5"/>
    <n v="867767.6"/>
    <m/>
    <m/>
    <m/>
    <d v="2024-03-06T00:00:00"/>
    <s v="SMLN-2024-617-100126_x000a_SMLN-2024-614-100009"/>
    <x v="31"/>
    <d v="2024-03-25T00:00:00"/>
    <d v="2028-07-16T00:00:00"/>
  </r>
  <r>
    <d v="2024-02-09T00:00:00"/>
    <s v="VZ-2024-000151"/>
    <x v="5"/>
    <s v="Valtová"/>
    <s v="Zdražilová"/>
    <x v="71"/>
    <x v="0"/>
    <m/>
    <s v="zrušeno"/>
    <s v="33140000-3"/>
    <m/>
    <n v="2467400"/>
    <x v="0"/>
    <d v="2024-02-19T00:00:00"/>
    <d v="2024-04-02T00:00:00"/>
    <m/>
    <s v="zrušeno - úprava specifikace"/>
    <s v="nová VZ-2024-000484"/>
    <n v="2337400"/>
    <n v="2617888"/>
    <m/>
    <m/>
    <m/>
    <m/>
    <m/>
    <x v="2"/>
    <d v="2024-06-13T00:00:00"/>
    <s v="27.5.2024 zrušeno"/>
  </r>
  <r>
    <d v="2024-02-07T00:00:00"/>
    <s v="VZ-2024-000153"/>
    <x v="1"/>
    <s v="Vlčková"/>
    <s v="Bodinková"/>
    <x v="72"/>
    <x v="0"/>
    <m/>
    <s v="podepsaná smlouva"/>
    <s v="33600000-6"/>
    <m/>
    <n v="230888939"/>
    <x v="5"/>
    <d v="2024-02-16T00:00:00"/>
    <d v="2024-02-19T00:00:00"/>
    <d v="2024-02-23T00:00:00"/>
    <s v="Gilead Sciences s.r.o."/>
    <m/>
    <n v="206150838.15000001"/>
    <n v="230888938.80000001"/>
    <m/>
    <m/>
    <m/>
    <d v="2024-02-14T00:00:00"/>
    <s v="SMLN-2024-617-100068"/>
    <x v="29"/>
    <d v="2024-02-28T00:00:00"/>
    <d v="2027-02-26T00:00:00"/>
  </r>
  <r>
    <d v="2024-02-08T00:00:00"/>
    <s v="VZ-2024-000154"/>
    <x v="9"/>
    <s v="Kula"/>
    <s v="Staňková"/>
    <x v="73"/>
    <x v="0"/>
    <m/>
    <s v="podepsaná smlouva"/>
    <s v="79300000-7"/>
    <m/>
    <n v="830000"/>
    <x v="1"/>
    <d v="2024-02-09T00:00:00"/>
    <d v="2024-03-01T00:00:00"/>
    <d v="2024-03-05T00:00:00"/>
    <s v="Inboox CZ, s.r.o."/>
    <m/>
    <n v="460000"/>
    <n v="556600"/>
    <m/>
    <m/>
    <m/>
    <d v="2024-03-06T00:00:00"/>
    <s v="SMLN-2024-612-100032"/>
    <x v="36"/>
    <d v="2024-03-22T00:00:00"/>
    <d v="2024-06-19T00:00:00"/>
  </r>
  <r>
    <d v="2024-02-08T00:00:00"/>
    <s v="VZ-2024-000155-01"/>
    <x v="5"/>
    <s v="Čech"/>
    <s v="Zdražilová"/>
    <x v="74"/>
    <x v="1"/>
    <s v="Revizní náhrady kolenního kloubu pro biologicky starší pacienty"/>
    <s v="podepsaná smlouva"/>
    <s v="33141750-2"/>
    <m/>
    <n v="13232000"/>
    <x v="0"/>
    <d v="2024-02-14T00:00:00"/>
    <d v="2024-04-17T00:00:00"/>
    <d v="2024-06-20T00:00:00"/>
    <s v="Zimmer Czech, s.r.o."/>
    <m/>
    <n v="16299331.199999999"/>
    <n v="18255250.940000001"/>
    <m/>
    <m/>
    <m/>
    <d v="2024-06-20T00:00:00"/>
    <s v="SMLN-2024-617-100364"/>
    <x v="37"/>
    <d v="2024-07-11T00:00:00"/>
    <d v="2028-07-03T00:00:00"/>
  </r>
  <r>
    <d v="2024-02-08T00:00:00"/>
    <s v="VZ-2024-000155-02"/>
    <x v="5"/>
    <s v="Čech"/>
    <s v="Zdražilová"/>
    <x v="74"/>
    <x v="2"/>
    <s v="Revizní náhrady kolenního kloubu pro biologicky mladší pacienty"/>
    <s v="podepsaná smlouva"/>
    <s v="33141750-2"/>
    <m/>
    <n v="9184000"/>
    <x v="0"/>
    <d v="2024-02-14T00:00:00"/>
    <d v="2024-04-17T00:00:00"/>
    <d v="2024-06-20T00:00:00"/>
    <s v="Johnson  &amp; Johnson, s.r.o."/>
    <m/>
    <n v="10136780"/>
    <n v="11353193.6"/>
    <m/>
    <m/>
    <m/>
    <d v="2024-06-20T00:00:00"/>
    <s v="SMLN-2024-617-100365"/>
    <x v="37"/>
    <d v="2024-07-11T00:00:00"/>
    <d v="2028-07-03T00:00:00"/>
  </r>
  <r>
    <d v="2024-02-09T00:00:00"/>
    <s v="VZ-2024-000156"/>
    <x v="5"/>
    <s v="Valtová"/>
    <s v="Hašková"/>
    <x v="75"/>
    <x v="0"/>
    <m/>
    <s v="podepsaná smlouva"/>
    <s v="33140000-3"/>
    <m/>
    <n v="2800000"/>
    <x v="2"/>
    <d v="2024-02-21T00:00:00"/>
    <d v="2024-03-11T00:00:00"/>
    <d v="2024-04-16T00:00:00"/>
    <s v="EspoMed spol. s r.o."/>
    <m/>
    <n v="2800000"/>
    <n v="3136000"/>
    <m/>
    <m/>
    <m/>
    <d v="2024-04-16T00:00:00"/>
    <s v="SMLN-2024-617-100222_x000a_SMLN-2024-614-100024"/>
    <x v="38"/>
    <d v="2024-05-28T00:00:00"/>
    <d v="2028-06-15T00:00:00"/>
  </r>
  <r>
    <d v="2024-02-13T00:00:00"/>
    <s v="VZ-2024-000157"/>
    <x v="6"/>
    <s v="Srovnal"/>
    <s v="Kučera"/>
    <x v="76"/>
    <x v="0"/>
    <m/>
    <s v="podepsaná smlouva"/>
    <s v="44111000-1"/>
    <m/>
    <n v="2500000"/>
    <x v="2"/>
    <d v="2024-02-27T00:00:00"/>
    <d v="2024-03-15T00:00:00"/>
    <d v="2024-04-02T00:00:00"/>
    <s v="TRADIX UH, a.s."/>
    <m/>
    <n v="1220703.24"/>
    <n v="1477050.92"/>
    <m/>
    <m/>
    <m/>
    <d v="2024-04-02T00:00:00"/>
    <s v="SMLN-2024-617-100182"/>
    <x v="20"/>
    <d v="2024-05-17T00:00:00"/>
    <d v="2028-05-06T00:00:00"/>
  </r>
  <r>
    <d v="2024-02-13T00:00:00"/>
    <s v="VZ-2024-000159"/>
    <x v="5"/>
    <s v="Valtová"/>
    <s v="Zdražilová"/>
    <x v="77"/>
    <x v="0"/>
    <m/>
    <s v="podepsaná smlouva"/>
    <s v="33140000-3"/>
    <m/>
    <n v="6222800"/>
    <x v="0"/>
    <d v="2024-02-21T00:00:00"/>
    <d v="2024-03-28T00:00:00"/>
    <d v="2024-04-17T00:00:00"/>
    <s v="Boston Scientific Česká republika, s.r.o."/>
    <m/>
    <n v="6185200"/>
    <n v="6927424"/>
    <m/>
    <m/>
    <m/>
    <d v="2024-04-17T00:00:00"/>
    <s v="SMLN-2024-617-100239"/>
    <x v="38"/>
    <d v="2024-05-21T00:00:00"/>
    <d v="2028-05-15T00:00:00"/>
  </r>
  <r>
    <d v="2024-02-13T00:00:00"/>
    <s v="VZ-2024-000163-01"/>
    <x v="1"/>
    <s v="Vondrková"/>
    <s v="Bodinková"/>
    <x v="78"/>
    <x v="1"/>
    <s v="Parenterální výživa pro domácí použití I."/>
    <s v="podepsaná smlouva"/>
    <s v="33692510-5"/>
    <m/>
    <n v="431814"/>
    <x v="4"/>
    <d v="2024-02-26T00:00:00"/>
    <d v="2024-03-18T00:00:00"/>
    <d v="2024-04-24T00:00:00"/>
    <s v="Fresenius Kabi s.r.o."/>
    <m/>
    <n v="401221.16"/>
    <n v="449367.7"/>
    <m/>
    <m/>
    <m/>
    <d v="2024-04-24T00:00:00"/>
    <s v="SMLN-2024-617-100257"/>
    <x v="19"/>
    <d v="2024-05-14T00:00:00"/>
    <d v="2025-05-12T00:00:00"/>
  </r>
  <r>
    <d v="2024-02-13T00:00:00"/>
    <s v="VZ-2024-000163-02"/>
    <x v="1"/>
    <s v="Vondrková"/>
    <s v="Bodinková"/>
    <x v="78"/>
    <x v="2"/>
    <s v="Parenterální výživa pro domácí použití II."/>
    <s v="podepsaná smlouva"/>
    <s v="33692510-5"/>
    <m/>
    <n v="1577173"/>
    <x v="4"/>
    <d v="2024-02-26T00:00:00"/>
    <d v="2024-03-18T00:00:00"/>
    <d v="2024-04-24T00:00:00"/>
    <s v="B. Braun Medical s.r.o."/>
    <m/>
    <n v="1538347.2"/>
    <n v="1722948.86"/>
    <m/>
    <m/>
    <m/>
    <d v="2024-04-24T00:00:00"/>
    <s v="SMLN-2024-617-100259"/>
    <x v="19"/>
    <d v="2024-05-14T00:00:00"/>
    <d v="2025-05-12T00:00:00"/>
  </r>
  <r>
    <d v="2024-02-13T00:00:00"/>
    <s v="VZ-2024-000163-03"/>
    <x v="1"/>
    <s v="Vondrková"/>
    <s v="Bodinková"/>
    <x v="78"/>
    <x v="3"/>
    <s v="Parenterální výživa pro domácí použití III."/>
    <s v="podepsaná smlouva"/>
    <s v="33692510-5"/>
    <m/>
    <n v="494239.34"/>
    <x v="4"/>
    <d v="2024-02-26T00:00:00"/>
    <d v="2024-03-18T00:00:00"/>
    <d v="2024-04-24T00:00:00"/>
    <s v="BAXTER CZECH spol. s r.o."/>
    <m/>
    <n v="494239.34"/>
    <n v="553548.06000000006"/>
    <m/>
    <m/>
    <m/>
    <d v="2024-04-24T00:00:00"/>
    <s v="SMLN-2024-617-100260"/>
    <x v="19"/>
    <d v="2024-05-14T00:00:00"/>
    <d v="2025-05-12T00:00:00"/>
  </r>
  <r>
    <d v="2024-02-13T00:00:00"/>
    <s v="VZ-2024-000165"/>
    <x v="5"/>
    <s v="Dočkalová"/>
    <s v="Hašková"/>
    <x v="79"/>
    <x v="0"/>
    <m/>
    <s v="zrušeno"/>
    <s v="33140000-3"/>
    <m/>
    <n v="4290000"/>
    <x v="0"/>
    <d v="2024-02-27T00:00:00"/>
    <d v="2024-04-25T00:00:00"/>
    <m/>
    <s v="zrušeno - úprava podmínek"/>
    <m/>
    <m/>
    <m/>
    <m/>
    <m/>
    <m/>
    <m/>
    <m/>
    <x v="2"/>
    <d v="2024-05-31T00:00:00"/>
    <s v="3.5.2024 zrušení na podpis"/>
  </r>
  <r>
    <d v="2024-02-16T00:00:00"/>
    <s v="VZ-2024-000174"/>
    <x v="5"/>
    <s v="Valtová"/>
    <s v="Štýbnarová"/>
    <x v="80"/>
    <x v="0"/>
    <m/>
    <s v="podepsaná smlouva"/>
    <s v="33140000-3"/>
    <m/>
    <n v="540000"/>
    <x v="1"/>
    <d v="2024-02-20T00:00:00"/>
    <d v="2024-03-04T00:00:00"/>
    <d v="2024-03-08T00:00:00"/>
    <s v="Prague Medical s.r.o."/>
    <m/>
    <n v="540000"/>
    <n v="604800"/>
    <m/>
    <m/>
    <m/>
    <d v="2024-03-08T00:00:00"/>
    <s v="SMLN-2024-617-100130_x000a_SMLN-2024-614-100011"/>
    <x v="15"/>
    <d v="2024-03-19T00:00:00"/>
    <d v="2028-06-30T00:00:00"/>
  </r>
  <r>
    <d v="2024-02-19T00:00:00"/>
    <s v="VZ-2024-000176-01"/>
    <x v="2"/>
    <s v="Skulová"/>
    <s v="Kučera"/>
    <x v="81"/>
    <x v="1"/>
    <s v="UZV pro KNM"/>
    <s v="podepsaná smlouva"/>
    <s v="33112300-1"/>
    <s v="2.2.595."/>
    <n v="540000"/>
    <x v="0"/>
    <d v="2024-02-28T00:00:00"/>
    <d v="2024-04-23T00:00:00"/>
    <m/>
    <s v="Electric Medical Services, s.r.o."/>
    <m/>
    <n v="483800"/>
    <n v="585398"/>
    <m/>
    <m/>
    <m/>
    <d v="2024-05-09T00:00:00"/>
    <s v="SMLN-2024-617-100296_x000a_SMLN-2024-612-100064"/>
    <x v="39"/>
    <d v="2024-06-14T00:00:00"/>
    <d v="2024-06-26T00:00:00"/>
  </r>
  <r>
    <d v="2024-02-19T00:00:00"/>
    <s v="VZ-2024-000176-02"/>
    <x v="2"/>
    <s v="Skulová"/>
    <s v="Kučera"/>
    <x v="81"/>
    <x v="2"/>
    <s v="Bezdrátový ultrazvuk pro Traumatologickou kliniku"/>
    <s v="podepsaná smlouva"/>
    <s v="33112200-0"/>
    <s v="2.2.624, 2.2.612"/>
    <n v="200000"/>
    <x v="0"/>
    <d v="2024-02-28T00:00:00"/>
    <d v="2024-04-23T00:00:00"/>
    <m/>
    <s v="Electric Medical Services, s.r.o."/>
    <m/>
    <n v="316800"/>
    <n v="383328"/>
    <m/>
    <m/>
    <m/>
    <d v="2024-05-09T00:00:00"/>
    <s v="SMLN-2024-617-100297_x000a_SMLN-2024-617-100298"/>
    <x v="39"/>
    <d v="2024-06-14T00:00:00"/>
    <d v="2024-07-08T00:00:00"/>
  </r>
  <r>
    <d v="2024-02-19T00:00:00"/>
    <s v="VZ-2024-000176-03"/>
    <x v="2"/>
    <s v="Skulová"/>
    <s v="Kučera"/>
    <x v="81"/>
    <x v="3"/>
    <s v="UZV pro POR_GYN"/>
    <s v="podepsaná smlouva"/>
    <s v="33112200-0"/>
    <s v="2.3.798."/>
    <n v="2940000"/>
    <x v="0"/>
    <d v="2024-02-28T00:00:00"/>
    <d v="2024-04-23T00:00:00"/>
    <m/>
    <s v="Electric Medical Services, s.r.o."/>
    <m/>
    <n v="2848800"/>
    <n v="3447048"/>
    <m/>
    <m/>
    <m/>
    <d v="2024-05-09T00:00:00"/>
    <s v="SMLN-2024-617-100299_x000a_SMLN-2024-612-100065"/>
    <x v="39"/>
    <d v="2024-06-14T00:00:00"/>
    <d v="2024-06-26T00:00:00"/>
  </r>
  <r>
    <d v="2024-02-19T00:00:00"/>
    <s v="VZ-2024-000177"/>
    <x v="2"/>
    <s v="Skulová"/>
    <s v="Staňková"/>
    <x v="82"/>
    <x v="0"/>
    <m/>
    <s v="podepsaná smlouva"/>
    <s v="85171000-8"/>
    <s v="2.2.625."/>
    <n v="91000"/>
    <x v="1"/>
    <d v="2024-02-21T00:00:00"/>
    <d v="2024-03-04T00:00:00"/>
    <d v="2024-03-05T00:00:00"/>
    <s v="MADISSON, s.r.o."/>
    <m/>
    <n v="90530"/>
    <n v="109541.3"/>
    <m/>
    <m/>
    <m/>
    <d v="2024-03-05T00:00:00"/>
    <s v="SMLN-2024-617-100125 SMLN-2024-612-100031"/>
    <x v="34"/>
    <d v="2024-03-18T00:00:00"/>
    <d v="2024-05-14T00:00:00"/>
  </r>
  <r>
    <d v="2024-02-19T00:00:00"/>
    <s v="VZ-2024-000178"/>
    <x v="5"/>
    <s v="Valtová"/>
    <s v="Staňková"/>
    <x v="83"/>
    <x v="0"/>
    <m/>
    <s v="podepsaná smlouva"/>
    <s v="33140000-3"/>
    <m/>
    <n v="1558000"/>
    <x v="1"/>
    <d v="2024-02-22T00:00:00"/>
    <d v="2024-03-04T00:00:00"/>
    <d v="2024-03-11T00:00:00"/>
    <s v="ARID obchodní společnost, s.r.o."/>
    <m/>
    <n v="1558000"/>
    <n v="1744960"/>
    <m/>
    <m/>
    <m/>
    <d v="2024-03-11T00:00:00"/>
    <s v="SMLN-2024-617-100137_x000a_SMLN-2024-614-100012"/>
    <x v="15"/>
    <d v="2024-03-20T00:00:00"/>
    <d v="2028-05-31T00:00:00"/>
  </r>
  <r>
    <d v="2024-02-19T00:00:00"/>
    <s v="VZ-2024-000180"/>
    <x v="1"/>
    <s v="Vondrková"/>
    <s v="Bodinková"/>
    <x v="84"/>
    <x v="0"/>
    <m/>
    <s v="podepsaná smlouva"/>
    <s v="33652000-5"/>
    <m/>
    <n v="34388429"/>
    <x v="4"/>
    <d v="2024-02-26T00:00:00"/>
    <d v="2024-04-02T00:00:00"/>
    <d v="2024-04-22T00:00:00"/>
    <s v="GlaxoSmithKline, s.r.o."/>
    <m/>
    <n v="28069205.399999999"/>
    <n v="31437510.050000001"/>
    <m/>
    <m/>
    <m/>
    <d v="2024-04-22T00:00:00"/>
    <s v="SMLN-2024-617-100249"/>
    <x v="40"/>
    <d v="2024-05-09T00:00:00"/>
    <d v="2027-05-05T00:00:00"/>
  </r>
  <r>
    <s v="VZ-2024-000110"/>
    <s v="VZ-2024-000181"/>
    <x v="8"/>
    <s v="Novák"/>
    <s v="Štýbnarová"/>
    <x v="85"/>
    <x v="0"/>
    <m/>
    <s v="podepsaná smlouva"/>
    <s v="42514000-2"/>
    <m/>
    <n v="925500"/>
    <x v="1"/>
    <d v="2024-02-23T00:00:00"/>
    <d v="2024-03-11T00:00:00"/>
    <d v="2024-03-21T00:00:00"/>
    <s v="Clean nad Health s.r.o."/>
    <m/>
    <n v="1947900"/>
    <n v="2356959"/>
    <m/>
    <m/>
    <m/>
    <d v="2024-03-21T00:00:00"/>
    <s v="SMLN-2024-617-100158_x000a_SMLN-2024-612-100035"/>
    <x v="41"/>
    <d v="2024-04-09T00:00:00"/>
    <d v="2024-04-23T00:00:00"/>
  </r>
  <r>
    <d v="2024-02-20T00:00:00"/>
    <s v="VZ-2024-000182"/>
    <x v="6"/>
    <s v="Srovnal"/>
    <s v="Kučera"/>
    <x v="86"/>
    <x v="0"/>
    <m/>
    <s v="podepsaná smlouva"/>
    <s v="50334400-9"/>
    <m/>
    <n v="10000000"/>
    <x v="0"/>
    <d v="2024-02-28T00:00:00"/>
    <d v="2024-04-02T00:00:00"/>
    <d v="2024-04-17T00:00:00"/>
    <s v="MERIT GROUP a.s."/>
    <m/>
    <n v="9525000"/>
    <n v="11525250"/>
    <m/>
    <m/>
    <m/>
    <d v="2024-04-17T00:00:00"/>
    <s v="SMLN-2024-612-100048"/>
    <x v="42"/>
    <d v="2024-05-17T00:00:00"/>
    <d v="2028-05-02T00:00:00"/>
  </r>
  <r>
    <s v="VZ-2024-000146"/>
    <s v="VZ-2024-000183"/>
    <x v="5"/>
    <s v="Dočkalová"/>
    <s v="Staňková"/>
    <x v="87"/>
    <x v="0"/>
    <m/>
    <s v="podepsaná smlouva"/>
    <s v="33140000-3"/>
    <m/>
    <n v="632000"/>
    <x v="1"/>
    <d v="2024-02-21T00:00:00"/>
    <d v="2024-03-04T00:00:00"/>
    <d v="2024-03-11T00:00:00"/>
    <s v="EP SERVICES s.r.o."/>
    <m/>
    <n v="632000"/>
    <n v="707840"/>
    <m/>
    <m/>
    <m/>
    <d v="2024-03-11T00:00:00"/>
    <s v="SMLN-2024-617-100138_x000a_SMLN-2024-614-100013"/>
    <x v="14"/>
    <d v="2024-04-05T00:00:00"/>
    <d v="2028-07-18T00:00:00"/>
  </r>
  <r>
    <d v="2024-02-20T00:00:00"/>
    <s v="VZ-2024-000185"/>
    <x v="10"/>
    <s v="Zemánek"/>
    <s v="Kučera"/>
    <x v="88"/>
    <x v="0"/>
    <m/>
    <s v="podepsaná smlouva"/>
    <s v="50421000-2"/>
    <m/>
    <n v="36000000"/>
    <x v="0"/>
    <d v="2024-05-24T00:00:00"/>
    <d v="2024-06-27T00:00:00"/>
    <d v="2024-07-09T00:00:00"/>
    <s v="Siemens Healthcare s.r.o."/>
    <m/>
    <n v="503741.68"/>
    <n v="609527.43000000005"/>
    <m/>
    <m/>
    <m/>
    <d v="2024-07-10T00:00:00"/>
    <s v="SMLN-2024-612-100085_x000a_SMLN-2024-612-100086_x000a_SMLN-2024-612-100087"/>
    <x v="43"/>
    <d v="2024-08-15T00:00:00"/>
    <m/>
  </r>
  <r>
    <d v="2024-02-20T00:00:00"/>
    <s v="VZ-2024-000186"/>
    <x v="5"/>
    <s v="Dočkalová"/>
    <s v="Zdražilová"/>
    <x v="89"/>
    <x v="0"/>
    <m/>
    <s v="podepsaná smlouva"/>
    <s v="33141200-2"/>
    <m/>
    <n v="2775600"/>
    <x v="2"/>
    <d v="2024-02-27T00:00:00"/>
    <d v="2024-04-02T00:00:00"/>
    <d v="2024-04-08T00:00:00"/>
    <s v="B. Braun Medical s.r.o."/>
    <m/>
    <n v="2520000"/>
    <n v="2822400"/>
    <m/>
    <m/>
    <m/>
    <d v="2024-04-08T00:00:00"/>
    <s v="SMLN-2024-617-100204"/>
    <x v="30"/>
    <d v="2024-05-02T00:00:00"/>
    <d v="2028-04-22T00:00:00"/>
  </r>
  <r>
    <d v="2024-02-20T00:00:00"/>
    <s v="VZ-2024-000187"/>
    <x v="5"/>
    <s v="Valtová"/>
    <s v="Zdražilová"/>
    <x v="90"/>
    <x v="0"/>
    <m/>
    <s v="podepsaná smlouva"/>
    <s v="33140000-3"/>
    <m/>
    <n v="6621446"/>
    <x v="0"/>
    <d v="2024-02-27T00:00:00"/>
    <d v="2024-04-03T00:00:00"/>
    <d v="2024-04-18T00:00:00"/>
    <s v="CARDION s.r.o."/>
    <m/>
    <n v="6621446"/>
    <n v="7416019.5199999996"/>
    <m/>
    <m/>
    <m/>
    <d v="2024-04-18T00:00:00"/>
    <s v="SMLN-2024-617-100240_x000a_SMLN-2024-614-100032"/>
    <x v="44"/>
    <d v="2024-05-06T00:00:00"/>
    <d v="2028-04-25T00:00:00"/>
  </r>
  <r>
    <s v="VZ-2024-000017"/>
    <s v="VZ-2024-000189"/>
    <x v="2"/>
    <s v="Skulová"/>
    <s v="Štýbnarová"/>
    <x v="91"/>
    <x v="0"/>
    <m/>
    <s v="podepsaná smlouva"/>
    <s v="33192120-9"/>
    <s v="2.3.773, 2.3.789, 2.2.503, 2.2.504"/>
    <n v="1643376"/>
    <x v="1"/>
    <d v="2024-02-27T00:00:00"/>
    <d v="2024-03-13T00:00:00"/>
    <d v="2024-04-02T00:00:00"/>
    <s v="L I N E T spol.s r .o."/>
    <m/>
    <n v="1610480"/>
    <n v="1825932.68"/>
    <m/>
    <m/>
    <m/>
    <d v="2024-04-02T00:00:00"/>
    <s v="SMLN-2024-617-100185_x000a_SMLN-2024-612-100042"/>
    <x v="41"/>
    <d v="2024-04-09T00:00:00"/>
    <m/>
  </r>
  <r>
    <d v="2024-02-21T00:00:00"/>
    <s v="VZ-2024-000190-01"/>
    <x v="5"/>
    <s v="Čech"/>
    <s v="Zdražilová"/>
    <x v="92"/>
    <x v="1"/>
    <s v="TEP kyčelního kloubu - revizní"/>
    <s v="podepsaná smlouva"/>
    <s v="33141750-2"/>
    <m/>
    <n v="8324540"/>
    <x v="0"/>
    <d v="2024-03-12T00:00:00"/>
    <d v="2024-05-24T00:00:00"/>
    <d v="2024-07-22T00:00:00"/>
    <s v="Zimmer Czech, s.r.o."/>
    <m/>
    <n v="8324522.4000000004"/>
    <n v="9323465.0899999999"/>
    <m/>
    <m/>
    <m/>
    <d v="2024-07-22T00:00:00"/>
    <s v="SMLN-2024-617-100416_x000a_SMLN-2024-614-100051_x000a_SMLN-2024-616-100055"/>
    <x v="45"/>
    <d v="2024-09-26T00:00:00"/>
    <d v="2027-09-15T00:00:00"/>
  </r>
  <r>
    <d v="2024-02-21T00:00:00"/>
    <s v="VZ-2024-000190-02"/>
    <x v="5"/>
    <s v="Čech"/>
    <s v="Zdražilová"/>
    <x v="92"/>
    <x v="2"/>
    <s v="TEP kyčelního kloubu "/>
    <s v="zrušeno"/>
    <s v="33141750-2"/>
    <m/>
    <n v="54014586"/>
    <x v="0"/>
    <d v="2024-03-12T00:00:00"/>
    <d v="2024-05-24T00:00:00"/>
    <m/>
    <s v="zrušeno - bez hodnotitelné nabídky"/>
    <s v="nová VZ-2024-000567"/>
    <m/>
    <m/>
    <m/>
    <m/>
    <m/>
    <m/>
    <m/>
    <x v="2"/>
    <d v="2024-08-15T00:00:00"/>
    <s v="18.7.2024 zrušeno"/>
  </r>
  <r>
    <d v="2024-02-21T00:00:00"/>
    <s v="VZ-2024-000190-03"/>
    <x v="5"/>
    <s v="Čech"/>
    <s v="Zdražilová"/>
    <x v="92"/>
    <x v="3"/>
    <s v="TEP kolenního kloubu"/>
    <s v="podepsaná smlouva"/>
    <s v="33141750-2"/>
    <m/>
    <n v="45743600"/>
    <x v="0"/>
    <d v="2024-03-12T00:00:00"/>
    <d v="2024-05-24T00:00:00"/>
    <d v="2024-07-22T00:00:00"/>
    <s v="Zimmer Czech, s.r.o."/>
    <m/>
    <n v="45743190"/>
    <n v="51232372.799999997"/>
    <m/>
    <m/>
    <m/>
    <d v="2024-07-22T00:00:00"/>
    <s v="SMLN-2024-617-100417_x000a_SMLN-2024-614-100052_x000a_SMLN-2024-616-100056"/>
    <x v="45"/>
    <d v="2024-09-26T00:00:00"/>
    <d v="2027-09-15T00:00:00"/>
  </r>
  <r>
    <d v="2024-02-21T00:00:00"/>
    <s v="VZ-2024-000192"/>
    <x v="5"/>
    <s v="Dočkalová"/>
    <s v="Staňková"/>
    <x v="93"/>
    <x v="0"/>
    <m/>
    <s v="podepsaná smlouva"/>
    <s v="31711140-6"/>
    <m/>
    <n v="578360"/>
    <x v="1"/>
    <d v="2024-02-26T00:00:00"/>
    <d v="2024-03-08T00:00:00"/>
    <d v="2024-03-12T00:00:00"/>
    <s v="Medtronic Czechia s.r.o."/>
    <m/>
    <n v="578360"/>
    <n v="647763.19999999995"/>
    <m/>
    <m/>
    <m/>
    <d v="2024-03-12T00:00:00"/>
    <s v="SMLN-2024-617-100142"/>
    <x v="15"/>
    <d v="2024-03-19T00:00:00"/>
    <d v="2028-03-18T00:00:00"/>
  </r>
  <r>
    <d v="2024-02-21T00:00:00"/>
    <s v="VZ-2024-000193"/>
    <x v="5"/>
    <s v="Valtová"/>
    <s v="Hašková"/>
    <x v="94"/>
    <x v="0"/>
    <m/>
    <s v="podepsaná smlouva"/>
    <s v="33140000-3"/>
    <m/>
    <n v="3659750"/>
    <x v="0"/>
    <d v="2024-02-28T00:00:00"/>
    <d v="2024-04-03T00:00:00"/>
    <d v="2024-04-11T00:00:00"/>
    <s v="MEDIAL spol. s r.o."/>
    <m/>
    <n v="3659750"/>
    <n v="4098920"/>
    <m/>
    <m/>
    <m/>
    <d v="2024-04-11T00:00:00"/>
    <s v="SMLN-2024-617-100211_x000a_SMLN-2024-614-100021"/>
    <x v="22"/>
    <d v="2024-04-25T00:00:00"/>
    <d v="2028-07-10T00:00:00"/>
  </r>
  <r>
    <d v="2024-02-22T00:00:00"/>
    <s v="VZ-2024-000194"/>
    <x v="11"/>
    <s v="Klimek"/>
    <s v="Kučera"/>
    <x v="95"/>
    <x v="0"/>
    <m/>
    <s v="podepsaná smlouva"/>
    <s v="34144400-2"/>
    <m/>
    <n v="2479200"/>
    <x v="2"/>
    <d v="2024-03-11T00:00:00"/>
    <d v="2024-03-28T00:00:00"/>
    <d v="2024-04-08T00:00:00"/>
    <s v="Daniš Davaztechnik s.r.o."/>
    <m/>
    <n v="1889600"/>
    <n v="2286416"/>
    <m/>
    <m/>
    <m/>
    <d v="2024-04-08T00:00:00"/>
    <s v="SMLN-2024-617-100206"/>
    <x v="44"/>
    <d v="2024-05-03T00:00:00"/>
    <d v="2024-07-25T00:00:00"/>
  </r>
  <r>
    <d v="2024-02-22T00:00:00"/>
    <s v="VZ-2024-000196"/>
    <x v="5"/>
    <s v="Valtová"/>
    <s v="Štýbnarová"/>
    <x v="96"/>
    <x v="0"/>
    <m/>
    <s v="podepsaná smlouva"/>
    <s v="33140000-3"/>
    <m/>
    <n v="1850400"/>
    <x v="1"/>
    <d v="2024-02-27T00:00:00"/>
    <d v="2024-03-15T00:00:00"/>
    <d v="2024-03-22T00:00:00"/>
    <s v="Olympus Czech Group, s.r.o., člen koncernu"/>
    <m/>
    <n v="1850400"/>
    <n v="2072448"/>
    <m/>
    <m/>
    <m/>
    <d v="2024-03-22T00:00:00"/>
    <s v="SMLN-2024-617-100163_x000a_SMLN-2024-614-100017"/>
    <x v="21"/>
    <d v="2024-04-03T00:00:00"/>
    <d v="2028-07-13T00:00:00"/>
  </r>
  <r>
    <d v="2024-02-22T00:00:00"/>
    <s v="VZ-2024-000197"/>
    <x v="1"/>
    <s v="Vondrková"/>
    <s v="Bodinková"/>
    <x v="97"/>
    <x v="0"/>
    <m/>
    <s v="podepsaná smlouva"/>
    <s v="33652100-6"/>
    <m/>
    <n v="4947000"/>
    <x v="0"/>
    <d v="2024-02-29T00:00:00"/>
    <d v="2024-04-05T00:00:00"/>
    <d v="2024-04-24T00:00:00"/>
    <s v="PROMEDICA PRAHA GROUP, a.s."/>
    <m/>
    <n v="4022158.35"/>
    <n v="4504817.3499999996"/>
    <m/>
    <m/>
    <m/>
    <d v="2024-04-24T00:00:00"/>
    <s v="SMLN-2024-617-100262"/>
    <x v="19"/>
    <d v="2024-05-14T00:00:00"/>
    <d v="2027-05-31T00:00:00"/>
  </r>
  <r>
    <d v="2024-02-23T00:00:00"/>
    <s v="VZ-2024-000201"/>
    <x v="2"/>
    <s v="Skulová"/>
    <s v="Staňková"/>
    <x v="98"/>
    <x v="0"/>
    <m/>
    <s v="podepsaná smlouva"/>
    <s v="38000000-5"/>
    <s v="2.2.618."/>
    <n v="68000"/>
    <x v="1"/>
    <d v="2024-02-28T00:00:00"/>
    <d v="2024-03-11T00:00:00"/>
    <d v="2024-03-13T00:00:00"/>
    <s v="BioTech a.s."/>
    <m/>
    <n v="70000"/>
    <n v="84700"/>
    <m/>
    <m/>
    <m/>
    <d v="2024-03-13T00:00:00"/>
    <s v="SMLN-2024-617-100147"/>
    <x v="31"/>
    <d v="2024-03-25T00:00:00"/>
    <d v="2024-04-24T00:00:00"/>
  </r>
  <r>
    <d v="2024-03-05T00:00:00"/>
    <s v="VZ-2024-000203"/>
    <x v="3"/>
    <s v="Zemánková"/>
    <s v="Kučera"/>
    <x v="99"/>
    <x v="0"/>
    <m/>
    <s v="podepsaná smlouva"/>
    <s v="33694000-1"/>
    <m/>
    <n v="21800840"/>
    <x v="0"/>
    <d v="2024-04-11T00:00:00"/>
    <d v="2024-05-15T00:00:00"/>
    <d v="2024-05-29T00:00:00"/>
    <s v="RADIOMETER s.r.o."/>
    <m/>
    <n v="19089213.120000001"/>
    <n v="22756182.059999999"/>
    <m/>
    <m/>
    <m/>
    <d v="2024-05-29T00:00:00"/>
    <s v="SMLN-2024-617-100329_x000a_SMLN-2024-616-100039"/>
    <x v="46"/>
    <d v="2024-06-14T00:00:00"/>
    <d v="2028-06-06T00:00:00"/>
  </r>
  <r>
    <d v="2024-02-23T00:00:00"/>
    <s v="VZ-2024-000204"/>
    <x v="1"/>
    <s v="Vlčková"/>
    <s v="Bodinková"/>
    <x v="100"/>
    <x v="0"/>
    <m/>
    <s v="podepsaná smlouva"/>
    <s v="09343000-5"/>
    <m/>
    <n v="8833594"/>
    <x v="4"/>
    <d v="2024-03-11T00:00:00"/>
    <d v="2024-03-22T00:00:00"/>
    <d v="2024-04-04T00:00:00"/>
    <s v="M.G.P. spol. s r.o."/>
    <m/>
    <n v="8833593.5999999996"/>
    <n v="9893624.8300000001"/>
    <m/>
    <m/>
    <m/>
    <d v="2024-04-05T00:00:00"/>
    <s v="SMLN-2024-617-100192"/>
    <x v="47"/>
    <d v="2024-04-11T00:00:00"/>
    <d v="2024-09-30T00:00:00"/>
  </r>
  <r>
    <d v="2024-03-06T00:00:00"/>
    <s v="VZ-2024-000205"/>
    <x v="1"/>
    <s v="Vondrková"/>
    <s v="Hašková"/>
    <x v="101"/>
    <x v="0"/>
    <m/>
    <s v="zrušeno"/>
    <s v="33652300-8"/>
    <m/>
    <n v="8352986"/>
    <x v="0"/>
    <d v="2024-03-18T00:00:00"/>
    <d v="2024-04-22T00:00:00"/>
    <m/>
    <s v="zrušeno - překročení ceny"/>
    <s v="nová VZ-2024-000444"/>
    <m/>
    <m/>
    <m/>
    <m/>
    <m/>
    <m/>
    <m/>
    <x v="2"/>
    <d v="2024-05-21T00:00:00"/>
    <s v="20.5.2024  zrušeno"/>
  </r>
  <r>
    <d v="2024-02-26T00:00:00"/>
    <s v="VZ-2024-000206"/>
    <x v="1"/>
    <s v="Vlčková"/>
    <s v="Hašková"/>
    <x v="102"/>
    <x v="0"/>
    <m/>
    <s v="podepsaná smlouva"/>
    <s v="33652300-8"/>
    <m/>
    <n v="10818656"/>
    <x v="0"/>
    <d v="2024-03-12T00:00:00"/>
    <d v="2024-04-16T00:00:00"/>
    <d v="2024-05-03T00:00:00"/>
    <s v="Alliance Healthcare s.r.o."/>
    <m/>
    <n v="10818655.529999999"/>
    <n v="12116894.189999999"/>
    <m/>
    <m/>
    <m/>
    <d v="2024-05-03T00:00:00"/>
    <s v="SMLN-2024-617-100286"/>
    <x v="5"/>
    <d v="2024-05-27T00:00:00"/>
    <d v="2027-09-02T00:00:00"/>
  </r>
  <r>
    <d v="2024-02-26T00:00:00"/>
    <s v="VZ-2024-000207"/>
    <x v="2"/>
    <s v="Skulová"/>
    <s v="Zdražilová"/>
    <x v="103"/>
    <x v="0"/>
    <m/>
    <s v="zrušeno"/>
    <s v="33168100-6"/>
    <s v="2.3.784"/>
    <n v="5089999"/>
    <x v="0"/>
    <d v="2024-03-04T00:00:00"/>
    <d v="2024-04-09T00:00:00"/>
    <m/>
    <s v="zrušeno - bez nabídky"/>
    <s v="nová VZ-2024-000401"/>
    <m/>
    <m/>
    <m/>
    <m/>
    <m/>
    <m/>
    <m/>
    <x v="2"/>
    <d v="2024-05-06T00:00:00"/>
    <s v="2.5.2024 zrušeno"/>
  </r>
  <r>
    <d v="2024-02-27T00:00:00"/>
    <s v="VZ-2024-000210"/>
    <x v="5"/>
    <s v="Dočkalová"/>
    <s v="Štýbnarová"/>
    <x v="104"/>
    <x v="0"/>
    <m/>
    <s v="zrušeno"/>
    <s v="33198200-6"/>
    <m/>
    <n v="1834200"/>
    <x v="1"/>
    <d v="2024-03-01T00:00:00"/>
    <d v="2024-03-12T00:00:00"/>
    <m/>
    <s v="zrušeno - překročení limitu VZMR"/>
    <s v="nová VZ-2024-000241"/>
    <m/>
    <m/>
    <m/>
    <m/>
    <m/>
    <m/>
    <m/>
    <x v="2"/>
    <d v="2024-03-12T00:00:00"/>
    <m/>
  </r>
  <r>
    <d v="2024-03-04T00:00:00"/>
    <s v="VZ-2024-000214"/>
    <x v="5"/>
    <s v="Valtová"/>
    <s v="Zdražilová"/>
    <x v="105"/>
    <x v="0"/>
    <m/>
    <s v="podepsaná smlouva"/>
    <s v="33140000-3"/>
    <m/>
    <n v="3062533.9"/>
    <x v="2"/>
    <d v="2024-03-11T00:00:00"/>
    <d v="2024-03-28T00:00:00"/>
    <d v="2024-04-17T00:00:00"/>
    <s v="Olympus Czech Group, s.r.o., člen koncernu"/>
    <m/>
    <n v="3062533.9"/>
    <n v="3430037.97"/>
    <m/>
    <m/>
    <m/>
    <d v="2024-04-17T00:00:00"/>
    <s v="SMLN-2024-617-100238_x000a_SMLN-2024-614-100030"/>
    <x v="3"/>
    <d v="2024-05-02T00:00:00"/>
    <d v="2028-07-21T00:00:00"/>
  </r>
  <r>
    <d v="2024-03-04T00:00:00"/>
    <s v="VZ-2024-000215"/>
    <x v="12"/>
    <s v="Svozil"/>
    <s v="Štýbnarová"/>
    <x v="106"/>
    <x v="0"/>
    <m/>
    <s v="podepsaná smlouva"/>
    <s v="45252000-8"/>
    <m/>
    <n v="5800000"/>
    <x v="1"/>
    <d v="2024-03-06T00:00:00"/>
    <d v="2024-03-18T00:00:00"/>
    <d v="2024-03-22T00:00:00"/>
    <s v="VHT Vodohospodářské technologie s.r.o."/>
    <m/>
    <n v="5155042.47"/>
    <n v="6237601.3899999997"/>
    <m/>
    <m/>
    <m/>
    <d v="2024-03-22T00:00:00"/>
    <s v="SMLN-2024-618-100010"/>
    <x v="21"/>
    <d v="2024-04-02T00:00:00"/>
    <d v="2024-04-30T00:00:00"/>
  </r>
  <r>
    <d v="2024-03-06T00:00:00"/>
    <s v="VZ-2024-000216-01"/>
    <x v="1"/>
    <s v="Vondrková"/>
    <s v="Hašková"/>
    <x v="107"/>
    <x v="1"/>
    <s v="TAMSULOSIN I."/>
    <s v="zrušeno"/>
    <s v="33641000-5"/>
    <m/>
    <n v="324361"/>
    <x v="0"/>
    <d v="2024-03-12T00:00:00"/>
    <d v="2024-04-16T00:00:00"/>
    <m/>
    <s v="zrušeno - bez nabídky"/>
    <m/>
    <m/>
    <m/>
    <m/>
    <m/>
    <m/>
    <m/>
    <m/>
    <x v="2"/>
    <d v="2024-06-11T00:00:00"/>
    <s v="14.5.2024 zrušeno"/>
  </r>
  <r>
    <d v="2024-03-06T00:00:00"/>
    <s v="VZ-2024-000216-02"/>
    <x v="1"/>
    <s v="Vondrková"/>
    <s v="Hašková"/>
    <x v="107"/>
    <x v="2"/>
    <s v="TAMSULOSIN II."/>
    <s v="podepsaná smlouva"/>
    <s v="33641000-5"/>
    <m/>
    <n v="40634"/>
    <x v="0"/>
    <d v="2024-03-12T00:00:00"/>
    <d v="2024-04-16T00:00:00"/>
    <d v="2024-05-21T00:00:00"/>
    <s v="PHOENIX lék. velkoobchod, s.r.o."/>
    <m/>
    <n v="40260"/>
    <n v="45091.199999999997"/>
    <m/>
    <m/>
    <m/>
    <d v="2024-05-21T00:00:00"/>
    <s v="SMLN-2024-617-100317"/>
    <x v="48"/>
    <d v="2024-06-20T00:00:00"/>
    <d v="2027-06-18T00:00:00"/>
  </r>
  <r>
    <d v="2024-03-06T00:00:00"/>
    <s v="VZ-2024-000216-03"/>
    <x v="1"/>
    <s v="Vondrková"/>
    <s v="Hašková"/>
    <x v="107"/>
    <x v="3"/>
    <s v="TAMSULOSIN A DUTASTERID ve fixní kombinaci"/>
    <s v="podepsaná smlouva"/>
    <s v="33641000-5"/>
    <m/>
    <n v="1108308"/>
    <x v="0"/>
    <d v="2024-03-12T00:00:00"/>
    <d v="2024-04-16T00:00:00"/>
    <d v="2024-05-21T00:00:00"/>
    <s v="PHOENIX lék. velkoobchod, s.r.o."/>
    <m/>
    <n v="1104763.2"/>
    <n v="1237334.78"/>
    <m/>
    <m/>
    <m/>
    <d v="2024-05-21T00:00:00"/>
    <s v="SMLN-2024-617-100318"/>
    <x v="48"/>
    <d v="2024-06-20T00:00:00"/>
    <d v="2027-06-18T00:00:00"/>
  </r>
  <r>
    <d v="2024-03-06T00:00:00"/>
    <s v="VZ-2024-000216-04"/>
    <x v="1"/>
    <s v="Vondrková"/>
    <s v="Hašková"/>
    <x v="107"/>
    <x v="4"/>
    <s v="TAMSULOSIN A SOLIFENACIN ve fixní kombinaci I."/>
    <s v="podepsaná smlouva"/>
    <s v="33641000-5"/>
    <m/>
    <n v="46504"/>
    <x v="0"/>
    <d v="2024-03-12T00:00:00"/>
    <d v="2024-04-16T00:00:00"/>
    <d v="2024-05-21T00:00:00"/>
    <s v="PHOENIX lék. velkoobchod, s.r.o."/>
    <m/>
    <n v="45746.55"/>
    <n v="51236.14"/>
    <m/>
    <m/>
    <m/>
    <d v="2024-05-21T00:00:00"/>
    <s v="SMLN-2024-617-100319"/>
    <x v="48"/>
    <d v="2024-06-20T00:00:00"/>
    <d v="2027-06-18T00:00:00"/>
  </r>
  <r>
    <d v="2024-03-06T00:00:00"/>
    <s v="VZ-2024-000216-05"/>
    <x v="1"/>
    <s v="Vondrková"/>
    <s v="Hašková"/>
    <x v="107"/>
    <x v="5"/>
    <s v="TAMSULOSIN A SOLIFENACIN ve fixní kombinaci  II."/>
    <s v="podepsaná smlouva"/>
    <s v="33641000-5"/>
    <m/>
    <n v="906019"/>
    <x v="0"/>
    <d v="2024-03-12T00:00:00"/>
    <d v="2024-04-16T00:00:00"/>
    <d v="2024-05-21T00:00:00"/>
    <s v="PHOENIX lék. velkoobchod, s.r.o."/>
    <m/>
    <n v="888254.31"/>
    <n v="994844.83"/>
    <m/>
    <m/>
    <m/>
    <d v="2024-05-21T00:00:00"/>
    <s v="SMLN-2024-617-100320"/>
    <x v="48"/>
    <d v="2024-06-20T00:00:00"/>
    <d v="2027-06-18T00:00:00"/>
  </r>
  <r>
    <d v="2024-03-04T00:00:00"/>
    <s v="VZ-2024-000217"/>
    <x v="5"/>
    <s v="Valtová"/>
    <s v="Staňková"/>
    <x v="108"/>
    <x v="0"/>
    <m/>
    <s v="podepsaná smlouva"/>
    <s v="33140000-3"/>
    <m/>
    <n v="713000"/>
    <x v="1"/>
    <d v="2024-03-15T00:00:00"/>
    <d v="2024-04-02T00:00:00"/>
    <d v="2024-04-19T00:00:00"/>
    <s v="Prague Medical s.r.o."/>
    <m/>
    <n v="713000"/>
    <n v="798560"/>
    <m/>
    <m/>
    <m/>
    <d v="2024-04-19T00:00:00"/>
    <s v="SMLN-2024-617-100242_x000a_SMLN-2024-614-100033"/>
    <x v="26"/>
    <d v="2024-04-30T00:00:00"/>
    <d v="2028-07-25T00:00:00"/>
  </r>
  <r>
    <d v="2024-03-04T00:00:00"/>
    <s v="VZ-2024-000218-01"/>
    <x v="2"/>
    <s v="Skulová"/>
    <s v="Kučera"/>
    <x v="109"/>
    <x v="1"/>
    <s v="Akumulátorová souprava"/>
    <s v="podepsaná smlouva"/>
    <s v="33160000-9"/>
    <s v="2.2.583"/>
    <n v="677200"/>
    <x v="0"/>
    <d v="2024-04-10T00:00:00"/>
    <d v="2024-05-14T00:00:00"/>
    <d v="2024-05-30T00:00:00"/>
    <s v="Johnson  &amp; Johnson, s.r.o."/>
    <m/>
    <n v="676056.3"/>
    <n v="818028.12"/>
    <m/>
    <m/>
    <m/>
    <d v="2024-05-30T00:00:00"/>
    <s v="SMLN-2024-617-100331_x000a_SMLN-2024-612-100070"/>
    <x v="46"/>
    <d v="2024-06-14T00:00:00"/>
    <d v="2024-10-05T00:00:00"/>
  </r>
  <r>
    <d v="2024-03-04T00:00:00"/>
    <s v="VZ-2024-000218-02"/>
    <x v="2"/>
    <s v="Skulová"/>
    <s v="Kučera"/>
    <x v="109"/>
    <x v="2"/>
    <s v="Modulární bateriové vrtačky"/>
    <s v="podepsaná smlouva"/>
    <s v="33160000-9"/>
    <s v="2.2.532 2.2.600 2.2.602"/>
    <n v="1500200"/>
    <x v="0"/>
    <d v="2024-04-10T00:00:00"/>
    <d v="2024-05-14T00:00:00"/>
    <d v="2024-05-30T00:00:00"/>
    <s v="Johnson  &amp; Johnson, s.r.o."/>
    <m/>
    <n v="1500198.84"/>
    <n v="1815240.6"/>
    <m/>
    <m/>
    <m/>
    <d v="2024-05-30T00:00:00"/>
    <s v="SMLN-2024-617-100332_x000a_SMLN-2024-612-100071"/>
    <x v="46"/>
    <d v="2024-06-14T00:00:00"/>
    <d v="2024-10-05T00:00:00"/>
  </r>
  <r>
    <d v="2024-03-04T00:00:00"/>
    <s v="VZ-2024-000218-03"/>
    <x v="2"/>
    <s v="Skulová"/>
    <s v="Kučera"/>
    <x v="109"/>
    <x v="3"/>
    <s v="Vrtačky a oscilační pily"/>
    <s v="zrušeno"/>
    <s v="33160000-9"/>
    <s v="2.2.602"/>
    <n v="1359000"/>
    <x v="0"/>
    <d v="2024-04-10T00:00:00"/>
    <d v="2024-05-14T00:00:00"/>
    <m/>
    <s v="zrušeno - bez nabídky"/>
    <m/>
    <m/>
    <m/>
    <m/>
    <m/>
    <m/>
    <m/>
    <m/>
    <x v="2"/>
    <d v="2024-06-14T00:00:00"/>
    <s v="28.5.2024 zrušení na podpis"/>
  </r>
  <r>
    <d v="2024-03-04T00:00:00"/>
    <s v="VZ-2024-000219-01"/>
    <x v="2"/>
    <s v="Skulová"/>
    <s v="Štýbnarová"/>
    <x v="110"/>
    <x v="1"/>
    <s v="Dezinfektor podložních mís pro HOK"/>
    <s v="podepsaná smlouva"/>
    <s v="33191000-5"/>
    <s v="2.3.775"/>
    <n v="210000"/>
    <x v="1"/>
    <d v="2024-03-07T00:00:00"/>
    <d v="2024-03-25T00:00:00"/>
    <d v="2024-04-26T00:00:00"/>
    <s v="MEDISUN profi s.r.o."/>
    <m/>
    <n v="159657.45000000001"/>
    <n v="193185.51"/>
    <m/>
    <m/>
    <m/>
    <d v="2024-04-26T00:00:00"/>
    <s v="SMLN-2024-617-100271_x000a_SMLN-2024-612-100052"/>
    <x v="38"/>
    <d v="2024-05-15T00:00:00"/>
    <d v="2024-06-14T00:00:00"/>
  </r>
  <r>
    <d v="2024-03-04T00:00:00"/>
    <s v="VZ-2024-000219-02"/>
    <x v="2"/>
    <s v="Skulová"/>
    <s v="Štýbnarová"/>
    <x v="110"/>
    <x v="2"/>
    <s v="Dezinfektory podložních mís"/>
    <s v="podepsaná smlouva"/>
    <s v="33191000-5"/>
    <s v="2.3.803 2.3.804 2.3.805 2.3.834"/>
    <n v="1110000"/>
    <x v="1"/>
    <d v="2024-03-07T00:00:00"/>
    <d v="2024-03-25T00:00:00"/>
    <d v="2024-04-26T00:00:00"/>
    <s v="Fénix Brno spol. s r.o."/>
    <m/>
    <n v="1101244"/>
    <n v="1332505.24"/>
    <m/>
    <m/>
    <m/>
    <d v="2024-04-29T00:00:00"/>
    <s v="SMLN-2024-617-100272_x000a_,SMLN-2024-612-100053"/>
    <x v="19"/>
    <d v="2024-05-13T00:00:00"/>
    <d v="2024-06-22T00:00:00"/>
  </r>
  <r>
    <d v="2024-03-04T00:00:00"/>
    <s v="VZ-2024-000219-03"/>
    <x v="2"/>
    <s v="Skulová"/>
    <s v="Štýbnarová"/>
    <x v="110"/>
    <x v="3"/>
    <s v="Myčka obuvi"/>
    <s v="podepsaná smlouva"/>
    <s v="33191000-5"/>
    <s v="2.3.833"/>
    <n v="484000"/>
    <x v="1"/>
    <d v="2024-03-07T00:00:00"/>
    <d v="2024-03-25T00:00:00"/>
    <d v="2024-04-26T00:00:00"/>
    <s v="MIELE, spol.s  r.o."/>
    <m/>
    <n v="468706"/>
    <n v="567134.26"/>
    <m/>
    <m/>
    <m/>
    <d v="2024-04-29T00:00:00"/>
    <s v="SMLN-2024-617-100273_x000a_SMLN-2024-612-100054"/>
    <x v="1"/>
    <d v="2024-05-17T00:00:00"/>
    <d v="2024-07-26T00:00:00"/>
  </r>
  <r>
    <d v="2024-03-04T00:00:00"/>
    <s v="VZ-2024-000220"/>
    <x v="2"/>
    <s v="Skulová"/>
    <s v="Staňková"/>
    <x v="111"/>
    <x v="0"/>
    <m/>
    <s v="podepsaná smlouva"/>
    <s v="38344000-8"/>
    <s v="2.3.813"/>
    <n v="372000"/>
    <x v="1"/>
    <d v="2024-03-11T00:00:00"/>
    <d v="2024-03-22T00:00:00"/>
    <d v="2024-03-28T00:00:00"/>
    <s v="ANAMET s.r.o."/>
    <m/>
    <n v="365733"/>
    <n v="442536.93"/>
    <m/>
    <m/>
    <m/>
    <d v="2024-03-28T00:00:00"/>
    <s v="SMLN-2024-617-100179_x000a_SMLN-2024-612-100040"/>
    <x v="47"/>
    <d v="2024-04-11T00:00:00"/>
    <d v="2024-06-10T00:00:00"/>
  </r>
  <r>
    <d v="2024-03-12T00:00:00"/>
    <s v="VZ-2024-000221"/>
    <x v="5"/>
    <s v="Valtová"/>
    <s v="Štýbnarová"/>
    <x v="112"/>
    <x v="0"/>
    <m/>
    <s v="podepsaná smlouva"/>
    <s v="33140000-3"/>
    <m/>
    <n v="1225148"/>
    <x v="1"/>
    <d v="2024-03-18T00:00:00"/>
    <d v="2024-04-02T00:00:00"/>
    <d v="2024-04-16T00:00:00"/>
    <s v="CARDION s.r.o."/>
    <m/>
    <n v="1225147.6000000001"/>
    <n v="1372165.4"/>
    <m/>
    <m/>
    <m/>
    <d v="2024-04-16T00:00:00"/>
    <s v="SMLN-2024-617-100227_x000a_SMLN-2024-614-100027"/>
    <x v="3"/>
    <d v="2024-04-22T00:00:00"/>
    <d v="2028-07-31T00:00:00"/>
  </r>
  <r>
    <d v="2024-03-06T00:00:00"/>
    <s v="VZ-2024-000222"/>
    <x v="1"/>
    <s v="Vondrková"/>
    <s v="Hašková"/>
    <x v="113"/>
    <x v="0"/>
    <m/>
    <s v="podepsaná smlouva"/>
    <s v="33651400-2"/>
    <m/>
    <n v="6351870"/>
    <x v="0"/>
    <d v="2024-03-18T00:00:00"/>
    <d v="2024-04-22T00:00:00"/>
    <d v="2024-05-07T00:00:00"/>
    <s v="PHOENIX lék. velkoobchod, s.r.o."/>
    <m/>
    <n v="2877000"/>
    <n v="3222240"/>
    <m/>
    <m/>
    <m/>
    <d v="2024-05-07T00:00:00"/>
    <s v="SMLN-2024-617-100292"/>
    <x v="49"/>
    <d v="2024-06-06T00:00:00"/>
    <d v="2027-06-03T00:00:00"/>
  </r>
  <r>
    <d v="2024-03-07T00:00:00"/>
    <s v="VZ-2024-000223"/>
    <x v="2"/>
    <s v="Skulová"/>
    <s v="Štýbnarová"/>
    <x v="114"/>
    <x v="0"/>
    <m/>
    <s v="podepsaná smlouva"/>
    <s v="33122000-1"/>
    <s v="2.3.827"/>
    <n v="242000"/>
    <x v="1"/>
    <d v="2024-03-12T00:00:00"/>
    <d v="2024-04-04T00:00:00"/>
    <d v="2024-04-26T00:00:00"/>
    <s v="CMI s.r.o."/>
    <m/>
    <n v="171830"/>
    <n v="207914.3"/>
    <m/>
    <m/>
    <m/>
    <d v="2024-04-29T00:00:00"/>
    <s v="SMLN-2024-617-100274_x000a_SMLN-2024-612-100055"/>
    <x v="33"/>
    <d v="2024-05-21T00:00:00"/>
    <d v="2024-05-28T00:00:00"/>
  </r>
  <r>
    <d v="2024-03-07T00:00:00"/>
    <s v="VZ-2024-000224"/>
    <x v="2"/>
    <s v="Skulová"/>
    <s v="Staňková"/>
    <x v="115"/>
    <x v="0"/>
    <m/>
    <s v="podepsaná smlouva"/>
    <s v="33157000-5"/>
    <s v="2.2.628"/>
    <n v="178500"/>
    <x v="1"/>
    <d v="2024-03-20T00:00:00"/>
    <d v="2024-04-02T00:00:00"/>
    <d v="2024-04-09T00:00:00"/>
    <s v="A.M.I. - Analytical Medical Instruments, s.r.o."/>
    <m/>
    <n v="177600"/>
    <n v="214896"/>
    <m/>
    <m/>
    <m/>
    <d v="2024-04-09T00:00:00"/>
    <s v="SMLN-2024-617-100209"/>
    <x v="7"/>
    <d v="2024-04-24T00:00:00"/>
    <d v="2024-06-23T00:00:00"/>
  </r>
  <r>
    <d v="2024-03-07T00:00:00"/>
    <s v="VZ-2024-000225"/>
    <x v="5"/>
    <s v="Dočkalová"/>
    <s v="Zdražilová"/>
    <x v="116"/>
    <x v="0"/>
    <m/>
    <s v="podepsaná smlouva"/>
    <s v="33182100-0"/>
    <m/>
    <n v="1948500"/>
    <x v="0"/>
    <d v="2024-03-18T00:00:00"/>
    <d v="2024-04-22T00:00:00"/>
    <d v="2024-05-22T00:00:00"/>
    <s v="Boston Scientific Česká republika, s.r.o."/>
    <m/>
    <n v="1948500"/>
    <n v="2182320"/>
    <m/>
    <m/>
    <m/>
    <d v="2024-05-22T00:00:00"/>
    <s v="SMLN-2024-617-100321_x000a_SMLN-2024-614-100038"/>
    <x v="49"/>
    <d v="2024-06-13T00:00:00"/>
    <d v="2026-02-03T00:00:00"/>
  </r>
  <r>
    <d v="2024-03-07T00:00:00"/>
    <s v="VZ-2024-000226"/>
    <x v="5"/>
    <s v="Valtová"/>
    <s v="Staňková"/>
    <x v="117"/>
    <x v="0"/>
    <m/>
    <s v="podepsaná smlouva"/>
    <s v="33140000-3"/>
    <m/>
    <n v="1074000"/>
    <x v="1"/>
    <d v="2024-03-18T00:00:00"/>
    <d v="2024-04-09T00:00:00"/>
    <d v="2024-04-11T00:00:00"/>
    <s v="Medtronic Czechia s.r.o."/>
    <m/>
    <n v="1074000"/>
    <n v="1202880"/>
    <m/>
    <m/>
    <m/>
    <d v="2024-04-11T00:00:00"/>
    <s v="SMLN-2024-617-100214_x000a_SMLN-2024-614-100022"/>
    <x v="50"/>
    <d v="2024-04-25T00:00:00"/>
    <d v="2028-07-29T00:00:00"/>
  </r>
  <r>
    <d v="2024-03-08T00:00:00"/>
    <s v="VZ-2024-000227"/>
    <x v="5"/>
    <s v="Dočkalová"/>
    <s v="Zdražilová"/>
    <x v="118"/>
    <x v="0"/>
    <m/>
    <s v="podepsaná smlouva"/>
    <s v="33140000-3"/>
    <m/>
    <n v="5012160"/>
    <x v="0"/>
    <d v="2024-03-13T00:00:00"/>
    <d v="2024-05-02T00:00:00"/>
    <d v="2024-05-23T00:00:00"/>
    <s v="INOVA SURGICAL s.r.o."/>
    <m/>
    <n v="5627200"/>
    <n v="6302464"/>
    <m/>
    <m/>
    <m/>
    <d v="2024-05-24T00:00:00"/>
    <s v="SMLN-2024-617-100325_x000a_SMLN-2024-614-100039"/>
    <x v="51"/>
    <d v="2024-05-29T00:00:00"/>
    <d v="2028-08-31T00:00:00"/>
  </r>
  <r>
    <d v="2024-03-08T00:00:00"/>
    <s v="VZ-2024-000228"/>
    <x v="5"/>
    <s v="Valtová"/>
    <s v="Zdražilová"/>
    <x v="119"/>
    <x v="0"/>
    <m/>
    <s v="podepsaná smlouva"/>
    <s v="33140000-3"/>
    <m/>
    <n v="2703000"/>
    <x v="2"/>
    <d v="2024-03-13T00:00:00"/>
    <d v="2024-04-04T00:00:00"/>
    <d v="2024-04-16T00:00:00"/>
    <s v="ARID obchodní společnost, s.r.o."/>
    <m/>
    <n v="2703000"/>
    <n v="3027360"/>
    <m/>
    <m/>
    <m/>
    <d v="2024-04-16T00:00:00"/>
    <s v="SMLN-2024-617-100224_x000a_SMLN-2024-614-100026"/>
    <x v="7"/>
    <d v="2024-05-02T00:00:00"/>
    <d v="2028-08-30T00:00:00"/>
  </r>
  <r>
    <d v="2024-03-12T00:00:00"/>
    <s v="VZ-2024-000229"/>
    <x v="5"/>
    <s v="Dočkalová"/>
    <s v="Zdražilová"/>
    <x v="120"/>
    <x v="0"/>
    <m/>
    <s v="podepsaná smlouva"/>
    <s v="33140000-3"/>
    <m/>
    <n v="868000"/>
    <x v="0"/>
    <d v="2024-03-18T00:00:00"/>
    <d v="2024-04-22T00:00:00"/>
    <d v="2024-05-03T00:00:00"/>
    <s v="Edwards Lifesciences Czech Republic s.r.o."/>
    <m/>
    <n v="868000"/>
    <n v="972160"/>
    <m/>
    <m/>
    <m/>
    <d v="2024-05-03T00:00:00"/>
    <s v="SMLN-2024-617-100284_x000a_SMLN-2024-614-100034"/>
    <x v="52"/>
    <d v="2024-06-07T00:00:00"/>
    <d v="2028-05-28T00:00:00"/>
  </r>
  <r>
    <d v="2024-03-08T00:00:00"/>
    <s v="VZ-2024-000230"/>
    <x v="6"/>
    <s v="Kadlec"/>
    <s v="Staňková"/>
    <x v="121"/>
    <x v="0"/>
    <m/>
    <s v="podepsaná smlouva"/>
    <s v="45453000-7"/>
    <m/>
    <n v="1500000"/>
    <x v="1"/>
    <d v="2024-03-20T00:00:00"/>
    <d v="2024-04-02T00:00:00"/>
    <d v="2024-04-15T00:00:00"/>
    <s v="Elektropráce Spáčil s.r.o."/>
    <m/>
    <n v="1589000.24"/>
    <n v="1922690.29"/>
    <m/>
    <m/>
    <m/>
    <d v="2024-04-15T00:00:00"/>
    <s v="SMLN-2024-618-100014"/>
    <x v="26"/>
    <d v="2024-04-30T00:00:00"/>
    <d v="2024-08-09T00:00:00"/>
  </r>
  <r>
    <d v="2024-03-15T00:00:00"/>
    <s v="VZ-2024-000232"/>
    <x v="5"/>
    <s v="Valtová"/>
    <s v="Zdražilová"/>
    <x v="122"/>
    <x v="0"/>
    <m/>
    <s v="podepsaná smlouva"/>
    <s v="33140000-3"/>
    <m/>
    <n v="9339960"/>
    <x v="0"/>
    <d v="2024-04-08T00:00:00"/>
    <d v="2024-05-14T00:00:00"/>
    <d v="2024-05-30T00:00:00"/>
    <s v="VAMEX, spol. s r.o."/>
    <m/>
    <n v="9340081.8000000007"/>
    <n v="10460891.619999999"/>
    <m/>
    <m/>
    <m/>
    <d v="2024-05-30T00:00:00"/>
    <s v="SMLN-2024-617-100334_x000a_SMLN-2024-614-100040_x000a_SMLN-2024-616-100041"/>
    <x v="53"/>
    <d v="2024-06-17T00:00:00"/>
    <d v="2028-06-11T00:00:00"/>
  </r>
  <r>
    <d v="2024-03-12T00:00:00"/>
    <s v="VZ-2024-000234"/>
    <x v="5"/>
    <s v="Dočkalová"/>
    <s v="Zdražilová"/>
    <x v="123"/>
    <x v="0"/>
    <m/>
    <s v="podepsaná smlouva"/>
    <s v="33162200-5"/>
    <m/>
    <n v="3610480"/>
    <x v="0"/>
    <d v="2024-03-19T00:00:00"/>
    <d v="2024-04-24T00:00:00"/>
    <d v="2024-05-03T00:00:00"/>
    <s v="ADYTON s.r.o., (angl. Ltd, něm. GmbH, franc. S.R.L.A.)"/>
    <m/>
    <n v="3610468"/>
    <n v="4043724.16"/>
    <m/>
    <m/>
    <m/>
    <d v="2024-05-03T00:00:00"/>
    <s v="SMLN-2024-617-100285_x000a_SMLN-2024-614-100035"/>
    <x v="19"/>
    <d v="2024-05-20T00:00:00"/>
    <d v="2028-05-12T00:00:00"/>
  </r>
  <r>
    <d v="2024-03-12T00:00:00"/>
    <s v="VZ-2024-000235"/>
    <x v="6"/>
    <s v="Srovnal"/>
    <s v="Kučera"/>
    <x v="124"/>
    <x v="0"/>
    <m/>
    <s v="podepsaná smlouva"/>
    <s v="45453100-8"/>
    <m/>
    <n v="5500000"/>
    <x v="2"/>
    <d v="2024-03-26T00:00:00"/>
    <d v="2024-04-19T00:00:00"/>
    <d v="2024-05-03T00:00:00"/>
    <s v="PTÁČEK - pozemní stavby s.r.o."/>
    <m/>
    <n v="2499491.96"/>
    <n v="3024385.27"/>
    <m/>
    <m/>
    <m/>
    <d v="2024-05-03T00:00:00"/>
    <s v="SMLN-2024-618-100016"/>
    <x v="1"/>
    <d v="2024-06-13T00:00:00"/>
    <m/>
  </r>
  <r>
    <d v="2024-04-18T00:00:00"/>
    <s v="VZ-2024-000239"/>
    <x v="0"/>
    <s v="Pavela"/>
    <s v="Staňková"/>
    <x v="125"/>
    <x v="0"/>
    <m/>
    <s v="zrušeno"/>
    <s v="71318000-0"/>
    <m/>
    <n v="1000000"/>
    <x v="1"/>
    <d v="2024-04-29T00:00:00"/>
    <d v="2024-05-20T00:00:00"/>
    <m/>
    <s v="zrušeno"/>
    <s v="nová VZ-2024-000424"/>
    <m/>
    <m/>
    <m/>
    <m/>
    <m/>
    <m/>
    <m/>
    <x v="2"/>
    <d v="2024-05-21T00:00:00"/>
    <m/>
  </r>
  <r>
    <d v="2024-03-14T00:00:00"/>
    <s v="VZ-2024-000240"/>
    <x v="5"/>
    <s v="Valtová"/>
    <s v="Zdražilová"/>
    <x v="126"/>
    <x v="0"/>
    <m/>
    <s v="podepsaná smlouva"/>
    <s v="33140000-3"/>
    <m/>
    <n v="2726000"/>
    <x v="0"/>
    <d v="2024-03-20T00:00:00"/>
    <d v="2024-04-25T00:00:00"/>
    <d v="2024-05-17T00:00:00"/>
    <s v="A care a.s."/>
    <m/>
    <n v="2726000"/>
    <n v="3053120"/>
    <m/>
    <m/>
    <m/>
    <d v="2024-05-17T00:00:00"/>
    <s v="SMLN-2024-617-100313_x000a_SMLN-2024-614-100037"/>
    <x v="53"/>
    <d v="2024-06-17T00:00:00"/>
    <d v="2028-06-11T00:00:00"/>
  </r>
  <r>
    <s v="VZ-2024-000210"/>
    <s v="VZ-2024-000241"/>
    <x v="5"/>
    <s v="Dočkalová"/>
    <s v="Zdražilová"/>
    <x v="127"/>
    <x v="0"/>
    <m/>
    <s v="podepsaná smlouva"/>
    <s v="33198200-6"/>
    <m/>
    <n v="2153855"/>
    <x v="2"/>
    <d v="2024-03-18T00:00:00"/>
    <d v="2024-04-15T00:00:00"/>
    <d v="2024-04-19T00:00:00"/>
    <s v="TZMO Czech Republic s.r.o."/>
    <m/>
    <n v="2138725.98"/>
    <n v="2395373.1"/>
    <m/>
    <m/>
    <m/>
    <d v="2024-04-19T00:00:00"/>
    <s v="SMLN-2024-617-100243"/>
    <x v="26"/>
    <d v="2024-05-03T00:00:00"/>
    <d v="2027-07-31T00:00:00"/>
  </r>
  <r>
    <d v="2024-03-13T00:00:00"/>
    <s v="VZ-2024-000242"/>
    <x v="1"/>
    <s v="Vlčková"/>
    <s v="Bodinková"/>
    <x v="128"/>
    <x v="0"/>
    <m/>
    <s v="podepsaná smlouva"/>
    <s v="09343000-5"/>
    <m/>
    <n v="94013400"/>
    <x v="0"/>
    <d v="2024-04-15T00:00:00"/>
    <d v="2024-06-20T00:00:00"/>
    <d v="2024-07-15T00:00:00"/>
    <s v="RadioMedic s.r.o."/>
    <m/>
    <n v="93840000"/>
    <n v="105100800"/>
    <m/>
    <m/>
    <m/>
    <d v="2024-07-15T00:00:00"/>
    <s v="SMLN-2024-617-100407"/>
    <x v="54"/>
    <d v="2024-08-21T00:00:00"/>
    <d v="2027-08-07T00:00:00"/>
  </r>
  <r>
    <d v="2024-03-13T00:00:00"/>
    <s v="VZ-2024-000243"/>
    <x v="13"/>
    <s v="Hrabálek"/>
    <s v="Štýbnarová"/>
    <x v="129"/>
    <x v="0"/>
    <m/>
    <s v="zrušeno"/>
    <s v="92000000-1"/>
    <m/>
    <n v="400000"/>
    <x v="1"/>
    <d v="2024-03-18T00:00:00"/>
    <d v="2024-04-02T00:00:00"/>
    <m/>
    <s v="zrušeno - úprava zadávacích podmínek"/>
    <s v="nová VZ-2024-000465"/>
    <m/>
    <m/>
    <m/>
    <m/>
    <m/>
    <m/>
    <m/>
    <x v="2"/>
    <d v="2024-04-23T00:00:00"/>
    <m/>
  </r>
  <r>
    <d v="2024-03-14T00:00:00"/>
    <s v="VZ-2024-000246"/>
    <x v="2"/>
    <s v="Skulová"/>
    <s v="Staňková"/>
    <x v="130"/>
    <x v="0"/>
    <m/>
    <s v="podepsaná smlouva"/>
    <s v="33162100-4"/>
    <s v="2.3.776."/>
    <n v="540000"/>
    <x v="1"/>
    <d v="2024-03-20T00:00:00"/>
    <d v="2024-04-10T00:00:00"/>
    <d v="2024-05-07T00:00:00"/>
    <s v="MGVIVA a.s."/>
    <m/>
    <n v="778510.82"/>
    <n v="941998.09"/>
    <m/>
    <m/>
    <m/>
    <d v="2024-05-07T00:00:00"/>
    <s v="SMLN-2024-617-100291_x000a_SMLN-2024-612-100062"/>
    <x v="33"/>
    <d v="2024-05-22T00:00:00"/>
    <d v="2024-07-10T00:00:00"/>
  </r>
  <r>
    <d v="2024-03-20T00:00:00"/>
    <s v="VZ-2024-000248"/>
    <x v="6"/>
    <s v="Srovnal"/>
    <s v="Kučera"/>
    <x v="131"/>
    <x v="0"/>
    <m/>
    <s v="podepsaná smlouva"/>
    <s v="45442100-8"/>
    <m/>
    <n v="20000000"/>
    <x v="2"/>
    <d v="2024-04-05T00:00:00"/>
    <d v="2024-04-24T00:00:00"/>
    <d v="2024-06-12T00:00:00"/>
    <s v="STAVNEMO s.r.o."/>
    <m/>
    <n v="19297755.550000001"/>
    <n v="23350284.210000001"/>
    <m/>
    <m/>
    <m/>
    <d v="2024-06-12T00:00:00"/>
    <s v="SMLN-2024-618-100028"/>
    <x v="55"/>
    <d v="2024-07-11T00:00:00"/>
    <d v="2028-06-27T00:00:00"/>
  </r>
  <r>
    <d v="2024-07-04T00:00:00"/>
    <s v="VZ-2024-000249"/>
    <x v="14"/>
    <s v="Šišma"/>
    <s v="Kučera"/>
    <x v="132"/>
    <x v="0"/>
    <m/>
    <s v="smlouva v kolečku"/>
    <s v="66172000-6"/>
    <m/>
    <n v="5000000"/>
    <x v="0"/>
    <d v="2024-07-15T00:00:00"/>
    <d v="2024-08-19T00:00:00"/>
    <d v="2024-09-13T00:00:00"/>
    <s v="Global Payments, s.r.o."/>
    <m/>
    <n v="4048000"/>
    <n v="4048000"/>
    <m/>
    <m/>
    <m/>
    <d v="2024-09-13T00:00:00"/>
    <s v="SMLN-2024-612-100115"/>
    <x v="2"/>
    <m/>
    <m/>
  </r>
  <r>
    <d v="2024-03-14T00:00:00"/>
    <s v="VZ-2024-000250"/>
    <x v="6"/>
    <s v="Kadlec"/>
    <s v="Štýbnarová"/>
    <x v="133"/>
    <x v="0"/>
    <m/>
    <s v="podepsaná smlouva"/>
    <s v="45453000-7"/>
    <m/>
    <n v="600000"/>
    <x v="1"/>
    <d v="2024-03-21T00:00:00"/>
    <d v="2024-04-08T00:00:00"/>
    <d v="2024-04-24T00:00:00"/>
    <s v="AL LOGIC, s.r.o."/>
    <m/>
    <n v="418006.83"/>
    <n v="505788.26"/>
    <m/>
    <m/>
    <m/>
    <d v="2024-04-24T00:00:00"/>
    <s v="SMLN-2024-618-100015"/>
    <x v="19"/>
    <d v="2024-05-13T00:00:00"/>
    <m/>
  </r>
  <r>
    <d v="2024-03-20T00:00:00"/>
    <s v="VZ-2024-000252"/>
    <x v="4"/>
    <s v="Zdráhalová"/>
    <s v="Zdražilová"/>
    <x v="134"/>
    <x v="0"/>
    <m/>
    <s v="podepsaná smlouva"/>
    <s v="33770000-8"/>
    <m/>
    <n v="3189888"/>
    <x v="2"/>
    <d v="2024-03-22T00:00:00"/>
    <d v="2024-04-12T00:00:00"/>
    <d v="2024-04-25T00:00:00"/>
    <s v="KORAKO  plus, s.r.o."/>
    <m/>
    <n v="3129593"/>
    <n v="3786807.53"/>
    <m/>
    <m/>
    <m/>
    <d v="2024-04-25T00:00:00"/>
    <s v="SMLN-2024-617-100266"/>
    <x v="33"/>
    <d v="2024-05-24T00:00:00"/>
    <d v="2025-05-20T00:00:00"/>
  </r>
  <r>
    <d v="2024-03-20T00:00:00"/>
    <s v="VZ-2024-000256"/>
    <x v="1"/>
    <s v="Vondrková"/>
    <s v="Hašková"/>
    <x v="135"/>
    <x v="0"/>
    <m/>
    <s v="podepsaná smlouva"/>
    <s v="33651400-2"/>
    <m/>
    <n v="8823510"/>
    <x v="4"/>
    <d v="2024-03-26T00:00:00"/>
    <d v="2024-04-09T00:00:00"/>
    <d v="2024-04-22T00:00:00"/>
    <s v="Alliance Healthcare s.r.o."/>
    <m/>
    <n v="8682368.5199999996"/>
    <n v="9724252.7400000002"/>
    <m/>
    <m/>
    <m/>
    <d v="2024-04-22T00:00:00"/>
    <s v="SMLN-2024-617-100248"/>
    <x v="56"/>
    <d v="2024-05-02T00:00:00"/>
    <d v="2027-05-01T00:00:00"/>
  </r>
  <r>
    <d v="2024-04-02T00:00:00"/>
    <s v="VZ-2024-000257"/>
    <x v="7"/>
    <s v="Oravec"/>
    <s v="Staňková"/>
    <x v="136"/>
    <x v="0"/>
    <m/>
    <s v="podepsaná smlouva"/>
    <s v="72261000-2"/>
    <m/>
    <n v="560000"/>
    <x v="1"/>
    <d v="2024-04-09T00:00:00"/>
    <d v="2024-04-22T00:00:00"/>
    <d v="2024-04-30T00:00:00"/>
    <s v="Steiner, s.r.o."/>
    <m/>
    <n v="768000"/>
    <n v="929280"/>
    <m/>
    <m/>
    <m/>
    <d v="2024-04-30T00:00:00"/>
    <s v="SMLN-2024-612-100058"/>
    <x v="1"/>
    <d v="2024-05-17T00:00:00"/>
    <s v="doba neurčitá"/>
  </r>
  <r>
    <d v="2024-03-20T00:00:00"/>
    <s v="VZ-2024-000258"/>
    <x v="5"/>
    <s v="Dočkalová"/>
    <s v="Štýbnarová"/>
    <x v="137"/>
    <x v="0"/>
    <m/>
    <s v="podepsaná smlouva"/>
    <s v="33169400-6"/>
    <m/>
    <n v="1007000"/>
    <x v="1"/>
    <d v="2024-03-27T00:00:00"/>
    <d v="2024-04-15T00:00:00"/>
    <d v="2024-04-23T00:00:00"/>
    <s v="B. Braun Medical s.r.o."/>
    <m/>
    <n v="906190"/>
    <n v="1096489.8999999999"/>
    <m/>
    <m/>
    <m/>
    <d v="2024-04-23T00:00:00"/>
    <s v="SMLN-2024-617-100250"/>
    <x v="26"/>
    <d v="2024-04-30T00:00:00"/>
    <d v="2024-07-23T00:00:00"/>
  </r>
  <r>
    <d v="2024-03-26T00:00:00"/>
    <s v="VZ-2024-000264"/>
    <x v="1"/>
    <s v="Vlčková"/>
    <s v="Bodinková"/>
    <x v="138"/>
    <x v="0"/>
    <m/>
    <s v="podepsaná smlouva"/>
    <s v="09343000-5"/>
    <m/>
    <n v="8633450"/>
    <x v="4"/>
    <d v="2024-04-04T00:00:00"/>
    <d v="2024-04-16T00:00:00"/>
    <d v="2024-04-24T00:00:00"/>
    <s v="M.G.P. spol. s r.o."/>
    <m/>
    <n v="8329507"/>
    <n v="9329047.8399999999"/>
    <m/>
    <m/>
    <m/>
    <d v="2024-04-24T00:00:00"/>
    <s v="SMLN-2024-617-100261"/>
    <x v="26"/>
    <d v="2024-05-02T00:00:00"/>
    <d v="2024-09-30T00:00:00"/>
  </r>
  <r>
    <d v="2024-03-26T00:00:00"/>
    <s v="VZ-2024-000265"/>
    <x v="1"/>
    <s v="Vlčková"/>
    <s v="Bodinková"/>
    <x v="139"/>
    <x v="0"/>
    <m/>
    <s v="podepsaná smlouva"/>
    <s v="09343000-5"/>
    <m/>
    <n v="3947520"/>
    <x v="0"/>
    <d v="2024-04-10T00:00:00"/>
    <d v="2024-05-15T00:00:00"/>
    <d v="2024-05-28T00:00:00"/>
    <s v="BAYER s.r.o."/>
    <m/>
    <n v="3947520"/>
    <n v="4421222.4000000004"/>
    <m/>
    <m/>
    <m/>
    <d v="2024-05-28T00:00:00"/>
    <s v="SMLN-2024-617-100327"/>
    <x v="52"/>
    <d v="2024-05-30T00:00:00"/>
    <d v="2027-05-28T00:00:00"/>
  </r>
  <r>
    <s v="VZ-2024-000121"/>
    <s v="VZ-2024-000267"/>
    <x v="1"/>
    <s v="Vondrková"/>
    <s v="Staňková"/>
    <x v="140"/>
    <x v="0"/>
    <m/>
    <s v="podepsaná smlouva"/>
    <s v="33652100-6"/>
    <m/>
    <n v="1215734"/>
    <x v="1"/>
    <d v="2024-03-26T00:00:00"/>
    <d v="2024-04-08T00:00:00"/>
    <d v="2024-04-16T00:00:00"/>
    <s v="ViaPharma, s.r.o."/>
    <m/>
    <n v="1215720.96"/>
    <n v="1361607.48"/>
    <m/>
    <m/>
    <m/>
    <d v="2024-04-16T00:00:00"/>
    <s v="SMLN-2024-617-100221"/>
    <x v="7"/>
    <d v="2024-04-24T00:00:00"/>
    <d v="2027-04-23T00:00:00"/>
  </r>
  <r>
    <d v="2024-03-25T00:00:00"/>
    <s v="VZ-2024-000268-01"/>
    <x v="1"/>
    <s v="Vlčková"/>
    <s v="Hašková"/>
    <x v="141"/>
    <x v="1"/>
    <s v="CERNEVIT"/>
    <s v="podepsaná smlouva"/>
    <s v="33692510-5"/>
    <m/>
    <n v="1624320"/>
    <x v="2"/>
    <d v="2024-03-28T00:00:00"/>
    <d v="2024-04-19T00:00:00"/>
    <d v="2024-04-30T00:00:00"/>
    <s v="BAXTER CZECH spol. s r.o."/>
    <m/>
    <n v="1624320"/>
    <n v="1819238.3999999999"/>
    <m/>
    <m/>
    <m/>
    <d v="2024-04-30T00:00:00"/>
    <s v="SMLN-2024-617-100279"/>
    <x v="48"/>
    <d v="2024-06-20T00:00:00"/>
    <d v="2027-06-18T00:00:00"/>
  </r>
  <r>
    <d v="2024-03-25T00:00:00"/>
    <s v="VZ-2024-000268-02"/>
    <x v="1"/>
    <s v="Vlčková"/>
    <s v="Hašková"/>
    <x v="141"/>
    <x v="2"/>
    <s v="SOLUVIT"/>
    <s v="podepsaná smlouva"/>
    <s v="33692510-5"/>
    <m/>
    <n v="520905"/>
    <x v="2"/>
    <d v="2024-03-28T00:00:00"/>
    <d v="2024-04-19T00:00:00"/>
    <d v="2024-04-30T00:00:00"/>
    <s v="Fresenius Kabi s.r.o."/>
    <m/>
    <n v="520904.67"/>
    <n v="583413.23"/>
    <m/>
    <m/>
    <m/>
    <d v="2024-04-30T00:00:00"/>
    <s v="SMLN-2024-617-100280"/>
    <x v="48"/>
    <d v="2024-06-20T00:00:00"/>
    <d v="2027-06-18T00:00:00"/>
  </r>
  <r>
    <d v="2024-03-25T00:00:00"/>
    <s v="VZ-2024-000268-03"/>
    <x v="1"/>
    <s v="Vlčková"/>
    <s v="Hašková"/>
    <x v="141"/>
    <x v="3"/>
    <s v="VITALAPID N ADULT"/>
    <s v="podepsaná smlouva"/>
    <s v="33692510-5"/>
    <m/>
    <n v="113304"/>
    <x v="2"/>
    <d v="2024-03-28T00:00:00"/>
    <d v="2024-04-19T00:00:00"/>
    <d v="2024-04-30T00:00:00"/>
    <s v="Fresenius Kabi s.r.o."/>
    <m/>
    <n v="113303.4"/>
    <n v="126899.81"/>
    <m/>
    <m/>
    <m/>
    <d v="2024-04-30T00:00:00"/>
    <s v="SMLN-2024-617-100281"/>
    <x v="48"/>
    <d v="2024-06-20T00:00:00"/>
    <d v="2027-06-18T00:00:00"/>
  </r>
  <r>
    <d v="2024-03-25T00:00:00"/>
    <s v="VZ-2024-000268-04"/>
    <x v="1"/>
    <s v="Vlčková"/>
    <s v="Hašková"/>
    <x v="141"/>
    <x v="4"/>
    <s v="VITALAPID N INFANT"/>
    <s v="podepsaná smlouva"/>
    <s v="33692510-5"/>
    <m/>
    <n v="208975"/>
    <x v="2"/>
    <d v="2024-03-28T00:00:00"/>
    <d v="2024-04-19T00:00:00"/>
    <d v="2024-04-30T00:00:00"/>
    <s v="Fresenius Kabi s.r.o."/>
    <m/>
    <n v="208974.78"/>
    <n v="234051.75"/>
    <m/>
    <m/>
    <m/>
    <d v="2024-04-30T00:00:00"/>
    <s v="SMLN-2024-617-100282"/>
    <x v="48"/>
    <d v="2024-06-20T00:00:00"/>
    <d v="2027-06-18T00:00:00"/>
  </r>
  <r>
    <d v="2024-03-25T00:00:00"/>
    <s v="VZ-2024-000269"/>
    <x v="1"/>
    <s v="Vlčková"/>
    <s v="Staňková"/>
    <x v="142"/>
    <x v="0"/>
    <m/>
    <s v="podepsaná smlouva"/>
    <s v="33652300-8"/>
    <m/>
    <n v="654516"/>
    <x v="1"/>
    <d v="2024-03-27T00:00:00"/>
    <d v="2024-04-17T00:00:00"/>
    <d v="2024-04-22T00:00:00"/>
    <s v="PROMEDICA PRAHA GROUP, a.s."/>
    <m/>
    <n v="648398.69999999995"/>
    <n v="726206.54"/>
    <m/>
    <m/>
    <m/>
    <d v="2024-04-22T00:00:00"/>
    <s v="SMLN-2024-617-100246"/>
    <x v="19"/>
    <d v="2024-05-13T00:00:00"/>
    <d v="2026-01-12T00:00:00"/>
  </r>
  <r>
    <d v="2024-04-08T00:00:00"/>
    <s v="VZ-2024-000270"/>
    <x v="1"/>
    <s v="Vondrková"/>
    <s v="Zdražilová"/>
    <x v="143"/>
    <x v="0"/>
    <m/>
    <s v="podepsaná smlouva"/>
    <s v="33652100-6"/>
    <m/>
    <n v="29595081"/>
    <x v="0"/>
    <d v="2024-04-11T00:00:00"/>
    <d v="2024-05-16T00:00:00"/>
    <d v="2024-06-05T00:00:00"/>
    <s v="Avenier a.s."/>
    <m/>
    <n v="29595070.440000001"/>
    <n v="33146478.890000001"/>
    <m/>
    <m/>
    <m/>
    <d v="2024-06-05T00:00:00"/>
    <s v="SMLN-2024-617-100340"/>
    <x v="57"/>
    <d v="2024-06-12T00:00:00"/>
    <d v="2027-06-10T00:00:00"/>
  </r>
  <r>
    <d v="2024-05-06T00:00:00"/>
    <s v="VZ-2024-000273"/>
    <x v="1"/>
    <s v="Vondrková"/>
    <s v="Bodinková"/>
    <x v="144"/>
    <x v="0"/>
    <m/>
    <s v="podepsaná smlouva"/>
    <s v="33642000-2"/>
    <m/>
    <n v="5308751"/>
    <x v="0"/>
    <d v="2024-05-09T00:00:00"/>
    <d v="2024-06-13T00:00:00"/>
    <d v="2024-06-24T00:00:00"/>
    <s v="Alliance Healthcare s.r.o."/>
    <m/>
    <n v="3230469"/>
    <n v="3618125.28"/>
    <m/>
    <m/>
    <m/>
    <d v="2024-06-24T00:00:00"/>
    <s v="SMLN-2024-617-100374"/>
    <x v="58"/>
    <d v="2024-07-29T00:00:00"/>
    <d v="2027-07-18T00:00:00"/>
  </r>
  <r>
    <d v="2024-03-26T00:00:00"/>
    <s v="VZ-2024-000274"/>
    <x v="1"/>
    <s v="Vlčková"/>
    <s v="Bodinková"/>
    <x v="145"/>
    <x v="0"/>
    <m/>
    <s v="podepsaná smlouva"/>
    <s v="33652000-5"/>
    <m/>
    <n v="2316576"/>
    <x v="0"/>
    <d v="2024-04-05T00:00:00"/>
    <d v="2024-05-30T00:00:00"/>
    <d v="2024-06-17T00:00:00"/>
    <s v="Alliance Healthcare s.r.o."/>
    <m/>
    <n v="860814.72"/>
    <n v="964112.49"/>
    <m/>
    <m/>
    <m/>
    <d v="2024-06-17T00:00:00"/>
    <s v="SMLN-2024-617-100350"/>
    <x v="59"/>
    <d v="2024-07-29T00:00:00"/>
    <d v="2027-09-12T00:00:00"/>
  </r>
  <r>
    <d v="2024-03-26T00:00:00"/>
    <s v="VZ-2024-000275-01"/>
    <x v="5"/>
    <s v="Valtová"/>
    <s v="Zdražilová"/>
    <x v="146"/>
    <x v="1"/>
    <s v="Ablační katetry pro provádění konvenčních ablací"/>
    <s v="podepsaná smlouva"/>
    <s v="33141200-2"/>
    <m/>
    <n v="2677500"/>
    <x v="0"/>
    <d v="2024-04-02T00:00:00"/>
    <d v="2024-05-09T00:00:00"/>
    <d v="2024-07-11T00:00:00"/>
    <s v="Cardiomedical s.r.o."/>
    <m/>
    <n v="2677500"/>
    <n v="2998800"/>
    <m/>
    <m/>
    <m/>
    <d v="2024-07-11T00:00:00"/>
    <s v="SMLN-2024-617-100392_x000a_SMLN-2024-614-100045"/>
    <x v="60"/>
    <d v="2024-08-06T00:00:00"/>
    <d v="2027-07-29T00:00:00"/>
  </r>
  <r>
    <d v="2024-03-26T00:00:00"/>
    <s v="VZ-2024-000275-02"/>
    <x v="5"/>
    <s v="Valtová"/>
    <s v="Zdražilová"/>
    <x v="146"/>
    <x v="2"/>
    <s v="Základní diagnostické katetry fixní"/>
    <s v="zrušeno"/>
    <s v="33141200-2"/>
    <m/>
    <n v="4340000"/>
    <x v="0"/>
    <d v="2024-04-02T00:00:00"/>
    <d v="2024-05-09T00:00:00"/>
    <m/>
    <s v="zrušeno - bez hodnotitelné nabídky"/>
    <s v="nová VZ-2024-000558-01"/>
    <m/>
    <m/>
    <m/>
    <m/>
    <m/>
    <m/>
    <m/>
    <x v="2"/>
    <d v="2024-08-06T00:00:00"/>
    <s v="17.7.2024 zrušeno"/>
  </r>
  <r>
    <d v="2024-03-26T00:00:00"/>
    <s v="VZ-2024-000275-03"/>
    <x v="5"/>
    <s v="Valtová"/>
    <s v="Zdražilová"/>
    <x v="146"/>
    <x v="3"/>
    <s v="Základní diagnostické katetry řiditelné I."/>
    <s v="podepsaná smlouva"/>
    <s v="33141200-2"/>
    <m/>
    <n v="5991400"/>
    <x v="0"/>
    <d v="2024-04-02T00:00:00"/>
    <d v="2024-05-09T00:00:00"/>
    <d v="2024-07-11T00:00:00"/>
    <s v="CARDION s.r.o."/>
    <m/>
    <n v="5974000"/>
    <n v="6690880"/>
    <m/>
    <m/>
    <m/>
    <d v="2024-07-11T00:00:00"/>
    <s v="SMLN-2024-617-100393_x000a_SMLN-2024-614-100046"/>
    <x v="61"/>
    <d v="2024-08-06T00:00:00"/>
    <d v="2027-08-01T00:00:00"/>
  </r>
  <r>
    <d v="2024-03-26T00:00:00"/>
    <s v="VZ-2024-000275-04"/>
    <x v="5"/>
    <s v="Valtová"/>
    <s v="Zdražilová"/>
    <x v="146"/>
    <x v="4"/>
    <s v="Základní diagnostické katetry řiditelné II."/>
    <s v="podepsaná smlouva"/>
    <s v="33141200-2"/>
    <m/>
    <n v="3327680"/>
    <x v="0"/>
    <d v="2024-04-02T00:00:00"/>
    <d v="2024-05-09T00:00:00"/>
    <d v="2024-07-11T00:00:00"/>
    <s v="Cardiomedical s.r.o."/>
    <m/>
    <n v="3327540"/>
    <n v="3726844.8"/>
    <m/>
    <m/>
    <m/>
    <d v="2024-07-11T00:00:00"/>
    <s v="SMLN-2024-617-100394_x000a_SMLN-2024-614-100047"/>
    <x v="60"/>
    <d v="2024-08-06T00:00:00"/>
    <d v="2027-07-29T00:00:00"/>
  </r>
  <r>
    <d v="2024-03-26T00:00:00"/>
    <s v="VZ-2024-000275-05"/>
    <x v="5"/>
    <s v="Valtová"/>
    <s v="Zdražilová"/>
    <x v="146"/>
    <x v="5"/>
    <s v="Hemostatický zavaděč katetrů – stabilizační fixní"/>
    <s v="zrušeno"/>
    <s v="33141200-2"/>
    <m/>
    <n v="6363250"/>
    <x v="0"/>
    <d v="2024-04-02T00:00:00"/>
    <d v="2024-05-09T00:00:00"/>
    <m/>
    <s v="zrušeno - úprava specifikace"/>
    <s v="nová VZ-2024-000558-02"/>
    <m/>
    <m/>
    <m/>
    <m/>
    <m/>
    <m/>
    <m/>
    <x v="2"/>
    <d v="2024-07-11T00:00:00"/>
    <s v="18.6.2024 zrušeno"/>
  </r>
  <r>
    <d v="2024-03-26T00:00:00"/>
    <s v="VZ-2024-000275-06"/>
    <x v="5"/>
    <s v="Valtová"/>
    <s v="Zdražilová"/>
    <x v="146"/>
    <x v="6"/>
    <s v="Hemostatický zavaděč katetrů – stabilizační řiditelný"/>
    <s v="podepsaná smlouva"/>
    <s v="33141200-2"/>
    <m/>
    <n v="34796400"/>
    <x v="0"/>
    <d v="2024-04-02T00:00:00"/>
    <d v="2024-05-09T00:00:00"/>
    <d v="2024-07-11T00:00:00"/>
    <s v="CARDION s.r.o."/>
    <m/>
    <n v="34796400"/>
    <n v="38971968"/>
    <m/>
    <m/>
    <m/>
    <d v="2024-07-11T00:00:00"/>
    <s v="SMLN-2024-617-100395_x000a_SMLN-2024-614-100048"/>
    <x v="60"/>
    <d v="2024-08-06T00:00:00"/>
    <d v="2024-07-29T00:00:00"/>
  </r>
  <r>
    <d v="2024-03-26T00:00:00"/>
    <s v="VZ-2024-000275-07"/>
    <x v="5"/>
    <s v="Valtová"/>
    <s v="Zdražilová"/>
    <x v="146"/>
    <x v="7"/>
    <s v="Transseptální jehly"/>
    <s v="podepsaná smlouva"/>
    <s v="33141320-9"/>
    <m/>
    <n v="17328000"/>
    <x v="0"/>
    <d v="2024-04-02T00:00:00"/>
    <d v="2024-05-09T00:00:00"/>
    <d v="2024-07-11T00:00:00"/>
    <s v="CARDION s.r.o."/>
    <m/>
    <n v="17328000"/>
    <n v="19407360"/>
    <m/>
    <m/>
    <m/>
    <d v="2024-07-11T00:00:00"/>
    <s v="SMLN-2024-617-100396_x000a_SMLN-2024-614-100049"/>
    <x v="60"/>
    <d v="2024-08-06T00:00:00"/>
    <d v="2024-07-29T00:00:00"/>
  </r>
  <r>
    <d v="2024-03-26T00:00:00"/>
    <s v="VZ-2024-000275-08"/>
    <x v="5"/>
    <s v="Valtová"/>
    <s v="Zdražilová"/>
    <x v="146"/>
    <x v="8"/>
    <s v="Intrakardiální ultrazvukový katetr"/>
    <s v="zrušeno"/>
    <s v="33141200-2"/>
    <m/>
    <n v="31817500"/>
    <x v="0"/>
    <d v="2024-04-02T00:00:00"/>
    <d v="2024-05-09T00:00:00"/>
    <m/>
    <m/>
    <s v="nová VZ-2024-000664"/>
    <m/>
    <m/>
    <m/>
    <m/>
    <m/>
    <m/>
    <m/>
    <x v="2"/>
    <d v="2024-07-11T00:00:00"/>
    <s v="18.6.2024 zrušeno"/>
  </r>
  <r>
    <d v="2024-04-08T00:00:00"/>
    <s v="VZ-2024-000277"/>
    <x v="1"/>
    <s v="Vondrková"/>
    <s v="Bodinková"/>
    <x v="147"/>
    <x v="0"/>
    <m/>
    <s v="hodnocení"/>
    <s v="33621100-0"/>
    <m/>
    <n v="16553687"/>
    <x v="0"/>
    <d v="2024-04-25T00:00:00"/>
    <d v="2024-06-13T00:00:00"/>
    <m/>
    <m/>
    <m/>
    <m/>
    <m/>
    <m/>
    <m/>
    <m/>
    <m/>
    <m/>
    <x v="2"/>
    <m/>
    <m/>
  </r>
  <r>
    <d v="2024-03-26T00:00:00"/>
    <s v="VZ-2024-000280"/>
    <x v="2"/>
    <s v="Skulová"/>
    <s v="Štýbnarová"/>
    <x v="148"/>
    <x v="0"/>
    <m/>
    <s v="podepsaná smlouva"/>
    <s v="33120000-7"/>
    <s v="2.2.613."/>
    <n v="187158"/>
    <x v="1"/>
    <d v="2024-04-04T00:00:00"/>
    <d v="2024-04-15T00:00:00"/>
    <d v="2024-04-26T00:00:00"/>
    <s v="Kurka.Med s.r.o."/>
    <m/>
    <n v="159756"/>
    <n v="184427.43"/>
    <m/>
    <m/>
    <m/>
    <d v="2024-04-29T00:00:00"/>
    <s v="SMLN-2024-617-100275_x000a_SMLN-2024-612-100056_x000a_SMLN-2024-617-100276"/>
    <x v="1"/>
    <d v="2024-05-17T00:00:00"/>
    <d v="2024-06-16T00:00:00"/>
  </r>
  <r>
    <d v="2024-04-01T00:00:00"/>
    <s v="VZ-2024-000281"/>
    <x v="7"/>
    <s v="Pohlídal"/>
    <s v="Staňková"/>
    <x v="149"/>
    <x v="0"/>
    <m/>
    <s v="podepsaná smlouva"/>
    <s v="30216130-6"/>
    <m/>
    <n v="374000"/>
    <x v="1"/>
    <d v="2024-04-04T00:00:00"/>
    <d v="2024-04-15T00:00:00"/>
    <d v="2024-05-02T00:00:00"/>
    <s v="DATASCAN, s.r.o."/>
    <m/>
    <n v="334950"/>
    <n v="405289.5"/>
    <m/>
    <m/>
    <m/>
    <d v="2024-05-02T00:00:00"/>
    <s v="SMLN-2024-617-100283"/>
    <x v="19"/>
    <d v="2024-05-13T00:00:00"/>
    <d v="2025-05-12T00:00:00"/>
  </r>
  <r>
    <d v="2024-03-26T00:00:00"/>
    <s v="VZ-2024-000283"/>
    <x v="6"/>
    <s v="Kadlec"/>
    <s v="Staňková"/>
    <x v="150"/>
    <x v="0"/>
    <m/>
    <s v="zrušeno"/>
    <s v="45421100-5"/>
    <m/>
    <n v="300000"/>
    <x v="1"/>
    <d v="2024-03-28T00:00:00"/>
    <d v="2024-04-08T00:00:00"/>
    <m/>
    <s v="zrušeno - oprava zadání"/>
    <s v="nová VZ-2024-000324"/>
    <m/>
    <m/>
    <m/>
    <m/>
    <m/>
    <m/>
    <m/>
    <x v="2"/>
    <d v="2024-04-11T00:00:00"/>
    <m/>
  </r>
  <r>
    <d v="2024-03-26T00:00:00"/>
    <s v="VZ-2024-000284"/>
    <x v="5"/>
    <s v="Dočkalová"/>
    <s v="Štýbnarová"/>
    <x v="151"/>
    <x v="0"/>
    <m/>
    <s v="podepsaná smlouva"/>
    <s v="33141641-5"/>
    <m/>
    <n v="1171500"/>
    <x v="1"/>
    <d v="2024-03-28T00:00:00"/>
    <d v="2024-04-09T00:00:00"/>
    <d v="2024-04-19T00:00:00"/>
    <s v="Olympus Czech Group, s.r.o., člen koncernu"/>
    <m/>
    <n v="1221000"/>
    <n v="1477410"/>
    <m/>
    <m/>
    <m/>
    <d v="2024-04-19T00:00:00"/>
    <s v="SMLN-2024-617-100241"/>
    <x v="50"/>
    <d v="2024-04-25T00:00:00"/>
    <d v="2027-04-24T00:00:00"/>
  </r>
  <r>
    <d v="2024-04-08T00:00:00"/>
    <s v="VZ-2024-000285"/>
    <x v="1"/>
    <s v="Vondrková"/>
    <s v="Hašková"/>
    <x v="152"/>
    <x v="0"/>
    <m/>
    <s v="podepsaná smlouva"/>
    <s v="33661200-3"/>
    <m/>
    <n v="18663614"/>
    <x v="0"/>
    <d v="2024-04-11T00:00:00"/>
    <d v="2024-05-16T00:00:00"/>
    <d v="2024-06-03T00:00:00"/>
    <s v="PHOENIX lék. velkoobchod, s.r.o."/>
    <m/>
    <n v="15381560.699999999"/>
    <n v="17227347.98"/>
    <m/>
    <m/>
    <m/>
    <d v="2024-06-03T00:00:00"/>
    <s v="SMLN-2024-617-100336"/>
    <x v="62"/>
    <d v="2024-06-27T00:00:00"/>
    <d v="2027-06-24T00:00:00"/>
  </r>
  <r>
    <d v="2024-03-28T00:00:00"/>
    <s v="VZ-2024-000287"/>
    <x v="2"/>
    <s v="Skulová"/>
    <s v="Zdražilová"/>
    <x v="153"/>
    <x v="0"/>
    <m/>
    <s v="podepsaná smlouva"/>
    <s v="33168100-6"/>
    <s v="2.3.703, 2.3.701, 2.3.783.,2.2.515, 2.2.603"/>
    <n v="13532372.52"/>
    <x v="0"/>
    <d v="2024-04-25T00:00:00"/>
    <d v="2024-06-20T00:00:00"/>
    <d v="2024-08-05T00:00:00"/>
    <s v="Olympus Czech Group, s.r.o., člen koncernu"/>
    <m/>
    <n v="12646133.5"/>
    <n v="15301821.539999999"/>
    <m/>
    <m/>
    <m/>
    <d v="2024-08-05T00:00:00"/>
    <s v="SMLN-2024-617-100437_x000a_SMLN-2024-612-100099_x000a_SMLN-2024-617-100438"/>
    <x v="63"/>
    <d v="2024-09-12T00:00:00"/>
    <m/>
  </r>
  <r>
    <d v="2024-06-17T00:00:00"/>
    <s v="VZ-2024-000288"/>
    <x v="11"/>
    <s v="Klimek"/>
    <s v="Kučera"/>
    <x v="154"/>
    <x v="0"/>
    <m/>
    <s v="zrušeno"/>
    <s v="34114122-0"/>
    <m/>
    <n v="2479200"/>
    <x v="2"/>
    <d v="2024-06-26T00:00:00"/>
    <d v="2024-07-17T00:00:00"/>
    <m/>
    <s v="zrušeno - bez nabídky"/>
    <m/>
    <m/>
    <m/>
    <m/>
    <m/>
    <m/>
    <m/>
    <m/>
    <x v="2"/>
    <d v="2024-08-22T00:00:00"/>
    <s v="22.7.2024 zrušeno"/>
  </r>
  <r>
    <d v="2024-04-02T00:00:00"/>
    <s v="VZ-2024-000289"/>
    <x v="2"/>
    <s v="Skulová"/>
    <s v="Štýbnarová"/>
    <x v="155"/>
    <x v="0"/>
    <m/>
    <s v="podepsaná smlouva"/>
    <s v="38433000-9"/>
    <s v="2.3.835."/>
    <n v="335000"/>
    <x v="1"/>
    <d v="2024-04-04T00:00:00"/>
    <d v="2024-04-15T00:00:00"/>
    <d v="2024-04-26T00:00:00"/>
    <s v="LAB MARK a.s."/>
    <m/>
    <n v="200400"/>
    <n v="242484"/>
    <m/>
    <m/>
    <m/>
    <d v="2024-04-29T00:00:00"/>
    <s v="SMLN-2024-617-100277_x000a_SMLN-2024-612-100057"/>
    <x v="38"/>
    <d v="2024-05-15T00:00:00"/>
    <d v="2024-06-14T00:00:00"/>
  </r>
  <r>
    <d v="2024-04-03T00:00:00"/>
    <s v="VZ-2024-000291"/>
    <x v="15"/>
    <s v="Odehnalová"/>
    <s v="Staňková"/>
    <x v="156"/>
    <x v="0"/>
    <m/>
    <s v="podepsaná smlouva"/>
    <s v="55110000-4"/>
    <m/>
    <n v="600000"/>
    <x v="1"/>
    <d v="2024-04-09T00:00:00"/>
    <d v="2024-04-22T00:00:00"/>
    <d v="2024-05-02T00:00:00"/>
    <s v="Marie Hrochová"/>
    <m/>
    <n v="438908"/>
    <n v="494180"/>
    <m/>
    <m/>
    <m/>
    <d v="2024-05-02T00:00:00"/>
    <s v="SMLN-2024-612-100059"/>
    <x v="64"/>
    <d v="2024-05-22T00:00:00"/>
    <d v="2024-06-14T00:00:00"/>
  </r>
  <r>
    <d v="2024-04-08T00:00:00"/>
    <s v="VZ-2024-000292"/>
    <x v="1"/>
    <s v="Vondrková"/>
    <s v="Bodinková"/>
    <x v="157"/>
    <x v="0"/>
    <m/>
    <s v="podepsaná smlouva"/>
    <s v="33692510-5"/>
    <m/>
    <n v="20650653"/>
    <x v="0"/>
    <d v="2024-04-16T00:00:00"/>
    <d v="2024-06-17T00:00:00"/>
    <d v="2024-07-19T00:00:00"/>
    <s v="B. Braun Medical s.r.o."/>
    <m/>
    <n v="19569395.199999999"/>
    <n v="21917722.620000001"/>
    <m/>
    <m/>
    <m/>
    <d v="2024-07-19T00:00:00"/>
    <s v="SMLN-2024-617-100414"/>
    <x v="61"/>
    <d v="2024-08-05T00:00:00"/>
    <d v="2028-08-01T00:00:00"/>
  </r>
  <r>
    <d v="2024-04-11T00:00:00"/>
    <s v="VZ-2024-000293"/>
    <x v="1"/>
    <s v="Vondrková"/>
    <s v="Hašková"/>
    <x v="158"/>
    <x v="0"/>
    <m/>
    <s v="podepsaná smlouva"/>
    <s v="33622200-8"/>
    <m/>
    <n v="20068966"/>
    <x v="0"/>
    <d v="2024-04-19T00:00:00"/>
    <d v="2024-06-26T00:00:00"/>
    <d v="2024-07-15T00:00:00"/>
    <s v="Merck Sharp &amp; Dohme s.r.o."/>
    <m/>
    <n v="20068964.460000001"/>
    <n v="22477240.620000001"/>
    <m/>
    <m/>
    <m/>
    <d v="2024-07-15T00:00:00"/>
    <s v="SMLN-2024-617-100406"/>
    <x v="65"/>
    <d v="2024-08-05T00:00:00"/>
    <d v="2027-07-31T00:00:00"/>
  </r>
  <r>
    <d v="2024-04-03T00:00:00"/>
    <s v="VZ-2024-000294"/>
    <x v="2"/>
    <s v="Skulová"/>
    <s v="Staňková"/>
    <x v="159"/>
    <x v="0"/>
    <m/>
    <s v="podepsaná smlouva"/>
    <s v="33152000-0"/>
    <s v="2.2.631"/>
    <n v="167840"/>
    <x v="1"/>
    <d v="2024-04-08T00:00:00"/>
    <d v="2024-04-29T00:00:00"/>
    <d v="2024-05-07T00:00:00"/>
    <s v="TRIGON PLUS, s.r.o."/>
    <m/>
    <n v="147240"/>
    <n v="178160.4"/>
    <m/>
    <m/>
    <m/>
    <d v="2024-05-07T00:00:00"/>
    <s v="SMLN-2024-617-100293_x000a_SMLN-2024-612-100063"/>
    <x v="33"/>
    <d v="2024-05-21T00:00:00"/>
    <d v="2024-05-28T00:00:00"/>
  </r>
  <r>
    <d v="2024-04-03T00:00:00"/>
    <s v="VZ-2024-000295"/>
    <x v="2"/>
    <s v="Skulová"/>
    <s v="Staňková"/>
    <x v="160"/>
    <x v="0"/>
    <m/>
    <s v="podepsaná smlouva"/>
    <s v="24111700-2"/>
    <s v="2.3.816"/>
    <n v="437000"/>
    <x v="1"/>
    <d v="2024-04-04T00:00:00"/>
    <d v="2024-04-15T00:00:00"/>
    <d v="2024-04-26T00:00:00"/>
    <s v="Chromservis s.r.o."/>
    <m/>
    <n v="420100"/>
    <n v="508321"/>
    <m/>
    <m/>
    <m/>
    <d v="2024-04-26T00:00:00"/>
    <s v="SMLN-2024-617-100270_x000a_SMLN-2024-612-100051"/>
    <x v="38"/>
    <d v="2024-05-16T00:00:00"/>
    <d v="2024-07-03T00:00:00"/>
  </r>
  <r>
    <d v="2024-04-04T00:00:00"/>
    <s v="VZ-2024-000297"/>
    <x v="2"/>
    <s v="Skulová"/>
    <s v="Štýbnarová"/>
    <x v="161"/>
    <x v="0"/>
    <m/>
    <s v="podepsaná smlouva"/>
    <s v="33192230-3"/>
    <s v="2.2.632"/>
    <n v="196000"/>
    <x v="1"/>
    <d v="2024-04-08T00:00:00"/>
    <d v="2024-04-19T00:00:00"/>
    <d v="2024-05-09T00:00:00"/>
    <s v="GETINGE Czech Republic s.r.o."/>
    <m/>
    <n v="185428"/>
    <n v="224367.88"/>
    <m/>
    <m/>
    <m/>
    <d v="2024-05-09T00:00:00"/>
    <s v="SMLN-2024-617-100300_x000a_SMLN-2024-612-100067"/>
    <x v="52"/>
    <d v="2024-05-30T00:00:00"/>
    <d v="2024-08-27T00:00:00"/>
  </r>
  <r>
    <d v="2024-04-04T00:00:00"/>
    <s v="VZ-2024-000298"/>
    <x v="7"/>
    <s v="Miklík"/>
    <s v="Staňková"/>
    <x v="162"/>
    <x v="0"/>
    <m/>
    <s v="podepsaná smlouva"/>
    <s v="72261000-2"/>
    <m/>
    <n v="1990000"/>
    <x v="1"/>
    <d v="2024-04-09T00:00:00"/>
    <d v="2024-04-22T00:00:00"/>
    <d v="2024-04-24T00:00:00"/>
    <s v="SoftwareONE Czech Republic s.r.o."/>
    <m/>
    <n v="1962400"/>
    <n v="2374504"/>
    <m/>
    <m/>
    <m/>
    <d v="2024-04-24T00:00:00"/>
    <s v="SMLN-2024-612-100050"/>
    <x v="42"/>
    <d v="2024-05-06T00:00:00"/>
    <d v="2028-04-30T00:00:00"/>
  </r>
  <r>
    <d v="2024-04-04T00:00:00"/>
    <s v="VZ-2024-000299"/>
    <x v="5"/>
    <s v="Dočkalová"/>
    <s v="Zdražilová"/>
    <x v="163"/>
    <x v="0"/>
    <m/>
    <s v="podepsaná smlouva"/>
    <s v="33182000-9"/>
    <m/>
    <n v="24260880"/>
    <x v="0"/>
    <d v="2024-04-11T00:00:00"/>
    <d v="2024-05-31T00:00:00"/>
    <d v="2024-06-17T00:00:00"/>
    <s v="PROMEDICA PRAHA GROUP, a.s."/>
    <m/>
    <n v="24260850"/>
    <n v="27172152"/>
    <m/>
    <m/>
    <m/>
    <d v="2024-06-17T00:00:00"/>
    <s v="SMLN-2024-617-100349_x000a_SMLN-2024-614-100042_x000a_SMLN-2024-616-100048"/>
    <x v="66"/>
    <d v="2024-06-28T00:00:00"/>
    <d v="2027-06-20T00:00:00"/>
  </r>
  <r>
    <d v="2024-04-04T00:00:00"/>
    <s v="VZ-2024-000300"/>
    <x v="2"/>
    <s v="Skulová"/>
    <s v="Štýbnarová"/>
    <x v="164"/>
    <x v="0"/>
    <m/>
    <s v="podepsaná smlouva"/>
    <s v="38510000-3"/>
    <s v="2.2.633"/>
    <n v="345000"/>
    <x v="1"/>
    <d v="2024-04-08T00:00:00"/>
    <d v="2024-04-19T00:00:00"/>
    <m/>
    <s v="Sven BioLabs s.r.o."/>
    <m/>
    <n v="322260"/>
    <n v="389934.6"/>
    <m/>
    <m/>
    <m/>
    <d v="2024-05-09T00:00:00"/>
    <s v="SMLN-2024-617-100301_x000a_SMLN-2024-612-100068"/>
    <x v="6"/>
    <d v="2024-05-23T00:00:00"/>
    <d v="2024-07-22T00:00:00"/>
  </r>
  <r>
    <d v="2024-04-04T00:00:00"/>
    <s v="VZ-2024-000301-01"/>
    <x v="2"/>
    <s v="Skulová"/>
    <s v="Zdražilová"/>
    <x v="165"/>
    <x v="1"/>
    <s v="SW a HW upgradu stávající MR MAGNETON AVANTO"/>
    <s v="podepsaná smlouva"/>
    <s v="33111610-0"/>
    <s v="2.2.620"/>
    <n v="32912000"/>
    <x v="0"/>
    <d v="2024-05-29T00:00:00"/>
    <d v="2024-07-29T00:00:00"/>
    <d v="2024-09-03T00:00:00"/>
    <s v="Siemens Healthcare s.r.o."/>
    <m/>
    <n v="32790000"/>
    <n v="39675900"/>
    <m/>
    <m/>
    <m/>
    <d v="2024-09-03T00:00:00"/>
    <s v="SMLN-2024-617-100489_x000a_SMLN-2024-612-100108"/>
    <x v="67"/>
    <d v="2024-10-10T00:00:00"/>
    <m/>
  </r>
  <r>
    <d v="2024-04-04T00:00:00"/>
    <s v="VZ-2024-000301-02"/>
    <x v="2"/>
    <s v="Skulová"/>
    <s v="Zdražilová"/>
    <x v="165"/>
    <x v="2"/>
    <s v="SW upgradu stávající MR MAGNETOM Aera"/>
    <s v="podepsaná smlouva"/>
    <s v="33111610-0"/>
    <m/>
    <n v="15910000"/>
    <x v="0"/>
    <d v="2024-05-29T00:00:00"/>
    <d v="2024-07-29T00:00:00"/>
    <d v="2024-09-03T00:00:00"/>
    <s v="Siemens Healthcare s.r.o."/>
    <m/>
    <n v="15910000"/>
    <n v="19251100"/>
    <m/>
    <m/>
    <m/>
    <d v="2024-09-03T00:00:00"/>
    <s v="SMLN-2024-617-100490_x000a_SMLN-2024-612-100109"/>
    <x v="67"/>
    <d v="2024-10-10T00:00:00"/>
    <m/>
  </r>
  <r>
    <d v="2024-04-11T00:00:00"/>
    <s v="VZ-2024-000304"/>
    <x v="1"/>
    <s v="Vlčková"/>
    <s v="Hašková"/>
    <x v="166"/>
    <x v="0"/>
    <m/>
    <s v="podepsaná smlouva"/>
    <s v="33652000-5"/>
    <m/>
    <n v="10133047"/>
    <x v="0"/>
    <d v="2024-04-18T00:00:00"/>
    <d v="2024-05-30T00:00:00"/>
    <d v="2024-06-17T00:00:00"/>
    <s v="Janssen-Cilag s.r.o."/>
    <m/>
    <n v="6421185.6299999999"/>
    <n v="7191727.9100000001"/>
    <m/>
    <m/>
    <m/>
    <d v="2024-06-17T00:00:00"/>
    <s v="SMLN-2024-617-100354"/>
    <x v="62"/>
    <d v="2024-06-26T00:00:00"/>
    <d v="2027-06-24T00:00:00"/>
  </r>
  <r>
    <d v="2024-04-11T00:00:00"/>
    <s v="VZ-2024-000305"/>
    <x v="1"/>
    <s v="Vlčková"/>
    <s v="Bodinková"/>
    <x v="167"/>
    <x v="0"/>
    <m/>
    <s v="podepsaná smlouva"/>
    <s v="33652000-5"/>
    <m/>
    <n v="4525920"/>
    <x v="0"/>
    <d v="2024-04-15T00:00:00"/>
    <d v="2024-05-20T00:00:00"/>
    <d v="2024-06-17T00:00:00"/>
    <s v="Gilead Sciences s.r.o."/>
    <m/>
    <n v="4525920"/>
    <n v="5069030.4000000004"/>
    <m/>
    <m/>
    <m/>
    <d v="2024-06-17T00:00:00"/>
    <s v="SMLN-2024-617-100352"/>
    <x v="37"/>
    <d v="2024-07-08T00:00:00"/>
    <d v="2027-07-03T00:00:00"/>
  </r>
  <r>
    <d v="2024-04-11T00:00:00"/>
    <s v="VZ-2024-000306"/>
    <x v="1"/>
    <s v="Vlčková"/>
    <s v="Bodinková"/>
    <x v="168"/>
    <x v="0"/>
    <m/>
    <s v="podepsaná smlouva"/>
    <s v="33651400-2"/>
    <m/>
    <n v="11186411"/>
    <x v="0"/>
    <d v="2024-04-15T00:00:00"/>
    <d v="2024-05-20T00:00:00"/>
    <d v="2024-06-17T00:00:00"/>
    <s v="PHOENIX lék. velkoobchod, s.r.o."/>
    <m/>
    <n v="11131560"/>
    <n v="12467347.199999999"/>
    <m/>
    <m/>
    <m/>
    <d v="2024-06-17T00:00:00"/>
    <s v="SMLN-2024-617-100355"/>
    <x v="58"/>
    <d v="2024-07-30T00:00:00"/>
    <d v="2027-10-15T00:00:00"/>
  </r>
  <r>
    <d v="2024-04-11T00:00:00"/>
    <s v="VZ-2024-000307"/>
    <x v="1"/>
    <s v="Vlčková"/>
    <s v="Bodinková"/>
    <x v="169"/>
    <x v="0"/>
    <m/>
    <s v="podepsaná smlouva"/>
    <s v="33652100-6"/>
    <m/>
    <n v="14877818"/>
    <x v="0"/>
    <d v="2024-04-19T00:00:00"/>
    <d v="2024-05-24T00:00:00"/>
    <d v="2024-06-05T00:00:00"/>
    <s v="Gilead Sciences s.r.o."/>
    <m/>
    <n v="14877816.880000001"/>
    <n v="16663154.91"/>
    <m/>
    <m/>
    <m/>
    <d v="2024-06-05T00:00:00"/>
    <s v="SMLN-2024-617-100339"/>
    <x v="37"/>
    <d v="2024-07-08T00:00:00"/>
    <d v="2027-10-15T00:00:00"/>
  </r>
  <r>
    <d v="2024-04-11T00:00:00"/>
    <s v="VZ-2024-000308"/>
    <x v="1"/>
    <s v="Vondrková"/>
    <s v="Bodinková"/>
    <x v="170"/>
    <x v="0"/>
    <m/>
    <s v="podepsaná smlouva"/>
    <s v="33621000-9"/>
    <m/>
    <n v="20084976"/>
    <x v="0"/>
    <d v="2024-06-12T00:00:00"/>
    <d v="2024-08-16T00:00:00"/>
    <d v="2024-09-24T00:00:00"/>
    <s v="PHOENIX lék. velkoobchod, s.r.o."/>
    <m/>
    <n v="8831086.5600000005"/>
    <n v="9890816.9499999993"/>
    <m/>
    <m/>
    <m/>
    <d v="2024-09-24T00:00:00"/>
    <s v="SMLN-2024-617-100515"/>
    <x v="68"/>
    <d v="2024-10-15T00:00:00"/>
    <d v="2027-10-13T00:00:00"/>
  </r>
  <r>
    <s v="VZ-2023-001242"/>
    <s v="VZ-2024-000309"/>
    <x v="1"/>
    <s v="Vlčková"/>
    <s v="Štýbnarová"/>
    <x v="171"/>
    <x v="0"/>
    <m/>
    <s v="podepsaná smlouva"/>
    <s v="33631600-8"/>
    <m/>
    <n v="485903"/>
    <x v="1"/>
    <d v="2024-04-22T00:00:00"/>
    <d v="2024-05-03T00:00:00"/>
    <d v="2024-05-15T00:00:00"/>
    <s v="B. Braun Medical s.r.o."/>
    <m/>
    <n v="485901.87"/>
    <n v="544210.09"/>
    <m/>
    <m/>
    <m/>
    <d v="2024-05-15T00:00:00"/>
    <s v="SMLN-2024-617-100311"/>
    <x v="33"/>
    <d v="2024-05-21T00:00:00"/>
    <d v="2027-05-20T00:00:00"/>
  </r>
  <r>
    <d v="2024-04-11T00:00:00"/>
    <s v="VZ-2024-000310-01"/>
    <x v="1"/>
    <s v="Vlčková"/>
    <s v="Hašková"/>
    <x v="172"/>
    <x v="1"/>
    <s v="Imunoglobulin ve formě prášku a rozpouštědla pro přípravu infuzního roztoku"/>
    <s v="podepsaná smlouva"/>
    <s v="33651520-9"/>
    <m/>
    <n v="598160"/>
    <x v="0"/>
    <d v="2024-04-18T00:00:00"/>
    <d v="2024-05-23T00:00:00"/>
    <d v="2024-07-02T00:00:00"/>
    <s v="Takeda Pharmaceuticals Czech Republic s.r.o."/>
    <m/>
    <n v="598160"/>
    <n v="669939.19999999995"/>
    <m/>
    <m/>
    <m/>
    <d v="2024-07-02T00:00:00"/>
    <s v="SMLN-2024-617-100382"/>
    <x v="69"/>
    <d v="2024-07-23T00:00:00"/>
    <d v="2028-07-16T00:00:00"/>
  </r>
  <r>
    <d v="2024-04-11T00:00:00"/>
    <s v="VZ-2024-000310-02"/>
    <x v="1"/>
    <s v="Vlčková"/>
    <s v="Hašková"/>
    <x v="172"/>
    <x v="2"/>
    <s v="Kiovig- pro chronické pacienty nasazené na tomto LP"/>
    <s v="podepsaná smlouva"/>
    <s v="33651520-9"/>
    <m/>
    <n v="3840000"/>
    <x v="0"/>
    <d v="2024-04-18T00:00:00"/>
    <d v="2024-05-23T00:00:00"/>
    <d v="2024-07-02T00:00:00"/>
    <s v="Takeda Pharmaceuticals Czech Republic s.r.o."/>
    <m/>
    <n v="3840000"/>
    <n v="4300800"/>
    <m/>
    <m/>
    <m/>
    <d v="2024-07-02T00:00:00"/>
    <s v="SMLN-2024-617-100383"/>
    <x v="69"/>
    <d v="2024-07-23T00:00:00"/>
    <d v="2028-07-16T00:00:00"/>
  </r>
  <r>
    <d v="2024-04-11T00:00:00"/>
    <s v="VZ-2024-000311"/>
    <x v="1"/>
    <s v="Vondrková"/>
    <s v="Bodinková"/>
    <x v="173"/>
    <x v="0"/>
    <m/>
    <s v="zrušeno"/>
    <s v="33670000-7"/>
    <m/>
    <n v="431178230"/>
    <x v="0"/>
    <d v="2024-04-22T00:00:00"/>
    <d v="2024-06-27T00:00:00"/>
    <m/>
    <s v="zrušeno - překročení ceny"/>
    <s v="nová VZ-2024-000509"/>
    <m/>
    <m/>
    <m/>
    <m/>
    <m/>
    <m/>
    <m/>
    <x v="2"/>
    <d v="2024-07-03T00:00:00"/>
    <s v="2.7.2024 zrušeno"/>
  </r>
  <r>
    <d v="2024-04-10T00:00:00"/>
    <s v="VZ-2024-000312"/>
    <x v="7"/>
    <s v="Oravec"/>
    <s v="Staňková"/>
    <x v="174"/>
    <x v="0"/>
    <m/>
    <s v="zrušeno"/>
    <s v="32552100-8"/>
    <m/>
    <n v="850000"/>
    <x v="1"/>
    <d v="2024-04-15T00:00:00"/>
    <d v="2024-04-26T00:00:00"/>
    <m/>
    <s v="zrušeno - nutná úprava zadání"/>
    <s v="nová VZ-2024-000380"/>
    <m/>
    <m/>
    <m/>
    <m/>
    <m/>
    <m/>
    <m/>
    <x v="2"/>
    <d v="2024-05-02T00:00:00"/>
    <m/>
  </r>
  <r>
    <d v="2024-04-11T00:00:00"/>
    <s v="VZ-2024-000313"/>
    <x v="1"/>
    <s v="Vlčková"/>
    <s v="Štýbnarová"/>
    <x v="175"/>
    <x v="0"/>
    <m/>
    <s v="podepsaná smlouva"/>
    <s v="33674000-5"/>
    <m/>
    <n v="360622"/>
    <x v="1"/>
    <d v="2024-04-16T00:00:00"/>
    <d v="2024-04-29T00:00:00"/>
    <d v="2024-05-14T00:00:00"/>
    <s v="PROMEDICA PRAHA GROUP, a.s."/>
    <m/>
    <n v="346616.82"/>
    <n v="388210.84"/>
    <m/>
    <m/>
    <m/>
    <d v="2024-05-14T00:00:00"/>
    <s v="SMLN-2024-617-100307"/>
    <x v="6"/>
    <d v="2024-05-23T00:00:00"/>
    <d v="2027-05-22T00:00:00"/>
  </r>
  <r>
    <d v="2024-04-15T00:00:00"/>
    <s v="VZ-2024-000314"/>
    <x v="5"/>
    <s v="Dočkalová"/>
    <s v="Zdražilová"/>
    <x v="176"/>
    <x v="0"/>
    <m/>
    <s v="hodnocení"/>
    <s v="33140000-3"/>
    <m/>
    <n v="10795736"/>
    <x v="0"/>
    <d v="2024-08-21T00:00:00"/>
    <d v="2024-10-01T00:00:00"/>
    <m/>
    <m/>
    <m/>
    <m/>
    <m/>
    <m/>
    <m/>
    <m/>
    <m/>
    <m/>
    <x v="2"/>
    <m/>
    <s v="14.10.2024 vyloučení a zrušení na podpis"/>
  </r>
  <r>
    <d v="2024-04-17T00:00:00"/>
    <s v="VZ-2024-000318-01"/>
    <x v="1"/>
    <s v="Vlčková"/>
    <s v="Bodinková"/>
    <x v="177"/>
    <x v="1"/>
    <s v="Humalog"/>
    <s v="podepsaná smlouva"/>
    <s v="33615100-5"/>
    <m/>
    <n v="869962"/>
    <x v="0"/>
    <d v="2024-04-24T00:00:00"/>
    <d v="2024-05-29T00:00:00"/>
    <d v="2024-06-06T00:00:00"/>
    <s v="Alliance Healthcare s.r.o."/>
    <m/>
    <n v="851268.49"/>
    <n v="953420.71"/>
    <m/>
    <m/>
    <m/>
    <d v="2024-06-06T00:00:00"/>
    <s v="SMLN-2024-617-100342"/>
    <x v="48"/>
    <d v="2024-06-20T00:00:00"/>
    <d v="2027-06-18T00:00:00"/>
  </r>
  <r>
    <d v="2024-04-17T00:00:00"/>
    <s v="VZ-2024-000318-02"/>
    <x v="1"/>
    <s v="Vlčková"/>
    <s v="Bodinková"/>
    <x v="177"/>
    <x v="2"/>
    <s v="Lyumjev"/>
    <s v="podepsaná smlouva"/>
    <s v="33615100-5"/>
    <m/>
    <n v="3217279"/>
    <x v="0"/>
    <d v="2024-04-24T00:00:00"/>
    <d v="2024-05-29T00:00:00"/>
    <d v="2024-06-06T00:00:00"/>
    <s v="Alliance Healthcare s.r.o."/>
    <m/>
    <n v="3138232.83"/>
    <n v="3514820.77"/>
    <m/>
    <m/>
    <m/>
    <d v="2024-06-06T00:00:00"/>
    <s v="SMLN-2024-617-100343"/>
    <x v="48"/>
    <d v="2024-06-20T00:00:00"/>
    <d v="2027-06-18T00:00:00"/>
  </r>
  <r>
    <d v="2024-04-17T00:00:00"/>
    <s v="VZ-2024-000318-03"/>
    <x v="1"/>
    <s v="Vlčková"/>
    <s v="Bodinková"/>
    <x v="177"/>
    <x v="3"/>
    <s v="Fiasp"/>
    <s v="podepsaná smlouva"/>
    <s v="33615100-5"/>
    <m/>
    <n v="4591912"/>
    <x v="0"/>
    <d v="2024-04-24T00:00:00"/>
    <d v="2024-05-29T00:00:00"/>
    <d v="2024-06-06T00:00:00"/>
    <s v="Alliance Healthcare s.r.o."/>
    <m/>
    <n v="4511135.32"/>
    <n v="5052470.4400000004"/>
    <m/>
    <m/>
    <m/>
    <d v="2024-06-06T00:00:00"/>
    <s v="SMLN-2024-617-100344"/>
    <x v="48"/>
    <d v="2024-06-20T00:00:00"/>
    <d v="2027-06-18T00:00:00"/>
  </r>
  <r>
    <d v="2024-04-17T00:00:00"/>
    <s v="VZ-2024-000318-04"/>
    <x v="1"/>
    <s v="Vlčková"/>
    <s v="Bodinková"/>
    <x v="177"/>
    <x v="4"/>
    <s v="Novorapid"/>
    <s v="podepsaná smlouva"/>
    <s v="33615100-5"/>
    <m/>
    <n v="9699428"/>
    <x v="0"/>
    <d v="2024-04-24T00:00:00"/>
    <d v="2024-05-29T00:00:00"/>
    <d v="2024-06-06T00:00:00"/>
    <s v="Alliance Healthcare s.r.o."/>
    <m/>
    <n v="9376349.6099999994"/>
    <n v="10501511.560000001"/>
    <m/>
    <m/>
    <m/>
    <d v="2024-06-06T00:00:00"/>
    <s v="SMLN-2024-617-100345"/>
    <x v="48"/>
    <d v="2024-06-20T00:00:00"/>
    <d v="2027-06-18T00:00:00"/>
  </r>
  <r>
    <d v="2024-04-11T00:00:00"/>
    <s v="VZ-2024-000320"/>
    <x v="1"/>
    <s v="Vlčková"/>
    <s v="Hašková"/>
    <x v="178"/>
    <x v="0"/>
    <m/>
    <s v="podepsaná smlouva"/>
    <s v="33652000-5"/>
    <m/>
    <n v="45602115"/>
    <x v="0"/>
    <d v="2024-04-19T00:00:00"/>
    <d v="2024-05-24T00:00:00"/>
    <d v="2024-06-03T00:00:00"/>
    <s v="Alliance Healthcare s.r.o."/>
    <m/>
    <n v="46504999.590000004"/>
    <n v="52085599.539999999"/>
    <m/>
    <m/>
    <m/>
    <d v="2024-06-03T00:00:00"/>
    <s v="SMLN-2024-617-100337"/>
    <x v="53"/>
    <d v="2024-06-13T00:00:00"/>
    <d v="2027-06-11T00:00:00"/>
  </r>
  <r>
    <d v="2024-04-11T00:00:00"/>
    <s v="VZ-2024-000321"/>
    <x v="5"/>
    <s v="Valtová"/>
    <s v="Kučera"/>
    <x v="179"/>
    <x v="0"/>
    <m/>
    <s v="podepsaná smlouva"/>
    <s v="33140000-3"/>
    <m/>
    <n v="4480000"/>
    <x v="0"/>
    <d v="2024-04-15T00:00:00"/>
    <d v="2024-06-04T00:00:00"/>
    <d v="2024-08-06T00:00:00"/>
    <s v="S.A.B. Impex, s.r.o."/>
    <m/>
    <n v="2998000"/>
    <n v="3357760"/>
    <m/>
    <m/>
    <m/>
    <d v="2024-08-06T00:00:00"/>
    <s v="SMLN-2024-617-100439_x000a_SMLN-2024-614-100053"/>
    <x v="70"/>
    <d v="2024-09-06T00:00:00"/>
    <d v="2028-08-22T00:00:00"/>
  </r>
  <r>
    <s v="VZ-2024-000283"/>
    <s v="VZ-2024-000324"/>
    <x v="6"/>
    <s v="Kadlec"/>
    <s v="Staňková"/>
    <x v="180"/>
    <x v="0"/>
    <m/>
    <s v="podepsaná smlouva"/>
    <s v="45421100-5"/>
    <m/>
    <n v="220000"/>
    <x v="1"/>
    <d v="2024-04-16T00:00:00"/>
    <d v="2024-04-29T00:00:00"/>
    <d v="2024-06-12T00:00:00"/>
    <s v="LG -DINEX spol. s r.o."/>
    <m/>
    <n v="210591.59"/>
    <n v="254815.82"/>
    <m/>
    <m/>
    <m/>
    <d v="2024-06-12T00:00:00"/>
    <s v="SMLN-2024-618-100027"/>
    <x v="48"/>
    <d v="2024-06-20T00:00:00"/>
    <m/>
  </r>
  <r>
    <d v="2024-04-12T00:00:00"/>
    <s v="VZ-2024-000325"/>
    <x v="6"/>
    <s v="Kadlec"/>
    <s v="Staňková"/>
    <x v="181"/>
    <x v="0"/>
    <m/>
    <s v="podepsaná smlouva"/>
    <s v="45453000-7"/>
    <m/>
    <n v="250000"/>
    <x v="1"/>
    <d v="2024-04-17T00:00:00"/>
    <d v="2024-04-29T00:00:00"/>
    <d v="2024-05-14T00:00:00"/>
    <s v="BDC Development, s.r.o."/>
    <m/>
    <n v="104662"/>
    <n v="126641.02"/>
    <m/>
    <m/>
    <m/>
    <d v="2024-05-14T00:00:00"/>
    <s v="SMLN-2024-618-100020"/>
    <x v="49"/>
    <d v="2024-06-05T00:00:00"/>
    <m/>
  </r>
  <r>
    <d v="2024-04-12T00:00:00"/>
    <s v="VZ-2024-000326"/>
    <x v="1"/>
    <s v="Ondráčková"/>
    <s v="Hašková"/>
    <x v="182"/>
    <x v="0"/>
    <m/>
    <s v="zaveden DNS"/>
    <s v="33631600-8, 33741300-9"/>
    <m/>
    <n v="55000000"/>
    <x v="3"/>
    <d v="2024-04-18T00:00:00"/>
    <d v="2024-05-22T00:00:00"/>
    <d v="2024-06-03T00:00:00"/>
    <s v="8 dodavatelů"/>
    <m/>
    <m/>
    <m/>
    <m/>
    <m/>
    <m/>
    <m/>
    <m/>
    <x v="2"/>
    <d v="2024-06-04T00:00:00"/>
    <m/>
  </r>
  <r>
    <d v="2024-04-12T00:00:00"/>
    <s v="VZ-2024-000327"/>
    <x v="3"/>
    <s v="Ondráčková"/>
    <s v="Bodinková"/>
    <x v="183"/>
    <x v="0"/>
    <m/>
    <s v="zaveden DNS"/>
    <s v="33694000-1, 38434000-6"/>
    <m/>
    <n v="500000000"/>
    <x v="3"/>
    <d v="2024-04-19T00:00:00"/>
    <d v="2024-05-22T00:00:00"/>
    <d v="2024-06-03T00:00:00"/>
    <s v="53 dodavatelů"/>
    <m/>
    <m/>
    <m/>
    <m/>
    <m/>
    <m/>
    <m/>
    <m/>
    <x v="2"/>
    <d v="2024-06-04T00:00:00"/>
    <m/>
  </r>
  <r>
    <d v="2024-04-23T00:00:00"/>
    <s v="VZ-2024-000332-01"/>
    <x v="1"/>
    <s v="Vlčková"/>
    <s v="Bodinková"/>
    <x v="184"/>
    <x v="1"/>
    <s v="Inhalační sympatomimetika I"/>
    <s v="podepsaná smlouva"/>
    <s v="33670000-7"/>
    <m/>
    <n v="5073615"/>
    <x v="0"/>
    <d v="2024-04-25T00:00:00"/>
    <d v="2024-05-31T00:00:00"/>
    <d v="2024-06-17T00:00:00"/>
    <s v="Boehringer Ingelheim, spol. s r.o."/>
    <m/>
    <n v="5036831.4800000004"/>
    <n v="5641251.2599999998"/>
    <m/>
    <m/>
    <m/>
    <d v="2024-06-17T00:00:00"/>
    <s v="SMLN-2024-617-100351"/>
    <x v="69"/>
    <d v="2024-07-29T00:00:00"/>
    <d v="2027-07-16T00:00:00"/>
  </r>
  <r>
    <d v="2024-04-23T00:00:00"/>
    <s v="VZ-2024-000332-02"/>
    <x v="1"/>
    <s v="Vlčková"/>
    <s v="Bodinková"/>
    <x v="184"/>
    <x v="2"/>
    <s v="Inhalační sympatomimetika II"/>
    <s v="zrušeno"/>
    <s v="33670000-7"/>
    <m/>
    <n v="170914"/>
    <x v="0"/>
    <d v="2024-04-25T00:00:00"/>
    <d v="2024-05-31T00:00:00"/>
    <m/>
    <s v="zrušeno - bez nabídky"/>
    <m/>
    <m/>
    <m/>
    <m/>
    <m/>
    <m/>
    <m/>
    <m/>
    <x v="2"/>
    <d v="2024-06-06T00:00:00"/>
    <s v="6.6.2024 zrušeno"/>
  </r>
  <r>
    <d v="2024-04-23T00:00:00"/>
    <s v="VZ-2024-000332-03"/>
    <x v="1"/>
    <s v="Vlčková"/>
    <s v="Bodinková"/>
    <x v="184"/>
    <x v="3"/>
    <s v="Flutiform"/>
    <s v="zrušeno"/>
    <s v="33670000-7"/>
    <m/>
    <n v="2546205"/>
    <x v="0"/>
    <d v="2024-04-25T00:00:00"/>
    <d v="2024-05-31T00:00:00"/>
    <m/>
    <s v="zrušeno - bez nabídky"/>
    <m/>
    <m/>
    <m/>
    <m/>
    <m/>
    <m/>
    <m/>
    <m/>
    <x v="2"/>
    <d v="2024-06-06T00:00:00"/>
    <s v="6.6.2024 zrušeno"/>
  </r>
  <r>
    <d v="2024-04-17T00:00:00"/>
    <s v="VZ-2024-000333"/>
    <x v="2"/>
    <s v="Skulová"/>
    <s v="Zdražilová"/>
    <x v="185"/>
    <x v="0"/>
    <m/>
    <s v="podepsaná smlouva"/>
    <s v="33192230-3"/>
    <s v="2.3.720."/>
    <n v="1120000"/>
    <x v="0"/>
    <d v="2024-04-29T00:00:00"/>
    <d v="2024-06-04T00:00:00"/>
    <d v="2024-06-20T00:00:00"/>
    <s v="BULLETIN .CZ s.r.o."/>
    <m/>
    <n v="909900"/>
    <n v="1100979"/>
    <m/>
    <m/>
    <m/>
    <d v="2024-06-20T00:00:00"/>
    <s v="SMLN-2024-617-100361_x000a_SMLN-2024-612-100074"/>
    <x v="58"/>
    <d v="2024-07-26T00:00:00"/>
    <d v="2024-12-16T00:00:00"/>
  </r>
  <r>
    <d v="2024-06-21T00:00:00"/>
    <s v="VZ-2024-000334-01"/>
    <x v="1"/>
    <s v="Vlčková"/>
    <s v="Bodinková"/>
    <x v="186"/>
    <x v="1"/>
    <s v="Koncentrovaný tekutý přípravek s účinnou látkou bez obsahu chlóru"/>
    <s v="nerealizováno"/>
    <s v="33631600-8"/>
    <m/>
    <n v="136124"/>
    <x v="0"/>
    <m/>
    <m/>
    <m/>
    <m/>
    <m/>
    <m/>
    <m/>
    <m/>
    <m/>
    <m/>
    <m/>
    <m/>
    <x v="2"/>
    <m/>
    <m/>
  </r>
  <r>
    <d v="2024-06-21T00:00:00"/>
    <s v="VZ-2024-000334-02"/>
    <x v="1"/>
    <s v="Vlčková"/>
    <s v="Bodinková"/>
    <x v="186"/>
    <x v="2"/>
    <s v="Dezinfekční přípravek s obsahem chlóru ve formě tablet"/>
    <s v="nerealizováno"/>
    <s v="33631600-8"/>
    <m/>
    <n v="34168"/>
    <x v="0"/>
    <m/>
    <m/>
    <m/>
    <m/>
    <m/>
    <m/>
    <m/>
    <m/>
    <m/>
    <m/>
    <m/>
    <m/>
    <x v="2"/>
    <m/>
    <m/>
  </r>
  <r>
    <d v="2024-04-18T00:00:00"/>
    <s v="VZ-2024-000335"/>
    <x v="0"/>
    <s v="Spáčil Z."/>
    <s v="Štýbnarová"/>
    <x v="187"/>
    <x v="0"/>
    <m/>
    <s v="podepsaná smlouva"/>
    <s v="71000000-8"/>
    <m/>
    <n v="550000"/>
    <x v="1"/>
    <d v="2024-05-03T00:00:00"/>
    <d v="2024-05-17T00:00:00"/>
    <d v="2024-05-22T00:00:00"/>
    <s v="Adam Rujbr Architects s.r.o."/>
    <m/>
    <n v="344500"/>
    <n v="416845"/>
    <m/>
    <m/>
    <m/>
    <d v="2024-05-22T00:00:00"/>
    <s v="SMLN-2024-618-100021"/>
    <x v="49"/>
    <d v="2024-06-04T00:00:00"/>
    <m/>
  </r>
  <r>
    <d v="2024-05-13T00:00:00"/>
    <s v="VZ-2024-000338"/>
    <x v="4"/>
    <s v="Zdráhalová"/>
    <s v="Zdražilová"/>
    <x v="188"/>
    <x v="0"/>
    <m/>
    <s v="podepsaná smlouva"/>
    <s v="39112000-0"/>
    <m/>
    <n v="2290000"/>
    <x v="2"/>
    <d v="2024-05-27T00:00:00"/>
    <d v="2024-06-13T00:00:00"/>
    <d v="2024-07-09T00:00:00"/>
    <s v="HONA INVESTMENT s.r.o."/>
    <m/>
    <n v="1881200"/>
    <n v="2276252"/>
    <m/>
    <m/>
    <m/>
    <d v="2024-07-09T00:00:00"/>
    <s v="SMLN-2024-617-100386"/>
    <x v="65"/>
    <d v="2024-08-14T00:00:00"/>
    <d v="2025-07-31T00:00:00"/>
  </r>
  <r>
    <d v="2024-04-19T00:00:00"/>
    <s v="VZ-2024-000340"/>
    <x v="0"/>
    <s v="Spáčil Z."/>
    <s v="Staňková"/>
    <x v="189"/>
    <x v="0"/>
    <m/>
    <s v="podepsaná smlouva"/>
    <s v="45213300-6"/>
    <m/>
    <n v="4780000"/>
    <x v="1"/>
    <d v="2024-04-30T00:00:00"/>
    <d v="2024-05-17T00:00:00"/>
    <d v="2024-05-29T00:00:00"/>
    <s v="DW STAVBY BRNO s.r.o."/>
    <m/>
    <n v="3406475.46"/>
    <n v="4121835.31"/>
    <m/>
    <m/>
    <m/>
    <d v="2024-05-29T00:00:00"/>
    <s v="SMLN-2024-618-100023"/>
    <x v="71"/>
    <d v="2024-06-17T00:00:00"/>
    <m/>
  </r>
  <r>
    <d v="2024-04-25T00:00:00"/>
    <s v="VZ-2024-000341"/>
    <x v="4"/>
    <s v="Zdráhalová"/>
    <s v="Štýbnarová"/>
    <x v="190"/>
    <x v="0"/>
    <m/>
    <s v="podepsaná smlouva"/>
    <s v="32324000-0"/>
    <m/>
    <n v="800000"/>
    <x v="1"/>
    <d v="2024-05-06T00:00:00"/>
    <d v="2024-05-17T00:00:00"/>
    <d v="2024-05-28T00:00:00"/>
    <s v="Alcaserv Czech, a.s."/>
    <m/>
    <n v="732700"/>
    <n v="886567"/>
    <m/>
    <m/>
    <m/>
    <d v="2024-05-28T00:00:00"/>
    <s v="SMLN-2024-617-100326"/>
    <x v="49"/>
    <d v="2024-06-04T00:00:00"/>
    <d v="2025-06-03T00:00:00"/>
  </r>
  <r>
    <d v="2024-04-19T00:00:00"/>
    <s v="VZ-2024-000343"/>
    <x v="6"/>
    <s v="Srovnal"/>
    <s v="Kučera"/>
    <x v="191"/>
    <x v="0"/>
    <m/>
    <s v="podepsaná smlouva"/>
    <s v="42512300-1"/>
    <s v="4.2.220."/>
    <n v="4545200"/>
    <x v="0"/>
    <d v="2024-05-21T00:00:00"/>
    <d v="2024-06-24T00:00:00"/>
    <d v="2024-07-09T00:00:00"/>
    <s v="Blažek Erik"/>
    <m/>
    <n v="2656318"/>
    <n v="3214145"/>
    <m/>
    <m/>
    <m/>
    <d v="2024-07-10T00:00:00"/>
    <s v="SMLN-2024-618-100038"/>
    <x v="72"/>
    <d v="2024-09-06T00:00:00"/>
    <m/>
  </r>
  <r>
    <d v="2024-04-19T00:00:00"/>
    <s v="VZ-2024-000345"/>
    <x v="6"/>
    <s v="Srovnal"/>
    <s v="Kučera"/>
    <x v="192"/>
    <x v="0"/>
    <m/>
    <s v="smlouva v kolečku"/>
    <s v="42512300-1"/>
    <s v="4.2.218."/>
    <n v="661120"/>
    <x v="0"/>
    <d v="2024-05-21T00:00:00"/>
    <d v="2024-06-24T00:00:00"/>
    <d v="2024-10-04T00:00:00"/>
    <s v="BDC Development s.r.o."/>
    <m/>
    <n v="593662"/>
    <n v="718331"/>
    <m/>
    <m/>
    <m/>
    <d v="2024-10-04T00:00:00"/>
    <s v="SMLN-2024-618-100037"/>
    <x v="2"/>
    <m/>
    <s v="19.8.2024 vyloučen"/>
  </r>
  <r>
    <d v="2024-04-23T00:00:00"/>
    <s v="VZ-2024-000349"/>
    <x v="1"/>
    <s v="Vlčková"/>
    <s v="Hašková"/>
    <x v="193"/>
    <x v="0"/>
    <m/>
    <s v="zrušeno"/>
    <s v="33651400-2"/>
    <m/>
    <n v="18841323"/>
    <x v="0"/>
    <d v="2024-04-26T00:00:00"/>
    <d v="2024-05-31T00:00:00"/>
    <m/>
    <s v="zrušeno - bez nabídky"/>
    <m/>
    <m/>
    <m/>
    <m/>
    <m/>
    <m/>
    <m/>
    <m/>
    <x v="2"/>
    <d v="2024-06-05T00:00:00"/>
    <s v="4.6.2024 zrušeno"/>
  </r>
  <r>
    <d v="2024-04-23T00:00:00"/>
    <s v="VZ-2024-000351-01"/>
    <x v="2"/>
    <s v="Skulová"/>
    <s v="Zdražilová"/>
    <x v="194"/>
    <x v="1"/>
    <s v="Nástroje chirurgické - specifikováno dle katalogu Aesculap Surgical Instruments"/>
    <s v="podepsaná smlouva"/>
    <s v="33169000-2"/>
    <m/>
    <n v="4898000"/>
    <x v="4"/>
    <d v="2024-05-27T00:00:00"/>
    <d v="2024-06-27T00:00:00"/>
    <d v="2024-07-18T00:00:00"/>
    <s v="B. Braun Medical s.r.o."/>
    <m/>
    <n v="5811250"/>
    <n v="7031612.5"/>
    <m/>
    <m/>
    <m/>
    <d v="2024-07-18T00:00:00"/>
    <s v="SMLN-2024-617-100410"/>
    <x v="73"/>
    <d v="2024-09-04T00:00:00"/>
    <d v="2025-03-02T00:00:00"/>
  </r>
  <r>
    <d v="2024-04-23T00:00:00"/>
    <s v="VZ-2024-000351-02"/>
    <x v="2"/>
    <s v="Skulová"/>
    <s v="Zdražilová"/>
    <x v="194"/>
    <x v="2"/>
    <s v="Nástroje chirurgické - specifikováno dle katalogu MEDIN, a.s."/>
    <s v="podepsaná smlouva"/>
    <s v="33169000-2"/>
    <m/>
    <n v="636000"/>
    <x v="4"/>
    <d v="2024-05-27T00:00:00"/>
    <d v="2024-06-27T00:00:00"/>
    <d v="2024-07-18T00:00:00"/>
    <s v="MEDIN, a.s."/>
    <m/>
    <n v="407235.2"/>
    <n v="792754.59"/>
    <m/>
    <m/>
    <m/>
    <d v="2024-07-18T00:00:00"/>
    <s v="SMLN-2024-617-100411"/>
    <x v="54"/>
    <d v="2024-09-04T00:00:00"/>
    <d v="2024-11-01T00:00:00"/>
  </r>
  <r>
    <d v="2024-06-24T00:00:00"/>
    <s v="VZ-2024-000356"/>
    <x v="5"/>
    <s v="Valtová"/>
    <s v="Zdražilová"/>
    <x v="195"/>
    <x v="0"/>
    <m/>
    <s v="smlouva v kolečku"/>
    <s v="33140000-3 "/>
    <m/>
    <n v="4007240"/>
    <x v="0"/>
    <d v="2024-06-27T00:00:00"/>
    <d v="2024-08-22T00:00:00"/>
    <d v="2024-09-25T00:00:00"/>
    <s v="EndoTech s.r.o."/>
    <m/>
    <n v="3723000"/>
    <n v="4169760"/>
    <m/>
    <m/>
    <m/>
    <d v="2024-09-25T00:00:00"/>
    <s v="SMLN-2024-617-100518_x000a_SMLN-2024-614-100068"/>
    <x v="2"/>
    <m/>
    <s v="vyloučení S.A.B., + VAMEX"/>
  </r>
  <r>
    <d v="2024-04-24T00:00:00"/>
    <s v="VZ-2024-000357"/>
    <x v="1"/>
    <s v="Vlčková"/>
    <s v="Bodinková"/>
    <x v="196"/>
    <x v="0"/>
    <m/>
    <s v="podepsaná smlouva"/>
    <s v="33631600-8"/>
    <m/>
    <n v="3155066"/>
    <x v="0"/>
    <d v="2024-04-26T00:00:00"/>
    <d v="2024-06-14T00:00:00"/>
    <d v="2024-07-18T00:00:00"/>
    <s v="PROMEDICA PRAHA GROUP, a.s."/>
    <m/>
    <n v="2375190.65"/>
    <n v="2873980.68"/>
    <m/>
    <m/>
    <m/>
    <d v="2024-07-18T00:00:00"/>
    <s v="SMLN-2024-617-100412"/>
    <x v="74"/>
    <d v="2024-08-21T00:00:00"/>
    <d v="2026-08-12T00:00:00"/>
  </r>
  <r>
    <d v="2024-04-24T00:00:00"/>
    <s v="VZ-2024-000359"/>
    <x v="5"/>
    <s v="Valtová"/>
    <s v="Hašková"/>
    <x v="197"/>
    <x v="0"/>
    <m/>
    <s v="zrušeno"/>
    <s v="33140000-3"/>
    <m/>
    <n v="6438000"/>
    <x v="0"/>
    <d v="2024-04-29T00:00:00"/>
    <d v="2024-06-17T00:00:00"/>
    <m/>
    <s v="zrušeno - bez nabídky"/>
    <s v="nová VZ-2024-000672"/>
    <m/>
    <m/>
    <m/>
    <m/>
    <m/>
    <m/>
    <m/>
    <x v="2"/>
    <d v="2024-06-18T00:00:00"/>
    <s v="17.6.2024 zrušení na podpis"/>
  </r>
  <r>
    <d v="2024-04-29T00:00:00"/>
    <s v="VZ-2024-000360"/>
    <x v="2"/>
    <s v="Skulová"/>
    <s v="Štýbnarová"/>
    <x v="198"/>
    <x v="0"/>
    <m/>
    <s v="podepsaná smlouva"/>
    <s v="38300000-8"/>
    <s v="2.3.791."/>
    <n v="109584"/>
    <x v="1"/>
    <d v="2024-05-03T00:00:00"/>
    <d v="2024-05-14T00:00:00"/>
    <d v="2024-05-29T00:00:00"/>
    <s v="KALIST AKL s.r.o."/>
    <m/>
    <n v="50865"/>
    <n v="61546.65"/>
    <m/>
    <m/>
    <m/>
    <d v="2024-05-29T00:00:00"/>
    <s v="SMLN-2024-617-100330_x000a_SMLN-2024-612-100069"/>
    <x v="49"/>
    <d v="2024-06-04T00:00:00"/>
    <d v="2024-07-09T00:00:00"/>
  </r>
  <r>
    <d v="2024-04-25T00:00:00"/>
    <s v="VZ-2024-000361"/>
    <x v="5"/>
    <s v="Valtová"/>
    <s v="Hašková"/>
    <x v="199"/>
    <x v="0"/>
    <m/>
    <s v="podepsaná smlouva"/>
    <s v="33182210-4"/>
    <m/>
    <n v="65024110"/>
    <x v="0"/>
    <d v="2024-06-12T00:00:00"/>
    <d v="2024-07-17T00:00:00"/>
    <d v="2024-08-30T00:00:00"/>
    <s v="Cardiomedical s.r.o."/>
    <m/>
    <n v="65015305"/>
    <n v="72817141.599999994"/>
    <m/>
    <m/>
    <m/>
    <d v="2024-08-30T00:00:00"/>
    <s v="SMLN-2024-617-100486_x000a_SMLN-2024-614-100064"/>
    <x v="75"/>
    <d v="2024-09-10T00:00:00"/>
    <d v="2028-09-05T00:00:00"/>
  </r>
  <r>
    <d v="2024-05-09T00:00:00"/>
    <s v="VZ-2024-000362"/>
    <x v="6"/>
    <s v="Srovnal"/>
    <s v="Kučera"/>
    <x v="200"/>
    <x v="0"/>
    <m/>
    <s v="podepsaná smlouva"/>
    <s v="39151000-5"/>
    <m/>
    <n v="2000000"/>
    <x v="4"/>
    <d v="2024-05-15T00:00:00"/>
    <d v="2024-05-30T00:00:00"/>
    <d v="2024-07-16T00:00:00"/>
    <s v="Intersyss s.r.o."/>
    <m/>
    <n v="2522094"/>
    <n v="3051733.74"/>
    <m/>
    <m/>
    <m/>
    <d v="2024-07-16T00:00:00"/>
    <s v="SMLN-2024-618-100029"/>
    <x v="58"/>
    <d v="2024-08-15T00:00:00"/>
    <m/>
  </r>
  <r>
    <d v="2024-05-09T00:00:00"/>
    <s v="VZ-2024-000363"/>
    <x v="6"/>
    <s v="Kadlec"/>
    <s v="Kučera"/>
    <x v="201"/>
    <x v="0"/>
    <m/>
    <s v="podepsaná smlouva"/>
    <s v="44212381-3"/>
    <m/>
    <n v="4500000"/>
    <x v="0"/>
    <d v="2024-05-16T00:00:00"/>
    <d v="2024-06-19T00:00:00"/>
    <d v="2024-07-16T00:00:00"/>
    <s v="INVISTA Craft s.r.o."/>
    <m/>
    <n v="4365010"/>
    <n v="5281662.0999999996"/>
    <m/>
    <m/>
    <m/>
    <d v="2024-07-16T00:00:00"/>
    <s v="SMLN-2024-618-100039"/>
    <x v="76"/>
    <d v="2024-09-03T00:00:00"/>
    <d v="2028-08-04T00:00:00"/>
  </r>
  <r>
    <d v="2024-04-26T00:00:00"/>
    <s v="VZ-2024-000364"/>
    <x v="5"/>
    <s v="Valtová"/>
    <s v="Zdražilová"/>
    <x v="202"/>
    <x v="0"/>
    <m/>
    <s v="podepsaná smlouva"/>
    <s v="33183100-7"/>
    <m/>
    <n v="3628966"/>
    <x v="0"/>
    <d v="2024-05-02T00:00:00"/>
    <d v="2024-06-07T00:00:00"/>
    <d v="2024-06-20T00:00:00"/>
    <s v="Arthrex s.r.o."/>
    <m/>
    <n v="3628966"/>
    <n v="4064441.92"/>
    <m/>
    <m/>
    <m/>
    <d v="2024-06-20T00:00:00"/>
    <s v="SMLN-2024-617-100362_x000a_SMLN-2024-614-100043"/>
    <x v="59"/>
    <d v="2024-07-25T00:00:00"/>
    <d v="2028-07-15T00:00:00"/>
  </r>
  <r>
    <d v="2024-04-30T00:00:00"/>
    <s v="VZ-2024-000365"/>
    <x v="4"/>
    <s v="Zdráhalová"/>
    <s v="Staňková"/>
    <x v="203"/>
    <x v="0"/>
    <m/>
    <s v="podepsaná smlouva"/>
    <s v="35113400-3"/>
    <m/>
    <n v="1685255"/>
    <x v="1"/>
    <d v="2024-06-05T00:00:00"/>
    <d v="2024-07-15T00:00:00"/>
    <d v="2024-09-19T00:00:00"/>
    <s v="CLINITEX ZPS s.r.o."/>
    <m/>
    <n v="1167075"/>
    <n v="1412160.75"/>
    <m/>
    <m/>
    <m/>
    <d v="2024-09-19T00:00:00"/>
    <s v="SMLN-2024-617-100508"/>
    <x v="77"/>
    <d v="2024-09-30T00:00:00"/>
    <d v="2028-09-26T00:00:00"/>
  </r>
  <r>
    <d v="2024-04-29T00:00:00"/>
    <s v="VZ-2024-000366"/>
    <x v="2"/>
    <s v="Skulová"/>
    <s v="Zdražilová"/>
    <x v="204"/>
    <x v="0"/>
    <m/>
    <s v="podepsaná smlouva"/>
    <s v="33195100-4"/>
    <s v="2.3.712."/>
    <n v="3700000"/>
    <x v="0"/>
    <d v="2024-05-10T00:00:00"/>
    <d v="2024-07-09T00:00:00"/>
    <d v="2024-08-06T00:00:00"/>
    <s v="SNT Plus s.r.o."/>
    <m/>
    <n v="3599260"/>
    <n v="4355104.5999999996"/>
    <m/>
    <m/>
    <m/>
    <d v="2024-08-06T00:00:00"/>
    <s v="SMLN-2024-617-100440_x000a_SMLN-2024-612-100100"/>
    <x v="73"/>
    <d v="2024-09-19T00:00:00"/>
    <d v="2024-12-02T00:00:00"/>
  </r>
  <r>
    <d v="2024-05-09T00:00:00"/>
    <s v="VZ-2024-000367"/>
    <x v="6"/>
    <s v="Kadlec"/>
    <s v="Staňková"/>
    <x v="205"/>
    <x v="0"/>
    <m/>
    <s v="podepsaná smlouva"/>
    <s v="45453000-7"/>
    <m/>
    <n v="1000000"/>
    <x v="1"/>
    <d v="2024-05-13T00:00:00"/>
    <d v="2024-05-24T00:00:00"/>
    <d v="2024-06-03T00:00:00"/>
    <s v="BDC Development, s.r.o."/>
    <m/>
    <n v="821163"/>
    <n v="993607.23"/>
    <m/>
    <m/>
    <m/>
    <d v="2024-06-03T00:00:00"/>
    <s v="SMLN-2024-618-100024"/>
    <x v="71"/>
    <d v="2024-06-14T00:00:00"/>
    <d v="2024-07-15T00:00:00"/>
  </r>
  <r>
    <d v="2024-05-22T00:00:00"/>
    <s v="VZ-2024-000368"/>
    <x v="0"/>
    <s v="Hrubý"/>
    <s v="Staňková"/>
    <x v="206"/>
    <x v="0"/>
    <m/>
    <s v="zrušeno"/>
    <s v="71240000-2, 71000000-8"/>
    <m/>
    <n v="800000"/>
    <x v="1"/>
    <d v="2024-05-28T00:00:00"/>
    <d v="2024-06-10T00:00:00"/>
    <m/>
    <s v="zrušeno - úprava specifikace"/>
    <s v="nová VZ-2024-000500"/>
    <m/>
    <m/>
    <m/>
    <m/>
    <m/>
    <m/>
    <m/>
    <x v="2"/>
    <d v="2024-05-31T00:00:00"/>
    <m/>
  </r>
  <r>
    <s v="VZ-2024-000045"/>
    <s v="VZ-2024-000371"/>
    <x v="2"/>
    <s v="Skulová"/>
    <s v="Kučera"/>
    <x v="20"/>
    <x v="0"/>
    <m/>
    <s v="podepsaná smlouva"/>
    <s v="33111720-4"/>
    <s v="2.2.593."/>
    <n v="50800000"/>
    <x v="0"/>
    <d v="2024-05-14T00:00:00"/>
    <d v="2024-06-19T00:00:00"/>
    <d v="2024-07-03T00:00:00"/>
    <s v="Sdružení Philips a EDOMED"/>
    <m/>
    <n v="50315700"/>
    <n v="60881997"/>
    <m/>
    <m/>
    <m/>
    <d v="2024-07-03T00:00:00"/>
    <s v="SMLN-2024-612-100081_x000a_SMLN-2024-612-100082_x000a_SMLN-2024-617-100385"/>
    <x v="43"/>
    <d v="2024-08-15T00:00:00"/>
    <m/>
  </r>
  <r>
    <d v="2024-04-30T00:00:00"/>
    <s v="VZ-2024-000372"/>
    <x v="2"/>
    <s v="Skulová"/>
    <s v="Hašková"/>
    <x v="207"/>
    <x v="0"/>
    <m/>
    <s v="hodnocení"/>
    <s v="33168100-6"/>
    <s v="2.3.838."/>
    <n v="1060000"/>
    <x v="0"/>
    <d v="2024-05-16T00:00:00"/>
    <d v="2024-08-01T00:00:00"/>
    <m/>
    <m/>
    <m/>
    <m/>
    <m/>
    <m/>
    <m/>
    <m/>
    <m/>
    <m/>
    <x v="2"/>
    <m/>
    <m/>
  </r>
  <r>
    <d v="2024-06-11T00:00:00"/>
    <s v="VZ-2024-000374"/>
    <x v="9"/>
    <s v="Hlavinka"/>
    <s v="Kučera"/>
    <x v="208"/>
    <x v="0"/>
    <m/>
    <s v="vypsaná VZ"/>
    <s v="48000000-8 "/>
    <m/>
    <n v="185000000"/>
    <x v="0"/>
    <d v="2024-06-12T00:00:00"/>
    <d v="2024-10-21T00:00:00"/>
    <m/>
    <m/>
    <m/>
    <m/>
    <m/>
    <m/>
    <m/>
    <m/>
    <m/>
    <m/>
    <x v="2"/>
    <m/>
    <m/>
  </r>
  <r>
    <s v="VZ-2024-000115"/>
    <s v="VZ-2024-000377"/>
    <x v="5"/>
    <s v="Dočkalová"/>
    <s v="Zdražilová"/>
    <x v="53"/>
    <x v="0"/>
    <m/>
    <s v="podepsaná smlouva"/>
    <s v="33184100-4"/>
    <m/>
    <n v="31252173.68"/>
    <x v="0"/>
    <d v="2024-05-06T00:00:00"/>
    <d v="2024-06-11T00:00:00"/>
    <d v="2024-06-20T00:00:00"/>
    <s v="CARDION s.r.o."/>
    <m/>
    <n v="31251600"/>
    <n v="35001792"/>
    <m/>
    <m/>
    <m/>
    <d v="2024-06-20T00:00:00"/>
    <s v="SMLN-2024-617-100363_x000a_SMLN-2024-614-100044"/>
    <x v="78"/>
    <d v="2024-07-01T00:00:00"/>
    <d v="2028-06-25T00:00:00"/>
  </r>
  <r>
    <d v="2024-05-06T00:00:00"/>
    <s v="VZ-2024-000378-01"/>
    <x v="1"/>
    <s v="Vondrková"/>
    <s v="Bodinková"/>
    <x v="209"/>
    <x v="1"/>
    <s v="Irigační roztok I."/>
    <s v="podepsaná smlouva"/>
    <s v="33695000-8"/>
    <m/>
    <n v="1540729"/>
    <x v="0"/>
    <d v="2024-05-21T00:00:00"/>
    <d v="2024-07-24T00:00:00"/>
    <d v="2024-08-08T00:00:00"/>
    <s v="BAXTER CZECH spol. s r.o."/>
    <m/>
    <n v="1540728.12"/>
    <n v="1725615.49"/>
    <m/>
    <m/>
    <m/>
    <d v="2024-08-08T00:00:00"/>
    <s v="SMLN-2024-617-100445"/>
    <x v="70"/>
    <d v="2024-08-27T00:00:00"/>
    <d v="2027-08-22T00:00:00"/>
  </r>
  <r>
    <d v="2024-05-06T00:00:00"/>
    <s v="VZ-2024-000378-02"/>
    <x v="1"/>
    <s v="Vondrková"/>
    <s v="Bodinková"/>
    <x v="209"/>
    <x v="2"/>
    <s v="Irigační roztok II."/>
    <s v="podepsaná smlouva"/>
    <s v="33695000-8"/>
    <m/>
    <n v="265140"/>
    <x v="0"/>
    <d v="2024-05-21T00:00:00"/>
    <d v="2024-07-24T00:00:00"/>
    <d v="2024-08-08T00:00:00"/>
    <s v="BAXTER CZECH spol. s r.o."/>
    <m/>
    <n v="265140"/>
    <n v="296956.79999999999"/>
    <m/>
    <m/>
    <m/>
    <d v="2024-08-08T00:00:00"/>
    <s v="SMLN-2024-617-100446"/>
    <x v="70"/>
    <d v="2024-08-27T00:00:00"/>
    <d v="2027-08-22T00:00:00"/>
  </r>
  <r>
    <d v="2024-05-06T00:00:00"/>
    <s v="VZ-2024-000378-03"/>
    <x v="1"/>
    <s v="Vondrková"/>
    <s v="Bodinková"/>
    <x v="209"/>
    <x v="3"/>
    <s v="Irigační roztok III."/>
    <s v="podepsaná smlouva"/>
    <s v="33695000-8"/>
    <m/>
    <n v="1389521"/>
    <x v="0"/>
    <d v="2024-05-21T00:00:00"/>
    <d v="2024-07-24T00:00:00"/>
    <d v="2024-08-08T00:00:00"/>
    <s v="BAXTER CZECH spol. s r.o."/>
    <m/>
    <n v="1389520.08"/>
    <n v="1556262.49"/>
    <m/>
    <m/>
    <m/>
    <d v="2024-08-08T00:00:00"/>
    <s v="SMLN-2024-617-100447"/>
    <x v="70"/>
    <d v="2024-08-27T00:00:00"/>
    <d v="2027-08-22T00:00:00"/>
  </r>
  <r>
    <s v="VZ-2024-000312"/>
    <s v="VZ-2024-000380"/>
    <x v="7"/>
    <s v="Oravec"/>
    <s v="Staňková"/>
    <x v="210"/>
    <x v="0"/>
    <m/>
    <s v="podepsaná smlouva"/>
    <s v="32552100-8"/>
    <m/>
    <n v="816000"/>
    <x v="1"/>
    <d v="2024-05-06T00:00:00"/>
    <d v="2024-05-17T00:00:00"/>
    <d v="2024-05-28T00:00:00"/>
    <s v="ERISERV, spol. s r.o."/>
    <m/>
    <n v="731250"/>
    <n v="884812.5"/>
    <m/>
    <m/>
    <m/>
    <d v="2024-05-28T00:00:00"/>
    <s v="SMLN-2024-617-100328"/>
    <x v="79"/>
    <d v="2024-05-31T00:00:00"/>
    <d v="2025-05-30T00:00:00"/>
  </r>
  <r>
    <d v="2024-05-06T00:00:00"/>
    <s v="VZ-2024-000381"/>
    <x v="1"/>
    <s v="Vondrková"/>
    <s v="Bodinková"/>
    <x v="211"/>
    <x v="0"/>
    <m/>
    <s v="podepsaná smlouva"/>
    <s v="33652000-5"/>
    <m/>
    <n v="21269388"/>
    <x v="0"/>
    <d v="2024-05-09T00:00:00"/>
    <d v="2024-07-09T00:00:00"/>
    <d v="2024-08-07T00:00:00"/>
    <s v="ROCHE s.r.o."/>
    <m/>
    <n v="21269388"/>
    <n v="23821714.559999999"/>
    <m/>
    <m/>
    <m/>
    <d v="2024-08-07T00:00:00"/>
    <s v="SMLN-2024-617-100442"/>
    <x v="80"/>
    <d v="2024-08-23T00:00:00"/>
    <d v="2027-11-24T00:00:00"/>
  </r>
  <r>
    <d v="2024-05-09T00:00:00"/>
    <s v="VZ-2024-000382"/>
    <x v="5"/>
    <s v="Valtová"/>
    <s v="Hašková"/>
    <x v="212"/>
    <x v="0"/>
    <m/>
    <s v="podepsaná smlouva"/>
    <s v="33158210-7"/>
    <m/>
    <n v="21880345"/>
    <x v="0"/>
    <d v="2024-06-13T00:00:00"/>
    <d v="2024-07-18T00:00:00"/>
    <d v="2024-08-30T00:00:00"/>
    <s v="MEDIFINE, a.s."/>
    <m/>
    <n v="21880322.870000001"/>
    <n v="24505961.609999999"/>
    <m/>
    <m/>
    <m/>
    <d v="2024-08-30T00:00:00"/>
    <s v="SMLN-2024-617-100485_x000a_SMLN-2024-614-100063_x000a_SMLN-2024-616-100060"/>
    <x v="67"/>
    <d v="2024-09-23T00:00:00"/>
    <d v="2028-09-19T00:00:00"/>
  </r>
  <r>
    <d v="2024-05-06T00:00:00"/>
    <s v="VZ-2024-000383"/>
    <x v="1"/>
    <s v="Vondrková"/>
    <s v="Bodinková"/>
    <x v="213"/>
    <x v="0"/>
    <m/>
    <s v="podepsaná smlouva"/>
    <s v="33652000-5"/>
    <m/>
    <n v="12700087"/>
    <x v="0"/>
    <d v="2024-05-14T00:00:00"/>
    <d v="2024-06-18T00:00:00"/>
    <d v="2024-06-24T00:00:00"/>
    <s v="PHOENIX lék. velkoobchod, s.r.o."/>
    <m/>
    <n v="12699938.550000001"/>
    <n v="14223931.18"/>
    <m/>
    <m/>
    <m/>
    <d v="2024-06-24T00:00:00"/>
    <s v="SMLN-2024-617-100373"/>
    <x v="81"/>
    <d v="2024-07-29T00:00:00"/>
    <d v="2027-11-28T00:00:00"/>
  </r>
  <r>
    <d v="2024-05-06T00:00:00"/>
    <s v="VZ-2024-000385-01"/>
    <x v="1"/>
    <s v="Vondrková"/>
    <s v="Hašková"/>
    <x v="214"/>
    <x v="1"/>
    <s v="TRIMEKAIN-HYDROCHLORID i.v"/>
    <s v="podepsaná smlouva"/>
    <s v="33661100-2"/>
    <m/>
    <n v="2643583"/>
    <x v="0"/>
    <d v="2024-05-15T00:00:00"/>
    <d v="2024-06-19T00:00:00"/>
    <d v="2024-07-15T00:00:00"/>
    <s v="PROMEDICA PRAHA GROUP, a.s."/>
    <m/>
    <n v="2613552.6"/>
    <n v="2927178.91"/>
    <m/>
    <m/>
    <m/>
    <d v="2024-07-15T00:00:00"/>
    <s v="SMLN-2024-617-100401"/>
    <x v="32"/>
    <d v="2024-08-08T00:00:00"/>
    <d v="2027-08-05T00:00:00"/>
  </r>
  <r>
    <d v="2024-05-06T00:00:00"/>
    <s v="VZ-2024-000385-02"/>
    <x v="1"/>
    <s v="Vondrková"/>
    <s v="Hašková"/>
    <x v="214"/>
    <x v="2"/>
    <s v=" TRIMEKAIN-HYDROCHLORID, KOMBINACE"/>
    <s v="podepsaná smlouva"/>
    <s v="33661100-2"/>
    <m/>
    <n v="1282304"/>
    <x v="0"/>
    <d v="2024-05-15T00:00:00"/>
    <d v="2024-06-19T00:00:00"/>
    <d v="2024-07-15T00:00:00"/>
    <s v="PROMEDICA PRAHA GROUP, a.s."/>
    <m/>
    <n v="1275009.3"/>
    <n v="1428010.42"/>
    <m/>
    <m/>
    <m/>
    <d v="2024-07-15T00:00:00"/>
    <s v="SMLN-2024-617-100402"/>
    <x v="32"/>
    <d v="2024-08-08T00:00:00"/>
    <d v="2027-08-05T00:00:00"/>
  </r>
  <r>
    <d v="2024-05-06T00:00:00"/>
    <s v="VZ-2024-000385-03"/>
    <x v="1"/>
    <s v="Vondrková"/>
    <s v="Hašková"/>
    <x v="214"/>
    <x v="3"/>
    <s v="LEVOBUPIVAKAIN"/>
    <s v="podepsaná smlouva"/>
    <s v="33661100-2"/>
    <m/>
    <n v="3322992"/>
    <x v="0"/>
    <d v="2024-05-15T00:00:00"/>
    <d v="2024-06-19T00:00:00"/>
    <d v="2024-07-15T00:00:00"/>
    <s v="Fresenius Kabi s.r.o."/>
    <m/>
    <n v="3322992"/>
    <n v="3721751.04"/>
    <m/>
    <m/>
    <m/>
    <d v="2024-07-15T00:00:00"/>
    <s v="SMLN-2024-617-100403"/>
    <x v="32"/>
    <d v="2024-08-08T00:00:00"/>
    <d v="2027-08-05T00:00:00"/>
  </r>
  <r>
    <d v="2024-05-06T00:00:00"/>
    <s v="VZ-2024-000385-04"/>
    <x v="1"/>
    <s v="Vondrková"/>
    <s v="Hašková"/>
    <x v="214"/>
    <x v="4"/>
    <s v="ARTIKAIN, KOMBINACE"/>
    <s v="podepsaná smlouva"/>
    <s v="33661100-2"/>
    <m/>
    <n v="3252012"/>
    <x v="0"/>
    <d v="2024-05-15T00:00:00"/>
    <d v="2024-06-19T00:00:00"/>
    <d v="2024-07-15T00:00:00"/>
    <s v="Alliance Healthcare s.r.o."/>
    <m/>
    <n v="3207589.2"/>
    <n v="3592499.9"/>
    <m/>
    <m/>
    <m/>
    <d v="2024-07-15T00:00:00"/>
    <s v="SMLN-2024-617-100404"/>
    <x v="32"/>
    <d v="2024-08-08T00:00:00"/>
    <d v="2027-08-05T00:00:00"/>
  </r>
  <r>
    <d v="2024-06-24T00:00:00"/>
    <s v="VZ-2024-000386"/>
    <x v="0"/>
    <s v="Pavela"/>
    <s v="Kučera"/>
    <x v="215"/>
    <x v="0"/>
    <m/>
    <s v="hodnocení"/>
    <s v="48411000-2"/>
    <m/>
    <n v="2300000"/>
    <x v="2"/>
    <d v="2024-07-02T00:00:00"/>
    <d v="2024-07-24T00:00:00"/>
    <m/>
    <m/>
    <m/>
    <m/>
    <m/>
    <m/>
    <m/>
    <m/>
    <m/>
    <m/>
    <x v="2"/>
    <m/>
    <s v="24.9.2024 vyloučení 1,2,3 v pořadí"/>
  </r>
  <r>
    <d v="2024-05-06T00:00:00"/>
    <s v="VZ-2024-000387"/>
    <x v="1"/>
    <s v="Vlčková"/>
    <s v="Hašková"/>
    <x v="216"/>
    <x v="0"/>
    <m/>
    <s v="podepsaná smlouva"/>
    <s v="33652000-5"/>
    <m/>
    <n v="3073773"/>
    <x v="0"/>
    <d v="2024-05-15T00:00:00"/>
    <d v="2024-06-19T00:00:00"/>
    <d v="2024-07-15T00:00:00"/>
    <s v="Alliance Healthcare s.r.o."/>
    <m/>
    <n v="3063984.3"/>
    <n v="3431662.42"/>
    <m/>
    <m/>
    <m/>
    <d v="2024-07-15T00:00:00"/>
    <s v="SMLN-2024-617-100405"/>
    <x v="74"/>
    <d v="2024-08-21T00:00:00"/>
    <d v="2027-12-13T00:00:00"/>
  </r>
  <r>
    <d v="2024-05-06T00:00:00"/>
    <s v="VZ-2024-000388"/>
    <x v="1"/>
    <s v="Vlčková"/>
    <s v="Bodinková"/>
    <x v="217"/>
    <x v="0"/>
    <m/>
    <s v="podepsaná smlouva"/>
    <s v="33651400-2"/>
    <m/>
    <n v="9606557"/>
    <x v="0"/>
    <d v="2024-05-09T00:00:00"/>
    <d v="2024-06-13T00:00:00"/>
    <d v="2024-06-26T00:00:00"/>
    <s v="Gilead Sciences s.r.o."/>
    <m/>
    <n v="9606555.7200000007"/>
    <n v="10759342.41"/>
    <m/>
    <m/>
    <m/>
    <d v="2024-06-26T00:00:00"/>
    <s v="SMLN-2024-617-100376"/>
    <x v="61"/>
    <d v="2024-08-06T00:00:00"/>
    <d v="2027-11-09T00:00:00"/>
  </r>
  <r>
    <d v="2024-05-06T00:00:00"/>
    <s v="VZ-2024-000389"/>
    <x v="1"/>
    <s v="Vlčková"/>
    <s v="Bodinková"/>
    <x v="218"/>
    <x v="0"/>
    <m/>
    <s v="podepsaná smlouva"/>
    <s v="33652000-5"/>
    <m/>
    <n v="2357265"/>
    <x v="0"/>
    <d v="2024-05-14T00:00:00"/>
    <d v="2024-07-12T00:00:00"/>
    <d v="2024-08-15T00:00:00"/>
    <s v="ROCHE s.r.o."/>
    <m/>
    <n v="2357263.5"/>
    <n v="2640135.12"/>
    <m/>
    <m/>
    <m/>
    <d v="2024-08-15T00:00:00"/>
    <s v="SMLN-2024-617-100459"/>
    <x v="63"/>
    <d v="2024-09-02T00:00:00"/>
    <d v="2027-11-29T00:00:00"/>
  </r>
  <r>
    <d v="2024-05-06T00:00:00"/>
    <s v="VZ-2024-000392"/>
    <x v="1"/>
    <s v="Vlčková"/>
    <s v="Bodinková"/>
    <x v="219"/>
    <x v="0"/>
    <m/>
    <s v="zrušeno"/>
    <s v="09343000-5"/>
    <m/>
    <n v="3176250"/>
    <x v="0"/>
    <d v="2024-05-15T00:00:00"/>
    <d v="2024-06-19T00:00:00"/>
    <m/>
    <s v="zrušeno - úpravy dodacích podmínek"/>
    <s v="nová VZ-2024-000504"/>
    <m/>
    <m/>
    <m/>
    <m/>
    <m/>
    <m/>
    <m/>
    <x v="2"/>
    <d v="2024-06-25T00:00:00"/>
    <s v="7.6.2024 zrušeno"/>
  </r>
  <r>
    <d v="2024-05-06T00:00:00"/>
    <s v="VZ-2024-000393"/>
    <x v="1"/>
    <s v="Vlčková"/>
    <s v="Hašková"/>
    <x v="220"/>
    <x v="0"/>
    <m/>
    <s v="podepsaná smlouva"/>
    <s v="33661300-4"/>
    <m/>
    <n v="1744935"/>
    <x v="0"/>
    <d v="2024-05-14T00:00:00"/>
    <d v="2024-06-18T00:00:00"/>
    <d v="2024-07-02T00:00:00"/>
    <s v="Alliance Healthcare s.r.o."/>
    <m/>
    <n v="1718911.05"/>
    <n v="1925180.38"/>
    <m/>
    <m/>
    <m/>
    <d v="2024-07-02T00:00:00"/>
    <s v="SMLN-2024-617-100384"/>
    <x v="58"/>
    <d v="2024-07-25T00:00:00"/>
    <d v="2027-11-24T00:00:00"/>
  </r>
  <r>
    <d v="2024-05-09T00:00:00"/>
    <s v="VZ-2024-000395"/>
    <x v="5"/>
    <s v="Valtová"/>
    <s v="Zdražilová"/>
    <x v="221"/>
    <x v="0"/>
    <m/>
    <s v="hodnocení"/>
    <s v="33140000-3"/>
    <m/>
    <n v="1142480"/>
    <x v="0"/>
    <d v="2024-05-24T00:00:00"/>
    <d v="2024-08-07T00:00:00"/>
    <m/>
    <m/>
    <m/>
    <m/>
    <m/>
    <m/>
    <m/>
    <m/>
    <m/>
    <m/>
    <x v="2"/>
    <m/>
    <s v="14.10.2024 vyloučení CAMEDICA na podpis"/>
  </r>
  <r>
    <d v="2024-05-24T00:00:00"/>
    <s v="VZ-2024-000400"/>
    <x v="2"/>
    <s v="Skulová"/>
    <s v="Kučera"/>
    <x v="222"/>
    <x v="0"/>
    <m/>
    <s v="podepsaná smlouva"/>
    <s v="33100000-1"/>
    <s v="2.3.840."/>
    <n v="3715561.2"/>
    <x v="0"/>
    <d v="2024-06-04T00:00:00"/>
    <d v="2024-07-08T00:00:00"/>
    <d v="2024-08-07T00:00:00"/>
    <s v="MEDISTA s.r.o."/>
    <m/>
    <n v="2578665.38"/>
    <n v="3120185.12"/>
    <m/>
    <m/>
    <m/>
    <d v="2024-08-08T00:00:00"/>
    <s v="SMLN-2024-617-100443_x000a_SMLN-2024-612-100101_x000a_SMLN-2024-617-100444"/>
    <x v="82"/>
    <d v="2024-09-20T00:00:00"/>
    <d v="2024-09-27T00:00:00"/>
  </r>
  <r>
    <s v="VZ-2024-000207"/>
    <s v="VZ-2024-000401"/>
    <x v="2"/>
    <s v="Skulová"/>
    <s v="Zdražilová"/>
    <x v="223"/>
    <x v="0"/>
    <m/>
    <s v="podepsaná smlouva"/>
    <s v="33168100-6"/>
    <s v="2.3.784."/>
    <n v="5089999"/>
    <x v="0"/>
    <d v="2024-05-14T00:00:00"/>
    <d v="2024-06-19T00:00:00"/>
    <d v="2024-07-09T00:00:00"/>
    <s v="Olympus Czech Group, s.r.o., člen koncernu"/>
    <m/>
    <n v="5082500"/>
    <n v="6149825"/>
    <m/>
    <m/>
    <m/>
    <d v="2024-07-09T00:00:00"/>
    <s v="SMLN-2024-617-100387_x000a_SMLN-2024-612-100083"/>
    <x v="60"/>
    <d v="2024-08-12T00:00:00"/>
    <d v="2024-09-13T00:00:00"/>
  </r>
  <r>
    <d v="2024-05-10T00:00:00"/>
    <s v="VZ-2024-000402"/>
    <x v="0"/>
    <s v="Zeman"/>
    <s v="Kučera"/>
    <x v="224"/>
    <x v="0"/>
    <m/>
    <s v="podepsaná smlouva"/>
    <s v="45215100-8"/>
    <s v="1.3.31."/>
    <n v="9850000"/>
    <x v="2"/>
    <d v="2024-05-15T00:00:00"/>
    <d v="2024-06-05T00:00:00"/>
    <d v="2024-06-06T00:00:00"/>
    <s v="PTÁČEK - pozemní stavby s.r.o."/>
    <m/>
    <n v="10399788.939999999"/>
    <n v="12583744.619999999"/>
    <m/>
    <m/>
    <m/>
    <d v="2024-06-06T00:00:00"/>
    <s v="SMLN-2024-618-100026"/>
    <x v="62"/>
    <d v="2024-07-11T00:00:00"/>
    <m/>
  </r>
  <r>
    <d v="2024-05-13T00:00:00"/>
    <s v="VZ-2024-000403"/>
    <x v="5"/>
    <s v="Valtová"/>
    <s v="Zdražilová"/>
    <x v="225"/>
    <x v="0"/>
    <m/>
    <s v="podepsaná smlouva"/>
    <s v="33140000-3"/>
    <m/>
    <n v="2280992"/>
    <x v="0"/>
    <d v="2024-05-22T00:00:00"/>
    <d v="2024-07-01T00:00:00"/>
    <d v="2024-08-22T00:00:00"/>
    <s v="CAMEDICA PAWEŁ HARASIMIUK SPÓŁKA KOMANDYTOWA"/>
    <m/>
    <n v="716000"/>
    <n v="716000"/>
    <m/>
    <m/>
    <m/>
    <d v="2024-08-22T00:00:00"/>
    <s v="SMLN-2024-617-100472_x000a_SMLN-2024-614-100059"/>
    <x v="83"/>
    <d v="2024-09-20T00:00:00"/>
    <d v="2028-09-12T00:00:00"/>
  </r>
  <r>
    <d v="2024-05-22T00:00:00"/>
    <s v="VZ-2024-000404"/>
    <x v="2"/>
    <s v="Skulová"/>
    <s v="Kučera"/>
    <x v="226"/>
    <x v="0"/>
    <m/>
    <s v="zrušeno"/>
    <s v="33169000-2"/>
    <m/>
    <n v="202260"/>
    <x v="0"/>
    <d v="2024-05-30T00:00:00"/>
    <d v="2024-07-04T00:00:00"/>
    <m/>
    <s v="zrušeno - bez nabídky"/>
    <s v="nová VZ-2024-000541"/>
    <m/>
    <m/>
    <m/>
    <m/>
    <m/>
    <m/>
    <m/>
    <x v="2"/>
    <d v="2024-07-11T00:00:00"/>
    <s v="4.7.2024 zrušení na podpis"/>
  </r>
  <r>
    <d v="2024-05-17T00:00:00"/>
    <s v="VZ-2024-000405-01"/>
    <x v="3"/>
    <s v="Zemánková"/>
    <s v="Bodinková"/>
    <x v="227"/>
    <x v="1"/>
    <s v="Vyšetření autoprotilátek při podezření na celiakii"/>
    <s v="podepsaná smlouva"/>
    <s v="33694000-1"/>
    <m/>
    <n v="714067"/>
    <x v="1"/>
    <d v="2024-06-07T00:00:00"/>
    <d v="2024-07-01T00:00:00"/>
    <d v="2024-07-10T00:00:00"/>
    <s v="SEBIA Czech republic s.r.o."/>
    <m/>
    <n v="385416.82"/>
    <n v="466354.35"/>
    <m/>
    <m/>
    <m/>
    <d v="2024-07-10T00:00:00"/>
    <s v="SMLN-2024-617-100390"/>
    <x v="59"/>
    <d v="2024-07-17T00:00:00"/>
    <d v="2025-07-15T00:00:00"/>
  </r>
  <r>
    <d v="2024-05-17T00:00:00"/>
    <s v="VZ-2024-000405-02"/>
    <x v="3"/>
    <s v="Zemánková"/>
    <s v="Bodinková"/>
    <x v="227"/>
    <x v="2"/>
    <s v="Vyšetření autoprotilátek při podezření na systémová autoimunitní onemocnění a protilátky proti annexinu V."/>
    <s v="zrušeno"/>
    <s v="33694000-1"/>
    <m/>
    <n v="523755"/>
    <x v="1"/>
    <d v="2024-06-07T00:00:00"/>
    <d v="2024-07-01T00:00:00"/>
    <m/>
    <s v="zrušeno - bez hodnotitelné nabídky"/>
    <m/>
    <m/>
    <m/>
    <m/>
    <m/>
    <m/>
    <m/>
    <m/>
    <x v="2"/>
    <d v="2024-07-11T00:00:00"/>
    <m/>
  </r>
  <r>
    <d v="2024-05-17T00:00:00"/>
    <s v="VZ-2024-000405-03"/>
    <x v="3"/>
    <s v="Zemánková"/>
    <s v="Bodinková"/>
    <x v="227"/>
    <x v="3"/>
    <s v="Vyšetření autoprotilátek u vaskulitid, glomerulonefritid, zánětl. střevních onemocnění, imunokomplexových stavů"/>
    <s v="podepsaná smlouva"/>
    <s v="33694000-1"/>
    <m/>
    <n v="345492"/>
    <x v="1"/>
    <d v="2024-06-07T00:00:00"/>
    <d v="2024-07-01T00:00:00"/>
    <d v="2024-07-10T00:00:00"/>
    <s v="SEBIA Czech republic s.r.o."/>
    <m/>
    <n v="213484.09"/>
    <n v="258315.75"/>
    <m/>
    <m/>
    <m/>
    <d v="2024-07-10T00:00:00"/>
    <s v="SMLN-2024-617-100391"/>
    <x v="59"/>
    <d v="2024-07-17T00:00:00"/>
    <d v="2025-07-15T00:00:00"/>
  </r>
  <r>
    <d v="2024-05-15T00:00:00"/>
    <s v="VZ-2024-000406-01"/>
    <x v="1"/>
    <s v="Vondrková"/>
    <s v="Bodinková"/>
    <x v="228"/>
    <x v="1"/>
    <s v="KABOZANTINIB I."/>
    <s v="podepsaná smlouva"/>
    <s v="33652000-5"/>
    <m/>
    <n v="167963794.80000001"/>
    <x v="0"/>
    <d v="2024-05-21T00:00:00"/>
    <d v="2024-06-25T00:00:00"/>
    <d v="2024-08-09T00:00:00"/>
    <s v="Alliance Healthcare s.r.o."/>
    <m/>
    <n v="85529322.370000005"/>
    <n v="95792841.060000002"/>
    <m/>
    <m/>
    <m/>
    <d v="2024-08-09T00:00:00"/>
    <s v="SMLN-2024-617-100450"/>
    <x v="67"/>
    <d v="2024-09-24T00:00:00"/>
    <d v="2027-11-28T00:00:00"/>
  </r>
  <r>
    <d v="2024-05-15T00:00:00"/>
    <s v="VZ-2024-000406-02"/>
    <x v="1"/>
    <s v="Vondrková"/>
    <s v="Bodinková"/>
    <x v="228"/>
    <x v="2"/>
    <s v="KABOZANTINIB II."/>
    <s v="zrušeno"/>
    <s v="33652000-5"/>
    <m/>
    <n v="10343376"/>
    <x v="0"/>
    <d v="2024-05-21T00:00:00"/>
    <d v="2024-06-25T00:00:00"/>
    <m/>
    <s v="zrušeno - bez nabídky"/>
    <m/>
    <m/>
    <m/>
    <m/>
    <m/>
    <m/>
    <m/>
    <m/>
    <x v="2"/>
    <d v="2024-08-09T00:00:00"/>
    <s v="16.7.2024 zrušeno"/>
  </r>
  <r>
    <d v="2024-05-15T00:00:00"/>
    <s v="VZ-2024-000407"/>
    <x v="1"/>
    <s v="Vondrková"/>
    <s v="Staňková"/>
    <x v="229"/>
    <x v="0"/>
    <m/>
    <s v="podepsaná smlouva"/>
    <s v="33661200-3"/>
    <m/>
    <n v="1601198"/>
    <x v="1"/>
    <d v="2024-05-20T00:00:00"/>
    <d v="2024-06-10T00:00:00"/>
    <d v="2024-06-17T00:00:00"/>
    <s v="Alliance Healthcare s.r.o."/>
    <m/>
    <n v="1685859.36"/>
    <n v="1888162.48"/>
    <m/>
    <m/>
    <m/>
    <d v="2024-06-17T00:00:00"/>
    <s v="SMLN-2024-617-100356"/>
    <x v="78"/>
    <d v="2024-06-26T00:00:00"/>
    <d v="2027-06-25T00:00:00"/>
  </r>
  <r>
    <d v="2024-05-17T00:00:00"/>
    <s v="VZ-2024-000410"/>
    <x v="5"/>
    <s v="Dočkalová"/>
    <s v="Štýbnarová"/>
    <x v="230"/>
    <x v="0"/>
    <m/>
    <s v="zrušeno"/>
    <s v="33120000-7"/>
    <m/>
    <n v="680000"/>
    <x v="1"/>
    <d v="2024-05-24T00:00:00"/>
    <d v="2024-06-12T00:00:00"/>
    <m/>
    <s v="zrušeno - bez hodnotitelné nabídky"/>
    <s v="nová VZ-2024-000537"/>
    <m/>
    <m/>
    <m/>
    <m/>
    <m/>
    <m/>
    <m/>
    <x v="2"/>
    <d v="2024-06-25T00:00:00"/>
    <m/>
  </r>
  <r>
    <d v="2024-05-16T00:00:00"/>
    <s v="VZ-2024-000412"/>
    <x v="5"/>
    <s v="Dočkalová"/>
    <s v="Zdražilová"/>
    <x v="231"/>
    <x v="0"/>
    <m/>
    <s v="hodnocení"/>
    <s v="33184100-4, 33184600-9"/>
    <m/>
    <n v="2685356"/>
    <x v="0"/>
    <d v="2024-05-21T00:00:00"/>
    <d v="2024-08-20T00:00:00"/>
    <m/>
    <m/>
    <m/>
    <m/>
    <m/>
    <m/>
    <m/>
    <m/>
    <m/>
    <m/>
    <x v="2"/>
    <m/>
    <m/>
  </r>
  <r>
    <d v="2024-05-20T00:00:00"/>
    <s v="VZ-2024-000415"/>
    <x v="5"/>
    <s v="Dočkalová"/>
    <s v="Hašková"/>
    <x v="232"/>
    <x v="0"/>
    <m/>
    <s v="podepsaná smlouva"/>
    <s v="33141115-9"/>
    <m/>
    <n v="3882000"/>
    <x v="0"/>
    <d v="2024-05-28T00:00:00"/>
    <d v="2024-07-02T00:00:00"/>
    <d v="2024-07-31T00:00:00"/>
    <s v="Perfect Distribution a.s."/>
    <m/>
    <n v="4148000"/>
    <n v="4645760"/>
    <m/>
    <m/>
    <m/>
    <d v="2024-07-31T00:00:00"/>
    <s v="SMLN-2024-617-100427"/>
    <x v="72"/>
    <d v="2024-08-23T00:00:00"/>
    <d v="2028-10-24T00:00:00"/>
  </r>
  <r>
    <d v="2024-05-21T00:00:00"/>
    <s v="VZ-2024-000416"/>
    <x v="7"/>
    <s v="Pohlídal"/>
    <s v="Štýbnarová"/>
    <x v="233"/>
    <x v="0"/>
    <m/>
    <s v="podepsaná smlouva"/>
    <s v="30213100-6"/>
    <m/>
    <n v="1830000"/>
    <x v="1"/>
    <d v="2024-05-30T00:00:00"/>
    <d v="2024-06-10T00:00:00"/>
    <d v="2024-06-19T00:00:00"/>
    <s v="Aricoma Systems a.s."/>
    <m/>
    <n v="1476900"/>
    <n v="1787049"/>
    <m/>
    <m/>
    <m/>
    <d v="2024-06-19T00:00:00"/>
    <s v="SMLN-2024-617-100359"/>
    <x v="84"/>
    <d v="2024-06-27T00:00:00"/>
    <d v="2025-06-26T00:00:00"/>
  </r>
  <r>
    <d v="2024-05-27T00:00:00"/>
    <s v="VZ-2024-000418"/>
    <x v="5"/>
    <s v="Dočkalová"/>
    <s v="Štýbnarová"/>
    <x v="234"/>
    <x v="0"/>
    <m/>
    <s v="podepsaná smlouva"/>
    <s v="33191000-5"/>
    <m/>
    <n v="1630160"/>
    <x v="1"/>
    <d v="2024-06-05T00:00:00"/>
    <d v="2024-06-24T00:00:00"/>
    <d v="2024-07-02T00:00:00"/>
    <s v="UNIPRO - ALPHA C.S., spol. s r.o."/>
    <m/>
    <n v="1630160"/>
    <n v="1972493.6"/>
    <m/>
    <m/>
    <m/>
    <d v="2024-07-02T00:00:00"/>
    <s v="SMLN-2024-617-100381"/>
    <x v="43"/>
    <d v="2024-07-23T00:00:00"/>
    <d v="2028-07-22T00:00:00"/>
  </r>
  <r>
    <d v="2024-05-21T00:00:00"/>
    <s v="VZ-2024-000421"/>
    <x v="13"/>
    <s v="Hrabálek"/>
    <s v="Štýbnarová"/>
    <x v="235"/>
    <x v="0"/>
    <m/>
    <s v="podepsaná smlouva"/>
    <s v="55110000-4"/>
    <m/>
    <n v="700000"/>
    <x v="1"/>
    <d v="2024-05-24T00:00:00"/>
    <d v="2024-06-04T00:00:00"/>
    <d v="2024-06-19T00:00:00"/>
    <s v="HOTELPARK STADION a.s."/>
    <m/>
    <n v="621315.38"/>
    <n v="725450"/>
    <m/>
    <m/>
    <m/>
    <d v="2024-06-19T00:00:00"/>
    <s v="SMLN-2024-612-100073"/>
    <x v="85"/>
    <d v="2024-07-01T00:00:00"/>
    <d v="2024-10-22T00:00:00"/>
  </r>
  <r>
    <d v="2024-05-22T00:00:00"/>
    <s v="VZ-2024-000422-01"/>
    <x v="1"/>
    <s v="Vondrková"/>
    <s v="Hašková"/>
    <x v="236"/>
    <x v="1"/>
    <s v="Fentanyl I.V."/>
    <s v="podepsaná smlouva"/>
    <s v="33661200-3"/>
    <m/>
    <n v="33510"/>
    <x v="0"/>
    <d v="2024-06-05T00:00:00"/>
    <d v="2024-07-10T00:00:00"/>
    <d v="2024-08-15T00:00:00"/>
    <s v="Alliance Healthcare s.r.o."/>
    <m/>
    <n v="33484.5"/>
    <n v="37502.639999999999"/>
    <m/>
    <m/>
    <m/>
    <d v="2024-08-15T00:00:00"/>
    <s v="SMLN-2024-617-100457"/>
    <x v="86"/>
    <d v="2024-09-11T00:00:00"/>
    <d v="2027-09-08T00:00:00"/>
  </r>
  <r>
    <d v="2024-05-22T00:00:00"/>
    <s v="VZ-2024-000422-02"/>
    <x v="1"/>
    <s v="Vondrková"/>
    <s v="Hašková"/>
    <x v="236"/>
    <x v="2"/>
    <s v="Fentanyl"/>
    <s v="podepsaná smlouva"/>
    <s v="33661200-3"/>
    <m/>
    <n v="17007046"/>
    <x v="0"/>
    <d v="2024-06-05T00:00:00"/>
    <d v="2024-07-10T00:00:00"/>
    <d v="2024-08-15T00:00:00"/>
    <s v="Alliance Healthcare s.r.o."/>
    <m/>
    <n v="16954663.190000001"/>
    <n v="18989222.77"/>
    <m/>
    <m/>
    <m/>
    <d v="2024-08-15T00:00:00"/>
    <s v="SMLN-2024-617-100458"/>
    <x v="86"/>
    <d v="2024-09-11T00:00:00"/>
    <d v="2027-09-08T00:00:00"/>
  </r>
  <r>
    <d v="2024-05-21T00:00:00"/>
    <s v="VZ-2024-000423-01"/>
    <x v="1"/>
    <s v="Vlčková"/>
    <s v="Bodinková"/>
    <x v="237"/>
    <x v="1"/>
    <s v="Topiramat"/>
    <s v="zrušeno"/>
    <s v="33661300-4"/>
    <m/>
    <n v="418968"/>
    <x v="0"/>
    <d v="2024-05-27T00:00:00"/>
    <d v="2024-07-10T00:00:00"/>
    <m/>
    <s v="zrušeno - bez nabídky"/>
    <s v="nová VZ-2024-000616-01"/>
    <m/>
    <m/>
    <m/>
    <m/>
    <m/>
    <m/>
    <m/>
    <x v="2"/>
    <d v="2024-08-09T00:00:00"/>
    <s v="16.7.2024 zrušeno"/>
  </r>
  <r>
    <d v="2024-05-21T00:00:00"/>
    <s v="VZ-2024-000423-02"/>
    <x v="1"/>
    <s v="Vlčková"/>
    <s v="Bodinková"/>
    <x v="237"/>
    <x v="2"/>
    <s v="Levetiracetam"/>
    <s v="podepsaná smlouva"/>
    <s v="33661300-4"/>
    <m/>
    <n v="2161344"/>
    <x v="0"/>
    <d v="2024-05-27T00:00:00"/>
    <d v="2024-07-10T00:00:00"/>
    <d v="2024-08-22T00:00:00"/>
    <s v="PHOENIX lék. velkoobchod, s.r.o."/>
    <m/>
    <n v="2158188.09"/>
    <n v="2417170.66"/>
    <m/>
    <m/>
    <m/>
    <d v="2024-08-22T00:00:00"/>
    <s v="SMLN-2024-617-100474"/>
    <x v="87"/>
    <d v="2024-09-09T00:00:00"/>
    <d v="2027-11-14T00:00:00"/>
  </r>
  <r>
    <d v="2024-05-21T00:00:00"/>
    <s v="VZ-2024-000423-03"/>
    <x v="1"/>
    <s v="Vlčková"/>
    <s v="Bodinková"/>
    <x v="237"/>
    <x v="3"/>
    <s v="Lakosamid"/>
    <s v="zrušeno"/>
    <s v="33661300-4"/>
    <m/>
    <n v="1784961"/>
    <x v="0"/>
    <d v="2024-05-27T00:00:00"/>
    <d v="2024-07-10T00:00:00"/>
    <m/>
    <s v="zrušeno - bez nabídky"/>
    <s v="VZ-2024-000616-02/03"/>
    <m/>
    <m/>
    <m/>
    <m/>
    <m/>
    <m/>
    <m/>
    <x v="2"/>
    <d v="2024-08-09T00:00:00"/>
    <s v="16.7.2024 zrušeno"/>
  </r>
  <r>
    <d v="2024-05-22T00:00:00"/>
    <s v="VZ-2024-000424"/>
    <x v="0"/>
    <s v="Langer"/>
    <s v="Štýbnarová"/>
    <x v="125"/>
    <x v="0"/>
    <m/>
    <s v="podepsaná smlouva"/>
    <s v="71318000-0"/>
    <m/>
    <n v="1000000"/>
    <x v="1"/>
    <d v="2024-05-24T00:00:00"/>
    <d v="2024-06-04T00:00:00"/>
    <d v="2024-06-14T00:00:00"/>
    <s v="BIM Consulting s.r.o."/>
    <m/>
    <n v="654791.5"/>
    <n v="828850"/>
    <m/>
    <m/>
    <m/>
    <d v="2024-06-14T00:00:00"/>
    <s v="SMLN-2024-612-100072"/>
    <x v="60"/>
    <d v="2024-07-31T00:00:00"/>
    <m/>
  </r>
  <r>
    <d v="2024-06-05T00:00:00"/>
    <s v="VZ-2024-000426"/>
    <x v="1"/>
    <s v="Vlčková"/>
    <s v="Hašková"/>
    <x v="238"/>
    <x v="0"/>
    <m/>
    <s v="zrušeno"/>
    <s v="33652300-8"/>
    <m/>
    <n v="24900000"/>
    <x v="0"/>
    <d v="2024-07-11T00:00:00"/>
    <d v="2024-07-16T00:00:00"/>
    <m/>
    <s v="zrušeno - bez nabídky"/>
    <s v="nová VZ-2024-000626"/>
    <m/>
    <m/>
    <m/>
    <m/>
    <m/>
    <m/>
    <m/>
    <x v="2"/>
    <d v="2024-07-31T00:00:00"/>
    <m/>
  </r>
  <r>
    <d v="2024-05-23T00:00:00"/>
    <s v="VZ-2024-000428"/>
    <x v="1"/>
    <s v="Vlčková"/>
    <s v="Bodinková"/>
    <x v="239"/>
    <x v="0"/>
    <m/>
    <s v="podepsaná smlouva"/>
    <s v="33621100-0"/>
    <m/>
    <n v="820200"/>
    <x v="0"/>
    <d v="2024-07-11T00:00:00"/>
    <d v="2024-07-16T00:00:00"/>
    <d v="2024-08-28T00:00:00"/>
    <s v="Alliance Healthcare s.r.o."/>
    <m/>
    <n v="820200"/>
    <n v="918624"/>
    <m/>
    <m/>
    <m/>
    <d v="2024-08-28T00:00:00"/>
    <s v="SMLN-2024-617-100481"/>
    <x v="45"/>
    <d v="2024-09-20T00:00:00"/>
    <d v="2026-03-29T00:00:00"/>
  </r>
  <r>
    <d v="2024-06-11T00:00:00"/>
    <s v="VZ-2024-000430"/>
    <x v="8"/>
    <s v="Novák"/>
    <s v="Staňková"/>
    <x v="240"/>
    <x v="0"/>
    <m/>
    <s v="zrušeno"/>
    <s v="33194100-7"/>
    <m/>
    <n v="810000"/>
    <x v="1"/>
    <d v="2024-06-20T00:00:00"/>
    <d v="2024-07-01T00:00:00"/>
    <m/>
    <s v="zrušeno - neekonomická nabídka"/>
    <s v="nová VZ-2024-000556"/>
    <m/>
    <m/>
    <m/>
    <m/>
    <m/>
    <m/>
    <m/>
    <x v="2"/>
    <d v="2024-07-09T00:00:00"/>
    <m/>
  </r>
  <r>
    <d v="2024-05-24T00:00:00"/>
    <s v="VZ-2024-000431"/>
    <x v="2"/>
    <s v="Skulová"/>
    <s v="Staňková"/>
    <x v="241"/>
    <x v="0"/>
    <m/>
    <s v="podepsaná smlouva"/>
    <s v="33100000-1"/>
    <s v="2.2.635."/>
    <n v="40000"/>
    <x v="1"/>
    <d v="2024-05-29T00:00:00"/>
    <d v="2024-06-10T00:00:00"/>
    <d v="2024-06-17T00:00:00"/>
    <s v="Petr Kubálek"/>
    <m/>
    <n v="40000"/>
    <n v="48400"/>
    <m/>
    <m/>
    <m/>
    <d v="2024-06-17T00:00:00"/>
    <s v="SMLN-2024-617-100353"/>
    <x v="88"/>
    <d v="2024-07-16T00:00:00"/>
    <d v="2024-09-09T00:00:00"/>
  </r>
  <r>
    <d v="2024-05-24T00:00:00"/>
    <s v="VZ-2024-000432"/>
    <x v="6"/>
    <s v="Kadlec"/>
    <s v="Staňková"/>
    <x v="242"/>
    <x v="0"/>
    <m/>
    <s v="podepsaná smlouva"/>
    <s v="45233100-0"/>
    <m/>
    <n v="450000"/>
    <x v="1"/>
    <d v="2024-05-30T00:00:00"/>
    <d v="2024-06-10T00:00:00"/>
    <d v="2024-06-25T00:00:00"/>
    <s v="GALVA TRANS, s.r.o."/>
    <m/>
    <n v="215236.64"/>
    <n v="260436.33"/>
    <m/>
    <m/>
    <m/>
    <d v="2024-06-25T00:00:00"/>
    <s v="SMLN-2024-618-100030"/>
    <x v="85"/>
    <d v="2024-07-01T00:00:00"/>
    <m/>
  </r>
  <r>
    <d v="2024-05-28T00:00:00"/>
    <s v="VZ-2024-000433"/>
    <x v="2"/>
    <s v="Skulová"/>
    <s v="Štýbnarová"/>
    <x v="243"/>
    <x v="0"/>
    <m/>
    <s v="zrušeno"/>
    <s v="33162000-3"/>
    <s v="2.3.787."/>
    <n v="539312"/>
    <x v="1"/>
    <d v="2024-05-29T00:00:00"/>
    <d v="2024-06-17T00:00:00"/>
    <m/>
    <s v="zrušeno - bez nabídky"/>
    <m/>
    <m/>
    <m/>
    <m/>
    <m/>
    <m/>
    <m/>
    <m/>
    <x v="2"/>
    <d v="2024-06-17T00:00:00"/>
    <m/>
  </r>
  <r>
    <d v="2024-05-27T00:00:00"/>
    <s v="VZ-2024-000434"/>
    <x v="13"/>
    <s v="Hrabálek"/>
    <s v="Staňková"/>
    <x v="244"/>
    <x v="0"/>
    <m/>
    <s v="podepsaná smlouva"/>
    <s v="92000000-1"/>
    <m/>
    <n v="800000"/>
    <x v="1"/>
    <d v="2024-05-30T00:00:00"/>
    <d v="2024-06-10T00:00:00"/>
    <d v="2024-06-24T00:00:00"/>
    <s v="Gm5 s.r.o."/>
    <m/>
    <n v="785000"/>
    <n v="949850"/>
    <m/>
    <m/>
    <m/>
    <d v="2024-06-24T00:00:00"/>
    <s v="SMLN-2024-612-100078"/>
    <x v="89"/>
    <d v="2024-07-22T00:00:00"/>
    <d v="2024-09-13T00:00:00"/>
  </r>
  <r>
    <d v="2024-05-29T00:00:00"/>
    <s v="VZ-2024-000435"/>
    <x v="5"/>
    <s v="Dočkalová"/>
    <s v="Hašková"/>
    <x v="245"/>
    <x v="0"/>
    <m/>
    <s v="zrušeno"/>
    <s v="33140000-3"/>
    <m/>
    <n v="3050000"/>
    <x v="2"/>
    <d v="2024-06-06T00:00:00"/>
    <d v="2024-06-27T00:00:00"/>
    <m/>
    <s v="zrušeno - bez nabídky"/>
    <m/>
    <m/>
    <m/>
    <m/>
    <m/>
    <m/>
    <m/>
    <m/>
    <x v="2"/>
    <d v="2024-07-08T00:00:00"/>
    <s v="27.6.2024 zrušení na podpis"/>
  </r>
  <r>
    <d v="2024-06-03T00:00:00"/>
    <s v="VZ-2024-000437-01"/>
    <x v="1"/>
    <s v="Vondrková"/>
    <s v="Bodinková"/>
    <x v="246"/>
    <x v="1"/>
    <s v="ENTERÁLNÍ VÝŽIVA I."/>
    <s v="podepsaná smlouva"/>
    <s v="15880000-0"/>
    <m/>
    <n v="8749589"/>
    <x v="0"/>
    <d v="2024-06-07T00:00:00"/>
    <d v="2024-07-12T00:00:00"/>
    <d v="2024-08-21T00:00:00"/>
    <s v="Fresenius Kabi s.r.o."/>
    <m/>
    <n v="6340461.7800000003"/>
    <n v="7102170.0700000003"/>
    <m/>
    <m/>
    <m/>
    <d v="2024-08-21T00:00:00"/>
    <s v="SMLN-2024-617-100469"/>
    <x v="67"/>
    <d v="2024-09-23T00:00:00"/>
    <d v="2027-09-19T00:00:00"/>
  </r>
  <r>
    <d v="2024-06-03T00:00:00"/>
    <s v="VZ-2024-000437-02"/>
    <x v="1"/>
    <s v="Vondrková"/>
    <s v="Bodinková"/>
    <x v="246"/>
    <x v="2"/>
    <s v="ENTERÁLNÍ VÝŽIVA II."/>
    <s v="zrušeno"/>
    <s v="15880000-0"/>
    <m/>
    <n v="78171"/>
    <x v="0"/>
    <d v="2024-06-07T00:00:00"/>
    <d v="2024-07-12T00:00:00"/>
    <m/>
    <s v="zrušeno - bez hodnotitelné nabídky"/>
    <m/>
    <m/>
    <m/>
    <m/>
    <m/>
    <m/>
    <m/>
    <m/>
    <x v="2"/>
    <d v="2024-09-23T00:00:00"/>
    <s v="27.8.2024 zrušeno "/>
  </r>
  <r>
    <d v="2024-05-30T00:00:00"/>
    <s v="VZ-2024-000440"/>
    <x v="2"/>
    <s v="Skulová"/>
    <s v="Zdražilová"/>
    <x v="247"/>
    <x v="0"/>
    <m/>
    <s v="podepsaná smlouva"/>
    <s v="33168100-6"/>
    <s v="2.3.848."/>
    <n v="150000"/>
    <x v="0"/>
    <d v="2024-06-04T00:00:00"/>
    <d v="2024-07-10T00:00:00"/>
    <d v="2024-07-22T00:00:00"/>
    <s v="Olympus Czech Group, s.r.o., člen koncernu"/>
    <m/>
    <n v="150000"/>
    <n v="181500"/>
    <m/>
    <m/>
    <m/>
    <d v="2024-07-22T00:00:00"/>
    <s v="SMLN-2024-617-100415_x000a_SMLN-2024-612-100092"/>
    <x v="90"/>
    <d v="2024-08-27T00:00:00"/>
    <d v="2024-10-11T00:00:00"/>
  </r>
  <r>
    <d v="2024-06-04T00:00:00"/>
    <s v="VZ-2024-000444"/>
    <x v="1"/>
    <s v="Vondrková"/>
    <s v="Bodinková"/>
    <x v="248"/>
    <x v="0"/>
    <m/>
    <s v="zrušeno"/>
    <s v="33652300-8"/>
    <m/>
    <n v="3069472"/>
    <x v="4"/>
    <d v="2024-06-07T00:00:00"/>
    <d v="2024-06-20T00:00:00"/>
    <m/>
    <s v="zrušeno - bez hodnotitelné nabídky - špatné zadání"/>
    <s v="nová VZ-2024-000544"/>
    <m/>
    <m/>
    <m/>
    <m/>
    <m/>
    <m/>
    <m/>
    <x v="2"/>
    <d v="2024-07-04T00:00:00"/>
    <s v="4.7.2024 zrušeno"/>
  </r>
  <r>
    <d v="2024-06-17T00:00:00"/>
    <s v="VZ-2024-000445"/>
    <x v="5"/>
    <s v="Dočkalová"/>
    <s v="Štýbnarová"/>
    <x v="249"/>
    <x v="0"/>
    <m/>
    <s v="podepsaná smlouva"/>
    <s v="33162100-4"/>
    <m/>
    <n v="1170000"/>
    <x v="1"/>
    <d v="2024-06-20T00:00:00"/>
    <d v="2024-07-01T00:00:00"/>
    <d v="2024-07-11T00:00:00"/>
    <s v="S.A.B. Impex, s.r.o."/>
    <m/>
    <n v="1170000"/>
    <n v="1310400"/>
    <m/>
    <m/>
    <m/>
    <d v="2024-07-11T00:00:00"/>
    <s v="SMLN-2024-617-100400_x000a_SMLN-2024-616-100052"/>
    <x v="59"/>
    <d v="2024-07-17T00:00:00"/>
    <d v="2026-07-15T00:00:00"/>
  </r>
  <r>
    <d v="2024-06-05T00:00:00"/>
    <s v="VZ-2024-000447"/>
    <x v="0"/>
    <s v="Spáčil Z."/>
    <s v="Kučera"/>
    <x v="250"/>
    <x v="0"/>
    <m/>
    <s v="smlouva v kolečku"/>
    <s v="71000000-8"/>
    <s v="1.2.117."/>
    <n v="8250000"/>
    <x v="0"/>
    <d v="2024-06-19T00:00:00"/>
    <d v="2024-07-23T00:00:00"/>
    <d v="2024-09-10T00:00:00"/>
    <s v="STYLE STUDIO s.r.o."/>
    <m/>
    <n v="3848000"/>
    <n v="4656080"/>
    <m/>
    <m/>
    <m/>
    <d v="2024-09-10T00:00:00"/>
    <s v="SMLN-2024-618-100049"/>
    <x v="2"/>
    <m/>
    <m/>
  </r>
  <r>
    <s v="VZ-2024-000034"/>
    <s v="VZ-2024-000449"/>
    <x v="1"/>
    <s v="Vondrková"/>
    <s v="Staňková"/>
    <x v="251"/>
    <x v="0"/>
    <m/>
    <s v="podepsaná smlouva"/>
    <s v="33652000-5"/>
    <m/>
    <n v="933255"/>
    <x v="1"/>
    <d v="2024-06-06T00:00:00"/>
    <d v="2024-06-17T00:00:00"/>
    <d v="2024-06-26T00:00:00"/>
    <s v="Fresenius Kabi s.r.o."/>
    <m/>
    <n v="933246.83"/>
    <n v="1045236.45"/>
    <m/>
    <m/>
    <m/>
    <d v="2024-06-26T00:00:00"/>
    <s v="SMLN-2024-617-100375"/>
    <x v="91"/>
    <d v="2024-07-10T00:00:00"/>
    <d v="2027-07-08T00:00:00"/>
  </r>
  <r>
    <d v="2024-06-11T00:00:00"/>
    <s v="VZ-2024-000450-01"/>
    <x v="5"/>
    <s v="Valtová"/>
    <s v="Zdražilová"/>
    <x v="252"/>
    <x v="1"/>
    <s v="Samoexpandibilní stentgrafty vaskulární periferní I."/>
    <s v="podepsaná smlouva"/>
    <s v="33140000-3"/>
    <m/>
    <n v="1600000"/>
    <x v="0"/>
    <d v="2024-06-14T00:00:00"/>
    <d v="2024-07-19T00:00:00"/>
    <d v="2024-08-16T00:00:00"/>
    <s v="Becton Dickinson Czechia, s.r.o."/>
    <m/>
    <n v="1580000"/>
    <n v="1769600"/>
    <m/>
    <m/>
    <m/>
    <d v="2024-08-16T00:00:00"/>
    <s v="SMLN-2024-617-100461_x000a_SMLN-2024-614-100055"/>
    <x v="86"/>
    <d v="2024-09-20T00:00:00"/>
    <d v="2028-10-24T00:00:00"/>
  </r>
  <r>
    <d v="2024-06-11T00:00:00"/>
    <s v="VZ-2024-000450-02"/>
    <x v="5"/>
    <s v="Valtová"/>
    <s v="Zdražilová"/>
    <x v="252"/>
    <x v="2"/>
    <s v="Samoexpandibilní stentgrafty vaskulární periferní II."/>
    <s v="podepsaná smlouva"/>
    <s v="33140000-3"/>
    <m/>
    <n v="16791330"/>
    <x v="0"/>
    <d v="2024-06-14T00:00:00"/>
    <d v="2024-07-19T00:00:00"/>
    <d v="2024-08-16T00:00:00"/>
    <s v="MEDITRADE spol. s r.o."/>
    <m/>
    <n v="16791329.760000002"/>
    <n v="18806289.329999998"/>
    <m/>
    <m/>
    <m/>
    <d v="2024-08-16T00:00:00"/>
    <s v="SMLN-2024-617-100462_x000a_SMLN-2024-617-100463_x000a_SMLN-2024-614-100056"/>
    <x v="86"/>
    <d v="2024-09-20T00:00:00"/>
    <d v="2028-10-24T00:00:00"/>
  </r>
  <r>
    <d v="2024-06-11T00:00:00"/>
    <s v="VZ-2024-000450-03"/>
    <x v="5"/>
    <s v="Valtová"/>
    <s v="Zdražilová"/>
    <x v="252"/>
    <x v="3"/>
    <s v="Balónexpandibilní stentgrafty vaskulární"/>
    <s v="podepsaná smlouva"/>
    <s v="33140000-3"/>
    <m/>
    <n v="3150000"/>
    <x v="0"/>
    <d v="2024-06-14T00:00:00"/>
    <d v="2024-07-19T00:00:00"/>
    <d v="2024-08-16T00:00:00"/>
    <s v="VarioMedical Plus, s.r.o."/>
    <m/>
    <n v="3150000"/>
    <n v="3528000"/>
    <m/>
    <m/>
    <m/>
    <d v="2024-08-16T00:00:00"/>
    <s v="SMLN-2024-617-100464_x000a_SMLN-2024-614-100057"/>
    <x v="86"/>
    <d v="2024-09-20T00:00:00"/>
    <d v="2029-01-20T00:00:00"/>
  </r>
  <r>
    <d v="2024-06-11T00:00:00"/>
    <s v="VZ-2024-000450-04"/>
    <x v="5"/>
    <s v="Valtová"/>
    <s v="Zdražilová"/>
    <x v="252"/>
    <x v="4"/>
    <s v="Stentgrafty vaskulární do TIPS"/>
    <s v="podepsaná smlouva"/>
    <s v="33140000-3"/>
    <m/>
    <n v="3966000"/>
    <x v="0"/>
    <d v="2024-06-14T00:00:00"/>
    <d v="2024-07-19T00:00:00"/>
    <d v="2024-08-16T00:00:00"/>
    <s v="MEDITRADE spol. s r.o."/>
    <m/>
    <n v="3966000"/>
    <n v="4441920"/>
    <m/>
    <m/>
    <m/>
    <d v="2024-08-16T00:00:00"/>
    <s v="SMLN-2024-617-100465_x000a_SMLN-2024-614-100058"/>
    <x v="86"/>
    <d v="2024-09-20T00:00:00"/>
    <d v="2028-10-24T00:00:00"/>
  </r>
  <r>
    <d v="2024-06-05T00:00:00"/>
    <s v="VZ-2024-000452"/>
    <x v="6"/>
    <s v="Srovnal"/>
    <s v="Kučera"/>
    <x v="253"/>
    <x v="0"/>
    <m/>
    <s v="podepsaná smlouva"/>
    <s v="39314000-6"/>
    <m/>
    <n v="3718000"/>
    <x v="0"/>
    <d v="2024-07-02T00:00:00"/>
    <d v="2024-08-05T00:00:00"/>
    <d v="2024-08-21T00:00:00"/>
    <s v="MGVIVA a.s."/>
    <m/>
    <n v="3447000"/>
    <n v="4170870"/>
    <m/>
    <m/>
    <m/>
    <d v="2024-08-21T00:00:00"/>
    <s v="SMLN-2024-617-100470"/>
    <x v="82"/>
    <d v="2024-09-24T00:00:00"/>
    <m/>
  </r>
  <r>
    <d v="2024-06-06T00:00:00"/>
    <s v="VZ-2024-000454"/>
    <x v="2"/>
    <s v="Skulová"/>
    <s v="Štýbnarová"/>
    <x v="254"/>
    <x v="0"/>
    <m/>
    <s v="podepsaná smlouva"/>
    <s v="33166000-1"/>
    <s v="2.2.639."/>
    <n v="38900"/>
    <x v="1"/>
    <d v="2024-06-12T00:00:00"/>
    <d v="2024-06-24T00:00:00"/>
    <d v="2024-07-11T00:00:00"/>
    <s v="Viamed s.r.o."/>
    <m/>
    <n v="38900"/>
    <n v="47069"/>
    <m/>
    <m/>
    <m/>
    <d v="2024-07-11T00:00:00"/>
    <s v="SMLN-2024-617-100399"/>
    <x v="59"/>
    <d v="2024-07-17T00:00:00"/>
    <d v="2024-08-15T00:00:00"/>
  </r>
  <r>
    <d v="2024-06-11T00:00:00"/>
    <s v="VZ-2024-000455"/>
    <x v="2"/>
    <s v="Skulová"/>
    <s v="Zdražilová"/>
    <x v="255"/>
    <x v="0"/>
    <m/>
    <s v="zrušeno"/>
    <s v="33150000-6"/>
    <s v="2.3.841."/>
    <n v="266900"/>
    <x v="0"/>
    <d v="2024-07-17T00:00:00"/>
    <d v="2024-08-22T00:00:00"/>
    <m/>
    <s v="zrušeno - spatně vyplněný KL"/>
    <s v="nová VZ-2024-000739"/>
    <m/>
    <m/>
    <m/>
    <m/>
    <m/>
    <m/>
    <m/>
    <x v="2"/>
    <d v="2024-09-19T00:00:00"/>
    <s v="17.9.2024 zrušeno"/>
  </r>
  <r>
    <d v="2024-06-06T00:00:00"/>
    <s v="VZ-2024-000456"/>
    <x v="2"/>
    <s v="Skulová"/>
    <s v="Staňková"/>
    <x v="256"/>
    <x v="0"/>
    <m/>
    <s v="podepsaná smlouva"/>
    <s v="33111650-2"/>
    <s v="2.2.634."/>
    <n v="800000"/>
    <x v="1"/>
    <d v="2024-06-10T00:00:00"/>
    <d v="2024-06-21T00:00:00"/>
    <d v="2024-07-02T00:00:00"/>
    <s v="Stargen EU s.r.o."/>
    <m/>
    <n v="800000"/>
    <n v="968000"/>
    <m/>
    <m/>
    <m/>
    <d v="2024-07-02T00:00:00"/>
    <s v="SMLN-2024-617-100380"/>
    <x v="81"/>
    <d v="2024-07-12T00:00:00"/>
    <d v="2024-10-10T00:00:00"/>
  </r>
  <r>
    <d v="2024-06-17T00:00:00"/>
    <s v="VZ-2024-000457"/>
    <x v="11"/>
    <s v="Klimek"/>
    <s v="Staňková"/>
    <x v="257"/>
    <x v="0"/>
    <m/>
    <s v="podepsaná smlouva"/>
    <s v="34351100-3"/>
    <m/>
    <n v="600000"/>
    <x v="1"/>
    <d v="2024-06-26T00:00:00"/>
    <d v="2024-07-08T00:00:00"/>
    <d v="2024-07-11T00:00:00"/>
    <s v="PNEUCENTRUM N &amp; N s.r.o."/>
    <m/>
    <n v="687000"/>
    <n v="831270"/>
    <m/>
    <m/>
    <m/>
    <d v="2024-07-11T00:00:00"/>
    <s v="SMLN-2024-617-100397"/>
    <x v="59"/>
    <d v="2024-07-17T00:00:00"/>
    <d v="2026-07-15T00:00:00"/>
  </r>
  <r>
    <d v="2024-06-27T00:00:00"/>
    <s v="VZ-2024-000458"/>
    <x v="3"/>
    <s v="Zemánková"/>
    <s v="Bodinková"/>
    <x v="258"/>
    <x v="0"/>
    <m/>
    <s v="hodnocení"/>
    <s v="33694000-1_x000a_72316000-3_x000a_48814000-7"/>
    <m/>
    <n v="15304170"/>
    <x v="0"/>
    <d v="2024-07-15T00:00:00"/>
    <d v="2024-09-26T00:00:00"/>
    <m/>
    <m/>
    <m/>
    <m/>
    <m/>
    <m/>
    <m/>
    <m/>
    <m/>
    <m/>
    <x v="2"/>
    <m/>
    <m/>
  </r>
  <r>
    <d v="2024-06-10T00:00:00"/>
    <s v="VZ-2024-000464"/>
    <x v="13"/>
    <s v="Hrabálek"/>
    <s v="Staňková"/>
    <x v="259"/>
    <x v="0"/>
    <m/>
    <s v="podepsaná smlouva"/>
    <s v="55120000-7"/>
    <m/>
    <n v="1300000"/>
    <x v="1"/>
    <d v="2024-06-12T00:00:00"/>
    <d v="2024-06-24T00:00:00"/>
    <d v="2024-06-26T00:00:00"/>
    <s v="HOTELPARK STADION a.s."/>
    <m/>
    <n v="1065565.75"/>
    <n v="1234400"/>
    <m/>
    <m/>
    <m/>
    <d v="2024-06-26T00:00:00"/>
    <s v="SMLN-2024-612-100080"/>
    <x v="88"/>
    <d v="2024-07-16T00:00:00"/>
    <d v="2024-09-18T00:00:00"/>
  </r>
  <r>
    <d v="2024-06-11T00:00:00"/>
    <s v="VZ-2024-000465"/>
    <x v="13"/>
    <s v="Hrabálek"/>
    <s v="Štýbnarová"/>
    <x v="260"/>
    <x v="0"/>
    <m/>
    <s v="podepsaná smlouva"/>
    <s v="92000000-1"/>
    <m/>
    <n v="430000"/>
    <x v="1"/>
    <d v="2024-06-17T00:00:00"/>
    <d v="2024-06-28T00:00:00"/>
    <d v="2024-07-09T00:00:00"/>
    <s v="Výstaviště Flóra Olomouc a.s."/>
    <m/>
    <n v="401110"/>
    <n v="485343.1"/>
    <m/>
    <m/>
    <m/>
    <d v="2024-07-09T00:00:00"/>
    <s v="SMLN-2024-612-100084"/>
    <x v="92"/>
    <d v="2024-07-26T00:00:00"/>
    <d v="2025-02-21T00:00:00"/>
  </r>
  <r>
    <d v="2024-06-13T00:00:00"/>
    <s v="VZ-2024-000468-01"/>
    <x v="2"/>
    <s v="Skulová"/>
    <s v="Staňková"/>
    <x v="261"/>
    <x v="1"/>
    <s v="Farmaceutická lednice pro Oční kliniku"/>
    <s v="podepsaná smlouva"/>
    <s v="39711100-0"/>
    <m/>
    <n v="123000"/>
    <x v="1"/>
    <d v="2024-06-20T00:00:00"/>
    <d v="2024-07-17T00:00:00"/>
    <d v="2024-07-31T00:00:00"/>
    <s v="KRD - obchodní společnost s.r.o."/>
    <m/>
    <n v="74690"/>
    <n v="90374.9"/>
    <m/>
    <m/>
    <m/>
    <d v="2024-07-31T00:00:00"/>
    <s v="SMLN-2024-617-100429_x000a_SMLN-2024-612-100096"/>
    <x v="27"/>
    <d v="2024-08-28T00:00:00"/>
    <d v="2024-11-19T00:00:00"/>
  </r>
  <r>
    <d v="2024-06-13T00:00:00"/>
    <s v="VZ-2024-000468-02"/>
    <x v="2"/>
    <s v="Skulová"/>
    <s v="Staňková"/>
    <x v="261"/>
    <x v="2"/>
    <s v="Laboratorní mrazák pro HOK"/>
    <s v="podepsaná smlouva"/>
    <s v="39711100-0"/>
    <s v="2.3.839"/>
    <n v="112000"/>
    <x v="1"/>
    <d v="2024-06-20T00:00:00"/>
    <d v="2024-07-17T00:00:00"/>
    <d v="2024-07-31T00:00:00"/>
    <s v="SCHOELLER INSTRUMENTS, s.r.o."/>
    <m/>
    <n v="83500"/>
    <n v="101035"/>
    <m/>
    <m/>
    <m/>
    <d v="2024-07-31T00:00:00"/>
    <s v="SMLN-2024-617-100430_x000a_SMLN-2024-612-100097"/>
    <x v="74"/>
    <d v="2024-08-13T00:00:00"/>
    <d v="2024-10-12T00:00:00"/>
  </r>
  <r>
    <d v="2024-06-13T00:00:00"/>
    <s v="VZ-2024-000468-03"/>
    <x v="2"/>
    <s v="Skulová"/>
    <s v="Staňková"/>
    <x v="261"/>
    <x v="3"/>
    <s v="Laboratorní lednice pro HOK"/>
    <s v="podepsaná smlouva"/>
    <s v="39711100-0"/>
    <s v="2.3.839"/>
    <n v="222000"/>
    <x v="1"/>
    <d v="2024-06-20T00:00:00"/>
    <d v="2024-07-17T00:00:00"/>
    <d v="2024-07-31T00:00:00"/>
    <s v="SCHOELLER INSTRUMENTS, s.r.o."/>
    <m/>
    <n v="164200"/>
    <n v="198682"/>
    <m/>
    <m/>
    <m/>
    <d v="2024-07-31T00:00:00"/>
    <s v="SMLN-2024-617-100431_x000a_SMLN-2024-612-100098"/>
    <x v="74"/>
    <d v="2024-08-13T00:00:00"/>
    <d v="2024-10-12T00:00:00"/>
  </r>
  <r>
    <d v="2024-06-13T00:00:00"/>
    <s v="VZ-2024-000469"/>
    <x v="2"/>
    <s v="Skulová"/>
    <s v="Štýbnarová"/>
    <x v="262"/>
    <x v="0"/>
    <m/>
    <s v="podepsaná smlouva"/>
    <s v="33152000-0"/>
    <s v="2.2.641"/>
    <n v="188000"/>
    <x v="1"/>
    <d v="2024-06-19T00:00:00"/>
    <d v="2024-07-01T00:00:00"/>
    <d v="2024-07-11T00:00:00"/>
    <s v="LINEQ s.r.o."/>
    <m/>
    <n v="159278"/>
    <n v="192726.38"/>
    <m/>
    <m/>
    <m/>
    <d v="2024-07-11T00:00:00"/>
    <s v="SMLN-2024-617-100398"/>
    <x v="59"/>
    <d v="2024-07-17T00:00:00"/>
    <d v="2024-09-14T00:00:00"/>
  </r>
  <r>
    <d v="2024-06-18T00:00:00"/>
    <s v="VZ-2024-000470"/>
    <x v="1"/>
    <s v="Vondrková"/>
    <s v="Bodinková"/>
    <x v="263"/>
    <x v="0"/>
    <m/>
    <s v="podepsaná smlouva"/>
    <s v="33652100-6"/>
    <m/>
    <n v="495811638"/>
    <x v="0"/>
    <d v="2024-06-21T00:00:00"/>
    <d v="2024-07-26T00:00:00"/>
    <d v="2024-08-26T00:00:00"/>
    <s v="Bristol-Myers Squibb spol. s r.o."/>
    <m/>
    <n v="495811616.83999997"/>
    <n v="555309010.86000001"/>
    <m/>
    <m/>
    <m/>
    <d v="2024-08-26T00:00:00"/>
    <s v="SMLN-2024-617-100475"/>
    <x v="73"/>
    <d v="2024-09-05T00:00:00"/>
    <d v="2027-09-02T00:00:00"/>
  </r>
  <r>
    <d v="2024-06-13T00:00:00"/>
    <s v="VZ-2024-000472"/>
    <x v="6"/>
    <s v="Srovnal"/>
    <s v="Kučera"/>
    <x v="264"/>
    <x v="0"/>
    <m/>
    <s v="podepsaná smlouva"/>
    <s v="39151000-5"/>
    <m/>
    <n v="710000"/>
    <x v="4"/>
    <d v="2024-06-19T00:00:00"/>
    <d v="2024-07-16T00:00:00"/>
    <d v="2024-08-12T00:00:00"/>
    <s v="AL LOGIC s.r.o."/>
    <m/>
    <n v="886704"/>
    <n v="1072911.8400000001"/>
    <m/>
    <m/>
    <m/>
    <d v="2024-08-12T00:00:00"/>
    <s v="SMLN-2024-618-100043"/>
    <x v="80"/>
    <d v="2024-09-10T00:00:00"/>
    <m/>
  </r>
  <r>
    <d v="2024-06-24T00:00:00"/>
    <s v="VZ-2024-000474"/>
    <x v="8"/>
    <s v="Novák"/>
    <s v="Štýbnarová"/>
    <x v="265"/>
    <x v="0"/>
    <m/>
    <s v="smlouva v kolečku"/>
    <s v="42131141-6"/>
    <m/>
    <n v="1200000"/>
    <x v="1"/>
    <d v="2024-06-27T00:00:00"/>
    <d v="2024-07-25T00:00:00"/>
    <d v="2024-10-09T00:00:00"/>
    <s v="POLYMED medical CZ, a.s."/>
    <m/>
    <n v="749880"/>
    <n v="907354.8"/>
    <m/>
    <m/>
    <m/>
    <d v="2024-10-09T00:00:00"/>
    <s v="SMLN-2024-617-100547"/>
    <x v="2"/>
    <m/>
    <m/>
  </r>
  <r>
    <d v="2024-06-14T00:00:00"/>
    <s v="VZ-2024-000475"/>
    <x v="13"/>
    <s v="Hrabálek"/>
    <s v="Štýbnarová"/>
    <x v="266"/>
    <x v="0"/>
    <m/>
    <s v="podepsaná smlouva"/>
    <s v="92222000-3"/>
    <m/>
    <n v="250000"/>
    <x v="1"/>
    <d v="2024-06-19T00:00:00"/>
    <d v="2024-07-10T00:00:00"/>
    <d v="2024-07-29T00:00:00"/>
    <s v="ITV Public s.r.o."/>
    <m/>
    <n v="240000"/>
    <n v="290400"/>
    <m/>
    <m/>
    <m/>
    <d v="2024-07-29T00:00:00"/>
    <s v="SMLN-2024-612-100093"/>
    <x v="54"/>
    <d v="2024-08-09T00:00:00"/>
    <d v="2024-10-22T00:00:00"/>
  </r>
  <r>
    <d v="2024-06-21T00:00:00"/>
    <s v="VZ-2024-000479"/>
    <x v="1"/>
    <s v="Vlčková"/>
    <s v="Hašková"/>
    <x v="267"/>
    <x v="0"/>
    <m/>
    <s v="zrušeno"/>
    <s v="33661300-4"/>
    <m/>
    <n v="1147500"/>
    <x v="0"/>
    <d v="2024-06-26T00:00:00"/>
    <d v="2024-07-31T00:00:00"/>
    <m/>
    <s v="zrušeno - lék jen pro specializovaná centra, FNOL není"/>
    <m/>
    <n v="1144662.3"/>
    <n v="1282021.78"/>
    <m/>
    <m/>
    <m/>
    <m/>
    <m/>
    <x v="2"/>
    <d v="2024-10-15T00:00:00"/>
    <s v="27.9.2024 zrušeno"/>
  </r>
  <r>
    <d v="2024-06-21T00:00:00"/>
    <s v="VZ-2024-000480"/>
    <x v="1"/>
    <s v="Vlčková"/>
    <s v="Hašková"/>
    <x v="268"/>
    <x v="0"/>
    <m/>
    <s v="podepsaná smlouva"/>
    <s v="33600000-6"/>
    <m/>
    <n v="3190257"/>
    <x v="0"/>
    <d v="2024-07-08T00:00:00"/>
    <d v="2024-08-12T00:00:00"/>
    <d v="2024-09-09T00:00:00"/>
    <s v="PHOENIX lék. velkoobchod, s.r.o."/>
    <m/>
    <n v="3190256.4"/>
    <n v="3573087.17"/>
    <m/>
    <m/>
    <m/>
    <d v="2024-09-09T00:00:00"/>
    <s v="SMLN-2024-617-100499"/>
    <x v="67"/>
    <d v="2024-09-23T00:00:00"/>
    <d v="2027-09-19T00:00:00"/>
  </r>
  <r>
    <d v="2024-06-21T00:00:00"/>
    <s v="VZ-2024-000481"/>
    <x v="1"/>
    <s v="Vondrková"/>
    <s v="Bodinková"/>
    <x v="269"/>
    <x v="0"/>
    <m/>
    <s v="podepsaná smlouva"/>
    <s v="33652000-5"/>
    <m/>
    <n v="40261680"/>
    <x v="0"/>
    <d v="2024-06-26T00:00:00"/>
    <d v="2024-07-31T00:00:00"/>
    <d v="2024-08-09T00:00:00"/>
    <s v="PHOENIX lék. velkoobchod, s.r.o."/>
    <m/>
    <n v="40261626"/>
    <n v="45093021.119999997"/>
    <m/>
    <m/>
    <m/>
    <d v="2024-08-09T00:00:00"/>
    <s v="SMLN-2024-617-100451"/>
    <x v="27"/>
    <d v="2024-08-28T00:00:00"/>
    <d v="2027-08-26T00:00:00"/>
  </r>
  <r>
    <d v="2024-06-18T00:00:00"/>
    <s v="VZ-2024-000482-01"/>
    <x v="5"/>
    <s v="Valtová"/>
    <s v="Staňková"/>
    <x v="270"/>
    <x v="1"/>
    <s v="Stent biliární plastový I. (TTSO)"/>
    <s v="podepsaná smlouva"/>
    <s v="33140000-3"/>
    <m/>
    <n v="188139"/>
    <x v="1"/>
    <d v="2024-06-21T00:00:00"/>
    <d v="2024-07-12T00:00:00"/>
    <d v="2024-08-28T00:00:00"/>
    <s v="MEDIAL spol. s r.o."/>
    <m/>
    <n v="168300"/>
    <n v="188496"/>
    <m/>
    <m/>
    <m/>
    <d v="2024-08-28T00:00:00"/>
    <s v="SMLN-2024-617-100478_x000a_SMLN-2024-614-100060"/>
    <x v="87"/>
    <d v="2024-09-06T00:00:00"/>
    <d v="2028-11-15T00:00:00"/>
  </r>
  <r>
    <d v="2024-06-18T00:00:00"/>
    <s v="VZ-2024-000482-02"/>
    <x v="5"/>
    <s v="Valtová"/>
    <s v="Staňková"/>
    <x v="270"/>
    <x v="2"/>
    <s v="Stent biliární plastový II. (CLSO)"/>
    <s v="podepsaná smlouva"/>
    <s v="33140000-3"/>
    <m/>
    <n v="865280"/>
    <x v="1"/>
    <d v="2024-06-21T00:00:00"/>
    <d v="2024-07-12T00:00:00"/>
    <d v="2024-08-28T00:00:00"/>
    <s v="MEDIAL spol. s r.o."/>
    <m/>
    <n v="858000"/>
    <n v="960960"/>
    <m/>
    <m/>
    <m/>
    <d v="2024-08-28T00:00:00"/>
    <s v="SMLN-2024-617-100479_x000a_SMLN-2024-614-100061"/>
    <x v="93"/>
    <d v="2024-09-06T00:00:00"/>
    <d v="2028-11-15T00:00:00"/>
  </r>
  <r>
    <d v="2024-06-18T00:00:00"/>
    <s v="VZ-2024-000482-03"/>
    <x v="5"/>
    <s v="Valtová"/>
    <s v="Staňková"/>
    <x v="270"/>
    <x v="3"/>
    <s v="Stent biliární plastový plastový double Pigtail"/>
    <s v="podepsaná smlouva"/>
    <s v="33140000-3"/>
    <m/>
    <n v="767800"/>
    <x v="1"/>
    <d v="2024-06-21T00:00:00"/>
    <d v="2024-07-12T00:00:00"/>
    <d v="2024-08-28T00:00:00"/>
    <s v="INLAB s.r.o."/>
    <m/>
    <n v="737000"/>
    <n v="825440"/>
    <m/>
    <m/>
    <m/>
    <d v="2024-08-28T00:00:00"/>
    <s v="SMLN-2024-617-100480_x000a_SMLN-2024-614-100062"/>
    <x v="73"/>
    <d v="2024-09-06T00:00:00"/>
    <d v="2028-11-15T00:00:00"/>
  </r>
  <r>
    <s v="VZ-2024-000122"/>
    <s v="VZ-2024-000483"/>
    <x v="5"/>
    <s v="Valtová"/>
    <s v="Zdražilová"/>
    <x v="271"/>
    <x v="0"/>
    <m/>
    <s v="podepsaná smlouva"/>
    <s v="33140000-3"/>
    <m/>
    <n v="2583000"/>
    <x v="2"/>
    <d v="2024-06-20T00:00:00"/>
    <d v="2024-07-10T00:00:00"/>
    <d v="2024-07-18T00:00:00"/>
    <s v="EspoMed spol. s r.o."/>
    <m/>
    <n v="2583000"/>
    <n v="2892960"/>
    <m/>
    <m/>
    <m/>
    <d v="2024-07-18T00:00:00"/>
    <s v="SMLN-2024-617-100413_x000a_SMLN-2024-614-100050"/>
    <x v="60"/>
    <d v="2024-08-09T00:00:00"/>
    <d v="2028-07-29T00:00:00"/>
  </r>
  <r>
    <s v="VZ-2024-000151"/>
    <s v="VZ-2024-000484"/>
    <x v="5"/>
    <s v="Valtová"/>
    <s v="Hašková"/>
    <x v="272"/>
    <x v="0"/>
    <m/>
    <s v="podepsaná smlouva"/>
    <s v="33140000-3"/>
    <m/>
    <n v="2467400"/>
    <x v="0"/>
    <d v="2024-06-26T00:00:00"/>
    <d v="2024-07-31T00:00:00"/>
    <d v="2024-09-12T00:00:00"/>
    <s v="Boston Scientific Česká republika, s.r.o."/>
    <m/>
    <n v="2272400"/>
    <n v="2545088"/>
    <m/>
    <m/>
    <m/>
    <d v="2024-09-12T00:00:00"/>
    <s v="SMLN-2024-617-100502_x000a_SMLN-2024-614-100066"/>
    <x v="94"/>
    <d v="2024-10-10T00:00:00"/>
    <d v="2028-10-02T00:00:00"/>
  </r>
  <r>
    <d v="2024-06-21T00:00:00"/>
    <s v="VZ-2024-000485"/>
    <x v="1"/>
    <s v="Vlčková"/>
    <s v="Bodinková"/>
    <x v="273"/>
    <x v="0"/>
    <m/>
    <s v="podepsaná smlouva"/>
    <s v="33600000-6"/>
    <m/>
    <n v="56284301"/>
    <x v="0"/>
    <d v="2024-06-26T00:00:00"/>
    <d v="2024-07-31T00:00:00"/>
    <d v="2024-08-21T00:00:00"/>
    <s v="CSL BEHRING s.r.o."/>
    <m/>
    <n v="56284300.799999997"/>
    <n v="63038416.899999999"/>
    <m/>
    <m/>
    <m/>
    <d v="2024-08-21T00:00:00"/>
    <s v="SMLN-2024-617-100468"/>
    <x v="63"/>
    <d v="2024-09-02T00:00:00"/>
    <d v="2027-08-29T00:00:00"/>
  </r>
  <r>
    <d v="2024-06-25T00:00:00"/>
    <s v="VZ-2024-000487"/>
    <x v="1"/>
    <s v="Vondrková"/>
    <s v="Bodinková"/>
    <x v="274"/>
    <x v="0"/>
    <m/>
    <s v="podepsaná smlouva"/>
    <s v="33652100-6"/>
    <m/>
    <n v="6816892.46"/>
    <x v="0"/>
    <d v="2024-06-28T00:00:00"/>
    <d v="2024-08-07T00:00:00"/>
    <d v="2024-09-24T00:00:00"/>
    <s v="PROMEDICA PRAHA GROUP, a.s."/>
    <m/>
    <n v="4540152"/>
    <n v="5084970.24"/>
    <m/>
    <m/>
    <m/>
    <d v="2024-09-24T00:00:00"/>
    <s v="SMLN-2024-617-100517"/>
    <x v="68"/>
    <d v="2024-10-15T00:00:00"/>
    <d v="2027-10-13T00:00:00"/>
  </r>
  <r>
    <d v="2024-06-21T00:00:00"/>
    <s v="VZ-2024-000488"/>
    <x v="1"/>
    <s v="Vlčková"/>
    <s v="Bodinková"/>
    <x v="275"/>
    <x v="0"/>
    <m/>
    <s v="podepsaná smlouva"/>
    <s v="09343000-5"/>
    <m/>
    <n v="3961993"/>
    <x v="0"/>
    <d v="2024-07-02T00:00:00"/>
    <d v="2024-09-10T00:00:00"/>
    <d v="2024-09-30T00:00:00"/>
    <s v="RadioMedic s.r.o."/>
    <m/>
    <n v="3962016"/>
    <n v="4437457.92"/>
    <m/>
    <m/>
    <m/>
    <d v="2024-10-01T00:00:00"/>
    <s v="SMLN-2024-617-100526"/>
    <x v="95"/>
    <d v="2024-10-14T00:00:00"/>
    <d v="2027-10-08T00:00:00"/>
  </r>
  <r>
    <d v="2024-06-20T00:00:00"/>
    <s v="VZ-2024-000489"/>
    <x v="8"/>
    <s v="Novák"/>
    <s v="Zdražilová"/>
    <x v="276"/>
    <x v="0"/>
    <m/>
    <s v="vypsaná VZ"/>
    <s v="33100000-1, 39143112-4"/>
    <m/>
    <n v="1631406"/>
    <x v="0"/>
    <d v="2024-08-28T00:00:00"/>
    <d v="2024-10-16T00:00:00"/>
    <m/>
    <m/>
    <m/>
    <m/>
    <m/>
    <m/>
    <m/>
    <m/>
    <m/>
    <m/>
    <x v="2"/>
    <m/>
    <m/>
  </r>
  <r>
    <d v="2024-06-21T00:00:00"/>
    <s v="VZ-2024-000490-01"/>
    <x v="1"/>
    <s v="Vondrková"/>
    <s v="Bodinková"/>
    <x v="277"/>
    <x v="1"/>
    <s v="PANTOPRAZOL i.v."/>
    <s v="podepsaná smlouva"/>
    <s v="33610000-9"/>
    <m/>
    <n v="2913000"/>
    <x v="0"/>
    <d v="2024-06-27T00:00:00"/>
    <d v="2024-08-01T00:00:00"/>
    <d v="2024-08-28T00:00:00"/>
    <s v="PHARMOS a.s."/>
    <m/>
    <n v="2548875"/>
    <n v="2854740"/>
    <m/>
    <m/>
    <m/>
    <d v="2024-08-28T00:00:00"/>
    <s v="SMLN-2024-617-100482"/>
    <x v="67"/>
    <d v="2024-09-24T00:00:00"/>
    <d v="2027-09-19T00:00:00"/>
  </r>
  <r>
    <d v="2024-06-21T00:00:00"/>
    <s v="VZ-2024-000490-02"/>
    <x v="1"/>
    <s v="Vondrková"/>
    <s v="Bodinková"/>
    <x v="277"/>
    <x v="2"/>
    <s v="PANTOPRAZOL vázaný na lékařský předpis"/>
    <s v="podepsaná smlouva"/>
    <s v="33610000-9"/>
    <m/>
    <n v="3279632"/>
    <x v="0"/>
    <d v="2024-06-27T00:00:00"/>
    <d v="2024-08-01T00:00:00"/>
    <d v="2024-08-28T00:00:00"/>
    <s v="Alliance Healthcare s.r.o."/>
    <m/>
    <n v="2924366.37"/>
    <n v="3275290.33"/>
    <m/>
    <m/>
    <m/>
    <d v="2024-08-28T00:00:00"/>
    <s v="SMLN-2024-617-100483"/>
    <x v="67"/>
    <d v="2024-09-24T00:00:00"/>
    <d v="2027-09-19T00:00:00"/>
  </r>
  <r>
    <d v="2024-06-21T00:00:00"/>
    <s v="VZ-2024-000490-03"/>
    <x v="1"/>
    <s v="Vondrková"/>
    <s v="Bodinková"/>
    <x v="277"/>
    <x v="3"/>
    <s v="PANTOPRAZOL volně prodejný"/>
    <s v="zrušeno"/>
    <s v="33610000-9"/>
    <m/>
    <n v="1610"/>
    <x v="0"/>
    <d v="2024-06-27T00:00:00"/>
    <d v="2024-08-01T00:00:00"/>
    <m/>
    <s v="zrušeno - bez nabídky"/>
    <m/>
    <m/>
    <m/>
    <m/>
    <m/>
    <m/>
    <m/>
    <m/>
    <x v="2"/>
    <d v="2024-09-17T00:00:00"/>
    <s v="21.8.2024 zrušeno"/>
  </r>
  <r>
    <d v="2024-06-21T00:00:00"/>
    <s v="VZ-2024-000492"/>
    <x v="1"/>
    <s v="Vondrková"/>
    <s v="Hašková"/>
    <x v="278"/>
    <x v="0"/>
    <m/>
    <s v="zrušeno"/>
    <s v="33621100-0"/>
    <m/>
    <n v="9524490.5999999996"/>
    <x v="0"/>
    <d v="2024-07-08T00:00:00"/>
    <d v="2024-08-12T00:00:00"/>
    <m/>
    <s v="zrušeno - bez nabídky"/>
    <m/>
    <m/>
    <m/>
    <m/>
    <m/>
    <m/>
    <m/>
    <m/>
    <x v="2"/>
    <d v="2024-08-14T00:00:00"/>
    <s v="14.8.2024 zrušeno "/>
  </r>
  <r>
    <d v="2024-06-26T00:00:00"/>
    <s v="VZ-2024-000493"/>
    <x v="12"/>
    <s v="Svozil"/>
    <s v="Staňková"/>
    <x v="279"/>
    <x v="0"/>
    <m/>
    <s v="podepsaná smlouva"/>
    <s v="45232400-6"/>
    <m/>
    <n v="5800000"/>
    <x v="1"/>
    <d v="2024-07-01T00:00:00"/>
    <d v="2024-07-12T00:00:00"/>
    <d v="2024-07-17T00:00:00"/>
    <s v="MIZ  - BMH OLOMOUC"/>
    <m/>
    <n v="5491177"/>
    <n v="6644324.1699999999"/>
    <m/>
    <m/>
    <m/>
    <d v="2024-07-17T00:00:00"/>
    <s v="SMLN-2024-618-100041"/>
    <x v="43"/>
    <m/>
    <d v="2024-08-22T00:00:00"/>
  </r>
  <r>
    <d v="2024-06-21T00:00:00"/>
    <s v="VZ-2024-000495-01"/>
    <x v="1"/>
    <s v="Vondrková"/>
    <s v="Staňková"/>
    <x v="280"/>
    <x v="1"/>
    <s v="OMEPRAZOL i.v."/>
    <s v="podepsaná smlouva"/>
    <s v="33610000-9"/>
    <m/>
    <n v="97173"/>
    <x v="1"/>
    <d v="2024-06-26T00:00:00"/>
    <d v="2024-07-10T00:00:00"/>
    <d v="2024-07-22T00:00:00"/>
    <s v="PROMEDICA PRAHA GROUP, a.s."/>
    <m/>
    <n v="68785.740000000005"/>
    <n v="77040.03"/>
    <m/>
    <m/>
    <m/>
    <d v="2024-07-22T00:00:00"/>
    <s v="SMLN-2024-617-100419"/>
    <x v="96"/>
    <d v="2024-07-25T00:00:00"/>
    <d v="2027-07-24T00:00:00"/>
  </r>
  <r>
    <d v="2024-06-21T00:00:00"/>
    <s v="VZ-2024-000495-02"/>
    <x v="1"/>
    <s v="Vondrková"/>
    <s v="Staňková"/>
    <x v="280"/>
    <x v="2"/>
    <s v="OMEPRAZOL vázaný na lékařský předpis"/>
    <s v="zrušeno"/>
    <s v="33610000-9"/>
    <m/>
    <n v="1251902"/>
    <x v="1"/>
    <d v="2024-06-26T00:00:00"/>
    <d v="2024-07-10T00:00:00"/>
    <m/>
    <s v="zrušeno - špatné zadání"/>
    <m/>
    <m/>
    <m/>
    <m/>
    <m/>
    <m/>
    <m/>
    <m/>
    <x v="2"/>
    <d v="2024-07-22T00:00:00"/>
    <m/>
  </r>
  <r>
    <d v="2024-06-21T00:00:00"/>
    <s v="VZ-2024-000495-03"/>
    <x v="1"/>
    <s v="Vondrková"/>
    <s v="Staňková"/>
    <x v="280"/>
    <x v="3"/>
    <s v="OMEPRAZOL volně prodejný"/>
    <s v="zrušeno"/>
    <s v="33610000-9"/>
    <m/>
    <n v="183592"/>
    <x v="1"/>
    <d v="2024-06-26T00:00:00"/>
    <d v="2024-07-10T00:00:00"/>
    <m/>
    <s v="zrušeno - bez nabídky"/>
    <m/>
    <m/>
    <m/>
    <m/>
    <m/>
    <m/>
    <m/>
    <m/>
    <x v="2"/>
    <d v="2024-07-22T00:00:00"/>
    <m/>
  </r>
  <r>
    <d v="2024-06-24T00:00:00"/>
    <s v="VZ-2024-000496-01"/>
    <x v="2"/>
    <s v="Skulová"/>
    <s v="Kučera"/>
    <x v="281"/>
    <x v="1"/>
    <s v="Autokláv parní"/>
    <s v="smlouva v kolečku"/>
    <s v="33191000-5"/>
    <s v="2.3.847."/>
    <n v="650000"/>
    <x v="0"/>
    <d v="2024-07-11T00:00:00"/>
    <d v="2024-09-10T00:00:00"/>
    <d v="2024-10-04T00:00:00"/>
    <s v="BMT  Medical Technology s.r.o."/>
    <m/>
    <n v="669000"/>
    <n v="809490"/>
    <m/>
    <m/>
    <m/>
    <d v="2024-10-04T00:00:00"/>
    <s v="SMLN-2024-617-100542_x000a_SMLP-2024-624-100007"/>
    <x v="2"/>
    <m/>
    <s v="20.9. vyloučení BioTech na podpis"/>
  </r>
  <r>
    <d v="2024-06-24T00:00:00"/>
    <s v="VZ-2024-000496-02"/>
    <x v="2"/>
    <s v="Skulová"/>
    <s v="Kučera"/>
    <x v="281"/>
    <x v="2"/>
    <s v="Prokládací parní sterilizátor s integrovaným vyvíječem páry"/>
    <s v="smlouva v kolečku"/>
    <s v="33191000-5"/>
    <s v="2.3.797."/>
    <n v="2250000"/>
    <x v="0"/>
    <d v="2024-07-11T00:00:00"/>
    <d v="2024-09-10T00:00:00"/>
    <d v="2024-10-04T00:00:00"/>
    <s v="BMT  Medical Technology s.r.o."/>
    <m/>
    <n v="2049400"/>
    <n v="2479774"/>
    <m/>
    <m/>
    <m/>
    <d v="2024-10-04T00:00:00"/>
    <s v="SMLN-2024-617-100544_x000a_SMLP-2024-624-100006"/>
    <x v="2"/>
    <m/>
    <s v="20.9. vyloučení Getinge na podpis"/>
  </r>
  <r>
    <d v="2024-06-24T00:00:00"/>
    <s v="VZ-2024-000496-03"/>
    <x v="2"/>
    <s v="Skulová"/>
    <s v="Kučera"/>
    <x v="281"/>
    <x v="3"/>
    <s v="Horkovzdušný sterilizátor OKB"/>
    <s v="zrušeno"/>
    <s v="33191000-5"/>
    <s v="2.3.817."/>
    <n v="185000"/>
    <x v="0"/>
    <d v="2024-07-11T00:00:00"/>
    <d v="2024-09-10T00:00:00"/>
    <m/>
    <s v="zrušeno"/>
    <m/>
    <m/>
    <m/>
    <m/>
    <m/>
    <m/>
    <m/>
    <m/>
    <x v="2"/>
    <m/>
    <s v="15.10.2024 zrušeno"/>
  </r>
  <r>
    <d v="2024-06-25T00:00:00"/>
    <s v="VZ-2024-000497"/>
    <x v="6"/>
    <s v="Kadlec"/>
    <s v="Štýbnarová"/>
    <x v="282"/>
    <x v="0"/>
    <m/>
    <s v="podepsaná smlouva"/>
    <s v="45233100-0"/>
    <m/>
    <n v="250000"/>
    <x v="1"/>
    <d v="2024-07-02T00:00:00"/>
    <d v="2024-07-15T00:00:00"/>
    <d v="2024-08-06T00:00:00"/>
    <s v="BDC Development, s.r.o."/>
    <m/>
    <n v="241000"/>
    <n v="291610"/>
    <m/>
    <m/>
    <m/>
    <d v="2024-08-06T00:00:00"/>
    <s v="SMLN-2024-618-100044"/>
    <x v="97"/>
    <d v="2024-08-15T00:00:00"/>
    <m/>
  </r>
  <r>
    <d v="2024-08-15T00:00:00"/>
    <s v="VZ-2024-000498-01"/>
    <x v="11"/>
    <s v="Klimek"/>
    <s v="Kučera"/>
    <x v="283"/>
    <x v="1"/>
    <s v="Elektromobil s výstražným světelným zařízením"/>
    <s v="hodnocení"/>
    <s v="34144900-7"/>
    <s v="4.2.223"/>
    <n v="1173925.9099999999"/>
    <x v="0"/>
    <d v="2024-08-15T00:00:00"/>
    <d v="2024-09-23T00:00:00"/>
    <d v="2024-10-03T00:00:00"/>
    <s v="Auto Trutnov s.r.o."/>
    <m/>
    <n v="1247686.51"/>
    <n v="1509700.68"/>
    <m/>
    <m/>
    <m/>
    <d v="2024-10-03T00:00:00"/>
    <s v="SMLN-2024-617-100539"/>
    <x v="2"/>
    <m/>
    <m/>
  </r>
  <r>
    <d v="2024-08-15T00:00:00"/>
    <s v="VZ-2024-000498-02"/>
    <x v="11"/>
    <s v="Klimek"/>
    <s v="Kučera"/>
    <x v="283"/>
    <x v="2"/>
    <s v="Elektromobily"/>
    <s v="hodnocení"/>
    <s v="34144900-7"/>
    <s v="4.2.223"/>
    <n v="2126209.66"/>
    <x v="0"/>
    <d v="2024-08-15T00:00:00"/>
    <d v="2024-09-23T00:00:00"/>
    <d v="2024-10-03T00:00:00"/>
    <s v="Auto Trutnov s.r.o."/>
    <m/>
    <n v="1927047.1"/>
    <n v="2331727"/>
    <m/>
    <m/>
    <m/>
    <d v="2024-10-03T00:00:00"/>
    <s v="SMLN-2024-617-100540"/>
    <x v="2"/>
    <m/>
    <m/>
  </r>
  <r>
    <d v="2024-08-15T00:00:00"/>
    <s v="VZ-2024-000498-03"/>
    <x v="11"/>
    <s v="Klimek"/>
    <s v="Kučera"/>
    <x v="283"/>
    <x v="3"/>
    <s v="Užitkový elektromobil"/>
    <s v="hodnocení"/>
    <s v="34144900-7"/>
    <s v="4.2.223"/>
    <n v="570881.68000000005"/>
    <x v="0"/>
    <d v="2024-08-15T00:00:00"/>
    <d v="2024-09-23T00:00:00"/>
    <m/>
    <s v="UH CAR, s r.o."/>
    <m/>
    <n v="511020"/>
    <n v="618334.19999999995"/>
    <m/>
    <m/>
    <m/>
    <m/>
    <s v="SMLN-2024-617-100541"/>
    <x v="2"/>
    <m/>
    <m/>
  </r>
  <r>
    <d v="2024-06-26T00:00:00"/>
    <s v="VZ-2024-000500"/>
    <x v="0"/>
    <s v="Hrubý"/>
    <s v="Štýbnarová"/>
    <x v="284"/>
    <x v="0"/>
    <m/>
    <s v="podepsaná smlouva"/>
    <s v="71240000-2"/>
    <s v="1.2.118."/>
    <n v="800000"/>
    <x v="1"/>
    <d v="2024-07-01T00:00:00"/>
    <d v="2024-07-12T00:00:00"/>
    <d v="2024-07-16T00:00:00"/>
    <s v="LT PROJEKT a.s."/>
    <m/>
    <n v="975000"/>
    <n v="1179750"/>
    <m/>
    <m/>
    <m/>
    <d v="2024-07-16T00:00:00"/>
    <s v="SMLN-2024-618-100040"/>
    <x v="65"/>
    <d v="2024-08-06T00:00:00"/>
    <d v="2024-11-29T00:00:00"/>
  </r>
  <r>
    <d v="2024-06-26T00:00:00"/>
    <s v="VZ-2024-000502"/>
    <x v="5"/>
    <s v="Dočkalová"/>
    <s v="Hašková"/>
    <x v="285"/>
    <x v="0"/>
    <m/>
    <s v="hodnocení"/>
    <s v="33141620-2, 33140000-3"/>
    <m/>
    <n v="4992000"/>
    <x v="0"/>
    <d v="2024-07-11T00:00:00"/>
    <d v="2024-09-04T00:00:00"/>
    <m/>
    <m/>
    <m/>
    <m/>
    <m/>
    <m/>
    <m/>
    <m/>
    <m/>
    <m/>
    <x v="2"/>
    <m/>
    <m/>
  </r>
  <r>
    <d v="2024-06-28T00:00:00"/>
    <s v="VZ-2024-000503"/>
    <x v="1"/>
    <s v="Vlčková"/>
    <s v="Hašková"/>
    <x v="286"/>
    <x v="0"/>
    <m/>
    <s v="zrušeno"/>
    <s v="33621100-0"/>
    <m/>
    <n v="9936470"/>
    <x v="0"/>
    <d v="2024-07-29T00:00:00"/>
    <d v="2024-09-16T00:00:00"/>
    <m/>
    <s v="zrušeno - bez nabídky"/>
    <m/>
    <m/>
    <m/>
    <m/>
    <m/>
    <m/>
    <m/>
    <m/>
    <x v="2"/>
    <d v="2024-09-23T00:00:00"/>
    <m/>
  </r>
  <r>
    <d v="2024-06-28T00:00:00"/>
    <s v="VZ-2024-000504"/>
    <x v="1"/>
    <s v="Vlčková"/>
    <s v="Bodinková"/>
    <x v="287"/>
    <x v="0"/>
    <m/>
    <s v="hodnocení"/>
    <s v="09343000-5"/>
    <m/>
    <n v="2805825"/>
    <x v="0"/>
    <d v="2024-07-10T00:00:00"/>
    <d v="2024-09-23T00:00:00"/>
    <m/>
    <m/>
    <m/>
    <m/>
    <m/>
    <m/>
    <m/>
    <m/>
    <m/>
    <m/>
    <x v="2"/>
    <m/>
    <m/>
  </r>
  <r>
    <d v="2024-06-28T00:00:00"/>
    <s v="VZ-2024-000509"/>
    <x v="1"/>
    <s v="Vondrková"/>
    <s v="Bodinková"/>
    <x v="288"/>
    <x v="0"/>
    <m/>
    <s v="zrušeno"/>
    <s v="33670000-7"/>
    <m/>
    <n v="431211230"/>
    <x v="0"/>
    <d v="2024-07-04T00:00:00"/>
    <d v="2024-10-10T00:00:00"/>
    <m/>
    <s v="zrušeno - bez nabídky"/>
    <m/>
    <m/>
    <m/>
    <m/>
    <m/>
    <m/>
    <m/>
    <m/>
    <x v="2"/>
    <d v="2024-10-15T00:00:00"/>
    <s v="15.10.2024. zrušeno"/>
  </r>
  <r>
    <d v="2024-07-16T00:00:00"/>
    <s v="VZ-2024-000511"/>
    <x v="7"/>
    <s v="Pohlídal"/>
    <s v="Staňková"/>
    <x v="289"/>
    <x v="0"/>
    <m/>
    <s v="podepsaná smlouva"/>
    <s v="33124000-5"/>
    <s v="3.2.87"/>
    <n v="1849896.4"/>
    <x v="1"/>
    <d v="2024-07-19T00:00:00"/>
    <d v="2024-07-30T00:00:00"/>
    <d v="2024-07-31T00:00:00"/>
    <s v="OR-CZ spol. s r.o."/>
    <m/>
    <n v="1814300"/>
    <n v="2195303"/>
    <m/>
    <m/>
    <m/>
    <d v="2024-07-31T00:00:00"/>
    <s v="SMLN-2024-617-100432"/>
    <x v="98"/>
    <d v="2024-08-09T00:00:00"/>
    <d v="2024-08-22T00:00:00"/>
  </r>
  <r>
    <d v="2024-07-02T00:00:00"/>
    <s v="VZ-2024-000513"/>
    <x v="2"/>
    <s v="Skulová"/>
    <s v="Zdražilová"/>
    <x v="290"/>
    <x v="0"/>
    <m/>
    <s v="hodnocení"/>
    <s v="33115100-0"/>
    <s v="2.3.849."/>
    <n v="46000000"/>
    <x v="0"/>
    <d v="2024-08-16T00:00:00"/>
    <d v="2024-10-14T00:00:00"/>
    <m/>
    <m/>
    <m/>
    <m/>
    <m/>
    <m/>
    <m/>
    <m/>
    <m/>
    <m/>
    <x v="2"/>
    <m/>
    <m/>
  </r>
  <r>
    <d v="2024-07-23T00:00:00"/>
    <s v="VZ-2024-000514"/>
    <x v="1"/>
    <s v="Vlčková"/>
    <s v="Bodinková"/>
    <x v="291"/>
    <x v="0"/>
    <m/>
    <s v="vypsaná VZ"/>
    <s v="09343000-5"/>
    <m/>
    <n v="5986397"/>
    <x v="0"/>
    <d v="2024-08-02T00:00:00"/>
    <d v="2024-10-17T00:00:00"/>
    <m/>
    <m/>
    <m/>
    <m/>
    <m/>
    <m/>
    <m/>
    <m/>
    <m/>
    <m/>
    <x v="2"/>
    <m/>
    <m/>
  </r>
  <r>
    <d v="2024-07-01T00:00:00"/>
    <s v="VZ-2024-000515"/>
    <x v="5"/>
    <s v="Dočkalová"/>
    <s v="Hašková"/>
    <x v="292"/>
    <x v="0"/>
    <m/>
    <s v="hodnocení"/>
    <s v="33772000-2, 33140000-3"/>
    <m/>
    <n v="3650000"/>
    <x v="0"/>
    <d v="2024-07-12T00:00:00"/>
    <d v="2024-09-19T00:00:00"/>
    <m/>
    <s v="Perfect Distribution a.s."/>
    <m/>
    <n v="2632500"/>
    <n v="3185325"/>
    <m/>
    <m/>
    <m/>
    <m/>
    <m/>
    <x v="2"/>
    <m/>
    <m/>
  </r>
  <r>
    <d v="2024-07-08T00:00:00"/>
    <s v="VZ-2024-000517"/>
    <x v="4"/>
    <s v="Zdráhalová"/>
    <s v="Staňková"/>
    <x v="293"/>
    <x v="0"/>
    <m/>
    <s v="podepsaná smlouva"/>
    <s v="39221110-1"/>
    <m/>
    <n v="1913800"/>
    <x v="1"/>
    <d v="2024-07-11T00:00:00"/>
    <d v="2024-07-22T00:00:00"/>
    <d v="2024-07-31T00:00:00"/>
    <s v="Multi CZ s.r.o."/>
    <m/>
    <n v="1926400"/>
    <n v="2330944"/>
    <m/>
    <m/>
    <m/>
    <d v="2024-07-31T00:00:00"/>
    <s v="SMLN-2024-617-100428"/>
    <x v="10"/>
    <d v="2024-08-20T00:00:00"/>
    <d v="2024-10-25T00:00:00"/>
  </r>
  <r>
    <d v="2024-07-03T00:00:00"/>
    <s v="VZ-2024-000518-01"/>
    <x v="5"/>
    <s v="Valtová"/>
    <s v="Hašková"/>
    <x v="294"/>
    <x v="1"/>
    <s v="Kličky pro polypektomii  jednorázové hybridní"/>
    <s v="hodnocení"/>
    <s v="33140000-3"/>
    <m/>
    <n v="710600"/>
    <x v="2"/>
    <d v="2024-07-17T00:00:00"/>
    <d v="2024-08-23T00:00:00"/>
    <m/>
    <s v="Olympus Czech Group, s.r.o., člen koncernu"/>
    <m/>
    <n v="710600"/>
    <n v="795872"/>
    <m/>
    <m/>
    <m/>
    <m/>
    <m/>
    <x v="2"/>
    <m/>
    <m/>
  </r>
  <r>
    <d v="2024-07-03T00:00:00"/>
    <s v="VZ-2024-000518-02"/>
    <x v="5"/>
    <s v="Valtová"/>
    <s v="Hašková"/>
    <x v="294"/>
    <x v="2"/>
    <s v="Kličky k diatermické polypektomii, jednorázové monofilamentní"/>
    <s v="zrušeno"/>
    <s v="33140000-3"/>
    <m/>
    <n v="243000"/>
    <x v="2"/>
    <d v="2024-07-17T00:00:00"/>
    <d v="2024-08-23T00:00:00"/>
    <m/>
    <s v="zrušeno - bez nabídky"/>
    <m/>
    <m/>
    <m/>
    <m/>
    <m/>
    <m/>
    <m/>
    <m/>
    <x v="2"/>
    <m/>
    <s v="11.10.2024 zrušeno"/>
  </r>
  <r>
    <d v="2024-07-03T00:00:00"/>
    <s v="VZ-2024-000518-03"/>
    <x v="5"/>
    <s v="Valtová"/>
    <s v="Hašková"/>
    <x v="294"/>
    <x v="3"/>
    <s v="Kličky k diatermické polypektomii, jednorázové pletené"/>
    <s v="zrušeno"/>
    <s v="33140000-3"/>
    <m/>
    <n v="1120000"/>
    <x v="2"/>
    <d v="2024-07-17T00:00:00"/>
    <d v="2024-08-23T00:00:00"/>
    <m/>
    <s v="zrušeno - bez hodnotitelné nabídky"/>
    <m/>
    <m/>
    <m/>
    <m/>
    <m/>
    <m/>
    <m/>
    <m/>
    <x v="2"/>
    <m/>
    <s v="11.10.2024 zrušeno"/>
  </r>
  <r>
    <d v="2024-07-02T00:00:00"/>
    <s v="VZ-2024-000519"/>
    <x v="1"/>
    <s v="Vondrková"/>
    <s v="Bodinková"/>
    <x v="295"/>
    <x v="0"/>
    <m/>
    <s v="zrušeno"/>
    <s v="33652000-5"/>
    <m/>
    <n v="14429119"/>
    <x v="4"/>
    <d v="2024-07-10T00:00:00"/>
    <d v="2024-07-23T00:00:00"/>
    <m/>
    <s v="zrušeno - bez nabídky"/>
    <s v="nová VZ-2024-000663"/>
    <m/>
    <m/>
    <m/>
    <m/>
    <m/>
    <m/>
    <m/>
    <x v="2"/>
    <d v="2024-07-29T00:00:00"/>
    <s v="23.7.2024 zrušeno"/>
  </r>
  <r>
    <d v="2024-07-03T00:00:00"/>
    <s v="VZ-2024-000520"/>
    <x v="2"/>
    <s v="Skulová"/>
    <s v="Štýbnarová"/>
    <x v="296"/>
    <x v="0"/>
    <m/>
    <s v="podepsaná smlouva"/>
    <s v="33121300-7"/>
    <s v="2.2.654."/>
    <n v="940000"/>
    <x v="1"/>
    <d v="2024-07-08T00:00:00"/>
    <d v="2024-07-19T00:00:00"/>
    <d v="2024-07-30T00:00:00"/>
    <s v="EduProduct s.r.o."/>
    <m/>
    <n v="936000"/>
    <n v="1132560"/>
    <m/>
    <m/>
    <m/>
    <d v="2024-07-30T00:00:00"/>
    <s v="SMLN-2024-617-100426"/>
    <x v="65"/>
    <d v="2024-08-06T00:00:00"/>
    <d v="2024-10-10T00:00:00"/>
  </r>
  <r>
    <d v="2024-07-04T00:00:00"/>
    <s v="VZ-2024-000521"/>
    <x v="1"/>
    <s v="Vondrková"/>
    <s v="Bodinková"/>
    <x v="297"/>
    <x v="0"/>
    <m/>
    <s v="vypsaná VZ"/>
    <s v="33651400-2"/>
    <m/>
    <n v="63333493"/>
    <x v="0"/>
    <d v="2024-10-02T00:00:00"/>
    <d v="2024-11-06T00:00:00"/>
    <m/>
    <m/>
    <m/>
    <m/>
    <m/>
    <m/>
    <m/>
    <m/>
    <m/>
    <m/>
    <x v="2"/>
    <m/>
    <m/>
  </r>
  <r>
    <d v="2024-07-03T00:00:00"/>
    <s v="VZ-2024-000523"/>
    <x v="5"/>
    <s v="Valtová"/>
    <s v="Zdražilová"/>
    <x v="298"/>
    <x v="0"/>
    <m/>
    <s v="podepsaná smlouva"/>
    <s v="33140000-3"/>
    <m/>
    <n v="2449190"/>
    <x v="2"/>
    <d v="2024-07-12T00:00:00"/>
    <d v="2024-08-30T00:00:00"/>
    <d v="2024-09-23T00:00:00"/>
    <s v="ELLA-CS s.r.o."/>
    <m/>
    <n v="2495090"/>
    <n v="2794500.8"/>
    <m/>
    <m/>
    <m/>
    <d v="2024-09-23T00:00:00"/>
    <s v="SMLN-2024-617-100513_x000a_SMLN-2024-614-100067"/>
    <x v="95"/>
    <m/>
    <d v="2028-11-15T00:00:00"/>
  </r>
  <r>
    <d v="2024-07-08T00:00:00"/>
    <s v="VZ-2024-000526"/>
    <x v="1"/>
    <s v="Vondrková"/>
    <s v="Bodinková"/>
    <x v="299"/>
    <x v="0"/>
    <m/>
    <s v="vypsaná VZ"/>
    <s v="33652300-8"/>
    <m/>
    <n v="54721702"/>
    <x v="0"/>
    <d v="2024-10-04T00:00:00"/>
    <d v="2024-11-08T00:00:00"/>
    <m/>
    <m/>
    <m/>
    <m/>
    <m/>
    <m/>
    <m/>
    <m/>
    <m/>
    <m/>
    <x v="2"/>
    <m/>
    <m/>
  </r>
  <r>
    <d v="2024-07-09T00:00:00"/>
    <s v="VZ-2024-000527"/>
    <x v="2"/>
    <s v="Skulová"/>
    <s v="Zdražilová"/>
    <x v="300"/>
    <x v="0"/>
    <m/>
    <s v="podepsaná smlouva"/>
    <s v="33162200-5"/>
    <m/>
    <n v="408240"/>
    <x v="4"/>
    <d v="2024-07-11T00:00:00"/>
    <d v="2024-07-23T00:00:00"/>
    <d v="2024-08-12T00:00:00"/>
    <s v="GRANDYX s.r.o."/>
    <m/>
    <n v="365664"/>
    <n v="442453.44"/>
    <m/>
    <m/>
    <m/>
    <d v="2024-08-12T00:00:00"/>
    <s v="SMLN-2024-617-100452"/>
    <x v="72"/>
    <d v="2024-09-04T00:00:00"/>
    <d v="2024-09-02T00:00:00"/>
  </r>
  <r>
    <d v="2024-07-09T00:00:00"/>
    <s v="VZ-2024-000528"/>
    <x v="5"/>
    <s v="Dočkalová"/>
    <s v="Staňková"/>
    <x v="301"/>
    <x v="0"/>
    <m/>
    <s v="podepsaná smlouva"/>
    <s v="33140000-3"/>
    <m/>
    <n v="516120"/>
    <x v="1"/>
    <d v="2024-07-11T00:00:00"/>
    <d v="2024-07-22T00:00:00"/>
    <d v="2024-07-29T00:00:00"/>
    <s v="medisap s.r.o."/>
    <m/>
    <n v="633520"/>
    <n v="709542.40000000002"/>
    <m/>
    <m/>
    <m/>
    <d v="2024-07-29T00:00:00"/>
    <s v="SMLN-2024-617-100423"/>
    <x v="32"/>
    <d v="2024-08-06T00:00:00"/>
    <d v="2028-11-29T00:00:00"/>
  </r>
  <r>
    <d v="2024-07-09T00:00:00"/>
    <s v="VZ-2024-000529"/>
    <x v="2"/>
    <s v="Skulová"/>
    <s v="Zdražilová"/>
    <x v="302"/>
    <x v="0"/>
    <m/>
    <s v="zrušeno"/>
    <s v="33150000-6"/>
    <s v="2.2.644."/>
    <n v="225000"/>
    <x v="0"/>
    <d v="2024-07-26T00:00:00"/>
    <d v="2024-08-30T00:00:00"/>
    <m/>
    <s v="zrušeno - špatně vyplněná nabídka"/>
    <m/>
    <m/>
    <m/>
    <m/>
    <m/>
    <m/>
    <m/>
    <m/>
    <x v="2"/>
    <d v="2024-09-30T00:00:00"/>
    <s v="30.9.2024 zrušeno"/>
  </r>
  <r>
    <d v="2024-07-08T00:00:00"/>
    <s v="VZ-2024-000531"/>
    <x v="6"/>
    <s v="Srovnal"/>
    <s v="Kučera"/>
    <x v="303"/>
    <x v="0"/>
    <m/>
    <s v="smlouva v kolečku"/>
    <s v="42510000-4"/>
    <s v="4.2.208."/>
    <n v="1239600"/>
    <x v="0"/>
    <d v="2024-07-18T00:00:00"/>
    <d v="2024-08-22T00:00:00"/>
    <d v="2024-09-25T00:00:00"/>
    <s v="EP Rožnov a.s."/>
    <m/>
    <n v="1011000"/>
    <n v="1223310.3700000001"/>
    <m/>
    <m/>
    <m/>
    <d v="2024-09-25T00:00:00"/>
    <s v="SMLN-2024-618-100053"/>
    <x v="2"/>
    <m/>
    <m/>
  </r>
  <r>
    <d v="2024-07-08T00:00:00"/>
    <s v="VZ-2024-000532"/>
    <x v="6"/>
    <s v="Srovnal"/>
    <s v="Kučera"/>
    <x v="304"/>
    <x v="0"/>
    <m/>
    <s v="smlouva v kolečku"/>
    <s v="42520000-7"/>
    <s v="4.2.222."/>
    <n v="850000"/>
    <x v="0"/>
    <d v="2024-07-18T00:00:00"/>
    <d v="2024-08-22T00:00:00"/>
    <d v="2024-10-04T00:00:00"/>
    <s v="BDC Development s.r.o."/>
    <m/>
    <n v="559956"/>
    <n v="677547"/>
    <m/>
    <m/>
    <m/>
    <d v="2024-10-04T00:00:00"/>
    <s v="SMLN-2024-618-100055"/>
    <x v="2"/>
    <m/>
    <m/>
  </r>
  <r>
    <d v="2024-07-09T00:00:00"/>
    <s v="VZ-2024-000534"/>
    <x v="2"/>
    <s v="Skulová"/>
    <s v="Štýbnarová"/>
    <x v="305"/>
    <x v="0"/>
    <m/>
    <s v="podepsaná smlouva"/>
    <s v="33161000-6"/>
    <s v="2.2.638."/>
    <n v="63640"/>
    <x v="1"/>
    <d v="2024-07-11T00:00:00"/>
    <d v="2024-07-22T00:00:00"/>
    <d v="2024-08-22T00:00:00"/>
    <s v="Viamed s.r.o."/>
    <m/>
    <n v="63630"/>
    <n v="76992.3"/>
    <m/>
    <m/>
    <m/>
    <d v="2024-08-22T00:00:00"/>
    <s v="SMLN-2024-617-100473_x000a_SMLN-2024-612-100104"/>
    <x v="73"/>
    <d v="2024-09-03T00:00:00"/>
    <d v="2024-11-02T00:00:00"/>
  </r>
  <r>
    <d v="2024-07-09T00:00:00"/>
    <s v="VZ-2024-000535"/>
    <x v="5"/>
    <s v="Dočkalová"/>
    <s v="Hašková"/>
    <x v="306"/>
    <x v="0"/>
    <m/>
    <s v="zrušeno"/>
    <s v="33140000-3"/>
    <m/>
    <n v="2299040"/>
    <x v="0"/>
    <d v="2024-07-17T00:00:00"/>
    <d v="2024-08-21T00:00:00"/>
    <m/>
    <s v="zrušeno - překročení ceny"/>
    <s v="nová VZ-2024-000720"/>
    <m/>
    <m/>
    <m/>
    <m/>
    <m/>
    <m/>
    <m/>
    <x v="2"/>
    <d v="2024-09-12T00:00:00"/>
    <s v="12.09.2024 zrušeno"/>
  </r>
  <r>
    <d v="2024-07-10T00:00:00"/>
    <s v="VZ-2024-000537"/>
    <x v="5"/>
    <s v="Dočkalová"/>
    <s v="Staňková"/>
    <x v="307"/>
    <x v="0"/>
    <m/>
    <s v="podepsaná smlouva"/>
    <s v="33120000-7"/>
    <m/>
    <n v="680000"/>
    <x v="1"/>
    <d v="2024-07-12T00:00:00"/>
    <d v="2024-07-23T00:00:00"/>
    <d v="2024-07-29T00:00:00"/>
    <s v="Medtronic Czechia s.r.o."/>
    <m/>
    <n v="685894"/>
    <n v="784042.4"/>
    <m/>
    <m/>
    <m/>
    <d v="2024-07-29T00:00:00"/>
    <s v="SMLN-2024-617-100424_x000a_SMLN-2024-617-100425"/>
    <x v="72"/>
    <d v="2024-08-20T00:00:00"/>
    <d v="2028-08-18T00:00:00"/>
  </r>
  <r>
    <d v="2024-07-10T00:00:00"/>
    <s v="VZ-2024-000538"/>
    <x v="0"/>
    <s v="Zeman"/>
    <s v="Staňková"/>
    <x v="308"/>
    <x v="0"/>
    <m/>
    <s v="podepsaná smlouva"/>
    <s v="45421100-5"/>
    <m/>
    <n v="3700000"/>
    <x v="1"/>
    <d v="2024-07-15T00:00:00"/>
    <d v="2024-07-29T00:00:00"/>
    <d v="2024-08-20T00:00:00"/>
    <s v="SULKO s.r.o."/>
    <m/>
    <n v="3524329"/>
    <n v="4264438.09"/>
    <m/>
    <m/>
    <m/>
    <d v="2024-08-20T00:00:00"/>
    <s v="SMLN-2024-618-100046"/>
    <x v="75"/>
    <d v="2024-09-09T00:00:00"/>
    <m/>
  </r>
  <r>
    <d v="2024-07-15T00:00:00"/>
    <s v="VZ-2024-000539"/>
    <x v="10"/>
    <s v="Zemánek"/>
    <s v="Kučera"/>
    <x v="309"/>
    <x v="0"/>
    <m/>
    <s v="podepsaná smlouva"/>
    <s v="50400000-9"/>
    <m/>
    <n v="3600000"/>
    <x v="0"/>
    <d v="2024-07-18T00:00:00"/>
    <d v="2024-08-22T00:00:00"/>
    <d v="2024-09-12T00:00:00"/>
    <s v="Philips Česká republika s.r.o."/>
    <m/>
    <n v="98770"/>
    <n v="119511.7"/>
    <m/>
    <m/>
    <m/>
    <d v="2024-09-12T00:00:00"/>
    <s v="SMLN-2024-612-100113"/>
    <x v="99"/>
    <m/>
    <d v="2026-12-31T00:00:00"/>
  </r>
  <r>
    <d v="2024-07-12T00:00:00"/>
    <s v="VZ-2024-000540"/>
    <x v="4"/>
    <s v="Zdráhalová"/>
    <s v="Hašková"/>
    <x v="310"/>
    <x v="0"/>
    <m/>
    <s v="smlouva v kolečku"/>
    <s v="35113490-0"/>
    <m/>
    <n v="2304000"/>
    <x v="0"/>
    <d v="2024-07-22T00:00:00"/>
    <d v="2024-08-23T00:00:00"/>
    <d v="2024-10-10T00:00:00"/>
    <s v="S.A.B. Impex, s.r.o."/>
    <m/>
    <n v="1564800"/>
    <n v="1752576"/>
    <m/>
    <m/>
    <m/>
    <d v="2024-10-10T00:00:00"/>
    <s v="SMLN-2024-617-100550"/>
    <x v="2"/>
    <m/>
    <m/>
  </r>
  <r>
    <d v="2024-07-11T00:00:00"/>
    <s v="VZ-2024-000541"/>
    <x v="2"/>
    <s v="Skulová"/>
    <s v="Kučera"/>
    <x v="311"/>
    <x v="0"/>
    <m/>
    <s v="podepsaná smlouva"/>
    <s v="33169000-2"/>
    <s v="2.2.640."/>
    <n v="232260"/>
    <x v="0"/>
    <d v="2024-07-16T00:00:00"/>
    <d v="2024-08-20T00:00:00"/>
    <d v="2024-09-03T00:00:00"/>
    <s v="Johnson  &amp; Johnson s.r.o."/>
    <m/>
    <n v="232260"/>
    <n v="281034.59999999998"/>
    <m/>
    <m/>
    <m/>
    <d v="2024-09-03T00:00:00"/>
    <s v="SMLN-2024-617-100488_x000a_SMLN-2024-612-100107"/>
    <x v="83"/>
    <d v="2024-09-24T00:00:00"/>
    <d v="2024-12-12T00:00:00"/>
  </r>
  <r>
    <d v="2024-07-11T00:00:00"/>
    <s v="VZ-2024-000542"/>
    <x v="5"/>
    <s v="Dočkalová"/>
    <s v="Zdražilová"/>
    <x v="312"/>
    <x v="0"/>
    <m/>
    <s v="hodnocení"/>
    <s v="33199000-1"/>
    <m/>
    <n v="22491157"/>
    <x v="0"/>
    <d v="2024-07-17T00:00:00"/>
    <d v="2024-09-24T00:00:00"/>
    <m/>
    <m/>
    <m/>
    <m/>
    <m/>
    <m/>
    <m/>
    <m/>
    <m/>
    <m/>
    <x v="2"/>
    <m/>
    <m/>
  </r>
  <r>
    <d v="2024-07-11T00:00:00"/>
    <s v="VZ-2024-000543"/>
    <x v="5"/>
    <s v="Dočkalová"/>
    <s v="Staňková"/>
    <x v="313"/>
    <x v="0"/>
    <m/>
    <s v="podepsaná smlouva"/>
    <s v="39550000-2, 33140000-3"/>
    <m/>
    <n v="1395264"/>
    <x v="1"/>
    <d v="2024-07-16T00:00:00"/>
    <d v="2024-07-29T00:00:00"/>
    <d v="2024-07-31T00:00:00"/>
    <s v="Mölnlycke Health Care s.r.o."/>
    <m/>
    <n v="1395280"/>
    <n v="1562713.6"/>
    <m/>
    <m/>
    <m/>
    <d v="2024-07-31T00:00:00"/>
    <s v="SMLN-2024-617-100433"/>
    <x v="72"/>
    <d v="2024-08-20T00:00:00"/>
    <d v="2028-08-18T00:00:00"/>
  </r>
  <r>
    <d v="2024-07-11T00:00:00"/>
    <s v="VZ-2024-000544"/>
    <x v="1"/>
    <s v="Vondrková"/>
    <s v="Bodinková"/>
    <x v="314"/>
    <x v="0"/>
    <m/>
    <s v="podepsaná smlouva"/>
    <s v="33652300-8"/>
    <m/>
    <n v="3069472"/>
    <x v="4"/>
    <d v="2024-07-17T00:00:00"/>
    <d v="2024-07-29T00:00:00"/>
    <d v="2024-08-07T00:00:00"/>
    <s v="Avenier a.s."/>
    <m/>
    <n v="3069471.15"/>
    <n v="3437807.69"/>
    <m/>
    <m/>
    <m/>
    <d v="2024-08-07T00:00:00"/>
    <s v="SMLN-2024-617-100441"/>
    <x v="100"/>
    <d v="2024-08-23T00:00:00"/>
    <d v="2025-08-13T00:00:00"/>
  </r>
  <r>
    <d v="2024-07-29T00:00:00"/>
    <s v="VZ-2024-000545"/>
    <x v="2"/>
    <s v="Skulová"/>
    <s v="Staňková"/>
    <x v="315"/>
    <x v="0"/>
    <m/>
    <s v="zrušeno"/>
    <s v="38000000-5"/>
    <s v="2.2.653"/>
    <n v="590000"/>
    <x v="1"/>
    <d v="2024-07-31T00:00:00"/>
    <d v="2024-08-26T00:00:00"/>
    <m/>
    <s v="zrušeno - úprava zadávacích podmínek"/>
    <s v="nová VZ-2024-000689"/>
    <m/>
    <m/>
    <m/>
    <m/>
    <m/>
    <m/>
    <m/>
    <x v="2"/>
    <d v="2024-09-05T00:00:00"/>
    <m/>
  </r>
  <r>
    <d v="2024-07-15T00:00:00"/>
    <s v="VZ-2024-000546"/>
    <x v="3"/>
    <s v="Zemánková"/>
    <s v="Bodinková"/>
    <x v="316"/>
    <x v="0"/>
    <m/>
    <s v="podepsaná smlouva"/>
    <s v="33694000-1"/>
    <m/>
    <n v="534000"/>
    <x v="1"/>
    <d v="2024-07-18T00:00:00"/>
    <d v="2024-07-30T00:00:00"/>
    <d v="2024-08-01T00:00:00"/>
    <s v="SEBIA Czech republic s.r.o."/>
    <m/>
    <n v="411162.84"/>
    <n v="497507.04"/>
    <m/>
    <m/>
    <m/>
    <d v="2024-08-01T00:00:00"/>
    <s v="SMLN-2024-617-100435"/>
    <x v="101"/>
    <d v="2024-08-08T00:00:00"/>
    <d v="2025-08-06T00:00:00"/>
  </r>
  <r>
    <d v="2024-07-17T00:00:00"/>
    <s v="VZ-2024-000548"/>
    <x v="3"/>
    <s v="Zemánková"/>
    <s v="Bodinková"/>
    <x v="317"/>
    <x v="0"/>
    <m/>
    <s v="hodnocení"/>
    <s v="33694000-1, 48814000-7"/>
    <m/>
    <n v="1020070"/>
    <x v="0"/>
    <d v="2024-08-12T00:00:00"/>
    <d v="2024-10-10T00:00:00"/>
    <m/>
    <m/>
    <m/>
    <m/>
    <m/>
    <m/>
    <m/>
    <m/>
    <m/>
    <m/>
    <x v="2"/>
    <m/>
    <m/>
  </r>
  <r>
    <d v="2024-07-12T00:00:00"/>
    <s v="VZ-2024-000549"/>
    <x v="5"/>
    <s v="Valtová"/>
    <s v="Staňková"/>
    <x v="318"/>
    <x v="0"/>
    <m/>
    <s v="podepsaná smlouva"/>
    <s v="33140000-3"/>
    <m/>
    <n v="512000"/>
    <x v="1"/>
    <d v="2024-07-16T00:00:00"/>
    <d v="2024-07-29T00:00:00"/>
    <d v="2024-08-12T00:00:00"/>
    <s v="ARID obchodní společnosti, s.r.o."/>
    <m/>
    <n v="512000"/>
    <n v="573440"/>
    <m/>
    <m/>
    <m/>
    <d v="2024-08-12T00:00:00"/>
    <s v="SMLN-2024-617-100453_x000a_SMLN-2024-614-100054"/>
    <x v="10"/>
    <d v="2024-08-20T00:00:00"/>
    <d v="2028-11-01T00:00:00"/>
  </r>
  <r>
    <d v="2024-07-16T00:00:00"/>
    <s v="VZ-2024-000550"/>
    <x v="3"/>
    <s v="Zemánková"/>
    <s v="Bodinková"/>
    <x v="319"/>
    <x v="0"/>
    <m/>
    <s v="zrušeno"/>
    <s v="33694000-1"/>
    <m/>
    <n v="1485000"/>
    <x v="0"/>
    <d v="2024-08-05T00:00:00"/>
    <d v="2024-09-13T00:00:00"/>
    <m/>
    <s v="zrušeno - bez nabídky"/>
    <m/>
    <m/>
    <m/>
    <m/>
    <m/>
    <m/>
    <m/>
    <m/>
    <x v="2"/>
    <d v="2024-09-23T00:00:00"/>
    <m/>
  </r>
  <r>
    <d v="2024-07-17T00:00:00"/>
    <s v="VZ-2024-000551"/>
    <x v="1"/>
    <s v="Vondrková"/>
    <s v="Hašková"/>
    <x v="320"/>
    <x v="0"/>
    <m/>
    <s v="hodnocení"/>
    <s v="33695000-8"/>
    <m/>
    <n v="3293118"/>
    <x v="0"/>
    <d v="2024-08-13T00:00:00"/>
    <d v="2024-09-17T00:00:00"/>
    <m/>
    <m/>
    <m/>
    <m/>
    <m/>
    <m/>
    <m/>
    <m/>
    <m/>
    <m/>
    <x v="2"/>
    <m/>
    <m/>
  </r>
  <r>
    <d v="2024-07-15T00:00:00"/>
    <s v="VZ-2024-000552"/>
    <x v="0"/>
    <s v="Spáčil Z."/>
    <s v="Staňková"/>
    <x v="321"/>
    <x v="0"/>
    <m/>
    <s v="podepsaná smlouva"/>
    <s v="71318000-0"/>
    <m/>
    <n v="522000"/>
    <x v="1"/>
    <d v="2024-07-19T00:00:00"/>
    <d v="2024-07-30T00:00:00"/>
    <d v="2024-08-16T00:00:00"/>
    <s v="BIM Consulting s.r.o."/>
    <m/>
    <n v="310500"/>
    <n v="375705"/>
    <m/>
    <m/>
    <m/>
    <d v="2024-08-16T00:00:00"/>
    <s v="SMLN-2024-612-100102"/>
    <x v="82"/>
    <d v="2024-08-29T00:00:00"/>
    <m/>
  </r>
  <r>
    <d v="2024-07-30T00:00:00"/>
    <s v="VZ-2024-000554-01"/>
    <x v="1"/>
    <s v="Vondrková"/>
    <s v="Bodinková"/>
    <x v="322"/>
    <x v="1"/>
    <s v="TAKROLIMUS I."/>
    <s v="smlouva v kolečku"/>
    <s v="33652300-8"/>
    <m/>
    <n v="32057790"/>
    <x v="0"/>
    <d v="2024-08-06T00:00:00"/>
    <d v="2024-09-11T00:00:00"/>
    <d v="2024-10-10T00:00:00"/>
    <s v="PHOENIX lék. velkoobchod, s.r.o."/>
    <m/>
    <n v="32057785.949999999"/>
    <n v="35904720.259999998"/>
    <m/>
    <m/>
    <m/>
    <d v="2024-10-10T00:00:00"/>
    <s v="SMLN-2024-617-100553"/>
    <x v="2"/>
    <m/>
    <m/>
  </r>
  <r>
    <d v="2024-07-30T00:00:00"/>
    <s v="VZ-2024-000554-02"/>
    <x v="1"/>
    <s v="Vondrková"/>
    <s v="Bodinková"/>
    <x v="322"/>
    <x v="2"/>
    <s v="TAKROLIMUS II."/>
    <s v="smlouva v kolečku"/>
    <s v="33652300-8"/>
    <m/>
    <n v="15969462"/>
    <x v="0"/>
    <d v="2024-08-06T00:00:00"/>
    <d v="2024-09-11T00:00:00"/>
    <d v="2024-10-10T00:00:00"/>
    <s v="PHOENIX lék. velkoobchod, s.r.o."/>
    <m/>
    <n v="15774086.050000001"/>
    <n v="17666976.379999999"/>
    <m/>
    <m/>
    <m/>
    <d v="2024-10-10T00:00:00"/>
    <s v="SMLN-2024-617-100554"/>
    <x v="2"/>
    <m/>
    <m/>
  </r>
  <r>
    <d v="2024-07-18T00:00:00"/>
    <s v="VZ-2024-000556"/>
    <x v="8"/>
    <s v="Novák"/>
    <s v="Staňková"/>
    <x v="323"/>
    <x v="0"/>
    <m/>
    <s v="zrušeno"/>
    <s v="33194100-7"/>
    <m/>
    <n v="516396"/>
    <x v="1"/>
    <d v="2024-07-24T00:00:00"/>
    <d v="2024-08-05T00:00:00"/>
    <m/>
    <s v="zrušeno - dodavatel použil nesprávné dokumenty"/>
    <s v="nová VZ-2024-000612"/>
    <m/>
    <m/>
    <m/>
    <m/>
    <m/>
    <m/>
    <m/>
    <x v="2"/>
    <d v="2024-08-06T00:00:00"/>
    <m/>
  </r>
  <r>
    <d v="2024-07-24T00:00:00"/>
    <s v="VZ-2024-000558-01"/>
    <x v="5"/>
    <s v="Valtová"/>
    <s v="Zdražilová"/>
    <x v="324"/>
    <x v="1"/>
    <s v="Základní diagnostické katetry fixní"/>
    <s v="vypsaná VZ"/>
    <s v="33140000-3"/>
    <m/>
    <n v="4340000"/>
    <x v="0"/>
    <d v="2024-07-29T00:00:00"/>
    <d v="2024-10-21T00:00:00"/>
    <m/>
    <m/>
    <m/>
    <m/>
    <m/>
    <m/>
    <m/>
    <m/>
    <m/>
    <m/>
    <x v="2"/>
    <m/>
    <m/>
  </r>
  <r>
    <d v="2024-07-24T00:00:00"/>
    <s v="VZ-2024-000558-02"/>
    <x v="5"/>
    <s v="Valtová"/>
    <s v="Zdražilová"/>
    <x v="324"/>
    <x v="2"/>
    <s v="Hemostatický zavaděč katetrů – stabilizační fixní"/>
    <s v="vypsaná VZ"/>
    <s v="33140000-3"/>
    <m/>
    <n v="6363249.3499999996"/>
    <x v="0"/>
    <d v="2024-07-29T00:00:00"/>
    <d v="2024-10-21T00:00:00"/>
    <m/>
    <m/>
    <m/>
    <m/>
    <m/>
    <m/>
    <m/>
    <m/>
    <m/>
    <m/>
    <x v="2"/>
    <m/>
    <m/>
  </r>
  <r>
    <d v="2024-07-19T00:00:00"/>
    <s v="VZ-2024-000559"/>
    <x v="1"/>
    <s v="Vlčková"/>
    <s v="Hašková"/>
    <x v="325"/>
    <x v="0"/>
    <m/>
    <s v="smlouva v kolečku"/>
    <s v="33652300-8"/>
    <m/>
    <n v="6972815"/>
    <x v="0"/>
    <d v="2024-07-31T00:00:00"/>
    <d v="2024-09-04T00:00:00"/>
    <d v="2024-09-23T00:00:00"/>
    <s v="PHOENIX lék. velkoobchod, s.r.o."/>
    <m/>
    <n v="6972814.7999999998"/>
    <n v="7809552.5800000001"/>
    <m/>
    <m/>
    <m/>
    <d v="2024-09-23T00:00:00"/>
    <s v="SMLN-2024-617-100510"/>
    <x v="2"/>
    <m/>
    <m/>
  </r>
  <r>
    <d v="2024-07-19T00:00:00"/>
    <s v="VZ-2024-000560"/>
    <x v="1"/>
    <s v="Vlčková"/>
    <s v="Hašková"/>
    <x v="326"/>
    <x v="0"/>
    <m/>
    <s v="vypsaná VZ"/>
    <s v="33652000-5"/>
    <m/>
    <n v="18808463"/>
    <x v="0"/>
    <d v="2024-07-24T00:00:00"/>
    <d v="2024-11-01T00:00:00"/>
    <m/>
    <m/>
    <m/>
    <m/>
    <m/>
    <m/>
    <m/>
    <m/>
    <m/>
    <m/>
    <x v="2"/>
    <m/>
    <m/>
  </r>
  <r>
    <d v="2024-07-19T00:00:00"/>
    <s v="VZ-2024-000561"/>
    <x v="1"/>
    <s v="Vlčková"/>
    <s v="Hašková"/>
    <x v="327"/>
    <x v="0"/>
    <m/>
    <s v="podepsaná smlouva"/>
    <s v="33651400-2"/>
    <m/>
    <n v="9061584"/>
    <x v="0"/>
    <d v="2024-07-24T00:00:00"/>
    <d v="2024-08-28T00:00:00"/>
    <d v="2024-09-09T00:00:00"/>
    <s v="Alliance Healthcare s.r.o."/>
    <m/>
    <n v="8713195.1999999993"/>
    <n v="9758778.6199999992"/>
    <m/>
    <m/>
    <m/>
    <d v="2024-09-09T00:00:00"/>
    <s v="SMLN-2024-617-100498"/>
    <x v="68"/>
    <d v="2024-10-15T00:00:00"/>
    <d v="2027-10-13T00:00:00"/>
  </r>
  <r>
    <d v="2024-07-19T00:00:00"/>
    <s v="VZ-2024-000562"/>
    <x v="1"/>
    <s v="Vondrková"/>
    <s v="Bodinková"/>
    <x v="328"/>
    <x v="0"/>
    <m/>
    <s v="vypsaná VZ"/>
    <s v="33621300-2"/>
    <m/>
    <n v="83497556"/>
    <x v="0"/>
    <d v="2024-10-10T00:00:00"/>
    <d v="2024-11-14T00:00:00"/>
    <m/>
    <m/>
    <m/>
    <m/>
    <m/>
    <m/>
    <m/>
    <m/>
    <m/>
    <m/>
    <x v="2"/>
    <m/>
    <m/>
  </r>
  <r>
    <d v="2024-07-19T00:00:00"/>
    <s v="VZ-2024-000563"/>
    <x v="1"/>
    <s v="Vlčková"/>
    <s v="Hašková"/>
    <x v="329"/>
    <x v="0"/>
    <m/>
    <s v="smlouva v kolečku"/>
    <s v="33652000-5"/>
    <m/>
    <n v="9390533"/>
    <x v="0"/>
    <d v="2024-07-23T00:00:00"/>
    <d v="2024-09-09T00:00:00"/>
    <d v="2024-09-27T00:00:00"/>
    <s v="ELI LILLY ČR s.r.o."/>
    <m/>
    <n v="9390531.9000000004"/>
    <n v="10517395.73"/>
    <m/>
    <m/>
    <m/>
    <d v="2024-09-27T00:00:00"/>
    <s v="SMLN-2024-617-100520"/>
    <x v="2"/>
    <m/>
    <m/>
  </r>
  <r>
    <d v="2024-07-19T00:00:00"/>
    <s v="VZ-2024-000564"/>
    <x v="3"/>
    <s v="Zemánková"/>
    <s v="Bodinková"/>
    <x v="330"/>
    <x v="0"/>
    <m/>
    <s v="smlouva v kolečku"/>
    <s v="38434000-6, 33694000-1"/>
    <m/>
    <n v="5553600"/>
    <x v="4"/>
    <d v="2024-08-27T00:00:00"/>
    <d v="2024-09-09T00:00:00"/>
    <m/>
    <s v="BioVendor - Laboratorní medicína a.s."/>
    <m/>
    <n v="4272000"/>
    <n v="4784640"/>
    <m/>
    <m/>
    <m/>
    <m/>
    <m/>
    <x v="2"/>
    <m/>
    <m/>
  </r>
  <r>
    <d v="2024-07-31T00:00:00"/>
    <s v="VZ-2024-000565"/>
    <x v="1"/>
    <s v="Vlčková"/>
    <s v="Hašková"/>
    <x v="331"/>
    <x v="0"/>
    <m/>
    <s v="zrušeno"/>
    <s v="33622100-7"/>
    <m/>
    <n v="4675600"/>
    <x v="4"/>
    <d v="2024-08-07T00:00:00"/>
    <d v="2024-08-19T00:00:00"/>
    <m/>
    <s v="zrušeno - překročerní ceny"/>
    <s v="nová VZ-2024-000659"/>
    <m/>
    <m/>
    <m/>
    <m/>
    <m/>
    <m/>
    <m/>
    <x v="2"/>
    <d v="2024-09-17T00:00:00"/>
    <s v="12.9.2024 zrušeno"/>
  </r>
  <r>
    <d v="2024-07-19T00:00:00"/>
    <s v="VZ-2024-000566"/>
    <x v="1"/>
    <s v="Vondrková"/>
    <s v="Bodinková"/>
    <x v="332"/>
    <x v="0"/>
    <m/>
    <s v="vypsaná VZ"/>
    <s v="33651400-2"/>
    <m/>
    <n v="12596537"/>
    <x v="0"/>
    <d v="2024-09-25T00:00:00"/>
    <d v="2024-10-30T00:00:00"/>
    <m/>
    <m/>
    <m/>
    <m/>
    <m/>
    <m/>
    <m/>
    <m/>
    <m/>
    <m/>
    <x v="2"/>
    <m/>
    <m/>
  </r>
  <r>
    <d v="2024-07-23T00:00:00"/>
    <s v="VZ-2024-000567"/>
    <x v="5"/>
    <s v="Valtová"/>
    <s v="Zdražilová"/>
    <x v="333"/>
    <x v="0"/>
    <m/>
    <s v="hodnocení"/>
    <s v="33141750-2"/>
    <m/>
    <n v="54014586"/>
    <x v="0"/>
    <d v="2024-07-29T00:00:00"/>
    <d v="2024-09-03T00:00:00"/>
    <m/>
    <s v="Zimmer Czech, s.r.o."/>
    <m/>
    <n v="54002810.240000002"/>
    <n v="60483147.469999999"/>
    <m/>
    <m/>
    <m/>
    <m/>
    <m/>
    <x v="2"/>
    <m/>
    <m/>
  </r>
  <r>
    <d v="2024-07-19T00:00:00"/>
    <s v="VZ-2024-000568"/>
    <x v="1"/>
    <s v="Vlčková"/>
    <s v="Hašková"/>
    <x v="334"/>
    <x v="0"/>
    <m/>
    <s v="smlouva v kolečku"/>
    <s v="33600000-6"/>
    <m/>
    <n v="4256236"/>
    <x v="0"/>
    <d v="2024-07-30T00:00:00"/>
    <d v="2024-09-03T00:00:00"/>
    <d v="2024-09-23T00:00:00"/>
    <s v="PHOENIX lék. velkoobchod, s.r.o."/>
    <m/>
    <n v="4247004.87"/>
    <n v="4756645.45"/>
    <m/>
    <m/>
    <m/>
    <d v="2024-09-23T00:00:00"/>
    <s v="SMLN-2024-617-100511"/>
    <x v="2"/>
    <m/>
    <m/>
  </r>
  <r>
    <d v="2024-07-19T00:00:00"/>
    <s v="VZ-2024-000569"/>
    <x v="1"/>
    <s v="Vondrková"/>
    <s v="Bodinková"/>
    <x v="335"/>
    <x v="0"/>
    <m/>
    <s v="podepsaná smlouva"/>
    <s v="33652000-5"/>
    <m/>
    <n v="59950650"/>
    <x v="0"/>
    <d v="2024-08-09T00:00:00"/>
    <d v="2024-09-13T00:00:00"/>
    <d v="2024-09-30T00:00:00"/>
    <s v="Bristol-Myers Squibb spol. s r.o."/>
    <m/>
    <n v="59357075.700000003"/>
    <n v="66479924.780000001"/>
    <m/>
    <m/>
    <m/>
    <d v="2024-09-30T00:00:00"/>
    <s v="SMLN-2024-617-100524"/>
    <x v="102"/>
    <d v="2024-10-07T00:00:00"/>
    <d v="2027-10-03T00:00:00"/>
  </r>
  <r>
    <d v="2024-07-19T00:00:00"/>
    <s v="VZ-2024-000570"/>
    <x v="2"/>
    <s v="Skulová"/>
    <s v="Zdražilová"/>
    <x v="336"/>
    <x v="0"/>
    <m/>
    <s v="smlouva v kolečku"/>
    <s v="33124200-7"/>
    <s v="2.3.850."/>
    <n v="3500000"/>
    <x v="0"/>
    <d v="2024-07-30T00:00:00"/>
    <d v="2024-09-04T00:00:00"/>
    <d v="2024-10-07T00:00:00"/>
    <s v="F medical s.r.o."/>
    <m/>
    <n v="3458935"/>
    <n v="4185311.35"/>
    <m/>
    <m/>
    <m/>
    <d v="2024-10-07T00:00:00"/>
    <s v="SMLN-2024-617-100545_x000a_SMLN-2024-612-100121"/>
    <x v="2"/>
    <m/>
    <m/>
  </r>
  <r>
    <d v="2024-07-19T00:00:00"/>
    <s v="VZ-2024-000571"/>
    <x v="2"/>
    <s v="Skulová"/>
    <s v="Zdražilová"/>
    <x v="337"/>
    <x v="0"/>
    <m/>
    <s v="zrušeno"/>
    <s v="33150000-6"/>
    <s v="2.2.648."/>
    <n v="1116000"/>
    <x v="0"/>
    <d v="2024-08-19T00:00:00"/>
    <d v="2024-09-24T00:00:00"/>
    <m/>
    <s v="zrušeno - bude se opakovat"/>
    <m/>
    <m/>
    <m/>
    <m/>
    <m/>
    <m/>
    <m/>
    <m/>
    <x v="2"/>
    <m/>
    <s v="16.10.2024 vyloučení a zrušení na podpis"/>
  </r>
  <r>
    <d v="2024-07-22T00:00:00"/>
    <s v="VZ-2024-000572"/>
    <x v="2"/>
    <s v="Skulová"/>
    <s v="Zdražilová"/>
    <x v="338"/>
    <x v="0"/>
    <m/>
    <s v="smlouva v kolečku"/>
    <s v="33150000-6"/>
    <s v="2.2.643."/>
    <n v="1515000"/>
    <x v="0"/>
    <d v="2024-08-20T00:00:00"/>
    <d v="2024-09-25T00:00:00"/>
    <d v="2024-10-08T00:00:00"/>
    <s v="BTL zdravotnická technika, a.s."/>
    <m/>
    <n v="1454700"/>
    <n v="1760187"/>
    <m/>
    <m/>
    <m/>
    <d v="2024-10-08T00:00:00"/>
    <s v="SMLN-2024-617-100546_x000a_SMLN-2024-612-100122"/>
    <x v="2"/>
    <m/>
    <m/>
  </r>
  <r>
    <d v="2024-07-22T00:00:00"/>
    <s v="VZ-2024-000573"/>
    <x v="2"/>
    <s v="Skulová"/>
    <s v="Zdražilová"/>
    <x v="339"/>
    <x v="0"/>
    <m/>
    <s v="hodnocení"/>
    <s v="33150000-6"/>
    <s v="2.2.646."/>
    <n v="715000"/>
    <x v="0"/>
    <d v="2024-08-21T00:00:00"/>
    <d v="2024-09-26T00:00:00"/>
    <m/>
    <s v="BTL zdravotnická technika, a.s."/>
    <m/>
    <n v="685620"/>
    <n v="829600.2"/>
    <m/>
    <m/>
    <m/>
    <m/>
    <m/>
    <x v="2"/>
    <m/>
    <m/>
  </r>
  <r>
    <d v="2024-07-22T00:00:00"/>
    <s v="VZ-2024-000574"/>
    <x v="2"/>
    <s v="Skulová"/>
    <s v="Zdražilová"/>
    <x v="340"/>
    <x v="0"/>
    <m/>
    <s v="hodnocení"/>
    <s v="33150000-6"/>
    <s v="2.2.649."/>
    <n v="1030000"/>
    <x v="0"/>
    <d v="2024-08-27T00:00:00"/>
    <d v="2024-10-02T00:00:00"/>
    <m/>
    <s v="BTL zdravotnická technika, a.s."/>
    <m/>
    <n v="1029700"/>
    <n v="1245937"/>
    <m/>
    <m/>
    <m/>
    <m/>
    <m/>
    <x v="2"/>
    <m/>
    <m/>
  </r>
  <r>
    <d v="2024-08-02T00:00:00"/>
    <s v="VZ-2024-000577"/>
    <x v="0"/>
    <s v="Spáčil O."/>
    <s v="Kučera"/>
    <x v="341"/>
    <x v="0"/>
    <m/>
    <s v="zrušeno"/>
    <s v="45215100-8"/>
    <s v="1.2.114."/>
    <n v="75000000"/>
    <x v="2"/>
    <d v="2024-08-09T00:00:00"/>
    <d v="2024-08-30T00:00:00"/>
    <m/>
    <s v="zrušeno - oprava typu zadávacího řízení "/>
    <s v="nová VZ-2024-000631"/>
    <m/>
    <m/>
    <m/>
    <m/>
    <m/>
    <m/>
    <m/>
    <x v="2"/>
    <d v="2024-09-03T00:00:00"/>
    <s v="14.8.2024 zrušeno"/>
  </r>
  <r>
    <d v="2024-07-22T00:00:00"/>
    <s v="VZ-2024-000578"/>
    <x v="1"/>
    <s v="Vlčková"/>
    <s v="Hašková"/>
    <x v="342"/>
    <x v="0"/>
    <m/>
    <s v="smlouva v kolečku"/>
    <s v="33693000-4"/>
    <m/>
    <n v="1692000"/>
    <x v="2"/>
    <d v="2024-07-30T00:00:00"/>
    <d v="2024-08-20T00:00:00"/>
    <d v="2024-09-27T00:00:00"/>
    <s v="Alliance Healthcare s.r.o."/>
    <m/>
    <n v="358140"/>
    <n v="401116.8"/>
    <m/>
    <m/>
    <m/>
    <d v="2024-09-27T00:00:00"/>
    <s v="SMLN-2024-617-100522"/>
    <x v="2"/>
    <m/>
    <m/>
  </r>
  <r>
    <d v="2024-07-23T00:00:00"/>
    <s v="VZ-2024-000581"/>
    <x v="1"/>
    <s v="Vlčková"/>
    <s v="Hašková"/>
    <x v="343"/>
    <x v="0"/>
    <m/>
    <s v="smlouva v kolečku"/>
    <s v="33610000-9"/>
    <m/>
    <n v="4050000"/>
    <x v="0"/>
    <d v="2024-07-30T00:00:00"/>
    <d v="2024-09-03T00:00:00"/>
    <d v="2024-09-27T00:00:00"/>
    <s v="Alliance Healthcare s.r.o."/>
    <m/>
    <n v="3972240"/>
    <n v="4448908.8"/>
    <m/>
    <m/>
    <m/>
    <d v="2024-09-27T00:00:00"/>
    <s v="SMLN-2024-617-100521"/>
    <x v="2"/>
    <m/>
    <m/>
  </r>
  <r>
    <d v="2024-07-29T00:00:00"/>
    <s v="VZ-2024-000582"/>
    <x v="13"/>
    <s v="Jeřábková"/>
    <s v="Staňková"/>
    <x v="344"/>
    <x v="0"/>
    <m/>
    <s v="podepsaná smlouva"/>
    <s v="79800000-2"/>
    <m/>
    <n v="830000"/>
    <x v="1"/>
    <d v="2024-08-05T00:00:00"/>
    <d v="2024-08-16T00:00:00"/>
    <d v="2024-08-22T00:00:00"/>
    <s v="TISKÁRNA . BUDÍK . GRAFIKA  s.r.o."/>
    <m/>
    <n v="502216.67"/>
    <n v="607682.17000000004"/>
    <m/>
    <m/>
    <m/>
    <d v="2024-08-22T00:00:00"/>
    <s v="SMLN-2024-617-100471"/>
    <x v="82"/>
    <d v="2024-08-29T00:00:00"/>
    <d v="2025-08-27T00:00:00"/>
  </r>
  <r>
    <d v="2024-07-24T00:00:00"/>
    <s v="VZ-2024-000583"/>
    <x v="5"/>
    <s v="Valtová"/>
    <s v="Zdražilová"/>
    <x v="345"/>
    <x v="0"/>
    <m/>
    <s v="smlouva v kolečku"/>
    <s v="33182210-4"/>
    <m/>
    <n v="4464285.5999999996"/>
    <x v="0"/>
    <d v="2024-07-26T00:00:00"/>
    <d v="2024-09-12T00:00:00"/>
    <d v="2024-09-30T00:00:00"/>
    <s v="Medtronic Czechia s.r.o."/>
    <m/>
    <n v="4464285.5999999996"/>
    <n v="4999999.87"/>
    <m/>
    <m/>
    <m/>
    <d v="2024-09-30T00:00:00"/>
    <s v="SMLN-2024-617-100525_x000a_SMLN-2024-614-100069_x000a_SMLN-2024-616-100066"/>
    <x v="2"/>
    <m/>
    <m/>
  </r>
  <r>
    <d v="2024-07-25T00:00:00"/>
    <s v="VZ-2024-000584"/>
    <x v="6"/>
    <s v="Kadlec"/>
    <s v="Staňková"/>
    <x v="346"/>
    <x v="0"/>
    <m/>
    <s v="podepsaná smlouva"/>
    <s v="45453000-7"/>
    <m/>
    <n v="650000"/>
    <x v="1"/>
    <d v="2024-07-29T00:00:00"/>
    <d v="2024-08-09T00:00:00"/>
    <d v="2024-08-20T00:00:00"/>
    <s v="POZEMSTAV Prostějov, a.s."/>
    <m/>
    <n v="492031.78"/>
    <n v="595358.44999999995"/>
    <m/>
    <m/>
    <m/>
    <d v="2024-08-20T00:00:00"/>
    <s v="SMLN-2024-618-100045"/>
    <x v="27"/>
    <d v="2024-08-27T00:00:00"/>
    <m/>
  </r>
  <r>
    <d v="2024-08-01T00:00:00"/>
    <s v="VZ-2024-000585"/>
    <x v="4"/>
    <s v="Zdráhalová"/>
    <s v="Zdražilová"/>
    <x v="347"/>
    <x v="0"/>
    <m/>
    <s v="hodnocení"/>
    <s v="33141620-2, 33140000-3"/>
    <m/>
    <n v="3307000"/>
    <x v="0"/>
    <d v="2024-08-07T00:00:00"/>
    <d v="2024-09-12T00:00:00"/>
    <m/>
    <m/>
    <m/>
    <m/>
    <m/>
    <m/>
    <m/>
    <m/>
    <m/>
    <m/>
    <x v="2"/>
    <m/>
    <m/>
  </r>
  <r>
    <d v="2024-07-29T00:00:00"/>
    <s v="VZ-2024-000586"/>
    <x v="2"/>
    <s v="Skulová"/>
    <s v="Staňková"/>
    <x v="348"/>
    <x v="0"/>
    <m/>
    <s v="zrušeno"/>
    <s v="33170000-2"/>
    <s v="2.2.607"/>
    <n v="289900"/>
    <x v="1"/>
    <d v="2024-08-01T00:00:00"/>
    <d v="2024-08-19T00:00:00"/>
    <m/>
    <s v="zrušeno - špatně vyplněný krycí list"/>
    <s v="nová VZ-2024-000654"/>
    <m/>
    <m/>
    <m/>
    <m/>
    <m/>
    <m/>
    <m/>
    <x v="2"/>
    <d v="2024-08-22T00:00:00"/>
    <m/>
  </r>
  <r>
    <d v="2024-08-01T00:00:00"/>
    <s v="VZ-2024-000593"/>
    <x v="1"/>
    <s v="Vondrková"/>
    <s v="Bodinková"/>
    <x v="349"/>
    <x v="0"/>
    <m/>
    <s v="zrušeno"/>
    <s v="33670000-7"/>
    <m/>
    <n v="479867310"/>
    <x v="0"/>
    <d v="2024-08-06T00:00:00"/>
    <d v="2024-10-14T00:00:00"/>
    <m/>
    <s v="zrušeno - bez nabídky"/>
    <m/>
    <m/>
    <m/>
    <m/>
    <m/>
    <m/>
    <m/>
    <m/>
    <x v="2"/>
    <m/>
    <s v="14.10.2024 zrušení na podpis"/>
  </r>
  <r>
    <d v="2024-08-03T00:00:00"/>
    <s v="VZ-2024-000595"/>
    <x v="4"/>
    <s v="Zdráhalová"/>
    <s v="Hašková"/>
    <x v="350"/>
    <x v="0"/>
    <m/>
    <s v="smlouva v kolečku"/>
    <s v="33140000-3"/>
    <m/>
    <n v="2524796"/>
    <x v="2"/>
    <d v="2024-08-19T00:00:00"/>
    <d v="2024-09-09T00:00:00"/>
    <d v="2024-10-01T00:00:00"/>
    <s v="Mölnlycko Health Care, s.r.o."/>
    <m/>
    <n v="2524796"/>
    <n v="2827771.52"/>
    <m/>
    <m/>
    <m/>
    <d v="2024-10-01T00:00:00"/>
    <s v="SMLN-2024-617-100535"/>
    <x v="2"/>
    <m/>
    <m/>
  </r>
  <r>
    <d v="2024-08-01T00:00:00"/>
    <s v="VZ-2024-000598"/>
    <x v="2"/>
    <s v="Skulová"/>
    <s v="Zdražilová"/>
    <x v="351"/>
    <x v="0"/>
    <m/>
    <s v="hodnocení"/>
    <s v="33150000-6"/>
    <s v="2.2.647."/>
    <n v="886334"/>
    <x v="0"/>
    <d v="2024-08-27T00:00:00"/>
    <d v="2024-10-01T00:00:00"/>
    <m/>
    <s v="BTL zdravotnická technika, a.s."/>
    <m/>
    <n v="886030"/>
    <n v="1072096.3"/>
    <m/>
    <m/>
    <m/>
    <m/>
    <m/>
    <x v="2"/>
    <m/>
    <m/>
  </r>
  <r>
    <d v="2024-08-01T00:00:00"/>
    <s v="VZ-2024-000599"/>
    <x v="2"/>
    <s v="Skulová"/>
    <s v="Štýbnarová"/>
    <x v="352"/>
    <x v="0"/>
    <m/>
    <s v="zrušeno"/>
    <s v="33100000-1"/>
    <s v="2.3.851."/>
    <n v="558500"/>
    <x v="1"/>
    <d v="2024-08-07T00:00:00"/>
    <d v="2024-08-19T00:00:00"/>
    <m/>
    <s v="zrušeno - špatně vyplnění KL"/>
    <s v="nová VZ-2024-000758"/>
    <m/>
    <m/>
    <m/>
    <m/>
    <m/>
    <m/>
    <m/>
    <x v="2"/>
    <d v="2024-08-22T00:00:00"/>
    <m/>
  </r>
  <r>
    <d v="2024-08-01T00:00:00"/>
    <s v="VZ-2024-000600-01"/>
    <x v="2"/>
    <s v="Skulová"/>
    <s v="Zdražilová"/>
    <x v="353"/>
    <x v="1"/>
    <s v="UZV pro Radioologii"/>
    <s v="smlouva v kolečku"/>
    <s v="33112200-0"/>
    <s v="2.3.814."/>
    <n v="2960000"/>
    <x v="0"/>
    <d v="2024-08-12T00:00:00"/>
    <d v="2024-09-16T00:00:00"/>
    <d v="2024-10-15T00:00:00"/>
    <s v="NIMOTECH, s.r.o."/>
    <m/>
    <n v="2924913.44"/>
    <n v="3539145.26"/>
    <m/>
    <m/>
    <m/>
    <d v="2024-10-15T00:00:00"/>
    <s v="SMLN-2024-617-100561_x000a_SMLN-2024-612-100127"/>
    <x v="2"/>
    <m/>
    <m/>
  </r>
  <r>
    <d v="2024-08-01T00:00:00"/>
    <s v="VZ-2024-000600-02"/>
    <x v="2"/>
    <s v="Skulová"/>
    <s v="Zdražilová"/>
    <x v="353"/>
    <x v="2"/>
    <s v="UZV pro Neurologii"/>
    <s v="smlouva v kolečku"/>
    <s v="33112200-0"/>
    <s v="2.3.807."/>
    <n v="2060000"/>
    <x v="0"/>
    <d v="2024-08-12T00:00:00"/>
    <d v="2024-09-16T00:00:00"/>
    <d v="2024-10-15T00:00:00"/>
    <s v="Electric Medical Service, s.r.o."/>
    <m/>
    <n v="1956800"/>
    <n v="2367728"/>
    <m/>
    <m/>
    <m/>
    <d v="2024-10-15T00:00:00"/>
    <s v="SMLN-2024-617-100562_x000a_SMLN-2024-612-100128"/>
    <x v="2"/>
    <m/>
    <m/>
  </r>
  <r>
    <d v="2024-08-01T00:00:00"/>
    <s v="VZ-2024-000600-03"/>
    <x v="2"/>
    <s v="Skulová"/>
    <s v="Zdražilová"/>
    <x v="353"/>
    <x v="3"/>
    <s v="Bezdrátové  UZV"/>
    <s v="smlouva v kolečku"/>
    <s v="33112200-0"/>
    <s v="2.2.658, 2.2.637"/>
    <n v="529388"/>
    <x v="0"/>
    <d v="2024-08-12T00:00:00"/>
    <d v="2024-09-16T00:00:00"/>
    <d v="2024-10-15T00:00:00"/>
    <s v="Electric Medical Service, s.r.o."/>
    <m/>
    <n v="506800"/>
    <n v="613228"/>
    <m/>
    <m/>
    <m/>
    <d v="2024-10-15T00:00:00"/>
    <s v="SMLN-2024-617-100563_x000a_SMLN-2024-612-100129"/>
    <x v="2"/>
    <m/>
    <m/>
  </r>
  <r>
    <d v="2024-08-29T00:00:00"/>
    <s v="VZ-2024-000601-01"/>
    <x v="5"/>
    <s v="Dočkalová"/>
    <s v="Hašková"/>
    <x v="354"/>
    <x v="1"/>
    <s v="Podložky pod nemocné jednorázové I."/>
    <s v="vypsaná VZ"/>
    <s v="33141621-9, 33140000-3"/>
    <m/>
    <n v="203520"/>
    <x v="0"/>
    <d v="2024-09-03T00:00:00"/>
    <d v="2024-10-31T00:00:00"/>
    <m/>
    <m/>
    <m/>
    <m/>
    <m/>
    <m/>
    <m/>
    <m/>
    <m/>
    <m/>
    <x v="2"/>
    <m/>
    <m/>
  </r>
  <r>
    <d v="2024-08-29T00:00:00"/>
    <s v="VZ-2024-000601-02"/>
    <x v="5"/>
    <s v="Dočkalová"/>
    <s v="Hašková"/>
    <x v="354"/>
    <x v="2"/>
    <s v="Podložky pod nemocné jednorázové II."/>
    <s v="vypsaná VZ"/>
    <s v="33141621-9, 33140000-3"/>
    <m/>
    <n v="4336400"/>
    <x v="0"/>
    <d v="2024-09-03T00:00:00"/>
    <d v="2024-10-31T00:00:00"/>
    <m/>
    <m/>
    <m/>
    <m/>
    <m/>
    <m/>
    <m/>
    <m/>
    <m/>
    <m/>
    <x v="2"/>
    <m/>
    <m/>
  </r>
  <r>
    <d v="2024-08-01T00:00:00"/>
    <s v="VZ-2024-000602"/>
    <x v="2"/>
    <s v="Skulová"/>
    <s v="Zdražilová"/>
    <x v="355"/>
    <x v="0"/>
    <m/>
    <s v="hodnocení"/>
    <s v="38000000-5"/>
    <s v="2.2.558."/>
    <n v="4880880"/>
    <x v="0"/>
    <d v="2024-08-26T00:00:00"/>
    <d v="2024-09-30T00:00:00"/>
    <m/>
    <m/>
    <m/>
    <m/>
    <m/>
    <m/>
    <m/>
    <m/>
    <m/>
    <m/>
    <x v="2"/>
    <m/>
    <m/>
  </r>
  <r>
    <d v="2024-08-08T00:00:00"/>
    <s v="VZ-2024-000603-01"/>
    <x v="1"/>
    <s v="Vlčková"/>
    <s v="Bodinková"/>
    <x v="356"/>
    <x v="1"/>
    <s v="Koncentrovaný práškový přípravek s účinnou látkou bez obsahu chlóru "/>
    <s v="vypsaná VZ"/>
    <s v="33631600-8"/>
    <m/>
    <n v="136164"/>
    <x v="0"/>
    <d v="2024-09-04T00:00:00"/>
    <d v="2024-11-01T00:00:00"/>
    <m/>
    <m/>
    <m/>
    <m/>
    <m/>
    <m/>
    <m/>
    <m/>
    <m/>
    <m/>
    <x v="2"/>
    <m/>
    <m/>
  </r>
  <r>
    <d v="2024-08-08T00:00:00"/>
    <s v="VZ-2024-000603-02"/>
    <x v="1"/>
    <s v="Vlčková"/>
    <s v="Bodinková"/>
    <x v="356"/>
    <x v="2"/>
    <s v="Dezinfekční přípravek s obsahem chlóru ve formě tablet"/>
    <s v="vypsaná VZ"/>
    <s v="33631600-8"/>
    <m/>
    <n v="26400"/>
    <x v="0"/>
    <d v="2024-09-04T00:00:00"/>
    <d v="2024-11-01T00:00:00"/>
    <m/>
    <m/>
    <m/>
    <m/>
    <m/>
    <m/>
    <m/>
    <m/>
    <m/>
    <m/>
    <x v="2"/>
    <m/>
    <m/>
  </r>
  <r>
    <d v="2024-08-08T00:00:00"/>
    <s v="VZ-2024-000603-03"/>
    <x v="1"/>
    <s v="Vlčková"/>
    <s v="Bodinková"/>
    <x v="356"/>
    <x v="3"/>
    <s v="Bezbarvý tekutý alkoholový dezinfekční přípravek k okamžitému použití k dezinfekci kůže před vpichem s obsahem chlorhexidinglukonátu do 1% a oxidativních látek  do 0,5%, bez obsahu jódu"/>
    <s v="vypsaná VZ"/>
    <s v="33631600-8"/>
    <m/>
    <n v="9100"/>
    <x v="0"/>
    <d v="2024-09-04T00:00:00"/>
    <d v="2024-11-01T00:00:00"/>
    <m/>
    <m/>
    <m/>
    <m/>
    <m/>
    <m/>
    <m/>
    <m/>
    <m/>
    <m/>
    <x v="2"/>
    <m/>
    <m/>
  </r>
  <r>
    <d v="2024-08-02T00:00:00"/>
    <s v="VZ-2024-000604-01"/>
    <x v="5"/>
    <s v="Valtová"/>
    <s v="Hašková"/>
    <x v="357"/>
    <x v="1"/>
    <s v="Pouzdra zaváděcí k vaskulárním intervencím"/>
    <s v="vypsaná VZ"/>
    <s v="33140000-3"/>
    <m/>
    <n v="2550636.5"/>
    <x v="0"/>
    <d v="2024-08-29T00:00:00"/>
    <d v="2024-10-29T00:00:00"/>
    <m/>
    <m/>
    <m/>
    <m/>
    <m/>
    <m/>
    <m/>
    <m/>
    <m/>
    <m/>
    <x v="2"/>
    <m/>
    <m/>
  </r>
  <r>
    <d v="2024-08-02T00:00:00"/>
    <s v="VZ-2024-000604-02"/>
    <x v="5"/>
    <s v="Valtová"/>
    <s v="Hašková"/>
    <x v="357"/>
    <x v="2"/>
    <s v="Speciální zaváděcí pouzdra k vaskulárním intervencím I."/>
    <s v="vypsaná VZ"/>
    <s v="33140000-3"/>
    <m/>
    <n v="3546792.4"/>
    <x v="0"/>
    <d v="2024-08-29T00:00:00"/>
    <d v="2024-10-29T00:00:00"/>
    <m/>
    <m/>
    <m/>
    <m/>
    <m/>
    <m/>
    <m/>
    <m/>
    <m/>
    <m/>
    <x v="2"/>
    <m/>
    <m/>
  </r>
  <r>
    <d v="2024-08-02T00:00:00"/>
    <s v="VZ-2024-000604-03"/>
    <x v="5"/>
    <s v="Valtová"/>
    <s v="Hašková"/>
    <x v="357"/>
    <x v="3"/>
    <s v="Speciální zaváděcí pouzdra k vaskulárním intervencím II."/>
    <s v="vypsaná VZ"/>
    <s v="33140000-3"/>
    <m/>
    <n v="69841.2"/>
    <x v="0"/>
    <d v="2024-08-29T00:00:00"/>
    <d v="2024-10-29T00:00:00"/>
    <m/>
    <m/>
    <m/>
    <m/>
    <m/>
    <m/>
    <m/>
    <m/>
    <m/>
    <m/>
    <x v="2"/>
    <m/>
    <m/>
  </r>
  <r>
    <d v="2024-08-02T00:00:00"/>
    <s v="VZ-2024-000604-04"/>
    <x v="5"/>
    <s v="Valtová"/>
    <s v="Hašková"/>
    <x v="357"/>
    <x v="4"/>
    <s v="Mikropunkční sety"/>
    <s v="vypsaná VZ"/>
    <s v="33140000-3"/>
    <m/>
    <n v="194400"/>
    <x v="0"/>
    <d v="2024-08-29T00:00:00"/>
    <d v="2024-10-29T00:00:00"/>
    <m/>
    <m/>
    <m/>
    <m/>
    <m/>
    <m/>
    <m/>
    <m/>
    <m/>
    <m/>
    <x v="2"/>
    <m/>
    <m/>
  </r>
  <r>
    <d v="2024-08-01T00:00:00"/>
    <s v="VZ-2024-000605"/>
    <x v="2"/>
    <s v="Skulová"/>
    <s v="Staňková"/>
    <x v="358"/>
    <x v="0"/>
    <m/>
    <s v="podepsaná smlouva"/>
    <s v="73100000-3"/>
    <m/>
    <n v="200000"/>
    <x v="1"/>
    <d v="2024-08-08T00:00:00"/>
    <d v="2024-08-19T00:00:00"/>
    <d v="2024-08-26T00:00:00"/>
    <s v="Univerzita Palackého v Olomouci"/>
    <m/>
    <n v="183233.16"/>
    <n v="221712.12"/>
    <m/>
    <m/>
    <m/>
    <d v="2024-08-26T00:00:00"/>
    <s v="SMLN-2024-612-100106"/>
    <x v="75"/>
    <d v="2024-09-09T00:00:00"/>
    <d v="2025-12-31T00:00:00"/>
  </r>
  <r>
    <d v="2024-08-02T00:00:00"/>
    <s v="VZ-2024-000606"/>
    <x v="5"/>
    <s v="Dočkalová"/>
    <s v="Štýbnarová"/>
    <x v="359"/>
    <x v="0"/>
    <m/>
    <s v="podepsaná smlouva"/>
    <s v="33692500-2, 33141310-6"/>
    <m/>
    <n v="1305650"/>
    <x v="1"/>
    <d v="2024-08-07T00:00:00"/>
    <d v="2024-08-19T00:00:00"/>
    <d v="2024-08-26T00:00:00"/>
    <s v="Olympus Czech Group, s.r.o., člen koncernu"/>
    <m/>
    <n v="1374336"/>
    <n v="1539256.3200000001"/>
    <m/>
    <m/>
    <m/>
    <d v="2024-08-26T00:00:00"/>
    <s v="SMLN-2024-617-100476"/>
    <x v="93"/>
    <d v="2024-09-04T00:00:00"/>
    <d v="2028-09-03T00:00:00"/>
  </r>
  <r>
    <d v="2024-08-20T00:00:00"/>
    <s v="VZ-2024-000607-01"/>
    <x v="5"/>
    <s v="Valtová"/>
    <s v="Hašková"/>
    <x v="360"/>
    <x v="1"/>
    <s v="Mikrokatétry neurointervenční IV."/>
    <s v="hodnocení"/>
    <s v="33140000-3"/>
    <m/>
    <n v="3469920"/>
    <x v="0"/>
    <d v="2024-08-28T00:00:00"/>
    <d v="2024-10-02T00:00:00"/>
    <m/>
    <m/>
    <m/>
    <m/>
    <m/>
    <m/>
    <m/>
    <m/>
    <m/>
    <m/>
    <x v="2"/>
    <m/>
    <m/>
  </r>
  <r>
    <d v="2024-08-20T00:00:00"/>
    <s v="VZ-2024-000607-02"/>
    <x v="5"/>
    <s v="Valtová"/>
    <s v="Hašková"/>
    <x v="360"/>
    <x v="2"/>
    <s v="Mikrokatétry neurointervenční V."/>
    <s v="hodnocení"/>
    <s v="33140000-3"/>
    <m/>
    <n v="904800"/>
    <x v="0"/>
    <d v="2024-08-28T00:00:00"/>
    <d v="2024-10-02T00:00:00"/>
    <m/>
    <m/>
    <m/>
    <m/>
    <m/>
    <m/>
    <m/>
    <m/>
    <m/>
    <m/>
    <x v="2"/>
    <m/>
    <m/>
  </r>
  <r>
    <d v="2024-08-20T00:00:00"/>
    <s v="VZ-2024-000607-03"/>
    <x v="5"/>
    <s v="Valtová"/>
    <s v="Hašková"/>
    <x v="360"/>
    <x v="3"/>
    <s v="Mikrokatétry neurointervenční VI."/>
    <s v="hodnocení"/>
    <s v="33140000-3"/>
    <m/>
    <n v="1156560"/>
    <x v="0"/>
    <d v="2024-08-28T00:00:00"/>
    <d v="2024-10-02T00:00:00"/>
    <m/>
    <m/>
    <m/>
    <m/>
    <m/>
    <m/>
    <m/>
    <m/>
    <m/>
    <m/>
    <x v="2"/>
    <m/>
    <m/>
  </r>
  <r>
    <d v="2024-09-09T00:00:00"/>
    <s v="VZ-2024-000608"/>
    <x v="1"/>
    <s v="Vondrková"/>
    <s v="Hašková"/>
    <x v="361"/>
    <x v="0"/>
    <m/>
    <s v="vypsaná VZ"/>
    <s v="33651200-0"/>
    <m/>
    <n v="2187457"/>
    <x v="0"/>
    <d v="2024-09-13T00:00:00"/>
    <d v="2024-10-18T00:00:00"/>
    <m/>
    <m/>
    <m/>
    <m/>
    <m/>
    <m/>
    <m/>
    <m/>
    <m/>
    <m/>
    <x v="2"/>
    <m/>
    <m/>
  </r>
  <r>
    <d v="2024-08-21T00:00:00"/>
    <s v="VZ-2024-000609"/>
    <x v="5"/>
    <s v="Valtová"/>
    <s v="Hašková"/>
    <x v="362"/>
    <x v="0"/>
    <m/>
    <s v="hodnocení"/>
    <s v="33140000-3"/>
    <m/>
    <n v="3306182"/>
    <x v="0"/>
    <d v="2024-08-28T00:00:00"/>
    <d v="2024-10-14T00:00:00"/>
    <m/>
    <m/>
    <m/>
    <m/>
    <m/>
    <m/>
    <m/>
    <m/>
    <m/>
    <m/>
    <x v="2"/>
    <m/>
    <m/>
  </r>
  <r>
    <d v="2024-08-21T00:00:00"/>
    <s v="VZ-2024-000611"/>
    <x v="5"/>
    <s v="Valtová"/>
    <s v="Zdražilová"/>
    <x v="363"/>
    <x v="0"/>
    <m/>
    <s v="vypsaná VZ"/>
    <s v="33140000-3"/>
    <m/>
    <n v="39203700"/>
    <x v="0"/>
    <d v="2024-09-04T00:00:00"/>
    <d v="2024-10-30T00:00:00"/>
    <m/>
    <m/>
    <m/>
    <m/>
    <m/>
    <m/>
    <m/>
    <m/>
    <m/>
    <m/>
    <x v="2"/>
    <m/>
    <m/>
  </r>
  <r>
    <d v="2024-08-19T00:00:00"/>
    <s v="VZ-2024-000612"/>
    <x v="8"/>
    <s v="Novák"/>
    <s v="Staňková"/>
    <x v="364"/>
    <x v="0"/>
    <m/>
    <s v="podepsaná smlouva"/>
    <s v="33194100-7"/>
    <m/>
    <n v="516396"/>
    <x v="1"/>
    <d v="2024-08-22T00:00:00"/>
    <d v="2024-09-02T00:00:00"/>
    <d v="2024-09-03T00:00:00"/>
    <s v="B. Braun Medical s.r.o."/>
    <m/>
    <n v="516396"/>
    <n v="624839.16"/>
    <m/>
    <m/>
    <m/>
    <d v="2024-09-03T00:00:00"/>
    <s v="SMLN-2024-617-100487"/>
    <x v="45"/>
    <d v="2024-09-17T00:00:00"/>
    <d v="2025-03-15T00:00:00"/>
  </r>
  <r>
    <d v="2024-08-19T00:00:00"/>
    <s v="VZ-2024-000613"/>
    <x v="2"/>
    <s v="Skulová"/>
    <s v="Štýbnarová"/>
    <x v="365"/>
    <x v="0"/>
    <m/>
    <s v="zrušeno"/>
    <s v="38000000-5"/>
    <s v="2.3.809."/>
    <n v="220000"/>
    <x v="1"/>
    <d v="2024-08-23T00:00:00"/>
    <d v="2024-09-03T00:00:00"/>
    <m/>
    <s v="zrušeno "/>
    <s v="nová VZ-2024-000759"/>
    <m/>
    <m/>
    <m/>
    <m/>
    <m/>
    <m/>
    <m/>
    <x v="2"/>
    <d v="2024-09-09T00:00:00"/>
    <m/>
  </r>
  <r>
    <d v="2024-08-09T00:00:00"/>
    <s v="VZ-2024-000614"/>
    <x v="1"/>
    <s v="Vlčková"/>
    <s v="Bodinková"/>
    <x v="366"/>
    <x v="0"/>
    <m/>
    <s v="hodnocení"/>
    <s v="09343000-5"/>
    <m/>
    <n v="1617724"/>
    <x v="0"/>
    <d v="2024-08-19T00:00:00"/>
    <d v="2024-09-23T00:00:00"/>
    <m/>
    <m/>
    <m/>
    <m/>
    <m/>
    <m/>
    <m/>
    <m/>
    <m/>
    <m/>
    <x v="2"/>
    <m/>
    <m/>
  </r>
  <r>
    <d v="2024-08-08T00:00:00"/>
    <s v="VZ-2024-000615"/>
    <x v="1"/>
    <s v="Vondrková"/>
    <s v="Bodinková"/>
    <x v="367"/>
    <x v="0"/>
    <m/>
    <s v="hodnocení"/>
    <s v="33652000-5"/>
    <m/>
    <n v="4963290"/>
    <x v="0"/>
    <d v="2024-08-26T00:00:00"/>
    <d v="2024-09-30T00:00:00"/>
    <m/>
    <m/>
    <m/>
    <m/>
    <m/>
    <m/>
    <m/>
    <m/>
    <m/>
    <m/>
    <x v="2"/>
    <m/>
    <m/>
  </r>
  <r>
    <d v="2024-08-08T00:00:00"/>
    <s v="VZ-2024-000616-01"/>
    <x v="1"/>
    <s v="Vlčková"/>
    <s v="Bodinková"/>
    <x v="368"/>
    <x v="1"/>
    <s v="TOPIRAMAT"/>
    <s v="zrušeno"/>
    <s v="33661300-4"/>
    <m/>
    <n v="424500"/>
    <x v="0"/>
    <d v="2024-08-19T00:00:00"/>
    <d v="2024-09-30T00:00:00"/>
    <m/>
    <s v="zrušeno - bez nabídky"/>
    <m/>
    <m/>
    <m/>
    <m/>
    <m/>
    <m/>
    <m/>
    <m/>
    <x v="2"/>
    <d v="2024-10-03T00:00:00"/>
    <s v="3.10.2024 zrušeno"/>
  </r>
  <r>
    <d v="2024-08-08T00:00:00"/>
    <s v="VZ-2024-000616-02"/>
    <x v="1"/>
    <s v="Vlčková"/>
    <s v="Bodinková"/>
    <x v="368"/>
    <x v="2"/>
    <s v="LAKOSAMID"/>
    <s v="zrušeno"/>
    <s v="33661300-4"/>
    <m/>
    <n v="1688721"/>
    <x v="0"/>
    <d v="2024-08-19T00:00:00"/>
    <d v="2024-09-30T00:00:00"/>
    <m/>
    <s v="zrušeno - bez nabídky"/>
    <m/>
    <m/>
    <m/>
    <m/>
    <m/>
    <m/>
    <m/>
    <m/>
    <x v="2"/>
    <d v="2024-10-03T00:00:00"/>
    <s v="3.10.2024 zrušeno"/>
  </r>
  <r>
    <d v="2024-08-08T00:00:00"/>
    <s v="VZ-2024-000616-03"/>
    <x v="1"/>
    <s v="Vlčková"/>
    <s v="Bodinková"/>
    <x v="368"/>
    <x v="3"/>
    <s v="LAKOSAMID II"/>
    <s v="hodnocení"/>
    <s v="33661300-4"/>
    <m/>
    <n v="100140"/>
    <x v="0"/>
    <d v="2024-08-19T00:00:00"/>
    <d v="2024-09-30T00:00:00"/>
    <m/>
    <s v="PHOENIX lék. velkoobchod, s.r.o."/>
    <m/>
    <n v="96772.29"/>
    <n v="108384.96000000001"/>
    <m/>
    <m/>
    <m/>
    <m/>
    <m/>
    <x v="2"/>
    <m/>
    <m/>
  </r>
  <r>
    <d v="2024-08-26T00:00:00"/>
    <s v="VZ-2024-000617"/>
    <x v="3"/>
    <s v="Zemánková"/>
    <s v="Bodinková"/>
    <x v="369"/>
    <x v="0"/>
    <m/>
    <s v="hodnocení"/>
    <s v="33694000-1, 38434000-6"/>
    <s v="2.4.254"/>
    <n v="9048000"/>
    <x v="4"/>
    <d v="2024-09-04T00:00:00"/>
    <d v="2024-10-03T00:00:00"/>
    <m/>
    <m/>
    <m/>
    <m/>
    <m/>
    <m/>
    <m/>
    <m/>
    <m/>
    <m/>
    <x v="2"/>
    <m/>
    <m/>
  </r>
  <r>
    <d v="2024-08-19T00:00:00"/>
    <s v="VZ-2024-000618"/>
    <x v="2"/>
    <s v="Skulová"/>
    <s v="Staňková"/>
    <x v="370"/>
    <x v="0"/>
    <m/>
    <s v="podepsaná smlouva"/>
    <s v="39711110-3"/>
    <s v="2.3.852, 2.3.853"/>
    <n v="170000"/>
    <x v="1"/>
    <d v="2024-08-23T00:00:00"/>
    <d v="2024-09-03T00:00:00"/>
    <d v="2024-09-06T00:00:00"/>
    <s v="Unimed Praha  s.r.o."/>
    <m/>
    <n v="133334"/>
    <n v="161334.14000000001"/>
    <m/>
    <m/>
    <m/>
    <d v="2024-09-06T00:00:00"/>
    <s v="SMLN-2024-617-100497_x000a_SMLN-2024-612-100110"/>
    <x v="94"/>
    <d v="2024-10-07T00:00:00"/>
    <d v="2024-12-02T00:00:00"/>
  </r>
  <r>
    <d v="2024-08-08T00:00:00"/>
    <s v="VZ-2024-000619"/>
    <x v="1"/>
    <s v="Vondrková"/>
    <s v="Bodinková"/>
    <x v="371"/>
    <x v="0"/>
    <m/>
    <s v="vypsaná VZ"/>
    <s v="33652100-6"/>
    <m/>
    <n v="2790000"/>
    <x v="0"/>
    <d v="2024-08-13T00:00:00"/>
    <d v="2024-12-04T00:00:00"/>
    <m/>
    <m/>
    <m/>
    <m/>
    <m/>
    <m/>
    <m/>
    <m/>
    <m/>
    <m/>
    <x v="2"/>
    <m/>
    <m/>
  </r>
  <r>
    <d v="2024-08-19T00:00:00"/>
    <s v="VZ-2024-000620"/>
    <x v="2"/>
    <s v="Skulová"/>
    <s v="Štýbnarová"/>
    <x v="372"/>
    <x v="0"/>
    <m/>
    <s v="zrušeno"/>
    <s v="33162000-3"/>
    <s v="2.2.659."/>
    <n v="116000"/>
    <x v="1"/>
    <d v="2024-08-23T00:00:00"/>
    <d v="2024-09-03T00:00:00"/>
    <m/>
    <s v="zrušeno - bez nabídky"/>
    <s v="nová VZ-2024-000692"/>
    <m/>
    <m/>
    <m/>
    <m/>
    <m/>
    <m/>
    <m/>
    <x v="2"/>
    <d v="2024-09-03T00:00:00"/>
    <m/>
  </r>
  <r>
    <d v="2024-08-08T00:00:00"/>
    <s v="VZ-2024-000621"/>
    <x v="1"/>
    <s v="Vondrková"/>
    <s v="Bodinková"/>
    <x v="373"/>
    <x v="0"/>
    <m/>
    <s v="hodnocení"/>
    <s v="33662100-9"/>
    <m/>
    <n v="4512961"/>
    <x v="0"/>
    <d v="2024-08-26T00:00:00"/>
    <d v="2024-09-30T00:00:00"/>
    <m/>
    <s v="PHOENIX lék. velkoobchod, s.r.o."/>
    <m/>
    <n v="4483532.7"/>
    <n v="5021556.62"/>
    <m/>
    <m/>
    <m/>
    <m/>
    <m/>
    <x v="2"/>
    <m/>
    <m/>
  </r>
  <r>
    <d v="2024-08-09T00:00:00"/>
    <s v="VZ-2024-000622"/>
    <x v="1"/>
    <s v="Vlčková"/>
    <s v="Bodinková"/>
    <x v="374"/>
    <x v="0"/>
    <m/>
    <s v="vypsaná VZ"/>
    <s v="33652300-8"/>
    <m/>
    <n v="12842048"/>
    <x v="0"/>
    <d v="2024-08-26T00:00:00"/>
    <d v="2024-11-01T00:00:00"/>
    <m/>
    <m/>
    <m/>
    <m/>
    <m/>
    <m/>
    <m/>
    <m/>
    <m/>
    <m/>
    <x v="2"/>
    <m/>
    <m/>
  </r>
  <r>
    <d v="2024-08-21T00:00:00"/>
    <s v="VZ-2024-000623"/>
    <x v="4"/>
    <s v="Zdráhalová"/>
    <s v="Zdražilová"/>
    <x v="375"/>
    <x v="0"/>
    <m/>
    <s v="vypsaná VZ"/>
    <s v="33140000-3"/>
    <m/>
    <n v="2430000"/>
    <x v="0"/>
    <d v="2024-08-29T00:00:00"/>
    <d v="2024-10-17T00:00:00"/>
    <m/>
    <m/>
    <m/>
    <m/>
    <m/>
    <m/>
    <m/>
    <m/>
    <m/>
    <m/>
    <x v="2"/>
    <m/>
    <m/>
  </r>
  <r>
    <d v="2024-08-13T00:00:00"/>
    <s v="VZ-2024-000624"/>
    <x v="3"/>
    <s v="Zemánková"/>
    <s v="Bodinková"/>
    <x v="376"/>
    <x v="0"/>
    <m/>
    <s v="podepsaná smlouva"/>
    <s v="33694000-1,38434000-6"/>
    <m/>
    <n v="8454850"/>
    <x v="4"/>
    <d v="2024-08-26T00:00:00"/>
    <d v="2024-09-06T00:00:00"/>
    <d v="2024-09-25T00:00:00"/>
    <s v="_x0009_&quot;APR&quot; spol. s r.o."/>
    <m/>
    <n v="6501000"/>
    <n v="7281120"/>
    <m/>
    <m/>
    <m/>
    <d v="2024-09-25T00:00:00"/>
    <s v="SMLN-2024-617-100519_x000a_SMLN-2024-616-100065"/>
    <x v="68"/>
    <d v="2024-10-15T00:00:00"/>
    <s v="4 roky s prolongací"/>
  </r>
  <r>
    <s v="VZ-2024-000426"/>
    <s v="VZ-2024-000626"/>
    <x v="1"/>
    <s v="Vondrková"/>
    <s v="Bodinková"/>
    <x v="377"/>
    <x v="0"/>
    <m/>
    <s v="hodnocení"/>
    <s v="33652300-8"/>
    <m/>
    <n v="15562500"/>
    <x v="0"/>
    <d v="2024-08-26T00:00:00"/>
    <d v="2024-09-30T00:00:00"/>
    <m/>
    <m/>
    <m/>
    <m/>
    <m/>
    <m/>
    <m/>
    <m/>
    <m/>
    <m/>
    <x v="2"/>
    <m/>
    <m/>
  </r>
  <r>
    <d v="2024-08-13T00:00:00"/>
    <s v="VZ-2024-000628"/>
    <x v="1"/>
    <s v="Vondrková"/>
    <s v="Bodinková"/>
    <x v="378"/>
    <x v="0"/>
    <m/>
    <s v="smlouva v kolečku"/>
    <s v="09343000-5"/>
    <m/>
    <n v="11778125"/>
    <x v="4"/>
    <d v="2024-08-30T00:00:00"/>
    <d v="2024-09-16T00:00:00"/>
    <d v="2024-10-10T00:00:00"/>
    <s v="M.G.P. spol. s r.o."/>
    <m/>
    <n v="11778124.800000001"/>
    <n v="13191499.779999999"/>
    <m/>
    <m/>
    <m/>
    <d v="2024-10-10T00:00:00"/>
    <s v="SMLN-2024-617-100552"/>
    <x v="2"/>
    <m/>
    <m/>
  </r>
  <r>
    <d v="2024-08-19T00:00:00"/>
    <s v="VZ-2024-000629"/>
    <x v="6"/>
    <s v="Srovnal"/>
    <s v="Kučera"/>
    <x v="379"/>
    <x v="0"/>
    <m/>
    <s v="hodnocení"/>
    <s v="50711000-2"/>
    <m/>
    <n v="3600000"/>
    <x v="0"/>
    <d v="2024-09-03T00:00:00"/>
    <d v="2024-10-08T00:00:00"/>
    <m/>
    <m/>
    <m/>
    <m/>
    <m/>
    <m/>
    <m/>
    <m/>
    <m/>
    <m/>
    <x v="2"/>
    <m/>
    <m/>
  </r>
  <r>
    <d v="2024-09-12T00:00:00"/>
    <s v="VZ-2024-000630"/>
    <x v="13"/>
    <s v="Hrabálek"/>
    <s v="Štýbnarová"/>
    <x v="380"/>
    <x v="0"/>
    <m/>
    <s v="smlouva v kolečku"/>
    <s v="55120000-7, 55110000-4"/>
    <m/>
    <n v="1000000"/>
    <x v="1"/>
    <d v="2024-09-13T00:00:00"/>
    <d v="2024-09-24T00:00:00"/>
    <d v="2024-09-27T00:00:00"/>
    <s v="CENTRAL PARK FLORA s.r.o."/>
    <m/>
    <n v="375163.65"/>
    <n v="430450"/>
    <m/>
    <m/>
    <m/>
    <d v="2024-09-27T00:00:00"/>
    <s v="SMLN-2024-612-100117"/>
    <x v="2"/>
    <m/>
    <m/>
  </r>
  <r>
    <d v="2024-08-14T00:00:00"/>
    <s v="VZ-2024-000631"/>
    <x v="0"/>
    <s v="Spáčil O."/>
    <s v="Kučera"/>
    <x v="381"/>
    <x v="0"/>
    <m/>
    <s v="smlouva v kolečku"/>
    <s v="45215100-8"/>
    <s v="1.2.114."/>
    <n v="75000000"/>
    <x v="0"/>
    <d v="2024-08-14T00:00:00"/>
    <d v="2024-09-30T00:00:00"/>
    <d v="2024-10-15T00:00:00"/>
    <s v="OHLA ŽS, a.s."/>
    <m/>
    <n v="99611408.659999996"/>
    <n v="120529804.48"/>
    <m/>
    <m/>
    <m/>
    <d v="2024-10-15T00:00:00"/>
    <s v="SMLN-2024-618-100059"/>
    <x v="2"/>
    <m/>
    <m/>
  </r>
  <r>
    <d v="2024-09-20T00:00:00"/>
    <s v="VZ-2024-000632"/>
    <x v="6"/>
    <s v="Srovnal"/>
    <s v="Kučera"/>
    <x v="382"/>
    <x v="0"/>
    <m/>
    <s v="hodnocení"/>
    <s v="45453100-8"/>
    <m/>
    <n v="9500000"/>
    <x v="2"/>
    <d v="2024-09-24T00:00:00"/>
    <d v="2024-10-11T00:00:00"/>
    <m/>
    <m/>
    <m/>
    <m/>
    <m/>
    <m/>
    <m/>
    <m/>
    <m/>
    <m/>
    <x v="2"/>
    <m/>
    <m/>
  </r>
  <r>
    <d v="2024-08-15T00:00:00"/>
    <s v="VZ-2024-000635"/>
    <x v="6"/>
    <s v="Kadlec"/>
    <s v="Staňková"/>
    <x v="383"/>
    <x v="0"/>
    <m/>
    <s v="smlouva v kolečku"/>
    <s v="45111100-9"/>
    <m/>
    <n v="750000"/>
    <x v="1"/>
    <d v="2024-08-21T00:00:00"/>
    <d v="2024-09-02T00:00:00"/>
    <d v="2024-10-08T00:00:00"/>
    <s v="Stavby Střechy Komíny s.r.o."/>
    <m/>
    <n v="1202647.8"/>
    <n v="1455203.84"/>
    <m/>
    <m/>
    <m/>
    <d v="2024-10-08T00:00:00"/>
    <s v="SMLN-2024-618-100056"/>
    <x v="2"/>
    <m/>
    <m/>
  </r>
  <r>
    <d v="2024-08-19T00:00:00"/>
    <s v="VZ-2024-000636"/>
    <x v="8"/>
    <s v="Novák"/>
    <s v="Zdražilová"/>
    <x v="384"/>
    <x v="0"/>
    <m/>
    <s v="hodnocení"/>
    <s v="33192000-2"/>
    <m/>
    <n v="2000000"/>
    <x v="0"/>
    <d v="2024-09-04T00:00:00"/>
    <d v="2024-10-09T00:00:00"/>
    <m/>
    <m/>
    <m/>
    <m/>
    <m/>
    <m/>
    <m/>
    <m/>
    <m/>
    <m/>
    <x v="2"/>
    <m/>
    <m/>
  </r>
  <r>
    <d v="2024-08-19T00:00:00"/>
    <s v="VZ-2024-000637"/>
    <x v="8"/>
    <s v="Novák"/>
    <s v="Zdražilová"/>
    <x v="385"/>
    <x v="0"/>
    <m/>
    <s v="vypsaná VZ"/>
    <s v="33192300-5"/>
    <m/>
    <n v="2160000"/>
    <x v="0"/>
    <d v="2024-09-05T00:00:00"/>
    <d v="2024-11-07T00:00:00"/>
    <m/>
    <m/>
    <m/>
    <m/>
    <m/>
    <m/>
    <m/>
    <m/>
    <m/>
    <m/>
    <x v="2"/>
    <m/>
    <m/>
  </r>
  <r>
    <d v="2024-08-20T00:00:00"/>
    <s v="VZ-2024-000638"/>
    <x v="2"/>
    <s v="Skulová"/>
    <s v="Zdražilová"/>
    <x v="386"/>
    <x v="0"/>
    <m/>
    <s v="smlouva v kolečku"/>
    <s v="33124120-2"/>
    <s v="2.2.652."/>
    <n v="307920"/>
    <x v="0"/>
    <d v="2024-08-26T00:00:00"/>
    <d v="2024-09-30T00:00:00"/>
    <d v="2024-10-15T00:00:00"/>
    <s v="Electric Medical Service, s.r.o."/>
    <m/>
    <n v="293700"/>
    <n v="355377"/>
    <m/>
    <m/>
    <m/>
    <d v="2024-10-15T00:00:00"/>
    <s v="SMLN-2024-617-100564_x000a_SMLN-2024-612-100130"/>
    <x v="2"/>
    <m/>
    <m/>
  </r>
  <r>
    <d v="2024-08-16T00:00:00"/>
    <s v="SFTL"/>
    <x v="1"/>
    <s v="Běhal"/>
    <s v="Bodinková"/>
    <x v="387"/>
    <x v="0"/>
    <m/>
    <s v="hodnocení"/>
    <s v="33600000-6"/>
    <m/>
    <n v="720000000"/>
    <x v="3"/>
    <d v="2024-08-29T00:00:00"/>
    <d v="2024-10-01T00:00:00"/>
    <d v="2024-10-14T00:00:00"/>
    <s v="9 dodavatelů"/>
    <m/>
    <m/>
    <m/>
    <m/>
    <m/>
    <m/>
    <m/>
    <m/>
    <x v="2"/>
    <d v="2024-10-14T00:00:00"/>
    <m/>
  </r>
  <r>
    <d v="2024-08-21T00:00:00"/>
    <s v="VZ-2024-000643"/>
    <x v="0"/>
    <s v="Spáčil O."/>
    <s v="Staňková"/>
    <x v="388"/>
    <x v="0"/>
    <m/>
    <s v="podepsaná smlouva"/>
    <s v="71318000-0"/>
    <m/>
    <n v="944400"/>
    <x v="1"/>
    <d v="2024-08-28T00:00:00"/>
    <d v="2024-09-09T00:00:00"/>
    <d v="2024-09-19T00:00:00"/>
    <s v="Ing. Martin Řezáč"/>
    <m/>
    <n v="512400"/>
    <n v="512400"/>
    <m/>
    <m/>
    <m/>
    <d v="2024-09-19T00:00:00"/>
    <s v="SMLN-2024-612-100116"/>
    <x v="103"/>
    <d v="2024-10-07T00:00:00"/>
    <m/>
  </r>
  <r>
    <d v="2024-08-21T00:00:00"/>
    <s v="VZ-2024-000645"/>
    <x v="1"/>
    <s v="Vondrková"/>
    <s v="Bodinková"/>
    <x v="389"/>
    <x v="0"/>
    <m/>
    <s v="zrušeno"/>
    <s v="33651200-0"/>
    <m/>
    <n v="3540428"/>
    <x v="0"/>
    <d v="2024-07-28T00:00:00"/>
    <d v="2024-10-01T00:00:00"/>
    <m/>
    <s v="zrušeno - bez nabídky"/>
    <m/>
    <m/>
    <m/>
    <m/>
    <m/>
    <m/>
    <m/>
    <m/>
    <x v="2"/>
    <d v="2024-10-03T00:00:00"/>
    <s v="3.10.2024 zrušeno"/>
  </r>
  <r>
    <d v="2024-09-02T00:00:00"/>
    <s v="VZ-2024-000648"/>
    <x v="2"/>
    <s v="Skulová"/>
    <s v="Zdražilová"/>
    <x v="390"/>
    <x v="0"/>
    <m/>
    <s v="vypsaná VZ"/>
    <s v="33158000-2"/>
    <s v="2.2.651"/>
    <n v="1580000"/>
    <x v="0"/>
    <d v="2024-09-30T00:00:00"/>
    <d v="2024-11-05T00:00:00"/>
    <m/>
    <m/>
    <m/>
    <m/>
    <m/>
    <m/>
    <m/>
    <m/>
    <m/>
    <m/>
    <x v="2"/>
    <m/>
    <m/>
  </r>
  <r>
    <d v="2024-08-26T00:00:00"/>
    <s v="VZ-2024-000649"/>
    <x v="2"/>
    <s v="Skulová"/>
    <s v="Zdražilová"/>
    <x v="391"/>
    <x v="0"/>
    <m/>
    <s v="vypsaná VZ"/>
    <s v="33158000-2"/>
    <s v="2.3.846."/>
    <n v="4580000"/>
    <x v="0"/>
    <d v="2024-09-23T00:00:00"/>
    <d v="2024-10-29T00:00:00"/>
    <m/>
    <m/>
    <m/>
    <m/>
    <m/>
    <m/>
    <m/>
    <m/>
    <m/>
    <m/>
    <x v="2"/>
    <m/>
    <m/>
  </r>
  <r>
    <d v="2024-08-26T00:00:00"/>
    <s v="VZ-2024-000650"/>
    <x v="2"/>
    <s v="Skulová"/>
    <s v="Zdražilová"/>
    <x v="392"/>
    <x v="0"/>
    <m/>
    <s v="vypsaná VZ"/>
    <s v="33158000-2"/>
    <s v="2.3.845."/>
    <n v="4991039"/>
    <x v="0"/>
    <d v="2024-09-25T00:00:00"/>
    <d v="2024-10-31T00:00:00"/>
    <m/>
    <m/>
    <m/>
    <m/>
    <m/>
    <m/>
    <m/>
    <m/>
    <m/>
    <m/>
    <x v="2"/>
    <m/>
    <m/>
  </r>
  <r>
    <d v="2024-08-21T00:00:00"/>
    <s v="VZ-2024-000651"/>
    <x v="1"/>
    <s v="Vondrková"/>
    <s v="Bodinková"/>
    <x v="393"/>
    <x v="0"/>
    <m/>
    <s v="hodnocení"/>
    <s v="33615000-4"/>
    <m/>
    <n v="4720365"/>
    <x v="0"/>
    <d v="2024-08-27T00:00:00"/>
    <d v="2024-10-01T00:00:00"/>
    <s v="."/>
    <m/>
    <m/>
    <m/>
    <m/>
    <m/>
    <m/>
    <m/>
    <m/>
    <m/>
    <x v="2"/>
    <m/>
    <m/>
  </r>
  <r>
    <d v="2024-08-26T00:00:00"/>
    <s v="VZ-2024-000653"/>
    <x v="2"/>
    <s v="Skulová"/>
    <s v="Zdražilová"/>
    <x v="394"/>
    <x v="0"/>
    <m/>
    <s v="vypsaná VZ"/>
    <s v="33158000-2"/>
    <s v="2.3.844."/>
    <n v="4339000"/>
    <x v="0"/>
    <d v="2024-09-26T00:00:00"/>
    <d v="2024-11-01T00:00:00"/>
    <m/>
    <m/>
    <m/>
    <m/>
    <m/>
    <m/>
    <m/>
    <m/>
    <m/>
    <m/>
    <x v="2"/>
    <m/>
    <m/>
  </r>
  <r>
    <s v="VZ-2024-000586"/>
    <s v="VZ-2024-000654"/>
    <x v="2"/>
    <s v="Skulová"/>
    <s v="Staňková"/>
    <x v="395"/>
    <x v="0"/>
    <m/>
    <s v="podepsaná smlouva"/>
    <s v="33170000-2"/>
    <s v="2.2.607"/>
    <n v="258300"/>
    <x v="1"/>
    <d v="2024-08-26T00:00:00"/>
    <d v="2024-09-06T00:00:00"/>
    <d v="2024-09-12T00:00:00"/>
    <s v="medisap, s.r.o."/>
    <m/>
    <n v="258300"/>
    <n v="312543"/>
    <m/>
    <m/>
    <m/>
    <d v="2024-09-12T00:00:00"/>
    <s v="SMLN-2024-617-100503_x000a_SMLN-2024-612-100114"/>
    <x v="68"/>
    <m/>
    <d v="2024-12-09T00:00:00"/>
  </r>
  <r>
    <d v="2024-08-26T00:00:00"/>
    <s v="VZ-2024-000655-01"/>
    <x v="2"/>
    <s v="Skulová"/>
    <s v="Hašková"/>
    <x v="396"/>
    <x v="1"/>
    <s v="Lehátka pro Kožní kliniku"/>
    <s v="zrušeno"/>
    <s v="33192160-1"/>
    <s v="2.2.660."/>
    <n v="142000"/>
    <x v="0"/>
    <d v="2024-09-06T00:00:00"/>
    <d v="2024-10-10T00:00:00"/>
    <m/>
    <s v="zrušeno - bez nabídky"/>
    <m/>
    <m/>
    <m/>
    <m/>
    <m/>
    <m/>
    <m/>
    <m/>
    <x v="2"/>
    <m/>
    <s v="14.10.2024 zrušení na podpis"/>
  </r>
  <r>
    <d v="2024-08-26T00:00:00"/>
    <s v="VZ-2024-000655-02"/>
    <x v="2"/>
    <s v="Skulová"/>
    <s v="Hašková"/>
    <x v="396"/>
    <x v="2"/>
    <s v="Lehátka pro URGENT"/>
    <s v="hodnocení"/>
    <s v="33192160-1"/>
    <s v="2.3.854."/>
    <n v="2046921"/>
    <x v="0"/>
    <d v="2024-09-06T00:00:00"/>
    <d v="2024-10-10T00:00:00"/>
    <m/>
    <m/>
    <m/>
    <m/>
    <m/>
    <m/>
    <m/>
    <m/>
    <m/>
    <m/>
    <x v="2"/>
    <m/>
    <m/>
  </r>
  <r>
    <d v="2024-08-22T00:00:00"/>
    <s v="VZ-2024-000656"/>
    <x v="5"/>
    <s v="Valtová"/>
    <s v="Zdražilová"/>
    <x v="397"/>
    <x v="0"/>
    <m/>
    <s v="hodnocení"/>
    <s v="33141750-2"/>
    <m/>
    <n v="7885385"/>
    <x v="0"/>
    <d v="2024-08-28T00:00:00"/>
    <d v="2024-10-02T00:00:00"/>
    <m/>
    <m/>
    <m/>
    <m/>
    <m/>
    <m/>
    <m/>
    <m/>
    <m/>
    <m/>
    <x v="2"/>
    <m/>
    <m/>
  </r>
  <r>
    <d v="2024-08-28T00:00:00"/>
    <s v="VZ-2024-000657"/>
    <x v="4"/>
    <s v="Zdráhalová"/>
    <s v="Hašková"/>
    <x v="398"/>
    <x v="0"/>
    <m/>
    <s v="hodnocení"/>
    <s v="33199000-1"/>
    <m/>
    <n v="2330180"/>
    <x v="0"/>
    <d v="2024-09-04T00:00:00"/>
    <d v="2024-10-14T00:00:00"/>
    <m/>
    <m/>
    <m/>
    <m/>
    <m/>
    <m/>
    <m/>
    <m/>
    <m/>
    <m/>
    <x v="2"/>
    <m/>
    <m/>
  </r>
  <r>
    <d v="2024-10-03T00:00:00"/>
    <s v="VZ-2024-000658"/>
    <x v="3"/>
    <s v="Ondráčková"/>
    <s v="Bodinková"/>
    <x v="399"/>
    <x v="0"/>
    <m/>
    <s v="ZD na podpis"/>
    <s v="33694000-1, 38434000-6"/>
    <s v="2.4.238"/>
    <n v="26892400"/>
    <x v="0"/>
    <m/>
    <m/>
    <m/>
    <m/>
    <m/>
    <m/>
    <m/>
    <m/>
    <m/>
    <m/>
    <m/>
    <m/>
    <x v="2"/>
    <m/>
    <m/>
  </r>
  <r>
    <s v="VZ-2024-000565"/>
    <s v="VZ-2024-000659"/>
    <x v="1"/>
    <s v="Vlčková"/>
    <s v="Bodinková"/>
    <x v="400"/>
    <x v="0"/>
    <m/>
    <s v="hodnocení"/>
    <s v="33622100-7"/>
    <m/>
    <n v="4651492"/>
    <x v="4"/>
    <d v="2024-09-12T00:00:00"/>
    <d v="2024-09-24T00:00:00"/>
    <m/>
    <m/>
    <m/>
    <m/>
    <m/>
    <m/>
    <m/>
    <m/>
    <m/>
    <m/>
    <x v="2"/>
    <m/>
    <m/>
  </r>
  <r>
    <d v="2024-10-15T00:00:00"/>
    <s v="VZ-2024-000660"/>
    <x v="3"/>
    <s v="Zemánková"/>
    <s v="Bodinková"/>
    <x v="401"/>
    <x v="0"/>
    <m/>
    <s v="připravuje se"/>
    <s v="33694000-1; 38434520-7; 38434000-6"/>
    <m/>
    <n v="4360800"/>
    <x v="0"/>
    <m/>
    <m/>
    <m/>
    <m/>
    <m/>
    <m/>
    <m/>
    <m/>
    <m/>
    <m/>
    <m/>
    <m/>
    <x v="2"/>
    <m/>
    <m/>
  </r>
  <r>
    <d v="2024-08-27T00:00:00"/>
    <s v="VZ-2024-000661-01"/>
    <x v="1"/>
    <s v="Vlčková"/>
    <s v="Štýbnarová"/>
    <x v="402"/>
    <x v="1"/>
    <s v="Sezónní OL proti chřipce tetravalentní, povrchový antigen, inaktivovaná"/>
    <s v="hodnocení"/>
    <s v="33651600-4"/>
    <m/>
    <n v="20475"/>
    <x v="1"/>
    <d v="2024-09-04T00:00:00"/>
    <d v="2024-10-14T00:00:00"/>
    <m/>
    <m/>
    <m/>
    <m/>
    <m/>
    <m/>
    <m/>
    <m/>
    <m/>
    <m/>
    <x v="2"/>
    <m/>
    <m/>
  </r>
  <r>
    <d v="2024-08-27T00:00:00"/>
    <s v="VZ-2024-000661-02"/>
    <x v="1"/>
    <s v="Vlčková"/>
    <s v="Štýbnarová"/>
    <x v="402"/>
    <x v="2"/>
    <s v="Sezónní OL proti chřipce tetravalentní,  štěpený virion, inaktivovaný"/>
    <s v="hodnocení"/>
    <s v="33651600-4"/>
    <m/>
    <n v="167888"/>
    <x v="1"/>
    <d v="2024-09-04T00:00:00"/>
    <d v="2024-10-14T00:00:00"/>
    <m/>
    <m/>
    <m/>
    <m/>
    <m/>
    <m/>
    <m/>
    <m/>
    <m/>
    <m/>
    <x v="2"/>
    <m/>
    <m/>
  </r>
  <r>
    <d v="2024-08-27T00:00:00"/>
    <s v="VZ-2024-000661-03"/>
    <x v="1"/>
    <s v="Vlčková"/>
    <s v="Štýbnarová"/>
    <x v="402"/>
    <x v="3"/>
    <s v="OL proti žluté zimnici"/>
    <s v="hodnocení"/>
    <s v="33651600-4"/>
    <m/>
    <n v="69300"/>
    <x v="1"/>
    <d v="2024-09-04T00:00:00"/>
    <d v="2024-10-14T00:00:00"/>
    <m/>
    <m/>
    <m/>
    <m/>
    <m/>
    <m/>
    <m/>
    <m/>
    <m/>
    <m/>
    <x v="2"/>
    <m/>
    <m/>
  </r>
  <r>
    <d v="2024-08-27T00:00:00"/>
    <s v="VZ-2024-000661-04"/>
    <x v="1"/>
    <s v="Vlčková"/>
    <s v="Štýbnarová"/>
    <x v="402"/>
    <x v="4"/>
    <s v="OL proti planým neštovicím I"/>
    <s v="hodnocení"/>
    <s v="33651600-4"/>
    <m/>
    <n v="43782"/>
    <x v="1"/>
    <d v="2024-09-04T00:00:00"/>
    <d v="2024-10-14T00:00:00"/>
    <m/>
    <m/>
    <m/>
    <m/>
    <m/>
    <m/>
    <m/>
    <m/>
    <m/>
    <m/>
    <x v="2"/>
    <m/>
    <m/>
  </r>
  <r>
    <d v="2024-08-27T00:00:00"/>
    <s v="VZ-2024-000661-05"/>
    <x v="1"/>
    <s v="Vlčková"/>
    <s v="Štýbnarová"/>
    <x v="402"/>
    <x v="5"/>
    <s v="OL proti planým neštovicím II"/>
    <s v="hodnocení"/>
    <s v="33651600-4"/>
    <m/>
    <n v="22008"/>
    <x v="1"/>
    <d v="2024-09-04T00:00:00"/>
    <d v="2024-10-14T00:00:00"/>
    <m/>
    <m/>
    <m/>
    <m/>
    <m/>
    <m/>
    <m/>
    <m/>
    <m/>
    <m/>
    <x v="2"/>
    <m/>
    <m/>
  </r>
  <r>
    <d v="2024-08-27T00:00:00"/>
    <s v="VZ-2024-000661-06"/>
    <x v="1"/>
    <s v="Vlčková"/>
    <s v="Štýbnarová"/>
    <x v="402"/>
    <x v="6"/>
    <s v="OL proti vzteklině"/>
    <s v="hodnocení"/>
    <s v="33651600-4"/>
    <m/>
    <n v="229878"/>
    <x v="1"/>
    <d v="2024-09-04T00:00:00"/>
    <d v="2024-10-14T00:00:00"/>
    <m/>
    <m/>
    <m/>
    <m/>
    <m/>
    <m/>
    <m/>
    <m/>
    <m/>
    <m/>
    <x v="2"/>
    <m/>
    <m/>
  </r>
  <r>
    <d v="2024-08-27T00:00:00"/>
    <s v="VZ-2024-000661-07"/>
    <x v="1"/>
    <s v="Vlčková"/>
    <s v="Štýbnarová"/>
    <x v="402"/>
    <x v="7"/>
    <s v="OL proti planým neštovicím III"/>
    <s v="hodnocení"/>
    <s v="33651600-4"/>
    <m/>
    <n v="245760"/>
    <x v="1"/>
    <d v="2024-09-04T00:00:00"/>
    <d v="2024-10-14T00:00:00"/>
    <m/>
    <m/>
    <m/>
    <m/>
    <m/>
    <m/>
    <m/>
    <m/>
    <m/>
    <m/>
    <x v="2"/>
    <m/>
    <m/>
  </r>
  <r>
    <s v="VZ-2024-000519"/>
    <s v="VZ-2024-000663"/>
    <x v="1"/>
    <s v="Vondrková"/>
    <s v="Siková"/>
    <x v="403"/>
    <x v="0"/>
    <m/>
    <s v="smlouva v kolečku"/>
    <s v="33652000-5"/>
    <m/>
    <n v="14429119"/>
    <x v="4"/>
    <d v="2024-09-12T00:00:00"/>
    <d v="2024-10-02T00:00:00"/>
    <d v="2024-10-14T00:00:00"/>
    <s v="ELI LILLY ČR, s.r.o."/>
    <m/>
    <n v="14429118.4"/>
    <n v="16160612.6"/>
    <m/>
    <m/>
    <m/>
    <d v="2024-10-14T00:00:00"/>
    <s v="SMLN-2024-617-100558"/>
    <x v="2"/>
    <m/>
    <m/>
  </r>
  <r>
    <s v="VZ-2024-000275"/>
    <s v="VZ-2024-000664"/>
    <x v="5"/>
    <s v="Valtová"/>
    <s v="Zdražilová"/>
    <x v="404"/>
    <x v="0"/>
    <m/>
    <s v="vypsaná VZ"/>
    <s v="33140000-3"/>
    <m/>
    <n v="29600000"/>
    <x v="0"/>
    <d v="2024-09-19T00:00:00"/>
    <d v="2024-10-24T00:00:00"/>
    <m/>
    <m/>
    <m/>
    <m/>
    <m/>
    <m/>
    <m/>
    <m/>
    <m/>
    <m/>
    <x v="2"/>
    <m/>
    <m/>
  </r>
  <r>
    <d v="2024-08-28T00:00:00"/>
    <s v="VZ-2024-000666-01"/>
    <x v="1"/>
    <s v="Vlčková"/>
    <s v="Štýbnarová"/>
    <x v="405"/>
    <x v="1"/>
    <s v="OL proti hepatitidě typu A, inaktivovaný celý virus, od 16 let_x000a_"/>
    <s v="smlouva v kolečku"/>
    <s v="33651600-4"/>
    <m/>
    <n v="243271"/>
    <x v="1"/>
    <d v="2024-09-04T00:00:00"/>
    <d v="2024-09-16T00:00:00"/>
    <d v="2024-10-01T00:00:00"/>
    <s v="PHOENIX lék. velkoobchod, s.r.o."/>
    <m/>
    <n v="241218"/>
    <n v="270164.15999999997"/>
    <m/>
    <m/>
    <m/>
    <d v="2024-10-01T00:00:00"/>
    <s v="SMLN-2024-617-100527"/>
    <x v="2"/>
    <m/>
    <m/>
  </r>
  <r>
    <d v="2024-08-28T00:00:00"/>
    <s v="VZ-2024-000666-02"/>
    <x v="1"/>
    <s v="Vlčková"/>
    <s v="Štýbnarová"/>
    <x v="405"/>
    <x v="2"/>
    <s v="OL proti hepatitidě typu A, inaktivovaný celý virus, od 1 roku_x000a_"/>
    <s v="smlouva v kolečku"/>
    <s v="33651600-4"/>
    <m/>
    <n v="42236"/>
    <x v="1"/>
    <d v="2024-09-04T00:00:00"/>
    <d v="2024-09-16T00:00:00"/>
    <d v="2024-10-01T00:00:00"/>
    <s v="PHOENIX lék. velkoobchod, s.r.o."/>
    <m/>
    <n v="41074.800000000003"/>
    <n v="46003.78"/>
    <m/>
    <m/>
    <m/>
    <d v="2024-10-01T00:00:00"/>
    <s v="SMLN-2024-617-100528"/>
    <x v="2"/>
    <m/>
    <m/>
  </r>
  <r>
    <d v="2024-08-28T00:00:00"/>
    <s v="VZ-2024-000666-03"/>
    <x v="1"/>
    <s v="Vlčková"/>
    <s v="Štýbnarová"/>
    <x v="405"/>
    <x v="3"/>
    <s v="Rekombinantní OL proti hepatitidě B, purifikovaný antigen, 0-15 let_x000a_"/>
    <s v="smlouva v kolečku"/>
    <s v="33651600-4"/>
    <m/>
    <n v="9312"/>
    <x v="1"/>
    <d v="2024-09-04T00:00:00"/>
    <d v="2024-09-16T00:00:00"/>
    <d v="2024-10-01T00:00:00"/>
    <s v="PHOENIX lék. velkoobchod, s.r.o."/>
    <m/>
    <n v="9302.4"/>
    <n v="10418.69"/>
    <m/>
    <m/>
    <m/>
    <d v="2024-10-01T00:00:00"/>
    <s v="SMLN-2024-617-100529"/>
    <x v="2"/>
    <m/>
    <m/>
  </r>
  <r>
    <d v="2024-08-28T00:00:00"/>
    <s v="VZ-2024-000666-04"/>
    <x v="1"/>
    <s v="Vlčková"/>
    <s v="Štýbnarová"/>
    <x v="405"/>
    <x v="4"/>
    <s v="Rekombinantní OL proti hepatitidě B, purifikovaný antigen, od 16 let _x000a_"/>
    <s v="smlouva v kolečku"/>
    <s v="33651600-4"/>
    <m/>
    <n v="26621"/>
    <x v="1"/>
    <d v="2024-09-04T00:00:00"/>
    <d v="2024-09-16T00:00:00"/>
    <d v="2024-10-01T00:00:00"/>
    <s v="PHOENIX lék. velkoobchod, s.r.o."/>
    <m/>
    <n v="26432.1"/>
    <n v="29603.95"/>
    <m/>
    <m/>
    <m/>
    <d v="2024-10-01T00:00:00"/>
    <s v="SMLN-2024-617-100530"/>
    <x v="2"/>
    <m/>
    <m/>
  </r>
  <r>
    <d v="2024-08-28T00:00:00"/>
    <s v="VZ-2024-000666-05"/>
    <x v="1"/>
    <s v="Vlčková"/>
    <s v="Štýbnarová"/>
    <x v="405"/>
    <x v="5"/>
    <s v="Kombinovaná OL proti hepatitidě A + B"/>
    <s v="smlouva v kolečku"/>
    <s v="33651600-4"/>
    <m/>
    <n v="79113"/>
    <x v="1"/>
    <d v="2024-09-04T00:00:00"/>
    <d v="2024-09-16T00:00:00"/>
    <d v="2024-10-01T00:00:00"/>
    <s v="PHOENIX lék. velkoobchod, s.r.o."/>
    <m/>
    <n v="78337.2"/>
    <n v="87737.66"/>
    <m/>
    <m/>
    <m/>
    <d v="2024-10-01T00:00:00"/>
    <s v="SMLN-2024-617-100531"/>
    <x v="2"/>
    <m/>
    <m/>
  </r>
  <r>
    <d v="2024-08-28T00:00:00"/>
    <s v="VZ-2024-000666-06"/>
    <x v="1"/>
    <s v="Vlčková"/>
    <s v="Štýbnarová"/>
    <x v="405"/>
    <x v="6"/>
    <s v="Živá OL proti rotavirům pentavalentní"/>
    <s v="smlouva v kolečku"/>
    <s v="33651600-4"/>
    <m/>
    <n v="19436"/>
    <x v="1"/>
    <d v="2024-09-04T00:00:00"/>
    <d v="2024-09-16T00:00:00"/>
    <d v="2024-10-01T00:00:00"/>
    <s v="PHOENIX lék. velkoobchod, s.r.o."/>
    <m/>
    <n v="19273.2"/>
    <n v="21585.98"/>
    <m/>
    <m/>
    <m/>
    <d v="2024-10-01T00:00:00"/>
    <s v="SMLN-2024-617-100532"/>
    <x v="2"/>
    <m/>
    <m/>
  </r>
  <r>
    <d v="2024-08-28T00:00:00"/>
    <s v="VZ-2024-000666-07"/>
    <x v="1"/>
    <s v="Vlčková"/>
    <s v="Štýbnarová"/>
    <x v="405"/>
    <x v="7"/>
    <s v="Živá OL proti rotavirům "/>
    <s v="smlouva v kolečku"/>
    <s v="33651600-4"/>
    <m/>
    <n v="207087"/>
    <x v="1"/>
    <d v="2024-09-04T00:00:00"/>
    <d v="2024-09-16T00:00:00"/>
    <d v="2024-10-01T00:00:00"/>
    <s v="PHOENIX lék. velkoobchod, s.r.o."/>
    <m/>
    <n v="200613.6"/>
    <n v="224687.23"/>
    <m/>
    <m/>
    <m/>
    <d v="2024-10-01T00:00:00"/>
    <s v="SMLN-2024-617-100533"/>
    <x v="2"/>
    <m/>
    <m/>
  </r>
  <r>
    <d v="2024-08-28T00:00:00"/>
    <s v="VZ-2024-000666-08"/>
    <x v="1"/>
    <s v="Vlčková"/>
    <s v="Štýbnarová"/>
    <x v="405"/>
    <x v="8"/>
    <s v="OL proti meningokokům skupin A, C, W-135, Y od 6 týdnů věku"/>
    <s v="smlouva v kolečku"/>
    <s v="33651600-4"/>
    <m/>
    <n v="173223"/>
    <x v="1"/>
    <d v="2024-09-04T00:00:00"/>
    <d v="2024-09-16T00:00:00"/>
    <d v="2024-10-01T00:00:00"/>
    <s v="PHOENIX lék. velkoobchod, s.r.o."/>
    <m/>
    <n v="168526.8"/>
    <n v="188750.02"/>
    <m/>
    <m/>
    <m/>
    <d v="2024-10-01T00:00:00"/>
    <s v="SMLN-2024-617-100534"/>
    <x v="2"/>
    <m/>
    <m/>
  </r>
  <r>
    <d v="2024-09-06T00:00:00"/>
    <s v="VZ-2024-000668"/>
    <x v="1"/>
    <s v="Vondrková"/>
    <s v="Hašková"/>
    <x v="406"/>
    <x v="0"/>
    <m/>
    <s v="vypsaná VZ"/>
    <s v="33695000-8"/>
    <m/>
    <n v="4644514"/>
    <x v="0"/>
    <d v="2024-09-24T00:00:00"/>
    <d v="2024-10-29T00:00:00"/>
    <m/>
    <m/>
    <m/>
    <m/>
    <m/>
    <m/>
    <m/>
    <m/>
    <m/>
    <m/>
    <x v="2"/>
    <m/>
    <m/>
  </r>
  <r>
    <d v="2024-09-13T00:00:00"/>
    <s v="VZ-2024-000669"/>
    <x v="1"/>
    <s v="Vlčková"/>
    <s v="Bodinková"/>
    <x v="407"/>
    <x v="0"/>
    <m/>
    <s v="připravuje se"/>
    <s v="09343000-5"/>
    <m/>
    <n v="1924890"/>
    <x v="0"/>
    <m/>
    <m/>
    <m/>
    <m/>
    <m/>
    <m/>
    <m/>
    <m/>
    <m/>
    <m/>
    <m/>
    <m/>
    <x v="2"/>
    <m/>
    <m/>
  </r>
  <r>
    <d v="2024-08-28T00:00:00"/>
    <s v="VZ-2024-000672"/>
    <x v="5"/>
    <s v="Valtová"/>
    <s v="Siková"/>
    <x v="408"/>
    <x v="0"/>
    <m/>
    <s v="vypsaná VZ"/>
    <s v="33140000-3"/>
    <m/>
    <n v="9624000"/>
    <x v="0"/>
    <d v="2024-09-16T00:00:00"/>
    <d v="2024-10-21T00:00:00"/>
    <m/>
    <m/>
    <m/>
    <m/>
    <m/>
    <m/>
    <m/>
    <m/>
    <m/>
    <m/>
    <x v="2"/>
    <m/>
    <m/>
  </r>
  <r>
    <d v="2024-08-29T00:00:00"/>
    <s v="VZ-2024-000673-01"/>
    <x v="5"/>
    <s v="Dočkalová"/>
    <s v="Zdražilová"/>
    <x v="409"/>
    <x v="1"/>
    <s v="Staplery lineární (Lineární katry) - s integrálním nožem ve stapleru"/>
    <s v="vypsaná VZ"/>
    <s v="33162200-5"/>
    <m/>
    <n v="2151303"/>
    <x v="0"/>
    <d v="2024-09-06T00:00:00"/>
    <d v="2024-10-24T00:00:00"/>
    <m/>
    <m/>
    <m/>
    <m/>
    <m/>
    <m/>
    <m/>
    <m/>
    <m/>
    <m/>
    <x v="2"/>
    <m/>
    <m/>
  </r>
  <r>
    <d v="2024-08-29T00:00:00"/>
    <s v="VZ-2024-000673-02"/>
    <x v="5"/>
    <s v="Dočkalová"/>
    <s v="Zdražilová"/>
    <x v="409"/>
    <x v="2"/>
    <s v="Staplery lineární (Lineární katry) - s nožem v zásobníku"/>
    <s v="vypsaná VZ"/>
    <s v="33162200-5"/>
    <m/>
    <n v="3371000"/>
    <x v="0"/>
    <d v="2024-09-06T00:00:00"/>
    <d v="2024-10-24T00:00:00"/>
    <m/>
    <m/>
    <m/>
    <m/>
    <m/>
    <m/>
    <m/>
    <m/>
    <m/>
    <m/>
    <x v="2"/>
    <m/>
    <m/>
  </r>
  <r>
    <d v="2024-08-29T00:00:00"/>
    <s v="VZ-2024-000673-03"/>
    <x v="5"/>
    <s v="Dočkalová"/>
    <s v="Zdražilová"/>
    <x v="409"/>
    <x v="3"/>
    <s v="Staplery lineární - s nožem - se zahnutou (okrouhlou) hlavou"/>
    <s v="vypsaná VZ"/>
    <s v="33162200-5"/>
    <m/>
    <n v="3658206"/>
    <x v="0"/>
    <d v="2024-09-06T00:00:00"/>
    <d v="2024-10-24T00:00:00"/>
    <m/>
    <m/>
    <m/>
    <m/>
    <m/>
    <m/>
    <m/>
    <m/>
    <m/>
    <m/>
    <x v="2"/>
    <m/>
    <m/>
  </r>
  <r>
    <d v="2024-08-29T00:00:00"/>
    <s v="VZ-2024-000673-04"/>
    <x v="5"/>
    <s v="Dočkalová"/>
    <s v="Zdražilová"/>
    <x v="409"/>
    <x v="4"/>
    <s v="Cirkulární staplery na operaci hemoroidů metodou dle Longa"/>
    <s v="vypsaná VZ"/>
    <s v="33162200-5"/>
    <m/>
    <n v="1510000"/>
    <x v="0"/>
    <d v="2024-09-06T00:00:00"/>
    <d v="2024-10-24T00:00:00"/>
    <m/>
    <m/>
    <m/>
    <m/>
    <m/>
    <m/>
    <m/>
    <m/>
    <m/>
    <m/>
    <x v="2"/>
    <m/>
    <m/>
  </r>
  <r>
    <d v="2024-09-06T00:00:00"/>
    <s v="VZ-2024-000674"/>
    <x v="1"/>
    <s v="Vondrková"/>
    <s v="Hašková"/>
    <x v="410"/>
    <x v="0"/>
    <m/>
    <s v="vypsaná VZ"/>
    <s v="33695000-8"/>
    <m/>
    <n v="6144133"/>
    <x v="0"/>
    <d v="2024-09-27T00:00:00"/>
    <d v="2024-11-01T00:00:00"/>
    <m/>
    <m/>
    <m/>
    <m/>
    <m/>
    <m/>
    <m/>
    <m/>
    <m/>
    <m/>
    <x v="2"/>
    <m/>
    <m/>
  </r>
  <r>
    <d v="2024-08-30T00:00:00"/>
    <s v="VZ-2024-000677-01"/>
    <x v="1"/>
    <s v="Vondrková"/>
    <s v="Bodinková"/>
    <x v="411"/>
    <x v="1"/>
    <s v="Speciální výživa pro nedonošence s hmotností do 1500g"/>
    <s v="hodnocení"/>
    <s v="15880000-0"/>
    <m/>
    <n v="22172"/>
    <x v="1"/>
    <d v="2024-09-17T00:00:00"/>
    <d v="2024-09-30T00:00:00"/>
    <m/>
    <m/>
    <m/>
    <m/>
    <m/>
    <m/>
    <m/>
    <m/>
    <m/>
    <m/>
    <x v="2"/>
    <m/>
    <m/>
  </r>
  <r>
    <d v="2024-08-30T00:00:00"/>
    <s v="VZ-2024-000677-02"/>
    <x v="1"/>
    <s v="Vondrková"/>
    <s v="Bodinková"/>
    <x v="411"/>
    <x v="2"/>
    <s v="Speciální výživa - doplněk k mateřskémumléku  pro děti s extrémně nízkou porodní váhou"/>
    <s v="hodnocení"/>
    <s v="15880000-0"/>
    <m/>
    <n v="94965"/>
    <x v="1"/>
    <d v="2024-09-17T00:00:00"/>
    <d v="2024-09-30T00:00:00"/>
    <m/>
    <m/>
    <m/>
    <m/>
    <m/>
    <m/>
    <m/>
    <m/>
    <m/>
    <m/>
    <x v="2"/>
    <m/>
    <m/>
  </r>
  <r>
    <d v="2024-08-30T00:00:00"/>
    <s v="VZ-2024-000677-03"/>
    <x v="1"/>
    <s v="Vondrková"/>
    <s v="Bodinková"/>
    <x v="411"/>
    <x v="3"/>
    <s v="Mléčná kojenecká výživa  pro děti ve věku 0-6 měsíců"/>
    <s v="hodnocení"/>
    <s v="15880000-0"/>
    <m/>
    <n v="97375"/>
    <x v="1"/>
    <d v="2024-09-17T00:00:00"/>
    <d v="2024-09-30T00:00:00"/>
    <m/>
    <m/>
    <m/>
    <m/>
    <m/>
    <m/>
    <m/>
    <m/>
    <m/>
    <m/>
    <x v="2"/>
    <m/>
    <m/>
  </r>
  <r>
    <d v="2024-09-02T00:00:00"/>
    <s v="VZ-2024-000678"/>
    <x v="6"/>
    <s v="Kadlec"/>
    <s v="Štýbnarová"/>
    <x v="412"/>
    <x v="0"/>
    <m/>
    <s v="podepsaná smlouva"/>
    <s v="45453000-7"/>
    <m/>
    <n v="900000"/>
    <x v="1"/>
    <d v="2024-09-03T00:00:00"/>
    <d v="2024-09-16T00:00:00"/>
    <d v="2024-09-30T00:00:00"/>
    <s v="Stavitelství Pospíšil s.r.o."/>
    <m/>
    <n v="740712"/>
    <n v="896261.52"/>
    <m/>
    <m/>
    <m/>
    <d v="2024-09-30T00:00:00"/>
    <s v="SMLN-2024-618-100054"/>
    <x v="95"/>
    <d v="2024-10-10T00:00:00"/>
    <m/>
  </r>
  <r>
    <d v="2024-09-02T00:00:00"/>
    <s v="VZ-2024-000679-01"/>
    <x v="1"/>
    <s v="Vondrková"/>
    <s v="Bodinková"/>
    <x v="413"/>
    <x v="1"/>
    <s v="TADALAFIL u dospělých k léčbě PAH třídy II a III "/>
    <s v="vypsaná VZ"/>
    <s v="33641000-5"/>
    <m/>
    <n v="7484339"/>
    <x v="0"/>
    <d v="2024-10-04T00:00:00"/>
    <d v="2024-11-08T00:00:00"/>
    <m/>
    <m/>
    <m/>
    <m/>
    <m/>
    <m/>
    <m/>
    <m/>
    <m/>
    <m/>
    <x v="2"/>
    <m/>
    <m/>
  </r>
  <r>
    <d v="2024-09-02T00:00:00"/>
    <s v="VZ-2024-000679-02"/>
    <x v="1"/>
    <s v="Vondrková"/>
    <s v="Bodinková"/>
    <x v="413"/>
    <x v="2"/>
    <s v="TADALAFIL pro léčbu erektivní dysfunkce "/>
    <s v="připravuje se"/>
    <s v="33641000-5"/>
    <m/>
    <n v="1075113"/>
    <x v="0"/>
    <m/>
    <m/>
    <m/>
    <m/>
    <m/>
    <m/>
    <m/>
    <m/>
    <m/>
    <m/>
    <m/>
    <m/>
    <x v="2"/>
    <m/>
    <m/>
  </r>
  <r>
    <d v="2024-09-02T00:00:00"/>
    <s v="VZ-2024-000679-03"/>
    <x v="1"/>
    <s v="Vondrková"/>
    <s v="Bodinková"/>
    <x v="413"/>
    <x v="3"/>
    <s v="TADALAFIL  pro léčbu příznaků a symptomů benigní hyperplazie prostaty  "/>
    <s v="připravuje se"/>
    <s v="33641000-5"/>
    <m/>
    <n v="704683"/>
    <x v="0"/>
    <m/>
    <m/>
    <m/>
    <m/>
    <m/>
    <m/>
    <m/>
    <m/>
    <m/>
    <m/>
    <m/>
    <m/>
    <x v="2"/>
    <m/>
    <m/>
  </r>
  <r>
    <d v="2024-09-03T00:00:00"/>
    <s v="VZ-2024-000682"/>
    <x v="3"/>
    <s v="Zemánková"/>
    <s v="Bodinková"/>
    <x v="414"/>
    <x v="0"/>
    <m/>
    <s v="smlouva v kolečku"/>
    <s v="33694000-1"/>
    <m/>
    <n v="387600"/>
    <x v="4"/>
    <d v="2024-09-17T00:00:00"/>
    <d v="2024-10-01T00:00:00"/>
    <d v="2024-10-15T00:00:00"/>
    <s v="Merck Life Science spol.s  r.o."/>
    <m/>
    <n v="387600"/>
    <n v="468996"/>
    <m/>
    <m/>
    <m/>
    <d v="2024-10-15T00:00:00"/>
    <s v="SMLN-2024-617-100559"/>
    <x v="2"/>
    <m/>
    <m/>
  </r>
  <r>
    <d v="2024-09-06T00:00:00"/>
    <s v="VZ-2024-000685"/>
    <x v="1"/>
    <s v="Vondrková"/>
    <s v="Bodinková"/>
    <x v="415"/>
    <x v="0"/>
    <m/>
    <s v="připravuje se"/>
    <s v="33617000-8"/>
    <m/>
    <n v="11379403"/>
    <x v="0"/>
    <m/>
    <m/>
    <m/>
    <m/>
    <m/>
    <m/>
    <m/>
    <m/>
    <m/>
    <m/>
    <m/>
    <m/>
    <x v="2"/>
    <m/>
    <m/>
  </r>
  <r>
    <d v="2024-09-05T00:00:00"/>
    <s v="VZ-2024-000686"/>
    <x v="2"/>
    <s v="Skulová"/>
    <s v="Kučera"/>
    <x v="416"/>
    <x v="0"/>
    <m/>
    <s v="vypsaná VZ"/>
    <s v="33162100-4"/>
    <s v="2.2.604. 2.2.605."/>
    <n v="410800000"/>
    <x v="0"/>
    <d v="2024-10-03T00:00:00"/>
    <d v="2024-11-06T00:00:00"/>
    <m/>
    <m/>
    <m/>
    <m/>
    <m/>
    <m/>
    <m/>
    <m/>
    <m/>
    <m/>
    <x v="2"/>
    <m/>
    <m/>
  </r>
  <r>
    <d v="2024-09-06T00:00:00"/>
    <s v="VZ-2024-000687-01"/>
    <x v="1"/>
    <s v="Vlčková"/>
    <s v="Siková"/>
    <x v="417"/>
    <x v="1"/>
    <s v="Semaglutid - injekční roztok v předplněném peru"/>
    <s v="vypsaná VZ"/>
    <s v="33610000-9"/>
    <m/>
    <n v="3113607"/>
    <x v="0"/>
    <d v="2024-09-13T00:00:00"/>
    <d v="2024-10-21T00:00:00"/>
    <m/>
    <m/>
    <m/>
    <m/>
    <m/>
    <m/>
    <m/>
    <m/>
    <m/>
    <m/>
    <x v="2"/>
    <m/>
    <m/>
  </r>
  <r>
    <d v="2024-09-06T00:00:00"/>
    <s v="VZ-2024-000687-02"/>
    <x v="1"/>
    <s v="Vlčková"/>
    <s v="Siková"/>
    <x v="417"/>
    <x v="2"/>
    <s v="Semaglutid - tableta"/>
    <s v="vypsaná VZ"/>
    <s v="33610000-9"/>
    <m/>
    <n v="2160044"/>
    <x v="0"/>
    <d v="2024-09-13T00:00:00"/>
    <d v="2024-10-21T00:00:00"/>
    <m/>
    <m/>
    <m/>
    <m/>
    <m/>
    <m/>
    <m/>
    <m/>
    <m/>
    <m/>
    <x v="2"/>
    <m/>
    <m/>
  </r>
  <r>
    <s v="VZ-2024-000545"/>
    <s v="VZ-2024-000689"/>
    <x v="2"/>
    <s v="Skulová"/>
    <s v="Staňková"/>
    <x v="418"/>
    <x v="0"/>
    <m/>
    <s v="podepsaná smlouva"/>
    <s v="38000000-5"/>
    <s v="2.2.653."/>
    <n v="590000"/>
    <x v="1"/>
    <d v="2024-09-05T00:00:00"/>
    <d v="2024-09-23T00:00:00"/>
    <d v="2024-09-27T00:00:00"/>
    <s v="AQUA - CHEMIE, s.r.o."/>
    <m/>
    <n v="613622"/>
    <n v="742482.62"/>
    <m/>
    <m/>
    <m/>
    <d v="2024-09-27T00:00:00"/>
    <s v="SMLN-2024-617-100523_x000a_SMLN-2024-612-100118"/>
    <x v="95"/>
    <d v="2024-10-11T00:00:00"/>
    <d v="2024-10-31T00:00:00"/>
  </r>
  <r>
    <d v="2024-09-13T00:00:00"/>
    <s v="VZ-2024-000691-01"/>
    <x v="1"/>
    <s v="Vondrková"/>
    <s v="Siková"/>
    <x v="419"/>
    <x v="1"/>
    <s v="AFATINIB"/>
    <s v="vypsaná VZ"/>
    <s v="33652000-5"/>
    <m/>
    <n v="231373"/>
    <x v="0"/>
    <d v="2024-09-23T00:00:00"/>
    <d v="2024-10-29T00:00:00"/>
    <m/>
    <m/>
    <m/>
    <m/>
    <m/>
    <m/>
    <m/>
    <m/>
    <m/>
    <m/>
    <x v="2"/>
    <m/>
    <m/>
  </r>
  <r>
    <d v="2024-09-13T00:00:00"/>
    <s v="VZ-2024-000691-02"/>
    <x v="1"/>
    <s v="Vondrková"/>
    <s v="Siková"/>
    <x v="419"/>
    <x v="2"/>
    <s v="OSIMERTINIB"/>
    <s v="vypsaná VZ"/>
    <s v="33652000-5"/>
    <m/>
    <n v="135147299"/>
    <x v="0"/>
    <d v="2024-09-23T00:00:00"/>
    <d v="2024-10-29T00:00:00"/>
    <m/>
    <m/>
    <m/>
    <m/>
    <m/>
    <m/>
    <m/>
    <m/>
    <m/>
    <m/>
    <x v="2"/>
    <m/>
    <m/>
  </r>
  <r>
    <s v="VZ-2024-000620"/>
    <s v="VZ-2024-000692"/>
    <x v="2"/>
    <s v="Skulová"/>
    <s v="Štýbnarová"/>
    <x v="420"/>
    <x v="0"/>
    <m/>
    <s v="smlouva v kolečku"/>
    <s v="33162000-3"/>
    <s v="2.2.659."/>
    <n v="179000"/>
    <x v="1"/>
    <d v="2024-09-11T00:00:00"/>
    <d v="2024-09-23T00:00:00"/>
    <d v="2024-10-14T00:00:00"/>
    <s v="MAC´s MEDICAL CEE, s.r.o."/>
    <m/>
    <n v="150365"/>
    <n v="181941.65"/>
    <m/>
    <m/>
    <m/>
    <d v="2024-10-14T00:00:00"/>
    <s v="SMLN-2024-617-100556_x000a_SMLN-2024-612-100125"/>
    <x v="2"/>
    <m/>
    <m/>
  </r>
  <r>
    <d v="2024-09-09T00:00:00"/>
    <s v="VZ-2024-000694"/>
    <x v="2"/>
    <s v="Skulová"/>
    <s v="Zdražilová"/>
    <x v="421"/>
    <x v="0"/>
    <m/>
    <s v="připravuje se"/>
    <s v="33197000-7"/>
    <s v="2.3.829."/>
    <n v="3260000"/>
    <x v="0"/>
    <m/>
    <m/>
    <m/>
    <m/>
    <m/>
    <m/>
    <m/>
    <m/>
    <m/>
    <m/>
    <m/>
    <m/>
    <x v="2"/>
    <m/>
    <m/>
  </r>
  <r>
    <d v="2024-09-09T00:00:00"/>
    <s v="VZ-2024-000695"/>
    <x v="2"/>
    <s v="Skulová"/>
    <s v="Štýbnarová"/>
    <x v="422"/>
    <x v="0"/>
    <m/>
    <s v="podepsaná smlouva"/>
    <s v="38510000-3"/>
    <s v="2.2.661."/>
    <n v="156000"/>
    <x v="1"/>
    <d v="2024-09-11T00:00:00"/>
    <d v="2024-09-23T00:00:00"/>
    <d v="2024-10-03T00:00:00"/>
    <s v="Sven BioLabs s.r.o."/>
    <m/>
    <n v="156000"/>
    <n v="188760"/>
    <m/>
    <m/>
    <m/>
    <d v="2024-10-03T00:00:00"/>
    <s v="SMLN-2024-617-100537"/>
    <x v="95"/>
    <d v="2024-10-10T00:00:00"/>
    <d v="2024-11-18T00:00:00"/>
  </r>
  <r>
    <d v="2024-09-09T00:00:00"/>
    <s v="VZ-2024-000696"/>
    <x v="2"/>
    <s v="Skulová"/>
    <s v="Staňková"/>
    <x v="423"/>
    <x v="0"/>
    <m/>
    <s v="podepsaná smlouva"/>
    <s v="38000000-5"/>
    <s v="2.2.642"/>
    <n v="360000"/>
    <x v="1"/>
    <d v="2024-09-11T00:00:00"/>
    <d v="2024-09-23T00:00:00"/>
    <d v="2024-10-03T00:00:00"/>
    <s v="SYNPO, akciová společnost"/>
    <m/>
    <n v="310000"/>
    <n v="375100"/>
    <m/>
    <m/>
    <m/>
    <d v="2024-10-03T00:00:00"/>
    <s v="SMLN-2024-617-100538_x000a_SMLN-2024-612-100120"/>
    <x v="68"/>
    <m/>
    <d v="2024-12-13T00:00:00"/>
  </r>
  <r>
    <d v="2024-09-09T00:00:00"/>
    <s v="VZ-2024-000697"/>
    <x v="2"/>
    <s v="Skulová"/>
    <s v="Štýbnarová"/>
    <x v="424"/>
    <x v="0"/>
    <m/>
    <s v="smlouva v kolečku"/>
    <s v="33121000-4"/>
    <s v="2.2.662."/>
    <n v="402000"/>
    <x v="1"/>
    <d v="2024-09-11T00:00:00"/>
    <d v="2024-09-23T00:00:00"/>
    <d v="2024-10-14T00:00:00"/>
    <s v="Medsol s.r.o."/>
    <m/>
    <n v="398544"/>
    <n v="482238.24"/>
    <m/>
    <m/>
    <m/>
    <d v="2024-10-14T00:00:00"/>
    <s v="SMLN-2024-617-100557_x000a_SMLN-2024-612-100126"/>
    <x v="2"/>
    <m/>
    <m/>
  </r>
  <r>
    <d v="2024-09-09T00:00:00"/>
    <s v="VZ-2024-000698"/>
    <x v="1"/>
    <s v="Vondrková"/>
    <s v="Siková"/>
    <x v="425"/>
    <x v="0"/>
    <m/>
    <s v="smlouva v kolečku"/>
    <s v="33652300-8"/>
    <m/>
    <n v="30457719"/>
    <x v="4"/>
    <d v="2024-09-12T00:00:00"/>
    <d v="2024-09-30T00:00:00"/>
    <d v="2024-10-15T00:00:00"/>
    <s v="Bristol-Myers Squibb spol. s r.o."/>
    <m/>
    <n v="30381761.640000001"/>
    <n v="34027573.039999999"/>
    <m/>
    <m/>
    <m/>
    <d v="2024-10-15T00:00:00"/>
    <s v="SMLN-2024-617-100560"/>
    <x v="2"/>
    <m/>
    <s v="1.10.2024 vyloučení AH na podpis"/>
  </r>
  <r>
    <d v="2024-09-11T00:00:00"/>
    <s v="VZ-2024-000701"/>
    <x v="1"/>
    <s v="Vondrková"/>
    <s v="Hašková"/>
    <x v="426"/>
    <x v="0"/>
    <m/>
    <s v="hodnocení"/>
    <s v="33651200-0"/>
    <m/>
    <n v="6056285"/>
    <x v="4"/>
    <d v="2024-09-23T00:00:00"/>
    <d v="2024-10-04T00:00:00"/>
    <m/>
    <m/>
    <m/>
    <m/>
    <m/>
    <m/>
    <m/>
    <m/>
    <m/>
    <m/>
    <x v="2"/>
    <m/>
    <m/>
  </r>
  <r>
    <d v="2024-09-10T00:00:00"/>
    <s v="VZ-2024-000702"/>
    <x v="2"/>
    <s v="Skulová"/>
    <s v="Siková"/>
    <x v="427"/>
    <x v="0"/>
    <m/>
    <s v="vypsaná VZ"/>
    <s v="38432200-4"/>
    <s v="2.2.601. 2.3.856."/>
    <n v="17319800"/>
    <x v="0"/>
    <d v="2024-09-26T00:00:00"/>
    <d v="2024-11-01T00:00:00"/>
    <m/>
    <m/>
    <m/>
    <m/>
    <m/>
    <m/>
    <m/>
    <m/>
    <m/>
    <m/>
    <x v="2"/>
    <m/>
    <m/>
  </r>
  <r>
    <d v="2024-09-10T00:00:00"/>
    <s v="VZ-2024-000703-01"/>
    <x v="2"/>
    <s v="Skulová"/>
    <s v="Štýbnarová"/>
    <x v="428"/>
    <x v="1"/>
    <s v="Operační čelní světla pro ORL"/>
    <s v="hodnocení"/>
    <s v="33160000-9"/>
    <s v="2.3.855."/>
    <n v="148000"/>
    <x v="1"/>
    <d v="2024-09-13T00:00:00"/>
    <d v="2024-10-01T00:00:00"/>
    <m/>
    <m/>
    <m/>
    <m/>
    <m/>
    <m/>
    <m/>
    <m/>
    <m/>
    <m/>
    <x v="2"/>
    <m/>
    <m/>
  </r>
  <r>
    <d v="2024-09-10T00:00:00"/>
    <s v="VZ-2024-000703-02"/>
    <x v="2"/>
    <s v="Skulová"/>
    <s v="Štýbnarová"/>
    <x v="428"/>
    <x v="2"/>
    <s v="Operačí čelní světla pro KCHIR"/>
    <s v="hodnocení"/>
    <s v="33160000-9"/>
    <s v="2.3.662."/>
    <n v="210000"/>
    <x v="1"/>
    <d v="2024-09-13T00:00:00"/>
    <d v="2024-10-01T00:00:00"/>
    <m/>
    <m/>
    <m/>
    <m/>
    <m/>
    <m/>
    <m/>
    <m/>
    <m/>
    <m/>
    <x v="2"/>
    <m/>
    <m/>
  </r>
  <r>
    <d v="2024-09-10T00:00:00"/>
    <s v="VZ-2024-000704"/>
    <x v="2"/>
    <s v="Skulová"/>
    <s v="Staňková"/>
    <x v="429"/>
    <x v="0"/>
    <m/>
    <s v="zrušeno"/>
    <s v="33160000-9"/>
    <s v="2.3.665."/>
    <n v="215000"/>
    <x v="1"/>
    <d v="2024-09-13T00:00:00"/>
    <d v="2024-09-24T00:00:00"/>
    <m/>
    <s v="zrušeno - překročení ceny servisu"/>
    <s v="nová VZ-2024-000769"/>
    <m/>
    <m/>
    <m/>
    <m/>
    <m/>
    <m/>
    <m/>
    <x v="2"/>
    <d v="2024-09-25T00:00:00"/>
    <m/>
  </r>
  <r>
    <d v="2024-09-10T00:00:00"/>
    <s v="VZ-2024-000705"/>
    <x v="2"/>
    <s v="Skulová"/>
    <s v="Zdražilová"/>
    <x v="430"/>
    <x v="0"/>
    <m/>
    <s v="vypsaná VZ"/>
    <s v="33100000-1"/>
    <s v="2.2.663."/>
    <n v="2442648.17"/>
    <x v="0"/>
    <d v="2024-09-16T00:00:00"/>
    <d v="2024-10-21T00:00:00"/>
    <m/>
    <m/>
    <m/>
    <m/>
    <m/>
    <m/>
    <m/>
    <m/>
    <m/>
    <m/>
    <x v="2"/>
    <m/>
    <m/>
  </r>
  <r>
    <d v="2024-09-10T00:00:00"/>
    <s v="VZ-2024-000706"/>
    <x v="6"/>
    <s v="Srovnal"/>
    <s v="Kučera"/>
    <x v="431"/>
    <x v="0"/>
    <m/>
    <s v="vypsaná VZ"/>
    <s v="42416100-6"/>
    <m/>
    <n v="2644480"/>
    <x v="0"/>
    <d v="2024-09-12T00:00:00"/>
    <d v="2024-10-17T00:00:00"/>
    <m/>
    <m/>
    <m/>
    <m/>
    <m/>
    <m/>
    <m/>
    <m/>
    <m/>
    <m/>
    <x v="2"/>
    <m/>
    <m/>
  </r>
  <r>
    <d v="2024-09-11T00:00:00"/>
    <s v="VZ-2024-000712"/>
    <x v="5"/>
    <s v="Dočkalová"/>
    <s v="Staňková"/>
    <x v="432"/>
    <x v="0"/>
    <m/>
    <s v="smlouva v kolečku"/>
    <s v="33141641-5, 33140000-3"/>
    <m/>
    <n v="1784680"/>
    <x v="1"/>
    <d v="2024-09-20T00:00:00"/>
    <d v="2024-10-01T00:00:00"/>
    <d v="2024-10-09T00:00:00"/>
    <s v="MGVIVA a.s."/>
    <m/>
    <n v="1784680"/>
    <n v="1998841.6"/>
    <m/>
    <m/>
    <m/>
    <d v="2024-10-09T00:00:00"/>
    <s v="SMLN-2024-617-100548"/>
    <x v="2"/>
    <m/>
    <m/>
  </r>
  <r>
    <d v="2024-09-13T00:00:00"/>
    <s v="VZ-2024-000714"/>
    <x v="1"/>
    <s v="Vlčková"/>
    <s v="Hašková"/>
    <x v="433"/>
    <x v="0"/>
    <m/>
    <s v="vypsaná VZ"/>
    <s v="33631600-8"/>
    <m/>
    <n v="669600"/>
    <x v="4"/>
    <d v="2024-10-02T00:00:00"/>
    <d v="2024-10-23T00:00:00"/>
    <m/>
    <m/>
    <m/>
    <m/>
    <m/>
    <m/>
    <m/>
    <m/>
    <m/>
    <m/>
    <x v="2"/>
    <m/>
    <m/>
  </r>
  <r>
    <d v="2024-09-12T00:00:00"/>
    <s v="VZ-2024-000715"/>
    <x v="2"/>
    <s v="Skulová"/>
    <s v="Staňková"/>
    <x v="434"/>
    <x v="0"/>
    <m/>
    <s v="zrušeno"/>
    <s v="33100000-1"/>
    <s v="2.2.666."/>
    <n v="271896"/>
    <x v="1"/>
    <d v="2024-09-13T00:00:00"/>
    <d v="2024-09-24T00:00:00"/>
    <m/>
    <s v="zrušeno - bez hodnotitelné nabídky"/>
    <s v="nová VZ-2024-000770"/>
    <m/>
    <m/>
    <m/>
    <m/>
    <m/>
    <m/>
    <m/>
    <x v="2"/>
    <d v="2024-09-25T00:00:00"/>
    <m/>
  </r>
  <r>
    <d v="2024-09-11T00:00:00"/>
    <s v="VZ-2024-000716-01"/>
    <x v="2"/>
    <s v="Skulová"/>
    <s v="Zdražilová"/>
    <x v="435"/>
    <x v="1"/>
    <s v="Nástroje chirurgické - specifikováno dle katalogu Aesculap Surgical Instruments"/>
    <s v="vráceno k doplnění"/>
    <s v="33162000-3"/>
    <m/>
    <n v="5135600.4000000004"/>
    <x v="4"/>
    <m/>
    <m/>
    <m/>
    <m/>
    <m/>
    <m/>
    <m/>
    <m/>
    <m/>
    <m/>
    <m/>
    <m/>
    <x v="2"/>
    <m/>
    <m/>
  </r>
  <r>
    <d v="2024-09-11T00:00:00"/>
    <s v="VZ-2024-000716-02"/>
    <x v="2"/>
    <s v="Skulová"/>
    <s v="Zdražilová"/>
    <x v="435"/>
    <x v="2"/>
    <s v="Nástroje chirurgické - specifikováno dle katalogu MEDIN, a.s."/>
    <s v="vráceno k doplnění"/>
    <s v="33162000-3"/>
    <m/>
    <n v="153242.25"/>
    <x v="4"/>
    <m/>
    <m/>
    <m/>
    <m/>
    <m/>
    <m/>
    <m/>
    <m/>
    <m/>
    <m/>
    <m/>
    <m/>
    <x v="2"/>
    <m/>
    <m/>
  </r>
  <r>
    <d v="2024-09-11T00:00:00"/>
    <s v="VZ-2024-000716-03"/>
    <x v="2"/>
    <s v="Skulová"/>
    <s v="Zdražilová"/>
    <x v="435"/>
    <x v="3"/>
    <s v="Nástroje chirurgické - specifikováno dle katalogu OneVision"/>
    <s v="vráceno k doplnění"/>
    <s v="33162000-3"/>
    <m/>
    <n v="494186"/>
    <x v="4"/>
    <m/>
    <m/>
    <m/>
    <m/>
    <m/>
    <m/>
    <m/>
    <m/>
    <m/>
    <m/>
    <m/>
    <m/>
    <x v="2"/>
    <m/>
    <m/>
  </r>
  <r>
    <d v="2024-09-11T00:00:00"/>
    <s v="VZ-2024-000716-04"/>
    <x v="2"/>
    <s v="Skulová"/>
    <s v="Zdražilová"/>
    <x v="435"/>
    <x v="4"/>
    <s v="Nástroje chirurgické - specifikováno dle katalogu Geister"/>
    <s v="vráceno k doplnění"/>
    <s v="33162000-3"/>
    <m/>
    <n v="430363.64"/>
    <x v="4"/>
    <m/>
    <m/>
    <m/>
    <m/>
    <m/>
    <m/>
    <m/>
    <m/>
    <m/>
    <m/>
    <m/>
    <m/>
    <x v="2"/>
    <m/>
    <m/>
  </r>
  <r>
    <d v="2024-09-11T00:00:00"/>
    <s v="VZ-2024-000716-05"/>
    <x v="2"/>
    <s v="Skulová"/>
    <s v="Zdražilová"/>
    <x v="435"/>
    <x v="5"/>
    <s v="Nástroje chirurgické - specifikováno dle katalogu Delacroix-Chevalier"/>
    <s v="vráceno k doplnění"/>
    <s v="33162000-3"/>
    <m/>
    <n v="618000"/>
    <x v="4"/>
    <m/>
    <m/>
    <m/>
    <m/>
    <m/>
    <m/>
    <m/>
    <m/>
    <m/>
    <m/>
    <m/>
    <m/>
    <x v="2"/>
    <m/>
    <m/>
  </r>
  <r>
    <d v="2024-09-11T00:00:00"/>
    <s v="VZ-2024-000716-06"/>
    <x v="2"/>
    <s v="Skulová"/>
    <s v="Zdražilová"/>
    <x v="435"/>
    <x v="6"/>
    <s v="Nástroje chirurgické - specifikováno dle katalogu Scanlan"/>
    <s v="vráceno k doplnění"/>
    <s v="33162000-3"/>
    <m/>
    <n v="3636363.64"/>
    <x v="4"/>
    <m/>
    <m/>
    <m/>
    <m/>
    <m/>
    <m/>
    <m/>
    <m/>
    <m/>
    <m/>
    <m/>
    <m/>
    <x v="2"/>
    <m/>
    <m/>
  </r>
  <r>
    <d v="2024-09-13T00:00:00"/>
    <s v="VZ-2024-000717"/>
    <x v="1"/>
    <s v="Vlčková"/>
    <s v="Hašková"/>
    <x v="436"/>
    <x v="0"/>
    <m/>
    <s v="vypsaná VZ"/>
    <s v="33631600-8"/>
    <m/>
    <n v="511170"/>
    <x v="4"/>
    <d v="2024-10-03T00:00:00"/>
    <d v="2024-10-23T00:00:00"/>
    <m/>
    <m/>
    <m/>
    <m/>
    <m/>
    <m/>
    <m/>
    <m/>
    <m/>
    <m/>
    <x v="2"/>
    <m/>
    <m/>
  </r>
  <r>
    <d v="2024-09-12T00:00:00"/>
    <s v="VZ-2024-000719"/>
    <x v="2"/>
    <s v="Skulová"/>
    <s v="Štýbnarová"/>
    <x v="437"/>
    <x v="0"/>
    <m/>
    <s v="zrušeno"/>
    <s v="33162000-3"/>
    <s v="2.3.857."/>
    <n v="81000"/>
    <x v="1"/>
    <d v="2024-09-13T00:00:00"/>
    <d v="2024-09-27T00:00:00"/>
    <m/>
    <s v="zrušeno - bez hodnotitelné nabídky"/>
    <s v="nová VZ-2024-000"/>
    <m/>
    <m/>
    <m/>
    <m/>
    <m/>
    <m/>
    <m/>
    <x v="2"/>
    <d v="2024-10-07T00:00:00"/>
    <m/>
  </r>
  <r>
    <d v="2024-09-12T00:00:00"/>
    <s v="VZ-2024-000720"/>
    <x v="5"/>
    <s v="Dočkalová"/>
    <s v="Siková"/>
    <x v="438"/>
    <x v="0"/>
    <m/>
    <s v="vypsaná VZ"/>
    <s v="33140000-3"/>
    <m/>
    <n v="2299040"/>
    <x v="0"/>
    <d v="2024-09-24T00:00:00"/>
    <d v="2024-10-30T00:00:00"/>
    <m/>
    <m/>
    <m/>
    <m/>
    <m/>
    <m/>
    <m/>
    <m/>
    <m/>
    <m/>
    <x v="2"/>
    <m/>
    <m/>
  </r>
  <r>
    <d v="2024-09-12T00:00:00"/>
    <s v="VZ-2024-000721"/>
    <x v="2"/>
    <s v="Skulová"/>
    <s v="Zdražilová"/>
    <x v="439"/>
    <x v="0"/>
    <m/>
    <s v="vypsaná VZ"/>
    <s v="33191100-6"/>
    <s v="2.3.858."/>
    <n v="1800880"/>
    <x v="0"/>
    <d v="2024-09-23T00:00:00"/>
    <d v="2024-10-29T00:00:00"/>
    <m/>
    <m/>
    <m/>
    <m/>
    <m/>
    <m/>
    <m/>
    <m/>
    <m/>
    <m/>
    <x v="2"/>
    <m/>
    <m/>
  </r>
  <r>
    <d v="2024-09-16T00:00:00"/>
    <s v="VZ-2024-000722"/>
    <x v="5"/>
    <s v="Dočkalová"/>
    <s v="Štýbnarová"/>
    <x v="440"/>
    <x v="0"/>
    <m/>
    <s v="hodnocení"/>
    <s v="33140000-3"/>
    <m/>
    <n v="615000"/>
    <x v="1"/>
    <d v="2024-09-24T00:00:00"/>
    <d v="2024-10-07T00:00:00"/>
    <m/>
    <s v="Stimcare s.r.o."/>
    <m/>
    <n v="615000"/>
    <n v="688800"/>
    <m/>
    <m/>
    <m/>
    <m/>
    <m/>
    <x v="2"/>
    <m/>
    <m/>
  </r>
  <r>
    <d v="2024-09-16T00:00:00"/>
    <s v="VZ-2024-000723"/>
    <x v="5"/>
    <s v="Valtová"/>
    <s v="Staňková"/>
    <x v="441"/>
    <x v="0"/>
    <m/>
    <s v="hodnocení"/>
    <s v="33140000-3"/>
    <m/>
    <n v="1020548"/>
    <x v="1"/>
    <d v="2024-09-20T00:00:00"/>
    <d v="2024-10-01T00:00:00"/>
    <m/>
    <m/>
    <m/>
    <m/>
    <m/>
    <m/>
    <m/>
    <m/>
    <m/>
    <m/>
    <x v="2"/>
    <m/>
    <m/>
  </r>
  <r>
    <d v="2024-09-19T00:00:00"/>
    <s v="VZ-2024-000724"/>
    <x v="1"/>
    <s v="Vondrková"/>
    <s v="Siková"/>
    <x v="442"/>
    <x v="0"/>
    <m/>
    <s v="vypsaná VZ"/>
    <s v="33652300-8"/>
    <m/>
    <n v="7869981"/>
    <x v="0"/>
    <d v="2024-09-24T00:00:00"/>
    <d v="2024-10-29T00:00:00"/>
    <m/>
    <m/>
    <m/>
    <m/>
    <m/>
    <m/>
    <m/>
    <m/>
    <m/>
    <m/>
    <x v="2"/>
    <m/>
    <m/>
  </r>
  <r>
    <d v="2024-09-19T00:00:00"/>
    <s v="VZ-2024-000726"/>
    <x v="1"/>
    <s v="Vlčková"/>
    <s v="Štýbnarová"/>
    <x v="443"/>
    <x v="0"/>
    <m/>
    <s v="zrušeno"/>
    <s v="09343000-5"/>
    <m/>
    <n v="1647000"/>
    <x v="1"/>
    <d v="2024-09-24T00:00:00"/>
    <d v="2024-10-07T00:00:00"/>
    <m/>
    <s v="zrušeno - bez nabídky"/>
    <s v="nová VZ-2024-000782"/>
    <m/>
    <m/>
    <m/>
    <m/>
    <m/>
    <m/>
    <m/>
    <x v="2"/>
    <d v="2024-10-07T00:00:00"/>
    <m/>
  </r>
  <r>
    <d v="2024-09-19T00:00:00"/>
    <s v="VZ-2024-000728"/>
    <x v="1"/>
    <s v="Vlčková"/>
    <s v="Bodinková"/>
    <x v="444"/>
    <x v="0"/>
    <m/>
    <s v="vypsaná VZ"/>
    <s v="09343000-5"/>
    <m/>
    <n v="2509980"/>
    <x v="0"/>
    <d v="2024-10-02T00:00:00"/>
    <d v="2024-11-06T00:00:00"/>
    <m/>
    <m/>
    <m/>
    <m/>
    <m/>
    <m/>
    <m/>
    <m/>
    <m/>
    <m/>
    <x v="2"/>
    <m/>
    <m/>
  </r>
  <r>
    <d v="2024-09-18T00:00:00"/>
    <s v="VZ-2024-000729"/>
    <x v="5"/>
    <s v="Dočkalová"/>
    <s v="Štýbnarová"/>
    <x v="445"/>
    <x v="0"/>
    <m/>
    <s v="hodnocení"/>
    <s v="33162200-5"/>
    <m/>
    <n v="705600"/>
    <x v="1"/>
    <d v="2024-09-20T00:00:00"/>
    <d v="2024-10-01T00:00:00"/>
    <m/>
    <m/>
    <m/>
    <m/>
    <m/>
    <m/>
    <m/>
    <m/>
    <m/>
    <m/>
    <x v="2"/>
    <m/>
    <m/>
  </r>
  <r>
    <d v="2024-09-18T00:00:00"/>
    <s v="VZ-2024-000733"/>
    <x v="6"/>
    <s v="Kadlec"/>
    <s v="Staňková"/>
    <x v="446"/>
    <x v="0"/>
    <m/>
    <s v="vypsaná VZ"/>
    <s v="45421100-5"/>
    <m/>
    <n v="180000"/>
    <x v="1"/>
    <d v="2024-09-20T00:00:00"/>
    <d v="2024-10-18T00:00:00"/>
    <m/>
    <m/>
    <m/>
    <m/>
    <m/>
    <m/>
    <m/>
    <m/>
    <m/>
    <m/>
    <x v="2"/>
    <m/>
    <m/>
  </r>
  <r>
    <d v="2024-09-19T00:00:00"/>
    <s v="VZ-2024-000734-01"/>
    <x v="5"/>
    <s v="Valtová"/>
    <s v="Siková"/>
    <x v="447"/>
    <x v="1"/>
    <s v="Diagnostické katétry  I."/>
    <s v="vypsaná VZ"/>
    <s v="33140000-3"/>
    <m/>
    <n v="1022292"/>
    <x v="0"/>
    <d v="2024-09-27T00:00:00"/>
    <d v="2024-11-01T00:00:00"/>
    <m/>
    <m/>
    <m/>
    <m/>
    <m/>
    <m/>
    <m/>
    <m/>
    <m/>
    <m/>
    <x v="2"/>
    <m/>
    <m/>
  </r>
  <r>
    <d v="2024-09-19T00:00:00"/>
    <s v="VZ-2024-000734-02"/>
    <x v="5"/>
    <s v="Valtová"/>
    <s v="Siková"/>
    <x v="447"/>
    <x v="2"/>
    <s v="Hydrofilní diagnostické katétry III."/>
    <s v="vypsaná VZ"/>
    <s v="33140000-3"/>
    <m/>
    <n v="120600"/>
    <x v="0"/>
    <d v="2024-09-27T00:00:00"/>
    <d v="2024-11-01T00:00:00"/>
    <m/>
    <m/>
    <m/>
    <m/>
    <m/>
    <m/>
    <m/>
    <m/>
    <m/>
    <m/>
    <x v="2"/>
    <m/>
    <m/>
  </r>
  <r>
    <d v="2024-09-20T00:00:00"/>
    <s v="VZ-2024-000735"/>
    <x v="2"/>
    <s v="Skulová"/>
    <s v="Zdražilová"/>
    <x v="448"/>
    <x v="0"/>
    <m/>
    <s v="vypsaná VZ"/>
    <s v="33158000-2"/>
    <s v="2.2.650."/>
    <n v="3590000"/>
    <x v="0"/>
    <d v="2024-10-15T00:00:00"/>
    <d v="2024-11-20T00:00:00"/>
    <m/>
    <m/>
    <m/>
    <m/>
    <m/>
    <m/>
    <m/>
    <m/>
    <m/>
    <m/>
    <x v="2"/>
    <m/>
    <m/>
  </r>
  <r>
    <d v="2024-09-20T00:00:00"/>
    <s v="VZ-2024-000736"/>
    <x v="2"/>
    <s v="Skulová"/>
    <s v="Zdražilová"/>
    <x v="449"/>
    <x v="0"/>
    <m/>
    <s v="ZD na podpis"/>
    <s v="33150000-6"/>
    <s v="2.3.843."/>
    <n v="2815000"/>
    <x v="0"/>
    <m/>
    <m/>
    <m/>
    <m/>
    <m/>
    <m/>
    <m/>
    <m/>
    <m/>
    <m/>
    <m/>
    <m/>
    <x v="2"/>
    <m/>
    <m/>
  </r>
  <r>
    <d v="2024-09-20T00:00:00"/>
    <s v="VZ-2024-000737"/>
    <x v="2"/>
    <s v="Skulová"/>
    <s v="Zdražilová"/>
    <x v="450"/>
    <x v="0"/>
    <m/>
    <s v="připravuje se"/>
    <s v="33150000-6"/>
    <s v="2.3.842."/>
    <n v="4300000"/>
    <x v="0"/>
    <m/>
    <m/>
    <m/>
    <m/>
    <m/>
    <m/>
    <m/>
    <m/>
    <m/>
    <m/>
    <m/>
    <m/>
    <x v="2"/>
    <m/>
    <m/>
  </r>
  <r>
    <d v="2024-09-20T00:00:00"/>
    <s v="VZ-2024-000738"/>
    <x v="2"/>
    <s v="Skulová"/>
    <s v="Zdražilová"/>
    <x v="451"/>
    <x v="0"/>
    <m/>
    <s v="ZD na podpis"/>
    <s v="33150000-6"/>
    <s v="2.2.645."/>
    <n v="998000"/>
    <x v="0"/>
    <m/>
    <m/>
    <m/>
    <m/>
    <m/>
    <m/>
    <m/>
    <m/>
    <m/>
    <m/>
    <m/>
    <m/>
    <x v="2"/>
    <m/>
    <m/>
  </r>
  <r>
    <s v="VZ-2024-000455"/>
    <s v="VZ-2024-000739"/>
    <x v="2"/>
    <s v="Skulová"/>
    <s v="Zdražilová"/>
    <x v="452"/>
    <x v="0"/>
    <m/>
    <s v="vypsaná VZ"/>
    <s v="33150000-6"/>
    <s v="2.3.841."/>
    <n v="266900"/>
    <x v="0"/>
    <d v="2024-10-11T00:00:00"/>
    <d v="2024-11-15T00:00:00"/>
    <m/>
    <m/>
    <m/>
    <m/>
    <m/>
    <m/>
    <m/>
    <m/>
    <m/>
    <m/>
    <x v="2"/>
    <m/>
    <m/>
  </r>
  <r>
    <d v="2024-09-20T00:00:00"/>
    <s v="VZ-2024-000740"/>
    <x v="1"/>
    <s v="Vlčková"/>
    <s v="Štýbnarová"/>
    <x v="453"/>
    <x v="0"/>
    <m/>
    <s v="hodnocení"/>
    <s v="33661300-4"/>
    <m/>
    <n v="847380"/>
    <x v="1"/>
    <d v="2024-09-24T00:00:00"/>
    <d v="2024-10-14T00:00:00"/>
    <m/>
    <m/>
    <m/>
    <m/>
    <m/>
    <m/>
    <m/>
    <m/>
    <m/>
    <m/>
    <x v="2"/>
    <m/>
    <m/>
  </r>
  <r>
    <d v="2024-09-20T00:00:00"/>
    <s v="VZ-2024-000745"/>
    <x v="6"/>
    <s v="Srovnal"/>
    <s v="Staňková"/>
    <x v="454"/>
    <x v="0"/>
    <m/>
    <s v="smlouva v kolečku"/>
    <s v="45453100-8"/>
    <m/>
    <n v="1250000"/>
    <x v="1"/>
    <d v="2024-09-25T00:00:00"/>
    <d v="2024-10-07T00:00:00"/>
    <d v="2024-10-15T00:00:00"/>
    <s v="POZEMSTAV Prostějov, a.s."/>
    <m/>
    <n v="832494.28"/>
    <n v="1007318.08"/>
    <m/>
    <m/>
    <m/>
    <d v="2024-10-15T00:00:00"/>
    <s v="SMLN-2024-618-100060"/>
    <x v="2"/>
    <m/>
    <m/>
  </r>
  <r>
    <d v="2024-09-26T00:00:00"/>
    <s v="VZ-2024-000746"/>
    <x v="4"/>
    <s v="Zdráhalová"/>
    <s v="Štýbnarová"/>
    <x v="455"/>
    <x v="0"/>
    <m/>
    <s v="vypsaná VZ"/>
    <s v="33140000-3"/>
    <m/>
    <n v="1264000"/>
    <x v="1"/>
    <d v="2024-10-03T00:00:00"/>
    <d v="2024-10-23T00:00:00"/>
    <m/>
    <m/>
    <m/>
    <m/>
    <m/>
    <m/>
    <m/>
    <m/>
    <m/>
    <m/>
    <x v="2"/>
    <m/>
    <m/>
  </r>
  <r>
    <d v="2024-09-20T00:00:00"/>
    <s v="VZ-2024-000748"/>
    <x v="1"/>
    <s v="Vondrková"/>
    <s v="Hašková"/>
    <x v="456"/>
    <x v="0"/>
    <m/>
    <s v="vypsaná VZ"/>
    <s v="33661300-4"/>
    <m/>
    <n v="5905219"/>
    <x v="0"/>
    <d v="2024-10-01T00:00:00"/>
    <d v="2024-11-05T00:00:00"/>
    <m/>
    <m/>
    <m/>
    <m/>
    <m/>
    <m/>
    <m/>
    <m/>
    <m/>
    <m/>
    <x v="2"/>
    <m/>
    <m/>
  </r>
  <r>
    <d v="2024-10-08T00:00:00"/>
    <s v="VZ-2024-000751"/>
    <x v="5"/>
    <s v="Dočkalová"/>
    <s v="Hašková"/>
    <x v="457"/>
    <x v="0"/>
    <m/>
    <s v="připravuje se"/>
    <s v="33151400-7"/>
    <m/>
    <n v="3828820"/>
    <x v="0"/>
    <m/>
    <m/>
    <m/>
    <m/>
    <m/>
    <m/>
    <m/>
    <m/>
    <m/>
    <m/>
    <m/>
    <m/>
    <x v="2"/>
    <m/>
    <m/>
  </r>
  <r>
    <d v="2024-09-25T00:00:00"/>
    <s v="VZ-2024-000752"/>
    <x v="5"/>
    <s v="Valtová"/>
    <s v="Štýbnarová"/>
    <x v="458"/>
    <x v="0"/>
    <m/>
    <s v="vypsaná VZ"/>
    <s v="33140000-3"/>
    <m/>
    <n v="1385700"/>
    <x v="1"/>
    <d v="2024-10-01T00:00:00"/>
    <d v="2024-10-29T00:00:00"/>
    <m/>
    <m/>
    <m/>
    <m/>
    <m/>
    <m/>
    <m/>
    <m/>
    <m/>
    <m/>
    <x v="2"/>
    <m/>
    <m/>
  </r>
  <r>
    <d v="2024-09-25T00:00:00"/>
    <s v="VZ-2024-000753"/>
    <x v="2"/>
    <s v="Skulová"/>
    <s v="Štýbnarová"/>
    <x v="459"/>
    <x v="0"/>
    <m/>
    <s v="hodnocení"/>
    <s v="38510000-3"/>
    <s v="2.3.811, 2.2.619"/>
    <n v="560240"/>
    <x v="1"/>
    <d v="2024-10-01T00:00:00"/>
    <d v="2024-10-14T00:00:00"/>
    <m/>
    <m/>
    <m/>
    <m/>
    <m/>
    <m/>
    <m/>
    <m/>
    <m/>
    <m/>
    <x v="2"/>
    <m/>
    <m/>
  </r>
  <r>
    <d v="2024-09-27T00:00:00"/>
    <s v="VZ-2024-000755"/>
    <x v="5"/>
    <s v="Dočkalová"/>
    <s v="Siková"/>
    <x v="460"/>
    <x v="0"/>
    <m/>
    <s v="vypsaná VZ"/>
    <s v="33183100-7, 33140000-3"/>
    <m/>
    <n v="2490000"/>
    <x v="0"/>
    <d v="2024-10-01T00:00:00"/>
    <d v="2024-11-06T00:00:00"/>
    <m/>
    <m/>
    <m/>
    <m/>
    <m/>
    <m/>
    <m/>
    <m/>
    <m/>
    <m/>
    <x v="2"/>
    <m/>
    <m/>
  </r>
  <r>
    <d v="2024-09-30T00:00:00"/>
    <s v="VZ-2024-000756"/>
    <x v="1"/>
    <s v="Vondrková"/>
    <s v="Bodinková"/>
    <x v="461"/>
    <x v="0"/>
    <m/>
    <s v="vypsaná VZ"/>
    <s v="33622000-6"/>
    <m/>
    <n v="11334856"/>
    <x v="0"/>
    <d v="2024-10-03T00:00:00"/>
    <d v="2024-11-07T00:00:00"/>
    <m/>
    <m/>
    <m/>
    <m/>
    <m/>
    <m/>
    <m/>
    <m/>
    <m/>
    <m/>
    <x v="2"/>
    <m/>
    <m/>
  </r>
  <r>
    <d v="2024-09-27T00:00:00"/>
    <s v="VZ-2024-000757"/>
    <x v="2"/>
    <s v="Skulová"/>
    <s v="Štýbnarová"/>
    <x v="462"/>
    <x v="0"/>
    <m/>
    <s v="hodnocení"/>
    <s v="79995100-6"/>
    <s v="2.3.859."/>
    <n v="1502875"/>
    <x v="1"/>
    <d v="2024-10-04T00:00:00"/>
    <d v="2024-10-15T00:00:00"/>
    <m/>
    <m/>
    <m/>
    <m/>
    <m/>
    <m/>
    <m/>
    <m/>
    <m/>
    <m/>
    <x v="2"/>
    <m/>
    <m/>
  </r>
  <r>
    <s v="VZ-2024-000599"/>
    <s v="VZ-2024-000758"/>
    <x v="2"/>
    <s v="Skulová"/>
    <s v="Štýbnarová"/>
    <x v="463"/>
    <x v="0"/>
    <m/>
    <s v="hodnocení"/>
    <s v="38434500-1"/>
    <s v="2.3.851."/>
    <n v="585500"/>
    <x v="1"/>
    <d v="2024-10-02T00:00:00"/>
    <d v="2024-10-15T00:00:00"/>
    <m/>
    <m/>
    <m/>
    <m/>
    <m/>
    <m/>
    <m/>
    <m/>
    <m/>
    <m/>
    <x v="2"/>
    <m/>
    <m/>
  </r>
  <r>
    <s v="VZ-2024-000613"/>
    <s v="VZ-2024-000759"/>
    <x v="2"/>
    <s v="Skulová"/>
    <s v="Štýbnarová"/>
    <x v="365"/>
    <x v="0"/>
    <m/>
    <s v="hodnocení"/>
    <s v="38000000-5"/>
    <s v="2.3.809."/>
    <n v="220000"/>
    <x v="1"/>
    <d v="2024-10-02T00:00:00"/>
    <d v="2024-10-15T00:00:00"/>
    <m/>
    <m/>
    <m/>
    <m/>
    <m/>
    <m/>
    <m/>
    <m/>
    <m/>
    <m/>
    <x v="2"/>
    <m/>
    <m/>
  </r>
  <r>
    <d v="2024-09-30T00:00:00"/>
    <s v="VZ-2024-000760"/>
    <x v="6"/>
    <s v="Srovnal"/>
    <s v="Kučera"/>
    <x v="464"/>
    <x v="0"/>
    <m/>
    <s v="vypsaná VZ"/>
    <s v="42512300-1"/>
    <s v="4.2.225."/>
    <n v="8264000"/>
    <x v="0"/>
    <d v="2024-10-09T00:00:00"/>
    <d v="2024-11-12T00:00:00"/>
    <m/>
    <m/>
    <m/>
    <m/>
    <m/>
    <m/>
    <m/>
    <m/>
    <m/>
    <m/>
    <x v="2"/>
    <m/>
    <m/>
  </r>
  <r>
    <d v="2024-09-30T00:00:00"/>
    <s v="VZ-2024-000761-01"/>
    <x v="1"/>
    <s v="Vlčková"/>
    <s v="Hašková"/>
    <x v="465"/>
    <x v="1"/>
    <s v="Gabagamma"/>
    <s v="vypsaná VZ"/>
    <s v="33661300-4"/>
    <m/>
    <n v="4299"/>
    <x v="0"/>
    <d v="2024-10-11T00:00:00"/>
    <d v="2024-11-15T00:00:00"/>
    <m/>
    <m/>
    <m/>
    <m/>
    <m/>
    <m/>
    <m/>
    <m/>
    <m/>
    <m/>
    <x v="2"/>
    <m/>
    <m/>
  </r>
  <r>
    <d v="2024-09-30T00:00:00"/>
    <s v="VZ-2024-000761-02"/>
    <x v="1"/>
    <s v="Vlčková"/>
    <s v="Hašková"/>
    <x v="465"/>
    <x v="2"/>
    <s v="GABAPENTIN TEVA"/>
    <s v="vypsaná VZ"/>
    <s v="33661300-4"/>
    <m/>
    <n v="75513"/>
    <x v="0"/>
    <d v="2024-10-11T00:00:00"/>
    <d v="2024-11-15T00:00:00"/>
    <m/>
    <m/>
    <m/>
    <m/>
    <m/>
    <m/>
    <m/>
    <m/>
    <m/>
    <m/>
    <x v="2"/>
    <m/>
    <m/>
  </r>
  <r>
    <d v="2024-09-30T00:00:00"/>
    <s v="VZ-2024-000761-03"/>
    <x v="1"/>
    <s v="Vlčková"/>
    <s v="Hašková"/>
    <x v="465"/>
    <x v="3"/>
    <s v="GABANOX"/>
    <s v="vypsaná VZ"/>
    <s v="33661300-4"/>
    <m/>
    <n v="351057"/>
    <x v="0"/>
    <d v="2024-10-11T00:00:00"/>
    <d v="2024-11-15T00:00:00"/>
    <m/>
    <m/>
    <m/>
    <m/>
    <m/>
    <m/>
    <m/>
    <m/>
    <m/>
    <m/>
    <x v="2"/>
    <m/>
    <m/>
  </r>
  <r>
    <d v="2024-09-30T00:00:00"/>
    <s v="VZ-2024-000761-04"/>
    <x v="1"/>
    <s v="Vlčková"/>
    <s v="Hašková"/>
    <x v="465"/>
    <x v="4"/>
    <s v="Neurontin"/>
    <s v="vypsaná VZ"/>
    <s v="33661300-4"/>
    <m/>
    <n v="1756836"/>
    <x v="0"/>
    <d v="2024-10-11T00:00:00"/>
    <d v="2024-11-15T00:00:00"/>
    <m/>
    <m/>
    <m/>
    <m/>
    <m/>
    <m/>
    <m/>
    <m/>
    <m/>
    <m/>
    <x v="2"/>
    <m/>
    <m/>
  </r>
  <r>
    <d v="2024-09-30T00:00:00"/>
    <s v="VZ-2024-000761-05"/>
    <x v="1"/>
    <s v="Vlčková"/>
    <s v="Hašková"/>
    <x v="465"/>
    <x v="5"/>
    <s v="GORDIUS"/>
    <s v="vypsaná VZ"/>
    <s v="33661300-4"/>
    <m/>
    <n v="30945"/>
    <x v="0"/>
    <d v="2024-10-11T00:00:00"/>
    <d v="2024-11-15T00:00:00"/>
    <m/>
    <m/>
    <m/>
    <m/>
    <m/>
    <m/>
    <m/>
    <m/>
    <m/>
    <m/>
    <x v="2"/>
    <m/>
    <m/>
  </r>
  <r>
    <d v="2024-09-30T00:00:00"/>
    <s v="VZ-2024-000761-06"/>
    <x v="1"/>
    <s v="Vlčková"/>
    <s v="Hašková"/>
    <x v="465"/>
    <x v="6"/>
    <s v="GRIMODIN"/>
    <s v="vypsaná VZ"/>
    <s v="33661300-4"/>
    <m/>
    <n v="19911"/>
    <x v="0"/>
    <d v="2024-10-11T00:00:00"/>
    <d v="2024-11-15T00:00:00"/>
    <m/>
    <m/>
    <m/>
    <m/>
    <m/>
    <m/>
    <m/>
    <m/>
    <m/>
    <m/>
    <x v="2"/>
    <m/>
    <m/>
  </r>
  <r>
    <d v="2024-09-30T00:00:00"/>
    <s v="VZ-2024-000762"/>
    <x v="5"/>
    <s v="Dočkalová"/>
    <s v="Siková"/>
    <x v="466"/>
    <x v="0"/>
    <m/>
    <s v="vypsaná VZ"/>
    <s v="33793000-5"/>
    <m/>
    <n v="2628000"/>
    <x v="0"/>
    <d v="2024-10-04T00:00:00"/>
    <d v="2024-11-11T00:00:00"/>
    <m/>
    <m/>
    <m/>
    <m/>
    <m/>
    <m/>
    <m/>
    <m/>
    <m/>
    <m/>
    <x v="2"/>
    <m/>
    <m/>
  </r>
  <r>
    <d v="2024-09-30T00:00:00"/>
    <s v="VZ-2024-000763-01"/>
    <x v="5"/>
    <s v="Valtová"/>
    <s v="Siková"/>
    <x v="467"/>
    <x v="1"/>
    <s v="Samoexpandibilní stenty vaskulární II.  "/>
    <s v="vypsaná VZ"/>
    <s v="33140000-3"/>
    <m/>
    <n v="2600000"/>
    <x v="0"/>
    <d v="2024-10-04T00:00:00"/>
    <d v="2024-11-11T00:00:00"/>
    <m/>
    <m/>
    <m/>
    <m/>
    <m/>
    <m/>
    <m/>
    <m/>
    <m/>
    <m/>
    <x v="2"/>
    <m/>
    <m/>
  </r>
  <r>
    <d v="2024-09-30T00:00:00"/>
    <s v="VZ-2024-000763-02"/>
    <x v="5"/>
    <s v="Valtová"/>
    <s v="Siková"/>
    <x v="467"/>
    <x v="2"/>
    <s v="Samoexpandibilní stenty vaskulární XL"/>
    <s v="vypsaná VZ"/>
    <s v="33140000-3"/>
    <m/>
    <n v="284700"/>
    <x v="0"/>
    <d v="2024-10-04T00:00:00"/>
    <d v="2024-11-11T00:00:00"/>
    <m/>
    <m/>
    <m/>
    <m/>
    <m/>
    <m/>
    <m/>
    <m/>
    <m/>
    <m/>
    <x v="2"/>
    <m/>
    <m/>
  </r>
  <r>
    <d v="2024-09-30T00:00:00"/>
    <s v="VZ-2024-000763-03"/>
    <x v="5"/>
    <s v="Valtová"/>
    <s v="Siková"/>
    <x v="467"/>
    <x v="3"/>
    <s v="Balónexpandibilní stenty vaskulární I."/>
    <s v="vypsaná VZ"/>
    <s v="33140000-3"/>
    <m/>
    <n v="3662400"/>
    <x v="0"/>
    <d v="2024-10-04T00:00:00"/>
    <d v="2024-11-11T00:00:00"/>
    <m/>
    <m/>
    <m/>
    <m/>
    <m/>
    <m/>
    <m/>
    <m/>
    <m/>
    <m/>
    <x v="2"/>
    <m/>
    <m/>
  </r>
  <r>
    <d v="2024-09-30T00:00:00"/>
    <s v="VZ-2024-000763-04"/>
    <x v="5"/>
    <s v="Valtová"/>
    <s v="Siková"/>
    <x v="467"/>
    <x v="4"/>
    <s v="Karotické stenty vaskulární I."/>
    <s v="vypsaná VZ"/>
    <s v="33140000-3"/>
    <m/>
    <n v="528000"/>
    <x v="0"/>
    <d v="2024-10-04T00:00:00"/>
    <d v="2024-11-11T00:00:00"/>
    <m/>
    <m/>
    <m/>
    <m/>
    <m/>
    <m/>
    <m/>
    <m/>
    <m/>
    <m/>
    <x v="2"/>
    <m/>
    <m/>
  </r>
  <r>
    <d v="2024-09-30T00:00:00"/>
    <s v="VZ-2024-000763-05"/>
    <x v="5"/>
    <s v="Valtová"/>
    <s v="Siková"/>
    <x v="467"/>
    <x v="5"/>
    <s v="Karotické stenty vaskulární II."/>
    <s v="vypsaná VZ"/>
    <s v="33140000-3"/>
    <m/>
    <n v="2607600"/>
    <x v="0"/>
    <d v="2024-10-04T00:00:00"/>
    <d v="2024-11-11T00:00:00"/>
    <m/>
    <m/>
    <m/>
    <m/>
    <m/>
    <m/>
    <m/>
    <m/>
    <m/>
    <m/>
    <x v="2"/>
    <m/>
    <m/>
  </r>
  <r>
    <d v="2024-09-30T00:00:00"/>
    <s v="VZ-2024-000763-06"/>
    <x v="5"/>
    <s v="Valtová"/>
    <s v="Siková"/>
    <x v="467"/>
    <x v="6"/>
    <s v="Intrakraniální stenty vaskulární"/>
    <s v="vypsaná VZ"/>
    <s v="33140000-3"/>
    <m/>
    <n v="29530000"/>
    <x v="0"/>
    <d v="2024-10-04T00:00:00"/>
    <d v="2024-11-11T00:00:00"/>
    <m/>
    <m/>
    <m/>
    <m/>
    <m/>
    <m/>
    <m/>
    <m/>
    <m/>
    <m/>
    <x v="2"/>
    <m/>
    <m/>
  </r>
  <r>
    <d v="2024-10-07T00:00:00"/>
    <s v="VZ-2024-000764"/>
    <x v="4"/>
    <s v="Zdráhalová"/>
    <s v="Siková"/>
    <x v="468"/>
    <x v="0"/>
    <m/>
    <s v="vypsaná VZ"/>
    <s v="33199000-1"/>
    <m/>
    <n v="1401000"/>
    <x v="0"/>
    <d v="2024-10-15T00:00:00"/>
    <d v="2024-11-19T00:00:00"/>
    <m/>
    <m/>
    <m/>
    <m/>
    <m/>
    <m/>
    <m/>
    <m/>
    <m/>
    <m/>
    <x v="2"/>
    <m/>
    <m/>
  </r>
  <r>
    <d v="2024-10-02T00:00:00"/>
    <s v="VZ-2024-000765"/>
    <x v="12"/>
    <s v="Svozil"/>
    <s v="Staňková"/>
    <x v="469"/>
    <x v="0"/>
    <m/>
    <s v="vypsaná VZ"/>
    <s v="45232400-6"/>
    <m/>
    <n v="5500000"/>
    <x v="1"/>
    <d v="2024-10-09T00:00:00"/>
    <d v="2024-10-21T00:00:00"/>
    <m/>
    <m/>
    <m/>
    <m/>
    <m/>
    <m/>
    <m/>
    <m/>
    <m/>
    <m/>
    <x v="2"/>
    <m/>
    <m/>
  </r>
  <r>
    <d v="2024-10-02T00:00:00"/>
    <s v="VZ-2024-000766"/>
    <x v="6"/>
    <s v="Srovnal"/>
    <s v="Kučera"/>
    <x v="470"/>
    <x v="0"/>
    <m/>
    <s v="vypsaná VZ"/>
    <s v="39151000-5"/>
    <m/>
    <n v="1000000"/>
    <x v="4"/>
    <d v="2024-10-04T00:00:00"/>
    <d v="2024-10-16T00:00:00"/>
    <m/>
    <m/>
    <m/>
    <m/>
    <m/>
    <m/>
    <m/>
    <m/>
    <m/>
    <m/>
    <x v="2"/>
    <m/>
    <m/>
  </r>
  <r>
    <d v="2024-10-03T00:00:00"/>
    <s v="VZ-2024-000767"/>
    <x v="7"/>
    <s v="Pohlídal"/>
    <s v="Štýbnarová"/>
    <x v="471"/>
    <x v="0"/>
    <m/>
    <s v="vypsaná VZ"/>
    <s v="30214000-2"/>
    <m/>
    <n v="810000"/>
    <x v="1"/>
    <d v="2024-10-09T00:00:00"/>
    <d v="2024-10-21T00:00:00"/>
    <m/>
    <m/>
    <m/>
    <m/>
    <m/>
    <m/>
    <m/>
    <m/>
    <m/>
    <m/>
    <x v="2"/>
    <m/>
    <m/>
  </r>
  <r>
    <d v="2024-10-09T00:00:00"/>
    <s v="VZ-2024-000768"/>
    <x v="1"/>
    <s v="Vlčková"/>
    <s v="Bodinková"/>
    <x v="472"/>
    <x v="0"/>
    <m/>
    <s v="připravuje se"/>
    <s v="09343000-5"/>
    <m/>
    <n v="12739246"/>
    <x v="4"/>
    <m/>
    <m/>
    <m/>
    <m/>
    <m/>
    <m/>
    <m/>
    <m/>
    <m/>
    <m/>
    <m/>
    <m/>
    <x v="2"/>
    <m/>
    <m/>
  </r>
  <r>
    <s v="VZ-2024-000704"/>
    <s v="VZ-2024-000769"/>
    <x v="2"/>
    <s v="Skulová"/>
    <s v="Staňková"/>
    <x v="473"/>
    <x v="0"/>
    <m/>
    <s v="vypsaná VZ"/>
    <s v="33160000-9"/>
    <s v="2.3.665."/>
    <n v="229200"/>
    <x v="1"/>
    <d v="2024-10-08T00:00:00"/>
    <d v="2024-10-21T00:00:00"/>
    <m/>
    <m/>
    <m/>
    <m/>
    <m/>
    <m/>
    <m/>
    <m/>
    <m/>
    <m/>
    <x v="2"/>
    <m/>
    <m/>
  </r>
  <r>
    <s v="VZ-2024-000715"/>
    <s v="VZ-2024-000770"/>
    <x v="2"/>
    <s v="Skulová"/>
    <s v="Staňková"/>
    <x v="474"/>
    <x v="0"/>
    <m/>
    <s v="vypsaná VZ"/>
    <s v="33100000-1"/>
    <s v="2.2.666."/>
    <n v="231896"/>
    <x v="1"/>
    <d v="2024-10-08T00:00:00"/>
    <d v="2024-10-21T00:00:00"/>
    <m/>
    <m/>
    <m/>
    <m/>
    <m/>
    <m/>
    <m/>
    <m/>
    <m/>
    <m/>
    <x v="2"/>
    <m/>
    <m/>
  </r>
  <r>
    <d v="2024-10-09T00:00:00"/>
    <s v="VZ-2024-000771"/>
    <x v="2"/>
    <s v="Skulová"/>
    <s v="Štýbnarová"/>
    <x v="475"/>
    <x v="0"/>
    <m/>
    <s v="vypsaná VZ"/>
    <s v="42923200-4"/>
    <m/>
    <n v="72000"/>
    <x v="1"/>
    <d v="2024-10-15T00:00:00"/>
    <d v="2024-10-29T00:00:00"/>
    <m/>
    <m/>
    <m/>
    <m/>
    <m/>
    <m/>
    <m/>
    <m/>
    <m/>
    <m/>
    <x v="2"/>
    <m/>
    <m/>
  </r>
  <r>
    <d v="2024-10-04T00:00:00"/>
    <s v="VZ-2024-000772-01"/>
    <x v="5"/>
    <s v="Valtová"/>
    <s v="Siková"/>
    <x v="476"/>
    <x v="1"/>
    <s v="Diagnostické katétry  II."/>
    <s v="vypsaná VZ"/>
    <s v="33140000-3"/>
    <m/>
    <n v="2309500"/>
    <x v="0"/>
    <d v="2024-10-10T00:00:00"/>
    <d v="2024-11-14T00:00:00"/>
    <m/>
    <m/>
    <m/>
    <m/>
    <m/>
    <m/>
    <m/>
    <m/>
    <m/>
    <m/>
    <x v="2"/>
    <m/>
    <m/>
  </r>
  <r>
    <d v="2024-10-04T00:00:00"/>
    <s v="VZ-2024-000772-02"/>
    <x v="5"/>
    <s v="Valtová"/>
    <s v="Siková"/>
    <x v="476"/>
    <x v="2"/>
    <s v="Kalibrační diagnostické katétry"/>
    <s v="vypsaná VZ"/>
    <s v="33140000-3"/>
    <m/>
    <n v="704000"/>
    <x v="0"/>
    <d v="2024-10-10T00:00:00"/>
    <d v="2024-11-14T00:00:00"/>
    <m/>
    <m/>
    <m/>
    <m/>
    <m/>
    <m/>
    <m/>
    <m/>
    <m/>
    <m/>
    <x v="2"/>
    <m/>
    <m/>
  </r>
  <r>
    <d v="2024-10-03T00:00:00"/>
    <s v="VZ-2024-000776"/>
    <x v="6"/>
    <s v="Srovnal"/>
    <s v="Kučera"/>
    <x v="477"/>
    <x v="0"/>
    <m/>
    <s v="ZD na podpis"/>
    <s v="45421100-5"/>
    <m/>
    <n v="3900000"/>
    <x v="0"/>
    <m/>
    <m/>
    <m/>
    <m/>
    <m/>
    <m/>
    <m/>
    <m/>
    <m/>
    <m/>
    <m/>
    <m/>
    <x v="2"/>
    <m/>
    <m/>
  </r>
  <r>
    <d v="2024-10-02T00:00:00"/>
    <s v="VZ-2024-000777"/>
    <x v="6"/>
    <s v="Srovnal"/>
    <s v="Štýbnarová"/>
    <x v="478"/>
    <x v="0"/>
    <m/>
    <s v="vypsaná VZ"/>
    <s v="45454100-5"/>
    <m/>
    <n v="1300000"/>
    <x v="1"/>
    <d v="2024-10-07T00:00:00"/>
    <d v="2024-10-18T00:00:00"/>
    <m/>
    <m/>
    <m/>
    <m/>
    <m/>
    <m/>
    <m/>
    <m/>
    <m/>
    <m/>
    <x v="2"/>
    <m/>
    <m/>
  </r>
  <r>
    <d v="2024-10-02T00:00:00"/>
    <s v="VZ-2024-000778"/>
    <x v="6"/>
    <s v="Srovnal"/>
    <s v="Staňková"/>
    <x v="479"/>
    <x v="0"/>
    <m/>
    <s v="vypsaná VZ"/>
    <s v="45262600-7"/>
    <m/>
    <n v="2000000"/>
    <x v="1"/>
    <d v="2024-10-09T00:00:00"/>
    <d v="2024-10-21T00:00:00"/>
    <m/>
    <m/>
    <m/>
    <m/>
    <m/>
    <m/>
    <m/>
    <m/>
    <m/>
    <m/>
    <x v="2"/>
    <m/>
    <m/>
  </r>
  <r>
    <d v="2024-10-02T00:00:00"/>
    <s v="VZ-2024-000780"/>
    <x v="5"/>
    <s v="Dočkalová"/>
    <s v="Štýbnarová"/>
    <x v="480"/>
    <x v="0"/>
    <m/>
    <s v="vypsaná VZ"/>
    <s v="33140000-3"/>
    <m/>
    <n v="932400"/>
    <x v="1"/>
    <d v="2024-10-04T00:00:00"/>
    <d v="2024-10-16T00:00:00"/>
    <m/>
    <m/>
    <m/>
    <m/>
    <m/>
    <m/>
    <m/>
    <m/>
    <m/>
    <m/>
    <x v="2"/>
    <m/>
    <m/>
  </r>
  <r>
    <s v="VZ-2024-000726"/>
    <s v="VZ-2024-000782"/>
    <x v="1"/>
    <s v="Vlčková"/>
    <s v="Bodinková"/>
    <x v="481"/>
    <x v="0"/>
    <m/>
    <s v="ZD na podpis"/>
    <s v="09343000-5"/>
    <m/>
    <n v="1940000"/>
    <x v="0"/>
    <m/>
    <m/>
    <m/>
    <m/>
    <m/>
    <m/>
    <m/>
    <m/>
    <m/>
    <m/>
    <m/>
    <m/>
    <x v="2"/>
    <m/>
    <m/>
  </r>
  <r>
    <d v="2024-10-03T00:00:00"/>
    <s v="VZ-2024-000783"/>
    <x v="5"/>
    <s v="Valtová"/>
    <s v="Siková"/>
    <x v="482"/>
    <x v="0"/>
    <m/>
    <s v="vypsaná VZ"/>
    <s v="33140000-3"/>
    <m/>
    <n v="13298000"/>
    <x v="0"/>
    <d v="2024-10-10T00:00:00"/>
    <d v="2024-11-14T00:00:00"/>
    <m/>
    <m/>
    <m/>
    <m/>
    <m/>
    <m/>
    <m/>
    <m/>
    <m/>
    <m/>
    <x v="2"/>
    <m/>
    <m/>
  </r>
  <r>
    <d v="2024-10-03T00:00:00"/>
    <s v="VZ-2024-000784"/>
    <x v="5"/>
    <s v="Dočkalová"/>
    <s v="Štýbnarová"/>
    <x v="483"/>
    <x v="0"/>
    <m/>
    <s v="vypsaná VZ"/>
    <s v="33162200-5"/>
    <m/>
    <n v="777600"/>
    <x v="1"/>
    <d v="2024-10-08T00:00:00"/>
    <d v="2024-10-21T00:00:00"/>
    <m/>
    <m/>
    <m/>
    <m/>
    <m/>
    <m/>
    <m/>
    <m/>
    <m/>
    <m/>
    <x v="2"/>
    <m/>
    <m/>
  </r>
  <r>
    <d v="2024-10-03T00:00:00"/>
    <s v="VZ-2024-000785"/>
    <x v="1"/>
    <s v="Vlčková"/>
    <s v="Bodinková"/>
    <x v="484"/>
    <x v="0"/>
    <m/>
    <s v="připravuje se"/>
    <s v="33661300-4"/>
    <m/>
    <n v="2113221"/>
    <x v="0"/>
    <m/>
    <m/>
    <m/>
    <m/>
    <m/>
    <m/>
    <m/>
    <m/>
    <m/>
    <m/>
    <m/>
    <m/>
    <x v="2"/>
    <m/>
    <m/>
  </r>
  <r>
    <d v="2024-10-04T00:00:00"/>
    <s v="VZ-2024-000786"/>
    <x v="6"/>
    <s v="Srovnal"/>
    <s v="Staňková"/>
    <x v="485"/>
    <x v="0"/>
    <m/>
    <s v="vypsaná VZ"/>
    <s v="50720000-8"/>
    <m/>
    <n v="1400000"/>
    <x v="1"/>
    <d v="2024-10-09T00:00:00"/>
    <d v="2024-10-21T00:00:00"/>
    <m/>
    <m/>
    <m/>
    <m/>
    <m/>
    <m/>
    <m/>
    <m/>
    <m/>
    <m/>
    <x v="2"/>
    <m/>
    <m/>
  </r>
  <r>
    <d v="2024-10-07T00:00:00"/>
    <s v="VZ-2024-000787"/>
    <x v="5"/>
    <s v="Dočkalová"/>
    <s v="Hašková"/>
    <x v="486"/>
    <x v="0"/>
    <m/>
    <s v="ZD na podpis"/>
    <s v="33140000-3"/>
    <m/>
    <n v="2143000"/>
    <x v="0"/>
    <m/>
    <m/>
    <m/>
    <m/>
    <m/>
    <m/>
    <m/>
    <m/>
    <m/>
    <m/>
    <m/>
    <m/>
    <x v="2"/>
    <m/>
    <m/>
  </r>
  <r>
    <d v="2024-10-09T00:00:00"/>
    <s v="VZ-2024-000792"/>
    <x v="5"/>
    <s v="Dočkalová"/>
    <s v="Siková"/>
    <x v="487"/>
    <x v="0"/>
    <m/>
    <s v="vypsaná VZ"/>
    <s v="19520000-7"/>
    <m/>
    <n v="2323660"/>
    <x v="0"/>
    <d v="2024-10-15T00:00:00"/>
    <d v="2024-11-19T00:00:00"/>
    <m/>
    <m/>
    <m/>
    <m/>
    <m/>
    <m/>
    <m/>
    <m/>
    <m/>
    <m/>
    <x v="2"/>
    <m/>
    <m/>
  </r>
  <r>
    <d v="2024-10-14T00:00:00"/>
    <s v="VZ-2024-000793"/>
    <x v="0"/>
    <s v="Zeman"/>
    <s v="Kučera"/>
    <x v="488"/>
    <x v="0"/>
    <m/>
    <s v="připravuje se"/>
    <s v="45215100-8"/>
    <s v="1.2.115."/>
    <n v="28500000"/>
    <x v="2"/>
    <m/>
    <m/>
    <m/>
    <m/>
    <m/>
    <m/>
    <m/>
    <m/>
    <m/>
    <m/>
    <m/>
    <m/>
    <x v="2"/>
    <m/>
    <m/>
  </r>
  <r>
    <d v="2024-10-10T00:00:00"/>
    <s v="VZ-2024-000799"/>
    <x v="1"/>
    <s v="Vondrková"/>
    <s v="Hašková"/>
    <x v="489"/>
    <x v="0"/>
    <m/>
    <s v="připravuje se"/>
    <s v="33652300-8"/>
    <m/>
    <n v="12692322"/>
    <x v="0"/>
    <m/>
    <m/>
    <m/>
    <m/>
    <m/>
    <m/>
    <m/>
    <m/>
    <m/>
    <m/>
    <m/>
    <m/>
    <x v="2"/>
    <m/>
    <m/>
  </r>
  <r>
    <d v="2024-10-15T00:00:00"/>
    <s v="VZ-2024-000802"/>
    <x v="0"/>
    <s v="Spáčil O."/>
    <s v="Staňková"/>
    <x v="490"/>
    <x v="0"/>
    <m/>
    <s v="připravuje se"/>
    <s v="45110000-1"/>
    <s v="1.2.121."/>
    <n v="1033000"/>
    <x v="1"/>
    <m/>
    <m/>
    <m/>
    <m/>
    <m/>
    <m/>
    <m/>
    <m/>
    <m/>
    <m/>
    <m/>
    <m/>
    <x v="2"/>
    <m/>
    <m/>
  </r>
  <r>
    <d v="2024-10-15T00:00:00"/>
    <s v="VZ-2024-000805"/>
    <x v="1"/>
    <s v="Vlčková"/>
    <s v="Hašková"/>
    <x v="491"/>
    <x v="0"/>
    <m/>
    <s v="připravuje se"/>
    <s v="33652000-5"/>
    <m/>
    <n v="158522697"/>
    <x v="0"/>
    <m/>
    <m/>
    <m/>
    <m/>
    <m/>
    <m/>
    <m/>
    <m/>
    <m/>
    <m/>
    <m/>
    <m/>
    <x v="2"/>
    <m/>
    <m/>
  </r>
  <r>
    <d v="2024-10-15T00:00:00"/>
    <s v="VZ-2024-000807"/>
    <x v="1"/>
    <s v="Vlčková"/>
    <s v="Siková"/>
    <x v="492"/>
    <x v="0"/>
    <m/>
    <s v="připravuje se"/>
    <s v="33652000-5"/>
    <m/>
    <n v="11677756"/>
    <x v="0"/>
    <m/>
    <m/>
    <m/>
    <m/>
    <m/>
    <m/>
    <m/>
    <m/>
    <m/>
    <m/>
    <m/>
    <m/>
    <x v="2"/>
    <m/>
    <m/>
  </r>
  <r>
    <d v="2024-10-15T00:00:00"/>
    <s v="VZ-2024-000808"/>
    <x v="1"/>
    <s v="Vlčková"/>
    <s v="Siková"/>
    <x v="493"/>
    <x v="0"/>
    <m/>
    <s v="připravuje se"/>
    <s v="33652000-5"/>
    <m/>
    <n v="9048020"/>
    <x v="0"/>
    <m/>
    <m/>
    <m/>
    <m/>
    <m/>
    <m/>
    <m/>
    <m/>
    <m/>
    <m/>
    <m/>
    <m/>
    <x v="2"/>
    <m/>
    <m/>
  </r>
  <r>
    <d v="2024-10-15T00:00:00"/>
    <s v="VZ-2024-000823-01"/>
    <x v="2"/>
    <s v="Skulová"/>
    <s v="Zdražilová"/>
    <x v="494"/>
    <x v="1"/>
    <s v="UZV pro III. IK"/>
    <s v="připravuje se"/>
    <s v="33112200-0"/>
    <s v="2.3.786."/>
    <n v="2460000"/>
    <x v="0"/>
    <m/>
    <m/>
    <m/>
    <m/>
    <m/>
    <m/>
    <m/>
    <m/>
    <m/>
    <m/>
    <m/>
    <m/>
    <x v="2"/>
    <m/>
    <m/>
  </r>
  <r>
    <d v="2024-10-15T00:00:00"/>
    <s v="VZ-2024-000823-02"/>
    <x v="2"/>
    <s v="Skulová"/>
    <s v="Zdražilová"/>
    <x v="494"/>
    <x v="2"/>
    <s v="UZV pro KCHIR"/>
    <s v="připravuje se"/>
    <s v="33112200-0"/>
    <s v="2.3.860."/>
    <n v="1760000"/>
    <x v="0"/>
    <m/>
    <m/>
    <m/>
    <m/>
    <m/>
    <m/>
    <m/>
    <m/>
    <m/>
    <m/>
    <m/>
    <m/>
    <x v="2"/>
    <m/>
    <m/>
  </r>
  <r>
    <d v="2024-10-15T00:00:00"/>
    <s v="VZ-2024-000823-03"/>
    <x v="2"/>
    <s v="Skulová"/>
    <s v="Zdražilová"/>
    <x v="494"/>
    <x v="3"/>
    <s v="Echokardiograf pro I. IK"/>
    <s v="připravuje se"/>
    <s v="33112200-0"/>
    <s v="2.2.668."/>
    <n v="1382240"/>
    <x v="0"/>
    <m/>
    <m/>
    <m/>
    <m/>
    <m/>
    <m/>
    <m/>
    <m/>
    <m/>
    <m/>
    <m/>
    <m/>
    <x v="2"/>
    <m/>
    <m/>
  </r>
  <r>
    <d v="2024-10-15T00:00:00"/>
    <s v="VZ-2024-000823-04"/>
    <x v="2"/>
    <s v="Skulová"/>
    <s v="Zdražilová"/>
    <x v="494"/>
    <x v="4"/>
    <s v="UZV sonda pro DK"/>
    <s v="připravuje se"/>
    <s v="33112200-0"/>
    <m/>
    <n v="129000"/>
    <x v="0"/>
    <m/>
    <m/>
    <m/>
    <m/>
    <m/>
    <m/>
    <m/>
    <m/>
    <m/>
    <m/>
    <m/>
    <m/>
    <x v="2"/>
    <m/>
    <m/>
  </r>
  <r>
    <d v="2024-10-15T00:00:00"/>
    <s v="VZ-2024-000825"/>
    <x v="12"/>
    <s v="Svozil"/>
    <m/>
    <x v="495"/>
    <x v="0"/>
    <m/>
    <s v="připravuje se"/>
    <m/>
    <m/>
    <n v="5800000"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  <r>
    <m/>
    <m/>
    <x v="16"/>
    <m/>
    <m/>
    <x v="496"/>
    <x v="0"/>
    <m/>
    <m/>
    <m/>
    <m/>
    <m/>
    <x v="6"/>
    <m/>
    <m/>
    <m/>
    <m/>
    <m/>
    <m/>
    <m/>
    <m/>
    <m/>
    <m/>
    <m/>
    <m/>
    <x v="2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0">
  <r>
    <d v="2022-02-08T00:00:00"/>
    <s v="VZ-2022-000157"/>
    <x v="0"/>
    <s v="Ondráčková"/>
    <s v="Bodinková"/>
    <x v="0"/>
    <n v="1"/>
    <s v="TIOTROPIUM-BROMID I."/>
    <s v="podepsaná smlouva"/>
    <s v="33670000-7"/>
    <m/>
    <n v="554723"/>
    <x v="0"/>
    <d v="2022-10-04T00:00:00"/>
    <d v="2022-12-06T00:00:00"/>
    <d v="2023-01-30T00:00:00"/>
    <s v="Boehringer Ingelheim, spol. s r.o."/>
    <m/>
    <n v="554677.19999999995"/>
    <n v="610144.92000000004"/>
    <m/>
    <m/>
    <m/>
    <d v="2023-01-30T00:00:00"/>
    <s v="SMLN-2023-617-000072"/>
    <x v="0"/>
  </r>
  <r>
    <d v="2022-02-08T00:00:00"/>
    <s v="VZ-2022-000157"/>
    <x v="0"/>
    <s v="Ondráčková"/>
    <s v="Bodinková"/>
    <x v="0"/>
    <n v="2"/>
    <s v="TIOTROPIUM-BROMID II."/>
    <s v="podepsaná smlouva"/>
    <s v="33670000-7"/>
    <m/>
    <n v="14578"/>
    <x v="0"/>
    <d v="2022-10-04T00:00:00"/>
    <d v="2022-12-06T00:00:00"/>
    <d v="2023-01-30T00:00:00"/>
    <s v="Alliance Healthcare s.r.o."/>
    <m/>
    <n v="14548.8"/>
    <n v="16003.68"/>
    <m/>
    <m/>
    <m/>
    <d v="2023-01-30T00:00:00"/>
    <s v="SMLN-2023-617-000074"/>
    <x v="1"/>
  </r>
  <r>
    <d v="2022-02-08T00:00:00"/>
    <s v="VZ-2022-000157"/>
    <x v="0"/>
    <s v="Ondráčková"/>
    <s v="Bodinková"/>
    <x v="0"/>
    <n v="3"/>
    <s v="TIOTROPIUM-BROMID  III."/>
    <s v="podepsaná smlouva"/>
    <s v="33670000-7"/>
    <m/>
    <n v="8497243"/>
    <x v="0"/>
    <d v="2022-10-04T00:00:00"/>
    <d v="2022-12-06T00:00:00"/>
    <d v="2023-01-30T00:00:00"/>
    <s v="Boehringer Ingelheim, spol. s r.o."/>
    <m/>
    <n v="8500952.5199999996"/>
    <n v="9351047.7699999996"/>
    <m/>
    <m/>
    <m/>
    <d v="2023-01-30T00:00:00"/>
    <s v="SMLN-2023-617-000075"/>
    <x v="0"/>
  </r>
  <r>
    <d v="2022-02-09T00:00:00"/>
    <s v="VZ-2022-000160"/>
    <x v="0"/>
    <s v="Ondráčková"/>
    <s v="Bodinková"/>
    <x v="1"/>
    <m/>
    <s v="TRASTUZUMAB DERUXTEKAN"/>
    <s v="podepsaná smlouva"/>
    <s v="33652000-5"/>
    <m/>
    <n v="91899879"/>
    <x v="0"/>
    <d v="2022-10-20T00:00:00"/>
    <d v="2023-01-04T00:00:00"/>
    <d v="2023-02-09T00:00:00"/>
    <s v="PHOENIX lék. velkoobchod, s.r.o."/>
    <m/>
    <n v="91899878.400000006"/>
    <n v="101089866.23999999"/>
    <m/>
    <m/>
    <m/>
    <d v="2023-02-09T00:00:00"/>
    <s v="SMLN-2023-617-000092"/>
    <x v="2"/>
  </r>
  <r>
    <d v="2022-02-15T00:00:00"/>
    <s v="VZ-2022-000195"/>
    <x v="0"/>
    <s v="Ondráčková"/>
    <s v="Bodinková"/>
    <x v="2"/>
    <m/>
    <s v="SARILUMAB"/>
    <s v="podepsaná smlouva"/>
    <s v="33652300-8"/>
    <m/>
    <n v="11500873"/>
    <x v="0"/>
    <d v="2022-11-28T00:00:00"/>
    <d v="2023-01-20T00:00:00"/>
    <d v="2023-02-22T00:00:00"/>
    <s v="sanofi-aventis, s.r.o."/>
    <m/>
    <n v="11351349.039999999"/>
    <n v="12486483.939999999"/>
    <m/>
    <m/>
    <m/>
    <d v="2023-02-22T00:00:00"/>
    <s v="SMLN-2023-617-000110"/>
    <x v="3"/>
  </r>
  <r>
    <d v="2022-02-15T00:00:00"/>
    <s v="VZ-2022-000196 "/>
    <x v="0"/>
    <s v="Ondráčková"/>
    <s v="Bodinková"/>
    <x v="3"/>
    <m/>
    <s v="ANAKINRA"/>
    <s v="podepsaná smlouva"/>
    <s v="33652300-8"/>
    <m/>
    <n v="25726680"/>
    <x v="0"/>
    <d v="2022-11-22T00:00:00"/>
    <d v="2022-12-27T00:00:00"/>
    <d v="2023-01-13T00:00:00"/>
    <s v="PHARMOS, a.s."/>
    <m/>
    <n v="25483506.399999999"/>
    <n v="28031857.039999999"/>
    <m/>
    <m/>
    <m/>
    <d v="2023-01-13T00:00:00"/>
    <s v="SMLN-2023-617-000037"/>
    <x v="4"/>
  </r>
  <r>
    <d v="2022-02-18T00:00:00"/>
    <s v="VZ-2022-000206"/>
    <x v="0"/>
    <s v="Ondráčková"/>
    <s v="Bodinková"/>
    <x v="4"/>
    <m/>
    <s v="AKALABRUTINIB"/>
    <s v="podepsaná smlouva"/>
    <s v="33652000-5"/>
    <m/>
    <n v="134757341"/>
    <x v="0"/>
    <d v="2022-09-02T00:00:00"/>
    <d v="2022-10-31T00:00:00"/>
    <d v="2022-11-24T00:00:00"/>
    <s v="PHOENIX lék. velkoobchod, s.r.o."/>
    <m/>
    <n v="117573518.40000001"/>
    <n v="129330870.23999999"/>
    <m/>
    <m/>
    <m/>
    <d v="2022-11-24T00:00:00"/>
    <s v="SMLN-2022-617-000824"/>
    <x v="5"/>
  </r>
  <r>
    <d v="2022-02-18T00:00:00"/>
    <s v="VZ-2022-000207"/>
    <x v="0"/>
    <s v="Ondráčková"/>
    <s v="Bodinková"/>
    <x v="5"/>
    <m/>
    <s v="RUXOLITINIB"/>
    <s v="podepsaná smlouva"/>
    <s v="33652000-5"/>
    <m/>
    <n v="133903759"/>
    <x v="0"/>
    <d v="2022-09-30T00:00:00"/>
    <d v="2022-11-04T00:00:00"/>
    <d v="2022-12-15T00:00:00"/>
    <s v="Alliance Healthcare s.r.o."/>
    <m/>
    <n v="133497916.56"/>
    <n v="146847708.22"/>
    <m/>
    <m/>
    <m/>
    <d v="2022-12-15T00:00:00"/>
    <s v="SMLN-2022-617-000862"/>
    <x v="6"/>
  </r>
  <r>
    <d v="2022-03-22T00:00:00"/>
    <s v="VZ-2022-000309"/>
    <x v="0"/>
    <s v="Ondráčková"/>
    <s v="Bodinková"/>
    <x v="6"/>
    <n v="1"/>
    <s v="_x000a_OFATUMUMAB  "/>
    <s v="podepsaná smlouva"/>
    <s v="33652300-8"/>
    <m/>
    <n v="74511965"/>
    <x v="0"/>
    <d v="2022-10-24T00:00:00"/>
    <d v="2022-12-20T00:00:00"/>
    <d v="2023-01-16T00:00:00"/>
    <s v="Alliance Healthcare s.r.o."/>
    <m/>
    <n v="74511964.799999997"/>
    <n v="81963161.280000001"/>
    <m/>
    <m/>
    <m/>
    <d v="2023-01-16T00:00:00"/>
    <s v="SMLN-2023-617-000040"/>
    <x v="7"/>
  </r>
  <r>
    <d v="2022-03-22T00:00:00"/>
    <s v="VZ-2022-000312"/>
    <x v="0"/>
    <s v="Ondráčková"/>
    <s v="Bodinková"/>
    <x v="7"/>
    <n v="1"/>
    <s v="EKULIZUMAB  "/>
    <s v="podepsaná smlouva"/>
    <s v="33652300-8"/>
    <m/>
    <n v="270538297"/>
    <x v="0"/>
    <d v="2022-09-01T00:00:00"/>
    <d v="2022-10-31T00:00:00"/>
    <d v="2022-12-07T00:00:00"/>
    <s v="PHOENIX lék. velkoobchod, s.r.o."/>
    <m/>
    <n v="264954457.31999999"/>
    <n v="291449903.05000001"/>
    <m/>
    <m/>
    <m/>
    <d v="2022-12-07T00:00:00"/>
    <s v="SMLN-2022-617-000845"/>
    <x v="8"/>
  </r>
  <r>
    <d v="2022-03-30T00:00:00"/>
    <s v="VZ-2022-000335"/>
    <x v="0"/>
    <s v="Ondráčková"/>
    <s v="Bodinková"/>
    <x v="8"/>
    <n v="3"/>
    <s v="TOPOTEKAN  "/>
    <s v="podepsaná smlouva"/>
    <s v="33652100-6"/>
    <m/>
    <n v="174580"/>
    <x v="0"/>
    <d v="2022-04-11T00:00:00"/>
    <d v="2022-07-20T00:00:00"/>
    <d v="2022-10-19T00:00:00"/>
    <s v="ViaPharma s.r.o."/>
    <m/>
    <n v="174537"/>
    <n v="191990.7"/>
    <m/>
    <m/>
    <m/>
    <d v="2022-10-19T00:00:00"/>
    <s v="SMLN-2022-617-000741"/>
    <x v="9"/>
  </r>
  <r>
    <d v="2022-03-30T00:00:00"/>
    <s v="VZ-2022-000335"/>
    <x v="0"/>
    <s v="Ondráčková"/>
    <s v="Bodinková"/>
    <x v="8"/>
    <n v="4"/>
    <s v="TRABEKTEDIN "/>
    <s v="zrušeno"/>
    <s v="33652100-6"/>
    <m/>
    <n v="3277224"/>
    <x v="0"/>
    <d v="2022-04-11T00:00:00"/>
    <d v="2022-07-20T00:00:00"/>
    <d v="2022-12-29T00:00:00"/>
    <s v="zrušeno - neposkytnutí součinnosti Imedica"/>
    <m/>
    <n v="3277224"/>
    <n v="3604946.4"/>
    <m/>
    <m/>
    <m/>
    <d v="2022-12-29T00:00:00"/>
    <s v="SMLN-2022-617-000904"/>
    <x v="10"/>
  </r>
  <r>
    <d v="2022-05-09T00:00:00"/>
    <s v="VZ-2022-000487-01"/>
    <x v="1"/>
    <s v="Svozil"/>
    <s v="Kučera"/>
    <x v="9"/>
    <n v="1"/>
    <s v="Likvidace nebezpečných odpadů"/>
    <s v="podepsaná smlouva"/>
    <s v="90500000-2"/>
    <m/>
    <n v="128250000"/>
    <x v="0"/>
    <d v="2022-08-11T00:00:00"/>
    <d v="2022-10-26T00:00:00"/>
    <d v="2022-12-16T00:00:00"/>
    <s v="Veolia Energie ČR, a.s."/>
    <m/>
    <n v="107417279.38"/>
    <n v="129974908.05"/>
    <m/>
    <m/>
    <m/>
    <d v="2022-12-16T00:00:00"/>
    <s v="SMLN-2022-612-000232"/>
    <x v="4"/>
  </r>
  <r>
    <d v="2022-05-10T00:00:00"/>
    <s v="VZ-2022-000545"/>
    <x v="0"/>
    <s v="Ondráčková"/>
    <s v="Bodinková"/>
    <x v="10"/>
    <m/>
    <m/>
    <s v="podepsaná smlouva"/>
    <s v="09343000-5"/>
    <m/>
    <n v="8949024"/>
    <x v="0"/>
    <d v="2022-06-13T00:00:00"/>
    <d v="2022-08-01T00:00:00"/>
    <d v="2022-09-19T00:00:00"/>
    <s v="THP Medical Products Vertriebs GmbH"/>
    <m/>
    <n v="8949024"/>
    <n v="9843926.4000000004"/>
    <m/>
    <m/>
    <m/>
    <d v="2022-09-19T00:00:00"/>
    <s v="SMLN-2022-617-000654"/>
    <x v="11"/>
  </r>
  <r>
    <d v="2022-06-14T00:00:00"/>
    <s v="VZ-2022-000645-01"/>
    <x v="0"/>
    <s v="Ondráčková"/>
    <s v="Bodinková"/>
    <x v="11"/>
    <n v="1"/>
    <s v="Somatropin I."/>
    <s v="podepsaná smlouva"/>
    <s v="33642100-3"/>
    <m/>
    <n v="98811586"/>
    <x v="0"/>
    <d v="2022-09-01T00:00:00"/>
    <d v="2022-11-10T00:00:00"/>
    <d v="2023-01-12T00:00:00"/>
    <s v="Alliance Healthcare s.r.o."/>
    <m/>
    <n v="90767363.040000007"/>
    <n v="99844099.340000004"/>
    <m/>
    <m/>
    <m/>
    <d v="2023-01-12T00:00:00"/>
    <s v="SMLN-2023-617-000032"/>
    <x v="12"/>
  </r>
  <r>
    <d v="2022-06-14T00:00:00"/>
    <s v="VZ-2022-000645-02"/>
    <x v="0"/>
    <s v="Ondráčková"/>
    <s v="Bodinková"/>
    <x v="11"/>
    <n v="2"/>
    <s v="Somatropin II."/>
    <s v="podepsaná smlouva"/>
    <s v="33642100-3"/>
    <m/>
    <n v="32346701"/>
    <x v="0"/>
    <d v="2022-09-01T00:00:00"/>
    <d v="2022-11-10T00:00:00"/>
    <d v="2023-01-12T00:00:00"/>
    <s v="Alliance Healthcare s.r.o."/>
    <m/>
    <n v="31919808.48"/>
    <n v="35111789.329999998"/>
    <m/>
    <m/>
    <m/>
    <d v="2023-01-12T00:00:00"/>
    <s v="SMLN-2023-617-000033"/>
    <x v="12"/>
  </r>
  <r>
    <d v="2022-06-14T00:00:00"/>
    <s v="VZ-2022-000645-03"/>
    <x v="0"/>
    <s v="Ondráčková"/>
    <s v="Bodinková"/>
    <x v="11"/>
    <n v="3"/>
    <s v="Somatropin III."/>
    <s v="podepsaná smlouva"/>
    <s v="33642100-3"/>
    <m/>
    <n v="105840243"/>
    <x v="0"/>
    <d v="2022-09-01T00:00:00"/>
    <d v="2022-11-10T00:00:00"/>
    <d v="2023-01-12T00:00:00"/>
    <s v="Alliance Healthcare s.r.o."/>
    <m/>
    <n v="103962059.56"/>
    <n v="114358265.52"/>
    <m/>
    <m/>
    <m/>
    <d v="2023-01-12T00:00:00"/>
    <s v="SMLN-2023-617-000035"/>
    <x v="12"/>
  </r>
  <r>
    <d v="2022-06-14T00:00:00"/>
    <s v="VZ-2022-000646-01"/>
    <x v="0"/>
    <s v="Ondráčková"/>
    <s v="Bodinková"/>
    <x v="12"/>
    <n v="1"/>
    <s v="Somatropin IV."/>
    <s v="podepsaná smlouva"/>
    <s v="33642100-3"/>
    <m/>
    <n v="14494324"/>
    <x v="0"/>
    <d v="2022-09-02T00:00:00"/>
    <d v="2022-11-09T00:00:00"/>
    <d v="2022-12-20T00:00:00"/>
    <s v="PHOENIX lék. velkoobchod, s.r.o."/>
    <m/>
    <n v="14238540.800000001"/>
    <n v="15662394.880000001"/>
    <m/>
    <m/>
    <m/>
    <d v="2022-12-20T00:00:00"/>
    <s v="SMLN-2022-617-000873"/>
    <x v="13"/>
  </r>
  <r>
    <d v="2022-06-14T00:00:00"/>
    <s v="VZ-2022-000646-02"/>
    <x v="0"/>
    <s v="Ondráčková"/>
    <s v="Bodinková"/>
    <x v="12"/>
    <n v="2"/>
    <s v="Somatropin V."/>
    <s v="podepsaná smlouva"/>
    <s v="33642100-3"/>
    <m/>
    <n v="30789264"/>
    <x v="0"/>
    <d v="2022-09-02T00:00:00"/>
    <d v="2022-11-09T00:00:00"/>
    <d v="2022-12-20T00:00:00"/>
    <s v="PROMEDICA PRAHA GROUP, a.s."/>
    <m/>
    <n v="30179426.879999999"/>
    <n v="33197369.57"/>
    <m/>
    <m/>
    <m/>
    <d v="2022-12-20T00:00:00"/>
    <s v="SMLN-2022-617-000874"/>
    <x v="11"/>
  </r>
  <r>
    <d v="2022-06-14T00:00:00"/>
    <s v="VZ-2022-000646-03"/>
    <x v="0"/>
    <s v="Ondráčková"/>
    <s v="Bodinková"/>
    <x v="12"/>
    <n v="3"/>
    <s v="Somatropin VI."/>
    <s v="podepsaná smlouva"/>
    <s v="33642100-3"/>
    <m/>
    <n v="39348576"/>
    <x v="0"/>
    <d v="2022-09-02T00:00:00"/>
    <d v="2022-11-09T00:00:00"/>
    <d v="2022-12-20T00:00:00"/>
    <s v="PROMEDICA PRAHA GROUP, a.s."/>
    <m/>
    <n v="37460291.039999999"/>
    <n v="41206320.140000001"/>
    <m/>
    <m/>
    <m/>
    <d v="2022-12-20T00:00:00"/>
    <s v="SMLN-2022-617-000875"/>
    <x v="11"/>
  </r>
  <r>
    <d v="2022-06-14T00:00:00"/>
    <s v="VZ-2022-000648"/>
    <x v="0"/>
    <s v="Ondráčková"/>
    <s v="Bodinková"/>
    <x v="13"/>
    <m/>
    <m/>
    <s v="podepsaná smlouva"/>
    <s v="33661100-2"/>
    <m/>
    <n v="5682383"/>
    <x v="0"/>
    <d v="2022-09-22T00:00:00"/>
    <d v="2022-11-11T00:00:00"/>
    <d v="2022-12-08T00:00:00"/>
    <s v="Alliance Healthcare s.r.o."/>
    <m/>
    <n v="12091202.6"/>
    <n v="13300322.859999999"/>
    <m/>
    <m/>
    <m/>
    <d v="2022-12-08T00:00:00"/>
    <s v="SMLN-2022-617-000850"/>
    <x v="9"/>
  </r>
  <r>
    <d v="2022-06-17T00:00:00"/>
    <s v="VZ-2022-000663"/>
    <x v="0"/>
    <s v="Ondráčková"/>
    <s v="Bodinková"/>
    <x v="14"/>
    <m/>
    <m/>
    <s v="podepsaná smlouva"/>
    <s v="33651400-2"/>
    <m/>
    <n v="37739531"/>
    <x v="0"/>
    <d v="2022-09-16T00:00:00"/>
    <d v="2022-11-22T00:00:00"/>
    <d v="2022-12-07T00:00:00"/>
    <s v="Merck Sharp &amp; Dohme s.r.o."/>
    <m/>
    <n v="34098438.799999997"/>
    <n v="37508282.880000003"/>
    <m/>
    <m/>
    <m/>
    <d v="2022-12-07T00:00:00"/>
    <s v="SMLN-2022-617-000846"/>
    <x v="9"/>
  </r>
  <r>
    <s v="opakovaná VZ"/>
    <s v="VZ-2022-000680"/>
    <x v="0"/>
    <s v="Ondráčková"/>
    <s v="Bodinková"/>
    <x v="15"/>
    <m/>
    <s v="REMDESIVIR"/>
    <s v="podepsaná smlouva"/>
    <s v="33651400-2"/>
    <m/>
    <n v="40669427"/>
    <x v="0"/>
    <d v="2022-07-22T00:00:00"/>
    <d v="2022-08-26T00:00:00"/>
    <d v="2022-11-07T00:00:00"/>
    <s v="Gilead Sciences s.r.o."/>
    <m/>
    <n v="40166710.409999996"/>
    <n v="44183381.450000003"/>
    <m/>
    <m/>
    <m/>
    <d v="2022-11-07T00:00:00"/>
    <s v="SMLN-2022-617-000788"/>
    <x v="14"/>
  </r>
  <r>
    <d v="2022-06-24T00:00:00"/>
    <s v="VZ-2022-000707"/>
    <x v="0"/>
    <s v="Ondráčková"/>
    <s v="Bodinková"/>
    <x v="16"/>
    <m/>
    <m/>
    <s v="podepsaná smlouva"/>
    <s v="33694000-1"/>
    <s v="2.4.231"/>
    <n v="29700000"/>
    <x v="0"/>
    <d v="2022-09-02T00:00:00"/>
    <d v="2022-10-12T00:00:00"/>
    <d v="2023-01-24T00:00:00"/>
    <s v="ROCHE s.r.o."/>
    <m/>
    <n v="26675345.43"/>
    <n v="32277167.969999999"/>
    <m/>
    <m/>
    <m/>
    <d v="2023-01-24T00:00:00"/>
    <s v="SMLN-2023-617-000052_x000a_SMLN-2023-616-000004"/>
    <x v="1"/>
  </r>
  <r>
    <d v="2022-07-14T00:00:00"/>
    <s v="VZ-2022-000753-02"/>
    <x v="0"/>
    <s v="Ondráčková"/>
    <s v="Bodinková"/>
    <x v="17"/>
    <n v="2"/>
    <s v="IPILIMUMAB"/>
    <s v="podepsaná smlouva"/>
    <s v="33652000-5"/>
    <m/>
    <n v="51429393"/>
    <x v="0"/>
    <d v="2022-07-26T00:00:00"/>
    <d v="2022-08-29T00:00:00"/>
    <d v="2022-10-19T00:00:00"/>
    <s v="Bristol-Myers Squibb spol. s r.o."/>
    <m/>
    <n v="44291583.75"/>
    <n v="48720742.130000003"/>
    <m/>
    <m/>
    <m/>
    <d v="2022-10-19T00:00:00"/>
    <s v="SMLN-2022-617-000737"/>
    <x v="15"/>
  </r>
  <r>
    <d v="2022-07-14T00:00:00"/>
    <s v="VZ-2022-000756-01"/>
    <x v="0"/>
    <s v="Ondráčková"/>
    <s v="Bodinková"/>
    <x v="18"/>
    <n v="1"/>
    <s v="BEXAROTEN"/>
    <s v="podepsaná smlouva"/>
    <s v="33652300-8"/>
    <m/>
    <n v="917428"/>
    <x v="0"/>
    <d v="2022-08-23T00:00:00"/>
    <d v="2022-11-09T00:00:00"/>
    <d v="2023-01-11T00:00:00"/>
    <s v="PHOENIX lék. velkoobchod, s.r.o."/>
    <m/>
    <n v="904552.74"/>
    <n v="995008.01"/>
    <m/>
    <m/>
    <m/>
    <d v="2023-01-11T00:00:00"/>
    <s v="SMLN-2023-617-000022"/>
    <x v="16"/>
  </r>
  <r>
    <d v="2022-07-14T00:00:00"/>
    <s v="VZ-2022-000756-02"/>
    <x v="0"/>
    <s v="Ondráčková"/>
    <s v="Bodinková"/>
    <x v="18"/>
    <n v="2"/>
    <s v="PERTUZUMAB A TRASTUZUMAB"/>
    <s v="podepsaná smlouva"/>
    <s v="33652300-8"/>
    <m/>
    <n v="2337932"/>
    <x v="0"/>
    <d v="2022-08-23T00:00:00"/>
    <d v="2022-11-09T00:00:00"/>
    <d v="2023-01-11T00:00:00"/>
    <s v="ROCHE s.r.o."/>
    <m/>
    <n v="1431408.9"/>
    <n v="1574549.79"/>
    <m/>
    <m/>
    <m/>
    <d v="2023-01-11T00:00:00"/>
    <s v="SMLN-2023-617-000023"/>
    <x v="16"/>
  </r>
  <r>
    <d v="2022-07-14T00:00:00"/>
    <s v="VZ-2022-000756-03"/>
    <x v="0"/>
    <s v="Ondráčková"/>
    <s v="Bodinková"/>
    <x v="18"/>
    <n v="3"/>
    <s v="CYTARABIN A DAUNORUBICIN"/>
    <s v="podepsaná smlouva"/>
    <s v="33652300-8"/>
    <m/>
    <n v="14089353"/>
    <x v="0"/>
    <d v="2022-08-23T00:00:00"/>
    <d v="2022-11-09T00:00:00"/>
    <d v="2023-01-11T00:00:00"/>
    <s v="Swixx Biopharma s.r.o."/>
    <m/>
    <n v="14089352.1"/>
    <n v="15498287.310000001"/>
    <m/>
    <m/>
    <m/>
    <d v="2023-01-11T00:00:00"/>
    <s v="SMLN-2023-617-000024"/>
    <x v="16"/>
  </r>
  <r>
    <d v="2022-06-30T00:00:00"/>
    <s v="VZ-2022-000787"/>
    <x v="2"/>
    <s v="Valtová"/>
    <s v="Přikrylová"/>
    <x v="19"/>
    <m/>
    <m/>
    <s v="podepsaná smlouva"/>
    <s v="33140000-3"/>
    <m/>
    <n v="3841734.5"/>
    <x v="0"/>
    <d v="2022-08-02T00:00:00"/>
    <d v="2022-09-05T00:00:00"/>
    <d v="2022-10-14T00:00:00"/>
    <s v="CARDION s.r.o."/>
    <m/>
    <n v="3841694.21"/>
    <n v="4648450"/>
    <m/>
    <m/>
    <m/>
    <d v="2022-10-14T00:00:00"/>
    <s v="SMLN-2022-617-000723_x000a_SMLN-2022-614-000085"/>
    <x v="5"/>
  </r>
  <r>
    <d v="2022-06-29T00:00:00"/>
    <s v="VZ-2022-000788-02"/>
    <x v="2"/>
    <s v="Valtová"/>
    <s v="Přikrylová"/>
    <x v="20"/>
    <n v="2"/>
    <s v="Minisystém pro mimotělní oběh"/>
    <s v="podepsaná smlouva"/>
    <s v="33140000-3"/>
    <m/>
    <n v="3636364"/>
    <x v="0"/>
    <d v="2022-08-05T00:00:00"/>
    <d v="2022-10-10T00:00:00"/>
    <d v="2022-12-05T00:00:00"/>
    <s v="CARDION s.r.o."/>
    <m/>
    <n v="3965289.26"/>
    <n v="4798000"/>
    <m/>
    <m/>
    <m/>
    <d v="2022-12-05T00:00:00"/>
    <s v="SMLN-2022-617-000839_x000a_SMLN-2022-614-000100"/>
    <x v="17"/>
  </r>
  <r>
    <d v="2022-08-01T00:00:00"/>
    <s v="VZ-2022-000851"/>
    <x v="0"/>
    <s v="Ondráčková"/>
    <s v="Bodinková"/>
    <x v="21"/>
    <m/>
    <m/>
    <s v="podepsaná smlouva"/>
    <s v="33632200-1"/>
    <m/>
    <n v="13613262"/>
    <x v="0"/>
    <d v="2022-11-15T00:00:00"/>
    <d v="2023-03-27T00:00:00"/>
    <d v="2023-04-05T00:00:00"/>
    <s v="Fresenius Kabi s.r.o."/>
    <m/>
    <n v="16493833.199999999"/>
    <n v="18143216.52"/>
    <m/>
    <m/>
    <m/>
    <d v="2023-04-05T00:00:00"/>
    <s v="SMLN-2023-617-100080"/>
    <x v="18"/>
  </r>
  <r>
    <d v="2022-08-01T00:00:00"/>
    <s v="VZ-2022-000852"/>
    <x v="0"/>
    <s v="Ondráčková"/>
    <s v="Bodinková"/>
    <x v="22"/>
    <m/>
    <m/>
    <s v="podepsaná smlouva"/>
    <s v="33693000-4"/>
    <m/>
    <n v="6781508"/>
    <x v="0"/>
    <d v="2022-11-22T00:00:00"/>
    <d v="2023-01-26T00:00:00"/>
    <d v="2023-02-24T00:00:00"/>
    <s v="Merck Sharp &amp; Dohme s.r.o."/>
    <m/>
    <n v="6721072.7999999998"/>
    <n v="7393183.2000000002"/>
    <m/>
    <m/>
    <m/>
    <d v="2023-03-02T00:00:00"/>
    <s v="SMLN-2023-617-000123"/>
    <x v="19"/>
  </r>
  <r>
    <d v="2022-08-01T00:00:00"/>
    <s v="VZ-2022-000853"/>
    <x v="0"/>
    <s v="Ondráčková"/>
    <s v="Bodinková"/>
    <x v="23"/>
    <m/>
    <m/>
    <s v="podepsaná smlouva"/>
    <s v="33652200-7"/>
    <m/>
    <n v="12495448"/>
    <x v="0"/>
    <d v="2022-10-17T00:00:00"/>
    <d v="2022-11-21T00:00:00"/>
    <d v="2022-12-21T00:00:00"/>
    <s v="BAYER s.r.o."/>
    <m/>
    <n v="12495435.48"/>
    <n v="13744979.029999999"/>
    <m/>
    <m/>
    <m/>
    <d v="2022-12-21T00:00:00"/>
    <s v="SMLN-2022-617-000880"/>
    <x v="13"/>
  </r>
  <r>
    <d v="2022-08-10T00:00:00"/>
    <s v="VZ-2022-000862"/>
    <x v="0"/>
    <s v="Ondráčková"/>
    <s v="Bodinková"/>
    <x v="24"/>
    <m/>
    <m/>
    <s v="podepsaná smlouva"/>
    <s v="33622300-9"/>
    <m/>
    <n v="8136058"/>
    <x v="0"/>
    <d v="2022-09-16T00:00:00"/>
    <d v="2022-10-27T00:00:00"/>
    <d v="2022-11-29T00:00:00"/>
    <s v="PHOENIX lék. velkoobchod, s.r.o."/>
    <m/>
    <n v="8010426.2400000002"/>
    <n v="8811468.8599999994"/>
    <m/>
    <m/>
    <m/>
    <d v="2022-11-29T00:00:00"/>
    <s v="SMLN-2022-617-000828"/>
    <x v="5"/>
  </r>
  <r>
    <d v="2022-08-10T00:00:00"/>
    <s v="VZ-2022-000863"/>
    <x v="0"/>
    <s v="Ondráčková"/>
    <s v="Bodinková"/>
    <x v="25"/>
    <m/>
    <m/>
    <s v="podepsaná smlouva"/>
    <s v="33652100-6"/>
    <m/>
    <n v="60267982"/>
    <x v="0"/>
    <d v="2022-09-16T00:00:00"/>
    <d v="2022-11-28T00:00:00"/>
    <d v="2023-01-06T00:00:00"/>
    <s v="PHOENIX lék. velkoobchod, s.r.o."/>
    <m/>
    <n v="60268292.399999999"/>
    <n v="66295121.640000001"/>
    <m/>
    <m/>
    <m/>
    <d v="2023-01-06T00:00:00"/>
    <s v="SMLN-2023-617-000012"/>
    <x v="20"/>
  </r>
  <r>
    <d v="2022-08-10T00:00:00"/>
    <s v="VZ-2022-000864-03"/>
    <x v="0"/>
    <s v="Ondráčková"/>
    <s v="Bodinková"/>
    <x v="26"/>
    <n v="3"/>
    <s v="EXEMASTAN"/>
    <s v="podepsaná smlouva"/>
    <s v="33642000-2"/>
    <m/>
    <n v="543381"/>
    <x v="0"/>
    <d v="2022-08-19T00:00:00"/>
    <d v="2022-10-27T00:00:00"/>
    <d v="2022-11-16T00:00:00"/>
    <s v="ViaPharma s.r.o."/>
    <m/>
    <n v="538305.63"/>
    <n v="592136.18999999994"/>
    <m/>
    <m/>
    <m/>
    <d v="2022-11-16T00:00:00"/>
    <s v="SMLN-2022-617-000807"/>
    <x v="14"/>
  </r>
  <r>
    <d v="2022-08-02T00:00:00"/>
    <s v="VZ-2022-000872-01"/>
    <x v="2"/>
    <s v="Dočkalová"/>
    <s v="Přikrylová"/>
    <x v="27"/>
    <n v="1"/>
    <s v="6.8. Řezací dilatační balónkové katétry vaskulární"/>
    <s v="podepsaná smlouva"/>
    <s v="33140000-3"/>
    <m/>
    <n v="122510"/>
    <x v="0"/>
    <d v="2022-08-23T00:00:00"/>
    <d v="2022-10-27T00:00:00"/>
    <d v="2022-11-30T00:00:00"/>
    <s v="Boston Scientific Česká republika s.r.o."/>
    <m/>
    <n v="122520"/>
    <n v="148249.20000000001"/>
    <m/>
    <m/>
    <m/>
    <d v="2022-11-30T00:00:00"/>
    <s v="SMLN-2022-617-000831_x000a_SMLN-2022-614-000094"/>
    <x v="9"/>
  </r>
  <r>
    <d v="2022-08-02T00:00:00"/>
    <s v="VZ-2022-000872-02"/>
    <x v="2"/>
    <s v="Dočkalová"/>
    <s v="Přikrylová"/>
    <x v="27"/>
    <n v="2"/>
    <s v="6.9. Dilatační balónkové katétry vaskulární po mikrovodících drátech Monorial a OTW"/>
    <s v="podepsaná smlouva"/>
    <s v="33140000-3"/>
    <m/>
    <n v="399726"/>
    <x v="0"/>
    <d v="2022-08-23T00:00:00"/>
    <d v="2022-10-27T00:00:00"/>
    <d v="2022-11-30T00:00:00"/>
    <s v="Boston Scientific Česká republika s.r.o."/>
    <m/>
    <n v="386654.02"/>
    <n v="467851.7"/>
    <m/>
    <m/>
    <m/>
    <d v="2022-11-30T00:00:00"/>
    <s v="SMLN-2022-617-000832_x000a_SMLN-2022-614-000095"/>
    <x v="9"/>
  </r>
  <r>
    <d v="2022-08-12T00:00:00"/>
    <s v="VZ-2022-000877"/>
    <x v="0"/>
    <s v="Ondráčková"/>
    <s v="Bodinková"/>
    <x v="28"/>
    <m/>
    <m/>
    <s v="podepsaná smlouva"/>
    <s v="33621100-0"/>
    <m/>
    <n v="12735446"/>
    <x v="0"/>
    <d v="2022-10-21T00:00:00"/>
    <d v="2022-11-25T00:00:00"/>
    <d v="2022-12-08T00:00:00"/>
    <s v="Alliance Healthcare s.r.o."/>
    <m/>
    <n v="12504244.039999999"/>
    <n v="13754668.439999999"/>
    <m/>
    <m/>
    <m/>
    <d v="2022-12-08T00:00:00"/>
    <s v="SMLN-2022-617-000855"/>
    <x v="9"/>
  </r>
  <r>
    <s v="opakovaná VZ"/>
    <s v="VZ-2022-000898"/>
    <x v="3"/>
    <s v="Olejníček"/>
    <s v="Kučera"/>
    <x v="29"/>
    <m/>
    <m/>
    <s v="podepsaná smlouva"/>
    <s v="31524110-9"/>
    <s v="2.3.568."/>
    <n v="1320000"/>
    <x v="0"/>
    <d v="2022-08-26T00:00:00"/>
    <d v="2022-09-27T00:00:00"/>
    <d v="2022-11-11T00:00:00"/>
    <s v="RADIX CZ s.r.o."/>
    <m/>
    <n v="1560948"/>
    <n v="1888746.92"/>
    <m/>
    <m/>
    <m/>
    <d v="2022-11-11T00:00:00"/>
    <s v="SMLN-2022-617-000796_x000a_SMLN-2022-612-000214"/>
    <x v="21"/>
  </r>
  <r>
    <d v="2022-08-22T00:00:00"/>
    <s v="VZ-2022-000909-01"/>
    <x v="0"/>
    <s v="Ondráčková"/>
    <s v="Bodinková"/>
    <x v="30"/>
    <n v="1"/>
    <s v="KYSELINA GADOTEROVÁ"/>
    <s v="podepsaná smlouva"/>
    <s v="33696800-3"/>
    <m/>
    <n v="3301280"/>
    <x v="0"/>
    <d v="2022-11-29T00:00:00"/>
    <d v="2023-01-23T00:00:00"/>
    <d v="2023-03-15T00:00:00"/>
    <s v="Diagnostic Pharmaceuticals a.s."/>
    <m/>
    <n v="3301280"/>
    <n v="3631408"/>
    <m/>
    <m/>
    <m/>
    <d v="2023-03-15T00:00:00"/>
    <s v="SMLN-2023-617-100017"/>
    <x v="22"/>
  </r>
  <r>
    <d v="2022-08-22T00:00:00"/>
    <s v="VZ-2022-000909-02"/>
    <x v="0"/>
    <s v="Ondráčková"/>
    <s v="Bodinková"/>
    <x v="30"/>
    <n v="2"/>
    <s v="KYSELINA GADOBENOVÁ"/>
    <s v="podepsaná smlouva"/>
    <s v="33696800-3"/>
    <m/>
    <n v="385268"/>
    <x v="0"/>
    <d v="2022-11-29T00:00:00"/>
    <d v="2023-01-23T00:00:00"/>
    <d v="2023-03-15T00:00:00"/>
    <s v="Bracco Imaging Czech s.r.o."/>
    <m/>
    <n v="385268"/>
    <n v="423794.8"/>
    <m/>
    <m/>
    <m/>
    <d v="2023-03-15T00:00:00"/>
    <s v="SMLN-2023-617-100018"/>
    <x v="22"/>
  </r>
  <r>
    <d v="2022-08-22T00:00:00"/>
    <s v="VZ-2022-000909-03"/>
    <x v="0"/>
    <s v="Ondráčková"/>
    <s v="Bodinková"/>
    <x v="30"/>
    <n v="3"/>
    <s v=" GADOBUTROL"/>
    <s v="podepsaná smlouva"/>
    <s v="33696800-3"/>
    <m/>
    <n v="5882097"/>
    <x v="0"/>
    <d v="2022-11-29T00:00:00"/>
    <d v="2023-01-23T00:00:00"/>
    <d v="2023-03-15T00:00:00"/>
    <s v="BAYER s.r.o."/>
    <m/>
    <n v="6862690.1100000003"/>
    <n v="7548959.1200000001"/>
    <m/>
    <m/>
    <m/>
    <d v="2023-03-15T00:00:00"/>
    <s v="SMLN-2023-617-100019"/>
    <x v="22"/>
  </r>
  <r>
    <d v="2022-08-22T00:00:00"/>
    <s v="VZ-2022-000912-01"/>
    <x v="3"/>
    <s v="Olejníček"/>
    <s v="Kučera"/>
    <x v="31"/>
    <n v="1"/>
    <s v="Lůžka pro I. Chirurgickou kliniku"/>
    <s v="podepsaná smlouva"/>
    <s v="33192160-1"/>
    <s v="2.3.639."/>
    <n v="1624113"/>
    <x v="0"/>
    <d v="2022-09-07T00:00:00"/>
    <d v="2022-10-26T00:00:00"/>
    <d v="2022-11-18T00:00:00"/>
    <s v="L I N E T spol. s r.o."/>
    <m/>
    <n v="1630860"/>
    <n v="1877982.6"/>
    <m/>
    <m/>
    <m/>
    <d v="2022-11-18T00:00:00"/>
    <s v="SMLN-2022-617-000814_x000a_SMLN-2022-612-000217"/>
    <x v="14"/>
  </r>
  <r>
    <d v="2022-08-16T00:00:00"/>
    <s v="VZ-2022-000913-01"/>
    <x v="2"/>
    <s v="Valtová"/>
    <s v="Přikrylová"/>
    <x v="32"/>
    <n v="1"/>
    <s v="Kleště bioptické jednorázové - čelisti hladké"/>
    <s v="podepsaná smlouva"/>
    <s v="33140000-3"/>
    <m/>
    <n v="31000"/>
    <x v="1"/>
    <d v="2022-08-30T00:00:00"/>
    <d v="2022-10-20T00:00:00"/>
    <d v="2022-11-30T00:00:00"/>
    <s v="OLYMPUS CZECH GROUP, s.r.o., člen koncernu"/>
    <m/>
    <n v="22351"/>
    <n v="27044.71"/>
    <m/>
    <m/>
    <m/>
    <d v="2022-11-30T00:00:00"/>
    <s v="SMLN-2022-617-000833_x000a_SMLN-2022-614-000096"/>
    <x v="9"/>
  </r>
  <r>
    <d v="2022-08-17T00:00:00"/>
    <s v="VZ-2022-000913-02"/>
    <x v="2"/>
    <s v="Valtová"/>
    <s v="Přikrylová"/>
    <x v="32"/>
    <n v="2"/>
    <s v="Kleště bioptické jednorázové - čelisti hladké s bodcem"/>
    <s v="podepsaná smlouva"/>
    <s v="33140000-3"/>
    <m/>
    <n v="353400"/>
    <x v="1"/>
    <d v="2022-08-30T00:00:00"/>
    <d v="2022-10-20T00:00:00"/>
    <d v="2022-11-30T00:00:00"/>
    <s v="OLYMPUS CZECH GROUP, s.r.o., člen koncernu"/>
    <m/>
    <n v="254801.4"/>
    <n v="308309.69"/>
    <m/>
    <m/>
    <m/>
    <d v="2022-11-30T00:00:00"/>
    <s v="SMLN-2022-617-000834_x000a_SMLN-2022-614-000097"/>
    <x v="9"/>
  </r>
  <r>
    <d v="2022-08-18T00:00:00"/>
    <s v="VZ-2022-000913-03"/>
    <x v="2"/>
    <s v="Valtová"/>
    <s v="Přikrylová"/>
    <x v="32"/>
    <n v="3"/>
    <s v="Kleště bioptické jednorázové - čelisti typ Aligátor"/>
    <s v="podepsaná smlouva"/>
    <s v="33140000-3"/>
    <m/>
    <n v="350840"/>
    <x v="1"/>
    <d v="2022-08-30T00:00:00"/>
    <d v="2022-10-20T00:00:00"/>
    <d v="2022-11-30T00:00:00"/>
    <s v="OLYMPUS CZECH GROUP, s.r.o., člen koncernu"/>
    <m/>
    <n v="219039.8"/>
    <n v="265038.15999999997"/>
    <m/>
    <m/>
    <m/>
    <d v="2022-11-30T00:00:00"/>
    <s v="SMLN-2022-617-000835_x000a_SMLN-2022-614-000098"/>
    <x v="9"/>
  </r>
  <r>
    <d v="2022-08-19T00:00:00"/>
    <s v="VZ-2022-000913-04"/>
    <x v="2"/>
    <s v="Valtová"/>
    <s v="Přikrylová"/>
    <x v="32"/>
    <n v="4"/>
    <s v="Kleště bioptické jednorázové - čelisti typ Aligátor s bodcem"/>
    <s v="podepsaná smlouva"/>
    <s v="33140000-3"/>
    <m/>
    <n v="1224360"/>
    <x v="1"/>
    <d v="2022-08-30T00:00:00"/>
    <d v="2022-10-20T00:00:00"/>
    <d v="2022-11-30T00:00:00"/>
    <s v="OLYMPUS CZECH GROUP, s.r.o., člen koncernu"/>
    <m/>
    <n v="764404.2"/>
    <n v="924929.08"/>
    <m/>
    <m/>
    <m/>
    <d v="2022-11-30T00:00:00"/>
    <s v="SMLN-2022-617-000836_x000a_SMLN-2022-614-000099"/>
    <x v="9"/>
  </r>
  <r>
    <s v="opakovaná VZ"/>
    <s v="VZ-2022-000930-01"/>
    <x v="2"/>
    <s v="Dočkalová"/>
    <s v="Přikrylová"/>
    <x v="33"/>
    <n v="1"/>
    <s v="Oxygenátory pro kombinované srdeční operace"/>
    <s v="podepsaná smlouva"/>
    <s v="33140000-3"/>
    <m/>
    <n v="13001652"/>
    <x v="0"/>
    <d v="2022-09-02T00:00:00"/>
    <d v="2022-10-05T00:00:00"/>
    <d v="2022-11-16T00:00:00"/>
    <s v="CARDION s.r.o."/>
    <m/>
    <n v="14801652.890000001"/>
    <n v="17910000"/>
    <m/>
    <m/>
    <m/>
    <d v="2022-11-16T00:00:00"/>
    <s v="SMLN-2022-617-000808_x000a_SMLN-2022-614-000090"/>
    <x v="17"/>
  </r>
  <r>
    <d v="2022-11-28T00:00:00"/>
    <s v="VZ-2022-000933"/>
    <x v="4"/>
    <s v="Křivková"/>
    <s v="Staňková"/>
    <x v="34"/>
    <m/>
    <m/>
    <s v="podepsaná smlouva"/>
    <s v="79212300-6 "/>
    <m/>
    <n v="1200000"/>
    <x v="2"/>
    <d v="2022-11-29T00:00:00"/>
    <d v="2022-12-06T00:00:00"/>
    <d v="2022-12-07T00:00:00"/>
    <s v="FIZA, a.s."/>
    <m/>
    <n v="1140000"/>
    <n v="1379400"/>
    <m/>
    <m/>
    <m/>
    <d v="2022-12-08T00:00:00"/>
    <s v="SMLN-2022-612-000226"/>
    <x v="23"/>
  </r>
  <r>
    <d v="2022-08-30T00:00:00"/>
    <s v="VZ-2022-000936-01"/>
    <x v="0"/>
    <s v="Ondráčková"/>
    <s v="Bodinková"/>
    <x v="35"/>
    <n v="1"/>
    <s v="EPOETIN ALFA I."/>
    <s v="podepsaná smlouva"/>
    <s v="33652200-7 "/>
    <m/>
    <n v="12820156"/>
    <x v="0"/>
    <d v="2022-09-09T00:00:00"/>
    <d v="2022-10-31T00:00:00"/>
    <d v="2022-12-07T00:00:00"/>
    <s v="PROMEDICA PRAHA GROUP, a.s."/>
    <m/>
    <n v="12816020"/>
    <n v="14097622"/>
    <m/>
    <m/>
    <m/>
    <d v="2022-12-07T00:00:00"/>
    <s v="SMLN-2022-617-000847"/>
    <x v="14"/>
  </r>
  <r>
    <d v="2022-08-30T00:00:00"/>
    <s v="VZ-2022-000936-03"/>
    <x v="0"/>
    <s v="Ondráčková"/>
    <s v="Bodinková"/>
    <x v="35"/>
    <n v="3"/>
    <s v="DARBEPOETIN ALFA"/>
    <s v="podepsaná smlouva"/>
    <s v="33652200-7 "/>
    <m/>
    <n v="4342169"/>
    <x v="0"/>
    <d v="2022-09-09T00:00:00"/>
    <d v="2022-10-31T00:00:00"/>
    <d v="2022-12-07T00:00:00"/>
    <s v="Amgen s.r.o."/>
    <m/>
    <n v="4343279.3600000003"/>
    <n v="4777607.3"/>
    <m/>
    <m/>
    <m/>
    <d v="2022-12-07T00:00:00"/>
    <s v="SMLN-2022-617-000848"/>
    <x v="24"/>
  </r>
  <r>
    <d v="2022-08-30T00:00:00"/>
    <s v="VZ-2022-000936-04"/>
    <x v="0"/>
    <s v="Ondráčková"/>
    <s v="Bodinková"/>
    <x v="35"/>
    <n v="4"/>
    <s v="PEGEPOETIN BETA"/>
    <s v="podepsaná smlouva"/>
    <s v="33652200-7 "/>
    <m/>
    <n v="2883280"/>
    <x v="0"/>
    <d v="2022-09-09T00:00:00"/>
    <d v="2022-10-31T00:00:00"/>
    <d v="2022-12-07T00:00:00"/>
    <s v="PROMEDICA PRAHA GROUP, a.s."/>
    <m/>
    <n v="2883276.4"/>
    <n v="3171604.04"/>
    <m/>
    <m/>
    <m/>
    <d v="2022-12-07T00:00:00"/>
    <s v="SMLN-2022-617-000849"/>
    <x v="14"/>
  </r>
  <r>
    <d v="2022-08-30T00:00:00"/>
    <s v="VZ-2022-000938-02"/>
    <x v="0"/>
    <s v="Ondráčková"/>
    <s v="Bodinková"/>
    <x v="36"/>
    <n v="2"/>
    <s v="Hypertonické roztoky pro peritoneální dialýzu kompatibilní s příslušenstvím Stay Safe a Sleep Safe"/>
    <s v="zrušeno"/>
    <s v="33692800-5"/>
    <m/>
    <n v="5764044"/>
    <x v="0"/>
    <d v="2022-10-20T00:00:00"/>
    <d v="2022-12-09T00:00:00"/>
    <m/>
    <s v="zrušeno - po odstoupení Fresenius nezbyl žádný účastník"/>
    <m/>
    <m/>
    <m/>
    <m/>
    <m/>
    <m/>
    <m/>
    <m/>
    <x v="10"/>
  </r>
  <r>
    <d v="2022-08-26T00:00:00"/>
    <s v="VZ-2022-000946-01"/>
    <x v="0"/>
    <s v="Ondráčková"/>
    <s v="Bodinková"/>
    <x v="37"/>
    <n v="1"/>
    <s v="INSULINUM GLARGINUM 100U"/>
    <s v="podepsaná smlouva"/>
    <s v="33615100-5"/>
    <m/>
    <n v="7102618"/>
    <x v="0"/>
    <d v="2022-12-06T00:00:00"/>
    <d v="2023-01-25T00:00:00"/>
    <d v="2023-02-17T00:00:00"/>
    <s v="Alliance Healthcare s.r.o."/>
    <m/>
    <n v="7001794.7999999998"/>
    <n v="7701974.2800000003"/>
    <m/>
    <m/>
    <m/>
    <d v="2023-02-17T00:00:00"/>
    <s v="SMLN-2023-617-000106"/>
    <x v="2"/>
  </r>
  <r>
    <d v="2022-08-26T00:00:00"/>
    <s v="VZ-2022-000946-02"/>
    <x v="0"/>
    <s v="Ondráčková"/>
    <s v="Bodinková"/>
    <x v="37"/>
    <n v="2"/>
    <s v="INSULINUM GLARGINUM 300U"/>
    <s v="podepsaná smlouva"/>
    <s v="33615100-5"/>
    <m/>
    <n v="5723312"/>
    <x v="0"/>
    <d v="2022-12-06T00:00:00"/>
    <d v="2023-01-25T00:00:00"/>
    <d v="2023-02-17T00:00:00"/>
    <s v="Alliance Healthcare s.r.o."/>
    <m/>
    <n v="5643579.8399999999"/>
    <n v="6207937.8200000003"/>
    <m/>
    <m/>
    <m/>
    <d v="2023-02-17T00:00:00"/>
    <s v="SMLN-2023-617-000107"/>
    <x v="2"/>
  </r>
  <r>
    <d v="2022-09-05T00:00:00"/>
    <s v="VZ-2022-000961-01"/>
    <x v="2"/>
    <s v="Valtová"/>
    <s v="Přikrylová"/>
    <x v="38"/>
    <n v="1"/>
    <s v=" 2. Zavaděč - sety pro femorální přístup 5F a 6F (sheathy)"/>
    <s v="podepsaná smlouva"/>
    <s v="33140000-3"/>
    <m/>
    <n v="480000"/>
    <x v="0"/>
    <d v="2022-09-09T00:00:00"/>
    <d v="2022-11-23T00:00:00"/>
    <d v="2022-12-22T00:00:00"/>
    <s v="Innova Medical s.r.o."/>
    <m/>
    <n v="472500"/>
    <n v="571725"/>
    <m/>
    <m/>
    <m/>
    <d v="2022-12-22T00:00:00"/>
    <s v="SMLN-2022-617-000892_x000a_SMLN-2022-614-000102"/>
    <x v="11"/>
  </r>
  <r>
    <d v="2022-09-05T00:00:00"/>
    <s v="VZ-2022-000961-02"/>
    <x v="2"/>
    <s v="Valtová"/>
    <s v="Přikrylová"/>
    <x v="38"/>
    <n v="2"/>
    <s v="5. Koronární (PTCA) vodiče - základní typ"/>
    <s v="podepsaná smlouva"/>
    <s v="33140000-3"/>
    <m/>
    <n v="4860000"/>
    <x v="0"/>
    <d v="2022-09-09T00:00:00"/>
    <d v="2022-11-23T00:00:00"/>
    <d v="2022-12-22T00:00:00"/>
    <s v="MEDITRADE spol. s r.o."/>
    <m/>
    <n v="4860000"/>
    <n v="5880600"/>
    <m/>
    <m/>
    <m/>
    <d v="2022-12-22T00:00:00"/>
    <s v="SMLN-2022-617-000893_x000a_SMLN-2022-614-000103"/>
    <x v="25"/>
  </r>
  <r>
    <d v="2022-09-05T00:00:00"/>
    <s v="VZ-2022-000961-03"/>
    <x v="2"/>
    <s v="Valtová"/>
    <s v="Přikrylová"/>
    <x v="38"/>
    <n v="3"/>
    <s v="6. Koronární (PTCA) vodiče - vodiče se zvýšenou odolností měkkého distálního konce, vč. vodičů pro použití chronických uzávěrů (CTO)"/>
    <s v="podepsaná smlouva"/>
    <s v="33140000-3"/>
    <m/>
    <n v="867000"/>
    <x v="0"/>
    <d v="2022-09-09T00:00:00"/>
    <d v="2022-11-23T00:00:00"/>
    <d v="2022-12-22T00:00:00"/>
    <s v="INLAB Medical s.r.o."/>
    <m/>
    <n v="735000"/>
    <n v="889350"/>
    <m/>
    <m/>
    <m/>
    <d v="2022-12-22T00:00:00"/>
    <s v="SMLN-2022-617-000894_x000a_SMLN-2022-614-000104"/>
    <x v="13"/>
  </r>
  <r>
    <d v="2022-09-05T00:00:00"/>
    <s v="VZ-2022-000961-04"/>
    <x v="2"/>
    <s v="Valtová"/>
    <s v="Přikrylová"/>
    <x v="38"/>
    <n v="4"/>
    <s v="8. Balónkové dilatační katetry koronární - střednětlaký (semicompliantní)"/>
    <s v="podepsaná smlouva"/>
    <s v="33140000-3"/>
    <m/>
    <n v="3555000"/>
    <x v="0"/>
    <d v="2022-09-09T00:00:00"/>
    <d v="2022-11-23T00:00:00"/>
    <d v="2023-01-09T00:00:00"/>
    <s v="BS PRAGUE MEDICAL CS, spol. s r.o."/>
    <m/>
    <n v="3555000"/>
    <n v="4301550"/>
    <m/>
    <m/>
    <m/>
    <d v="2023-01-09T00:00:00"/>
    <s v="SMLN-2023-617-000018_x000a_SMLN-2023-614-000001"/>
    <x v="13"/>
  </r>
  <r>
    <d v="2022-09-05T00:00:00"/>
    <s v="VZ-2022-000961-05"/>
    <x v="2"/>
    <s v="Valtová"/>
    <s v="Přikrylová"/>
    <x v="38"/>
    <n v="5"/>
    <s v="9. Balónkové katetry koronární  - vysokotlaké/postdilatační (noncompliantní)"/>
    <s v="podepsaná smlouva"/>
    <s v="33140000-3"/>
    <m/>
    <n v="13825000"/>
    <x v="0"/>
    <d v="2022-09-09T00:00:00"/>
    <d v="2022-11-23T00:00:00"/>
    <d v="2022-12-22T00:00:00"/>
    <s v="BS PRAGUE MEDICAL CS, spol. s r.o."/>
    <m/>
    <n v="13825000"/>
    <n v="16728250"/>
    <m/>
    <m/>
    <m/>
    <d v="2022-12-22T00:00:00"/>
    <s v="SMLN-2022-617-000895_x000a_SMLN-2022-614-000105"/>
    <x v="13"/>
  </r>
  <r>
    <d v="2022-09-05T00:00:00"/>
    <s v="VZ-2022-000961-06"/>
    <x v="2"/>
    <s v="Valtová"/>
    <s v="Přikrylová"/>
    <x v="38"/>
    <n v="6"/>
    <s v="10. Balónkové katetry koronární  - vysokotlaké nízkoprofilové"/>
    <s v="podepsaná smlouva"/>
    <s v="33140000-3"/>
    <m/>
    <n v="2646900"/>
    <x v="0"/>
    <d v="2022-09-09T00:00:00"/>
    <d v="2022-11-23T00:00:00"/>
    <d v="2022-12-22T00:00:00"/>
    <s v="JI-MEDICAL a.s."/>
    <m/>
    <n v="2646900"/>
    <n v="3202749"/>
    <m/>
    <m/>
    <m/>
    <d v="2022-12-22T00:00:00"/>
    <s v="SMLN-2022-617-000896_x000a_SMLN-2022-614-000106"/>
    <x v="11"/>
  </r>
  <r>
    <d v="2022-09-05T00:00:00"/>
    <s v="VZ-2022-000961-07"/>
    <x v="2"/>
    <s v="Valtová"/>
    <s v="Přikrylová"/>
    <x v="38"/>
    <n v="7"/>
    <s v="11. Balónkové dilatační katetry lékové (DEB)  "/>
    <s v="podepsaná smlouva"/>
    <s v="33140000-3"/>
    <m/>
    <n v="2520000"/>
    <x v="0"/>
    <d v="2022-09-09T00:00:00"/>
    <d v="2022-11-23T00:00:00"/>
    <d v="2022-12-22T00:00:00"/>
    <s v="B. Braun Medical s.r.o."/>
    <m/>
    <n v="2250000"/>
    <n v="2722500"/>
    <m/>
    <m/>
    <m/>
    <d v="2022-12-22T00:00:00"/>
    <s v="SMLN-2022-617-000897_x000a_SMLN-2022-614-000107"/>
    <x v="11"/>
  </r>
  <r>
    <d v="2022-09-05T00:00:00"/>
    <s v="VZ-2022-000961-09"/>
    <x v="2"/>
    <s v="Valtová"/>
    <s v="Přikrylová"/>
    <x v="38"/>
    <n v="9"/>
    <s v="13. Vodící katetry - 5F"/>
    <s v="podepsaná smlouva"/>
    <s v="33140000-3"/>
    <m/>
    <n v="540000"/>
    <x v="0"/>
    <d v="2022-09-09T00:00:00"/>
    <d v="2022-11-23T00:00:00"/>
    <d v="2023-01-09T00:00:00"/>
    <s v="Innova Medical s.r.o."/>
    <m/>
    <n v="900000"/>
    <n v="1089000"/>
    <m/>
    <m/>
    <m/>
    <d v="2023-01-09T00:00:00"/>
    <s v="SMLN-2023-617-000019_x000a_SMLN-2023-614-000002"/>
    <x v="26"/>
  </r>
  <r>
    <d v="2022-09-05T00:00:00"/>
    <s v="VZ-2022-000961-11"/>
    <x v="2"/>
    <s v="Valtová"/>
    <s v="Přikrylová"/>
    <x v="38"/>
    <n v="11"/>
    <s v="Koronární stenty metalické (Bare metal stents-BMS)"/>
    <s v="podepsaná smlouva"/>
    <s v="33140000-3"/>
    <m/>
    <n v="748000"/>
    <x v="0"/>
    <d v="2022-09-09T00:00:00"/>
    <d v="2022-11-23T00:00:00"/>
    <d v="2022-12-22T00:00:00"/>
    <s v="Stimcare, s.r.o."/>
    <m/>
    <n v="748000"/>
    <n v="905080"/>
    <m/>
    <m/>
    <m/>
    <d v="2022-12-22T00:00:00"/>
    <s v="SMLN-2022-617-000898_x000a_SMLN-2022-614-000108"/>
    <x v="11"/>
  </r>
  <r>
    <d v="2022-09-06T00:00:00"/>
    <s v="VZ-2022-000964"/>
    <x v="2"/>
    <s v="Dočkalová"/>
    <s v="Přikrylová"/>
    <x v="39"/>
    <m/>
    <m/>
    <s v="podepsaná smlouva"/>
    <s v="33162200-5"/>
    <m/>
    <n v="1924060"/>
    <x v="0"/>
    <d v="2022-09-16T00:00:00"/>
    <d v="2022-10-24T00:00:00"/>
    <d v="2023-04-20T00:00:00"/>
    <s v="MEDIN, a.s."/>
    <m/>
    <n v="1707219.3"/>
    <n v="2065735.35"/>
    <m/>
    <m/>
    <m/>
    <d v="2023-04-20T00:00:00"/>
    <s v="SMLN-2023-617-100111"/>
    <x v="27"/>
  </r>
  <r>
    <d v="2022-09-08T00:00:00"/>
    <s v="VZ-2022-000987-01"/>
    <x v="0"/>
    <s v="Ondráčková"/>
    <s v="Bodinková"/>
    <x v="40"/>
    <n v="1"/>
    <s v="DEXAMETHASON I.V."/>
    <s v="podepsaná smlouva"/>
    <s v="33642200-4"/>
    <m/>
    <n v="685461"/>
    <x v="0"/>
    <d v="2022-09-26T00:00:00"/>
    <d v="2022-12-13T00:00:00"/>
    <d v="2023-01-12T00:00:00"/>
    <s v="PHARMOS, a.s."/>
    <m/>
    <n v="678466.5"/>
    <n v="746313.15"/>
    <m/>
    <m/>
    <m/>
    <d v="2023-01-12T00:00:00"/>
    <s v="SMLN-2023-617-000028"/>
    <x v="28"/>
  </r>
  <r>
    <d v="2022-09-08T00:00:00"/>
    <s v="VZ-2022-000987-02"/>
    <x v="0"/>
    <s v="Ondráčková"/>
    <s v="Bodinková"/>
    <x v="40"/>
    <n v="2"/>
    <s v="DEXAMETHASON "/>
    <s v="podepsaná smlouva"/>
    <s v="33642200-4"/>
    <m/>
    <n v="5397006"/>
    <x v="0"/>
    <d v="2022-09-26T00:00:00"/>
    <d v="2022-12-13T00:00:00"/>
    <d v="2023-01-12T00:00:00"/>
    <s v="Alliance Healthcare s.r.o."/>
    <m/>
    <n v="5396986.0199999996"/>
    <n v="5936684.6200000001"/>
    <m/>
    <m/>
    <m/>
    <d v="2023-01-12T00:00:00"/>
    <s v="SMLN-2023-617-000029"/>
    <x v="28"/>
  </r>
  <r>
    <d v="2022-09-08T00:00:00"/>
    <s v="VZ-2022-000987-04"/>
    <x v="0"/>
    <s v="Ondráčková"/>
    <s v="Bodinková"/>
    <x v="40"/>
    <n v="4"/>
    <s v="PREDNISON"/>
    <s v="podepsaná smlouva"/>
    <s v="33642200-4"/>
    <m/>
    <n v="2452725"/>
    <x v="0"/>
    <d v="2022-09-26T00:00:00"/>
    <d v="2022-12-13T00:00:00"/>
    <d v="2023-01-12T00:00:00"/>
    <s v="PHARMOS, a.s."/>
    <m/>
    <n v="1890908.64"/>
    <n v="2079999.5"/>
    <m/>
    <m/>
    <m/>
    <d v="2023-01-12T00:00:00"/>
    <s v="SMLN-2023-617-000030"/>
    <x v="28"/>
  </r>
  <r>
    <d v="2022-09-08T00:00:00"/>
    <s v="VZ-2022-000987-05"/>
    <x v="0"/>
    <s v="Ondráčková"/>
    <s v="Bodinková"/>
    <x v="40"/>
    <n v="5"/>
    <s v="HYDROKORTISON"/>
    <s v="podepsaná smlouva"/>
    <s v="33642200-4"/>
    <m/>
    <n v="2713869"/>
    <x v="0"/>
    <d v="2022-09-26T00:00:00"/>
    <d v="2022-12-13T00:00:00"/>
    <d v="2023-01-12T00:00:00"/>
    <s v="Alliance Healthcare s.r.o."/>
    <m/>
    <n v="2688052.35"/>
    <n v="2956857.59"/>
    <m/>
    <m/>
    <m/>
    <d v="2023-01-12T00:00:00"/>
    <s v="SMLN-2023-617-000031"/>
    <x v="28"/>
  </r>
  <r>
    <d v="2022-09-08T00:00:00"/>
    <s v="VZ-2022-000988-01"/>
    <x v="0"/>
    <s v="Ondráčková"/>
    <s v="Bodinková"/>
    <x v="41"/>
    <n v="1"/>
    <s v="ARGIPRESIN-ACETÁT"/>
    <s v="podepsaná smlouva"/>
    <s v="33642000-2"/>
    <m/>
    <n v="1329395"/>
    <x v="0"/>
    <d v="2022-11-04T00:00:00"/>
    <d v="2022-12-09T00:00:00"/>
    <d v="2023-01-09T00:00:00"/>
    <s v="Alliance Healthcare s.r.o."/>
    <m/>
    <n v="1186575.6000000001"/>
    <n v="1305233.1599999999"/>
    <m/>
    <m/>
    <m/>
    <d v="2023-01-09T00:00:00"/>
    <s v="SMLN-2023-617-000015"/>
    <x v="29"/>
  </r>
  <r>
    <d v="2022-09-08T00:00:00"/>
    <s v="VZ-2022-000988-02"/>
    <x v="0"/>
    <s v="Ondráčková"/>
    <s v="Bodinková"/>
    <x v="41"/>
    <n v="2"/>
    <s v="DESMOPRESIN-ACETÁT"/>
    <s v="podepsaná smlouva"/>
    <s v="33642000-2"/>
    <m/>
    <n v="2363241"/>
    <x v="0"/>
    <d v="2022-11-04T00:00:00"/>
    <d v="2022-12-09T00:00:00"/>
    <d v="2023-01-09T00:00:00"/>
    <s v="PHOENIX lék. velkoobchod, s.r.o."/>
    <m/>
    <n v="2338334.13"/>
    <n v="2572167.54"/>
    <m/>
    <m/>
    <m/>
    <d v="2023-01-09T00:00:00"/>
    <s v="SMLN-2023-617-000016"/>
    <x v="26"/>
  </r>
  <r>
    <d v="2022-09-08T00:00:00"/>
    <s v="VZ-2022-000988-03"/>
    <x v="0"/>
    <s v="Ondráčková"/>
    <s v="Bodinková"/>
    <x v="41"/>
    <n v="3"/>
    <s v="TERLIPRESIN-ACETÁT"/>
    <s v="podepsaná smlouva"/>
    <s v="33642000-2"/>
    <m/>
    <n v="941068"/>
    <x v="0"/>
    <d v="2022-11-04T00:00:00"/>
    <d v="2022-12-09T00:00:00"/>
    <d v="2023-01-09T00:00:00"/>
    <s v="Alliance Healthcare s.r.o."/>
    <m/>
    <n v="859611"/>
    <n v="945572.1"/>
    <m/>
    <m/>
    <m/>
    <d v="2023-01-09T00:00:00"/>
    <s v="SMLN-2023-617-000017"/>
    <x v="29"/>
  </r>
  <r>
    <d v="2022-09-12T00:00:00"/>
    <s v="VZ-2022-000998"/>
    <x v="2"/>
    <s v="Dočkalová"/>
    <s v="Přikrylová"/>
    <x v="42"/>
    <m/>
    <m/>
    <s v="podepsaná smlouva"/>
    <s v="33162200-5"/>
    <m/>
    <n v="547820"/>
    <x v="0"/>
    <d v="2022-09-27T00:00:00"/>
    <d v="2022-10-31T00:00:00"/>
    <d v="2023-02-16T00:00:00"/>
    <s v="MEDILAB ČR, s.r.o."/>
    <m/>
    <n v="255061.6"/>
    <n v="308612.44"/>
    <m/>
    <m/>
    <m/>
    <d v="2023-02-16T00:00:00"/>
    <s v="SMLN-2023-617-000101"/>
    <x v="2"/>
  </r>
  <r>
    <d v="2022-09-09T00:00:00"/>
    <s v="VZ-2022-000999"/>
    <x v="2"/>
    <s v="Dočkalová"/>
    <s v="Přikrylová"/>
    <x v="43"/>
    <m/>
    <m/>
    <s v="podepsaná smlouva"/>
    <s v="33152200-5"/>
    <m/>
    <n v="4743130"/>
    <x v="0"/>
    <d v="2022-09-27T00:00:00"/>
    <d v="2022-11-30T00:00:00"/>
    <d v="2023-04-20T00:00:00"/>
    <s v="ASANUS CZ s.r.o."/>
    <m/>
    <n v="3343377.71"/>
    <n v="4045608.03"/>
    <m/>
    <m/>
    <m/>
    <d v="2023-04-20T00:00:00"/>
    <s v="SMLN-2023-617-100113"/>
    <x v="27"/>
  </r>
  <r>
    <d v="2022-09-19T00:00:00"/>
    <s v="VZ-2022-001024"/>
    <x v="5"/>
    <s v="Valíček"/>
    <s v="Kučera"/>
    <x v="44"/>
    <m/>
    <m/>
    <s v="podepsaná smlouva"/>
    <s v="71000000-8"/>
    <m/>
    <n v="20000000"/>
    <x v="0"/>
    <d v="2022-10-06T00:00:00"/>
    <d v="2022-12-16T00:00:00"/>
    <d v="2022-12-27T00:00:00"/>
    <s v="DigiTry + Siebert+Talaš"/>
    <m/>
    <n v="12458000"/>
    <n v="15074180"/>
    <m/>
    <m/>
    <m/>
    <d v="2022-12-27T00:00:00"/>
    <s v="SMLN-2022-618-000080"/>
    <x v="30"/>
  </r>
  <r>
    <d v="2022-09-19T00:00:00"/>
    <s v="VZ-2022-001025"/>
    <x v="0"/>
    <s v="Ondráčková"/>
    <s v="Bodinková"/>
    <x v="45"/>
    <n v="1"/>
    <s v="TRIMEKAIN-HYDROCHLORID"/>
    <s v="zrušeno"/>
    <s v="33661100-2"/>
    <m/>
    <n v="2930679"/>
    <x v="0"/>
    <d v="2022-10-13T00:00:00"/>
    <d v="2022-11-15T00:00:00"/>
    <m/>
    <s v="AH + Phoenix odstoupili"/>
    <m/>
    <m/>
    <m/>
    <m/>
    <m/>
    <m/>
    <m/>
    <m/>
    <x v="10"/>
  </r>
  <r>
    <d v="2022-09-19T00:00:00"/>
    <s v="VZ-2022-001025"/>
    <x v="0"/>
    <s v="Ondráčková"/>
    <s v="Bodinková"/>
    <x v="45"/>
    <n v="2"/>
    <s v="TRIMEKAIN-HYDROCHLORID A KARBETHOPENDECINIUM-BROMID"/>
    <s v="zrušeno"/>
    <s v="33661100-2"/>
    <m/>
    <n v="1823158"/>
    <x v="0"/>
    <d v="2022-10-13T00:00:00"/>
    <d v="2022-11-15T00:00:00"/>
    <m/>
    <s v="AH + Phoenix odstoupili"/>
    <m/>
    <m/>
    <m/>
    <m/>
    <m/>
    <m/>
    <m/>
    <m/>
    <x v="10"/>
  </r>
  <r>
    <d v="2022-09-19T00:00:00"/>
    <s v="VZ-2022-001025"/>
    <x v="0"/>
    <s v="Ondráčková"/>
    <s v="Bodinková"/>
    <x v="45"/>
    <n v="3"/>
    <s v="BUPIVAKAIN  "/>
    <s v="podepsaná smlouva"/>
    <s v="33661100-2"/>
    <m/>
    <n v="2357197"/>
    <x v="0"/>
    <d v="2022-10-13T00:00:00"/>
    <d v="2022-11-15T00:00:00"/>
    <d v="2022-12-21T00:00:00"/>
    <s v="PHOENIX lék. velkoobchod, s.r.o."/>
    <m/>
    <n v="1698102.24"/>
    <n v="1867912.46"/>
    <m/>
    <m/>
    <m/>
    <d v="2022-12-21T00:00:00"/>
    <s v="SMLN-2022-617-000885"/>
    <x v="13"/>
  </r>
  <r>
    <d v="2022-09-19T00:00:00"/>
    <s v="VZ-2022-001025"/>
    <x v="0"/>
    <s v="Ondráčková"/>
    <s v="Bodinková"/>
    <x v="45"/>
    <n v="4"/>
    <s v="LIDOKAIN "/>
    <s v="podepsaná smlouva"/>
    <s v="33661100-2"/>
    <m/>
    <n v="494433"/>
    <x v="0"/>
    <d v="2022-10-13T00:00:00"/>
    <d v="2022-11-15T00:00:00"/>
    <d v="2022-12-21T00:00:00"/>
    <s v="PHOENIX lék. velkoobchod, s.r.o."/>
    <m/>
    <n v="491961.28"/>
    <n v="541157.41"/>
    <m/>
    <m/>
    <m/>
    <d v="2022-12-21T00:00:00"/>
    <s v="SMLN-2022-617-000886"/>
    <x v="13"/>
  </r>
  <r>
    <d v="2022-09-19T00:00:00"/>
    <s v="VZ-2022-001025"/>
    <x v="0"/>
    <s v="Ondráčková"/>
    <s v="Bodinková"/>
    <x v="45"/>
    <n v="6"/>
    <s v="LIDOKAIN/PRILOKAIN"/>
    <s v="podepsaná smlouva"/>
    <s v="33661100-2"/>
    <m/>
    <n v="141314"/>
    <x v="0"/>
    <d v="2022-10-13T00:00:00"/>
    <d v="2022-11-15T00:00:00"/>
    <d v="2022-12-21T00:00:00"/>
    <s v="PHOENIX lék. velkoobchod, s.r.o."/>
    <m/>
    <n v="122897.36"/>
    <n v="135187.1"/>
    <m/>
    <m/>
    <m/>
    <d v="2022-12-21T00:00:00"/>
    <s v="SMLN-2022-617-000887"/>
    <x v="13"/>
  </r>
  <r>
    <d v="2022-09-19T00:00:00"/>
    <s v="VZ-2022-001026"/>
    <x v="0"/>
    <s v="Ondráčková"/>
    <s v="Bodinková"/>
    <x v="46"/>
    <m/>
    <m/>
    <s v="podepsaná smlouva"/>
    <s v="33610000-9"/>
    <m/>
    <n v="9072548"/>
    <x v="0"/>
    <d v="2022-10-20T00:00:00"/>
    <d v="2023-01-12T00:00:00"/>
    <d v="2023-01-30T00:00:00"/>
    <s v="PHOENIX lék. velkoobchod, s.r.o."/>
    <m/>
    <n v="8380469.4000000004"/>
    <n v="9218516.3399999999"/>
    <m/>
    <m/>
    <m/>
    <d v="2023-01-30T00:00:00"/>
    <s v="SMLN-2023-617-000071"/>
    <x v="31"/>
  </r>
  <r>
    <d v="2022-09-26T00:00:00"/>
    <s v="VZ-2022-001049"/>
    <x v="2"/>
    <s v="Dočkalová"/>
    <s v="Přikrylová"/>
    <x v="47"/>
    <m/>
    <m/>
    <s v="zrušeno"/>
    <s v="33162200-5"/>
    <m/>
    <n v="600000"/>
    <x v="0"/>
    <d v="2022-10-04T00:00:00"/>
    <d v="2023-01-05T00:00:00"/>
    <m/>
    <m/>
    <m/>
    <m/>
    <m/>
    <m/>
    <m/>
    <m/>
    <m/>
    <m/>
    <x v="10"/>
  </r>
  <r>
    <d v="2022-09-27T00:00:00"/>
    <s v="VZ-2022-001055"/>
    <x v="2"/>
    <s v="Dočkalová"/>
    <s v="Přikrylová"/>
    <x v="48"/>
    <m/>
    <m/>
    <s v="podepsaná smlouva"/>
    <s v="33162200-5"/>
    <m/>
    <n v="558500"/>
    <x v="0"/>
    <d v="2022-10-04T00:00:00"/>
    <d v="2022-11-07T00:00:00"/>
    <d v="2023-01-13T00:00:00"/>
    <s v="CARDION s.r.o."/>
    <m/>
    <n v="431578.51"/>
    <n v="522210"/>
    <m/>
    <m/>
    <m/>
    <d v="2023-01-13T00:00:00"/>
    <s v="SMLN-2023-617-000036"/>
    <x v="7"/>
  </r>
  <r>
    <d v="2022-09-30T00:00:00"/>
    <s v="VZ-2022-001064"/>
    <x v="0"/>
    <s v="Ondráčková"/>
    <s v="Bodinková"/>
    <x v="49"/>
    <m/>
    <m/>
    <s v="podepsaná smlouva"/>
    <s v="09343000-5"/>
    <m/>
    <n v="4407468"/>
    <x v="0"/>
    <d v="2022-12-15T00:00:00"/>
    <d v="2023-02-22T00:00:00"/>
    <d v="2023-03-30T00:00:00"/>
    <s v="ÚJV Řež, a.s."/>
    <m/>
    <n v="4407468"/>
    <n v="4848214.8"/>
    <m/>
    <m/>
    <m/>
    <d v="2023-03-30T00:00:00"/>
    <s v="SMLN-2023-617-100063"/>
    <x v="27"/>
  </r>
  <r>
    <s v="opakovaná VZ"/>
    <s v="VZ-2022-001073"/>
    <x v="0"/>
    <s v="Ondráčková"/>
    <s v="Bodinková"/>
    <x v="50"/>
    <m/>
    <m/>
    <s v="podepsaná smlouva"/>
    <s v="33652300-8"/>
    <m/>
    <n v="345461"/>
    <x v="0"/>
    <d v="2022-10-13T00:00:00"/>
    <d v="2022-11-15T00:00:00"/>
    <d v="2023-03-14T00:00:00"/>
    <s v="Alliance Healthcare s.r.o."/>
    <m/>
    <n v="341940"/>
    <n v="376134"/>
    <m/>
    <m/>
    <m/>
    <d v="2023-03-14T00:00:00"/>
    <s v="SMLN-2023-617-100012"/>
    <x v="32"/>
  </r>
  <r>
    <d v="2022-10-06T00:00:00"/>
    <s v="VZ-2022-001102"/>
    <x v="0"/>
    <s v="Ondráčková"/>
    <s v="Bodinková"/>
    <x v="51"/>
    <m/>
    <m/>
    <s v="podepsaná smlouva"/>
    <s v="33652000-5"/>
    <m/>
    <n v="7827081"/>
    <x v="0"/>
    <d v="2022-10-21T00:00:00"/>
    <d v="2022-11-28T00:00:00"/>
    <d v="2022-12-16T00:00:00"/>
    <s v="PHOENIX lék. velkoobchod, s.r.o."/>
    <m/>
    <n v="7827080.6699999999"/>
    <n v="8609788.7400000002"/>
    <m/>
    <m/>
    <m/>
    <d v="2022-12-16T00:00:00"/>
    <s v="SMLN-2022-617-000869"/>
    <x v="5"/>
  </r>
  <r>
    <d v="2022-10-06T00:00:00"/>
    <s v="VZ-2022-001104-01"/>
    <x v="0"/>
    <s v="Ondráčková"/>
    <s v="Bodinková"/>
    <x v="52"/>
    <n v="1"/>
    <s v="TAMSULOSIN"/>
    <s v="zrušeno"/>
    <s v="33641000-5"/>
    <m/>
    <n v="527402"/>
    <x v="1"/>
    <d v="2023-01-02T00:00:00"/>
    <d v="2023-01-19T00:00:00"/>
    <m/>
    <s v="zrušeno - úprava specifikace"/>
    <m/>
    <m/>
    <m/>
    <m/>
    <m/>
    <m/>
    <m/>
    <m/>
    <x v="10"/>
  </r>
  <r>
    <d v="2022-10-06T00:00:00"/>
    <s v="VZ-2022-001104-02"/>
    <x v="0"/>
    <s v="Ondráčková"/>
    <s v="Bodinková"/>
    <x v="52"/>
    <n v="2"/>
    <s v="TAMSULOSIN A DUTASTERID"/>
    <s v="zrušeno"/>
    <s v="33641000-5"/>
    <m/>
    <n v="1081093"/>
    <x v="1"/>
    <d v="2023-01-02T00:00:00"/>
    <d v="2023-01-31T00:00:00"/>
    <m/>
    <s v="zrušeno - nesplnění specifikace (úhrady)"/>
    <m/>
    <m/>
    <m/>
    <m/>
    <m/>
    <m/>
    <m/>
    <m/>
    <x v="10"/>
  </r>
  <r>
    <d v="2022-10-06T00:00:00"/>
    <s v="VZ-2022-001104-03"/>
    <x v="0"/>
    <s v="Ondráčková"/>
    <s v="Bodinková"/>
    <x v="52"/>
    <n v="3"/>
    <s v="TAMSULOSIN A SOLIFENACIN"/>
    <s v="podepsaná smlouva"/>
    <s v="33641000-5"/>
    <m/>
    <n v="990009"/>
    <x v="1"/>
    <d v="2023-01-02T00:00:00"/>
    <d v="2023-01-31T00:00:00"/>
    <d v="2023-03-27T00:00:00"/>
    <s v="PHOENIX lék. velkoobchod, s.r.o."/>
    <m/>
    <n v="990007.47"/>
    <n v="1089008.22"/>
    <m/>
    <m/>
    <m/>
    <d v="2023-03-27T00:00:00"/>
    <s v="SMLN-2023-617-100054"/>
    <x v="33"/>
  </r>
  <r>
    <d v="2022-10-06T00:00:00"/>
    <s v="VZ-2022-001111"/>
    <x v="6"/>
    <s v="Olejníček"/>
    <s v="Kučera"/>
    <x v="53"/>
    <m/>
    <m/>
    <s v="zrušeno"/>
    <s v="90910000-9"/>
    <m/>
    <n v="564800000"/>
    <x v="0"/>
    <d v="2022-11-23T00:00:00"/>
    <d v="2023-01-19T00:00:00"/>
    <m/>
    <s v="zrušeno - úprava specifikace"/>
    <s v="nová VZ-2023-000560"/>
    <m/>
    <m/>
    <m/>
    <m/>
    <m/>
    <m/>
    <m/>
    <x v="10"/>
  </r>
  <r>
    <s v="opakovaná VZ"/>
    <s v="VZ-2022-001121"/>
    <x v="7"/>
    <s v="Olejníček"/>
    <s v="Zdražilová"/>
    <x v="54"/>
    <m/>
    <m/>
    <s v="podepsaná smlouva"/>
    <s v="33186000-7"/>
    <s v="2.2.400."/>
    <n v="6061532"/>
    <x v="0"/>
    <d v="2022-11-01T00:00:00"/>
    <d v="2022-12-05T00:00:00"/>
    <d v="2022-12-22T00:00:00"/>
    <s v="Reg- Pharm, s.r.o."/>
    <m/>
    <n v="6315732"/>
    <n v="7642035.7199999997"/>
    <m/>
    <m/>
    <m/>
    <d v="2022-12-22T00:00:00"/>
    <s v="SMLN-2022-617-000889_x000a_SMLN-2022-612-000235_x000a_SMLN-2022-617-000890"/>
    <x v="34"/>
  </r>
  <r>
    <d v="2022-10-11T00:00:00"/>
    <s v="VZ-2022-001123-01"/>
    <x v="2"/>
    <s v="Valtová"/>
    <s v="Přikrylová"/>
    <x v="55"/>
    <n v="1"/>
    <s v="Set hadicový"/>
    <s v="podepsaná smlouva"/>
    <s v="33140000-3"/>
    <m/>
    <n v="1275260"/>
    <x v="0"/>
    <d v="2022-11-08T00:00:00"/>
    <d v="2022-12-12T00:00:00"/>
    <d v="2023-01-17T00:00:00"/>
    <s v="Arthrex s.r.o."/>
    <m/>
    <n v="1275260"/>
    <n v="1543064"/>
    <m/>
    <m/>
    <m/>
    <d v="2023-01-17T00:00:00"/>
    <s v="SMLN-2023-617-000043"/>
    <x v="35"/>
  </r>
  <r>
    <d v="2022-10-11T00:00:00"/>
    <s v="VZ-2022-001123-02"/>
    <x v="2"/>
    <s v="Valtová"/>
    <s v="Přikrylová"/>
    <x v="55"/>
    <n v="2"/>
    <s v="Frézy k shaveru, kompatibilní k ASK konzole Synergy Shaver AR-8305"/>
    <s v="podepsaná smlouva"/>
    <s v="33140000-3"/>
    <m/>
    <n v="2860000"/>
    <x v="0"/>
    <d v="2022-11-08T00:00:00"/>
    <d v="2022-12-12T00:00:00"/>
    <d v="2023-01-17T00:00:00"/>
    <s v="Arthrex s.r.o."/>
    <m/>
    <n v="2967535"/>
    <n v="3590720.7"/>
    <m/>
    <m/>
    <m/>
    <d v="2023-01-17T00:00:00"/>
    <s v="SMLN-2023-617-000044"/>
    <x v="35"/>
  </r>
  <r>
    <d v="2022-10-11T00:00:00"/>
    <s v="VZ-2022-001123-03"/>
    <x v="2"/>
    <s v="Valtová"/>
    <s v="Přikrylová"/>
    <x v="55"/>
    <n v="3"/>
    <s v="Elektrody (sondy) bipolární Apollo, radiofrekvenční ablace 50 a 90, odsávací i neodsávací"/>
    <s v="podepsaná smlouva"/>
    <s v="33140000-3"/>
    <m/>
    <n v="5280000"/>
    <x v="0"/>
    <d v="2022-11-08T00:00:00"/>
    <d v="2022-12-12T00:00:00"/>
    <d v="2023-01-17T00:00:00"/>
    <s v="Arthrex s.r.o."/>
    <m/>
    <n v="5280000"/>
    <n v="6388800"/>
    <m/>
    <m/>
    <m/>
    <d v="2023-01-17T00:00:00"/>
    <s v="SMLN-2023-617-000045"/>
    <x v="35"/>
  </r>
  <r>
    <d v="2022-10-11T00:00:00"/>
    <s v="VZ-2022-001126"/>
    <x v="3"/>
    <s v="Olejníček"/>
    <s v="Zdražilová"/>
    <x v="56"/>
    <m/>
    <m/>
    <s v="podepsaná smlouva"/>
    <s v="38000000-5"/>
    <s v="2.3.680."/>
    <n v="6250000"/>
    <x v="0"/>
    <d v="2022-10-19T00:00:00"/>
    <d v="2022-12-21T00:00:00"/>
    <d v="2023-02-14T00:00:00"/>
    <s v="I.T.A.-Interact s.r.o."/>
    <m/>
    <n v="5840000"/>
    <n v="7066400"/>
    <m/>
    <m/>
    <m/>
    <d v="2023-02-14T00:00:00"/>
    <s v="SMLN-2023-617-000096_x000a_SMLN-2023-612-000020_x000a_SMLN-2023-617-000097"/>
    <x v="36"/>
  </r>
  <r>
    <s v="opakovaná VZ"/>
    <s v="VZ-2022-001135"/>
    <x v="7"/>
    <s v="Olejníček"/>
    <s v="Zdražilová"/>
    <x v="57"/>
    <m/>
    <m/>
    <s v="podepsaná smlouva"/>
    <s v="33152000-0"/>
    <s v="2.2.415."/>
    <n v="713670"/>
    <x v="0"/>
    <d v="2022-11-01T00:00:00"/>
    <d v="2022-12-05T00:00:00"/>
    <d v="2022-12-19T00:00:00"/>
    <s v="TRIGON PLUS s.r.o."/>
    <m/>
    <n v="847150"/>
    <n v="1025051.5"/>
    <m/>
    <m/>
    <m/>
    <d v="2022-12-19T00:00:00"/>
    <s v="SMLN-2022-617-000870_x000a_SMLN-2022-612-000233"/>
    <x v="37"/>
  </r>
  <r>
    <d v="2022-10-06T00:00:00"/>
    <s v="VZ-2022-001140"/>
    <x v="8"/>
    <s v="Srovnal"/>
    <s v="Kučera"/>
    <x v="58"/>
    <m/>
    <m/>
    <s v="podepsaná smlouva"/>
    <s v="50711000-2 "/>
    <m/>
    <n v="2700000"/>
    <x v="1"/>
    <d v="2022-10-31T00:00:00"/>
    <d v="2022-11-16T00:00:00"/>
    <d v="2022-12-09T00:00:00"/>
    <s v="ASSA ABLOY Entrance Systems, spol. s r.o."/>
    <m/>
    <n v="4144950"/>
    <n v="5015389.5"/>
    <m/>
    <m/>
    <m/>
    <d v="2022-12-09T00:00:00"/>
    <s v="SMLN-2022-612-000227"/>
    <x v="38"/>
  </r>
  <r>
    <d v="2022-10-18T00:00:00"/>
    <s v="VZ-2022-001158-01"/>
    <x v="0"/>
    <s v="Ondráčková"/>
    <s v="Bodinková"/>
    <x v="59"/>
    <n v="1"/>
    <s v="HEPARIN"/>
    <s v="podepsaná smlouva"/>
    <s v="33141550-0"/>
    <m/>
    <n v="5058793"/>
    <x v="0"/>
    <d v="2022-11-15T00:00:00"/>
    <d v="2022-12-27T00:00:00"/>
    <d v="2023-02-22T00:00:00"/>
    <s v="PROMEDICA PRAHA GROUP, a.s."/>
    <m/>
    <n v="5022675.3600000003"/>
    <n v="5524942.9000000004"/>
    <m/>
    <m/>
    <m/>
    <d v="2023-02-22T00:00:00"/>
    <s v="SMLN-2023-617-000115"/>
    <x v="39"/>
  </r>
  <r>
    <d v="2022-10-18T00:00:00"/>
    <s v="VZ-2022-001158-02"/>
    <x v="0"/>
    <s v="Ondráčková"/>
    <s v="Bodinková"/>
    <x v="59"/>
    <n v="2"/>
    <s v="ENOXAPARIN I."/>
    <s v="podepsaná smlouva"/>
    <s v="33141550-0"/>
    <m/>
    <n v="1899304"/>
    <x v="0"/>
    <d v="2022-11-15T00:00:00"/>
    <d v="2022-12-27T00:00:00"/>
    <d v="2023-02-22T00:00:00"/>
    <s v="sanofi-aventis, s.r.o."/>
    <m/>
    <n v="1839423.15"/>
    <n v="2023365.47"/>
    <m/>
    <m/>
    <m/>
    <d v="2023-02-22T00:00:00"/>
    <s v="SMLN-2023-617-000116"/>
    <x v="39"/>
  </r>
  <r>
    <d v="2022-10-18T00:00:00"/>
    <s v="VZ-2022-001158-03"/>
    <x v="0"/>
    <s v="Ondráčková"/>
    <s v="Bodinková"/>
    <x v="59"/>
    <n v="3"/>
    <s v="ENOXAPARIN II."/>
    <s v="podepsaná smlouva"/>
    <s v="33141550-0"/>
    <m/>
    <n v="8976917"/>
    <x v="0"/>
    <d v="2022-11-15T00:00:00"/>
    <d v="2022-12-27T00:00:00"/>
    <d v="2023-02-22T00:00:00"/>
    <s v="PROMEDICA PRAHA GROUP, a.s."/>
    <m/>
    <n v="8757751.5700000003"/>
    <n v="9633526.7300000004"/>
    <m/>
    <m/>
    <m/>
    <d v="2023-02-22T00:00:00"/>
    <s v="SMLN-2023-617-000117"/>
    <x v="39"/>
  </r>
  <r>
    <d v="2022-10-18T00:00:00"/>
    <s v="VZ-2022-001158-04"/>
    <x v="0"/>
    <s v="Ondráčková"/>
    <s v="Bodinková"/>
    <x v="59"/>
    <n v="4"/>
    <s v="NADROPARIN"/>
    <s v="podepsaná smlouva"/>
    <s v="33141550-0"/>
    <m/>
    <n v="53664539"/>
    <x v="0"/>
    <d v="2022-11-15T00:00:00"/>
    <d v="2022-12-27T00:00:00"/>
    <d v="2023-02-22T00:00:00"/>
    <s v="ViaPharma s.r.o."/>
    <m/>
    <n v="53177997.539999999"/>
    <n v="58495797.289999999"/>
    <m/>
    <m/>
    <m/>
    <d v="2023-02-22T00:00:00"/>
    <s v="SMLN-2023-617-000118"/>
    <x v="39"/>
  </r>
  <r>
    <d v="2022-10-18T00:00:00"/>
    <s v="VZ-2022-001158-05"/>
    <x v="0"/>
    <s v="Ondráčková"/>
    <s v="Bodinková"/>
    <x v="59"/>
    <n v="5"/>
    <s v="BEMIPARIN"/>
    <s v="podepsaná smlouva"/>
    <s v="33141550-0"/>
    <m/>
    <n v="223438"/>
    <x v="0"/>
    <d v="2022-11-15T00:00:00"/>
    <d v="2022-12-27T00:00:00"/>
    <d v="2023-02-22T00:00:00"/>
    <s v="Alliance Healthcare s.r.o."/>
    <m/>
    <n v="145062.09"/>
    <n v="159568.29999999999"/>
    <m/>
    <m/>
    <m/>
    <d v="2023-02-22T00:00:00"/>
    <s v="SMLN-2023-617-000119"/>
    <x v="39"/>
  </r>
  <r>
    <d v="2022-10-20T00:00:00"/>
    <s v="VZ-2022-001163-01"/>
    <x v="0"/>
    <s v="Ondráčková"/>
    <s v="Bodinková"/>
    <x v="60"/>
    <n v="1"/>
    <s v="ENFORTUMAB VEDOTIN"/>
    <s v="podepsaná smlouva"/>
    <s v="33652000-5"/>
    <m/>
    <n v="8676720"/>
    <x v="0"/>
    <d v="2022-11-03T00:00:00"/>
    <d v="2023-01-24T00:00:00"/>
    <d v="2023-03-15T00:00:00"/>
    <s v="PHOENIX lék. velkoobchod, s.r.o."/>
    <m/>
    <n v="8676720"/>
    <n v="9544392"/>
    <m/>
    <m/>
    <m/>
    <d v="2023-03-15T00:00:00"/>
    <s v="SMLN-2023-617-100014"/>
    <x v="40"/>
  </r>
  <r>
    <d v="2022-10-20T00:00:00"/>
    <s v="VZ-2022-001163-02"/>
    <x v="0"/>
    <s v="Ondráčková"/>
    <s v="Bodinková"/>
    <x v="60"/>
    <n v="2"/>
    <s v="IRINOTEKAN-SUKROSOFÁT"/>
    <s v="zrušeno"/>
    <s v="33652000-5"/>
    <m/>
    <n v="4983532"/>
    <x v="0"/>
    <d v="2022-11-03T00:00:00"/>
    <d v="2023-01-24T00:00:00"/>
    <m/>
    <s v="zrušeno - bez nabídky"/>
    <m/>
    <m/>
    <m/>
    <m/>
    <m/>
    <m/>
    <m/>
    <m/>
    <x v="10"/>
  </r>
  <r>
    <d v="2022-10-20T00:00:00"/>
    <s v="VZ-2022-001163-03"/>
    <x v="0"/>
    <s v="Ondráčková"/>
    <s v="Bodinková"/>
    <x v="60"/>
    <n v="3"/>
    <s v="SACITUZUMAB GOVITEKAN"/>
    <s v="zrušeno"/>
    <s v="33652000-5"/>
    <m/>
    <n v="2967085"/>
    <x v="0"/>
    <d v="2022-11-03T00:00:00"/>
    <d v="2023-01-24T00:00:00"/>
    <m/>
    <s v="zrušeno - bez nabídky"/>
    <m/>
    <m/>
    <m/>
    <m/>
    <m/>
    <m/>
    <m/>
    <m/>
    <x v="10"/>
  </r>
  <r>
    <d v="2022-10-20T00:00:00"/>
    <s v="VZ-2022-001163-04"/>
    <x v="0"/>
    <s v="Ondráčková"/>
    <s v="Bodinková"/>
    <x v="60"/>
    <n v="4"/>
    <s v="TEBENTAFUSP "/>
    <s v="podepsaná smlouva"/>
    <s v="33652000-5"/>
    <m/>
    <n v="59449458"/>
    <x v="0"/>
    <d v="2022-11-03T00:00:00"/>
    <d v="2023-01-24T00:00:00"/>
    <d v="2023-03-15T00:00:00"/>
    <s v="Avenier a.s."/>
    <m/>
    <n v="59352554.880000003"/>
    <n v="65287810.359999999"/>
    <m/>
    <m/>
    <m/>
    <d v="2023-03-15T00:00:00"/>
    <s v="SMLN-2023-617-100015"/>
    <x v="40"/>
  </r>
  <r>
    <d v="2022-10-20T00:00:00"/>
    <s v="VZ-2022-001163-05"/>
    <x v="0"/>
    <s v="Ondráčková"/>
    <s v="Bodinková"/>
    <x v="60"/>
    <n v="5"/>
    <s v="PRALSETINIB"/>
    <s v="podepsaná smlouva"/>
    <s v="33652000-5"/>
    <m/>
    <n v="6610119"/>
    <x v="0"/>
    <d v="2022-11-03T00:00:00"/>
    <d v="2023-01-24T00:00:00"/>
    <d v="2023-03-15T00:00:00"/>
    <s v="ROCHE s.r.o."/>
    <m/>
    <n v="6676221.5999999996"/>
    <n v="7343843.7599999998"/>
    <m/>
    <m/>
    <m/>
    <d v="2023-03-15T00:00:00"/>
    <s v="SMLN-2023-617-100016"/>
    <x v="40"/>
  </r>
  <r>
    <d v="2022-10-20T00:00:00"/>
    <s v="VZ-2022-001165"/>
    <x v="0"/>
    <s v="Ondráčková"/>
    <s v="Bodinková"/>
    <x v="61"/>
    <m/>
    <m/>
    <s v="podepsaná smlouva"/>
    <s v="33642000-2"/>
    <m/>
    <n v="5129564"/>
    <x v="0"/>
    <d v="2022-10-31T00:00:00"/>
    <d v="2022-12-05T00:00:00"/>
    <d v="2023-01-31T00:00:00"/>
    <s v="PHOENIX lék. velkoobchod, s.r.o."/>
    <m/>
    <n v="3817908"/>
    <n v="4199698.8"/>
    <m/>
    <m/>
    <m/>
    <d v="2023-01-31T00:00:00"/>
    <s v="SMLN-2023-617-000076"/>
    <x v="41"/>
  </r>
  <r>
    <d v="2022-10-21T00:00:00"/>
    <s v="VZ-2022-001172-01"/>
    <x v="2"/>
    <s v="Dočkalová"/>
    <s v="Přikrylová"/>
    <x v="62"/>
    <n v="1"/>
    <s v="rozšíření stávajícího instrumentária dle katalogu Aesculap"/>
    <s v="podepsaná smlouva"/>
    <s v="33162200-5"/>
    <m/>
    <n v="623700"/>
    <x v="0"/>
    <d v="2022-10-31T00:00:00"/>
    <d v="2022-12-05T00:00:00"/>
    <d v="2023-01-12T00:00:00"/>
    <s v="B. Braun Medical s.r.o."/>
    <m/>
    <n v="687864.45"/>
    <n v="832315.98"/>
    <m/>
    <m/>
    <m/>
    <d v="2023-01-12T00:00:00"/>
    <s v="SMLN-2023-617-000034"/>
    <x v="42"/>
  </r>
  <r>
    <d v="2022-10-24T00:00:00"/>
    <s v="VZ-2022-001177"/>
    <x v="8"/>
    <s v="Srovnal"/>
    <s v="Zdražilová"/>
    <x v="63"/>
    <m/>
    <m/>
    <s v="podepsaná smlouva"/>
    <s v="51112200-2"/>
    <m/>
    <n v="3000000"/>
    <x v="0"/>
    <d v="2022-11-04T00:00:00"/>
    <d v="2022-12-07T00:00:00"/>
    <d v="2022-12-16T00:00:00"/>
    <s v="ELMAR group spol. s r.o."/>
    <m/>
    <n v="2564878"/>
    <n v="3103502.38"/>
    <m/>
    <m/>
    <m/>
    <d v="2022-12-16T00:00:00"/>
    <s v="SMLN-2022-618-000077"/>
    <x v="31"/>
  </r>
  <r>
    <d v="2022-10-25T00:00:00"/>
    <s v="VZ-2022-001180"/>
    <x v="5"/>
    <s v="Zeman"/>
    <s v="Kučera"/>
    <x v="64"/>
    <m/>
    <m/>
    <s v="podepsaná smlouva"/>
    <s v="71240000-2"/>
    <s v="1.2.98."/>
    <n v="1950000"/>
    <x v="1"/>
    <d v="2022-11-02T00:00:00"/>
    <d v="2022-11-23T00:00:00"/>
    <d v="2022-12-05T00:00:00"/>
    <s v="LT PROJEKT a.s."/>
    <m/>
    <n v="1850000"/>
    <n v="2238500"/>
    <m/>
    <m/>
    <m/>
    <d v="2022-12-05T00:00:00"/>
    <s v="SMLN-2022-618-000072"/>
    <x v="34"/>
  </r>
  <r>
    <d v="2022-10-27T00:00:00"/>
    <s v="VZ-2022-001195"/>
    <x v="0"/>
    <s v="Ondráčková"/>
    <s v="Bodinková"/>
    <x v="65"/>
    <m/>
    <m/>
    <s v="podepsaná smlouva"/>
    <s v="33621100-0"/>
    <m/>
    <n v="11105554"/>
    <x v="0"/>
    <d v="2022-11-15T00:00:00"/>
    <d v="2022-12-19T00:00:00"/>
    <d v="2023-02-22T00:00:00"/>
    <s v="PHOENIX lék. velkoobchod, s.r.o."/>
    <m/>
    <n v="10928846.310000001"/>
    <n v="12021730.939999999"/>
    <m/>
    <m/>
    <m/>
    <d v="2023-02-22T00:00:00"/>
    <s v="SMLN-2023-617-000111"/>
    <x v="3"/>
  </r>
  <r>
    <s v="opakovaná VZ"/>
    <s v="VZ-2022-001196"/>
    <x v="0"/>
    <s v="Ondráčková"/>
    <s v="Bodinková"/>
    <x v="66"/>
    <m/>
    <m/>
    <s v="podepsaná smlouva"/>
    <s v="33615100-5"/>
    <m/>
    <n v="714307"/>
    <x v="0"/>
    <d v="2022-11-25T00:00:00"/>
    <d v="2022-12-27T00:00:00"/>
    <d v="2023-01-16T00:00:00"/>
    <s v="Alliance Healthcare s.r.o."/>
    <m/>
    <n v="705909.21"/>
    <n v="776500.13"/>
    <m/>
    <m/>
    <m/>
    <d v="2023-01-16T00:00:00"/>
    <s v="SMLN-2023-617-000039"/>
    <x v="28"/>
  </r>
  <r>
    <d v="2022-10-31T00:00:00"/>
    <s v="VZ-2022-001203"/>
    <x v="0"/>
    <s v="Ondráčková"/>
    <s v="Bodinková"/>
    <x v="67"/>
    <m/>
    <m/>
    <s v="podepsaná smlouva"/>
    <s v="33651400-2"/>
    <m/>
    <n v="3589589"/>
    <x v="0"/>
    <d v="2022-12-09T00:00:00"/>
    <d v="2023-01-13T00:00:00"/>
    <d v="2023-01-31T00:00:00"/>
    <s v="PHOENIX lék. velkoobchod, s.r.o."/>
    <m/>
    <n v="3453301.44"/>
    <n v="3798631.58"/>
    <m/>
    <m/>
    <m/>
    <d v="2023-01-31T00:00:00"/>
    <s v="SMLN-2023-617-000077"/>
    <x v="41"/>
  </r>
  <r>
    <s v="opakovaná VZ"/>
    <s v="VZ-2022-001213"/>
    <x v="8"/>
    <s v="Srovnal"/>
    <s v="Zdražilová"/>
    <x v="68"/>
    <m/>
    <m/>
    <s v="podepsaná smlouva"/>
    <s v="51134000-0"/>
    <s v="4.2.194."/>
    <n v="2150000"/>
    <x v="1"/>
    <d v="2022-11-15T00:00:00"/>
    <d v="2022-12-06T00:00:00"/>
    <d v="2022-12-15T00:00:00"/>
    <s v="Dräger Medical s.r.o."/>
    <m/>
    <n v="2152300"/>
    <n v="2604283"/>
    <m/>
    <m/>
    <m/>
    <d v="2022-12-15T00:00:00"/>
    <s v="SMLN-2022-617-000863"/>
    <x v="24"/>
  </r>
  <r>
    <d v="2022-11-03T00:00:00"/>
    <s v="VZ-2022-001226"/>
    <x v="0"/>
    <s v="Ondráčková"/>
    <s v="Bodinková"/>
    <x v="69"/>
    <m/>
    <m/>
    <s v="podepsaná smlouva"/>
    <s v="33694000-1"/>
    <m/>
    <n v="52373000"/>
    <x v="0"/>
    <d v="2022-11-18T00:00:00"/>
    <d v="2023-01-17T00:00:00"/>
    <d v="2023-02-14T00:00:00"/>
    <s v="ROCHE s.r.o."/>
    <m/>
    <n v="52373000"/>
    <n v="63371330"/>
    <m/>
    <m/>
    <m/>
    <d v="2023-02-14T00:00:00"/>
    <s v="SMLN-2023-617-000098_x000a_SMLN-2023-616-000019"/>
    <x v="1"/>
  </r>
  <r>
    <s v="opakovaná VZ"/>
    <s v="VZ-2022-001232"/>
    <x v="2"/>
    <s v="Dočkalová"/>
    <s v="Zdražilová"/>
    <x v="70"/>
    <m/>
    <m/>
    <s v="podepsaná smlouva"/>
    <s v="33100000-1"/>
    <m/>
    <n v="2873340"/>
    <x v="1"/>
    <d v="2022-11-10T00:00:00"/>
    <d v="2022-11-30T00:00:00"/>
    <d v="2022-12-23T00:00:00"/>
    <s v="MGVIVA a.s."/>
    <m/>
    <n v="2873340"/>
    <n v="3476741.4"/>
    <m/>
    <m/>
    <m/>
    <d v="2022-12-23T00:00:00"/>
    <s v="SMLN-2022-617-000900_x000a_SMLN-2022-616-000048"/>
    <x v="6"/>
  </r>
  <r>
    <d v="2022-11-07T00:00:00"/>
    <s v="VZ-2022-001233"/>
    <x v="3"/>
    <s v="Olejníček"/>
    <s v="Zdražilová"/>
    <x v="71"/>
    <m/>
    <m/>
    <s v="podepsaná smlouva"/>
    <s v="33100000-1"/>
    <s v="2.3.684."/>
    <n v="185000"/>
    <x v="0"/>
    <d v="2022-11-09T00:00:00"/>
    <d v="2023-01-11T00:00:00"/>
    <d v="2023-01-24T00:00:00"/>
    <s v="BioTech a.s."/>
    <m/>
    <n v="271600"/>
    <n v="328636"/>
    <m/>
    <m/>
    <m/>
    <d v="2023-01-25T00:00:00"/>
    <s v="SMLN-2023-617-000053_x000a_SMLN-2023-612-000015"/>
    <x v="43"/>
  </r>
  <r>
    <d v="2022-11-03T00:00:00"/>
    <s v="VZ-2022-001240"/>
    <x v="2"/>
    <s v="Valtová"/>
    <s v="Přikrylová"/>
    <x v="72"/>
    <m/>
    <m/>
    <s v="zrušeno"/>
    <s v="33140000-3"/>
    <m/>
    <n v="6763420"/>
    <x v="0"/>
    <d v="2022-11-25T00:00:00"/>
    <d v="2022-12-29T00:00:00"/>
    <m/>
    <s v="zrušeno - nutnost rozšířit předmět plnění o výpůjčku věže"/>
    <s v="nová VZ-2023-000320"/>
    <m/>
    <m/>
    <m/>
    <m/>
    <m/>
    <m/>
    <m/>
    <x v="10"/>
  </r>
  <r>
    <d v="2022-11-07T00:00:00"/>
    <s v="VZ-2022-001242"/>
    <x v="5"/>
    <s v="Zeman"/>
    <s v="Kučera"/>
    <x v="73"/>
    <m/>
    <m/>
    <s v="podepsaná smlouva"/>
    <s v="45000000-7"/>
    <m/>
    <n v="85000000"/>
    <x v="0"/>
    <d v="2022-11-16T00:00:00"/>
    <d v="2023-01-11T00:00:00"/>
    <d v="2023-01-25T00:00:00"/>
    <s v="OHLA ŽS, a.s."/>
    <m/>
    <n v="83765147.150000006"/>
    <n v="101355828.05"/>
    <m/>
    <m/>
    <m/>
    <d v="2023-01-25T00:00:00"/>
    <s v="SMLN-2023-618-000002"/>
    <x v="44"/>
  </r>
  <r>
    <d v="2022-11-08T00:00:00"/>
    <s v="VZ-2022-001245"/>
    <x v="3"/>
    <s v="Olejníček"/>
    <s v="Staňková"/>
    <x v="74"/>
    <m/>
    <m/>
    <s v="podepsaná smlouva"/>
    <s v="33123000-8"/>
    <m/>
    <n v="1999500"/>
    <x v="2"/>
    <d v="2022-11-18T00:00:00"/>
    <d v="2022-11-29T00:00:00"/>
    <d v="2022-12-07T00:00:00"/>
    <s v="BTL zdravotnická technika, a.s."/>
    <m/>
    <n v="1570600"/>
    <n v="1900426"/>
    <m/>
    <m/>
    <m/>
    <d v="2022-12-07T00:00:00"/>
    <s v="SMLN-2022-617-000844_x000a_SMLN-2022-612-000225"/>
    <x v="45"/>
  </r>
  <r>
    <d v="2022-11-09T00:00:00"/>
    <s v="VZ-2022-001256"/>
    <x v="2"/>
    <s v="Dočkalová"/>
    <s v="Přikrylová"/>
    <x v="75"/>
    <m/>
    <m/>
    <s v="podepsaná smlouva"/>
    <s v="33162200-5"/>
    <m/>
    <n v="506580"/>
    <x v="0"/>
    <d v="2022-11-28T00:00:00"/>
    <d v="2023-01-18T00:00:00"/>
    <d v="2023-02-14T00:00:00"/>
    <s v="Fénix Brno, spol. s r.o."/>
    <m/>
    <n v="499971.6"/>
    <n v="604965.64"/>
    <m/>
    <m/>
    <m/>
    <d v="2023-02-14T00:00:00"/>
    <s v="SMLN-2023-617-000095"/>
    <x v="46"/>
  </r>
  <r>
    <d v="2022-11-09T00:00:00"/>
    <s v="VZ-2022-001266"/>
    <x v="9"/>
    <s v="Zemánek"/>
    <s v="Kučera"/>
    <x v="76"/>
    <m/>
    <m/>
    <s v="podepsaná smlouva"/>
    <s v="50421000-2"/>
    <m/>
    <n v="27200000"/>
    <x v="0"/>
    <d v="2022-12-02T00:00:00"/>
    <d v="2023-01-02T00:00:00"/>
    <d v="2023-01-20T00:00:00"/>
    <s v="GE Medical Systems Česká republika, s.r.o."/>
    <m/>
    <n v="27592336"/>
    <n v="33386726.559999999"/>
    <m/>
    <m/>
    <m/>
    <d v="2023-01-20T00:00:00"/>
    <s v="SMLN-2023-612-000013"/>
    <x v="4"/>
  </r>
  <r>
    <d v="2022-11-11T00:00:00"/>
    <s v="VZ-2022-001267"/>
    <x v="10"/>
    <s v="Kadlec"/>
    <s v="Štýbnarová"/>
    <x v="77"/>
    <m/>
    <m/>
    <s v="podepsaná smlouva"/>
    <s v="45261910-6"/>
    <m/>
    <n v="5500000"/>
    <x v="2"/>
    <d v="2022-11-16T00:00:00"/>
    <d v="2022-11-24T00:00:00"/>
    <d v="2022-12-06T00:00:00"/>
    <s v="W.H.A. systém, spol.  s r.o."/>
    <m/>
    <n v="2899000"/>
    <n v="3507790"/>
    <m/>
    <m/>
    <m/>
    <d v="2022-12-06T00:00:00"/>
    <s v="SMLN-2022-618-000073"/>
    <x v="14"/>
  </r>
  <r>
    <d v="2022-11-18T00:00:00"/>
    <s v="VZ-2022-001282"/>
    <x v="5"/>
    <s v="Pavela"/>
    <s v="Kučera"/>
    <x v="78"/>
    <m/>
    <m/>
    <s v="podepsaná smlouva"/>
    <s v="71000000-8"/>
    <m/>
    <n v="15000000"/>
    <x v="0"/>
    <d v="2022-11-30T00:00:00"/>
    <d v="2023-01-04T00:00:00"/>
    <d v="2023-01-25T00:00:00"/>
    <s v="LT PROJEKT a.s."/>
    <m/>
    <n v="12241000"/>
    <n v="14811610"/>
    <m/>
    <m/>
    <m/>
    <d v="2023-01-25T00:00:00"/>
    <s v="SMLN-2023-618-000003"/>
    <x v="47"/>
  </r>
  <r>
    <d v="2022-11-21T00:00:00"/>
    <s v="VZ-2022-001286"/>
    <x v="3"/>
    <s v="Olejníček"/>
    <s v="Štýbnarová"/>
    <x v="79"/>
    <m/>
    <m/>
    <s v="podepsaná smlouva"/>
    <s v="33161000-6"/>
    <s v="2.2.455."/>
    <n v="487087"/>
    <x v="2"/>
    <d v="2022-11-23T00:00:00"/>
    <d v="2022-12-01T00:00:00"/>
    <d v="2022-12-12T00:00:00"/>
    <s v="Surgipa Medical, spol. s r.o."/>
    <m/>
    <n v="478746.7"/>
    <n v="579283.51"/>
    <m/>
    <m/>
    <m/>
    <d v="2022-12-12T00:00:00"/>
    <s v="SMLN-2022-617-000859_x000a_SMLN-2022-612-000229"/>
    <x v="14"/>
  </r>
  <r>
    <d v="2022-11-21T00:00:00"/>
    <s v="VZ-2022-001288-01"/>
    <x v="2"/>
    <s v="Valtová"/>
    <s v="Zdražilová"/>
    <x v="80"/>
    <n v="1"/>
    <s v="Rigidní dlaha pro stabilizaci dolní krční páteře předním přístupem bikortikálně a monokortikálně"/>
    <s v="podepsaná smlouva"/>
    <s v="33140000–3"/>
    <m/>
    <n v="4746000"/>
    <x v="0"/>
    <d v="2022-11-25T00:00:00"/>
    <d v="2023-01-06T00:00:00"/>
    <d v="2023-01-27T00:00:00"/>
    <s v="BoneCare s.r.o."/>
    <m/>
    <n v="3546000"/>
    <n v="4077900"/>
    <m/>
    <m/>
    <m/>
    <d v="2023-01-27T00:00:00"/>
    <s v="SMLN-2023-617-000058_x000a_SMLN-2023-614-000004_x000a_SMLN-2023-616-000005"/>
    <x v="44"/>
  </r>
  <r>
    <d v="2022-11-21T00:00:00"/>
    <s v="VZ-2022-001288-02"/>
    <x v="2"/>
    <s v="Valtová"/>
    <s v="Zdražilová"/>
    <x v="80"/>
    <n v="2"/>
    <s v="Fúzní náhrada krční meziobratlové ploténky"/>
    <s v="podepsaná smlouva"/>
    <s v="33140000–3"/>
    <m/>
    <n v="17280000"/>
    <x v="0"/>
    <d v="2022-11-25T00:00:00"/>
    <d v="2023-01-06T00:00:00"/>
    <d v="2023-01-27T00:00:00"/>
    <s v="BoneCare s.r.o."/>
    <m/>
    <n v="17280000"/>
    <n v="19872000"/>
    <m/>
    <m/>
    <m/>
    <d v="2023-01-27T00:00:00"/>
    <s v="SMLN-2023-617-000059_x000a_SMLN-2023-614-000005_x000a_SMLN-2023-616-000006"/>
    <x v="44"/>
  </r>
  <r>
    <d v="2022-11-21T00:00:00"/>
    <s v="VZ-2022-001288-03"/>
    <x v="2"/>
    <s v="Valtová"/>
    <s v="Zdražilová"/>
    <x v="80"/>
    <n v="3"/>
    <s v="Fúzní systém pro zadní stabilizaci krční páteře a okcipito-cervikální fixaci"/>
    <s v="podepsaná smlouva"/>
    <s v="33140000–3"/>
    <m/>
    <n v="2251680"/>
    <x v="0"/>
    <d v="2022-11-25T00:00:00"/>
    <d v="2023-01-06T00:00:00"/>
    <d v="2023-01-27T00:00:00"/>
    <s v="Johnson &amp; Johnson, s.r.o."/>
    <m/>
    <n v="1950000"/>
    <n v="2242500"/>
    <m/>
    <m/>
    <m/>
    <d v="2023-01-27T00:00:00"/>
    <s v="SMLN-2023-617-000060_x000a_SMLN-2023-614-000006_x000a_SMLN-2023-616-000007"/>
    <x v="44"/>
  </r>
  <r>
    <d v="2022-11-21T00:00:00"/>
    <s v="VZ-2022-001288-04"/>
    <x v="2"/>
    <s v="Valtová"/>
    <s v="Zdražilová"/>
    <x v="80"/>
    <n v="4"/>
    <s v="Fúzní náhrada bederní meziobratlové ploténky z předního přístupu (ALIF)"/>
    <s v="podepsaná smlouva"/>
    <s v="33140000-3"/>
    <m/>
    <n v="2388000"/>
    <x v="0"/>
    <d v="2022-11-25T00:00:00"/>
    <d v="2023-01-06T00:00:00"/>
    <d v="2023-01-27T00:00:00"/>
    <s v="BoneCare s.r.o."/>
    <m/>
    <n v="2388000"/>
    <n v="2746200"/>
    <m/>
    <m/>
    <m/>
    <d v="2023-01-27T00:00:00"/>
    <s v="SMLN-2023-617-000061_x000a_SMLN-2023-614-000007_x000a_SMLN-2023-616-000008"/>
    <x v="44"/>
  </r>
  <r>
    <d v="2022-11-21T00:00:00"/>
    <s v="VZ-2022-001288-05"/>
    <x v="2"/>
    <s v="Valtová"/>
    <s v="Zdražilová"/>
    <x v="80"/>
    <n v="5"/>
    <s v="Fúzní náhrada bederní meziobratlové ploténky expandibilní z bočního přístupu (LLIF, XLIF)"/>
    <s v="podepsaná smlouva"/>
    <s v="33140000-3"/>
    <m/>
    <n v="2350000"/>
    <x v="0"/>
    <d v="2022-11-25T00:00:00"/>
    <d v="2023-01-06T00:00:00"/>
    <d v="2023-01-27T00:00:00"/>
    <s v="BoneCare s.r.o."/>
    <m/>
    <n v="2350000"/>
    <n v="2702500"/>
    <m/>
    <m/>
    <m/>
    <d v="2023-01-27T00:00:00"/>
    <s v="SMLN-2023-617-000062_x000a_SMLN-2023-614-000008_x000a_SMLN-2023-616-000009"/>
    <x v="44"/>
  </r>
  <r>
    <d v="2022-11-21T00:00:00"/>
    <s v="VZ-2022-001288-06"/>
    <x v="2"/>
    <s v="Valtová"/>
    <s v="Zdražilová"/>
    <x v="80"/>
    <n v="6"/>
    <s v="Fúzní náhrada bederní meziobratlové ploténky expandibilní ze zadního přístupu páteřním kanálem (PLIF)"/>
    <s v="podepsaná smlouva"/>
    <s v="33140000-3"/>
    <m/>
    <n v="3412500"/>
    <x v="0"/>
    <d v="2022-11-25T00:00:00"/>
    <d v="2023-01-06T00:00:00"/>
    <d v="2023-01-27T00:00:00"/>
    <s v="BoneCare s.r.o."/>
    <m/>
    <n v="3412500"/>
    <n v="3924375"/>
    <m/>
    <m/>
    <m/>
    <d v="2023-01-27T00:00:00"/>
    <s v="SMLN-2023-617-000063_x000a_SMLN-2023-614-000009_x000a_SMLN-2023-616-000010"/>
    <x v="44"/>
  </r>
  <r>
    <d v="2022-11-21T00:00:00"/>
    <s v="VZ-2022-001288-07"/>
    <x v="2"/>
    <s v="Valtová"/>
    <s v="Zdražilová"/>
    <x v="80"/>
    <n v="7"/>
    <s v="Fúzní systém pro transpedikulární stabilizaci bederní páteře u degenerativních onemocnění s možností repozice olistézy (translačního posunu)"/>
    <s v="podepsaná smlouva"/>
    <s v="33140000-3"/>
    <m/>
    <n v="21800000"/>
    <x v="0"/>
    <d v="2022-11-25T00:00:00"/>
    <d v="2023-01-06T00:00:00"/>
    <d v="2023-01-27T00:00:00"/>
    <s v="BoneCare s.r.o."/>
    <m/>
    <n v="20780000"/>
    <n v="23897000"/>
    <m/>
    <m/>
    <m/>
    <d v="2023-01-27T00:00:00"/>
    <s v="SMLN-2023-617-000064_x000a_SMLN-2023-614-000010_x000a_SMLN-2023-616-000011"/>
    <x v="44"/>
  </r>
  <r>
    <d v="2022-11-21T00:00:00"/>
    <s v="VZ-2022-001288-08"/>
    <x v="2"/>
    <s v="Valtová"/>
    <s v="Zdražilová"/>
    <x v="80"/>
    <n v="8"/>
    <s v="Fúzní systém pro transpedikulární stabilizaci hrudní a bederní páteře u traumat"/>
    <s v="podepsaná smlouva"/>
    <s v="33140000-3"/>
    <m/>
    <n v="1720000"/>
    <x v="0"/>
    <d v="2022-11-25T00:00:00"/>
    <d v="2023-01-06T00:00:00"/>
    <d v="2023-01-27T00:00:00"/>
    <s v="BoneCare s.r.o."/>
    <m/>
    <n v="1456000"/>
    <n v="1674400"/>
    <m/>
    <m/>
    <m/>
    <d v="2023-01-27T00:00:00"/>
    <s v="SMLN-2023-617-000065_x000a_SMLN-2023-614-000011_x000a_SMLN-2023-616-000012"/>
    <x v="1"/>
  </r>
  <r>
    <d v="2022-11-21T00:00:00"/>
    <s v="VZ-2022-001288-09"/>
    <x v="2"/>
    <s v="Valtová"/>
    <s v="Zdražilová"/>
    <x v="80"/>
    <n v="9"/>
    <s v="Fúzní systém pro transpedikulární stabilizaci hrudní a bederní páteře u osteoporotické páteře s možností aplikace cementu šroubem"/>
    <s v="podepsaná smlouva"/>
    <s v="33140000-3"/>
    <m/>
    <n v="2184000"/>
    <x v="0"/>
    <d v="2022-11-25T00:00:00"/>
    <d v="2023-01-06T00:00:00"/>
    <d v="2023-01-27T00:00:00"/>
    <s v="BoneCare s.r.o."/>
    <m/>
    <n v="2180400"/>
    <n v="2507460"/>
    <m/>
    <m/>
    <m/>
    <d v="2023-01-27T00:00:00"/>
    <s v="SMLN-2023-617-000066_x000a_SMLN-2023-614-000012_x000a_SMLN-2023-616-000013"/>
    <x v="1"/>
  </r>
  <r>
    <d v="2022-11-21T00:00:00"/>
    <s v="VZ-2022-001288-10"/>
    <x v="2"/>
    <s v="Valtová"/>
    <s v="Zdražilová"/>
    <x v="80"/>
    <n v="10"/>
    <s v="Vertebroplastická sada k perkutánní vertebroplastice hrudního a bederního obratle cementem"/>
    <s v="podepsaná smlouva"/>
    <s v="33140000-3"/>
    <m/>
    <n v="2260000"/>
    <x v="0"/>
    <d v="2022-11-25T00:00:00"/>
    <d v="2023-01-06T00:00:00"/>
    <d v="2023-01-27T00:00:00"/>
    <s v="Johnson &amp; Johnson, s.r.o."/>
    <m/>
    <n v="2260000"/>
    <n v="2626600"/>
    <m/>
    <m/>
    <m/>
    <d v="2023-01-27T00:00:00"/>
    <s v="SMLN-2023-617-000067_x000a_SMLN-2023-614-000013"/>
    <x v="44"/>
  </r>
  <r>
    <d v="2022-11-21T00:00:00"/>
    <s v="VZ-2022-001288-11"/>
    <x v="2"/>
    <s v="Valtová"/>
    <s v="Zdražilová"/>
    <x v="80"/>
    <n v="11"/>
    <s v="Fúzní systém pro stabilizaci sakro-iliakálního (SI) skloubení"/>
    <s v="podepsaná smlouva"/>
    <s v="33140000-3"/>
    <m/>
    <n v="4140000"/>
    <x v="0"/>
    <d v="2022-11-25T00:00:00"/>
    <d v="2023-01-06T00:00:00"/>
    <d v="2023-01-27T00:00:00"/>
    <s v="SpineMedical s.r.o."/>
    <m/>
    <n v="4140000"/>
    <n v="4761000"/>
    <m/>
    <m/>
    <m/>
    <d v="2023-01-27T00:00:00"/>
    <s v="SMLN-2023-617-000068_x000a_SMLN-2023-614-000014_x000a_SMLN-2023-616-000014"/>
    <x v="48"/>
  </r>
  <r>
    <d v="2022-11-21T00:00:00"/>
    <s v="VZ-2022-001288-12"/>
    <x v="2"/>
    <s v="Valtová"/>
    <s v="Zdražilová"/>
    <x v="80"/>
    <n v="12"/>
    <s v="Expandibilní náhrada obratlového těla hrudní a bederní páteře"/>
    <s v="podepsaná smlouva"/>
    <s v="33140000-3"/>
    <m/>
    <n v="4504700"/>
    <x v="0"/>
    <d v="2022-11-25T00:00:00"/>
    <d v="2023-01-06T00:00:00"/>
    <d v="2023-01-27T00:00:00"/>
    <s v="BoneCare s.r.o."/>
    <m/>
    <n v="4504200"/>
    <n v="5179830"/>
    <m/>
    <m/>
    <m/>
    <d v="2023-01-27T00:00:00"/>
    <s v="SMLN-2023-617-000069_x000a_SMLN-2023-614-000015_x000a_SMLN-2023-616-000015"/>
    <x v="44"/>
  </r>
  <r>
    <d v="2022-11-21T00:00:00"/>
    <s v="VZ-2022-001288-13"/>
    <x v="2"/>
    <s v="Valtová"/>
    <s v="Zdražilová"/>
    <x v="80"/>
    <n v="13"/>
    <s v="Náhrada obratlového těla krční páteře"/>
    <s v="podepsaná smlouva"/>
    <s v="33140000-3"/>
    <m/>
    <n v="3504160"/>
    <x v="0"/>
    <d v="2022-11-25T00:00:00"/>
    <d v="2023-01-06T00:00:00"/>
    <d v="2023-01-27T00:00:00"/>
    <s v="BoneCare s.r.o."/>
    <m/>
    <n v="3473600"/>
    <n v="3994640"/>
    <m/>
    <m/>
    <m/>
    <d v="2023-01-27T00:00:00"/>
    <s v="SMLN-2023-617-000070_x000a_SMLN-2023-614-000016_x000a_SMLN-2023-616-000016"/>
    <x v="44"/>
  </r>
  <r>
    <d v="2022-11-21T00:00:00"/>
    <s v="VZ-2022-001290"/>
    <x v="2"/>
    <s v="Dočkalová"/>
    <s v="Staňková"/>
    <x v="81"/>
    <m/>
    <m/>
    <s v="podepsaná smlouva"/>
    <s v="33140000-3"/>
    <m/>
    <n v="529200"/>
    <x v="2"/>
    <d v="2022-11-25T00:00:00"/>
    <d v="2022-12-08T00:00:00"/>
    <d v="2022-12-15T00:00:00"/>
    <s v="Laparotech Instruments s.r.o."/>
    <m/>
    <n v="529200"/>
    <n v="640332"/>
    <m/>
    <m/>
    <m/>
    <d v="2022-12-15T00:00:00"/>
    <s v="SMLN-2022-617-000866"/>
    <x v="17"/>
  </r>
  <r>
    <d v="2022-11-22T00:00:00"/>
    <s v="VZ-2022-001299"/>
    <x v="3"/>
    <s v="Olejníček"/>
    <s v="Štýbnarová"/>
    <x v="82"/>
    <m/>
    <m/>
    <s v="podepsaná smlouva"/>
    <s v="38434570-2"/>
    <s v="2.2.511."/>
    <n v="492000"/>
    <x v="2"/>
    <d v="2022-11-24T00:00:00"/>
    <d v="2022-12-02T00:00:00"/>
    <d v="2022-12-15T00:00:00"/>
    <s v="MEDISTA spol. s r.o."/>
    <m/>
    <n v="411280.32"/>
    <n v="497649.19"/>
    <m/>
    <m/>
    <m/>
    <d v="2022-12-15T00:00:00"/>
    <s v="SMLN-2022-617-000867_x000a_SMLN-2022-612-000231_x000a_SMLN-2022-617-000868"/>
    <x v="14"/>
  </r>
  <r>
    <d v="2022-11-23T00:00:00"/>
    <s v="VZ-2022-001302"/>
    <x v="2"/>
    <s v="Dočkalová"/>
    <s v="Zdražilová"/>
    <x v="83"/>
    <m/>
    <m/>
    <s v="podepsaná smlouva"/>
    <s v="33140000-3"/>
    <m/>
    <n v="2589000"/>
    <x v="1"/>
    <d v="2022-11-29T00:00:00"/>
    <d v="2022-12-16T00:00:00"/>
    <d v="2023-01-05T00:00:00"/>
    <s v="ADYTON s.r.o."/>
    <m/>
    <n v="2589000"/>
    <n v="2977350"/>
    <m/>
    <m/>
    <m/>
    <d v="2023-01-05T00:00:00"/>
    <s v="SMLN-2023-617-000010"/>
    <x v="13"/>
  </r>
  <r>
    <d v="2022-11-23T00:00:00"/>
    <s v="VZ-2022-001304"/>
    <x v="3"/>
    <s v="Olejníček"/>
    <s v="Štýbnarová"/>
    <x v="84"/>
    <m/>
    <m/>
    <s v="podepsaná smlouva"/>
    <s v="42912330-4"/>
    <s v="2.2.512."/>
    <n v="300000"/>
    <x v="2"/>
    <d v="2022-11-28T00:00:00"/>
    <d v="2022-12-06T00:00:00"/>
    <d v="2022-12-22T00:00:00"/>
    <s v="Fresenius Medical Care - ČR, s.r.o."/>
    <m/>
    <n v="239620"/>
    <n v="289940.2"/>
    <m/>
    <m/>
    <m/>
    <d v="2022-12-22T00:00:00"/>
    <s v="SMLN-2022-617-000891_x000a_SMLN-2022-612-000236"/>
    <x v="9"/>
  </r>
  <r>
    <d v="2022-11-23T00:00:00"/>
    <s v="VZ-2022-001305"/>
    <x v="2"/>
    <s v="Valtová"/>
    <s v="Zdražilová"/>
    <x v="85"/>
    <m/>
    <m/>
    <s v="podepsaná smlouva"/>
    <s v="33140000-3"/>
    <m/>
    <n v="4850000"/>
    <x v="0"/>
    <d v="2022-12-01T00:00:00"/>
    <d v="2023-02-13T00:00:00"/>
    <d v="2023-02-22T00:00:00"/>
    <s v="Medtronic Czechia s.r.o."/>
    <m/>
    <n v="4850000"/>
    <n v="5868500"/>
    <m/>
    <m/>
    <m/>
    <d v="2023-02-22T00:00:00"/>
    <s v="SMLN-2023-617-000112_x000a_SMLN-2023-614-000021"/>
    <x v="49"/>
  </r>
  <r>
    <d v="2022-11-23T00:00:00"/>
    <s v="VZ-2022-001307"/>
    <x v="2"/>
    <s v="Dočkalová"/>
    <s v="Přikrylová"/>
    <x v="86"/>
    <m/>
    <m/>
    <s v="podepsaná smlouva"/>
    <s v="33194100-7"/>
    <m/>
    <n v="2900000"/>
    <x v="1"/>
    <d v="2022-11-28T00:00:00"/>
    <d v="2023-01-16T00:00:00"/>
    <d v="2023-03-03T00:00:00"/>
    <s v="ADVAMED s.r.o."/>
    <m/>
    <n v="2899840"/>
    <n v="3336676"/>
    <m/>
    <m/>
    <m/>
    <d v="2023-03-03T00:00:00"/>
    <s v="SMLN-2023-617-000131"/>
    <x v="50"/>
  </r>
  <r>
    <d v="2022-11-23T00:00:00"/>
    <s v="VZ-2022-001308"/>
    <x v="9"/>
    <s v="Zemánek"/>
    <s v="Štýbnarová"/>
    <x v="87"/>
    <m/>
    <m/>
    <s v="podepsaná smlouva"/>
    <s v="50400000-9"/>
    <m/>
    <n v="420000"/>
    <x v="2"/>
    <d v="2022-12-02T00:00:00"/>
    <d v="2022-12-13T00:00:00"/>
    <d v="2022-12-22T00:00:00"/>
    <s v="ROCHE s.r.o."/>
    <m/>
    <n v="472000"/>
    <n v="571120"/>
    <m/>
    <m/>
    <m/>
    <d v="2022-12-22T00:00:00"/>
    <s v="SMLN-2022-612-000234"/>
    <x v="15"/>
  </r>
  <r>
    <d v="2022-11-24T00:00:00"/>
    <s v="VZ-2022-001313"/>
    <x v="2"/>
    <s v="Dočkalová"/>
    <s v="Přikrylová"/>
    <x v="88"/>
    <m/>
    <m/>
    <s v="podepsaná smlouva"/>
    <s v="33162200-5"/>
    <m/>
    <n v="20034600"/>
    <x v="0"/>
    <d v="2022-12-16T00:00:00"/>
    <d v="2023-01-18T00:00:00"/>
    <d v="2023-02-16T00:00:00"/>
    <s v="Johnson &amp; Johnson, s.r.o."/>
    <m/>
    <n v="19960447"/>
    <n v="24152140.870000001"/>
    <m/>
    <m/>
    <m/>
    <d v="2023-02-16T00:00:00"/>
    <s v="SMLN-2023-617-000102_x000a_SMLN-2023-617-000103_x000a_SMLN-2023-614-000019"/>
    <x v="51"/>
  </r>
  <r>
    <d v="2022-11-24T00:00:00"/>
    <s v="VZ-2022-001314-01"/>
    <x v="2"/>
    <s v="Valtová"/>
    <s v="Přikrylová"/>
    <x v="89"/>
    <n v="1"/>
    <s v="1. Zavaděč - sety pro radiální přístup 5F a 6F (sheathy)"/>
    <s v="podepsaná smlouva"/>
    <s v="33140000-3"/>
    <m/>
    <n v="4292500"/>
    <x v="0"/>
    <d v="2023-01-03T00:00:00"/>
    <d v="2023-02-20T00:00:00"/>
    <d v="2023-03-27T00:00:00"/>
    <s v="Innova Medical s.r.o."/>
    <m/>
    <n v="4292500"/>
    <n v="5193925"/>
    <m/>
    <m/>
    <m/>
    <d v="2023-03-27T00:00:00"/>
    <s v="SMLN-2023-617-100045_x000a_SMLN-2023-614-100001"/>
    <x v="42"/>
  </r>
  <r>
    <d v="2022-11-24T00:00:00"/>
    <s v="VZ-2022-001314-02"/>
    <x v="2"/>
    <s v="Valtová"/>
    <s v="Přikrylová"/>
    <x v="89"/>
    <n v="2"/>
    <s v="3. Diagnostické katetry angiografické koronární - Katetry 5F a 6F"/>
    <s v="podepsaná smlouva"/>
    <s v="33140000-3"/>
    <m/>
    <n v="248000"/>
    <x v="0"/>
    <d v="2023-01-03T00:00:00"/>
    <d v="2023-02-20T00:00:00"/>
    <d v="2023-03-27T00:00:00"/>
    <s v="Innova Medical s.r.o."/>
    <m/>
    <n v="248000"/>
    <n v="300080"/>
    <m/>
    <m/>
    <m/>
    <d v="2023-03-27T00:00:00"/>
    <s v="SMLN-2023-617-100046_x000a_SMLN-2023-614-100002"/>
    <x v="52"/>
  </r>
  <r>
    <d v="2022-11-24T00:00:00"/>
    <s v="VZ-2022-001314-03"/>
    <x v="2"/>
    <s v="Valtová"/>
    <s v="Přikrylová"/>
    <x v="89"/>
    <n v="3"/>
    <s v="4. Diagnostické katetry angiografické koronární - Diagnostické radiální katetry  5F dedikované pro oboustrannou katetrizaci"/>
    <s v="podepsaná smlouva"/>
    <s v="33140000-3"/>
    <m/>
    <n v="6435000"/>
    <x v="0"/>
    <d v="2023-01-03T00:00:00"/>
    <d v="2023-02-20T00:00:00"/>
    <d v="2023-03-27T00:00:00"/>
    <s v="Innova Medical s.r.o."/>
    <m/>
    <n v="6435000"/>
    <n v="7786350"/>
    <m/>
    <m/>
    <m/>
    <d v="2023-03-27T00:00:00"/>
    <s v="SMLN-2023-617-100047_x000a_SMLN-2023-614-100003"/>
    <x v="42"/>
  </r>
  <r>
    <d v="2022-11-24T00:00:00"/>
    <s v="VZ-2022-001314-04"/>
    <x v="2"/>
    <s v="Valtová"/>
    <s v="Přikrylová"/>
    <x v="89"/>
    <n v="4"/>
    <s v="7. Koronární (PTCA) vodiče - vodiče pro komplexní vinuté léze"/>
    <s v="podepsaná smlouva"/>
    <s v="33140000-3"/>
    <m/>
    <n v="1895000"/>
    <x v="0"/>
    <d v="2023-01-03T00:00:00"/>
    <d v="2023-02-20T00:00:00"/>
    <d v="2023-03-27T00:00:00"/>
    <s v="Innova Medical s.r.o."/>
    <m/>
    <n v="1895000"/>
    <n v="2292950"/>
    <m/>
    <m/>
    <m/>
    <d v="2023-03-27T00:00:00"/>
    <s v="SMLN-2023-617-100048_x000a_SMLN-2023-614-100004"/>
    <x v="42"/>
  </r>
  <r>
    <d v="2022-11-24T00:00:00"/>
    <s v="VZ-2022-001314-05"/>
    <x v="2"/>
    <s v="Valtová"/>
    <s v="Přikrylová"/>
    <x v="89"/>
    <n v="5"/>
    <s v="14. Aspirační katetry"/>
    <s v="podepsaná smlouva"/>
    <s v="33140000-3"/>
    <m/>
    <n v="1525000"/>
    <x v="0"/>
    <d v="2023-01-03T00:00:00"/>
    <d v="2023-02-20T00:00:00"/>
    <d v="2023-03-27T00:00:00"/>
    <s v="Mediform, spol. s r.o."/>
    <m/>
    <n v="1495000"/>
    <n v="1808950"/>
    <m/>
    <m/>
    <m/>
    <d v="2023-03-27T00:00:00"/>
    <s v="SMLN-2023-617-100049_x000a_SMLN-2023-614-100005"/>
    <x v="32"/>
  </r>
  <r>
    <s v="opakovaná VZ"/>
    <s v="VZ-2022-001314-06"/>
    <x v="2"/>
    <s v="Valtová"/>
    <s v="Přikrylová"/>
    <x v="89"/>
    <n v="6"/>
    <s v="12.1. Vodící katetry - 6F - standardní"/>
    <s v="podepsaná smlouva"/>
    <s v="33140000-3"/>
    <m/>
    <n v="2736000"/>
    <x v="0"/>
    <d v="2023-01-03T00:00:00"/>
    <d v="2023-02-20T00:00:00"/>
    <d v="2023-03-27T00:00:00"/>
    <s v="Medtronic Czechia s.r.o."/>
    <m/>
    <n v="2584000"/>
    <n v="3126640"/>
    <m/>
    <m/>
    <m/>
    <d v="2023-03-27T00:00:00"/>
    <s v="SMLN-2023-617-100050_x000a_SMLN-2023-614-100006"/>
    <x v="53"/>
  </r>
  <r>
    <s v="opakovaná VZ"/>
    <s v="VZ-2022-001314-07"/>
    <x v="2"/>
    <s v="Valtová"/>
    <s v="Přikrylová"/>
    <x v="89"/>
    <n v="7"/>
    <s v="12.2.Vodící katetry – 6F – s prodlouženým atraumatickým tipem"/>
    <s v="podepsaná smlouva"/>
    <s v="33140000-3"/>
    <m/>
    <n v="1200000"/>
    <x v="0"/>
    <d v="2023-01-03T00:00:00"/>
    <d v="2023-02-20T00:00:00"/>
    <d v="2023-03-27T00:00:00"/>
    <s v="Innova Medical s.r.o."/>
    <m/>
    <n v="1200000"/>
    <n v="1452000"/>
    <m/>
    <m/>
    <m/>
    <d v="2023-03-27T00:00:00"/>
    <s v="SMLN-2023-617-100051_x000a_SMLN-2023-614-100007"/>
    <x v="52"/>
  </r>
  <r>
    <s v="opakovaná VZ"/>
    <s v="VZ-2022-001314-08"/>
    <x v="2"/>
    <s v="Valtová"/>
    <s v="Přikrylová"/>
    <x v="89"/>
    <n v="8"/>
    <s v="12.3. Vodící katetry - 6F  - se zvýšenou oporou"/>
    <s v="podepsaná smlouva"/>
    <s v="33140000-3"/>
    <m/>
    <n v="1440000"/>
    <x v="0"/>
    <d v="2023-01-03T00:00:00"/>
    <d v="2023-02-20T00:00:00"/>
    <d v="2023-03-27T00:00:00"/>
    <s v="Medtronic Czechia s.r.o."/>
    <m/>
    <n v="816000"/>
    <n v="987360"/>
    <m/>
    <m/>
    <m/>
    <d v="2023-03-27T00:00:00"/>
    <s v="SMLN-2023-617-100052_x000a_SMLN-2023-614-100008"/>
    <x v="53"/>
  </r>
  <r>
    <s v="opakovaná VZ"/>
    <s v="VZ-2022-001314-09"/>
    <x v="2"/>
    <s v="Valtová"/>
    <s v="Přikrylová"/>
    <x v="89"/>
    <n v="9"/>
    <s v="Mikrokatétr koronární Supercross"/>
    <s v="podepsaná smlouva"/>
    <s v="33140000-3"/>
    <m/>
    <n v="1249587"/>
    <x v="0"/>
    <d v="2023-01-03T00:00:00"/>
    <d v="2023-02-20T00:00:00"/>
    <d v="2023-03-27T00:00:00"/>
    <s v="Teleflex Medical s.r.o."/>
    <m/>
    <n v="1309091.1299999999"/>
    <n v="1584000.27"/>
    <m/>
    <m/>
    <m/>
    <d v="2023-03-27T00:00:00"/>
    <s v="SMLN-2023-617-100053"/>
    <x v="32"/>
  </r>
  <r>
    <s v="opakovaná VZ"/>
    <s v="VZ-2022-001335"/>
    <x v="3"/>
    <s v="Olejníček"/>
    <s v="Zdražilová"/>
    <x v="90"/>
    <m/>
    <m/>
    <s v="podepsaná smlouva"/>
    <s v="33124200-7"/>
    <m/>
    <n v="290000"/>
    <x v="0"/>
    <d v="2022-12-01T00:00:00"/>
    <d v="2023-01-04T00:00:00"/>
    <d v="2023-02-10T00:00:00"/>
    <s v="PRODENTA s.r.o."/>
    <m/>
    <n v="344900"/>
    <n v="417329"/>
    <m/>
    <m/>
    <m/>
    <d v="2023-02-10T00:00:00"/>
    <s v="SMLN-2023-617-000094_x000a_SMLN-2023-612-000018"/>
    <x v="50"/>
  </r>
  <r>
    <d v="2022-11-28T00:00:00"/>
    <s v="VZ-2022-001336"/>
    <x v="2"/>
    <s v="Dočkalová"/>
    <s v="Přikrylová"/>
    <x v="91"/>
    <m/>
    <m/>
    <s v="podepsaná smlouva"/>
    <s v="33162200-5"/>
    <m/>
    <n v="1096600"/>
    <x v="0"/>
    <d v="2022-12-02T00:00:00"/>
    <d v="2023-01-05T00:00:00"/>
    <d v="2023-02-02T00:00:00"/>
    <s v="RADIX CZ s.r.o."/>
    <m/>
    <n v="1092074"/>
    <n v="1321409.54"/>
    <m/>
    <m/>
    <m/>
    <d v="2023-02-02T00:00:00"/>
    <s v="SMLN-2023-617-000080"/>
    <x v="21"/>
  </r>
  <r>
    <d v="2022-11-30T00:00:00"/>
    <s v="VZ-2022-001338"/>
    <x v="3"/>
    <s v="Olejníček"/>
    <s v="Štýbnarová"/>
    <x v="92"/>
    <m/>
    <m/>
    <s v="podepsaná smlouva"/>
    <s v="33194100-7"/>
    <s v="2.3.689."/>
    <n v="166400"/>
    <x v="2"/>
    <d v="2022-12-01T00:00:00"/>
    <d v="2022-12-09T00:00:00"/>
    <d v="2023-01-18T00:00:00"/>
    <s v="Mediset-Chironax s.r.o."/>
    <m/>
    <n v="151740"/>
    <n v="183605.4"/>
    <m/>
    <m/>
    <m/>
    <d v="2023-01-18T00:00:00"/>
    <s v="SMLN-2023-617-000048_x000a_SMLN-2023-612-000010"/>
    <x v="44"/>
  </r>
  <r>
    <d v="2022-11-30T00:00:00"/>
    <s v="VZ-2022-001339"/>
    <x v="3"/>
    <s v="Olejníček"/>
    <s v="Zdražilová"/>
    <x v="93"/>
    <m/>
    <m/>
    <s v="podepsaná smlouva"/>
    <s v="33169100-3"/>
    <s v="2.3.685."/>
    <n v="31962689"/>
    <x v="0"/>
    <d v="2022-12-13T00:00:00"/>
    <d v="2023-01-18T00:00:00"/>
    <d v="2023-02-15T00:00:00"/>
    <s v="GioMed Group s.r.o."/>
    <m/>
    <n v="31962688.800000001"/>
    <n v="38674853.450000003"/>
    <m/>
    <m/>
    <m/>
    <d v="2023-02-15T00:00:00"/>
    <s v="SMLN-2023-617-000099_x000a_SMLN-2023-612-000021_x000a_SMLN-2023-617-000100_x000a_SMLN-2023-614-000020"/>
    <x v="50"/>
  </r>
  <r>
    <d v="2022-11-23T00:00:00"/>
    <s v="VZ-2022-001342"/>
    <x v="5"/>
    <s v="Langer"/>
    <s v="Kučera"/>
    <x v="94"/>
    <m/>
    <m/>
    <s v="podepsaná smlouva"/>
    <s v="71000000-8 "/>
    <m/>
    <n v="7500000"/>
    <x v="0"/>
    <d v="2022-12-14T00:00:00"/>
    <d v="2023-02-23T00:00:00"/>
    <d v="2023-03-29T00:00:00"/>
    <s v="Adam Rujbr Architects s.r.o."/>
    <m/>
    <n v="5126000"/>
    <n v="6202460"/>
    <m/>
    <m/>
    <m/>
    <d v="2023-03-29T00:00:00"/>
    <s v="SMLN-2023-618-100004"/>
    <x v="40"/>
  </r>
  <r>
    <d v="2022-11-29T00:00:00"/>
    <s v="VZ-2022-001345"/>
    <x v="2"/>
    <s v="Valtová"/>
    <s v="Přikrylová"/>
    <x v="95"/>
    <m/>
    <m/>
    <s v="podepsaná smlouva"/>
    <s v="33140000-3"/>
    <m/>
    <n v="2786400"/>
    <x v="1"/>
    <d v="2022-12-07T00:00:00"/>
    <d v="2023-01-13T00:00:00"/>
    <d v="2023-02-06T00:00:00"/>
    <s v="ADYTON s.r.o."/>
    <m/>
    <n v="2786400"/>
    <n v="3371544"/>
    <m/>
    <m/>
    <m/>
    <d v="2023-02-06T00:00:00"/>
    <s v="SMLN-2023-617-000084_x000a_SMLN-2023-614-000018"/>
    <x v="0"/>
  </r>
  <r>
    <d v="2022-12-01T00:00:00"/>
    <s v="VZ-2022-001354-01"/>
    <x v="0"/>
    <s v="Ondráčková"/>
    <s v="Bodinková"/>
    <x v="96"/>
    <n v="1"/>
    <s v="Sildenafil pro pacienty s indikací arteriální plicní hypertenze ve funkční třídě II. dle klasifikace NYHA"/>
    <s v="podepsaná smlouva"/>
    <s v="33642000-2"/>
    <m/>
    <n v="3197700"/>
    <x v="0"/>
    <d v="2023-01-02T00:00:00"/>
    <d v="2023-02-06T00:00:00"/>
    <d v="2023-03-02T00:00:00"/>
    <s v="PROMEDICA PRAHA GROUP, a.s."/>
    <m/>
    <n v="3101158.53"/>
    <n v="3411274.38"/>
    <m/>
    <m/>
    <m/>
    <d v="2023-03-02T00:00:00"/>
    <s v="SMLN-2023-617-000125"/>
    <x v="54"/>
  </r>
  <r>
    <d v="2022-12-01T00:00:00"/>
    <s v="VZ-2022-001354-02"/>
    <x v="0"/>
    <s v="Ondráčková"/>
    <s v="Bodinková"/>
    <x v="96"/>
    <n v="2"/>
    <s v="Sildenafil pro pacienty s indikací erektivní disfunkce"/>
    <s v="zrušeno"/>
    <s v="33642000-2"/>
    <m/>
    <n v="686464"/>
    <x v="0"/>
    <d v="2023-01-02T00:00:00"/>
    <d v="2023-02-06T00:00:00"/>
    <m/>
    <s v="zrušeno - překročení ceny"/>
    <m/>
    <m/>
    <m/>
    <m/>
    <m/>
    <m/>
    <m/>
    <m/>
    <x v="10"/>
  </r>
  <r>
    <s v="opakovaná VZ"/>
    <s v="VZ-2022-001361"/>
    <x v="0"/>
    <s v="Ondráčková"/>
    <s v="Bodinková"/>
    <x v="97"/>
    <m/>
    <m/>
    <s v="podepsaná smlouva"/>
    <s v="33661500-6"/>
    <m/>
    <n v="697450"/>
    <x v="2"/>
    <d v="2022-12-07T00:00:00"/>
    <d v="2022-12-16T00:00:00"/>
    <d v="2022-12-22T00:00:00"/>
    <s v="Alliance Healthcare s.r.o."/>
    <m/>
    <n v="617752.05000000005"/>
    <n v="679527.26"/>
    <m/>
    <m/>
    <m/>
    <d v="2022-12-22T00:00:00"/>
    <s v="SMLN-2022-617-000888"/>
    <x v="24"/>
  </r>
  <r>
    <d v="2022-12-06T00:00:00"/>
    <s v="VZ-2022-001365"/>
    <x v="2"/>
    <s v="Dočkalová"/>
    <s v="Přikrylová"/>
    <x v="98"/>
    <m/>
    <m/>
    <s v="podepsaná smlouva"/>
    <s v="33140000-3"/>
    <m/>
    <n v="1992000"/>
    <x v="1"/>
    <d v="2022-12-08T00:00:00"/>
    <d v="2022-12-28T00:00:00"/>
    <d v="2023-02-10T00:00:00"/>
    <s v="Edwards Lifesciences Czech Republic s.r.o."/>
    <m/>
    <n v="1992000"/>
    <n v="2410320"/>
    <m/>
    <m/>
    <m/>
    <d v="2023-02-10T00:00:00"/>
    <s v="SMLN-2023-617-000093"/>
    <x v="2"/>
  </r>
  <r>
    <d v="2022-12-07T00:00:00"/>
    <s v="VZ-2022-001367"/>
    <x v="11"/>
    <s v="Zdráhalová"/>
    <s v="Staňková"/>
    <x v="99"/>
    <m/>
    <m/>
    <s v="podepsaná smlouva"/>
    <s v="39830000-9"/>
    <m/>
    <n v="1303917"/>
    <x v="2"/>
    <d v="2022-12-08T00:00:00"/>
    <d v="2022-12-20T00:00:00"/>
    <d v="2023-01-11T00:00:00"/>
    <s v="Rudolf Šaman"/>
    <m/>
    <n v="983592.8"/>
    <n v="1190147.29"/>
    <m/>
    <m/>
    <m/>
    <d v="2023-01-11T00:00:00"/>
    <s v="SMLN-2023-617-000021"/>
    <x v="20"/>
  </r>
  <r>
    <d v="2022-12-06T00:00:00"/>
    <s v="VZ-2022-001369-02"/>
    <x v="2"/>
    <s v="Dočkalová"/>
    <s v="Štýbnarová"/>
    <x v="100"/>
    <n v="2"/>
    <s v="Sensory k systémům Fore-sight ELITE a HemoSphere"/>
    <s v="podepsaná smlouva"/>
    <s v="33140000-3"/>
    <m/>
    <n v="1053360"/>
    <x v="2"/>
    <d v="2022-12-13T00:00:00"/>
    <d v="2022-12-21T00:00:00"/>
    <d v="2023-01-03T00:00:00"/>
    <s v="Edwards Lifesciences Czech Republic s.r.o."/>
    <m/>
    <n v="877800"/>
    <n v="1062138"/>
    <m/>
    <m/>
    <m/>
    <d v="2023-01-03T00:00:00"/>
    <s v="SMLN-2023-617-000006"/>
    <x v="11"/>
  </r>
  <r>
    <d v="2022-12-08T00:00:00"/>
    <s v="VZ-2022-001380"/>
    <x v="2"/>
    <s v="Valtová"/>
    <s v="Přikrylová"/>
    <x v="101"/>
    <m/>
    <m/>
    <s v="podepsaná smlouva"/>
    <s v="33140000-3"/>
    <m/>
    <n v="36939130.399999999"/>
    <x v="0"/>
    <d v="2022-12-13T00:00:00"/>
    <d v="2023-01-16T00:00:00"/>
    <d v="2023-01-30T00:00:00"/>
    <s v="CARDION s.r.o."/>
    <m/>
    <n v="36939130.399999999"/>
    <n v="42480000"/>
    <m/>
    <m/>
    <m/>
    <d v="2023-01-30T00:00:00"/>
    <s v="SMLN-2023-617-000073_x000a_SMLN-2023-614-000017"/>
    <x v="7"/>
  </r>
  <r>
    <s v="opakovaná VZ"/>
    <s v="VZ-2022-001382"/>
    <x v="3"/>
    <s v="Olejníček"/>
    <s v="Štýbnarová"/>
    <x v="102"/>
    <m/>
    <m/>
    <s v="podepsaná smlouva"/>
    <s v="33124100-6"/>
    <s v="2.3.652."/>
    <n v="148000"/>
    <x v="2"/>
    <d v="2022-12-13T00:00:00"/>
    <d v="2022-12-21T00:00:00"/>
    <d v="2023-01-24T00:00:00"/>
    <s v="Chironax Frýdek-Místek s.r.o."/>
    <m/>
    <n v="138650"/>
    <n v="167766.5"/>
    <m/>
    <m/>
    <m/>
    <d v="2023-01-25T00:00:00"/>
    <s v="SMLN-2023-617-000054_x000a_SMLN-2023-612-000016"/>
    <x v="55"/>
  </r>
  <r>
    <d v="2022-12-15T00:00:00"/>
    <s v="VZ-2022-001399"/>
    <x v="2"/>
    <s v="Valtová"/>
    <s v="Zdražilová"/>
    <x v="103"/>
    <m/>
    <m/>
    <s v="podepsaná smlouva"/>
    <s v="33140000–3"/>
    <m/>
    <n v="2012800"/>
    <x v="1"/>
    <d v="2022-12-22T00:00:00"/>
    <d v="2023-01-11T00:00:00"/>
    <d v="2023-01-25T00:00:00"/>
    <s v="Johnson &amp; Johnson, s.r.o."/>
    <m/>
    <n v="2012800"/>
    <n v="2314720"/>
    <m/>
    <m/>
    <m/>
    <d v="2023-01-25T00:00:00"/>
    <s v="SMLN-2023-617-000055_x000a_SMLN-2023-617-000056_x000a_SMLN-2023-614-000003"/>
    <x v="0"/>
  </r>
  <r>
    <d v="2022-12-14T00:00:00"/>
    <s v="VZ-2022-001402"/>
    <x v="2"/>
    <s v="Valtová"/>
    <s v="Přikrylová"/>
    <x v="104"/>
    <m/>
    <m/>
    <s v="zrušeno"/>
    <s v="33140000–3"/>
    <m/>
    <n v="2392000"/>
    <x v="1"/>
    <d v="2022-12-22T00:00:00"/>
    <d v="2023-01-11T00:00:00"/>
    <m/>
    <s v="zrušeno - bez nabídky"/>
    <s v="nová VZ-2023-000124"/>
    <m/>
    <m/>
    <m/>
    <m/>
    <m/>
    <m/>
    <m/>
    <x v="10"/>
  </r>
  <r>
    <d v="2022-12-21T00:00:00"/>
    <s v="VZ-2022-001406"/>
    <x v="11"/>
    <s v="Zdráhalová"/>
    <s v="Přikrylová"/>
    <x v="105"/>
    <m/>
    <m/>
    <s v="podepsaná smlouva"/>
    <s v="39120000-9"/>
    <m/>
    <n v="4130812"/>
    <x v="0"/>
    <d v="2022-12-27T00:00:00"/>
    <d v="2023-02-06T00:00:00"/>
    <d v="2023-02-20T00:00:00"/>
    <s v="ELNAR spol. s r.o."/>
    <m/>
    <n v="2505593"/>
    <n v="3031767.53"/>
    <m/>
    <m/>
    <m/>
    <d v="2023-02-20T00:00:00"/>
    <s v="SMLN-2023-618-000008"/>
    <x v="3"/>
  </r>
  <r>
    <d v="2022-12-21T00:00:00"/>
    <s v="VZ-2022-001410"/>
    <x v="3"/>
    <s v="Olejníček"/>
    <s v="Staňková"/>
    <x v="106"/>
    <m/>
    <m/>
    <s v="podepsaná smlouva"/>
    <s v="33195100-4"/>
    <s v="2.2.505."/>
    <n v="230000"/>
    <x v="2"/>
    <d v="2022-12-29T00:00:00"/>
    <d v="2023-01-10T00:00:00"/>
    <d v="2023-01-18T00:00:00"/>
    <s v="Medsol, s.r.o."/>
    <m/>
    <n v="209916"/>
    <n v="253998.36"/>
    <m/>
    <m/>
    <m/>
    <d v="2023-01-18T00:00:00"/>
    <s v="SMLN-2023-617-000046_x000a_SMLN-2023-612-000008"/>
    <x v="56"/>
  </r>
  <r>
    <d v="2022-12-19T00:00:00"/>
    <s v="VZ-2022-001412"/>
    <x v="8"/>
    <s v="Srovnal"/>
    <s v="Kučera"/>
    <x v="107"/>
    <m/>
    <m/>
    <s v="podepsaná smlouva"/>
    <s v="45312100-8"/>
    <m/>
    <n v="5500000"/>
    <x v="0"/>
    <d v="2023-01-02T00:00:00"/>
    <d v="2023-02-06T00:00:00"/>
    <d v="2023-03-13T00:00:00"/>
    <s v="Lukáš Dopita"/>
    <m/>
    <n v="2808336"/>
    <n v="3398086.56"/>
    <m/>
    <m/>
    <m/>
    <d v="2023-03-13T00:00:00"/>
    <s v="SMLN-2023-612-100003"/>
    <x v="40"/>
  </r>
  <r>
    <s v="opakovaná VZ"/>
    <s v="VZ-2022-001415"/>
    <x v="2"/>
    <s v="Dočkalová"/>
    <s v="Štýbnarová"/>
    <x v="108"/>
    <m/>
    <m/>
    <s v="podepsaná smlouva"/>
    <s v="33140000-3"/>
    <m/>
    <n v="403700"/>
    <x v="2"/>
    <d v="2023-01-02T00:00:00"/>
    <d v="2023-01-11T00:00:00"/>
    <d v="2023-01-13T00:00:00"/>
    <s v="Medtronic Czechia s.r.o."/>
    <m/>
    <n v="403700"/>
    <n v="488477"/>
    <m/>
    <m/>
    <m/>
    <d v="2023-01-13T00:00:00"/>
    <s v="SMLN-2023-617-000038"/>
    <x v="57"/>
  </r>
  <r>
    <d v="2022-12-20T00:00:00"/>
    <s v="VZ-2022-001416"/>
    <x v="0"/>
    <s v="Ondráčková"/>
    <s v="Bodinková"/>
    <x v="109"/>
    <m/>
    <m/>
    <s v="zrušeno"/>
    <s v="71900000-7"/>
    <m/>
    <n v="1806250"/>
    <x v="2"/>
    <d v="2023-01-02T00:00:00"/>
    <d v="2023-01-12T00:00:00"/>
    <m/>
    <s v="zrušeno - úprava ZD"/>
    <s v="nová VZ-2023-000281"/>
    <n v="1066550"/>
    <n v="1290525.5"/>
    <m/>
    <m/>
    <m/>
    <m/>
    <m/>
    <x v="10"/>
  </r>
  <r>
    <d v="2022-12-20T00:00:00"/>
    <s v="VZ-2022-001417"/>
    <x v="5"/>
    <s v="Spáčil"/>
    <s v="Zdražilová"/>
    <x v="110"/>
    <m/>
    <m/>
    <s v="zrušeno"/>
    <s v="39120000-9"/>
    <m/>
    <n v="2500000"/>
    <x v="1"/>
    <d v="2023-01-09T00:00:00"/>
    <d v="2023-02-09T00:00:00"/>
    <d v="2023-02-23T00:00:00"/>
    <s v="zrušeno - úprava ZD"/>
    <s v="nová VZ-2023-000333"/>
    <n v="2181000"/>
    <n v="2639010"/>
    <m/>
    <m/>
    <m/>
    <d v="2023-02-23T00:00:00"/>
    <s v="SMLN-2023-617-000121"/>
    <x v="10"/>
  </r>
  <r>
    <s v="opakovaná VZ"/>
    <s v="VZ-2023-000001"/>
    <x v="11"/>
    <s v="Zdráhalová"/>
    <s v="Staňková"/>
    <x v="111"/>
    <m/>
    <m/>
    <s v="podepsaná smlouva"/>
    <s v="30199000-0"/>
    <m/>
    <n v="559776.59"/>
    <x v="2"/>
    <d v="2023-01-03T00:00:00"/>
    <d v="2023-01-16T00:00:00"/>
    <d v="2023-03-16T00:00:00"/>
    <s v="bika - velkoobchod papírem, spol. s r.o."/>
    <m/>
    <n v="627829.56000000006"/>
    <n v="759673.77"/>
    <m/>
    <m/>
    <m/>
    <d v="2023-03-16T00:00:00"/>
    <s v="SMLP-2023-627-100001"/>
    <x v="50"/>
  </r>
  <r>
    <d v="2022-12-13T00:00:00"/>
    <s v="VZ-2023-000002"/>
    <x v="12"/>
    <s v="Zemánková"/>
    <s v="Bodinková"/>
    <x v="112"/>
    <m/>
    <m/>
    <s v="podepsaná smlouva"/>
    <s v="33694000-1"/>
    <m/>
    <n v="2840000"/>
    <x v="1"/>
    <d v="2023-02-14T00:00:00"/>
    <d v="2023-04-04T00:00:00"/>
    <d v="2023-06-27T00:00:00"/>
    <s v="SEBIA Czech republic s.r.o."/>
    <m/>
    <n v="2056000"/>
    <n v="2487760"/>
    <m/>
    <m/>
    <m/>
    <d v="2023-06-27T00:00:00"/>
    <s v="SMLN-2023-617-100267_x000a_SMLN-2023-616-100018"/>
    <x v="58"/>
  </r>
  <r>
    <d v="2022-12-13T00:00:00"/>
    <s v="VZ-2023-000003"/>
    <x v="12"/>
    <s v="Zemánková"/>
    <s v="Bodinková"/>
    <x v="113"/>
    <m/>
    <m/>
    <s v="podepsaná smlouva"/>
    <s v="33694000-1"/>
    <m/>
    <n v="11458052"/>
    <x v="0"/>
    <d v="2023-01-27T00:00:00"/>
    <d v="2023-03-27T00:00:00"/>
    <d v="2023-05-02T00:00:00"/>
    <s v="SEBIA Czech republic s.r.o."/>
    <m/>
    <n v="11458052"/>
    <n v="13864242.92"/>
    <m/>
    <m/>
    <m/>
    <d v="2023-05-02T00:00:00"/>
    <s v="SMLN-2023-617-100138_x000a_SMLN-2023-616-100008"/>
    <x v="59"/>
  </r>
  <r>
    <d v="2022-12-19T00:00:00"/>
    <s v="VZ-2023-000004-01"/>
    <x v="0"/>
    <s v="Górová"/>
    <s v="Bodinková"/>
    <x v="114"/>
    <n v="1"/>
    <s v="Radionuklidový generátor (99Mo/99Tc) o aktivitě 6,45 GBq 99Mo k datu kalibrace"/>
    <s v="podepsaná smlouva"/>
    <s v="09343000-5"/>
    <m/>
    <n v="3308256"/>
    <x v="0"/>
    <d v="2023-04-06T00:00:00"/>
    <d v="2023-06-19T00:00:00"/>
    <d v="2023-08-14T00:00:00"/>
    <s v="KC SOLID, spol. s r.o."/>
    <m/>
    <n v="2973600"/>
    <n v="3270960"/>
    <m/>
    <m/>
    <m/>
    <d v="2023-08-14T00:00:00"/>
    <s v="SMLN-2023-617-100433"/>
    <x v="60"/>
  </r>
  <r>
    <d v="2022-12-19T00:00:00"/>
    <s v="VZ-2023-000004-02"/>
    <x v="0"/>
    <s v="Górová"/>
    <s v="Bodinková"/>
    <x v="114"/>
    <n v="2"/>
    <s v="Radionuklidový generátor (99Mo/99Tc) o aktivitě 10,75 GBq 99Mo k datu kalibrace"/>
    <s v="podepsaná smlouva"/>
    <s v="09343000-5"/>
    <m/>
    <n v="3828960"/>
    <x v="0"/>
    <d v="2023-04-06T00:00:00"/>
    <d v="2023-06-19T00:00:00"/>
    <d v="2023-08-14T00:00:00"/>
    <s v="M.G.P. spol. s r.o."/>
    <m/>
    <n v="3166560"/>
    <n v="3483216"/>
    <m/>
    <m/>
    <m/>
    <d v="2023-08-14T00:00:00"/>
    <s v="SMLN-2023-617-100434"/>
    <x v="60"/>
  </r>
  <r>
    <d v="2022-12-19T00:00:00"/>
    <s v="VZ-2023-000004-03"/>
    <x v="0"/>
    <s v="Górová"/>
    <s v="Bodinková"/>
    <x v="114"/>
    <n v="3"/>
    <s v="Fludeoxythimidin (18F)"/>
    <s v="zrušeno"/>
    <s v="09343000-5"/>
    <m/>
    <n v="2866917"/>
    <x v="0"/>
    <d v="2023-04-06T00:00:00"/>
    <d v="2023-06-19T00:00:00"/>
    <m/>
    <s v="zrušeno - překročení ceny"/>
    <m/>
    <m/>
    <m/>
    <m/>
    <m/>
    <m/>
    <m/>
    <m/>
    <x v="10"/>
  </r>
  <r>
    <d v="2022-12-29T00:00:00"/>
    <s v="VZ-2023-000005-01"/>
    <x v="0"/>
    <s v="Vondrková"/>
    <s v="Bodinková"/>
    <x v="115"/>
    <n v="1"/>
    <s v="tříkomorové vaky k aplikaci do centrální žíly I."/>
    <s v="podepsaná smlouva"/>
    <s v="33692510-5"/>
    <m/>
    <n v="1620955"/>
    <x v="0"/>
    <d v="2023-03-16T00:00:00"/>
    <d v="2023-05-24T00:00:00"/>
    <d v="2023-06-28T00:00:00"/>
    <s v="BAXTER CZECH spol. s r.o."/>
    <m/>
    <n v="1701997.92"/>
    <n v="1872197.71"/>
    <m/>
    <m/>
    <m/>
    <d v="2023-06-28T00:00:00"/>
    <s v="SMLN-2023-617-100273"/>
    <x v="61"/>
  </r>
  <r>
    <d v="2022-12-29T00:00:00"/>
    <s v="VZ-2023-000005-02"/>
    <x v="0"/>
    <s v="Vondrková"/>
    <s v="Bodinková"/>
    <x v="115"/>
    <n v="2"/>
    <s v="tříkomorové vaky k aplikaci do centrální žíly II."/>
    <s v="podepsaná smlouva"/>
    <s v="33692510-5"/>
    <m/>
    <n v="1083608"/>
    <x v="0"/>
    <d v="2023-03-16T00:00:00"/>
    <d v="2023-05-24T00:00:00"/>
    <d v="2023-06-28T00:00:00"/>
    <s v="Fresenius Kabi s.r.o."/>
    <m/>
    <n v="1068120"/>
    <n v="1174932"/>
    <m/>
    <m/>
    <m/>
    <d v="2023-06-28T00:00:00"/>
    <s v="SMLN-2023-617-100274"/>
    <x v="61"/>
  </r>
  <r>
    <d v="2022-12-29T00:00:00"/>
    <s v="VZ-2023-000005-03"/>
    <x v="0"/>
    <s v="Vondrková"/>
    <s v="Bodinková"/>
    <x v="115"/>
    <n v="3"/>
    <s v="tříkomorové vaky k aplikaci do centrální žíly III."/>
    <s v="podepsaná smlouva"/>
    <s v="33692510-5"/>
    <m/>
    <n v="715680"/>
    <x v="0"/>
    <d v="2023-03-16T00:00:00"/>
    <d v="2023-05-24T00:00:00"/>
    <d v="2023-06-28T00:00:00"/>
    <s v="Fresenius Kabi s.r.o."/>
    <m/>
    <n v="705600"/>
    <n v="776160"/>
    <m/>
    <m/>
    <m/>
    <d v="2023-06-28T00:00:00"/>
    <s v="SMLN-2023-617-100275"/>
    <x v="61"/>
  </r>
  <r>
    <d v="2022-12-29T00:00:00"/>
    <s v="VZ-2023-000005-04"/>
    <x v="0"/>
    <s v="Vondrková"/>
    <s v="Bodinková"/>
    <x v="115"/>
    <n v="4"/>
    <s v="tříkomorové vaky k aplikaci do centrální žíly IV."/>
    <s v="podepsaná smlouva"/>
    <s v="33692510-5"/>
    <m/>
    <n v="3834390"/>
    <x v="0"/>
    <d v="2023-03-16T00:00:00"/>
    <d v="2023-05-24T00:00:00"/>
    <d v="2023-06-28T00:00:00"/>
    <s v="BAXTER CZECH spol. s r.o."/>
    <m/>
    <n v="3952512"/>
    <n v="4347763.2"/>
    <m/>
    <m/>
    <m/>
    <d v="2023-06-28T00:00:00"/>
    <s v="SMLN-2023-617-100276"/>
    <x v="61"/>
  </r>
  <r>
    <d v="2022-12-29T00:00:00"/>
    <s v="VZ-2023-000005-05"/>
    <x v="0"/>
    <s v="Vondrková"/>
    <s v="Bodinková"/>
    <x v="115"/>
    <n v="5"/>
    <s v="tříkomorové vaky k aplikaci do centrální žíly V."/>
    <s v="podepsaná smlouva"/>
    <s v="33692510-5"/>
    <m/>
    <n v="572581"/>
    <x v="0"/>
    <d v="2023-03-16T00:00:00"/>
    <d v="2023-05-24T00:00:00"/>
    <d v="2023-06-28T00:00:00"/>
    <s v="BAXTER CZECH spol. s r.o."/>
    <m/>
    <n v="601389.31999999995"/>
    <n v="661528.25"/>
    <m/>
    <m/>
    <m/>
    <d v="2023-06-28T00:00:00"/>
    <s v="SMLN-2023-617-100277"/>
    <x v="61"/>
  </r>
  <r>
    <d v="2022-12-29T00:00:00"/>
    <s v="VZ-2023-000005-06"/>
    <x v="0"/>
    <s v="Vondrková"/>
    <s v="Bodinková"/>
    <x v="115"/>
    <n v="6"/>
    <s v="tříkomorové vaky k aplikaci do centrální žíly VI."/>
    <s v="podepsaná smlouva"/>
    <s v="33692510-5"/>
    <m/>
    <n v="7800"/>
    <x v="0"/>
    <d v="2023-03-16T00:00:00"/>
    <d v="2023-05-24T00:00:00"/>
    <d v="2023-06-28T00:00:00"/>
    <s v="BAXTER CZECH spol. s r.o."/>
    <m/>
    <n v="8400"/>
    <n v="9240"/>
    <m/>
    <m/>
    <m/>
    <d v="2023-06-28T00:00:00"/>
    <s v="SMLN-2023-617-100278"/>
    <x v="61"/>
  </r>
  <r>
    <d v="2022-12-29T00:00:00"/>
    <s v="VZ-2023-000006-01"/>
    <x v="0"/>
    <s v="Vondrková"/>
    <s v="Bodinková"/>
    <x v="116"/>
    <n v="1"/>
    <s v="tříkomorové vaky k aplikaci do centrální žíly VII."/>
    <s v="podepsaná smlouva"/>
    <s v="33692510-5"/>
    <m/>
    <n v="5841234"/>
    <x v="0"/>
    <d v="2023-03-21T00:00:00"/>
    <d v="2023-05-22T00:00:00"/>
    <d v="2023-06-28T00:00:00"/>
    <s v="B. Braun Medical s.r.o."/>
    <m/>
    <n v="5841233.25"/>
    <n v="6425356.5800000001"/>
    <m/>
    <m/>
    <m/>
    <d v="2023-06-28T00:00:00"/>
    <s v="SMLN-2023-617-100279"/>
    <x v="61"/>
  </r>
  <r>
    <d v="2022-12-29T00:00:00"/>
    <s v="VZ-2023-000006-02"/>
    <x v="0"/>
    <s v="Vondrková"/>
    <s v="Bodinková"/>
    <x v="116"/>
    <n v="2"/>
    <s v="tříkomorové vaky k aplikaci do centrální žíly VIII."/>
    <s v="podepsaná smlouva"/>
    <s v="33692510-5"/>
    <m/>
    <n v="864962"/>
    <x v="0"/>
    <d v="2023-03-21T00:00:00"/>
    <d v="2023-05-22T00:00:00"/>
    <d v="2023-06-28T00:00:00"/>
    <s v="B. Braun Medical s.r.o."/>
    <m/>
    <n v="839664"/>
    <n v="923630.4"/>
    <m/>
    <m/>
    <m/>
    <d v="2023-06-28T00:00:00"/>
    <s v="SMLN-2023-617-100280"/>
    <x v="61"/>
  </r>
  <r>
    <d v="2022-12-29T00:00:00"/>
    <s v="VZ-2023-000006-03"/>
    <x v="0"/>
    <s v="Vondrková"/>
    <s v="Bodinková"/>
    <x v="116"/>
    <n v="3"/>
    <s v="tříkomorové vaky k aplikaci do centrální žíly IX."/>
    <s v="podepsaná smlouva"/>
    <s v="33692510-5"/>
    <m/>
    <n v="366792"/>
    <x v="0"/>
    <d v="2023-03-21T00:00:00"/>
    <d v="2023-05-22T00:00:00"/>
    <d v="2023-06-28T00:00:00"/>
    <s v="BAXTER CZECH spol. s r.o."/>
    <m/>
    <n v="365313"/>
    <n v="401844.3"/>
    <m/>
    <m/>
    <m/>
    <d v="2023-06-28T00:00:00"/>
    <s v="SMLN-2023-617-100281"/>
    <x v="61"/>
  </r>
  <r>
    <d v="2022-12-29T00:00:00"/>
    <s v="VZ-2023-000006-04"/>
    <x v="0"/>
    <s v="Vondrková"/>
    <s v="Bodinková"/>
    <x v="116"/>
    <n v="4"/>
    <s v="tříkomorové vaky k aplikaci do centrální žíly X."/>
    <s v="podepsaná smlouva"/>
    <s v="33692510-5"/>
    <m/>
    <n v="2204381"/>
    <x v="0"/>
    <d v="2023-03-21T00:00:00"/>
    <d v="2023-05-22T00:00:00"/>
    <d v="2023-06-28T00:00:00"/>
    <s v="B. Braun Medical s.r.o."/>
    <m/>
    <n v="2050141.2"/>
    <n v="2255155.3199999998"/>
    <m/>
    <m/>
    <m/>
    <d v="2023-06-28T00:00:00"/>
    <s v="SMLN-2023-617-100282"/>
    <x v="61"/>
  </r>
  <r>
    <d v="2022-12-29T00:00:00"/>
    <s v="VZ-2023-000006-05"/>
    <x v="0"/>
    <s v="Vondrková"/>
    <s v="Bodinková"/>
    <x v="116"/>
    <n v="5"/>
    <s v="tříkomorové vaky k aplikaci do centrální žíly XI."/>
    <s v="podepsaná smlouva"/>
    <s v="33692510-5"/>
    <m/>
    <n v="1538568"/>
    <x v="0"/>
    <d v="2023-03-21T00:00:00"/>
    <d v="2023-05-22T00:00:00"/>
    <d v="2023-06-28T00:00:00"/>
    <s v="BAXTER CZECH spol. s r.o."/>
    <m/>
    <n v="1512548.1"/>
    <n v="1663802.91"/>
    <m/>
    <m/>
    <m/>
    <d v="2023-06-28T00:00:00"/>
    <s v="SMLN-2023-617-100283"/>
    <x v="61"/>
  </r>
  <r>
    <d v="2022-12-29T00:00:00"/>
    <s v="VZ-2023-000006-06"/>
    <x v="0"/>
    <s v="Vondrková"/>
    <s v="Bodinková"/>
    <x v="116"/>
    <n v="6"/>
    <s v="tříkomorové vaky k aplikaci do centrální žíly XII."/>
    <s v="podepsaná smlouva"/>
    <s v="33692510-5"/>
    <m/>
    <n v="10963"/>
    <x v="0"/>
    <d v="2023-03-21T00:00:00"/>
    <d v="2023-05-22T00:00:00"/>
    <d v="2023-06-28T00:00:00"/>
    <s v="Fresenius Kabi s.r.o."/>
    <m/>
    <n v="10799.98"/>
    <n v="11879.98"/>
    <m/>
    <m/>
    <m/>
    <d v="2023-06-28T00:00:00"/>
    <s v="SMLN-2023-617-100284"/>
    <x v="61"/>
  </r>
  <r>
    <d v="2022-12-29T00:00:00"/>
    <s v="VZ-2023-000007-01"/>
    <x v="0"/>
    <s v="Vondrková"/>
    <s v="Bodinková"/>
    <x v="117"/>
    <n v="1"/>
    <s v="tříkomorové vaky k aplikaci do centrální žíly XIII."/>
    <s v="podepsaná smlouva"/>
    <s v="33692510-5"/>
    <m/>
    <n v="247230"/>
    <x v="0"/>
    <d v="2023-03-22T00:00:00"/>
    <d v="2023-05-24T00:00:00"/>
    <d v="2023-06-28T00:00:00"/>
    <s v="Fresenius Kabi s.r.o."/>
    <m/>
    <n v="2806158.27"/>
    <n v="3086774.1"/>
    <m/>
    <m/>
    <m/>
    <d v="2023-06-29T00:00:00"/>
    <s v="SMLN-2023-617-100285"/>
    <x v="58"/>
  </r>
  <r>
    <d v="2022-12-29T00:00:00"/>
    <s v="VZ-2023-000007-02"/>
    <x v="0"/>
    <s v="Vondrková"/>
    <s v="Bodinková"/>
    <x v="117"/>
    <n v="2"/>
    <s v="tříkomorové vaky k aplikaci do centrální žíly XIV."/>
    <s v="podepsaná smlouva"/>
    <s v="33692510-5"/>
    <m/>
    <n v="965884"/>
    <x v="0"/>
    <d v="2023-03-22T00:00:00"/>
    <d v="2023-05-24T00:00:00"/>
    <d v="2023-06-28T00:00:00"/>
    <s v="Fresenius Kabi s.r.o."/>
    <m/>
    <n v="965882.25"/>
    <n v="1062470.48"/>
    <m/>
    <m/>
    <m/>
    <d v="2023-06-29T00:00:00"/>
    <s v="SMLN-2023-617-100286"/>
    <x v="58"/>
  </r>
  <r>
    <d v="2022-12-29T00:00:00"/>
    <s v="VZ-2023-000008-01"/>
    <x v="0"/>
    <s v="Vondrková"/>
    <s v="Bodinková"/>
    <x v="118"/>
    <n v="1"/>
    <s v="tříkomorové vaky k aplikaci do centrální žíly XV."/>
    <s v="zrušeno"/>
    <s v="33692510-5"/>
    <m/>
    <n v="2483544"/>
    <x v="0"/>
    <d v="2023-03-22T00:00:00"/>
    <d v="2023-04-26T00:00:00"/>
    <m/>
    <s v="zrušeno - bez nabídky"/>
    <m/>
    <m/>
    <m/>
    <m/>
    <m/>
    <m/>
    <m/>
    <m/>
    <x v="10"/>
  </r>
  <r>
    <d v="2022-12-29T00:00:00"/>
    <s v="VZ-2023-000008-02"/>
    <x v="0"/>
    <s v="Vondrková"/>
    <s v="Bodinková"/>
    <x v="118"/>
    <n v="2"/>
    <s v="tříkomorové vaky k aplikaci do centrální žíly XVI."/>
    <s v="zrušeno"/>
    <s v="33692510-5"/>
    <m/>
    <n v="102720"/>
    <x v="0"/>
    <d v="2023-03-22T00:00:00"/>
    <d v="2023-04-26T00:00:00"/>
    <m/>
    <s v="zrušeno - bez nabídky"/>
    <m/>
    <m/>
    <m/>
    <m/>
    <m/>
    <m/>
    <m/>
    <m/>
    <x v="10"/>
  </r>
  <r>
    <d v="2022-12-29T00:00:00"/>
    <s v="VZ-2023-000008-03"/>
    <x v="0"/>
    <s v="Vondrková"/>
    <s v="Bodinková"/>
    <x v="118"/>
    <n v="3"/>
    <s v="tříkomorové vaky k aplikaci do centrální žíly XVII."/>
    <s v="podepsaná smlouva"/>
    <s v="33692510-5"/>
    <m/>
    <n v="31263"/>
    <x v="0"/>
    <d v="2023-03-22T00:00:00"/>
    <d v="2023-04-26T00:00:00"/>
    <d v="2023-05-25T00:00:00"/>
    <s v="Fresenius Kabi s.r.o."/>
    <m/>
    <n v="31262.880000000001"/>
    <n v="34389.17"/>
    <m/>
    <m/>
    <m/>
    <d v="2023-05-26T00:00:00"/>
    <s v="SMLN-2023-617-100217"/>
    <x v="62"/>
  </r>
  <r>
    <d v="2022-12-29T00:00:00"/>
    <s v="VZ-2023-000008-04"/>
    <x v="0"/>
    <s v="Vondrková"/>
    <s v="Bodinková"/>
    <x v="118"/>
    <n v="4"/>
    <s v="tříkomorové vaky k aplikaci do centrální žíly XVIII."/>
    <s v="podepsaná smlouva"/>
    <s v="33692510-5"/>
    <m/>
    <n v="13460"/>
    <x v="0"/>
    <d v="2023-03-22T00:00:00"/>
    <d v="2023-04-26T00:00:00"/>
    <d v="2023-05-25T00:00:00"/>
    <s v="Fresenius Kabi s.r.o."/>
    <m/>
    <n v="13459.44"/>
    <n v="14805.38"/>
    <m/>
    <m/>
    <m/>
    <d v="2023-05-26T00:00:00"/>
    <s v="SMLN-2023-617-100218"/>
    <x v="62"/>
  </r>
  <r>
    <d v="2022-12-29T00:00:00"/>
    <s v="VZ-2023-000008-05"/>
    <x v="0"/>
    <s v="Vondrková"/>
    <s v="Bodinková"/>
    <x v="118"/>
    <n v="5"/>
    <s v="tříkomorové vaky k aplikaci do centrální žíly XIX."/>
    <s v="zrušeno"/>
    <s v="33692510-5"/>
    <m/>
    <n v="114420"/>
    <x v="0"/>
    <d v="2023-03-22T00:00:00"/>
    <d v="2023-04-26T00:00:00"/>
    <d v="2023-05-25T00:00:00"/>
    <s v="zrušeno - Braun neposkytl součinnost k uzavření smlouvy"/>
    <m/>
    <n v="113850"/>
    <n v="125235"/>
    <m/>
    <m/>
    <m/>
    <d v="2023-05-26T00:00:00"/>
    <s v="SMLN-2023-617-100219"/>
    <x v="10"/>
  </r>
  <r>
    <d v="2022-12-29T00:00:00"/>
    <s v="VZ-2023-000008-06"/>
    <x v="0"/>
    <s v="Vondrková"/>
    <s v="Bodinková"/>
    <x v="118"/>
    <n v="6"/>
    <s v="tříkomorové vaky k aplikaci do centrální žíly XX."/>
    <s v="zrušeno"/>
    <s v="33692510-5"/>
    <m/>
    <n v="195855"/>
    <x v="0"/>
    <d v="2023-03-22T00:00:00"/>
    <d v="2023-04-26T00:00:00"/>
    <d v="2023-05-25T00:00:00"/>
    <s v="zrušeno - Braun neposkytl součinnost k uzavření smlouvy"/>
    <m/>
    <n v="195854.63"/>
    <n v="215440.09"/>
    <m/>
    <m/>
    <m/>
    <d v="2023-05-26T00:00:00"/>
    <s v="SMLN-2023-617-100220"/>
    <x v="10"/>
  </r>
  <r>
    <d v="2022-12-29T00:00:00"/>
    <s v="VZ-2023-000009-01"/>
    <x v="0"/>
    <s v="Vondrková"/>
    <s v="Bodinková"/>
    <x v="119"/>
    <n v="1"/>
    <s v="tříkomorové vaky k aplikaci do centrální a periferní žíly I."/>
    <s v="zrušeno"/>
    <s v="33692510-5"/>
    <m/>
    <n v="276000"/>
    <x v="0"/>
    <d v="2023-03-24T00:00:00"/>
    <d v="2023-05-25T00:00:00"/>
    <m/>
    <s v="zrušeno - překročení ceny"/>
    <m/>
    <m/>
    <m/>
    <m/>
    <m/>
    <m/>
    <m/>
    <m/>
    <x v="10"/>
  </r>
  <r>
    <d v="2022-12-29T00:00:00"/>
    <s v="VZ-2023-000009-02"/>
    <x v="0"/>
    <s v="Vondrková"/>
    <s v="Bodinková"/>
    <x v="119"/>
    <n v="2"/>
    <s v="tříkomorové vaky k aplikaci do centrální a periferní žíly II."/>
    <s v="podepsaná smlouva"/>
    <s v="33692510-5"/>
    <m/>
    <n v="25686"/>
    <x v="0"/>
    <d v="2023-03-24T00:00:00"/>
    <d v="2023-05-25T00:00:00"/>
    <d v="2023-06-28T00:00:00"/>
    <s v="BAXTER CZECH spol. s r.o."/>
    <m/>
    <n v="25686"/>
    <n v="28254.6"/>
    <m/>
    <m/>
    <m/>
    <d v="2023-06-29T00:00:00"/>
    <s v="SMLN-2023-617-100287"/>
    <x v="61"/>
  </r>
  <r>
    <d v="2022-12-29T00:00:00"/>
    <s v="VZ-2023-000009-03"/>
    <x v="0"/>
    <s v="Vondrková"/>
    <s v="Bodinková"/>
    <x v="119"/>
    <n v="3"/>
    <s v="tříkomorové vaky k aplikaci do centrální a periferní žíly III."/>
    <s v="podepsaná smlouva"/>
    <s v="33692510-5"/>
    <m/>
    <n v="274074"/>
    <x v="0"/>
    <d v="2023-03-24T00:00:00"/>
    <d v="2023-05-25T00:00:00"/>
    <d v="2023-06-28T00:00:00"/>
    <s v="B. Braun Medical s.r.o."/>
    <m/>
    <n v="260415.6"/>
    <n v="286457.15999999997"/>
    <m/>
    <m/>
    <m/>
    <d v="2023-06-29T00:00:00"/>
    <s v="SMLN-2023-617-100288"/>
    <x v="61"/>
  </r>
  <r>
    <d v="2022-12-29T00:00:00"/>
    <s v="VZ-2023-000009-04"/>
    <x v="0"/>
    <s v="Vondrková"/>
    <s v="Bodinková"/>
    <x v="119"/>
    <n v="4"/>
    <s v="tříkomorové vaky k aplikaci do centrální a periferní žíly IV."/>
    <s v="podepsaná smlouva"/>
    <s v="33692510-5"/>
    <m/>
    <n v="9357"/>
    <x v="0"/>
    <d v="2023-03-24T00:00:00"/>
    <d v="2023-05-25T00:00:00"/>
    <d v="2023-06-28T00:00:00"/>
    <s v="BAXTER CZECH spol. s r.o."/>
    <m/>
    <n v="9210"/>
    <n v="10131"/>
    <m/>
    <m/>
    <m/>
    <d v="2023-06-29T00:00:00"/>
    <s v="SMLN-2023-617-100289"/>
    <x v="61"/>
  </r>
  <r>
    <d v="2022-12-29T00:00:00"/>
    <s v="VZ-2023-000009-05"/>
    <x v="0"/>
    <s v="Vondrková"/>
    <s v="Bodinková"/>
    <x v="119"/>
    <n v="5"/>
    <s v="tříkomorové vaky k aplikaci do centrální a periferní žíly V."/>
    <s v="podepsaná smlouva"/>
    <s v="33692510-5"/>
    <m/>
    <n v="39491"/>
    <x v="0"/>
    <d v="2023-03-24T00:00:00"/>
    <d v="2023-05-25T00:00:00"/>
    <d v="2023-06-28T00:00:00"/>
    <s v="Fresenius Kabi s.r.o."/>
    <m/>
    <n v="39490.559999999998"/>
    <n v="43439.62"/>
    <m/>
    <m/>
    <m/>
    <d v="2023-06-29T00:00:00"/>
    <s v="SMLN-2023-617-100290"/>
    <x v="61"/>
  </r>
  <r>
    <d v="2022-12-29T00:00:00"/>
    <s v="VZ-2023-000009-06"/>
    <x v="0"/>
    <s v="Vondrková"/>
    <s v="Bodinková"/>
    <x v="119"/>
    <n v="6"/>
    <s v="tříkomorové vaky k aplikaci do centrální a periferní žíly VI."/>
    <s v="zrušeno"/>
    <s v="33692510-5"/>
    <m/>
    <n v="224779"/>
    <x v="0"/>
    <d v="2023-03-24T00:00:00"/>
    <d v="2023-05-25T00:00:00"/>
    <m/>
    <s v="zrušeno - bez nabídky"/>
    <m/>
    <m/>
    <m/>
    <m/>
    <m/>
    <m/>
    <m/>
    <m/>
    <x v="10"/>
  </r>
  <r>
    <d v="2022-12-29T00:00:00"/>
    <s v="VZ-2023-000009-07"/>
    <x v="0"/>
    <s v="Vondrková"/>
    <s v="Bodinková"/>
    <x v="119"/>
    <n v="7"/>
    <s v="tříkomorové vaky k aplikaci do centrální a periferní žíly VII."/>
    <s v="podepsaná smlouva"/>
    <s v="33692510-5"/>
    <m/>
    <n v="165940"/>
    <x v="0"/>
    <d v="2023-03-24T00:00:00"/>
    <d v="2023-05-25T00:00:00"/>
    <d v="2023-06-28T00:00:00"/>
    <s v="BAXTER CZECH spol. s r.o."/>
    <m/>
    <n v="165765"/>
    <n v="182341.5"/>
    <m/>
    <m/>
    <m/>
    <d v="2023-06-29T00:00:00"/>
    <s v="SMLN-2023-617-100291"/>
    <x v="61"/>
  </r>
  <r>
    <d v="2022-12-29T00:00:00"/>
    <s v="VZ-2023-000010-01"/>
    <x v="0"/>
    <s v="Vondrková"/>
    <s v="Bodinková"/>
    <x v="120"/>
    <n v="1"/>
    <s v="dvoukomorové vaky s apikací do centrální žíly I."/>
    <s v="zrušeno"/>
    <s v="33692510-5"/>
    <m/>
    <n v="1284669"/>
    <x v="0"/>
    <d v="2023-01-05T00:00:00"/>
    <d v="2023-02-15T00:00:00"/>
    <m/>
    <s v="zrušeno - bez nabídky"/>
    <s v="nová VZ-2023-000323-01"/>
    <m/>
    <m/>
    <m/>
    <m/>
    <m/>
    <m/>
    <m/>
    <x v="10"/>
  </r>
  <r>
    <d v="2022-12-29T00:00:00"/>
    <s v="VZ-2023-000010-02"/>
    <x v="0"/>
    <s v="Vondrková"/>
    <s v="Bodinková"/>
    <x v="120"/>
    <n v="2"/>
    <s v="dvoukomorové vaky s apikací do centrální žíly II."/>
    <s v="zrušeno"/>
    <s v="33692510-5"/>
    <m/>
    <n v="5589"/>
    <x v="0"/>
    <d v="2023-01-05T00:00:00"/>
    <d v="2023-02-15T00:00:00"/>
    <m/>
    <s v="zrušeno - bez nabídky"/>
    <s v="nová VZ-2023-000323-02"/>
    <m/>
    <m/>
    <m/>
    <m/>
    <m/>
    <m/>
    <m/>
    <x v="10"/>
  </r>
  <r>
    <d v="2022-12-29T00:00:00"/>
    <s v="VZ-2023-000010-03"/>
    <x v="0"/>
    <s v="Vondrková"/>
    <s v="Bodinková"/>
    <x v="120"/>
    <n v="3"/>
    <s v="dvoukomorové vaky s apikací do centrální žíly III."/>
    <s v="zrušeno"/>
    <s v="33692510-5"/>
    <m/>
    <n v="3280743"/>
    <x v="0"/>
    <d v="2023-01-05T00:00:00"/>
    <d v="2023-02-15T00:00:00"/>
    <m/>
    <s v="zrušeno - bez nabídky"/>
    <s v="nová VZ-2023-000323-03"/>
    <m/>
    <m/>
    <m/>
    <m/>
    <m/>
    <m/>
    <m/>
    <x v="10"/>
  </r>
  <r>
    <d v="2022-12-29T00:00:00"/>
    <s v="VZ-2023-000010-04"/>
    <x v="0"/>
    <s v="Vondrková"/>
    <s v="Bodinková"/>
    <x v="120"/>
    <n v="4"/>
    <s v="dvoukomorové vaky s apikací do centrální žíly IV."/>
    <s v="zrušeno"/>
    <s v="33692510-5"/>
    <m/>
    <n v="436863"/>
    <x v="0"/>
    <d v="2023-01-05T00:00:00"/>
    <d v="2023-02-15T00:00:00"/>
    <m/>
    <s v="zrušeno - bez nabídky"/>
    <s v="nová VZ-2023-000323-04"/>
    <m/>
    <m/>
    <m/>
    <m/>
    <m/>
    <m/>
    <m/>
    <x v="10"/>
  </r>
  <r>
    <d v="2022-12-29T00:00:00"/>
    <s v="VZ-2023-000010-05"/>
    <x v="0"/>
    <s v="Vondrková"/>
    <s v="Bodinková"/>
    <x v="120"/>
    <n v="5"/>
    <s v="dvoukomorové vaky s apikací do centrální žíly V."/>
    <s v="zrušeno"/>
    <s v="33692510-5"/>
    <m/>
    <n v="5292"/>
    <x v="0"/>
    <d v="2023-01-05T00:00:00"/>
    <d v="2023-02-15T00:00:00"/>
    <m/>
    <s v="zrušeno - bez nabídky"/>
    <s v="nová VZ-2023-000323-05"/>
    <m/>
    <m/>
    <m/>
    <m/>
    <m/>
    <m/>
    <m/>
    <x v="10"/>
  </r>
  <r>
    <d v="2022-12-29T00:00:00"/>
    <s v="VZ-2023-000010-06"/>
    <x v="0"/>
    <s v="Vondrková"/>
    <s v="Bodinková"/>
    <x v="120"/>
    <n v="6"/>
    <s v="dvoukomorové vaky s apikací do centrální žíly VI."/>
    <s v="zrušeno"/>
    <s v="33692510-5"/>
    <m/>
    <n v="215260"/>
    <x v="0"/>
    <d v="2023-01-05T00:00:00"/>
    <d v="2023-02-15T00:00:00"/>
    <m/>
    <s v="zrušeno - bez nabídky"/>
    <s v="nová VZ-2023-000323-06"/>
    <m/>
    <m/>
    <m/>
    <m/>
    <m/>
    <m/>
    <m/>
    <x v="10"/>
  </r>
  <r>
    <d v="2023-01-02T00:00:00"/>
    <s v="VZ-2023-000011"/>
    <x v="3"/>
    <s v="Olejníček"/>
    <s v="Zdražilová"/>
    <x v="121"/>
    <m/>
    <m/>
    <s v="podepsaná smlouva"/>
    <s v="38000000-5"/>
    <s v="2.2.481."/>
    <n v="10879860"/>
    <x v="0"/>
    <d v="2023-01-12T00:00:00"/>
    <d v="2023-02-20T00:00:00"/>
    <d v="2023-03-15T00:00:00"/>
    <s v="PE Systems s.r.o."/>
    <m/>
    <n v="8556800"/>
    <n v="10353728"/>
    <m/>
    <m/>
    <m/>
    <d v="2023-03-15T00:00:00"/>
    <s v="SMLN-2023-617-100021_x000a_SMLN-2023-612-100005_x000a_SMLN-2023-617-100022"/>
    <x v="63"/>
  </r>
  <r>
    <d v="2022-12-29T00:00:00"/>
    <s v="VZ-2023-000012-01"/>
    <x v="0"/>
    <s v="Vondrková"/>
    <s v="Bodinková"/>
    <x v="122"/>
    <n v="1"/>
    <s v="dvoukomorové vaky s apikací do centrální a periferní žíly I."/>
    <s v="zrušeno"/>
    <s v="33692510-5"/>
    <m/>
    <n v="3766652"/>
    <x v="0"/>
    <d v="2023-01-05T00:00:00"/>
    <d v="2023-02-15T00:00:00"/>
    <m/>
    <s v="zrušeno - bez nabídky"/>
    <s v="nová VZ-2023-000324-01"/>
    <m/>
    <m/>
    <m/>
    <m/>
    <m/>
    <m/>
    <m/>
    <x v="10"/>
  </r>
  <r>
    <d v="2022-12-29T00:00:00"/>
    <s v="VZ-2023-000012-02"/>
    <x v="0"/>
    <s v="Vondrková"/>
    <s v="Bodinková"/>
    <x v="122"/>
    <n v="2"/>
    <s v="dvoukomorové vaky s apikací do centrální a periferní žíly II."/>
    <s v="zrušeno"/>
    <s v="33692510-5"/>
    <m/>
    <n v="765939"/>
    <x v="0"/>
    <d v="2023-01-05T00:00:00"/>
    <d v="2023-02-15T00:00:00"/>
    <m/>
    <s v="zrušeno - bez nabídky"/>
    <s v="nová VZ-2023-000324-02"/>
    <m/>
    <m/>
    <m/>
    <m/>
    <m/>
    <m/>
    <m/>
    <x v="10"/>
  </r>
  <r>
    <d v="2023-01-02T00:00:00"/>
    <s v="VZ-2023-000013"/>
    <x v="13"/>
    <s v="Miklík"/>
    <s v="Kučera"/>
    <x v="123"/>
    <m/>
    <m/>
    <s v="podepsaná smlouva"/>
    <s v="72611000-6"/>
    <m/>
    <n v="2360000"/>
    <x v="1"/>
    <d v="2023-01-04T00:00:00"/>
    <d v="2023-01-23T00:00:00"/>
    <d v="2023-02-02T00:00:00"/>
    <s v="MERIT GROUP a.s."/>
    <m/>
    <n v="2326215.0699999998"/>
    <n v="2814720.23"/>
    <m/>
    <m/>
    <m/>
    <d v="2023-02-02T00:00:00"/>
    <s v="SMLN-2023-612-000017"/>
    <x v="64"/>
  </r>
  <r>
    <d v="2023-01-02T00:00:00"/>
    <s v="VZ-2023-000014"/>
    <x v="3"/>
    <s v="Olejníček"/>
    <s v="Staňková"/>
    <x v="124"/>
    <m/>
    <m/>
    <s v="podepsaná smlouva"/>
    <s v="33160000-9"/>
    <s v="2.3.692."/>
    <n v="1244760"/>
    <x v="2"/>
    <d v="2023-01-03T00:00:00"/>
    <d v="2023-01-13T00:00:00"/>
    <d v="2023-01-18T00:00:00"/>
    <s v="NORTH MED spol. s r.o."/>
    <m/>
    <n v="1165200"/>
    <n v="1409892"/>
    <m/>
    <m/>
    <m/>
    <d v="2023-01-18T00:00:00"/>
    <s v="SMLN-2023-617-000047_x000a_SMLN-2023-612-000009"/>
    <x v="56"/>
  </r>
  <r>
    <d v="2022-12-29T00:00:00"/>
    <s v="VZ-2023-000015"/>
    <x v="13"/>
    <s v="Oravec"/>
    <s v="Kučera"/>
    <x v="125"/>
    <m/>
    <m/>
    <s v="podepsaná smlouva"/>
    <s v="72261000-2"/>
    <m/>
    <n v="4355000"/>
    <x v="0"/>
    <d v="2023-01-11T00:00:00"/>
    <d v="2023-02-13T00:00:00"/>
    <d v="2023-03-02T00:00:00"/>
    <s v="STAPRO s.r.o."/>
    <m/>
    <n v="4336000"/>
    <n v="5246560"/>
    <m/>
    <m/>
    <m/>
    <d v="2023-02-24T00:00:00"/>
    <s v="SMLN-2023-618-100001"/>
    <x v="21"/>
  </r>
  <r>
    <d v="2023-01-02T00:00:00"/>
    <s v="VZ-2023-000017"/>
    <x v="3"/>
    <s v="Olejníček"/>
    <s v="Štýbnarová"/>
    <x v="126"/>
    <m/>
    <m/>
    <s v="podepsaná smlouva"/>
    <s v="42931100-2"/>
    <s v="2.3.691."/>
    <n v="225000"/>
    <x v="2"/>
    <d v="2023-01-04T00:00:00"/>
    <d v="2023-01-13T00:00:00"/>
    <d v="2023-01-19T00:00:00"/>
    <s v="SCHOELLER INSTRUMENTS, s.r.o."/>
    <m/>
    <n v="193400"/>
    <n v="234014"/>
    <m/>
    <m/>
    <m/>
    <d v="2023-01-19T00:00:00"/>
    <s v="SMLN-2023-617-000049_x000a_SMLN-2023-612-000011"/>
    <x v="65"/>
  </r>
  <r>
    <d v="2023-01-04T00:00:00"/>
    <s v="VZ-2023-000020"/>
    <x v="2"/>
    <s v="Valtová"/>
    <s v="Zdražilová"/>
    <x v="127"/>
    <m/>
    <m/>
    <s v="podepsaná smlouva"/>
    <s v="33140000-3"/>
    <m/>
    <n v="4659914"/>
    <x v="0"/>
    <d v="2023-01-05T00:00:00"/>
    <d v="2023-02-07T00:00:00"/>
    <d v="2023-02-22T00:00:00"/>
    <s v="CARDION s.r.o."/>
    <m/>
    <n v="4659914"/>
    <n v="5638495.9400000004"/>
    <m/>
    <m/>
    <m/>
    <d v="2023-02-22T00:00:00"/>
    <s v="SMLN-2023-617-000113_x000a_SMLN-2023-617-000114_x000a_SMLN-2023-614-000022"/>
    <x v="40"/>
  </r>
  <r>
    <d v="2023-01-04T00:00:00"/>
    <s v="VZ-2023-000022-01"/>
    <x v="2"/>
    <s v="Dočkalová"/>
    <s v="Přikrylová"/>
    <x v="128"/>
    <n v="1"/>
    <s v=" Rukavice vyšetřovací nitrilové, nesterilní bez pudru"/>
    <s v="podepsaná smlouva"/>
    <s v="18424300-0"/>
    <m/>
    <n v="10560000"/>
    <x v="0"/>
    <d v="2023-01-09T00:00:00"/>
    <d v="2023-02-15T00:00:00"/>
    <d v="2023-03-07T00:00:00"/>
    <s v="ZARYS International Group s.r.o."/>
    <m/>
    <n v="6400000"/>
    <n v="7744000"/>
    <m/>
    <m/>
    <m/>
    <d v="2023-03-07T00:00:00"/>
    <s v="SMLN-2023-617-100006"/>
    <x v="40"/>
  </r>
  <r>
    <d v="2023-01-04T00:00:00"/>
    <s v="VZ-2023-000022-02"/>
    <x v="2"/>
    <s v="Dočkalová"/>
    <s v="Přikrylová"/>
    <x v="128"/>
    <n v="2"/>
    <s v="Rukavice vyšetřovací nitrilové, nesterilní bez pudru, prodloužené"/>
    <s v="podepsaná smlouva"/>
    <s v="18424300-0"/>
    <m/>
    <n v="1040000"/>
    <x v="0"/>
    <d v="2023-01-09T00:00:00"/>
    <d v="2023-02-15T00:00:00"/>
    <d v="2023-03-07T00:00:00"/>
    <s v="MAPO medical s.r.o."/>
    <m/>
    <n v="546000"/>
    <n v="660660"/>
    <m/>
    <m/>
    <m/>
    <d v="2023-03-07T00:00:00"/>
    <s v="SMLN-2023-617-100007"/>
    <x v="40"/>
  </r>
  <r>
    <d v="2023-01-05T00:00:00"/>
    <s v="VZ-2023-000027"/>
    <x v="2"/>
    <s v="Dočkalová"/>
    <s v="Zdražilová"/>
    <x v="129"/>
    <m/>
    <m/>
    <s v="podepsaná smlouva"/>
    <s v="33140000-3"/>
    <m/>
    <n v="5880000"/>
    <x v="0"/>
    <d v="2023-01-09T00:00:00"/>
    <d v="2023-03-09T00:00:00"/>
    <d v="2023-03-21T00:00:00"/>
    <s v="IMEDEX s.r.o."/>
    <m/>
    <n v="5878500"/>
    <n v="7112985"/>
    <m/>
    <m/>
    <m/>
    <d v="2023-03-22T00:00:00"/>
    <s v="SMLN-2023-617-100035"/>
    <x v="42"/>
  </r>
  <r>
    <d v="2023-01-06T00:00:00"/>
    <s v="VZ-2023-000028"/>
    <x v="3"/>
    <s v="Olejníček"/>
    <s v="Staňková"/>
    <x v="130"/>
    <m/>
    <m/>
    <s v="podepsaná smlouva"/>
    <s v="33000000-0"/>
    <s v="2.3.644."/>
    <n v="50680"/>
    <x v="2"/>
    <d v="2023-01-11T00:00:00"/>
    <d v="2023-01-19T00:00:00"/>
    <d v="2023-02-07T00:00:00"/>
    <s v="JPL Kovo s.r.o."/>
    <m/>
    <n v="50600"/>
    <n v="61226"/>
    <m/>
    <m/>
    <m/>
    <d v="2023-02-07T00:00:00"/>
    <s v="SMLN-2023-617-000087"/>
    <x v="44"/>
  </r>
  <r>
    <d v="2023-01-06T00:00:00"/>
    <s v="VZ-2023-000029"/>
    <x v="3"/>
    <s v="Olejníček"/>
    <s v="Kučera"/>
    <x v="131"/>
    <m/>
    <m/>
    <s v="podepsaná smlouva"/>
    <s v="33112000-8"/>
    <m/>
    <n v="1550744"/>
    <x v="0"/>
    <d v="2023-01-12T00:00:00"/>
    <d v="2023-02-14T00:00:00"/>
    <d v="2023-02-24T00:00:00"/>
    <s v="Electric Medical Service, s.r.o."/>
    <m/>
    <n v="1490300"/>
    <n v="1803263"/>
    <m/>
    <m/>
    <m/>
    <d v="2023-02-24T00:00:00"/>
    <s v="SMLN-2023-617-000124_x000a_SMLN-2023-612-000023"/>
    <x v="47"/>
  </r>
  <r>
    <d v="2023-01-06T00:00:00"/>
    <s v="VZ-2023-000030"/>
    <x v="13"/>
    <s v="Miklík"/>
    <s v="Staňková"/>
    <x v="132"/>
    <m/>
    <m/>
    <s v="podepsaná smlouva"/>
    <s v="72611000-6"/>
    <m/>
    <n v="960000"/>
    <x v="2"/>
    <d v="2023-01-12T00:00:00"/>
    <d v="2023-01-20T00:00:00"/>
    <d v="2023-01-24T00:00:00"/>
    <s v="3S.cz, s.r.o."/>
    <m/>
    <n v="887392"/>
    <n v="1073744.32"/>
    <m/>
    <m/>
    <m/>
    <d v="2023-01-24T00:00:00"/>
    <s v="SMLN-2023-612-000014"/>
    <x v="25"/>
  </r>
  <r>
    <d v="2023-01-05T00:00:00"/>
    <s v="VZ-2023-000032"/>
    <x v="2"/>
    <s v="Dočkalová"/>
    <s v="Přikrylová"/>
    <x v="133"/>
    <m/>
    <m/>
    <s v="podepsaná smlouva"/>
    <s v="33168000-5"/>
    <m/>
    <n v="3929600"/>
    <x v="0"/>
    <d v="2023-01-12T00:00:00"/>
    <d v="2023-03-20T00:00:00"/>
    <d v="2023-04-05T00:00:00"/>
    <s v="Medtronic Czechia s.r.o."/>
    <m/>
    <n v="3929600"/>
    <n v="4754816"/>
    <m/>
    <m/>
    <m/>
    <d v="2023-04-05T00:00:00"/>
    <s v="SMLN-2023-617-100076_x000a_SMLN-2023-614-100010_x000a_SMLN-2023-616-100006"/>
    <x v="66"/>
  </r>
  <r>
    <d v="2023-01-06T00:00:00"/>
    <s v="VZ-2023-000033"/>
    <x v="10"/>
    <s v="Kadlec"/>
    <s v="Štýbnarová"/>
    <x v="134"/>
    <m/>
    <m/>
    <s v="podepsaná smlouva"/>
    <s v="45453000-7"/>
    <m/>
    <n v="450000"/>
    <x v="2"/>
    <d v="2023-01-10T00:00:00"/>
    <d v="2023-01-18T00:00:00"/>
    <d v="2023-02-01T00:00:00"/>
    <s v="ELEKTRO-FLEXI s.r.o."/>
    <m/>
    <n v="555894.1"/>
    <n v="672894.1"/>
    <m/>
    <m/>
    <m/>
    <d v="2023-02-01T00:00:00"/>
    <s v="SMLN-2023-618-000004"/>
    <x v="47"/>
  </r>
  <r>
    <d v="2023-01-09T00:00:00"/>
    <s v="VZ-2023-000036"/>
    <x v="2"/>
    <s v="Dočkalová"/>
    <s v="Štýbnarová"/>
    <x v="135"/>
    <m/>
    <m/>
    <s v="podepsaná smlouva"/>
    <s v="33140000-3"/>
    <m/>
    <n v="1704347.82"/>
    <x v="2"/>
    <d v="2023-01-10T00:00:00"/>
    <d v="2023-01-18T00:00:00"/>
    <d v="2023-02-08T00:00:00"/>
    <s v="Medtronic Czechia s.r.o."/>
    <m/>
    <n v="1704347.82"/>
    <n v="1960000"/>
    <m/>
    <m/>
    <m/>
    <d v="2023-02-08T00:00:00"/>
    <s v="SMLN-2023-617-000088"/>
    <x v="0"/>
  </r>
  <r>
    <d v="2023-01-09T00:00:00"/>
    <s v="VZ-2023-000037-01"/>
    <x v="3"/>
    <s v="Olejníček"/>
    <s v="Kučera"/>
    <x v="136"/>
    <n v="1"/>
    <s v="Urologická klinika"/>
    <s v="podepsaná smlouva"/>
    <s v="33195100-4"/>
    <s v="2.3.673."/>
    <n v="332000"/>
    <x v="0"/>
    <d v="2023-01-16T00:00:00"/>
    <d v="2023-02-17T00:00:00"/>
    <d v="2023-03-16T00:00:00"/>
    <s v="CHEIRÓN a.s."/>
    <m/>
    <n v="331970.5"/>
    <n v="401684.31"/>
    <m/>
    <m/>
    <m/>
    <d v="2023-03-16T00:00:00"/>
    <s v="SMLN-2023-617-100024_x000a_SMLN-2023-612-100006"/>
    <x v="40"/>
  </r>
  <r>
    <d v="2023-01-09T00:00:00"/>
    <s v="VZ-2023-000037-02"/>
    <x v="3"/>
    <s v="Olejníček"/>
    <s v="Kučera"/>
    <x v="136"/>
    <n v="2"/>
    <s v="HOK"/>
    <s v="zrušeno"/>
    <s v="33195100-4"/>
    <s v="2.3.636."/>
    <n v="432579"/>
    <x v="0"/>
    <d v="2023-01-16T00:00:00"/>
    <d v="2023-02-17T00:00:00"/>
    <m/>
    <s v="zrušeno - úprava specifikace"/>
    <m/>
    <m/>
    <m/>
    <m/>
    <m/>
    <m/>
    <m/>
    <m/>
    <x v="10"/>
  </r>
  <r>
    <d v="2023-01-09T00:00:00"/>
    <s v="VZ-2023-000037-03"/>
    <x v="3"/>
    <s v="Olejníček"/>
    <s v="Kučera"/>
    <x v="136"/>
    <n v="3"/>
    <s v="Neurochirurgie"/>
    <s v="podepsaná smlouva"/>
    <s v="33195100-4"/>
    <s v="2.3.609."/>
    <n v="4706000"/>
    <x v="0"/>
    <d v="2023-01-16T00:00:00"/>
    <d v="2023-02-17T00:00:00"/>
    <d v="2023-03-16T00:00:00"/>
    <s v="S + T Plus s.r.o."/>
    <m/>
    <n v="4651280"/>
    <n v="5628048.7999999998"/>
    <m/>
    <m/>
    <m/>
    <d v="2023-03-16T00:00:00"/>
    <s v="SMLN-2023-617-100025_x000a_SMLN-2023-612-100007"/>
    <x v="42"/>
  </r>
  <r>
    <d v="2023-01-09T00:00:00"/>
    <s v="VZ-2023-000037-04"/>
    <x v="3"/>
    <s v="Olejníček"/>
    <s v="Kučera"/>
    <x v="136"/>
    <n v="4"/>
    <s v="Neurologie"/>
    <s v="podepsaná smlouva"/>
    <s v="33195100-4"/>
    <s v="2.3.645."/>
    <n v="2851000"/>
    <x v="0"/>
    <d v="2023-01-16T00:00:00"/>
    <d v="2023-02-17T00:00:00"/>
    <d v="2023-03-16T00:00:00"/>
    <s v="S + T Plus s.r.o."/>
    <m/>
    <n v="2775880"/>
    <n v="3358814.8"/>
    <m/>
    <m/>
    <m/>
    <d v="2023-03-16T00:00:00"/>
    <s v="SMLN-2023-617-100026_x000a_SMLP-2023-624-100001"/>
    <x v="40"/>
  </r>
  <r>
    <d v="2023-01-13T00:00:00"/>
    <s v="VZ-2023-000051"/>
    <x v="8"/>
    <s v="Srovnal"/>
    <s v="Kučera"/>
    <x v="137"/>
    <m/>
    <m/>
    <s v="podepsaná smlouva"/>
    <s v="44421600-3"/>
    <m/>
    <n v="2000000"/>
    <x v="1"/>
    <d v="2023-01-24T00:00:00"/>
    <d v="2023-02-10T00:00:00"/>
    <d v="2023-02-23T00:00:00"/>
    <s v="EBIS, spol. s r.o."/>
    <m/>
    <n v="1600580"/>
    <n v="1936701.8"/>
    <m/>
    <m/>
    <m/>
    <d v="2023-02-23T00:00:00"/>
    <s v="SMLN-2023-612-000022"/>
    <x v="21"/>
  </r>
  <r>
    <d v="2023-01-17T00:00:00"/>
    <s v="VZ-2023-000061-01"/>
    <x v="2"/>
    <s v="Dočkalová"/>
    <s v="Zdražilová"/>
    <x v="138"/>
    <n v="1"/>
    <s v="Hadičky spojovací transparentní"/>
    <s v="podepsaná smlouva"/>
    <s v="33140000-3"/>
    <m/>
    <n v="3271800"/>
    <x v="0"/>
    <d v="2023-01-24T00:00:00"/>
    <d v="2023-02-28T00:00:00"/>
    <d v="2023-04-27T00:00:00"/>
    <s v="Perfect Distribution a.s."/>
    <m/>
    <n v="2359570"/>
    <n v="2855079.7"/>
    <m/>
    <m/>
    <m/>
    <d v="2023-04-27T00:00:00"/>
    <s v="SMLN-2023-617-100132"/>
    <x v="67"/>
  </r>
  <r>
    <d v="2023-01-17T00:00:00"/>
    <s v="VZ-2023-000061-02"/>
    <x v="2"/>
    <s v="Dočkalová"/>
    <s v="Zdražilová"/>
    <x v="138"/>
    <n v="2"/>
    <s v="Hadičky spojovací transparentní heidelbergská"/>
    <s v="zrušeno"/>
    <s v="33140000-3"/>
    <m/>
    <n v="581640"/>
    <x v="0"/>
    <d v="2023-01-24T00:00:00"/>
    <d v="2023-02-28T00:00:00"/>
    <d v="2023-04-27T00:00:00"/>
    <s v="zrušeno - neposkytnutí součinnosti B. Braun"/>
    <s v="nová VZ-2023-000736"/>
    <n v="581640"/>
    <n v="703784"/>
    <m/>
    <m/>
    <m/>
    <d v="2023-04-27T00:00:00"/>
    <s v="SMLN-2023-617-100133"/>
    <x v="10"/>
  </r>
  <r>
    <d v="2023-01-13T00:00:00"/>
    <s v="VZ-2023-000065"/>
    <x v="2"/>
    <s v="Dočkalová"/>
    <s v="Přikrylová"/>
    <x v="139"/>
    <m/>
    <m/>
    <s v="podepsaná smlouva"/>
    <s v="33140000-3"/>
    <m/>
    <n v="5434000"/>
    <x v="0"/>
    <d v="2023-01-24T00:00:00"/>
    <d v="2023-02-27T00:00:00"/>
    <d v="2023-04-05T00:00:00"/>
    <s v="INLAB Medical s.r.o."/>
    <m/>
    <n v="5434000"/>
    <n v="6249100"/>
    <m/>
    <m/>
    <m/>
    <d v="2023-04-05T00:00:00"/>
    <s v="SMLN-2023-617-100078"/>
    <x v="53"/>
  </r>
  <r>
    <d v="2023-01-18T00:00:00"/>
    <s v="VZ-2023-000071"/>
    <x v="0"/>
    <s v="Vondrková"/>
    <s v="Bodinková"/>
    <x v="140"/>
    <m/>
    <m/>
    <s v="podepsaná smlouva"/>
    <s v="33661600-7"/>
    <m/>
    <n v="1593521"/>
    <x v="2"/>
    <d v="2023-02-14T00:00:00"/>
    <d v="2023-03-03T00:00:00"/>
    <d v="2023-03-31T00:00:00"/>
    <s v="PHOENIX lék. velkoobchod, s.r.o."/>
    <m/>
    <n v="1231571.96"/>
    <n v="1354729.16"/>
    <m/>
    <m/>
    <m/>
    <d v="2023-03-31T00:00:00"/>
    <s v="SMLN-2023-617-100065"/>
    <x v="32"/>
  </r>
  <r>
    <d v="2023-01-18T00:00:00"/>
    <s v="VZ-2023-000072"/>
    <x v="0"/>
    <s v="Vlčková"/>
    <s v="Bodinková"/>
    <x v="141"/>
    <m/>
    <m/>
    <s v="zrušeno"/>
    <s v="33741300-9"/>
    <m/>
    <n v="16921216"/>
    <x v="0"/>
    <d v="2023-12-27T00:00:00"/>
    <d v="2024-04-05T00:00:00"/>
    <m/>
    <s v="zrušeno - pouze jedna nabídka"/>
    <m/>
    <m/>
    <m/>
    <m/>
    <m/>
    <m/>
    <m/>
    <m/>
    <x v="10"/>
  </r>
  <r>
    <d v="2023-01-18T00:00:00"/>
    <s v="VZ-2023-000073-01"/>
    <x v="0"/>
    <s v="Vlčková"/>
    <s v="Bodinková"/>
    <x v="142"/>
    <n v="1"/>
    <s v="Dezinfekční přípravky pro operační instrumentárium"/>
    <s v="podepsaná smlouva"/>
    <s v="33631600-8"/>
    <m/>
    <n v="1750332"/>
    <x v="0"/>
    <d v="2023-04-11T00:00:00"/>
    <d v="2023-07-07T00:00:00"/>
    <d v="2023-11-22T00:00:00"/>
    <s v="PROMEDICA PRAHA GROUP, a.s."/>
    <m/>
    <n v="484407.96"/>
    <n v="586133.63"/>
    <m/>
    <m/>
    <m/>
    <d v="2023-11-22T00:00:00"/>
    <s v="SMLN-2023-617-100635"/>
    <x v="68"/>
  </r>
  <r>
    <d v="2023-01-18T00:00:00"/>
    <s v="VZ-2023-000073-02"/>
    <x v="0"/>
    <s v="Vlčková"/>
    <s v="Bodinková"/>
    <x v="142"/>
    <n v="2"/>
    <s v="Dezinfekční přípravky na nástroje"/>
    <s v="podepsaná smlouva"/>
    <s v="33631600-8"/>
    <m/>
    <n v="1997656"/>
    <x v="0"/>
    <d v="2023-04-11T00:00:00"/>
    <d v="2023-07-07T00:00:00"/>
    <d v="2023-11-22T00:00:00"/>
    <s v="PROMEDICA PRAHA GROUP, a.s."/>
    <m/>
    <n v="520703.92"/>
    <n v="630051.74"/>
    <m/>
    <m/>
    <m/>
    <d v="2023-11-22T00:00:00"/>
    <s v="SMLN-2023-617-100636"/>
    <x v="68"/>
  </r>
  <r>
    <d v="2023-01-18T00:00:00"/>
    <s v="VZ-2023-000074-01"/>
    <x v="0"/>
    <s v="Vlčková"/>
    <s v="Bodinková"/>
    <x v="143"/>
    <n v="1"/>
    <s v="Dezinfekce kůže před vpichem a operačního pole "/>
    <s v="podepsaná smlouva"/>
    <s v="33631600-8"/>
    <m/>
    <n v="1495290"/>
    <x v="0"/>
    <d v="2023-07-17T00:00:00"/>
    <d v="2023-10-04T00:00:00"/>
    <d v="2023-11-09T00:00:00"/>
    <s v="B. Braun Medical s.r.o."/>
    <m/>
    <n v="1247598"/>
    <n v="1509593.58"/>
    <m/>
    <m/>
    <m/>
    <d v="2023-11-09T00:00:00"/>
    <s v="SMLN-2023-617-100604"/>
    <x v="69"/>
  </r>
  <r>
    <d v="2023-01-18T00:00:00"/>
    <s v="VZ-2023-000074-02"/>
    <x v="0"/>
    <s v="Vlčková"/>
    <s v="Bodinková"/>
    <x v="143"/>
    <n v="2"/>
    <s v="Dezinfekce kůže a operačního pole s obsahem PVP-jodu"/>
    <s v="zrušeno"/>
    <s v="33631600-8"/>
    <m/>
    <n v="1016291"/>
    <x v="0"/>
    <d v="2023-07-17T00:00:00"/>
    <d v="2023-10-04T00:00:00"/>
    <m/>
    <s v="zrušeno - bez nabídky"/>
    <s v="nová VZ-2023-001242"/>
    <m/>
    <m/>
    <m/>
    <m/>
    <m/>
    <m/>
    <m/>
    <x v="10"/>
  </r>
  <r>
    <d v="2023-01-18T00:00:00"/>
    <s v="VZ-2023-000074-03"/>
    <x v="0"/>
    <s v="Vlčková"/>
    <s v="Bodinková"/>
    <x v="143"/>
    <n v="3"/>
    <s v="Oktenidin"/>
    <s v="podepsaná smlouva"/>
    <s v="33631600-8"/>
    <m/>
    <n v="91126"/>
    <x v="0"/>
    <d v="2023-07-17T00:00:00"/>
    <d v="2023-10-04T00:00:00"/>
    <d v="2023-11-09T00:00:00"/>
    <s v="PHOENIX lék. Velkoobchod, s.r.o."/>
    <m/>
    <n v="91117.74"/>
    <n v="100229.51"/>
    <m/>
    <m/>
    <m/>
    <d v="2023-11-09T00:00:00"/>
    <s v="SMLN-2023-617-100605"/>
    <x v="70"/>
  </r>
  <r>
    <d v="2023-01-18T00:00:00"/>
    <s v="VZ-2023-000078-01"/>
    <x v="0"/>
    <s v="Vlčková"/>
    <s v="Bodinková"/>
    <x v="144"/>
    <n v="1"/>
    <s v="Dezinfekční ubrousky na bázi alkoholu"/>
    <s v="podepsaná smlouva"/>
    <s v="33631600-8"/>
    <m/>
    <n v="1004592"/>
    <x v="0"/>
    <d v="2023-08-23T00:00:00"/>
    <d v="2023-12-27T00:00:00"/>
    <d v="2024-04-16T00:00:00"/>
    <s v="PROMEDICA PRAHA GROUP, a.s."/>
    <m/>
    <n v="843120"/>
    <n v="1020175.2"/>
    <m/>
    <m/>
    <m/>
    <d v="2024-04-16T00:00:00"/>
    <s v="SMLN-2024-617-100225"/>
    <x v="71"/>
  </r>
  <r>
    <d v="2023-01-18T00:00:00"/>
    <s v="VZ-2023-000078-02"/>
    <x v="0"/>
    <s v="Vlčková"/>
    <s v="Bodinková"/>
    <x v="144"/>
    <n v="2"/>
    <s v="Dezinfekční ubrousky na citlivé povrchy"/>
    <s v="podepsaná smlouva"/>
    <s v="33631600-8"/>
    <m/>
    <n v="1472861"/>
    <x v="0"/>
    <d v="2023-08-23T00:00:00"/>
    <d v="2023-12-27T00:00:00"/>
    <d v="2024-04-16T00:00:00"/>
    <s v="PROMEDICA PRAHA GROUP, a.s."/>
    <m/>
    <n v="619423.19999999995"/>
    <n v="749502.07"/>
    <m/>
    <m/>
    <m/>
    <d v="2024-04-16T00:00:00"/>
    <s v="SMLN-2024-617-100226"/>
    <x v="71"/>
  </r>
  <r>
    <d v="2023-01-18T00:00:00"/>
    <s v="VZ-2023-000078-03"/>
    <x v="0"/>
    <s v="Vlčková"/>
    <s v="Bodinková"/>
    <x v="144"/>
    <n v="3"/>
    <s v="Dezinfekční ubrousky pro ultrazvukové sondy"/>
    <s v="podepsaná smlouva"/>
    <s v="33631600-8"/>
    <m/>
    <n v="1370872"/>
    <x v="0"/>
    <d v="2023-08-23T00:00:00"/>
    <d v="2023-12-27T00:00:00"/>
    <d v="2024-04-16T00:00:00"/>
    <s v="B. Braun Medical s.r.o."/>
    <m/>
    <n v="587628.80000000005"/>
    <n v="711030.85"/>
    <m/>
    <m/>
    <m/>
    <d v="2024-04-16T00:00:00"/>
    <s v="SMLN-2024-617-100228"/>
    <x v="71"/>
  </r>
  <r>
    <d v="2023-01-18T00:00:00"/>
    <s v="VZ-2023-000078-04"/>
    <x v="0"/>
    <s v="Vlčková"/>
    <s v="Bodinková"/>
    <x v="144"/>
    <n v="4"/>
    <s v="Dezinfekční přípravky s rozprašovačem I."/>
    <s v="podepsaná smlouva"/>
    <s v="33631600-8"/>
    <m/>
    <n v="537315"/>
    <x v="0"/>
    <d v="2023-08-23T00:00:00"/>
    <d v="2023-12-27T00:00:00"/>
    <d v="2024-04-16T00:00:00"/>
    <s v="B. Braun Medical s.r.o."/>
    <m/>
    <n v="507600"/>
    <n v="614196"/>
    <m/>
    <m/>
    <m/>
    <d v="2024-04-16T00:00:00"/>
    <s v="SMLN-2024-617-100229"/>
    <x v="71"/>
  </r>
  <r>
    <d v="2023-01-18T00:00:00"/>
    <s v="VZ-2023-000078-05"/>
    <x v="0"/>
    <s v="Vlčková"/>
    <s v="Bodinková"/>
    <x v="144"/>
    <n v="5"/>
    <s v="Dezinfekční přípravky s rozprašovačem II."/>
    <s v="podepsaná smlouva"/>
    <s v="33631600-8"/>
    <m/>
    <n v="87859"/>
    <x v="0"/>
    <d v="2023-08-23T00:00:00"/>
    <d v="2023-12-27T00:00:00"/>
    <d v="2024-04-16T00:00:00"/>
    <s v="B. Braun Medical s.r.o."/>
    <m/>
    <n v="86196"/>
    <n v="104297.16"/>
    <m/>
    <m/>
    <m/>
    <d v="2024-04-16T00:00:00"/>
    <s v="SMLN-2024-617-100230"/>
    <x v="71"/>
  </r>
  <r>
    <d v="2023-01-18T00:00:00"/>
    <s v="VZ-2023-000078-06"/>
    <x v="0"/>
    <s v="Vlčková"/>
    <s v="Bodinková"/>
    <x v="144"/>
    <n v="6"/>
    <s v="Dezinfekční přípravky ve formě pěny"/>
    <s v="podepsaná smlouva"/>
    <s v="33631600-8"/>
    <m/>
    <n v="96382"/>
    <x v="0"/>
    <d v="2023-08-23T00:00:00"/>
    <d v="2023-12-27T00:00:00"/>
    <d v="2024-04-16T00:00:00"/>
    <s v="PROMEDICA PRAHA GROUP, a.s."/>
    <m/>
    <n v="81466.67"/>
    <n v="98574.67"/>
    <m/>
    <m/>
    <m/>
    <d v="2024-04-16T00:00:00"/>
    <s v="SMLN-2024-617-100231"/>
    <x v="71"/>
  </r>
  <r>
    <d v="2023-01-18T00:00:00"/>
    <s v="VZ-2023-000078-07"/>
    <x v="0"/>
    <s v="Vlčková"/>
    <s v="Bodinková"/>
    <x v="144"/>
    <n v="7"/>
    <s v="Tekutý koncentrát pro malé plochy, utěrky a zásobníky"/>
    <s v="podepsaná smlouva"/>
    <s v="33631600-8"/>
    <m/>
    <n v="2438372"/>
    <x v="0"/>
    <d v="2023-08-23T00:00:00"/>
    <d v="2023-12-27T00:00:00"/>
    <d v="2024-04-16T00:00:00"/>
    <s v="B. Braun Medical s.r.o."/>
    <m/>
    <n v="2294742.73"/>
    <n v="2776638.7"/>
    <m/>
    <m/>
    <m/>
    <d v="2024-04-16T00:00:00"/>
    <s v="SMLN-2024-617-100232"/>
    <x v="71"/>
  </r>
  <r>
    <d v="2023-01-18T00:00:00"/>
    <s v="VZ-2023-000078-08"/>
    <x v="0"/>
    <s v="Vlčková"/>
    <s v="Bodinková"/>
    <x v="144"/>
    <n v="8"/>
    <s v=" Velké plochy, předměty"/>
    <s v="zrušeno"/>
    <s v="33631600-8"/>
    <m/>
    <n v="1866474"/>
    <x v="0"/>
    <d v="2023-08-23T00:00:00"/>
    <d v="2023-12-27T00:00:00"/>
    <m/>
    <s v="zrušeno - bez nabídky"/>
    <m/>
    <m/>
    <m/>
    <m/>
    <m/>
    <m/>
    <m/>
    <m/>
    <x v="10"/>
  </r>
  <r>
    <d v="2023-01-23T00:00:00"/>
    <s v="VZ-2023-000081-01"/>
    <x v="11"/>
    <s v="Zdráhalová"/>
    <s v="Kučera"/>
    <x v="145"/>
    <n v="1"/>
    <s v="Set biventricular a Set elektrofyziologický"/>
    <s v="podepsaná smlouva"/>
    <s v="33141620-2"/>
    <m/>
    <n v="7408057.2800000003"/>
    <x v="0"/>
    <d v="2023-02-14T00:00:00"/>
    <d v="2023-03-20T00:00:00"/>
    <d v="2023-07-17T00:00:00"/>
    <s v="Manlomka s.r.o."/>
    <m/>
    <n v="5914300.4000000004"/>
    <n v="7156303.4800000004"/>
    <m/>
    <m/>
    <m/>
    <d v="2023-07-17T00:00:00"/>
    <s v="SMLN-2023-617-100324"/>
    <x v="72"/>
  </r>
  <r>
    <d v="2023-01-23T00:00:00"/>
    <s v="VZ-2023-000081-02"/>
    <x v="11"/>
    <s v="Zdráhalová"/>
    <s v="Kučera"/>
    <x v="145"/>
    <n v="2"/>
    <s v="Set angiodyn kit Cath-Lab KORONÁRNÍ a Set angiodyn kit Cath-Lab NEKORONÁRNÍ"/>
    <s v="podepsaná smlouva"/>
    <s v="33141620-2"/>
    <m/>
    <n v="10214400"/>
    <x v="0"/>
    <d v="2023-02-14T00:00:00"/>
    <d v="2023-03-20T00:00:00"/>
    <d v="2023-07-17T00:00:00"/>
    <s v="B. Braun Medical s.r.o."/>
    <m/>
    <n v="9544000"/>
    <n v="11548240"/>
    <m/>
    <m/>
    <m/>
    <d v="2023-07-17T00:00:00"/>
    <s v="SMLN-2023-617-100325"/>
    <x v="73"/>
  </r>
  <r>
    <d v="2022-12-01T00:00:00"/>
    <s v="VZ-2023-000083-01"/>
    <x v="0"/>
    <s v="Vondrková"/>
    <s v="Bodinková"/>
    <x v="146"/>
    <n v="1"/>
    <s v="THYROTROPIN ALFA"/>
    <s v="podepsaná smlouva"/>
    <s v="33642000-2"/>
    <m/>
    <n v="9752898"/>
    <x v="0"/>
    <d v="2023-01-24T00:00:00"/>
    <d v="2023-03-21T00:00:00"/>
    <d v="2023-04-20T00:00:00"/>
    <s v="sanofi-aventis, s.r.o."/>
    <m/>
    <n v="3699374.8"/>
    <n v="4069312.28"/>
    <m/>
    <m/>
    <m/>
    <d v="2023-04-20T00:00:00"/>
    <s v="SMLN-2023-617-100110"/>
    <x v="74"/>
  </r>
  <r>
    <d v="2022-12-01T00:00:00"/>
    <s v="VZ-2023-000083-02"/>
    <x v="0"/>
    <s v="Vondrková"/>
    <s v="Bodinková"/>
    <x v="146"/>
    <n v="2"/>
    <s v="PEGVISOMANT"/>
    <s v="podepsaná smlouva"/>
    <s v="33642000-2"/>
    <m/>
    <n v="114943847"/>
    <x v="0"/>
    <d v="2023-01-24T00:00:00"/>
    <d v="2023-03-21T00:00:00"/>
    <d v="2023-04-20T00:00:00"/>
    <s v="PHOENIX lék. velkoobchod, s.r.o."/>
    <m/>
    <n v="30583103.359999999"/>
    <n v="33641413.700000003"/>
    <m/>
    <m/>
    <m/>
    <d v="2023-04-20T00:00:00"/>
    <s v="SMLN-2023-617-100112"/>
    <x v="74"/>
  </r>
  <r>
    <d v="2022-12-01T00:00:00"/>
    <s v="VZ-2023-000084-01"/>
    <x v="0"/>
    <s v="Vondrková"/>
    <s v="Bodinková"/>
    <x v="147"/>
    <n v="1"/>
    <s v="ONDANSETRON"/>
    <s v="podepsaná smlouva"/>
    <s v="33652200-7 "/>
    <m/>
    <n v="866508"/>
    <x v="0"/>
    <d v="2023-02-14T00:00:00"/>
    <d v="2023-04-24T00:00:00"/>
    <d v="2023-05-25T00:00:00"/>
    <s v="Alliance Healthcare s.r.o."/>
    <m/>
    <n v="827169.6"/>
    <n v="909886.56"/>
    <m/>
    <m/>
    <m/>
    <d v="2023-05-25T00:00:00"/>
    <s v="SMLN-2023-617-100210"/>
    <x v="75"/>
  </r>
  <r>
    <d v="2022-12-01T00:00:00"/>
    <s v="VZ-2023-000084-02"/>
    <x v="0"/>
    <s v="Vondrková"/>
    <s v="Bodinková"/>
    <x v="147"/>
    <n v="2"/>
    <s v="GRANISETRON"/>
    <s v="podepsaná smlouva"/>
    <s v="33652200-7 "/>
    <m/>
    <n v="220968"/>
    <x v="0"/>
    <d v="2023-02-14T00:00:00"/>
    <d v="2023-04-24T00:00:00"/>
    <d v="2023-05-25T00:00:00"/>
    <s v="PHOENIX lék. velkoobchod, s.r.o."/>
    <m/>
    <n v="108351.2"/>
    <n v="119186.32"/>
    <m/>
    <m/>
    <m/>
    <d v="2023-05-25T00:00:00"/>
    <s v="SMLN-2023-617-100211"/>
    <x v="75"/>
  </r>
  <r>
    <d v="2022-12-01T00:00:00"/>
    <s v="VZ-2023-000084-03"/>
    <x v="0"/>
    <s v="Vondrková"/>
    <s v="Bodinková"/>
    <x v="147"/>
    <n v="3"/>
    <s v="PALONOSETRON"/>
    <s v="podepsaná smlouva"/>
    <s v="33652200-7 "/>
    <m/>
    <n v="1129414"/>
    <x v="0"/>
    <d v="2023-02-14T00:00:00"/>
    <d v="2023-04-24T00:00:00"/>
    <d v="2023-05-25T00:00:00"/>
    <s v="Alliance Healthcare s.r.o."/>
    <m/>
    <n v="817159.68000000005"/>
    <n v="898875.65"/>
    <m/>
    <m/>
    <m/>
    <d v="2023-05-25T00:00:00"/>
    <s v="SMLN-2023-617-100212"/>
    <x v="75"/>
  </r>
  <r>
    <d v="2023-01-23T00:00:00"/>
    <s v="VZ-2023-000085"/>
    <x v="8"/>
    <s v="Srovnal"/>
    <s v="Štýbnarová"/>
    <x v="148"/>
    <m/>
    <m/>
    <s v="zrušeno"/>
    <s v="45453100-8"/>
    <m/>
    <n v="1500000"/>
    <x v="2"/>
    <d v="2023-01-26T00:00:00"/>
    <d v="2023-02-03T00:00:00"/>
    <m/>
    <s v="zrušeno - není zajištěno financování"/>
    <s v="nová VZ-2023-000652"/>
    <m/>
    <m/>
    <m/>
    <m/>
    <m/>
    <m/>
    <m/>
    <x v="10"/>
  </r>
  <r>
    <d v="2023-01-17T00:00:00"/>
    <s v="VZ-2023-000086"/>
    <x v="0"/>
    <s v="Ondráčková"/>
    <s v="Bodinková"/>
    <x v="149"/>
    <m/>
    <m/>
    <s v="zrušeno"/>
    <s v="38522000-0"/>
    <s v="2.2.490, 2.2.491"/>
    <n v="7800000"/>
    <x v="0"/>
    <d v="2023-03-13T00:00:00"/>
    <d v="2023-04-17T00:00:00"/>
    <m/>
    <s v="zrušeno - bez hodnotitelné nabídky"/>
    <s v="nová VZ-2023-000523"/>
    <m/>
    <m/>
    <m/>
    <m/>
    <m/>
    <m/>
    <m/>
    <x v="10"/>
  </r>
  <r>
    <d v="2023-01-18T00:00:00"/>
    <s v="VZ-2023-000092"/>
    <x v="1"/>
    <s v="Svozil"/>
    <s v="Kučera"/>
    <x v="150"/>
    <m/>
    <m/>
    <s v="zrušeno"/>
    <s v="90500000-2"/>
    <m/>
    <n v="2200000"/>
    <x v="0"/>
    <d v="2023-02-16T00:00:00"/>
    <d v="2023-03-21T00:00:00"/>
    <m/>
    <s v="zrušeno - ekonomické důvody"/>
    <m/>
    <m/>
    <m/>
    <m/>
    <m/>
    <m/>
    <m/>
    <m/>
    <x v="10"/>
  </r>
  <r>
    <d v="2023-01-18T00:00:00"/>
    <s v="VZ-2023-000093"/>
    <x v="1"/>
    <s v="Svozil"/>
    <s v="Kučera"/>
    <x v="151"/>
    <m/>
    <m/>
    <s v="zrušeno"/>
    <s v="90500000-2"/>
    <m/>
    <n v="1500000"/>
    <x v="0"/>
    <d v="2023-02-16T00:00:00"/>
    <d v="2023-03-21T00:00:00"/>
    <m/>
    <s v="zrušeno - ekonomické důvody"/>
    <m/>
    <m/>
    <m/>
    <m/>
    <m/>
    <m/>
    <m/>
    <m/>
    <x v="10"/>
  </r>
  <r>
    <d v="2023-01-18T00:00:00"/>
    <s v="VZ-2023-000094"/>
    <x v="1"/>
    <s v="Svozil"/>
    <s v="Kučera"/>
    <x v="152"/>
    <m/>
    <m/>
    <s v="podepsaná smlouva"/>
    <s v="90500000-2"/>
    <m/>
    <n v="4200000"/>
    <x v="0"/>
    <d v="2023-02-16T00:00:00"/>
    <d v="2023-03-21T00:00:00"/>
    <d v="2023-04-24T00:00:00"/>
    <s v="Recovera Využití zdrojů a.s."/>
    <m/>
    <n v="15380913.02"/>
    <n v="18610904.75"/>
    <m/>
    <m/>
    <m/>
    <d v="2023-04-24T00:00:00"/>
    <s v="SMLN-2023-612-100023"/>
    <x v="76"/>
  </r>
  <r>
    <d v="2023-01-24T00:00:00"/>
    <s v="VZ-2023-000097"/>
    <x v="13"/>
    <s v="Miklík"/>
    <s v="Štýbnarová"/>
    <x v="153"/>
    <m/>
    <m/>
    <s v="podepsaná smlouva"/>
    <s v="72261000-2"/>
    <m/>
    <n v="675000"/>
    <x v="2"/>
    <d v="2023-01-30T00:00:00"/>
    <d v="2023-02-10T00:00:00"/>
    <d v="2023-02-13T00:00:00"/>
    <s v="DATA-INTER spol. s r.o."/>
    <m/>
    <n v="576900"/>
    <n v="698049"/>
    <m/>
    <m/>
    <m/>
    <d v="2023-02-13T00:00:00"/>
    <s v="SMLN-2023-612-000019"/>
    <x v="77"/>
  </r>
  <r>
    <d v="2023-01-25T00:00:00"/>
    <s v="VZ-2023-000098"/>
    <x v="5"/>
    <s v="Zeman"/>
    <s v="Štýbnarová"/>
    <x v="154"/>
    <m/>
    <m/>
    <s v="podepsaná smlouva"/>
    <s v="71000000-8"/>
    <s v="1.2.109."/>
    <n v="400000"/>
    <x v="2"/>
    <d v="2023-01-30T00:00:00"/>
    <d v="2023-02-08T00:00:00"/>
    <d v="2023-02-22T00:00:00"/>
    <s v="LT PROJEKT a.s."/>
    <m/>
    <n v="350000"/>
    <n v="423500"/>
    <m/>
    <m/>
    <m/>
    <d v="2023-02-22T00:00:00"/>
    <s v="SMLN-2023-618-000009"/>
    <x v="48"/>
  </r>
  <r>
    <d v="2023-01-26T00:00:00"/>
    <s v="VZ-2023-000104"/>
    <x v="5"/>
    <s v="Spáčil"/>
    <s v="Štýbnarová"/>
    <x v="155"/>
    <m/>
    <m/>
    <s v="podepsaná smlouva"/>
    <s v="71000000-8"/>
    <s v="1.2.108."/>
    <n v="650000"/>
    <x v="2"/>
    <d v="2023-02-07T00:00:00"/>
    <d v="2023-02-17T00:00:00"/>
    <d v="2023-03-03T00:00:00"/>
    <s v="NELL PROJEKT s.r.o."/>
    <m/>
    <n v="475000"/>
    <n v="574750"/>
    <m/>
    <m/>
    <m/>
    <d v="2023-03-03T00:00:00"/>
    <s v="SMLN-2023-618-000011"/>
    <x v="78"/>
  </r>
  <r>
    <s v="opakovaná VZ"/>
    <s v="VZ-2023-000105"/>
    <x v="13"/>
    <s v="Miklík"/>
    <s v="Kučera"/>
    <x v="156"/>
    <m/>
    <m/>
    <s v="smlouva v kolečku"/>
    <s v="48814000-7"/>
    <m/>
    <n v="60000000"/>
    <x v="0"/>
    <d v="2023-03-07T00:00:00"/>
    <d v="2023-07-31T00:00:00"/>
    <d v="2023-12-12T00:00:00"/>
    <s v="Medical Systems a.s."/>
    <m/>
    <n v="39819795"/>
    <n v="48181951.950000003"/>
    <m/>
    <m/>
    <m/>
    <d v="2023-12-19T00:00:00"/>
    <s v="SMLN-2023-618-100083_x000a_SMLN-2023-612-100155_x000a_SMLN-2023-613-100040"/>
    <x v="10"/>
  </r>
  <r>
    <d v="2023-01-31T00:00:00"/>
    <s v="VZ-2023-000106"/>
    <x v="0"/>
    <s v="Vondrková"/>
    <s v="Bodinková"/>
    <x v="157"/>
    <m/>
    <m/>
    <s v="podepsaná smlouva"/>
    <s v="33652000-5"/>
    <m/>
    <n v="96996000"/>
    <x v="0"/>
    <d v="2023-02-03T00:00:00"/>
    <d v="2023-03-10T00:00:00"/>
    <d v="2023-09-27T00:00:00"/>
    <s v="Novartis s.r.o."/>
    <m/>
    <n v="85519190.040000007"/>
    <n v="94071109.040000007"/>
    <m/>
    <m/>
    <m/>
    <d v="2023-09-27T00:00:00"/>
    <s v="SMLN-2023-617-100523"/>
    <x v="79"/>
  </r>
  <r>
    <d v="2023-01-31T00:00:00"/>
    <s v="VZ-2023-000107"/>
    <x v="0"/>
    <s v="Vondrková"/>
    <s v="Bodinková"/>
    <x v="158"/>
    <m/>
    <m/>
    <s v="podepsaná smlouva"/>
    <s v="33621200-1"/>
    <m/>
    <n v="24718813"/>
    <x v="0"/>
    <d v="2023-02-03T00:00:00"/>
    <d v="2023-03-15T00:00:00"/>
    <d v="2023-03-31T00:00:00"/>
    <s v="ROCHE s.r.o."/>
    <m/>
    <n v="24956932.5"/>
    <n v="27452625.75"/>
    <m/>
    <m/>
    <m/>
    <d v="2023-03-31T00:00:00"/>
    <s v="SMLN-2023-617-100066"/>
    <x v="33"/>
  </r>
  <r>
    <d v="2023-01-31T00:00:00"/>
    <s v="VZ-2023-000108"/>
    <x v="0"/>
    <s v="Vondrková"/>
    <s v="Bodinková"/>
    <x v="159"/>
    <m/>
    <m/>
    <s v="podepsaná smlouva"/>
    <s v="33621000-9"/>
    <m/>
    <n v="5721680"/>
    <x v="0"/>
    <d v="2023-02-03T00:00:00"/>
    <d v="2023-04-11T00:00:00"/>
    <d v="2023-04-28T00:00:00"/>
    <s v="BAXTER CZECH spol. s r.o."/>
    <m/>
    <n v="5721618.1799999997"/>
    <n v="6293780"/>
    <m/>
    <m/>
    <m/>
    <d v="2023-04-28T00:00:00"/>
    <s v="SMLN-2023-617-100137"/>
    <x v="80"/>
  </r>
  <r>
    <d v="2023-02-03T00:00:00"/>
    <s v="VZ-2023-000115"/>
    <x v="3"/>
    <s v="Olejníček"/>
    <s v="Zdražilová"/>
    <x v="160"/>
    <m/>
    <m/>
    <s v="podepsaná smlouva"/>
    <s v="33162100-4"/>
    <s v="2.2.517."/>
    <n v="2608600"/>
    <x v="1"/>
    <d v="2023-02-08T00:00:00"/>
    <d v="2023-02-27T00:00:00"/>
    <d v="2023-03-23T00:00:00"/>
    <s v="SKALA-Medica s.r.o."/>
    <m/>
    <n v="2508500"/>
    <n v="3035285"/>
    <m/>
    <m/>
    <m/>
    <d v="2023-03-23T00:00:00"/>
    <s v="SMLN-2023-617-100040_x000a_SMLN-2023-612-100009_x000a_SMLN-2023-617-100042"/>
    <x v="42"/>
  </r>
  <r>
    <d v="2023-02-06T00:00:00"/>
    <s v="VZ-2023-000118"/>
    <x v="0"/>
    <s v="Vondrková"/>
    <s v="Bodinková"/>
    <x v="161"/>
    <m/>
    <m/>
    <s v="podepsaná smlouva"/>
    <s v="33652000-5"/>
    <m/>
    <n v="210373946"/>
    <x v="0"/>
    <d v="2023-02-16T00:00:00"/>
    <d v="2023-04-24T00:00:00"/>
    <d v="2023-05-11T00:00:00"/>
    <s v="Merck Sharp &amp; Dohme s.r.o."/>
    <m/>
    <n v="210373945.19999999"/>
    <n v="231411368.88"/>
    <m/>
    <m/>
    <m/>
    <d v="2023-05-11T00:00:00"/>
    <s v="SMLN-2023-617-100166"/>
    <x v="59"/>
  </r>
  <r>
    <d v="2023-02-06T00:00:00"/>
    <s v="VZ-2023-000119"/>
    <x v="0"/>
    <s v="Vondrková"/>
    <s v="Bodinková"/>
    <x v="162"/>
    <m/>
    <m/>
    <s v="podepsaná smlouva"/>
    <s v="33661100-2"/>
    <m/>
    <n v="6598800"/>
    <x v="0"/>
    <d v="2023-02-16T00:00:00"/>
    <d v="2023-05-25T00:00:00"/>
    <d v="2023-06-27T00:00:00"/>
    <s v="BAXTER CZECH spol. s r.o."/>
    <m/>
    <n v="6598800"/>
    <n v="7258680"/>
    <m/>
    <m/>
    <m/>
    <d v="2023-06-27T00:00:00"/>
    <s v="SMLN-2023-617-100262"/>
    <x v="58"/>
  </r>
  <r>
    <d v="2023-02-03T00:00:00"/>
    <s v="VZ-2023-000120-01"/>
    <x v="3"/>
    <s v="Olejníček"/>
    <s v="Štýbnarová"/>
    <x v="163"/>
    <n v="1"/>
    <s v="Myčka obuvi"/>
    <s v="zrušeno"/>
    <s v="33191000-5"/>
    <s v="2.2.524,2.2.527."/>
    <n v="931270"/>
    <x v="2"/>
    <d v="2023-02-09T00:00:00"/>
    <d v="2023-02-23T00:00:00"/>
    <m/>
    <s v="zrušeno 2.3.23-chyba v ZD"/>
    <s v="nová VZ-2023-000255"/>
    <m/>
    <m/>
    <m/>
    <m/>
    <m/>
    <m/>
    <m/>
    <x v="10"/>
  </r>
  <r>
    <d v="2023-02-03T00:00:00"/>
    <s v="VZ-2023-000120-02"/>
    <x v="3"/>
    <s v="Olejníček"/>
    <s v="Štýbnarová"/>
    <x v="163"/>
    <n v="2"/>
    <s v="Dezinfektor podložních mís"/>
    <s v="podepsaná smlouva"/>
    <s v="33191000-5"/>
    <s v="2.2.528,2.3.737."/>
    <n v="623884"/>
    <x v="2"/>
    <d v="2023-02-09T00:00:00"/>
    <d v="2023-02-23T00:00:00"/>
    <d v="2023-03-14T00:00:00"/>
    <s v="Fénix Brno, spol. s r.o."/>
    <m/>
    <n v="604424"/>
    <n v="731353.04"/>
    <m/>
    <m/>
    <m/>
    <d v="2023-03-14T00:00:00"/>
    <s v="SMLN-2023-617-100013_x000a_SMLN-2023-612-100004"/>
    <x v="50"/>
  </r>
  <r>
    <s v="opakovaná VZ"/>
    <s v="VZ-2023-000124"/>
    <x v="2"/>
    <s v="Valtová"/>
    <s v="Přikrylová"/>
    <x v="104"/>
    <m/>
    <m/>
    <s v="podepsaná smlouva"/>
    <s v="33140000-3"/>
    <m/>
    <n v="2712000"/>
    <x v="1"/>
    <d v="2023-02-09T00:00:00"/>
    <d v="2023-02-28T00:00:00"/>
    <d v="2023-03-31T00:00:00"/>
    <s v="Johnson &amp; Johnson, s.r.o."/>
    <m/>
    <n v="2712000"/>
    <n v="3118800"/>
    <m/>
    <m/>
    <m/>
    <d v="2023-03-31T00:00:00"/>
    <s v="SMLN-2023-617-100067_x000a_SMLN-2023-614-100009_x000a_SMLN-2023-617-100068"/>
    <x v="33"/>
  </r>
  <r>
    <d v="2023-02-06T00:00:00"/>
    <s v="VZ-2023-000125-01"/>
    <x v="2"/>
    <s v="Dočkalová"/>
    <s v="Přikrylová"/>
    <x v="164"/>
    <n v="1"/>
    <s v="Nástroje chirurgické-specifikováno dle katalogu Tekno-Medical, GmbH a Biomedica ČS"/>
    <s v="podepsaná smlouva"/>
    <s v="33162200-5"/>
    <m/>
    <n v="25200"/>
    <x v="0"/>
    <d v="2023-02-10T00:00:00"/>
    <d v="2023-03-16T00:00:00"/>
    <d v="2023-05-03T00:00:00"/>
    <s v="MEDILAB ČR, s.r.o."/>
    <m/>
    <n v="24152.400000000001"/>
    <n v="29224.400000000001"/>
    <m/>
    <m/>
    <m/>
    <d v="2023-05-03T00:00:00"/>
    <s v="SMLN-2023-617-100142"/>
    <x v="81"/>
  </r>
  <r>
    <d v="2023-02-06T00:00:00"/>
    <s v="VZ-2023-000125-02"/>
    <x v="2"/>
    <s v="Dočkalová"/>
    <s v="Přikrylová"/>
    <x v="164"/>
    <n v="2"/>
    <s v="Nástroje chirurgické-specifikováno dle katalogu MEDICON eG"/>
    <s v="podepsaná smlouva"/>
    <s v="33162200-5"/>
    <m/>
    <n v="95250"/>
    <x v="0"/>
    <d v="2023-02-10T00:00:00"/>
    <d v="2023-03-16T00:00:00"/>
    <d v="2023-05-03T00:00:00"/>
    <s v="RADIX CZ s.r.o."/>
    <m/>
    <n v="129474.55"/>
    <n v="156664.21"/>
    <m/>
    <m/>
    <m/>
    <d v="2023-05-03T00:00:00"/>
    <s v="SMLN-2023-617-100143"/>
    <x v="80"/>
  </r>
  <r>
    <d v="2023-02-06T00:00:00"/>
    <s v="VZ-2023-000125-03"/>
    <x v="2"/>
    <s v="Dočkalová"/>
    <s v="Přikrylová"/>
    <x v="164"/>
    <n v="3"/>
    <s v="Nástroje chirurgické-specifikováno dle katalogu Kohler Medizintechnik GmbH +Co.KG."/>
    <s v="zrušeno"/>
    <s v="33162200-5"/>
    <m/>
    <n v="58077"/>
    <x v="0"/>
    <d v="2023-02-10T00:00:00"/>
    <d v="2023-03-16T00:00:00"/>
    <m/>
    <s v="zrušeno - bez nabídky"/>
    <m/>
    <m/>
    <m/>
    <m/>
    <m/>
    <m/>
    <m/>
    <m/>
    <x v="10"/>
  </r>
  <r>
    <d v="2023-02-06T00:00:00"/>
    <s v="VZ-2023-000125-04"/>
    <x v="2"/>
    <s v="Dočkalová"/>
    <s v="Přikrylová"/>
    <x v="164"/>
    <n v="4"/>
    <s v="Nástroje chirurgické-specifikováno dle katalogu NOPA Instruments Medizintechnik Gmbh"/>
    <s v="podepsaná smlouva"/>
    <s v="33162200-5"/>
    <m/>
    <n v="38506"/>
    <x v="0"/>
    <d v="2023-02-10T00:00:00"/>
    <d v="2023-03-16T00:00:00"/>
    <d v="2023-05-03T00:00:00"/>
    <s v="MEDILAB ČR, s.r.o."/>
    <m/>
    <n v="30669.7"/>
    <n v="37110.339999999997"/>
    <m/>
    <m/>
    <m/>
    <d v="2023-05-03T00:00:00"/>
    <s v="SMLN-2023-617-100144"/>
    <x v="81"/>
  </r>
  <r>
    <d v="2023-02-06T00:00:00"/>
    <s v="VZ-2023-000125-05"/>
    <x v="2"/>
    <s v="Dočkalová"/>
    <s v="Přikrylová"/>
    <x v="164"/>
    <n v="5"/>
    <s v="Nástroje chirurgické-specifikováno dle katalogu RUDOLF Medical GmbH+Co.KG"/>
    <s v="podepsaná smlouva"/>
    <s v="33162200-5"/>
    <m/>
    <n v="78088.38"/>
    <x v="0"/>
    <d v="2023-02-10T00:00:00"/>
    <d v="2023-03-16T00:00:00"/>
    <d v="2023-05-03T00:00:00"/>
    <s v="MEDILAB ČR, s.r.o."/>
    <m/>
    <n v="54858.2"/>
    <n v="66378.42"/>
    <m/>
    <m/>
    <m/>
    <d v="2023-05-03T00:00:00"/>
    <s v="SMLN-2023-617-100145"/>
    <x v="81"/>
  </r>
  <r>
    <d v="2023-02-06T00:00:00"/>
    <s v="VZ-2023-000125-06"/>
    <x v="2"/>
    <s v="Dočkalová"/>
    <s v="Přikrylová"/>
    <x v="164"/>
    <n v="6"/>
    <s v="Nástroje chirurgické-specifikováno dle katalogu František Plašil Častolovice"/>
    <s v="podepsaná smlouva"/>
    <s v="33162200-5"/>
    <m/>
    <n v="25929.4"/>
    <x v="0"/>
    <d v="2023-02-10T00:00:00"/>
    <d v="2023-03-16T00:00:00"/>
    <d v="2023-06-08T00:00:00"/>
    <s v="MEDILAB ČR, s.r.o."/>
    <m/>
    <n v="28291.5"/>
    <n v="34232.720000000001"/>
    <m/>
    <m/>
    <m/>
    <d v="2023-06-09T00:00:00"/>
    <s v="SMLN-2023-617-100239"/>
    <x v="82"/>
  </r>
  <r>
    <d v="2023-02-06T00:00:00"/>
    <s v="VZ-2023-000125-07"/>
    <x v="2"/>
    <s v="Dočkalová"/>
    <s v="Přikrylová"/>
    <x v="164"/>
    <n v="7"/>
    <s v="Nástroje chirurgické-specifikováno dle katalogu OLYMPUS CZECH GROUP, s.r.o., člen koncernu"/>
    <s v="zrušeno"/>
    <s v="33162200-5"/>
    <m/>
    <n v="535216"/>
    <x v="0"/>
    <d v="2023-02-10T00:00:00"/>
    <d v="2023-03-16T00:00:00"/>
    <m/>
    <s v="zrušeno - bez hodnotitelné nabídky"/>
    <m/>
    <m/>
    <m/>
    <m/>
    <m/>
    <m/>
    <m/>
    <m/>
    <x v="10"/>
  </r>
  <r>
    <d v="2023-02-07T00:00:00"/>
    <s v="VZ-2023-000142"/>
    <x v="11"/>
    <s v="Zdráhalová"/>
    <s v="Zdražilová"/>
    <x v="165"/>
    <m/>
    <m/>
    <s v="podepsaná smlouva"/>
    <s v="33772000-2"/>
    <m/>
    <n v="3048381.59"/>
    <x v="0"/>
    <d v="2023-02-10T00:00:00"/>
    <d v="2023-03-15T00:00:00"/>
    <d v="2023-03-30T00:00:00"/>
    <s v="FRANKOSPOL OFFICE s.r.o."/>
    <m/>
    <n v="2865587.9"/>
    <n v="3467361.36"/>
    <m/>
    <m/>
    <m/>
    <d v="2023-03-30T00:00:00"/>
    <s v="SMLN-2023-617-100062"/>
    <x v="36"/>
  </r>
  <r>
    <d v="2023-02-07T00:00:00"/>
    <s v="VZ-2023-000144"/>
    <x v="11"/>
    <s v="Zdráhalová"/>
    <s v="Štýbnarová"/>
    <x v="166"/>
    <m/>
    <m/>
    <s v="podepsaná smlouva"/>
    <s v="30197644-2"/>
    <m/>
    <n v="862510"/>
    <x v="2"/>
    <d v="2023-02-10T00:00:00"/>
    <d v="2023-02-22T00:00:00"/>
    <d v="2023-03-23T00:00:00"/>
    <s v="REC21 s.r.o."/>
    <m/>
    <n v="833832"/>
    <n v="1008895.5"/>
    <m/>
    <m/>
    <m/>
    <d v="2023-03-23T00:00:00"/>
    <s v="SMLN-2023-617-100039"/>
    <x v="19"/>
  </r>
  <r>
    <d v="2023-02-07T00:00:00"/>
    <s v="VZ-2023-000157"/>
    <x v="14"/>
    <s v="Cahlíková"/>
    <s v="Štýbnarová"/>
    <x v="167"/>
    <m/>
    <m/>
    <s v="zrušeno"/>
    <s v="71900000-7"/>
    <m/>
    <n v="800000"/>
    <x v="2"/>
    <d v="2023-02-14T00:00:00"/>
    <d v="2023-02-28T00:00:00"/>
    <m/>
    <s v="zrušeno - úprava zadání"/>
    <s v="nová VZ-2023-000299"/>
    <m/>
    <m/>
    <m/>
    <m/>
    <m/>
    <m/>
    <m/>
    <x v="10"/>
  </r>
  <r>
    <d v="2023-02-09T00:00:00"/>
    <s v="VZ-2023-000171"/>
    <x v="1"/>
    <s v="Svozil"/>
    <s v="Staňková"/>
    <x v="168"/>
    <m/>
    <m/>
    <s v="podepsaná smlouva"/>
    <s v="45233200-1"/>
    <m/>
    <n v="380000"/>
    <x v="2"/>
    <d v="2023-02-16T00:00:00"/>
    <d v="2023-02-28T00:00:00"/>
    <d v="2023-03-02T00:00:00"/>
    <s v="Stavitelství Pospíšil s.r.o."/>
    <m/>
    <n v="290638.40000000002"/>
    <n v="351672.46"/>
    <m/>
    <m/>
    <m/>
    <d v="2023-03-02T00:00:00"/>
    <s v="SMLN-2023-618-000010"/>
    <x v="54"/>
  </r>
  <r>
    <d v="2023-02-08T00:00:00"/>
    <s v="VZ-2023-000172"/>
    <x v="11"/>
    <s v="Zdráhalová"/>
    <s v="Kučera"/>
    <x v="169"/>
    <m/>
    <m/>
    <s v="podepsaná smlouva"/>
    <s v="33141620-2"/>
    <m/>
    <n v="5869925"/>
    <x v="0"/>
    <d v="2023-02-17T00:00:00"/>
    <d v="2023-03-22T00:00:00"/>
    <d v="2023-08-24T00:00:00"/>
    <s v="Manlomka s.r.o."/>
    <m/>
    <n v="5052479.84"/>
    <n v="6113500.6100000003"/>
    <m/>
    <m/>
    <m/>
    <d v="2023-08-24T00:00:00"/>
    <s v="SMLN-2023-617-100460"/>
    <x v="83"/>
  </r>
  <r>
    <d v="2023-02-14T00:00:00"/>
    <s v="VZ-2023-000180"/>
    <x v="8"/>
    <s v="Eyer"/>
    <s v="Kučera"/>
    <x v="170"/>
    <m/>
    <m/>
    <s v="podepsaná smlouva"/>
    <s v="50710000-5"/>
    <m/>
    <n v="3900000"/>
    <x v="0"/>
    <d v="2023-02-27T00:00:00"/>
    <d v="2023-03-31T00:00:00"/>
    <d v="2023-04-24T00:00:00"/>
    <s v="Miloslav Otáhal"/>
    <m/>
    <n v="2790496"/>
    <n v="3376500.16"/>
    <m/>
    <m/>
    <m/>
    <d v="2023-04-24T00:00:00"/>
    <s v="SMLN-2023-612-100026"/>
    <x v="84"/>
  </r>
  <r>
    <d v="2023-02-15T00:00:00"/>
    <s v="VZ-2023-000184"/>
    <x v="5"/>
    <s v="Spáčil"/>
    <s v="Kučera"/>
    <x v="171"/>
    <m/>
    <m/>
    <s v="podepsaná smlouva"/>
    <s v="71000000-8"/>
    <m/>
    <n v="7000000"/>
    <x v="0"/>
    <d v="2023-02-28T00:00:00"/>
    <d v="2023-05-09T00:00:00"/>
    <d v="2023-06-14T00:00:00"/>
    <s v="Adam Rujbr Architects s.r.o."/>
    <s v="Atelier 99 odstoupil od podpisu smlouvy"/>
    <n v="3739000"/>
    <n v="4524190"/>
    <m/>
    <m/>
    <m/>
    <d v="2023-06-14T00:00:00"/>
    <s v="SMLN-2023-618-100027"/>
    <x v="85"/>
  </r>
  <r>
    <d v="2023-02-15T00:00:00"/>
    <s v="VZ-2023-000187"/>
    <x v="0"/>
    <s v="Vondrková"/>
    <s v="Štýbnarová"/>
    <x v="172"/>
    <m/>
    <m/>
    <s v="podepsaná smlouva"/>
    <s v="33652300-8"/>
    <m/>
    <n v="1833000"/>
    <x v="2"/>
    <d v="2023-02-27T00:00:00"/>
    <d v="2023-03-10T00:00:00"/>
    <d v="2023-03-28T00:00:00"/>
    <s v="PROMEDICA PRAHA GROUP, a.s."/>
    <m/>
    <n v="989122.65"/>
    <n v="1088034.92"/>
    <m/>
    <m/>
    <m/>
    <d v="2023-03-28T00:00:00"/>
    <s v="SMLN-2023-617-100060"/>
    <x v="19"/>
  </r>
  <r>
    <d v="2023-02-15T00:00:00"/>
    <s v="VZ-2023-000188"/>
    <x v="0"/>
    <s v="Vondrková"/>
    <s v="Bodinková"/>
    <x v="173"/>
    <m/>
    <m/>
    <s v="podepsaná smlouva"/>
    <s v="33652300-8"/>
    <m/>
    <n v="64711621"/>
    <x v="0"/>
    <d v="2023-03-10T00:00:00"/>
    <d v="2023-04-13T00:00:00"/>
    <d v="2023-05-11T00:00:00"/>
    <s v="Alliance Healthcare s.r.o."/>
    <m/>
    <n v="51081030.659999996"/>
    <n v="56189133.729999997"/>
    <m/>
    <m/>
    <m/>
    <d v="2023-05-11T00:00:00"/>
    <s v="SMLN-2023-617-100167"/>
    <x v="86"/>
  </r>
  <r>
    <d v="2023-02-15T00:00:00"/>
    <s v="VZ-2023-000189"/>
    <x v="0"/>
    <s v="Vondrková"/>
    <s v="Bodinková"/>
    <x v="174"/>
    <m/>
    <m/>
    <s v="podepsaná smlouva"/>
    <s v="33652000-5"/>
    <m/>
    <n v="8426160"/>
    <x v="0"/>
    <d v="2023-02-17T00:00:00"/>
    <d v="2023-03-24T00:00:00"/>
    <d v="2023-04-03T00:00:00"/>
    <s v="sanofi-aventis, s.r.o."/>
    <m/>
    <n v="8426159.2400000002"/>
    <n v="9268775.1600000001"/>
    <m/>
    <m/>
    <m/>
    <d v="2023-04-03T00:00:00"/>
    <s v="SMLN-2023-617-100069"/>
    <x v="40"/>
  </r>
  <r>
    <d v="2023-02-15T00:00:00"/>
    <s v="VZ-2023-000190"/>
    <x v="0"/>
    <s v="Vondrková"/>
    <s v="Bodinková"/>
    <x v="175"/>
    <m/>
    <m/>
    <s v="zrušeno"/>
    <s v="33652000-5"/>
    <m/>
    <n v="8648886"/>
    <x v="0"/>
    <d v="2023-02-24T00:00:00"/>
    <d v="2023-03-31T00:00:00"/>
    <d v="2023-05-04T00:00:00"/>
    <s v="zrušeno - PROMEDICA odstoupila od podpisu smlouvy"/>
    <s v="nová VZ-2023-001233"/>
    <n v="8489034.8699999992"/>
    <n v="9337938.3599999994"/>
    <m/>
    <m/>
    <m/>
    <d v="2023-05-04T00:00:00"/>
    <s v="SMLN-2023-617-100152"/>
    <x v="10"/>
  </r>
  <r>
    <d v="2023-02-15T00:00:00"/>
    <s v="VZ-2023-000191-01"/>
    <x v="0"/>
    <s v="Vondrková"/>
    <s v="Bodinková"/>
    <x v="176"/>
    <n v="1"/>
    <s v="NIRMATRELVIR/RITONAVIR"/>
    <s v="podepsaná smlouva"/>
    <s v="33651400-2"/>
    <m/>
    <n v="34040953"/>
    <x v="0"/>
    <d v="2023-05-16T00:00:00"/>
    <d v="2023-06-20T00:00:00"/>
    <d v="2023-07-28T00:00:00"/>
    <s v="Alliance Healthcare s.r.o."/>
    <m/>
    <n v="33357816"/>
    <n v="36693597.600000001"/>
    <m/>
    <m/>
    <m/>
    <d v="2023-07-28T00:00:00"/>
    <s v="SMLN-2023-617-100413"/>
    <x v="87"/>
  </r>
  <r>
    <d v="2023-02-15T00:00:00"/>
    <s v="VZ-2023-000191-02"/>
    <x v="0"/>
    <s v="Vondrková"/>
    <s v="Bodinková"/>
    <x v="176"/>
    <n v="2"/>
    <s v="MOLNUPIRAVIR"/>
    <s v="zrušeno"/>
    <s v="33651400-2"/>
    <m/>
    <n v="2396601"/>
    <x v="0"/>
    <d v="2023-05-16T00:00:00"/>
    <d v="2023-06-20T00:00:00"/>
    <m/>
    <s v="zrušeno - bez nabídky"/>
    <m/>
    <m/>
    <m/>
    <m/>
    <m/>
    <m/>
    <m/>
    <m/>
    <x v="10"/>
  </r>
  <r>
    <d v="2023-02-15T00:00:00"/>
    <s v="VZ-2023-000192"/>
    <x v="2"/>
    <s v="Valtová"/>
    <s v="Přikrylová"/>
    <x v="177"/>
    <m/>
    <m/>
    <s v="podepsaná smlouva"/>
    <s v="33140000-3"/>
    <m/>
    <n v="11380000"/>
    <x v="0"/>
    <d v="2023-02-23T00:00:00"/>
    <d v="2023-03-28T00:00:00"/>
    <d v="2023-04-24T00:00:00"/>
    <s v="Boston Scientific Česká republika s.r.o."/>
    <m/>
    <n v="10980000"/>
    <n v="12627000"/>
    <m/>
    <m/>
    <m/>
    <d v="2023-04-24T00:00:00"/>
    <s v="SMLN-2023-617-100118_x000a_SMLN-2023-614-100011"/>
    <x v="18"/>
  </r>
  <r>
    <d v="2023-02-20T00:00:00"/>
    <s v="VZ-2023-000205"/>
    <x v="5"/>
    <s v="Říha"/>
    <s v="Staňková"/>
    <x v="178"/>
    <m/>
    <m/>
    <s v="podepsaná smlouva"/>
    <s v="45215100-8"/>
    <s v="1.2.99."/>
    <n v="850000"/>
    <x v="2"/>
    <d v="2023-02-23T00:00:00"/>
    <d v="2023-03-06T00:00:00"/>
    <d v="2023-03-14T00:00:00"/>
    <s v="BDC Development s.r.o."/>
    <m/>
    <n v="837103.4"/>
    <n v="1012895.11"/>
    <m/>
    <m/>
    <m/>
    <d v="2023-03-14T00:00:00"/>
    <s v="SMLN-2023-618-100002"/>
    <x v="19"/>
  </r>
  <r>
    <d v="2023-02-20T00:00:00"/>
    <s v="VZ-2023-000211"/>
    <x v="3"/>
    <s v="Olejníček"/>
    <s v="Zdražilová"/>
    <x v="179"/>
    <m/>
    <m/>
    <s v="podepsaná smlouva"/>
    <s v="33120000-7"/>
    <s v="2.3.690."/>
    <n v="4200447"/>
    <x v="0"/>
    <d v="2023-02-23T00:00:00"/>
    <d v="2023-04-06T00:00:00"/>
    <d v="2023-06-21T00:00:00"/>
    <s v="MGVIVA a.s."/>
    <m/>
    <n v="4200117"/>
    <n v="5082141.57"/>
    <m/>
    <m/>
    <m/>
    <d v="2023-06-21T00:00:00"/>
    <s v="SMLN-2023-617-100250_x000a_SMLN-2023-612-100056"/>
    <x v="85"/>
  </r>
  <r>
    <d v="2023-02-17T00:00:00"/>
    <s v="VZ-2023-000213-01"/>
    <x v="2"/>
    <s v="Dočkalová"/>
    <s v="Přikrylová"/>
    <x v="180"/>
    <n v="1"/>
    <s v="Nástroje chirurgické - specifikováno dle katalogu Geister Medizintechnik GmbH"/>
    <s v="podepsaná smlouva"/>
    <s v="33162200-5"/>
    <m/>
    <n v="2186254.5499999998"/>
    <x v="0"/>
    <d v="2023-02-24T00:00:00"/>
    <d v="2023-03-31T00:00:00"/>
    <d v="2023-05-02T00:00:00"/>
    <s v="CARDION s.r.o."/>
    <m/>
    <n v="2176730.58"/>
    <n v="2633844"/>
    <m/>
    <m/>
    <m/>
    <d v="2023-05-02T00:00:00"/>
    <s v="SMLN-2023-617-100139"/>
    <x v="80"/>
  </r>
  <r>
    <d v="2023-02-17T00:00:00"/>
    <s v="VZ-2023-000213-02"/>
    <x v="2"/>
    <s v="Dočkalová"/>
    <s v="Přikrylová"/>
    <x v="180"/>
    <n v="2"/>
    <s v="Nástroje chirurgické - specifikováno dle katalogu Cardiomedical GmbH"/>
    <s v="podepsaná smlouva"/>
    <s v="33162200-5"/>
    <m/>
    <n v="313144.63"/>
    <x v="0"/>
    <d v="2023-02-24T00:00:00"/>
    <d v="2023-03-31T00:00:00"/>
    <d v="2023-05-02T00:00:00"/>
    <s v="CARDION s.r.o."/>
    <m/>
    <n v="311322.31"/>
    <n v="376700"/>
    <m/>
    <m/>
    <m/>
    <d v="2023-05-02T00:00:00"/>
    <s v="SMLN-2023-617-100140"/>
    <x v="80"/>
  </r>
  <r>
    <d v="2023-02-17T00:00:00"/>
    <s v="VZ-2023-000219-01"/>
    <x v="15"/>
    <s v="Klimek"/>
    <s v="Kučera"/>
    <x v="181"/>
    <n v="1"/>
    <s v="DNR typu A2 – 2 ks"/>
    <s v="podepsaná smlouva"/>
    <s v="34114122-0"/>
    <s v="4.2.199."/>
    <n v="3250000"/>
    <x v="0"/>
    <d v="2023-03-16T00:00:00"/>
    <d v="2023-05-09T00:00:00"/>
    <d v="2023-05-22T00:00:00"/>
    <s v="PROSSAN CZ s.r.o."/>
    <m/>
    <n v="3120000"/>
    <n v="3775200"/>
    <m/>
    <m/>
    <m/>
    <d v="2023-05-22T00:00:00"/>
    <s v="SMLN-2023-617-100204"/>
    <x v="75"/>
  </r>
  <r>
    <d v="2023-02-17T00:00:00"/>
    <s v="VZ-2023-000219-02"/>
    <x v="15"/>
    <s v="Klimek"/>
    <s v="Kučera"/>
    <x v="181"/>
    <n v="2"/>
    <s v="DNR typu A2 s pohonem všech kol"/>
    <s v="zrušeno"/>
    <s v="34114122-0"/>
    <s v="4.2.199."/>
    <n v="1708000"/>
    <x v="0"/>
    <d v="2023-03-16T00:00:00"/>
    <d v="2023-05-09T00:00:00"/>
    <m/>
    <s v="zrušeno - bez nabídky"/>
    <s v="nová VZ-2023-000699"/>
    <m/>
    <m/>
    <m/>
    <m/>
    <m/>
    <m/>
    <m/>
    <x v="10"/>
  </r>
  <r>
    <d v="2023-02-22T00:00:00"/>
    <s v="VZ-2023-000226"/>
    <x v="8"/>
    <s v="Srovnal"/>
    <s v="Zdražilová"/>
    <x v="182"/>
    <m/>
    <m/>
    <s v="podepsaná smlouva"/>
    <s v="45453100-8"/>
    <m/>
    <n v="20500000"/>
    <x v="1"/>
    <d v="2023-03-07T00:00:00"/>
    <d v="2023-04-06T00:00:00"/>
    <d v="2023-04-26T00:00:00"/>
    <s v="AL LOGIC, s.r.o."/>
    <m/>
    <n v="15430541.85"/>
    <n v="18670955.640000001"/>
    <m/>
    <m/>
    <m/>
    <d v="2023-04-26T00:00:00"/>
    <s v="SMLN-2023-618-100012"/>
    <x v="88"/>
  </r>
  <r>
    <d v="2023-02-20T00:00:00"/>
    <s v="VZ-2023-000227"/>
    <x v="13"/>
    <s v="Oravec"/>
    <s v="Kučera"/>
    <x v="183"/>
    <m/>
    <m/>
    <s v="podepsaná smlouva"/>
    <s v="72268000-1"/>
    <m/>
    <n v="1614000"/>
    <x v="1"/>
    <d v="2023-03-08T00:00:00"/>
    <d v="2023-04-03T00:00:00"/>
    <d v="2023-04-13T00:00:00"/>
    <s v="DERS Group s.r.o."/>
    <m/>
    <n v="1142400"/>
    <n v="1382304"/>
    <m/>
    <m/>
    <m/>
    <d v="2023-04-13T00:00:00"/>
    <s v="SMLN-2023-612-100018"/>
    <x v="53"/>
  </r>
  <r>
    <d v="2023-02-23T00:00:00"/>
    <s v="VZ-2023-000228"/>
    <x v="2"/>
    <s v="Dočkalová"/>
    <s v="Staňková"/>
    <x v="184"/>
    <m/>
    <m/>
    <s v="podepsaná smlouva"/>
    <s v="33140000-3"/>
    <m/>
    <n v="1406229"/>
    <x v="2"/>
    <d v="2023-02-27T00:00:00"/>
    <d v="2023-03-09T00:00:00"/>
    <d v="2023-03-20T00:00:00"/>
    <s v="SynMedical, s.r.o."/>
    <m/>
    <n v="1461920.49"/>
    <n v="1681238.01"/>
    <m/>
    <m/>
    <m/>
    <d v="2023-03-20T00:00:00"/>
    <s v="SMLP-2023-627-100002_x000a_SMLN-2023-616-100003"/>
    <x v="46"/>
  </r>
  <r>
    <d v="2023-03-01T00:00:00"/>
    <s v="VZ-2023-000237"/>
    <x v="3"/>
    <s v="Olejníček"/>
    <s v="Zdražilová"/>
    <x v="185"/>
    <m/>
    <m/>
    <s v="zrušeno"/>
    <s v="33182100-0"/>
    <m/>
    <n v="12227307"/>
    <x v="0"/>
    <d v="2023-10-02T00:00:00"/>
    <d v="2023-11-06T00:00:00"/>
    <m/>
    <s v="zrušeno - bez hodnotitelné nabídky"/>
    <s v="nová VZ-2023-001439"/>
    <m/>
    <m/>
    <m/>
    <m/>
    <m/>
    <m/>
    <m/>
    <x v="10"/>
  </r>
  <r>
    <d v="2023-02-27T00:00:00"/>
    <s v="VZ-2023-000251"/>
    <x v="3"/>
    <s v="Olejníček"/>
    <s v="Staňková"/>
    <x v="186"/>
    <m/>
    <m/>
    <s v="podepsaná smlouva"/>
    <s v="33734000-4"/>
    <m/>
    <n v="502000"/>
    <x v="2"/>
    <d v="2023-03-03T00:00:00"/>
    <d v="2023-03-14T00:00:00"/>
    <d v="2023-03-29T00:00:00"/>
    <s v="Just Dent s.r.o."/>
    <m/>
    <n v="481095.04"/>
    <n v="582125"/>
    <m/>
    <m/>
    <m/>
    <d v="2023-03-29T00:00:00"/>
    <s v="SMLN-2023-617-100061_x000a_SMLN-2023-612-100012"/>
    <x v="89"/>
  </r>
  <r>
    <d v="2023-02-28T00:00:00"/>
    <s v="VZ-2023-000252"/>
    <x v="3"/>
    <s v="Olejníček"/>
    <s v="Staňková"/>
    <x v="187"/>
    <m/>
    <m/>
    <s v="podepsaná smlouva"/>
    <s v="38423100-7"/>
    <m/>
    <n v="94926"/>
    <x v="2"/>
    <d v="2023-03-03T00:00:00"/>
    <d v="2023-03-14T00:00:00"/>
    <d v="2023-04-11T00:00:00"/>
    <s v="COMPEK MEDICAL SERVICES, s.r.o."/>
    <m/>
    <n v="93908.26"/>
    <n v="113629"/>
    <m/>
    <m/>
    <m/>
    <d v="2023-04-11T00:00:00"/>
    <s v="SMLP-2023-627-100004_x000a_SMLN-2023-612-100014"/>
    <x v="32"/>
  </r>
  <r>
    <s v="opakovaná VZ"/>
    <s v="VZ-2023-000255"/>
    <x v="3"/>
    <s v="Olejníček"/>
    <s v="Štýbnarová"/>
    <x v="188"/>
    <m/>
    <m/>
    <s v="podepsaná smlouva"/>
    <s v="33191000-5"/>
    <m/>
    <n v="931270"/>
    <x v="2"/>
    <d v="2023-03-06T00:00:00"/>
    <d v="2023-03-17T00:00:00"/>
    <d v="2023-04-11T00:00:00"/>
    <s v="MIELE, spol. s r.o."/>
    <m/>
    <n v="929770"/>
    <n v="1154061.7"/>
    <m/>
    <m/>
    <m/>
    <d v="2023-04-11T00:00:00"/>
    <s v="SMLN-2023-617-100083_x000a_SMLN-2023-612-100015"/>
    <x v="53"/>
  </r>
  <r>
    <d v="2023-02-23T00:00:00"/>
    <s v="VZ-2023-000256-01"/>
    <x v="2"/>
    <s v="Valtová"/>
    <s v="Přikrylová"/>
    <x v="189"/>
    <n v="1"/>
    <s v="Kotvičky vstřebatelné a nevstřebatelné"/>
    <s v="podepsaná smlouva"/>
    <s v="33140000-3"/>
    <m/>
    <n v="2752500"/>
    <x v="0"/>
    <d v="2023-03-10T00:00:00"/>
    <d v="2023-04-26T00:00:00"/>
    <d v="2023-05-18T00:00:00"/>
    <s v="Johnson &amp; Johnson, s.r.o."/>
    <m/>
    <n v="2596000"/>
    <n v="2985400"/>
    <m/>
    <m/>
    <m/>
    <d v="2023-05-18T00:00:00"/>
    <s v="SMLN-2023-617-100191_x000a_SMLN-2023-614-100015_x000a_SMLN-2023-617-100190"/>
    <x v="75"/>
  </r>
  <r>
    <d v="2023-02-23T00:00:00"/>
    <s v="VZ-2023-000256-02"/>
    <x v="2"/>
    <s v="Valtová"/>
    <s v="Přikrylová"/>
    <x v="189"/>
    <n v="2"/>
    <s v="Kotvička vstřebatelná pro stabilizaci ramene"/>
    <s v="podepsaná smlouva"/>
    <s v="33140000-3"/>
    <m/>
    <n v="1200000"/>
    <x v="0"/>
    <d v="2023-03-10T00:00:00"/>
    <d v="2023-04-26T00:00:00"/>
    <d v="2023-05-18T00:00:00"/>
    <s v="Johnson &amp; Johnson, s.r.o."/>
    <m/>
    <n v="1200000"/>
    <n v="1380000"/>
    <m/>
    <m/>
    <m/>
    <d v="2023-05-18T00:00:00"/>
    <s v="SMLN-2023-617-100192_x000a_SMLN-2023-614-100016"/>
    <x v="75"/>
  </r>
  <r>
    <d v="2023-02-23T00:00:00"/>
    <s v="VZ-2023-000256-03"/>
    <x v="2"/>
    <s v="Valtová"/>
    <s v="Přikrylová"/>
    <x v="189"/>
    <n v="3"/>
    <s v="Kotvička titanová pro stabilizaci ramene"/>
    <s v="podepsaná smlouva"/>
    <s v="33140000-3"/>
    <m/>
    <n v="840000"/>
    <x v="0"/>
    <d v="2023-03-10T00:00:00"/>
    <d v="2023-04-26T00:00:00"/>
    <d v="2023-05-18T00:00:00"/>
    <s v="Johnson &amp; Johnson, s.r.o."/>
    <m/>
    <n v="975000"/>
    <n v="1121250"/>
    <m/>
    <m/>
    <m/>
    <d v="2023-05-18T00:00:00"/>
    <s v="SMLN-2023-617-100193_x000a_SMLN-2023-614-100017_x000a_SMLN-2023-617-100194"/>
    <x v="75"/>
  </r>
  <r>
    <d v="2023-03-01T00:00:00"/>
    <s v="VZ-2023-000268"/>
    <x v="5"/>
    <s v="Valíček"/>
    <s v="Kučera"/>
    <x v="190"/>
    <m/>
    <m/>
    <s v="smlouva v kolečku"/>
    <s v="45000000-7"/>
    <m/>
    <n v="3495000000"/>
    <x v="0"/>
    <d v="2023-12-19T00:00:00"/>
    <d v="2024-06-07T00:00:00"/>
    <d v="2024-06-25T00:00:00"/>
    <s v="GEMO, OHLA ŽS, HOCHTIEF"/>
    <m/>
    <n v="3479900000"/>
    <n v="4210679000"/>
    <m/>
    <m/>
    <m/>
    <d v="2024-06-26T00:00:00"/>
    <s v="SMLN-2024-618-100031_x000a_SMLN-2024-618-100032_x000a_SMLN-2024-618-100033"/>
    <x v="10"/>
  </r>
  <r>
    <d v="2023-03-03T00:00:00"/>
    <s v="VZ-2023-000271"/>
    <x v="3"/>
    <s v="Olejníček"/>
    <s v="Štýbnarová"/>
    <x v="191"/>
    <m/>
    <m/>
    <s v="podepsaná smlouva"/>
    <s v="39711100-0"/>
    <s v="2.3.740."/>
    <n v="98000"/>
    <x v="2"/>
    <d v="2023-03-08T00:00:00"/>
    <d v="2023-03-21T00:00:00"/>
    <d v="2023-03-27T00:00:00"/>
    <s v="Schoeller Instruments, s.r.o."/>
    <m/>
    <n v="80550"/>
    <n v="97465.5"/>
    <m/>
    <m/>
    <m/>
    <d v="2023-03-27T00:00:00"/>
    <s v="SMLN-2023-617-100055_x000a_SMLN-2023-612-100010"/>
    <x v="40"/>
  </r>
  <r>
    <d v="2023-02-27T00:00:00"/>
    <s v="VZ-2023-000280"/>
    <x v="11"/>
    <s v="Zdráhalová"/>
    <s v="Staňková"/>
    <x v="192"/>
    <m/>
    <m/>
    <s v="podepsaná smlouva"/>
    <s v="39120000-9"/>
    <s v="4.2.201."/>
    <n v="1639920"/>
    <x v="2"/>
    <d v="2023-03-13T00:00:00"/>
    <d v="2023-03-23T00:00:00"/>
    <d v="2023-05-05T00:00:00"/>
    <s v="BRANTAL, spol. s r.o."/>
    <m/>
    <n v="939530"/>
    <n v="1136831.3"/>
    <m/>
    <m/>
    <m/>
    <d v="2023-05-05T00:00:00"/>
    <s v="SMLN-2023-618-100016"/>
    <x v="36"/>
  </r>
  <r>
    <s v="opakovaná VZ"/>
    <s v="VZ-2023-000281"/>
    <x v="12"/>
    <s v="Zemánková"/>
    <s v="Bodinková"/>
    <x v="109"/>
    <m/>
    <m/>
    <s v="podepsaná smlouva"/>
    <s v="71900000-7"/>
    <m/>
    <n v="1200000"/>
    <x v="2"/>
    <d v="2023-03-28T00:00:00"/>
    <d v="2023-04-11T00:00:00"/>
    <d v="2023-04-26T00:00:00"/>
    <s v="Institute of Applied Biotechnologies, a.s."/>
    <m/>
    <n v="1200000"/>
    <n v="1452000"/>
    <m/>
    <m/>
    <m/>
    <d v="2023-04-27T00:00:00"/>
    <s v="SMLN-2023-612-100027"/>
    <x v="66"/>
  </r>
  <r>
    <d v="2023-02-27T00:00:00"/>
    <s v="VZ-2023-000282-01"/>
    <x v="2"/>
    <s v="Valtová"/>
    <s v="Přikrylová"/>
    <x v="193"/>
    <n v="1"/>
    <s v="Katetrizační implantabilní samoexpandibilní dvoudiskový okluder k uzávěru defektu septa síní (ASD)"/>
    <s v="podepsaná smlouva"/>
    <s v="33140000-3"/>
    <m/>
    <n v="1990000"/>
    <x v="0"/>
    <d v="2023-03-17T00:00:00"/>
    <d v="2023-04-20T00:00:00"/>
    <d v="2023-05-10T00:00:00"/>
    <s v="INLAB Medical s.r.o."/>
    <m/>
    <n v="1990000"/>
    <n v="2304580"/>
    <m/>
    <m/>
    <m/>
    <d v="2023-05-10T00:00:00"/>
    <s v="SMLN-2023-617-100160_x000a_SMLN-2023-614-100012"/>
    <x v="76"/>
  </r>
  <r>
    <d v="2023-02-27T00:00:00"/>
    <s v="VZ-2023-000282-02"/>
    <x v="2"/>
    <s v="Valtová"/>
    <s v="Přikrylová"/>
    <x v="194"/>
    <n v="2"/>
    <s v="Katetrizační implantabilní samoexpandibilní dvoudiskový okluder k uzávěru otevřeného (patentního) foramen ovale (PFO)"/>
    <s v="podepsaná smlouva"/>
    <s v="33140000-3"/>
    <m/>
    <n v="8667000"/>
    <x v="0"/>
    <d v="2023-03-17T00:00:00"/>
    <d v="2023-04-20T00:00:00"/>
    <d v="2023-05-10T00:00:00"/>
    <s v="INLAB Medical s.r.o."/>
    <m/>
    <n v="8667000"/>
    <n v="10007550"/>
    <m/>
    <m/>
    <m/>
    <d v="2023-05-10T00:00:00"/>
    <s v="SMLN-2023-617-100161_x000a_SMLN-2023-614-100013"/>
    <x v="76"/>
  </r>
  <r>
    <d v="2023-03-06T00:00:00"/>
    <s v="VZ-2023-000283"/>
    <x v="2"/>
    <s v="Dočkalová"/>
    <s v="Štýbnarová"/>
    <x v="195"/>
    <m/>
    <m/>
    <s v="podepsaná smlouva"/>
    <s v="33140000-3"/>
    <m/>
    <n v="649560"/>
    <x v="2"/>
    <d v="2023-03-09T00:00:00"/>
    <d v="2023-03-21T00:00:00"/>
    <d v="2023-03-28T00:00:00"/>
    <s v="RADIX CZ s.r.o."/>
    <m/>
    <n v="743880"/>
    <n v="900094.8"/>
    <m/>
    <m/>
    <m/>
    <d v="2023-03-28T00:00:00"/>
    <s v="SMLN-2023-617-100056"/>
    <x v="40"/>
  </r>
  <r>
    <d v="2023-03-07T00:00:00"/>
    <s v="VZ-2023-000286"/>
    <x v="3"/>
    <s v="Olejníček"/>
    <s v="Staňková"/>
    <x v="196"/>
    <m/>
    <m/>
    <s v="zrušeno"/>
    <s v="33121000-4"/>
    <s v="2.2.536."/>
    <n v="428688"/>
    <x v="2"/>
    <d v="2023-03-09T00:00:00"/>
    <d v="2023-04-03T00:00:00"/>
    <m/>
    <s v="zrušeno - bez hodnotitelné nabídky"/>
    <s v="nová VZ-2023-000462"/>
    <m/>
    <m/>
    <m/>
    <m/>
    <m/>
    <m/>
    <m/>
    <x v="10"/>
  </r>
  <r>
    <d v="2023-03-07T00:00:00"/>
    <s v="VZ-2023-000287"/>
    <x v="13"/>
    <s v="Miklík"/>
    <s v="Staňková"/>
    <x v="197"/>
    <m/>
    <m/>
    <s v="podepsaná smlouva"/>
    <s v="72610000-9"/>
    <m/>
    <n v="1620000"/>
    <x v="2"/>
    <d v="2023-03-13T00:00:00"/>
    <d v="2023-03-21T00:00:00"/>
    <d v="2023-03-22T00:00:00"/>
    <s v="MERIT GROUP a.s."/>
    <m/>
    <n v="1577875"/>
    <n v="1909228.75"/>
    <m/>
    <m/>
    <m/>
    <d v="2023-03-22T00:00:00"/>
    <s v="SMLN-2023-612-100008"/>
    <x v="49"/>
  </r>
  <r>
    <d v="2023-03-07T00:00:00"/>
    <s v="VZ-2023-000288"/>
    <x v="3"/>
    <s v="Olejníček"/>
    <s v="Zdražilová"/>
    <x v="198"/>
    <m/>
    <m/>
    <s v="podepsaná smlouva"/>
    <s v="33124120-2"/>
    <s v="2.2.537."/>
    <n v="423636"/>
    <x v="0"/>
    <d v="2023-03-10T00:00:00"/>
    <d v="2023-04-14T00:00:00"/>
    <d v="2023-05-10T00:00:00"/>
    <s v="Electric Medical Service, s.r.o."/>
    <m/>
    <n v="345800"/>
    <n v="418418"/>
    <m/>
    <m/>
    <m/>
    <d v="2023-05-10T00:00:00"/>
    <s v="SMLN-2023-617-100164_x000a_SMLN-2023-612-100040"/>
    <x v="76"/>
  </r>
  <r>
    <d v="2023-03-07T00:00:00"/>
    <s v="VZ-2023-000290-01"/>
    <x v="3"/>
    <s v="Olejníček"/>
    <s v="Štýbnarová"/>
    <x v="199"/>
    <n v="1"/>
    <s v="Celotělový analyzátor"/>
    <s v="podepsaná smlouva"/>
    <s v="42923200-4"/>
    <s v="2.2.526."/>
    <n v="255000"/>
    <x v="2"/>
    <d v="2023-03-09T00:00:00"/>
    <d v="2023-03-22T00:00:00"/>
    <d v="2023-04-11T00:00:00"/>
    <s v="MedSystem s.r.o."/>
    <m/>
    <n v="224000"/>
    <n v="271040"/>
    <m/>
    <m/>
    <m/>
    <d v="2023-04-11T00:00:00"/>
    <s v="SMLN-2023-617-100084_x000a_SMLN-2023-612-100016"/>
    <x v="32"/>
  </r>
  <r>
    <d v="2023-03-07T00:00:00"/>
    <s v="VZ-2023-000290-02"/>
    <x v="3"/>
    <s v="Olejníček"/>
    <s v="Štýbnarová"/>
    <x v="199"/>
    <n v="2"/>
    <s v="Vážicí podložka"/>
    <s v="podepsaná smlouva"/>
    <s v="42923200-4"/>
    <s v="2.2.251."/>
    <n v="125000"/>
    <x v="2"/>
    <d v="2023-03-09T00:00:00"/>
    <d v="2023-03-22T00:00:00"/>
    <d v="2023-04-11T00:00:00"/>
    <s v="Stamed s.r.o."/>
    <m/>
    <n v="115857.36"/>
    <n v="140187.41"/>
    <m/>
    <m/>
    <m/>
    <d v="2023-04-11T00:00:00"/>
    <s v="SMLN-2023-617-100085_x000a_SMLN-2023-612-100017"/>
    <x v="32"/>
  </r>
  <r>
    <d v="2023-03-06T00:00:00"/>
    <s v="VZ-2023-000293"/>
    <x v="0"/>
    <s v="Vondrková"/>
    <s v="Bodinková"/>
    <x v="200"/>
    <m/>
    <m/>
    <s v="podepsaná smlouva"/>
    <s v="33652300-8"/>
    <m/>
    <n v="160166528"/>
    <x v="0"/>
    <d v="2023-03-24T00:00:00"/>
    <d v="2023-04-27T00:00:00"/>
    <d v="2023-05-11T00:00:00"/>
    <s v="Alliance Healthcare s.r.o."/>
    <m/>
    <n v="106520037.3"/>
    <n v="117172041.03"/>
    <m/>
    <m/>
    <m/>
    <d v="2023-05-11T00:00:00"/>
    <s v="SMLN-2023-617-100169"/>
    <x v="86"/>
  </r>
  <r>
    <d v="2023-03-06T00:00:00"/>
    <s v="VZ-2023-000294-01"/>
    <x v="0"/>
    <s v="Vondrková"/>
    <s v="Bodinková"/>
    <x v="201"/>
    <n v="1"/>
    <s v="MESALAZIN"/>
    <s v="zrušeno"/>
    <s v="33614000-7"/>
    <m/>
    <n v="8791973"/>
    <x v="0"/>
    <d v="2023-04-03T00:00:00"/>
    <d v="2023-05-09T00:00:00"/>
    <m/>
    <s v="zrušeno - tato část bude rozdělena na více částí"/>
    <s v="nová VZ-2023-000556"/>
    <m/>
    <m/>
    <m/>
    <m/>
    <m/>
    <m/>
    <m/>
    <x v="10"/>
  </r>
  <r>
    <d v="2023-03-06T00:00:00"/>
    <s v="VZ-2023-000294-02"/>
    <x v="0"/>
    <s v="Vondrková"/>
    <s v="Bodinková"/>
    <x v="201"/>
    <n v="2"/>
    <s v="SULFASALIZIN S POVIDONEM"/>
    <s v="podepsaná smlouva"/>
    <s v="33614000-7"/>
    <m/>
    <n v="386646"/>
    <x v="0"/>
    <d v="2023-04-03T00:00:00"/>
    <d v="2023-05-09T00:00:00"/>
    <d v="2023-05-31T00:00:00"/>
    <s v="Alliance Healthcare s.r.o."/>
    <m/>
    <n v="381406.08"/>
    <n v="419546.69"/>
    <m/>
    <m/>
    <m/>
    <d v="2023-05-31T00:00:00"/>
    <s v="SMLN-2023-617-100224"/>
    <x v="90"/>
  </r>
  <r>
    <s v="opakovaná VZ"/>
    <s v="VZ-2023-000299"/>
    <x v="14"/>
    <s v="Cahlíková"/>
    <s v="Štýbnarová"/>
    <x v="202"/>
    <m/>
    <m/>
    <s v="podepsaná smlouva"/>
    <s v="71900000-7"/>
    <m/>
    <n v="800000"/>
    <x v="2"/>
    <d v="2023-03-09T00:00:00"/>
    <d v="2023-03-22T00:00:00"/>
    <d v="2023-03-30T00:00:00"/>
    <s v="ALS Czech Republic, s.r.o."/>
    <m/>
    <n v="723073.6"/>
    <n v="874919.06"/>
    <m/>
    <m/>
    <m/>
    <d v="2023-03-30T00:00:00"/>
    <s v="SMLN-2023-612-100013"/>
    <x v="40"/>
  </r>
  <r>
    <d v="2023-03-08T00:00:00"/>
    <s v="VZ-2023-000303"/>
    <x v="13"/>
    <s v="Oravec"/>
    <s v="Zdražilová"/>
    <x v="203"/>
    <m/>
    <m/>
    <s v="podepsaná smlouva"/>
    <s v="30125110-5"/>
    <m/>
    <n v="7820000"/>
    <x v="0"/>
    <d v="2023-03-17T00:00:00"/>
    <d v="2023-04-20T00:00:00"/>
    <d v="2023-05-09T00:00:00"/>
    <s v="COMP´S, spol. s r.o."/>
    <m/>
    <n v="5157790"/>
    <n v="6240925.9000000004"/>
    <m/>
    <m/>
    <m/>
    <d v="2023-05-09T00:00:00"/>
    <s v="SMLN-2023-617-100159"/>
    <x v="62"/>
  </r>
  <r>
    <d v="2023-03-09T00:00:00"/>
    <s v="VZ-2023-000307"/>
    <x v="2"/>
    <s v="Dočkalová"/>
    <s v="Štýbnarová"/>
    <x v="204"/>
    <m/>
    <m/>
    <s v="podepsaná smlouva"/>
    <s v="33140000-3"/>
    <m/>
    <n v="1114000"/>
    <x v="2"/>
    <d v="2023-03-13T00:00:00"/>
    <d v="2023-03-24T00:00:00"/>
    <d v="2023-03-27T00:00:00"/>
    <s v="RADIOMETER s.r.o."/>
    <m/>
    <n v="1503110"/>
    <n v="1818763.1"/>
    <m/>
    <m/>
    <m/>
    <d v="2023-03-27T00:00:00"/>
    <s v="SMLN-2023-617-100044"/>
    <x v="22"/>
  </r>
  <r>
    <d v="2023-03-10T00:00:00"/>
    <s v="VZ-2023-000312"/>
    <x v="3"/>
    <s v="Olejníček"/>
    <s v="Staňková"/>
    <x v="205"/>
    <m/>
    <m/>
    <s v="podepsaná smlouva"/>
    <s v="33160000-8"/>
    <s v="2.3.739,2.2.529-530"/>
    <n v="1205101"/>
    <x v="2"/>
    <d v="2023-03-14T00:00:00"/>
    <d v="2023-04-04T00:00:00"/>
    <d v="2023-04-13T00:00:00"/>
    <s v="B. Braun Medical s.r.o."/>
    <m/>
    <n v="1196878"/>
    <n v="1448221.9"/>
    <m/>
    <m/>
    <m/>
    <d v="2023-04-13T00:00:00"/>
    <s v="SMLN-2023-617-100089_x000a_SMLN-2023-612-100019"/>
    <x v="42"/>
  </r>
  <r>
    <d v="2023-03-09T00:00:00"/>
    <s v="VZ-2023-000314"/>
    <x v="9"/>
    <s v="Zemánek"/>
    <s v="Staňková"/>
    <x v="206"/>
    <m/>
    <m/>
    <s v="podepsaná smlouva"/>
    <s v="50421000-2"/>
    <m/>
    <n v="1350000"/>
    <x v="2"/>
    <d v="2023-04-14T00:00:00"/>
    <d v="2023-04-25T00:00:00"/>
    <d v="2023-05-04T00:00:00"/>
    <s v="Bruker s.r.o."/>
    <m/>
    <n v="1329000"/>
    <n v="1608090"/>
    <m/>
    <m/>
    <m/>
    <d v="2023-05-04T00:00:00"/>
    <s v="SMLN-2023-612-100033"/>
    <x v="67"/>
  </r>
  <r>
    <d v="2023-03-03T00:00:00"/>
    <s v="VZ-2023-000318-01"/>
    <x v="5"/>
    <s v="Říha"/>
    <s v="Kučera"/>
    <x v="207"/>
    <n v="1"/>
    <s v="Budova dětské kliniky FNOL"/>
    <s v="zrušeno"/>
    <s v="45215100-8"/>
    <m/>
    <n v="161585174.90000001"/>
    <x v="0"/>
    <d v="2023-04-26T00:00:00"/>
    <d v="2023-05-31T00:00:00"/>
    <m/>
    <s v="zrušeno - úprava kvalifikace"/>
    <s v="nová VZ-2023-000683-01"/>
    <m/>
    <m/>
    <m/>
    <m/>
    <m/>
    <m/>
    <m/>
    <x v="10"/>
  </r>
  <r>
    <d v="2023-03-03T00:00:00"/>
    <s v="VZ-2023-000318-02"/>
    <x v="5"/>
    <s v="Říha"/>
    <s v="Kučera"/>
    <x v="207"/>
    <n v="2"/>
    <s v="Budovy ubytoven zdravotnických pracovníků FNOL"/>
    <s v="zrušeno"/>
    <s v="45215100-8"/>
    <m/>
    <n v="117654659.40000001"/>
    <x v="0"/>
    <d v="2023-04-26T00:00:00"/>
    <d v="2023-05-31T00:00:00"/>
    <m/>
    <s v="zrušeno - úprava kvalifikace"/>
    <s v="nová VZ-2023-000683-02"/>
    <m/>
    <m/>
    <m/>
    <m/>
    <m/>
    <m/>
    <m/>
    <x v="10"/>
  </r>
  <r>
    <d v="2023-03-03T00:00:00"/>
    <s v="VZ-2023-000318-03"/>
    <x v="5"/>
    <s v="Říha"/>
    <s v="Kučera"/>
    <x v="207"/>
    <n v="3"/>
    <s v="Budova ubytovny pracovníků FNOL"/>
    <s v="zrušeno"/>
    <s v="45215100-8"/>
    <m/>
    <n v="16718547.119999999"/>
    <x v="0"/>
    <d v="2023-04-26T00:00:00"/>
    <d v="2023-05-31T00:00:00"/>
    <m/>
    <s v="zrušeno - úprava kvalifikace"/>
    <s v="nová VZ-2023-000683-03"/>
    <m/>
    <m/>
    <m/>
    <m/>
    <m/>
    <m/>
    <m/>
    <x v="10"/>
  </r>
  <r>
    <d v="2023-03-10T00:00:00"/>
    <s v="VZ-2023-000319"/>
    <x v="12"/>
    <s v="Zemánková"/>
    <s v="Bodinková"/>
    <x v="208"/>
    <m/>
    <m/>
    <s v="podepsaná smlouva"/>
    <s v="33694000-1"/>
    <m/>
    <n v="25008090"/>
    <x v="0"/>
    <d v="2023-05-31T00:00:00"/>
    <d v="2023-08-07T00:00:00"/>
    <d v="2023-10-03T00:00:00"/>
    <s v="Abbot Laboratories, s.r.o."/>
    <m/>
    <n v="15690080"/>
    <n v="18984996.800000001"/>
    <m/>
    <m/>
    <m/>
    <d v="2023-10-03T00:00:00"/>
    <s v="SMLN-2023-617-100532_x000a_SMLN-2023-616-100037"/>
    <x v="91"/>
  </r>
  <r>
    <d v="2023-03-09T00:00:00"/>
    <s v="VZ-2023-000320"/>
    <x v="2"/>
    <s v="Valtová"/>
    <s v="Přikrylová"/>
    <x v="209"/>
    <m/>
    <m/>
    <s v="podepsaná smlouva"/>
    <s v="33140000-3"/>
    <m/>
    <n v="7469500"/>
    <x v="0"/>
    <d v="2023-03-24T00:00:00"/>
    <d v="2023-04-27T00:00:00"/>
    <d v="2023-06-08T00:00:00"/>
    <s v="Johnson &amp; Johnson, s.r.o."/>
    <m/>
    <n v="7469500"/>
    <n v="9038095"/>
    <m/>
    <m/>
    <m/>
    <d v="2023-06-08T00:00:00"/>
    <s v="SMLN-2023-617-100238_x000a_SMLN-2023-617-100237_x000a_SMLN-2023-614-100018_x000a_SMLN-2023-616-100016"/>
    <x v="92"/>
  </r>
  <r>
    <s v="opakovaná VZ"/>
    <s v="VZ-2023-000323-01"/>
    <x v="0"/>
    <s v="Vondrková"/>
    <s v="Bodinková"/>
    <x v="210"/>
    <n v="1"/>
    <s v="dvoukomorové vaky s apikací do centrální žíly I."/>
    <s v="podepsaná smlouva"/>
    <s v="33692510-5"/>
    <m/>
    <n v="1413223"/>
    <x v="0"/>
    <d v="2023-03-24T00:00:00"/>
    <d v="2023-05-26T00:00:00"/>
    <d v="2023-06-28T00:00:00"/>
    <s v="Fresenius Kabi s.r.o."/>
    <m/>
    <n v="1413222.24"/>
    <n v="1554544.46"/>
    <m/>
    <m/>
    <m/>
    <d v="2023-06-29T00:00:00"/>
    <s v="SMLN-2023-617-100292"/>
    <x v="61"/>
  </r>
  <r>
    <s v="opakovaná VZ"/>
    <s v="VZ-2023-000323-02"/>
    <x v="0"/>
    <s v="Vondrková"/>
    <s v="Bodinková"/>
    <x v="210"/>
    <n v="2"/>
    <s v="dvoukomorové vaky s apikací do centrální žíly II."/>
    <s v="podepsaná smlouva"/>
    <s v="33692510-5"/>
    <m/>
    <n v="6300"/>
    <x v="0"/>
    <d v="2023-03-24T00:00:00"/>
    <d v="2023-05-26T00:00:00"/>
    <d v="2023-06-28T00:00:00"/>
    <s v="B. Braun Medical s.r.o."/>
    <m/>
    <n v="6300"/>
    <n v="6930"/>
    <m/>
    <m/>
    <m/>
    <d v="2023-06-29T00:00:00"/>
    <s v="SMLN-2023-617-100293"/>
    <x v="61"/>
  </r>
  <r>
    <s v="opakovaná VZ"/>
    <s v="VZ-2023-000323-03"/>
    <x v="0"/>
    <s v="Vondrková"/>
    <s v="Bodinková"/>
    <x v="210"/>
    <n v="3"/>
    <s v="dvoukomorové vaky s apikací do centrální žíly III."/>
    <s v="podepsaná smlouva"/>
    <s v="33692510-5"/>
    <m/>
    <n v="3698100"/>
    <x v="0"/>
    <d v="2023-03-24T00:00:00"/>
    <d v="2023-05-26T00:00:00"/>
    <d v="2023-06-28T00:00:00"/>
    <s v="BAXTER CZECH spol. s r.o."/>
    <m/>
    <n v="3477975"/>
    <n v="3825772.5"/>
    <m/>
    <m/>
    <m/>
    <d v="2023-06-29T00:00:00"/>
    <s v="SMLN-2023-617-100294"/>
    <x v="61"/>
  </r>
  <r>
    <s v="opakovaná VZ"/>
    <s v="VZ-2023-000323-04"/>
    <x v="0"/>
    <s v="Vondrková"/>
    <s v="Bodinková"/>
    <x v="210"/>
    <n v="4"/>
    <s v="dvoukomorové vaky s apikací do centrální žíly IV."/>
    <s v="podepsaná smlouva"/>
    <s v="33692510-5"/>
    <m/>
    <n v="500550"/>
    <x v="0"/>
    <d v="2023-03-24T00:00:00"/>
    <d v="2023-05-26T00:00:00"/>
    <d v="2023-06-28T00:00:00"/>
    <s v="B. Braun Medical s.r.o."/>
    <m/>
    <n v="500550"/>
    <n v="550605"/>
    <m/>
    <m/>
    <m/>
    <d v="2023-06-29T00:00:00"/>
    <s v="SMLN-2023-617-100295"/>
    <x v="61"/>
  </r>
  <r>
    <s v="opakovaná VZ"/>
    <s v="VZ-2023-000323-05"/>
    <x v="0"/>
    <s v="Vondrková"/>
    <s v="Bodinková"/>
    <x v="210"/>
    <n v="5"/>
    <s v="dvoukomorové vaky s apikací do centrální žíly V."/>
    <s v="zrušeno"/>
    <s v="33692510-5"/>
    <m/>
    <n v="5822"/>
    <x v="0"/>
    <d v="2023-03-24T00:00:00"/>
    <d v="2023-05-26T00:00:00"/>
    <m/>
    <s v="zrušeno - bez nabídky"/>
    <m/>
    <m/>
    <m/>
    <m/>
    <m/>
    <m/>
    <m/>
    <m/>
    <x v="10"/>
  </r>
  <r>
    <s v="opakovaná VZ"/>
    <s v="VZ-2023-000323-06"/>
    <x v="0"/>
    <s v="Vondrková"/>
    <s v="Bodinková"/>
    <x v="210"/>
    <n v="6"/>
    <s v="dvoukomorové vaky s apikací do centrální žíly VI."/>
    <s v="podepsaná smlouva"/>
    <s v="33692510-5"/>
    <m/>
    <n v="215260"/>
    <x v="0"/>
    <d v="2023-03-24T00:00:00"/>
    <d v="2023-05-26T00:00:00"/>
    <d v="2023-06-28T00:00:00"/>
    <s v="B. Braun Medical s.r.o."/>
    <m/>
    <n v="229157.29"/>
    <n v="252073.02"/>
    <m/>
    <m/>
    <m/>
    <d v="2023-06-29T00:00:00"/>
    <s v="SMLN-2023-617-100296"/>
    <x v="61"/>
  </r>
  <r>
    <s v="opakovaná VZ"/>
    <s v="VZ-2023-000324-01"/>
    <x v="0"/>
    <s v="Vondrková"/>
    <s v="Bodinková"/>
    <x v="211"/>
    <n v="1"/>
    <s v="dvoukomorové vaky s apikací do centrální a periferní žíly I."/>
    <s v="podepsaná smlouva"/>
    <s v="33692510-5"/>
    <m/>
    <n v="3983616"/>
    <x v="0"/>
    <d v="2023-03-24T00:00:00"/>
    <d v="2023-05-31T00:00:00"/>
    <d v="2023-06-28T00:00:00"/>
    <s v="B. Braun Medical s.r.o."/>
    <m/>
    <n v="3912480"/>
    <n v="4303728"/>
    <m/>
    <m/>
    <m/>
    <d v="2023-06-29T00:00:00"/>
    <s v="SMLN-2023-617-100297"/>
    <x v="58"/>
  </r>
  <r>
    <s v="opakovaná VZ"/>
    <s v="VZ-2023-000324-02"/>
    <x v="0"/>
    <s v="Vondrková"/>
    <s v="Bodinková"/>
    <x v="211"/>
    <n v="2"/>
    <s v="dvoukomorové vaky s apikací do centrální a periferní žíly II."/>
    <s v="podepsaná smlouva"/>
    <s v="33692510-5"/>
    <m/>
    <n v="980907"/>
    <x v="0"/>
    <d v="2023-03-24T00:00:00"/>
    <d v="2023-05-31T00:00:00"/>
    <d v="2023-06-28T00:00:00"/>
    <s v="B. Braun Medical s.r.o."/>
    <m/>
    <n v="979800"/>
    <n v="1077780"/>
    <m/>
    <m/>
    <m/>
    <d v="2023-06-29T00:00:00"/>
    <s v="SMLN-2023-617-100298"/>
    <x v="58"/>
  </r>
  <r>
    <d v="2023-03-13T00:00:00"/>
    <s v="VZ-2023-000325"/>
    <x v="11"/>
    <s v="Zdráhalová"/>
    <s v="Staňková"/>
    <x v="212"/>
    <m/>
    <m/>
    <s v="podepsaná smlouva"/>
    <s v="39113300-0"/>
    <m/>
    <n v="1775000"/>
    <x v="2"/>
    <d v="2023-03-15T00:00:00"/>
    <d v="2023-03-28T00:00:00"/>
    <d v="2023-04-04T00:00:00"/>
    <s v="IRIDIUM, spol.  s r.o."/>
    <m/>
    <n v="1489417"/>
    <n v="1802194.57"/>
    <m/>
    <m/>
    <m/>
    <d v="2023-04-20T00:00:00"/>
    <s v="SMLN-2023-617-100108"/>
    <x v="53"/>
  </r>
  <r>
    <d v="2023-03-15T00:00:00"/>
    <s v="VZ-2023-000332"/>
    <x v="11"/>
    <s v="Zdráhalová"/>
    <s v="Štýbnarová"/>
    <x v="213"/>
    <m/>
    <m/>
    <s v="podepsaná smlouva"/>
    <s v="39112000-0"/>
    <m/>
    <n v="1125300"/>
    <x v="2"/>
    <d v="2023-03-22T00:00:00"/>
    <d v="2023-04-03T00:00:00"/>
    <d v="2023-04-26T00:00:00"/>
    <s v="Mutlised s.r.o."/>
    <m/>
    <n v="975000"/>
    <n v="1179750"/>
    <m/>
    <m/>
    <m/>
    <d v="2023-04-26T00:00:00"/>
    <s v="SMLN-2023-617-100125"/>
    <x v="42"/>
  </r>
  <r>
    <s v="opakovaná VZ"/>
    <s v="VZ-2023-000333"/>
    <x v="5"/>
    <s v="Spáčil"/>
    <s v="Zdražilová"/>
    <x v="214"/>
    <m/>
    <m/>
    <s v="podepsaná smlouva"/>
    <s v="39151100-6"/>
    <m/>
    <n v="2500000"/>
    <x v="1"/>
    <d v="2023-03-31T00:00:00"/>
    <d v="2023-04-28T00:00:00"/>
    <d v="2023-05-18T00:00:00"/>
    <s v="DIRP, s.r.o."/>
    <m/>
    <n v="2386000"/>
    <n v="2887060"/>
    <m/>
    <m/>
    <m/>
    <d v="2023-05-19T00:00:00"/>
    <s v="SMLN-2023-617-100199"/>
    <x v="90"/>
  </r>
  <r>
    <d v="2023-03-16T00:00:00"/>
    <s v="VZ-2023-000334"/>
    <x v="0"/>
    <s v="Vlčková"/>
    <s v="Zdražilová"/>
    <x v="215"/>
    <m/>
    <m/>
    <s v="podepsaná smlouva"/>
    <s v="33642100-3"/>
    <m/>
    <n v="16297720"/>
    <x v="0"/>
    <d v="2023-03-23T00:00:00"/>
    <d v="2023-04-26T00:00:00"/>
    <d v="2023-05-12T00:00:00"/>
    <s v="PHOENIX lék. velkoobchod, s.r.o."/>
    <m/>
    <n v="16209150.300000001"/>
    <n v="17830065.329999998"/>
    <m/>
    <m/>
    <m/>
    <d v="2023-05-12T00:00:00"/>
    <s v="SMLN-2023-617-100174"/>
    <x v="75"/>
  </r>
  <r>
    <d v="2023-03-16T00:00:00"/>
    <s v="VZ-2023-000335-01"/>
    <x v="0"/>
    <s v="Vlčková"/>
    <s v="Zdražilová"/>
    <x v="216"/>
    <n v="1"/>
    <s v="Oktreotid"/>
    <s v="podepsaná smlouva"/>
    <s v="33642100-3"/>
    <m/>
    <n v="941250"/>
    <x v="0"/>
    <d v="2023-03-23T00:00:00"/>
    <d v="2023-04-26T00:00:00"/>
    <d v="2023-05-12T00:00:00"/>
    <s v="Alliance Healthcare s.r.o."/>
    <m/>
    <n v="941250"/>
    <n v="1035375"/>
    <m/>
    <m/>
    <m/>
    <d v="2023-05-12T00:00:00"/>
    <s v="SMLN-2023-617-100172"/>
    <x v="81"/>
  </r>
  <r>
    <d v="2023-03-16T00:00:00"/>
    <s v="VZ-2023-000335-02"/>
    <x v="0"/>
    <s v="Vlčková"/>
    <s v="Zdražilová"/>
    <x v="216"/>
    <n v="2"/>
    <s v="Oktreotid - Acetát"/>
    <s v="podepsaná smlouva"/>
    <s v="33642100-3"/>
    <m/>
    <n v="3018872"/>
    <x v="0"/>
    <d v="2023-03-23T00:00:00"/>
    <d v="2023-04-26T00:00:00"/>
    <d v="2023-05-12T00:00:00"/>
    <s v="Alliance Healthcare s.r.o."/>
    <m/>
    <n v="3018871.8"/>
    <n v="3320758.98"/>
    <m/>
    <m/>
    <m/>
    <d v="2023-05-12T00:00:00"/>
    <s v="SMLN-2023-617-100173"/>
    <x v="81"/>
  </r>
  <r>
    <d v="2023-03-16T00:00:00"/>
    <s v="VZ-2023-000336"/>
    <x v="0"/>
    <s v="Vlčková"/>
    <s v="Zdražilová"/>
    <x v="217"/>
    <m/>
    <m/>
    <s v="podepsaná smlouva"/>
    <s v="33652300-8"/>
    <m/>
    <n v="66989825"/>
    <x v="0"/>
    <d v="2023-03-24T00:00:00"/>
    <d v="2023-04-28T00:00:00"/>
    <d v="2023-05-12T00:00:00"/>
    <s v="sanofi-aventis, s.r.o."/>
    <m/>
    <n v="66989824.719999999"/>
    <n v="73688807.189999998"/>
    <m/>
    <m/>
    <m/>
    <d v="2023-05-12T00:00:00"/>
    <s v="SMLN-2023-617-100171"/>
    <x v="86"/>
  </r>
  <r>
    <d v="2023-03-16T00:00:00"/>
    <s v="VZ-2023-000337"/>
    <x v="0"/>
    <s v="Vlčková"/>
    <s v="Zdražilová"/>
    <x v="218"/>
    <m/>
    <m/>
    <s v="podepsaná smlouva"/>
    <s v="33652300-8"/>
    <m/>
    <n v="8716765"/>
    <x v="0"/>
    <d v="2023-03-24T00:00:00"/>
    <d v="2023-06-15T00:00:00"/>
    <d v="2023-07-12T00:00:00"/>
    <s v="ELI LILLY ČR, s.r.o."/>
    <m/>
    <n v="8716764.0899999999"/>
    <n v="9588440.4989999998"/>
    <m/>
    <m/>
    <m/>
    <d v="2023-07-12T00:00:00"/>
    <s v="SMLN-2023-617-100316"/>
    <x v="93"/>
  </r>
  <r>
    <d v="2023-03-16T00:00:00"/>
    <s v="VZ-2023-000338"/>
    <x v="0"/>
    <s v="Vlčková"/>
    <s v="Zdražilová"/>
    <x v="219"/>
    <m/>
    <m/>
    <s v="podepsaná smlouva"/>
    <s v="33652300-8"/>
    <m/>
    <n v="74925258"/>
    <x v="0"/>
    <d v="2023-03-24T00:00:00"/>
    <d v="2023-04-27T00:00:00"/>
    <d v="2023-05-04T00:00:00"/>
    <s v="Alliance Healthcare s.r.o."/>
    <m/>
    <n v="74925256.420000002"/>
    <n v="82417782.060000002"/>
    <m/>
    <m/>
    <m/>
    <d v="2023-05-04T00:00:00"/>
    <s v="SMLN-2023-617-100157"/>
    <x v="94"/>
  </r>
  <r>
    <d v="2023-03-16T00:00:00"/>
    <s v="VZ-2023-000339"/>
    <x v="2"/>
    <s v="Dočkalová"/>
    <s v="Zdražilová"/>
    <x v="220"/>
    <m/>
    <m/>
    <s v="podepsaná smlouva"/>
    <s v="33140000-3"/>
    <m/>
    <n v="1933330"/>
    <x v="0"/>
    <d v="2023-03-22T00:00:00"/>
    <d v="2023-04-26T00:00:00"/>
    <d v="2023-05-02T00:00:00"/>
    <s v="Medtronic Czechia s.r.o."/>
    <m/>
    <n v="1932940"/>
    <n v="2338857.4"/>
    <m/>
    <m/>
    <m/>
    <d v="2023-05-02T00:00:00"/>
    <s v="SMLN-2023-617-100141"/>
    <x v="59"/>
  </r>
  <r>
    <d v="2023-03-16T00:00:00"/>
    <s v="VZ-2023-000345"/>
    <x v="12"/>
    <s v="Zemánková"/>
    <s v="Bodinková"/>
    <x v="221"/>
    <m/>
    <m/>
    <s v="podepsaná smlouva"/>
    <s v="72300000-8"/>
    <m/>
    <n v="500920"/>
    <x v="2"/>
    <d v="2023-04-11T00:00:00"/>
    <d v="2023-04-24T00:00:00"/>
    <d v="2023-05-03T00:00:00"/>
    <s v="HPST, s.r.o."/>
    <m/>
    <n v="490250"/>
    <n v="593202.5"/>
    <m/>
    <m/>
    <m/>
    <d v="2023-05-03T00:00:00"/>
    <s v="SMLN-2023-612-100029"/>
    <x v="66"/>
  </r>
  <r>
    <d v="2023-03-17T00:00:00"/>
    <s v="VZ-2023-000346"/>
    <x v="13"/>
    <s v="Oravec"/>
    <s v="Kučera"/>
    <x v="222"/>
    <m/>
    <m/>
    <s v="zrušeno"/>
    <s v="30213500-0 "/>
    <m/>
    <n v="4636500"/>
    <x v="0"/>
    <d v="2023-03-23T00:00:00"/>
    <d v="2023-04-25T00:00:00"/>
    <m/>
    <s v="zrušeno - bez nabídky"/>
    <s v="nová VZ-2023-000569"/>
    <m/>
    <m/>
    <m/>
    <m/>
    <m/>
    <m/>
    <m/>
    <x v="10"/>
  </r>
  <r>
    <d v="2023-03-17T00:00:00"/>
    <s v="VZ-2023-000348"/>
    <x v="8"/>
    <s v="Kadlec"/>
    <s v="Štýbnarová"/>
    <x v="223"/>
    <m/>
    <m/>
    <s v="podepsaná smlouva"/>
    <s v="45233261-6"/>
    <m/>
    <n v="1400000"/>
    <x v="2"/>
    <d v="2023-03-22T00:00:00"/>
    <d v="2023-04-03T00:00:00"/>
    <d v="2023-05-24T00:00:00"/>
    <s v="Stavitelství Pospíšil s.r.o."/>
    <m/>
    <n v="984043"/>
    <n v="1190692.03"/>
    <m/>
    <m/>
    <m/>
    <d v="2023-05-24T00:00:00"/>
    <s v="SMLN-2023-618-100021"/>
    <x v="81"/>
  </r>
  <r>
    <d v="2023-03-16T00:00:00"/>
    <s v="VZ-2023-000349"/>
    <x v="0"/>
    <s v="Vondrková"/>
    <s v="Staňková"/>
    <x v="224"/>
    <m/>
    <m/>
    <s v="podepsaná smlouva"/>
    <s v="33616000-1"/>
    <m/>
    <n v="1709316"/>
    <x v="2"/>
    <d v="2023-04-26T00:00:00"/>
    <d v="2023-05-09T00:00:00"/>
    <d v="2023-05-11T00:00:00"/>
    <s v="Maxpharma servis s. r.o."/>
    <m/>
    <n v="1709316"/>
    <n v="1965713.4"/>
    <m/>
    <m/>
    <m/>
    <d v="2023-05-11T00:00:00"/>
    <s v="SMLN-2023-617-100165"/>
    <x v="76"/>
  </r>
  <r>
    <d v="2023-03-20T00:00:00"/>
    <s v="VZ-2023-000353"/>
    <x v="3"/>
    <s v="Olejníček"/>
    <s v="Staňková"/>
    <x v="225"/>
    <m/>
    <m/>
    <s v="podepsaná smlouva"/>
    <s v="38000000-5"/>
    <s v="2.3.742."/>
    <n v="190000"/>
    <x v="2"/>
    <d v="2023-03-23T00:00:00"/>
    <d v="2023-04-03T00:00:00"/>
    <d v="2023-04-13T00:00:00"/>
    <s v="TRIGON PLUS s.r.o."/>
    <m/>
    <n v="122150"/>
    <n v="147801.5"/>
    <m/>
    <m/>
    <m/>
    <d v="2023-04-13T00:00:00"/>
    <s v="SMLN-2023-617-100090_x000a_SMLN-2023-612-100020"/>
    <x v="36"/>
  </r>
  <r>
    <d v="2023-03-20T00:00:00"/>
    <s v="VZ-2023-000356"/>
    <x v="0"/>
    <s v="Vlčková"/>
    <s v="Zdražilová"/>
    <x v="226"/>
    <m/>
    <m/>
    <s v="podepsaná smlouva"/>
    <s v="33652000-5"/>
    <m/>
    <n v="6375732"/>
    <x v="0"/>
    <d v="2023-04-06T00:00:00"/>
    <d v="2023-05-11T00:00:00"/>
    <d v="2023-06-09T00:00:00"/>
    <s v="BAYER s.r.o."/>
    <m/>
    <n v="6375731.04"/>
    <n v="7013304.1399999997"/>
    <m/>
    <m/>
    <m/>
    <d v="2023-06-09T00:00:00"/>
    <s v="SMLN-2023-617-100240"/>
    <x v="95"/>
  </r>
  <r>
    <d v="2023-03-21T00:00:00"/>
    <s v="VZ-2023-000358"/>
    <x v="11"/>
    <s v="Zdráhalová"/>
    <s v="Staňková"/>
    <x v="227"/>
    <m/>
    <m/>
    <s v="podepsaná smlouva"/>
    <s v="39120000-9"/>
    <m/>
    <n v="271890"/>
    <x v="2"/>
    <d v="2023-03-27T00:00:00"/>
    <d v="2023-04-11T00:00:00"/>
    <d v="2023-04-13T00:00:00"/>
    <s v="KANONA a.s."/>
    <m/>
    <n v="199490"/>
    <n v="241382.9"/>
    <m/>
    <m/>
    <m/>
    <d v="2023-04-14T00:00:00"/>
    <s v="SMLN-2023-618-100006"/>
    <x v="42"/>
  </r>
  <r>
    <d v="2023-03-15T00:00:00"/>
    <s v="VZ-2023-000361"/>
    <x v="13"/>
    <s v="Oravec"/>
    <s v="Kučera"/>
    <x v="228"/>
    <m/>
    <m/>
    <s v="podepsaná smlouva"/>
    <s v="72261000-2 "/>
    <m/>
    <n v="3380000"/>
    <x v="0"/>
    <d v="2023-04-06T00:00:00"/>
    <d v="2023-05-09T00:00:00"/>
    <d v="2023-06-01T00:00:00"/>
    <s v="SEFIMA s.r.o."/>
    <m/>
    <n v="1680000"/>
    <n v="2032800"/>
    <m/>
    <m/>
    <m/>
    <d v="2023-06-01T00:00:00"/>
    <s v="SMLN-2023-612-100050"/>
    <x v="62"/>
  </r>
  <r>
    <d v="2023-03-21T00:00:00"/>
    <s v="VZ-2023-000362"/>
    <x v="11"/>
    <s v="Zdráhalová"/>
    <s v="Štýbnarová"/>
    <x v="229"/>
    <m/>
    <m/>
    <s v="podepsaná smlouva"/>
    <s v="32324000-0"/>
    <m/>
    <n v="744000"/>
    <x v="2"/>
    <d v="2023-03-24T00:00:00"/>
    <d v="2023-04-14T00:00:00"/>
    <d v="2023-04-21T00:00:00"/>
    <s v="S E T O S spol. s r.o., "/>
    <s v="AMENDOIM s.r.o. odstoupil od podpisu smlouvy"/>
    <n v="704000"/>
    <n v="851840"/>
    <m/>
    <m/>
    <m/>
    <d v="2023-05-16T00:00:00"/>
    <s v="SMLN-2023-617-100182"/>
    <x v="18"/>
  </r>
  <r>
    <d v="2023-03-22T00:00:00"/>
    <s v="VZ-2023-000363"/>
    <x v="5"/>
    <s v="Spáčil"/>
    <s v="Kučera"/>
    <x v="230"/>
    <m/>
    <s v="nově VZ-2024-000117"/>
    <s v="připravuje se"/>
    <s v="71315400-3 "/>
    <m/>
    <n v="25000000"/>
    <x v="0"/>
    <m/>
    <m/>
    <m/>
    <m/>
    <m/>
    <m/>
    <m/>
    <m/>
    <m/>
    <m/>
    <m/>
    <m/>
    <x v="10"/>
  </r>
  <r>
    <d v="2023-03-22T00:00:00"/>
    <s v="VZ-2023-000365"/>
    <x v="5"/>
    <s v="Zeman"/>
    <s v="Staňková"/>
    <x v="231"/>
    <m/>
    <m/>
    <s v="podepsaná smlouva"/>
    <s v="45215100-8"/>
    <s v="1.2.56."/>
    <n v="4200000"/>
    <x v="2"/>
    <d v="2023-03-27T00:00:00"/>
    <d v="2023-04-14T00:00:00"/>
    <d v="2023-04-18T00:00:00"/>
    <s v="EP Rožnov, a.s."/>
    <m/>
    <n v="4143067"/>
    <n v="5013111.07"/>
    <m/>
    <m/>
    <m/>
    <d v="2023-04-18T00:00:00"/>
    <s v="SMLN-2023-618-100009"/>
    <x v="67"/>
  </r>
  <r>
    <d v="2023-03-22T00:00:00"/>
    <s v="VZ-2023-000369-01"/>
    <x v="3"/>
    <s v="Olejníček"/>
    <s v="Štýbnarová"/>
    <x v="232"/>
    <n v="1"/>
    <s v="Laboratorní lednice s mrazákem"/>
    <s v="podepsaná smlouva"/>
    <s v="39711100-0"/>
    <s v="2.2.539."/>
    <n v="119280"/>
    <x v="2"/>
    <d v="2023-03-24T00:00:00"/>
    <d v="2023-04-11T00:00:00"/>
    <d v="2023-04-18T00:00:00"/>
    <s v="SCHOELLER INSTRUMENTS, s.r.o."/>
    <m/>
    <n v="83250"/>
    <n v="100732.5"/>
    <m/>
    <m/>
    <m/>
    <d v="2023-04-18T00:00:00"/>
    <s v="SMLN-2023-617-100101_x000a_SMLN-2023-612-100021"/>
    <x v="42"/>
  </r>
  <r>
    <d v="2023-03-22T00:00:00"/>
    <s v="VZ-2023-000369-02"/>
    <x v="3"/>
    <s v="Olejníček"/>
    <s v="Štýbnarová"/>
    <x v="232"/>
    <n v="2"/>
    <s v="Hlubokomrazící box"/>
    <s v="podepsaná smlouva"/>
    <s v="39711100-0"/>
    <s v="2.2.539."/>
    <n v="310000"/>
    <x v="2"/>
    <d v="2023-03-24T00:00:00"/>
    <d v="2023-04-11T00:00:00"/>
    <d v="2023-04-18T00:00:00"/>
    <s v="TRIGON PLUS s.r.o."/>
    <m/>
    <n v="247250"/>
    <n v="299172.5"/>
    <m/>
    <m/>
    <m/>
    <d v="2023-04-18T00:00:00"/>
    <s v="SMLN-2023-617-100102_x000a_SMLN-2023-612-100022"/>
    <x v="96"/>
  </r>
  <r>
    <d v="2023-03-23T00:00:00"/>
    <s v="VZ-2023-000371"/>
    <x v="13"/>
    <s v="Miklík"/>
    <s v="Kučera"/>
    <x v="233"/>
    <m/>
    <m/>
    <s v="podepsaná smlouva"/>
    <s v="48760000-3"/>
    <m/>
    <n v="3920000"/>
    <x v="0"/>
    <d v="2023-03-27T00:00:00"/>
    <d v="2023-05-12T00:00:00"/>
    <d v="2023-05-16T00:00:00"/>
    <s v="Amenit s.r.o."/>
    <m/>
    <n v="3741000"/>
    <n v="4526610"/>
    <m/>
    <m/>
    <m/>
    <d v="2023-05-16T00:00:00"/>
    <s v="SMLN-2023-612-100044"/>
    <x v="84"/>
  </r>
  <r>
    <d v="2023-03-23T00:00:00"/>
    <s v="VZ-2023-000375"/>
    <x v="0"/>
    <s v="Vondrková"/>
    <s v="Bodinková"/>
    <x v="234"/>
    <m/>
    <m/>
    <s v="podepsaná smlouva"/>
    <s v="33622200-8"/>
    <m/>
    <n v="38897076"/>
    <x v="0"/>
    <d v="2023-04-11T00:00:00"/>
    <d v="2023-06-15T00:00:00"/>
    <d v="2023-07-21T00:00:00"/>
    <s v="Alliance Healthcare s.r.o."/>
    <m/>
    <n v="35186580"/>
    <n v="38705238"/>
    <m/>
    <m/>
    <m/>
    <d v="2023-07-21T00:00:00"/>
    <s v="SMLN-2023-617-100407"/>
    <x v="97"/>
  </r>
  <r>
    <d v="2023-03-23T00:00:00"/>
    <s v="VZ-2023-000376"/>
    <x v="0"/>
    <s v="Vondrková"/>
    <s v="Bodinková"/>
    <x v="235"/>
    <m/>
    <m/>
    <s v="zrušeno"/>
    <s v="33622200-8"/>
    <m/>
    <n v="13061671"/>
    <x v="0"/>
    <d v="2023-04-13T00:00:00"/>
    <d v="2023-05-19T00:00:00"/>
    <m/>
    <s v="zrušeno - úprava zadání"/>
    <m/>
    <m/>
    <m/>
    <m/>
    <m/>
    <m/>
    <m/>
    <m/>
    <x v="10"/>
  </r>
  <r>
    <d v="2023-03-23T00:00:00"/>
    <s v="VZ-2023-000380"/>
    <x v="3"/>
    <s v="Olejníček"/>
    <s v="Přikrylová"/>
    <x v="236"/>
    <m/>
    <m/>
    <s v="podepsaná smlouva"/>
    <s v="33169100-3"/>
    <s v="2.3.416."/>
    <n v="6995858"/>
    <x v="0"/>
    <d v="2023-04-06T00:00:00"/>
    <d v="2023-06-09T00:00:00"/>
    <d v="2023-09-06T00:00:00"/>
    <s v="Surgicare s.r.o."/>
    <m/>
    <n v="6995220"/>
    <n v="8464216.1999999993"/>
    <m/>
    <m/>
    <m/>
    <d v="2023-09-06T00:00:00"/>
    <s v="SMLN-2023-617-100488_x000a_SMLN-2023-612-100110_x000a_SMLN-2023-617-100489"/>
    <x v="79"/>
  </r>
  <r>
    <d v="2023-03-24T00:00:00"/>
    <s v="VZ-2023-000381"/>
    <x v="3"/>
    <s v="Olejníček"/>
    <s v="Staňková"/>
    <x v="237"/>
    <m/>
    <m/>
    <s v="podepsaná smlouva"/>
    <s v="33122000-1"/>
    <s v="2.3.743."/>
    <n v="1080000"/>
    <x v="2"/>
    <d v="2023-03-29T00:00:00"/>
    <d v="2023-04-11T00:00:00"/>
    <d v="2023-04-24T00:00:00"/>
    <s v="OCULUS, spol. s r.o."/>
    <m/>
    <n v="982000"/>
    <n v="1188220"/>
    <m/>
    <m/>
    <m/>
    <d v="2023-04-24T00:00:00"/>
    <s v="SMLN-2023-617-100120_x000a_SMLN-2023-612-100024"/>
    <x v="98"/>
  </r>
  <r>
    <d v="2023-03-24T00:00:00"/>
    <s v="VZ-2023-000386"/>
    <x v="3"/>
    <s v="Olejníček"/>
    <s v="Zdražilová"/>
    <x v="238"/>
    <m/>
    <m/>
    <s v="podepsaná smlouva"/>
    <s v="33122000-1"/>
    <s v="2.3.744."/>
    <n v="3980000"/>
    <x v="0"/>
    <d v="2023-04-03T00:00:00"/>
    <d v="2023-05-09T00:00:00"/>
    <d v="2023-06-01T00:00:00"/>
    <s v="CMI s.r.o."/>
    <m/>
    <n v="3977110"/>
    <n v="4812303.0999999996"/>
    <m/>
    <m/>
    <m/>
    <d v="2023-06-01T00:00:00"/>
    <s v="SMLN-2023-617-100225_x000a_SMLN-2023-612-100051"/>
    <x v="99"/>
  </r>
  <r>
    <d v="2023-03-27T00:00:00"/>
    <s v="VZ-2023-000389"/>
    <x v="2"/>
    <s v="Valtová"/>
    <s v="Přikrylová"/>
    <x v="239"/>
    <m/>
    <m/>
    <s v="zrušeno"/>
    <s v="33141750-2"/>
    <m/>
    <n v="2700000"/>
    <x v="0"/>
    <d v="2023-05-05T00:00:00"/>
    <d v="2023-06-08T00:00:00"/>
    <m/>
    <s v="zrušeno - bez hodnotitelné nabídky"/>
    <s v="nová VZ-2023-001376"/>
    <m/>
    <m/>
    <m/>
    <m/>
    <m/>
    <m/>
    <m/>
    <x v="10"/>
  </r>
  <r>
    <d v="2023-03-24T00:00:00"/>
    <s v="VZ-2023-000393-01"/>
    <x v="0"/>
    <s v="Vondrková"/>
    <s v="Bodinková"/>
    <x v="240"/>
    <n v="1"/>
    <s v="Rekombinantní přípravky na prevenci a léčbu krvácení u hemofilie A, dále u nemocných hemofilií A s inhibitorem proti FVIII (titr do 5 BU) 3. a vyšší generace"/>
    <s v="podepsaná smlouva"/>
    <s v="33621000-9"/>
    <m/>
    <n v="43891200"/>
    <x v="0"/>
    <d v="2023-05-02T00:00:00"/>
    <d v="2023-07-10T00:00:00"/>
    <d v="2023-08-08T00:00:00"/>
    <s v="PHOENIX lék. velkoobchod, s.r.o."/>
    <m/>
    <n v="32785920"/>
    <n v="36064512"/>
    <m/>
    <m/>
    <m/>
    <d v="2023-08-08T00:00:00"/>
    <s v="SMLN-2023-617-100426"/>
    <x v="100"/>
  </r>
  <r>
    <d v="2023-03-24T00:00:00"/>
    <s v="VZ-2023-000393-02"/>
    <x v="0"/>
    <s v="Vondrková"/>
    <s v="Bodinková"/>
    <x v="240"/>
    <n v="2"/>
    <s v="Hemofilie A-Koagulační faktor VIII - rekombinantní s delším biologickým poločasem-pro pacienty do 12 let"/>
    <s v="podepsaná smlouva"/>
    <s v="33621000-9"/>
    <m/>
    <n v="3337554"/>
    <x v="0"/>
    <d v="2023-05-02T00:00:00"/>
    <d v="2023-07-10T00:00:00"/>
    <d v="2023-08-08T00:00:00"/>
    <s v="PHARMOS, a.s."/>
    <m/>
    <n v="3337553.4"/>
    <n v="3671308.74"/>
    <m/>
    <m/>
    <m/>
    <d v="2023-08-08T00:00:00"/>
    <s v="SMLN-2023-617-100427"/>
    <x v="100"/>
  </r>
  <r>
    <d v="2023-03-24T00:00:00"/>
    <s v="VZ-2023-000393-03"/>
    <x v="0"/>
    <s v="Vondrková"/>
    <s v="Bodinková"/>
    <x v="240"/>
    <n v="3"/>
    <s v="Hemofilie A-Koagulační faktor VIII - rekombinantní s delším biologickým poločasem- pro pacienty od 13 let bez předléčení  FVIII z plazmy nebo rFVIII "/>
    <s v="podepsaná smlouva"/>
    <s v="33621000-9"/>
    <m/>
    <n v="23193863"/>
    <x v="0"/>
    <d v="2023-05-02T00:00:00"/>
    <d v="2023-07-10T00:00:00"/>
    <d v="2023-08-08T00:00:00"/>
    <s v="PHARMOS, a.s."/>
    <m/>
    <n v="23193862.800000001"/>
    <n v="25513249.079999998"/>
    <m/>
    <m/>
    <m/>
    <d v="2023-08-08T00:00:00"/>
    <s v="SMLN-2023-617-100428"/>
    <x v="101"/>
  </r>
  <r>
    <d v="2023-03-24T00:00:00"/>
    <s v="VZ-2023-000393-04"/>
    <x v="0"/>
    <s v="Vondrková"/>
    <s v="Bodinková"/>
    <x v="240"/>
    <n v="4"/>
    <s v="Hemofilie A-Koagulační faktor VIII - rekombinantní s delším biologickým poločasem- pro pacienty od 13 let kteří jsou předléčení FVIII z plazmy nebo rFVIII min. 150 expozičních dní"/>
    <s v="podepsaná smlouva"/>
    <s v="33621000-9"/>
    <m/>
    <n v="10424208"/>
    <x v="0"/>
    <d v="2023-05-02T00:00:00"/>
    <d v="2023-07-10T00:00:00"/>
    <d v="2023-08-08T00:00:00"/>
    <s v="Alliance Healthcare s.r.o."/>
    <m/>
    <n v="10385117.220000001"/>
    <n v="11423628.939999999"/>
    <m/>
    <m/>
    <m/>
    <d v="2023-08-08T00:00:00"/>
    <s v="SMLN-2023-617-100429"/>
    <x v="100"/>
  </r>
  <r>
    <d v="2023-03-24T00:00:00"/>
    <s v="VZ-2023-000394-01"/>
    <x v="0"/>
    <s v="Vondrková"/>
    <s v="Zdražilová"/>
    <x v="241"/>
    <n v="1"/>
    <s v="CUVITRU"/>
    <s v="zrušeno"/>
    <s v="33651520-9"/>
    <m/>
    <n v="4987360"/>
    <x v="0"/>
    <d v="2023-04-11T00:00:00"/>
    <d v="2023-05-24T00:00:00"/>
    <m/>
    <s v="zrušeno - úprava specifikace o  výpůjčku pump"/>
    <s v="VZ-2023-001416"/>
    <m/>
    <m/>
    <m/>
    <m/>
    <m/>
    <m/>
    <m/>
    <x v="10"/>
  </r>
  <r>
    <d v="2023-03-24T00:00:00"/>
    <s v="VZ-2023-000394-02"/>
    <x v="0"/>
    <s v="Vondrková"/>
    <s v="Zdražilová"/>
    <x v="241"/>
    <n v="2"/>
    <s v="GAMMANORM"/>
    <s v="podepsaná smlouva"/>
    <s v="33651520-9"/>
    <m/>
    <n v="119500"/>
    <x v="0"/>
    <d v="2023-04-11T00:00:00"/>
    <d v="2023-06-20T00:00:00"/>
    <d v="2023-06-29T00:00:00"/>
    <s v="PHOENIX lék. velkoobchod, s.r.o."/>
    <m/>
    <n v="119340"/>
    <n v="131274"/>
    <m/>
    <m/>
    <m/>
    <d v="2023-06-29T00:00:00"/>
    <s v="SMLN-2023-617-100306"/>
    <x v="61"/>
  </r>
  <r>
    <d v="2023-03-24T00:00:00"/>
    <s v="VZ-2023-000394-03"/>
    <x v="0"/>
    <s v="Vondrková"/>
    <s v="Zdražilová"/>
    <x v="241"/>
    <n v="3"/>
    <s v="HIZENTRA"/>
    <s v="zrušeno"/>
    <s v="33651520-9"/>
    <m/>
    <n v="10985227"/>
    <x v="0"/>
    <d v="2023-04-11T00:00:00"/>
    <d v="2023-06-20T00:00:00"/>
    <m/>
    <s v="zrušeno - nehodnotitelná nabídka"/>
    <m/>
    <m/>
    <m/>
    <m/>
    <m/>
    <m/>
    <m/>
    <m/>
    <x v="10"/>
  </r>
  <r>
    <d v="2023-03-24T00:00:00"/>
    <s v="VZ-2023-000394-04"/>
    <x v="0"/>
    <s v="Vondrková"/>
    <s v="Zdražilová"/>
    <x v="241"/>
    <n v="4"/>
    <s v="HYQVIA"/>
    <s v="zrušeno"/>
    <s v="33651520-9"/>
    <m/>
    <n v="46556250"/>
    <x v="0"/>
    <d v="2023-04-11T00:00:00"/>
    <d v="2023-05-24T00:00:00"/>
    <m/>
    <s v="zrušeno - úprava specifikace o  výpůjčku pump"/>
    <s v="VZ-2023-001416"/>
    <m/>
    <m/>
    <m/>
    <m/>
    <m/>
    <m/>
    <m/>
    <x v="10"/>
  </r>
  <r>
    <d v="2023-03-24T00:00:00"/>
    <s v="VZ-2023-000394-05"/>
    <x v="0"/>
    <s v="Vondrková"/>
    <s v="Zdražilová"/>
    <x v="241"/>
    <n v="5"/>
    <s v="IGAMPLIA"/>
    <s v="zrušeno"/>
    <s v="33651520-9"/>
    <m/>
    <n v="34601"/>
    <x v="0"/>
    <d v="2023-04-11T00:00:00"/>
    <d v="2023-06-20T00:00:00"/>
    <m/>
    <s v="zrušeno - bez nabídky"/>
    <m/>
    <m/>
    <m/>
    <m/>
    <m/>
    <m/>
    <m/>
    <m/>
    <x v="10"/>
  </r>
  <r>
    <d v="2023-03-29T00:00:00"/>
    <s v="VZ-2023-000396"/>
    <x v="0"/>
    <s v="Vondrková"/>
    <s v="Bodinková"/>
    <x v="242"/>
    <m/>
    <m/>
    <s v="zrušeno"/>
    <s v="33650000-1"/>
    <m/>
    <n v="5671160"/>
    <x v="0"/>
    <d v="2023-09-05T00:00:00"/>
    <d v="2023-11-06T00:00:00"/>
    <m/>
    <s v="zrušeno - bez nabídky"/>
    <m/>
    <m/>
    <m/>
    <m/>
    <m/>
    <m/>
    <m/>
    <m/>
    <x v="10"/>
  </r>
  <r>
    <d v="2023-03-28T00:00:00"/>
    <s v="VZ-2023-000402-01"/>
    <x v="0"/>
    <s v="Vlčková"/>
    <s v="Bodinková"/>
    <x v="243"/>
    <n v="1"/>
    <s v="Oktenidin I."/>
    <s v="podepsaná smlouva"/>
    <s v="33631600-8"/>
    <m/>
    <n v="998337"/>
    <x v="0"/>
    <d v="2023-04-06T00:00:00"/>
    <d v="2023-05-11T00:00:00"/>
    <d v="2023-06-27T00:00:00"/>
    <s v="Perfect Distribution a.s."/>
    <m/>
    <n v="997815"/>
    <n v="1097596.5"/>
    <m/>
    <m/>
    <m/>
    <d v="2023-06-27T00:00:00"/>
    <s v="SMLN-2023-617-100263"/>
    <x v="92"/>
  </r>
  <r>
    <d v="2023-03-28T00:00:00"/>
    <s v="VZ-2023-000402-02"/>
    <x v="0"/>
    <s v="Vlčková"/>
    <s v="Bodinková"/>
    <x v="243"/>
    <n v="2"/>
    <s v="Oktenidin lI."/>
    <s v="zrušeno"/>
    <s v="33631600-8"/>
    <m/>
    <n v="303060"/>
    <x v="0"/>
    <d v="2023-04-06T00:00:00"/>
    <d v="2023-05-11T00:00:00"/>
    <m/>
    <s v="zrušeno - úprava specifikace"/>
    <m/>
    <m/>
    <m/>
    <m/>
    <m/>
    <m/>
    <m/>
    <m/>
    <x v="10"/>
  </r>
  <r>
    <d v="2023-03-29T00:00:00"/>
    <s v="VZ-2023-000403-01"/>
    <x v="0"/>
    <s v="Vondrková"/>
    <s v="Bodinková"/>
    <x v="244"/>
    <n v="1"/>
    <s v="Antiinhibační komplex koagulačních faktoru FII, VII, IX a X vyráběných z plasmy, přičemž FVII je aktivovaný"/>
    <s v="podepsaná smlouva"/>
    <s v="33621000-9"/>
    <m/>
    <n v="10236086"/>
    <x v="0"/>
    <d v="2023-04-18T00:00:00"/>
    <d v="2023-07-12T00:00:00"/>
    <d v="2023-08-08T00:00:00"/>
    <s v="Takeda Pharmaceuticals Czech Republic s.r.o. "/>
    <m/>
    <n v="10236085.02"/>
    <n v="11259693.52"/>
    <m/>
    <m/>
    <m/>
    <d v="2023-08-08T00:00:00"/>
    <s v="SMLN-2023-617-100424"/>
    <x v="102"/>
  </r>
  <r>
    <d v="2023-03-29T00:00:00"/>
    <s v="VZ-2023-000403-02"/>
    <x v="0"/>
    <s v="Vondrková"/>
    <s v="Bodinková"/>
    <x v="244"/>
    <n v="2"/>
    <s v="KOAGULAČNÍ FAKTOR VIIA"/>
    <s v="podepsaná smlouva"/>
    <s v="33621000-9"/>
    <m/>
    <n v="6289627"/>
    <x v="0"/>
    <d v="2023-04-18T00:00:00"/>
    <d v="2023-07-12T00:00:00"/>
    <d v="2023-08-08T00:00:00"/>
    <s v="Alliance Healthcare s.r.o."/>
    <m/>
    <n v="6165361.6799999997"/>
    <n v="6781897.8499999996"/>
    <m/>
    <m/>
    <m/>
    <d v="2023-08-08T00:00:00"/>
    <s v="SMLN-2023-617-100425"/>
    <x v="102"/>
  </r>
  <r>
    <d v="2023-03-27T00:00:00"/>
    <s v="VZ-2023-000405"/>
    <x v="2"/>
    <s v="Valtová"/>
    <s v="Přikrylová"/>
    <x v="245"/>
    <m/>
    <m/>
    <s v="podepsaná smlouva"/>
    <s v="33140000-3"/>
    <m/>
    <n v="6400704"/>
    <x v="0"/>
    <d v="2023-04-06T00:00:00"/>
    <d v="2023-05-11T00:00:00"/>
    <d v="2023-06-19T00:00:00"/>
    <s v="Boston Scientific Česká republika s.r.o."/>
    <m/>
    <n v="6400704"/>
    <n v="7744851.8399999999"/>
    <m/>
    <m/>
    <m/>
    <d v="2023-06-19T00:00:00"/>
    <s v="SMLN-2023-617-100245_x000a_SMLN-2023-614-100020"/>
    <x v="85"/>
  </r>
  <r>
    <d v="2023-03-30T00:00:00"/>
    <s v="VZ-2023-000408"/>
    <x v="8"/>
    <s v="Srovnal"/>
    <s v="Kučera"/>
    <x v="246"/>
    <m/>
    <m/>
    <s v="podepsaná smlouva"/>
    <s v="50750000-7"/>
    <m/>
    <n v="2800000"/>
    <x v="1"/>
    <d v="2023-04-11T00:00:00"/>
    <d v="2023-04-28T00:00:00"/>
    <d v="2023-05-12T00:00:00"/>
    <s v="LIFTMONT CZ s.r.o."/>
    <m/>
    <n v="2025800"/>
    <n v="2451218"/>
    <m/>
    <m/>
    <m/>
    <d v="2023-05-12T00:00:00"/>
    <s v="SMLN-2023-618-100017"/>
    <x v="18"/>
  </r>
  <r>
    <d v="2023-03-30T00:00:00"/>
    <s v="VZ-2023-000414"/>
    <x v="3"/>
    <s v="Olejníček"/>
    <s v="Staňková"/>
    <x v="247"/>
    <m/>
    <m/>
    <s v="podepsaná smlouva"/>
    <s v="33152000-0"/>
    <s v="2.2.542."/>
    <n v="123000"/>
    <x v="2"/>
    <d v="2023-04-11T00:00:00"/>
    <d v="2023-04-24T00:00:00"/>
    <d v="2023-05-19T00:00:00"/>
    <s v="TRIGON PLUS s.r.o."/>
    <m/>
    <n v="87075"/>
    <n v="105360.75"/>
    <m/>
    <m/>
    <m/>
    <d v="2023-05-22T00:00:00"/>
    <s v="SMLN-2023-617-100201_x000a_SMLN-2023-612-100046"/>
    <x v="81"/>
  </r>
  <r>
    <d v="2023-03-30T00:00:00"/>
    <s v="VZ-2023-000415"/>
    <x v="3"/>
    <s v="Olejníček"/>
    <s v="Štýbnarová"/>
    <x v="248"/>
    <m/>
    <m/>
    <s v="podepsaná smlouva"/>
    <s v="42931100-2"/>
    <s v="2.2.540."/>
    <n v="115000"/>
    <x v="2"/>
    <d v="2023-04-11T00:00:00"/>
    <d v="2023-04-24T00:00:00"/>
    <d v="2023-05-10T00:00:00"/>
    <s v="SCHOELLER INSTRUMENTS, s.r.o."/>
    <m/>
    <n v="51900"/>
    <n v="62799"/>
    <m/>
    <m/>
    <m/>
    <d v="2023-05-10T00:00:00"/>
    <s v="SMLN-2023-617-100162_x000a_SMLN-2023-617-100163"/>
    <x v="67"/>
  </r>
  <r>
    <d v="2023-03-31T00:00:00"/>
    <s v="VZ-2023-000418"/>
    <x v="3"/>
    <s v="Olejníček"/>
    <s v="Staňková"/>
    <x v="249"/>
    <m/>
    <m/>
    <s v="podepsaná smlouva"/>
    <s v="39721300-5"/>
    <s v="2.2.541."/>
    <n v="340000"/>
    <x v="2"/>
    <d v="2023-04-11T00:00:00"/>
    <d v="2023-04-27T00:00:00"/>
    <d v="2023-05-04T00:00:00"/>
    <s v="SCHOELLER INSTRUMENTS, s.r.o."/>
    <m/>
    <n v="166950"/>
    <n v="202009.5"/>
    <m/>
    <m/>
    <m/>
    <d v="2023-05-04T00:00:00"/>
    <s v="SMLN-2023-617-100156_x000a_SMLN-2023-612-100036"/>
    <x v="76"/>
  </r>
  <r>
    <d v="2023-03-31T00:00:00"/>
    <s v="VZ-2023-000420-01"/>
    <x v="2"/>
    <s v="Dočkalová"/>
    <s v="Štýbnarová"/>
    <x v="250"/>
    <n v="1"/>
    <s v="Neviditelná rovnátka bez retainerů"/>
    <s v="podepsaná smlouva"/>
    <s v="33141800-8"/>
    <m/>
    <n v="826241"/>
    <x v="2"/>
    <d v="2023-04-06T00:00:00"/>
    <d v="2023-04-24T00:00:00"/>
    <d v="2023-06-15T00:00:00"/>
    <s v="Spofa Dental a.s."/>
    <m/>
    <n v="837892.8"/>
    <n v="964275.84"/>
    <m/>
    <m/>
    <m/>
    <d v="2023-06-15T00:00:00"/>
    <s v="SMLN-2023-617-100243"/>
    <x v="103"/>
  </r>
  <r>
    <d v="2023-03-31T00:00:00"/>
    <s v="VZ-2023-000420-02"/>
    <x v="2"/>
    <s v="Dočkalová"/>
    <s v="Štýbnarová"/>
    <x v="250"/>
    <n v="2"/>
    <s v="Neviditelná rovnátka s retainery"/>
    <s v="podepsaná smlouva"/>
    <s v="33141800-8"/>
    <m/>
    <n v="1044700"/>
    <x v="2"/>
    <d v="2023-04-06T00:00:00"/>
    <d v="2023-04-24T00:00:00"/>
    <d v="2023-05-16T00:00:00"/>
    <s v="Straumann s.r.o."/>
    <m/>
    <n v="944650.6"/>
    <n v="1086618.19"/>
    <m/>
    <m/>
    <m/>
    <d v="2023-05-16T00:00:00"/>
    <s v="SMLN-2023-617-100185"/>
    <x v="75"/>
  </r>
  <r>
    <d v="2023-04-03T00:00:00"/>
    <s v="VZ-2023-000430"/>
    <x v="2"/>
    <s v="Dočkalová"/>
    <s v="Štýbnarová"/>
    <x v="251"/>
    <m/>
    <m/>
    <s v="podepsaná smlouva"/>
    <s v="33100000-1,33140000-"/>
    <m/>
    <n v="870000"/>
    <x v="2"/>
    <d v="2023-04-06T00:00:00"/>
    <d v="2023-04-18T00:00:00"/>
    <d v="2023-05-18T00:00:00"/>
    <s v="POLYMED Medical CZ, a.s."/>
    <m/>
    <n v="870000"/>
    <n v="1052700"/>
    <m/>
    <m/>
    <m/>
    <d v="2023-05-18T00:00:00"/>
    <s v="SMLN-2023-617-100197_x000a_SMLN-2023-616-100014"/>
    <x v="99"/>
  </r>
  <r>
    <d v="2023-04-03T00:00:00"/>
    <s v="VZ-2023-000431"/>
    <x v="2"/>
    <s v="Dočkalová"/>
    <s v="Staňková"/>
    <x v="252"/>
    <m/>
    <m/>
    <s v="podepsaná smlouva"/>
    <s v="33168100-6"/>
    <m/>
    <n v="554670"/>
    <x v="2"/>
    <d v="2023-04-06T00:00:00"/>
    <d v="2023-05-09T00:00:00"/>
    <d v="2023-05-18T00:00:00"/>
    <s v="S.A.B. Impex, s.r.o."/>
    <m/>
    <n v="547470"/>
    <n v="662437.69999999995"/>
    <m/>
    <m/>
    <m/>
    <d v="2023-05-18T00:00:00"/>
    <s v="SMLN-2023-617-100196_x000a_SMLN-2023-616-100012"/>
    <x v="104"/>
  </r>
  <r>
    <d v="2023-04-03T00:00:00"/>
    <s v="VZ-2023-000434"/>
    <x v="0"/>
    <s v="Vondrková"/>
    <s v="Bodinková"/>
    <x v="253"/>
    <m/>
    <m/>
    <s v="zrušeno"/>
    <s v="33621000-9"/>
    <m/>
    <n v="3933000"/>
    <x v="0"/>
    <d v="2023-04-18T00:00:00"/>
    <d v="2023-08-31T00:00:00"/>
    <m/>
    <s v="zrušeno - úprava zadání"/>
    <s v="nová VZ-2023-001258"/>
    <m/>
    <m/>
    <m/>
    <m/>
    <m/>
    <m/>
    <m/>
    <x v="10"/>
  </r>
  <r>
    <d v="2023-04-04T00:00:00"/>
    <s v="VZ-2023-000435-01"/>
    <x v="0"/>
    <s v="Vondrková"/>
    <s v="Bodinková"/>
    <x v="254"/>
    <n v="1"/>
    <s v="Přípravky na prevenci a léčbu krvácení u hemofilie B, dále u nemocných hemofilií B s inhibitorem proti FIX  (titr do 5 BU) vyráběný z plasmy pro pacienty do 6 let"/>
    <s v="podepsaná smlouva"/>
    <s v="33621000-9"/>
    <m/>
    <n v="743904"/>
    <x v="0"/>
    <d v="2023-04-28T00:00:00"/>
    <d v="2023-06-02T00:00:00"/>
    <d v="2023-06-27T00:00:00"/>
    <s v="PHOENIX lék. velkoobchod, s.r.o."/>
    <m/>
    <n v="686521.2"/>
    <n v="755173.32"/>
    <m/>
    <m/>
    <m/>
    <d v="2023-06-27T00:00:00"/>
    <s v="SMLN-2023-617-100264"/>
    <x v="58"/>
  </r>
  <r>
    <d v="2023-04-04T00:00:00"/>
    <s v="VZ-2023-000435-02"/>
    <x v="0"/>
    <s v="Vondrková"/>
    <s v="Bodinková"/>
    <x v="254"/>
    <n v="2"/>
    <s v="Přípravky na prevenci a léčbu krvácení u hemofilie B, dále u nemocných hemofilií B s inhibitorem proti FIX  (titr do 5 BU) vyráběný z plasmy pro pacienty od 7 let"/>
    <s v="podepsaná smlouva"/>
    <s v="33621000-9"/>
    <m/>
    <n v="2364552"/>
    <x v="0"/>
    <d v="2023-04-28T00:00:00"/>
    <d v="2023-06-02T00:00:00"/>
    <d v="2023-06-27T00:00:00"/>
    <s v="PHOENIX lék. velkoobchod, s.r.o."/>
    <m/>
    <n v="2183205.6"/>
    <n v="2401526.16"/>
    <m/>
    <m/>
    <m/>
    <d v="2023-06-27T00:00:00"/>
    <s v="SMLN-2023-617-100265"/>
    <x v="58"/>
  </r>
  <r>
    <d v="2023-04-05T00:00:00"/>
    <s v="VZ-2023-000441"/>
    <x v="3"/>
    <s v="Olejníček"/>
    <s v="Staňková"/>
    <x v="255"/>
    <m/>
    <m/>
    <s v="podepsaná smlouva"/>
    <s v="33121300-7"/>
    <s v="2.3.656."/>
    <n v="890000"/>
    <x v="2"/>
    <d v="2023-04-06T00:00:00"/>
    <d v="2023-04-17T00:00:00"/>
    <d v="2023-04-24T00:00:00"/>
    <s v="DEYMED Diagnostics s.r.o."/>
    <m/>
    <n v="536740"/>
    <n v="649455.4"/>
    <m/>
    <m/>
    <m/>
    <d v="2023-04-24T00:00:00"/>
    <s v="SMLN-2023-617-100121_x000a_SMLN-2023-612-100025"/>
    <x v="36"/>
  </r>
  <r>
    <d v="2023-04-05T00:00:00"/>
    <s v="VZ-2023-000444"/>
    <x v="16"/>
    <s v="Odehnalová"/>
    <s v="Staňková"/>
    <x v="256"/>
    <m/>
    <m/>
    <s v="podepsaná smlouva"/>
    <s v="55110000-4"/>
    <m/>
    <n v="600000"/>
    <x v="2"/>
    <d v="2023-04-11T00:00:00"/>
    <d v="2023-04-24T00:00:00"/>
    <d v="2023-05-03T00:00:00"/>
    <s v="Marie Hrochová"/>
    <m/>
    <n v="421817"/>
    <n v="467180"/>
    <m/>
    <m/>
    <m/>
    <d v="2023-05-03T00:00:00"/>
    <s v="SMLN-2023-612-100030"/>
    <x v="105"/>
  </r>
  <r>
    <d v="2023-04-04T00:00:00"/>
    <s v="VZ-2023-000450"/>
    <x v="3"/>
    <s v="Olejníček"/>
    <s v="Staňková"/>
    <x v="257"/>
    <m/>
    <m/>
    <s v="podepsaná smlouva"/>
    <s v="38000000-5"/>
    <s v="2.3.747."/>
    <n v="1310000"/>
    <x v="2"/>
    <d v="2023-04-12T00:00:00"/>
    <d v="2023-04-24T00:00:00"/>
    <d v="2023-05-03T00:00:00"/>
    <s v="bamed s.r.o."/>
    <m/>
    <n v="1307008"/>
    <n v="1581479.68"/>
    <m/>
    <m/>
    <m/>
    <d v="2023-05-03T00:00:00"/>
    <s v="SMLN-2023-617-100148_x000a_SMLN-2023-612-100031"/>
    <x v="66"/>
  </r>
  <r>
    <d v="2023-04-04T00:00:00"/>
    <s v="VZ-2023-000453"/>
    <x v="3"/>
    <s v="Olejníček"/>
    <s v="Štýbnarová"/>
    <x v="258"/>
    <m/>
    <m/>
    <s v="podepsaná smlouva"/>
    <s v="33120000-7"/>
    <s v="2.3.745."/>
    <n v="1724200"/>
    <x v="2"/>
    <d v="2023-04-12T00:00:00"/>
    <d v="2023-04-24T00:00:00"/>
    <d v="2023-05-04T00:00:00"/>
    <s v="Kurka.Med s.r.o."/>
    <m/>
    <n v="1720486"/>
    <n v="2081788.06"/>
    <m/>
    <m/>
    <m/>
    <d v="2023-05-04T00:00:00"/>
    <s v="SMLN-2023-617-100153_x000a_SMLN-2023-612-100034_x000a_SMLN-2023-617-100154"/>
    <x v="67"/>
  </r>
  <r>
    <d v="2023-03-30T00:00:00"/>
    <s v="VZ-2023-000458"/>
    <x v="8"/>
    <s v="Kadlec"/>
    <s v="Staňková"/>
    <x v="259"/>
    <m/>
    <m/>
    <s v="podepsaná smlouva"/>
    <s v="45453000-7"/>
    <m/>
    <n v="1400000"/>
    <x v="2"/>
    <d v="2023-04-11T00:00:00"/>
    <d v="2023-04-24T00:00:00"/>
    <d v="2023-05-04T00:00:00"/>
    <s v="Stavitelství Pospíšil s.r.o."/>
    <m/>
    <n v="1143310"/>
    <n v="1383405.1"/>
    <m/>
    <m/>
    <m/>
    <d v="2023-05-04T00:00:00"/>
    <s v="SMLN-2023-618-100014"/>
    <x v="66"/>
  </r>
  <r>
    <d v="2023-04-05T00:00:00"/>
    <s v="VZ-2023-000459"/>
    <x v="3"/>
    <s v="Olejníček"/>
    <s v="Štýbnarová"/>
    <x v="260"/>
    <m/>
    <m/>
    <s v="podepsaná smlouva"/>
    <s v="33100000-1"/>
    <s v="2.3.751."/>
    <n v="288000"/>
    <x v="2"/>
    <d v="2023-04-13T00:00:00"/>
    <d v="2023-05-09T00:00:00"/>
    <d v="2023-05-15T00:00:00"/>
    <s v="BioTech a.s."/>
    <m/>
    <n v="228740"/>
    <n v="276775.40000000002"/>
    <m/>
    <m/>
    <m/>
    <d v="2023-05-15T00:00:00"/>
    <s v="SMLN-2023-617-100181_x000a_SMLN-2023-612-100043"/>
    <x v="88"/>
  </r>
  <r>
    <d v="2023-04-06T00:00:00"/>
    <s v="VZ-2023-000460"/>
    <x v="3"/>
    <s v="Olejníček"/>
    <s v="Staňková"/>
    <x v="261"/>
    <m/>
    <m/>
    <s v="podepsaná smlouva"/>
    <s v="38000000-5"/>
    <s v="2.3.749., 2.2.556."/>
    <n v="1811000"/>
    <x v="2"/>
    <d v="2023-04-14T00:00:00"/>
    <d v="2023-04-25T00:00:00"/>
    <d v="2023-05-03T00:00:00"/>
    <s v="Evident Europe GmbH - odštěpný závod"/>
    <m/>
    <n v="1765013"/>
    <n v="1801563.08"/>
    <m/>
    <m/>
    <m/>
    <d v="2023-05-03T00:00:00"/>
    <s v="SMLN-2023-617-100150_x000a_SMLN-2023-612-100032"/>
    <x v="67"/>
  </r>
  <r>
    <d v="2023-04-06T00:00:00"/>
    <s v="VZ-2023-000461"/>
    <x v="3"/>
    <s v="Olejníček"/>
    <s v="Staňková"/>
    <x v="262"/>
    <m/>
    <m/>
    <s v="podepsaná smlouva"/>
    <s v="38000000-5"/>
    <s v="2.3.748."/>
    <n v="720000"/>
    <x v="2"/>
    <d v="2023-04-17T00:00:00"/>
    <d v="2023-04-28T00:00:00"/>
    <d v="2023-05-15T00:00:00"/>
    <s v="BARIA, s.r.o."/>
    <m/>
    <n v="628094"/>
    <n v="759993.74"/>
    <m/>
    <m/>
    <m/>
    <d v="2023-05-15T00:00:00"/>
    <s v="SMLN-2023-617-100179_x000a_SMLN-2023-612-100041"/>
    <x v="59"/>
  </r>
  <r>
    <s v="opakovaná VZ"/>
    <s v="VZ-2023-000462"/>
    <x v="3"/>
    <s v="Olejníček"/>
    <s v="Staňková"/>
    <x v="263"/>
    <m/>
    <m/>
    <s v="podepsaná smlouva"/>
    <s v="33121000-4"/>
    <m/>
    <n v="428688"/>
    <x v="2"/>
    <d v="2023-04-17T00:00:00"/>
    <d v="2023-05-05T00:00:00"/>
    <d v="2023-05-15T00:00:00"/>
    <s v="Saegeling Medizintechnik, s.r.o."/>
    <m/>
    <n v="205095"/>
    <n v="248164.95"/>
    <m/>
    <m/>
    <m/>
    <d v="2023-05-15T00:00:00"/>
    <s v="SMLN-2023-617-100180_x000a_SMLN-2023-612-100042_x000a_SMLN-2023-617-100184"/>
    <x v="59"/>
  </r>
  <r>
    <d v="2023-04-06T00:00:00"/>
    <s v="VZ-2023-000465-01"/>
    <x v="2"/>
    <s v="Merta"/>
    <s v="Dočkal"/>
    <x v="264"/>
    <n v="1"/>
    <s v="Kardiostimulátory s možností vzdálené kontroly a monitorace pacienta včetně jednotky pro vzdálenou monitoraci"/>
    <s v="podepsaná smlouva"/>
    <s v="33182210-4"/>
    <m/>
    <n v="87558500"/>
    <x v="0"/>
    <d v="2023-04-28T00:00:00"/>
    <d v="2023-06-22T00:00:00"/>
    <d v="2023-07-18T00:00:00"/>
    <s v="Cardiomedical s.r.o."/>
    <m/>
    <n v="87542500"/>
    <n v="100673875"/>
    <m/>
    <m/>
    <m/>
    <d v="2023-07-18T00:00:00"/>
    <s v="SMLN-2023-617-100330_x000a_SMLN-2023-614-100027_x000a_SMLN-2023-616-100029"/>
    <x v="73"/>
  </r>
  <r>
    <d v="2023-04-06T00:00:00"/>
    <s v="VZ-2023-000465-02"/>
    <x v="2"/>
    <s v="Merta"/>
    <s v="Dočkal"/>
    <x v="264"/>
    <n v="2"/>
    <s v="Kardiostimulátory s algoritmy k udržení a vyloučení dominance vlastního síňokomorového vedení a možností minimalizace komorové stimulace"/>
    <s v="podepsaná smlouva"/>
    <s v="33182210-4"/>
    <m/>
    <n v="14636550"/>
    <x v="0"/>
    <d v="2023-04-28T00:00:00"/>
    <d v="2023-06-22T00:00:00"/>
    <d v="2023-07-18T00:00:00"/>
    <s v="CARDION s.r.o."/>
    <m/>
    <n v="14636522"/>
    <n v="16832000.300000001"/>
    <m/>
    <m/>
    <m/>
    <d v="2023-07-18T00:00:00"/>
    <s v="SMLN-2023-617-100331_x000a_SMLN-2023-614-100028_x000a_SMLN-2023-616-100030"/>
    <x v="73"/>
  </r>
  <r>
    <d v="2023-04-06T00:00:00"/>
    <s v="VZ-2023-000465-03"/>
    <x v="2"/>
    <s v="Merta"/>
    <s v="Dočkal"/>
    <x v="264"/>
    <n v="3"/>
    <s v="Kardiostimulátory - MRI kompatibilní, miniaturní, s duálním senzorem, s možností monitorace spánkové apnoe a sledování indexu narušeného dýchání (RDI)"/>
    <s v="podepsaná smlouva"/>
    <s v="33182210-4"/>
    <m/>
    <n v="10764000"/>
    <x v="0"/>
    <d v="2023-04-28T00:00:00"/>
    <d v="2023-06-22T00:00:00"/>
    <d v="2023-07-18T00:00:00"/>
    <s v="INLAB Medical s.r.o."/>
    <m/>
    <n v="10764000"/>
    <n v="12378600"/>
    <m/>
    <m/>
    <m/>
    <d v="2023-07-18T00:00:00"/>
    <s v="SMLN-2023-617-100332_x000a_SMLN-2023-614-100029_x000a_SMLN-2023-616-100032"/>
    <x v="73"/>
  </r>
  <r>
    <d v="2023-04-06T00:00:00"/>
    <s v="VZ-2023-000465-04"/>
    <x v="2"/>
    <s v="Merta"/>
    <s v="Dočkal"/>
    <x v="264"/>
    <n v="4"/>
    <s v="Kardiostimulátory s hemodynamickou monitorací kontraktility pomocí TVI"/>
    <s v="podepsaná smlouva"/>
    <s v="33182210-4"/>
    <m/>
    <n v="8143200"/>
    <x v="0"/>
    <d v="2023-04-28T00:00:00"/>
    <d v="2023-06-22T00:00:00"/>
    <d v="2023-07-18T00:00:00"/>
    <s v="MEDKOTECH s.r.o."/>
    <m/>
    <n v="8143200"/>
    <n v="9364680"/>
    <m/>
    <m/>
    <m/>
    <d v="2023-07-18T00:00:00"/>
    <s v="SMLN-2023-617-100334_x000a_SMLN-2023-614-100030_x000a_SMLN-2023-616-100033"/>
    <x v="73"/>
  </r>
  <r>
    <d v="2023-04-06T00:00:00"/>
    <s v="VZ-2023-000465-05"/>
    <x v="2"/>
    <s v="Merta"/>
    <s v="Dočkal"/>
    <x v="264"/>
    <n v="5"/>
    <s v="Systém bezelektrodového kardiostimulátoru zaváděného katetrizační technikou"/>
    <s v="podepsaná smlouva"/>
    <s v="33182210-4"/>
    <m/>
    <n v="15500000"/>
    <x v="0"/>
    <d v="2023-04-28T00:00:00"/>
    <d v="2023-06-22T00:00:00"/>
    <d v="2023-07-18T00:00:00"/>
    <s v="Medtronic Czechia s.r.o."/>
    <m/>
    <n v="15500000"/>
    <n v="17825000"/>
    <m/>
    <m/>
    <m/>
    <d v="2023-07-18T00:00:00"/>
    <s v="SMLN-2023-617-100336_x000a_SMLN-2023-614-100031_x000a_SMLN-2023-616-100034"/>
    <x v="73"/>
  </r>
  <r>
    <d v="2023-04-06T00:00:00"/>
    <s v="VZ-2023-000466-01"/>
    <x v="2"/>
    <s v="Merta"/>
    <s v="Dočkal"/>
    <x v="265"/>
    <n v="1"/>
    <s v="Implantabilní defibrilátory s možností multielektrodové stimulace"/>
    <s v="podepsaná smlouva"/>
    <s v="33182100-0"/>
    <m/>
    <n v="42180000"/>
    <x v="0"/>
    <d v="2023-04-28T00:00:00"/>
    <d v="2023-06-22T00:00:00"/>
    <d v="2023-07-18T00:00:00"/>
    <s v="CARDION s.r.o."/>
    <m/>
    <n v="42180000"/>
    <n v="48507000"/>
    <m/>
    <m/>
    <m/>
    <d v="2023-07-18T00:00:00"/>
    <s v="SMLN-2023-617-100326_x000a_SMLN-2023-614-100025_x000a_SMLN-2023-616-100027"/>
    <x v="73"/>
  </r>
  <r>
    <d v="2023-04-06T00:00:00"/>
    <s v="VZ-2023-000466-02"/>
    <x v="2"/>
    <s v="Merta"/>
    <s v="Dočkal"/>
    <x v="265"/>
    <n v="2"/>
    <s v="ICD přístroje s možností programace stimulace v detekční slow-VT zóně "/>
    <s v="podepsaná smlouva"/>
    <s v="33182100-0"/>
    <m/>
    <n v="53099500"/>
    <x v="0"/>
    <d v="2023-04-28T00:00:00"/>
    <d v="2023-06-22T00:00:00"/>
    <d v="2023-07-18T00:00:00"/>
    <s v="INLAB Medical s.r.o."/>
    <m/>
    <n v="53099500"/>
    <n v="61064425"/>
    <m/>
    <m/>
    <m/>
    <d v="2023-07-18T00:00:00"/>
    <s v="SMLN-2023-617-100327_x000a_SMLN-2023-614-100026_x000a_SMLN-2023-616-100028"/>
    <x v="73"/>
  </r>
  <r>
    <d v="2023-04-06T00:00:00"/>
    <s v="VZ-2023-000466-03"/>
    <x v="2"/>
    <s v="Merta"/>
    <s v="Dočkal"/>
    <x v="265"/>
    <n v="3"/>
    <s v="ICD pro rizikové imunokompromitované pacienty"/>
    <s v="zrušeno"/>
    <s v="33182100-0"/>
    <m/>
    <n v="12494000"/>
    <x v="0"/>
    <d v="2023-04-28T00:00:00"/>
    <d v="2023-06-22T00:00:00"/>
    <m/>
    <s v="zrušeno - bez nabídky"/>
    <s v="nová VZ-2023-001226"/>
    <m/>
    <m/>
    <m/>
    <m/>
    <m/>
    <m/>
    <s v="SMLN-2023-614-100025"/>
    <x v="10"/>
  </r>
  <r>
    <d v="2023-04-06T00:00:00"/>
    <s v="VZ-2023-000472"/>
    <x v="3"/>
    <s v="Olejníček"/>
    <s v="Štýbnarová"/>
    <x v="266"/>
    <m/>
    <m/>
    <s v="podepsaná smlouva"/>
    <s v="33123210-3"/>
    <s v="2.3.752."/>
    <n v="370000"/>
    <x v="2"/>
    <d v="2023-04-14T00:00:00"/>
    <d v="2023-04-25T00:00:00"/>
    <d v="2023-05-04T00:00:00"/>
    <s v="BTL zdravotnická technika, a.s."/>
    <m/>
    <n v="282000"/>
    <n v="341220"/>
    <m/>
    <m/>
    <m/>
    <d v="2023-05-04T00:00:00"/>
    <s v="SMLN-2023-616-100027"/>
    <x v="106"/>
  </r>
  <r>
    <d v="2023-04-06T00:00:00"/>
    <s v="VZ-2023-000477"/>
    <x v="2"/>
    <s v="Valtová"/>
    <s v="Štýbnarová"/>
    <x v="267"/>
    <m/>
    <m/>
    <s v="podepsaná smlouva"/>
    <s v="33140000-3"/>
    <m/>
    <n v="1260000"/>
    <x v="2"/>
    <d v="2023-04-17T00:00:00"/>
    <d v="2023-05-02T00:00:00"/>
    <d v="2023-05-16T00:00:00"/>
    <s v="INLAB s.r.o."/>
    <m/>
    <n v="1260000"/>
    <n v="1524600"/>
    <m/>
    <m/>
    <m/>
    <d v="2023-05-16T00:00:00"/>
    <s v="SMLN-2023-617-100186_x000a_SMLN-2023-614-100014"/>
    <x v="59"/>
  </r>
  <r>
    <d v="2023-04-06T00:00:00"/>
    <s v="VZ-2023-000479-01"/>
    <x v="2"/>
    <s v="Valtová"/>
    <s v="Zdražilová"/>
    <x v="268"/>
    <n v="1"/>
    <s v="Klipovací systém jednorázový endoskopický, žaludek/tračník, šíře branží klipu: min. 09mm-12mm"/>
    <s v="podepsaná smlouva"/>
    <s v="33140000-3"/>
    <m/>
    <n v="2780000"/>
    <x v="0"/>
    <d v="2023-04-17T00:00:00"/>
    <d v="2023-06-21T00:00:00"/>
    <d v="2023-11-14T00:00:00"/>
    <s v="Medinet s.r.o."/>
    <m/>
    <n v="2248000"/>
    <n v="2720080"/>
    <m/>
    <m/>
    <m/>
    <d v="2023-11-14T00:00:00"/>
    <s v="SMLN-2023-617-100616_x000a_SMLN-2023-614-100052"/>
    <x v="107"/>
  </r>
  <r>
    <d v="2023-04-06T00:00:00"/>
    <s v="VZ-2023-000479-02"/>
    <x v="2"/>
    <s v="Valtová"/>
    <s v="Zdražilová"/>
    <x v="268"/>
    <n v="2"/>
    <s v="Klipovací systém jednorázový endoskopický, žaludek/tračník, šíře branží klipu: min. 13mm-15mm"/>
    <s v="podepsaná smlouva"/>
    <s v="33140000-3"/>
    <m/>
    <n v="2780000"/>
    <x v="0"/>
    <d v="2023-04-17T00:00:00"/>
    <d v="2023-06-21T00:00:00"/>
    <d v="2023-11-14T00:00:00"/>
    <s v="INLAB s.r.o."/>
    <m/>
    <n v="2780000"/>
    <n v="3363800"/>
    <m/>
    <m/>
    <m/>
    <d v="2023-11-14T00:00:00"/>
    <s v="SMLN-2023-617-100617_x000a_SMLN-2023-614-100053"/>
    <x v="107"/>
  </r>
  <r>
    <d v="2023-04-06T00:00:00"/>
    <s v="VZ-2023-000479-03"/>
    <x v="2"/>
    <s v="Valtová"/>
    <s v="Zdražilová"/>
    <x v="268"/>
    <n v="3"/>
    <s v="Klipovací systém jednorázový endoskopický, žaludek/tračník, šíře branží klipu: min. 16mm-18mm"/>
    <s v="podepsaná smlouva"/>
    <s v="33140000-3"/>
    <m/>
    <n v="5560000"/>
    <x v="0"/>
    <d v="2023-04-17T00:00:00"/>
    <d v="2023-06-21T00:00:00"/>
    <d v="2023-11-14T00:00:00"/>
    <s v="INLAB s.r.o."/>
    <m/>
    <n v="5560000"/>
    <n v="6727600"/>
    <m/>
    <m/>
    <m/>
    <d v="2023-11-14T00:00:00"/>
    <s v="SMLN-2023-617-100618_x000a_SMLN-2023-614-100054"/>
    <x v="107"/>
  </r>
  <r>
    <d v="2023-04-06T00:00:00"/>
    <s v="VZ-2023-000479-04"/>
    <x v="2"/>
    <s v="Valtová"/>
    <s v="Zdražilová"/>
    <x v="268"/>
    <n v="4"/>
    <s v="Klipovací systém jednorázový endoskopický, žaludek/tračník, šíře branží klipu: min. 19mm-22mm"/>
    <s v="zrušeno"/>
    <s v="33140000-3"/>
    <m/>
    <n v="1390000"/>
    <x v="0"/>
    <d v="2023-04-17T00:00:00"/>
    <d v="2023-06-21T00:00:00"/>
    <m/>
    <s v="zrušeno - bez hodnotitelné nabídky"/>
    <m/>
    <m/>
    <m/>
    <m/>
    <m/>
    <m/>
    <m/>
    <m/>
    <x v="10"/>
  </r>
  <r>
    <d v="2023-04-12T00:00:00"/>
    <s v="VZ-2023-000480"/>
    <x v="2"/>
    <s v="Dočkalová"/>
    <s v="Zdražilová"/>
    <x v="269"/>
    <m/>
    <m/>
    <s v="podepsaná smlouva"/>
    <s v="33140000-3"/>
    <m/>
    <n v="23472100"/>
    <x v="0"/>
    <d v="2023-04-18T00:00:00"/>
    <d v="2023-06-14T00:00:00"/>
    <d v="2023-06-27T00:00:00"/>
    <s v="Fresenius Medical Care - ČR, s.r.o."/>
    <m/>
    <n v="21115200"/>
    <n v="25549392"/>
    <m/>
    <m/>
    <m/>
    <d v="2023-06-27T00:00:00"/>
    <s v="SMLN-2023-617-100269_x000a_SMLN-2023-616-100019"/>
    <x v="103"/>
  </r>
  <r>
    <d v="2023-04-12T00:00:00"/>
    <s v="VZ-2023-000485"/>
    <x v="3"/>
    <s v="Olejníček"/>
    <s v="Zdražilová"/>
    <x v="270"/>
    <m/>
    <m/>
    <s v="podepsaná smlouva"/>
    <s v="33160000-9"/>
    <s v="2.3.618."/>
    <n v="16177461"/>
    <x v="0"/>
    <d v="2023-04-26T00:00:00"/>
    <d v="2023-05-31T00:00:00"/>
    <d v="2023-09-27T00:00:00"/>
    <s v="MGVIVA a.s."/>
    <m/>
    <n v="16576574"/>
    <n v="20057654.539999999"/>
    <m/>
    <m/>
    <m/>
    <d v="2023-09-27T00:00:00"/>
    <s v="SMLN-2023-617-100520_x000a_SMLN-2023-612-100116_x000a_SMLN-2023-617-100521"/>
    <x v="108"/>
  </r>
  <r>
    <d v="2023-04-26T00:00:00"/>
    <s v="VZ-2023-000487"/>
    <x v="5"/>
    <s v="Pavela"/>
    <s v="Kučera"/>
    <x v="271"/>
    <m/>
    <m/>
    <s v="podepsaná smlouva"/>
    <s v="45215100-8"/>
    <m/>
    <n v="69000000"/>
    <x v="0"/>
    <d v="2023-04-27T00:00:00"/>
    <d v="2023-05-31T00:00:00"/>
    <d v="2023-06-14T00:00:00"/>
    <s v="PTÁČEK - pozemní stavby s.r.o."/>
    <s v="OHLA odstoupila - nové vyhodnocení"/>
    <n v="62797103.689999998"/>
    <n v="75984495.459999993"/>
    <m/>
    <m/>
    <m/>
    <d v="2023-06-14T00:00:00"/>
    <s v="SMLN-2023-618-100028"/>
    <x v="109"/>
  </r>
  <r>
    <d v="2023-04-11T00:00:00"/>
    <s v="VZ-2023-000489"/>
    <x v="3"/>
    <s v="Olejníček"/>
    <s v="Staňková"/>
    <x v="272"/>
    <m/>
    <m/>
    <s v="podepsaná smlouva"/>
    <s v="33192000-2"/>
    <s v="2.2.560."/>
    <n v="496400"/>
    <x v="2"/>
    <d v="2023-04-17T00:00:00"/>
    <d v="2023-05-09T00:00:00"/>
    <d v="2023-05-18T00:00:00"/>
    <s v="CANBERRA-PACKARD, s.r.o. "/>
    <m/>
    <n v="489000"/>
    <n v="591690"/>
    <m/>
    <m/>
    <m/>
    <d v="2023-05-18T00:00:00"/>
    <s v="SMLN-2023-617-100189"/>
    <x v="18"/>
  </r>
  <r>
    <d v="2023-04-14T00:00:00"/>
    <s v="VZ-2023-000494"/>
    <x v="3"/>
    <s v="Olejníček"/>
    <s v="Staňková"/>
    <x v="273"/>
    <m/>
    <m/>
    <s v="podepsaná smlouva"/>
    <s v="33151400-7"/>
    <s v="2.2.562."/>
    <n v="622000"/>
    <x v="2"/>
    <d v="2023-04-17T00:00:00"/>
    <d v="2023-05-02T00:00:00"/>
    <d v="2023-05-19T00:00:00"/>
    <s v="CANBERRA-PACKARD, s.r.o. "/>
    <m/>
    <n v="618900"/>
    <n v="748869"/>
    <m/>
    <m/>
    <m/>
    <d v="2023-05-22T00:00:00"/>
    <s v="SMLN-2023-617-100202_x000a_SMLN-2023-612-100047"/>
    <x v="76"/>
  </r>
  <r>
    <d v="2023-04-14T00:00:00"/>
    <s v="VZ-2023-000495-01"/>
    <x v="3"/>
    <s v="Olejníček"/>
    <s v="Štýbnarová"/>
    <x v="274"/>
    <n v="1"/>
    <s v="Monitor povrchové kontaminace rukou, nohou,oděvu"/>
    <s v="podepsaná smlouva"/>
    <s v="38341500-2"/>
    <s v="2.2.561."/>
    <n v="620000"/>
    <x v="2"/>
    <d v="2023-04-20T00:00:00"/>
    <d v="2023-05-15T00:00:00"/>
    <d v="2023-05-31T00:00:00"/>
    <s v="CANBERRA-PACKARD, s.r.o. "/>
    <m/>
    <n v="619800"/>
    <n v="749958"/>
    <m/>
    <m/>
    <m/>
    <d v="2023-05-31T00:00:00"/>
    <s v="SMLN-2023-617-100222_x000a_SMLN-2023-612-100048"/>
    <x v="75"/>
  </r>
  <r>
    <d v="2023-04-14T00:00:00"/>
    <s v="VZ-2023-000495-02"/>
    <x v="3"/>
    <s v="Olejníček"/>
    <s v="Štýbnarová"/>
    <x v="274"/>
    <n v="2"/>
    <s v="Mobilní přístroj pro měření povrchové kontaminace"/>
    <s v="podepsaná smlouva"/>
    <s v="38341500-2"/>
    <s v="2.2.561."/>
    <n v="388000"/>
    <x v="2"/>
    <d v="2023-04-20T00:00:00"/>
    <d v="2023-05-15T00:00:00"/>
    <d v="2023-05-31T00:00:00"/>
    <s v="CANBERRA-PACKARD, s.r.o. "/>
    <m/>
    <n v="387800"/>
    <n v="469238"/>
    <m/>
    <m/>
    <m/>
    <d v="2023-05-31T00:00:00"/>
    <s v="SMLN-2023-617-100223_x000a_SMLN-2023-612-100049"/>
    <x v="75"/>
  </r>
  <r>
    <d v="2023-04-14T00:00:00"/>
    <s v="VZ-2023-000499"/>
    <x v="2"/>
    <s v="Valtová"/>
    <s v="Štýbnarová"/>
    <x v="275"/>
    <m/>
    <m/>
    <s v="podepsaná smlouva"/>
    <s v="33140000–3"/>
    <m/>
    <n v="1802000"/>
    <x v="2"/>
    <d v="2023-04-19T00:00:00"/>
    <d v="2023-05-18T00:00:00"/>
    <d v="2023-06-13T00:00:00"/>
    <s v="Urotech GmbH, organizační složka"/>
    <m/>
    <n v="1734000"/>
    <n v="2098140"/>
    <m/>
    <m/>
    <m/>
    <d v="2023-06-13T00:00:00"/>
    <s v="SMLN-2023-617-100241_x000a_SMLN-2023-614-100019"/>
    <x v="110"/>
  </r>
  <r>
    <d v="2023-04-17T00:00:00"/>
    <s v="VZ-2023-000510"/>
    <x v="3"/>
    <s v="Olejníček"/>
    <s v="Štýbnarová"/>
    <x v="276"/>
    <m/>
    <m/>
    <s v="podepsaná smlouva"/>
    <s v="33191000-5"/>
    <s v="2.3.753."/>
    <n v="624000"/>
    <x v="2"/>
    <d v="2023-05-25T00:00:00"/>
    <d v="2023-05-09T00:00:00"/>
    <d v="2023-05-19T00:00:00"/>
    <s v="Fénix Brno, spol. s r.o."/>
    <m/>
    <n v="604440"/>
    <n v="731372.4"/>
    <m/>
    <m/>
    <m/>
    <d v="2023-05-19T00:00:00"/>
    <s v="SMLN-2023-617-100198_x000a_SMLN-2023-612-100045"/>
    <x v="62"/>
  </r>
  <r>
    <d v="2023-04-17T00:00:00"/>
    <s v="VZ-2023-000512"/>
    <x v="17"/>
    <s v="Procházková"/>
    <s v="Kučera"/>
    <x v="277"/>
    <m/>
    <m/>
    <s v="nerealizováno"/>
    <s v="66510000-8"/>
    <m/>
    <n v="6000000"/>
    <x v="0"/>
    <m/>
    <m/>
    <m/>
    <s v="nerealizováno - pojištění součástí novostavby B - SoD"/>
    <m/>
    <m/>
    <m/>
    <m/>
    <m/>
    <m/>
    <m/>
    <m/>
    <x v="10"/>
  </r>
  <r>
    <d v="2023-04-18T00:00:00"/>
    <s v="VZ-2023-000516"/>
    <x v="2"/>
    <s v="Valtová"/>
    <s v="Přikrylová"/>
    <x v="278"/>
    <m/>
    <m/>
    <s v="podepsaná smlouva"/>
    <s v="33140000-3"/>
    <m/>
    <n v="13305600"/>
    <x v="0"/>
    <d v="2023-04-26T00:00:00"/>
    <d v="2023-05-31T00:00:00"/>
    <d v="2023-06-21T00:00:00"/>
    <s v="Cardiomedical s.r.o."/>
    <m/>
    <n v="13305600"/>
    <n v="15301440"/>
    <m/>
    <m/>
    <m/>
    <d v="2023-06-21T00:00:00"/>
    <s v="SMLN-2023-617-100252_x000a_SMLN-2023-614-100021"/>
    <x v="111"/>
  </r>
  <r>
    <s v="opakovaná VZ"/>
    <s v="VZ-2023-000523"/>
    <x v="0"/>
    <s v="Ondráčková_x000a_Skulová"/>
    <s v="Bodinková"/>
    <x v="149"/>
    <m/>
    <m/>
    <s v="podepsaná smlouva"/>
    <s v="38522000-0"/>
    <s v="2.2.490, 2.2.491"/>
    <n v="7800000"/>
    <x v="0"/>
    <d v="2023-04-28T00:00:00"/>
    <d v="2023-06-02T00:00:00"/>
    <d v="2023-06-20T00:00:00"/>
    <s v="M.G.P. spol. s r.o."/>
    <m/>
    <n v="7350466.5"/>
    <n v="8894064.4700000007"/>
    <m/>
    <m/>
    <m/>
    <d v="2023-06-20T00:00:00"/>
    <s v="SMLN-2023-617-100247_x000a_SMLN-2023-617-100248_x000a_SMLN-2023-612-100055"/>
    <x v="112"/>
  </r>
  <r>
    <d v="2023-04-20T00:00:00"/>
    <s v="VZ-2023-000535"/>
    <x v="13"/>
    <s v="Miklík"/>
    <s v="Kučera"/>
    <x v="279"/>
    <m/>
    <m/>
    <s v="podepsaná smlouva"/>
    <s v="48820000-2_x000a_30233141-1"/>
    <m/>
    <n v="14250000"/>
    <x v="0"/>
    <d v="2023-04-26T00:00:00"/>
    <d v="2023-06-13T00:00:00"/>
    <d v="2023-06-22T00:00:00"/>
    <s v="MERIT GROUP a.s."/>
    <m/>
    <n v="13899486.1"/>
    <n v="16818378.18"/>
    <m/>
    <m/>
    <m/>
    <d v="2023-06-22T00:00:00"/>
    <s v="SMLN-2023-617-100253"/>
    <x v="99"/>
  </r>
  <r>
    <d v="2023-04-21T00:00:00"/>
    <s v="VZ-2023-000538"/>
    <x v="2"/>
    <s v="Valtová"/>
    <s v="Zdražilová"/>
    <x v="280"/>
    <m/>
    <m/>
    <s v="podepsaná smlouva"/>
    <s v="33140000-3"/>
    <m/>
    <n v="4505600"/>
    <x v="0"/>
    <d v="2023-04-25T00:00:00"/>
    <d v="2023-05-31T00:00:00"/>
    <d v="2023-07-14T00:00:00"/>
    <s v="Medinet s.r.o."/>
    <m/>
    <n v="3949000"/>
    <n v="4778290"/>
    <m/>
    <m/>
    <m/>
    <d v="2023-07-14T00:00:00"/>
    <s v="SMLN-2023-617-100321_x000a_SMLN-2023-614-100024"/>
    <x v="92"/>
  </r>
  <r>
    <d v="2023-04-21T00:00:00"/>
    <s v="VZ-2023-000540"/>
    <x v="3"/>
    <s v="Olejníček"/>
    <s v="Staňková"/>
    <x v="281"/>
    <m/>
    <m/>
    <s v="podepsaná smlouva"/>
    <s v="33191110-9"/>
    <s v="2.3.722, 2.3.726, 2.3.754, 2.3.715"/>
    <n v="1240000"/>
    <x v="2"/>
    <d v="2023-04-27T00:00:00"/>
    <d v="2023-05-17T00:00:00"/>
    <d v="2023-06-07T00:00:00"/>
    <s v="Chironax Frýdek-Místek s.r.o."/>
    <m/>
    <n v="896900"/>
    <n v="1085249"/>
    <m/>
    <m/>
    <m/>
    <d v="2023-06-07T00:00:00"/>
    <s v="SMLN-2023-617-100232_x000a_SMLN-2023-612-100052"/>
    <x v="112"/>
  </r>
  <r>
    <d v="2023-04-24T00:00:00"/>
    <s v="VZ-2023-000547-01"/>
    <x v="0"/>
    <s v="Vlčková"/>
    <s v="Zdražilová"/>
    <x v="282"/>
    <n v="1"/>
    <s v="Ranibizumab I"/>
    <s v="podepsaná smlouva"/>
    <s v="33662100-9"/>
    <m/>
    <n v="22538566"/>
    <x v="0"/>
    <d v="2023-05-29T00:00:00"/>
    <d v="2023-07-31T00:00:00"/>
    <d v="2023-08-23T00:00:00"/>
    <s v="Alliance Healthcare s.r.o."/>
    <m/>
    <n v="16812550.210000001"/>
    <n v="18493805.23"/>
    <m/>
    <m/>
    <m/>
    <d v="2023-08-23T00:00:00"/>
    <s v="SMLN-2023-617-100458"/>
    <x v="113"/>
  </r>
  <r>
    <d v="2023-04-24T00:00:00"/>
    <s v="VZ-2023-000547-02"/>
    <x v="0"/>
    <s v="Vlčková"/>
    <s v="Zdražilová"/>
    <x v="282"/>
    <n v="2"/>
    <s v="Ranibizumab II"/>
    <s v="podepsaná smlouva"/>
    <s v="33662100-9"/>
    <m/>
    <n v="899487"/>
    <x v="0"/>
    <d v="2023-05-29T00:00:00"/>
    <d v="2023-07-31T00:00:00"/>
    <d v="2023-08-23T00:00:00"/>
    <s v="Alliance Healthcare s.r.o."/>
    <m/>
    <n v="899486.6"/>
    <n v="989435.26"/>
    <m/>
    <m/>
    <m/>
    <d v="2023-08-23T00:00:00"/>
    <s v="SMLN-2023-617-100459"/>
    <x v="113"/>
  </r>
  <r>
    <d v="2023-04-24T00:00:00"/>
    <s v="VZ-2023-000548-01"/>
    <x v="0"/>
    <s v="Vlčková"/>
    <s v="Zdražilová"/>
    <x v="283"/>
    <n v="1"/>
    <s v="Etanercept I"/>
    <s v="podepsaná smlouva"/>
    <s v="33652300-8"/>
    <m/>
    <n v="18473827"/>
    <x v="0"/>
    <d v="2023-05-11T00:00:00"/>
    <d v="2023-06-15T00:00:00"/>
    <d v="2023-06-29T00:00:00"/>
    <s v="PHOENIX lék. velkoobchod, s.r.o."/>
    <m/>
    <n v="18300900"/>
    <n v="20130990"/>
    <m/>
    <m/>
    <m/>
    <d v="2023-06-29T00:00:00"/>
    <s v="SMLN-2023-617-100301"/>
    <x v="61"/>
  </r>
  <r>
    <d v="2023-04-24T00:00:00"/>
    <s v="VZ-2023-000548-02"/>
    <x v="0"/>
    <s v="Vlčková"/>
    <s v="Zdražilová"/>
    <x v="283"/>
    <n v="2"/>
    <s v="Etanercept II"/>
    <s v="podepsaná smlouva"/>
    <s v="33652300-8"/>
    <m/>
    <n v="864552"/>
    <x v="0"/>
    <d v="2023-05-11T00:00:00"/>
    <d v="2023-06-15T00:00:00"/>
    <d v="2023-06-29T00:00:00"/>
    <s v="PHOENIX lék. velkoobchod, s.r.o."/>
    <m/>
    <n v="864550.68"/>
    <n v="951005.75"/>
    <m/>
    <m/>
    <m/>
    <d v="2023-06-29T00:00:00"/>
    <s v="SMLN-2023-617-100302"/>
    <x v="61"/>
  </r>
  <r>
    <d v="2023-04-21T00:00:00"/>
    <s v="VZ-2023-000551-01"/>
    <x v="3"/>
    <s v="Olejníček"/>
    <s v="Kučera"/>
    <x v="284"/>
    <n v="1"/>
    <s v="Endoskopické vybavení pro II. IK"/>
    <s v="podepsaná smlouva"/>
    <s v="33168000-5"/>
    <s v="2.3.702."/>
    <n v="3894994"/>
    <x v="0"/>
    <d v="2023-04-28T00:00:00"/>
    <d v="2023-06-27T00:00:00"/>
    <d v="2023-08-14T00:00:00"/>
    <s v="OLYMPUS CZECH GROUP, s.r.o., člen koncernu"/>
    <m/>
    <n v="3861134.42"/>
    <n v="4671972.6500000004"/>
    <m/>
    <m/>
    <m/>
    <d v="2023-08-14T00:00:00"/>
    <s v="SMLN-2023-617-100432_x000a_SMLN-2023-612-100088"/>
    <x v="114"/>
  </r>
  <r>
    <d v="2023-04-21T00:00:00"/>
    <s v="VZ-2023-000551-02"/>
    <x v="3"/>
    <s v="Olejníček"/>
    <s v="Kučera"/>
    <x v="284"/>
    <n v="2"/>
    <s v="Laparoskopická věž pro operační sál y DK"/>
    <s v="zrušeno"/>
    <s v="33168000-5"/>
    <s v="2.3.706."/>
    <n v="2847273"/>
    <x v="0"/>
    <d v="2023-04-28T00:00:00"/>
    <d v="2023-06-27T00:00:00"/>
    <m/>
    <s v="zrušeno - oprava zadání"/>
    <s v="nová VZ-2023-000934-01"/>
    <m/>
    <m/>
    <m/>
    <m/>
    <m/>
    <m/>
    <m/>
    <x v="10"/>
  </r>
  <r>
    <d v="2023-04-25T00:00:00"/>
    <s v="VZ-2023-000552"/>
    <x v="0"/>
    <s v="Vlčková"/>
    <s v="Bodinková"/>
    <x v="285"/>
    <m/>
    <m/>
    <s v="zrušeno"/>
    <s v="33631600-8"/>
    <m/>
    <n v="1399800"/>
    <x v="0"/>
    <d v="2023-05-24T00:00:00"/>
    <d v="2023-06-28T00:00:00"/>
    <m/>
    <s v="zrušeno  - oprava zadání"/>
    <s v="nová VZ-2023-001071"/>
    <m/>
    <m/>
    <m/>
    <m/>
    <m/>
    <m/>
    <m/>
    <x v="10"/>
  </r>
  <r>
    <d v="2023-04-25T00:00:00"/>
    <s v="VZ-2023-000553"/>
    <x v="0"/>
    <s v="Vondrková"/>
    <s v="Zdražilová"/>
    <x v="286"/>
    <m/>
    <m/>
    <s v="podepsaná smlouva"/>
    <s v="33615000-4"/>
    <m/>
    <n v="2105165"/>
    <x v="1"/>
    <d v="2023-05-05T00:00:00"/>
    <d v="2023-06-01T00:00:00"/>
    <d v="2023-03-22T00:00:00"/>
    <s v="Boehringer Ingelheim, spol. s r.o."/>
    <m/>
    <n v="2105162.36"/>
    <n v="2315678.6"/>
    <m/>
    <m/>
    <m/>
    <d v="2023-03-22T00:00:00"/>
    <s v="SMLN-2023-617-100256"/>
    <x v="115"/>
  </r>
  <r>
    <d v="2023-04-25T00:00:00"/>
    <s v="VZ-2023-000554-01"/>
    <x v="0"/>
    <s v="Vlčková"/>
    <s v="Bodinková"/>
    <x v="287"/>
    <n v="1"/>
    <s v="Dialyzační roztok hypertonický pro peritoneální dialýzu I"/>
    <s v="zrušeno"/>
    <s v="33692800-5"/>
    <m/>
    <n v="6519770"/>
    <x v="0"/>
    <d v="2023-05-19T00:00:00"/>
    <d v="2023-08-29T00:00:00"/>
    <m/>
    <s v="zrušeno - překročení ceny"/>
    <s v="nová VZ-2023-001087"/>
    <m/>
    <m/>
    <m/>
    <m/>
    <m/>
    <m/>
    <m/>
    <x v="10"/>
  </r>
  <r>
    <d v="2023-04-25T00:00:00"/>
    <s v="VZ-2023-000554-02"/>
    <x v="0"/>
    <s v="Vlčková"/>
    <s v="Bodinková"/>
    <x v="287"/>
    <n v="2"/>
    <s v="Dialyzační roztok izotonický pro peritoneální dialýzu"/>
    <s v="podepsaná smlouva"/>
    <s v="33692800-5"/>
    <m/>
    <n v="1331208"/>
    <x v="0"/>
    <d v="2023-05-19T00:00:00"/>
    <d v="2023-08-29T00:00:00"/>
    <d v="2023-10-18T00:00:00"/>
    <s v="BAXTER CZECH spol. s r.o."/>
    <m/>
    <n v="1331207.1000000001"/>
    <n v="1464327.81"/>
    <m/>
    <m/>
    <m/>
    <d v="2023-10-18T00:00:00"/>
    <s v="SMLN-2023-617-100569"/>
    <x v="116"/>
  </r>
  <r>
    <d v="2023-04-25T00:00:00"/>
    <s v="VZ-2023-000554-03"/>
    <x v="0"/>
    <s v="Vlčková"/>
    <s v="Bodinková"/>
    <x v="287"/>
    <n v="3"/>
    <s v="Dialyzační roztok hypertonický pro peritoneální dialýzu ll"/>
    <s v="podepsaná smlouva"/>
    <s v="33692800-5"/>
    <m/>
    <n v="8962776"/>
    <x v="0"/>
    <d v="2023-05-19T00:00:00"/>
    <d v="2023-08-29T00:00:00"/>
    <d v="2023-10-18T00:00:00"/>
    <s v="Fresenius Medical Care - ČR, s.r.o."/>
    <m/>
    <n v="8962776"/>
    <n v="9859053.5999999996"/>
    <m/>
    <m/>
    <m/>
    <d v="2023-10-18T00:00:00"/>
    <s v="SMLN-2023-617-100570"/>
    <x v="116"/>
  </r>
  <r>
    <d v="2023-04-25T00:00:00"/>
    <s v="VZ-2023-000556-01"/>
    <x v="0"/>
    <s v="Vondrková"/>
    <s v="Bodinková"/>
    <x v="288"/>
    <n v="1"/>
    <s v="MESALAZIN I."/>
    <s v="podepsaná smlouva"/>
    <s v="33614000-7"/>
    <m/>
    <n v="4155401"/>
    <x v="0"/>
    <d v="2023-05-11T00:00:00"/>
    <d v="2023-07-19T00:00:00"/>
    <d v="2023-08-04T00:00:00"/>
    <s v="PHOENIX lék. velkoobchod, s.r.o."/>
    <m/>
    <n v="4142856.9"/>
    <n v="4557142.59"/>
    <m/>
    <m/>
    <m/>
    <d v="2023-08-04T00:00:00"/>
    <s v="SMLN-2023-617-100418"/>
    <x v="100"/>
  </r>
  <r>
    <d v="2023-04-25T00:00:00"/>
    <s v="VZ-2023-000556-02"/>
    <x v="0"/>
    <s v="Vondrková"/>
    <s v="Bodinková"/>
    <x v="288"/>
    <n v="2"/>
    <s v="MESALAZIN II."/>
    <s v="podepsaná smlouva"/>
    <s v="33614000-7"/>
    <m/>
    <n v="2902134"/>
    <x v="0"/>
    <d v="2023-05-11T00:00:00"/>
    <d v="2023-07-19T00:00:00"/>
    <d v="2023-08-04T00:00:00"/>
    <s v="PHOENIX lék. velkoobchod, s.r.o."/>
    <m/>
    <n v="2902132.17"/>
    <n v="3192345.39"/>
    <m/>
    <m/>
    <m/>
    <d v="2023-08-04T00:00:00"/>
    <s v="SMLN-2023-617-100419"/>
    <x v="100"/>
  </r>
  <r>
    <d v="2023-04-25T00:00:00"/>
    <s v="VZ-2023-000556-03"/>
    <x v="0"/>
    <s v="Vondrková"/>
    <s v="Bodinková"/>
    <x v="288"/>
    <n v="3"/>
    <s v="MESALAZIN III."/>
    <s v="podepsaná smlouva"/>
    <s v="33614000-7"/>
    <m/>
    <n v="1747118"/>
    <x v="0"/>
    <d v="2023-05-11T00:00:00"/>
    <d v="2023-07-19T00:00:00"/>
    <d v="2023-08-04T00:00:00"/>
    <s v="Alliance Healthcare s.r.o."/>
    <m/>
    <n v="1747114.8"/>
    <n v="1921826.28"/>
    <m/>
    <m/>
    <m/>
    <d v="2023-08-04T00:00:00"/>
    <s v="SMLN-2023-617-100420"/>
    <x v="100"/>
  </r>
  <r>
    <d v="2023-04-25T00:00:00"/>
    <s v="VZ-2023-000557-01"/>
    <x v="0"/>
    <s v="Vondrková"/>
    <s v="Bodinková"/>
    <x v="289"/>
    <n v="1"/>
    <s v="LIDSKÝ FIBRINOGEN pro pacienty se získanou hypofibrinogenemie vznikající z poruch syntézy v případech závažného poškození jaterního parenchymu a pro pacienty se získanou hypofibrinogenemie vznikající z zvýšené intravaskulární spotřeby v důsledku diseminované intravaskulární koagulace"/>
    <s v="zrušeno"/>
    <s v="33621200-1"/>
    <m/>
    <n v="5318196"/>
    <x v="0"/>
    <d v="2023-06-08T00:00:00"/>
    <d v="2023-07-13T00:00:00"/>
    <d v="2023-07-21T00:00:00"/>
    <s v="zrušeno - úprava zadání"/>
    <s v="nová VZ-2023-001255"/>
    <n v="5269320"/>
    <n v="5796252"/>
    <m/>
    <m/>
    <m/>
    <d v="2023-07-21T00:00:00"/>
    <s v="SMLN-2023-617-100404"/>
    <x v="10"/>
  </r>
  <r>
    <d v="2023-04-25T00:00:00"/>
    <s v="VZ-2023-000557-02"/>
    <x v="0"/>
    <s v="Vondrková"/>
    <s v="Bodinková"/>
    <x v="289"/>
    <n v="2"/>
    <s v="LIDSKÝ FIBRINOGEN pro pacienty s vrozenou  hypo-, dys- nebo afibrinogenemie a pro pacienty se získanou hypofibrinogenemie vznikající ze zvýšené ztráty krve"/>
    <s v="zrušeno"/>
    <s v="33621200-1"/>
    <m/>
    <n v="211040"/>
    <x v="0"/>
    <d v="2023-06-08T00:00:00"/>
    <d v="2023-07-13T00:00:00"/>
    <d v="2023-07-21T00:00:00"/>
    <s v="zrušeno - úprava zadání"/>
    <s v="nová VZ-2023-001255"/>
    <n v="209100"/>
    <n v="230010"/>
    <m/>
    <m/>
    <m/>
    <d v="2023-07-21T00:00:00"/>
    <s v="SMLN-2023-617-100405"/>
    <x v="10"/>
  </r>
  <r>
    <d v="2023-06-05T00:00:00"/>
    <s v="VZ-2023-000557-03"/>
    <x v="0"/>
    <s v="Vondrková"/>
    <s v="Bodinková"/>
    <x v="289"/>
    <n v="3"/>
    <s v="LIDSKÝ FIBRINOGEN pro pacienty se získanou hypofibrinogenemie vznikající ze zvýšené ztráty krve"/>
    <s v="zrušeno"/>
    <s v="33621200-1"/>
    <m/>
    <n v="26295522"/>
    <x v="0"/>
    <d v="2023-06-08T00:00:00"/>
    <d v="2023-07-13T00:00:00"/>
    <d v="2023-07-21T00:00:00"/>
    <s v="zrušeno - úprava zadání"/>
    <s v="nová VZ-2023-001255"/>
    <n v="25440828"/>
    <n v="27984910.800000001"/>
    <m/>
    <m/>
    <m/>
    <d v="2023-07-21T00:00:00"/>
    <s v="SMLN-2023-617-100406"/>
    <x v="10"/>
  </r>
  <r>
    <s v="opakovaná VZ"/>
    <s v="VZ-2023-000560"/>
    <x v="6"/>
    <s v="Olejníček"/>
    <s v="Kučera"/>
    <x v="290"/>
    <m/>
    <m/>
    <s v="podepsaná smlouva"/>
    <s v="90910000-9"/>
    <m/>
    <n v="564800000"/>
    <x v="0"/>
    <d v="2023-07-18T00:00:00"/>
    <d v="2023-08-30T00:00:00"/>
    <d v="2023-11-01T00:00:00"/>
    <s v="TSC Hospital, s.r.o. "/>
    <m/>
    <n v="530548268.39999998"/>
    <n v="641963404.75999999"/>
    <m/>
    <m/>
    <m/>
    <d v="2023-11-01T00:00:00"/>
    <s v="SMLN-2023-612-100124"/>
    <x v="117"/>
  </r>
  <r>
    <d v="2023-04-27T00:00:00"/>
    <s v="VZ-2023-000566"/>
    <x v="3"/>
    <s v="Olejníček"/>
    <s v="Staňková"/>
    <x v="291"/>
    <m/>
    <m/>
    <s v="zrušeno"/>
    <s v="33152000-0"/>
    <s v="2.2.559."/>
    <n v="177000"/>
    <x v="2"/>
    <d v="2023-05-04T00:00:00"/>
    <d v="2023-05-16T00:00:00"/>
    <m/>
    <s v="zrušeno - úprava zadání"/>
    <s v="nová VZ-2023-000701"/>
    <m/>
    <m/>
    <m/>
    <m/>
    <m/>
    <m/>
    <m/>
    <x v="10"/>
  </r>
  <r>
    <s v="opakovaná VZ"/>
    <s v="VZ-2023-000569"/>
    <x v="13"/>
    <s v="Oravec"/>
    <s v="Kučera"/>
    <x v="292"/>
    <m/>
    <m/>
    <s v="podepsaná smlouva"/>
    <s v="30213500-0"/>
    <m/>
    <n v="4636500"/>
    <x v="0"/>
    <d v="2023-05-02T00:00:00"/>
    <d v="2023-06-05T00:00:00"/>
    <d v="2023-06-21T00:00:00"/>
    <s v="DATASCAN, s.r.o."/>
    <m/>
    <n v="4334200"/>
    <n v="5244382"/>
    <m/>
    <m/>
    <m/>
    <d v="2023-06-21T00:00:00"/>
    <s v="SMLN-2023-617-100251"/>
    <x v="82"/>
  </r>
  <r>
    <d v="2023-04-27T00:00:00"/>
    <s v="VZ-2023-000570"/>
    <x v="2"/>
    <s v="Valtová"/>
    <s v="Přikrylová"/>
    <x v="293"/>
    <m/>
    <m/>
    <s v="podepsaná smlouva"/>
    <s v="33140000-3"/>
    <m/>
    <n v="9880000"/>
    <x v="0"/>
    <d v="2023-05-05T00:00:00"/>
    <d v="2023-06-20T00:00:00"/>
    <d v="2023-06-29T00:00:00"/>
    <s v="Boston Scientific Česká republika s.r.o."/>
    <m/>
    <n v="7800000"/>
    <n v="9438000"/>
    <m/>
    <m/>
    <m/>
    <d v="2023-06-29T00:00:00"/>
    <s v="SMLN-2023-617-100307_x000a_SMLN-2023-614-100023"/>
    <x v="92"/>
  </r>
  <r>
    <d v="2023-04-28T00:00:00"/>
    <s v="VZ-2023-000573"/>
    <x v="0"/>
    <s v="Vondrková"/>
    <s v="Bodinková"/>
    <x v="294"/>
    <m/>
    <m/>
    <s v="zrušeno"/>
    <s v="33642200-4"/>
    <m/>
    <n v="5580223"/>
    <x v="0"/>
    <d v="2023-05-12T00:00:00"/>
    <d v="2023-07-17T00:00:00"/>
    <d v="2023-07-28T00:00:00"/>
    <s v="zrušeno - AH odstoupila od podpisu smlouvy"/>
    <s v="nová VZ-2023-001062"/>
    <n v="5561109.1799999997"/>
    <n v="6117220.0999999996"/>
    <m/>
    <m/>
    <m/>
    <d v="2023-07-28T00:00:00"/>
    <s v="SMLN-2023-617-100412"/>
    <x v="10"/>
  </r>
  <r>
    <d v="2023-04-28T00:00:00"/>
    <s v="VZ-2023-000574"/>
    <x v="0"/>
    <s v="Vlčková"/>
    <s v="Bodinková"/>
    <x v="295"/>
    <m/>
    <m/>
    <s v="zrušeno"/>
    <s v="33692510-5"/>
    <m/>
    <n v="2357133"/>
    <x v="0"/>
    <d v="2023-05-30T00:00:00"/>
    <d v="2023-07-25T00:00:00"/>
    <m/>
    <s v="zrušeno - bez nabídky"/>
    <s v="nová VZ-2023-001234"/>
    <m/>
    <m/>
    <m/>
    <m/>
    <m/>
    <m/>
    <m/>
    <x v="10"/>
  </r>
  <r>
    <d v="2023-04-28T00:00:00"/>
    <s v="VZ-2023-000575-01"/>
    <x v="0"/>
    <s v="Vlčková"/>
    <s v="Bodinková"/>
    <x v="296"/>
    <n v="1"/>
    <s v="Roztoky pro parenterální použití I."/>
    <s v="podepsaná smlouva"/>
    <s v="33692510-5"/>
    <m/>
    <n v="1100000"/>
    <x v="0"/>
    <d v="2023-06-15T00:00:00"/>
    <d v="2023-11-15T00:00:00"/>
    <d v="2023-12-20T00:00:00"/>
    <s v="BAXTER CZECH spol. s r.o."/>
    <m/>
    <n v="1099929"/>
    <n v="1209921.8999999999"/>
    <m/>
    <m/>
    <m/>
    <d v="2023-12-20T00:00:00"/>
    <s v="SMLN-2023-617-100690"/>
    <x v="118"/>
  </r>
  <r>
    <d v="2023-04-28T00:00:00"/>
    <s v="VZ-2023-000575-02"/>
    <x v="0"/>
    <s v="Vlčková"/>
    <s v="Bodinková"/>
    <x v="296"/>
    <n v="2"/>
    <s v="Roztoky pro parenterální použití II."/>
    <s v="podepsaná smlouva"/>
    <s v="33692510-5"/>
    <m/>
    <n v="8353956"/>
    <x v="0"/>
    <d v="2023-06-15T00:00:00"/>
    <d v="2023-11-15T00:00:00"/>
    <d v="2023-12-20T00:00:00"/>
    <s v="Fresenius Kabi s.r.o."/>
    <m/>
    <n v="8353182.5999999996"/>
    <n v="9188500.8599999994"/>
    <m/>
    <m/>
    <m/>
    <d v="2023-12-20T00:00:00"/>
    <s v="SMLN-2023-617-100691"/>
    <x v="118"/>
  </r>
  <r>
    <d v="2023-04-28T00:00:00"/>
    <s v="VZ-2023-000577-01"/>
    <x v="0"/>
    <s v="Vlčková"/>
    <s v="Bodinková"/>
    <x v="297"/>
    <n v="1"/>
    <s v="Fyziologický roztok pro parenterální použití I."/>
    <s v="bude realizováno v rámci DNS"/>
    <s v="33692510-5"/>
    <m/>
    <n v="19651"/>
    <x v="0"/>
    <m/>
    <m/>
    <m/>
    <m/>
    <m/>
    <m/>
    <m/>
    <m/>
    <m/>
    <m/>
    <m/>
    <m/>
    <x v="10"/>
  </r>
  <r>
    <d v="2023-04-28T00:00:00"/>
    <s v="VZ-2023-000577-02"/>
    <x v="0"/>
    <s v="Vlčková"/>
    <s v="Bodinková"/>
    <x v="297"/>
    <n v="2"/>
    <s v="Fyziologický roztok pro parenterální použití II."/>
    <s v="bude realizováno v rámci DNS"/>
    <s v="33692510-5"/>
    <m/>
    <n v="44880"/>
    <x v="0"/>
    <m/>
    <m/>
    <m/>
    <m/>
    <m/>
    <m/>
    <m/>
    <m/>
    <m/>
    <m/>
    <m/>
    <m/>
    <x v="10"/>
  </r>
  <r>
    <d v="2023-04-28T00:00:00"/>
    <s v="VZ-2023-000577-03"/>
    <x v="0"/>
    <s v="Vlčková"/>
    <s v="Bodinková"/>
    <x v="297"/>
    <n v="3"/>
    <s v="Fyziologický roztok pro parenterální použití III."/>
    <s v="bude realizováno v rámci DNS"/>
    <s v="33692510-5"/>
    <m/>
    <n v="15300"/>
    <x v="0"/>
    <m/>
    <m/>
    <m/>
    <m/>
    <m/>
    <m/>
    <m/>
    <m/>
    <m/>
    <m/>
    <m/>
    <m/>
    <x v="10"/>
  </r>
  <r>
    <d v="2023-04-28T00:00:00"/>
    <s v="VZ-2023-000577-04"/>
    <x v="0"/>
    <s v="Vlčková"/>
    <s v="Bodinková"/>
    <x v="297"/>
    <n v="4"/>
    <s v="Fyziologický roztok pro parenterální použití IV."/>
    <s v="bude realizováno v rámci DNS"/>
    <s v="33692510-5"/>
    <m/>
    <n v="964656"/>
    <x v="0"/>
    <m/>
    <m/>
    <m/>
    <m/>
    <m/>
    <m/>
    <m/>
    <m/>
    <m/>
    <m/>
    <m/>
    <m/>
    <x v="10"/>
  </r>
  <r>
    <d v="2023-04-28T00:00:00"/>
    <s v="VZ-2023-000577-05"/>
    <x v="0"/>
    <s v="Vlčková"/>
    <s v="Bodinková"/>
    <x v="297"/>
    <n v="5"/>
    <s v="Fyziologický roztok pro parenterální použití V."/>
    <s v="bude realizováno v rámci DNS"/>
    <s v="33692510-5"/>
    <m/>
    <n v="64536"/>
    <x v="0"/>
    <m/>
    <m/>
    <m/>
    <m/>
    <m/>
    <m/>
    <m/>
    <m/>
    <m/>
    <m/>
    <m/>
    <m/>
    <x v="10"/>
  </r>
  <r>
    <d v="2023-04-28T00:00:00"/>
    <s v="VZ-2023-000577-06"/>
    <x v="0"/>
    <s v="Vlčková"/>
    <s v="Bodinková"/>
    <x v="297"/>
    <n v="6"/>
    <s v="Fyziologický roztok pro parenterální použití VI."/>
    <s v="bude realizováno v rámci DNS"/>
    <s v="33692510-5"/>
    <m/>
    <n v="1376465"/>
    <x v="0"/>
    <m/>
    <m/>
    <m/>
    <m/>
    <m/>
    <m/>
    <m/>
    <m/>
    <m/>
    <m/>
    <m/>
    <m/>
    <x v="10"/>
  </r>
  <r>
    <d v="2023-04-28T00:00:00"/>
    <s v="VZ-2023-000577-07"/>
    <x v="0"/>
    <s v="Vlčková"/>
    <s v="Bodinková"/>
    <x v="297"/>
    <n v="7"/>
    <s v="Fyziologický roztok pro parenterální použití VII."/>
    <s v="bude realizováno v rámci DNS"/>
    <s v="33692510-5"/>
    <m/>
    <n v="50463"/>
    <x v="0"/>
    <m/>
    <m/>
    <m/>
    <m/>
    <m/>
    <m/>
    <m/>
    <m/>
    <m/>
    <m/>
    <m/>
    <m/>
    <x v="10"/>
  </r>
  <r>
    <d v="2023-04-28T00:00:00"/>
    <s v="VZ-2023-000578-01"/>
    <x v="0"/>
    <s v="Vlčková"/>
    <s v="Bodinková"/>
    <x v="298"/>
    <n v="1"/>
    <s v="Fyziologický roztok pro parenterální použití VIII."/>
    <s v="bude realizováno v rámci DNS"/>
    <s v="33692510-5"/>
    <m/>
    <n v="340036"/>
    <x v="0"/>
    <m/>
    <m/>
    <m/>
    <m/>
    <s v="nová VZ-2023-001262"/>
    <m/>
    <m/>
    <m/>
    <m/>
    <m/>
    <m/>
    <m/>
    <x v="10"/>
  </r>
  <r>
    <d v="2023-04-28T00:00:00"/>
    <s v="VZ-2023-000578-02"/>
    <x v="0"/>
    <s v="Vlčková"/>
    <s v="Bodinková"/>
    <x v="298"/>
    <n v="2"/>
    <s v="Fyziologický roztok pro parenterální použití IX."/>
    <s v="bude realizováno v rámci DNS"/>
    <s v="33692510-5"/>
    <m/>
    <n v="1153253"/>
    <x v="0"/>
    <m/>
    <m/>
    <m/>
    <m/>
    <s v="nová VZ-2023-001262"/>
    <m/>
    <m/>
    <m/>
    <m/>
    <m/>
    <m/>
    <m/>
    <x v="10"/>
  </r>
  <r>
    <d v="2023-04-28T00:00:00"/>
    <s v="VZ-2023-000578-03"/>
    <x v="0"/>
    <s v="Vlčková"/>
    <s v="Bodinková"/>
    <x v="298"/>
    <n v="3"/>
    <s v="Fyziologický roztok pro parenterální použití X."/>
    <s v="bude realizováno v rámci DNS"/>
    <s v="33692510-5"/>
    <m/>
    <n v="22599"/>
    <x v="0"/>
    <m/>
    <m/>
    <m/>
    <m/>
    <s v="nová VZ-2023-001262"/>
    <m/>
    <m/>
    <m/>
    <m/>
    <m/>
    <m/>
    <m/>
    <x v="10"/>
  </r>
  <r>
    <d v="2023-04-28T00:00:00"/>
    <s v="VZ-2023-000578-04"/>
    <x v="0"/>
    <s v="Vlčková"/>
    <s v="Bodinková"/>
    <x v="298"/>
    <n v="4"/>
    <s v="Fyziologický roztok pro parenterální použití XI."/>
    <s v="bude realizováno v rámci DNS"/>
    <s v="33692510-5"/>
    <m/>
    <n v="231840"/>
    <x v="0"/>
    <m/>
    <m/>
    <m/>
    <m/>
    <s v="nová VZ-2023-001262"/>
    <m/>
    <m/>
    <m/>
    <m/>
    <m/>
    <m/>
    <m/>
    <x v="10"/>
  </r>
  <r>
    <d v="2023-04-28T00:00:00"/>
    <s v="VZ-2023-000578-05"/>
    <x v="0"/>
    <s v="Vlčková"/>
    <s v="Bodinková"/>
    <x v="298"/>
    <n v="5"/>
    <s v="Fyziologický roztok pro parenterální použití XII."/>
    <s v="bude realizováno v rámci DNS"/>
    <s v="33692510-5"/>
    <m/>
    <n v="480642"/>
    <x v="0"/>
    <m/>
    <m/>
    <m/>
    <m/>
    <s v="nová VZ-2023-001262"/>
    <m/>
    <m/>
    <m/>
    <m/>
    <m/>
    <m/>
    <m/>
    <x v="10"/>
  </r>
  <r>
    <d v="2023-04-28T00:00:00"/>
    <s v="VZ-2023-000578-06"/>
    <x v="0"/>
    <s v="Vlčková"/>
    <s v="Bodinková"/>
    <x v="298"/>
    <n v="6"/>
    <s v="Fyziologický roztok pro parenterální použití XIII."/>
    <s v="bude realizováno v rámci DNS"/>
    <s v="33692510-5"/>
    <m/>
    <n v="15120"/>
    <x v="0"/>
    <m/>
    <m/>
    <m/>
    <m/>
    <s v="nová VZ-2023-001262"/>
    <m/>
    <m/>
    <m/>
    <m/>
    <m/>
    <m/>
    <m/>
    <x v="10"/>
  </r>
  <r>
    <d v="2023-04-28T00:00:00"/>
    <s v="VZ-2023-000578-07"/>
    <x v="0"/>
    <s v="Vlčková"/>
    <s v="Bodinková"/>
    <x v="298"/>
    <n v="7"/>
    <s v="Fyziologický roztok pro parenterální použití XIV."/>
    <s v="bude realizováno v rámci DNS"/>
    <s v="33692510-5"/>
    <m/>
    <n v="832416"/>
    <x v="0"/>
    <m/>
    <m/>
    <m/>
    <m/>
    <s v="nová VZ-2023-001262"/>
    <m/>
    <m/>
    <m/>
    <m/>
    <m/>
    <m/>
    <m/>
    <x v="10"/>
  </r>
  <r>
    <d v="2023-04-27T00:00:00"/>
    <s v="VZ-2023-000579"/>
    <x v="12"/>
    <s v="Zemánková"/>
    <s v="Bodinková"/>
    <x v="299"/>
    <m/>
    <m/>
    <s v="podepsaná smlouva"/>
    <s v="38434000-6,33694000-"/>
    <m/>
    <n v="16064700"/>
    <x v="0"/>
    <d v="2023-06-13T00:00:00"/>
    <d v="2023-07-18T00:00:00"/>
    <d v="2023-09-07T00:00:00"/>
    <s v="Altium International s.r.o."/>
    <m/>
    <n v="16004701.699999999"/>
    <n v="19365689.059999999"/>
    <m/>
    <m/>
    <m/>
    <d v="2023-09-07T00:00:00"/>
    <s v="SMLN-2023-617-100493_x000a_SMLN-2023-616-100035_x000a_SMLN-2023-612-100111"/>
    <x v="119"/>
  </r>
  <r>
    <d v="2023-04-27T00:00:00"/>
    <s v="VZ-2023-000580"/>
    <x v="12"/>
    <s v="Zemánková"/>
    <s v="Bodinková"/>
    <x v="300"/>
    <m/>
    <m/>
    <s v="zrušeno"/>
    <s v="38434000-6,33694000-"/>
    <m/>
    <n v="31338296"/>
    <x v="0"/>
    <d v="2023-05-31T00:00:00"/>
    <d v="2023-07-14T00:00:00"/>
    <d v="2023-11-06T00:00:00"/>
    <s v="zrušeno"/>
    <m/>
    <n v="24589272"/>
    <n v="29753019.120000001"/>
    <m/>
    <m/>
    <m/>
    <d v="2023-11-06T00:00:00"/>
    <s v="SMLN-2023-617-100600_x000a_SMLN-2023-616-100043"/>
    <x v="10"/>
  </r>
  <r>
    <d v="2023-04-28T00:00:00"/>
    <s v="VZ-2023-000581-01"/>
    <x v="3"/>
    <s v="Olejníček"/>
    <s v="Štýbnarová"/>
    <x v="301"/>
    <n v="1"/>
    <s v="Mobilní přístroj pro aktivní nebo pasivní mobilizaci končetin"/>
    <s v="podepsaná smlouva"/>
    <s v="33155000-1"/>
    <s v="2.2.249."/>
    <n v="115703"/>
    <x v="2"/>
    <d v="2023-05-03T00:00:00"/>
    <d v="2023-05-15T00:00:00"/>
    <d v="2023-05-25T00:00:00"/>
    <s v="fysiomed s.r.o."/>
    <m/>
    <n v="112600"/>
    <n v="136246"/>
    <m/>
    <m/>
    <m/>
    <d v="2023-05-25T00:00:00"/>
    <s v="SMLN-2023-617-100214"/>
    <x v="62"/>
  </r>
  <r>
    <d v="2023-04-28T00:00:00"/>
    <s v="VZ-2023-000581-02"/>
    <x v="3"/>
    <s v="Olejníček"/>
    <s v="Štýbnarová"/>
    <x v="301"/>
    <n v="2"/>
    <s v="Ergometr"/>
    <s v="podepsaná smlouva"/>
    <s v="33155000-1"/>
    <s v="2.3.654."/>
    <n v="114990"/>
    <x v="2"/>
    <d v="2023-05-03T00:00:00"/>
    <d v="2023-05-15T00:00:00"/>
    <d v="2023-05-25T00:00:00"/>
    <s v="Fitham, s.r.o."/>
    <s v="nová VZ-2023-001033"/>
    <n v="108807"/>
    <n v="131656.47"/>
    <m/>
    <m/>
    <m/>
    <d v="2023-05-25T00:00:00"/>
    <s v="SMLN-2023-617-100215"/>
    <x v="62"/>
  </r>
  <r>
    <d v="2023-04-28T00:00:00"/>
    <s v="VZ-2023-000586"/>
    <x v="2"/>
    <s v="Dočkalová"/>
    <s v="Staňková"/>
    <x v="302"/>
    <m/>
    <m/>
    <s v="podepsaná smlouva"/>
    <s v="33140000-3"/>
    <m/>
    <n v="1879200"/>
    <x v="2"/>
    <d v="2023-05-05T00:00:00"/>
    <d v="2023-05-16T00:00:00"/>
    <d v="2023-05-18T00:00:00"/>
    <s v="PROMEDICA PRAHA GROUP, a.s."/>
    <m/>
    <n v="1722600"/>
    <n v="2084346"/>
    <m/>
    <m/>
    <m/>
    <d v="2023-05-18T00:00:00"/>
    <s v="SMLN-2023-617-100195"/>
    <x v="62"/>
  </r>
  <r>
    <d v="2023-04-27T00:00:00"/>
    <s v="VZ-2023-000593"/>
    <x v="2"/>
    <s v="Valtová"/>
    <s v="Přikrylová"/>
    <x v="303"/>
    <m/>
    <m/>
    <s v="podepsaná smlouva"/>
    <s v="33140000-3"/>
    <m/>
    <n v="2760000"/>
    <x v="0"/>
    <d v="2023-05-09T00:00:00"/>
    <d v="2023-06-13T00:00:00"/>
    <d v="2023-06-29T00:00:00"/>
    <s v="Boston Scientific Česká republika s.r.o."/>
    <m/>
    <n v="2416000"/>
    <n v="2923360"/>
    <m/>
    <m/>
    <m/>
    <d v="2023-06-29T00:00:00"/>
    <s v="SMLN-2023-617-100305_x000a_SMLN-2023-614-100022"/>
    <x v="111"/>
  </r>
  <r>
    <d v="2023-05-09T00:00:00"/>
    <s v="VZ-2023-000606"/>
    <x v="3"/>
    <s v="Olejníček"/>
    <s v="Zdražilová"/>
    <x v="304"/>
    <m/>
    <m/>
    <s v="podepsaná smlouva"/>
    <s v="33121500-9 "/>
    <s v="2.3.755, 2.3.756, 2.3.750"/>
    <n v="1376900"/>
    <x v="1"/>
    <d v="2023-05-16T00:00:00"/>
    <d v="2023-06-02T00:00:00"/>
    <d v="2023-06-27T00:00:00"/>
    <s v="BTL zdravotnická technika, a.s."/>
    <m/>
    <n v="1451500"/>
    <n v="1756315"/>
    <m/>
    <m/>
    <m/>
    <d v="2023-06-27T00:00:00"/>
    <s v="SMLN-2023-617-100268_x000a_SMLN-2023-612-100061"/>
    <x v="120"/>
  </r>
  <r>
    <d v="2023-05-10T00:00:00"/>
    <s v="VZ-2023-000616"/>
    <x v="0"/>
    <s v="Vlčková"/>
    <s v="Bodinková"/>
    <x v="305"/>
    <m/>
    <m/>
    <s v="podepsaná smlouva"/>
    <s v="33652300-8"/>
    <m/>
    <n v="13676243"/>
    <x v="0"/>
    <d v="2023-05-19T00:00:00"/>
    <d v="2023-07-25T00:00:00"/>
    <d v="2023-08-16T00:00:00"/>
    <s v="Merck Sharp &amp; Dohme s.r.o."/>
    <m/>
    <n v="13676242.800000001"/>
    <n v="15043868.4"/>
    <m/>
    <m/>
    <m/>
    <d v="2023-08-16T00:00:00"/>
    <s v="SMLN-2023-617-100445"/>
    <x v="121"/>
  </r>
  <r>
    <d v="2023-05-10T00:00:00"/>
    <s v="VZ-2023-000617"/>
    <x v="0"/>
    <s v="Vlčková"/>
    <s v="Bodinková"/>
    <x v="306"/>
    <m/>
    <m/>
    <s v="podepsaná smlouva"/>
    <s v="33652300-8"/>
    <m/>
    <n v="10883691"/>
    <x v="0"/>
    <d v="2023-05-19T00:00:00"/>
    <d v="2023-06-23T00:00:00"/>
    <d v="2023-07-18T00:00:00"/>
    <s v="Alliance Healthcare s.r.o."/>
    <m/>
    <n v="10883691"/>
    <n v="11972060.1"/>
    <m/>
    <m/>
    <m/>
    <d v="2023-07-18T00:00:00"/>
    <s v="SMLN-2023-617-100328"/>
    <x v="92"/>
  </r>
  <r>
    <d v="2023-05-05T00:00:00"/>
    <s v="VZ-2023-000618-01"/>
    <x v="8"/>
    <s v="Srovnal"/>
    <s v="Kučera"/>
    <x v="307"/>
    <n v="1"/>
    <s v="Provádění BTK ZNJ výrobců Daniševský"/>
    <s v="podepsaná smlouva"/>
    <s v="50421000-2"/>
    <m/>
    <n v="4636000"/>
    <x v="0"/>
    <d v="2023-06-02T00:00:00"/>
    <d v="2023-07-04T00:00:00"/>
    <d v="2023-07-21T00:00:00"/>
    <s v="Dräger Medical s.r.o."/>
    <m/>
    <n v="4457608"/>
    <n v="5396705.6799999997"/>
    <m/>
    <m/>
    <m/>
    <d v="2023-07-21T00:00:00"/>
    <s v="SMLN-2023-612-100075"/>
    <x v="102"/>
  </r>
  <r>
    <d v="2023-05-05T00:00:00"/>
    <s v="VZ-2023-000618-02"/>
    <x v="8"/>
    <s v="Srovnal"/>
    <s v="Kučera"/>
    <x v="307"/>
    <n v="2"/>
    <s v="Provádění BTK ZNJ výrobců GCE"/>
    <s v="podepsaná smlouva"/>
    <s v="50421000-2"/>
    <m/>
    <n v="1422000"/>
    <x v="0"/>
    <d v="2023-06-02T00:00:00"/>
    <d v="2023-07-04T00:00:00"/>
    <d v="2023-07-21T00:00:00"/>
    <s v="Dräger Medical s.r.o."/>
    <m/>
    <n v="1289984"/>
    <n v="1560880.64"/>
    <m/>
    <m/>
    <m/>
    <d v="2023-07-21T00:00:00"/>
    <s v="SMLN-2023-612-100076"/>
    <x v="102"/>
  </r>
  <r>
    <d v="2023-05-05T00:00:00"/>
    <s v="VZ-2023-000618-03"/>
    <x v="8"/>
    <s v="Srovnal"/>
    <s v="Kučera"/>
    <x v="307"/>
    <n v="3"/>
    <s v="Provádění BTK ZNJ výrobců MZ Liberec"/>
    <s v="podepsaná smlouva"/>
    <s v="50421000-2"/>
    <m/>
    <n v="2438000"/>
    <x v="0"/>
    <d v="2023-06-02T00:00:00"/>
    <d v="2023-07-04T00:00:00"/>
    <d v="2023-07-21T00:00:00"/>
    <s v="Dräger Medical s.r.o."/>
    <m/>
    <n v="4715058"/>
    <n v="5705220.1799999997"/>
    <m/>
    <m/>
    <m/>
    <d v="2023-07-21T00:00:00"/>
    <s v="SMLN-2023-612-100077"/>
    <x v="102"/>
  </r>
  <r>
    <d v="2023-05-05T00:00:00"/>
    <s v="VZ-2023-000618-04"/>
    <x v="8"/>
    <s v="Srovnal"/>
    <s v="Kučera"/>
    <x v="307"/>
    <n v="4"/>
    <s v="Provádění BTK ZNJ výrobců Dräger"/>
    <s v="podepsaná smlouva"/>
    <s v="50421000-2"/>
    <m/>
    <n v="7960000"/>
    <x v="0"/>
    <d v="2023-06-02T00:00:00"/>
    <d v="2023-07-04T00:00:00"/>
    <d v="2023-07-21T00:00:00"/>
    <s v="Dräger Medical s.r.o."/>
    <m/>
    <n v="14908840"/>
    <n v="18039696.399999999"/>
    <m/>
    <m/>
    <m/>
    <d v="2023-07-21T00:00:00"/>
    <s v="SMLN-2023-612-100078"/>
    <x v="102"/>
  </r>
  <r>
    <d v="2023-05-12T00:00:00"/>
    <s v="VZ-2023-000622"/>
    <x v="18"/>
    <s v="Kojecký"/>
    <s v="Staňková"/>
    <x v="308"/>
    <m/>
    <m/>
    <s v="podepsaná smlouva"/>
    <s v="72240000-9"/>
    <m/>
    <n v="650000"/>
    <x v="2"/>
    <d v="2023-06-06T00:00:00"/>
    <d v="2023-07-13T00:00:00"/>
    <d v="2023-07-31T00:00:00"/>
    <s v="Advance Hospital Analytics s.r.o."/>
    <m/>
    <n v="612000"/>
    <n v="740520"/>
    <m/>
    <m/>
    <m/>
    <d v="2023-07-31T00:00:00"/>
    <s v="SMLN-2023-612-100082"/>
    <x v="122"/>
  </r>
  <r>
    <d v="2023-05-15T00:00:00"/>
    <s v="VZ-2023-000623"/>
    <x v="8"/>
    <s v="Srovnal"/>
    <s v="Štýbnarová"/>
    <x v="309"/>
    <m/>
    <m/>
    <s v="podepsaná smlouva"/>
    <s v="45342000-6"/>
    <s v="4.2.176."/>
    <n v="4200000"/>
    <x v="2"/>
    <d v="2023-05-17T00:00:00"/>
    <d v="2023-05-29T00:00:00"/>
    <d v="2023-06-06T00:00:00"/>
    <s v="LB 2000 s.r.o."/>
    <m/>
    <n v="3568535.4"/>
    <n v="4317927.83"/>
    <m/>
    <m/>
    <m/>
    <d v="2023-06-06T00:00:00"/>
    <s v="SMLN-2023-618-100024"/>
    <x v="99"/>
  </r>
  <r>
    <d v="2023-05-15T00:00:00"/>
    <s v="VZ-2023-000625"/>
    <x v="13"/>
    <s v="Oravec"/>
    <s v="Zdražilová"/>
    <x v="310"/>
    <m/>
    <m/>
    <s v="podepsaná smlouva"/>
    <s v="30213300-8"/>
    <m/>
    <n v="8050000"/>
    <x v="0"/>
    <d v="2023-05-23T00:00:00"/>
    <d v="2023-07-07T00:00:00"/>
    <d v="2023-08-11T00:00:00"/>
    <s v="VKUS - BUSTAN s.r.o."/>
    <m/>
    <n v="5935110"/>
    <n v="7181483.0999999996"/>
    <m/>
    <m/>
    <m/>
    <d v="2023-08-11T00:00:00"/>
    <s v="SMLN-2023-617-100431"/>
    <x v="123"/>
  </r>
  <r>
    <d v="2023-05-15T00:00:00"/>
    <s v="VZ-2023-000628"/>
    <x v="0"/>
    <s v="Vlčková"/>
    <s v="Bodinková"/>
    <x v="311"/>
    <m/>
    <m/>
    <s v="podepsaná smlouva"/>
    <s v="33652300-8"/>
    <m/>
    <n v="27649063"/>
    <x v="0"/>
    <d v="2023-05-25T00:00:00"/>
    <d v="2023-06-30T00:00:00"/>
    <d v="2023-07-14T00:00:00"/>
    <s v="Amgen s.r.o."/>
    <m/>
    <n v="27649061.699999999"/>
    <n v="30413967.870000001"/>
    <m/>
    <m/>
    <m/>
    <d v="2023-07-14T00:00:00"/>
    <s v="SMLN-2023-617-100320"/>
    <x v="93"/>
  </r>
  <r>
    <d v="2023-05-15T00:00:00"/>
    <s v="VZ-2023-000629"/>
    <x v="13"/>
    <s v="Oravec"/>
    <s v="Kučera"/>
    <x v="312"/>
    <m/>
    <m/>
    <s v="zrušeno"/>
    <s v="72261000-2 "/>
    <m/>
    <n v="2136000"/>
    <x v="1"/>
    <d v="2023-05-22T00:00:00"/>
    <d v="2023-06-08T00:00:00"/>
    <m/>
    <s v="zrušeno - překročení ceny"/>
    <s v="nová VZ-2023-000773"/>
    <m/>
    <m/>
    <m/>
    <m/>
    <m/>
    <m/>
    <m/>
    <x v="10"/>
  </r>
  <r>
    <d v="2023-05-03T00:00:00"/>
    <s v="VZ-2023-000630"/>
    <x v="2"/>
    <s v="Dočkalová"/>
    <s v="Zdražilová"/>
    <x v="313"/>
    <m/>
    <m/>
    <s v="podepsaná smlouva"/>
    <s v="33141310-6 "/>
    <m/>
    <n v="37306800"/>
    <x v="0"/>
    <d v="2023-07-17T00:00:00"/>
    <d v="2023-09-11T00:00:00"/>
    <d v="2023-11-24T00:00:00"/>
    <s v="Becton Dickinson Czechia, s.ro."/>
    <m/>
    <n v="32675200"/>
    <n v="39536992"/>
    <m/>
    <m/>
    <m/>
    <d v="2023-11-24T00:00:00"/>
    <s v="SMLN-2023-617-100640"/>
    <x v="124"/>
  </r>
  <r>
    <d v="2023-05-16T00:00:00"/>
    <s v="VZ-2023-000633"/>
    <x v="2"/>
    <s v="Dočkalová"/>
    <s v="Přikrylová"/>
    <x v="314"/>
    <m/>
    <m/>
    <s v="zrušeno"/>
    <s v="33140000-3"/>
    <m/>
    <n v="2470400"/>
    <x v="1"/>
    <d v="2023-05-22T00:00:00"/>
    <d v="2023-06-30T00:00:00"/>
    <m/>
    <s v="zrušeno - bez nabídky"/>
    <m/>
    <m/>
    <m/>
    <m/>
    <m/>
    <m/>
    <m/>
    <m/>
    <x v="10"/>
  </r>
  <r>
    <d v="2023-05-16T00:00:00"/>
    <s v="VZ-2023-000636-01"/>
    <x v="3"/>
    <s v="Olejníček"/>
    <s v="Zdražilová"/>
    <x v="315"/>
    <n v="1"/>
    <s v="Akumulátorové sestavy vrtačka a oscilační pila pro endoprotetiku"/>
    <s v="podepsaná smlouva"/>
    <s v="33160000-9"/>
    <s v="2.3.757,"/>
    <n v="1495000"/>
    <x v="1"/>
    <d v="2022-05-23T00:00:00"/>
    <d v="2023-07-18T00:00:00"/>
    <d v="2023-08-15T00:00:00"/>
    <s v="B. Braun Medical s.r.o."/>
    <m/>
    <n v="1483036.26"/>
    <n v="1794473.88"/>
    <m/>
    <m/>
    <m/>
    <d v="2023-08-15T00:00:00"/>
    <s v="SMLN-2023-617-100437_x000a_SMLN-2023-612-100089"/>
    <x v="121"/>
  </r>
  <r>
    <d v="2023-05-16T00:00:00"/>
    <s v="VZ-2023-000636-02"/>
    <x v="3"/>
    <s v="Olejníček"/>
    <s v="Zdražilová"/>
    <x v="315"/>
    <n v="2"/>
    <s v="Modulární bateriové vrtačky"/>
    <s v="podepsaná smlouva"/>
    <s v="33160000-9"/>
    <s v="2.3.757."/>
    <n v="1004346"/>
    <x v="1"/>
    <d v="2022-05-23T00:00:00"/>
    <d v="2023-07-18T00:00:00"/>
    <d v="2023-08-15T00:00:00"/>
    <s v="Johnson &amp; Johnson, s.r.o."/>
    <m/>
    <n v="1133045.05"/>
    <n v="1370984.51"/>
    <m/>
    <m/>
    <m/>
    <d v="2023-08-15T00:00:00"/>
    <s v="SMLN-2023-617-100438_x000a_SMLN-2023-612-100090"/>
    <x v="121"/>
  </r>
  <r>
    <d v="2023-05-17T00:00:00"/>
    <s v="VZ-2023-000637"/>
    <x v="8"/>
    <s v="Srovnal"/>
    <s v="Štýbnarová"/>
    <x v="316"/>
    <m/>
    <m/>
    <s v="podepsaná smlouva"/>
    <s v="45453000-7"/>
    <m/>
    <n v="450000"/>
    <x v="2"/>
    <d v="2023-05-19T00:00:00"/>
    <d v="2023-06-06T00:00:00"/>
    <d v="2023-06-21T00:00:00"/>
    <s v="Vladimír Malych - Hydroizomat"/>
    <m/>
    <n v="244371.33"/>
    <n v="295689.31"/>
    <m/>
    <m/>
    <m/>
    <d v="2023-06-21T00:00:00"/>
    <s v="SMLN-2023-618-100030"/>
    <x v="99"/>
  </r>
  <r>
    <d v="2023-05-17T00:00:00"/>
    <s v="VZ-2023-000638"/>
    <x v="8"/>
    <s v="Srovnal"/>
    <s v="Štýbnarová"/>
    <x v="317"/>
    <m/>
    <m/>
    <s v="podepsaná smlouva"/>
    <s v="45453000-7"/>
    <m/>
    <n v="850000"/>
    <x v="2"/>
    <d v="2023-05-19T00:00:00"/>
    <d v="2023-06-02T00:00:00"/>
    <d v="2023-06-13T00:00:00"/>
    <s v="AL LOGIC, s.r.o."/>
    <m/>
    <n v="1037300.39"/>
    <n v="1255133.47"/>
    <m/>
    <m/>
    <m/>
    <d v="2023-06-13T00:00:00"/>
    <s v="SMLN-2023-618-100026"/>
    <x v="112"/>
  </r>
  <r>
    <d v="2023-05-17T00:00:00"/>
    <s v="VZ-2023-000639"/>
    <x v="8"/>
    <s v="Svozil"/>
    <s v="Staňková"/>
    <x v="318"/>
    <m/>
    <m/>
    <s v="podepsaná smlouva"/>
    <s v="90500000-2"/>
    <m/>
    <n v="1900000"/>
    <x v="2"/>
    <d v="2023-05-25T00:00:00"/>
    <d v="2023-06-05T00:00:00"/>
    <d v="2023-06-21T00:00:00"/>
    <s v="REISSWOLF likvidace dokumentů a dat, s.r.o."/>
    <m/>
    <n v="540000"/>
    <n v="653400"/>
    <m/>
    <m/>
    <m/>
    <d v="2023-06-21T00:00:00"/>
    <s v="SMLN-2023-612-100057"/>
    <x v="99"/>
  </r>
  <r>
    <d v="2023-05-18T00:00:00"/>
    <s v="VZ-2023-000640-01"/>
    <x v="3"/>
    <s v="Olejníček"/>
    <s v="Zdražilová"/>
    <x v="319"/>
    <n v="1"/>
    <s v="Přístroj pro peroperační měření průtoku TTFM metodou"/>
    <s v="podepsaná smlouva"/>
    <s v="33124120-2"/>
    <s v="2.2.555."/>
    <n v="1695670"/>
    <x v="0"/>
    <d v="2023-05-26T00:00:00"/>
    <d v="2023-07-14T00:00:00"/>
    <d v="2023-08-23T00:00:00"/>
    <s v="MEDITRADE spol. s r.o."/>
    <m/>
    <n v="1413510"/>
    <n v="1710347.1"/>
    <m/>
    <m/>
    <m/>
    <d v="2023-08-23T00:00:00"/>
    <s v="SMLN-2023-617-100451_x000a_SMLN-2023-612-100097"/>
    <x v="113"/>
  </r>
  <r>
    <d v="2023-05-18T00:00:00"/>
    <s v="VZ-2023-000640-02"/>
    <x v="3"/>
    <s v="Olejníček"/>
    <s v="Zdražilová"/>
    <x v="319"/>
    <n v="2"/>
    <s v="Mobilní ultrazvukový přístroj pro Centrální operační sály"/>
    <s v="podepsaná smlouva"/>
    <s v="33124120-2"/>
    <s v="2.2.554."/>
    <n v="2760000"/>
    <x v="0"/>
    <d v="2023-05-26T00:00:00"/>
    <d v="2023-07-14T00:00:00"/>
    <d v="2023-08-23T00:00:00"/>
    <s v="MEDKONSULT, s.r.o."/>
    <m/>
    <n v="2748800"/>
    <n v="3326048"/>
    <m/>
    <m/>
    <m/>
    <d v="2023-08-23T00:00:00"/>
    <s v="SMLN-2023-617-100452_x000a_SMLN-2023-612-100098"/>
    <x v="113"/>
  </r>
  <r>
    <d v="2023-05-18T00:00:00"/>
    <s v="VZ-2023-000640-03"/>
    <x v="3"/>
    <s v="Olejníček"/>
    <s v="Zdražilová"/>
    <x v="319"/>
    <n v="3"/>
    <s v="Ultrazvukové přístroje pro III. Interní kliniku"/>
    <s v="podepsaná smlouva"/>
    <s v="33124120-2"/>
    <s v="2.2.516."/>
    <n v="360000"/>
    <x v="0"/>
    <d v="2023-05-26T00:00:00"/>
    <d v="2023-07-14T00:00:00"/>
    <d v="2023-08-23T00:00:00"/>
    <s v="Electric Medical Service, s.r.o."/>
    <m/>
    <n v="316800"/>
    <n v="383328"/>
    <m/>
    <m/>
    <m/>
    <d v="2023-08-23T00:00:00"/>
    <s v="SMLN-2023-617-100453_x000a_SMLN-2023-612-100099"/>
    <x v="113"/>
  </r>
  <r>
    <d v="2023-05-18T00:00:00"/>
    <s v="VZ-2023-000640-04"/>
    <x v="3"/>
    <s v="Olejníček"/>
    <s v="Zdražilová"/>
    <x v="319"/>
    <n v="4"/>
    <s v="Mobilní ultrazvukový přístroj pro Ortopedickou kliniku"/>
    <s v="podepsaná smlouva"/>
    <s v="33124120-2"/>
    <s v="2.2.563."/>
    <n v="484711"/>
    <x v="0"/>
    <d v="2023-05-26T00:00:00"/>
    <d v="2023-07-14T00:00:00"/>
    <d v="2023-08-23T00:00:00"/>
    <s v="Electric Medical Service, s.r.o."/>
    <m/>
    <n v="454800"/>
    <n v="550308"/>
    <m/>
    <m/>
    <m/>
    <d v="2023-08-23T00:00:00"/>
    <s v="SMLN-2023-617-100454_x000a_SMLN-2023-612-100100"/>
    <x v="113"/>
  </r>
  <r>
    <d v="2023-05-18T00:00:00"/>
    <s v="VZ-2023-000640-05"/>
    <x v="3"/>
    <s v="Olejníček"/>
    <s v="Zdražilová"/>
    <x v="319"/>
    <n v="5"/>
    <s v="Ultrazvukové systémy včetně příslušenství pro PORGYN"/>
    <s v="podepsaná smlouva"/>
    <s v="33124120-2"/>
    <s v="2.3.730."/>
    <n v="1712893"/>
    <x v="0"/>
    <d v="2023-05-26T00:00:00"/>
    <d v="2023-07-14T00:00:00"/>
    <d v="2023-08-23T00:00:00"/>
    <s v="NIMOTECH, s.r.o."/>
    <m/>
    <n v="1410288.74"/>
    <n v="1706449.38"/>
    <m/>
    <m/>
    <m/>
    <d v="2023-08-23T00:00:00"/>
    <s v="SMLN-2023-617-100456_x000a_SMLN-2023-612-100101"/>
    <x v="113"/>
  </r>
  <r>
    <d v="2023-05-18T00:00:00"/>
    <s v="VZ-2023-000640-06"/>
    <x v="3"/>
    <s v="Olejníček"/>
    <s v="Zdražilová"/>
    <x v="319"/>
    <n v="6"/>
    <s v="Rektální sonda pro Onkologickou kliniku"/>
    <s v="podepsaná smlouva"/>
    <s v="33124120-2"/>
    <s v="2.3.741."/>
    <n v="65200"/>
    <x v="0"/>
    <d v="2023-05-26T00:00:00"/>
    <d v="2023-07-14T00:00:00"/>
    <d v="2023-08-23T00:00:00"/>
    <s v="Electric Medical Service, s.r.o."/>
    <m/>
    <n v="62000"/>
    <n v="75020"/>
    <m/>
    <m/>
    <m/>
    <d v="2023-08-23T00:00:00"/>
    <s v="SMLN-2023-617-100455"/>
    <x v="113"/>
  </r>
  <r>
    <d v="2023-05-18T00:00:00"/>
    <s v="VZ-2023-000641"/>
    <x v="0"/>
    <s v="Vlčková"/>
    <s v="Bodinková"/>
    <x v="320"/>
    <m/>
    <m/>
    <s v="podepsaná smlouva"/>
    <s v="33696800-3 "/>
    <m/>
    <n v="2186103"/>
    <x v="1"/>
    <d v="2023-06-01T00:00:00"/>
    <d v="2023-06-21T00:00:00"/>
    <d v="2023-07-26T00:00:00"/>
    <s v="PHOENIX lék. Velkoobchod, s.r.o."/>
    <m/>
    <n v="2186102.52"/>
    <n v="2404712.77"/>
    <m/>
    <m/>
    <m/>
    <d v="2023-07-26T00:00:00"/>
    <s v="SMLN-2023-617-100411"/>
    <x v="125"/>
  </r>
  <r>
    <d v="2023-05-18T00:00:00"/>
    <s v="VZ-2023-000642"/>
    <x v="2"/>
    <s v="Dočkalová"/>
    <s v="Zdražilová"/>
    <x v="321"/>
    <m/>
    <m/>
    <s v="podepsaná smlouva"/>
    <s v="33140000-3"/>
    <m/>
    <n v="912240"/>
    <x v="0"/>
    <d v="2023-05-25T00:00:00"/>
    <d v="2023-08-03T00:00:00"/>
    <d v="2023-08-24T00:00:00"/>
    <s v="Zimmer Czech ,s.r.o."/>
    <m/>
    <n v="912220"/>
    <n v="1103786.2"/>
    <m/>
    <m/>
    <m/>
    <d v="2023-08-24T00:00:00"/>
    <s v="SMLN-2023-617-100461"/>
    <x v="79"/>
  </r>
  <r>
    <d v="2023-05-22T00:00:00"/>
    <s v="VZ-2023-000647"/>
    <x v="2"/>
    <s v="Dočkalová"/>
    <s v="Štýbnarová"/>
    <x v="322"/>
    <m/>
    <m/>
    <s v="podepsaná smlouva"/>
    <s v="33140000-3"/>
    <m/>
    <n v="1150000"/>
    <x v="2"/>
    <d v="2023-05-26T00:00:00"/>
    <d v="2023-06-13T00:00:00"/>
    <d v="2023-06-23T00:00:00"/>
    <s v="B. Braun Medical s.r.o."/>
    <m/>
    <n v="1150000"/>
    <n v="1391500"/>
    <m/>
    <m/>
    <m/>
    <d v="2023-06-23T00:00:00"/>
    <s v="SMLN-2023-617-100258"/>
    <x v="99"/>
  </r>
  <r>
    <s v="opakovaná VZ"/>
    <s v="VZ-2023-000652"/>
    <x v="8"/>
    <s v="Srovnal"/>
    <s v="Staňková"/>
    <x v="323"/>
    <m/>
    <m/>
    <s v="podepsaná smlouva"/>
    <s v="45453100-8"/>
    <m/>
    <n v="3350000"/>
    <x v="2"/>
    <d v="2023-05-25T00:00:00"/>
    <d v="2023-06-05T00:00:00"/>
    <d v="2023-06-19T00:00:00"/>
    <s v="Stavitelství Pospíšil s.r.o."/>
    <m/>
    <n v="1992973.6"/>
    <n v="2291919.64"/>
    <m/>
    <m/>
    <m/>
    <d v="2023-06-19T00:00:00"/>
    <s v="SMLN-2023-618-100029"/>
    <x v="126"/>
  </r>
  <r>
    <d v="2023-05-18T00:00:00"/>
    <s v="VZ-2023-000653-01"/>
    <x v="3"/>
    <s v="Olejníček"/>
    <s v="Zdražilová"/>
    <x v="324"/>
    <n v="1"/>
    <s v="Komfortní transportní vícesegmentová lehátka"/>
    <s v="zrušeno"/>
    <s v="33192160-1"/>
    <s v="2.3.714."/>
    <n v="338000"/>
    <x v="0"/>
    <d v="2023-05-26T00:00:00"/>
    <d v="2023-07-31T00:00:00"/>
    <m/>
    <s v="zrušeno - neekonomická nabídka"/>
    <s v="nová VZ-2023-000940"/>
    <m/>
    <m/>
    <m/>
    <m/>
    <m/>
    <m/>
    <m/>
    <x v="10"/>
  </r>
  <r>
    <d v="2023-05-18T00:00:00"/>
    <s v="VZ-2023-000653-02"/>
    <x v="3"/>
    <s v="Olejníček"/>
    <s v="Zdražilová"/>
    <x v="324"/>
    <n v="2"/>
    <s v="Lehátka pro Radiologickou kliniku"/>
    <s v="zrušeno"/>
    <s v="33192160-1"/>
    <s v="2.3.758."/>
    <n v="170000"/>
    <x v="0"/>
    <d v="2023-05-26T00:00:00"/>
    <d v="2023-07-31T00:00:00"/>
    <m/>
    <s v="zrušeno - nesplnění parametrů"/>
    <s v="nová VZ-2023-000940"/>
    <m/>
    <m/>
    <m/>
    <m/>
    <m/>
    <m/>
    <m/>
    <x v="10"/>
  </r>
  <r>
    <d v="2023-05-23T00:00:00"/>
    <s v="VZ-2023-000656-01"/>
    <x v="3"/>
    <s v="Olejníček"/>
    <s v="Staňková"/>
    <x v="325"/>
    <n v="1"/>
    <s v="Farmaceutické lednice"/>
    <s v="podepsaná smlouva"/>
    <s v="39711100-0"/>
    <s v="2.2.544."/>
    <n v="300000"/>
    <x v="2"/>
    <d v="2023-05-25T00:00:00"/>
    <d v="2023-06-16T00:00:00"/>
    <d v="2023-07-10T00:00:00"/>
    <s v="SCHOELLER INSTRUMENTS, s.r.o."/>
    <m/>
    <n v="252150"/>
    <n v="305101.5"/>
    <m/>
    <m/>
    <m/>
    <d v="2023-07-10T00:00:00"/>
    <s v="SMLN-2023-617-100312_x000a_SMLN-2023-612-100066"/>
    <x v="58"/>
  </r>
  <r>
    <d v="2023-05-23T00:00:00"/>
    <s v="VZ-2023-000656-02"/>
    <x v="3"/>
    <s v="Olejníček"/>
    <s v="Staňková"/>
    <x v="325"/>
    <n v="2"/>
    <s v="Mrazák pro lékárnu"/>
    <s v="podepsaná smlouva"/>
    <s v="39711100-0"/>
    <s v="2.2.547."/>
    <n v="101300"/>
    <x v="2"/>
    <d v="2023-05-25T00:00:00"/>
    <d v="2023-06-16T00:00:00"/>
    <d v="2023-07-10T00:00:00"/>
    <s v="SCHOELLER INSTRUMENTS, s.r.o."/>
    <m/>
    <n v="57450"/>
    <n v="67732.5"/>
    <m/>
    <m/>
    <m/>
    <d v="2023-07-10T00:00:00"/>
    <s v="SMLN-2023-617-100313_x000a_SMLN-2023-612-100067"/>
    <x v="58"/>
  </r>
  <r>
    <d v="2023-05-23T00:00:00"/>
    <s v="VZ-2023-000656-03"/>
    <x v="3"/>
    <s v="Olejníček"/>
    <s v="Staňková"/>
    <x v="325"/>
    <n v="3"/>
    <s v="Hlubokomrazící box pro LEM"/>
    <s v="podepsaná smlouva"/>
    <s v="39711100-0"/>
    <s v="2.2.557."/>
    <n v="309000"/>
    <x v="2"/>
    <d v="2023-05-25T00:00:00"/>
    <d v="2023-06-16T00:00:00"/>
    <d v="2023-07-10T00:00:00"/>
    <s v="TRIGON PLUS s.r.o."/>
    <m/>
    <n v="247975"/>
    <n v="300049.75"/>
    <m/>
    <m/>
    <m/>
    <d v="2023-07-10T00:00:00"/>
    <s v="SMLN-2023-617-100314_x000a_SMLN-2023-612-100068"/>
    <x v="58"/>
  </r>
  <r>
    <d v="2023-05-23T00:00:00"/>
    <s v="VZ-2023-000656-04"/>
    <x v="3"/>
    <s v="Olejníček"/>
    <s v="Staňková"/>
    <x v="325"/>
    <n v="4"/>
    <s v="Laboratorní hlubokomrazící boxy"/>
    <s v="podepsaná smlouva"/>
    <s v="39711100-0"/>
    <s v="2.2.548."/>
    <n v="845300"/>
    <x v="2"/>
    <d v="2023-05-25T00:00:00"/>
    <d v="2023-06-16T00:00:00"/>
    <d v="2023-07-31T00:00:00"/>
    <s v="TRIGON PLUS s.r.o."/>
    <m/>
    <n v="667750"/>
    <n v="807977.5"/>
    <m/>
    <m/>
    <m/>
    <d v="2023-07-31T00:00:00"/>
    <s v="SMLN-2023-617-100414_x000a_SMLN-2023-612-100080"/>
    <x v="72"/>
  </r>
  <r>
    <d v="2023-05-23T00:00:00"/>
    <s v="VZ-2023-000661"/>
    <x v="3"/>
    <s v="Olejníček"/>
    <s v="Štýbnarová"/>
    <x v="326"/>
    <m/>
    <m/>
    <s v="podepsaná smlouva"/>
    <s v="33152000-0"/>
    <s v="2.2.549."/>
    <n v="1107914"/>
    <x v="2"/>
    <d v="2023-05-30T00:00:00"/>
    <d v="2023-06-20T00:00:00"/>
    <d v="2023-06-29T00:00:00"/>
    <s v="Altium International s.r.o."/>
    <m/>
    <n v="886869"/>
    <n v="1073111.49"/>
    <m/>
    <m/>
    <m/>
    <d v="2023-06-29T00:00:00"/>
    <s v="SMLN-2023-617-100300_x000a_SMLN-2023-612-100064_x000a_SMLN-2023-617-100303"/>
    <x v="109"/>
  </r>
  <r>
    <d v="2023-05-26T00:00:00"/>
    <s v="VZ-2023-000671"/>
    <x v="8"/>
    <s v="Srovnal"/>
    <s v="Štýbnarová"/>
    <x v="327"/>
    <m/>
    <m/>
    <s v="podepsaná smlouva"/>
    <s v="45420000-7"/>
    <m/>
    <n v="620000"/>
    <x v="2"/>
    <d v="2023-05-30T00:00:00"/>
    <d v="2023-06-20T00:00:00"/>
    <d v="2023-06-28T00:00:00"/>
    <s v="AL LOGIC, s.r.o."/>
    <m/>
    <n v="398718.5"/>
    <n v="482449.39"/>
    <m/>
    <m/>
    <m/>
    <d v="2023-06-28T00:00:00"/>
    <s v="SMLN-2023-618-100036"/>
    <x v="109"/>
  </r>
  <r>
    <d v="2023-05-26T00:00:00"/>
    <s v="VZ-2023-000672"/>
    <x v="8"/>
    <s v="Srovnal"/>
    <s v="Staňková"/>
    <x v="328"/>
    <m/>
    <m/>
    <s v="podepsaná smlouva"/>
    <s v="45260000-7"/>
    <m/>
    <n v="5500000"/>
    <x v="2"/>
    <d v="2023-05-30T00:00:00"/>
    <d v="2023-06-19T00:00:00"/>
    <d v="2023-06-23T00:00:00"/>
    <s v="OHLA ŽS, a.s."/>
    <m/>
    <n v="4349082.58"/>
    <n v="5262389.92"/>
    <m/>
    <m/>
    <m/>
    <d v="2023-06-23T00:00:00"/>
    <s v="SMLN-2023-618-100032"/>
    <x v="82"/>
  </r>
  <r>
    <s v="opakovaná VZ"/>
    <s v="VZ-2023-000683-01"/>
    <x v="5"/>
    <s v="Říha"/>
    <s v="Kučera"/>
    <x v="207"/>
    <n v="1"/>
    <s v="Budova dětské kliniky FNOL"/>
    <s v="podepsaná smlouva"/>
    <s v="45215100-8"/>
    <m/>
    <n v="161585174.90000001"/>
    <x v="0"/>
    <d v="2023-06-08T00:00:00"/>
    <d v="2023-07-21T00:00:00"/>
    <d v="2023-08-16T00:00:00"/>
    <s v="OHLA ŽS, a.s."/>
    <m/>
    <n v="157879368.69"/>
    <n v="191034036.11000001"/>
    <m/>
    <m/>
    <m/>
    <d v="2023-08-16T00:00:00"/>
    <s v="SMLN-2023-618-100052"/>
    <x v="83"/>
  </r>
  <r>
    <s v="opakovaná VZ"/>
    <s v="VZ-2023-000683-02"/>
    <x v="5"/>
    <s v="Říha"/>
    <s v="Kučera"/>
    <x v="207"/>
    <n v="2"/>
    <s v="Budovy ubytoven zdravotnických pracovníků FNOL"/>
    <s v="podepsaná smlouva"/>
    <s v="45215100-8"/>
    <m/>
    <n v="117654659.40000001"/>
    <x v="0"/>
    <d v="2023-06-08T00:00:00"/>
    <d v="2023-07-21T00:00:00"/>
    <d v="2023-08-16T00:00:00"/>
    <s v="OHLA ŽS, a.s."/>
    <m/>
    <n v="115235970.64"/>
    <n v="139435524.47"/>
    <m/>
    <m/>
    <m/>
    <d v="2023-08-16T00:00:00"/>
    <s v="SMLN-2023-618-100053"/>
    <x v="83"/>
  </r>
  <r>
    <s v="opakovaná VZ"/>
    <s v="VZ-2023-000683-03"/>
    <x v="5"/>
    <s v="Říha"/>
    <s v="Kučera"/>
    <x v="207"/>
    <n v="3"/>
    <s v="Budova ubytovny pracovníků FNOL"/>
    <s v="podepsaná smlouva"/>
    <s v="45215100-8"/>
    <m/>
    <n v="16718547.119999999"/>
    <x v="0"/>
    <d v="2023-06-08T00:00:00"/>
    <d v="2023-07-21T00:00:00"/>
    <d v="2023-08-16T00:00:00"/>
    <s v="POZEMSTAV Prostějov, a.s."/>
    <m/>
    <n v="11998784.720000001"/>
    <n v="14518529.51"/>
    <m/>
    <m/>
    <m/>
    <d v="2023-08-16T00:00:00"/>
    <s v="SMLN-2023-618-100054"/>
    <x v="113"/>
  </r>
  <r>
    <d v="2023-05-29T00:00:00"/>
    <s v="VZ-2023-000684"/>
    <x v="2"/>
    <s v="Dočkalová"/>
    <s v="Zdražilová"/>
    <x v="329"/>
    <m/>
    <m/>
    <s v="podepsaná smlouva"/>
    <s v="33162200-5"/>
    <m/>
    <n v="589278"/>
    <x v="0"/>
    <d v="2023-06-02T00:00:00"/>
    <d v="2023-07-31T00:00:00"/>
    <d v="2023-09-19T00:00:00"/>
    <s v="OLYMPUS CZECH GROUP, s.r.o., člen koncernu"/>
    <m/>
    <n v="594681"/>
    <n v="719564.01"/>
    <m/>
    <m/>
    <m/>
    <d v="2023-09-19T00:00:00"/>
    <s v="SMLN-2023-617-100511"/>
    <x v="79"/>
  </r>
  <r>
    <d v="2023-05-30T00:00:00"/>
    <s v="VZ-2023-000687"/>
    <x v="3"/>
    <s v="Olejníček"/>
    <s v="Staňková"/>
    <x v="330"/>
    <m/>
    <m/>
    <s v="podepsaná smlouva"/>
    <s v="39180000-7"/>
    <s v="2.2.543."/>
    <n v="315000"/>
    <x v="2"/>
    <d v="2023-06-01T00:00:00"/>
    <d v="2023-06-12T00:00:00"/>
    <d v="2023-06-22T00:00:00"/>
    <s v="ZENA - R, spol. s r.o."/>
    <m/>
    <n v="304200"/>
    <n v="368082"/>
    <m/>
    <m/>
    <m/>
    <d v="2023-06-22T00:00:00"/>
    <s v="SMLN-2023-617-100257_x000a_SMLN-2023-612-100060"/>
    <x v="127"/>
  </r>
  <r>
    <d v="2023-05-30T00:00:00"/>
    <s v="VZ-2023-000690"/>
    <x v="3"/>
    <s v="Olejníček"/>
    <s v="Štýbnarová"/>
    <x v="331"/>
    <m/>
    <m/>
    <s v="podepsaná smlouva"/>
    <s v="33190000-8"/>
    <s v="2.3.759."/>
    <n v="229000"/>
    <x v="2"/>
    <d v="2023-05-31T00:00:00"/>
    <d v="2023-06-14T00:00:00"/>
    <d v="2023-06-22T00:00:00"/>
    <s v="ZENA - R, spol. s r.o."/>
    <m/>
    <n v="229000"/>
    <n v="277090"/>
    <m/>
    <m/>
    <m/>
    <d v="2023-06-22T00:00:00"/>
    <s v="SMLN-2023-617-100254_x000a_SMLN-2023-612-100059"/>
    <x v="99"/>
  </r>
  <r>
    <d v="2023-05-30T00:00:00"/>
    <s v="VZ-2023-000691"/>
    <x v="12"/>
    <s v="Zemánková"/>
    <s v="Bodinková"/>
    <x v="332"/>
    <m/>
    <m/>
    <s v="podepsaná smlouva"/>
    <s v="33694000-1, 38434000"/>
    <m/>
    <n v="6114360"/>
    <x v="0"/>
    <d v="2023-06-23T00:00:00"/>
    <d v="2023-07-28T00:00:00"/>
    <d v="2023-11-27T00:00:00"/>
    <s v="AxonLab spol.s r.o."/>
    <m/>
    <n v="6114360"/>
    <n v="7398375.5999999996"/>
    <m/>
    <m/>
    <m/>
    <d v="2023-11-27T00:00:00"/>
    <s v="SMLN-2023-617-100646_x000a_SMLN-2023-616-100051"/>
    <x v="128"/>
  </r>
  <r>
    <d v="2023-05-30T00:00:00"/>
    <s v="VZ-2023-000693"/>
    <x v="12"/>
    <s v="Zemánková"/>
    <s v="Bodinková"/>
    <x v="333"/>
    <m/>
    <m/>
    <s v="podepsaná smlouva"/>
    <s v="33694000-1, 38434000"/>
    <m/>
    <n v="3920000"/>
    <x v="0"/>
    <d v="2023-06-15T00:00:00"/>
    <d v="2023-07-26T00:00:00"/>
    <d v="2023-11-27T00:00:00"/>
    <s v="TestLine Clinical Diagnostic s.r.o."/>
    <m/>
    <n v="3920000"/>
    <n v="4743200"/>
    <m/>
    <m/>
    <m/>
    <d v="2023-11-27T00:00:00"/>
    <s v="SMLN-2023-617-100644_x000a_SMLN-2023-616-100050"/>
    <x v="91"/>
  </r>
  <r>
    <d v="2023-05-31T00:00:00"/>
    <s v="VZ-2023-000698"/>
    <x v="8"/>
    <s v="Srovnal"/>
    <s v="Staňková"/>
    <x v="334"/>
    <m/>
    <m/>
    <s v="podepsaná smlouva"/>
    <s v="45453000-7"/>
    <m/>
    <n v="1200000"/>
    <x v="2"/>
    <d v="2023-06-02T00:00:00"/>
    <d v="2023-06-13T00:00:00"/>
    <d v="2023-06-23T00:00:00"/>
    <s v="AL LOGIC, s.r.o."/>
    <m/>
    <n v="1208265"/>
    <n v="1389504.75"/>
    <m/>
    <m/>
    <m/>
    <d v="2023-06-23T00:00:00"/>
    <s v="SMLN-2023-618-100031"/>
    <x v="82"/>
  </r>
  <r>
    <s v="opakovaná VZ"/>
    <s v="VZ-2023-000699"/>
    <x v="15"/>
    <s v="Klimek"/>
    <s v="Kučera"/>
    <x v="181"/>
    <m/>
    <m/>
    <s v="podepsaná smlouva"/>
    <s v="34114122-0"/>
    <s v="4.2.199."/>
    <n v="1600000"/>
    <x v="0"/>
    <d v="2023-06-02T00:00:00"/>
    <d v="2023-07-04T00:00:00"/>
    <d v="2023-07-18T00:00:00"/>
    <s v="SICAR, spol. s r.o."/>
    <m/>
    <n v="1624000"/>
    <n v="1965040"/>
    <m/>
    <m/>
    <m/>
    <d v="2023-07-18T00:00:00"/>
    <s v="SMLN-2023-617-100335"/>
    <x v="92"/>
  </r>
  <r>
    <s v="opakovaná VZ"/>
    <s v="VZ-2023-000701"/>
    <x v="3"/>
    <s v="Olejníček"/>
    <s v="Staňková"/>
    <x v="335"/>
    <m/>
    <m/>
    <s v="podepsaná smlouva"/>
    <s v="33152000-0"/>
    <s v="2.2.559."/>
    <n v="177000"/>
    <x v="2"/>
    <d v="2023-06-02T00:00:00"/>
    <d v="2023-06-15T00:00:00"/>
    <d v="2023-06-28T00:00:00"/>
    <s v="LINEQ s.r.o."/>
    <m/>
    <n v="176980"/>
    <n v="214145.8"/>
    <m/>
    <m/>
    <m/>
    <d v="2023-06-28T00:00:00"/>
    <s v="SMLN-2023-617-100272_x000a_SMLN-2023-612-100062"/>
    <x v="103"/>
  </r>
  <r>
    <d v="2023-06-01T00:00:00"/>
    <s v="VZ-2023-000710-01"/>
    <x v="3"/>
    <s v="Olejníček"/>
    <s v="Zdražilová"/>
    <x v="336"/>
    <n v="1"/>
    <s v="Konferenční software - Porodnicko-gynekologická klinika33197000-7"/>
    <s v="podepsaná smlouva"/>
    <m/>
    <s v="2.2.456."/>
    <n v="198800"/>
    <x v="0"/>
    <d v="2023-06-12T00:00:00"/>
    <d v="2023-08-03T00:00:00"/>
    <d v="2023-12-07T00:00:00"/>
    <s v="Medutech s.r.o."/>
    <m/>
    <n v="182600"/>
    <n v="220946"/>
    <m/>
    <m/>
    <m/>
    <d v="2023-12-07T00:00:00"/>
    <s v="SMLN-2023-617-100668_x000a_SMLN-2023-612-100148"/>
    <x v="129"/>
  </r>
  <r>
    <d v="2023-06-01T00:00:00"/>
    <s v="VZ-2023-000710-02"/>
    <x v="3"/>
    <s v="Olejníček"/>
    <s v="Zdražilová"/>
    <x v="336"/>
    <n v="2"/>
    <s v="Mobilní záznamové zařízení pro centrální operační sály (COS)"/>
    <s v="zrušeno"/>
    <s v="33197000-7"/>
    <s v="2.3.631"/>
    <n v="623229"/>
    <x v="0"/>
    <d v="2023-06-12T00:00:00"/>
    <d v="2023-08-03T00:00:00"/>
    <m/>
    <s v="zrušeno  - nepřesné zadání"/>
    <m/>
    <m/>
    <m/>
    <m/>
    <m/>
    <m/>
    <m/>
    <m/>
    <x v="10"/>
  </r>
  <r>
    <d v="2023-06-01T00:00:00"/>
    <s v="VZ-2023-000710-03"/>
    <x v="3"/>
    <s v="Olejníček"/>
    <s v="Zdražilová"/>
    <x v="336"/>
    <n v="3"/>
    <s v="Nahrávací zařízení s videomaticí pro 2. interní kliniku"/>
    <s v="zrušeno"/>
    <s v="33197000-7"/>
    <s v="2.2.514; 2.2.325."/>
    <n v="1105344"/>
    <x v="0"/>
    <d v="2023-06-12T00:00:00"/>
    <d v="2023-08-03T00:00:00"/>
    <m/>
    <s v="zrušeno  - nepřesné zadání"/>
    <m/>
    <m/>
    <m/>
    <m/>
    <m/>
    <m/>
    <m/>
    <m/>
    <x v="10"/>
  </r>
  <r>
    <d v="2023-06-01T00:00:00"/>
    <s v="VZ-2023-000710-04"/>
    <x v="3"/>
    <s v="Olejníček"/>
    <s v="Zdražilová"/>
    <x v="336"/>
    <n v="4"/>
    <s v="Bronchoskopický řetězec pro Plicní kliniku"/>
    <s v="podepsaná smlouva"/>
    <s v="33197000-7"/>
    <s v="2.3.643,"/>
    <n v="3795310"/>
    <x v="0"/>
    <d v="2023-06-12T00:00:00"/>
    <d v="2023-08-03T00:00:00"/>
    <d v="2023-12-07T00:00:00"/>
    <s v="RADIX CZ s.r.o."/>
    <m/>
    <n v="3733576"/>
    <n v="4517626.96"/>
    <m/>
    <m/>
    <m/>
    <d v="2023-12-07T00:00:00"/>
    <s v="SMLN-2023-617-100669_x000a_SMLN-2023-612-100149"/>
    <x v="130"/>
  </r>
  <r>
    <d v="2023-06-05T00:00:00"/>
    <s v="VZ-2023-000717"/>
    <x v="19"/>
    <s v="Jeřábková"/>
    <s v="Staňková"/>
    <x v="337"/>
    <m/>
    <m/>
    <s v="podepsaná smlouva"/>
    <s v="92000000-1 "/>
    <m/>
    <n v="700000"/>
    <x v="2"/>
    <d v="2023-06-12T00:00:00"/>
    <d v="2023-06-28T00:00:00"/>
    <d v="2023-07-13T00:00:00"/>
    <s v="Activities 4You Cz, s.r.o."/>
    <m/>
    <n v="575790.67000000004"/>
    <n v="647710"/>
    <m/>
    <m/>
    <m/>
    <d v="2023-07-13T00:00:00"/>
    <s v="SMLN-2023-612-100071"/>
    <x v="131"/>
  </r>
  <r>
    <d v="2023-06-06T00:00:00"/>
    <s v="VZ-2023-000719"/>
    <x v="3"/>
    <s v="Olejníček"/>
    <s v="Štýbnarová"/>
    <x v="338"/>
    <m/>
    <m/>
    <s v="podepsaná smlouva"/>
    <s v="33155000-1"/>
    <s v="2.3.760."/>
    <n v="172000"/>
    <x v="2"/>
    <d v="2023-06-07T00:00:00"/>
    <d v="2023-06-19T00:00:00"/>
    <d v="2023-06-29T00:00:00"/>
    <s v="Chironax Frýdek-Místek s.r.o."/>
    <m/>
    <n v="134200"/>
    <n v="162382"/>
    <m/>
    <m/>
    <m/>
    <d v="2023-06-29T00:00:00"/>
    <s v="SMLN-2023-617-100299_x000a_SMLN-2023-612-100063"/>
    <x v="132"/>
  </r>
  <r>
    <d v="2023-06-05T00:00:00"/>
    <s v="VZ-2023-000721"/>
    <x v="2"/>
    <s v="Dočkalová"/>
    <s v="Zdražilová"/>
    <x v="339"/>
    <m/>
    <m/>
    <s v="podepsaná smlouva"/>
    <s v="33162200-5"/>
    <m/>
    <n v="779100"/>
    <x v="0"/>
    <d v="2023-06-12T00:00:00"/>
    <d v="2023-07-17T00:00:00"/>
    <d v="2023-08-15T00:00:00"/>
    <s v="RADIX CZ s.r.o."/>
    <m/>
    <n v="776507"/>
    <n v="939573.47"/>
    <m/>
    <m/>
    <m/>
    <d v="2023-08-15T00:00:00"/>
    <s v="SMLN-2023-617-100440"/>
    <x v="133"/>
  </r>
  <r>
    <d v="2023-06-06T00:00:00"/>
    <s v="VZ-2023-000723"/>
    <x v="3"/>
    <s v="Olejníček"/>
    <s v="Štýbnarová"/>
    <x v="340"/>
    <m/>
    <m/>
    <s v="podepsaná smlouva"/>
    <s v="38423100-7"/>
    <s v="2.2.553."/>
    <n v="123637"/>
    <x v="2"/>
    <d v="2023-06-14T00:00:00"/>
    <d v="2023-06-26T00:00:00"/>
    <d v="2023-07-07T00:00:00"/>
    <s v="COMPEK MEDICAL SERVICES, s.r.o."/>
    <m/>
    <n v="113970.92"/>
    <n v="137904.79999999999"/>
    <m/>
    <m/>
    <m/>
    <d v="2023-07-07T00:00:00"/>
    <s v="SMLN-2023-617-100309_x000a_SMLN-2023-612-100065"/>
    <x v="103"/>
  </r>
  <r>
    <d v="2023-06-06T00:00:00"/>
    <s v="VZ-2023-000727"/>
    <x v="3"/>
    <s v="Olejníček"/>
    <s v="Staňková"/>
    <x v="341"/>
    <m/>
    <m/>
    <s v="podepsaná smlouva"/>
    <s v="33140000-3"/>
    <m/>
    <n v="1384000"/>
    <x v="2"/>
    <d v="2023-06-12T00:00:00"/>
    <d v="2023-06-30T00:00:00"/>
    <d v="2023-07-07T00:00:00"/>
    <s v="Mölnlycke Health Care, s.r.o."/>
    <m/>
    <n v="1383800"/>
    <n v="1674398"/>
    <m/>
    <m/>
    <m/>
    <d v="2023-07-07T00:00:00"/>
    <s v="SMLN-2023-617-100308"/>
    <x v="115"/>
  </r>
  <r>
    <d v="2023-06-06T00:00:00"/>
    <s v="VZ-2023-000734"/>
    <x v="3"/>
    <s v="Olejníček"/>
    <s v="Štýbnarová"/>
    <x v="342"/>
    <m/>
    <m/>
    <s v="podepsaná smlouva"/>
    <s v="33190000-8"/>
    <s v="2.2.520."/>
    <n v="266000"/>
    <x v="2"/>
    <d v="2023-06-14T00:00:00"/>
    <d v="2023-06-26T00:00:00"/>
    <d v="2023-07-18T00:00:00"/>
    <s v="Stamed s.r.o."/>
    <m/>
    <n v="248589.75"/>
    <n v="300793.59999999998"/>
    <m/>
    <m/>
    <m/>
    <d v="2023-07-18T00:00:00"/>
    <s v="SMLN-2023-617-100338_x000a_SMLN-2023-617-100072"/>
    <x v="134"/>
  </r>
  <r>
    <d v="2023-06-07T00:00:00"/>
    <s v="VZ-2023-000735"/>
    <x v="3"/>
    <s v="Olejníček"/>
    <s v="Staňková"/>
    <x v="343"/>
    <m/>
    <m/>
    <s v="podepsaná smlouva"/>
    <s v="38000000-5"/>
    <s v="2.2.550."/>
    <n v="225000"/>
    <x v="2"/>
    <d v="2023-06-13T00:00:00"/>
    <d v="2023-06-26T00:00:00"/>
    <d v="2023-07-10T00:00:00"/>
    <s v="Becton Dickinson Czechia, s.ro."/>
    <m/>
    <n v="165987"/>
    <n v="200844.27"/>
    <m/>
    <m/>
    <m/>
    <d v="2023-07-10T00:00:00"/>
    <s v="SMLN-2023-617-100310"/>
    <x v="109"/>
  </r>
  <r>
    <d v="2023-06-07T00:00:00"/>
    <s v="VZ-2023-000736"/>
    <x v="2"/>
    <s v="Dočkalová"/>
    <s v="Zdražilová"/>
    <x v="344"/>
    <m/>
    <m/>
    <s v="podepsaná smlouva"/>
    <s v="33140000-3"/>
    <m/>
    <n v="581640"/>
    <x v="0"/>
    <d v="2023-06-14T00:00:00"/>
    <d v="2023-07-19T00:00:00"/>
    <d v="2023-09-06T00:00:00"/>
    <s v="B. Braun Medical s.r.o."/>
    <m/>
    <n v="581640"/>
    <n v="703784.4"/>
    <m/>
    <m/>
    <m/>
    <d v="2023-09-06T00:00:00"/>
    <s v="SMLN-2023-617-100487"/>
    <x v="135"/>
  </r>
  <r>
    <d v="2023-06-08T00:00:00"/>
    <s v="VZ-2023-000737"/>
    <x v="19"/>
    <s v="Hrabálek"/>
    <s v="Staňková"/>
    <x v="345"/>
    <m/>
    <m/>
    <s v="podepsaná smlouva"/>
    <s v="55110000-4"/>
    <m/>
    <n v="700000"/>
    <x v="2"/>
    <d v="2023-06-12T00:00:00"/>
    <d v="2023-06-30T00:00:00"/>
    <d v="2023-07-12T00:00:00"/>
    <s v="HOTELPARK STADION a.s."/>
    <m/>
    <n v="600537.18999999994"/>
    <n v="682200"/>
    <m/>
    <m/>
    <m/>
    <d v="2023-07-12T00:00:00"/>
    <s v="SMLN-2023-612-100070"/>
    <x v="132"/>
  </r>
  <r>
    <d v="2023-06-08T00:00:00"/>
    <s v="VZ-2023-000739"/>
    <x v="5"/>
    <s v="Hrubý"/>
    <s v="Kučera"/>
    <x v="346"/>
    <m/>
    <m/>
    <s v="podepsaná smlouva"/>
    <s v="45453000-7"/>
    <m/>
    <n v="30000000"/>
    <x v="1"/>
    <d v="2023-06-23T00:00:00"/>
    <d v="2023-07-27T00:00:00"/>
    <d v="2023-08-01T00:00:00"/>
    <s v="POZEMSTAV Prostějov, a.s."/>
    <m/>
    <n v="24119126.52"/>
    <n v="29184143.09"/>
    <m/>
    <m/>
    <m/>
    <d v="2023-08-01T00:00:00"/>
    <s v="SMLN-2023-618-100046"/>
    <x v="102"/>
  </r>
  <r>
    <d v="2023-06-08T00:00:00"/>
    <s v="VZ-2023-000740"/>
    <x v="13"/>
    <s v="Oravec"/>
    <s v="Staňková"/>
    <x v="347"/>
    <m/>
    <m/>
    <s v="podepsaná smlouva"/>
    <s v="30231310-3"/>
    <m/>
    <n v="1162000"/>
    <x v="2"/>
    <d v="2023-06-12T00:00:00"/>
    <d v="2023-06-23T00:00:00"/>
    <d v="2023-06-29T00:00:00"/>
    <s v="AUTOCONT a.s."/>
    <m/>
    <n v="1230000"/>
    <n v="1488300"/>
    <m/>
    <m/>
    <m/>
    <d v="2023-06-29T00:00:00"/>
    <s v="SMLN-2023-617-100304"/>
    <x v="58"/>
  </r>
  <r>
    <d v="2023-06-07T00:00:00"/>
    <s v="VZ-2023-000743"/>
    <x v="2"/>
    <s v="Dočkalová"/>
    <s v="Zdražilová"/>
    <x v="348"/>
    <m/>
    <m/>
    <s v="podepsaná smlouva"/>
    <s v="33162200-5"/>
    <m/>
    <n v="921500"/>
    <x v="0"/>
    <d v="2023-06-13T00:00:00"/>
    <d v="2023-07-26T00:00:00"/>
    <d v="2023-09-21T00:00:00"/>
    <s v="B. Braun Medical s.r.o."/>
    <m/>
    <n v="829336"/>
    <n v="1003496.56"/>
    <m/>
    <m/>
    <m/>
    <d v="2023-09-21T00:00:00"/>
    <s v="SMLN-2023-617-100514"/>
    <x v="136"/>
  </r>
  <r>
    <d v="2023-06-13T00:00:00"/>
    <s v="VZ-2023-000759"/>
    <x v="0"/>
    <s v="Vondrková"/>
    <s v="Bodinková"/>
    <x v="349"/>
    <m/>
    <m/>
    <s v="zrušeno"/>
    <s v="33621100-0"/>
    <m/>
    <n v="3271776"/>
    <x v="1"/>
    <d v="2023-06-15T00:00:00"/>
    <d v="2023-07-11T00:00:00"/>
    <m/>
    <s v="zrušeno - bez nabídky"/>
    <s v="nová VZ-2023-001063"/>
    <m/>
    <m/>
    <m/>
    <m/>
    <m/>
    <m/>
    <m/>
    <x v="10"/>
  </r>
  <r>
    <d v="2023-06-13T00:00:00"/>
    <s v="VZ-2023-000760"/>
    <x v="0"/>
    <s v="Vondrková"/>
    <s v="Bodinková"/>
    <x v="350"/>
    <m/>
    <m/>
    <s v="podepsaná smlouva"/>
    <s v="33621100-0"/>
    <m/>
    <n v="2195010"/>
    <x v="1"/>
    <d v="2023-06-16T00:00:00"/>
    <d v="2023-07-11T00:00:00"/>
    <d v="2023-08-23T00:00:00"/>
    <s v="PHOENIX lék. Velkoobchod, s.r.o."/>
    <m/>
    <n v="2195008.7400000002"/>
    <n v="2414509.61"/>
    <m/>
    <m/>
    <m/>
    <d v="2023-08-23T00:00:00"/>
    <s v="SMLN-2023-617-100450"/>
    <x v="137"/>
  </r>
  <r>
    <d v="2023-06-08T00:00:00"/>
    <s v="VZ-2023-000763"/>
    <x v="2"/>
    <s v="Dočkalová"/>
    <s v="Štýbnarová"/>
    <x v="351"/>
    <m/>
    <m/>
    <s v="podepsaná smlouva"/>
    <s v="33140000-3"/>
    <m/>
    <n v="1354000"/>
    <x v="2"/>
    <d v="2023-06-21T00:00:00"/>
    <d v="2023-07-13T00:00:00"/>
    <d v="2023-07-18T00:00:00"/>
    <s v="S.A.B. Impex, s.r.o."/>
    <m/>
    <n v="1164800"/>
    <n v="1409408"/>
    <m/>
    <m/>
    <m/>
    <d v="2023-07-18T00:00:00"/>
    <s v="SMLN-2023-617-100329"/>
    <x v="120"/>
  </r>
  <r>
    <d v="2023-06-12T00:00:00"/>
    <s v="VZ-2023-000766"/>
    <x v="8"/>
    <s v="Srovnal"/>
    <s v="Štýbnarová"/>
    <x v="352"/>
    <m/>
    <m/>
    <s v="podepsaná smlouva"/>
    <s v="45421146-9"/>
    <m/>
    <n v="400000"/>
    <x v="2"/>
    <d v="2023-06-21T00:00:00"/>
    <d v="2023-07-03T00:00:00"/>
    <d v="2023-07-10T00:00:00"/>
    <s v="BDC Development s.r.o."/>
    <m/>
    <n v="247822.22"/>
    <n v="299864.89"/>
    <m/>
    <m/>
    <m/>
    <d v="2023-07-10T00:00:00"/>
    <s v="SMLN-2023-618-100039"/>
    <x v="115"/>
  </r>
  <r>
    <s v="opakovaná VZ"/>
    <s v="VZ-2023-000773"/>
    <x v="13"/>
    <s v="Oravec"/>
    <s v="Kučera"/>
    <x v="353"/>
    <m/>
    <m/>
    <s v="podepsaná smlouva"/>
    <s v="72261000-2"/>
    <m/>
    <n v="2136000"/>
    <x v="1"/>
    <d v="2023-06-20T00:00:00"/>
    <d v="2023-07-10T00:00:00"/>
    <d v="2023-08-07T00:00:00"/>
    <s v="Ing. Martin Bencko"/>
    <m/>
    <n v="1320000"/>
    <n v="1557200"/>
    <m/>
    <m/>
    <m/>
    <d v="2023-08-07T00:00:00"/>
    <s v="SMLN-2023-612-100086"/>
    <x v="102"/>
  </r>
  <r>
    <d v="2023-06-15T00:00:00"/>
    <s v="VZ-2023-000775-01"/>
    <x v="0"/>
    <s v="Vondrková"/>
    <s v="Bodinková"/>
    <x v="354"/>
    <n v="1"/>
    <s v="VINBLASTIN-SULFÁT"/>
    <s v="podepsaná smlouva"/>
    <s v="33652100-6"/>
    <m/>
    <n v="171355"/>
    <x v="1"/>
    <d v="2023-06-27T00:00:00"/>
    <d v="2023-07-18T00:00:00"/>
    <d v="2023-09-12T00:00:00"/>
    <s v="PHARMOS, a.s."/>
    <m/>
    <n v="171130.98"/>
    <n v="188244.08"/>
    <m/>
    <m/>
    <m/>
    <d v="2023-09-12T00:00:00"/>
    <s v="SMLN-2023-617-100495"/>
    <x v="138"/>
  </r>
  <r>
    <d v="2023-06-15T00:00:00"/>
    <s v="VZ-2023-000775-02"/>
    <x v="0"/>
    <s v="Vondrková"/>
    <s v="Bodinková"/>
    <x v="354"/>
    <n v="2"/>
    <s v="VINORELBIN-DITARTARÁT I."/>
    <s v="podepsaná smlouva"/>
    <s v="33652100-6"/>
    <m/>
    <n v="1881598"/>
    <x v="1"/>
    <d v="2023-06-27T00:00:00"/>
    <d v="2023-07-18T00:00:00"/>
    <d v="2023-09-12T00:00:00"/>
    <s v="PHOENIX lék. Velkoobchod, s.r.o."/>
    <m/>
    <n v="1841899.23"/>
    <n v="2026089.15"/>
    <m/>
    <m/>
    <m/>
    <d v="2023-09-12T00:00:00"/>
    <s v="SMLN-2023-617-100496"/>
    <x v="138"/>
  </r>
  <r>
    <d v="2023-06-15T00:00:00"/>
    <s v="VZ-2023-000775-03"/>
    <x v="0"/>
    <s v="Vondrková"/>
    <s v="Bodinková"/>
    <x v="354"/>
    <n v="3"/>
    <s v="VINORELBIN-DITARTARÁT II. "/>
    <s v="podepsaná smlouva"/>
    <s v="33652100-6"/>
    <m/>
    <n v="590520"/>
    <x v="1"/>
    <d v="2023-06-27T00:00:00"/>
    <d v="2023-07-18T00:00:00"/>
    <d v="2023-09-12T00:00:00"/>
    <s v="PHOENIX lék. Velkoobchod, s.r.o."/>
    <m/>
    <n v="452988.6"/>
    <n v="498287.46"/>
    <m/>
    <m/>
    <m/>
    <d v="2023-09-12T00:00:00"/>
    <s v="SMLN-2023-617-100497"/>
    <x v="138"/>
  </r>
  <r>
    <d v="2023-06-15T00:00:00"/>
    <s v="VZ-2023-000775-04"/>
    <x v="0"/>
    <s v="Vondrková"/>
    <s v="Bodinková"/>
    <x v="354"/>
    <n v="4"/>
    <s v="VINFLUNIN-DITARTARÁT"/>
    <s v="podepsaná smlouva"/>
    <s v="33652100-6"/>
    <m/>
    <n v="364469"/>
    <x v="1"/>
    <d v="2023-06-27T00:00:00"/>
    <d v="2023-07-18T00:00:00"/>
    <d v="2023-09-12T00:00:00"/>
    <s v="Alliance Healthcare s.r.o."/>
    <m/>
    <n v="360502.11"/>
    <n v="396552.32"/>
    <m/>
    <m/>
    <m/>
    <d v="2023-09-12T00:00:00"/>
    <s v="SMLN-2023-617-100498"/>
    <x v="138"/>
  </r>
  <r>
    <d v="2023-06-15T00:00:00"/>
    <s v="VZ-2023-000776-01"/>
    <x v="0"/>
    <s v="Vondrková"/>
    <s v="Bodinková"/>
    <x v="355"/>
    <n v="1"/>
    <s v="Darrowův roztok"/>
    <s v="bude realizováno v rámci DNS"/>
    <s v="33692510-5"/>
    <m/>
    <n v="75224"/>
    <x v="0"/>
    <m/>
    <m/>
    <m/>
    <m/>
    <m/>
    <m/>
    <m/>
    <m/>
    <m/>
    <m/>
    <m/>
    <m/>
    <x v="10"/>
  </r>
  <r>
    <d v="2023-06-15T00:00:00"/>
    <s v="VZ-2023-000776-02"/>
    <x v="0"/>
    <s v="Vondrková"/>
    <s v="Bodinková"/>
    <x v="355"/>
    <n v="2"/>
    <s v="Ringerův roztok I"/>
    <s v="bude realizováno v rámci DNS"/>
    <s v="33692510-5"/>
    <m/>
    <n v="284962"/>
    <x v="0"/>
    <m/>
    <m/>
    <m/>
    <m/>
    <m/>
    <m/>
    <m/>
    <m/>
    <m/>
    <m/>
    <m/>
    <m/>
    <x v="10"/>
  </r>
  <r>
    <d v="2023-06-15T00:00:00"/>
    <s v="VZ-2023-000776-03"/>
    <x v="0"/>
    <s v="Vondrková"/>
    <s v="Bodinková"/>
    <x v="355"/>
    <n v="3"/>
    <s v="Ringerův roztok II"/>
    <s v="bude realizováno v rámci DNS"/>
    <s v="33692510-5"/>
    <m/>
    <n v="539784"/>
    <x v="0"/>
    <m/>
    <m/>
    <m/>
    <m/>
    <m/>
    <m/>
    <m/>
    <m/>
    <m/>
    <m/>
    <m/>
    <m/>
    <x v="10"/>
  </r>
  <r>
    <d v="2023-06-15T00:00:00"/>
    <s v="VZ-2023-000776-04"/>
    <x v="0"/>
    <s v="Vondrková"/>
    <s v="Bodinková"/>
    <x v="355"/>
    <n v="4"/>
    <s v="Roztoky elektrolytů s laktátem nebo acetátem"/>
    <s v="bude realizováno v rámci DNS"/>
    <s v="33692510-5"/>
    <m/>
    <n v="605380"/>
    <x v="0"/>
    <m/>
    <m/>
    <m/>
    <m/>
    <m/>
    <m/>
    <m/>
    <m/>
    <m/>
    <m/>
    <m/>
    <m/>
    <x v="10"/>
  </r>
  <r>
    <d v="2023-06-15T00:00:00"/>
    <s v="VZ-2023-000776-05"/>
    <x v="0"/>
    <s v="Vondrková"/>
    <s v="Bodinková"/>
    <x v="355"/>
    <n v="5"/>
    <s v="Roztoky elektrolytů s glukózou"/>
    <s v="bude realizováno v rámci DNS"/>
    <s v="33692510-5"/>
    <m/>
    <n v="810781"/>
    <x v="0"/>
    <m/>
    <m/>
    <m/>
    <m/>
    <m/>
    <m/>
    <m/>
    <m/>
    <m/>
    <m/>
    <m/>
    <m/>
    <x v="10"/>
  </r>
  <r>
    <d v="2023-06-15T00:00:00"/>
    <s v="VZ-2023-000778 "/>
    <x v="12"/>
    <s v="Zemánková"/>
    <s v="Bodinková"/>
    <x v="356"/>
    <m/>
    <m/>
    <s v="podepsaná smlouva"/>
    <s v="33694000-1"/>
    <m/>
    <n v="1899760"/>
    <x v="2"/>
    <d v="2023-06-30T00:00:00"/>
    <d v="2023-07-13T00:00:00"/>
    <d v="2023-07-20T00:00:00"/>
    <s v="GeneTiCA s.r.o."/>
    <m/>
    <n v="1899760"/>
    <n v="2298709.6"/>
    <m/>
    <m/>
    <m/>
    <d v="2023-07-20T00:00:00"/>
    <s v="SMLN-2023-617-100339"/>
    <x v="92"/>
  </r>
  <r>
    <d v="2023-06-15T00:00:00"/>
    <s v="VZ-2023-000779"/>
    <x v="12"/>
    <s v="Zemánková"/>
    <s v="Bodinková"/>
    <x v="357"/>
    <m/>
    <m/>
    <s v="zrušeno"/>
    <s v="33694000-1"/>
    <m/>
    <n v="1876580"/>
    <x v="2"/>
    <d v="2023-08-02T00:00:00"/>
    <d v="2023-08-14T00:00:00"/>
    <m/>
    <s v="zrušeno"/>
    <s v="bude připravena nová VZ"/>
    <m/>
    <m/>
    <m/>
    <m/>
    <m/>
    <m/>
    <m/>
    <x v="10"/>
  </r>
  <r>
    <d v="2023-06-15T00:00:00"/>
    <s v="VZ-2023-000780"/>
    <x v="0"/>
    <s v="Vlčková"/>
    <s v="Bodinková"/>
    <x v="358"/>
    <m/>
    <m/>
    <s v="podepsaná smlouva"/>
    <s v="33622000-6"/>
    <m/>
    <n v="2764590"/>
    <x v="1"/>
    <d v="2023-06-26T00:00:00"/>
    <d v="2023-07-17T00:00:00"/>
    <d v="2023-08-04T00:00:00"/>
    <s v="Alliance Healthcare s.r.o."/>
    <m/>
    <n v="2764599"/>
    <n v="3041058.9"/>
    <m/>
    <m/>
    <m/>
    <d v="2023-08-04T00:00:00"/>
    <s v="SMLN-2023-617-100421"/>
    <x v="102"/>
  </r>
  <r>
    <d v="2023-06-15T00:00:00"/>
    <s v="VZ-2023-000781"/>
    <x v="8"/>
    <s v="Srovnal"/>
    <s v="Štýbnarová"/>
    <x v="359"/>
    <m/>
    <m/>
    <s v="podepsaná smlouva"/>
    <s v="45432100-5"/>
    <m/>
    <n v="1900000"/>
    <x v="2"/>
    <d v="2023-06-20T00:00:00"/>
    <d v="2023-07-03T00:00:00"/>
    <d v="2023-07-10T00:00:00"/>
    <s v="AL LOGIC, s.r.o."/>
    <m/>
    <n v="1484178.34"/>
    <n v="1795855.79"/>
    <m/>
    <m/>
    <m/>
    <d v="2023-07-10T00:00:00"/>
    <s v="SMLN-2023-618-100040"/>
    <x v="109"/>
  </r>
  <r>
    <d v="2023-06-19T00:00:00"/>
    <s v="VZ-2023-000789"/>
    <x v="2"/>
    <s v="Valtová"/>
    <s v="Štýbnarová"/>
    <x v="360"/>
    <m/>
    <m/>
    <s v="podepsaná smlouva"/>
    <s v="33140000–3"/>
    <m/>
    <n v="504000"/>
    <x v="2"/>
    <d v="2023-06-21T00:00:00"/>
    <d v="2023-07-17T00:00:00"/>
    <d v="2023-08-16T00:00:00"/>
    <s v="MEDIAL spol. s r.o."/>
    <m/>
    <n v="480000"/>
    <n v="580800"/>
    <m/>
    <m/>
    <m/>
    <d v="2023-08-16T00:00:00"/>
    <s v="SMLN-2023-617-100444_x000a_SMLN-2023-614-100032"/>
    <x v="134"/>
  </r>
  <r>
    <d v="2023-06-16T00:00:00"/>
    <s v="VZ-2023-000793"/>
    <x v="11"/>
    <s v="Zdráhalová"/>
    <s v="Staňková"/>
    <x v="361"/>
    <m/>
    <m/>
    <s v="podepsaná smlouva"/>
    <s v="39150000-8"/>
    <m/>
    <n v="1206925"/>
    <x v="2"/>
    <d v="2023-06-21T00:00:00"/>
    <d v="2023-07-03T00:00:00"/>
    <d v="2023-07-04T00:00:00"/>
    <s v="IN SPACE s.r.o."/>
    <m/>
    <n v="744050"/>
    <n v="900300.5"/>
    <m/>
    <m/>
    <m/>
    <d v="2023-07-04T00:00:00"/>
    <s v="SMLN-2023-618-100038"/>
    <x v="103"/>
  </r>
  <r>
    <d v="2023-06-12T00:00:00"/>
    <s v="VZ-2023-000794"/>
    <x v="9"/>
    <s v="Zemánek"/>
    <s v="Kučera"/>
    <x v="362"/>
    <m/>
    <m/>
    <s v="podepsaná smlouva"/>
    <s v="50421000-2"/>
    <m/>
    <n v="4400000"/>
    <x v="0"/>
    <d v="2023-06-26T00:00:00"/>
    <d v="2023-07-28T00:00:00"/>
    <d v="2023-08-16T00:00:00"/>
    <s v="Electric Medical Service, s.r.o."/>
    <m/>
    <n v="161000"/>
    <n v="194810"/>
    <m/>
    <m/>
    <m/>
    <d v="2023-08-16T00:00:00"/>
    <s v="SMLN-2023-612-100093"/>
    <x v="121"/>
  </r>
  <r>
    <d v="2023-06-19T00:00:00"/>
    <s v="VZ-2023-000795-01"/>
    <x v="2"/>
    <s v="Dočkalová"/>
    <s v="Zdražilová"/>
    <x v="363"/>
    <n v="1"/>
    <s v="Nástroje pro ORL - specifikováno dle katalogu OLYMPUS"/>
    <s v="podepsaná smlouva"/>
    <s v="33162200-5"/>
    <m/>
    <n v="127900"/>
    <x v="0"/>
    <d v="2023-06-26T00:00:00"/>
    <d v="2023-07-31T00:00:00"/>
    <d v="2023-09-19T00:00:00"/>
    <s v="Grandyx s.r.o."/>
    <m/>
    <n v="74230"/>
    <n v="89818.3"/>
    <m/>
    <m/>
    <m/>
    <d v="2023-09-19T00:00:00"/>
    <s v="SMLN-2023-617-100509"/>
    <x v="104"/>
  </r>
  <r>
    <d v="2023-06-19T00:00:00"/>
    <s v="VZ-2023-000795-02"/>
    <x v="2"/>
    <s v="Dočkalová"/>
    <s v="Zdražilová"/>
    <x v="363"/>
    <n v="2"/>
    <s v="Nástroje pro ORL (specif. dle kat. MEDIN, NOPA) "/>
    <s v="podepsaná smlouva"/>
    <s v="33162200-5"/>
    <m/>
    <n v="136264"/>
    <x v="0"/>
    <d v="2023-06-26T00:00:00"/>
    <d v="2023-07-31T00:00:00"/>
    <d v="2023-09-19T00:00:00"/>
    <s v="MEDIN, a.s."/>
    <m/>
    <n v="136264.29"/>
    <n v="164879.79"/>
    <m/>
    <m/>
    <m/>
    <d v="2023-09-19T00:00:00"/>
    <s v="SMLN-2023-617-100510"/>
    <x v="136"/>
  </r>
  <r>
    <d v="2023-06-20T00:00:00"/>
    <s v="VZ-2023-000796"/>
    <x v="2"/>
    <s v="Dočkalová"/>
    <s v="Staňková"/>
    <x v="364"/>
    <m/>
    <m/>
    <s v="podepsaná smlouva"/>
    <s v="33140000-3"/>
    <m/>
    <n v="1360000"/>
    <x v="2"/>
    <d v="2023-06-21T00:00:00"/>
    <d v="2023-07-10T00:00:00"/>
    <d v="2023-07-18T00:00:00"/>
    <s v="INLAB s.r.o."/>
    <m/>
    <n v="1360000"/>
    <n v="1645600"/>
    <m/>
    <m/>
    <m/>
    <d v="2023-07-18T00:00:00"/>
    <s v="SMLN-2023-617-100333_x000a_SMLN-2023-616-100032"/>
    <x v="93"/>
  </r>
  <r>
    <d v="2023-06-20T00:00:00"/>
    <s v="VZ-2023-000797"/>
    <x v="2"/>
    <s v="Dočkalová"/>
    <s v="Štýbnarová"/>
    <x v="365"/>
    <m/>
    <m/>
    <s v="podepsaná smlouva"/>
    <s v="33140000-3"/>
    <m/>
    <n v="1079373"/>
    <x v="2"/>
    <d v="2023-06-22T00:00:00"/>
    <d v="2023-07-07T00:00:00"/>
    <d v="2023-07-17T00:00:00"/>
    <s v="Edwards Lifesciences Czech republic s.r.o."/>
    <m/>
    <n v="1500837"/>
    <n v="1816012.77"/>
    <m/>
    <m/>
    <m/>
    <d v="2023-07-17T00:00:00"/>
    <s v="SMLN-2023-617-100322"/>
    <x v="132"/>
  </r>
  <r>
    <d v="2023-06-19T00:00:00"/>
    <s v="VZ-2023-000800-01"/>
    <x v="2"/>
    <s v="Merta"/>
    <s v="Dočkal"/>
    <x v="366"/>
    <n v="1"/>
    <s v="Koronární lékové stenty I."/>
    <s v="podepsaná smlouva"/>
    <s v="33184500-8"/>
    <m/>
    <n v="43520000"/>
    <x v="0"/>
    <d v="2023-07-07T00:00:00"/>
    <d v="2023-08-10T00:00:00"/>
    <d v="2023-08-29T00:00:00"/>
    <s v="Cardiomedical s.r.o."/>
    <m/>
    <n v="43520000"/>
    <n v="50048000"/>
    <m/>
    <m/>
    <m/>
    <d v="2023-08-29T00:00:00"/>
    <s v="SMLN-2023-617-100463_x000a_SMLN-2023-614-100033"/>
    <x v="137"/>
  </r>
  <r>
    <d v="2023-06-19T00:00:00"/>
    <s v="VZ-2023-000800-02"/>
    <x v="2"/>
    <s v="Merta"/>
    <s v="Dočkal"/>
    <x v="366"/>
    <n v="2"/>
    <s v="Koronární lékové stenty II."/>
    <s v="podepsaná smlouva"/>
    <s v="33184500-8"/>
    <m/>
    <n v="44400000"/>
    <x v="0"/>
    <d v="2023-07-07T00:00:00"/>
    <d v="2023-08-10T00:00:00"/>
    <d v="2023-08-29T00:00:00"/>
    <s v="INLAB Medical s.r.o."/>
    <m/>
    <n v="44400000"/>
    <n v="51060000"/>
    <m/>
    <m/>
    <m/>
    <d v="2023-08-29T00:00:00"/>
    <s v="SMLN-2023-617-100464_x000a_SMLN-2023-614-100034"/>
    <x v="137"/>
  </r>
  <r>
    <d v="2023-06-19T00:00:00"/>
    <s v="VZ-2023-000800-03"/>
    <x v="2"/>
    <s v="Merta"/>
    <s v="Dočkal"/>
    <x v="366"/>
    <n v="3"/>
    <s v="Koronární lékové stenty III."/>
    <s v="podepsaná smlouva"/>
    <s v="33184500-8"/>
    <m/>
    <n v="2900000"/>
    <x v="0"/>
    <d v="2023-07-07T00:00:00"/>
    <d v="2023-08-10T00:00:00"/>
    <d v="2023-08-29T00:00:00"/>
    <s v="VENAMA  s.r.o."/>
    <m/>
    <n v="2900000"/>
    <n v="3335000"/>
    <m/>
    <m/>
    <m/>
    <d v="2023-08-29T00:00:00"/>
    <s v="SMLN-2023-617-100465_x000a_SMLN-2023-614-100035"/>
    <x v="137"/>
  </r>
  <r>
    <d v="2023-06-19T00:00:00"/>
    <s v="VZ-2023-000800-04"/>
    <x v="2"/>
    <s v="Merta"/>
    <s v="Dočkal"/>
    <x v="366"/>
    <n v="4"/>
    <s v="Koronární lékové stenty IV."/>
    <s v="podepsaná smlouva"/>
    <s v="33184500-8"/>
    <m/>
    <n v="7260000"/>
    <x v="0"/>
    <d v="2023-07-07T00:00:00"/>
    <d v="2023-08-10T00:00:00"/>
    <d v="2023-08-29T00:00:00"/>
    <s v="Boston Scientific Česká republika s.r.o."/>
    <m/>
    <n v="7260000"/>
    <n v="8349000"/>
    <m/>
    <m/>
    <m/>
    <d v="2023-08-29T00:00:00"/>
    <s v="SMLN-2023-617-100466_x000a_SMLN-2023-614-100036"/>
    <x v="137"/>
  </r>
  <r>
    <d v="2023-06-19T00:00:00"/>
    <s v="VZ-2023-000800-05"/>
    <x v="2"/>
    <s v="Merta"/>
    <s v="Dočkal"/>
    <x v="366"/>
    <n v="5"/>
    <s v="Koronární lékové stenty V."/>
    <s v="podepsaná smlouva"/>
    <s v="33184500-8"/>
    <m/>
    <n v="3632000"/>
    <x v="0"/>
    <d v="2023-07-07T00:00:00"/>
    <d v="2023-08-10T00:00:00"/>
    <d v="2023-08-29T00:00:00"/>
    <s v="Stimcare, s.r.o."/>
    <m/>
    <n v="3632000"/>
    <n v="4176800"/>
    <m/>
    <m/>
    <m/>
    <d v="2023-08-29T00:00:00"/>
    <s v="SMLN-2023-617-100467_x000a_SMLN-2023-614-100037"/>
    <x v="137"/>
  </r>
  <r>
    <d v="2023-06-22T00:00:00"/>
    <s v="VZ-2023-000806"/>
    <x v="2"/>
    <s v="Dočkalová"/>
    <s v="Štýbnarová"/>
    <x v="367"/>
    <m/>
    <m/>
    <s v="podepsaná smlouva"/>
    <s v="33184200-5"/>
    <m/>
    <n v="593640"/>
    <x v="2"/>
    <d v="2023-06-26T00:00:00"/>
    <d v="2023-07-07T00:00:00"/>
    <d v="2023-07-17T00:00:00"/>
    <s v="INOVA SURGICAL s.r.o."/>
    <m/>
    <n v="593641.80000000005"/>
    <n v="682688.07"/>
    <m/>
    <m/>
    <m/>
    <d v="2023-07-17T00:00:00"/>
    <s v="SMLN-2023-617-100323"/>
    <x v="111"/>
  </r>
  <r>
    <d v="2023-06-22T00:00:00"/>
    <s v="VZ-2023-000811"/>
    <x v="3"/>
    <s v="Olejníček"/>
    <s v="Staňková"/>
    <x v="368"/>
    <m/>
    <m/>
    <s v="podepsaná smlouva"/>
    <s v="33171100-0"/>
    <s v="2.3.761."/>
    <n v="518000"/>
    <x v="2"/>
    <d v="2023-06-28T00:00:00"/>
    <d v="2023-07-10T00:00:00"/>
    <d v="2023-07-21T00:00:00"/>
    <s v="G.P.S. Praha spol. s r.o."/>
    <m/>
    <n v="464400"/>
    <n v="561924"/>
    <m/>
    <m/>
    <m/>
    <d v="2023-07-21T00:00:00"/>
    <s v="SMLN-2023-617-100401_x000a_SMLN-2023-617-100402"/>
    <x v="93"/>
  </r>
  <r>
    <d v="2023-06-23T00:00:00"/>
    <s v="VZ-2023-000816"/>
    <x v="1"/>
    <s v="Svozil"/>
    <s v="Staňková"/>
    <x v="369"/>
    <m/>
    <m/>
    <s v="podepsaná smlouva"/>
    <s v="45232400-6"/>
    <m/>
    <n v="1800000"/>
    <x v="2"/>
    <d v="2023-06-26T00:00:00"/>
    <d v="2023-07-07T00:00:00"/>
    <d v="2023-07-14T00:00:00"/>
    <s v="Online-olin s.r.o."/>
    <m/>
    <n v="1046826"/>
    <n v="1266659.46"/>
    <m/>
    <m/>
    <m/>
    <d v="2023-07-14T00:00:00"/>
    <s v="SMLN-2023-618-100041"/>
    <x v="93"/>
  </r>
  <r>
    <d v="2023-06-22T00:00:00"/>
    <s v="VZ-2023-000817"/>
    <x v="12"/>
    <s v="Zemánková"/>
    <s v="Bodinková"/>
    <x v="370"/>
    <m/>
    <m/>
    <s v="zrušeno"/>
    <s v="33694000-1,38434000-"/>
    <m/>
    <n v="52000000"/>
    <x v="0"/>
    <d v="2023-08-01T00:00:00"/>
    <d v="2023-09-06T00:00:00"/>
    <m/>
    <s v="zrušeno - bez hodnotitelné nabídky"/>
    <s v="nová VZ-2023-001447"/>
    <m/>
    <m/>
    <m/>
    <m/>
    <m/>
    <m/>
    <m/>
    <x v="10"/>
  </r>
  <r>
    <d v="2023-06-23T00:00:00"/>
    <s v="VZ-2023-000818"/>
    <x v="0"/>
    <s v="Vondrková"/>
    <s v="Zdražilová"/>
    <x v="371"/>
    <m/>
    <m/>
    <s v="podepsaná smlouva"/>
    <s v="33652000-5"/>
    <m/>
    <n v="59950649"/>
    <x v="0"/>
    <d v="2023-06-28T00:00:00"/>
    <d v="2023-08-02T00:00:00"/>
    <d v="2023-08-16T00:00:00"/>
    <s v="PHOENIX lék. Velkoobchod, s.r.o."/>
    <m/>
    <n v="59802252.899999999"/>
    <n v="65782478.189999998"/>
    <m/>
    <m/>
    <m/>
    <d v="2023-08-16T00:00:00"/>
    <s v="SMLN-2023-617-100446"/>
    <x v="60"/>
  </r>
  <r>
    <d v="2023-06-26T00:00:00"/>
    <s v="VZ-2023-000824-01"/>
    <x v="0"/>
    <s v="Vlčková"/>
    <s v="Bodinková"/>
    <x v="372"/>
    <n v="1"/>
    <s v="POSAKONAZOL I."/>
    <s v="zrušeno"/>
    <s v="33651200-0"/>
    <m/>
    <n v="795923"/>
    <x v="0"/>
    <d v="2023-07-13T00:00:00"/>
    <d v="2023-09-13T00:00:00"/>
    <m/>
    <s v="zrušeno - bez nabídky"/>
    <m/>
    <m/>
    <m/>
    <m/>
    <m/>
    <m/>
    <m/>
    <m/>
    <x v="10"/>
  </r>
  <r>
    <d v="2023-06-26T00:00:00"/>
    <s v="VZ-2023-000824-02"/>
    <x v="0"/>
    <s v="Vlčková"/>
    <s v="Bodinková"/>
    <x v="372"/>
    <n v="2"/>
    <s v="POSAKONAZOL II."/>
    <s v="zrušeno"/>
    <s v="33651200-0"/>
    <m/>
    <n v="795923"/>
    <x v="0"/>
    <d v="2023-07-13T00:00:00"/>
    <d v="2023-09-13T00:00:00"/>
    <d v="2023-10-16T00:00:00"/>
    <s v="zrušeno - neposkytnutí sooučinnosti k podpisu smlouvy"/>
    <m/>
    <n v="795918.24"/>
    <n v="875510.06"/>
    <m/>
    <m/>
    <m/>
    <d v="2023-10-16T00:00:00"/>
    <s v="SMLN-2023-617-100557"/>
    <x v="10"/>
  </r>
  <r>
    <d v="2023-06-26T00:00:00"/>
    <s v="VZ-2023-000824-03"/>
    <x v="0"/>
    <s v="Vlčková"/>
    <s v="Bodinková"/>
    <x v="372"/>
    <n v="3"/>
    <s v="POSAKONAZOL III."/>
    <s v="podepsaná smlouva"/>
    <s v="33651200-0"/>
    <m/>
    <n v="795923"/>
    <x v="0"/>
    <d v="2023-07-13T00:00:00"/>
    <d v="2023-09-13T00:00:00"/>
    <d v="2023-10-16T00:00:00"/>
    <s v="PROMEDICA PRAHA GROUP, a.s."/>
    <m/>
    <n v="790194"/>
    <n v="869213.4"/>
    <m/>
    <m/>
    <m/>
    <d v="2023-10-16T00:00:00"/>
    <s v="SMLN-2023-617-100558"/>
    <x v="139"/>
  </r>
  <r>
    <d v="2023-06-26T00:00:00"/>
    <s v="VZ-2023-000824-04"/>
    <x v="0"/>
    <s v="Vlčková"/>
    <s v="Bodinková"/>
    <x v="372"/>
    <n v="4"/>
    <s v="POSAKONAZOL IV."/>
    <s v="podepsaná smlouva"/>
    <s v="33651200-0"/>
    <m/>
    <n v="795923"/>
    <x v="0"/>
    <d v="2023-07-13T00:00:00"/>
    <d v="2023-09-13T00:00:00"/>
    <d v="2023-10-16T00:00:00"/>
    <s v="PROMEDICA PRAHA GROUP, a.s."/>
    <m/>
    <n v="736036.08"/>
    <n v="809639.69"/>
    <m/>
    <m/>
    <m/>
    <d v="2023-10-16T00:00:00"/>
    <s v="SMLN-2023-617-100559"/>
    <x v="139"/>
  </r>
  <r>
    <d v="2023-06-26T00:00:00"/>
    <s v="VZ-2023-000824-05"/>
    <x v="0"/>
    <s v="Vlčková"/>
    <s v="Bodinková"/>
    <x v="372"/>
    <n v="5"/>
    <s v="POSAKONAZOL V."/>
    <s v="zrušeno"/>
    <s v="33651200-0"/>
    <m/>
    <n v="795923"/>
    <x v="0"/>
    <d v="2023-07-13T00:00:00"/>
    <d v="2023-09-13T00:00:00"/>
    <m/>
    <s v="zrušeno - bez nabídky"/>
    <m/>
    <m/>
    <m/>
    <m/>
    <m/>
    <m/>
    <m/>
    <m/>
    <x v="10"/>
  </r>
  <r>
    <d v="2023-06-26T00:00:00"/>
    <s v="VZ-2023-000824-06"/>
    <x v="0"/>
    <s v="Vlčková"/>
    <s v="Bodinková"/>
    <x v="372"/>
    <n v="6"/>
    <s v="POSAKONAZOL VI."/>
    <s v="zrušeno"/>
    <s v="33651200-0"/>
    <m/>
    <n v="309307"/>
    <x v="0"/>
    <d v="2023-07-13T00:00:00"/>
    <d v="2023-09-13T00:00:00"/>
    <m/>
    <s v="zrušeno - bez nabídky"/>
    <m/>
    <m/>
    <m/>
    <m/>
    <m/>
    <m/>
    <m/>
    <m/>
    <x v="10"/>
  </r>
  <r>
    <d v="2023-06-27T00:00:00"/>
    <s v="VZ-2023-000826"/>
    <x v="3"/>
    <s v="Olejníček"/>
    <s v="Staňková"/>
    <x v="373"/>
    <m/>
    <m/>
    <s v="podepsaná smlouva"/>
    <s v="39162200-7"/>
    <s v="2.2.566."/>
    <n v="501584"/>
    <x v="2"/>
    <d v="2023-06-28T00:00:00"/>
    <d v="2023-07-10T00:00:00"/>
    <d v="2023-07-21T00:00:00"/>
    <s v="SNT Plus s.r.o."/>
    <m/>
    <n v="419400"/>
    <n v="507474"/>
    <m/>
    <m/>
    <m/>
    <d v="2023-07-21T00:00:00"/>
    <s v="SMLN-2023-617-100403_x000a_SMLN-2023-612-100074"/>
    <x v="140"/>
  </r>
  <r>
    <d v="2023-06-27T00:00:00"/>
    <s v="VZ-2023-000827"/>
    <x v="3"/>
    <s v="Olejníček"/>
    <s v="Staňková"/>
    <x v="374"/>
    <m/>
    <m/>
    <s v="zrušeno"/>
    <s v="33154000-4"/>
    <s v="2.2.569."/>
    <n v="350000"/>
    <x v="2"/>
    <d v="2023-06-28T00:00:00"/>
    <d v="2023-07-10T00:00:00"/>
    <m/>
    <s v="zrušeno - nesplnění zadání"/>
    <s v="VZ-2023-000906"/>
    <m/>
    <m/>
    <m/>
    <m/>
    <m/>
    <m/>
    <m/>
    <x v="10"/>
  </r>
  <r>
    <d v="2023-06-27T00:00:00"/>
    <s v="VZ-2023-000828"/>
    <x v="3"/>
    <s v="Olejníček"/>
    <s v="Štýbnarová"/>
    <x v="375"/>
    <m/>
    <m/>
    <s v="podepsaná smlouva"/>
    <s v="38423100-7"/>
    <s v="2.2.568."/>
    <n v="235200"/>
    <x v="2"/>
    <d v="2023-06-28T00:00:00"/>
    <d v="2023-07-13T00:00:00"/>
    <d v="2023-07-31T00:00:00"/>
    <s v="Kardio - Line spol. s r.o."/>
    <m/>
    <n v="235200"/>
    <n v="284592"/>
    <m/>
    <m/>
    <m/>
    <d v="2023-07-31T00:00:00"/>
    <s v="SMLN-2023-617-100416_x000a_SMLN-2023-612-100083"/>
    <x v="73"/>
  </r>
  <r>
    <d v="2023-06-27T00:00:00"/>
    <s v="VZ-2023-000829"/>
    <x v="3"/>
    <s v="Olejníček"/>
    <s v="Štýbnarová"/>
    <x v="376"/>
    <m/>
    <m/>
    <s v="podepsaná smlouva"/>
    <s v="33190000-8"/>
    <s v="2.2.567."/>
    <n v="142000"/>
    <x v="2"/>
    <d v="2023-06-28T00:00:00"/>
    <d v="2023-07-14T00:00:00"/>
    <d v="2023-08-15T00:00:00"/>
    <s v="SORAL &amp; HANZLIK Medical s.r.o."/>
    <m/>
    <n v="87302"/>
    <n v="105635.42"/>
    <m/>
    <m/>
    <m/>
    <d v="2023-08-15T00:00:00"/>
    <s v="SMLN-2023-617-100439_x000a_SMLN-2023-612-100091"/>
    <x v="122"/>
  </r>
  <r>
    <d v="2023-06-27T00:00:00"/>
    <s v="VZ-2023-000830"/>
    <x v="3"/>
    <s v="Olejníček"/>
    <s v="Štýbnarová"/>
    <x v="377"/>
    <m/>
    <m/>
    <s v="podepsaná smlouva"/>
    <s v="33150000-6"/>
    <s v="2.2.570."/>
    <n v="792000"/>
    <x v="2"/>
    <d v="2023-06-30T00:00:00"/>
    <d v="2023-07-14T00:00:00"/>
    <d v="2023-07-25T00:00:00"/>
    <s v="BTL zdravotnická technika, a.s."/>
    <m/>
    <n v="772500"/>
    <n v="934725"/>
    <m/>
    <m/>
    <m/>
    <d v="2023-07-25T00:00:00"/>
    <s v="SMLN-2023-617-100408_x000a_SMLN-2023-612-100079"/>
    <x v="131"/>
  </r>
  <r>
    <d v="2023-06-27T00:00:00"/>
    <s v="VZ-2023-000833-01"/>
    <x v="0"/>
    <s v="Vondrková"/>
    <s v="Zdražilová"/>
    <x v="378"/>
    <n v="1"/>
    <s v="Albuminum humanum 5%"/>
    <s v="podepsaná smlouva"/>
    <s v="33621400-3"/>
    <m/>
    <n v="121202"/>
    <x v="0"/>
    <d v="2023-06-29T00:00:00"/>
    <d v="2023-09-29T00:00:00"/>
    <d v="2023-10-17T00:00:00"/>
    <s v="Grifols s.r.o."/>
    <m/>
    <n v="110400"/>
    <n v="121440"/>
    <m/>
    <m/>
    <m/>
    <d v="2023-10-17T00:00:00"/>
    <s v="SMLN-2023-617-100565"/>
    <x v="107"/>
  </r>
  <r>
    <d v="2023-06-27T00:00:00"/>
    <s v="VZ-2023-000833-02"/>
    <x v="0"/>
    <s v="Vondrková"/>
    <s v="Zdražilová"/>
    <x v="378"/>
    <n v="2"/>
    <s v="Albuminum humanum 20%"/>
    <s v="podepsaná smlouva"/>
    <s v="33621400-3"/>
    <m/>
    <n v="22000000"/>
    <x v="0"/>
    <d v="2023-06-29T00:00:00"/>
    <d v="2023-09-29T00:00:00"/>
    <d v="2023-10-17T00:00:00"/>
    <s v="CSL Behring s.r.o."/>
    <m/>
    <n v="17917444.5"/>
    <n v="19709188.949999999"/>
    <m/>
    <m/>
    <m/>
    <d v="2023-10-17T00:00:00"/>
    <s v="SMLN-2023-617-100566"/>
    <x v="107"/>
  </r>
  <r>
    <d v="2023-06-28T00:00:00"/>
    <s v="VZ-2023-000836"/>
    <x v="1"/>
    <s v="Svozil"/>
    <s v="Staňková"/>
    <x v="379"/>
    <m/>
    <m/>
    <s v="podepsaná smlouva"/>
    <s v="45232400-6"/>
    <m/>
    <n v="500000"/>
    <x v="2"/>
    <d v="2023-07-04T00:00:00"/>
    <d v="2023-07-19T00:00:00"/>
    <d v="2023-07-27T00:00:00"/>
    <s v="PODLAS s.r.o."/>
    <m/>
    <n v="404786"/>
    <n v="489791.06"/>
    <m/>
    <m/>
    <m/>
    <d v="2023-07-27T00:00:00"/>
    <s v="SMLN-2023-618-100044"/>
    <x v="92"/>
  </r>
  <r>
    <d v="2023-06-28T00:00:00"/>
    <s v="VZ-2023-000837-01"/>
    <x v="3"/>
    <s v="Olejníček"/>
    <s v="Kučera"/>
    <x v="380"/>
    <n v="1"/>
    <s v="I. Interní klinika - TELEMETRIE"/>
    <s v="podepsaná smlouva"/>
    <s v="33195100-4"/>
    <s v="2.2.699."/>
    <n v="6110000"/>
    <x v="0"/>
    <d v="2023-07-13T00:00:00"/>
    <d v="2023-08-15T00:00:00"/>
    <d v="2023-09-04T00:00:00"/>
    <s v="SNT Plus s.r.o."/>
    <m/>
    <n v="5983720"/>
    <n v="7240301.2000000002"/>
    <m/>
    <m/>
    <m/>
    <d v="2023-09-04T00:00:00"/>
    <s v="SMLN-2023-617-100481_x000a_SMLN-2023-612-100105"/>
    <x v="119"/>
  </r>
  <r>
    <d v="2023-06-28T00:00:00"/>
    <s v="VZ-2023-000837-02"/>
    <x v="3"/>
    <s v="Olejníček"/>
    <s v="Kučera"/>
    <x v="380"/>
    <n v="2"/>
    <s v="Monitorovací systém – Ortopedická klinika"/>
    <s v="podepsaná smlouva"/>
    <s v="33195100-4"/>
    <s v="2.2.727."/>
    <n v="2590000"/>
    <x v="0"/>
    <d v="2023-07-13T00:00:00"/>
    <d v="2023-08-15T00:00:00"/>
    <d v="2023-09-04T00:00:00"/>
    <s v="SNT Plus s.r.o."/>
    <m/>
    <n v="2410720"/>
    <n v="2916971.2"/>
    <m/>
    <m/>
    <m/>
    <d v="2023-09-04T00:00:00"/>
    <s v="SMLN-2023-617-100482_x000a_SMLN-2023-612-100106"/>
    <x v="119"/>
  </r>
  <r>
    <d v="2023-06-28T00:00:00"/>
    <s v="VZ-2023-000837-03"/>
    <x v="3"/>
    <s v="Olejníček"/>
    <s v="Kučera"/>
    <x v="380"/>
    <n v="3"/>
    <s v="Monitory vitálních funkcí – Hemato-onkologická klinika"/>
    <s v="podepsaná smlouva"/>
    <s v="33195100-4"/>
    <s v="2.3.636."/>
    <n v="712790"/>
    <x v="0"/>
    <d v="2023-07-13T00:00:00"/>
    <d v="2023-08-15T00:00:00"/>
    <d v="2023-09-04T00:00:00"/>
    <s v="CHEIRÓN a.s."/>
    <m/>
    <n v="598809.59999999998"/>
    <n v="724559.62"/>
    <m/>
    <m/>
    <m/>
    <d v="2023-09-04T00:00:00"/>
    <s v="SMLN-2023-617-100483_x000a_SMLN-2023-612-100107"/>
    <x v="119"/>
  </r>
  <r>
    <d v="2023-06-29T00:00:00"/>
    <s v="VZ-2023-000842-01"/>
    <x v="2"/>
    <s v="Valtová"/>
    <s v="Dočkal"/>
    <x v="381"/>
    <n v="1"/>
    <s v="Srdeční aortální chlopně mechanické s kavitálním pivotem"/>
    <s v="podepsaná smlouva"/>
    <s v="33182220-7"/>
    <m/>
    <n v="600000"/>
    <x v="0"/>
    <d v="2023-07-07T00:00:00"/>
    <d v="2023-08-11T00:00:00"/>
    <d v="2023-08-29T00:00:00"/>
    <s v="CARDION s.r.o."/>
    <m/>
    <n v="600000"/>
    <n v="690000"/>
    <m/>
    <m/>
    <m/>
    <d v="2023-08-29T00:00:00"/>
    <s v="SMLN-2023-617-100468_x000a_SMLN-2023-614-100038"/>
    <x v="108"/>
  </r>
  <r>
    <d v="2023-06-29T00:00:00"/>
    <s v="VZ-2023-000842-02"/>
    <x v="2"/>
    <s v="Valtová"/>
    <s v="Dočkal"/>
    <x v="381"/>
    <n v="2"/>
    <s v="Srdeční aortální chlopně mechanické pro nižší hladinu antikoagulace (INR 1,5-2)"/>
    <s v="zrušeno"/>
    <s v="33182220-7"/>
    <m/>
    <n v="992860"/>
    <x v="0"/>
    <d v="2023-07-07T00:00:00"/>
    <d v="2023-08-11T00:00:00"/>
    <m/>
    <s v="zrušeno - bez nabídky"/>
    <s v="nová VZ-2023-001035"/>
    <m/>
    <m/>
    <m/>
    <m/>
    <m/>
    <m/>
    <m/>
    <x v="10"/>
  </r>
  <r>
    <d v="2023-06-29T00:00:00"/>
    <s v="VZ-2023-000842-03"/>
    <x v="2"/>
    <s v="Valtová"/>
    <s v="Dočkal"/>
    <x v="381"/>
    <n v="3"/>
    <s v="Srdeční mitrální chlopně mechanické"/>
    <s v="podepsaná smlouva"/>
    <s v="33182220-7"/>
    <m/>
    <n v="348000"/>
    <x v="0"/>
    <d v="2023-07-07T00:00:00"/>
    <d v="2023-08-11T00:00:00"/>
    <d v="2023-08-29T00:00:00"/>
    <s v="CARDION s.r.o."/>
    <m/>
    <n v="348000"/>
    <n v="400200"/>
    <m/>
    <m/>
    <m/>
    <d v="2023-08-29T00:00:00"/>
    <s v="SMLN-2023-617-100469_x000a_SMLN-2023-614-100039"/>
    <x v="108"/>
  </r>
  <r>
    <d v="2023-06-29T00:00:00"/>
    <s v="VZ-2023-000842-04"/>
    <x v="2"/>
    <s v="Valtová"/>
    <s v="Dočkal"/>
    <x v="381"/>
    <n v="4"/>
    <s v="Srdeční aortální chlopně biologické perikardiální do větších anulů s dlouhodobou životností"/>
    <s v="podepsaná smlouva"/>
    <s v="33182220-7"/>
    <m/>
    <n v="30900000"/>
    <x v="0"/>
    <d v="2023-07-07T00:00:00"/>
    <d v="2023-08-11T00:00:00"/>
    <d v="2023-08-29T00:00:00"/>
    <s v="Edwards Lifesciences Czech Republic s.r.o. "/>
    <m/>
    <n v="30900000"/>
    <n v="35535000"/>
    <m/>
    <m/>
    <m/>
    <d v="2023-08-29T00:00:00"/>
    <s v="SMLN-2023-617-100470_x000a_SMLN-2023-614-100040"/>
    <x v="136"/>
  </r>
  <r>
    <d v="2023-06-29T00:00:00"/>
    <s v="VZ-2023-000842-05"/>
    <x v="2"/>
    <s v="Valtová"/>
    <s v="Dočkal"/>
    <x v="381"/>
    <n v="5"/>
    <s v="Srdeční mitrální chlopně biologické prasečí"/>
    <s v="podepsaná smlouva"/>
    <s v="33182220-7"/>
    <m/>
    <n v="1904000"/>
    <x v="0"/>
    <d v="2023-07-07T00:00:00"/>
    <d v="2023-08-11T00:00:00"/>
    <d v="2023-08-29T00:00:00"/>
    <s v="CARDION s.r.o."/>
    <m/>
    <n v="1904000"/>
    <n v="2189600"/>
    <m/>
    <m/>
    <m/>
    <d v="2023-08-29T00:00:00"/>
    <s v="SMLN-2023-617-100471_x000a_SMLN-2023-614-100041"/>
    <x v="108"/>
  </r>
  <r>
    <d v="2023-06-29T00:00:00"/>
    <s v="VZ-2023-000842-06"/>
    <x v="2"/>
    <s v="Valtová"/>
    <s v="Dočkal"/>
    <x v="381"/>
    <n v="6"/>
    <s v="Anuloplastické prstence semirigidní mitrální velikosti 28-40 mm"/>
    <s v="podepsaná smlouva"/>
    <s v="33182220-7"/>
    <m/>
    <n v="1914000"/>
    <x v="0"/>
    <d v="2023-07-07T00:00:00"/>
    <d v="2023-08-11T00:00:00"/>
    <d v="2023-08-29T00:00:00"/>
    <s v="Edwards Lifesciences Czech Republic s.r.o. "/>
    <m/>
    <n v="1914000"/>
    <n v="2201100"/>
    <m/>
    <m/>
    <m/>
    <d v="2023-08-29T00:00:00"/>
    <s v="SMLN-2023-617-100472_x000a_SMLN-2023-614-100042"/>
    <x v="136"/>
  </r>
  <r>
    <d v="2023-06-29T00:00:00"/>
    <s v="VZ-2023-000842-07"/>
    <x v="2"/>
    <s v="Valtová"/>
    <s v="Dočkal"/>
    <x v="381"/>
    <n v="7"/>
    <s v="Anuloplastické prstence semirigidní trikuspidální, velikosti 26-36 mm"/>
    <s v="podepsaná smlouva"/>
    <s v="33182220-7"/>
    <m/>
    <n v="1450000"/>
    <x v="0"/>
    <d v="2023-07-07T00:00:00"/>
    <d v="2023-08-11T00:00:00"/>
    <d v="2023-08-29T00:00:00"/>
    <s v="Edwards Lifesciences Czech Republic s.r.o. "/>
    <m/>
    <n v="1450000"/>
    <n v="1667500"/>
    <m/>
    <m/>
    <m/>
    <d v="2023-08-29T00:00:00"/>
    <s v="SMLN-2023-617-100473_x000a_SMLN-2023-614-100043"/>
    <x v="136"/>
  </r>
  <r>
    <d v="2023-06-29T00:00:00"/>
    <s v="VZ-2023-000842-08"/>
    <x v="2"/>
    <s v="Valtová"/>
    <s v="Dočkal"/>
    <x v="381"/>
    <n v="8"/>
    <s v="Srdeční aortální chlopně biologické perikardiální pro mladší pacienty, přizpůsobené pro budoucí &quot;valve-in-valve&quot; implantaci"/>
    <s v="podepsaná smlouva"/>
    <s v="33182220-7"/>
    <m/>
    <n v="3110400"/>
    <x v="0"/>
    <d v="2023-07-07T00:00:00"/>
    <d v="2023-08-11T00:00:00"/>
    <d v="2023-08-29T00:00:00"/>
    <s v="Edwards Lifesciences Czech Republic s.r.o. "/>
    <m/>
    <n v="3110400"/>
    <n v="3576960"/>
    <m/>
    <m/>
    <m/>
    <d v="2023-08-29T00:00:00"/>
    <s v="SMLN-2023-617-100474_x000a_SMLN-2023-614-100044"/>
    <x v="136"/>
  </r>
  <r>
    <d v="2023-06-29T00:00:00"/>
    <s v="VZ-2023-000845"/>
    <x v="0"/>
    <s v="Vlčková"/>
    <s v="Zdražilová"/>
    <x v="382"/>
    <m/>
    <m/>
    <s v="podepsaná smlouva"/>
    <s v="33622000-6"/>
    <m/>
    <n v="29920269.600000001"/>
    <x v="0"/>
    <d v="2023-07-13T00:00:00"/>
    <d v="2023-08-17T00:00:00"/>
    <d v="2023-08-29T00:00:00"/>
    <s v="Amgen s.r.o."/>
    <m/>
    <n v="29920269.600000001"/>
    <n v="32912296.559999999"/>
    <m/>
    <m/>
    <m/>
    <d v="2023-08-29T00:00:00"/>
    <s v="SMLN-2023-617-100476"/>
    <x v="141"/>
  </r>
  <r>
    <d v="2023-06-29T00:00:00"/>
    <s v="VZ-2023-000846"/>
    <x v="0"/>
    <s v="Vlčková"/>
    <s v="Zdražilová"/>
    <x v="383"/>
    <m/>
    <m/>
    <s v="podepsaná smlouva"/>
    <s v="33622000-6"/>
    <m/>
    <n v="40613907"/>
    <x v="0"/>
    <d v="2023-07-12T00:00:00"/>
    <d v="2023-08-16T00:00:00"/>
    <d v="2023-08-29T00:00:00"/>
    <s v="sanofi-aventis, s.r.o."/>
    <m/>
    <n v="40613905.439999998"/>
    <n v="44675295.979999997"/>
    <m/>
    <m/>
    <m/>
    <d v="2023-08-29T00:00:00"/>
    <s v="SMLN-2023-617-100475"/>
    <x v="141"/>
  </r>
  <r>
    <d v="2023-06-30T00:00:00"/>
    <s v="VZ-2023-000848"/>
    <x v="8"/>
    <s v="Srovnal"/>
    <s v="Staňková"/>
    <x v="384"/>
    <m/>
    <m/>
    <s v="podepsaná smlouva"/>
    <s v="45233142-6"/>
    <m/>
    <n v="1000000"/>
    <x v="2"/>
    <d v="2023-07-04T00:00:00"/>
    <d v="2023-07-21T00:00:00"/>
    <d v="2023-07-27T00:00:00"/>
    <s v="OHLA ŽS, a.s."/>
    <m/>
    <n v="460988.76"/>
    <n v="557796.4"/>
    <m/>
    <m/>
    <m/>
    <d v="2023-07-27T00:00:00"/>
    <s v="SMLN-2023-618-100045"/>
    <x v="92"/>
  </r>
  <r>
    <d v="2023-06-29T00:00:00"/>
    <s v="VZ-2023-000849"/>
    <x v="20"/>
    <s v="Kotzot"/>
    <s v="Staňková"/>
    <x v="385"/>
    <m/>
    <m/>
    <s v="podepsaná smlouva"/>
    <s v="50711000-2"/>
    <m/>
    <n v="150000"/>
    <x v="2"/>
    <d v="2023-07-13T00:00:00"/>
    <d v="2023-07-25T00:00:00"/>
    <d v="2023-07-31T00:00:00"/>
    <s v="WATTCOM s.r.o."/>
    <m/>
    <n v="150110"/>
    <n v="181633.1"/>
    <m/>
    <m/>
    <m/>
    <d v="2023-07-31T00:00:00"/>
    <s v="SMLN-2023-612-100081"/>
    <x v="131"/>
  </r>
  <r>
    <d v="2023-07-03T00:00:00"/>
    <s v="VZ-2023-000857"/>
    <x v="2"/>
    <s v="Dočkalová"/>
    <s v="Zdražilová"/>
    <x v="386"/>
    <m/>
    <m/>
    <s v="podepsaná smlouva"/>
    <s v="33140000-3"/>
    <m/>
    <n v="4788000"/>
    <x v="0"/>
    <d v="2023-07-12T00:00:00"/>
    <d v="2023-09-18T00:00:00"/>
    <d v="2023-09-29T00:00:00"/>
    <s v="Medline International CZ s.r.o."/>
    <m/>
    <n v="2988000"/>
    <n v="3615480"/>
    <m/>
    <m/>
    <m/>
    <d v="2023-09-29T00:00:00"/>
    <s v="SMLN-2023-617-100524"/>
    <x v="142"/>
  </r>
  <r>
    <d v="2023-06-30T00:00:00"/>
    <s v="VZ-2023-000858"/>
    <x v="5"/>
    <s v="Valíček"/>
    <s v="Štýbnarová"/>
    <x v="387"/>
    <m/>
    <m/>
    <s v="podepsaná smlouva"/>
    <s v="71000000-8"/>
    <s v="1.2.112."/>
    <n v="1000000"/>
    <x v="2"/>
    <d v="2023-07-13T00:00:00"/>
    <d v="2023-07-24T00:00:00"/>
    <d v="2023-08-04T00:00:00"/>
    <s v="LT PROJEKT a.s."/>
    <m/>
    <n v="349000"/>
    <n v="422290"/>
    <m/>
    <m/>
    <m/>
    <d v="2023-08-04T00:00:00"/>
    <s v="SMLN-2023-618-100048"/>
    <x v="72"/>
  </r>
  <r>
    <d v="2023-07-03T00:00:00"/>
    <s v="VZ-2023-000859"/>
    <x v="10"/>
    <s v="Kadlec"/>
    <s v="Štýbnarová"/>
    <x v="388"/>
    <m/>
    <m/>
    <s v="podepsaná smlouva"/>
    <s v="45331100-7"/>
    <m/>
    <n v="550000"/>
    <x v="2"/>
    <d v="2023-07-11T00:00:00"/>
    <d v="2023-07-24T00:00:00"/>
    <d v="2023-08-16T00:00:00"/>
    <s v="MIZ Olomouc s.r.o."/>
    <m/>
    <n v="275970"/>
    <n v="275970"/>
    <m/>
    <m/>
    <m/>
    <d v="2023-08-16T00:00:00"/>
    <s v="SMLN-2023-618-100051"/>
    <x v="122"/>
  </r>
  <r>
    <d v="2023-07-03T00:00:00"/>
    <s v="VZ-2023-000860"/>
    <x v="0"/>
    <s v="Vlčková"/>
    <s v="Bodinková"/>
    <x v="389"/>
    <m/>
    <m/>
    <s v="podepsaná smlouva"/>
    <s v="33652100-6"/>
    <m/>
    <n v="6789744"/>
    <x v="0"/>
    <d v="2023-07-13T00:00:00"/>
    <d v="2023-08-17T00:00:00"/>
    <d v="2023-09-22T00:00:00"/>
    <s v="PHOENIX lék. Velkoobchod, s.r.o."/>
    <m/>
    <n v="6789744"/>
    <n v="7468718.4000000004"/>
    <m/>
    <m/>
    <m/>
    <d v="2023-09-22T00:00:00"/>
    <s v="SMLN-2023-617-100515"/>
    <x v="136"/>
  </r>
  <r>
    <d v="2023-07-03T00:00:00"/>
    <s v="VZ-2023-000861"/>
    <x v="0"/>
    <s v="Vlčková"/>
    <s v="Bodinková"/>
    <x v="390"/>
    <m/>
    <m/>
    <s v="podepsaná smlouva"/>
    <s v="33652000-5"/>
    <m/>
    <n v="4004388"/>
    <x v="0"/>
    <d v="2023-07-13T00:00:00"/>
    <d v="2023-08-17T00:00:00"/>
    <d v="2023-09-18T00:00:00"/>
    <s v="PROMEDICA PRAHA GROUP, a.s."/>
    <m/>
    <n v="3149276.13"/>
    <n v="3464203.74"/>
    <m/>
    <m/>
    <m/>
    <d v="2023-09-18T00:00:00"/>
    <s v="SMLN-2023-617-100508"/>
    <x v="133"/>
  </r>
  <r>
    <d v="2023-07-10T00:00:00"/>
    <s v="VZ-2023-000864"/>
    <x v="3"/>
    <s v="Olejníček"/>
    <s v="Staňková"/>
    <x v="391"/>
    <m/>
    <m/>
    <s v="podepsaná smlouva"/>
    <s v="33123210-3"/>
    <s v="2.2.572."/>
    <n v="151800"/>
    <x v="2"/>
    <d v="2023-07-12T00:00:00"/>
    <d v="2023-07-24T00:00:00"/>
    <d v="2023-08-07T00:00:00"/>
    <s v="BTL zdravotnická technika, a.s."/>
    <m/>
    <n v="119500"/>
    <n v="144595"/>
    <m/>
    <m/>
    <m/>
    <d v="2023-08-07T00:00:00"/>
    <s v="SMLN-2023-612-100085_x000a_SMLN-2023-617-100422"/>
    <x v="121"/>
  </r>
  <r>
    <d v="2023-07-04T00:00:00"/>
    <s v="VZ-2023-000865-01"/>
    <x v="3"/>
    <s v="Olejníček"/>
    <s v="Kučera"/>
    <x v="392"/>
    <n v="1"/>
    <s v="Kalibrace a validace ostatních měřidel a zařízení FNoL"/>
    <s v="podepsaná smlouva"/>
    <s v="50410000-2"/>
    <m/>
    <n v="11563930"/>
    <x v="0"/>
    <d v="2023-08-01T00:00:00"/>
    <d v="2023-09-13T00:00:00"/>
    <d v="2023-10-11T00:00:00"/>
    <s v="KALIST AKL s.r.o."/>
    <m/>
    <n v="11563930"/>
    <n v="13992355.300000001"/>
    <m/>
    <m/>
    <m/>
    <d v="2023-10-11T00:00:00"/>
    <s v="SMLN-2023-612-100122_x000a_SMLN-2023-616-100038"/>
    <x v="143"/>
  </r>
  <r>
    <d v="2023-07-04T00:00:00"/>
    <s v="VZ-2023-000865-02"/>
    <x v="3"/>
    <s v="Olejníček"/>
    <s v="Kučera"/>
    <x v="392"/>
    <n v="2"/>
    <s v="Kalibrace a validace monitorovacího systému ConWin"/>
    <s v="zrušeno"/>
    <s v="50410000-2"/>
    <m/>
    <n v="6483780"/>
    <x v="0"/>
    <d v="2023-08-01T00:00:00"/>
    <d v="2023-09-13T00:00:00"/>
    <m/>
    <s v="zrušeno - překročení ceny"/>
    <s v="nová VZ-2023-001363"/>
    <m/>
    <m/>
    <m/>
    <m/>
    <m/>
    <m/>
    <m/>
    <x v="10"/>
  </r>
  <r>
    <d v="2023-07-04T00:00:00"/>
    <s v="VZ-2023-000865-03"/>
    <x v="3"/>
    <s v="Olejníček"/>
    <s v="Kučera"/>
    <x v="392"/>
    <n v="3"/>
    <s v="Monitorovací systém"/>
    <s v="podepsaná smlouva"/>
    <s v="50410000-2"/>
    <m/>
    <n v="8100000"/>
    <x v="0"/>
    <d v="2023-08-01T00:00:00"/>
    <d v="2023-09-13T00:00:00"/>
    <d v="2023-10-11T00:00:00"/>
    <s v="CONDATA s.r.o."/>
    <m/>
    <n v="7644000"/>
    <n v="9249240"/>
    <m/>
    <m/>
    <m/>
    <d v="2023-10-11T00:00:00"/>
    <s v="SMLN-2023-617-100549"/>
    <x v="144"/>
  </r>
  <r>
    <d v="2023-07-10T00:00:00"/>
    <s v="VZ-2023-000873"/>
    <x v="3"/>
    <s v="Olejníček"/>
    <s v="Štýbnarová"/>
    <x v="393"/>
    <m/>
    <m/>
    <s v="podepsaná smlouva"/>
    <s v="38510000-3"/>
    <s v="2.2.571."/>
    <n v="132000"/>
    <x v="2"/>
    <d v="2023-07-13T00:00:00"/>
    <d v="2023-07-24T00:00:00"/>
    <d v="2023-07-31T00:00:00"/>
    <s v="Evident Europe GmbH - odštěpný závod"/>
    <m/>
    <n v="131836"/>
    <n v="131836"/>
    <m/>
    <m/>
    <m/>
    <d v="2023-07-31T00:00:00"/>
    <s v="SMLN-2023-617-100417"/>
    <x v="73"/>
  </r>
  <r>
    <d v="2023-07-11T00:00:00"/>
    <s v="VZ-2023-000876"/>
    <x v="1"/>
    <s v="Svozil"/>
    <s v="Staňková"/>
    <x v="394"/>
    <m/>
    <m/>
    <s v="podepsaná smlouva"/>
    <s v="45231300-8"/>
    <m/>
    <n v="4800000"/>
    <x v="2"/>
    <d v="2023-07-17T00:00:00"/>
    <d v="2023-08-02T00:00:00"/>
    <d v="2023-08-04T00:00:00"/>
    <s v="MIZ - BMH Olomouc"/>
    <m/>
    <n v="4428130"/>
    <n v="5358038"/>
    <m/>
    <m/>
    <m/>
    <d v="2023-08-04T00:00:00"/>
    <s v="SMLN-2023-618-100049"/>
    <x v="145"/>
  </r>
  <r>
    <d v="2023-07-10T00:00:00"/>
    <s v="VZ-2023-000879"/>
    <x v="2"/>
    <s v="Dočkalová"/>
    <s v="Kučera"/>
    <x v="395"/>
    <m/>
    <m/>
    <s v="podepsaná smlouva"/>
    <s v="33140000-3"/>
    <m/>
    <n v="6438000"/>
    <x v="0"/>
    <d v="2023-08-01T00:00:00"/>
    <d v="2023-09-08T00:00:00"/>
    <d v="2024-03-28T00:00:00"/>
    <s v="PROMEDICA PRAHA GROUP, a.s."/>
    <m/>
    <n v="6864320"/>
    <n v="8305827.2000000002"/>
    <m/>
    <m/>
    <m/>
    <d v="2024-03-28T00:00:00"/>
    <s v="SMLN-2024-617-100180"/>
    <x v="71"/>
  </r>
  <r>
    <d v="2023-06-29T00:00:00"/>
    <s v="VZ-2023-000881"/>
    <x v="11"/>
    <s v="Zdráhalová"/>
    <s v="Kučera"/>
    <x v="396"/>
    <m/>
    <m/>
    <s v="zrušeno"/>
    <s v="33140000-3"/>
    <m/>
    <n v="6895252"/>
    <x v="0"/>
    <d v="2023-08-01T00:00:00"/>
    <d v="2023-09-04T00:00:00"/>
    <m/>
    <s v="zuršeno - bez hodnotitelné nabídky"/>
    <m/>
    <m/>
    <m/>
    <m/>
    <m/>
    <m/>
    <m/>
    <m/>
    <x v="10"/>
  </r>
  <r>
    <d v="2023-07-13T00:00:00"/>
    <s v="VZ-2023-000882"/>
    <x v="0"/>
    <s v="Vondrková"/>
    <s v="Bodinková"/>
    <x v="397"/>
    <m/>
    <m/>
    <s v="podepsaná smlouva"/>
    <s v="33652300-8"/>
    <m/>
    <n v="6589748"/>
    <x v="0"/>
    <d v="2023-07-17T00:00:00"/>
    <d v="2023-08-21T00:00:00"/>
    <d v="2023-08-24T00:00:00"/>
    <s v="Amgen s.r.o."/>
    <m/>
    <n v="3417776.28"/>
    <n v="3759553.91"/>
    <m/>
    <m/>
    <m/>
    <d v="2023-08-24T00:00:00"/>
    <s v="SMLN-2023-617-100462"/>
    <x v="60"/>
  </r>
  <r>
    <d v="2023-07-13T00:00:00"/>
    <s v="VZ-2023-000883"/>
    <x v="0"/>
    <s v="Vondrková"/>
    <s v="Bodinková"/>
    <x v="398"/>
    <m/>
    <m/>
    <s v="podepsaná smlouva"/>
    <s v="33652300-8"/>
    <m/>
    <n v="2950994"/>
    <x v="1"/>
    <d v="2023-07-19T00:00:00"/>
    <d v="2023-08-10T00:00:00"/>
    <d v="2023-08-23T00:00:00"/>
    <s v="PHARMOS, a.s."/>
    <m/>
    <n v="2646068.4"/>
    <n v="2910675.24"/>
    <m/>
    <m/>
    <m/>
    <d v="2023-08-23T00:00:00"/>
    <s v="SMLN-2023-617-100449"/>
    <x v="119"/>
  </r>
  <r>
    <d v="2023-07-12T00:00:00"/>
    <s v="VZ-2023-000884"/>
    <x v="19"/>
    <s v="Jeřábková"/>
    <s v="Staňková"/>
    <x v="399"/>
    <m/>
    <m/>
    <s v="podepsaná smlouva"/>
    <s v="55110000-4,55120000-"/>
    <m/>
    <n v="750000"/>
    <x v="2"/>
    <d v="2023-07-17T00:00:00"/>
    <d v="2023-07-28T00:00:00"/>
    <d v="2023-08-03T00:00:00"/>
    <s v="HOTELPARK STADION a.s."/>
    <m/>
    <n v="1009231"/>
    <n v="1134600"/>
    <m/>
    <m/>
    <m/>
    <d v="2023-08-03T00:00:00"/>
    <s v="SMLN-2023-612-100084"/>
    <x v="73"/>
  </r>
  <r>
    <d v="2023-07-19T00:00:00"/>
    <s v="VZ-2023-000896"/>
    <x v="13"/>
    <s v="Miklík"/>
    <s v="Staňková"/>
    <x v="400"/>
    <m/>
    <m/>
    <s v="podepsaná smlouva"/>
    <s v="45213252-4 "/>
    <m/>
    <n v="530000"/>
    <x v="2"/>
    <d v="2023-07-27T00:00:00"/>
    <d v="2023-08-08T00:00:00"/>
    <d v="2023-08-11T00:00:00"/>
    <s v="Altium International s.r.o."/>
    <m/>
    <n v="489888"/>
    <n v="592764.48"/>
    <m/>
    <m/>
    <m/>
    <d v="2023-08-11T00:00:00"/>
    <s v="SMLN-2023-612-100087"/>
    <x v="122"/>
  </r>
  <r>
    <d v="2023-10-23T00:00:00"/>
    <s v="VZ-2023-000897"/>
    <x v="5"/>
    <s v="Hrubý"/>
    <s v="Kučera"/>
    <x v="401"/>
    <m/>
    <m/>
    <s v="podepsaná smlouva"/>
    <s v="45213252-4"/>
    <m/>
    <n v="12000000"/>
    <x v="1"/>
    <d v="2023-11-02T00:00:00"/>
    <d v="2023-12-06T00:00:00"/>
    <d v="2023-12-13T00:00:00"/>
    <s v="OHLA ŽS, a.s."/>
    <m/>
    <n v="7252705.5899999999"/>
    <n v="8775773.7599999998"/>
    <m/>
    <m/>
    <m/>
    <d v="2023-12-13T00:00:00"/>
    <s v="SMLN-2023-618-100081"/>
    <x v="91"/>
  </r>
  <r>
    <d v="2023-07-19T00:00:00"/>
    <s v="VZ-2023-000898"/>
    <x v="8"/>
    <s v="Srovnal"/>
    <s v="Kučera"/>
    <x v="402"/>
    <m/>
    <m/>
    <s v="zrušeno"/>
    <s v="79417000-0"/>
    <m/>
    <n v="2000000"/>
    <x v="1"/>
    <d v="2023-08-01T00:00:00"/>
    <d v="2023-09-06T00:00:00"/>
    <m/>
    <s v="zrušeno"/>
    <m/>
    <m/>
    <m/>
    <m/>
    <m/>
    <m/>
    <m/>
    <m/>
    <x v="10"/>
  </r>
  <r>
    <d v="2023-07-21T00:00:00"/>
    <s v="VZ-2023-000900"/>
    <x v="13"/>
    <s v="Miklík"/>
    <s v="Kučera"/>
    <x v="403"/>
    <m/>
    <m/>
    <s v="podepsaná smlouva"/>
    <s v="72227000-2"/>
    <m/>
    <n v="1200000"/>
    <x v="2"/>
    <d v="2023-08-30T00:00:00"/>
    <d v="2023-09-11T00:00:00"/>
    <d v="2023-09-26T00:00:00"/>
    <s v="GROUWE, s.r.o."/>
    <m/>
    <n v="990000"/>
    <n v="1197900"/>
    <m/>
    <m/>
    <m/>
    <d v="2023-09-26T00:00:00"/>
    <s v="SMLN-2023-612-100115"/>
    <x v="136"/>
  </r>
  <r>
    <d v="2023-07-24T00:00:00"/>
    <s v="VZ-2023-000901-01"/>
    <x v="5"/>
    <s v="Říha"/>
    <s v="Staňková"/>
    <x v="404"/>
    <n v="1"/>
    <s v="Snížení energetické náročnosti budovy DK – objekt Q1, Q2"/>
    <s v="podepsaná smlouva"/>
    <s v="71317200-5"/>
    <s v="1.2.105"/>
    <n v="150000"/>
    <x v="2"/>
    <d v="2023-07-28T00:00:00"/>
    <d v="2023-08-08T00:00:00"/>
    <d v="2023-08-16T00:00:00"/>
    <s v="SAFETY PRO s.r.o."/>
    <m/>
    <n v="135000"/>
    <n v="163350"/>
    <m/>
    <m/>
    <m/>
    <d v="2023-08-16T00:00:00"/>
    <s v="SMLN-2023-612-100094"/>
    <x v="125"/>
  </r>
  <r>
    <d v="2023-07-24T00:00:00"/>
    <s v="VZ-2023-000901-02"/>
    <x v="5"/>
    <s v="Říha"/>
    <s v="Staňková"/>
    <x v="404"/>
    <n v="2"/>
    <s v="Snížení energetické náročnosti ubytoven YC, YD, YE"/>
    <s v="podepsaná smlouva"/>
    <s v="71317200-5"/>
    <s v="1.2.105"/>
    <n v="120000"/>
    <x v="2"/>
    <d v="2023-07-28T00:00:00"/>
    <d v="2023-08-08T00:00:00"/>
    <d v="2023-08-16T00:00:00"/>
    <s v="Berka - Stavokonzult s.r.o."/>
    <m/>
    <n v="115200"/>
    <n v="159720"/>
    <m/>
    <m/>
    <m/>
    <d v="2023-08-16T00:00:00"/>
    <s v="SMLN-2023-612-100095"/>
    <x v="102"/>
  </r>
  <r>
    <d v="2023-07-24T00:00:00"/>
    <s v="VZ-2023-000901-03"/>
    <x v="5"/>
    <s v="Říha"/>
    <s v="Staňková"/>
    <x v="404"/>
    <n v="3"/>
    <s v="Snížení energetické náročnosti ubytovny YA"/>
    <s v="podepsaná smlouva"/>
    <s v="71317200-5"/>
    <s v="1.2.105"/>
    <n v="40000"/>
    <x v="2"/>
    <d v="2023-07-28T00:00:00"/>
    <d v="2023-08-08T00:00:00"/>
    <d v="2023-08-16T00:00:00"/>
    <s v="Roman Hašek"/>
    <m/>
    <n v="28000"/>
    <n v="28000"/>
    <m/>
    <m/>
    <m/>
    <d v="2023-08-16T00:00:00"/>
    <s v="SMLN-2023-612-100096"/>
    <x v="101"/>
  </r>
  <r>
    <d v="2023-07-24T00:00:00"/>
    <s v="VZ-2023-000902-01"/>
    <x v="3"/>
    <s v="Olejníček"/>
    <s v="Zdražilová"/>
    <x v="405"/>
    <n v="1"/>
    <s v=" Mobilní operační stoly s příslušenstvím pro ORL "/>
    <s v="podepsaná smlouva"/>
    <s v="33192230-3"/>
    <s v="2.3.723"/>
    <n v="2060000"/>
    <x v="0"/>
    <d v="2023-08-01T00:00:00"/>
    <d v="2023-09-06T00:00:00"/>
    <d v="2023-10-16T00:00:00"/>
    <s v="Gettinge Czech Republic, s.r.o."/>
    <m/>
    <n v="1961272"/>
    <n v="2373139.12"/>
    <m/>
    <m/>
    <m/>
    <d v="2023-10-16T00:00:00"/>
    <s v="SMLN-2023-617-100555_x000a_SMLN-2023-612-100125"/>
    <x v="108"/>
  </r>
  <r>
    <d v="2023-07-24T00:00:00"/>
    <s v="VZ-2023-000902-02"/>
    <x v="3"/>
    <s v="Olejníček"/>
    <s v="Zdražilová"/>
    <x v="405"/>
    <n v="2"/>
    <s v="Operační stůl s příslušenstvím pro Oční kliniku"/>
    <s v="podepsaná smlouva"/>
    <s v="33192230-3"/>
    <s v="2.3.723"/>
    <n v="671160"/>
    <x v="0"/>
    <d v="2023-08-01T00:00:00"/>
    <d v="2023-09-06T00:00:00"/>
    <d v="2023-10-16T00:00:00"/>
    <s v="Videris s.r.o."/>
    <m/>
    <n v="672250"/>
    <n v="813422.5"/>
    <m/>
    <m/>
    <m/>
    <d v="2023-10-16T00:00:00"/>
    <s v="SMLN-2023-617-100556_x000a_SMLN-2023-612-100126"/>
    <x v="108"/>
  </r>
  <r>
    <d v="2023-07-25T00:00:00"/>
    <s v="VZ-2023-000906"/>
    <x v="3"/>
    <s v="Olejníček"/>
    <s v="Staňková"/>
    <x v="406"/>
    <m/>
    <m/>
    <s v="podepsaná smlouva"/>
    <s v="33154000-4"/>
    <s v="2.2.569"/>
    <n v="310000"/>
    <x v="2"/>
    <d v="2023-07-27T00:00:00"/>
    <d v="2023-08-07T00:00:00"/>
    <d v="2023-08-15T00:00:00"/>
    <s v="REPO-RECK spol. s r.o."/>
    <m/>
    <n v="301742.96000000002"/>
    <n v="365108.98"/>
    <m/>
    <m/>
    <m/>
    <d v="2023-08-15T00:00:00"/>
    <s v="SMLN-2023-617-100442_x000a_SMLN-2023-612-100092"/>
    <x v="134"/>
  </r>
  <r>
    <d v="2023-07-25T00:00:00"/>
    <s v="VZ-2023-000911"/>
    <x v="2"/>
    <s v="Valtová"/>
    <s v="Zdražilová"/>
    <x v="407"/>
    <m/>
    <m/>
    <s v="podepsaná smlouva"/>
    <s v="33140000-3"/>
    <m/>
    <n v="2967000"/>
    <x v="1"/>
    <d v="2023-08-01T00:00:00"/>
    <d v="2023-09-05T00:00:00"/>
    <d v="2023-10-16T00:00:00"/>
    <s v="INLAB s.r.o."/>
    <m/>
    <n v="2967000"/>
    <n v="3590070"/>
    <m/>
    <m/>
    <m/>
    <d v="2023-10-16T00:00:00"/>
    <s v="SMLN-2023-617-100553_x000a_SMLN-2023-614-100048"/>
    <x v="146"/>
  </r>
  <r>
    <d v="2023-07-26T00:00:00"/>
    <s v="VZ-2023-000918"/>
    <x v="3"/>
    <s v="Skulová"/>
    <s v="Staňková"/>
    <x v="408"/>
    <m/>
    <m/>
    <s v="podepsaná smlouva"/>
    <s v="33152000-0"/>
    <s v="2.3.762."/>
    <n v="379000"/>
    <x v="2"/>
    <d v="2023-08-02T00:00:00"/>
    <d v="2023-08-14T00:00:00"/>
    <d v="2023-08-30T00:00:00"/>
    <s v="SCHOELLER INSTRUMENTS, s.r.o."/>
    <m/>
    <n v="248850"/>
    <n v="301108.5"/>
    <m/>
    <m/>
    <m/>
    <d v="2023-08-30T00:00:00"/>
    <s v="SMLN-2023-617-100478_x000a_SMLN-2023-612-100103"/>
    <x v="60"/>
  </r>
  <r>
    <d v="2023-07-26T00:00:00"/>
    <s v="VZ-2023-000919"/>
    <x v="3"/>
    <s v="Skulová"/>
    <s v="Staňková"/>
    <x v="409"/>
    <m/>
    <m/>
    <s v="podepsaná smlouva"/>
    <s v="33152000-0"/>
    <s v="2.3.763."/>
    <n v="180000"/>
    <x v="2"/>
    <d v="2023-08-02T00:00:00"/>
    <d v="2023-08-22T00:00:00"/>
    <d v="2023-08-29T00:00:00"/>
    <s v="SCHOELLER INSTRUMENTS, s.r.o."/>
    <m/>
    <n v="111050"/>
    <n v="134370.5"/>
    <m/>
    <m/>
    <m/>
    <d v="2023-08-29T00:00:00"/>
    <s v="SMLN-2023-617-100477_x000a_SMLN-2023-612-100102"/>
    <x v="147"/>
  </r>
  <r>
    <d v="2023-07-27T00:00:00"/>
    <s v="VZ-2023-000925"/>
    <x v="0"/>
    <s v="Vondrková"/>
    <s v="Bodinková"/>
    <x v="410"/>
    <m/>
    <m/>
    <s v="podepsaná smlouva"/>
    <s v="33652000-5"/>
    <m/>
    <n v="32734279"/>
    <x v="0"/>
    <d v="2023-08-10T00:00:00"/>
    <d v="2023-09-15T00:00:00"/>
    <d v="2023-10-17T00:00:00"/>
    <s v="sanofi-aventis, s.r.o."/>
    <m/>
    <n v="30688488"/>
    <n v="33757336.799999997"/>
    <m/>
    <m/>
    <m/>
    <d v="2023-10-17T00:00:00"/>
    <s v="SMLN-2023-617-100564"/>
    <x v="108"/>
  </r>
  <r>
    <s v="opakovaná VZ"/>
    <s v="VZ-2023-000934-01"/>
    <x v="3"/>
    <s v="Skulová"/>
    <s v="Kučera"/>
    <x v="411"/>
    <n v="1"/>
    <s v="Laparoskopická věž"/>
    <s v="podepsaná smlouva"/>
    <s v="33168100-6"/>
    <s v="2.3.706."/>
    <n v="2220000"/>
    <x v="0"/>
    <d v="2023-08-10T00:00:00"/>
    <d v="2023-10-10T00:00:00"/>
    <d v="2023-11-14T00:00:00"/>
    <s v="OLYMPUS CZECH GROUP, s.r.o., člen koncernu"/>
    <m/>
    <n v="1914866.42"/>
    <n v="2316988.37"/>
    <m/>
    <m/>
    <m/>
    <d v="2023-11-14T00:00:00"/>
    <s v="SMLN-2023-617-100613_x000a_SMLN-2023-612-100137"/>
    <x v="68"/>
  </r>
  <r>
    <d v="2023-07-27T00:00:00"/>
    <s v="VZ-2023-000934-02"/>
    <x v="3"/>
    <s v="Skulová"/>
    <s v="Kučera"/>
    <x v="411"/>
    <n v="2"/>
    <s v="Laryngoskop"/>
    <s v="podepsaná smlouva"/>
    <s v="33168100-6"/>
    <s v="2.3.764."/>
    <n v="260000"/>
    <x v="0"/>
    <d v="2023-08-10T00:00:00"/>
    <d v="2023-10-10T00:00:00"/>
    <d v="2023-11-14T00:00:00"/>
    <s v="OLYMPUS CZECH GROUP, s.r.o., člen koncernu"/>
    <m/>
    <n v="233600"/>
    <n v="282656"/>
    <m/>
    <m/>
    <m/>
    <d v="2023-11-14T00:00:00"/>
    <s v="SMLN-2023-617-100614_x000a_SMLN-2023-612-100138"/>
    <x v="68"/>
  </r>
  <r>
    <d v="2023-07-27T00:00:00"/>
    <s v="VZ-2023-000934-03"/>
    <x v="3"/>
    <s v="Skulová"/>
    <s v="Kučera"/>
    <x v="411"/>
    <n v="3"/>
    <s v="Radiální sonda"/>
    <s v="podepsaná smlouva"/>
    <s v="33168100-6"/>
    <s v="2.3.765."/>
    <n v="228000"/>
    <x v="0"/>
    <d v="2023-08-10T00:00:00"/>
    <d v="2023-10-10T00:00:00"/>
    <d v="2023-11-14T00:00:00"/>
    <s v="OLYMPUS CZECH GROUP, s.r.o., člen koncernu"/>
    <m/>
    <n v="227144"/>
    <n v="274544.24"/>
    <m/>
    <m/>
    <m/>
    <d v="2023-11-14T00:00:00"/>
    <s v="SMLN-2023-617-100615"/>
    <x v="148"/>
  </r>
  <r>
    <d v="2023-07-31T00:00:00"/>
    <s v="VZ-2023-000935"/>
    <x v="3"/>
    <s v="Skulová"/>
    <s v="Zdražilová"/>
    <x v="412"/>
    <m/>
    <m/>
    <s v="zrušeno"/>
    <s v="33162100-4"/>
    <s v="2.3.735."/>
    <n v="253918"/>
    <x v="0"/>
    <d v="2023-08-04T00:00:00"/>
    <d v="2023-09-08T00:00:00"/>
    <m/>
    <s v="zrušeno - bez hodnotitelné nabídky"/>
    <s v="nová VZ-2023-001313"/>
    <m/>
    <m/>
    <m/>
    <m/>
    <m/>
    <m/>
    <m/>
    <x v="10"/>
  </r>
  <r>
    <d v="2023-07-31T00:00:00"/>
    <s v="VZ-2023-000937"/>
    <x v="3"/>
    <s v="Skulová"/>
    <s v="Staňková"/>
    <x v="413"/>
    <m/>
    <m/>
    <s v="podepsaná smlouva"/>
    <s v="33151400-7"/>
    <s v="2.2.575."/>
    <n v="931602"/>
    <x v="2"/>
    <d v="2023-08-04T00:00:00"/>
    <d v="2023-08-15T00:00:00"/>
    <d v="2023-08-23T00:00:00"/>
    <s v="AMEDIS, spol. s r.o."/>
    <m/>
    <n v="931600"/>
    <n v="1127236"/>
    <m/>
    <m/>
    <m/>
    <d v="2023-08-23T00:00:00"/>
    <s v="SMLN-2023-617-100457"/>
    <x v="147"/>
  </r>
  <r>
    <d v="2023-08-01T00:00:00"/>
    <s v="VZ-2023-000939-01"/>
    <x v="3"/>
    <s v="Skulová"/>
    <s v="Staňková"/>
    <x v="414"/>
    <n v="1"/>
    <s v="Motodlaha - horní končetiny"/>
    <s v="podepsaná smlouva"/>
    <s v="33154000-4"/>
    <s v="2.2.576."/>
    <n v="295000"/>
    <x v="2"/>
    <d v="2023-08-04T00:00:00"/>
    <d v="2023-08-28T00:00:00"/>
    <d v="2023-09-13T00:00:00"/>
    <s v="Fidia Pharma CZ s.r.o."/>
    <m/>
    <n v="226730"/>
    <n v="274343.3"/>
    <m/>
    <m/>
    <m/>
    <d v="2023-09-13T00:00:00"/>
    <s v="SMLN-2023-617-100500_x000a_SMLN-2023-612-100112"/>
    <x v="149"/>
  </r>
  <r>
    <d v="2023-08-01T00:00:00"/>
    <s v="VZ-2023-000939-02"/>
    <x v="3"/>
    <s v="Skulová"/>
    <s v="Staňková"/>
    <x v="414"/>
    <n v="2"/>
    <s v="Motodlahy - dolní končetiny"/>
    <s v="podepsaná smlouva"/>
    <s v="33154000-4"/>
    <s v="2.2.576."/>
    <n v="450000"/>
    <x v="2"/>
    <d v="2023-08-04T00:00:00"/>
    <d v="2023-08-28T00:00:00"/>
    <d v="2023-09-13T00:00:00"/>
    <s v="Fidia Pharma CZ s.r.o."/>
    <m/>
    <n v="304230"/>
    <n v="368118.3"/>
    <m/>
    <m/>
    <m/>
    <d v="2023-09-13T00:00:00"/>
    <s v="SMLN-2023-617-100501_x000a_SMLN-2023-612-100112"/>
    <x v="149"/>
  </r>
  <r>
    <s v="opakovaná VZ"/>
    <s v="VZ-2023-000940-01"/>
    <x v="3"/>
    <s v="Skulová"/>
    <s v="Zdražilová"/>
    <x v="415"/>
    <n v="1"/>
    <s v="Lehátka pro Radiologickou kliniku II."/>
    <s v="podepsaná smlouva"/>
    <s v="33192160-1"/>
    <s v="2.3.758."/>
    <n v="309978"/>
    <x v="0"/>
    <d v="2023-09-14T00:00:00"/>
    <d v="2023-10-19T00:00:00"/>
    <d v="2024-01-02T00:00:00"/>
    <s v="MeMed CZ s.r.o."/>
    <m/>
    <n v="293658"/>
    <n v="355326.18"/>
    <m/>
    <m/>
    <m/>
    <d v="2024-01-02T00:00:00"/>
    <s v="SMLN-2024-617-100001_x000a_SMLN-2024-612-100001"/>
    <x v="150"/>
  </r>
  <r>
    <d v="2023-08-01T00:00:00"/>
    <s v="VZ-2023-000940-02"/>
    <x v="3"/>
    <s v="Skulová"/>
    <s v="Zdražilová"/>
    <x v="415"/>
    <n v="2"/>
    <s v="Lehátka pro odd. rehabilitace"/>
    <s v="zrušeno"/>
    <s v="33192160-1"/>
    <s v="2.2.577."/>
    <n v="368000"/>
    <x v="0"/>
    <d v="2023-09-14T00:00:00"/>
    <d v="2023-10-19T00:00:00"/>
    <m/>
    <s v="zrušeno - bez hodnotitelné nabídky"/>
    <s v="nová VZ-2023-001406"/>
    <m/>
    <m/>
    <m/>
    <m/>
    <m/>
    <m/>
    <m/>
    <x v="10"/>
  </r>
  <r>
    <s v="opakovaná VZ"/>
    <s v="VZ-2023-000940-03"/>
    <x v="3"/>
    <s v="Skulová"/>
    <s v="Zdražilová"/>
    <x v="415"/>
    <n v="3"/>
    <s v="Komfortní transportní vícesegmentová lehátka ll"/>
    <s v="podepsaná smlouva"/>
    <s v="33192160-1"/>
    <s v="2.3.714."/>
    <n v="338000"/>
    <x v="0"/>
    <d v="2023-09-14T00:00:00"/>
    <d v="2023-10-19T00:00:00"/>
    <d v="2024-01-02T00:00:00"/>
    <s v="L I N E T spol. s r.o."/>
    <m/>
    <n v="268720"/>
    <n v="325151.2"/>
    <m/>
    <m/>
    <m/>
    <d v="2024-01-02T00:00:00"/>
    <s v="SMLN-2024-617-100002_x000a_SMLN-2024-612-100002"/>
    <x v="151"/>
  </r>
  <r>
    <d v="2023-08-02T00:00:00"/>
    <s v="VZ-2023-000948"/>
    <x v="0"/>
    <s v="Vlčková"/>
    <s v="Bodinková"/>
    <x v="416"/>
    <m/>
    <m/>
    <s v="podepsaná smlouva"/>
    <s v="33652000-5"/>
    <m/>
    <n v="4103368"/>
    <x v="0"/>
    <d v="2023-08-16T00:00:00"/>
    <d v="2023-09-20T00:00:00"/>
    <d v="2023-10-17T00:00:00"/>
    <s v="Alliance Healthcare s.r.o."/>
    <m/>
    <n v="4103367.84"/>
    <n v="4513704.62"/>
    <m/>
    <m/>
    <m/>
    <d v="2023-10-17T00:00:00"/>
    <s v="SMLN-2023-617-100567"/>
    <x v="108"/>
  </r>
  <r>
    <d v="2023-08-02T00:00:00"/>
    <s v="VZ-2023-000949"/>
    <x v="0"/>
    <s v="Vlčková"/>
    <s v="Bodinková"/>
    <x v="417"/>
    <m/>
    <m/>
    <s v="zrušeno"/>
    <s v="24965000-6"/>
    <m/>
    <n v="9322134"/>
    <x v="0"/>
    <d v="2023-08-16T00:00:00"/>
    <d v="2023-09-21T00:00:00"/>
    <m/>
    <s v="zrušeno - bez nabídky"/>
    <m/>
    <m/>
    <m/>
    <m/>
    <m/>
    <m/>
    <m/>
    <m/>
    <x v="10"/>
  </r>
  <r>
    <d v="2023-07-31T00:00:00"/>
    <s v="VZ-2023-000955"/>
    <x v="2"/>
    <s v="Dočkalová"/>
    <s v="Zdražilová"/>
    <x v="418"/>
    <m/>
    <m/>
    <s v="podepsaná smlouva"/>
    <s v="33162200-5"/>
    <m/>
    <n v="800000"/>
    <x v="0"/>
    <d v="2023-08-15T00:00:00"/>
    <d v="2023-10-09T00:00:00"/>
    <d v="2023-10-19T00:00:00"/>
    <s v="B. Braun Medical s.r.o."/>
    <m/>
    <n v="793366"/>
    <n v="959972.86"/>
    <m/>
    <m/>
    <m/>
    <d v="2023-10-19T00:00:00"/>
    <s v="SMLN-2023-617-100573"/>
    <x v="117"/>
  </r>
  <r>
    <d v="2023-08-08T00:00:00"/>
    <s v="VZ-2023-000959"/>
    <x v="21"/>
    <s v="Skulová"/>
    <s v="Staňková"/>
    <x v="419"/>
    <m/>
    <m/>
    <s v="podepsaná smlouva"/>
    <s v="33152000-0"/>
    <m/>
    <n v="50000"/>
    <x v="2"/>
    <d v="2023-08-14T00:00:00"/>
    <d v="2023-08-28T00:00:00"/>
    <d v="2023-09-04T00:00:00"/>
    <s v="SCHOELLER INSTRUMENTS, s.r.o."/>
    <m/>
    <n v="66850"/>
    <n v="80888.5"/>
    <m/>
    <m/>
    <m/>
    <d v="2023-09-04T00:00:00"/>
    <s v="SMLN-2023-617-100484_x000a_SMLN-2023-612-100108"/>
    <x v="87"/>
  </r>
  <r>
    <d v="2023-08-08T00:00:00"/>
    <s v="VZ-2023-000967"/>
    <x v="2"/>
    <s v="Dočkalová"/>
    <s v="Zdražilová"/>
    <x v="420"/>
    <m/>
    <m/>
    <s v="podepsaná smlouva"/>
    <s v="33162200-5"/>
    <m/>
    <n v="1344600"/>
    <x v="0"/>
    <d v="2023-08-15T00:00:00"/>
    <d v="2023-10-30T00:00:00"/>
    <d v="2024-01-12T00:00:00"/>
    <s v="MEDIN, a.s."/>
    <m/>
    <n v="459472.18"/>
    <n v="555961.34"/>
    <m/>
    <m/>
    <m/>
    <d v="2024-01-12T00:00:00"/>
    <s v="SMLN-2024-617-100019"/>
    <x v="152"/>
  </r>
  <r>
    <d v="2023-08-07T00:00:00"/>
    <s v="VZ-2023-000968"/>
    <x v="2"/>
    <s v="Valtová"/>
    <s v="Zdražilová"/>
    <x v="421"/>
    <m/>
    <m/>
    <s v="podepsaná smlouva"/>
    <s v="33140000-3"/>
    <m/>
    <n v="2625000"/>
    <x v="1"/>
    <d v="2023-08-28T00:00:00"/>
    <d v="2023-10-11T00:00:00"/>
    <d v="2023-10-19T00:00:00"/>
    <s v="Medtronic Czechia s.r.o."/>
    <m/>
    <n v="2625000"/>
    <n v="3176250"/>
    <m/>
    <m/>
    <m/>
    <d v="2023-10-19T00:00:00"/>
    <s v="SMLN-2023-617-100574_x000a_SMLN-2023-614-100050"/>
    <x v="153"/>
  </r>
  <r>
    <d v="2023-08-07T00:00:00"/>
    <s v="VZ-2023-000969-01"/>
    <x v="2"/>
    <s v="Dočkalová"/>
    <s v="Zdražilová"/>
    <x v="422"/>
    <n v="1"/>
    <s v="Porty venózní implantabilní"/>
    <s v="podepsaná smlouva"/>
    <s v="33140000-3"/>
    <m/>
    <n v="815720"/>
    <x v="0"/>
    <d v="2023-08-30T00:00:00"/>
    <d v="2023-10-12T00:00:00"/>
    <d v="2023-10-24T00:00:00"/>
    <s v="ASQA a.s."/>
    <m/>
    <n v="964000"/>
    <n v="1108600"/>
    <m/>
    <m/>
    <m/>
    <d v="2023-10-24T00:00:00"/>
    <s v="SMLN-2023-617-100576"/>
    <x v="154"/>
  </r>
  <r>
    <d v="2023-08-07T00:00:00"/>
    <s v="VZ-2023-000969-02"/>
    <x v="2"/>
    <s v="Dočkalová"/>
    <s v="Zdražilová"/>
    <x v="422"/>
    <n v="2"/>
    <s v="Porty venózní implantabilní vysokotlaké"/>
    <s v="podepsaná smlouva"/>
    <s v="33140000-3"/>
    <m/>
    <n v="6822400"/>
    <x v="0"/>
    <d v="2023-08-30T00:00:00"/>
    <d v="2023-10-12T00:00:00"/>
    <d v="2023-10-24T00:00:00"/>
    <s v="ASQA a.s."/>
    <m/>
    <n v="7968000"/>
    <n v="9163200"/>
    <m/>
    <m/>
    <m/>
    <d v="2023-10-24T00:00:00"/>
    <s v="SMLN-2023-617-100578"/>
    <x v="154"/>
  </r>
  <r>
    <d v="2023-08-09T00:00:00"/>
    <s v="VZ-2023-000973-01"/>
    <x v="0"/>
    <s v="Vlčková"/>
    <s v="Bodinková"/>
    <x v="423"/>
    <n v="1"/>
    <s v="Salmeterol a flutikason I."/>
    <s v="podepsaná smlouva"/>
    <s v="33670000-7"/>
    <m/>
    <n v="1370541"/>
    <x v="0"/>
    <d v="2023-09-13T00:00:00"/>
    <d v="2023-11-27T00:00:00"/>
    <d v="2024-01-03T00:00:00"/>
    <s v="Alliance Healthcare s.r.o."/>
    <m/>
    <n v="753795.33"/>
    <n v="829174.86"/>
    <m/>
    <m/>
    <m/>
    <d v="2024-01-03T00:00:00"/>
    <s v="SMLN-2024-617-100006"/>
    <x v="155"/>
  </r>
  <r>
    <d v="2023-08-09T00:00:00"/>
    <s v="VZ-2023-000973-02"/>
    <x v="0"/>
    <s v="Vlčková"/>
    <s v="Bodinková"/>
    <x v="423"/>
    <n v="2"/>
    <s v="Salmeterol a flutikason II."/>
    <s v="zrušeno"/>
    <s v="33670000-7"/>
    <m/>
    <n v="31400"/>
    <x v="0"/>
    <d v="2023-09-13T00:00:00"/>
    <d v="2023-11-27T00:00:00"/>
    <d v="2024-01-03T00:00:00"/>
    <s v="zrušeno - neposkytnutí součinnosti k uzavření smlouvy"/>
    <m/>
    <n v="24020.76"/>
    <n v="26442.84"/>
    <m/>
    <m/>
    <m/>
    <d v="2024-01-03T00:00:00"/>
    <s v="SMLN-2024-617-100007"/>
    <x v="10"/>
  </r>
  <r>
    <d v="2023-08-09T00:00:00"/>
    <s v="VZ-2023-000973-03"/>
    <x v="0"/>
    <s v="Vlčková"/>
    <s v="Bodinková"/>
    <x v="423"/>
    <n v="3"/>
    <s v="Salmeterol a flutikason III."/>
    <s v="podepsaná smlouva"/>
    <s v="33670000-7"/>
    <m/>
    <n v="14660"/>
    <x v="0"/>
    <d v="2023-09-13T00:00:00"/>
    <d v="2023-11-27T00:00:00"/>
    <d v="2024-01-03T00:00:00"/>
    <s v="PHOENIX lék. Velkoobchod, s.r.o."/>
    <m/>
    <n v="9245.1"/>
    <n v="10169.61"/>
    <m/>
    <m/>
    <m/>
    <d v="2024-01-03T00:00:00"/>
    <s v="SMLN-2024-617-100008"/>
    <x v="155"/>
  </r>
  <r>
    <d v="2023-08-09T00:00:00"/>
    <s v="VZ-2023-000973-04"/>
    <x v="0"/>
    <s v="Vlčková"/>
    <s v="Bodinková"/>
    <x v="423"/>
    <n v="4"/>
    <s v="Salmeterol a flutikason IV."/>
    <s v="podepsaná smlouva"/>
    <s v="33670000-7"/>
    <m/>
    <n v="434483"/>
    <x v="0"/>
    <d v="2023-09-13T00:00:00"/>
    <d v="2023-11-27T00:00:00"/>
    <d v="2024-01-03T00:00:00"/>
    <s v="Alliance Healthcare s.r.o."/>
    <m/>
    <n v="399361.38"/>
    <n v="439297.52"/>
    <m/>
    <m/>
    <m/>
    <d v="2024-01-03T00:00:00"/>
    <s v="SMLN-2024-617-100010"/>
    <x v="155"/>
  </r>
  <r>
    <d v="2023-08-09T00:00:00"/>
    <s v="VZ-2023-000973-05"/>
    <x v="0"/>
    <s v="Vlčková"/>
    <s v="Bodinková"/>
    <x v="423"/>
    <n v="5"/>
    <s v="Salmeterol a flutikason V."/>
    <s v="podepsaná smlouva"/>
    <s v="33670000-7"/>
    <m/>
    <n v="2080000"/>
    <x v="0"/>
    <d v="2023-09-13T00:00:00"/>
    <d v="2023-11-27T00:00:00"/>
    <d v="2024-01-03T00:00:00"/>
    <s v="PHOENIX lék. Velkoobchod, s.r.o."/>
    <m/>
    <n v="920843.88"/>
    <n v="1012928.27"/>
    <m/>
    <m/>
    <m/>
    <d v="2024-01-03T00:00:00"/>
    <s v="SMLN-2024-617-100009"/>
    <x v="155"/>
  </r>
  <r>
    <d v="2023-08-09T00:00:00"/>
    <s v="VZ-2023-000973-06"/>
    <x v="0"/>
    <s v="Vlčková"/>
    <s v="Bodinková"/>
    <x v="423"/>
    <n v="6"/>
    <s v="Salmeterol a flutikason VI."/>
    <s v="zrušeno"/>
    <s v="33670000-7"/>
    <m/>
    <n v="3365"/>
    <x v="0"/>
    <d v="2023-09-13T00:00:00"/>
    <d v="2023-11-27T00:00:00"/>
    <m/>
    <s v="zrušeno - bez nabídky"/>
    <m/>
    <m/>
    <m/>
    <m/>
    <m/>
    <m/>
    <m/>
    <m/>
    <x v="10"/>
  </r>
  <r>
    <d v="2023-08-09T00:00:00"/>
    <s v="VZ-2023-000974"/>
    <x v="0"/>
    <s v="Vondrková"/>
    <s v="Bodinková"/>
    <x v="424"/>
    <m/>
    <m/>
    <s v="podepsaná smlouva"/>
    <s v="33652200-7"/>
    <m/>
    <n v="9589350"/>
    <x v="0"/>
    <d v="2023-09-15T00:00:00"/>
    <d v="2023-11-07T00:00:00"/>
    <d v="2023-11-23T00:00:00"/>
    <s v="Alliance Healthcare s.r.o."/>
    <m/>
    <n v="9458550"/>
    <n v="10404405"/>
    <m/>
    <m/>
    <m/>
    <d v="2023-11-23T00:00:00"/>
    <s v="SMLN-2023-617-100638"/>
    <x v="68"/>
  </r>
  <r>
    <d v="2023-08-09T00:00:00"/>
    <s v="VZ-2023-000976"/>
    <x v="0"/>
    <s v="Vondrková"/>
    <s v="Bodinková"/>
    <x v="425"/>
    <m/>
    <m/>
    <s v="podepsaná smlouva"/>
    <s v="33652300-8"/>
    <m/>
    <n v="4931993"/>
    <x v="0"/>
    <d v="2023-09-08T00:00:00"/>
    <d v="2023-11-06T00:00:00"/>
    <d v="2023-11-22T00:00:00"/>
    <s v="PHOENIX lék. velkoobchod, s.r.o."/>
    <m/>
    <n v="4923713.5199999996"/>
    <n v="5416084.8700000001"/>
    <m/>
    <m/>
    <m/>
    <d v="2023-11-22T00:00:00"/>
    <s v="SMLN-2023-617-100634"/>
    <x v="151"/>
  </r>
  <r>
    <d v="2023-08-09T00:00:00"/>
    <s v="VZ-2023-000979"/>
    <x v="2"/>
    <s v="Valtová"/>
    <s v="Zdražilová"/>
    <x v="426"/>
    <m/>
    <m/>
    <s v="zrušeno"/>
    <s v="33140000-3"/>
    <m/>
    <n v="3080000"/>
    <x v="0"/>
    <d v="2023-08-15T00:00:00"/>
    <d v="2023-10-06T00:00:00"/>
    <m/>
    <s v="zrušeno - oprava zadání"/>
    <s v="nová VZ-2023-001088"/>
    <m/>
    <m/>
    <m/>
    <m/>
    <m/>
    <m/>
    <m/>
    <x v="10"/>
  </r>
  <r>
    <d v="2023-08-10T00:00:00"/>
    <s v="VZ-2023-000980"/>
    <x v="11"/>
    <s v="Zdráhalová"/>
    <s v="Kučera"/>
    <x v="427"/>
    <m/>
    <m/>
    <s v="podepsaná smlouva"/>
    <s v="39120000-9 "/>
    <m/>
    <n v="5716780"/>
    <x v="0"/>
    <d v="2023-08-15T00:00:00"/>
    <d v="2023-10-04T00:00:00"/>
    <d v="2023-10-06T00:00:00"/>
    <s v="BRANTAL, spol. s r.o."/>
    <m/>
    <n v="4891940"/>
    <n v="5919247.4000000004"/>
    <m/>
    <m/>
    <m/>
    <d v="2023-10-06T00:00:00"/>
    <s v="SMLN-2023-618-100058"/>
    <x v="153"/>
  </r>
  <r>
    <d v="2023-08-07T00:00:00"/>
    <s v="VZ-2023-000981"/>
    <x v="2"/>
    <s v="Dočkalová"/>
    <s v="Štýbnarová"/>
    <x v="428"/>
    <m/>
    <m/>
    <s v="podepsaná smlouva"/>
    <s v="33140000-3"/>
    <m/>
    <n v="1462000"/>
    <x v="2"/>
    <d v="2023-08-14T00:00:00"/>
    <d v="2023-08-25T00:00:00"/>
    <d v="2023-08-30T00:00:00"/>
    <s v="medisap, s.r.o."/>
    <m/>
    <n v="1643960"/>
    <n v="1989191.6"/>
    <m/>
    <m/>
    <m/>
    <d v="2023-08-30T00:00:00"/>
    <s v="SMLN-2023-617-100479"/>
    <x v="147"/>
  </r>
  <r>
    <d v="2023-08-07T00:00:00"/>
    <s v="VZ-2023-000985"/>
    <x v="20"/>
    <s v="Kotzot"/>
    <s v="Štýbnarová"/>
    <x v="429"/>
    <m/>
    <m/>
    <s v="podepsaná smlouva"/>
    <s v="50413200-5"/>
    <m/>
    <n v="290000"/>
    <x v="2"/>
    <d v="2023-08-22T00:00:00"/>
    <d v="2023-09-04T00:00:00"/>
    <d v="2023-09-21T00:00:00"/>
    <s v="PREPO - TEAM s.r.o."/>
    <m/>
    <s v="jednotkové ceny"/>
    <s v="jednotkové ceny"/>
    <m/>
    <m/>
    <m/>
    <d v="2023-09-21T00:00:00"/>
    <s v="SMLN-2023-612-100114"/>
    <x v="119"/>
  </r>
  <r>
    <d v="2023-08-10T00:00:00"/>
    <s v="VZ-2023-000988"/>
    <x v="3"/>
    <s v="Skulová"/>
    <s v="Kučera"/>
    <x v="430"/>
    <m/>
    <m/>
    <s v="podepsaná smlouva"/>
    <s v="33192120-9"/>
    <s v="2.2.579."/>
    <n v="1972105"/>
    <x v="0"/>
    <d v="2023-08-22T00:00:00"/>
    <d v="2023-09-29T00:00:00"/>
    <d v="2023-10-12T00:00:00"/>
    <s v="L I N E T spol. s r.o."/>
    <m/>
    <n v="1789862"/>
    <n v="2076707.3"/>
    <m/>
    <m/>
    <m/>
    <d v="2023-10-12T00:00:00"/>
    <s v="SMLN-2023-617-100550_x000a_SMLN-2023-612-100123"/>
    <x v="144"/>
  </r>
  <r>
    <d v="2023-08-09T00:00:00"/>
    <s v="VZ-2023-000990-01"/>
    <x v="2"/>
    <s v="Valtová"/>
    <s v="Štýbnarová"/>
    <x v="431"/>
    <n v="1"/>
    <s v="Cystotom Sonda Cysto-Gastro EndoFlex 6 Fr"/>
    <s v="zrušeno"/>
    <s v="33140000-3"/>
    <m/>
    <n v="47200"/>
    <x v="2"/>
    <d v="2023-08-23T00:00:00"/>
    <d v="2023-09-04T00:00:00"/>
    <m/>
    <s v="zrušeno - oprava zadání"/>
    <s v="nová VZ-2023-001052-01"/>
    <m/>
    <m/>
    <m/>
    <m/>
    <m/>
    <m/>
    <m/>
    <x v="10"/>
  </r>
  <r>
    <d v="2023-08-09T00:00:00"/>
    <s v="VZ-2023-000990-02"/>
    <x v="2"/>
    <s v="Valtová"/>
    <s v="Štýbnarová"/>
    <x v="431"/>
    <n v="2"/>
    <s v="Cystotom Sonda Cysto-Gastro EndoFlex 8,5 Fr"/>
    <s v="zrušeno"/>
    <s v="33140000-3"/>
    <m/>
    <n v="65600"/>
    <x v="2"/>
    <d v="2023-08-23T00:00:00"/>
    <d v="2023-09-04T00:00:00"/>
    <m/>
    <s v="zrušeno - oprava zadání"/>
    <s v="nová VZ-2023-001052-02"/>
    <m/>
    <m/>
    <m/>
    <m/>
    <m/>
    <m/>
    <m/>
    <x v="10"/>
  </r>
  <r>
    <d v="2023-08-09T00:00:00"/>
    <s v="VZ-2023-000990-03"/>
    <x v="2"/>
    <s v="Valtová"/>
    <s v="Štýbnarová"/>
    <x v="431"/>
    <n v="3"/>
    <s v="Cystotom Sonda Cysto-Gastro EndoFlex 10 Fr"/>
    <s v="zrušeno"/>
    <s v="33140000-3"/>
    <m/>
    <n v="424000"/>
    <x v="2"/>
    <d v="2023-08-23T00:00:00"/>
    <d v="2023-09-04T00:00:00"/>
    <m/>
    <s v="zrušeno - oprava zadání"/>
    <s v="nová VZ-2023-001052-03"/>
    <m/>
    <m/>
    <m/>
    <m/>
    <m/>
    <m/>
    <m/>
    <x v="10"/>
  </r>
  <r>
    <d v="2023-08-11T00:00:00"/>
    <s v="VZ-2023-000993"/>
    <x v="5"/>
    <s v="Spáčil"/>
    <s v="Kučera"/>
    <x v="432"/>
    <m/>
    <m/>
    <s v="podepsaná smlouva"/>
    <s v="71000000-8 "/>
    <m/>
    <n v="25000000"/>
    <x v="0"/>
    <d v="2023-08-16T00:00:00"/>
    <d v="2023-10-19T00:00:00"/>
    <d v="2023-11-03T00:00:00"/>
    <s v="LT PROJEKT a.s."/>
    <m/>
    <n v="17480000"/>
    <n v="21150800"/>
    <m/>
    <m/>
    <m/>
    <d v="2023-11-03T00:00:00"/>
    <s v="SMLN-2023-618-100066"/>
    <x v="156"/>
  </r>
  <r>
    <d v="2023-08-16T00:00:00"/>
    <s v="VZ-2023-001009"/>
    <x v="0"/>
    <s v="Vondrková"/>
    <s v="Bodinková"/>
    <x v="433"/>
    <m/>
    <m/>
    <s v="podepsaná smlouva"/>
    <s v="33652000-5"/>
    <m/>
    <n v="12611812"/>
    <x v="0"/>
    <d v="2023-08-22T00:00:00"/>
    <d v="2023-10-05T00:00:00"/>
    <d v="2023-10-17T00:00:00"/>
    <s v="Alliance Healthcare s.r.o."/>
    <m/>
    <n v="12611810.16"/>
    <n v="13872991.18"/>
    <m/>
    <m/>
    <m/>
    <d v="2023-10-17T00:00:00"/>
    <s v="SMLN-2023-617-100563"/>
    <x v="153"/>
  </r>
  <r>
    <d v="2023-08-16T00:00:00"/>
    <s v="VZ-2023-001010"/>
    <x v="0"/>
    <s v="Vondrková"/>
    <s v="Bodinková"/>
    <x v="434"/>
    <m/>
    <m/>
    <s v="podepsaná smlouva"/>
    <s v="33652000-5"/>
    <m/>
    <n v="15606000"/>
    <x v="0"/>
    <d v="2023-08-22T00:00:00"/>
    <d v="2023-09-27T00:00:00"/>
    <d v="2023-10-17T00:00:00"/>
    <s v="Alliance Healthcare s.r.o."/>
    <m/>
    <n v="15606000"/>
    <n v="17166600"/>
    <m/>
    <m/>
    <m/>
    <d v="2023-10-17T00:00:00"/>
    <s v="SMLN-2023-617-100560"/>
    <x v="108"/>
  </r>
  <r>
    <d v="2023-08-16T00:00:00"/>
    <s v="VZ-2023-001011-01"/>
    <x v="0"/>
    <s v="Vondrková"/>
    <s v="Bodinková"/>
    <x v="435"/>
    <n v="1"/>
    <s v="Botulotoxinum typ A I."/>
    <s v="podepsaná smlouva"/>
    <s v="33632200-1"/>
    <m/>
    <n v="294044"/>
    <x v="0"/>
    <d v="2023-08-22T00:00:00"/>
    <d v="2023-09-27T00:00:00"/>
    <d v="2023-10-17T00:00:00"/>
    <s v="PHOENIX lék. velkoobchod, s.r.o."/>
    <m/>
    <n v="292121.58"/>
    <n v="321333.74"/>
    <m/>
    <m/>
    <m/>
    <d v="2023-10-17T00:00:00"/>
    <s v="SMLN-2023-617-100561"/>
    <x v="139"/>
  </r>
  <r>
    <d v="2023-08-16T00:00:00"/>
    <s v="VZ-2023-001011-02"/>
    <x v="0"/>
    <s v="Vondrková"/>
    <s v="Bodinková"/>
    <x v="435"/>
    <n v="2"/>
    <s v="Botulotoxinum typ A II."/>
    <s v="podepsaná smlouva"/>
    <s v="33632200-1"/>
    <m/>
    <n v="15136688"/>
    <x v="0"/>
    <d v="2023-08-22T00:00:00"/>
    <d v="2023-09-27T00:00:00"/>
    <d v="2023-10-17T00:00:00"/>
    <s v="PHOENIX lék. velkoobchod, s.r.o."/>
    <m/>
    <n v="15130662.359999999"/>
    <n v="16643728.6"/>
    <m/>
    <m/>
    <m/>
    <d v="2023-10-17T00:00:00"/>
    <s v="SMLN-2023-617-100562"/>
    <x v="139"/>
  </r>
  <r>
    <d v="2023-08-17T00:00:00"/>
    <s v="VZ-2023-001015-01"/>
    <x v="0"/>
    <s v="Vondrková"/>
    <s v="Bodinková"/>
    <x v="436"/>
    <n v="1"/>
    <s v="AZATHIOPRIN"/>
    <s v="podepsaná smlouva"/>
    <s v="33652300-8"/>
    <m/>
    <n v="997344"/>
    <x v="0"/>
    <d v="2023-09-06T00:00:00"/>
    <d v="2023-10-11T00:00:00"/>
    <d v="2023-11-01T00:00:00"/>
    <s v="PHOENIX lék. velkoobchod, s.r.o."/>
    <m/>
    <n v="827878.62"/>
    <n v="910666.48"/>
    <m/>
    <m/>
    <m/>
    <d v="2023-11-01T00:00:00"/>
    <s v="SMLN-2023-617-100592"/>
    <x v="70"/>
  </r>
  <r>
    <d v="2023-08-17T00:00:00"/>
    <s v="VZ-2023-001015-02"/>
    <x v="0"/>
    <s v="Vondrková"/>
    <s v="Bodinková"/>
    <x v="436"/>
    <n v="2"/>
    <s v="THALIDOMID"/>
    <s v="zrušeno"/>
    <s v="33652300-8"/>
    <m/>
    <n v="1354252"/>
    <x v="0"/>
    <d v="2023-09-06T00:00:00"/>
    <d v="2023-10-11T00:00:00"/>
    <m/>
    <s v="zrušeno -bez nabídky"/>
    <m/>
    <m/>
    <m/>
    <m/>
    <m/>
    <m/>
    <m/>
    <m/>
    <x v="10"/>
  </r>
  <r>
    <d v="2023-08-17T00:00:00"/>
    <s v="VZ-2023-001015-03"/>
    <x v="0"/>
    <s v="Vondrková"/>
    <s v="Bodinková"/>
    <x v="436"/>
    <n v="3"/>
    <s v="METHOTREXAT I."/>
    <s v="podepsaná smlouva"/>
    <s v="33652300-8"/>
    <m/>
    <n v="4681908"/>
    <x v="0"/>
    <d v="2023-09-06T00:00:00"/>
    <d v="2023-10-11T00:00:00"/>
    <d v="2023-11-01T00:00:00"/>
    <s v="PHOENIX lék. velkoobchod, s.r.o."/>
    <m/>
    <n v="4671008.9400000004"/>
    <n v="5138109.83"/>
    <m/>
    <m/>
    <m/>
    <d v="2023-11-01T00:00:00"/>
    <s v="SMLN-2023-617-100593"/>
    <x v="70"/>
  </r>
  <r>
    <d v="2023-08-17T00:00:00"/>
    <s v="VZ-2023-001015-04"/>
    <x v="0"/>
    <s v="Vondrková"/>
    <s v="Bodinková"/>
    <x v="436"/>
    <n v="4"/>
    <s v="METHOTREXAT II."/>
    <s v="podepsaná smlouva"/>
    <s v="33652300-8"/>
    <m/>
    <n v="689873"/>
    <x v="0"/>
    <d v="2023-09-06T00:00:00"/>
    <d v="2023-10-11T00:00:00"/>
    <d v="2023-11-01T00:00:00"/>
    <s v="Alliance Healthcare s.r.o."/>
    <m/>
    <n v="636181.5"/>
    <n v="699799.65"/>
    <m/>
    <m/>
    <m/>
    <d v="2023-11-01T00:00:00"/>
    <s v="SMLN-2023-617-100594"/>
    <x v="70"/>
  </r>
  <r>
    <d v="2023-08-18T00:00:00"/>
    <s v="VZ-2023-001018-01"/>
    <x v="3"/>
    <s v="Skulová"/>
    <s v="Kučera"/>
    <x v="437"/>
    <n v="1"/>
    <s v="Ústav imunologie"/>
    <s v="zrušeno"/>
    <s v="39711100-0"/>
    <s v="2.2.552."/>
    <n v="267934"/>
    <x v="1"/>
    <d v="2023-08-28T00:00:00"/>
    <d v="2023-09-18T00:00:00"/>
    <m/>
    <s v="zrušeno - bez nabídky"/>
    <s v="nová VZ-2023-001153"/>
    <m/>
    <m/>
    <m/>
    <m/>
    <m/>
    <m/>
    <m/>
    <x v="10"/>
  </r>
  <r>
    <d v="2023-08-18T00:00:00"/>
    <s v="VZ-2023-001018-02"/>
    <x v="3"/>
    <s v="Skulová"/>
    <s v="Kučera"/>
    <x v="437"/>
    <n v="2"/>
    <s v="Oddělení rehabilitace"/>
    <s v="podepsaná smlouva"/>
    <s v="39711100-0"/>
    <s v="2.2.580."/>
    <n v="54600"/>
    <x v="1"/>
    <d v="2023-08-28T00:00:00"/>
    <d v="2023-09-18T00:00:00"/>
    <d v="2023-10-02T00:00:00"/>
    <s v="SCHOELLER INSTRUMENTS, s.r.o."/>
    <m/>
    <n v="60140"/>
    <n v="7276940"/>
    <m/>
    <m/>
    <m/>
    <d v="2023-10-02T00:00:00"/>
    <s v="SMLN-2023-617-100526_x000a_SMLN-2023-612-100118"/>
    <x v="79"/>
  </r>
  <r>
    <d v="2023-08-18T00:00:00"/>
    <s v="VZ-2023-001018-03"/>
    <x v="3"/>
    <s v="Skulová"/>
    <s v="Kučera"/>
    <x v="437"/>
    <n v="3"/>
    <s v=" III. Interní klinika"/>
    <s v="podepsaná smlouva"/>
    <s v="39711100-0"/>
    <s v="2.3.767."/>
    <n v="75000"/>
    <x v="1"/>
    <d v="2023-08-28T00:00:00"/>
    <d v="2023-09-18T00:00:00"/>
    <d v="2023-10-02T00:00:00"/>
    <s v="SCHOELLER INSTRUMENTS, s.r.o."/>
    <m/>
    <n v="83000"/>
    <n v="100430"/>
    <m/>
    <m/>
    <m/>
    <d v="2023-10-02T00:00:00"/>
    <s v="SMLN-2023-617-100527_x000a_SMLN-2023-612-100119"/>
    <x v="79"/>
  </r>
  <r>
    <d v="2023-08-18T00:00:00"/>
    <s v="VZ-2023-001021"/>
    <x v="3"/>
    <s v="Skulová"/>
    <s v="Štýbnarová"/>
    <x v="438"/>
    <m/>
    <m/>
    <s v="zrušeno"/>
    <s v="48180000-3"/>
    <s v="2.2.574."/>
    <n v="310000"/>
    <x v="2"/>
    <d v="2023-08-23T00:00:00"/>
    <d v="2023-09-08T00:00:00"/>
    <m/>
    <s v="zrušeno - oprava zadání"/>
    <s v="nová VZ-2023-001105"/>
    <m/>
    <m/>
    <m/>
    <m/>
    <m/>
    <m/>
    <m/>
    <x v="10"/>
  </r>
  <r>
    <d v="2023-08-14T00:00:00"/>
    <s v="VZ-2023-001023"/>
    <x v="2"/>
    <s v="Dočkalová"/>
    <s v="Zdražilová"/>
    <x v="439"/>
    <m/>
    <m/>
    <s v="podepsaná smlouva"/>
    <s v="33162200-5"/>
    <m/>
    <n v="837000"/>
    <x v="0"/>
    <d v="2023-08-24T00:00:00"/>
    <d v="2023-09-29T00:00:00"/>
    <d v="2024-01-12T00:00:00"/>
    <s v="Perfect Distribution a.s."/>
    <m/>
    <n v="763430"/>
    <n v="923750.3"/>
    <m/>
    <m/>
    <m/>
    <d v="2024-01-12T00:00:00"/>
    <s v="SMLN-2024-617-100021"/>
    <x v="157"/>
  </r>
  <r>
    <d v="2023-08-21T00:00:00"/>
    <s v="VZ-2023-001029"/>
    <x v="3"/>
    <s v="Skulová"/>
    <s v="Staňková"/>
    <x v="440"/>
    <m/>
    <m/>
    <s v="podepsaná smlouva"/>
    <s v="33169000-2"/>
    <s v="2.2.523."/>
    <n v="1133250"/>
    <x v="2"/>
    <d v="2023-08-23T00:00:00"/>
    <d v="2023-09-11T00:00:00"/>
    <d v="2023-10-10T00:00:00"/>
    <s v="Medtronic Czechia s.r.o."/>
    <m/>
    <n v="1042852"/>
    <n v="1261850.92"/>
    <m/>
    <m/>
    <m/>
    <d v="2023-10-10T00:00:00"/>
    <s v="SMLN-2023-617-100543"/>
    <x v="136"/>
  </r>
  <r>
    <d v="2023-08-21T00:00:00"/>
    <s v="VZ-2023-001031-01"/>
    <x v="3"/>
    <s v="Skulová"/>
    <s v="Kučera"/>
    <x v="441"/>
    <n v="1"/>
    <s v="UZV včetně příslušenství "/>
    <s v="podepsaná smlouva"/>
    <s v="33124120-2"/>
    <s v="2.2.581."/>
    <n v="1390000"/>
    <x v="0"/>
    <d v="2023-09-04T00:00:00"/>
    <d v="2023-10-10T00:00:00"/>
    <d v="2023-11-03T00:00:00"/>
    <s v="NIMOTECH, s.r.o."/>
    <m/>
    <n v="1189345.5"/>
    <n v="1439108.06"/>
    <m/>
    <m/>
    <m/>
    <d v="2023-11-03T00:00:00"/>
    <s v="SMLN-2023-617-100597_x000a_SMLN-2023-612-100133"/>
    <x v="158"/>
  </r>
  <r>
    <d v="2023-08-21T00:00:00"/>
    <s v="VZ-2023-001031-02"/>
    <x v="3"/>
    <s v="Skulová"/>
    <s v="Kučera"/>
    <x v="441"/>
    <n v="2"/>
    <s v="Kardiologická sonda"/>
    <s v="podepsaná smlouva"/>
    <s v="33124120-2"/>
    <s v="2.2.582."/>
    <n v="140000"/>
    <x v="0"/>
    <d v="2023-09-04T00:00:00"/>
    <d v="2023-10-10T00:00:00"/>
    <d v="2023-11-03T00:00:00"/>
    <s v="Electric Medical Service, s.r.o."/>
    <m/>
    <n v="140000"/>
    <n v="169400"/>
    <m/>
    <m/>
    <m/>
    <d v="2023-11-03T00:00:00"/>
    <s v="SMLN-2023-617-100598"/>
    <x v="143"/>
  </r>
  <r>
    <d v="2023-08-21T00:00:00"/>
    <s v="VZ-2023-001033"/>
    <x v="3"/>
    <s v="Skulová"/>
    <s v="Štýbnarová"/>
    <x v="442"/>
    <m/>
    <m/>
    <s v="podepsaná smlouva"/>
    <s v="33155000-1"/>
    <s v="2.3.654."/>
    <n v="196500"/>
    <x v="2"/>
    <d v="2023-08-23T00:00:00"/>
    <d v="2023-09-05T00:00:00"/>
    <d v="2023-09-27T00:00:00"/>
    <s v="COMPEK MEDICAL SERVICES, s.r.o."/>
    <m/>
    <n v="175095.03"/>
    <n v="211864.99"/>
    <m/>
    <m/>
    <m/>
    <d v="2023-09-27T00:00:00"/>
    <s v="SMLN-2023-617-100522_x000a_SMLN-2023-612-100117"/>
    <x v="119"/>
  </r>
  <r>
    <s v="opakovaná VZ"/>
    <s v="VZ-2023-001035"/>
    <x v="2"/>
    <s v="Valtová"/>
    <s v="Dočkal"/>
    <x v="443"/>
    <m/>
    <m/>
    <s v="podepsaná smlouva"/>
    <s v="33182220-7"/>
    <m/>
    <n v="992860"/>
    <x v="0"/>
    <d v="2023-08-31T00:00:00"/>
    <d v="2023-10-05T00:00:00"/>
    <d v="2023-10-17T00:00:00"/>
    <s v="MEDITRADE spol. s r.o."/>
    <m/>
    <n v="992860"/>
    <n v="1141789"/>
    <m/>
    <m/>
    <m/>
    <d v="2023-10-17T00:00:00"/>
    <s v="SMLN-2023-617-100568_x000a_SMLN-2023-614-100049"/>
    <x v="116"/>
  </r>
  <r>
    <d v="2023-08-21T00:00:00"/>
    <s v="VZ-2023-001038-01"/>
    <x v="3"/>
    <s v="Skulová"/>
    <s v="Kučera"/>
    <x v="444"/>
    <n v="1"/>
    <s v="Akumulátorová souprava"/>
    <s v="zrušeno"/>
    <s v="33162100-4"/>
    <s v="2.2.583."/>
    <n v="683565"/>
    <x v="0"/>
    <d v="2023-09-08T00:00:00"/>
    <d v="2023-11-02T00:00:00"/>
    <m/>
    <s v="zrušeno - neekonomická nabídka"/>
    <m/>
    <n v="1150865"/>
    <n v="1392546.65"/>
    <m/>
    <m/>
    <m/>
    <m/>
    <m/>
    <x v="10"/>
  </r>
  <r>
    <d v="2023-08-21T00:00:00"/>
    <s v="VZ-2023-001038-02"/>
    <x v="3"/>
    <s v="Skulová"/>
    <s v="Kučera"/>
    <x v="444"/>
    <n v="2"/>
    <s v="Modulární bateriová vrtačka"/>
    <s v="zrušeno"/>
    <s v="33162100-4"/>
    <s v="2.2.532."/>
    <n v="521738"/>
    <x v="0"/>
    <d v="2023-09-08T00:00:00"/>
    <d v="2023-11-02T00:00:00"/>
    <m/>
    <s v="zrušeno - neekonomická nabídka"/>
    <m/>
    <n v="1076896"/>
    <n v="1303044.1599999999"/>
    <m/>
    <m/>
    <m/>
    <m/>
    <m/>
    <x v="10"/>
  </r>
  <r>
    <d v="2023-08-22T00:00:00"/>
    <s v="VZ-2023-001042"/>
    <x v="2"/>
    <s v="Čech"/>
    <s v="Dočkal"/>
    <x v="445"/>
    <m/>
    <m/>
    <s v="podepsaná smlouva"/>
    <s v="33140000-3"/>
    <m/>
    <n v="10780000"/>
    <x v="0"/>
    <d v="2023-09-21T00:00:00"/>
    <d v="2023-10-31T00:00:00"/>
    <d v="2023-11-14T00:00:00"/>
    <s v="GioMed Group s.r.o."/>
    <m/>
    <n v="10780000"/>
    <n v="13043800"/>
    <m/>
    <m/>
    <m/>
    <d v="2023-11-14T00:00:00"/>
    <s v="SMLN-2023-617-100619_x000a_SMLN-2023-614-100056"/>
    <x v="159"/>
  </r>
  <r>
    <s v="opakovaná VZ"/>
    <s v="VZ-2023-001052-01"/>
    <x v="2"/>
    <s v="Valtová"/>
    <s v="Štýbnarová"/>
    <x v="446"/>
    <n v="1"/>
    <s v="Cystotom Sonda Cysto-Gastro 6 Fr"/>
    <s v="podepsaná smlouva"/>
    <s v="33140000-3"/>
    <m/>
    <n v="47200"/>
    <x v="2"/>
    <d v="2023-08-30T00:00:00"/>
    <d v="2023-09-11T00:00:00"/>
    <d v="2023-10-05T00:00:00"/>
    <s v="INLAB s.r.o."/>
    <m/>
    <n v="47200"/>
    <n v="57112"/>
    <m/>
    <m/>
    <m/>
    <d v="2023-10-05T00:00:00"/>
    <s v="SMLN-2023-617-100537_x000a_SMLN-2023-614-100045"/>
    <x v="138"/>
  </r>
  <r>
    <s v="opakovaná VZ"/>
    <s v="VZ-2023-001052-02"/>
    <x v="2"/>
    <s v="Valtová"/>
    <s v="Štýbnarová"/>
    <x v="446"/>
    <n v="2"/>
    <s v="Cystotom Sonda Cysto-Gastro 8,5 Fr"/>
    <s v="podepsaná smlouva"/>
    <s v="33140000-3"/>
    <m/>
    <n v="65600"/>
    <x v="2"/>
    <d v="2023-08-30T00:00:00"/>
    <d v="2023-09-11T00:00:00"/>
    <d v="2023-10-05T00:00:00"/>
    <s v="INLAB s.r.o."/>
    <m/>
    <n v="64800"/>
    <n v="78408"/>
    <m/>
    <m/>
    <m/>
    <d v="2023-10-05T00:00:00"/>
    <s v="SMLN-2023-617-100538_x000a_SMLN-2023-614-100046"/>
    <x v="138"/>
  </r>
  <r>
    <s v="opakovaná VZ"/>
    <s v="VZ-2023-001052-03"/>
    <x v="2"/>
    <s v="Valtová"/>
    <s v="Štýbnarová"/>
    <x v="446"/>
    <n v="3"/>
    <s v="Cystotom Sonda Cysto-Gastro 10 Fr"/>
    <s v="podepsaná smlouva"/>
    <s v="33140000-3"/>
    <m/>
    <n v="424000"/>
    <x v="2"/>
    <d v="2023-08-30T00:00:00"/>
    <d v="2023-09-11T00:00:00"/>
    <d v="2023-10-05T00:00:00"/>
    <s v="INLAB s.r.o."/>
    <m/>
    <n v="415200"/>
    <n v="502392"/>
    <m/>
    <m/>
    <m/>
    <d v="2023-10-05T00:00:00"/>
    <s v="SMLN-2023-617-100539_x000a_SMLN-2023-614-100047"/>
    <x v="138"/>
  </r>
  <r>
    <d v="2023-08-23T00:00:00"/>
    <s v="VZ-2023-001054-01"/>
    <x v="2"/>
    <s v="Valtová"/>
    <s v="Zdražilová"/>
    <x v="447"/>
    <n v="1"/>
    <s v="Jehly endosonografické FNA, FNB"/>
    <s v="zrušeno"/>
    <s v="33140000-3"/>
    <m/>
    <n v="2988000"/>
    <x v="0"/>
    <d v="2023-08-30T00:00:00"/>
    <d v="2023-10-04T00:00:00"/>
    <m/>
    <s v="zrušeno - bude rozděleno na dvě  části"/>
    <s v="VZ-2023-001253"/>
    <m/>
    <m/>
    <m/>
    <m/>
    <m/>
    <m/>
    <m/>
    <x v="10"/>
  </r>
  <r>
    <d v="2023-08-23T00:00:00"/>
    <s v="VZ-2023-001054-02"/>
    <x v="2"/>
    <s v="Valtová"/>
    <s v="Zdražilová"/>
    <x v="447"/>
    <n v="2"/>
    <s v="Jehly endosonografické ECHO"/>
    <s v="zrušeno"/>
    <s v="33140000-3"/>
    <m/>
    <n v="400909"/>
    <x v="0"/>
    <d v="2023-08-30T00:00:00"/>
    <d v="2023-10-04T00:00:00"/>
    <m/>
    <s v="zrušeno - bez nabídky"/>
    <s v="VZ-2023-001253"/>
    <m/>
    <m/>
    <m/>
    <m/>
    <m/>
    <m/>
    <m/>
    <x v="10"/>
  </r>
  <r>
    <d v="2023-08-23T00:00:00"/>
    <s v="VZ-2023-001055"/>
    <x v="5"/>
    <s v="Langer"/>
    <s v="Staňková"/>
    <x v="448"/>
    <m/>
    <m/>
    <s v="podepsaná smlouva"/>
    <s v="45215100-8"/>
    <s v="1.2.99."/>
    <n v="2000000"/>
    <x v="2"/>
    <d v="2023-08-29T00:00:00"/>
    <d v="2023-09-11T00:00:00"/>
    <d v="2023-09-21T00:00:00"/>
    <s v="BDC Development s.r.o."/>
    <m/>
    <n v="1999189.41"/>
    <n v="2419019.19"/>
    <m/>
    <m/>
    <m/>
    <d v="2023-09-21T00:00:00"/>
    <s v="SMLN-2023-618-100056"/>
    <x v="138"/>
  </r>
  <r>
    <d v="2023-08-24T00:00:00"/>
    <s v="VZ-2023-001057"/>
    <x v="8"/>
    <s v="Svozil"/>
    <s v="Staňková"/>
    <x v="449"/>
    <m/>
    <m/>
    <s v="podepsaná smlouva"/>
    <s v="45232400-6"/>
    <m/>
    <n v="1200000"/>
    <x v="2"/>
    <d v="2023-08-29T00:00:00"/>
    <d v="2023-09-12T00:00:00"/>
    <d v="2023-09-14T00:00:00"/>
    <s v="VHT Vodohospodářské technologie s.r.o."/>
    <m/>
    <n v="1350016.09"/>
    <n v="1633519.47"/>
    <m/>
    <m/>
    <m/>
    <d v="2023-09-14T00:00:00"/>
    <s v="SMLN-2023-618-100055"/>
    <x v="119"/>
  </r>
  <r>
    <d v="2023-08-25T00:00:00"/>
    <s v="VZ-2023-001059-01"/>
    <x v="0"/>
    <s v="Vondrková"/>
    <s v="Bodinková"/>
    <x v="450"/>
    <n v="1"/>
    <s v="INFLIXIMAB  I."/>
    <s v="podepsaná smlouva"/>
    <s v="33652300-8"/>
    <m/>
    <n v="43229000"/>
    <x v="0"/>
    <d v="2023-09-07T00:00:00"/>
    <d v="2023-10-17T00:00:00"/>
    <d v="2023-11-09T00:00:00"/>
    <s v="PHOENIX lék. velkoobchod, s.r.o."/>
    <m/>
    <n v="42495040"/>
    <n v="46744544"/>
    <m/>
    <m/>
    <m/>
    <d v="2023-11-09T00:00:00"/>
    <s v="SMLN-2023-617-100607"/>
    <x v="70"/>
  </r>
  <r>
    <d v="2023-08-25T00:00:00"/>
    <s v="VZ-2023-001059-02"/>
    <x v="0"/>
    <s v="Vondrková"/>
    <s v="Bodinková"/>
    <x v="450"/>
    <n v="2"/>
    <s v="INFLIXIMAB  II."/>
    <s v="podepsaná smlouva"/>
    <s v="33652300-8"/>
    <m/>
    <n v="18921200"/>
    <x v="0"/>
    <d v="2023-09-07T00:00:00"/>
    <d v="2023-10-17T00:00:00"/>
    <d v="2023-11-09T00:00:00"/>
    <s v="PHOENIX lék. velkoobchod, s.r.o."/>
    <m/>
    <n v="18550000"/>
    <n v="20405000"/>
    <m/>
    <m/>
    <m/>
    <d v="2023-11-09T00:00:00"/>
    <s v="SMLN-2023-617-100608"/>
    <x v="70"/>
  </r>
  <r>
    <d v="2023-08-25T00:00:00"/>
    <s v="VZ-2023-001060"/>
    <x v="0"/>
    <s v="Vondrková"/>
    <s v="Bodinková"/>
    <x v="451"/>
    <m/>
    <m/>
    <s v="podepsaná smlouva"/>
    <s v="33642000-2"/>
    <m/>
    <n v="5741712"/>
    <x v="0"/>
    <d v="2023-09-01T00:00:00"/>
    <d v="2023-11-30T00:00:00"/>
    <d v="2023-12-20T00:00:00"/>
    <s v="VIVAX Management (CZ), s.r.o."/>
    <m/>
    <n v="5741673.1200000001"/>
    <n v="6315840"/>
    <m/>
    <m/>
    <m/>
    <d v="2023-12-20T00:00:00"/>
    <s v="SMLN-2023-617-100689"/>
    <x v="160"/>
  </r>
  <r>
    <d v="2023-08-25T00:00:00"/>
    <s v="VZ-2023-001061"/>
    <x v="0"/>
    <s v="Vondrková"/>
    <s v="Bodinková"/>
    <x v="452"/>
    <m/>
    <m/>
    <s v="podepsaná smlouva"/>
    <s v="33652300-8"/>
    <m/>
    <n v="4314889"/>
    <x v="0"/>
    <d v="2023-08-31T00:00:00"/>
    <d v="2023-10-20T00:00:00"/>
    <d v="2023-11-14T00:00:00"/>
    <s v="PHOENIX lék. velkoobchod, s.r.o."/>
    <m/>
    <n v="4314888.5999999996"/>
    <n v="4746377.46"/>
    <m/>
    <m/>
    <m/>
    <d v="2023-11-14T00:00:00"/>
    <s v="SMLN-2023-617-100620"/>
    <x v="117"/>
  </r>
  <r>
    <d v="2023-08-25T00:00:00"/>
    <s v="VZ-2023-001062"/>
    <x v="0"/>
    <s v="Vondrková"/>
    <s v="Bodinková"/>
    <x v="453"/>
    <m/>
    <m/>
    <s v="zrušeno"/>
    <s v="33642200-4"/>
    <m/>
    <n v="6251618"/>
    <x v="0"/>
    <d v="2023-09-06T00:00:00"/>
    <d v="2023-10-11T00:00:00"/>
    <m/>
    <s v="zrušeno - bez nabídky"/>
    <m/>
    <m/>
    <m/>
    <m/>
    <m/>
    <m/>
    <m/>
    <m/>
    <x v="10"/>
  </r>
  <r>
    <d v="2023-08-25T00:00:00"/>
    <s v="VZ-2023-001063"/>
    <x v="0"/>
    <s v="Vondrková"/>
    <s v="Bodinková"/>
    <x v="454"/>
    <m/>
    <m/>
    <s v="podepsaná smlouva"/>
    <s v="33652100-6"/>
    <m/>
    <n v="5939532"/>
    <x v="0"/>
    <d v="2023-08-30T00:00:00"/>
    <d v="2023-10-13T00:00:00"/>
    <s v="22.11.20223"/>
    <s v="Bristol-Myers Squibb spol. s r.o."/>
    <m/>
    <n v="5909884.7400000002"/>
    <n v="6500873.21"/>
    <m/>
    <m/>
    <m/>
    <d v="2023-11-22T00:00:00"/>
    <s v="SMLN-2023-617-100633"/>
    <x v="161"/>
  </r>
  <r>
    <d v="2023-08-28T00:00:00"/>
    <s v="VZ-2023-001065"/>
    <x v="0"/>
    <s v="Vlčková"/>
    <s v="Bodinková"/>
    <x v="455"/>
    <m/>
    <m/>
    <s v="podepsaná smlouva"/>
    <s v="33652000-5"/>
    <m/>
    <n v="3313902"/>
    <x v="1"/>
    <d v="2023-08-31T00:00:00"/>
    <d v="2023-09-22T00:00:00"/>
    <d v="2023-10-06T00:00:00"/>
    <s v="ViaPharma s.r.o."/>
    <m/>
    <n v="3054645"/>
    <n v="3360109.5"/>
    <m/>
    <m/>
    <m/>
    <d v="2023-10-06T00:00:00"/>
    <s v="SMLN-2023-617-100541"/>
    <x v="107"/>
  </r>
  <r>
    <d v="2023-08-28T00:00:00"/>
    <s v="VZ-2023-001067"/>
    <x v="0"/>
    <s v="Vlčková"/>
    <s v="Bodinková"/>
    <x v="456"/>
    <m/>
    <m/>
    <s v="podepsaná smlouva"/>
    <s v="09343000-5"/>
    <m/>
    <n v="15874704"/>
    <x v="0"/>
    <d v="2023-10-18T00:00:00"/>
    <d v="2023-11-22T00:00:00"/>
    <d v="2023-12-06T00:00:00"/>
    <s v="M.G.P. spol. s r.o."/>
    <m/>
    <n v="15874704"/>
    <n v="17462174.399999999"/>
    <m/>
    <m/>
    <m/>
    <d v="2023-12-06T00:00:00"/>
    <s v="SMLN-2023-617-100664"/>
    <x v="162"/>
  </r>
  <r>
    <s v="opakovaná VZ"/>
    <s v="VZ-2023-001071"/>
    <x v="0"/>
    <s v="Vlčková"/>
    <s v="Bodinková"/>
    <x v="457"/>
    <m/>
    <m/>
    <s v="podepsaná smlouva"/>
    <s v="33631600-8"/>
    <m/>
    <n v="1399800"/>
    <x v="0"/>
    <d v="2023-10-04T00:00:00"/>
    <d v="2023-11-08T00:00:00"/>
    <d v="2023-12-12T00:00:00"/>
    <s v="Suppmed s.r.o."/>
    <m/>
    <n v="1399800"/>
    <n v="1693758"/>
    <m/>
    <m/>
    <m/>
    <d v="2023-12-12T00:00:00"/>
    <s v="SMLN-2023-617-100675"/>
    <x v="163"/>
  </r>
  <r>
    <d v="2023-08-30T00:00:00"/>
    <s v="VZ-2023-001076-01"/>
    <x v="3"/>
    <s v="Skulová"/>
    <s v="Staňková"/>
    <x v="458"/>
    <n v="1"/>
    <s v="Automatické počítadlo buněk"/>
    <s v="podepsaná smlouva"/>
    <s v="38300000-8"/>
    <s v="2.2.551."/>
    <n v="140000"/>
    <x v="2"/>
    <d v="2023-09-05T00:00:00"/>
    <d v="2023-09-15T00:00:00"/>
    <d v="2023-10-10T00:00:00"/>
    <s v="BIO-RAD spol. s r.o."/>
    <m/>
    <n v="108305"/>
    <n v="131049.05"/>
    <m/>
    <m/>
    <m/>
    <d v="2023-10-10T00:00:00"/>
    <s v="SMLN-2023-617-100544_x000a_SMLN-2023-612-100121_x000a_SMLN-2023-617-100545"/>
    <x v="108"/>
  </r>
  <r>
    <d v="2023-08-30T00:00:00"/>
    <s v="VZ-2023-001076-02"/>
    <x v="3"/>
    <s v="Skulová"/>
    <s v="Staňková"/>
    <x v="458"/>
    <n v="2"/>
    <s v="Fluorescenční cellomete"/>
    <s v="zrušeno"/>
    <s v="38300000-8"/>
    <s v="2.2.573."/>
    <n v="620000"/>
    <x v="2"/>
    <d v="2023-09-05T00:00:00"/>
    <d v="2023-09-15T00:00:00"/>
    <m/>
    <s v="zrušeno - bez hodnotitelné nabídky"/>
    <s v="nová VZ-2023-001232"/>
    <m/>
    <m/>
    <m/>
    <m/>
    <m/>
    <m/>
    <m/>
    <x v="10"/>
  </r>
  <r>
    <d v="2023-08-29T00:00:00"/>
    <s v="VZ-2023-001077"/>
    <x v="2"/>
    <s v="Dočkalová"/>
    <s v="Štýbnarová"/>
    <x v="459"/>
    <m/>
    <m/>
    <s v="podepsaná smlouva"/>
    <s v="33140000-3"/>
    <m/>
    <n v="670284"/>
    <x v="2"/>
    <d v="2023-09-05T00:00:00"/>
    <d v="2023-09-18T00:00:00"/>
    <d v="2023-10-03T00:00:00"/>
    <s v="Surgipa Medical, spol. s r.o."/>
    <m/>
    <n v="710752"/>
    <n v="860009.89"/>
    <m/>
    <m/>
    <m/>
    <d v="2023-10-03T00:00:00"/>
    <s v="SMLN-2023-617-100534_x000a_SMLN-2023-612-100120"/>
    <x v="138"/>
  </r>
  <r>
    <d v="2023-08-31T00:00:00"/>
    <s v="VZ-2023-001080"/>
    <x v="3"/>
    <s v="Skulová"/>
    <s v="Staňková"/>
    <x v="460"/>
    <m/>
    <m/>
    <s v="podepsaná smlouva"/>
    <s v="33000000-0"/>
    <s v="2.2.584."/>
    <n v="35000"/>
    <x v="2"/>
    <d v="2023-09-05T00:00:00"/>
    <d v="2023-10-02T00:00:00"/>
    <d v="2023-10-06T00:00:00"/>
    <s v="Petr Kubálek"/>
    <m/>
    <n v="35000"/>
    <n v="42350"/>
    <m/>
    <m/>
    <m/>
    <d v="2023-10-06T00:00:00"/>
    <s v="SMLN-2023-617-100540"/>
    <x v="164"/>
  </r>
  <r>
    <d v="2023-08-18T00:00:00"/>
    <s v="VZ-2023-001085"/>
    <x v="8"/>
    <s v="Srovnal"/>
    <s v="Staňková"/>
    <x v="461"/>
    <m/>
    <m/>
    <s v="podepsaná smlouva"/>
    <s v="50334400-9"/>
    <s v="4.2.205."/>
    <n v="500000"/>
    <x v="2"/>
    <d v="2023-09-08T00:00:00"/>
    <d v="2023-09-19T00:00:00"/>
    <d v="2023-10-11T00:00:00"/>
    <s v="CODACO ELECTRONIC s.r.o."/>
    <m/>
    <n v="476264.15"/>
    <n v="576279.62"/>
    <m/>
    <m/>
    <m/>
    <d v="2023-10-11T00:00:00"/>
    <s v="SMLN-2023-617-100542"/>
    <x v="136"/>
  </r>
  <r>
    <d v="2023-09-04T00:00:00"/>
    <s v="VZ-2023-001086-01"/>
    <x v="2"/>
    <s v="Valtová"/>
    <s v="Dočkal"/>
    <x v="462"/>
    <n v="1"/>
    <s v="Balónek dilatační jícnový pro ERCP"/>
    <s v="podepsaná smlouva"/>
    <s v="33140000-3"/>
    <m/>
    <n v="3900000"/>
    <x v="0"/>
    <d v="2023-10-13T00:00:00"/>
    <d v="2023-11-20T00:00:00"/>
    <d v="2023-11-29T00:00:00"/>
    <s v="Boston Scientific Česká republika s.r.o."/>
    <m/>
    <n v="3890000"/>
    <n v="4706900"/>
    <m/>
    <m/>
    <m/>
    <d v="2023-11-29T00:00:00"/>
    <s v="SMLN-2023-617-100649_x000a_SMLN-2023-614-100058"/>
    <x v="162"/>
  </r>
  <r>
    <d v="2023-09-04T00:00:00"/>
    <s v="VZ-2023-001086-02"/>
    <x v="2"/>
    <s v="Valtová"/>
    <s v="Dočkal"/>
    <x v="462"/>
    <n v="2"/>
    <s v="Balónek dilatační biliární pro ERCP"/>
    <s v="podepsaná smlouva"/>
    <s v="33140000-3"/>
    <m/>
    <n v="780000"/>
    <x v="0"/>
    <d v="2023-10-13T00:00:00"/>
    <d v="2023-11-20T00:00:00"/>
    <d v="2023-11-29T00:00:00"/>
    <s v="Boston Scientific Česká republika s.r.o."/>
    <m/>
    <n v="778000"/>
    <n v="941380"/>
    <m/>
    <m/>
    <m/>
    <d v="2023-11-29T00:00:00"/>
    <s v="SMLN-2023-617-100650_x000a_SMLN-2023-614-100059"/>
    <x v="162"/>
  </r>
  <r>
    <s v="VZ-2023-000554-01"/>
    <s v="VZ-2023-001087"/>
    <x v="0"/>
    <s v="Vlčková"/>
    <s v="Bodinková"/>
    <x v="463"/>
    <m/>
    <m/>
    <s v="podepsaná smlouva"/>
    <s v="33692800-5"/>
    <m/>
    <n v="6522548"/>
    <x v="0"/>
    <d v="2023-09-29T00:00:00"/>
    <d v="2023-11-02T00:00:00"/>
    <d v="2023-11-22T00:00:00"/>
    <s v="Baxter Czech spol. s r.o."/>
    <m/>
    <n v="6522540.0899999999"/>
    <n v="7174794.0999999996"/>
    <m/>
    <m/>
    <m/>
    <d v="2023-11-22T00:00:00"/>
    <s v="SMLN-2023-617-100632"/>
    <x v="165"/>
  </r>
  <r>
    <s v="VZ-2023-000979"/>
    <s v="VZ-2023-001088-01"/>
    <x v="2"/>
    <s v="Valtová"/>
    <s v="Dočkal"/>
    <x v="464"/>
    <n v="1"/>
    <s v="Drát vodící endoskopický pro ERCP - rovný"/>
    <s v="podepsaná smlouva"/>
    <s v="33140000-3"/>
    <m/>
    <n v="2640000"/>
    <x v="0"/>
    <d v="2023-09-22T00:00:00"/>
    <d v="2023-10-30T00:00:00"/>
    <d v="2023-11-30T00:00:00"/>
    <s v="Medinet s.r.o."/>
    <m/>
    <n v="1546800"/>
    <n v="1871628"/>
    <m/>
    <m/>
    <m/>
    <d v="2023-11-30T00:00:00"/>
    <s v="SMLN-2023-617-100656_x000a_SMLN-2023-614-100060"/>
    <x v="166"/>
  </r>
  <r>
    <s v="VZ-2023-000979"/>
    <s v="VZ-2023-001088-02"/>
    <x v="2"/>
    <s v="Valtová"/>
    <s v="Dočkal"/>
    <x v="464"/>
    <n v="2"/>
    <s v="Drát vodící endoskopický pro ERCP - zahnutý"/>
    <s v="podepsaná smlouva"/>
    <s v="33140000-3"/>
    <m/>
    <n v="440000"/>
    <x v="0"/>
    <d v="2023-09-22T00:00:00"/>
    <d v="2023-10-30T00:00:00"/>
    <d v="2023-11-30T00:00:00"/>
    <s v="Medinet s.r.o."/>
    <m/>
    <n v="257800"/>
    <n v="311938"/>
    <m/>
    <m/>
    <m/>
    <d v="2023-11-30T00:00:00"/>
    <s v="SMLN-2023-617-100657_x000a_SMLN-2023-614-100061"/>
    <x v="166"/>
  </r>
  <r>
    <d v="2023-09-05T00:00:00"/>
    <s v="VZ-2023-001089"/>
    <x v="19"/>
    <s v="Hrabálek"/>
    <s v="Štýbnarová"/>
    <x v="465"/>
    <m/>
    <m/>
    <s v="zrušeno"/>
    <s v="55110000-4"/>
    <m/>
    <n v="800000"/>
    <x v="2"/>
    <d v="2023-09-08T00:00:00"/>
    <d v="2023-09-19T00:00:00"/>
    <m/>
    <s v="zrušeno - bez hodnotitelné nabídky"/>
    <s v="nová VZ-2023-001178"/>
    <m/>
    <m/>
    <m/>
    <m/>
    <m/>
    <m/>
    <m/>
    <x v="10"/>
  </r>
  <r>
    <s v="opakovaná VZ"/>
    <s v="VZ-2023-001105"/>
    <x v="3"/>
    <s v="Skulová"/>
    <s v="Štýbnarová"/>
    <x v="466"/>
    <m/>
    <m/>
    <s v="podepsaná smlouva"/>
    <s v="48180000-3"/>
    <s v="2.2.574."/>
    <n v="310000"/>
    <x v="2"/>
    <d v="2023-09-11T00:00:00"/>
    <d v="2023-09-22T00:00:00"/>
    <d v="2023-10-04T00:00:00"/>
    <s v="MEDIcad Hectec GmbH"/>
    <m/>
    <n v="493959.66"/>
    <n v="493959.66"/>
    <m/>
    <m/>
    <m/>
    <d v="2023-10-04T00:00:00"/>
    <s v="SMLN-2023-617-100536"/>
    <x v="167"/>
  </r>
  <r>
    <m/>
    <s v="VZ-2023-001107"/>
    <x v="6"/>
    <s v="Benešová"/>
    <s v="Kučera"/>
    <x v="467"/>
    <m/>
    <m/>
    <s v="nejsou podklady"/>
    <s v="39831200-8"/>
    <m/>
    <n v="4500000"/>
    <x v="0"/>
    <m/>
    <m/>
    <m/>
    <m/>
    <m/>
    <m/>
    <m/>
    <m/>
    <m/>
    <m/>
    <m/>
    <m/>
    <x v="10"/>
  </r>
  <r>
    <d v="2023-09-11T00:00:00"/>
    <s v="VZ-2023-001109"/>
    <x v="2"/>
    <s v="Dočkalová"/>
    <s v="Štýbnarová"/>
    <x v="468"/>
    <m/>
    <m/>
    <s v="podepsaná smlouva"/>
    <s v="33140000-3"/>
    <m/>
    <n v="1174000"/>
    <x v="2"/>
    <d v="2023-09-13T00:00:00"/>
    <d v="2023-10-06T00:00:00"/>
    <d v="2023-10-16T00:00:00"/>
    <s v="HSC Industry,  spol.s r.o."/>
    <m/>
    <n v="1178430"/>
    <n v="1425900.5"/>
    <m/>
    <m/>
    <m/>
    <d v="2023-10-16T00:00:00"/>
    <s v="SMLN-2023-617-100554"/>
    <x v="146"/>
  </r>
  <r>
    <d v="2023-09-12T00:00:00"/>
    <s v="VZ-2023-001115"/>
    <x v="13"/>
    <s v="Oravec"/>
    <s v="Staňková"/>
    <x v="469"/>
    <m/>
    <m/>
    <s v="podepsaná smlouva"/>
    <s v="30232100-5"/>
    <m/>
    <n v="484000"/>
    <x v="2"/>
    <d v="2023-09-14T00:00:00"/>
    <d v="2023-09-25T00:00:00"/>
    <d v="2023-10-04T00:00:00"/>
    <s v="DATASCAN, s.r.o."/>
    <m/>
    <n v="408545"/>
    <n v="494339.45"/>
    <m/>
    <m/>
    <m/>
    <d v="2023-10-04T00:00:00"/>
    <s v="SMLN-2023-617-100535"/>
    <x v="79"/>
  </r>
  <r>
    <d v="2023-09-12T00:00:00"/>
    <s v="VZ-2023-001117"/>
    <x v="3"/>
    <s v="Skulová"/>
    <s v="Zdražilová"/>
    <x v="470"/>
    <m/>
    <m/>
    <s v="podepsaná smlouva"/>
    <s v="33152000-0"/>
    <m/>
    <n v="27975414"/>
    <x v="0"/>
    <d v="2023-12-12T00:00:00"/>
    <d v="2024-01-18T00:00:00"/>
    <d v="2024-02-20T00:00:00"/>
    <s v="Life Technologies Czech Republic s.r.o."/>
    <m/>
    <n v="25137304"/>
    <n v="30416137.84"/>
    <m/>
    <m/>
    <m/>
    <d v="2024-02-20T00:00:00"/>
    <s v="SMLN-2024-617-100079_x000a_SMLN-2024-612-100020_x000a_SMLN-2024-617-100080"/>
    <x v="168"/>
  </r>
  <r>
    <d v="2023-09-15T00:00:00"/>
    <s v="VZ-2023-001133"/>
    <x v="8"/>
    <s v="Srovnal"/>
    <s v="Kučera"/>
    <x v="471"/>
    <m/>
    <m/>
    <s v="podepsaná smlouva"/>
    <s v="50711000-2"/>
    <m/>
    <n v="2100000"/>
    <x v="0"/>
    <d v="2023-10-04T00:00:00"/>
    <d v="2023-11-07T00:00:00"/>
    <d v="2023-11-21T00:00:00"/>
    <s v="ELMAR group spol. s r.o."/>
    <m/>
    <n v="1740378"/>
    <n v="2105857"/>
    <m/>
    <m/>
    <m/>
    <d v="2023-11-21T00:00:00"/>
    <s v="SMLN-2023-618-100074"/>
    <x v="128"/>
  </r>
  <r>
    <d v="2023-09-15T00:00:00"/>
    <s v="VZ-2023-001134"/>
    <x v="8"/>
    <s v="Srovnal"/>
    <s v="Kučera"/>
    <x v="472"/>
    <m/>
    <m/>
    <s v="podepsaná smlouva"/>
    <s v="65111000-4"/>
    <m/>
    <n v="4800000"/>
    <x v="0"/>
    <d v="2023-10-04T00:00:00"/>
    <d v="2023-11-07T00:00:00"/>
    <d v="2023-11-21T00:00:00"/>
    <s v="ELMAR group spol. s r.o."/>
    <m/>
    <n v="4296968"/>
    <n v="5199331"/>
    <m/>
    <m/>
    <m/>
    <d v="2023-11-21T00:00:00"/>
    <s v="SMLN-2023-618-100075"/>
    <x v="128"/>
  </r>
  <r>
    <d v="2023-09-11T00:00:00"/>
    <s v="VZ-2023-001137"/>
    <x v="2"/>
    <s v="Dočkalová"/>
    <s v="Hašková"/>
    <x v="473"/>
    <m/>
    <m/>
    <s v="zrušeno"/>
    <s v="33140000-3"/>
    <m/>
    <n v="4825600"/>
    <x v="0"/>
    <d v="2023-09-22T00:00:00"/>
    <d v="2023-10-31T00:00:00"/>
    <m/>
    <m/>
    <m/>
    <m/>
    <m/>
    <m/>
    <m/>
    <m/>
    <m/>
    <m/>
    <x v="10"/>
  </r>
  <r>
    <d v="2023-09-18T00:00:00"/>
    <s v="VZ-2023-001142"/>
    <x v="0"/>
    <s v="Vlčková"/>
    <s v="Bodinková"/>
    <x v="474"/>
    <m/>
    <m/>
    <s v="podepsaná smlouva"/>
    <s v="33652000-5"/>
    <m/>
    <n v="2559471"/>
    <x v="1"/>
    <d v="2023-10-05T00:00:00"/>
    <d v="2023-11-09T00:00:00"/>
    <d v="2023-11-24T00:00:00"/>
    <s v="Takeda Pharmaceuticals Czech Republic s.r.o."/>
    <m/>
    <n v="2559468.14"/>
    <n v="2815414.95"/>
    <m/>
    <m/>
    <m/>
    <d v="2023-11-24T00:00:00"/>
    <s v="SMLN-2023-617-100639"/>
    <x v="163"/>
  </r>
  <r>
    <d v="2023-09-18T00:00:00"/>
    <s v="VZ-2023-001143"/>
    <x v="0"/>
    <s v="Vondrková"/>
    <s v="Hašková"/>
    <x v="475"/>
    <m/>
    <m/>
    <s v="podepsaná smlouva"/>
    <s v="33610000-9"/>
    <m/>
    <n v="5469668"/>
    <x v="0"/>
    <d v="2023-09-22T00:00:00"/>
    <d v="2023-11-21T00:00:00"/>
    <d v="2023-12-07T00:00:00"/>
    <s v="Alliance Healthcare s.r.o."/>
    <m/>
    <n v="5377572.3300000001"/>
    <n v="5915329.5599999996"/>
    <m/>
    <m/>
    <m/>
    <d v="2023-12-07T00:00:00"/>
    <s v="SMLN-2023-617-100670"/>
    <x v="91"/>
  </r>
  <r>
    <d v="2023-09-08T00:00:00"/>
    <s v="VZ-2023-001144"/>
    <x v="2"/>
    <s v="Dočkalová"/>
    <s v="Hašková"/>
    <x v="476"/>
    <m/>
    <m/>
    <s v="podepsaná smlouva"/>
    <s v="33140000-3"/>
    <m/>
    <n v="7697650"/>
    <x v="0"/>
    <d v="2023-09-29T00:00:00"/>
    <d v="2023-11-02T00:00:00"/>
    <d v="2024-01-15T00:00:00"/>
    <s v="B. Braun Medical s.r.o."/>
    <m/>
    <n v="7798560"/>
    <n v="9436257.5999999996"/>
    <m/>
    <m/>
    <m/>
    <d v="2024-01-15T00:00:00"/>
    <s v="SMLN-2024-617-100024"/>
    <x v="118"/>
  </r>
  <r>
    <d v="2023-09-18T00:00:00"/>
    <s v="VZ-2023-001145"/>
    <x v="12"/>
    <s v="Zemánková"/>
    <s v="Bodinková"/>
    <x v="477"/>
    <m/>
    <m/>
    <s v="zrušeno"/>
    <s v="33694000-1"/>
    <m/>
    <n v="2350450"/>
    <x v="0"/>
    <d v="2023-09-27T00:00:00"/>
    <d v="2023-11-07T00:00:00"/>
    <m/>
    <s v="zrušeno - překročení ceny"/>
    <m/>
    <m/>
    <m/>
    <m/>
    <m/>
    <m/>
    <m/>
    <m/>
    <x v="10"/>
  </r>
  <r>
    <d v="2023-09-18T00:00:00"/>
    <s v="VZ-2023-001146"/>
    <x v="12"/>
    <s v="Zemánková"/>
    <s v="Bodinková"/>
    <x v="478"/>
    <m/>
    <m/>
    <s v="podepsaná smlouva"/>
    <s v="33694000-1"/>
    <m/>
    <n v="4078608"/>
    <x v="0"/>
    <d v="2023-10-04T00:00:00"/>
    <d v="2023-11-14T00:00:00"/>
    <d v="2023-12-08T00:00:00"/>
    <s v="GeneTiCA s.r.o."/>
    <m/>
    <n v="3663222.3"/>
    <n v="4432498.9800000004"/>
    <m/>
    <m/>
    <m/>
    <d v="2023-12-08T00:00:00"/>
    <s v="SMLN-2023-617-100672"/>
    <x v="169"/>
  </r>
  <r>
    <d v="2023-09-15T00:00:00"/>
    <s v="VZ-2023-001148"/>
    <x v="8"/>
    <s v="Srovnal"/>
    <s v="Štýbnarová"/>
    <x v="479"/>
    <m/>
    <m/>
    <s v="podepsaná smlouva"/>
    <s v="39314000-6"/>
    <m/>
    <n v="280000"/>
    <x v="2"/>
    <d v="2023-09-21T00:00:00"/>
    <d v="2023-10-03T00:00:00"/>
    <d v="2023-10-11T00:00:00"/>
    <s v="Multi CZ s.r.o."/>
    <m/>
    <n v="263042"/>
    <n v="318280.82"/>
    <m/>
    <m/>
    <m/>
    <d v="2023-10-11T00:00:00"/>
    <s v="SMLN-2023-617-100548"/>
    <x v="108"/>
  </r>
  <r>
    <s v="opakovaná VZ"/>
    <s v="VZ-2023-001153"/>
    <x v="3"/>
    <s v="Skulová"/>
    <s v="Kučera"/>
    <x v="480"/>
    <m/>
    <m/>
    <s v="podepsaná smlouva"/>
    <s v="39711100-0"/>
    <s v="2.2.552."/>
    <n v="267934"/>
    <x v="1"/>
    <d v="2023-09-21T00:00:00"/>
    <d v="2023-10-10T00:00:00"/>
    <d v="2023-10-18T00:00:00"/>
    <s v="TRIGON PLUS s.r.o."/>
    <m/>
    <n v="308275"/>
    <n v="373012.75"/>
    <m/>
    <m/>
    <m/>
    <d v="2023-10-18T00:00:00"/>
    <s v="SMLN-2023-617-100571_x000a_SMLN-2023-612-100129"/>
    <x v="108"/>
  </r>
  <r>
    <d v="2023-09-21T00:00:00"/>
    <s v="VZ-2023-001161"/>
    <x v="0"/>
    <s v="Vondrková"/>
    <s v="Hašková"/>
    <x v="481"/>
    <m/>
    <m/>
    <s v="podepsaná smlouva"/>
    <s v="33615100-5"/>
    <m/>
    <n v="2901165"/>
    <x v="0"/>
    <d v="2023-09-29T00:00:00"/>
    <d v="2023-12-04T00:00:00"/>
    <d v="2024-01-12T00:00:00"/>
    <s v="PHARMOS, a.s."/>
    <m/>
    <n v="2604121.83"/>
    <n v="2916616.45"/>
    <m/>
    <m/>
    <m/>
    <d v="2024-01-12T00:00:00"/>
    <s v="SMLN-2024-617-100020"/>
    <x v="170"/>
  </r>
  <r>
    <d v="2023-09-21T00:00:00"/>
    <s v="VZ-2023-001162"/>
    <x v="0"/>
    <s v="Vondrková"/>
    <s v="Bodinková"/>
    <x v="482"/>
    <m/>
    <m/>
    <s v="podepsaná smlouva"/>
    <s v="33662100-9"/>
    <m/>
    <n v="119625372"/>
    <x v="0"/>
    <d v="2023-10-25T00:00:00"/>
    <d v="2023-11-29T00:00:00"/>
    <d v="2024-01-22T00:00:00"/>
    <s v="BAYER s.r.o."/>
    <m/>
    <n v="117591110"/>
    <n v="131702043.2"/>
    <m/>
    <m/>
    <m/>
    <d v="2024-01-22T00:00:00"/>
    <s v="SMLN-2024-617-100037"/>
    <x v="155"/>
  </r>
  <r>
    <d v="2023-09-21T00:00:00"/>
    <s v="VZ-2023-001164"/>
    <x v="12"/>
    <s v="Zemánková"/>
    <s v="Bodinková"/>
    <x v="483"/>
    <m/>
    <s v="nově VZ-2024-000011"/>
    <s v="připravuje se"/>
    <m/>
    <m/>
    <n v="10000000"/>
    <x v="0"/>
    <m/>
    <m/>
    <m/>
    <m/>
    <m/>
    <m/>
    <m/>
    <m/>
    <m/>
    <m/>
    <m/>
    <m/>
    <x v="10"/>
  </r>
  <r>
    <d v="2023-09-21T00:00:00"/>
    <s v="VZ-2023-001167"/>
    <x v="8"/>
    <s v="Srovnal"/>
    <s v="Štýbnarová"/>
    <x v="484"/>
    <m/>
    <m/>
    <s v="zrušeno"/>
    <s v="45261910-6"/>
    <m/>
    <n v="1500000"/>
    <x v="2"/>
    <d v="2023-09-26T00:00:00"/>
    <d v="2023-10-10T00:00:00"/>
    <d v="2023-10-17T00:00:00"/>
    <s v="zrušeno - neposkytnutí součinnosti k uzavření smlouvy"/>
    <m/>
    <n v="1295330.1399999999"/>
    <n v="1295330.1399999999"/>
    <m/>
    <m/>
    <m/>
    <d v="2023-10-17T00:00:00"/>
    <s v="SMLN-2023-618-100059"/>
    <x v="10"/>
  </r>
  <r>
    <d v="2023-09-22T00:00:00"/>
    <s v="VZ-2023-001171"/>
    <x v="3"/>
    <s v="Skulová"/>
    <s v="Zdražilová"/>
    <x v="485"/>
    <m/>
    <m/>
    <s v="podepsaná smlouva"/>
    <s v="33111400-5"/>
    <s v="2.3.734."/>
    <n v="10680000"/>
    <x v="0"/>
    <d v="2023-10-11T00:00:00"/>
    <d v="2023-11-16T00:00:00"/>
    <d v="2023-12-06T00:00:00"/>
    <s v="AURA Medical s.r.o."/>
    <m/>
    <n v="10772400"/>
    <n v="13034604"/>
    <m/>
    <m/>
    <m/>
    <d v="2023-12-06T00:00:00"/>
    <s v="SMLN-2023-617-100663_x000a_SMLN-2023-612-100147"/>
    <x v="68"/>
  </r>
  <r>
    <d v="2023-09-22T00:00:00"/>
    <s v="VZ-2023-001173"/>
    <x v="3"/>
    <s v="Skulová"/>
    <s v="Staňková"/>
    <x v="486"/>
    <m/>
    <m/>
    <s v="podepsaná smlouva"/>
    <s v="33111200-3"/>
    <s v="2.2.585."/>
    <n v="275560"/>
    <x v="2"/>
    <d v="2023-09-29T00:00:00"/>
    <d v="2023-10-10T00:00:00"/>
    <d v="2023-10-18T00:00:00"/>
    <s v="F medical s.r.o."/>
    <m/>
    <n v="275440"/>
    <n v="333282.40000000002"/>
    <m/>
    <m/>
    <m/>
    <d v="2023-10-18T00:00:00"/>
    <s v="SMLN-2023-617-100572_x000a_SMLN-2023-612-100130"/>
    <x v="171"/>
  </r>
  <r>
    <s v="opakovaná VZ"/>
    <s v="VZ-2023-001178"/>
    <x v="19"/>
    <s v="Hrabálek"/>
    <s v="Štýbnarová"/>
    <x v="487"/>
    <m/>
    <m/>
    <s v="podepsaná smlouva"/>
    <s v="55110000-4"/>
    <m/>
    <n v="800000"/>
    <x v="2"/>
    <d v="2023-09-27T00:00:00"/>
    <d v="2023-10-09T00:00:00"/>
    <d v="2023-10-17T00:00:00"/>
    <s v="CPI Hotels, a.s."/>
    <m/>
    <n v="568326"/>
    <n v="639450"/>
    <m/>
    <m/>
    <m/>
    <d v="2023-10-17T00:00:00"/>
    <s v="SMLN-2023-612-100128"/>
    <x v="172"/>
  </r>
  <r>
    <d v="2023-09-26T00:00:00"/>
    <s v="VZ-2023-001181"/>
    <x v="2"/>
    <s v="Dočkalová"/>
    <s v="Štýbnarová"/>
    <x v="488"/>
    <m/>
    <m/>
    <s v="podepsaná smlouva"/>
    <s v="33100000-1, 33140000"/>
    <s v="2.4.236."/>
    <n v="518120"/>
    <x v="2"/>
    <d v="2023-10-04T00:00:00"/>
    <d v="2023-10-16T00:00:00"/>
    <d v="2023-10-25T00:00:00"/>
    <s v="Promedeus s.r.o."/>
    <m/>
    <n v="770800"/>
    <n v="932668"/>
    <m/>
    <m/>
    <m/>
    <d v="2023-10-25T00:00:00"/>
    <s v="SMLN-2023-617-100581_x000a_SMLN-2023-616-100040"/>
    <x v="144"/>
  </r>
  <r>
    <d v="2023-09-27T00:00:00"/>
    <s v="VZ-2023-001186"/>
    <x v="0"/>
    <s v="Vondrková"/>
    <s v="Bodinková"/>
    <x v="489"/>
    <m/>
    <m/>
    <s v="podepsaná smlouva"/>
    <s v="33661500-6"/>
    <m/>
    <n v="1866743"/>
    <x v="0"/>
    <d v="2023-12-01T00:00:00"/>
    <d v="2024-01-10T00:00:00"/>
    <d v="2024-03-04T00:00:00"/>
    <s v="PHOENIX lék. velkoobchod, s.r.o."/>
    <m/>
    <n v="1853865.32"/>
    <n v="2076329.16"/>
    <m/>
    <m/>
    <m/>
    <d v="2024-03-04T00:00:00"/>
    <s v="SMLN-2024-617-100122"/>
    <x v="173"/>
  </r>
  <r>
    <d v="2023-09-27T00:00:00"/>
    <s v="VZ-2023-001187"/>
    <x v="0"/>
    <s v="Vondrková"/>
    <s v="Bodinková"/>
    <x v="490"/>
    <m/>
    <m/>
    <s v="zrušeno"/>
    <s v="33661600-7"/>
    <m/>
    <n v="4535145"/>
    <x v="0"/>
    <d v="2023-10-18T00:00:00"/>
    <d v="2024-01-04T00:00:00"/>
    <m/>
    <s v="zrušeno - překročení ceny"/>
    <m/>
    <m/>
    <m/>
    <m/>
    <m/>
    <m/>
    <m/>
    <m/>
    <x v="10"/>
  </r>
  <r>
    <d v="2023-09-27T00:00:00"/>
    <s v="VZ-2023-001189-01"/>
    <x v="0"/>
    <s v="Vondrková"/>
    <s v="Bodinková"/>
    <x v="491"/>
    <n v="1"/>
    <s v="PALIPERIDON I."/>
    <s v="podepsaná smlouva"/>
    <s v="33661500-6"/>
    <m/>
    <n v="31282"/>
    <x v="0"/>
    <d v="2023-10-18T00:00:00"/>
    <d v="2023-12-18T00:00:00"/>
    <d v="2024-01-15T00:00:00"/>
    <s v="Alliance Healthcare s.r.o."/>
    <m/>
    <n v="545012.68000000005"/>
    <n v="610414.19999999995"/>
    <m/>
    <m/>
    <m/>
    <d v="2024-01-15T00:00:00"/>
    <s v="SMLN-2024-617-100026"/>
    <x v="157"/>
  </r>
  <r>
    <d v="2023-09-27T00:00:00"/>
    <s v="VZ-2023-001189-02"/>
    <x v="0"/>
    <s v="Vondrková"/>
    <s v="Bodinková"/>
    <x v="491"/>
    <n v="2"/>
    <s v="PALIPERIDON II."/>
    <s v="podepsaná smlouva"/>
    <s v="33661500-6"/>
    <m/>
    <n v="1509198"/>
    <x v="0"/>
    <d v="2023-10-18T00:00:00"/>
    <d v="2023-12-18T00:00:00"/>
    <d v="2024-01-15T00:00:00"/>
    <s v="PROMEDICA PRAHA GROUP, a.s."/>
    <m/>
    <n v="6412082.1600000001"/>
    <n v="7181532.0199999996"/>
    <m/>
    <m/>
    <m/>
    <d v="2024-01-15T00:00:00"/>
    <s v="SMLN-2024-617-100027"/>
    <x v="157"/>
  </r>
  <r>
    <d v="2023-09-27T00:00:00"/>
    <s v="VZ-2023-001190"/>
    <x v="5"/>
    <s v="Spáčil"/>
    <s v="Staňková"/>
    <x v="492"/>
    <m/>
    <m/>
    <s v="podepsaná smlouva"/>
    <s v="71000000-8 "/>
    <m/>
    <n v="1950000"/>
    <x v="2"/>
    <d v="2023-10-09T00:00:00"/>
    <d v="2023-10-20T00:00:00"/>
    <d v="2023-11-06T00:00:00"/>
    <s v="LT PROJEKT a.s."/>
    <m/>
    <n v="1900000"/>
    <n v="2299000"/>
    <m/>
    <m/>
    <m/>
    <d v="2023-11-06T00:00:00"/>
    <s v="SMLN-2023-618-100067"/>
    <x v="143"/>
  </r>
  <r>
    <d v="2023-09-27T00:00:00"/>
    <s v="VZ-2023-001194"/>
    <x v="8"/>
    <s v="Srovnal"/>
    <s v="Štýbnarová"/>
    <x v="493"/>
    <m/>
    <m/>
    <s v="podepsaná smlouva"/>
    <s v="45454100-5"/>
    <m/>
    <n v="500000"/>
    <x v="2"/>
    <d v="2023-10-05T00:00:00"/>
    <d v="2023-10-16T00:00:00"/>
    <d v="2023-10-19T00:00:00"/>
    <s v="AL LOGIC, s.r.o."/>
    <m/>
    <n v="381599.34"/>
    <n v="461735.2"/>
    <m/>
    <m/>
    <m/>
    <d v="2023-10-19T00:00:00"/>
    <s v="SMLN-2023-618-100060"/>
    <x v="153"/>
  </r>
  <r>
    <d v="2023-09-27T00:00:00"/>
    <s v="VZ-2023-001196"/>
    <x v="2"/>
    <s v="Dočkalová"/>
    <s v="Staňková"/>
    <x v="494"/>
    <m/>
    <m/>
    <s v="zrušeno"/>
    <s v="33100000-1"/>
    <s v="2.4.246."/>
    <n v="411750"/>
    <x v="2"/>
    <d v="2023-10-11T00:00:00"/>
    <d v="2023-10-23T00:00:00"/>
    <m/>
    <s v="zrušeno - bez hodnotitelné nabídky"/>
    <s v="nová VZ-2023-001320"/>
    <m/>
    <m/>
    <m/>
    <m/>
    <m/>
    <m/>
    <m/>
    <x v="10"/>
  </r>
  <r>
    <d v="2023-09-27T00:00:00"/>
    <s v="VZ-2023-001197-01"/>
    <x v="0"/>
    <s v="Vondrková"/>
    <s v="Hašková"/>
    <x v="495"/>
    <n v="1"/>
    <s v="DABIGATRAN-ETEXILÁT I."/>
    <s v="podepsaná smlouva"/>
    <s v="33621100-0"/>
    <m/>
    <n v="1386817"/>
    <x v="0"/>
    <d v="2023-10-05T00:00:00"/>
    <d v="2023-11-21T00:00:00"/>
    <d v="2023-12-06T00:00:00"/>
    <s v="Boehringer Ingelheim, spol. s r.o."/>
    <m/>
    <n v="1386812.61"/>
    <n v="1525493.87"/>
    <m/>
    <m/>
    <m/>
    <d v="2023-12-06T00:00:00"/>
    <s v="SMLN-2023-617-100665"/>
    <x v="130"/>
  </r>
  <r>
    <d v="2023-09-27T00:00:00"/>
    <s v="VZ-2023-001197-02"/>
    <x v="0"/>
    <s v="Vondrková"/>
    <s v="Hašková"/>
    <x v="495"/>
    <n v="2"/>
    <s v="DABIGATRAN-ETEXILÁT II."/>
    <s v="podepsaná smlouva"/>
    <s v="33621100-0"/>
    <m/>
    <n v="2477848"/>
    <x v="0"/>
    <d v="2023-10-05T00:00:00"/>
    <d v="2023-11-21T00:00:00"/>
    <d v="2023-12-06T00:00:00"/>
    <s v="PHOENIX lék. velkoobchod, s.r.o."/>
    <m/>
    <n v="2150399.52"/>
    <n v="2365439.4700000002"/>
    <m/>
    <m/>
    <m/>
    <d v="2023-12-06T00:00:00"/>
    <s v="SMLN-2023-617-100666"/>
    <x v="130"/>
  </r>
  <r>
    <d v="2023-09-22T00:00:00"/>
    <s v="VZ-2023-001198"/>
    <x v="22"/>
    <s v="Mikolajová"/>
    <s v="Kučera"/>
    <x v="496"/>
    <m/>
    <m/>
    <s v="zrušeno"/>
    <s v="72261000-2_x000a_31711310-9"/>
    <m/>
    <n v="8500000"/>
    <x v="0"/>
    <d v="2023-10-30T00:00:00"/>
    <d v="2023-12-04T00:00:00"/>
    <m/>
    <s v="zrušeno - bez hodnotitelné nabídky"/>
    <s v="nová VZ-2023-001501"/>
    <m/>
    <m/>
    <m/>
    <m/>
    <m/>
    <m/>
    <m/>
    <x v="10"/>
  </r>
  <r>
    <d v="2023-09-29T00:00:00"/>
    <s v="VZ-2023-001200"/>
    <x v="3"/>
    <s v="Skulová"/>
    <s v="Štýbnarová"/>
    <x v="497"/>
    <m/>
    <m/>
    <s v="zrušeno"/>
    <s v="38300000-8"/>
    <s v="2.2.545."/>
    <n v="162300"/>
    <x v="2"/>
    <d v="2023-10-05T00:00:00"/>
    <d v="2023-10-16T00:00:00"/>
    <m/>
    <s v="zrušeno - bez hodnotitelné nabídky"/>
    <s v="nová VZ-2023-001305"/>
    <m/>
    <m/>
    <m/>
    <m/>
    <m/>
    <m/>
    <m/>
    <x v="10"/>
  </r>
  <r>
    <d v="2023-10-02T00:00:00"/>
    <s v="VZ-2023-001203"/>
    <x v="0"/>
    <s v="Vlčková"/>
    <s v="Bodinková"/>
    <x v="498"/>
    <m/>
    <m/>
    <s v="podepsaná smlouva"/>
    <s v="33661100-2"/>
    <m/>
    <n v="4291800"/>
    <x v="0"/>
    <d v="2023-11-03T00:00:00"/>
    <d v="2023-02-20T00:00:00"/>
    <d v="2024-04-26T00:00:00"/>
    <s v="Baxter Czech spol. s r.o."/>
    <m/>
    <n v="4291800"/>
    <n v="4806816"/>
    <m/>
    <m/>
    <m/>
    <d v="2024-04-26T00:00:00"/>
    <s v="SMLN-2024-617-100268_x000a_SMLN-2024-616-100032"/>
    <x v="174"/>
  </r>
  <r>
    <d v="2023-10-03T00:00:00"/>
    <s v="VZ-2023-001215"/>
    <x v="8"/>
    <s v="Srovnal"/>
    <s v="Štýbnarová"/>
    <x v="499"/>
    <m/>
    <m/>
    <s v="podepsaná smlouva"/>
    <s v="45421100-5"/>
    <m/>
    <n v="500000"/>
    <x v="2"/>
    <d v="2023-10-06T00:00:00"/>
    <d v="2023-10-17T00:00:00"/>
    <d v="2023-11-21T00:00:00"/>
    <s v="Dortechnik, s.r.o."/>
    <m/>
    <n v="269864"/>
    <n v="326535.44"/>
    <m/>
    <m/>
    <m/>
    <d v="2023-11-21T00:00:00"/>
    <s v="SMLN-2023-618-100073"/>
    <x v="107"/>
  </r>
  <r>
    <d v="2023-10-04T00:00:00"/>
    <s v="VZ-2023-001221"/>
    <x v="0"/>
    <s v="Vondrková"/>
    <s v="Bodinková"/>
    <x v="500"/>
    <m/>
    <m/>
    <s v="zrušeno"/>
    <s v="33670000-7"/>
    <m/>
    <n v="1313227"/>
    <x v="0"/>
    <d v="2023-12-01T00:00:00"/>
    <d v="2024-01-05T00:00:00"/>
    <m/>
    <s v="zrušeno - bez nabídky"/>
    <m/>
    <m/>
    <m/>
    <m/>
    <m/>
    <m/>
    <m/>
    <m/>
    <x v="10"/>
  </r>
  <r>
    <d v="2023-10-04T00:00:00"/>
    <s v="VZ-2023-001222"/>
    <x v="0"/>
    <s v="Vondrková"/>
    <s v="Bodinková"/>
    <x v="501"/>
    <m/>
    <m/>
    <s v="zrušeno"/>
    <s v="33651400-2"/>
    <m/>
    <n v="8823510"/>
    <x v="0"/>
    <d v="2023-11-10T00:00:00"/>
    <d v="2023-12-15T00:00:00"/>
    <m/>
    <s v="zrušeno - bez nabídky"/>
    <s v="nová VZ-2024-000256"/>
    <m/>
    <m/>
    <m/>
    <m/>
    <m/>
    <m/>
    <m/>
    <x v="10"/>
  </r>
  <r>
    <s v="VZ-2023-000466-03"/>
    <s v="VZ-2023-001226"/>
    <x v="2"/>
    <s v="Merta"/>
    <s v="Dočkal"/>
    <x v="502"/>
    <m/>
    <m/>
    <s v="podepsaná smlouva"/>
    <s v="33182100-0"/>
    <m/>
    <n v="51040000"/>
    <x v="0"/>
    <d v="2023-10-13T00:00:00"/>
    <d v="2023-12-11T00:00:00"/>
    <d v="2024-01-15T00:00:00"/>
    <s v="Cardiomedical s.r.o."/>
    <m/>
    <n v="51040000"/>
    <n v="57164800"/>
    <m/>
    <m/>
    <m/>
    <d v="2024-01-15T00:00:00"/>
    <s v="SMLN-2024-617-100025_x000a_SMLN-2024-614-100001_x000a_SMLN-2024-616-100002"/>
    <x v="175"/>
  </r>
  <r>
    <d v="2023-10-03T00:00:00"/>
    <s v="VZ-2023-001227"/>
    <x v="2"/>
    <s v="Dočkalová"/>
    <s v="Štýbnarová"/>
    <x v="503"/>
    <m/>
    <m/>
    <s v="podepsaná smlouva"/>
    <s v="33100000-1,33140000-"/>
    <m/>
    <n v="600000"/>
    <x v="2"/>
    <d v="2023-10-06T00:00:00"/>
    <d v="2023-10-18T00:00:00"/>
    <d v="2023-11-03T00:00:00"/>
    <s v="Mondiag s.r.o."/>
    <m/>
    <n v="600000"/>
    <n v="726000"/>
    <m/>
    <m/>
    <m/>
    <d v="2023-11-03T00:00:00"/>
    <s v="SMLN-2023-617-100599_x000a_SMLN-2023-616-100042"/>
    <x v="172"/>
  </r>
  <r>
    <d v="2023-10-05T00:00:00"/>
    <s v="VZ-2023-001230"/>
    <x v="0"/>
    <s v="Vlčková"/>
    <s v="Bodinková"/>
    <x v="504"/>
    <m/>
    <m/>
    <s v="podepsaná smlouva"/>
    <s v="33670000-7"/>
    <m/>
    <n v="1878548"/>
    <x v="2"/>
    <d v="2023-10-24T00:00:00"/>
    <d v="2023-11-07T00:00:00"/>
    <d v="2023-11-09T00:00:00"/>
    <s v="PHOENIX lék. velkoobchod, s.r.o."/>
    <m/>
    <n v="1878547.68"/>
    <n v="2066402.45"/>
    <m/>
    <m/>
    <m/>
    <d v="2023-11-09T00:00:00"/>
    <s v="SMLN-2023-617-100606"/>
    <x v="70"/>
  </r>
  <r>
    <s v="opakovaná VZ"/>
    <s v="VZ-2023-001232"/>
    <x v="3"/>
    <s v="Skulová"/>
    <s v="Štýbnarová"/>
    <x v="505"/>
    <m/>
    <m/>
    <s v="podepsaná smlouva"/>
    <s v="38300000-8"/>
    <s v="2.2.573."/>
    <n v="620000"/>
    <x v="2"/>
    <d v="2023-10-09T00:00:00"/>
    <d v="2023-10-20T00:00:00"/>
    <d v="2023-10-26T00:00:00"/>
    <s v="BioTech a.s."/>
    <m/>
    <n v="540850"/>
    <n v="654428.5"/>
    <m/>
    <m/>
    <m/>
    <d v="2023-10-26T00:00:00"/>
    <s v="SMLN-2023-617-100583_x000a_SMLN-2023-612-100131_x000a_SMLN-2023-617-100584"/>
    <x v="144"/>
  </r>
  <r>
    <s v="VZ-2023-000190"/>
    <s v="VZ-2023-001233"/>
    <x v="0"/>
    <s v="Vondrková"/>
    <s v="Bodinková"/>
    <x v="506"/>
    <m/>
    <m/>
    <s v="podepsaná smlouva"/>
    <s v="33652000-5"/>
    <m/>
    <n v="8648885"/>
    <x v="0"/>
    <d v="2023-10-13T00:00:00"/>
    <d v="2023-11-23T00:00:00"/>
    <d v="2023-12-15T00:00:00"/>
    <s v="PROMEDICA PRAHA GROUP, a.s."/>
    <m/>
    <n v="8532320.6400000006"/>
    <n v="9385552.6999999993"/>
    <m/>
    <m/>
    <m/>
    <d v="2023-12-15T00:00:00"/>
    <s v="SMLN-2023-617-100680"/>
    <x v="128"/>
  </r>
  <r>
    <s v="opakovaná VZ"/>
    <s v="VZ-2023-001234-01"/>
    <x v="0"/>
    <s v="Vondrková"/>
    <s v="Bodinková"/>
    <x v="507"/>
    <n v="1"/>
    <s v="Roztok pro parenterální použití I."/>
    <s v="podepsaná smlouva"/>
    <s v="33692510-5"/>
    <m/>
    <n v="1260000"/>
    <x v="0"/>
    <d v="2023-10-16T00:00:00"/>
    <d v="2023-12-04T00:00:00"/>
    <d v="2023-12-22T00:00:00"/>
    <s v="B. Braun Medical s.r.o."/>
    <m/>
    <n v="1258120"/>
    <n v="1383932"/>
    <m/>
    <m/>
    <m/>
    <d v="2023-12-22T00:00:00"/>
    <s v="SMLN-2023-617-100698"/>
    <x v="91"/>
  </r>
  <r>
    <s v="opakovaná VZ"/>
    <s v="VZ-2023-001234-02"/>
    <x v="0"/>
    <s v="Vondrková"/>
    <s v="Bodinková"/>
    <x v="507"/>
    <n v="2"/>
    <s v="Roztok pro parenterální použití II."/>
    <s v="podepsaná smlouva"/>
    <s v="33692510-5"/>
    <m/>
    <n v="1411973"/>
    <x v="0"/>
    <d v="2023-10-16T00:00:00"/>
    <d v="2023-12-04T00:00:00"/>
    <d v="2023-12-22T00:00:00"/>
    <s v="B. Braun Medical s.r.o."/>
    <m/>
    <n v="1216712"/>
    <n v="1338383.2"/>
    <m/>
    <m/>
    <m/>
    <d v="2023-12-22T00:00:00"/>
    <s v="SMLN-2023-617-100699"/>
    <x v="91"/>
  </r>
  <r>
    <d v="2023-10-06T00:00:00"/>
    <s v="VZ-2023-001235"/>
    <x v="3"/>
    <s v="Skulová"/>
    <s v="Štýbnarová"/>
    <x v="508"/>
    <m/>
    <m/>
    <s v="podepsaná smlouva"/>
    <s v="33152000-0"/>
    <s v="2.3.768."/>
    <n v="72000"/>
    <x v="2"/>
    <d v="2023-10-10T00:00:00"/>
    <d v="2023-10-23T00:00:00"/>
    <d v="2023-11-06T00:00:00"/>
    <s v="SCHOELLER INSTRUMENTS, s.r.o."/>
    <m/>
    <n v="60900"/>
    <n v="73689"/>
    <m/>
    <m/>
    <m/>
    <d v="2023-11-06T00:00:00"/>
    <s v="SMLN-2023-617-100602_x000a_SMLN-2023-612-100134"/>
    <x v="158"/>
  </r>
  <r>
    <d v="2023-10-09T00:00:00"/>
    <s v="VZ-2023-001236"/>
    <x v="0"/>
    <s v="Vondrková"/>
    <s v="Bodinková"/>
    <x v="509"/>
    <m/>
    <m/>
    <s v="podepsaná smlouva"/>
    <s v="33652300-8"/>
    <m/>
    <n v="30809820"/>
    <x v="0"/>
    <d v="2023-10-31T00:00:00"/>
    <d v="2023-12-14T00:00:00"/>
    <d v="2024-01-24T00:00:00"/>
    <s v="Movianto Česká republika s.r.o."/>
    <m/>
    <n v="30809819.52"/>
    <n v="34506997.859999999"/>
    <m/>
    <m/>
    <m/>
    <d v="2024-01-24T00:00:00"/>
    <s v="SMLN-2024-617-100041"/>
    <x v="155"/>
  </r>
  <r>
    <d v="2023-10-04T00:00:00"/>
    <s v="VZ-2023-001239"/>
    <x v="8"/>
    <s v="Kadlec"/>
    <s v="Staňková"/>
    <x v="510"/>
    <m/>
    <m/>
    <s v="podepsaná smlouva"/>
    <s v="45421100-5"/>
    <m/>
    <n v="250000"/>
    <x v="2"/>
    <d v="2023-10-11T00:00:00"/>
    <d v="2023-10-23T00:00:00"/>
    <d v="2023-10-31T00:00:00"/>
    <s v="Dortechnik, s.r.o."/>
    <m/>
    <n v="139649.03"/>
    <n v="168975.33"/>
    <m/>
    <m/>
    <m/>
    <d v="2023-10-31T00:00:00"/>
    <s v="SMLN-2023-618-100062"/>
    <x v="139"/>
  </r>
  <r>
    <d v="2023-10-05T00:00:00"/>
    <s v="VZ-2023-001241"/>
    <x v="5"/>
    <s v="Pavela"/>
    <s v="Staňková"/>
    <x v="511"/>
    <m/>
    <m/>
    <s v="zrušeno"/>
    <s v="71240000-2"/>
    <s v="1.2.115."/>
    <n v="750000"/>
    <x v="2"/>
    <d v="2023-10-11T00:00:00"/>
    <d v="2023-10-23T00:00:00"/>
    <m/>
    <s v="zrušeno - příliš vysoká cena, nově strop"/>
    <s v="nová VZ-2023-001325"/>
    <m/>
    <m/>
    <m/>
    <m/>
    <m/>
    <m/>
    <m/>
    <x v="10"/>
  </r>
  <r>
    <s v="opakovaná VZ"/>
    <s v="VZ-2023-001242"/>
    <x v="0"/>
    <s v="Vlčková"/>
    <s v="Bodinková"/>
    <x v="512"/>
    <m/>
    <m/>
    <s v="zrušeno"/>
    <s v="33631600-8"/>
    <m/>
    <n v="488760"/>
    <x v="0"/>
    <d v="2023-10-18T00:00:00"/>
    <d v="2023-12-22T00:00:00"/>
    <d v="2024-02-20T00:00:00"/>
    <s v="zrušeno - B.Braun neposkytl součinnost k uzavření smlouvy"/>
    <m/>
    <n v="488134.95"/>
    <n v="536948.44999999995"/>
    <m/>
    <m/>
    <m/>
    <d v="2024-02-20T00:00:00"/>
    <s v="SMLN-2024-617-100077"/>
    <x v="10"/>
  </r>
  <r>
    <d v="2023-10-10T00:00:00"/>
    <s v="VZ-2023-001246"/>
    <x v="0"/>
    <s v="Vondrková"/>
    <s v="Bodinková"/>
    <x v="513"/>
    <m/>
    <m/>
    <s v="zrušeno"/>
    <s v="33652300-8"/>
    <m/>
    <n v="14359458"/>
    <x v="0"/>
    <d v="2023-10-30T00:00:00"/>
    <d v="2024-01-04T00:00:00"/>
    <m/>
    <s v="zrušeno - bez nabídky"/>
    <m/>
    <m/>
    <m/>
    <m/>
    <m/>
    <m/>
    <m/>
    <m/>
    <x v="10"/>
  </r>
  <r>
    <d v="2023-10-10T00:00:00"/>
    <s v="VZ-2023-001251"/>
    <x v="2"/>
    <s v="Valtová"/>
    <s v="Štýbnarová"/>
    <x v="514"/>
    <m/>
    <m/>
    <s v="podepsaná smlouva"/>
    <s v="33140000-3"/>
    <m/>
    <n v="1351000"/>
    <x v="2"/>
    <d v="2023-10-17T00:00:00"/>
    <d v="2023-11-08T00:00:00"/>
    <d v="2023-11-22T00:00:00"/>
    <s v="Medinet s.r.o."/>
    <m/>
    <n v="1113000"/>
    <n v="1346730"/>
    <m/>
    <m/>
    <m/>
    <d v="2023-11-22T00:00:00"/>
    <s v="SMLN-2023-617-100630_x000a_SMLN-2023-614-100057"/>
    <x v="69"/>
  </r>
  <r>
    <d v="2023-10-11T00:00:00"/>
    <s v="VZ-2023-001252"/>
    <x v="3"/>
    <s v="Skulová"/>
    <s v="Staňková"/>
    <x v="79"/>
    <m/>
    <m/>
    <s v="podepsaná smlouva"/>
    <s v="33161000-6"/>
    <s v="2.3.769."/>
    <n v="457500"/>
    <x v="2"/>
    <d v="2023-10-16T00:00:00"/>
    <d v="2023-10-27T00:00:00"/>
    <d v="2023-10-31T00:00:00"/>
    <s v="Surgipa Medical, spol. s r.o."/>
    <m/>
    <n v="413324.85"/>
    <n v="500123.07"/>
    <m/>
    <m/>
    <m/>
    <d v="2023-10-31T00:00:00"/>
    <s v="SMLN-2023-617-100587_x000a_SMLN-2023-612-100132"/>
    <x v="139"/>
  </r>
  <r>
    <d v="2023-10-11T00:00:00"/>
    <s v="VZ-2023-001253-01"/>
    <x v="2"/>
    <s v="Valtová"/>
    <s v="Zdražilová"/>
    <x v="515"/>
    <n v="1"/>
    <s v="Jehly EUS pro aspirační biopsii (FNA)"/>
    <s v="zrušeno"/>
    <s v="33140000-3"/>
    <m/>
    <n v="792000"/>
    <x v="0"/>
    <d v="2023-10-24T00:00:00"/>
    <d v="2023-11-28T00:00:00"/>
    <m/>
    <m/>
    <m/>
    <m/>
    <m/>
    <m/>
    <m/>
    <m/>
    <m/>
    <m/>
    <x v="10"/>
  </r>
  <r>
    <d v="2023-10-11T00:00:00"/>
    <s v="VZ-2023-001253-02"/>
    <x v="2"/>
    <s v="Valtová"/>
    <s v="Zdražilová"/>
    <x v="515"/>
    <n v="2"/>
    <s v="Jehly EUS pro korovou biopsii (FNB)"/>
    <s v="zrušeno"/>
    <s v="33140000-3"/>
    <m/>
    <n v="2196000"/>
    <x v="0"/>
    <d v="2023-10-24T00:00:00"/>
    <d v="2023-11-28T00:00:00"/>
    <m/>
    <m/>
    <m/>
    <m/>
    <m/>
    <m/>
    <m/>
    <m/>
    <m/>
    <m/>
    <x v="10"/>
  </r>
  <r>
    <d v="2023-10-11T00:00:00"/>
    <s v="VZ-2023-001253-03"/>
    <x v="2"/>
    <s v="Valtová"/>
    <s v="Zdražilová"/>
    <x v="515"/>
    <n v="3"/>
    <s v="Jehly EUS k drenáži a punkci žlučovodů"/>
    <s v="podepsaná smlouva"/>
    <s v="33140000-3"/>
    <m/>
    <n v="400910"/>
    <x v="0"/>
    <d v="2023-10-24T00:00:00"/>
    <d v="2023-11-28T00:00:00"/>
    <d v="2024-03-04T00:00:00"/>
    <s v="MEDIAL spol. s .ro."/>
    <m/>
    <n v="400909.2"/>
    <n v="485100.13"/>
    <m/>
    <m/>
    <m/>
    <d v="2024-03-04T00:00:00"/>
    <s v="SMLN-2024-617-100121 SMLN-2024-614-100008"/>
    <x v="176"/>
  </r>
  <r>
    <d v="2023-10-12T00:00:00"/>
    <s v="VZ-2023-001255-01"/>
    <x v="0"/>
    <s v="Vondrková"/>
    <s v="Bodinková"/>
    <x v="516"/>
    <n v="1"/>
    <s v="LIDSKÝ FIBRINOGEN pro profylaxi a léčbu hemoragických onemocnění na základě získané hypofibrinogenemie vznikající z poruch syntézy v případech závažného poškození jaterního parenchymu, zvýšené intra"/>
    <s v="podepsaná smlouva"/>
    <s v="33621200-1"/>
    <m/>
    <n v="70258760"/>
    <x v="0"/>
    <d v="2023-10-20T00:00:00"/>
    <d v="2023-12-08T00:00:00"/>
    <d v="2024-02-26T00:00:00"/>
    <s v="CSL Behring s.r.o."/>
    <m/>
    <n v="6645744"/>
    <n v="7443233.2800000003"/>
    <m/>
    <m/>
    <m/>
    <d v="2024-02-26T00:00:00"/>
    <s v="SMLN-2024-617-100092"/>
    <x v="177"/>
  </r>
  <r>
    <d v="2023-10-12T00:00:00"/>
    <s v="VZ-2023-001255-02"/>
    <x v="0"/>
    <s v="Vondrková"/>
    <s v="Bodinková"/>
    <x v="516"/>
    <n v="2"/>
    <s v="LIDSKÝ FIBRINOGEN pro pacienty s vrozenou  hypo-, nebo afibrinogenemií"/>
    <s v="podepsaná smlouva"/>
    <s v="33621200-1"/>
    <m/>
    <n v="139400"/>
    <x v="0"/>
    <d v="2023-10-20T00:00:00"/>
    <d v="2023-12-08T00:00:00"/>
    <d v="2024-02-26T00:00:00"/>
    <s v="PHOENIX lék. velkoobchod, s.r.o."/>
    <m/>
    <n v="131831.6"/>
    <n v="147651.39000000001"/>
    <m/>
    <m/>
    <m/>
    <d v="2024-02-26T00:00:00"/>
    <s v="SMLN-2024-617-100093"/>
    <x v="177"/>
  </r>
  <r>
    <d v="2023-10-12T00:00:00"/>
    <s v="VZ-2023-001255-03"/>
    <x v="0"/>
    <s v="Vondrková"/>
    <s v="Bodinková"/>
    <x v="516"/>
    <n v="3"/>
    <s v="LIDSKÝ FIBRINOGEN pro pacienty s vrozenou  dysfibrinogenemií"/>
    <s v="podepsaná smlouva"/>
    <s v="33621200-1"/>
    <m/>
    <n v="139400"/>
    <x v="0"/>
    <d v="2023-10-20T00:00:00"/>
    <d v="2023-12-08T00:00:00"/>
    <d v="2024-02-26T00:00:00"/>
    <s v="CSL Behring s.r.o."/>
    <m/>
    <n v="131860"/>
    <n v="147683.20000000001"/>
    <m/>
    <m/>
    <m/>
    <d v="2024-02-26T00:00:00"/>
    <s v="SMLN-2024-617-100094"/>
    <x v="177"/>
  </r>
  <r>
    <d v="2023-10-12T00:00:00"/>
    <s v="VZ-2023-001255-04"/>
    <x v="0"/>
    <s v="Vondrková"/>
    <s v="Bodinková"/>
    <x v="516"/>
    <n v="4"/>
    <s v="LIDSKÝ FIBRINOGEN pro řešení nekontrolovaného krvácení u pacientů se získanou hypofibrinogenemií při chirurgickém zákroku. Do této specifikace zadavatel zahrnuje i získanou hypofibrinogenemii vznik"/>
    <s v="podepsaná smlouva"/>
    <s v="33621200-1"/>
    <m/>
    <n v="34738480"/>
    <x v="0"/>
    <d v="2023-10-20T00:00:00"/>
    <d v="2023-12-08T00:00:00"/>
    <d v="2024-02-26T00:00:00"/>
    <s v="PHOENIX lék. velkoobchod, s.r.o."/>
    <m/>
    <n v="32852434.719999999"/>
    <n v="36794726.890000001"/>
    <m/>
    <m/>
    <m/>
    <d v="2024-02-26T00:00:00"/>
    <s v="SMLN-2024-617-100095"/>
    <x v="177"/>
  </r>
  <r>
    <d v="2023-10-12T00:00:00"/>
    <s v="VZ-2023-001256"/>
    <x v="0"/>
    <s v="Vondrková"/>
    <s v="Bodinková"/>
    <x v="517"/>
    <m/>
    <m/>
    <s v="podepsaná smlouva"/>
    <s v="33630000-5"/>
    <m/>
    <n v="17252992"/>
    <x v="0"/>
    <d v="2023-10-31T00:00:00"/>
    <d v="2023-12-27T00:00:00"/>
    <d v="2024-01-24T00:00:00"/>
    <s v="PHOENIX lék. velkoobchod, s.r.o."/>
    <m/>
    <n v="9064604.3599999994"/>
    <n v="10152356.880000001"/>
    <m/>
    <m/>
    <m/>
    <d v="2024-01-24T00:00:00"/>
    <s v="SMLN-2024-617-100040"/>
    <x v="178"/>
  </r>
  <r>
    <d v="2023-10-12T00:00:00"/>
    <s v="VZ-2023-001258"/>
    <x v="0"/>
    <s v="Vondrková"/>
    <s v="Bodinková"/>
    <x v="518"/>
    <m/>
    <m/>
    <s v="podepsaná smlouva"/>
    <s v="33621000-9"/>
    <m/>
    <n v="2400570"/>
    <x v="0"/>
    <d v="2023-10-30T00:00:00"/>
    <d v="2023-12-04T00:00:00"/>
    <d v="2023-12-28T00:00:00"/>
    <s v="PHOENIX lék. velkoobchod, s.r.o."/>
    <m/>
    <n v="2104515"/>
    <n v="2314966.5"/>
    <m/>
    <m/>
    <m/>
    <d v="2023-12-28T00:00:00"/>
    <s v="SMLN-2023-617-100701"/>
    <x v="179"/>
  </r>
  <r>
    <d v="2023-10-12T00:00:00"/>
    <s v="VZ-2023-001261"/>
    <x v="8"/>
    <s v="Svozil"/>
    <s v="Staňková"/>
    <x v="519"/>
    <m/>
    <m/>
    <s v="podepsaná smlouva"/>
    <s v="45232400-6"/>
    <m/>
    <n v="5100000"/>
    <x v="2"/>
    <d v="2023-10-23T00:00:00"/>
    <d v="2023-11-03T00:00:00"/>
    <d v="2023-11-08T00:00:00"/>
    <s v="MIZ - BMH Olomouc"/>
    <m/>
    <n v="4945414"/>
    <n v="5983950.9400000004"/>
    <m/>
    <m/>
    <m/>
    <d v="2023-11-08T00:00:00"/>
    <s v="SMLN-2023-618-100068"/>
    <x v="158"/>
  </r>
  <r>
    <d v="2023-10-12T00:00:00"/>
    <s v="VZ-2023-001262-01"/>
    <x v="0"/>
    <s v="Vondrková"/>
    <s v="Bodinková"/>
    <x v="298"/>
    <n v="1"/>
    <s v="Fyziologický roztok pro parenterální použití I."/>
    <s v="zrušeno"/>
    <s v="33692510-5"/>
    <m/>
    <n v="133760"/>
    <x v="0"/>
    <d v="2023-11-14T00:00:00"/>
    <d v="2024-01-22T00:00:00"/>
    <m/>
    <s v="zrušeno  - bez nabídky"/>
    <m/>
    <m/>
    <m/>
    <m/>
    <m/>
    <m/>
    <m/>
    <m/>
    <x v="10"/>
  </r>
  <r>
    <d v="2023-10-12T00:00:00"/>
    <s v="VZ-2023-001262-02"/>
    <x v="0"/>
    <s v="Vondrková"/>
    <s v="Bodinková"/>
    <x v="298"/>
    <n v="2"/>
    <s v="Fyziologický roztok pro parenterální použití II."/>
    <s v="podepsaná smlouva"/>
    <s v="33692510-5"/>
    <m/>
    <n v="4784383"/>
    <x v="0"/>
    <d v="2023-11-14T00:00:00"/>
    <d v="2024-01-22T00:00:00"/>
    <d v="2024-02-28T00:00:00"/>
    <s v="Baxter Czech spol. s r.o."/>
    <m/>
    <n v="4784382.08"/>
    <n v="5358507.93"/>
    <m/>
    <m/>
    <m/>
    <d v="2024-02-28T00:00:00"/>
    <s v="SMLN-2024-617-100110"/>
    <x v="176"/>
  </r>
  <r>
    <d v="2023-10-12T00:00:00"/>
    <s v="VZ-2023-001262-03"/>
    <x v="0"/>
    <s v="Vondrková"/>
    <s v="Bodinková"/>
    <x v="298"/>
    <n v="3"/>
    <s v="Fyziologický roztok pro parenterální použití III."/>
    <s v="zrušeno"/>
    <s v="33692510-5"/>
    <m/>
    <n v="20650653"/>
    <x v="0"/>
    <d v="2023-11-14T00:00:00"/>
    <d v="2024-01-22T00:00:00"/>
    <d v="2024-02-28T00:00:00"/>
    <s v="zrušeno - B.Braun neposkytl součinnost k uzavření smlouvy"/>
    <m/>
    <n v="19569395.199999999"/>
    <n v="21917722.600000001"/>
    <m/>
    <m/>
    <m/>
    <d v="2024-02-28T00:00:00"/>
    <s v="SMLN-2024-617-100113"/>
    <x v="10"/>
  </r>
  <r>
    <d v="2023-10-12T00:00:00"/>
    <s v="VZ-2023-001262-04"/>
    <x v="0"/>
    <s v="Vondrková"/>
    <s v="Bodinková"/>
    <x v="298"/>
    <n v="4"/>
    <s v="Fyziologický roztok pro parenterální použití IV."/>
    <s v="podepsaná smlouva"/>
    <s v="33692510-5"/>
    <m/>
    <n v="5685038"/>
    <x v="0"/>
    <d v="2023-11-14T00:00:00"/>
    <d v="2024-01-22T00:00:00"/>
    <d v="2024-02-28T00:00:00"/>
    <s v="Baxter Czech spol. s r.o."/>
    <m/>
    <n v="5685038"/>
    <n v="6367242.5599999996"/>
    <m/>
    <m/>
    <m/>
    <d v="2024-02-28T00:00:00"/>
    <s v="SMLN-2024-617-100111"/>
    <x v="176"/>
  </r>
  <r>
    <d v="2023-10-12T00:00:00"/>
    <s v="VZ-2023-001262-05"/>
    <x v="0"/>
    <s v="Vondrková"/>
    <s v="Bodinková"/>
    <x v="298"/>
    <n v="5"/>
    <s v="Fyziologický roztok pro parenterální použití V."/>
    <s v="podepsaná smlouva"/>
    <s v="33692510-5"/>
    <m/>
    <n v="234192"/>
    <x v="0"/>
    <d v="2023-11-14T00:00:00"/>
    <d v="2024-01-22T00:00:00"/>
    <d v="2024-02-28T00:00:00"/>
    <s v="Baxter Czech spol. s r.o."/>
    <m/>
    <n v="234192"/>
    <n v="262295.03999999998"/>
    <m/>
    <m/>
    <m/>
    <d v="2024-02-28T00:00:00"/>
    <s v="SMLN-2024-617-100112"/>
    <x v="176"/>
  </r>
  <r>
    <d v="2023-10-17T00:00:00"/>
    <s v="VZ-2023-001272"/>
    <x v="12"/>
    <s v="Zemánková"/>
    <s v="Bodinková"/>
    <x v="520"/>
    <m/>
    <m/>
    <s v="podepsaná smlouva"/>
    <s v="33694000-1, 38434000"/>
    <s v="2.4.244."/>
    <n v="7301820"/>
    <x v="0"/>
    <d v="2023-12-19T00:00:00"/>
    <d v="2024-01-26T00:00:00"/>
    <d v="2024-02-29T00:00:00"/>
    <s v="RADIOMETER s.r.o."/>
    <m/>
    <n v="7291762.5"/>
    <n v="8813219.25"/>
    <m/>
    <m/>
    <m/>
    <d v="2024-03-01T00:00:00"/>
    <s v="SMLN-2024-0617-100120 SMLN-2024-616-100019"/>
    <x v="180"/>
  </r>
  <r>
    <d v="2023-10-17T00:00:00"/>
    <s v="VZ-2023-001273"/>
    <x v="3"/>
    <s v="Skulová"/>
    <s v="Štýbnarová"/>
    <x v="521"/>
    <m/>
    <m/>
    <s v="podepsaná smlouva"/>
    <s v="33165000-4"/>
    <s v="2.3.721."/>
    <n v="520000"/>
    <x v="2"/>
    <d v="2023-10-19T00:00:00"/>
    <d v="2023-10-30T00:00:00"/>
    <d v="2023-11-16T00:00:00"/>
    <s v="Askin  &amp; Co. s. r. o."/>
    <m/>
    <n v="422020"/>
    <n v="510644.2"/>
    <m/>
    <m/>
    <m/>
    <d v="2023-11-16T00:00:00"/>
    <s v="SMLN-2023-617-100626_x000a_SMLN-2023-612-100141"/>
    <x v="107"/>
  </r>
  <r>
    <d v="2023-10-17T00:00:00"/>
    <s v="VZ-2023-001274"/>
    <x v="3"/>
    <s v="Skulová"/>
    <s v="Zdražilová"/>
    <x v="522"/>
    <m/>
    <m/>
    <s v="podepsaná smlouva"/>
    <s v="33168000-5"/>
    <m/>
    <n v="4946600"/>
    <x v="0"/>
    <d v="2023-10-24T00:00:00"/>
    <d v="2023-11-28T00:00:00"/>
    <d v="2024-04-11T00:00:00"/>
    <s v="Suppmed s.r.o."/>
    <m/>
    <n v="4667246"/>
    <n v="5647367.6600000001"/>
    <m/>
    <m/>
    <m/>
    <d v="2024-04-11T00:00:00"/>
    <s v="SMLN-2024-617-100212_x000a_SMLN-2024-612-100044_x000a_SMLN-2024-617-100213"/>
    <x v="181"/>
  </r>
  <r>
    <d v="2023-10-17T00:00:00"/>
    <s v="VZ-2023-001275"/>
    <x v="8"/>
    <s v="Srovnal"/>
    <s v="Kučera"/>
    <x v="523"/>
    <m/>
    <m/>
    <s v="podepsaná smlouva"/>
    <s v="45453100-8"/>
    <m/>
    <n v="44000000"/>
    <x v="0"/>
    <d v="2023-10-31T00:00:00"/>
    <d v="2023-12-28T00:00:00"/>
    <d v="2024-01-17T00:00:00"/>
    <s v="AL LOGIC, s.r.o."/>
    <m/>
    <n v="27671603.91"/>
    <n v="32127770.120000001"/>
    <m/>
    <m/>
    <m/>
    <d v="2024-01-17T00:00:00"/>
    <s v="SMLN-2024-618-100004"/>
    <x v="182"/>
  </r>
  <r>
    <d v="2023-10-17T00:00:00"/>
    <s v="VZ-2023-001277"/>
    <x v="19"/>
    <s v="Jeřábková"/>
    <s v="Staňková"/>
    <x v="524"/>
    <m/>
    <m/>
    <s v="podepsaná smlouva"/>
    <s v="35261100-2"/>
    <m/>
    <n v="1110000"/>
    <x v="2"/>
    <d v="2023-11-22T00:00:00"/>
    <d v="2023-12-04T00:00:00"/>
    <d v="2023-12-08T00:00:00"/>
    <s v="ADCALL systems s.r.o."/>
    <m/>
    <s v="jednotkové ceny"/>
    <s v="jednotkové ceny"/>
    <m/>
    <m/>
    <m/>
    <d v="2023-12-08T00:00:00"/>
    <s v="SMLN-2023-612-100151_x000a_SMLN-2023-612-100152"/>
    <x v="68"/>
  </r>
  <r>
    <d v="2023-10-17T00:00:00"/>
    <s v="VZ-2023-001280"/>
    <x v="19"/>
    <s v="Jeřábková"/>
    <s v="Štýbnarová"/>
    <x v="525"/>
    <m/>
    <m/>
    <s v="podepsaná smlouva"/>
    <s v="92000000-1"/>
    <m/>
    <n v="350000"/>
    <x v="2"/>
    <d v="2023-10-23T00:00:00"/>
    <d v="2023-11-07T00:00:00"/>
    <d v="2023-11-10T00:00:00"/>
    <s v="Výstaviště Flóra Olomouc a.s."/>
    <m/>
    <n v="377230"/>
    <n v="456448.3"/>
    <m/>
    <m/>
    <m/>
    <d v="2023-11-10T00:00:00"/>
    <s v="SMLN-2023-612-100136"/>
    <x v="117"/>
  </r>
  <r>
    <d v="2023-10-18T00:00:00"/>
    <s v="VZ-2023-001282"/>
    <x v="3"/>
    <s v="Skulová"/>
    <s v="Staňková"/>
    <x v="526"/>
    <m/>
    <m/>
    <s v="nerealizováno"/>
    <s v="33123210-3"/>
    <s v="2.2.586."/>
    <n v="110000"/>
    <x v="2"/>
    <m/>
    <m/>
    <m/>
    <m/>
    <m/>
    <m/>
    <m/>
    <m/>
    <m/>
    <m/>
    <m/>
    <m/>
    <x v="10"/>
  </r>
  <r>
    <d v="2023-10-19T00:00:00"/>
    <s v="VZ-2023-001287"/>
    <x v="3"/>
    <s v="Skulová"/>
    <s v="Zdražilová"/>
    <x v="527"/>
    <m/>
    <m/>
    <s v="podepsaná smlouva"/>
    <s v="38434520-7"/>
    <s v="2.3.716."/>
    <n v="3644680"/>
    <x v="0"/>
    <d v="2023-10-31T00:00:00"/>
    <d v="2023-12-06T00:00:00"/>
    <d v="2024-01-15T00:00:00"/>
    <s v="A.M.I. - Analyical Medical Instruments, s.r.o."/>
    <m/>
    <n v="3449650"/>
    <n v="4174076.5"/>
    <m/>
    <m/>
    <m/>
    <d v="2024-01-15T00:00:00"/>
    <s v="SMLN-2024-617-100022_x000a_SMLN-2024-612-100007_x000a_SMLN-2024-617-100023"/>
    <x v="183"/>
  </r>
  <r>
    <d v="2023-10-18T00:00:00"/>
    <s v="VZ-2023-001292"/>
    <x v="2"/>
    <s v="Dočkalová"/>
    <s v="Hašková"/>
    <x v="528"/>
    <m/>
    <m/>
    <s v="podepsaná smlouva"/>
    <s v="33182220-7"/>
    <m/>
    <n v="15625800"/>
    <x v="0"/>
    <d v="2023-10-25T00:00:00"/>
    <d v="2023-11-29T00:00:00"/>
    <d v="2024-01-04T00:00:00"/>
    <s v="CARDION s.r.o."/>
    <m/>
    <n v="15625800"/>
    <n v="17969670"/>
    <m/>
    <m/>
    <m/>
    <d v="2024-01-04T00:00:00"/>
    <s v="SMLN-2024-617-100011"/>
    <x v="184"/>
  </r>
  <r>
    <d v="2023-10-19T00:00:00"/>
    <s v="VZ-2023-001293"/>
    <x v="2"/>
    <s v="Dočkalová"/>
    <s v="Hašková"/>
    <x v="529"/>
    <m/>
    <m/>
    <s v="podepsaná smlouva"/>
    <s v="33140000-3 "/>
    <m/>
    <n v="4327620"/>
    <x v="0"/>
    <d v="2023-10-27T00:00:00"/>
    <d v="2023-12-06T00:00:00"/>
    <d v="2024-02-26T00:00:00"/>
    <s v="SCHUBERT CZ spol. s r.o."/>
    <m/>
    <n v="4323600"/>
    <n v="4842432"/>
    <m/>
    <m/>
    <m/>
    <d v="2024-02-26T00:00:00"/>
    <s v="SMLN-2024-617-100099"/>
    <x v="185"/>
  </r>
  <r>
    <d v="2023-10-23T00:00:00"/>
    <s v="VZ-2023-001299"/>
    <x v="13"/>
    <s v="Miklík"/>
    <s v="Štýbnarová"/>
    <x v="530"/>
    <m/>
    <m/>
    <s v="podepsaná smlouva"/>
    <s v="48710000-8"/>
    <m/>
    <n v="380000"/>
    <x v="2"/>
    <d v="2023-10-03T00:00:00"/>
    <d v="2023-11-13T00:00:00"/>
    <d v="2023-11-16T00:00:00"/>
    <s v="MERIT GROUP a.s."/>
    <m/>
    <n v="376452"/>
    <n v="455506.92"/>
    <m/>
    <m/>
    <m/>
    <d v="2023-11-16T00:00:00"/>
    <s v="SMLN-2023-612-100139"/>
    <x v="69"/>
  </r>
  <r>
    <d v="2023-10-19T00:00:00"/>
    <s v="VZ-2023-001303"/>
    <x v="5"/>
    <s v="Zeman"/>
    <s v="Kučera"/>
    <x v="531"/>
    <m/>
    <m/>
    <s v="podepsaná smlouva"/>
    <s v="45453100-8"/>
    <s v="1.2.107."/>
    <n v="44000000"/>
    <x v="1"/>
    <d v="2023-11-07T00:00:00"/>
    <d v="2023-12-04T00:00:00"/>
    <d v="2023-12-13T00:00:00"/>
    <s v="OSBAU s.r.o."/>
    <m/>
    <n v="26790000"/>
    <n v="32415900"/>
    <m/>
    <m/>
    <m/>
    <d v="2023-12-13T00:00:00"/>
    <s v="SMLN-2023-618-100080"/>
    <x v="186"/>
  </r>
  <r>
    <s v="VZ-2023-001200"/>
    <s v="VZ-2023-001305"/>
    <x v="3"/>
    <s v="Skulová"/>
    <s v="Štýbnarová"/>
    <x v="532"/>
    <m/>
    <m/>
    <s v="podepsaná smlouva"/>
    <s v="38300000-8"/>
    <s v="2.2.545."/>
    <n v="162300"/>
    <x v="2"/>
    <d v="2023-10-26T00:00:00"/>
    <d v="2023-11-06T00:00:00"/>
    <d v="2023-11-14T00:00:00"/>
    <s v="SARTALEX spol.s r.o."/>
    <m/>
    <n v="169950"/>
    <n v="205639.5"/>
    <m/>
    <m/>
    <m/>
    <d v="2023-11-14T00:00:00"/>
    <s v="SMLN-2023-617-100621"/>
    <x v="117"/>
  </r>
  <r>
    <d v="2023-10-23T00:00:00"/>
    <s v="VZ-2023-001307"/>
    <x v="23"/>
    <s v="Kadlec"/>
    <s v="Staňková"/>
    <x v="533"/>
    <m/>
    <m/>
    <s v="podepsaná smlouva"/>
    <s v="45421100-5"/>
    <m/>
    <n v="300000"/>
    <x v="2"/>
    <d v="2023-10-25T00:00:00"/>
    <d v="2023-11-06T00:00:00"/>
    <d v="2023-11-10T00:00:00"/>
    <s v="Dortechnik, s.r.o."/>
    <m/>
    <n v="269803.59000000003"/>
    <n v="326462.34000000003"/>
    <m/>
    <m/>
    <m/>
    <d v="2023-11-10T00:00:00"/>
    <s v="SMLN-2023-618-100070"/>
    <x v="70"/>
  </r>
  <r>
    <d v="2023-10-23T00:00:00"/>
    <s v="VZ-2023-001309"/>
    <x v="1"/>
    <s v="Svozil"/>
    <s v="Štýbnarová"/>
    <x v="534"/>
    <m/>
    <m/>
    <s v="podepsaná smlouva"/>
    <s v="44423710-1"/>
    <m/>
    <n v="1500000"/>
    <x v="2"/>
    <d v="2023-10-30T00:00:00"/>
    <d v="2023-11-09T00:00:00"/>
    <d v="2023-11-10T00:00:00"/>
    <s v="VHT Vodohospodářské technologie s.r.o."/>
    <m/>
    <n v="1487952"/>
    <n v="1800421.92"/>
    <m/>
    <m/>
    <m/>
    <d v="2023-11-10T00:00:00"/>
    <s v="SMLN-2023-618-100069"/>
    <x v="70"/>
  </r>
  <r>
    <d v="2023-10-24T00:00:00"/>
    <s v="VZ-2023-001310"/>
    <x v="0"/>
    <s v="Vondrková"/>
    <s v="Hašková"/>
    <x v="535"/>
    <m/>
    <m/>
    <s v="podepsaná smlouva"/>
    <s v="33652100-6"/>
    <m/>
    <n v="1745280"/>
    <x v="2"/>
    <d v="2023-10-26T00:00:00"/>
    <d v="2023-11-10T00:00:00"/>
    <d v="2023-11-16T00:00:00"/>
    <s v="PROMEDICA PRAHA GROUP, a.s."/>
    <m/>
    <n v="1438294.96"/>
    <n v="1582113.46"/>
    <m/>
    <m/>
    <m/>
    <d v="2023-11-16T00:00:00"/>
    <s v="SMLN-2023-617-100624"/>
    <x v="148"/>
  </r>
  <r>
    <d v="2023-10-24T00:00:00"/>
    <s v="VZ-2023-001312-01"/>
    <x v="0"/>
    <s v="Vondrková"/>
    <s v="Bodinková"/>
    <x v="536"/>
    <n v="1"/>
    <s v="IBUPROFEN I."/>
    <s v="zrušeno"/>
    <s v="33632100-0"/>
    <m/>
    <n v="2131911"/>
    <x v="0"/>
    <d v="2023-10-26T00:00:00"/>
    <d v="2023-11-30T00:00:00"/>
    <m/>
    <s v="zrušeno - rozdělit na části"/>
    <m/>
    <m/>
    <m/>
    <m/>
    <m/>
    <m/>
    <m/>
    <m/>
    <x v="10"/>
  </r>
  <r>
    <d v="2023-10-24T00:00:00"/>
    <s v="VZ-2023-001312-02"/>
    <x v="0"/>
    <s v="Vondrková"/>
    <s v="Bodinková"/>
    <x v="536"/>
    <n v="2"/>
    <s v="IBUPROFEN II."/>
    <s v="podepsaná smlouva"/>
    <s v="33632100-0"/>
    <m/>
    <n v="3968074"/>
    <x v="0"/>
    <d v="2023-10-26T00:00:00"/>
    <d v="2024-02-14T00:00:00"/>
    <d v="2024-03-19T00:00:00"/>
    <s v="PHOENIX lék. velkoobchod, s.r.o."/>
    <m/>
    <n v="4304796.6900000004"/>
    <n v="4821372.3"/>
    <m/>
    <m/>
    <m/>
    <d v="2024-03-19T00:00:00"/>
    <s v="SMLN-2024-617-100153"/>
    <x v="187"/>
  </r>
  <r>
    <d v="2023-10-24T00:00:00"/>
    <s v="VZ-2023-001312-03"/>
    <x v="0"/>
    <s v="Vondrková"/>
    <s v="Bodinková"/>
    <x v="536"/>
    <n v="3"/>
    <s v="IBUPROFEN III."/>
    <s v="podepsaná smlouva"/>
    <s v="33632100-0"/>
    <m/>
    <n v="609"/>
    <x v="0"/>
    <d v="2023-10-26T00:00:00"/>
    <d v="2024-02-14T00:00:00"/>
    <d v="2024-03-19T00:00:00"/>
    <s v="ViaPharma s.r.o."/>
    <m/>
    <n v="467.82"/>
    <n v="523.96"/>
    <m/>
    <m/>
    <m/>
    <d v="2024-03-19T00:00:00"/>
    <s v="SMLN-2024-617-100154"/>
    <x v="188"/>
  </r>
  <r>
    <s v="VZ-2023-000935"/>
    <s v="VZ-2023-001313"/>
    <x v="3"/>
    <s v="Skulová"/>
    <s v="Zdražilová"/>
    <x v="537"/>
    <m/>
    <m/>
    <s v="podepsaná smlouva"/>
    <s v="33162100-4"/>
    <s v="2.3.735."/>
    <n v="173918"/>
    <x v="0"/>
    <d v="2023-11-15T00:00:00"/>
    <d v="2023-12-21T00:00:00"/>
    <d v="2024-01-19T00:00:00"/>
    <s v="RADIX CZ s.r.o."/>
    <m/>
    <n v="180954"/>
    <n v="218954.34"/>
    <m/>
    <m/>
    <m/>
    <d v="2024-01-19T00:00:00"/>
    <s v="SMLN-2024-617-100033_x000a_SMLN-2024-612-100009"/>
    <x v="178"/>
  </r>
  <r>
    <d v="2023-10-24T00:00:00"/>
    <s v="VZ-2023-001318"/>
    <x v="12"/>
    <s v="Zemánková"/>
    <s v="Bodinková"/>
    <x v="538"/>
    <m/>
    <m/>
    <s v="podepsaná smlouva"/>
    <s v=" 33694000-1, 38434000-6"/>
    <m/>
    <n v="20000000"/>
    <x v="0"/>
    <d v="2023-11-30T00:00:00"/>
    <d v="2024-01-19T00:00:00"/>
    <d v="2024-04-23T00:00:00"/>
    <s v="Bio-Port Europe s.r.o."/>
    <m/>
    <n v="18564800"/>
    <n v="22463408"/>
    <m/>
    <m/>
    <m/>
    <d v="2024-04-23T00:00:00"/>
    <s v="SMLN-2024-617-100278_x000a_SMLN-2024-616-100031_x000a_SMLN-2024-612-100049"/>
    <x v="189"/>
  </r>
  <r>
    <d v="2023-10-25T00:00:00"/>
    <s v="VZ-2023-001319"/>
    <x v="3"/>
    <s v="Skulová"/>
    <s v="Staňková"/>
    <x v="539"/>
    <m/>
    <m/>
    <s v="podepsaná smlouva"/>
    <s v="38000000-5"/>
    <s v="2.2.546."/>
    <n v="616000"/>
    <x v="2"/>
    <d v="2023-10-27T00:00:00"/>
    <d v="2023-11-13T00:00:00"/>
    <d v="2023-11-16T00:00:00"/>
    <s v="AMEDIS, spol. s r.o."/>
    <m/>
    <n v="577684"/>
    <n v="698997.64"/>
    <m/>
    <m/>
    <m/>
    <d v="2023-11-16T00:00:00"/>
    <s v="SMLN-2023-617-100625_x000a_SMLN-2023-612-100140"/>
    <x v="107"/>
  </r>
  <r>
    <s v="VZ-2023-001196"/>
    <s v="VZ-2023-001320"/>
    <x v="2"/>
    <s v="Dočkalová"/>
    <s v="Staňková"/>
    <x v="540"/>
    <m/>
    <m/>
    <s v="podepsaná smlouva"/>
    <s v="33100000-1"/>
    <s v="2.4.246."/>
    <n v="445500"/>
    <x v="2"/>
    <d v="2023-11-01T00:00:00"/>
    <d v="2023-11-13T00:00:00"/>
    <d v="2023-11-14T00:00:00"/>
    <s v="AdaptCare s.r.o."/>
    <m/>
    <n v="445500"/>
    <n v="539055"/>
    <m/>
    <m/>
    <m/>
    <d v="2023-11-14T00:00:00"/>
    <s v="SMLN-2023-617-100623_x000a_SMLN-2023-616-100046"/>
    <x v="124"/>
  </r>
  <r>
    <d v="2023-10-26T00:00:00"/>
    <s v="VZ-2023-001324-01"/>
    <x v="3"/>
    <s v="Skulová"/>
    <s v="Kučera"/>
    <x v="541"/>
    <n v="1"/>
    <s v="Farmaceutická lednice"/>
    <s v="podepsaná smlouva"/>
    <s v="39711100-0"/>
    <s v="2.2.587."/>
    <n v="140000"/>
    <x v="1"/>
    <d v="2023-11-03T00:00:00"/>
    <d v="2023-12-13T00:00:00"/>
    <d v="2024-01-23T00:00:00"/>
    <s v="SCHOELLER INSTRUMENTS, s.r.o."/>
    <m/>
    <n v="98350"/>
    <n v="119003.5"/>
    <m/>
    <m/>
    <m/>
    <d v="2024-01-23T00:00:00"/>
    <s v="SMLN-2024-617-100039_x000a_SMLN-2024-612-100010"/>
    <x v="190"/>
  </r>
  <r>
    <d v="2023-10-26T00:00:00"/>
    <s v="VZ-2023-001324-02"/>
    <x v="3"/>
    <s v="Skulová"/>
    <s v="Kučera"/>
    <x v="541"/>
    <n v="2"/>
    <s v="Chladící skříň na míru"/>
    <s v="zrušeno"/>
    <s v="39711100-0"/>
    <s v="2.2.588."/>
    <n v="120000"/>
    <x v="1"/>
    <d v="2023-11-03T00:00:00"/>
    <d v="2023-12-13T00:00:00"/>
    <m/>
    <s v="zrušeno - změna nabídkové ceny"/>
    <m/>
    <n v="58469"/>
    <n v="70747.490000000005"/>
    <m/>
    <m/>
    <m/>
    <m/>
    <m/>
    <x v="10"/>
  </r>
  <r>
    <s v="VZ-2023-001241"/>
    <s v="VZ-2023-001325"/>
    <x v="5"/>
    <s v="Pavela"/>
    <s v="Staňková"/>
    <x v="542"/>
    <m/>
    <m/>
    <s v="podepsaná smlouva"/>
    <s v="71240000-2"/>
    <s v="1.2.115."/>
    <n v="1400000"/>
    <x v="2"/>
    <d v="2023-10-30T00:00:00"/>
    <d v="2023-11-10T00:00:00"/>
    <d v="2023-11-14T00:00:00"/>
    <s v="STYLE STUDIO s.r.o."/>
    <m/>
    <n v="880000"/>
    <n v="1064800"/>
    <m/>
    <m/>
    <m/>
    <d v="2023-11-14T00:00:00"/>
    <s v="SMLN-2023-618-100071"/>
    <x v="69"/>
  </r>
  <r>
    <d v="2023-10-26T00:00:00"/>
    <s v="VZ-2023-001326"/>
    <x v="3"/>
    <s v="Skulová"/>
    <s v="Zdražilová"/>
    <x v="543"/>
    <m/>
    <m/>
    <s v="podepsaná smlouva"/>
    <s v="33124120-2"/>
    <s v="2.3.781."/>
    <n v="421000"/>
    <x v="0"/>
    <d v="2023-10-31T00:00:00"/>
    <d v="2023-12-07T00:00:00"/>
    <d v="2023-12-22T00:00:00"/>
    <s v="Electric Medical Service, s.r.o."/>
    <m/>
    <n v="400800"/>
    <n v="484968"/>
    <m/>
    <m/>
    <m/>
    <d v="2023-12-22T00:00:00"/>
    <s v="SMLN-2023-617-100696_x000a_SMLN-2023-612-100157"/>
    <x v="186"/>
  </r>
  <r>
    <d v="2023-10-26T00:00:00"/>
    <s v="VZ-2023-001328"/>
    <x v="3"/>
    <s v="Skulová"/>
    <s v="Štýbnarová"/>
    <x v="544"/>
    <m/>
    <m/>
    <s v="podepsaná smlouva"/>
    <s v="39122100-4"/>
    <s v="2.2.589., 2.2.590."/>
    <n v="80000"/>
    <x v="2"/>
    <d v="2023-11-01T00:00:00"/>
    <d v="2023-11-13T00:00:00"/>
    <d v="2023-11-21T00:00:00"/>
    <s v="MERCI, s.r.o."/>
    <m/>
    <n v="108768"/>
    <n v="131609.28"/>
    <m/>
    <m/>
    <m/>
    <d v="2023-11-21T00:00:00"/>
    <s v="SMLN-2023-617-100629"/>
    <x v="107"/>
  </r>
  <r>
    <d v="2023-10-30T00:00:00"/>
    <s v="VZ-2023-001331"/>
    <x v="8"/>
    <s v="Srovnal"/>
    <s v="Kučera"/>
    <x v="545"/>
    <m/>
    <m/>
    <s v="podepsaná smlouva"/>
    <s v="45453100-8"/>
    <m/>
    <n v="5500000"/>
    <x v="1"/>
    <d v="2023-11-09T00:00:00"/>
    <d v="2023-11-29T00:00:00"/>
    <d v="2023-12-22T00:00:00"/>
    <s v="DITALEX s.r.o."/>
    <m/>
    <n v="1928642.16"/>
    <n v="2333657.0099999998"/>
    <m/>
    <m/>
    <m/>
    <d v="2023-12-22T00:00:00"/>
    <s v="SMLN-2023-618-100086"/>
    <x v="151"/>
  </r>
  <r>
    <d v="2023-11-01T00:00:00"/>
    <s v="VZ-2023-001352-01"/>
    <x v="0"/>
    <s v="Vlčková"/>
    <s v="Bodinková"/>
    <x v="546"/>
    <n v="1"/>
    <s v="BASILIXIMAB"/>
    <s v="podepsaná smlouva"/>
    <s v="33652300-8"/>
    <m/>
    <n v="2909091"/>
    <x v="0"/>
    <d v="2023-11-13T00:00:00"/>
    <d v="2024-02-23T00:00:00"/>
    <d v="2024-03-11T00:00:00"/>
    <s v="Alliance Healthcare s.r.o."/>
    <m/>
    <n v="2909090.4"/>
    <n v="3258181.25"/>
    <m/>
    <m/>
    <m/>
    <d v="2024-03-11T00:00:00"/>
    <s v="SMLN-2024-617-100132"/>
    <x v="191"/>
  </r>
  <r>
    <d v="2023-11-01T00:00:00"/>
    <s v="VZ-2023-001352-02"/>
    <x v="0"/>
    <s v="Vlčková"/>
    <s v="Bodinková"/>
    <x v="546"/>
    <n v="2"/>
    <s v="Kladribin"/>
    <s v="podepsaná smlouva"/>
    <s v="33652300-8"/>
    <m/>
    <n v="470757.8"/>
    <x v="0"/>
    <d v="2023-11-13T00:00:00"/>
    <d v="2024-02-23T00:00:00"/>
    <d v="2024-03-11T00:00:00"/>
    <s v="PHOENIX lék. velkoobchod, s.r.o."/>
    <m/>
    <n v="470338.8"/>
    <n v="526779.46"/>
    <m/>
    <m/>
    <m/>
    <d v="2024-03-11T00:00:00"/>
    <s v="SMLN-2024-617-100133"/>
    <x v="192"/>
  </r>
  <r>
    <d v="2023-11-01T00:00:00"/>
    <s v="VZ-2023-001353"/>
    <x v="0"/>
    <s v="Vlčková"/>
    <s v="Bodinková"/>
    <x v="547"/>
    <m/>
    <m/>
    <s v="podepsaná smlouva"/>
    <s v="33621100-0"/>
    <m/>
    <n v="46859503"/>
    <x v="0"/>
    <d v="2023-11-10T00:00:00"/>
    <d v="2023-12-15T00:00:00"/>
    <d v="2024-01-09T00:00:00"/>
    <s v="Janssen-Cilag s.r.o."/>
    <m/>
    <n v="46859498.159999996"/>
    <n v="52482637.939999998"/>
    <m/>
    <m/>
    <m/>
    <d v="2024-01-09T00:00:00"/>
    <s v="SMLN-2024-617-100014"/>
    <x v="151"/>
  </r>
  <r>
    <d v="2023-11-02T00:00:00"/>
    <s v="VZ-2023-001358"/>
    <x v="3"/>
    <s v="Skulová"/>
    <s v="Štýbnarová"/>
    <x v="548"/>
    <m/>
    <m/>
    <s v="podepsaná smlouva"/>
    <s v="42923200-4"/>
    <s v="2.2.591."/>
    <n v="255000"/>
    <x v="2"/>
    <d v="2023-11-07T00:00:00"/>
    <d v="2023-11-20T00:00:00"/>
    <d v="2023-11-28T00:00:00"/>
    <s v="MedSystem s.r.o."/>
    <m/>
    <n v="224000"/>
    <n v="271040"/>
    <m/>
    <m/>
    <m/>
    <d v="2023-11-28T00:00:00"/>
    <s v="SMLN-2023-617-100648_x000a_SMLN-2023-612-100144"/>
    <x v="107"/>
  </r>
  <r>
    <d v="2023-11-03T00:00:00"/>
    <s v="VZ-2023-001361"/>
    <x v="5"/>
    <s v="Hrubý"/>
    <s v="Staňková"/>
    <x v="549"/>
    <m/>
    <m/>
    <s v="podepsaná smlouva"/>
    <s v="45212000-6"/>
    <m/>
    <n v="4500000"/>
    <x v="2"/>
    <d v="2023-11-03T00:00:00"/>
    <d v="2023-11-14T00:00:00"/>
    <d v="2023-11-21T00:00:00"/>
    <s v=" POZEMSTAV Prostějov, a.s."/>
    <m/>
    <n v="4297723.66"/>
    <n v="5200245.63"/>
    <m/>
    <m/>
    <m/>
    <d v="2023-11-21T00:00:00"/>
    <s v="SMLN-2023-618-100072"/>
    <x v="69"/>
  </r>
  <r>
    <s v="VZ-2023-000865-02"/>
    <s v="VZ-2023-001363"/>
    <x v="3"/>
    <s v="Skulová"/>
    <s v="Kučera"/>
    <x v="550"/>
    <m/>
    <m/>
    <s v="podepsaná smlouva"/>
    <s v="5041000-2"/>
    <m/>
    <n v="7741980"/>
    <x v="0"/>
    <d v="2023-11-07T00:00:00"/>
    <d v="2023-12-11T00:00:00"/>
    <d v="2023-12-18T00:00:00"/>
    <s v="KALIST AKL s.r.o."/>
    <m/>
    <n v="7741980"/>
    <n v="9367795.8000000007"/>
    <m/>
    <m/>
    <m/>
    <d v="2023-12-18T00:00:00"/>
    <s v="SMLN-2023-612-100154"/>
    <x v="128"/>
  </r>
  <r>
    <d v="2023-11-03T00:00:00"/>
    <s v="VZ-2023-001364"/>
    <x v="2"/>
    <s v="Dočkalová"/>
    <s v="Štýbnarová"/>
    <x v="551"/>
    <m/>
    <m/>
    <s v="podepsaná smlouva"/>
    <s v="33140000-3"/>
    <m/>
    <n v="518120"/>
    <x v="2"/>
    <d v="2023-11-09T00:00:00"/>
    <d v="2023-11-20T00:00:00"/>
    <d v="2023-12-05T00:00:00"/>
    <s v="Promedeus s.r.o."/>
    <m/>
    <n v="589800"/>
    <n v="713658"/>
    <m/>
    <m/>
    <m/>
    <d v="2023-12-05T00:00:00"/>
    <s v="SMLN-2023-617-100659"/>
    <x v="124"/>
  </r>
  <r>
    <s v="VZ-2023-000389"/>
    <s v="VZ-2023-001376"/>
    <x v="2"/>
    <s v="Čech"/>
    <s v="Dočkal"/>
    <x v="552"/>
    <m/>
    <m/>
    <s v="zrušeno "/>
    <s v="33141750-2"/>
    <m/>
    <n v="18492000"/>
    <x v="0"/>
    <d v="2023-11-29T00:00:00"/>
    <d v="2024-01-17T00:00:00"/>
    <m/>
    <s v="zrušeno - rozdělení předmětu na samostatně hodnocené části"/>
    <m/>
    <m/>
    <m/>
    <m/>
    <m/>
    <m/>
    <m/>
    <m/>
    <x v="10"/>
  </r>
  <r>
    <d v="2023-11-06T00:00:00"/>
    <s v="VZ-2023-001377"/>
    <x v="0"/>
    <s v="Vlčková"/>
    <s v="Bodinková"/>
    <x v="553"/>
    <m/>
    <m/>
    <s v="podepsaná smlouva"/>
    <s v="33652300-8"/>
    <m/>
    <n v="37910482"/>
    <x v="0"/>
    <d v="2023-11-10T00:00:00"/>
    <d v="2024-01-09T00:00:00"/>
    <d v="2024-02-01T00:00:00"/>
    <s v="ELI LILLY ČR, s.r.o."/>
    <m/>
    <n v="37910481.899999999"/>
    <n v="42459739.729999997"/>
    <m/>
    <m/>
    <m/>
    <d v="2024-02-01T00:00:00"/>
    <s v="SMLN-2024-617-100049"/>
    <x v="193"/>
  </r>
  <r>
    <d v="2023-11-06T00:00:00"/>
    <s v="VZ-2023-001378"/>
    <x v="0"/>
    <s v="Vlčková"/>
    <s v="Hašková"/>
    <x v="554"/>
    <m/>
    <m/>
    <s v="podepsaná smlouva"/>
    <s v="33652300-8"/>
    <m/>
    <n v="103854442"/>
    <x v="0"/>
    <d v="2023-11-09T00:00:00"/>
    <d v="2023-12-29T00:00:00"/>
    <d v="2024-01-10T00:00:00"/>
    <s v="ROCHE s.r.o."/>
    <m/>
    <n v="103854441.59999999"/>
    <n v="116316974.59"/>
    <m/>
    <m/>
    <m/>
    <d v="2024-01-11T00:00:00"/>
    <s v="SMLN-2024-617-100016"/>
    <x v="194"/>
  </r>
  <r>
    <d v="2023-11-07T00:00:00"/>
    <s v="VZ-2023-001379"/>
    <x v="8"/>
    <s v="Svozil"/>
    <s v="Štýbnarová"/>
    <x v="555"/>
    <m/>
    <m/>
    <s v="zrušeno"/>
    <s v="42900000-5"/>
    <m/>
    <n v="3800000"/>
    <x v="2"/>
    <d v="2023-11-16T00:00:00"/>
    <d v="2023-11-27T00:00:00"/>
    <m/>
    <s v="zrušeno "/>
    <m/>
    <m/>
    <m/>
    <m/>
    <m/>
    <m/>
    <m/>
    <m/>
    <x v="10"/>
  </r>
  <r>
    <d v="2023-11-07T00:00:00"/>
    <s v="VZ-2023-001382"/>
    <x v="3"/>
    <s v="Skulová"/>
    <s v="Štýbnarová"/>
    <x v="556"/>
    <m/>
    <m/>
    <s v="podepsaná smlouva"/>
    <s v="45453000-7"/>
    <m/>
    <n v="1660000"/>
    <x v="2"/>
    <d v="2023-11-10T00:00:00"/>
    <d v="2023-11-21T00:00:00"/>
    <d v="2023-12-15T00:00:00"/>
    <s v="Dynamic Medical Solutions a.s."/>
    <m/>
    <n v="1304920"/>
    <n v="1578953.2"/>
    <m/>
    <m/>
    <m/>
    <d v="2023-12-15T00:00:00"/>
    <s v="SMLN-2023-617-100681_x000a_SMLN-2023-612-100153_x000a_SMLN-2023-617-100682"/>
    <x v="160"/>
  </r>
  <r>
    <d v="2023-11-08T00:00:00"/>
    <s v="VZ-2023-001386"/>
    <x v="8"/>
    <s v="Srovnal"/>
    <s v="Kučera"/>
    <x v="557"/>
    <m/>
    <m/>
    <s v="podepsaná smlouva"/>
    <s v="42419510-4; 50750000-7"/>
    <m/>
    <n v="1900000"/>
    <x v="0"/>
    <d v="2023-11-16T00:00:00"/>
    <d v="2023-12-20T00:00:00"/>
    <d v="2024-01-11T00:00:00"/>
    <s v="LIFTMONT CZ s.r.o."/>
    <m/>
    <n v="1796500"/>
    <n v="2173765"/>
    <m/>
    <m/>
    <m/>
    <d v="2024-01-11T00:00:00"/>
    <s v="SMLN-2024-618-100002"/>
    <x v="190"/>
  </r>
  <r>
    <d v="2023-11-08T00:00:00"/>
    <s v="VZ-2023-001387"/>
    <x v="8"/>
    <s v="Srovnal"/>
    <s v="Staňková"/>
    <x v="558"/>
    <m/>
    <m/>
    <s v="podepsaná smlouva"/>
    <s v="45453000-7"/>
    <m/>
    <n v="5900000"/>
    <x v="2"/>
    <d v="2023-11-10T00:00:00"/>
    <d v="2023-11-21T00:00:00"/>
    <d v="2023-12-06T00:00:00"/>
    <s v="OHLA ŽS, a.s."/>
    <m/>
    <n v="4008883.57"/>
    <n v="4850749.12"/>
    <m/>
    <m/>
    <m/>
    <d v="2023-12-06T00:00:00"/>
    <s v="SMLN-2023-618-100079"/>
    <x v="124"/>
  </r>
  <r>
    <d v="2023-11-07T00:00:00"/>
    <s v="VZ-2023-001388"/>
    <x v="9"/>
    <s v="Zemánek"/>
    <s v="Staňková"/>
    <x v="559"/>
    <m/>
    <m/>
    <s v="podepsaná smlouva"/>
    <s v="50421000-2"/>
    <m/>
    <n v="450000"/>
    <x v="2"/>
    <d v="2023-11-10T00:00:00"/>
    <d v="2023-11-27T00:00:00"/>
    <d v="2023-11-30T00:00:00"/>
    <s v="PROMEDICA PRAHA GROUP, a.s."/>
    <m/>
    <n v="349596"/>
    <n v="423011.16"/>
    <m/>
    <m/>
    <m/>
    <d v="2023-11-30T00:00:00"/>
    <s v="SMLN-2023-612-100145"/>
    <x v="124"/>
  </r>
  <r>
    <d v="2023-11-06T00:00:00"/>
    <s v="VZ-2023-001389"/>
    <x v="20"/>
    <s v="Kotzot"/>
    <s v="Staňková"/>
    <x v="560"/>
    <m/>
    <m/>
    <s v="podepsaná smlouva"/>
    <s v="71356100-9"/>
    <m/>
    <n v="900000"/>
    <x v="2"/>
    <d v="2023-11-16T00:00:00"/>
    <d v="2023-11-27T00:00:00"/>
    <d v="2023-12-05T00:00:00"/>
    <s v="Hasící přístroje Kvapilík s.r.o."/>
    <m/>
    <s v="jednotkové ceny"/>
    <s v="jednotkové ceny"/>
    <m/>
    <m/>
    <m/>
    <d v="2023-12-05T00:00:00"/>
    <s v="SMLN-2023-612-100146"/>
    <x v="195"/>
  </r>
  <r>
    <d v="2023-11-07T00:00:00"/>
    <s v="VZ-2023-001391"/>
    <x v="3"/>
    <s v="Skulová"/>
    <s v="Štýbnarová"/>
    <x v="561"/>
    <m/>
    <m/>
    <s v="podepsaná smlouva"/>
    <s v="38000000-5"/>
    <s v="2.3.772."/>
    <n v="123967"/>
    <x v="2"/>
    <d v="2023-11-10T00:00:00"/>
    <d v="2023-11-21T00:00:00"/>
    <d v="2023-12-21T00:00:00"/>
    <s v="Carl Zeiss spol. s r.o."/>
    <m/>
    <n v="123232"/>
    <n v="149110.72"/>
    <m/>
    <m/>
    <m/>
    <d v="2023-12-21T00:00:00"/>
    <s v="SMLN-2023-617-100694"/>
    <x v="161"/>
  </r>
  <r>
    <d v="2023-11-07T00:00:00"/>
    <s v="VZ-2023-001392"/>
    <x v="5"/>
    <s v="Zeman"/>
    <s v="Štýbnarová"/>
    <x v="562"/>
    <m/>
    <m/>
    <s v="podepsaná smlouva"/>
    <s v="45000000-7,45215100-"/>
    <s v="1.2.109."/>
    <n v="5500000"/>
    <x v="2"/>
    <d v="2023-11-10T00:00:00"/>
    <d v="2023-11-21T00:00:00"/>
    <d v="2023-12-01T00:00:00"/>
    <s v="OHLA ŽS, a.s."/>
    <m/>
    <n v="4500798.53"/>
    <n v="5445966.2199999997"/>
    <m/>
    <m/>
    <m/>
    <d v="2023-12-01T00:00:00"/>
    <s v="SMLN-2023-618-100078"/>
    <x v="68"/>
  </r>
  <r>
    <d v="2023-11-08T00:00:00"/>
    <s v="VZ-2023-001393"/>
    <x v="2"/>
    <s v="Dočkalová"/>
    <s v="Hašková"/>
    <x v="563"/>
    <m/>
    <m/>
    <s v="podepsaná smlouva"/>
    <s v="33692800-5"/>
    <m/>
    <n v="4664280"/>
    <x v="0"/>
    <d v="2023-11-15T00:00:00"/>
    <d v="2024-01-09T00:00:00"/>
    <d v="2024-01-26T00:00:00"/>
    <s v="B. Braun Medical s.r.o."/>
    <m/>
    <n v="4664280"/>
    <n v="5223993.5999999996"/>
    <m/>
    <m/>
    <m/>
    <d v="2024-01-26T00:00:00"/>
    <s v="SMLN-2024-617-100045"/>
    <x v="170"/>
  </r>
  <r>
    <d v="2023-11-10T00:00:00"/>
    <s v="VZ-2023-001400"/>
    <x v="0"/>
    <s v="Vondrková"/>
    <s v="Bodinková"/>
    <x v="564"/>
    <m/>
    <m/>
    <s v="zrušeno"/>
    <s v="33621000-9"/>
    <m/>
    <n v="20084976"/>
    <x v="0"/>
    <d v="2023-11-22T00:00:00"/>
    <d v="2024-01-24T00:00:00"/>
    <d v="2024-02-28T00:00:00"/>
    <s v="zrušeno - úprava zadání"/>
    <s v="nová VZ-2024-000308"/>
    <n v="12937500"/>
    <n v="14490000"/>
    <m/>
    <m/>
    <m/>
    <d v="2024-02-28T00:00:00"/>
    <s v="SMLN-2024-617-100109"/>
    <x v="10"/>
  </r>
  <r>
    <d v="2023-11-10T00:00:00"/>
    <s v="VZ-2023-001401-01"/>
    <x v="0"/>
    <s v="Vondrková"/>
    <s v="Bodinková"/>
    <x v="565"/>
    <n v="1"/>
    <s v="ENTERÁLNÍ VÝŽIVA IV"/>
    <s v="zrušeno"/>
    <s v="33695000-8"/>
    <m/>
    <n v="8541983"/>
    <x v="0"/>
    <d v="2023-11-22T00:00:00"/>
    <d v="2024-02-21T00:00:00"/>
    <m/>
    <s v="zrušeno - bez nabídky"/>
    <m/>
    <m/>
    <m/>
    <m/>
    <m/>
    <m/>
    <m/>
    <m/>
    <x v="10"/>
  </r>
  <r>
    <d v="2023-11-10T00:00:00"/>
    <s v="VZ-2023-001401-02"/>
    <x v="0"/>
    <s v="Vondrková"/>
    <s v="Bodinková"/>
    <x v="565"/>
    <n v="2"/>
    <s v="ENTERÁLNÍ VÝŽIVA V"/>
    <s v="podepsaná smlouva"/>
    <s v="33695000-8"/>
    <m/>
    <n v="25230296"/>
    <x v="0"/>
    <d v="2023-11-22T00:00:00"/>
    <d v="2024-02-21T00:00:00"/>
    <d v="2024-04-16T00:00:00"/>
    <s v="ViaPharma s.r.o."/>
    <m/>
    <n v="23827899.27"/>
    <n v="26687247.18"/>
    <m/>
    <m/>
    <m/>
    <d v="2024-04-16T00:00:00"/>
    <s v="SMLN-2024-617-100233"/>
    <x v="196"/>
  </r>
  <r>
    <d v="2023-11-10T00:00:00"/>
    <s v="VZ-2023-001401-03"/>
    <x v="0"/>
    <s v="Vondrková"/>
    <s v="Bodinková"/>
    <x v="565"/>
    <n v="3"/>
    <s v="ENTERÁLNÍ VÝŽIVA VI."/>
    <s v="zrušeno"/>
    <s v="33695000-8"/>
    <m/>
    <n v="78171"/>
    <x v="0"/>
    <d v="2023-11-22T00:00:00"/>
    <d v="2024-02-21T00:00:00"/>
    <m/>
    <s v="zrušeno - bez nabídky"/>
    <m/>
    <m/>
    <m/>
    <m/>
    <m/>
    <m/>
    <m/>
    <m/>
    <x v="10"/>
  </r>
  <r>
    <d v="2023-11-10T00:00:00"/>
    <s v="VZ-2023-001402-01"/>
    <x v="0"/>
    <s v="Vondrková"/>
    <s v="Hašková"/>
    <x v="566"/>
    <n v="1"/>
    <s v="ENTERÁLNÍ VÝŽIVA I"/>
    <s v="podepsaná smlouva"/>
    <s v="33695000-8"/>
    <m/>
    <n v="4783429"/>
    <x v="0"/>
    <d v="2023-11-15T00:00:00"/>
    <d v="2024-01-24T00:00:00"/>
    <d v="2024-02-12T00:00:00"/>
    <s v="PHARMOS, a.s."/>
    <m/>
    <n v="4121429.04"/>
    <n v="4616001.53"/>
    <m/>
    <m/>
    <m/>
    <d v="2024-02-12T00:00:00"/>
    <s v="SMLN-2024-617-100063"/>
    <x v="176"/>
  </r>
  <r>
    <d v="2023-11-10T00:00:00"/>
    <s v="VZ-2023-001402-02"/>
    <x v="0"/>
    <s v="Vondrková"/>
    <s v="Hašková"/>
    <x v="566"/>
    <n v="2"/>
    <s v="ENTERÁLNÍ VÝŽIVA II"/>
    <s v="zrušeno"/>
    <s v="33695000-8"/>
    <m/>
    <n v="463470"/>
    <x v="0"/>
    <d v="2023-11-15T00:00:00"/>
    <d v="2024-01-24T00:00:00"/>
    <d v="2024-02-12T00:00:00"/>
    <s v="B. Braun neposkytl součinnost k uzavření smlouvy"/>
    <m/>
    <n v="396659.52"/>
    <n v="444258.66"/>
    <m/>
    <m/>
    <m/>
    <d v="2024-02-12T00:00:00"/>
    <s v="SMLN-2024-617-100064"/>
    <x v="10"/>
  </r>
  <r>
    <d v="2023-11-10T00:00:00"/>
    <s v="VZ-2023-001402-03"/>
    <x v="0"/>
    <s v="Vondrková"/>
    <s v="Hašková"/>
    <x v="566"/>
    <n v="3"/>
    <s v="ENTERÁLNÍ VÝŽIVA III"/>
    <s v="podepsaná smlouva"/>
    <s v="33695000-8"/>
    <m/>
    <n v="4620118"/>
    <x v="0"/>
    <d v="2023-11-15T00:00:00"/>
    <d v="2024-01-24T00:00:00"/>
    <d v="2024-02-12T00:00:00"/>
    <s v="PHARMOS, a.s."/>
    <m/>
    <n v="3768861.99"/>
    <n v="4221125.43"/>
    <m/>
    <m/>
    <m/>
    <d v="2024-02-12T00:00:00"/>
    <s v="SMLN-2024-617-100065"/>
    <x v="176"/>
  </r>
  <r>
    <s v="VZ-2023-000940-02"/>
    <s v="VZ-2023-001406"/>
    <x v="3"/>
    <s v="Skulová"/>
    <s v="Zdražilová"/>
    <x v="567"/>
    <m/>
    <m/>
    <s v="podepsaná smlouva"/>
    <s v="33192160-1"/>
    <s v="2.2.577."/>
    <n v="368000"/>
    <x v="0"/>
    <d v="2023-11-28T00:00:00"/>
    <d v="2024-01-22T00:00:00"/>
    <d v="2024-02-21T00:00:00"/>
    <s v="RESI Třebon spol. s r.o."/>
    <m/>
    <n v="362797.5"/>
    <n v="438984.98"/>
    <m/>
    <m/>
    <m/>
    <d v="2024-02-21T00:00:00"/>
    <s v="SMLN-2024-617-100082_x000a_SMLN-2024-612-100022"/>
    <x v="180"/>
  </r>
  <r>
    <d v="2023-11-13T00:00:00"/>
    <s v="VZ-2023-001411"/>
    <x v="13"/>
    <s v="Oravec"/>
    <s v="Štýbnarová"/>
    <x v="568"/>
    <m/>
    <m/>
    <s v="podepsaná smlouva"/>
    <s v="30121100-4"/>
    <m/>
    <n v="755000"/>
    <x v="2"/>
    <d v="2023-11-20T00:00:00"/>
    <d v="2023-12-27T00:00:00"/>
    <d v="2024-01-05T00:00:00"/>
    <s v="BREVYCASTA s.r.o."/>
    <m/>
    <n v="517900"/>
    <n v="626659"/>
    <m/>
    <m/>
    <m/>
    <d v="2024-01-05T00:00:00"/>
    <s v="SMLN-2024-617-100013"/>
    <x v="161"/>
  </r>
  <r>
    <d v="2023-11-14T00:00:00"/>
    <s v="VZ-2023-001416-01"/>
    <x v="0"/>
    <s v="Vlčková"/>
    <s v="Bodinková"/>
    <x v="569"/>
    <n v="1"/>
    <s v="LP pro s.c. podání, s obsahem normálního lidského imunoglobulinu (IG 10%) a rekombinantní vorhyaluronidasu alfa (rHuPH20)"/>
    <s v="podepsaná smlouva"/>
    <s v="33651520-9"/>
    <m/>
    <n v="46317000"/>
    <x v="0"/>
    <d v="2023-12-12T00:00:00"/>
    <d v="2024-02-26T00:00:00"/>
    <d v="2024-04-05T00:00:00"/>
    <s v="Takeda Pharmaceuticals Czech Republic s.r.o."/>
    <m/>
    <n v="46317000"/>
    <n v="51875040"/>
    <m/>
    <m/>
    <m/>
    <d v="2024-04-05T00:00:00"/>
    <s v="SMLN-2024-617-100198_x000a_SMLN-2024-616-100026"/>
    <x v="188"/>
  </r>
  <r>
    <d v="2023-11-14T00:00:00"/>
    <s v="VZ-2023-001416-02"/>
    <x v="0"/>
    <s v="Vlčková"/>
    <s v="Bodinková"/>
    <x v="569"/>
    <n v="2"/>
    <s v="Přípravek pro s.c. podání, obsahující normální lidský imunoglobulin (IG 20%)"/>
    <s v="podepsaná smlouva"/>
    <s v="33651520-9"/>
    <m/>
    <n v="16105260"/>
    <x v="0"/>
    <d v="2023-12-12T00:00:00"/>
    <d v="2024-02-26T00:00:00"/>
    <d v="2024-04-05T00:00:00"/>
    <s v="Grifols s.r.o."/>
    <m/>
    <n v="14891850"/>
    <n v="16678872"/>
    <m/>
    <m/>
    <m/>
    <d v="2024-04-05T00:00:00"/>
    <s v="SMLN-2024-617-100200_x000a_SMLN-2024-616-100027"/>
    <x v="188"/>
  </r>
  <r>
    <d v="2023-11-14T00:00:00"/>
    <s v="VZ-2023-001417"/>
    <x v="13"/>
    <s v="Oravec"/>
    <s v="Staňková"/>
    <x v="570"/>
    <m/>
    <m/>
    <s v="zrušeno"/>
    <s v="30232110-8"/>
    <m/>
    <n v="735000"/>
    <x v="2"/>
    <d v="2023-11-20T00:00:00"/>
    <d v="2023-12-01T00:00:00"/>
    <m/>
    <s v="zrušeno - oprava specifikace"/>
    <s v="nová VZ-2023-001486"/>
    <m/>
    <m/>
    <m/>
    <m/>
    <m/>
    <m/>
    <m/>
    <x v="10"/>
  </r>
  <r>
    <d v="2023-11-14T00:00:00"/>
    <s v="VZ-2023-001418"/>
    <x v="0"/>
    <s v="Vlčková"/>
    <s v="Bodinková"/>
    <x v="571"/>
    <m/>
    <m/>
    <s v="připravuje se"/>
    <s v="33693000-4 "/>
    <m/>
    <n v="3123091.98"/>
    <x v="0"/>
    <m/>
    <m/>
    <m/>
    <m/>
    <m/>
    <m/>
    <m/>
    <m/>
    <m/>
    <m/>
    <m/>
    <m/>
    <x v="10"/>
  </r>
  <r>
    <d v="2023-11-14T00:00:00"/>
    <s v="VZ-2023-001419-01"/>
    <x v="0"/>
    <s v="Vlčková"/>
    <s v="Hašková"/>
    <x v="572"/>
    <n v="1"/>
    <s v="Imunoglobulin ve formě prášku a rozpouštědla pro přípravu infuzního roztoku"/>
    <s v="zrušeno"/>
    <s v="33651520-9"/>
    <m/>
    <n v="598160"/>
    <x v="0"/>
    <d v="2023-12-05T00:00:00"/>
    <d v="2024-02-06T00:00:00"/>
    <m/>
    <s v="zrušeno - bez nabídky"/>
    <m/>
    <m/>
    <m/>
    <m/>
    <m/>
    <m/>
    <m/>
    <m/>
    <x v="10"/>
  </r>
  <r>
    <d v="2023-11-14T00:00:00"/>
    <s v="VZ-2023-001419-02"/>
    <x v="0"/>
    <s v="Vlčková"/>
    <s v="Hašková"/>
    <x v="572"/>
    <n v="2"/>
    <s v="Kiovig - pro chronické pacienty nasazené na tomto LP"/>
    <s v="zrušeno"/>
    <s v="33651520-9"/>
    <m/>
    <n v="3840000"/>
    <x v="0"/>
    <d v="2023-12-05T00:00:00"/>
    <d v="2024-02-06T00:00:00"/>
    <m/>
    <s v="zrušeno - bez nabídky"/>
    <m/>
    <m/>
    <m/>
    <m/>
    <m/>
    <m/>
    <m/>
    <m/>
    <x v="10"/>
  </r>
  <r>
    <d v="2023-11-14T00:00:00"/>
    <s v="VZ-2023-001419-03"/>
    <x v="0"/>
    <s v="Vlčková"/>
    <s v="Hašková"/>
    <x v="572"/>
    <n v="3"/>
    <s v="Flebogamma - pro chronické pacienty nasazené na tomto LP"/>
    <s v="podepsaná smlouva"/>
    <s v="33651520-9"/>
    <m/>
    <n v="12000000"/>
    <x v="0"/>
    <d v="2023-12-05T00:00:00"/>
    <d v="2024-02-06T00:00:00"/>
    <d v="2024-02-28T00:00:00"/>
    <s v="Grifols s.r.o."/>
    <m/>
    <n v="12000000"/>
    <n v="13440000"/>
    <m/>
    <m/>
    <m/>
    <d v="2024-02-28T00:00:00"/>
    <s v="SMLN-2024-617-100107"/>
    <x v="192"/>
  </r>
  <r>
    <d v="2023-11-14T00:00:00"/>
    <s v="VZ-2023-001419-04"/>
    <x v="0"/>
    <s v="Vlčková"/>
    <s v="Hašková"/>
    <x v="572"/>
    <n v="4"/>
    <s v="Imunoglobulin v lahvičce ve formě infuzního roztoku"/>
    <s v="podepsaná smlouva"/>
    <s v="33651520-9"/>
    <m/>
    <n v="162607200"/>
    <x v="0"/>
    <d v="2023-12-05T00:00:00"/>
    <d v="2024-02-06T00:00:00"/>
    <d v="2024-02-28T00:00:00"/>
    <s v="Grifols s.r.o."/>
    <m/>
    <n v="155154370"/>
    <n v="173772894.40000001"/>
    <m/>
    <m/>
    <m/>
    <d v="2024-02-28T00:00:00"/>
    <s v="SMLN-2024-617-100108"/>
    <x v="192"/>
  </r>
  <r>
    <d v="2023-11-14T00:00:00"/>
    <s v="VZ-2023-001423"/>
    <x v="2"/>
    <s v="Dočkalová"/>
    <s v="Štýbnarová"/>
    <x v="573"/>
    <m/>
    <m/>
    <s v="podepsaná smlouva"/>
    <s v="33140000-3"/>
    <m/>
    <n v="1315950"/>
    <x v="2"/>
    <d v="2023-11-16T00:00:00"/>
    <d v="2023-11-27T00:00:00"/>
    <d v="2023-11-29T00:00:00"/>
    <s v="MGVIVA a.s."/>
    <m/>
    <n v="1088192"/>
    <n v="1316712.32"/>
    <m/>
    <m/>
    <m/>
    <d v="2023-11-29T00:00:00"/>
    <s v="SMLN-2023-617-100653"/>
    <x v="124"/>
  </r>
  <r>
    <d v="2023-11-16T00:00:00"/>
    <s v="VZ-2023-001429"/>
    <x v="13"/>
    <s v="Oravec"/>
    <s v="Staňková"/>
    <x v="574"/>
    <m/>
    <m/>
    <s v="zrušeno"/>
    <s v="72262000-9"/>
    <m/>
    <n v="825000"/>
    <x v="2"/>
    <d v="2023-11-16T00:00:00"/>
    <d v="2023-11-27T00:00:00"/>
    <m/>
    <s v="zrušeno - překročení ceny"/>
    <s v="nová VZ-2023-001534"/>
    <m/>
    <m/>
    <m/>
    <m/>
    <m/>
    <m/>
    <m/>
    <x v="10"/>
  </r>
  <r>
    <d v="2023-11-20T00:00:00"/>
    <s v="VZ-2023-001433"/>
    <x v="2"/>
    <s v="Dočkalová"/>
    <s v="Štýbnarová"/>
    <x v="575"/>
    <m/>
    <m/>
    <s v="podepsaná smlouva"/>
    <s v="33168100-6"/>
    <m/>
    <n v="1760000"/>
    <x v="2"/>
    <d v="2023-11-23T00:00:00"/>
    <d v="2023-12-04T00:00:00"/>
    <d v="2023-12-11T00:00:00"/>
    <s v="MEDIAL spol. s r.o."/>
    <m/>
    <n v="1418646.4"/>
    <n v="1716561.6"/>
    <m/>
    <m/>
    <m/>
    <d v="2023-12-11T00:00:00"/>
    <s v="SMLN-2023-617-100674_x000a_SMLN-2023-614-100062"/>
    <x v="130"/>
  </r>
  <r>
    <s v="VZ-2023-000237"/>
    <s v="VZ-2023-001439"/>
    <x v="3"/>
    <s v="Skulová"/>
    <s v="Zdražilová"/>
    <x v="576"/>
    <m/>
    <m/>
    <s v="podepsaná smlouva"/>
    <s v="33182100-0"/>
    <m/>
    <n v="12479707"/>
    <x v="0"/>
    <d v="2023-11-30T00:00:00"/>
    <d v="2024-01-26T00:00:00"/>
    <d v="2024-02-16T00:00:00"/>
    <s v="TOMED medical s.r.o."/>
    <m/>
    <n v="12151073"/>
    <n v="14702798.33"/>
    <m/>
    <m/>
    <m/>
    <d v="2024-02-16T00:00:00"/>
    <s v="SMLN-2024-617-100074_x000a_SMLN-2024-612-100019_x000a_SMLN-2024-617-100075"/>
    <x v="180"/>
  </r>
  <r>
    <d v="2023-11-21T00:00:00"/>
    <s v="VZ-2023-001441"/>
    <x v="3"/>
    <s v="Skulová"/>
    <s v="Kučera"/>
    <x v="577"/>
    <m/>
    <s v="nově VZ-2024-000045"/>
    <s v="připravuje se"/>
    <s v="33111720-4"/>
    <s v="2.2.593."/>
    <n v="46640000"/>
    <x v="0"/>
    <m/>
    <m/>
    <m/>
    <m/>
    <m/>
    <m/>
    <m/>
    <m/>
    <m/>
    <m/>
    <m/>
    <m/>
    <x v="10"/>
  </r>
  <r>
    <d v="2023-11-22T00:00:00"/>
    <s v="VZ-2023-001443"/>
    <x v="2"/>
    <s v="Dočkalová"/>
    <s v="Hašková"/>
    <x v="578"/>
    <m/>
    <m/>
    <s v="podepsaná smlouva"/>
    <s v="33140000-3 "/>
    <m/>
    <n v="3140496"/>
    <x v="0"/>
    <d v="2023-11-24T00:00:00"/>
    <d v="2023-12-29T00:00:00"/>
    <d v="2024-01-19T00:00:00"/>
    <s v="CARDION s.r.o."/>
    <m/>
    <n v="3140495.87"/>
    <n v="3800000"/>
    <m/>
    <m/>
    <m/>
    <d v="2024-01-19T00:00:00"/>
    <s v="SMLN-2024-617-100034_x000a_SMLN-2024-614-100002"/>
    <x v="192"/>
  </r>
  <r>
    <s v="VZ-2023-000817"/>
    <s v="VZ-2023-001447"/>
    <x v="12"/>
    <s v="Zemánková"/>
    <s v="Bodinková"/>
    <x v="579"/>
    <m/>
    <m/>
    <s v="podepsaná smlouva"/>
    <s v="33694000-1,038434000"/>
    <m/>
    <n v="53288520"/>
    <x v="0"/>
    <d v="2023-12-14T00:00:00"/>
    <d v="2024-01-19T00:00:00"/>
    <d v="2024-02-27T00:00:00"/>
    <s v="DiaSorin Czech s.r.o."/>
    <m/>
    <n v="53288000"/>
    <n v="64277582.719999999"/>
    <m/>
    <m/>
    <m/>
    <d v="2024-02-27T00:00:00"/>
    <s v="SMLN-2024-617-100102_x000a_SMLN-2024-616-100015"/>
    <x v="197"/>
  </r>
  <r>
    <d v="2023-11-23T00:00:00"/>
    <s v="VZ-2023-001451-01"/>
    <x v="0"/>
    <s v="Vlčková"/>
    <s v="Bodinková"/>
    <x v="580"/>
    <n v="1"/>
    <s v="ACTRAPID PENFILL"/>
    <s v="zrušeno"/>
    <s v="33615100-5"/>
    <m/>
    <n v="1598106"/>
    <x v="0"/>
    <d v="2023-11-29T00:00:00"/>
    <d v="2024-02-01T00:00:00"/>
    <m/>
    <s v="zrušeno - bez nabídky"/>
    <m/>
    <m/>
    <m/>
    <m/>
    <m/>
    <m/>
    <m/>
    <m/>
    <x v="10"/>
  </r>
  <r>
    <d v="2023-11-23T00:00:00"/>
    <s v="VZ-2023-001451-02"/>
    <x v="0"/>
    <s v="Vlčková"/>
    <s v="Bodinková"/>
    <x v="580"/>
    <n v="2"/>
    <s v="HUMULIN R"/>
    <s v="zrušeno"/>
    <s v="33615100-5"/>
    <m/>
    <n v="789765"/>
    <x v="0"/>
    <d v="2023-11-29T00:00:00"/>
    <d v="2024-02-01T00:00:00"/>
    <m/>
    <s v="zrušeno - bez nabídky"/>
    <m/>
    <m/>
    <m/>
    <m/>
    <m/>
    <m/>
    <m/>
    <m/>
    <x v="10"/>
  </r>
  <r>
    <d v="2023-11-23T00:00:00"/>
    <s v="VZ-2023-001451-03"/>
    <x v="0"/>
    <s v="Vlčková"/>
    <s v="Bodinková"/>
    <x v="580"/>
    <n v="3"/>
    <s v="HUMALOG"/>
    <s v="zrušeno"/>
    <s v="33615100-5"/>
    <m/>
    <n v="758510"/>
    <x v="0"/>
    <d v="2023-11-29T00:00:00"/>
    <d v="2024-02-01T00:00:00"/>
    <m/>
    <s v="zrušeno - bez nabídky"/>
    <m/>
    <m/>
    <m/>
    <m/>
    <m/>
    <m/>
    <m/>
    <m/>
    <x v="10"/>
  </r>
  <r>
    <d v="2023-11-23T00:00:00"/>
    <s v="VZ-2023-001451-04"/>
    <x v="0"/>
    <s v="Vlčková"/>
    <s v="Bodinková"/>
    <x v="580"/>
    <n v="4"/>
    <s v="LYUMJEV"/>
    <s v="zrušeno"/>
    <s v="33615100-5"/>
    <m/>
    <n v="2939296"/>
    <x v="0"/>
    <d v="2023-11-29T00:00:00"/>
    <d v="2024-02-01T00:00:00"/>
    <m/>
    <s v="zrušeno - bez nabídky"/>
    <m/>
    <m/>
    <m/>
    <m/>
    <m/>
    <m/>
    <m/>
    <m/>
    <x v="10"/>
  </r>
  <r>
    <d v="2023-11-23T00:00:00"/>
    <s v="VZ-2023-001451-05"/>
    <x v="0"/>
    <s v="Vlčková"/>
    <s v="Bodinková"/>
    <x v="580"/>
    <n v="5"/>
    <s v="FIASP"/>
    <s v="zrušeno"/>
    <s v="33615100-5"/>
    <m/>
    <n v="4214743"/>
    <x v="0"/>
    <d v="2023-11-29T00:00:00"/>
    <d v="2024-02-01T00:00:00"/>
    <m/>
    <s v="zrušeno - bez nabídky"/>
    <m/>
    <m/>
    <m/>
    <m/>
    <m/>
    <m/>
    <m/>
    <m/>
    <x v="10"/>
  </r>
  <r>
    <d v="2023-11-23T00:00:00"/>
    <s v="VZ-2023-001451-06"/>
    <x v="0"/>
    <s v="Vlčková"/>
    <s v="Bodinková"/>
    <x v="580"/>
    <n v="6"/>
    <s v="NOVORAPID"/>
    <s v="zrušeno"/>
    <s v="33615100-5"/>
    <m/>
    <n v="8452425"/>
    <x v="0"/>
    <d v="2023-11-29T00:00:00"/>
    <d v="2024-02-01T00:00:00"/>
    <m/>
    <s v="zrušeno - bez nabídky"/>
    <m/>
    <m/>
    <m/>
    <m/>
    <m/>
    <m/>
    <m/>
    <m/>
    <x v="10"/>
  </r>
  <r>
    <d v="2023-11-23T00:00:00"/>
    <s v="VZ-2023-001451-07"/>
    <x v="0"/>
    <s v="Vlčková"/>
    <s v="Bodinková"/>
    <x v="580"/>
    <n v="7"/>
    <s v="APIDRA"/>
    <s v="podepsaná smlouva"/>
    <s v="33615100-5"/>
    <m/>
    <n v="245401"/>
    <x v="0"/>
    <d v="2023-11-29T00:00:00"/>
    <d v="2024-02-01T00:00:00"/>
    <d v="2024-02-21T00:00:00"/>
    <s v="PROMEDICA PRAHA GROUP, a.s."/>
    <m/>
    <n v="243340.35"/>
    <n v="272541.19"/>
    <m/>
    <m/>
    <m/>
    <d v="2024-02-21T00:00:00"/>
    <s v="SMLN-2024-617-100083"/>
    <x v="176"/>
  </r>
  <r>
    <d v="2023-11-24T00:00:00"/>
    <s v="VZ-2023-001452"/>
    <x v="2"/>
    <s v="Dočkalová"/>
    <s v="Staňková"/>
    <x v="581"/>
    <m/>
    <m/>
    <s v="podepsaná smlouva"/>
    <s v="33184200-5"/>
    <m/>
    <n v="1490000"/>
    <x v="2"/>
    <d v="2023-12-04T00:00:00"/>
    <d v="2023-12-27T00:00:00"/>
    <d v="2024-03-18T00:00:00"/>
    <s v="IMMOMEDICAL CZ s.r.o."/>
    <m/>
    <n v="1429200"/>
    <n v="1600704"/>
    <m/>
    <m/>
    <m/>
    <d v="2024-03-18T00:00:00"/>
    <s v="SMLN-2024-617-100149_x000a_SMLN-2024-614-100016"/>
    <x v="198"/>
  </r>
  <r>
    <d v="2023-11-23T00:00:00"/>
    <s v="VZ-2023-001455"/>
    <x v="2"/>
    <s v="Dočkalová"/>
    <s v="Hašková"/>
    <x v="582"/>
    <m/>
    <m/>
    <s v="podepsaná smlouva"/>
    <s v="33140000-3"/>
    <m/>
    <n v="2873000"/>
    <x v="0"/>
    <d v="2023-11-30T00:00:00"/>
    <d v="2024-01-04T00:00:00"/>
    <d v="2024-01-19T00:00:00"/>
    <s v="Mediform, spol. s r.o."/>
    <m/>
    <n v="3196000"/>
    <n v="3579520"/>
    <m/>
    <m/>
    <m/>
    <d v="2024-01-19T00:00:00"/>
    <s v="SMLN-2024-617-100035"/>
    <x v="170"/>
  </r>
  <r>
    <d v="2023-11-29T00:00:00"/>
    <s v="VZ-2023-001463"/>
    <x v="19"/>
    <s v="Jeřábková"/>
    <s v="Štýbnarová"/>
    <x v="583"/>
    <m/>
    <m/>
    <s v="podepsaná smlouva"/>
    <s v="55520000-1"/>
    <m/>
    <n v="350000"/>
    <x v="2"/>
    <d v="2023-12-14T00:00:00"/>
    <d v="2023-12-27T00:00:00"/>
    <d v="2024-01-04T00:00:00"/>
    <s v="SECATOlomouc s.r.o."/>
    <m/>
    <n v="391757.68"/>
    <n v="441000"/>
    <m/>
    <m/>
    <m/>
    <d v="2024-01-04T00:00:00"/>
    <s v="SMLN-2024-612-100003"/>
    <x v="91"/>
  </r>
  <r>
    <d v="2023-12-05T00:00:00"/>
    <s v="VZ-2023-001468"/>
    <x v="3"/>
    <s v="Skulová"/>
    <s v="Staňková"/>
    <x v="584"/>
    <m/>
    <m/>
    <s v="podepsaná smlouva"/>
    <s v="33166000-1"/>
    <s v="2.2.596."/>
    <n v="885000"/>
    <x v="2"/>
    <d v="2023-12-07T00:00:00"/>
    <d v="2023-12-22T00:00:00"/>
    <d v="2024-01-05T00:00:00"/>
    <s v="ESTEMED Pharma s.r.o."/>
    <m/>
    <n v="895200"/>
    <n v="1083192"/>
    <m/>
    <m/>
    <m/>
    <d v="2024-01-05T00:00:00"/>
    <s v="SMLN-2024-617-100012_x000a_SMLN-2024-612-100005"/>
    <x v="129"/>
  </r>
  <r>
    <d v="2023-12-05T00:00:00"/>
    <s v="VZ-2023-001472"/>
    <x v="3"/>
    <s v="Skulová"/>
    <s v="Štýbnarová"/>
    <x v="585"/>
    <m/>
    <m/>
    <s v="podepsaná smlouva"/>
    <s v="33100000-1"/>
    <s v="2.2.598."/>
    <n v="975560"/>
    <x v="2"/>
    <d v="2023-12-08T00:00:00"/>
    <d v="2023-12-19T00:00:00"/>
    <d v="2024-01-15T00:00:00"/>
    <s v="ONE Vision s.r.o."/>
    <m/>
    <n v="9700000"/>
    <n v="1173700"/>
    <m/>
    <m/>
    <m/>
    <d v="2024-01-15T00:00:00"/>
    <s v="SMLN-2024-617-100029"/>
    <x v="179"/>
  </r>
  <r>
    <d v="2023-12-05T00:00:00"/>
    <s v="VZ-2023-001474"/>
    <x v="3"/>
    <s v="Skulová"/>
    <s v="Staňková"/>
    <x v="586"/>
    <m/>
    <m/>
    <s v="podepsaná smlouva"/>
    <s v="33166000-1"/>
    <s v="2.2.597."/>
    <n v="175000"/>
    <x v="2"/>
    <d v="2023-12-07T00:00:00"/>
    <d v="2023-12-18T00:00:00"/>
    <d v="2023-12-21T00:00:00"/>
    <s v="Chironax Frýdek-Místek s.r.o."/>
    <m/>
    <n v="112626"/>
    <n v="136277.46"/>
    <m/>
    <m/>
    <m/>
    <d v="2023-12-21T00:00:00"/>
    <s v="SMLN-2023-617-100693_x000a_SMLN-2023-612-100156"/>
    <x v="130"/>
  </r>
  <r>
    <d v="2023-11-28T00:00:00"/>
    <s v="VZ-2023-001480"/>
    <x v="2"/>
    <s v="Valtová"/>
    <s v="Hašková"/>
    <x v="587"/>
    <m/>
    <m/>
    <s v="podepsaná smlouva"/>
    <s v="33140000-3"/>
    <m/>
    <n v="13884000"/>
    <x v="0"/>
    <d v="2023-12-11T00:00:00"/>
    <d v="2024-01-15T00:00:00"/>
    <d v="2024-01-24T00:00:00"/>
    <s v="Stimcare, s.r.o."/>
    <m/>
    <n v="13884000"/>
    <n v="15550080"/>
    <m/>
    <m/>
    <m/>
    <d v="2024-01-24T00:00:00"/>
    <s v="SMLN-2024-617-100043_x000a_SMLN-2024-614-100003"/>
    <x v="190"/>
  </r>
  <r>
    <d v="2023-12-06T00:00:00"/>
    <s v="VZ-2023-001483"/>
    <x v="3"/>
    <s v="Skulová"/>
    <s v="Zdražilová"/>
    <x v="588"/>
    <m/>
    <m/>
    <s v="podepsaná smlouva"/>
    <s v="33168000-5"/>
    <s v="2.3.778."/>
    <n v="239500"/>
    <x v="0"/>
    <d v="2023-12-11T00:00:00"/>
    <d v="2024-01-17T00:00:00"/>
    <d v="2024-02-01T00:00:00"/>
    <s v="OLYMPUS CZECH GROUP, s.r.o., člen koncernu"/>
    <m/>
    <n v="233600"/>
    <n v="282656"/>
    <m/>
    <m/>
    <m/>
    <d v="2024-02-01T00:00:00"/>
    <s v="SMLN-2024-617-100051_x000a_SMLN-2024-612-100013"/>
    <x v="182"/>
  </r>
  <r>
    <s v="VZ-2023-001417"/>
    <s v="VZ-2023-001486"/>
    <x v="13"/>
    <s v="Oravec"/>
    <s v="Staňková"/>
    <x v="589"/>
    <m/>
    <m/>
    <s v="podepsaná smlouva"/>
    <s v="30232110-8"/>
    <m/>
    <n v="735000"/>
    <x v="2"/>
    <d v="2023-12-15T00:00:00"/>
    <d v="2024-01-10T00:00:00"/>
    <d v="2024-01-22T00:00:00"/>
    <s v="Scenario s.r.o."/>
    <m/>
    <n v="845265.85"/>
    <n v="1022771.68"/>
    <m/>
    <m/>
    <m/>
    <d v="2024-01-22T00:00:00"/>
    <s v="SMLN-2024-617-100036"/>
    <x v="183"/>
  </r>
  <r>
    <d v="2023-12-11T00:00:00"/>
    <s v="VZ-2023-001492"/>
    <x v="0"/>
    <s v="Ondráčková"/>
    <s v="Bodinková"/>
    <x v="590"/>
    <m/>
    <m/>
    <s v="zaveden DNS"/>
    <s v="33600000-6 "/>
    <m/>
    <n v="2500000000"/>
    <x v="3"/>
    <d v="2023-12-15T00:00:00"/>
    <d v="2024-01-19T00:00:00"/>
    <m/>
    <s v="27 dodavatelů"/>
    <m/>
    <m/>
    <m/>
    <m/>
    <m/>
    <m/>
    <m/>
    <m/>
    <x v="10"/>
  </r>
  <r>
    <d v="2023-12-11T00:00:00"/>
    <s v="VZ-2023-001497"/>
    <x v="5"/>
    <s v="Zeman"/>
    <s v="Staňková"/>
    <x v="591"/>
    <m/>
    <m/>
    <s v="podepsaná smlouva"/>
    <s v="71000000-8"/>
    <s v="1.3.31."/>
    <n v="400000"/>
    <x v="2"/>
    <d v="2023-12-15T00:00:00"/>
    <d v="2024-01-04T00:00:00"/>
    <d v="2024-01-05T00:00:00"/>
    <s v="EP Rožnov, a.s."/>
    <m/>
    <n v="429000"/>
    <n v="519090"/>
    <m/>
    <m/>
    <m/>
    <d v="2024-01-05T00:00:00"/>
    <s v="SMLN-2024-612-100004"/>
    <x v="151"/>
  </r>
  <r>
    <s v="VZ-2023-001198"/>
    <s v="VZ-2023-001501"/>
    <x v="22"/>
    <s v="Mikolajová"/>
    <s v="Kučera"/>
    <x v="592"/>
    <m/>
    <m/>
    <s v="podepsaná smlouva"/>
    <s v="72261000-2_x000a_31711310-9"/>
    <m/>
    <n v="8500000"/>
    <x v="0"/>
    <d v="2023-12-14T00:00:00"/>
    <d v="2024-01-18T00:00:00"/>
    <d v="2024-02-07T00:00:00"/>
    <s v="Seyfor, a.s."/>
    <m/>
    <n v="8494980"/>
    <n v="10278925.800000001"/>
    <m/>
    <m/>
    <m/>
    <d v="2024-02-07T00:00:00"/>
    <s v="SMLN-2024-612-100015"/>
    <x v="178"/>
  </r>
  <r>
    <d v="2023-12-13T00:00:00"/>
    <s v="VZ-2023-001505"/>
    <x v="2"/>
    <s v="Novák"/>
    <s v="Štýbnarová"/>
    <x v="593"/>
    <m/>
    <m/>
    <s v="podepsaná smlouva"/>
    <s v="33192300-5"/>
    <m/>
    <n v="600000"/>
    <x v="2"/>
    <d v="2023-12-18T00:00:00"/>
    <d v="2024-01-05T00:00:00"/>
    <d v="2024-01-15T00:00:00"/>
    <s v="Pro-Charitu s.r.o."/>
    <m/>
    <n v="928914.3"/>
    <n v="1123986.3"/>
    <m/>
    <m/>
    <m/>
    <d v="2024-01-15T00:00:00"/>
    <s v="SMLN-2024-617-100028"/>
    <x v="118"/>
  </r>
  <r>
    <d v="2023-12-18T00:00:00"/>
    <s v="VZ-2023-001514-01"/>
    <x v="0"/>
    <s v="Vondrková"/>
    <s v="Bodinková"/>
    <x v="594"/>
    <n v="1"/>
    <s v="CIPROFLOXACIN i.v."/>
    <s v="podepsaná smlouva"/>
    <s v="33651100-9"/>
    <m/>
    <n v="2277231"/>
    <x v="0"/>
    <d v="2023-12-27T00:00:00"/>
    <d v="2024-01-31T00:00:00"/>
    <d v="2024-02-29T00:00:00"/>
    <s v="Fresenius Kabi s.r.o."/>
    <m/>
    <n v="2277230.1"/>
    <n v="2550497.71"/>
    <m/>
    <m/>
    <m/>
    <d v="2024-02-29T00:00:00"/>
    <s v="SMLN-2024-617-100114"/>
    <x v="199"/>
  </r>
  <r>
    <d v="2023-12-18T00:00:00"/>
    <s v="VZ-2023-001514-02"/>
    <x v="0"/>
    <s v="Vondrková"/>
    <s v="Bodinková"/>
    <x v="594"/>
    <n v="2"/>
    <s v="CIPROFLOXACIN"/>
    <s v="zrušeno"/>
    <s v="33651100-9"/>
    <m/>
    <n v="309543"/>
    <x v="0"/>
    <d v="2023-12-27T00:00:00"/>
    <d v="2024-01-31T00:00:00"/>
    <m/>
    <s v="zrušeno - bez nabídky"/>
    <m/>
    <m/>
    <m/>
    <m/>
    <m/>
    <m/>
    <m/>
    <m/>
    <x v="10"/>
  </r>
  <r>
    <d v="2023-12-18T00:00:00"/>
    <s v="VZ-2023-001515-01"/>
    <x v="0"/>
    <s v="Vondrková"/>
    <s v="Hašková"/>
    <x v="595"/>
    <n v="1"/>
    <s v="Ampicilin a inhibitor beta-laktamasy"/>
    <s v="podepsaná smlouva"/>
    <s v="33651100-9"/>
    <m/>
    <n v="1543212"/>
    <x v="0"/>
    <d v="2023-12-28T00:00:00"/>
    <d v="2024-02-01T00:00:00"/>
    <d v="2024-02-26T00:00:00"/>
    <s v="Alliance Healthcare s.r.o."/>
    <m/>
    <n v="1249767.8999999999"/>
    <n v="1399740.05"/>
    <m/>
    <m/>
    <m/>
    <d v="2024-02-26T00:00:00"/>
    <s v="SMLN-2024-617-100096"/>
    <x v="191"/>
  </r>
  <r>
    <d v="2023-12-18T00:00:00"/>
    <s v="VZ-2023-001515-02"/>
    <x v="0"/>
    <s v="Vondrková"/>
    <s v="Hašková"/>
    <x v="595"/>
    <n v="2"/>
    <s v="Piperacilin a inhibitor beta-laktamasy"/>
    <s v="podepsaná smlouva"/>
    <s v="33651100-9"/>
    <m/>
    <n v="11384604"/>
    <x v="0"/>
    <d v="2023-12-28T00:00:00"/>
    <d v="2024-02-01T00:00:00"/>
    <d v="2024-02-26T00:00:00"/>
    <s v="Fresenius Kabi s.r.o."/>
    <m/>
    <n v="7678314"/>
    <n v="8599711.6799999997"/>
    <m/>
    <m/>
    <m/>
    <d v="2024-02-26T00:00:00"/>
    <s v="SMLN-2024-617-100097"/>
    <x v="191"/>
  </r>
  <r>
    <d v="2023-12-18T00:00:00"/>
    <s v="VZ-2023-001517"/>
    <x v="0"/>
    <s v="Vondrková"/>
    <s v="Hašková"/>
    <x v="596"/>
    <m/>
    <s v="CEFTAZIDIM"/>
    <s v="podepsaná smlouva"/>
    <s v="33651100-9"/>
    <m/>
    <n v="1994052"/>
    <x v="0"/>
    <d v="2023-12-28T00:00:00"/>
    <d v="2024-02-01T00:00:00"/>
    <d v="2024-03-26T00:00:00"/>
    <s v="Fresenius Kabi s.r.o."/>
    <m/>
    <n v="1954053"/>
    <n v="2188539.36"/>
    <m/>
    <m/>
    <m/>
    <d v="2024-03-26T00:00:00"/>
    <s v="SMLN-2024-617-100175"/>
    <x v="187"/>
  </r>
  <r>
    <d v="2023-12-18T00:00:00"/>
    <s v="VZ-2023-001518"/>
    <x v="2"/>
    <s v="Dočkalová"/>
    <s v="Staňková"/>
    <x v="597"/>
    <m/>
    <m/>
    <s v="zrušeno"/>
    <s v="33140000-3"/>
    <m/>
    <n v="1254000"/>
    <x v="2"/>
    <d v="2023-12-21T00:00:00"/>
    <d v="2024-01-03T00:00:00"/>
    <m/>
    <s v="zrušeno - bez nabídky"/>
    <m/>
    <m/>
    <m/>
    <m/>
    <m/>
    <m/>
    <m/>
    <m/>
    <x v="10"/>
  </r>
  <r>
    <d v="2023-12-18T00:00:00"/>
    <s v="VZ-2023-001519-01"/>
    <x v="0"/>
    <s v="Vondrková"/>
    <s v="Bodinková"/>
    <x v="598"/>
    <n v="1"/>
    <s v="KLARITHROMYCIN i.v."/>
    <s v="podepsaná smlouva"/>
    <s v="33651100-9"/>
    <m/>
    <n v="343728"/>
    <x v="0"/>
    <d v="2023-12-27T00:00:00"/>
    <d v="2024-02-12T00:00:00"/>
    <d v="2024-03-11T00:00:00"/>
    <s v="Alliance Healthcare s.r.o."/>
    <m/>
    <n v="273866.40000000002"/>
    <n v="306730.37"/>
    <m/>
    <m/>
    <m/>
    <d v="2024-03-11T00:00:00"/>
    <s v="SMLN-2024-617-100134"/>
    <x v="198"/>
  </r>
  <r>
    <d v="2023-12-18T00:00:00"/>
    <s v="VZ-2023-001519-02"/>
    <x v="0"/>
    <s v="Vondrková"/>
    <s v="Bodinková"/>
    <x v="598"/>
    <n v="2"/>
    <s v="KLARITHROMYCIN I."/>
    <s v="zrušeno"/>
    <s v="33651100-9"/>
    <m/>
    <n v="387187"/>
    <x v="0"/>
    <d v="2023-12-27T00:00:00"/>
    <d v="2024-02-12T00:00:00"/>
    <m/>
    <s v="zrušeno - bez nabídky"/>
    <m/>
    <m/>
    <m/>
    <m/>
    <m/>
    <m/>
    <m/>
    <m/>
    <x v="10"/>
  </r>
  <r>
    <d v="2023-12-18T00:00:00"/>
    <s v="VZ-2023-001519-03"/>
    <x v="0"/>
    <s v="Vondrková"/>
    <s v="Bodinková"/>
    <x v="598"/>
    <n v="3"/>
    <s v="KLARITHROMYCIN II."/>
    <s v="zrušeno"/>
    <s v="33651100-9"/>
    <m/>
    <n v="343728"/>
    <x v="0"/>
    <d v="2023-12-27T00:00:00"/>
    <d v="2024-02-12T00:00:00"/>
    <d v="2024-03-11T00:00:00"/>
    <s v="zrušeno - máme uzavřenou platnou smlouvu"/>
    <m/>
    <n v="1525910.16"/>
    <n v="1709019.38"/>
    <m/>
    <m/>
    <m/>
    <d v="2024-03-11T00:00:00"/>
    <s v="SMLN-2024-617-100135"/>
    <x v="10"/>
  </r>
  <r>
    <d v="2023-12-19T00:00:00"/>
    <s v="VZ-2023-001520"/>
    <x v="3"/>
    <s v="Skulová"/>
    <s v="Zdražilová"/>
    <x v="599"/>
    <m/>
    <m/>
    <s v="podepsaná smlouva"/>
    <s v="33195100-4"/>
    <s v="2.3.781."/>
    <n v="720000"/>
    <x v="0"/>
    <d v="2023-12-22T00:00:00"/>
    <d v="2024-01-26T00:00:00"/>
    <d v="2024-02-20T00:00:00"/>
    <s v="medisap, s.r.o."/>
    <m/>
    <n v="719440"/>
    <n v="870522.4"/>
    <m/>
    <m/>
    <m/>
    <d v="2024-02-20T00:00:00"/>
    <s v="SMLN-2024-617-100081_x000a_SMLN-2024-612-100021"/>
    <x v="199"/>
  </r>
  <r>
    <d v="2023-12-19T00:00:00"/>
    <s v="VZ-2023-001521"/>
    <x v="0"/>
    <s v="Vondrková"/>
    <s v="Hašková"/>
    <x v="600"/>
    <m/>
    <m/>
    <s v="zrušeno"/>
    <s v="33651400-2"/>
    <m/>
    <n v="3183604"/>
    <x v="0"/>
    <d v="2023-12-28T00:00:00"/>
    <d v="2024-02-01T00:00:00"/>
    <m/>
    <s v="zrušeno - bez nabídky"/>
    <s v="nová VZ-2024-000222"/>
    <m/>
    <m/>
    <m/>
    <m/>
    <m/>
    <m/>
    <m/>
    <x v="10"/>
  </r>
  <r>
    <d v="2023-12-20T00:00:00"/>
    <s v="VZ-2023-001523"/>
    <x v="5"/>
    <s v="Pavela"/>
    <s v="Kučera"/>
    <x v="601"/>
    <m/>
    <s v="nově VZ-2024-000020"/>
    <s v="připravuje se"/>
    <m/>
    <m/>
    <m/>
    <x v="0"/>
    <m/>
    <m/>
    <m/>
    <m/>
    <m/>
    <m/>
    <m/>
    <m/>
    <m/>
    <m/>
    <m/>
    <m/>
    <x v="10"/>
  </r>
  <r>
    <d v="2023-12-21T00:00:00"/>
    <s v="VZ-2023-001528-01"/>
    <x v="0"/>
    <s v="Vondrková"/>
    <s v="Bodinková"/>
    <x v="602"/>
    <n v="1"/>
    <s v="TRAVNÍ PYŮY, ALERGENY"/>
    <s v="zrušeno"/>
    <s v="33675000-2"/>
    <m/>
    <n v="2927736"/>
    <x v="0"/>
    <d v="2023-12-27T00:00:00"/>
    <d v="2024-01-31T00:00:00"/>
    <m/>
    <s v="zrušeno - bez nabídky"/>
    <m/>
    <m/>
    <m/>
    <m/>
    <m/>
    <m/>
    <m/>
    <m/>
    <x v="10"/>
  </r>
  <r>
    <d v="2023-12-21T00:00:00"/>
    <s v="VZ-2023-001528-02"/>
    <x v="0"/>
    <s v="Vondrková"/>
    <s v="Bodinková"/>
    <x v="602"/>
    <n v="2"/>
    <s v="PYLY STRONŮ, ALERGENY"/>
    <s v="zrušeno"/>
    <s v="33675000-2"/>
    <m/>
    <n v="311465"/>
    <x v="0"/>
    <d v="2023-12-27T00:00:00"/>
    <d v="2024-01-31T00:00:00"/>
    <m/>
    <s v="zrušeno - bez nabídky"/>
    <m/>
    <m/>
    <m/>
    <m/>
    <m/>
    <m/>
    <m/>
    <m/>
    <x v="10"/>
  </r>
  <r>
    <d v="2023-12-21T00:00:00"/>
    <s v="VZ-2023-001529-01"/>
    <x v="0"/>
    <s v="Vondrková"/>
    <s v="Bodinková"/>
    <x v="603"/>
    <n v="1"/>
    <s v="ACIKLOVIR I.V."/>
    <s v="podepsaná smlouva"/>
    <s v="33651400-2"/>
    <m/>
    <n v="2400420"/>
    <x v="0"/>
    <d v="2023-12-27T00:00:00"/>
    <d v="2024-03-01T00:00:00"/>
    <d v="2024-04-05T00:00:00"/>
    <s v="PHOENIX lék. velkoobchod, s.r.o."/>
    <m/>
    <n v="2365095"/>
    <n v="2648906.4"/>
    <m/>
    <m/>
    <m/>
    <d v="2024-04-05T00:00:00"/>
    <s v="SMLN-2024-617-100194"/>
    <x v="188"/>
  </r>
  <r>
    <d v="2023-12-21T00:00:00"/>
    <s v="VZ-2023-001529-02"/>
    <x v="0"/>
    <s v="Vondrková"/>
    <s v="Bodinková"/>
    <x v="603"/>
    <n v="2"/>
    <s v="ACIKLOVIR TBL."/>
    <s v="podepsaná smlouva"/>
    <s v="33651400-2"/>
    <m/>
    <n v="2631340"/>
    <x v="0"/>
    <d v="2023-12-27T00:00:00"/>
    <d v="2024-03-01T00:00:00"/>
    <d v="2024-04-05T00:00:00"/>
    <s v="Alliance Healthcare s.r.o."/>
    <m/>
    <n v="2196941.31"/>
    <n v="2460574.27"/>
    <m/>
    <m/>
    <m/>
    <d v="2024-04-05T00:00:00"/>
    <s v="SMLN-2024-617-100195"/>
    <x v="188"/>
  </r>
  <r>
    <d v="2023-12-21T00:00:00"/>
    <s v="VZ-2023-001529-03"/>
    <x v="0"/>
    <s v="Vondrková"/>
    <s v="Bodinková"/>
    <x v="603"/>
    <n v="3"/>
    <s v="GANCIKLIViR i.v."/>
    <s v="podepsaná smlouva"/>
    <s v="33651400-2"/>
    <m/>
    <n v="1629306"/>
    <x v="0"/>
    <d v="2023-12-27T00:00:00"/>
    <d v="2024-03-01T00:00:00"/>
    <d v="2024-04-05T00:00:00"/>
    <s v="PHARMOS, a.s."/>
    <m/>
    <n v="1623476.16"/>
    <n v="1818293.3"/>
    <m/>
    <m/>
    <m/>
    <d v="2024-04-05T00:00:00"/>
    <s v="SMLN-2024-617-100196"/>
    <x v="188"/>
  </r>
  <r>
    <d v="2023-12-21T00:00:00"/>
    <s v="VZ-2023-001529-04"/>
    <x v="0"/>
    <s v="Vondrková"/>
    <s v="Bodinková"/>
    <x v="603"/>
    <n v="4"/>
    <s v="GANCIKLOVIR"/>
    <s v="podepsaná smlouva"/>
    <s v="33651400-2"/>
    <m/>
    <n v="150806"/>
    <x v="0"/>
    <d v="2023-12-27T00:00:00"/>
    <d v="2024-03-01T00:00:00"/>
    <d v="2024-04-05T00:00:00"/>
    <s v="PHARMOS, a.s."/>
    <m/>
    <n v="148713.06"/>
    <n v="166558.63"/>
    <m/>
    <m/>
    <m/>
    <d v="2024-04-05T00:00:00"/>
    <s v="SMLN-2024-617-100197"/>
    <x v="188"/>
  </r>
  <r>
    <d v="2023-12-28T00:00:00"/>
    <s v="VZ-2023-001534"/>
    <x v="13"/>
    <s v="Oravec"/>
    <s v="Staňková"/>
    <x v="604"/>
    <m/>
    <m/>
    <s v="podepsaná smlouva"/>
    <s v="72262000-9"/>
    <s v="3.2.80."/>
    <n v="826445"/>
    <x v="2"/>
    <d v="2023-12-28T00:00:00"/>
    <d v="2024-01-08T00:00:00"/>
    <d v="2024-01-10T00:00:00"/>
    <s v="Bindworks s.r.o."/>
    <m/>
    <n v="820000"/>
    <n v="992200"/>
    <m/>
    <m/>
    <m/>
    <d v="2024-01-10T00:00:00"/>
    <s v="SMLN-2024-618-100001"/>
    <x v="151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  <r>
    <m/>
    <m/>
    <x v="24"/>
    <m/>
    <m/>
    <x v="605"/>
    <m/>
    <m/>
    <m/>
    <m/>
    <m/>
    <m/>
    <x v="4"/>
    <m/>
    <m/>
    <m/>
    <m/>
    <m/>
    <m/>
    <m/>
    <m/>
    <m/>
    <m/>
    <m/>
    <m/>
    <x v="1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1">
  <r>
    <s v="xxx"/>
    <s v="VZ-2020-000020"/>
    <x v="0"/>
    <n v="150000000"/>
    <x v="0"/>
    <d v="2020-01-31T00:00:00"/>
    <d v="2020-04-22T00:00:00"/>
    <d v="2021-01-26T00:00:00"/>
    <m/>
    <m/>
    <m/>
    <d v="2021-01-26T00:00:00"/>
    <d v="2021-03-09T00:00:00"/>
    <s v="="/>
    <m/>
    <m/>
    <m/>
    <m/>
  </r>
  <r>
    <s v="opakovaná VZ"/>
    <s v="VZ-2020-000051"/>
    <x v="1"/>
    <n v="431388000"/>
    <x v="0"/>
    <d v="2020-03-05T00:00:00"/>
    <d v="2020-04-09T00:00:00"/>
    <d v="2020-06-08T00:00:00"/>
    <m/>
    <m/>
    <m/>
    <d v="2020-06-09T00:00:00"/>
    <d v="2021-01-26T00:00:00"/>
    <m/>
    <m/>
    <m/>
    <m/>
    <m/>
  </r>
  <r>
    <d v="2020-07-13T00:00:00"/>
    <s v="VZ-2020-000744"/>
    <x v="2"/>
    <n v="274000"/>
    <x v="0"/>
    <d v="2020-08-18T00:00:00"/>
    <d v="2020-10-16T00:00:00"/>
    <d v="2020-12-14T00:00:00"/>
    <m/>
    <m/>
    <m/>
    <d v="2020-12-15T00:00:00"/>
    <d v="2021-02-04T00:00:00"/>
    <n v="36"/>
    <n v="59"/>
    <n v="59"/>
    <n v="52"/>
    <n v="206"/>
  </r>
  <r>
    <d v="2020-07-13T00:00:00"/>
    <s v="VZ-2020-000744"/>
    <x v="2"/>
    <n v="5400000"/>
    <x v="0"/>
    <d v="2020-08-18T00:00:00"/>
    <d v="2020-10-16T00:00:00"/>
    <d v="2020-12-14T00:00:00"/>
    <m/>
    <m/>
    <m/>
    <d v="2020-12-15T00:00:00"/>
    <d v="2021-01-21T00:00:00"/>
    <n v="36"/>
    <n v="59"/>
    <n v="59"/>
    <n v="38"/>
    <n v="192"/>
  </r>
  <r>
    <d v="2020-07-13T00:00:00"/>
    <s v="VZ-2020-000744"/>
    <x v="2"/>
    <n v="964000"/>
    <x v="0"/>
    <d v="2020-08-18T00:00:00"/>
    <d v="2020-10-16T00:00:00"/>
    <d v="2020-12-14T00:00:00"/>
    <m/>
    <m/>
    <m/>
    <d v="2020-12-15T00:00:00"/>
    <d v="2021-02-04T00:00:00"/>
    <n v="36"/>
    <n v="59"/>
    <n v="59"/>
    <n v="52"/>
    <n v="206"/>
  </r>
  <r>
    <d v="2020-07-13T00:00:00"/>
    <s v="VZ-2020-000744"/>
    <x v="2"/>
    <n v="995000"/>
    <x v="0"/>
    <d v="2020-08-18T00:00:00"/>
    <d v="2020-10-16T00:00:00"/>
    <d v="2020-12-14T00:00:00"/>
    <m/>
    <m/>
    <m/>
    <d v="2020-12-15T00:00:00"/>
    <d v="2021-01-21T00:00:00"/>
    <n v="36"/>
    <n v="59"/>
    <n v="59"/>
    <n v="38"/>
    <n v="192"/>
  </r>
  <r>
    <d v="2020-07-13T00:00:00"/>
    <s v="VZ-2020-000744"/>
    <x v="2"/>
    <n v="2820000"/>
    <x v="0"/>
    <d v="2020-08-18T00:00:00"/>
    <d v="2020-10-16T00:00:00"/>
    <d v="2020-12-14T00:00:00"/>
    <m/>
    <m/>
    <m/>
    <d v="2020-12-15T00:00:00"/>
    <d v="2021-01-21T00:00:00"/>
    <n v="36"/>
    <n v="59"/>
    <n v="59"/>
    <n v="38"/>
    <n v="192"/>
  </r>
  <r>
    <d v="2020-07-13T00:00:00"/>
    <s v="VZ-2020-000744"/>
    <x v="2"/>
    <n v="1365043"/>
    <x v="0"/>
    <d v="2020-08-18T00:00:00"/>
    <d v="2020-10-16T00:00:00"/>
    <d v="2020-12-14T00:00:00"/>
    <m/>
    <m/>
    <m/>
    <d v="2020-12-15T00:00:00"/>
    <d v="2021-01-21T00:00:00"/>
    <n v="36"/>
    <n v="59"/>
    <n v="59"/>
    <n v="38"/>
    <n v="192"/>
  </r>
  <r>
    <d v="2020-07-13T00:00:00"/>
    <s v="VZ-2020-000744"/>
    <x v="2"/>
    <n v="7630000"/>
    <x v="0"/>
    <d v="2020-08-18T00:00:00"/>
    <d v="2020-10-16T00:00:00"/>
    <d v="2020-12-14T00:00:00"/>
    <m/>
    <m/>
    <m/>
    <d v="2020-12-15T00:00:00"/>
    <d v="2021-01-21T00:00:00"/>
    <n v="36"/>
    <n v="59"/>
    <n v="59"/>
    <n v="38"/>
    <n v="192"/>
  </r>
  <r>
    <d v="2020-07-13T00:00:00"/>
    <s v="VZ-2020-000744"/>
    <x v="2"/>
    <n v="1800000"/>
    <x v="0"/>
    <d v="2020-08-18T00:00:00"/>
    <d v="2020-10-16T00:00:00"/>
    <d v="2020-12-14T00:00:00"/>
    <m/>
    <m/>
    <m/>
    <d v="2020-12-15T00:00:00"/>
    <d v="2021-01-21T00:00:00"/>
    <n v="36"/>
    <n v="59"/>
    <n v="59"/>
    <n v="38"/>
    <n v="192"/>
  </r>
  <r>
    <d v="2020-07-13T00:00:00"/>
    <s v="VZ-2020-000744"/>
    <x v="2"/>
    <n v="3460000"/>
    <x v="0"/>
    <d v="2020-08-18T00:00:00"/>
    <d v="2020-10-16T00:00:00"/>
    <d v="2020-12-14T00:00:00"/>
    <m/>
    <m/>
    <m/>
    <d v="2020-12-16T00:00:00"/>
    <d v="2021-02-04T00:00:00"/>
    <n v="36"/>
    <n v="59"/>
    <n v="59"/>
    <n v="52"/>
    <n v="206"/>
  </r>
  <r>
    <d v="2020-07-13T00:00:00"/>
    <s v="VZ-2020-000744"/>
    <x v="2"/>
    <n v="2778000"/>
    <x v="0"/>
    <d v="2020-08-18T00:00:00"/>
    <d v="2020-10-16T00:00:00"/>
    <d v="2020-12-14T00:00:00"/>
    <m/>
    <m/>
    <m/>
    <d v="2020-12-16T00:00:00"/>
    <d v="2021-01-21T00:00:00"/>
    <n v="36"/>
    <n v="59"/>
    <n v="59"/>
    <n v="38"/>
    <n v="192"/>
  </r>
  <r>
    <d v="2020-07-13T00:00:00"/>
    <s v="VZ-2020-000744"/>
    <x v="2"/>
    <n v="2260000"/>
    <x v="0"/>
    <d v="2020-08-18T00:00:00"/>
    <d v="2020-10-16T00:00:00"/>
    <d v="2020-12-14T00:00:00"/>
    <m/>
    <m/>
    <m/>
    <d v="2020-12-16T00:00:00"/>
    <d v="2021-02-04T00:00:00"/>
    <n v="36"/>
    <n v="59"/>
    <n v="59"/>
    <n v="52"/>
    <n v="206"/>
  </r>
  <r>
    <d v="2020-07-13T00:00:00"/>
    <s v="VZ-2020-000744"/>
    <x v="2"/>
    <n v="2070000"/>
    <x v="0"/>
    <d v="2020-08-18T00:00:00"/>
    <d v="2020-10-16T00:00:00"/>
    <d v="2020-12-14T00:00:00"/>
    <m/>
    <m/>
    <m/>
    <d v="2020-12-16T00:00:00"/>
    <d v="2021-01-21T00:00:00"/>
    <n v="36"/>
    <n v="59"/>
    <n v="59"/>
    <n v="38"/>
    <n v="192"/>
  </r>
  <r>
    <d v="2020-08-07T00:00:00"/>
    <s v="VZ-2020-000826"/>
    <x v="0"/>
    <n v="4474683"/>
    <x v="0"/>
    <d v="2020-08-14T00:00:00"/>
    <d v="2020-09-17T00:00:00"/>
    <d v="2020-12-17T00:00:00"/>
    <m/>
    <m/>
    <m/>
    <d v="2020-12-18T00:00:00"/>
    <d v="2021-01-29T00:00:00"/>
    <n v="7"/>
    <n v="34"/>
    <n v="91"/>
    <n v="43"/>
    <n v="175"/>
  </r>
  <r>
    <d v="2020-08-07T00:00:00"/>
    <s v="VZ-2020-000826"/>
    <x v="0"/>
    <n v="1138770"/>
    <x v="0"/>
    <d v="2020-08-14T00:00:00"/>
    <d v="2020-09-17T00:00:00"/>
    <d v="2020-12-17T00:00:00"/>
    <m/>
    <m/>
    <m/>
    <d v="2020-12-18T00:00:00"/>
    <d v="2021-01-29T00:00:00"/>
    <n v="7"/>
    <n v="34"/>
    <n v="91"/>
    <n v="43"/>
    <n v="175"/>
  </r>
  <r>
    <d v="2020-08-07T00:00:00"/>
    <s v="VZ-2020-000826"/>
    <x v="0"/>
    <n v="933372"/>
    <x v="0"/>
    <d v="2020-08-14T00:00:00"/>
    <d v="2020-09-17T00:00:00"/>
    <d v="2020-12-09T00:00:00"/>
    <m/>
    <m/>
    <m/>
    <d v="2020-12-09T00:00:00"/>
    <d v="2021-01-29T00:00:00"/>
    <n v="7"/>
    <n v="34"/>
    <n v="83"/>
    <n v="51"/>
    <n v="175"/>
  </r>
  <r>
    <d v="2020-08-14T00:00:00"/>
    <s v="VZ-2020-000869"/>
    <x v="3"/>
    <n v="62500000"/>
    <x v="0"/>
    <d v="2020-11-12T00:00:00"/>
    <d v="2020-12-14T00:00:00"/>
    <m/>
    <m/>
    <m/>
    <m/>
    <m/>
    <m/>
    <m/>
    <m/>
    <m/>
    <m/>
    <m/>
  </r>
  <r>
    <d v="2020-08-25T00:00:00"/>
    <s v="VZ-2020-000900"/>
    <x v="4"/>
    <n v="8650000"/>
    <x v="1"/>
    <d v="2020-09-15T00:00:00"/>
    <d v="2020-10-08T00:00:00"/>
    <d v="2020-11-12T00:00:00"/>
    <m/>
    <m/>
    <m/>
    <d v="2020-11-13T00:00:00"/>
    <d v="2021-01-12T00:00:00"/>
    <n v="21"/>
    <n v="23"/>
    <n v="35"/>
    <n v="61"/>
    <n v="140"/>
  </r>
  <r>
    <d v="2020-08-26T00:00:00"/>
    <s v="VZ-2020-000907"/>
    <x v="3"/>
    <n v="40000000"/>
    <x v="0"/>
    <d v="2020-09-04T00:00:00"/>
    <d v="2020-11-02T00:00:00"/>
    <d v="2021-02-05T00:00:00"/>
    <m/>
    <m/>
    <m/>
    <d v="2021-02-05T00:00:00"/>
    <d v="2021-03-12T00:00:00"/>
    <n v="9"/>
    <n v="59"/>
    <n v="95"/>
    <n v="35"/>
    <n v="198"/>
  </r>
  <r>
    <d v="2020-09-01T00:00:00"/>
    <s v="VZ-2020-000920"/>
    <x v="3"/>
    <n v="40000000"/>
    <x v="0"/>
    <d v="2020-09-07T00:00:00"/>
    <d v="2020-11-06T00:00:00"/>
    <m/>
    <m/>
    <m/>
    <m/>
    <m/>
    <m/>
    <m/>
    <m/>
    <m/>
    <m/>
    <m/>
  </r>
  <r>
    <d v="2020-09-01T00:00:00"/>
    <s v="VZ-2020-000922"/>
    <x v="1"/>
    <n v="100000000"/>
    <x v="0"/>
    <d v="2020-12-17T00:00:00"/>
    <d v="2021-01-29T00:00:00"/>
    <d v="2021-02-19T00:00:00"/>
    <m/>
    <m/>
    <m/>
    <d v="2021-02-22T00:00:00"/>
    <d v="2021-03-25T00:00:00"/>
    <n v="107"/>
    <n v="43"/>
    <n v="21"/>
    <n v="34"/>
    <n v="205"/>
  </r>
  <r>
    <d v="2020-09-04T00:00:00"/>
    <s v="VZ-2020-000941"/>
    <x v="0"/>
    <n v="17281625"/>
    <x v="0"/>
    <d v="2020-09-07T00:00:00"/>
    <d v="2020-11-16T00:00:00"/>
    <d v="2020-12-18T00:00:00"/>
    <m/>
    <m/>
    <m/>
    <d v="2020-12-18T00:00:00"/>
    <d v="2021-01-08T00:00:00"/>
    <n v="3"/>
    <n v="70"/>
    <n v="32"/>
    <n v="21"/>
    <n v="126"/>
  </r>
  <r>
    <d v="2020-09-04T00:00:00"/>
    <s v="VZ-2020-000941"/>
    <x v="0"/>
    <n v="1223550"/>
    <x v="0"/>
    <d v="2020-09-07T00:00:00"/>
    <d v="2020-11-16T00:00:00"/>
    <d v="2020-12-18T00:00:00"/>
    <m/>
    <m/>
    <m/>
    <d v="2020-12-18T00:00:00"/>
    <d v="2021-01-08T00:00:00"/>
    <n v="3"/>
    <n v="70"/>
    <n v="32"/>
    <n v="21"/>
    <n v="126"/>
  </r>
  <r>
    <d v="2020-09-04T00:00:00"/>
    <s v="VZ-2020-000941"/>
    <x v="0"/>
    <n v="98897533"/>
    <x v="0"/>
    <d v="2020-09-07T00:00:00"/>
    <d v="2020-11-16T00:00:00"/>
    <d v="2020-12-18T00:00:00"/>
    <m/>
    <m/>
    <m/>
    <d v="2020-12-18T00:00:00"/>
    <d v="2021-01-08T00:00:00"/>
    <n v="3"/>
    <n v="70"/>
    <n v="32"/>
    <n v="21"/>
    <n v="126"/>
  </r>
  <r>
    <d v="2020-09-04T00:00:00"/>
    <s v="VZ-2020-000942"/>
    <x v="0"/>
    <n v="26177675"/>
    <x v="0"/>
    <d v="2020-09-10T00:00:00"/>
    <d v="2020-10-14T00:00:00"/>
    <d v="2020-11-25T00:00:00"/>
    <m/>
    <m/>
    <m/>
    <d v="2020-11-26T00:00:00"/>
    <d v="2021-01-13T00:00:00"/>
    <n v="6"/>
    <n v="34"/>
    <n v="42"/>
    <n v="49"/>
    <n v="131"/>
  </r>
  <r>
    <d v="2020-09-04T00:00:00"/>
    <s v="VZ-2020-000943"/>
    <x v="0"/>
    <n v="8423486"/>
    <x v="0"/>
    <d v="2020-11-27T00:00:00"/>
    <d v="2021-02-22T00:00:00"/>
    <d v="2021-03-15T00:00:00"/>
    <m/>
    <m/>
    <m/>
    <d v="2021-03-15T00:00:00"/>
    <d v="2021-04-08T00:00:00"/>
    <n v="84"/>
    <n v="87"/>
    <n v="21"/>
    <n v="24"/>
    <n v="216"/>
  </r>
  <r>
    <d v="2020-09-08T00:00:00"/>
    <s v="VZ-2020-000961"/>
    <x v="0"/>
    <n v="15458000"/>
    <x v="0"/>
    <d v="2020-09-17T00:00:00"/>
    <d v="2020-10-19T00:00:00"/>
    <d v="2020-12-01T00:00:00"/>
    <m/>
    <m/>
    <m/>
    <d v="2020-12-01T00:00:00"/>
    <d v="2020-12-28T00:00:00"/>
    <n v="9"/>
    <n v="32"/>
    <n v="43"/>
    <n v="27"/>
    <n v="111"/>
  </r>
  <r>
    <d v="2020-09-04T00:00:00"/>
    <s v="VZ-2020-000962"/>
    <x v="5"/>
    <n v="4960000"/>
    <x v="0"/>
    <d v="2020-10-09T00:00:00"/>
    <d v="2021-01-13T00:00:00"/>
    <d v="2021-02-09T00:00:00"/>
    <m/>
    <m/>
    <m/>
    <d v="2021-02-09T00:00:00"/>
    <d v="2021-03-03T00:00:00"/>
    <n v="35"/>
    <n v="96"/>
    <n v="27"/>
    <n v="22"/>
    <n v="180"/>
  </r>
  <r>
    <d v="2020-09-15T00:00:00"/>
    <s v="VZ-2020-000993"/>
    <x v="5"/>
    <n v="7319250"/>
    <x v="0"/>
    <d v="2020-09-22T00:00:00"/>
    <d v="2020-11-30T00:00:00"/>
    <d v="2020-02-12T00:00:00"/>
    <m/>
    <m/>
    <m/>
    <d v="2020-02-15T00:00:00"/>
    <d v="2021-04-01T00:00:00"/>
    <n v="7"/>
    <n v="69"/>
    <n v="-292"/>
    <n v="414"/>
    <n v="198"/>
  </r>
  <r>
    <d v="2020-09-07T00:00:00"/>
    <s v="VZ-2020-000998"/>
    <x v="4"/>
    <n v="3500000"/>
    <x v="0"/>
    <d v="2020-10-06T00:00:00"/>
    <d v="2020-12-08T00:00:00"/>
    <d v="2021-01-04T00:00:00"/>
    <m/>
    <m/>
    <m/>
    <d v="2021-01-04T00:00:00"/>
    <d v="2021-03-31T00:00:00"/>
    <n v="29"/>
    <n v="63"/>
    <n v="27"/>
    <n v="86"/>
    <n v="205"/>
  </r>
  <r>
    <d v="2020-09-16T00:00:00"/>
    <s v="VZ-2020-001003"/>
    <x v="0"/>
    <n v="39747523"/>
    <x v="0"/>
    <d v="2020-09-22T00:00:00"/>
    <d v="2020-10-26T00:00:00"/>
    <d v="2020-12-02T00:00:00"/>
    <m/>
    <m/>
    <m/>
    <d v="2020-12-02T00:00:00"/>
    <d v="2021-01-18T00:00:00"/>
    <n v="6"/>
    <n v="34"/>
    <n v="37"/>
    <n v="47"/>
    <n v="124"/>
  </r>
  <r>
    <d v="2020-09-16T00:00:00"/>
    <s v="VZ-2020-001003"/>
    <x v="0"/>
    <n v="2834659"/>
    <x v="0"/>
    <d v="2020-09-22T00:00:00"/>
    <d v="2020-10-26T00:00:00"/>
    <d v="2020-12-02T00:00:00"/>
    <m/>
    <m/>
    <m/>
    <d v="2020-12-02T00:00:00"/>
    <d v="2021-01-18T00:00:00"/>
    <n v="6"/>
    <n v="34"/>
    <n v="37"/>
    <n v="47"/>
    <n v="124"/>
  </r>
  <r>
    <d v="2020-09-16T00:00:00"/>
    <s v="VZ-2020-001003"/>
    <x v="0"/>
    <n v="3091238"/>
    <x v="0"/>
    <d v="2020-09-22T00:00:00"/>
    <d v="2020-10-26T00:00:00"/>
    <d v="2020-12-02T00:00:00"/>
    <m/>
    <m/>
    <m/>
    <d v="2020-12-02T00:00:00"/>
    <d v="2021-01-18T00:00:00"/>
    <n v="6"/>
    <n v="34"/>
    <n v="37"/>
    <n v="47"/>
    <n v="124"/>
  </r>
  <r>
    <d v="2020-09-16T00:00:00"/>
    <s v="VZ-2020-001003"/>
    <x v="0"/>
    <n v="4157967"/>
    <x v="0"/>
    <d v="2020-09-22T00:00:00"/>
    <d v="2020-10-26T00:00:00"/>
    <d v="2020-12-02T00:00:00"/>
    <m/>
    <m/>
    <m/>
    <d v="2020-12-02T00:00:00"/>
    <d v="2021-01-18T00:00:00"/>
    <n v="6"/>
    <n v="34"/>
    <n v="37"/>
    <n v="47"/>
    <n v="124"/>
  </r>
  <r>
    <d v="2020-09-16T00:00:00"/>
    <s v="VZ-2020-001003"/>
    <x v="0"/>
    <n v="1749662"/>
    <x v="0"/>
    <d v="2020-09-22T00:00:00"/>
    <d v="2020-10-26T00:00:00"/>
    <d v="2020-12-02T00:00:00"/>
    <m/>
    <m/>
    <m/>
    <d v="2020-12-02T00:00:00"/>
    <d v="2021-01-18T00:00:00"/>
    <n v="6"/>
    <n v="34"/>
    <n v="37"/>
    <n v="47"/>
    <n v="124"/>
  </r>
  <r>
    <d v="2020-09-16T00:00:00"/>
    <s v="VZ-2020-001003"/>
    <x v="0"/>
    <n v="4479566"/>
    <x v="0"/>
    <d v="2020-09-22T00:00:00"/>
    <d v="2020-10-26T00:00:00"/>
    <d v="2020-12-02T00:00:00"/>
    <m/>
    <m/>
    <m/>
    <d v="2020-12-02T00:00:00"/>
    <d v="2021-01-13T00:00:00"/>
    <n v="6"/>
    <n v="34"/>
    <n v="37"/>
    <n v="42"/>
    <n v="119"/>
  </r>
  <r>
    <d v="2020-09-08T00:00:00"/>
    <s v="VZ-2020-001007"/>
    <x v="6"/>
    <n v="3000000"/>
    <x v="1"/>
    <d v="2020-09-22T00:00:00"/>
    <d v="2020-10-14T00:00:00"/>
    <d v="2020-11-10T00:00:00"/>
    <m/>
    <m/>
    <m/>
    <d v="2020-11-11T00:00:00"/>
    <d v="2021-01-14T00:00:00"/>
    <n v="14"/>
    <n v="22"/>
    <n v="27"/>
    <n v="65"/>
    <n v="128"/>
  </r>
  <r>
    <s v="opakovaná VZ"/>
    <s v="VZ-2020-001012"/>
    <x v="1"/>
    <n v="3542148"/>
    <x v="1"/>
    <d v="2020-09-22T00:00:00"/>
    <d v="2020-10-15T00:00:00"/>
    <d v="2021-02-05T00:00:00"/>
    <m/>
    <m/>
    <m/>
    <d v="2021-02-05T00:00:00"/>
    <d v="2021-06-10T00:00:00"/>
    <m/>
    <m/>
    <m/>
    <m/>
    <m/>
  </r>
  <r>
    <d v="2020-09-14T00:00:00"/>
    <s v="VZ-2020-001020"/>
    <x v="4"/>
    <n v="5800000"/>
    <x v="0"/>
    <d v="2020-10-07T00:00:00"/>
    <d v="2020-11-18T00:00:00"/>
    <d v="2020-11-30T00:00:00"/>
    <m/>
    <m/>
    <m/>
    <d v="2020-11-30T00:00:00"/>
    <d v="2021-01-26T00:00:00"/>
    <n v="23"/>
    <n v="42"/>
    <n v="12"/>
    <n v="57"/>
    <n v="134"/>
  </r>
  <r>
    <d v="2020-09-11T00:00:00"/>
    <s v="VZ-2020-001022"/>
    <x v="3"/>
    <n v="60000000"/>
    <x v="0"/>
    <d v="2020-09-23T00:00:00"/>
    <d v="2020-10-30T00:00:00"/>
    <d v="2020-11-23T00:00:00"/>
    <m/>
    <m/>
    <m/>
    <d v="2020-11-23T00:00:00"/>
    <d v="2021-01-13T00:00:00"/>
    <n v="12"/>
    <n v="37"/>
    <n v="24"/>
    <n v="51"/>
    <n v="124"/>
  </r>
  <r>
    <d v="2020-09-21T00:00:00"/>
    <s v="VZ-2020-001035"/>
    <x v="2"/>
    <n v="13712000"/>
    <x v="0"/>
    <d v="2020-10-09T00:00:00"/>
    <d v="2020-11-11T00:00:00"/>
    <d v="2020-12-01T00:00:00"/>
    <m/>
    <m/>
    <m/>
    <d v="2020-12-02T00:00:00"/>
    <d v="2021-01-21T00:00:00"/>
    <n v="18"/>
    <n v="33"/>
    <n v="20"/>
    <n v="51"/>
    <n v="122"/>
  </r>
  <r>
    <d v="2020-09-21T00:00:00"/>
    <s v="VZ-2020-001035"/>
    <x v="2"/>
    <n v="82786000"/>
    <x v="0"/>
    <d v="2020-10-09T00:00:00"/>
    <d v="2020-11-11T00:00:00"/>
    <d v="2020-12-01T00:00:00"/>
    <m/>
    <m/>
    <m/>
    <d v="2020-12-02T00:00:00"/>
    <d v="2021-01-21T00:00:00"/>
    <n v="18"/>
    <n v="33"/>
    <n v="20"/>
    <n v="51"/>
    <n v="122"/>
  </r>
  <r>
    <d v="2020-09-21T00:00:00"/>
    <s v="VZ-2020-001035"/>
    <x v="2"/>
    <n v="38800000"/>
    <x v="0"/>
    <d v="2020-10-09T00:00:00"/>
    <d v="2020-11-11T00:00:00"/>
    <m/>
    <m/>
    <m/>
    <m/>
    <m/>
    <m/>
    <m/>
    <m/>
    <m/>
    <m/>
    <m/>
  </r>
  <r>
    <d v="2020-09-21T00:00:00"/>
    <s v="VZ-2020-001035"/>
    <x v="2"/>
    <n v="7344000"/>
    <x v="0"/>
    <d v="2020-10-09T00:00:00"/>
    <d v="2020-11-11T00:00:00"/>
    <m/>
    <m/>
    <m/>
    <m/>
    <m/>
    <m/>
    <m/>
    <m/>
    <m/>
    <m/>
    <m/>
  </r>
  <r>
    <d v="2020-09-21T00:00:00"/>
    <s v="VZ-2020-001035"/>
    <x v="2"/>
    <n v="11816000"/>
    <x v="0"/>
    <d v="2020-10-09T00:00:00"/>
    <d v="2020-11-11T00:00:00"/>
    <m/>
    <m/>
    <m/>
    <m/>
    <m/>
    <m/>
    <m/>
    <m/>
    <m/>
    <m/>
    <m/>
  </r>
  <r>
    <d v="2020-10-01T00:00:00"/>
    <s v="VZ-2020-001077"/>
    <x v="0"/>
    <n v="27930766"/>
    <x v="0"/>
    <d v="2020-11-26T00:00:00"/>
    <d v="2020-12-28T00:00:00"/>
    <d v="2021-01-20T00:00:00"/>
    <m/>
    <m/>
    <m/>
    <d v="2021-01-20T00:00:00"/>
    <d v="2021-03-23T00:00:00"/>
    <n v="56"/>
    <n v="32"/>
    <n v="23"/>
    <n v="62"/>
    <n v="173"/>
  </r>
  <r>
    <d v="2020-10-01T00:00:00"/>
    <s v="VZ-2020-001078"/>
    <x v="0"/>
    <n v="77771612"/>
    <x v="0"/>
    <d v="2020-11-24T00:00:00"/>
    <d v="2021-01-25T00:00:00"/>
    <d v="2021-02-22T00:00:00"/>
    <m/>
    <m/>
    <m/>
    <d v="2021-02-22T00:00:00"/>
    <d v="2021-03-23T00:00:00"/>
    <n v="54"/>
    <n v="62"/>
    <n v="28"/>
    <n v="29"/>
    <n v="173"/>
  </r>
  <r>
    <d v="2020-09-29T00:00:00"/>
    <s v="VZ-2020-001094"/>
    <x v="7"/>
    <n v="1500000"/>
    <x v="2"/>
    <d v="2020-11-20T00:00:00"/>
    <d v="2020-12-07T00:00:00"/>
    <d v="2020-12-17T00:00:00"/>
    <m/>
    <m/>
    <m/>
    <d v="2020-12-17T00:00:00"/>
    <d v="2021-01-04T00:00:00"/>
    <n v="52"/>
    <n v="17"/>
    <n v="10"/>
    <n v="18"/>
    <n v="97"/>
  </r>
  <r>
    <d v="2020-09-14T00:00:00"/>
    <s v="VZ-2020-001120"/>
    <x v="4"/>
    <n v="5160000"/>
    <x v="0"/>
    <d v="2020-10-19T00:00:00"/>
    <d v="2020-12-02T00:00:00"/>
    <d v="2021-01-12T00:00:00"/>
    <m/>
    <m/>
    <m/>
    <d v="2021-01-12T00:00:00"/>
    <d v="2021-03-19T00:00:00"/>
    <n v="35"/>
    <n v="44"/>
    <n v="41"/>
    <n v="66"/>
    <n v="186"/>
  </r>
  <r>
    <d v="2020-10-16T00:00:00"/>
    <s v="VZ-2020-001143"/>
    <x v="8"/>
    <n v="2700000"/>
    <x v="2"/>
    <d v="2020-10-23T00:00:00"/>
    <d v="2020-11-03T00:00:00"/>
    <d v="2020-11-23T00:00:00"/>
    <m/>
    <m/>
    <m/>
    <d v="2020-11-23T00:00:00"/>
    <d v="2021-01-28T00:00:00"/>
    <n v="7"/>
    <n v="11"/>
    <n v="20"/>
    <n v="66"/>
    <n v="104"/>
  </r>
  <r>
    <d v="2020-11-30T00:00:00"/>
    <s v="VZ-2020-001153"/>
    <x v="1"/>
    <n v="1282000"/>
    <x v="2"/>
    <d v="2020-12-02T00:00:00"/>
    <d v="2020-12-18T00:00:00"/>
    <d v="2021-02-08T00:00:00"/>
    <m/>
    <m/>
    <m/>
    <d v="2021-02-08T00:00:00"/>
    <d v="2021-03-03T00:00:00"/>
    <n v="2"/>
    <n v="16"/>
    <n v="52"/>
    <n v="23"/>
    <n v="93"/>
  </r>
  <r>
    <d v="2020-11-23T00:00:00"/>
    <s v="VZ-2020-001154"/>
    <x v="1"/>
    <n v="330000"/>
    <x v="2"/>
    <d v="2020-11-25T00:00:00"/>
    <d v="2020-12-09T00:00:00"/>
    <d v="2021-01-11T00:00:00"/>
    <m/>
    <m/>
    <m/>
    <d v="2021-01-11T00:00:00"/>
    <d v="2021-01-28T00:00:00"/>
    <n v="2"/>
    <n v="14"/>
    <n v="33"/>
    <n v="17"/>
    <n v="66"/>
  </r>
  <r>
    <d v="2020-11-26T00:00:00"/>
    <s v="VZ-2020-001155"/>
    <x v="1"/>
    <n v="727000"/>
    <x v="2"/>
    <d v="2020-12-01T00:00:00"/>
    <d v="2020-12-11T00:00:00"/>
    <m/>
    <m/>
    <m/>
    <m/>
    <m/>
    <m/>
    <m/>
    <m/>
    <m/>
    <m/>
    <m/>
  </r>
  <r>
    <d v="2020-10-19T00:00:00"/>
    <s v="VZ-2020-001157"/>
    <x v="0"/>
    <n v="3271950"/>
    <x v="0"/>
    <d v="2020-10-23T00:00:00"/>
    <d v="2020-12-23T00:00:00"/>
    <d v="2021-02-01T00:00:00"/>
    <m/>
    <m/>
    <m/>
    <d v="2021-02-01T00:00:00"/>
    <d v="2021-03-18T00:00:00"/>
    <n v="4"/>
    <n v="61"/>
    <n v="40"/>
    <n v="45"/>
    <n v="150"/>
  </r>
  <r>
    <d v="2020-10-19T00:00:00"/>
    <s v="VZ-2020-001157"/>
    <x v="0"/>
    <n v="1306500"/>
    <x v="0"/>
    <d v="2020-10-23T00:00:00"/>
    <d v="2020-12-23T00:00:00"/>
    <d v="2021-02-01T00:00:00"/>
    <m/>
    <m/>
    <m/>
    <d v="2021-02-01T00:00:00"/>
    <d v="2021-03-18T00:00:00"/>
    <n v="4"/>
    <n v="61"/>
    <n v="40"/>
    <n v="45"/>
    <n v="150"/>
  </r>
  <r>
    <d v="2020-10-19T00:00:00"/>
    <s v="VZ-2020-001157"/>
    <x v="0"/>
    <n v="1129930"/>
    <x v="0"/>
    <d v="2020-10-23T00:00:00"/>
    <d v="2020-12-23T00:00:00"/>
    <d v="2021-03-15T00:00:00"/>
    <m/>
    <m/>
    <m/>
    <d v="2021-03-15T00:00:00"/>
    <d v="2021-04-08T00:00:00"/>
    <n v="4"/>
    <n v="61"/>
    <n v="82"/>
    <n v="24"/>
    <n v="171"/>
  </r>
  <r>
    <d v="2020-10-19T00:00:00"/>
    <s v="VZ-2020-001157"/>
    <x v="0"/>
    <n v="1966708"/>
    <x v="0"/>
    <d v="2020-10-23T00:00:00"/>
    <d v="2020-12-23T00:00:00"/>
    <d v="2021-02-01T00:00:00"/>
    <m/>
    <m/>
    <m/>
    <d v="2021-02-01T00:00:00"/>
    <d v="2021-03-18T00:00:00"/>
    <n v="4"/>
    <n v="61"/>
    <n v="40"/>
    <n v="45"/>
    <n v="150"/>
  </r>
  <r>
    <d v="2020-10-19T00:00:00"/>
    <s v="VZ-2020-001157"/>
    <x v="0"/>
    <n v="10607165"/>
    <x v="0"/>
    <d v="2020-10-23T00:00:00"/>
    <d v="2020-12-23T00:00:00"/>
    <d v="2021-02-01T00:00:00"/>
    <m/>
    <m/>
    <m/>
    <d v="2021-02-01T00:00:00"/>
    <d v="2021-03-18T00:00:00"/>
    <n v="4"/>
    <n v="61"/>
    <n v="40"/>
    <n v="45"/>
    <n v="150"/>
  </r>
  <r>
    <d v="2020-10-19T00:00:00"/>
    <s v="VZ-2020-001157"/>
    <x v="0"/>
    <n v="339465"/>
    <x v="0"/>
    <d v="2020-10-23T00:00:00"/>
    <d v="2020-12-23T00:00:00"/>
    <d v="2021-02-01T00:00:00"/>
    <m/>
    <m/>
    <m/>
    <d v="2021-02-01T00:00:00"/>
    <d v="2021-03-10T00:00:00"/>
    <n v="4"/>
    <n v="61"/>
    <n v="40"/>
    <n v="37"/>
    <n v="142"/>
  </r>
  <r>
    <d v="2020-10-19T00:00:00"/>
    <s v="VZ-2020-001158"/>
    <x v="0"/>
    <n v="125530696"/>
    <x v="0"/>
    <d v="2020-10-23T00:00:00"/>
    <d v="2020-12-28T00:00:00"/>
    <d v="2021-02-05T00:00:00"/>
    <m/>
    <m/>
    <m/>
    <d v="2021-02-05T00:00:00"/>
    <d v="2021-04-06T00:00:00"/>
    <n v="4"/>
    <n v="66"/>
    <n v="39"/>
    <n v="60"/>
    <n v="169"/>
  </r>
  <r>
    <d v="2020-10-19T00:00:00"/>
    <s v="VZ-2020-001158"/>
    <x v="0"/>
    <n v="41843610"/>
    <x v="0"/>
    <d v="2020-10-23T00:00:00"/>
    <d v="2020-12-28T00:00:00"/>
    <d v="2021-02-05T00:00:00"/>
    <m/>
    <m/>
    <m/>
    <d v="2021-02-05T00:00:00"/>
    <d v="2021-03-11T00:00:00"/>
    <n v="4"/>
    <n v="66"/>
    <n v="39"/>
    <n v="34"/>
    <n v="143"/>
  </r>
  <r>
    <d v="2020-10-13T00:00:00"/>
    <s v="VZ-2020-001164"/>
    <x v="1"/>
    <n v="2010000"/>
    <x v="1"/>
    <d v="2020-10-30T00:00:00"/>
    <d v="2020-11-18T00:00:00"/>
    <d v="2021-01-22T00:00:00"/>
    <m/>
    <m/>
    <m/>
    <d v="2021-01-22T00:00:00"/>
    <d v="2021-03-02T00:00:00"/>
    <n v="17"/>
    <n v="19"/>
    <n v="65"/>
    <n v="39"/>
    <n v="140"/>
  </r>
  <r>
    <d v="2020-10-13T00:00:00"/>
    <s v="VZ-2020-001170"/>
    <x v="3"/>
    <n v="40000000"/>
    <x v="1"/>
    <d v="2020-11-06T00:00:00"/>
    <d v="2020-12-02T00:00:00"/>
    <d v="2020-12-18T00:00:00"/>
    <m/>
    <m/>
    <m/>
    <d v="2020-12-18T00:00:00"/>
    <d v="2021-02-26T00:00:00"/>
    <n v="24"/>
    <n v="26"/>
    <n v="16"/>
    <n v="70"/>
    <n v="136"/>
  </r>
  <r>
    <d v="2020-10-16T00:00:00"/>
    <s v="VZ-2020-001180"/>
    <x v="3"/>
    <n v="106000000"/>
    <x v="0"/>
    <d v="2020-11-02T00:00:00"/>
    <d v="2021-01-11T00:00:00"/>
    <d v="2021-01-22T00:00:00"/>
    <m/>
    <m/>
    <m/>
    <d v="2021-01-22T00:00:00"/>
    <m/>
    <m/>
    <m/>
    <m/>
    <m/>
    <m/>
  </r>
  <r>
    <s v="opakovaná VZ"/>
    <s v="VZ-2020-001187"/>
    <x v="4"/>
    <n v="476720"/>
    <x v="2"/>
    <d v="2020-11-04T00:00:00"/>
    <d v="2020-11-13T00:00:00"/>
    <d v="2020-11-18T00:00:00"/>
    <m/>
    <m/>
    <m/>
    <d v="2020-11-18T00:00:00"/>
    <d v="2021-02-03T00:00:00"/>
    <m/>
    <m/>
    <m/>
    <m/>
    <m/>
  </r>
  <r>
    <d v="2020-10-29T00:00:00"/>
    <s v="VZ-2020-001195"/>
    <x v="2"/>
    <n v="816000"/>
    <x v="0"/>
    <d v="2020-11-09T00:00:00"/>
    <d v="2021-01-04T00:00:00"/>
    <d v="2021-04-20T00:00:00"/>
    <m/>
    <m/>
    <m/>
    <d v="2021-04-20T00:00:00"/>
    <d v="2021-05-20T00:00:00"/>
    <n v="11"/>
    <n v="56"/>
    <n v="106"/>
    <n v="30"/>
    <n v="203"/>
  </r>
  <r>
    <d v="2020-10-29T00:00:00"/>
    <s v="VZ-2020-001195"/>
    <x v="2"/>
    <n v="3659405"/>
    <x v="0"/>
    <d v="2020-11-09T00:00:00"/>
    <d v="2021-01-04T00:00:00"/>
    <d v="2021-04-20T00:00:00"/>
    <m/>
    <m/>
    <m/>
    <d v="2021-04-20T00:00:00"/>
    <d v="2021-05-20T00:00:00"/>
    <n v="11"/>
    <n v="56"/>
    <n v="106"/>
    <n v="30"/>
    <n v="203"/>
  </r>
  <r>
    <d v="2020-10-29T00:00:00"/>
    <s v="VZ-2020-001195"/>
    <x v="2"/>
    <n v="26000"/>
    <x v="0"/>
    <d v="2020-11-09T00:00:00"/>
    <d v="2021-01-04T00:00:00"/>
    <d v="2021-04-20T00:00:00"/>
    <m/>
    <m/>
    <m/>
    <d v="2021-04-20T00:00:00"/>
    <d v="2021-05-11T00:00:00"/>
    <n v="11"/>
    <n v="56"/>
    <n v="106"/>
    <n v="21"/>
    <n v="194"/>
  </r>
  <r>
    <d v="2020-10-29T00:00:00"/>
    <s v="VZ-2020-001195"/>
    <x v="2"/>
    <n v="72000"/>
    <x v="0"/>
    <d v="2020-11-09T00:00:00"/>
    <d v="2021-01-04T00:00:00"/>
    <d v="2021-03-09T00:00:00"/>
    <m/>
    <m/>
    <m/>
    <d v="2021-03-09T00:00:00"/>
    <d v="2021-04-14T00:00:00"/>
    <n v="11"/>
    <n v="56"/>
    <n v="64"/>
    <n v="36"/>
    <n v="167"/>
  </r>
  <r>
    <d v="2020-10-29T00:00:00"/>
    <s v="VZ-2020-001195"/>
    <x v="2"/>
    <n v="105000"/>
    <x v="0"/>
    <d v="2020-11-09T00:00:00"/>
    <d v="2021-01-04T00:00:00"/>
    <d v="2021-03-09T00:00:00"/>
    <m/>
    <m/>
    <m/>
    <d v="2021-03-09T00:00:00"/>
    <d v="2021-04-14T00:00:00"/>
    <n v="11"/>
    <n v="56"/>
    <n v="64"/>
    <n v="36"/>
    <n v="167"/>
  </r>
  <r>
    <d v="2020-10-29T00:00:00"/>
    <s v="VZ-2020-001195"/>
    <x v="2"/>
    <n v="337000"/>
    <x v="0"/>
    <d v="2020-11-09T00:00:00"/>
    <d v="2021-01-04T00:00:00"/>
    <d v="2021-04-20T00:00:00"/>
    <m/>
    <m/>
    <m/>
    <d v="2021-04-20T00:00:00"/>
    <d v="2021-05-12T00:00:00"/>
    <n v="11"/>
    <n v="56"/>
    <n v="106"/>
    <n v="22"/>
    <n v="195"/>
  </r>
  <r>
    <d v="2020-10-29T00:00:00"/>
    <s v="VZ-2020-001195"/>
    <x v="2"/>
    <n v="330000"/>
    <x v="0"/>
    <d v="2020-11-09T00:00:00"/>
    <d v="2021-01-04T00:00:00"/>
    <d v="2021-03-26T00:00:00"/>
    <m/>
    <m/>
    <m/>
    <d v="2021-03-26T00:00:00"/>
    <d v="2021-05-04T00:00:00"/>
    <n v="11"/>
    <n v="56"/>
    <n v="81"/>
    <n v="39"/>
    <n v="187"/>
  </r>
  <r>
    <d v="2020-10-27T00:00:00"/>
    <s v="VZ-2020-001200"/>
    <x v="5"/>
    <n v="1035000"/>
    <x v="0"/>
    <d v="2020-11-13T00:00:00"/>
    <d v="2020-12-31T00:00:00"/>
    <d v="2021-01-08T00:00:00"/>
    <m/>
    <m/>
    <m/>
    <d v="2021-01-08T00:00:00"/>
    <d v="2021-02-02T00:00:00"/>
    <n v="17"/>
    <n v="48"/>
    <n v="8"/>
    <n v="25"/>
    <n v="98"/>
  </r>
  <r>
    <d v="2020-11-11T00:00:00"/>
    <s v="VZ-2020-001222"/>
    <x v="5"/>
    <n v="813800"/>
    <x v="2"/>
    <d v="2020-11-16T00:00:00"/>
    <d v="2020-12-02T00:00:00"/>
    <d v="2020-12-21T00:00:00"/>
    <m/>
    <m/>
    <m/>
    <d v="2020-12-21T00:00:00"/>
    <d v="2021-01-20T00:00:00"/>
    <n v="5"/>
    <n v="16"/>
    <n v="19"/>
    <n v="30"/>
    <n v="70"/>
  </r>
  <r>
    <d v="2020-11-12T00:00:00"/>
    <s v="VZ-2020-001228"/>
    <x v="0"/>
    <n v="1887318"/>
    <x v="0"/>
    <d v="2020-12-28T00:00:00"/>
    <d v="2021-03-08T00:00:00"/>
    <d v="2021-04-09T00:00:00"/>
    <m/>
    <m/>
    <m/>
    <d v="2021-04-09T00:00:00"/>
    <d v="2021-05-04T00:00:00"/>
    <n v="46"/>
    <n v="70"/>
    <n v="32"/>
    <n v="25"/>
    <n v="173"/>
  </r>
  <r>
    <d v="2020-11-12T00:00:00"/>
    <s v="VZ-2020-001228"/>
    <x v="0"/>
    <n v="3638257"/>
    <x v="0"/>
    <d v="2020-12-28T00:00:00"/>
    <d v="2021-03-08T00:00:00"/>
    <m/>
    <m/>
    <m/>
    <m/>
    <m/>
    <m/>
    <m/>
    <m/>
    <m/>
    <m/>
    <m/>
  </r>
  <r>
    <d v="2020-11-12T00:00:00"/>
    <s v="VZ-2020-001228"/>
    <x v="0"/>
    <n v="3777877"/>
    <x v="0"/>
    <d v="2020-12-28T00:00:00"/>
    <d v="2021-03-08T00:00:00"/>
    <d v="2021-04-09T00:00:00"/>
    <m/>
    <m/>
    <m/>
    <d v="2021-04-09T00:00:00"/>
    <d v="2021-05-04T00:00:00"/>
    <n v="46"/>
    <n v="70"/>
    <n v="32"/>
    <n v="25"/>
    <n v="173"/>
  </r>
  <r>
    <d v="2020-11-12T00:00:00"/>
    <s v="VZ-2020-001228"/>
    <x v="0"/>
    <n v="1920000"/>
    <x v="0"/>
    <d v="2020-12-28T00:00:00"/>
    <d v="2021-03-08T00:00:00"/>
    <d v="2021-04-09T00:00:00"/>
    <m/>
    <m/>
    <m/>
    <d v="2021-04-09T00:00:00"/>
    <d v="2021-05-12T00:00:00"/>
    <n v="46"/>
    <n v="70"/>
    <n v="32"/>
    <n v="33"/>
    <n v="181"/>
  </r>
  <r>
    <d v="2020-11-12T00:00:00"/>
    <s v="VZ-2020-001228"/>
    <x v="0"/>
    <n v="1622291"/>
    <x v="0"/>
    <d v="2020-12-28T00:00:00"/>
    <d v="2021-03-08T00:00:00"/>
    <d v="2021-04-09T00:00:00"/>
    <m/>
    <m/>
    <m/>
    <d v="2021-04-09T00:00:00"/>
    <d v="2021-05-04T00:00:00"/>
    <n v="46"/>
    <n v="70"/>
    <n v="32"/>
    <n v="25"/>
    <n v="173"/>
  </r>
  <r>
    <d v="2020-11-12T00:00:00"/>
    <s v="VZ-2020-001228"/>
    <x v="0"/>
    <n v="2338034"/>
    <x v="0"/>
    <d v="2020-12-28T00:00:00"/>
    <d v="2021-03-08T00:00:00"/>
    <d v="2021-04-09T00:00:00"/>
    <m/>
    <m/>
    <m/>
    <d v="2021-04-09T00:00:00"/>
    <d v="2021-05-04T00:00:00"/>
    <n v="46"/>
    <n v="70"/>
    <n v="32"/>
    <n v="25"/>
    <n v="173"/>
  </r>
  <r>
    <d v="2020-11-12T00:00:00"/>
    <s v="VZ-2020-001229"/>
    <x v="0"/>
    <n v="2465378"/>
    <x v="0"/>
    <d v="2020-12-04T00:00:00"/>
    <d v="2021-01-06T00:00:00"/>
    <d v="2021-02-23T00:00:00"/>
    <m/>
    <m/>
    <m/>
    <d v="2021-02-23T00:00:00"/>
    <d v="2021-03-23T00:00:00"/>
    <n v="22"/>
    <n v="33"/>
    <n v="48"/>
    <n v="28"/>
    <n v="131"/>
  </r>
  <r>
    <d v="2020-11-12T00:00:00"/>
    <s v="VZ-2020-001229"/>
    <x v="0"/>
    <n v="7121640"/>
    <x v="0"/>
    <d v="2020-12-04T00:00:00"/>
    <d v="2021-01-06T00:00:00"/>
    <d v="2021-02-23T00:00:00"/>
    <m/>
    <m/>
    <m/>
    <d v="2021-02-23T00:00:00"/>
    <d v="2021-03-15T00:00:00"/>
    <n v="22"/>
    <n v="33"/>
    <n v="48"/>
    <n v="20"/>
    <n v="123"/>
  </r>
  <r>
    <d v="2020-11-12T00:00:00"/>
    <s v="VZ-2020-001229"/>
    <x v="0"/>
    <n v="2157101"/>
    <x v="0"/>
    <d v="2020-12-04T00:00:00"/>
    <d v="2021-01-06T00:00:00"/>
    <d v="2021-02-23T00:00:00"/>
    <m/>
    <m/>
    <m/>
    <d v="2021-02-23T00:00:00"/>
    <d v="2021-03-29T00:00:00"/>
    <n v="22"/>
    <n v="33"/>
    <n v="48"/>
    <n v="34"/>
    <n v="137"/>
  </r>
  <r>
    <d v="2020-11-12T00:00:00"/>
    <s v="VZ-2020-001229"/>
    <x v="0"/>
    <n v="1789080"/>
    <x v="0"/>
    <d v="2020-12-04T00:00:00"/>
    <d v="2021-01-06T00:00:00"/>
    <d v="2021-02-23T00:00:00"/>
    <m/>
    <m/>
    <m/>
    <d v="2021-02-23T00:00:00"/>
    <d v="2021-03-18T00:00:00"/>
    <n v="22"/>
    <n v="33"/>
    <n v="48"/>
    <n v="23"/>
    <n v="126"/>
  </r>
  <r>
    <d v="2020-11-12T00:00:00"/>
    <s v="VZ-2020-001229"/>
    <x v="0"/>
    <n v="1317252"/>
    <x v="0"/>
    <d v="2020-12-04T00:00:00"/>
    <d v="2021-01-06T00:00:00"/>
    <d v="2021-02-23T00:00:00"/>
    <m/>
    <m/>
    <m/>
    <d v="2021-02-23T00:00:00"/>
    <d v="2021-03-15T00:00:00"/>
    <n v="22"/>
    <n v="33"/>
    <n v="48"/>
    <n v="20"/>
    <n v="123"/>
  </r>
  <r>
    <d v="2020-11-12T00:00:00"/>
    <s v="VZ-2020-001229"/>
    <x v="0"/>
    <n v="5475600"/>
    <x v="0"/>
    <d v="2020-12-04T00:00:00"/>
    <d v="2021-01-06T00:00:00"/>
    <d v="2021-02-23T00:00:00"/>
    <m/>
    <m/>
    <m/>
    <d v="2021-02-23T00:00:00"/>
    <d v="2021-03-23T00:00:00"/>
    <n v="22"/>
    <n v="33"/>
    <n v="48"/>
    <n v="28"/>
    <n v="131"/>
  </r>
  <r>
    <d v="2020-11-12T00:00:00"/>
    <s v="VZ-2020-001230"/>
    <x v="0"/>
    <n v="1551621"/>
    <x v="0"/>
    <d v="2020-12-04T00:00:00"/>
    <d v="2021-01-06T00:00:00"/>
    <d v="2021-02-22T00:00:00"/>
    <m/>
    <m/>
    <m/>
    <d v="2021-02-22T00:00:00"/>
    <d v="2021-03-11T00:00:00"/>
    <n v="22"/>
    <n v="33"/>
    <n v="47"/>
    <n v="17"/>
    <n v="119"/>
  </r>
  <r>
    <d v="2020-11-12T00:00:00"/>
    <s v="VZ-2020-001230"/>
    <x v="0"/>
    <n v="419556"/>
    <x v="0"/>
    <d v="2020-12-04T00:00:00"/>
    <d v="2021-01-06T00:00:00"/>
    <d v="2021-02-22T00:00:00"/>
    <m/>
    <m/>
    <m/>
    <d v="2021-02-22T00:00:00"/>
    <d v="2021-03-11T00:00:00"/>
    <n v="22"/>
    <n v="33"/>
    <n v="47"/>
    <n v="17"/>
    <n v="119"/>
  </r>
  <r>
    <d v="2020-11-12T00:00:00"/>
    <s v="VZ-2020-001230"/>
    <x v="0"/>
    <n v="1811917"/>
    <x v="0"/>
    <d v="2020-12-04T00:00:00"/>
    <d v="2021-01-06T00:00:00"/>
    <d v="2021-02-22T00:00:00"/>
    <m/>
    <m/>
    <m/>
    <d v="2021-02-22T00:00:00"/>
    <d v="2021-03-18T00:00:00"/>
    <n v="22"/>
    <n v="33"/>
    <n v="47"/>
    <n v="24"/>
    <n v="126"/>
  </r>
  <r>
    <d v="2020-11-12T00:00:00"/>
    <s v="VZ-2020-001230"/>
    <x v="0"/>
    <n v="7429475"/>
    <x v="0"/>
    <d v="2020-12-04T00:00:00"/>
    <d v="2021-01-06T00:00:00"/>
    <d v="2021-02-22T00:00:00"/>
    <m/>
    <m/>
    <m/>
    <d v="2021-02-22T00:00:00"/>
    <d v="2021-03-23T00:00:00"/>
    <n v="22"/>
    <n v="33"/>
    <n v="47"/>
    <n v="29"/>
    <n v="131"/>
  </r>
  <r>
    <d v="2020-11-12T00:00:00"/>
    <s v="VZ-2020-001230"/>
    <x v="0"/>
    <n v="4344271"/>
    <x v="0"/>
    <d v="2020-12-04T00:00:00"/>
    <d v="2021-01-06T00:00:00"/>
    <d v="2021-02-22T00:00:00"/>
    <m/>
    <m/>
    <m/>
    <d v="2021-02-22T00:00:00"/>
    <d v="2021-03-11T00:00:00"/>
    <n v="22"/>
    <n v="33"/>
    <n v="47"/>
    <n v="17"/>
    <n v="119"/>
  </r>
  <r>
    <d v="2020-11-12T00:00:00"/>
    <s v="VZ-2020-001230"/>
    <x v="0"/>
    <n v="2837161"/>
    <x v="0"/>
    <d v="2020-12-04T00:00:00"/>
    <d v="2021-01-06T00:00:00"/>
    <d v="2021-02-22T00:00:00"/>
    <m/>
    <m/>
    <m/>
    <d v="2021-02-22T00:00:00"/>
    <d v="2021-03-11T00:00:00"/>
    <n v="22"/>
    <n v="33"/>
    <n v="47"/>
    <n v="17"/>
    <n v="119"/>
  </r>
  <r>
    <d v="2020-11-12T00:00:00"/>
    <s v="VZ-2020-001230"/>
    <x v="0"/>
    <n v="2236892"/>
    <x v="0"/>
    <d v="2020-12-04T00:00:00"/>
    <d v="2021-01-06T00:00:00"/>
    <d v="2021-02-22T00:00:00"/>
    <m/>
    <m/>
    <m/>
    <d v="2021-02-22T00:00:00"/>
    <d v="2021-03-11T00:00:00"/>
    <n v="22"/>
    <n v="33"/>
    <n v="47"/>
    <n v="17"/>
    <n v="119"/>
  </r>
  <r>
    <s v="opakovaná VZ"/>
    <s v="VZ-2020-001239"/>
    <x v="2"/>
    <n v="2116000"/>
    <x v="1"/>
    <d v="2020-11-23T00:00:00"/>
    <d v="2020-12-09T00:00:00"/>
    <d v="2021-01-06T00:00:00"/>
    <m/>
    <m/>
    <m/>
    <d v="2021-01-06T00:00:00"/>
    <d v="2021-02-03T00:00:00"/>
    <m/>
    <m/>
    <m/>
    <m/>
    <m/>
  </r>
  <r>
    <d v="2020-11-16T00:00:00"/>
    <s v="VZ-2020-001240"/>
    <x v="9"/>
    <n v="1350000"/>
    <x v="2"/>
    <d v="2020-11-23T00:00:00"/>
    <d v="2020-12-03T00:00:00"/>
    <d v="2020-12-16T00:00:00"/>
    <m/>
    <m/>
    <m/>
    <d v="2020-12-16T00:00:00"/>
    <d v="2021-01-22T00:00:00"/>
    <n v="7"/>
    <n v="10"/>
    <n v="13"/>
    <n v="37"/>
    <n v="67"/>
  </r>
  <r>
    <d v="2020-11-13T00:00:00"/>
    <s v="VZ-2020-001242"/>
    <x v="4"/>
    <n v="720000"/>
    <x v="2"/>
    <d v="2020-11-23T00:00:00"/>
    <d v="2020-12-03T00:00:00"/>
    <d v="2020-12-08T00:00:00"/>
    <m/>
    <m/>
    <m/>
    <d v="2020-12-09T00:00:00"/>
    <d v="2021-01-07T00:00:00"/>
    <n v="10"/>
    <n v="10"/>
    <n v="5"/>
    <n v="30"/>
    <n v="55"/>
  </r>
  <r>
    <s v="opakovaná VZ"/>
    <s v="VZ-2020-001248"/>
    <x v="1"/>
    <n v="10100000"/>
    <x v="0"/>
    <d v="2020-11-24T00:00:00"/>
    <d v="2020-12-28T00:00:00"/>
    <d v="2021-01-08T00:00:00"/>
    <m/>
    <m/>
    <m/>
    <d v="2021-01-08T00:00:00"/>
    <d v="2021-02-24T00:00:00"/>
    <m/>
    <m/>
    <m/>
    <m/>
    <m/>
  </r>
  <r>
    <d v="2020-11-20T00:00:00"/>
    <s v="VZ-2020-001251"/>
    <x v="0"/>
    <n v="1082451"/>
    <x v="0"/>
    <d v="2021-01-04T00:00:00"/>
    <d v="2021-04-23T00:00:00"/>
    <d v="2021-05-07T00:00:00"/>
    <m/>
    <m/>
    <m/>
    <d v="2021-05-07T00:00:00"/>
    <d v="2021-05-26T00:00:00"/>
    <n v="45"/>
    <n v="109"/>
    <n v="14"/>
    <n v="19"/>
    <n v="187"/>
  </r>
  <r>
    <d v="2020-11-20T00:00:00"/>
    <s v="VZ-2020-001251"/>
    <x v="0"/>
    <n v="7967688"/>
    <x v="0"/>
    <d v="2021-01-04T00:00:00"/>
    <d v="2021-04-23T00:00:00"/>
    <d v="2021-05-07T00:00:00"/>
    <m/>
    <m/>
    <m/>
    <d v="2021-05-07T00:00:00"/>
    <d v="2021-06-10T00:00:00"/>
    <n v="45"/>
    <n v="109"/>
    <n v="14"/>
    <n v="34"/>
    <n v="202"/>
  </r>
  <r>
    <d v="2020-11-24T00:00:00"/>
    <s v="VZ-2020-001257"/>
    <x v="2"/>
    <n v="5785125"/>
    <x v="0"/>
    <d v="2020-12-03T00:00:00"/>
    <d v="2021-01-05T00:00:00"/>
    <m/>
    <m/>
    <m/>
    <m/>
    <m/>
    <m/>
    <m/>
    <m/>
    <m/>
    <m/>
    <m/>
  </r>
  <r>
    <d v="2020-11-20T00:00:00"/>
    <s v="VZ-2020-001258"/>
    <x v="2"/>
    <n v="19019100"/>
    <x v="0"/>
    <d v="2020-12-08T00:00:00"/>
    <d v="2021-01-11T00:00:00"/>
    <d v="2021-02-05T00:00:00"/>
    <m/>
    <m/>
    <m/>
    <d v="2021-02-05T00:00:00"/>
    <d v="2021-03-15T00:00:00"/>
    <n v="18"/>
    <n v="34"/>
    <n v="25"/>
    <n v="38"/>
    <n v="115"/>
  </r>
  <r>
    <d v="2020-11-24T00:00:00"/>
    <s v="VZ-2020-001259"/>
    <x v="8"/>
    <n v="850000"/>
    <x v="2"/>
    <d v="2020-12-01T00:00:00"/>
    <d v="2020-12-11T00:00:00"/>
    <d v="2020-12-22T00:00:00"/>
    <m/>
    <m/>
    <m/>
    <d v="2020-12-22T00:00:00"/>
    <d v="2021-01-19T00:00:00"/>
    <n v="7"/>
    <n v="10"/>
    <n v="11"/>
    <n v="28"/>
    <n v="56"/>
  </r>
  <r>
    <d v="2020-11-26T00:00:00"/>
    <s v="VZ-2020-001265"/>
    <x v="0"/>
    <n v="1012484"/>
    <x v="0"/>
    <d v="2020-12-07T00:00:00"/>
    <d v="2021-01-08T00:00:00"/>
    <m/>
    <m/>
    <m/>
    <m/>
    <m/>
    <m/>
    <m/>
    <m/>
    <m/>
    <m/>
    <m/>
  </r>
  <r>
    <d v="2020-11-26T00:00:00"/>
    <s v="VZ-2020-001265"/>
    <x v="0"/>
    <n v="292383"/>
    <x v="0"/>
    <d v="2020-12-07T00:00:00"/>
    <d v="2021-01-08T00:00:00"/>
    <d v="2021-01-19T00:00:00"/>
    <m/>
    <m/>
    <m/>
    <d v="2021-01-19T00:00:00"/>
    <d v="2021-02-22T00:00:00"/>
    <n v="11"/>
    <n v="32"/>
    <n v="11"/>
    <n v="34"/>
    <n v="88"/>
  </r>
  <r>
    <d v="2020-11-26T00:00:00"/>
    <s v="VZ-2020-001265"/>
    <x v="0"/>
    <n v="7136766"/>
    <x v="0"/>
    <d v="2020-12-07T00:00:00"/>
    <d v="2021-01-08T00:00:00"/>
    <d v="2021-01-19T00:00:00"/>
    <m/>
    <m/>
    <m/>
    <d v="2021-01-19T00:00:00"/>
    <d v="2021-02-22T00:00:00"/>
    <n v="11"/>
    <n v="32"/>
    <n v="11"/>
    <n v="34"/>
    <n v="88"/>
  </r>
  <r>
    <d v="2020-11-26T00:00:00"/>
    <s v="VZ-2020-001265"/>
    <x v="0"/>
    <n v="2915317"/>
    <x v="0"/>
    <d v="2020-12-07T00:00:00"/>
    <d v="2021-01-08T00:00:00"/>
    <d v="2021-01-19T00:00:00"/>
    <m/>
    <m/>
    <m/>
    <d v="2021-01-19T00:00:00"/>
    <d v="2021-02-22T00:00:00"/>
    <n v="11"/>
    <n v="32"/>
    <n v="11"/>
    <n v="34"/>
    <n v="88"/>
  </r>
  <r>
    <d v="2020-11-26T00:00:00"/>
    <s v="VZ-2020-001266"/>
    <x v="0"/>
    <n v="1519736"/>
    <x v="0"/>
    <d v="2020-12-08T00:00:00"/>
    <d v="2021-01-26T00:00:00"/>
    <m/>
    <m/>
    <m/>
    <m/>
    <m/>
    <m/>
    <m/>
    <m/>
    <m/>
    <m/>
    <m/>
  </r>
  <r>
    <d v="2020-11-26T00:00:00"/>
    <s v="VZ-2020-001266"/>
    <x v="0"/>
    <n v="961257"/>
    <x v="0"/>
    <d v="2020-12-08T00:00:00"/>
    <d v="2021-01-26T00:00:00"/>
    <d v="2021-02-26T00:00:00"/>
    <m/>
    <m/>
    <m/>
    <d v="2021-02-26T00:00:00"/>
    <d v="2021-03-23T00:00:00"/>
    <n v="12"/>
    <n v="49"/>
    <n v="31"/>
    <n v="25"/>
    <n v="117"/>
  </r>
  <r>
    <d v="2020-11-26T00:00:00"/>
    <s v="VZ-2020-001266"/>
    <x v="0"/>
    <n v="758692"/>
    <x v="0"/>
    <d v="2020-12-08T00:00:00"/>
    <d v="2021-01-26T00:00:00"/>
    <d v="2021-02-26T00:00:00"/>
    <m/>
    <m/>
    <m/>
    <d v="2021-02-26T00:00:00"/>
    <d v="2021-03-18T00:00:00"/>
    <n v="12"/>
    <n v="49"/>
    <n v="31"/>
    <n v="20"/>
    <n v="112"/>
  </r>
  <r>
    <d v="2020-11-26T00:00:00"/>
    <s v="VZ-2020-001266"/>
    <x v="0"/>
    <n v="325365"/>
    <x v="0"/>
    <d v="2020-12-08T00:00:00"/>
    <d v="2021-01-26T00:00:00"/>
    <d v="2021-02-26T00:00:00"/>
    <m/>
    <m/>
    <m/>
    <d v="2021-02-26T00:00:00"/>
    <d v="2021-03-23T00:00:00"/>
    <n v="12"/>
    <n v="49"/>
    <n v="31"/>
    <n v="25"/>
    <n v="117"/>
  </r>
  <r>
    <d v="2020-11-26T00:00:00"/>
    <s v="VZ-2020-001266"/>
    <x v="0"/>
    <n v="3438683"/>
    <x v="0"/>
    <d v="2020-12-08T00:00:00"/>
    <d v="2021-01-26T00:00:00"/>
    <d v="2021-02-26T00:00:00"/>
    <m/>
    <m/>
    <m/>
    <d v="2021-02-26T00:00:00"/>
    <d v="2021-04-28T00:00:00"/>
    <n v="12"/>
    <n v="49"/>
    <n v="31"/>
    <n v="61"/>
    <n v="153"/>
  </r>
  <r>
    <d v="2020-11-27T00:00:00"/>
    <s v="VZ-2020-001269"/>
    <x v="3"/>
    <n v="3500000"/>
    <x v="2"/>
    <d v="2020-12-02T00:00:00"/>
    <d v="2020-12-15T00:00:00"/>
    <d v="2020-12-17T00:00:00"/>
    <m/>
    <m/>
    <m/>
    <d v="2020-12-17T00:00:00"/>
    <d v="2021-02-01T00:00:00"/>
    <n v="5"/>
    <n v="13"/>
    <n v="2"/>
    <n v="46"/>
    <n v="66"/>
  </r>
  <r>
    <d v="2020-11-27T00:00:00"/>
    <s v="VZ-2020-001275"/>
    <x v="0"/>
    <n v="5019815"/>
    <x v="0"/>
    <d v="2020-12-07T00:00:00"/>
    <d v="2021-01-08T00:00:00"/>
    <d v="2021-02-05T00:00:00"/>
    <m/>
    <m/>
    <m/>
    <d v="2021-02-05T00:00:00"/>
    <d v="2021-02-25T00:00:00"/>
    <n v="10"/>
    <n v="32"/>
    <n v="28"/>
    <n v="20"/>
    <n v="90"/>
  </r>
  <r>
    <d v="2020-11-27T00:00:00"/>
    <s v="VZ-2020-001275"/>
    <x v="0"/>
    <n v="3706073"/>
    <x v="0"/>
    <d v="2020-12-07T00:00:00"/>
    <d v="2021-01-08T00:00:00"/>
    <d v="2021-02-05T00:00:00"/>
    <m/>
    <m/>
    <m/>
    <d v="2021-02-05T00:00:00"/>
    <d v="2021-02-25T00:00:00"/>
    <n v="10"/>
    <n v="32"/>
    <n v="28"/>
    <n v="20"/>
    <n v="90"/>
  </r>
  <r>
    <s v="opakovaná VZ"/>
    <s v="VZ-2020-001283"/>
    <x v="2"/>
    <n v="3103825"/>
    <x v="0"/>
    <d v="2020-12-15T00:00:00"/>
    <d v="2021-01-18T00:00:00"/>
    <d v="2021-01-22T00:00:00"/>
    <m/>
    <m/>
    <m/>
    <d v="2021-01-22T00:00:00"/>
    <d v="2021-03-09T00:00:00"/>
    <m/>
    <m/>
    <m/>
    <m/>
    <m/>
  </r>
  <r>
    <s v="opakovaná VZ"/>
    <s v="VZ-2020-001285"/>
    <x v="2"/>
    <n v="25040000"/>
    <x v="0"/>
    <d v="2020-12-16T00:00:00"/>
    <d v="2021-01-18T00:00:00"/>
    <d v="2021-01-22T00:00:00"/>
    <m/>
    <m/>
    <m/>
    <d v="2021-01-25T00:00:00"/>
    <d v="2021-03-09T00:00:00"/>
    <m/>
    <m/>
    <m/>
    <m/>
    <m/>
  </r>
  <r>
    <s v="opakovaná VZ"/>
    <s v="VZ-2020-001299"/>
    <x v="2"/>
    <n v="2762500"/>
    <x v="0"/>
    <d v="2020-12-10T00:00:00"/>
    <d v="2021-01-11T00:00:00"/>
    <d v="2021-02-19T00:00:00"/>
    <m/>
    <m/>
    <m/>
    <d v="2021-02-19T00:00:00"/>
    <d v="2021-03-11T00:00:00"/>
    <m/>
    <m/>
    <m/>
    <m/>
    <m/>
  </r>
  <r>
    <s v="opakovaná VZ"/>
    <s v="VZ-2020-001299"/>
    <x v="2"/>
    <n v="264000"/>
    <x v="0"/>
    <d v="2020-12-10T00:00:00"/>
    <d v="2021-01-11T00:00:00"/>
    <d v="2021-02-19T00:00:00"/>
    <m/>
    <m/>
    <m/>
    <d v="2021-02-19T00:00:00"/>
    <d v="2021-03-11T00:00:00"/>
    <m/>
    <m/>
    <m/>
    <m/>
    <m/>
  </r>
  <r>
    <s v="opakovaná VZ"/>
    <s v="VZ-2020-001299"/>
    <x v="2"/>
    <n v="4290000"/>
    <x v="0"/>
    <d v="2020-12-10T00:00:00"/>
    <d v="2021-01-11T00:00:00"/>
    <d v="2021-02-19T00:00:00"/>
    <m/>
    <m/>
    <m/>
    <d v="2021-02-19T00:00:00"/>
    <d v="2021-03-11T00:00:00"/>
    <m/>
    <m/>
    <m/>
    <m/>
    <m/>
  </r>
  <r>
    <s v="opakovaná VZ"/>
    <s v="VZ-2020-001299"/>
    <x v="2"/>
    <n v="1326500"/>
    <x v="0"/>
    <d v="2020-12-10T00:00:00"/>
    <d v="2021-01-11T00:00:00"/>
    <d v="2021-02-19T00:00:00"/>
    <m/>
    <m/>
    <m/>
    <d v="2021-02-19T00:00:00"/>
    <d v="2021-03-11T00:00:00"/>
    <m/>
    <m/>
    <m/>
    <m/>
    <m/>
  </r>
  <r>
    <s v="opakovaná VZ"/>
    <s v="VZ-2020-001299"/>
    <x v="2"/>
    <n v="875000"/>
    <x v="0"/>
    <d v="2020-12-10T00:00:00"/>
    <d v="2021-01-11T00:00:00"/>
    <m/>
    <m/>
    <m/>
    <m/>
    <m/>
    <m/>
    <m/>
    <m/>
    <m/>
    <m/>
    <m/>
  </r>
  <r>
    <s v="opakovaná VZ"/>
    <s v="VZ-2020-001299"/>
    <x v="2"/>
    <n v="1008000"/>
    <x v="0"/>
    <d v="2020-12-10T00:00:00"/>
    <d v="2021-01-11T00:00:00"/>
    <d v="2021-02-19T00:00:00"/>
    <m/>
    <m/>
    <m/>
    <d v="2021-02-19T00:00:00"/>
    <d v="2021-03-11T00:00:00"/>
    <m/>
    <m/>
    <m/>
    <m/>
    <m/>
  </r>
  <r>
    <d v="2020-12-09T00:00:00"/>
    <s v="VZ-2020-001312"/>
    <x v="0"/>
    <n v="15250000"/>
    <x v="0"/>
    <d v="2020-12-16T00:00:00"/>
    <d v="2021-01-18T00:00:00"/>
    <d v="2021-02-05T00:00:00"/>
    <m/>
    <m/>
    <m/>
    <d v="2021-02-05T00:00:00"/>
    <d v="2021-02-18T00:00:00"/>
    <n v="7"/>
    <n v="33"/>
    <n v="18"/>
    <n v="13"/>
    <n v="71"/>
  </r>
  <r>
    <d v="2020-12-01T00:00:00"/>
    <s v="VZ-2020-001320"/>
    <x v="3"/>
    <n v="15000000"/>
    <x v="0"/>
    <d v="2020-12-18T00:00:00"/>
    <d v="2021-01-20T00:00:00"/>
    <d v="2021-01-22T00:00:00"/>
    <m/>
    <m/>
    <m/>
    <d v="2021-01-22T00:00:00"/>
    <d v="2021-02-24T00:00:00"/>
    <n v="17"/>
    <n v="33"/>
    <n v="2"/>
    <n v="33"/>
    <n v="85"/>
  </r>
  <r>
    <d v="2020-12-15T00:00:00"/>
    <s v="VZ-2020-001327"/>
    <x v="0"/>
    <n v="1879678"/>
    <x v="0"/>
    <d v="2020-12-18T00:00:00"/>
    <d v="2021-01-20T00:00:00"/>
    <d v="2021-02-05T00:00:00"/>
    <m/>
    <m/>
    <m/>
    <d v="2021-02-05T00:00:00"/>
    <m/>
    <m/>
    <m/>
    <m/>
    <m/>
    <m/>
  </r>
  <r>
    <d v="2020-12-15T00:00:00"/>
    <s v="VZ-2020-001327"/>
    <x v="0"/>
    <n v="3048116"/>
    <x v="0"/>
    <d v="2020-12-18T00:00:00"/>
    <d v="2021-01-20T00:00:00"/>
    <d v="2021-02-05T00:00:00"/>
    <m/>
    <m/>
    <m/>
    <d v="2021-02-05T00:00:00"/>
    <d v="2021-03-09T00:00:00"/>
    <n v="3"/>
    <n v="33"/>
    <n v="16"/>
    <n v="32"/>
    <n v="84"/>
  </r>
  <r>
    <d v="2020-12-15T00:00:00"/>
    <s v="VZ-2020-001327"/>
    <x v="0"/>
    <n v="596452"/>
    <x v="0"/>
    <d v="2020-12-18T00:00:00"/>
    <d v="2021-01-20T00:00:00"/>
    <d v="2021-02-05T00:00:00"/>
    <m/>
    <m/>
    <m/>
    <d v="2021-02-05T00:00:00"/>
    <m/>
    <m/>
    <m/>
    <m/>
    <m/>
    <m/>
  </r>
  <r>
    <d v="2020-12-15T00:00:00"/>
    <s v="VZ-2020-001327"/>
    <x v="0"/>
    <n v="2702846"/>
    <x v="0"/>
    <d v="2020-12-18T00:00:00"/>
    <d v="2021-01-20T00:00:00"/>
    <m/>
    <m/>
    <m/>
    <m/>
    <m/>
    <m/>
    <m/>
    <m/>
    <m/>
    <m/>
    <m/>
  </r>
  <r>
    <d v="2020-12-15T00:00:00"/>
    <s v="VZ-2020-001327"/>
    <x v="0"/>
    <n v="705451"/>
    <x v="0"/>
    <d v="2020-12-18T00:00:00"/>
    <d v="2021-01-20T00:00:00"/>
    <d v="2021-02-05T00:00:00"/>
    <m/>
    <m/>
    <m/>
    <d v="2021-02-05T00:00:00"/>
    <d v="2021-03-18T00:00:00"/>
    <n v="3"/>
    <n v="33"/>
    <n v="16"/>
    <n v="41"/>
    <n v="93"/>
  </r>
  <r>
    <d v="2020-12-15T00:00:00"/>
    <s v="VZ-2020-001327"/>
    <x v="0"/>
    <n v="691921"/>
    <x v="0"/>
    <d v="2020-12-18T00:00:00"/>
    <d v="2021-01-20T00:00:00"/>
    <m/>
    <m/>
    <m/>
    <m/>
    <m/>
    <m/>
    <m/>
    <m/>
    <m/>
    <m/>
    <m/>
  </r>
  <r>
    <d v="2020-12-15T00:00:00"/>
    <s v="VZ-2020-001327"/>
    <x v="0"/>
    <n v="755060"/>
    <x v="0"/>
    <d v="2020-12-18T00:00:00"/>
    <d v="2021-01-20T00:00:00"/>
    <m/>
    <m/>
    <m/>
    <m/>
    <m/>
    <m/>
    <m/>
    <m/>
    <m/>
    <m/>
    <m/>
  </r>
  <r>
    <d v="2020-12-15T00:00:00"/>
    <s v="VZ-2020-001328"/>
    <x v="0"/>
    <n v="1228500"/>
    <x v="0"/>
    <d v="2020-12-18T00:00:00"/>
    <d v="2021-02-09T00:00:00"/>
    <d v="2021-03-02T00:00:00"/>
    <m/>
    <m/>
    <m/>
    <d v="2021-03-02T00:00:00"/>
    <d v="2021-04-08T00:00:00"/>
    <n v="3"/>
    <n v="53"/>
    <n v="21"/>
    <n v="37"/>
    <n v="114"/>
  </r>
  <r>
    <d v="2020-12-15T00:00:00"/>
    <s v="VZ-2020-001328"/>
    <x v="0"/>
    <n v="2403469"/>
    <x v="0"/>
    <d v="2020-12-18T00:00:00"/>
    <d v="2021-02-09T00:00:00"/>
    <d v="2021-03-02T00:00:00"/>
    <m/>
    <m/>
    <m/>
    <d v="2021-03-02T00:00:00"/>
    <d v="2021-04-08T00:00:00"/>
    <n v="3"/>
    <n v="53"/>
    <n v="21"/>
    <n v="37"/>
    <n v="114"/>
  </r>
  <r>
    <d v="2020-12-15T00:00:00"/>
    <s v="VZ-2020-001328"/>
    <x v="0"/>
    <n v="700714"/>
    <x v="0"/>
    <d v="2020-12-18T00:00:00"/>
    <d v="2021-02-09T00:00:00"/>
    <d v="2021-03-02T00:00:00"/>
    <m/>
    <m/>
    <m/>
    <d v="2021-03-02T00:00:00"/>
    <d v="2021-04-08T00:00:00"/>
    <n v="3"/>
    <n v="53"/>
    <n v="21"/>
    <n v="37"/>
    <n v="114"/>
  </r>
  <r>
    <d v="2020-12-15T00:00:00"/>
    <s v="VZ-2020-001328"/>
    <x v="0"/>
    <n v="3508066"/>
    <x v="0"/>
    <d v="2020-12-18T00:00:00"/>
    <d v="2021-02-09T00:00:00"/>
    <d v="2021-03-02T00:00:00"/>
    <m/>
    <m/>
    <m/>
    <d v="2021-03-02T00:00:00"/>
    <m/>
    <m/>
    <m/>
    <m/>
    <m/>
    <m/>
  </r>
  <r>
    <d v="2020-12-15T00:00:00"/>
    <s v="VZ-2020-001329"/>
    <x v="10"/>
    <n v="2200000"/>
    <x v="1"/>
    <d v="2020-12-17T00:00:00"/>
    <d v="2021-01-21T00:00:00"/>
    <d v="2021-02-02T00:00:00"/>
    <m/>
    <m/>
    <m/>
    <d v="2021-02-03T00:00:00"/>
    <d v="2021-02-24T00:00:00"/>
    <n v="2"/>
    <n v="35"/>
    <n v="12"/>
    <n v="22"/>
    <n v="71"/>
  </r>
  <r>
    <d v="2020-12-17T00:00:00"/>
    <s v="VZ-2020-001334"/>
    <x v="2"/>
    <n v="30000000"/>
    <x v="0"/>
    <d v="2020-12-18T00:00:00"/>
    <d v="2021-01-19T00:00:00"/>
    <d v="2021-02-12T00:00:00"/>
    <m/>
    <m/>
    <m/>
    <d v="2021-02-12T00:00:00"/>
    <d v="2021-03-15T00:00:00"/>
    <n v="1"/>
    <n v="32"/>
    <n v="24"/>
    <n v="31"/>
    <n v="88"/>
  </r>
  <r>
    <s v="opakovaná VZ"/>
    <s v="VZ-2020-001342"/>
    <x v="1"/>
    <n v="320000"/>
    <x v="2"/>
    <d v="2020-12-31T00:00:00"/>
    <d v="2021-01-12T00:00:00"/>
    <d v="2021-01-15T00:00:00"/>
    <m/>
    <m/>
    <m/>
    <d v="2021-01-15T00:00:00"/>
    <d v="2021-02-04T00:00:00"/>
    <m/>
    <m/>
    <m/>
    <m/>
    <m/>
  </r>
  <r>
    <d v="2020-12-30T00:00:00"/>
    <s v="VZ-2021-000002"/>
    <x v="0"/>
    <n v="48576"/>
    <x v="0"/>
    <d v="2021-01-06T00:00:00"/>
    <d v="2021-03-09T00:00:00"/>
    <d v="2021-05-06T00:00:00"/>
    <m/>
    <m/>
    <m/>
    <d v="2021-05-06T00:00:00"/>
    <d v="2021-05-26T00:00:00"/>
    <n v="7"/>
    <n v="62"/>
    <n v="58"/>
    <n v="20"/>
    <n v="147"/>
  </r>
  <r>
    <d v="2020-12-30T00:00:00"/>
    <s v="VZ-2021-000002"/>
    <x v="0"/>
    <n v="6626722"/>
    <x v="0"/>
    <d v="2021-01-06T00:00:00"/>
    <d v="2021-03-09T00:00:00"/>
    <d v="2021-05-06T00:00:00"/>
    <m/>
    <m/>
    <m/>
    <d v="2021-05-06T00:00:00"/>
    <d v="2021-05-26T00:00:00"/>
    <n v="7"/>
    <n v="62"/>
    <n v="58"/>
    <n v="20"/>
    <n v="147"/>
  </r>
  <r>
    <d v="2020-12-30T00:00:00"/>
    <s v="VZ-2021-000002"/>
    <x v="0"/>
    <n v="20300627"/>
    <x v="0"/>
    <d v="2021-01-06T00:00:00"/>
    <d v="2021-03-09T00:00:00"/>
    <d v="2021-05-06T00:00:00"/>
    <m/>
    <m/>
    <m/>
    <d v="2021-05-06T00:00:00"/>
    <d v="2021-05-26T00:00:00"/>
    <n v="7"/>
    <n v="62"/>
    <n v="58"/>
    <n v="20"/>
    <n v="147"/>
  </r>
  <r>
    <d v="2021-01-04T00:00:00"/>
    <s v="VZ-2021-000004"/>
    <x v="0"/>
    <n v="197507"/>
    <x v="0"/>
    <d v="2021-02-23T00:00:00"/>
    <d v="2021-04-21T00:00:00"/>
    <m/>
    <m/>
    <m/>
    <m/>
    <m/>
    <m/>
    <m/>
    <m/>
    <m/>
    <m/>
    <m/>
  </r>
  <r>
    <d v="2021-01-04T00:00:00"/>
    <s v="VZ-2021-000004"/>
    <x v="0"/>
    <n v="24729"/>
    <x v="0"/>
    <d v="2021-02-23T00:00:00"/>
    <d v="2021-04-21T00:00:00"/>
    <d v="2021-06-17T00:00:00"/>
    <m/>
    <m/>
    <m/>
    <d v="2021-06-17T00:00:00"/>
    <d v="2021-07-16T00:00:00"/>
    <n v="50"/>
    <n v="57"/>
    <n v="57"/>
    <n v="29"/>
    <n v="193"/>
  </r>
  <r>
    <d v="2021-01-04T00:00:00"/>
    <s v="VZ-2021-000004"/>
    <x v="0"/>
    <n v="268724"/>
    <x v="0"/>
    <d v="2021-02-23T00:00:00"/>
    <d v="2021-04-21T00:00:00"/>
    <d v="2021-06-17T00:00:00"/>
    <m/>
    <m/>
    <m/>
    <d v="2021-06-17T00:00:00"/>
    <m/>
    <m/>
    <m/>
    <m/>
    <m/>
    <m/>
  </r>
  <r>
    <d v="2021-01-04T00:00:00"/>
    <s v="VZ-2021-000004"/>
    <x v="0"/>
    <n v="785490"/>
    <x v="0"/>
    <d v="2021-02-23T00:00:00"/>
    <d v="2021-04-21T00:00:00"/>
    <m/>
    <m/>
    <m/>
    <m/>
    <m/>
    <m/>
    <m/>
    <m/>
    <m/>
    <m/>
    <m/>
  </r>
  <r>
    <d v="2021-01-04T00:00:00"/>
    <s v="VZ-2021-000004"/>
    <x v="0"/>
    <n v="1090405"/>
    <x v="0"/>
    <d v="2021-02-23T00:00:00"/>
    <d v="2021-04-21T00:00:00"/>
    <d v="2021-06-17T00:00:00"/>
    <m/>
    <m/>
    <m/>
    <d v="2021-06-17T00:00:00"/>
    <d v="2021-07-13T00:00:00"/>
    <n v="50"/>
    <n v="57"/>
    <n v="57"/>
    <n v="26"/>
    <n v="190"/>
  </r>
  <r>
    <d v="2021-01-04T00:00:00"/>
    <s v="VZ-2021-000004"/>
    <x v="0"/>
    <n v="493445"/>
    <x v="0"/>
    <d v="2021-02-23T00:00:00"/>
    <d v="2021-04-21T00:00:00"/>
    <m/>
    <m/>
    <m/>
    <m/>
    <m/>
    <m/>
    <m/>
    <m/>
    <m/>
    <m/>
    <m/>
  </r>
  <r>
    <d v="2021-01-04T00:00:00"/>
    <s v="VZ-2021-000004"/>
    <x v="0"/>
    <n v="944148"/>
    <x v="0"/>
    <d v="2021-02-23T00:00:00"/>
    <d v="2021-04-21T00:00:00"/>
    <d v="2021-06-17T00:00:00"/>
    <m/>
    <m/>
    <m/>
    <d v="2021-06-17T00:00:00"/>
    <d v="2021-07-19T00:00:00"/>
    <n v="50"/>
    <n v="57"/>
    <n v="57"/>
    <n v="32"/>
    <n v="196"/>
  </r>
  <r>
    <d v="2021-01-05T00:00:00"/>
    <s v="VZ-2021-000013"/>
    <x v="2"/>
    <n v="3111334"/>
    <x v="1"/>
    <d v="2021-01-18T00:00:00"/>
    <d v="2021-02-11T00:00:00"/>
    <d v="2021-02-25T00:00:00"/>
    <m/>
    <m/>
    <m/>
    <d v="2021-02-26T00:00:00"/>
    <d v="2021-04-28T00:00:00"/>
    <n v="13"/>
    <n v="24"/>
    <n v="14"/>
    <n v="62"/>
    <n v="113"/>
  </r>
  <r>
    <d v="2021-01-07T00:00:00"/>
    <s v="VZ-2021-000015"/>
    <x v="1"/>
    <n v="124000"/>
    <x v="2"/>
    <d v="2021-01-12T00:00:00"/>
    <d v="2021-01-22T00:00:00"/>
    <m/>
    <m/>
    <m/>
    <m/>
    <m/>
    <m/>
    <m/>
    <m/>
    <m/>
    <m/>
    <m/>
  </r>
  <r>
    <d v="2021-01-07T00:00:00"/>
    <s v="VZ-2021-000015"/>
    <x v="1"/>
    <n v="132000"/>
    <x v="2"/>
    <d v="2021-01-12T00:00:00"/>
    <d v="2021-01-22T00:00:00"/>
    <m/>
    <m/>
    <m/>
    <m/>
    <m/>
    <m/>
    <m/>
    <m/>
    <m/>
    <m/>
    <m/>
  </r>
  <r>
    <d v="2021-01-07T00:00:00"/>
    <s v="VZ-2021-000015"/>
    <x v="1"/>
    <n v="157000"/>
    <x v="2"/>
    <d v="2021-01-12T00:00:00"/>
    <d v="2021-01-22T00:00:00"/>
    <m/>
    <m/>
    <m/>
    <m/>
    <m/>
    <m/>
    <m/>
    <m/>
    <m/>
    <m/>
    <m/>
  </r>
  <r>
    <d v="2021-01-07T00:00:00"/>
    <s v="VZ-2021-000015"/>
    <x v="1"/>
    <n v="82000"/>
    <x v="2"/>
    <d v="2021-01-12T00:00:00"/>
    <d v="2021-01-22T00:00:00"/>
    <m/>
    <m/>
    <m/>
    <m/>
    <m/>
    <m/>
    <m/>
    <m/>
    <m/>
    <m/>
    <m/>
  </r>
  <r>
    <d v="2021-01-07T00:00:00"/>
    <s v="VZ-2021-000015"/>
    <x v="1"/>
    <n v="74000"/>
    <x v="2"/>
    <d v="2021-01-12T00:00:00"/>
    <d v="2021-01-22T00:00:00"/>
    <m/>
    <m/>
    <m/>
    <m/>
    <m/>
    <m/>
    <m/>
    <m/>
    <m/>
    <m/>
    <m/>
  </r>
  <r>
    <d v="2020-12-30T00:00:00"/>
    <s v="VZ-2021-000016"/>
    <x v="5"/>
    <n v="825000"/>
    <x v="2"/>
    <d v="2021-01-13T00:00:00"/>
    <d v="2021-01-20T00:00:00"/>
    <d v="2021-01-25T00:00:00"/>
    <m/>
    <m/>
    <m/>
    <d v="2021-01-25T00:00:00"/>
    <d v="2021-02-18T00:00:00"/>
    <n v="14"/>
    <n v="7"/>
    <n v="5"/>
    <n v="24"/>
    <n v="50"/>
  </r>
  <r>
    <d v="2021-01-07T00:00:00"/>
    <s v="VZ-2021-000019"/>
    <x v="1"/>
    <n v="10657000"/>
    <x v="0"/>
    <d v="2021-01-18T00:00:00"/>
    <d v="2021-02-19T00:00:00"/>
    <d v="2021-04-12T00:00:00"/>
    <m/>
    <m/>
    <m/>
    <d v="2021-04-12T00:00:00"/>
    <d v="2021-05-11T00:00:00"/>
    <n v="11"/>
    <n v="32"/>
    <n v="52"/>
    <n v="29"/>
    <n v="124"/>
  </r>
  <r>
    <d v="2021-01-13T00:00:00"/>
    <s v="VZ-2021-000026"/>
    <x v="8"/>
    <n v="950000"/>
    <x v="2"/>
    <d v="2021-01-15T00:00:00"/>
    <d v="2021-01-28T00:00:00"/>
    <d v="2021-02-04T00:00:00"/>
    <m/>
    <m/>
    <m/>
    <d v="2021-02-04T00:00:00"/>
    <d v="2021-02-24T00:00:00"/>
    <n v="2"/>
    <n v="13"/>
    <n v="7"/>
    <n v="20"/>
    <n v="42"/>
  </r>
  <r>
    <d v="2021-01-07T00:00:00"/>
    <s v="VZ-2021-000030"/>
    <x v="2"/>
    <n v="3702123.85"/>
    <x v="0"/>
    <d v="2021-02-08T00:00:00"/>
    <d v="2021-03-12T00:00:00"/>
    <d v="2021-04-06T00:00:00"/>
    <m/>
    <m/>
    <m/>
    <d v="2021-04-06T00:00:00"/>
    <d v="2021-05-04T00:00:00"/>
    <n v="32"/>
    <n v="32"/>
    <n v="25"/>
    <n v="28"/>
    <n v="117"/>
  </r>
  <r>
    <d v="2021-01-14T00:00:00"/>
    <s v="VZ-2021-000032"/>
    <x v="2"/>
    <n v="1553400"/>
    <x v="2"/>
    <d v="2021-01-20T00:00:00"/>
    <d v="2021-01-28T00:00:00"/>
    <d v="2021-02-01T00:00:00"/>
    <m/>
    <m/>
    <m/>
    <d v="2021-02-01T00:00:00"/>
    <d v="2021-02-25T00:00:00"/>
    <n v="6"/>
    <n v="8"/>
    <n v="4"/>
    <n v="24"/>
    <n v="42"/>
  </r>
  <r>
    <d v="2021-01-14T00:00:00"/>
    <s v="VZ-2021-000038"/>
    <x v="2"/>
    <n v="1950000"/>
    <x v="1"/>
    <d v="2021-01-20T00:00:00"/>
    <d v="2021-02-05T00:00:00"/>
    <d v="2021-04-30T00:00:00"/>
    <m/>
    <m/>
    <m/>
    <d v="2021-04-30T00:00:00"/>
    <d v="2021-06-02T00:00:00"/>
    <n v="6"/>
    <n v="16"/>
    <n v="84"/>
    <n v="33"/>
    <n v="139"/>
  </r>
  <r>
    <d v="2021-01-20T00:00:00"/>
    <s v="VZ-2021-000045"/>
    <x v="3"/>
    <n v="800000"/>
    <x v="2"/>
    <d v="2021-01-25T00:00:00"/>
    <d v="2021-02-09T00:00:00"/>
    <d v="2021-02-22T00:00:00"/>
    <m/>
    <m/>
    <m/>
    <d v="2021-02-22T00:00:00"/>
    <d v="2021-03-12T00:00:00"/>
    <n v="5"/>
    <n v="15"/>
    <n v="13"/>
    <n v="18"/>
    <n v="51"/>
  </r>
  <r>
    <s v="opakovaná VZ"/>
    <s v="VZ-2021-000051"/>
    <x v="2"/>
    <n v="5785125"/>
    <x v="0"/>
    <d v="2021-01-25T00:00:00"/>
    <d v="2021-02-26T00:00:00"/>
    <d v="2021-03-10T00:00:00"/>
    <m/>
    <m/>
    <m/>
    <d v="2021-03-10T00:00:00"/>
    <d v="2021-04-12T00:00:00"/>
    <m/>
    <m/>
    <m/>
    <m/>
    <m/>
  </r>
  <r>
    <d v="2021-01-21T00:00:00"/>
    <s v="VZ-2021-000054"/>
    <x v="2"/>
    <n v="36046000"/>
    <x v="0"/>
    <d v="2021-02-10T00:00:00"/>
    <d v="2021-03-19T00:00:00"/>
    <d v="2021-04-12T00:00:00"/>
    <m/>
    <m/>
    <m/>
    <d v="2021-04-13T00:00:00"/>
    <d v="2021-06-15T00:00:00"/>
    <n v="20"/>
    <n v="37"/>
    <n v="24"/>
    <n v="64"/>
    <n v="145"/>
  </r>
  <r>
    <d v="2021-01-21T00:00:00"/>
    <s v="VZ-2021-000054"/>
    <x v="2"/>
    <n v="7960000"/>
    <x v="0"/>
    <d v="2021-02-10T00:00:00"/>
    <d v="2021-03-19T00:00:00"/>
    <d v="2021-04-12T00:00:00"/>
    <m/>
    <m/>
    <m/>
    <d v="2021-04-13T00:00:00"/>
    <d v="2021-06-15T00:00:00"/>
    <n v="20"/>
    <n v="37"/>
    <n v="24"/>
    <n v="64"/>
    <n v="145"/>
  </r>
  <r>
    <d v="2021-01-21T00:00:00"/>
    <s v="VZ-2021-000054"/>
    <x v="2"/>
    <n v="19255000"/>
    <x v="0"/>
    <d v="2021-02-10T00:00:00"/>
    <d v="2021-03-19T00:00:00"/>
    <d v="2021-04-12T00:00:00"/>
    <m/>
    <m/>
    <m/>
    <d v="2021-04-13T00:00:00"/>
    <d v="2021-06-15T00:00:00"/>
    <n v="20"/>
    <n v="37"/>
    <n v="24"/>
    <n v="64"/>
    <n v="145"/>
  </r>
  <r>
    <d v="2021-01-21T00:00:00"/>
    <s v="VZ-2021-000054"/>
    <x v="2"/>
    <n v="900000"/>
    <x v="0"/>
    <d v="2021-02-10T00:00:00"/>
    <d v="2021-03-19T00:00:00"/>
    <d v="2021-04-12T00:00:00"/>
    <m/>
    <m/>
    <m/>
    <d v="2021-04-13T00:00:00"/>
    <d v="2021-05-10T00:00:00"/>
    <n v="20"/>
    <n v="37"/>
    <n v="24"/>
    <n v="28"/>
    <n v="109"/>
  </r>
  <r>
    <d v="2021-01-22T00:00:00"/>
    <s v="VZ-2021-000055"/>
    <x v="2"/>
    <n v="764400"/>
    <x v="2"/>
    <d v="2021-01-26T00:00:00"/>
    <d v="2021-02-04T00:00:00"/>
    <d v="2021-02-22T00:00:00"/>
    <m/>
    <m/>
    <m/>
    <d v="2021-02-22T00:00:00"/>
    <d v="2021-03-10T00:00:00"/>
    <n v="4"/>
    <n v="9"/>
    <n v="18"/>
    <n v="16"/>
    <n v="47"/>
  </r>
  <r>
    <d v="2021-01-25T00:00:00"/>
    <s v="VZ-2021-000057"/>
    <x v="11"/>
    <n v="26070000"/>
    <x v="0"/>
    <d v="2021-01-27T00:00:00"/>
    <d v="2021-03-04T00:00:00"/>
    <d v="2021-03-15T00:00:00"/>
    <m/>
    <m/>
    <m/>
    <d v="2021-03-16T00:00:00"/>
    <d v="2021-04-23T00:00:00"/>
    <n v="2"/>
    <n v="36"/>
    <n v="11"/>
    <n v="39"/>
    <n v="88"/>
  </r>
  <r>
    <d v="2021-01-22T00:00:00"/>
    <s v="VZ-2021-000058"/>
    <x v="2"/>
    <n v="331200"/>
    <x v="2"/>
    <d v="2021-01-27T00:00:00"/>
    <d v="2021-02-05T00:00:00"/>
    <d v="2021-02-22T00:00:00"/>
    <m/>
    <m/>
    <m/>
    <d v="2021-02-23T00:00:00"/>
    <d v="2021-03-15T00:00:00"/>
    <n v="5"/>
    <n v="9"/>
    <n v="17"/>
    <n v="21"/>
    <n v="52"/>
  </r>
  <r>
    <d v="2021-01-22T00:00:00"/>
    <s v="VZ-2021-000058"/>
    <x v="2"/>
    <n v="542640"/>
    <x v="2"/>
    <d v="2021-01-27T00:00:00"/>
    <d v="2021-02-05T00:00:00"/>
    <d v="2021-02-22T00:00:00"/>
    <m/>
    <m/>
    <m/>
    <d v="2021-02-23T00:00:00"/>
    <d v="2021-03-23T00:00:00"/>
    <n v="5"/>
    <n v="9"/>
    <n v="17"/>
    <n v="29"/>
    <n v="60"/>
  </r>
  <r>
    <s v="opakovaná VZ"/>
    <s v="VZ-2021-000068"/>
    <x v="2"/>
    <n v="188928000"/>
    <x v="0"/>
    <d v="2021-02-12T00:00:00"/>
    <d v="2021-04-26T00:00:00"/>
    <d v="2021-06-04T00:00:00"/>
    <m/>
    <m/>
    <m/>
    <d v="2021-06-04T00:00:00"/>
    <d v="2021-07-14T00:00:00"/>
    <m/>
    <m/>
    <m/>
    <m/>
    <m/>
  </r>
  <r>
    <s v="opakovaná VZ"/>
    <s v="VZ-2021-000068"/>
    <x v="2"/>
    <n v="44550000"/>
    <x v="0"/>
    <d v="2021-02-12T00:00:00"/>
    <d v="2021-04-26T00:00:00"/>
    <d v="2021-06-04T00:00:00"/>
    <m/>
    <m/>
    <m/>
    <d v="2021-06-04T00:00:00"/>
    <d v="2021-07-14T00:00:00"/>
    <m/>
    <m/>
    <m/>
    <m/>
    <m/>
  </r>
  <r>
    <s v="opakovaná VZ"/>
    <s v="VZ-2021-000068"/>
    <x v="2"/>
    <n v="29719080"/>
    <x v="0"/>
    <d v="2021-02-12T00:00:00"/>
    <d v="2021-05-24T00:00:00"/>
    <m/>
    <m/>
    <m/>
    <m/>
    <m/>
    <m/>
    <m/>
    <m/>
    <m/>
    <m/>
    <m/>
  </r>
  <r>
    <d v="2021-01-26T00:00:00"/>
    <s v="VZ-2021-000069"/>
    <x v="3"/>
    <n v="850000"/>
    <x v="2"/>
    <d v="2021-02-03T00:00:00"/>
    <d v="2021-02-16T00:00:00"/>
    <d v="2021-02-26T00:00:00"/>
    <m/>
    <m/>
    <m/>
    <d v="2021-02-26T00:00:00"/>
    <d v="2021-03-12T00:00:00"/>
    <n v="8"/>
    <n v="13"/>
    <n v="10"/>
    <n v="14"/>
    <n v="45"/>
  </r>
  <r>
    <d v="2021-02-11T00:00:00"/>
    <s v="VZ-2021-000072"/>
    <x v="12"/>
    <n v="1950000"/>
    <x v="2"/>
    <d v="2021-02-24T00:00:00"/>
    <d v="2021-03-05T00:00:00"/>
    <d v="2021-06-07T00:00:00"/>
    <m/>
    <m/>
    <m/>
    <d v="2021-06-07T00:00:00"/>
    <d v="2021-06-25T00:00:00"/>
    <n v="13"/>
    <n v="9"/>
    <n v="94"/>
    <n v="18"/>
    <n v="134"/>
  </r>
  <r>
    <d v="2021-01-26T00:00:00"/>
    <s v="VZ-2021-000077"/>
    <x v="10"/>
    <n v="1400000"/>
    <x v="2"/>
    <d v="2021-01-28T00:00:00"/>
    <d v="2021-02-12T00:00:00"/>
    <d v="2021-02-18T00:00:00"/>
    <m/>
    <m/>
    <m/>
    <d v="2021-02-18T00:00:00"/>
    <d v="2021-03-19T00:00:00"/>
    <n v="2"/>
    <n v="15"/>
    <n v="6"/>
    <n v="29"/>
    <n v="52"/>
  </r>
  <r>
    <d v="2021-01-22T00:00:00"/>
    <s v="VZ-2021-000088"/>
    <x v="2"/>
    <n v="9596059.4900000002"/>
    <x v="0"/>
    <d v="2021-02-03T00:00:00"/>
    <d v="2021-03-08T00:00:00"/>
    <d v="2021-03-17T00:00:00"/>
    <m/>
    <m/>
    <m/>
    <d v="2021-03-17T00:00:00"/>
    <d v="2021-04-26T00:00:00"/>
    <n v="12"/>
    <n v="33"/>
    <n v="9"/>
    <n v="40"/>
    <n v="94"/>
  </r>
  <r>
    <d v="2021-02-01T00:00:00"/>
    <s v="VZ-2021-000092"/>
    <x v="13"/>
    <n v="200000"/>
    <x v="2"/>
    <d v="2021-02-03T00:00:00"/>
    <d v="2021-02-11T00:00:00"/>
    <d v="2021-02-18T00:00:00"/>
    <m/>
    <m/>
    <m/>
    <d v="2021-02-18T00:00:00"/>
    <d v="2021-03-15T00:00:00"/>
    <n v="2"/>
    <n v="8"/>
    <n v="7"/>
    <n v="25"/>
    <n v="42"/>
  </r>
  <r>
    <d v="2021-02-02T00:00:00"/>
    <s v="VZ-2021-000096"/>
    <x v="4"/>
    <n v="350000"/>
    <x v="2"/>
    <d v="2021-02-25T00:00:00"/>
    <d v="2021-03-10T00:00:00"/>
    <d v="2021-03-23T00:00:00"/>
    <m/>
    <m/>
    <m/>
    <d v="2021-03-23T00:00:00"/>
    <d v="2021-04-21T00:00:00"/>
    <n v="23"/>
    <n v="13"/>
    <n v="13"/>
    <n v="29"/>
    <n v="78"/>
  </r>
  <r>
    <d v="2021-01-21T00:00:00"/>
    <s v="VZ-2021-000099"/>
    <x v="1"/>
    <n v="8400000"/>
    <x v="0"/>
    <d v="2021-02-26T00:00:00"/>
    <d v="2021-06-14T00:00:00"/>
    <d v="2021-07-14T00:00:00"/>
    <m/>
    <m/>
    <m/>
    <d v="2021-07-21T00:00:00"/>
    <d v="2021-08-23T00:00:00"/>
    <n v="36"/>
    <n v="108"/>
    <n v="30"/>
    <n v="40"/>
    <n v="214"/>
  </r>
  <r>
    <s v="opakovaná VZ"/>
    <s v="VZ-2021-000100"/>
    <x v="2"/>
    <n v="38800000"/>
    <x v="0"/>
    <d v="2021-02-26T00:00:00"/>
    <d v="2021-04-22T00:00:00"/>
    <d v="2021-05-11T00:00:00"/>
    <m/>
    <m/>
    <m/>
    <d v="2021-05-12T00:00:00"/>
    <d v="2021-06-02T00:00:00"/>
    <m/>
    <m/>
    <m/>
    <m/>
    <m/>
  </r>
  <r>
    <s v="opakovaná VZ"/>
    <s v="VZ-2021-000100"/>
    <x v="2"/>
    <n v="7344000"/>
    <x v="0"/>
    <d v="2021-02-26T00:00:00"/>
    <d v="2021-04-22T00:00:00"/>
    <d v="2021-05-11T00:00:00"/>
    <m/>
    <m/>
    <m/>
    <d v="2021-05-12T00:00:00"/>
    <d v="2021-06-02T00:00:00"/>
    <m/>
    <m/>
    <m/>
    <m/>
    <m/>
  </r>
  <r>
    <s v="opakovaná VZ"/>
    <s v="VZ-2021-000100"/>
    <x v="2"/>
    <n v="11816000"/>
    <x v="0"/>
    <d v="2021-02-26T00:00:00"/>
    <d v="2021-04-22T00:00:00"/>
    <d v="2021-05-11T00:00:00"/>
    <m/>
    <m/>
    <m/>
    <d v="2021-05-12T00:00:00"/>
    <d v="2021-06-02T00:00:00"/>
    <m/>
    <m/>
    <m/>
    <m/>
    <m/>
  </r>
  <r>
    <d v="2021-02-05T00:00:00"/>
    <s v="VZ-2021-000103"/>
    <x v="8"/>
    <n v="300000"/>
    <x v="2"/>
    <d v="2021-02-10T00:00:00"/>
    <d v="2021-02-18T00:00:00"/>
    <d v="2021-03-08T00:00:00"/>
    <m/>
    <m/>
    <m/>
    <d v="2021-03-08T00:00:00"/>
    <m/>
    <m/>
    <m/>
    <m/>
    <m/>
    <m/>
  </r>
  <r>
    <d v="2021-02-05T00:00:00"/>
    <s v="VZ-2021-000104"/>
    <x v="11"/>
    <n v="2400000"/>
    <x v="1"/>
    <d v="2021-02-11T00:00:00"/>
    <d v="2021-03-01T00:00:00"/>
    <d v="2021-04-08T00:00:00"/>
    <m/>
    <m/>
    <m/>
    <d v="2021-04-08T00:00:00"/>
    <d v="2021-04-29T00:00:00"/>
    <n v="6"/>
    <n v="18"/>
    <n v="38"/>
    <n v="21"/>
    <n v="83"/>
  </r>
  <r>
    <d v="2021-02-05T00:00:00"/>
    <s v="VZ-2021-000104"/>
    <x v="11"/>
    <n v="1094000"/>
    <x v="1"/>
    <d v="2021-02-11T00:00:00"/>
    <d v="2021-03-01T00:00:00"/>
    <d v="2021-04-08T00:00:00"/>
    <m/>
    <m/>
    <m/>
    <d v="2021-04-08T00:00:00"/>
    <d v="2021-04-29T00:00:00"/>
    <n v="6"/>
    <n v="18"/>
    <n v="38"/>
    <n v="21"/>
    <n v="83"/>
  </r>
  <r>
    <s v="opakovaná VZ"/>
    <s v="VZ-2021-000105"/>
    <x v="3"/>
    <n v="62500000"/>
    <x v="0"/>
    <d v="2021-06-08T00:00:00"/>
    <d v="2021-07-26T00:00:00"/>
    <d v="2021-07-30T00:00:00"/>
    <m/>
    <m/>
    <m/>
    <d v="2021-07-30T00:00:00"/>
    <d v="2021-11-05T00:00:00"/>
    <m/>
    <m/>
    <m/>
    <m/>
    <m/>
  </r>
  <r>
    <d v="2021-02-10T00:00:00"/>
    <s v="VZ-2021-000119"/>
    <x v="2"/>
    <n v="2425000"/>
    <x v="1"/>
    <d v="2021-02-15T00:00:00"/>
    <d v="2021-03-10T00:00:00"/>
    <d v="2021-03-15T00:00:00"/>
    <m/>
    <m/>
    <m/>
    <d v="2021-03-16T00:00:00"/>
    <d v="2021-04-14T00:00:00"/>
    <n v="5"/>
    <n v="23"/>
    <n v="5"/>
    <n v="30"/>
    <n v="63"/>
  </r>
  <r>
    <d v="2021-02-10T00:00:00"/>
    <s v="VZ-2021-000120"/>
    <x v="2"/>
    <n v="1250000"/>
    <x v="2"/>
    <d v="2021-02-15T00:00:00"/>
    <d v="2021-02-23T00:00:00"/>
    <d v="2021-11-15T00:00:00"/>
    <m/>
    <m/>
    <m/>
    <d v="2021-11-15T00:00:00"/>
    <d v="2021-12-07T00:00:00"/>
    <n v="5"/>
    <n v="8"/>
    <n v="265"/>
    <n v="22"/>
    <n v="300"/>
  </r>
  <r>
    <d v="2021-02-11T00:00:00"/>
    <s v="VZ-2021-000121"/>
    <x v="11"/>
    <n v="400000"/>
    <x v="2"/>
    <d v="2021-02-15T00:00:00"/>
    <d v="2021-02-26T00:00:00"/>
    <d v="2021-05-05T00:00:00"/>
    <m/>
    <m/>
    <m/>
    <d v="2021-05-06T00:00:00"/>
    <d v="2021-06-11T00:00:00"/>
    <n v="4"/>
    <n v="11"/>
    <n v="68"/>
    <n v="37"/>
    <n v="120"/>
  </r>
  <r>
    <d v="2021-02-11T00:00:00"/>
    <s v="VZ-2021-000121"/>
    <x v="11"/>
    <n v="508220"/>
    <x v="2"/>
    <d v="2021-02-15T00:00:00"/>
    <d v="2021-02-26T00:00:00"/>
    <d v="2021-03-19T00:00:00"/>
    <m/>
    <m/>
    <m/>
    <d v="2021-03-19T00:00:00"/>
    <d v="2021-04-23T00:00:00"/>
    <n v="4"/>
    <n v="11"/>
    <n v="21"/>
    <n v="35"/>
    <n v="71"/>
  </r>
  <r>
    <d v="2021-02-09T00:00:00"/>
    <s v="VZ-2021-000130"/>
    <x v="0"/>
    <n v="28008028"/>
    <x v="0"/>
    <d v="2021-02-23T00:00:00"/>
    <d v="2021-04-13T00:00:00"/>
    <d v="2021-05-21T00:00:00"/>
    <m/>
    <m/>
    <m/>
    <d v="2021-05-21T00:00:00"/>
    <d v="2021-06-10T00:00:00"/>
    <n v="14"/>
    <n v="49"/>
    <n v="38"/>
    <n v="20"/>
    <n v="121"/>
  </r>
  <r>
    <d v="2021-02-09T00:00:00"/>
    <s v="VZ-2021-000130"/>
    <x v="0"/>
    <n v="20218545"/>
    <x v="0"/>
    <d v="2021-02-23T00:00:00"/>
    <d v="2021-04-13T00:00:00"/>
    <d v="2021-05-06T00:00:00"/>
    <m/>
    <m/>
    <m/>
    <d v="2021-05-06T00:00:00"/>
    <d v="2021-05-26T00:00:00"/>
    <n v="14"/>
    <n v="49"/>
    <n v="23"/>
    <n v="20"/>
    <n v="106"/>
  </r>
  <r>
    <d v="2021-02-09T00:00:00"/>
    <s v="VZ-2021-000130"/>
    <x v="0"/>
    <n v="7757532"/>
    <x v="0"/>
    <d v="2021-02-23T00:00:00"/>
    <d v="2021-04-13T00:00:00"/>
    <m/>
    <m/>
    <m/>
    <m/>
    <m/>
    <m/>
    <m/>
    <m/>
    <m/>
    <m/>
    <m/>
  </r>
  <r>
    <d v="2021-02-09T00:00:00"/>
    <s v="VZ-2021-000130"/>
    <x v="0"/>
    <n v="4652062"/>
    <x v="0"/>
    <d v="2021-02-23T00:00:00"/>
    <d v="2021-04-13T00:00:00"/>
    <d v="2021-05-06T00:00:00"/>
    <m/>
    <m/>
    <m/>
    <d v="2021-05-06T00:00:00"/>
    <d v="2021-05-26T00:00:00"/>
    <n v="14"/>
    <n v="49"/>
    <n v="23"/>
    <n v="20"/>
    <n v="106"/>
  </r>
  <r>
    <d v="2021-02-09T00:00:00"/>
    <s v="VZ-2021-000130"/>
    <x v="0"/>
    <n v="6760421"/>
    <x v="0"/>
    <d v="2021-02-23T00:00:00"/>
    <d v="2021-04-13T00:00:00"/>
    <d v="2021-05-06T00:00:00"/>
    <m/>
    <m/>
    <m/>
    <d v="2021-05-06T00:00:00"/>
    <d v="2021-06-03T00:00:00"/>
    <n v="14"/>
    <n v="49"/>
    <n v="23"/>
    <n v="28"/>
    <n v="114"/>
  </r>
  <r>
    <d v="2021-02-15T00:00:00"/>
    <s v="VZ-2021-000132"/>
    <x v="5"/>
    <n v="1160000"/>
    <x v="2"/>
    <d v="2021-02-18T00:00:00"/>
    <d v="2021-03-02T00:00:00"/>
    <d v="2021-03-04T00:00:00"/>
    <m/>
    <m/>
    <m/>
    <d v="2021-03-04T00:00:00"/>
    <d v="2021-03-17T00:00:00"/>
    <n v="3"/>
    <n v="12"/>
    <n v="2"/>
    <n v="13"/>
    <n v="30"/>
  </r>
  <r>
    <d v="2021-02-09T00:00:00"/>
    <s v="VZ-2021-000133"/>
    <x v="0"/>
    <n v="2968517"/>
    <x v="0"/>
    <d v="2021-02-23T00:00:00"/>
    <d v="2021-03-29T00:00:00"/>
    <m/>
    <m/>
    <m/>
    <m/>
    <m/>
    <m/>
    <m/>
    <m/>
    <m/>
    <m/>
    <m/>
  </r>
  <r>
    <d v="2021-02-09T00:00:00"/>
    <s v="VZ-2021-000133"/>
    <x v="0"/>
    <n v="73696560"/>
    <x v="0"/>
    <d v="2021-02-23T00:00:00"/>
    <d v="2021-03-29T00:00:00"/>
    <m/>
    <m/>
    <m/>
    <m/>
    <m/>
    <m/>
    <m/>
    <m/>
    <m/>
    <m/>
    <m/>
  </r>
  <r>
    <d v="2021-02-09T00:00:00"/>
    <s v="VZ-2021-000133"/>
    <x v="0"/>
    <n v="58973556"/>
    <x v="0"/>
    <d v="2021-02-23T00:00:00"/>
    <d v="2021-03-29T00:00:00"/>
    <d v="2021-04-23T00:00:00"/>
    <m/>
    <m/>
    <m/>
    <d v="2021-04-23T00:00:00"/>
    <d v="2021-05-13T00:00:00"/>
    <n v="14"/>
    <n v="34"/>
    <n v="25"/>
    <n v="20"/>
    <n v="93"/>
  </r>
  <r>
    <d v="2021-02-09T00:00:00"/>
    <s v="VZ-2021-000133"/>
    <x v="0"/>
    <n v="35710072"/>
    <x v="0"/>
    <d v="2021-02-23T00:00:00"/>
    <d v="2021-03-29T00:00:00"/>
    <d v="2021-04-23T00:00:00"/>
    <m/>
    <m/>
    <m/>
    <d v="2021-04-23T00:00:00"/>
    <d v="2021-05-20T00:00:00"/>
    <n v="14"/>
    <n v="34"/>
    <n v="25"/>
    <n v="27"/>
    <n v="100"/>
  </r>
  <r>
    <d v="2021-02-12T00:00:00"/>
    <s v="VZ-2021-000134"/>
    <x v="1"/>
    <n v="3150000"/>
    <x v="1"/>
    <d v="2021-02-25T00:00:00"/>
    <d v="2021-03-16T00:00:00"/>
    <m/>
    <m/>
    <m/>
    <m/>
    <m/>
    <m/>
    <m/>
    <m/>
    <m/>
    <m/>
    <m/>
  </r>
  <r>
    <s v="opakovaná VZ"/>
    <s v="VZ-2021-000140"/>
    <x v="3"/>
    <n v="106000000"/>
    <x v="0"/>
    <d v="2021-03-04T00:00:00"/>
    <d v="2021-04-30T00:00:00"/>
    <d v="2021-05-07T00:00:00"/>
    <m/>
    <m/>
    <m/>
    <d v="2021-05-07T00:00:00"/>
    <d v="2021-06-14T00:00:00"/>
    <m/>
    <m/>
    <m/>
    <m/>
    <m/>
  </r>
  <r>
    <s v="opakovaná VZ"/>
    <s v="VZ-2021-000144"/>
    <x v="4"/>
    <n v="3000000"/>
    <x v="1"/>
    <d v="2021-02-22T00:00:00"/>
    <d v="2021-03-11T00:00:00"/>
    <d v="2021-03-25T00:00:00"/>
    <m/>
    <m/>
    <m/>
    <d v="2021-03-25T00:00:00"/>
    <d v="2021-05-19T00:00:00"/>
    <m/>
    <m/>
    <m/>
    <m/>
    <m/>
  </r>
  <r>
    <d v="2021-02-17T00:00:00"/>
    <s v="VZ-2021-000147"/>
    <x v="2"/>
    <n v="2590000"/>
    <x v="1"/>
    <d v="2021-02-22T00:00:00"/>
    <d v="2021-03-11T00:00:00"/>
    <d v="2021-03-17T00:00:00"/>
    <m/>
    <m/>
    <m/>
    <d v="2021-03-17T00:00:00"/>
    <d v="2021-04-21T00:00:00"/>
    <n v="5"/>
    <n v="17"/>
    <n v="6"/>
    <n v="35"/>
    <n v="63"/>
  </r>
  <r>
    <d v="2021-02-18T00:00:00"/>
    <s v="VZ-2021-000148"/>
    <x v="1"/>
    <n v="348000"/>
    <x v="2"/>
    <d v="2021-02-22T00:00:00"/>
    <d v="2021-03-05T00:00:00"/>
    <m/>
    <m/>
    <m/>
    <m/>
    <m/>
    <m/>
    <m/>
    <m/>
    <m/>
    <m/>
    <m/>
  </r>
  <r>
    <d v="2021-02-19T00:00:00"/>
    <s v="VZ-2021-000153"/>
    <x v="4"/>
    <n v="450000"/>
    <x v="2"/>
    <d v="2021-02-24T00:00:00"/>
    <d v="2021-03-10T00:00:00"/>
    <d v="2021-03-12T00:00:00"/>
    <m/>
    <m/>
    <m/>
    <d v="2021-03-12T00:00:00"/>
    <d v="2021-03-29T00:00:00"/>
    <n v="5"/>
    <n v="14"/>
    <n v="2"/>
    <n v="17"/>
    <n v="38"/>
  </r>
  <r>
    <s v="opakovaná VZ"/>
    <s v="VZ-2021-000161"/>
    <x v="1"/>
    <n v="727000"/>
    <x v="2"/>
    <d v="2021-03-02T00:00:00"/>
    <d v="2021-03-12T00:00:00"/>
    <d v="2021-06-24T00:00:00"/>
    <m/>
    <m/>
    <m/>
    <d v="2021-06-24T00:00:00"/>
    <d v="2021-07-22T00:00:00"/>
    <m/>
    <m/>
    <m/>
    <m/>
    <m/>
  </r>
  <r>
    <d v="2021-02-23T00:00:00"/>
    <s v="VZ-2021-000162"/>
    <x v="5"/>
    <n v="851900"/>
    <x v="2"/>
    <d v="2021-02-26T00:00:00"/>
    <d v="2021-03-10T00:00:00"/>
    <m/>
    <m/>
    <m/>
    <m/>
    <m/>
    <m/>
    <m/>
    <m/>
    <m/>
    <m/>
    <m/>
  </r>
  <r>
    <d v="2021-02-22T00:00:00"/>
    <s v="VZ-2021-000165"/>
    <x v="2"/>
    <n v="3260870"/>
    <x v="0"/>
    <d v="2021-02-26T00:00:00"/>
    <d v="2021-04-01T00:00:00"/>
    <d v="2021-04-13T00:00:00"/>
    <m/>
    <m/>
    <m/>
    <d v="2021-04-13T00:00:00"/>
    <d v="2021-05-05T00:00:00"/>
    <n v="4"/>
    <n v="34"/>
    <n v="12"/>
    <n v="22"/>
    <n v="72"/>
  </r>
  <r>
    <d v="2021-02-23T00:00:00"/>
    <s v="VZ-2021-000167"/>
    <x v="2"/>
    <n v="1772680"/>
    <x v="2"/>
    <d v="2021-02-26T00:00:00"/>
    <d v="2021-03-10T00:00:00"/>
    <d v="2021-03-15T00:00:00"/>
    <m/>
    <m/>
    <m/>
    <d v="2021-03-15T00:00:00"/>
    <d v="2021-03-31T00:00:00"/>
    <n v="3"/>
    <n v="12"/>
    <n v="5"/>
    <n v="16"/>
    <n v="36"/>
  </r>
  <r>
    <d v="2021-02-22T00:00:00"/>
    <s v="VZ-2021-000174"/>
    <x v="2"/>
    <n v="7302500"/>
    <x v="0"/>
    <d v="2021-02-26T00:00:00"/>
    <d v="2021-04-01T00:00:00"/>
    <d v="2021-05-04T00:00:00"/>
    <m/>
    <m/>
    <m/>
    <d v="2021-05-04T00:00:00"/>
    <d v="2021-05-28T00:00:00"/>
    <n v="4"/>
    <n v="34"/>
    <n v="33"/>
    <n v="24"/>
    <n v="95"/>
  </r>
  <r>
    <d v="2021-02-17T00:00:00"/>
    <s v="VZ-2021-000175"/>
    <x v="1"/>
    <n v="9350000"/>
    <x v="0"/>
    <d v="2021-03-05T00:00:00"/>
    <d v="2021-07-08T00:00:00"/>
    <d v="2021-07-19T00:00:00"/>
    <m/>
    <m/>
    <m/>
    <d v="2021-07-19T00:00:00"/>
    <d v="2021-08-25T00:00:00"/>
    <n v="16"/>
    <n v="125"/>
    <n v="11"/>
    <n v="37"/>
    <n v="189"/>
  </r>
  <r>
    <d v="2021-02-23T00:00:00"/>
    <s v="VZ-2021-000182"/>
    <x v="2"/>
    <n v="9012000"/>
    <x v="0"/>
    <d v="2021-03-22T00:00:00"/>
    <d v="2021-04-23T00:00:00"/>
    <d v="2021-05-25T00:00:00"/>
    <m/>
    <m/>
    <m/>
    <d v="2021-05-26T00:00:00"/>
    <d v="2021-06-23T00:00:00"/>
    <n v="27"/>
    <n v="32"/>
    <n v="32"/>
    <n v="29"/>
    <n v="120"/>
  </r>
  <r>
    <d v="2021-02-23T00:00:00"/>
    <s v="VZ-2021-000182"/>
    <x v="2"/>
    <n v="4170000"/>
    <x v="0"/>
    <d v="2021-03-22T00:00:00"/>
    <d v="2021-04-23T00:00:00"/>
    <d v="2021-05-25T00:00:00"/>
    <m/>
    <m/>
    <m/>
    <d v="2021-05-26T00:00:00"/>
    <d v="2021-06-23T00:00:00"/>
    <n v="27"/>
    <n v="32"/>
    <n v="32"/>
    <n v="29"/>
    <n v="120"/>
  </r>
  <r>
    <d v="2021-02-23T00:00:00"/>
    <s v="VZ-2021-000182"/>
    <x v="2"/>
    <n v="619800"/>
    <x v="0"/>
    <d v="2021-03-22T00:00:00"/>
    <d v="2021-04-23T00:00:00"/>
    <d v="2021-05-25T00:00:00"/>
    <m/>
    <m/>
    <m/>
    <d v="2021-05-26T00:00:00"/>
    <d v="2021-06-16T00:00:00"/>
    <n v="27"/>
    <n v="32"/>
    <n v="32"/>
    <n v="22"/>
    <n v="113"/>
  </r>
  <r>
    <d v="2021-02-23T00:00:00"/>
    <s v="VZ-2021-000182"/>
    <x v="2"/>
    <n v="9705000"/>
    <x v="0"/>
    <d v="2021-03-22T00:00:00"/>
    <d v="2021-04-23T00:00:00"/>
    <d v="2021-05-25T00:00:00"/>
    <m/>
    <m/>
    <m/>
    <d v="2021-05-26T00:00:00"/>
    <d v="2021-06-23T00:00:00"/>
    <n v="27"/>
    <n v="32"/>
    <n v="32"/>
    <n v="29"/>
    <n v="120"/>
  </r>
  <r>
    <d v="2021-02-23T00:00:00"/>
    <s v="VZ-2021-000182"/>
    <x v="2"/>
    <n v="3378990"/>
    <x v="0"/>
    <d v="2021-03-22T00:00:00"/>
    <d v="2021-04-23T00:00:00"/>
    <d v="2021-05-25T00:00:00"/>
    <m/>
    <m/>
    <m/>
    <d v="2021-05-26T00:00:00"/>
    <d v="2021-06-16T00:00:00"/>
    <n v="27"/>
    <n v="32"/>
    <n v="32"/>
    <n v="22"/>
    <n v="113"/>
  </r>
  <r>
    <d v="2021-02-23T00:00:00"/>
    <s v="VZ-2021-000182"/>
    <x v="2"/>
    <n v="26578800"/>
    <x v="0"/>
    <d v="2021-03-22T00:00:00"/>
    <d v="2021-04-23T00:00:00"/>
    <d v="2021-05-25T00:00:00"/>
    <m/>
    <m/>
    <m/>
    <d v="2021-05-26T00:00:00"/>
    <d v="2021-06-16T00:00:00"/>
    <n v="27"/>
    <n v="32"/>
    <n v="32"/>
    <n v="22"/>
    <n v="113"/>
  </r>
  <r>
    <d v="2021-02-23T00:00:00"/>
    <s v="VZ-2021-000182"/>
    <x v="2"/>
    <n v="6840000"/>
    <x v="0"/>
    <d v="2021-03-22T00:00:00"/>
    <d v="2021-04-23T00:00:00"/>
    <d v="2021-05-25T00:00:00"/>
    <m/>
    <m/>
    <m/>
    <d v="2021-05-26T00:00:00"/>
    <d v="2021-06-16T00:00:00"/>
    <n v="27"/>
    <n v="32"/>
    <n v="32"/>
    <n v="22"/>
    <n v="113"/>
  </r>
  <r>
    <d v="2021-02-23T00:00:00"/>
    <s v="VZ-2021-000182"/>
    <x v="2"/>
    <n v="28925000"/>
    <x v="0"/>
    <d v="2021-03-22T00:00:00"/>
    <d v="2021-04-23T00:00:00"/>
    <d v="2021-05-25T00:00:00"/>
    <m/>
    <m/>
    <m/>
    <d v="2021-05-26T00:00:00"/>
    <d v="2021-06-21T00:00:00"/>
    <n v="27"/>
    <n v="32"/>
    <n v="32"/>
    <n v="27"/>
    <n v="118"/>
  </r>
  <r>
    <d v="2021-02-25T00:00:00"/>
    <s v="VZ-2021-000183"/>
    <x v="0"/>
    <n v="60243750"/>
    <x v="0"/>
    <d v="2021-03-08T00:00:00"/>
    <d v="2021-05-10T00:00:00"/>
    <m/>
    <m/>
    <m/>
    <m/>
    <m/>
    <m/>
    <m/>
    <m/>
    <m/>
    <m/>
    <m/>
  </r>
  <r>
    <d v="2021-02-25T00:00:00"/>
    <s v="VZ-2021-000183"/>
    <x v="0"/>
    <n v="5469639"/>
    <x v="0"/>
    <d v="2021-03-08T00:00:00"/>
    <d v="2021-05-10T00:00:00"/>
    <d v="2021-05-28T00:00:00"/>
    <m/>
    <m/>
    <m/>
    <d v="2021-05-28T00:00:00"/>
    <d v="2021-06-23T00:00:00"/>
    <n v="11"/>
    <n v="63"/>
    <n v="18"/>
    <n v="26"/>
    <n v="118"/>
  </r>
  <r>
    <d v="2021-02-25T00:00:00"/>
    <s v="VZ-2021-000183"/>
    <x v="0"/>
    <n v="5831317"/>
    <x v="0"/>
    <d v="2021-03-08T00:00:00"/>
    <d v="2021-05-10T00:00:00"/>
    <d v="2021-05-28T00:00:00"/>
    <m/>
    <m/>
    <m/>
    <d v="2021-05-28T00:00:00"/>
    <d v="2021-06-21T00:00:00"/>
    <n v="11"/>
    <n v="63"/>
    <n v="18"/>
    <n v="24"/>
    <n v="116"/>
  </r>
  <r>
    <d v="2021-02-25T00:00:00"/>
    <s v="VZ-2021-000183"/>
    <x v="0"/>
    <n v="8011033"/>
    <x v="0"/>
    <d v="2021-03-08T00:00:00"/>
    <d v="2021-05-10T00:00:00"/>
    <d v="2021-05-28T00:00:00"/>
    <m/>
    <m/>
    <m/>
    <d v="2021-05-28T00:00:00"/>
    <d v="2021-06-28T00:00:00"/>
    <n v="11"/>
    <n v="63"/>
    <n v="18"/>
    <n v="31"/>
    <n v="123"/>
  </r>
  <r>
    <d v="2021-02-25T00:00:00"/>
    <s v="VZ-2021-000183"/>
    <x v="0"/>
    <n v="4417024"/>
    <x v="0"/>
    <d v="2021-03-08T00:00:00"/>
    <d v="2021-05-10T00:00:00"/>
    <d v="2021-05-28T00:00:00"/>
    <m/>
    <m/>
    <m/>
    <d v="2021-05-28T00:00:00"/>
    <d v="2021-06-23T00:00:00"/>
    <n v="11"/>
    <n v="63"/>
    <n v="18"/>
    <n v="26"/>
    <n v="118"/>
  </r>
  <r>
    <d v="2021-02-25T00:00:00"/>
    <s v="VZ-2021-000184"/>
    <x v="0"/>
    <n v="69447975"/>
    <x v="0"/>
    <d v="2021-03-09T00:00:00"/>
    <d v="2021-04-13T00:00:00"/>
    <m/>
    <m/>
    <m/>
    <m/>
    <m/>
    <m/>
    <m/>
    <m/>
    <m/>
    <m/>
    <m/>
  </r>
  <r>
    <d v="2021-02-25T00:00:00"/>
    <s v="VZ-2021-000184"/>
    <x v="0"/>
    <n v="23806615"/>
    <x v="0"/>
    <d v="2021-03-09T00:00:00"/>
    <d v="2021-04-13T00:00:00"/>
    <d v="2021-05-06T00:00:00"/>
    <m/>
    <m/>
    <m/>
    <d v="2021-05-06T00:00:00"/>
    <d v="2021-05-27T00:00:00"/>
    <n v="12"/>
    <n v="35"/>
    <n v="23"/>
    <n v="21"/>
    <n v="91"/>
  </r>
  <r>
    <d v="2021-02-25T00:00:00"/>
    <s v="VZ-2021-000185"/>
    <x v="0"/>
    <n v="49309756"/>
    <x v="0"/>
    <d v="2021-03-03T00:00:00"/>
    <d v="2021-04-19T00:00:00"/>
    <d v="2021-05-06T00:00:00"/>
    <m/>
    <m/>
    <m/>
    <d v="2021-05-06T00:00:00"/>
    <d v="2021-05-26T00:00:00"/>
    <n v="6"/>
    <n v="47"/>
    <n v="17"/>
    <n v="20"/>
    <n v="90"/>
  </r>
  <r>
    <d v="2021-02-25T00:00:00"/>
    <s v="VZ-2021-000185"/>
    <x v="0"/>
    <n v="14263044"/>
    <x v="0"/>
    <d v="2021-03-03T00:00:00"/>
    <d v="2021-04-19T00:00:00"/>
    <d v="2021-05-06T00:00:00"/>
    <m/>
    <m/>
    <m/>
    <d v="2021-05-06T00:00:00"/>
    <d v="2021-06-03T00:00:00"/>
    <n v="6"/>
    <n v="47"/>
    <n v="17"/>
    <n v="28"/>
    <n v="98"/>
  </r>
  <r>
    <d v="2021-02-25T00:00:00"/>
    <s v="VZ-2021-000186"/>
    <x v="0"/>
    <n v="38164742"/>
    <x v="0"/>
    <d v="2021-03-15T00:00:00"/>
    <d v="2021-04-19T00:00:00"/>
    <d v="2021-04-23T00:00:00"/>
    <m/>
    <m/>
    <m/>
    <d v="2021-04-23T00:00:00"/>
    <d v="2021-05-13T00:00:00"/>
    <n v="18"/>
    <n v="35"/>
    <n v="4"/>
    <n v="20"/>
    <n v="77"/>
  </r>
  <r>
    <d v="2021-02-25T00:00:00"/>
    <s v="VZ-2021-000186"/>
    <x v="0"/>
    <n v="22873184"/>
    <x v="0"/>
    <d v="2021-03-15T00:00:00"/>
    <d v="2021-04-19T00:00:00"/>
    <d v="2021-04-23T00:00:00"/>
    <m/>
    <m/>
    <m/>
    <d v="2021-04-23T00:00:00"/>
    <d v="2021-05-20T00:00:00"/>
    <n v="18"/>
    <n v="35"/>
    <n v="4"/>
    <n v="27"/>
    <n v="84"/>
  </r>
  <r>
    <d v="2021-02-25T00:00:00"/>
    <s v="VZ-2021-000187"/>
    <x v="0"/>
    <n v="16200760"/>
    <x v="0"/>
    <d v="2021-03-11T00:00:00"/>
    <d v="2021-04-14T00:00:00"/>
    <d v="2021-04-23T00:00:00"/>
    <m/>
    <m/>
    <m/>
    <d v="2021-04-23T00:00:00"/>
    <d v="2021-05-17T00:00:00"/>
    <n v="14"/>
    <n v="34"/>
    <n v="9"/>
    <n v="24"/>
    <n v="81"/>
  </r>
  <r>
    <d v="2021-02-25T00:00:00"/>
    <s v="VZ-2021-000193"/>
    <x v="0"/>
    <n v="278112"/>
    <x v="2"/>
    <d v="2021-03-04T00:00:00"/>
    <d v="2021-03-15T00:00:00"/>
    <m/>
    <m/>
    <m/>
    <m/>
    <m/>
    <m/>
    <m/>
    <m/>
    <m/>
    <m/>
    <m/>
  </r>
  <r>
    <d v="2021-02-25T00:00:00"/>
    <s v="VZ-2021-000193"/>
    <x v="0"/>
    <n v="385472"/>
    <x v="2"/>
    <d v="2021-03-04T00:00:00"/>
    <d v="2021-03-15T00:00:00"/>
    <m/>
    <m/>
    <m/>
    <m/>
    <m/>
    <m/>
    <m/>
    <m/>
    <m/>
    <m/>
    <m/>
  </r>
  <r>
    <d v="2021-02-25T00:00:00"/>
    <s v="VZ-2021-000193"/>
    <x v="0"/>
    <n v="61696"/>
    <x v="2"/>
    <d v="2021-03-04T00:00:00"/>
    <d v="2021-03-15T00:00:00"/>
    <m/>
    <m/>
    <m/>
    <m/>
    <m/>
    <m/>
    <m/>
    <m/>
    <m/>
    <m/>
    <m/>
  </r>
  <r>
    <d v="2021-02-25T00:00:00"/>
    <s v="VZ-2021-000193"/>
    <x v="0"/>
    <n v="148093"/>
    <x v="2"/>
    <d v="2021-03-04T00:00:00"/>
    <d v="2021-03-15T00:00:00"/>
    <m/>
    <m/>
    <m/>
    <m/>
    <m/>
    <m/>
    <m/>
    <m/>
    <m/>
    <m/>
    <m/>
  </r>
  <r>
    <d v="2021-02-25T00:00:00"/>
    <s v="VZ-2021-000193"/>
    <x v="0"/>
    <n v="61226"/>
    <x v="2"/>
    <d v="2021-03-04T00:00:00"/>
    <d v="2021-03-15T00:00:00"/>
    <m/>
    <m/>
    <m/>
    <m/>
    <m/>
    <m/>
    <m/>
    <m/>
    <m/>
    <m/>
    <m/>
  </r>
  <r>
    <d v="2021-02-25T00:00:00"/>
    <s v="VZ-2021-000193"/>
    <x v="0"/>
    <n v="11880"/>
    <x v="2"/>
    <d v="2021-03-04T00:00:00"/>
    <d v="2021-03-15T00:00:00"/>
    <m/>
    <m/>
    <m/>
    <m/>
    <m/>
    <m/>
    <m/>
    <m/>
    <m/>
    <m/>
    <m/>
  </r>
  <r>
    <d v="2021-03-01T00:00:00"/>
    <s v="VZ-2021-000196"/>
    <x v="5"/>
    <n v="1850000"/>
    <x v="2"/>
    <d v="2021-03-09T00:00:00"/>
    <d v="2021-03-19T00:00:00"/>
    <d v="2021-05-24T00:00:00"/>
    <m/>
    <m/>
    <m/>
    <d v="2021-05-24T00:00:00"/>
    <d v="2021-06-03T00:00:00"/>
    <n v="8"/>
    <n v="10"/>
    <n v="66"/>
    <n v="10"/>
    <n v="94"/>
  </r>
  <r>
    <d v="2021-03-01T00:00:00"/>
    <s v="VZ-2021-000198"/>
    <x v="2"/>
    <n v="1331404"/>
    <x v="2"/>
    <d v="2021-03-09T00:00:00"/>
    <d v="2021-03-18T00:00:00"/>
    <d v="2021-03-23T00:00:00"/>
    <m/>
    <m/>
    <m/>
    <d v="2021-03-23T00:00:00"/>
    <d v="2021-04-08T00:00:00"/>
    <n v="8"/>
    <n v="9"/>
    <n v="5"/>
    <n v="16"/>
    <n v="38"/>
  </r>
  <r>
    <d v="2021-03-03T00:00:00"/>
    <s v="VZ-2021-000203"/>
    <x v="2"/>
    <n v="4164271"/>
    <x v="0"/>
    <d v="2021-03-09T00:00:00"/>
    <d v="2021-04-12T00:00:00"/>
    <d v="2021-04-15T00:00:00"/>
    <m/>
    <m/>
    <m/>
    <d v="2021-04-15T00:00:00"/>
    <d v="2021-05-05T00:00:00"/>
    <n v="6"/>
    <n v="34"/>
    <n v="3"/>
    <n v="20"/>
    <n v="63"/>
  </r>
  <r>
    <d v="2021-03-02T00:00:00"/>
    <s v="VZ-2021-000207"/>
    <x v="1"/>
    <n v="336000"/>
    <x v="2"/>
    <d v="2021-03-11T00:00:00"/>
    <d v="2021-03-23T00:00:00"/>
    <m/>
    <m/>
    <m/>
    <m/>
    <m/>
    <m/>
    <m/>
    <m/>
    <m/>
    <m/>
    <m/>
  </r>
  <r>
    <d v="2021-03-08T00:00:00"/>
    <s v="VZ-2021-000211"/>
    <x v="2"/>
    <n v="1220260"/>
    <x v="2"/>
    <d v="2021-03-12T00:00:00"/>
    <d v="2021-03-24T00:00:00"/>
    <d v="2021-04-12T00:00:00"/>
    <m/>
    <m/>
    <m/>
    <d v="2021-04-12T00:00:00"/>
    <d v="2021-04-27T00:00:00"/>
    <n v="4"/>
    <n v="12"/>
    <n v="19"/>
    <n v="15"/>
    <n v="50"/>
  </r>
  <r>
    <d v="2021-02-26T00:00:00"/>
    <s v="VZ-2021-000215"/>
    <x v="1"/>
    <n v="3646523"/>
    <x v="0"/>
    <d v="2021-04-16T00:00:00"/>
    <d v="2021-05-20T00:00:00"/>
    <d v="2021-06-24T00:00:00"/>
    <m/>
    <m/>
    <m/>
    <d v="2021-06-24T00:00:00"/>
    <d v="2021-07-22T00:00:00"/>
    <n v="49"/>
    <n v="34"/>
    <n v="35"/>
    <n v="28"/>
    <n v="146"/>
  </r>
  <r>
    <d v="2021-03-09T00:00:00"/>
    <s v="VZ-2021-000218"/>
    <x v="1"/>
    <n v="448200"/>
    <x v="0"/>
    <d v="2021-03-15T00:00:00"/>
    <d v="2021-04-19T00:00:00"/>
    <d v="2021-05-13T00:00:00"/>
    <m/>
    <m/>
    <m/>
    <d v="2021-05-13T00:00:00"/>
    <d v="2021-06-22T00:00:00"/>
    <n v="6"/>
    <n v="35"/>
    <n v="24"/>
    <n v="40"/>
    <n v="105"/>
  </r>
  <r>
    <d v="2021-03-09T00:00:00"/>
    <s v="VZ-2021-000218"/>
    <x v="1"/>
    <n v="1035000"/>
    <x v="0"/>
    <d v="2021-03-15T00:00:00"/>
    <d v="2021-04-19T00:00:00"/>
    <d v="2021-05-13T00:00:00"/>
    <m/>
    <m/>
    <m/>
    <d v="2021-05-13T00:00:00"/>
    <d v="2021-06-22T00:00:00"/>
    <n v="6"/>
    <n v="35"/>
    <n v="24"/>
    <n v="40"/>
    <n v="105"/>
  </r>
  <r>
    <d v="2021-03-08T00:00:00"/>
    <s v="VZ-2021-000222"/>
    <x v="2"/>
    <n v="1823900"/>
    <x v="2"/>
    <d v="2021-03-12T00:00:00"/>
    <d v="2021-03-23T00:00:00"/>
    <d v="2021-03-29T00:00:00"/>
    <m/>
    <m/>
    <m/>
    <d v="2021-03-29T00:00:00"/>
    <d v="2021-04-14T00:00:00"/>
    <n v="4"/>
    <n v="11"/>
    <n v="6"/>
    <n v="16"/>
    <n v="37"/>
  </r>
  <r>
    <d v="2021-03-05T00:00:00"/>
    <s v="VZ-2021-000231"/>
    <x v="1"/>
    <n v="6589000"/>
    <x v="0"/>
    <d v="2021-04-27T00:00:00"/>
    <d v="2021-06-21T00:00:00"/>
    <d v="2021-08-10T00:00:00"/>
    <m/>
    <m/>
    <m/>
    <d v="2021-08-10T00:00:00"/>
    <d v="2021-10-06T00:00:00"/>
    <n v="53"/>
    <n v="55"/>
    <n v="50"/>
    <n v="57"/>
    <n v="215"/>
  </r>
  <r>
    <d v="2021-03-12T00:00:00"/>
    <s v="VZ-2021-000234"/>
    <x v="5"/>
    <n v="1100000"/>
    <x v="2"/>
    <d v="2021-03-17T00:00:00"/>
    <d v="2021-03-26T00:00:00"/>
    <d v="2021-03-29T00:00:00"/>
    <m/>
    <m/>
    <m/>
    <d v="2021-03-29T00:00:00"/>
    <d v="2021-04-14T00:00:00"/>
    <n v="5"/>
    <n v="9"/>
    <n v="3"/>
    <n v="16"/>
    <n v="33"/>
  </r>
  <r>
    <s v="opakovaná VZ"/>
    <s v="VZ-2021-000238"/>
    <x v="1"/>
    <n v="3150000"/>
    <x v="1"/>
    <d v="2021-03-19T00:00:00"/>
    <d v="2021-04-09T00:00:00"/>
    <d v="2021-05-07T00:00:00"/>
    <m/>
    <m/>
    <m/>
    <d v="2021-05-07T00:00:00"/>
    <d v="2021-05-31T00:00:00"/>
    <m/>
    <m/>
    <m/>
    <m/>
    <m/>
  </r>
  <r>
    <d v="2021-03-16T00:00:00"/>
    <s v="VZ-2021-000243"/>
    <x v="11"/>
    <n v="1724380"/>
    <x v="2"/>
    <d v="2021-03-22T00:00:00"/>
    <d v="2021-04-01T00:00:00"/>
    <d v="2021-05-07T00:00:00"/>
    <m/>
    <m/>
    <m/>
    <d v="2021-05-07T00:00:00"/>
    <d v="2021-06-08T00:00:00"/>
    <n v="6"/>
    <n v="10"/>
    <n v="36"/>
    <n v="32"/>
    <n v="84"/>
  </r>
  <r>
    <d v="2021-03-17T00:00:00"/>
    <s v="VZ-2021-000245"/>
    <x v="2"/>
    <n v="1270000"/>
    <x v="1"/>
    <d v="2021-04-06T00:00:00"/>
    <d v="2021-04-23T00:00:00"/>
    <d v="2021-05-05T00:00:00"/>
    <m/>
    <m/>
    <m/>
    <d v="2021-05-06T00:00:00"/>
    <d v="2021-05-25T00:00:00"/>
    <n v="20"/>
    <n v="17"/>
    <n v="12"/>
    <n v="20"/>
    <n v="69"/>
  </r>
  <r>
    <d v="2021-03-17T00:00:00"/>
    <s v="VZ-2021-000245"/>
    <x v="2"/>
    <n v="665000"/>
    <x v="1"/>
    <d v="2021-04-06T00:00:00"/>
    <d v="2021-04-23T00:00:00"/>
    <d v="2021-05-05T00:00:00"/>
    <m/>
    <m/>
    <m/>
    <d v="2021-05-06T00:00:00"/>
    <d v="2021-05-31T00:00:00"/>
    <n v="20"/>
    <n v="17"/>
    <n v="12"/>
    <n v="26"/>
    <n v="75"/>
  </r>
  <r>
    <d v="2021-03-17T00:00:00"/>
    <s v="VZ-2021-000245"/>
    <x v="2"/>
    <n v="490000"/>
    <x v="1"/>
    <d v="2021-04-06T00:00:00"/>
    <d v="2021-04-23T00:00:00"/>
    <d v="2021-05-05T00:00:00"/>
    <m/>
    <m/>
    <m/>
    <d v="2021-05-06T00:00:00"/>
    <d v="2021-05-25T00:00:00"/>
    <n v="20"/>
    <n v="17"/>
    <n v="12"/>
    <n v="20"/>
    <n v="69"/>
  </r>
  <r>
    <d v="2021-03-16T00:00:00"/>
    <s v="VZ-2021-000249"/>
    <x v="4"/>
    <n v="1450000"/>
    <x v="2"/>
    <d v="2021-03-24T00:00:00"/>
    <d v="2021-04-07T00:00:00"/>
    <d v="2021-05-18T00:00:00"/>
    <m/>
    <m/>
    <m/>
    <d v="2021-05-18T00:00:00"/>
    <d v="2021-06-04T00:00:00"/>
    <n v="8"/>
    <n v="14"/>
    <n v="41"/>
    <n v="17"/>
    <n v="80"/>
  </r>
  <r>
    <d v="2021-03-17T00:00:00"/>
    <s v="VZ-2021-000253"/>
    <x v="4"/>
    <n v="1150000"/>
    <x v="2"/>
    <d v="2021-03-30T00:00:00"/>
    <d v="2021-04-09T00:00:00"/>
    <d v="2021-04-16T00:00:00"/>
    <m/>
    <m/>
    <m/>
    <d v="2021-04-16T00:00:00"/>
    <d v="2021-05-17T00:00:00"/>
    <n v="13"/>
    <n v="10"/>
    <n v="7"/>
    <n v="31"/>
    <n v="61"/>
  </r>
  <r>
    <d v="2021-03-18T00:00:00"/>
    <s v="VZ-2021-000256"/>
    <x v="2"/>
    <n v="1186800"/>
    <x v="2"/>
    <d v="2021-03-22T00:00:00"/>
    <d v="2021-03-31T00:00:00"/>
    <d v="2021-04-08T00:00:00"/>
    <m/>
    <m/>
    <m/>
    <d v="2021-04-08T00:00:00"/>
    <d v="2021-04-28T00:00:00"/>
    <n v="4"/>
    <n v="9"/>
    <n v="8"/>
    <n v="20"/>
    <n v="41"/>
  </r>
  <r>
    <d v="2021-03-18T00:00:00"/>
    <s v="VZ-2021-000261"/>
    <x v="0"/>
    <n v="5912121"/>
    <x v="0"/>
    <d v="2021-03-23T00:00:00"/>
    <d v="2021-04-26T00:00:00"/>
    <d v="2021-05-14T00:00:00"/>
    <m/>
    <m/>
    <m/>
    <d v="2021-05-14T00:00:00"/>
    <d v="2021-06-16T00:00:00"/>
    <n v="5"/>
    <n v="34"/>
    <n v="18"/>
    <n v="33"/>
    <n v="90"/>
  </r>
  <r>
    <d v="2021-03-18T00:00:00"/>
    <s v="VZ-2021-000261"/>
    <x v="0"/>
    <n v="14394333"/>
    <x v="0"/>
    <d v="2021-03-23T00:00:00"/>
    <d v="2021-04-26T00:00:00"/>
    <d v="2021-05-14T00:00:00"/>
    <m/>
    <m/>
    <m/>
    <d v="2021-05-14T00:00:00"/>
    <d v="2021-06-16T00:00:00"/>
    <n v="5"/>
    <n v="34"/>
    <n v="18"/>
    <n v="33"/>
    <n v="90"/>
  </r>
  <r>
    <d v="2021-03-18T00:00:00"/>
    <s v="VZ-2021-000261"/>
    <x v="0"/>
    <n v="12807940"/>
    <x v="0"/>
    <d v="2021-03-23T00:00:00"/>
    <d v="2021-04-26T00:00:00"/>
    <d v="2021-05-14T00:00:00"/>
    <m/>
    <m/>
    <m/>
    <d v="2021-05-14T00:00:00"/>
    <d v="2021-06-07T00:00:00"/>
    <n v="5"/>
    <n v="34"/>
    <n v="18"/>
    <n v="24"/>
    <n v="81"/>
  </r>
  <r>
    <d v="2021-03-22T00:00:00"/>
    <s v="VZ-2021-000265"/>
    <x v="0"/>
    <n v="31038378"/>
    <x v="0"/>
    <d v="2021-03-24T00:00:00"/>
    <d v="2021-05-26T00:00:00"/>
    <d v="2021-06-14T00:00:00"/>
    <m/>
    <m/>
    <m/>
    <d v="2021-06-14T00:00:00"/>
    <d v="2021-07-08T00:00:00"/>
    <n v="2"/>
    <n v="63"/>
    <n v="19"/>
    <n v="24"/>
    <n v="108"/>
  </r>
  <r>
    <d v="2021-03-22T00:00:00"/>
    <s v="VZ-2021-000266"/>
    <x v="0"/>
    <n v="11685000"/>
    <x v="0"/>
    <d v="2021-04-12T00:00:00"/>
    <d v="2021-05-14T00:00:00"/>
    <d v="2021-06-22T00:00:00"/>
    <m/>
    <m/>
    <m/>
    <d v="2021-06-22T00:00:00"/>
    <d v="2021-07-27T00:00:00"/>
    <n v="21"/>
    <n v="32"/>
    <n v="39"/>
    <n v="35"/>
    <n v="127"/>
  </r>
  <r>
    <d v="2021-03-22T00:00:00"/>
    <s v="VZ-2021-000266"/>
    <x v="0"/>
    <n v="3349210"/>
    <x v="0"/>
    <d v="2021-04-12T00:00:00"/>
    <d v="2021-05-14T00:00:00"/>
    <d v="2021-06-22T00:00:00"/>
    <m/>
    <m/>
    <m/>
    <d v="2021-06-22T00:00:00"/>
    <d v="2021-08-09T00:00:00"/>
    <n v="21"/>
    <n v="32"/>
    <n v="39"/>
    <n v="48"/>
    <n v="140"/>
  </r>
  <r>
    <d v="2021-03-22T00:00:00"/>
    <s v="VZ-2021-000266"/>
    <x v="0"/>
    <n v="545408"/>
    <x v="0"/>
    <d v="2021-04-12T00:00:00"/>
    <d v="2021-05-14T00:00:00"/>
    <d v="2021-06-22T00:00:00"/>
    <m/>
    <m/>
    <m/>
    <d v="2021-06-22T00:00:00"/>
    <d v="2021-07-15T00:00:00"/>
    <n v="21"/>
    <n v="32"/>
    <n v="39"/>
    <n v="23"/>
    <n v="115"/>
  </r>
  <r>
    <d v="2021-03-22T00:00:00"/>
    <s v="VZ-2021-000266"/>
    <x v="0"/>
    <n v="659364"/>
    <x v="0"/>
    <d v="2021-04-12T00:00:00"/>
    <d v="2021-05-14T00:00:00"/>
    <d v="2021-06-22T00:00:00"/>
    <m/>
    <m/>
    <m/>
    <d v="2021-06-22T00:00:00"/>
    <d v="2021-07-15T00:00:00"/>
    <n v="21"/>
    <n v="32"/>
    <n v="39"/>
    <n v="23"/>
    <n v="115"/>
  </r>
  <r>
    <d v="2021-03-22T00:00:00"/>
    <s v="VZ-2021-000268"/>
    <x v="2"/>
    <n v="26658887.460000001"/>
    <x v="0"/>
    <d v="2021-04-09T00:00:00"/>
    <d v="2021-06-11T00:00:00"/>
    <m/>
    <m/>
    <m/>
    <m/>
    <m/>
    <m/>
    <m/>
    <m/>
    <m/>
    <m/>
    <m/>
  </r>
  <r>
    <d v="2021-03-23T00:00:00"/>
    <s v="VZ-2021-000269"/>
    <x v="1"/>
    <n v="634653"/>
    <x v="2"/>
    <d v="2021-03-25T00:00:00"/>
    <d v="2021-04-08T00:00:00"/>
    <d v="2021-04-20T00:00:00"/>
    <m/>
    <m/>
    <m/>
    <d v="2021-04-21T00:00:00"/>
    <d v="2021-06-30T00:00:00"/>
    <n v="2"/>
    <n v="14"/>
    <n v="12"/>
    <n v="71"/>
    <n v="99"/>
  </r>
  <r>
    <d v="2021-03-23T00:00:00"/>
    <s v="VZ-2021-000270"/>
    <x v="1"/>
    <n v="1294000"/>
    <x v="2"/>
    <d v="2021-04-27T00:00:00"/>
    <d v="2021-05-12T00:00:00"/>
    <d v="2021-07-14T00:00:00"/>
    <m/>
    <m/>
    <m/>
    <d v="2021-07-14T00:00:00"/>
    <d v="2021-07-23T00:00:00"/>
    <n v="35"/>
    <n v="15"/>
    <n v="63"/>
    <n v="9"/>
    <n v="122"/>
  </r>
  <r>
    <d v="2021-03-24T00:00:00"/>
    <s v="VZ-2021-000275"/>
    <x v="3"/>
    <n v="15000000"/>
    <x v="1"/>
    <d v="2021-03-29T00:00:00"/>
    <d v="2021-04-20T00:00:00"/>
    <d v="2021-04-30T00:00:00"/>
    <m/>
    <m/>
    <m/>
    <d v="2021-05-03T00:00:00"/>
    <d v="2021-06-11T00:00:00"/>
    <n v="5"/>
    <n v="22"/>
    <n v="10"/>
    <n v="42"/>
    <n v="79"/>
  </r>
  <r>
    <d v="2021-03-25T00:00:00"/>
    <s v="VZ-2021-000277"/>
    <x v="3"/>
    <n v="33000000"/>
    <x v="1"/>
    <d v="2021-04-01T00:00:00"/>
    <d v="2021-04-23T00:00:00"/>
    <d v="2021-04-27T00:00:00"/>
    <m/>
    <m/>
    <m/>
    <d v="2021-04-27T00:00:00"/>
    <d v="2021-06-01T00:00:00"/>
    <n v="7"/>
    <n v="22"/>
    <n v="4"/>
    <n v="35"/>
    <n v="68"/>
  </r>
  <r>
    <d v="2021-03-24T00:00:00"/>
    <s v="VZ-2021-000283"/>
    <x v="2"/>
    <n v="1720000"/>
    <x v="2"/>
    <d v="2021-03-29T00:00:00"/>
    <d v="2021-04-08T00:00:00"/>
    <d v="2021-04-16T00:00:00"/>
    <m/>
    <m/>
    <m/>
    <d v="2021-04-16T00:00:00"/>
    <d v="2021-05-05T00:00:00"/>
    <n v="5"/>
    <n v="10"/>
    <n v="8"/>
    <n v="19"/>
    <n v="42"/>
  </r>
  <r>
    <d v="2021-03-25T00:00:00"/>
    <s v="VZ-2021-000284"/>
    <x v="2"/>
    <n v="1026400"/>
    <x v="2"/>
    <d v="2021-03-29T00:00:00"/>
    <d v="2021-04-08T00:00:00"/>
    <d v="2021-04-21T00:00:00"/>
    <m/>
    <m/>
    <m/>
    <d v="2021-04-22T00:00:00"/>
    <d v="2021-05-13T00:00:00"/>
    <n v="4"/>
    <n v="10"/>
    <n v="13"/>
    <n v="22"/>
    <n v="49"/>
  </r>
  <r>
    <s v="opakovaná VZ"/>
    <s v="VZ-2021-000287"/>
    <x v="8"/>
    <n v="300000"/>
    <x v="2"/>
    <d v="2021-03-31T00:00:00"/>
    <d v="2021-04-13T00:00:00"/>
    <d v="2021-04-21T00:00:00"/>
    <m/>
    <m/>
    <m/>
    <d v="2021-04-21T00:00:00"/>
    <d v="2021-05-04T00:00:00"/>
    <m/>
    <m/>
    <m/>
    <m/>
    <m/>
  </r>
  <r>
    <d v="2021-03-29T00:00:00"/>
    <s v="VZ-2021-000289"/>
    <x v="2"/>
    <n v="26078250"/>
    <x v="0"/>
    <d v="2021-04-06T00:00:00"/>
    <d v="2021-05-10T00:00:00"/>
    <d v="2021-05-18T00:00:00"/>
    <m/>
    <m/>
    <m/>
    <d v="2021-05-18T00:00:00"/>
    <d v="2021-06-10T00:00:00"/>
    <n v="8"/>
    <n v="34"/>
    <n v="8"/>
    <n v="23"/>
    <n v="73"/>
  </r>
  <r>
    <d v="2021-03-31T00:00:00"/>
    <s v="VZ-2021-000306"/>
    <x v="14"/>
    <n v="400000"/>
    <x v="2"/>
    <d v="2021-04-07T00:00:00"/>
    <d v="2021-04-16T00:00:00"/>
    <d v="2021-04-20T00:00:00"/>
    <m/>
    <m/>
    <m/>
    <d v="2021-04-20T00:00:00"/>
    <d v="2021-05-25T00:00:00"/>
    <n v="7"/>
    <n v="9"/>
    <n v="4"/>
    <n v="35"/>
    <n v="55"/>
  </r>
  <r>
    <d v="2021-03-31T00:00:00"/>
    <s v="VZ-2021-000307"/>
    <x v="0"/>
    <n v="4144896"/>
    <x v="0"/>
    <d v="2021-04-28T00:00:00"/>
    <d v="2021-05-31T00:00:00"/>
    <d v="2021-08-17T00:00:00"/>
    <m/>
    <m/>
    <m/>
    <d v="2021-08-17T00:00:00"/>
    <d v="2021-09-24T00:00:00"/>
    <n v="28"/>
    <n v="33"/>
    <n v="78"/>
    <n v="38"/>
    <n v="177"/>
  </r>
  <r>
    <d v="2021-03-31T00:00:00"/>
    <s v="VZ-2021-000307"/>
    <x v="0"/>
    <n v="63362375"/>
    <x v="0"/>
    <d v="2021-04-28T00:00:00"/>
    <d v="2021-05-31T00:00:00"/>
    <d v="2021-08-17T00:00:00"/>
    <m/>
    <m/>
    <m/>
    <d v="2021-08-17T00:00:00"/>
    <d v="2021-09-16T00:00:00"/>
    <n v="28"/>
    <n v="33"/>
    <n v="78"/>
    <n v="30"/>
    <n v="169"/>
  </r>
  <r>
    <d v="2021-04-01T00:00:00"/>
    <s v="VZ-2021-000308"/>
    <x v="5"/>
    <n v="575200"/>
    <x v="2"/>
    <d v="2021-04-09T00:00:00"/>
    <d v="2021-05-04T00:00:00"/>
    <d v="2021-05-21T00:00:00"/>
    <m/>
    <m/>
    <m/>
    <d v="2021-05-21T00:00:00"/>
    <d v="2021-06-25T00:00:00"/>
    <n v="8"/>
    <n v="25"/>
    <n v="17"/>
    <n v="35"/>
    <n v="85"/>
  </r>
  <r>
    <d v="2021-04-01T00:00:00"/>
    <s v="VZ-2021-000310"/>
    <x v="2"/>
    <n v="3564039"/>
    <x v="1"/>
    <d v="2021-04-09T00:00:00"/>
    <d v="2021-04-28T00:00:00"/>
    <d v="2021-05-20T00:00:00"/>
    <m/>
    <m/>
    <m/>
    <d v="2021-05-20T00:00:00"/>
    <d v="2021-06-14T00:00:00"/>
    <n v="8"/>
    <n v="19"/>
    <n v="22"/>
    <n v="25"/>
    <n v="74"/>
  </r>
  <r>
    <d v="2021-04-01T00:00:00"/>
    <s v="VZ-2021-000311"/>
    <x v="2"/>
    <n v="81184000"/>
    <x v="0"/>
    <d v="2021-04-27T00:00:00"/>
    <d v="2021-07-12T00:00:00"/>
    <d v="2021-12-15T00:00:00"/>
    <m/>
    <m/>
    <m/>
    <d v="2021-12-16T00:00:00"/>
    <m/>
    <m/>
    <m/>
    <m/>
    <m/>
    <m/>
  </r>
  <r>
    <d v="2021-04-06T00:00:00"/>
    <s v="VZ-2021-000312"/>
    <x v="2"/>
    <n v="1250550"/>
    <x v="2"/>
    <d v="2021-04-13T00:00:00"/>
    <d v="2021-04-22T00:00:00"/>
    <d v="2021-04-23T00:00:00"/>
    <m/>
    <m/>
    <m/>
    <d v="2021-04-23T00:00:00"/>
    <d v="2021-05-14T00:00:00"/>
    <n v="7"/>
    <n v="9"/>
    <n v="1"/>
    <n v="21"/>
    <n v="38"/>
  </r>
  <r>
    <s v="opakovaná VZ"/>
    <s v="VZ-2021-000316"/>
    <x v="2"/>
    <n v="536400"/>
    <x v="2"/>
    <d v="2021-04-09T00:00:00"/>
    <d v="2021-04-20T00:00:00"/>
    <d v="2021-04-22T00:00:00"/>
    <m/>
    <m/>
    <m/>
    <d v="2021-04-22T00:00:00"/>
    <d v="2021-05-10T00:00:00"/>
    <m/>
    <m/>
    <m/>
    <m/>
    <m/>
  </r>
  <r>
    <d v="2021-04-07T00:00:00"/>
    <s v="VZ-2021-000318"/>
    <x v="2"/>
    <n v="2303400"/>
    <x v="0"/>
    <d v="2021-04-23T00:00:00"/>
    <d v="2021-05-26T00:00:00"/>
    <d v="2021-06-30T00:00:00"/>
    <m/>
    <m/>
    <m/>
    <d v="2021-07-01T00:00:00"/>
    <d v="2021-08-12T00:00:00"/>
    <n v="16"/>
    <n v="33"/>
    <n v="35"/>
    <n v="43"/>
    <n v="127"/>
  </r>
  <r>
    <d v="2021-04-07T00:00:00"/>
    <s v="VZ-2021-000318"/>
    <x v="2"/>
    <n v="525000"/>
    <x v="0"/>
    <d v="2021-04-23T00:00:00"/>
    <d v="2021-05-26T00:00:00"/>
    <d v="2021-06-30T00:00:00"/>
    <m/>
    <m/>
    <m/>
    <d v="2021-07-01T00:00:00"/>
    <d v="2021-08-12T00:00:00"/>
    <n v="16"/>
    <n v="33"/>
    <n v="35"/>
    <n v="43"/>
    <n v="127"/>
  </r>
  <r>
    <d v="2021-04-07T00:00:00"/>
    <s v="VZ-2021-000318"/>
    <x v="2"/>
    <n v="230000"/>
    <x v="0"/>
    <d v="2021-04-23T00:00:00"/>
    <d v="2021-05-26T00:00:00"/>
    <m/>
    <m/>
    <m/>
    <m/>
    <m/>
    <m/>
    <m/>
    <m/>
    <m/>
    <m/>
    <m/>
  </r>
  <r>
    <d v="2021-04-07T00:00:00"/>
    <s v="VZ-2021-000318"/>
    <x v="2"/>
    <n v="230000"/>
    <x v="0"/>
    <d v="2021-04-23T00:00:00"/>
    <d v="2021-05-26T00:00:00"/>
    <m/>
    <m/>
    <m/>
    <m/>
    <m/>
    <m/>
    <m/>
    <m/>
    <m/>
    <m/>
    <m/>
  </r>
  <r>
    <d v="2021-04-07T00:00:00"/>
    <s v="VZ-2021-000318"/>
    <x v="2"/>
    <n v="690000"/>
    <x v="0"/>
    <d v="2021-04-23T00:00:00"/>
    <d v="2021-05-26T00:00:00"/>
    <m/>
    <m/>
    <m/>
    <m/>
    <m/>
    <m/>
    <m/>
    <m/>
    <m/>
    <m/>
    <m/>
  </r>
  <r>
    <d v="2021-04-08T00:00:00"/>
    <s v="VZ-2021-000319"/>
    <x v="2"/>
    <n v="1820160"/>
    <x v="2"/>
    <d v="2021-04-12T00:00:00"/>
    <d v="2021-04-27T00:00:00"/>
    <d v="2021-05-04T00:00:00"/>
    <m/>
    <m/>
    <m/>
    <d v="2021-05-04T00:00:00"/>
    <d v="2021-05-27T00:00:00"/>
    <n v="4"/>
    <n v="15"/>
    <n v="7"/>
    <n v="23"/>
    <n v="49"/>
  </r>
  <r>
    <d v="2021-04-08T00:00:00"/>
    <s v="VZ-2021-000321"/>
    <x v="0"/>
    <n v="2357310"/>
    <x v="1"/>
    <d v="2021-05-04T00:00:00"/>
    <d v="2021-06-02T00:00:00"/>
    <m/>
    <m/>
    <m/>
    <m/>
    <m/>
    <m/>
    <m/>
    <m/>
    <m/>
    <m/>
    <m/>
  </r>
  <r>
    <d v="2021-04-08T00:00:00"/>
    <s v="VZ-2021-000322"/>
    <x v="2"/>
    <n v="1138000"/>
    <x v="2"/>
    <d v="2021-04-12T00:00:00"/>
    <d v="2021-04-23T00:00:00"/>
    <d v="2021-04-28T00:00:00"/>
    <m/>
    <m/>
    <m/>
    <d v="2021-04-28T00:00:00"/>
    <d v="2021-05-25T00:00:00"/>
    <n v="4"/>
    <n v="11"/>
    <n v="5"/>
    <n v="27"/>
    <n v="47"/>
  </r>
  <r>
    <d v="2021-04-07T00:00:00"/>
    <s v="VZ-2021-000323"/>
    <x v="2"/>
    <n v="1185000"/>
    <x v="2"/>
    <d v="2021-04-16T00:00:00"/>
    <d v="2021-04-30T00:00:00"/>
    <m/>
    <m/>
    <m/>
    <m/>
    <m/>
    <m/>
    <m/>
    <m/>
    <m/>
    <m/>
    <m/>
  </r>
  <r>
    <d v="2021-04-08T00:00:00"/>
    <s v="VZ-2021-000324"/>
    <x v="1"/>
    <n v="1033058"/>
    <x v="2"/>
    <d v="2021-04-15T00:00:00"/>
    <d v="2021-04-27T00:00:00"/>
    <d v="2021-05-24T00:00:00"/>
    <m/>
    <m/>
    <m/>
    <d v="2021-05-24T00:00:00"/>
    <d v="2021-06-30T00:00:00"/>
    <n v="7"/>
    <n v="12"/>
    <n v="27"/>
    <n v="37"/>
    <n v="83"/>
  </r>
  <r>
    <d v="2021-04-12T00:00:00"/>
    <s v="VZ-2021-000328"/>
    <x v="9"/>
    <n v="500000"/>
    <x v="2"/>
    <d v="2021-04-14T00:00:00"/>
    <d v="2021-04-19T00:00:00"/>
    <d v="2021-04-21T00:00:00"/>
    <m/>
    <m/>
    <m/>
    <d v="2021-04-21T00:00:00"/>
    <d v="2021-04-21T00:00:00"/>
    <n v="2"/>
    <n v="5"/>
    <n v="2"/>
    <n v="0"/>
    <n v="9"/>
  </r>
  <r>
    <s v="opakovaná VZ"/>
    <s v="VZ-2021-000329"/>
    <x v="1"/>
    <n v="348000"/>
    <x v="2"/>
    <d v="2021-04-15T00:00:00"/>
    <d v="2021-04-26T00:00:00"/>
    <d v="2021-05-05T00:00:00"/>
    <m/>
    <m/>
    <m/>
    <d v="2021-05-05T00:00:00"/>
    <d v="2021-06-17T00:00:00"/>
    <m/>
    <m/>
    <m/>
    <m/>
    <m/>
  </r>
  <r>
    <d v="2021-04-13T00:00:00"/>
    <s v="VZ-2021-000336"/>
    <x v="4"/>
    <n v="15500000"/>
    <x v="1"/>
    <d v="2021-05-03T00:00:00"/>
    <d v="2021-05-19T00:00:00"/>
    <d v="2021-05-27T00:00:00"/>
    <m/>
    <m/>
    <m/>
    <d v="2021-05-27T00:00:00"/>
    <d v="2021-06-30T00:00:00"/>
    <n v="20"/>
    <n v="16"/>
    <n v="8"/>
    <n v="34"/>
    <n v="78"/>
  </r>
  <r>
    <d v="2021-04-14T00:00:00"/>
    <s v="VZ-2021-000337"/>
    <x v="2"/>
    <n v="2100000"/>
    <x v="1"/>
    <d v="2021-04-22T00:00:00"/>
    <d v="2021-05-11T00:00:00"/>
    <d v="2021-05-18T00:00:00"/>
    <m/>
    <m/>
    <m/>
    <d v="2021-05-18T00:00:00"/>
    <d v="2021-06-16T00:00:00"/>
    <n v="8"/>
    <n v="19"/>
    <n v="7"/>
    <n v="29"/>
    <n v="63"/>
  </r>
  <r>
    <d v="2021-04-14T00:00:00"/>
    <s v="VZ-2021-000338"/>
    <x v="2"/>
    <n v="2066400"/>
    <x v="1"/>
    <d v="2021-04-22T00:00:00"/>
    <d v="2021-05-11T00:00:00"/>
    <d v="2021-05-18T00:00:00"/>
    <m/>
    <m/>
    <m/>
    <d v="2021-05-18T00:00:00"/>
    <d v="2021-06-16T00:00:00"/>
    <n v="8"/>
    <n v="19"/>
    <n v="7"/>
    <n v="29"/>
    <n v="63"/>
  </r>
  <r>
    <d v="2021-04-14T00:00:00"/>
    <s v="VZ-2021-000340"/>
    <x v="2"/>
    <n v="524480"/>
    <x v="2"/>
    <d v="2021-04-16T00:00:00"/>
    <d v="2021-04-27T00:00:00"/>
    <d v="2021-05-03T00:00:00"/>
    <m/>
    <m/>
    <m/>
    <d v="2021-05-03T00:00:00"/>
    <d v="2021-05-13T00:00:00"/>
    <n v="2"/>
    <n v="11"/>
    <n v="6"/>
    <n v="10"/>
    <n v="29"/>
  </r>
  <r>
    <d v="2021-04-14T00:00:00"/>
    <s v="VZ-2021-000341"/>
    <x v="2"/>
    <n v="661500"/>
    <x v="2"/>
    <d v="2021-04-16T00:00:00"/>
    <d v="2021-04-27T00:00:00"/>
    <d v="2021-05-03T00:00:00"/>
    <m/>
    <m/>
    <m/>
    <d v="2021-05-03T00:00:00"/>
    <d v="2021-05-28T00:00:00"/>
    <n v="2"/>
    <n v="11"/>
    <n v="6"/>
    <n v="25"/>
    <n v="44"/>
  </r>
  <r>
    <d v="2021-04-15T00:00:00"/>
    <s v="VZ-2021-000344"/>
    <x v="0"/>
    <n v="47769150"/>
    <x v="0"/>
    <d v="2021-04-19T00:00:00"/>
    <d v="2021-07-15T00:00:00"/>
    <d v="2021-09-17T00:00:00"/>
    <m/>
    <m/>
    <m/>
    <d v="2021-09-17T00:00:00"/>
    <d v="2021-10-13T00:00:00"/>
    <n v="4"/>
    <n v="87"/>
    <n v="64"/>
    <n v="26"/>
    <n v="181"/>
  </r>
  <r>
    <s v="opakovaná VZ"/>
    <s v="VZ-2021-000345"/>
    <x v="0"/>
    <n v="73696560"/>
    <x v="0"/>
    <d v="2021-04-22T00:00:00"/>
    <d v="2021-05-26T00:00:00"/>
    <d v="2021-06-14T00:00:00"/>
    <m/>
    <m/>
    <m/>
    <d v="2021-06-14T00:00:00"/>
    <d v="2021-07-08T00:00:00"/>
    <m/>
    <m/>
    <m/>
    <m/>
    <m/>
  </r>
  <r>
    <d v="2021-04-15T00:00:00"/>
    <s v="VZ-2021-000346"/>
    <x v="0"/>
    <n v="3111822"/>
    <x v="0"/>
    <d v="2021-04-19T00:00:00"/>
    <d v="2021-07-07T00:00:00"/>
    <d v="2021-08-09T00:00:00"/>
    <m/>
    <m/>
    <m/>
    <d v="2021-08-10T00:00:00"/>
    <d v="2021-09-01T00:00:00"/>
    <n v="4"/>
    <n v="79"/>
    <n v="33"/>
    <n v="23"/>
    <n v="139"/>
  </r>
  <r>
    <d v="2021-04-15T00:00:00"/>
    <s v="VZ-2021-000346"/>
    <x v="0"/>
    <n v="10122390"/>
    <x v="0"/>
    <d v="2021-04-19T00:00:00"/>
    <d v="2021-07-07T00:00:00"/>
    <d v="2021-08-09T00:00:00"/>
    <m/>
    <m/>
    <m/>
    <d v="2021-08-10T00:00:00"/>
    <d v="2021-09-01T00:00:00"/>
    <n v="4"/>
    <n v="79"/>
    <n v="33"/>
    <n v="23"/>
    <n v="139"/>
  </r>
  <r>
    <d v="2021-04-15T00:00:00"/>
    <s v="VZ-2021-000347"/>
    <x v="4"/>
    <n v="4600000"/>
    <x v="0"/>
    <d v="2021-04-21T00:00:00"/>
    <d v="2021-05-24T00:00:00"/>
    <m/>
    <m/>
    <m/>
    <m/>
    <m/>
    <m/>
    <m/>
    <m/>
    <m/>
    <m/>
    <m/>
  </r>
  <r>
    <d v="2021-04-22T00:00:00"/>
    <s v="VZ-2021-000354"/>
    <x v="2"/>
    <n v="595548"/>
    <x v="2"/>
    <d v="2021-04-27T00:00:00"/>
    <d v="2021-05-11T00:00:00"/>
    <d v="2021-05-20T00:00:00"/>
    <m/>
    <m/>
    <m/>
    <d v="2021-05-20T00:00:00"/>
    <d v="2021-06-07T00:00:00"/>
    <n v="5"/>
    <n v="14"/>
    <n v="9"/>
    <n v="18"/>
    <n v="46"/>
  </r>
  <r>
    <d v="2021-04-19T00:00:00"/>
    <s v="VZ-2021-000359"/>
    <x v="1"/>
    <n v="3465000"/>
    <x v="0"/>
    <d v="2021-04-27T00:00:00"/>
    <d v="2021-06-01T00:00:00"/>
    <d v="2021-06-18T00:00:00"/>
    <m/>
    <m/>
    <m/>
    <d v="2021-06-18T00:00:00"/>
    <d v="2021-07-13T00:00:00"/>
    <n v="8"/>
    <n v="35"/>
    <n v="17"/>
    <n v="25"/>
    <n v="85"/>
  </r>
  <r>
    <d v="2021-09-03T00:00:00"/>
    <s v="VZ-2021-000371"/>
    <x v="15"/>
    <n v="450000"/>
    <x v="2"/>
    <d v="2021-09-07T00:00:00"/>
    <d v="2021-09-15T00:00:00"/>
    <d v="2021-09-30T00:00:00"/>
    <m/>
    <m/>
    <m/>
    <d v="2021-09-30T00:00:00"/>
    <d v="2021-10-11T00:00:00"/>
    <n v="4"/>
    <n v="8"/>
    <n v="15"/>
    <n v="11"/>
    <n v="38"/>
  </r>
  <r>
    <d v="2021-04-23T00:00:00"/>
    <s v="VZ-2021-000381"/>
    <x v="2"/>
    <n v="623200"/>
    <x v="2"/>
    <d v="2021-04-27T00:00:00"/>
    <d v="2021-05-11T00:00:00"/>
    <d v="2021-05-17T00:00:00"/>
    <m/>
    <m/>
    <m/>
    <d v="2021-05-18T00:00:00"/>
    <d v="2021-06-02T00:00:00"/>
    <n v="4"/>
    <n v="14"/>
    <n v="6"/>
    <n v="16"/>
    <n v="40"/>
  </r>
  <r>
    <s v="opakovaná VZ"/>
    <s v="VZ-2021-000382"/>
    <x v="1"/>
    <n v="340000"/>
    <x v="2"/>
    <d v="2021-04-27T00:00:00"/>
    <d v="2021-05-07T00:00:00"/>
    <d v="2021-05-24T00:00:00"/>
    <m/>
    <m/>
    <m/>
    <d v="2021-05-24T00:00:00"/>
    <d v="2021-06-10T00:00:00"/>
    <m/>
    <m/>
    <m/>
    <m/>
    <m/>
  </r>
  <r>
    <d v="2021-04-22T00:00:00"/>
    <s v="VZ-2021-000384"/>
    <x v="1"/>
    <n v="720000"/>
    <x v="2"/>
    <d v="2021-04-29T00:00:00"/>
    <d v="2021-05-13T00:00:00"/>
    <d v="2021-05-24T00:00:00"/>
    <m/>
    <m/>
    <m/>
    <d v="2021-05-24T00:00:00"/>
    <d v="2021-06-07T00:00:00"/>
    <n v="7"/>
    <n v="14"/>
    <n v="11"/>
    <n v="14"/>
    <n v="46"/>
  </r>
  <r>
    <d v="2021-04-26T00:00:00"/>
    <s v="VZ-2021-000386"/>
    <x v="2"/>
    <n v="540000"/>
    <x v="2"/>
    <d v="2021-04-30T00:00:00"/>
    <d v="2021-05-12T00:00:00"/>
    <d v="2021-05-18T00:00:00"/>
    <m/>
    <m/>
    <m/>
    <d v="2021-05-18T00:00:00"/>
    <d v="2021-05-31T00:00:00"/>
    <n v="4"/>
    <n v="12"/>
    <n v="6"/>
    <n v="13"/>
    <n v="35"/>
  </r>
  <r>
    <d v="2021-04-27T00:00:00"/>
    <s v="VZ-2021-000389"/>
    <x v="2"/>
    <n v="21132446.100000001"/>
    <x v="0"/>
    <d v="2021-08-19T00:00:00"/>
    <d v="2021-10-07T00:00:00"/>
    <d v="2021-10-26T00:00:00"/>
    <m/>
    <m/>
    <m/>
    <d v="2021-10-26T00:00:00"/>
    <d v="2021-11-18T00:00:00"/>
    <n v="114"/>
    <n v="49"/>
    <n v="19"/>
    <n v="23"/>
    <n v="205"/>
  </r>
  <r>
    <d v="2021-04-26T00:00:00"/>
    <s v="VZ-2021-000392"/>
    <x v="5"/>
    <n v="851900"/>
    <x v="2"/>
    <d v="2021-04-30T00:00:00"/>
    <d v="2021-05-13T00:00:00"/>
    <m/>
    <m/>
    <m/>
    <m/>
    <m/>
    <m/>
    <m/>
    <m/>
    <m/>
    <m/>
    <m/>
  </r>
  <r>
    <d v="2021-04-27T00:00:00"/>
    <s v="VZ-2021-000393"/>
    <x v="0"/>
    <n v="112572"/>
    <x v="0"/>
    <d v="2021-05-05T00:00:00"/>
    <d v="2021-06-07T00:00:00"/>
    <d v="2021-06-25T00:00:00"/>
    <m/>
    <m/>
    <m/>
    <d v="2021-06-25T00:00:00"/>
    <d v="2021-07-21T00:00:00"/>
    <n v="8"/>
    <n v="33"/>
    <n v="18"/>
    <n v="26"/>
    <n v="85"/>
  </r>
  <r>
    <d v="2021-04-27T00:00:00"/>
    <s v="VZ-2021-000393"/>
    <x v="0"/>
    <n v="260591"/>
    <x v="0"/>
    <d v="2021-05-05T00:00:00"/>
    <d v="2021-06-07T00:00:00"/>
    <m/>
    <m/>
    <m/>
    <m/>
    <m/>
    <m/>
    <m/>
    <m/>
    <m/>
    <m/>
    <m/>
  </r>
  <r>
    <d v="2021-04-27T00:00:00"/>
    <s v="VZ-2021-000393"/>
    <x v="0"/>
    <n v="15790500"/>
    <x v="0"/>
    <d v="2021-05-05T00:00:00"/>
    <d v="2021-06-07T00:00:00"/>
    <d v="2021-06-25T00:00:00"/>
    <m/>
    <m/>
    <m/>
    <d v="2021-06-25T00:00:00"/>
    <d v="2021-07-21T00:00:00"/>
    <n v="8"/>
    <n v="33"/>
    <n v="18"/>
    <n v="26"/>
    <n v="85"/>
  </r>
  <r>
    <d v="2021-04-27T00:00:00"/>
    <s v="VZ-2021-000394"/>
    <x v="0"/>
    <n v="20937833"/>
    <x v="0"/>
    <d v="2021-05-04T00:00:00"/>
    <d v="2021-06-22T00:00:00"/>
    <d v="2021-07-13T00:00:00"/>
    <m/>
    <m/>
    <m/>
    <d v="2021-07-13T00:00:00"/>
    <d v="2021-08-09T00:00:00"/>
    <n v="7"/>
    <n v="49"/>
    <n v="21"/>
    <n v="27"/>
    <n v="104"/>
  </r>
  <r>
    <d v="2021-04-27T00:00:00"/>
    <s v="VZ-2021-000394"/>
    <x v="0"/>
    <n v="62307846"/>
    <x v="0"/>
    <d v="2021-05-04T00:00:00"/>
    <d v="2021-06-22T00:00:00"/>
    <m/>
    <m/>
    <m/>
    <m/>
    <m/>
    <m/>
    <m/>
    <m/>
    <m/>
    <m/>
    <m/>
  </r>
  <r>
    <d v="2021-04-27T00:00:00"/>
    <s v="VZ-2021-000394"/>
    <x v="0"/>
    <n v="40221720"/>
    <x v="0"/>
    <d v="2021-05-04T00:00:00"/>
    <d v="2021-06-22T00:00:00"/>
    <d v="2021-07-13T00:00:00"/>
    <m/>
    <m/>
    <m/>
    <d v="2021-07-13T00:00:00"/>
    <d v="2021-08-06T00:00:00"/>
    <n v="7"/>
    <n v="49"/>
    <n v="21"/>
    <n v="24"/>
    <n v="101"/>
  </r>
  <r>
    <d v="2021-04-27T00:00:00"/>
    <s v="VZ-2021-000394"/>
    <x v="0"/>
    <n v="15164580"/>
    <x v="0"/>
    <d v="2021-05-04T00:00:00"/>
    <d v="2021-06-22T00:00:00"/>
    <d v="2021-07-13T00:00:00"/>
    <m/>
    <m/>
    <m/>
    <d v="2021-07-13T00:00:00"/>
    <d v="2021-08-06T00:00:00"/>
    <n v="7"/>
    <n v="49"/>
    <n v="21"/>
    <n v="24"/>
    <n v="101"/>
  </r>
  <r>
    <d v="2021-04-14T00:00:00"/>
    <s v="VZ-2021-000396"/>
    <x v="2"/>
    <n v="1266840"/>
    <x v="0"/>
    <d v="2021-05-04T00:00:00"/>
    <d v="2021-06-07T00:00:00"/>
    <d v="2021-06-22T00:00:00"/>
    <m/>
    <m/>
    <m/>
    <d v="2021-06-22T00:00:00"/>
    <d v="2021-07-28T00:00:00"/>
    <n v="20"/>
    <n v="34"/>
    <n v="15"/>
    <n v="36"/>
    <n v="105"/>
  </r>
  <r>
    <d v="2021-04-26T00:00:00"/>
    <s v="VZ-2021-000398"/>
    <x v="2"/>
    <n v="1212000"/>
    <x v="2"/>
    <d v="2021-04-29T00:00:00"/>
    <d v="2021-05-10T00:00:00"/>
    <d v="2021-05-17T00:00:00"/>
    <m/>
    <m/>
    <m/>
    <d v="2021-05-18T00:00:00"/>
    <d v="2021-06-07T00:00:00"/>
    <n v="3"/>
    <n v="11"/>
    <n v="7"/>
    <n v="21"/>
    <n v="42"/>
  </r>
  <r>
    <d v="2021-04-29T00:00:00"/>
    <s v="VZ-2021-000400"/>
    <x v="1"/>
    <n v="575780"/>
    <x v="2"/>
    <d v="2021-05-05T00:00:00"/>
    <d v="2021-05-17T00:00:00"/>
    <d v="2021-05-24T00:00:00"/>
    <m/>
    <m/>
    <m/>
    <d v="2021-05-24T00:00:00"/>
    <d v="2021-06-11T00:00:00"/>
    <n v="6"/>
    <n v="12"/>
    <n v="7"/>
    <n v="18"/>
    <n v="43"/>
  </r>
  <r>
    <d v="2021-05-03T00:00:00"/>
    <s v="VZ-2021-000409"/>
    <x v="3"/>
    <n v="600000"/>
    <x v="2"/>
    <d v="2021-05-04T00:00:00"/>
    <d v="2021-05-14T00:00:00"/>
    <d v="2021-06-28T00:00:00"/>
    <m/>
    <m/>
    <m/>
    <d v="2021-06-28T00:00:00"/>
    <d v="2021-07-14T00:00:00"/>
    <n v="1"/>
    <n v="10"/>
    <n v="45"/>
    <n v="16"/>
    <n v="72"/>
  </r>
  <r>
    <d v="2021-05-03T00:00:00"/>
    <s v="VZ-2021-000411"/>
    <x v="2"/>
    <n v="496000"/>
    <x v="1"/>
    <d v="2021-05-06T00:00:00"/>
    <d v="2021-06-08T00:00:00"/>
    <d v="2021-07-13T00:00:00"/>
    <m/>
    <m/>
    <m/>
    <d v="2021-07-13T00:00:00"/>
    <d v="2021-08-09T00:00:00"/>
    <n v="3"/>
    <n v="33"/>
    <n v="35"/>
    <n v="27"/>
    <n v="98"/>
  </r>
  <r>
    <d v="2021-05-03T00:00:00"/>
    <s v="VZ-2021-000411"/>
    <x v="2"/>
    <n v="2797500"/>
    <x v="1"/>
    <d v="2021-05-06T00:00:00"/>
    <d v="2021-06-08T00:00:00"/>
    <d v="2021-08-03T00:00:00"/>
    <m/>
    <m/>
    <m/>
    <d v="2021-08-03T00:00:00"/>
    <d v="2021-08-30T00:00:00"/>
    <n v="3"/>
    <n v="33"/>
    <n v="56"/>
    <n v="27"/>
    <n v="119"/>
  </r>
  <r>
    <d v="2021-05-03T00:00:00"/>
    <s v="VZ-2021-000411"/>
    <x v="2"/>
    <n v="220000"/>
    <x v="1"/>
    <d v="2021-05-06T00:00:00"/>
    <d v="2021-06-08T00:00:00"/>
    <d v="2021-07-13T00:00:00"/>
    <m/>
    <m/>
    <m/>
    <d v="2021-07-13T00:00:00"/>
    <d v="2021-08-09T00:00:00"/>
    <n v="3"/>
    <n v="33"/>
    <n v="35"/>
    <n v="27"/>
    <n v="98"/>
  </r>
  <r>
    <d v="2021-04-27T00:00:00"/>
    <s v="VZ-2021-000412"/>
    <x v="2"/>
    <n v="534100"/>
    <x v="2"/>
    <d v="2021-05-06T00:00:00"/>
    <d v="2021-05-14T00:00:00"/>
    <d v="2021-05-17T00:00:00"/>
    <m/>
    <m/>
    <m/>
    <d v="2021-05-18T00:00:00"/>
    <d v="2021-06-07T00:00:00"/>
    <n v="9"/>
    <n v="8"/>
    <n v="3"/>
    <n v="21"/>
    <n v="41"/>
  </r>
  <r>
    <d v="2021-05-03T00:00:00"/>
    <s v="VZ-2021-000420"/>
    <x v="1"/>
    <n v="178000"/>
    <x v="2"/>
    <d v="2021-05-06T00:00:00"/>
    <d v="2021-05-14T00:00:00"/>
    <m/>
    <m/>
    <m/>
    <m/>
    <m/>
    <m/>
    <m/>
    <m/>
    <m/>
    <m/>
    <m/>
  </r>
  <r>
    <d v="2021-05-04T00:00:00"/>
    <s v="VZ-2021-000421"/>
    <x v="1"/>
    <n v="161600"/>
    <x v="2"/>
    <d v="2021-05-10T00:00:00"/>
    <d v="2021-05-20T00:00:00"/>
    <d v="2021-05-24T00:00:00"/>
    <m/>
    <m/>
    <m/>
    <d v="2021-05-24T00:00:00"/>
    <d v="2021-06-10T00:00:00"/>
    <n v="6"/>
    <n v="10"/>
    <n v="4"/>
    <n v="17"/>
    <n v="37"/>
  </r>
  <r>
    <d v="2021-05-05T00:00:00"/>
    <s v="VZ-2021-000427"/>
    <x v="0"/>
    <n v="13901319"/>
    <x v="0"/>
    <d v="2021-05-07T00:00:00"/>
    <d v="2021-06-17T00:00:00"/>
    <d v="2021-06-29T00:00:00"/>
    <m/>
    <m/>
    <m/>
    <d v="2021-06-29T00:00:00"/>
    <d v="2021-07-21T00:00:00"/>
    <n v="2"/>
    <n v="41"/>
    <n v="12"/>
    <n v="22"/>
    <n v="77"/>
  </r>
  <r>
    <d v="2021-05-05T00:00:00"/>
    <s v="VZ-2021-000428"/>
    <x v="0"/>
    <n v="1288350"/>
    <x v="0"/>
    <d v="2021-05-07T00:00:00"/>
    <d v="2021-06-11T00:00:00"/>
    <d v="2021-06-25T00:00:00"/>
    <m/>
    <m/>
    <m/>
    <d v="2021-06-25T00:00:00"/>
    <d v="2021-07-21T00:00:00"/>
    <n v="2"/>
    <n v="35"/>
    <n v="14"/>
    <n v="26"/>
    <n v="77"/>
  </r>
  <r>
    <d v="2021-05-05T00:00:00"/>
    <s v="VZ-2021-000428"/>
    <x v="0"/>
    <n v="2552160"/>
    <x v="0"/>
    <d v="2021-05-07T00:00:00"/>
    <d v="2021-06-11T00:00:00"/>
    <d v="2021-06-25T00:00:00"/>
    <m/>
    <m/>
    <m/>
    <d v="2021-06-25T00:00:00"/>
    <d v="2021-07-21T00:00:00"/>
    <n v="2"/>
    <n v="35"/>
    <n v="14"/>
    <n v="26"/>
    <n v="77"/>
  </r>
  <r>
    <d v="2021-05-05T00:00:00"/>
    <s v="VZ-2021-000428"/>
    <x v="0"/>
    <n v="245400"/>
    <x v="0"/>
    <d v="2021-05-07T00:00:00"/>
    <d v="2021-06-11T00:00:00"/>
    <d v="2021-06-25T00:00:00"/>
    <m/>
    <m/>
    <m/>
    <d v="2021-06-25T00:00:00"/>
    <d v="2021-07-21T00:00:00"/>
    <n v="2"/>
    <n v="35"/>
    <n v="14"/>
    <n v="26"/>
    <n v="77"/>
  </r>
  <r>
    <d v="2021-05-05T00:00:00"/>
    <s v="VZ-2021-000429"/>
    <x v="0"/>
    <n v="9855928"/>
    <x v="0"/>
    <d v="2021-05-07T00:00:00"/>
    <d v="2021-06-11T00:00:00"/>
    <d v="2021-06-29T00:00:00"/>
    <m/>
    <m/>
    <m/>
    <d v="2021-06-29T00:00:00"/>
    <d v="2021-07-21T00:00:00"/>
    <n v="2"/>
    <n v="35"/>
    <n v="18"/>
    <n v="22"/>
    <n v="77"/>
  </r>
  <r>
    <d v="2021-05-04T00:00:00"/>
    <s v="VZ-2021-000436"/>
    <x v="9"/>
    <n v="600000"/>
    <x v="2"/>
    <d v="2021-06-18T00:00:00"/>
    <d v="2021-07-02T00:00:00"/>
    <d v="2021-07-19T00:00:00"/>
    <m/>
    <m/>
    <m/>
    <d v="2021-07-20T00:00:00"/>
    <d v="2021-09-23T00:00:00"/>
    <n v="45"/>
    <n v="14"/>
    <n v="17"/>
    <n v="66"/>
    <n v="142"/>
  </r>
  <r>
    <d v="2021-05-07T00:00:00"/>
    <s v="VZ-2021-000443"/>
    <x v="2"/>
    <n v="1573900"/>
    <x v="2"/>
    <d v="2021-05-13T00:00:00"/>
    <d v="2021-05-26T00:00:00"/>
    <m/>
    <m/>
    <m/>
    <m/>
    <m/>
    <m/>
    <m/>
    <m/>
    <m/>
    <m/>
    <m/>
  </r>
  <r>
    <d v="2021-05-06T00:00:00"/>
    <s v="VZ-2021-000448"/>
    <x v="1"/>
    <n v="124000"/>
    <x v="2"/>
    <d v="2021-05-12T00:00:00"/>
    <d v="2021-05-25T00:00:00"/>
    <d v="2021-06-18T00:00:00"/>
    <m/>
    <m/>
    <m/>
    <d v="2021-06-18T00:00:00"/>
    <d v="2021-07-08T00:00:00"/>
    <n v="6"/>
    <n v="13"/>
    <n v="24"/>
    <n v="20"/>
    <n v="63"/>
  </r>
  <r>
    <d v="2021-05-06T00:00:00"/>
    <s v="VZ-2021-000448"/>
    <x v="1"/>
    <n v="132000"/>
    <x v="2"/>
    <d v="2021-05-12T00:00:00"/>
    <d v="2021-05-25T00:00:00"/>
    <d v="2021-06-18T00:00:00"/>
    <m/>
    <m/>
    <m/>
    <d v="2021-06-18T00:00:00"/>
    <d v="2021-07-08T00:00:00"/>
    <n v="6"/>
    <n v="13"/>
    <n v="24"/>
    <n v="20"/>
    <n v="63"/>
  </r>
  <r>
    <d v="2021-05-06T00:00:00"/>
    <s v="VZ-2021-000448"/>
    <x v="1"/>
    <n v="157000"/>
    <x v="2"/>
    <d v="2021-05-12T00:00:00"/>
    <d v="2021-05-25T00:00:00"/>
    <m/>
    <m/>
    <m/>
    <m/>
    <m/>
    <m/>
    <m/>
    <m/>
    <m/>
    <m/>
    <m/>
  </r>
  <r>
    <d v="2021-05-06T00:00:00"/>
    <s v="VZ-2021-000448"/>
    <x v="1"/>
    <n v="82000"/>
    <x v="2"/>
    <d v="2021-05-12T00:00:00"/>
    <d v="2021-05-25T00:00:00"/>
    <d v="2021-06-18T00:00:00"/>
    <m/>
    <m/>
    <m/>
    <d v="2021-06-18T00:00:00"/>
    <d v="2021-07-08T00:00:00"/>
    <n v="6"/>
    <n v="13"/>
    <n v="24"/>
    <n v="20"/>
    <n v="63"/>
  </r>
  <r>
    <d v="2021-05-06T00:00:00"/>
    <s v="VZ-2021-000448"/>
    <x v="1"/>
    <n v="150000"/>
    <x v="2"/>
    <d v="2021-05-12T00:00:00"/>
    <d v="2021-05-25T00:00:00"/>
    <d v="2021-06-18T00:00:00"/>
    <m/>
    <m/>
    <m/>
    <d v="2021-06-18T00:00:00"/>
    <d v="2021-07-08T00:00:00"/>
    <n v="6"/>
    <n v="13"/>
    <n v="24"/>
    <n v="20"/>
    <n v="63"/>
  </r>
  <r>
    <d v="2021-05-10T00:00:00"/>
    <s v="VZ-2021-000451"/>
    <x v="1"/>
    <n v="41500000"/>
    <x v="0"/>
    <d v="2021-05-18T00:00:00"/>
    <d v="2021-07-02T00:00:00"/>
    <d v="2021-08-25T00:00:00"/>
    <m/>
    <m/>
    <m/>
    <d v="2021-08-25T00:00:00"/>
    <d v="2021-10-11T00:00:00"/>
    <n v="8"/>
    <n v="45"/>
    <n v="54"/>
    <n v="47"/>
    <n v="154"/>
  </r>
  <r>
    <d v="2021-05-06T00:00:00"/>
    <s v="VZ-2021-000460"/>
    <x v="1"/>
    <n v="620000"/>
    <x v="2"/>
    <d v="2021-05-17T00:00:00"/>
    <d v="2021-05-26T00:00:00"/>
    <m/>
    <m/>
    <m/>
    <m/>
    <m/>
    <m/>
    <m/>
    <m/>
    <m/>
    <m/>
    <m/>
  </r>
  <r>
    <d v="2021-05-06T00:00:00"/>
    <s v="VZ-2021-000461"/>
    <x v="8"/>
    <n v="550000"/>
    <x v="2"/>
    <d v="2021-05-13T00:00:00"/>
    <d v="2021-05-25T00:00:00"/>
    <d v="2021-05-31T00:00:00"/>
    <m/>
    <m/>
    <m/>
    <d v="2021-05-31T00:00:00"/>
    <d v="2021-07-02T00:00:00"/>
    <n v="7"/>
    <n v="12"/>
    <n v="6"/>
    <n v="32"/>
    <n v="57"/>
  </r>
  <r>
    <d v="2021-05-11T00:00:00"/>
    <s v="VZ-2021-000463"/>
    <x v="0"/>
    <n v="2346916"/>
    <x v="0"/>
    <d v="2021-05-14T00:00:00"/>
    <d v="2021-06-16T00:00:00"/>
    <d v="2021-07-13T00:00:00"/>
    <m/>
    <m/>
    <m/>
    <d v="2021-07-13T00:00:00"/>
    <d v="2021-08-30T00:00:00"/>
    <n v="3"/>
    <n v="33"/>
    <n v="27"/>
    <n v="48"/>
    <n v="111"/>
  </r>
  <r>
    <d v="2021-05-11T00:00:00"/>
    <s v="VZ-2021-000463"/>
    <x v="0"/>
    <n v="340647"/>
    <x v="0"/>
    <d v="2021-05-14T00:00:00"/>
    <d v="2021-06-16T00:00:00"/>
    <d v="2021-07-13T00:00:00"/>
    <m/>
    <m/>
    <m/>
    <d v="2021-07-13T00:00:00"/>
    <d v="2021-08-30T00:00:00"/>
    <n v="3"/>
    <n v="33"/>
    <n v="27"/>
    <n v="48"/>
    <n v="111"/>
  </r>
  <r>
    <d v="2021-05-11T00:00:00"/>
    <s v="VZ-2021-000463"/>
    <x v="0"/>
    <n v="9686186"/>
    <x v="0"/>
    <d v="2021-05-14T00:00:00"/>
    <d v="2021-06-16T00:00:00"/>
    <d v="2021-07-13T00:00:00"/>
    <m/>
    <m/>
    <m/>
    <d v="2021-07-13T00:00:00"/>
    <d v="2021-08-06T00:00:00"/>
    <n v="3"/>
    <n v="33"/>
    <n v="27"/>
    <n v="24"/>
    <n v="87"/>
  </r>
  <r>
    <d v="2021-05-11T00:00:00"/>
    <s v="VZ-2021-000464"/>
    <x v="0"/>
    <n v="5721024"/>
    <x v="0"/>
    <d v="2021-05-14T00:00:00"/>
    <d v="2021-06-15T00:00:00"/>
    <d v="2021-07-15T00:00:00"/>
    <m/>
    <m/>
    <m/>
    <d v="2021-07-15T00:00:00"/>
    <d v="2021-08-09T00:00:00"/>
    <n v="3"/>
    <n v="32"/>
    <n v="30"/>
    <n v="25"/>
    <n v="90"/>
  </r>
  <r>
    <d v="2021-05-11T00:00:00"/>
    <s v="VZ-2021-000465"/>
    <x v="0"/>
    <n v="6555000"/>
    <x v="0"/>
    <d v="2021-05-14T00:00:00"/>
    <d v="2021-07-07T00:00:00"/>
    <d v="2021-08-16T00:00:00"/>
    <m/>
    <m/>
    <m/>
    <d v="2021-08-16T00:00:00"/>
    <d v="2021-09-13T00:00:00"/>
    <n v="3"/>
    <n v="54"/>
    <n v="40"/>
    <n v="28"/>
    <n v="125"/>
  </r>
  <r>
    <d v="2021-05-17T00:00:00"/>
    <s v="VZ-2021-000490"/>
    <x v="2"/>
    <n v="6640000"/>
    <x v="0"/>
    <d v="2021-05-20T00:00:00"/>
    <d v="2021-07-21T00:00:00"/>
    <m/>
    <m/>
    <m/>
    <m/>
    <m/>
    <m/>
    <m/>
    <m/>
    <m/>
    <m/>
    <m/>
  </r>
  <r>
    <d v="2021-05-14T00:00:00"/>
    <s v="VZ-2021-000491"/>
    <x v="2"/>
    <n v="1185000"/>
    <x v="2"/>
    <d v="2021-05-18T00:00:00"/>
    <d v="2021-05-27T00:00:00"/>
    <d v="2021-06-01T00:00:00"/>
    <m/>
    <m/>
    <m/>
    <d v="2021-06-01T00:00:00"/>
    <d v="2021-07-20T00:00:00"/>
    <n v="4"/>
    <n v="9"/>
    <n v="5"/>
    <n v="49"/>
    <n v="67"/>
  </r>
  <r>
    <d v="2021-05-11T00:00:00"/>
    <s v="VZ-2021-000492"/>
    <x v="1"/>
    <n v="247500"/>
    <x v="2"/>
    <d v="2021-05-18T00:00:00"/>
    <d v="2021-06-03T00:00:00"/>
    <d v="2021-06-11T00:00:00"/>
    <m/>
    <m/>
    <m/>
    <d v="2021-06-11T00:00:00"/>
    <d v="2021-07-22T00:00:00"/>
    <n v="7"/>
    <n v="16"/>
    <n v="8"/>
    <n v="41"/>
    <n v="72"/>
  </r>
  <r>
    <d v="2021-05-11T00:00:00"/>
    <s v="VZ-2021-000493"/>
    <x v="1"/>
    <n v="51900"/>
    <x v="2"/>
    <d v="2021-05-18T00:00:00"/>
    <d v="2021-05-27T00:00:00"/>
    <d v="2021-06-02T00:00:00"/>
    <m/>
    <m/>
    <m/>
    <d v="2021-06-03T00:00:00"/>
    <d v="2021-06-22T00:00:00"/>
    <n v="7"/>
    <n v="9"/>
    <n v="6"/>
    <n v="20"/>
    <n v="42"/>
  </r>
  <r>
    <d v="2021-05-11T00:00:00"/>
    <s v="VZ-2021-000494"/>
    <x v="1"/>
    <n v="335000"/>
    <x v="2"/>
    <d v="2021-05-18T00:00:00"/>
    <d v="2021-05-28T00:00:00"/>
    <d v="2021-06-11T00:00:00"/>
    <m/>
    <m/>
    <m/>
    <d v="2021-06-11T00:00:00"/>
    <d v="2021-07-08T00:00:00"/>
    <n v="7"/>
    <n v="10"/>
    <n v="14"/>
    <n v="27"/>
    <n v="58"/>
  </r>
  <r>
    <d v="2021-05-11T00:00:00"/>
    <s v="VZ-2021-000494"/>
    <x v="1"/>
    <n v="87000"/>
    <x v="2"/>
    <d v="2021-05-18T00:00:00"/>
    <d v="2021-05-28T00:00:00"/>
    <d v="2021-06-11T00:00:00"/>
    <m/>
    <m/>
    <m/>
    <d v="2021-06-11T00:00:00"/>
    <d v="2021-07-08T00:00:00"/>
    <n v="7"/>
    <n v="10"/>
    <n v="14"/>
    <n v="27"/>
    <n v="58"/>
  </r>
  <r>
    <d v="2021-05-17T00:00:00"/>
    <s v="VZ-2021-000497"/>
    <x v="2"/>
    <n v="607500"/>
    <x v="2"/>
    <d v="2021-05-21T00:00:00"/>
    <d v="2021-06-02T00:00:00"/>
    <d v="2021-06-07T00:00:00"/>
    <m/>
    <m/>
    <m/>
    <d v="2021-06-08T00:00:00"/>
    <d v="2021-06-30T00:00:00"/>
    <n v="4"/>
    <n v="12"/>
    <n v="5"/>
    <n v="23"/>
    <n v="44"/>
  </r>
  <r>
    <d v="2021-05-19T00:00:00"/>
    <s v="VZ-2021-000501"/>
    <x v="2"/>
    <n v="2788800"/>
    <x v="1"/>
    <d v="2021-05-25T00:00:00"/>
    <d v="2021-07-22T00:00:00"/>
    <d v="2021-09-03T00:00:00"/>
    <m/>
    <m/>
    <m/>
    <d v="2021-09-03T00:00:00"/>
    <d v="2021-09-23T00:00:00"/>
    <n v="6"/>
    <n v="58"/>
    <n v="43"/>
    <n v="20"/>
    <n v="127"/>
  </r>
  <r>
    <d v="2021-05-18T00:00:00"/>
    <s v="VZ-2021-000503"/>
    <x v="2"/>
    <n v="513000"/>
    <x v="2"/>
    <d v="2021-05-21T00:00:00"/>
    <d v="2021-06-02T00:00:00"/>
    <d v="2021-06-07T00:00:00"/>
    <m/>
    <m/>
    <m/>
    <d v="2021-06-08T00:00:00"/>
    <d v="2021-06-30T00:00:00"/>
    <n v="3"/>
    <n v="12"/>
    <n v="5"/>
    <n v="23"/>
    <n v="43"/>
  </r>
  <r>
    <d v="2021-05-19T00:00:00"/>
    <s v="VZ-2021-000504"/>
    <x v="1"/>
    <n v="360000"/>
    <x v="2"/>
    <d v="2021-05-24T00:00:00"/>
    <d v="2021-06-01T00:00:00"/>
    <d v="2021-06-11T00:00:00"/>
    <m/>
    <m/>
    <m/>
    <d v="2021-06-11T00:00:00"/>
    <d v="2021-07-02T00:00:00"/>
    <n v="5"/>
    <n v="8"/>
    <n v="10"/>
    <n v="21"/>
    <n v="44"/>
  </r>
  <r>
    <d v="2021-05-19T00:00:00"/>
    <s v="VZ-2021-000505"/>
    <x v="2"/>
    <n v="1457850"/>
    <x v="2"/>
    <d v="2021-06-03T00:00:00"/>
    <d v="2021-06-14T00:00:00"/>
    <m/>
    <m/>
    <m/>
    <m/>
    <m/>
    <m/>
    <m/>
    <m/>
    <m/>
    <m/>
    <m/>
  </r>
  <r>
    <d v="2021-05-19T00:00:00"/>
    <s v="VZ-2021-000506"/>
    <x v="5"/>
    <n v="2650000"/>
    <x v="1"/>
    <d v="2021-05-25T00:00:00"/>
    <d v="2021-06-11T00:00:00"/>
    <d v="2021-06-25T00:00:00"/>
    <m/>
    <m/>
    <m/>
    <d v="2021-06-25T00:00:00"/>
    <d v="2021-07-20T00:00:00"/>
    <n v="6"/>
    <n v="17"/>
    <n v="14"/>
    <n v="25"/>
    <n v="62"/>
  </r>
  <r>
    <d v="2021-05-19T00:00:00"/>
    <s v="VZ-2021-000508"/>
    <x v="1"/>
    <n v="220000"/>
    <x v="2"/>
    <d v="2021-05-24T00:00:00"/>
    <d v="2021-06-02T00:00:00"/>
    <d v="2021-06-11T00:00:00"/>
    <m/>
    <m/>
    <m/>
    <d v="2021-06-11T00:00:00"/>
    <d v="2021-07-02T00:00:00"/>
    <n v="5"/>
    <n v="9"/>
    <n v="9"/>
    <n v="21"/>
    <n v="44"/>
  </r>
  <r>
    <d v="2021-05-21T00:00:00"/>
    <s v="VZ-2021-000514"/>
    <x v="16"/>
    <n v="466557"/>
    <x v="2"/>
    <d v="2021-07-21T00:00:00"/>
    <d v="2021-07-30T00:00:00"/>
    <d v="2021-08-12T00:00:00"/>
    <m/>
    <m/>
    <m/>
    <d v="2021-08-12T00:00:00"/>
    <d v="2021-09-15T00:00:00"/>
    <n v="61"/>
    <n v="9"/>
    <n v="13"/>
    <n v="34"/>
    <n v="117"/>
  </r>
  <r>
    <d v="2021-05-21T00:00:00"/>
    <s v="VZ-2021-000516"/>
    <x v="4"/>
    <n v="6500000"/>
    <x v="0"/>
    <d v="2021-05-28T00:00:00"/>
    <d v="2021-08-02T00:00:00"/>
    <d v="2021-08-12T00:00:00"/>
    <m/>
    <m/>
    <m/>
    <d v="2021-08-12T00:00:00"/>
    <d v="2021-09-07T00:00:00"/>
    <n v="7"/>
    <n v="66"/>
    <n v="10"/>
    <n v="26"/>
    <n v="109"/>
  </r>
  <r>
    <d v="2021-05-25T00:00:00"/>
    <s v="VZ-2021-000517"/>
    <x v="1"/>
    <n v="151000"/>
    <x v="2"/>
    <d v="2021-05-27T00:00:00"/>
    <d v="2021-06-08T00:00:00"/>
    <d v="2021-06-18T00:00:00"/>
    <m/>
    <m/>
    <m/>
    <d v="2021-06-18T00:00:00"/>
    <d v="2021-07-02T00:00:00"/>
    <n v="2"/>
    <n v="12"/>
    <n v="10"/>
    <n v="14"/>
    <n v="38"/>
  </r>
  <r>
    <d v="2021-05-25T00:00:00"/>
    <s v="VZ-2021-000521"/>
    <x v="1"/>
    <n v="132000"/>
    <x v="2"/>
    <d v="2021-05-27T00:00:00"/>
    <d v="2021-06-04T00:00:00"/>
    <m/>
    <m/>
    <m/>
    <m/>
    <m/>
    <m/>
    <m/>
    <m/>
    <m/>
    <m/>
    <m/>
  </r>
  <r>
    <d v="2021-05-25T00:00:00"/>
    <s v="VZ-2021-000521"/>
    <x v="1"/>
    <n v="221000"/>
    <x v="2"/>
    <d v="2021-05-27T00:00:00"/>
    <d v="2021-06-04T00:00:00"/>
    <m/>
    <m/>
    <m/>
    <m/>
    <m/>
    <m/>
    <m/>
    <m/>
    <m/>
    <m/>
    <m/>
  </r>
  <r>
    <d v="2021-05-27T00:00:00"/>
    <s v="VZ-2021-000529"/>
    <x v="2"/>
    <n v="1035150"/>
    <x v="2"/>
    <d v="2021-06-02T00:00:00"/>
    <d v="2021-06-11T00:00:00"/>
    <d v="2021-06-16T00:00:00"/>
    <m/>
    <m/>
    <m/>
    <d v="2021-06-17T00:00:00"/>
    <d v="2021-07-19T00:00:00"/>
    <n v="6"/>
    <n v="9"/>
    <n v="5"/>
    <n v="33"/>
    <n v="53"/>
  </r>
  <r>
    <d v="2021-05-27T00:00:00"/>
    <s v="VZ-2021-000529"/>
    <x v="2"/>
    <n v="496000"/>
    <x v="2"/>
    <d v="2021-06-02T00:00:00"/>
    <d v="2021-06-11T00:00:00"/>
    <d v="2021-06-16T00:00:00"/>
    <m/>
    <m/>
    <m/>
    <d v="2021-06-17T00:00:00"/>
    <d v="2021-07-19T00:00:00"/>
    <n v="6"/>
    <n v="9"/>
    <n v="5"/>
    <n v="33"/>
    <n v="53"/>
  </r>
  <r>
    <s v="opakovaná VZ"/>
    <s v="VZ-2021-000534"/>
    <x v="2"/>
    <n v="1535064.27"/>
    <x v="2"/>
    <d v="2021-06-02T00:00:00"/>
    <d v="2021-06-11T00:00:00"/>
    <d v="2021-06-15T00:00:00"/>
    <m/>
    <m/>
    <m/>
    <d v="2021-06-16T00:00:00"/>
    <d v="2021-07-02T00:00:00"/>
    <m/>
    <m/>
    <m/>
    <m/>
    <m/>
  </r>
  <r>
    <s v="opakovaná VZ"/>
    <s v="VZ-2021-000535"/>
    <x v="3"/>
    <n v="40000000"/>
    <x v="0"/>
    <d v="2021-06-09T00:00:00"/>
    <d v="2021-07-14T00:00:00"/>
    <m/>
    <m/>
    <m/>
    <m/>
    <m/>
    <m/>
    <m/>
    <m/>
    <m/>
    <m/>
    <m/>
  </r>
  <r>
    <s v="opakovaná VZ"/>
    <s v="VZ-2021-000536"/>
    <x v="2"/>
    <n v="29719080"/>
    <x v="0"/>
    <d v="2021-06-16T00:00:00"/>
    <d v="2021-07-19T00:00:00"/>
    <d v="2021-07-28T00:00:00"/>
    <m/>
    <m/>
    <m/>
    <d v="2021-07-28T00:00:00"/>
    <d v="2021-09-13T00:00:00"/>
    <m/>
    <m/>
    <m/>
    <m/>
    <m/>
  </r>
  <r>
    <d v="2021-05-31T00:00:00"/>
    <s v="VZ-2021-000538"/>
    <x v="10"/>
    <n v="835000"/>
    <x v="2"/>
    <d v="2021-06-08T00:00:00"/>
    <d v="2021-06-18T00:00:00"/>
    <d v="2021-07-13T00:00:00"/>
    <m/>
    <m/>
    <m/>
    <d v="2021-07-13T00:00:00"/>
    <d v="2021-08-19T00:00:00"/>
    <n v="8"/>
    <n v="10"/>
    <n v="25"/>
    <n v="37"/>
    <n v="80"/>
  </r>
  <r>
    <s v="opakovaná VZ"/>
    <s v="VZ-2021-000539"/>
    <x v="2"/>
    <n v="230000"/>
    <x v="0"/>
    <d v="2021-07-08T00:00:00"/>
    <d v="2021-08-10T00:00:00"/>
    <d v="2021-09-15T00:00:00"/>
    <m/>
    <m/>
    <m/>
    <d v="2021-09-15T00:00:00"/>
    <d v="2021-10-06T00:00:00"/>
    <m/>
    <m/>
    <m/>
    <m/>
    <m/>
  </r>
  <r>
    <s v="opakovaná VZ"/>
    <s v="VZ-2021-000539"/>
    <x v="2"/>
    <n v="230000"/>
    <x v="0"/>
    <d v="2021-07-08T00:00:00"/>
    <d v="2021-08-10T00:00:00"/>
    <d v="2021-09-15T00:00:00"/>
    <m/>
    <m/>
    <m/>
    <d v="2021-09-15T00:00:00"/>
    <d v="2021-10-06T00:00:00"/>
    <m/>
    <m/>
    <m/>
    <m/>
    <m/>
  </r>
  <r>
    <s v="opakovaná VZ"/>
    <s v="VZ-2021-000539"/>
    <x v="2"/>
    <n v="690000"/>
    <x v="0"/>
    <d v="2021-07-08T00:00:00"/>
    <d v="2021-08-10T00:00:00"/>
    <d v="2021-09-15T00:00:00"/>
    <m/>
    <m/>
    <m/>
    <d v="2021-09-15T00:00:00"/>
    <d v="2021-10-06T00:00:00"/>
    <m/>
    <m/>
    <m/>
    <m/>
    <m/>
  </r>
  <r>
    <d v="2021-06-02T00:00:00"/>
    <s v="VZ-2021-000542"/>
    <x v="17"/>
    <n v="334710"/>
    <x v="2"/>
    <d v="2021-06-07T00:00:00"/>
    <d v="2021-06-15T00:00:00"/>
    <d v="2021-07-12T00:00:00"/>
    <m/>
    <m/>
    <m/>
    <d v="2021-07-13T00:00:00"/>
    <d v="2021-08-19T00:00:00"/>
    <n v="5"/>
    <n v="8"/>
    <n v="27"/>
    <n v="38"/>
    <n v="78"/>
  </r>
  <r>
    <d v="2021-06-02T00:00:00"/>
    <s v="VZ-2021-000549"/>
    <x v="1"/>
    <n v="223400"/>
    <x v="2"/>
    <d v="2021-06-07T00:00:00"/>
    <d v="2021-06-16T00:00:00"/>
    <d v="2021-06-24T00:00:00"/>
    <m/>
    <m/>
    <m/>
    <d v="2021-06-24T00:00:00"/>
    <d v="2021-07-22T00:00:00"/>
    <n v="5"/>
    <n v="9"/>
    <n v="8"/>
    <n v="28"/>
    <n v="50"/>
  </r>
  <r>
    <d v="2021-06-02T00:00:00"/>
    <s v="VZ-2021-000550"/>
    <x v="1"/>
    <n v="46800"/>
    <x v="2"/>
    <d v="2021-06-04T00:00:00"/>
    <d v="2021-06-16T00:00:00"/>
    <d v="2021-06-24T00:00:00"/>
    <m/>
    <m/>
    <m/>
    <d v="2021-06-24T00:00:00"/>
    <d v="2021-07-13T00:00:00"/>
    <n v="2"/>
    <n v="12"/>
    <n v="8"/>
    <n v="19"/>
    <n v="41"/>
  </r>
  <r>
    <d v="2021-06-02T00:00:00"/>
    <s v="VZ-2021-000553"/>
    <x v="0"/>
    <n v="14752194"/>
    <x v="0"/>
    <d v="2021-07-16T00:00:00"/>
    <d v="2021-08-18T00:00:00"/>
    <d v="2021-10-22T00:00:00"/>
    <m/>
    <m/>
    <m/>
    <d v="2021-10-22T00:00:00"/>
    <d v="2021-11-30T00:00:00"/>
    <n v="44"/>
    <n v="33"/>
    <n v="65"/>
    <n v="39"/>
    <n v="181"/>
  </r>
  <r>
    <d v="2021-06-02T00:00:00"/>
    <s v="VZ-2021-000554"/>
    <x v="0"/>
    <n v="9567471"/>
    <x v="0"/>
    <d v="2021-06-09T00:00:00"/>
    <d v="2021-07-12T00:00:00"/>
    <d v="2021-08-09T00:00:00"/>
    <m/>
    <m/>
    <m/>
    <d v="2021-08-10T00:00:00"/>
    <d v="2021-09-03T00:00:00"/>
    <n v="7"/>
    <n v="33"/>
    <n v="28"/>
    <n v="25"/>
    <n v="93"/>
  </r>
  <r>
    <d v="2021-06-02T00:00:00"/>
    <s v="VZ-2021-000555"/>
    <x v="0"/>
    <n v="29548800"/>
    <x v="0"/>
    <d v="2021-08-17T00:00:00"/>
    <d v="2021-10-12T00:00:00"/>
    <d v="2021-11-26T00:00:00"/>
    <m/>
    <m/>
    <m/>
    <d v="2021-11-26T00:00:00"/>
    <m/>
    <m/>
    <m/>
    <m/>
    <m/>
    <m/>
  </r>
  <r>
    <d v="2021-06-03T00:00:00"/>
    <s v="VZ-2021-000559"/>
    <x v="2"/>
    <n v="10047872"/>
    <x v="0"/>
    <d v="2021-06-16T00:00:00"/>
    <d v="2021-07-19T00:00:00"/>
    <d v="2021-08-25T00:00:00"/>
    <m/>
    <m/>
    <m/>
    <d v="2021-08-26T00:00:00"/>
    <d v="2021-09-15T00:00:00"/>
    <n v="13"/>
    <n v="33"/>
    <n v="37"/>
    <n v="21"/>
    <n v="104"/>
  </r>
  <r>
    <d v="2021-06-04T00:00:00"/>
    <s v="VZ-2021-000564"/>
    <x v="3"/>
    <n v="3200000"/>
    <x v="2"/>
    <d v="2021-06-08T00:00:00"/>
    <d v="2021-06-16T00:00:00"/>
    <d v="2021-06-17T00:00:00"/>
    <m/>
    <m/>
    <m/>
    <d v="2021-06-18T00:00:00"/>
    <d v="2021-07-14T00:00:00"/>
    <n v="4"/>
    <n v="8"/>
    <n v="1"/>
    <n v="27"/>
    <n v="40"/>
  </r>
  <r>
    <d v="2021-06-04T00:00:00"/>
    <s v="VZ-2021-000572"/>
    <x v="1"/>
    <n v="153330"/>
    <x v="2"/>
    <d v="2021-06-09T00:00:00"/>
    <d v="2021-06-18T00:00:00"/>
    <d v="2021-06-24T00:00:00"/>
    <m/>
    <m/>
    <m/>
    <d v="2021-06-24T00:00:00"/>
    <d v="2021-07-23T00:00:00"/>
    <n v="5"/>
    <n v="9"/>
    <n v="6"/>
    <n v="29"/>
    <n v="49"/>
  </r>
  <r>
    <d v="2021-06-04T00:00:00"/>
    <s v="VZ-2021-000582"/>
    <x v="1"/>
    <n v="281900"/>
    <x v="2"/>
    <d v="2021-06-10T00:00:00"/>
    <d v="2021-06-22T00:00:00"/>
    <d v="2021-07-01T00:00:00"/>
    <m/>
    <m/>
    <m/>
    <d v="2021-07-02T00:00:00"/>
    <d v="2021-07-21T00:00:00"/>
    <n v="6"/>
    <n v="12"/>
    <n v="9"/>
    <n v="20"/>
    <n v="47"/>
  </r>
  <r>
    <d v="2021-06-09T00:00:00"/>
    <s v="VZ-2021-000584"/>
    <x v="3"/>
    <n v="2300000"/>
    <x v="1"/>
    <d v="2021-09-17T00:00:00"/>
    <d v="2021-10-06T00:00:00"/>
    <d v="2021-11-24T00:00:00"/>
    <m/>
    <m/>
    <m/>
    <d v="2021-11-24T00:00:00"/>
    <m/>
    <m/>
    <m/>
    <m/>
    <m/>
    <m/>
  </r>
  <r>
    <s v="opakovaná VZ"/>
    <s v="VZ-2021-000585"/>
    <x v="1"/>
    <n v="132000"/>
    <x v="2"/>
    <d v="2021-06-10T00:00:00"/>
    <d v="2021-06-22T00:00:00"/>
    <m/>
    <m/>
    <m/>
    <m/>
    <m/>
    <m/>
    <m/>
    <m/>
    <m/>
    <m/>
    <m/>
  </r>
  <r>
    <s v="opakovaná VZ"/>
    <s v="VZ-2021-000585"/>
    <x v="1"/>
    <n v="221000"/>
    <x v="2"/>
    <d v="2021-06-10T00:00:00"/>
    <d v="2021-06-22T00:00:00"/>
    <m/>
    <m/>
    <m/>
    <m/>
    <m/>
    <m/>
    <m/>
    <m/>
    <m/>
    <m/>
    <m/>
  </r>
  <r>
    <d v="2021-06-09T00:00:00"/>
    <s v="VZ-2021-000590"/>
    <x v="0"/>
    <n v="2006548"/>
    <x v="1"/>
    <d v="2021-06-23T00:00:00"/>
    <d v="2021-07-13T00:00:00"/>
    <m/>
    <m/>
    <m/>
    <m/>
    <m/>
    <m/>
    <m/>
    <m/>
    <m/>
    <m/>
    <m/>
  </r>
  <r>
    <d v="2021-06-09T00:00:00"/>
    <s v="VZ-2021-000590"/>
    <x v="0"/>
    <n v="1149222"/>
    <x v="1"/>
    <d v="2021-06-23T00:00:00"/>
    <d v="2021-07-13T00:00:00"/>
    <m/>
    <m/>
    <m/>
    <m/>
    <m/>
    <m/>
    <m/>
    <m/>
    <m/>
    <m/>
    <m/>
  </r>
  <r>
    <d v="2021-06-09T00:00:00"/>
    <s v="VZ-2021-000590"/>
    <x v="0"/>
    <n v="54000"/>
    <x v="1"/>
    <d v="2021-06-23T00:00:00"/>
    <d v="2021-07-13T00:00:00"/>
    <m/>
    <m/>
    <m/>
    <m/>
    <m/>
    <m/>
    <m/>
    <m/>
    <m/>
    <m/>
    <m/>
  </r>
  <r>
    <d v="2021-06-09T00:00:00"/>
    <s v="VZ-2021-000590"/>
    <x v="0"/>
    <n v="184158"/>
    <x v="1"/>
    <d v="2021-06-23T00:00:00"/>
    <d v="2021-07-13T00:00:00"/>
    <m/>
    <m/>
    <m/>
    <m/>
    <m/>
    <m/>
    <m/>
    <m/>
    <m/>
    <m/>
    <m/>
  </r>
  <r>
    <d v="2021-06-10T00:00:00"/>
    <s v="VZ-2021-000598"/>
    <x v="2"/>
    <n v="2876000"/>
    <x v="1"/>
    <d v="2021-06-16T00:00:00"/>
    <d v="2021-07-20T00:00:00"/>
    <m/>
    <m/>
    <m/>
    <m/>
    <m/>
    <m/>
    <m/>
    <m/>
    <m/>
    <m/>
    <m/>
  </r>
  <r>
    <d v="2021-06-10T00:00:00"/>
    <s v="VZ-2021-000599"/>
    <x v="2"/>
    <n v="18347040"/>
    <x v="0"/>
    <d v="2021-06-24T00:00:00"/>
    <d v="2021-07-27T00:00:00"/>
    <d v="2021-08-23T00:00:00"/>
    <m/>
    <m/>
    <m/>
    <d v="2021-08-23T00:00:00"/>
    <d v="2021-10-04T00:00:00"/>
    <n v="14"/>
    <n v="33"/>
    <n v="27"/>
    <n v="42"/>
    <n v="116"/>
  </r>
  <r>
    <d v="2021-06-09T00:00:00"/>
    <s v="VZ-2021-000601"/>
    <x v="10"/>
    <n v="1100000"/>
    <x v="2"/>
    <d v="2021-06-18T00:00:00"/>
    <d v="2021-06-28T00:00:00"/>
    <m/>
    <m/>
    <m/>
    <m/>
    <m/>
    <m/>
    <m/>
    <m/>
    <m/>
    <m/>
    <m/>
  </r>
  <r>
    <d v="2021-06-10T00:00:00"/>
    <s v="VZ-2021-000602"/>
    <x v="1"/>
    <n v="1305785"/>
    <x v="2"/>
    <d v="2021-06-16T00:00:00"/>
    <d v="2021-06-25T00:00:00"/>
    <m/>
    <m/>
    <m/>
    <m/>
    <m/>
    <m/>
    <m/>
    <m/>
    <m/>
    <m/>
    <m/>
  </r>
  <r>
    <d v="2021-06-10T00:00:00"/>
    <s v="VZ-2021-000603"/>
    <x v="1"/>
    <n v="966942"/>
    <x v="2"/>
    <d v="2021-06-16T00:00:00"/>
    <d v="2021-06-29T00:00:00"/>
    <d v="2021-07-15T00:00:00"/>
    <m/>
    <m/>
    <m/>
    <d v="2021-07-15T00:00:00"/>
    <d v="2021-08-11T00:00:00"/>
    <n v="6"/>
    <n v="13"/>
    <n v="16"/>
    <n v="27"/>
    <n v="62"/>
  </r>
  <r>
    <d v="2021-06-10T00:00:00"/>
    <s v="VZ-2021-000604"/>
    <x v="10"/>
    <n v="1998000"/>
    <x v="2"/>
    <d v="2021-07-13T00:00:00"/>
    <d v="2021-07-22T00:00:00"/>
    <m/>
    <m/>
    <m/>
    <m/>
    <m/>
    <m/>
    <m/>
    <m/>
    <m/>
    <m/>
    <m/>
  </r>
  <r>
    <s v="opakovaná VZ"/>
    <s v="VZ-2021-000608"/>
    <x v="2"/>
    <n v="1457850"/>
    <x v="2"/>
    <d v="2021-06-16T00:00:00"/>
    <d v="2021-06-28T00:00:00"/>
    <d v="2021-07-13T00:00:00"/>
    <m/>
    <m/>
    <m/>
    <d v="2021-07-13T00:00:00"/>
    <d v="2021-09-15T00:00:00"/>
    <m/>
    <m/>
    <m/>
    <m/>
    <m/>
  </r>
  <r>
    <d v="2021-06-09T00:00:00"/>
    <s v="VZ-2021-000611"/>
    <x v="18"/>
    <n v="200000"/>
    <x v="2"/>
    <d v="2021-09-03T00:00:00"/>
    <d v="2021-09-20T00:00:00"/>
    <m/>
    <m/>
    <m/>
    <m/>
    <m/>
    <m/>
    <m/>
    <m/>
    <m/>
    <m/>
    <m/>
  </r>
  <r>
    <d v="2021-06-11T00:00:00"/>
    <s v="VZ-2021-000613"/>
    <x v="3"/>
    <n v="1950000"/>
    <x v="2"/>
    <d v="2021-06-17T00:00:00"/>
    <d v="2021-06-28T00:00:00"/>
    <d v="2021-07-12T00:00:00"/>
    <m/>
    <m/>
    <m/>
    <d v="2021-07-13T00:00:00"/>
    <d v="2021-07-30T00:00:00"/>
    <n v="6"/>
    <n v="11"/>
    <n v="14"/>
    <n v="18"/>
    <n v="49"/>
  </r>
  <r>
    <d v="2021-12-13T00:00:00"/>
    <s v="VZ-2021-000615"/>
    <x v="0"/>
    <n v="10955758"/>
    <x v="0"/>
    <d v="2021-12-23T00:00:00"/>
    <d v="2022-01-27T00:00:00"/>
    <m/>
    <m/>
    <m/>
    <m/>
    <m/>
    <m/>
    <m/>
    <m/>
    <m/>
    <m/>
    <m/>
  </r>
  <r>
    <d v="2021-12-13T00:00:00"/>
    <s v="VZ-2021-000615"/>
    <x v="0"/>
    <n v="16521989"/>
    <x v="0"/>
    <d v="2021-12-23T00:00:00"/>
    <d v="2022-01-27T00:00:00"/>
    <m/>
    <m/>
    <m/>
    <m/>
    <m/>
    <m/>
    <m/>
    <m/>
    <m/>
    <m/>
    <m/>
  </r>
  <r>
    <d v="2021-06-14T00:00:00"/>
    <s v="VZ-2021-000616"/>
    <x v="1"/>
    <n v="1080000"/>
    <x v="2"/>
    <d v="2021-06-23T00:00:00"/>
    <d v="2021-07-14T00:00:00"/>
    <d v="2021-07-27T00:00:00"/>
    <m/>
    <m/>
    <m/>
    <d v="2021-07-27T00:00:00"/>
    <d v="2021-08-16T00:00:00"/>
    <n v="9"/>
    <n v="21"/>
    <n v="13"/>
    <n v="20"/>
    <n v="63"/>
  </r>
  <r>
    <s v="opakovaná VZ"/>
    <s v="VZ-2021-000617"/>
    <x v="9"/>
    <n v="5800000"/>
    <x v="2"/>
    <d v="2021-06-25T00:00:00"/>
    <d v="2021-07-09T00:00:00"/>
    <m/>
    <m/>
    <m/>
    <m/>
    <m/>
    <m/>
    <m/>
    <m/>
    <m/>
    <m/>
    <m/>
  </r>
  <r>
    <d v="2021-06-15T00:00:00"/>
    <s v="VZ-2021-000621"/>
    <x v="1"/>
    <n v="457851"/>
    <x v="2"/>
    <d v="2021-07-13T00:00:00"/>
    <d v="2021-07-27T00:00:00"/>
    <m/>
    <m/>
    <m/>
    <m/>
    <m/>
    <m/>
    <m/>
    <m/>
    <m/>
    <m/>
    <m/>
  </r>
  <r>
    <d v="2021-06-15T00:00:00"/>
    <s v="VZ-2021-000622"/>
    <x v="1"/>
    <n v="6420000"/>
    <x v="0"/>
    <d v="2021-07-16T00:00:00"/>
    <d v="2021-08-23T00:00:00"/>
    <m/>
    <m/>
    <m/>
    <m/>
    <m/>
    <m/>
    <m/>
    <m/>
    <m/>
    <m/>
    <m/>
  </r>
  <r>
    <d v="2021-06-15T00:00:00"/>
    <s v="VZ-2021-000623"/>
    <x v="1"/>
    <n v="1080000"/>
    <x v="2"/>
    <d v="2021-06-22T00:00:00"/>
    <d v="2021-07-02T00:00:00"/>
    <d v="2021-07-22T00:00:00"/>
    <m/>
    <m/>
    <m/>
    <d v="2021-07-22T00:00:00"/>
    <d v="2021-08-10T00:00:00"/>
    <n v="7"/>
    <n v="10"/>
    <n v="20"/>
    <n v="19"/>
    <n v="56"/>
  </r>
  <r>
    <d v="2021-06-15T00:00:00"/>
    <s v="VZ-2021-000624"/>
    <x v="1"/>
    <n v="1350000"/>
    <x v="2"/>
    <d v="2021-06-23T00:00:00"/>
    <d v="2021-07-02T00:00:00"/>
    <d v="2021-07-22T00:00:00"/>
    <m/>
    <m/>
    <m/>
    <d v="2021-07-22T00:00:00"/>
    <d v="2021-09-01T00:00:00"/>
    <n v="8"/>
    <n v="9"/>
    <n v="20"/>
    <n v="41"/>
    <n v="78"/>
  </r>
  <r>
    <d v="2021-06-09T00:00:00"/>
    <s v="VZ-2021-000625"/>
    <x v="4"/>
    <n v="3000000"/>
    <x v="1"/>
    <d v="2021-06-22T00:00:00"/>
    <d v="2021-07-13T00:00:00"/>
    <d v="2021-07-27T00:00:00"/>
    <m/>
    <m/>
    <m/>
    <d v="2021-07-27T00:00:00"/>
    <d v="2021-09-13T00:00:00"/>
    <n v="13"/>
    <n v="21"/>
    <n v="14"/>
    <n v="48"/>
    <n v="96"/>
  </r>
  <r>
    <d v="2021-06-21T00:00:00"/>
    <s v="VZ-2021-000632"/>
    <x v="8"/>
    <n v="1200000"/>
    <x v="2"/>
    <d v="2021-06-22T00:00:00"/>
    <d v="2021-06-29T00:00:00"/>
    <d v="2021-07-12T00:00:00"/>
    <m/>
    <m/>
    <m/>
    <d v="2021-07-13T00:00:00"/>
    <d v="2021-08-19T00:00:00"/>
    <n v="1"/>
    <n v="7"/>
    <n v="13"/>
    <n v="38"/>
    <n v="59"/>
  </r>
  <r>
    <d v="2021-06-18T00:00:00"/>
    <s v="VZ-2021-000633"/>
    <x v="1"/>
    <n v="325000"/>
    <x v="2"/>
    <d v="2021-06-25T00:00:00"/>
    <d v="2021-07-08T00:00:00"/>
    <d v="2021-07-22T00:00:00"/>
    <m/>
    <m/>
    <m/>
    <d v="2021-07-22T00:00:00"/>
    <d v="2021-08-10T00:00:00"/>
    <n v="7"/>
    <n v="13"/>
    <n v="14"/>
    <n v="19"/>
    <n v="53"/>
  </r>
  <r>
    <d v="2021-06-24T00:00:00"/>
    <s v="VZ-2021-000640"/>
    <x v="2"/>
    <n v="3882950"/>
    <x v="0"/>
    <d v="2021-07-22T00:00:00"/>
    <d v="2021-10-05T00:00:00"/>
    <d v="2021-11-03T00:00:00"/>
    <m/>
    <m/>
    <m/>
    <d v="2021-11-03T00:00:00"/>
    <d v="2021-12-13T00:00:00"/>
    <n v="28"/>
    <n v="75"/>
    <n v="29"/>
    <n v="40"/>
    <n v="172"/>
  </r>
  <r>
    <d v="2021-06-24T00:00:00"/>
    <s v="VZ-2021-000640"/>
    <x v="2"/>
    <n v="2969250"/>
    <x v="0"/>
    <d v="2021-07-22T00:00:00"/>
    <d v="2021-10-05T00:00:00"/>
    <d v="2021-11-03T00:00:00"/>
    <m/>
    <m/>
    <m/>
    <d v="2021-11-03T00:00:00"/>
    <d v="2021-12-15T00:00:00"/>
    <n v="28"/>
    <n v="75"/>
    <n v="29"/>
    <n v="42"/>
    <n v="174"/>
  </r>
  <r>
    <d v="2021-06-24T00:00:00"/>
    <s v="VZ-2021-000640"/>
    <x v="2"/>
    <n v="2354100"/>
    <x v="0"/>
    <d v="2021-07-22T00:00:00"/>
    <d v="2021-10-05T00:00:00"/>
    <d v="2021-11-03T00:00:00"/>
    <m/>
    <m/>
    <m/>
    <d v="2021-11-03T00:00:00"/>
    <d v="2021-12-13T00:00:00"/>
    <n v="28"/>
    <n v="75"/>
    <n v="29"/>
    <n v="40"/>
    <n v="172"/>
  </r>
  <r>
    <d v="2021-06-24T00:00:00"/>
    <s v="VZ-2021-000640"/>
    <x v="2"/>
    <n v="1333620"/>
    <x v="0"/>
    <d v="2021-07-22T00:00:00"/>
    <d v="2021-10-05T00:00:00"/>
    <m/>
    <m/>
    <m/>
    <m/>
    <m/>
    <m/>
    <m/>
    <m/>
    <m/>
    <m/>
    <m/>
  </r>
  <r>
    <d v="2021-06-24T00:00:00"/>
    <s v="VZ-2021-000640"/>
    <x v="2"/>
    <n v="884120"/>
    <x v="0"/>
    <d v="2021-07-22T00:00:00"/>
    <d v="2021-10-05T00:00:00"/>
    <m/>
    <m/>
    <m/>
    <m/>
    <m/>
    <m/>
    <m/>
    <m/>
    <m/>
    <m/>
    <m/>
  </r>
  <r>
    <d v="2021-06-24T00:00:00"/>
    <s v="VZ-2021-000640"/>
    <x v="2"/>
    <n v="2837580"/>
    <x v="0"/>
    <d v="2021-07-22T00:00:00"/>
    <d v="2021-10-05T00:00:00"/>
    <m/>
    <m/>
    <m/>
    <m/>
    <m/>
    <m/>
    <m/>
    <m/>
    <m/>
    <m/>
    <m/>
  </r>
  <r>
    <d v="2021-06-24T00:00:00"/>
    <s v="VZ-2021-000640"/>
    <x v="2"/>
    <n v="2514360"/>
    <x v="0"/>
    <d v="2021-07-22T00:00:00"/>
    <d v="2021-10-05T00:00:00"/>
    <m/>
    <m/>
    <m/>
    <m/>
    <m/>
    <m/>
    <m/>
    <m/>
    <m/>
    <m/>
    <m/>
  </r>
  <r>
    <d v="2021-06-24T00:00:00"/>
    <s v="VZ-2021-000640"/>
    <x v="2"/>
    <n v="4106830"/>
    <x v="0"/>
    <d v="2021-07-22T00:00:00"/>
    <d v="2021-10-05T00:00:00"/>
    <m/>
    <m/>
    <m/>
    <m/>
    <m/>
    <m/>
    <m/>
    <m/>
    <m/>
    <m/>
    <m/>
  </r>
  <r>
    <d v="2021-06-24T00:00:00"/>
    <s v="VZ-2021-000640"/>
    <x v="2"/>
    <n v="717830"/>
    <x v="0"/>
    <d v="2021-07-22T00:00:00"/>
    <d v="2021-10-05T00:00:00"/>
    <d v="2021-12-01T00:00:00"/>
    <m/>
    <m/>
    <m/>
    <d v="2021-12-01T00:00:00"/>
    <m/>
    <m/>
    <m/>
    <m/>
    <m/>
    <m/>
  </r>
  <r>
    <d v="2021-06-24T00:00:00"/>
    <s v="VZ-2021-000640"/>
    <x v="2"/>
    <n v="991250"/>
    <x v="0"/>
    <d v="2021-07-22T00:00:00"/>
    <d v="2021-10-05T00:00:00"/>
    <m/>
    <m/>
    <m/>
    <m/>
    <m/>
    <m/>
    <m/>
    <m/>
    <m/>
    <m/>
    <m/>
  </r>
  <r>
    <d v="2021-06-25T00:00:00"/>
    <s v="VZ-2021-000650"/>
    <x v="2"/>
    <n v="2819340"/>
    <x v="1"/>
    <d v="2021-07-01T00:00:00"/>
    <d v="2021-07-22T00:00:00"/>
    <d v="2021-08-12T00:00:00"/>
    <m/>
    <m/>
    <m/>
    <d v="2021-08-12T00:00:00"/>
    <d v="2021-09-01T00:00:00"/>
    <n v="6"/>
    <n v="21"/>
    <n v="21"/>
    <n v="20"/>
    <n v="68"/>
  </r>
  <r>
    <d v="2021-06-29T00:00:00"/>
    <s v="VZ-2021-000666"/>
    <x v="2"/>
    <n v="2170000"/>
    <x v="1"/>
    <d v="2021-07-07T00:00:00"/>
    <d v="2021-08-12T00:00:00"/>
    <d v="2021-09-03T00:00:00"/>
    <m/>
    <m/>
    <m/>
    <d v="2021-09-03T00:00:00"/>
    <d v="2021-09-23T00:00:00"/>
    <n v="8"/>
    <n v="36"/>
    <n v="22"/>
    <n v="20"/>
    <n v="86"/>
  </r>
  <r>
    <d v="2021-06-30T00:00:00"/>
    <s v="VZ-2021-000670"/>
    <x v="2"/>
    <n v="2484000"/>
    <x v="1"/>
    <d v="2021-07-13T00:00:00"/>
    <d v="2021-08-16T00:00:00"/>
    <m/>
    <m/>
    <m/>
    <m/>
    <m/>
    <m/>
    <m/>
    <m/>
    <m/>
    <m/>
    <m/>
  </r>
  <r>
    <d v="2021-07-02T00:00:00"/>
    <s v="VZ-2021-000671"/>
    <x v="1"/>
    <n v="570000"/>
    <x v="2"/>
    <d v="2021-07-07T00:00:00"/>
    <d v="2021-07-15T00:00:00"/>
    <d v="2021-07-22T00:00:00"/>
    <m/>
    <m/>
    <m/>
    <d v="2021-07-22T00:00:00"/>
    <d v="2021-08-16T00:00:00"/>
    <n v="5"/>
    <n v="8"/>
    <n v="7"/>
    <n v="25"/>
    <n v="45"/>
  </r>
  <r>
    <d v="2021-07-02T00:00:00"/>
    <s v="VZ-2021-000674"/>
    <x v="3"/>
    <n v="475000"/>
    <x v="2"/>
    <d v="2021-07-15T00:00:00"/>
    <d v="2021-07-27T00:00:00"/>
    <d v="2021-08-04T00:00:00"/>
    <m/>
    <m/>
    <m/>
    <d v="2021-08-04T00:00:00"/>
    <d v="2021-08-23T00:00:00"/>
    <n v="13"/>
    <n v="12"/>
    <n v="8"/>
    <n v="19"/>
    <n v="52"/>
  </r>
  <r>
    <d v="2021-06-29T00:00:00"/>
    <s v="VZ-2021-000675"/>
    <x v="2"/>
    <n v="1428000"/>
    <x v="2"/>
    <d v="2021-07-13T00:00:00"/>
    <d v="2021-07-30T00:00:00"/>
    <d v="2021-08-10T00:00:00"/>
    <m/>
    <m/>
    <m/>
    <d v="2021-08-10T00:00:00"/>
    <d v="2021-08-31T00:00:00"/>
    <n v="14"/>
    <n v="17"/>
    <n v="11"/>
    <n v="21"/>
    <n v="63"/>
  </r>
  <r>
    <d v="2021-07-01T00:00:00"/>
    <s v="VZ-2021-000676"/>
    <x v="2"/>
    <n v="1350000"/>
    <x v="2"/>
    <d v="2021-07-13T00:00:00"/>
    <d v="2021-07-30T00:00:00"/>
    <d v="2021-10-19T00:00:00"/>
    <m/>
    <m/>
    <m/>
    <d v="2021-10-20T00:00:00"/>
    <d v="2021-11-08T00:00:00"/>
    <n v="12"/>
    <n v="17"/>
    <n v="81"/>
    <n v="20"/>
    <n v="130"/>
  </r>
  <r>
    <d v="2021-07-02T00:00:00"/>
    <s v="VZ-2021-000687"/>
    <x v="1"/>
    <n v="171000"/>
    <x v="2"/>
    <d v="2021-07-13T00:00:00"/>
    <d v="2021-07-26T00:00:00"/>
    <d v="2021-08-02T00:00:00"/>
    <m/>
    <m/>
    <m/>
    <d v="2021-08-02T00:00:00"/>
    <d v="2021-08-23T00:00:00"/>
    <n v="11"/>
    <n v="13"/>
    <n v="7"/>
    <n v="21"/>
    <n v="52"/>
  </r>
  <r>
    <d v="2021-07-07T00:00:00"/>
    <s v="VZ-2021-000692"/>
    <x v="1"/>
    <n v="354000"/>
    <x v="2"/>
    <d v="2021-07-14T00:00:00"/>
    <d v="2021-07-27T00:00:00"/>
    <d v="2021-08-02T00:00:00"/>
    <m/>
    <m/>
    <m/>
    <d v="2021-08-02T00:00:00"/>
    <d v="2021-08-17T00:00:00"/>
    <n v="7"/>
    <n v="13"/>
    <n v="6"/>
    <n v="15"/>
    <n v="41"/>
  </r>
  <r>
    <s v="opakovaná VZ"/>
    <s v="VZ-2021-000695"/>
    <x v="0"/>
    <n v="1830352"/>
    <x v="1"/>
    <d v="2021-07-14T00:00:00"/>
    <d v="2021-07-30T00:00:00"/>
    <d v="2021-08-23T00:00:00"/>
    <m/>
    <m/>
    <m/>
    <d v="2021-08-23T00:00:00"/>
    <d v="2021-10-11T00:00:00"/>
    <m/>
    <m/>
    <m/>
    <m/>
    <m/>
  </r>
  <r>
    <s v="opakovaná VZ"/>
    <s v="VZ-2021-000695"/>
    <x v="0"/>
    <n v="1149222"/>
    <x v="1"/>
    <d v="2021-07-14T00:00:00"/>
    <d v="2021-07-30T00:00:00"/>
    <d v="2021-08-23T00:00:00"/>
    <m/>
    <m/>
    <m/>
    <d v="2021-08-23T00:00:00"/>
    <d v="2021-11-08T00:00:00"/>
    <m/>
    <m/>
    <m/>
    <m/>
    <m/>
  </r>
  <r>
    <s v="opakovaná VZ"/>
    <s v="VZ-2021-000695"/>
    <x v="0"/>
    <n v="54000"/>
    <x v="1"/>
    <d v="2021-07-14T00:00:00"/>
    <d v="2021-07-30T00:00:00"/>
    <m/>
    <m/>
    <m/>
    <m/>
    <m/>
    <m/>
    <m/>
    <m/>
    <m/>
    <m/>
    <m/>
  </r>
  <r>
    <s v="opakovaná VZ"/>
    <s v="VZ-2021-000695"/>
    <x v="0"/>
    <n v="184158"/>
    <x v="1"/>
    <d v="2021-07-14T00:00:00"/>
    <d v="2021-07-30T00:00:00"/>
    <d v="2021-08-23T00:00:00"/>
    <m/>
    <m/>
    <m/>
    <d v="2021-08-23T00:00:00"/>
    <d v="2021-10-06T00:00:00"/>
    <m/>
    <m/>
    <m/>
    <m/>
    <m/>
  </r>
  <r>
    <d v="2021-06-30T00:00:00"/>
    <s v="VZ-2021-000699"/>
    <x v="1"/>
    <n v="75000"/>
    <x v="2"/>
    <d v="2021-07-16T00:00:00"/>
    <d v="2021-07-28T00:00:00"/>
    <d v="2021-08-10T00:00:00"/>
    <m/>
    <m/>
    <m/>
    <d v="2021-08-10T00:00:00"/>
    <d v="2021-08-30T00:00:00"/>
    <n v="16"/>
    <n v="12"/>
    <n v="13"/>
    <n v="20"/>
    <n v="61"/>
  </r>
  <r>
    <d v="2021-07-14T00:00:00"/>
    <s v="VZ-2021-000700"/>
    <x v="10"/>
    <n v="4512000"/>
    <x v="0"/>
    <d v="2021-07-29T00:00:00"/>
    <d v="2021-09-15T00:00:00"/>
    <m/>
    <m/>
    <m/>
    <m/>
    <m/>
    <m/>
    <m/>
    <m/>
    <m/>
    <m/>
    <m/>
  </r>
  <r>
    <d v="2021-07-14T00:00:00"/>
    <s v="VZ-2021-000700"/>
    <x v="10"/>
    <n v="3216000"/>
    <x v="0"/>
    <d v="2021-07-29T00:00:00"/>
    <d v="2021-09-15T00:00:00"/>
    <m/>
    <m/>
    <m/>
    <m/>
    <m/>
    <m/>
    <m/>
    <m/>
    <m/>
    <m/>
    <m/>
  </r>
  <r>
    <d v="2021-07-14T00:00:00"/>
    <s v="VZ-2021-000703"/>
    <x v="1"/>
    <n v="12450000"/>
    <x v="0"/>
    <d v="2021-09-01T00:00:00"/>
    <d v="2021-10-19T00:00:00"/>
    <m/>
    <m/>
    <m/>
    <m/>
    <m/>
    <m/>
    <m/>
    <m/>
    <m/>
    <m/>
    <m/>
  </r>
  <r>
    <d v="2021-07-14T00:00:00"/>
    <s v="VZ-2021-000703"/>
    <x v="1"/>
    <n v="4938843"/>
    <x v="0"/>
    <d v="2021-09-01T00:00:00"/>
    <d v="2021-10-19T00:00:00"/>
    <m/>
    <m/>
    <m/>
    <m/>
    <m/>
    <m/>
    <m/>
    <m/>
    <m/>
    <m/>
    <m/>
  </r>
  <r>
    <s v="opakovaná VZ"/>
    <s v="VZ-2021-000704"/>
    <x v="3"/>
    <n v="40000000"/>
    <x v="0"/>
    <d v="2021-08-05T00:00:00"/>
    <d v="2021-09-07T00:00:00"/>
    <d v="2021-11-05T00:00:00"/>
    <m/>
    <m/>
    <m/>
    <d v="2021-11-05T00:00:00"/>
    <m/>
    <m/>
    <m/>
    <m/>
    <m/>
    <m/>
  </r>
  <r>
    <d v="2021-07-14T00:00:00"/>
    <s v="VZ-2021-000706"/>
    <x v="1"/>
    <n v="100870000"/>
    <x v="0"/>
    <d v="2021-07-28T00:00:00"/>
    <d v="2021-10-05T00:00:00"/>
    <d v="2021-11-09T00:00:00"/>
    <m/>
    <m/>
    <m/>
    <d v="2021-11-09T00:00:00"/>
    <d v="2021-11-16T00:00:00"/>
    <n v="14"/>
    <n v="69"/>
    <n v="35"/>
    <n v="7"/>
    <n v="125"/>
  </r>
  <r>
    <d v="2021-07-14T00:00:00"/>
    <s v="VZ-2021-000706"/>
    <x v="1"/>
    <n v="1500000"/>
    <x v="0"/>
    <d v="2021-07-28T00:00:00"/>
    <d v="2021-10-05T00:00:00"/>
    <d v="2021-11-09T00:00:00"/>
    <m/>
    <m/>
    <m/>
    <d v="2021-11-09T00:00:00"/>
    <d v="2021-12-13T00:00:00"/>
    <n v="14"/>
    <n v="69"/>
    <n v="35"/>
    <n v="34"/>
    <n v="152"/>
  </r>
  <r>
    <d v="2021-07-14T00:00:00"/>
    <s v="VZ-2021-000706"/>
    <x v="1"/>
    <n v="16770000"/>
    <x v="0"/>
    <d v="2021-07-28T00:00:00"/>
    <d v="2021-10-05T00:00:00"/>
    <d v="2021-11-09T00:00:00"/>
    <m/>
    <m/>
    <m/>
    <d v="2021-11-09T00:00:00"/>
    <d v="2021-12-13T00:00:00"/>
    <n v="14"/>
    <n v="69"/>
    <n v="35"/>
    <n v="34"/>
    <n v="152"/>
  </r>
  <r>
    <d v="2021-07-09T00:00:00"/>
    <s v="VZ-2021-000709"/>
    <x v="1"/>
    <n v="192000"/>
    <x v="2"/>
    <d v="2021-07-19T00:00:00"/>
    <d v="2021-07-30T00:00:00"/>
    <d v="2021-08-10T00:00:00"/>
    <m/>
    <m/>
    <m/>
    <d v="2021-08-10T00:00:00"/>
    <d v="2021-08-26T00:00:00"/>
    <n v="10"/>
    <n v="11"/>
    <n v="11"/>
    <n v="16"/>
    <n v="48"/>
  </r>
  <r>
    <d v="2021-07-09T00:00:00"/>
    <s v="VZ-2021-000709"/>
    <x v="1"/>
    <n v="175000"/>
    <x v="2"/>
    <d v="2021-07-19T00:00:00"/>
    <d v="2021-07-30T00:00:00"/>
    <d v="2021-08-10T00:00:00"/>
    <m/>
    <m/>
    <m/>
    <d v="2021-08-10T00:00:00"/>
    <d v="2021-08-26T00:00:00"/>
    <n v="10"/>
    <n v="11"/>
    <n v="11"/>
    <n v="16"/>
    <n v="48"/>
  </r>
  <r>
    <d v="2021-07-09T00:00:00"/>
    <s v="VZ-2021-000710"/>
    <x v="1"/>
    <n v="87000"/>
    <x v="2"/>
    <d v="2021-07-19T00:00:00"/>
    <d v="2021-07-28T00:00:00"/>
    <d v="2021-08-09T00:00:00"/>
    <m/>
    <m/>
    <m/>
    <d v="2021-08-09T00:00:00"/>
    <d v="2021-09-10T00:00:00"/>
    <n v="10"/>
    <n v="9"/>
    <n v="12"/>
    <n v="32"/>
    <n v="63"/>
  </r>
  <r>
    <s v="opakovaná VZ"/>
    <s v="VZ-2021-000711"/>
    <x v="1"/>
    <n v="1497521"/>
    <x v="2"/>
    <d v="2021-07-22T00:00:00"/>
    <d v="2021-08-03T00:00:00"/>
    <d v="2021-09-02T00:00:00"/>
    <m/>
    <m/>
    <m/>
    <d v="2021-09-03T00:00:00"/>
    <d v="2021-09-23T00:00:00"/>
    <m/>
    <m/>
    <m/>
    <m/>
    <m/>
  </r>
  <r>
    <d v="2021-07-14T00:00:00"/>
    <s v="VZ-2021-000712"/>
    <x v="2"/>
    <n v="1973190"/>
    <x v="2"/>
    <d v="2021-07-19T00:00:00"/>
    <d v="2021-07-29T00:00:00"/>
    <d v="2021-08-10T00:00:00"/>
    <m/>
    <m/>
    <m/>
    <d v="2021-08-12T00:00:00"/>
    <d v="2021-08-31T00:00:00"/>
    <n v="5"/>
    <n v="10"/>
    <n v="12"/>
    <n v="21"/>
    <n v="48"/>
  </r>
  <r>
    <s v="opakovaná VZ"/>
    <s v="VZ-2021-000713"/>
    <x v="10"/>
    <n v="1100000"/>
    <x v="2"/>
    <d v="2021-07-19T00:00:00"/>
    <d v="2021-07-29T00:00:00"/>
    <m/>
    <m/>
    <m/>
    <m/>
    <m/>
    <m/>
    <m/>
    <m/>
    <m/>
    <m/>
    <m/>
  </r>
  <r>
    <d v="2021-07-14T00:00:00"/>
    <s v="VZ-2021-000715"/>
    <x v="1"/>
    <n v="1481625"/>
    <x v="2"/>
    <d v="2021-07-21T00:00:00"/>
    <d v="2021-07-30T00:00:00"/>
    <m/>
    <m/>
    <m/>
    <m/>
    <m/>
    <m/>
    <m/>
    <m/>
    <m/>
    <m/>
    <m/>
  </r>
  <r>
    <d v="2021-07-16T00:00:00"/>
    <s v="VZ-2021-000717"/>
    <x v="0"/>
    <n v="1477522"/>
    <x v="2"/>
    <d v="2021-08-04T00:00:00"/>
    <d v="2021-08-13T00:00:00"/>
    <d v="2021-08-23T00:00:00"/>
    <m/>
    <m/>
    <m/>
    <d v="2021-08-23T00:00:00"/>
    <d v="2021-10-05T00:00:00"/>
    <n v="19"/>
    <n v="9"/>
    <n v="10"/>
    <n v="43"/>
    <n v="81"/>
  </r>
  <r>
    <d v="2021-07-16T00:00:00"/>
    <s v="VZ-2021-000718"/>
    <x v="0"/>
    <n v="4341599"/>
    <x v="0"/>
    <d v="2021-07-23T00:00:00"/>
    <d v="2021-08-27T00:00:00"/>
    <d v="2021-09-21T00:00:00"/>
    <m/>
    <m/>
    <m/>
    <d v="2021-09-21T00:00:00"/>
    <d v="2021-11-10T00:00:00"/>
    <n v="7"/>
    <n v="35"/>
    <n v="25"/>
    <n v="50"/>
    <n v="117"/>
  </r>
  <r>
    <d v="2021-07-16T00:00:00"/>
    <s v="VZ-2021-000718"/>
    <x v="0"/>
    <n v="2791686"/>
    <x v="0"/>
    <d v="2021-07-23T00:00:00"/>
    <d v="2021-08-27T00:00:00"/>
    <d v="2021-09-21T00:00:00"/>
    <m/>
    <m/>
    <m/>
    <d v="2021-09-21T00:00:00"/>
    <d v="2021-11-10T00:00:00"/>
    <n v="7"/>
    <n v="35"/>
    <n v="25"/>
    <n v="50"/>
    <n v="117"/>
  </r>
  <r>
    <d v="2021-07-16T00:00:00"/>
    <s v="VZ-2021-000719"/>
    <x v="0"/>
    <n v="1051199"/>
    <x v="0"/>
    <d v="2021-07-22T00:00:00"/>
    <d v="2021-09-22T00:00:00"/>
    <d v="2021-12-01T00:00:00"/>
    <m/>
    <m/>
    <m/>
    <d v="2021-12-01T00:00:00"/>
    <d v="2021-12-23T00:00:00"/>
    <n v="6"/>
    <n v="62"/>
    <n v="70"/>
    <n v="22"/>
    <n v="160"/>
  </r>
  <r>
    <d v="2021-07-16T00:00:00"/>
    <s v="VZ-2021-000719"/>
    <x v="0"/>
    <n v="103138"/>
    <x v="0"/>
    <d v="2021-07-22T00:00:00"/>
    <d v="2021-09-22T00:00:00"/>
    <m/>
    <m/>
    <m/>
    <m/>
    <m/>
    <m/>
    <m/>
    <m/>
    <m/>
    <m/>
    <m/>
  </r>
  <r>
    <d v="2021-07-16T00:00:00"/>
    <s v="VZ-2021-000719"/>
    <x v="0"/>
    <n v="2295855"/>
    <x v="0"/>
    <d v="2021-07-22T00:00:00"/>
    <d v="2021-09-22T00:00:00"/>
    <d v="2021-12-01T00:00:00"/>
    <m/>
    <m/>
    <m/>
    <d v="2021-12-01T00:00:00"/>
    <d v="2021-12-22T00:00:00"/>
    <n v="6"/>
    <n v="62"/>
    <n v="70"/>
    <n v="21"/>
    <n v="159"/>
  </r>
  <r>
    <d v="2021-07-16T00:00:00"/>
    <s v="VZ-2021-000719"/>
    <x v="0"/>
    <n v="60840"/>
    <x v="0"/>
    <d v="2021-07-22T00:00:00"/>
    <d v="2021-09-22T00:00:00"/>
    <m/>
    <m/>
    <m/>
    <m/>
    <m/>
    <m/>
    <m/>
    <m/>
    <m/>
    <m/>
    <m/>
  </r>
  <r>
    <d v="2021-07-16T00:00:00"/>
    <s v="VZ-2021-000719"/>
    <x v="0"/>
    <n v="1251266"/>
    <x v="0"/>
    <d v="2021-07-22T00:00:00"/>
    <d v="2021-09-22T00:00:00"/>
    <d v="2021-12-01T00:00:00"/>
    <m/>
    <m/>
    <m/>
    <d v="2021-12-01T00:00:00"/>
    <d v="2021-12-23T00:00:00"/>
    <n v="6"/>
    <n v="62"/>
    <n v="70"/>
    <n v="22"/>
    <n v="160"/>
  </r>
  <r>
    <d v="2021-07-16T00:00:00"/>
    <s v="VZ-2021-000719"/>
    <x v="0"/>
    <n v="289927"/>
    <x v="0"/>
    <d v="2021-07-22T00:00:00"/>
    <d v="2021-09-22T00:00:00"/>
    <m/>
    <m/>
    <m/>
    <m/>
    <m/>
    <m/>
    <m/>
    <m/>
    <m/>
    <m/>
    <m/>
  </r>
  <r>
    <d v="2021-07-16T00:00:00"/>
    <s v="VZ-2021-000719"/>
    <x v="0"/>
    <n v="1699203"/>
    <x v="0"/>
    <d v="2021-07-22T00:00:00"/>
    <d v="2021-09-22T00:00:00"/>
    <m/>
    <m/>
    <m/>
    <m/>
    <m/>
    <m/>
    <m/>
    <m/>
    <m/>
    <m/>
    <m/>
  </r>
  <r>
    <d v="2021-07-16T00:00:00"/>
    <s v="VZ-2021-000719"/>
    <x v="0"/>
    <n v="7665209"/>
    <x v="0"/>
    <d v="2021-07-22T00:00:00"/>
    <d v="2021-09-22T00:00:00"/>
    <d v="2021-12-01T00:00:00"/>
    <m/>
    <m/>
    <m/>
    <d v="2021-12-01T00:00:00"/>
    <d v="2021-12-23T00:00:00"/>
    <n v="6"/>
    <n v="62"/>
    <n v="70"/>
    <n v="22"/>
    <n v="160"/>
  </r>
  <r>
    <d v="2021-07-16T00:00:00"/>
    <s v="VZ-2021-000719"/>
    <x v="0"/>
    <n v="264900"/>
    <x v="0"/>
    <d v="2021-07-22T00:00:00"/>
    <d v="2021-09-22T00:00:00"/>
    <d v="2021-12-01T00:00:00"/>
    <m/>
    <m/>
    <m/>
    <d v="2021-12-01T00:00:00"/>
    <d v="2021-12-22T00:00:00"/>
    <n v="6"/>
    <n v="62"/>
    <n v="70"/>
    <n v="21"/>
    <n v="159"/>
  </r>
  <r>
    <d v="2021-07-14T00:00:00"/>
    <s v="VZ-2021-000721"/>
    <x v="10"/>
    <n v="700992.1"/>
    <x v="2"/>
    <d v="2021-07-21T00:00:00"/>
    <d v="2021-08-03T00:00:00"/>
    <d v="2021-09-20T00:00:00"/>
    <m/>
    <m/>
    <m/>
    <d v="2021-09-21T00:00:00"/>
    <d v="2021-10-11T00:00:00"/>
    <n v="7"/>
    <n v="13"/>
    <n v="48"/>
    <n v="21"/>
    <n v="89"/>
  </r>
  <r>
    <d v="2021-07-14T00:00:00"/>
    <s v="VZ-2021-000722"/>
    <x v="2"/>
    <n v="1555743"/>
    <x v="0"/>
    <d v="2021-07-27T00:00:00"/>
    <d v="2021-08-30T00:00:00"/>
    <d v="2021-10-19T00:00:00"/>
    <m/>
    <m/>
    <m/>
    <d v="2021-10-19T00:00:00"/>
    <d v="2021-11-16T00:00:00"/>
    <n v="13"/>
    <n v="34"/>
    <n v="50"/>
    <n v="28"/>
    <n v="125"/>
  </r>
  <r>
    <d v="2021-07-14T00:00:00"/>
    <s v="VZ-2021-000722"/>
    <x v="2"/>
    <n v="3097774"/>
    <x v="0"/>
    <d v="2021-07-27T00:00:00"/>
    <d v="2021-08-30T00:00:00"/>
    <d v="2021-10-19T00:00:00"/>
    <m/>
    <m/>
    <m/>
    <d v="2021-10-19T00:00:00"/>
    <d v="2021-11-15T00:00:00"/>
    <n v="13"/>
    <n v="34"/>
    <n v="50"/>
    <n v="27"/>
    <n v="124"/>
  </r>
  <r>
    <d v="2021-07-14T00:00:00"/>
    <s v="VZ-2021-000722"/>
    <x v="2"/>
    <n v="192063"/>
    <x v="0"/>
    <d v="2021-07-27T00:00:00"/>
    <d v="2021-08-30T00:00:00"/>
    <m/>
    <m/>
    <m/>
    <m/>
    <m/>
    <m/>
    <m/>
    <m/>
    <m/>
    <m/>
    <m/>
  </r>
  <r>
    <d v="2021-07-14T00:00:00"/>
    <s v="VZ-2021-000722"/>
    <x v="2"/>
    <n v="64800"/>
    <x v="0"/>
    <d v="2021-07-27T00:00:00"/>
    <d v="2021-08-30T00:00:00"/>
    <d v="2021-10-19T00:00:00"/>
    <m/>
    <m/>
    <m/>
    <d v="2021-10-19T00:00:00"/>
    <d v="2021-11-15T00:00:00"/>
    <n v="13"/>
    <n v="34"/>
    <n v="50"/>
    <n v="27"/>
    <n v="124"/>
  </r>
  <r>
    <d v="2021-07-15T00:00:00"/>
    <s v="VZ-2021-000723"/>
    <x v="5"/>
    <n v="574500"/>
    <x v="2"/>
    <d v="2021-07-27T00:00:00"/>
    <d v="2021-08-06T00:00:00"/>
    <d v="2021-08-11T00:00:00"/>
    <m/>
    <m/>
    <m/>
    <d v="2021-08-12T00:00:00"/>
    <d v="2021-08-25T00:00:00"/>
    <n v="12"/>
    <n v="10"/>
    <n v="5"/>
    <n v="14"/>
    <n v="41"/>
  </r>
  <r>
    <d v="2021-07-15T00:00:00"/>
    <s v="VZ-2021-000726"/>
    <x v="4"/>
    <n v="6000000"/>
    <x v="0"/>
    <d v="2021-07-29T00:00:00"/>
    <d v="2021-09-02T00:00:00"/>
    <d v="2021-09-22T00:00:00"/>
    <m/>
    <m/>
    <m/>
    <d v="2021-09-22T00:00:00"/>
    <d v="2021-11-09T00:00:00"/>
    <n v="14"/>
    <n v="35"/>
    <n v="20"/>
    <n v="48"/>
    <n v="117"/>
  </r>
  <r>
    <d v="2021-07-15T00:00:00"/>
    <s v="VZ-2021-000727"/>
    <x v="5"/>
    <n v="1430000"/>
    <x v="2"/>
    <d v="2021-07-27T00:00:00"/>
    <d v="2021-08-06T00:00:00"/>
    <d v="2021-08-12T00:00:00"/>
    <m/>
    <m/>
    <m/>
    <d v="2021-08-12T00:00:00"/>
    <d v="2021-08-30T00:00:00"/>
    <n v="12"/>
    <n v="10"/>
    <n v="6"/>
    <n v="18"/>
    <n v="46"/>
  </r>
  <r>
    <d v="2021-07-07T00:00:00"/>
    <s v="VZ-2021-000728"/>
    <x v="1"/>
    <n v="2250000"/>
    <x v="1"/>
    <d v="2021-07-29T00:00:00"/>
    <d v="2021-08-24T00:00:00"/>
    <d v="2021-09-10T00:00:00"/>
    <m/>
    <m/>
    <m/>
    <d v="2021-09-10T00:00:00"/>
    <d v="2021-10-20T00:00:00"/>
    <n v="22"/>
    <n v="26"/>
    <n v="17"/>
    <n v="40"/>
    <n v="105"/>
  </r>
  <r>
    <d v="2021-07-22T00:00:00"/>
    <s v="VZ-2021-000729"/>
    <x v="0"/>
    <n v="211954416"/>
    <x v="0"/>
    <d v="2021-07-27T00:00:00"/>
    <d v="2021-09-02T00:00:00"/>
    <m/>
    <m/>
    <m/>
    <m/>
    <m/>
    <m/>
    <m/>
    <m/>
    <m/>
    <m/>
    <m/>
  </r>
  <r>
    <d v="2021-07-12T00:00:00"/>
    <s v="VZ-2021-000730"/>
    <x v="1"/>
    <n v="777455"/>
    <x v="2"/>
    <d v="2021-07-26T00:00:00"/>
    <d v="2021-08-04T00:00:00"/>
    <d v="2021-08-16T00:00:00"/>
    <m/>
    <m/>
    <m/>
    <d v="2021-08-16T00:00:00"/>
    <d v="2021-09-13T00:00:00"/>
    <n v="14"/>
    <n v="9"/>
    <n v="12"/>
    <n v="28"/>
    <n v="63"/>
  </r>
  <r>
    <d v="2021-07-22T00:00:00"/>
    <s v="VZ-2021-000731"/>
    <x v="0"/>
    <n v="4337280"/>
    <x v="0"/>
    <d v="2021-07-27T00:00:00"/>
    <d v="2021-08-30T00:00:00"/>
    <m/>
    <m/>
    <m/>
    <m/>
    <m/>
    <m/>
    <m/>
    <m/>
    <m/>
    <m/>
    <m/>
  </r>
  <r>
    <d v="2021-07-22T00:00:00"/>
    <s v="VZ-2021-000731"/>
    <x v="0"/>
    <n v="20330627"/>
    <x v="0"/>
    <d v="2021-07-27T00:00:00"/>
    <d v="2021-08-30T00:00:00"/>
    <d v="2021-09-21T00:00:00"/>
    <m/>
    <m/>
    <m/>
    <d v="2021-09-21T00:00:00"/>
    <d v="2021-10-15T00:00:00"/>
    <n v="5"/>
    <n v="34"/>
    <n v="22"/>
    <n v="24"/>
    <n v="85"/>
  </r>
  <r>
    <d v="2021-07-20T00:00:00"/>
    <s v="VZ-2021-000733"/>
    <x v="1"/>
    <n v="159000"/>
    <x v="2"/>
    <d v="2021-07-27T00:00:00"/>
    <d v="2021-08-04T00:00:00"/>
    <m/>
    <m/>
    <m/>
    <m/>
    <m/>
    <m/>
    <m/>
    <m/>
    <m/>
    <m/>
    <m/>
  </r>
  <r>
    <d v="2021-07-16T00:00:00"/>
    <s v="VZ-2021-000736"/>
    <x v="1"/>
    <n v="130000"/>
    <x v="2"/>
    <d v="2021-07-27T00:00:00"/>
    <d v="2021-08-04T00:00:00"/>
    <d v="2021-08-16T00:00:00"/>
    <m/>
    <m/>
    <m/>
    <d v="2021-08-16T00:00:00"/>
    <d v="2021-09-01T00:00:00"/>
    <n v="11"/>
    <n v="8"/>
    <n v="12"/>
    <n v="16"/>
    <n v="47"/>
  </r>
  <r>
    <d v="2021-07-23T00:00:00"/>
    <s v="VZ-2021-000738"/>
    <x v="1"/>
    <n v="305000"/>
    <x v="2"/>
    <d v="2021-07-28T00:00:00"/>
    <d v="2021-08-09T00:00:00"/>
    <d v="2021-08-16T00:00:00"/>
    <m/>
    <m/>
    <m/>
    <d v="2021-08-16T00:00:00"/>
    <d v="2021-09-03T00:00:00"/>
    <n v="5"/>
    <n v="12"/>
    <n v="7"/>
    <n v="18"/>
    <n v="42"/>
  </r>
  <r>
    <d v="2021-07-27T00:00:00"/>
    <s v="VZ-2021-000741"/>
    <x v="1"/>
    <n v="256818"/>
    <x v="2"/>
    <d v="2021-07-29T00:00:00"/>
    <d v="2021-08-10T00:00:00"/>
    <d v="2021-08-16T00:00:00"/>
    <m/>
    <m/>
    <m/>
    <d v="2021-08-16T00:00:00"/>
    <d v="2021-09-21T00:00:00"/>
    <n v="2"/>
    <n v="12"/>
    <n v="6"/>
    <n v="36"/>
    <n v="56"/>
  </r>
  <r>
    <d v="2021-07-19T00:00:00"/>
    <s v="VZ-2021-000742"/>
    <x v="2"/>
    <n v="3043930"/>
    <x v="0"/>
    <d v="2021-07-30T00:00:00"/>
    <d v="2021-09-03T00:00:00"/>
    <d v="2021-09-21T00:00:00"/>
    <m/>
    <m/>
    <m/>
    <d v="2021-09-22T00:00:00"/>
    <d v="2021-10-13T00:00:00"/>
    <n v="11"/>
    <n v="35"/>
    <n v="18"/>
    <n v="22"/>
    <n v="86"/>
  </r>
  <r>
    <d v="2021-07-19T00:00:00"/>
    <s v="VZ-2021-000742"/>
    <x v="2"/>
    <n v="48999.5"/>
    <x v="0"/>
    <d v="2021-07-30T00:00:00"/>
    <d v="2021-09-03T00:00:00"/>
    <m/>
    <m/>
    <m/>
    <m/>
    <m/>
    <m/>
    <m/>
    <m/>
    <m/>
    <m/>
    <m/>
  </r>
  <r>
    <d v="2021-07-19T00:00:00"/>
    <s v="VZ-2021-000742"/>
    <x v="2"/>
    <n v="3036180"/>
    <x v="0"/>
    <d v="2021-07-30T00:00:00"/>
    <d v="2021-09-03T00:00:00"/>
    <m/>
    <m/>
    <m/>
    <m/>
    <m/>
    <m/>
    <m/>
    <m/>
    <m/>
    <m/>
    <m/>
  </r>
  <r>
    <d v="2021-07-19T00:00:00"/>
    <s v="VZ-2021-000742"/>
    <x v="2"/>
    <n v="829400"/>
    <x v="0"/>
    <d v="2021-07-30T00:00:00"/>
    <d v="2021-09-03T00:00:00"/>
    <m/>
    <m/>
    <m/>
    <m/>
    <m/>
    <m/>
    <m/>
    <m/>
    <m/>
    <m/>
    <m/>
  </r>
  <r>
    <d v="2021-07-19T00:00:00"/>
    <s v="VZ-2021-000742"/>
    <x v="2"/>
    <n v="209626.5"/>
    <x v="0"/>
    <d v="2021-07-30T00:00:00"/>
    <d v="2021-09-03T00:00:00"/>
    <m/>
    <m/>
    <m/>
    <m/>
    <m/>
    <m/>
    <m/>
    <m/>
    <m/>
    <m/>
    <m/>
  </r>
  <r>
    <s v="opakovaná VZ"/>
    <s v="VZ-2021-000744"/>
    <x v="1"/>
    <n v="91000"/>
    <x v="2"/>
    <d v="2021-07-29T00:00:00"/>
    <d v="2021-08-10T00:00:00"/>
    <d v="2021-10-01T00:00:00"/>
    <m/>
    <m/>
    <m/>
    <d v="2021-10-01T00:00:00"/>
    <d v="2021-10-20T00:00:00"/>
    <m/>
    <m/>
    <m/>
    <m/>
    <m/>
  </r>
  <r>
    <s v="opakovaná VZ"/>
    <s v="VZ-2021-000744"/>
    <x v="1"/>
    <n v="180000"/>
    <x v="2"/>
    <d v="2021-07-29T00:00:00"/>
    <d v="2021-08-10T00:00:00"/>
    <m/>
    <m/>
    <m/>
    <m/>
    <m/>
    <m/>
    <m/>
    <m/>
    <m/>
    <m/>
    <m/>
  </r>
  <r>
    <d v="2021-08-27T00:00:00"/>
    <s v="VZ-2021-000745"/>
    <x v="8"/>
    <n v="5900000"/>
    <x v="2"/>
    <d v="2021-07-29T00:00:00"/>
    <d v="2021-08-10T00:00:00"/>
    <d v="2021-08-30T00:00:00"/>
    <m/>
    <m/>
    <m/>
    <d v="2021-08-30T00:00:00"/>
    <m/>
    <m/>
    <m/>
    <m/>
    <m/>
    <m/>
  </r>
  <r>
    <d v="2021-07-23T00:00:00"/>
    <s v="VZ-2021-000746"/>
    <x v="1"/>
    <n v="1980000"/>
    <x v="0"/>
    <d v="2021-07-30T00:00:00"/>
    <d v="2021-09-03T00:00:00"/>
    <d v="2021-09-22T00:00:00"/>
    <m/>
    <m/>
    <m/>
    <d v="2021-09-22T00:00:00"/>
    <d v="2021-10-15T00:00:00"/>
    <n v="7"/>
    <n v="35"/>
    <n v="19"/>
    <n v="23"/>
    <n v="84"/>
  </r>
  <r>
    <d v="2021-07-28T00:00:00"/>
    <s v="VZ-2021-000756"/>
    <x v="2"/>
    <n v="696600"/>
    <x v="0"/>
    <d v="2021-08-05T00:00:00"/>
    <d v="2021-09-07T00:00:00"/>
    <d v="2021-09-30T00:00:00"/>
    <m/>
    <m/>
    <m/>
    <d v="2021-09-30T00:00:00"/>
    <d v="2021-10-25T00:00:00"/>
    <n v="8"/>
    <n v="33"/>
    <n v="23"/>
    <n v="25"/>
    <n v="89"/>
  </r>
  <r>
    <d v="2021-07-28T00:00:00"/>
    <s v="VZ-2021-000756"/>
    <x v="2"/>
    <n v="2626140"/>
    <x v="0"/>
    <d v="2021-08-05T00:00:00"/>
    <d v="2021-09-07T00:00:00"/>
    <d v="2021-09-30T00:00:00"/>
    <m/>
    <m/>
    <m/>
    <d v="2021-09-30T00:00:00"/>
    <d v="2021-10-25T00:00:00"/>
    <n v="8"/>
    <n v="33"/>
    <n v="23"/>
    <n v="25"/>
    <n v="89"/>
  </r>
  <r>
    <d v="2021-07-28T00:00:00"/>
    <s v="VZ-2021-000756"/>
    <x v="2"/>
    <n v="840000"/>
    <x v="0"/>
    <d v="2021-08-05T00:00:00"/>
    <d v="2021-09-07T00:00:00"/>
    <m/>
    <m/>
    <m/>
    <m/>
    <m/>
    <m/>
    <m/>
    <m/>
    <m/>
    <m/>
    <m/>
  </r>
  <r>
    <d v="2021-07-28T00:00:00"/>
    <s v="VZ-2021-000756"/>
    <x v="2"/>
    <n v="2782400"/>
    <x v="0"/>
    <d v="2021-08-05T00:00:00"/>
    <d v="2021-09-07T00:00:00"/>
    <d v="2021-09-30T00:00:00"/>
    <m/>
    <m/>
    <m/>
    <d v="2021-09-30T00:00:00"/>
    <d v="2021-10-25T00:00:00"/>
    <n v="8"/>
    <n v="33"/>
    <n v="23"/>
    <n v="25"/>
    <n v="89"/>
  </r>
  <r>
    <d v="2021-07-28T00:00:00"/>
    <s v="VZ-2021-000756"/>
    <x v="2"/>
    <n v="9576025"/>
    <x v="0"/>
    <d v="2021-08-05T00:00:00"/>
    <d v="2021-09-07T00:00:00"/>
    <d v="2021-09-30T00:00:00"/>
    <m/>
    <m/>
    <m/>
    <d v="2021-09-30T00:00:00"/>
    <d v="2021-10-25T00:00:00"/>
    <n v="8"/>
    <n v="33"/>
    <n v="23"/>
    <n v="25"/>
    <n v="89"/>
  </r>
  <r>
    <d v="2021-08-02T00:00:00"/>
    <s v="VZ-2021-000757"/>
    <x v="2"/>
    <n v="3769850"/>
    <x v="0"/>
    <d v="2021-08-09T00:00:00"/>
    <d v="2021-09-10T00:00:00"/>
    <d v="2021-09-22T00:00:00"/>
    <m/>
    <m/>
    <m/>
    <d v="2021-09-22T00:00:00"/>
    <d v="2021-10-15T00:00:00"/>
    <n v="7"/>
    <n v="32"/>
    <n v="12"/>
    <n v="23"/>
    <n v="74"/>
  </r>
  <r>
    <d v="2021-08-02T00:00:00"/>
    <s v="VZ-2021-000758"/>
    <x v="0"/>
    <n v="9222167"/>
    <x v="0"/>
    <m/>
    <m/>
    <m/>
    <m/>
    <m/>
    <m/>
    <m/>
    <m/>
    <m/>
    <m/>
    <m/>
    <m/>
    <m/>
  </r>
  <r>
    <d v="2021-08-02T00:00:00"/>
    <s v="VZ-2021-000758"/>
    <x v="0"/>
    <n v="5034951"/>
    <x v="0"/>
    <m/>
    <m/>
    <m/>
    <m/>
    <m/>
    <m/>
    <m/>
    <m/>
    <m/>
    <m/>
    <m/>
    <m/>
    <m/>
  </r>
  <r>
    <d v="2021-08-02T00:00:00"/>
    <s v="VZ-2021-000759"/>
    <x v="0"/>
    <n v="22443749"/>
    <x v="0"/>
    <d v="2021-08-10T00:00:00"/>
    <d v="2021-09-13T00:00:00"/>
    <d v="2021-11-23T00:00:00"/>
    <m/>
    <m/>
    <m/>
    <d v="2021-11-23T00:00:00"/>
    <m/>
    <m/>
    <m/>
    <m/>
    <m/>
    <m/>
  </r>
  <r>
    <d v="2021-08-02T00:00:00"/>
    <s v="VZ-2021-000760"/>
    <x v="0"/>
    <n v="9228142"/>
    <x v="0"/>
    <d v="2021-08-04T00:00:00"/>
    <d v="2021-09-30T00:00:00"/>
    <d v="2021-11-02T00:00:00"/>
    <m/>
    <m/>
    <m/>
    <d v="2021-11-02T00:00:00"/>
    <m/>
    <m/>
    <m/>
    <m/>
    <m/>
    <m/>
  </r>
  <r>
    <d v="2021-08-02T00:00:00"/>
    <s v="VZ-2021-000760"/>
    <x v="0"/>
    <n v="1051472"/>
    <x v="0"/>
    <d v="2021-08-04T00:00:00"/>
    <d v="2021-09-30T00:00:00"/>
    <d v="2021-11-02T00:00:00"/>
    <m/>
    <m/>
    <m/>
    <d v="2021-11-02T00:00:00"/>
    <d v="2021-11-30T00:00:00"/>
    <n v="2"/>
    <n v="57"/>
    <n v="33"/>
    <n v="28"/>
    <n v="120"/>
  </r>
  <r>
    <d v="2021-08-02T00:00:00"/>
    <s v="VZ-2021-000761"/>
    <x v="0"/>
    <n v="8392785"/>
    <x v="0"/>
    <d v="2021-08-03T00:00:00"/>
    <d v="2021-09-06T00:00:00"/>
    <d v="2021-09-22T00:00:00"/>
    <m/>
    <m/>
    <m/>
    <d v="2021-09-22T00:00:00"/>
    <d v="2021-10-13T00:00:00"/>
    <n v="1"/>
    <n v="34"/>
    <n v="16"/>
    <n v="21"/>
    <n v="72"/>
  </r>
  <r>
    <d v="2021-07-28T00:00:00"/>
    <s v="VZ-2021-000762"/>
    <x v="0"/>
    <n v="157378"/>
    <x v="0"/>
    <d v="2021-08-24T00:00:00"/>
    <d v="2021-09-27T00:00:00"/>
    <m/>
    <m/>
    <m/>
    <m/>
    <m/>
    <m/>
    <m/>
    <m/>
    <m/>
    <m/>
    <m/>
  </r>
  <r>
    <d v="2021-07-28T00:00:00"/>
    <s v="VZ-2021-000762"/>
    <x v="0"/>
    <n v="785490"/>
    <x v="0"/>
    <d v="2021-08-24T00:00:00"/>
    <d v="2021-09-27T00:00:00"/>
    <m/>
    <m/>
    <m/>
    <m/>
    <m/>
    <m/>
    <m/>
    <m/>
    <m/>
    <m/>
    <m/>
  </r>
  <r>
    <d v="2021-07-28T00:00:00"/>
    <s v="VZ-2021-000762"/>
    <x v="0"/>
    <n v="493445"/>
    <x v="0"/>
    <d v="2021-08-24T00:00:00"/>
    <d v="2021-09-27T00:00:00"/>
    <m/>
    <m/>
    <m/>
    <m/>
    <m/>
    <m/>
    <m/>
    <m/>
    <m/>
    <m/>
    <m/>
  </r>
  <r>
    <d v="2021-07-28T00:00:00"/>
    <s v="VZ-2021-000762"/>
    <x v="0"/>
    <n v="268724"/>
    <x v="0"/>
    <d v="2021-08-24T00:00:00"/>
    <d v="2021-09-27T00:00:00"/>
    <d v="2021-10-18T00:00:00"/>
    <m/>
    <m/>
    <m/>
    <d v="2021-10-18T00:00:00"/>
    <d v="2021-11-19T00:00:00"/>
    <n v="27"/>
    <n v="34"/>
    <n v="21"/>
    <n v="32"/>
    <n v="114"/>
  </r>
  <r>
    <d v="2021-08-02T00:00:00"/>
    <s v="VZ-2021-000763"/>
    <x v="0"/>
    <n v="10670760"/>
    <x v="0"/>
    <d v="2021-09-16T00:00:00"/>
    <d v="2021-10-21T00:00:00"/>
    <d v="2021-11-23T00:00:00"/>
    <m/>
    <m/>
    <m/>
    <d v="2021-11-23T00:00:00"/>
    <m/>
    <m/>
    <m/>
    <m/>
    <m/>
    <m/>
  </r>
  <r>
    <d v="2021-08-02T00:00:00"/>
    <s v="VZ-2021-000764"/>
    <x v="0"/>
    <n v="1306314"/>
    <x v="0"/>
    <d v="2021-09-16T00:00:00"/>
    <d v="2021-12-12T00:00:00"/>
    <m/>
    <m/>
    <m/>
    <m/>
    <m/>
    <m/>
    <m/>
    <m/>
    <m/>
    <m/>
    <m/>
  </r>
  <r>
    <d v="2021-08-02T00:00:00"/>
    <s v="VZ-2021-000764"/>
    <x v="0"/>
    <n v="4717059"/>
    <x v="0"/>
    <d v="2021-09-16T00:00:00"/>
    <d v="2021-12-12T00:00:00"/>
    <m/>
    <m/>
    <m/>
    <m/>
    <m/>
    <m/>
    <m/>
    <m/>
    <m/>
    <m/>
    <m/>
  </r>
  <r>
    <d v="2021-08-02T00:00:00"/>
    <s v="VZ-2021-000764"/>
    <x v="0"/>
    <n v="7695003"/>
    <x v="0"/>
    <d v="2021-09-16T00:00:00"/>
    <d v="2021-12-12T00:00:00"/>
    <m/>
    <m/>
    <m/>
    <m/>
    <m/>
    <m/>
    <m/>
    <m/>
    <m/>
    <m/>
    <m/>
  </r>
  <r>
    <d v="2021-08-02T00:00:00"/>
    <s v="VZ-2021-000764"/>
    <x v="0"/>
    <n v="10242662"/>
    <x v="0"/>
    <d v="2021-09-16T00:00:00"/>
    <d v="2021-12-12T00:00:00"/>
    <m/>
    <m/>
    <m/>
    <m/>
    <m/>
    <m/>
    <m/>
    <m/>
    <m/>
    <m/>
    <m/>
  </r>
  <r>
    <d v="2021-07-29T00:00:00"/>
    <s v="VZ-2021-000765"/>
    <x v="1"/>
    <n v="14159500"/>
    <x v="0"/>
    <d v="2021-08-11T00:00:00"/>
    <d v="2021-09-14T00:00:00"/>
    <d v="2021-09-20T00:00:00"/>
    <m/>
    <m/>
    <m/>
    <d v="2021-09-20T00:00:00"/>
    <d v="2021-10-14T00:00:00"/>
    <n v="13"/>
    <n v="34"/>
    <n v="6"/>
    <n v="24"/>
    <n v="77"/>
  </r>
  <r>
    <d v="2021-07-29T00:00:00"/>
    <s v="VZ-2021-000766"/>
    <x v="2"/>
    <n v="118000"/>
    <x v="2"/>
    <d v="2021-08-04T00:00:00"/>
    <d v="2021-08-24T00:00:00"/>
    <d v="2021-11-05T00:00:00"/>
    <m/>
    <m/>
    <m/>
    <d v="2021-11-05T00:00:00"/>
    <d v="2021-11-29T00:00:00"/>
    <n v="6"/>
    <n v="20"/>
    <n v="73"/>
    <n v="24"/>
    <n v="123"/>
  </r>
  <r>
    <d v="2021-07-29T00:00:00"/>
    <s v="VZ-2021-000766"/>
    <x v="2"/>
    <n v="164000"/>
    <x v="2"/>
    <d v="2021-08-04T00:00:00"/>
    <d v="2021-08-24T00:00:00"/>
    <d v="2021-11-05T00:00:00"/>
    <m/>
    <m/>
    <m/>
    <d v="2021-11-05T00:00:00"/>
    <d v="2021-11-29T00:00:00"/>
    <n v="6"/>
    <n v="20"/>
    <n v="73"/>
    <n v="24"/>
    <n v="123"/>
  </r>
  <r>
    <d v="2021-07-29T00:00:00"/>
    <s v="VZ-2021-000766"/>
    <x v="2"/>
    <n v="495000"/>
    <x v="2"/>
    <d v="2021-08-04T00:00:00"/>
    <d v="2021-08-24T00:00:00"/>
    <d v="2021-11-05T00:00:00"/>
    <m/>
    <m/>
    <m/>
    <d v="2021-11-05T00:00:00"/>
    <d v="2021-12-13T00:00:00"/>
    <n v="6"/>
    <n v="20"/>
    <n v="73"/>
    <n v="38"/>
    <n v="137"/>
  </r>
  <r>
    <s v="opakovaná VZ"/>
    <s v="VZ-2021-000768"/>
    <x v="10"/>
    <n v="1100000"/>
    <x v="2"/>
    <d v="2021-08-04T00:00:00"/>
    <d v="2021-08-13T00:00:00"/>
    <d v="2021-09-20T00:00:00"/>
    <m/>
    <m/>
    <m/>
    <d v="2021-09-21T00:00:00"/>
    <d v="2021-10-15T00:00:00"/>
    <m/>
    <m/>
    <m/>
    <m/>
    <m/>
  </r>
  <r>
    <d v="2021-08-02T00:00:00"/>
    <s v="VZ-2021-000769"/>
    <x v="5"/>
    <n v="440000"/>
    <x v="2"/>
    <d v="2021-08-06T00:00:00"/>
    <d v="2021-08-17T00:00:00"/>
    <d v="2021-09-02T00:00:00"/>
    <m/>
    <m/>
    <m/>
    <d v="2021-09-03T00:00:00"/>
    <d v="2021-09-21T00:00:00"/>
    <n v="4"/>
    <n v="11"/>
    <n v="16"/>
    <n v="19"/>
    <n v="50"/>
  </r>
  <r>
    <s v="opakovaná VZ"/>
    <s v="VZ-2021-000770"/>
    <x v="1"/>
    <n v="159000"/>
    <x v="2"/>
    <d v="2021-08-06T00:00:00"/>
    <d v="2021-08-17T00:00:00"/>
    <d v="2021-09-02T00:00:00"/>
    <m/>
    <m/>
    <m/>
    <d v="2021-09-06T00:00:00"/>
    <d v="2021-10-06T00:00:00"/>
    <m/>
    <m/>
    <m/>
    <m/>
    <m/>
  </r>
  <r>
    <d v="2021-08-02T00:00:00"/>
    <s v="VZ-2021-000771"/>
    <x v="1"/>
    <n v="198000"/>
    <x v="2"/>
    <d v="2021-08-06T00:00:00"/>
    <d v="2021-08-17T00:00:00"/>
    <d v="2021-08-30T00:00:00"/>
    <m/>
    <m/>
    <m/>
    <d v="2021-08-30T00:00:00"/>
    <d v="2021-09-29T00:00:00"/>
    <n v="4"/>
    <n v="11"/>
    <n v="13"/>
    <n v="30"/>
    <n v="58"/>
  </r>
  <r>
    <d v="2021-08-04T00:00:00"/>
    <s v="VZ-2021-000772"/>
    <x v="1"/>
    <n v="200000"/>
    <x v="2"/>
    <d v="2021-08-06T00:00:00"/>
    <d v="2021-08-17T00:00:00"/>
    <d v="2021-08-30T00:00:00"/>
    <m/>
    <m/>
    <m/>
    <d v="2021-08-30T00:00:00"/>
    <d v="2021-09-23T00:00:00"/>
    <n v="2"/>
    <n v="11"/>
    <n v="13"/>
    <n v="24"/>
    <n v="50"/>
  </r>
  <r>
    <d v="2021-08-04T00:00:00"/>
    <s v="VZ-2021-000773"/>
    <x v="1"/>
    <n v="127000"/>
    <x v="2"/>
    <d v="2021-08-06T00:00:00"/>
    <d v="2021-08-17T00:00:00"/>
    <d v="2021-09-02T00:00:00"/>
    <m/>
    <m/>
    <m/>
    <d v="2021-09-02T00:00:00"/>
    <d v="2021-10-06T00:00:00"/>
    <n v="2"/>
    <n v="11"/>
    <n v="16"/>
    <n v="34"/>
    <n v="63"/>
  </r>
  <r>
    <d v="2021-08-04T00:00:00"/>
    <s v="VZ-2021-000774"/>
    <x v="1"/>
    <n v="1293000"/>
    <x v="2"/>
    <d v="2021-08-09T00:00:00"/>
    <d v="2021-08-17T00:00:00"/>
    <d v="2021-08-24T00:00:00"/>
    <m/>
    <m/>
    <m/>
    <d v="2021-08-24T00:00:00"/>
    <d v="2021-09-24T00:00:00"/>
    <n v="5"/>
    <n v="8"/>
    <n v="7"/>
    <n v="31"/>
    <n v="51"/>
  </r>
  <r>
    <d v="2021-08-02T00:00:00"/>
    <s v="VZ-2021-000775"/>
    <x v="2"/>
    <n v="4347826"/>
    <x v="0"/>
    <d v="2021-08-10T00:00:00"/>
    <d v="2021-09-20T00:00:00"/>
    <d v="2021-10-01T00:00:00"/>
    <m/>
    <m/>
    <m/>
    <d v="2021-10-01T00:00:00"/>
    <d v="2021-11-01T00:00:00"/>
    <n v="8"/>
    <n v="41"/>
    <n v="11"/>
    <n v="31"/>
    <n v="91"/>
  </r>
  <r>
    <d v="2021-08-04T00:00:00"/>
    <s v="VZ-2021-000777"/>
    <x v="1"/>
    <n v="1200000"/>
    <x v="2"/>
    <d v="2021-08-11T00:00:00"/>
    <d v="2021-08-20T00:00:00"/>
    <d v="2021-08-31T00:00:00"/>
    <m/>
    <m/>
    <m/>
    <d v="2021-09-01T00:00:00"/>
    <d v="2021-09-23T00:00:00"/>
    <n v="7"/>
    <n v="9"/>
    <n v="11"/>
    <n v="23"/>
    <n v="50"/>
  </r>
  <r>
    <d v="2021-08-06T00:00:00"/>
    <s v="VZ-2021-000779"/>
    <x v="2"/>
    <n v="2646000"/>
    <x v="1"/>
    <d v="2021-08-10T00:00:00"/>
    <d v="2021-09-20T00:00:00"/>
    <d v="2021-10-26T00:00:00"/>
    <m/>
    <m/>
    <m/>
    <d v="2021-10-26T00:00:00"/>
    <d v="2021-11-16T00:00:00"/>
    <n v="4"/>
    <n v="41"/>
    <n v="36"/>
    <n v="21"/>
    <n v="102"/>
  </r>
  <r>
    <d v="2021-08-06T00:00:00"/>
    <s v="VZ-2021-000780"/>
    <x v="2"/>
    <n v="3600000"/>
    <x v="0"/>
    <d v="2021-08-13T00:00:00"/>
    <d v="2021-10-25T00:00:00"/>
    <d v="2021-11-09T00:00:00"/>
    <m/>
    <m/>
    <m/>
    <d v="2021-11-09T00:00:00"/>
    <d v="2021-12-09T00:00:00"/>
    <n v="7"/>
    <n v="73"/>
    <n v="15"/>
    <n v="30"/>
    <n v="125"/>
  </r>
  <r>
    <s v="opakovaná VZ"/>
    <s v="VZ-2021-000782"/>
    <x v="1"/>
    <n v="615000"/>
    <x v="2"/>
    <d v="2021-08-11T00:00:00"/>
    <d v="2021-08-20T00:00:00"/>
    <d v="2021-08-24T00:00:00"/>
    <m/>
    <m/>
    <m/>
    <d v="2021-08-24T00:00:00"/>
    <d v="2021-09-20T00:00:00"/>
    <m/>
    <m/>
    <m/>
    <m/>
    <m/>
  </r>
  <r>
    <d v="2021-08-06T00:00:00"/>
    <s v="VZ-2021-000798"/>
    <x v="4"/>
    <n v="665000"/>
    <x v="2"/>
    <d v="2021-08-16T00:00:00"/>
    <d v="2021-09-03T00:00:00"/>
    <d v="2021-09-08T00:00:00"/>
    <m/>
    <m/>
    <m/>
    <d v="2021-09-09T00:00:00"/>
    <d v="2021-10-11T00:00:00"/>
    <n v="10"/>
    <n v="18"/>
    <n v="5"/>
    <n v="33"/>
    <n v="66"/>
  </r>
  <r>
    <d v="2021-08-05T00:00:00"/>
    <s v="VZ-2021-000800"/>
    <x v="8"/>
    <n v="2200000"/>
    <x v="2"/>
    <d v="2021-08-16T00:00:00"/>
    <d v="2021-08-24T00:00:00"/>
    <m/>
    <m/>
    <m/>
    <m/>
    <m/>
    <m/>
    <m/>
    <m/>
    <m/>
    <m/>
    <m/>
  </r>
  <r>
    <d v="2021-08-12T00:00:00"/>
    <s v="VZ-2021-000801"/>
    <x v="2"/>
    <n v="766927"/>
    <x v="0"/>
    <d v="2021-08-18T00:00:00"/>
    <d v="2021-09-21T00:00:00"/>
    <d v="2021-11-09T00:00:00"/>
    <m/>
    <m/>
    <m/>
    <d v="2021-11-09T00:00:00"/>
    <d v="2021-12-21T00:00:00"/>
    <n v="6"/>
    <n v="34"/>
    <n v="49"/>
    <n v="42"/>
    <n v="131"/>
  </r>
  <r>
    <d v="2021-08-12T00:00:00"/>
    <s v="VZ-2021-000801"/>
    <x v="2"/>
    <n v="62856"/>
    <x v="0"/>
    <d v="2021-08-18T00:00:00"/>
    <d v="2021-09-21T00:00:00"/>
    <m/>
    <m/>
    <m/>
    <m/>
    <m/>
    <m/>
    <m/>
    <m/>
    <m/>
    <m/>
    <m/>
  </r>
  <r>
    <d v="2021-08-12T00:00:00"/>
    <s v="VZ-2021-000801"/>
    <x v="2"/>
    <n v="1989243"/>
    <x v="0"/>
    <d v="2021-08-18T00:00:00"/>
    <d v="2021-09-21T00:00:00"/>
    <m/>
    <m/>
    <m/>
    <m/>
    <m/>
    <m/>
    <m/>
    <m/>
    <m/>
    <m/>
    <m/>
  </r>
  <r>
    <d v="2021-08-12T00:00:00"/>
    <s v="VZ-2021-000801"/>
    <x v="2"/>
    <n v="46480"/>
    <x v="0"/>
    <d v="2021-08-18T00:00:00"/>
    <d v="2021-09-21T00:00:00"/>
    <m/>
    <m/>
    <m/>
    <m/>
    <m/>
    <m/>
    <m/>
    <m/>
    <m/>
    <m/>
    <m/>
  </r>
  <r>
    <d v="2021-08-12T00:00:00"/>
    <s v="VZ-2021-000801"/>
    <x v="2"/>
    <n v="2940912"/>
    <x v="0"/>
    <d v="2021-08-18T00:00:00"/>
    <d v="2021-09-21T00:00:00"/>
    <m/>
    <m/>
    <m/>
    <m/>
    <m/>
    <m/>
    <m/>
    <m/>
    <m/>
    <m/>
    <m/>
  </r>
  <r>
    <d v="2021-08-04T00:00:00"/>
    <s v="VZ-2021-000802"/>
    <x v="1"/>
    <n v="260000"/>
    <x v="2"/>
    <d v="2021-08-16T00:00:00"/>
    <d v="2021-08-24T00:00:00"/>
    <m/>
    <m/>
    <m/>
    <m/>
    <m/>
    <m/>
    <m/>
    <m/>
    <m/>
    <m/>
    <m/>
  </r>
  <r>
    <d v="2021-08-05T00:00:00"/>
    <s v="VZ-2021-000805"/>
    <x v="0"/>
    <n v="2742831"/>
    <x v="1"/>
    <d v="2021-09-24T00:00:00"/>
    <d v="2021-10-14T00:00:00"/>
    <m/>
    <m/>
    <m/>
    <m/>
    <m/>
    <m/>
    <m/>
    <m/>
    <m/>
    <m/>
    <m/>
  </r>
  <r>
    <d v="2021-08-05T00:00:00"/>
    <s v="VZ-2021-000806"/>
    <x v="0"/>
    <n v="67032"/>
    <x v="2"/>
    <d v="2021-08-24T00:00:00"/>
    <d v="2021-09-08T00:00:00"/>
    <m/>
    <m/>
    <m/>
    <m/>
    <m/>
    <m/>
    <m/>
    <m/>
    <m/>
    <m/>
    <m/>
  </r>
  <r>
    <d v="2021-08-05T00:00:00"/>
    <s v="VZ-2021-000806"/>
    <x v="0"/>
    <n v="848811"/>
    <x v="2"/>
    <d v="2021-08-24T00:00:00"/>
    <d v="2021-09-08T00:00:00"/>
    <m/>
    <m/>
    <m/>
    <m/>
    <m/>
    <m/>
    <m/>
    <m/>
    <m/>
    <m/>
    <m/>
  </r>
  <r>
    <d v="2021-08-05T00:00:00"/>
    <s v="VZ-2021-000806"/>
    <x v="0"/>
    <n v="63800"/>
    <x v="2"/>
    <d v="2021-08-24T00:00:00"/>
    <d v="2021-09-08T00:00:00"/>
    <d v="2021-10-06T00:00:00"/>
    <m/>
    <m/>
    <m/>
    <d v="2021-10-06T00:00:00"/>
    <d v="2021-10-25T00:00:00"/>
    <n v="19"/>
    <n v="15"/>
    <n v="28"/>
    <n v="19"/>
    <n v="81"/>
  </r>
  <r>
    <d v="2021-08-05T00:00:00"/>
    <s v="VZ-2021-000806"/>
    <x v="0"/>
    <n v="22300"/>
    <x v="2"/>
    <d v="2021-08-24T00:00:00"/>
    <d v="2021-09-08T00:00:00"/>
    <m/>
    <m/>
    <m/>
    <m/>
    <m/>
    <m/>
    <m/>
    <m/>
    <m/>
    <m/>
    <m/>
  </r>
  <r>
    <d v="2021-08-05T00:00:00"/>
    <s v="VZ-2021-000806"/>
    <x v="0"/>
    <n v="58921"/>
    <x v="2"/>
    <d v="2021-08-24T00:00:00"/>
    <d v="2021-09-08T00:00:00"/>
    <m/>
    <m/>
    <m/>
    <m/>
    <m/>
    <m/>
    <m/>
    <m/>
    <m/>
    <m/>
    <m/>
  </r>
  <r>
    <d v="2021-08-05T00:00:00"/>
    <s v="VZ-2021-000806"/>
    <x v="0"/>
    <n v="63800"/>
    <x v="2"/>
    <d v="2021-08-24T00:00:00"/>
    <d v="2021-09-08T00:00:00"/>
    <m/>
    <m/>
    <m/>
    <m/>
    <m/>
    <m/>
    <m/>
    <m/>
    <m/>
    <m/>
    <m/>
  </r>
  <r>
    <d v="2021-08-05T00:00:00"/>
    <s v="VZ-2021-000806"/>
    <x v="0"/>
    <n v="36159"/>
    <x v="2"/>
    <d v="2021-08-24T00:00:00"/>
    <d v="2021-09-08T00:00:00"/>
    <d v="2021-10-06T00:00:00"/>
    <m/>
    <m/>
    <m/>
    <d v="2021-10-06T00:00:00"/>
    <d v="2021-10-25T00:00:00"/>
    <n v="19"/>
    <n v="15"/>
    <n v="28"/>
    <n v="19"/>
    <n v="81"/>
  </r>
  <r>
    <d v="2021-08-05T00:00:00"/>
    <s v="VZ-2021-000807"/>
    <x v="0"/>
    <n v="780693"/>
    <x v="2"/>
    <d v="2021-09-02T00:00:00"/>
    <d v="2021-09-20T00:00:00"/>
    <m/>
    <m/>
    <m/>
    <m/>
    <m/>
    <m/>
    <m/>
    <m/>
    <m/>
    <m/>
    <m/>
  </r>
  <r>
    <d v="2021-08-05T00:00:00"/>
    <s v="VZ-2021-000807"/>
    <x v="0"/>
    <n v="102837"/>
    <x v="2"/>
    <d v="2021-09-02T00:00:00"/>
    <d v="2021-09-20T00:00:00"/>
    <m/>
    <m/>
    <m/>
    <m/>
    <m/>
    <m/>
    <m/>
    <m/>
    <m/>
    <m/>
    <m/>
  </r>
  <r>
    <d v="2021-08-05T00:00:00"/>
    <s v="VZ-2021-000807"/>
    <x v="0"/>
    <n v="52000"/>
    <x v="2"/>
    <d v="2021-09-02T00:00:00"/>
    <d v="2021-09-20T00:00:00"/>
    <m/>
    <m/>
    <m/>
    <m/>
    <m/>
    <m/>
    <m/>
    <m/>
    <m/>
    <m/>
    <m/>
  </r>
  <r>
    <d v="2021-08-05T00:00:00"/>
    <s v="VZ-2021-000807"/>
    <x v="0"/>
    <n v="287058"/>
    <x v="2"/>
    <d v="2021-09-02T00:00:00"/>
    <d v="2021-09-20T00:00:00"/>
    <m/>
    <m/>
    <m/>
    <m/>
    <m/>
    <m/>
    <m/>
    <m/>
    <m/>
    <m/>
    <m/>
  </r>
  <r>
    <d v="2021-08-05T00:00:00"/>
    <s v="VZ-2021-000807"/>
    <x v="0"/>
    <n v="393592"/>
    <x v="2"/>
    <d v="2021-09-02T00:00:00"/>
    <d v="2021-09-20T00:00:00"/>
    <m/>
    <m/>
    <m/>
    <m/>
    <m/>
    <m/>
    <m/>
    <m/>
    <m/>
    <m/>
    <m/>
  </r>
  <r>
    <d v="2021-08-05T00:00:00"/>
    <s v="VZ-2021-000808"/>
    <x v="0"/>
    <n v="547196"/>
    <x v="2"/>
    <d v="2021-08-24T00:00:00"/>
    <d v="2021-09-13T00:00:00"/>
    <m/>
    <m/>
    <m/>
    <m/>
    <m/>
    <m/>
    <m/>
    <m/>
    <m/>
    <m/>
    <m/>
  </r>
  <r>
    <d v="2021-08-05T00:00:00"/>
    <s v="VZ-2021-000808"/>
    <x v="0"/>
    <n v="908400"/>
    <x v="2"/>
    <d v="2021-08-24T00:00:00"/>
    <d v="2021-09-13T00:00:00"/>
    <m/>
    <m/>
    <m/>
    <m/>
    <m/>
    <m/>
    <m/>
    <m/>
    <m/>
    <m/>
    <m/>
  </r>
  <r>
    <d v="2021-08-05T00:00:00"/>
    <s v="VZ-2021-000808"/>
    <x v="0"/>
    <n v="476120"/>
    <x v="2"/>
    <d v="2021-08-24T00:00:00"/>
    <d v="2021-09-13T00:00:00"/>
    <d v="2021-09-30T00:00:00"/>
    <m/>
    <m/>
    <m/>
    <d v="2021-09-30T00:00:00"/>
    <d v="2021-10-15T00:00:00"/>
    <n v="19"/>
    <n v="20"/>
    <n v="17"/>
    <n v="15"/>
    <n v="71"/>
  </r>
  <r>
    <d v="2021-08-05T00:00:00"/>
    <s v="VZ-2021-000808"/>
    <x v="0"/>
    <n v="54000"/>
    <x v="2"/>
    <d v="2021-08-24T00:00:00"/>
    <d v="2021-09-13T00:00:00"/>
    <m/>
    <m/>
    <m/>
    <m/>
    <m/>
    <m/>
    <m/>
    <m/>
    <m/>
    <m/>
    <m/>
  </r>
  <r>
    <d v="2021-08-05T00:00:00"/>
    <s v="VZ-2021-000809"/>
    <x v="0"/>
    <n v="486884"/>
    <x v="1"/>
    <d v="2021-08-24T00:00:00"/>
    <d v="2021-09-24T00:00:00"/>
    <m/>
    <m/>
    <m/>
    <m/>
    <m/>
    <m/>
    <m/>
    <m/>
    <m/>
    <m/>
    <m/>
  </r>
  <r>
    <d v="2021-08-05T00:00:00"/>
    <s v="VZ-2021-000809"/>
    <x v="0"/>
    <n v="70812"/>
    <x v="1"/>
    <d v="2021-08-24T00:00:00"/>
    <d v="2021-09-24T00:00:00"/>
    <m/>
    <m/>
    <m/>
    <m/>
    <m/>
    <m/>
    <m/>
    <m/>
    <m/>
    <m/>
    <m/>
  </r>
  <r>
    <d v="2021-08-05T00:00:00"/>
    <s v="VZ-2021-000810"/>
    <x v="0"/>
    <n v="355660"/>
    <x v="1"/>
    <d v="2021-09-13T00:00:00"/>
    <d v="2021-09-30T00:00:00"/>
    <d v="2021-11-09T00:00:00"/>
    <m/>
    <m/>
    <m/>
    <d v="2021-11-09T00:00:00"/>
    <d v="2021-12-06T00:00:00"/>
    <n v="39"/>
    <n v="17"/>
    <n v="40"/>
    <n v="27"/>
    <n v="123"/>
  </r>
  <r>
    <d v="2021-08-05T00:00:00"/>
    <s v="VZ-2021-000810"/>
    <x v="0"/>
    <n v="1149222"/>
    <x v="1"/>
    <d v="2021-09-13T00:00:00"/>
    <d v="2021-09-30T00:00:00"/>
    <d v="2021-11-09T00:00:00"/>
    <m/>
    <m/>
    <m/>
    <d v="2021-11-09T00:00:00"/>
    <d v="2021-12-14T00:00:00"/>
    <n v="39"/>
    <n v="17"/>
    <n v="40"/>
    <n v="35"/>
    <n v="131"/>
  </r>
  <r>
    <d v="2021-08-05T00:00:00"/>
    <s v="VZ-2021-000810"/>
    <x v="0"/>
    <n v="571720"/>
    <x v="1"/>
    <d v="2021-09-13T00:00:00"/>
    <d v="2021-09-30T00:00:00"/>
    <m/>
    <m/>
    <m/>
    <m/>
    <m/>
    <m/>
    <m/>
    <m/>
    <m/>
    <m/>
    <m/>
  </r>
  <r>
    <d v="2021-08-12T00:00:00"/>
    <s v="VZ-2021-000811"/>
    <x v="0"/>
    <n v="5035780"/>
    <x v="0"/>
    <d v="2021-08-18T00:00:00"/>
    <d v="2021-09-21T00:00:00"/>
    <d v="2021-09-30T00:00:00"/>
    <m/>
    <m/>
    <m/>
    <d v="2021-09-30T00:00:00"/>
    <d v="2021-11-01T00:00:00"/>
    <n v="6"/>
    <n v="34"/>
    <n v="9"/>
    <n v="32"/>
    <n v="81"/>
  </r>
  <r>
    <d v="2021-08-12T00:00:00"/>
    <s v="VZ-2021-000812"/>
    <x v="0"/>
    <n v="43696800"/>
    <x v="0"/>
    <d v="2021-08-23T00:00:00"/>
    <d v="2021-09-27T00:00:00"/>
    <d v="2021-10-26T00:00:00"/>
    <m/>
    <m/>
    <m/>
    <d v="2021-10-26T00:00:00"/>
    <d v="2021-11-30T00:00:00"/>
    <n v="11"/>
    <n v="35"/>
    <n v="29"/>
    <n v="35"/>
    <n v="110"/>
  </r>
  <r>
    <d v="2021-08-12T00:00:00"/>
    <s v="VZ-2021-000812"/>
    <x v="0"/>
    <n v="3195881"/>
    <x v="0"/>
    <d v="2021-08-23T00:00:00"/>
    <d v="2021-09-27T00:00:00"/>
    <d v="2021-10-26T00:00:00"/>
    <m/>
    <m/>
    <m/>
    <d v="2021-10-26T00:00:00"/>
    <d v="2021-12-14T00:00:00"/>
    <n v="11"/>
    <n v="35"/>
    <n v="29"/>
    <n v="49"/>
    <n v="124"/>
  </r>
  <r>
    <d v="2021-08-12T00:00:00"/>
    <s v="VZ-2021-000813"/>
    <x v="0"/>
    <n v="4482965"/>
    <x v="0"/>
    <d v="2021-08-18T00:00:00"/>
    <d v="2021-09-22T00:00:00"/>
    <d v="2021-10-13T00:00:00"/>
    <m/>
    <m/>
    <m/>
    <d v="2021-10-13T00:00:00"/>
    <d v="2021-11-10T00:00:00"/>
    <n v="6"/>
    <n v="35"/>
    <n v="21"/>
    <n v="28"/>
    <n v="90"/>
  </r>
  <r>
    <d v="2021-08-12T00:00:00"/>
    <s v="VZ-2021-000813"/>
    <x v="0"/>
    <n v="100263"/>
    <x v="0"/>
    <d v="2021-08-18T00:00:00"/>
    <d v="2021-09-22T00:00:00"/>
    <d v="2021-10-13T00:00:00"/>
    <m/>
    <m/>
    <m/>
    <d v="2021-10-13T00:00:00"/>
    <d v="2021-11-10T00:00:00"/>
    <n v="6"/>
    <n v="35"/>
    <n v="21"/>
    <n v="28"/>
    <n v="90"/>
  </r>
  <r>
    <d v="2021-08-12T00:00:00"/>
    <s v="VZ-2021-000813"/>
    <x v="0"/>
    <n v="1437240"/>
    <x v="0"/>
    <d v="2021-08-18T00:00:00"/>
    <d v="2021-09-22T00:00:00"/>
    <m/>
    <m/>
    <m/>
    <m/>
    <m/>
    <m/>
    <m/>
    <m/>
    <m/>
    <m/>
    <m/>
  </r>
  <r>
    <d v="2021-08-12T00:00:00"/>
    <s v="VZ-2021-000813"/>
    <x v="0"/>
    <n v="12470963"/>
    <x v="0"/>
    <d v="2021-08-18T00:00:00"/>
    <d v="2021-09-22T00:00:00"/>
    <m/>
    <m/>
    <m/>
    <m/>
    <m/>
    <m/>
    <m/>
    <m/>
    <m/>
    <m/>
    <m/>
  </r>
  <r>
    <d v="2021-08-12T00:00:00"/>
    <s v="VZ-2021-000813"/>
    <x v="0"/>
    <n v="368784"/>
    <x v="0"/>
    <d v="2021-08-18T00:00:00"/>
    <d v="2021-09-22T00:00:00"/>
    <m/>
    <m/>
    <m/>
    <m/>
    <m/>
    <m/>
    <m/>
    <m/>
    <m/>
    <m/>
    <m/>
  </r>
  <r>
    <d v="2021-08-12T00:00:00"/>
    <s v="VZ-2021-000813"/>
    <x v="0"/>
    <n v="3451390"/>
    <x v="0"/>
    <d v="2021-08-18T00:00:00"/>
    <d v="2021-09-22T00:00:00"/>
    <d v="2021-10-13T00:00:00"/>
    <m/>
    <m/>
    <m/>
    <d v="2021-10-13T00:00:00"/>
    <d v="2021-11-04T00:00:00"/>
    <n v="6"/>
    <n v="35"/>
    <n v="21"/>
    <n v="22"/>
    <n v="84"/>
  </r>
  <r>
    <d v="2021-08-12T00:00:00"/>
    <s v="VZ-2021-000813"/>
    <x v="0"/>
    <n v="8302868"/>
    <x v="0"/>
    <d v="2021-08-18T00:00:00"/>
    <d v="2021-09-22T00:00:00"/>
    <d v="2021-10-13T00:00:00"/>
    <m/>
    <m/>
    <m/>
    <d v="2021-10-13T00:00:00"/>
    <d v="2021-11-08T00:00:00"/>
    <n v="6"/>
    <n v="35"/>
    <n v="21"/>
    <n v="26"/>
    <n v="88"/>
  </r>
  <r>
    <d v="2021-08-12T00:00:00"/>
    <s v="VZ-2021-000813"/>
    <x v="0"/>
    <n v="365338"/>
    <x v="0"/>
    <d v="2021-08-18T00:00:00"/>
    <d v="2021-09-22T00:00:00"/>
    <d v="2021-10-13T00:00:00"/>
    <m/>
    <m/>
    <m/>
    <d v="2021-10-13T00:00:00"/>
    <d v="2021-11-04T00:00:00"/>
    <n v="6"/>
    <n v="35"/>
    <n v="21"/>
    <n v="22"/>
    <n v="84"/>
  </r>
  <r>
    <d v="2021-08-12T00:00:00"/>
    <s v="VZ-2021-000814"/>
    <x v="0"/>
    <n v="31368194"/>
    <x v="0"/>
    <d v="2021-08-17T00:00:00"/>
    <d v="2021-09-24T00:00:00"/>
    <d v="2021-10-14T00:00:00"/>
    <m/>
    <m/>
    <m/>
    <d v="2021-10-14T00:00:00"/>
    <d v="2021-11-25T00:00:00"/>
    <n v="5"/>
    <n v="38"/>
    <n v="20"/>
    <n v="42"/>
    <n v="105"/>
  </r>
  <r>
    <d v="2021-08-12T00:00:00"/>
    <s v="VZ-2021-000814"/>
    <x v="0"/>
    <n v="8730573"/>
    <x v="0"/>
    <d v="2021-08-17T00:00:00"/>
    <d v="2021-09-24T00:00:00"/>
    <d v="2021-10-14T00:00:00"/>
    <m/>
    <m/>
    <m/>
    <d v="2021-10-14T00:00:00"/>
    <d v="2021-11-29T00:00:00"/>
    <n v="5"/>
    <n v="38"/>
    <n v="20"/>
    <n v="46"/>
    <n v="109"/>
  </r>
  <r>
    <d v="2021-08-12T00:00:00"/>
    <s v="VZ-2021-000814"/>
    <x v="0"/>
    <n v="43022990"/>
    <x v="0"/>
    <d v="2021-08-17T00:00:00"/>
    <d v="2021-09-24T00:00:00"/>
    <d v="2021-10-14T00:00:00"/>
    <m/>
    <m/>
    <m/>
    <d v="2021-10-14T00:00:00"/>
    <d v="2021-11-29T00:00:00"/>
    <n v="5"/>
    <n v="38"/>
    <n v="20"/>
    <n v="46"/>
    <n v="109"/>
  </r>
  <r>
    <d v="2021-08-12T00:00:00"/>
    <s v="VZ-2021-000814"/>
    <x v="0"/>
    <n v="5171688"/>
    <x v="0"/>
    <d v="2021-08-17T00:00:00"/>
    <d v="2021-09-24T00:00:00"/>
    <m/>
    <m/>
    <m/>
    <m/>
    <m/>
    <m/>
    <m/>
    <m/>
    <m/>
    <m/>
    <m/>
  </r>
  <r>
    <d v="2021-08-04T00:00:00"/>
    <s v="VZ-2021-000817"/>
    <x v="2"/>
    <n v="700000"/>
    <x v="2"/>
    <d v="2021-08-18T00:00:00"/>
    <d v="2021-09-03T00:00:00"/>
    <m/>
    <m/>
    <m/>
    <m/>
    <m/>
    <m/>
    <m/>
    <m/>
    <m/>
    <m/>
    <m/>
  </r>
  <r>
    <d v="2021-08-12T00:00:00"/>
    <s v="VZ-2021-000822"/>
    <x v="5"/>
    <n v="843000"/>
    <x v="2"/>
    <d v="2021-08-18T00:00:00"/>
    <d v="2021-08-31T00:00:00"/>
    <d v="2021-10-27T00:00:00"/>
    <m/>
    <m/>
    <m/>
    <d v="2021-10-27T00:00:00"/>
    <d v="2021-11-22T00:00:00"/>
    <n v="6"/>
    <n v="13"/>
    <n v="57"/>
    <n v="26"/>
    <n v="102"/>
  </r>
  <r>
    <d v="2021-08-12T00:00:00"/>
    <s v="VZ-2021-000823"/>
    <x v="1"/>
    <n v="939600"/>
    <x v="2"/>
    <d v="2021-08-20T00:00:00"/>
    <d v="2021-09-06T00:00:00"/>
    <d v="2021-10-11T00:00:00"/>
    <m/>
    <m/>
    <m/>
    <d v="2021-10-11T00:00:00"/>
    <d v="2021-10-25T00:00:00"/>
    <n v="8"/>
    <n v="17"/>
    <n v="35"/>
    <n v="14"/>
    <n v="74"/>
  </r>
  <r>
    <d v="2021-08-16T00:00:00"/>
    <s v="VZ-2021-000825"/>
    <x v="3"/>
    <n v="137766923.69999999"/>
    <x v="0"/>
    <d v="2021-09-21T00:00:00"/>
    <d v="2021-10-27T00:00:00"/>
    <d v="2021-11-09T00:00:00"/>
    <m/>
    <m/>
    <m/>
    <d v="2021-11-09T00:00:00"/>
    <m/>
    <m/>
    <m/>
    <m/>
    <m/>
    <m/>
  </r>
  <r>
    <s v="opakovaná VZ"/>
    <s v="VZ-2021-000828"/>
    <x v="1"/>
    <n v="255800"/>
    <x v="2"/>
    <d v="2021-08-19T00:00:00"/>
    <d v="2021-08-31T00:00:00"/>
    <d v="2021-09-10T00:00:00"/>
    <m/>
    <m/>
    <m/>
    <d v="2021-09-10T00:00:00"/>
    <d v="2021-10-01T00:00:00"/>
    <m/>
    <m/>
    <m/>
    <m/>
    <m/>
  </r>
  <r>
    <d v="2021-08-17T00:00:00"/>
    <s v="VZ-2021-000829"/>
    <x v="2"/>
    <n v="2653260"/>
    <x v="1"/>
    <d v="2021-08-25T00:00:00"/>
    <d v="2021-09-13T00:00:00"/>
    <d v="2021-10-05T00:00:00"/>
    <m/>
    <m/>
    <m/>
    <d v="2021-10-05T00:00:00"/>
    <d v="2021-11-01T00:00:00"/>
    <n v="8"/>
    <n v="19"/>
    <n v="22"/>
    <n v="27"/>
    <n v="76"/>
  </r>
  <r>
    <d v="2021-08-17T00:00:00"/>
    <s v="VZ-2021-000840"/>
    <x v="2"/>
    <n v="55920000"/>
    <x v="0"/>
    <d v="2021-08-23T00:00:00"/>
    <d v="2021-10-20T00:00:00"/>
    <m/>
    <m/>
    <m/>
    <m/>
    <m/>
    <m/>
    <m/>
    <m/>
    <m/>
    <m/>
    <m/>
  </r>
  <r>
    <d v="2021-09-03T00:00:00"/>
    <s v="VZ-2021-000842"/>
    <x v="14"/>
    <n v="750000"/>
    <x v="2"/>
    <d v="2021-09-06T00:00:00"/>
    <d v="2021-09-10T00:00:00"/>
    <m/>
    <m/>
    <m/>
    <m/>
    <m/>
    <m/>
    <m/>
    <m/>
    <m/>
    <m/>
    <m/>
  </r>
  <r>
    <d v="2021-08-19T00:00:00"/>
    <s v="VZ-2021-000848"/>
    <x v="1"/>
    <n v="1651500"/>
    <x v="0"/>
    <d v="2021-10-06T00:00:00"/>
    <d v="2021-11-09T00:00:00"/>
    <d v="2021-12-16T00:00:00"/>
    <m/>
    <m/>
    <m/>
    <d v="2021-12-16T00:00:00"/>
    <m/>
    <m/>
    <m/>
    <m/>
    <m/>
    <m/>
  </r>
  <r>
    <d v="2021-08-19T00:00:00"/>
    <s v="VZ-2021-000848"/>
    <x v="11"/>
    <n v="2035000"/>
    <x v="0"/>
    <d v="2021-10-06T00:00:00"/>
    <d v="2021-11-09T00:00:00"/>
    <d v="2021-12-16T00:00:00"/>
    <m/>
    <m/>
    <m/>
    <d v="2021-12-16T00:00:00"/>
    <m/>
    <m/>
    <m/>
    <m/>
    <m/>
    <m/>
  </r>
  <r>
    <d v="2021-08-19T00:00:00"/>
    <s v="VZ-2021-000848"/>
    <x v="11"/>
    <n v="4194500"/>
    <x v="0"/>
    <d v="2021-10-06T00:00:00"/>
    <d v="2021-11-09T00:00:00"/>
    <d v="2021-12-16T00:00:00"/>
    <m/>
    <m/>
    <m/>
    <d v="2021-12-16T00:00:00"/>
    <m/>
    <m/>
    <m/>
    <m/>
    <m/>
    <m/>
  </r>
  <r>
    <d v="2021-08-19T00:00:00"/>
    <s v="VZ-2021-000848"/>
    <x v="1"/>
    <n v="125000"/>
    <x v="0"/>
    <d v="2021-10-06T00:00:00"/>
    <d v="2021-11-09T00:00:00"/>
    <d v="2021-12-16T00:00:00"/>
    <m/>
    <m/>
    <m/>
    <d v="2021-12-16T00:00:00"/>
    <m/>
    <m/>
    <m/>
    <m/>
    <m/>
    <m/>
  </r>
  <r>
    <d v="2021-08-19T00:00:00"/>
    <s v="VZ-2021-000848"/>
    <x v="1"/>
    <n v="1770000"/>
    <x v="0"/>
    <d v="2021-10-06T00:00:00"/>
    <d v="2021-11-09T00:00:00"/>
    <d v="2021-12-16T00:00:00"/>
    <m/>
    <m/>
    <m/>
    <d v="2021-12-16T00:00:00"/>
    <m/>
    <m/>
    <m/>
    <m/>
    <m/>
    <m/>
  </r>
  <r>
    <d v="2021-08-19T00:00:00"/>
    <s v="VZ-2021-000849"/>
    <x v="11"/>
    <n v="2585185"/>
    <x v="0"/>
    <d v="2021-09-24T00:00:00"/>
    <d v="2021-10-27T00:00:00"/>
    <d v="2021-11-25T00:00:00"/>
    <m/>
    <m/>
    <m/>
    <d v="2021-11-25T00:00:00"/>
    <d v="2021-12-27T00:00:00"/>
    <n v="36"/>
    <n v="33"/>
    <n v="29"/>
    <n v="32"/>
    <n v="130"/>
  </r>
  <r>
    <d v="2021-08-19T00:00:00"/>
    <s v="VZ-2021-000849"/>
    <x v="1"/>
    <n v="255000"/>
    <x v="0"/>
    <d v="2021-09-24T00:00:00"/>
    <d v="2021-10-27T00:00:00"/>
    <d v="2021-11-25T00:00:00"/>
    <m/>
    <m/>
    <m/>
    <d v="2021-11-25T00:00:00"/>
    <d v="2021-12-27T00:00:00"/>
    <n v="36"/>
    <n v="33"/>
    <n v="29"/>
    <n v="32"/>
    <n v="130"/>
  </r>
  <r>
    <d v="2021-08-17T00:00:00"/>
    <s v="VZ-2021-000872"/>
    <x v="4"/>
    <n v="4600000"/>
    <x v="0"/>
    <d v="2021-09-06T00:00:00"/>
    <d v="2021-10-11T00:00:00"/>
    <d v="2021-11-24T00:00:00"/>
    <m/>
    <m/>
    <m/>
    <d v="2021-11-24T00:00:00"/>
    <m/>
    <m/>
    <m/>
    <m/>
    <m/>
    <m/>
  </r>
  <r>
    <d v="2021-08-17T00:00:00"/>
    <s v="VZ-2021-000872"/>
    <x v="4"/>
    <n v="1600000"/>
    <x v="0"/>
    <d v="2021-09-06T00:00:00"/>
    <d v="2021-10-11T00:00:00"/>
    <d v="2021-11-24T00:00:00"/>
    <m/>
    <m/>
    <m/>
    <d v="2021-11-24T00:00:00"/>
    <m/>
    <m/>
    <m/>
    <m/>
    <m/>
    <m/>
  </r>
  <r>
    <d v="2021-08-17T00:00:00"/>
    <s v="VZ-2021-000874"/>
    <x v="2"/>
    <n v="8723460"/>
    <x v="0"/>
    <d v="2021-09-23T00:00:00"/>
    <d v="2021-10-26T00:00:00"/>
    <d v="2021-12-09T00:00:00"/>
    <m/>
    <m/>
    <m/>
    <d v="2021-12-09T00:00:00"/>
    <m/>
    <m/>
    <m/>
    <m/>
    <m/>
    <m/>
  </r>
  <r>
    <d v="2021-08-31T00:00:00"/>
    <s v="VZ-2021-000881"/>
    <x v="0"/>
    <n v="1888200"/>
    <x v="2"/>
    <d v="2021-09-01T00:00:00"/>
    <d v="2021-09-07T00:00:00"/>
    <m/>
    <m/>
    <m/>
    <m/>
    <m/>
    <m/>
    <m/>
    <m/>
    <m/>
    <m/>
    <m/>
  </r>
  <r>
    <d v="2021-08-17T00:00:00"/>
    <s v="VZ-2021-000884"/>
    <x v="8"/>
    <n v="3000000"/>
    <x v="2"/>
    <m/>
    <m/>
    <m/>
    <m/>
    <m/>
    <m/>
    <m/>
    <m/>
    <m/>
    <m/>
    <m/>
    <m/>
    <m/>
  </r>
  <r>
    <s v="opakovaná VZ"/>
    <s v="VZ-2021-000885"/>
    <x v="10"/>
    <n v="1998000"/>
    <x v="2"/>
    <d v="2021-09-03T00:00:00"/>
    <d v="2021-09-13T00:00:00"/>
    <d v="2021-09-23T00:00:00"/>
    <m/>
    <m/>
    <m/>
    <d v="2021-09-23T00:00:00"/>
    <d v="2021-10-06T00:00:00"/>
    <m/>
    <m/>
    <m/>
    <m/>
    <m/>
  </r>
  <r>
    <s v="opakovaná VZ"/>
    <s v="VZ-2021-000886"/>
    <x v="8"/>
    <n v="2200000"/>
    <x v="2"/>
    <d v="2021-09-07T00:00:00"/>
    <d v="2021-09-16T00:00:00"/>
    <m/>
    <m/>
    <m/>
    <m/>
    <m/>
    <m/>
    <m/>
    <m/>
    <m/>
    <m/>
    <m/>
  </r>
  <r>
    <s v="opakovaná VZ"/>
    <s v="VZ-2021-000887"/>
    <x v="1"/>
    <n v="133000"/>
    <x v="2"/>
    <d v="2021-09-03T00:00:00"/>
    <d v="2021-09-16T00:00:00"/>
    <d v="2021-10-01T00:00:00"/>
    <m/>
    <m/>
    <m/>
    <d v="2021-10-01T00:00:00"/>
    <d v="2021-11-01T00:00:00"/>
    <m/>
    <m/>
    <m/>
    <m/>
    <m/>
  </r>
  <r>
    <d v="2021-08-25T00:00:00"/>
    <s v="VZ-2021-000888"/>
    <x v="1"/>
    <n v="119885"/>
    <x v="2"/>
    <d v="2021-09-03T00:00:00"/>
    <d v="2021-09-16T00:00:00"/>
    <d v="2021-10-01T00:00:00"/>
    <m/>
    <m/>
    <m/>
    <d v="2021-10-05T00:00:00"/>
    <d v="2021-11-05T00:00:00"/>
    <n v="9"/>
    <n v="13"/>
    <n v="15"/>
    <n v="35"/>
    <n v="72"/>
  </r>
  <r>
    <d v="2021-08-31T00:00:00"/>
    <s v="VZ-2021-000890"/>
    <x v="2"/>
    <n v="2096620"/>
    <x v="1"/>
    <d v="2021-09-06T00:00:00"/>
    <d v="2021-09-22T00:00:00"/>
    <d v="2021-10-01T00:00:00"/>
    <m/>
    <m/>
    <m/>
    <d v="2021-10-01T00:00:00"/>
    <d v="2021-10-25T00:00:00"/>
    <n v="6"/>
    <n v="16"/>
    <n v="9"/>
    <n v="24"/>
    <n v="55"/>
  </r>
  <r>
    <s v="opakovaná VZ"/>
    <s v="VZ-2021-000891"/>
    <x v="2"/>
    <n v="2100000"/>
    <x v="1"/>
    <d v="2021-09-14T00:00:00"/>
    <d v="2021-10-25T00:00:00"/>
    <d v="2021-11-04T00:00:00"/>
    <m/>
    <m/>
    <m/>
    <d v="2021-11-04T00:00:00"/>
    <d v="2021-12-07T00:00:00"/>
    <m/>
    <m/>
    <m/>
    <m/>
    <m/>
  </r>
  <r>
    <d v="2021-08-25T00:00:00"/>
    <s v="VZ-2021-000892"/>
    <x v="1"/>
    <n v="524800"/>
    <x v="2"/>
    <d v="2021-09-06T00:00:00"/>
    <d v="2021-09-16T00:00:00"/>
    <d v="2021-10-01T00:00:00"/>
    <m/>
    <m/>
    <m/>
    <d v="2021-10-01T00:00:00"/>
    <d v="2021-11-12T00:00:00"/>
    <n v="12"/>
    <n v="10"/>
    <n v="15"/>
    <n v="42"/>
    <n v="79"/>
  </r>
  <r>
    <s v="opakovaná VZ"/>
    <s v="VZ-2021-000894"/>
    <x v="1"/>
    <n v="6420000"/>
    <x v="0"/>
    <d v="2021-09-03T00:00:00"/>
    <d v="2021-10-05T00:00:00"/>
    <d v="2021-10-14T00:00:00"/>
    <m/>
    <m/>
    <m/>
    <d v="2021-10-14T00:00:00"/>
    <d v="2021-11-16T00:00:00"/>
    <m/>
    <m/>
    <m/>
    <m/>
    <m/>
  </r>
  <r>
    <d v="2021-08-25T00:00:00"/>
    <s v="VZ-2021-000895"/>
    <x v="8"/>
    <n v="26000000"/>
    <x v="1"/>
    <d v="2021-09-22T00:00:00"/>
    <d v="2021-10-13T00:00:00"/>
    <d v="2021-11-03T00:00:00"/>
    <m/>
    <m/>
    <m/>
    <d v="2021-11-03T00:00:00"/>
    <d v="2021-12-03T00:00:00"/>
    <n v="28"/>
    <n v="21"/>
    <n v="21"/>
    <n v="30"/>
    <n v="100"/>
  </r>
  <r>
    <d v="2021-08-27T00:00:00"/>
    <s v="VZ-2021-000898"/>
    <x v="10"/>
    <n v="2477400"/>
    <x v="1"/>
    <d v="2021-09-08T00:00:00"/>
    <d v="2021-09-30T00:00:00"/>
    <d v="2021-10-18T00:00:00"/>
    <m/>
    <m/>
    <m/>
    <d v="2021-10-18T00:00:00"/>
    <d v="2021-11-11T00:00:00"/>
    <n v="12"/>
    <n v="22"/>
    <n v="18"/>
    <n v="24"/>
    <n v="76"/>
  </r>
  <r>
    <d v="2021-08-17T00:00:00"/>
    <s v="VZ-2021-000900"/>
    <x v="19"/>
    <n v="150000"/>
    <x v="2"/>
    <d v="2021-09-08T00:00:00"/>
    <d v="2021-09-17T00:00:00"/>
    <m/>
    <m/>
    <m/>
    <m/>
    <m/>
    <m/>
    <m/>
    <m/>
    <m/>
    <m/>
    <m/>
  </r>
  <r>
    <d v="2021-08-27T00:00:00"/>
    <s v="VZ-2021-000903"/>
    <x v="8"/>
    <n v="450000"/>
    <x v="2"/>
    <d v="2021-09-07T00:00:00"/>
    <d v="2021-09-16T00:00:00"/>
    <m/>
    <m/>
    <m/>
    <m/>
    <m/>
    <m/>
    <m/>
    <m/>
    <m/>
    <m/>
    <m/>
  </r>
  <r>
    <d v="2021-08-20T00:00:00"/>
    <s v="VZ-2021-000906"/>
    <x v="19"/>
    <n v="495000"/>
    <x v="2"/>
    <d v="2021-09-22T00:00:00"/>
    <d v="2021-10-08T00:00:00"/>
    <d v="2021-10-14T00:00:00"/>
    <m/>
    <m/>
    <m/>
    <d v="2021-10-15T00:00:00"/>
    <d v="2021-11-11T00:00:00"/>
    <n v="33"/>
    <n v="16"/>
    <n v="6"/>
    <n v="28"/>
    <n v="83"/>
  </r>
  <r>
    <d v="2021-09-01T00:00:00"/>
    <s v="VZ-2021-000910"/>
    <x v="1"/>
    <n v="360000"/>
    <x v="2"/>
    <d v="2021-10-14T00:00:00"/>
    <d v="2021-10-27T00:00:00"/>
    <m/>
    <m/>
    <m/>
    <m/>
    <m/>
    <m/>
    <m/>
    <m/>
    <m/>
    <m/>
    <m/>
  </r>
  <r>
    <d v="2021-09-06T00:00:00"/>
    <s v="VZ-2021-000913"/>
    <x v="1"/>
    <n v="4847000"/>
    <x v="0"/>
    <d v="2021-09-13T00:00:00"/>
    <d v="2021-10-15T00:00:00"/>
    <d v="2021-11-11T00:00:00"/>
    <m/>
    <m/>
    <m/>
    <d v="2021-11-11T00:00:00"/>
    <d v="2021-12-27T00:00:00"/>
    <n v="7"/>
    <n v="32"/>
    <n v="27"/>
    <n v="46"/>
    <n v="112"/>
  </r>
  <r>
    <d v="2021-09-06T00:00:00"/>
    <s v="VZ-2021-000913"/>
    <x v="1"/>
    <n v="878000"/>
    <x v="0"/>
    <d v="2021-09-13T00:00:00"/>
    <d v="2021-10-15T00:00:00"/>
    <d v="2021-11-11T00:00:00"/>
    <m/>
    <m/>
    <m/>
    <d v="2021-11-11T00:00:00"/>
    <d v="2021-12-27T00:00:00"/>
    <n v="7"/>
    <n v="32"/>
    <n v="27"/>
    <n v="46"/>
    <n v="112"/>
  </r>
  <r>
    <d v="2021-08-31T00:00:00"/>
    <s v="VZ-2021-000920"/>
    <x v="0"/>
    <n v="6988880"/>
    <x v="0"/>
    <d v="2021-10-19T00:00:00"/>
    <d v="2021-12-16T00:00:00"/>
    <m/>
    <m/>
    <m/>
    <m/>
    <m/>
    <m/>
    <m/>
    <m/>
    <m/>
    <m/>
    <m/>
  </r>
  <r>
    <d v="2021-08-31T00:00:00"/>
    <s v="VZ-2021-000927"/>
    <x v="1"/>
    <n v="1675000"/>
    <x v="1"/>
    <d v="2021-09-23T00:00:00"/>
    <d v="2021-10-14T00:00:00"/>
    <d v="2021-11-08T00:00:00"/>
    <m/>
    <m/>
    <m/>
    <d v="2021-11-09T00:00:00"/>
    <d v="2021-12-08T00:00:00"/>
    <n v="23"/>
    <n v="21"/>
    <n v="25"/>
    <n v="30"/>
    <n v="99"/>
  </r>
  <r>
    <d v="2021-08-31T00:00:00"/>
    <s v="VZ-2021-000927"/>
    <x v="1"/>
    <n v="383500"/>
    <x v="1"/>
    <d v="2021-09-23T00:00:00"/>
    <d v="2021-10-14T00:00:00"/>
    <d v="2021-11-08T00:00:00"/>
    <m/>
    <m/>
    <m/>
    <d v="2021-11-09T00:00:00"/>
    <d v="2021-12-07T00:00:00"/>
    <n v="23"/>
    <n v="21"/>
    <n v="25"/>
    <n v="29"/>
    <n v="98"/>
  </r>
  <r>
    <d v="2021-08-31T00:00:00"/>
    <s v="VZ-2021-000929"/>
    <x v="1"/>
    <n v="6363636"/>
    <x v="0"/>
    <d v="2021-10-06T00:00:00"/>
    <d v="2021-11-08T00:00:00"/>
    <m/>
    <m/>
    <m/>
    <m/>
    <m/>
    <m/>
    <m/>
    <m/>
    <m/>
    <m/>
    <m/>
  </r>
  <r>
    <d v="2021-09-02T00:00:00"/>
    <s v="VZ-2021-000930"/>
    <x v="11"/>
    <n v="4639115"/>
    <x v="0"/>
    <m/>
    <m/>
    <m/>
    <m/>
    <m/>
    <m/>
    <m/>
    <m/>
    <m/>
    <m/>
    <m/>
    <m/>
    <m/>
  </r>
  <r>
    <d v="2021-09-02T00:00:00"/>
    <s v="VZ-2021-000930"/>
    <x v="1"/>
    <n v="1230000"/>
    <x v="0"/>
    <m/>
    <m/>
    <m/>
    <m/>
    <m/>
    <m/>
    <m/>
    <m/>
    <m/>
    <m/>
    <m/>
    <m/>
    <m/>
  </r>
  <r>
    <d v="2021-09-02T00:00:00"/>
    <s v="VZ-2021-000930"/>
    <x v="11"/>
    <n v="882167"/>
    <x v="0"/>
    <m/>
    <m/>
    <m/>
    <m/>
    <m/>
    <m/>
    <m/>
    <m/>
    <m/>
    <m/>
    <m/>
    <m/>
    <m/>
  </r>
  <r>
    <d v="2021-09-08T00:00:00"/>
    <s v="VZ-2021-000935"/>
    <x v="0"/>
    <n v="336824673"/>
    <x v="0"/>
    <d v="2021-09-17T00:00:00"/>
    <d v="2021-10-20T00:00:00"/>
    <d v="2021-11-16T00:00:00"/>
    <m/>
    <m/>
    <m/>
    <d v="2021-11-16T00:00:00"/>
    <d v="2021-12-07T00:00:00"/>
    <n v="9"/>
    <n v="33"/>
    <n v="27"/>
    <n v="21"/>
    <n v="90"/>
  </r>
  <r>
    <d v="2021-09-08T00:00:00"/>
    <s v="VZ-2021-000946"/>
    <x v="0"/>
    <n v="13230342"/>
    <x v="0"/>
    <d v="2021-09-17T00:00:00"/>
    <d v="2021-10-21T00:00:00"/>
    <d v="2021-11-30T00:00:00"/>
    <m/>
    <m/>
    <m/>
    <d v="2021-11-30T00:00:00"/>
    <d v="2021-12-21T00:00:00"/>
    <n v="9"/>
    <n v="34"/>
    <n v="40"/>
    <n v="21"/>
    <n v="104"/>
  </r>
  <r>
    <s v="opakovaná VZ"/>
    <s v="VZ-2021-000949"/>
    <x v="2"/>
    <n v="48999.5"/>
    <x v="0"/>
    <d v="2021-09-24T00:00:00"/>
    <d v="2021-10-27T00:00:00"/>
    <m/>
    <m/>
    <m/>
    <m/>
    <m/>
    <m/>
    <m/>
    <m/>
    <m/>
    <m/>
    <m/>
  </r>
  <r>
    <s v="opakovaná VZ"/>
    <s v="VZ-2021-000949"/>
    <x v="2"/>
    <n v="3036180"/>
    <x v="0"/>
    <d v="2021-09-24T00:00:00"/>
    <d v="2021-10-27T00:00:00"/>
    <d v="2021-11-09T00:00:00"/>
    <m/>
    <m/>
    <m/>
    <d v="2021-11-09T00:00:00"/>
    <d v="2021-11-29T00:00:00"/>
    <m/>
    <m/>
    <m/>
    <m/>
    <m/>
  </r>
  <r>
    <s v="opakovaná VZ"/>
    <s v="VZ-2021-000949"/>
    <x v="2"/>
    <n v="829400"/>
    <x v="0"/>
    <d v="2021-09-24T00:00:00"/>
    <d v="2021-10-27T00:00:00"/>
    <d v="2021-11-09T00:00:00"/>
    <m/>
    <m/>
    <m/>
    <d v="2021-11-09T00:00:00"/>
    <d v="2021-11-29T00:00:00"/>
    <m/>
    <m/>
    <m/>
    <m/>
    <m/>
  </r>
  <r>
    <s v="opakovaná VZ"/>
    <s v="VZ-2021-000949"/>
    <x v="2"/>
    <n v="209626.5"/>
    <x v="0"/>
    <d v="2021-09-24T00:00:00"/>
    <d v="2021-10-27T00:00:00"/>
    <d v="2021-11-09T00:00:00"/>
    <m/>
    <m/>
    <m/>
    <d v="2021-11-09T00:00:00"/>
    <d v="2021-11-29T00:00:00"/>
    <m/>
    <m/>
    <m/>
    <m/>
    <m/>
  </r>
  <r>
    <d v="2021-09-13T00:00:00"/>
    <s v="VZ-2021-000951"/>
    <x v="2"/>
    <n v="1500000"/>
    <x v="0"/>
    <d v="2021-09-23T00:00:00"/>
    <d v="2021-11-16T00:00:00"/>
    <d v="2021-12-01T00:00:00"/>
    <m/>
    <m/>
    <m/>
    <d v="2021-12-01T00:00:00"/>
    <m/>
    <m/>
    <m/>
    <m/>
    <m/>
    <m/>
  </r>
  <r>
    <d v="2021-09-13T00:00:00"/>
    <s v="VZ-2021-000951"/>
    <x v="2"/>
    <n v="189800"/>
    <x v="0"/>
    <d v="2021-09-23T00:00:00"/>
    <d v="2021-11-16T00:00:00"/>
    <d v="2021-12-01T00:00:00"/>
    <m/>
    <m/>
    <m/>
    <d v="2021-12-01T00:00:00"/>
    <m/>
    <m/>
    <m/>
    <m/>
    <m/>
    <m/>
  </r>
  <r>
    <d v="2021-09-13T00:00:00"/>
    <s v="VZ-2021-000951"/>
    <x v="2"/>
    <n v="1635000"/>
    <x v="0"/>
    <d v="2021-09-23T00:00:00"/>
    <d v="2021-11-16T00:00:00"/>
    <d v="2021-12-01T00:00:00"/>
    <m/>
    <m/>
    <m/>
    <d v="2021-12-01T00:00:00"/>
    <m/>
    <m/>
    <m/>
    <m/>
    <m/>
    <m/>
  </r>
  <r>
    <d v="2021-09-13T00:00:00"/>
    <s v="VZ-2021-000951"/>
    <x v="2"/>
    <n v="342600"/>
    <x v="0"/>
    <d v="2021-09-23T00:00:00"/>
    <d v="2021-11-16T00:00:00"/>
    <m/>
    <m/>
    <m/>
    <m/>
    <m/>
    <m/>
    <m/>
    <m/>
    <m/>
    <m/>
    <m/>
  </r>
  <r>
    <d v="2021-09-13T00:00:00"/>
    <s v="VZ-2021-000951"/>
    <x v="2"/>
    <n v="528000"/>
    <x v="0"/>
    <d v="2021-09-23T00:00:00"/>
    <d v="2021-11-16T00:00:00"/>
    <d v="2021-12-01T00:00:00"/>
    <m/>
    <m/>
    <m/>
    <d v="2021-12-01T00:00:00"/>
    <m/>
    <m/>
    <m/>
    <m/>
    <m/>
    <m/>
  </r>
  <r>
    <d v="2021-09-13T00:00:00"/>
    <s v="VZ-2021-000951"/>
    <x v="2"/>
    <n v="652170"/>
    <x v="0"/>
    <d v="2021-09-23T00:00:00"/>
    <d v="2021-11-16T00:00:00"/>
    <d v="2021-12-01T00:00:00"/>
    <m/>
    <m/>
    <m/>
    <d v="2021-12-01T00:00:00"/>
    <m/>
    <m/>
    <m/>
    <m/>
    <m/>
    <m/>
  </r>
  <r>
    <d v="2021-09-13T00:00:00"/>
    <s v="VZ-2021-000951"/>
    <x v="2"/>
    <n v="26578800"/>
    <x v="0"/>
    <d v="2021-09-23T00:00:00"/>
    <d v="2021-11-16T00:00:00"/>
    <d v="2021-12-01T00:00:00"/>
    <m/>
    <m/>
    <m/>
    <d v="2021-12-01T00:00:00"/>
    <m/>
    <m/>
    <m/>
    <m/>
    <m/>
    <m/>
  </r>
  <r>
    <d v="2021-09-10T00:00:00"/>
    <s v="VZ-2021-000953"/>
    <x v="20"/>
    <n v="500000"/>
    <x v="2"/>
    <d v="2021-09-20T00:00:00"/>
    <d v="2021-09-29T00:00:00"/>
    <d v="2021-10-11T00:00:00"/>
    <m/>
    <m/>
    <m/>
    <d v="2021-10-11T00:00:00"/>
    <m/>
    <m/>
    <m/>
    <m/>
    <m/>
    <m/>
  </r>
  <r>
    <s v="opakovaná VZ"/>
    <s v="VZ-2021-000954"/>
    <x v="14"/>
    <n v="610000"/>
    <x v="2"/>
    <d v="2021-09-16T00:00:00"/>
    <d v="2021-09-21T00:00:00"/>
    <d v="2021-09-22T00:00:00"/>
    <m/>
    <m/>
    <m/>
    <d v="2021-09-22T00:00:00"/>
    <d v="2021-10-04T00:00:00"/>
    <m/>
    <m/>
    <m/>
    <m/>
    <m/>
  </r>
  <r>
    <d v="2021-09-16T00:00:00"/>
    <s v="VZ-2021-000968"/>
    <x v="4"/>
    <n v="1050000"/>
    <x v="2"/>
    <d v="2021-09-23T00:00:00"/>
    <d v="2021-10-07T00:00:00"/>
    <d v="2021-10-20T00:00:00"/>
    <m/>
    <m/>
    <m/>
    <d v="2021-10-20T00:00:00"/>
    <d v="2021-11-11T00:00:00"/>
    <n v="7"/>
    <n v="14"/>
    <n v="13"/>
    <n v="22"/>
    <n v="56"/>
  </r>
  <r>
    <s v="opakovaná VZ"/>
    <s v="VZ-2021-000969"/>
    <x v="0"/>
    <n v="1936800"/>
    <x v="2"/>
    <d v="2021-09-21T00:00:00"/>
    <d v="2021-09-24T00:00:00"/>
    <m/>
    <m/>
    <m/>
    <m/>
    <m/>
    <m/>
    <m/>
    <m/>
    <m/>
    <m/>
    <m/>
  </r>
  <r>
    <d v="2021-09-07T00:00:00"/>
    <s v="VZ-2021-000972"/>
    <x v="8"/>
    <n v="1300000"/>
    <x v="2"/>
    <d v="2021-09-23T00:00:00"/>
    <d v="2021-10-05T00:00:00"/>
    <m/>
    <m/>
    <m/>
    <m/>
    <m/>
    <m/>
    <m/>
    <m/>
    <m/>
    <m/>
    <m/>
  </r>
  <r>
    <d v="2021-09-01T00:00:00"/>
    <s v="VZ-2021-000973"/>
    <x v="1"/>
    <n v="5089000"/>
    <x v="0"/>
    <d v="2021-09-23T00:00:00"/>
    <d v="2021-11-15T00:00:00"/>
    <d v="2021-12-03T00:00:00"/>
    <m/>
    <m/>
    <m/>
    <d v="2021-12-03T00:00:00"/>
    <d v="2021-12-27T00:00:00"/>
    <n v="22"/>
    <n v="53"/>
    <n v="18"/>
    <n v="24"/>
    <n v="117"/>
  </r>
  <r>
    <d v="2021-09-21T00:00:00"/>
    <s v="VZ-2021-000980"/>
    <x v="4"/>
    <n v="5500000"/>
    <x v="1"/>
    <d v="2021-09-27T00:00:00"/>
    <d v="2021-10-22T00:00:00"/>
    <m/>
    <m/>
    <m/>
    <m/>
    <m/>
    <m/>
    <m/>
    <m/>
    <m/>
    <m/>
    <m/>
  </r>
  <r>
    <d v="2021-09-21T00:00:00"/>
    <s v="VZ-2021-000980"/>
    <x v="4"/>
    <n v="2600000"/>
    <x v="1"/>
    <d v="2021-09-27T00:00:00"/>
    <d v="2021-10-22T00:00:00"/>
    <m/>
    <m/>
    <m/>
    <m/>
    <m/>
    <m/>
    <m/>
    <m/>
    <m/>
    <m/>
    <m/>
  </r>
  <r>
    <d v="2021-09-21T00:00:00"/>
    <s v="VZ-2021-000980"/>
    <x v="4"/>
    <n v="7900000"/>
    <x v="1"/>
    <d v="2021-09-27T00:00:00"/>
    <d v="2021-10-22T00:00:00"/>
    <m/>
    <m/>
    <m/>
    <m/>
    <m/>
    <m/>
    <m/>
    <m/>
    <m/>
    <m/>
    <m/>
  </r>
  <r>
    <d v="2021-09-21T00:00:00"/>
    <s v="VZ-2021-000980"/>
    <x v="4"/>
    <n v="15200000"/>
    <x v="1"/>
    <d v="2021-09-27T00:00:00"/>
    <d v="2021-10-22T00:00:00"/>
    <m/>
    <m/>
    <m/>
    <m/>
    <m/>
    <m/>
    <m/>
    <m/>
    <m/>
    <m/>
    <m/>
  </r>
  <r>
    <d v="2021-09-02T00:00:00"/>
    <s v="VZ-2021-000981"/>
    <x v="1"/>
    <n v="711120"/>
    <x v="2"/>
    <d v="2021-09-24T00:00:00"/>
    <d v="2021-10-07T00:00:00"/>
    <d v="2021-10-18T00:00:00"/>
    <m/>
    <m/>
    <m/>
    <d v="2021-10-19T00:00:00"/>
    <d v="2021-12-08T00:00:00"/>
    <n v="22"/>
    <n v="13"/>
    <n v="11"/>
    <n v="51"/>
    <n v="97"/>
  </r>
  <r>
    <d v="2021-08-27T00:00:00"/>
    <s v="VZ-2021-000983"/>
    <x v="1"/>
    <n v="921000"/>
    <x v="2"/>
    <d v="2021-10-06T00:00:00"/>
    <d v="2021-10-18T00:00:00"/>
    <d v="2021-11-02T00:00:00"/>
    <m/>
    <m/>
    <m/>
    <d v="2021-11-02T00:00:00"/>
    <d v="2021-12-13T00:00:00"/>
    <n v="40"/>
    <n v="12"/>
    <n v="15"/>
    <n v="41"/>
    <n v="108"/>
  </r>
  <r>
    <d v="2021-09-14T00:00:00"/>
    <s v="VZ-2021-000984"/>
    <x v="2"/>
    <n v="341520"/>
    <x v="2"/>
    <d v="2021-10-08T00:00:00"/>
    <d v="2021-10-19T00:00:00"/>
    <d v="2021-10-27T00:00:00"/>
    <m/>
    <m/>
    <m/>
    <d v="2021-10-29T00:00:00"/>
    <d v="2021-11-16T00:00:00"/>
    <n v="24"/>
    <n v="11"/>
    <n v="8"/>
    <n v="20"/>
    <n v="63"/>
  </r>
  <r>
    <d v="2021-09-14T00:00:00"/>
    <s v="VZ-2021-000984"/>
    <x v="2"/>
    <n v="92560"/>
    <x v="2"/>
    <d v="2021-10-08T00:00:00"/>
    <d v="2021-10-19T00:00:00"/>
    <d v="2021-10-27T00:00:00"/>
    <m/>
    <m/>
    <m/>
    <d v="2021-10-29T00:00:00"/>
    <d v="2021-11-16T00:00:00"/>
    <n v="24"/>
    <n v="11"/>
    <n v="8"/>
    <n v="20"/>
    <n v="63"/>
  </r>
  <r>
    <d v="2021-09-14T00:00:00"/>
    <s v="VZ-2021-000984"/>
    <x v="2"/>
    <n v="335440"/>
    <x v="2"/>
    <d v="2021-10-08T00:00:00"/>
    <d v="2021-10-19T00:00:00"/>
    <d v="2021-10-27T00:00:00"/>
    <m/>
    <m/>
    <m/>
    <d v="2021-10-29T00:00:00"/>
    <m/>
    <m/>
    <m/>
    <m/>
    <m/>
    <m/>
  </r>
  <r>
    <d v="2021-09-15T00:00:00"/>
    <s v="VZ-2021-000985"/>
    <x v="1"/>
    <n v="570000"/>
    <x v="2"/>
    <d v="2021-09-30T00:00:00"/>
    <d v="2021-10-08T00:00:00"/>
    <d v="2021-10-18T00:00:00"/>
    <m/>
    <m/>
    <m/>
    <d v="2021-10-19T00:00:00"/>
    <d v="2021-11-16T00:00:00"/>
    <n v="15"/>
    <n v="8"/>
    <n v="10"/>
    <n v="29"/>
    <n v="62"/>
  </r>
  <r>
    <d v="2021-09-13T00:00:00"/>
    <s v="VZ-2021-000986"/>
    <x v="2"/>
    <n v="2054660"/>
    <x v="1"/>
    <d v="2021-10-05T00:00:00"/>
    <d v="2021-10-22T00:00:00"/>
    <d v="2021-11-09T00:00:00"/>
    <m/>
    <m/>
    <m/>
    <d v="2021-11-09T00:00:00"/>
    <d v="2021-11-29T00:00:00"/>
    <n v="22"/>
    <n v="17"/>
    <n v="18"/>
    <n v="20"/>
    <n v="77"/>
  </r>
  <r>
    <d v="2021-09-13T00:00:00"/>
    <s v="VZ-2021-000987"/>
    <x v="2"/>
    <n v="640000"/>
    <x v="2"/>
    <d v="2021-09-30T00:00:00"/>
    <d v="2021-10-12T00:00:00"/>
    <d v="2021-10-14T00:00:00"/>
    <m/>
    <m/>
    <m/>
    <d v="2021-10-18T00:00:00"/>
    <d v="2021-11-02T00:00:00"/>
    <n v="17"/>
    <n v="12"/>
    <n v="2"/>
    <n v="19"/>
    <n v="50"/>
  </r>
  <r>
    <d v="2021-09-06T00:00:00"/>
    <s v="VZ-2021-000988"/>
    <x v="1"/>
    <n v="913200"/>
    <x v="2"/>
    <d v="2021-09-30T00:00:00"/>
    <d v="2021-10-11T00:00:00"/>
    <d v="2021-11-02T00:00:00"/>
    <m/>
    <m/>
    <m/>
    <d v="2021-11-02T00:00:00"/>
    <d v="2021-12-02T00:00:00"/>
    <n v="24"/>
    <n v="11"/>
    <n v="22"/>
    <n v="30"/>
    <n v="87"/>
  </r>
  <r>
    <d v="2021-09-14T00:00:00"/>
    <s v="VZ-2021-000989"/>
    <x v="2"/>
    <n v="1346520"/>
    <x v="2"/>
    <d v="2021-09-30T00:00:00"/>
    <d v="2021-10-15T00:00:00"/>
    <d v="2021-10-20T00:00:00"/>
    <m/>
    <m/>
    <m/>
    <d v="2021-10-21T00:00:00"/>
    <d v="2021-11-16T00:00:00"/>
    <n v="16"/>
    <n v="15"/>
    <n v="5"/>
    <n v="27"/>
    <n v="63"/>
  </r>
  <r>
    <d v="2021-09-06T00:00:00"/>
    <s v="VZ-2021-000990"/>
    <x v="1"/>
    <n v="324000"/>
    <x v="2"/>
    <d v="2021-10-04T00:00:00"/>
    <d v="2021-10-14T00:00:00"/>
    <d v="2021-10-27T00:00:00"/>
    <m/>
    <m/>
    <m/>
    <d v="2021-10-27T00:00:00"/>
    <d v="2021-11-29T00:00:00"/>
    <n v="28"/>
    <n v="10"/>
    <n v="13"/>
    <n v="33"/>
    <n v="84"/>
  </r>
  <r>
    <d v="2021-09-23T00:00:00"/>
    <s v="VZ-2021-000993"/>
    <x v="0"/>
    <n v="4650131"/>
    <x v="0"/>
    <d v="2021-09-27T00:00:00"/>
    <d v="2021-11-01T00:00:00"/>
    <m/>
    <m/>
    <m/>
    <m/>
    <m/>
    <m/>
    <m/>
    <m/>
    <m/>
    <m/>
    <m/>
  </r>
  <r>
    <d v="2021-09-21T00:00:00"/>
    <s v="VZ-2021-000994"/>
    <x v="4"/>
    <n v="4700000"/>
    <x v="2"/>
    <d v="2021-10-01T00:00:00"/>
    <d v="2021-10-13T00:00:00"/>
    <d v="2021-11-02T00:00:00"/>
    <m/>
    <m/>
    <m/>
    <d v="2021-11-03T00:00:00"/>
    <d v="2021-11-26T00:00:00"/>
    <n v="10"/>
    <n v="12"/>
    <n v="20"/>
    <n v="24"/>
    <n v="66"/>
  </r>
  <r>
    <d v="2021-09-21T00:00:00"/>
    <s v="VZ-2021-000995"/>
    <x v="4"/>
    <n v="2500000"/>
    <x v="2"/>
    <d v="2021-09-30T00:00:00"/>
    <d v="2021-10-12T00:00:00"/>
    <d v="2021-10-27T00:00:00"/>
    <m/>
    <m/>
    <m/>
    <d v="2021-10-29T00:00:00"/>
    <d v="2021-11-23T00:00:00"/>
    <n v="9"/>
    <n v="12"/>
    <n v="15"/>
    <n v="27"/>
    <n v="63"/>
  </r>
  <r>
    <d v="2021-09-20T00:00:00"/>
    <s v="VZ-2021-000997"/>
    <x v="10"/>
    <n v="3299200"/>
    <x v="1"/>
    <d v="2021-10-15T00:00:00"/>
    <d v="2021-11-10T00:00:00"/>
    <d v="2021-12-09T00:00:00"/>
    <m/>
    <m/>
    <m/>
    <d v="2021-12-09T00:00:00"/>
    <m/>
    <m/>
    <m/>
    <m/>
    <m/>
    <m/>
  </r>
  <r>
    <d v="2021-09-24T00:00:00"/>
    <s v="VZ-2021-001002"/>
    <x v="0"/>
    <n v="79105740"/>
    <x v="0"/>
    <d v="2021-09-30T00:00:00"/>
    <d v="2021-11-02T00:00:00"/>
    <m/>
    <m/>
    <m/>
    <m/>
    <m/>
    <m/>
    <m/>
    <m/>
    <m/>
    <m/>
    <m/>
  </r>
  <r>
    <d v="2021-09-24T00:00:00"/>
    <s v="VZ-2021-001002"/>
    <x v="0"/>
    <n v="370986"/>
    <x v="0"/>
    <d v="2021-09-30T00:00:00"/>
    <d v="2021-11-02T00:00:00"/>
    <d v="2021-12-01T00:00:00"/>
    <m/>
    <m/>
    <m/>
    <d v="2021-12-01T00:00:00"/>
    <m/>
    <m/>
    <m/>
    <m/>
    <m/>
    <m/>
  </r>
  <r>
    <d v="2021-09-24T00:00:00"/>
    <s v="VZ-2021-001002"/>
    <x v="0"/>
    <n v="52685673"/>
    <x v="0"/>
    <d v="2021-09-30T00:00:00"/>
    <d v="2021-11-02T00:00:00"/>
    <d v="2021-12-01T00:00:00"/>
    <m/>
    <m/>
    <m/>
    <d v="2021-12-01T00:00:00"/>
    <m/>
    <m/>
    <m/>
    <m/>
    <m/>
    <m/>
  </r>
  <r>
    <d v="2021-09-21T00:00:00"/>
    <s v="VZ-2021-001003"/>
    <x v="4"/>
    <n v="2100000"/>
    <x v="2"/>
    <d v="2021-09-30T00:00:00"/>
    <d v="2021-10-08T00:00:00"/>
    <d v="2021-10-14T00:00:00"/>
    <m/>
    <m/>
    <m/>
    <d v="2021-10-14T00:00:00"/>
    <d v="2021-11-02T00:00:00"/>
    <n v="9"/>
    <n v="8"/>
    <n v="6"/>
    <n v="19"/>
    <n v="42"/>
  </r>
  <r>
    <s v="opakovaná VZ"/>
    <s v="VZ-2021-001004"/>
    <x v="8"/>
    <n v="450000"/>
    <x v="2"/>
    <d v="2021-09-30T00:00:00"/>
    <d v="2021-10-08T00:00:00"/>
    <d v="2021-10-14T00:00:00"/>
    <m/>
    <m/>
    <m/>
    <d v="2021-10-15T00:00:00"/>
    <d v="2021-11-15T00:00:00"/>
    <m/>
    <m/>
    <m/>
    <m/>
    <m/>
  </r>
  <r>
    <d v="2021-09-22T00:00:00"/>
    <s v="VZ-2021-001005"/>
    <x v="4"/>
    <n v="500000"/>
    <x v="2"/>
    <d v="2021-10-01T00:00:00"/>
    <d v="2021-10-13T00:00:00"/>
    <d v="2021-11-16T00:00:00"/>
    <m/>
    <m/>
    <m/>
    <d v="2021-11-16T00:00:00"/>
    <d v="2021-12-08T00:00:00"/>
    <n v="9"/>
    <n v="12"/>
    <n v="34"/>
    <n v="22"/>
    <n v="77"/>
  </r>
  <r>
    <m/>
    <s v="VZ-2021-001009"/>
    <x v="0"/>
    <n v="23130000"/>
    <x v="0"/>
    <m/>
    <m/>
    <m/>
    <m/>
    <m/>
    <m/>
    <m/>
    <m/>
    <m/>
    <m/>
    <m/>
    <m/>
    <m/>
  </r>
  <r>
    <d v="2021-09-24T00:00:00"/>
    <s v="VZ-2021-001010"/>
    <x v="0"/>
    <n v="1724688"/>
    <x v="0"/>
    <d v="2021-10-06T00:00:00"/>
    <d v="2021-12-21T00:00:00"/>
    <m/>
    <m/>
    <m/>
    <m/>
    <m/>
    <m/>
    <m/>
    <m/>
    <m/>
    <m/>
    <m/>
  </r>
  <r>
    <d v="2021-09-24T00:00:00"/>
    <s v="VZ-2021-001010"/>
    <x v="0"/>
    <n v="1365165"/>
    <x v="0"/>
    <d v="2021-10-06T00:00:00"/>
    <d v="2021-12-21T00:00:00"/>
    <m/>
    <m/>
    <m/>
    <m/>
    <m/>
    <m/>
    <m/>
    <m/>
    <m/>
    <m/>
    <m/>
  </r>
  <r>
    <d v="2021-09-24T00:00:00"/>
    <s v="VZ-2021-001010"/>
    <x v="0"/>
    <n v="1365165"/>
    <x v="0"/>
    <d v="2021-10-06T00:00:00"/>
    <d v="2021-12-21T00:00:00"/>
    <m/>
    <m/>
    <m/>
    <m/>
    <m/>
    <m/>
    <m/>
    <m/>
    <m/>
    <m/>
    <m/>
  </r>
  <r>
    <d v="2021-09-24T00:00:00"/>
    <s v="VZ-2021-001010"/>
    <x v="0"/>
    <n v="1365165"/>
    <x v="0"/>
    <d v="2021-10-06T00:00:00"/>
    <d v="2021-12-21T00:00:00"/>
    <m/>
    <m/>
    <m/>
    <m/>
    <m/>
    <m/>
    <m/>
    <m/>
    <m/>
    <m/>
    <m/>
  </r>
  <r>
    <d v="2021-09-24T00:00:00"/>
    <s v="VZ-2021-001010"/>
    <x v="0"/>
    <n v="72594"/>
    <x v="0"/>
    <d v="2021-10-06T00:00:00"/>
    <d v="2021-12-21T00:00:00"/>
    <m/>
    <m/>
    <m/>
    <m/>
    <m/>
    <m/>
    <m/>
    <m/>
    <m/>
    <m/>
    <m/>
  </r>
  <r>
    <d v="2021-09-24T00:00:00"/>
    <s v="VZ-2021-001010"/>
    <x v="0"/>
    <n v="1365165"/>
    <x v="0"/>
    <d v="2021-10-06T00:00:00"/>
    <d v="2021-12-21T00:00:00"/>
    <m/>
    <m/>
    <m/>
    <m/>
    <m/>
    <m/>
    <m/>
    <m/>
    <m/>
    <m/>
    <m/>
  </r>
  <r>
    <d v="2021-09-24T00:00:00"/>
    <s v="VZ-2021-001010"/>
    <x v="0"/>
    <n v="1365165"/>
    <x v="0"/>
    <d v="2021-10-06T00:00:00"/>
    <d v="2021-12-21T00:00:00"/>
    <m/>
    <m/>
    <m/>
    <m/>
    <m/>
    <m/>
    <m/>
    <m/>
    <m/>
    <m/>
    <m/>
  </r>
  <r>
    <d v="2021-09-24T00:00:00"/>
    <s v="VZ-2021-001010"/>
    <x v="0"/>
    <n v="224649"/>
    <x v="0"/>
    <d v="2021-10-06T00:00:00"/>
    <d v="2021-12-21T00:00:00"/>
    <m/>
    <m/>
    <m/>
    <m/>
    <m/>
    <m/>
    <m/>
    <m/>
    <m/>
    <m/>
    <m/>
  </r>
  <r>
    <s v="opakovaná VZ"/>
    <s v="VZ-2021-001011"/>
    <x v="0"/>
    <n v="1918200"/>
    <x v="2"/>
    <d v="2021-10-07T00:00:00"/>
    <d v="2021-10-13T00:00:00"/>
    <d v="2021-10-21T00:00:00"/>
    <m/>
    <m/>
    <m/>
    <d v="2021-10-21T00:00:00"/>
    <d v="2021-11-08T00:00:00"/>
    <m/>
    <m/>
    <m/>
    <m/>
    <m/>
  </r>
  <r>
    <d v="2021-09-21T00:00:00"/>
    <s v="VZ-2021-001019"/>
    <x v="2"/>
    <n v="6336997"/>
    <x v="0"/>
    <d v="2021-10-06T00:00:00"/>
    <d v="2021-11-08T00:00:00"/>
    <m/>
    <m/>
    <m/>
    <m/>
    <m/>
    <m/>
    <m/>
    <m/>
    <m/>
    <m/>
    <m/>
  </r>
  <r>
    <s v="opakovaná VZ"/>
    <s v="VZ-2021-001021"/>
    <x v="9"/>
    <n v="5800000"/>
    <x v="2"/>
    <d v="2021-10-01T00:00:00"/>
    <d v="2021-10-27T00:00:00"/>
    <m/>
    <m/>
    <m/>
    <m/>
    <m/>
    <m/>
    <m/>
    <m/>
    <m/>
    <m/>
    <m/>
  </r>
  <r>
    <d v="2021-09-30T00:00:00"/>
    <s v="VZ-2021-001026"/>
    <x v="0"/>
    <n v="695760"/>
    <x v="0"/>
    <d v="2021-10-06T00:00:00"/>
    <d v="2021-12-27T00:00:00"/>
    <m/>
    <m/>
    <m/>
    <m/>
    <m/>
    <m/>
    <m/>
    <m/>
    <m/>
    <m/>
    <m/>
  </r>
  <r>
    <d v="2021-09-30T00:00:00"/>
    <s v="VZ-2021-001026"/>
    <x v="0"/>
    <n v="553461"/>
    <x v="0"/>
    <d v="2021-10-06T00:00:00"/>
    <d v="2021-12-27T00:00:00"/>
    <m/>
    <m/>
    <m/>
    <m/>
    <m/>
    <m/>
    <m/>
    <m/>
    <m/>
    <m/>
    <m/>
  </r>
  <r>
    <d v="2021-09-30T00:00:00"/>
    <s v="VZ-2021-001026"/>
    <x v="0"/>
    <n v="1970539"/>
    <x v="0"/>
    <d v="2021-10-06T00:00:00"/>
    <d v="2021-12-27T00:00:00"/>
    <m/>
    <m/>
    <m/>
    <m/>
    <m/>
    <m/>
    <m/>
    <m/>
    <m/>
    <m/>
    <m/>
  </r>
  <r>
    <d v="2021-09-30T00:00:00"/>
    <s v="VZ-2021-001026"/>
    <x v="0"/>
    <n v="1744029"/>
    <x v="0"/>
    <d v="2021-10-06T00:00:00"/>
    <d v="2021-12-27T00:00:00"/>
    <m/>
    <m/>
    <m/>
    <m/>
    <m/>
    <m/>
    <m/>
    <m/>
    <m/>
    <m/>
    <m/>
  </r>
  <r>
    <d v="2021-09-30T00:00:00"/>
    <s v="VZ-2021-001026"/>
    <x v="0"/>
    <n v="1335396"/>
    <x v="0"/>
    <d v="2021-10-06T00:00:00"/>
    <d v="2021-12-27T00:00:00"/>
    <m/>
    <m/>
    <m/>
    <m/>
    <m/>
    <m/>
    <m/>
    <m/>
    <m/>
    <m/>
    <m/>
  </r>
  <r>
    <d v="2021-09-30T00:00:00"/>
    <s v="VZ-2021-001026"/>
    <x v="0"/>
    <n v="4776300"/>
    <x v="0"/>
    <d v="2021-10-06T00:00:00"/>
    <d v="2021-12-27T00:00:00"/>
    <m/>
    <m/>
    <m/>
    <m/>
    <m/>
    <m/>
    <m/>
    <m/>
    <m/>
    <m/>
    <m/>
  </r>
  <r>
    <d v="2021-09-30T00:00:00"/>
    <s v="VZ-2021-001027"/>
    <x v="11"/>
    <n v="160000000"/>
    <x v="0"/>
    <d v="2021-12-17T00:00:00"/>
    <d v="2022-01-20T00:00:00"/>
    <m/>
    <m/>
    <m/>
    <m/>
    <m/>
    <m/>
    <m/>
    <m/>
    <m/>
    <m/>
    <m/>
  </r>
  <r>
    <d v="2021-09-14T00:00:00"/>
    <s v="VZ-2021-001028"/>
    <x v="1"/>
    <n v="2800000"/>
    <x v="0"/>
    <d v="2021-10-11T00:00:00"/>
    <d v="2021-11-12T00:00:00"/>
    <d v="2021-12-23T00:00:00"/>
    <m/>
    <m/>
    <m/>
    <d v="2021-12-23T00:00:00"/>
    <m/>
    <m/>
    <m/>
    <m/>
    <m/>
    <m/>
  </r>
  <r>
    <s v="opakovaná VZ"/>
    <s v="VZ-2021-001031"/>
    <x v="19"/>
    <n v="150000"/>
    <x v="2"/>
    <d v="2021-10-06T00:00:00"/>
    <d v="2021-10-14T00:00:00"/>
    <m/>
    <m/>
    <m/>
    <m/>
    <m/>
    <m/>
    <m/>
    <m/>
    <m/>
    <m/>
    <m/>
  </r>
  <r>
    <d v="2021-09-30T00:00:00"/>
    <s v="VZ-2021-001032"/>
    <x v="4"/>
    <n v="590000"/>
    <x v="2"/>
    <d v="2021-10-05T00:00:00"/>
    <d v="2021-10-22T00:00:00"/>
    <d v="2021-11-02T00:00:00"/>
    <m/>
    <m/>
    <m/>
    <d v="2021-11-02T00:00:00"/>
    <d v="2021-11-22T00:00:00"/>
    <n v="5"/>
    <n v="17"/>
    <n v="11"/>
    <n v="20"/>
    <n v="53"/>
  </r>
  <r>
    <s v="opakovaná VZ"/>
    <s v="VZ-2021-001041"/>
    <x v="0"/>
    <n v="733738"/>
    <x v="2"/>
    <d v="2021-10-11T00:00:00"/>
    <d v="2021-10-18T00:00:00"/>
    <s v="16.12.202"/>
    <m/>
    <m/>
    <m/>
    <d v="2021-12-16T00:00:00"/>
    <m/>
    <m/>
    <m/>
    <m/>
    <m/>
    <m/>
  </r>
  <r>
    <s v="opakovaná VZ"/>
    <s v="VZ-2021-001041"/>
    <x v="0"/>
    <n v="102837"/>
    <x v="2"/>
    <d v="2021-10-11T00:00:00"/>
    <d v="2021-10-18T00:00:00"/>
    <m/>
    <m/>
    <m/>
    <m/>
    <m/>
    <m/>
    <m/>
    <m/>
    <m/>
    <m/>
    <m/>
  </r>
  <r>
    <s v="opakovaná VZ"/>
    <s v="VZ-2021-001041"/>
    <x v="0"/>
    <n v="52000"/>
    <x v="2"/>
    <d v="2021-10-11T00:00:00"/>
    <d v="2021-10-18T00:00:00"/>
    <m/>
    <m/>
    <m/>
    <m/>
    <m/>
    <m/>
    <m/>
    <m/>
    <m/>
    <m/>
    <m/>
  </r>
  <r>
    <s v="opakovaná VZ"/>
    <s v="VZ-2021-001041"/>
    <x v="0"/>
    <n v="287058"/>
    <x v="2"/>
    <d v="2021-10-11T00:00:00"/>
    <d v="2021-10-18T00:00:00"/>
    <s v="16.12.202"/>
    <m/>
    <m/>
    <m/>
    <d v="2021-12-16T00:00:00"/>
    <m/>
    <m/>
    <m/>
    <m/>
    <m/>
    <m/>
  </r>
  <r>
    <s v="opakovaná VZ"/>
    <s v="VZ-2021-001041"/>
    <x v="0"/>
    <n v="195234"/>
    <x v="2"/>
    <d v="2021-10-11T00:00:00"/>
    <d v="2021-10-18T00:00:00"/>
    <m/>
    <m/>
    <m/>
    <m/>
    <m/>
    <m/>
    <m/>
    <m/>
    <m/>
    <m/>
    <m/>
  </r>
  <r>
    <d v="2021-10-01T00:00:00"/>
    <s v="VZ-2021-001042"/>
    <x v="2"/>
    <n v="4914000"/>
    <x v="0"/>
    <d v="2021-10-18T00:00:00"/>
    <d v="2021-11-22T00:00:00"/>
    <d v="2021-12-16T00:00:00"/>
    <m/>
    <m/>
    <m/>
    <d v="2021-12-16T00:00:00"/>
    <m/>
    <m/>
    <m/>
    <m/>
    <m/>
    <m/>
  </r>
  <r>
    <d v="2021-10-04T00:00:00"/>
    <s v="VZ-2021-001043"/>
    <x v="2"/>
    <n v="3311000"/>
    <x v="0"/>
    <d v="2021-10-12T00:00:00"/>
    <d v="2021-11-16T00:00:00"/>
    <d v="2021-12-01T00:00:00"/>
    <m/>
    <m/>
    <m/>
    <d v="2021-12-01T00:00:00"/>
    <m/>
    <m/>
    <m/>
    <m/>
    <m/>
    <m/>
  </r>
  <r>
    <d v="2021-10-04T00:00:00"/>
    <s v="VZ-2021-001043"/>
    <x v="2"/>
    <n v="5213900"/>
    <x v="0"/>
    <d v="2021-10-12T00:00:00"/>
    <d v="2021-11-16T00:00:00"/>
    <d v="2021-12-01T00:00:00"/>
    <m/>
    <m/>
    <m/>
    <d v="2021-12-01T00:00:00"/>
    <m/>
    <m/>
    <m/>
    <m/>
    <m/>
    <m/>
  </r>
  <r>
    <d v="2021-10-04T00:00:00"/>
    <s v="VZ-2021-001044"/>
    <x v="2"/>
    <n v="681480"/>
    <x v="0"/>
    <d v="2021-10-12T00:00:00"/>
    <d v="2021-11-15T00:00:00"/>
    <d v="2021-12-09T00:00:00"/>
    <m/>
    <m/>
    <m/>
    <d v="2021-12-09T00:00:00"/>
    <m/>
    <m/>
    <m/>
    <m/>
    <m/>
    <m/>
  </r>
  <r>
    <d v="2021-10-04T00:00:00"/>
    <s v="VZ-2021-001044"/>
    <x v="2"/>
    <n v="1400000"/>
    <x v="0"/>
    <d v="2021-10-12T00:00:00"/>
    <d v="2021-11-15T00:00:00"/>
    <m/>
    <m/>
    <m/>
    <m/>
    <m/>
    <m/>
    <m/>
    <m/>
    <m/>
    <m/>
    <m/>
  </r>
  <r>
    <d v="2021-10-04T00:00:00"/>
    <s v="VZ-2021-001044"/>
    <x v="2"/>
    <n v="120600"/>
    <x v="0"/>
    <d v="2021-10-12T00:00:00"/>
    <d v="2021-11-15T00:00:00"/>
    <d v="2021-12-09T00:00:00"/>
    <m/>
    <m/>
    <m/>
    <d v="2021-12-09T00:00:00"/>
    <m/>
    <m/>
    <m/>
    <m/>
    <m/>
    <m/>
  </r>
  <r>
    <d v="2021-10-04T00:00:00"/>
    <s v="VZ-2021-001044"/>
    <x v="2"/>
    <n v="125160"/>
    <x v="0"/>
    <d v="2021-10-12T00:00:00"/>
    <d v="2021-11-15T00:00:00"/>
    <m/>
    <m/>
    <m/>
    <m/>
    <m/>
    <m/>
    <m/>
    <m/>
    <m/>
    <m/>
    <m/>
  </r>
  <r>
    <d v="2021-10-04T00:00:00"/>
    <s v="VZ-2021-001044"/>
    <x v="2"/>
    <n v="2080500"/>
    <x v="0"/>
    <d v="2021-10-12T00:00:00"/>
    <d v="2021-11-15T00:00:00"/>
    <m/>
    <m/>
    <m/>
    <m/>
    <m/>
    <m/>
    <m/>
    <m/>
    <m/>
    <m/>
    <m/>
  </r>
  <r>
    <d v="2021-10-04T00:00:00"/>
    <s v="VZ-2021-001045"/>
    <x v="2"/>
    <n v="3561600"/>
    <x v="0"/>
    <d v="2021-10-13T00:00:00"/>
    <d v="2021-11-25T00:00:00"/>
    <m/>
    <m/>
    <m/>
    <m/>
    <m/>
    <m/>
    <m/>
    <m/>
    <m/>
    <m/>
    <m/>
  </r>
  <r>
    <s v="opakovaná VZ"/>
    <s v="VZ-2021-001046"/>
    <x v="18"/>
    <n v="200000"/>
    <x v="2"/>
    <d v="2021-10-05T00:00:00"/>
    <d v="2021-10-11T00:00:00"/>
    <m/>
    <m/>
    <m/>
    <m/>
    <m/>
    <m/>
    <m/>
    <m/>
    <m/>
    <m/>
    <m/>
  </r>
  <r>
    <d v="2021-09-06T00:00:00"/>
    <s v="VZ-2021-001056"/>
    <x v="1"/>
    <n v="330000"/>
    <x v="2"/>
    <d v="2021-10-12T00:00:00"/>
    <d v="2021-10-21T00:00:00"/>
    <m/>
    <m/>
    <m/>
    <m/>
    <m/>
    <m/>
    <m/>
    <m/>
    <m/>
    <m/>
    <m/>
  </r>
  <r>
    <d v="2021-11-16T00:00:00"/>
    <s v="VZ-2021-001073"/>
    <x v="0"/>
    <n v="7471900"/>
    <x v="0"/>
    <d v="2021-12-06T00:00:00"/>
    <d v="2022-01-10T00:00:00"/>
    <m/>
    <m/>
    <m/>
    <m/>
    <m/>
    <m/>
    <m/>
    <m/>
    <m/>
    <m/>
    <m/>
  </r>
  <r>
    <d v="2021-09-30T00:00:00"/>
    <s v="VZ-2021-001081"/>
    <x v="1"/>
    <n v="1329000"/>
    <x v="2"/>
    <d v="2021-10-25T00:00:00"/>
    <d v="2021-11-09T00:00:00"/>
    <d v="2021-11-16T00:00:00"/>
    <m/>
    <m/>
    <m/>
    <d v="2021-11-16T00:00:00"/>
    <d v="2021-11-30T00:00:00"/>
    <n v="25"/>
    <n v="15"/>
    <n v="7"/>
    <n v="14"/>
    <n v="61"/>
  </r>
  <r>
    <d v="2021-09-21T00:00:00"/>
    <s v="VZ-2021-001083"/>
    <x v="1"/>
    <n v="1767000"/>
    <x v="2"/>
    <d v="2021-10-14T00:00:00"/>
    <d v="2021-10-25T00:00:00"/>
    <d v="2021-11-08T00:00:00"/>
    <m/>
    <m/>
    <m/>
    <d v="2021-11-09T00:00:00"/>
    <d v="2021-12-07T00:00:00"/>
    <n v="23"/>
    <n v="11"/>
    <n v="14"/>
    <n v="29"/>
    <n v="77"/>
  </r>
  <r>
    <d v="2021-09-24T00:00:00"/>
    <s v="VZ-2021-001089"/>
    <x v="1"/>
    <n v="880000"/>
    <x v="2"/>
    <d v="2021-10-15T00:00:00"/>
    <d v="2021-10-26T00:00:00"/>
    <d v="2021-11-15T00:00:00"/>
    <m/>
    <m/>
    <m/>
    <d v="2021-11-15T00:00:00"/>
    <d v="2021-12-08T00:00:00"/>
    <n v="21"/>
    <n v="11"/>
    <n v="20"/>
    <n v="23"/>
    <n v="75"/>
  </r>
  <r>
    <d v="2021-09-24T00:00:00"/>
    <s v="VZ-2021-001089"/>
    <x v="1"/>
    <n v="370400"/>
    <x v="2"/>
    <d v="2021-10-15T00:00:00"/>
    <d v="2021-10-26T00:00:00"/>
    <d v="2021-11-15T00:00:00"/>
    <m/>
    <m/>
    <m/>
    <d v="2021-11-15T00:00:00"/>
    <d v="2021-12-03T00:00:00"/>
    <n v="21"/>
    <n v="11"/>
    <n v="20"/>
    <n v="18"/>
    <n v="70"/>
  </r>
  <r>
    <d v="2021-09-24T00:00:00"/>
    <s v="VZ-2021-001089"/>
    <x v="1"/>
    <n v="560000"/>
    <x v="2"/>
    <d v="2021-10-15T00:00:00"/>
    <d v="2021-10-26T00:00:00"/>
    <d v="2021-11-15T00:00:00"/>
    <m/>
    <m/>
    <m/>
    <d v="2021-11-15T00:00:00"/>
    <d v="2021-12-08T00:00:00"/>
    <n v="21"/>
    <n v="11"/>
    <n v="20"/>
    <n v="23"/>
    <n v="75"/>
  </r>
  <r>
    <d v="2021-10-13T00:00:00"/>
    <s v="VZ-2021-001090"/>
    <x v="3"/>
    <n v="40000000"/>
    <x v="1"/>
    <d v="2021-10-22T00:00:00"/>
    <d v="2021-11-25T00:00:00"/>
    <d v="2021-12-23T00:00:00"/>
    <m/>
    <m/>
    <m/>
    <d v="2021-12-23T00:00:00"/>
    <m/>
    <m/>
    <m/>
    <m/>
    <m/>
    <m/>
  </r>
  <r>
    <d v="2021-10-06T00:00:00"/>
    <s v="VZ-2021-001091"/>
    <x v="1"/>
    <n v="350900"/>
    <x v="2"/>
    <d v="2021-10-15T00:00:00"/>
    <d v="2021-10-29T00:00:00"/>
    <d v="2021-11-15T00:00:00"/>
    <m/>
    <m/>
    <m/>
    <d v="2021-11-15T00:00:00"/>
    <d v="2021-12-08T00:00:00"/>
    <n v="9"/>
    <n v="14"/>
    <n v="17"/>
    <n v="23"/>
    <n v="63"/>
  </r>
  <r>
    <d v="2021-09-24T00:00:00"/>
    <s v="VZ-2021-001094"/>
    <x v="1"/>
    <n v="392900"/>
    <x v="2"/>
    <d v="2021-10-18T00:00:00"/>
    <d v="2021-10-27T00:00:00"/>
    <d v="2021-11-08T00:00:00"/>
    <m/>
    <m/>
    <m/>
    <d v="2021-11-09T00:00:00"/>
    <d v="2021-12-02T00:00:00"/>
    <n v="24"/>
    <n v="9"/>
    <n v="12"/>
    <n v="24"/>
    <n v="69"/>
  </r>
  <r>
    <d v="2021-10-14T00:00:00"/>
    <s v="VZ-2021-001096"/>
    <x v="0"/>
    <n v="1301900"/>
    <x v="2"/>
    <d v="2021-10-19T00:00:00"/>
    <d v="2021-10-26T00:00:00"/>
    <d v="2021-11-19T00:00:00"/>
    <m/>
    <m/>
    <m/>
    <d v="2021-11-19T00:00:00"/>
    <d v="2021-12-21T00:00:00"/>
    <n v="5"/>
    <n v="7"/>
    <n v="24"/>
    <n v="32"/>
    <n v="68"/>
  </r>
  <r>
    <d v="2021-10-14T00:00:00"/>
    <s v="VZ-2021-001097"/>
    <x v="0"/>
    <n v="1386789"/>
    <x v="2"/>
    <d v="2021-10-19T00:00:00"/>
    <d v="2021-10-26T00:00:00"/>
    <d v="2021-11-19T00:00:00"/>
    <m/>
    <m/>
    <m/>
    <d v="2021-11-19T00:00:00"/>
    <d v="2021-12-21T00:00:00"/>
    <n v="5"/>
    <n v="7"/>
    <n v="24"/>
    <n v="32"/>
    <n v="68"/>
  </r>
  <r>
    <d v="2021-10-14T00:00:00"/>
    <s v="VZ-2021-001097"/>
    <x v="0"/>
    <n v="197787"/>
    <x v="2"/>
    <d v="2021-10-19T00:00:00"/>
    <d v="2021-10-26T00:00:00"/>
    <d v="2021-11-19T00:00:00"/>
    <m/>
    <m/>
    <m/>
    <d v="2021-11-19T00:00:00"/>
    <m/>
    <m/>
    <m/>
    <m/>
    <m/>
    <m/>
  </r>
  <r>
    <d v="2021-10-14T00:00:00"/>
    <s v="VZ-2021-001099"/>
    <x v="9"/>
    <n v="7600000"/>
    <x v="1"/>
    <d v="2021-10-26T00:00:00"/>
    <d v="2021-11-30T00:00:00"/>
    <d v="2021-12-16T00:00:00"/>
    <m/>
    <m/>
    <m/>
    <d v="2021-12-16T00:00:00"/>
    <m/>
    <m/>
    <m/>
    <m/>
    <m/>
    <m/>
  </r>
  <r>
    <d v="2021-10-06T00:00:00"/>
    <s v="VZ-2021-001107"/>
    <x v="1"/>
    <n v="534000"/>
    <x v="2"/>
    <d v="2021-10-20T00:00:00"/>
    <d v="2021-11-01T00:00:00"/>
    <d v="2021-11-16T00:00:00"/>
    <m/>
    <m/>
    <m/>
    <d v="2021-11-16T00:00:00"/>
    <d v="2021-12-27T00:00:00"/>
    <n v="14"/>
    <n v="12"/>
    <n v="15"/>
    <n v="41"/>
    <n v="82"/>
  </r>
  <r>
    <d v="2021-09-06T00:00:00"/>
    <s v="VZ-2021-001108"/>
    <x v="1"/>
    <n v="230000"/>
    <x v="2"/>
    <d v="2021-10-21T00:00:00"/>
    <d v="2021-11-02T00:00:00"/>
    <d v="2021-11-23T00:00:00"/>
    <m/>
    <m/>
    <m/>
    <d v="2021-11-24T00:00:00"/>
    <d v="2021-12-20T00:00:00"/>
    <n v="45"/>
    <n v="12"/>
    <n v="21"/>
    <n v="27"/>
    <n v="105"/>
  </r>
  <r>
    <s v="opakovaná VZ"/>
    <s v="VZ-2021-001110"/>
    <x v="8"/>
    <n v="2200000"/>
    <x v="2"/>
    <d v="2021-10-22T00:00:00"/>
    <d v="2021-11-04T00:00:00"/>
    <d v="2021-11-25T00:00:00"/>
    <m/>
    <m/>
    <m/>
    <d v="2021-11-25T00:00:00"/>
    <d v="2021-12-17T00:00:00"/>
    <m/>
    <m/>
    <m/>
    <m/>
    <m/>
  </r>
  <r>
    <d v="2021-10-15T00:00:00"/>
    <s v="VZ-2021-001111"/>
    <x v="0"/>
    <n v="1276147"/>
    <x v="0"/>
    <d v="2021-10-21T00:00:00"/>
    <d v="2021-12-30T00:00:00"/>
    <m/>
    <m/>
    <m/>
    <m/>
    <m/>
    <m/>
    <m/>
    <m/>
    <m/>
    <m/>
    <m/>
  </r>
  <r>
    <d v="2021-10-15T00:00:00"/>
    <s v="VZ-2021-001111"/>
    <x v="0"/>
    <n v="1972042"/>
    <x v="0"/>
    <d v="2021-10-21T00:00:00"/>
    <d v="2021-12-30T00:00:00"/>
    <m/>
    <m/>
    <m/>
    <m/>
    <m/>
    <m/>
    <m/>
    <m/>
    <m/>
    <m/>
    <m/>
  </r>
  <r>
    <d v="2021-10-15T00:00:00"/>
    <s v="VZ-2021-001111"/>
    <x v="0"/>
    <n v="2877337"/>
    <x v="0"/>
    <d v="2021-10-21T00:00:00"/>
    <d v="2021-12-30T00:00:00"/>
    <m/>
    <m/>
    <m/>
    <m/>
    <m/>
    <m/>
    <m/>
    <m/>
    <m/>
    <m/>
    <m/>
  </r>
  <r>
    <d v="2021-10-15T00:00:00"/>
    <s v="VZ-2021-001111"/>
    <x v="0"/>
    <n v="684637"/>
    <x v="0"/>
    <d v="2021-10-21T00:00:00"/>
    <d v="2021-12-30T00:00:00"/>
    <m/>
    <m/>
    <m/>
    <m/>
    <m/>
    <m/>
    <m/>
    <m/>
    <m/>
    <m/>
    <m/>
  </r>
  <r>
    <d v="2021-10-15T00:00:00"/>
    <s v="VZ-2021-001111"/>
    <x v="0"/>
    <n v="1216758"/>
    <x v="0"/>
    <d v="2021-10-21T00:00:00"/>
    <d v="2021-12-30T00:00:00"/>
    <m/>
    <m/>
    <m/>
    <m/>
    <m/>
    <m/>
    <m/>
    <m/>
    <m/>
    <m/>
    <m/>
  </r>
  <r>
    <d v="2021-10-15T00:00:00"/>
    <s v="VZ-2021-001111"/>
    <x v="0"/>
    <n v="7116805"/>
    <x v="0"/>
    <d v="2021-10-21T00:00:00"/>
    <d v="2021-12-30T00:00:00"/>
    <m/>
    <m/>
    <m/>
    <m/>
    <m/>
    <m/>
    <m/>
    <m/>
    <m/>
    <m/>
    <m/>
  </r>
  <r>
    <d v="2021-10-15T00:00:00"/>
    <s v="VZ-2021-001111"/>
    <x v="0"/>
    <n v="3120030"/>
    <x v="0"/>
    <d v="2021-10-21T00:00:00"/>
    <d v="2021-12-30T00:00:00"/>
    <m/>
    <m/>
    <m/>
    <m/>
    <m/>
    <m/>
    <m/>
    <m/>
    <m/>
    <m/>
    <m/>
  </r>
  <r>
    <d v="2021-10-15T00:00:00"/>
    <s v="VZ-2021-001112"/>
    <x v="0"/>
    <n v="21966219"/>
    <x v="0"/>
    <d v="2021-11-25T00:00:00"/>
    <d v="2022-01-05T00:00:00"/>
    <m/>
    <m/>
    <m/>
    <m/>
    <m/>
    <m/>
    <m/>
    <m/>
    <m/>
    <m/>
    <m/>
  </r>
  <r>
    <d v="2021-10-18T00:00:00"/>
    <s v="VZ-2021-001114"/>
    <x v="3"/>
    <n v="95000000"/>
    <x v="0"/>
    <d v="2021-10-22T00:00:00"/>
    <d v="2021-12-20T00:00:00"/>
    <m/>
    <m/>
    <m/>
    <m/>
    <m/>
    <m/>
    <m/>
    <m/>
    <m/>
    <m/>
    <m/>
  </r>
  <r>
    <d v="2021-10-19T00:00:00"/>
    <s v="VZ-2021-001116"/>
    <x v="5"/>
    <n v="600000"/>
    <x v="2"/>
    <d v="2021-10-19T00:00:00"/>
    <d v="2021-10-22T00:00:00"/>
    <d v="2021-10-25T00:00:00"/>
    <m/>
    <m/>
    <m/>
    <d v="2021-10-25T00:00:00"/>
    <d v="2021-11-11T00:00:00"/>
    <n v="0"/>
    <n v="3"/>
    <n v="3"/>
    <n v="17"/>
    <n v="23"/>
  </r>
  <r>
    <s v="opakovaná VZ"/>
    <s v="VZ-2021-001118"/>
    <x v="18"/>
    <n v="200000"/>
    <x v="2"/>
    <d v="2021-10-21T00:00:00"/>
    <d v="2021-10-27T00:00:00"/>
    <m/>
    <m/>
    <m/>
    <m/>
    <m/>
    <m/>
    <m/>
    <m/>
    <m/>
    <m/>
    <m/>
  </r>
  <r>
    <d v="2021-10-15T00:00:00"/>
    <s v="VZ-2021-001120"/>
    <x v="3"/>
    <n v="825000"/>
    <x v="2"/>
    <d v="2021-10-22T00:00:00"/>
    <d v="2021-11-03T00:00:00"/>
    <d v="2021-11-16T00:00:00"/>
    <m/>
    <m/>
    <m/>
    <d v="2021-11-16T00:00:00"/>
    <m/>
    <m/>
    <m/>
    <m/>
    <m/>
    <m/>
  </r>
  <r>
    <d v="2021-10-19T00:00:00"/>
    <s v="VZ-2021-001121"/>
    <x v="2"/>
    <n v="219000"/>
    <x v="0"/>
    <d v="2021-10-27T00:00:00"/>
    <d v="2022-01-18T00:00:00"/>
    <m/>
    <m/>
    <m/>
    <m/>
    <m/>
    <m/>
    <m/>
    <m/>
    <m/>
    <m/>
    <m/>
  </r>
  <r>
    <d v="2021-10-19T00:00:00"/>
    <s v="VZ-2021-001121"/>
    <x v="2"/>
    <n v="5617423"/>
    <x v="0"/>
    <d v="2021-10-27T00:00:00"/>
    <d v="2022-01-18T00:00:00"/>
    <m/>
    <m/>
    <m/>
    <m/>
    <m/>
    <m/>
    <m/>
    <m/>
    <m/>
    <m/>
    <m/>
  </r>
  <r>
    <d v="2021-10-19T00:00:00"/>
    <s v="VZ-2021-001121"/>
    <x v="2"/>
    <n v="674133"/>
    <x v="0"/>
    <d v="2021-10-27T00:00:00"/>
    <d v="2022-01-18T00:00:00"/>
    <m/>
    <m/>
    <m/>
    <m/>
    <m/>
    <m/>
    <m/>
    <m/>
    <m/>
    <m/>
    <m/>
  </r>
  <r>
    <d v="2021-10-19T00:00:00"/>
    <s v="VZ-2021-001121"/>
    <x v="2"/>
    <n v="1167300"/>
    <x v="0"/>
    <d v="2021-10-27T00:00:00"/>
    <d v="2022-01-18T00:00:00"/>
    <m/>
    <m/>
    <m/>
    <m/>
    <m/>
    <m/>
    <m/>
    <m/>
    <m/>
    <m/>
    <m/>
  </r>
  <r>
    <d v="2021-10-19T00:00:00"/>
    <s v="VZ-2021-001121"/>
    <x v="2"/>
    <n v="1129933"/>
    <x v="0"/>
    <d v="2021-10-27T00:00:00"/>
    <d v="2022-01-18T00:00:00"/>
    <m/>
    <m/>
    <m/>
    <m/>
    <m/>
    <m/>
    <m/>
    <m/>
    <m/>
    <m/>
    <m/>
  </r>
  <r>
    <d v="2021-10-19T00:00:00"/>
    <s v="VZ-2021-001121"/>
    <x v="2"/>
    <n v="609420"/>
    <x v="0"/>
    <d v="2021-10-27T00:00:00"/>
    <d v="2022-01-18T00:00:00"/>
    <m/>
    <m/>
    <m/>
    <m/>
    <m/>
    <m/>
    <m/>
    <m/>
    <m/>
    <m/>
    <m/>
  </r>
  <r>
    <d v="2021-10-15T00:00:00"/>
    <s v="VZ-2021-001123"/>
    <x v="4"/>
    <n v="500000"/>
    <x v="2"/>
    <d v="2021-10-25T00:00:00"/>
    <d v="2021-11-05T00:00:00"/>
    <d v="2021-11-12T00:00:00"/>
    <m/>
    <m/>
    <m/>
    <d v="2021-11-12T00:00:00"/>
    <d v="2021-12-03T00:00:00"/>
    <n v="10"/>
    <n v="11"/>
    <n v="7"/>
    <n v="21"/>
    <n v="49"/>
  </r>
  <r>
    <d v="2021-10-21T00:00:00"/>
    <s v="VZ-2021-001126"/>
    <x v="0"/>
    <n v="4203966"/>
    <x v="0"/>
    <d v="2021-12-09T00:00:00"/>
    <d v="2022-01-12T00:00:00"/>
    <m/>
    <m/>
    <m/>
    <m/>
    <m/>
    <m/>
    <m/>
    <m/>
    <m/>
    <m/>
    <m/>
  </r>
  <r>
    <d v="2021-10-21T00:00:00"/>
    <s v="VZ-2021-001127"/>
    <x v="0"/>
    <n v="9139774"/>
    <x v="0"/>
    <d v="2021-12-09T00:00:00"/>
    <d v="2022-01-12T00:00:00"/>
    <m/>
    <m/>
    <m/>
    <m/>
    <m/>
    <m/>
    <m/>
    <m/>
    <m/>
    <m/>
    <m/>
  </r>
  <r>
    <s v="opakovaná VZ"/>
    <s v="VZ-2021-001128"/>
    <x v="2"/>
    <n v="700000"/>
    <x v="2"/>
    <d v="2021-10-25T00:00:00"/>
    <d v="2021-11-03T00:00:00"/>
    <d v="2021-11-09T00:00:00"/>
    <m/>
    <m/>
    <m/>
    <d v="2021-11-10T00:00:00"/>
    <d v="2021-12-13T00:00:00"/>
    <m/>
    <m/>
    <m/>
    <m/>
    <m/>
  </r>
  <r>
    <d v="2021-10-05T00:00:00"/>
    <s v="VZ-2021-001129"/>
    <x v="2"/>
    <n v="1881000"/>
    <x v="2"/>
    <d v="2021-10-25T00:00:00"/>
    <d v="2021-11-03T00:00:00"/>
    <d v="2021-11-09T00:00:00"/>
    <m/>
    <m/>
    <m/>
    <d v="2021-11-10T00:00:00"/>
    <d v="2021-11-30T00:00:00"/>
    <n v="20"/>
    <n v="9"/>
    <n v="6"/>
    <n v="21"/>
    <n v="56"/>
  </r>
  <r>
    <d v="2021-10-19T00:00:00"/>
    <s v="VZ-2021-001131"/>
    <x v="2"/>
    <n v="1244469"/>
    <x v="2"/>
    <d v="2021-10-26T00:00:00"/>
    <d v="2021-11-09T00:00:00"/>
    <d v="2021-12-10T00:00:00"/>
    <m/>
    <m/>
    <m/>
    <d v="2021-12-13T00:00:00"/>
    <m/>
    <m/>
    <m/>
    <m/>
    <m/>
    <m/>
  </r>
  <r>
    <d v="2021-10-19T00:00:00"/>
    <s v="VZ-2021-001131"/>
    <x v="2"/>
    <n v="386194"/>
    <x v="2"/>
    <d v="2021-10-26T00:00:00"/>
    <d v="2021-11-09T00:00:00"/>
    <m/>
    <m/>
    <m/>
    <m/>
    <m/>
    <m/>
    <m/>
    <m/>
    <m/>
    <m/>
    <m/>
  </r>
  <r>
    <d v="2021-10-21T00:00:00"/>
    <s v="VZ-2021-001132"/>
    <x v="4"/>
    <n v="600000"/>
    <x v="2"/>
    <d v="2021-11-22T00:00:00"/>
    <d v="2021-11-30T00:00:00"/>
    <d v="2021-12-08T00:00:00"/>
    <m/>
    <m/>
    <m/>
    <d v="2021-12-08T00:00:00"/>
    <d v="2021-12-16T00:00:00"/>
    <n v="32"/>
    <n v="8"/>
    <n v="8"/>
    <n v="8"/>
    <n v="56"/>
  </r>
  <r>
    <s v="opakovaná VZ"/>
    <s v="VZ-2021-001157"/>
    <x v="1"/>
    <n v="330000"/>
    <x v="2"/>
    <d v="2021-11-02T00:00:00"/>
    <d v="2021-11-09T00:00:00"/>
    <d v="2021-11-23T00:00:00"/>
    <m/>
    <m/>
    <m/>
    <d v="2021-11-24T00:00:00"/>
    <d v="2021-12-27T00:00:00"/>
    <m/>
    <m/>
    <m/>
    <m/>
    <m/>
  </r>
  <r>
    <d v="2021-10-21T00:00:00"/>
    <s v="VZ-2021-001160"/>
    <x v="2"/>
    <n v="640000"/>
    <x v="0"/>
    <d v="2021-11-03T00:00:00"/>
    <d v="2021-12-07T00:00:00"/>
    <d v="2021-12-22T00:00:00"/>
    <m/>
    <m/>
    <m/>
    <d v="2021-12-22T00:00:00"/>
    <m/>
    <m/>
    <m/>
    <m/>
    <m/>
    <m/>
  </r>
  <r>
    <d v="2021-10-21T00:00:00"/>
    <s v="VZ-2021-001160"/>
    <x v="2"/>
    <n v="1935000"/>
    <x v="0"/>
    <d v="2021-11-03T00:00:00"/>
    <d v="2021-12-07T00:00:00"/>
    <d v="2021-12-22T00:00:00"/>
    <m/>
    <m/>
    <m/>
    <d v="2021-12-22T00:00:00"/>
    <m/>
    <m/>
    <m/>
    <m/>
    <m/>
    <m/>
  </r>
  <r>
    <d v="2021-10-21T00:00:00"/>
    <s v="VZ-2021-001160"/>
    <x v="2"/>
    <n v="113300"/>
    <x v="0"/>
    <d v="2021-11-03T00:00:00"/>
    <d v="2021-12-07T00:00:00"/>
    <d v="2021-12-22T00:00:00"/>
    <m/>
    <m/>
    <m/>
    <d v="2021-12-22T00:00:00"/>
    <m/>
    <m/>
    <m/>
    <m/>
    <m/>
    <m/>
  </r>
  <r>
    <d v="2021-10-21T00:00:00"/>
    <s v="VZ-2021-001160"/>
    <x v="2"/>
    <n v="292875"/>
    <x v="0"/>
    <d v="2021-11-03T00:00:00"/>
    <d v="2021-12-07T00:00:00"/>
    <d v="2021-12-22T00:00:00"/>
    <m/>
    <m/>
    <m/>
    <d v="2021-12-22T00:00:00"/>
    <m/>
    <m/>
    <m/>
    <m/>
    <m/>
    <m/>
  </r>
  <r>
    <d v="2021-10-21T00:00:00"/>
    <s v="VZ-2021-001160"/>
    <x v="2"/>
    <n v="921800"/>
    <x v="0"/>
    <d v="2021-11-03T00:00:00"/>
    <d v="2021-12-07T00:00:00"/>
    <d v="2021-12-22T00:00:00"/>
    <m/>
    <m/>
    <m/>
    <d v="2021-12-22T00:00:00"/>
    <m/>
    <m/>
    <m/>
    <m/>
    <m/>
    <m/>
  </r>
  <r>
    <d v="2021-10-21T00:00:00"/>
    <s v="VZ-2021-001160"/>
    <x v="2"/>
    <n v="4415340"/>
    <x v="0"/>
    <d v="2021-11-03T00:00:00"/>
    <d v="2021-12-07T00:00:00"/>
    <d v="2021-12-22T00:00:00"/>
    <m/>
    <m/>
    <m/>
    <d v="2021-12-22T00:00:00"/>
    <m/>
    <m/>
    <m/>
    <m/>
    <m/>
    <m/>
  </r>
  <r>
    <d v="2021-12-03T00:00:00"/>
    <s v="VZ-2021-001166"/>
    <x v="0"/>
    <n v="4716408"/>
    <x v="0"/>
    <d v="2021-12-20T00:00:00"/>
    <d v="2022-02-15T00:00:00"/>
    <m/>
    <m/>
    <m/>
    <m/>
    <m/>
    <m/>
    <m/>
    <m/>
    <m/>
    <m/>
    <m/>
  </r>
  <r>
    <d v="2021-10-21T00:00:00"/>
    <s v="VZ-2021-001171"/>
    <x v="2"/>
    <n v="4090909"/>
    <x v="0"/>
    <d v="2021-11-05T00:00:00"/>
    <d v="2021-12-09T00:00:00"/>
    <m/>
    <m/>
    <m/>
    <m/>
    <m/>
    <m/>
    <m/>
    <m/>
    <m/>
    <m/>
    <m/>
  </r>
  <r>
    <s v="opakovaná VZ"/>
    <s v="VZ-2021-001173"/>
    <x v="9"/>
    <n v="7730000"/>
    <x v="0"/>
    <d v="2021-11-04T00:00:00"/>
    <d v="2021-12-09T00:00:00"/>
    <m/>
    <m/>
    <m/>
    <m/>
    <m/>
    <m/>
    <m/>
    <m/>
    <m/>
    <m/>
    <m/>
  </r>
  <r>
    <d v="2021-11-02T00:00:00"/>
    <s v="VZ-2021-001174"/>
    <x v="4"/>
    <n v="7300000"/>
    <x v="1"/>
    <d v="2021-11-05T00:00:00"/>
    <d v="2021-11-25T00:00:00"/>
    <d v="2021-12-16T00:00:00"/>
    <m/>
    <m/>
    <m/>
    <d v="2021-12-16T00:00:00"/>
    <m/>
    <m/>
    <m/>
    <m/>
    <m/>
    <m/>
  </r>
  <r>
    <d v="2021-11-03T00:00:00"/>
    <s v="VZ-2021-001175"/>
    <x v="8"/>
    <n v="6500000"/>
    <x v="1"/>
    <d v="2021-11-26T00:00:00"/>
    <d v="2021-12-15T00:00:00"/>
    <m/>
    <m/>
    <m/>
    <m/>
    <m/>
    <m/>
    <m/>
    <m/>
    <m/>
    <m/>
    <m/>
  </r>
  <r>
    <d v="2021-10-25T00:00:00"/>
    <s v="VZ-2021-001178"/>
    <x v="1"/>
    <n v="1950000"/>
    <x v="2"/>
    <d v="2021-11-08T00:00:00"/>
    <d v="2021-11-16T00:00:00"/>
    <m/>
    <m/>
    <m/>
    <m/>
    <m/>
    <m/>
    <m/>
    <m/>
    <m/>
    <m/>
    <m/>
  </r>
  <r>
    <d v="2021-10-08T00:00:00"/>
    <s v="VZ-2021-001183"/>
    <x v="1"/>
    <n v="190000"/>
    <x v="2"/>
    <d v="2021-11-08T00:00:00"/>
    <d v="2021-11-16T00:00:00"/>
    <d v="2021-12-03T00:00:00"/>
    <m/>
    <m/>
    <m/>
    <d v="2021-12-06T00:00:00"/>
    <m/>
    <m/>
    <m/>
    <m/>
    <m/>
    <m/>
  </r>
  <r>
    <s v="opakovaná VZ"/>
    <s v="VZ-2021-001184"/>
    <x v="2"/>
    <n v="840000"/>
    <x v="0"/>
    <d v="2021-11-09T00:00:00"/>
    <d v="2021-12-13T00:00:00"/>
    <d v="2021-12-22T00:00:00"/>
    <m/>
    <m/>
    <m/>
    <d v="2021-12-22T00:00:00"/>
    <m/>
    <m/>
    <m/>
    <m/>
    <m/>
    <m/>
  </r>
  <r>
    <d v="2021-10-12T00:00:00"/>
    <s v="VZ-2021-001193"/>
    <x v="1"/>
    <n v="124000"/>
    <x v="2"/>
    <d v="2021-11-11T00:00:00"/>
    <d v="2021-11-25T00:00:00"/>
    <m/>
    <m/>
    <m/>
    <m/>
    <m/>
    <m/>
    <m/>
    <m/>
    <m/>
    <m/>
    <m/>
  </r>
  <r>
    <s v="opakovaná VZ"/>
    <s v="VZ-2021-001196"/>
    <x v="2"/>
    <n v="6336997"/>
    <x v="0"/>
    <d v="2021-11-23T00:00:00"/>
    <d v="2021-12-27T00:00:00"/>
    <m/>
    <m/>
    <m/>
    <m/>
    <m/>
    <m/>
    <m/>
    <m/>
    <m/>
    <m/>
    <m/>
  </r>
  <r>
    <d v="2021-09-14T00:00:00"/>
    <s v="VZ-2021-001197"/>
    <x v="1"/>
    <n v="139000"/>
    <x v="2"/>
    <d v="2021-11-15T00:00:00"/>
    <d v="2021-11-23T00:00:00"/>
    <d v="2021-12-03T00:00:00"/>
    <m/>
    <m/>
    <m/>
    <d v="2021-12-06T00:00:00"/>
    <d v="2021-12-31T00:00:00"/>
    <n v="62"/>
    <n v="8"/>
    <n v="10"/>
    <n v="28"/>
    <n v="108"/>
  </r>
  <r>
    <d v="2021-11-11T00:00:00"/>
    <s v="VZ-2021-001206"/>
    <x v="1"/>
    <n v="973000"/>
    <x v="2"/>
    <d v="2021-11-12T00:00:00"/>
    <d v="2021-11-19T00:00:00"/>
    <d v="2021-11-23T00:00:00"/>
    <m/>
    <m/>
    <m/>
    <d v="2021-11-24T00:00:00"/>
    <d v="2021-12-16T00:00:00"/>
    <n v="1"/>
    <n v="7"/>
    <n v="4"/>
    <n v="23"/>
    <n v="3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6">
  <r>
    <s v="xxx"/>
    <s v="xxx"/>
    <s v="xxx"/>
    <s v="VZ-2018-000127"/>
    <s v="ZM"/>
    <s v="Merta"/>
    <x v="0"/>
    <n v="5"/>
    <s v="Koronární (PTCA) vodiče - základní typ"/>
    <m/>
    <s v="33141210-5"/>
    <m/>
    <n v="1995000"/>
    <x v="0"/>
    <d v="2018-04-19T00:00:00"/>
    <d v="2018-05-31T00:00:00"/>
    <m/>
    <s v="zrušeno - nezbyl žádný účastník"/>
    <s v="nová VZ-2019-000202"/>
    <n v="1974100"/>
    <n v="2388661"/>
    <m/>
    <m/>
    <m/>
    <m/>
    <m/>
    <x v="0"/>
    <d v="2019-01-18T00:00:00"/>
    <m/>
  </r>
  <r>
    <s v="xxx"/>
    <s v="xxx"/>
    <s v="xxx"/>
    <s v="VZ-2018-000127"/>
    <s v="ZM"/>
    <s v="Merta"/>
    <x v="0"/>
    <n v="6"/>
    <s v="Koronární (PTCA) vodiče - vodiče se zvýšenou odolností měkkého distálního konce, včetně vodičů pro použití chronických uzávěrů (CTO)"/>
    <m/>
    <s v="33141210-5"/>
    <m/>
    <n v="870000"/>
    <x v="0"/>
    <d v="2018-04-19T00:00:00"/>
    <d v="2018-05-31T00:00:00"/>
    <d v="2018-09-07T00:00:00"/>
    <s v="INLAB Medical, s.r.o."/>
    <m/>
    <n v="870000"/>
    <n v="1052700"/>
    <m/>
    <m/>
    <m/>
    <d v="2018-09-12T00:00:00"/>
    <s v="SMLN-2018-617-000295_x000a_SMLN-2018-614-000051"/>
    <x v="1"/>
    <d v="2019-01-18T00:00:00"/>
    <d v="2020-06-30T00:00:00"/>
  </r>
  <r>
    <s v="xxx"/>
    <s v="xxx"/>
    <s v="xxx"/>
    <s v="VZ-2018-000127"/>
    <s v="ZM"/>
    <s v="Merta"/>
    <x v="0"/>
    <n v="18"/>
    <s v="Koronární stenty lékové DES 2 (Drug Eluting Stents - DES)"/>
    <m/>
    <s v="33141210-5"/>
    <m/>
    <n v="11865750"/>
    <x v="0"/>
    <d v="2018-04-19T00:00:00"/>
    <d v="2018-05-31T00:00:00"/>
    <d v="2018-09-07T00:00:00"/>
    <s v="INLAB Medical, s.r.o."/>
    <m/>
    <n v="11856000"/>
    <n v="13634399.999999998"/>
    <m/>
    <m/>
    <m/>
    <d v="2018-09-12T00:00:00"/>
    <s v="SMLN-2018-617-000302_x000a_SMLN-2018-614-000058"/>
    <x v="1"/>
    <d v="2019-01-18T00:00:00"/>
    <d v="2020-06-30T00:00:00"/>
  </r>
  <r>
    <s v="xxx"/>
    <s v="xxx"/>
    <s v="xxx"/>
    <s v="VZ-2018-000267"/>
    <s v="ZM"/>
    <s v="Merta"/>
    <x v="1"/>
    <n v="1"/>
    <s v="TEP kyčelního kloubu"/>
    <m/>
    <s v="33141750-2"/>
    <m/>
    <n v="17610000"/>
    <x v="0"/>
    <d v="2018-06-08T00:00:00"/>
    <d v="2018-08-01T00:00:00"/>
    <d v="2018-10-15T00:00:00"/>
    <s v="ZIMMER Czech s.r.o."/>
    <m/>
    <n v="13797684.699999999"/>
    <n v="15867337.449999999"/>
    <m/>
    <m/>
    <m/>
    <d v="2018-10-17T00:00:00"/>
    <s v="SMLN-2018-617-000360_x000a_SMLN-2018-614-000083"/>
    <x v="2"/>
    <d v="2019-03-19T00:00:00"/>
    <d v="2020-09-14T00:00:00"/>
  </r>
  <r>
    <s v="xxx"/>
    <s v="xxx"/>
    <s v="xxx"/>
    <s v="VZ-2018-000267"/>
    <s v="ZM"/>
    <s v="Merta"/>
    <x v="1"/>
    <n v="2"/>
    <s v="TEP kyčelního kloubu - speciál I."/>
    <m/>
    <s v="33141750-2"/>
    <m/>
    <n v="1650000"/>
    <x v="0"/>
    <d v="2018-06-08T00:00:00"/>
    <d v="2018-08-01T00:00:00"/>
    <d v="2018-10-15T00:00:00"/>
    <s v="Johnson &amp; Johnson s.r.o."/>
    <m/>
    <n v="990000"/>
    <n v="1138500"/>
    <m/>
    <m/>
    <m/>
    <d v="2018-10-17T00:00:00"/>
    <s v="SMLN-2018-617-000361_x000a_SMLN-2018-614-000084"/>
    <x v="3"/>
    <d v="2019-03-19T00:00:00"/>
    <d v="2020-09-10T00:00:00"/>
  </r>
  <r>
    <s v="xxx"/>
    <s v="xxx"/>
    <s v="xxx"/>
    <s v="VZ-2018-000267"/>
    <s v="ZM"/>
    <s v="Merta"/>
    <x v="1"/>
    <n v="3"/>
    <s v="TEP kyčelního kloubu - speciál II."/>
    <m/>
    <s v="33141750-2"/>
    <m/>
    <n v="2700000"/>
    <x v="0"/>
    <d v="2018-06-08T00:00:00"/>
    <d v="2018-08-01T00:00:00"/>
    <d v="2018-10-15T00:00:00"/>
    <s v="ZIMMER Czech s.r.o."/>
    <m/>
    <n v="1677000"/>
    <n v="1928550"/>
    <m/>
    <m/>
    <m/>
    <d v="2018-10-17T00:00:00"/>
    <s v="SMLN-2018-617-000362_x000a_SMLN-2018-614-000085"/>
    <x v="2"/>
    <d v="2019-03-19T00:00:00"/>
    <d v="2020-09-14T00:00:00"/>
  </r>
  <r>
    <s v="xxx"/>
    <s v="xxx"/>
    <s v="xxx"/>
    <s v="VZ-2018-000267"/>
    <s v="ZM"/>
    <s v="Merta"/>
    <x v="1"/>
    <n v="4"/>
    <s v="TEP koleního kloubu ."/>
    <m/>
    <s v="33141750-2"/>
    <m/>
    <n v="9420000"/>
    <x v="0"/>
    <d v="2018-06-08T00:00:00"/>
    <d v="2018-08-01T00:00:00"/>
    <d v="2018-10-15T00:00:00"/>
    <s v="ZIMMER Czech s.r.o."/>
    <m/>
    <n v="7097500"/>
    <n v="8162125"/>
    <m/>
    <m/>
    <m/>
    <d v="2018-10-17T00:00:00"/>
    <s v="SMLN-2018-617-000363_x000a_SMLN-2018-614-000086"/>
    <x v="2"/>
    <d v="2019-03-19T00:00:00"/>
    <d v="2020-09-14T00:00:00"/>
  </r>
  <r>
    <s v="xxx"/>
    <s v="xxx"/>
    <s v="xxx"/>
    <s v="VZ-2018-000267"/>
    <s v="ZM"/>
    <s v="Merta"/>
    <x v="1"/>
    <n v="5"/>
    <s v="TEP koleního kloubu - speciál I."/>
    <m/>
    <s v="33141750-2"/>
    <m/>
    <n v="1200000"/>
    <x v="0"/>
    <d v="2018-06-08T00:00:00"/>
    <d v="2018-08-01T00:00:00"/>
    <d v="2018-10-15T00:00:00"/>
    <s v="ZIMMER Czech s.r.o."/>
    <m/>
    <n v="990000"/>
    <n v="1138500"/>
    <m/>
    <m/>
    <m/>
    <d v="2018-10-17T00:00:00"/>
    <s v="SMLN-2018-617-000364_x000a_SMLN-2018-614-000087"/>
    <x v="2"/>
    <d v="2019-03-19T00:00:00"/>
    <d v="2020-09-14T00:00:00"/>
  </r>
  <r>
    <s v="xxx"/>
    <s v="xxx"/>
    <s v="xxx"/>
    <s v="VZ-2018-000267"/>
    <s v="ZM"/>
    <s v="Merta"/>
    <x v="1"/>
    <n v="6"/>
    <s v="TEP koleního kloubu - speciál II."/>
    <m/>
    <s v="33141750-2"/>
    <m/>
    <n v="2100000"/>
    <x v="0"/>
    <d v="2018-06-08T00:00:00"/>
    <d v="2018-08-01T00:00:00"/>
    <d v="2018-10-15T00:00:00"/>
    <s v="ZIMMER Czech s.r.o."/>
    <m/>
    <n v="1650000"/>
    <n v="1897500"/>
    <m/>
    <m/>
    <m/>
    <d v="2018-10-17T00:00:00"/>
    <s v="SMLN-2018-617-000365_x000a_SMLN-2018-614-000088"/>
    <x v="2"/>
    <d v="2019-03-19T00:00:00"/>
    <d v="2020-09-14T00:00:00"/>
  </r>
  <r>
    <s v="xxx"/>
    <s v="xxx"/>
    <s v="xxx"/>
    <s v="VZ-2018-000332"/>
    <s v="ZM"/>
    <s v="Merta"/>
    <x v="2"/>
    <n v="1"/>
    <s v="Implantabilní dvoukanálový neurostimulační systém k léčbě Hlubokou Mozkovou Stimulací (DBS) - MRI kompatibilní - dobíjitelný"/>
    <m/>
    <s v="33158210-7"/>
    <m/>
    <n v="4707330"/>
    <x v="0"/>
    <d v="2018-10-03T00:00:00"/>
    <d v="2018-11-06T00:00:00"/>
    <d v="2019-04-23T00:00:00"/>
    <s v="Medifine a.s."/>
    <m/>
    <n v="4289133.8"/>
    <n v="4939616.2"/>
    <m/>
    <m/>
    <m/>
    <d v="2019-04-25T00:00:00"/>
    <s v="SMLN-2019-617-000199_x000a_SMLN-2019-614-000018_x000a_SMLN-2019-616-000029"/>
    <x v="4"/>
    <d v="2019-07-12T00:00:00"/>
    <d v="2020-12-27T00:00:00"/>
  </r>
  <r>
    <s v="xxx"/>
    <s v="xxx"/>
    <s v="xxx"/>
    <s v="VZ-2018-000332"/>
    <s v="ZM"/>
    <s v="Merta"/>
    <x v="2"/>
    <n v="2"/>
    <s v="Implantabilní dvoukanálový neurostimulační systém k léčbě Hlubokou Mozkovou Stimulací (DBS) - MRI kompatibilní - nedobíjitelný"/>
    <m/>
    <s v="33158210-7"/>
    <m/>
    <n v="27186970"/>
    <x v="0"/>
    <d v="2018-10-03T00:00:00"/>
    <d v="2018-11-06T00:00:00"/>
    <d v="2019-04-23T00:00:00"/>
    <s v="Medifine a.s."/>
    <m/>
    <n v="25803589.02"/>
    <n v="29701249.710000001"/>
    <m/>
    <m/>
    <m/>
    <d v="2019-04-25T00:00:00"/>
    <s v="SMLN-2019-617-000200_x000a_SMLN-2019-614-000019"/>
    <x v="4"/>
    <d v="2019-07-12T00:00:00"/>
    <d v="2020-12-27T00:00:00"/>
  </r>
  <r>
    <s v="xxx"/>
    <s v="xxx"/>
    <s v="xxx"/>
    <s v="VZ-2018-000332"/>
    <s v="ZM"/>
    <s v="Merta"/>
    <x v="2"/>
    <n v="3"/>
    <s v="Implantabilní neurostimulační systém dvoukanálový k léčbě bolestivých stavů - MRI kompatibilní - nedobíjitelný"/>
    <m/>
    <s v="33158210-7"/>
    <m/>
    <n v="7792000"/>
    <x v="0"/>
    <d v="2018-10-03T00:00:00"/>
    <d v="2018-11-06T00:00:00"/>
    <d v="2019-04-23T00:00:00"/>
    <s v="Medifine a.s."/>
    <m/>
    <n v="7777523.2000000002"/>
    <n v="8960589.5999999996"/>
    <m/>
    <m/>
    <m/>
    <d v="2019-04-25T00:00:00"/>
    <s v="SMLN-2019-617-000201_x000a_SMLN-2019-614-000020"/>
    <x v="4"/>
    <d v="2019-07-12T00:00:00"/>
    <d v="2020-12-27T00:00:00"/>
  </r>
  <r>
    <s v="xxx"/>
    <s v="xxx"/>
    <s v="xxx"/>
    <s v="VZ-2018-000332"/>
    <s v="ZM"/>
    <s v="Merta"/>
    <x v="2"/>
    <n v="4"/>
    <s v="Implantabilní neurostimulační systém dvoukanálový k léčbě bolestivých stavů - MRI kompatibilní - dobíjitelný "/>
    <m/>
    <s v="33158210-7"/>
    <m/>
    <n v="2456000"/>
    <x v="0"/>
    <d v="2018-10-03T00:00:00"/>
    <d v="2018-11-06T00:00:00"/>
    <d v="2019-04-23T00:00:00"/>
    <s v="Medifine a.s."/>
    <m/>
    <n v="2451609.56"/>
    <n v="2825040.84"/>
    <m/>
    <m/>
    <m/>
    <d v="2019-04-25T00:00:00"/>
    <s v="SMLN-2019-617-000202_x000a_SMLN-2019-614-000021"/>
    <x v="4"/>
    <d v="2019-07-12T00:00:00"/>
    <d v="2020-12-27T00:00:00"/>
  </r>
  <r>
    <s v="xxx"/>
    <s v="xxx"/>
    <s v="xxx"/>
    <s v="VZ-2018-000332"/>
    <s v="ZM"/>
    <s v="Merta"/>
    <x v="2"/>
    <n v="5"/>
    <s v="Implantabilní programovatelné lékové pumpy"/>
    <m/>
    <s v="33158210-7"/>
    <m/>
    <n v="3000000"/>
    <x v="0"/>
    <d v="2018-10-03T00:00:00"/>
    <d v="2018-11-06T00:00:00"/>
    <d v="2019-04-23T00:00:00"/>
    <s v="Medifine a.s."/>
    <m/>
    <n v="2958928.04"/>
    <n v="3408015.94"/>
    <m/>
    <m/>
    <m/>
    <d v="2019-04-25T00:00:00"/>
    <s v="SMLN-2019-617-000203_x000a_SMLN-2019-614-000022"/>
    <x v="4"/>
    <d v="2019-07-12T00:00:00"/>
    <d v="2020-12-27T00:00:00"/>
  </r>
  <r>
    <s v="xxx"/>
    <s v="xxx"/>
    <s v="xxx"/>
    <s v="VZ-2018-000334"/>
    <s v="INF"/>
    <s v="Oravec"/>
    <x v="3"/>
    <m/>
    <m/>
    <m/>
    <s v="30125110-5 "/>
    <m/>
    <n v="4942180"/>
    <x v="0"/>
    <d v="2018-05-25T00:00:00"/>
    <d v="2018-08-16T00:00:00"/>
    <d v="2018-09-05T00:00:00"/>
    <s v="COMP´S spol. s r.o."/>
    <m/>
    <n v="4133552"/>
    <n v="5001597.92"/>
    <m/>
    <m/>
    <m/>
    <d v="2018-09-06T00:00:00"/>
    <s v="SMLN-2018-617-000284"/>
    <x v="5"/>
    <d v="2019-01-16T00:00:00"/>
    <d v="2021-01-10T00:00:00"/>
  </r>
  <r>
    <s v="xxx"/>
    <s v="xxx"/>
    <s v="xxx"/>
    <s v="VZ-2018-000346"/>
    <s v="ZM"/>
    <s v="Merta"/>
    <x v="4"/>
    <n v="1"/>
    <s v="Srdeční aortální chlopně mechanické s kavitálním pivotem"/>
    <m/>
    <s v="33182220-7"/>
    <m/>
    <n v="546210"/>
    <x v="0"/>
    <d v="2018-09-06T00:00:00"/>
    <d v="2018-10-11T00:00:00"/>
    <d v="2018-11-07T00:00:00"/>
    <s v="CARDION s.r.o."/>
    <m/>
    <n v="540000"/>
    <n v="621000"/>
    <m/>
    <m/>
    <m/>
    <d v="2018-11-09T00:00:00"/>
    <s v="SMLN-2018-617-000405_x000a_SMLN-2018-614-000092"/>
    <x v="6"/>
    <d v="2019-01-25T00:00:00"/>
    <d v="2020-07-20T00:00:00"/>
  </r>
  <r>
    <s v="xxx"/>
    <s v="xxx"/>
    <s v="xxx"/>
    <s v="VZ-2018-000346"/>
    <s v="ZM"/>
    <s v="Merta"/>
    <x v="4"/>
    <n v="2"/>
    <s v="Srdeční aortální chlopně mechanické pro nižší hladinu antikoagulace (INR 1,5-2)"/>
    <m/>
    <s v="33182220-7"/>
    <m/>
    <n v="225650"/>
    <x v="0"/>
    <d v="2018-09-06T00:00:00"/>
    <d v="2018-10-11T00:00:00"/>
    <d v="2018-11-07T00:00:00"/>
    <s v="Meditrade  spol. s r.o."/>
    <m/>
    <n v="225650"/>
    <n v="259497.5"/>
    <m/>
    <m/>
    <m/>
    <d v="2018-11-09T00:00:00"/>
    <s v="SMLN-2018-617-000406_x000a_SMLN-2018-614-000093"/>
    <x v="6"/>
    <d v="2019-01-25T00:00:00"/>
    <d v="2020-07-20T00:00:00"/>
  </r>
  <r>
    <s v="xxx"/>
    <s v="xxx"/>
    <s v="xxx"/>
    <s v="VZ-2018-000346"/>
    <s v="ZM"/>
    <s v="Merta"/>
    <x v="4"/>
    <n v="3"/>
    <s v="Srdeční mitrální chlopně mechanické"/>
    <m/>
    <s v="33182220-7"/>
    <m/>
    <n v="587800"/>
    <x v="0"/>
    <d v="2018-09-06T00:00:00"/>
    <d v="2018-10-11T00:00:00"/>
    <d v="2018-11-07T00:00:00"/>
    <s v="CARDION s.r.o."/>
    <m/>
    <n v="580000"/>
    <n v="667000"/>
    <m/>
    <m/>
    <m/>
    <d v="2018-11-09T00:00:00"/>
    <s v="SMLN-2018-617-000409_x000a_SMLN-2018-614-000094"/>
    <x v="6"/>
    <d v="2019-01-25T00:00:00"/>
    <d v="2020-07-20T00:00:00"/>
  </r>
  <r>
    <s v="xxx"/>
    <s v="xxx"/>
    <s v="xxx"/>
    <s v="VZ-2018-000346"/>
    <s v="ZM"/>
    <s v="Merta"/>
    <x v="4"/>
    <n v="4"/>
    <s v="Srdeční aortální chlopně biologické perikardiální do těsných anulů"/>
    <m/>
    <s v="33182220-7"/>
    <m/>
    <n v="6780480"/>
    <x v="0"/>
    <d v="2018-09-06T00:00:00"/>
    <d v="2018-10-11T00:00:00"/>
    <d v="2018-11-07T00:00:00"/>
    <s v="CARDION s.r.o."/>
    <m/>
    <n v="6720000"/>
    <n v="7728000"/>
    <m/>
    <m/>
    <m/>
    <d v="2018-11-09T00:00:00"/>
    <s v="SMLN-2018-617-000410_x000a_SMLN-2018-614-000095"/>
    <x v="6"/>
    <d v="2019-01-25T00:00:00"/>
    <d v="2020-07-20T00:00:00"/>
  </r>
  <r>
    <s v="xxx"/>
    <s v="xxx"/>
    <s v="xxx"/>
    <s v="VZ-2018-000346"/>
    <s v="ZM"/>
    <s v="Merta"/>
    <x v="4"/>
    <n v="6"/>
    <s v="Srdeční aortální chlopně biologické perikardiální do větších anulů s dlouhodobou životností"/>
    <m/>
    <s v="33182220-7"/>
    <m/>
    <n v="1792000"/>
    <x v="0"/>
    <d v="2018-09-06T00:00:00"/>
    <d v="2018-10-11T00:00:00"/>
    <d v="2018-11-07T00:00:00"/>
    <s v="Edwards Lifesciences "/>
    <m/>
    <n v="1792000"/>
    <n v="2060799.9999999998"/>
    <m/>
    <m/>
    <m/>
    <d v="2018-11-09T00:00:00"/>
    <s v="SMLN-2018-617-000411_x000a_SMLN-2018-614-000096"/>
    <x v="6"/>
    <d v="2019-01-25T00:00:00"/>
    <d v="2020-07-20T00:00:00"/>
  </r>
  <r>
    <s v="xxx"/>
    <s v="xxx"/>
    <s v="xxx"/>
    <s v="VZ-2018-000346"/>
    <s v="ZM"/>
    <s v="Merta"/>
    <x v="4"/>
    <n v="7"/>
    <s v="Srdeční mitrální chlopně biologické prasečí"/>
    <m/>
    <s v="33182220-7"/>
    <m/>
    <n v="702150"/>
    <x v="0"/>
    <d v="2018-09-06T00:00:00"/>
    <d v="2018-10-11T00:00:00"/>
    <d v="2018-11-07T00:00:00"/>
    <s v="CARDION s.r.o."/>
    <m/>
    <n v="700000"/>
    <n v="805000"/>
    <m/>
    <m/>
    <m/>
    <d v="2018-11-09T00:00:00"/>
    <s v="SMLN-2018-617-000412_x000a_SMLN-2018-614-000097"/>
    <x v="6"/>
    <d v="2019-01-25T00:00:00"/>
    <d v="2020-07-20T00:00:00"/>
  </r>
  <r>
    <s v="xxx"/>
    <s v="xxx"/>
    <s v="xxx"/>
    <s v="VZ-2018-000346"/>
    <s v="ZM"/>
    <s v="Merta"/>
    <x v="4"/>
    <n v="9"/>
    <s v="Anuloplastické prstence semirigidní trikuspidální velikosti 28 - 38 mm "/>
    <m/>
    <s v="33182220-7"/>
    <m/>
    <n v="407460"/>
    <x v="0"/>
    <d v="2018-09-06T00:00:00"/>
    <d v="2018-10-11T00:00:00"/>
    <d v="2018-11-07T00:00:00"/>
    <s v="Edwards Lifesciences "/>
    <m/>
    <n v="407460"/>
    <n v="468579"/>
    <m/>
    <m/>
    <m/>
    <d v="2019-01-03T00:00:00"/>
    <s v="SMLN-2019-617-000002_x000a_SMLN-2019-614-000001"/>
    <x v="6"/>
    <d v="2019-01-25T00:00:00"/>
    <d v="2020-07-20T00:00:00"/>
  </r>
  <r>
    <s v="xxx"/>
    <s v="xxx"/>
    <s v="xxx"/>
    <s v="VZ-2018-000356"/>
    <s v="IROP"/>
    <s v="Neudörflerová"/>
    <x v="5"/>
    <n v="1"/>
    <s v="Resuscitační přístroj"/>
    <m/>
    <s v="33172200-8  "/>
    <s v="2.3.328."/>
    <n v="789537"/>
    <x v="0"/>
    <d v="2018-06-13T00:00:00"/>
    <d v="2018-09-10T00:00:00"/>
    <d v="2018-12-14T00:00:00"/>
    <s v="medisap s.r.o."/>
    <m/>
    <n v="814390"/>
    <n v="985411.9"/>
    <m/>
    <m/>
    <m/>
    <d v="2018-12-14T00:00:00"/>
    <s v="SMLN-2018-617-000458_x000a_SMLN-2018-612-000151"/>
    <x v="7"/>
    <d v="2019-02-13T00:00:00"/>
    <d v="2019-04-17T00:00:00"/>
  </r>
  <r>
    <s v="xxx"/>
    <s v="xxx"/>
    <s v="xxx"/>
    <s v="VZ-2018-000356"/>
    <s v="IROP"/>
    <s v="Neudörflerová"/>
    <x v="5"/>
    <n v="2"/>
    <s v="Plicní ventilátor"/>
    <m/>
    <s v="33172000-6"/>
    <s v="2.3.329."/>
    <n v="12102396"/>
    <x v="0"/>
    <d v="2018-06-13T00:00:00"/>
    <d v="2018-09-10T00:00:00"/>
    <d v="2018-12-14T00:00:00"/>
    <s v="Dräger Medical s.r.o."/>
    <m/>
    <n v="10812100"/>
    <n v="13082641"/>
    <m/>
    <m/>
    <m/>
    <d v="2018-12-14T00:00:00"/>
    <s v="SMLN-2018-617-000459_x000a_SMLN-2018-612-000152"/>
    <x v="7"/>
    <d v="2019-02-13T00:00:00"/>
    <d v="2019-04-03T00:00:00"/>
  </r>
  <r>
    <s v="xxx"/>
    <s v="xxx"/>
    <s v="xxx"/>
    <s v="VZ-2018-000356"/>
    <s v="IROP"/>
    <s v="Neudörflerová"/>
    <x v="5"/>
    <n v="3"/>
    <s v="Přístroj pro podporu dýchání"/>
    <m/>
    <s v="33172000-6"/>
    <s v="2.3.330."/>
    <n v="2259338"/>
    <x v="0"/>
    <d v="2018-06-13T00:00:00"/>
    <d v="2018-09-10T00:00:00"/>
    <m/>
    <s v="zrušeno"/>
    <s v="nová VZ-2019-000168"/>
    <m/>
    <m/>
    <m/>
    <m/>
    <m/>
    <m/>
    <m/>
    <x v="0"/>
    <d v="2019-02-13T00:00:00"/>
    <m/>
  </r>
  <r>
    <s v="xxx"/>
    <s v="xxx"/>
    <s v="xxx"/>
    <s v="VZ-2018-000356"/>
    <s v="IROP"/>
    <s v="Neudörflerová"/>
    <x v="5"/>
    <n v="4"/>
    <s v="Zvlhčovací kanyla"/>
    <m/>
    <s v="33172000-6"/>
    <s v="2.3.335."/>
    <n v="448283"/>
    <x v="0"/>
    <d v="2018-06-13T00:00:00"/>
    <d v="2018-09-10T00:00:00"/>
    <d v="2018-12-14T00:00:00"/>
    <s v="Dartin spol. s r.o."/>
    <m/>
    <n v="665561.80000000005"/>
    <n v="805329.77800000005"/>
    <m/>
    <m/>
    <m/>
    <d v="2018-12-14T00:00:00"/>
    <s v="SMLN-2018-617-000460_x000a_SMLN-2018-612-000153"/>
    <x v="8"/>
    <d v="2019-02-13T00:00:00"/>
    <d v="2019-04-10T00:00:00"/>
  </r>
  <r>
    <s v="xxx"/>
    <s v="xxx"/>
    <s v="xxx"/>
    <s v="VZ-2018-000362"/>
    <s v="IROP"/>
    <s v="Neudörflerová"/>
    <x v="6"/>
    <n v="3"/>
    <s v="Inkubátor transportní"/>
    <m/>
    <s v="33152000-0 "/>
    <s v="3.2.325."/>
    <n v="976033.35"/>
    <x v="0"/>
    <d v="2018-06-15T00:00:00"/>
    <d v="2018-08-21T00:00:00"/>
    <d v="2018-10-30T00:00:00"/>
    <s v="Dartin spol. s r.o."/>
    <m/>
    <n v="1967572.28"/>
    <n v="2380762.4588000001"/>
    <m/>
    <m/>
    <m/>
    <d v="2018-11-02T00:00:00"/>
    <s v="SMLN-2018-617-000397_x000a_SMLN-2018-612-000129"/>
    <x v="9"/>
    <d v="2019-01-29T00:00:00"/>
    <d v="2019-04-04T00:00:00"/>
  </r>
  <r>
    <s v="xxx"/>
    <s v="xxx"/>
    <s v="xxx"/>
    <s v="VZ-2018-000367"/>
    <s v="ZM"/>
    <s v="Čech"/>
    <x v="7"/>
    <n v="2"/>
    <s v="Fúzní náhrady krční meziobratlové ploténky"/>
    <m/>
    <s v="33184100-4"/>
    <m/>
    <n v="3300000"/>
    <x v="0"/>
    <d v="2018-06-18T00:00:00"/>
    <d v="2018-08-03T00:00:00"/>
    <d v="2018-10-15T00:00:00"/>
    <s v="BoneCare s.r.o."/>
    <m/>
    <n v="3240000"/>
    <n v="3726000"/>
    <m/>
    <m/>
    <m/>
    <d v="2018-10-16T00:00:00"/>
    <s v="SMLN-2018-617-000350_x000a_SMLN-2018-614-000074"/>
    <x v="10"/>
    <d v="2019-02-08T00:00:00"/>
    <d v="2020-08-03T00:00:00"/>
  </r>
  <r>
    <s v="xxx"/>
    <s v="xxx"/>
    <s v="xxx"/>
    <s v="VZ-2018-000367"/>
    <s v="ZM"/>
    <s v="Čech"/>
    <x v="7"/>
    <n v="3"/>
    <s v="Fúzní systémy pro stabilizaci krční páteře zadním přístupem"/>
    <m/>
    <s v="33184100-4"/>
    <m/>
    <n v="723000"/>
    <x v="0"/>
    <d v="2018-06-18T00:00:00"/>
    <d v="2018-08-03T00:00:00"/>
    <d v="2018-10-15T00:00:00"/>
    <s v="Johnson &amp; Johnson s.r.o."/>
    <m/>
    <n v="276383"/>
    <n v="317840.45"/>
    <m/>
    <m/>
    <m/>
    <d v="2018-10-16T00:00:00"/>
    <s v="SMLN-2018-617-000357_x000a_SMLN-2018-614-000080"/>
    <x v="10"/>
    <d v="2019-02-08T00:00:00"/>
    <d v="2020-08-03T00:00:00"/>
  </r>
  <r>
    <s v="xxx"/>
    <s v="xxx"/>
    <s v="xxx"/>
    <s v="VZ-2018-000367"/>
    <s v="ZM"/>
    <s v="Čech"/>
    <x v="7"/>
    <n v="4"/>
    <s v="Fúzní náhrada bederní meziobratlové ploténky – ALIF"/>
    <m/>
    <s v="33184100-4"/>
    <m/>
    <n v="419000"/>
    <x v="0"/>
    <d v="2018-06-18T00:00:00"/>
    <d v="2018-08-03T00:00:00"/>
    <d v="2018-10-15T00:00:00"/>
    <s v="BoneCare s.r.o."/>
    <m/>
    <n v="398000"/>
    <n v="457700"/>
    <m/>
    <m/>
    <m/>
    <d v="2018-10-16T00:00:00"/>
    <s v="SMLN-2018-617-000351_x000a_SMLN-2018-614-000075"/>
    <x v="10"/>
    <d v="2019-02-08T00:00:00"/>
    <d v="2020-08-03T00:00:00"/>
  </r>
  <r>
    <s v="xxx"/>
    <s v="xxx"/>
    <s v="xxx"/>
    <s v="VZ-2018-000367"/>
    <s v="ZM"/>
    <s v="Čech"/>
    <x v="7"/>
    <n v="5"/>
    <s v="Fúzní náhrada bederní meziobratlové ploténky – XLIF"/>
    <m/>
    <s v="33184100-4"/>
    <m/>
    <n v="1410000"/>
    <x v="0"/>
    <d v="2018-06-18T00:00:00"/>
    <d v="2018-08-03T00:00:00"/>
    <d v="2018-10-15T00:00:00"/>
    <s v="BoneCare s.r.o."/>
    <m/>
    <n v="1410000"/>
    <n v="1621500"/>
    <m/>
    <m/>
    <m/>
    <d v="2018-10-16T00:00:00"/>
    <s v="SMLN-2018-617-000352_x000a_SMLN-2018-614-000076"/>
    <x v="10"/>
    <d v="2019-02-08T00:00:00"/>
    <d v="2020-08-03T00:00:00"/>
  </r>
  <r>
    <s v="xxx"/>
    <s v="xxx"/>
    <s v="xxx"/>
    <s v="VZ-2018-000367"/>
    <s v="ZM"/>
    <s v="Čech"/>
    <x v="7"/>
    <n v="6"/>
    <s v="Fúzní náhrada bederní meziobratlové ploténky – PLIF expandibilní"/>
    <m/>
    <s v="33184100-4"/>
    <m/>
    <n v="616000"/>
    <x v="0"/>
    <d v="2018-06-18T00:00:00"/>
    <d v="2018-08-03T00:00:00"/>
    <d v="2018-10-15T00:00:00"/>
    <s v="BoneCare s.r.o."/>
    <m/>
    <n v="614250"/>
    <n v="706387.5"/>
    <m/>
    <m/>
    <m/>
    <d v="2018-10-16T00:00:00"/>
    <s v="SMLN-2018-617-000353_x000a_SMLN-2018-614-000077"/>
    <x v="10"/>
    <d v="2019-02-08T00:00:00"/>
    <d v="2020-08-03T00:00:00"/>
  </r>
  <r>
    <s v="xxx"/>
    <s v="xxx"/>
    <s v="xxx"/>
    <s v="VZ-2018-000367"/>
    <s v="ZM"/>
    <s v="Čech"/>
    <x v="7"/>
    <n v="7"/>
    <s v="Fúzní systém pro transpedikulární stabilizaci bederní páteře – degenerativní – k redukci pseudolistézy - spondylolistézy"/>
    <m/>
    <s v="33184100-4"/>
    <m/>
    <n v="4280000"/>
    <x v="0"/>
    <d v="2018-06-18T00:00:00"/>
    <d v="2018-08-03T00:00:00"/>
    <d v="2018-10-15T00:00:00"/>
    <s v="BoneCare s.r.o."/>
    <m/>
    <n v="2616000"/>
    <n v="3008400"/>
    <m/>
    <m/>
    <m/>
    <d v="2018-10-16T00:00:00"/>
    <s v="SMLN-2018-617-000354_x000a_SMLN-2018-614-000078"/>
    <x v="10"/>
    <d v="2019-02-08T00:00:00"/>
    <d v="2020-08-03T00:00:00"/>
  </r>
  <r>
    <s v="xxx"/>
    <s v="xxx"/>
    <s v="xxx"/>
    <s v="VZ-2018-000367"/>
    <s v="ZM"/>
    <s v="Čech"/>
    <x v="7"/>
    <n v="8"/>
    <s v="Fúzní systém pro transpedikulární stabilizaci hrudní a bederní páteře – traumatologický"/>
    <m/>
    <s v="33184100-4"/>
    <m/>
    <n v="4280000"/>
    <x v="0"/>
    <d v="2018-06-18T00:00:00"/>
    <d v="2018-08-03T00:00:00"/>
    <d v="2018-10-15T00:00:00"/>
    <s v="BoneCare s.r.o."/>
    <m/>
    <n v="2160000"/>
    <n v="2484000"/>
    <m/>
    <m/>
    <m/>
    <d v="2018-10-16T00:00:00"/>
    <s v="SMLN-2018-617-000355_x000a_SMLN-2018-614-000079"/>
    <x v="10"/>
    <d v="2019-02-08T00:00:00"/>
    <d v="2020-08-03T00:00:00"/>
  </r>
  <r>
    <s v="xxx"/>
    <s v="xxx"/>
    <s v="xxx"/>
    <s v="VZ-2018-000367"/>
    <s v="ZM"/>
    <s v="Čech"/>
    <x v="7"/>
    <n v="9"/>
    <s v="Fúzní systém pro transpedikulární stabilizaci hrudní a bederní páteře – šrouby pro osteoporotický terén – kanylové k aplikaci cementu"/>
    <m/>
    <s v="33184100-4"/>
    <m/>
    <n v="2817000"/>
    <x v="0"/>
    <d v="2018-06-18T00:00:00"/>
    <d v="2018-08-03T00:00:00"/>
    <m/>
    <s v="zrušeno"/>
    <s v="příprava nové VZ"/>
    <m/>
    <m/>
    <m/>
    <m/>
    <m/>
    <m/>
    <m/>
    <x v="0"/>
    <d v="2019-02-08T00:00:00"/>
    <m/>
  </r>
  <r>
    <s v="xxx"/>
    <s v="xxx"/>
    <s v="xxx"/>
    <s v="VZ-2018-000367"/>
    <s v="ZM"/>
    <s v="Čech"/>
    <x v="7"/>
    <n v="10"/>
    <s v="Fúzní náhrada těla krčního, hrudního a bederního obratle – expandibilní mechanicky"/>
    <m/>
    <s v="33184100-4"/>
    <m/>
    <n v="1335000"/>
    <x v="0"/>
    <d v="2018-06-18T00:00:00"/>
    <d v="2018-08-03T00:00:00"/>
    <d v="2019-01-21T00:00:00"/>
    <s v="BoneCare s.r.o."/>
    <m/>
    <n v="1320000"/>
    <n v="1518000"/>
    <m/>
    <m/>
    <m/>
    <d v="2019-01-21T00:00:00"/>
    <s v="SMLN-2019-617-000027_x000a_SMLN-2019-614-000004"/>
    <x v="11"/>
    <d v="2019-02-08T00:00:00"/>
    <d v="2020-08-07T00:00:00"/>
  </r>
  <r>
    <s v="xxx"/>
    <s v="xxx"/>
    <s v="xxx"/>
    <s v="VZ-2018-000367"/>
    <s v="ZM"/>
    <s v="Čech"/>
    <x v="7"/>
    <n v="11"/>
    <s v="Verbroplastická sada"/>
    <m/>
    <s v="33184100-4"/>
    <m/>
    <n v="920000"/>
    <x v="0"/>
    <d v="2018-06-18T00:00:00"/>
    <d v="2018-08-03T00:00:00"/>
    <d v="2018-10-15T00:00:00"/>
    <s v="Johnson &amp; Johnson s.r.o."/>
    <m/>
    <n v="904000"/>
    <n v="1039600"/>
    <m/>
    <m/>
    <m/>
    <d v="2018-10-16T00:00:00"/>
    <s v="SMLN-2018-617-000358_x000a_SMLN-2018-614-000081"/>
    <x v="10"/>
    <d v="2019-02-08T00:00:00"/>
    <d v="2020-08-03T00:00:00"/>
  </r>
  <r>
    <s v="xxx"/>
    <s v="xxx"/>
    <s v="xxx"/>
    <s v="VZ-2018-000367"/>
    <s v="ZM"/>
    <s v="Čech"/>
    <x v="7"/>
    <n v="13"/>
    <s v="Náhrada meziobratlové ploténky"/>
    <m/>
    <s v="33184100-4"/>
    <m/>
    <n v="243000"/>
    <x v="0"/>
    <d v="2018-06-18T00:00:00"/>
    <d v="2018-08-03T00:00:00"/>
    <d v="2018-10-15T00:00:00"/>
    <s v="Mediservis s.r.o."/>
    <m/>
    <n v="172740.4"/>
    <n v="198651.46"/>
    <m/>
    <m/>
    <m/>
    <d v="2018-10-16T00:00:00"/>
    <s v="SMLN-2018-617-000359_x000a_SMLN-2018-614-000082"/>
    <x v="10"/>
    <d v="2019-02-08T00:00:00"/>
    <d v="2020-08-03T00:00:00"/>
  </r>
  <r>
    <s v="xxx"/>
    <s v="xxx"/>
    <s v="xxx"/>
    <s v="VZ-2018-000368"/>
    <s v="VŠEOB"/>
    <s v="Nerudová"/>
    <x v="8"/>
    <m/>
    <m/>
    <m/>
    <s v="33141620-2"/>
    <m/>
    <n v="12000000"/>
    <x v="0"/>
    <d v="2018-06-19T00:00:00"/>
    <d v="2018-09-05T00:00:00"/>
    <m/>
    <s v="zrušeno - úprava zadání"/>
    <s v="příprava nové VZ"/>
    <m/>
    <m/>
    <m/>
    <m/>
    <m/>
    <m/>
    <m/>
    <x v="0"/>
    <d v="2019-06-21T00:00:00"/>
    <m/>
  </r>
  <r>
    <s v="xxx"/>
    <s v="xxx"/>
    <s v="xxx"/>
    <s v="VZ-2018-000416"/>
    <s v="ENERG"/>
    <s v="Eyer"/>
    <x v="9"/>
    <m/>
    <m/>
    <m/>
    <s v="50710000-5"/>
    <m/>
    <n v="3000000"/>
    <x v="1"/>
    <d v="2018-10-09T00:00:00"/>
    <d v="2018-10-30T00:00:00"/>
    <d v="2018-12-05T00:00:00"/>
    <s v="Otáhal Miloslav"/>
    <m/>
    <n v="1899072"/>
    <n v="1899072"/>
    <m/>
    <m/>
    <m/>
    <d v="2018-12-05T00:00:00"/>
    <s v="SMLN-2018-612-000149"/>
    <x v="7"/>
    <d v="2019-02-08T00:00:00"/>
    <d v="2022-02-05T00:00:00"/>
  </r>
  <r>
    <s v="xxx"/>
    <s v="xxx"/>
    <s v="xxx"/>
    <s v="VZ-2018-000424"/>
    <s v="ZM"/>
    <s v="Merta"/>
    <x v="10"/>
    <n v="1"/>
    <s v="Ablační katetry pro 3D mapování a ablací s aktivním navigačním senzorem"/>
    <m/>
    <s v="33141200-2 "/>
    <m/>
    <n v="19664900"/>
    <x v="0"/>
    <d v="2018-10-03T00:00:00"/>
    <d v="2018-12-14T00:00:00"/>
    <d v="2019-02-07T00:00:00"/>
    <s v="EP SERVICES s.r.o."/>
    <m/>
    <n v="19664619.829999998"/>
    <n v="23794189.994299997"/>
    <m/>
    <m/>
    <m/>
    <d v="2019-02-13T00:00:00"/>
    <s v="SMLN-2019-617-000064_x000a_SMLN-2019-614-000006"/>
    <x v="12"/>
    <d v="2019-04-10T00:00:00"/>
    <d v="2020-09-27T00:00:00"/>
  </r>
  <r>
    <s v="xxx"/>
    <s v="xxx"/>
    <s v="xxx"/>
    <s v="VZ-2018-000424"/>
    <s v="ZM"/>
    <s v="Merta"/>
    <x v="10"/>
    <n v="2"/>
    <s v="Ablační katetry pro provádění konvenčních ablací"/>
    <m/>
    <s v="33141200-2 "/>
    <m/>
    <n v="3197500"/>
    <x v="0"/>
    <d v="2018-10-03T00:00:00"/>
    <d v="2018-12-14T00:00:00"/>
    <d v="2019-02-07T00:00:00"/>
    <s v="Cardiomedical, s.r.o."/>
    <m/>
    <n v="3115500"/>
    <n v="3769755"/>
    <m/>
    <m/>
    <m/>
    <d v="2019-02-13T00:00:00"/>
    <s v="SMLN-2019-617-000065_x000a_SMLN-2019-614-000007"/>
    <x v="13"/>
    <d v="2019-04-10T00:00:00"/>
    <d v="2020-09-24T00:00:00"/>
  </r>
  <r>
    <s v="xxx"/>
    <s v="xxx"/>
    <s v="xxx"/>
    <s v="VZ-2018-000424"/>
    <s v="ZM"/>
    <s v="Merta"/>
    <x v="10"/>
    <n v="4"/>
    <s v="Základní diagnostické katetry fixní II."/>
    <m/>
    <s v="33141200-2 "/>
    <m/>
    <n v="600000"/>
    <x v="0"/>
    <d v="2018-10-03T00:00:00"/>
    <d v="2018-12-14T00:00:00"/>
    <d v="2019-02-07T00:00:00"/>
    <s v="Cardiomedical, s.r.o."/>
    <m/>
    <n v="600000"/>
    <n v="726000"/>
    <m/>
    <m/>
    <m/>
    <d v="2019-02-13T00:00:00"/>
    <s v="SMLN-2019-617-000066_x000a_SMLN-2019-614-000008"/>
    <x v="13"/>
    <d v="2019-04-10T00:00:00"/>
    <d v="2020-09-24T00:00:00"/>
  </r>
  <r>
    <s v="xxx"/>
    <s v="xxx"/>
    <s v="xxx"/>
    <s v="VZ-2018-000424"/>
    <s v="ZM"/>
    <s v="Merta"/>
    <x v="10"/>
    <n v="5"/>
    <s v="Základní diagnostické katetry řiditelné I."/>
    <m/>
    <s v="33141200-2 "/>
    <m/>
    <n v="3479000"/>
    <x v="0"/>
    <d v="2018-10-03T00:00:00"/>
    <d v="2018-12-14T00:00:00"/>
    <d v="2019-02-07T00:00:00"/>
    <s v="CARDION s.r.o."/>
    <m/>
    <n v="3478512.4"/>
    <n v="4209000.0039999997"/>
    <m/>
    <m/>
    <m/>
    <d v="2019-02-13T00:00:00"/>
    <s v="SMLN-2019-617-000067_x000a_SMLN-2019-614-000009"/>
    <x v="13"/>
    <d v="2019-04-10T00:00:00"/>
    <d v="2020-09-24T00:00:00"/>
  </r>
  <r>
    <s v="xxx"/>
    <s v="xxx"/>
    <s v="xxx"/>
    <s v="VZ-2018-000424"/>
    <s v="ZM"/>
    <s v="Merta"/>
    <x v="10"/>
    <n v="6"/>
    <s v="Základní diagnostické katetry řiditelné II."/>
    <m/>
    <s v="33141200-2 "/>
    <m/>
    <n v="654000"/>
    <x v="0"/>
    <d v="2018-10-03T00:00:00"/>
    <d v="2018-12-14T00:00:00"/>
    <d v="2019-02-07T00:00:00"/>
    <s v="Cardiomedical, s.r.o."/>
    <m/>
    <n v="654000"/>
    <n v="791340"/>
    <m/>
    <m/>
    <m/>
    <d v="2019-02-13T00:00:00"/>
    <s v="SMLN-2019-617-000068_x000a_SMLN-2019-614-000010"/>
    <x v="13"/>
    <d v="2019-04-10T00:00:00"/>
    <d v="2020-09-24T00:00:00"/>
  </r>
  <r>
    <s v="xxx"/>
    <s v="xxx"/>
    <s v="xxx"/>
    <s v="VZ-2018-000424"/>
    <s v="ZM"/>
    <s v="Merta"/>
    <x v="10"/>
    <n v="7"/>
    <s v="Hemostatický zavaděč katetrů – stabilizační fixní"/>
    <m/>
    <s v="33141200-2 "/>
    <m/>
    <n v="677000"/>
    <x v="0"/>
    <d v="2018-10-03T00:00:00"/>
    <d v="2018-12-14T00:00:00"/>
    <d v="2019-02-07T00:00:00"/>
    <s v="CARDION s.r.o."/>
    <m/>
    <n v="676644.63"/>
    <n v="818740.00229999993"/>
    <m/>
    <m/>
    <m/>
    <d v="2019-02-13T00:00:00"/>
    <s v="SMLN-2019-617-000069_x000a_SMLN-2019-614-000011"/>
    <x v="12"/>
    <d v="2019-04-10T00:00:00"/>
    <d v="2020-09-27T00:00:00"/>
  </r>
  <r>
    <s v="xxx"/>
    <s v="xxx"/>
    <s v="xxx"/>
    <s v="VZ-2018-000424"/>
    <s v="ZM"/>
    <s v="Merta"/>
    <x v="10"/>
    <n v="8"/>
    <s v="Hemostatický zavaděč katetrů – stabilizační ředitelný"/>
    <m/>
    <s v="33141200-2 "/>
    <m/>
    <n v="14126200"/>
    <x v="0"/>
    <d v="2018-10-03T00:00:00"/>
    <d v="2018-12-14T00:00:00"/>
    <d v="2019-02-07T00:00:00"/>
    <s v="CARDION s.r.o."/>
    <m/>
    <n v="14126033.060000001"/>
    <n v="17092500.002599999"/>
    <m/>
    <m/>
    <m/>
    <d v="2019-02-13T00:00:00"/>
    <s v="SMLN-2019-617-000070_x000a_SMLN-2019-614-000012"/>
    <x v="12"/>
    <d v="2019-04-10T00:00:00"/>
    <d v="2020-09-27T00:00:00"/>
  </r>
  <r>
    <s v="xxx"/>
    <s v="xxx"/>
    <s v="xxx"/>
    <s v="VZ-2018-000424"/>
    <s v="ZM"/>
    <s v="Merta"/>
    <x v="10"/>
    <n v="9"/>
    <s v="Transseptální jehly"/>
    <m/>
    <s v="33141200-2 "/>
    <m/>
    <n v="3800000"/>
    <x v="0"/>
    <d v="2018-10-03T00:00:00"/>
    <d v="2018-12-14T00:00:00"/>
    <d v="2019-02-07T00:00:00"/>
    <s v="CARDION s.r.o."/>
    <m/>
    <n v="3800000"/>
    <n v="4598000"/>
    <m/>
    <m/>
    <m/>
    <d v="2019-02-13T00:00:00"/>
    <s v="SMLN-2019-617-000071_x000a_SMLN-2019-614-000013"/>
    <x v="12"/>
    <d v="2019-04-10T00:00:00"/>
    <d v="2020-09-27T00:00:00"/>
  </r>
  <r>
    <s v="xxx"/>
    <s v="xxx"/>
    <s v="xxx"/>
    <s v="VZ-2018-000424"/>
    <s v="ZM"/>
    <s v="Merta"/>
    <x v="10"/>
    <n v="10"/>
    <s v="Intrakardiální ultrazvukový katetr"/>
    <m/>
    <s v="33141200-2 "/>
    <m/>
    <n v="5625000"/>
    <x v="0"/>
    <d v="2018-10-03T00:00:00"/>
    <d v="2018-12-14T00:00:00"/>
    <d v="2019-02-07T00:00:00"/>
    <s v="EP SERVICES s.r.o."/>
    <m/>
    <n v="5625000"/>
    <n v="6806250"/>
    <m/>
    <m/>
    <m/>
    <d v="2019-02-13T00:00:00"/>
    <s v="SMLN-2019-617-000072_x000a_SMLN-2019-614-000014"/>
    <x v="12"/>
    <d v="2019-04-10T00:00:00"/>
    <d v="2020-09-27T00:00:00"/>
  </r>
  <r>
    <s v="xxx"/>
    <s v="xxx"/>
    <s v="xxx"/>
    <s v="VZ-2018-000424"/>
    <s v="ZM"/>
    <s v="Merta"/>
    <x v="10"/>
    <n v="11"/>
    <s v="Katetr diagnostický s proměnným zakřivením multipolárním pro mapování komplexních arytmií v pravé síni"/>
    <m/>
    <s v="33141200-2 "/>
    <m/>
    <n v="1875000"/>
    <x v="0"/>
    <d v="2018-10-03T00:00:00"/>
    <d v="2018-12-14T00:00:00"/>
    <d v="2019-02-07T00:00:00"/>
    <s v="EP SERVICES s.r.o."/>
    <m/>
    <n v="1875000"/>
    <n v="2268750"/>
    <m/>
    <m/>
    <m/>
    <d v="2019-02-13T00:00:00"/>
    <s v="SMLN-2019-617-000073_x000a_SMLN-2019-614-000015"/>
    <x v="12"/>
    <d v="2019-04-10T00:00:00"/>
    <d v="2020-09-27T00:00:00"/>
  </r>
  <r>
    <s v="xxx"/>
    <s v="xxx"/>
    <s v="xxx"/>
    <s v="VZ-2018-000424"/>
    <s v="ZM"/>
    <s v="Merta"/>
    <x v="10"/>
    <n v="12"/>
    <s v="Katetr diagnostický s proměnným zakřivením multipolární pro mapování s vysokým rozlišením"/>
    <m/>
    <s v="33141200-2 "/>
    <m/>
    <n v="1156750"/>
    <x v="0"/>
    <d v="2018-10-03T00:00:00"/>
    <d v="2018-12-14T00:00:00"/>
    <d v="2019-02-07T00:00:00"/>
    <s v="EP SERVICES s.r.o."/>
    <m/>
    <n v="1156605.3799999999"/>
    <n v="1399492.5097999999"/>
    <m/>
    <m/>
    <m/>
    <d v="2019-02-13T00:00:00"/>
    <s v="SMLN-2019-617-000075_x000a_SMLN-2019-614-000016"/>
    <x v="12"/>
    <d v="2019-04-10T00:00:00"/>
    <d v="2020-09-27T00:00:00"/>
  </r>
  <r>
    <s v="xxx"/>
    <s v="xxx"/>
    <s v="xxx"/>
    <s v="VZ-2018-000441"/>
    <s v="IROP"/>
    <s v="Neudörflerová"/>
    <x v="11"/>
    <n v="1"/>
    <s v="KTG"/>
    <m/>
    <s v="33195000-3"/>
    <s v="2.3.339."/>
    <n v="5197355.32"/>
    <x v="0"/>
    <d v="2018-09-25T00:00:00"/>
    <d v="2018-11-05T00:00:00"/>
    <d v="2018-12-13T00:00:00"/>
    <s v="S &amp; T Plus s.r.o."/>
    <m/>
    <n v="5279580"/>
    <n v="6388291.7999999998"/>
    <m/>
    <m/>
    <m/>
    <d v="2018-12-14T00:00:00"/>
    <s v="SMLN-2018-617-000461_x000a_SMLN-2018-612-000154"/>
    <x v="14"/>
    <d v="2019-02-28T00:00:00"/>
    <d v="2019-05-07T00:00:00"/>
  </r>
  <r>
    <s v="xxx"/>
    <s v="xxx"/>
    <s v="xxx"/>
    <s v="VZ-2018-000441"/>
    <s v="IROP"/>
    <s v="Neudörflerová"/>
    <x v="11"/>
    <n v="2"/>
    <s v="ST analyzátor"/>
    <m/>
    <s v="33195000-3"/>
    <s v="2.3.343."/>
    <n v="3306944.71"/>
    <x v="0"/>
    <d v="2018-09-25T00:00:00"/>
    <d v="2018-11-05T00:00:00"/>
    <d v="2018-12-13T00:00:00"/>
    <s v="MSM, spol. s r.o."/>
    <m/>
    <n v="2942292"/>
    <n v="3560173.66"/>
    <m/>
    <m/>
    <m/>
    <d v="2018-12-14T00:00:00"/>
    <s v="SMLN-2018-617-000462_x000a_SMLN-2018-612-000155"/>
    <x v="14"/>
    <d v="2019-02-28T00:00:00"/>
    <d v="2019-04-23T00:00:00"/>
  </r>
  <r>
    <s v="xxx"/>
    <s v="xxx"/>
    <s v="xxx"/>
    <s v="VZ-2018-000462"/>
    <s v="IROP"/>
    <s v="Neudörflerová"/>
    <x v="12"/>
    <n v="1"/>
    <s v="Monitory životních funkcí včetně centrály pro Novorozenecké oddělení"/>
    <m/>
    <s v="33195100-4"/>
    <s v="2.3.326."/>
    <n v="3399173"/>
    <x v="0"/>
    <d v="2018-11-09T00:00:00"/>
    <d v="2019-01-07T00:00:00"/>
    <d v="2019-02-07T00:00:00"/>
    <s v="medisap s.r.o."/>
    <m/>
    <n v="3560154"/>
    <n v="4307786.34"/>
    <m/>
    <m/>
    <m/>
    <d v="2019-02-08T00:00:00"/>
    <s v="SMLN-2019-617-000055_x000a_SMLN-2019-612-000012"/>
    <x v="13"/>
    <d v="2019-03-27T00:00:00"/>
    <d v="2019-06-03T00:00:00"/>
  </r>
  <r>
    <s v="xxx"/>
    <s v="xxx"/>
    <s v="xxx"/>
    <s v="VZ-2018-000462"/>
    <s v="IROP"/>
    <s v="Neudörflerová"/>
    <x v="12"/>
    <n v="2"/>
    <s v="Monitor mozkových funkcí"/>
    <m/>
    <s v="33195100-4"/>
    <s v="2.3.327."/>
    <n v="518181"/>
    <x v="0"/>
    <d v="2018-11-09T00:00:00"/>
    <d v="2019-01-07T00:00:00"/>
    <d v="2019-02-07T00:00:00"/>
    <s v="Dartin spol. s r.o."/>
    <m/>
    <n v="671689"/>
    <n v="812743.17"/>
    <m/>
    <m/>
    <m/>
    <d v="2019-02-08T00:00:00"/>
    <s v="SMLN-2019-617-000056_x000a_SMLN-2019-612-000013_x000a_SMLN-2019-617-000057"/>
    <x v="13"/>
    <d v="2019-03-27T00:00:00"/>
    <d v="2019-05-20T00:00:00"/>
  </r>
  <r>
    <s v="xxx"/>
    <s v="xxx"/>
    <s v="xxx"/>
    <s v="VZ-2018-000462"/>
    <s v="IROP"/>
    <s v="Neudörflerová"/>
    <x v="12"/>
    <n v="3"/>
    <s v="Monitory životních funkcí – bed  side"/>
    <m/>
    <s v="33195100-4"/>
    <s v="2.3.348."/>
    <n v="1882644"/>
    <x v="0"/>
    <d v="2018-11-09T00:00:00"/>
    <d v="2019-01-07T00:00:00"/>
    <d v="2019-02-07T00:00:00"/>
    <s v="S &amp; T Plus s.r.o."/>
    <m/>
    <n v="1132576"/>
    <n v="1370416.96"/>
    <m/>
    <m/>
    <m/>
    <d v="2019-02-11T00:00:00"/>
    <s v="SMLN-2019-617-000058_x000a_SMLN-2019-612-000014"/>
    <x v="13"/>
    <d v="2019-03-27T00:00:00"/>
    <d v="2019-06-03T00:00:00"/>
  </r>
  <r>
    <s v="xxx"/>
    <s v="xxx"/>
    <s v="xxx"/>
    <s v="VZ-2018-000462"/>
    <s v="IROP"/>
    <s v="Neudörflerová"/>
    <x v="12"/>
    <n v="4"/>
    <s v="Monitory životních funkcí včetně centrály pro Porodnicko – gynekologickou kliniku"/>
    <m/>
    <s v="33195100-4"/>
    <s v="2.3.326."/>
    <n v="2757850"/>
    <x v="0"/>
    <d v="2018-11-09T00:00:00"/>
    <d v="2019-01-07T00:00:00"/>
    <d v="2019-02-07T00:00:00"/>
    <s v="S &amp; T Plus s.r.o."/>
    <m/>
    <n v="2736480"/>
    <n v="3311140.8"/>
    <m/>
    <m/>
    <m/>
    <d v="2019-02-11T00:00:00"/>
    <s v="SMLN-2019-617-000059_x000a_SMLN-2019-612-000015"/>
    <x v="13"/>
    <d v="2019-03-27T00:00:00"/>
    <d v="2019-06-03T00:00:00"/>
  </r>
  <r>
    <s v="xxx"/>
    <s v="xxx"/>
    <s v="xxx"/>
    <s v="VZ-2018-000463"/>
    <s v="LÉK"/>
    <s v="Ondráčková"/>
    <x v="13"/>
    <n v="1"/>
    <s v="Paramagnetické kontrastní látky 0,5 mmol/ml ( pro dospělé i děti včetně kojeneckého a novorozeneckého věku, tj. 0-18 let) včetně použití u celotělové MR pro pediatrickou populaci 0-1 rok"/>
    <s v="V08CA"/>
    <s v="33696800-3"/>
    <m/>
    <n v="1705200"/>
    <x v="0"/>
    <d v="2018-07-18T00:00:00"/>
    <d v="2018-08-24T00:00:00"/>
    <d v="2019-01-16T00:00:00"/>
    <s v="Diagnostic Pharmaceuticals a.s."/>
    <m/>
    <n v="1635600"/>
    <n v="1799160.0000000002"/>
    <m/>
    <m/>
    <m/>
    <d v="2019-01-16T00:00:00"/>
    <s v="SMLN-2019-617-000014"/>
    <x v="15"/>
    <d v="2019-03-25T00:00:00"/>
    <d v="2021-03-17T00:00:00"/>
  </r>
  <r>
    <s v="xxx"/>
    <s v="xxx"/>
    <s v="xxx"/>
    <s v="VZ-2018-000463"/>
    <s v="LÉK"/>
    <s v="Ondráčková"/>
    <x v="13"/>
    <n v="2"/>
    <s v="Paramagnetické kontrastní látky 0,5 mmol/ml (s dvojnásobnou relaxivitou k zobrazování lézí jater)"/>
    <s v="V08CA"/>
    <s v="33696800-3"/>
    <m/>
    <n v="74100"/>
    <x v="0"/>
    <d v="2018-07-18T00:00:00"/>
    <d v="2018-08-24T00:00:00"/>
    <d v="2019-01-16T00:00:00"/>
    <s v="Bracco Imaging Czech s.r.o."/>
    <m/>
    <n v="74090"/>
    <n v="81499"/>
    <m/>
    <m/>
    <m/>
    <d v="2019-01-16T00:00:00"/>
    <s v="SMLN-2019-617-000015"/>
    <x v="15"/>
    <d v="2019-03-25T00:00:00"/>
    <d v="2021-03-17T00:00:00"/>
  </r>
  <r>
    <s v="xxx"/>
    <s v="xxx"/>
    <s v="xxx"/>
    <s v="VZ-2018-000463"/>
    <s v="LÉK"/>
    <s v="Ondráčková"/>
    <x v="13"/>
    <n v="3"/>
    <s v="Paramagnetické kontrastní látky 1,0 mmol/ml"/>
    <s v="V08CA"/>
    <s v="33696800-3"/>
    <m/>
    <n v="2302873"/>
    <x v="0"/>
    <d v="2018-07-18T00:00:00"/>
    <d v="2018-08-24T00:00:00"/>
    <d v="2019-01-16T00:00:00"/>
    <s v="BAYER s.r.o."/>
    <m/>
    <n v="2302872.08"/>
    <n v="2533159.2880000002"/>
    <m/>
    <m/>
    <m/>
    <d v="2019-01-16T00:00:00"/>
    <s v="SMLN-2019-617-000016"/>
    <x v="15"/>
    <d v="2019-03-25T00:00:00"/>
    <d v="2021-03-17T00:00:00"/>
  </r>
  <r>
    <s v="xxx"/>
    <s v="xxx"/>
    <s v="xxx"/>
    <s v="VZ-2018-000493"/>
    <s v="ZT"/>
    <s v="Rosulek"/>
    <x v="14"/>
    <n v="1"/>
    <s v="Plicní ventilátory"/>
    <m/>
    <s v="33157400-9"/>
    <s v="2.2.91;2.2.174"/>
    <n v="8049586"/>
    <x v="0"/>
    <d v="2018-07-25T00:00:00"/>
    <d v="2018-10-15T00:00:00"/>
    <d v="2018-11-22T00:00:00"/>
    <s v="A.M.I.- Analytical Medical In."/>
    <m/>
    <n v="7125075"/>
    <n v="8621340.75"/>
    <m/>
    <m/>
    <m/>
    <d v="2018-11-26T00:00:00"/>
    <s v="SMLN-2018-617-000424_x000a_SMLN-2018-612-000140"/>
    <x v="16"/>
    <d v="2019-01-09T00:00:00"/>
    <d v="2019-03-04T00:00:00"/>
  </r>
  <r>
    <s v="xxx"/>
    <s v="xxx"/>
    <s v="xxx"/>
    <s v="VZ-2018-000493"/>
    <s v="ZT"/>
    <s v="Rosulek"/>
    <x v="14"/>
    <n v="2"/>
    <s v="Transportní ventilátory"/>
    <m/>
    <s v="33157400-9"/>
    <s v="2.2.82; 2.2.175"/>
    <n v="1190082"/>
    <x v="0"/>
    <d v="2018-07-25T00:00:00"/>
    <d v="2018-10-15T00:00:00"/>
    <d v="2018-11-22T00:00:00"/>
    <s v="Dräger Medical s.r.o."/>
    <m/>
    <n v="1184500"/>
    <n v="1433245"/>
    <m/>
    <m/>
    <m/>
    <d v="2018-11-26T00:00:00"/>
    <s v="SMLN-2018-617-000425_x000a_SMLN-2018-612-000141"/>
    <x v="7"/>
    <d v="2019-02-06T00:00:00"/>
    <d v="2019-04-03T00:00:00"/>
  </r>
  <r>
    <s v="xxx"/>
    <s v="xxx"/>
    <s v="xxx"/>
    <s v="VZ-2018-000493"/>
    <s v="ZT"/>
    <s v="Rosulek"/>
    <x v="14"/>
    <n v="3"/>
    <s v="Neinvazivní plicní ventilátor"/>
    <m/>
    <s v="33157400-9"/>
    <s v="2.4.100"/>
    <n v="349256"/>
    <x v="0"/>
    <d v="2018-07-25T00:00:00"/>
    <d v="2018-10-15T00:00:00"/>
    <d v="2018-11-22T00:00:00"/>
    <s v="Saegeling Medizintechnik"/>
    <m/>
    <n v="342828"/>
    <n v="397490.28"/>
    <m/>
    <m/>
    <m/>
    <d v="2018-11-26T00:00:00"/>
    <s v="SMLN-2018-617-000426_x000a_SMLN-2018-612-000142"/>
    <x v="16"/>
    <d v="2019-01-09T00:00:00"/>
    <d v="2019-03-04T00:00:00"/>
  </r>
  <r>
    <s v="xxx"/>
    <s v="xxx"/>
    <s v="xxx"/>
    <s v="VZ-2018-000508"/>
    <s v="IROP"/>
    <s v="Neudörflerová"/>
    <x v="15"/>
    <m/>
    <m/>
    <m/>
    <s v="33111000-1"/>
    <s v="2.3.337."/>
    <n v="2152066.1"/>
    <x v="0"/>
    <d v="2018-09-25T00:00:00"/>
    <d v="2018-10-31T00:00:00"/>
    <d v="2018-12-05T00:00:00"/>
    <s v="FOMA Medical spol. s  r.o."/>
    <m/>
    <n v="2119510"/>
    <n v="2564607.1"/>
    <m/>
    <m/>
    <m/>
    <d v="2018-12-07T00:00:00"/>
    <s v="SMLN-2018-617-000452_x000a_SMLN-2018-612-000150"/>
    <x v="5"/>
    <d v="2019-01-23T00:00:00"/>
    <d v="2019-03-22T00:00:00"/>
  </r>
  <r>
    <s v="xxx"/>
    <s v="xxx"/>
    <s v="xxx"/>
    <s v="VZ-2018-000509"/>
    <s v="IROP"/>
    <s v="Neudörflerová"/>
    <x v="16"/>
    <m/>
    <m/>
    <m/>
    <s v="33124100-6"/>
    <s v="2.3.351."/>
    <n v="971000"/>
    <x v="0"/>
    <d v="2018-11-09T00:00:00"/>
    <d v="2018-12-12T00:00:00"/>
    <d v="2019-01-15T00:00:00"/>
    <s v="MEDISTA spol. s r.o."/>
    <m/>
    <n v="1351100"/>
    <n v="1634831"/>
    <m/>
    <m/>
    <m/>
    <d v="2019-01-16T00:00:00"/>
    <s v="SMLN-2019-617-000011_x000a_SMLN-2019-612-000006_x000a_SMLN-2019-617-000012"/>
    <x v="17"/>
    <d v="2019-02-21T00:00:00"/>
    <d v="2019-04-16T00:00:00"/>
  </r>
  <r>
    <s v="xxx"/>
    <s v="xxx"/>
    <s v="xxx"/>
    <s v="VZ-2018-000575"/>
    <s v="LÉK"/>
    <s v="Ondráčková"/>
    <x v="17"/>
    <n v="1"/>
    <s v="Fentanyl-citrát"/>
    <s v="N02AB03"/>
    <s v="33661200-3"/>
    <m/>
    <n v="1862375"/>
    <x v="2"/>
    <d v="2018-08-22T00:00:00"/>
    <d v="2018-08-29T00:00:00"/>
    <d v="2018-11-20T00:00:00"/>
    <s v="ViaPharma s.r.o."/>
    <m/>
    <n v="1833158.71"/>
    <n v="2016474.58"/>
    <m/>
    <m/>
    <m/>
    <d v="2018-11-20T00:00:00"/>
    <s v="SMLN-2018-617-000416"/>
    <x v="18"/>
    <d v="2019-01-14T00:00:00"/>
    <d v="2020-01-13T00:00:00"/>
  </r>
  <r>
    <s v="xxx"/>
    <s v="xxx"/>
    <s v="xxx"/>
    <s v="VZ-2018-000586"/>
    <s v="ZM"/>
    <s v="Valtová"/>
    <x v="18"/>
    <m/>
    <m/>
    <m/>
    <s v="33140000-3"/>
    <m/>
    <n v="18039200"/>
    <x v="0"/>
    <d v="2018-10-03T00:00:00"/>
    <d v="2018-11-05T00:00:00"/>
    <d v="2018-12-05T00:00:00"/>
    <s v="CARDION s.r.o."/>
    <m/>
    <n v="18039000"/>
    <n v="20744850"/>
    <m/>
    <m/>
    <m/>
    <d v="2018-12-11T00:00:00"/>
    <s v="SMLN-2018-617-000456_x000a_SMLN -2018-614-000098"/>
    <x v="9"/>
    <d v="2019-01-25T00:00:00"/>
    <d v="2020-07-23T00:00:00"/>
  </r>
  <r>
    <s v="xxx"/>
    <s v="xxx"/>
    <s v="xxx"/>
    <s v="VZ-2018-000593"/>
    <s v="ZM"/>
    <s v="Valtová"/>
    <x v="19"/>
    <m/>
    <m/>
    <m/>
    <s v="33140000-3"/>
    <m/>
    <n v="1115405"/>
    <x v="2"/>
    <d v="2018-08-27T00:00:00"/>
    <d v="2018-09-14T00:00:00"/>
    <d v="2019-09-25T00:00:00"/>
    <s v="Medtronic Czechia s.r.o."/>
    <m/>
    <n v="900000"/>
    <n v="1089000"/>
    <m/>
    <m/>
    <m/>
    <d v="2019-01-16T00:00:00"/>
    <s v="SMLN-2019-617-000013_x000a_SMLN-2019-614-000002"/>
    <x v="19"/>
    <d v="2019-02-08T00:00:00"/>
    <d v="2021-02-04T00:00:00"/>
  </r>
  <r>
    <s v="xxx"/>
    <s v="xxx"/>
    <s v="xxx"/>
    <s v="VZ-2018-000603"/>
    <s v="LÉK"/>
    <s v="Ondráčková"/>
    <x v="20"/>
    <n v="1"/>
    <s v="Genotropin"/>
    <s v="H01AC01"/>
    <s v="33642100-3"/>
    <m/>
    <n v="41300323.960000001"/>
    <x v="0"/>
    <d v="2018-09-25T00:00:00"/>
    <d v="2018-10-31T00:00:00"/>
    <d v="2018-11-30T00:00:00"/>
    <s v="PHOENIX lék.velkoobchod, s.r.o."/>
    <m/>
    <n v="41104437.479999997"/>
    <n v="45214881.228"/>
    <m/>
    <m/>
    <m/>
    <d v="2018-12-03T00:00:00"/>
    <s v="SMLN-2018-617-000440"/>
    <x v="20"/>
    <d v="2019-01-21T00:00:00"/>
    <d v="2023-01-09T00:00:00"/>
  </r>
  <r>
    <s v="xxx"/>
    <s v="xxx"/>
    <s v="xxx"/>
    <s v="VZ-2018-000603"/>
    <s v="LÉK"/>
    <s v="Ondráčková"/>
    <x v="20"/>
    <n v="2"/>
    <s v="Humatrope"/>
    <s v="H01AC01"/>
    <s v="33642100-3"/>
    <m/>
    <n v="18830180.890000001"/>
    <x v="0"/>
    <d v="2018-09-25T00:00:00"/>
    <d v="2018-10-31T00:00:00"/>
    <d v="2018-11-30T00:00:00"/>
    <s v="PHOENIX lék.velkoobchod, s.r.o."/>
    <m/>
    <n v="18736351.109999999"/>
    <n v="20609986.221000001"/>
    <m/>
    <m/>
    <m/>
    <d v="2018-12-03T00:00:00"/>
    <s v="SMLN-2018-617-000441"/>
    <x v="20"/>
    <d v="2019-01-21T00:00:00"/>
    <d v="2023-01-09T00:00:00"/>
  </r>
  <r>
    <s v="xxx"/>
    <s v="xxx"/>
    <s v="xxx"/>
    <s v="VZ-2018-000603"/>
    <s v="LÉK"/>
    <s v="Ondráčková"/>
    <x v="20"/>
    <n v="3"/>
    <s v="Norditropin"/>
    <s v="H01AC01"/>
    <s v="33642100-3"/>
    <m/>
    <n v="42899036.450000003"/>
    <x v="0"/>
    <d v="2018-09-25T00:00:00"/>
    <d v="2018-10-31T00:00:00"/>
    <d v="2018-11-30T00:00:00"/>
    <s v="ViaPharma s.r.o."/>
    <m/>
    <n v="42803439.280000001"/>
    <n v="47083783.208000004"/>
    <m/>
    <m/>
    <m/>
    <d v="2018-12-03T00:00:00"/>
    <s v="SMLN-2018-617-000442"/>
    <x v="20"/>
    <d v="2019-01-21T00:00:00"/>
    <d v="2023-01-09T00:00:00"/>
  </r>
  <r>
    <s v="xxx"/>
    <s v="xxx"/>
    <s v="xxx"/>
    <s v="VZ-2018-000603"/>
    <s v="LÉK"/>
    <s v="Ondráčková"/>
    <x v="20"/>
    <n v="4"/>
    <s v="Nutropinaq"/>
    <s v="H01AC01"/>
    <s v="33642100-3"/>
    <m/>
    <n v="5515900.9100000001"/>
    <x v="0"/>
    <d v="2018-09-25T00:00:00"/>
    <d v="2018-10-31T00:00:00"/>
    <d v="2018-11-30T00:00:00"/>
    <s v="PHOENIX lék.velkoobchod, s.r.o."/>
    <m/>
    <n v="5485924"/>
    <n v="6034516.4000000004"/>
    <m/>
    <m/>
    <m/>
    <d v="2018-12-03T00:00:00"/>
    <s v="SMLN-2018-617-000443"/>
    <x v="20"/>
    <d v="2019-01-21T00:00:00"/>
    <d v="2023-01-09T00:00:00"/>
  </r>
  <r>
    <s v="xxx"/>
    <s v="xxx"/>
    <s v="xxx"/>
    <s v="VZ-2018-000603"/>
    <s v="LÉK"/>
    <s v="Ondráčková"/>
    <x v="20"/>
    <n v="5"/>
    <s v="Omnitrope"/>
    <s v="H01AC01"/>
    <s v="33642100-3"/>
    <m/>
    <n v="16652654.73"/>
    <x v="0"/>
    <d v="2018-09-25T00:00:00"/>
    <d v="2018-10-31T00:00:00"/>
    <d v="2018-11-30T00:00:00"/>
    <s v="Pharmos, a.s."/>
    <m/>
    <n v="16587621.630000001"/>
    <n v="18246383.793000001"/>
    <m/>
    <m/>
    <m/>
    <d v="2018-12-03T00:00:00"/>
    <s v="SMLN-2018-617-000444"/>
    <x v="20"/>
    <d v="2019-01-21T00:00:00"/>
    <d v="2023-01-09T00:00:00"/>
  </r>
  <r>
    <s v="xxx"/>
    <s v="xxx"/>
    <s v="xxx"/>
    <s v="VZ-2018-000603"/>
    <s v="LÉK"/>
    <s v="Ondráčková"/>
    <x v="20"/>
    <n v="6"/>
    <s v="Saizen"/>
    <s v="H01AC01"/>
    <s v="33642100-3"/>
    <m/>
    <n v="12678937.16"/>
    <x v="0"/>
    <d v="2018-09-25T00:00:00"/>
    <d v="2018-10-31T00:00:00"/>
    <d v="2018-11-30T00:00:00"/>
    <s v="PHOENIX lék.velkoobchod, s.r.o."/>
    <m/>
    <n v="12608680.5"/>
    <n v="13869548.550000001"/>
    <m/>
    <m/>
    <m/>
    <d v="2018-12-03T00:00:00"/>
    <s v="SMLN-2018-617-000445"/>
    <x v="20"/>
    <d v="2019-01-21T00:00:00"/>
    <d v="2023-01-09T00:00:00"/>
  </r>
  <r>
    <s v="xxx"/>
    <s v="xxx"/>
    <s v="xxx"/>
    <s v="VZ-2018-000603"/>
    <s v="LÉK"/>
    <s v="Ondráčková"/>
    <x v="20"/>
    <n v="7"/>
    <s v="Zomacton"/>
    <s v="H01AC01"/>
    <s v="33642100-3"/>
    <m/>
    <n v="11377554.689999999"/>
    <x v="0"/>
    <d v="2018-09-25T00:00:00"/>
    <d v="2018-10-31T00:00:00"/>
    <d v="2018-11-30T00:00:00"/>
    <s v="ViaPharma s.r.o."/>
    <m/>
    <n v="11362478.16"/>
    <n v="12498725.976000002"/>
    <m/>
    <m/>
    <m/>
    <d v="2018-12-03T00:00:00"/>
    <s v="SMLN-2018-617-000446"/>
    <x v="20"/>
    <d v="2019-01-21T00:00:00"/>
    <d v="2023-01-09T00:00:00"/>
  </r>
  <r>
    <s v="xxx"/>
    <s v="xxx"/>
    <s v="xxx"/>
    <s v="VZ-2018-000605"/>
    <s v="LÉK"/>
    <s v="Ondráčková"/>
    <x v="21"/>
    <n v="1"/>
    <s v="Monohydrát bosentanu pro podání při plicní arteriální hypertenzi"/>
    <s v="C02KX01"/>
    <s v="33622200-8"/>
    <m/>
    <n v="2130154"/>
    <x v="0"/>
    <d v="2018-10-25T00:00:00"/>
    <d v="2018-11-30T00:00:00"/>
    <d v="2019-03-05T00:00:00"/>
    <s v="Alliance Healthcare s.r.o."/>
    <m/>
    <n v="1636059.1"/>
    <n v="1799665.0100000002"/>
    <m/>
    <m/>
    <m/>
    <d v="2019-03-05T00:00:00"/>
    <s v="SMLN-2019-617-000122"/>
    <x v="21"/>
    <d v="2019-04-05T00:00:00"/>
    <d v="2021-03-31T00:00:00"/>
  </r>
  <r>
    <s v="xxx"/>
    <s v="xxx"/>
    <s v="xxx"/>
    <s v="VZ-2018-000605"/>
    <s v="LÉK"/>
    <s v="Ondráčková"/>
    <x v="21"/>
    <n v="2"/>
    <s v="Monohydrát bosentanu pro podání ke snížení počtu nových vředů na prstech u pacientů se systémovou_x000a_sklerózou a pokračující vředovou chorobou prstů"/>
    <s v="C02KX01"/>
    <s v="33622200-8"/>
    <m/>
    <n v="298758"/>
    <x v="0"/>
    <d v="2018-10-25T00:00:00"/>
    <d v="2018-11-30T00:00:00"/>
    <d v="2019-03-05T00:00:00"/>
    <s v="Alliance Healthcare s.r.o."/>
    <m/>
    <n v="207044.7"/>
    <n v="227749.17000000004"/>
    <m/>
    <m/>
    <m/>
    <d v="2019-03-05T00:00:00"/>
    <s v="SMLN-2019-617-000123"/>
    <x v="21"/>
    <d v="2019-04-05T00:00:00"/>
    <d v="2021-03-31T00:00:00"/>
  </r>
  <r>
    <s v="xxx"/>
    <s v="xxx"/>
    <s v="xxx"/>
    <s v="VZ-2018-000605"/>
    <s v="LÉK"/>
    <s v="Ondráčková"/>
    <x v="21"/>
    <n v="3"/>
    <s v="Ambrisentan"/>
    <s v="C02KX02"/>
    <s v="33622200-8"/>
    <m/>
    <n v="13588559"/>
    <x v="0"/>
    <d v="2018-10-25T00:00:00"/>
    <d v="2018-11-30T00:00:00"/>
    <d v="2019-03-05T00:00:00"/>
    <s v="PHOENIX lék.velkoobchod, s.r.o."/>
    <m/>
    <n v="13426404.6"/>
    <n v="14769045.060000001"/>
    <m/>
    <m/>
    <m/>
    <d v="2019-03-05T00:00:00"/>
    <s v="SMLN-2019-617-000124"/>
    <x v="21"/>
    <d v="2019-04-05T00:00:00"/>
    <d v="2021-03-31T00:00:00"/>
  </r>
  <r>
    <s v="xxx"/>
    <s v="xxx"/>
    <s v="xxx"/>
    <s v="VZ-2018-000605"/>
    <s v="LÉK"/>
    <s v="Ondráčková"/>
    <x v="21"/>
    <n v="4"/>
    <s v="Macitentan"/>
    <s v="C02KX04"/>
    <s v="33622200-8"/>
    <m/>
    <n v="8837280"/>
    <x v="0"/>
    <d v="2018-10-25T00:00:00"/>
    <d v="2018-11-30T00:00:00"/>
    <d v="2019-03-05T00:00:00"/>
    <s v="Alliance Healthcare s.r.o."/>
    <m/>
    <n v="8837280"/>
    <n v="9721008"/>
    <m/>
    <m/>
    <m/>
    <d v="2019-03-05T00:00:00"/>
    <s v="SMLN-2019-617-000125"/>
    <x v="21"/>
    <d v="2019-04-05T00:00:00"/>
    <d v="2021-03-31T00:00:00"/>
  </r>
  <r>
    <s v="xxx"/>
    <s v="xxx"/>
    <s v="xxx"/>
    <s v="VZ-2018-000605"/>
    <s v="LÉK"/>
    <s v="Ondráčková"/>
    <x v="21"/>
    <n v="5"/>
    <s v="Sodná sůl epoprostenolu"/>
    <s v="B01AC09"/>
    <s v="33622200-8"/>
    <m/>
    <n v="3523471"/>
    <x v="0"/>
    <d v="2018-10-25T00:00:00"/>
    <d v="2018-11-30T00:00:00"/>
    <m/>
    <s v="janssen, alliance h"/>
    <s v="DůVOD zrušeno ; nepodali nabídku ; DALŠÍ POSTUP opakování zrušené; 30.8. předáno OZVZ; ÚPRAVA  ; PŘEDPOKLAD  ; POZN: "/>
    <m/>
    <m/>
    <m/>
    <m/>
    <m/>
    <m/>
    <m/>
    <x v="0"/>
    <d v="2019-03-22T00:00:00"/>
    <m/>
  </r>
  <r>
    <s v="xxx"/>
    <s v="xxx"/>
    <s v="xxx"/>
    <s v="VZ-2018-000605"/>
    <s v="LÉK"/>
    <s v="Ondráčková"/>
    <x v="21"/>
    <n v="6"/>
    <s v="Iloprost-trometamol"/>
    <s v="B01AC11"/>
    <s v="33622200-8"/>
    <m/>
    <n v="943725"/>
    <x v="0"/>
    <d v="2018-10-25T00:00:00"/>
    <d v="2018-11-30T00:00:00"/>
    <m/>
    <s v="janssen, alliance h"/>
    <s v="DůVOD zrušeno ; nepodali nabídku ; DALŠÍ POSTUP opakování zrušené; 30.8. předáno OZVZ; ÚPRAVA  ; PŘEDPOKLAD  ; POZN: "/>
    <m/>
    <m/>
    <m/>
    <m/>
    <m/>
    <m/>
    <m/>
    <x v="0"/>
    <d v="2019-03-22T00:00:00"/>
    <m/>
  </r>
  <r>
    <s v="xxx"/>
    <s v="xxx"/>
    <s v="xxx"/>
    <s v="VZ-2018-000605"/>
    <s v="LÉK"/>
    <s v="Ondráčková"/>
    <x v="21"/>
    <n v="7"/>
    <s v="Sodná sůl treprostinilu I"/>
    <s v="B01AC21"/>
    <s v="33622200-8"/>
    <m/>
    <n v="114957884"/>
    <x v="0"/>
    <d v="2018-10-25T00:00:00"/>
    <d v="2018-11-30T00:00:00"/>
    <m/>
    <s v="původně actelion, teď janssen; alliance"/>
    <s v="DůVOD zrušeno ; nepodali nabídku ; DALŠÍ POSTUP opakování zrušené; 30.8. předáno OZVZ; ÚPRAVA  ; PŘEDPOKLAD  ; POZN: "/>
    <m/>
    <m/>
    <m/>
    <m/>
    <m/>
    <m/>
    <m/>
    <x v="0"/>
    <d v="2019-03-22T00:00:00"/>
    <m/>
  </r>
  <r>
    <s v="xxx"/>
    <s v="xxx"/>
    <s v="xxx"/>
    <s v="VZ-2018-000605"/>
    <s v="LÉK"/>
    <s v="Ondráčková"/>
    <x v="21"/>
    <n v="8"/>
    <s v="Sildenafil-citrát pro použití při léčbě  plicní arteriální hypertenze"/>
    <s v="G04BE03"/>
    <s v="33622200-8"/>
    <m/>
    <n v="2039696"/>
    <x v="0"/>
    <d v="2018-10-25T00:00:00"/>
    <d v="2018-11-30T00:00:00"/>
    <d v="2019-03-05T00:00:00"/>
    <s v="Alliance Healthcare s.r.o."/>
    <m/>
    <n v="996934.08"/>
    <n v="1096627.49"/>
    <m/>
    <m/>
    <m/>
    <d v="2019-03-05T00:00:00"/>
    <s v="SMLN-2019-617-000126"/>
    <x v="21"/>
    <d v="2019-04-05T00:00:00"/>
    <d v="2021-03-31T00:00:00"/>
  </r>
  <r>
    <s v="xxx"/>
    <s v="xxx"/>
    <s v="xxx"/>
    <s v="VZ-2018-000606"/>
    <s v="LÉK"/>
    <s v="Ondráčková"/>
    <x v="22"/>
    <n v="3"/>
    <s v="Interferon beta-1a II"/>
    <s v="L03AB07"/>
    <s v="33652000-5"/>
    <m/>
    <n v="41208280"/>
    <x v="0"/>
    <d v="2018-09-06T00:00:00"/>
    <d v="2018-10-10T00:00:00"/>
    <d v="2018-11-30T00:00:00"/>
    <s v="Avenier a.s."/>
    <m/>
    <n v="41204810.799999997"/>
    <n v="45325291.880000003"/>
    <m/>
    <m/>
    <m/>
    <d v="2018-02-03T00:00:00"/>
    <s v="SMLN-2018-617-000438"/>
    <x v="1"/>
    <d v="2019-01-09T00:00:00"/>
    <d v="2021-01-03T00:00:00"/>
  </r>
  <r>
    <s v="xxx"/>
    <s v="xxx"/>
    <s v="xxx"/>
    <s v="VZ-2018-000606"/>
    <s v="LÉK"/>
    <s v="Ondráčková"/>
    <x v="22"/>
    <n v="6"/>
    <s v="Peginterferon beta-1a"/>
    <s v="L03AB13"/>
    <s v="33652000-5"/>
    <m/>
    <n v="11440923"/>
    <x v="0"/>
    <d v="2018-09-06T00:00:00"/>
    <d v="2018-10-10T00:00:00"/>
    <d v="2018-11-30T00:00:00"/>
    <s v="Avenier a.s."/>
    <m/>
    <n v="11439502.880000001"/>
    <n v="12583453.17"/>
    <m/>
    <m/>
    <m/>
    <d v="2018-02-03T00:00:00"/>
    <s v="SMLN-2018-617-000439"/>
    <x v="1"/>
    <d v="2019-01-09T00:00:00"/>
    <d v="2021-01-03T00:00:00"/>
  </r>
  <r>
    <s v="xxx"/>
    <s v="xxx"/>
    <s v="xxx"/>
    <s v="VZ-2018-000607"/>
    <s v="LÉK"/>
    <s v="Ondráčková"/>
    <x v="23"/>
    <n v="1"/>
    <s v="Ribavirin"/>
    <s v="J05AP01"/>
    <s v="33651400-2"/>
    <m/>
    <n v="184729"/>
    <x v="0"/>
    <d v="2018-09-06T00:00:00"/>
    <d v="2018-10-17T00:00:00"/>
    <d v="2019-01-16T00:00:00"/>
    <s v="RIBAVIRIN MYLAN; phoenix"/>
    <s v="VZ-2019-000825 - nová VZ, DůVOD zrušeno pro neposkytnutí součinnosti ; zrušeno pro neposkytnutí součinnosti ; DALŠÍ POSTUP opakování zrušené; 26.7. předáno OZVZ; ÚPRAVA  ; PŘEDPOKLAD  ; POZN: "/>
    <m/>
    <m/>
    <m/>
    <m/>
    <m/>
    <m/>
    <s v="SMLN-2019-617-000017"/>
    <x v="0"/>
    <d v="2019-05-06T00:00:00"/>
    <m/>
  </r>
  <r>
    <s v="xxx"/>
    <s v="xxx"/>
    <s v="xxx"/>
    <s v="VZ-2018-000607"/>
    <s v="LÉK"/>
    <s v="Ondráčková"/>
    <x v="23"/>
    <n v="2"/>
    <s v="Tenofovir-disoproxyl"/>
    <s v="J05AF07"/>
    <s v="33651400-2"/>
    <m/>
    <n v="41208"/>
    <x v="0"/>
    <d v="2018-09-06T00:00:00"/>
    <d v="2018-10-17T00:00:00"/>
    <d v="2019-01-16T00:00:00"/>
    <s v="Alliance Healthcare s.r.o."/>
    <m/>
    <n v="41202.9"/>
    <n v="45323.19"/>
    <m/>
    <m/>
    <m/>
    <d v="2019-01-17T00:00:00"/>
    <s v="SMLN-2019-617-000018"/>
    <x v="22"/>
    <d v="2019-04-26T00:00:00"/>
    <d v="2021-04-02T00:00:00"/>
  </r>
  <r>
    <s v="xxx"/>
    <s v="xxx"/>
    <s v="xxx"/>
    <s v="VZ-2018-000607"/>
    <s v="LÉK"/>
    <s v="Ondráčková"/>
    <x v="23"/>
    <n v="8"/>
    <s v="Elbasvir / grazoprevir"/>
    <s v="J05AP54"/>
    <s v="33651400-2"/>
    <m/>
    <n v="2894400"/>
    <x v="0"/>
    <d v="2018-09-06T00:00:00"/>
    <d v="2018-10-17T00:00:00"/>
    <d v="2019-01-16T00:00:00"/>
    <s v="Merck Sharp &amp; Dohme s.r.o."/>
    <m/>
    <n v="2891520"/>
    <n v="3180672"/>
    <m/>
    <m/>
    <m/>
    <d v="2019-01-17T00:00:00"/>
    <s v="SMLN-2019-617-000019"/>
    <x v="22"/>
    <d v="2019-04-26T00:00:00"/>
    <d v="2021-04-02T00:00:00"/>
  </r>
  <r>
    <s v="xxx"/>
    <s v="xxx"/>
    <s v="xxx"/>
    <s v="VZ-2018-000608"/>
    <s v="LÉK"/>
    <s v="Ondráčková"/>
    <x v="24"/>
    <n v="1"/>
    <s v="Desfluran"/>
    <s v="N01AB07"/>
    <s v="33661100-2"/>
    <m/>
    <n v="952945"/>
    <x v="0"/>
    <d v="2018-09-25T00:00:00"/>
    <d v="2018-10-30T00:00:00"/>
    <d v="2019-02-26T00:00:00"/>
    <s v="Promedica Praha Group, a.s."/>
    <m/>
    <n v="952944.48"/>
    <n v="1048238.9280000001"/>
    <m/>
    <m/>
    <m/>
    <d v="2019-02-26T00:00:00"/>
    <s v="SMLN-2019-617-000095_x000a_SMLN-2019-616-000016"/>
    <x v="23"/>
    <d v="2019-04-29T00:00:00"/>
    <d v="2023-04-11T00:00:00"/>
  </r>
  <r>
    <s v="xxx"/>
    <s v="xxx"/>
    <s v="xxx"/>
    <s v="VZ-2018-000608"/>
    <s v="LÉK"/>
    <s v="Ondráčková"/>
    <x v="24"/>
    <n v="2"/>
    <s v="Sevofluran"/>
    <s v="N01AB08"/>
    <s v="33661100-2"/>
    <m/>
    <n v="7533750"/>
    <x v="0"/>
    <d v="2018-09-25T00:00:00"/>
    <d v="2018-10-30T00:00:00"/>
    <m/>
    <s v="Baxter"/>
    <s v="DůVOD zrušeno ; nepodali nabídku ; DALŠÍ POSTUP opakovat; ÚPRAVA rozdělení zakázky na dětské a dosp pacienty ; PŘEDPOKLAD 4.Q_19 ; POZN: "/>
    <m/>
    <m/>
    <m/>
    <m/>
    <m/>
    <m/>
    <m/>
    <x v="0"/>
    <d v="2019-02-27T00:00:00"/>
    <m/>
  </r>
  <r>
    <s v="xxx"/>
    <s v="xxx"/>
    <s v="xxx"/>
    <s v="VZ-2018-000610"/>
    <s v="ZM"/>
    <s v="Dočkalová"/>
    <x v="25"/>
    <m/>
    <m/>
    <m/>
    <s v="33162200-5"/>
    <m/>
    <n v="7297000"/>
    <x v="0"/>
    <d v="2018-09-07T00:00:00"/>
    <d v="2018-10-09T00:00:00"/>
    <d v="2018-10-24T00:00:00"/>
    <s v="Johnson &amp; Johnson s.r.o."/>
    <m/>
    <n v="6516492"/>
    <n v="7884956.6799999997"/>
    <m/>
    <m/>
    <m/>
    <d v="2018-10-25T00:00:00"/>
    <s v="SMLN-2018-617-000382_x000a_SMLN-2018-617-000383_x000a_SMLN-2018-614-000090"/>
    <x v="9"/>
    <d v="2019-01-29T00:00:00"/>
    <d v="2021-01-23T00:00:00"/>
  </r>
  <r>
    <s v="xxx"/>
    <s v="xxx"/>
    <d v="2018-08-22T00:00:00"/>
    <s v="VZ-2018-000617"/>
    <s v="INV"/>
    <s v="Spáčil"/>
    <x v="26"/>
    <n v="1"/>
    <s v="DK"/>
    <s v="xxx"/>
    <s v="45223300-9"/>
    <s v="1.3.16. "/>
    <n v="6500000"/>
    <x v="1"/>
    <d v="2018-09-07T00:00:00"/>
    <d v="2018-10-01T00:00:00"/>
    <d v="2018-10-09T00:00:00"/>
    <s v="SWIETELSKY stavební s.r.o."/>
    <m/>
    <n v="9056056"/>
    <n v="10957827.76"/>
    <s v="xxx"/>
    <s v="xxx"/>
    <s v="xxx"/>
    <d v="2018-10-10T00:00:00"/>
    <s v="SMLN-2018-618-000082"/>
    <x v="24"/>
    <d v="2019-01-04T00:00:00"/>
    <d v="2019-05-03T00:00:00"/>
  </r>
  <r>
    <s v="xxx"/>
    <s v="xxx"/>
    <d v="2018-08-22T00:00:00"/>
    <s v="VZ-2018-000617"/>
    <s v="INV"/>
    <s v="Spáčil"/>
    <x v="26"/>
    <n v="2"/>
    <s v="Lékárna"/>
    <s v="xxx"/>
    <s v="45223300-9"/>
    <s v=" 1.3.17. "/>
    <n v="2950000"/>
    <x v="1"/>
    <d v="2018-09-07T00:00:00"/>
    <d v="2018-10-01T00:00:00"/>
    <d v="2018-10-09T00:00:00"/>
    <s v="SWIETELSKY stavební s.r.o."/>
    <m/>
    <n v="2432940"/>
    <n v="2943857.4"/>
    <s v="xxx"/>
    <s v="xxx"/>
    <s v="xxx"/>
    <d v="2018-10-10T00:00:00"/>
    <s v="SMLN-2018-618-000083"/>
    <x v="24"/>
    <d v="2019-01-04T00:00:00"/>
    <d v="2019-04-03T00:00:00"/>
  </r>
  <r>
    <s v="xxx"/>
    <s v="xxx"/>
    <s v="xxx"/>
    <s v="VZ-2018-000624"/>
    <s v="ZM"/>
    <s v="Dočkalová"/>
    <x v="27"/>
    <m/>
    <m/>
    <m/>
    <s v="33141310-6"/>
    <m/>
    <n v="3403900"/>
    <x v="1"/>
    <d v="2018-09-12T00:00:00"/>
    <d v="2018-10-03T00:00:00"/>
    <m/>
    <s v="zrušeno - bude sdružený nákup"/>
    <s v="nová VZ sdružený nákup"/>
    <m/>
    <m/>
    <m/>
    <m/>
    <m/>
    <m/>
    <m/>
    <x v="0"/>
    <d v="2019-04-30T00:00:00"/>
    <m/>
  </r>
  <r>
    <s v="xxx"/>
    <s v="xxx"/>
    <s v="xxx"/>
    <s v="VZ-2018-000656"/>
    <s v="ZT"/>
    <s v="Rosulek"/>
    <x v="28"/>
    <m/>
    <m/>
    <m/>
    <s v="33168000-5"/>
    <s v="2.2.118."/>
    <n v="3305785"/>
    <x v="0"/>
    <d v="2018-09-25T00:00:00"/>
    <d v="2018-10-29T00:00:00"/>
    <d v="2018-11-21T00:00:00"/>
    <s v="Z Technik s.r.o."/>
    <m/>
    <n v="3302380"/>
    <n v="3995879.8"/>
    <m/>
    <m/>
    <m/>
    <d v="2018-11-22T00:00:00"/>
    <s v="SMLN-2018-617-000422_x000a_SMLN-2018-612-000139"/>
    <x v="25"/>
    <d v="2019-01-10T00:00:00"/>
    <d v="2019-02-28T00:00:00"/>
  </r>
  <r>
    <s v="xxx"/>
    <s v="xxx"/>
    <s v="xxx"/>
    <s v="VZ-2018-000662"/>
    <s v="ZM"/>
    <s v="Dočkalová"/>
    <x v="29"/>
    <m/>
    <m/>
    <m/>
    <s v="33196000-0"/>
    <m/>
    <n v="900000"/>
    <x v="2"/>
    <d v="2018-09-25T00:00:00"/>
    <d v="2018-10-09T00:00:00"/>
    <m/>
    <s v="zrušeno"/>
    <s v="nová VZ-2019-000199"/>
    <m/>
    <m/>
    <m/>
    <m/>
    <m/>
    <m/>
    <m/>
    <x v="0"/>
    <d v="2019-02-11T00:00:00"/>
    <m/>
  </r>
  <r>
    <s v="xxx"/>
    <s v="xxx"/>
    <s v="xxx"/>
    <s v="VZ-2018-000685"/>
    <s v="INV"/>
    <s v="Kvapil"/>
    <x v="30"/>
    <m/>
    <m/>
    <m/>
    <s v="45215120-4"/>
    <s v="1.3.11."/>
    <n v="129510000"/>
    <x v="0"/>
    <d v="2018-10-23T00:00:00"/>
    <d v="2018-12-20T00:00:00"/>
    <d v="2019-01-30T00:00:00"/>
    <s v="OHL ŽS, a.s."/>
    <m/>
    <n v="128990069.95999999"/>
    <n v="156077984.65159997"/>
    <m/>
    <m/>
    <m/>
    <d v="2019-01-30T00:00:00"/>
    <s v="SMLN-2019-618-000009"/>
    <x v="26"/>
    <d v="2019-03-07T00:00:00"/>
    <d v="2020-09-05T00:00:00"/>
  </r>
  <r>
    <s v="xxx"/>
    <s v="xxx"/>
    <s v="xxx"/>
    <s v="VZ-2018-000753"/>
    <s v="VŠEOB"/>
    <s v="Nerudová"/>
    <x v="31"/>
    <m/>
    <m/>
    <m/>
    <s v="98310000-9"/>
    <m/>
    <n v="120000000"/>
    <x v="0"/>
    <d v="2018-10-19T00:00:00"/>
    <d v="2018-12-18T00:00:00"/>
    <d v="2019-01-15T00:00:00"/>
    <s v="RENATEX CZ a.s."/>
    <m/>
    <n v="114751628.15000001"/>
    <n v="138849470.06150001"/>
    <m/>
    <m/>
    <m/>
    <d v="2019-01-16T00:00:00"/>
    <s v="SMLN-2019-612-000007_x000a_SMLN-2019-612-000008"/>
    <x v="3"/>
    <d v="2019-03-14T00:00:00"/>
    <s v="doba neurčitá"/>
  </r>
  <r>
    <s v="xxx"/>
    <s v="xxx"/>
    <s v="xxx"/>
    <s v="VZ-2018-000783"/>
    <s v="PROVOZ"/>
    <s v="Benešová"/>
    <x v="32"/>
    <m/>
    <m/>
    <m/>
    <s v="39832000-3"/>
    <m/>
    <n v="1600000"/>
    <x v="2"/>
    <d v="2018-10-25T00:00:00"/>
    <d v="2018-11-05T00:00:00"/>
    <d v="2018-12-12T00:00:00"/>
    <s v="Christeyns s.r.o."/>
    <m/>
    <n v="1081060"/>
    <n v="1308082.5999999999"/>
    <s v="xxx"/>
    <s v="xxx"/>
    <s v="xxx"/>
    <d v="2018-12-12T00:00:00"/>
    <s v="SMLN-2018-617-000453_x000a_SMLN-2018-616-000083"/>
    <x v="5"/>
    <d v="2019-01-14T00:00:00"/>
    <d v="2023-01-10T00:00:00"/>
  </r>
  <r>
    <s v="xxx"/>
    <s v="xxx"/>
    <s v="xxx"/>
    <s v="VZ-2018-000821"/>
    <s v="ENERG"/>
    <s v="Srovnal"/>
    <x v="33"/>
    <m/>
    <m/>
    <m/>
    <s v="35120000-1"/>
    <s v="4.2.68., 4.2.69."/>
    <n v="420000"/>
    <x v="2"/>
    <d v="2018-11-02T00:00:00"/>
    <d v="2018-11-12T00:00:00"/>
    <d v="2018-11-28T00:00:00"/>
    <s v="Merit Group, a.s."/>
    <m/>
    <n v="310243.3"/>
    <n v="375394.39299999998"/>
    <s v="xxx"/>
    <s v="xxx"/>
    <s v="xxx"/>
    <d v="2018-11-28T00:00:00"/>
    <s v="SMLN-2018-618-000821"/>
    <x v="5"/>
    <d v="2019-01-14T00:00:00"/>
    <d v="2019-03-17T00:00:00"/>
  </r>
  <r>
    <s v="xxx"/>
    <s v="xxx"/>
    <s v="xxx"/>
    <s v="VZ-2018-000831"/>
    <s v="ZM"/>
    <s v="Dočkalová"/>
    <x v="34"/>
    <n v="1"/>
    <s v="Somasensor INVOS pro dospělé"/>
    <m/>
    <s v="33140000-3"/>
    <m/>
    <n v="437800"/>
    <x v="2"/>
    <d v="2018-11-20T00:00:00"/>
    <d v="2018-11-30T00:00:00"/>
    <d v="2018-12-12T00:00:00"/>
    <s v="Medtronic Czechia s.r.o."/>
    <m/>
    <n v="437800"/>
    <n v="529738"/>
    <m/>
    <m/>
    <m/>
    <d v="2018-12-12T00:00:00"/>
    <s v="SMLN-2018-617-000454"/>
    <x v="27"/>
    <d v="2019-01-23T00:00:00"/>
    <d v="2021-01-21T00:00:00"/>
  </r>
  <r>
    <s v="xxx"/>
    <s v="xxx"/>
    <s v="xxx"/>
    <s v="VZ-2018-000831"/>
    <s v="ZM"/>
    <s v="Dočkalová"/>
    <x v="34"/>
    <n v="2"/>
    <s v="Fore-sight ELITE dual velký"/>
    <m/>
    <s v="33140000-3"/>
    <m/>
    <n v="542640"/>
    <x v="2"/>
    <d v="2018-11-20T00:00:00"/>
    <d v="2018-11-30T00:00:00"/>
    <d v="2018-12-12T00:00:00"/>
    <s v="Biomedica ČS, s.r.o."/>
    <m/>
    <n v="542640"/>
    <n v="656594.4"/>
    <m/>
    <m/>
    <m/>
    <d v="2018-12-12T00:00:00"/>
    <s v="SMLN-2018-617-000455"/>
    <x v="28"/>
    <d v="2019-01-23T00:00:00"/>
    <d v="2021-01-16T00:00:00"/>
  </r>
  <r>
    <s v="xxx"/>
    <s v="xxx"/>
    <s v="xxx"/>
    <s v="VZ-2018-000847"/>
    <s v="ZT"/>
    <s v="Rosulek"/>
    <x v="35"/>
    <m/>
    <m/>
    <m/>
    <s v="33124100-6"/>
    <s v="2.2.141."/>
    <n v="4600000"/>
    <x v="0"/>
    <d v="2018-11-09T00:00:00"/>
    <d v="2018-12-17T00:00:00"/>
    <m/>
    <s v="zrušeno"/>
    <s v="nová VZ-2019-000305"/>
    <n v="4585200"/>
    <n v="5548092"/>
    <m/>
    <m/>
    <m/>
    <m/>
    <m/>
    <x v="0"/>
    <d v="2019-02-11T00:00:00"/>
    <m/>
  </r>
  <r>
    <s v="xxx"/>
    <s v="xxx"/>
    <s v="xxx"/>
    <s v="VZ-2018-000849"/>
    <s v="ZT"/>
    <s v="Rosulek"/>
    <x v="36"/>
    <m/>
    <m/>
    <m/>
    <s v="33124120-2"/>
    <s v="2.2.69."/>
    <n v="4530000"/>
    <x v="0"/>
    <d v="2018-11-09T00:00:00"/>
    <d v="2018-12-14T00:00:00"/>
    <d v="2019-02-11T00:00:00"/>
    <s v="zrušeno - neposkytnutí součinnosti"/>
    <s v="nová VZ-2019-000730"/>
    <n v="6553201.2300000004"/>
    <n v="7929373.4699999997"/>
    <m/>
    <m/>
    <m/>
    <d v="2019-02-14T00:00:00"/>
    <s v="SMLN-2019-617-000078_x000a_SMLN-2019-612-000019"/>
    <x v="0"/>
    <d v="2019-06-25T00:00:00"/>
    <m/>
  </r>
  <r>
    <s v="xxx"/>
    <s v="xxx"/>
    <s v="xxx"/>
    <s v="VZ-2018-000862"/>
    <s v="ZM"/>
    <s v="Dočkalová"/>
    <x v="37"/>
    <n v="1"/>
    <s v="Low Flux"/>
    <m/>
    <s v="33181200-4"/>
    <m/>
    <n v="988520"/>
    <x v="1"/>
    <d v="2018-11-29T00:00:00"/>
    <d v="2018-12-19T00:00:00"/>
    <d v="2019-02-11T00:00:00"/>
    <s v="Baxter Czech spol. s r.o."/>
    <m/>
    <n v="814400"/>
    <n v="985424"/>
    <m/>
    <m/>
    <m/>
    <d v="2019-02-14T00:00:00"/>
    <s v="SMLN-2019-617-000076"/>
    <x v="29"/>
    <d v="2019-03-25T00:00:00"/>
    <d v="2020-03-18T00:00:00"/>
  </r>
  <r>
    <s v="xxx"/>
    <s v="xxx"/>
    <s v="xxx"/>
    <s v="VZ-2018-000862"/>
    <s v="ZM"/>
    <s v="Dočkalová"/>
    <x v="37"/>
    <n v="2"/>
    <s v="High Flux"/>
    <m/>
    <s v="33181200-4"/>
    <m/>
    <n v="1036080"/>
    <x v="1"/>
    <d v="2018-11-29T00:00:00"/>
    <d v="2018-12-19T00:00:00"/>
    <d v="2019-02-11T00:00:00"/>
    <s v="Fresenius Medical Care s.r.o."/>
    <m/>
    <n v="900828"/>
    <n v="1090001.8799999999"/>
    <m/>
    <m/>
    <m/>
    <d v="2019-02-14T00:00:00"/>
    <s v="SMLN-2019-617-000077"/>
    <x v="15"/>
    <d v="2019-03-25T00:00:00"/>
    <d v="2020-03-17T00:00:00"/>
  </r>
  <r>
    <s v="xxx"/>
    <s v="xxx"/>
    <s v="xxx"/>
    <s v="VZ-2018-000866"/>
    <s v="METR"/>
    <s v="Filip"/>
    <x v="38"/>
    <n v="1"/>
    <s v="Kalibrace a validace ostatních měřidel a zařízení FNOL"/>
    <m/>
    <s v="50411000-9"/>
    <m/>
    <n v="2100000"/>
    <x v="1"/>
    <d v="2018-12-13T00:00:00"/>
    <d v="2019-01-10T00:00:00"/>
    <m/>
    <s v="bez nabídky"/>
    <s v="nová VZ-2019-000027"/>
    <m/>
    <m/>
    <m/>
    <m/>
    <m/>
    <m/>
    <m/>
    <x v="0"/>
    <d v="2019-01-11T00:00:00"/>
    <m/>
  </r>
  <r>
    <s v="xxx"/>
    <s v="xxx"/>
    <s v="xxx"/>
    <s v="VZ-2018-000866"/>
    <s v="METR"/>
    <s v="Filip"/>
    <x v="38"/>
    <n v="2"/>
    <s v="Kalibrace a validace monitorovacího systému ConWin"/>
    <m/>
    <s v="50411000-9"/>
    <m/>
    <n v="900000"/>
    <x v="1"/>
    <d v="2018-12-13T00:00:00"/>
    <d v="2019-01-10T00:00:00"/>
    <m/>
    <s v="bez nabídky"/>
    <s v="nová VZ-2019-000027"/>
    <m/>
    <m/>
    <m/>
    <m/>
    <m/>
    <m/>
    <m/>
    <x v="0"/>
    <d v="2019-01-11T00:00:00"/>
    <m/>
  </r>
  <r>
    <s v="xxx"/>
    <s v="xxx"/>
    <s v="xxx"/>
    <s v="VZ-2018-000872"/>
    <s v="ENERG"/>
    <s v="Srovnal"/>
    <x v="39"/>
    <m/>
    <m/>
    <m/>
    <s v="45333000-0"/>
    <s v="4.2.67."/>
    <n v="1300000"/>
    <x v="2"/>
    <d v="2018-12-07T00:00:00"/>
    <d v="2018-12-17T00:00:00"/>
    <d v="2019-01-09T00:00:00"/>
    <s v="Dräger Medical s.r.o."/>
    <m/>
    <n v="1108850"/>
    <n v="1341708.5"/>
    <m/>
    <m/>
    <m/>
    <d v="2019-01-09T00:00:00"/>
    <s v="SMLN-2019-618-000001_x000a_SMLN-2019-612-000002"/>
    <x v="30"/>
    <d v="2019-02-14T00:00:00"/>
    <d v="2019-08-12T00:00:00"/>
  </r>
  <r>
    <s v="xxx"/>
    <s v="xxx"/>
    <s v="xxx"/>
    <s v="VZ-2018-000873"/>
    <s v="ZT"/>
    <s v="Rosulek"/>
    <x v="40"/>
    <m/>
    <m/>
    <m/>
    <s v="33162100-4"/>
    <s v="2.2.132."/>
    <n v="2727000"/>
    <x v="1"/>
    <d v="2018-11-29T00:00:00"/>
    <d v="2019-01-09T00:00:00"/>
    <d v="2019-04-11T00:00:00"/>
    <s v="Carl Zeiss spol. s r.o."/>
    <m/>
    <n v="2161400"/>
    <n v="2615294"/>
    <m/>
    <m/>
    <m/>
    <d v="2019-04-11T00:00:00"/>
    <s v="SMLN-2019-617-000182_x000a_SMLN-2019-612-000037"/>
    <x v="31"/>
    <d v="2019-05-16T00:00:00"/>
    <d v="2019-07-09T00:00:00"/>
  </r>
  <r>
    <s v="xxx"/>
    <s v="xxx"/>
    <s v="xxx"/>
    <s v="VZ-2018-000883"/>
    <s v="LÉK"/>
    <s v="Ondráčková"/>
    <x v="41"/>
    <n v="1"/>
    <s v="FLUDEOXYGLUKOSA-(18F)"/>
    <s v="V09IX04"/>
    <s v="09343000-5"/>
    <m/>
    <n v="33976800"/>
    <x v="0"/>
    <d v="2018-12-07T00:00:00"/>
    <d v="2019-01-22T00:00:00"/>
    <d v="2019-03-05T00:00:00"/>
    <s v="RadioMedic s.r.o."/>
    <m/>
    <n v="33976800"/>
    <n v="37374480"/>
    <m/>
    <m/>
    <m/>
    <d v="2019-03-05T00:00:00"/>
    <s v="SMLN-2019-617-000121"/>
    <x v="21"/>
    <d v="2019-04-02T00:00:00"/>
    <d v="2021-03-31T00:00:00"/>
  </r>
  <r>
    <s v="xxx"/>
    <s v="xxx"/>
    <s v="xxx"/>
    <s v="VZ-2018-000887"/>
    <s v="ZM"/>
    <s v="Dočkalová"/>
    <x v="42"/>
    <m/>
    <m/>
    <m/>
    <s v="33731110-7"/>
    <m/>
    <n v="2898000"/>
    <x v="0"/>
    <d v="2018-11-29T00:00:00"/>
    <d v="2019-01-08T00:00:00"/>
    <d v="2019-01-24T00:00:00"/>
    <s v="Alcon Pharmaceuticals"/>
    <m/>
    <n v="2898000"/>
    <n v="3332700"/>
    <m/>
    <m/>
    <m/>
    <d v="2019-01-24T00:00:00"/>
    <s v="SMLN-2019-617-000043_x000a_SMLN-2019-614-000005"/>
    <x v="14"/>
    <d v="2019-02-27T00:00:00"/>
    <s v="na neurčito"/>
  </r>
  <r>
    <s v="xxx"/>
    <s v="xxx"/>
    <s v="xxx"/>
    <s v="VZ-2018-000890"/>
    <s v="ZT"/>
    <s v="Rosulek"/>
    <x v="43"/>
    <m/>
    <m/>
    <m/>
    <s v="42996110-8"/>
    <s v="2.2.178."/>
    <n v="958909"/>
    <x v="2"/>
    <d v="2018-11-23T00:00:00"/>
    <d v="2018-11-30T00:00:00"/>
    <d v="2019-01-14T00:00:00"/>
    <s v="S.A.B. Impex  s.r.o."/>
    <m/>
    <n v="847790"/>
    <n v="1025828"/>
    <m/>
    <m/>
    <m/>
    <d v="2019-01-14T00:00:00"/>
    <s v="SMLN-2019-617-000009_x000a_SMLN-2019-612-000005"/>
    <x v="7"/>
    <d v="2019-02-06T00:00:00"/>
    <d v="2019-03-08T00:00:00"/>
  </r>
  <r>
    <s v="xxx"/>
    <s v="xxx"/>
    <s v="xxx"/>
    <s v="VZ-2018-000906"/>
    <s v="LÉK"/>
    <s v="Ondráčková"/>
    <x v="44"/>
    <n v="1"/>
    <s v="Fibrinogen, Aprotinin, Thrombin, Chlorid Vápenatý I"/>
    <s v="B02BC30"/>
    <s v="33621000-9"/>
    <m/>
    <n v="990714"/>
    <x v="0"/>
    <d v="2018-12-17T00:00:00"/>
    <d v="2019-02-22T00:00:00"/>
    <d v="2019-04-02T00:00:00"/>
    <s v="Baxter Czech spol. s r.o."/>
    <m/>
    <n v="990714"/>
    <n v="1089785.3999999999"/>
    <m/>
    <m/>
    <m/>
    <d v="2019-04-03T00:00:00"/>
    <s v="SMLN-2019-617-000167"/>
    <x v="32"/>
    <d v="2019-05-30T00:00:00"/>
    <d v="2022-05-05T00:00:00"/>
  </r>
  <r>
    <s v="xxx"/>
    <s v="xxx"/>
    <s v="xxx"/>
    <s v="VZ-2018-000906"/>
    <s v="LÉK"/>
    <s v="Ondráčková"/>
    <x v="44"/>
    <n v="2"/>
    <s v="Fibrinogen, Aprotinin, Thrombin, Chlorid Vápenatý II"/>
    <s v="B02BC30"/>
    <s v="33621000-9"/>
    <m/>
    <n v="8306208"/>
    <x v="0"/>
    <d v="2018-12-17T00:00:00"/>
    <d v="2019-02-22T00:00:00"/>
    <d v="2019-04-02T00:00:00"/>
    <s v="Baxter Czech spol. s r.o."/>
    <m/>
    <n v="8552650"/>
    <n v="9407915"/>
    <m/>
    <m/>
    <m/>
    <d v="2019-04-03T00:00:00"/>
    <s v="SMLN-2019-617-000168"/>
    <x v="32"/>
    <d v="2019-05-30T00:00:00"/>
    <d v="2022-05-05T00:00:00"/>
  </r>
  <r>
    <s v="xxx"/>
    <s v="xxx"/>
    <s v="xxx"/>
    <s v="VZ-2018-000906"/>
    <s v="LÉK"/>
    <s v="Ondráčková"/>
    <x v="44"/>
    <n v="3"/>
    <s v="Fibrinogen, Aprotinin, Thrombin, Chlorid Vápenatý III"/>
    <s v="B02BC30"/>
    <s v="33621000-9"/>
    <m/>
    <n v="65752"/>
    <x v="0"/>
    <d v="2018-12-17T00:00:00"/>
    <d v="2019-02-22T00:00:00"/>
    <d v="2019-04-02T00:00:00"/>
    <s v="Baxter Czech spol. s r.o."/>
    <m/>
    <n v="65751"/>
    <n v="72326.539999999994"/>
    <m/>
    <m/>
    <m/>
    <d v="2019-04-03T00:00:00"/>
    <s v="SMLN-2019-617-000169"/>
    <x v="32"/>
    <d v="2019-05-30T00:00:00"/>
    <d v="2022-05-05T00:00:00"/>
  </r>
  <r>
    <s v="xxx"/>
    <s v="xxx"/>
    <s v="xxx"/>
    <s v="VZ-2018-000906"/>
    <s v="LÉK"/>
    <s v="Ondráčková"/>
    <x v="44"/>
    <n v="4"/>
    <s v="Fibrinogen, Thrombin"/>
    <s v="_x000a_B02BC30"/>
    <s v="33621000-9"/>
    <m/>
    <n v="3909258"/>
    <x v="0"/>
    <d v="2018-12-17T00:00:00"/>
    <d v="2019-02-22T00:00:00"/>
    <d v="2019-04-02T00:00:00"/>
    <s v="Alliance Healthcare s.r.o."/>
    <m/>
    <n v="3873244.32"/>
    <n v="4260568.75"/>
    <m/>
    <m/>
    <m/>
    <d v="2019-04-03T00:00:00"/>
    <s v="SMLN-2019-617-000170"/>
    <x v="32"/>
    <d v="2019-05-30T00:00:00"/>
    <d v="2022-05-05T00:00:00"/>
  </r>
  <r>
    <s v="xxx"/>
    <s v="xxx"/>
    <s v="xxx"/>
    <s v="VZ-2018-000906"/>
    <s v="LÉK"/>
    <s v="Ondráčková"/>
    <x v="44"/>
    <n v="5"/>
    <s v="Lokální hemostatikum"/>
    <m/>
    <s v="33621000-9"/>
    <m/>
    <n v="1018999"/>
    <x v="0"/>
    <d v="2018-12-17T00:00:00"/>
    <d v="2019-02-22T00:00:00"/>
    <d v="2019-04-02T00:00:00"/>
    <s v="Baxter Czech spol. s r.o."/>
    <m/>
    <n v="1018997.7"/>
    <n v="1171847.3600000001"/>
    <m/>
    <m/>
    <m/>
    <d v="2019-04-03T00:00:00"/>
    <s v="SMLN-2019-617-000171"/>
    <x v="32"/>
    <d v="2019-05-30T00:00:00"/>
    <d v="2022-05-05T00:00:00"/>
  </r>
  <r>
    <s v="xxx"/>
    <s v="xxx"/>
    <s v="xxx"/>
    <s v="VZ-2018-000906"/>
    <s v="LÉK"/>
    <s v="Ondráčková"/>
    <x v="44"/>
    <n v="6"/>
    <s v="Komplex železa s karboxymaltosou  "/>
    <s v="B03AC"/>
    <s v="33621000-9"/>
    <m/>
    <n v="3518439"/>
    <x v="0"/>
    <d v="2018-12-17T00:00:00"/>
    <d v="2019-02-22T00:00:00"/>
    <d v="2019-04-02T00:00:00"/>
    <s v="Alliance Healthcare s.r.o."/>
    <m/>
    <n v="3518438.04"/>
    <n v="3870281.84"/>
    <m/>
    <m/>
    <m/>
    <d v="2019-04-03T00:00:00"/>
    <s v="SMLN-2019-617-000172"/>
    <x v="32"/>
    <d v="2019-05-30T00:00:00"/>
    <d v="2022-05-05T00:00:00"/>
  </r>
  <r>
    <s v="xxx"/>
    <s v="xxx"/>
    <s v="xxx"/>
    <s v="VZ-2018-000906"/>
    <s v="LÉK"/>
    <s v="Ondráčková"/>
    <x v="44"/>
    <n v="7"/>
    <s v="Sloučeniny trojmocného železa"/>
    <s v="B03AC"/>
    <s v="33621000-9"/>
    <m/>
    <n v="2011987"/>
    <x v="0"/>
    <d v="2018-12-17T00:00:00"/>
    <d v="2019-02-22T00:00:00"/>
    <d v="2019-04-02T00:00:00"/>
    <s v="Alliance Healthcare s.r.o."/>
    <m/>
    <n v="1999611.72"/>
    <n v="2199572.89"/>
    <m/>
    <m/>
    <m/>
    <d v="2019-04-03T00:00:00"/>
    <s v="SMLN-2019-617-000173"/>
    <x v="32"/>
    <d v="2019-05-30T00:00:00"/>
    <d v="2022-05-05T00:00:00"/>
  </r>
  <r>
    <s v="xxx"/>
    <s v="xxx"/>
    <s v="xxx"/>
    <s v="VZ-2018-000915"/>
    <s v="ZT"/>
    <s v="Rosulek"/>
    <x v="45"/>
    <m/>
    <m/>
    <m/>
    <s v="33166000-1"/>
    <s v="2.3.361."/>
    <n v="1024794"/>
    <x v="2"/>
    <d v="2018-12-04T00:00:00"/>
    <d v="2018-12-12T00:00:00"/>
    <d v="2019-01-09T00:00:00"/>
    <s v="MediCom, a.s."/>
    <m/>
    <n v="1025350"/>
    <n v="1240673.5"/>
    <m/>
    <m/>
    <m/>
    <d v="2019-01-09T00:00:00"/>
    <s v="SMLN-2019-617-000005_x000a_SMLN-2019-612-000003"/>
    <x v="10"/>
    <d v="2019-02-06T00:00:00"/>
    <d v="2019-04-15T00:00:00"/>
  </r>
  <r>
    <s v="xxx"/>
    <s v="xxx"/>
    <s v="xxx"/>
    <s v="VZ-2018-000919"/>
    <s v="ZT"/>
    <s v="Rosulek"/>
    <x v="46"/>
    <n v="2"/>
    <s v="Hlubokomrazící boxy"/>
    <m/>
    <s v="39711100-0"/>
    <s v="2.2.131.,2.2.186.,2.2.189."/>
    <n v="769000"/>
    <x v="2"/>
    <d v="2018-12-07T00:00:00"/>
    <d v="2018-12-21T00:00:00"/>
    <d v="2019-01-14T00:00:00"/>
    <s v="Schoeller Instruments s.r.o."/>
    <m/>
    <n v="577000"/>
    <n v="698170"/>
    <m/>
    <m/>
    <m/>
    <d v="2019-01-14T00:00:00"/>
    <s v="SMLN-2019-617-000008_x000a_SMLN-2019-612-000004"/>
    <x v="7"/>
    <d v="2019-02-06T00:00:00"/>
    <d v="2019-04-03T00:00:00"/>
  </r>
  <r>
    <s v="xxx"/>
    <s v="xxx"/>
    <s v="xxx"/>
    <s v="VZ-2018-000920"/>
    <s v="LÉK"/>
    <s v="Ondráčková"/>
    <x v="47"/>
    <n v="1"/>
    <s v="Alteplasa"/>
    <s v="B01AD02"/>
    <s v="33621100-0"/>
    <m/>
    <n v="7413897"/>
    <x v="0"/>
    <d v="2018-12-05T00:00:00"/>
    <d v="2019-01-08T00:00:00"/>
    <d v="2019-02-26T00:00:00"/>
    <s v="Alliance Healthcare s.r.o."/>
    <m/>
    <n v="7353707.2199999997"/>
    <n v="8089077.9420000007"/>
    <m/>
    <m/>
    <m/>
    <d v="2019-02-27T00:00:00"/>
    <s v="SMLN-2019-617-000102"/>
    <x v="12"/>
    <d v="2019-04-02T00:00:00"/>
    <d v="2021-03-27T00:00:00"/>
  </r>
  <r>
    <s v="xxx"/>
    <s v="xxx"/>
    <s v="xxx"/>
    <s v="VZ-2018-000920"/>
    <s v="LÉK"/>
    <s v="Ondráčková"/>
    <x v="47"/>
    <n v="2"/>
    <s v="Degarelix-acetát"/>
    <s v="L02BX02"/>
    <s v="33642000-2"/>
    <m/>
    <n v="2433774"/>
    <x v="0"/>
    <d v="2018-12-05T00:00:00"/>
    <d v="2019-01-08T00:00:00"/>
    <d v="2019-02-26T00:00:00"/>
    <s v="ViaPharma s.r.o."/>
    <m/>
    <n v="2429964.12"/>
    <n v="2672960.5320000001"/>
    <m/>
    <m/>
    <m/>
    <d v="2019-02-27T00:00:00"/>
    <s v="SMLN-2019-617-000103"/>
    <x v="12"/>
    <d v="2019-04-02T00:00:00"/>
    <d v="2021-03-27T00:00:00"/>
  </r>
  <r>
    <s v="xxx"/>
    <s v="xxx"/>
    <s v="xxx"/>
    <s v="VZ-2018-000920"/>
    <s v="LÉK"/>
    <s v="Ondráčková"/>
    <x v="47"/>
    <n v="3"/>
    <s v="Abirateron-acetát"/>
    <s v="L02BX03"/>
    <s v="33642000-2"/>
    <m/>
    <n v="28298912"/>
    <x v="0"/>
    <d v="2018-12-05T00:00:00"/>
    <d v="2019-01-08T00:00:00"/>
    <m/>
    <s v="janssen"/>
    <s v="VZ-2019-000929 nová VZ, DůVOD zrušeno - bez nabídky ; zrušeno - bez nabídky ; DALŠÍ POSTUP opakování zrušené; 30.8. předáno OZVZ; ÚPRAVA  ; PŘEDPOKLAD  ; POZN: "/>
    <m/>
    <m/>
    <m/>
    <m/>
    <m/>
    <m/>
    <m/>
    <x v="0"/>
    <d v="2019-03-01T00:00:00"/>
    <m/>
  </r>
  <r>
    <s v="xxx"/>
    <s v="xxx"/>
    <s v="xxx"/>
    <s v="VZ-2018-000920"/>
    <s v="LÉK"/>
    <s v="Ondráčková"/>
    <x v="47"/>
    <n v="4"/>
    <s v="Denosumab I"/>
    <s v="M05BX04"/>
    <s v="33632000-9"/>
    <m/>
    <n v="3364809"/>
    <x v="0"/>
    <d v="2018-12-05T00:00:00"/>
    <d v="2019-01-08T00:00:00"/>
    <d v="2019-02-26T00:00:00"/>
    <s v="Amgen s.r.o."/>
    <m/>
    <n v="3039688.4"/>
    <n v="3343657.24"/>
    <m/>
    <m/>
    <m/>
    <d v="2019-02-27T00:00:00"/>
    <s v="SMLN-2019-617-000104"/>
    <x v="13"/>
    <d v="2019-04-02T00:00:00"/>
    <d v="2021-03-27T00:00:00"/>
  </r>
  <r>
    <s v="xxx"/>
    <s v="xxx"/>
    <s v="xxx"/>
    <s v="VZ-2018-000920"/>
    <s v="LÉK"/>
    <s v="Ondráčková"/>
    <x v="47"/>
    <n v="5"/>
    <s v="Denosumab II"/>
    <s v="M05BX04"/>
    <s v="33632000-9"/>
    <m/>
    <n v="8895944"/>
    <x v="0"/>
    <d v="2018-12-05T00:00:00"/>
    <d v="2019-01-08T00:00:00"/>
    <d v="2019-02-26T00:00:00"/>
    <s v="Amgen s.r.o."/>
    <m/>
    <n v="8889294.7799999993"/>
    <n v="9778224.2579999994"/>
    <m/>
    <m/>
    <m/>
    <d v="2019-02-27T00:00:00"/>
    <s v="SMLN-2019-617-000105"/>
    <x v="13"/>
    <d v="2019-04-02T00:00:00"/>
    <d v="2021-03-27T00:00:00"/>
  </r>
  <r>
    <s v="xxx"/>
    <s v="xxx"/>
    <s v="xxx"/>
    <s v="VZ-2018-000920"/>
    <s v="LÉK"/>
    <s v="Ondráčková"/>
    <x v="47"/>
    <n v="6"/>
    <s v="Ivakaftor"/>
    <s v="R07AX02"/>
    <s v="33670000-7"/>
    <m/>
    <n v="9364240"/>
    <x v="0"/>
    <d v="2018-12-05T00:00:00"/>
    <d v="2019-01-08T00:00:00"/>
    <m/>
    <s v="Vertex Pharmaceuticals"/>
    <s v="VZ-2019-000883 nová VZ, DůVOD zrušeno - bez nabídky ; nechtěli se hlásit ; DALŠÍ POSTUP opakování zrušené; 20.8. předáno OZVZ; ÚPRAVA  ; PŘEDPOKLAD  ; POZN: "/>
    <m/>
    <m/>
    <m/>
    <m/>
    <m/>
    <m/>
    <m/>
    <x v="0"/>
    <d v="2019-03-01T00:00:00"/>
    <m/>
  </r>
  <r>
    <s v="xxx"/>
    <s v="xxx"/>
    <s v="xxx"/>
    <s v="VZ-2018-000925"/>
    <s v="INV"/>
    <s v="Spáčil"/>
    <x v="48"/>
    <m/>
    <m/>
    <m/>
    <s v="45215100-8"/>
    <s v="1.2.52."/>
    <n v="9500000"/>
    <x v="1"/>
    <d v="2018-12-06T00:00:00"/>
    <d v="2018-12-27T00:00:00"/>
    <d v="2019-01-14T00:00:00"/>
    <s v="OHL ŽS, a.s."/>
    <m/>
    <n v="9498000"/>
    <n v="11492580"/>
    <m/>
    <m/>
    <m/>
    <d v="2018-01-14T00:00:00"/>
    <s v="SMLN-2019-618-000004"/>
    <x v="11"/>
    <d v="2019-02-12T00:00:00"/>
    <s v="120 dní od pís. Výzvy"/>
  </r>
  <r>
    <s v="xxx"/>
    <s v="xxx"/>
    <d v="2018-11-15T00:00:00"/>
    <s v="VZ-2018-000928"/>
    <s v="VŠEOB"/>
    <s v="Nerudová"/>
    <x v="49"/>
    <m/>
    <m/>
    <m/>
    <s v="33772000-2"/>
    <m/>
    <n v="1900000"/>
    <x v="2"/>
    <d v="2018-12-20T00:00:00"/>
    <d v="2019-01-11T00:00:00"/>
    <d v="2019-01-16T00:00:00"/>
    <s v="FRANKOSPOL OFFICE s.r.o."/>
    <m/>
    <n v="1546109"/>
    <n v="1870791.89"/>
    <m/>
    <m/>
    <m/>
    <d v="2019-02-05T00:00:00"/>
    <s v="SMLN-2019-617-000051"/>
    <x v="33"/>
    <d v="2019-02-26T00:00:00"/>
    <d v="2020-02-24T00:00:00"/>
  </r>
  <r>
    <s v="xxx"/>
    <s v="xxx"/>
    <s v="xxx"/>
    <s v="VZ-2018-000932"/>
    <s v="LÉK"/>
    <s v="Ondráčková"/>
    <x v="50"/>
    <n v="1"/>
    <s v="Etamsylát"/>
    <s v="B02BX01"/>
    <s v="33621200-1"/>
    <m/>
    <n v="1360716"/>
    <x v="0"/>
    <d v="2018-12-05T00:00:00"/>
    <d v="2019-01-09T00:00:00"/>
    <m/>
    <s v="4life; PHOENIX lékárenský velkoobchod, s.r.o."/>
    <s v="DůVOD zrušeno - bez nabídky ; nepodali nabídku ; DALŠÍ POSTUP opakování zrušené; 20.8. předáno OZVZ; ÚPRAVA  ; PŘEDPOKLAD  ; POZN: "/>
    <m/>
    <m/>
    <m/>
    <m/>
    <m/>
    <m/>
    <m/>
    <x v="0"/>
    <d v="2019-02-28T00:00:00"/>
    <m/>
  </r>
  <r>
    <s v="xxx"/>
    <s v="xxx"/>
    <s v="xxx"/>
    <s v="VZ-2018-000932"/>
    <s v="LÉK"/>
    <s v="Ondráčková"/>
    <x v="50"/>
    <n v="2"/>
    <s v="Romiplostin"/>
    <s v="B02BX04"/>
    <s v="33621200-1"/>
    <m/>
    <n v="4808719"/>
    <x v="0"/>
    <d v="2018-12-05T00:00:00"/>
    <d v="2019-01-09T00:00:00"/>
    <d v="2019-02-26T00:00:00"/>
    <s v="Amgen s.r.o."/>
    <m/>
    <n v="4758558.76"/>
    <n v="5234414.6359999999"/>
    <m/>
    <m/>
    <m/>
    <d v="2019-02-26T00:00:00"/>
    <s v="SMLN-2019-617-000097"/>
    <x v="21"/>
    <d v="2019-04-04T00:00:00"/>
    <d v="2021-03-31T00:00:00"/>
  </r>
  <r>
    <s v="xxx"/>
    <s v="xxx"/>
    <s v="xxx"/>
    <s v="VZ-2018-000932"/>
    <s v="LÉK"/>
    <s v="Ondráčková"/>
    <x v="50"/>
    <n v="3"/>
    <s v="Eltrombopag-olamin"/>
    <s v="B02BX05"/>
    <s v="33621200-1"/>
    <m/>
    <n v="1434358"/>
    <x v="0"/>
    <d v="2018-12-05T00:00:00"/>
    <d v="2019-01-09T00:00:00"/>
    <d v="2019-02-26T00:00:00"/>
    <s v="Alliance Healthcare s.r.o."/>
    <m/>
    <n v="1434357.12"/>
    <n v="1577792.8320000002"/>
    <m/>
    <m/>
    <m/>
    <d v="2019-02-26T00:00:00"/>
    <s v="SMLN-2019-617-000098"/>
    <x v="21"/>
    <d v="2019-04-04T00:00:00"/>
    <d v="2021-03-31T00:00:00"/>
  </r>
  <r>
    <s v="xxx"/>
    <s v="xxx"/>
    <s v="xxx"/>
    <s v="VZ-2018-000932"/>
    <s v="LÉK"/>
    <s v="Ondráčková"/>
    <x v="50"/>
    <n v="4"/>
    <s v="Deferoxamin-mesylát"/>
    <s v="V03AC01"/>
    <s v="33693000-4"/>
    <m/>
    <n v="140033"/>
    <x v="0"/>
    <d v="2018-12-05T00:00:00"/>
    <d v="2019-01-09T00:00:00"/>
    <d v="2019-02-26T00:00:00"/>
    <s v="Alliance Healthcare s.r.o."/>
    <m/>
    <n v="140030"/>
    <n v="154033"/>
    <m/>
    <m/>
    <m/>
    <d v="2019-02-26T00:00:00"/>
    <s v="SMLN-2019-617-000099"/>
    <x v="21"/>
    <d v="2019-04-04T00:00:00"/>
    <d v="2021-03-31T00:00:00"/>
  </r>
  <r>
    <s v="xxx"/>
    <s v="xxx"/>
    <s v="xxx"/>
    <s v="VZ-2018-000932"/>
    <s v="LÉK"/>
    <s v="Ondráčková"/>
    <x v="50"/>
    <n v="5"/>
    <s v="Deferipron"/>
    <s v="V03AC02"/>
    <s v="33693000-4"/>
    <m/>
    <n v="472992"/>
    <x v="0"/>
    <d v="2018-12-05T00:00:00"/>
    <d v="2019-01-09T00:00:00"/>
    <d v="2019-02-26T00:00:00"/>
    <s v="Alliance Healthcare s.r.o."/>
    <m/>
    <n v="472430.08000000002"/>
    <n v="519673.08800000005"/>
    <m/>
    <m/>
    <m/>
    <d v="2019-02-27T00:00:00"/>
    <s v="SMLN-2019-617-000100"/>
    <x v="21"/>
    <d v="2019-04-04T00:00:00"/>
    <d v="2021-03-31T00:00:00"/>
  </r>
  <r>
    <s v="xxx"/>
    <s v="xxx"/>
    <s v="xxx"/>
    <s v="VZ-2018-000932"/>
    <s v="LÉK"/>
    <s v="Ondráčková"/>
    <x v="50"/>
    <n v="6"/>
    <s v="Deferasirox"/>
    <s v="V03AC03"/>
    <s v="33693000-4"/>
    <m/>
    <n v="7845389"/>
    <x v="0"/>
    <d v="2018-12-05T00:00:00"/>
    <d v="2019-01-09T00:00:00"/>
    <d v="2019-02-26T00:00:00"/>
    <s v="Alliance Healthcare s.r.o."/>
    <m/>
    <n v="7719800"/>
    <n v="8491780"/>
    <m/>
    <m/>
    <m/>
    <d v="2019-02-27T00:00:00"/>
    <s v="SMLN-2019-617-000101"/>
    <x v="21"/>
    <d v="2019-04-04T00:00:00"/>
    <d v="2021-03-31T00:00:00"/>
  </r>
  <r>
    <s v="xxx"/>
    <s v="xxx"/>
    <s v="xxx"/>
    <s v="VZ-2018-000944"/>
    <s v="OSB "/>
    <s v="Vaida"/>
    <x v="51"/>
    <m/>
    <m/>
    <m/>
    <s v="45421100-5"/>
    <m/>
    <n v="500000"/>
    <x v="2"/>
    <d v="2018-12-13T00:00:00"/>
    <d v="2019-01-08T00:00:00"/>
    <d v="2019-01-15T00:00:00"/>
    <s v="Stavitelství Pospíšil, s.r.o."/>
    <m/>
    <n v="635808"/>
    <n v="769327.67999999993"/>
    <m/>
    <m/>
    <m/>
    <d v="2019-01-15T00:00:00"/>
    <s v="SMLN-2019-618-000006"/>
    <x v="34"/>
    <d v="2019-02-25T00:00:00"/>
    <d v="2019-04-18T00:00:00"/>
  </r>
  <r>
    <s v="xxx"/>
    <s v="xxx"/>
    <s v="xxx"/>
    <s v="VZ-2018-000945"/>
    <s v="LÉK"/>
    <s v="Ondráčková"/>
    <x v="52"/>
    <n v="1"/>
    <s v="Rituximab pro intravenózní podání pro indikaci CLL"/>
    <s v="L01XC02"/>
    <s v="33652100-6"/>
    <m/>
    <n v="12688472"/>
    <x v="0"/>
    <d v="2018-12-13T00:00:00"/>
    <d v="2019-01-17T00:00:00"/>
    <d v="2019-02-26T00:00:00"/>
    <s v="Alliance Healthcare s.r.o."/>
    <m/>
    <n v="6798782.4000000004"/>
    <n v="8226526.7039999999"/>
    <m/>
    <m/>
    <m/>
    <d v="2019-02-26T00:00:00"/>
    <s v="SMLN-2019-617-000096"/>
    <x v="35"/>
    <d v="2019-04-29T00:00:00"/>
    <d v="2021-04-14T00:00:00"/>
  </r>
  <r>
    <s v="xxx"/>
    <s v="xxx"/>
    <s v="xxx"/>
    <s v="VZ-2018-000945"/>
    <s v="LÉK"/>
    <s v="Ondráčková"/>
    <x v="52"/>
    <n v="2"/>
    <s v="Rituximab pro intravenózní podání pro indikaci revmatoidní artritida"/>
    <s v="L01XC02"/>
    <s v="33652100-6"/>
    <m/>
    <n v="2543217"/>
    <x v="0"/>
    <d v="2018-12-13T00:00:00"/>
    <d v="2019-01-17T00:00:00"/>
    <m/>
    <s v="Sandoz,Alliance Healthcare s.r.o."/>
    <s v="DůVOD zrušeno - bez nabídky ; indikace; roche překročení PH ; DALŠÍ POSTUP opakovat? Další indikace zrušen patent. Odchod od originálu; ÚPRAVA dle indikací ; PŘEDPOKLAD 4.Q_19 ; POZN: "/>
    <m/>
    <m/>
    <m/>
    <m/>
    <m/>
    <m/>
    <m/>
    <x v="0"/>
    <d v="2019-03-19T00:00:00"/>
    <m/>
  </r>
  <r>
    <s v="xxx"/>
    <s v="xxx"/>
    <s v="xxx"/>
    <s v="VZ-2018-000946"/>
    <s v="ZM"/>
    <s v="Dočkalová"/>
    <x v="53"/>
    <m/>
    <m/>
    <m/>
    <s v="33140000-3"/>
    <m/>
    <n v="946000"/>
    <x v="2"/>
    <d v="2018-12-11T00:00:00"/>
    <d v="2018-12-20T00:00:00"/>
    <d v="2019-01-14T00:00:00"/>
    <s v="Edwards Lifesciences "/>
    <m/>
    <n v="940800"/>
    <n v="1138368"/>
    <m/>
    <m/>
    <m/>
    <d v="2019-01-14T00:00:00"/>
    <s v="SMLN-2019-617-000010"/>
    <x v="36"/>
    <d v="2019-02-18T00:00:00"/>
    <d v="2021-02-14T00:00:00"/>
  </r>
  <r>
    <s v="xxx"/>
    <s v="xxx"/>
    <s v="xxx"/>
    <s v="VZ-2018-000952"/>
    <s v="ENERG"/>
    <s v="Srovnal"/>
    <x v="54"/>
    <m/>
    <m/>
    <m/>
    <s v="42500000-1"/>
    <s v="4.2.106."/>
    <n v="330000"/>
    <x v="2"/>
    <d v="2018-12-17T00:00:00"/>
    <d v="2019-01-11T00:00:00"/>
    <d v="2019-01-17T00:00:00"/>
    <s v="Air - Klimont s.r.o."/>
    <m/>
    <n v="236952"/>
    <n v="286711.92"/>
    <m/>
    <m/>
    <m/>
    <d v="2019-01-18T00:00:00"/>
    <s v="SMLN-2019-617-000020"/>
    <x v="37"/>
    <d v="2019-02-18T00:00:00"/>
    <d v="2019-04-15T00:00:00"/>
  </r>
  <r>
    <s v="xxx"/>
    <s v="xxx"/>
    <s v="xxx"/>
    <s v="VZ-2018-000953"/>
    <s v="INV"/>
    <s v="Valíček"/>
    <x v="55"/>
    <m/>
    <m/>
    <m/>
    <s v="71200000-0"/>
    <s v="1.3.1."/>
    <n v="1950000"/>
    <x v="2"/>
    <d v="2018-12-14T00:00:00"/>
    <d v="2018-12-28T00:00:00"/>
    <d v="2019-01-09T00:00:00"/>
    <s v="LT PROJEKT a.s."/>
    <m/>
    <n v="1700000"/>
    <n v="2057000"/>
    <m/>
    <m/>
    <m/>
    <d v="2019-01-11T00:00:00"/>
    <s v="SMLN-2019-618-000002"/>
    <x v="9"/>
    <d v="2019-02-04T00:00:00"/>
    <d v="2019-04-24T00:00:00"/>
  </r>
  <r>
    <s v="xxx"/>
    <s v="xxx"/>
    <d v="2018-11-02T00:00:00"/>
    <s v="VZ-2019-000003"/>
    <s v="ZT"/>
    <s v="Rosulek"/>
    <x v="56"/>
    <m/>
    <m/>
    <m/>
    <s v="31500000-1"/>
    <s v="2.2.190/2018"/>
    <n v="619835"/>
    <x v="2"/>
    <d v="2019-01-11T00:00:00"/>
    <d v="2019-01-22T00:00:00"/>
    <m/>
    <s v="zrušeno - bez nabídky"/>
    <s v="nová VZ-2019-000307"/>
    <m/>
    <m/>
    <m/>
    <m/>
    <m/>
    <m/>
    <m/>
    <x v="0"/>
    <d v="2019-01-23T00:00:00"/>
    <m/>
  </r>
  <r>
    <s v="xxx"/>
    <s v="xxx"/>
    <d v="2018-09-10T00:00:00"/>
    <s v="VZ-2019-000004"/>
    <s v="LÉK"/>
    <s v="Ondráčková"/>
    <x v="57"/>
    <n v="1"/>
    <s v="Diagnostika a spotřební materiál pro vyšetřní presepsinu se zápůjčkou analyzátoru"/>
    <m/>
    <s v="33694000-1"/>
    <m/>
    <n v="8400000"/>
    <x v="0"/>
    <d v="2019-01-08T00:00:00"/>
    <d v="2019-02-08T00:00:00"/>
    <d v="2019-03-05T00:00:00"/>
    <s v="MEDESA s.r.o."/>
    <m/>
    <n v="8388000"/>
    <n v="10149480"/>
    <m/>
    <m/>
    <m/>
    <d v="2019-03-05T00:00:00"/>
    <s v="SMLN-2019-617-000120; SMLN-2019-616-000019"/>
    <x v="35"/>
    <d v="2019-04-25T00:00:00"/>
    <d v="2027-04-14T00:00:00"/>
  </r>
  <r>
    <s v="xxx"/>
    <s v="xxx"/>
    <d v="2018-10-02T00:00:00"/>
    <s v="VZ-2019-000005"/>
    <s v="LÉK"/>
    <s v="Ondráčková"/>
    <x v="58"/>
    <n v="1"/>
    <s v="Medicinální a technické plyny"/>
    <m/>
    <s v="24111500-5"/>
    <m/>
    <n v="7973778"/>
    <x v="0"/>
    <d v="2019-01-08T00:00:00"/>
    <d v="2019-02-08T00:00:00"/>
    <m/>
    <s v="Messer Technogas s.r.o."/>
    <s v="DůVOD zrušeno - překročení ceny ; VZ-2019-000401"/>
    <m/>
    <m/>
    <m/>
    <m/>
    <m/>
    <m/>
    <m/>
    <x v="0"/>
    <d v="2019-02-13T00:00:00"/>
    <m/>
  </r>
  <r>
    <s v="xxx"/>
    <s v="xxx"/>
    <d v="2018-12-28T00:00:00"/>
    <s v="VZ-2019-000006"/>
    <s v="ENERG"/>
    <s v="Srovnal"/>
    <x v="59"/>
    <m/>
    <m/>
    <m/>
    <s v="43612600-2"/>
    <m/>
    <n v="300000"/>
    <x v="2"/>
    <d v="2019-01-10T00:00:00"/>
    <d v="2019-01-21T00:00:00"/>
    <m/>
    <s v="zrušeno - bez nabídky"/>
    <s v="nová VZ-2019-000057"/>
    <m/>
    <m/>
    <m/>
    <m/>
    <m/>
    <m/>
    <m/>
    <x v="0"/>
    <d v="2019-01-21T00:00:00"/>
    <m/>
  </r>
  <r>
    <s v="xxx"/>
    <s v="xxx"/>
    <d v="2018-12-20T00:00:00"/>
    <s v="VZ-2019-000008"/>
    <s v="INF"/>
    <s v="Oravec"/>
    <x v="60"/>
    <m/>
    <m/>
    <m/>
    <s v="72261000-2"/>
    <m/>
    <n v="2088000"/>
    <x v="1"/>
    <d v="2019-01-09T00:00:00"/>
    <d v="2019-01-29T00:00:00"/>
    <d v="2019-02-06T00:00:00"/>
    <s v="DS Soft Olomouc s.r.o."/>
    <m/>
    <n v="1998000"/>
    <n v="2417580"/>
    <m/>
    <m/>
    <m/>
    <d v="2019-02-06T00:00:00"/>
    <s v="SMLN-2019-612-000011"/>
    <x v="38"/>
    <d v="2019-04-04T00:00:00"/>
    <d v="2022-04-01T00:00:00"/>
  </r>
  <r>
    <s v="xxx"/>
    <s v="xxx"/>
    <d v="2018-11-09T00:00:00"/>
    <s v="VZ-2019-000009"/>
    <s v="VŠEOB"/>
    <s v="Nerudová"/>
    <x v="61"/>
    <m/>
    <m/>
    <m/>
    <s v="30197644-2"/>
    <m/>
    <n v="1020000"/>
    <x v="2"/>
    <d v="2019-01-04T00:00:00"/>
    <d v="2019-01-17T00:00:00"/>
    <d v="2019-02-05T00:00:00"/>
    <s v="VKUS-BUSTAN, s.r.o."/>
    <m/>
    <n v="1231140"/>
    <n v="1489679.4"/>
    <m/>
    <m/>
    <m/>
    <d v="2019-02-05T00:00:00"/>
    <s v="SMLN-2019-617-000052"/>
    <x v="39"/>
    <d v="2019-03-01T00:00:00"/>
    <d v="2020-02-27T00:00:00"/>
  </r>
  <r>
    <s v="xxx"/>
    <s v="xxx"/>
    <d v="2019-01-03T00:00:00"/>
    <s v="VZ-2019-000010"/>
    <s v="ZT"/>
    <s v="Rosulek"/>
    <x v="62"/>
    <m/>
    <m/>
    <m/>
    <s v="33168100-6"/>
    <s v="2.3.358, 359"/>
    <n v="486000"/>
    <x v="2"/>
    <d v="2019-01-09T00:00:00"/>
    <d v="2019-01-18T00:00:00"/>
    <m/>
    <s v="zrušeno"/>
    <s v="nová VZ-2019-000054"/>
    <m/>
    <m/>
    <m/>
    <m/>
    <m/>
    <m/>
    <m/>
    <x v="0"/>
    <d v="2019-01-21T00:00:00"/>
    <m/>
  </r>
  <r>
    <s v="xxx"/>
    <s v="xxx"/>
    <d v="2018-12-06T00:00:00"/>
    <s v="VZ-2019-000016"/>
    <s v="ZM"/>
    <s v="Dočkalová"/>
    <x v="63"/>
    <m/>
    <m/>
    <m/>
    <s v="33140000-3"/>
    <m/>
    <n v="1347470"/>
    <x v="2"/>
    <d v="2019-01-16T00:00:00"/>
    <d v="2019-01-24T00:00:00"/>
    <d v="2019-02-12T00:00:00"/>
    <s v="Pro-Charitu s.r.o."/>
    <m/>
    <n v="1115140"/>
    <n v="1349319.4"/>
    <m/>
    <m/>
    <m/>
    <d v="2019-02-13T00:00:00"/>
    <s v="SMLN-2019-617-000062"/>
    <x v="40"/>
    <d v="2019-03-06T00:00:00"/>
    <d v="2021-03-04T00:00:00"/>
  </r>
  <r>
    <s v="xxx"/>
    <s v="xxx"/>
    <d v="2019-01-02T00:00:00"/>
    <s v="VZ-2019-000017"/>
    <s v="INF"/>
    <s v="Oravec"/>
    <x v="64"/>
    <m/>
    <m/>
    <m/>
    <s v="72261000-2"/>
    <s v="3.2.12."/>
    <n v="1350000"/>
    <x v="2"/>
    <d v="2019-01-28T00:00:00"/>
    <d v="2019-02-08T00:00:00"/>
    <m/>
    <s v="zrušeno - nesplnění požadavků"/>
    <s v="nová VZ-2019-000215"/>
    <m/>
    <m/>
    <m/>
    <m/>
    <m/>
    <m/>
    <m/>
    <x v="0"/>
    <d v="2019-02-26T00:00:00"/>
    <m/>
  </r>
  <r>
    <s v="xxx"/>
    <s v="xxx"/>
    <d v="2019-01-08T00:00:00"/>
    <s v="VZ-2019-000019"/>
    <s v="IROP"/>
    <s v="Neudörflerová"/>
    <x v="65"/>
    <n v="1"/>
    <s v="Instrumentárium pro laparoskopickou operativu"/>
    <m/>
    <s v="33169000-2"/>
    <m/>
    <n v="1394214.87"/>
    <x v="0"/>
    <d v="2019-02-08T00:00:00"/>
    <d v="2019-03-13T00:00:00"/>
    <d v="2019-04-09T00:00:00"/>
    <s v="RADIX CZ s.r.o."/>
    <m/>
    <n v="1389636"/>
    <n v="1681459.56"/>
    <m/>
    <m/>
    <m/>
    <d v="2019-04-09T00:00:00"/>
    <s v="SMLN-2019-617-000178"/>
    <x v="41"/>
    <d v="2019-05-20T00:00:00"/>
    <d v="2019-06-28T00:00:00"/>
  </r>
  <r>
    <s v="xxx"/>
    <s v="xxx"/>
    <d v="2019-01-08T00:00:00"/>
    <s v="VZ-2019-000019"/>
    <s v="IROP"/>
    <s v="Neudörflerová"/>
    <x v="65"/>
    <n v="2"/>
    <s v="Instrumentárium pro hysteroskopickou operativu"/>
    <m/>
    <s v="33169000-2"/>
    <m/>
    <n v="1600826.44"/>
    <x v="0"/>
    <d v="2019-02-08T00:00:00"/>
    <d v="2019-03-13T00:00:00"/>
    <d v="2019-04-09T00:00:00"/>
    <s v="RADIX CZ s.r.o."/>
    <m/>
    <n v="1595178"/>
    <n v="1930165.38"/>
    <m/>
    <m/>
    <m/>
    <d v="2019-04-09T00:00:00"/>
    <s v="SMLN-2019-617-000179"/>
    <x v="41"/>
    <d v="2019-05-20T00:00:00"/>
    <d v="2019-06-28T00:00:00"/>
  </r>
  <r>
    <s v="xxx"/>
    <s v="xxx"/>
    <d v="2019-01-08T00:00:00"/>
    <s v="VZ-2019-000019"/>
    <s v="IROP"/>
    <s v="Neudörflerová"/>
    <x v="65"/>
    <n v="3"/>
    <s v="Instrumentárium pro laparoskopickou operativu - videoendoskop"/>
    <m/>
    <s v="33169000-2"/>
    <m/>
    <n v="1406611.57"/>
    <x v="0"/>
    <d v="2019-02-08T00:00:00"/>
    <d v="2019-03-13T00:00:00"/>
    <d v="2019-04-09T00:00:00"/>
    <s v="RADIX CZ s.r.o."/>
    <m/>
    <n v="1399800"/>
    <n v="1693758"/>
    <m/>
    <m/>
    <m/>
    <d v="2019-04-09T00:00:00"/>
    <s v="SMLN-2019-617-000180"/>
    <x v="41"/>
    <d v="2019-05-20T00:00:00"/>
    <d v="2019-06-28T00:00:00"/>
  </r>
  <r>
    <s v="xxx"/>
    <s v="xxx"/>
    <s v="opakovaná VZ"/>
    <s v="VZ-2019-000027"/>
    <s v="METR"/>
    <s v="Filip"/>
    <x v="66"/>
    <n v="1"/>
    <s v="Kalibrace a validace ostatních měřidel a zařízení FNOL"/>
    <m/>
    <s v="50411000-9"/>
    <m/>
    <n v="2100000"/>
    <x v="1"/>
    <d v="2019-01-14T00:00:00"/>
    <d v="2019-01-30T00:00:00"/>
    <d v="2019-02-13T00:00:00"/>
    <s v="KALIST AKL s.r.o."/>
    <m/>
    <n v="1712320"/>
    <n v="2071907.2"/>
    <m/>
    <m/>
    <m/>
    <d v="2019-02-15T00:00:00"/>
    <s v="SMLN-2019-612-000020"/>
    <x v="21"/>
    <d v="2019-04-04T00:00:00"/>
    <d v="2020-03-31T00:00:00"/>
  </r>
  <r>
    <s v="xxx"/>
    <s v="xxx"/>
    <s v="opakovaná VZ"/>
    <s v="VZ-2019-000027"/>
    <s v="METR"/>
    <s v="Filip"/>
    <x v="66"/>
    <n v="2"/>
    <s v="Kalibrace a validace monitorovacího systému ConWin"/>
    <m/>
    <s v="50411000-9"/>
    <m/>
    <n v="900000"/>
    <x v="1"/>
    <d v="2019-01-14T00:00:00"/>
    <d v="2019-01-30T00:00:00"/>
    <d v="2019-02-13T00:00:00"/>
    <s v="KALIST AKL s.r.o."/>
    <m/>
    <n v="796300"/>
    <n v="963523"/>
    <m/>
    <m/>
    <m/>
    <d v="2019-02-15T00:00:00"/>
    <s v="SMLN-2019-612-000021"/>
    <x v="21"/>
    <d v="2019-04-04T00:00:00"/>
    <d v="2020-03-31T00:00:00"/>
  </r>
  <r>
    <s v="xxx"/>
    <s v="xxx"/>
    <d v="2019-01-02T00:00:00"/>
    <s v="VZ-2019-000029"/>
    <s v="VŠEOB"/>
    <s v="Nerudová"/>
    <x v="67"/>
    <m/>
    <m/>
    <m/>
    <s v="39120000-9"/>
    <m/>
    <n v="930000"/>
    <x v="0"/>
    <d v="2019-01-21T00:00:00"/>
    <d v="2019-02-22T00:00:00"/>
    <d v="2019-03-06T00:00:00"/>
    <s v="Indubia s.r.o."/>
    <m/>
    <n v="845534"/>
    <n v="1023096.14"/>
    <m/>
    <m/>
    <m/>
    <d v="2019-03-07T00:00:00"/>
    <s v="SMLN-2019-618-000017"/>
    <x v="42"/>
    <d v="2019-04-17T00:00:00"/>
    <d v="2019-07-31T00:00:00"/>
  </r>
  <r>
    <s v="xxx"/>
    <s v="xxx"/>
    <d v="2019-01-14T00:00:00"/>
    <s v="VZ-2019-000040"/>
    <s v="ZT"/>
    <s v="Rosulek"/>
    <x v="68"/>
    <m/>
    <m/>
    <m/>
    <s v="39711100-0"/>
    <s v="2.2.131.; 2.2.189."/>
    <n v="179338"/>
    <x v="2"/>
    <d v="2019-01-21T00:00:00"/>
    <d v="2019-02-07T00:00:00"/>
    <d v="2019-02-28T00:00:00"/>
    <s v="UNIMED PRAHA s.r.o."/>
    <m/>
    <n v="229984"/>
    <n v="278280.64"/>
    <m/>
    <m/>
    <m/>
    <d v="2019-03-01T00:00:00"/>
    <s v="SMLN-2019-617-000112_x000a_SMLN-2019-612-000029"/>
    <x v="43"/>
    <d v="2019-03-29T00:00:00"/>
    <d v="2019-05-21T00:00:00"/>
  </r>
  <r>
    <s v="xxx"/>
    <s v="xxx"/>
    <d v="2019-01-17T00:00:00"/>
    <s v="VZ-2019-000044"/>
    <s v="ZT"/>
    <s v="Rosulek"/>
    <x v="69"/>
    <m/>
    <m/>
    <m/>
    <s v="33100000-1"/>
    <s v="2.2.31."/>
    <n v="438017"/>
    <x v="2"/>
    <d v="2019-01-22T00:00:00"/>
    <d v="2019-01-31T00:00:00"/>
    <d v="2019-02-12T00:00:00"/>
    <s v="zrušeno - nutná ekonomická analýza"/>
    <s v="rozvaha výpůjčka x koupě"/>
    <n v="514254"/>
    <n v="622248.5"/>
    <m/>
    <m/>
    <m/>
    <d v="2019-02-13T00:00:00"/>
    <s v="SMLN-2019-617-000063_x000a_SMLN-2019-612-000017"/>
    <x v="0"/>
    <d v="2019-06-13T00:00:00"/>
    <m/>
  </r>
  <r>
    <s v="xxx"/>
    <s v="xxx"/>
    <s v="opakovaná VZ"/>
    <s v="VZ-2019-000054"/>
    <s v="ZT"/>
    <s v="Rosulek"/>
    <x v="70"/>
    <m/>
    <m/>
    <m/>
    <s v="33168100-6"/>
    <s v="2.3.358,359"/>
    <n v="486000"/>
    <x v="2"/>
    <d v="2019-01-23T00:00:00"/>
    <d v="2019-02-07T00:00:00"/>
    <d v="2019-02-13T00:00:00"/>
    <s v="Olympus Czech Group s.r.o."/>
    <m/>
    <n v="649837"/>
    <n v="786302.77"/>
    <m/>
    <m/>
    <m/>
    <d v="2019-02-13T00:00:00"/>
    <s v="SMLN-2019-617-000074_x000a_SMLN-2019-612-000018"/>
    <x v="44"/>
    <d v="2019-03-12T00:00:00"/>
    <d v="2019-05-10T00:00:00"/>
  </r>
  <r>
    <s v="xxx"/>
    <s v="xxx"/>
    <d v="2019-01-17T00:00:00"/>
    <s v="VZ-2019-000055"/>
    <s v="ENERG"/>
    <s v="Srovnal"/>
    <x v="71"/>
    <m/>
    <m/>
    <m/>
    <s v="50532000-3"/>
    <m/>
    <n v="4000000"/>
    <x v="0"/>
    <d v="2019-02-14T00:00:00"/>
    <d v="2019-03-22T00:00:00"/>
    <d v="2019-04-11T00:00:00"/>
    <s v="ELMAR group s.r.o."/>
    <m/>
    <n v="3997042.8"/>
    <n v="4836421.79"/>
    <m/>
    <m/>
    <m/>
    <d v="2019-04-11T00:00:00"/>
    <s v="SMLN-2019-612-000038"/>
    <x v="41"/>
    <d v="2019-05-22T00:00:00"/>
    <d v="2023-05-16T00:00:00"/>
  </r>
  <r>
    <s v="xxx"/>
    <s v="xxx"/>
    <s v="opakovaná VZ"/>
    <s v="VZ-2019-000057"/>
    <s v="ENERG"/>
    <s v="Srovnal"/>
    <x v="72"/>
    <m/>
    <m/>
    <m/>
    <s v="43612600-2"/>
    <m/>
    <n v="300000"/>
    <x v="2"/>
    <d v="2019-01-24T00:00:00"/>
    <d v="2019-02-05T00:00:00"/>
    <d v="2019-02-11T00:00:00"/>
    <s v="Liftmont CZ, s.r.o."/>
    <m/>
    <n v="269000"/>
    <n v="325490"/>
    <m/>
    <m/>
    <m/>
    <d v="2019-02-11T00:00:00"/>
    <s v="SMLN-2019-612-000016"/>
    <x v="45"/>
    <d v="2019-03-12T00:00:00"/>
    <d v="2019-03-31T00:00:00"/>
  </r>
  <r>
    <s v="xxx"/>
    <s v="xxx"/>
    <d v="2018-12-06T00:00:00"/>
    <s v="VZ-2019-000066"/>
    <s v="LÉK"/>
    <s v="Ondráčková"/>
    <x v="73"/>
    <n v="1"/>
    <s v="Methylfenidát-hydrochlorid I"/>
    <s v="NA6BA04"/>
    <s v="33661600-7"/>
    <m/>
    <n v="356773"/>
    <x v="0"/>
    <d v="2019-01-25T00:00:00"/>
    <d v="2019-02-25T00:00:00"/>
    <d v="2019-03-08T00:00:00"/>
    <s v="Alliance Healthcare s.r.o."/>
    <m/>
    <n v="352274.24"/>
    <n v="387501.66400000005"/>
    <m/>
    <m/>
    <m/>
    <d v="2019-03-11T00:00:00"/>
    <s v="SMLN-2019-617-000137"/>
    <x v="46"/>
    <d v="2019-04-25T00:00:00"/>
    <d v="2021-04-07T00:00:00"/>
  </r>
  <r>
    <s v="xxx"/>
    <s v="xxx"/>
    <d v="2018-12-06T00:00:00"/>
    <s v="VZ-2019-000066"/>
    <s v="LÉK"/>
    <s v="Ondráčková"/>
    <x v="73"/>
    <n v="2"/>
    <s v="Atomoxetin-hydrochlorid"/>
    <s v="L01XC03"/>
    <s v="33661600-7"/>
    <m/>
    <n v="3945195"/>
    <x v="0"/>
    <d v="2019-01-25T00:00:00"/>
    <d v="2019-02-25T00:00:00"/>
    <d v="2019-03-08T00:00:00"/>
    <s v="Alliance Healthcare s.r.o."/>
    <m/>
    <n v="3910413.28"/>
    <n v="4301454.608"/>
    <m/>
    <m/>
    <m/>
    <d v="2019-03-11T00:00:00"/>
    <s v="SMLN-2019-617-000138"/>
    <x v="46"/>
    <d v="2019-04-25T00:00:00"/>
    <d v="2021-04-07T00:00:00"/>
  </r>
  <r>
    <s v="xxx"/>
    <s v="xxx"/>
    <d v="2018-12-06T00:00:00"/>
    <s v="VZ-2019-000066"/>
    <s v="LÉK"/>
    <s v="Ondráčková"/>
    <x v="73"/>
    <n v="3"/>
    <s v="Tamsulosin-hydrochlorid, dutasterid"/>
    <s v="G04CA52"/>
    <s v="33641000-5"/>
    <m/>
    <n v="2016941"/>
    <x v="0"/>
    <d v="2019-01-25T00:00:00"/>
    <d v="2019-02-25T00:00:00"/>
    <d v="2019-03-08T00:00:00"/>
    <s v="GSK"/>
    <s v="DůVOD zrušeno - neposkytnutí součinnosti ; zrušeno - neposkytnutí součinnosti ; DALŠÍ POSTUP opakovat; ÚPRAVA  ; PŘEDPOKLAD 3.Q_19 ; POZN: "/>
    <m/>
    <m/>
    <m/>
    <m/>
    <m/>
    <d v="2019-03-11T00:00:00"/>
    <s v="SMLN-2019-617-000139"/>
    <x v="0"/>
    <d v="2019-04-25T00:00:00"/>
    <m/>
  </r>
  <r>
    <s v="xxx"/>
    <s v="xxx"/>
    <d v="2018-12-06T00:00:00"/>
    <s v="VZ-2019-000066"/>
    <s v="LÉK"/>
    <s v="Ondráčková"/>
    <x v="73"/>
    <n v="4"/>
    <s v="Tamsulosin-hydrochlorid, solifenacin-sukcinát"/>
    <s v="G04CA53"/>
    <s v="33641000-5"/>
    <m/>
    <n v="1079792"/>
    <x v="0"/>
    <d v="2019-01-25T00:00:00"/>
    <d v="2019-02-25T00:00:00"/>
    <m/>
    <s v="astellas"/>
    <s v="DůVOD zrušeno - bez nabídky ; nepodali nabídku ; DALŠÍ POSTUP opakovat; ÚPRAVA  ; PŘEDPOKLAD 3.Q_19 ; POZN: "/>
    <m/>
    <m/>
    <m/>
    <m/>
    <m/>
    <m/>
    <m/>
    <x v="0"/>
    <d v="2019-03-29T00:00:00"/>
    <m/>
  </r>
  <r>
    <s v="xxx"/>
    <s v="xxx"/>
    <d v="2018-12-06T00:00:00"/>
    <s v="VZ-2019-000066"/>
    <s v="LÉK"/>
    <s v="Ondráčková"/>
    <x v="73"/>
    <n v="5"/>
    <s v="Teriparatid"/>
    <s v="H05AA02"/>
    <s v="33642000-2"/>
    <m/>
    <n v="4299113"/>
    <x v="0"/>
    <d v="2019-01-25T00:00:00"/>
    <d v="2019-02-25T00:00:00"/>
    <d v="2019-03-08T00:00:00"/>
    <s v="Alliance Healthcare s.r.o."/>
    <m/>
    <n v="4261228.68"/>
    <n v="4687351.5480000004"/>
    <m/>
    <m/>
    <m/>
    <d v="2019-03-11T00:00:00"/>
    <s v="SMLN-2019-617-000140"/>
    <x v="46"/>
    <d v="2019-04-25T00:00:00"/>
    <d v="2021-04-07T00:00:00"/>
  </r>
  <r>
    <s v="xxx"/>
    <s v="xxx"/>
    <d v="2018-12-06T00:00:00"/>
    <s v="VZ-2019-000066"/>
    <s v="LÉK"/>
    <s v="Ondráčková"/>
    <x v="73"/>
    <n v="6"/>
    <s v="Heptahydrát síranu hořečnatého"/>
    <s v="A12CC02"/>
    <s v="33617000-8"/>
    <m/>
    <n v="1881217"/>
    <x v="0"/>
    <d v="2019-01-25T00:00:00"/>
    <d v="2019-02-25T00:00:00"/>
    <m/>
    <s v="AVEL"/>
    <s v="DůVOD zrušeno - bez nabídky ; nepodali nabídku ; DALŠÍ POSTUP opakovat; ÚPRAVA  ; PŘEDPOKLAD 1.Q_20 ; POZN: "/>
    <m/>
    <m/>
    <m/>
    <m/>
    <m/>
    <m/>
    <m/>
    <x v="0"/>
    <d v="2019-03-29T00:00:00"/>
    <m/>
  </r>
  <r>
    <s v="xxx"/>
    <s v="xxx"/>
    <d v="2018-12-06T00:00:00"/>
    <s v="VZ-2019-000066"/>
    <s v="LÉK"/>
    <s v="Ondráčková"/>
    <x v="73"/>
    <n v="7"/>
    <s v="Lehký oxid hořečnatý, lehký zásaditý uhličitan hořečnatý"/>
    <s v="A12CC30"/>
    <s v="33617000-8"/>
    <m/>
    <n v="3254038"/>
    <x v="0"/>
    <d v="2019-01-25T00:00:00"/>
    <d v="2019-02-25T00:00:00"/>
    <m/>
    <s v="AVEL"/>
    <s v="DůVOD zrušeno - bez nabídky ; nepodali nabídku ; DALŠÍ POSTUP opakovat; ÚPRAVA  ; PŘEDPOKLAD 1.Q_20 ; POZN: "/>
    <m/>
    <m/>
    <m/>
    <m/>
    <m/>
    <m/>
    <m/>
    <x v="0"/>
    <d v="2019-03-29T00:00:00"/>
    <m/>
  </r>
  <r>
    <s v="xxx"/>
    <s v="xxx"/>
    <d v="2018-11-29T00:00:00"/>
    <s v="VZ-2019-000067"/>
    <s v="LÉK"/>
    <s v="Ondráčková"/>
    <x v="74"/>
    <n v="1"/>
    <s v="Cytarabin pro subkutánní a intravenózní podání"/>
    <s v="L01BC01"/>
    <s v="33652000-5"/>
    <m/>
    <n v="509063"/>
    <x v="0"/>
    <d v="2019-03-08T00:00:00"/>
    <d v="2019-04-10T00:00:00"/>
    <d v="2019-05-23T00:00:00"/>
    <s v="ViaPharma s.r.o."/>
    <m/>
    <n v="468605.22"/>
    <n v="515465.74"/>
    <m/>
    <m/>
    <m/>
    <d v="2019-05-24T00:00:00"/>
    <s v="SMLN-2019-617-000225"/>
    <x v="47"/>
    <d v="2019-07-10T00:00:00"/>
    <d v="2021-07-01T00:00:00"/>
  </r>
  <r>
    <s v="xxx"/>
    <s v="xxx"/>
    <d v="2018-11-29T00:00:00"/>
    <s v="VZ-2019-000067"/>
    <s v="LÉK"/>
    <s v="Ondráčková"/>
    <x v="74"/>
    <n v="2"/>
    <s v="Cytarabin pro intratekální podání"/>
    <s v="L01BC01"/>
    <s v="33652000-5"/>
    <m/>
    <n v="22616"/>
    <x v="0"/>
    <d v="2019-03-08T00:00:00"/>
    <d v="2019-04-10T00:00:00"/>
    <d v="2019-05-23T00:00:00"/>
    <s v="Alliance Healthcare s.r.o."/>
    <m/>
    <n v="18231"/>
    <n v="20054.099999999999"/>
    <m/>
    <m/>
    <m/>
    <d v="2019-05-24T00:00:00"/>
    <s v="SMLN-2019-617-000226"/>
    <x v="47"/>
    <d v="2019-07-10T00:00:00"/>
    <d v="2021-07-01T00:00:00"/>
  </r>
  <r>
    <s v="xxx"/>
    <s v="xxx"/>
    <d v="2018-11-29T00:00:00"/>
    <s v="VZ-2019-000067"/>
    <s v="LÉK"/>
    <s v="Ondráčková"/>
    <x v="74"/>
    <n v="3"/>
    <s v="Fluoruracil"/>
    <s v="L01BC02"/>
    <s v="33652000-5"/>
    <m/>
    <n v="631503"/>
    <x v="0"/>
    <d v="2019-03-08T00:00:00"/>
    <d v="2019-04-10T00:00:00"/>
    <d v="2019-05-23T00:00:00"/>
    <s v="ViaPharma s.r.o."/>
    <m/>
    <n v="576435.6"/>
    <n v="634079.16"/>
    <m/>
    <m/>
    <m/>
    <d v="2019-05-24T00:00:00"/>
    <s v="SMLN-2019-617-000227"/>
    <x v="47"/>
    <d v="2019-07-10T00:00:00"/>
    <d v="2021-07-01T00:00:00"/>
  </r>
  <r>
    <s v="xxx"/>
    <s v="xxx"/>
    <d v="2018-11-29T00:00:00"/>
    <s v="VZ-2019-000067"/>
    <s v="LÉK"/>
    <s v="Ondráčková"/>
    <x v="74"/>
    <n v="4"/>
    <s v="Gemcitabin-hydrochlorid"/>
    <s v="L01BC05"/>
    <s v="33652000-5"/>
    <m/>
    <n v="905546"/>
    <x v="0"/>
    <d v="2019-03-08T00:00:00"/>
    <d v="2019-04-10T00:00:00"/>
    <d v="2019-05-23T00:00:00"/>
    <s v="ViaPharma s.r.o."/>
    <m/>
    <n v="900488.9"/>
    <n v="990537.79"/>
    <m/>
    <m/>
    <m/>
    <d v="2019-05-24T00:00:00"/>
    <s v="SMLN-2019-617-000228"/>
    <x v="47"/>
    <d v="2019-07-10T00:00:00"/>
    <d v="2021-07-01T00:00:00"/>
  </r>
  <r>
    <s v="xxx"/>
    <s v="xxx"/>
    <d v="2018-11-29T00:00:00"/>
    <s v="VZ-2019-000067"/>
    <s v="LÉK"/>
    <s v="Ondráčková"/>
    <x v="74"/>
    <n v="5"/>
    <s v="Azacitidin"/>
    <s v="L01BC07"/>
    <s v="33652000-5"/>
    <m/>
    <n v="21208837"/>
    <x v="0"/>
    <d v="2019-03-08T00:00:00"/>
    <d v="2019-04-10T00:00:00"/>
    <d v="2019-05-23T00:00:00"/>
    <s v="PHOENIX lék.velkoobchod, s.r.o."/>
    <m/>
    <n v="21208836.100000001"/>
    <n v="23329719.710000001"/>
    <m/>
    <m/>
    <m/>
    <d v="2019-05-24T00:00:00"/>
    <s v="SMLN-2019-617-000229"/>
    <x v="47"/>
    <d v="2019-07-10T00:00:00"/>
    <d v="2021-07-01T00:00:00"/>
  </r>
  <r>
    <s v="xxx"/>
    <s v="xxx"/>
    <d v="2018-11-29T00:00:00"/>
    <s v="VZ-2019-000067"/>
    <s v="LÉK"/>
    <s v="Ondráčková"/>
    <x v="74"/>
    <n v="6"/>
    <s v="Trifluridin, tipiracil-hydrochlorid"/>
    <s v="L01BC59"/>
    <s v="33652000-5"/>
    <m/>
    <n v="2391696"/>
    <x v="0"/>
    <d v="2019-03-08T00:00:00"/>
    <d v="2019-04-10T00:00:00"/>
    <d v="2019-05-23T00:00:00"/>
    <s v="PHOENIX lék.velkoobchod, s.r.o."/>
    <m/>
    <n v="2391694.98"/>
    <n v="2630864.48"/>
    <m/>
    <m/>
    <m/>
    <d v="2019-05-24T00:00:00"/>
    <s v="SMLN-2019-617-000230"/>
    <x v="47"/>
    <d v="2019-07-10T00:00:00"/>
    <d v="2021-07-01T00:00:00"/>
  </r>
  <r>
    <s v="xxx"/>
    <s v="xxx"/>
    <d v="2018-11-29T00:00:00"/>
    <s v="VZ-2019-000067"/>
    <s v="LÉK"/>
    <s v="Ondráčková"/>
    <x v="74"/>
    <n v="7"/>
    <s v="Capecitabine Accord"/>
    <s v="L01BC06"/>
    <s v="33652000-5"/>
    <m/>
    <n v="1298388"/>
    <x v="0"/>
    <d v="2019-03-08T00:00:00"/>
    <d v="2019-04-10T00:00:00"/>
    <d v="2019-05-23T00:00:00"/>
    <s v="ViaPharma s.r.o."/>
    <m/>
    <n v="272565.03999999998"/>
    <n v="299821.53999999998"/>
    <m/>
    <m/>
    <m/>
    <d v="2019-05-24T00:00:00"/>
    <s v="SMLN-2019-617-000231"/>
    <x v="47"/>
    <d v="2019-07-10T00:00:00"/>
    <d v="2021-07-01T00:00:00"/>
  </r>
  <r>
    <s v="xxx"/>
    <s v="xxx"/>
    <d v="2018-11-29T00:00:00"/>
    <s v="VZ-2019-000067"/>
    <s v="LÉK"/>
    <s v="Ondráčková"/>
    <x v="74"/>
    <n v="8"/>
    <s v="Xeloda"/>
    <s v="L01BC06"/>
    <s v="33652000-5"/>
    <m/>
    <n v="226535"/>
    <x v="0"/>
    <d v="2019-03-08T00:00:00"/>
    <d v="2019-04-10T00:00:00"/>
    <d v="2019-05-23T00:00:00"/>
    <m/>
    <m/>
    <m/>
    <m/>
    <m/>
    <m/>
    <m/>
    <d v="2019-05-24T00:00:00"/>
    <s v="SMLN-2019-617-000232"/>
    <x v="0"/>
    <d v="2019-07-10T00:00:00"/>
    <s v="4.7. zrušeno"/>
  </r>
  <r>
    <s v="xxx"/>
    <s v="xxx"/>
    <d v="2018-11-14T00:00:00"/>
    <s v="VZ-2019-000068"/>
    <s v="LÉK"/>
    <s v="Ondráčková"/>
    <x v="75"/>
    <n v="1"/>
    <s v="Lidský imunoglobulin anti-D"/>
    <s v="J06BB01"/>
    <s v="33651520-9"/>
    <m/>
    <n v="355240"/>
    <x v="0"/>
    <d v="2019-02-08T00:00:00"/>
    <d v="2019-04-04T00:00:00"/>
    <m/>
    <s v="CSL BEHRING s.r.o.; octapharma"/>
    <s v="DůVOD zrušeno - bez nabídky ; nepodali nabídku ; DALŠÍ POSTUP opakovat- přidat k ostatním imunoglobulinům; ÚPRAVA  ; PŘEDPOKLAD 4.Q_19 ; POZN: "/>
    <m/>
    <m/>
    <m/>
    <m/>
    <m/>
    <m/>
    <m/>
    <x v="0"/>
    <d v="2019-05-03T00:00:00"/>
    <m/>
  </r>
  <r>
    <s v="xxx"/>
    <s v="xxx"/>
    <d v="2018-11-14T00:00:00"/>
    <s v="VZ-2019-000068"/>
    <s v="LÉK"/>
    <s v="Ondráčková"/>
    <x v="75"/>
    <n v="2"/>
    <s v="Palivizumab"/>
    <s v="J06BB16"/>
    <s v="33651520-9"/>
    <m/>
    <n v="10084849"/>
    <x v="0"/>
    <d v="2019-02-08T00:00:00"/>
    <d v="2019-04-04T00:00:00"/>
    <d v="2019-05-23T00:00:00"/>
    <s v="PHOENIX lék.velkoobchod, s.r.o."/>
    <m/>
    <n v="10712898"/>
    <n v="11784187.800000001"/>
    <m/>
    <m/>
    <m/>
    <d v="2019-05-24T00:00:00"/>
    <s v="SMLN-2019-617-000233"/>
    <x v="48"/>
    <d v="2019-06-27T00:00:00"/>
    <d v="2021-06-17T00:00:00"/>
  </r>
  <r>
    <s v="xxx"/>
    <s v="xxx"/>
    <d v="2019-01-23T00:00:00"/>
    <s v="VZ-2019-000077"/>
    <s v="OSB "/>
    <s v="Vaida"/>
    <x v="76"/>
    <m/>
    <m/>
    <m/>
    <s v="45220000-5"/>
    <m/>
    <n v="400000"/>
    <x v="2"/>
    <d v="2019-01-31T00:00:00"/>
    <d v="2019-02-12T00:00:00"/>
    <d v="2019-03-01T00:00:00"/>
    <s v="SANOL spol. s r.o."/>
    <m/>
    <n v="198141"/>
    <n v="239750.61"/>
    <m/>
    <m/>
    <m/>
    <d v="2019-03-01T00:00:00"/>
    <s v="SMLN-2019-618-000013"/>
    <x v="49"/>
    <d v="2019-04-11T00:00:00"/>
    <d v="2019-04-24T00:00:00"/>
  </r>
  <r>
    <s v="xxx"/>
    <s v="xxx"/>
    <d v="2019-01-23T00:00:00"/>
    <s v="VZ-2019-000080"/>
    <s v="IROP"/>
    <s v="Neudörflerová"/>
    <x v="77"/>
    <n v="1"/>
    <s v="Stůl zákrokový"/>
    <m/>
    <s v="33192230-3"/>
    <s v="2.3.346"/>
    <n v="521492.23"/>
    <x v="0"/>
    <d v="2019-01-28T00:00:00"/>
    <d v="2019-04-08T00:00:00"/>
    <d v="2019-04-30T00:00:00"/>
    <s v="RQL, s.r.o."/>
    <m/>
    <n v="190499"/>
    <n v="230503.79"/>
    <m/>
    <m/>
    <m/>
    <d v="2019-05-02T00:00:00"/>
    <s v="SMLN-2019-617-000211_x000a_SMLN-2019-612-000050"/>
    <x v="48"/>
    <d v="2019-06-19T00:00:00"/>
    <d v="2019-07-30T00:00:00"/>
  </r>
  <r>
    <s v="xxx"/>
    <s v="xxx"/>
    <d v="2019-01-23T00:00:00"/>
    <s v="VZ-2019-000080"/>
    <s v="IROP"/>
    <s v="Neudörflerová"/>
    <x v="77"/>
    <n v="2"/>
    <s v="Operační stoly"/>
    <m/>
    <s v="33192230-3"/>
    <s v="2.3.345"/>
    <n v="3431405.18"/>
    <x v="0"/>
    <d v="2019-01-28T00:00:00"/>
    <d v="2019-04-08T00:00:00"/>
    <m/>
    <s v="zrušeno - bez nabídky"/>
    <s v="nová VZ-2019-000426"/>
    <m/>
    <m/>
    <m/>
    <m/>
    <m/>
    <m/>
    <m/>
    <x v="0"/>
    <d v="2019-05-09T00:00:00"/>
    <m/>
  </r>
  <r>
    <s v="xxx"/>
    <s v="xxx"/>
    <d v="2019-01-25T00:00:00"/>
    <s v="VZ-2019-000082"/>
    <s v="ZT"/>
    <s v="Novák"/>
    <x v="78"/>
    <m/>
    <m/>
    <m/>
    <s v="33192100-3"/>
    <m/>
    <n v="365000"/>
    <x v="2"/>
    <d v="2019-02-04T00:00:00"/>
    <d v="2019-02-14T00:00:00"/>
    <d v="2019-02-21T00:00:00"/>
    <s v="PROMA REHA s.r.o."/>
    <m/>
    <n v="426860.16"/>
    <n v="491753.08"/>
    <m/>
    <m/>
    <m/>
    <d v="2019-02-21T00:00:00"/>
    <s v="SMLN-2019-617-000091_x000a_SMLN-2019-612-000026"/>
    <x v="3"/>
    <d v="2019-03-13T00:00:00"/>
    <d v="2019-05-06T00:00:00"/>
  </r>
  <r>
    <s v="xxx"/>
    <s v="xxx"/>
    <d v="2019-01-25T00:00:00"/>
    <s v="VZ-2019-000083"/>
    <s v="INF"/>
    <s v="Oravec"/>
    <x v="79"/>
    <m/>
    <m/>
    <m/>
    <s v="32552110-1"/>
    <m/>
    <n v="526033"/>
    <x v="2"/>
    <d v="2019-01-30T00:00:00"/>
    <d v="2019-02-11T00:00:00"/>
    <d v="2019-02-12T00:00:00"/>
    <s v="ERISERV, spol. s r.o."/>
    <m/>
    <n v="546500"/>
    <n v="661265"/>
    <m/>
    <m/>
    <m/>
    <d v="2019-02-13T00:00:00"/>
    <s v="SMLN-2019-617-000061"/>
    <x v="29"/>
    <d v="2019-03-27T00:00:00"/>
    <d v="2020-03-18T00:00:00"/>
  </r>
  <r>
    <s v="xxx"/>
    <s v="xxx"/>
    <d v="2019-01-17T00:00:00"/>
    <s v="VZ-2019-000091"/>
    <s v="INF"/>
    <s v="Oravec"/>
    <x v="80"/>
    <m/>
    <m/>
    <m/>
    <s v="48190000-6"/>
    <m/>
    <n v="578500"/>
    <x v="2"/>
    <d v="2019-01-30T00:00:00"/>
    <d v="2019-02-11T00:00:00"/>
    <d v="2019-02-26T00:00:00"/>
    <s v="MARBES CONSULTING, s.r.o."/>
    <m/>
    <n v="560000"/>
    <n v="677600"/>
    <m/>
    <m/>
    <m/>
    <d v="2019-02-28T00:00:00"/>
    <s v="SMLN-2019-612-000027"/>
    <x v="29"/>
    <d v="2019-03-22T00:00:00"/>
    <s v="doba neurčitá"/>
  </r>
  <r>
    <s v="xxx"/>
    <s v="xxx"/>
    <d v="2019-01-24T00:00:00"/>
    <s v="VZ-2019-000092"/>
    <s v="VŠEOB"/>
    <s v="Nerudová"/>
    <x v="81"/>
    <m/>
    <m/>
    <m/>
    <s v="30190000-7"/>
    <m/>
    <n v="1100000"/>
    <x v="2"/>
    <d v="2019-02-08T00:00:00"/>
    <d v="2019-02-19T00:00:00"/>
    <d v="2019-03-01T00:00:00"/>
    <s v="FRANKOSPOL OFFICE s.r.o."/>
    <m/>
    <n v="1251419.6499999999"/>
    <n v="1525644.65"/>
    <m/>
    <m/>
    <m/>
    <d v="2019-03-01T00:00:00"/>
    <s v="SMLN-2019-617-000011"/>
    <x v="50"/>
    <d v="2019-04-03T00:00:00"/>
    <d v="2020-03-21T00:00:00"/>
  </r>
  <r>
    <s v="xxx"/>
    <s v="xxx"/>
    <d v="2019-01-25T00:00:00"/>
    <s v="VZ-2019-000093"/>
    <s v="INV"/>
    <s v="Jansa"/>
    <x v="82"/>
    <m/>
    <m/>
    <m/>
    <s v="45111000-8"/>
    <m/>
    <n v="4100000"/>
    <x v="2"/>
    <d v="2019-01-31T00:00:00"/>
    <d v="2019-02-15T00:00:00"/>
    <d v="2019-02-22T00:00:00"/>
    <s v="PB SCOM s.r.o."/>
    <m/>
    <n v="3780547.28"/>
    <n v="4574462.21"/>
    <m/>
    <m/>
    <m/>
    <d v="2019-02-22T00:00:00"/>
    <s v="SMLN-2019-618-000011"/>
    <x v="43"/>
    <d v="2019-03-29T00:00:00"/>
    <d v="2019-06-29T00:00:00"/>
  </r>
  <r>
    <s v="xxx"/>
    <s v="xxx"/>
    <d v="2019-01-24T00:00:00"/>
    <s v="VZ-2019-000094"/>
    <s v="INV"/>
    <s v="Jansa"/>
    <x v="83"/>
    <m/>
    <m/>
    <m/>
    <s v="45111000-8"/>
    <m/>
    <n v="1650000"/>
    <x v="2"/>
    <d v="2019-01-31T00:00:00"/>
    <d v="2019-02-13T00:00:00"/>
    <d v="2019-02-25T00:00:00"/>
    <s v="MORKUS Morava, s.r.o."/>
    <m/>
    <n v="2055377.06"/>
    <n v="2487006.2400000002"/>
    <m/>
    <m/>
    <m/>
    <d v="2019-02-26T00:00:00"/>
    <s v="SMLN-2019-618-000012"/>
    <x v="42"/>
    <d v="2019-04-11T00:00:00"/>
    <s v="130 dní od pís.výzvy"/>
  </r>
  <r>
    <s v="xxx"/>
    <s v="xxx"/>
    <d v="2018-10-17T00:00:00"/>
    <s v="VZ-2019-000097"/>
    <s v="ZM"/>
    <s v="Merta"/>
    <x v="84"/>
    <m/>
    <m/>
    <m/>
    <s v="33141750-2"/>
    <m/>
    <n v="4800000"/>
    <x v="0"/>
    <d v="2019-02-05T00:00:00"/>
    <d v="2019-04-11T00:00:00"/>
    <d v="2019-06-11T00:00:00"/>
    <s v="Johnson &amp; Johnson s.r.o."/>
    <m/>
    <n v="4320000"/>
    <n v="4968000"/>
    <m/>
    <m/>
    <m/>
    <d v="2019-06-11T00:00:00"/>
    <s v="SMLN-2019-617-000260"/>
    <x v="47"/>
    <d v="2019-07-15T00:00:00"/>
    <d v="2023-07-01T00:00:00"/>
  </r>
  <r>
    <s v="xxx"/>
    <s v="xxx"/>
    <d v="2020-01-31T00:00:00"/>
    <s v="VZ-2019-000099"/>
    <s v="SERVIS"/>
    <s v="Zemánek"/>
    <x v="85"/>
    <m/>
    <m/>
    <m/>
    <s v="50421000-2"/>
    <m/>
    <n v="6000000"/>
    <x v="0"/>
    <d v="2019-02-11T00:00:00"/>
    <d v="2019-03-18T00:00:00"/>
    <d v="2019-04-30T00:00:00"/>
    <s v="medisap s.r.o."/>
    <m/>
    <n v="6596000.1600000001"/>
    <n v="7981160.1600000001"/>
    <m/>
    <m/>
    <m/>
    <d v="2019-05-02T00:00:00"/>
    <s v="SMLN-2019-612-000048"/>
    <x v="51"/>
    <d v="2019-06-05T00:00:00"/>
    <s v="doba neurčitá"/>
  </r>
  <r>
    <s v="xxx"/>
    <s v="xxx"/>
    <d v="2019-01-23T00:00:00"/>
    <s v="VZ-2019-000101"/>
    <s v="IROP"/>
    <s v="Neudörflerová"/>
    <x v="86"/>
    <m/>
    <m/>
    <m/>
    <s v="33195000-3 "/>
    <s v="2.3.334"/>
    <n v="576425.43999999994"/>
    <x v="0"/>
    <d v="2019-02-28T00:00:00"/>
    <d v="2019-04-03T00:00:00"/>
    <d v="2019-04-30T00:00:00"/>
    <s v="Dartin spol. s r.o."/>
    <m/>
    <n v="547698.56000000006"/>
    <n v="662715.23"/>
    <m/>
    <m/>
    <m/>
    <d v="2019-05-02T00:00:00"/>
    <s v="SMLN-2019-617-000212_x000a_SMLN-2019-612-000051"/>
    <x v="48"/>
    <d v="2019-06-18T00:00:00"/>
    <d v="2019-08-27T00:00:00"/>
  </r>
  <r>
    <s v="xxx"/>
    <s v="xxx"/>
    <d v="2019-01-22T00:00:00"/>
    <s v="VZ-2019-000113"/>
    <s v="LÉK"/>
    <s v="Ondráčková"/>
    <x v="87"/>
    <m/>
    <m/>
    <s v="H05BX01"/>
    <s v="33642000-2"/>
    <m/>
    <n v="3949503"/>
    <x v="0"/>
    <d v="2019-02-08T00:00:00"/>
    <d v="2019-03-13T00:00:00"/>
    <d v="2019-03-22T00:00:00"/>
    <s v="Amgen s.r.o."/>
    <m/>
    <n v="3949502.1"/>
    <n v="4344452.3099999996"/>
    <m/>
    <m/>
    <m/>
    <d v="2019-03-22T00:00:00"/>
    <s v="SMLN-2019-617-000151"/>
    <x v="23"/>
    <d v="2019-04-29T00:00:00"/>
    <d v="2020-04-11T00:00:00"/>
  </r>
  <r>
    <s v="xxx"/>
    <s v="xxx"/>
    <d v="2019-01-18T00:00:00"/>
    <s v="VZ-2019-000114"/>
    <s v="LÉK"/>
    <s v="Ondráčková"/>
    <x v="88"/>
    <m/>
    <m/>
    <m/>
    <s v="33141625-7"/>
    <m/>
    <n v="4524000"/>
    <x v="0"/>
    <d v="2019-04-24T00:00:00"/>
    <d v="2019-05-29T00:00:00"/>
    <d v="2019-07-09T00:00:00"/>
    <s v="BioVendor-Laboratorní medicína a.s."/>
    <m/>
    <n v="4355520"/>
    <n v="5270179.2"/>
    <m/>
    <m/>
    <m/>
    <d v="2019-07-09T00:00:00"/>
    <s v="SMLN-2019-617-000314 _x000a_SMLN-2019-616-000048"/>
    <x v="52"/>
    <d v="2019-08-19T00:00:00"/>
    <d v="2023-08-15T00:00:00"/>
  </r>
  <r>
    <s v="xxx"/>
    <s v="xxx"/>
    <d v="2019-02-01T00:00:00"/>
    <s v="VZ-2019-000115"/>
    <s v="IROP"/>
    <s v="Neudörflerová"/>
    <x v="89"/>
    <m/>
    <m/>
    <m/>
    <s v="33195100-4"/>
    <s v="2.3.332."/>
    <n v="811673.55"/>
    <x v="0"/>
    <d v="2019-02-07T00:00:00"/>
    <d v="2019-03-13T00:00:00"/>
    <d v="2019-04-30T00:00:00"/>
    <s v="DEYMED Diagnostic s.r.o."/>
    <m/>
    <n v="448744"/>
    <n v="539720.5"/>
    <m/>
    <m/>
    <m/>
    <d v="2019-05-02T00:00:00"/>
    <s v="SMLN-2019-617-000213_x000a_SMLN-2019-612-000052"/>
    <x v="53"/>
    <d v="2019-05-22T00:00:00"/>
    <d v="2019-06-19T00:00:00"/>
  </r>
  <r>
    <s v="xxx"/>
    <s v="xxx"/>
    <d v="2019-02-05T00:00:00"/>
    <s v="VZ-2019-000124"/>
    <s v="ZM"/>
    <s v="Čech"/>
    <x v="90"/>
    <n v="1"/>
    <s v="Rukavice operační sterilní pudrované"/>
    <m/>
    <s v="33141420-0"/>
    <m/>
    <n v="397171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s v="ZM"/>
    <s v="Čech"/>
    <x v="90"/>
    <n v="2"/>
    <s v="Rukavice operační sterilní nepudrované"/>
    <m/>
    <s v="33141420-0"/>
    <m/>
    <n v="874104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s v="ZM"/>
    <s v="Čech"/>
    <x v="90"/>
    <n v="3"/>
    <s v="Rukavice vyšetřovací nitrilové bez pudru v pevnosti 6N"/>
    <m/>
    <s v="33141420-0"/>
    <m/>
    <n v="2968290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s v="ZM"/>
    <s v="Čech"/>
    <x v="90"/>
    <n v="4"/>
    <s v="Rukavice vyšetřovací nitrilové bez pudru v pevnosti 9N "/>
    <m/>
    <s v="33141420-0"/>
    <m/>
    <n v="1606592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s v="ZM"/>
    <s v="Čech"/>
    <x v="90"/>
    <n v="5"/>
    <s v="Rukavice vyšetřovací latexové pudrované"/>
    <m/>
    <s v="33141420-0"/>
    <m/>
    <n v="41469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s v="ZM"/>
    <s v="Čech"/>
    <x v="90"/>
    <n v="6"/>
    <s v="Rukavice vyšetřovací latexové nepudrované"/>
    <m/>
    <s v="33141420-0"/>
    <m/>
    <n v="267840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s v="ZM"/>
    <s v="Čech"/>
    <x v="90"/>
    <n v="7"/>
    <s v="Rukavice vyšetřovací vinylové nepudrovan"/>
    <m/>
    <s v="33141420-0"/>
    <m/>
    <n v="208800"/>
    <x v="0"/>
    <d v="2019-03-29T00:00:00"/>
    <d v="2019-07-08T00:00:00"/>
    <m/>
    <m/>
    <m/>
    <m/>
    <m/>
    <m/>
    <m/>
    <m/>
    <m/>
    <m/>
    <x v="0"/>
    <m/>
    <m/>
  </r>
  <r>
    <s v="xxx"/>
    <s v="xxx"/>
    <d v="2019-02-07T00:00:00"/>
    <s v="VZ-2019-000128"/>
    <s v="ZM"/>
    <s v="Dočkalová"/>
    <x v="91"/>
    <m/>
    <m/>
    <m/>
    <s v="33141000-0 "/>
    <m/>
    <n v="2519000"/>
    <x v="1"/>
    <d v="2019-02-25T00:00:00"/>
    <d v="2019-03-15T00:00:00"/>
    <d v="2019-04-12T00:00:00"/>
    <s v="Mediform spol. s r.o."/>
    <m/>
    <n v="2517321"/>
    <n v="3043850.2"/>
    <m/>
    <m/>
    <m/>
    <d v="2019-04-24T00:00:00"/>
    <s v="SMLN-2019-617-000190"/>
    <x v="54"/>
    <d v="2019-05-07T00:00:00"/>
    <d v="2021-05-01T00:00:00"/>
  </r>
  <r>
    <s v="xxx"/>
    <s v="xxx"/>
    <d v="2019-01-29T00:00:00"/>
    <s v="VZ-2019-000130"/>
    <s v="ZM"/>
    <s v="Dočkalová"/>
    <x v="92"/>
    <m/>
    <m/>
    <m/>
    <s v="33141200-2"/>
    <m/>
    <n v="5607000"/>
    <x v="0"/>
    <d v="2019-02-26T00:00:00"/>
    <d v="2019-03-29T00:00:00"/>
    <d v="2019-04-08T00:00:00"/>
    <s v="IMEDEX s.r.o."/>
    <m/>
    <n v="5600000"/>
    <n v="6776000"/>
    <m/>
    <m/>
    <m/>
    <d v="2019-04-11T00:00:00"/>
    <s v="SMLN-2019-617-000181"/>
    <x v="41"/>
    <d v="2019-05-20T00:00:00"/>
    <d v="2021-05-16T00:00:00"/>
  </r>
  <r>
    <s v="xxx"/>
    <s v="xxx"/>
    <d v="2019-02-11T00:00:00"/>
    <s v="VZ-2019-000138"/>
    <s v="INF"/>
    <s v="Miklík"/>
    <x v="93"/>
    <m/>
    <m/>
    <m/>
    <s v="33124000-5"/>
    <s v="3.2.41."/>
    <n v="1611570"/>
    <x v="2"/>
    <d v="2019-02-13T00:00:00"/>
    <d v="2019-02-22T00:00:00"/>
    <d v="2019-03-12T00:00:00"/>
    <s v="FOMEI s.r.o."/>
    <m/>
    <n v="1438800"/>
    <n v="1740948"/>
    <m/>
    <m/>
    <m/>
    <d v="2019-03-13T00:00:00"/>
    <s v="SMLN-2019-617-000144"/>
    <x v="55"/>
    <d v="2019-04-24T00:00:00"/>
    <d v="2020-04-22T00:00:00"/>
  </r>
  <r>
    <m/>
    <m/>
    <d v="2019-02-15T00:00:00"/>
    <s v="VZ-2019-000141"/>
    <s v="SERVIS"/>
    <s v="Zemánek"/>
    <x v="94"/>
    <m/>
    <m/>
    <m/>
    <s v="50421000-2"/>
    <m/>
    <n v="1600000"/>
    <x v="2"/>
    <d v="2019-02-28T00:00:00"/>
    <d v="2019-03-15T00:00:00"/>
    <m/>
    <s v="zrušeno"/>
    <s v="nová VZ-2019-000395, nová VZ-2019-000485"/>
    <m/>
    <m/>
    <m/>
    <m/>
    <m/>
    <m/>
    <m/>
    <x v="0"/>
    <d v="2019-04-10T00:00:00"/>
    <m/>
  </r>
  <r>
    <m/>
    <m/>
    <d v="2019-02-20T00:00:00"/>
    <s v="VZ-2019-000142"/>
    <s v="OSB "/>
    <s v="Vaida"/>
    <x v="95"/>
    <m/>
    <m/>
    <m/>
    <s v="45442100-8"/>
    <m/>
    <n v="4500000"/>
    <x v="2"/>
    <d v="2019-03-11T00:00:00"/>
    <d v="2019-03-21T00:00:00"/>
    <d v="2019-03-27T00:00:00"/>
    <s v="STAVNEMO s.r.o."/>
    <m/>
    <n v="4719975"/>
    <n v="5711169.75"/>
    <m/>
    <m/>
    <m/>
    <d v="2019-03-27T00:00:00"/>
    <s v="SMLN-2019-618-000020"/>
    <x v="56"/>
    <d v="2019-04-25T00:00:00"/>
    <d v="2021-05-31T00:00:00"/>
  </r>
  <r>
    <s v="xxx"/>
    <s v="xxx"/>
    <d v="2019-02-11T00:00:00"/>
    <s v="VZ-2019-000156"/>
    <s v="ZT"/>
    <s v="Rosulek"/>
    <x v="96"/>
    <m/>
    <m/>
    <m/>
    <s v="38433100-0_x000a_38432200-4  "/>
    <s v="2.3.312."/>
    <n v="7211000"/>
    <x v="0"/>
    <d v="2019-02-19T00:00:00"/>
    <d v="2019-04-04T00:00:00"/>
    <d v="2019-04-24T00:00:00"/>
    <s v="AMEDIS, spol. s r.o."/>
    <m/>
    <n v="7218900"/>
    <n v="8734869"/>
    <m/>
    <m/>
    <m/>
    <d v="2019-04-25T00:00:00"/>
    <s v="SMLN-2019-617-000197_x000a_SMLN-2019-612-000040"/>
    <x v="31"/>
    <d v="2019-05-15T00:00:00"/>
    <d v="2019-07-23T00:00:00"/>
  </r>
  <r>
    <s v="xxx"/>
    <s v="xxx"/>
    <d v="2019-01-31T00:00:00"/>
    <s v="VZ-2019-000158"/>
    <s v="SERVIS"/>
    <s v="Zemánek"/>
    <x v="97"/>
    <m/>
    <m/>
    <m/>
    <s v="50421000-2"/>
    <m/>
    <n v="5000000"/>
    <x v="0"/>
    <d v="2019-02-19T00:00:00"/>
    <d v="2019-03-26T00:00:00"/>
    <d v="2019-04-30T00:00:00"/>
    <s v="S + T Plus s.r.o."/>
    <m/>
    <n v="4005000"/>
    <n v="4846050.24"/>
    <m/>
    <m/>
    <m/>
    <d v="2019-05-02T00:00:00"/>
    <s v="SMLN-2019-612-000049"/>
    <x v="4"/>
    <d v="2019-07-12T00:00:00"/>
    <s v="doba neurčitá"/>
  </r>
  <r>
    <s v="xxx"/>
    <s v="xxx"/>
    <d v="2019-01-31T00:00:00"/>
    <s v="VZ-2019-000161"/>
    <s v="SERVIS"/>
    <s v="Zemánek"/>
    <x v="98"/>
    <m/>
    <m/>
    <m/>
    <s v="50421000-2"/>
    <m/>
    <n v="1400000"/>
    <x v="2"/>
    <d v="2019-02-21T00:00:00"/>
    <d v="2019-02-28T00:00:00"/>
    <d v="2019-03-08T00:00:00"/>
    <s v="Dräger Medical s.r.o."/>
    <m/>
    <n v="1674609"/>
    <n v="2026276.89"/>
    <m/>
    <m/>
    <m/>
    <d v="2019-03-12T00:00:00"/>
    <s v="SMLN-2019-612-000030"/>
    <x v="57"/>
    <d v="2019-04-24T00:00:00"/>
    <s v="doba neurčitá"/>
  </r>
  <r>
    <s v="xxx"/>
    <s v="xxx"/>
    <d v="2019-02-11T00:00:00"/>
    <s v="VZ-2019-000166"/>
    <s v="INF"/>
    <s v="Miklík"/>
    <x v="99"/>
    <m/>
    <m/>
    <m/>
    <s v="72261000-2 "/>
    <m/>
    <n v="650000"/>
    <x v="2"/>
    <d v="2019-02-20T00:00:00"/>
    <d v="2019-02-28T00:00:00"/>
    <d v="2019-03-01T00:00:00"/>
    <s v="FOMA MEDICAL spol. s r.o."/>
    <m/>
    <n v="607200"/>
    <n v="734712"/>
    <m/>
    <m/>
    <m/>
    <d v="2019-03-01T00:00:00"/>
    <s v="SMLN-2019-612-000028"/>
    <x v="12"/>
    <d v="2019-04-02T00:00:00"/>
    <d v="2020-12-31T00:00:00"/>
  </r>
  <r>
    <s v="xxx"/>
    <s v="xxx"/>
    <d v="2019-02-13T00:00:00"/>
    <s v="VZ-2019-000167"/>
    <s v="IROP"/>
    <s v="Neudörflerová"/>
    <x v="100"/>
    <m/>
    <m/>
    <m/>
    <s v="33162100-4"/>
    <s v="2.3.352."/>
    <n v="290082"/>
    <x v="0"/>
    <d v="2019-03-13T00:00:00"/>
    <d v="2019-04-15T00:00:00"/>
    <m/>
    <s v="zrušeno - bez nabídky"/>
    <s v="nová VZ-2019-000578"/>
    <m/>
    <m/>
    <m/>
    <m/>
    <m/>
    <m/>
    <m/>
    <x v="0"/>
    <d v="2019-04-24T00:00:00"/>
    <m/>
  </r>
  <r>
    <s v="xxx"/>
    <s v="xxx"/>
    <d v="2019-02-11T00:00:00"/>
    <s v="VZ-2019-000168"/>
    <s v="IROP"/>
    <s v="Neudörflerová"/>
    <x v="101"/>
    <m/>
    <m/>
    <m/>
    <s v="33172000-6"/>
    <s v="2.3.330."/>
    <n v="2259338"/>
    <x v="0"/>
    <d v="2019-03-13T00:00:00"/>
    <d v="2019-04-16T00:00:00"/>
    <d v="2019-05-23T00:00:00"/>
    <s v="medisap s.r.o."/>
    <m/>
    <n v="1533790"/>
    <n v="1855885.9"/>
    <m/>
    <m/>
    <m/>
    <d v="2019-05-24T00:00:00"/>
    <s v="SMLN-2019-617-000235_x000a_SMLN-2019-612-000057"/>
    <x v="58"/>
    <d v="2019-07-10T00:00:00"/>
    <d v="2019-09-17T00:00:00"/>
  </r>
  <r>
    <s v="xxx"/>
    <s v="xxx"/>
    <d v="2019-02-14T00:00:00"/>
    <s v="VZ-2019-000173"/>
    <s v="IROP"/>
    <s v="Neudörflerová"/>
    <x v="102"/>
    <n v="1"/>
    <s v="Křeslo vyšetřovací"/>
    <m/>
    <s v="33192000-2"/>
    <s v="2.3.340."/>
    <n v="442644"/>
    <x v="0"/>
    <m/>
    <m/>
    <m/>
    <s v="nerealizováno"/>
    <m/>
    <m/>
    <m/>
    <m/>
    <m/>
    <m/>
    <m/>
    <m/>
    <x v="0"/>
    <s v="nevypsáno"/>
    <m/>
  </r>
  <r>
    <s v="xxx"/>
    <s v="xxx"/>
    <d v="2019-02-14T00:00:00"/>
    <s v="VZ-2019-000173"/>
    <s v="IROP"/>
    <s v="Neudörflerová"/>
    <x v="102"/>
    <n v="2"/>
    <s v="Křeslo transportní"/>
    <m/>
    <s v="33192000-2"/>
    <s v="2.3.349."/>
    <n v="192785"/>
    <x v="0"/>
    <m/>
    <m/>
    <m/>
    <s v="nerealizováno"/>
    <m/>
    <m/>
    <m/>
    <m/>
    <m/>
    <m/>
    <m/>
    <m/>
    <x v="0"/>
    <s v="nevypsáno"/>
    <m/>
  </r>
  <r>
    <s v="xxx"/>
    <s v="xxx"/>
    <d v="2019-02-14T00:00:00"/>
    <s v="VZ-2019-000173"/>
    <s v="IROP"/>
    <s v="Neudörflerová"/>
    <x v="102"/>
    <n v="3"/>
    <s v="Transportní lehátko"/>
    <m/>
    <s v="33192000-2"/>
    <s v="2.3.350."/>
    <n v="475207"/>
    <x v="0"/>
    <m/>
    <m/>
    <m/>
    <s v="nerealizováno"/>
    <m/>
    <m/>
    <m/>
    <m/>
    <m/>
    <m/>
    <m/>
    <m/>
    <x v="0"/>
    <s v="nevypsáno"/>
    <m/>
  </r>
  <r>
    <s v="xxx"/>
    <s v="xxx"/>
    <d v="2019-02-18T00:00:00"/>
    <s v="VZ-2019-000175"/>
    <s v="ZT"/>
    <s v="Rosulek"/>
    <x v="103"/>
    <m/>
    <m/>
    <m/>
    <s v="33161000-6"/>
    <s v="2.3.305."/>
    <n v="289435"/>
    <x v="2"/>
    <d v="2019-02-20T00:00:00"/>
    <d v="2019-02-28T00:00:00"/>
    <d v="2019-03-25T00:00:00"/>
    <s v="B. Braun Medical s.r.o."/>
    <m/>
    <n v="231699"/>
    <n v="280355.78999999998"/>
    <m/>
    <m/>
    <m/>
    <d v="2019-03-27T00:00:00"/>
    <s v="SMLN-2019-617-000159_x000a_SMLN-2019-612-000034"/>
    <x v="59"/>
    <d v="2019-05-13T00:00:00"/>
    <d v="2019-07-04T00:00:00"/>
  </r>
  <r>
    <s v="xxx"/>
    <s v="xxx"/>
    <d v="2019-02-18T00:00:00"/>
    <s v="VZ-2019-000180"/>
    <s v="INV"/>
    <s v="Kvapil"/>
    <x v="104"/>
    <m/>
    <m/>
    <m/>
    <s v="71000000-8"/>
    <s v="1.2.53."/>
    <n v="619800"/>
    <x v="2"/>
    <d v="2019-03-05T00:00:00"/>
    <d v="2019-03-19T00:00:00"/>
    <d v="2019-04-12T00:00:00"/>
    <s v="BKB Metal a.s."/>
    <m/>
    <n v="1294000"/>
    <n v="1565740"/>
    <m/>
    <m/>
    <m/>
    <d v="2019-04-12T00:00:00"/>
    <s v="SMLN-2019-618-000028"/>
    <x v="31"/>
    <d v="2019-05-16T00:00:00"/>
    <d v="2019-11-10T00:00:00"/>
  </r>
  <r>
    <s v="xxx"/>
    <s v="xxx"/>
    <d v="2019-02-20T00:00:00"/>
    <s v="VZ-2019-000197"/>
    <s v="IROP"/>
    <s v="Neudörflerová"/>
    <x v="105"/>
    <m/>
    <m/>
    <m/>
    <s v="33123000-8"/>
    <s v="2.3.332."/>
    <n v="142737"/>
    <x v="0"/>
    <d v="2019-03-26T00:00:00"/>
    <d v="2019-04-29T00:00:00"/>
    <m/>
    <s v="zrušeno - bez nabídky"/>
    <s v="nová VZ-2019-000630, nová VZ-2019-000877"/>
    <m/>
    <m/>
    <m/>
    <m/>
    <m/>
    <m/>
    <m/>
    <x v="0"/>
    <d v="2019-05-03T00:00:00"/>
    <m/>
  </r>
  <r>
    <s v="xxx"/>
    <s v="xxx"/>
    <d v="2018-09-20T00:00:00"/>
    <s v="VZ-2019-000198"/>
    <s v="ZM"/>
    <s v="Dočkalová"/>
    <x v="106"/>
    <m/>
    <m/>
    <m/>
    <s v="33140000-3"/>
    <m/>
    <n v="2686000"/>
    <x v="1"/>
    <d v="2019-02-25T00:00:00"/>
    <d v="2019-03-14T00:00:00"/>
    <d v="2019-03-25T00:00:00"/>
    <s v="Mediform spol. s r.o."/>
    <m/>
    <n v="1536000"/>
    <n v="1858560"/>
    <m/>
    <m/>
    <m/>
    <d v="2019-03-27T00:00:00"/>
    <s v="SMLN-2018-617-000120"/>
    <x v="60"/>
    <d v="2019-04-30T00:00:00"/>
    <d v="2021-04-29T00:00:00"/>
  </r>
  <r>
    <s v="xxx"/>
    <s v="xxx"/>
    <d v="2019-02-11T00:00:00"/>
    <s v="VZ-2019-000199"/>
    <s v="ZM"/>
    <s v="Dočkalová"/>
    <x v="107"/>
    <n v="1"/>
    <s v="Část I."/>
    <m/>
    <s v="33196000-0"/>
    <m/>
    <n v="650000"/>
    <x v="2"/>
    <d v="2019-02-22T00:00:00"/>
    <d v="2019-03-05T00:00:00"/>
    <d v="2019-03-28T00:00:00"/>
    <s v="IF Facility, a.s."/>
    <m/>
    <n v="538476"/>
    <n v="651555.96"/>
    <m/>
    <m/>
    <m/>
    <d v="2019-03-28T00:00:00"/>
    <s v="SMLN-2019-617-000160"/>
    <x v="55"/>
    <d v="2019-04-24T00:00:00"/>
    <d v="2019-06-04T00:00:00"/>
  </r>
  <r>
    <s v="xxx"/>
    <s v="xxx"/>
    <d v="2019-02-11T00:00:00"/>
    <s v="VZ-2019-000199"/>
    <s v="ZM"/>
    <s v="Dočkalová"/>
    <x v="107"/>
    <n v="2"/>
    <s v="Část II."/>
    <m/>
    <s v="33196000-0"/>
    <m/>
    <n v="250000"/>
    <x v="2"/>
    <d v="2019-02-22T00:00:00"/>
    <d v="2019-03-05T00:00:00"/>
    <d v="2019-03-28T00:00:00"/>
    <s v="VITAPUR, spol. s r.o."/>
    <m/>
    <n v="347107"/>
    <n v="419999"/>
    <m/>
    <m/>
    <m/>
    <d v="2019-03-28T00:00:00"/>
    <s v="SMLN-2019-617-000161"/>
    <x v="23"/>
    <d v="2019-04-24T00:00:00"/>
    <d v="2019-05-24T00:00:00"/>
  </r>
  <r>
    <m/>
    <m/>
    <s v="11.3.20119"/>
    <s v="VZ-2019-000202"/>
    <s v="ZM"/>
    <s v="Dočkalová"/>
    <x v="108"/>
    <n v="1"/>
    <s v="Stříkačka inflační pro PTCA a Y konektor s tlakově ovládanou hemostatickou chlopní"/>
    <m/>
    <s v="33140000-3"/>
    <m/>
    <n v="3607360"/>
    <x v="0"/>
    <d v="2019-03-21T00:00:00"/>
    <d v="2019-04-25T00:00:00"/>
    <d v="2019-08-22T00:00:00"/>
    <s v="S.A.B. Impex  s.r.o."/>
    <m/>
    <n v="2725650"/>
    <n v="3298036.5"/>
    <m/>
    <m/>
    <m/>
    <d v="2019-08-23T00:00:00"/>
    <s v="SMLN-2019-617-000367_x000a_SMLN-2019-614-000073"/>
    <x v="61"/>
    <d v="2019-09-19T00:00:00"/>
    <d v="2021-09-16T00:00:00"/>
  </r>
  <r>
    <m/>
    <m/>
    <d v="2019-03-11T00:00:00"/>
    <s v="VZ-2019-000202"/>
    <s v="ZM"/>
    <s v="Dočkalová"/>
    <x v="108"/>
    <n v="2"/>
    <s v="Stříkačka inflační pro PTCA s třícestným kohoutem"/>
    <m/>
    <s v="33140000-3"/>
    <m/>
    <n v="1059500"/>
    <x v="0"/>
    <d v="2019-03-21T00:00:00"/>
    <d v="2019-04-25T00:00:00"/>
    <m/>
    <s v="zrušeno - úprava zadání"/>
    <s v="nová VZ-2019-001005"/>
    <m/>
    <m/>
    <m/>
    <m/>
    <m/>
    <m/>
    <m/>
    <x v="0"/>
    <d v="2019-09-17T00:00:00"/>
    <s v="20.8. zrušeno"/>
  </r>
  <r>
    <s v="MED-2019-02"/>
    <s v="xxx"/>
    <d v="2019-02-21T00:00:00"/>
    <s v="VZ-2019-000205"/>
    <s v="ENERG"/>
    <s v="Srovnal"/>
    <x v="109"/>
    <m/>
    <m/>
    <m/>
    <s v="45333000-0"/>
    <s v="4.2.66."/>
    <n v="5750000"/>
    <x v="2"/>
    <d v="2019-03-07T00:00:00"/>
    <d v="2019-03-22T00:00:00"/>
    <d v="2019-04-08T00:00:00"/>
    <s v="Flídr medical s.r.o."/>
    <m/>
    <n v="4297607"/>
    <n v="5200104.47"/>
    <m/>
    <m/>
    <m/>
    <d v="2019-04-08T00:00:00"/>
    <s v="SMLN-2019-618-000026"/>
    <x v="54"/>
    <d v="2019-05-03T00:00:00"/>
    <d v="2021-03-30T00:00:00"/>
  </r>
  <r>
    <m/>
    <m/>
    <d v="2018-06-01T00:00:00"/>
    <s v="VZ-2019-000206"/>
    <s v="ZM"/>
    <s v="Dočkalová"/>
    <x v="110"/>
    <n v="1"/>
    <s v="Materiál spotřební k tlakovým injektorům ULRICH"/>
    <m/>
    <s v="33140000-3"/>
    <m/>
    <n v="1484500"/>
    <x v="1"/>
    <d v="2019-02-27T00:00:00"/>
    <d v="2019-03-15T00:00:00"/>
    <m/>
    <s v="zrušeno - bez nabídky"/>
    <s v="nová VZ-2019-000298"/>
    <m/>
    <m/>
    <m/>
    <m/>
    <m/>
    <m/>
    <m/>
    <x v="0"/>
    <d v="2019-03-21T00:00:00"/>
    <m/>
  </r>
  <r>
    <m/>
    <m/>
    <d v="2018-06-01T00:00:00"/>
    <s v="VZ-2019-000206"/>
    <s v="ZM"/>
    <s v="Dočkalová"/>
    <x v="110"/>
    <n v="2"/>
    <s v="Materiál spotřební k tlakovým injektorům Medrad"/>
    <m/>
    <s v="33140000-3"/>
    <m/>
    <n v="1571100"/>
    <x v="1"/>
    <d v="2019-02-27T00:00:00"/>
    <d v="2019-03-15T00:00:00"/>
    <d v="2019-04-02T00:00:00"/>
    <s v="Medical M spol. s r.o."/>
    <m/>
    <n v="1284000"/>
    <n v="1553640"/>
    <m/>
    <m/>
    <m/>
    <d v="2019-04-03T00:00:00"/>
    <s v="SMLN-2019-617-000174"/>
    <x v="35"/>
    <d v="2019-04-29T00:00:00"/>
    <s v="doba neurčitá"/>
  </r>
  <r>
    <m/>
    <m/>
    <d v="2019-02-21T00:00:00"/>
    <s v="VZ-2019-000209"/>
    <s v="OSB "/>
    <s v="Vaida"/>
    <x v="111"/>
    <m/>
    <m/>
    <m/>
    <s v="45453000-7"/>
    <m/>
    <n v="350000"/>
    <x v="2"/>
    <d v="2019-02-28T00:00:00"/>
    <d v="2019-03-15T00:00:00"/>
    <m/>
    <s v="zrušeno"/>
    <s v="nová VZ-2019-000304"/>
    <m/>
    <m/>
    <m/>
    <m/>
    <m/>
    <m/>
    <m/>
    <x v="0"/>
    <d v="2019-03-21T00:00:00"/>
    <m/>
  </r>
  <r>
    <m/>
    <m/>
    <d v="2019-02-20T00:00:00"/>
    <s v="VZ-2019-000210"/>
    <s v="INV"/>
    <s v="Vzatek"/>
    <x v="112"/>
    <m/>
    <m/>
    <m/>
    <s v="71000000-8"/>
    <s v="1.2.56."/>
    <n v="600000"/>
    <x v="2"/>
    <d v="2019-03-11T00:00:00"/>
    <d v="2019-03-26T00:00:00"/>
    <d v="2019-04-04T00:00:00"/>
    <s v="EP Rožnov, a.s."/>
    <m/>
    <n v="846000"/>
    <n v="1023660"/>
    <m/>
    <m/>
    <m/>
    <d v="2019-04-05T00:00:00"/>
    <s v="SMLN-2019-618-000025"/>
    <x v="59"/>
    <d v="2019-05-13T00:00:00"/>
    <d v="2019-09-06T00:00:00"/>
  </r>
  <r>
    <m/>
    <m/>
    <s v="opakovaná VZ"/>
    <s v="VZ-2019-000215"/>
    <s v="INF"/>
    <s v="Oravec"/>
    <x v="113"/>
    <m/>
    <m/>
    <m/>
    <s v="72261000-2"/>
    <s v="3.2.12."/>
    <n v="1350000"/>
    <x v="2"/>
    <d v="2019-03-04T00:00:00"/>
    <d v="2019-03-13T00:00:00"/>
    <d v="2019-03-21T00:00:00"/>
    <s v="BD Austria GmbH"/>
    <m/>
    <n v="1634490"/>
    <n v="1977732"/>
    <m/>
    <m/>
    <m/>
    <d v="2019-03-22T00:00:00"/>
    <s v="SMLN-2019-612-000033"/>
    <x v="62"/>
    <d v="2019-06-13T00:00:00"/>
    <s v="doba neurčitá"/>
  </r>
  <r>
    <m/>
    <m/>
    <d v="2019-02-22T00:00:00"/>
    <s v="VZ-2019-000217"/>
    <s v="INF"/>
    <s v="Oravec"/>
    <x v="114"/>
    <m/>
    <m/>
    <m/>
    <s v="30232100-5 "/>
    <m/>
    <n v="384300"/>
    <x v="2"/>
    <d v="2019-03-04T00:00:00"/>
    <d v="2019-03-11T00:00:00"/>
    <d v="2019-03-13T00:00:00"/>
    <s v="Datascan s.r.o."/>
    <m/>
    <n v="371752"/>
    <n v="449819.92"/>
    <m/>
    <m/>
    <m/>
    <d v="2019-03-13T00:00:00"/>
    <s v="SMLN-2019-617-000145"/>
    <x v="12"/>
    <d v="2019-04-08T00:00:00"/>
    <d v="2019-04-02T00:00:00"/>
  </r>
  <r>
    <m/>
    <m/>
    <d v="2019-02-22T00:00:00"/>
    <s v="VZ-2019-000220"/>
    <s v="INF"/>
    <s v="Oravec"/>
    <x v="115"/>
    <m/>
    <m/>
    <m/>
    <s v="30231000-6"/>
    <m/>
    <n v="934710"/>
    <x v="2"/>
    <d v="2019-03-04T00:00:00"/>
    <d v="2019-03-12T00:00:00"/>
    <d v="2019-04-02T00:00:00"/>
    <s v="AutoCont CZ a.s."/>
    <m/>
    <n v="964240"/>
    <n v="1166730.3999999999"/>
    <m/>
    <m/>
    <m/>
    <d v="2019-04-02T00:00:00"/>
    <s v="SMLN-2019-617-000166"/>
    <x v="55"/>
    <d v="2019-04-24T00:00:00"/>
    <d v="2020-04-22T00:00:00"/>
  </r>
  <r>
    <m/>
    <m/>
    <d v="2019-02-26T00:00:00"/>
    <s v="VZ-2019-000222"/>
    <s v="ZT"/>
    <s v="Rosulek"/>
    <x v="116"/>
    <m/>
    <m/>
    <m/>
    <s v="33191100-6"/>
    <s v="2.2.134., 2.2.197."/>
    <n v="415000"/>
    <x v="2"/>
    <d v="2019-03-08T00:00:00"/>
    <d v="2019-03-20T00:00:00"/>
    <d v="2019-04-30T00:00:00"/>
    <s v="Prodispa s.r.o."/>
    <m/>
    <n v="309080"/>
    <n v="373986.8"/>
    <m/>
    <m/>
    <m/>
    <d v="2019-05-02T00:00:00"/>
    <s v="SMLN-2019-617-000208_x000a_SMLN-2019-612-000047"/>
    <x v="63"/>
    <d v="2019-06-10T00:00:00"/>
    <d v="2019-07-08T00:00:00"/>
  </r>
  <r>
    <m/>
    <m/>
    <d v="2019-04-08T00:00:00"/>
    <s v="VZ-2019-000226"/>
    <s v="EKON"/>
    <s v="Křivková"/>
    <x v="117"/>
    <m/>
    <m/>
    <m/>
    <s v="79221000-9"/>
    <m/>
    <n v="200000"/>
    <x v="2"/>
    <d v="2019-04-10T00:00:00"/>
    <d v="2019-04-18T00:00:00"/>
    <m/>
    <s v="zrušeno - bez hodnotitelné nabídky"/>
    <s v="nová VZ-2019-000605, VZ-2019-000880"/>
    <m/>
    <m/>
    <m/>
    <m/>
    <m/>
    <m/>
    <m/>
    <x v="0"/>
    <d v="2019-05-02T00:00:00"/>
    <m/>
  </r>
  <r>
    <m/>
    <m/>
    <d v="2019-02-21T00:00:00"/>
    <s v="VZ-2019-000227"/>
    <s v="ENERG"/>
    <s v="Srovnal"/>
    <x v="118"/>
    <m/>
    <m/>
    <m/>
    <s v="42512200-0"/>
    <s v="4.2.100,4.2.104"/>
    <n v="430000"/>
    <x v="2"/>
    <d v="2019-03-11T00:00:00"/>
    <d v="2019-03-21T00:00:00"/>
    <d v="2019-04-01T00:00:00"/>
    <s v="Air-Klimont s.r.o."/>
    <m/>
    <n v="553228"/>
    <n v="669405.88"/>
    <m/>
    <m/>
    <m/>
    <d v="2019-04-01T00:00:00"/>
    <s v="SMLN-2019-618-000024"/>
    <x v="64"/>
    <d v="2019-05-09T00:00:00"/>
    <d v="2019-06-18T00:00:00"/>
  </r>
  <r>
    <m/>
    <m/>
    <d v="2019-03-01T00:00:00"/>
    <s v="VZ-2019-000232"/>
    <s v="ZM"/>
    <s v="Dočkalová"/>
    <x v="119"/>
    <n v="1"/>
    <s v="Vodící dráty k vaskulárním intervencím I."/>
    <m/>
    <s v="33140000-3"/>
    <m/>
    <n v="258300"/>
    <x v="0"/>
    <d v="2019-03-13T00:00:00"/>
    <d v="2019-05-10T00:00:00"/>
    <d v="2019-09-19T00:00:00"/>
    <s v="S.A.B. Impex  s.r.o."/>
    <m/>
    <n v="210100"/>
    <n v="254221"/>
    <m/>
    <m/>
    <m/>
    <d v="2019-09-19T00:00:00"/>
    <s v="SMLN-2019-617-000429_x000a_SMLN-2019-614-000075"/>
    <x v="65"/>
    <d v="2019-11-07T00:00:00"/>
    <d v="2021-10-24T00:00:00"/>
  </r>
  <r>
    <m/>
    <m/>
    <d v="2019-03-01T00:00:00"/>
    <s v="VZ-2019-000232"/>
    <s v="ZM"/>
    <s v="Dočkalová"/>
    <x v="119"/>
    <n v="2"/>
    <s v="Vodící dráty k vaskulárním intervencím II."/>
    <m/>
    <s v="33140000-3"/>
    <m/>
    <n v="2475880"/>
    <x v="0"/>
    <d v="2019-03-13T00:00:00"/>
    <d v="2019-05-10T00:00:00"/>
    <d v="2019-09-19T00:00:00"/>
    <s v="VAMEX, spol. s r.o."/>
    <m/>
    <n v="2188489.4"/>
    <n v="2648072.17"/>
    <m/>
    <m/>
    <m/>
    <d v="2019-09-19T00:00:00"/>
    <s v="SMLN-2019-617-000430_x000a_SMLN-2019-614-000076"/>
    <x v="65"/>
    <d v="2019-11-07T00:00:00"/>
    <d v="2021-10-24T00:00:00"/>
  </r>
  <r>
    <m/>
    <m/>
    <d v="2019-03-01T00:00:00"/>
    <s v="VZ-2019-000232"/>
    <s v="ZM"/>
    <s v="Dočkalová"/>
    <x v="119"/>
    <n v="3"/>
    <s v="Vodící dráty k vaskulárním intervencím III."/>
    <m/>
    <s v="33140000-3"/>
    <m/>
    <n v="339250"/>
    <x v="0"/>
    <d v="2019-03-13T00:00:00"/>
    <d v="2019-05-10T00:00:00"/>
    <d v="2019-09-19T00:00:00"/>
    <s v="ARID obchodní společnost s.r.o."/>
    <m/>
    <n v="338022"/>
    <n v="409006.6"/>
    <m/>
    <m/>
    <m/>
    <d v="2019-09-19T00:00:00"/>
    <s v="SMLN-2019-617-000431_x000a_SMLN-2019-614-000077"/>
    <x v="65"/>
    <d v="2019-11-07T00:00:00"/>
    <d v="2021-10-24T00:00:00"/>
  </r>
  <r>
    <m/>
    <m/>
    <d v="2019-03-01T00:00:00"/>
    <s v="VZ-2019-000232"/>
    <s v="ZM"/>
    <s v="Dočkalová"/>
    <x v="119"/>
    <n v="4"/>
    <s v="Vodící mikrodráty k periferním vaskulárním intervencím"/>
    <m/>
    <s v="33140000-3"/>
    <m/>
    <n v="298310"/>
    <x v="0"/>
    <d v="2019-03-13T00:00:00"/>
    <d v="2019-05-10T00:00:00"/>
    <d v="2019-09-19T00:00:00"/>
    <s v="EspoMed spol. s r.o."/>
    <m/>
    <n v="298310"/>
    <n v="360955.1"/>
    <m/>
    <m/>
    <m/>
    <d v="2019-09-19T00:00:00"/>
    <s v="SMLN-2019-617-000432_x000a_SMLN-2019-614-000078"/>
    <x v="65"/>
    <d v="2019-11-07T00:00:00"/>
    <d v="2021-10-24T00:00:00"/>
  </r>
  <r>
    <m/>
    <m/>
    <d v="2019-03-01T00:00:00"/>
    <s v="VZ-2019-000232"/>
    <s v="ZM"/>
    <s v="Dočkalová"/>
    <x v="119"/>
    <n v="5"/>
    <s v="Vodící mikrodráty k vaskulárním neurointervencím I."/>
    <m/>
    <s v="33140000-3"/>
    <m/>
    <n v="331240"/>
    <x v="0"/>
    <d v="2019-03-13T00:00:00"/>
    <d v="2019-05-10T00:00:00"/>
    <d v="2019-09-19T00:00:00"/>
    <s v="A Care a.s."/>
    <m/>
    <n v="328783.55"/>
    <n v="397828.1"/>
    <m/>
    <m/>
    <m/>
    <d v="2019-09-19T00:00:00"/>
    <s v="SMLN-2019-617-000433_x000a_SMLN-2019-614-000079"/>
    <x v="65"/>
    <d v="2019-11-07T00:00:00"/>
    <d v="2021-10-24T00:00:00"/>
  </r>
  <r>
    <m/>
    <m/>
    <d v="2019-03-01T00:00:00"/>
    <s v="VZ-2019-000232"/>
    <s v="ZM"/>
    <s v="Dočkalová"/>
    <x v="119"/>
    <n v="6"/>
    <s v="Vodící mikrodráty k vaskulárním neurointervencím II."/>
    <m/>
    <s v="33140000-3"/>
    <m/>
    <n v="730380"/>
    <x v="0"/>
    <d v="2019-03-13T00:00:00"/>
    <d v="2019-05-10T00:00:00"/>
    <m/>
    <s v="zrušeno - překročení ceny"/>
    <m/>
    <m/>
    <m/>
    <m/>
    <m/>
    <m/>
    <m/>
    <m/>
    <x v="0"/>
    <d v="2019-09-17T00:00:00"/>
    <s v="26.8. zrušeno"/>
  </r>
  <r>
    <m/>
    <m/>
    <d v="2019-03-01T00:00:00"/>
    <s v="VZ-2019-000232"/>
    <s v="ZM"/>
    <s v="Dočkalová"/>
    <x v="119"/>
    <n v="7"/>
    <s v="Vodící mikrodráty k vaskulárním neurointervencím III."/>
    <m/>
    <s v="33140000-3"/>
    <m/>
    <n v="609420"/>
    <x v="0"/>
    <d v="2019-03-13T00:00:00"/>
    <d v="2019-05-10T00:00:00"/>
    <d v="2019-09-19T00:00:00"/>
    <s v="EspoMed spol. s r.o."/>
    <m/>
    <n v="609420"/>
    <n v="737398.2"/>
    <m/>
    <m/>
    <m/>
    <d v="2019-09-19T00:00:00"/>
    <s v="SMLN-2019-617-000434_x000a_SMLN-2019-614-000080"/>
    <x v="65"/>
    <d v="2019-11-07T00:00:00"/>
    <d v="2021-10-24T00:00:00"/>
  </r>
  <r>
    <m/>
    <m/>
    <d v="2019-02-26T00:00:00"/>
    <s v="VZ-2019-000233"/>
    <s v="ZM"/>
    <s v="Dočkalová"/>
    <x v="120"/>
    <m/>
    <m/>
    <m/>
    <s v="33141200-2"/>
    <m/>
    <n v="1104640"/>
    <x v="2"/>
    <d v="2019-03-12T00:00:00"/>
    <d v="2019-03-25T00:00:00"/>
    <d v="2019-04-01T00:00:00"/>
    <s v="ADYTON s.r.o."/>
    <m/>
    <n v="1104637.4399999999"/>
    <n v="1270333.06"/>
    <m/>
    <m/>
    <m/>
    <d v="2019-04-01T00:00:00"/>
    <s v="SMLN-2019-617-000165"/>
    <x v="57"/>
    <d v="2019-04-24T00:00:00"/>
    <d v="2021-04-16T00:00:00"/>
  </r>
  <r>
    <m/>
    <m/>
    <d v="2019-03-04T00:00:00"/>
    <s v="VZ-2019-000234"/>
    <s v="LÉK"/>
    <s v="Ondráčková"/>
    <x v="121"/>
    <n v="1"/>
    <s v="Adalimumab"/>
    <s v="L04AB04"/>
    <s v="33652300-8"/>
    <m/>
    <n v="33063300"/>
    <x v="0"/>
    <d v="2019-03-08T00:00:00"/>
    <d v="2019-04-12T00:00:00"/>
    <d v="2019-04-24T00:00:00"/>
    <s v="Alliance Healthcare s.r.o."/>
    <m/>
    <n v="22366350"/>
    <n v="24602985"/>
    <m/>
    <m/>
    <m/>
    <d v="2019-04-25T00:00:00"/>
    <s v="SMLN-2019-617-000194"/>
    <x v="66"/>
    <d v="2019-06-14T00:00:00"/>
    <d v="2022-06-10T00:00:00"/>
  </r>
  <r>
    <m/>
    <m/>
    <d v="2019-03-04T00:00:00"/>
    <s v="VZ-2019-000234"/>
    <s v="LÉK"/>
    <s v="Ondráčková"/>
    <x v="121"/>
    <n v="2"/>
    <s v="Okrelizumab"/>
    <s v="L04AA36"/>
    <s v="33652300-8"/>
    <m/>
    <n v="8727264"/>
    <x v="0"/>
    <d v="2019-03-08T00:00:00"/>
    <d v="2019-04-12T00:00:00"/>
    <m/>
    <s v="roche"/>
    <s v="DůVOD zrušeno - překročení ceny ; obchodní taj ; DALŠÍ POSTUP sdružený nákup-realizuje FNHK; ÚPRAVA překročení do ceníkové ceny ; PŘEDPOKLAD smlouva o SN 29.08.2019 ; POZN: "/>
    <m/>
    <m/>
    <m/>
    <m/>
    <m/>
    <m/>
    <m/>
    <x v="0"/>
    <d v="2019-05-22T00:00:00"/>
    <m/>
  </r>
  <r>
    <m/>
    <m/>
    <d v="2019-03-04T00:00:00"/>
    <s v="VZ-2019-000234"/>
    <s v="LÉK"/>
    <s v="Ondráčková"/>
    <x v="121"/>
    <n v="3"/>
    <s v="Apremilast"/>
    <s v="L04AA32"/>
    <s v="33652300-8"/>
    <m/>
    <n v="1049967"/>
    <x v="0"/>
    <d v="2019-03-08T00:00:00"/>
    <d v="2019-04-12T00:00:00"/>
    <d v="2019-04-24T00:00:00"/>
    <s v="PHOENIX lék.velkoobchod, s.r.o."/>
    <m/>
    <n v="1049966.58"/>
    <n v="1154963.24"/>
    <m/>
    <m/>
    <m/>
    <d v="2019-04-25T00:00:00"/>
    <s v="SMLN-2019-617-000195"/>
    <x v="66"/>
    <d v="2019-06-14T00:00:00"/>
    <d v="2022-06-10T00:00:00"/>
  </r>
  <r>
    <m/>
    <m/>
    <d v="2019-03-04T00:00:00"/>
    <s v="VZ-2019-000234"/>
    <s v="LÉK"/>
    <s v="Ondráčková"/>
    <x v="121"/>
    <n v="4"/>
    <s v="Tocilizumab"/>
    <s v="L04AC07"/>
    <s v="33652300-8"/>
    <m/>
    <n v="15459426"/>
    <x v="0"/>
    <d v="2019-03-08T00:00:00"/>
    <d v="2019-04-12T00:00:00"/>
    <d v="2019-04-24T00:00:00"/>
    <s v="ROCHE s.r.o."/>
    <m/>
    <n v="13071596.73"/>
    <n v="14378756.4"/>
    <m/>
    <m/>
    <m/>
    <d v="2019-04-25T00:00:00"/>
    <s v="SMLN-2019-617-000196"/>
    <x v="66"/>
    <d v="2019-06-14T00:00:00"/>
    <d v="2022-06-10T00:00:00"/>
  </r>
  <r>
    <m/>
    <m/>
    <d v="2019-03-04T00:00:00"/>
    <s v="VZ-2019-000244"/>
    <s v="ZT"/>
    <s v="Rosulek"/>
    <x v="122"/>
    <m/>
    <m/>
    <m/>
    <s v="33182100-0"/>
    <s v="2.2.138., 2.2.139., 2.3.320. 2.2.203., 2.3.388., 2.3.394."/>
    <n v="870000"/>
    <x v="2"/>
    <d v="2019-03-12T00:00:00"/>
    <d v="2019-03-20T00:00:00"/>
    <d v="2019-04-23T00:00:00"/>
    <s v="Medsol s.r.o."/>
    <m/>
    <n v="843740"/>
    <n v="1020925.4"/>
    <m/>
    <m/>
    <m/>
    <d v="2019-04-23T00:00:00"/>
    <s v="SMLN-2019-617-000188_x000a_SMLN-2019-612-000039"/>
    <x v="67"/>
    <d v="2019-06-28T00:00:00"/>
    <d v="2019-09-17T00:00:00"/>
  </r>
  <r>
    <m/>
    <m/>
    <s v="x"/>
    <s v="VZ-2019-000245"/>
    <s v="IROP"/>
    <s v="Neudörflerová"/>
    <x v="123"/>
    <m/>
    <m/>
    <m/>
    <s v="33120000-7"/>
    <s v="2.3.336."/>
    <n v="101429.75"/>
    <x v="0"/>
    <d v="2019-03-28T00:00:00"/>
    <d v="2019-04-30T00:00:00"/>
    <m/>
    <s v="zrušeno - bez nabídky"/>
    <s v="nová VZ-2019-000596, nová VZ-2019-000624"/>
    <m/>
    <m/>
    <m/>
    <m/>
    <m/>
    <m/>
    <m/>
    <x v="0"/>
    <d v="2019-05-03T00:00:00"/>
    <m/>
  </r>
  <r>
    <m/>
    <m/>
    <s v="x"/>
    <s v="VZ-2019-000247"/>
    <s v="IROP"/>
    <s v="Neudörflerová"/>
    <x v="124"/>
    <m/>
    <m/>
    <m/>
    <s v="33120000-7"/>
    <s v="2.3.331."/>
    <n v="543831"/>
    <x v="0"/>
    <d v="2019-04-04T00:00:00"/>
    <d v="2019-05-06T00:00:00"/>
    <d v="2019-07-16T00:00:00"/>
    <s v="Dräger Medical s.r.o."/>
    <m/>
    <n v="590200"/>
    <n v="714142"/>
    <m/>
    <m/>
    <m/>
    <d v="2019-07-17T00:00:00"/>
    <s v="SMLN-2019-617-000324_x000a_SMLN-2019-612-000072"/>
    <x v="68"/>
    <d v="2019-08-22T00:00:00"/>
    <d v="2019-10-14T00:00:00"/>
  </r>
  <r>
    <m/>
    <m/>
    <s v="x"/>
    <s v="VZ-2019-000248"/>
    <s v="IROP"/>
    <s v="Neudörflerová"/>
    <x v="125"/>
    <m/>
    <m/>
    <m/>
    <s v="33195100-4"/>
    <s v="2.3.333."/>
    <n v="716200"/>
    <x v="0"/>
    <d v="2019-03-28T00:00:00"/>
    <d v="2019-05-06T00:00:00"/>
    <m/>
    <s v="zrušeno - nesplnění zadání"/>
    <s v="nová VZ-2019-000626"/>
    <m/>
    <m/>
    <m/>
    <m/>
    <m/>
    <m/>
    <m/>
    <x v="0"/>
    <d v="2019-05-29T00:00:00"/>
    <m/>
  </r>
  <r>
    <m/>
    <m/>
    <d v="2019-03-08T00:00:00"/>
    <s v="VZ-2019-000253"/>
    <s v="SERVIS"/>
    <s v="Zemánek"/>
    <x v="126"/>
    <n v="1"/>
    <s v="Upgrade a Full servis přístroje Allura Xper FD 20"/>
    <m/>
    <s v="50421200-4 "/>
    <m/>
    <n v="13500000"/>
    <x v="0"/>
    <d v="2019-04-26T00:00:00"/>
    <d v="2019-06-05T00:00:00"/>
    <d v="2019-07-24T00:00:00"/>
    <s v="Philips Česká republika s.r.o."/>
    <m/>
    <n v="13350000"/>
    <n v="16153500"/>
    <m/>
    <m/>
    <m/>
    <d v="2019-07-25T00:00:00"/>
    <s v="SMLN-2019-612-000073"/>
    <x v="69"/>
    <d v="2019-09-02T00:00:00"/>
    <d v="2024-08-27T00:00:00"/>
  </r>
  <r>
    <m/>
    <m/>
    <d v="2019-03-08T00:00:00"/>
    <s v="VZ-2019-000253"/>
    <s v="SERVIS"/>
    <s v="Zemánek"/>
    <x v="126"/>
    <n v="2"/>
    <s v="Servis RTG přístrojů"/>
    <m/>
    <s v="50421200-4 "/>
    <m/>
    <n v="27000000"/>
    <x v="0"/>
    <d v="2019-04-26T00:00:00"/>
    <d v="2019-06-05T00:00:00"/>
    <d v="2019-07-24T00:00:00"/>
    <s v="Philips Česká republika s.r.o."/>
    <m/>
    <n v="6723600"/>
    <n v="8135556"/>
    <m/>
    <m/>
    <m/>
    <d v="2019-07-25T00:00:00"/>
    <s v="SMLN-2019-612-000074"/>
    <x v="69"/>
    <d v="2019-09-02T00:00:00"/>
    <d v="2024-08-27T00:00:00"/>
  </r>
  <r>
    <m/>
    <m/>
    <d v="2019-03-07T00:00:00"/>
    <s v="VZ-2019-000254"/>
    <s v="INF"/>
    <s v="Oravec"/>
    <x v="127"/>
    <m/>
    <m/>
    <m/>
    <s v="72261000-2"/>
    <s v="3.2.12."/>
    <n v="266640"/>
    <x v="2"/>
    <d v="2019-03-20T00:00:00"/>
    <d v="2019-03-26T00:00:00"/>
    <m/>
    <s v="zrušeno"/>
    <s v="nová VZ-2019-000323"/>
    <m/>
    <m/>
    <m/>
    <m/>
    <m/>
    <m/>
    <m/>
    <x v="0"/>
    <d v="2019-03-27T00:00:00"/>
    <m/>
  </r>
  <r>
    <m/>
    <m/>
    <d v="2019-03-07T00:00:00"/>
    <s v="VZ-2019-000255"/>
    <s v="ZM"/>
    <s v="Dočkalová"/>
    <x v="128"/>
    <n v="1"/>
    <s v="Diagnostické katetry I."/>
    <m/>
    <s v="33140000-3"/>
    <m/>
    <n v="568000"/>
    <x v="1"/>
    <d v="2019-03-15T00:00:00"/>
    <d v="2019-04-05T00:00:00"/>
    <d v="2019-09-24T00:00:00"/>
    <s v="ARID obchodní společnost s.r.o."/>
    <m/>
    <n v="567900"/>
    <n v="687159"/>
    <m/>
    <m/>
    <m/>
    <d v="2019-09-25T00:00:00"/>
    <s v="SMLN-2019-617-000453_x000a_SMLN-2019-614-000093"/>
    <x v="70"/>
    <d v="2019-11-07T00:00:00"/>
    <d v="2021-10-31T00:00:00"/>
  </r>
  <r>
    <m/>
    <m/>
    <d v="2019-03-07T00:00:00"/>
    <s v="VZ-2019-000255"/>
    <s v="ZM"/>
    <s v="Dočkalová"/>
    <x v="128"/>
    <n v="2"/>
    <s v="Diagnostické katetry II."/>
    <m/>
    <s v="33140000-3"/>
    <m/>
    <n v="1066200"/>
    <x v="1"/>
    <d v="2019-03-15T00:00:00"/>
    <d v="2019-04-05T00:00:00"/>
    <d v="2019-09-24T00:00:00"/>
    <s v="Alliance Healthcare s.r.o."/>
    <m/>
    <n v="840000"/>
    <n v="1016400"/>
    <m/>
    <m/>
    <m/>
    <d v="2019-09-25T00:00:00"/>
    <s v="SMLN-2019-617-000454_x000a_SMLN-2019-614-000094"/>
    <x v="70"/>
    <d v="2019-11-07T00:00:00"/>
    <d v="2021-10-31T00:00:00"/>
  </r>
  <r>
    <m/>
    <m/>
    <d v="2019-03-07T00:00:00"/>
    <s v="VZ-2019-000255"/>
    <s v="ZM"/>
    <s v="Dočkalová"/>
    <x v="128"/>
    <n v="3"/>
    <s v="Hydrofilní diagnostické katetry"/>
    <m/>
    <s v="33140000-3"/>
    <m/>
    <n v="121160"/>
    <x v="1"/>
    <d v="2019-03-15T00:00:00"/>
    <d v="2019-04-05T00:00:00"/>
    <d v="2019-09-24T00:00:00"/>
    <s v="VAMEX, spol. s r.o."/>
    <m/>
    <n v="80487.360000000001"/>
    <n v="97389.71"/>
    <m/>
    <m/>
    <m/>
    <d v="2019-09-25T00:00:00"/>
    <s v="SMLN-2019-617-000455_x000a_SMLN-2019-614-000095"/>
    <x v="70"/>
    <d v="2019-11-07T00:00:00"/>
    <d v="2021-10-31T00:00:00"/>
  </r>
  <r>
    <m/>
    <m/>
    <d v="2019-03-07T00:00:00"/>
    <s v="VZ-2019-000255"/>
    <s v="ZM"/>
    <s v="Dočkalová"/>
    <x v="128"/>
    <n v="4"/>
    <s v="Kalibrační diagnostické katetry"/>
    <m/>
    <s v="33140000-3"/>
    <m/>
    <n v="83210"/>
    <x v="1"/>
    <d v="2019-03-15T00:00:00"/>
    <d v="2019-04-05T00:00:00"/>
    <d v="2019-09-24T00:00:00"/>
    <s v="BS PRAGUE MEDICALCS, spol. s r.o."/>
    <m/>
    <n v="125160"/>
    <n v="151443.6"/>
    <m/>
    <m/>
    <m/>
    <d v="2019-09-25T00:00:00"/>
    <s v="SMLN-2019-617-000456_x000a_SMLN-2019-614-000096"/>
    <x v="70"/>
    <d v="2019-11-07T00:00:00"/>
    <d v="2021-10-31T00:00:00"/>
  </r>
  <r>
    <m/>
    <m/>
    <d v="2019-03-07T00:00:00"/>
    <s v="VZ-2019-000255"/>
    <s v="ZM"/>
    <s v="Dočkalová"/>
    <x v="128"/>
    <n v="5"/>
    <s v="Vodící katetry neurointervenční"/>
    <m/>
    <s v="33140000-3"/>
    <m/>
    <n v="971110"/>
    <x v="1"/>
    <d v="2019-03-15T00:00:00"/>
    <d v="2019-04-05T00:00:00"/>
    <d v="2019-09-24T00:00:00"/>
    <s v="A Care a.s."/>
    <m/>
    <n v="971092.5"/>
    <n v="1175021.93"/>
    <m/>
    <m/>
    <m/>
    <d v="2019-09-25T00:00:00"/>
    <s v="SMLN-2019-617-000457_x000a_SMLN-2019-614-000097"/>
    <x v="70"/>
    <d v="2019-11-07T00:00:00"/>
    <d v="2021-10-31T00:00:00"/>
  </r>
  <r>
    <m/>
    <m/>
    <d v="2019-03-07T00:00:00"/>
    <s v="VZ-2019-000257"/>
    <s v="ZM"/>
    <s v="Dočkalová"/>
    <x v="129"/>
    <n v="1"/>
    <s v="Pouzdra zaváděcí k vaskulárním intervencím I."/>
    <m/>
    <s v="33140000-3"/>
    <m/>
    <n v="1313380"/>
    <x v="1"/>
    <d v="2019-03-15T00:00:00"/>
    <d v="2019-04-08T00:00:00"/>
    <d v="2019-06-11T00:00:00"/>
    <s v="VAMEX, spol. s r.o."/>
    <m/>
    <n v="1078008.75"/>
    <n v="1304390.5900000001"/>
    <m/>
    <m/>
    <m/>
    <d v="2019-06-12T00:00:00"/>
    <s v="SMLN-2019-617-000261_x000a_SMLN-2019-614-000031"/>
    <x v="71"/>
    <d v="2019-09-04T00:00:00"/>
    <d v="2021-08-28T00:00:00"/>
  </r>
  <r>
    <m/>
    <m/>
    <d v="2019-03-07T00:00:00"/>
    <s v="VZ-2019-000257"/>
    <s v="ZM"/>
    <s v="Dočkalová"/>
    <x v="129"/>
    <n v="2"/>
    <s v="Speciální zaváděcí pouzdra k vaskulárním intervencím I."/>
    <m/>
    <s v="33140000-3"/>
    <m/>
    <n v="1572940"/>
    <x v="1"/>
    <d v="2019-03-15T00:00:00"/>
    <d v="2019-04-08T00:00:00"/>
    <d v="2019-06-11T00:00:00"/>
    <s v="ARID obchodní společnost s.r.o."/>
    <m/>
    <n v="1567195.5"/>
    <n v="1896306.6"/>
    <m/>
    <m/>
    <m/>
    <d v="2019-06-12T00:00:00"/>
    <s v="SMLN-2019-617-000262_x000a_SMLN-2019-614-000032"/>
    <x v="71"/>
    <d v="2019-09-04T00:00:00"/>
    <d v="2021-08-28T00:00:00"/>
  </r>
  <r>
    <m/>
    <m/>
    <d v="2019-03-07T00:00:00"/>
    <s v="VZ-2019-000257"/>
    <s v="ZM"/>
    <s v="Dočkalová"/>
    <x v="129"/>
    <n v="3"/>
    <s v="Speciální zaváděcí pouzdra k vaskulárním intervencím II."/>
    <m/>
    <s v="33140000-3"/>
    <m/>
    <n v="122210"/>
    <x v="1"/>
    <d v="2019-03-15T00:00:00"/>
    <d v="2019-04-08T00:00:00"/>
    <d v="2019-06-11T00:00:00"/>
    <s v="VAMEX, spol. s r.o."/>
    <m/>
    <n v="104833.72"/>
    <n v="126848.8"/>
    <m/>
    <m/>
    <m/>
    <d v="2019-06-12T00:00:00"/>
    <s v="SMLN-2019-617-000263_x000a_SMLN-2019-614-000033"/>
    <x v="71"/>
    <d v="2019-09-04T00:00:00"/>
    <d v="2021-08-28T00:00:00"/>
  </r>
  <r>
    <m/>
    <m/>
    <d v="2019-03-07T00:00:00"/>
    <s v="VZ-2019-000257"/>
    <s v="ZM"/>
    <s v="Dočkalová"/>
    <x v="129"/>
    <n v="4"/>
    <s v="Mikropunkční sety"/>
    <m/>
    <s v="33140000-3"/>
    <m/>
    <n v="79170"/>
    <x v="1"/>
    <d v="2019-03-15T00:00:00"/>
    <d v="2019-04-08T00:00:00"/>
    <d v="2019-06-11T00:00:00"/>
    <s v="Mediform spol. s r.o."/>
    <m/>
    <n v="58320"/>
    <n v="70567.199999999997"/>
    <m/>
    <m/>
    <m/>
    <d v="2019-06-12T00:00:00"/>
    <s v="SMLN-2019-617-000264_x000a_SMLN-2019-614-000034"/>
    <x v="71"/>
    <d v="2019-09-04T00:00:00"/>
    <d v="2021-08-28T00:00:00"/>
  </r>
  <r>
    <m/>
    <m/>
    <d v="2019-03-12T00:00:00"/>
    <s v="VZ-2019-000262"/>
    <s v="IROP"/>
    <s v="Neudörflerová"/>
    <x v="130"/>
    <n v="1"/>
    <s v="Ohřívací jednotka pro operační sály"/>
    <m/>
    <s v="3319000-8"/>
    <s v="2.3.338."/>
    <n v="141227.04"/>
    <x v="0"/>
    <d v="2019-06-03T00:00:00"/>
    <d v="2019-07-29T00:00:00"/>
    <d v="2019-08-27T00:00:00"/>
    <s v="Ing. Aleš Závorka"/>
    <m/>
    <n v="119516"/>
    <n v="144614.35999999999"/>
    <m/>
    <m/>
    <m/>
    <d v="2019-07-28T00:00:00"/>
    <s v="SMLN-2019-617-000388_x000a_SMLN-2019-612-000097"/>
    <x v="61"/>
    <d v="2019-09-23T00:00:00"/>
    <d v="2019-10-29T00:00:00"/>
  </r>
  <r>
    <m/>
    <m/>
    <d v="2019-03-12T00:00:00"/>
    <s v="VZ-2019-000262"/>
    <s v="IROP"/>
    <s v="Neudörflerová"/>
    <x v="130"/>
    <n v="2"/>
    <s v="Ohřívací jednotka pro jednotku intermediální péče"/>
    <m/>
    <s v="33190000-8"/>
    <s v="2.3.338."/>
    <n v="308553.21999999997"/>
    <x v="0"/>
    <d v="2019-06-03T00:00:00"/>
    <d v="2019-07-29T00:00:00"/>
    <m/>
    <s v="zrušeno - bez nabídky"/>
    <s v="VZ-2019-000893"/>
    <m/>
    <m/>
    <m/>
    <m/>
    <m/>
    <m/>
    <m/>
    <x v="0"/>
    <d v="2019-08-20T00:00:00"/>
    <s v="20.8. zrušeno"/>
  </r>
  <r>
    <m/>
    <m/>
    <d v="2019-03-11T00:00:00"/>
    <s v="VZ-2019-000275"/>
    <s v="SERVIS"/>
    <s v="Zemánek"/>
    <x v="131"/>
    <m/>
    <m/>
    <m/>
    <s v="50421000-2"/>
    <m/>
    <n v="1600000"/>
    <x v="2"/>
    <d v="2019-04-04T00:00:00"/>
    <d v="2019-04-12T00:00:00"/>
    <d v="2019-04-24T00:00:00"/>
    <s v="DIMA Olomouc, s.r.o."/>
    <m/>
    <n v="1531200"/>
    <n v="1852752"/>
    <m/>
    <m/>
    <m/>
    <d v="2019-04-26T00:00:00"/>
    <s v="SMLN-2019-612-000042"/>
    <x v="31"/>
    <d v="2019-05-16T00:00:00"/>
    <s v="doba neurčitá"/>
  </r>
  <r>
    <m/>
    <m/>
    <d v="2019-03-18T00:00:00"/>
    <s v="VZ-2019-000282"/>
    <s v="ZT"/>
    <s v="Novák"/>
    <x v="132"/>
    <m/>
    <m/>
    <m/>
    <s v="42131141-6"/>
    <m/>
    <n v="395000"/>
    <x v="2"/>
    <d v="2019-03-28T00:00:00"/>
    <d v="2019-04-09T00:00:00"/>
    <d v="2019-05-09T00:00:00"/>
    <s v="POLYMED medical CZ, a.s."/>
    <m/>
    <n v="601197.5"/>
    <n v="727449"/>
    <m/>
    <m/>
    <m/>
    <d v="2019-05-10T00:00:00"/>
    <s v="SMLN-2019-617-000218_x000a_SMLN-2019-612-000053"/>
    <x v="51"/>
    <d v="2019-06-10T00:00:00"/>
    <s v="4.6.2021 + servis"/>
  </r>
  <r>
    <m/>
    <m/>
    <d v="2019-03-15T00:00:00"/>
    <s v="VZ-2019-000283"/>
    <s v="MARK"/>
    <s v="Fritscher"/>
    <x v="133"/>
    <m/>
    <m/>
    <m/>
    <s v="79800000-2"/>
    <m/>
    <n v="520000"/>
    <x v="2"/>
    <d v="2019-03-21T00:00:00"/>
    <d v="2019-03-28T00:00:00"/>
    <d v="2019-04-12T00:00:00"/>
    <s v="TISKÁRNA  K-TISK,  s.r.o."/>
    <m/>
    <n v="527200"/>
    <n v="637912"/>
    <m/>
    <m/>
    <m/>
    <d v="2019-04-15T00:00:00"/>
    <s v="SMLN-2019-617-000183"/>
    <x v="54"/>
    <d v="2019-05-03T00:00:00"/>
    <d v="2020-12-31T00:00:00"/>
  </r>
  <r>
    <m/>
    <m/>
    <s v="opakovaná VZ"/>
    <s v="VZ-2019-000298"/>
    <s v="ZM"/>
    <s v="Dočkalová"/>
    <x v="134"/>
    <m/>
    <m/>
    <m/>
    <s v="33140000-3"/>
    <m/>
    <n v="1484500"/>
    <x v="1"/>
    <d v="2019-04-08T00:00:00"/>
    <d v="2019-04-26T00:00:00"/>
    <m/>
    <s v="zrušeno - bez nabídky"/>
    <m/>
    <m/>
    <m/>
    <m/>
    <m/>
    <m/>
    <m/>
    <m/>
    <x v="0"/>
    <d v="2019-05-02T00:00:00"/>
    <m/>
  </r>
  <r>
    <m/>
    <m/>
    <d v="2019-03-19T00:00:00"/>
    <s v="VZ-2019-000303"/>
    <s v="ENERG"/>
    <s v="Srovnal"/>
    <x v="135"/>
    <m/>
    <m/>
    <m/>
    <s v="71320000-7"/>
    <m/>
    <n v="300000"/>
    <x v="2"/>
    <d v="2019-03-26T00:00:00"/>
    <d v="2019-04-04T00:00:00"/>
    <d v="2019-04-11T00:00:00"/>
    <s v="ELPREMO, spol. s r.o."/>
    <m/>
    <n v="430000"/>
    <n v="520300"/>
    <m/>
    <m/>
    <m/>
    <d v="2019-04-11T00:00:00"/>
    <s v="SMLN-2019-618-000027"/>
    <x v="59"/>
    <d v="2019-05-13T00:00:00"/>
    <d v="2019-08-07T00:00:00"/>
  </r>
  <r>
    <m/>
    <m/>
    <s v="opakovaná VZ"/>
    <s v="VZ-2019-000304"/>
    <s v="OSB "/>
    <s v="Vaida"/>
    <x v="136"/>
    <m/>
    <m/>
    <m/>
    <s v="45453000-7"/>
    <m/>
    <n v="350000"/>
    <x v="2"/>
    <d v="2019-03-28T00:00:00"/>
    <d v="2019-04-09T00:00:00"/>
    <d v="2019-04-23T00:00:00"/>
    <s v="Stavitelství Pospíšil, s.r.o."/>
    <m/>
    <n v="399545"/>
    <n v="483449.45"/>
    <m/>
    <m/>
    <m/>
    <d v="2019-04-23T00:00:00"/>
    <s v="SMLN-2019-618-000030"/>
    <x v="72"/>
    <d v="2019-05-29T00:00:00"/>
    <d v="2019-11-26T00:00:00"/>
  </r>
  <r>
    <m/>
    <m/>
    <d v="2019-03-19T00:00:00"/>
    <s v="VZ-2019-000305"/>
    <s v="ZT"/>
    <s v="Rosulek"/>
    <x v="35"/>
    <m/>
    <m/>
    <m/>
    <s v="33124100-6"/>
    <s v="2.2.141."/>
    <n v="4600000"/>
    <x v="0"/>
    <d v="2019-03-25T00:00:00"/>
    <d v="2019-04-30T00:00:00"/>
    <d v="2019-06-06T00:00:00"/>
    <s v="Medinet s.r.o."/>
    <m/>
    <n v="4585200"/>
    <n v="5548092"/>
    <m/>
    <m/>
    <m/>
    <d v="2019-06-07T00:00:00"/>
    <s v="SMLN-2019-617-000248_x000a_SMLN-2019-612-000060"/>
    <x v="47"/>
    <d v="2019-07-15T00:00:00"/>
    <d v="2019-08-13T00:00:00"/>
  </r>
  <r>
    <m/>
    <m/>
    <s v="opakovaná VZ"/>
    <s v="VZ-2019-000307"/>
    <s v="ZT"/>
    <s v="Rosulek"/>
    <x v="56"/>
    <m/>
    <m/>
    <m/>
    <s v="31500000-1"/>
    <s v="2.2.190."/>
    <n v="620000"/>
    <x v="2"/>
    <d v="2019-04-01T00:00:00"/>
    <d v="2019-04-24T00:00:00"/>
    <m/>
    <s v="zrušeno - bez nabídky"/>
    <s v="nebude realizováno"/>
    <m/>
    <m/>
    <m/>
    <m/>
    <m/>
    <m/>
    <m/>
    <x v="0"/>
    <d v="2019-04-25T00:00:00"/>
    <m/>
  </r>
  <r>
    <m/>
    <m/>
    <d v="2019-03-25T00:00:00"/>
    <s v="VZ-2019-000312"/>
    <s v="ZM"/>
    <s v="Dočkalová"/>
    <x v="137"/>
    <n v="1"/>
    <s v="Samoexpandibilní stentgrafty vaskulární periferní I."/>
    <m/>
    <s v="33140000-3"/>
    <m/>
    <n v="1393200"/>
    <x v="0"/>
    <d v="2019-04-05T00:00:00"/>
    <d v="2019-05-30T00:00:00"/>
    <d v="2019-07-03T00:00:00"/>
    <s v="BARD Czech Republic s.r.o."/>
    <m/>
    <n v="1393200"/>
    <n v="1602180"/>
    <m/>
    <m/>
    <m/>
    <d v="2019-07-03T00:00:00"/>
    <s v="SMLN-2019-617-000304_x000a_SMLN-2019-614-000058"/>
    <x v="68"/>
    <d v="2019-08-21T00:00:00"/>
    <d v="2021-08-18T00:00:00"/>
  </r>
  <r>
    <m/>
    <m/>
    <d v="2019-03-25T00:00:00"/>
    <s v="VZ-2019-000312"/>
    <s v="ZM"/>
    <s v="Dočkalová"/>
    <x v="137"/>
    <n v="2"/>
    <s v="Samoexpandibilní stentgrafty vaskulární periferní II."/>
    <m/>
    <s v="33140000-3"/>
    <m/>
    <n v="1852140"/>
    <x v="0"/>
    <d v="2019-04-05T00:00:00"/>
    <d v="2019-05-30T00:00:00"/>
    <d v="2019-07-03T00:00:00"/>
    <s v="Stimcare s.r.o."/>
    <m/>
    <n v="1852140"/>
    <n v="2129961"/>
    <m/>
    <m/>
    <m/>
    <d v="2019-07-03T00:00:00"/>
    <s v="SMLN-2019-617-000305_x000a_SMLN-2019-614-000059"/>
    <x v="68"/>
    <d v="2019-08-21T00:00:00"/>
    <d v="2021-08-18T00:00:00"/>
  </r>
  <r>
    <m/>
    <m/>
    <d v="2019-03-25T00:00:00"/>
    <s v="VZ-2019-000312"/>
    <s v="ZM"/>
    <s v="Dočkalová"/>
    <x v="137"/>
    <n v="3"/>
    <s v="Balónexpandibilní stentgrafty vaskulární I."/>
    <m/>
    <s v="33140000-3"/>
    <m/>
    <n v="780000"/>
    <x v="0"/>
    <d v="2019-04-05T00:00:00"/>
    <d v="2019-05-30T00:00:00"/>
    <m/>
    <s v="zrušeno - bez nabídky"/>
    <m/>
    <m/>
    <m/>
    <m/>
    <m/>
    <m/>
    <m/>
    <m/>
    <x v="0"/>
    <d v="2019-07-26T00:00:00"/>
    <s v="3.7.zrušeno"/>
  </r>
  <r>
    <m/>
    <m/>
    <d v="2019-03-25T00:00:00"/>
    <s v="VZ-2019-000312"/>
    <s v="ZM"/>
    <s v="Dočkalová"/>
    <x v="137"/>
    <n v="4"/>
    <s v="Balónexpandibilní stentgrafty vaskulární II."/>
    <m/>
    <s v="33140000-3"/>
    <m/>
    <n v="232200"/>
    <x v="0"/>
    <d v="2019-04-05T00:00:00"/>
    <d v="2019-05-30T00:00:00"/>
    <d v="2019-07-03T00:00:00"/>
    <s v="BARD Czech Republic s.r.o."/>
    <m/>
    <n v="232200"/>
    <n v="267030"/>
    <m/>
    <m/>
    <m/>
    <d v="2019-07-03T00:00:00"/>
    <s v="SMLN-2019-617-000306_x000a_SMLN-2019-614-000060"/>
    <x v="68"/>
    <d v="2019-08-21T00:00:00"/>
    <d v="2021-08-18T00:00:00"/>
  </r>
  <r>
    <m/>
    <m/>
    <d v="2019-03-25T00:00:00"/>
    <s v="VZ-2019-000312"/>
    <s v="ZM"/>
    <s v="Dočkalová"/>
    <x v="137"/>
    <n v="5"/>
    <s v="Stentgrafty vaskulární do TIPS"/>
    <m/>
    <s v="33140000-3"/>
    <m/>
    <n v="3478000"/>
    <x v="0"/>
    <d v="2019-04-05T00:00:00"/>
    <d v="2019-05-30T00:00:00"/>
    <d v="2019-07-03T00:00:00"/>
    <s v="Stimcare s.r.o."/>
    <m/>
    <n v="3478000"/>
    <n v="3999700"/>
    <m/>
    <m/>
    <m/>
    <d v="2019-07-03T00:00:00"/>
    <s v="SMLN-2019-617-000307_x000a_SMLN-2019-614-000061"/>
    <x v="68"/>
    <d v="2019-08-21T00:00:00"/>
    <d v="2021-08-18T00:00:00"/>
  </r>
  <r>
    <m/>
    <m/>
    <d v="2019-03-25T00:00:00"/>
    <s v="VZ-2019-000313"/>
    <s v="ZM"/>
    <s v="Dočkalová"/>
    <x v="138"/>
    <n v="1"/>
    <s v="Samoexpandibilní stenty vaskulární I"/>
    <m/>
    <s v="33140000-3"/>
    <m/>
    <n v="1010000"/>
    <x v="0"/>
    <d v="2019-04-05T00:00:00"/>
    <d v="2019-05-27T00:00:00"/>
    <m/>
    <s v="zrušeno - překročení ceny"/>
    <m/>
    <m/>
    <m/>
    <m/>
    <m/>
    <m/>
    <m/>
    <m/>
    <x v="0"/>
    <d v="2019-06-28T00:00:00"/>
    <s v="6.6. zrušeno"/>
  </r>
  <r>
    <m/>
    <m/>
    <d v="2019-03-25T00:00:00"/>
    <s v="VZ-2019-000313"/>
    <s v="ZM"/>
    <s v="Dočkalová"/>
    <x v="138"/>
    <n v="2"/>
    <s v="Samoexpandibilní stenty vaskulární II"/>
    <m/>
    <s v="33140000-3"/>
    <m/>
    <n v="1000000"/>
    <x v="0"/>
    <d v="2019-04-05T00:00:00"/>
    <d v="2019-05-27T00:00:00"/>
    <d v="2019-06-11T00:00:00"/>
    <s v="MEDITRADE spol. s r.o."/>
    <m/>
    <n v="1000000"/>
    <n v="1150000"/>
    <m/>
    <m/>
    <m/>
    <d v="2019-06-13T00:00:00"/>
    <s v="SMLN-2019-617-000271_x000a_SMLN-2019-614-000041"/>
    <x v="73"/>
    <d v="2019-09-05T00:00:00"/>
    <d v="2021-09-03T00:00:00"/>
  </r>
  <r>
    <m/>
    <m/>
    <d v="2019-03-25T00:00:00"/>
    <s v="VZ-2019-000313"/>
    <s v="ZM"/>
    <s v="Dočkalová"/>
    <x v="138"/>
    <n v="3"/>
    <s v="Samoexpandibilní stenty vaskulární XL"/>
    <m/>
    <s v="33140000-3"/>
    <m/>
    <n v="247500"/>
    <x v="0"/>
    <d v="2019-04-05T00:00:00"/>
    <d v="2019-05-27T00:00:00"/>
    <d v="2019-06-11T00:00:00"/>
    <s v="BARD Czech Republic s.r.o."/>
    <m/>
    <n v="247500"/>
    <n v="284625"/>
    <m/>
    <m/>
    <m/>
    <d v="2019-06-13T00:00:00"/>
    <s v="SMLN-2019-617-000272_x000a_SMLN-2019-614-000042"/>
    <x v="73"/>
    <d v="2019-09-05T00:00:00"/>
    <d v="2021-09-03T00:00:00"/>
  </r>
  <r>
    <m/>
    <m/>
    <d v="2019-03-25T00:00:00"/>
    <s v="VZ-2019-000313"/>
    <s v="ZM"/>
    <s v="Dočkalová"/>
    <x v="138"/>
    <n v="4"/>
    <s v="Balónexpandibilní stenty vaskulární I"/>
    <m/>
    <s v="33140000-3"/>
    <m/>
    <n v="1090000"/>
    <x v="0"/>
    <d v="2019-04-05T00:00:00"/>
    <d v="2019-05-27T00:00:00"/>
    <d v="2019-06-11T00:00:00"/>
    <s v="Stimcare s.r.o."/>
    <m/>
    <n v="1090000"/>
    <n v="1253500"/>
    <m/>
    <m/>
    <m/>
    <d v="2019-06-13T00:00:00"/>
    <s v="SMLN-2019-617-000273_x000a_SMLN-2019-614-000043"/>
    <x v="73"/>
    <d v="2019-09-05T00:00:00"/>
    <d v="2021-09-03T00:00:00"/>
  </r>
  <r>
    <m/>
    <m/>
    <d v="2019-03-25T00:00:00"/>
    <s v="VZ-2019-000313"/>
    <s v="ZM"/>
    <s v="Dočkalová"/>
    <x v="138"/>
    <n v="5"/>
    <s v="Balónexpandibilní stenty vaskulární II"/>
    <m/>
    <s v="33140000-3"/>
    <m/>
    <n v="228400"/>
    <x v="0"/>
    <d v="2019-04-05T00:00:00"/>
    <d v="2019-05-27T00:00:00"/>
    <d v="2019-06-11T00:00:00"/>
    <s v="Stimcare s.r.o."/>
    <m/>
    <n v="228400"/>
    <n v="262660"/>
    <m/>
    <m/>
    <m/>
    <d v="2019-06-13T00:00:00"/>
    <s v="SMLN-2019-617-000274_x000a_SMLN-2019-614-000044"/>
    <x v="73"/>
    <d v="2019-09-05T00:00:00"/>
    <d v="2021-09-03T00:00:00"/>
  </r>
  <r>
    <m/>
    <m/>
    <d v="2019-03-25T00:00:00"/>
    <s v="VZ-2019-000313"/>
    <s v="ZM"/>
    <s v="Dočkalová"/>
    <x v="138"/>
    <n v="6"/>
    <s v="Karotické stenty vaskulární I"/>
    <m/>
    <s v="33140000-3"/>
    <m/>
    <n v="264000"/>
    <x v="0"/>
    <d v="2019-04-05T00:00:00"/>
    <d v="2019-05-27T00:00:00"/>
    <d v="2019-06-11T00:00:00"/>
    <s v="MEDITRADE spol. s r.o."/>
    <m/>
    <n v="264000"/>
    <n v="303600"/>
    <m/>
    <m/>
    <m/>
    <d v="2019-06-13T00:00:00"/>
    <s v="SMLN-2019-617-000275_x000a_SMLN-2019-614-000045"/>
    <x v="73"/>
    <d v="2019-09-05T00:00:00"/>
    <d v="2021-09-03T00:00:00"/>
  </r>
  <r>
    <m/>
    <m/>
    <d v="2019-03-25T00:00:00"/>
    <s v="VZ-2019-000313"/>
    <s v="ZM"/>
    <s v="Dočkalová"/>
    <x v="138"/>
    <n v="7"/>
    <s v="Karotické stenty vaskulární II"/>
    <m/>
    <s v="33140000-3"/>
    <m/>
    <n v="217300"/>
    <x v="0"/>
    <d v="2019-04-05T00:00:00"/>
    <d v="2019-05-27T00:00:00"/>
    <d v="2019-06-11T00:00:00"/>
    <s v="Stimcare s.r.o."/>
    <m/>
    <n v="217300"/>
    <n v="249895"/>
    <m/>
    <m/>
    <m/>
    <d v="2019-06-13T00:00:00"/>
    <s v="SMLN-2019-617-000276_x000a_SMLN-2019-614-000046"/>
    <x v="73"/>
    <d v="2019-09-05T00:00:00"/>
    <d v="2021-09-03T00:00:00"/>
  </r>
  <r>
    <m/>
    <m/>
    <d v="2019-03-25T00:00:00"/>
    <s v="VZ-2019-000313"/>
    <s v="ZM"/>
    <s v="Dočkalová"/>
    <x v="138"/>
    <n v="8"/>
    <s v="Intrakraniální stenty vaskulární"/>
    <m/>
    <s v="33140000-3"/>
    <m/>
    <n v="14765750"/>
    <x v="0"/>
    <d v="2019-04-05T00:00:00"/>
    <d v="2019-05-27T00:00:00"/>
    <d v="2019-06-11T00:00:00"/>
    <s v="EspoMed spol. s r.o."/>
    <m/>
    <n v="14765000"/>
    <n v="16979750"/>
    <m/>
    <m/>
    <m/>
    <d v="2019-06-13T00:00:00"/>
    <s v="SMLN-2019-617-000277_x000a_SMLN-2019-614-000047"/>
    <x v="73"/>
    <d v="2019-09-05T00:00:00"/>
    <d v="2021-09-03T00:00:00"/>
  </r>
  <r>
    <m/>
    <m/>
    <d v="2019-03-25T00:00:00"/>
    <s v="VZ-2019-000314"/>
    <s v="ZM"/>
    <s v="Dočkalová"/>
    <x v="139"/>
    <n v="1"/>
    <s v="Mikrokatétry k periferním vaskulárním intervencím I."/>
    <m/>
    <s v="33140000-3"/>
    <m/>
    <n v="4478570"/>
    <x v="0"/>
    <d v="2019-04-03T00:00:00"/>
    <d v="2019-05-06T00:00:00"/>
    <d v="2019-06-11T00:00:00"/>
    <s v="VAMEX, spol. s r.o."/>
    <m/>
    <n v="3963844"/>
    <n v="4796251.24"/>
    <m/>
    <m/>
    <m/>
    <d v="2019-06-13T00:00:00"/>
    <s v="SMLN-2019-617-000266_x000a_SMLN-2019-614-000035"/>
    <x v="74"/>
    <d v="2019-08-28T00:00:00"/>
    <d v="2021-08-21T00:00:00"/>
  </r>
  <r>
    <m/>
    <m/>
    <d v="2019-03-25T00:00:00"/>
    <s v="VZ-2019-000314"/>
    <s v="ZM"/>
    <s v="Dočkalová"/>
    <x v="139"/>
    <n v="2"/>
    <s v="Mikrokatétry k periferním vaskulárním intervencím II."/>
    <m/>
    <s v="33140000-3"/>
    <m/>
    <n v="89090"/>
    <x v="0"/>
    <d v="2019-04-03T00:00:00"/>
    <d v="2019-05-06T00:00:00"/>
    <d v="2019-06-11T00:00:00"/>
    <s v="ARID obchodní společnost s.r.o."/>
    <m/>
    <n v="89090"/>
    <n v="107798.9"/>
    <m/>
    <m/>
    <m/>
    <d v="2019-06-13T00:00:00"/>
    <s v="SMLN-2019-617-000267_x000a_SMLN-2019-614-000036"/>
    <x v="74"/>
    <d v="2019-08-28T00:00:00"/>
    <d v="2021-08-21T00:00:00"/>
  </r>
  <r>
    <m/>
    <m/>
    <d v="2019-03-25T00:00:00"/>
    <s v="VZ-2019-000314"/>
    <s v="ZM"/>
    <s v="Dočkalová"/>
    <x v="139"/>
    <n v="3"/>
    <s v="Mikrokatétry neurointervenční I. "/>
    <m/>
    <s v="33140000-3"/>
    <m/>
    <n v="581650"/>
    <x v="0"/>
    <d v="2019-04-03T00:00:00"/>
    <d v="2019-05-06T00:00:00"/>
    <m/>
    <s v="zrušeno - bez nabídky"/>
    <m/>
    <m/>
    <m/>
    <m/>
    <m/>
    <m/>
    <m/>
    <m/>
    <x v="0"/>
    <d v="2019-06-28T00:00:00"/>
    <s v="5.6. zrušeno"/>
  </r>
  <r>
    <m/>
    <m/>
    <d v="2019-03-25T00:00:00"/>
    <s v="VZ-2019-000314"/>
    <s v="ZM"/>
    <s v="Dočkalová"/>
    <x v="139"/>
    <n v="4"/>
    <s v="Mikrokatétry neurointervenční II. "/>
    <m/>
    <s v="33140000-3"/>
    <m/>
    <n v="144580"/>
    <x v="0"/>
    <d v="2019-04-03T00:00:00"/>
    <d v="2019-05-06T00:00:00"/>
    <d v="2019-06-11T00:00:00"/>
    <s v="EspoMed spol. s r.o."/>
    <m/>
    <n v="144580"/>
    <n v="174941.8"/>
    <m/>
    <m/>
    <m/>
    <d v="2019-06-13T00:00:00"/>
    <s v="SMLN-2019-617-000268_x000a_SMLN-2019-614-000037"/>
    <x v="74"/>
    <d v="2019-08-28T00:00:00"/>
    <d v="2021-08-21T00:00:00"/>
  </r>
  <r>
    <m/>
    <m/>
    <d v="2019-03-25T00:00:00"/>
    <s v="VZ-2019-000314"/>
    <s v="ZM"/>
    <s v="Dočkalová"/>
    <x v="139"/>
    <n v="5"/>
    <s v="Mikrokatétry neurointervenční III. "/>
    <m/>
    <s v="33140000-3"/>
    <m/>
    <n v="629700"/>
    <x v="0"/>
    <d v="2019-04-03T00:00:00"/>
    <d v="2019-05-06T00:00:00"/>
    <d v="2019-06-11T00:00:00"/>
    <s v="EspoMed spol. s r.o."/>
    <m/>
    <n v="603200"/>
    <n v="729872"/>
    <m/>
    <m/>
    <m/>
    <d v="2019-06-13T00:00:00"/>
    <s v="SMLN-2019-617-000269_x000a_SMLN-2019-614-000038"/>
    <x v="74"/>
    <d v="2019-08-28T00:00:00"/>
    <d v="2021-08-21T00:00:00"/>
  </r>
  <r>
    <m/>
    <m/>
    <d v="2019-03-25T00:00:00"/>
    <s v="VZ-2019-000314"/>
    <s v="ZM"/>
    <s v="Dočkalová"/>
    <x v="139"/>
    <n v="6"/>
    <s v="Mikrokatétry neurointervenční IV. "/>
    <m/>
    <s v="33140000-3"/>
    <m/>
    <n v="50600"/>
    <x v="0"/>
    <d v="2019-04-03T00:00:00"/>
    <d v="2019-05-06T00:00:00"/>
    <d v="2019-06-11T00:00:00"/>
    <s v="EspoMed spol. s r.o."/>
    <m/>
    <n v="50599.5"/>
    <n v="61225.4"/>
    <m/>
    <m/>
    <m/>
    <d v="2019-06-13T00:00:00"/>
    <s v="SMLN-2019-617-000270_x000a_SMLN-2019-614-000040"/>
    <x v="74"/>
    <d v="2019-08-28T00:00:00"/>
    <d v="2021-08-21T00:00:00"/>
  </r>
  <r>
    <m/>
    <m/>
    <d v="2019-03-22T00:00:00"/>
    <s v="VZ-2019-000321"/>
    <s v="VŠEOB"/>
    <s v="Nerudová"/>
    <x v="140"/>
    <m/>
    <m/>
    <m/>
    <s v="39120000-9"/>
    <m/>
    <n v="570000"/>
    <x v="0"/>
    <d v="2019-04-02T00:00:00"/>
    <d v="2019-05-07T00:00:00"/>
    <d v="2019-05-23T00:00:00"/>
    <s v="KSK nábytek s.r.o."/>
    <m/>
    <n v="513226"/>
    <n v="621003.46"/>
    <m/>
    <m/>
    <m/>
    <d v="2019-05-27T00:00:00"/>
    <s v="SMLN-2019-617-000238"/>
    <x v="75"/>
    <d v="2019-08-15T00:00:00"/>
    <d v="2019-10-24T00:00:00"/>
  </r>
  <r>
    <m/>
    <m/>
    <d v="2019-03-28T00:00:00"/>
    <s v="VZ-2019-000322"/>
    <s v="OBN"/>
    <s v="Merta"/>
    <x v="141"/>
    <m/>
    <m/>
    <m/>
    <s v="33694000-1"/>
    <m/>
    <n v="1950000"/>
    <x v="2"/>
    <d v="2019-04-03T00:00:00"/>
    <d v="2019-04-11T00:00:00"/>
    <m/>
    <m/>
    <s v="nová VZ-2019-000808, upravena technická kvalifikační kritéria a specifikace VZ"/>
    <m/>
    <m/>
    <m/>
    <m/>
    <m/>
    <m/>
    <m/>
    <x v="0"/>
    <d v="2019-07-25T00:00:00"/>
    <m/>
  </r>
  <r>
    <m/>
    <m/>
    <s v="opakovaná VZ"/>
    <s v="VZ-2019-000323"/>
    <s v="INF"/>
    <s v="Oravec"/>
    <x v="142"/>
    <m/>
    <m/>
    <m/>
    <s v="72261000-2"/>
    <s v="3.2.12."/>
    <n v="266640"/>
    <x v="2"/>
    <d v="2019-03-29T00:00:00"/>
    <d v="2019-04-09T00:00:00"/>
    <d v="2019-04-24T00:00:00"/>
    <s v="Centrum pro podporui počítačové grafiky"/>
    <m/>
    <n v="266400"/>
    <n v="322344"/>
    <m/>
    <m/>
    <m/>
    <d v="2019-04-26T00:00:00"/>
    <s v="SMLN-2019-612-000041"/>
    <x v="76"/>
    <d v="2019-05-27T00:00:00"/>
    <s v="doba neurčitá"/>
  </r>
  <r>
    <m/>
    <m/>
    <d v="2019-03-25T00:00:00"/>
    <s v="VZ-2019-000324"/>
    <s v="INF"/>
    <s v="Oravec"/>
    <x v="143"/>
    <m/>
    <m/>
    <m/>
    <s v="30121100-4 "/>
    <s v="3.2.35."/>
    <n v="537190"/>
    <x v="2"/>
    <d v="2019-04-03T00:00:00"/>
    <d v="2019-04-18T00:00:00"/>
    <d v="2019-05-02T00:00:00"/>
    <s v="Can21 s.r.o."/>
    <m/>
    <n v="541935"/>
    <n v="655741.35"/>
    <m/>
    <m/>
    <m/>
    <d v="2019-05-02T00:00:00"/>
    <s v="SMLN-2019-617-000209"/>
    <x v="76"/>
    <d v="2019-05-27T00:00:00"/>
    <d v="2020-05-22T00:00:00"/>
  </r>
  <r>
    <m/>
    <m/>
    <d v="2019-03-18T00:00:00"/>
    <s v="VZ-2019-000327"/>
    <s v="ZM"/>
    <s v="Valtová"/>
    <x v="144"/>
    <m/>
    <m/>
    <m/>
    <s v="33141200-2"/>
    <m/>
    <n v="745500"/>
    <x v="2"/>
    <d v="2019-04-03T00:00:00"/>
    <d v="2019-04-11T00:00:00"/>
    <d v="2019-04-24T00:00:00"/>
    <s v="Teleflex Medical s.r.o."/>
    <m/>
    <n v="717178.02"/>
    <n v="867785.40419999999"/>
    <m/>
    <m/>
    <m/>
    <d v="2019-04-24T00:00:00"/>
    <s v="SMLN-2019-617-000192"/>
    <x v="32"/>
    <d v="2019-05-09T00:00:00"/>
    <d v="2022-05-05T00:00:00"/>
  </r>
  <r>
    <m/>
    <m/>
    <d v="2019-04-01T00:00:00"/>
    <s v="VZ-2019-000328"/>
    <s v="ZT"/>
    <s v="Rosulek"/>
    <x v="145"/>
    <m/>
    <m/>
    <m/>
    <m/>
    <s v="2.2.126"/>
    <n v="459000"/>
    <x v="2"/>
    <d v="2019-04-05T00:00:00"/>
    <d v="2019-04-15T00:00:00"/>
    <d v="2019-05-14T00:00:00"/>
    <s v="Surgipa Medical spol. s r.o."/>
    <m/>
    <n v="447014.78"/>
    <n v="540887.92000000004"/>
    <m/>
    <m/>
    <m/>
    <d v="2019-05-14T00:00:00"/>
    <s v="SMLN-2019-617-000219_x000a_SMLN-2019-612-000054"/>
    <x v="77"/>
    <d v="2019-06-14T00:00:00"/>
    <d v="2019-07-24T00:00:00"/>
  </r>
  <r>
    <m/>
    <m/>
    <d v="2019-04-01T00:00:00"/>
    <s v="VZ-2019-000338"/>
    <s v="ZT"/>
    <s v="Rosulek"/>
    <x v="146"/>
    <m/>
    <m/>
    <m/>
    <m/>
    <s v="2.2.198"/>
    <n v="306000"/>
    <x v="2"/>
    <d v="2019-04-05T00:00:00"/>
    <d v="2019-04-12T00:00:00"/>
    <d v="2019-05-24T00:00:00"/>
    <s v="DEYMED Diagnostic s.r.o."/>
    <m/>
    <n v="304744"/>
    <n v="368740.24"/>
    <m/>
    <m/>
    <m/>
    <d v="2019-05-24T00:00:00"/>
    <s v="SMLN-2019-617-000236_x000a_SMLN-2019-612-000056"/>
    <x v="78"/>
    <d v="2019-06-27T00:00:00"/>
    <d v="2019-07-22T00:00:00"/>
  </r>
  <r>
    <m/>
    <m/>
    <d v="2019-04-02T00:00:00"/>
    <s v="VZ-2019-000342"/>
    <s v="LÉK"/>
    <s v="Ondráčková"/>
    <x v="147"/>
    <n v="1"/>
    <s v="Sodná sůl treprostinilu II"/>
    <s v="B01AC21"/>
    <s v="33621100-0"/>
    <m/>
    <n v="102581921"/>
    <x v="0"/>
    <d v="2019-05-02T00:00:00"/>
    <d v="2019-06-05T00:00:00"/>
    <m/>
    <s v="AOP orphan,Alliance Healthcare s.r.o."/>
    <s v="VZ-2019-000824 nová VZ - DůVOD zrušeno - bez nabídky ; OT ; DALŠÍ POSTUP opakování zrušené; 26.7. předáno OZVZ; ÚPRAVA OT uznat; pumpy nepožadovat ; PŘEDPOKLAD  ; POZN: VZ-2019-000824"/>
    <m/>
    <m/>
    <m/>
    <m/>
    <m/>
    <m/>
    <m/>
    <x v="0"/>
    <d v="2019-06-12T00:00:00"/>
    <s v="10.6. zrušeno"/>
  </r>
  <r>
    <m/>
    <m/>
    <d v="2019-04-02T00:00:00"/>
    <s v="VZ-2019-000343"/>
    <s v="LÉK"/>
    <s v="Ondráčková"/>
    <x v="148"/>
    <n v="1"/>
    <s v="Norepinefrin I"/>
    <s v="C01CA03"/>
    <s v="33622100-7"/>
    <m/>
    <n v="244342"/>
    <x v="0"/>
    <d v="2019-05-02T00:00:00"/>
    <d v="2019-06-20T00:00:00"/>
    <m/>
    <s v="zentiva"/>
    <s v="VZ-2019-000890 nová VZ, DůVOD zrušeno - námitky ; zrušeno - námitky ; DALŠÍ POSTUP opakování zrušené; 26.7. předáno OZVZ; ÚPRAVA bez úhrady; rozdělení na děti a dospělé ; PŘEDPOKLAD  ; POZN: "/>
    <m/>
    <m/>
    <m/>
    <m/>
    <m/>
    <m/>
    <m/>
    <x v="0"/>
    <d v="2019-08-01T00:00:00"/>
    <s v="9.7. zrušeno"/>
  </r>
  <r>
    <m/>
    <m/>
    <d v="2019-04-02T00:00:00"/>
    <s v="VZ-2019-000343"/>
    <s v="LÉK"/>
    <s v="Ondráčková"/>
    <x v="148"/>
    <n v="2"/>
    <s v="Norepinefrin II"/>
    <s v="C01CA03"/>
    <s v="33622100-7"/>
    <m/>
    <n v="2975177"/>
    <x v="0"/>
    <d v="2019-05-02T00:00:00"/>
    <d v="2019-06-20T00:00:00"/>
    <m/>
    <m/>
    <s v="VZ-2019-000890 nová VZ, DůVOD zrušeno - námitky ; ardez ; DALŠÍ POSTUP opakování zrušené; 26.7. předáno OZVZ; ÚPRAVA 1421160 ; PŘEDPOKLAD  ; POZN: "/>
    <m/>
    <m/>
    <m/>
    <m/>
    <m/>
    <m/>
    <m/>
    <x v="0"/>
    <d v="2019-08-01T00:00:00"/>
    <s v="9.7. zrušeno"/>
  </r>
  <r>
    <m/>
    <m/>
    <d v="2019-04-02T00:00:00"/>
    <s v="VZ-2019-000343"/>
    <s v="LÉK"/>
    <s v="Ondráčková"/>
    <x v="148"/>
    <n v="3"/>
    <s v="Norepinefrin III"/>
    <s v="C01CA03"/>
    <s v="33622100-7"/>
    <m/>
    <n v="780000"/>
    <x v="0"/>
    <d v="2019-05-02T00:00:00"/>
    <d v="2019-06-20T00:00:00"/>
    <m/>
    <m/>
    <s v="VZ-2019-000890 nová VZ, DůVOD zrušeno - námitky ; nové balení od září na trhu ; DALŠÍ POSTUP opakování zrušené; 26.7. předáno OZVZ; ÚPRAVA VZMR na rok ; PŘEDPOKLAD  ; POZN: "/>
    <m/>
    <m/>
    <m/>
    <m/>
    <m/>
    <m/>
    <m/>
    <x v="0"/>
    <d v="2019-08-01T00:00:00"/>
    <s v="9.7. zrušeno"/>
  </r>
  <r>
    <m/>
    <m/>
    <d v="2019-04-02T00:00:00"/>
    <s v="VZ-2019-000343"/>
    <s v="LÉK"/>
    <s v="Ondráčková"/>
    <x v="148"/>
    <n v="4"/>
    <s v="Pankreatin"/>
    <s v="A09AA02"/>
    <s v="24965000-6"/>
    <m/>
    <n v="3831744"/>
    <x v="0"/>
    <d v="2019-05-02T00:00:00"/>
    <d v="2019-06-20T00:00:00"/>
    <d v="2019-08-15T00:00:00"/>
    <s v="PHOENIX lék.velkoobchod, s.r.o."/>
    <m/>
    <n v="3767853.64"/>
    <n v="4144639.0040000007"/>
    <m/>
    <m/>
    <m/>
    <d v="2019-08-16T00:00:00"/>
    <s v="SMLN-2019-617-000349"/>
    <x v="79"/>
    <d v="2019-10-01T00:00:00"/>
    <d v="2021-09-22T00:00:00"/>
  </r>
  <r>
    <m/>
    <m/>
    <d v="2019-04-02T00:00:00"/>
    <s v="VZ-2019-000344"/>
    <s v="LÉK"/>
    <s v="Ondráčková"/>
    <x v="149"/>
    <n v="1"/>
    <s v="Nivolumab"/>
    <s v="L01XC17"/>
    <s v="33652100-6"/>
    <m/>
    <n v="67519837"/>
    <x v="0"/>
    <d v="2019-05-02T00:00:00"/>
    <d v="2019-07-02T00:00:00"/>
    <d v="2019-08-07T00:00:00"/>
    <s v="Bristol-Meyers Squibb spol. s r.o."/>
    <m/>
    <n v="122114868.40000001"/>
    <n v="134326355.24000001"/>
    <m/>
    <m/>
    <m/>
    <d v="2019-08-07T00:00:00"/>
    <s v="SMLN-2019-617-000338"/>
    <x v="80"/>
    <d v="2019-09-13T00:00:00"/>
    <d v="2021-09-09T00:00:00"/>
  </r>
  <r>
    <m/>
    <m/>
    <d v="2019-03-29T00:00:00"/>
    <s v="VZ-2019-000345"/>
    <s v="INF"/>
    <s v="Miklík"/>
    <x v="150"/>
    <m/>
    <m/>
    <m/>
    <s v="72000000-5"/>
    <m/>
    <n v="800000"/>
    <x v="2"/>
    <d v="2019-04-08T00:00:00"/>
    <d v="2019-04-22T00:00:00"/>
    <d v="2019-04-29T00:00:00"/>
    <s v="ALEF NULA a.s."/>
    <m/>
    <n v="830000"/>
    <n v="1004300"/>
    <m/>
    <m/>
    <m/>
    <d v="2019-04-30T00:00:00"/>
    <s v="SMLN-2019-618-000033"/>
    <x v="81"/>
    <d v="2019-05-23T00:00:00"/>
    <d v="2021-10-31T00:00:00"/>
  </r>
  <r>
    <m/>
    <m/>
    <d v="2019-04-04T00:00:00"/>
    <s v="VZ-2019-000355"/>
    <s v="ZM"/>
    <s v="Dočkalová"/>
    <x v="151"/>
    <n v="1"/>
    <s v="Systémy pro uzavírání vstupů po perkutánnách cévních výkonech I."/>
    <m/>
    <s v="33140000-3"/>
    <m/>
    <n v="1505000"/>
    <x v="0"/>
    <d v="2019-04-16T00:00:00"/>
    <d v="2019-06-03T00:00:00"/>
    <m/>
    <s v="zrušeno - bez nabídky"/>
    <m/>
    <m/>
    <m/>
    <m/>
    <m/>
    <m/>
    <m/>
    <m/>
    <x v="0"/>
    <d v="2019-09-27T00:00:00"/>
    <s v="2.9. zrušeno"/>
  </r>
  <r>
    <m/>
    <m/>
    <d v="2019-04-04T00:00:00"/>
    <s v="VZ-2019-000355"/>
    <s v="ZM"/>
    <s v="Dočkalová"/>
    <x v="151"/>
    <n v="2"/>
    <s v="Systémy pro uzavírání vstupů po perkutánnách cévních výkonech II."/>
    <m/>
    <s v="33140000-3"/>
    <m/>
    <n v="3461500"/>
    <x v="0"/>
    <d v="2019-04-16T00:00:00"/>
    <d v="2019-06-03T00:00:00"/>
    <d v="2019-09-24T00:00:00"/>
    <s v="MEDITRADE spol. s r.o."/>
    <m/>
    <n v="3461500"/>
    <n v="3980725"/>
    <m/>
    <m/>
    <m/>
    <d v="2019-09-25T00:00:00"/>
    <s v="SMLN-2019-617-000458_x000a_SMLN-2019-614-000098"/>
    <x v="82"/>
    <d v="2019-10-17T00:00:00"/>
    <d v="2021-10-13T00:00:00"/>
  </r>
  <r>
    <m/>
    <m/>
    <d v="2019-04-04T00:00:00"/>
    <s v="VZ-2019-000356"/>
    <s v="ZM"/>
    <s v="Dočkalová"/>
    <x v="152"/>
    <m/>
    <m/>
    <m/>
    <s v="33140000-3"/>
    <m/>
    <n v="14033750"/>
    <x v="0"/>
    <d v="2019-04-16T00:00:00"/>
    <d v="2019-05-22T00:00:00"/>
    <m/>
    <s v="zrušeno - bez nabídky"/>
    <m/>
    <m/>
    <m/>
    <m/>
    <m/>
    <m/>
    <m/>
    <m/>
    <x v="0"/>
    <d v="2019-05-29T00:00:00"/>
    <m/>
  </r>
  <r>
    <m/>
    <m/>
    <d v="2019-04-02T00:00:00"/>
    <s v="VZ-2019-000357"/>
    <s v="OSB "/>
    <s v="Vaida"/>
    <x v="153"/>
    <m/>
    <m/>
    <m/>
    <s v="31710000-6"/>
    <s v="4.2.122."/>
    <n v="830000"/>
    <x v="2"/>
    <d v="2019-05-17T00:00:00"/>
    <d v="2019-06-03T00:00:00"/>
    <d v="2019-06-18T00:00:00"/>
    <s v="Kadlec - elektronika, s.r.o."/>
    <s v="vytvoření koncepce pořizování vyvolávacích systémů"/>
    <n v="1033225"/>
    <n v="1250202.25"/>
    <m/>
    <m/>
    <m/>
    <d v="2019-06-19T00:00:00"/>
    <s v="SMLN-2019-617-000290_x000a_SMLN-2019-618-000045"/>
    <x v="0"/>
    <d v="2019-06-26T00:00:00"/>
    <m/>
  </r>
  <r>
    <m/>
    <m/>
    <d v="2019-04-05T00:00:00"/>
    <s v="VZ2019-000362"/>
    <s v="ZT"/>
    <s v="Rosulek"/>
    <x v="154"/>
    <n v="1"/>
    <s v="Centrifuga pro Ústav mikrobiologie"/>
    <m/>
    <s v="42931100-2"/>
    <s v="2.3.373."/>
    <n v="198500"/>
    <x v="2"/>
    <d v="2019-04-10T00:00:00"/>
    <d v="2019-04-18T00:00:00"/>
    <d v="2019-04-29T00:00:00"/>
    <s v="TRIGON PLUS s.r.o."/>
    <m/>
    <n v="209240"/>
    <n v="253180.4"/>
    <m/>
    <m/>
    <m/>
    <d v="2019-04-29T00:00:00"/>
    <s v="SMLN-2019-617-000204_x000a_SMLN-2019-612-000044"/>
    <x v="83"/>
    <d v="2019-05-31T00:00:00"/>
    <d v="2019-07-22T00:00:00"/>
  </r>
  <r>
    <m/>
    <m/>
    <d v="2019-04-05T00:00:00"/>
    <s v="VZ2019-000362"/>
    <s v="ZT"/>
    <s v="Rosulek"/>
    <x v="154"/>
    <n v="2"/>
    <s v="Centrifuga pro Ústav imunologie"/>
    <m/>
    <s v="42931100-2"/>
    <s v="2.3.314."/>
    <n v="165500"/>
    <x v="2"/>
    <d v="2019-04-10T00:00:00"/>
    <d v="2019-04-18T00:00:00"/>
    <d v="2019-04-29T00:00:00"/>
    <s v="Schoeller Instruments s.r.o."/>
    <m/>
    <n v="148228"/>
    <n v="179355.88"/>
    <m/>
    <m/>
    <m/>
    <d v="2019-04-29T00:00:00"/>
    <s v="SMLN-2019-617-000205_x000a_SMLN-2019-612-000045"/>
    <x v="83"/>
    <d v="2019-05-31T00:00:00"/>
    <d v="2019-07-22T00:00:00"/>
  </r>
  <r>
    <m/>
    <m/>
    <d v="2019-04-05T00:00:00"/>
    <s v="VZ2019-000362"/>
    <s v="ZT"/>
    <s v="Rosulek"/>
    <x v="154"/>
    <n v="3"/>
    <s v="Centrifuga pro Neurologickou kliniku"/>
    <m/>
    <s v="42931100-2"/>
    <s v="2.3.366."/>
    <n v="182281"/>
    <x v="2"/>
    <d v="2019-04-10T00:00:00"/>
    <d v="2019-04-18T00:00:00"/>
    <d v="2019-04-29T00:00:00"/>
    <s v="Schoeller Instruments s.r.o."/>
    <m/>
    <n v="171578"/>
    <n v="207609.38"/>
    <m/>
    <m/>
    <m/>
    <d v="2019-04-29T00:00:00"/>
    <s v="SMLN-2019-617-000206_x000a_SMLN-2019-612-000046"/>
    <x v="83"/>
    <d v="2019-05-31T00:00:00"/>
    <d v="2019-07-22T00:00:00"/>
  </r>
  <r>
    <m/>
    <m/>
    <d v="2019-04-04T00:00:00"/>
    <s v="VZ-2019-000369"/>
    <s v="ENERG"/>
    <s v="Srovnal"/>
    <x v="155"/>
    <m/>
    <m/>
    <m/>
    <s v="42513290-4"/>
    <s v="4.2.119."/>
    <n v="4130000"/>
    <x v="0"/>
    <d v="2019-04-17T00:00:00"/>
    <d v="2019-05-23T00:00:00"/>
    <m/>
    <s v="zrušeno"/>
    <s v="nová VZ-2019-000573"/>
    <m/>
    <m/>
    <m/>
    <m/>
    <m/>
    <m/>
    <m/>
    <x v="0"/>
    <d v="2019-05-24T00:00:00"/>
    <m/>
  </r>
  <r>
    <m/>
    <m/>
    <d v="2019-04-04T00:00:00"/>
    <s v="VZ-2019-000371"/>
    <s v="ZM"/>
    <s v="Dočkalová"/>
    <x v="156"/>
    <n v="1"/>
    <s v="Embolizační spirály odpoutatelné neurointervenční I."/>
    <m/>
    <s v="33140000-3"/>
    <m/>
    <n v="3746670"/>
    <x v="0"/>
    <d v="2019-04-16T00:00:00"/>
    <d v="2019-05-20T00:00:00"/>
    <m/>
    <s v="zrušeno - bez nabídky"/>
    <s v="nová VZ-2019-000952"/>
    <m/>
    <m/>
    <m/>
    <m/>
    <m/>
    <m/>
    <m/>
    <x v="0"/>
    <d v="2019-06-25T00:00:00"/>
    <s v="3.6.2019 zrušeno"/>
  </r>
  <r>
    <m/>
    <m/>
    <d v="2019-04-04T00:00:00"/>
    <s v="VZ-2019-000371"/>
    <s v="ZM"/>
    <s v="Dočkalová"/>
    <x v="156"/>
    <n v="2"/>
    <s v="Embolizační spirály odpoutatelné neurointervenční II."/>
    <m/>
    <s v="33140000-3"/>
    <m/>
    <n v="26970"/>
    <x v="0"/>
    <d v="2019-04-16T00:00:00"/>
    <d v="2019-05-20T00:00:00"/>
    <m/>
    <s v="zrušeno - úpravit zadání"/>
    <s v="nová VZ-2019-000952"/>
    <m/>
    <m/>
    <m/>
    <m/>
    <m/>
    <m/>
    <m/>
    <x v="0"/>
    <d v="2019-06-25T00:00:00"/>
    <s v="3.6.2019 zrušeno"/>
  </r>
  <r>
    <m/>
    <m/>
    <d v="2019-04-04T00:00:00"/>
    <s v="VZ-2019-000371"/>
    <s v="ZM"/>
    <s v="Dočkalová"/>
    <x v="156"/>
    <n v="3"/>
    <s v="Embolizační spirály odpoutatelné neurointervenční III."/>
    <m/>
    <s v="33140000-3"/>
    <m/>
    <n v="24120"/>
    <x v="0"/>
    <d v="2019-04-16T00:00:00"/>
    <d v="2019-05-20T00:00:00"/>
    <m/>
    <s v="zrušeno - úpravit zadání"/>
    <s v="nová VZ-2019-000952"/>
    <m/>
    <m/>
    <m/>
    <m/>
    <m/>
    <m/>
    <m/>
    <x v="0"/>
    <d v="2019-06-25T00:00:00"/>
    <s v="3.6.2019 zrušeno"/>
  </r>
  <r>
    <m/>
    <m/>
    <d v="2019-04-04T00:00:00"/>
    <s v="VZ-2019-000371"/>
    <s v="ZM"/>
    <s v="Dočkalová"/>
    <x v="156"/>
    <n v="4"/>
    <s v="Embolizační spirály vaskulární periferní"/>
    <m/>
    <s v="33140000-3"/>
    <m/>
    <n v="1081200"/>
    <x v="0"/>
    <d v="2019-04-16T00:00:00"/>
    <d v="2019-05-20T00:00:00"/>
    <d v="2019-06-11T00:00:00"/>
    <s v="ARID obchodní společnost s.r.o."/>
    <m/>
    <n v="1081200"/>
    <n v="1243380"/>
    <m/>
    <m/>
    <m/>
    <d v="2019-06-13T00:00:00"/>
    <s v="SMLN-2019-617-000278_x000a_SMLN-2019-614-000048"/>
    <x v="69"/>
    <d v="2019-09-02T00:00:00"/>
    <d v="2021-08-27T00:00:00"/>
  </r>
  <r>
    <m/>
    <m/>
    <d v="2019-04-04T00:00:00"/>
    <s v="VZ-2019-000372"/>
    <s v="ZM"/>
    <s v="Dočkalová"/>
    <x v="157"/>
    <m/>
    <m/>
    <m/>
    <s v="33140000-3"/>
    <m/>
    <n v="1750000"/>
    <x v="2"/>
    <d v="2019-04-12T00:00:00"/>
    <d v="2019-04-25T00:00:00"/>
    <m/>
    <s v="zrušeno - nesplnění podmínek"/>
    <s v="nová VZ-2019-000501"/>
    <m/>
    <m/>
    <m/>
    <m/>
    <m/>
    <m/>
    <m/>
    <x v="0"/>
    <d v="2019-05-03T00:00:00"/>
    <m/>
  </r>
  <r>
    <m/>
    <m/>
    <d v="2019-04-09T00:00:00"/>
    <s v="VZ-2019-000381"/>
    <s v="LÉK"/>
    <s v="Ondráčková"/>
    <x v="158"/>
    <n v="1"/>
    <s v="Flukonazol"/>
    <s v="J02AC01"/>
    <s v="33651200-0"/>
    <m/>
    <n v="552312"/>
    <x v="0"/>
    <d v="2019-05-03T00:00:00"/>
    <d v="2019-06-17T00:00:00"/>
    <d v="2019-07-16T00:00:00"/>
    <s v="Fresenius Kabi s.r.o."/>
    <m/>
    <n v="548680"/>
    <n v="603548"/>
    <m/>
    <m/>
    <m/>
    <d v="2019-07-16T00:00:00"/>
    <s v="SMLN-2019-617-000318"/>
    <x v="73"/>
    <d v="2019-09-05T00:00:00"/>
    <d v="2019-09-03T00:00:00"/>
  </r>
  <r>
    <m/>
    <m/>
    <d v="2019-04-09T00:00:00"/>
    <s v="VZ-2019-000381"/>
    <s v="LÉK"/>
    <s v="Ondráčková"/>
    <x v="158"/>
    <n v="2"/>
    <s v="Vorikonazol"/>
    <s v="J02AC03"/>
    <s v="33651200-0"/>
    <m/>
    <n v="1631658"/>
    <x v="0"/>
    <d v="2019-05-03T00:00:00"/>
    <d v="2019-06-17T00:00:00"/>
    <d v="2019-07-16T00:00:00"/>
    <s v="PHOENIX lék.velkoobchod, s.r.o."/>
    <m/>
    <n v="1335012.8999999999"/>
    <n v="1468514.19"/>
    <m/>
    <m/>
    <m/>
    <d v="2019-07-16T00:00:00"/>
    <s v="SMLN-2019-617-000319"/>
    <x v="73"/>
    <d v="2019-09-05T00:00:00"/>
    <d v="2021-09-03T00:00:00"/>
  </r>
  <r>
    <m/>
    <m/>
    <d v="2019-04-09T00:00:00"/>
    <s v="VZ-2019-000381"/>
    <s v="LÉK"/>
    <s v="Ondráčková"/>
    <x v="158"/>
    <n v="3"/>
    <s v="Posakonazol"/>
    <s v="J02AC04"/>
    <s v="33651200-0"/>
    <m/>
    <n v="7487086"/>
    <x v="0"/>
    <d v="2019-05-03T00:00:00"/>
    <d v="2019-06-17T00:00:00"/>
    <d v="2019-10-11T00:00:00"/>
    <s v="MSD s.r.o."/>
    <m/>
    <n v="7487084.4800000004"/>
    <n v="8235792.9280000012"/>
    <m/>
    <m/>
    <m/>
    <d v="2019-10-11T00:00:00"/>
    <s v="SMLN-2019-617-000494"/>
    <x v="84"/>
    <d v="2019-12-05T00:00:00"/>
    <d v="2021-11-29T00:00:00"/>
  </r>
  <r>
    <m/>
    <m/>
    <d v="2019-04-09T00:00:00"/>
    <s v="VZ-2019-000382"/>
    <s v="LÉK"/>
    <s v="Ondráčková"/>
    <x v="159"/>
    <n v="1"/>
    <s v="Tigecyklin"/>
    <s v="J01AA12"/>
    <s v="33651100-9"/>
    <m/>
    <n v="3344757"/>
    <x v="0"/>
    <d v="2019-05-03T00:00:00"/>
    <d v="2019-07-11T00:00:00"/>
    <d v="2019-09-10T00:00:00"/>
    <s v="PHOENIX lék.velkoobchod, s.r.o."/>
    <m/>
    <n v="2437091.4"/>
    <n v="2680800.54"/>
    <m/>
    <m/>
    <m/>
    <d v="2019-09-10T00:00:00"/>
    <s v="SMLN-2019-617-000406"/>
    <x v="85"/>
    <d v="2019-10-14T00:00:00"/>
    <d v="2021-10-06T00:00:00"/>
  </r>
  <r>
    <m/>
    <m/>
    <d v="2019-04-09T00:00:00"/>
    <s v="VZ-2019-000382"/>
    <s v="LÉK"/>
    <s v="Ondráčková"/>
    <x v="159"/>
    <n v="2"/>
    <s v="Ampicilin a enzymový inhibitor"/>
    <s v="J01CR01"/>
    <s v="33651100-9"/>
    <m/>
    <n v="589950"/>
    <x v="0"/>
    <d v="2019-05-03T00:00:00"/>
    <d v="2019-07-11T00:00:00"/>
    <m/>
    <s v="pfizer,avel"/>
    <s v="DůVOD zrušeno - bez nabídky ; zrušeno - bez nabídky ; DALŠÍ POSTUP opakovat; ÚPRAVA ?sankce ; PŘEDPOKLAD 1.Q_20 ; POZN: výpadky"/>
    <m/>
    <m/>
    <m/>
    <m/>
    <m/>
    <m/>
    <m/>
    <x v="0"/>
    <d v="2019-08-19T00:00:00"/>
    <s v="6.8.2019 zrušeno"/>
  </r>
  <r>
    <m/>
    <m/>
    <d v="2019-04-09T00:00:00"/>
    <s v="VZ-2019-000382"/>
    <s v="LÉK"/>
    <s v="Ondráčková"/>
    <x v="159"/>
    <n v="3"/>
    <s v="Amoxicilin a enzymový inhibitor"/>
    <s v="J01CR02"/>
    <s v="33651100-9"/>
    <m/>
    <n v="5323609"/>
    <x v="0"/>
    <d v="2019-05-03T00:00:00"/>
    <d v="2019-07-11T00:00:00"/>
    <d v="2019-09-10T00:00:00"/>
    <s v="Alliance Healthcare s.r.o."/>
    <m/>
    <n v="5236623.3"/>
    <n v="5760285.6299999999"/>
    <m/>
    <m/>
    <m/>
    <d v="2019-09-10T00:00:00"/>
    <s v="SMLN-2019-617-000407"/>
    <x v="85"/>
    <d v="2019-10-14T00:00:00"/>
    <d v="2021-10-06T00:00:00"/>
  </r>
  <r>
    <m/>
    <m/>
    <d v="2019-04-09T00:00:00"/>
    <s v="VZ-2019-000382"/>
    <s v="LÉK"/>
    <s v="Ondráčková"/>
    <x v="159"/>
    <n v="4"/>
    <s v="Piperacilin a enzymový inhibitor"/>
    <s v="J01CR05"/>
    <s v="33651100-9"/>
    <m/>
    <n v="2695405"/>
    <x v="0"/>
    <d v="2019-05-03T00:00:00"/>
    <d v="2019-07-11T00:00:00"/>
    <m/>
    <s v="kabi a mylan"/>
    <s v="DůVOD zrušeno - bez nabídky ; zrušeno - bez nabídky ; DALŠÍ POSTUP opakovat; ÚPRAVA ?sankce ; PŘEDPOKLAD 1.Q_20 ; POZN: výpadky"/>
    <m/>
    <m/>
    <m/>
    <m/>
    <m/>
    <m/>
    <m/>
    <x v="0"/>
    <d v="2019-08-19T00:00:00"/>
    <s v="6.8.2019 zrušeno"/>
  </r>
  <r>
    <m/>
    <m/>
    <d v="2019-04-09T00:00:00"/>
    <s v="VZ-2019-000382"/>
    <s v="LÉK"/>
    <s v="Ondráčková"/>
    <x v="159"/>
    <n v="5"/>
    <s v="Cefazolin"/>
    <s v="J01DB04"/>
    <s v="33651100-9"/>
    <m/>
    <n v="407146"/>
    <x v="0"/>
    <d v="2019-05-03T00:00:00"/>
    <d v="2019-07-11T00:00:00"/>
    <d v="2019-09-10T00:00:00"/>
    <s v="PHOENIX lék.velkoobchod, s.r.o."/>
    <m/>
    <n v="395329.6"/>
    <n v="434862.56"/>
    <m/>
    <m/>
    <m/>
    <d v="2019-09-10T00:00:00"/>
    <s v="SMLN-2019-617-000408"/>
    <x v="85"/>
    <d v="2019-10-14T00:00:00"/>
    <d v="2021-10-06T00:00:00"/>
  </r>
  <r>
    <m/>
    <m/>
    <d v="2019-04-09T00:00:00"/>
    <s v="VZ-2019-000382"/>
    <s v="LÉK"/>
    <s v="Ondráčková"/>
    <x v="159"/>
    <n v="6"/>
    <s v="Cefuroxim "/>
    <s v="J01DC02"/>
    <s v="33651100-9"/>
    <m/>
    <n v="269261"/>
    <x v="0"/>
    <d v="2019-05-03T00:00:00"/>
    <d v="2019-07-11T00:00:00"/>
    <d v="2019-09-10T00:00:00"/>
    <s v="PHOENIX lék.velkoobchod, s.r.o."/>
    <m/>
    <n v="264811"/>
    <n v="291292.09999999998"/>
    <m/>
    <m/>
    <m/>
    <d v="2019-09-10T00:00:00"/>
    <s v="SMLN-2019-617-000409"/>
    <x v="85"/>
    <d v="2019-10-14T00:00:00"/>
    <d v="2021-10-06T00:00:00"/>
  </r>
  <r>
    <m/>
    <m/>
    <d v="2019-04-09T00:00:00"/>
    <s v="VZ-2019-000382"/>
    <s v="LÉK"/>
    <s v="Ondráčková"/>
    <x v="159"/>
    <n v="7"/>
    <s v="Cefotaxim"/>
    <s v="J01DD01"/>
    <s v="33651100-9"/>
    <m/>
    <n v="417084"/>
    <x v="0"/>
    <d v="2019-05-03T00:00:00"/>
    <d v="2019-07-11T00:00:00"/>
    <d v="2019-09-10T00:00:00"/>
    <s v="PHOENIX lék.velkoobchod, s.r.o."/>
    <m/>
    <n v="298459.02"/>
    <n v="328304.92"/>
    <m/>
    <m/>
    <m/>
    <d v="2019-09-10T00:00:00"/>
    <s v="SMLN-2019-617-000410"/>
    <x v="85"/>
    <d v="2019-10-14T00:00:00"/>
    <d v="2021-10-06T00:00:00"/>
  </r>
  <r>
    <m/>
    <m/>
    <d v="2019-04-09T00:00:00"/>
    <s v="VZ-2019-000382"/>
    <s v="LÉK"/>
    <s v="Ondráčková"/>
    <x v="159"/>
    <n v="8"/>
    <s v="Ceftazidim"/>
    <s v="J01DD02"/>
    <s v="33651100-9"/>
    <m/>
    <n v="388880"/>
    <x v="0"/>
    <d v="2019-05-03T00:00:00"/>
    <d v="2019-07-11T00:00:00"/>
    <m/>
    <s v="fresenius"/>
    <s v="DůVOD zrušeno - bez nabídky ; zrušeno - bez nabídky ; DALŠÍ POSTUP opakovat; ÚPRAVA ?sankce ; PŘEDPOKLAD 1.Q_20 ; POZN: výpadky"/>
    <m/>
    <m/>
    <m/>
    <m/>
    <m/>
    <m/>
    <m/>
    <x v="0"/>
    <d v="2019-08-19T00:00:00"/>
    <s v="6.8.2019 zrušeno"/>
  </r>
  <r>
    <m/>
    <m/>
    <d v="2019-04-09T00:00:00"/>
    <s v="VZ-2019-000382"/>
    <s v="LÉK"/>
    <s v="Ondráčková"/>
    <x v="159"/>
    <n v="9"/>
    <s v="Ceftriaxon"/>
    <s v="J01DD04"/>
    <s v="33651100-9"/>
    <m/>
    <n v="105326"/>
    <x v="0"/>
    <d v="2019-05-03T00:00:00"/>
    <d v="2019-07-11T00:00:00"/>
    <d v="2019-09-10T00:00:00"/>
    <s v="PHOENIX lék.velkoobchod, s.r.o."/>
    <m/>
    <n v="81699.600000000006"/>
    <n v="89869.56"/>
    <m/>
    <m/>
    <m/>
    <d v="2019-09-10T00:00:00"/>
    <s v="SMLN-2019-617-000411"/>
    <x v="85"/>
    <d v="2019-10-14T00:00:00"/>
    <d v="2021-10-06T00:00:00"/>
  </r>
  <r>
    <m/>
    <m/>
    <d v="2019-04-09T00:00:00"/>
    <s v="VZ-2019-000383"/>
    <s v="LÉK"/>
    <s v="Ondráčková"/>
    <x v="160"/>
    <n v="1"/>
    <s v="Meropenem"/>
    <s v="J01DH02"/>
    <s v="33651100-9"/>
    <m/>
    <n v="4306250"/>
    <x v="0"/>
    <d v="2019-05-03T00:00:00"/>
    <d v="2019-07-02T00:00:00"/>
    <d v="2019-08-22T00:00:00"/>
    <s v="Pharmos, a.s."/>
    <m/>
    <n v="3874189.2"/>
    <n v="4261608.12"/>
    <m/>
    <m/>
    <m/>
    <d v="2019-08-26T00:00:00"/>
    <s v="SMLN-2019-617-000371"/>
    <x v="82"/>
    <d v="2019-10-21T00:00:00"/>
    <d v="2021-10-13T00:00:00"/>
  </r>
  <r>
    <m/>
    <m/>
    <d v="2019-04-09T00:00:00"/>
    <s v="VZ-2019-000383"/>
    <s v="LÉK"/>
    <s v="Ondráčková"/>
    <x v="160"/>
    <n v="2"/>
    <s v="Imipenem acilastatin"/>
    <s v="J01DH51"/>
    <s v="33651100-9"/>
    <m/>
    <n v="726125"/>
    <x v="0"/>
    <d v="2019-05-03T00:00:00"/>
    <d v="2019-07-02T00:00:00"/>
    <d v="2019-08-22T00:00:00"/>
    <s v="Fresenius Kabi s.r.o."/>
    <m/>
    <n v="715200"/>
    <n v="786720.00000000012"/>
    <m/>
    <m/>
    <m/>
    <d v="2019-08-26T00:00:00"/>
    <s v="SMLN-2019-617-000372"/>
    <x v="82"/>
    <d v="2019-10-21T00:00:00"/>
    <d v="2021-10-13T00:00:00"/>
  </r>
  <r>
    <m/>
    <m/>
    <d v="2019-04-09T00:00:00"/>
    <s v="VZ-2019-000383"/>
    <s v="LÉK"/>
    <s v="Ondráčková"/>
    <x v="160"/>
    <n v="3"/>
    <s v="Klindamycin  fosfát"/>
    <s v="J01FF01"/>
    <s v="33651100-9"/>
    <m/>
    <n v="568258"/>
    <x v="0"/>
    <d v="2019-05-03T00:00:00"/>
    <d v="2019-07-02T00:00:00"/>
    <d v="2019-08-22T00:00:00"/>
    <s v="Fresenius Kabi s.r.o."/>
    <m/>
    <n v="567724"/>
    <n v="624496.4"/>
    <m/>
    <m/>
    <m/>
    <d v="2019-08-26T00:00:00"/>
    <s v="SMLN-2019-617-000373"/>
    <x v="82"/>
    <d v="2019-10-21T00:00:00"/>
    <d v="2021-10-13T00:00:00"/>
  </r>
  <r>
    <m/>
    <m/>
    <d v="2019-04-09T00:00:00"/>
    <s v="VZ-2019-000383"/>
    <s v="LÉK"/>
    <s v="Ondráčková"/>
    <x v="160"/>
    <n v="4"/>
    <s v="Amikacin"/>
    <s v="J01GB06"/>
    <s v="33651100-9"/>
    <m/>
    <n v="134930"/>
    <x v="0"/>
    <d v="2019-05-03T00:00:00"/>
    <d v="2019-07-02T00:00:00"/>
    <m/>
    <s v="MEDOPHARM a Bbraun"/>
    <s v="DůVOD zrušeno - bez nabídky ; zrušeno - bez nabídky ; DALŠÍ POSTUP opakovat; ÚPRAVA ?sankce ; PŘEDPOKLAD 1.Q_20 ; POZN: výpadky"/>
    <m/>
    <m/>
    <m/>
    <m/>
    <m/>
    <m/>
    <m/>
    <x v="0"/>
    <d v="2019-09-06T00:00:00"/>
    <s v="15.8. zrušeno"/>
  </r>
  <r>
    <m/>
    <m/>
    <d v="2019-04-09T00:00:00"/>
    <s v="VZ-2019-000383"/>
    <s v="LÉK"/>
    <s v="Ondráčková"/>
    <x v="160"/>
    <n v="5"/>
    <s v="Amikacin"/>
    <s v="J01GB06"/>
    <s v="33651100-9"/>
    <m/>
    <n v="677891"/>
    <x v="0"/>
    <d v="2019-05-03T00:00:00"/>
    <d v="2019-07-02T00:00:00"/>
    <d v="2019-08-22T00:00:00"/>
    <s v="PHOENIX lék.velkoobchod, s.r.o."/>
    <m/>
    <n v="657227.19999999995"/>
    <n v="722949.92"/>
    <m/>
    <m/>
    <m/>
    <d v="2019-08-26T00:00:00"/>
    <s v="SMLN-2019-617-000374"/>
    <x v="82"/>
    <d v="2019-10-21T00:00:00"/>
    <d v="2021-10-13T00:00:00"/>
  </r>
  <r>
    <m/>
    <m/>
    <d v="2019-04-09T00:00:00"/>
    <s v="VZ-2019-000383"/>
    <s v="LÉK"/>
    <s v="Ondráčková"/>
    <x v="160"/>
    <n v="6"/>
    <s v="Ciprofloxacin"/>
    <s v="J01MA02"/>
    <s v="33651100-9"/>
    <m/>
    <n v="461853"/>
    <x v="0"/>
    <d v="2019-05-03T00:00:00"/>
    <d v="2019-07-02T00:00:00"/>
    <m/>
    <s v="fresenius"/>
    <s v="DůVOD zrušeno - překročení ceny ; zrušeno - překročení ceny ; DALŠÍ POSTUP opakovat; ÚPRAVA ?sankce ; PŘEDPOKLAD 1.Q_20 ; POZN: výpadky"/>
    <m/>
    <m/>
    <m/>
    <m/>
    <m/>
    <m/>
    <m/>
    <x v="0"/>
    <d v="2019-09-06T00:00:00"/>
    <s v="15.8. zrušeno"/>
  </r>
  <r>
    <m/>
    <m/>
    <d v="2019-04-09T00:00:00"/>
    <s v="VZ-2019-000383"/>
    <s v="LÉK"/>
    <s v="Ondráčková"/>
    <x v="160"/>
    <n v="7"/>
    <s v="Moxifloxacin"/>
    <s v="J01MA14"/>
    <s v="33651100-9"/>
    <m/>
    <n v="381640"/>
    <x v="0"/>
    <d v="2019-05-03T00:00:00"/>
    <d v="2019-07-02T00:00:00"/>
    <d v="2019-08-22T00:00:00"/>
    <s v="Pharmos, a.s."/>
    <m/>
    <n v="229138.28"/>
    <n v="252052.10800000001"/>
    <m/>
    <m/>
    <m/>
    <d v="2019-08-26T00:00:00"/>
    <s v="SMLN-2019-617-000375"/>
    <x v="82"/>
    <d v="2019-10-21T00:00:00"/>
    <d v="2021-10-13T00:00:00"/>
  </r>
  <r>
    <m/>
    <m/>
    <d v="2019-04-09T00:00:00"/>
    <s v="VZ-2019-000383"/>
    <s v="LÉK"/>
    <s v="Ondráčková"/>
    <x v="160"/>
    <n v="8"/>
    <s v="Vankomycin"/>
    <s v="J01XA01"/>
    <s v="33651100-9"/>
    <m/>
    <n v="447223"/>
    <x v="0"/>
    <d v="2019-05-03T00:00:00"/>
    <d v="2019-07-02T00:00:00"/>
    <d v="2019-08-22T00:00:00"/>
    <s v="PHOENIX lék.velkoobchod, s.r.o."/>
    <m/>
    <n v="447222.64"/>
    <n v="491944.90400000004"/>
    <m/>
    <m/>
    <m/>
    <d v="2019-08-26T00:00:00"/>
    <s v="SMLN-2019-617-000376"/>
    <x v="82"/>
    <d v="2019-10-21T00:00:00"/>
    <d v="2021-10-13T00:00:00"/>
  </r>
  <r>
    <m/>
    <m/>
    <d v="2019-04-09T00:00:00"/>
    <s v="VZ-2019-000383"/>
    <s v="LÉK"/>
    <s v="Ondráčková"/>
    <x v="160"/>
    <n v="9"/>
    <s v="Metronidazol"/>
    <s v="J01XD01"/>
    <s v="33651100-9"/>
    <m/>
    <n v="656810"/>
    <x v="0"/>
    <d v="2019-05-03T00:00:00"/>
    <d v="2019-07-02T00:00:00"/>
    <d v="2019-08-22T00:00:00"/>
    <s v="Pharmos, a.s."/>
    <m/>
    <n v="652999.72"/>
    <n v="718299.69200000004"/>
    <m/>
    <m/>
    <m/>
    <d v="2019-08-26T00:00:00"/>
    <s v="SMLN-2019-617-000377"/>
    <x v="82"/>
    <d v="2019-10-21T00:00:00"/>
    <d v="2021-10-13T00:00:00"/>
  </r>
  <r>
    <m/>
    <m/>
    <d v="2019-04-09T00:00:00"/>
    <s v="VZ-2019-000384"/>
    <s v="LÉK"/>
    <s v="Ondráčková"/>
    <x v="161"/>
    <n v="1"/>
    <s v="Tobramycin"/>
    <s v="J01GB01"/>
    <s v="33651100-9"/>
    <m/>
    <n v="2023668"/>
    <x v="0"/>
    <d v="2019-05-06T00:00:00"/>
    <d v="2019-07-12T00:00:00"/>
    <m/>
    <s v="novartis-AH,Phoenix, Chiesi CZ s.r.o."/>
    <s v="DůVOD zrušeno - bez nabídky ; zrušeno - bez nabídky ; DALŠÍ POSTUP opakovat; ÚPRAVA ?sankce ; PŘEDPOKLAD 1.Q_20 ; POZN: cystická fibr"/>
    <m/>
    <m/>
    <m/>
    <m/>
    <m/>
    <m/>
    <m/>
    <x v="0"/>
    <d v="2019-09-18T00:00:00"/>
    <s v="27.8. zrušeno"/>
  </r>
  <r>
    <m/>
    <m/>
    <d v="2019-04-09T00:00:00"/>
    <s v="VZ-2019-000384"/>
    <s v="LÉK"/>
    <s v="Ondráčková"/>
    <x v="161"/>
    <n v="2"/>
    <s v="Gentamicin  I."/>
    <s v="J01GB03"/>
    <s v="33651100-9"/>
    <m/>
    <n v="566785"/>
    <x v="0"/>
    <d v="2019-05-06T00:00:00"/>
    <d v="2019-07-12T00:00:00"/>
    <d v="2019-11-12T00:00:00"/>
    <s v="Alliance Healthcare s.r.o."/>
    <m/>
    <n v="565770.1"/>
    <n v="622347.11"/>
    <m/>
    <m/>
    <m/>
    <d v="2019-11-12T00:00:00"/>
    <s v="SMLN-2019-617-000562"/>
    <x v="0"/>
    <m/>
    <m/>
  </r>
  <r>
    <m/>
    <m/>
    <d v="2019-04-09T00:00:00"/>
    <s v="VZ-2019-000384"/>
    <s v="LÉK"/>
    <s v="Ondráčková"/>
    <x v="161"/>
    <n v="3"/>
    <s v="Gentamicin  II."/>
    <s v="J01GB03"/>
    <s v="33651100-9"/>
    <m/>
    <n v="365638"/>
    <x v="0"/>
    <d v="2019-05-06T00:00:00"/>
    <d v="2019-07-12T00:00:00"/>
    <m/>
    <s v="Bbraun a sandoz"/>
    <s v="DůVOD zrušeno - nespnění podmínek ; zrušeno - nesplnění podmínek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s v="LÉK"/>
    <s v="Ondráčková"/>
    <x v="161"/>
    <n v="4"/>
    <s v="Gentamicin  III."/>
    <s v="J01GB03"/>
    <s v="33651100-9"/>
    <m/>
    <n v="40144"/>
    <x v="0"/>
    <d v="2019-05-06T00:00:00"/>
    <d v="2019-07-12T00:00:00"/>
    <m/>
    <s v="zrušeno - 3 shodné nabídky, z nichž jedna je obchodním tajemstvím, nelze vyhodnotit."/>
    <m/>
    <m/>
    <m/>
    <m/>
    <m/>
    <m/>
    <m/>
    <m/>
    <x v="0"/>
    <d v="2019-11-26T00:00:00"/>
    <s v="30.10. zrušeno"/>
  </r>
  <r>
    <m/>
    <m/>
    <d v="2019-04-09T00:00:00"/>
    <s v="VZ-2019-000384"/>
    <s v="LÉK"/>
    <s v="Ondráčková"/>
    <x v="161"/>
    <n v="5"/>
    <s v="Ofloxacin"/>
    <s v="J01MA01"/>
    <s v="33651100-9"/>
    <m/>
    <n v="173910"/>
    <x v="0"/>
    <d v="2019-05-06T00:00:00"/>
    <d v="2019-07-12T00:00:00"/>
    <m/>
    <s v="zentiva, avel"/>
    <s v="DůVOD zrušeno - bez nabídky ; zrušeno - bez nabídky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s v="LÉK"/>
    <s v="Ondráčková"/>
    <x v="161"/>
    <n v="6"/>
    <s v="Teikoplanin"/>
    <s v="J01XA02"/>
    <s v="33651100-9"/>
    <m/>
    <n v="228086"/>
    <x v="0"/>
    <d v="2019-05-06T00:00:00"/>
    <d v="2019-07-12T00:00:00"/>
    <m/>
    <s v="sanofi"/>
    <s v="DůVOD zrušeno - bez nabídky ; zrušeno - bez nabídky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s v="LÉK"/>
    <s v="Ondráčková"/>
    <x v="161"/>
    <n v="7"/>
    <s v="Kolistin"/>
    <s v="J01XB01"/>
    <s v="33651100-9"/>
    <m/>
    <n v="796625"/>
    <x v="0"/>
    <d v="2019-05-06T00:00:00"/>
    <d v="2019-07-12T00:00:00"/>
    <m/>
    <s v="teva-phoenix,pharmos"/>
    <s v="DůVOD zrušeno - bez nabídky ; zrušeno - bez nabídky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s v="LÉK"/>
    <s v="Ondráčková"/>
    <x v="161"/>
    <n v="8"/>
    <s v="Linezolid"/>
    <s v="J01XX08"/>
    <s v="33651100-9"/>
    <m/>
    <n v="230996"/>
    <x v="0"/>
    <d v="2019-05-06T00:00:00"/>
    <d v="2019-07-12T00:00:00"/>
    <d v="2019-11-12T00:00:00"/>
    <s v="Fresenius Kabi s.r.o."/>
    <m/>
    <n v="229270"/>
    <n v="252197"/>
    <m/>
    <m/>
    <m/>
    <d v="2019-11-12T00:00:00"/>
    <s v="SMLN-2019-617-000563"/>
    <x v="0"/>
    <m/>
    <m/>
  </r>
  <r>
    <m/>
    <m/>
    <d v="2019-04-09T00:00:00"/>
    <s v="VZ-2019-000384"/>
    <s v="LÉK"/>
    <s v="Ondráčková"/>
    <x v="161"/>
    <n v="9"/>
    <s v="Sulfamethoxazol a trimethoprim"/>
    <s v="J01EE01"/>
    <s v="33651100-9"/>
    <m/>
    <n v="1057697"/>
    <x v="0"/>
    <d v="2019-05-06T00:00:00"/>
    <d v="2019-07-12T00:00:00"/>
    <d v="2019-11-12T00:00:00"/>
    <s v="PHOENIX lék.velkoobchod, s.r.o."/>
    <m/>
    <n v="1057608"/>
    <n v="1163368"/>
    <m/>
    <m/>
    <m/>
    <d v="2019-11-12T00:00:00"/>
    <s v="SMLN-2019-617-000564"/>
    <x v="0"/>
    <m/>
    <m/>
  </r>
  <r>
    <m/>
    <m/>
    <d v="2019-04-09T00:00:00"/>
    <s v="VZ-2019-000384"/>
    <s v="LÉK"/>
    <s v="Ondráčková"/>
    <x v="161"/>
    <n v="10"/>
    <s v="Klarithromycin"/>
    <s v="J01FA09"/>
    <s v="33651100-9"/>
    <m/>
    <n v="1855269"/>
    <x v="0"/>
    <d v="2019-05-06T00:00:00"/>
    <d v="2019-07-12T00:00:00"/>
    <d v="2019-11-12T00:00:00"/>
    <s v="Pharmos, a.s."/>
    <m/>
    <n v="1833340.74"/>
    <n v="2016674.81"/>
    <m/>
    <m/>
    <m/>
    <d v="2019-11-12T00:00:00"/>
    <s v="SMLN-2019-617-000565"/>
    <x v="0"/>
    <m/>
    <m/>
  </r>
  <r>
    <m/>
    <m/>
    <d v="2019-04-09T00:00:00"/>
    <s v="VZ-2019-000384"/>
    <s v="LÉK"/>
    <s v="Ondráčková"/>
    <x v="161"/>
    <n v="11"/>
    <s v="Ceftazidim a sodná sůl avibactamu"/>
    <s v="J01DD52"/>
    <s v="33651100-9"/>
    <m/>
    <n v="151853"/>
    <x v="0"/>
    <d v="2019-05-06T00:00:00"/>
    <d v="2019-07-12T00:00:00"/>
    <d v="2019-11-12T00:00:00"/>
    <s v="PHOENIX lék.velkoobchod, s.r.o."/>
    <m/>
    <n v="150348.79999999999"/>
    <n v="165383.67999999999"/>
    <m/>
    <m/>
    <m/>
    <d v="2019-11-12T00:00:00"/>
    <s v="SMLN-2019-617-000566"/>
    <x v="0"/>
    <m/>
    <m/>
  </r>
  <r>
    <m/>
    <m/>
    <d v="2019-04-09T00:00:00"/>
    <s v="VZ-2019-000384"/>
    <s v="LÉK"/>
    <s v="Ondráčková"/>
    <x v="161"/>
    <n v="12"/>
    <s v="Cefepim"/>
    <s v="J01DE01"/>
    <s v="33651100-9"/>
    <m/>
    <n v="430818"/>
    <x v="0"/>
    <d v="2019-05-06T00:00:00"/>
    <d v="2019-07-12T00:00:00"/>
    <d v="2019-11-12T00:00:00"/>
    <s v="Pharmos, a.s."/>
    <m/>
    <n v="258834.2"/>
    <n v="284717.62"/>
    <m/>
    <m/>
    <m/>
    <d v="2019-11-12T00:00:00"/>
    <s v="SMLN-2019-617-000567"/>
    <x v="0"/>
    <m/>
    <m/>
  </r>
  <r>
    <m/>
    <m/>
    <d v="2019-04-09T00:00:00"/>
    <s v="VZ-2019-000384"/>
    <s v="LÉK"/>
    <s v="Ondráčková"/>
    <x v="161"/>
    <n v="13"/>
    <s v="Tazobaktam a ceftolozan-sulfát"/>
    <s v="J01DI54"/>
    <s v="33651100-9"/>
    <m/>
    <n v="959749"/>
    <x v="0"/>
    <d v="2019-05-06T00:00:00"/>
    <d v="2019-07-12T00:00:00"/>
    <d v="2019-11-12T00:00:00"/>
    <s v="MSD s.r.o."/>
    <m/>
    <n v="942993.6"/>
    <n v="1037292.96"/>
    <m/>
    <m/>
    <m/>
    <d v="2019-11-12T00:00:00"/>
    <s v="SMLN-2019-617-000568"/>
    <x v="0"/>
    <m/>
    <m/>
  </r>
  <r>
    <m/>
    <m/>
    <d v="2019-04-09T00:00:00"/>
    <s v="VZ-2019-000384"/>
    <s v="LÉK"/>
    <s v="Ondráčková"/>
    <x v="161"/>
    <n v="14"/>
    <s v="Ampicilin"/>
    <s v="J01CA01"/>
    <s v="33651100-9"/>
    <m/>
    <n v="314216"/>
    <x v="0"/>
    <d v="2019-05-06T00:00:00"/>
    <d v="2019-07-12T00:00:00"/>
    <m/>
    <s v="biotika-avel"/>
    <s v="DůVOD zrušeno - bez nabídky ; zrušeno - bez nabídky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s v="LÉK"/>
    <s v="Ondráčková"/>
    <x v="161"/>
    <n v="15"/>
    <s v="Benzylpenicilin"/>
    <s v="J01CE01"/>
    <s v="33651100-9"/>
    <m/>
    <n v="164810"/>
    <x v="0"/>
    <d v="2019-05-06T00:00:00"/>
    <d v="2019-07-12T00:00:00"/>
    <d v="2019-11-12T00:00:00"/>
    <s v="Alliance Healthcare s.r.o."/>
    <m/>
    <n v="144007.4"/>
    <n v="158408.14000000001"/>
    <m/>
    <m/>
    <m/>
    <d v="2019-11-12T00:00:00"/>
    <s v="SMLN-2019-617-000569"/>
    <x v="0"/>
    <m/>
    <m/>
  </r>
  <r>
    <m/>
    <m/>
    <d v="2019-04-12T00:00:00"/>
    <s v="VZ-2019-000387"/>
    <s v="ZT"/>
    <s v="Rosulek"/>
    <x v="162"/>
    <m/>
    <m/>
    <m/>
    <s v="33122000-1"/>
    <s v="2.3.397."/>
    <n v="528926"/>
    <x v="2"/>
    <d v="2019-04-18T00:00:00"/>
    <d v="2019-04-30T00:00:00"/>
    <d v="2019-08-12T00:00:00"/>
    <s v="Askin  &amp; Co. s.r.o."/>
    <m/>
    <n v="438160"/>
    <n v="530173.6"/>
    <m/>
    <m/>
    <m/>
    <d v="2019-08-16T00:00:00"/>
    <s v="SMLN-2019-617-000354_x000a_SMLN-2019-612-000085"/>
    <x v="86"/>
    <d v="2019-10-01T00:00:00"/>
    <d v="2019-10-04T00:00:00"/>
  </r>
  <r>
    <m/>
    <m/>
    <d v="2019-04-12T00:00:00"/>
    <s v="VZ-2019-000392"/>
    <s v="ZM"/>
    <s v="Dočkalová"/>
    <x v="163"/>
    <n v="1"/>
    <s v="Stentgrafty aortální hrudní - proximální část I."/>
    <m/>
    <s v="33140000-3 "/>
    <m/>
    <n v="612000"/>
    <x v="0"/>
    <d v="2019-04-23T00:00:00"/>
    <d v="2019-05-24T00:00:00"/>
    <d v="2019-09-19T00:00:00"/>
    <s v="ARID obchodní společnost s.r.o."/>
    <m/>
    <n v="512000"/>
    <n v="588800"/>
    <m/>
    <m/>
    <m/>
    <d v="2019-09-19T00:00:00"/>
    <s v="SMLN-2019-617-000435_x000a_SMLN-2019-614-000081"/>
    <x v="82"/>
    <d v="2019-10-23T00:00:00"/>
    <d v="2021-10-13T00:00:00"/>
  </r>
  <r>
    <m/>
    <m/>
    <d v="2019-04-12T00:00:00"/>
    <s v="VZ-2019-000392"/>
    <s v="ZM"/>
    <s v="Dočkalová"/>
    <x v="163"/>
    <n v="2"/>
    <s v="Stentgrafty aortální hrudní -  distální část I."/>
    <m/>
    <s v="33140000-3 "/>
    <m/>
    <n v="229520"/>
    <x v="0"/>
    <d v="2019-04-23T00:00:00"/>
    <d v="2019-05-24T00:00:00"/>
    <d v="2019-09-19T00:00:00"/>
    <s v="ARID obchodní společnost s.r.o."/>
    <m/>
    <n v="229515"/>
    <n v="263942.25"/>
    <m/>
    <m/>
    <m/>
    <d v="2019-09-19T00:00:00"/>
    <s v="SMLN-2019-617-000436_x000a_SMLN-2019-614-000082"/>
    <x v="82"/>
    <d v="2019-10-23T00:00:00"/>
    <d v="2021-10-13T00:00:00"/>
  </r>
  <r>
    <m/>
    <m/>
    <d v="2019-04-12T00:00:00"/>
    <s v="VZ-2019-000392"/>
    <s v="ZM"/>
    <s v="Dočkalová"/>
    <x v="163"/>
    <n v="3"/>
    <s v="Stentgrafty aortální hrudní - distální extenze"/>
    <m/>
    <s v="33140000-3 "/>
    <m/>
    <n v="229520"/>
    <x v="0"/>
    <d v="2019-04-23T00:00:00"/>
    <d v="2019-05-24T00:00:00"/>
    <d v="2019-09-19T00:00:00"/>
    <s v="ARID obchodní společnost s.r.o."/>
    <m/>
    <n v="229515"/>
    <n v="263942.25"/>
    <m/>
    <m/>
    <m/>
    <d v="2019-09-19T00:00:00"/>
    <s v="SMLN-2019-617-000437_x000a_SMLN-2019-614-000083"/>
    <x v="82"/>
    <d v="2019-10-23T00:00:00"/>
    <d v="2021-10-13T00:00:00"/>
  </r>
  <r>
    <m/>
    <m/>
    <d v="2019-04-12T00:00:00"/>
    <s v="VZ-2019-000392"/>
    <s v="ZM"/>
    <s v="Dočkalová"/>
    <x v="163"/>
    <n v="4"/>
    <s v="Stentgrafty aortální pro reparaci disekcí sestupné části hrudní aorty "/>
    <m/>
    <s v="33140000-3 "/>
    <m/>
    <n v="279480"/>
    <x v="0"/>
    <d v="2019-04-23T00:00:00"/>
    <d v="2019-05-24T00:00:00"/>
    <d v="2019-09-19T00:00:00"/>
    <s v="ARID obchodní společnost s.r.o."/>
    <m/>
    <n v="258000"/>
    <n v="296700"/>
    <m/>
    <m/>
    <m/>
    <d v="2019-09-19T00:00:00"/>
    <s v="SMLN-2019-617-000438_x000a_SMLN-2019-614-000084"/>
    <x v="82"/>
    <d v="2019-10-23T00:00:00"/>
    <d v="2021-10-13T00:00:00"/>
  </r>
  <r>
    <m/>
    <m/>
    <d v="2019-04-12T00:00:00"/>
    <s v="VZ-2019-000392"/>
    <s v="ZM"/>
    <s v="Dočkalová"/>
    <x v="163"/>
    <n v="5"/>
    <s v="Stentgrafty aortální hrudní - proximální část II."/>
    <m/>
    <s v="33140000-3 "/>
    <m/>
    <n v="137729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2T00:00:00"/>
    <s v="VZ-2019-000392"/>
    <s v="ZM"/>
    <s v="Dočkalová"/>
    <x v="163"/>
    <n v="6"/>
    <s v="Stentgrafty aortální hrudní - distální část II."/>
    <m/>
    <s v="33140000-3 "/>
    <m/>
    <n v="289900"/>
    <x v="0"/>
    <d v="2019-04-23T00:00:00"/>
    <d v="2019-05-24T00:00:00"/>
    <d v="2019-09-19T00:00:00"/>
    <s v="ARID obchodní společnost s.r.o."/>
    <m/>
    <n v="289896"/>
    <n v="333380.40000000002"/>
    <m/>
    <m/>
    <m/>
    <d v="2019-09-19T00:00:00"/>
    <s v="SMLN-2019-617-000439_x000a_SMLN-2019-614-000085"/>
    <x v="82"/>
    <d v="2019-10-23T00:00:00"/>
    <d v="2021-10-13T00:00:00"/>
  </r>
  <r>
    <m/>
    <m/>
    <d v="2019-04-12T00:00:00"/>
    <s v="VZ-2019-000392"/>
    <s v="ZM"/>
    <s v="Dočkalová"/>
    <x v="163"/>
    <n v="7"/>
    <s v="Stenty tubulární komponentní pro modelování pravého lumen aorty při disekci aorty"/>
    <m/>
    <s v="33140000-3 "/>
    <m/>
    <n v="56650"/>
    <x v="0"/>
    <d v="2019-04-23T00:00:00"/>
    <d v="2019-05-24T00:00:00"/>
    <d v="2019-09-19T00:00:00"/>
    <s v="ARID obchodní společnost s.r.o."/>
    <m/>
    <n v="56650"/>
    <n v="65147.5"/>
    <m/>
    <m/>
    <m/>
    <d v="2019-09-19T00:00:00"/>
    <s v="SMLN-2019-617-000440_x000a_SMLN-2019-614-000086"/>
    <x v="82"/>
    <d v="2019-10-23T00:00:00"/>
    <d v="2021-10-13T00:00:00"/>
  </r>
  <r>
    <m/>
    <m/>
    <d v="2019-04-12T00:00:00"/>
    <s v="VZ-2019-000392"/>
    <s v="ZM"/>
    <s v="Dočkalová"/>
    <x v="163"/>
    <n v="8"/>
    <s v="Stentgrafty aortální bifurkační břišní I."/>
    <m/>
    <s v="33140000-3 "/>
    <m/>
    <n v="225009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2T00:00:00"/>
    <s v="VZ-2019-000392"/>
    <s v="ZM"/>
    <s v="Dočkalová"/>
    <x v="163"/>
    <n v="9"/>
    <s v="Stentgrafty tubulární do kompletu k tělu bifurkačního břišního aortálního stentgraftu, extenzní pro pravou a levou nožičku"/>
    <m/>
    <s v="33140000-3 "/>
    <m/>
    <n v="558825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2T00:00:00"/>
    <s v="VZ-2019-000392"/>
    <s v="ZM"/>
    <s v="Dočkalová"/>
    <x v="163"/>
    <n v="10"/>
    <s v="Stentgrafty aortální bifurkační břišní II."/>
    <m/>
    <s v="33140000-3 "/>
    <m/>
    <n v="32000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2T00:00:00"/>
    <s v="VZ-2019-000392"/>
    <s v="ZM"/>
    <s v="Dočkalová"/>
    <x v="163"/>
    <n v="11"/>
    <s v="Stentgrafty aortální tubulární břišní k prodloužení těla bifurkačního stentgraftu - proximální extenze"/>
    <m/>
    <s v="33140000-3 "/>
    <m/>
    <n v="234300"/>
    <x v="0"/>
    <d v="2019-04-23T00:00:00"/>
    <d v="2019-05-24T00:00:00"/>
    <d v="2019-09-19T00:00:00"/>
    <s v="ARID obchodní společnost s.r.o."/>
    <m/>
    <n v="234300"/>
    <n v="269445"/>
    <m/>
    <m/>
    <m/>
    <d v="2019-09-19T00:00:00"/>
    <s v="SMLN-2019-617-000441_x000a_SMLN-2019-614-000087"/>
    <x v="82"/>
    <d v="2019-10-23T00:00:00"/>
    <d v="2021-10-13T00:00:00"/>
  </r>
  <r>
    <m/>
    <m/>
    <d v="2019-04-12T00:00:00"/>
    <s v="VZ-2019-000392"/>
    <s v="ZM"/>
    <s v="Dočkalová"/>
    <x v="163"/>
    <n v="12"/>
    <s v="Stentgrafty aortální vaskulární aortouniiliakální"/>
    <m/>
    <s v="33140000-3 "/>
    <m/>
    <n v="93720"/>
    <x v="0"/>
    <d v="2019-04-23T00:00:00"/>
    <d v="2019-05-24T00:00:00"/>
    <d v="2019-09-19T00:00:00"/>
    <s v="ARID obchodní společnost s.r.o."/>
    <m/>
    <n v="93720"/>
    <n v="107778"/>
    <m/>
    <m/>
    <m/>
    <d v="2019-09-19T00:00:00"/>
    <s v="SMLN-2019-617-000442_x000a_SMLN-2019-614-000088"/>
    <x v="82"/>
    <d v="2019-10-23T00:00:00"/>
    <d v="2021-10-13T00:00:00"/>
  </r>
  <r>
    <m/>
    <m/>
    <d v="2019-04-12T00:00:00"/>
    <s v="VZ-2019-000392"/>
    <s v="ZM"/>
    <s v="Dočkalová"/>
    <x v="163"/>
    <n v="13"/>
    <s v="Stentgrafty vaskulární větvené pro vnitřní ilickou tepnu"/>
    <m/>
    <s v="33140000-3 "/>
    <m/>
    <n v="737460"/>
    <x v="0"/>
    <d v="2019-04-23T00:00:00"/>
    <d v="2019-05-24T00:00:00"/>
    <d v="2019-09-19T00:00:00"/>
    <s v="ARID obchodní společnost s.r.o."/>
    <m/>
    <n v="737440"/>
    <n v="848056"/>
    <m/>
    <m/>
    <m/>
    <d v="2019-09-19T00:00:00"/>
    <s v="SMLN-2019-617-000443_x000a_SMLN-2019-614-000089"/>
    <x v="82"/>
    <d v="2019-10-23T00:00:00"/>
    <d v="2021-10-13T00:00:00"/>
  </r>
  <r>
    <m/>
    <m/>
    <d v="2019-04-12T00:00:00"/>
    <s v="VZ-2019-000392"/>
    <s v="ZM"/>
    <s v="Dočkalová"/>
    <x v="163"/>
    <n v="14"/>
    <s v="Stentgrafty vaskulární arotální fenestrované pro endovaskulární reparace juxtarenálních břišních výdutí"/>
    <m/>
    <s v="33140000-3 "/>
    <m/>
    <n v="3572060"/>
    <x v="0"/>
    <d v="2019-04-23T00:00:00"/>
    <d v="2019-05-24T00:00:00"/>
    <d v="2019-09-19T00:00:00"/>
    <s v="ARID obchodní společnost s.r.o."/>
    <m/>
    <n v="3532279.2"/>
    <n v="4062121.08"/>
    <m/>
    <m/>
    <m/>
    <d v="2019-09-19T00:00:00"/>
    <s v="SMLN-2019-617-000444_x000a_SMLN-2019-614-000090"/>
    <x v="82"/>
    <d v="2019-10-23T00:00:00"/>
    <d v="2021-10-13T00:00:00"/>
  </r>
  <r>
    <m/>
    <m/>
    <d v="2019-04-12T00:00:00"/>
    <s v="VZ-2019-000392"/>
    <s v="ZM"/>
    <s v="Dočkalová"/>
    <x v="163"/>
    <n v="15"/>
    <s v="Stentgrafty vaskulární aortální thorako-abdominální pro endovaskulární reparaci thorako-abdominálního aneuryzmatu"/>
    <m/>
    <s v="33140000-3 "/>
    <m/>
    <n v="136742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0T00:00:00"/>
    <s v="VZ-2019-000393"/>
    <s v="OSB "/>
    <s v="Vaida"/>
    <x v="164"/>
    <m/>
    <m/>
    <m/>
    <s v="45453000-7"/>
    <m/>
    <n v="910000"/>
    <x v="2"/>
    <d v="2019-04-25T00:00:00"/>
    <d v="2019-05-07T00:00:00"/>
    <d v="2019-05-20T00:00:00"/>
    <s v="OHL ŽS, a.s."/>
    <m/>
    <n v="1483436.96"/>
    <n v="1794958.7215999998"/>
    <m/>
    <m/>
    <m/>
    <d v="2019-05-20T00:00:00"/>
    <s v="SMLN-2019-618-000036"/>
    <x v="87"/>
    <d v="2019-06-17T00:00:00"/>
    <d v="2019-09-10T00:00:00"/>
  </r>
  <r>
    <m/>
    <m/>
    <s v="opakovaná VZ"/>
    <s v="VZ-2019-000395"/>
    <s v="SERVIS"/>
    <s v="Zemánek"/>
    <x v="165"/>
    <m/>
    <m/>
    <m/>
    <s v="50421000-2"/>
    <m/>
    <n v="1600000"/>
    <x v="2"/>
    <d v="2019-04-18T00:00:00"/>
    <d v="2019-04-25T00:00:00"/>
    <m/>
    <s v="zrušeno - bez nabídky"/>
    <s v="nová VZ-2019-000485"/>
    <m/>
    <m/>
    <m/>
    <m/>
    <m/>
    <m/>
    <m/>
    <x v="0"/>
    <d v="2019-04-26T00:00:00"/>
    <m/>
  </r>
  <r>
    <m/>
    <m/>
    <s v="opakovaná VZ"/>
    <s v="VZ-2019-000401"/>
    <s v="LÉK"/>
    <s v="Ondráčková"/>
    <x v="166"/>
    <m/>
    <m/>
    <m/>
    <s v="24111500-5"/>
    <m/>
    <n v="15947556"/>
    <x v="0"/>
    <d v="2019-04-24T00:00:00"/>
    <d v="2019-06-21T00:00:00"/>
    <d v="2019-08-27T00:00:00"/>
    <s v="Messer Technogas s.r.o."/>
    <m/>
    <n v="17107857.199999999"/>
    <n v="20190047.199999999"/>
    <m/>
    <m/>
    <m/>
    <d v="2019-08-27T00:00:00"/>
    <s v="SMLN-2019-617-000383"/>
    <x v="86"/>
    <d v="2019-10-01T00:00:00"/>
    <d v="2021-09-29T00:00:00"/>
  </r>
  <r>
    <m/>
    <m/>
    <d v="2019-04-12T00:00:00"/>
    <s v="VZ-2019-000403"/>
    <s v="ZT"/>
    <s v="Rosulek"/>
    <x v="167"/>
    <m/>
    <m/>
    <m/>
    <s v="33162100-4"/>
    <s v="2.3.401."/>
    <n v="2450000"/>
    <x v="1"/>
    <d v="2019-04-26T00:00:00"/>
    <d v="2019-05-17T00:00:00"/>
    <m/>
    <s v="zrušeno - bez nabídky"/>
    <s v="nová VZ-2019-000797"/>
    <m/>
    <m/>
    <m/>
    <m/>
    <m/>
    <m/>
    <m/>
    <x v="0"/>
    <d v="2019-05-22T00:00:00"/>
    <m/>
  </r>
  <r>
    <m/>
    <m/>
    <d v="2019-04-11T00:00:00"/>
    <s v="VZ-2019-000404"/>
    <s v="VŠEOB"/>
    <s v="Smrčková"/>
    <x v="168"/>
    <m/>
    <m/>
    <m/>
    <s v="39120000-9 "/>
    <m/>
    <n v="462000"/>
    <x v="0"/>
    <d v="2019-04-23T00:00:00"/>
    <d v="2019-05-24T00:00:00"/>
    <d v="2019-06-24T00:00:00"/>
    <s v="KSK nábytek s.r.o."/>
    <m/>
    <n v="437165"/>
    <n v="528969.65"/>
    <m/>
    <m/>
    <m/>
    <d v="2019-06-24T00:00:00"/>
    <s v="SMLN-2019-618-000048"/>
    <x v="75"/>
    <d v="2019-08-15T00:00:00"/>
    <d v="2019-10-24T00:00:00"/>
  </r>
  <r>
    <m/>
    <m/>
    <d v="2019-04-17T00:00:00"/>
    <s v="VZ-2019-000406"/>
    <s v="LÉK"/>
    <s v="Ondráčková"/>
    <x v="169"/>
    <m/>
    <m/>
    <m/>
    <s v="33694000-1"/>
    <m/>
    <n v="6426000"/>
    <x v="0"/>
    <d v="2019-07-10T00:00:00"/>
    <d v="2019-08-14T00:00:00"/>
    <d v="2019-10-04T00:00:00"/>
    <s v="Beckman Coulter Česká republika s.r.o."/>
    <m/>
    <n v="4570200"/>
    <n v="5529942"/>
    <m/>
    <m/>
    <m/>
    <d v="2019-10-07T00:00:00"/>
    <s v="SMLN-2019-617-000492_x000a_SMLN-2019-616-000062"/>
    <x v="88"/>
    <d v="2019-12-05T00:00:00"/>
    <d v="2025-11-24T00:00:00"/>
  </r>
  <r>
    <m/>
    <m/>
    <n v="2018"/>
    <s v="VZ-2019-000408"/>
    <s v="ZM"/>
    <s v="Valtová"/>
    <x v="170"/>
    <m/>
    <m/>
    <m/>
    <s v="33140000-3 "/>
    <m/>
    <n v="720000"/>
    <x v="2"/>
    <d v="2019-05-03T00:00:00"/>
    <d v="2019-05-15T00:00:00"/>
    <d v="2019-05-24T00:00:00"/>
    <s v="IMMOMEDICAL CZ s.r.o."/>
    <m/>
    <n v="719500"/>
    <n v="827425"/>
    <m/>
    <m/>
    <m/>
    <d v="2019-05-24T00:00:00"/>
    <s v="SMLN-2019-617-000234_x000a_SMLN-2019-614-000023"/>
    <x v="89"/>
    <d v="2019-06-17T00:00:00"/>
    <d v="2021-06-06T00:00:00"/>
  </r>
  <r>
    <m/>
    <m/>
    <n v="2018"/>
    <s v="VZ-2019-000409"/>
    <s v="ZM"/>
    <s v="Valtová"/>
    <x v="171"/>
    <n v="1"/>
    <s v="Polohovač"/>
    <m/>
    <s v="33140000-3 "/>
    <m/>
    <n v="712800"/>
    <x v="2"/>
    <d v="2019-05-03T00:00:00"/>
    <d v="2019-05-15T00:00:00"/>
    <d v="2019-06-12T00:00:00"/>
    <s v="Getinge Czech Republic, s.r.o."/>
    <m/>
    <n v="745308"/>
    <n v="901822.68"/>
    <m/>
    <m/>
    <m/>
    <d v="2019-06-17T00:00:00"/>
    <s v="SMLN-2019-617-000283_x000a_SMLN-2019-614-000050"/>
    <x v="90"/>
    <d v="2019-08-01T00:00:00"/>
    <d v="2021-07-29T00:00:00"/>
  </r>
  <r>
    <m/>
    <m/>
    <n v="2018"/>
    <s v="VZ-2019-000409"/>
    <s v="ZM"/>
    <s v="Valtová"/>
    <x v="171"/>
    <n v="2"/>
    <s v="Ofuk Blower Mister"/>
    <m/>
    <s v="33140000-3"/>
    <m/>
    <n v="370740"/>
    <x v="2"/>
    <d v="2019-05-03T00:00:00"/>
    <d v="2019-05-15T00:00:00"/>
    <d v="2019-06-12T00:00:00"/>
    <s v="Getinge Czech Republic, s.r.o."/>
    <m/>
    <n v="458800"/>
    <n v="555148"/>
    <m/>
    <m/>
    <m/>
    <d v="2019-06-17T00:00:00"/>
    <s v="SMLN-2019-617-000284_x000a_SMLN-2019-614-000051"/>
    <x v="91"/>
    <d v="2019-07-29T00:00:00"/>
    <d v="2021-07-23T00:00:00"/>
  </r>
  <r>
    <m/>
    <m/>
    <n v="2018"/>
    <s v="VZ-2019-000413"/>
    <s v="ZM"/>
    <s v="Valtová"/>
    <x v="172"/>
    <m/>
    <m/>
    <m/>
    <s v="33140000-3 "/>
    <m/>
    <n v="670000"/>
    <x v="2"/>
    <d v="2019-05-03T00:00:00"/>
    <d v="2019-05-15T00:00:00"/>
    <m/>
    <s v="zrušeno - bez nabídky"/>
    <s v="nová VZ-2019-000524"/>
    <m/>
    <m/>
    <m/>
    <m/>
    <m/>
    <m/>
    <m/>
    <x v="0"/>
    <d v="2019-05-16T00:00:00"/>
    <m/>
  </r>
  <r>
    <m/>
    <m/>
    <n v="2018"/>
    <s v="VZ-2019-000414"/>
    <s v="ZM"/>
    <s v="Valtová"/>
    <x v="173"/>
    <m/>
    <m/>
    <m/>
    <s v="33140000-3 "/>
    <m/>
    <n v="434900"/>
    <x v="2"/>
    <d v="2019-05-03T00:00:00"/>
    <d v="2019-05-15T00:00:00"/>
    <m/>
    <s v="zrušeno - bez nabídky"/>
    <s v="nová VZ-2019-000525"/>
    <m/>
    <m/>
    <m/>
    <m/>
    <m/>
    <m/>
    <m/>
    <x v="0"/>
    <d v="2019-05-16T00:00:00"/>
    <m/>
  </r>
  <r>
    <m/>
    <m/>
    <d v="2019-04-08T00:00:00"/>
    <s v="VZ-2019-000416"/>
    <s v="DOPR"/>
    <s v="Solovský"/>
    <x v="174"/>
    <n v="1"/>
    <s v="Sanitní vozidla DNR typu A2 s pohonem všech kol"/>
    <m/>
    <s v="34114110-3  "/>
    <s v="4.2.110."/>
    <n v="2500000"/>
    <x v="0"/>
    <d v="2019-04-26T00:00:00"/>
    <d v="2019-05-31T00:00:00"/>
    <m/>
    <s v="zrušeno - oprava zadání"/>
    <s v="nová VZ-2019-000607"/>
    <m/>
    <m/>
    <m/>
    <m/>
    <m/>
    <m/>
    <m/>
    <x v="0"/>
    <d v="2019-05-30T00:00:00"/>
    <m/>
  </r>
  <r>
    <m/>
    <m/>
    <d v="2019-04-08T00:00:00"/>
    <s v="VZ-2019-000416"/>
    <s v="DOPR"/>
    <s v="Solovský"/>
    <x v="174"/>
    <n v="2"/>
    <s v="Sanitní vozidla DNR typu A2"/>
    <m/>
    <s v="34114110-3  "/>
    <s v="4.2.110."/>
    <n v="2300000"/>
    <x v="0"/>
    <d v="2019-04-26T00:00:00"/>
    <d v="2019-05-31T00:00:00"/>
    <m/>
    <s v="zrušeno - oprava zadání"/>
    <s v="nová VZ-2019-000607"/>
    <m/>
    <m/>
    <m/>
    <m/>
    <m/>
    <m/>
    <m/>
    <x v="0"/>
    <d v="2019-05-30T00:00:00"/>
    <m/>
  </r>
  <r>
    <m/>
    <m/>
    <d v="2019-04-23T00:00:00"/>
    <s v="VZ-2019-000420"/>
    <s v="ENERG"/>
    <s v="Srovnal"/>
    <x v="175"/>
    <m/>
    <m/>
    <m/>
    <s v="45332300-6"/>
    <m/>
    <n v="320000"/>
    <x v="2"/>
    <d v="2019-04-25T00:00:00"/>
    <d v="2019-05-03T00:00:00"/>
    <d v="2019-05-13T00:00:00"/>
    <s v="LB 2000 s.r.o."/>
    <m/>
    <n v="138908.75"/>
    <n v="168079.58749999999"/>
    <m/>
    <m/>
    <m/>
    <d v="2019-05-14T00:00:00"/>
    <s v="SMLN-2019-618-000035"/>
    <x v="51"/>
    <d v="2019-06-06T00:00:00"/>
    <d v="2019-07-03T00:00:00"/>
  </r>
  <r>
    <m/>
    <m/>
    <n v="2018"/>
    <s v="VZ-2019-000424"/>
    <s v="ZM"/>
    <s v="Valtová"/>
    <x v="176"/>
    <n v="1"/>
    <s v="Stabilizátor pro operaci srdce bez mimotělního oběhu s tvarovatelným koncem"/>
    <m/>
    <s v="33140000-3 "/>
    <m/>
    <n v="862800"/>
    <x v="0"/>
    <d v="2019-04-26T00:00:00"/>
    <d v="2019-05-28T00:00:00"/>
    <d v="2019-07-15T00:00:00"/>
    <s v="Promedica Praha Group, a.s."/>
    <m/>
    <n v="862800"/>
    <n v="1043988"/>
    <m/>
    <m/>
    <m/>
    <d v="2019-07-16T00:00:00"/>
    <s v="SMLN-2019-617-000321_x000a_SMLN-2019-614-000064"/>
    <x v="92"/>
    <d v="2020-01-02T00:00:00"/>
    <d v="2021-12-22T00:00:00"/>
  </r>
  <r>
    <m/>
    <m/>
    <n v="2018"/>
    <s v="VZ-2019-000424"/>
    <s v="ZM"/>
    <s v="Valtová"/>
    <x v="176"/>
    <n v="2"/>
    <s v="Stabilizátor pro operaci srdce bez mimotělního oběhu s pevným koncem"/>
    <m/>
    <s v="33140000-3 "/>
    <m/>
    <n v="2904760"/>
    <x v="0"/>
    <d v="2019-04-26T00:00:00"/>
    <d v="2019-05-28T00:00:00"/>
    <d v="2019-07-15T00:00:00"/>
    <s v="Promedica Praha Group, a.s."/>
    <m/>
    <n v="2904760"/>
    <n v="3514759.6"/>
    <m/>
    <m/>
    <m/>
    <d v="2019-07-16T00:00:00"/>
    <s v="SMLN-2019-617-000322_x000a_SMLN-2019-614-000065"/>
    <x v="92"/>
    <d v="2020-01-02T00:00:00"/>
    <d v="2021-12-22T00:00:00"/>
  </r>
  <r>
    <m/>
    <m/>
    <s v="opakovaná VZ"/>
    <s v="VZ-2019-000426"/>
    <s v="IROP"/>
    <s v="Neudörflerová"/>
    <x v="177"/>
    <m/>
    <m/>
    <m/>
    <s v="33192230-3"/>
    <s v="2.3.345."/>
    <n v="3431405.18"/>
    <x v="0"/>
    <d v="2019-05-17T00:00:00"/>
    <d v="2019-06-19T00:00:00"/>
    <d v="2019-08-15T00:00:00"/>
    <s v="Getinge Czech Republic, s.r.o."/>
    <m/>
    <n v="3374949"/>
    <n v="4083688.3"/>
    <m/>
    <m/>
    <m/>
    <d v="2019-08-16T00:00:00"/>
    <s v="SMLN-2019-617-000347_x000a_SMLN-2019-612-000084"/>
    <x v="93"/>
    <d v="2019-10-02T00:00:00"/>
    <d v="2019-11-22T00:00:00"/>
  </r>
  <r>
    <m/>
    <m/>
    <d v="2019-04-16T00:00:00"/>
    <s v="VZ-2019-000427"/>
    <s v="ENERG"/>
    <s v="Srovnal"/>
    <x v="178"/>
    <m/>
    <m/>
    <m/>
    <s v="50730000-1"/>
    <m/>
    <n v="6400000"/>
    <x v="0"/>
    <d v="2019-06-13T00:00:00"/>
    <d v="2019-07-18T00:00:00"/>
    <d v="2019-09-24T00:00:00"/>
    <s v="Air - Klimont s.r.o."/>
    <m/>
    <n v="5084400"/>
    <n v="6152124"/>
    <m/>
    <m/>
    <m/>
    <d v="2019-09-26T00:00:00"/>
    <s v="SMLN-2019-612-000116"/>
    <x v="94"/>
    <d v="2019-10-30T00:00:00"/>
    <d v="2023-10-23T00:00:00"/>
  </r>
  <r>
    <m/>
    <m/>
    <d v="2019-04-11T00:00:00"/>
    <s v="VZ-2019-000429"/>
    <s v="ENERG"/>
    <s v="Srovnal"/>
    <x v="179"/>
    <m/>
    <m/>
    <m/>
    <s v="45311000-0"/>
    <m/>
    <n v="2900000"/>
    <x v="2"/>
    <d v="2019-05-15T00:00:00"/>
    <d v="2019-05-23T00:00:00"/>
    <m/>
    <s v="zrušeno - bez nabídky"/>
    <s v="nová VZ-2019-000672"/>
    <m/>
    <m/>
    <m/>
    <m/>
    <m/>
    <m/>
    <m/>
    <x v="0"/>
    <d v="2019-05-23T00:00:00"/>
    <m/>
  </r>
  <r>
    <m/>
    <m/>
    <d v="2019-04-25T00:00:00"/>
    <s v="VZ-2019-000450"/>
    <s v="ZT"/>
    <s v="Rosulek"/>
    <x v="180"/>
    <m/>
    <m/>
    <m/>
    <s v="33195000-3"/>
    <s v="2.3.383.,2.3.385.,2.3.413."/>
    <n v="16096000"/>
    <x v="0"/>
    <d v="2019-05-02T00:00:00"/>
    <d v="2019-06-06T00:00:00"/>
    <d v="2019-07-16T00:00:00"/>
    <s v="S + T Plus s.r.o."/>
    <m/>
    <n v="16070000"/>
    <n v="19444700"/>
    <m/>
    <m/>
    <m/>
    <d v="2019-07-17T00:00:00"/>
    <s v="SMLN-2019-617-000323_x000a_SMLN-2019-612-000071"/>
    <x v="68"/>
    <d v="2019-08-20T00:00:00"/>
    <d v="2019-10-14T00:00:00"/>
  </r>
  <r>
    <m/>
    <m/>
    <d v="2019-04-24T00:00:00"/>
    <s v="VZ-2019-000453"/>
    <s v="ZM"/>
    <s v="Dočkalová"/>
    <x v="181"/>
    <n v="1"/>
    <s v="PCS2"/>
    <m/>
    <s v="33140000-3"/>
    <m/>
    <n v="31542000"/>
    <x v="0"/>
    <d v="2019-06-12T00:00:00"/>
    <d v="2019-08-28T00:00:00"/>
    <m/>
    <m/>
    <m/>
    <m/>
    <m/>
    <m/>
    <m/>
    <m/>
    <m/>
    <m/>
    <x v="0"/>
    <m/>
    <m/>
  </r>
  <r>
    <m/>
    <m/>
    <d v="2019-04-24T00:00:00"/>
    <s v="VZ-2019-000453"/>
    <s v="ZM"/>
    <s v="Dočkalová"/>
    <x v="181"/>
    <n v="2"/>
    <s v="MCS+"/>
    <m/>
    <s v="33140000-3"/>
    <m/>
    <n v="19657800"/>
    <x v="0"/>
    <d v="2019-06-12T00:00:00"/>
    <d v="2019-08-28T00:00:00"/>
    <d v="2019-10-04T00:00:00"/>
    <s v="VAMEX, spol. s r.o."/>
    <m/>
    <n v="18450000"/>
    <n v="22324500"/>
    <m/>
    <m/>
    <m/>
    <d v="2019-10-07T00:00:00"/>
    <s v="SMLN-2019-617-000485_x000a_SMLN-2019-616-000060"/>
    <x v="0"/>
    <m/>
    <m/>
  </r>
  <r>
    <m/>
    <m/>
    <d v="2019-04-29T00:00:00"/>
    <s v="VZ-2019-000459"/>
    <s v="SERVIS"/>
    <s v="Zemánek"/>
    <x v="182"/>
    <m/>
    <m/>
    <m/>
    <s v="50421000-2"/>
    <m/>
    <n v="260000"/>
    <x v="2"/>
    <d v="2019-05-10T00:00:00"/>
    <d v="2019-05-21T00:00:00"/>
    <m/>
    <s v="zrušeno - bez nabídky"/>
    <s v="nová VZ-2019-000558"/>
    <m/>
    <m/>
    <m/>
    <m/>
    <m/>
    <m/>
    <m/>
    <x v="0"/>
    <d v="2019-05-21T00:00:00"/>
    <m/>
  </r>
  <r>
    <m/>
    <m/>
    <d v="2019-04-26T00:00:00"/>
    <s v="VZ-2019-000465"/>
    <s v="ZM"/>
    <s v="Dočkalová"/>
    <x v="183"/>
    <m/>
    <m/>
    <m/>
    <s v="33162200-5"/>
    <m/>
    <n v="1700000"/>
    <x v="2"/>
    <d v="2019-05-09T00:00:00"/>
    <d v="2019-05-22T00:00:00"/>
    <d v="2019-06-24T00:00:00"/>
    <s v="B. Braun Medical s.r.o."/>
    <m/>
    <n v="1513515.9"/>
    <n v="1831354.2389999998"/>
    <m/>
    <m/>
    <m/>
    <d v="2019-06-24T00:00:00"/>
    <s v="SMLN-2019-617-000296"/>
    <x v="95"/>
    <d v="2019-08-28T00:00:00"/>
    <d v="2019-10-08T00:00:00"/>
  </r>
  <r>
    <m/>
    <m/>
    <d v="2019-05-03T00:00:00"/>
    <s v="VZ-2019-000476"/>
    <s v="ZM"/>
    <s v="Dočkalová"/>
    <x v="184"/>
    <m/>
    <m/>
    <m/>
    <s v="33162200-5"/>
    <m/>
    <n v="881000"/>
    <x v="2"/>
    <d v="2019-05-09T00:00:00"/>
    <d v="2019-05-17T00:00:00"/>
    <d v="2019-05-24T00:00:00"/>
    <s v="EP SERVICES s.r.o."/>
    <m/>
    <n v="869000"/>
    <n v="1051490"/>
    <m/>
    <m/>
    <m/>
    <d v="2019-05-24T00:00:00"/>
    <s v="SMLN-2019-617-000237"/>
    <x v="78"/>
    <d v="2019-06-27T00:00:00"/>
    <d v="2021-06-23T00:00:00"/>
  </r>
  <r>
    <m/>
    <m/>
    <d v="2019-05-06T00:00:00"/>
    <s v="VZ-2019-000477"/>
    <s v="ZT"/>
    <s v="Rosulek"/>
    <x v="185"/>
    <m/>
    <m/>
    <m/>
    <s v="33191110-9"/>
    <s v="2.3.310.,2.3.313."/>
    <n v="684297"/>
    <x v="2"/>
    <d v="2019-05-10T00:00:00"/>
    <d v="2019-05-29T00:00:00"/>
    <d v="2019-07-26T00:00:00"/>
    <s v="Fénix Brno spol. s r.o."/>
    <m/>
    <n v="676763"/>
    <n v="818883.23"/>
    <m/>
    <m/>
    <m/>
    <d v="2019-07-26T00:00:00"/>
    <s v="SMLN-2019-617-000328 _x000a_SMLN-2019-612-000075"/>
    <x v="74"/>
    <d v="2019-08-28T00:00:00"/>
    <d v="2019-10-03T00:00:00"/>
  </r>
  <r>
    <m/>
    <m/>
    <d v="2019-05-06T00:00:00"/>
    <s v="VZ-2019-000478"/>
    <s v="ZT"/>
    <s v="Rosulek"/>
    <x v="186"/>
    <m/>
    <m/>
    <m/>
    <s v="38434500-1"/>
    <s v="2.2.127."/>
    <n v="513868"/>
    <x v="2"/>
    <d v="2019-05-10T00:00:00"/>
    <d v="2019-05-21T00:00:00"/>
    <m/>
    <s v="zrušeno - nepslnění podmínek"/>
    <s v="nová VZ-2019-000803"/>
    <m/>
    <m/>
    <m/>
    <m/>
    <m/>
    <m/>
    <m/>
    <x v="0"/>
    <d v="2019-07-17T00:00:00"/>
    <m/>
  </r>
  <r>
    <m/>
    <m/>
    <d v="2019-04-30T00:00:00"/>
    <s v="VZ-2019-000482"/>
    <s v="ZM"/>
    <s v="Dočkalová"/>
    <x v="187"/>
    <n v="1"/>
    <s v="Dilatační balónkové katétry vaskulární I."/>
    <m/>
    <s v="33140000-3"/>
    <m/>
    <n v="2455000"/>
    <x v="0"/>
    <d v="2019-05-14T00:00:00"/>
    <d v="2019-07-08T00:00:00"/>
    <d v="2019-09-24T00:00:00"/>
    <s v="Boston Scientific s.r.o."/>
    <m/>
    <n v="2455000"/>
    <n v="2970550"/>
    <m/>
    <m/>
    <m/>
    <d v="2019-09-25T00:00:00"/>
    <s v="SMLN-2019-617-000460_x000a_SMLN-2019-614-000100"/>
    <x v="65"/>
    <d v="2019-11-08T00:00:00"/>
    <d v="2021-10-24T00:00:00"/>
  </r>
  <r>
    <m/>
    <m/>
    <d v="2019-04-30T00:00:00"/>
    <s v="VZ-2019-000482"/>
    <s v="ZM"/>
    <s v="Dočkalová"/>
    <x v="187"/>
    <n v="2"/>
    <s v="Dilatační balónkové katétry vaskulární II."/>
    <m/>
    <s v="33140000-3"/>
    <m/>
    <n v="360000"/>
    <x v="0"/>
    <d v="2019-05-14T00:00:00"/>
    <d v="2019-07-08T00:00:00"/>
    <d v="2019-09-24T00:00:00"/>
    <s v="BARD Czech Republic s.r.o."/>
    <m/>
    <n v="360000"/>
    <n v="435600"/>
    <m/>
    <m/>
    <m/>
    <d v="2019-09-25T00:00:00"/>
    <s v="SMLN-2019-617-000461_x000a_SMLN-2019-614-000101"/>
    <x v="65"/>
    <d v="2019-11-08T00:00:00"/>
    <d v="2021-10-24T00:00:00"/>
  </r>
  <r>
    <m/>
    <m/>
    <d v="2019-04-30T00:00:00"/>
    <s v="VZ-2019-000482"/>
    <s v="ZM"/>
    <s v="Dočkalová"/>
    <x v="187"/>
    <n v="3"/>
    <s v="Dilatační balónkové katétry vaskulární III."/>
    <m/>
    <s v="33140000-3"/>
    <m/>
    <n v="245000"/>
    <x v="0"/>
    <d v="2019-05-14T00:00:00"/>
    <d v="2019-07-08T00:00:00"/>
    <d v="2019-09-24T00:00:00"/>
    <s v="ARID obchodní společnost s.r.o."/>
    <m/>
    <n v="245000"/>
    <n v="296450"/>
    <m/>
    <m/>
    <m/>
    <d v="2019-09-25T00:00:00"/>
    <s v="SMLN-2019-617-000462_x000a_SMLN-2019-614-000102"/>
    <x v="65"/>
    <d v="2019-11-08T00:00:00"/>
    <d v="2021-10-24T00:00:00"/>
  </r>
  <r>
    <m/>
    <m/>
    <d v="2019-04-30T00:00:00"/>
    <s v="VZ-2019-000482"/>
    <s v="ZM"/>
    <s v="Dočkalová"/>
    <x v="187"/>
    <n v="4"/>
    <s v="Dilatační balónkové katétry vaskulární noncompliant"/>
    <m/>
    <s v="33140000-3"/>
    <m/>
    <n v="1634400"/>
    <x v="0"/>
    <d v="2019-05-14T00:00:00"/>
    <d v="2019-07-08T00:00:00"/>
    <d v="2019-09-24T00:00:00"/>
    <s v="BS PRAGUE MEDICAL CS, spol. s r.o."/>
    <m/>
    <n v="1634400"/>
    <n v="1634400"/>
    <m/>
    <m/>
    <m/>
    <d v="2019-09-25T00:00:00"/>
    <s v="SMLN-2019-617-000463_x000a_SMLN-2019-614-000103"/>
    <x v="65"/>
    <d v="2019-11-08T00:00:00"/>
    <d v="2021-10-24T00:00:00"/>
  </r>
  <r>
    <m/>
    <m/>
    <d v="2019-04-30T00:00:00"/>
    <s v="VZ-2019-000482"/>
    <s v="ZM"/>
    <s v="Dočkalová"/>
    <x v="187"/>
    <n v="5"/>
    <s v="Dilatační balónkové katétry vaskulární noncompliant XXL"/>
    <m/>
    <s v="33140000-3"/>
    <m/>
    <n v="132000"/>
    <x v="0"/>
    <d v="2019-05-14T00:00:00"/>
    <d v="2019-07-08T00:00:00"/>
    <d v="2019-09-24T00:00:00"/>
    <s v="Boston Scientific s.r.o."/>
    <m/>
    <n v="132000"/>
    <n v="159720"/>
    <m/>
    <m/>
    <m/>
    <d v="2019-09-25T00:00:00"/>
    <s v="SMLN-2019-617-000464_x000a_SMLN-2019-614-000104"/>
    <x v="65"/>
    <d v="2019-11-08T00:00:00"/>
    <d v="2021-10-24T00:00:00"/>
  </r>
  <r>
    <m/>
    <m/>
    <d v="2019-04-30T00:00:00"/>
    <s v="VZ-2019-000482"/>
    <s v="ZM"/>
    <s v="Dočkalová"/>
    <x v="187"/>
    <n v="6"/>
    <s v="Dilatační balónkové katétry vaskulární po mikrovodících drátech monorial"/>
    <m/>
    <s v="33140000-3"/>
    <m/>
    <n v="623200"/>
    <x v="0"/>
    <d v="2019-05-14T00:00:00"/>
    <d v="2019-07-08T00:00:00"/>
    <d v="2019-10-01T00:00:00"/>
    <s v="Boston Scientific s.r.o."/>
    <m/>
    <n v="623200"/>
    <n v="754072"/>
    <m/>
    <m/>
    <m/>
    <d v="2019-10-02T00:00:00"/>
    <s v="SMLN-2019-617-000475_x000a_SMLN-2019-614-000107"/>
    <x v="65"/>
    <d v="2019-11-08T00:00:00"/>
    <d v="2021-10-24T00:00:00"/>
  </r>
  <r>
    <m/>
    <m/>
    <d v="2019-04-30T00:00:00"/>
    <s v="VZ-2019-000482"/>
    <s v="ZM"/>
    <s v="Dočkalová"/>
    <x v="187"/>
    <n v="7"/>
    <s v="Dilatační balónkové katétry vaskulární intrakraniální"/>
    <m/>
    <s v="33140000-3"/>
    <m/>
    <n v="24280"/>
    <x v="0"/>
    <d v="2019-05-14T00:00:00"/>
    <d v="2019-07-08T00:00:00"/>
    <m/>
    <m/>
    <m/>
    <m/>
    <m/>
    <m/>
    <m/>
    <m/>
    <m/>
    <m/>
    <x v="0"/>
    <d v="2019-09-27T00:00:00"/>
    <s v="2.9. zrušeno"/>
  </r>
  <r>
    <m/>
    <m/>
    <d v="2019-04-30T00:00:00"/>
    <s v="VZ-2019-000482"/>
    <s v="ZM"/>
    <s v="Dočkalová"/>
    <x v="187"/>
    <n v="8"/>
    <s v="Řezací dilatační balónkové katétry vaskulární"/>
    <m/>
    <s v="33140000-3"/>
    <m/>
    <n v="61260"/>
    <x v="0"/>
    <d v="2019-05-14T00:00:00"/>
    <d v="2019-07-08T00:00:00"/>
    <d v="2019-09-24T00:00:00"/>
    <s v="Boston Scientific s.r.o."/>
    <m/>
    <n v="61260"/>
    <n v="74124.600000000006"/>
    <m/>
    <m/>
    <m/>
    <d v="2019-09-25T00:00:00"/>
    <s v="SMLN-2019-617-000465_x000a_SMLN-2019-614-000105"/>
    <x v="65"/>
    <d v="2019-11-08T00:00:00"/>
    <d v="2021-10-24T00:00:00"/>
  </r>
  <r>
    <m/>
    <m/>
    <d v="2019-05-06T00:00:00"/>
    <s v="VZ-2019-000484"/>
    <s v="ZT"/>
    <s v="Rosulek"/>
    <x v="188"/>
    <m/>
    <m/>
    <m/>
    <s v="33168100-6"/>
    <s v="2.2.171."/>
    <n v="278000"/>
    <x v="2"/>
    <d v="2019-05-15T00:00:00"/>
    <d v="2019-05-24T00:00:00"/>
    <d v="2019-07-02T00:00:00"/>
    <s v="IMEDEX s.r.o."/>
    <m/>
    <n v="297160"/>
    <n v="359563.6"/>
    <m/>
    <m/>
    <m/>
    <d v="2019-07-03T00:00:00"/>
    <s v="SMLN-2019-617-000301 SMLN-2019-612-000066"/>
    <x v="96"/>
    <d v="2019-08-14T00:00:00"/>
    <d v="2019-08-22T00:00:00"/>
  </r>
  <r>
    <m/>
    <m/>
    <s v="opakovaná VZ"/>
    <s v="VZ-2019-000485"/>
    <s v="SERVIS"/>
    <s v="Zemánek"/>
    <x v="189"/>
    <m/>
    <m/>
    <m/>
    <s v="50421000-2"/>
    <m/>
    <n v="1600000"/>
    <x v="2"/>
    <d v="2019-05-15T00:00:00"/>
    <d v="2019-05-28T00:00:00"/>
    <d v="2019-06-12T00:00:00"/>
    <s v="Miele, spol. s r.o."/>
    <m/>
    <n v="345310"/>
    <n v="417825.1"/>
    <m/>
    <m/>
    <m/>
    <d v="2019-06-12T00:00:00"/>
    <s v="SMLN-2019-612-000063"/>
    <x v="58"/>
    <d v="2019-07-10T00:00:00"/>
    <s v="doba neurčitá"/>
  </r>
  <r>
    <m/>
    <m/>
    <d v="2019-04-29T00:00:00"/>
    <s v="VZ-2019-000493"/>
    <s v="ZM"/>
    <s v="Dočkalová"/>
    <x v="190"/>
    <m/>
    <m/>
    <m/>
    <s v="33140000-3"/>
    <m/>
    <n v="57312000"/>
    <x v="0"/>
    <d v="2019-06-04T00:00:00"/>
    <d v="2019-09-04T00:00:00"/>
    <m/>
    <m/>
    <m/>
    <m/>
    <m/>
    <m/>
    <m/>
    <m/>
    <m/>
    <m/>
    <x v="0"/>
    <m/>
    <m/>
  </r>
  <r>
    <m/>
    <m/>
    <d v="2019-05-10T00:00:00"/>
    <s v="VZ-2019-000501"/>
    <s v="ZM"/>
    <s v="Dočkalová"/>
    <x v="191"/>
    <m/>
    <m/>
    <m/>
    <s v="33140000-3"/>
    <m/>
    <n v="1750000"/>
    <x v="2"/>
    <d v="2019-05-15T00:00:00"/>
    <d v="2019-05-31T00:00:00"/>
    <d v="2019-06-06T00:00:00"/>
    <s v="EspoMed spol. s r.o."/>
    <m/>
    <n v="1750000"/>
    <n v="2012500"/>
    <m/>
    <m/>
    <m/>
    <d v="2019-06-07T00:00:00"/>
    <s v="SMLN-2019-617-000250_x000a_SMLN-2019-614-000026"/>
    <x v="48"/>
    <d v="2019-06-26T00:00:00"/>
    <d v="2021-06-17T00:00:00"/>
  </r>
  <r>
    <m/>
    <m/>
    <d v="2019-05-13T00:00:00"/>
    <s v="VZ-2019-000508"/>
    <s v="ENERG"/>
    <s v="Srovnal"/>
    <x v="192"/>
    <m/>
    <m/>
    <m/>
    <s v="42512200-0"/>
    <s v="4.2.123."/>
    <n v="578000"/>
    <x v="2"/>
    <d v="2019-05-17T00:00:00"/>
    <d v="2019-05-28T00:00:00"/>
    <m/>
    <s v="zrušeno - bez nabídky"/>
    <s v="nová VZ-2019-000595"/>
    <m/>
    <m/>
    <m/>
    <m/>
    <m/>
    <m/>
    <m/>
    <x v="0"/>
    <d v="2019-05-29T00:00:00"/>
    <m/>
  </r>
  <r>
    <m/>
    <m/>
    <d v="2019-05-14T00:00:00"/>
    <s v="VZ-2019-000509"/>
    <s v="ZT"/>
    <s v="Rosulek"/>
    <x v="193"/>
    <m/>
    <m/>
    <m/>
    <s v="33195100-4"/>
    <s v="2.2.196."/>
    <n v="1810000"/>
    <x v="2"/>
    <d v="2019-05-21T00:00:00"/>
    <d v="2019-06-06T00:00:00"/>
    <m/>
    <s v="zrušeno - oprava zadání"/>
    <s v="nová VZ-2019-000651"/>
    <m/>
    <m/>
    <m/>
    <m/>
    <m/>
    <m/>
    <m/>
    <x v="0"/>
    <d v="2019-06-05T00:00:00"/>
    <m/>
  </r>
  <r>
    <m/>
    <m/>
    <d v="2019-05-13T00:00:00"/>
    <s v="VZ-2019-000510"/>
    <s v="ZM"/>
    <s v="Dočkalová"/>
    <x v="194"/>
    <m/>
    <m/>
    <m/>
    <s v="33140000-3"/>
    <m/>
    <n v="775200"/>
    <x v="2"/>
    <d v="2019-05-16T00:00:00"/>
    <d v="2019-05-31T00:00:00"/>
    <d v="2019-06-06T00:00:00"/>
    <s v="EspoMed spol. s r.o."/>
    <m/>
    <n v="774900"/>
    <n v="891135"/>
    <m/>
    <m/>
    <m/>
    <d v="2019-06-07T00:00:00"/>
    <s v="SMLN-2019-617-000249_x000a_SMLN-2019-614-000025"/>
    <x v="97"/>
    <d v="2019-06-28T00:00:00"/>
    <d v="2021-06-25T00:00:00"/>
  </r>
  <r>
    <m/>
    <m/>
    <d v="2019-05-15T00:00:00"/>
    <s v="VZ-2019-000512"/>
    <s v="IROP"/>
    <s v="Neudörflerová"/>
    <x v="195"/>
    <m/>
    <m/>
    <m/>
    <s v="33192200-4"/>
    <m/>
    <n v="957090.9"/>
    <x v="0"/>
    <d v="2019-06-11T00:00:00"/>
    <d v="2019-07-15T00:00:00"/>
    <m/>
    <s v="zrušeno – bez nabídky"/>
    <s v="nová VZ-2019-000806"/>
    <m/>
    <m/>
    <m/>
    <m/>
    <m/>
    <m/>
    <m/>
    <x v="0"/>
    <d v="2019-07-22T00:00:00"/>
    <s v="19.7. zrušeno"/>
  </r>
  <r>
    <m/>
    <m/>
    <d v="2019-05-15T00:00:00"/>
    <s v="VZ-2019-000514"/>
    <s v="ZT"/>
    <s v="Rosulek"/>
    <x v="196"/>
    <m/>
    <m/>
    <m/>
    <s v="33191110-9"/>
    <s v="aktualizace"/>
    <n v="150000"/>
    <x v="2"/>
    <d v="2019-05-21T00:00:00"/>
    <d v="2019-05-30T00:00:00"/>
    <d v="2019-07-09T00:00:00"/>
    <s v="SORAL &amp; HANZLIK Medical s.r.o."/>
    <m/>
    <n v="129620"/>
    <n v="156840.20000000001"/>
    <m/>
    <m/>
    <m/>
    <d v="2019-07-09T00:00:00"/>
    <s v="SMLN-2019-617-000313_x000a_ SMLN-2019-612-000069"/>
    <x v="98"/>
    <d v="2019-08-14T00:00:00"/>
    <d v="2019-10-29T00:00:00"/>
  </r>
  <r>
    <m/>
    <m/>
    <s v="opakovaná VZ"/>
    <s v="VZ-2019-000524"/>
    <s v="ZM"/>
    <s v="Dočkalová"/>
    <x v="197"/>
    <m/>
    <m/>
    <m/>
    <s v="33140000-3 "/>
    <m/>
    <n v="670000"/>
    <x v="2"/>
    <d v="2019-05-17T00:00:00"/>
    <d v="2019-05-28T00:00:00"/>
    <d v="2019-06-05T00:00:00"/>
    <s v="Biomedica ČS, s.r.o."/>
    <m/>
    <n v="668863.5"/>
    <n v="809324.84"/>
    <m/>
    <m/>
    <m/>
    <d v="2019-06-05T00:00:00"/>
    <s v=" SMLN-2019-617-000246"/>
    <x v="78"/>
    <d v="2019-06-27T00:00:00"/>
    <d v="2022-06-23T00:00:00"/>
  </r>
  <r>
    <m/>
    <m/>
    <s v="opakovaná VZ"/>
    <s v="VZ-2019-000525"/>
    <s v="ZM"/>
    <s v="Dočkalová"/>
    <x v="198"/>
    <m/>
    <m/>
    <m/>
    <s v="33140000-3"/>
    <m/>
    <n v="434900"/>
    <x v="2"/>
    <d v="2019-05-17T00:00:00"/>
    <d v="2019-05-28T00:00:00"/>
    <d v="2019-06-07T00:00:00"/>
    <s v="Promedica Praha Group, a.s."/>
    <m/>
    <n v="405000"/>
    <n v="490050"/>
    <m/>
    <m/>
    <m/>
    <d v="2019-06-10T00:00:00"/>
    <s v="SMLN-2019-617-000251"/>
    <x v="97"/>
    <d v="2019-06-28T00:00:00"/>
    <d v="2021-06-25T00:00:00"/>
  </r>
  <r>
    <m/>
    <m/>
    <d v="2019-05-13T00:00:00"/>
    <s v="VZ-2019-000527"/>
    <s v="ZM"/>
    <s v="Dočkalová"/>
    <x v="199"/>
    <m/>
    <m/>
    <m/>
    <s v="33140000-3"/>
    <m/>
    <n v="572700"/>
    <x v="2"/>
    <d v="2019-05-21T00:00:00"/>
    <d v="2019-05-31T00:00:00"/>
    <d v="2019-06-18T00:00:00"/>
    <s v="Alliance Healthcare s.r.o."/>
    <m/>
    <n v="540000"/>
    <n v="653400"/>
    <m/>
    <m/>
    <m/>
    <d v="2019-06-18T00:00:00"/>
    <s v="SMLN-2019-617-000289_x000a_SMLN-2019-614-000054"/>
    <x v="99"/>
    <d v="2019-07-19T00:00:00"/>
    <d v="2021-07-16T00:00:00"/>
  </r>
  <r>
    <m/>
    <m/>
    <d v="2019-05-13T00:00:00"/>
    <s v="VZ-2019-000528"/>
    <s v="ZM"/>
    <s v="Dočkalová"/>
    <x v="200"/>
    <m/>
    <m/>
    <m/>
    <s v="33140000-3"/>
    <m/>
    <n v="492000"/>
    <x v="2"/>
    <d v="2019-05-21T00:00:00"/>
    <d v="2019-05-31T00:00:00"/>
    <m/>
    <s v="zrušeno - bez nabídky"/>
    <s v="nová VZ-2019-000693"/>
    <m/>
    <m/>
    <m/>
    <m/>
    <m/>
    <m/>
    <m/>
    <x v="0"/>
    <d v="2019-05-31T00:00:00"/>
    <m/>
  </r>
  <r>
    <m/>
    <m/>
    <d v="2019-05-14T00:00:00"/>
    <s v="VZ-2019-000529"/>
    <s v="ZM"/>
    <s v="Dočkalová"/>
    <x v="201"/>
    <m/>
    <m/>
    <m/>
    <s v="33140000-3"/>
    <m/>
    <n v="293900"/>
    <x v="2"/>
    <d v="2019-05-23T00:00:00"/>
    <d v="2019-05-31T00:00:00"/>
    <d v="2019-06-11T00:00:00"/>
    <s v="CARDION s.r.o."/>
    <m/>
    <n v="293600"/>
    <n v="337640"/>
    <m/>
    <m/>
    <m/>
    <d v="2019-06-14T00:00:00"/>
    <s v="SMLN-2019-617-000279_x000a_SMLN-2019-614-000049"/>
    <x v="90"/>
    <d v="2019-08-02T00:00:00"/>
    <d v="2021-07-29T00:00:00"/>
  </r>
  <r>
    <m/>
    <m/>
    <d v="2019-05-14T00:00:00"/>
    <s v="VZ-2019-000530"/>
    <s v="ZM"/>
    <s v="Dočkalová"/>
    <x v="202"/>
    <m/>
    <m/>
    <m/>
    <s v="33140000-3"/>
    <m/>
    <n v="330840"/>
    <x v="2"/>
    <d v="2019-05-23T00:00:00"/>
    <d v="2019-05-31T00:00:00"/>
    <d v="2019-06-06T00:00:00"/>
    <s v="EspoMed spol. s r.o."/>
    <m/>
    <n v="330750"/>
    <n v="400207.5"/>
    <m/>
    <m/>
    <m/>
    <d v="2019-06-06T00:00:00"/>
    <s v="SMLN-2019-617-000247_x000a_SMLN-2019-614-000024"/>
    <x v="48"/>
    <d v="2019-06-27T00:00:00"/>
    <d v="2021-06-17T00:00:00"/>
  </r>
  <r>
    <m/>
    <m/>
    <d v="2019-05-14T00:00:00"/>
    <s v="VZ-2019-000531"/>
    <s v="ZM"/>
    <s v="Dočkalová"/>
    <x v="203"/>
    <m/>
    <m/>
    <m/>
    <s v="33140000-3"/>
    <m/>
    <n v="524480"/>
    <x v="2"/>
    <d v="2019-05-23T00:00:00"/>
    <d v="2019-05-31T00:00:00"/>
    <d v="2019-06-10T00:00:00"/>
    <s v="ARID obchodní společnost s.r.o."/>
    <m/>
    <n v="524480"/>
    <n v="634620.80000000005"/>
    <m/>
    <m/>
    <m/>
    <d v="2019-06-10T00:00:00"/>
    <s v="SMLN-2019-617-000253_x000a_SMLN-2019-614-000027"/>
    <x v="4"/>
    <d v="2019-07-09T00:00:00"/>
    <d v="2021-06-27T00:00:00"/>
  </r>
  <r>
    <m/>
    <m/>
    <d v="2019-05-17T00:00:00"/>
    <s v="VZ-2019-000533"/>
    <s v="LÉK"/>
    <s v="Ondráčková"/>
    <x v="204"/>
    <n v="1"/>
    <s v="Amoxicilin a enzymový inhibitor"/>
    <s v="J01CR02"/>
    <s v="33651100-9"/>
    <m/>
    <n v="2343733"/>
    <x v="0"/>
    <d v="2019-05-24T00:00:00"/>
    <d v="2019-07-11T00:00:00"/>
    <d v="2019-10-17T00:00:00"/>
    <s v="Alliance Healthcare s.r.o."/>
    <m/>
    <n v="2343698.2799999998"/>
    <n v="2578068.11"/>
    <m/>
    <m/>
    <m/>
    <d v="2019-10-18T00:00:00"/>
    <s v="SMLN-2019-617-000519"/>
    <x v="100"/>
    <d v="2019-12-11T00:00:00"/>
    <d v="2021-11-28T00:00:00"/>
  </r>
  <r>
    <m/>
    <m/>
    <d v="2019-05-17T00:00:00"/>
    <s v="VZ-2019-000533"/>
    <s v="LÉK"/>
    <s v="Ondráčková"/>
    <x v="204"/>
    <n v="2"/>
    <s v="Cefuroxim "/>
    <s v="J01DC02"/>
    <s v="33651100-9"/>
    <m/>
    <n v="778239.8"/>
    <x v="0"/>
    <d v="2019-05-24T00:00:00"/>
    <d v="2019-07-11T00:00:00"/>
    <m/>
    <s v="glaxo"/>
    <s v="DůVOD zrušeno - překročení ceny ; zrušeno - překročení ceny ; DALŠÍ POSTUP opakovat; ÚPRAVA ?sankce ; PŘEDPOKLAD 1.Q_20 ; POZN: kompenzace doplatků-změnit zadání"/>
    <m/>
    <m/>
    <m/>
    <m/>
    <m/>
    <m/>
    <m/>
    <x v="0"/>
    <d v="2019-09-06T00:00:00"/>
    <s v="15.8. zrušeno"/>
  </r>
  <r>
    <m/>
    <m/>
    <d v="2019-05-17T00:00:00"/>
    <s v="VZ-2019-000533"/>
    <s v="LÉK"/>
    <s v="Ondráčková"/>
    <x v="204"/>
    <n v="3"/>
    <s v="Klindamycin"/>
    <s v="J01FF01"/>
    <s v="33651100-9"/>
    <m/>
    <n v="258189"/>
    <x v="0"/>
    <d v="2019-05-24T00:00:00"/>
    <d v="2019-07-11T00:00:00"/>
    <d v="2019-10-17T00:00:00"/>
    <s v="Pharmos, a.s."/>
    <m/>
    <n v="257585.64"/>
    <n v="283344.2"/>
    <m/>
    <m/>
    <m/>
    <d v="2019-10-18T00:00:00"/>
    <s v="SMLN-2019-617-000520"/>
    <x v="100"/>
    <d v="2019-12-11T00:00:00"/>
    <d v="2021-11-28T00:00:00"/>
  </r>
  <r>
    <m/>
    <m/>
    <d v="2019-05-17T00:00:00"/>
    <s v="VZ-2019-000533"/>
    <s v="LÉK"/>
    <s v="Ondráčková"/>
    <x v="204"/>
    <n v="4"/>
    <s v="Sultamicilin"/>
    <s v="J01CR04"/>
    <s v="33651100-9"/>
    <m/>
    <n v="135108"/>
    <x v="0"/>
    <d v="2019-05-24T00:00:00"/>
    <d v="2019-07-11T00:00:00"/>
    <d v="2019-12-05T00:00:00"/>
    <s v="Alliance Healthcare s.r.o."/>
    <m/>
    <n v="134452.5"/>
    <n v="147897.75"/>
    <m/>
    <m/>
    <m/>
    <d v="2019-12-06T00:00:00"/>
    <s v="SMLN-2019-617-000628"/>
    <x v="0"/>
    <m/>
    <m/>
  </r>
  <r>
    <m/>
    <m/>
    <d v="2019-05-17T00:00:00"/>
    <s v="VZ-2019-000533"/>
    <s v="LÉK"/>
    <s v="Ondráčková"/>
    <x v="204"/>
    <n v="5"/>
    <s v="Ciprofloxacin"/>
    <s v="J01MA02"/>
    <s v="33651100-9"/>
    <m/>
    <n v="250029"/>
    <x v="0"/>
    <d v="2019-05-24T00:00:00"/>
    <d v="2019-07-11T00:00:00"/>
    <d v="2019-10-17T00:00:00"/>
    <s v="Alliance Healthcare s.r.o."/>
    <m/>
    <n v="215896.32000000001"/>
    <n v="237485.95"/>
    <m/>
    <m/>
    <m/>
    <d v="2019-10-18T00:00:00"/>
    <s v="SMLN-2019-617-000523"/>
    <x v="0"/>
    <m/>
    <m/>
  </r>
  <r>
    <m/>
    <m/>
    <d v="2019-05-17T00:00:00"/>
    <s v="VZ-2019-000533"/>
    <s v="LÉK"/>
    <s v="Ondráčková"/>
    <x v="204"/>
    <n v="6"/>
    <s v="Moxifloxacin"/>
    <s v="J01MA14"/>
    <s v="33651100-9"/>
    <m/>
    <n v="189365"/>
    <x v="0"/>
    <d v="2019-05-24T00:00:00"/>
    <d v="2019-07-11T00:00:00"/>
    <d v="2019-10-17T00:00:00"/>
    <s v="Pharmos, a.s."/>
    <m/>
    <n v="135008.04"/>
    <n v="148508.84"/>
    <m/>
    <m/>
    <m/>
    <d v="2019-10-18T00:00:00"/>
    <s v="SMLN-2019-617-000524"/>
    <x v="100"/>
    <d v="2019-12-11T00:00:00"/>
    <d v="2021-11-28T00:00:00"/>
  </r>
  <r>
    <m/>
    <m/>
    <d v="2019-05-17T00:00:00"/>
    <s v="VZ-2019-000533"/>
    <s v="LÉK"/>
    <s v="Ondráčková"/>
    <x v="204"/>
    <n v="7"/>
    <s v="Klarithromycin"/>
    <s v="J01FA09"/>
    <s v="33651100-9"/>
    <m/>
    <n v="584770"/>
    <x v="0"/>
    <d v="2019-05-24T00:00:00"/>
    <d v="2019-07-11T00:00:00"/>
    <d v="2019-10-17T00:00:00"/>
    <s v="Pharmos, a.s."/>
    <m/>
    <n v="544810.54"/>
    <n v="599291.59"/>
    <m/>
    <m/>
    <m/>
    <d v="2019-10-18T00:00:00"/>
    <s v="SMLN-2019-617-000525"/>
    <x v="100"/>
    <d v="2019-12-11T00:00:00"/>
    <d v="2021-11-28T00:00:00"/>
  </r>
  <r>
    <m/>
    <m/>
    <d v="2019-05-17T00:00:00"/>
    <s v="VZ-2019-000536"/>
    <s v="LÉK"/>
    <s v="Ondráčková"/>
    <x v="205"/>
    <n v="1"/>
    <s v="Spotřební materiál pro AAS"/>
    <m/>
    <s v="33694000-1"/>
    <m/>
    <n v="7800"/>
    <x v="0"/>
    <d v="2019-06-14T00:00:00"/>
    <d v="2019-08-20T00:00:00"/>
    <d v="2019-12-17T00:00:00"/>
    <s v="LAB MARK a.s."/>
    <m/>
    <n v="7800"/>
    <n v="9438"/>
    <m/>
    <m/>
    <m/>
    <d v="2019-12-19T00:00:00"/>
    <s v="SMLN-2019-617-000653"/>
    <x v="0"/>
    <m/>
    <m/>
  </r>
  <r>
    <m/>
    <m/>
    <d v="2019-05-17T00:00:00"/>
    <s v="VZ-2019-000536"/>
    <s v="LÉK"/>
    <s v="Ondráčková"/>
    <x v="205"/>
    <n v="2"/>
    <s v="Spotřební materiál pro Analyzátor Variant"/>
    <m/>
    <s v="33694000-1"/>
    <m/>
    <n v="174100"/>
    <x v="0"/>
    <d v="2019-06-14T00:00:00"/>
    <d v="2019-08-20T00:00:00"/>
    <m/>
    <s v="firma BioRad přestává dodávat kity a také podporovat analyzátor Variant (inv.č. C007049), který máme zapůjčen"/>
    <s v="DůVOD zrušeno - bez nabídky ; zrušeno - bez nabídky ; DALŠÍ POSTUP ; ÚPRAVA zrušit ; PŘEDPOKLAD 4.Q_20 ; POZN: "/>
    <m/>
    <m/>
    <m/>
    <m/>
    <m/>
    <m/>
    <m/>
    <x v="0"/>
    <d v="2019-09-19T00:00:00"/>
    <s v="27.8. zrušeno"/>
  </r>
  <r>
    <m/>
    <m/>
    <d v="2019-05-17T00:00:00"/>
    <s v="VZ-2019-000536"/>
    <s v="LÉK"/>
    <s v="Ondráčková"/>
    <x v="205"/>
    <n v="3"/>
    <s v="Spotřební materiál pro Arkray Adams "/>
    <m/>
    <s v="33694000-1"/>
    <m/>
    <n v="519966"/>
    <x v="0"/>
    <d v="2019-06-14T00:00:00"/>
    <d v="2019-08-20T00:00:00"/>
    <d v="2019-12-17T00:00:00"/>
    <s v="MEDISTA spol. s r.o."/>
    <m/>
    <n v="450000"/>
    <n v="544500"/>
    <m/>
    <m/>
    <m/>
    <d v="2019-12-19T00:00:00"/>
    <s v="SMLN-2019-617-000654"/>
    <x v="0"/>
    <m/>
    <m/>
  </r>
  <r>
    <m/>
    <m/>
    <d v="2019-05-17T00:00:00"/>
    <s v="VZ-2019-000536"/>
    <s v="LÉK"/>
    <s v="Ondráčková"/>
    <x v="205"/>
    <n v="4"/>
    <s v="Spotřební materiál pro Arkray Amonia Checker"/>
    <m/>
    <s v="33694000-1"/>
    <m/>
    <n v="43451"/>
    <x v="0"/>
    <d v="2019-06-14T00:00:00"/>
    <d v="2019-08-20T00:00:00"/>
    <d v="2019-12-17T00:00:00"/>
    <s v="MEDISTA spol. s r.o."/>
    <m/>
    <n v="43450"/>
    <n v="52574.5"/>
    <m/>
    <m/>
    <m/>
    <d v="2019-12-19T00:00:00"/>
    <s v="SMLN-2019-617-000655"/>
    <x v="0"/>
    <m/>
    <m/>
  </r>
  <r>
    <m/>
    <m/>
    <d v="2019-05-17T00:00:00"/>
    <s v="VZ-2019-000536"/>
    <s v="LÉK"/>
    <s v="Ondráčková"/>
    <x v="205"/>
    <n v="5"/>
    <s v="Spotřební materiál pro Arkray Osmometr I."/>
    <m/>
    <s v="33694000-1"/>
    <m/>
    <n v="9780"/>
    <x v="0"/>
    <d v="2019-06-14T00:00:00"/>
    <d v="2019-08-20T00:00:00"/>
    <d v="2019-12-17T00:00:00"/>
    <s v="MEDISTA spol. s r.o."/>
    <m/>
    <n v="9780"/>
    <n v="11833.8"/>
    <m/>
    <m/>
    <m/>
    <d v="2019-12-19T00:00:00"/>
    <s v="SMLN-2019-617-000656"/>
    <x v="0"/>
    <m/>
    <m/>
  </r>
  <r>
    <m/>
    <m/>
    <d v="2019-05-17T00:00:00"/>
    <s v="VZ-2019-000536"/>
    <s v="LÉK"/>
    <s v="Ondráčková"/>
    <x v="205"/>
    <n v="6"/>
    <s v="Spotřební materiál pro Arkray Osmometr II."/>
    <m/>
    <s v="33694000-1"/>
    <m/>
    <n v="1853"/>
    <x v="0"/>
    <d v="2019-06-14T00:00:00"/>
    <d v="2019-08-20T00:00:00"/>
    <d v="2019-12-17T00:00:00"/>
    <s v="MEDISTA spol. s r.o."/>
    <m/>
    <n v="1800"/>
    <n v="2178"/>
    <m/>
    <m/>
    <m/>
    <d v="2019-12-19T00:00:00"/>
    <s v="SMLN-2019-617-000657"/>
    <x v="0"/>
    <m/>
    <m/>
  </r>
  <r>
    <m/>
    <m/>
    <d v="2019-05-17T00:00:00"/>
    <s v="VZ-2019-000536"/>
    <s v="LÉK"/>
    <s v="Ondráčková"/>
    <x v="205"/>
    <n v="7"/>
    <s v="Spotřební materiál pro Dynablot"/>
    <m/>
    <s v="33694000-1"/>
    <m/>
    <n v="225101"/>
    <x v="0"/>
    <d v="2019-06-14T00:00:00"/>
    <d v="2019-08-20T00:00:00"/>
    <d v="2019-12-17T00:00:00"/>
    <s v="ASCO-MED, spol.  s r.o."/>
    <m/>
    <n v="204400"/>
    <n v="247324"/>
    <m/>
    <m/>
    <m/>
    <d v="2019-12-19T00:00:00"/>
    <s v="SMLN-2019-617-000658"/>
    <x v="0"/>
    <m/>
    <m/>
  </r>
  <r>
    <m/>
    <m/>
    <d v="2019-05-17T00:00:00"/>
    <s v="VZ-2019-000536"/>
    <s v="LÉK"/>
    <s v="Ondráčková"/>
    <x v="205"/>
    <n v="8"/>
    <s v="Spotřební materiál pro Evolis I."/>
    <m/>
    <s v="33694000-1"/>
    <m/>
    <n v="181659"/>
    <x v="0"/>
    <d v="2019-06-14T00:00:00"/>
    <d v="2019-08-20T00:00:00"/>
    <m/>
    <s v="zrušeno - špatné zadání"/>
    <m/>
    <m/>
    <m/>
    <m/>
    <m/>
    <m/>
    <m/>
    <m/>
    <x v="0"/>
    <d v="2020-01-08T00:00:00"/>
    <s v="13.12. zrušeno"/>
  </r>
  <r>
    <m/>
    <m/>
    <d v="2019-05-17T00:00:00"/>
    <s v="VZ-2019-000536"/>
    <s v="LÉK"/>
    <s v="Ondráčková"/>
    <x v="205"/>
    <n v="9"/>
    <s v="Spotřební materiál pro Evolis  II."/>
    <m/>
    <s v="33694000-1"/>
    <m/>
    <n v="160200"/>
    <x v="0"/>
    <d v="2019-06-14T00:00:00"/>
    <d v="2019-08-20T00:00:00"/>
    <d v="2019-12-17T00:00:00"/>
    <s v="Beckman Coulter Česká republika s.r.o."/>
    <m/>
    <n v="160200"/>
    <n v="193842"/>
    <m/>
    <m/>
    <m/>
    <d v="2019-12-19T00:00:00"/>
    <s v="SMLN-2019-617-000661"/>
    <x v="0"/>
    <m/>
    <m/>
  </r>
  <r>
    <m/>
    <m/>
    <d v="2019-05-17T00:00:00"/>
    <s v="VZ-2019-000536"/>
    <s v="LÉK"/>
    <s v="Ondráčková"/>
    <x v="205"/>
    <n v="10"/>
    <s v="Spotřební materiál pro Evolis  III."/>
    <m/>
    <s v="33694000-1"/>
    <m/>
    <n v="8775"/>
    <x v="0"/>
    <d v="2019-06-14T00:00:00"/>
    <d v="2019-08-20T00:00:00"/>
    <d v="2019-12-17T00:00:00"/>
    <s v="Bio-Rad spol. s r.o."/>
    <m/>
    <n v="8750"/>
    <n v="10587.5"/>
    <m/>
    <m/>
    <m/>
    <d v="2019-12-19T00:00:00"/>
    <s v="SMLN-2019-617-000662"/>
    <x v="0"/>
    <m/>
    <m/>
  </r>
  <r>
    <m/>
    <m/>
    <d v="2019-05-17T00:00:00"/>
    <s v="VZ-2019-000536"/>
    <s v="LÉK"/>
    <s v="Ondráčková"/>
    <x v="205"/>
    <n v="11"/>
    <s v="Spotřební materiál pro Evolis IV."/>
    <m/>
    <s v="33694000-1"/>
    <m/>
    <n v="442440"/>
    <x v="0"/>
    <d v="2019-06-14T00:00:00"/>
    <d v="2019-08-20T00:00:00"/>
    <m/>
    <s v="zrušeno - špatné zadání"/>
    <m/>
    <m/>
    <m/>
    <m/>
    <m/>
    <m/>
    <m/>
    <m/>
    <x v="0"/>
    <d v="2020-01-08T00:00:00"/>
    <s v="13.12. zrušeno"/>
  </r>
  <r>
    <m/>
    <m/>
    <d v="2019-05-17T00:00:00"/>
    <s v="VZ-2019-000536"/>
    <s v="LÉK"/>
    <s v="Ondráčková"/>
    <x v="205"/>
    <n v="12"/>
    <s v="Spotřební materiál pro Evolis V."/>
    <m/>
    <s v="33694000-1"/>
    <m/>
    <n v="1087139"/>
    <x v="0"/>
    <d v="2019-06-14T00:00:00"/>
    <d v="2019-08-20T00:00:00"/>
    <m/>
    <s v="biovendor"/>
    <s v="DůVOD zrušeno - neúplná nabídka ;  ; DALŠÍ POSTUP upravit zadání; ÚPRAVA  ; PŘEDPOKLAD  ; POZN: "/>
    <m/>
    <m/>
    <m/>
    <m/>
    <m/>
    <m/>
    <m/>
    <x v="0"/>
    <d v="2019-09-19T00:00:00"/>
    <s v="27.8. zrušeno"/>
  </r>
  <r>
    <m/>
    <m/>
    <d v="2019-05-17T00:00:00"/>
    <s v="VZ-2019-000536"/>
    <s v="LÉK"/>
    <s v="Ondráčková"/>
    <x v="205"/>
    <n v="13"/>
    <s v="Spotřební materiál pro Evolis VI."/>
    <m/>
    <s v="33694000-1"/>
    <m/>
    <n v="40650"/>
    <x v="0"/>
    <d v="2019-06-14T00:00:00"/>
    <d v="2019-08-20T00:00:00"/>
    <m/>
    <s v="biovendor"/>
    <s v="DůVOD zrušeno - neúplná nabídka ;  ; DALŠÍ POSTUP upravit zadání; ÚPRAVA  ; PŘEDPOKLAD  ; POZN: "/>
    <m/>
    <m/>
    <m/>
    <m/>
    <m/>
    <m/>
    <m/>
    <x v="0"/>
    <d v="2019-09-19T00:00:00"/>
    <s v="27.8. zrušeno"/>
  </r>
  <r>
    <m/>
    <m/>
    <d v="2019-05-17T00:00:00"/>
    <s v="VZ-2019-000536"/>
    <s v="LÉK"/>
    <s v="Ondráčková"/>
    <x v="205"/>
    <n v="14"/>
    <s v="Spotřební materiál pro Evolis VII."/>
    <m/>
    <s v="33694000-1"/>
    <m/>
    <n v="253762"/>
    <x v="0"/>
    <d v="2019-06-14T00:00:00"/>
    <d v="2019-08-20T00:00:00"/>
    <d v="2019-12-17T00:00:00"/>
    <s v="Dynex LabSolutions s.r.o."/>
    <m/>
    <n v="242505.8"/>
    <n v="293432.02"/>
    <m/>
    <m/>
    <m/>
    <d v="2019-12-19T00:00:00"/>
    <s v="SMLN-2019-617-000663"/>
    <x v="0"/>
    <m/>
    <m/>
  </r>
  <r>
    <m/>
    <m/>
    <d v="2019-05-17T00:00:00"/>
    <s v="VZ-2019-000536"/>
    <s v="LÉK"/>
    <s v="Ondráčková"/>
    <x v="205"/>
    <n v="15"/>
    <s v="Spotřební materiál pro Immulite 2000"/>
    <m/>
    <s v="33694000-1"/>
    <m/>
    <n v="1070340"/>
    <x v="0"/>
    <d v="2019-06-14T00:00:00"/>
    <d v="2019-08-20T00:00:00"/>
    <d v="2019-12-17T00:00:00"/>
    <s v="Siemens Healthcare s.r.o."/>
    <m/>
    <n v="1023157.5"/>
    <n v="1238020.58"/>
    <m/>
    <m/>
    <m/>
    <d v="2019-12-19T00:00:00"/>
    <s v="SMLN-2019-617-000664"/>
    <x v="0"/>
    <m/>
    <m/>
  </r>
  <r>
    <m/>
    <m/>
    <d v="2019-05-17T00:00:00"/>
    <s v="VZ-2019-000536"/>
    <s v="LÉK"/>
    <s v="Ondráčková"/>
    <x v="205"/>
    <n v="16"/>
    <s v="Spotřební materiál pro Wizard I."/>
    <m/>
    <s v="33694000-1"/>
    <m/>
    <n v="619860"/>
    <x v="0"/>
    <d v="2019-06-14T00:00:00"/>
    <d v="2019-08-20T00:00:00"/>
    <m/>
    <s v="biovendor"/>
    <s v="DůVOD zrušeno - neúplné nabídky ;  ; DALŠÍ POSTUP upravit zadání; ÚPRAVA  ; PŘEDPOKLAD  ; POZN: "/>
    <m/>
    <m/>
    <m/>
    <m/>
    <m/>
    <m/>
    <m/>
    <x v="0"/>
    <d v="2019-09-19T00:00:00"/>
    <s v="27.8. zrušeno"/>
  </r>
  <r>
    <m/>
    <m/>
    <d v="2019-05-17T00:00:00"/>
    <s v="VZ-2019-000536"/>
    <s v="LÉK"/>
    <s v="Ondráčková"/>
    <x v="205"/>
    <n v="17"/>
    <s v="Spotřební materiál pro Wizard II."/>
    <m/>
    <s v="33694000-1"/>
    <m/>
    <n v="147629"/>
    <x v="0"/>
    <d v="2019-06-14T00:00:00"/>
    <d v="2019-08-20T00:00:00"/>
    <m/>
    <s v="zrušeno - špatné zadání"/>
    <m/>
    <m/>
    <m/>
    <m/>
    <m/>
    <m/>
    <m/>
    <m/>
    <x v="0"/>
    <d v="2020-01-08T00:00:00"/>
    <s v="13.12. zrušeno"/>
  </r>
  <r>
    <m/>
    <m/>
    <d v="2019-05-17T00:00:00"/>
    <s v="VZ-2019-000536"/>
    <s v="LÉK"/>
    <s v="Ondráčková"/>
    <x v="205"/>
    <n v="18"/>
    <s v="Spotřební materiál pro Wizard III."/>
    <m/>
    <s v="33694000-1"/>
    <m/>
    <n v="181921"/>
    <x v="0"/>
    <d v="2019-06-14T00:00:00"/>
    <d v="2019-08-20T00:00:00"/>
    <m/>
    <s v="lacomed"/>
    <s v="DůVOD zrušeno - bez nabídky ;  ; DALŠÍ POSTUP opakovat; ÚPRAVA  ; PŘEDPOKLAD  ; POZN: "/>
    <m/>
    <m/>
    <m/>
    <m/>
    <m/>
    <m/>
    <m/>
    <x v="0"/>
    <d v="2019-09-19T00:00:00"/>
    <s v="27.8. zrušeno"/>
  </r>
  <r>
    <m/>
    <m/>
    <d v="2019-05-17T00:00:00"/>
    <s v="VZ-2019-000537"/>
    <s v="LÉK"/>
    <s v="Ondráčková"/>
    <x v="206"/>
    <n v="1"/>
    <s v="Spotřební materiál pro Architect 1000"/>
    <m/>
    <s v="33694000-1"/>
    <m/>
    <n v="1311117"/>
    <x v="0"/>
    <d v="2019-06-14T00:00:00"/>
    <d v="2019-08-21T00:00:00"/>
    <d v="2019-09-10T00:00:00"/>
    <s v="Abbott Laboratories, s.r.o."/>
    <m/>
    <n v="1311111"/>
    <n v="1586444.31"/>
    <m/>
    <m/>
    <m/>
    <d v="2019-09-10T00:00:00"/>
    <s v="SMLN-2019-617-000403"/>
    <x v="101"/>
    <d v="2019-10-11T00:00:00"/>
    <d v="2020-10-07T00:00:00"/>
  </r>
  <r>
    <m/>
    <m/>
    <d v="2019-05-17T00:00:00"/>
    <s v="VZ-2019-000537"/>
    <s v="LÉK"/>
    <s v="Ondráčková"/>
    <x v="206"/>
    <n v="2"/>
    <s v="Spotřební materiál pro Architect 1000, 2000"/>
    <m/>
    <s v="33694000-1"/>
    <m/>
    <n v="23904"/>
    <x v="0"/>
    <d v="2019-06-14T00:00:00"/>
    <d v="2019-08-21T00:00:00"/>
    <d v="2019-09-10T00:00:00"/>
    <s v="Bio-Rad spol. s r.o."/>
    <m/>
    <n v="23901"/>
    <n v="28920.21"/>
    <m/>
    <m/>
    <m/>
    <d v="2019-09-10T00:00:00"/>
    <s v="SMLN-2019-617-000404"/>
    <x v="101"/>
    <d v="2019-10-11T00:00:00"/>
    <d v="2020-10-07T00:00:00"/>
  </r>
  <r>
    <m/>
    <m/>
    <d v="2019-05-17T00:00:00"/>
    <s v="VZ-2019-000537"/>
    <s v="LÉK"/>
    <s v="Ondráčková"/>
    <x v="206"/>
    <n v="3"/>
    <s v="Spotřební materiál pro Architect 2000"/>
    <m/>
    <s v="33694000-1"/>
    <m/>
    <n v="7518968"/>
    <x v="0"/>
    <d v="2019-06-14T00:00:00"/>
    <d v="2019-08-21T00:00:00"/>
    <d v="2019-09-10T00:00:00"/>
    <s v="Abbott Laboratories, s.r.o."/>
    <m/>
    <n v="7513930"/>
    <n v="9091855.2999999989"/>
    <m/>
    <m/>
    <m/>
    <d v="2019-09-10T00:00:00"/>
    <s v="SMLN-2019-617-000405"/>
    <x v="101"/>
    <d v="2019-10-11T00:00:00"/>
    <d v="2020-10-07T00:00:00"/>
  </r>
  <r>
    <m/>
    <m/>
    <d v="2019-05-17T00:00:00"/>
    <s v="VZ-2019-000538"/>
    <s v="LÉK"/>
    <s v="Ondráčková"/>
    <x v="207"/>
    <n v="1"/>
    <s v="Spotřební materiál pro Cobas 6000 I."/>
    <m/>
    <s v="33694000-1"/>
    <m/>
    <n v="7792"/>
    <x v="0"/>
    <d v="2019-06-17T00:00:00"/>
    <d v="2019-09-23T00:00:00"/>
    <d v="2019-10-04T00:00:00"/>
    <s v="Bio-Rad spol. s r.o."/>
    <m/>
    <n v="7218"/>
    <n v="8733.7800000000007"/>
    <m/>
    <m/>
    <m/>
    <d v="2019-10-07T00:00:00"/>
    <s v="SMLN-2019-617-000488"/>
    <x v="102"/>
    <d v="2019-11-28T00:00:00"/>
    <d v="2020-11-17T00:00:00"/>
  </r>
  <r>
    <m/>
    <m/>
    <d v="2019-05-17T00:00:00"/>
    <s v="VZ-2019-000538"/>
    <s v="LÉK"/>
    <s v="Ondráčková"/>
    <x v="207"/>
    <n v="2"/>
    <s v="Spotřební materiál pro Cobas 6000 II."/>
    <m/>
    <s v="33694000-1"/>
    <m/>
    <n v="6443288"/>
    <x v="0"/>
    <d v="2019-06-17T00:00:00"/>
    <d v="2019-09-23T00:00:00"/>
    <d v="2019-10-04T00:00:00"/>
    <s v="ROCHE s.r.o."/>
    <m/>
    <n v="6443280.1600000001"/>
    <n v="7796368.9900000002"/>
    <m/>
    <m/>
    <m/>
    <d v="2019-10-07T00:00:00"/>
    <s v="SMLN-2019-617-000489"/>
    <x v="102"/>
    <d v="2019-11-28T00:00:00"/>
    <d v="2020-11-17T00:00:00"/>
  </r>
  <r>
    <m/>
    <m/>
    <d v="2019-05-17T00:00:00"/>
    <s v="VZ-2019-000538"/>
    <s v="LÉK"/>
    <s v="Ondráčková"/>
    <x v="207"/>
    <n v="3"/>
    <s v="Spotřební materiál pro Prospec  I."/>
    <m/>
    <s v="33694000-1"/>
    <m/>
    <n v="951584"/>
    <x v="0"/>
    <d v="2019-06-17T00:00:00"/>
    <d v="2019-09-23T00:00:00"/>
    <d v="2019-10-04T00:00:00"/>
    <s v="Siemens Healthcare s.r.o."/>
    <m/>
    <n v="941643"/>
    <n v="1139388.03"/>
    <m/>
    <m/>
    <m/>
    <d v="2019-10-07T00:00:00"/>
    <s v="SMLN-2019-617-000490"/>
    <x v="102"/>
    <d v="2019-11-28T00:00:00"/>
    <d v="2020-11-17T00:00:00"/>
  </r>
  <r>
    <m/>
    <m/>
    <d v="2019-05-17T00:00:00"/>
    <s v="VZ-2019-000538"/>
    <s v="LÉK"/>
    <s v="Ondráčková"/>
    <x v="207"/>
    <n v="4"/>
    <s v="Spotřební materiál pro Prospec  II."/>
    <m/>
    <s v="33694000-1"/>
    <m/>
    <n v="2700"/>
    <x v="0"/>
    <d v="2019-06-17T00:00:00"/>
    <d v="2019-09-23T00:00:00"/>
    <d v="2019-10-04T00:00:00"/>
    <s v="LAB MARK a.s."/>
    <m/>
    <n v="2580"/>
    <n v="3121.8"/>
    <m/>
    <m/>
    <m/>
    <d v="2019-10-07T00:00:00"/>
    <s v="SMLN-2019-617-000491"/>
    <x v="102"/>
    <d v="2019-11-28T00:00:00"/>
    <d v="2020-11-17T00:00:00"/>
  </r>
  <r>
    <m/>
    <m/>
    <d v="2019-05-17T00:00:00"/>
    <s v="VZ-2019-000538"/>
    <s v="LÉK"/>
    <s v="Ondráčková"/>
    <x v="207"/>
    <n v="5"/>
    <s v="Spotřební materiál pro Sebia - elektroforeza"/>
    <m/>
    <s v="33694000-1"/>
    <m/>
    <n v="1669006"/>
    <x v="0"/>
    <d v="2019-06-17T00:00:00"/>
    <d v="2019-09-23T00:00:00"/>
    <m/>
    <s v="Biovendor"/>
    <s v="Biovendor - nepúplná nabídka - vyloučeni, VZ bude vypsána znovu"/>
    <m/>
    <m/>
    <m/>
    <m/>
    <m/>
    <m/>
    <m/>
    <x v="0"/>
    <d v="2019-10-15T00:00:00"/>
    <s v="24.9. zrušeno"/>
  </r>
  <r>
    <m/>
    <m/>
    <d v="2019-05-17T00:00:00"/>
    <s v="VZ-2019-000539"/>
    <s v="LÉK"/>
    <s v="Ondráčková"/>
    <x v="208"/>
    <n v="1"/>
    <s v="Spotřební materiál pro Cobas 8000 I."/>
    <m/>
    <s v="33694000-1"/>
    <m/>
    <n v="245494"/>
    <x v="0"/>
    <d v="2019-06-17T00:00:00"/>
    <d v="2019-08-20T00:00:00"/>
    <d v="2019-09-25T00:00:00"/>
    <s v="Bio-Rad spol. s r.o."/>
    <m/>
    <n v="245492.5"/>
    <n v="297045.93"/>
    <m/>
    <m/>
    <m/>
    <d v="2019-09-26T00:00:00"/>
    <s v="SMLN-2019-617-000468"/>
    <x v="103"/>
    <d v="2019-11-19T00:00:00"/>
    <d v="2020-11-12T00:00:00"/>
  </r>
  <r>
    <m/>
    <m/>
    <d v="2019-05-17T00:00:00"/>
    <s v="VZ-2019-000539"/>
    <s v="LÉK"/>
    <s v="Ondráčková"/>
    <x v="208"/>
    <n v="2"/>
    <s v="Spotřební materiál pro Cobas 8000  II."/>
    <m/>
    <s v="33694000-1"/>
    <m/>
    <n v="89100"/>
    <x v="0"/>
    <d v="2019-06-17T00:00:00"/>
    <d v="2019-08-20T00:00:00"/>
    <m/>
    <s v="eurorad"/>
    <s v="DůVOD zrušeno - bez nabídky ;  ; DALŠÍ POSTUP opakovat; ÚPRAVA  ; PŘEDPOKLAD  ; POZN: "/>
    <m/>
    <m/>
    <m/>
    <m/>
    <m/>
    <m/>
    <m/>
    <x v="0"/>
    <d v="2019-09-17T00:00:00"/>
    <s v="21.8. zrušeno"/>
  </r>
  <r>
    <m/>
    <m/>
    <d v="2019-05-17T00:00:00"/>
    <s v="VZ-2019-000539"/>
    <s v="LÉK"/>
    <s v="Ondráčková"/>
    <x v="208"/>
    <n v="3"/>
    <s v="Spotřební materiál pro Cobas 8000 III."/>
    <m/>
    <s v="33694000-1"/>
    <m/>
    <n v="372709"/>
    <x v="0"/>
    <d v="2019-06-17T00:00:00"/>
    <d v="2019-08-20T00:00:00"/>
    <d v="2019-09-25T00:00:00"/>
    <s v="LAB MARK a.s."/>
    <m/>
    <n v="372700"/>
    <n v="450967"/>
    <m/>
    <m/>
    <m/>
    <d v="2019-09-26T00:00:00"/>
    <s v="SMLN-2019-617-000470"/>
    <x v="103"/>
    <d v="2019-11-19T00:00:00"/>
    <d v="2020-11-12T00:00:00"/>
  </r>
  <r>
    <m/>
    <m/>
    <d v="2019-05-17T00:00:00"/>
    <s v="VZ-2019-000539"/>
    <s v="LÉK"/>
    <s v="Ondráčková"/>
    <x v="208"/>
    <n v="4"/>
    <s v="Spotřební materiál pro Cobas 8000  IV."/>
    <m/>
    <s v="33694000-1"/>
    <m/>
    <n v="9421101"/>
    <x v="0"/>
    <d v="2019-06-17T00:00:00"/>
    <d v="2019-08-20T00:00:00"/>
    <d v="2019-09-25T00:00:00"/>
    <s v="ROCHE s.r.o."/>
    <m/>
    <n v="9421090.1199999992"/>
    <n v="11399519.050000001"/>
    <m/>
    <m/>
    <m/>
    <d v="2019-09-26T00:00:00"/>
    <s v="SMLN-2019-617-000471"/>
    <x v="103"/>
    <d v="2019-11-19T00:00:00"/>
    <d v="2020-11-12T00:00:00"/>
  </r>
  <r>
    <m/>
    <m/>
    <d v="2019-05-17T00:00:00"/>
    <s v="VZ-2019-000540"/>
    <s v="LÉK"/>
    <s v="Ondráčková"/>
    <x v="209"/>
    <n v="1"/>
    <s v="Spotřební materiál pro Cobas 8000"/>
    <m/>
    <s v="33694000-1"/>
    <m/>
    <n v="10400808"/>
    <x v="0"/>
    <d v="2019-06-14T00:00:00"/>
    <d v="2019-09-09T00:00:00"/>
    <d v="2019-09-25T00:00:00"/>
    <s v="ROCHE s.r.o."/>
    <m/>
    <n v="10400789.970000001"/>
    <n v="12584955.859999999"/>
    <m/>
    <m/>
    <m/>
    <d v="2019-09-26T00:00:00"/>
    <s v="SMLN-2019-617-000467"/>
    <x v="104"/>
    <d v="2019-11-12T00:00:00"/>
    <d v="2020-11-06T00:00:00"/>
  </r>
  <r>
    <m/>
    <m/>
    <d v="2019-05-17T00:00:00"/>
    <s v="VZ-2019-000541"/>
    <s v="LÉK"/>
    <s v="Ondráčková"/>
    <x v="210"/>
    <n v="1"/>
    <s v="Spotřební materiál pro CFX96 I."/>
    <m/>
    <s v="33694000-1"/>
    <m/>
    <n v="2903053"/>
    <x v="0"/>
    <d v="2019-06-04T00:00:00"/>
    <d v="2019-08-12T00:00:00"/>
    <d v="2019-12-19T00:00:00"/>
    <s v="GeneTiCA s.r.o."/>
    <m/>
    <n v="2903040"/>
    <n v="3512678.3999999999"/>
    <m/>
    <m/>
    <m/>
    <d v="2019-12-20T00:00:00"/>
    <s v="SMLN-2019-617-000666"/>
    <x v="0"/>
    <m/>
    <m/>
  </r>
  <r>
    <m/>
    <m/>
    <d v="2019-05-17T00:00:00"/>
    <s v="VZ-2019-000541"/>
    <s v="LÉK"/>
    <s v="Ondráčková"/>
    <x v="210"/>
    <n v="2"/>
    <s v="Spotřební materiál pro CFX96 II."/>
    <m/>
    <s v="33694000-1"/>
    <m/>
    <n v="1057073"/>
    <x v="0"/>
    <d v="2019-06-04T00:00:00"/>
    <d v="2019-08-12T00:00:00"/>
    <m/>
    <s v="medista"/>
    <s v="DůVOD zrušeno - bez nabídky ;  ; DALŠÍ POSTUP opakovat; ÚPRAVA  ; PŘEDPOKLAD  ; POZN: "/>
    <m/>
    <m/>
    <m/>
    <m/>
    <m/>
    <m/>
    <m/>
    <x v="0"/>
    <d v="2019-09-19T00:00:00"/>
    <s v="27.8. zrušeno"/>
  </r>
  <r>
    <m/>
    <m/>
    <d v="2019-05-17T00:00:00"/>
    <s v="VZ-2019-000541"/>
    <s v="LÉK"/>
    <s v="Ondráčková"/>
    <x v="210"/>
    <n v="3"/>
    <s v="Spotřební materiál pro Cobas TaqMan"/>
    <m/>
    <s v="33694000-1"/>
    <m/>
    <n v="285400"/>
    <x v="0"/>
    <d v="2019-06-04T00:00:00"/>
    <d v="2019-08-12T00:00:00"/>
    <d v="2019-12-19T00:00:00"/>
    <s v="ROCHE s.r.o."/>
    <m/>
    <n v="285400"/>
    <n v="345334"/>
    <m/>
    <m/>
    <m/>
    <d v="2019-12-20T00:00:00"/>
    <s v="SMLN-2019-617-000667"/>
    <x v="0"/>
    <m/>
    <m/>
  </r>
  <r>
    <m/>
    <m/>
    <d v="2019-05-17T00:00:00"/>
    <s v="VZ-2019-000541"/>
    <s v="LÉK"/>
    <s v="Ondráčková"/>
    <x v="210"/>
    <n v="4"/>
    <s v="Spotřební materiál pro  BactecMGIT960"/>
    <m/>
    <s v="33694000-1"/>
    <m/>
    <n v="909294"/>
    <x v="0"/>
    <d v="2019-06-04T00:00:00"/>
    <d v="2019-08-12T00:00:00"/>
    <m/>
    <s v="zrušeno - špatné zadání"/>
    <m/>
    <m/>
    <m/>
    <m/>
    <m/>
    <m/>
    <m/>
    <m/>
    <x v="0"/>
    <d v="2020-01-09T00:00:00"/>
    <s v="18.12.zrušeno"/>
  </r>
  <r>
    <m/>
    <m/>
    <d v="2019-05-17T00:00:00"/>
    <s v="VZ-2019-000541"/>
    <s v="LÉK"/>
    <s v="Ondráčková"/>
    <x v="210"/>
    <n v="5"/>
    <s v="Spotřební materiál pro Fotometr Biotek ELx808 I."/>
    <m/>
    <s v="33694000-1"/>
    <m/>
    <n v="372050"/>
    <x v="0"/>
    <d v="2019-06-04T00:00:00"/>
    <d v="2019-08-12T00:00:00"/>
    <d v="2019-12-19T00:00:00"/>
    <s v="Biomedica ČS, s.r.o."/>
    <m/>
    <n v="237646.8"/>
    <n v="287552.63"/>
    <m/>
    <m/>
    <m/>
    <d v="2019-12-20T00:00:00"/>
    <s v="SMLN-2019-617-000668"/>
    <x v="0"/>
    <m/>
    <m/>
  </r>
  <r>
    <m/>
    <m/>
    <d v="2019-05-17T00:00:00"/>
    <s v="VZ-2019-000541"/>
    <s v="LÉK"/>
    <s v="Ondráčková"/>
    <x v="210"/>
    <n v="6"/>
    <s v="Spotřební materiál pro Fotometr Biotek ELx808 II."/>
    <m/>
    <s v="33694000-1"/>
    <m/>
    <n v="750200"/>
    <x v="0"/>
    <d v="2019-06-04T00:00:00"/>
    <d v="2019-08-12T00:00:00"/>
    <m/>
    <s v="ascomed"/>
    <s v="DůVOD zrušeno -neuplná nabídka ;  ; DALŠÍ POSTUP upravit položky; ÚPRAVA  ; PŘEDPOKLAD  ; POZN: "/>
    <m/>
    <m/>
    <m/>
    <m/>
    <m/>
    <m/>
    <m/>
    <x v="0"/>
    <d v="2019-09-19T00:00:00"/>
    <s v="27.8. zrušeno"/>
  </r>
  <r>
    <m/>
    <m/>
    <d v="2019-05-17T00:00:00"/>
    <s v="VZ-2019-000541"/>
    <s v="LÉK"/>
    <s v="Ondráčková"/>
    <x v="210"/>
    <n v="7"/>
    <s v="Spotřební materiál pro Fotometr Biotek ELx808 III."/>
    <m/>
    <s v="33694000-1"/>
    <m/>
    <n v="916955"/>
    <x v="0"/>
    <d v="2019-06-04T00:00:00"/>
    <d v="2019-08-12T00:00:00"/>
    <s v="19.12.209"/>
    <s v="Dynex LabSolutions s.r.o."/>
    <m/>
    <n v="906965.5"/>
    <n v="1097428.26"/>
    <m/>
    <m/>
    <m/>
    <d v="2019-12-20T00:00:00"/>
    <s v="SMLN-2019-617-000669"/>
    <x v="0"/>
    <m/>
    <m/>
  </r>
  <r>
    <m/>
    <m/>
    <d v="2019-05-17T00:00:00"/>
    <s v="VZ-2019-000541"/>
    <s v="LÉK"/>
    <s v="Ondráčková"/>
    <x v="210"/>
    <n v="8"/>
    <s v="Kultivační média pro automat WASP"/>
    <m/>
    <s v="33694000-1"/>
    <m/>
    <n v="2769329"/>
    <x v="0"/>
    <d v="2019-06-04T00:00:00"/>
    <d v="2019-08-12T00:00:00"/>
    <d v="2019-12-19T00:00:00"/>
    <s v="TRIOS, spol. s r.o."/>
    <m/>
    <n v="2723403.66"/>
    <n v="3295318.43"/>
    <m/>
    <m/>
    <m/>
    <d v="2019-12-20T00:00:00"/>
    <s v="SMLN-2019-617-000670"/>
    <x v="0"/>
    <m/>
    <m/>
  </r>
  <r>
    <m/>
    <m/>
    <d v="2019-05-17T00:00:00"/>
    <s v="VZ-2019-000542"/>
    <s v="LÉK"/>
    <s v="Ondráčková"/>
    <x v="211"/>
    <n v="1"/>
    <s v="Spotřební materiál pro Liaison XL "/>
    <m/>
    <s v="33694000-1"/>
    <m/>
    <n v="5942299"/>
    <x v="0"/>
    <d v="2019-06-05T00:00:00"/>
    <d v="2019-07-09T00:00:00"/>
    <d v="2019-08-20T00:00:00"/>
    <s v="DiaSorin Czech s.r.o."/>
    <m/>
    <n v="5924407.6799999997"/>
    <n v="7168533.29"/>
    <m/>
    <m/>
    <m/>
    <d v="2019-08-20T00:00:00"/>
    <s v="SMLN-2019-617-000361"/>
    <x v="101"/>
    <d v="2019-10-10T00:00:00"/>
    <d v="2020-10-07T00:00:00"/>
  </r>
  <r>
    <m/>
    <m/>
    <d v="2019-05-17T00:00:00"/>
    <s v="VZ-2019-000543"/>
    <s v="LÉK"/>
    <s v="Ondráčková"/>
    <x v="212"/>
    <n v="1"/>
    <s v="Spotřební materiál pro mikrobiologii II."/>
    <m/>
    <s v="33694000-1"/>
    <m/>
    <n v="182310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2"/>
    <s v="Spotřební materiál pro mikrobiologii III."/>
    <m/>
    <s v="33694000-1"/>
    <m/>
    <n v="291206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3"/>
    <s v="Spotřební materiál pro mikrobiologii IV."/>
    <m/>
    <s v="33694000-1"/>
    <m/>
    <n v="12360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4"/>
    <s v="Spotřební materiál pro mikrobiologii V."/>
    <m/>
    <s v="33694000-1"/>
    <m/>
    <n v="409529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5"/>
    <s v="Spotřební materiál pro Qiacube"/>
    <m/>
    <s v="33694000-1"/>
    <m/>
    <n v="379509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6"/>
    <s v="Spotřební materiál pro mikrobiologii VI."/>
    <m/>
    <s v="33694000-1"/>
    <m/>
    <n v="162467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7"/>
    <s v="Spotřební materiál pro mikrobiologii VII."/>
    <m/>
    <s v="33694000-1"/>
    <m/>
    <n v="144450"/>
    <x v="0"/>
    <d v="2019-06-05T00:00:00"/>
    <d v="2019-08-29T00:00:00"/>
    <m/>
    <s v="sigmal"/>
    <s v="DůVOD zrušeno - bez nabídky ;  ; DALŠÍ POSTUP opakovat; ÚPRAVA  ; PŘEDPOKLAD  ; POZN: "/>
    <m/>
    <m/>
    <m/>
    <m/>
    <m/>
    <m/>
    <m/>
    <x v="0"/>
    <d v="2019-09-05T00:00:00"/>
    <s v="5.9. zrušeno"/>
  </r>
  <r>
    <m/>
    <m/>
    <d v="2019-05-17T00:00:00"/>
    <s v="VZ-2019-000543"/>
    <s v="LÉK"/>
    <s v="Ondráčková"/>
    <x v="212"/>
    <n v="8"/>
    <s v="Spotřební materiál pro mikrobiologii VIII."/>
    <m/>
    <s v="33694000-1"/>
    <m/>
    <n v="202652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9"/>
    <s v="Spotřební materiál pro mikrobiologii  IX."/>
    <m/>
    <s v="33694000-1"/>
    <m/>
    <n v="601611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10"/>
    <s v="Spotřební materiál pro mikrobiologii  X."/>
    <m/>
    <s v="33694000-1"/>
    <m/>
    <n v="253696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11"/>
    <s v="Spotřební materiál pro Profiblot 48 Tecan"/>
    <m/>
    <s v="33694000-1"/>
    <m/>
    <n v="434935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12"/>
    <s v="Spotřební materiál pro CFX96 III."/>
    <m/>
    <s v="33694000-1"/>
    <m/>
    <n v="918481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13"/>
    <s v="Spotřební materiál pro CFX96 IV."/>
    <m/>
    <s v="33694000-1"/>
    <m/>
    <n v="320000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14"/>
    <s v="Spotřební materiál pro GeneXpert, Cepheid"/>
    <m/>
    <s v="33694000-1"/>
    <m/>
    <n v="98615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s v="LÉK"/>
    <s v="Ondráčková"/>
    <x v="212"/>
    <n v="15"/>
    <s v="Spotřební materiál pro mikrobiologii I."/>
    <m/>
    <s v="33694000-1"/>
    <m/>
    <n v="319003"/>
    <x v="0"/>
    <d v="2019-06-05T00:00:00"/>
    <d v="2019-08-29T00:00:00"/>
    <m/>
    <m/>
    <m/>
    <m/>
    <m/>
    <m/>
    <m/>
    <m/>
    <m/>
    <m/>
    <x v="0"/>
    <d v="2019-09-05T00:00:00"/>
    <s v="5.9. zrušeno"/>
  </r>
  <r>
    <m/>
    <m/>
    <d v="2019-05-17T00:00:00"/>
    <s v="VZ-2019-000544"/>
    <s v="LÉK"/>
    <s v="Ondráčková"/>
    <x v="213"/>
    <n v="1"/>
    <s v="Spotřební materiál pro BD FACSCanto"/>
    <m/>
    <s v="33694000-1"/>
    <m/>
    <n v="401500"/>
    <x v="0"/>
    <d v="2019-06-07T00:00:00"/>
    <d v="2019-08-13T00:00:00"/>
    <d v="2019-12-17T00:00:00"/>
    <s v="Becton Dickinson  Czechia, s.r.o."/>
    <m/>
    <n v="252220"/>
    <n v="305186.2"/>
    <m/>
    <m/>
    <m/>
    <d v="2019-12-19T00:00:00"/>
    <s v="SMLN-2019-617-000647"/>
    <x v="0"/>
    <m/>
    <m/>
  </r>
  <r>
    <m/>
    <m/>
    <d v="2019-05-17T00:00:00"/>
    <s v="VZ-2019-000544"/>
    <s v="LÉK"/>
    <s v="Ondráčková"/>
    <x v="213"/>
    <n v="2"/>
    <s v="Spotřební materiál pro Cyklery Bio Rad, Biometra I"/>
    <m/>
    <s v="33694000-1"/>
    <m/>
    <n v="3061174"/>
    <x v="0"/>
    <d v="2019-06-07T00:00:00"/>
    <d v="2019-08-13T00:00:00"/>
    <d v="2019-12-17T00:00:00"/>
    <s v="INTERSOL, spol. s r.o."/>
    <m/>
    <n v="3061174"/>
    <n v="3631595.99"/>
    <m/>
    <m/>
    <m/>
    <d v="2019-12-19T00:00:00"/>
    <s v="SMLN-2019-617-000648"/>
    <x v="0"/>
    <m/>
    <m/>
  </r>
  <r>
    <m/>
    <m/>
    <d v="2019-05-17T00:00:00"/>
    <s v="VZ-2019-000544"/>
    <s v="LÉK"/>
    <s v="Ondráčková"/>
    <x v="213"/>
    <n v="3"/>
    <s v="Spotřební materiál pro Cyklery Bio Rad, Biometra II"/>
    <m/>
    <s v="33694000-1"/>
    <m/>
    <n v="55026"/>
    <x v="0"/>
    <d v="2019-06-07T00:00:00"/>
    <d v="2019-08-13T00:00:00"/>
    <m/>
    <s v="JKTrading"/>
    <s v="DůVOD zrušeno - bez nabídky ;  ; DALŠÍ POSTUP opakovat; ÚPRAVA  ; PŘEDPOKLAD  ; POZN: "/>
    <m/>
    <m/>
    <m/>
    <m/>
    <m/>
    <m/>
    <m/>
    <x v="0"/>
    <d v="2019-09-18T00:00:00"/>
    <s v="27.8. zrušeno"/>
  </r>
  <r>
    <m/>
    <m/>
    <d v="2019-05-17T00:00:00"/>
    <s v="VZ-2019-000544"/>
    <s v="LÉK"/>
    <s v="Ondráčková"/>
    <x v="213"/>
    <n v="4"/>
    <s v="Spotřební materiál pro Cyklery Bio Rad, Biometra III"/>
    <m/>
    <s v="33694000-1"/>
    <m/>
    <n v="32179"/>
    <x v="0"/>
    <d v="2019-06-07T00:00:00"/>
    <d v="2019-08-13T00:00:00"/>
    <m/>
    <s v="Dynex"/>
    <s v="DůVOD zrušeno - bez nabídky ;  ; DALŠÍ POSTUP opakovat; ÚPRAVA  ; PŘEDPOKLAD  ; POZN: "/>
    <m/>
    <m/>
    <m/>
    <m/>
    <m/>
    <m/>
    <m/>
    <x v="0"/>
    <d v="2019-09-18T00:00:00"/>
    <s v="27.8. zrušeno"/>
  </r>
  <r>
    <m/>
    <m/>
    <d v="2019-05-17T00:00:00"/>
    <s v="VZ-2019-000544"/>
    <s v="LÉK"/>
    <s v="Ondráčková"/>
    <x v="213"/>
    <n v="5"/>
    <s v="Elekroforézy Max Power 500"/>
    <m/>
    <s v="33694000-1"/>
    <m/>
    <n v="159200"/>
    <x v="0"/>
    <d v="2019-06-07T00:00:00"/>
    <d v="2019-08-13T00:00:00"/>
    <d v="2019-12-17T00:00:00"/>
    <s v="BioTech a.s."/>
    <m/>
    <n v="107440"/>
    <n v="130002.4"/>
    <m/>
    <m/>
    <m/>
    <d v="2019-12-19T00:00:00"/>
    <s v="SMLN-2019-617-000649"/>
    <x v="0"/>
    <m/>
    <m/>
  </r>
  <r>
    <m/>
    <m/>
    <d v="2019-05-17T00:00:00"/>
    <s v="VZ-2019-000544"/>
    <s v="LÉK"/>
    <s v="Ondráčková"/>
    <x v="213"/>
    <n v="6"/>
    <s v="Spotřební materiál pro  ELISA Reader Biotek"/>
    <m/>
    <s v="33694000-1"/>
    <m/>
    <n v="443295"/>
    <x v="0"/>
    <d v="2019-06-07T00:00:00"/>
    <d v="2019-08-13T00:00:00"/>
    <d v="2019-12-17T00:00:00"/>
    <s v="CEEMED s.r.o."/>
    <m/>
    <n v="443294"/>
    <n v="509788.1"/>
    <m/>
    <m/>
    <m/>
    <d v="2019-12-19T00:00:00"/>
    <s v="SMLN-2019-617-000650"/>
    <x v="0"/>
    <m/>
    <m/>
  </r>
  <r>
    <m/>
    <m/>
    <d v="2019-05-17T00:00:00"/>
    <s v="VZ-2019-000544"/>
    <s v="LÉK"/>
    <s v="Ondráčková"/>
    <x v="213"/>
    <n v="7"/>
    <s v="Spotřební materiál pro  fotometr Tecan Sunrise I."/>
    <m/>
    <s v="33694000-1"/>
    <m/>
    <n v="138334"/>
    <x v="0"/>
    <d v="2019-06-07T00:00:00"/>
    <d v="2019-08-13T00:00:00"/>
    <d v="2019-12-17T00:00:00"/>
    <s v="LABOSERV s.r.o."/>
    <m/>
    <n v="138322.79999999999"/>
    <n v="167370.59"/>
    <m/>
    <m/>
    <m/>
    <d v="2019-12-19T00:00:00"/>
    <s v="SMLN-2019-617-000651"/>
    <x v="0"/>
    <m/>
    <m/>
  </r>
  <r>
    <m/>
    <m/>
    <d v="2019-05-17T00:00:00"/>
    <s v="VZ-2019-000544"/>
    <s v="LÉK"/>
    <s v="Ondráčková"/>
    <x v="213"/>
    <n v="8"/>
    <s v="Spotřební materiál pro fotometr Tecan Sunrise II."/>
    <m/>
    <s v="33694000-1"/>
    <m/>
    <n v="144000"/>
    <x v="0"/>
    <d v="2019-06-07T00:00:00"/>
    <d v="2019-08-13T00:00:00"/>
    <m/>
    <s v="Testline"/>
    <s v="DůVOD zrušeno - bez nabídky ;  ; DALŠÍ POSTUP opakovat; ÚPRAVA  ; PŘEDPOKLAD  ; POZN: "/>
    <m/>
    <m/>
    <m/>
    <m/>
    <m/>
    <m/>
    <m/>
    <x v="0"/>
    <d v="2019-09-18T00:00:00"/>
    <s v="27.8. zrušeno"/>
  </r>
  <r>
    <m/>
    <m/>
    <d v="2019-05-17T00:00:00"/>
    <s v="VZ-2019-000544"/>
    <s v="LÉK"/>
    <s v="Ondráčková"/>
    <x v="213"/>
    <n v="9"/>
    <s v="Spotřební materiál pro fotometr Tecan Sunrise III."/>
    <m/>
    <s v="33694000-1"/>
    <m/>
    <n v="630771"/>
    <x v="0"/>
    <d v="2019-06-07T00:00:00"/>
    <d v="2019-08-13T00:00:00"/>
    <d v="2019-12-17T00:00:00"/>
    <s v="GALI spol. s r.o."/>
    <m/>
    <n v="630740"/>
    <n v="763195.4"/>
    <m/>
    <m/>
    <m/>
    <d v="2019-12-19T00:00:00"/>
    <s v="SMLN-2019-617-000652"/>
    <x v="0"/>
    <m/>
    <m/>
  </r>
  <r>
    <m/>
    <m/>
    <d v="2019-05-17T00:00:00"/>
    <s v="VZ-2019-000544"/>
    <s v="LÉK"/>
    <s v="Ondráčková"/>
    <x v="213"/>
    <n v="10"/>
    <s v="Spotřební materiál pro Fotometr Tecan Sunrise IV."/>
    <m/>
    <s v="33694000-1"/>
    <m/>
    <n v="798400"/>
    <x v="0"/>
    <d v="2019-06-07T00:00:00"/>
    <d v="2019-08-13T00:00:00"/>
    <m/>
    <s v="zrušeno - oprava zadání"/>
    <m/>
    <m/>
    <m/>
    <m/>
    <m/>
    <m/>
    <m/>
    <m/>
    <x v="0"/>
    <d v="2020-01-10T00:00:00"/>
    <s v="18.12. zrušeno"/>
  </r>
  <r>
    <m/>
    <m/>
    <d v="2019-05-17T00:00:00"/>
    <s v="VZ-2019-000545"/>
    <s v="LÉK"/>
    <s v="Ondráčková"/>
    <x v="214"/>
    <n v="1"/>
    <s v="Spotřební materiál pro Phadia 100"/>
    <m/>
    <s v="33694000-1"/>
    <m/>
    <n v="115765"/>
    <x v="0"/>
    <d v="2019-06-07T00:00:00"/>
    <d v="2019-07-12T00:00:00"/>
    <d v="2019-08-29T00:00:00"/>
    <s v="Phadia, s.r.o."/>
    <m/>
    <n v="114895"/>
    <n v="139022.95000000001"/>
    <m/>
    <m/>
    <m/>
    <d v="2019-09-02T00:00:00"/>
    <s v="SMLN-2019-617-000392"/>
    <x v="105"/>
    <d v="2019-12-05T00:00:00"/>
    <d v="2020-11-26T00:00:00"/>
  </r>
  <r>
    <m/>
    <m/>
    <d v="2019-05-17T00:00:00"/>
    <s v="VZ-2019-000545"/>
    <s v="LÉK"/>
    <s v="Ondráčková"/>
    <x v="214"/>
    <n v="2"/>
    <s v="Spotřební materiál pro Phadia 250"/>
    <m/>
    <s v="33694000-1"/>
    <m/>
    <n v="5632435"/>
    <x v="0"/>
    <d v="2019-06-07T00:00:00"/>
    <d v="2019-07-12T00:00:00"/>
    <d v="2019-08-29T00:00:00"/>
    <s v="Phadia, s.r.o."/>
    <m/>
    <n v="5628645"/>
    <n v="6810660.4500000002"/>
    <m/>
    <m/>
    <m/>
    <d v="2019-09-02T00:00:00"/>
    <s v="SMLN-2019-617-000393"/>
    <x v="105"/>
    <d v="2019-12-05T00:00:00"/>
    <d v="2020-11-26T00:00:00"/>
  </r>
  <r>
    <m/>
    <m/>
    <d v="2019-05-17T00:00:00"/>
    <s v="VZ-2019-000545"/>
    <s v="LÉK"/>
    <s v="Ondráčková"/>
    <x v="214"/>
    <n v="3"/>
    <s v="Spotřební materiál pro nefelometr BN II"/>
    <m/>
    <s v="33694000-1"/>
    <m/>
    <n v="3859547"/>
    <x v="0"/>
    <d v="2019-06-07T00:00:00"/>
    <d v="2019-07-12T00:00:00"/>
    <d v="2019-08-29T00:00:00"/>
    <s v="Siemens Healthcare s.r.o."/>
    <m/>
    <n v="3854751"/>
    <n v="4664248.71"/>
    <m/>
    <m/>
    <m/>
    <d v="2019-09-02T00:00:00"/>
    <s v="SMLN-2019-617-000394"/>
    <x v="105"/>
    <d v="2019-12-05T00:00:00"/>
    <d v="2020-11-26T00:00:00"/>
  </r>
  <r>
    <m/>
    <m/>
    <d v="2019-05-17T00:00:00"/>
    <s v="VZ-2019-000546"/>
    <s v="LÉK"/>
    <s v="Ondráčková"/>
    <x v="215"/>
    <n v="1"/>
    <s v="Spotřební materiál pro Fotometr Tecan Sunrise V."/>
    <m/>
    <s v="33694000-1"/>
    <m/>
    <n v="518440"/>
    <x v="0"/>
    <d v="2019-06-10T00:00:00"/>
    <d v="2019-07-15T00:00:00"/>
    <d v="2019-09-10T00:00:00"/>
    <s v="MEDISCO Praha, s.r.o."/>
    <m/>
    <n v="518350"/>
    <n v="627203.5"/>
    <m/>
    <m/>
    <m/>
    <d v="2019-09-10T00:00:00"/>
    <s v="SMLN-2019-617-000412"/>
    <x v="106"/>
    <d v="2019-11-06T00:00:00"/>
    <d v="2020-11-04T00:00:00"/>
  </r>
  <r>
    <m/>
    <m/>
    <d v="2019-05-17T00:00:00"/>
    <s v="VZ-2019-000546"/>
    <s v="LÉK"/>
    <s v="Ondráčková"/>
    <x v="215"/>
    <n v="2"/>
    <s v="Spotřební materiál pro Genetický analyzátor 3500 I."/>
    <m/>
    <s v="33694000-1"/>
    <m/>
    <n v="1561878"/>
    <x v="0"/>
    <d v="2019-06-10T00:00:00"/>
    <d v="2019-07-15T00:00:00"/>
    <m/>
    <s v="Huge diagnostics"/>
    <s v="DůVOD zrušeno - bez nabídky ; kvůli nepřesným údajům zakázky (katalogová čísla a ceny)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3"/>
    <s v="Spotřební materiál pro Genetický analyzátor 3500  II."/>
    <m/>
    <s v="33694000-1"/>
    <m/>
    <n v="137608"/>
    <x v="0"/>
    <d v="2019-06-10T00:00:00"/>
    <d v="2019-07-15T00:00:00"/>
    <d v="2019-09-10T00:00:00"/>
    <s v="Life Technologies Czech Republic s.r.o."/>
    <m/>
    <n v="129404.85"/>
    <n v="156579.87"/>
    <m/>
    <m/>
    <m/>
    <d v="2019-09-10T00:00:00"/>
    <s v="SMLN-2019-617-000413"/>
    <x v="106"/>
    <d v="2019-11-06T00:00:00"/>
    <d v="2020-11-04T00:00:00"/>
  </r>
  <r>
    <m/>
    <m/>
    <d v="2019-05-17T00:00:00"/>
    <s v="VZ-2019-000546"/>
    <s v="LÉK"/>
    <s v="Ondráčková"/>
    <x v="215"/>
    <n v="4"/>
    <s v="Spotřební materiál pro  mikroskop Nicon"/>
    <m/>
    <s v="33694000-1"/>
    <m/>
    <n v="17780"/>
    <x v="0"/>
    <d v="2019-06-10T00:00:00"/>
    <d v="2019-07-15T00:00:00"/>
    <m/>
    <s v="Scintil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5"/>
    <s v="Spotřební materiál pro Izolátor DNA NorDiag Arrow"/>
    <m/>
    <s v="33694000-1"/>
    <m/>
    <n v="112084"/>
    <x v="0"/>
    <d v="2019-06-10T00:00:00"/>
    <d v="2019-07-15T00:00:00"/>
    <m/>
    <s v="Huge diagnostics"/>
    <s v="DůVOD zrušeno - bez nabídky ; kvůli nepřesným údajům zakázky (katalogová čísla a ceny)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6"/>
    <s v="Spotřební materiál pro mikroskop Leica DM2000 I."/>
    <m/>
    <s v="33694000-1"/>
    <m/>
    <n v="164605"/>
    <x v="0"/>
    <d v="2019-06-10T00:00:00"/>
    <d v="2019-07-15T00:00:00"/>
    <m/>
    <s v="JKTrading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7"/>
    <s v="Spotřební materiál pro mikroskop Leica DM2000 II."/>
    <m/>
    <s v="33694000-1"/>
    <m/>
    <n v="230142"/>
    <x v="0"/>
    <d v="2019-06-10T00:00:00"/>
    <d v="2019-07-15T00:00:00"/>
    <d v="2019-09-10T00:00:00"/>
    <s v="Werfen Czech s.r.o."/>
    <m/>
    <n v="230141.95"/>
    <n v="278471.76"/>
    <m/>
    <m/>
    <m/>
    <d v="2019-09-10T00:00:00"/>
    <s v="SMLN-2019-617-000414"/>
    <x v="106"/>
    <d v="2019-11-06T00:00:00"/>
    <d v="2020-11-04T00:00:00"/>
  </r>
  <r>
    <m/>
    <m/>
    <d v="2019-05-17T00:00:00"/>
    <s v="VZ-2019-000546"/>
    <s v="LÉK"/>
    <s v="Ondráčková"/>
    <x v="215"/>
    <n v="8"/>
    <s v=" Spotřební materiál pro mikroskop Nicon"/>
    <m/>
    <s v="33694000-1"/>
    <m/>
    <n v="56781"/>
    <x v="0"/>
    <d v="2019-06-10T00:00:00"/>
    <d v="2019-07-15T00:00:00"/>
    <m/>
    <s v="Scintil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9"/>
    <s v="Spotřební materiál pro Mindray BriCyte E10"/>
    <m/>
    <s v="33694000-1"/>
    <m/>
    <n v="242475"/>
    <x v="0"/>
    <d v="2019-06-10T00:00:00"/>
    <d v="2019-07-15T00:00:00"/>
    <d v="2019-09-10T00:00:00"/>
    <s v="I.T.A. - Interact s.r.o."/>
    <m/>
    <n v="242122"/>
    <n v="292967.62"/>
    <m/>
    <m/>
    <m/>
    <d v="2019-09-10T00:00:00"/>
    <s v="SMLN-2019-617-000415"/>
    <x v="106"/>
    <d v="2019-11-06T00:00:00"/>
    <d v="2020-11-04T00:00:00"/>
  </r>
  <r>
    <m/>
    <m/>
    <d v="2019-05-17T00:00:00"/>
    <s v="VZ-2019-000546"/>
    <s v="LÉK"/>
    <s v="Ondráčková"/>
    <x v="215"/>
    <n v="10"/>
    <s v="Spotřební bonus pro Miseq - Illumina I."/>
    <m/>
    <s v="33694000-1"/>
    <m/>
    <n v="281956"/>
    <x v="0"/>
    <d v="2019-06-10T00:00:00"/>
    <d v="2019-07-15T00:00:00"/>
    <m/>
    <s v="Dynex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11"/>
    <s v="Spotřební bonus pro Miseq - Illumina II."/>
    <m/>
    <s v="33694000-1"/>
    <m/>
    <n v="273420"/>
    <x v="0"/>
    <d v="2019-06-10T00:00:00"/>
    <d v="2019-07-15T00:00:00"/>
    <m/>
    <s v="Genetica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12"/>
    <s v="Spotřební materiál pro Potransplantační CM/"/>
    <m/>
    <s v="33694000-1"/>
    <m/>
    <n v="9180"/>
    <x v="0"/>
    <d v="2019-06-10T00:00:00"/>
    <d v="2019-07-15T00:00:00"/>
    <m/>
    <s v="Scintil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13"/>
    <s v="Spotřební materiál pro Qubit® 2.0 Fluorometr "/>
    <m/>
    <s v="33694000-1"/>
    <m/>
    <n v="15521"/>
    <x v="0"/>
    <d v="2019-06-10T00:00:00"/>
    <d v="2019-07-15T00:00:00"/>
    <d v="2019-09-10T00:00:00"/>
    <s v="Life Technologies Czech Republic s.r.o."/>
    <m/>
    <n v="15498"/>
    <n v="18752.580000000002"/>
    <m/>
    <m/>
    <m/>
    <d v="2019-09-10T00:00:00"/>
    <s v="SMLN-2019-617-000416"/>
    <x v="106"/>
    <d v="2019-11-06T00:00:00"/>
    <d v="2020-11-04T00:00:00"/>
  </r>
  <r>
    <m/>
    <m/>
    <d v="2019-05-17T00:00:00"/>
    <s v="VZ-2019-000546"/>
    <s v="LÉK"/>
    <s v="Ondráčková"/>
    <x v="215"/>
    <n v="14"/>
    <s v="Spotřební materiál pro Třepačka Mini Rocket"/>
    <m/>
    <s v="33694000-1"/>
    <m/>
    <n v="285592"/>
    <x v="0"/>
    <d v="2019-06-10T00:00:00"/>
    <d v="2019-07-15T00:00:00"/>
    <m/>
    <s v="biovendor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15"/>
    <s v="Spotřební materiál IMUNO I."/>
    <m/>
    <s v="33694000-1"/>
    <m/>
    <n v="7581"/>
    <x v="0"/>
    <d v="2019-06-10T00:00:00"/>
    <d v="2019-07-15T00:00:00"/>
    <m/>
    <s v="life diangnostic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s v="LÉK"/>
    <s v="Ondráčková"/>
    <x v="215"/>
    <n v="16"/>
    <s v="Spotřební materiál IMUNO II."/>
    <m/>
    <s v="33694000-1"/>
    <m/>
    <n v="17828"/>
    <x v="0"/>
    <d v="2019-06-10T00:00:00"/>
    <d v="2019-07-15T00:00:00"/>
    <m/>
    <s v="Scintil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7"/>
    <s v="LÉK"/>
    <s v="Ondráčková"/>
    <x v="216"/>
    <n v="1"/>
    <s v="Chemikálie pro molekulárně biologické metody"/>
    <m/>
    <s v="33694000-1"/>
    <m/>
    <n v="89798"/>
    <x v="1"/>
    <d v="2019-06-05T00:00:00"/>
    <d v="2019-07-22T00:00:00"/>
    <d v="2019-10-30T00:00:00"/>
    <s v="Carolina Biosystems, s.r.o."/>
    <m/>
    <n v="59000"/>
    <n v="71390"/>
    <m/>
    <m/>
    <m/>
    <d v="2019-10-31T00:00:00"/>
    <s v="SMLN-2019-617-000536"/>
    <x v="107"/>
    <d v="2020-01-13T00:00:00"/>
    <d v="2020-12-17T00:00:00"/>
  </r>
  <r>
    <m/>
    <m/>
    <d v="2019-05-17T00:00:00"/>
    <s v="VZ-2019-000547"/>
    <s v="LÉK"/>
    <s v="Ondráčková"/>
    <x v="216"/>
    <n v="2"/>
    <s v="Protilátky a chemikálie pro IHC metody I."/>
    <m/>
    <s v="33694000-1"/>
    <m/>
    <n v="298119"/>
    <x v="1"/>
    <d v="2019-06-05T00:00:00"/>
    <d v="2019-07-22T00:00:00"/>
    <m/>
    <s v="pragostem"/>
    <s v="DůVOD zrušeno - nesplnění podmínek ;  ; DALŠÍ POSTUP opakovat; ÚPRAVA  ; PŘEDPOKLAD  ; POZN: "/>
    <m/>
    <m/>
    <m/>
    <m/>
    <m/>
    <m/>
    <m/>
    <x v="0"/>
    <d v="2019-08-13T00:00:00"/>
    <s v="12.8. zrušeno"/>
  </r>
  <r>
    <m/>
    <m/>
    <d v="2019-05-17T00:00:00"/>
    <s v="VZ-2019-000547"/>
    <s v="LÉK"/>
    <s v="Ondráčková"/>
    <x v="216"/>
    <n v="3"/>
    <s v="Protilátky a chemikálie pro IHC metody II."/>
    <m/>
    <s v="33694000-1"/>
    <m/>
    <n v="1064078"/>
    <x v="1"/>
    <d v="2019-06-05T00:00:00"/>
    <d v="2019-07-22T00:00:00"/>
    <d v="2019-10-30T00:00:00"/>
    <s v="ROCHE s.r.o."/>
    <m/>
    <n v="1053324.42"/>
    <n v="1274522.55"/>
    <m/>
    <m/>
    <m/>
    <d v="2019-10-31T00:00:00"/>
    <s v="SMLN-2019-617-000537"/>
    <x v="0"/>
    <m/>
    <m/>
  </r>
  <r>
    <m/>
    <m/>
    <d v="2019-05-17T00:00:00"/>
    <s v="VZ-2019-000547"/>
    <s v="LÉK"/>
    <s v="Ondráčková"/>
    <x v="216"/>
    <n v="4"/>
    <s v="Protilátky, sondy a chemikálie pro IHC/ISH metody"/>
    <m/>
    <s v="33694000-1"/>
    <m/>
    <n v="1025469"/>
    <x v="1"/>
    <d v="2019-06-05T00:00:00"/>
    <d v="2019-07-22T00:00:00"/>
    <d v="2019-10-30T00:00:00"/>
    <s v="HPST, s.r.o."/>
    <m/>
    <n v="1022982"/>
    <n v="1237808.22"/>
    <m/>
    <m/>
    <m/>
    <d v="2019-10-31T00:00:00"/>
    <s v="SMLN-2019-617-000538"/>
    <x v="107"/>
    <d v="2020-01-13T00:00:00"/>
    <d v="2020-12-17T00:00:00"/>
  </r>
  <r>
    <m/>
    <m/>
    <d v="2019-05-17T00:00:00"/>
    <s v="VZ-2019-000547"/>
    <s v="LÉK"/>
    <s v="Ondráčková"/>
    <x v="216"/>
    <n v="5"/>
    <s v="Protilátky pro IHC metody I."/>
    <m/>
    <s v="33694000-1"/>
    <m/>
    <n v="256728"/>
    <x v="1"/>
    <d v="2019-06-05T00:00:00"/>
    <d v="2019-07-22T00:00:00"/>
    <d v="2019-10-30T00:00:00"/>
    <s v="ASCO-MED, spol.  s r.o."/>
    <m/>
    <n v="256725"/>
    <n v="310637.25"/>
    <m/>
    <m/>
    <m/>
    <d v="2019-10-31T00:00:00"/>
    <s v="SMLN-2019-617-000539"/>
    <x v="0"/>
    <m/>
    <m/>
  </r>
  <r>
    <m/>
    <m/>
    <d v="2019-05-17T00:00:00"/>
    <s v="VZ-2019-000547"/>
    <s v="LÉK"/>
    <s v="Ondráčková"/>
    <x v="216"/>
    <n v="6"/>
    <s v="Protilátky pro IHC metody  II."/>
    <m/>
    <s v="33694000-1"/>
    <m/>
    <n v="114919"/>
    <x v="1"/>
    <d v="2019-06-05T00:00:00"/>
    <d v="2019-07-22T00:00:00"/>
    <d v="2019-10-30T00:00:00"/>
    <s v="BARIA  s.r.o."/>
    <m/>
    <n v="107624.79"/>
    <n v="130226.01"/>
    <m/>
    <m/>
    <m/>
    <d v="2019-10-31T00:00:00"/>
    <s v="SMLN-2019-617-000540"/>
    <x v="107"/>
    <d v="2020-01-13T00:00:00"/>
    <d v="2020-12-17T00:00:00"/>
  </r>
  <r>
    <m/>
    <m/>
    <d v="2019-05-17T00:00:00"/>
    <s v="VZ-2019-000547"/>
    <s v="LÉK"/>
    <s v="Ondráčková"/>
    <x v="216"/>
    <n v="7"/>
    <s v="Protilátky pro IHC metody  III."/>
    <m/>
    <s v="33694000-1"/>
    <m/>
    <n v="122783"/>
    <x v="1"/>
    <d v="2019-06-05T00:00:00"/>
    <d v="2019-07-22T00:00:00"/>
    <m/>
    <s v="biotech"/>
    <s v="DůVOD zrušeno - nesplnění podmínek ;  ; DALŠÍ POSTUP opakovat; ÚPRAVA  ; PŘEDPOKLAD  ; POZN: "/>
    <m/>
    <m/>
    <m/>
    <m/>
    <m/>
    <m/>
    <m/>
    <x v="0"/>
    <d v="2019-08-13T00:00:00"/>
    <s v="12.8. zrušeno"/>
  </r>
  <r>
    <m/>
    <m/>
    <d v="2019-05-17T00:00:00"/>
    <s v="VZ-2019-000547"/>
    <s v="LÉK"/>
    <s v="Ondráčková"/>
    <x v="216"/>
    <n v="8"/>
    <s v="Protilátky pro IHC metody IV."/>
    <m/>
    <s v="33694000-1"/>
    <m/>
    <n v="182762"/>
    <x v="1"/>
    <d v="2019-06-05T00:00:00"/>
    <d v="2019-07-22T00:00:00"/>
    <d v="2019-10-30T00:00:00"/>
    <s v="BARIA  s.r.o."/>
    <m/>
    <n v="117233.47"/>
    <n v="142149.51999999999"/>
    <m/>
    <m/>
    <m/>
    <d v="2019-10-31T00:00:00"/>
    <s v="SMLN-2019-617-000541"/>
    <x v="107"/>
    <d v="2020-01-13T00:00:00"/>
    <d v="2020-12-17T00:00:00"/>
  </r>
  <r>
    <m/>
    <m/>
    <d v="2019-05-17T00:00:00"/>
    <s v="VZ-2019-000547"/>
    <s v="LÉK"/>
    <s v="Ondráčková"/>
    <x v="216"/>
    <n v="9"/>
    <s v="Protilátky pro IHC metody V."/>
    <m/>
    <s v="33694000-1"/>
    <m/>
    <n v="91580"/>
    <x v="1"/>
    <d v="2019-06-05T00:00:00"/>
    <d v="2019-07-22T00:00:00"/>
    <d v="2019-10-30T00:00:00"/>
    <s v="Spinchem s.r.o."/>
    <m/>
    <n v="91578"/>
    <n v="110809.38"/>
    <m/>
    <m/>
    <m/>
    <d v="2019-10-31T00:00:00"/>
    <s v="SMLN-2019-617-000542"/>
    <x v="0"/>
    <m/>
    <m/>
  </r>
  <r>
    <m/>
    <m/>
    <d v="2019-05-21T00:00:00"/>
    <s v="VZ-2019-000556"/>
    <s v="INF"/>
    <s v="Miklík"/>
    <x v="217"/>
    <m/>
    <m/>
    <m/>
    <s v="72611000-6 "/>
    <m/>
    <n v="318182"/>
    <x v="2"/>
    <d v="2019-05-24T00:00:00"/>
    <d v="2019-05-31T00:00:00"/>
    <d v="2019-06-04T00:00:00"/>
    <s v="Merit Group a.s."/>
    <m/>
    <n v="296240.03999999998"/>
    <n v="358450.45"/>
    <m/>
    <m/>
    <m/>
    <d v="2019-06-04T00:00:00"/>
    <s v="SMLN-2019-612-000059"/>
    <x v="108"/>
    <d v="2019-07-10T00:00:00"/>
    <d v="2020-11-30T00:00:00"/>
  </r>
  <r>
    <m/>
    <m/>
    <d v="2019-05-14T00:00:00"/>
    <s v="VZ-2019-000557"/>
    <s v="ZM"/>
    <s v="Dočkalová"/>
    <x v="218"/>
    <m/>
    <m/>
    <m/>
    <s v="33182210-4"/>
    <s v="grant"/>
    <n v="1123966.8999999999"/>
    <x v="2"/>
    <d v="2019-05-23T00:00:00"/>
    <d v="2019-05-30T00:00:00"/>
    <m/>
    <s v="zrušeno - překročení ceny"/>
    <s v="nová VZ-2019-000611"/>
    <m/>
    <m/>
    <m/>
    <m/>
    <m/>
    <m/>
    <m/>
    <x v="0"/>
    <d v="2019-05-31T00:00:00"/>
    <m/>
  </r>
  <r>
    <m/>
    <m/>
    <s v="opakovaná VZ"/>
    <s v="VZ-2019-000558"/>
    <s v="SERVIS"/>
    <s v="Zemánek"/>
    <x v="219"/>
    <m/>
    <m/>
    <m/>
    <s v="50421000-2"/>
    <m/>
    <n v="260000"/>
    <x v="2"/>
    <d v="2019-05-31T00:00:00"/>
    <d v="2019-06-11T00:00:00"/>
    <d v="2019-06-20T00:00:00"/>
    <s v="Messer Technogas s.r.o."/>
    <m/>
    <n v="323640"/>
    <n v="391604.39999999997"/>
    <m/>
    <m/>
    <m/>
    <d v="2019-06-20T00:00:00"/>
    <s v="SMLN-2019-612-000065"/>
    <x v="75"/>
    <d v="2019-08-01T00:00:00"/>
    <s v="doba neurčitá"/>
  </r>
  <r>
    <m/>
    <m/>
    <d v="2019-05-21T00:00:00"/>
    <s v="VZ-2019-000562"/>
    <s v="ZT"/>
    <s v="Rosulek"/>
    <x v="220"/>
    <m/>
    <m/>
    <m/>
    <s v="38416000-4"/>
    <s v="2.2.177."/>
    <n v="416000"/>
    <x v="2"/>
    <d v="2019-06-03T00:00:00"/>
    <d v="2019-06-12T00:00:00"/>
    <m/>
    <s v="zrušeno - bez nabídky"/>
    <s v="nová VZ-2019-000688"/>
    <m/>
    <m/>
    <m/>
    <m/>
    <m/>
    <m/>
    <m/>
    <x v="0"/>
    <d v="2019-06-12T00:00:00"/>
    <m/>
  </r>
  <r>
    <m/>
    <m/>
    <d v="2019-05-21T00:00:00"/>
    <s v="VZ-2019-000563"/>
    <s v="ZM"/>
    <s v="Dočkalová"/>
    <x v="221"/>
    <m/>
    <m/>
    <m/>
    <s v="33140000-3"/>
    <m/>
    <n v="264400"/>
    <x v="2"/>
    <d v="2019-05-30T00:00:00"/>
    <d v="2019-06-11T00:00:00"/>
    <m/>
    <s v="zrušeno - orpava zadání"/>
    <s v="nová VZ-2019-000717"/>
    <m/>
    <m/>
    <m/>
    <m/>
    <m/>
    <m/>
    <m/>
    <x v="0"/>
    <d v="2019-06-25T00:00:00"/>
    <m/>
  </r>
  <r>
    <m/>
    <m/>
    <d v="2019-05-21T00:00:00"/>
    <s v="VZ-2019-000564"/>
    <s v="ZM"/>
    <s v="Dočkalová"/>
    <x v="222"/>
    <m/>
    <m/>
    <m/>
    <s v="33140000-3"/>
    <m/>
    <n v="409600"/>
    <x v="2"/>
    <d v="2019-05-30T00:00:00"/>
    <d v="2019-06-11T00:00:00"/>
    <m/>
    <s v="zrušeno – úprava zadání"/>
    <s v="nová VZ-2019-000685, VZ-2019-000760"/>
    <m/>
    <m/>
    <m/>
    <m/>
    <m/>
    <m/>
    <m/>
    <x v="0"/>
    <d v="2019-06-14T00:00:00"/>
    <m/>
  </r>
  <r>
    <m/>
    <m/>
    <d v="2019-05-13T00:00:00"/>
    <s v="VZ-2019-000565"/>
    <s v="ZM"/>
    <s v="Dočkalová"/>
    <x v="223"/>
    <m/>
    <m/>
    <m/>
    <s v="33140000-3"/>
    <m/>
    <n v="311600"/>
    <x v="2"/>
    <d v="2019-05-24T00:00:00"/>
    <d v="2019-05-31T00:00:00"/>
    <d v="2019-06-11T00:00:00"/>
    <s v="ARID obchodní společnost s.r.o."/>
    <m/>
    <n v="311600"/>
    <n v="377036"/>
    <m/>
    <m/>
    <m/>
    <d v="2019-06-17T00:00:00"/>
    <s v="SMLN-2019-617-000285_x000a_SMLN-2019-614-000052"/>
    <x v="109"/>
    <d v="2019-07-25T00:00:00"/>
    <d v="2021-07-18T00:00:00"/>
  </r>
  <r>
    <m/>
    <m/>
    <d v="2019-05-13T00:00:00"/>
    <s v="VZ-2019-000566"/>
    <s v="ZM"/>
    <s v="Dočkalová"/>
    <x v="224"/>
    <m/>
    <m/>
    <m/>
    <s v="33140000-3"/>
    <m/>
    <n v="444640"/>
    <x v="2"/>
    <d v="2019-05-24T00:00:00"/>
    <d v="2019-06-04T00:00:00"/>
    <d v="2019-06-11T00:00:00"/>
    <s v="EspoMed spol. s r.o."/>
    <m/>
    <n v="444640"/>
    <n v="538014.4"/>
    <m/>
    <m/>
    <m/>
    <d v="2019-06-17T00:00:00"/>
    <s v="SMLN-2019-617-000287_x000a_SMLN-2019-614-000053"/>
    <x v="99"/>
    <d v="2019-07-19T00:00:00"/>
    <d v="2021-07-16T00:00:00"/>
  </r>
  <r>
    <m/>
    <m/>
    <d v="2019-05-21T00:00:00"/>
    <s v="VZ-2019-000567"/>
    <s v="ZT"/>
    <s v="Novák"/>
    <x v="225"/>
    <m/>
    <m/>
    <m/>
    <s v="33192000-2"/>
    <m/>
    <n v="425000"/>
    <x v="2"/>
    <d v="2019-06-03T00:00:00"/>
    <d v="2019-06-14T00:00:00"/>
    <d v="2019-07-12T00:00:00"/>
    <s v="PROMA REHA s.r.o."/>
    <m/>
    <n v="654543.43000000005"/>
    <n v="757358.14"/>
    <m/>
    <m/>
    <m/>
    <d v="2019-07-12T00:00:00"/>
    <s v="SMLN-2019-617-000316 SMLN-2019-612-000070"/>
    <x v="74"/>
    <d v="2019-08-28T00:00:00"/>
    <d v="2019-10-31T00:00:00"/>
  </r>
  <r>
    <m/>
    <m/>
    <d v="2019-05-15T00:00:00"/>
    <s v="VZ-2019-000569"/>
    <s v="ZM"/>
    <s v="Dočkalová"/>
    <x v="226"/>
    <m/>
    <m/>
    <m/>
    <s v="33162200-5"/>
    <m/>
    <n v="1090000"/>
    <x v="1"/>
    <d v="2019-06-07T00:00:00"/>
    <d v="2019-06-26T00:00:00"/>
    <d v="2019-07-24T00:00:00"/>
    <s v="B. Braun Medical s.r.o."/>
    <m/>
    <n v="913708"/>
    <n v="1105586.68"/>
    <m/>
    <m/>
    <m/>
    <d v="2019-07-24T00:00:00"/>
    <s v="SMLN-2019-617-000327"/>
    <x v="93"/>
    <d v="2019-10-03T00:00:00"/>
    <d v="2019-11-08T00:00:00"/>
  </r>
  <r>
    <m/>
    <m/>
    <s v="opakovaná VZ"/>
    <s v="VZ-2019-000573"/>
    <s v="ENERG"/>
    <s v="Srovnal"/>
    <x v="227"/>
    <m/>
    <m/>
    <m/>
    <s v="42513290-4"/>
    <s v="4.2.119."/>
    <n v="4130000"/>
    <x v="0"/>
    <d v="2019-05-24T00:00:00"/>
    <d v="2019-06-25T00:00:00"/>
    <d v="2019-06-26T00:00:00"/>
    <s v="CLIMART s.r.o."/>
    <m/>
    <n v="5936572"/>
    <n v="7183252.1200000001"/>
    <m/>
    <m/>
    <m/>
    <d v="2019-06-26T00:00:00"/>
    <s v="SMLN-2019-618-000049"/>
    <x v="110"/>
    <d v="2019-07-25T00:00:00"/>
    <d v="2019-08-02T00:00:00"/>
  </r>
  <r>
    <m/>
    <m/>
    <s v="opakovaná VZ"/>
    <s v="VZ-2019-000578"/>
    <s v="IROP"/>
    <s v="Neudörflerová"/>
    <x v="228"/>
    <m/>
    <m/>
    <m/>
    <s v="33162100-4"/>
    <s v="2.3.352"/>
    <n v="290082"/>
    <x v="0"/>
    <d v="2019-06-19T00:00:00"/>
    <d v="2019-07-23T00:00:00"/>
    <d v="2019-08-15T00:00:00"/>
    <s v="SARSTEDT spol. s r.o."/>
    <m/>
    <n v="310160"/>
    <n v="375293.6"/>
    <m/>
    <m/>
    <m/>
    <d v="2019-08-16T00:00:00"/>
    <s v="SMLN-2019-617-000346_x000a_SMLN-2019-612-000083"/>
    <x v="111"/>
    <d v="2019-09-20T00:00:00"/>
    <d v="2019-11-11T00:00:00"/>
  </r>
  <r>
    <m/>
    <m/>
    <d v="2019-05-21T00:00:00"/>
    <s v="VZ-2019-000581"/>
    <s v="ZM"/>
    <s v="Dočkalová"/>
    <x v="229"/>
    <n v="1"/>
    <s v="Bioptické jehly"/>
    <m/>
    <s v="33140000-3"/>
    <m/>
    <n v="255000"/>
    <x v="2"/>
    <d v="2019-05-31T00:00:00"/>
    <d v="2019-06-11T00:00:00"/>
    <d v="2019-08-08T00:00:00"/>
    <s v="BARD Czech Republic s.r.o."/>
    <m/>
    <n v="255000"/>
    <n v="308550"/>
    <m/>
    <m/>
    <m/>
    <d v="2019-08-20T00:00:00"/>
    <s v="SMLN-2019-617-000358_x000a_SMLN-2019-614-000068"/>
    <x v="112"/>
    <d v="2019-09-20T00:00:00"/>
    <d v="2021-09-11T00:00:00"/>
  </r>
  <r>
    <m/>
    <m/>
    <d v="2019-05-21T00:00:00"/>
    <s v="VZ-2019-000581"/>
    <s v="ZM"/>
    <s v="Dočkalová"/>
    <x v="229"/>
    <n v="2"/>
    <s v="Koaxiální bioptické jehly"/>
    <m/>
    <s v="33140000-3"/>
    <m/>
    <n v="64400"/>
    <x v="2"/>
    <d v="2019-05-31T00:00:00"/>
    <d v="2019-06-11T00:00:00"/>
    <d v="2019-08-08T00:00:00"/>
    <s v="BARD Czech Republic s.r.o."/>
    <m/>
    <n v="64400"/>
    <n v="77924"/>
    <m/>
    <m/>
    <m/>
    <d v="2019-08-20T00:00:00"/>
    <s v="SMLN-2019-617-000359_x000a_SMLN-2019-614-000068"/>
    <x v="112"/>
    <d v="2019-09-20T00:00:00"/>
    <d v="2021-09-11T00:00:00"/>
  </r>
  <r>
    <m/>
    <m/>
    <d v="2019-05-21T00:00:00"/>
    <s v="VZ-2019-000581"/>
    <s v="ZM"/>
    <s v="Dočkalová"/>
    <x v="229"/>
    <n v="3"/>
    <s v="Spotřební materiál pro vakuovou asistovanou biopsii prsu"/>
    <m/>
    <s v="33140000-3"/>
    <m/>
    <n v="860200"/>
    <x v="2"/>
    <d v="2019-05-31T00:00:00"/>
    <d v="2019-06-11T00:00:00"/>
    <d v="2019-08-08T00:00:00"/>
    <s v="BARD Czech Republic s.r.o."/>
    <m/>
    <n v="860200"/>
    <n v="1040842"/>
    <m/>
    <m/>
    <m/>
    <d v="2019-08-20T00:00:00"/>
    <s v="SMLN-2019-617-000360_x000a_SMLN-2019-614-000069"/>
    <x v="112"/>
    <d v="2019-09-20T00:00:00"/>
    <d v="2021-09-11T00:00:00"/>
  </r>
  <r>
    <m/>
    <m/>
    <d v="2019-05-21T00:00:00"/>
    <s v="VZ-2019-000586"/>
    <s v="ZM"/>
    <s v="Dočkalová"/>
    <x v="230"/>
    <m/>
    <m/>
    <m/>
    <s v="33140000-3"/>
    <m/>
    <n v="662084"/>
    <x v="2"/>
    <d v="2019-05-30T00:00:00"/>
    <d v="2019-06-11T00:00:00"/>
    <m/>
    <s v="zrušeno - bez nabídky"/>
    <s v="nová VZ-2019-000732, VZ-2019-000770"/>
    <m/>
    <m/>
    <m/>
    <m/>
    <m/>
    <m/>
    <m/>
    <x v="0"/>
    <d v="2019-06-11T00:00:00"/>
    <m/>
  </r>
  <r>
    <m/>
    <m/>
    <d v="2019-05-21T00:00:00"/>
    <s v="VZ-2019-000590"/>
    <s v="ZM"/>
    <s v="Dočkalová"/>
    <x v="231"/>
    <n v="1"/>
    <s v="Extraktory intravaskulární I."/>
    <m/>
    <s v="33140000-3"/>
    <m/>
    <n v="213450"/>
    <x v="2"/>
    <d v="2019-05-30T00:00:00"/>
    <d v="2019-06-11T00:00:00"/>
    <d v="2019-09-24T00:00:00"/>
    <s v="ARID obchodní společnost s.r.o."/>
    <m/>
    <n v="213450"/>
    <n v="258274.5"/>
    <m/>
    <m/>
    <m/>
    <d v="2019-09-24T00:00:00"/>
    <s v="SMLN-2019-617-000450_x000a_SMLN-2019-614-000091"/>
    <x v="82"/>
    <d v="2019-10-21T00:00:00"/>
    <d v="2021-10-13T00:00:00"/>
  </r>
  <r>
    <m/>
    <m/>
    <d v="2019-05-21T00:00:00"/>
    <s v="VZ-2019-000590"/>
    <s v="ZM"/>
    <s v="Dočkalová"/>
    <x v="231"/>
    <n v="2"/>
    <s v="Extraktory intravaskulární II."/>
    <m/>
    <s v="33140000-3"/>
    <m/>
    <n v="37028"/>
    <x v="2"/>
    <d v="2019-05-30T00:00:00"/>
    <d v="2019-06-11T00:00:00"/>
    <d v="2019-09-24T00:00:00"/>
    <s v="ARID obchodní společnost s.r.o."/>
    <m/>
    <n v="37028"/>
    <n v="44803.88"/>
    <m/>
    <m/>
    <m/>
    <d v="2019-09-24T00:00:00"/>
    <s v="SMLN-2019-617-000451_x000a_SMLN-2019-614-000092"/>
    <x v="82"/>
    <d v="2019-10-21T00:00:00"/>
    <d v="2021-10-13T00:00:00"/>
  </r>
  <r>
    <m/>
    <m/>
    <d v="2019-05-21T00:00:00"/>
    <s v="VZ-2019-000590"/>
    <s v="ZM"/>
    <s v="Dočkalová"/>
    <x v="231"/>
    <n v="3"/>
    <s v="Extraktory intravaskulární III."/>
    <m/>
    <s v="33140000-3"/>
    <m/>
    <n v="362580"/>
    <x v="2"/>
    <d v="2019-05-30T00:00:00"/>
    <d v="2019-06-11T00:00:00"/>
    <m/>
    <s v="zrušeno - upřesnit zadání"/>
    <s v="VZ-2019-001011"/>
    <m/>
    <m/>
    <m/>
    <m/>
    <m/>
    <m/>
    <m/>
    <x v="0"/>
    <d v="2019-09-24T00:00:00"/>
    <m/>
  </r>
  <r>
    <m/>
    <m/>
    <s v="opakovaná VZ"/>
    <s v="VZ-2019-000595"/>
    <s v="ENERG"/>
    <s v="Srovnal"/>
    <x v="232"/>
    <m/>
    <m/>
    <m/>
    <s v="42512200-0"/>
    <s v="4.2.123."/>
    <n v="578000"/>
    <x v="2"/>
    <d v="2019-05-31T00:00:00"/>
    <d v="2019-06-07T00:00:00"/>
    <d v="2019-06-18T00:00:00"/>
    <s v="JK new product s.r.o."/>
    <m/>
    <n v="631935"/>
    <n v="764641"/>
    <m/>
    <m/>
    <m/>
    <d v="2019-06-18T00:00:00"/>
    <s v="SMLN-2019-618-000044"/>
    <x v="113"/>
    <d v="2019-07-15T00:00:00"/>
    <d v="2019-08-23T00:00:00"/>
  </r>
  <r>
    <m/>
    <m/>
    <s v="opakovaná VZ"/>
    <s v="VZ-2019-000596"/>
    <s v="IROP"/>
    <s v="Neudörflerová"/>
    <x v="233"/>
    <m/>
    <m/>
    <m/>
    <s v="33120000-7"/>
    <s v="2.3.336."/>
    <n v="101429.75"/>
    <x v="0"/>
    <m/>
    <m/>
    <m/>
    <s v="zrušeno - CRR"/>
    <s v="nová VZ-2019-000624"/>
    <m/>
    <m/>
    <m/>
    <m/>
    <m/>
    <m/>
    <m/>
    <x v="0"/>
    <d v="2019-06-06T00:00:00"/>
    <s v="6.6. zrušeno"/>
  </r>
  <r>
    <m/>
    <m/>
    <d v="2019-05-24T00:00:00"/>
    <s v="VZ-2019-000598"/>
    <s v="LÉK"/>
    <s v="Ondráčková"/>
    <x v="234"/>
    <n v="1"/>
    <s v="Spotřební materiál pro  ARRAY"/>
    <m/>
    <s v="33694000-1"/>
    <m/>
    <n v="4639906"/>
    <x v="0"/>
    <d v="2019-06-18T00:00:00"/>
    <d v="2019-09-16T00:00:00"/>
    <d v="2019-11-07T00:00:00"/>
    <s v="HPST, s.r.o."/>
    <m/>
    <n v="4639906"/>
    <n v="5614286.2599999998"/>
    <m/>
    <m/>
    <m/>
    <d v="2019-11-12T00:00:00"/>
    <s v="SMLN-2019-617-000560"/>
    <x v="114"/>
    <d v="2019-12-23T00:00:00"/>
    <d v="2021-12-08T00:00:00"/>
  </r>
  <r>
    <m/>
    <m/>
    <d v="2019-05-24T00:00:00"/>
    <s v="VZ-2019-000598"/>
    <s v="LÉK"/>
    <s v="Ondráčková"/>
    <x v="234"/>
    <n v="2"/>
    <s v="Spotřební materiál pro cytogenetiku I."/>
    <m/>
    <s v="33694000-1"/>
    <m/>
    <n v="116161"/>
    <x v="0"/>
    <d v="2019-06-18T00:00:00"/>
    <d v="2019-09-16T00:00:00"/>
    <m/>
    <s v="Abbott"/>
    <s v="žádná nabídka, bude vypsáno znovu, změny v ZD po dohodě s klinikou"/>
    <m/>
    <m/>
    <m/>
    <m/>
    <m/>
    <m/>
    <m/>
    <x v="0"/>
    <d v="2019-10-15T00:00:00"/>
    <s v="19.9. zrušeno"/>
  </r>
  <r>
    <m/>
    <m/>
    <d v="2019-05-24T00:00:00"/>
    <s v="VZ-2019-000598"/>
    <s v="LÉK"/>
    <s v="Ondráčková"/>
    <x v="234"/>
    <n v="3"/>
    <s v="Spotřební materiál pro cytogenetiku II."/>
    <m/>
    <s v="33694000-1"/>
    <m/>
    <n v="248580"/>
    <x v="0"/>
    <d v="2019-06-18T00:00:00"/>
    <d v="2019-09-16T00:00:00"/>
    <m/>
    <s v="Abbott"/>
    <s v="žádná nabídka, bude vypsáno znovu, změny v ZD po dohodě s klinikou"/>
    <m/>
    <m/>
    <m/>
    <m/>
    <m/>
    <m/>
    <m/>
    <x v="0"/>
    <d v="2019-10-15T00:00:00"/>
    <s v="19.9. zrušeno"/>
  </r>
  <r>
    <m/>
    <m/>
    <d v="2019-05-24T00:00:00"/>
    <s v="VZ-2019-000598"/>
    <s v="LÉK"/>
    <s v="Ondráčková"/>
    <x v="234"/>
    <n v="4"/>
    <s v="Spotřební materiál pro cytogenetiku III."/>
    <m/>
    <s v="33694000-1"/>
    <m/>
    <n v="361719"/>
    <x v="0"/>
    <d v="2019-06-18T00:00:00"/>
    <d v="2019-09-16T00:00:00"/>
    <d v="2019-11-07T00:00:00"/>
    <s v="INTIMEX s.r.o."/>
    <m/>
    <n v="361716"/>
    <n v="437676.36"/>
    <m/>
    <m/>
    <m/>
    <d v="2019-11-12T00:00:00"/>
    <s v="SMLN-2019-617-000561"/>
    <x v="114"/>
    <d v="2019-12-23T00:00:00"/>
    <d v="2021-12-08T00:00:00"/>
  </r>
  <r>
    <m/>
    <m/>
    <d v="2019-05-24T00:00:00"/>
    <s v="VZ-2019-000598"/>
    <s v="LÉK"/>
    <s v="Ondráčková"/>
    <x v="234"/>
    <n v="5"/>
    <s v="Spotřební materiál pro cytogenetiku IV."/>
    <m/>
    <s v="33694000-1"/>
    <m/>
    <n v="1177122"/>
    <x v="0"/>
    <d v="2019-06-18T00:00:00"/>
    <d v="2019-09-16T00:00:00"/>
    <m/>
    <s v="Pragostem"/>
    <s v="žádná nabídka, bude vypsáno znovu, změny v ZD po dohodě s klinikou"/>
    <m/>
    <m/>
    <m/>
    <m/>
    <m/>
    <m/>
    <m/>
    <x v="0"/>
    <d v="2019-10-15T00:00:00"/>
    <s v="19.9. zrušeno"/>
  </r>
  <r>
    <m/>
    <m/>
    <d v="2019-05-24T00:00:00"/>
    <s v="VZ-2019-000598"/>
    <s v="LÉK"/>
    <s v="Ondráčková"/>
    <x v="234"/>
    <n v="6"/>
    <s v="Spotřební materiál pro cytogenetiku V."/>
    <m/>
    <s v="33694000-1"/>
    <m/>
    <n v="2740880"/>
    <x v="0"/>
    <d v="2019-06-18T00:00:00"/>
    <d v="2019-09-16T00:00:00"/>
    <m/>
    <s v="Alogo"/>
    <s v="žádná nabídka, bude vypsáno znovu, změny v ZD po dohodě s klinikou"/>
    <m/>
    <m/>
    <m/>
    <m/>
    <m/>
    <m/>
    <m/>
    <x v="0"/>
    <d v="2019-10-15T00:00:00"/>
    <s v="19.9. zrušeno"/>
  </r>
  <r>
    <m/>
    <m/>
    <d v="2019-05-24T00:00:00"/>
    <s v="VZ-2019-000599"/>
    <s v="LÉK"/>
    <s v="Ondráčková"/>
    <x v="235"/>
    <n v="1"/>
    <s v="Spotřební materiál pro cytogenetiku "/>
    <m/>
    <s v="33694000-1"/>
    <m/>
    <n v="14238"/>
    <x v="0"/>
    <d v="2019-06-18T00:00:00"/>
    <d v="2019-08-01T00:00:00"/>
    <d v="2019-08-29T00:00:00"/>
    <s v="ASCO-MED, spol.  s r.o."/>
    <m/>
    <n v="14328"/>
    <n v="17227.98"/>
    <m/>
    <m/>
    <m/>
    <d v="2019-09-02T00:00:00"/>
    <s v="SMLN-2019-617-000390"/>
    <x v="82"/>
    <d v="2019-10-17T00:00:00"/>
    <d v="2021-10-13T00:00:00"/>
  </r>
  <r>
    <m/>
    <m/>
    <d v="2019-05-24T00:00:00"/>
    <s v="VZ-2019-000599"/>
    <s v="LÉK"/>
    <s v="Ondráčková"/>
    <x v="235"/>
    <n v="2"/>
    <s v="Spotřební materiál pro krevní obrazy I."/>
    <m/>
    <s v="33694000-1"/>
    <m/>
    <n v="1269028"/>
    <x v="0"/>
    <d v="2019-06-18T00:00:00"/>
    <d v="2019-08-01T00:00:00"/>
    <m/>
    <s v="medista"/>
    <s v="DůVOD zrušeno - nesplnění podmínek ;  ; DALŠÍ POSTUP opakovat; ÚPRAVA  ; PŘEDPOKLAD  ; POZN: "/>
    <m/>
    <m/>
    <m/>
    <m/>
    <m/>
    <m/>
    <m/>
    <x v="0"/>
    <d v="2019-09-18T00:00:00"/>
    <s v="27.8. zrušeno"/>
  </r>
  <r>
    <m/>
    <m/>
    <d v="2019-05-24T00:00:00"/>
    <s v="VZ-2019-000599"/>
    <s v="LÉK"/>
    <s v="Ondráčková"/>
    <x v="235"/>
    <n v="3"/>
    <s v="Spotřební materiál pro krevní obrazy II."/>
    <m/>
    <s v="33694000-1"/>
    <m/>
    <n v="1005580"/>
    <x v="0"/>
    <d v="2019-06-18T00:00:00"/>
    <d v="2019-08-01T00:00:00"/>
    <m/>
    <s v="roche"/>
    <s v="DůVOD zrušeno - bez nabídky ;  ; DALŠÍ POSTUP opakovat; ÚPRAVA  ; PŘEDPOKLAD  ; POZN: "/>
    <m/>
    <m/>
    <m/>
    <m/>
    <m/>
    <m/>
    <m/>
    <x v="0"/>
    <d v="2019-09-18T00:00:00"/>
    <s v="27.8. zrušeno"/>
  </r>
  <r>
    <m/>
    <m/>
    <d v="2019-05-24T00:00:00"/>
    <s v="VZ-2019-000599"/>
    <s v="LÉK"/>
    <s v="Ondráčková"/>
    <x v="235"/>
    <n v="4"/>
    <s v="Spotřební materiál pro krevní obrazy III."/>
    <m/>
    <s v="33694000-1"/>
    <m/>
    <n v="10074594"/>
    <x v="0"/>
    <d v="2019-06-18T00:00:00"/>
    <d v="2019-08-01T00:00:00"/>
    <d v="2019-08-29T00:00:00"/>
    <s v="Werfen Czech s.r.o."/>
    <m/>
    <n v="9031060"/>
    <n v="10927582.6"/>
    <m/>
    <m/>
    <m/>
    <d v="2019-09-02T00:00:00"/>
    <s v="SMLN-2019-617-000391"/>
    <x v="82"/>
    <d v="2019-10-17T00:00:00"/>
    <d v="2021-10-13T00:00:00"/>
  </r>
  <r>
    <m/>
    <m/>
    <d v="2019-05-24T00:00:00"/>
    <s v="VZ-2019-000600"/>
    <s v="LÉK"/>
    <s v="Ondráčková"/>
    <x v="236"/>
    <n v="1"/>
    <s v="Spotřební materiál pro molekulární biologii I."/>
    <m/>
    <s v="33694000-1"/>
    <m/>
    <n v="282343"/>
    <x v="0"/>
    <d v="2019-07-01T00:00:00"/>
    <d v="2019-09-03T00:00:00"/>
    <m/>
    <s v="Diagnostika biotech"/>
    <s v="DůVOD zrušeno - bez nabídky ;  ; DALŠÍ POSTUP ; ÚPRAVA  ; PŘEDPOKLAD  ; POZN: "/>
    <m/>
    <m/>
    <m/>
    <m/>
    <m/>
    <m/>
    <m/>
    <x v="0"/>
    <d v="2019-10-11T00:00:00"/>
    <d v="2019-10-11T00:00:00"/>
  </r>
  <r>
    <m/>
    <m/>
    <d v="2019-05-24T00:00:00"/>
    <s v="VZ-2019-000600"/>
    <s v="LÉK"/>
    <s v="Ondráčková"/>
    <x v="236"/>
    <n v="2"/>
    <s v="Spotřební materiál pro molekulární biologii II."/>
    <m/>
    <s v="33694000-1"/>
    <m/>
    <n v="1636320"/>
    <x v="0"/>
    <d v="2019-07-01T00:00:00"/>
    <d v="2019-09-03T00:00:00"/>
    <d v="2019-11-07T00:00:00"/>
    <s v="DYNEX Technologies spol.s r.o."/>
    <m/>
    <n v="1390872"/>
    <n v="1682955.12"/>
    <m/>
    <m/>
    <m/>
    <d v="2019-11-12T00:00:00"/>
    <s v="SMLN-2019-617-000557"/>
    <x v="0"/>
    <m/>
    <m/>
  </r>
  <r>
    <m/>
    <m/>
    <d v="2019-05-24T00:00:00"/>
    <s v="VZ-2019-000600"/>
    <s v="LÉK"/>
    <s v="Ondráčková"/>
    <x v="236"/>
    <n v="3"/>
    <s v="Spotřební materiál pro molekulární biologii III."/>
    <m/>
    <s v="33694000-1"/>
    <m/>
    <n v="246007"/>
    <x v="0"/>
    <d v="2019-07-01T00:00:00"/>
    <d v="2019-09-03T00:00:00"/>
    <m/>
    <s v="Diagnostika Eastpor"/>
    <s v="DůVOD zrušeno - bez nabídky ;  ; DALŠÍ POSTUP ; ÚPRAVA  ; PŘEDPOKLAD  ; POZN: "/>
    <m/>
    <m/>
    <m/>
    <m/>
    <m/>
    <m/>
    <m/>
    <x v="0"/>
    <d v="2019-10-11T00:00:00"/>
    <s v="16.9. zrušeno"/>
  </r>
  <r>
    <m/>
    <m/>
    <d v="2019-05-24T00:00:00"/>
    <s v="VZ-2019-000600"/>
    <s v="LÉK"/>
    <s v="Ondráčková"/>
    <x v="236"/>
    <n v="4"/>
    <s v="Spotřební materiál pro molekulární biologii IV."/>
    <m/>
    <s v="33694000-1"/>
    <m/>
    <n v="1891521"/>
    <x v="0"/>
    <d v="2019-07-01T00:00:00"/>
    <d v="2019-09-03T00:00:00"/>
    <d v="2019-11-07T00:00:00"/>
    <s v="Carolina Biosystems, s.r.o."/>
    <m/>
    <n v="1458000"/>
    <n v="1764180"/>
    <m/>
    <m/>
    <m/>
    <d v="2019-11-12T00:00:00"/>
    <s v="SMLN-2019-617-000558"/>
    <x v="0"/>
    <m/>
    <m/>
  </r>
  <r>
    <m/>
    <m/>
    <d v="2019-05-24T00:00:00"/>
    <s v="VZ-2019-000600"/>
    <s v="LÉK"/>
    <s v="Ondráčková"/>
    <x v="236"/>
    <n v="5"/>
    <s v="Spotřební materiál pro molekulární biologii V."/>
    <m/>
    <s v="33694000-1"/>
    <m/>
    <n v="1174607"/>
    <x v="0"/>
    <d v="2019-07-01T00:00:00"/>
    <d v="2019-09-03T00:00:00"/>
    <m/>
    <s v="roche"/>
    <s v="DůVOD zrušeno - oprava zadání ;  ; DALŠÍ POSTUP opakovat; ÚPRAVA  ; PŘEDPOKLAD  ; POZN: "/>
    <m/>
    <m/>
    <m/>
    <m/>
    <m/>
    <m/>
    <m/>
    <x v="0"/>
    <d v="2019-08-13T00:00:00"/>
    <s v="7.8.zrušeno"/>
  </r>
  <r>
    <m/>
    <m/>
    <d v="2019-05-24T00:00:00"/>
    <s v="VZ-2019-000600"/>
    <s v="LÉK"/>
    <s v="Ondráčková"/>
    <x v="236"/>
    <n v="6"/>
    <s v="Spotřební materiál pro molekulární biologii VI."/>
    <m/>
    <s v="33694000-1"/>
    <m/>
    <n v="201324"/>
    <x v="0"/>
    <d v="2019-07-01T00:00:00"/>
    <d v="2019-09-03T00:00:00"/>
    <m/>
    <s v="Diagnostika Scintil"/>
    <s v="DůVOD zrušeno - bez nabídky ;  ; DALŠÍ POSTUP ; ÚPRAVA  ; PŘEDPOKLAD  ; POZN: "/>
    <m/>
    <m/>
    <m/>
    <m/>
    <m/>
    <m/>
    <m/>
    <x v="0"/>
    <d v="2019-10-11T00:00:00"/>
    <s v="16.9. zrušeno"/>
  </r>
  <r>
    <m/>
    <m/>
    <d v="2019-05-24T00:00:00"/>
    <s v="VZ-2019-000600"/>
    <s v="LÉK"/>
    <s v="Ondráčková"/>
    <x v="236"/>
    <n v="7"/>
    <s v="Spotřební materiál pro průtokovou cytometrii I."/>
    <m/>
    <s v="33694000-1"/>
    <m/>
    <n v="1004264"/>
    <x v="0"/>
    <d v="2019-07-01T00:00:00"/>
    <d v="2019-09-03T00:00:00"/>
    <m/>
    <m/>
    <s v="Důvod zrušeno - nesplnění podmínek "/>
    <m/>
    <m/>
    <m/>
    <m/>
    <m/>
    <m/>
    <m/>
    <x v="0"/>
    <d v="2019-10-11T00:00:00"/>
    <s v="3.10. zrušeno"/>
  </r>
  <r>
    <m/>
    <m/>
    <d v="2019-05-24T00:00:00"/>
    <s v="VZ-2019-000600"/>
    <s v="LÉK"/>
    <s v="Ondráčková"/>
    <x v="236"/>
    <n v="8"/>
    <s v="Spotřební materiál pro průtokovou cytometrii II."/>
    <m/>
    <s v="33694000-1"/>
    <m/>
    <n v="2393323"/>
    <x v="0"/>
    <d v="2019-07-01T00:00:00"/>
    <d v="2019-09-03T00:00:00"/>
    <d v="2019-11-07T00:00:00"/>
    <s v="I.T.A. - Interact s.r.o."/>
    <m/>
    <n v="2367830"/>
    <n v="2865074.3"/>
    <m/>
    <m/>
    <m/>
    <d v="2019-11-12T00:00:00"/>
    <s v="SMLN-2019-617-000559"/>
    <x v="0"/>
    <m/>
    <m/>
  </r>
  <r>
    <m/>
    <m/>
    <d v="2019-05-24T00:00:00"/>
    <s v="VZ-2019-000601"/>
    <s v="LÉK"/>
    <s v="Ondráčková"/>
    <x v="237"/>
    <n v="1"/>
    <s v="Spotřební materiál pro genetiku  I."/>
    <m/>
    <s v="33694000-1"/>
    <m/>
    <n v="746039.92069999978"/>
    <x v="1"/>
    <d v="2019-06-11T00:00:00"/>
    <d v="2019-07-24T00:00:00"/>
    <m/>
    <s v="biogen"/>
    <s v="DůVOD zrušeno - oprava zadání ;  ; DALŠÍ POSTUP opakovat; ÚPRAVA  ; PŘEDPOKLAD  ; POZN: "/>
    <m/>
    <m/>
    <m/>
    <m/>
    <m/>
    <m/>
    <m/>
    <x v="0"/>
    <d v="2019-07-04T00:00:00"/>
    <s v="3.7.zrušeno"/>
  </r>
  <r>
    <m/>
    <m/>
    <d v="2019-05-24T00:00:00"/>
    <s v="VZ-2019-000601"/>
    <s v="LÉK"/>
    <s v="Ondráčková"/>
    <x v="237"/>
    <n v="2"/>
    <s v="Spotřební materiál pro genetiku  II."/>
    <m/>
    <s v="33694000-1"/>
    <m/>
    <n v="120719"/>
    <x v="1"/>
    <d v="2019-06-11T00:00:00"/>
    <d v="2019-07-24T00:00:00"/>
    <d v="2019-11-19T00:00:00"/>
    <s v="Bio-Rad spol. s r.o."/>
    <m/>
    <n v="120018"/>
    <n v="145221.78"/>
    <m/>
    <m/>
    <m/>
    <d v="2019-11-22T00:00:00"/>
    <s v="SMLN-2019-617-000594"/>
    <x v="0"/>
    <m/>
    <m/>
  </r>
  <r>
    <m/>
    <m/>
    <d v="2019-05-24T00:00:00"/>
    <s v="VZ-2019-000601"/>
    <s v="LÉK"/>
    <s v="Ondráčková"/>
    <x v="237"/>
    <n v="3"/>
    <s v="Spotřební materiál pro genetiku  III."/>
    <m/>
    <s v="33694000-1"/>
    <m/>
    <n v="106305"/>
    <x v="1"/>
    <d v="2019-06-11T00:00:00"/>
    <d v="2019-07-24T00:00:00"/>
    <d v="2019-12-05T00:00:00"/>
    <s v="BioTech a.s."/>
    <m/>
    <n v="61860"/>
    <n v="74850.600000000006"/>
    <m/>
    <m/>
    <m/>
    <d v="2019-12-06T00:00:00"/>
    <s v="SMLN-2019-617-000620"/>
    <x v="0"/>
    <m/>
    <m/>
  </r>
  <r>
    <m/>
    <m/>
    <d v="2019-05-24T00:00:00"/>
    <s v="VZ-2019-000601"/>
    <s v="LÉK"/>
    <s v="Ondráčková"/>
    <x v="237"/>
    <n v="4"/>
    <s v="Spotřební materiál pro genetiku  IV."/>
    <m/>
    <s v="33694000-1"/>
    <m/>
    <n v="278842"/>
    <x v="1"/>
    <d v="2019-06-11T00:00:00"/>
    <d v="2019-07-24T00:00:00"/>
    <d v="2019-11-19T00:00:00"/>
    <s v="GeneTiCA s.r.o."/>
    <m/>
    <n v="258489"/>
    <n v="312771.69"/>
    <m/>
    <m/>
    <m/>
    <d v="2019-11-22T00:00:00"/>
    <s v="SMLN-2019-617-000595"/>
    <x v="0"/>
    <m/>
    <m/>
  </r>
  <r>
    <m/>
    <m/>
    <d v="2019-05-24T00:00:00"/>
    <s v="VZ-2019-000601"/>
    <s v="LÉK"/>
    <s v="Ondráčková"/>
    <x v="237"/>
    <n v="5"/>
    <s v="Spotřební materiál pro genetiku  V."/>
    <m/>
    <s v="33694000-1"/>
    <m/>
    <n v="116204"/>
    <x v="1"/>
    <d v="2019-06-11T00:00:00"/>
    <d v="2019-07-24T00:00:00"/>
    <d v="2019-11-19T00:00:00"/>
    <s v="intimex"/>
    <s v="DůVOD zrušeno - neúplná nabídka ;  ; DALŠÍ POSTUP opakovat; ÚPRAVA  ; PŘEDPOKLAD  ; POZN: "/>
    <m/>
    <m/>
    <m/>
    <m/>
    <m/>
    <m/>
    <m/>
    <x v="0"/>
    <d v="2019-08-14T00:00:00"/>
    <s v="1.8. zrušeno"/>
  </r>
  <r>
    <m/>
    <m/>
    <d v="2019-05-24T00:00:00"/>
    <s v="VZ-2019-000601"/>
    <s v="LÉK"/>
    <s v="Ondráčková"/>
    <x v="237"/>
    <n v="6"/>
    <s v="Spotřební materiál pro genetiku  VI."/>
    <m/>
    <s v="33694000-1"/>
    <m/>
    <n v="1095475"/>
    <x v="1"/>
    <d v="2019-06-11T00:00:00"/>
    <d v="2019-07-24T00:00:00"/>
    <d v="2019-11-19T00:00:00"/>
    <s v="Life Technologies Czech Republic s.r.o."/>
    <m/>
    <n v="1052298.1000000001"/>
    <n v="1273280.7"/>
    <m/>
    <m/>
    <m/>
    <d v="2019-11-22T00:00:00"/>
    <s v="SMLN-2019-617-000596"/>
    <x v="0"/>
    <m/>
    <m/>
  </r>
  <r>
    <m/>
    <m/>
    <d v="2019-05-24T00:00:00"/>
    <s v="VZ-2019-000601"/>
    <s v="LÉK"/>
    <s v="Ondráčková"/>
    <x v="237"/>
    <n v="7"/>
    <s v="Spotřební materiál pro genetiku  VII."/>
    <m/>
    <s v="33694000-1"/>
    <m/>
    <n v="680242.14"/>
    <x v="1"/>
    <d v="2019-06-11T00:00:00"/>
    <d v="2019-07-24T00:00:00"/>
    <d v="2019-11-19T00:00:00"/>
    <s v="pentagen"/>
    <s v="DůVOD zrušeno - oprava zadání ;  ; DALŠÍ POSTUP opakovat; ÚPRAVA  ; PŘEDPOKLAD  ; POZN: "/>
    <m/>
    <m/>
    <m/>
    <m/>
    <m/>
    <m/>
    <m/>
    <x v="0"/>
    <d v="2019-07-04T00:00:00"/>
    <s v="3.7. zrušeno"/>
  </r>
  <r>
    <m/>
    <m/>
    <d v="2019-05-24T00:00:00"/>
    <s v="VZ-2019-000601"/>
    <s v="LÉK"/>
    <s v="Ondráčková"/>
    <x v="237"/>
    <n v="8"/>
    <s v="Spotřební materiál pro genetiku  VIII."/>
    <m/>
    <s v="33694000-1"/>
    <m/>
    <n v="222160"/>
    <x v="1"/>
    <d v="2019-06-11T00:00:00"/>
    <d v="2019-07-24T00:00:00"/>
    <d v="2019-11-19T00:00:00"/>
    <s v="ROCHE s.r.o."/>
    <m/>
    <n v="133296"/>
    <n v="161288.16"/>
    <m/>
    <m/>
    <m/>
    <d v="2019-11-22T00:00:00"/>
    <s v="SMLN-2019-617-000597"/>
    <x v="0"/>
    <m/>
    <m/>
  </r>
  <r>
    <m/>
    <m/>
    <d v="2019-05-24T00:00:00"/>
    <s v="VZ-2019-000602"/>
    <s v="LÉK"/>
    <s v="Ondráčková"/>
    <x v="238"/>
    <n v="1"/>
    <s v="Spotřební materiál pro experimentální medicínu I."/>
    <m/>
    <s v="33694000-1"/>
    <m/>
    <n v="385106"/>
    <x v="0"/>
    <d v="2019-06-14T00:00:00"/>
    <d v="2019-09-09T00:00:00"/>
    <m/>
    <s v="Genetica"/>
    <s v="bude vypsáno znovu"/>
    <m/>
    <m/>
    <m/>
    <m/>
    <m/>
    <m/>
    <m/>
    <x v="0"/>
    <d v="2019-10-15T00:00:00"/>
    <s v="19.9. zrušeno"/>
  </r>
  <r>
    <m/>
    <m/>
    <d v="2019-05-24T00:00:00"/>
    <s v="VZ-2019-000602"/>
    <s v="LÉK"/>
    <s v="Ondráčková"/>
    <x v="238"/>
    <n v="2"/>
    <s v="Spotřební materiál pro experimentální medicínu II."/>
    <m/>
    <s v="33694000-1"/>
    <m/>
    <n v="142941"/>
    <x v="0"/>
    <d v="2019-06-14T00:00:00"/>
    <d v="2019-09-09T00:00:00"/>
    <d v="2019-11-19T00:00:00"/>
    <s v="HPST, s.r.o."/>
    <m/>
    <n v="142931.54"/>
    <n v="172947.16"/>
    <m/>
    <m/>
    <m/>
    <d v="2019-11-22T00:00:00"/>
    <s v="SMLN-2019-617-000586"/>
    <x v="0"/>
    <m/>
    <m/>
  </r>
  <r>
    <m/>
    <m/>
    <d v="2019-05-24T00:00:00"/>
    <s v="VZ-2019-000602"/>
    <s v="LÉK"/>
    <s v="Ondráčková"/>
    <x v="238"/>
    <n v="3"/>
    <s v="Spotřební materiál pro experimentální medicínu III."/>
    <m/>
    <s v="33694000-1"/>
    <m/>
    <n v="974576"/>
    <x v="0"/>
    <d v="2019-06-14T00:00:00"/>
    <d v="2019-09-09T00:00:00"/>
    <m/>
    <s v="Intellmed"/>
    <s v="bude vypsáno znovu"/>
    <m/>
    <m/>
    <m/>
    <m/>
    <m/>
    <m/>
    <m/>
    <x v="0"/>
    <d v="2019-10-15T00:00:00"/>
    <s v="19.9. zrušeno"/>
  </r>
  <r>
    <m/>
    <m/>
    <d v="2019-05-24T00:00:00"/>
    <s v="VZ-2019-000602"/>
    <s v="LÉK"/>
    <s v="Ondráčková"/>
    <x v="238"/>
    <n v="4"/>
    <s v="Spotřební materiál pro experimentální medicínu IV."/>
    <m/>
    <s v="33694000-1"/>
    <m/>
    <n v="235929"/>
    <x v="0"/>
    <d v="2019-06-14T00:00:00"/>
    <d v="2019-09-09T00:00:00"/>
    <d v="2019-11-19T00:00:00"/>
    <s v="INTIMEX s.r.o."/>
    <m/>
    <n v="235926"/>
    <n v="285470.46000000002"/>
    <m/>
    <m/>
    <m/>
    <d v="2019-11-22T00:00:00"/>
    <s v="SMLN-2019-617-000587"/>
    <x v="0"/>
    <m/>
    <m/>
  </r>
  <r>
    <m/>
    <m/>
    <d v="2019-05-24T00:00:00"/>
    <s v="VZ-2019-000602"/>
    <s v="LÉK"/>
    <s v="Ondráčková"/>
    <x v="238"/>
    <n v="5"/>
    <s v="Spotřební materiál pro experimentální medicínu V."/>
    <m/>
    <s v="33694000-1"/>
    <m/>
    <n v="74910"/>
    <x v="0"/>
    <d v="2019-06-14T00:00:00"/>
    <d v="2019-09-09T00:00:00"/>
    <d v="2019-11-19T00:00:00"/>
    <s v="KRD - obchodní společnost s.r.o."/>
    <m/>
    <n v="74700"/>
    <n v="90387"/>
    <m/>
    <m/>
    <m/>
    <d v="2019-11-22T00:00:00"/>
    <s v="SMLN-2019-617-000588"/>
    <x v="0"/>
    <m/>
    <m/>
  </r>
  <r>
    <m/>
    <m/>
    <d v="2019-05-24T00:00:00"/>
    <s v="VZ-2019-000602"/>
    <s v="LÉK"/>
    <s v="Ondráčková"/>
    <x v="238"/>
    <n v="6"/>
    <s v="Spotřební materiál pro experimentální medicínu VI."/>
    <m/>
    <s v="33694000-1"/>
    <m/>
    <n v="796520"/>
    <x v="0"/>
    <d v="2019-06-14T00:00:00"/>
    <d v="2019-09-09T00:00:00"/>
    <d v="2019-11-19T00:00:00"/>
    <s v="Life Technologies Czech Republic s.r.o."/>
    <m/>
    <n v="749113.9"/>
    <n v="906427.82"/>
    <m/>
    <m/>
    <m/>
    <d v="2019-11-22T00:00:00"/>
    <s v="SMLN-2019-617-000589"/>
    <x v="0"/>
    <m/>
    <m/>
  </r>
  <r>
    <m/>
    <m/>
    <d v="2019-05-24T00:00:00"/>
    <s v="VZ-2019-000602"/>
    <s v="LÉK"/>
    <s v="Ondráčková"/>
    <x v="238"/>
    <n v="7"/>
    <s v="Spotřební materiál pro experimentální medicínu VII."/>
    <m/>
    <s v="33694000-1"/>
    <m/>
    <n v="653040"/>
    <x v="0"/>
    <d v="2019-06-14T00:00:00"/>
    <d v="2019-09-09T00:00:00"/>
    <d v="2019-11-19T00:00:00"/>
    <s v="ROCHE s.r.o."/>
    <m/>
    <n v="653039.55000000005"/>
    <n v="790177.86"/>
    <m/>
    <m/>
    <m/>
    <d v="2019-11-22T00:00:00"/>
    <s v="SMLN-2019-617-000590"/>
    <x v="0"/>
    <m/>
    <m/>
  </r>
  <r>
    <m/>
    <m/>
    <d v="2019-05-24T00:00:00"/>
    <s v="VZ-2019-000602"/>
    <s v="LÉK"/>
    <s v="Ondráčková"/>
    <x v="238"/>
    <n v="8"/>
    <s v="Spotřební materiál pro IVF I. "/>
    <m/>
    <s v="33694000-1"/>
    <m/>
    <n v="504800"/>
    <x v="0"/>
    <d v="2019-06-14T00:00:00"/>
    <d v="2019-09-09T00:00:00"/>
    <d v="2019-11-19T00:00:00"/>
    <s v="East Port Praha, s.r.o."/>
    <m/>
    <n v="479481"/>
    <n v="580172.01"/>
    <m/>
    <m/>
    <m/>
    <d v="2019-11-22T00:00:00"/>
    <s v="SMLN-2019-617-000591"/>
    <x v="0"/>
    <m/>
    <m/>
  </r>
  <r>
    <m/>
    <m/>
    <d v="2019-05-24T00:00:00"/>
    <s v="VZ-2019-000602"/>
    <s v="LÉK"/>
    <s v="Ondráčková"/>
    <x v="238"/>
    <n v="9"/>
    <s v="Spotřební materiál pro IVF II. "/>
    <m/>
    <s v="33694000-1"/>
    <m/>
    <n v="742300"/>
    <x v="0"/>
    <d v="2019-06-14T00:00:00"/>
    <d v="2019-09-09T00:00:00"/>
    <d v="2019-11-19T00:00:00"/>
    <s v="PentaGen s.r.o."/>
    <m/>
    <n v="741850"/>
    <n v="897638.5"/>
    <m/>
    <m/>
    <m/>
    <d v="2019-11-22T00:00:00"/>
    <s v="SMLN-2019-617-000592"/>
    <x v="0"/>
    <m/>
    <m/>
  </r>
  <r>
    <m/>
    <m/>
    <d v="2019-05-23T00:00:00"/>
    <s v="VZ-2019-000603"/>
    <s v="ZT"/>
    <s v="Rosulek"/>
    <x v="239"/>
    <m/>
    <m/>
    <m/>
    <s v="33167000-8"/>
    <s v="2.3.398,2.3.423"/>
    <n v="569116"/>
    <x v="2"/>
    <d v="2019-06-07T00:00:00"/>
    <d v="2019-06-25T00:00:00"/>
    <d v="2019-07-26T00:00:00"/>
    <s v="Dräger Medical s.r.o."/>
    <m/>
    <n v="529960"/>
    <n v="641251.6"/>
    <m/>
    <m/>
    <m/>
    <d v="2019-07-26T00:00:00"/>
    <s v="SMLN-2019-617-000329_x000a_SMLN-2019-612-000076"/>
    <x v="61"/>
    <d v="2019-09-20T00:00:00"/>
    <d v="2019-10-29T00:00:00"/>
  </r>
  <r>
    <m/>
    <m/>
    <d v="2019-05-22T00:00:00"/>
    <s v="VZ-2019-000604"/>
    <s v="ENERG"/>
    <s v="Srovnal"/>
    <x v="240"/>
    <m/>
    <m/>
    <m/>
    <s v="42514310-8"/>
    <m/>
    <n v="500000"/>
    <x v="2"/>
    <d v="2019-06-04T00:00:00"/>
    <d v="2019-06-20T00:00:00"/>
    <d v="2019-07-10T00:00:00"/>
    <s v="Stangl technik Česko spol. s r.o."/>
    <m/>
    <n v="467790"/>
    <n v="566026"/>
    <m/>
    <m/>
    <m/>
    <d v="2019-07-11T00:00:00"/>
    <s v="SMLN-2019-617-000315"/>
    <x v="115"/>
    <d v="2019-07-29T00:00:00"/>
    <d v="2019-09-05T00:00:00"/>
  </r>
  <r>
    <m/>
    <m/>
    <s v="opakovaná VZ"/>
    <s v="VZ-2019-000605"/>
    <s v="EKON"/>
    <s v="Křivková"/>
    <x v="241"/>
    <m/>
    <m/>
    <m/>
    <s v="79221000-9"/>
    <m/>
    <n v="750000"/>
    <x v="2"/>
    <d v="2019-05-31T00:00:00"/>
    <d v="2019-06-10T00:00:00"/>
    <m/>
    <s v="zrušeno - úprava zadání"/>
    <s v="VZ-2019-000880"/>
    <m/>
    <m/>
    <m/>
    <m/>
    <m/>
    <m/>
    <m/>
    <x v="0"/>
    <d v="2019-06-19T00:00:00"/>
    <m/>
  </r>
  <r>
    <m/>
    <m/>
    <s v="opakovaná VZ"/>
    <s v="VZ-2019-000607"/>
    <s v="DOPR"/>
    <s v="Solovský"/>
    <x v="242"/>
    <n v="1"/>
    <s v="Sanitní vozidla DNR typu A2 s pohonem všech kol"/>
    <m/>
    <s v="34114110-3"/>
    <s v="4.2.110."/>
    <n v="4600000"/>
    <x v="0"/>
    <d v="2019-06-03T00:00:00"/>
    <d v="2019-08-06T00:00:00"/>
    <d v="2019-08-27T00:00:00"/>
    <s v="PROSSAN CZ s.r.o."/>
    <m/>
    <n v="4388000"/>
    <n v="5309480"/>
    <m/>
    <m/>
    <m/>
    <d v="2019-08-27T00:00:00"/>
    <s v="SMLN-2019-617-000384"/>
    <x v="116"/>
    <d v="2019-10-02T00:00:00"/>
    <d v="2020-02-29T00:00:00"/>
  </r>
  <r>
    <m/>
    <m/>
    <s v="opakovaná VZ"/>
    <s v="VZ-2019-000611"/>
    <s v="ZM"/>
    <s v="Dočkalová"/>
    <x v="243"/>
    <m/>
    <m/>
    <m/>
    <s v="33812210-4"/>
    <s v="grant"/>
    <n v="1123966.8999999999"/>
    <x v="2"/>
    <d v="2019-06-03T00:00:00"/>
    <d v="2019-06-06T00:00:00"/>
    <d v="2019-06-12T00:00:00"/>
    <s v="Cardiomedical, s.r.o."/>
    <m/>
    <n v="1123965.2"/>
    <n v="1359997.9"/>
    <m/>
    <m/>
    <m/>
    <d v="2019-06-14T00:00:00"/>
    <s v="SMLN-2019-617-000280"/>
    <x v="117"/>
    <d v="2019-06-26T00:00:00"/>
    <d v="2022-06-19T00:00:00"/>
  </r>
  <r>
    <m/>
    <m/>
    <d v="2019-05-21T00:00:00"/>
    <s v="VZ-2019-000616"/>
    <s v="ZM"/>
    <s v="Dočkalová"/>
    <x v="244"/>
    <m/>
    <m/>
    <m/>
    <s v="33140000-3"/>
    <m/>
    <n v="315260"/>
    <x v="2"/>
    <d v="2019-06-07T00:00:00"/>
    <d v="2019-06-14T00:00:00"/>
    <m/>
    <s v="zrušeno - bez nabídky"/>
    <s v="nová VZ-2019-000692"/>
    <m/>
    <m/>
    <m/>
    <m/>
    <m/>
    <m/>
    <m/>
    <x v="0"/>
    <d v="2019-06-17T00:00:00"/>
    <m/>
  </r>
  <r>
    <m/>
    <m/>
    <d v="2019-05-29T00:00:00"/>
    <s v="VZ-2019-000623"/>
    <s v="DOPR"/>
    <s v="Solovský"/>
    <x v="245"/>
    <m/>
    <m/>
    <m/>
    <s v="34351100-3"/>
    <m/>
    <n v="320000"/>
    <x v="2"/>
    <d v="2019-06-07T00:00:00"/>
    <d v="2019-06-20T00:00:00"/>
    <d v="2019-06-26T00:00:00"/>
    <s v="SKARAB s.r.o."/>
    <m/>
    <n v="265470"/>
    <n v="321218.7"/>
    <m/>
    <m/>
    <m/>
    <d v="2019-06-26T00:00:00"/>
    <s v="SMLN-2019-617-000299"/>
    <x v="113"/>
    <d v="2019-07-15T00:00:00"/>
    <d v="2020-07-11T00:00:00"/>
  </r>
  <r>
    <m/>
    <m/>
    <s v="opakovaná VZ"/>
    <s v="VZ-2019-000624"/>
    <s v="IROP"/>
    <s v="Neudörflerová"/>
    <x v="246"/>
    <m/>
    <m/>
    <m/>
    <s v="33120000-7"/>
    <s v="2.3.336."/>
    <n v="101429.75"/>
    <x v="0"/>
    <d v="2019-07-15T00:00:00"/>
    <d v="2019-08-15T00:00:00"/>
    <d v="2019-11-15T00:00:00"/>
    <s v="WIDEX LINE s.r.o."/>
    <m/>
    <n v="93640"/>
    <n v="113304.4"/>
    <m/>
    <m/>
    <m/>
    <d v="2019-11-18T00:00:00"/>
    <s v="SMLN-2019-617-000582_x000a_SMLN-2019-612-000156"/>
    <x v="0"/>
    <m/>
    <m/>
  </r>
  <r>
    <m/>
    <m/>
    <d v="2019-06-03T00:00:00"/>
    <s v="VZ-2019-000625"/>
    <s v="IROP"/>
    <s v="Neudörflerová"/>
    <x v="247"/>
    <m/>
    <m/>
    <m/>
    <s v="33195100-4"/>
    <s v="aktualizace"/>
    <n v="653454.54"/>
    <x v="0"/>
    <d v="2019-06-20T00:00:00"/>
    <d v="2019-07-26T00:00:00"/>
    <d v="2019-08-27T00:00:00"/>
    <s v="Hoyer Praha s.r.o."/>
    <m/>
    <n v="93600"/>
    <n v="113256"/>
    <m/>
    <m/>
    <m/>
    <d v="2019-07-28T00:00:00"/>
    <s v="SMLN-2019-617-000386_x000a_SMLN-2019-612-000095"/>
    <x v="111"/>
    <d v="2019-09-20T00:00:00"/>
    <d v="2019-11-11T00:00:00"/>
  </r>
  <r>
    <m/>
    <m/>
    <s v="opakovaná VZ"/>
    <s v="VZ-2019-000626"/>
    <s v="IROP"/>
    <s v="Neudörflerová"/>
    <x v="248"/>
    <m/>
    <m/>
    <m/>
    <s v="33195100-4"/>
    <s v="2.3.333."/>
    <n v="2588200"/>
    <x v="0"/>
    <d v="2019-08-19T00:00:00"/>
    <d v="2019-10-21T00:00:00"/>
    <d v="2019-11-15T00:00:00"/>
    <s v="ASQA a.s."/>
    <m/>
    <n v="2456200"/>
    <n v="2972002"/>
    <m/>
    <m/>
    <m/>
    <d v="2019-10-31T00:00:00"/>
    <s v="SMLN-2019-617-000549_x000a_SMLN-2019-612-000142_x000a_SMLN-2020-617-000032"/>
    <x v="118"/>
    <d v="2019-12-12T00:00:00"/>
    <d v="2020-01-21T00:00:00"/>
  </r>
  <r>
    <m/>
    <m/>
    <s v="opkovaná VZ"/>
    <s v="VZ-2019-000630"/>
    <s v="IROP"/>
    <s v="Neudörflerová"/>
    <x v="249"/>
    <m/>
    <m/>
    <m/>
    <s v="33123000-8"/>
    <s v="2.3.332."/>
    <n v="143801.65"/>
    <x v="0"/>
    <d v="2019-06-28T00:00:00"/>
    <d v="2019-08-05T00:00:00"/>
    <m/>
    <s v="zrušeno - bez nabídky"/>
    <s v="nová VZ-2019-000877"/>
    <m/>
    <m/>
    <m/>
    <m/>
    <m/>
    <m/>
    <m/>
    <x v="0"/>
    <d v="2019-08-15T00:00:00"/>
    <s v="15.8. zrušeno"/>
  </r>
  <r>
    <m/>
    <m/>
    <d v="2019-06-11T00:00:00"/>
    <s v="VZ-2019-000639"/>
    <s v="INV"/>
    <s v="Jansa"/>
    <x v="250"/>
    <m/>
    <m/>
    <m/>
    <s v="45215100-8"/>
    <s v="1.2.57."/>
    <n v="4500000"/>
    <x v="2"/>
    <d v="2019-06-11T00:00:00"/>
    <d v="2019-06-20T00:00:00"/>
    <d v="2019-06-21T00:00:00"/>
    <s v="OHL ŽS, a.s."/>
    <m/>
    <n v="3991339.51"/>
    <n v="4829520.8070999999"/>
    <m/>
    <m/>
    <m/>
    <d v="2019-06-21T00:00:00"/>
    <s v="SMLN-2019-618-000047"/>
    <x v="47"/>
    <d v="2019-07-10T00:00:00"/>
    <d v="2019-08-15T00:00:00"/>
  </r>
  <r>
    <m/>
    <m/>
    <d v="2019-05-28T00:00:00"/>
    <s v="VZ-2019-000640"/>
    <s v="ENERG"/>
    <s v="Svozil"/>
    <x v="251"/>
    <m/>
    <m/>
    <m/>
    <s v="45233200-1"/>
    <s v="4.3.8."/>
    <n v="1650000"/>
    <x v="2"/>
    <d v="2019-06-12T00:00:00"/>
    <d v="2019-06-21T00:00:00"/>
    <d v="2019-06-27T00:00:00"/>
    <s v="OHL ŽS, a.s."/>
    <m/>
    <n v="1993715.88"/>
    <n v="2412396.2200000002"/>
    <m/>
    <m/>
    <m/>
    <d v="2019-06-27T00:00:00"/>
    <s v="SMLN-2019-618-000050"/>
    <x v="119"/>
    <d v="2019-08-19T00:00:00"/>
    <d v="2019-12-31T00:00:00"/>
  </r>
  <r>
    <m/>
    <m/>
    <d v="2019-05-24T00:00:00"/>
    <s v="VZ-2019-000642"/>
    <s v="ZM"/>
    <s v="Valtová"/>
    <x v="252"/>
    <m/>
    <m/>
    <m/>
    <s v="33140000-3"/>
    <m/>
    <n v="2550600"/>
    <x v="1"/>
    <d v="2019-06-11T00:00:00"/>
    <d v="2019-06-28T00:00:00"/>
    <d v="2019-09-24T00:00:00"/>
    <s v="Alliance Healthcare s.r.o."/>
    <m/>
    <n v="2177820"/>
    <n v="2635162.2000000002"/>
    <m/>
    <m/>
    <m/>
    <d v="2019-09-25T00:00:00"/>
    <s v="SMLN-2019-617-000459 SMLN-2019-614-000099"/>
    <x v="120"/>
    <d v="2019-10-24T00:00:00"/>
    <d v="2021-10-20T00:00:00"/>
  </r>
  <r>
    <m/>
    <m/>
    <d v="2019-06-04T00:00:00"/>
    <s v="VZ-2019-000643"/>
    <s v="LÉK"/>
    <s v="Ondráčková"/>
    <x v="253"/>
    <n v="1"/>
    <s v="ANAKINRA"/>
    <m/>
    <s v="33652300-8"/>
    <m/>
    <n v="2143890"/>
    <x v="0"/>
    <d v="2019-06-13T00:00:00"/>
    <d v="2019-07-19T00:00:00"/>
    <m/>
    <s v="Swedish Orphan Biovitrum s.r.o."/>
    <s v="VZ-2019-000798 nová VZ - DůVOD zrušeno - bez nabídky ; zrušeno - bez nabídky ; DALŠÍ POSTUP opakování zrušené; 23.7. předáno OZVZ; ÚPRAVA  ; PŘEDPOKLAD  ; POZN: "/>
    <m/>
    <m/>
    <m/>
    <m/>
    <m/>
    <m/>
    <m/>
    <x v="0"/>
    <d v="2019-08-01T00:00:00"/>
    <s v="29.7. zrušeno"/>
  </r>
  <r>
    <m/>
    <m/>
    <d v="2019-06-04T00:00:00"/>
    <s v="VZ-2019-000643"/>
    <s v="LÉK"/>
    <s v="Ondráčková"/>
    <x v="253"/>
    <n v="2"/>
    <s v="SARILUMAB "/>
    <m/>
    <s v="33652300-8"/>
    <m/>
    <n v="3103225"/>
    <x v="0"/>
    <d v="2019-06-13T00:00:00"/>
    <d v="2019-07-19T00:00:00"/>
    <m/>
    <s v="sanofi-aventis, s.r.o."/>
    <s v="VZ-2019-000798 nová VZ, DůVOD zrušeno - bez nabídky ; zrušeno - bez nabídky ; DALŠÍ POSTUP opakování zrušené; 23.7. předáno OZVZ; ÚPRAVA  ; PŘEDPOKLAD  ; POZN: "/>
    <m/>
    <m/>
    <m/>
    <m/>
    <m/>
    <m/>
    <m/>
    <x v="0"/>
    <d v="2019-08-01T00:00:00"/>
    <s v="29.7. zrušeno"/>
  </r>
  <r>
    <m/>
    <m/>
    <d v="2019-06-04T00:00:00"/>
    <s v="VZ-2019-000643"/>
    <s v="LÉK"/>
    <s v="Ondráčková"/>
    <x v="253"/>
    <n v="3"/>
    <s v="BRODALUMAB "/>
    <m/>
    <s v="33652300-8"/>
    <m/>
    <n v="406262"/>
    <x v="0"/>
    <d v="2019-06-13T00:00:00"/>
    <d v="2019-07-19T00:00:00"/>
    <m/>
    <s v="LEO Pharma s.r.o."/>
    <s v="VZ-2019-000798 nová VZ, DůVOD zrušeno - bez nabídky ; zrušeno - bez nabídky ; DALŠÍ POSTUP opakování zrušené; 23.7. předáno OZVZ; ÚPRAVA  ; PŘEDPOKLAD  ; POZN: "/>
    <m/>
    <m/>
    <m/>
    <m/>
    <m/>
    <m/>
    <m/>
    <x v="0"/>
    <d v="2019-08-01T00:00:00"/>
    <s v="29.7. zrušeno"/>
  </r>
  <r>
    <m/>
    <m/>
    <d v="2019-06-04T00:00:00"/>
    <s v="VZ-2019-000644"/>
    <s v="LÉK"/>
    <s v="Ondráčková"/>
    <x v="254"/>
    <m/>
    <m/>
    <m/>
    <s v="33652000-5"/>
    <m/>
    <n v="15813414"/>
    <x v="0"/>
    <d v="2019-06-14T00:00:00"/>
    <d v="2019-07-18T00:00:00"/>
    <d v="2019-08-07T00:00:00"/>
    <s v="Amgen s.r.o."/>
    <m/>
    <n v="15091188.189999999"/>
    <n v="16600307.01"/>
    <m/>
    <m/>
    <m/>
    <d v="2019-08-07T00:00:00"/>
    <s v="SMLN-2019-617-000337"/>
    <x v="112"/>
    <d v="2019-09-17T00:00:00"/>
    <d v="2020-09-11T00:00:00"/>
  </r>
  <r>
    <m/>
    <m/>
    <d v="2019-06-04T00:00:00"/>
    <s v="VZ-2019-000645"/>
    <s v="LÉK"/>
    <s v="Ondráčková"/>
    <x v="255"/>
    <n v="1"/>
    <s v="VANDETANIB "/>
    <m/>
    <s v="33652000-5"/>
    <m/>
    <n v="2777011"/>
    <x v="0"/>
    <d v="2019-06-13T00:00:00"/>
    <d v="2019-08-14T00:00:00"/>
    <d v="2019-10-17T00:00:00"/>
    <s v="sanofi-aventis, s.r.o."/>
    <m/>
    <n v="2780260.18"/>
    <n v="3058286.2"/>
    <m/>
    <m/>
    <m/>
    <d v="2019-10-18T00:00:00"/>
    <s v="SMLN-2019-617-000511"/>
    <x v="105"/>
    <d v="2019-12-06T00:00:00"/>
    <d v="2021-11-26T00:00:00"/>
  </r>
  <r>
    <m/>
    <m/>
    <d v="2019-06-04T00:00:00"/>
    <s v="VZ-2019-000645"/>
    <s v="LÉK"/>
    <s v="Ondráčková"/>
    <x v="255"/>
    <n v="2"/>
    <s v="AFATINIB"/>
    <m/>
    <s v="33652000-5"/>
    <m/>
    <n v="4504490"/>
    <x v="0"/>
    <d v="2019-06-13T00:00:00"/>
    <d v="2019-08-14T00:00:00"/>
    <m/>
    <s v=" -2% Boehringer Ingelheim spol s r.o."/>
    <s v="DůVOD zrušeno - překročení ceny ; zrušeno - překročení ceny ; DALŠÍ POSTUP opakovat; ÚPRAVA  ; PŘEDPOKLAD 3.Q_19 ; POZN: padl patent"/>
    <m/>
    <m/>
    <m/>
    <m/>
    <m/>
    <m/>
    <m/>
    <x v="0"/>
    <d v="2019-09-10T00:00:00"/>
    <s v="19.8. zrušeno"/>
  </r>
  <r>
    <m/>
    <m/>
    <d v="2019-06-04T00:00:00"/>
    <s v="VZ-2019-000645"/>
    <s v="LÉK"/>
    <s v="Ondráčková"/>
    <x v="255"/>
    <n v="3"/>
    <s v="BOSUTINIB "/>
    <m/>
    <s v="33652000-5"/>
    <m/>
    <n v="207611"/>
    <x v="0"/>
    <d v="2019-06-13T00:00:00"/>
    <d v="2019-08-14T00:00:00"/>
    <d v="2019-10-17T00:00:00"/>
    <s v="PHOENIX lék.velkoobchod, s.r.o."/>
    <m/>
    <n v="201035.84"/>
    <n v="221139.43"/>
    <m/>
    <m/>
    <m/>
    <d v="2019-10-18T00:00:00"/>
    <s v="SMLN-2019-617-000512"/>
    <x v="105"/>
    <d v="2019-12-06T00:00:00"/>
    <d v="2021-11-26T00:00:00"/>
  </r>
  <r>
    <m/>
    <m/>
    <d v="2019-06-04T00:00:00"/>
    <s v="VZ-2019-000645"/>
    <s v="LÉK"/>
    <s v="Ondráčková"/>
    <x v="255"/>
    <n v="4"/>
    <s v="KRIZOTINIB "/>
    <m/>
    <s v="33652000-5"/>
    <m/>
    <n v="12070000"/>
    <x v="0"/>
    <d v="2019-06-13T00:00:00"/>
    <d v="2019-08-14T00:00:00"/>
    <d v="2019-10-17T00:00:00"/>
    <s v="PHOENIX lék.velkoobchod, s.r.o."/>
    <m/>
    <n v="12070000"/>
    <n v="13277000"/>
    <m/>
    <m/>
    <m/>
    <d v="2019-10-18T00:00:00"/>
    <s v="SMLN-2019-617-000513"/>
    <x v="105"/>
    <d v="2019-12-06T00:00:00"/>
    <d v="2021-11-26T00:00:00"/>
  </r>
  <r>
    <m/>
    <m/>
    <d v="2019-06-04T00:00:00"/>
    <s v="VZ-2019-000645"/>
    <s v="LÉK"/>
    <s v="Ondráčková"/>
    <x v="255"/>
    <n v="5"/>
    <s v="PONATINIB "/>
    <m/>
    <s v="33652000-5"/>
    <m/>
    <n v="3069066"/>
    <x v="0"/>
    <d v="2019-06-13T00:00:00"/>
    <d v="2019-08-14T00:00:00"/>
    <d v="2019-10-17T00:00:00"/>
    <s v="PHOENIX lék.velkoobchod, s.r.o."/>
    <m/>
    <n v="3029447.74"/>
    <n v="3332392.51"/>
    <m/>
    <m/>
    <m/>
    <d v="2019-10-18T00:00:00"/>
    <s v="SMLN-2019-617-000514"/>
    <x v="105"/>
    <d v="2019-12-06T00:00:00"/>
    <d v="2021-11-26T00:00:00"/>
  </r>
  <r>
    <m/>
    <m/>
    <d v="2019-06-04T00:00:00"/>
    <s v="VZ-2019-000645"/>
    <s v="LÉK"/>
    <s v="Ondráčková"/>
    <x v="255"/>
    <n v="6"/>
    <s v="TRAMETINIB "/>
    <m/>
    <s v="33652000-5"/>
    <m/>
    <n v="1769495"/>
    <x v="0"/>
    <d v="2019-06-13T00:00:00"/>
    <d v="2019-08-14T00:00:00"/>
    <d v="2019-10-17T00:00:00"/>
    <s v="Alliance Healthcare s.r.o."/>
    <m/>
    <n v="1538049.52"/>
    <n v="1691854.47"/>
    <m/>
    <m/>
    <m/>
    <d v="2019-10-18T00:00:00"/>
    <s v="SMLN-2019-617-000515"/>
    <x v="105"/>
    <d v="2019-12-06T00:00:00"/>
    <d v="2021-11-26T00:00:00"/>
  </r>
  <r>
    <m/>
    <m/>
    <d v="2019-06-04T00:00:00"/>
    <s v="VZ-2019-000645"/>
    <s v="LÉK"/>
    <s v="Ondráčková"/>
    <x v="255"/>
    <n v="7"/>
    <s v="KABOZANTINIB  I."/>
    <m/>
    <s v="33652000-5"/>
    <m/>
    <n v="3160476"/>
    <x v="0"/>
    <d v="2019-06-13T00:00:00"/>
    <d v="2019-08-14T00:00:00"/>
    <d v="2019-10-17T00:00:00"/>
    <s v="PHARMOS, a.s."/>
    <m/>
    <n v="3109876"/>
    <n v="3420863.6"/>
    <m/>
    <m/>
    <m/>
    <d v="2019-10-18T00:00:00"/>
    <s v="SMLN-2019-617-000516"/>
    <x v="121"/>
    <d v="2019-12-06T00:00:00"/>
    <d v="2021-11-25T00:00:00"/>
  </r>
  <r>
    <m/>
    <m/>
    <d v="2019-06-04T00:00:00"/>
    <s v="VZ-2019-000645"/>
    <s v="LÉK"/>
    <s v="Ondráčková"/>
    <x v="255"/>
    <n v="8"/>
    <s v="KABOZANTINIB  II."/>
    <m/>
    <s v="33652000-5"/>
    <m/>
    <n v="8127504"/>
    <x v="0"/>
    <d v="2019-06-13T00:00:00"/>
    <d v="2019-08-14T00:00:00"/>
    <d v="2019-10-17T00:00:00"/>
    <s v="PHOENIX lék.velkoobchod, s.r.o."/>
    <m/>
    <n v="8006822.04"/>
    <n v="8807504.2400000002"/>
    <m/>
    <m/>
    <m/>
    <d v="2019-10-18T00:00:00"/>
    <s v="SMLN-2019-617-000517"/>
    <x v="105"/>
    <d v="2019-12-06T00:00:00"/>
    <d v="2021-11-26T00:00:00"/>
  </r>
  <r>
    <m/>
    <m/>
    <d v="2019-06-04T00:00:00"/>
    <s v="VZ-2019-000645"/>
    <s v="LÉK"/>
    <s v="Ondráčková"/>
    <x v="255"/>
    <n v="9"/>
    <s v="LENVATINIB"/>
    <m/>
    <s v="33652000-5"/>
    <m/>
    <n v="2357044"/>
    <x v="0"/>
    <d v="2019-06-13T00:00:00"/>
    <d v="2019-08-14T00:00:00"/>
    <m/>
    <s v=" Eisai R&amp;D Management Co., "/>
    <s v="DůVOD zrušeno - bez nabídky ; zrušeno - bez nabídky ; DALŠÍ POSTUP opakovat; ÚPRAVA  ; PŘEDPOKLAD 3.Q_19 ; POZN: "/>
    <m/>
    <m/>
    <m/>
    <m/>
    <m/>
    <m/>
    <m/>
    <x v="0"/>
    <d v="2019-09-10T00:00:00"/>
    <s v="19.8. zrušeno"/>
  </r>
  <r>
    <m/>
    <m/>
    <d v="2019-06-04T00:00:00"/>
    <s v="VZ-2019-000645"/>
    <s v="LÉK"/>
    <s v="Ondráčková"/>
    <x v="255"/>
    <n v="10"/>
    <s v="ALEKTINIB "/>
    <m/>
    <s v="33652000-5"/>
    <m/>
    <n v="5488380"/>
    <x v="0"/>
    <d v="2019-06-13T00:00:00"/>
    <d v="2019-08-14T00:00:00"/>
    <d v="2019-10-17T00:00:00"/>
    <s v="ROCHE s.r.o."/>
    <m/>
    <n v="5488380"/>
    <n v="6037218"/>
    <m/>
    <m/>
    <m/>
    <d v="2019-10-18T00:00:00"/>
    <s v="SMLN-2019-617-000518"/>
    <x v="105"/>
    <d v="2019-12-06T00:00:00"/>
    <d v="2021-11-26T00:00:00"/>
  </r>
  <r>
    <m/>
    <m/>
    <s v="opakovaná VZ"/>
    <s v="VZ-2019-000651"/>
    <s v="ZT"/>
    <s v="Rosulek"/>
    <x v="256"/>
    <m/>
    <m/>
    <m/>
    <s v="33195100-4"/>
    <s v="2.2.196."/>
    <n v="905000"/>
    <x v="2"/>
    <d v="2019-06-10T00:00:00"/>
    <d v="2019-06-19T00:00:00"/>
    <d v="2019-08-14T00:00:00"/>
    <s v="Medtronic Czechia s.r.o."/>
    <m/>
    <n v="1993493.67"/>
    <n v="2412127.3407000001"/>
    <m/>
    <m/>
    <m/>
    <d v="2019-08-15T00:00:00"/>
    <s v="SMLN-2019-617-000344_x000a_SMLN-2019-612-000081"/>
    <x v="116"/>
    <d v="2019-10-03T00:00:00"/>
    <d v="2019-10-22T00:00:00"/>
  </r>
  <r>
    <m/>
    <m/>
    <d v="2019-06-11T00:00:00"/>
    <s v="VZ-2019-000668"/>
    <s v="LÉK"/>
    <s v="Ondráčková"/>
    <x v="257"/>
    <n v="1"/>
    <s v="Cetuximab I."/>
    <m/>
    <s v="33652100-6"/>
    <m/>
    <n v="19686840"/>
    <x v="0"/>
    <d v="2019-06-18T00:00:00"/>
    <d v="2019-07-30T00:00:00"/>
    <m/>
    <s v="Merck sro- alliance h"/>
    <s v="VZ-2019-000953 nová VZ, DůVOD zrušeno - bez nabídky ; VZ-2019-000953"/>
    <m/>
    <m/>
    <m/>
    <m/>
    <m/>
    <m/>
    <m/>
    <x v="0"/>
    <d v="2019-09-09T00:00:00"/>
    <s v="16.8. zrušeno"/>
  </r>
  <r>
    <m/>
    <m/>
    <d v="2019-06-11T00:00:00"/>
    <s v="VZ-2019-000668"/>
    <s v="LÉK"/>
    <s v="Ondráčková"/>
    <x v="257"/>
    <n v="2"/>
    <s v="Cetuximab II."/>
    <m/>
    <s v="33652100-6"/>
    <m/>
    <n v="2059117"/>
    <x v="0"/>
    <d v="2019-06-18T00:00:00"/>
    <d v="2019-07-30T00:00:00"/>
    <d v="2019-08-15T00:00:00"/>
    <s v="Merck spol. s r.o."/>
    <m/>
    <n v="2059116.8"/>
    <n v="2265028.4800000004"/>
    <m/>
    <m/>
    <m/>
    <d v="2019-08-16T00:00:00"/>
    <s v="SMLN-2019-617-000350"/>
    <x v="122"/>
    <d v="2019-10-15T00:00:00"/>
    <d v="2021-10-08T00:00:00"/>
  </r>
  <r>
    <m/>
    <m/>
    <d v="2019-06-11T00:00:00"/>
    <s v="VZ-2019-000668"/>
    <s v="LÉK"/>
    <s v="Ondráčková"/>
    <x v="257"/>
    <n v="3"/>
    <s v="Bevacizumab"/>
    <m/>
    <s v="33652100-6"/>
    <m/>
    <n v="26947075"/>
    <x v="0"/>
    <d v="2019-06-18T00:00:00"/>
    <d v="2019-07-30T00:00:00"/>
    <d v="2019-08-15T00:00:00"/>
    <s v="ROCHE s.r.o."/>
    <m/>
    <n v="26947074.600000001"/>
    <n v="29641782.060000002"/>
    <m/>
    <m/>
    <m/>
    <d v="2019-08-16T00:00:00"/>
    <s v="SMLN-2019-617-000351"/>
    <x v="122"/>
    <d v="2019-10-15T00:00:00"/>
    <d v="2021-10-08T00:00:00"/>
  </r>
  <r>
    <m/>
    <m/>
    <d v="2019-06-11T00:00:00"/>
    <s v="VZ-2019-000668"/>
    <s v="LÉK"/>
    <s v="Ondráčková"/>
    <x v="257"/>
    <n v="4"/>
    <s v="Panitumumab"/>
    <m/>
    <s v="33652100-6"/>
    <m/>
    <n v="15472373"/>
    <x v="0"/>
    <d v="2019-06-18T00:00:00"/>
    <d v="2019-07-30T00:00:00"/>
    <d v="2019-08-15T00:00:00"/>
    <s v="Amgen s.r.o."/>
    <m/>
    <n v="15472372.800000001"/>
    <n v="17019610.080000002"/>
    <m/>
    <m/>
    <m/>
    <d v="2019-08-16T00:00:00"/>
    <s v="SMLN-2019-617-000352"/>
    <x v="122"/>
    <d v="2019-10-15T00:00:00"/>
    <d v="2021-10-08T00:00:00"/>
  </r>
  <r>
    <m/>
    <m/>
    <d v="2019-06-11T00:00:00"/>
    <s v="VZ-2019-000668"/>
    <s v="LÉK"/>
    <s v="Ondráčková"/>
    <x v="257"/>
    <n v="5"/>
    <s v="Ramucirumab"/>
    <m/>
    <s v="33652100-6"/>
    <m/>
    <n v="5661728"/>
    <x v="0"/>
    <d v="2019-06-18T00:00:00"/>
    <d v="2019-07-30T00:00:00"/>
    <d v="2019-08-15T00:00:00"/>
    <s v="Alliance Healthcare s.r.o."/>
    <m/>
    <n v="5661190.4000000004"/>
    <n v="6227309.4400000013"/>
    <m/>
    <m/>
    <m/>
    <d v="2019-08-16T00:00:00"/>
    <s v="SMLN-2019-617-000353"/>
    <x v="122"/>
    <d v="2019-10-15T00:00:00"/>
    <d v="2021-10-08T00:00:00"/>
  </r>
  <r>
    <m/>
    <m/>
    <d v="2019-06-11T00:00:00"/>
    <s v="VZ-2019-000669"/>
    <s v="LÉK"/>
    <s v="Ondráčková"/>
    <x v="258"/>
    <n v="1"/>
    <s v="Nintedanib"/>
    <m/>
    <s v="33652100-6"/>
    <m/>
    <n v="11906766.199999999"/>
    <x v="0"/>
    <d v="2019-06-17T00:00:00"/>
    <d v="2019-08-21T00:00:00"/>
    <d v="2019-10-11T00:00:00"/>
    <s v="Boehringer Ingelheim, spol. s r.o."/>
    <m/>
    <n v="11906766.199999999"/>
    <n v="13097442.82"/>
    <m/>
    <m/>
    <m/>
    <d v="2019-10-11T00:00:00"/>
    <s v="SMLN-2019-617-000495"/>
    <x v="123"/>
    <d v="2019-11-12T00:00:00"/>
    <d v="2021-11-05T00:00:00"/>
  </r>
  <r>
    <m/>
    <m/>
    <d v="2019-06-11T00:00:00"/>
    <s v="VZ-2019-000669"/>
    <s v="LÉK"/>
    <s v="Ondráčková"/>
    <x v="258"/>
    <n v="2"/>
    <s v="Imatinib pro indikaci CML"/>
    <m/>
    <s v="33652100-6"/>
    <m/>
    <n v="5050800"/>
    <x v="0"/>
    <d v="2019-06-17T00:00:00"/>
    <d v="2019-08-21T00:00:00"/>
    <d v="2019-10-11T00:00:00"/>
    <s v="PHARMOS, a.s."/>
    <m/>
    <n v="1180926.6599999999"/>
    <n v="1299019.3260000001"/>
    <m/>
    <m/>
    <m/>
    <d v="2019-10-11T00:00:00"/>
    <s v="SMLN-2019-617-000496"/>
    <x v="123"/>
    <d v="2019-11-12T00:00:00"/>
    <d v="2021-11-05T00:00:00"/>
  </r>
  <r>
    <m/>
    <m/>
    <d v="2019-06-11T00:00:00"/>
    <s v="VZ-2019-000669"/>
    <s v="LÉK"/>
    <s v="Ondráčková"/>
    <x v="258"/>
    <n v="3"/>
    <s v="Palbociklib"/>
    <m/>
    <s v="33652100-6"/>
    <m/>
    <n v="1321542.8"/>
    <x v="0"/>
    <d v="2019-06-17T00:00:00"/>
    <d v="2019-08-21T00:00:00"/>
    <d v="2019-10-11T00:00:00"/>
    <s v="PHOENIX lék.velkoobchod, s.r.o."/>
    <m/>
    <n v="1321502.8"/>
    <n v="1453653.08"/>
    <m/>
    <m/>
    <m/>
    <d v="2019-10-11T00:00:00"/>
    <s v="SMLN-2019-617-000497"/>
    <x v="123"/>
    <d v="2019-11-12T00:00:00"/>
    <d v="2021-11-05T00:00:00"/>
  </r>
  <r>
    <m/>
    <m/>
    <d v="2019-06-11T00:00:00"/>
    <s v="VZ-2019-000669"/>
    <s v="LÉK"/>
    <s v="Ondráčková"/>
    <x v="258"/>
    <n v="4"/>
    <s v="Kobimetinib"/>
    <m/>
    <s v="33652100-6"/>
    <m/>
    <n v="1483940.64"/>
    <x v="0"/>
    <d v="2019-06-17T00:00:00"/>
    <d v="2019-08-21T00:00:00"/>
    <m/>
    <s v="roche"/>
    <s v="VZ-2019-000954 nová VZ, DůVOD zrušeno - bez nabídky ; VZ-2019-000954"/>
    <m/>
    <m/>
    <m/>
    <m/>
    <m/>
    <m/>
    <m/>
    <x v="0"/>
    <d v="2019-09-18T00:00:00"/>
    <s v="27.8. zrušeno"/>
  </r>
  <r>
    <m/>
    <m/>
    <s v="opakovaná VZ"/>
    <s v="VZ-2019-000672"/>
    <s v="ENERG"/>
    <s v="Srovnal"/>
    <x v="179"/>
    <m/>
    <m/>
    <m/>
    <s v="45311000-0"/>
    <m/>
    <n v="2900000"/>
    <x v="2"/>
    <d v="2019-06-19T00:00:00"/>
    <d v="2019-06-28T00:00:00"/>
    <d v="2019-07-10T00:00:00"/>
    <s v="ELMAR group spol. s r.o."/>
    <m/>
    <n v="2498706"/>
    <n v="3023434.26"/>
    <m/>
    <m/>
    <m/>
    <d v="2019-07-11T00:00:00"/>
    <s v="SMLN-2019-618-000053"/>
    <x v="52"/>
    <d v="2019-08-19T00:00:00"/>
    <d v="2019-10-11T00:00:00"/>
  </r>
  <r>
    <m/>
    <m/>
    <d v="2019-05-28T00:00:00"/>
    <s v="VZ-2019-000675"/>
    <s v="SERVIS"/>
    <s v="Zemánek"/>
    <x v="259"/>
    <m/>
    <m/>
    <m/>
    <s v="50421000-2"/>
    <m/>
    <n v="8000000"/>
    <x v="0"/>
    <d v="2019-06-19T00:00:00"/>
    <d v="2019-07-23T00:00:00"/>
    <d v="2019-09-26T00:00:00"/>
    <s v="Olympus Czech Group s.r.o."/>
    <m/>
    <n v="1281160"/>
    <n v="1550203.5999999999"/>
    <m/>
    <m/>
    <m/>
    <d v="2019-09-26T00:00:00"/>
    <s v="SMLN-2019-612000117"/>
    <x v="105"/>
    <d v="2019-12-03T00:00:00"/>
    <s v="doba neurčitá"/>
  </r>
  <r>
    <m/>
    <m/>
    <s v="opakovaná VZ"/>
    <s v="VZ-2019-000685"/>
    <s v="ZM"/>
    <s v="Dočkalová"/>
    <x v="260"/>
    <m/>
    <m/>
    <m/>
    <s v="33140000-3"/>
    <m/>
    <n v="409600"/>
    <x v="2"/>
    <d v="2019-06-20T00:00:00"/>
    <d v="2019-07-02T00:00:00"/>
    <m/>
    <s v="zrušeno - bez nabídky"/>
    <s v="nová VZ-2019-000760"/>
    <m/>
    <m/>
    <m/>
    <m/>
    <m/>
    <m/>
    <m/>
    <x v="0"/>
    <d v="2019-07-02T00:00:00"/>
    <m/>
  </r>
  <r>
    <m/>
    <m/>
    <s v="opakovaná VZ"/>
    <s v="VZ-2019-000688"/>
    <s v="ZT"/>
    <s v="Rosulek"/>
    <x v="261"/>
    <m/>
    <m/>
    <m/>
    <s v="38416000-4"/>
    <s v="2.2.177."/>
    <n v="416000"/>
    <x v="2"/>
    <d v="2019-06-20T00:00:00"/>
    <d v="2019-07-09T00:00:00"/>
    <d v="2019-08-08T00:00:00"/>
    <s v="IMEDEX s.r.o."/>
    <m/>
    <n v="416240"/>
    <n v="503650.4"/>
    <m/>
    <m/>
    <m/>
    <d v="2019-08-16T00:00:00"/>
    <s v="SMLN-2019-617-000345_x000a_SMLN-2019-612-000082"/>
    <x v="124"/>
    <d v="2019-09-23T00:00:00"/>
    <d v="2019-10-16T00:00:00"/>
  </r>
  <r>
    <m/>
    <m/>
    <s v="opakovaná VZ"/>
    <s v="VZ-2019-000692"/>
    <s v="ZM"/>
    <s v="Dočkalová"/>
    <x v="262"/>
    <m/>
    <m/>
    <m/>
    <s v="33140000-3"/>
    <m/>
    <n v="315260"/>
    <x v="2"/>
    <d v="2019-06-20T00:00:00"/>
    <d v="2019-07-02T00:00:00"/>
    <d v="2019-07-03T00:00:00"/>
    <s v="BS PRAGUE MEDICALCS, spol. s r.o."/>
    <m/>
    <n v="315260"/>
    <n v="381464.6"/>
    <m/>
    <m/>
    <m/>
    <d v="2019-07-04T00:00:00"/>
    <s v="SMLN-2019-617-000308 SMLN-2019-614-000062"/>
    <x v="125"/>
    <d v="2019-07-30T00:00:00"/>
    <d v="2021-07-25T00:00:00"/>
  </r>
  <r>
    <m/>
    <m/>
    <s v="opakovaná VZ"/>
    <s v="VZ-2019-000693"/>
    <s v="ZM"/>
    <s v="Dočkalová"/>
    <x v="263"/>
    <m/>
    <m/>
    <m/>
    <s v="33140000-3"/>
    <m/>
    <n v="492000"/>
    <x v="2"/>
    <d v="2019-06-21T00:00:00"/>
    <d v="2019-07-02T00:00:00"/>
    <d v="2019-08-02T00:00:00"/>
    <s v="A Care a.s."/>
    <m/>
    <n v="492000"/>
    <n v="595320"/>
    <m/>
    <m/>
    <m/>
    <d v="2019-08-02T00:00:00"/>
    <s v="SMLN-2019-617-000335_x000a_SMLN-2019-614-000066"/>
    <x v="126"/>
    <d v="2019-08-14T00:00:00"/>
    <d v="2021-08-13T00:00:00"/>
  </r>
  <r>
    <m/>
    <m/>
    <d v="2019-06-21T00:00:00"/>
    <s v="VZ-2019-000694"/>
    <s v="ZT"/>
    <s v="Olejníček"/>
    <x v="264"/>
    <m/>
    <m/>
    <m/>
    <s v="31643100-6_x000a_33115100-0_x000a_50421000-2 "/>
    <m/>
    <n v="467173553"/>
    <x v="0"/>
    <d v="2019-09-16T00:00:00"/>
    <d v="2019-11-22T00:00:00"/>
    <m/>
    <m/>
    <m/>
    <m/>
    <m/>
    <m/>
    <m/>
    <m/>
    <m/>
    <m/>
    <x v="0"/>
    <d v="2020-01-07T00:00:00"/>
    <s v="19.12.2019 zrušeno"/>
  </r>
  <r>
    <m/>
    <m/>
    <d v="2019-06-19T00:00:00"/>
    <s v="VZ-2019-000697"/>
    <s v="ZM"/>
    <s v="Dočkalová"/>
    <x v="265"/>
    <m/>
    <m/>
    <m/>
    <s v="33812210-4"/>
    <m/>
    <n v="1960200"/>
    <x v="2"/>
    <d v="2019-06-26T00:00:00"/>
    <d v="2019-07-09T00:00:00"/>
    <d v="2019-07-25T00:00:00"/>
    <s v="Cardiomedical, s.r.o."/>
    <m/>
    <n v="1960200"/>
    <n v="2254230"/>
    <m/>
    <m/>
    <m/>
    <d v="2019-07-29T00:00:00"/>
    <s v="SMLN-2019-617-000331"/>
    <x v="74"/>
    <d v="2019-08-28T00:00:00"/>
    <d v="2020-08-21T00:00:00"/>
  </r>
  <r>
    <m/>
    <m/>
    <d v="2019-06-24T00:00:00"/>
    <s v="VZ-2019-000706"/>
    <s v="LÉK"/>
    <s v="Ondráčková"/>
    <x v="266"/>
    <m/>
    <m/>
    <m/>
    <s v="33694000-1"/>
    <m/>
    <n v="21944616"/>
    <x v="0"/>
    <d v="2019-09-05T00:00:00"/>
    <d v="2019-10-17T00:00:00"/>
    <m/>
    <m/>
    <m/>
    <m/>
    <m/>
    <m/>
    <m/>
    <m/>
    <m/>
    <m/>
    <x v="0"/>
    <m/>
    <m/>
  </r>
  <r>
    <m/>
    <m/>
    <d v="2019-06-24T00:00:00"/>
    <s v="VZ-2019-000708"/>
    <s v="LÉK"/>
    <s v="Ondráčková"/>
    <x v="267"/>
    <n v="1"/>
    <s v="Midostaurin"/>
    <m/>
    <s v="33652000-5"/>
    <m/>
    <n v="11889360"/>
    <x v="0"/>
    <d v="2019-09-03T00:00:00"/>
    <d v="2019-10-08T00:00:00"/>
    <d v="2019-11-12T00:00:00"/>
    <s v="Alliance Healthcare s.r.o."/>
    <m/>
    <n v="11889360"/>
    <n v="13078296"/>
    <m/>
    <m/>
    <m/>
    <d v="2019-11-13T00:00:00"/>
    <s v="SMLN-2019-617-000571"/>
    <x v="0"/>
    <m/>
    <m/>
  </r>
  <r>
    <m/>
    <m/>
    <d v="2019-06-24T00:00:00"/>
    <s v="VZ-2019-000709"/>
    <s v="LÉK"/>
    <s v="Ondráčková"/>
    <x v="268"/>
    <n v="1"/>
    <s v="Dexmedetomidin"/>
    <m/>
    <s v="33661500-6"/>
    <m/>
    <n v="2669658"/>
    <x v="1"/>
    <d v="2019-07-09T00:00:00"/>
    <d v="2019-07-25T00:00:00"/>
    <d v="2019-08-15T00:00:00"/>
    <s v="PHOENIX lék.velkoobchod, s.r.o."/>
    <m/>
    <n v="1355567.67"/>
    <n v="1491124.54"/>
    <m/>
    <m/>
    <m/>
    <d v="2019-08-16T00:00:00"/>
    <s v="SMLN-2019-617-000348"/>
    <x v="80"/>
    <d v="2019-09-01T00:00:00"/>
    <d v="2021-09-09T00:00:00"/>
  </r>
  <r>
    <m/>
    <m/>
    <d v="2019-06-24T00:00:00"/>
    <s v="VZ-2019-000710"/>
    <s v="LÉK"/>
    <s v="Ondráčková"/>
    <x v="269"/>
    <n v="1"/>
    <s v="Interferon alfa-2b"/>
    <m/>
    <s v="33652000-5"/>
    <m/>
    <n v="2304528"/>
    <x v="0"/>
    <d v="2019-08-02T00:00:00"/>
    <d v="2019-09-20T00:00:00"/>
    <d v="2019-12-05T00:00:00"/>
    <s v="PHARMOS, a.s."/>
    <m/>
    <n v="2279198.2000000002"/>
    <n v="2507118.02"/>
    <m/>
    <m/>
    <m/>
    <d v="2019-12-06T00:00:00"/>
    <s v="SMLN-2019-617-000623"/>
    <x v="0"/>
    <m/>
    <m/>
  </r>
  <r>
    <m/>
    <m/>
    <d v="2019-06-24T00:00:00"/>
    <s v="VZ-2019-000710"/>
    <s v="LÉK"/>
    <s v="Ondráčková"/>
    <x v="269"/>
    <n v="2"/>
    <s v="Interferon beta-1a I"/>
    <m/>
    <s v="33652000-5"/>
    <m/>
    <n v="34875745"/>
    <x v="0"/>
    <d v="2019-08-02T00:00:00"/>
    <d v="2019-09-20T00:00:00"/>
    <d v="2019-12-05T00:00:00"/>
    <s v="Merck spol. s r.o."/>
    <m/>
    <n v="34875744.960000001"/>
    <n v="38363319.460000001"/>
    <m/>
    <m/>
    <m/>
    <d v="2019-12-06T00:00:00"/>
    <s v="SMLN-2019-617-000626"/>
    <x v="0"/>
    <m/>
    <m/>
  </r>
  <r>
    <m/>
    <m/>
    <d v="2019-06-24T00:00:00"/>
    <s v="VZ-2019-000710"/>
    <s v="LÉK"/>
    <s v="Ondráčková"/>
    <x v="269"/>
    <n v="3"/>
    <s v="Interferon beta-1b"/>
    <m/>
    <s v="33652000-5"/>
    <m/>
    <n v="4011058"/>
    <x v="0"/>
    <d v="2019-08-02T00:00:00"/>
    <d v="2019-09-20T00:00:00"/>
    <d v="2019-12-05T00:00:00"/>
    <s v="BAYER s.r.o."/>
    <m/>
    <n v="4011000"/>
    <n v="4412100"/>
    <m/>
    <m/>
    <m/>
    <d v="2019-12-06T00:00:00"/>
    <s v="SMLN-2019-617-000624"/>
    <x v="0"/>
    <m/>
    <m/>
  </r>
  <r>
    <m/>
    <m/>
    <d v="2019-06-24T00:00:00"/>
    <s v="VZ-2019-000710"/>
    <s v="LÉK"/>
    <s v="Ondráčková"/>
    <x v="269"/>
    <n v="4"/>
    <s v="Peginterferon alfa "/>
    <m/>
    <s v="33652000-5"/>
    <m/>
    <n v="331044"/>
    <x v="0"/>
    <d v="2019-08-02T00:00:00"/>
    <d v="2019-09-20T00:00:00"/>
    <m/>
    <s v="zrušeno - bez nabídky"/>
    <m/>
    <m/>
    <m/>
    <m/>
    <m/>
    <m/>
    <m/>
    <m/>
    <x v="0"/>
    <d v="2019-11-26T00:00:00"/>
    <s v="30.10. zrušeno"/>
  </r>
  <r>
    <m/>
    <m/>
    <d v="2019-06-24T00:00:00"/>
    <s v="VZ-2019-000710"/>
    <s v="LÉK"/>
    <s v="Ondráčková"/>
    <x v="269"/>
    <n v="5"/>
    <s v="Peginterferon beta - 1a"/>
    <m/>
    <s v="33652000-5"/>
    <m/>
    <n v="13562801"/>
    <x v="0"/>
    <d v="2019-08-02T00:00:00"/>
    <d v="2019-09-20T00:00:00"/>
    <d v="2019-12-05T00:00:00"/>
    <s v="Avenier a.s."/>
    <m/>
    <n v="11639164.960000001"/>
    <n v="12803081.460000001"/>
    <m/>
    <m/>
    <m/>
    <d v="2019-12-06T00:00:00"/>
    <s v="SMLN-2019-617-000625"/>
    <x v="0"/>
    <m/>
    <m/>
  </r>
  <r>
    <m/>
    <m/>
    <d v="2019-06-24T00:00:00"/>
    <s v="VZ-2019-000714"/>
    <s v="ENERG"/>
    <s v="Svozil"/>
    <x v="270"/>
    <m/>
    <m/>
    <m/>
    <s v="45223500-1"/>
    <s v="4.2.117."/>
    <n v="2100000"/>
    <x v="2"/>
    <d v="2019-07-10T00:00:00"/>
    <d v="2019-07-19T00:00:00"/>
    <d v="2019-08-20T00:00:00"/>
    <s v="OHL ŽS, a.s."/>
    <m/>
    <n v="2739020.63"/>
    <n v="3314214.9622999998"/>
    <m/>
    <m/>
    <m/>
    <d v="2019-08-20T00:00:00"/>
    <s v="SMLN-2019-618-000070"/>
    <x v="124"/>
    <d v="2019-09-19T00:00:00"/>
    <d v="2019-12-25T00:00:00"/>
  </r>
  <r>
    <m/>
    <m/>
    <d v="2019-06-24T00:00:00"/>
    <s v="VZ-2019-000715"/>
    <s v="OSB"/>
    <s v="Vaida"/>
    <x v="271"/>
    <m/>
    <m/>
    <m/>
    <s v="45453000-7"/>
    <m/>
    <n v="910000"/>
    <x v="2"/>
    <d v="2019-06-27T00:00:00"/>
    <d v="2019-07-16T00:00:00"/>
    <d v="2019-07-29T00:00:00"/>
    <s v="INTOP Olomouc CZ s.r.o."/>
    <m/>
    <n v="1079171.1599999999"/>
    <n v="1305797.1035999998"/>
    <m/>
    <m/>
    <m/>
    <d v="2019-07-29T00:00:00"/>
    <s v="SMLN-2019-618-000058"/>
    <x v="119"/>
    <d v="2019-08-14T00:00:00"/>
    <d v="2019-10-17T00:00:00"/>
  </r>
  <r>
    <m/>
    <m/>
    <d v="2019-06-25T00:00:00"/>
    <s v="VZ-2019-000717"/>
    <s v="ZM"/>
    <s v="Dočkalová"/>
    <x v="272"/>
    <m/>
    <m/>
    <m/>
    <s v="33140000-3"/>
    <m/>
    <n v="264400"/>
    <x v="2"/>
    <d v="2019-06-27T00:00:00"/>
    <d v="2019-07-08T00:00:00"/>
    <d v="2019-08-21T00:00:00"/>
    <s v="S.A.B. Impex  s.r.o."/>
    <m/>
    <n v="192000"/>
    <n v="232320"/>
    <m/>
    <m/>
    <m/>
    <d v="2019-08-21T00:00:00"/>
    <s v="SMLN-2019-617-000362_x000a_SMLN-2019-614-000071"/>
    <x v="61"/>
    <d v="2019-10-02T00:00:00"/>
    <d v="2021-09-16T00:00:00"/>
  </r>
  <r>
    <m/>
    <m/>
    <d v="2019-06-20T00:00:00"/>
    <s v="VZ-2019-000721"/>
    <s v="UHTS"/>
    <s v="Olejníček"/>
    <x v="273"/>
    <m/>
    <m/>
    <m/>
    <s v="34923000-3"/>
    <s v="4.3.1."/>
    <n v="10200000"/>
    <x v="0"/>
    <d v="2019-07-03T00:00:00"/>
    <d v="2019-09-02T00:00:00"/>
    <m/>
    <s v="zrušeno - překročení ceny"/>
    <s v="bude vypsáno znovu"/>
    <m/>
    <m/>
    <m/>
    <m/>
    <m/>
    <m/>
    <m/>
    <x v="0"/>
    <d v="2019-09-16T00:00:00"/>
    <s v="13.9. zrušení na podpis"/>
  </r>
  <r>
    <m/>
    <m/>
    <d v="2019-06-25T00:00:00"/>
    <s v="VZ-2019-000729"/>
    <s v="LÉK"/>
    <s v="Ondráčková"/>
    <x v="274"/>
    <n v="1"/>
    <s v="Methotrexát "/>
    <m/>
    <s v=" 33652300-8"/>
    <m/>
    <n v="53394"/>
    <x v="0"/>
    <d v="2019-07-22T00:00:00"/>
    <d v="2019-09-10T00:00:00"/>
    <d v="2019-10-11T00:00:00"/>
    <s v="ViaPharma s.r.o."/>
    <m/>
    <n v="48037.919999999998"/>
    <n v="52841.712"/>
    <m/>
    <m/>
    <m/>
    <d v="2019-10-11T00:00:00"/>
    <s v="SMLN-2019-617-000498"/>
    <x v="100"/>
    <d v="2019-12-11T00:00:00"/>
    <d v="2021-11-28T00:00:00"/>
  </r>
  <r>
    <m/>
    <m/>
    <d v="2019-06-25T00:00:00"/>
    <s v="VZ-2019-000729"/>
    <s v="LÉK"/>
    <s v="Ondráčková"/>
    <x v="274"/>
    <n v="2"/>
    <s v="Metoject pen"/>
    <m/>
    <s v=" 33652300-8"/>
    <m/>
    <n v="1243160"/>
    <x v="0"/>
    <d v="2019-07-22T00:00:00"/>
    <d v="2019-09-10T00:00:00"/>
    <m/>
    <s v="zrušeno - bez nabídky"/>
    <m/>
    <m/>
    <m/>
    <m/>
    <m/>
    <m/>
    <m/>
    <m/>
    <x v="0"/>
    <d v="2019-09-27T00:00:00"/>
    <s v="13.9. zrušeno"/>
  </r>
  <r>
    <m/>
    <m/>
    <d v="2019-06-25T00:00:00"/>
    <s v="VZ-2019-000729"/>
    <s v="LÉK"/>
    <s v="Ondráčková"/>
    <x v="274"/>
    <n v="3"/>
    <s v="Pirfenidon"/>
    <m/>
    <s v=" 33652300-8"/>
    <m/>
    <n v="15893577"/>
    <x v="0"/>
    <d v="2019-07-22T00:00:00"/>
    <d v="2019-09-10T00:00:00"/>
    <d v="2019-10-11T00:00:00"/>
    <s v="ROCHE s.r.o."/>
    <m/>
    <n v="15893577"/>
    <n v="17255801.199999999"/>
    <m/>
    <m/>
    <m/>
    <d v="2019-10-11T00:00:00"/>
    <s v="SMLN-2019-617-000499"/>
    <x v="100"/>
    <d v="2019-12-11T00:00:00"/>
    <d v="2021-11-28T00:00:00"/>
  </r>
  <r>
    <m/>
    <m/>
    <d v="2019-06-25T00:00:00"/>
    <s v="VZ-2019-000729"/>
    <s v="LÉK"/>
    <s v="Ondráčková"/>
    <x v="274"/>
    <n v="4"/>
    <s v="Pomalidomid"/>
    <m/>
    <s v=" 33652300-8"/>
    <m/>
    <n v="10485581"/>
    <x v="0"/>
    <d v="2019-07-22T00:00:00"/>
    <d v="2019-09-10T00:00:00"/>
    <d v="2019-10-11T00:00:00"/>
    <s v="PHOENIX lék.velkoobchod, s.r.o."/>
    <m/>
    <n v="10485580.560000001"/>
    <n v="11534138.619999999"/>
    <m/>
    <m/>
    <m/>
    <d v="2019-10-11T00:00:00"/>
    <s v="SMLN-2019-617-000500"/>
    <x v="100"/>
    <d v="2019-12-11T00:00:00"/>
    <d v="2021-11-28T00:00:00"/>
  </r>
  <r>
    <m/>
    <m/>
    <d v="2019-06-25T00:00:00"/>
    <s v="VZ-2019-000729"/>
    <s v="LÉK"/>
    <s v="Ondráčková"/>
    <x v="274"/>
    <n v="5"/>
    <s v="Lenalidomid"/>
    <m/>
    <s v=" 33652300-8"/>
    <m/>
    <n v="121325220"/>
    <x v="0"/>
    <d v="2019-07-22T00:00:00"/>
    <d v="2019-09-10T00:00:00"/>
    <d v="2019-10-11T00:00:00"/>
    <s v="PHOENIX lék.velkoobchod, s.r.o."/>
    <m/>
    <n v="97397567.939999998"/>
    <n v="107137324.73"/>
    <m/>
    <m/>
    <m/>
    <d v="2019-10-11T00:00:00"/>
    <s v="SMLN-2019-617-000501"/>
    <x v="100"/>
    <d v="2019-12-11T00:00:00"/>
    <d v="2021-11-28T00:00:00"/>
  </r>
  <r>
    <m/>
    <m/>
    <d v="2019-06-20T00:00:00"/>
    <s v="VZ-2019-000730"/>
    <s v="ZT"/>
    <s v="Rosulek"/>
    <x v="275"/>
    <m/>
    <m/>
    <m/>
    <s v="33124120-2"/>
    <m/>
    <n v="4530000"/>
    <x v="0"/>
    <d v="2019-07-03T00:00:00"/>
    <d v="2019-08-21T00:00:00"/>
    <d v="2019-10-22T00:00:00"/>
    <s v="Exact Imaging BVBA"/>
    <m/>
    <n v="4802142"/>
    <n v="4802142"/>
    <m/>
    <m/>
    <m/>
    <d v="2019-10-24T00:00:00"/>
    <s v="SMLN-2019-617-000528_x000a_SMLN-2019-612-000128"/>
    <x v="0"/>
    <m/>
    <m/>
  </r>
  <r>
    <m/>
    <m/>
    <s v="opakovaná VZ"/>
    <s v="VZ-2019-000732"/>
    <s v="ZM"/>
    <s v="Dočkalová"/>
    <x v="276"/>
    <m/>
    <m/>
    <m/>
    <s v="33140000-3"/>
    <m/>
    <n v="662084"/>
    <x v="2"/>
    <d v="2019-06-28T00:00:00"/>
    <d v="2019-07-11T00:00:00"/>
    <m/>
    <s v="zrušeno - překročena cena"/>
    <s v="nová VZ-2019-000770"/>
    <m/>
    <m/>
    <m/>
    <m/>
    <m/>
    <m/>
    <m/>
    <x v="0"/>
    <d v="2019-07-11T00:00:00"/>
    <m/>
  </r>
  <r>
    <m/>
    <m/>
    <d v="2019-06-26T00:00:00"/>
    <s v="VZ-2019-000733"/>
    <s v="OSB"/>
    <s v="Vaida"/>
    <x v="277"/>
    <m/>
    <m/>
    <m/>
    <s v="45262000-1"/>
    <m/>
    <n v="600000"/>
    <x v="2"/>
    <d v="2019-07-10T00:00:00"/>
    <d v="2019-07-19T00:00:00"/>
    <d v="2019-07-29T00:00:00"/>
    <s v="Elektropráce Spáčil s.r.o."/>
    <m/>
    <n v="509986.39"/>
    <n v="617083.53"/>
    <m/>
    <m/>
    <m/>
    <d v="2019-07-29T00:00:00"/>
    <s v="SMLN-2019-618-000059"/>
    <x v="80"/>
    <d v="2019-09-17T00:00:00"/>
    <d v="2019-11-07T00:00:00"/>
  </r>
  <r>
    <m/>
    <m/>
    <d v="2019-06-28T00:00:00"/>
    <s v="VZ-2019-000734"/>
    <s v="ZT"/>
    <s v="Rosulek"/>
    <x v="278"/>
    <m/>
    <m/>
    <m/>
    <s v="33154000-4"/>
    <s v="2.3.387."/>
    <n v="267000"/>
    <x v="2"/>
    <d v="2019-07-02T00:00:00"/>
    <d v="2019-07-18T00:00:00"/>
    <d v="2019-07-24T00:00:00"/>
    <s v="BTL zdravotnická technika a.s."/>
    <m/>
    <n v="282560"/>
    <n v="341897.6"/>
    <m/>
    <m/>
    <m/>
    <d v="2019-07-29T00:00:00"/>
    <s v="SMLN-2019-617-000330_x000a_SMLN-2019-612-000077"/>
    <x v="74"/>
    <d v="2019-08-28T00:00:00"/>
    <d v="2019-10-03T00:00:00"/>
  </r>
  <r>
    <m/>
    <m/>
    <d v="2019-06-28T00:00:00"/>
    <s v="VZ-2019-000735"/>
    <s v="ZT"/>
    <s v="Rosulek"/>
    <x v="279"/>
    <n v="1"/>
    <s v="Hlubokomrazící boxy"/>
    <m/>
    <s v="39711100-0"/>
    <s v="2.2.210., 2.2.218."/>
    <n v="598000"/>
    <x v="2"/>
    <d v="2019-07-04T00:00:00"/>
    <d v="2019-07-16T00:00:00"/>
    <m/>
    <s v="zrušeno - oprava zadání"/>
    <s v="nová VZ-2019-000875"/>
    <m/>
    <m/>
    <m/>
    <m/>
    <m/>
    <m/>
    <m/>
    <x v="0"/>
    <d v="2019-08-13T00:00:00"/>
    <m/>
  </r>
  <r>
    <m/>
    <m/>
    <d v="2019-06-28T00:00:00"/>
    <s v="VZ-2019-000735"/>
    <s v="ZT"/>
    <s v="Rosulek"/>
    <x v="279"/>
    <n v="2"/>
    <s v="Mrazící laboratorní box"/>
    <m/>
    <s v="39711100-0"/>
    <s v="2.2.216."/>
    <n v="62500"/>
    <x v="2"/>
    <d v="2019-07-04T00:00:00"/>
    <d v="2019-07-16T00:00:00"/>
    <d v="2019-08-22T00:00:00"/>
    <s v="Schoeller Instruments s.r.o."/>
    <m/>
    <n v="67950"/>
    <n v="82219.5"/>
    <m/>
    <m/>
    <m/>
    <d v="2019-08-23T00:00:00"/>
    <s v="SMLN-2019-617-000368_x000a_SMLN-2019-612-000087"/>
    <x v="127"/>
    <d v="2019-10-03T00:00:00"/>
    <d v="2019-10-18T00:00:00"/>
  </r>
  <r>
    <m/>
    <m/>
    <d v="2019-06-28T00:00:00"/>
    <s v="VZ-2019-000735"/>
    <s v="ZT"/>
    <s v="Rosulek"/>
    <x v="279"/>
    <n v="3"/>
    <s v="Laboratorní lednice"/>
    <m/>
    <s v="39711100-0"/>
    <s v="2.3.393."/>
    <n v="140000"/>
    <x v="2"/>
    <d v="2019-07-04T00:00:00"/>
    <d v="2019-07-16T00:00:00"/>
    <d v="2019-08-22T00:00:00"/>
    <s v="KRD obchodní společnost, s.r.o."/>
    <m/>
    <n v="91494"/>
    <n v="110708"/>
    <m/>
    <m/>
    <m/>
    <d v="2019-08-23T00:00:00"/>
    <s v="SMLN-2019-617-000369_x000a_SMLN-2019-612-000088"/>
    <x v="127"/>
    <d v="2019-10-03T00:00:00"/>
    <d v="2019-11-15T00:00:00"/>
  </r>
  <r>
    <m/>
    <m/>
    <d v="2019-06-28T00:00:00"/>
    <s v="VZ-2019-000735"/>
    <s v="ZT"/>
    <s v="Rosulek"/>
    <x v="279"/>
    <n v="4"/>
    <s v="Chladící box a hlubokomrazící box"/>
    <m/>
    <s v="39711100-0"/>
    <s v="2.2.101., 2.2.102."/>
    <n v="260000"/>
    <x v="2"/>
    <d v="2019-07-04T00:00:00"/>
    <d v="2019-07-16T00:00:00"/>
    <d v="2019-08-22T00:00:00"/>
    <s v="TRIGON PLUS s.r.o."/>
    <m/>
    <n v="509175"/>
    <n v="616101.75"/>
    <m/>
    <m/>
    <m/>
    <d v="2019-08-23T00:00:00"/>
    <s v="SMLN-2019-617-000370_x000a_SMLN-2019-612-000089"/>
    <x v="128"/>
    <d v="2019-10-03T00:00:00"/>
    <d v="2019-11-27T00:00:00"/>
  </r>
  <r>
    <m/>
    <m/>
    <d v="2019-07-01T00:00:00"/>
    <s v="VZ-2019-000737"/>
    <s v="INV"/>
    <s v="Valíček"/>
    <x v="280"/>
    <m/>
    <m/>
    <m/>
    <s v="71400000-2"/>
    <s v="1.3.5."/>
    <n v="8000000"/>
    <x v="0"/>
    <d v="2019-07-15T00:00:00"/>
    <d v="2019-08-15T00:00:00"/>
    <d v="2019-09-16T00:00:00"/>
    <s v="LT PROJEKT a.s."/>
    <m/>
    <n v="8000000"/>
    <n v="9680000"/>
    <m/>
    <m/>
    <m/>
    <d v="2019-09-16T00:00:00"/>
    <s v="SMLN-2019-612-000103"/>
    <x v="129"/>
    <d v="2019-10-07T00:00:00"/>
    <d v="2020-07-09T00:00:00"/>
  </r>
  <r>
    <m/>
    <m/>
    <d v="2019-07-04T00:00:00"/>
    <s v="VZ-2019-000739"/>
    <s v="ZT"/>
    <s v="Rosulek"/>
    <x v="281"/>
    <n v="1"/>
    <s v="ELISA spektrofotometr "/>
    <m/>
    <s v="38000000-5"/>
    <s v="2.2.199."/>
    <n v="159300"/>
    <x v="2"/>
    <d v="2019-07-12T00:00:00"/>
    <d v="2019-07-25T00:00:00"/>
    <m/>
    <s v="zrušeno - oprava zadání"/>
    <s v="nová VZ-2019-000822"/>
    <m/>
    <m/>
    <m/>
    <m/>
    <m/>
    <m/>
    <m/>
    <x v="0"/>
    <d v="2019-07-31T00:00:00"/>
    <m/>
  </r>
  <r>
    <m/>
    <m/>
    <d v="2019-07-04T00:00:00"/>
    <s v="VZ-2019-000739"/>
    <s v="ZT"/>
    <s v="Rosulek"/>
    <x v="281"/>
    <n v="2"/>
    <s v="Automatický ELISA procesor a spektrofotometr "/>
    <m/>
    <s v="38000000-5"/>
    <s v="2.2.212."/>
    <n v="875000"/>
    <x v="2"/>
    <d v="2019-07-12T00:00:00"/>
    <d v="2019-07-25T00:00:00"/>
    <d v="2019-08-26T00:00:00"/>
    <s v="LABOSERV s.r.o."/>
    <m/>
    <n v="900189"/>
    <n v="1089228.69"/>
    <m/>
    <m/>
    <m/>
    <d v="2019-08-26T00:00:00"/>
    <s v="SMLN-2019-617-000379_x000a_SMLN-2019-612-000091"/>
    <x v="79"/>
    <d v="2019-10-01T00:00:00"/>
    <d v="2019-11-18T00:00:00"/>
  </r>
  <r>
    <m/>
    <m/>
    <d v="2019-07-04T00:00:00"/>
    <s v="VZ-2019-000739"/>
    <s v="ZT"/>
    <s v="Rosulek"/>
    <x v="281"/>
    <n v="3"/>
    <s v="ELISA zařízení s promývačkou"/>
    <m/>
    <s v="38000000-5"/>
    <s v="2.2.213-214."/>
    <n v="534000"/>
    <x v="2"/>
    <d v="2019-07-12T00:00:00"/>
    <d v="2019-07-25T00:00:00"/>
    <m/>
    <s v="zrušeno - oprava zadání"/>
    <s v="nová VZ-2019-000822"/>
    <m/>
    <m/>
    <m/>
    <m/>
    <m/>
    <m/>
    <m/>
    <x v="0"/>
    <d v="2019-07-31T00:00:00"/>
    <m/>
  </r>
  <r>
    <m/>
    <m/>
    <d v="2019-07-01T00:00:00"/>
    <s v="VZ-2019-000740"/>
    <s v="ZT"/>
    <s v="Rosulek"/>
    <x v="282"/>
    <m/>
    <m/>
    <m/>
    <s v="33121400-8 "/>
    <s v="2.2.220."/>
    <n v="283471"/>
    <x v="2"/>
    <d v="2019-07-11T00:00:00"/>
    <d v="2019-07-24T00:00:00"/>
    <d v="2019-09-06T00:00:00"/>
    <s v="WIDEX LINE s.r.o."/>
    <m/>
    <n v="224760"/>
    <n v="271959.59999999998"/>
    <m/>
    <m/>
    <m/>
    <d v="2019-09-13T00:00:00"/>
    <s v="SMLN-2019-617-000419_x000a_SMLN-2019-612-000101"/>
    <x v="122"/>
    <d v="2019-10-10T00:00:00"/>
    <d v="2019-11-06T00:00:00"/>
  </r>
  <r>
    <m/>
    <m/>
    <d v="2019-07-01T00:00:00"/>
    <s v="VZ-2019-000741"/>
    <s v="ZT"/>
    <s v="Rosulek"/>
    <x v="283"/>
    <m/>
    <m/>
    <m/>
    <s v="33191000-5"/>
    <s v="2.3.375."/>
    <n v="304000"/>
    <x v="2"/>
    <d v="2019-07-11T00:00:00"/>
    <d v="2019-07-30T00:00:00"/>
    <d v="2019-09-06T00:00:00"/>
    <s v="Getinge Czech Republic, s.r.o."/>
    <m/>
    <n v="363834"/>
    <n v="440241"/>
    <m/>
    <m/>
    <m/>
    <d v="2019-09-06T00:00:00"/>
    <s v="SMLN-2019-617-000398_x000a_SMLN-2019-612-000099"/>
    <x v="129"/>
    <d v="2019-10-08T00:00:00"/>
    <d v="2019-11-28T00:00:00"/>
  </r>
  <r>
    <m/>
    <m/>
    <d v="2019-07-03T00:00:00"/>
    <s v="VZ-2019-000743"/>
    <s v="OSB"/>
    <s v="Vaida"/>
    <x v="284"/>
    <m/>
    <m/>
    <m/>
    <s v="45453000-7"/>
    <m/>
    <n v="1100000"/>
    <x v="2"/>
    <d v="2019-07-09T00:00:00"/>
    <d v="2019-07-18T00:00:00"/>
    <d v="2019-07-26T00:00:00"/>
    <s v="Elektropráce Spáčil s.r.o."/>
    <m/>
    <n v="1615368.47"/>
    <n v="1954595.85"/>
    <m/>
    <m/>
    <m/>
    <d v="2019-07-29T00:00:00"/>
    <s v="SMLN-2019-618-000057"/>
    <x v="74"/>
    <d v="2019-08-26T00:00:00"/>
    <d v="2019-10-31T00:00:00"/>
  </r>
  <r>
    <m/>
    <m/>
    <s v="opakovaná VZ"/>
    <s v="VZ-2019-000749"/>
    <s v="OSB"/>
    <s v="Vaida"/>
    <x v="285"/>
    <m/>
    <m/>
    <m/>
    <s v="31710000-6"/>
    <s v="4.2.122."/>
    <n v="950000"/>
    <x v="2"/>
    <m/>
    <m/>
    <m/>
    <m/>
    <m/>
    <m/>
    <m/>
    <m/>
    <m/>
    <m/>
    <m/>
    <m/>
    <x v="0"/>
    <m/>
    <m/>
  </r>
  <r>
    <m/>
    <m/>
    <d v="2019-07-03T00:00:00"/>
    <s v="VZ-2019-000750"/>
    <s v="OLV"/>
    <s v="Kohutová"/>
    <x v="286"/>
    <m/>
    <m/>
    <m/>
    <s v="15980000-1 "/>
    <m/>
    <n v="8500000"/>
    <x v="0"/>
    <d v="2019-09-05T00:00:00"/>
    <d v="2019-10-08T00:00:00"/>
    <m/>
    <m/>
    <m/>
    <m/>
    <m/>
    <m/>
    <m/>
    <m/>
    <m/>
    <m/>
    <x v="0"/>
    <m/>
    <m/>
  </r>
  <r>
    <m/>
    <m/>
    <d v="2019-07-09T00:00:00"/>
    <s v="VZ-2019-000759"/>
    <s v="ENERG"/>
    <s v="Srovnal"/>
    <x v="287"/>
    <m/>
    <m/>
    <m/>
    <s v="45310000-3"/>
    <m/>
    <n v="750000"/>
    <x v="2"/>
    <d v="2019-07-09T00:00:00"/>
    <d v="2019-07-15T00:00:00"/>
    <d v="2019-07-17T00:00:00"/>
    <s v="ELPREMO, spol. s r.o."/>
    <m/>
    <n v="920623.89"/>
    <n v="1113954.9099999999"/>
    <m/>
    <m/>
    <m/>
    <d v="2019-07-18T00:00:00"/>
    <s v="SMLN-2019-618-000054"/>
    <x v="130"/>
    <d v="2019-08-07T00:00:00"/>
    <d v="2019-08-12T00:00:00"/>
  </r>
  <r>
    <m/>
    <m/>
    <s v="opakovaná VZ"/>
    <s v="VZ-2019-000760"/>
    <s v="ZM"/>
    <s v="Dočkalová"/>
    <x v="288"/>
    <m/>
    <m/>
    <m/>
    <s v="33140000-3"/>
    <m/>
    <n v="409600"/>
    <x v="2"/>
    <d v="2019-07-15T00:00:00"/>
    <d v="2019-07-26T00:00:00"/>
    <d v="2019-08-06T00:00:00"/>
    <s v="ARID obchodní společnost s.r.o."/>
    <m/>
    <n v="409600"/>
    <n v="495616"/>
    <m/>
    <m/>
    <m/>
    <d v="2019-08-06T00:00:00"/>
    <s v="SMLN-2019-617-000336_x000a_SMLN-2019-614-000067"/>
    <x v="73"/>
    <d v="2019-09-17T00:00:00"/>
    <d v="2021-09-03T00:00:00"/>
  </r>
  <r>
    <m/>
    <m/>
    <d v="2019-07-04T00:00:00"/>
    <s v="VZ-2019-000765"/>
    <s v="ZT"/>
    <s v="Rosulek"/>
    <x v="289"/>
    <n v="1"/>
    <s v="Real-time termocykleer"/>
    <m/>
    <s v="38950000-9 "/>
    <s v="2.2.211."/>
    <n v="1113000"/>
    <x v="2"/>
    <d v="2019-07-12T00:00:00"/>
    <d v="2019-07-23T00:00:00"/>
    <d v="2019-08-26T00:00:00"/>
    <s v="ROCHE s.r.o."/>
    <m/>
    <n v="807575"/>
    <n v="977165.75"/>
    <m/>
    <m/>
    <m/>
    <d v="2019-08-26T00:00:00"/>
    <s v="SMLN-2019-617-000378_x000a_SMLN-2019-612-000090"/>
    <x v="101"/>
    <d v="2019-10-11T00:00:00"/>
    <d v="2019-11-07T00:00:00"/>
  </r>
  <r>
    <m/>
    <m/>
    <d v="2019-07-04T00:00:00"/>
    <s v="VZ-2019-000765"/>
    <s v="ZT"/>
    <s v="Rosulek"/>
    <x v="289"/>
    <n v="2"/>
    <s v="2ks jednoblokových termocyklerů"/>
    <m/>
    <s v="38950000-9 "/>
    <s v="2.2.217."/>
    <n v="456000"/>
    <x v="2"/>
    <d v="2019-07-12T00:00:00"/>
    <d v="2019-07-23T00:00:00"/>
    <m/>
    <s v="zrušeno - nesplnění podmínek"/>
    <s v="nová VZ-2019-000872"/>
    <m/>
    <m/>
    <m/>
    <m/>
    <m/>
    <m/>
    <m/>
    <x v="0"/>
    <d v="2019-08-19T00:00:00"/>
    <m/>
  </r>
  <r>
    <m/>
    <m/>
    <d v="2019-07-01T00:00:00"/>
    <s v="VZ-2019-000766"/>
    <s v="ZT"/>
    <s v="Rosulek"/>
    <x v="290"/>
    <n v="1"/>
    <s v="Echokardiografický přístroj pro I.IK"/>
    <m/>
    <s v="33124120-2"/>
    <s v="2.3.426."/>
    <n v="4167087"/>
    <x v="0"/>
    <d v="2019-07-22T00:00:00"/>
    <d v="2019-08-27T00:00:00"/>
    <d v="2019-10-30T00:00:00"/>
    <s v="Electric Medical Service, s.r.o."/>
    <m/>
    <n v="4162100"/>
    <n v="5036141"/>
    <m/>
    <m/>
    <m/>
    <d v="2019-10-31T00:00:00"/>
    <s v="SMLN-2019-617-000543_x000a_SMLN-2019-612-000136"/>
    <x v="131"/>
    <d v="2019-12-23T00:00:00"/>
    <d v="2020-02-07T00:00:00"/>
  </r>
  <r>
    <m/>
    <m/>
    <d v="2019-07-01T00:00:00"/>
    <s v="VZ-2019-000766"/>
    <s v="ZT"/>
    <s v="Rosulek"/>
    <x v="290"/>
    <n v="2"/>
    <s v="Ultrazvukový přístroj s příslušenstvím pro II.IK"/>
    <m/>
    <s v="33124120-2"/>
    <s v="2.2.158."/>
    <n v="1441983"/>
    <x v="0"/>
    <d v="2019-07-22T00:00:00"/>
    <d v="2019-08-27T00:00:00"/>
    <d v="2019-10-30T00:00:00"/>
    <s v="NIMOTECH, s.r.o."/>
    <m/>
    <n v="1433152"/>
    <n v="1734113.92"/>
    <m/>
    <m/>
    <m/>
    <d v="2019-10-31T00:00:00"/>
    <s v="SMLN-2019-617-000544_x000a_SMLN-2019-612-000137"/>
    <x v="131"/>
    <d v="2019-12-23T00:00:00"/>
    <d v="2020-02-07T00:00:00"/>
  </r>
  <r>
    <m/>
    <m/>
    <d v="2019-07-01T00:00:00"/>
    <s v="VZ-2019-000766"/>
    <s v="ZT"/>
    <s v="Rosulek"/>
    <x v="290"/>
    <n v="3"/>
    <s v="Echokardiografický přístroj pro DK"/>
    <m/>
    <s v="33124120-2"/>
    <s v="2.3.378."/>
    <n v="2835700"/>
    <x v="0"/>
    <d v="2019-07-22T00:00:00"/>
    <d v="2019-08-27T00:00:00"/>
    <d v="2019-10-30T00:00:00"/>
    <s v="S+T Plus s.r.o."/>
    <m/>
    <n v="2818691.82"/>
    <n v="3410617.11"/>
    <m/>
    <m/>
    <m/>
    <d v="2019-10-31T00:00:00"/>
    <s v="SMLN-2019-617-000545_x000a_SMLN-2019-612-000138"/>
    <x v="132"/>
    <d v="2019-12-23T00:00:00"/>
    <d v="2020-02-11T00:00:00"/>
  </r>
  <r>
    <m/>
    <m/>
    <d v="2019-07-01T00:00:00"/>
    <s v="VZ-2019-000766"/>
    <s v="ZT"/>
    <s v="Rosulek"/>
    <x v="290"/>
    <n v="4"/>
    <s v="Přenosný ultrazvukový systém pro KARIM"/>
    <m/>
    <s v="33124120-2"/>
    <s v="2.3.424."/>
    <n v="1194340"/>
    <x v="0"/>
    <d v="2019-07-22T00:00:00"/>
    <d v="2019-08-27T00:00:00"/>
    <d v="2019-11-15T00:00:00"/>
    <s v="Electric Medical Service, s.r.o."/>
    <m/>
    <n v="1149100"/>
    <n v="1390411"/>
    <m/>
    <m/>
    <m/>
    <d v="2019-11-18T00:00:00"/>
    <s v="SMLN-2019-617-000583_x000a_SMLN-2019-612-000158"/>
    <x v="131"/>
    <d v="2019-12-23T00:00:00"/>
    <d v="2020-02-07T00:00:00"/>
  </r>
  <r>
    <m/>
    <m/>
    <d v="2019-07-01T00:00:00"/>
    <s v="VZ-2019-000766"/>
    <s v="ZT"/>
    <s v="Rosulek"/>
    <x v="290"/>
    <n v="5"/>
    <s v="Ultrazvukový přístroj s predickí pro REHAB"/>
    <m/>
    <s v="33124120-2"/>
    <s v="2.2.129."/>
    <n v="960417"/>
    <x v="0"/>
    <d v="2019-07-22T00:00:00"/>
    <d v="2019-08-27T00:00:00"/>
    <d v="2019-10-30T00:00:00"/>
    <s v="NIMOTECH, s.r.o."/>
    <m/>
    <n v="956583.94"/>
    <n v="1157466.6000000001"/>
    <m/>
    <m/>
    <m/>
    <d v="2019-10-31T00:00:00"/>
    <s v="SMLN-2019-617-000546_x000a_SMLN-2019-612-000139"/>
    <x v="131"/>
    <d v="2019-12-23T00:00:00"/>
    <d v="2020-02-07T00:00:00"/>
  </r>
  <r>
    <m/>
    <m/>
    <d v="2019-07-01T00:00:00"/>
    <s v="VZ-2019-000766"/>
    <s v="ZT"/>
    <s v="Rosulek"/>
    <x v="290"/>
    <n v="6"/>
    <s v="Ultrazvukový přístroj centrální pro RDG"/>
    <m/>
    <s v="33124120-2"/>
    <s v="2.3.407."/>
    <n v="2224114"/>
    <x v="0"/>
    <d v="2019-07-22T00:00:00"/>
    <d v="2019-08-27T00:00:00"/>
    <m/>
    <s v="zrušeno - oprava zadání"/>
    <m/>
    <m/>
    <m/>
    <m/>
    <m/>
    <m/>
    <m/>
    <m/>
    <x v="0"/>
    <d v="2019-11-26T00:00:00"/>
    <s v="31.10. zrušeno"/>
  </r>
  <r>
    <m/>
    <m/>
    <d v="2019-07-01T00:00:00"/>
    <s v="VZ-2019-000766"/>
    <s v="ZT"/>
    <s v="Rosulek"/>
    <x v="290"/>
    <n v="7"/>
    <s v="Konvexní sonda k UVZ systému pro UROL"/>
    <m/>
    <s v="33124120-2"/>
    <s v="2.2.191."/>
    <n v="170114"/>
    <x v="0"/>
    <d v="2019-07-22T00:00:00"/>
    <d v="2019-08-27T00:00:00"/>
    <m/>
    <s v="zrušeno - oprava zadání"/>
    <m/>
    <m/>
    <m/>
    <m/>
    <m/>
    <m/>
    <m/>
    <m/>
    <x v="0"/>
    <d v="2019-11-26T00:00:00"/>
    <s v="31.10. zrušeno"/>
  </r>
  <r>
    <m/>
    <m/>
    <s v="opakovaná VZ"/>
    <s v="VZ-2019-000770"/>
    <s v="ZM"/>
    <s v="Dočkalová"/>
    <x v="291"/>
    <m/>
    <m/>
    <m/>
    <s v="33140000-3"/>
    <m/>
    <n v="662084"/>
    <x v="2"/>
    <d v="2019-07-30T00:00:00"/>
    <d v="2019-08-06T00:00:00"/>
    <d v="2019-08-21T00:00:00"/>
    <s v="ELLA-CS s.r.o."/>
    <m/>
    <n v="674408"/>
    <n v="775569.2"/>
    <m/>
    <m/>
    <m/>
    <d v="2019-08-21T00:00:00"/>
    <s v="SMLN-2019-617-000363_x000a_SMLN-2019-614-000072"/>
    <x v="93"/>
    <d v="2019-10-02T00:00:00"/>
    <d v="2021-09-26T00:00:00"/>
  </r>
  <r>
    <m/>
    <m/>
    <d v="2019-07-04T00:00:00"/>
    <s v="VZ-2019-000777"/>
    <s v="ZT"/>
    <s v="Rosulek"/>
    <x v="292"/>
    <m/>
    <m/>
    <m/>
    <s v="42931100-2"/>
    <s v="2.2.115."/>
    <n v="262000"/>
    <x v="2"/>
    <d v="2019-07-17T00:00:00"/>
    <d v="2019-07-26T00:00:00"/>
    <m/>
    <s v="zrušeno - nesplnění podmínek"/>
    <s v="opakování VZ-2019-000871"/>
    <m/>
    <m/>
    <m/>
    <m/>
    <m/>
    <m/>
    <m/>
    <x v="0"/>
    <d v="2019-08-19T00:00:00"/>
    <m/>
  </r>
  <r>
    <m/>
    <m/>
    <d v="2019-07-08T00:00:00"/>
    <s v="VZ-2019-000779"/>
    <s v="OSB"/>
    <s v="Vaida"/>
    <x v="293"/>
    <m/>
    <m/>
    <m/>
    <s v="43812000-8"/>
    <s v="4.2.112."/>
    <n v="300000"/>
    <x v="2"/>
    <d v="2019-07-22T00:00:00"/>
    <d v="2019-07-31T00:00:00"/>
    <d v="2019-08-09T00:00:00"/>
    <s v="BG Technik CS, a.s."/>
    <m/>
    <n v="199000"/>
    <n v="240790"/>
    <m/>
    <m/>
    <m/>
    <d v="2019-08-09T00:00:00"/>
    <s v="SMLN-2019-617-000340"/>
    <x v="74"/>
    <d v="2019-08-26T00:00:00"/>
    <d v="2019-10-01T00:00:00"/>
  </r>
  <r>
    <m/>
    <m/>
    <d v="2019-07-12T00:00:00"/>
    <s v="VZ-2019-000794"/>
    <s v="INF"/>
    <s v="Miklík"/>
    <x v="294"/>
    <m/>
    <m/>
    <m/>
    <s v="72611000-6"/>
    <m/>
    <n v="550000"/>
    <x v="2"/>
    <d v="2019-07-24T00:00:00"/>
    <d v="2019-08-02T00:00:00"/>
    <m/>
    <s v="zrušeno - oprava zadání"/>
    <s v="VZ-2019-000885"/>
    <m/>
    <m/>
    <m/>
    <m/>
    <m/>
    <m/>
    <m/>
    <x v="0"/>
    <d v="2019-08-20T00:00:00"/>
    <m/>
  </r>
  <r>
    <m/>
    <m/>
    <d v="2019-07-12T00:00:00"/>
    <s v="VZ-2019-000795"/>
    <s v="INV"/>
    <s v="Vzatek"/>
    <x v="295"/>
    <m/>
    <m/>
    <m/>
    <s v="71200000-0"/>
    <s v="1.3.20."/>
    <n v="1500000"/>
    <x v="2"/>
    <d v="2019-07-25T00:00:00"/>
    <d v="2019-08-06T00:00:00"/>
    <d v="2019-08-09T00:00:00"/>
    <s v="LT PROJEKT a.s."/>
    <m/>
    <n v="1850000"/>
    <n v="2238500"/>
    <m/>
    <m/>
    <m/>
    <d v="2019-08-09T00:00:00"/>
    <s v="SMLN-2019-618-000065"/>
    <x v="124"/>
    <d v="2019-09-19T00:00:00"/>
    <d v="2020-03-16T00:00:00"/>
  </r>
  <r>
    <m/>
    <m/>
    <d v="2019-07-17T00:00:00"/>
    <s v="VZ-2019-000796"/>
    <s v="MARK"/>
    <s v="Jeřábková"/>
    <x v="296"/>
    <m/>
    <m/>
    <m/>
    <s v="72422000-4"/>
    <m/>
    <n v="800000"/>
    <x v="2"/>
    <d v="2019-08-29T00:00:00"/>
    <d v="2019-09-13T00:00:00"/>
    <d v="2019-09-19T00:00:00"/>
    <s v="ESMEDIA Interactive s.r.o."/>
    <m/>
    <n v="1194000"/>
    <n v="1444788"/>
    <m/>
    <m/>
    <m/>
    <d v="2019-09-19T00:00:00"/>
    <s v="SMLN-2019-612-000109"/>
    <x v="133"/>
    <d v="2019-10-18T00:00:00"/>
    <s v="doba neurčitá"/>
  </r>
  <r>
    <m/>
    <m/>
    <s v="opakovaná VZ"/>
    <s v="VZ-2019-000797"/>
    <s v="ZT"/>
    <s v="Rosulek"/>
    <x v="297"/>
    <m/>
    <m/>
    <m/>
    <s v="33162100-4"/>
    <s v="2.3.401"/>
    <n v="2450000"/>
    <x v="1"/>
    <d v="2019-07-25T00:00:00"/>
    <d v="2019-08-16T00:00:00"/>
    <d v="2019-09-18T00:00:00"/>
    <s v="B. Braun Medical s.r.o."/>
    <m/>
    <n v="1688707.5"/>
    <n v="2043336.08"/>
    <m/>
    <m/>
    <m/>
    <d v="2019-09-19T00:00:00"/>
    <s v="SMLN-2019-617-000428_x000a_SMLN-2019-612-000108"/>
    <x v="65"/>
    <d v="2019-11-07T00:00:00"/>
    <d v="2019-11-22T00:00:00"/>
  </r>
  <r>
    <m/>
    <m/>
    <d v="2019-07-23T00:00:00"/>
    <s v="VZ-2019-000798"/>
    <s v="LÉK"/>
    <s v="Ondráčková"/>
    <x v="298"/>
    <n v="1"/>
    <s v="ANAKINRA"/>
    <m/>
    <s v="33652300-8"/>
    <m/>
    <n v="2143890"/>
    <x v="0"/>
    <d v="2019-08-01T00:00:00"/>
    <d v="2019-11-27T00:00:00"/>
    <m/>
    <s v="PHARMOS a.s."/>
    <m/>
    <n v="2143890"/>
    <n v="2358279"/>
    <m/>
    <m/>
    <m/>
    <m/>
    <m/>
    <x v="0"/>
    <m/>
    <m/>
  </r>
  <r>
    <m/>
    <m/>
    <d v="2019-07-23T00:00:00"/>
    <s v="VZ-2019-000798"/>
    <s v="LÉK"/>
    <s v="Ondráčková"/>
    <x v="298"/>
    <n v="2"/>
    <s v="SARILUMAB "/>
    <m/>
    <s v="33652300-8"/>
    <m/>
    <n v="3103225"/>
    <x v="0"/>
    <d v="2019-08-01T00:00:00"/>
    <d v="2019-11-27T00:00:00"/>
    <m/>
    <s v="sanofi-aventis, s.r.o."/>
    <m/>
    <n v="3153926.88"/>
    <n v="3469319.57"/>
    <m/>
    <m/>
    <m/>
    <m/>
    <m/>
    <x v="0"/>
    <m/>
    <m/>
  </r>
  <r>
    <m/>
    <m/>
    <d v="2019-07-23T00:00:00"/>
    <s v="VZ-2019-000798"/>
    <s v="LÉK"/>
    <s v="Ondráčková"/>
    <x v="298"/>
    <n v="3"/>
    <s v="BRODALUMAB "/>
    <m/>
    <s v="33652300-8"/>
    <m/>
    <n v="406262"/>
    <x v="0"/>
    <d v="2019-08-01T00:00:00"/>
    <d v="2019-11-27T00:00:00"/>
    <m/>
    <s v="zrušeno - bez nabídky"/>
    <m/>
    <m/>
    <m/>
    <m/>
    <m/>
    <m/>
    <m/>
    <m/>
    <x v="0"/>
    <d v="2019-12-30T00:00:00"/>
    <s v="6.12. zrušeno"/>
  </r>
  <r>
    <m/>
    <m/>
    <d v="2019-07-22T00:00:00"/>
    <s v="VZ-2019-000799"/>
    <s v="LÉK"/>
    <s v="Ondráčková"/>
    <x v="299"/>
    <n v="1"/>
    <s v="Gefitinib"/>
    <m/>
    <s v="33652000-5"/>
    <m/>
    <n v="5566000"/>
    <x v="0"/>
    <d v="2019-09-03T00:00:00"/>
    <d v="2019-10-09T00:00:00"/>
    <m/>
    <s v="zrušeno - oprava zadání"/>
    <m/>
    <m/>
    <m/>
    <m/>
    <m/>
    <m/>
    <m/>
    <m/>
    <x v="0"/>
    <d v="2019-11-12T00:00:00"/>
    <s v="6.11. zrušeno"/>
  </r>
  <r>
    <m/>
    <m/>
    <s v="opakovaná VZ"/>
    <s v="VZ-2019-000803"/>
    <s v="ZT"/>
    <s v="Rosulek"/>
    <x v="300"/>
    <m/>
    <m/>
    <m/>
    <s v="38434500-1"/>
    <s v="2.2.127."/>
    <n v="513868"/>
    <x v="2"/>
    <d v="2019-07-26T00:00:00"/>
    <d v="2019-08-06T00:00:00"/>
    <d v="2019-08-27T00:00:00"/>
    <s v="AxonLab spol.  s r.o."/>
    <m/>
    <n v="650223"/>
    <n v="786769.83"/>
    <m/>
    <m/>
    <m/>
    <d v="2019-07-28T00:00:00"/>
    <s v="SMLN-2019-617-000387_x000a_SMLN-2019-612-000096"/>
    <x v="86"/>
    <d v="2019-10-01T00:00:00"/>
    <d v="2019-10-21T00:00:00"/>
  </r>
  <r>
    <m/>
    <m/>
    <d v="2019-07-18T00:00:00"/>
    <s v="VZ-2019-000804"/>
    <s v="ZT"/>
    <s v="Rosulek"/>
    <x v="301"/>
    <m/>
    <m/>
    <m/>
    <m/>
    <s v="2.3.414"/>
    <n v="656000"/>
    <x v="2"/>
    <d v="2019-07-30T00:00:00"/>
    <d v="2019-08-16T00:00:00"/>
    <m/>
    <s v="zrušeno - oprava zadání"/>
    <s v="příprava nové VZ"/>
    <m/>
    <m/>
    <m/>
    <m/>
    <m/>
    <m/>
    <m/>
    <x v="0"/>
    <d v="2019-08-13T00:00:00"/>
    <m/>
  </r>
  <r>
    <m/>
    <m/>
    <s v="opakovaná VZ"/>
    <s v="VZ-2019-000806"/>
    <s v="IROP"/>
    <s v="Neudörflerová"/>
    <x v="302"/>
    <m/>
    <m/>
    <m/>
    <s v="33192200-4"/>
    <m/>
    <n v="957090.9"/>
    <x v="0"/>
    <d v="2019-08-16T00:00:00"/>
    <d v="2019-10-11T00:00:00"/>
    <d v="2019-10-16T00:00:00"/>
    <s v="Olympus Czech Group s.r.o."/>
    <m/>
    <n v="954500"/>
    <n v="1154945"/>
    <m/>
    <m/>
    <m/>
    <d v="2019-10-17T00:00:00"/>
    <s v="SMLN-2019-617-000508_x000a_SMLN-2019-612-000123"/>
    <x v="134"/>
    <d v="2019-11-26T00:00:00"/>
    <d v="2020-01-14T00:00:00"/>
  </r>
  <r>
    <m/>
    <m/>
    <d v="2019-07-18T00:00:00"/>
    <s v="VZ-2019-000807"/>
    <s v="ZT"/>
    <s v="Novák"/>
    <x v="303"/>
    <m/>
    <m/>
    <m/>
    <s v="33169000-2"/>
    <s v="2.3.374."/>
    <n v="320000"/>
    <x v="2"/>
    <d v="2019-07-31T00:00:00"/>
    <d v="2019-08-07T00:00:00"/>
    <d v="2019-08-09T00:00:00"/>
    <s v="ONE Vision s.r.o."/>
    <m/>
    <n v="318345"/>
    <n v="385197"/>
    <m/>
    <m/>
    <m/>
    <d v="2019-08-09T00:00:00"/>
    <s v="SMLN-2019-617-000341"/>
    <x v="135"/>
    <d v="2019-08-22T00:00:00"/>
    <d v="2019-09-29T00:00:00"/>
  </r>
  <r>
    <m/>
    <m/>
    <s v="opakovaná VZ"/>
    <s v="VZ-2019-000808"/>
    <s v="OBN"/>
    <s v="Merta"/>
    <x v="304"/>
    <m/>
    <m/>
    <m/>
    <s v="33694000-1"/>
    <m/>
    <n v="1950000"/>
    <x v="2"/>
    <d v="2019-08-29T00:00:00"/>
    <d v="2019-09-09T00:00:00"/>
    <d v="2019-11-06T00:00:00"/>
    <s v="Deloitte Advisory s.r.o."/>
    <m/>
    <n v="1959000"/>
    <n v="2370390"/>
    <m/>
    <m/>
    <m/>
    <d v="2019-11-06T00:00:00"/>
    <s v="SMLN-2019-612-000148"/>
    <x v="118"/>
    <d v="2019-12-16T00:00:00"/>
    <d v="2020-03-31T00:00:00"/>
  </r>
  <r>
    <m/>
    <m/>
    <d v="2019-07-18T00:00:00"/>
    <s v="VZ-2019-000809"/>
    <s v="ZT"/>
    <s v="Rosulek"/>
    <x v="305"/>
    <m/>
    <m/>
    <m/>
    <s v="33195100-4"/>
    <s v="2.2.90."/>
    <n v="400000"/>
    <x v="2"/>
    <d v="2019-07-30T00:00:00"/>
    <d v="2019-08-07T00:00:00"/>
    <d v="2019-09-25T00:00:00"/>
    <s v="medisap, s.r.o."/>
    <m/>
    <n v="319340"/>
    <n v="386401.39999999997"/>
    <m/>
    <m/>
    <m/>
    <d v="2019-09-26T00:00:00"/>
    <s v="SMLN-2019-617-000466_x000a_SMLN-2019-612-000115"/>
    <x v="136"/>
    <d v="2019-12-11T00:00:00"/>
    <d v="2020-01-14T00:00:00"/>
  </r>
  <r>
    <m/>
    <m/>
    <d v="2019-07-25T00:00:00"/>
    <s v="VZ-2019-000812"/>
    <s v="ZT"/>
    <s v="Rosulek"/>
    <x v="306"/>
    <n v="1"/>
    <s v="Digitální pojízdný RTG přístroj"/>
    <m/>
    <m/>
    <s v="2.2.204."/>
    <n v="2040000"/>
    <x v="0"/>
    <d v="2019-07-30T00:00:00"/>
    <d v="2019-09-04T00:00:00"/>
    <d v="2019-10-11T00:00:00"/>
    <s v="EXRAY s.r.o."/>
    <m/>
    <n v="2047900"/>
    <n v="2477959"/>
    <m/>
    <m/>
    <m/>
    <d v="2019-10-14T00:00:00"/>
    <s v="SMLN-2019-617-000502_x000a_SMLN-2019-612-000121"/>
    <x v="123"/>
    <d v="2019-11-08T00:00:00"/>
    <d v="2020-01-15T00:00:00"/>
  </r>
  <r>
    <m/>
    <m/>
    <d v="2019-07-25T00:00:00"/>
    <s v="VZ-2019-000812"/>
    <s v="ZT"/>
    <s v="Rosulek"/>
    <x v="306"/>
    <n v="2"/>
    <s v="Mobilní C-rameno s plochým detektorem"/>
    <m/>
    <m/>
    <s v="2.3.408."/>
    <n v="3000000"/>
    <x v="0"/>
    <d v="2019-07-30T00:00:00"/>
    <d v="2019-09-04T00:00:00"/>
    <d v="2019-10-11T00:00:00"/>
    <s v="AURA Medical s.r.o."/>
    <m/>
    <n v="2913800"/>
    <n v="3525698"/>
    <m/>
    <m/>
    <m/>
    <d v="2019-10-14T00:00:00"/>
    <s v="SMLN-2019-617-000503_x000a_SMLN-2019-612-000122"/>
    <x v="123"/>
    <d v="2019-11-08T00:00:00"/>
    <d v="2020-01-01T00:00:00"/>
  </r>
  <r>
    <m/>
    <m/>
    <d v="2019-07-04T00:00:00"/>
    <s v="VZ-2019-000815"/>
    <s v="INF"/>
    <s v="Oravec"/>
    <x v="307"/>
    <n v="1"/>
    <s v="Mikrobiologie"/>
    <m/>
    <s v="72261000-2 "/>
    <m/>
    <n v="1780800"/>
    <x v="0"/>
    <d v="2019-09-10T00:00:00"/>
    <d v="2019-10-14T00:00:00"/>
    <d v="2019-11-06T00:00:00"/>
    <s v="DS Soft Olomouc s.r.o."/>
    <m/>
    <n v="1780800"/>
    <n v="2154768"/>
    <m/>
    <m/>
    <m/>
    <d v="2019-11-06T00:00:00"/>
    <s v="SMLN-2019-612-000149"/>
    <x v="100"/>
    <d v="2019-12-04T00:00:00"/>
    <s v="doba neurčitá"/>
  </r>
  <r>
    <m/>
    <m/>
    <d v="2019-07-04T00:00:00"/>
    <s v="VZ-2019-000815"/>
    <s v="INF"/>
    <s v="Oravec"/>
    <x v="307"/>
    <n v="2"/>
    <s v="Patologie"/>
    <m/>
    <s v="72261000-2 "/>
    <m/>
    <n v="964800"/>
    <x v="0"/>
    <d v="2019-09-10T00:00:00"/>
    <d v="2019-10-14T00:00:00"/>
    <d v="2019-11-06T00:00:00"/>
    <s v="DS Soft Olomouc s.r.o."/>
    <m/>
    <n v="964800"/>
    <n v="1167408"/>
    <m/>
    <m/>
    <m/>
    <d v="2019-11-06T00:00:00"/>
    <s v="SMLN-2019-612-000150"/>
    <x v="100"/>
    <d v="2019-12-04T00:00:00"/>
    <s v="doba neurčitá"/>
  </r>
  <r>
    <m/>
    <m/>
    <d v="2019-07-04T00:00:00"/>
    <s v="VZ-2019-000815"/>
    <s v="INF"/>
    <s v="Oravec"/>
    <x v="307"/>
    <n v="3"/>
    <s v="Distribuční portál"/>
    <m/>
    <s v="72261000-2 "/>
    <m/>
    <n v="189360"/>
    <x v="0"/>
    <d v="2019-09-10T00:00:00"/>
    <d v="2019-10-14T00:00:00"/>
    <d v="2019-11-06T00:00:00"/>
    <s v="DS Soft Olomouc s.r.o."/>
    <m/>
    <n v="189360"/>
    <n v="229125.6"/>
    <m/>
    <m/>
    <m/>
    <d v="2019-11-06T00:00:00"/>
    <s v="SMLN-2019-612-000151"/>
    <x v="100"/>
    <d v="2019-12-04T00:00:00"/>
    <s v="doba neurčitá"/>
  </r>
  <r>
    <m/>
    <m/>
    <d v="2019-07-04T00:00:00"/>
    <s v="VZ-2019-000815"/>
    <s v="INF"/>
    <s v="Oravec"/>
    <x v="307"/>
    <n v="4"/>
    <s v="Akreditační nadstavba"/>
    <m/>
    <s v="72261000-2 "/>
    <m/>
    <n v="1412160"/>
    <x v="0"/>
    <d v="2019-09-10T00:00:00"/>
    <d v="2019-10-14T00:00:00"/>
    <d v="2019-11-06T00:00:00"/>
    <s v="DS Soft Olomouc s.r.o."/>
    <m/>
    <n v="1412160"/>
    <n v="1708713.5999999999"/>
    <m/>
    <m/>
    <m/>
    <d v="2019-11-06T00:00:00"/>
    <s v="SMLN-2019-612-000152"/>
    <x v="100"/>
    <d v="2019-12-04T00:00:00"/>
    <s v="doba neurčitá"/>
  </r>
  <r>
    <m/>
    <m/>
    <d v="2019-07-04T00:00:00"/>
    <s v="VZ-2019-000815"/>
    <s v="INF"/>
    <s v="Oravec"/>
    <x v="307"/>
    <n v="5"/>
    <s v="Specializované ambulantní moduly"/>
    <m/>
    <s v="72261000-2 "/>
    <m/>
    <n v="595200"/>
    <x v="0"/>
    <d v="2019-09-10T00:00:00"/>
    <d v="2019-10-14T00:00:00"/>
    <d v="2019-11-06T00:00:00"/>
    <s v="DS Soft Olomouc s.r.o."/>
    <m/>
    <n v="595200"/>
    <n v="720192"/>
    <m/>
    <m/>
    <m/>
    <d v="2019-11-06T00:00:00"/>
    <s v="SMLN-2019-612-000153"/>
    <x v="100"/>
    <d v="2019-12-04T00:00:00"/>
    <s v="doba neurčitá"/>
  </r>
  <r>
    <m/>
    <m/>
    <d v="2019-07-26T00:00:00"/>
    <s v="VZ-2019-000819"/>
    <s v="LÉK"/>
    <s v="Ondráčková"/>
    <x v="308"/>
    <n v="1"/>
    <s v="Blinatumomab"/>
    <m/>
    <s v="33652100-6"/>
    <m/>
    <n v="33090783"/>
    <x v="0"/>
    <d v="2019-11-25T00:00:00"/>
    <d v="2019-12-27T00:00:00"/>
    <m/>
    <m/>
    <m/>
    <m/>
    <m/>
    <m/>
    <m/>
    <m/>
    <m/>
    <m/>
    <x v="0"/>
    <m/>
    <m/>
  </r>
  <r>
    <m/>
    <m/>
    <s v="opakovaná VZ"/>
    <s v="VZ-2019-000822"/>
    <s v="ZT"/>
    <s v="Rosulek"/>
    <x v="309"/>
    <n v="1"/>
    <s v="ELISA spektrofotometr "/>
    <s v="38000000-5"/>
    <s v="38000000-5"/>
    <s v="2.2.199."/>
    <n v="159300"/>
    <x v="2"/>
    <d v="2019-08-01T00:00:00"/>
    <d v="2019-08-07T00:00:00"/>
    <d v="2019-08-26T00:00:00"/>
    <s v="DYNEX Technologies spol.s r.o."/>
    <m/>
    <n v="250960"/>
    <n v="303661.59999999998"/>
    <m/>
    <m/>
    <m/>
    <d v="2019-08-26T00:00:00"/>
    <s v="SMLN-2019-617-000380_x000a_SMLN-2019-612-000092"/>
    <x v="127"/>
    <d v="2019-10-01T00:00:00"/>
    <d v="2019-11-15T00:00:00"/>
  </r>
  <r>
    <m/>
    <m/>
    <s v="opakovaná VZ"/>
    <s v="VZ-2019-000822"/>
    <s v="ZT"/>
    <s v="Rosulek"/>
    <x v="309"/>
    <n v="2"/>
    <s v="ELISA zařízení s promývačkou"/>
    <s v="38000000-5"/>
    <s v="38000000-5"/>
    <s v="2.2.213-214."/>
    <n v="534000"/>
    <x v="2"/>
    <d v="2019-08-01T00:00:00"/>
    <d v="2019-08-07T00:00:00"/>
    <d v="2019-08-26T00:00:00"/>
    <s v="BioTech a.s."/>
    <m/>
    <n v="454260"/>
    <n v="549654.6"/>
    <m/>
    <m/>
    <m/>
    <d v="2019-08-26T00:00:00"/>
    <s v="SMLN-2019-617-000381_x000a_SMLN-2019-612-000093"/>
    <x v="137"/>
    <d v="2019-10-01T00:00:00"/>
    <d v="2019-11-06T00:00:00"/>
  </r>
  <r>
    <m/>
    <m/>
    <d v="2019-07-26T00:00:00"/>
    <s v="VZ-2019-000824"/>
    <s v="LÉK"/>
    <s v="Ondráčková"/>
    <x v="310"/>
    <n v="1"/>
    <s v="Sodná sůl treprostinilu"/>
    <m/>
    <s v="33621100-0"/>
    <m/>
    <n v="73272200"/>
    <x v="0"/>
    <d v="2019-09-11T00:00:00"/>
    <d v="2020-01-08T00:00:00"/>
    <m/>
    <m/>
    <m/>
    <m/>
    <m/>
    <m/>
    <m/>
    <m/>
    <m/>
    <m/>
    <x v="0"/>
    <m/>
    <m/>
  </r>
  <r>
    <m/>
    <m/>
    <d v="2019-07-26T00:00:00"/>
    <s v="VZ-2019-000825"/>
    <s v="LÉK"/>
    <s v="Ondráčková"/>
    <x v="311"/>
    <n v="1"/>
    <s v="RIBAVIRIN "/>
    <m/>
    <s v="33651400-2"/>
    <m/>
    <n v="39884"/>
    <x v="0"/>
    <d v="2019-09-27T00:00:00"/>
    <d v="2019-10-30T00:00:00"/>
    <m/>
    <s v="zrušeno - bez nabídky"/>
    <m/>
    <m/>
    <m/>
    <m/>
    <m/>
    <m/>
    <m/>
    <m/>
    <x v="0"/>
    <d v="2019-12-10T00:00:00"/>
    <s v="12.11. zrušeno"/>
  </r>
  <r>
    <m/>
    <m/>
    <d v="2019-07-26T00:00:00"/>
    <s v="VZ-2019-000825"/>
    <s v="LÉK"/>
    <s v="Ondráčková"/>
    <x v="311"/>
    <n v="2"/>
    <s v="SOFOSBUVIR A LEDIPASVIR "/>
    <m/>
    <s v="33651400-2"/>
    <m/>
    <n v="5306400"/>
    <x v="0"/>
    <d v="2019-09-27T00:00:00"/>
    <d v="2019-10-30T00:00:00"/>
    <m/>
    <s v="zrušeno - bez nabídky"/>
    <m/>
    <m/>
    <m/>
    <m/>
    <m/>
    <m/>
    <m/>
    <m/>
    <x v="0"/>
    <d v="2019-12-10T00:00:00"/>
    <s v="12.11. zrušeno"/>
  </r>
  <r>
    <m/>
    <m/>
    <d v="2019-07-26T00:00:00"/>
    <s v="VZ-2019-000825"/>
    <s v="LÉK"/>
    <s v="Ondráčková"/>
    <x v="311"/>
    <n v="3"/>
    <s v="SOFOSBUVIR A VELPATASVIR "/>
    <m/>
    <s v="33651400-2"/>
    <m/>
    <n v="4823999"/>
    <x v="0"/>
    <d v="2019-09-27T00:00:00"/>
    <d v="2019-10-30T00:00:00"/>
    <m/>
    <s v="zrušeno - bez nabídky"/>
    <m/>
    <m/>
    <m/>
    <m/>
    <m/>
    <m/>
    <m/>
    <m/>
    <x v="0"/>
    <d v="2019-12-10T00:00:00"/>
    <s v="12.11. zrušeno"/>
  </r>
  <r>
    <m/>
    <m/>
    <d v="2019-07-26T00:00:00"/>
    <s v="VZ-2019-000825"/>
    <s v="LÉK"/>
    <s v="Ondráčková"/>
    <x v="311"/>
    <n v="4"/>
    <s v="SOFOSBUVIR, VELPATASVIR A VOXILAPREVIR "/>
    <m/>
    <s v="33651400-2"/>
    <m/>
    <n v="2169000"/>
    <x v="0"/>
    <d v="2019-09-27T00:00:00"/>
    <d v="2019-10-30T00:00:00"/>
    <m/>
    <s v="zrušeno - bez nabídky"/>
    <m/>
    <m/>
    <m/>
    <m/>
    <m/>
    <m/>
    <m/>
    <m/>
    <x v="0"/>
    <d v="2019-12-10T00:00:00"/>
    <s v="12.11. zrušeno"/>
  </r>
  <r>
    <m/>
    <m/>
    <d v="2019-07-26T00:00:00"/>
    <s v="VZ-2019-000825"/>
    <s v="LÉK"/>
    <s v="Ondráčková"/>
    <x v="311"/>
    <n v="5"/>
    <s v="GLEKAPREVIR A PIBRENTASVIR "/>
    <m/>
    <s v="33651400-2"/>
    <m/>
    <n v="24711846"/>
    <x v="0"/>
    <d v="2019-09-27T00:00:00"/>
    <d v="2019-10-30T00:00:00"/>
    <d v="2019-12-17T00:00:00"/>
    <s v="PHOENIX lékárenský velkoobchod, s.r.o."/>
    <m/>
    <n v="24687189.539999999"/>
    <n v="27155908.489999998"/>
    <m/>
    <m/>
    <m/>
    <d v="2019-12-19T00:00:00"/>
    <s v="SMLN-2019-617-000644"/>
    <x v="0"/>
    <m/>
    <m/>
  </r>
  <r>
    <m/>
    <m/>
    <d v="2019-07-26T00:00:00"/>
    <s v="VZ-2019-000826"/>
    <s v="LÉK"/>
    <s v="Ondráčková"/>
    <x v="312"/>
    <n v="1"/>
    <s v="Alemtuzumab"/>
    <m/>
    <s v="33652300-8"/>
    <m/>
    <n v="27093272"/>
    <x v="0"/>
    <d v="2019-11-25T00:00:00"/>
    <d v="2020-01-09T00:00:00"/>
    <m/>
    <m/>
    <m/>
    <m/>
    <m/>
    <m/>
    <m/>
    <m/>
    <m/>
    <m/>
    <x v="0"/>
    <m/>
    <m/>
  </r>
  <r>
    <m/>
    <m/>
    <d v="2019-08-06T00:00:00"/>
    <s v="VZ-2019-000834"/>
    <s v="INV"/>
    <s v="Spáčil"/>
    <x v="313"/>
    <m/>
    <m/>
    <m/>
    <s v="45215100-8"/>
    <m/>
    <n v="4000000"/>
    <x v="2"/>
    <d v="2019-08-15T00:00:00"/>
    <d v="2019-08-23T00:00:00"/>
    <d v="2019-08-28T00:00:00"/>
    <s v="OHL ŽS, a.s."/>
    <m/>
    <n v="3837796.69"/>
    <n v="4643733.99"/>
    <m/>
    <m/>
    <m/>
    <d v="2019-08-29T00:00:00"/>
    <s v="SMLN-2019-618-000075"/>
    <x v="138"/>
    <d v="2019-09-17T00:00:00"/>
    <d v="2020-01-11T00:00:00"/>
  </r>
  <r>
    <m/>
    <m/>
    <d v="2019-08-06T00:00:00"/>
    <s v="VZ-2019-000835"/>
    <s v="ZT"/>
    <s v="Rosulek"/>
    <x v="314"/>
    <m/>
    <m/>
    <m/>
    <s v="38500000-0"/>
    <s v="2.2.222-223."/>
    <n v="537000"/>
    <x v="2"/>
    <d v="2019-08-15T00:00:00"/>
    <d v="2019-08-23T00:00:00"/>
    <d v="2019-08-27T00:00:00"/>
    <s v="SOTAX Pharmaceutical Testings s.r.o."/>
    <m/>
    <n v="473464"/>
    <n v="572891.43999999994"/>
    <m/>
    <m/>
    <m/>
    <d v="2019-08-28T00:00:00"/>
    <s v="SMLN-2019-617-000385_x000a_SMLN-2019-612-000094"/>
    <x v="116"/>
    <d v="2019-10-03T00:00:00"/>
    <d v="2019-11-12T00:00:00"/>
  </r>
  <r>
    <m/>
    <m/>
    <d v="2019-07-24T00:00:00"/>
    <s v="VZ-2019-000856"/>
    <s v="ZT"/>
    <s v="Rosulek"/>
    <x v="315"/>
    <m/>
    <m/>
    <m/>
    <s v="33191110-9 "/>
    <s v="2.2.36."/>
    <n v="3200000"/>
    <x v="1"/>
    <d v="2019-08-15T00:00:00"/>
    <d v="2019-09-03T00:00:00"/>
    <d v="2019-09-18T00:00:00"/>
    <s v="Miele spol. s r.o."/>
    <m/>
    <n v="2624624"/>
    <n v="3175795.04"/>
    <m/>
    <m/>
    <m/>
    <d v="2019-09-20T00:00:00"/>
    <s v="SMLN-2019-617-000447_x000a_SMLN-2019-612-000111"/>
    <x v="103"/>
    <d v="2019-11-19T00:00:00"/>
    <d v="2020-01-22T00:00:00"/>
  </r>
  <r>
    <m/>
    <m/>
    <d v="2019-08-13T00:00:00"/>
    <s v="VZ-2019-000862"/>
    <s v="LÉK"/>
    <s v="Ondráčková"/>
    <x v="316"/>
    <n v="1"/>
    <s v="Léčivý přípravek OCALIVA"/>
    <m/>
    <s v="33610000-9"/>
    <m/>
    <n v="6432000"/>
    <x v="0"/>
    <d v="2019-09-16T00:00:00"/>
    <d v="2019-10-18T00:00:00"/>
    <d v="2019-11-12T00:00:00"/>
    <s v="Alliance Healthcare s.r.o."/>
    <m/>
    <n v="5767106.8799999999"/>
    <n v="6343817.5700000003"/>
    <m/>
    <m/>
    <m/>
    <d v="2019-11-13T00:00:00"/>
    <s v="SMLN-2019-617-000573"/>
    <x v="0"/>
    <m/>
    <m/>
  </r>
  <r>
    <m/>
    <m/>
    <d v="2019-08-14T00:00:00"/>
    <s v="VZ-2019-000865"/>
    <s v="ENERG"/>
    <s v="Zbořil"/>
    <x v="317"/>
    <m/>
    <m/>
    <m/>
    <s v="45311200-2"/>
    <s v="4.2.116."/>
    <n v="5375000"/>
    <x v="2"/>
    <d v="2019-08-22T00:00:00"/>
    <d v="2019-09-03T00:00:00"/>
    <d v="2019-09-06T00:00:00"/>
    <s v="MEgA - Měřící Energetické Aparáty"/>
    <m/>
    <n v="5983500"/>
    <n v="7240035"/>
    <m/>
    <m/>
    <m/>
    <d v="2019-09-06T00:00:00"/>
    <s v="SMLN-2019-618-000079"/>
    <x v="70"/>
    <d v="2019-11-04T00:00:00"/>
    <d v="2020-01-30T00:00:00"/>
  </r>
  <r>
    <m/>
    <m/>
    <d v="2019-08-19T00:00:00"/>
    <s v="VZ-2019-000871"/>
    <s v="ZT"/>
    <s v="Rosulek"/>
    <x v="318"/>
    <m/>
    <m/>
    <m/>
    <s v="42931100-2"/>
    <s v="2.2.115."/>
    <n v="262000"/>
    <x v="2"/>
    <d v="2019-08-23T00:00:00"/>
    <d v="2019-09-03T00:00:00"/>
    <d v="2019-09-19T00:00:00"/>
    <s v="Eppendorf Czech a Slovakia s.r.o."/>
    <m/>
    <n v="346942"/>
    <n v="419800.06"/>
    <m/>
    <m/>
    <m/>
    <d v="2019-09-20T00:00:00"/>
    <s v="SMLN-2019-617-000446_x000a_SMLN-2019-612-000110"/>
    <x v="129"/>
    <d v="2019-10-08T00:00:00"/>
    <d v="2019-11-08T00:00:00"/>
  </r>
  <r>
    <m/>
    <m/>
    <d v="2019-08-19T00:00:00"/>
    <s v="VZ-2019-000872"/>
    <s v="ZT"/>
    <s v="Rosulek"/>
    <x v="319"/>
    <m/>
    <m/>
    <m/>
    <s v="38950000-9"/>
    <s v="2.2.117."/>
    <n v="456000"/>
    <x v="2"/>
    <d v="2019-08-20T00:00:00"/>
    <d v="2019-08-28T00:00:00"/>
    <d v="2019-09-17T00:00:00"/>
    <s v="Eppendorf Czech a Slovakia s.r.o."/>
    <m/>
    <n v="505445.2"/>
    <n v="611588.68999999994"/>
    <m/>
    <m/>
    <m/>
    <d v="2019-09-17T00:00:00"/>
    <s v="SMLN-2019-617-000422_x000a_SMLN-2019-612-000105"/>
    <x v="129"/>
    <d v="2019-10-08T00:00:00"/>
    <d v="2019-11-14T00:00:00"/>
  </r>
  <r>
    <m/>
    <m/>
    <d v="2019-08-19T00:00:00"/>
    <s v="VZ-2019-000875"/>
    <s v="ZT"/>
    <s v="Rosulek"/>
    <x v="320"/>
    <m/>
    <m/>
    <m/>
    <s v="39711100-0"/>
    <s v="2.2.218.,2.2.210."/>
    <n v="607000"/>
    <x v="2"/>
    <d v="2019-08-20T00:00:00"/>
    <d v="2019-08-28T00:00:00"/>
    <d v="2019-09-18T00:00:00"/>
    <s v="Schoeller Instruments s.r.o."/>
    <m/>
    <n v="566000"/>
    <n v="684860"/>
    <m/>
    <m/>
    <m/>
    <d v="2019-09-18T00:00:00"/>
    <s v="SMLN-2019-617-000425_x000a_SMLN-2019-612-000106"/>
    <x v="129"/>
    <d v="2019-10-08T00:00:00"/>
    <d v="2019-11-28T00:00:00"/>
  </r>
  <r>
    <m/>
    <m/>
    <s v="opakovaná VZ"/>
    <s v="VZ-2019-000877"/>
    <s v="IROP"/>
    <s v="Neudörflerová"/>
    <x v="321"/>
    <m/>
    <m/>
    <m/>
    <s v="33123000-8"/>
    <s v="2.3.332."/>
    <n v="143801.65"/>
    <x v="0"/>
    <d v="2019-09-09T00:00:00"/>
    <d v="2019-10-11T00:00:00"/>
    <d v="2019-10-16T00:00:00"/>
    <s v="BTL zdravotnická technika a.s."/>
    <m/>
    <n v="76250"/>
    <n v="92262.5"/>
    <m/>
    <m/>
    <m/>
    <s v="17.10.209"/>
    <s v="SMLN-2019-617-000509_x000a_SMLN-2019-612-000124"/>
    <x v="134"/>
    <d v="2019-11-26T00:00:00"/>
    <d v="2019-12-31T00:00:00"/>
  </r>
  <r>
    <m/>
    <m/>
    <s v="opakovaná VZ"/>
    <s v="VZ-2019-000880"/>
    <s v="EKON"/>
    <s v="Křivková"/>
    <x v="322"/>
    <m/>
    <m/>
    <m/>
    <s v="79221000-9"/>
    <m/>
    <n v="600000"/>
    <x v="2"/>
    <d v="2019-08-23T00:00:00"/>
    <d v="2019-09-06T00:00:00"/>
    <d v="2019-09-24T00:00:00"/>
    <s v="BDO Tax s.r.o."/>
    <m/>
    <n v="549000"/>
    <n v="664290"/>
    <m/>
    <m/>
    <m/>
    <d v="2019-09-24T00:00:00"/>
    <s v="SMLN-2019-612-000112"/>
    <x v="120"/>
    <d v="2019-10-22T00:00:00"/>
    <m/>
  </r>
  <r>
    <m/>
    <m/>
    <d v="2019-08-20T00:00:00"/>
    <s v="VZ-2019-000881"/>
    <s v="LÉK"/>
    <s v="Ondráčková"/>
    <x v="323"/>
    <n v="1"/>
    <s v="TERIFLUNOMID"/>
    <m/>
    <s v="33652300-8"/>
    <m/>
    <n v="127016998"/>
    <x v="0"/>
    <d v="2019-11-27T00:00:00"/>
    <d v="2020-01-06T00:00:00"/>
    <m/>
    <m/>
    <m/>
    <m/>
    <m/>
    <m/>
    <m/>
    <m/>
    <m/>
    <m/>
    <x v="0"/>
    <m/>
    <m/>
  </r>
  <r>
    <m/>
    <m/>
    <d v="2019-08-15T00:00:00"/>
    <s v="VZ-2019-000882"/>
    <s v="ZM"/>
    <s v="Dočkalová"/>
    <x v="324"/>
    <m/>
    <m/>
    <m/>
    <s v="33194100-7"/>
    <m/>
    <n v="2384424"/>
    <x v="1"/>
    <d v="2019-10-30T00:00:00"/>
    <d v="2019-11-20T00:00:00"/>
    <d v="2019-12-05T00:00:00"/>
    <s v="BAXTER CZECH spol. s r.o."/>
    <m/>
    <n v="2346120"/>
    <n v="2838805.2"/>
    <m/>
    <m/>
    <m/>
    <d v="2019-12-05T00:00:00"/>
    <s v="SMLN-2019-617-000615"/>
    <x v="0"/>
    <m/>
    <m/>
  </r>
  <r>
    <m/>
    <m/>
    <d v="2019-08-20T00:00:00"/>
    <s v="VZ-2019-000883"/>
    <s v="LÉK"/>
    <s v="Ondráčková"/>
    <x v="325"/>
    <n v="1"/>
    <s v="IVAKAFTOR"/>
    <m/>
    <s v="33670000-7"/>
    <m/>
    <n v="9364240"/>
    <x v="0"/>
    <d v="2019-09-16T00:00:00"/>
    <d v="2019-12-03T00:00:00"/>
    <m/>
    <m/>
    <m/>
    <m/>
    <m/>
    <m/>
    <m/>
    <m/>
    <m/>
    <m/>
    <x v="0"/>
    <m/>
    <m/>
  </r>
  <r>
    <m/>
    <m/>
    <d v="2019-08-20T00:00:00"/>
    <s v="VZ-2019-000884"/>
    <s v="LÉK"/>
    <s v="Ondráčková"/>
    <x v="326"/>
    <n v="1"/>
    <s v="ETAMSYLÁT "/>
    <m/>
    <s v="33621000-9 "/>
    <m/>
    <n v="1381855"/>
    <x v="0"/>
    <d v="2019-10-08T00:00:00"/>
    <d v="2019-11-11T00:00:00"/>
    <d v="2019-12-05T00:00:00"/>
    <s v="Alliance Healthcare s.r.o."/>
    <m/>
    <n v="1381846.8"/>
    <n v="1520031.48"/>
    <m/>
    <m/>
    <m/>
    <d v="2019-12-06T00:00:00"/>
    <s v="SMLN-2019-617-000627"/>
    <x v="0"/>
    <m/>
    <m/>
  </r>
  <r>
    <m/>
    <m/>
    <d v="2019-08-20T00:00:00"/>
    <s v="VZ-2019-000884"/>
    <s v="LÉK"/>
    <s v="Ondráčková"/>
    <x v="326"/>
    <n v="2"/>
    <s v="ROMIPLOSTIM"/>
    <m/>
    <s v="33621000-9 "/>
    <m/>
    <n v="8691934"/>
    <x v="0"/>
    <d v="2019-10-08T00:00:00"/>
    <d v="2019-11-11T00:00:00"/>
    <m/>
    <s v="zrušeno - již zasmluvněno"/>
    <m/>
    <m/>
    <m/>
    <m/>
    <m/>
    <m/>
    <m/>
    <m/>
    <x v="0"/>
    <d v="2019-10-24T00:00:00"/>
    <s v="24.10.2019 zrušeno"/>
  </r>
  <r>
    <m/>
    <m/>
    <d v="2019-08-20T00:00:00"/>
    <s v="VZ-2019-000884"/>
    <s v="LÉK"/>
    <s v="Ondráčková"/>
    <x v="326"/>
    <n v="3"/>
    <s v="ELTROMBOPAG "/>
    <m/>
    <s v="33621000-9 "/>
    <m/>
    <n v="6543266"/>
    <x v="0"/>
    <d v="2019-10-08T00:00:00"/>
    <d v="2019-11-11T00:00:00"/>
    <m/>
    <s v="zrušeno - již zasmluvněno"/>
    <m/>
    <m/>
    <m/>
    <m/>
    <m/>
    <m/>
    <m/>
    <m/>
    <x v="0"/>
    <d v="2019-10-24T00:00:00"/>
    <s v="24.10.2019 zrušeno"/>
  </r>
  <r>
    <m/>
    <m/>
    <s v="opakovaná VZ"/>
    <s v="VZ-2019-000885"/>
    <s v="INF"/>
    <s v="Miklík"/>
    <x v="294"/>
    <m/>
    <m/>
    <m/>
    <s v="72611000-6"/>
    <m/>
    <n v="550000"/>
    <x v="2"/>
    <d v="2019-08-22T00:00:00"/>
    <d v="2019-09-03T00:00:00"/>
    <d v="2019-09-09T00:00:00"/>
    <s v="Ing. Karel Boch"/>
    <m/>
    <n v="686661"/>
    <n v="830859.81"/>
    <m/>
    <m/>
    <m/>
    <d v="2019-09-10T00:00:00"/>
    <s v="SMLN-2019-612-000100"/>
    <x v="128"/>
    <d v="2019-10-03T00:00:00"/>
    <d v="2021-02-15T00:00:00"/>
  </r>
  <r>
    <m/>
    <m/>
    <d v="2019-09-26T00:00:00"/>
    <s v="VZ-2019-000888"/>
    <s v="INF"/>
    <s v="Oravec"/>
    <x v="327"/>
    <m/>
    <m/>
    <m/>
    <s v="32552310-3"/>
    <s v="3.2.44."/>
    <n v="1573000"/>
    <x v="2"/>
    <d v="2019-10-02T00:00:00"/>
    <d v="2019-10-11T00:00:00"/>
    <d v="2019-10-18T00:00:00"/>
    <s v="ERISERV, spol. s r.o."/>
    <m/>
    <n v="1237500"/>
    <n v="1497375"/>
    <m/>
    <m/>
    <m/>
    <d v="2019-10-21T00:00:00"/>
    <s v="SMLN-2019-618-000089_x000a_SMLN-2019-612-000125"/>
    <x v="104"/>
    <d v="2019-11-11T00:00:00"/>
    <s v="na dobu neurčitou"/>
  </r>
  <r>
    <m/>
    <m/>
    <d v="2019-08-16T00:00:00"/>
    <s v="VZ-2019-000889"/>
    <s v="ZM"/>
    <s v="Valtová"/>
    <x v="328"/>
    <m/>
    <m/>
    <m/>
    <s v="33140000-3"/>
    <m/>
    <n v="1346625"/>
    <x v="2"/>
    <d v="2019-08-28T00:00:00"/>
    <d v="2019-09-05T00:00:00"/>
    <d v="2019-10-07T00:00:00"/>
    <s v="Johnson &amp; Johnson, s.r.o."/>
    <m/>
    <n v="1346625"/>
    <n v="1548621.9"/>
    <m/>
    <m/>
    <m/>
    <d v="2019-10-07T00:00:00"/>
    <s v="SMLN-2019-617-000487"/>
    <x v="94"/>
    <d v="2019-10-25T00:00:00"/>
    <d v="2022-10-23T00:00:00"/>
  </r>
  <r>
    <m/>
    <m/>
    <d v="2019-07-26T00:00:00"/>
    <s v="VZ-2019-000890"/>
    <s v="LÉK"/>
    <s v="Ondráčková"/>
    <x v="329"/>
    <n v="1"/>
    <s v="Norepinefrin I."/>
    <m/>
    <s v="33622100-7"/>
    <m/>
    <n v="174460"/>
    <x v="2"/>
    <d v="2019-09-02T00:00:00"/>
    <d v="2019-09-13T00:00:00"/>
    <d v="2019-10-03T00:00:00"/>
    <s v="PHOENIX lék.velkoobchod, s.r.o."/>
    <m/>
    <n v="120377.4"/>
    <n v="132415.14000000001"/>
    <m/>
    <m/>
    <m/>
    <d v="2019-10-04T00:00:00"/>
    <s v="SMLN-2019-617-000477"/>
    <x v="120"/>
    <d v="2019-10-25T00:00:00"/>
    <d v="2020-10-20T00:00:00"/>
  </r>
  <r>
    <m/>
    <m/>
    <d v="2019-07-26T00:00:00"/>
    <s v="VZ-2019-000890"/>
    <s v="LÉK"/>
    <s v="Ondráčková"/>
    <x v="329"/>
    <n v="2"/>
    <s v="Norepinefrin I. Pro použití u dětských pacientů"/>
    <m/>
    <s v="33622100-7"/>
    <m/>
    <n v="18200"/>
    <x v="2"/>
    <d v="2019-09-02T00:00:00"/>
    <d v="2019-09-13T00:00:00"/>
    <d v="2019-10-03T00:00:00"/>
    <s v="PHOENIX lék.velkoobchod, s.r.o."/>
    <m/>
    <n v="12558"/>
    <n v="13813.800000000001"/>
    <m/>
    <m/>
    <m/>
    <d v="2019-10-04T00:00:00"/>
    <s v="SMLN-2019-617-000478"/>
    <x v="120"/>
    <d v="2019-10-25T00:00:00"/>
    <d v="2020-10-20T00:00:00"/>
  </r>
  <r>
    <m/>
    <m/>
    <d v="2019-07-26T00:00:00"/>
    <s v="VZ-2019-000890"/>
    <s v="LÉK"/>
    <s v="Ondráčková"/>
    <x v="329"/>
    <n v="3"/>
    <s v="Norepinefrin II."/>
    <m/>
    <s v="33622100-7"/>
    <m/>
    <n v="1224600"/>
    <x v="2"/>
    <d v="2019-09-02T00:00:00"/>
    <d v="2019-09-13T00:00:00"/>
    <d v="2019-10-03T00:00:00"/>
    <s v="PHOENIX lék.velkoobchod, s.r.o."/>
    <m/>
    <n v="844785.6"/>
    <n v="929264.16"/>
    <m/>
    <m/>
    <m/>
    <d v="2019-10-04T00:00:00"/>
    <s v="SMLN-2019-617-000479"/>
    <x v="120"/>
    <d v="2019-10-25T00:00:00"/>
    <d v="2020-10-20T00:00:00"/>
  </r>
  <r>
    <m/>
    <m/>
    <d v="2019-07-26T00:00:00"/>
    <s v="VZ-2019-000890"/>
    <s v="LÉK"/>
    <s v="Ondráčková"/>
    <x v="329"/>
    <n v="4"/>
    <s v="Norepinefrin II. Pro použití u dětských pacientů"/>
    <m/>
    <s v="33622100-7"/>
    <m/>
    <n v="3900"/>
    <x v="2"/>
    <d v="2019-09-02T00:00:00"/>
    <d v="2019-09-13T00:00:00"/>
    <d v="2019-10-03T00:00:00"/>
    <s v="PHOENIX lék.velkoobchod, s.r.o."/>
    <m/>
    <n v="2690.4"/>
    <n v="2959.4400000000005"/>
    <m/>
    <m/>
    <m/>
    <d v="2019-10-04T00:00:00"/>
    <s v="SMLN-2019-617-000480"/>
    <x v="120"/>
    <d v="2019-10-25T00:00:00"/>
    <d v="2020-10-20T00:00:00"/>
  </r>
  <r>
    <m/>
    <m/>
    <s v="opakovaná VZ"/>
    <s v="VZ-2019-000893"/>
    <s v="IROP"/>
    <s v="Neudörflerová"/>
    <x v="330"/>
    <m/>
    <m/>
    <m/>
    <s v="33190000-8"/>
    <s v="2.3.338."/>
    <n v="308553.21999999997"/>
    <x v="0"/>
    <d v="2019-09-27T00:00:00"/>
    <d v="2019-10-30T00:00:00"/>
    <d v="2019-11-15T00:00:00"/>
    <s v="ASQA a.s."/>
    <m/>
    <n v="320800"/>
    <n v="388168"/>
    <m/>
    <m/>
    <m/>
    <d v="2019-11-18T00:00:00"/>
    <s v="SMLN-2019-617-000581_x000a_SMLN-2019-617-000593_x000a_SMLN-2019-612-000155"/>
    <x v="139"/>
    <d v="2019-12-16T00:00:00"/>
    <d v="2020-01-22T00:00:00"/>
  </r>
  <r>
    <m/>
    <m/>
    <d v="2019-07-19T00:00:00"/>
    <s v="VZ-2019-000904"/>
    <s v="DOPR"/>
    <s v="Solovský"/>
    <x v="331"/>
    <n v="1"/>
    <s v="Servis sanitních vozidel"/>
    <m/>
    <s v="50110000-9, 34300000-0"/>
    <m/>
    <n v="5200000"/>
    <x v="0"/>
    <d v="2019-09-03T00:00:00"/>
    <d v="2019-10-07T00:00:00"/>
    <d v="2019-11-15T00:00:00"/>
    <s v="Jiří Klanica"/>
    <m/>
    <s v="jednotkové ceny"/>
    <s v="jednotkové ceny"/>
    <m/>
    <m/>
    <m/>
    <d v="2019-11-18T00:00:00"/>
    <s v="SMLN-2019-618-000101"/>
    <x v="0"/>
    <d v="2020-02-07T00:00:00"/>
    <s v="6.1.2020 zrušeno"/>
  </r>
  <r>
    <m/>
    <m/>
    <d v="2019-07-19T00:00:00"/>
    <s v="VZ-2019-000904"/>
    <s v="DOPR"/>
    <s v="Solovský"/>
    <x v="331"/>
    <n v="2"/>
    <s v="Servis osobních a dodávkových vozidel (Škoda, Volkswagen)"/>
    <m/>
    <s v="50110000-9, 34300000-0"/>
    <m/>
    <n v="3400000"/>
    <x v="0"/>
    <d v="2019-09-03T00:00:00"/>
    <d v="2019-10-07T00:00:00"/>
    <m/>
    <s v="zrušeno - nejvýhodnější nabídky nesplnila fomální náležitosti"/>
    <m/>
    <m/>
    <m/>
    <m/>
    <m/>
    <m/>
    <m/>
    <m/>
    <x v="0"/>
    <d v="2019-12-16T00:00:00"/>
    <s v="21.11. zrušeno"/>
  </r>
  <r>
    <m/>
    <m/>
    <d v="2019-07-19T00:00:00"/>
    <s v="VZ-2019-000904"/>
    <s v="DOPR"/>
    <s v="Solovský"/>
    <x v="331"/>
    <n v="3"/>
    <s v="Servis dodávkových vozidel (Ford, Renault)"/>
    <m/>
    <s v="50110000-9, 34300000-0"/>
    <m/>
    <n v="300000"/>
    <x v="0"/>
    <d v="2019-09-03T00:00:00"/>
    <d v="2019-10-07T00:00:00"/>
    <d v="2019-11-15T00:00:00"/>
    <s v="AUTO ČECHÁK s.r.o."/>
    <m/>
    <s v="jednotkové ceny"/>
    <s v="jednotkové ceny"/>
    <m/>
    <m/>
    <m/>
    <d v="2019-11-19T00:00:00"/>
    <s v="SMLN-2019-618-000103"/>
    <x v="0"/>
    <d v="2020-02-07T00:00:00"/>
    <s v="6.1.2020 zrušeno"/>
  </r>
  <r>
    <m/>
    <m/>
    <d v="2019-08-20T00:00:00"/>
    <s v="VZ-2019-000905"/>
    <s v="INF"/>
    <s v="Oravec"/>
    <x v="332"/>
    <m/>
    <m/>
    <m/>
    <s v="30213300-8"/>
    <m/>
    <n v="6440000"/>
    <x v="0"/>
    <d v="2019-09-03T00:00:00"/>
    <d v="2019-10-25T00:00:00"/>
    <d v="2019-11-12T00:00:00"/>
    <s v="Z + M Logistics spol.s r.o."/>
    <m/>
    <n v="5269350"/>
    <n v="6375913.5"/>
    <m/>
    <m/>
    <m/>
    <d v="2019-11-15T00:00:00"/>
    <s v="SMLN-2019-617-000576"/>
    <x v="131"/>
    <d v="2019-12-18T00:00:00"/>
    <d v="2020-12-12T00:00:00"/>
  </r>
  <r>
    <m/>
    <m/>
    <d v="2019-08-23T00:00:00"/>
    <s v="VZ-2019-000907"/>
    <s v="ENERG"/>
    <s v="Srovnal"/>
    <x v="333"/>
    <m/>
    <m/>
    <m/>
    <s v="50700000-2"/>
    <m/>
    <n v="2500000"/>
    <x v="1"/>
    <d v="2019-09-20T00:00:00"/>
    <d v="2019-10-29T00:00:00"/>
    <d v="2019-12-03T00:00:00"/>
    <s v="Výtahy - elektro Žižka spol. s r.o."/>
    <m/>
    <n v="3340900"/>
    <n v="4042489"/>
    <m/>
    <m/>
    <m/>
    <d v="2019-12-04T00:00:00"/>
    <s v="SMLN-2019-618-000106"/>
    <x v="0"/>
    <m/>
    <m/>
  </r>
  <r>
    <m/>
    <m/>
    <d v="2019-06-07T00:00:00"/>
    <s v="VZ-2019-000911"/>
    <s v="ENERG"/>
    <s v="Srovnal"/>
    <x v="334"/>
    <m/>
    <m/>
    <m/>
    <s v="65100000-4"/>
    <m/>
    <n v="1000000"/>
    <x v="2"/>
    <d v="2019-10-07T00:00:00"/>
    <d v="2019-10-21T00:00:00"/>
    <d v="2019-10-29T00:00:00"/>
    <s v="qzp, s.r.o."/>
    <m/>
    <n v="705600"/>
    <n v="853776"/>
    <m/>
    <m/>
    <m/>
    <d v="2019-10-30T00:00:00"/>
    <s v="SMLN-2019-612-000130"/>
    <x v="136"/>
    <d v="2019-12-09T00:00:00"/>
    <d v="2027-06-29T00:00:00"/>
  </r>
  <r>
    <m/>
    <m/>
    <d v="2019-07-08T00:00:00"/>
    <s v="VZ-2019-000912"/>
    <s v="PERS"/>
    <s v="Odehnalová"/>
    <x v="335"/>
    <m/>
    <m/>
    <m/>
    <s v="72411000-4"/>
    <m/>
    <n v="120000000"/>
    <x v="0"/>
    <d v="2019-11-28T00:00:00"/>
    <d v="2020-01-03T00:00:00"/>
    <m/>
    <m/>
    <m/>
    <m/>
    <m/>
    <m/>
    <m/>
    <m/>
    <m/>
    <m/>
    <x v="0"/>
    <m/>
    <m/>
  </r>
  <r>
    <m/>
    <m/>
    <d v="2019-07-23T00:00:00"/>
    <s v="VZ-2019-000913"/>
    <s v="INF"/>
    <s v="Oravec"/>
    <x v="336"/>
    <m/>
    <m/>
    <m/>
    <s v="72261000-2"/>
    <m/>
    <n v="2587200"/>
    <x v="1"/>
    <d v="2019-10-24T00:00:00"/>
    <d v="2019-11-20T00:00:00"/>
    <d v="2019-12-11T00:00:00"/>
    <s v="BCV solutions s.r.o."/>
    <m/>
    <n v="1987200"/>
    <n v="2404512"/>
    <m/>
    <m/>
    <m/>
    <d v="2019-12-12T00:00:00"/>
    <s v="SMLN-2019-612-000164"/>
    <x v="0"/>
    <m/>
    <m/>
  </r>
  <r>
    <m/>
    <m/>
    <d v="2019-07-23T00:00:00"/>
    <s v="VZ-2019-000914"/>
    <s v="INF"/>
    <s v="Oravec"/>
    <x v="337"/>
    <m/>
    <s v="Po schůzce 29.8.2019 (Merta, Hlavinka, Gartner, Dočkal) - bude vypsáno na dobu určitou 2 let pouze servis bez náhrady, poté bude samotná soutěž na náhradu IS, VZ na servis na  2 roky předpokládaná hodnota do 250 tis. Kč bez DPH, VZ bude realizovat IT"/>
    <m/>
    <m/>
    <m/>
    <n v="200000"/>
    <x v="2"/>
    <m/>
    <m/>
    <m/>
    <m/>
    <m/>
    <m/>
    <m/>
    <m/>
    <m/>
    <m/>
    <m/>
    <m/>
    <x v="0"/>
    <m/>
    <m/>
  </r>
  <r>
    <m/>
    <m/>
    <d v="2019-08-14T00:00:00"/>
    <s v="VZ-2019-000915"/>
    <s v="ZM"/>
    <s v="Valtová"/>
    <x v="338"/>
    <m/>
    <m/>
    <m/>
    <s v="33140000-3"/>
    <m/>
    <n v="3943140"/>
    <x v="0"/>
    <d v="2019-10-31T00:00:00"/>
    <d v="2019-12-04T00:00:00"/>
    <d v="2019-12-17T00:00:00"/>
    <s v="Cardion s.r.o."/>
    <m/>
    <n v="3942981.82"/>
    <n v="4771008"/>
    <m/>
    <m/>
    <m/>
    <d v="2019-12-19T00:00:00"/>
    <s v="SMLN-2019-617-000643_x000a_SMLN-2019-614-000109"/>
    <x v="0"/>
    <m/>
    <m/>
  </r>
  <r>
    <m/>
    <m/>
    <d v="2019-08-15T00:00:00"/>
    <s v="VZ-2019-000916"/>
    <s v="ZT"/>
    <s v="Rosulek"/>
    <x v="339"/>
    <m/>
    <m/>
    <m/>
    <s v="33162100-4"/>
    <m/>
    <n v="2314000"/>
    <x v="1"/>
    <d v="2019-09-04T00:00:00"/>
    <d v="2019-09-25T00:00:00"/>
    <m/>
    <s v="zrušeno - špatné zadání"/>
    <s v="do VZ nebyly zahrnuty náklady na spotřební materiál, po úpravě ZD se bude soutěž opakovat."/>
    <m/>
    <m/>
    <m/>
    <m/>
    <m/>
    <m/>
    <m/>
    <x v="0"/>
    <d v="2019-09-19T00:00:00"/>
    <s v="19.9. zrušeno"/>
  </r>
  <r>
    <m/>
    <m/>
    <d v="2019-08-22T00:00:00"/>
    <s v="VZ-2019-000917"/>
    <s v="ZT"/>
    <s v="Rosulek"/>
    <x v="340"/>
    <m/>
    <m/>
    <m/>
    <s v="33192000-2"/>
    <s v="2.3.405."/>
    <n v="1133058"/>
    <x v="2"/>
    <d v="2019-09-03T00:00:00"/>
    <d v="2019-09-13T00:00:00"/>
    <d v="2019-09-30T00:00:00"/>
    <s v="Medinet s.r.o."/>
    <m/>
    <n v="1928768"/>
    <n v="2333809.2799999998"/>
    <m/>
    <m/>
    <m/>
    <d v="2019-09-30T00:00:00"/>
    <s v="SMLN-2019-617-000472_x000a_SMLN-2019-612-000118"/>
    <x v="70"/>
    <d v="2019-11-05T00:00:00"/>
    <d v="2019-12-27T00:00:00"/>
  </r>
  <r>
    <m/>
    <m/>
    <d v="2019-08-26T00:00:00"/>
    <s v="VZ-2019-000918"/>
    <s v="INF"/>
    <s v="Miklík"/>
    <x v="341"/>
    <m/>
    <m/>
    <m/>
    <s v="32422000-7"/>
    <s v="3.2.38, 3.2.40."/>
    <n v="3840000"/>
    <x v="1"/>
    <d v="2019-09-23T00:00:00"/>
    <d v="2019-10-09T00:00:00"/>
    <d v="2019-10-15T00:00:00"/>
    <s v="MERIT GROUP a.s."/>
    <m/>
    <n v="3820900"/>
    <n v="4623289"/>
    <m/>
    <m/>
    <m/>
    <d v="2019-10-16T00:00:00"/>
    <s v="SMLN-2019-617-000506"/>
    <x v="103"/>
    <d v="2019-11-19T00:00:00"/>
    <d v="2020-01-12T00:00:00"/>
  </r>
  <r>
    <m/>
    <m/>
    <d v="2019-08-26T00:00:00"/>
    <s v="VZ-2019-000919"/>
    <s v="INF"/>
    <s v="Miklík"/>
    <x v="342"/>
    <m/>
    <m/>
    <m/>
    <s v="48825000-7"/>
    <m/>
    <n v="1322314"/>
    <x v="2"/>
    <d v="2019-09-05T00:00:00"/>
    <d v="2019-09-17T00:00:00"/>
    <d v="2019-09-18T00:00:00"/>
    <s v="MERIT GROUP a.s."/>
    <m/>
    <n v="1160000"/>
    <n v="1403600"/>
    <m/>
    <m/>
    <m/>
    <d v="2019-09-19T00:00:00"/>
    <s v="SMLN-2019-617-000427"/>
    <x v="140"/>
    <d v="2019-10-18T00:00:00"/>
    <d v="2019-12-15T00:00:00"/>
  </r>
  <r>
    <m/>
    <m/>
    <d v="2019-08-28T00:00:00"/>
    <s v="VZ-2019-000920"/>
    <s v="SERVIS"/>
    <s v="Zemánek"/>
    <x v="343"/>
    <m/>
    <m/>
    <m/>
    <s v="50421000-2"/>
    <m/>
    <n v="277000"/>
    <x v="2"/>
    <d v="2019-09-20T00:00:00"/>
    <d v="2019-10-02T00:00:00"/>
    <d v="2019-10-29T00:00:00"/>
    <s v="Sysmex CZ s.r.o."/>
    <m/>
    <n v="249300"/>
    <n v="301653.12"/>
    <m/>
    <m/>
    <m/>
    <d v="2019-10-29T00:00:00"/>
    <s v="SMLN-2019-612-000129"/>
    <x v="105"/>
    <d v="2019-12-02T00:00:00"/>
    <d v="2023-11-26T00:00:00"/>
  </r>
  <r>
    <m/>
    <m/>
    <d v="2019-08-30T00:00:00"/>
    <s v="VZ-2019-000924"/>
    <s v="SERVIS"/>
    <s v="Zemánek"/>
    <x v="344"/>
    <m/>
    <m/>
    <m/>
    <s v="50421000-2"/>
    <m/>
    <n v="7920000"/>
    <x v="0"/>
    <m/>
    <m/>
    <m/>
    <m/>
    <m/>
    <m/>
    <m/>
    <m/>
    <m/>
    <m/>
    <m/>
    <m/>
    <x v="0"/>
    <m/>
    <m/>
  </r>
  <r>
    <m/>
    <m/>
    <d v="2019-08-30T00:00:00"/>
    <s v="VZ-2019-000925"/>
    <s v="ZT"/>
    <s v="Rosulek"/>
    <x v="345"/>
    <m/>
    <m/>
    <m/>
    <s v="33168100-6"/>
    <s v="2.2.120, 2.3.367, 2.3.400"/>
    <n v="580000"/>
    <x v="2"/>
    <d v="2019-09-11T00:00:00"/>
    <d v="2019-09-24T00:00:00"/>
    <d v="2019-11-04T00:00:00"/>
    <s v="Olympus Czech Group, s.r.o."/>
    <m/>
    <n v="553450"/>
    <n v="669670"/>
    <m/>
    <m/>
    <m/>
    <d v="2019-11-04T00:00:00"/>
    <s v="SMLN-2019-617-000552_x000a_SMLN-2019-612-000144"/>
    <x v="118"/>
    <d v="2019-12-16T00:00:00"/>
    <d v="2020-01-19T00:00:00"/>
  </r>
  <r>
    <m/>
    <m/>
    <d v="2019-08-30T00:00:00"/>
    <s v="VZ-2019-000928"/>
    <s v="LÉK"/>
    <s v="Ondráčková"/>
    <x v="346"/>
    <n v="1"/>
    <s v="Ambrisentan"/>
    <m/>
    <s v="33622200-8"/>
    <m/>
    <n v="8418067"/>
    <x v="0"/>
    <d v="2019-09-23T00:00:00"/>
    <d v="2019-10-24T00:00:00"/>
    <d v="2019-12-05T00:00:00"/>
    <s v="PHOENIX lékárenský velkoobchod, s.r.o."/>
    <m/>
    <n v="8316786.4000000004"/>
    <n v="9148465.0399999991"/>
    <m/>
    <m/>
    <m/>
    <d v="2019-12-06T00:00:00"/>
    <s v="SMLN-2019-617-000621"/>
    <x v="0"/>
    <m/>
    <m/>
  </r>
  <r>
    <m/>
    <m/>
    <d v="2019-08-30T00:00:00"/>
    <s v="VZ-2019-000929"/>
    <s v="LÉK"/>
    <s v="Ondráčková"/>
    <x v="347"/>
    <n v="1"/>
    <s v="Abirateron"/>
    <m/>
    <s v="33642000-2"/>
    <m/>
    <n v="28747836"/>
    <x v="0"/>
    <d v="2019-09-23T00:00:00"/>
    <d v="2019-11-04T00:00:00"/>
    <d v="2019-12-05T00:00:00"/>
    <s v="Janssen - Cilag s.r.o."/>
    <m/>
    <n v="28747836"/>
    <n v="31622620"/>
    <m/>
    <m/>
    <m/>
    <d v="2019-12-06T00:00:00"/>
    <s v="SMLN-2019-617-000622"/>
    <x v="0"/>
    <m/>
    <m/>
  </r>
  <r>
    <m/>
    <m/>
    <d v="2019-08-30T00:00:00"/>
    <s v="VZ-2019-000930"/>
    <s v="LÉK"/>
    <s v="Ondráčková"/>
    <x v="348"/>
    <n v="1"/>
    <s v="MACITENTAN"/>
    <m/>
    <m/>
    <m/>
    <n v="8023320"/>
    <x v="0"/>
    <d v="2019-10-08T00:00:00"/>
    <d v="2019-12-17T00:00:00"/>
    <m/>
    <m/>
    <m/>
    <m/>
    <m/>
    <m/>
    <m/>
    <m/>
    <m/>
    <m/>
    <x v="0"/>
    <m/>
    <m/>
  </r>
  <r>
    <m/>
    <m/>
    <d v="2019-08-30T00:00:00"/>
    <s v="VZ-2019-000930"/>
    <s v="LÉK"/>
    <s v="Ondráčková"/>
    <x v="348"/>
    <n v="2"/>
    <s v="EPOPROSTENOL"/>
    <m/>
    <m/>
    <m/>
    <n v="6714275"/>
    <x v="0"/>
    <d v="2019-10-08T00:00:00"/>
    <d v="2019-12-11T00:00:00"/>
    <m/>
    <s v="zrušeno - oprava zadání"/>
    <m/>
    <m/>
    <m/>
    <m/>
    <m/>
    <m/>
    <m/>
    <m/>
    <x v="0"/>
    <d v="2019-11-26T00:00:00"/>
    <s v="22.11. zrušení na podpis"/>
  </r>
  <r>
    <m/>
    <m/>
    <d v="2019-08-30T00:00:00"/>
    <s v="VZ-2019-000930"/>
    <s v="LÉK"/>
    <s v="Ondráčková"/>
    <x v="348"/>
    <n v="3"/>
    <s v="SELEXIPAG"/>
    <m/>
    <m/>
    <m/>
    <n v="8587568"/>
    <x v="0"/>
    <d v="2019-10-08T00:00:00"/>
    <d v="2019-12-17T00:00:00"/>
    <m/>
    <s v="zrušeno - překročení ceny"/>
    <m/>
    <m/>
    <m/>
    <m/>
    <m/>
    <m/>
    <m/>
    <m/>
    <x v="0"/>
    <d v="2020-02-07T00:00:00"/>
    <s v="13.1.2020 zrušeno"/>
  </r>
  <r>
    <m/>
    <m/>
    <d v="2019-08-30T00:00:00"/>
    <s v="VZ-2019-000931"/>
    <s v="LÉK"/>
    <s v="Ondráčková"/>
    <x v="349"/>
    <n v="1"/>
    <s v="Dolforin"/>
    <m/>
    <s v="33661200-3"/>
    <m/>
    <n v="1102110"/>
    <x v="0"/>
    <d v="2019-10-21T00:00:00"/>
    <d v="2019-11-26T00:00:00"/>
    <m/>
    <s v="PHOENIX lékárenský velkoobchod, s.r.o."/>
    <m/>
    <n v="999670.34"/>
    <n v="1099637.3700000001"/>
    <m/>
    <m/>
    <m/>
    <m/>
    <m/>
    <x v="0"/>
    <m/>
    <m/>
  </r>
  <r>
    <m/>
    <m/>
    <d v="2019-08-30T00:00:00"/>
    <s v="VZ-2019-000931"/>
    <s v="LÉK"/>
    <s v="Ondráčková"/>
    <x v="349"/>
    <n v="2"/>
    <s v="Durogesic"/>
    <m/>
    <s v="33661200-3"/>
    <m/>
    <n v="2613344"/>
    <x v="0"/>
    <d v="2019-10-21T00:00:00"/>
    <d v="2019-11-26T00:00:00"/>
    <m/>
    <s v="PHOENIX lékárenský velkoobchod, s.r.o."/>
    <m/>
    <n v="2607720.96"/>
    <n v="2868493.06"/>
    <m/>
    <m/>
    <m/>
    <m/>
    <m/>
    <x v="0"/>
    <m/>
    <m/>
  </r>
  <r>
    <m/>
    <m/>
    <d v="2019-08-30T00:00:00"/>
    <s v="VZ-2019-000931"/>
    <s v="LÉK"/>
    <s v="Ondráčková"/>
    <x v="349"/>
    <n v="3"/>
    <s v="Fentalis"/>
    <m/>
    <s v="33661200-3"/>
    <m/>
    <n v="3847274"/>
    <x v="0"/>
    <d v="2019-10-21T00:00:00"/>
    <d v="2019-11-26T00:00:00"/>
    <m/>
    <s v="Alliance Healtcare s.r.o."/>
    <m/>
    <n v="3847272.38"/>
    <n v="4230326.1900000004"/>
    <m/>
    <m/>
    <m/>
    <m/>
    <m/>
    <x v="0"/>
    <m/>
    <m/>
  </r>
  <r>
    <m/>
    <m/>
    <d v="2019-08-30T00:00:00"/>
    <s v="VZ-2019-000931"/>
    <s v="LÉK"/>
    <s v="Ondráčková"/>
    <x v="349"/>
    <n v="4"/>
    <s v="Palexia Retard"/>
    <m/>
    <s v="33661200-3"/>
    <m/>
    <n v="1138769"/>
    <x v="0"/>
    <d v="2019-10-21T00:00:00"/>
    <d v="2019-11-26T00:00:00"/>
    <m/>
    <s v="zrušeno - bez nabídky"/>
    <m/>
    <m/>
    <m/>
    <m/>
    <m/>
    <m/>
    <m/>
    <m/>
    <x v="0"/>
    <d v="2019-12-30T00:00:00"/>
    <s v="6.12. zrušeno"/>
  </r>
  <r>
    <m/>
    <m/>
    <d v="2019-08-30T00:00:00"/>
    <s v="VZ-2019-000931"/>
    <s v="LÉK"/>
    <s v="Ondráčková"/>
    <x v="349"/>
    <n v="5"/>
    <s v="Transtec"/>
    <m/>
    <s v="33661200-3"/>
    <m/>
    <n v="2377388"/>
    <x v="0"/>
    <d v="2019-10-21T00:00:00"/>
    <d v="2019-11-26T00:00:00"/>
    <m/>
    <s v="Alliance Healtcare s.r.o."/>
    <m/>
    <n v="2365392.4"/>
    <n v="2601931.64"/>
    <m/>
    <m/>
    <m/>
    <m/>
    <m/>
    <x v="0"/>
    <m/>
    <m/>
  </r>
  <r>
    <m/>
    <m/>
    <d v="2019-08-30T00:00:00"/>
    <s v="VZ-2019-000931"/>
    <s v="LÉK"/>
    <s v="Ondráčková"/>
    <x v="349"/>
    <n v="6"/>
    <s v="Oxycodon Lannacher"/>
    <m/>
    <s v="33661200-3"/>
    <m/>
    <n v="2900177"/>
    <x v="0"/>
    <d v="2019-10-21T00:00:00"/>
    <d v="2019-11-26T00:00:00"/>
    <m/>
    <s v="Alliance Healtcare s.r.o."/>
    <m/>
    <n v="2893071.36"/>
    <n v="3182378.5"/>
    <m/>
    <m/>
    <m/>
    <m/>
    <m/>
    <x v="0"/>
    <m/>
    <m/>
  </r>
  <r>
    <m/>
    <m/>
    <d v="2019-08-30T00:00:00"/>
    <s v="VZ-2019-000931"/>
    <s v="LÉK"/>
    <s v="Ondráčková"/>
    <x v="349"/>
    <n v="7"/>
    <s v="Lunaldin"/>
    <m/>
    <s v="33661200-3"/>
    <m/>
    <n v="4406890"/>
    <x v="0"/>
    <d v="2019-10-21T00:00:00"/>
    <d v="2019-11-26T00:00:00"/>
    <m/>
    <s v="Alliance Healtcare s.r.o."/>
    <m/>
    <n v="4405134.5599999996"/>
    <n v="4845648.0199999996"/>
    <m/>
    <m/>
    <m/>
    <m/>
    <m/>
    <x v="0"/>
    <m/>
    <m/>
  </r>
  <r>
    <m/>
    <m/>
    <d v="2019-09-02T00:00:00"/>
    <s v="VZ-2019-000942"/>
    <s v="LÉK"/>
    <s v="Ondráčková"/>
    <x v="350"/>
    <n v="1"/>
    <s v="THROMBOREDUCTIN 0,5 MG"/>
    <m/>
    <s v="33652000-5   "/>
    <m/>
    <n v="2257006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s v="LÉK"/>
    <s v="Ondráčková"/>
    <x v="350"/>
    <n v="2"/>
    <s v="Anagrelid Stada"/>
    <m/>
    <s v="33652000-5  "/>
    <m/>
    <n v="548404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s v="LÉK"/>
    <s v="Ondráčková"/>
    <x v="350"/>
    <n v="3"/>
    <s v="Vismodegib"/>
    <m/>
    <s v="33652000-5  "/>
    <m/>
    <n v="6102514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s v="LÉK"/>
    <s v="Ondráčková"/>
    <x v="350"/>
    <n v="4"/>
    <s v="Olaparib"/>
    <m/>
    <s v="33652000-5   "/>
    <m/>
    <n v="11043079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s v="LÉK"/>
    <s v="Ondráčková"/>
    <x v="350"/>
    <n v="5"/>
    <s v="Hydroxykarbamid"/>
    <m/>
    <s v="33652000-5  "/>
    <m/>
    <n v="469154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s v="LÉK"/>
    <s v="Ondráčková"/>
    <x v="350"/>
    <n v="6"/>
    <s v="IXAZOMIB-CITRÁT"/>
    <m/>
    <s v="33652000-5  "/>
    <m/>
    <n v="25724950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s v="LÉK"/>
    <s v="Ondráčková"/>
    <x v="350"/>
    <n v="7"/>
    <s v="VENETOKLAX"/>
    <m/>
    <s v="33652000-5   "/>
    <m/>
    <n v="2452038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3"/>
    <s v="LÉK"/>
    <s v="Ondráčková"/>
    <x v="351"/>
    <n v="1"/>
    <s v="Bortezomib"/>
    <m/>
    <s v="33652000-5  "/>
    <m/>
    <n v="1299600"/>
    <x v="0"/>
    <m/>
    <m/>
    <m/>
    <m/>
    <m/>
    <m/>
    <m/>
    <m/>
    <m/>
    <m/>
    <m/>
    <m/>
    <x v="0"/>
    <m/>
    <m/>
  </r>
  <r>
    <m/>
    <m/>
    <d v="2019-09-02T00:00:00"/>
    <s v="VZ-2019-000943"/>
    <s v="LÉK"/>
    <s v="Ondráčková"/>
    <x v="351"/>
    <n v="2"/>
    <s v="Pegaspargasa"/>
    <m/>
    <s v="33652000-5  "/>
    <m/>
    <n v="2043895"/>
    <x v="0"/>
    <m/>
    <m/>
    <m/>
    <m/>
    <m/>
    <m/>
    <m/>
    <m/>
    <m/>
    <m/>
    <m/>
    <m/>
    <x v="0"/>
    <m/>
    <m/>
  </r>
  <r>
    <m/>
    <m/>
    <d v="2019-09-02T00:00:00"/>
    <s v="VZ-2019-000943"/>
    <s v="LÉK"/>
    <s v="Ondráčková"/>
    <x v="351"/>
    <n v="3"/>
    <s v="Irinotekan"/>
    <m/>
    <s v="33652000-5  "/>
    <m/>
    <n v="677539"/>
    <x v="0"/>
    <m/>
    <m/>
    <m/>
    <m/>
    <m/>
    <m/>
    <m/>
    <m/>
    <m/>
    <m/>
    <m/>
    <m/>
    <x v="0"/>
    <m/>
    <m/>
  </r>
  <r>
    <m/>
    <m/>
    <d v="2019-09-02T00:00:00"/>
    <s v="VZ-2019-000943"/>
    <s v="LÉK"/>
    <s v="Ondráčková"/>
    <x v="351"/>
    <n v="4"/>
    <s v="Eribulin-mesylát"/>
    <m/>
    <s v="33652000-5  "/>
    <m/>
    <n v="8531817"/>
    <x v="0"/>
    <m/>
    <m/>
    <m/>
    <m/>
    <m/>
    <m/>
    <m/>
    <m/>
    <m/>
    <m/>
    <m/>
    <m/>
    <x v="0"/>
    <m/>
    <m/>
  </r>
  <r>
    <m/>
    <m/>
    <d v="2019-09-02T00:00:00"/>
    <s v="VZ-2019-000943"/>
    <s v="LÉK"/>
    <s v="Ondráčková"/>
    <x v="351"/>
    <n v="5"/>
    <s v="Aflibercept"/>
    <m/>
    <s v="33652000-5  "/>
    <m/>
    <n v="3476529"/>
    <x v="0"/>
    <m/>
    <m/>
    <m/>
    <m/>
    <m/>
    <m/>
    <m/>
    <m/>
    <m/>
    <m/>
    <m/>
    <m/>
    <x v="0"/>
    <m/>
    <m/>
  </r>
  <r>
    <m/>
    <m/>
    <d v="2019-09-02T00:00:00"/>
    <s v="VZ-2019-000943"/>
    <s v="LÉK"/>
    <s v="Ondráčková"/>
    <x v="351"/>
    <n v="6"/>
    <s v="Asparaginasa produkovaná Erwinia chrysanthemi"/>
    <m/>
    <s v="33652000-5  "/>
    <m/>
    <n v="910770"/>
    <x v="0"/>
    <m/>
    <m/>
    <m/>
    <m/>
    <m/>
    <m/>
    <m/>
    <m/>
    <m/>
    <m/>
    <m/>
    <m/>
    <x v="0"/>
    <m/>
    <m/>
  </r>
  <r>
    <m/>
    <m/>
    <d v="2019-09-02T00:00:00"/>
    <s v="VZ-2019-000943"/>
    <s v="LÉK"/>
    <s v="Ondráčková"/>
    <x v="351"/>
    <n v="7"/>
    <s v="Topotecan"/>
    <m/>
    <s v="33652000-5  "/>
    <m/>
    <n v="218849"/>
    <x v="0"/>
    <m/>
    <m/>
    <m/>
    <m/>
    <m/>
    <m/>
    <m/>
    <m/>
    <m/>
    <m/>
    <m/>
    <m/>
    <x v="0"/>
    <m/>
    <m/>
  </r>
  <r>
    <m/>
    <m/>
    <d v="2019-09-02T00:00:00"/>
    <s v="VZ-2019-000943"/>
    <s v="LÉK"/>
    <s v="Ondráčková"/>
    <x v="351"/>
    <n v="8"/>
    <s v="Oxid arsenitý"/>
    <m/>
    <s v="33652000-5  "/>
    <m/>
    <n v="1161870"/>
    <x v="0"/>
    <m/>
    <m/>
    <m/>
    <m/>
    <m/>
    <m/>
    <m/>
    <m/>
    <m/>
    <m/>
    <m/>
    <m/>
    <x v="0"/>
    <m/>
    <m/>
  </r>
  <r>
    <m/>
    <m/>
    <d v="2019-09-02T00:00:00"/>
    <s v="VZ-2019-000944"/>
    <s v="LÉK"/>
    <s v="Ondráčková"/>
    <x v="352"/>
    <n v="1"/>
    <s v="Bacillus Calmette-Guerin(BCG)"/>
    <m/>
    <s v="33652000-5"/>
    <m/>
    <n v="1447210"/>
    <x v="0"/>
    <d v="2019-10-18T00:00:00"/>
    <d v="2019-11-21T00:00:00"/>
    <m/>
    <s v="zrušeno - bez nabídky"/>
    <m/>
    <m/>
    <m/>
    <m/>
    <m/>
    <m/>
    <m/>
    <m/>
    <x v="0"/>
    <d v="2020-01-10T00:00:00"/>
    <s v="16.12. zrušeno"/>
  </r>
  <r>
    <m/>
    <m/>
    <d v="2019-09-02T00:00:00"/>
    <s v="VZ-2019-000944"/>
    <s v="LÉK"/>
    <s v="Ondráčková"/>
    <x v="352"/>
    <n v="2"/>
    <s v="Plerixafor"/>
    <m/>
    <s v="33652000-5"/>
    <m/>
    <n v="530908"/>
    <x v="0"/>
    <d v="2019-10-18T00:00:00"/>
    <d v="2019-11-21T00:00:00"/>
    <m/>
    <s v="zrušeno - bez nabídky"/>
    <m/>
    <m/>
    <m/>
    <m/>
    <m/>
    <m/>
    <m/>
    <m/>
    <x v="0"/>
    <d v="2020-01-10T00:00:00"/>
    <s v="16.12. zrušeno"/>
  </r>
  <r>
    <m/>
    <m/>
    <d v="2019-09-02T00:00:00"/>
    <s v="VZ-2019-000944"/>
    <s v="LÉK"/>
    <s v="Ondráčková"/>
    <x v="352"/>
    <n v="3"/>
    <s v="LYOFILIZOVANÝ BAKTERIÁLNÍ LYZÁT OM 85 (LYSATUM BACTERIALE OM 85 CRYODESICCATUM)"/>
    <m/>
    <s v="33652000-5"/>
    <m/>
    <n v="196833"/>
    <x v="0"/>
    <d v="2019-10-18T00:00:00"/>
    <d v="2019-11-21T00:00:00"/>
    <d v="2019-12-17T00:00:00"/>
    <s v="PHOENIX lékárenský velkoobchod, s.r.o."/>
    <m/>
    <n v="195963.12"/>
    <n v="215559.43"/>
    <m/>
    <m/>
    <m/>
    <d v="2019-12-19T00:00:00"/>
    <s v="SMLN-2019-617-000645"/>
    <x v="0"/>
    <m/>
    <m/>
  </r>
  <r>
    <m/>
    <m/>
    <d v="2019-09-02T00:00:00"/>
    <s v="VZ-2019-000944"/>
    <s v="LÉK"/>
    <s v="Ondráčková"/>
    <x v="352"/>
    <n v="4"/>
    <s v="PRASEČÍ PŘENOSOVÝ FAKTOR"/>
    <m/>
    <s v="33652000-5"/>
    <m/>
    <n v="6868497"/>
    <x v="0"/>
    <d v="2019-10-18T00:00:00"/>
    <d v="2019-11-21T00:00:00"/>
    <d v="2019-12-17T00:00:00"/>
    <s v="PHARMOS, a.s."/>
    <m/>
    <n v="6806504"/>
    <n v="7487154.4000000004"/>
    <m/>
    <m/>
    <m/>
    <d v="2019-12-19T00:00:00"/>
    <s v="SMLN-2019-617-000646"/>
    <x v="0"/>
    <m/>
    <m/>
  </r>
  <r>
    <m/>
    <m/>
    <d v="2019-09-02T00:00:00"/>
    <s v="VZ-2019-000944"/>
    <s v="LÉK"/>
    <s v="Ondráčková"/>
    <x v="352"/>
    <n v="5"/>
    <s v="SMĚS BAKTERIÁLNÍHO LYZÁTU"/>
    <m/>
    <s v="33652000-5"/>
    <m/>
    <n v="84492"/>
    <x v="0"/>
    <d v="2019-10-18T00:00:00"/>
    <d v="2019-11-21T00:00:00"/>
    <m/>
    <s v="zrušeno - bez nabídky"/>
    <m/>
    <m/>
    <m/>
    <m/>
    <m/>
    <m/>
    <m/>
    <m/>
    <x v="0"/>
    <d v="2020-01-10T00:00:00"/>
    <s v="16.12. zrušeno"/>
  </r>
  <r>
    <m/>
    <m/>
    <d v="2019-09-02T00:00:00"/>
    <s v="VZ-2019-000945"/>
    <s v="LÉK"/>
    <s v="Ondráčková"/>
    <x v="353"/>
    <n v="1"/>
    <s v="Sekukinumab"/>
    <m/>
    <s v="33652300-8"/>
    <m/>
    <n v="20785905"/>
    <x v="0"/>
    <d v="2019-10-17T00:00:00"/>
    <d v="2019-11-29T00:00:00"/>
    <m/>
    <m/>
    <m/>
    <m/>
    <m/>
    <m/>
    <m/>
    <m/>
    <m/>
    <m/>
    <x v="0"/>
    <m/>
    <m/>
  </r>
  <r>
    <m/>
    <m/>
    <d v="2019-09-02T00:00:00"/>
    <s v="VZ-2019-000945"/>
    <s v="LÉK"/>
    <s v="Ondráčková"/>
    <x v="353"/>
    <n v="2"/>
    <s v="Ustekinumab"/>
    <m/>
    <s v="33652300-8"/>
    <m/>
    <n v="20787500"/>
    <x v="0"/>
    <d v="2019-10-17T00:00:00"/>
    <d v="2019-11-29T00:00:00"/>
    <m/>
    <m/>
    <m/>
    <m/>
    <m/>
    <m/>
    <m/>
    <m/>
    <m/>
    <m/>
    <x v="0"/>
    <m/>
    <m/>
  </r>
  <r>
    <m/>
    <m/>
    <d v="2019-09-02T00:00:00"/>
    <s v="VZ-2019-000945"/>
    <s v="LÉK"/>
    <s v="Ondráčková"/>
    <x v="353"/>
    <n v="3"/>
    <s v="Guselkumab"/>
    <m/>
    <s v="33652300-8"/>
    <m/>
    <n v="823621"/>
    <x v="0"/>
    <d v="2019-10-17T00:00:00"/>
    <d v="2019-11-29T00:00:00"/>
    <m/>
    <m/>
    <m/>
    <m/>
    <m/>
    <m/>
    <m/>
    <m/>
    <m/>
    <m/>
    <x v="0"/>
    <m/>
    <m/>
  </r>
  <r>
    <m/>
    <m/>
    <d v="2019-09-04T00:00:00"/>
    <s v="VZ-2019-000952"/>
    <s v="ZM"/>
    <s v="Dočkalová"/>
    <x v="354"/>
    <n v="1"/>
    <s v="Embolizační spirály odpoutatelné neurointervenční I."/>
    <m/>
    <s v="33140000-3"/>
    <m/>
    <n v="3733400"/>
    <x v="0"/>
    <d v="2019-12-04T00:00:00"/>
    <d v="2020-01-06T00:00:00"/>
    <m/>
    <m/>
    <m/>
    <m/>
    <m/>
    <m/>
    <m/>
    <m/>
    <m/>
    <m/>
    <x v="0"/>
    <m/>
    <m/>
  </r>
  <r>
    <m/>
    <m/>
    <d v="2019-09-04T00:00:00"/>
    <s v="VZ-2019-000952"/>
    <s v="ZM"/>
    <s v="Dočkalová"/>
    <x v="354"/>
    <n v="2"/>
    <s v="Embolizační spirály odpoutatelné neurointervenční II."/>
    <m/>
    <s v="33140000-3"/>
    <m/>
    <n v="141890.1"/>
    <x v="0"/>
    <d v="2019-12-04T00:00:00"/>
    <d v="2020-01-06T00:00:00"/>
    <m/>
    <m/>
    <m/>
    <m/>
    <m/>
    <m/>
    <m/>
    <m/>
    <m/>
    <m/>
    <x v="0"/>
    <m/>
    <m/>
  </r>
  <r>
    <m/>
    <m/>
    <d v="2019-09-04T00:00:00"/>
    <s v="VZ-2019-000953"/>
    <s v="LÉK"/>
    <s v="Ondráčková"/>
    <x v="355"/>
    <n v="1"/>
    <s v="Cetuximab"/>
    <m/>
    <s v="33652100-6"/>
    <m/>
    <n v="19686840"/>
    <x v="0"/>
    <d v="2019-09-23T00:00:00"/>
    <d v="2019-10-24T00:00:00"/>
    <d v="2019-11-12T00:00:00"/>
    <s v="Alliance Healthcare s.r.o."/>
    <m/>
    <n v="19686799.440000001"/>
    <n v="21655479.379999999"/>
    <m/>
    <m/>
    <m/>
    <d v="2019-11-13T00:00:00"/>
    <s v="SMLN-2019-617-000572"/>
    <x v="0"/>
    <m/>
    <m/>
  </r>
  <r>
    <m/>
    <m/>
    <d v="2019-09-04T00:00:00"/>
    <s v="VZ-2019-000954"/>
    <s v="LÉK"/>
    <s v="Ondráčková"/>
    <x v="356"/>
    <n v="1"/>
    <s v="Kobimetinib fumarát 2019 "/>
    <m/>
    <s v="33652000-5 "/>
    <m/>
    <n v="1483941"/>
    <x v="2"/>
    <d v="2019-09-10T00:00:00"/>
    <d v="2019-09-19T00:00:00"/>
    <d v="2019-10-03T00:00:00"/>
    <s v="ROCHE s.r.o."/>
    <m/>
    <n v="1483940.64"/>
    <n v="1632334.7039999999"/>
    <m/>
    <m/>
    <m/>
    <d v="2019-10-04T00:00:00"/>
    <s v="SMLN-2019-617-000476"/>
    <x v="141"/>
    <d v="2019-10-25T00:00:00"/>
    <d v="2021-10-22T00:00:00"/>
  </r>
  <r>
    <m/>
    <m/>
    <d v="2019-09-05T00:00:00"/>
    <s v="VZ-2019-000960"/>
    <s v="INV"/>
    <s v="Vzatek"/>
    <x v="357"/>
    <m/>
    <m/>
    <m/>
    <s v="71000000-8"/>
    <m/>
    <n v="1000000"/>
    <x v="2"/>
    <d v="2019-09-19T00:00:00"/>
    <d v="2019-10-01T00:00:00"/>
    <d v="2019-10-17T00:00:00"/>
    <s v="LT PROJEKT a.s."/>
    <m/>
    <n v="1900000"/>
    <n v="2299000"/>
    <m/>
    <m/>
    <m/>
    <d v="2019-10-17T00:00:00"/>
    <s v="SMLN-2019-618-000086"/>
    <x v="103"/>
    <d v="2019-11-14T00:00:00"/>
    <d v="2020-03-12T00:00:00"/>
  </r>
  <r>
    <m/>
    <m/>
    <d v="2019-09-02T00:00:00"/>
    <s v="VZ-2019-000964"/>
    <s v="LÉK"/>
    <s v="Ondráčková"/>
    <x v="358"/>
    <n v="1"/>
    <s v="Fampridin"/>
    <m/>
    <s v="33661700-8"/>
    <m/>
    <n v="281451.32"/>
    <x v="2"/>
    <d v="2019-09-10T00:00:00"/>
    <d v="2019-09-17T00:00:00"/>
    <d v="2019-10-03T00:00:00"/>
    <s v="Avenier a.s."/>
    <m/>
    <n v="280965.8"/>
    <n v="309062.38"/>
    <m/>
    <m/>
    <m/>
    <d v="2019-10-04T00:00:00"/>
    <s v="SMLN-2019-617-000481"/>
    <x v="142"/>
    <d v="2019-11-01T00:00:00"/>
    <d v="2021-10-16T00:00:00"/>
  </r>
  <r>
    <m/>
    <m/>
    <d v="2019-09-02T00:00:00"/>
    <s v="VZ-2019-000964"/>
    <s v="LÉK"/>
    <s v="Ondráčková"/>
    <x v="358"/>
    <n v="2"/>
    <s v="Tetrabenazin"/>
    <m/>
    <s v="33661700-8"/>
    <m/>
    <n v="310234.06"/>
    <x v="2"/>
    <d v="2019-09-10T00:00:00"/>
    <d v="2019-09-17T00:00:00"/>
    <d v="2019-10-03T00:00:00"/>
    <s v="Alliance Healthcare s.r.o."/>
    <m/>
    <n v="310202.88"/>
    <n v="341223.17"/>
    <m/>
    <m/>
    <m/>
    <d v="2019-10-04T00:00:00"/>
    <s v="SMLN-2019-617-000482"/>
    <x v="143"/>
    <d v="2019-11-19T00:00:00"/>
    <d v="2021-11-14T00:00:00"/>
  </r>
  <r>
    <m/>
    <m/>
    <d v="2019-09-02T00:00:00"/>
    <s v="VZ-2019-000964"/>
    <s v="LÉK"/>
    <s v="Ondráčková"/>
    <x v="358"/>
    <n v="3"/>
    <s v="Riluzol"/>
    <m/>
    <s v="33661700-8"/>
    <m/>
    <n v="470333.4"/>
    <x v="2"/>
    <d v="2019-09-10T00:00:00"/>
    <d v="2019-09-17T00:00:00"/>
    <d v="2019-10-03T00:00:00"/>
    <s v="PHARMOS, a.s."/>
    <m/>
    <n v="397633.32"/>
    <n v="437396.65"/>
    <m/>
    <m/>
    <m/>
    <d v="2019-10-04T00:00:00"/>
    <s v="SMLN-2019-617-000483"/>
    <x v="142"/>
    <d v="2019-11-01T00:00:00"/>
    <d v="2021-10-16T00:00:00"/>
  </r>
  <r>
    <m/>
    <m/>
    <d v="2019-09-06T00:00:00"/>
    <s v="VZ-2019-000968"/>
    <s v="ENERG"/>
    <s v="Srovnal"/>
    <x v="359"/>
    <m/>
    <m/>
    <m/>
    <s v="71200000-0"/>
    <m/>
    <n v="580000"/>
    <x v="2"/>
    <d v="2019-09-13T00:00:00"/>
    <d v="2019-09-19T00:00:00"/>
    <d v="2019-09-26T00:00:00"/>
    <s v="Ing. Zdeněk Smolka"/>
    <m/>
    <n v="626900"/>
    <n v="758549"/>
    <m/>
    <m/>
    <m/>
    <d v="2019-09-26T00:00:00"/>
    <s v="SMLN-2019-618-000083"/>
    <x v="120"/>
    <d v="2019-10-22T00:00:00"/>
    <d v="2020-01-19T00:00:00"/>
  </r>
  <r>
    <m/>
    <m/>
    <d v="2019-09-09T00:00:00"/>
    <s v="VZ-2019-000979"/>
    <s v="VŠEOB"/>
    <s v="Smrčková"/>
    <x v="360"/>
    <m/>
    <m/>
    <m/>
    <s v="39120000-9"/>
    <m/>
    <n v="990000"/>
    <x v="0"/>
    <d v="2019-10-02T00:00:00"/>
    <d v="2019-10-29T00:00:00"/>
    <d v="2019-11-18T00:00:00"/>
    <s v="KSK Nábytek s.r.o."/>
    <m/>
    <n v="1209763"/>
    <n v="1463813.23"/>
    <m/>
    <m/>
    <m/>
    <d v="2019-11-18T00:00:00"/>
    <s v="SMLN-2019-618-000100"/>
    <x v="0"/>
    <m/>
    <m/>
  </r>
  <r>
    <m/>
    <m/>
    <d v="2019-09-10T00:00:00"/>
    <s v="VZ-2019-000980"/>
    <s v="OSB"/>
    <s v="Vaida"/>
    <x v="361"/>
    <m/>
    <m/>
    <m/>
    <s v="32570000-9"/>
    <m/>
    <n v="350000"/>
    <x v="2"/>
    <d v="2019-09-16T00:00:00"/>
    <d v="2019-09-24T00:00:00"/>
    <d v="2019-09-26T00:00:00"/>
    <s v="CODACO ELECTRONIC s.r.o."/>
    <m/>
    <n v="326999.83"/>
    <n v="395669.79"/>
    <m/>
    <m/>
    <m/>
    <d v="2019-09-26T00:00:00"/>
    <s v="SMLN-2019-618-000085"/>
    <x v="133"/>
    <d v="2019-10-21T00:00:00"/>
    <d v="2019-11-19T00:00:00"/>
  </r>
  <r>
    <m/>
    <m/>
    <d v="2019-09-10T00:00:00"/>
    <s v="VZ-2019-000981"/>
    <s v="OSB"/>
    <s v="Vaida"/>
    <x v="362"/>
    <m/>
    <m/>
    <m/>
    <s v="45432210-9 "/>
    <m/>
    <n v="600000"/>
    <x v="2"/>
    <d v="2019-10-01T00:00:00"/>
    <d v="2019-10-10T00:00:00"/>
    <d v="2019-10-17T00:00:00"/>
    <s v="INVISTA Craft s.r.o."/>
    <m/>
    <n v="545847"/>
    <n v="660475"/>
    <m/>
    <m/>
    <m/>
    <d v="2019-10-17T00:00:00"/>
    <s v="SMLN-2019-617-000510"/>
    <x v="144"/>
    <d v="2019-12-19T00:00:00"/>
    <d v="2020-02-02T00:00:00"/>
  </r>
  <r>
    <m/>
    <m/>
    <s v="opakovaná VZ"/>
    <s v="VZ-2019-000982"/>
    <s v="ZM"/>
    <s v="Čech"/>
    <x v="363"/>
    <m/>
    <m/>
    <m/>
    <s v="33140000-3"/>
    <m/>
    <n v="1484500"/>
    <x v="1"/>
    <d v="2019-10-31T00:00:00"/>
    <d v="2019-11-25T00:00:00"/>
    <m/>
    <s v="zrušeno - překročení ceny"/>
    <m/>
    <m/>
    <m/>
    <m/>
    <m/>
    <m/>
    <m/>
    <m/>
    <x v="0"/>
    <d v="2019-11-28T00:00:00"/>
    <s v="25.11. zrušení na podpis"/>
  </r>
  <r>
    <m/>
    <m/>
    <d v="2019-09-06T00:00:00"/>
    <s v="VZ-2019-000984"/>
    <s v="IROP"/>
    <s v="Neudörflerová"/>
    <x v="364"/>
    <m/>
    <m/>
    <m/>
    <s v="33124120-2"/>
    <m/>
    <n v="1672092.56"/>
    <x v="0"/>
    <d v="2019-09-27T00:00:00"/>
    <d v="2019-10-29T00:00:00"/>
    <d v="2019-11-27T00:00:00"/>
    <s v="BIONIK Stapro Group s.r.o."/>
    <m/>
    <n v="1515550"/>
    <n v="1833815.5"/>
    <m/>
    <m/>
    <m/>
    <d v="2019-11-28T00:00:00"/>
    <s v="SMLN-2019-617-000604_x000a_SMLN-2019-612-000161"/>
    <x v="0"/>
    <m/>
    <m/>
  </r>
  <r>
    <m/>
    <m/>
    <d v="2019-09-06T00:00:00"/>
    <s v="VZ-2019-000986"/>
    <s v="IROP"/>
    <s v="Neudörflerová"/>
    <x v="365"/>
    <n v="1"/>
    <s v="Fototerapeutická jednotka"/>
    <m/>
    <s v="33190000-8"/>
    <m/>
    <n v="165495.85999999999"/>
    <x v="0"/>
    <d v="2019-09-27T00:00:00"/>
    <d v="2019-10-30T00:00:00"/>
    <m/>
    <s v="zrušeno - bez nabídky"/>
    <m/>
    <m/>
    <m/>
    <m/>
    <m/>
    <m/>
    <m/>
    <m/>
    <x v="0"/>
    <d v="2019-11-05T00:00:00"/>
    <s v="4.11. zrušeno"/>
  </r>
  <r>
    <m/>
    <m/>
    <d v="2019-09-06T00:00:00"/>
    <s v="VZ-2019-000986"/>
    <s v="IROP"/>
    <s v="Neudörflerová"/>
    <x v="365"/>
    <n v="2"/>
    <s v="Fototerapeutická jednotka mobilní"/>
    <m/>
    <s v="33190000-8"/>
    <m/>
    <n v="197923.96"/>
    <x v="0"/>
    <d v="2019-09-27T00:00:00"/>
    <d v="2019-10-30T00:00:00"/>
    <d v="2019-10-31T00:00:00"/>
    <s v="S+T Plus s.r.o."/>
    <m/>
    <n v="206088"/>
    <n v="249366.48"/>
    <m/>
    <m/>
    <m/>
    <d v="2019-10-31T00:00:00"/>
    <s v="SMLN-2019-617-000547_x000a_SMLN-2019-612-000140"/>
    <x v="139"/>
    <d v="2019-12-12T00:00:00"/>
    <d v="2020-02-05T00:00:00"/>
  </r>
  <r>
    <m/>
    <m/>
    <d v="2019-09-06T00:00:00"/>
    <s v="VZ-2019-000986"/>
    <s v="IROP"/>
    <s v="Neudörflerová"/>
    <x v="365"/>
    <n v="3"/>
    <s v="Fototerapeutická jednotka mobilní – kompaktní lampa"/>
    <m/>
    <s v="33190000-8"/>
    <m/>
    <n v="154571.9"/>
    <x v="0"/>
    <d v="2019-09-27T00:00:00"/>
    <d v="2019-10-30T00:00:00"/>
    <d v="2019-10-31T00:00:00"/>
    <s v="S+T Plus s.r.o."/>
    <m/>
    <n v="162960"/>
    <n v="197181.6"/>
    <m/>
    <m/>
    <m/>
    <d v="2019-10-31T00:00:00"/>
    <s v="SMLN-2019-617-000548_x000a_SMLN-2019-612-000141"/>
    <x v="139"/>
    <d v="2019-12-12T00:00:00"/>
    <d v="2020-02-05T00:00:00"/>
  </r>
  <r>
    <m/>
    <m/>
    <d v="2019-09-06T00:00:00"/>
    <s v="VZ-2019-000987"/>
    <s v="IROP"/>
    <s v="Neudörflerová"/>
    <x v="366"/>
    <n v="1"/>
    <s v="Instrumentárium porodní "/>
    <m/>
    <s v="33169000-2 "/>
    <m/>
    <n v="941148.76"/>
    <x v="0"/>
    <d v="2019-09-27T00:00:00"/>
    <d v="2019-12-02T00:00:00"/>
    <d v="2019-12-19T00:00:00"/>
    <s v="MEDILAB s.r.o."/>
    <m/>
    <n v="649378.56000000006"/>
    <n v="785748.05760000006"/>
    <m/>
    <m/>
    <m/>
    <d v="2019-12-19T00:00:00"/>
    <s v="SMLN-2019-617-000659"/>
    <x v="0"/>
    <m/>
    <m/>
  </r>
  <r>
    <m/>
    <m/>
    <d v="2019-09-06T00:00:00"/>
    <s v="VZ-2019-000987"/>
    <s v="IROP"/>
    <s v="Neudörflerová"/>
    <x v="366"/>
    <n v="2"/>
    <s v="Instrumentárium pro císařský řez"/>
    <m/>
    <s v="33169000-2 "/>
    <m/>
    <n v="182823.14"/>
    <x v="0"/>
    <d v="2019-09-27T00:00:00"/>
    <d v="2019-12-02T00:00:00"/>
    <d v="2019-12-19T00:00:00"/>
    <s v="LaparoTech Instruments s.r.o."/>
    <m/>
    <n v="119000"/>
    <n v="143990"/>
    <m/>
    <m/>
    <m/>
    <d v="2019-12-19T00:00:00"/>
    <s v="SMLN-2019-617-000660"/>
    <x v="0"/>
    <m/>
    <m/>
  </r>
  <r>
    <m/>
    <m/>
    <d v="2019-09-13T00:00:00"/>
    <s v="VZ-2019-000995"/>
    <s v="INV"/>
    <s v="Spáčil"/>
    <x v="367"/>
    <m/>
    <m/>
    <m/>
    <s v="34923000-3"/>
    <s v="4.3.1."/>
    <n v="11500000"/>
    <x v="0"/>
    <d v="2019-10-02T00:00:00"/>
    <d v="2019-11-06T00:00:00"/>
    <d v="2019-12-13T00:00:00"/>
    <s v="Green Center s.r.o."/>
    <m/>
    <n v="11475709"/>
    <n v="13885607.890000001"/>
    <m/>
    <m/>
    <m/>
    <d v="2019-12-17T00:00:00"/>
    <s v="SMLN-2019-618-000113_x000a_SMLN-2019-612-000167"/>
    <x v="0"/>
    <m/>
    <m/>
  </r>
  <r>
    <m/>
    <m/>
    <d v="2019-09-13T00:00:00"/>
    <s v="VZ-2019-000997"/>
    <s v="LÉK"/>
    <s v="Ondráčková"/>
    <x v="368"/>
    <m/>
    <s v="VZ-2020-000055"/>
    <m/>
    <s v="33141625-7"/>
    <m/>
    <n v="1440000"/>
    <x v="2"/>
    <m/>
    <m/>
    <m/>
    <m/>
    <m/>
    <m/>
    <m/>
    <m/>
    <m/>
    <m/>
    <m/>
    <m/>
    <x v="0"/>
    <m/>
    <m/>
  </r>
  <r>
    <m/>
    <m/>
    <d v="2019-09-17T00:00:00"/>
    <s v="VZ-2019-001005"/>
    <s v="ZM"/>
    <s v="Dočkalová"/>
    <x v="369"/>
    <m/>
    <m/>
    <m/>
    <s v="33140000-3"/>
    <m/>
    <n v="725000"/>
    <x v="2"/>
    <d v="2019-09-25T00:00:00"/>
    <d v="2019-10-08T00:00:00"/>
    <d v="2019-10-29T00:00:00"/>
    <s v="BS PRAGUE MEDICAL CS, spol. s r.o."/>
    <m/>
    <n v="630000"/>
    <n v="762300"/>
    <m/>
    <m/>
    <m/>
    <d v="2019-10-30T00:00:00"/>
    <s v="SMLN-2019-617-000533_x000a_SMLN-2019-612-000131"/>
    <x v="88"/>
    <d v="2019-12-02T00:00:00"/>
    <d v="2021-11-24T00:00:00"/>
  </r>
  <r>
    <m/>
    <m/>
    <d v="2019-09-06T00:00:00"/>
    <s v="VZ-2019-001011"/>
    <s v="ZM"/>
    <s v="Dočkalová"/>
    <x v="370"/>
    <m/>
    <m/>
    <m/>
    <s v="33140000-3"/>
    <m/>
    <n v="285180"/>
    <x v="2"/>
    <d v="2019-09-24T00:00:00"/>
    <d v="2019-10-04T00:00:00"/>
    <m/>
    <m/>
    <m/>
    <m/>
    <m/>
    <m/>
    <m/>
    <m/>
    <m/>
    <m/>
    <x v="0"/>
    <m/>
    <m/>
  </r>
  <r>
    <m/>
    <m/>
    <s v="bez formuláře"/>
    <s v="VZ-2019-001019"/>
    <s v="ZT"/>
    <s v="Rosulek"/>
    <x v="371"/>
    <n v="1"/>
    <s v="VZ-2020-000033"/>
    <m/>
    <s v="33161000-6"/>
    <s v="2.3.377."/>
    <n v="3245000"/>
    <x v="0"/>
    <m/>
    <m/>
    <m/>
    <m/>
    <m/>
    <m/>
    <m/>
    <m/>
    <m/>
    <m/>
    <m/>
    <m/>
    <x v="0"/>
    <m/>
    <m/>
  </r>
  <r>
    <m/>
    <m/>
    <s v="bez formuláře"/>
    <s v="VZ-2019-001019"/>
    <s v="ZT"/>
    <s v="Rosulek"/>
    <x v="371"/>
    <n v="2"/>
    <s v="VZ-2020-000033"/>
    <m/>
    <s v="33161000-6"/>
    <s v="2.2.234., 2.3.370."/>
    <n v="1730000"/>
    <x v="0"/>
    <m/>
    <m/>
    <m/>
    <m/>
    <m/>
    <m/>
    <m/>
    <m/>
    <m/>
    <m/>
    <m/>
    <m/>
    <x v="0"/>
    <m/>
    <m/>
  </r>
  <r>
    <m/>
    <m/>
    <d v="2019-09-25T00:00:00"/>
    <s v="VZ-2019-001020"/>
    <s v="ZT"/>
    <s v="Rosulek"/>
    <x v="372"/>
    <m/>
    <m/>
    <m/>
    <s v="33157400-9"/>
    <s v="2.3.119."/>
    <n v="1134000"/>
    <x v="2"/>
    <d v="2019-09-26T00:00:00"/>
    <d v="2019-10-04T00:00:00"/>
    <m/>
    <s v="zrušeno - bez nabídky, nová VZ-2019-001071"/>
    <m/>
    <m/>
    <m/>
    <m/>
    <m/>
    <m/>
    <m/>
    <m/>
    <x v="0"/>
    <d v="2019-10-04T00:00:00"/>
    <m/>
  </r>
  <r>
    <m/>
    <m/>
    <d v="2019-09-25T00:00:00"/>
    <s v="VZ-2019-001021"/>
    <s v="ZT"/>
    <s v="Rosulek"/>
    <x v="373"/>
    <m/>
    <m/>
    <m/>
    <s v="33158000-2"/>
    <s v="2.2.194."/>
    <n v="2670000"/>
    <x v="1"/>
    <d v="2019-10-07T00:00:00"/>
    <d v="2019-10-25T00:00:00"/>
    <d v="2019-12-11T00:00:00"/>
    <s v="Boston Scientific Česká Republika s.r.o."/>
    <m/>
    <n v="2668900"/>
    <n v="3229369"/>
    <m/>
    <m/>
    <m/>
    <d v="2019-12-12T00:00:00"/>
    <s v="SMLN-2019-617-000637_x000a_SMLN-2019-612-000165"/>
    <x v="0"/>
    <m/>
    <m/>
  </r>
  <r>
    <m/>
    <m/>
    <d v="2019-09-25T00:00:00"/>
    <s v="VZ-2019-001022"/>
    <s v="ZT"/>
    <s v="Rosulek"/>
    <x v="374"/>
    <m/>
    <m/>
    <m/>
    <s v="33910000-2"/>
    <s v="2.3.403."/>
    <n v="305000"/>
    <x v="2"/>
    <d v="2019-10-02T00:00:00"/>
    <d v="2019-10-15T00:00:00"/>
    <d v="2019-11-05T00:00:00"/>
    <s v="BARIA s.r.o."/>
    <m/>
    <n v="290770"/>
    <n v="351831.7"/>
    <m/>
    <m/>
    <m/>
    <d v="2019-11-05T00:00:00"/>
    <s v="SMLN-2019-617-000554_x000a_SMLN-2019-612-000146"/>
    <x v="136"/>
    <d v="2019-12-11T00:00:00"/>
    <d v="2020-01-14T00:00:00"/>
  </r>
  <r>
    <m/>
    <m/>
    <d v="2019-09-25T00:00:00"/>
    <s v="VZ-2019-001023"/>
    <s v="ZT"/>
    <s v="Rosulek"/>
    <x v="375"/>
    <m/>
    <m/>
    <m/>
    <s v="33153000-7"/>
    <s v="2.3.369."/>
    <n v="1138000"/>
    <x v="2"/>
    <d v="2019-09-26T00:00:00"/>
    <d v="2019-10-04T00:00:00"/>
    <d v="2019-10-30T00:00:00"/>
    <s v="Olympus Czech Group, s.r.o."/>
    <m/>
    <n v="906662"/>
    <n v="1097061.02"/>
    <m/>
    <m/>
    <m/>
    <d v="2019-10-30T00:00:00"/>
    <s v="SMLN-2019-617-000534_x000a_SMLN-2019-612-000132"/>
    <x v="88"/>
    <d v="2019-12-02T00:00:00"/>
    <d v="2020-01-24T00:00:00"/>
  </r>
  <r>
    <m/>
    <m/>
    <d v="2019-09-23T00:00:00"/>
    <s v="VZ-2019-001027"/>
    <s v="ZM"/>
    <s v="Dočkalová"/>
    <x v="376"/>
    <m/>
    <s v="VZ-2020-000160"/>
    <m/>
    <s v="33141310-6"/>
    <m/>
    <n v="11160000"/>
    <x v="0"/>
    <m/>
    <m/>
    <m/>
    <m/>
    <m/>
    <m/>
    <m/>
    <m/>
    <m/>
    <m/>
    <m/>
    <m/>
    <x v="0"/>
    <m/>
    <m/>
  </r>
  <r>
    <m/>
    <m/>
    <d v="2019-09-23T00:00:00"/>
    <s v="VZ-2019-001028"/>
    <s v="LÉK"/>
    <s v="Ondráčková"/>
    <x v="377"/>
    <n v="1"/>
    <s v="Thymoglobuline"/>
    <m/>
    <s v="33652300-8"/>
    <m/>
    <n v="5455972"/>
    <x v="0"/>
    <d v="2019-10-30T00:00:00"/>
    <d v="2019-12-02T00:00:00"/>
    <m/>
    <m/>
    <m/>
    <m/>
    <m/>
    <m/>
    <m/>
    <m/>
    <m/>
    <m/>
    <x v="0"/>
    <m/>
    <m/>
  </r>
  <r>
    <m/>
    <m/>
    <d v="2019-09-23T00:00:00"/>
    <s v="VZ-2019-001028"/>
    <s v="LÉK"/>
    <s v="Ondráčková"/>
    <x v="377"/>
    <n v="2"/>
    <s v="Tofacitinib-citrát"/>
    <m/>
    <s v="33652300-8"/>
    <m/>
    <n v="780222"/>
    <x v="0"/>
    <d v="2019-10-30T00:00:00"/>
    <d v="2019-12-02T00:00:00"/>
    <m/>
    <m/>
    <m/>
    <m/>
    <m/>
    <m/>
    <m/>
    <m/>
    <m/>
    <m/>
    <x v="0"/>
    <m/>
    <m/>
  </r>
  <r>
    <m/>
    <m/>
    <d v="2019-09-23T00:00:00"/>
    <s v="VZ-2019-001028"/>
    <s v="LÉK"/>
    <s v="Ondráčková"/>
    <x v="377"/>
    <n v="3"/>
    <s v="Barcitinib"/>
    <m/>
    <s v="33652300-8"/>
    <m/>
    <n v="2461943"/>
    <x v="0"/>
    <d v="2019-10-30T00:00:00"/>
    <d v="2019-12-02T00:00:00"/>
    <m/>
    <s v="zrušeno - bez nabídky"/>
    <m/>
    <m/>
    <m/>
    <m/>
    <m/>
    <m/>
    <m/>
    <m/>
    <x v="0"/>
    <d v="2020-01-16T00:00:00"/>
    <s v="3.1.2020 zrušeno"/>
  </r>
  <r>
    <m/>
    <m/>
    <d v="2019-09-23T00:00:00"/>
    <s v="VZ-2019-001028"/>
    <s v="LÉK"/>
    <s v="Ondráčková"/>
    <x v="377"/>
    <n v="4"/>
    <s v="Kladribin"/>
    <m/>
    <s v="33652300-8"/>
    <m/>
    <n v="20852269"/>
    <x v="0"/>
    <d v="2019-10-30T00:00:00"/>
    <d v="2019-12-02T00:00:00"/>
    <m/>
    <s v="zrušeno - bez nabídky"/>
    <m/>
    <m/>
    <m/>
    <m/>
    <m/>
    <m/>
    <m/>
    <m/>
    <x v="0"/>
    <d v="2020-01-16T00:00:00"/>
    <s v="3.1.2020 zrušeno"/>
  </r>
  <r>
    <m/>
    <m/>
    <d v="2019-09-23T00:00:00"/>
    <s v="VZ-2019-001028"/>
    <s v="LÉK"/>
    <s v="Ondráčková"/>
    <x v="377"/>
    <n v="5"/>
    <s v="Leflunopharm"/>
    <m/>
    <s v="33652300-8"/>
    <m/>
    <n v="300491"/>
    <x v="0"/>
    <d v="2019-10-30T00:00:00"/>
    <d v="2019-12-02T00:00:00"/>
    <m/>
    <m/>
    <m/>
    <m/>
    <m/>
    <m/>
    <m/>
    <m/>
    <m/>
    <m/>
    <x v="0"/>
    <m/>
    <m/>
  </r>
  <r>
    <m/>
    <m/>
    <d v="2019-09-23T00:00:00"/>
    <s v="VZ-2019-001030"/>
    <s v="LÉK"/>
    <s v="Ondráčková"/>
    <x v="378"/>
    <n v="1"/>
    <s v="Duodopa"/>
    <m/>
    <s v="33661400-5"/>
    <m/>
    <n v="21227976"/>
    <x v="0"/>
    <d v="2019-10-22T00:00:00"/>
    <d v="2019-11-28T00:00:00"/>
    <m/>
    <s v="PHOENIX lékárenský velkoobchod, s.r.o."/>
    <m/>
    <n v="21226705.920000002"/>
    <n v="23349376.510000002"/>
    <m/>
    <m/>
    <m/>
    <m/>
    <m/>
    <x v="0"/>
    <m/>
    <m/>
  </r>
  <r>
    <m/>
    <m/>
    <d v="2019-09-23T00:00:00"/>
    <s v="VZ-2019-001030"/>
    <s v="LÉK"/>
    <s v="Ondráčková"/>
    <x v="378"/>
    <n v="2"/>
    <s v="Isicom"/>
    <m/>
    <s v="33661400-5"/>
    <m/>
    <n v="1061705"/>
    <x v="0"/>
    <d v="2019-10-22T00:00:00"/>
    <d v="2019-11-28T00:00:00"/>
    <m/>
    <s v="PHARMOS a.s."/>
    <m/>
    <n v="1057645.1599999999"/>
    <n v="1163409.68"/>
    <m/>
    <m/>
    <m/>
    <m/>
    <m/>
    <x v="0"/>
    <m/>
    <m/>
  </r>
  <r>
    <m/>
    <m/>
    <d v="2019-09-23T00:00:00"/>
    <s v="VZ-2019-001030"/>
    <s v="LÉK"/>
    <s v="Ondráčková"/>
    <x v="378"/>
    <n v="3"/>
    <s v="Madopar"/>
    <m/>
    <s v="33661400-5"/>
    <m/>
    <n v="65635"/>
    <x v="0"/>
    <d v="2019-10-22T00:00:00"/>
    <d v="2019-11-28T00:00:00"/>
    <m/>
    <s v="PHARMOS a.s."/>
    <m/>
    <n v="65363.72"/>
    <n v="71900.09"/>
    <m/>
    <m/>
    <m/>
    <m/>
    <m/>
    <x v="0"/>
    <m/>
    <m/>
  </r>
  <r>
    <m/>
    <m/>
    <d v="2019-09-23T00:00:00"/>
    <s v="VZ-2019-001030"/>
    <s v="LÉK"/>
    <s v="Ondráčková"/>
    <x v="378"/>
    <n v="4"/>
    <s v="Nakom Mite"/>
    <m/>
    <s v="33661400-5"/>
    <m/>
    <n v="335356"/>
    <x v="0"/>
    <d v="2019-10-22T00:00:00"/>
    <d v="2019-11-28T00:00:00"/>
    <m/>
    <s v="zrušeno - bez nabídky"/>
    <m/>
    <m/>
    <m/>
    <m/>
    <m/>
    <m/>
    <m/>
    <m/>
    <x v="0"/>
    <d v="2020-01-03T00:00:00"/>
    <s v="6.12. zrušeno"/>
  </r>
  <r>
    <m/>
    <m/>
    <d v="2019-09-23T00:00:00"/>
    <s v="VZ-2019-001030"/>
    <s v="LÉK"/>
    <s v="Ondráčková"/>
    <x v="378"/>
    <n v="5"/>
    <s v="Nakom  "/>
    <m/>
    <s v="33661400-5"/>
    <m/>
    <n v="205618"/>
    <x v="0"/>
    <d v="2019-10-22T00:00:00"/>
    <d v="2019-11-28T00:00:00"/>
    <m/>
    <s v="zrušeno - bez nabídky"/>
    <m/>
    <m/>
    <m/>
    <m/>
    <m/>
    <m/>
    <m/>
    <m/>
    <x v="0"/>
    <d v="2020-01-03T00:00:00"/>
    <s v="6.12. zrušeno"/>
  </r>
  <r>
    <m/>
    <m/>
    <d v="2019-09-24T00:00:00"/>
    <s v="VZ-2019-001041"/>
    <s v="KVAL"/>
    <s v="Kotzot"/>
    <x v="379"/>
    <m/>
    <m/>
    <m/>
    <s v="71631000-0"/>
    <m/>
    <n v="800000"/>
    <x v="2"/>
    <m/>
    <m/>
    <m/>
    <m/>
    <m/>
    <m/>
    <m/>
    <m/>
    <m/>
    <m/>
    <m/>
    <m/>
    <x v="0"/>
    <m/>
    <m/>
  </r>
  <r>
    <m/>
    <m/>
    <d v="2019-09-25T00:00:00"/>
    <s v="VZ-2019-001044"/>
    <s v="ENERG"/>
    <s v="Srovnal"/>
    <x v="380"/>
    <m/>
    <m/>
    <m/>
    <s v="38430000-8"/>
    <m/>
    <n v="1000000"/>
    <x v="2"/>
    <d v="2019-10-01T00:00:00"/>
    <d v="2019-10-11T00:00:00"/>
    <d v="2019-10-18T00:00:00"/>
    <s v="Dräger Medical s.r.o."/>
    <m/>
    <n v="930000"/>
    <n v="1125300"/>
    <m/>
    <m/>
    <m/>
    <d v="2019-10-21T00:00:00"/>
    <s v="SMLN-2019-617-000526"/>
    <x v="134"/>
    <d v="2019-11-22T00:00:00"/>
    <d v="2020-01-28T00:00:00"/>
  </r>
  <r>
    <m/>
    <m/>
    <d v="2019-09-27T00:00:00"/>
    <s v="VZ-2019-001048"/>
    <s v="OSB"/>
    <s v="Vaida"/>
    <x v="381"/>
    <n v="1"/>
    <s v="Oprava střešního pláště na hale RZH na Tabulovém vrchu"/>
    <m/>
    <s v="45261910-6"/>
    <m/>
    <n v="1350000"/>
    <x v="2"/>
    <d v="2019-10-01T00:00:00"/>
    <d v="2019-10-09T00:00:00"/>
    <d v="2019-10-17T00:00:00"/>
    <s v="VESTAV group s.r.o."/>
    <m/>
    <n v="941441.02"/>
    <n v="1139143.6299999999"/>
    <m/>
    <m/>
    <m/>
    <d v="2019-10-17T00:00:00"/>
    <s v="SMLN-2019-618-000088"/>
    <x v="103"/>
    <d v="2019-11-14T00:00:00"/>
    <d v="2019-12-24T00:00:00"/>
  </r>
  <r>
    <m/>
    <m/>
    <d v="2019-09-27T00:00:00"/>
    <s v="VZ-2019-001048"/>
    <s v="OSB"/>
    <s v="Vaida"/>
    <x v="381"/>
    <n v="2"/>
    <s v="Oprava střešního pláště na garážích RZJ na Tabulovém vrchu"/>
    <m/>
    <s v="45261910-6"/>
    <m/>
    <n v="690000"/>
    <x v="2"/>
    <d v="2019-10-01T00:00:00"/>
    <d v="2019-10-09T00:00:00"/>
    <d v="2019-10-17T00:00:00"/>
    <s v="SOPAT CZ, spol. s r.o."/>
    <m/>
    <n v="394177.04"/>
    <n v="476954.22"/>
    <m/>
    <m/>
    <m/>
    <d v="2019-10-17T00:00:00"/>
    <s v="SMLN-2019-618-000087"/>
    <x v="123"/>
    <d v="2019-11-12T00:00:00"/>
    <d v="2019-12-16T00:00:00"/>
  </r>
  <r>
    <m/>
    <m/>
    <d v="2019-10-01T00:00:00"/>
    <s v="VZ-2019-001052"/>
    <s v="ZT"/>
    <s v="Rosulek"/>
    <x v="382"/>
    <m/>
    <m/>
    <m/>
    <s v="33160000-9"/>
    <s v="2.2.241."/>
    <n v="1300000"/>
    <x v="2"/>
    <d v="2019-10-04T00:00:00"/>
    <d v="2019-10-17T00:00:00"/>
    <d v="2019-11-12T00:00:00"/>
    <s v="Ing. Aleš Závorka"/>
    <m/>
    <n v="1293268"/>
    <n v="1564854.28"/>
    <m/>
    <m/>
    <m/>
    <d v="2019-11-13T00:00:00"/>
    <s v="SMLN-2019-617-000570_x000a_SMLN-2019-612-000154"/>
    <x v="145"/>
    <d v="2019-12-09T00:00:00"/>
    <d v="2020-01-03T00:00:00"/>
  </r>
  <r>
    <m/>
    <m/>
    <d v="2019-10-01T00:00:00"/>
    <s v="VZ-2019-001053"/>
    <s v="ZT"/>
    <s v="Rosulek"/>
    <x v="383"/>
    <m/>
    <m/>
    <m/>
    <s v="33123220-6"/>
    <s v="2.3.302."/>
    <n v="37230000"/>
    <x v="0"/>
    <m/>
    <m/>
    <m/>
    <m/>
    <m/>
    <m/>
    <m/>
    <m/>
    <m/>
    <m/>
    <m/>
    <m/>
    <x v="0"/>
    <m/>
    <m/>
  </r>
  <r>
    <m/>
    <m/>
    <d v="2019-10-01T00:00:00"/>
    <s v="VZ-2019-001056"/>
    <s v="VŠEOB"/>
    <s v="Smrčková"/>
    <x v="384"/>
    <m/>
    <m/>
    <m/>
    <s v="33141620-2"/>
    <m/>
    <n v="2735780"/>
    <x v="1"/>
    <d v="2019-12-12T00:00:00"/>
    <d v="2020-01-16T00:00:00"/>
    <m/>
    <m/>
    <m/>
    <m/>
    <m/>
    <m/>
    <m/>
    <m/>
    <m/>
    <m/>
    <x v="0"/>
    <m/>
    <m/>
  </r>
  <r>
    <m/>
    <m/>
    <d v="2019-10-25T00:00:00"/>
    <s v="VZ-2019-001058"/>
    <s v="INF"/>
    <s v="Oravec"/>
    <x v="385"/>
    <m/>
    <m/>
    <m/>
    <s v="30213500-0"/>
    <s v="3.2.36."/>
    <n v="3383400"/>
    <x v="1"/>
    <d v="2019-12-12T00:00:00"/>
    <d v="2020-01-09T00:00:00"/>
    <m/>
    <m/>
    <m/>
    <m/>
    <m/>
    <m/>
    <m/>
    <m/>
    <m/>
    <m/>
    <x v="0"/>
    <m/>
    <m/>
  </r>
  <r>
    <m/>
    <m/>
    <d v="2019-10-02T00:00:00"/>
    <s v="VZ-2019-001060"/>
    <s v="PERS"/>
    <s v="Odehnalová"/>
    <x v="386"/>
    <m/>
    <m/>
    <m/>
    <s v="55110000-4"/>
    <m/>
    <n v="500000"/>
    <x v="2"/>
    <d v="2019-10-08T00:00:00"/>
    <d v="2019-10-15T00:00:00"/>
    <d v="2019-10-22T00:00:00"/>
    <s v="Marie Hrochová"/>
    <m/>
    <n v="479338.84297520661"/>
    <n v="580000"/>
    <m/>
    <m/>
    <m/>
    <d v="2019-10-22T00:00:00"/>
    <s v="SMLN-2019-612-000127"/>
    <x v="146"/>
    <d v="2019-11-04T00:00:00"/>
    <d v="2019-11-29T00:00:00"/>
  </r>
  <r>
    <m/>
    <m/>
    <d v="2019-10-02T00:00:00"/>
    <s v="VZ-2019-001061"/>
    <s v="ZM"/>
    <s v="Dočkalová"/>
    <x v="387"/>
    <m/>
    <s v="VZ-2020-000032"/>
    <m/>
    <s v="33140000-3"/>
    <m/>
    <n v="4382693"/>
    <x v="0"/>
    <m/>
    <m/>
    <m/>
    <m/>
    <m/>
    <m/>
    <m/>
    <m/>
    <m/>
    <m/>
    <m/>
    <m/>
    <x v="0"/>
    <m/>
    <m/>
  </r>
  <r>
    <m/>
    <m/>
    <d v="2019-10-03T00:00:00"/>
    <s v="VZ-2019-001067"/>
    <s v="ZT"/>
    <s v="Rosulek"/>
    <x v="388"/>
    <m/>
    <m/>
    <m/>
    <s v="33158210-7"/>
    <s v="2.2.227."/>
    <n v="1802893"/>
    <x v="2"/>
    <m/>
    <m/>
    <m/>
    <m/>
    <m/>
    <m/>
    <m/>
    <m/>
    <m/>
    <m/>
    <m/>
    <m/>
    <x v="0"/>
    <m/>
    <m/>
  </r>
  <r>
    <m/>
    <m/>
    <d v="2019-10-04T00:00:00"/>
    <s v="VZ-2019-001071"/>
    <s v="ZT"/>
    <s v="Rosulek"/>
    <x v="389"/>
    <m/>
    <m/>
    <m/>
    <s v="33157400-9"/>
    <s v="2.3.119."/>
    <n v="1134000"/>
    <x v="2"/>
    <m/>
    <m/>
    <m/>
    <m/>
    <m/>
    <m/>
    <m/>
    <m/>
    <m/>
    <m/>
    <m/>
    <m/>
    <x v="0"/>
    <m/>
    <m/>
  </r>
  <r>
    <m/>
    <m/>
    <d v="2019-10-07T00:00:00"/>
    <s v="VZ-2019-001075"/>
    <s v="ZM"/>
    <s v="Dočkalová"/>
    <x v="390"/>
    <m/>
    <s v="VZ-2020-000030"/>
    <m/>
    <s v="33162200-5"/>
    <m/>
    <n v="900000"/>
    <x v="0"/>
    <m/>
    <m/>
    <m/>
    <m/>
    <m/>
    <m/>
    <m/>
    <m/>
    <m/>
    <m/>
    <m/>
    <m/>
    <x v="0"/>
    <m/>
    <m/>
  </r>
  <r>
    <m/>
    <m/>
    <d v="2019-10-07T00:00:00"/>
    <s v="VZ-2019-001076"/>
    <s v="VŠEOB"/>
    <s v="Smrčková"/>
    <x v="391"/>
    <m/>
    <m/>
    <m/>
    <s v="33141620-2 "/>
    <m/>
    <n v="13519000"/>
    <x v="0"/>
    <m/>
    <m/>
    <m/>
    <m/>
    <m/>
    <m/>
    <m/>
    <m/>
    <m/>
    <m/>
    <m/>
    <m/>
    <x v="0"/>
    <m/>
    <m/>
  </r>
  <r>
    <m/>
    <m/>
    <d v="2019-10-08T00:00:00"/>
    <s v="VZ-2019-001077"/>
    <s v="ZP"/>
    <s v="Novák"/>
    <x v="392"/>
    <m/>
    <m/>
    <m/>
    <s v="33192300-5 "/>
    <m/>
    <n v="900000"/>
    <x v="2"/>
    <d v="2019-10-14T00:00:00"/>
    <d v="2019-10-25T00:00:00"/>
    <d v="2019-11-29T00:00:00"/>
    <s v="Maro - Mader s.r.o."/>
    <m/>
    <n v="753094"/>
    <n v="911243.74"/>
    <m/>
    <m/>
    <m/>
    <d v="2019-11-29T00:00:00"/>
    <s v="SMLN-2019-617-000606"/>
    <x v="139"/>
    <d v="2019-12-18T00:00:00"/>
    <d v="2020-02-05T00:00:00"/>
  </r>
  <r>
    <m/>
    <m/>
    <d v="2019-10-15T00:00:00"/>
    <s v="VZ-2019-001107"/>
    <s v="ENERG"/>
    <s v="Srovnal"/>
    <x v="393"/>
    <m/>
    <m/>
    <m/>
    <s v="50532400-7"/>
    <m/>
    <n v="4500000"/>
    <x v="0"/>
    <d v="2019-10-22T00:00:00"/>
    <d v="2019-11-22T00:00:00"/>
    <d v="2019-12-03T00:00:00"/>
    <s v="Bc. Jakub Tomaštík"/>
    <m/>
    <n v="4266000"/>
    <n v="5161860"/>
    <m/>
    <m/>
    <m/>
    <d v="2019-12-04T00:00:00"/>
    <s v="SMLN-2019-618-000107"/>
    <x v="0"/>
    <m/>
    <m/>
  </r>
  <r>
    <m/>
    <m/>
    <d v="2019-10-16T00:00:00"/>
    <s v="VZ-2019-001121"/>
    <s v="ZT"/>
    <s v="Rosulek"/>
    <x v="394"/>
    <m/>
    <m/>
    <m/>
    <s v="33124100-6"/>
    <s v="2.2.226."/>
    <n v="1340000"/>
    <x v="2"/>
    <d v="2019-10-23T00:00:00"/>
    <d v="2019-10-31T00:00:00"/>
    <m/>
    <s v="zrušeno - bez hodnotitelné nabídky"/>
    <m/>
    <m/>
    <m/>
    <m/>
    <m/>
    <m/>
    <m/>
    <m/>
    <x v="0"/>
    <d v="2019-11-27T00:00:00"/>
    <m/>
  </r>
  <r>
    <m/>
    <m/>
    <d v="2019-10-17T00:00:00"/>
    <s v="VZ-2019-001122"/>
    <s v="ZT"/>
    <s v="Rosulek"/>
    <x v="395"/>
    <m/>
    <m/>
    <m/>
    <s v="33124100-6"/>
    <s v="2.2.230,2.2.232"/>
    <n v="1415000"/>
    <x v="2"/>
    <d v="2019-11-18T00:00:00"/>
    <d v="2019-11-26T00:00:00"/>
    <m/>
    <m/>
    <m/>
    <m/>
    <m/>
    <m/>
    <m/>
    <m/>
    <m/>
    <m/>
    <x v="0"/>
    <m/>
    <m/>
  </r>
  <r>
    <m/>
    <m/>
    <d v="2019-10-18T00:00:00"/>
    <s v="VZ-2019-001125"/>
    <s v="ZT"/>
    <s v="Novák"/>
    <x v="396"/>
    <m/>
    <m/>
    <m/>
    <s v="33162100-4,33140000-3"/>
    <s v="2.2.31."/>
    <n v="6323000"/>
    <x v="0"/>
    <d v="2019-10-23T00:00:00"/>
    <d v="2019-11-25T00:00:00"/>
    <d v="2019-12-11T00:00:00"/>
    <s v="SKALA-Medical s.r.o."/>
    <m/>
    <n v="6219800"/>
    <n v="7525958"/>
    <m/>
    <m/>
    <m/>
    <d v="2019-12-12T00:00:00"/>
    <s v="SMLN-2019-617-000635_x000a_SMLN-2019-612-000163_x000a_SMLN-2019-617-000636"/>
    <x v="0"/>
    <m/>
    <m/>
  </r>
  <r>
    <m/>
    <m/>
    <d v="2019-10-21T00:00:00"/>
    <s v="VZ-2019-001126"/>
    <s v="INF"/>
    <s v="Gartner"/>
    <x v="397"/>
    <m/>
    <m/>
    <m/>
    <s v="72268000-1"/>
    <m/>
    <n v="1200000"/>
    <x v="2"/>
    <d v="2019-10-31T00:00:00"/>
    <d v="2019-11-12T00:00:00"/>
    <d v="2019-11-28T00:00:00"/>
    <s v="EXON s.r.o."/>
    <m/>
    <n v="896560"/>
    <n v="1084837.6000000001"/>
    <m/>
    <m/>
    <m/>
    <d v="2019-11-29T00:00:00"/>
    <s v="SMLN-2019-612-000162"/>
    <x v="0"/>
    <m/>
    <m/>
  </r>
  <r>
    <m/>
    <m/>
    <d v="2019-10-21T00:00:00"/>
    <s v="VZ-2019-001127"/>
    <s v="OSB"/>
    <s v="Vaida"/>
    <x v="398"/>
    <m/>
    <m/>
    <m/>
    <s v="32570000-9"/>
    <s v="4.2.132."/>
    <n v="1980000"/>
    <x v="2"/>
    <d v="2019-11-01T00:00:00"/>
    <d v="2019-11-12T00:00:00"/>
    <d v="2019-11-18T00:00:00"/>
    <s v="CODACO ELECTRONIC s.r.o."/>
    <m/>
    <n v="1546589.89"/>
    <n v="1871373.7668999999"/>
    <m/>
    <m/>
    <m/>
    <d v="2019-11-18T00:00:00"/>
    <s v="SMLN-2019-618-000099"/>
    <x v="121"/>
    <d v="2019-12-02T00:00:00"/>
    <d v="2020-02-24T00:00:00"/>
  </r>
  <r>
    <m/>
    <m/>
    <d v="2019-10-21T00:00:00"/>
    <s v="VZ-2019-001129"/>
    <s v="ZM"/>
    <s v="Dočkalová"/>
    <x v="399"/>
    <m/>
    <m/>
    <m/>
    <s v="33169400-6 "/>
    <m/>
    <n v="882390"/>
    <x v="2"/>
    <d v="2019-11-07T00:00:00"/>
    <d v="2019-11-20T00:00:00"/>
    <d v="2019-12-04T00:00:00"/>
    <s v="B. Braun Medical s.r.o."/>
    <m/>
    <n v="882363"/>
    <n v="1067659.23"/>
    <m/>
    <m/>
    <m/>
    <d v="2019-12-04T00:00:00"/>
    <s v="SMLN-2019-617-000613"/>
    <x v="0"/>
    <m/>
    <m/>
  </r>
  <r>
    <m/>
    <m/>
    <d v="2019-10-21T00:00:00"/>
    <s v="VZ-2019-001130"/>
    <s v="ZM"/>
    <s v="Dočkalová"/>
    <x v="400"/>
    <m/>
    <s v="VZ-2020-000194"/>
    <m/>
    <s v="33140000-3"/>
    <m/>
    <n v="2275355"/>
    <x v="1"/>
    <m/>
    <m/>
    <m/>
    <m/>
    <m/>
    <m/>
    <m/>
    <m/>
    <m/>
    <m/>
    <m/>
    <m/>
    <x v="0"/>
    <m/>
    <m/>
  </r>
  <r>
    <m/>
    <m/>
    <d v="2019-10-22T00:00:00"/>
    <s v="VZ-2019-001132"/>
    <s v="LÉK"/>
    <s v="Ondráčková"/>
    <x v="401"/>
    <n v="1"/>
    <s v="TRASTUZUMAB EMTANSIN "/>
    <m/>
    <s v="33652100-6"/>
    <m/>
    <n v="12595778"/>
    <x v="0"/>
    <d v="2019-12-23T00:00:00"/>
    <d v="2020-01-27T00:00:00"/>
    <m/>
    <m/>
    <m/>
    <m/>
    <m/>
    <m/>
    <m/>
    <m/>
    <m/>
    <m/>
    <x v="0"/>
    <m/>
    <m/>
  </r>
  <r>
    <m/>
    <m/>
    <d v="2019-10-22T00:00:00"/>
    <s v="VZ-2019-001133"/>
    <s v="LÉK"/>
    <s v="Ondráčková"/>
    <x v="402"/>
    <n v="1"/>
    <s v="REQUIP MODUTAB"/>
    <m/>
    <s v="33661400-5"/>
    <m/>
    <n v="1397547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3"/>
    <s v="LÉK"/>
    <s v="Ondráčková"/>
    <x v="402"/>
    <n v="2"/>
    <s v="OPRYMEA"/>
    <m/>
    <s v="33661400-5"/>
    <m/>
    <n v="98913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3"/>
    <s v="LÉK"/>
    <s v="Ondráčková"/>
    <x v="402"/>
    <n v="3"/>
    <s v="GLEPARK"/>
    <m/>
    <s v="33661400-5"/>
    <m/>
    <n v="286872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3"/>
    <s v="LÉK"/>
    <s v="Ondráčková"/>
    <x v="402"/>
    <n v="4"/>
    <s v="DACEPTON"/>
    <m/>
    <s v="33661400-5"/>
    <m/>
    <n v="5219505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3"/>
    <s v="LÉK"/>
    <s v="Ondráčková"/>
    <x v="402"/>
    <n v="5"/>
    <s v="NEUPRO"/>
    <m/>
    <s v="33661400-5"/>
    <m/>
    <n v="2622951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4"/>
    <s v="LÉK"/>
    <s v="Ondráčková"/>
    <x v="403"/>
    <n v="1"/>
    <s v="EVEROLIMUS"/>
    <m/>
    <s v="33652000-5"/>
    <m/>
    <n v="8390223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s v="LÉK"/>
    <s v="Ondráčková"/>
    <x v="403"/>
    <n v="2"/>
    <s v="PAZOPANIB"/>
    <m/>
    <s v="33652000-5"/>
    <m/>
    <n v="6654142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s v="LÉK"/>
    <s v="Ondráčková"/>
    <x v="403"/>
    <n v="3"/>
    <s v="AFATINIB "/>
    <m/>
    <s v="33652000-5"/>
    <m/>
    <n v="4568564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s v="LÉK"/>
    <s v="Ondráčková"/>
    <x v="403"/>
    <n v="4"/>
    <s v="VEMURAFENIB "/>
    <m/>
    <s v="33652000-5"/>
    <m/>
    <n v="2736450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s v="LÉK"/>
    <s v="Ondráčková"/>
    <x v="403"/>
    <n v="5"/>
    <s v="AXITINIB "/>
    <m/>
    <s v="33652000-5"/>
    <m/>
    <n v="1261016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s v="LÉK"/>
    <s v="Ondráčková"/>
    <x v="403"/>
    <n v="6"/>
    <s v="RUXOLITINIB "/>
    <m/>
    <s v="33652000-5"/>
    <m/>
    <n v="22859565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9"/>
    <s v="INV"/>
    <s v="Langer"/>
    <x v="404"/>
    <m/>
    <m/>
    <m/>
    <s v="45454100-5"/>
    <s v="1.3.21."/>
    <n v="6500000"/>
    <x v="1"/>
    <d v="2019-10-30T00:00:00"/>
    <d v="2019-11-15T00:00:00"/>
    <d v="2019-12-12T00:00:00"/>
    <s v="OHL ŽS a.s."/>
    <m/>
    <n v="7382425"/>
    <n v="8932734"/>
    <m/>
    <m/>
    <m/>
    <d v="2019-12-12T00:00:00"/>
    <s v="SMLN-2019-618-000111"/>
    <x v="0"/>
    <m/>
    <m/>
  </r>
  <r>
    <m/>
    <m/>
    <d v="2019-10-23T00:00:00"/>
    <s v="VZ-2019-001143"/>
    <s v="OSB"/>
    <s v="Vaida"/>
    <x v="405"/>
    <m/>
    <m/>
    <m/>
    <s v="45453000-7"/>
    <m/>
    <n v="1350000"/>
    <x v="2"/>
    <d v="2019-11-01T00:00:00"/>
    <d v="2019-11-18T00:00:00"/>
    <m/>
    <s v="zrušeno - nabídka po lhůtě"/>
    <m/>
    <m/>
    <m/>
    <m/>
    <m/>
    <m/>
    <m/>
    <m/>
    <x v="0"/>
    <d v="2019-11-19T00:00:00"/>
    <m/>
  </r>
  <r>
    <m/>
    <m/>
    <d v="2019-10-25T00:00:00"/>
    <s v="VZ-2019-001147"/>
    <s v="OSB"/>
    <s v="Vaida"/>
    <x v="406"/>
    <m/>
    <m/>
    <m/>
    <s v="45332300-6"/>
    <m/>
    <n v="500000"/>
    <x v="2"/>
    <d v="2019-11-01T00:00:00"/>
    <d v="2019-11-12T00:00:00"/>
    <d v="2019-11-18T00:00:00"/>
    <s v="MIZ Olomouc s.r.o."/>
    <m/>
    <n v="469550"/>
    <n v="568155.5"/>
    <m/>
    <m/>
    <m/>
    <d v="2019-11-19T00:00:00"/>
    <s v="SMLN-2019-618-000102"/>
    <x v="0"/>
    <m/>
    <m/>
  </r>
  <r>
    <m/>
    <m/>
    <d v="2019-10-31T00:00:00"/>
    <s v="VZ-2019-001156"/>
    <s v="ZT"/>
    <s v="Rosulek"/>
    <x v="407"/>
    <n v="1"/>
    <s v="Diodový laser"/>
    <m/>
    <s v="33169100-3"/>
    <s v="2.3.421."/>
    <n v="245000"/>
    <x v="2"/>
    <d v="2019-11-18T00:00:00"/>
    <d v="2019-11-27T00:00:00"/>
    <m/>
    <m/>
    <m/>
    <m/>
    <m/>
    <m/>
    <m/>
    <m/>
    <m/>
    <m/>
    <x v="0"/>
    <m/>
    <m/>
  </r>
  <r>
    <m/>
    <m/>
    <d v="2019-10-31T00:00:00"/>
    <s v="VZ-2019-001156"/>
    <s v="ZT"/>
    <s v="Rosulek"/>
    <x v="407"/>
    <n v="2"/>
    <s v="YAG/SLT laser"/>
    <m/>
    <s v="33169100-3"/>
    <s v="2.3.434."/>
    <n v="1750000"/>
    <x v="2"/>
    <d v="2019-11-18T00:00:00"/>
    <d v="2019-11-27T00:00:00"/>
    <m/>
    <m/>
    <m/>
    <m/>
    <m/>
    <m/>
    <m/>
    <m/>
    <m/>
    <m/>
    <x v="0"/>
    <m/>
    <m/>
  </r>
  <r>
    <m/>
    <m/>
    <d v="2019-10-31T00:00:00"/>
    <s v="VZ-2019-001158"/>
    <s v="VŠEOB"/>
    <s v="Smrčková"/>
    <x v="8"/>
    <m/>
    <m/>
    <m/>
    <s v="33141620-2"/>
    <m/>
    <n v="12231200"/>
    <x v="0"/>
    <m/>
    <m/>
    <m/>
    <m/>
    <m/>
    <m/>
    <m/>
    <m/>
    <m/>
    <m/>
    <m/>
    <m/>
    <x v="0"/>
    <m/>
    <m/>
  </r>
  <r>
    <m/>
    <m/>
    <d v="2019-11-01T00:00:00"/>
    <s v="VZ-2019-001162"/>
    <s v="ZT"/>
    <s v="Rosulek"/>
    <x v="408"/>
    <m/>
    <m/>
    <m/>
    <s v="33168100-6"/>
    <s v="2.3.384.,2.3.414."/>
    <n v="546400"/>
    <x v="2"/>
    <d v="2019-11-18T00:00:00"/>
    <d v="2019-11-29T00:00:00"/>
    <m/>
    <s v="zrušeno - oprava zadání"/>
    <m/>
    <m/>
    <m/>
    <m/>
    <m/>
    <m/>
    <m/>
    <m/>
    <x v="0"/>
    <d v="2019-12-02T00:00:00"/>
    <m/>
  </r>
  <r>
    <m/>
    <m/>
    <d v="2019-11-01T00:00:00"/>
    <s v="VZ-2019-001163"/>
    <s v="PRAV"/>
    <s v="Procházková"/>
    <x v="409"/>
    <m/>
    <m/>
    <m/>
    <s v="66510000-8"/>
    <m/>
    <n v="48800000"/>
    <x v="0"/>
    <d v="2019-12-04T00:00:00"/>
    <d v="2020-01-07T00:00:00"/>
    <m/>
    <m/>
    <m/>
    <m/>
    <m/>
    <m/>
    <m/>
    <m/>
    <m/>
    <m/>
    <x v="0"/>
    <m/>
    <m/>
  </r>
  <r>
    <m/>
    <m/>
    <d v="2019-11-04T00:00:00"/>
    <s v="VZ-2019-001172"/>
    <s v="PERS"/>
    <s v="Freharová"/>
    <x v="410"/>
    <m/>
    <m/>
    <m/>
    <s v="72261000-2"/>
    <m/>
    <n v="3390000"/>
    <x v="1"/>
    <d v="2019-12-17T00:00:00"/>
    <d v="2020-01-10T00:00:00"/>
    <m/>
    <m/>
    <m/>
    <m/>
    <m/>
    <m/>
    <m/>
    <m/>
    <m/>
    <m/>
    <x v="0"/>
    <m/>
    <m/>
  </r>
  <r>
    <m/>
    <m/>
    <d v="2019-11-07T00:00:00"/>
    <s v="VZ-2019-001185"/>
    <s v="INF"/>
    <s v="Oravec"/>
    <x v="411"/>
    <m/>
    <m/>
    <m/>
    <s v="48180000-3, 72261000-2"/>
    <s v="3.2.45."/>
    <n v="1490000"/>
    <x v="2"/>
    <d v="2019-11-22T00:00:00"/>
    <d v="2019-12-09T00:00:00"/>
    <m/>
    <m/>
    <m/>
    <m/>
    <m/>
    <m/>
    <m/>
    <m/>
    <m/>
    <m/>
    <x v="0"/>
    <m/>
    <m/>
  </r>
  <r>
    <m/>
    <m/>
    <d v="2019-11-07T00:00:00"/>
    <s v="VZ-2019-001187"/>
    <s v="ZT"/>
    <s v="Rosulek"/>
    <x v="412"/>
    <m/>
    <m/>
    <m/>
    <s v="33191000-5"/>
    <s v="2.3.441."/>
    <n v="521900"/>
    <x v="2"/>
    <d v="2019-11-18T00:00:00"/>
    <d v="2019-11-28T00:00:00"/>
    <m/>
    <m/>
    <m/>
    <m/>
    <m/>
    <m/>
    <m/>
    <m/>
    <m/>
    <m/>
    <x v="0"/>
    <m/>
    <m/>
  </r>
  <r>
    <m/>
    <m/>
    <d v="2019-11-01T00:00:00"/>
    <s v="VZ-2019-001188"/>
    <s v="ZM"/>
    <s v="Dočkalová"/>
    <x v="413"/>
    <m/>
    <m/>
    <m/>
    <s v="33168100-6"/>
    <m/>
    <n v="443280"/>
    <x v="2"/>
    <d v="2019-11-13T00:00:00"/>
    <d v="2019-11-22T00:00:00"/>
    <d v="2019-12-16T00:00:00"/>
    <s v="MEDIN, a.s."/>
    <m/>
    <n v="384604.8"/>
    <n v="465371.81"/>
    <m/>
    <m/>
    <m/>
    <d v="2019-12-16T00:00:00"/>
    <s v="SMLN-2019-617-000640"/>
    <x v="0"/>
    <m/>
    <m/>
  </r>
  <r>
    <m/>
    <m/>
    <d v="2019-12-20T00:00:00"/>
    <s v="VZ-2019-001189"/>
    <s v="ISPROFIN"/>
    <s v="Neudörflerová"/>
    <x v="414"/>
    <m/>
    <m/>
    <m/>
    <s v="33111620-3"/>
    <s v="2.3.319."/>
    <n v="23494497.559999999"/>
    <x v="0"/>
    <m/>
    <m/>
    <m/>
    <m/>
    <m/>
    <m/>
    <m/>
    <m/>
    <m/>
    <m/>
    <m/>
    <m/>
    <x v="0"/>
    <m/>
    <m/>
  </r>
  <r>
    <m/>
    <m/>
    <d v="2019-11-11T00:00:00"/>
    <s v="VZ-2019-001192"/>
    <s v="IMUNO"/>
    <s v="Kriegová"/>
    <x v="415"/>
    <m/>
    <m/>
    <m/>
    <s v="71900000-7"/>
    <m/>
    <n v="260000"/>
    <x v="2"/>
    <d v="2019-11-14T00:00:00"/>
    <d v="2019-11-20T00:00:00"/>
    <d v="2019-11-21T00:00:00"/>
    <s v="Institute of Applied Biotechnologies a.s."/>
    <m/>
    <n v="259992"/>
    <n v="314590.32"/>
    <m/>
    <m/>
    <m/>
    <d v="2019-11-21T00:00:00"/>
    <s v="SMLN-2019-612-000160"/>
    <x v="147"/>
    <d v="2019-12-04T00:00:00"/>
    <d v="2019-12-05T00:00:00"/>
  </r>
  <r>
    <m/>
    <m/>
    <d v="2019-11-12T00:00:00"/>
    <s v="VZ-2019-001198"/>
    <s v="LÉK"/>
    <s v="Ondráčková"/>
    <x v="416"/>
    <m/>
    <s v="Imunochemická vyšetření s výpůjčkou analyzátoru"/>
    <m/>
    <s v="33694000-1; 38434000-6"/>
    <m/>
    <n v="6463919"/>
    <x v="0"/>
    <d v="2019-12-16T00:00:00"/>
    <d v="2020-01-20T00:00:00"/>
    <m/>
    <m/>
    <m/>
    <m/>
    <m/>
    <m/>
    <m/>
    <m/>
    <m/>
    <m/>
    <x v="0"/>
    <m/>
    <m/>
  </r>
  <r>
    <m/>
    <m/>
    <d v="2019-11-13T00:00:00"/>
    <s v="VZ-2019-001204"/>
    <s v="ZM"/>
    <s v="Dočkalová"/>
    <x v="417"/>
    <n v="1"/>
    <s v="Láhve krmící jednorázové"/>
    <m/>
    <s v="33140000-3"/>
    <m/>
    <n v="663353.72"/>
    <x v="2"/>
    <d v="2019-11-19T00:00:00"/>
    <d v="2019-11-29T00:00:00"/>
    <d v="2019-12-10T00:00:00"/>
    <s v="MEDICAL M, spol.s  r.o."/>
    <m/>
    <n v="614920"/>
    <n v="744053.2"/>
    <m/>
    <m/>
    <m/>
    <d v="2019-12-11T00:00:00"/>
    <s v="SMLN-2019-617-000633"/>
    <x v="0"/>
    <m/>
    <m/>
  </r>
  <r>
    <m/>
    <m/>
    <d v="2019-11-13T00:00:00"/>
    <s v="VZ-2019-001204"/>
    <s v="ZM"/>
    <s v="Dočkalová"/>
    <x v="417"/>
    <n v="2"/>
    <s v="Dudlíky krmící jednorázové"/>
    <m/>
    <s v="33140000-3"/>
    <m/>
    <n v="332340.56"/>
    <x v="2"/>
    <d v="2019-11-19T00:00:00"/>
    <d v="2019-11-29T00:00:00"/>
    <d v="2019-12-10T00:00:00"/>
    <s v="S.A.B. Impex s.r.o."/>
    <m/>
    <n v="327954.8"/>
    <n v="396825.30799999996"/>
    <m/>
    <m/>
    <m/>
    <d v="2019-12-11T00:00:00"/>
    <s v="SMLN-2019-617-000634"/>
    <x v="0"/>
    <m/>
    <m/>
  </r>
  <r>
    <m/>
    <m/>
    <s v="opakovaná VZ"/>
    <s v="VZ-2019-001209"/>
    <s v="OSB"/>
    <s v="Vaida"/>
    <x v="418"/>
    <m/>
    <m/>
    <m/>
    <s v="4543000-7"/>
    <m/>
    <n v="1350000"/>
    <x v="2"/>
    <d v="2019-11-21T00:00:00"/>
    <d v="2019-11-28T00:00:00"/>
    <d v="2019-12-04T00:00:00"/>
    <s v="Elektropráce Spáčil s.r.o."/>
    <m/>
    <n v="1452256.26"/>
    <n v="1757230.0745999999"/>
    <m/>
    <m/>
    <m/>
    <d v="2019-12-04T00:00:00"/>
    <s v="SMLN-2019-618-000108"/>
    <x v="0"/>
    <m/>
    <m/>
  </r>
  <r>
    <m/>
    <m/>
    <d v="2019-11-19T00:00:00"/>
    <s v="VZ-2019-001210"/>
    <s v="SERVIS"/>
    <s v="Zemánek"/>
    <x v="419"/>
    <m/>
    <m/>
    <m/>
    <s v="50421000-2"/>
    <m/>
    <n v="1800000"/>
    <x v="2"/>
    <d v="2019-12-16T00:00:00"/>
    <d v="2020-01-07T00:00:00"/>
    <m/>
    <m/>
    <m/>
    <m/>
    <m/>
    <m/>
    <m/>
    <m/>
    <m/>
    <m/>
    <x v="0"/>
    <m/>
    <m/>
  </r>
  <r>
    <m/>
    <m/>
    <d v="2019-11-19T00:00:00"/>
    <s v="VZ-2019-001211"/>
    <s v="ZM"/>
    <s v="Valtová"/>
    <x v="420"/>
    <m/>
    <m/>
    <m/>
    <s v="33140000-3"/>
    <m/>
    <n v="1340211"/>
    <x v="2"/>
    <m/>
    <m/>
    <m/>
    <m/>
    <m/>
    <m/>
    <m/>
    <m/>
    <m/>
    <m/>
    <m/>
    <m/>
    <x v="0"/>
    <m/>
    <m/>
  </r>
  <r>
    <m/>
    <m/>
    <d v="2019-11-22T00:00:00"/>
    <s v="VZ-2019-001220"/>
    <s v="INF"/>
    <s v="Oravec"/>
    <x v="421"/>
    <m/>
    <m/>
    <m/>
    <s v="72411000-4"/>
    <m/>
    <n v="480000"/>
    <x v="2"/>
    <d v="2019-11-28T00:00:00"/>
    <d v="2019-12-06T00:00:00"/>
    <d v="2019-12-12T00:00:00"/>
    <s v="MERIT Group a.s."/>
    <m/>
    <n v="432000"/>
    <n v="522720"/>
    <m/>
    <m/>
    <m/>
    <d v="2019-12-13T00:00:00"/>
    <s v="SMLN-2019-612-000166"/>
    <x v="0"/>
    <m/>
    <m/>
  </r>
  <r>
    <m/>
    <m/>
    <d v="2019-11-22T00:00:00"/>
    <s v="VZ-2019-001221"/>
    <s v="OSB"/>
    <s v="Vaida"/>
    <x v="422"/>
    <m/>
    <m/>
    <m/>
    <s v="45332300-6"/>
    <m/>
    <n v="300000"/>
    <x v="2"/>
    <d v="2019-12-05T00:00:00"/>
    <d v="2019-12-13T00:00:00"/>
    <d v="2019-12-19T00:00:00"/>
    <s v="INTOP Olomouc CZ s.r.o."/>
    <m/>
    <n v="288939"/>
    <n v="349616.2"/>
    <m/>
    <m/>
    <m/>
    <d v="2019-12-19T00:00:00"/>
    <s v="SMLN-2019-618-000114"/>
    <x v="0"/>
    <m/>
    <m/>
  </r>
  <r>
    <m/>
    <m/>
    <d v="2019-11-25T00:00:00"/>
    <s v="VZ-2019-001224"/>
    <s v="INF"/>
    <s v="Oravec"/>
    <x v="423"/>
    <m/>
    <m/>
    <m/>
    <s v="30232110-8,30232120-1"/>
    <m/>
    <n v="743900"/>
    <x v="2"/>
    <d v="2019-12-02T00:00:00"/>
    <d v="2019-12-10T00:00:00"/>
    <d v="2019-12-13T00:00:00"/>
    <s v="Charita Opava"/>
    <m/>
    <n v="703825"/>
    <n v="851628.25"/>
    <m/>
    <m/>
    <m/>
    <d v="2019-12-13T00:00:00"/>
    <s v="SMLN-2019-617-000638"/>
    <x v="92"/>
    <d v="2020-01-02T00:00:00"/>
    <d v="2020-12-22T00:00:00"/>
  </r>
  <r>
    <m/>
    <m/>
    <d v="2019-11-27T00:00:00"/>
    <s v="VZ-2019-001234"/>
    <s v="INV"/>
    <s v="Spáčil"/>
    <x v="424"/>
    <m/>
    <s v=" VZ-2020-000026"/>
    <m/>
    <s v="71200000-0"/>
    <m/>
    <n v="2500000"/>
    <x v="1"/>
    <m/>
    <m/>
    <m/>
    <m/>
    <m/>
    <m/>
    <m/>
    <m/>
    <m/>
    <m/>
    <m/>
    <m/>
    <x v="0"/>
    <m/>
    <m/>
  </r>
  <r>
    <m/>
    <m/>
    <d v="2019-11-26T00:00:00"/>
    <s v="VZ-2019-001244"/>
    <s v="LÉK"/>
    <s v="Ondráčková"/>
    <x v="425"/>
    <n v="1"/>
    <s v="Omalizumab - VZ-2020-000006"/>
    <m/>
    <s v="33673000-8"/>
    <m/>
    <n v="47341396"/>
    <x v="0"/>
    <m/>
    <m/>
    <m/>
    <m/>
    <m/>
    <m/>
    <m/>
    <m/>
    <m/>
    <m/>
    <m/>
    <m/>
    <x v="0"/>
    <m/>
    <m/>
  </r>
  <r>
    <m/>
    <m/>
    <d v="2019-11-26T00:00:00"/>
    <s v="VZ-2019-001245"/>
    <s v="LÉK"/>
    <s v="Ondráčková"/>
    <x v="426"/>
    <n v="1"/>
    <s v="Idelalisib - VZ-2020-000005"/>
    <m/>
    <s v="33652100-6"/>
    <m/>
    <n v="30769028"/>
    <x v="0"/>
    <m/>
    <m/>
    <m/>
    <m/>
    <m/>
    <m/>
    <m/>
    <m/>
    <m/>
    <m/>
    <m/>
    <m/>
    <x v="0"/>
    <m/>
    <m/>
  </r>
  <r>
    <m/>
    <m/>
    <d v="2019-11-26T00:00:00"/>
    <s v="VZ-2019-001246"/>
    <s v="LÉK"/>
    <s v="Ondráčková"/>
    <x v="427"/>
    <n v="1"/>
    <s v="Thyrotropin alfa - VZ-2020-000007"/>
    <m/>
    <s v="33642100-3"/>
    <m/>
    <n v="1210714"/>
    <x v="2"/>
    <m/>
    <m/>
    <m/>
    <m/>
    <m/>
    <m/>
    <m/>
    <m/>
    <m/>
    <m/>
    <m/>
    <m/>
    <x v="0"/>
    <m/>
    <m/>
  </r>
  <r>
    <m/>
    <m/>
    <d v="2019-11-26T00:00:00"/>
    <s v="VZ-2019-001246"/>
    <s v="LÉK"/>
    <s v="Ondráčková"/>
    <x v="427"/>
    <n v="2"/>
    <s v="Pegvisomant - VZ-2020-000007"/>
    <m/>
    <s v="33642100-3"/>
    <m/>
    <n v="637924"/>
    <x v="2"/>
    <m/>
    <m/>
    <m/>
    <m/>
    <m/>
    <m/>
    <m/>
    <m/>
    <m/>
    <m/>
    <m/>
    <m/>
    <x v="0"/>
    <m/>
    <m/>
  </r>
  <r>
    <m/>
    <m/>
    <s v="opakovaná VZ"/>
    <s v="VZ-2019-001250"/>
    <s v="ZT"/>
    <s v="Rosulek"/>
    <x v="428"/>
    <m/>
    <m/>
    <m/>
    <s v="33124100-6"/>
    <m/>
    <n v="1340000"/>
    <x v="2"/>
    <d v="2019-12-04T00:00:00"/>
    <d v="2019-12-13T00:00:00"/>
    <m/>
    <m/>
    <m/>
    <m/>
    <m/>
    <m/>
    <m/>
    <m/>
    <m/>
    <m/>
    <x v="0"/>
    <m/>
    <m/>
  </r>
  <r>
    <m/>
    <m/>
    <d v="2019-11-28T00:00:00"/>
    <s v="VZ-2019-001253"/>
    <s v="ENERG"/>
    <s v="Srovnal"/>
    <x v="429"/>
    <m/>
    <m/>
    <m/>
    <s v="50750000-7"/>
    <m/>
    <n v="6500000"/>
    <x v="0"/>
    <m/>
    <m/>
    <m/>
    <m/>
    <m/>
    <m/>
    <m/>
    <m/>
    <m/>
    <m/>
    <m/>
    <m/>
    <x v="0"/>
    <m/>
    <m/>
  </r>
  <r>
    <m/>
    <m/>
    <s v="opakovaná VZ"/>
    <s v="VZ-2019-001260"/>
    <s v="ZT"/>
    <s v="Rosulek"/>
    <x v="430"/>
    <m/>
    <m/>
    <m/>
    <s v="33168100-6"/>
    <m/>
    <n v="513000"/>
    <x v="2"/>
    <d v="2019-12-10T00:00:00"/>
    <d v="2019-12-19T00:00:00"/>
    <m/>
    <m/>
    <m/>
    <m/>
    <m/>
    <m/>
    <m/>
    <m/>
    <m/>
    <m/>
    <x v="0"/>
    <m/>
    <m/>
  </r>
  <r>
    <m/>
    <m/>
    <d v="2019-12-05T00:00:00"/>
    <s v="VZ-2019-001262"/>
    <s v="LÉK"/>
    <s v="Ondráčková"/>
    <x v="431"/>
    <n v="1"/>
    <s v="REGORAFENIB "/>
    <m/>
    <s v="33652000-5"/>
    <m/>
    <n v="5511956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s v="LÉK"/>
    <s v="Ondráčková"/>
    <x v="431"/>
    <n v="2"/>
    <s v="DABRAFENIB "/>
    <m/>
    <s v="33652000-5"/>
    <m/>
    <n v="11127273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s v="LÉK"/>
    <s v="Ondráčková"/>
    <x v="431"/>
    <n v="3"/>
    <s v="IBRUTINIB "/>
    <m/>
    <s v="33652000-5"/>
    <m/>
    <n v="95343903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s v="LÉK"/>
    <s v="Ondráčková"/>
    <x v="431"/>
    <n v="4"/>
    <s v="LENVATINIB"/>
    <m/>
    <s v="33652000-5"/>
    <m/>
    <n v="5032508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s v="LÉK"/>
    <s v="Ondráčková"/>
    <x v="431"/>
    <n v="5"/>
    <s v="RIBOCIKLIB-SUKCINÁT"/>
    <m/>
    <s v="33652000-5"/>
    <m/>
    <n v="704780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s v="LÉK"/>
    <s v="Ondráčková"/>
    <x v="431"/>
    <n v="6"/>
    <s v="OSIMERTINIB "/>
    <m/>
    <s v="33652000-5"/>
    <m/>
    <n v="23556463"/>
    <x v="0"/>
    <d v="2019-12-20T00:00:00"/>
    <d v="2020-01-24T00:00:00"/>
    <m/>
    <m/>
    <m/>
    <m/>
    <m/>
    <m/>
    <m/>
    <m/>
    <m/>
    <m/>
    <x v="0"/>
    <m/>
    <m/>
  </r>
  <r>
    <m/>
    <m/>
    <s v="opakovaná VZ"/>
    <s v="VZ-2019-001263"/>
    <s v="IROP"/>
    <s v="Neudörflerová"/>
    <x v="432"/>
    <m/>
    <m/>
    <m/>
    <s v="33190000-8"/>
    <m/>
    <n v="165495.85999999999"/>
    <x v="2"/>
    <m/>
    <m/>
    <m/>
    <m/>
    <m/>
    <m/>
    <m/>
    <m/>
    <m/>
    <m/>
    <m/>
    <m/>
    <x v="0"/>
    <m/>
    <m/>
  </r>
  <r>
    <m/>
    <m/>
    <d v="2019-12-09T00:00:00"/>
    <s v="VZ-2019-001266"/>
    <s v="INF"/>
    <s v="Oravec"/>
    <x v="433"/>
    <m/>
    <m/>
    <m/>
    <s v="30231310-3"/>
    <m/>
    <n v="1001000"/>
    <x v="2"/>
    <d v="2019-12-19T00:00:00"/>
    <d v="2020-01-07T00:00:00"/>
    <m/>
    <m/>
    <m/>
    <m/>
    <m/>
    <m/>
    <m/>
    <m/>
    <m/>
    <m/>
    <x v="0"/>
    <m/>
    <m/>
  </r>
  <r>
    <m/>
    <m/>
    <d v="2019-12-09T00:00:00"/>
    <s v="VZ-2019-001267"/>
    <s v="LÉK"/>
    <s v="Ondráčková"/>
    <x v="434"/>
    <n v="1"/>
    <s v="HEPARIN"/>
    <m/>
    <s v="33141550-0"/>
    <m/>
    <n v="2292556"/>
    <x v="0"/>
    <d v="2019-12-20T00:00:00"/>
    <d v="2020-01-24T00:00:00"/>
    <m/>
    <m/>
    <m/>
    <m/>
    <m/>
    <m/>
    <m/>
    <m/>
    <m/>
    <m/>
    <x v="0"/>
    <m/>
    <m/>
  </r>
  <r>
    <m/>
    <m/>
    <d v="2019-12-09T00:00:00"/>
    <s v="VZ-2019-001267"/>
    <s v="LÉK"/>
    <s v="Ondráčková"/>
    <x v="434"/>
    <n v="2"/>
    <s v="ENOXAPARIN "/>
    <m/>
    <s v="33141550-0"/>
    <m/>
    <n v="1293742"/>
    <x v="0"/>
    <d v="2019-12-20T00:00:00"/>
    <d v="2020-01-24T00:00:00"/>
    <m/>
    <m/>
    <m/>
    <m/>
    <m/>
    <m/>
    <m/>
    <m/>
    <m/>
    <m/>
    <x v="0"/>
    <m/>
    <m/>
  </r>
  <r>
    <m/>
    <m/>
    <d v="2019-12-09T00:00:00"/>
    <s v="VZ-2019-001267"/>
    <s v="LÉK"/>
    <s v="Ondráčková"/>
    <x v="434"/>
    <n v="3"/>
    <s v="NADROPARIN"/>
    <m/>
    <s v="33141550-0"/>
    <m/>
    <n v="33304068"/>
    <x v="0"/>
    <d v="2019-12-20T00:00:00"/>
    <d v="2020-01-24T00:00:00"/>
    <m/>
    <m/>
    <m/>
    <m/>
    <m/>
    <m/>
    <m/>
    <m/>
    <m/>
    <m/>
    <x v="0"/>
    <m/>
    <m/>
  </r>
  <r>
    <m/>
    <m/>
    <d v="2019-12-09T00:00:00"/>
    <s v="VZ-2019-001267"/>
    <s v="LÉK"/>
    <s v="Ondráčková"/>
    <x v="434"/>
    <n v="4"/>
    <s v="SULODEXID "/>
    <m/>
    <s v="33141550-0"/>
    <m/>
    <n v="2244322"/>
    <x v="0"/>
    <d v="2019-12-20T00:00:00"/>
    <d v="2020-01-24T00:00:00"/>
    <m/>
    <m/>
    <m/>
    <m/>
    <m/>
    <m/>
    <m/>
    <m/>
    <m/>
    <m/>
    <x v="0"/>
    <m/>
    <m/>
  </r>
  <r>
    <m/>
    <m/>
    <d v="2019-12-09T00:00:00"/>
    <s v="VZ-2019-001267"/>
    <s v="LÉK"/>
    <s v="Ondráčková"/>
    <x v="434"/>
    <n v="5"/>
    <s v="ANTITHROMBIN III"/>
    <m/>
    <s v="33141550-0"/>
    <m/>
    <n v="5023286"/>
    <x v="0"/>
    <d v="2019-12-20T00:00:00"/>
    <d v="2020-01-24T00:00:00"/>
    <m/>
    <m/>
    <m/>
    <m/>
    <m/>
    <m/>
    <m/>
    <m/>
    <m/>
    <m/>
    <x v="0"/>
    <m/>
    <m/>
  </r>
  <r>
    <m/>
    <m/>
    <d v="2019-12-11T00:00:00"/>
    <s v="VZ-2019-001270"/>
    <s v="ENERG"/>
    <s v="Srovnal"/>
    <x v="435"/>
    <m/>
    <m/>
    <m/>
    <s v="45454100-5"/>
    <m/>
    <n v="16259000"/>
    <x v="0"/>
    <m/>
    <m/>
    <m/>
    <m/>
    <m/>
    <m/>
    <m/>
    <m/>
    <m/>
    <m/>
    <m/>
    <m/>
    <x v="0"/>
    <m/>
    <m/>
  </r>
  <r>
    <m/>
    <m/>
    <d v="2019-12-11T00:00:00"/>
    <s v="VZ-2019-001278"/>
    <s v="ZT"/>
    <s v="Rosulek"/>
    <x v="436"/>
    <m/>
    <m/>
    <m/>
    <s v="33168100-6"/>
    <s v="2.2.242,2.3.404,435"/>
    <n v="1633000"/>
    <x v="2"/>
    <d v="2019-12-19T00:00:00"/>
    <d v="2020-01-07T00:00:00"/>
    <m/>
    <m/>
    <m/>
    <m/>
    <m/>
    <m/>
    <m/>
    <m/>
    <m/>
    <m/>
    <x v="0"/>
    <m/>
    <m/>
  </r>
  <r>
    <m/>
    <m/>
    <d v="2019-12-13T00:00:00"/>
    <s v="VZ-2019-001280"/>
    <s v="ZT"/>
    <s v="Rosulek"/>
    <x v="437"/>
    <m/>
    <m/>
    <m/>
    <s v="33192210-7"/>
    <s v="2.2.143,2.2.229"/>
    <n v="785500"/>
    <x v="2"/>
    <m/>
    <m/>
    <m/>
    <m/>
    <m/>
    <m/>
    <m/>
    <m/>
    <m/>
    <m/>
    <m/>
    <m/>
    <x v="0"/>
    <m/>
    <m/>
  </r>
  <r>
    <m/>
    <m/>
    <d v="2019-12-12T00:00:00"/>
    <s v="VZ-2019-001281"/>
    <s v="ZT"/>
    <s v="Rosulek"/>
    <x v="438"/>
    <m/>
    <m/>
    <m/>
    <s v="33168100-6"/>
    <s v="2.2.228."/>
    <n v="330000"/>
    <x v="2"/>
    <m/>
    <m/>
    <m/>
    <m/>
    <m/>
    <m/>
    <m/>
    <m/>
    <m/>
    <m/>
    <m/>
    <m/>
    <x v="0"/>
    <m/>
    <m/>
  </r>
  <r>
    <m/>
    <m/>
    <d v="2019-12-11T00:00:00"/>
    <s v="VZ-2019-001282"/>
    <s v="ZT"/>
    <s v="Rosulek"/>
    <x v="439"/>
    <m/>
    <m/>
    <m/>
    <s v="33192400-6"/>
    <m/>
    <n v="1362000"/>
    <x v="2"/>
    <m/>
    <m/>
    <m/>
    <m/>
    <m/>
    <m/>
    <m/>
    <m/>
    <m/>
    <m/>
    <m/>
    <m/>
    <x v="0"/>
    <m/>
    <m/>
  </r>
  <r>
    <m/>
    <m/>
    <d v="2019-12-10T00:00:00"/>
    <s v="VZ-2019-001283"/>
    <s v="INV"/>
    <s v="Jansa"/>
    <x v="440"/>
    <m/>
    <m/>
    <m/>
    <s v="45111000-8"/>
    <m/>
    <n v="4500000"/>
    <x v="2"/>
    <d v="2019-12-30T00:00:00"/>
    <d v="2020-01-14T00:00:00"/>
    <m/>
    <m/>
    <m/>
    <m/>
    <m/>
    <m/>
    <m/>
    <m/>
    <m/>
    <m/>
    <x v="0"/>
    <m/>
    <m/>
  </r>
  <r>
    <m/>
    <m/>
    <d v="2019-12-12T00:00:00"/>
    <s v="VZ-2019-001284"/>
    <s v="ENERG"/>
    <s v="Srovnal"/>
    <x v="441"/>
    <m/>
    <m/>
    <m/>
    <s v="34136000-9"/>
    <s v="4.2.127."/>
    <n v="538000"/>
    <x v="2"/>
    <m/>
    <m/>
    <m/>
    <m/>
    <m/>
    <m/>
    <m/>
    <m/>
    <m/>
    <m/>
    <m/>
    <m/>
    <x v="0"/>
    <m/>
    <m/>
  </r>
  <r>
    <m/>
    <m/>
    <d v="2019-12-13T00:00:00"/>
    <s v="VZ-2019-001285"/>
    <s v="ENERG"/>
    <s v="Eyer"/>
    <x v="442"/>
    <m/>
    <m/>
    <m/>
    <s v="45232221-7"/>
    <s v="4.2.121."/>
    <n v="5990000"/>
    <x v="2"/>
    <m/>
    <m/>
    <m/>
    <m/>
    <m/>
    <m/>
    <m/>
    <m/>
    <m/>
    <m/>
    <m/>
    <m/>
    <x v="0"/>
    <m/>
    <m/>
  </r>
  <r>
    <m/>
    <m/>
    <d v="2019-12-17T00:00:00"/>
    <s v="VZ-2019-001287"/>
    <s v="INF"/>
    <s v="Oravec"/>
    <x v="443"/>
    <m/>
    <m/>
    <m/>
    <s v="72261000-2"/>
    <m/>
    <n v="910800"/>
    <x v="2"/>
    <d v="2019-12-27T00:00:00"/>
    <d v="2020-01-10T00:00:00"/>
    <m/>
    <m/>
    <m/>
    <m/>
    <m/>
    <m/>
    <m/>
    <m/>
    <m/>
    <m/>
    <x v="0"/>
    <m/>
    <m/>
  </r>
  <r>
    <m/>
    <m/>
    <d v="2019-12-16T00:00:00"/>
    <s v="VZ-2019-001288"/>
    <s v="LÉK"/>
    <s v="Ondráčková"/>
    <x v="444"/>
    <n v="1"/>
    <s v="ERLOTINIB-HYDROCHLORID"/>
    <m/>
    <s v="33652000-5"/>
    <m/>
    <n v="9044345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s v="LÉK"/>
    <s v="Ondráčková"/>
    <x v="444"/>
    <n v="2"/>
    <s v="SUNITINIB-MALÁT"/>
    <m/>
    <s v="33652000-5"/>
    <m/>
    <n v="48895034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s v="LÉK"/>
    <s v="Ondráčková"/>
    <x v="444"/>
    <n v="3"/>
    <s v="SORAFENIB-TOSILÁT"/>
    <m/>
    <s v="33652000-5"/>
    <m/>
    <n v="15048787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s v="LÉK"/>
    <s v="Ondráčková"/>
    <x v="444"/>
    <n v="4"/>
    <s v="MONOHYDRÁT DASATINIBU"/>
    <m/>
    <s v="33652000-5"/>
    <m/>
    <n v="26372808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s v="LÉK"/>
    <s v="Ondráčková"/>
    <x v="444"/>
    <n v="5"/>
    <s v="MONOHYDRÁT LAPATINIB-DITOSILÁTU"/>
    <m/>
    <s v="33652000-5"/>
    <m/>
    <n v="2377087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s v="LÉK"/>
    <s v="Ondráčková"/>
    <x v="444"/>
    <n v="6"/>
    <s v="TEMSIROLIMUS"/>
    <m/>
    <s v="33652000-5"/>
    <m/>
    <n v="304833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90"/>
    <s v="VŠEOB"/>
    <s v="Smrčková"/>
    <x v="49"/>
    <m/>
    <m/>
    <m/>
    <s v="33772000-2"/>
    <m/>
    <n v="1993000"/>
    <x v="2"/>
    <d v="2019-12-30T00:00:00"/>
    <d v="2020-01-10T00:00:00"/>
    <m/>
    <m/>
    <m/>
    <m/>
    <m/>
    <m/>
    <m/>
    <m/>
    <m/>
    <m/>
    <x v="0"/>
    <m/>
    <m/>
  </r>
  <r>
    <m/>
    <m/>
    <d v="2019-12-19T00:00:00"/>
    <s v="VZ-2019-001292"/>
    <s v="VŠEOB"/>
    <s v="Smrčková"/>
    <x v="445"/>
    <m/>
    <m/>
    <m/>
    <s v="30197644-2"/>
    <m/>
    <n v="900000"/>
    <x v="2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m/>
    <m/>
    <x v="446"/>
    <m/>
    <m/>
    <m/>
    <m/>
    <m/>
    <m/>
    <x v="3"/>
    <m/>
    <m/>
    <m/>
    <m/>
    <m/>
    <m/>
    <m/>
    <m/>
    <m/>
    <m/>
    <m/>
    <m/>
    <x v="0"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6">
  <r>
    <s v="xxx"/>
    <s v="xxx"/>
    <s v="xxx"/>
    <s v="VZ-2018-000127"/>
    <x v="0"/>
    <s v="Merta"/>
    <x v="0"/>
    <n v="5"/>
    <s v="Koronární (PTCA) vodiče - základní typ"/>
    <m/>
    <s v="33141210-5"/>
    <m/>
    <n v="1995000"/>
    <x v="0"/>
    <d v="2018-04-19T00:00:00"/>
    <d v="2018-05-31T00:00:00"/>
    <m/>
    <s v="zrušeno - nezbyl žádný účastník"/>
    <s v="nová VZ-2019-000202"/>
    <n v="1974100"/>
    <n v="2388661"/>
    <m/>
    <m/>
    <m/>
    <m/>
    <m/>
    <x v="0"/>
    <d v="2019-01-18T00:00:00"/>
    <m/>
  </r>
  <r>
    <s v="xxx"/>
    <s v="xxx"/>
    <s v="xxx"/>
    <s v="VZ-2018-000127"/>
    <x v="0"/>
    <s v="Merta"/>
    <x v="0"/>
    <n v="6"/>
    <s v="Koronární (PTCA) vodiče - vodiče se zvýšenou odolností měkkého distálního konce, včetně vodičů pro použití chronických uzávěrů (CTO)"/>
    <m/>
    <s v="33141210-5"/>
    <m/>
    <n v="870000"/>
    <x v="0"/>
    <d v="2018-04-19T00:00:00"/>
    <d v="2018-05-31T00:00:00"/>
    <d v="2018-09-07T00:00:00"/>
    <s v="INLAB Medical, s.r.o."/>
    <m/>
    <n v="870000"/>
    <n v="1052700"/>
    <m/>
    <m/>
    <m/>
    <d v="2018-09-12T00:00:00"/>
    <s v="SMLN-2018-617-000295_x000a_SMLN-2018-614-000051"/>
    <x v="1"/>
    <d v="2019-01-18T00:00:00"/>
    <d v="2020-06-30T00:00:00"/>
  </r>
  <r>
    <s v="xxx"/>
    <s v="xxx"/>
    <s v="xxx"/>
    <s v="VZ-2018-000127"/>
    <x v="0"/>
    <s v="Merta"/>
    <x v="0"/>
    <n v="18"/>
    <s v="Koronární stenty lékové DES 2 (Drug Eluting Stents - DES)"/>
    <m/>
    <s v="33141210-5"/>
    <m/>
    <n v="11865750"/>
    <x v="0"/>
    <d v="2018-04-19T00:00:00"/>
    <d v="2018-05-31T00:00:00"/>
    <d v="2018-09-07T00:00:00"/>
    <s v="INLAB Medical, s.r.o."/>
    <m/>
    <n v="11856000"/>
    <n v="13634399.999999998"/>
    <m/>
    <m/>
    <m/>
    <d v="2018-09-12T00:00:00"/>
    <s v="SMLN-2018-617-000302_x000a_SMLN-2018-614-000058"/>
    <x v="1"/>
    <d v="2019-01-18T00:00:00"/>
    <d v="2020-06-30T00:00:00"/>
  </r>
  <r>
    <s v="xxx"/>
    <s v="xxx"/>
    <s v="xxx"/>
    <s v="VZ-2018-000267"/>
    <x v="0"/>
    <s v="Merta"/>
    <x v="1"/>
    <n v="1"/>
    <s v="TEP kyčelního kloubu"/>
    <m/>
    <s v="33141750-2"/>
    <m/>
    <n v="17610000"/>
    <x v="0"/>
    <d v="2018-06-08T00:00:00"/>
    <d v="2018-08-01T00:00:00"/>
    <d v="2018-10-15T00:00:00"/>
    <s v="ZIMMER Czech s.r.o."/>
    <m/>
    <n v="13797684.699999999"/>
    <n v="15867337.449999999"/>
    <m/>
    <m/>
    <m/>
    <d v="2018-10-17T00:00:00"/>
    <s v="SMLN-2018-617-000360_x000a_SMLN-2018-614-000083"/>
    <x v="2"/>
    <d v="2019-03-19T00:00:00"/>
    <d v="2020-09-14T00:00:00"/>
  </r>
  <r>
    <s v="xxx"/>
    <s v="xxx"/>
    <s v="xxx"/>
    <s v="VZ-2018-000267"/>
    <x v="0"/>
    <s v="Merta"/>
    <x v="1"/>
    <n v="2"/>
    <s v="TEP kyčelního kloubu - speciál I."/>
    <m/>
    <s v="33141750-2"/>
    <m/>
    <n v="1650000"/>
    <x v="0"/>
    <d v="2018-06-08T00:00:00"/>
    <d v="2018-08-01T00:00:00"/>
    <d v="2018-10-15T00:00:00"/>
    <s v="Johnson &amp; Johnson s.r.o."/>
    <m/>
    <n v="990000"/>
    <n v="1138500"/>
    <m/>
    <m/>
    <m/>
    <d v="2018-10-17T00:00:00"/>
    <s v="SMLN-2018-617-000361_x000a_SMLN-2018-614-000084"/>
    <x v="3"/>
    <d v="2019-03-19T00:00:00"/>
    <d v="2020-09-10T00:00:00"/>
  </r>
  <r>
    <s v="xxx"/>
    <s v="xxx"/>
    <s v="xxx"/>
    <s v="VZ-2018-000267"/>
    <x v="0"/>
    <s v="Merta"/>
    <x v="1"/>
    <n v="3"/>
    <s v="TEP kyčelního kloubu - speciál II."/>
    <m/>
    <s v="33141750-2"/>
    <m/>
    <n v="2700000"/>
    <x v="0"/>
    <d v="2018-06-08T00:00:00"/>
    <d v="2018-08-01T00:00:00"/>
    <d v="2018-10-15T00:00:00"/>
    <s v="ZIMMER Czech s.r.o."/>
    <m/>
    <n v="1677000"/>
    <n v="1928550"/>
    <m/>
    <m/>
    <m/>
    <d v="2018-10-17T00:00:00"/>
    <s v="SMLN-2018-617-000362_x000a_SMLN-2018-614-000085"/>
    <x v="2"/>
    <d v="2019-03-19T00:00:00"/>
    <d v="2020-09-14T00:00:00"/>
  </r>
  <r>
    <s v="xxx"/>
    <s v="xxx"/>
    <s v="xxx"/>
    <s v="VZ-2018-000267"/>
    <x v="0"/>
    <s v="Merta"/>
    <x v="1"/>
    <n v="4"/>
    <s v="TEP koleního kloubu ."/>
    <m/>
    <s v="33141750-2"/>
    <m/>
    <n v="9420000"/>
    <x v="0"/>
    <d v="2018-06-08T00:00:00"/>
    <d v="2018-08-01T00:00:00"/>
    <d v="2018-10-15T00:00:00"/>
    <s v="ZIMMER Czech s.r.o."/>
    <m/>
    <n v="7097500"/>
    <n v="8162125"/>
    <m/>
    <m/>
    <m/>
    <d v="2018-10-17T00:00:00"/>
    <s v="SMLN-2018-617-000363_x000a_SMLN-2018-614-000086"/>
    <x v="2"/>
    <d v="2019-03-19T00:00:00"/>
    <d v="2020-09-14T00:00:00"/>
  </r>
  <r>
    <s v="xxx"/>
    <s v="xxx"/>
    <s v="xxx"/>
    <s v="VZ-2018-000267"/>
    <x v="0"/>
    <s v="Merta"/>
    <x v="1"/>
    <n v="5"/>
    <s v="TEP koleního kloubu - speciál I."/>
    <m/>
    <s v="33141750-2"/>
    <m/>
    <n v="1200000"/>
    <x v="0"/>
    <d v="2018-06-08T00:00:00"/>
    <d v="2018-08-01T00:00:00"/>
    <d v="2018-10-15T00:00:00"/>
    <s v="ZIMMER Czech s.r.o."/>
    <m/>
    <n v="990000"/>
    <n v="1138500"/>
    <m/>
    <m/>
    <m/>
    <d v="2018-10-17T00:00:00"/>
    <s v="SMLN-2018-617-000364_x000a_SMLN-2018-614-000087"/>
    <x v="2"/>
    <d v="2019-03-19T00:00:00"/>
    <d v="2020-09-14T00:00:00"/>
  </r>
  <r>
    <s v="xxx"/>
    <s v="xxx"/>
    <s v="xxx"/>
    <s v="VZ-2018-000267"/>
    <x v="0"/>
    <s v="Merta"/>
    <x v="1"/>
    <n v="6"/>
    <s v="TEP koleního kloubu - speciál II."/>
    <m/>
    <s v="33141750-2"/>
    <m/>
    <n v="2100000"/>
    <x v="0"/>
    <d v="2018-06-08T00:00:00"/>
    <d v="2018-08-01T00:00:00"/>
    <d v="2018-10-15T00:00:00"/>
    <s v="ZIMMER Czech s.r.o."/>
    <m/>
    <n v="1650000"/>
    <n v="1897500"/>
    <m/>
    <m/>
    <m/>
    <d v="2018-10-17T00:00:00"/>
    <s v="SMLN-2018-617-000365_x000a_SMLN-2018-614-000088"/>
    <x v="2"/>
    <d v="2019-03-19T00:00:00"/>
    <d v="2020-09-14T00:00:00"/>
  </r>
  <r>
    <s v="xxx"/>
    <s v="xxx"/>
    <s v="xxx"/>
    <s v="VZ-2018-000332"/>
    <x v="0"/>
    <s v="Merta"/>
    <x v="2"/>
    <n v="1"/>
    <s v="Implantabilní dvoukanálový neurostimulační systém k léčbě Hlubokou Mozkovou Stimulací (DBS) - MRI kompatibilní - dobíjitelný"/>
    <m/>
    <s v="33158210-7"/>
    <m/>
    <n v="4707330"/>
    <x v="0"/>
    <d v="2018-10-03T00:00:00"/>
    <d v="2018-11-06T00:00:00"/>
    <d v="2019-04-23T00:00:00"/>
    <s v="Medifine a.s."/>
    <m/>
    <n v="4289133.8"/>
    <n v="4939616.2"/>
    <m/>
    <m/>
    <m/>
    <d v="2019-04-25T00:00:00"/>
    <s v="SMLN-2019-617-000199_x000a_SMLN-2019-614-000018_x000a_SMLN-2019-616-000029"/>
    <x v="4"/>
    <d v="2019-07-12T00:00:00"/>
    <d v="2020-12-27T00:00:00"/>
  </r>
  <r>
    <s v="xxx"/>
    <s v="xxx"/>
    <s v="xxx"/>
    <s v="VZ-2018-000332"/>
    <x v="0"/>
    <s v="Merta"/>
    <x v="2"/>
    <n v="2"/>
    <s v="Implantabilní dvoukanálový neurostimulační systém k léčbě Hlubokou Mozkovou Stimulací (DBS) - MRI kompatibilní - nedobíjitelný"/>
    <m/>
    <s v="33158210-7"/>
    <m/>
    <n v="27186970"/>
    <x v="0"/>
    <d v="2018-10-03T00:00:00"/>
    <d v="2018-11-06T00:00:00"/>
    <d v="2019-04-23T00:00:00"/>
    <s v="Medifine a.s."/>
    <m/>
    <n v="25803589.02"/>
    <n v="29701249.710000001"/>
    <m/>
    <m/>
    <m/>
    <d v="2019-04-25T00:00:00"/>
    <s v="SMLN-2019-617-000200_x000a_SMLN-2019-614-000019"/>
    <x v="4"/>
    <d v="2019-07-12T00:00:00"/>
    <d v="2020-12-27T00:00:00"/>
  </r>
  <r>
    <s v="xxx"/>
    <s v="xxx"/>
    <s v="xxx"/>
    <s v="VZ-2018-000332"/>
    <x v="0"/>
    <s v="Merta"/>
    <x v="2"/>
    <n v="3"/>
    <s v="Implantabilní neurostimulační systém dvoukanálový k léčbě bolestivých stavů - MRI kompatibilní - nedobíjitelný"/>
    <m/>
    <s v="33158210-7"/>
    <m/>
    <n v="7792000"/>
    <x v="0"/>
    <d v="2018-10-03T00:00:00"/>
    <d v="2018-11-06T00:00:00"/>
    <d v="2019-04-23T00:00:00"/>
    <s v="Medifine a.s."/>
    <m/>
    <n v="7777523.2000000002"/>
    <n v="8960589.5999999996"/>
    <m/>
    <m/>
    <m/>
    <d v="2019-04-25T00:00:00"/>
    <s v="SMLN-2019-617-000201_x000a_SMLN-2019-614-000020"/>
    <x v="4"/>
    <d v="2019-07-12T00:00:00"/>
    <d v="2020-12-27T00:00:00"/>
  </r>
  <r>
    <s v="xxx"/>
    <s v="xxx"/>
    <s v="xxx"/>
    <s v="VZ-2018-000332"/>
    <x v="0"/>
    <s v="Merta"/>
    <x v="2"/>
    <n v="4"/>
    <s v="Implantabilní neurostimulační systém dvoukanálový k léčbě bolestivých stavů - MRI kompatibilní - dobíjitelný "/>
    <m/>
    <s v="33158210-7"/>
    <m/>
    <n v="2456000"/>
    <x v="0"/>
    <d v="2018-10-03T00:00:00"/>
    <d v="2018-11-06T00:00:00"/>
    <d v="2019-04-23T00:00:00"/>
    <s v="Medifine a.s."/>
    <m/>
    <n v="2451609.56"/>
    <n v="2825040.84"/>
    <m/>
    <m/>
    <m/>
    <d v="2019-04-25T00:00:00"/>
    <s v="SMLN-2019-617-000202_x000a_SMLN-2019-614-000021"/>
    <x v="4"/>
    <d v="2019-07-12T00:00:00"/>
    <d v="2020-12-27T00:00:00"/>
  </r>
  <r>
    <s v="xxx"/>
    <s v="xxx"/>
    <s v="xxx"/>
    <s v="VZ-2018-000332"/>
    <x v="0"/>
    <s v="Merta"/>
    <x v="2"/>
    <n v="5"/>
    <s v="Implantabilní programovatelné lékové pumpy"/>
    <m/>
    <s v="33158210-7"/>
    <m/>
    <n v="3000000"/>
    <x v="0"/>
    <d v="2018-10-03T00:00:00"/>
    <d v="2018-11-06T00:00:00"/>
    <d v="2019-04-23T00:00:00"/>
    <s v="Medifine a.s."/>
    <m/>
    <n v="2958928.04"/>
    <n v="3408015.94"/>
    <m/>
    <m/>
    <m/>
    <d v="2019-04-25T00:00:00"/>
    <s v="SMLN-2019-617-000203_x000a_SMLN-2019-614-000022"/>
    <x v="4"/>
    <d v="2019-07-12T00:00:00"/>
    <d v="2020-12-27T00:00:00"/>
  </r>
  <r>
    <s v="xxx"/>
    <s v="xxx"/>
    <s v="xxx"/>
    <s v="VZ-2018-000334"/>
    <x v="1"/>
    <s v="Oravec"/>
    <x v="3"/>
    <m/>
    <m/>
    <m/>
    <s v="30125110-5 "/>
    <m/>
    <n v="4942180"/>
    <x v="0"/>
    <d v="2018-05-25T00:00:00"/>
    <d v="2018-08-16T00:00:00"/>
    <d v="2018-09-05T00:00:00"/>
    <s v="COMP´S spol. s r.o."/>
    <m/>
    <n v="4133552"/>
    <n v="5001597.92"/>
    <m/>
    <m/>
    <m/>
    <d v="2018-09-06T00:00:00"/>
    <s v="SMLN-2018-617-000284"/>
    <x v="5"/>
    <d v="2019-01-16T00:00:00"/>
    <d v="2021-01-10T00:00:00"/>
  </r>
  <r>
    <s v="xxx"/>
    <s v="xxx"/>
    <s v="xxx"/>
    <s v="VZ-2018-000346"/>
    <x v="0"/>
    <s v="Merta"/>
    <x v="4"/>
    <n v="1"/>
    <s v="Srdeční aortální chlopně mechanické s kavitálním pivotem"/>
    <m/>
    <s v="33182220-7"/>
    <m/>
    <n v="546210"/>
    <x v="0"/>
    <d v="2018-09-06T00:00:00"/>
    <d v="2018-10-11T00:00:00"/>
    <d v="2018-11-07T00:00:00"/>
    <s v="CARDION s.r.o."/>
    <m/>
    <n v="540000"/>
    <n v="621000"/>
    <m/>
    <m/>
    <m/>
    <d v="2018-11-09T00:00:00"/>
    <s v="SMLN-2018-617-000405_x000a_SMLN-2018-614-000092"/>
    <x v="6"/>
    <d v="2019-01-25T00:00:00"/>
    <d v="2020-07-20T00:00:00"/>
  </r>
  <r>
    <s v="xxx"/>
    <s v="xxx"/>
    <s v="xxx"/>
    <s v="VZ-2018-000346"/>
    <x v="0"/>
    <s v="Merta"/>
    <x v="4"/>
    <n v="2"/>
    <s v="Srdeční aortální chlopně mechanické pro nižší hladinu antikoagulace (INR 1,5-2)"/>
    <m/>
    <s v="33182220-7"/>
    <m/>
    <n v="225650"/>
    <x v="0"/>
    <d v="2018-09-06T00:00:00"/>
    <d v="2018-10-11T00:00:00"/>
    <d v="2018-11-07T00:00:00"/>
    <s v="Meditrade  spol. s r.o."/>
    <m/>
    <n v="225650"/>
    <n v="259497.5"/>
    <m/>
    <m/>
    <m/>
    <d v="2018-11-09T00:00:00"/>
    <s v="SMLN-2018-617-000406_x000a_SMLN-2018-614-000093"/>
    <x v="6"/>
    <d v="2019-01-25T00:00:00"/>
    <d v="2020-07-20T00:00:00"/>
  </r>
  <r>
    <s v="xxx"/>
    <s v="xxx"/>
    <s v="xxx"/>
    <s v="VZ-2018-000346"/>
    <x v="0"/>
    <s v="Merta"/>
    <x v="4"/>
    <n v="3"/>
    <s v="Srdeční mitrální chlopně mechanické"/>
    <m/>
    <s v="33182220-7"/>
    <m/>
    <n v="587800"/>
    <x v="0"/>
    <d v="2018-09-06T00:00:00"/>
    <d v="2018-10-11T00:00:00"/>
    <d v="2018-11-07T00:00:00"/>
    <s v="CARDION s.r.o."/>
    <m/>
    <n v="580000"/>
    <n v="667000"/>
    <m/>
    <m/>
    <m/>
    <d v="2018-11-09T00:00:00"/>
    <s v="SMLN-2018-617-000409_x000a_SMLN-2018-614-000094"/>
    <x v="6"/>
    <d v="2019-01-25T00:00:00"/>
    <d v="2020-07-20T00:00:00"/>
  </r>
  <r>
    <s v="xxx"/>
    <s v="xxx"/>
    <s v="xxx"/>
    <s v="VZ-2018-000346"/>
    <x v="0"/>
    <s v="Merta"/>
    <x v="4"/>
    <n v="4"/>
    <s v="Srdeční aortální chlopně biologické perikardiální do těsných anulů"/>
    <m/>
    <s v="33182220-7"/>
    <m/>
    <n v="6780480"/>
    <x v="0"/>
    <d v="2018-09-06T00:00:00"/>
    <d v="2018-10-11T00:00:00"/>
    <d v="2018-11-07T00:00:00"/>
    <s v="CARDION s.r.o."/>
    <m/>
    <n v="6720000"/>
    <n v="7728000"/>
    <m/>
    <m/>
    <m/>
    <d v="2018-11-09T00:00:00"/>
    <s v="SMLN-2018-617-000410_x000a_SMLN-2018-614-000095"/>
    <x v="6"/>
    <d v="2019-01-25T00:00:00"/>
    <d v="2020-07-20T00:00:00"/>
  </r>
  <r>
    <s v="xxx"/>
    <s v="xxx"/>
    <s v="xxx"/>
    <s v="VZ-2018-000346"/>
    <x v="0"/>
    <s v="Merta"/>
    <x v="4"/>
    <n v="6"/>
    <s v="Srdeční aortální chlopně biologické perikardiální do větších anulů s dlouhodobou životností"/>
    <m/>
    <s v="33182220-7"/>
    <m/>
    <n v="1792000"/>
    <x v="0"/>
    <d v="2018-09-06T00:00:00"/>
    <d v="2018-10-11T00:00:00"/>
    <d v="2018-11-07T00:00:00"/>
    <s v="Edwards Lifesciences "/>
    <m/>
    <n v="1792000"/>
    <n v="2060799.9999999998"/>
    <m/>
    <m/>
    <m/>
    <d v="2018-11-09T00:00:00"/>
    <s v="SMLN-2018-617-000411_x000a_SMLN-2018-614-000096"/>
    <x v="6"/>
    <d v="2019-01-25T00:00:00"/>
    <d v="2020-07-20T00:00:00"/>
  </r>
  <r>
    <s v="xxx"/>
    <s v="xxx"/>
    <s v="xxx"/>
    <s v="VZ-2018-000346"/>
    <x v="0"/>
    <s v="Merta"/>
    <x v="4"/>
    <n v="7"/>
    <s v="Srdeční mitrální chlopně biologické prasečí"/>
    <m/>
    <s v="33182220-7"/>
    <m/>
    <n v="702150"/>
    <x v="0"/>
    <d v="2018-09-06T00:00:00"/>
    <d v="2018-10-11T00:00:00"/>
    <d v="2018-11-07T00:00:00"/>
    <s v="CARDION s.r.o."/>
    <m/>
    <n v="700000"/>
    <n v="805000"/>
    <m/>
    <m/>
    <m/>
    <d v="2018-11-09T00:00:00"/>
    <s v="SMLN-2018-617-000412_x000a_SMLN-2018-614-000097"/>
    <x v="6"/>
    <d v="2019-01-25T00:00:00"/>
    <d v="2020-07-20T00:00:00"/>
  </r>
  <r>
    <s v="xxx"/>
    <s v="xxx"/>
    <s v="xxx"/>
    <s v="VZ-2018-000346"/>
    <x v="0"/>
    <s v="Merta"/>
    <x v="4"/>
    <n v="9"/>
    <s v="Anuloplastické prstence semirigidní trikuspidální velikosti 28 - 38 mm "/>
    <m/>
    <s v="33182220-7"/>
    <m/>
    <n v="407460"/>
    <x v="0"/>
    <d v="2018-09-06T00:00:00"/>
    <d v="2018-10-11T00:00:00"/>
    <d v="2018-11-07T00:00:00"/>
    <s v="Edwards Lifesciences "/>
    <m/>
    <n v="407460"/>
    <n v="468579"/>
    <m/>
    <m/>
    <m/>
    <d v="2019-01-03T00:00:00"/>
    <s v="SMLN-2019-617-000002_x000a_SMLN-2019-614-000001"/>
    <x v="6"/>
    <d v="2019-01-25T00:00:00"/>
    <d v="2020-07-20T00:00:00"/>
  </r>
  <r>
    <s v="xxx"/>
    <s v="xxx"/>
    <s v="xxx"/>
    <s v="VZ-2018-000356"/>
    <x v="2"/>
    <s v="Neudörflerová"/>
    <x v="5"/>
    <n v="1"/>
    <s v="Resuscitační přístroj"/>
    <m/>
    <s v="33172200-8  "/>
    <s v="2.3.328."/>
    <n v="789537"/>
    <x v="0"/>
    <d v="2018-06-13T00:00:00"/>
    <d v="2018-09-10T00:00:00"/>
    <d v="2018-12-14T00:00:00"/>
    <s v="medisap s.r.o."/>
    <m/>
    <n v="814390"/>
    <n v="985411.9"/>
    <m/>
    <m/>
    <m/>
    <d v="2018-12-14T00:00:00"/>
    <s v="SMLN-2018-617-000458_x000a_SMLN-2018-612-000151"/>
    <x v="7"/>
    <d v="2019-02-13T00:00:00"/>
    <d v="2019-04-17T00:00:00"/>
  </r>
  <r>
    <s v="xxx"/>
    <s v="xxx"/>
    <s v="xxx"/>
    <s v="VZ-2018-000356"/>
    <x v="2"/>
    <s v="Neudörflerová"/>
    <x v="5"/>
    <n v="2"/>
    <s v="Plicní ventilátor"/>
    <m/>
    <s v="33172000-6"/>
    <s v="2.3.329."/>
    <n v="12102396"/>
    <x v="0"/>
    <d v="2018-06-13T00:00:00"/>
    <d v="2018-09-10T00:00:00"/>
    <d v="2018-12-14T00:00:00"/>
    <s v="Dräger Medical s.r.o."/>
    <m/>
    <n v="10812100"/>
    <n v="13082641"/>
    <m/>
    <m/>
    <m/>
    <d v="2018-12-14T00:00:00"/>
    <s v="SMLN-2018-617-000459_x000a_SMLN-2018-612-000152"/>
    <x v="7"/>
    <d v="2019-02-13T00:00:00"/>
    <d v="2019-04-03T00:00:00"/>
  </r>
  <r>
    <s v="xxx"/>
    <s v="xxx"/>
    <s v="xxx"/>
    <s v="VZ-2018-000356"/>
    <x v="2"/>
    <s v="Neudörflerová"/>
    <x v="5"/>
    <n v="3"/>
    <s v="Přístroj pro podporu dýchání"/>
    <m/>
    <s v="33172000-6"/>
    <s v="2.3.330."/>
    <n v="2259338"/>
    <x v="0"/>
    <d v="2018-06-13T00:00:00"/>
    <d v="2018-09-10T00:00:00"/>
    <m/>
    <s v="zrušeno"/>
    <s v="nová VZ-2019-000168"/>
    <m/>
    <m/>
    <m/>
    <m/>
    <m/>
    <m/>
    <m/>
    <x v="0"/>
    <d v="2019-02-13T00:00:00"/>
    <m/>
  </r>
  <r>
    <s v="xxx"/>
    <s v="xxx"/>
    <s v="xxx"/>
    <s v="VZ-2018-000356"/>
    <x v="2"/>
    <s v="Neudörflerová"/>
    <x v="5"/>
    <n v="4"/>
    <s v="Zvlhčovací kanyla"/>
    <m/>
    <s v="33172000-6"/>
    <s v="2.3.335."/>
    <n v="448283"/>
    <x v="0"/>
    <d v="2018-06-13T00:00:00"/>
    <d v="2018-09-10T00:00:00"/>
    <d v="2018-12-14T00:00:00"/>
    <s v="Dartin spol. s r.o."/>
    <m/>
    <n v="665561.80000000005"/>
    <n v="805329.77800000005"/>
    <m/>
    <m/>
    <m/>
    <d v="2018-12-14T00:00:00"/>
    <s v="SMLN-2018-617-000460_x000a_SMLN-2018-612-000153"/>
    <x v="8"/>
    <d v="2019-02-13T00:00:00"/>
    <d v="2019-04-10T00:00:00"/>
  </r>
  <r>
    <s v="xxx"/>
    <s v="xxx"/>
    <s v="xxx"/>
    <s v="VZ-2018-000362"/>
    <x v="2"/>
    <s v="Neudörflerová"/>
    <x v="6"/>
    <n v="3"/>
    <s v="Inkubátor transportní"/>
    <m/>
    <s v="33152000-0 "/>
    <s v="3.2.325."/>
    <n v="976033.35"/>
    <x v="0"/>
    <d v="2018-06-15T00:00:00"/>
    <d v="2018-08-21T00:00:00"/>
    <d v="2018-10-30T00:00:00"/>
    <s v="Dartin spol. s r.o."/>
    <m/>
    <n v="1967572.28"/>
    <n v="2380762.4588000001"/>
    <m/>
    <m/>
    <m/>
    <d v="2018-11-02T00:00:00"/>
    <s v="SMLN-2018-617-000397_x000a_SMLN-2018-612-000129"/>
    <x v="9"/>
    <d v="2019-01-29T00:00:00"/>
    <d v="2019-04-04T00:00:00"/>
  </r>
  <r>
    <s v="xxx"/>
    <s v="xxx"/>
    <s v="xxx"/>
    <s v="VZ-2018-000367"/>
    <x v="0"/>
    <s v="Čech"/>
    <x v="7"/>
    <n v="2"/>
    <s v="Fúzní náhrady krční meziobratlové ploténky"/>
    <m/>
    <s v="33184100-4"/>
    <m/>
    <n v="3300000"/>
    <x v="0"/>
    <d v="2018-06-18T00:00:00"/>
    <d v="2018-08-03T00:00:00"/>
    <d v="2018-10-15T00:00:00"/>
    <s v="BoneCare s.r.o."/>
    <m/>
    <n v="3240000"/>
    <n v="3726000"/>
    <m/>
    <m/>
    <m/>
    <d v="2018-10-16T00:00:00"/>
    <s v="SMLN-2018-617-000350_x000a_SMLN-2018-614-000074"/>
    <x v="10"/>
    <d v="2019-02-08T00:00:00"/>
    <d v="2020-08-03T00:00:00"/>
  </r>
  <r>
    <s v="xxx"/>
    <s v="xxx"/>
    <s v="xxx"/>
    <s v="VZ-2018-000367"/>
    <x v="0"/>
    <s v="Čech"/>
    <x v="7"/>
    <n v="3"/>
    <s v="Fúzní systémy pro stabilizaci krční páteře zadním přístupem"/>
    <m/>
    <s v="33184100-4"/>
    <m/>
    <n v="723000"/>
    <x v="0"/>
    <d v="2018-06-18T00:00:00"/>
    <d v="2018-08-03T00:00:00"/>
    <d v="2018-10-15T00:00:00"/>
    <s v="Johnson &amp; Johnson s.r.o."/>
    <m/>
    <n v="276383"/>
    <n v="317840.45"/>
    <m/>
    <m/>
    <m/>
    <d v="2018-10-16T00:00:00"/>
    <s v="SMLN-2018-617-000357_x000a_SMLN-2018-614-000080"/>
    <x v="10"/>
    <d v="2019-02-08T00:00:00"/>
    <d v="2020-08-03T00:00:00"/>
  </r>
  <r>
    <s v="xxx"/>
    <s v="xxx"/>
    <s v="xxx"/>
    <s v="VZ-2018-000367"/>
    <x v="0"/>
    <s v="Čech"/>
    <x v="7"/>
    <n v="4"/>
    <s v="Fúzní náhrada bederní meziobratlové ploténky – ALIF"/>
    <m/>
    <s v="33184100-4"/>
    <m/>
    <n v="419000"/>
    <x v="0"/>
    <d v="2018-06-18T00:00:00"/>
    <d v="2018-08-03T00:00:00"/>
    <d v="2018-10-15T00:00:00"/>
    <s v="BoneCare s.r.o."/>
    <m/>
    <n v="398000"/>
    <n v="457700"/>
    <m/>
    <m/>
    <m/>
    <d v="2018-10-16T00:00:00"/>
    <s v="SMLN-2018-617-000351_x000a_SMLN-2018-614-000075"/>
    <x v="10"/>
    <d v="2019-02-08T00:00:00"/>
    <d v="2020-08-03T00:00:00"/>
  </r>
  <r>
    <s v="xxx"/>
    <s v="xxx"/>
    <s v="xxx"/>
    <s v="VZ-2018-000367"/>
    <x v="0"/>
    <s v="Čech"/>
    <x v="7"/>
    <n v="5"/>
    <s v="Fúzní náhrada bederní meziobratlové ploténky – XLIF"/>
    <m/>
    <s v="33184100-4"/>
    <m/>
    <n v="1410000"/>
    <x v="0"/>
    <d v="2018-06-18T00:00:00"/>
    <d v="2018-08-03T00:00:00"/>
    <d v="2018-10-15T00:00:00"/>
    <s v="BoneCare s.r.o."/>
    <m/>
    <n v="1410000"/>
    <n v="1621500"/>
    <m/>
    <m/>
    <m/>
    <d v="2018-10-16T00:00:00"/>
    <s v="SMLN-2018-617-000352_x000a_SMLN-2018-614-000076"/>
    <x v="10"/>
    <d v="2019-02-08T00:00:00"/>
    <d v="2020-08-03T00:00:00"/>
  </r>
  <r>
    <s v="xxx"/>
    <s v="xxx"/>
    <s v="xxx"/>
    <s v="VZ-2018-000367"/>
    <x v="0"/>
    <s v="Čech"/>
    <x v="7"/>
    <n v="6"/>
    <s v="Fúzní náhrada bederní meziobratlové ploténky – PLIF expandibilní"/>
    <m/>
    <s v="33184100-4"/>
    <m/>
    <n v="616000"/>
    <x v="0"/>
    <d v="2018-06-18T00:00:00"/>
    <d v="2018-08-03T00:00:00"/>
    <d v="2018-10-15T00:00:00"/>
    <s v="BoneCare s.r.o."/>
    <m/>
    <n v="614250"/>
    <n v="706387.5"/>
    <m/>
    <m/>
    <m/>
    <d v="2018-10-16T00:00:00"/>
    <s v="SMLN-2018-617-000353_x000a_SMLN-2018-614-000077"/>
    <x v="10"/>
    <d v="2019-02-08T00:00:00"/>
    <d v="2020-08-03T00:00:00"/>
  </r>
  <r>
    <s v="xxx"/>
    <s v="xxx"/>
    <s v="xxx"/>
    <s v="VZ-2018-000367"/>
    <x v="0"/>
    <s v="Čech"/>
    <x v="7"/>
    <n v="7"/>
    <s v="Fúzní systém pro transpedikulární stabilizaci bederní páteře – degenerativní – k redukci pseudolistézy - spondylolistézy"/>
    <m/>
    <s v="33184100-4"/>
    <m/>
    <n v="4280000"/>
    <x v="0"/>
    <d v="2018-06-18T00:00:00"/>
    <d v="2018-08-03T00:00:00"/>
    <d v="2018-10-15T00:00:00"/>
    <s v="BoneCare s.r.o."/>
    <m/>
    <n v="2616000"/>
    <n v="3008400"/>
    <m/>
    <m/>
    <m/>
    <d v="2018-10-16T00:00:00"/>
    <s v="SMLN-2018-617-000354_x000a_SMLN-2018-614-000078"/>
    <x v="10"/>
    <d v="2019-02-08T00:00:00"/>
    <d v="2020-08-03T00:00:00"/>
  </r>
  <r>
    <s v="xxx"/>
    <s v="xxx"/>
    <s v="xxx"/>
    <s v="VZ-2018-000367"/>
    <x v="0"/>
    <s v="Čech"/>
    <x v="7"/>
    <n v="8"/>
    <s v="Fúzní systém pro transpedikulární stabilizaci hrudní a bederní páteře – traumatologický"/>
    <m/>
    <s v="33184100-4"/>
    <m/>
    <n v="4280000"/>
    <x v="0"/>
    <d v="2018-06-18T00:00:00"/>
    <d v="2018-08-03T00:00:00"/>
    <d v="2018-10-15T00:00:00"/>
    <s v="BoneCare s.r.o."/>
    <m/>
    <n v="2160000"/>
    <n v="2484000"/>
    <m/>
    <m/>
    <m/>
    <d v="2018-10-16T00:00:00"/>
    <s v="SMLN-2018-617-000355_x000a_SMLN-2018-614-000079"/>
    <x v="10"/>
    <d v="2019-02-08T00:00:00"/>
    <d v="2020-08-03T00:00:00"/>
  </r>
  <r>
    <s v="xxx"/>
    <s v="xxx"/>
    <s v="xxx"/>
    <s v="VZ-2018-000367"/>
    <x v="0"/>
    <s v="Čech"/>
    <x v="7"/>
    <n v="9"/>
    <s v="Fúzní systém pro transpedikulární stabilizaci hrudní a bederní páteře – šrouby pro osteoporotický terén – kanylové k aplikaci cementu"/>
    <m/>
    <s v="33184100-4"/>
    <m/>
    <n v="2817000"/>
    <x v="0"/>
    <d v="2018-06-18T00:00:00"/>
    <d v="2018-08-03T00:00:00"/>
    <m/>
    <s v="zrušeno"/>
    <s v="příprava nové VZ"/>
    <m/>
    <m/>
    <m/>
    <m/>
    <m/>
    <m/>
    <m/>
    <x v="0"/>
    <d v="2019-02-08T00:00:00"/>
    <m/>
  </r>
  <r>
    <s v="xxx"/>
    <s v="xxx"/>
    <s v="xxx"/>
    <s v="VZ-2018-000367"/>
    <x v="0"/>
    <s v="Čech"/>
    <x v="7"/>
    <n v="10"/>
    <s v="Fúzní náhrada těla krčního, hrudního a bederního obratle – expandibilní mechanicky"/>
    <m/>
    <s v="33184100-4"/>
    <m/>
    <n v="1335000"/>
    <x v="0"/>
    <d v="2018-06-18T00:00:00"/>
    <d v="2018-08-03T00:00:00"/>
    <d v="2019-01-21T00:00:00"/>
    <s v="BoneCare s.r.o."/>
    <m/>
    <n v="1320000"/>
    <n v="1518000"/>
    <m/>
    <m/>
    <m/>
    <d v="2019-01-21T00:00:00"/>
    <s v="SMLN-2019-617-000027_x000a_SMLN-2019-614-000004"/>
    <x v="11"/>
    <d v="2019-02-08T00:00:00"/>
    <d v="2020-08-07T00:00:00"/>
  </r>
  <r>
    <s v="xxx"/>
    <s v="xxx"/>
    <s v="xxx"/>
    <s v="VZ-2018-000367"/>
    <x v="0"/>
    <s v="Čech"/>
    <x v="7"/>
    <n v="11"/>
    <s v="Verbroplastická sada"/>
    <m/>
    <s v="33184100-4"/>
    <m/>
    <n v="920000"/>
    <x v="0"/>
    <d v="2018-06-18T00:00:00"/>
    <d v="2018-08-03T00:00:00"/>
    <d v="2018-10-15T00:00:00"/>
    <s v="Johnson &amp; Johnson s.r.o."/>
    <m/>
    <n v="904000"/>
    <n v="1039600"/>
    <m/>
    <m/>
    <m/>
    <d v="2018-10-16T00:00:00"/>
    <s v="SMLN-2018-617-000358_x000a_SMLN-2018-614-000081"/>
    <x v="10"/>
    <d v="2019-02-08T00:00:00"/>
    <d v="2020-08-03T00:00:00"/>
  </r>
  <r>
    <s v="xxx"/>
    <s v="xxx"/>
    <s v="xxx"/>
    <s v="VZ-2018-000367"/>
    <x v="0"/>
    <s v="Čech"/>
    <x v="7"/>
    <n v="13"/>
    <s v="Náhrada meziobratlové ploténky"/>
    <m/>
    <s v="33184100-4"/>
    <m/>
    <n v="243000"/>
    <x v="0"/>
    <d v="2018-06-18T00:00:00"/>
    <d v="2018-08-03T00:00:00"/>
    <d v="2018-10-15T00:00:00"/>
    <s v="Mediservis s.r.o."/>
    <m/>
    <n v="172740.4"/>
    <n v="198651.46"/>
    <m/>
    <m/>
    <m/>
    <d v="2018-10-16T00:00:00"/>
    <s v="SMLN-2018-617-000359_x000a_SMLN-2018-614-000082"/>
    <x v="10"/>
    <d v="2019-02-08T00:00:00"/>
    <d v="2020-08-03T00:00:00"/>
  </r>
  <r>
    <s v="xxx"/>
    <s v="xxx"/>
    <s v="xxx"/>
    <s v="VZ-2018-000368"/>
    <x v="3"/>
    <s v="Nerudová"/>
    <x v="8"/>
    <m/>
    <m/>
    <m/>
    <s v="33141620-2"/>
    <m/>
    <n v="12000000"/>
    <x v="0"/>
    <d v="2018-06-19T00:00:00"/>
    <d v="2018-09-05T00:00:00"/>
    <m/>
    <s v="zrušeno - úprava zadání"/>
    <s v="příprava nové VZ"/>
    <m/>
    <m/>
    <m/>
    <m/>
    <m/>
    <m/>
    <m/>
    <x v="0"/>
    <d v="2019-06-21T00:00:00"/>
    <m/>
  </r>
  <r>
    <s v="xxx"/>
    <s v="xxx"/>
    <s v="xxx"/>
    <s v="VZ-2018-000416"/>
    <x v="4"/>
    <s v="Eyer"/>
    <x v="9"/>
    <m/>
    <m/>
    <m/>
    <s v="50710000-5"/>
    <m/>
    <n v="3000000"/>
    <x v="1"/>
    <d v="2018-10-09T00:00:00"/>
    <d v="2018-10-30T00:00:00"/>
    <d v="2018-12-05T00:00:00"/>
    <s v="Otáhal Miloslav"/>
    <m/>
    <n v="1899072"/>
    <n v="1899072"/>
    <m/>
    <m/>
    <m/>
    <d v="2018-12-05T00:00:00"/>
    <s v="SMLN-2018-612-000149"/>
    <x v="7"/>
    <d v="2019-02-08T00:00:00"/>
    <d v="2022-02-05T00:00:00"/>
  </r>
  <r>
    <s v="xxx"/>
    <s v="xxx"/>
    <s v="xxx"/>
    <s v="VZ-2018-000424"/>
    <x v="0"/>
    <s v="Merta"/>
    <x v="10"/>
    <n v="1"/>
    <s v="Ablační katetry pro 3D mapování a ablací s aktivním navigačním senzorem"/>
    <m/>
    <s v="33141200-2 "/>
    <m/>
    <n v="19664900"/>
    <x v="0"/>
    <d v="2018-10-03T00:00:00"/>
    <d v="2018-12-14T00:00:00"/>
    <d v="2019-02-07T00:00:00"/>
    <s v="EP SERVICES s.r.o."/>
    <m/>
    <n v="19664619.829999998"/>
    <n v="23794189.994299997"/>
    <m/>
    <m/>
    <m/>
    <d v="2019-02-13T00:00:00"/>
    <s v="SMLN-2019-617-000064_x000a_SMLN-2019-614-000006"/>
    <x v="12"/>
    <d v="2019-04-10T00:00:00"/>
    <d v="2020-09-27T00:00:00"/>
  </r>
  <r>
    <s v="xxx"/>
    <s v="xxx"/>
    <s v="xxx"/>
    <s v="VZ-2018-000424"/>
    <x v="0"/>
    <s v="Merta"/>
    <x v="10"/>
    <n v="2"/>
    <s v="Ablační katetry pro provádění konvenčních ablací"/>
    <m/>
    <s v="33141200-2 "/>
    <m/>
    <n v="3197500"/>
    <x v="0"/>
    <d v="2018-10-03T00:00:00"/>
    <d v="2018-12-14T00:00:00"/>
    <d v="2019-02-07T00:00:00"/>
    <s v="Cardiomedical, s.r.o."/>
    <m/>
    <n v="3115500"/>
    <n v="3769755"/>
    <m/>
    <m/>
    <m/>
    <d v="2019-02-13T00:00:00"/>
    <s v="SMLN-2019-617-000065_x000a_SMLN-2019-614-000007"/>
    <x v="13"/>
    <d v="2019-04-10T00:00:00"/>
    <d v="2020-09-24T00:00:00"/>
  </r>
  <r>
    <s v="xxx"/>
    <s v="xxx"/>
    <s v="xxx"/>
    <s v="VZ-2018-000424"/>
    <x v="0"/>
    <s v="Merta"/>
    <x v="10"/>
    <n v="4"/>
    <s v="Základní diagnostické katetry fixní II."/>
    <m/>
    <s v="33141200-2 "/>
    <m/>
    <n v="600000"/>
    <x v="0"/>
    <d v="2018-10-03T00:00:00"/>
    <d v="2018-12-14T00:00:00"/>
    <d v="2019-02-07T00:00:00"/>
    <s v="Cardiomedical, s.r.o."/>
    <m/>
    <n v="600000"/>
    <n v="726000"/>
    <m/>
    <m/>
    <m/>
    <d v="2019-02-13T00:00:00"/>
    <s v="SMLN-2019-617-000066_x000a_SMLN-2019-614-000008"/>
    <x v="13"/>
    <d v="2019-04-10T00:00:00"/>
    <d v="2020-09-24T00:00:00"/>
  </r>
  <r>
    <s v="xxx"/>
    <s v="xxx"/>
    <s v="xxx"/>
    <s v="VZ-2018-000424"/>
    <x v="0"/>
    <s v="Merta"/>
    <x v="10"/>
    <n v="5"/>
    <s v="Základní diagnostické katetry řiditelné I."/>
    <m/>
    <s v="33141200-2 "/>
    <m/>
    <n v="3479000"/>
    <x v="0"/>
    <d v="2018-10-03T00:00:00"/>
    <d v="2018-12-14T00:00:00"/>
    <d v="2019-02-07T00:00:00"/>
    <s v="CARDION s.r.o."/>
    <m/>
    <n v="3478512.4"/>
    <n v="4209000.0039999997"/>
    <m/>
    <m/>
    <m/>
    <d v="2019-02-13T00:00:00"/>
    <s v="SMLN-2019-617-000067_x000a_SMLN-2019-614-000009"/>
    <x v="13"/>
    <d v="2019-04-10T00:00:00"/>
    <d v="2020-09-24T00:00:00"/>
  </r>
  <r>
    <s v="xxx"/>
    <s v="xxx"/>
    <s v="xxx"/>
    <s v="VZ-2018-000424"/>
    <x v="0"/>
    <s v="Merta"/>
    <x v="10"/>
    <n v="6"/>
    <s v="Základní diagnostické katetry řiditelné II."/>
    <m/>
    <s v="33141200-2 "/>
    <m/>
    <n v="654000"/>
    <x v="0"/>
    <d v="2018-10-03T00:00:00"/>
    <d v="2018-12-14T00:00:00"/>
    <d v="2019-02-07T00:00:00"/>
    <s v="Cardiomedical, s.r.o."/>
    <m/>
    <n v="654000"/>
    <n v="791340"/>
    <m/>
    <m/>
    <m/>
    <d v="2019-02-13T00:00:00"/>
    <s v="SMLN-2019-617-000068_x000a_SMLN-2019-614-000010"/>
    <x v="13"/>
    <d v="2019-04-10T00:00:00"/>
    <d v="2020-09-24T00:00:00"/>
  </r>
  <r>
    <s v="xxx"/>
    <s v="xxx"/>
    <s v="xxx"/>
    <s v="VZ-2018-000424"/>
    <x v="0"/>
    <s v="Merta"/>
    <x v="10"/>
    <n v="7"/>
    <s v="Hemostatický zavaděč katetrů – stabilizační fixní"/>
    <m/>
    <s v="33141200-2 "/>
    <m/>
    <n v="677000"/>
    <x v="0"/>
    <d v="2018-10-03T00:00:00"/>
    <d v="2018-12-14T00:00:00"/>
    <d v="2019-02-07T00:00:00"/>
    <s v="CARDION s.r.o."/>
    <m/>
    <n v="676644.63"/>
    <n v="818740.00229999993"/>
    <m/>
    <m/>
    <m/>
    <d v="2019-02-13T00:00:00"/>
    <s v="SMLN-2019-617-000069_x000a_SMLN-2019-614-000011"/>
    <x v="12"/>
    <d v="2019-04-10T00:00:00"/>
    <d v="2020-09-27T00:00:00"/>
  </r>
  <r>
    <s v="xxx"/>
    <s v="xxx"/>
    <s v="xxx"/>
    <s v="VZ-2018-000424"/>
    <x v="0"/>
    <s v="Merta"/>
    <x v="10"/>
    <n v="8"/>
    <s v="Hemostatický zavaděč katetrů – stabilizační ředitelný"/>
    <m/>
    <s v="33141200-2 "/>
    <m/>
    <n v="14126200"/>
    <x v="0"/>
    <d v="2018-10-03T00:00:00"/>
    <d v="2018-12-14T00:00:00"/>
    <d v="2019-02-07T00:00:00"/>
    <s v="CARDION s.r.o."/>
    <m/>
    <n v="14126033.060000001"/>
    <n v="17092500.002599999"/>
    <m/>
    <m/>
    <m/>
    <d v="2019-02-13T00:00:00"/>
    <s v="SMLN-2019-617-000070_x000a_SMLN-2019-614-000012"/>
    <x v="12"/>
    <d v="2019-04-10T00:00:00"/>
    <d v="2020-09-27T00:00:00"/>
  </r>
  <r>
    <s v="xxx"/>
    <s v="xxx"/>
    <s v="xxx"/>
    <s v="VZ-2018-000424"/>
    <x v="0"/>
    <s v="Merta"/>
    <x v="10"/>
    <n v="9"/>
    <s v="Transseptální jehly"/>
    <m/>
    <s v="33141200-2 "/>
    <m/>
    <n v="3800000"/>
    <x v="0"/>
    <d v="2018-10-03T00:00:00"/>
    <d v="2018-12-14T00:00:00"/>
    <d v="2019-02-07T00:00:00"/>
    <s v="CARDION s.r.o."/>
    <m/>
    <n v="3800000"/>
    <n v="4598000"/>
    <m/>
    <m/>
    <m/>
    <d v="2019-02-13T00:00:00"/>
    <s v="SMLN-2019-617-000071_x000a_SMLN-2019-614-000013"/>
    <x v="12"/>
    <d v="2019-04-10T00:00:00"/>
    <d v="2020-09-27T00:00:00"/>
  </r>
  <r>
    <s v="xxx"/>
    <s v="xxx"/>
    <s v="xxx"/>
    <s v="VZ-2018-000424"/>
    <x v="0"/>
    <s v="Merta"/>
    <x v="10"/>
    <n v="10"/>
    <s v="Intrakardiální ultrazvukový katetr"/>
    <m/>
    <s v="33141200-2 "/>
    <m/>
    <n v="5625000"/>
    <x v="0"/>
    <d v="2018-10-03T00:00:00"/>
    <d v="2018-12-14T00:00:00"/>
    <d v="2019-02-07T00:00:00"/>
    <s v="EP SERVICES s.r.o."/>
    <m/>
    <n v="5625000"/>
    <n v="6806250"/>
    <m/>
    <m/>
    <m/>
    <d v="2019-02-13T00:00:00"/>
    <s v="SMLN-2019-617-000072_x000a_SMLN-2019-614-000014"/>
    <x v="12"/>
    <d v="2019-04-10T00:00:00"/>
    <d v="2020-09-27T00:00:00"/>
  </r>
  <r>
    <s v="xxx"/>
    <s v="xxx"/>
    <s v="xxx"/>
    <s v="VZ-2018-000424"/>
    <x v="0"/>
    <s v="Merta"/>
    <x v="10"/>
    <n v="11"/>
    <s v="Katetr diagnostický s proměnným zakřivením multipolárním pro mapování komplexních arytmií v pravé síni"/>
    <m/>
    <s v="33141200-2 "/>
    <m/>
    <n v="1875000"/>
    <x v="0"/>
    <d v="2018-10-03T00:00:00"/>
    <d v="2018-12-14T00:00:00"/>
    <d v="2019-02-07T00:00:00"/>
    <s v="EP SERVICES s.r.o."/>
    <m/>
    <n v="1875000"/>
    <n v="2268750"/>
    <m/>
    <m/>
    <m/>
    <d v="2019-02-13T00:00:00"/>
    <s v="SMLN-2019-617-000073_x000a_SMLN-2019-614-000015"/>
    <x v="12"/>
    <d v="2019-04-10T00:00:00"/>
    <d v="2020-09-27T00:00:00"/>
  </r>
  <r>
    <s v="xxx"/>
    <s v="xxx"/>
    <s v="xxx"/>
    <s v="VZ-2018-000424"/>
    <x v="0"/>
    <s v="Merta"/>
    <x v="10"/>
    <n v="12"/>
    <s v="Katetr diagnostický s proměnným zakřivením multipolární pro mapování s vysokým rozlišením"/>
    <m/>
    <s v="33141200-2 "/>
    <m/>
    <n v="1156750"/>
    <x v="0"/>
    <d v="2018-10-03T00:00:00"/>
    <d v="2018-12-14T00:00:00"/>
    <d v="2019-02-07T00:00:00"/>
    <s v="EP SERVICES s.r.o."/>
    <m/>
    <n v="1156605.3799999999"/>
    <n v="1399492.5097999999"/>
    <m/>
    <m/>
    <m/>
    <d v="2019-02-13T00:00:00"/>
    <s v="SMLN-2019-617-000075_x000a_SMLN-2019-614-000016"/>
    <x v="12"/>
    <d v="2019-04-10T00:00:00"/>
    <d v="2020-09-27T00:00:00"/>
  </r>
  <r>
    <s v="xxx"/>
    <s v="xxx"/>
    <s v="xxx"/>
    <s v="VZ-2018-000441"/>
    <x v="2"/>
    <s v="Neudörflerová"/>
    <x v="11"/>
    <n v="1"/>
    <s v="KTG"/>
    <m/>
    <s v="33195000-3"/>
    <s v="2.3.339."/>
    <n v="5197355.32"/>
    <x v="0"/>
    <d v="2018-09-25T00:00:00"/>
    <d v="2018-11-05T00:00:00"/>
    <d v="2018-12-13T00:00:00"/>
    <s v="S &amp; T Plus s.r.o."/>
    <m/>
    <n v="5279580"/>
    <n v="6388291.7999999998"/>
    <m/>
    <m/>
    <m/>
    <d v="2018-12-14T00:00:00"/>
    <s v="SMLN-2018-617-000461_x000a_SMLN-2018-612-000154"/>
    <x v="14"/>
    <d v="2019-02-28T00:00:00"/>
    <d v="2019-05-07T00:00:00"/>
  </r>
  <r>
    <s v="xxx"/>
    <s v="xxx"/>
    <s v="xxx"/>
    <s v="VZ-2018-000441"/>
    <x v="2"/>
    <s v="Neudörflerová"/>
    <x v="11"/>
    <n v="2"/>
    <s v="ST analyzátor"/>
    <m/>
    <s v="33195000-3"/>
    <s v="2.3.343."/>
    <n v="3306944.71"/>
    <x v="0"/>
    <d v="2018-09-25T00:00:00"/>
    <d v="2018-11-05T00:00:00"/>
    <d v="2018-12-13T00:00:00"/>
    <s v="MSM, spol. s r.o."/>
    <m/>
    <n v="2942292"/>
    <n v="3560173.66"/>
    <m/>
    <m/>
    <m/>
    <d v="2018-12-14T00:00:00"/>
    <s v="SMLN-2018-617-000462_x000a_SMLN-2018-612-000155"/>
    <x v="14"/>
    <d v="2019-02-28T00:00:00"/>
    <d v="2019-04-23T00:00:00"/>
  </r>
  <r>
    <s v="xxx"/>
    <s v="xxx"/>
    <s v="xxx"/>
    <s v="VZ-2018-000462"/>
    <x v="2"/>
    <s v="Neudörflerová"/>
    <x v="12"/>
    <n v="1"/>
    <s v="Monitory životních funkcí včetně centrály pro Novorozenecké oddělení"/>
    <m/>
    <s v="33195100-4"/>
    <s v="2.3.326."/>
    <n v="3399173"/>
    <x v="0"/>
    <d v="2018-11-09T00:00:00"/>
    <d v="2019-01-07T00:00:00"/>
    <d v="2019-02-07T00:00:00"/>
    <s v="medisap s.r.o."/>
    <m/>
    <n v="3560154"/>
    <n v="4307786.34"/>
    <m/>
    <m/>
    <m/>
    <d v="2019-02-08T00:00:00"/>
    <s v="SMLN-2019-617-000055_x000a_SMLN-2019-612-000012"/>
    <x v="13"/>
    <d v="2019-03-27T00:00:00"/>
    <d v="2019-06-03T00:00:00"/>
  </r>
  <r>
    <s v="xxx"/>
    <s v="xxx"/>
    <s v="xxx"/>
    <s v="VZ-2018-000462"/>
    <x v="2"/>
    <s v="Neudörflerová"/>
    <x v="12"/>
    <n v="2"/>
    <s v="Monitor mozkových funkcí"/>
    <m/>
    <s v="33195100-4"/>
    <s v="2.3.327."/>
    <n v="518181"/>
    <x v="0"/>
    <d v="2018-11-09T00:00:00"/>
    <d v="2019-01-07T00:00:00"/>
    <d v="2019-02-07T00:00:00"/>
    <s v="Dartin spol. s r.o."/>
    <m/>
    <n v="671689"/>
    <n v="812743.17"/>
    <m/>
    <m/>
    <m/>
    <d v="2019-02-08T00:00:00"/>
    <s v="SMLN-2019-617-000056_x000a_SMLN-2019-612-000013_x000a_SMLN-2019-617-000057"/>
    <x v="13"/>
    <d v="2019-03-27T00:00:00"/>
    <d v="2019-05-20T00:00:00"/>
  </r>
  <r>
    <s v="xxx"/>
    <s v="xxx"/>
    <s v="xxx"/>
    <s v="VZ-2018-000462"/>
    <x v="2"/>
    <s v="Neudörflerová"/>
    <x v="12"/>
    <n v="3"/>
    <s v="Monitory životních funkcí – bed  side"/>
    <m/>
    <s v="33195100-4"/>
    <s v="2.3.348."/>
    <n v="1882644"/>
    <x v="0"/>
    <d v="2018-11-09T00:00:00"/>
    <d v="2019-01-07T00:00:00"/>
    <d v="2019-02-07T00:00:00"/>
    <s v="S &amp; T Plus s.r.o."/>
    <m/>
    <n v="1132576"/>
    <n v="1370416.96"/>
    <m/>
    <m/>
    <m/>
    <d v="2019-02-11T00:00:00"/>
    <s v="SMLN-2019-617-000058_x000a_SMLN-2019-612-000014"/>
    <x v="13"/>
    <d v="2019-03-27T00:00:00"/>
    <d v="2019-06-03T00:00:00"/>
  </r>
  <r>
    <s v="xxx"/>
    <s v="xxx"/>
    <s v="xxx"/>
    <s v="VZ-2018-000462"/>
    <x v="2"/>
    <s v="Neudörflerová"/>
    <x v="12"/>
    <n v="4"/>
    <s v="Monitory životních funkcí včetně centrály pro Porodnicko – gynekologickou kliniku"/>
    <m/>
    <s v="33195100-4"/>
    <s v="2.3.326."/>
    <n v="2757850"/>
    <x v="0"/>
    <d v="2018-11-09T00:00:00"/>
    <d v="2019-01-07T00:00:00"/>
    <d v="2019-02-07T00:00:00"/>
    <s v="S &amp; T Plus s.r.o."/>
    <m/>
    <n v="2736480"/>
    <n v="3311140.8"/>
    <m/>
    <m/>
    <m/>
    <d v="2019-02-11T00:00:00"/>
    <s v="SMLN-2019-617-000059_x000a_SMLN-2019-612-000015"/>
    <x v="13"/>
    <d v="2019-03-27T00:00:00"/>
    <d v="2019-06-03T00:00:00"/>
  </r>
  <r>
    <s v="xxx"/>
    <s v="xxx"/>
    <s v="xxx"/>
    <s v="VZ-2018-000463"/>
    <x v="5"/>
    <s v="Ondráčková"/>
    <x v="13"/>
    <n v="1"/>
    <s v="Paramagnetické kontrastní látky 0,5 mmol/ml ( pro dospělé i děti včetně kojeneckého a novorozeneckého věku, tj. 0-18 let) včetně použití u celotělové MR pro pediatrickou populaci 0-1 rok"/>
    <s v="V08CA"/>
    <s v="33696800-3"/>
    <m/>
    <n v="1705200"/>
    <x v="0"/>
    <d v="2018-07-18T00:00:00"/>
    <d v="2018-08-24T00:00:00"/>
    <d v="2019-01-16T00:00:00"/>
    <s v="Diagnostic Pharmaceuticals a.s."/>
    <m/>
    <n v="1635600"/>
    <n v="1799160.0000000002"/>
    <m/>
    <m/>
    <m/>
    <d v="2019-01-16T00:00:00"/>
    <s v="SMLN-2019-617-000014"/>
    <x v="15"/>
    <d v="2019-03-25T00:00:00"/>
    <d v="2021-03-17T00:00:00"/>
  </r>
  <r>
    <s v="xxx"/>
    <s v="xxx"/>
    <s v="xxx"/>
    <s v="VZ-2018-000463"/>
    <x v="5"/>
    <s v="Ondráčková"/>
    <x v="13"/>
    <n v="2"/>
    <s v="Paramagnetické kontrastní látky 0,5 mmol/ml (s dvojnásobnou relaxivitou k zobrazování lézí jater)"/>
    <s v="V08CA"/>
    <s v="33696800-3"/>
    <m/>
    <n v="74100"/>
    <x v="0"/>
    <d v="2018-07-18T00:00:00"/>
    <d v="2018-08-24T00:00:00"/>
    <d v="2019-01-16T00:00:00"/>
    <s v="Bracco Imaging Czech s.r.o."/>
    <m/>
    <n v="74090"/>
    <n v="81499"/>
    <m/>
    <m/>
    <m/>
    <d v="2019-01-16T00:00:00"/>
    <s v="SMLN-2019-617-000015"/>
    <x v="15"/>
    <d v="2019-03-25T00:00:00"/>
    <d v="2021-03-17T00:00:00"/>
  </r>
  <r>
    <s v="xxx"/>
    <s v="xxx"/>
    <s v="xxx"/>
    <s v="VZ-2018-000463"/>
    <x v="5"/>
    <s v="Ondráčková"/>
    <x v="13"/>
    <n v="3"/>
    <s v="Paramagnetické kontrastní látky 1,0 mmol/ml"/>
    <s v="V08CA"/>
    <s v="33696800-3"/>
    <m/>
    <n v="2302873"/>
    <x v="0"/>
    <d v="2018-07-18T00:00:00"/>
    <d v="2018-08-24T00:00:00"/>
    <d v="2019-01-16T00:00:00"/>
    <s v="BAYER s.r.o."/>
    <m/>
    <n v="2302872.08"/>
    <n v="2533159.2880000002"/>
    <m/>
    <m/>
    <m/>
    <d v="2019-01-16T00:00:00"/>
    <s v="SMLN-2019-617-000016"/>
    <x v="15"/>
    <d v="2019-03-25T00:00:00"/>
    <d v="2021-03-17T00:00:00"/>
  </r>
  <r>
    <s v="xxx"/>
    <s v="xxx"/>
    <s v="xxx"/>
    <s v="VZ-2018-000493"/>
    <x v="6"/>
    <s v="Rosulek"/>
    <x v="14"/>
    <n v="1"/>
    <s v="Plicní ventilátory"/>
    <m/>
    <s v="33157400-9"/>
    <s v="2.2.91;2.2.174"/>
    <n v="8049586"/>
    <x v="0"/>
    <d v="2018-07-25T00:00:00"/>
    <d v="2018-10-15T00:00:00"/>
    <d v="2018-11-22T00:00:00"/>
    <s v="A.M.I.- Analytical Medical In."/>
    <m/>
    <n v="7125075"/>
    <n v="8621340.75"/>
    <m/>
    <m/>
    <m/>
    <d v="2018-11-26T00:00:00"/>
    <s v="SMLN-2018-617-000424_x000a_SMLN-2018-612-000140"/>
    <x v="16"/>
    <d v="2019-01-09T00:00:00"/>
    <d v="2019-03-04T00:00:00"/>
  </r>
  <r>
    <s v="xxx"/>
    <s v="xxx"/>
    <s v="xxx"/>
    <s v="VZ-2018-000493"/>
    <x v="6"/>
    <s v="Rosulek"/>
    <x v="14"/>
    <n v="2"/>
    <s v="Transportní ventilátory"/>
    <m/>
    <s v="33157400-9"/>
    <s v="2.2.82; 2.2.175"/>
    <n v="1190082"/>
    <x v="0"/>
    <d v="2018-07-25T00:00:00"/>
    <d v="2018-10-15T00:00:00"/>
    <d v="2018-11-22T00:00:00"/>
    <s v="Dräger Medical s.r.o."/>
    <m/>
    <n v="1184500"/>
    <n v="1433245"/>
    <m/>
    <m/>
    <m/>
    <d v="2018-11-26T00:00:00"/>
    <s v="SMLN-2018-617-000425_x000a_SMLN-2018-612-000141"/>
    <x v="7"/>
    <d v="2019-02-06T00:00:00"/>
    <d v="2019-04-03T00:00:00"/>
  </r>
  <r>
    <s v="xxx"/>
    <s v="xxx"/>
    <s v="xxx"/>
    <s v="VZ-2018-000493"/>
    <x v="6"/>
    <s v="Rosulek"/>
    <x v="14"/>
    <n v="3"/>
    <s v="Neinvazivní plicní ventilátor"/>
    <m/>
    <s v="33157400-9"/>
    <s v="2.4.100"/>
    <n v="349256"/>
    <x v="0"/>
    <d v="2018-07-25T00:00:00"/>
    <d v="2018-10-15T00:00:00"/>
    <d v="2018-11-22T00:00:00"/>
    <s v="Saegeling Medizintechnik"/>
    <m/>
    <n v="342828"/>
    <n v="397490.28"/>
    <m/>
    <m/>
    <m/>
    <d v="2018-11-26T00:00:00"/>
    <s v="SMLN-2018-617-000426_x000a_SMLN-2018-612-000142"/>
    <x v="16"/>
    <d v="2019-01-09T00:00:00"/>
    <d v="2019-03-04T00:00:00"/>
  </r>
  <r>
    <s v="xxx"/>
    <s v="xxx"/>
    <s v="xxx"/>
    <s v="VZ-2018-000508"/>
    <x v="2"/>
    <s v="Neudörflerová"/>
    <x v="15"/>
    <m/>
    <m/>
    <m/>
    <s v="33111000-1"/>
    <s v="2.3.337."/>
    <n v="2152066.1"/>
    <x v="0"/>
    <d v="2018-09-25T00:00:00"/>
    <d v="2018-10-31T00:00:00"/>
    <d v="2018-12-05T00:00:00"/>
    <s v="FOMA Medical spol. s  r.o."/>
    <m/>
    <n v="2119510"/>
    <n v="2564607.1"/>
    <m/>
    <m/>
    <m/>
    <d v="2018-12-07T00:00:00"/>
    <s v="SMLN-2018-617-000452_x000a_SMLN-2018-612-000150"/>
    <x v="5"/>
    <d v="2019-01-23T00:00:00"/>
    <d v="2019-03-22T00:00:00"/>
  </r>
  <r>
    <s v="xxx"/>
    <s v="xxx"/>
    <s v="xxx"/>
    <s v="VZ-2018-000509"/>
    <x v="2"/>
    <s v="Neudörflerová"/>
    <x v="16"/>
    <m/>
    <m/>
    <m/>
    <s v="33124100-6"/>
    <s v="2.3.351."/>
    <n v="971000"/>
    <x v="0"/>
    <d v="2018-11-09T00:00:00"/>
    <d v="2018-12-12T00:00:00"/>
    <d v="2019-01-15T00:00:00"/>
    <s v="MEDISTA spol. s r.o."/>
    <m/>
    <n v="1351100"/>
    <n v="1634831"/>
    <m/>
    <m/>
    <m/>
    <d v="2019-01-16T00:00:00"/>
    <s v="SMLN-2019-617-000011_x000a_SMLN-2019-612-000006_x000a_SMLN-2019-617-000012"/>
    <x v="17"/>
    <d v="2019-02-21T00:00:00"/>
    <d v="2019-04-16T00:00:00"/>
  </r>
  <r>
    <s v="xxx"/>
    <s v="xxx"/>
    <s v="xxx"/>
    <s v="VZ-2018-000575"/>
    <x v="5"/>
    <s v="Ondráčková"/>
    <x v="17"/>
    <n v="1"/>
    <s v="Fentanyl-citrát"/>
    <s v="N02AB03"/>
    <s v="33661200-3"/>
    <m/>
    <n v="1862375"/>
    <x v="2"/>
    <d v="2018-08-22T00:00:00"/>
    <d v="2018-08-29T00:00:00"/>
    <d v="2018-11-20T00:00:00"/>
    <s v="ViaPharma s.r.o."/>
    <m/>
    <n v="1833158.71"/>
    <n v="2016474.58"/>
    <m/>
    <m/>
    <m/>
    <d v="2018-11-20T00:00:00"/>
    <s v="SMLN-2018-617-000416"/>
    <x v="18"/>
    <d v="2019-01-14T00:00:00"/>
    <d v="2020-01-13T00:00:00"/>
  </r>
  <r>
    <s v="xxx"/>
    <s v="xxx"/>
    <s v="xxx"/>
    <s v="VZ-2018-000586"/>
    <x v="0"/>
    <s v="Valtová"/>
    <x v="18"/>
    <m/>
    <m/>
    <m/>
    <s v="33140000-3"/>
    <m/>
    <n v="18039200"/>
    <x v="0"/>
    <d v="2018-10-03T00:00:00"/>
    <d v="2018-11-05T00:00:00"/>
    <d v="2018-12-05T00:00:00"/>
    <s v="CARDION s.r.o."/>
    <m/>
    <n v="18039000"/>
    <n v="20744850"/>
    <m/>
    <m/>
    <m/>
    <d v="2018-12-11T00:00:00"/>
    <s v="SMLN-2018-617-000456_x000a_SMLN -2018-614-000098"/>
    <x v="9"/>
    <d v="2019-01-25T00:00:00"/>
    <d v="2020-07-23T00:00:00"/>
  </r>
  <r>
    <s v="xxx"/>
    <s v="xxx"/>
    <s v="xxx"/>
    <s v="VZ-2018-000593"/>
    <x v="0"/>
    <s v="Valtová"/>
    <x v="19"/>
    <m/>
    <m/>
    <m/>
    <s v="33140000-3"/>
    <m/>
    <n v="1115405"/>
    <x v="2"/>
    <d v="2018-08-27T00:00:00"/>
    <d v="2018-09-14T00:00:00"/>
    <d v="2019-09-25T00:00:00"/>
    <s v="Medtronic Czechia s.r.o."/>
    <m/>
    <n v="900000"/>
    <n v="1089000"/>
    <m/>
    <m/>
    <m/>
    <d v="2019-01-16T00:00:00"/>
    <s v="SMLN-2019-617-000013_x000a_SMLN-2019-614-000002"/>
    <x v="19"/>
    <d v="2019-02-08T00:00:00"/>
    <d v="2021-02-04T00:00:00"/>
  </r>
  <r>
    <s v="xxx"/>
    <s v="xxx"/>
    <s v="xxx"/>
    <s v="VZ-2018-000603"/>
    <x v="5"/>
    <s v="Ondráčková"/>
    <x v="20"/>
    <n v="1"/>
    <s v="Genotropin"/>
    <s v="H01AC01"/>
    <s v="33642100-3"/>
    <m/>
    <n v="41300323.960000001"/>
    <x v="0"/>
    <d v="2018-09-25T00:00:00"/>
    <d v="2018-10-31T00:00:00"/>
    <d v="2018-11-30T00:00:00"/>
    <s v="PHOENIX lék.velkoobchod, s.r.o."/>
    <m/>
    <n v="41104437.479999997"/>
    <n v="45214881.228"/>
    <m/>
    <m/>
    <m/>
    <d v="2018-12-03T00:00:00"/>
    <s v="SMLN-2018-617-000440"/>
    <x v="20"/>
    <d v="2019-01-21T00:00:00"/>
    <d v="2023-01-09T00:00:00"/>
  </r>
  <r>
    <s v="xxx"/>
    <s v="xxx"/>
    <s v="xxx"/>
    <s v="VZ-2018-000603"/>
    <x v="5"/>
    <s v="Ondráčková"/>
    <x v="20"/>
    <n v="2"/>
    <s v="Humatrope"/>
    <s v="H01AC01"/>
    <s v="33642100-3"/>
    <m/>
    <n v="18830180.890000001"/>
    <x v="0"/>
    <d v="2018-09-25T00:00:00"/>
    <d v="2018-10-31T00:00:00"/>
    <d v="2018-11-30T00:00:00"/>
    <s v="PHOENIX lék.velkoobchod, s.r.o."/>
    <m/>
    <n v="18736351.109999999"/>
    <n v="20609986.221000001"/>
    <m/>
    <m/>
    <m/>
    <d v="2018-12-03T00:00:00"/>
    <s v="SMLN-2018-617-000441"/>
    <x v="20"/>
    <d v="2019-01-21T00:00:00"/>
    <d v="2023-01-09T00:00:00"/>
  </r>
  <r>
    <s v="xxx"/>
    <s v="xxx"/>
    <s v="xxx"/>
    <s v="VZ-2018-000603"/>
    <x v="5"/>
    <s v="Ondráčková"/>
    <x v="20"/>
    <n v="3"/>
    <s v="Norditropin"/>
    <s v="H01AC01"/>
    <s v="33642100-3"/>
    <m/>
    <n v="42899036.450000003"/>
    <x v="0"/>
    <d v="2018-09-25T00:00:00"/>
    <d v="2018-10-31T00:00:00"/>
    <d v="2018-11-30T00:00:00"/>
    <s v="ViaPharma s.r.o."/>
    <m/>
    <n v="42803439.280000001"/>
    <n v="47083783.208000004"/>
    <m/>
    <m/>
    <m/>
    <d v="2018-12-03T00:00:00"/>
    <s v="SMLN-2018-617-000442"/>
    <x v="20"/>
    <d v="2019-01-21T00:00:00"/>
    <d v="2023-01-09T00:00:00"/>
  </r>
  <r>
    <s v="xxx"/>
    <s v="xxx"/>
    <s v="xxx"/>
    <s v="VZ-2018-000603"/>
    <x v="5"/>
    <s v="Ondráčková"/>
    <x v="20"/>
    <n v="4"/>
    <s v="Nutropinaq"/>
    <s v="H01AC01"/>
    <s v="33642100-3"/>
    <m/>
    <n v="5515900.9100000001"/>
    <x v="0"/>
    <d v="2018-09-25T00:00:00"/>
    <d v="2018-10-31T00:00:00"/>
    <d v="2018-11-30T00:00:00"/>
    <s v="PHOENIX lék.velkoobchod, s.r.o."/>
    <m/>
    <n v="5485924"/>
    <n v="6034516.4000000004"/>
    <m/>
    <m/>
    <m/>
    <d v="2018-12-03T00:00:00"/>
    <s v="SMLN-2018-617-000443"/>
    <x v="20"/>
    <d v="2019-01-21T00:00:00"/>
    <d v="2023-01-09T00:00:00"/>
  </r>
  <r>
    <s v="xxx"/>
    <s v="xxx"/>
    <s v="xxx"/>
    <s v="VZ-2018-000603"/>
    <x v="5"/>
    <s v="Ondráčková"/>
    <x v="20"/>
    <n v="5"/>
    <s v="Omnitrope"/>
    <s v="H01AC01"/>
    <s v="33642100-3"/>
    <m/>
    <n v="16652654.73"/>
    <x v="0"/>
    <d v="2018-09-25T00:00:00"/>
    <d v="2018-10-31T00:00:00"/>
    <d v="2018-11-30T00:00:00"/>
    <s v="Pharmos, a.s."/>
    <m/>
    <n v="16587621.630000001"/>
    <n v="18246383.793000001"/>
    <m/>
    <m/>
    <m/>
    <d v="2018-12-03T00:00:00"/>
    <s v="SMLN-2018-617-000444"/>
    <x v="20"/>
    <d v="2019-01-21T00:00:00"/>
    <d v="2023-01-09T00:00:00"/>
  </r>
  <r>
    <s v="xxx"/>
    <s v="xxx"/>
    <s v="xxx"/>
    <s v="VZ-2018-000603"/>
    <x v="5"/>
    <s v="Ondráčková"/>
    <x v="20"/>
    <n v="6"/>
    <s v="Saizen"/>
    <s v="H01AC01"/>
    <s v="33642100-3"/>
    <m/>
    <n v="12678937.16"/>
    <x v="0"/>
    <d v="2018-09-25T00:00:00"/>
    <d v="2018-10-31T00:00:00"/>
    <d v="2018-11-30T00:00:00"/>
    <s v="PHOENIX lék.velkoobchod, s.r.o."/>
    <m/>
    <n v="12608680.5"/>
    <n v="13869548.550000001"/>
    <m/>
    <m/>
    <m/>
    <d v="2018-12-03T00:00:00"/>
    <s v="SMLN-2018-617-000445"/>
    <x v="20"/>
    <d v="2019-01-21T00:00:00"/>
    <d v="2023-01-09T00:00:00"/>
  </r>
  <r>
    <s v="xxx"/>
    <s v="xxx"/>
    <s v="xxx"/>
    <s v="VZ-2018-000603"/>
    <x v="5"/>
    <s v="Ondráčková"/>
    <x v="20"/>
    <n v="7"/>
    <s v="Zomacton"/>
    <s v="H01AC01"/>
    <s v="33642100-3"/>
    <m/>
    <n v="11377554.689999999"/>
    <x v="0"/>
    <d v="2018-09-25T00:00:00"/>
    <d v="2018-10-31T00:00:00"/>
    <d v="2018-11-30T00:00:00"/>
    <s v="ViaPharma s.r.o."/>
    <m/>
    <n v="11362478.16"/>
    <n v="12498725.976000002"/>
    <m/>
    <m/>
    <m/>
    <d v="2018-12-03T00:00:00"/>
    <s v="SMLN-2018-617-000446"/>
    <x v="20"/>
    <d v="2019-01-21T00:00:00"/>
    <d v="2023-01-09T00:00:00"/>
  </r>
  <r>
    <s v="xxx"/>
    <s v="xxx"/>
    <s v="xxx"/>
    <s v="VZ-2018-000605"/>
    <x v="5"/>
    <s v="Ondráčková"/>
    <x v="21"/>
    <n v="1"/>
    <s v="Monohydrát bosentanu pro podání při plicní arteriální hypertenzi"/>
    <s v="C02KX01"/>
    <s v="33622200-8"/>
    <m/>
    <n v="2130154"/>
    <x v="0"/>
    <d v="2018-10-25T00:00:00"/>
    <d v="2018-11-30T00:00:00"/>
    <d v="2019-03-05T00:00:00"/>
    <s v="Alliance Healthcare s.r.o."/>
    <m/>
    <n v="1636059.1"/>
    <n v="1799665.0100000002"/>
    <m/>
    <m/>
    <m/>
    <d v="2019-03-05T00:00:00"/>
    <s v="SMLN-2019-617-000122"/>
    <x v="21"/>
    <d v="2019-04-05T00:00:00"/>
    <d v="2021-03-31T00:00:00"/>
  </r>
  <r>
    <s v="xxx"/>
    <s v="xxx"/>
    <s v="xxx"/>
    <s v="VZ-2018-000605"/>
    <x v="5"/>
    <s v="Ondráčková"/>
    <x v="21"/>
    <n v="2"/>
    <s v="Monohydrát bosentanu pro podání ke snížení počtu nových vředů na prstech u pacientů se systémovou_x000a_sklerózou a pokračující vředovou chorobou prstů"/>
    <s v="C02KX01"/>
    <s v="33622200-8"/>
    <m/>
    <n v="298758"/>
    <x v="0"/>
    <d v="2018-10-25T00:00:00"/>
    <d v="2018-11-30T00:00:00"/>
    <d v="2019-03-05T00:00:00"/>
    <s v="Alliance Healthcare s.r.o."/>
    <m/>
    <n v="207044.7"/>
    <n v="227749.17000000004"/>
    <m/>
    <m/>
    <m/>
    <d v="2019-03-05T00:00:00"/>
    <s v="SMLN-2019-617-000123"/>
    <x v="21"/>
    <d v="2019-04-05T00:00:00"/>
    <d v="2021-03-31T00:00:00"/>
  </r>
  <r>
    <s v="xxx"/>
    <s v="xxx"/>
    <s v="xxx"/>
    <s v="VZ-2018-000605"/>
    <x v="5"/>
    <s v="Ondráčková"/>
    <x v="21"/>
    <n v="3"/>
    <s v="Ambrisentan"/>
    <s v="C02KX02"/>
    <s v="33622200-8"/>
    <m/>
    <n v="13588559"/>
    <x v="0"/>
    <d v="2018-10-25T00:00:00"/>
    <d v="2018-11-30T00:00:00"/>
    <d v="2019-03-05T00:00:00"/>
    <s v="PHOENIX lék.velkoobchod, s.r.o."/>
    <m/>
    <n v="13426404.6"/>
    <n v="14769045.060000001"/>
    <m/>
    <m/>
    <m/>
    <d v="2019-03-05T00:00:00"/>
    <s v="SMLN-2019-617-000124"/>
    <x v="21"/>
    <d v="2019-04-05T00:00:00"/>
    <d v="2021-03-31T00:00:00"/>
  </r>
  <r>
    <s v="xxx"/>
    <s v="xxx"/>
    <s v="xxx"/>
    <s v="VZ-2018-000605"/>
    <x v="5"/>
    <s v="Ondráčková"/>
    <x v="21"/>
    <n v="4"/>
    <s v="Macitentan"/>
    <s v="C02KX04"/>
    <s v="33622200-8"/>
    <m/>
    <n v="8837280"/>
    <x v="0"/>
    <d v="2018-10-25T00:00:00"/>
    <d v="2018-11-30T00:00:00"/>
    <d v="2019-03-05T00:00:00"/>
    <s v="Alliance Healthcare s.r.o."/>
    <m/>
    <n v="8837280"/>
    <n v="9721008"/>
    <m/>
    <m/>
    <m/>
    <d v="2019-03-05T00:00:00"/>
    <s v="SMLN-2019-617-000125"/>
    <x v="21"/>
    <d v="2019-04-05T00:00:00"/>
    <d v="2021-03-31T00:00:00"/>
  </r>
  <r>
    <s v="xxx"/>
    <s v="xxx"/>
    <s v="xxx"/>
    <s v="VZ-2018-000605"/>
    <x v="5"/>
    <s v="Ondráčková"/>
    <x v="21"/>
    <n v="5"/>
    <s v="Sodná sůl epoprostenolu"/>
    <s v="B01AC09"/>
    <s v="33622200-8"/>
    <m/>
    <n v="3523471"/>
    <x v="0"/>
    <d v="2018-10-25T00:00:00"/>
    <d v="2018-11-30T00:00:00"/>
    <m/>
    <s v="janssen, alliance h"/>
    <s v="DůVOD zrušeno ; nepodali nabídku ; DALŠÍ POSTUP opakování zrušené; 30.8. předáno OZVZ; ÚPRAVA  ; PŘEDPOKLAD  ; POZN: "/>
    <m/>
    <m/>
    <m/>
    <m/>
    <m/>
    <m/>
    <m/>
    <x v="0"/>
    <d v="2019-03-22T00:00:00"/>
    <m/>
  </r>
  <r>
    <s v="xxx"/>
    <s v="xxx"/>
    <s v="xxx"/>
    <s v="VZ-2018-000605"/>
    <x v="5"/>
    <s v="Ondráčková"/>
    <x v="21"/>
    <n v="6"/>
    <s v="Iloprost-trometamol"/>
    <s v="B01AC11"/>
    <s v="33622200-8"/>
    <m/>
    <n v="943725"/>
    <x v="0"/>
    <d v="2018-10-25T00:00:00"/>
    <d v="2018-11-30T00:00:00"/>
    <m/>
    <s v="janssen, alliance h"/>
    <s v="DůVOD zrušeno ; nepodali nabídku ; DALŠÍ POSTUP opakování zrušené; 30.8. předáno OZVZ; ÚPRAVA  ; PŘEDPOKLAD  ; POZN: "/>
    <m/>
    <m/>
    <m/>
    <m/>
    <m/>
    <m/>
    <m/>
    <x v="0"/>
    <d v="2019-03-22T00:00:00"/>
    <m/>
  </r>
  <r>
    <s v="xxx"/>
    <s v="xxx"/>
    <s v="xxx"/>
    <s v="VZ-2018-000605"/>
    <x v="5"/>
    <s v="Ondráčková"/>
    <x v="21"/>
    <n v="7"/>
    <s v="Sodná sůl treprostinilu I"/>
    <s v="B01AC21"/>
    <s v="33622200-8"/>
    <m/>
    <n v="114957884"/>
    <x v="0"/>
    <d v="2018-10-25T00:00:00"/>
    <d v="2018-11-30T00:00:00"/>
    <m/>
    <s v="původně actelion, teď janssen; alliance"/>
    <s v="DůVOD zrušeno ; nepodali nabídku ; DALŠÍ POSTUP opakování zrušené; 30.8. předáno OZVZ; ÚPRAVA  ; PŘEDPOKLAD  ; POZN: "/>
    <m/>
    <m/>
    <m/>
    <m/>
    <m/>
    <m/>
    <m/>
    <x v="0"/>
    <d v="2019-03-22T00:00:00"/>
    <m/>
  </r>
  <r>
    <s v="xxx"/>
    <s v="xxx"/>
    <s v="xxx"/>
    <s v="VZ-2018-000605"/>
    <x v="5"/>
    <s v="Ondráčková"/>
    <x v="21"/>
    <n v="8"/>
    <s v="Sildenafil-citrát pro použití při léčbě  plicní arteriální hypertenze"/>
    <s v="G04BE03"/>
    <s v="33622200-8"/>
    <m/>
    <n v="2039696"/>
    <x v="0"/>
    <d v="2018-10-25T00:00:00"/>
    <d v="2018-11-30T00:00:00"/>
    <d v="2019-03-05T00:00:00"/>
    <s v="Alliance Healthcare s.r.o."/>
    <m/>
    <n v="996934.08"/>
    <n v="1096627.49"/>
    <m/>
    <m/>
    <m/>
    <d v="2019-03-05T00:00:00"/>
    <s v="SMLN-2019-617-000126"/>
    <x v="21"/>
    <d v="2019-04-05T00:00:00"/>
    <d v="2021-03-31T00:00:00"/>
  </r>
  <r>
    <s v="xxx"/>
    <s v="xxx"/>
    <s v="xxx"/>
    <s v="VZ-2018-000606"/>
    <x v="5"/>
    <s v="Ondráčková"/>
    <x v="22"/>
    <n v="3"/>
    <s v="Interferon beta-1a II"/>
    <s v="L03AB07"/>
    <s v="33652000-5"/>
    <m/>
    <n v="41208280"/>
    <x v="0"/>
    <d v="2018-09-06T00:00:00"/>
    <d v="2018-10-10T00:00:00"/>
    <d v="2018-11-30T00:00:00"/>
    <s v="Avenier a.s."/>
    <m/>
    <n v="41204810.799999997"/>
    <n v="45325291.880000003"/>
    <m/>
    <m/>
    <m/>
    <d v="2018-02-03T00:00:00"/>
    <s v="SMLN-2018-617-000438"/>
    <x v="1"/>
    <d v="2019-01-09T00:00:00"/>
    <d v="2021-01-03T00:00:00"/>
  </r>
  <r>
    <s v="xxx"/>
    <s v="xxx"/>
    <s v="xxx"/>
    <s v="VZ-2018-000606"/>
    <x v="5"/>
    <s v="Ondráčková"/>
    <x v="22"/>
    <n v="6"/>
    <s v="Peginterferon beta-1a"/>
    <s v="L03AB13"/>
    <s v="33652000-5"/>
    <m/>
    <n v="11440923"/>
    <x v="0"/>
    <d v="2018-09-06T00:00:00"/>
    <d v="2018-10-10T00:00:00"/>
    <d v="2018-11-30T00:00:00"/>
    <s v="Avenier a.s."/>
    <m/>
    <n v="11439502.880000001"/>
    <n v="12583453.17"/>
    <m/>
    <m/>
    <m/>
    <d v="2018-02-03T00:00:00"/>
    <s v="SMLN-2018-617-000439"/>
    <x v="1"/>
    <d v="2019-01-09T00:00:00"/>
    <d v="2021-01-03T00:00:00"/>
  </r>
  <r>
    <s v="xxx"/>
    <s v="xxx"/>
    <s v="xxx"/>
    <s v="VZ-2018-000607"/>
    <x v="5"/>
    <s v="Ondráčková"/>
    <x v="23"/>
    <n v="1"/>
    <s v="Ribavirin"/>
    <s v="J05AP01"/>
    <s v="33651400-2"/>
    <m/>
    <n v="184729"/>
    <x v="0"/>
    <d v="2018-09-06T00:00:00"/>
    <d v="2018-10-17T00:00:00"/>
    <d v="2019-01-16T00:00:00"/>
    <s v="RIBAVIRIN MYLAN; phoenix"/>
    <s v="VZ-2019-000825 - nová VZ, DůVOD zrušeno pro neposkytnutí součinnosti ; zrušeno pro neposkytnutí součinnosti ; DALŠÍ POSTUP opakování zrušené; 26.7. předáno OZVZ; ÚPRAVA  ; PŘEDPOKLAD  ; POZN: "/>
    <m/>
    <m/>
    <m/>
    <m/>
    <m/>
    <m/>
    <s v="SMLN-2019-617-000017"/>
    <x v="0"/>
    <d v="2019-05-06T00:00:00"/>
    <m/>
  </r>
  <r>
    <s v="xxx"/>
    <s v="xxx"/>
    <s v="xxx"/>
    <s v="VZ-2018-000607"/>
    <x v="5"/>
    <s v="Ondráčková"/>
    <x v="23"/>
    <n v="2"/>
    <s v="Tenofovir-disoproxyl"/>
    <s v="J05AF07"/>
    <s v="33651400-2"/>
    <m/>
    <n v="41208"/>
    <x v="0"/>
    <d v="2018-09-06T00:00:00"/>
    <d v="2018-10-17T00:00:00"/>
    <d v="2019-01-16T00:00:00"/>
    <s v="Alliance Healthcare s.r.o."/>
    <m/>
    <n v="41202.9"/>
    <n v="45323.19"/>
    <m/>
    <m/>
    <m/>
    <d v="2019-01-17T00:00:00"/>
    <s v="SMLN-2019-617-000018"/>
    <x v="22"/>
    <d v="2019-04-26T00:00:00"/>
    <d v="2021-04-02T00:00:00"/>
  </r>
  <r>
    <s v="xxx"/>
    <s v="xxx"/>
    <s v="xxx"/>
    <s v="VZ-2018-000607"/>
    <x v="5"/>
    <s v="Ondráčková"/>
    <x v="23"/>
    <n v="8"/>
    <s v="Elbasvir / grazoprevir"/>
    <s v="J05AP54"/>
    <s v="33651400-2"/>
    <m/>
    <n v="2894400"/>
    <x v="0"/>
    <d v="2018-09-06T00:00:00"/>
    <d v="2018-10-17T00:00:00"/>
    <d v="2019-01-16T00:00:00"/>
    <s v="Merck Sharp &amp; Dohme s.r.o."/>
    <m/>
    <n v="2891520"/>
    <n v="3180672"/>
    <m/>
    <m/>
    <m/>
    <d v="2019-01-17T00:00:00"/>
    <s v="SMLN-2019-617-000019"/>
    <x v="22"/>
    <d v="2019-04-26T00:00:00"/>
    <d v="2021-04-02T00:00:00"/>
  </r>
  <r>
    <s v="xxx"/>
    <s v="xxx"/>
    <s v="xxx"/>
    <s v="VZ-2018-000608"/>
    <x v="5"/>
    <s v="Ondráčková"/>
    <x v="24"/>
    <n v="1"/>
    <s v="Desfluran"/>
    <s v="N01AB07"/>
    <s v="33661100-2"/>
    <m/>
    <n v="952945"/>
    <x v="0"/>
    <d v="2018-09-25T00:00:00"/>
    <d v="2018-10-30T00:00:00"/>
    <d v="2019-02-26T00:00:00"/>
    <s v="Promedica Praha Group, a.s."/>
    <m/>
    <n v="952944.48"/>
    <n v="1048238.9280000001"/>
    <m/>
    <m/>
    <m/>
    <d v="2019-02-26T00:00:00"/>
    <s v="SMLN-2019-617-000095_x000a_SMLN-2019-616-000016"/>
    <x v="23"/>
    <d v="2019-04-29T00:00:00"/>
    <d v="2023-04-11T00:00:00"/>
  </r>
  <r>
    <s v="xxx"/>
    <s v="xxx"/>
    <s v="xxx"/>
    <s v="VZ-2018-000608"/>
    <x v="5"/>
    <s v="Ondráčková"/>
    <x v="24"/>
    <n v="2"/>
    <s v="Sevofluran"/>
    <s v="N01AB08"/>
    <s v="33661100-2"/>
    <m/>
    <n v="7533750"/>
    <x v="0"/>
    <d v="2018-09-25T00:00:00"/>
    <d v="2018-10-30T00:00:00"/>
    <m/>
    <s v="Baxter"/>
    <s v="DůVOD zrušeno ; nepodali nabídku ; DALŠÍ POSTUP opakovat; ÚPRAVA rozdělení zakázky na dětské a dosp pacienty ; PŘEDPOKLAD 4.Q_19 ; POZN: "/>
    <m/>
    <m/>
    <m/>
    <m/>
    <m/>
    <m/>
    <m/>
    <x v="0"/>
    <d v="2019-02-27T00:00:00"/>
    <m/>
  </r>
  <r>
    <s v="xxx"/>
    <s v="xxx"/>
    <s v="xxx"/>
    <s v="VZ-2018-000610"/>
    <x v="0"/>
    <s v="Dočkalová"/>
    <x v="25"/>
    <m/>
    <m/>
    <m/>
    <s v="33162200-5"/>
    <m/>
    <n v="7297000"/>
    <x v="0"/>
    <d v="2018-09-07T00:00:00"/>
    <d v="2018-10-09T00:00:00"/>
    <d v="2018-10-24T00:00:00"/>
    <s v="Johnson &amp; Johnson s.r.o."/>
    <m/>
    <n v="6516492"/>
    <n v="7884956.6799999997"/>
    <m/>
    <m/>
    <m/>
    <d v="2018-10-25T00:00:00"/>
    <s v="SMLN-2018-617-000382_x000a_SMLN-2018-617-000383_x000a_SMLN-2018-614-000090"/>
    <x v="9"/>
    <d v="2019-01-29T00:00:00"/>
    <d v="2021-01-23T00:00:00"/>
  </r>
  <r>
    <s v="xxx"/>
    <s v="xxx"/>
    <d v="2018-08-22T00:00:00"/>
    <s v="VZ-2018-000617"/>
    <x v="7"/>
    <s v="Spáčil"/>
    <x v="26"/>
    <n v="1"/>
    <s v="DK"/>
    <s v="xxx"/>
    <s v="45223300-9"/>
    <s v="1.3.16. "/>
    <n v="6500000"/>
    <x v="1"/>
    <d v="2018-09-07T00:00:00"/>
    <d v="2018-10-01T00:00:00"/>
    <d v="2018-10-09T00:00:00"/>
    <s v="SWIETELSKY stavební s.r.o."/>
    <m/>
    <n v="9056056"/>
    <n v="10957827.76"/>
    <s v="xxx"/>
    <s v="xxx"/>
    <s v="xxx"/>
    <d v="2018-10-10T00:00:00"/>
    <s v="SMLN-2018-618-000082"/>
    <x v="24"/>
    <d v="2019-01-04T00:00:00"/>
    <d v="2019-05-03T00:00:00"/>
  </r>
  <r>
    <s v="xxx"/>
    <s v="xxx"/>
    <d v="2018-08-22T00:00:00"/>
    <s v="VZ-2018-000617"/>
    <x v="7"/>
    <s v="Spáčil"/>
    <x v="26"/>
    <n v="2"/>
    <s v="Lékárna"/>
    <s v="xxx"/>
    <s v="45223300-9"/>
    <s v=" 1.3.17. "/>
    <n v="2950000"/>
    <x v="1"/>
    <d v="2018-09-07T00:00:00"/>
    <d v="2018-10-01T00:00:00"/>
    <d v="2018-10-09T00:00:00"/>
    <s v="SWIETELSKY stavební s.r.o."/>
    <m/>
    <n v="2432940"/>
    <n v="2943857.4"/>
    <s v="xxx"/>
    <s v="xxx"/>
    <s v="xxx"/>
    <d v="2018-10-10T00:00:00"/>
    <s v="SMLN-2018-618-000083"/>
    <x v="24"/>
    <d v="2019-01-04T00:00:00"/>
    <d v="2019-04-03T00:00:00"/>
  </r>
  <r>
    <s v="xxx"/>
    <s v="xxx"/>
    <s v="xxx"/>
    <s v="VZ-2018-000624"/>
    <x v="0"/>
    <s v="Dočkalová"/>
    <x v="27"/>
    <m/>
    <m/>
    <m/>
    <s v="33141310-6"/>
    <m/>
    <n v="3403900"/>
    <x v="1"/>
    <d v="2018-09-12T00:00:00"/>
    <d v="2018-10-03T00:00:00"/>
    <m/>
    <s v="zrušeno - bude sdružený nákup"/>
    <s v="nová VZ sdružený nákup"/>
    <m/>
    <m/>
    <m/>
    <m/>
    <m/>
    <m/>
    <m/>
    <x v="0"/>
    <d v="2019-04-30T00:00:00"/>
    <m/>
  </r>
  <r>
    <s v="xxx"/>
    <s v="xxx"/>
    <s v="xxx"/>
    <s v="VZ-2018-000656"/>
    <x v="6"/>
    <s v="Rosulek"/>
    <x v="28"/>
    <m/>
    <m/>
    <m/>
    <s v="33168000-5"/>
    <s v="2.2.118."/>
    <n v="3305785"/>
    <x v="0"/>
    <d v="2018-09-25T00:00:00"/>
    <d v="2018-10-29T00:00:00"/>
    <d v="2018-11-21T00:00:00"/>
    <s v="Z Technik s.r.o."/>
    <m/>
    <n v="3302380"/>
    <n v="3995879.8"/>
    <m/>
    <m/>
    <m/>
    <d v="2018-11-22T00:00:00"/>
    <s v="SMLN-2018-617-000422_x000a_SMLN-2018-612-000139"/>
    <x v="25"/>
    <d v="2019-01-10T00:00:00"/>
    <d v="2019-02-28T00:00:00"/>
  </r>
  <r>
    <s v="xxx"/>
    <s v="xxx"/>
    <s v="xxx"/>
    <s v="VZ-2018-000662"/>
    <x v="0"/>
    <s v="Dočkalová"/>
    <x v="29"/>
    <m/>
    <m/>
    <m/>
    <s v="33196000-0"/>
    <m/>
    <n v="900000"/>
    <x v="2"/>
    <d v="2018-09-25T00:00:00"/>
    <d v="2018-10-09T00:00:00"/>
    <m/>
    <s v="zrušeno"/>
    <s v="nová VZ-2019-000199"/>
    <m/>
    <m/>
    <m/>
    <m/>
    <m/>
    <m/>
    <m/>
    <x v="0"/>
    <d v="2019-02-11T00:00:00"/>
    <m/>
  </r>
  <r>
    <s v="xxx"/>
    <s v="xxx"/>
    <s v="xxx"/>
    <s v="VZ-2018-000685"/>
    <x v="7"/>
    <s v="Kvapil"/>
    <x v="30"/>
    <m/>
    <m/>
    <m/>
    <s v="45215120-4"/>
    <s v="1.3.11."/>
    <n v="129510000"/>
    <x v="0"/>
    <d v="2018-10-23T00:00:00"/>
    <d v="2018-12-20T00:00:00"/>
    <d v="2019-01-30T00:00:00"/>
    <s v="OHL ŽS, a.s."/>
    <m/>
    <n v="128990069.95999999"/>
    <n v="156077984.65159997"/>
    <m/>
    <m/>
    <m/>
    <d v="2019-01-30T00:00:00"/>
    <s v="SMLN-2019-618-000009"/>
    <x v="26"/>
    <d v="2019-03-07T00:00:00"/>
    <d v="2020-09-05T00:00:00"/>
  </r>
  <r>
    <s v="xxx"/>
    <s v="xxx"/>
    <s v="xxx"/>
    <s v="VZ-2018-000753"/>
    <x v="3"/>
    <s v="Nerudová"/>
    <x v="31"/>
    <m/>
    <m/>
    <m/>
    <s v="98310000-9"/>
    <m/>
    <n v="120000000"/>
    <x v="0"/>
    <d v="2018-10-19T00:00:00"/>
    <d v="2018-12-18T00:00:00"/>
    <d v="2019-01-15T00:00:00"/>
    <s v="RENATEX CZ a.s."/>
    <m/>
    <n v="114751628.15000001"/>
    <n v="138849470.06150001"/>
    <m/>
    <m/>
    <m/>
    <d v="2019-01-16T00:00:00"/>
    <s v="SMLN-2019-612-000007_x000a_SMLN-2019-612-000008"/>
    <x v="3"/>
    <d v="2019-03-14T00:00:00"/>
    <s v="doba neurčitá"/>
  </r>
  <r>
    <s v="xxx"/>
    <s v="xxx"/>
    <s v="xxx"/>
    <s v="VZ-2018-000783"/>
    <x v="8"/>
    <s v="Benešová"/>
    <x v="32"/>
    <m/>
    <m/>
    <m/>
    <s v="39832000-3"/>
    <m/>
    <n v="1600000"/>
    <x v="2"/>
    <d v="2018-10-25T00:00:00"/>
    <d v="2018-11-05T00:00:00"/>
    <d v="2018-12-12T00:00:00"/>
    <s v="Christeyns s.r.o."/>
    <m/>
    <n v="1081060"/>
    <n v="1308082.5999999999"/>
    <s v="xxx"/>
    <s v="xxx"/>
    <s v="xxx"/>
    <d v="2018-12-12T00:00:00"/>
    <s v="SMLN-2018-617-000453_x000a_SMLN-2018-616-000083"/>
    <x v="5"/>
    <d v="2019-01-14T00:00:00"/>
    <d v="2023-01-10T00:00:00"/>
  </r>
  <r>
    <s v="xxx"/>
    <s v="xxx"/>
    <s v="xxx"/>
    <s v="VZ-2018-000821"/>
    <x v="4"/>
    <s v="Srovnal"/>
    <x v="33"/>
    <m/>
    <m/>
    <m/>
    <s v="35120000-1"/>
    <s v="4.2.68., 4.2.69."/>
    <n v="420000"/>
    <x v="2"/>
    <d v="2018-11-02T00:00:00"/>
    <d v="2018-11-12T00:00:00"/>
    <d v="2018-11-28T00:00:00"/>
    <s v="Merit Group, a.s."/>
    <m/>
    <n v="310243.3"/>
    <n v="375394.39299999998"/>
    <s v="xxx"/>
    <s v="xxx"/>
    <s v="xxx"/>
    <d v="2018-11-28T00:00:00"/>
    <s v="SMLN-2018-618-000821"/>
    <x v="5"/>
    <d v="2019-01-14T00:00:00"/>
    <d v="2019-03-17T00:00:00"/>
  </r>
  <r>
    <s v="xxx"/>
    <s v="xxx"/>
    <s v="xxx"/>
    <s v="VZ-2018-000831"/>
    <x v="0"/>
    <s v="Dočkalová"/>
    <x v="34"/>
    <n v="1"/>
    <s v="Somasensor INVOS pro dospělé"/>
    <m/>
    <s v="33140000-3"/>
    <m/>
    <n v="437800"/>
    <x v="2"/>
    <d v="2018-11-20T00:00:00"/>
    <d v="2018-11-30T00:00:00"/>
    <d v="2018-12-12T00:00:00"/>
    <s v="Medtronic Czechia s.r.o."/>
    <m/>
    <n v="437800"/>
    <n v="529738"/>
    <m/>
    <m/>
    <m/>
    <d v="2018-12-12T00:00:00"/>
    <s v="SMLN-2018-617-000454"/>
    <x v="27"/>
    <d v="2019-01-23T00:00:00"/>
    <d v="2021-01-21T00:00:00"/>
  </r>
  <r>
    <s v="xxx"/>
    <s v="xxx"/>
    <s v="xxx"/>
    <s v="VZ-2018-000831"/>
    <x v="0"/>
    <s v="Dočkalová"/>
    <x v="34"/>
    <n v="2"/>
    <s v="Fore-sight ELITE dual velký"/>
    <m/>
    <s v="33140000-3"/>
    <m/>
    <n v="542640"/>
    <x v="2"/>
    <d v="2018-11-20T00:00:00"/>
    <d v="2018-11-30T00:00:00"/>
    <d v="2018-12-12T00:00:00"/>
    <s v="Biomedica ČS, s.r.o."/>
    <m/>
    <n v="542640"/>
    <n v="656594.4"/>
    <m/>
    <m/>
    <m/>
    <d v="2018-12-12T00:00:00"/>
    <s v="SMLN-2018-617-000455"/>
    <x v="28"/>
    <d v="2019-01-23T00:00:00"/>
    <d v="2021-01-16T00:00:00"/>
  </r>
  <r>
    <s v="xxx"/>
    <s v="xxx"/>
    <s v="xxx"/>
    <s v="VZ-2018-000847"/>
    <x v="6"/>
    <s v="Rosulek"/>
    <x v="35"/>
    <m/>
    <m/>
    <m/>
    <s v="33124100-6"/>
    <s v="2.2.141."/>
    <n v="4600000"/>
    <x v="0"/>
    <d v="2018-11-09T00:00:00"/>
    <d v="2018-12-17T00:00:00"/>
    <m/>
    <s v="zrušeno"/>
    <s v="nová VZ-2019-000305"/>
    <n v="4585200"/>
    <n v="5548092"/>
    <m/>
    <m/>
    <m/>
    <m/>
    <m/>
    <x v="0"/>
    <d v="2019-02-11T00:00:00"/>
    <m/>
  </r>
  <r>
    <s v="xxx"/>
    <s v="xxx"/>
    <s v="xxx"/>
    <s v="VZ-2018-000849"/>
    <x v="6"/>
    <s v="Rosulek"/>
    <x v="36"/>
    <m/>
    <m/>
    <m/>
    <s v="33124120-2"/>
    <s v="2.2.69."/>
    <n v="4530000"/>
    <x v="0"/>
    <d v="2018-11-09T00:00:00"/>
    <d v="2018-12-14T00:00:00"/>
    <d v="2019-02-11T00:00:00"/>
    <s v="zrušeno - neposkytnutí součinnosti"/>
    <s v="nová VZ-2019-000730"/>
    <n v="6553201.2300000004"/>
    <n v="7929373.4699999997"/>
    <m/>
    <m/>
    <m/>
    <d v="2019-02-14T00:00:00"/>
    <s v="SMLN-2019-617-000078_x000a_SMLN-2019-612-000019"/>
    <x v="0"/>
    <d v="2019-06-25T00:00:00"/>
    <m/>
  </r>
  <r>
    <s v="xxx"/>
    <s v="xxx"/>
    <s v="xxx"/>
    <s v="VZ-2018-000862"/>
    <x v="0"/>
    <s v="Dočkalová"/>
    <x v="37"/>
    <n v="1"/>
    <s v="Low Flux"/>
    <m/>
    <s v="33181200-4"/>
    <m/>
    <n v="988520"/>
    <x v="1"/>
    <d v="2018-11-29T00:00:00"/>
    <d v="2018-12-19T00:00:00"/>
    <d v="2019-02-11T00:00:00"/>
    <s v="Baxter Czech spol. s r.o."/>
    <m/>
    <n v="814400"/>
    <n v="985424"/>
    <m/>
    <m/>
    <m/>
    <d v="2019-02-14T00:00:00"/>
    <s v="SMLN-2019-617-000076"/>
    <x v="29"/>
    <d v="2019-03-25T00:00:00"/>
    <d v="2020-03-18T00:00:00"/>
  </r>
  <r>
    <s v="xxx"/>
    <s v="xxx"/>
    <s v="xxx"/>
    <s v="VZ-2018-000862"/>
    <x v="0"/>
    <s v="Dočkalová"/>
    <x v="37"/>
    <n v="2"/>
    <s v="High Flux"/>
    <m/>
    <s v="33181200-4"/>
    <m/>
    <n v="1036080"/>
    <x v="1"/>
    <d v="2018-11-29T00:00:00"/>
    <d v="2018-12-19T00:00:00"/>
    <d v="2019-02-11T00:00:00"/>
    <s v="Fresenius Medical Care s.r.o."/>
    <m/>
    <n v="900828"/>
    <n v="1090001.8799999999"/>
    <m/>
    <m/>
    <m/>
    <d v="2019-02-14T00:00:00"/>
    <s v="SMLN-2019-617-000077"/>
    <x v="15"/>
    <d v="2019-03-25T00:00:00"/>
    <d v="2020-03-17T00:00:00"/>
  </r>
  <r>
    <s v="xxx"/>
    <s v="xxx"/>
    <s v="xxx"/>
    <s v="VZ-2018-000866"/>
    <x v="9"/>
    <s v="Filip"/>
    <x v="38"/>
    <n v="1"/>
    <s v="Kalibrace a validace ostatních měřidel a zařízení FNOL"/>
    <m/>
    <s v="50411000-9"/>
    <m/>
    <n v="2100000"/>
    <x v="1"/>
    <d v="2018-12-13T00:00:00"/>
    <d v="2019-01-10T00:00:00"/>
    <m/>
    <s v="bez nabídky"/>
    <s v="nová VZ-2019-000027"/>
    <m/>
    <m/>
    <m/>
    <m/>
    <m/>
    <m/>
    <m/>
    <x v="0"/>
    <d v="2019-01-11T00:00:00"/>
    <m/>
  </r>
  <r>
    <s v="xxx"/>
    <s v="xxx"/>
    <s v="xxx"/>
    <s v="VZ-2018-000866"/>
    <x v="9"/>
    <s v="Filip"/>
    <x v="38"/>
    <n v="2"/>
    <s v="Kalibrace a validace monitorovacího systému ConWin"/>
    <m/>
    <s v="50411000-9"/>
    <m/>
    <n v="900000"/>
    <x v="1"/>
    <d v="2018-12-13T00:00:00"/>
    <d v="2019-01-10T00:00:00"/>
    <m/>
    <s v="bez nabídky"/>
    <s v="nová VZ-2019-000027"/>
    <m/>
    <m/>
    <m/>
    <m/>
    <m/>
    <m/>
    <m/>
    <x v="0"/>
    <d v="2019-01-11T00:00:00"/>
    <m/>
  </r>
  <r>
    <s v="xxx"/>
    <s v="xxx"/>
    <s v="xxx"/>
    <s v="VZ-2018-000872"/>
    <x v="4"/>
    <s v="Srovnal"/>
    <x v="39"/>
    <m/>
    <m/>
    <m/>
    <s v="45333000-0"/>
    <s v="4.2.67."/>
    <n v="1300000"/>
    <x v="2"/>
    <d v="2018-12-07T00:00:00"/>
    <d v="2018-12-17T00:00:00"/>
    <d v="2019-01-09T00:00:00"/>
    <s v="Dräger Medical s.r.o."/>
    <m/>
    <n v="1108850"/>
    <n v="1341708.5"/>
    <m/>
    <m/>
    <m/>
    <d v="2019-01-09T00:00:00"/>
    <s v="SMLN-2019-618-000001_x000a_SMLN-2019-612-000002"/>
    <x v="30"/>
    <d v="2019-02-14T00:00:00"/>
    <d v="2019-08-12T00:00:00"/>
  </r>
  <r>
    <s v="xxx"/>
    <s v="xxx"/>
    <s v="xxx"/>
    <s v="VZ-2018-000873"/>
    <x v="6"/>
    <s v="Rosulek"/>
    <x v="40"/>
    <m/>
    <m/>
    <m/>
    <s v="33162100-4"/>
    <s v="2.2.132."/>
    <n v="2727000"/>
    <x v="1"/>
    <d v="2018-11-29T00:00:00"/>
    <d v="2019-01-09T00:00:00"/>
    <d v="2019-04-11T00:00:00"/>
    <s v="Carl Zeiss spol. s r.o."/>
    <m/>
    <n v="2161400"/>
    <n v="2615294"/>
    <m/>
    <m/>
    <m/>
    <d v="2019-04-11T00:00:00"/>
    <s v="SMLN-2019-617-000182_x000a_SMLN-2019-612-000037"/>
    <x v="31"/>
    <d v="2019-05-16T00:00:00"/>
    <d v="2019-07-09T00:00:00"/>
  </r>
  <r>
    <s v="xxx"/>
    <s v="xxx"/>
    <s v="xxx"/>
    <s v="VZ-2018-000883"/>
    <x v="5"/>
    <s v="Ondráčková"/>
    <x v="41"/>
    <n v="1"/>
    <s v="FLUDEOXYGLUKOSA-(18F)"/>
    <s v="V09IX04"/>
    <s v="09343000-5"/>
    <m/>
    <n v="33976800"/>
    <x v="0"/>
    <d v="2018-12-07T00:00:00"/>
    <d v="2019-01-22T00:00:00"/>
    <d v="2019-03-05T00:00:00"/>
    <s v="RadioMedic s.r.o."/>
    <m/>
    <n v="33976800"/>
    <n v="37374480"/>
    <m/>
    <m/>
    <m/>
    <d v="2019-03-05T00:00:00"/>
    <s v="SMLN-2019-617-000121"/>
    <x v="21"/>
    <d v="2019-04-02T00:00:00"/>
    <d v="2021-03-31T00:00:00"/>
  </r>
  <r>
    <s v="xxx"/>
    <s v="xxx"/>
    <s v="xxx"/>
    <s v="VZ-2018-000887"/>
    <x v="0"/>
    <s v="Dočkalová"/>
    <x v="42"/>
    <m/>
    <m/>
    <m/>
    <s v="33731110-7"/>
    <m/>
    <n v="2898000"/>
    <x v="0"/>
    <d v="2018-11-29T00:00:00"/>
    <d v="2019-01-08T00:00:00"/>
    <d v="2019-01-24T00:00:00"/>
    <s v="Alcon Pharmaceuticals"/>
    <m/>
    <n v="2898000"/>
    <n v="3332700"/>
    <m/>
    <m/>
    <m/>
    <d v="2019-01-24T00:00:00"/>
    <s v="SMLN-2019-617-000043_x000a_SMLN-2019-614-000005"/>
    <x v="14"/>
    <d v="2019-02-27T00:00:00"/>
    <s v="na neurčito"/>
  </r>
  <r>
    <s v="xxx"/>
    <s v="xxx"/>
    <s v="xxx"/>
    <s v="VZ-2018-000890"/>
    <x v="6"/>
    <s v="Rosulek"/>
    <x v="43"/>
    <m/>
    <m/>
    <m/>
    <s v="42996110-8"/>
    <s v="2.2.178."/>
    <n v="958909"/>
    <x v="2"/>
    <d v="2018-11-23T00:00:00"/>
    <d v="2018-11-30T00:00:00"/>
    <d v="2019-01-14T00:00:00"/>
    <s v="S.A.B. Impex  s.r.o."/>
    <m/>
    <n v="847790"/>
    <n v="1025828"/>
    <m/>
    <m/>
    <m/>
    <d v="2019-01-14T00:00:00"/>
    <s v="SMLN-2019-617-000009_x000a_SMLN-2019-612-000005"/>
    <x v="7"/>
    <d v="2019-02-06T00:00:00"/>
    <d v="2019-03-08T00:00:00"/>
  </r>
  <r>
    <s v="xxx"/>
    <s v="xxx"/>
    <s v="xxx"/>
    <s v="VZ-2018-000906"/>
    <x v="5"/>
    <s v="Ondráčková"/>
    <x v="44"/>
    <n v="1"/>
    <s v="Fibrinogen, Aprotinin, Thrombin, Chlorid Vápenatý I"/>
    <s v="B02BC30"/>
    <s v="33621000-9"/>
    <m/>
    <n v="990714"/>
    <x v="0"/>
    <d v="2018-12-17T00:00:00"/>
    <d v="2019-02-22T00:00:00"/>
    <d v="2019-04-02T00:00:00"/>
    <s v="Baxter Czech spol. s r.o."/>
    <m/>
    <n v="990714"/>
    <n v="1089785.3999999999"/>
    <m/>
    <m/>
    <m/>
    <d v="2019-04-03T00:00:00"/>
    <s v="SMLN-2019-617-000167"/>
    <x v="32"/>
    <d v="2019-05-30T00:00:00"/>
    <d v="2022-05-05T00:00:00"/>
  </r>
  <r>
    <s v="xxx"/>
    <s v="xxx"/>
    <s v="xxx"/>
    <s v="VZ-2018-000906"/>
    <x v="5"/>
    <s v="Ondráčková"/>
    <x v="44"/>
    <n v="2"/>
    <s v="Fibrinogen, Aprotinin, Thrombin, Chlorid Vápenatý II"/>
    <s v="B02BC30"/>
    <s v="33621000-9"/>
    <m/>
    <n v="8306208"/>
    <x v="0"/>
    <d v="2018-12-17T00:00:00"/>
    <d v="2019-02-22T00:00:00"/>
    <d v="2019-04-02T00:00:00"/>
    <s v="Baxter Czech spol. s r.o."/>
    <m/>
    <n v="8552650"/>
    <n v="9407915"/>
    <m/>
    <m/>
    <m/>
    <d v="2019-04-03T00:00:00"/>
    <s v="SMLN-2019-617-000168"/>
    <x v="32"/>
    <d v="2019-05-30T00:00:00"/>
    <d v="2022-05-05T00:00:00"/>
  </r>
  <r>
    <s v="xxx"/>
    <s v="xxx"/>
    <s v="xxx"/>
    <s v="VZ-2018-000906"/>
    <x v="5"/>
    <s v="Ondráčková"/>
    <x v="44"/>
    <n v="3"/>
    <s v="Fibrinogen, Aprotinin, Thrombin, Chlorid Vápenatý III"/>
    <s v="B02BC30"/>
    <s v="33621000-9"/>
    <m/>
    <n v="65752"/>
    <x v="0"/>
    <d v="2018-12-17T00:00:00"/>
    <d v="2019-02-22T00:00:00"/>
    <d v="2019-04-02T00:00:00"/>
    <s v="Baxter Czech spol. s r.o."/>
    <m/>
    <n v="65751"/>
    <n v="72326.539999999994"/>
    <m/>
    <m/>
    <m/>
    <d v="2019-04-03T00:00:00"/>
    <s v="SMLN-2019-617-000169"/>
    <x v="32"/>
    <d v="2019-05-30T00:00:00"/>
    <d v="2022-05-05T00:00:00"/>
  </r>
  <r>
    <s v="xxx"/>
    <s v="xxx"/>
    <s v="xxx"/>
    <s v="VZ-2018-000906"/>
    <x v="5"/>
    <s v="Ondráčková"/>
    <x v="44"/>
    <n v="4"/>
    <s v="Fibrinogen, Thrombin"/>
    <s v="_x000a_B02BC30"/>
    <s v="33621000-9"/>
    <m/>
    <n v="3909258"/>
    <x v="0"/>
    <d v="2018-12-17T00:00:00"/>
    <d v="2019-02-22T00:00:00"/>
    <d v="2019-04-02T00:00:00"/>
    <s v="Alliance Healthcare s.r.o."/>
    <m/>
    <n v="3873244.32"/>
    <n v="4260568.75"/>
    <m/>
    <m/>
    <m/>
    <d v="2019-04-03T00:00:00"/>
    <s v="SMLN-2019-617-000170"/>
    <x v="32"/>
    <d v="2019-05-30T00:00:00"/>
    <d v="2022-05-05T00:00:00"/>
  </r>
  <r>
    <s v="xxx"/>
    <s v="xxx"/>
    <s v="xxx"/>
    <s v="VZ-2018-000906"/>
    <x v="5"/>
    <s v="Ondráčková"/>
    <x v="44"/>
    <n v="5"/>
    <s v="Lokální hemostatikum"/>
    <m/>
    <s v="33621000-9"/>
    <m/>
    <n v="1018999"/>
    <x v="0"/>
    <d v="2018-12-17T00:00:00"/>
    <d v="2019-02-22T00:00:00"/>
    <d v="2019-04-02T00:00:00"/>
    <s v="Baxter Czech spol. s r.o."/>
    <m/>
    <n v="1018997.7"/>
    <n v="1171847.3600000001"/>
    <m/>
    <m/>
    <m/>
    <d v="2019-04-03T00:00:00"/>
    <s v="SMLN-2019-617-000171"/>
    <x v="32"/>
    <d v="2019-05-30T00:00:00"/>
    <d v="2022-05-05T00:00:00"/>
  </r>
  <r>
    <s v="xxx"/>
    <s v="xxx"/>
    <s v="xxx"/>
    <s v="VZ-2018-000906"/>
    <x v="5"/>
    <s v="Ondráčková"/>
    <x v="44"/>
    <n v="6"/>
    <s v="Komplex železa s karboxymaltosou  "/>
    <s v="B03AC"/>
    <s v="33621000-9"/>
    <m/>
    <n v="3518439"/>
    <x v="0"/>
    <d v="2018-12-17T00:00:00"/>
    <d v="2019-02-22T00:00:00"/>
    <d v="2019-04-02T00:00:00"/>
    <s v="Alliance Healthcare s.r.o."/>
    <m/>
    <n v="3518438.04"/>
    <n v="3870281.84"/>
    <m/>
    <m/>
    <m/>
    <d v="2019-04-03T00:00:00"/>
    <s v="SMLN-2019-617-000172"/>
    <x v="32"/>
    <d v="2019-05-30T00:00:00"/>
    <d v="2022-05-05T00:00:00"/>
  </r>
  <r>
    <s v="xxx"/>
    <s v="xxx"/>
    <s v="xxx"/>
    <s v="VZ-2018-000906"/>
    <x v="5"/>
    <s v="Ondráčková"/>
    <x v="44"/>
    <n v="7"/>
    <s v="Sloučeniny trojmocného železa"/>
    <s v="B03AC"/>
    <s v="33621000-9"/>
    <m/>
    <n v="2011987"/>
    <x v="0"/>
    <d v="2018-12-17T00:00:00"/>
    <d v="2019-02-22T00:00:00"/>
    <d v="2019-04-02T00:00:00"/>
    <s v="Alliance Healthcare s.r.o."/>
    <m/>
    <n v="1999611.72"/>
    <n v="2199572.89"/>
    <m/>
    <m/>
    <m/>
    <d v="2019-04-03T00:00:00"/>
    <s v="SMLN-2019-617-000173"/>
    <x v="32"/>
    <d v="2019-05-30T00:00:00"/>
    <d v="2022-05-05T00:00:00"/>
  </r>
  <r>
    <s v="xxx"/>
    <s v="xxx"/>
    <s v="xxx"/>
    <s v="VZ-2018-000915"/>
    <x v="6"/>
    <s v="Rosulek"/>
    <x v="45"/>
    <m/>
    <m/>
    <m/>
    <s v="33166000-1"/>
    <s v="2.3.361."/>
    <n v="1024794"/>
    <x v="2"/>
    <d v="2018-12-04T00:00:00"/>
    <d v="2018-12-12T00:00:00"/>
    <d v="2019-01-09T00:00:00"/>
    <s v="MediCom, a.s."/>
    <m/>
    <n v="1025350"/>
    <n v="1240673.5"/>
    <m/>
    <m/>
    <m/>
    <d v="2019-01-09T00:00:00"/>
    <s v="SMLN-2019-617-000005_x000a_SMLN-2019-612-000003"/>
    <x v="10"/>
    <d v="2019-02-06T00:00:00"/>
    <d v="2019-04-15T00:00:00"/>
  </r>
  <r>
    <s v="xxx"/>
    <s v="xxx"/>
    <s v="xxx"/>
    <s v="VZ-2018-000919"/>
    <x v="6"/>
    <s v="Rosulek"/>
    <x v="46"/>
    <n v="2"/>
    <s v="Hlubokomrazící boxy"/>
    <m/>
    <s v="39711100-0"/>
    <s v="2.2.131.,2.2.186.,2.2.189."/>
    <n v="769000"/>
    <x v="2"/>
    <d v="2018-12-07T00:00:00"/>
    <d v="2018-12-21T00:00:00"/>
    <d v="2019-01-14T00:00:00"/>
    <s v="Schoeller Instruments s.r.o."/>
    <m/>
    <n v="577000"/>
    <n v="698170"/>
    <m/>
    <m/>
    <m/>
    <d v="2019-01-14T00:00:00"/>
    <s v="SMLN-2019-617-000008_x000a_SMLN-2019-612-000004"/>
    <x v="7"/>
    <d v="2019-02-06T00:00:00"/>
    <d v="2019-04-03T00:00:00"/>
  </r>
  <r>
    <s v="xxx"/>
    <s v="xxx"/>
    <s v="xxx"/>
    <s v="VZ-2018-000920"/>
    <x v="5"/>
    <s v="Ondráčková"/>
    <x v="47"/>
    <n v="1"/>
    <s v="Alteplasa"/>
    <s v="B01AD02"/>
    <s v="33621100-0"/>
    <m/>
    <n v="7413897"/>
    <x v="0"/>
    <d v="2018-12-05T00:00:00"/>
    <d v="2019-01-08T00:00:00"/>
    <d v="2019-02-26T00:00:00"/>
    <s v="Alliance Healthcare s.r.o."/>
    <m/>
    <n v="7353707.2199999997"/>
    <n v="8089077.9420000007"/>
    <m/>
    <m/>
    <m/>
    <d v="2019-02-27T00:00:00"/>
    <s v="SMLN-2019-617-000102"/>
    <x v="12"/>
    <d v="2019-04-02T00:00:00"/>
    <d v="2021-03-27T00:00:00"/>
  </r>
  <r>
    <s v="xxx"/>
    <s v="xxx"/>
    <s v="xxx"/>
    <s v="VZ-2018-000920"/>
    <x v="5"/>
    <s v="Ondráčková"/>
    <x v="47"/>
    <n v="2"/>
    <s v="Degarelix-acetát"/>
    <s v="L02BX02"/>
    <s v="33642000-2"/>
    <m/>
    <n v="2433774"/>
    <x v="0"/>
    <d v="2018-12-05T00:00:00"/>
    <d v="2019-01-08T00:00:00"/>
    <d v="2019-02-26T00:00:00"/>
    <s v="ViaPharma s.r.o."/>
    <m/>
    <n v="2429964.12"/>
    <n v="2672960.5320000001"/>
    <m/>
    <m/>
    <m/>
    <d v="2019-02-27T00:00:00"/>
    <s v="SMLN-2019-617-000103"/>
    <x v="12"/>
    <d v="2019-04-02T00:00:00"/>
    <d v="2021-03-27T00:00:00"/>
  </r>
  <r>
    <s v="xxx"/>
    <s v="xxx"/>
    <s v="xxx"/>
    <s v="VZ-2018-000920"/>
    <x v="5"/>
    <s v="Ondráčková"/>
    <x v="47"/>
    <n v="3"/>
    <s v="Abirateron-acetát"/>
    <s v="L02BX03"/>
    <s v="33642000-2"/>
    <m/>
    <n v="28298912"/>
    <x v="0"/>
    <d v="2018-12-05T00:00:00"/>
    <d v="2019-01-08T00:00:00"/>
    <m/>
    <s v="janssen"/>
    <s v="VZ-2019-000929 nová VZ, DůVOD zrušeno - bez nabídky ; zrušeno - bez nabídky ; DALŠÍ POSTUP opakování zrušené; 30.8. předáno OZVZ; ÚPRAVA  ; PŘEDPOKLAD  ; POZN: "/>
    <m/>
    <m/>
    <m/>
    <m/>
    <m/>
    <m/>
    <m/>
    <x v="0"/>
    <d v="2019-03-01T00:00:00"/>
    <m/>
  </r>
  <r>
    <s v="xxx"/>
    <s v="xxx"/>
    <s v="xxx"/>
    <s v="VZ-2018-000920"/>
    <x v="5"/>
    <s v="Ondráčková"/>
    <x v="47"/>
    <n v="4"/>
    <s v="Denosumab I"/>
    <s v="M05BX04"/>
    <s v="33632000-9"/>
    <m/>
    <n v="3364809"/>
    <x v="0"/>
    <d v="2018-12-05T00:00:00"/>
    <d v="2019-01-08T00:00:00"/>
    <d v="2019-02-26T00:00:00"/>
    <s v="Amgen s.r.o."/>
    <m/>
    <n v="3039688.4"/>
    <n v="3343657.24"/>
    <m/>
    <m/>
    <m/>
    <d v="2019-02-27T00:00:00"/>
    <s v="SMLN-2019-617-000104"/>
    <x v="13"/>
    <d v="2019-04-02T00:00:00"/>
    <d v="2021-03-27T00:00:00"/>
  </r>
  <r>
    <s v="xxx"/>
    <s v="xxx"/>
    <s v="xxx"/>
    <s v="VZ-2018-000920"/>
    <x v="5"/>
    <s v="Ondráčková"/>
    <x v="47"/>
    <n v="5"/>
    <s v="Denosumab II"/>
    <s v="M05BX04"/>
    <s v="33632000-9"/>
    <m/>
    <n v="8895944"/>
    <x v="0"/>
    <d v="2018-12-05T00:00:00"/>
    <d v="2019-01-08T00:00:00"/>
    <d v="2019-02-26T00:00:00"/>
    <s v="Amgen s.r.o."/>
    <m/>
    <n v="8889294.7799999993"/>
    <n v="9778224.2579999994"/>
    <m/>
    <m/>
    <m/>
    <d v="2019-02-27T00:00:00"/>
    <s v="SMLN-2019-617-000105"/>
    <x v="13"/>
    <d v="2019-04-02T00:00:00"/>
    <d v="2021-03-27T00:00:00"/>
  </r>
  <r>
    <s v="xxx"/>
    <s v="xxx"/>
    <s v="xxx"/>
    <s v="VZ-2018-000920"/>
    <x v="5"/>
    <s v="Ondráčková"/>
    <x v="47"/>
    <n v="6"/>
    <s v="Ivakaftor"/>
    <s v="R07AX02"/>
    <s v="33670000-7"/>
    <m/>
    <n v="9364240"/>
    <x v="0"/>
    <d v="2018-12-05T00:00:00"/>
    <d v="2019-01-08T00:00:00"/>
    <m/>
    <s v="Vertex Pharmaceuticals"/>
    <s v="VZ-2019-000883 nová VZ, DůVOD zrušeno - bez nabídky ; nechtěli se hlásit ; DALŠÍ POSTUP opakování zrušené; 20.8. předáno OZVZ; ÚPRAVA  ; PŘEDPOKLAD  ; POZN: "/>
    <m/>
    <m/>
    <m/>
    <m/>
    <m/>
    <m/>
    <m/>
    <x v="0"/>
    <d v="2019-03-01T00:00:00"/>
    <m/>
  </r>
  <r>
    <s v="xxx"/>
    <s v="xxx"/>
    <s v="xxx"/>
    <s v="VZ-2018-000925"/>
    <x v="7"/>
    <s v="Spáčil"/>
    <x v="48"/>
    <m/>
    <m/>
    <m/>
    <s v="45215100-8"/>
    <s v="1.2.52."/>
    <n v="9500000"/>
    <x v="1"/>
    <d v="2018-12-06T00:00:00"/>
    <d v="2018-12-27T00:00:00"/>
    <d v="2019-01-14T00:00:00"/>
    <s v="OHL ŽS, a.s."/>
    <m/>
    <n v="9498000"/>
    <n v="11492580"/>
    <m/>
    <m/>
    <m/>
    <d v="2018-01-14T00:00:00"/>
    <s v="SMLN-2019-618-000004"/>
    <x v="11"/>
    <d v="2019-02-12T00:00:00"/>
    <s v="120 dní od pís. Výzvy"/>
  </r>
  <r>
    <s v="xxx"/>
    <s v="xxx"/>
    <d v="2018-11-15T00:00:00"/>
    <s v="VZ-2018-000928"/>
    <x v="3"/>
    <s v="Nerudová"/>
    <x v="49"/>
    <m/>
    <m/>
    <m/>
    <s v="33772000-2"/>
    <m/>
    <n v="1900000"/>
    <x v="2"/>
    <d v="2018-12-20T00:00:00"/>
    <d v="2019-01-11T00:00:00"/>
    <d v="2019-01-16T00:00:00"/>
    <s v="FRANKOSPOL OFFICE s.r.o."/>
    <m/>
    <n v="1546109"/>
    <n v="1870791.89"/>
    <m/>
    <m/>
    <m/>
    <d v="2019-02-05T00:00:00"/>
    <s v="SMLN-2019-617-000051"/>
    <x v="33"/>
    <d v="2019-02-26T00:00:00"/>
    <d v="2020-02-24T00:00:00"/>
  </r>
  <r>
    <s v="xxx"/>
    <s v="xxx"/>
    <s v="xxx"/>
    <s v="VZ-2018-000932"/>
    <x v="5"/>
    <s v="Ondráčková"/>
    <x v="50"/>
    <n v="1"/>
    <s v="Etamsylát"/>
    <s v="B02BX01"/>
    <s v="33621200-1"/>
    <m/>
    <n v="1360716"/>
    <x v="0"/>
    <d v="2018-12-05T00:00:00"/>
    <d v="2019-01-09T00:00:00"/>
    <m/>
    <s v="4life; PHOENIX lékárenský velkoobchod, s.r.o."/>
    <s v="DůVOD zrušeno - bez nabídky ; nepodali nabídku ; DALŠÍ POSTUP opakování zrušené; 20.8. předáno OZVZ; ÚPRAVA  ; PŘEDPOKLAD  ; POZN: "/>
    <m/>
    <m/>
    <m/>
    <m/>
    <m/>
    <m/>
    <m/>
    <x v="0"/>
    <d v="2019-02-28T00:00:00"/>
    <m/>
  </r>
  <r>
    <s v="xxx"/>
    <s v="xxx"/>
    <s v="xxx"/>
    <s v="VZ-2018-000932"/>
    <x v="5"/>
    <s v="Ondráčková"/>
    <x v="50"/>
    <n v="2"/>
    <s v="Romiplostin"/>
    <s v="B02BX04"/>
    <s v="33621200-1"/>
    <m/>
    <n v="4808719"/>
    <x v="0"/>
    <d v="2018-12-05T00:00:00"/>
    <d v="2019-01-09T00:00:00"/>
    <d v="2019-02-26T00:00:00"/>
    <s v="Amgen s.r.o."/>
    <m/>
    <n v="4758558.76"/>
    <n v="5234414.6359999999"/>
    <m/>
    <m/>
    <m/>
    <d v="2019-02-26T00:00:00"/>
    <s v="SMLN-2019-617-000097"/>
    <x v="21"/>
    <d v="2019-04-04T00:00:00"/>
    <d v="2021-03-31T00:00:00"/>
  </r>
  <r>
    <s v="xxx"/>
    <s v="xxx"/>
    <s v="xxx"/>
    <s v="VZ-2018-000932"/>
    <x v="5"/>
    <s v="Ondráčková"/>
    <x v="50"/>
    <n v="3"/>
    <s v="Eltrombopag-olamin"/>
    <s v="B02BX05"/>
    <s v="33621200-1"/>
    <m/>
    <n v="1434358"/>
    <x v="0"/>
    <d v="2018-12-05T00:00:00"/>
    <d v="2019-01-09T00:00:00"/>
    <d v="2019-02-26T00:00:00"/>
    <s v="Alliance Healthcare s.r.o."/>
    <m/>
    <n v="1434357.12"/>
    <n v="1577792.8320000002"/>
    <m/>
    <m/>
    <m/>
    <d v="2019-02-26T00:00:00"/>
    <s v="SMLN-2019-617-000098"/>
    <x v="21"/>
    <d v="2019-04-04T00:00:00"/>
    <d v="2021-03-31T00:00:00"/>
  </r>
  <r>
    <s v="xxx"/>
    <s v="xxx"/>
    <s v="xxx"/>
    <s v="VZ-2018-000932"/>
    <x v="5"/>
    <s v="Ondráčková"/>
    <x v="50"/>
    <n v="4"/>
    <s v="Deferoxamin-mesylát"/>
    <s v="V03AC01"/>
    <s v="33693000-4"/>
    <m/>
    <n v="140033"/>
    <x v="0"/>
    <d v="2018-12-05T00:00:00"/>
    <d v="2019-01-09T00:00:00"/>
    <d v="2019-02-26T00:00:00"/>
    <s v="Alliance Healthcare s.r.o."/>
    <m/>
    <n v="140030"/>
    <n v="154033"/>
    <m/>
    <m/>
    <m/>
    <d v="2019-02-26T00:00:00"/>
    <s v="SMLN-2019-617-000099"/>
    <x v="21"/>
    <d v="2019-04-04T00:00:00"/>
    <d v="2021-03-31T00:00:00"/>
  </r>
  <r>
    <s v="xxx"/>
    <s v="xxx"/>
    <s v="xxx"/>
    <s v="VZ-2018-000932"/>
    <x v="5"/>
    <s v="Ondráčková"/>
    <x v="50"/>
    <n v="5"/>
    <s v="Deferipron"/>
    <s v="V03AC02"/>
    <s v="33693000-4"/>
    <m/>
    <n v="472992"/>
    <x v="0"/>
    <d v="2018-12-05T00:00:00"/>
    <d v="2019-01-09T00:00:00"/>
    <d v="2019-02-26T00:00:00"/>
    <s v="Alliance Healthcare s.r.o."/>
    <m/>
    <n v="472430.08000000002"/>
    <n v="519673.08800000005"/>
    <m/>
    <m/>
    <m/>
    <d v="2019-02-27T00:00:00"/>
    <s v="SMLN-2019-617-000100"/>
    <x v="21"/>
    <d v="2019-04-04T00:00:00"/>
    <d v="2021-03-31T00:00:00"/>
  </r>
  <r>
    <s v="xxx"/>
    <s v="xxx"/>
    <s v="xxx"/>
    <s v="VZ-2018-000932"/>
    <x v="5"/>
    <s v="Ondráčková"/>
    <x v="50"/>
    <n v="6"/>
    <s v="Deferasirox"/>
    <s v="V03AC03"/>
    <s v="33693000-4"/>
    <m/>
    <n v="7845389"/>
    <x v="0"/>
    <d v="2018-12-05T00:00:00"/>
    <d v="2019-01-09T00:00:00"/>
    <d v="2019-02-26T00:00:00"/>
    <s v="Alliance Healthcare s.r.o."/>
    <m/>
    <n v="7719800"/>
    <n v="8491780"/>
    <m/>
    <m/>
    <m/>
    <d v="2019-02-27T00:00:00"/>
    <s v="SMLN-2019-617-000101"/>
    <x v="21"/>
    <d v="2019-04-04T00:00:00"/>
    <d v="2021-03-31T00:00:00"/>
  </r>
  <r>
    <s v="xxx"/>
    <s v="xxx"/>
    <s v="xxx"/>
    <s v="VZ-2018-000944"/>
    <x v="10"/>
    <s v="Vaida"/>
    <x v="51"/>
    <m/>
    <m/>
    <m/>
    <s v="45421100-5"/>
    <m/>
    <n v="500000"/>
    <x v="2"/>
    <d v="2018-12-13T00:00:00"/>
    <d v="2019-01-08T00:00:00"/>
    <d v="2019-01-15T00:00:00"/>
    <s v="Stavitelství Pospíšil, s.r.o."/>
    <m/>
    <n v="635808"/>
    <n v="769327.67999999993"/>
    <m/>
    <m/>
    <m/>
    <d v="2019-01-15T00:00:00"/>
    <s v="SMLN-2019-618-000006"/>
    <x v="34"/>
    <d v="2019-02-25T00:00:00"/>
    <d v="2019-04-18T00:00:00"/>
  </r>
  <r>
    <s v="xxx"/>
    <s v="xxx"/>
    <s v="xxx"/>
    <s v="VZ-2018-000945"/>
    <x v="5"/>
    <s v="Ondráčková"/>
    <x v="52"/>
    <n v="1"/>
    <s v="Rituximab pro intravenózní podání pro indikaci CLL"/>
    <s v="L01XC02"/>
    <s v="33652100-6"/>
    <m/>
    <n v="12688472"/>
    <x v="0"/>
    <d v="2018-12-13T00:00:00"/>
    <d v="2019-01-17T00:00:00"/>
    <d v="2019-02-26T00:00:00"/>
    <s v="Alliance Healthcare s.r.o."/>
    <m/>
    <n v="6798782.4000000004"/>
    <n v="8226526.7039999999"/>
    <m/>
    <m/>
    <m/>
    <d v="2019-02-26T00:00:00"/>
    <s v="SMLN-2019-617-000096"/>
    <x v="35"/>
    <d v="2019-04-29T00:00:00"/>
    <d v="2021-04-14T00:00:00"/>
  </r>
  <r>
    <s v="xxx"/>
    <s v="xxx"/>
    <s v="xxx"/>
    <s v="VZ-2018-000945"/>
    <x v="5"/>
    <s v="Ondráčková"/>
    <x v="52"/>
    <n v="2"/>
    <s v="Rituximab pro intravenózní podání pro indikaci revmatoidní artritida"/>
    <s v="L01XC02"/>
    <s v="33652100-6"/>
    <m/>
    <n v="2543217"/>
    <x v="0"/>
    <d v="2018-12-13T00:00:00"/>
    <d v="2019-01-17T00:00:00"/>
    <m/>
    <s v="Sandoz,Alliance Healthcare s.r.o."/>
    <s v="DůVOD zrušeno - bez nabídky ; indikace; roche překročení PH ; DALŠÍ POSTUP opakovat? Další indikace zrušen patent. Odchod od originálu; ÚPRAVA dle indikací ; PŘEDPOKLAD 4.Q_19 ; POZN: "/>
    <m/>
    <m/>
    <m/>
    <m/>
    <m/>
    <m/>
    <m/>
    <x v="0"/>
    <d v="2019-03-19T00:00:00"/>
    <m/>
  </r>
  <r>
    <s v="xxx"/>
    <s v="xxx"/>
    <s v="xxx"/>
    <s v="VZ-2018-000946"/>
    <x v="0"/>
    <s v="Dočkalová"/>
    <x v="53"/>
    <m/>
    <m/>
    <m/>
    <s v="33140000-3"/>
    <m/>
    <n v="946000"/>
    <x v="2"/>
    <d v="2018-12-11T00:00:00"/>
    <d v="2018-12-20T00:00:00"/>
    <d v="2019-01-14T00:00:00"/>
    <s v="Edwards Lifesciences "/>
    <m/>
    <n v="940800"/>
    <n v="1138368"/>
    <m/>
    <m/>
    <m/>
    <d v="2019-01-14T00:00:00"/>
    <s v="SMLN-2019-617-000010"/>
    <x v="36"/>
    <d v="2019-02-18T00:00:00"/>
    <d v="2021-02-14T00:00:00"/>
  </r>
  <r>
    <s v="xxx"/>
    <s v="xxx"/>
    <s v="xxx"/>
    <s v="VZ-2018-000952"/>
    <x v="4"/>
    <s v="Srovnal"/>
    <x v="54"/>
    <m/>
    <m/>
    <m/>
    <s v="42500000-1"/>
    <s v="4.2.106."/>
    <n v="330000"/>
    <x v="2"/>
    <d v="2018-12-17T00:00:00"/>
    <d v="2019-01-11T00:00:00"/>
    <d v="2019-01-17T00:00:00"/>
    <s v="Air - Klimont s.r.o."/>
    <m/>
    <n v="236952"/>
    <n v="286711.92"/>
    <m/>
    <m/>
    <m/>
    <d v="2019-01-18T00:00:00"/>
    <s v="SMLN-2019-617-000020"/>
    <x v="37"/>
    <d v="2019-02-18T00:00:00"/>
    <d v="2019-04-15T00:00:00"/>
  </r>
  <r>
    <s v="xxx"/>
    <s v="xxx"/>
    <s v="xxx"/>
    <s v="VZ-2018-000953"/>
    <x v="7"/>
    <s v="Valíček"/>
    <x v="55"/>
    <m/>
    <m/>
    <m/>
    <s v="71200000-0"/>
    <s v="1.3.1."/>
    <n v="1950000"/>
    <x v="2"/>
    <d v="2018-12-14T00:00:00"/>
    <d v="2018-12-28T00:00:00"/>
    <d v="2019-01-09T00:00:00"/>
    <s v="LT PROJEKT a.s."/>
    <m/>
    <n v="1700000"/>
    <n v="2057000"/>
    <m/>
    <m/>
    <m/>
    <d v="2019-01-11T00:00:00"/>
    <s v="SMLN-2019-618-000002"/>
    <x v="9"/>
    <d v="2019-02-04T00:00:00"/>
    <d v="2019-04-24T00:00:00"/>
  </r>
  <r>
    <s v="xxx"/>
    <s v="xxx"/>
    <d v="2018-11-02T00:00:00"/>
    <s v="VZ-2019-000003"/>
    <x v="6"/>
    <s v="Rosulek"/>
    <x v="56"/>
    <m/>
    <m/>
    <m/>
    <s v="31500000-1"/>
    <s v="2.2.190/2018"/>
    <n v="619835"/>
    <x v="2"/>
    <d v="2019-01-11T00:00:00"/>
    <d v="2019-01-22T00:00:00"/>
    <m/>
    <s v="zrušeno - bez nabídky"/>
    <s v="nová VZ-2019-000307"/>
    <m/>
    <m/>
    <m/>
    <m/>
    <m/>
    <m/>
    <m/>
    <x v="0"/>
    <d v="2019-01-23T00:00:00"/>
    <m/>
  </r>
  <r>
    <s v="xxx"/>
    <s v="xxx"/>
    <d v="2018-09-10T00:00:00"/>
    <s v="VZ-2019-000004"/>
    <x v="5"/>
    <s v="Ondráčková"/>
    <x v="57"/>
    <n v="1"/>
    <s v="Diagnostika a spotřební materiál pro vyšetřní presepsinu se zápůjčkou analyzátoru"/>
    <m/>
    <s v="33694000-1"/>
    <m/>
    <n v="8400000"/>
    <x v="0"/>
    <d v="2019-01-08T00:00:00"/>
    <d v="2019-02-08T00:00:00"/>
    <d v="2019-03-05T00:00:00"/>
    <s v="MEDESA s.r.o."/>
    <m/>
    <n v="8388000"/>
    <n v="10149480"/>
    <m/>
    <m/>
    <m/>
    <d v="2019-03-05T00:00:00"/>
    <s v="SMLN-2019-617-000120; SMLN-2019-616-000019"/>
    <x v="35"/>
    <d v="2019-04-25T00:00:00"/>
    <d v="2027-04-14T00:00:00"/>
  </r>
  <r>
    <s v="xxx"/>
    <s v="xxx"/>
    <d v="2018-10-02T00:00:00"/>
    <s v="VZ-2019-000005"/>
    <x v="5"/>
    <s v="Ondráčková"/>
    <x v="58"/>
    <n v="1"/>
    <s v="Medicinální a technické plyny"/>
    <m/>
    <s v="24111500-5"/>
    <m/>
    <n v="7973778"/>
    <x v="0"/>
    <d v="2019-01-08T00:00:00"/>
    <d v="2019-02-08T00:00:00"/>
    <m/>
    <s v="Messer Technogas s.r.o."/>
    <s v="DůVOD zrušeno - překročení ceny ; VZ-2019-000401"/>
    <m/>
    <m/>
    <m/>
    <m/>
    <m/>
    <m/>
    <m/>
    <x v="0"/>
    <d v="2019-02-13T00:00:00"/>
    <m/>
  </r>
  <r>
    <s v="xxx"/>
    <s v="xxx"/>
    <d v="2018-12-28T00:00:00"/>
    <s v="VZ-2019-000006"/>
    <x v="4"/>
    <s v="Srovnal"/>
    <x v="59"/>
    <m/>
    <m/>
    <m/>
    <s v="43612600-2"/>
    <m/>
    <n v="300000"/>
    <x v="2"/>
    <d v="2019-01-10T00:00:00"/>
    <d v="2019-01-21T00:00:00"/>
    <m/>
    <s v="zrušeno - bez nabídky"/>
    <s v="nová VZ-2019-000057"/>
    <m/>
    <m/>
    <m/>
    <m/>
    <m/>
    <m/>
    <m/>
    <x v="0"/>
    <d v="2019-01-21T00:00:00"/>
    <m/>
  </r>
  <r>
    <s v="xxx"/>
    <s v="xxx"/>
    <d v="2018-12-20T00:00:00"/>
    <s v="VZ-2019-000008"/>
    <x v="1"/>
    <s v="Oravec"/>
    <x v="60"/>
    <m/>
    <m/>
    <m/>
    <s v="72261000-2"/>
    <m/>
    <n v="2088000"/>
    <x v="1"/>
    <d v="2019-01-09T00:00:00"/>
    <d v="2019-01-29T00:00:00"/>
    <d v="2019-02-06T00:00:00"/>
    <s v="DS Soft Olomouc s.r.o."/>
    <m/>
    <n v="1998000"/>
    <n v="2417580"/>
    <m/>
    <m/>
    <m/>
    <d v="2019-02-06T00:00:00"/>
    <s v="SMLN-2019-612-000011"/>
    <x v="38"/>
    <d v="2019-04-04T00:00:00"/>
    <d v="2022-04-01T00:00:00"/>
  </r>
  <r>
    <s v="xxx"/>
    <s v="xxx"/>
    <d v="2018-11-09T00:00:00"/>
    <s v="VZ-2019-000009"/>
    <x v="3"/>
    <s v="Nerudová"/>
    <x v="61"/>
    <m/>
    <m/>
    <m/>
    <s v="30197644-2"/>
    <m/>
    <n v="1020000"/>
    <x v="2"/>
    <d v="2019-01-04T00:00:00"/>
    <d v="2019-01-17T00:00:00"/>
    <d v="2019-02-05T00:00:00"/>
    <s v="VKUS-BUSTAN, s.r.o."/>
    <m/>
    <n v="1231140"/>
    <n v="1489679.4"/>
    <m/>
    <m/>
    <m/>
    <d v="2019-02-05T00:00:00"/>
    <s v="SMLN-2019-617-000052"/>
    <x v="39"/>
    <d v="2019-03-01T00:00:00"/>
    <d v="2020-02-27T00:00:00"/>
  </r>
  <r>
    <s v="xxx"/>
    <s v="xxx"/>
    <d v="2019-01-03T00:00:00"/>
    <s v="VZ-2019-000010"/>
    <x v="6"/>
    <s v="Rosulek"/>
    <x v="62"/>
    <m/>
    <m/>
    <m/>
    <s v="33168100-6"/>
    <s v="2.3.358, 359"/>
    <n v="486000"/>
    <x v="2"/>
    <d v="2019-01-09T00:00:00"/>
    <d v="2019-01-18T00:00:00"/>
    <m/>
    <s v="zrušeno"/>
    <s v="nová VZ-2019-000054"/>
    <m/>
    <m/>
    <m/>
    <m/>
    <m/>
    <m/>
    <m/>
    <x v="0"/>
    <d v="2019-01-21T00:00:00"/>
    <m/>
  </r>
  <r>
    <s v="xxx"/>
    <s v="xxx"/>
    <d v="2018-12-06T00:00:00"/>
    <s v="VZ-2019-000016"/>
    <x v="0"/>
    <s v="Dočkalová"/>
    <x v="63"/>
    <m/>
    <m/>
    <m/>
    <s v="33140000-3"/>
    <m/>
    <n v="1347470"/>
    <x v="2"/>
    <d v="2019-01-16T00:00:00"/>
    <d v="2019-01-24T00:00:00"/>
    <d v="2019-02-12T00:00:00"/>
    <s v="Pro-Charitu s.r.o."/>
    <m/>
    <n v="1115140"/>
    <n v="1349319.4"/>
    <m/>
    <m/>
    <m/>
    <d v="2019-02-13T00:00:00"/>
    <s v="SMLN-2019-617-000062"/>
    <x v="40"/>
    <d v="2019-03-06T00:00:00"/>
    <d v="2021-03-04T00:00:00"/>
  </r>
  <r>
    <s v="xxx"/>
    <s v="xxx"/>
    <d v="2019-01-02T00:00:00"/>
    <s v="VZ-2019-000017"/>
    <x v="1"/>
    <s v="Oravec"/>
    <x v="64"/>
    <m/>
    <m/>
    <m/>
    <s v="72261000-2"/>
    <s v="3.2.12."/>
    <n v="1350000"/>
    <x v="2"/>
    <d v="2019-01-28T00:00:00"/>
    <d v="2019-02-08T00:00:00"/>
    <m/>
    <s v="zrušeno - nesplnění požadavků"/>
    <s v="nová VZ-2019-000215"/>
    <m/>
    <m/>
    <m/>
    <m/>
    <m/>
    <m/>
    <m/>
    <x v="0"/>
    <d v="2019-02-26T00:00:00"/>
    <m/>
  </r>
  <r>
    <s v="xxx"/>
    <s v="xxx"/>
    <d v="2019-01-08T00:00:00"/>
    <s v="VZ-2019-000019"/>
    <x v="2"/>
    <s v="Neudörflerová"/>
    <x v="65"/>
    <n v="1"/>
    <s v="Instrumentárium pro laparoskopickou operativu"/>
    <m/>
    <s v="33169000-2"/>
    <m/>
    <n v="1394214.87"/>
    <x v="0"/>
    <d v="2019-02-08T00:00:00"/>
    <d v="2019-03-13T00:00:00"/>
    <d v="2019-04-09T00:00:00"/>
    <s v="RADIX CZ s.r.o."/>
    <m/>
    <n v="1389636"/>
    <n v="1681459.56"/>
    <m/>
    <m/>
    <m/>
    <d v="2019-04-09T00:00:00"/>
    <s v="SMLN-2019-617-000178"/>
    <x v="41"/>
    <d v="2019-05-20T00:00:00"/>
    <d v="2019-06-28T00:00:00"/>
  </r>
  <r>
    <s v="xxx"/>
    <s v="xxx"/>
    <d v="2019-01-08T00:00:00"/>
    <s v="VZ-2019-000019"/>
    <x v="2"/>
    <s v="Neudörflerová"/>
    <x v="65"/>
    <n v="2"/>
    <s v="Instrumentárium pro hysteroskopickou operativu"/>
    <m/>
    <s v="33169000-2"/>
    <m/>
    <n v="1600826.44"/>
    <x v="0"/>
    <d v="2019-02-08T00:00:00"/>
    <d v="2019-03-13T00:00:00"/>
    <d v="2019-04-09T00:00:00"/>
    <s v="RADIX CZ s.r.o."/>
    <m/>
    <n v="1595178"/>
    <n v="1930165.38"/>
    <m/>
    <m/>
    <m/>
    <d v="2019-04-09T00:00:00"/>
    <s v="SMLN-2019-617-000179"/>
    <x v="41"/>
    <d v="2019-05-20T00:00:00"/>
    <d v="2019-06-28T00:00:00"/>
  </r>
  <r>
    <s v="xxx"/>
    <s v="xxx"/>
    <d v="2019-01-08T00:00:00"/>
    <s v="VZ-2019-000019"/>
    <x v="2"/>
    <s v="Neudörflerová"/>
    <x v="65"/>
    <n v="3"/>
    <s v="Instrumentárium pro laparoskopickou operativu - videoendoskop"/>
    <m/>
    <s v="33169000-2"/>
    <m/>
    <n v="1406611.57"/>
    <x v="0"/>
    <d v="2019-02-08T00:00:00"/>
    <d v="2019-03-13T00:00:00"/>
    <d v="2019-04-09T00:00:00"/>
    <s v="RADIX CZ s.r.o."/>
    <m/>
    <n v="1399800"/>
    <n v="1693758"/>
    <m/>
    <m/>
    <m/>
    <d v="2019-04-09T00:00:00"/>
    <s v="SMLN-2019-617-000180"/>
    <x v="41"/>
    <d v="2019-05-20T00:00:00"/>
    <d v="2019-06-28T00:00:00"/>
  </r>
  <r>
    <s v="xxx"/>
    <s v="xxx"/>
    <s v="opakovaná VZ"/>
    <s v="VZ-2019-000027"/>
    <x v="9"/>
    <s v="Filip"/>
    <x v="66"/>
    <n v="1"/>
    <s v="Kalibrace a validace ostatních měřidel a zařízení FNOL"/>
    <m/>
    <s v="50411000-9"/>
    <m/>
    <n v="2100000"/>
    <x v="1"/>
    <d v="2019-01-14T00:00:00"/>
    <d v="2019-01-30T00:00:00"/>
    <d v="2019-02-13T00:00:00"/>
    <s v="KALIST AKL s.r.o."/>
    <m/>
    <n v="1712320"/>
    <n v="2071907.2"/>
    <m/>
    <m/>
    <m/>
    <d v="2019-02-15T00:00:00"/>
    <s v="SMLN-2019-612-000020"/>
    <x v="21"/>
    <d v="2019-04-04T00:00:00"/>
    <d v="2020-03-31T00:00:00"/>
  </r>
  <r>
    <s v="xxx"/>
    <s v="xxx"/>
    <s v="opakovaná VZ"/>
    <s v="VZ-2019-000027"/>
    <x v="9"/>
    <s v="Filip"/>
    <x v="66"/>
    <n v="2"/>
    <s v="Kalibrace a validace monitorovacího systému ConWin"/>
    <m/>
    <s v="50411000-9"/>
    <m/>
    <n v="900000"/>
    <x v="1"/>
    <d v="2019-01-14T00:00:00"/>
    <d v="2019-01-30T00:00:00"/>
    <d v="2019-02-13T00:00:00"/>
    <s v="KALIST AKL s.r.o."/>
    <m/>
    <n v="796300"/>
    <n v="963523"/>
    <m/>
    <m/>
    <m/>
    <d v="2019-02-15T00:00:00"/>
    <s v="SMLN-2019-612-000021"/>
    <x v="21"/>
    <d v="2019-04-04T00:00:00"/>
    <d v="2020-03-31T00:00:00"/>
  </r>
  <r>
    <s v="xxx"/>
    <s v="xxx"/>
    <d v="2019-01-02T00:00:00"/>
    <s v="VZ-2019-000029"/>
    <x v="3"/>
    <s v="Nerudová"/>
    <x v="67"/>
    <m/>
    <m/>
    <m/>
    <s v="39120000-9"/>
    <m/>
    <n v="930000"/>
    <x v="0"/>
    <d v="2019-01-21T00:00:00"/>
    <d v="2019-02-22T00:00:00"/>
    <d v="2019-03-06T00:00:00"/>
    <s v="Indubia s.r.o."/>
    <m/>
    <n v="845534"/>
    <n v="1023096.14"/>
    <m/>
    <m/>
    <m/>
    <d v="2019-03-07T00:00:00"/>
    <s v="SMLN-2019-618-000017"/>
    <x v="42"/>
    <d v="2019-04-17T00:00:00"/>
    <d v="2019-07-31T00:00:00"/>
  </r>
  <r>
    <s v="xxx"/>
    <s v="xxx"/>
    <d v="2019-01-14T00:00:00"/>
    <s v="VZ-2019-000040"/>
    <x v="6"/>
    <s v="Rosulek"/>
    <x v="68"/>
    <m/>
    <m/>
    <m/>
    <s v="39711100-0"/>
    <s v="2.2.131.; 2.2.189."/>
    <n v="179338"/>
    <x v="2"/>
    <d v="2019-01-21T00:00:00"/>
    <d v="2019-02-07T00:00:00"/>
    <d v="2019-02-28T00:00:00"/>
    <s v="UNIMED PRAHA s.r.o."/>
    <m/>
    <n v="229984"/>
    <n v="278280.64"/>
    <m/>
    <m/>
    <m/>
    <d v="2019-03-01T00:00:00"/>
    <s v="SMLN-2019-617-000112_x000a_SMLN-2019-612-000029"/>
    <x v="43"/>
    <d v="2019-03-29T00:00:00"/>
    <d v="2019-05-21T00:00:00"/>
  </r>
  <r>
    <s v="xxx"/>
    <s v="xxx"/>
    <d v="2019-01-17T00:00:00"/>
    <s v="VZ-2019-000044"/>
    <x v="6"/>
    <s v="Rosulek"/>
    <x v="69"/>
    <m/>
    <m/>
    <m/>
    <s v="33100000-1"/>
    <s v="2.2.31."/>
    <n v="438017"/>
    <x v="2"/>
    <d v="2019-01-22T00:00:00"/>
    <d v="2019-01-31T00:00:00"/>
    <d v="2019-02-12T00:00:00"/>
    <s v="zrušeno - nutná ekonomická analýza"/>
    <s v="rozvaha výpůjčka x koupě"/>
    <n v="514254"/>
    <n v="622248.5"/>
    <m/>
    <m/>
    <m/>
    <d v="2019-02-13T00:00:00"/>
    <s v="SMLN-2019-617-000063_x000a_SMLN-2019-612-000017"/>
    <x v="0"/>
    <d v="2019-06-13T00:00:00"/>
    <m/>
  </r>
  <r>
    <s v="xxx"/>
    <s v="xxx"/>
    <s v="opakovaná VZ"/>
    <s v="VZ-2019-000054"/>
    <x v="6"/>
    <s v="Rosulek"/>
    <x v="70"/>
    <m/>
    <m/>
    <m/>
    <s v="33168100-6"/>
    <s v="2.3.358,359"/>
    <n v="486000"/>
    <x v="2"/>
    <d v="2019-01-23T00:00:00"/>
    <d v="2019-02-07T00:00:00"/>
    <d v="2019-02-13T00:00:00"/>
    <s v="Olympus Czech Group s.r.o."/>
    <m/>
    <n v="649837"/>
    <n v="786302.77"/>
    <m/>
    <m/>
    <m/>
    <d v="2019-02-13T00:00:00"/>
    <s v="SMLN-2019-617-000074_x000a_SMLN-2019-612-000018"/>
    <x v="44"/>
    <d v="2019-03-12T00:00:00"/>
    <d v="2019-05-10T00:00:00"/>
  </r>
  <r>
    <s v="xxx"/>
    <s v="xxx"/>
    <d v="2019-01-17T00:00:00"/>
    <s v="VZ-2019-000055"/>
    <x v="4"/>
    <s v="Srovnal"/>
    <x v="71"/>
    <m/>
    <m/>
    <m/>
    <s v="50532000-3"/>
    <m/>
    <n v="4000000"/>
    <x v="0"/>
    <d v="2019-02-14T00:00:00"/>
    <d v="2019-03-22T00:00:00"/>
    <d v="2019-04-11T00:00:00"/>
    <s v="ELMAR group s.r.o."/>
    <m/>
    <n v="3997042.8"/>
    <n v="4836421.79"/>
    <m/>
    <m/>
    <m/>
    <d v="2019-04-11T00:00:00"/>
    <s v="SMLN-2019-612-000038"/>
    <x v="41"/>
    <d v="2019-05-22T00:00:00"/>
    <d v="2023-05-16T00:00:00"/>
  </r>
  <r>
    <s v="xxx"/>
    <s v="xxx"/>
    <s v="opakovaná VZ"/>
    <s v="VZ-2019-000057"/>
    <x v="4"/>
    <s v="Srovnal"/>
    <x v="72"/>
    <m/>
    <m/>
    <m/>
    <s v="43612600-2"/>
    <m/>
    <n v="300000"/>
    <x v="2"/>
    <d v="2019-01-24T00:00:00"/>
    <d v="2019-02-05T00:00:00"/>
    <d v="2019-02-11T00:00:00"/>
    <s v="Liftmont CZ, s.r.o."/>
    <m/>
    <n v="269000"/>
    <n v="325490"/>
    <m/>
    <m/>
    <m/>
    <d v="2019-02-11T00:00:00"/>
    <s v="SMLN-2019-612-000016"/>
    <x v="45"/>
    <d v="2019-03-12T00:00:00"/>
    <d v="2019-03-31T00:00:00"/>
  </r>
  <r>
    <s v="xxx"/>
    <s v="xxx"/>
    <d v="2018-12-06T00:00:00"/>
    <s v="VZ-2019-000066"/>
    <x v="5"/>
    <s v="Ondráčková"/>
    <x v="73"/>
    <n v="1"/>
    <s v="Methylfenidát-hydrochlorid I"/>
    <s v="NA6BA04"/>
    <s v="33661600-7"/>
    <m/>
    <n v="356773"/>
    <x v="0"/>
    <d v="2019-01-25T00:00:00"/>
    <d v="2019-02-25T00:00:00"/>
    <d v="2019-03-08T00:00:00"/>
    <s v="Alliance Healthcare s.r.o."/>
    <m/>
    <n v="352274.24"/>
    <n v="387501.66400000005"/>
    <m/>
    <m/>
    <m/>
    <d v="2019-03-11T00:00:00"/>
    <s v="SMLN-2019-617-000137"/>
    <x v="46"/>
    <d v="2019-04-25T00:00:00"/>
    <d v="2021-04-07T00:00:00"/>
  </r>
  <r>
    <s v="xxx"/>
    <s v="xxx"/>
    <d v="2018-12-06T00:00:00"/>
    <s v="VZ-2019-000066"/>
    <x v="5"/>
    <s v="Ondráčková"/>
    <x v="73"/>
    <n v="2"/>
    <s v="Atomoxetin-hydrochlorid"/>
    <s v="L01XC03"/>
    <s v="33661600-7"/>
    <m/>
    <n v="3945195"/>
    <x v="0"/>
    <d v="2019-01-25T00:00:00"/>
    <d v="2019-02-25T00:00:00"/>
    <d v="2019-03-08T00:00:00"/>
    <s v="Alliance Healthcare s.r.o."/>
    <m/>
    <n v="3910413.28"/>
    <n v="4301454.608"/>
    <m/>
    <m/>
    <m/>
    <d v="2019-03-11T00:00:00"/>
    <s v="SMLN-2019-617-000138"/>
    <x v="46"/>
    <d v="2019-04-25T00:00:00"/>
    <d v="2021-04-07T00:00:00"/>
  </r>
  <r>
    <s v="xxx"/>
    <s v="xxx"/>
    <d v="2018-12-06T00:00:00"/>
    <s v="VZ-2019-000066"/>
    <x v="5"/>
    <s v="Ondráčková"/>
    <x v="73"/>
    <n v="3"/>
    <s v="Tamsulosin-hydrochlorid, dutasterid"/>
    <s v="G04CA52"/>
    <s v="33641000-5"/>
    <m/>
    <n v="2016941"/>
    <x v="0"/>
    <d v="2019-01-25T00:00:00"/>
    <d v="2019-02-25T00:00:00"/>
    <d v="2019-03-08T00:00:00"/>
    <s v="GSK"/>
    <s v="DůVOD zrušeno - neposkytnutí součinnosti ; zrušeno - neposkytnutí součinnosti ; DALŠÍ POSTUP opakovat; ÚPRAVA  ; PŘEDPOKLAD 3.Q_19 ; POZN: "/>
    <m/>
    <m/>
    <m/>
    <m/>
    <m/>
    <d v="2019-03-11T00:00:00"/>
    <s v="SMLN-2019-617-000139"/>
    <x v="0"/>
    <d v="2019-04-25T00:00:00"/>
    <m/>
  </r>
  <r>
    <s v="xxx"/>
    <s v="xxx"/>
    <d v="2018-12-06T00:00:00"/>
    <s v="VZ-2019-000066"/>
    <x v="5"/>
    <s v="Ondráčková"/>
    <x v="73"/>
    <n v="4"/>
    <s v="Tamsulosin-hydrochlorid, solifenacin-sukcinát"/>
    <s v="G04CA53"/>
    <s v="33641000-5"/>
    <m/>
    <n v="1079792"/>
    <x v="0"/>
    <d v="2019-01-25T00:00:00"/>
    <d v="2019-02-25T00:00:00"/>
    <m/>
    <s v="astellas"/>
    <s v="DůVOD zrušeno - bez nabídky ; nepodali nabídku ; DALŠÍ POSTUP opakovat; ÚPRAVA  ; PŘEDPOKLAD 3.Q_19 ; POZN: "/>
    <m/>
    <m/>
    <m/>
    <m/>
    <m/>
    <m/>
    <m/>
    <x v="0"/>
    <d v="2019-03-29T00:00:00"/>
    <m/>
  </r>
  <r>
    <s v="xxx"/>
    <s v="xxx"/>
    <d v="2018-12-06T00:00:00"/>
    <s v="VZ-2019-000066"/>
    <x v="5"/>
    <s v="Ondráčková"/>
    <x v="73"/>
    <n v="5"/>
    <s v="Teriparatid"/>
    <s v="H05AA02"/>
    <s v="33642000-2"/>
    <m/>
    <n v="4299113"/>
    <x v="0"/>
    <d v="2019-01-25T00:00:00"/>
    <d v="2019-02-25T00:00:00"/>
    <d v="2019-03-08T00:00:00"/>
    <s v="Alliance Healthcare s.r.o."/>
    <m/>
    <n v="4261228.68"/>
    <n v="4687351.5480000004"/>
    <m/>
    <m/>
    <m/>
    <d v="2019-03-11T00:00:00"/>
    <s v="SMLN-2019-617-000140"/>
    <x v="46"/>
    <d v="2019-04-25T00:00:00"/>
    <d v="2021-04-07T00:00:00"/>
  </r>
  <r>
    <s v="xxx"/>
    <s v="xxx"/>
    <d v="2018-12-06T00:00:00"/>
    <s v="VZ-2019-000066"/>
    <x v="5"/>
    <s v="Ondráčková"/>
    <x v="73"/>
    <n v="6"/>
    <s v="Heptahydrát síranu hořečnatého"/>
    <s v="A12CC02"/>
    <s v="33617000-8"/>
    <m/>
    <n v="1881217"/>
    <x v="0"/>
    <d v="2019-01-25T00:00:00"/>
    <d v="2019-02-25T00:00:00"/>
    <m/>
    <s v="AVEL"/>
    <s v="DůVOD zrušeno - bez nabídky ; nepodali nabídku ; DALŠÍ POSTUP opakovat; ÚPRAVA  ; PŘEDPOKLAD 1.Q_20 ; POZN: "/>
    <m/>
    <m/>
    <m/>
    <m/>
    <m/>
    <m/>
    <m/>
    <x v="0"/>
    <d v="2019-03-29T00:00:00"/>
    <m/>
  </r>
  <r>
    <s v="xxx"/>
    <s v="xxx"/>
    <d v="2018-12-06T00:00:00"/>
    <s v="VZ-2019-000066"/>
    <x v="5"/>
    <s v="Ondráčková"/>
    <x v="73"/>
    <n v="7"/>
    <s v="Lehký oxid hořečnatý, lehký zásaditý uhličitan hořečnatý"/>
    <s v="A12CC30"/>
    <s v="33617000-8"/>
    <m/>
    <n v="3254038"/>
    <x v="0"/>
    <d v="2019-01-25T00:00:00"/>
    <d v="2019-02-25T00:00:00"/>
    <m/>
    <s v="AVEL"/>
    <s v="DůVOD zrušeno - bez nabídky ; nepodali nabídku ; DALŠÍ POSTUP opakovat; ÚPRAVA  ; PŘEDPOKLAD 1.Q_20 ; POZN: "/>
    <m/>
    <m/>
    <m/>
    <m/>
    <m/>
    <m/>
    <m/>
    <x v="0"/>
    <d v="2019-03-29T00:00:00"/>
    <m/>
  </r>
  <r>
    <s v="xxx"/>
    <s v="xxx"/>
    <d v="2018-11-29T00:00:00"/>
    <s v="VZ-2019-000067"/>
    <x v="5"/>
    <s v="Ondráčková"/>
    <x v="74"/>
    <n v="1"/>
    <s v="Cytarabin pro subkutánní a intravenózní podání"/>
    <s v="L01BC01"/>
    <s v="33652000-5"/>
    <m/>
    <n v="509063"/>
    <x v="0"/>
    <d v="2019-03-08T00:00:00"/>
    <d v="2019-04-10T00:00:00"/>
    <d v="2019-05-23T00:00:00"/>
    <s v="ViaPharma s.r.o."/>
    <m/>
    <n v="468605.22"/>
    <n v="515465.74"/>
    <m/>
    <m/>
    <m/>
    <d v="2019-05-24T00:00:00"/>
    <s v="SMLN-2019-617-000225"/>
    <x v="47"/>
    <d v="2019-07-10T00:00:00"/>
    <d v="2021-07-01T00:00:00"/>
  </r>
  <r>
    <s v="xxx"/>
    <s v="xxx"/>
    <d v="2018-11-29T00:00:00"/>
    <s v="VZ-2019-000067"/>
    <x v="5"/>
    <s v="Ondráčková"/>
    <x v="74"/>
    <n v="2"/>
    <s v="Cytarabin pro intratekální podání"/>
    <s v="L01BC01"/>
    <s v="33652000-5"/>
    <m/>
    <n v="22616"/>
    <x v="0"/>
    <d v="2019-03-08T00:00:00"/>
    <d v="2019-04-10T00:00:00"/>
    <d v="2019-05-23T00:00:00"/>
    <s v="Alliance Healthcare s.r.o."/>
    <m/>
    <n v="18231"/>
    <n v="20054.099999999999"/>
    <m/>
    <m/>
    <m/>
    <d v="2019-05-24T00:00:00"/>
    <s v="SMLN-2019-617-000226"/>
    <x v="47"/>
    <d v="2019-07-10T00:00:00"/>
    <d v="2021-07-01T00:00:00"/>
  </r>
  <r>
    <s v="xxx"/>
    <s v="xxx"/>
    <d v="2018-11-29T00:00:00"/>
    <s v="VZ-2019-000067"/>
    <x v="5"/>
    <s v="Ondráčková"/>
    <x v="74"/>
    <n v="3"/>
    <s v="Fluoruracil"/>
    <s v="L01BC02"/>
    <s v="33652000-5"/>
    <m/>
    <n v="631503"/>
    <x v="0"/>
    <d v="2019-03-08T00:00:00"/>
    <d v="2019-04-10T00:00:00"/>
    <d v="2019-05-23T00:00:00"/>
    <s v="ViaPharma s.r.o."/>
    <m/>
    <n v="576435.6"/>
    <n v="634079.16"/>
    <m/>
    <m/>
    <m/>
    <d v="2019-05-24T00:00:00"/>
    <s v="SMLN-2019-617-000227"/>
    <x v="47"/>
    <d v="2019-07-10T00:00:00"/>
    <d v="2021-07-01T00:00:00"/>
  </r>
  <r>
    <s v="xxx"/>
    <s v="xxx"/>
    <d v="2018-11-29T00:00:00"/>
    <s v="VZ-2019-000067"/>
    <x v="5"/>
    <s v="Ondráčková"/>
    <x v="74"/>
    <n v="4"/>
    <s v="Gemcitabin-hydrochlorid"/>
    <s v="L01BC05"/>
    <s v="33652000-5"/>
    <m/>
    <n v="905546"/>
    <x v="0"/>
    <d v="2019-03-08T00:00:00"/>
    <d v="2019-04-10T00:00:00"/>
    <d v="2019-05-23T00:00:00"/>
    <s v="ViaPharma s.r.o."/>
    <m/>
    <n v="900488.9"/>
    <n v="990537.79"/>
    <m/>
    <m/>
    <m/>
    <d v="2019-05-24T00:00:00"/>
    <s v="SMLN-2019-617-000228"/>
    <x v="47"/>
    <d v="2019-07-10T00:00:00"/>
    <d v="2021-07-01T00:00:00"/>
  </r>
  <r>
    <s v="xxx"/>
    <s v="xxx"/>
    <d v="2018-11-29T00:00:00"/>
    <s v="VZ-2019-000067"/>
    <x v="5"/>
    <s v="Ondráčková"/>
    <x v="74"/>
    <n v="5"/>
    <s v="Azacitidin"/>
    <s v="L01BC07"/>
    <s v="33652000-5"/>
    <m/>
    <n v="21208837"/>
    <x v="0"/>
    <d v="2019-03-08T00:00:00"/>
    <d v="2019-04-10T00:00:00"/>
    <d v="2019-05-23T00:00:00"/>
    <s v="PHOENIX lék.velkoobchod, s.r.o."/>
    <m/>
    <n v="21208836.100000001"/>
    <n v="23329719.710000001"/>
    <m/>
    <m/>
    <m/>
    <d v="2019-05-24T00:00:00"/>
    <s v="SMLN-2019-617-000229"/>
    <x v="47"/>
    <d v="2019-07-10T00:00:00"/>
    <d v="2021-07-01T00:00:00"/>
  </r>
  <r>
    <s v="xxx"/>
    <s v="xxx"/>
    <d v="2018-11-29T00:00:00"/>
    <s v="VZ-2019-000067"/>
    <x v="5"/>
    <s v="Ondráčková"/>
    <x v="74"/>
    <n v="6"/>
    <s v="Trifluridin, tipiracil-hydrochlorid"/>
    <s v="L01BC59"/>
    <s v="33652000-5"/>
    <m/>
    <n v="2391696"/>
    <x v="0"/>
    <d v="2019-03-08T00:00:00"/>
    <d v="2019-04-10T00:00:00"/>
    <d v="2019-05-23T00:00:00"/>
    <s v="PHOENIX lék.velkoobchod, s.r.o."/>
    <m/>
    <n v="2391694.98"/>
    <n v="2630864.48"/>
    <m/>
    <m/>
    <m/>
    <d v="2019-05-24T00:00:00"/>
    <s v="SMLN-2019-617-000230"/>
    <x v="47"/>
    <d v="2019-07-10T00:00:00"/>
    <d v="2021-07-01T00:00:00"/>
  </r>
  <r>
    <s v="xxx"/>
    <s v="xxx"/>
    <d v="2018-11-29T00:00:00"/>
    <s v="VZ-2019-000067"/>
    <x v="5"/>
    <s v="Ondráčková"/>
    <x v="74"/>
    <n v="7"/>
    <s v="Capecitabine Accord"/>
    <s v="L01BC06"/>
    <s v="33652000-5"/>
    <m/>
    <n v="1298388"/>
    <x v="0"/>
    <d v="2019-03-08T00:00:00"/>
    <d v="2019-04-10T00:00:00"/>
    <d v="2019-05-23T00:00:00"/>
    <s v="ViaPharma s.r.o."/>
    <m/>
    <n v="272565.03999999998"/>
    <n v="299821.53999999998"/>
    <m/>
    <m/>
    <m/>
    <d v="2019-05-24T00:00:00"/>
    <s v="SMLN-2019-617-000231"/>
    <x v="47"/>
    <d v="2019-07-10T00:00:00"/>
    <d v="2021-07-01T00:00:00"/>
  </r>
  <r>
    <s v="xxx"/>
    <s v="xxx"/>
    <d v="2018-11-29T00:00:00"/>
    <s v="VZ-2019-000067"/>
    <x v="5"/>
    <s v="Ondráčková"/>
    <x v="74"/>
    <n v="8"/>
    <s v="Xeloda"/>
    <s v="L01BC06"/>
    <s v="33652000-5"/>
    <m/>
    <n v="226535"/>
    <x v="0"/>
    <d v="2019-03-08T00:00:00"/>
    <d v="2019-04-10T00:00:00"/>
    <d v="2019-05-23T00:00:00"/>
    <m/>
    <m/>
    <m/>
    <m/>
    <m/>
    <m/>
    <m/>
    <d v="2019-05-24T00:00:00"/>
    <s v="SMLN-2019-617-000232"/>
    <x v="0"/>
    <d v="2019-07-10T00:00:00"/>
    <s v="4.7. zrušeno"/>
  </r>
  <r>
    <s v="xxx"/>
    <s v="xxx"/>
    <d v="2018-11-14T00:00:00"/>
    <s v="VZ-2019-000068"/>
    <x v="5"/>
    <s v="Ondráčková"/>
    <x v="75"/>
    <n v="1"/>
    <s v="Lidský imunoglobulin anti-D"/>
    <s v="J06BB01"/>
    <s v="33651520-9"/>
    <m/>
    <n v="355240"/>
    <x v="0"/>
    <d v="2019-02-08T00:00:00"/>
    <d v="2019-04-04T00:00:00"/>
    <m/>
    <s v="CSL BEHRING s.r.o.; octapharma"/>
    <s v="DůVOD zrušeno - bez nabídky ; nepodali nabídku ; DALŠÍ POSTUP opakovat- přidat k ostatním imunoglobulinům; ÚPRAVA  ; PŘEDPOKLAD 4.Q_19 ; POZN: "/>
    <m/>
    <m/>
    <m/>
    <m/>
    <m/>
    <m/>
    <m/>
    <x v="0"/>
    <d v="2019-05-03T00:00:00"/>
    <m/>
  </r>
  <r>
    <s v="xxx"/>
    <s v="xxx"/>
    <d v="2018-11-14T00:00:00"/>
    <s v="VZ-2019-000068"/>
    <x v="5"/>
    <s v="Ondráčková"/>
    <x v="75"/>
    <n v="2"/>
    <s v="Palivizumab"/>
    <s v="J06BB16"/>
    <s v="33651520-9"/>
    <m/>
    <n v="10084849"/>
    <x v="0"/>
    <d v="2019-02-08T00:00:00"/>
    <d v="2019-04-04T00:00:00"/>
    <d v="2019-05-23T00:00:00"/>
    <s v="PHOENIX lék.velkoobchod, s.r.o."/>
    <m/>
    <n v="10712898"/>
    <n v="11784187.800000001"/>
    <m/>
    <m/>
    <m/>
    <d v="2019-05-24T00:00:00"/>
    <s v="SMLN-2019-617-000233"/>
    <x v="48"/>
    <d v="2019-06-27T00:00:00"/>
    <d v="2021-06-17T00:00:00"/>
  </r>
  <r>
    <s v="xxx"/>
    <s v="xxx"/>
    <d v="2019-01-23T00:00:00"/>
    <s v="VZ-2019-000077"/>
    <x v="10"/>
    <s v="Vaida"/>
    <x v="76"/>
    <m/>
    <m/>
    <m/>
    <s v="45220000-5"/>
    <m/>
    <n v="400000"/>
    <x v="2"/>
    <d v="2019-01-31T00:00:00"/>
    <d v="2019-02-12T00:00:00"/>
    <d v="2019-03-01T00:00:00"/>
    <s v="SANOL spol. s r.o."/>
    <m/>
    <n v="198141"/>
    <n v="239750.61"/>
    <m/>
    <m/>
    <m/>
    <d v="2019-03-01T00:00:00"/>
    <s v="SMLN-2019-618-000013"/>
    <x v="49"/>
    <d v="2019-04-11T00:00:00"/>
    <d v="2019-04-24T00:00:00"/>
  </r>
  <r>
    <s v="xxx"/>
    <s v="xxx"/>
    <d v="2019-01-23T00:00:00"/>
    <s v="VZ-2019-000080"/>
    <x v="2"/>
    <s v="Neudörflerová"/>
    <x v="77"/>
    <n v="1"/>
    <s v="Stůl zákrokový"/>
    <m/>
    <s v="33192230-3"/>
    <s v="2.3.346"/>
    <n v="521492.23"/>
    <x v="0"/>
    <d v="2019-01-28T00:00:00"/>
    <d v="2019-04-08T00:00:00"/>
    <d v="2019-04-30T00:00:00"/>
    <s v="RQL, s.r.o."/>
    <m/>
    <n v="190499"/>
    <n v="230503.79"/>
    <m/>
    <m/>
    <m/>
    <d v="2019-05-02T00:00:00"/>
    <s v="SMLN-2019-617-000211_x000a_SMLN-2019-612-000050"/>
    <x v="48"/>
    <d v="2019-06-19T00:00:00"/>
    <d v="2019-07-30T00:00:00"/>
  </r>
  <r>
    <s v="xxx"/>
    <s v="xxx"/>
    <d v="2019-01-23T00:00:00"/>
    <s v="VZ-2019-000080"/>
    <x v="2"/>
    <s v="Neudörflerová"/>
    <x v="77"/>
    <n v="2"/>
    <s v="Operační stoly"/>
    <m/>
    <s v="33192230-3"/>
    <s v="2.3.345"/>
    <n v="3431405.18"/>
    <x v="0"/>
    <d v="2019-01-28T00:00:00"/>
    <d v="2019-04-08T00:00:00"/>
    <m/>
    <s v="zrušeno - bez nabídky"/>
    <s v="nová VZ-2019-000426"/>
    <m/>
    <m/>
    <m/>
    <m/>
    <m/>
    <m/>
    <m/>
    <x v="0"/>
    <d v="2019-05-09T00:00:00"/>
    <m/>
  </r>
  <r>
    <s v="xxx"/>
    <s v="xxx"/>
    <d v="2019-01-25T00:00:00"/>
    <s v="VZ-2019-000082"/>
    <x v="6"/>
    <s v="Novák"/>
    <x v="78"/>
    <m/>
    <m/>
    <m/>
    <s v="33192100-3"/>
    <m/>
    <n v="365000"/>
    <x v="2"/>
    <d v="2019-02-04T00:00:00"/>
    <d v="2019-02-14T00:00:00"/>
    <d v="2019-02-21T00:00:00"/>
    <s v="PROMA REHA s.r.o."/>
    <m/>
    <n v="426860.16"/>
    <n v="491753.08"/>
    <m/>
    <m/>
    <m/>
    <d v="2019-02-21T00:00:00"/>
    <s v="SMLN-2019-617-000091_x000a_SMLN-2019-612-000026"/>
    <x v="3"/>
    <d v="2019-03-13T00:00:00"/>
    <d v="2019-05-06T00:00:00"/>
  </r>
  <r>
    <s v="xxx"/>
    <s v="xxx"/>
    <d v="2019-01-25T00:00:00"/>
    <s v="VZ-2019-000083"/>
    <x v="1"/>
    <s v="Oravec"/>
    <x v="79"/>
    <m/>
    <m/>
    <m/>
    <s v="32552110-1"/>
    <m/>
    <n v="526033"/>
    <x v="2"/>
    <d v="2019-01-30T00:00:00"/>
    <d v="2019-02-11T00:00:00"/>
    <d v="2019-02-12T00:00:00"/>
    <s v="ERISERV, spol. s r.o."/>
    <m/>
    <n v="546500"/>
    <n v="661265"/>
    <m/>
    <m/>
    <m/>
    <d v="2019-02-13T00:00:00"/>
    <s v="SMLN-2019-617-000061"/>
    <x v="29"/>
    <d v="2019-03-27T00:00:00"/>
    <d v="2020-03-18T00:00:00"/>
  </r>
  <r>
    <s v="xxx"/>
    <s v="xxx"/>
    <d v="2019-01-17T00:00:00"/>
    <s v="VZ-2019-000091"/>
    <x v="1"/>
    <s v="Oravec"/>
    <x v="80"/>
    <m/>
    <m/>
    <m/>
    <s v="48190000-6"/>
    <m/>
    <n v="578500"/>
    <x v="2"/>
    <d v="2019-01-30T00:00:00"/>
    <d v="2019-02-11T00:00:00"/>
    <d v="2019-02-26T00:00:00"/>
    <s v="MARBES CONSULTING, s.r.o."/>
    <m/>
    <n v="560000"/>
    <n v="677600"/>
    <m/>
    <m/>
    <m/>
    <d v="2019-02-28T00:00:00"/>
    <s v="SMLN-2019-612-000027"/>
    <x v="29"/>
    <d v="2019-03-22T00:00:00"/>
    <s v="doba neurčitá"/>
  </r>
  <r>
    <s v="xxx"/>
    <s v="xxx"/>
    <d v="2019-01-24T00:00:00"/>
    <s v="VZ-2019-000092"/>
    <x v="3"/>
    <s v="Nerudová"/>
    <x v="81"/>
    <m/>
    <m/>
    <m/>
    <s v="30190000-7"/>
    <m/>
    <n v="1100000"/>
    <x v="2"/>
    <d v="2019-02-08T00:00:00"/>
    <d v="2019-02-19T00:00:00"/>
    <d v="2019-03-01T00:00:00"/>
    <s v="FRANKOSPOL OFFICE s.r.o."/>
    <m/>
    <n v="1251419.6499999999"/>
    <n v="1525644.65"/>
    <m/>
    <m/>
    <m/>
    <d v="2019-03-01T00:00:00"/>
    <s v="SMLN-2019-617-000011"/>
    <x v="50"/>
    <d v="2019-04-03T00:00:00"/>
    <d v="2020-03-21T00:00:00"/>
  </r>
  <r>
    <s v="xxx"/>
    <s v="xxx"/>
    <d v="2019-01-25T00:00:00"/>
    <s v="VZ-2019-000093"/>
    <x v="7"/>
    <s v="Jansa"/>
    <x v="82"/>
    <m/>
    <m/>
    <m/>
    <s v="45111000-8"/>
    <m/>
    <n v="4100000"/>
    <x v="2"/>
    <d v="2019-01-31T00:00:00"/>
    <d v="2019-02-15T00:00:00"/>
    <d v="2019-02-22T00:00:00"/>
    <s v="PB SCOM s.r.o."/>
    <m/>
    <n v="3780547.28"/>
    <n v="4574462.21"/>
    <m/>
    <m/>
    <m/>
    <d v="2019-02-22T00:00:00"/>
    <s v="SMLN-2019-618-000011"/>
    <x v="43"/>
    <d v="2019-03-29T00:00:00"/>
    <d v="2019-06-29T00:00:00"/>
  </r>
  <r>
    <s v="xxx"/>
    <s v="xxx"/>
    <d v="2019-01-24T00:00:00"/>
    <s v="VZ-2019-000094"/>
    <x v="7"/>
    <s v="Jansa"/>
    <x v="83"/>
    <m/>
    <m/>
    <m/>
    <s v="45111000-8"/>
    <m/>
    <n v="1650000"/>
    <x v="2"/>
    <d v="2019-01-31T00:00:00"/>
    <d v="2019-02-13T00:00:00"/>
    <d v="2019-02-25T00:00:00"/>
    <s v="MORKUS Morava, s.r.o."/>
    <m/>
    <n v="2055377.06"/>
    <n v="2487006.2400000002"/>
    <m/>
    <m/>
    <m/>
    <d v="2019-02-26T00:00:00"/>
    <s v="SMLN-2019-618-000012"/>
    <x v="42"/>
    <d v="2019-04-11T00:00:00"/>
    <s v="130 dní od pís.výzvy"/>
  </r>
  <r>
    <s v="xxx"/>
    <s v="xxx"/>
    <d v="2018-10-17T00:00:00"/>
    <s v="VZ-2019-000097"/>
    <x v="0"/>
    <s v="Merta"/>
    <x v="84"/>
    <m/>
    <m/>
    <m/>
    <s v="33141750-2"/>
    <m/>
    <n v="4800000"/>
    <x v="0"/>
    <d v="2019-02-05T00:00:00"/>
    <d v="2019-04-11T00:00:00"/>
    <d v="2019-06-11T00:00:00"/>
    <s v="Johnson &amp; Johnson s.r.o."/>
    <m/>
    <n v="4320000"/>
    <n v="4968000"/>
    <m/>
    <m/>
    <m/>
    <d v="2019-06-11T00:00:00"/>
    <s v="SMLN-2019-617-000260"/>
    <x v="47"/>
    <d v="2019-07-15T00:00:00"/>
    <d v="2023-07-01T00:00:00"/>
  </r>
  <r>
    <s v="xxx"/>
    <s v="xxx"/>
    <d v="2020-01-31T00:00:00"/>
    <s v="VZ-2019-000099"/>
    <x v="11"/>
    <s v="Zemánek"/>
    <x v="85"/>
    <m/>
    <m/>
    <m/>
    <s v="50421000-2"/>
    <m/>
    <n v="6000000"/>
    <x v="0"/>
    <d v="2019-02-11T00:00:00"/>
    <d v="2019-03-18T00:00:00"/>
    <d v="2019-04-30T00:00:00"/>
    <s v="medisap s.r.o."/>
    <m/>
    <n v="6596000.1600000001"/>
    <n v="7981160.1600000001"/>
    <m/>
    <m/>
    <m/>
    <d v="2019-05-02T00:00:00"/>
    <s v="SMLN-2019-612-000048"/>
    <x v="51"/>
    <d v="2019-06-05T00:00:00"/>
    <s v="doba neurčitá"/>
  </r>
  <r>
    <s v="xxx"/>
    <s v="xxx"/>
    <d v="2019-01-23T00:00:00"/>
    <s v="VZ-2019-000101"/>
    <x v="2"/>
    <s v="Neudörflerová"/>
    <x v="86"/>
    <m/>
    <m/>
    <m/>
    <s v="33195000-3 "/>
    <s v="2.3.334"/>
    <n v="576425.43999999994"/>
    <x v="0"/>
    <d v="2019-02-28T00:00:00"/>
    <d v="2019-04-03T00:00:00"/>
    <d v="2019-04-30T00:00:00"/>
    <s v="Dartin spol. s r.o."/>
    <m/>
    <n v="547698.56000000006"/>
    <n v="662715.23"/>
    <m/>
    <m/>
    <m/>
    <d v="2019-05-02T00:00:00"/>
    <s v="SMLN-2019-617-000212_x000a_SMLN-2019-612-000051"/>
    <x v="48"/>
    <d v="2019-06-18T00:00:00"/>
    <d v="2019-08-27T00:00:00"/>
  </r>
  <r>
    <s v="xxx"/>
    <s v="xxx"/>
    <d v="2019-01-22T00:00:00"/>
    <s v="VZ-2019-000113"/>
    <x v="5"/>
    <s v="Ondráčková"/>
    <x v="87"/>
    <m/>
    <m/>
    <s v="H05BX01"/>
    <s v="33642000-2"/>
    <m/>
    <n v="3949503"/>
    <x v="0"/>
    <d v="2019-02-08T00:00:00"/>
    <d v="2019-03-13T00:00:00"/>
    <d v="2019-03-22T00:00:00"/>
    <s v="Amgen s.r.o."/>
    <m/>
    <n v="3949502.1"/>
    <n v="4344452.3099999996"/>
    <m/>
    <m/>
    <m/>
    <d v="2019-03-22T00:00:00"/>
    <s v="SMLN-2019-617-000151"/>
    <x v="23"/>
    <d v="2019-04-29T00:00:00"/>
    <d v="2020-04-11T00:00:00"/>
  </r>
  <r>
    <s v="xxx"/>
    <s v="xxx"/>
    <d v="2019-01-18T00:00:00"/>
    <s v="VZ-2019-000114"/>
    <x v="5"/>
    <s v="Ondráčková"/>
    <x v="88"/>
    <m/>
    <m/>
    <m/>
    <s v="33141625-7"/>
    <m/>
    <n v="4524000"/>
    <x v="0"/>
    <d v="2019-04-24T00:00:00"/>
    <d v="2019-05-29T00:00:00"/>
    <d v="2019-07-09T00:00:00"/>
    <s v="BioVendor-Laboratorní medicína a.s."/>
    <m/>
    <n v="4355520"/>
    <n v="5270179.2"/>
    <m/>
    <m/>
    <m/>
    <d v="2019-07-09T00:00:00"/>
    <s v="SMLN-2019-617-000314 _x000a_SMLN-2019-616-000048"/>
    <x v="52"/>
    <d v="2019-08-19T00:00:00"/>
    <d v="2023-08-15T00:00:00"/>
  </r>
  <r>
    <s v="xxx"/>
    <s v="xxx"/>
    <d v="2019-02-01T00:00:00"/>
    <s v="VZ-2019-000115"/>
    <x v="2"/>
    <s v="Neudörflerová"/>
    <x v="89"/>
    <m/>
    <m/>
    <m/>
    <s v="33195100-4"/>
    <s v="2.3.332."/>
    <n v="811673.55"/>
    <x v="0"/>
    <d v="2019-02-07T00:00:00"/>
    <d v="2019-03-13T00:00:00"/>
    <d v="2019-04-30T00:00:00"/>
    <s v="DEYMED Diagnostic s.r.o."/>
    <m/>
    <n v="448744"/>
    <n v="539720.5"/>
    <m/>
    <m/>
    <m/>
    <d v="2019-05-02T00:00:00"/>
    <s v="SMLN-2019-617-000213_x000a_SMLN-2019-612-000052"/>
    <x v="53"/>
    <d v="2019-05-22T00:00:00"/>
    <d v="2019-06-19T00:00:00"/>
  </r>
  <r>
    <s v="xxx"/>
    <s v="xxx"/>
    <d v="2019-02-05T00:00:00"/>
    <s v="VZ-2019-000124"/>
    <x v="0"/>
    <s v="Čech"/>
    <x v="90"/>
    <n v="1"/>
    <s v="Rukavice operační sterilní pudrované"/>
    <m/>
    <s v="33141420-0"/>
    <m/>
    <n v="397171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x v="0"/>
    <s v="Čech"/>
    <x v="90"/>
    <n v="2"/>
    <s v="Rukavice operační sterilní nepudrované"/>
    <m/>
    <s v="33141420-0"/>
    <m/>
    <n v="874104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x v="0"/>
    <s v="Čech"/>
    <x v="90"/>
    <n v="3"/>
    <s v="Rukavice vyšetřovací nitrilové bez pudru v pevnosti 6N"/>
    <m/>
    <s v="33141420-0"/>
    <m/>
    <n v="2968290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x v="0"/>
    <s v="Čech"/>
    <x v="90"/>
    <n v="4"/>
    <s v="Rukavice vyšetřovací nitrilové bez pudru v pevnosti 9N "/>
    <m/>
    <s v="33141420-0"/>
    <m/>
    <n v="1606592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x v="0"/>
    <s v="Čech"/>
    <x v="90"/>
    <n v="5"/>
    <s v="Rukavice vyšetřovací latexové pudrované"/>
    <m/>
    <s v="33141420-0"/>
    <m/>
    <n v="41469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x v="0"/>
    <s v="Čech"/>
    <x v="90"/>
    <n v="6"/>
    <s v="Rukavice vyšetřovací latexové nepudrované"/>
    <m/>
    <s v="33141420-0"/>
    <m/>
    <n v="2678400"/>
    <x v="0"/>
    <d v="2019-03-29T00:00:00"/>
    <d v="2019-07-08T00:00:00"/>
    <m/>
    <m/>
    <m/>
    <m/>
    <m/>
    <m/>
    <m/>
    <m/>
    <m/>
    <m/>
    <x v="0"/>
    <m/>
    <m/>
  </r>
  <r>
    <s v="xxx"/>
    <s v="xxx"/>
    <d v="2019-02-05T00:00:00"/>
    <s v="VZ-2019-000124"/>
    <x v="0"/>
    <s v="Čech"/>
    <x v="90"/>
    <n v="7"/>
    <s v="Rukavice vyšetřovací vinylové nepudrovan"/>
    <m/>
    <s v="33141420-0"/>
    <m/>
    <n v="208800"/>
    <x v="0"/>
    <d v="2019-03-29T00:00:00"/>
    <d v="2019-07-08T00:00:00"/>
    <m/>
    <m/>
    <m/>
    <m/>
    <m/>
    <m/>
    <m/>
    <m/>
    <m/>
    <m/>
    <x v="0"/>
    <m/>
    <m/>
  </r>
  <r>
    <s v="xxx"/>
    <s v="xxx"/>
    <d v="2019-02-07T00:00:00"/>
    <s v="VZ-2019-000128"/>
    <x v="0"/>
    <s v="Dočkalová"/>
    <x v="91"/>
    <m/>
    <m/>
    <m/>
    <s v="33141000-0 "/>
    <m/>
    <n v="2519000"/>
    <x v="1"/>
    <d v="2019-02-25T00:00:00"/>
    <d v="2019-03-15T00:00:00"/>
    <d v="2019-04-12T00:00:00"/>
    <s v="Mediform spol. s r.o."/>
    <m/>
    <n v="2517321"/>
    <n v="3043850.2"/>
    <m/>
    <m/>
    <m/>
    <d v="2019-04-24T00:00:00"/>
    <s v="SMLN-2019-617-000190"/>
    <x v="54"/>
    <d v="2019-05-07T00:00:00"/>
    <d v="2021-05-01T00:00:00"/>
  </r>
  <r>
    <s v="xxx"/>
    <s v="xxx"/>
    <d v="2019-01-29T00:00:00"/>
    <s v="VZ-2019-000130"/>
    <x v="0"/>
    <s v="Dočkalová"/>
    <x v="92"/>
    <m/>
    <m/>
    <m/>
    <s v="33141200-2"/>
    <m/>
    <n v="5607000"/>
    <x v="0"/>
    <d v="2019-02-26T00:00:00"/>
    <d v="2019-03-29T00:00:00"/>
    <d v="2019-04-08T00:00:00"/>
    <s v="IMEDEX s.r.o."/>
    <m/>
    <n v="5600000"/>
    <n v="6776000"/>
    <m/>
    <m/>
    <m/>
    <d v="2019-04-11T00:00:00"/>
    <s v="SMLN-2019-617-000181"/>
    <x v="41"/>
    <d v="2019-05-20T00:00:00"/>
    <d v="2021-05-16T00:00:00"/>
  </r>
  <r>
    <s v="xxx"/>
    <s v="xxx"/>
    <d v="2019-02-11T00:00:00"/>
    <s v="VZ-2019-000138"/>
    <x v="1"/>
    <s v="Miklík"/>
    <x v="93"/>
    <m/>
    <m/>
    <m/>
    <s v="33124000-5"/>
    <s v="3.2.41."/>
    <n v="1611570"/>
    <x v="2"/>
    <d v="2019-02-13T00:00:00"/>
    <d v="2019-02-22T00:00:00"/>
    <d v="2019-03-12T00:00:00"/>
    <s v="FOMEI s.r.o."/>
    <m/>
    <n v="1438800"/>
    <n v="1740948"/>
    <m/>
    <m/>
    <m/>
    <d v="2019-03-13T00:00:00"/>
    <s v="SMLN-2019-617-000144"/>
    <x v="55"/>
    <d v="2019-04-24T00:00:00"/>
    <d v="2020-04-22T00:00:00"/>
  </r>
  <r>
    <m/>
    <m/>
    <d v="2019-02-15T00:00:00"/>
    <s v="VZ-2019-000141"/>
    <x v="11"/>
    <s v="Zemánek"/>
    <x v="94"/>
    <m/>
    <m/>
    <m/>
    <s v="50421000-2"/>
    <m/>
    <n v="1600000"/>
    <x v="2"/>
    <d v="2019-02-28T00:00:00"/>
    <d v="2019-03-15T00:00:00"/>
    <m/>
    <s v="zrušeno"/>
    <s v="nová VZ-2019-000395, nová VZ-2019-000485"/>
    <m/>
    <m/>
    <m/>
    <m/>
    <m/>
    <m/>
    <m/>
    <x v="0"/>
    <d v="2019-04-10T00:00:00"/>
    <m/>
  </r>
  <r>
    <m/>
    <m/>
    <d v="2019-02-20T00:00:00"/>
    <s v="VZ-2019-000142"/>
    <x v="10"/>
    <s v="Vaida"/>
    <x v="95"/>
    <m/>
    <m/>
    <m/>
    <s v="45442100-8"/>
    <m/>
    <n v="4500000"/>
    <x v="2"/>
    <d v="2019-03-11T00:00:00"/>
    <d v="2019-03-21T00:00:00"/>
    <d v="2019-03-27T00:00:00"/>
    <s v="STAVNEMO s.r.o."/>
    <m/>
    <n v="4719975"/>
    <n v="5711169.75"/>
    <m/>
    <m/>
    <m/>
    <d v="2019-03-27T00:00:00"/>
    <s v="SMLN-2019-618-000020"/>
    <x v="56"/>
    <d v="2019-04-25T00:00:00"/>
    <d v="2021-05-31T00:00:00"/>
  </r>
  <r>
    <s v="xxx"/>
    <s v="xxx"/>
    <d v="2019-02-11T00:00:00"/>
    <s v="VZ-2019-000156"/>
    <x v="6"/>
    <s v="Rosulek"/>
    <x v="96"/>
    <m/>
    <m/>
    <m/>
    <s v="38433100-0_x000a_38432200-4  "/>
    <s v="2.3.312."/>
    <n v="7211000"/>
    <x v="0"/>
    <d v="2019-02-19T00:00:00"/>
    <d v="2019-04-04T00:00:00"/>
    <d v="2019-04-24T00:00:00"/>
    <s v="AMEDIS, spol. s r.o."/>
    <m/>
    <n v="7218900"/>
    <n v="8734869"/>
    <m/>
    <m/>
    <m/>
    <d v="2019-04-25T00:00:00"/>
    <s v="SMLN-2019-617-000197_x000a_SMLN-2019-612-000040"/>
    <x v="31"/>
    <d v="2019-05-15T00:00:00"/>
    <d v="2019-07-23T00:00:00"/>
  </r>
  <r>
    <s v="xxx"/>
    <s v="xxx"/>
    <d v="2019-01-31T00:00:00"/>
    <s v="VZ-2019-000158"/>
    <x v="11"/>
    <s v="Zemánek"/>
    <x v="97"/>
    <m/>
    <m/>
    <m/>
    <s v="50421000-2"/>
    <m/>
    <n v="5000000"/>
    <x v="0"/>
    <d v="2019-02-19T00:00:00"/>
    <d v="2019-03-26T00:00:00"/>
    <d v="2019-04-30T00:00:00"/>
    <s v="S + T Plus s.r.o."/>
    <m/>
    <n v="4005000"/>
    <n v="4846050.24"/>
    <m/>
    <m/>
    <m/>
    <d v="2019-05-02T00:00:00"/>
    <s v="SMLN-2019-612-000049"/>
    <x v="4"/>
    <d v="2019-07-12T00:00:00"/>
    <s v="doba neurčitá"/>
  </r>
  <r>
    <s v="xxx"/>
    <s v="xxx"/>
    <d v="2019-01-31T00:00:00"/>
    <s v="VZ-2019-000161"/>
    <x v="11"/>
    <s v="Zemánek"/>
    <x v="98"/>
    <m/>
    <m/>
    <m/>
    <s v="50421000-2"/>
    <m/>
    <n v="1400000"/>
    <x v="2"/>
    <d v="2019-02-21T00:00:00"/>
    <d v="2019-02-28T00:00:00"/>
    <d v="2019-03-08T00:00:00"/>
    <s v="Dräger Medical s.r.o."/>
    <m/>
    <n v="1674609"/>
    <n v="2026276.89"/>
    <m/>
    <m/>
    <m/>
    <d v="2019-03-12T00:00:00"/>
    <s v="SMLN-2019-612-000030"/>
    <x v="57"/>
    <d v="2019-04-24T00:00:00"/>
    <s v="doba neurčitá"/>
  </r>
  <r>
    <s v="xxx"/>
    <s v="xxx"/>
    <d v="2019-02-11T00:00:00"/>
    <s v="VZ-2019-000166"/>
    <x v="1"/>
    <s v="Miklík"/>
    <x v="99"/>
    <m/>
    <m/>
    <m/>
    <s v="72261000-2 "/>
    <m/>
    <n v="650000"/>
    <x v="2"/>
    <d v="2019-02-20T00:00:00"/>
    <d v="2019-02-28T00:00:00"/>
    <d v="2019-03-01T00:00:00"/>
    <s v="FOMA MEDICAL spol. s r.o."/>
    <m/>
    <n v="607200"/>
    <n v="734712"/>
    <m/>
    <m/>
    <m/>
    <d v="2019-03-01T00:00:00"/>
    <s v="SMLN-2019-612-000028"/>
    <x v="12"/>
    <d v="2019-04-02T00:00:00"/>
    <d v="2020-12-31T00:00:00"/>
  </r>
  <r>
    <s v="xxx"/>
    <s v="xxx"/>
    <d v="2019-02-13T00:00:00"/>
    <s v="VZ-2019-000167"/>
    <x v="2"/>
    <s v="Neudörflerová"/>
    <x v="100"/>
    <m/>
    <m/>
    <m/>
    <s v="33162100-4"/>
    <s v="2.3.352."/>
    <n v="290082"/>
    <x v="0"/>
    <d v="2019-03-13T00:00:00"/>
    <d v="2019-04-15T00:00:00"/>
    <m/>
    <s v="zrušeno - bez nabídky"/>
    <s v="nová VZ-2019-000578"/>
    <m/>
    <m/>
    <m/>
    <m/>
    <m/>
    <m/>
    <m/>
    <x v="0"/>
    <d v="2019-04-24T00:00:00"/>
    <m/>
  </r>
  <r>
    <s v="xxx"/>
    <s v="xxx"/>
    <d v="2019-02-11T00:00:00"/>
    <s v="VZ-2019-000168"/>
    <x v="2"/>
    <s v="Neudörflerová"/>
    <x v="101"/>
    <m/>
    <m/>
    <m/>
    <s v="33172000-6"/>
    <s v="2.3.330."/>
    <n v="2259338"/>
    <x v="0"/>
    <d v="2019-03-13T00:00:00"/>
    <d v="2019-04-16T00:00:00"/>
    <d v="2019-05-23T00:00:00"/>
    <s v="medisap s.r.o."/>
    <m/>
    <n v="1533790"/>
    <n v="1855885.9"/>
    <m/>
    <m/>
    <m/>
    <d v="2019-05-24T00:00:00"/>
    <s v="SMLN-2019-617-000235_x000a_SMLN-2019-612-000057"/>
    <x v="58"/>
    <d v="2019-07-10T00:00:00"/>
    <d v="2019-09-17T00:00:00"/>
  </r>
  <r>
    <s v="xxx"/>
    <s v="xxx"/>
    <d v="2019-02-14T00:00:00"/>
    <s v="VZ-2019-000173"/>
    <x v="2"/>
    <s v="Neudörflerová"/>
    <x v="102"/>
    <n v="1"/>
    <s v="Křeslo vyšetřovací"/>
    <m/>
    <s v="33192000-2"/>
    <s v="2.3.340."/>
    <n v="442644"/>
    <x v="0"/>
    <m/>
    <m/>
    <m/>
    <s v="nerealizováno"/>
    <m/>
    <m/>
    <m/>
    <m/>
    <m/>
    <m/>
    <m/>
    <m/>
    <x v="0"/>
    <s v="nevypsáno"/>
    <m/>
  </r>
  <r>
    <s v="xxx"/>
    <s v="xxx"/>
    <d v="2019-02-14T00:00:00"/>
    <s v="VZ-2019-000173"/>
    <x v="2"/>
    <s v="Neudörflerová"/>
    <x v="102"/>
    <n v="2"/>
    <s v="Křeslo transportní"/>
    <m/>
    <s v="33192000-2"/>
    <s v="2.3.349."/>
    <n v="192785"/>
    <x v="0"/>
    <m/>
    <m/>
    <m/>
    <s v="nerealizováno"/>
    <m/>
    <m/>
    <m/>
    <m/>
    <m/>
    <m/>
    <m/>
    <m/>
    <x v="0"/>
    <s v="nevypsáno"/>
    <m/>
  </r>
  <r>
    <s v="xxx"/>
    <s v="xxx"/>
    <d v="2019-02-14T00:00:00"/>
    <s v="VZ-2019-000173"/>
    <x v="2"/>
    <s v="Neudörflerová"/>
    <x v="102"/>
    <n v="3"/>
    <s v="Transportní lehátko"/>
    <m/>
    <s v="33192000-2"/>
    <s v="2.3.350."/>
    <n v="475207"/>
    <x v="0"/>
    <m/>
    <m/>
    <m/>
    <s v="nerealizováno"/>
    <m/>
    <m/>
    <m/>
    <m/>
    <m/>
    <m/>
    <m/>
    <m/>
    <x v="0"/>
    <s v="nevypsáno"/>
    <m/>
  </r>
  <r>
    <s v="xxx"/>
    <s v="xxx"/>
    <d v="2019-02-18T00:00:00"/>
    <s v="VZ-2019-000175"/>
    <x v="6"/>
    <s v="Rosulek"/>
    <x v="103"/>
    <m/>
    <m/>
    <m/>
    <s v="33161000-6"/>
    <s v="2.3.305."/>
    <n v="289435"/>
    <x v="2"/>
    <d v="2019-02-20T00:00:00"/>
    <d v="2019-02-28T00:00:00"/>
    <d v="2019-03-25T00:00:00"/>
    <s v="B. Braun Medical s.r.o."/>
    <m/>
    <n v="231699"/>
    <n v="280355.78999999998"/>
    <m/>
    <m/>
    <m/>
    <d v="2019-03-27T00:00:00"/>
    <s v="SMLN-2019-617-000159_x000a_SMLN-2019-612-000034"/>
    <x v="59"/>
    <d v="2019-05-13T00:00:00"/>
    <d v="2019-07-04T00:00:00"/>
  </r>
  <r>
    <s v="xxx"/>
    <s v="xxx"/>
    <d v="2019-02-18T00:00:00"/>
    <s v="VZ-2019-000180"/>
    <x v="7"/>
    <s v="Kvapil"/>
    <x v="104"/>
    <m/>
    <m/>
    <m/>
    <s v="71000000-8"/>
    <s v="1.2.53."/>
    <n v="619800"/>
    <x v="2"/>
    <d v="2019-03-05T00:00:00"/>
    <d v="2019-03-19T00:00:00"/>
    <d v="2019-04-12T00:00:00"/>
    <s v="BKB Metal a.s."/>
    <m/>
    <n v="1294000"/>
    <n v="1565740"/>
    <m/>
    <m/>
    <m/>
    <d v="2019-04-12T00:00:00"/>
    <s v="SMLN-2019-618-000028"/>
    <x v="31"/>
    <d v="2019-05-16T00:00:00"/>
    <d v="2019-11-10T00:00:00"/>
  </r>
  <r>
    <s v="xxx"/>
    <s v="xxx"/>
    <d v="2019-02-20T00:00:00"/>
    <s v="VZ-2019-000197"/>
    <x v="2"/>
    <s v="Neudörflerová"/>
    <x v="105"/>
    <m/>
    <m/>
    <m/>
    <s v="33123000-8"/>
    <s v="2.3.332."/>
    <n v="142737"/>
    <x v="0"/>
    <d v="2019-03-26T00:00:00"/>
    <d v="2019-04-29T00:00:00"/>
    <m/>
    <s v="zrušeno - bez nabídky"/>
    <s v="nová VZ-2019-000630, nová VZ-2019-000877"/>
    <m/>
    <m/>
    <m/>
    <m/>
    <m/>
    <m/>
    <m/>
    <x v="0"/>
    <d v="2019-05-03T00:00:00"/>
    <m/>
  </r>
  <r>
    <s v="xxx"/>
    <s v="xxx"/>
    <d v="2018-09-20T00:00:00"/>
    <s v="VZ-2019-000198"/>
    <x v="0"/>
    <s v="Dočkalová"/>
    <x v="106"/>
    <m/>
    <m/>
    <m/>
    <s v="33140000-3"/>
    <m/>
    <n v="2686000"/>
    <x v="1"/>
    <d v="2019-02-25T00:00:00"/>
    <d v="2019-03-14T00:00:00"/>
    <d v="2019-03-25T00:00:00"/>
    <s v="Mediform spol. s r.o."/>
    <m/>
    <n v="1536000"/>
    <n v="1858560"/>
    <m/>
    <m/>
    <m/>
    <d v="2019-03-27T00:00:00"/>
    <s v="SMLN-2018-617-000120"/>
    <x v="60"/>
    <d v="2019-04-30T00:00:00"/>
    <d v="2021-04-29T00:00:00"/>
  </r>
  <r>
    <s v="xxx"/>
    <s v="xxx"/>
    <d v="2019-02-11T00:00:00"/>
    <s v="VZ-2019-000199"/>
    <x v="0"/>
    <s v="Dočkalová"/>
    <x v="107"/>
    <n v="1"/>
    <s v="Část I."/>
    <m/>
    <s v="33196000-0"/>
    <m/>
    <n v="650000"/>
    <x v="2"/>
    <d v="2019-02-22T00:00:00"/>
    <d v="2019-03-05T00:00:00"/>
    <d v="2019-03-28T00:00:00"/>
    <s v="IF Facility, a.s."/>
    <m/>
    <n v="538476"/>
    <n v="651555.96"/>
    <m/>
    <m/>
    <m/>
    <d v="2019-03-28T00:00:00"/>
    <s v="SMLN-2019-617-000160"/>
    <x v="55"/>
    <d v="2019-04-24T00:00:00"/>
    <d v="2019-06-04T00:00:00"/>
  </r>
  <r>
    <s v="xxx"/>
    <s v="xxx"/>
    <d v="2019-02-11T00:00:00"/>
    <s v="VZ-2019-000199"/>
    <x v="0"/>
    <s v="Dočkalová"/>
    <x v="107"/>
    <n v="2"/>
    <s v="Část II."/>
    <m/>
    <s v="33196000-0"/>
    <m/>
    <n v="250000"/>
    <x v="2"/>
    <d v="2019-02-22T00:00:00"/>
    <d v="2019-03-05T00:00:00"/>
    <d v="2019-03-28T00:00:00"/>
    <s v="VITAPUR, spol. s r.o."/>
    <m/>
    <n v="347107"/>
    <n v="419999"/>
    <m/>
    <m/>
    <m/>
    <d v="2019-03-28T00:00:00"/>
    <s v="SMLN-2019-617-000161"/>
    <x v="23"/>
    <d v="2019-04-24T00:00:00"/>
    <d v="2019-05-24T00:00:00"/>
  </r>
  <r>
    <m/>
    <m/>
    <s v="11.3.20119"/>
    <s v="VZ-2019-000202"/>
    <x v="0"/>
    <s v="Dočkalová"/>
    <x v="108"/>
    <n v="1"/>
    <s v="Stříkačka inflační pro PTCA a Y konektor s tlakově ovládanou hemostatickou chlopní"/>
    <m/>
    <s v="33140000-3"/>
    <m/>
    <n v="3607360"/>
    <x v="0"/>
    <d v="2019-03-21T00:00:00"/>
    <d v="2019-04-25T00:00:00"/>
    <d v="2019-08-22T00:00:00"/>
    <s v="S.A.B. Impex  s.r.o."/>
    <m/>
    <n v="2725650"/>
    <n v="3298036.5"/>
    <m/>
    <m/>
    <m/>
    <d v="2019-08-23T00:00:00"/>
    <s v="SMLN-2019-617-000367_x000a_SMLN-2019-614-000073"/>
    <x v="61"/>
    <d v="2019-09-19T00:00:00"/>
    <d v="2021-09-16T00:00:00"/>
  </r>
  <r>
    <m/>
    <m/>
    <d v="2019-03-11T00:00:00"/>
    <s v="VZ-2019-000202"/>
    <x v="0"/>
    <s v="Dočkalová"/>
    <x v="108"/>
    <n v="2"/>
    <s v="Stříkačka inflační pro PTCA s třícestným kohoutem"/>
    <m/>
    <s v="33140000-3"/>
    <m/>
    <n v="1059500"/>
    <x v="0"/>
    <d v="2019-03-21T00:00:00"/>
    <d v="2019-04-25T00:00:00"/>
    <m/>
    <s v="zrušeno - úprava zadání"/>
    <s v="nová VZ-2019-001005"/>
    <m/>
    <m/>
    <m/>
    <m/>
    <m/>
    <m/>
    <m/>
    <x v="0"/>
    <d v="2019-09-17T00:00:00"/>
    <s v="20.8. zrušeno"/>
  </r>
  <r>
    <s v="MED-2019-02"/>
    <s v="xxx"/>
    <d v="2019-02-21T00:00:00"/>
    <s v="VZ-2019-000205"/>
    <x v="4"/>
    <s v="Srovnal"/>
    <x v="109"/>
    <m/>
    <m/>
    <m/>
    <s v="45333000-0"/>
    <s v="4.2.66."/>
    <n v="5750000"/>
    <x v="2"/>
    <d v="2019-03-07T00:00:00"/>
    <d v="2019-03-22T00:00:00"/>
    <d v="2019-04-08T00:00:00"/>
    <s v="Flídr medical s.r.o."/>
    <m/>
    <n v="4297607"/>
    <n v="5200104.47"/>
    <m/>
    <m/>
    <m/>
    <d v="2019-04-08T00:00:00"/>
    <s v="SMLN-2019-618-000026"/>
    <x v="54"/>
    <d v="2019-05-03T00:00:00"/>
    <d v="2021-03-30T00:00:00"/>
  </r>
  <r>
    <m/>
    <m/>
    <d v="2018-06-01T00:00:00"/>
    <s v="VZ-2019-000206"/>
    <x v="0"/>
    <s v="Dočkalová"/>
    <x v="110"/>
    <n v="1"/>
    <s v="Materiál spotřební k tlakovým injektorům ULRICH"/>
    <m/>
    <s v="33140000-3"/>
    <m/>
    <n v="1484500"/>
    <x v="1"/>
    <d v="2019-02-27T00:00:00"/>
    <d v="2019-03-15T00:00:00"/>
    <m/>
    <s v="zrušeno - bez nabídky"/>
    <s v="nová VZ-2019-000298"/>
    <m/>
    <m/>
    <m/>
    <m/>
    <m/>
    <m/>
    <m/>
    <x v="0"/>
    <d v="2019-03-21T00:00:00"/>
    <m/>
  </r>
  <r>
    <m/>
    <m/>
    <d v="2018-06-01T00:00:00"/>
    <s v="VZ-2019-000206"/>
    <x v="0"/>
    <s v="Dočkalová"/>
    <x v="110"/>
    <n v="2"/>
    <s v="Materiál spotřební k tlakovým injektorům Medrad"/>
    <m/>
    <s v="33140000-3"/>
    <m/>
    <n v="1571100"/>
    <x v="1"/>
    <d v="2019-02-27T00:00:00"/>
    <d v="2019-03-15T00:00:00"/>
    <d v="2019-04-02T00:00:00"/>
    <s v="Medical M spol. s r.o."/>
    <m/>
    <n v="1284000"/>
    <n v="1553640"/>
    <m/>
    <m/>
    <m/>
    <d v="2019-04-03T00:00:00"/>
    <s v="SMLN-2019-617-000174"/>
    <x v="35"/>
    <d v="2019-04-29T00:00:00"/>
    <s v="doba neurčitá"/>
  </r>
  <r>
    <m/>
    <m/>
    <d v="2019-02-21T00:00:00"/>
    <s v="VZ-2019-000209"/>
    <x v="10"/>
    <s v="Vaida"/>
    <x v="111"/>
    <m/>
    <m/>
    <m/>
    <s v="45453000-7"/>
    <m/>
    <n v="350000"/>
    <x v="2"/>
    <d v="2019-02-28T00:00:00"/>
    <d v="2019-03-15T00:00:00"/>
    <m/>
    <s v="zrušeno"/>
    <s v="nová VZ-2019-000304"/>
    <m/>
    <m/>
    <m/>
    <m/>
    <m/>
    <m/>
    <m/>
    <x v="0"/>
    <d v="2019-03-21T00:00:00"/>
    <m/>
  </r>
  <r>
    <m/>
    <m/>
    <d v="2019-02-20T00:00:00"/>
    <s v="VZ-2019-000210"/>
    <x v="7"/>
    <s v="Vzatek"/>
    <x v="112"/>
    <m/>
    <m/>
    <m/>
    <s v="71000000-8"/>
    <s v="1.2.56."/>
    <n v="600000"/>
    <x v="2"/>
    <d v="2019-03-11T00:00:00"/>
    <d v="2019-03-26T00:00:00"/>
    <d v="2019-04-04T00:00:00"/>
    <s v="EP Rožnov, a.s."/>
    <m/>
    <n v="846000"/>
    <n v="1023660"/>
    <m/>
    <m/>
    <m/>
    <d v="2019-04-05T00:00:00"/>
    <s v="SMLN-2019-618-000025"/>
    <x v="59"/>
    <d v="2019-05-13T00:00:00"/>
    <d v="2019-09-06T00:00:00"/>
  </r>
  <r>
    <m/>
    <m/>
    <s v="opakovaná VZ"/>
    <s v="VZ-2019-000215"/>
    <x v="1"/>
    <s v="Oravec"/>
    <x v="113"/>
    <m/>
    <m/>
    <m/>
    <s v="72261000-2"/>
    <s v="3.2.12."/>
    <n v="1350000"/>
    <x v="2"/>
    <d v="2019-03-04T00:00:00"/>
    <d v="2019-03-13T00:00:00"/>
    <d v="2019-03-21T00:00:00"/>
    <s v="BD Austria GmbH"/>
    <m/>
    <n v="1634490"/>
    <n v="1977732"/>
    <m/>
    <m/>
    <m/>
    <d v="2019-03-22T00:00:00"/>
    <s v="SMLN-2019-612-000033"/>
    <x v="62"/>
    <d v="2019-06-13T00:00:00"/>
    <s v="doba neurčitá"/>
  </r>
  <r>
    <m/>
    <m/>
    <d v="2019-02-22T00:00:00"/>
    <s v="VZ-2019-000217"/>
    <x v="1"/>
    <s v="Oravec"/>
    <x v="114"/>
    <m/>
    <m/>
    <m/>
    <s v="30232100-5 "/>
    <m/>
    <n v="384300"/>
    <x v="2"/>
    <d v="2019-03-04T00:00:00"/>
    <d v="2019-03-11T00:00:00"/>
    <d v="2019-03-13T00:00:00"/>
    <s v="Datascan s.r.o."/>
    <m/>
    <n v="371752"/>
    <n v="449819.92"/>
    <m/>
    <m/>
    <m/>
    <d v="2019-03-13T00:00:00"/>
    <s v="SMLN-2019-617-000145"/>
    <x v="12"/>
    <d v="2019-04-08T00:00:00"/>
    <d v="2019-04-02T00:00:00"/>
  </r>
  <r>
    <m/>
    <m/>
    <d v="2019-02-22T00:00:00"/>
    <s v="VZ-2019-000220"/>
    <x v="1"/>
    <s v="Oravec"/>
    <x v="115"/>
    <m/>
    <m/>
    <m/>
    <s v="30231000-6"/>
    <m/>
    <n v="934710"/>
    <x v="2"/>
    <d v="2019-03-04T00:00:00"/>
    <d v="2019-03-12T00:00:00"/>
    <d v="2019-04-02T00:00:00"/>
    <s v="AutoCont CZ a.s."/>
    <m/>
    <n v="964240"/>
    <n v="1166730.3999999999"/>
    <m/>
    <m/>
    <m/>
    <d v="2019-04-02T00:00:00"/>
    <s v="SMLN-2019-617-000166"/>
    <x v="55"/>
    <d v="2019-04-24T00:00:00"/>
    <d v="2020-04-22T00:00:00"/>
  </r>
  <r>
    <m/>
    <m/>
    <d v="2019-02-26T00:00:00"/>
    <s v="VZ-2019-000222"/>
    <x v="6"/>
    <s v="Rosulek"/>
    <x v="116"/>
    <m/>
    <m/>
    <m/>
    <s v="33191100-6"/>
    <s v="2.2.134., 2.2.197."/>
    <n v="415000"/>
    <x v="2"/>
    <d v="2019-03-08T00:00:00"/>
    <d v="2019-03-20T00:00:00"/>
    <d v="2019-04-30T00:00:00"/>
    <s v="Prodispa s.r.o."/>
    <m/>
    <n v="309080"/>
    <n v="373986.8"/>
    <m/>
    <m/>
    <m/>
    <d v="2019-05-02T00:00:00"/>
    <s v="SMLN-2019-617-000208_x000a_SMLN-2019-612-000047"/>
    <x v="63"/>
    <d v="2019-06-10T00:00:00"/>
    <d v="2019-07-08T00:00:00"/>
  </r>
  <r>
    <m/>
    <m/>
    <d v="2019-04-08T00:00:00"/>
    <s v="VZ-2019-000226"/>
    <x v="12"/>
    <s v="Křivková"/>
    <x v="117"/>
    <m/>
    <m/>
    <m/>
    <s v="79221000-9"/>
    <m/>
    <n v="200000"/>
    <x v="2"/>
    <d v="2019-04-10T00:00:00"/>
    <d v="2019-04-18T00:00:00"/>
    <m/>
    <s v="zrušeno - bez hodnotitelné nabídky"/>
    <s v="nová VZ-2019-000605, VZ-2019-000880"/>
    <m/>
    <m/>
    <m/>
    <m/>
    <m/>
    <m/>
    <m/>
    <x v="0"/>
    <d v="2019-05-02T00:00:00"/>
    <m/>
  </r>
  <r>
    <m/>
    <m/>
    <d v="2019-02-21T00:00:00"/>
    <s v="VZ-2019-000227"/>
    <x v="4"/>
    <s v="Srovnal"/>
    <x v="118"/>
    <m/>
    <m/>
    <m/>
    <s v="42512200-0"/>
    <s v="4.2.100,4.2.104"/>
    <n v="430000"/>
    <x v="2"/>
    <d v="2019-03-11T00:00:00"/>
    <d v="2019-03-21T00:00:00"/>
    <d v="2019-04-01T00:00:00"/>
    <s v="Air-Klimont s.r.o."/>
    <m/>
    <n v="553228"/>
    <n v="669405.88"/>
    <m/>
    <m/>
    <m/>
    <d v="2019-04-01T00:00:00"/>
    <s v="SMLN-2019-618-000024"/>
    <x v="64"/>
    <d v="2019-05-09T00:00:00"/>
    <d v="2019-06-18T00:00:00"/>
  </r>
  <r>
    <m/>
    <m/>
    <d v="2019-03-01T00:00:00"/>
    <s v="VZ-2019-000232"/>
    <x v="0"/>
    <s v="Dočkalová"/>
    <x v="119"/>
    <n v="1"/>
    <s v="Vodící dráty k vaskulárním intervencím I."/>
    <m/>
    <s v="33140000-3"/>
    <m/>
    <n v="258300"/>
    <x v="0"/>
    <d v="2019-03-13T00:00:00"/>
    <d v="2019-05-10T00:00:00"/>
    <d v="2019-09-19T00:00:00"/>
    <s v="S.A.B. Impex  s.r.o."/>
    <m/>
    <n v="210100"/>
    <n v="254221"/>
    <m/>
    <m/>
    <m/>
    <d v="2019-09-19T00:00:00"/>
    <s v="SMLN-2019-617-000429_x000a_SMLN-2019-614-000075"/>
    <x v="65"/>
    <d v="2019-11-07T00:00:00"/>
    <d v="2021-10-24T00:00:00"/>
  </r>
  <r>
    <m/>
    <m/>
    <d v="2019-03-01T00:00:00"/>
    <s v="VZ-2019-000232"/>
    <x v="0"/>
    <s v="Dočkalová"/>
    <x v="119"/>
    <n v="2"/>
    <s v="Vodící dráty k vaskulárním intervencím II."/>
    <m/>
    <s v="33140000-3"/>
    <m/>
    <n v="2475880"/>
    <x v="0"/>
    <d v="2019-03-13T00:00:00"/>
    <d v="2019-05-10T00:00:00"/>
    <d v="2019-09-19T00:00:00"/>
    <s v="VAMEX, spol. s r.o."/>
    <m/>
    <n v="2188489.4"/>
    <n v="2648072.17"/>
    <m/>
    <m/>
    <m/>
    <d v="2019-09-19T00:00:00"/>
    <s v="SMLN-2019-617-000430_x000a_SMLN-2019-614-000076"/>
    <x v="65"/>
    <d v="2019-11-07T00:00:00"/>
    <d v="2021-10-24T00:00:00"/>
  </r>
  <r>
    <m/>
    <m/>
    <d v="2019-03-01T00:00:00"/>
    <s v="VZ-2019-000232"/>
    <x v="0"/>
    <s v="Dočkalová"/>
    <x v="119"/>
    <n v="3"/>
    <s v="Vodící dráty k vaskulárním intervencím III."/>
    <m/>
    <s v="33140000-3"/>
    <m/>
    <n v="339250"/>
    <x v="0"/>
    <d v="2019-03-13T00:00:00"/>
    <d v="2019-05-10T00:00:00"/>
    <d v="2019-09-19T00:00:00"/>
    <s v="ARID obchodní společnost s.r.o."/>
    <m/>
    <n v="338022"/>
    <n v="409006.6"/>
    <m/>
    <m/>
    <m/>
    <d v="2019-09-19T00:00:00"/>
    <s v="SMLN-2019-617-000431_x000a_SMLN-2019-614-000077"/>
    <x v="65"/>
    <d v="2019-11-07T00:00:00"/>
    <d v="2021-10-24T00:00:00"/>
  </r>
  <r>
    <m/>
    <m/>
    <d v="2019-03-01T00:00:00"/>
    <s v="VZ-2019-000232"/>
    <x v="0"/>
    <s v="Dočkalová"/>
    <x v="119"/>
    <n v="4"/>
    <s v="Vodící mikrodráty k periferním vaskulárním intervencím"/>
    <m/>
    <s v="33140000-3"/>
    <m/>
    <n v="298310"/>
    <x v="0"/>
    <d v="2019-03-13T00:00:00"/>
    <d v="2019-05-10T00:00:00"/>
    <d v="2019-09-19T00:00:00"/>
    <s v="EspoMed spol. s r.o."/>
    <m/>
    <n v="298310"/>
    <n v="360955.1"/>
    <m/>
    <m/>
    <m/>
    <d v="2019-09-19T00:00:00"/>
    <s v="SMLN-2019-617-000432_x000a_SMLN-2019-614-000078"/>
    <x v="65"/>
    <d v="2019-11-07T00:00:00"/>
    <d v="2021-10-24T00:00:00"/>
  </r>
  <r>
    <m/>
    <m/>
    <d v="2019-03-01T00:00:00"/>
    <s v="VZ-2019-000232"/>
    <x v="0"/>
    <s v="Dočkalová"/>
    <x v="119"/>
    <n v="5"/>
    <s v="Vodící mikrodráty k vaskulárním neurointervencím I."/>
    <m/>
    <s v="33140000-3"/>
    <m/>
    <n v="331240"/>
    <x v="0"/>
    <d v="2019-03-13T00:00:00"/>
    <d v="2019-05-10T00:00:00"/>
    <d v="2019-09-19T00:00:00"/>
    <s v="A Care a.s."/>
    <m/>
    <n v="328783.55"/>
    <n v="397828.1"/>
    <m/>
    <m/>
    <m/>
    <d v="2019-09-19T00:00:00"/>
    <s v="SMLN-2019-617-000433_x000a_SMLN-2019-614-000079"/>
    <x v="65"/>
    <d v="2019-11-07T00:00:00"/>
    <d v="2021-10-24T00:00:00"/>
  </r>
  <r>
    <m/>
    <m/>
    <d v="2019-03-01T00:00:00"/>
    <s v="VZ-2019-000232"/>
    <x v="0"/>
    <s v="Dočkalová"/>
    <x v="119"/>
    <n v="6"/>
    <s v="Vodící mikrodráty k vaskulárním neurointervencím II."/>
    <m/>
    <s v="33140000-3"/>
    <m/>
    <n v="730380"/>
    <x v="0"/>
    <d v="2019-03-13T00:00:00"/>
    <d v="2019-05-10T00:00:00"/>
    <m/>
    <s v="zrušeno - překročení ceny"/>
    <m/>
    <m/>
    <m/>
    <m/>
    <m/>
    <m/>
    <m/>
    <m/>
    <x v="0"/>
    <d v="2019-09-17T00:00:00"/>
    <s v="26.8. zrušeno"/>
  </r>
  <r>
    <m/>
    <m/>
    <d v="2019-03-01T00:00:00"/>
    <s v="VZ-2019-000232"/>
    <x v="0"/>
    <s v="Dočkalová"/>
    <x v="119"/>
    <n v="7"/>
    <s v="Vodící mikrodráty k vaskulárním neurointervencím III."/>
    <m/>
    <s v="33140000-3"/>
    <m/>
    <n v="609420"/>
    <x v="0"/>
    <d v="2019-03-13T00:00:00"/>
    <d v="2019-05-10T00:00:00"/>
    <d v="2019-09-19T00:00:00"/>
    <s v="EspoMed spol. s r.o."/>
    <m/>
    <n v="609420"/>
    <n v="737398.2"/>
    <m/>
    <m/>
    <m/>
    <d v="2019-09-19T00:00:00"/>
    <s v="SMLN-2019-617-000434_x000a_SMLN-2019-614-000080"/>
    <x v="65"/>
    <d v="2019-11-07T00:00:00"/>
    <d v="2021-10-24T00:00:00"/>
  </r>
  <r>
    <m/>
    <m/>
    <d v="2019-02-26T00:00:00"/>
    <s v="VZ-2019-000233"/>
    <x v="0"/>
    <s v="Dočkalová"/>
    <x v="120"/>
    <m/>
    <m/>
    <m/>
    <s v="33141200-2"/>
    <m/>
    <n v="1104640"/>
    <x v="2"/>
    <d v="2019-03-12T00:00:00"/>
    <d v="2019-03-25T00:00:00"/>
    <d v="2019-04-01T00:00:00"/>
    <s v="ADYTON s.r.o."/>
    <m/>
    <n v="1104637.4399999999"/>
    <n v="1270333.06"/>
    <m/>
    <m/>
    <m/>
    <d v="2019-04-01T00:00:00"/>
    <s v="SMLN-2019-617-000165"/>
    <x v="57"/>
    <d v="2019-04-24T00:00:00"/>
    <d v="2021-04-16T00:00:00"/>
  </r>
  <r>
    <m/>
    <m/>
    <d v="2019-03-04T00:00:00"/>
    <s v="VZ-2019-000234"/>
    <x v="5"/>
    <s v="Ondráčková"/>
    <x v="121"/>
    <n v="1"/>
    <s v="Adalimumab"/>
    <s v="L04AB04"/>
    <s v="33652300-8"/>
    <m/>
    <n v="33063300"/>
    <x v="0"/>
    <d v="2019-03-08T00:00:00"/>
    <d v="2019-04-12T00:00:00"/>
    <d v="2019-04-24T00:00:00"/>
    <s v="Alliance Healthcare s.r.o."/>
    <m/>
    <n v="22366350"/>
    <n v="24602985"/>
    <m/>
    <m/>
    <m/>
    <d v="2019-04-25T00:00:00"/>
    <s v="SMLN-2019-617-000194"/>
    <x v="66"/>
    <d v="2019-06-14T00:00:00"/>
    <d v="2022-06-10T00:00:00"/>
  </r>
  <r>
    <m/>
    <m/>
    <d v="2019-03-04T00:00:00"/>
    <s v="VZ-2019-000234"/>
    <x v="5"/>
    <s v="Ondráčková"/>
    <x v="121"/>
    <n v="2"/>
    <s v="Okrelizumab"/>
    <s v="L04AA36"/>
    <s v="33652300-8"/>
    <m/>
    <n v="8727264"/>
    <x v="0"/>
    <d v="2019-03-08T00:00:00"/>
    <d v="2019-04-12T00:00:00"/>
    <m/>
    <s v="roche"/>
    <s v="DůVOD zrušeno - překročení ceny ; obchodní taj ; DALŠÍ POSTUP sdružený nákup-realizuje FNHK; ÚPRAVA překročení do ceníkové ceny ; PŘEDPOKLAD smlouva o SN 29.08.2019 ; POZN: "/>
    <m/>
    <m/>
    <m/>
    <m/>
    <m/>
    <m/>
    <m/>
    <x v="0"/>
    <d v="2019-05-22T00:00:00"/>
    <m/>
  </r>
  <r>
    <m/>
    <m/>
    <d v="2019-03-04T00:00:00"/>
    <s v="VZ-2019-000234"/>
    <x v="5"/>
    <s v="Ondráčková"/>
    <x v="121"/>
    <n v="3"/>
    <s v="Apremilast"/>
    <s v="L04AA32"/>
    <s v="33652300-8"/>
    <m/>
    <n v="1049967"/>
    <x v="0"/>
    <d v="2019-03-08T00:00:00"/>
    <d v="2019-04-12T00:00:00"/>
    <d v="2019-04-24T00:00:00"/>
    <s v="PHOENIX lék.velkoobchod, s.r.o."/>
    <m/>
    <n v="1049966.58"/>
    <n v="1154963.24"/>
    <m/>
    <m/>
    <m/>
    <d v="2019-04-25T00:00:00"/>
    <s v="SMLN-2019-617-000195"/>
    <x v="66"/>
    <d v="2019-06-14T00:00:00"/>
    <d v="2022-06-10T00:00:00"/>
  </r>
  <r>
    <m/>
    <m/>
    <d v="2019-03-04T00:00:00"/>
    <s v="VZ-2019-000234"/>
    <x v="5"/>
    <s v="Ondráčková"/>
    <x v="121"/>
    <n v="4"/>
    <s v="Tocilizumab"/>
    <s v="L04AC07"/>
    <s v="33652300-8"/>
    <m/>
    <n v="15459426"/>
    <x v="0"/>
    <d v="2019-03-08T00:00:00"/>
    <d v="2019-04-12T00:00:00"/>
    <d v="2019-04-24T00:00:00"/>
    <s v="ROCHE s.r.o."/>
    <m/>
    <n v="13071596.73"/>
    <n v="14378756.4"/>
    <m/>
    <m/>
    <m/>
    <d v="2019-04-25T00:00:00"/>
    <s v="SMLN-2019-617-000196"/>
    <x v="66"/>
    <d v="2019-06-14T00:00:00"/>
    <d v="2022-06-10T00:00:00"/>
  </r>
  <r>
    <m/>
    <m/>
    <d v="2019-03-04T00:00:00"/>
    <s v="VZ-2019-000244"/>
    <x v="6"/>
    <s v="Rosulek"/>
    <x v="122"/>
    <m/>
    <m/>
    <m/>
    <s v="33182100-0"/>
    <s v="2.2.138., 2.2.139., 2.3.320. 2.2.203., 2.3.388., 2.3.394."/>
    <n v="870000"/>
    <x v="2"/>
    <d v="2019-03-12T00:00:00"/>
    <d v="2019-03-20T00:00:00"/>
    <d v="2019-04-23T00:00:00"/>
    <s v="Medsol s.r.o."/>
    <m/>
    <n v="843740"/>
    <n v="1020925.4"/>
    <m/>
    <m/>
    <m/>
    <d v="2019-04-23T00:00:00"/>
    <s v="SMLN-2019-617-000188_x000a_SMLN-2019-612-000039"/>
    <x v="67"/>
    <d v="2019-06-28T00:00:00"/>
    <d v="2019-09-17T00:00:00"/>
  </r>
  <r>
    <m/>
    <m/>
    <s v="x"/>
    <s v="VZ-2019-000245"/>
    <x v="2"/>
    <s v="Neudörflerová"/>
    <x v="123"/>
    <m/>
    <m/>
    <m/>
    <s v="33120000-7"/>
    <s v="2.3.336."/>
    <n v="101429.75"/>
    <x v="0"/>
    <d v="2019-03-28T00:00:00"/>
    <d v="2019-04-30T00:00:00"/>
    <m/>
    <s v="zrušeno - bez nabídky"/>
    <s v="nová VZ-2019-000596, nová VZ-2019-000624"/>
    <m/>
    <m/>
    <m/>
    <m/>
    <m/>
    <m/>
    <m/>
    <x v="0"/>
    <d v="2019-05-03T00:00:00"/>
    <m/>
  </r>
  <r>
    <m/>
    <m/>
    <s v="x"/>
    <s v="VZ-2019-000247"/>
    <x v="2"/>
    <s v="Neudörflerová"/>
    <x v="124"/>
    <m/>
    <m/>
    <m/>
    <s v="33120000-7"/>
    <s v="2.3.331."/>
    <n v="543831"/>
    <x v="0"/>
    <d v="2019-04-04T00:00:00"/>
    <d v="2019-05-06T00:00:00"/>
    <d v="2019-07-16T00:00:00"/>
    <s v="Dräger Medical s.r.o."/>
    <m/>
    <n v="590200"/>
    <n v="714142"/>
    <m/>
    <m/>
    <m/>
    <d v="2019-07-17T00:00:00"/>
    <s v="SMLN-2019-617-000324_x000a_SMLN-2019-612-000072"/>
    <x v="68"/>
    <d v="2019-08-22T00:00:00"/>
    <d v="2019-10-14T00:00:00"/>
  </r>
  <r>
    <m/>
    <m/>
    <s v="x"/>
    <s v="VZ-2019-000248"/>
    <x v="2"/>
    <s v="Neudörflerová"/>
    <x v="125"/>
    <m/>
    <m/>
    <m/>
    <s v="33195100-4"/>
    <s v="2.3.333."/>
    <n v="716200"/>
    <x v="0"/>
    <d v="2019-03-28T00:00:00"/>
    <d v="2019-05-06T00:00:00"/>
    <m/>
    <s v="zrušeno - nesplnění zadání"/>
    <s v="nová VZ-2019-000626"/>
    <m/>
    <m/>
    <m/>
    <m/>
    <m/>
    <m/>
    <m/>
    <x v="0"/>
    <d v="2019-05-29T00:00:00"/>
    <m/>
  </r>
  <r>
    <m/>
    <m/>
    <d v="2019-03-08T00:00:00"/>
    <s v="VZ-2019-000253"/>
    <x v="11"/>
    <s v="Zemánek"/>
    <x v="126"/>
    <n v="1"/>
    <s v="Upgrade a Full servis přístroje Allura Xper FD 20"/>
    <m/>
    <s v="50421200-4 "/>
    <m/>
    <n v="13500000"/>
    <x v="0"/>
    <d v="2019-04-26T00:00:00"/>
    <d v="2019-06-05T00:00:00"/>
    <d v="2019-07-24T00:00:00"/>
    <s v="Philips Česká republika s.r.o."/>
    <m/>
    <n v="13350000"/>
    <n v="16153500"/>
    <m/>
    <m/>
    <m/>
    <d v="2019-07-25T00:00:00"/>
    <s v="SMLN-2019-612-000073"/>
    <x v="69"/>
    <d v="2019-09-02T00:00:00"/>
    <d v="2024-08-27T00:00:00"/>
  </r>
  <r>
    <m/>
    <m/>
    <d v="2019-03-08T00:00:00"/>
    <s v="VZ-2019-000253"/>
    <x v="11"/>
    <s v="Zemánek"/>
    <x v="126"/>
    <n v="2"/>
    <s v="Servis RTG přístrojů"/>
    <m/>
    <s v="50421200-4 "/>
    <m/>
    <n v="27000000"/>
    <x v="0"/>
    <d v="2019-04-26T00:00:00"/>
    <d v="2019-06-05T00:00:00"/>
    <d v="2019-07-24T00:00:00"/>
    <s v="Philips Česká republika s.r.o."/>
    <m/>
    <n v="6723600"/>
    <n v="8135556"/>
    <m/>
    <m/>
    <m/>
    <d v="2019-07-25T00:00:00"/>
    <s v="SMLN-2019-612-000074"/>
    <x v="69"/>
    <d v="2019-09-02T00:00:00"/>
    <d v="2024-08-27T00:00:00"/>
  </r>
  <r>
    <m/>
    <m/>
    <d v="2019-03-07T00:00:00"/>
    <s v="VZ-2019-000254"/>
    <x v="1"/>
    <s v="Oravec"/>
    <x v="127"/>
    <m/>
    <m/>
    <m/>
    <s v="72261000-2"/>
    <s v="3.2.12."/>
    <n v="266640"/>
    <x v="2"/>
    <d v="2019-03-20T00:00:00"/>
    <d v="2019-03-26T00:00:00"/>
    <m/>
    <s v="zrušeno"/>
    <s v="nová VZ-2019-000323"/>
    <m/>
    <m/>
    <m/>
    <m/>
    <m/>
    <m/>
    <m/>
    <x v="0"/>
    <d v="2019-03-27T00:00:00"/>
    <m/>
  </r>
  <r>
    <m/>
    <m/>
    <d v="2019-03-07T00:00:00"/>
    <s v="VZ-2019-000255"/>
    <x v="0"/>
    <s v="Dočkalová"/>
    <x v="128"/>
    <n v="1"/>
    <s v="Diagnostické katetry I."/>
    <m/>
    <s v="33140000-3"/>
    <m/>
    <n v="568000"/>
    <x v="1"/>
    <d v="2019-03-15T00:00:00"/>
    <d v="2019-04-05T00:00:00"/>
    <d v="2019-09-24T00:00:00"/>
    <s v="ARID obchodní společnost s.r.o."/>
    <m/>
    <n v="567900"/>
    <n v="687159"/>
    <m/>
    <m/>
    <m/>
    <d v="2019-09-25T00:00:00"/>
    <s v="SMLN-2019-617-000453_x000a_SMLN-2019-614-000093"/>
    <x v="70"/>
    <d v="2019-11-07T00:00:00"/>
    <d v="2021-10-31T00:00:00"/>
  </r>
  <r>
    <m/>
    <m/>
    <d v="2019-03-07T00:00:00"/>
    <s v="VZ-2019-000255"/>
    <x v="0"/>
    <s v="Dočkalová"/>
    <x v="128"/>
    <n v="2"/>
    <s v="Diagnostické katetry II."/>
    <m/>
    <s v="33140000-3"/>
    <m/>
    <n v="1066200"/>
    <x v="1"/>
    <d v="2019-03-15T00:00:00"/>
    <d v="2019-04-05T00:00:00"/>
    <d v="2019-09-24T00:00:00"/>
    <s v="Alliance Healthcare s.r.o."/>
    <m/>
    <n v="840000"/>
    <n v="1016400"/>
    <m/>
    <m/>
    <m/>
    <d v="2019-09-25T00:00:00"/>
    <s v="SMLN-2019-617-000454_x000a_SMLN-2019-614-000094"/>
    <x v="70"/>
    <d v="2019-11-07T00:00:00"/>
    <d v="2021-10-31T00:00:00"/>
  </r>
  <r>
    <m/>
    <m/>
    <d v="2019-03-07T00:00:00"/>
    <s v="VZ-2019-000255"/>
    <x v="0"/>
    <s v="Dočkalová"/>
    <x v="128"/>
    <n v="3"/>
    <s v="Hydrofilní diagnostické katetry"/>
    <m/>
    <s v="33140000-3"/>
    <m/>
    <n v="121160"/>
    <x v="1"/>
    <d v="2019-03-15T00:00:00"/>
    <d v="2019-04-05T00:00:00"/>
    <d v="2019-09-24T00:00:00"/>
    <s v="VAMEX, spol. s r.o."/>
    <m/>
    <n v="80487.360000000001"/>
    <n v="97389.71"/>
    <m/>
    <m/>
    <m/>
    <d v="2019-09-25T00:00:00"/>
    <s v="SMLN-2019-617-000455_x000a_SMLN-2019-614-000095"/>
    <x v="70"/>
    <d v="2019-11-07T00:00:00"/>
    <d v="2021-10-31T00:00:00"/>
  </r>
  <r>
    <m/>
    <m/>
    <d v="2019-03-07T00:00:00"/>
    <s v="VZ-2019-000255"/>
    <x v="0"/>
    <s v="Dočkalová"/>
    <x v="128"/>
    <n v="4"/>
    <s v="Kalibrační diagnostické katetry"/>
    <m/>
    <s v="33140000-3"/>
    <m/>
    <n v="83210"/>
    <x v="1"/>
    <d v="2019-03-15T00:00:00"/>
    <d v="2019-04-05T00:00:00"/>
    <d v="2019-09-24T00:00:00"/>
    <s v="BS PRAGUE MEDICALCS, spol. s r.o."/>
    <m/>
    <n v="125160"/>
    <n v="151443.6"/>
    <m/>
    <m/>
    <m/>
    <d v="2019-09-25T00:00:00"/>
    <s v="SMLN-2019-617-000456_x000a_SMLN-2019-614-000096"/>
    <x v="70"/>
    <d v="2019-11-07T00:00:00"/>
    <d v="2021-10-31T00:00:00"/>
  </r>
  <r>
    <m/>
    <m/>
    <d v="2019-03-07T00:00:00"/>
    <s v="VZ-2019-000255"/>
    <x v="0"/>
    <s v="Dočkalová"/>
    <x v="128"/>
    <n v="5"/>
    <s v="Vodící katetry neurointervenční"/>
    <m/>
    <s v="33140000-3"/>
    <m/>
    <n v="971110"/>
    <x v="1"/>
    <d v="2019-03-15T00:00:00"/>
    <d v="2019-04-05T00:00:00"/>
    <d v="2019-09-24T00:00:00"/>
    <s v="A Care a.s."/>
    <m/>
    <n v="971092.5"/>
    <n v="1175021.93"/>
    <m/>
    <m/>
    <m/>
    <d v="2019-09-25T00:00:00"/>
    <s v="SMLN-2019-617-000457_x000a_SMLN-2019-614-000097"/>
    <x v="70"/>
    <d v="2019-11-07T00:00:00"/>
    <d v="2021-10-31T00:00:00"/>
  </r>
  <r>
    <m/>
    <m/>
    <d v="2019-03-07T00:00:00"/>
    <s v="VZ-2019-000257"/>
    <x v="0"/>
    <s v="Dočkalová"/>
    <x v="129"/>
    <n v="1"/>
    <s v="Pouzdra zaváděcí k vaskulárním intervencím I."/>
    <m/>
    <s v="33140000-3"/>
    <m/>
    <n v="1313380"/>
    <x v="1"/>
    <d v="2019-03-15T00:00:00"/>
    <d v="2019-04-08T00:00:00"/>
    <d v="2019-06-11T00:00:00"/>
    <s v="VAMEX, spol. s r.o."/>
    <m/>
    <n v="1078008.75"/>
    <n v="1304390.5900000001"/>
    <m/>
    <m/>
    <m/>
    <d v="2019-06-12T00:00:00"/>
    <s v="SMLN-2019-617-000261_x000a_SMLN-2019-614-000031"/>
    <x v="71"/>
    <d v="2019-09-04T00:00:00"/>
    <d v="2021-08-28T00:00:00"/>
  </r>
  <r>
    <m/>
    <m/>
    <d v="2019-03-07T00:00:00"/>
    <s v="VZ-2019-000257"/>
    <x v="0"/>
    <s v="Dočkalová"/>
    <x v="129"/>
    <n v="2"/>
    <s v="Speciální zaváděcí pouzdra k vaskulárním intervencím I."/>
    <m/>
    <s v="33140000-3"/>
    <m/>
    <n v="1572940"/>
    <x v="1"/>
    <d v="2019-03-15T00:00:00"/>
    <d v="2019-04-08T00:00:00"/>
    <d v="2019-06-11T00:00:00"/>
    <s v="ARID obchodní společnost s.r.o."/>
    <m/>
    <n v="1567195.5"/>
    <n v="1896306.6"/>
    <m/>
    <m/>
    <m/>
    <d v="2019-06-12T00:00:00"/>
    <s v="SMLN-2019-617-000262_x000a_SMLN-2019-614-000032"/>
    <x v="71"/>
    <d v="2019-09-04T00:00:00"/>
    <d v="2021-08-28T00:00:00"/>
  </r>
  <r>
    <m/>
    <m/>
    <d v="2019-03-07T00:00:00"/>
    <s v="VZ-2019-000257"/>
    <x v="0"/>
    <s v="Dočkalová"/>
    <x v="129"/>
    <n v="3"/>
    <s v="Speciální zaváděcí pouzdra k vaskulárním intervencím II."/>
    <m/>
    <s v="33140000-3"/>
    <m/>
    <n v="122210"/>
    <x v="1"/>
    <d v="2019-03-15T00:00:00"/>
    <d v="2019-04-08T00:00:00"/>
    <d v="2019-06-11T00:00:00"/>
    <s v="VAMEX, spol. s r.o."/>
    <m/>
    <n v="104833.72"/>
    <n v="126848.8"/>
    <m/>
    <m/>
    <m/>
    <d v="2019-06-12T00:00:00"/>
    <s v="SMLN-2019-617-000263_x000a_SMLN-2019-614-000033"/>
    <x v="71"/>
    <d v="2019-09-04T00:00:00"/>
    <d v="2021-08-28T00:00:00"/>
  </r>
  <r>
    <m/>
    <m/>
    <d v="2019-03-07T00:00:00"/>
    <s v="VZ-2019-000257"/>
    <x v="0"/>
    <s v="Dočkalová"/>
    <x v="129"/>
    <n v="4"/>
    <s v="Mikropunkční sety"/>
    <m/>
    <s v="33140000-3"/>
    <m/>
    <n v="79170"/>
    <x v="1"/>
    <d v="2019-03-15T00:00:00"/>
    <d v="2019-04-08T00:00:00"/>
    <d v="2019-06-11T00:00:00"/>
    <s v="Mediform spol. s r.o."/>
    <m/>
    <n v="58320"/>
    <n v="70567.199999999997"/>
    <m/>
    <m/>
    <m/>
    <d v="2019-06-12T00:00:00"/>
    <s v="SMLN-2019-617-000264_x000a_SMLN-2019-614-000034"/>
    <x v="71"/>
    <d v="2019-09-04T00:00:00"/>
    <d v="2021-08-28T00:00:00"/>
  </r>
  <r>
    <m/>
    <m/>
    <d v="2019-03-12T00:00:00"/>
    <s v="VZ-2019-000262"/>
    <x v="2"/>
    <s v="Neudörflerová"/>
    <x v="130"/>
    <n v="1"/>
    <s v="Ohřívací jednotka pro operační sály"/>
    <m/>
    <s v="3319000-8"/>
    <s v="2.3.338."/>
    <n v="141227.04"/>
    <x v="0"/>
    <d v="2019-06-03T00:00:00"/>
    <d v="2019-07-29T00:00:00"/>
    <d v="2019-08-27T00:00:00"/>
    <s v="Ing. Aleš Závorka"/>
    <m/>
    <n v="119516"/>
    <n v="144614.35999999999"/>
    <m/>
    <m/>
    <m/>
    <d v="2019-07-28T00:00:00"/>
    <s v="SMLN-2019-617-000388_x000a_SMLN-2019-612-000097"/>
    <x v="61"/>
    <d v="2019-09-23T00:00:00"/>
    <d v="2019-10-29T00:00:00"/>
  </r>
  <r>
    <m/>
    <m/>
    <d v="2019-03-12T00:00:00"/>
    <s v="VZ-2019-000262"/>
    <x v="2"/>
    <s v="Neudörflerová"/>
    <x v="130"/>
    <n v="2"/>
    <s v="Ohřívací jednotka pro jednotku intermediální péče"/>
    <m/>
    <s v="33190000-8"/>
    <s v="2.3.338."/>
    <n v="308553.21999999997"/>
    <x v="0"/>
    <d v="2019-06-03T00:00:00"/>
    <d v="2019-07-29T00:00:00"/>
    <m/>
    <s v="zrušeno - bez nabídky"/>
    <s v="VZ-2019-000893"/>
    <m/>
    <m/>
    <m/>
    <m/>
    <m/>
    <m/>
    <m/>
    <x v="0"/>
    <d v="2019-08-20T00:00:00"/>
    <s v="20.8. zrušeno"/>
  </r>
  <r>
    <m/>
    <m/>
    <d v="2019-03-11T00:00:00"/>
    <s v="VZ-2019-000275"/>
    <x v="11"/>
    <s v="Zemánek"/>
    <x v="131"/>
    <m/>
    <m/>
    <m/>
    <s v="50421000-2"/>
    <m/>
    <n v="1600000"/>
    <x v="2"/>
    <d v="2019-04-04T00:00:00"/>
    <d v="2019-04-12T00:00:00"/>
    <d v="2019-04-24T00:00:00"/>
    <s v="DIMA Olomouc, s.r.o."/>
    <m/>
    <n v="1531200"/>
    <n v="1852752"/>
    <m/>
    <m/>
    <m/>
    <d v="2019-04-26T00:00:00"/>
    <s v="SMLN-2019-612-000042"/>
    <x v="31"/>
    <d v="2019-05-16T00:00:00"/>
    <s v="doba neurčitá"/>
  </r>
  <r>
    <m/>
    <m/>
    <d v="2019-03-18T00:00:00"/>
    <s v="VZ-2019-000282"/>
    <x v="6"/>
    <s v="Novák"/>
    <x v="132"/>
    <m/>
    <m/>
    <m/>
    <s v="42131141-6"/>
    <m/>
    <n v="395000"/>
    <x v="2"/>
    <d v="2019-03-28T00:00:00"/>
    <d v="2019-04-09T00:00:00"/>
    <d v="2019-05-09T00:00:00"/>
    <s v="POLYMED medical CZ, a.s."/>
    <m/>
    <n v="601197.5"/>
    <n v="727449"/>
    <m/>
    <m/>
    <m/>
    <d v="2019-05-10T00:00:00"/>
    <s v="SMLN-2019-617-000218_x000a_SMLN-2019-612-000053"/>
    <x v="51"/>
    <d v="2019-06-10T00:00:00"/>
    <s v="4.6.2021 + servis"/>
  </r>
  <r>
    <m/>
    <m/>
    <d v="2019-03-15T00:00:00"/>
    <s v="VZ-2019-000283"/>
    <x v="13"/>
    <s v="Fritscher"/>
    <x v="133"/>
    <m/>
    <m/>
    <m/>
    <s v="79800000-2"/>
    <m/>
    <n v="520000"/>
    <x v="2"/>
    <d v="2019-03-21T00:00:00"/>
    <d v="2019-03-28T00:00:00"/>
    <d v="2019-04-12T00:00:00"/>
    <s v="TISKÁRNA  K-TISK,  s.r.o."/>
    <m/>
    <n v="527200"/>
    <n v="637912"/>
    <m/>
    <m/>
    <m/>
    <d v="2019-04-15T00:00:00"/>
    <s v="SMLN-2019-617-000183"/>
    <x v="54"/>
    <d v="2019-05-03T00:00:00"/>
    <d v="2020-12-31T00:00:00"/>
  </r>
  <r>
    <m/>
    <m/>
    <s v="opakovaná VZ"/>
    <s v="VZ-2019-000298"/>
    <x v="0"/>
    <s v="Dočkalová"/>
    <x v="134"/>
    <m/>
    <m/>
    <m/>
    <s v="33140000-3"/>
    <m/>
    <n v="1484500"/>
    <x v="1"/>
    <d v="2019-04-08T00:00:00"/>
    <d v="2019-04-26T00:00:00"/>
    <m/>
    <s v="zrušeno - bez nabídky"/>
    <m/>
    <m/>
    <m/>
    <m/>
    <m/>
    <m/>
    <m/>
    <m/>
    <x v="0"/>
    <d v="2019-05-02T00:00:00"/>
    <m/>
  </r>
  <r>
    <m/>
    <m/>
    <d v="2019-03-19T00:00:00"/>
    <s v="VZ-2019-000303"/>
    <x v="4"/>
    <s v="Srovnal"/>
    <x v="135"/>
    <m/>
    <m/>
    <m/>
    <s v="71320000-7"/>
    <m/>
    <n v="300000"/>
    <x v="2"/>
    <d v="2019-03-26T00:00:00"/>
    <d v="2019-04-04T00:00:00"/>
    <d v="2019-04-11T00:00:00"/>
    <s v="ELPREMO, spol. s r.o."/>
    <m/>
    <n v="430000"/>
    <n v="520300"/>
    <m/>
    <m/>
    <m/>
    <d v="2019-04-11T00:00:00"/>
    <s v="SMLN-2019-618-000027"/>
    <x v="59"/>
    <d v="2019-05-13T00:00:00"/>
    <d v="2019-08-07T00:00:00"/>
  </r>
  <r>
    <m/>
    <m/>
    <s v="opakovaná VZ"/>
    <s v="VZ-2019-000304"/>
    <x v="10"/>
    <s v="Vaida"/>
    <x v="136"/>
    <m/>
    <m/>
    <m/>
    <s v="45453000-7"/>
    <m/>
    <n v="350000"/>
    <x v="2"/>
    <d v="2019-03-28T00:00:00"/>
    <d v="2019-04-09T00:00:00"/>
    <d v="2019-04-23T00:00:00"/>
    <s v="Stavitelství Pospíšil, s.r.o."/>
    <m/>
    <n v="399545"/>
    <n v="483449.45"/>
    <m/>
    <m/>
    <m/>
    <d v="2019-04-23T00:00:00"/>
    <s v="SMLN-2019-618-000030"/>
    <x v="72"/>
    <d v="2019-05-29T00:00:00"/>
    <d v="2019-11-26T00:00:00"/>
  </r>
  <r>
    <m/>
    <m/>
    <d v="2019-03-19T00:00:00"/>
    <s v="VZ-2019-000305"/>
    <x v="6"/>
    <s v="Rosulek"/>
    <x v="35"/>
    <m/>
    <m/>
    <m/>
    <s v="33124100-6"/>
    <s v="2.2.141."/>
    <n v="4600000"/>
    <x v="0"/>
    <d v="2019-03-25T00:00:00"/>
    <d v="2019-04-30T00:00:00"/>
    <d v="2019-06-06T00:00:00"/>
    <s v="Medinet s.r.o."/>
    <m/>
    <n v="4585200"/>
    <n v="5548092"/>
    <m/>
    <m/>
    <m/>
    <d v="2019-06-07T00:00:00"/>
    <s v="SMLN-2019-617-000248_x000a_SMLN-2019-612-000060"/>
    <x v="47"/>
    <d v="2019-07-15T00:00:00"/>
    <d v="2019-08-13T00:00:00"/>
  </r>
  <r>
    <m/>
    <m/>
    <s v="opakovaná VZ"/>
    <s v="VZ-2019-000307"/>
    <x v="6"/>
    <s v="Rosulek"/>
    <x v="56"/>
    <m/>
    <m/>
    <m/>
    <s v="31500000-1"/>
    <s v="2.2.190."/>
    <n v="620000"/>
    <x v="2"/>
    <d v="2019-04-01T00:00:00"/>
    <d v="2019-04-24T00:00:00"/>
    <m/>
    <s v="zrušeno - bez nabídky"/>
    <s v="nebude realizováno"/>
    <m/>
    <m/>
    <m/>
    <m/>
    <m/>
    <m/>
    <m/>
    <x v="0"/>
    <d v="2019-04-25T00:00:00"/>
    <m/>
  </r>
  <r>
    <m/>
    <m/>
    <d v="2019-03-25T00:00:00"/>
    <s v="VZ-2019-000312"/>
    <x v="0"/>
    <s v="Dočkalová"/>
    <x v="137"/>
    <n v="1"/>
    <s v="Samoexpandibilní stentgrafty vaskulární periferní I."/>
    <m/>
    <s v="33140000-3"/>
    <m/>
    <n v="1393200"/>
    <x v="0"/>
    <d v="2019-04-05T00:00:00"/>
    <d v="2019-05-30T00:00:00"/>
    <d v="2019-07-03T00:00:00"/>
    <s v="BARD Czech Republic s.r.o."/>
    <m/>
    <n v="1393200"/>
    <n v="1602180"/>
    <m/>
    <m/>
    <m/>
    <d v="2019-07-03T00:00:00"/>
    <s v="SMLN-2019-617-000304_x000a_SMLN-2019-614-000058"/>
    <x v="68"/>
    <d v="2019-08-21T00:00:00"/>
    <d v="2021-08-18T00:00:00"/>
  </r>
  <r>
    <m/>
    <m/>
    <d v="2019-03-25T00:00:00"/>
    <s v="VZ-2019-000312"/>
    <x v="0"/>
    <s v="Dočkalová"/>
    <x v="137"/>
    <n v="2"/>
    <s v="Samoexpandibilní stentgrafty vaskulární periferní II."/>
    <m/>
    <s v="33140000-3"/>
    <m/>
    <n v="1852140"/>
    <x v="0"/>
    <d v="2019-04-05T00:00:00"/>
    <d v="2019-05-30T00:00:00"/>
    <d v="2019-07-03T00:00:00"/>
    <s v="Stimcare s.r.o."/>
    <m/>
    <n v="1852140"/>
    <n v="2129961"/>
    <m/>
    <m/>
    <m/>
    <d v="2019-07-03T00:00:00"/>
    <s v="SMLN-2019-617-000305_x000a_SMLN-2019-614-000059"/>
    <x v="68"/>
    <d v="2019-08-21T00:00:00"/>
    <d v="2021-08-18T00:00:00"/>
  </r>
  <r>
    <m/>
    <m/>
    <d v="2019-03-25T00:00:00"/>
    <s v="VZ-2019-000312"/>
    <x v="0"/>
    <s v="Dočkalová"/>
    <x v="137"/>
    <n v="3"/>
    <s v="Balónexpandibilní stentgrafty vaskulární I."/>
    <m/>
    <s v="33140000-3"/>
    <m/>
    <n v="780000"/>
    <x v="0"/>
    <d v="2019-04-05T00:00:00"/>
    <d v="2019-05-30T00:00:00"/>
    <m/>
    <s v="zrušeno - bez nabídky"/>
    <m/>
    <m/>
    <m/>
    <m/>
    <m/>
    <m/>
    <m/>
    <m/>
    <x v="0"/>
    <d v="2019-07-26T00:00:00"/>
    <s v="3.7.zrušeno"/>
  </r>
  <r>
    <m/>
    <m/>
    <d v="2019-03-25T00:00:00"/>
    <s v="VZ-2019-000312"/>
    <x v="0"/>
    <s v="Dočkalová"/>
    <x v="137"/>
    <n v="4"/>
    <s v="Balónexpandibilní stentgrafty vaskulární II."/>
    <m/>
    <s v="33140000-3"/>
    <m/>
    <n v="232200"/>
    <x v="0"/>
    <d v="2019-04-05T00:00:00"/>
    <d v="2019-05-30T00:00:00"/>
    <d v="2019-07-03T00:00:00"/>
    <s v="BARD Czech Republic s.r.o."/>
    <m/>
    <n v="232200"/>
    <n v="267030"/>
    <m/>
    <m/>
    <m/>
    <d v="2019-07-03T00:00:00"/>
    <s v="SMLN-2019-617-000306_x000a_SMLN-2019-614-000060"/>
    <x v="68"/>
    <d v="2019-08-21T00:00:00"/>
    <d v="2021-08-18T00:00:00"/>
  </r>
  <r>
    <m/>
    <m/>
    <d v="2019-03-25T00:00:00"/>
    <s v="VZ-2019-000312"/>
    <x v="0"/>
    <s v="Dočkalová"/>
    <x v="137"/>
    <n v="5"/>
    <s v="Stentgrafty vaskulární do TIPS"/>
    <m/>
    <s v="33140000-3"/>
    <m/>
    <n v="3478000"/>
    <x v="0"/>
    <d v="2019-04-05T00:00:00"/>
    <d v="2019-05-30T00:00:00"/>
    <d v="2019-07-03T00:00:00"/>
    <s v="Stimcare s.r.o."/>
    <m/>
    <n v="3478000"/>
    <n v="3999700"/>
    <m/>
    <m/>
    <m/>
    <d v="2019-07-03T00:00:00"/>
    <s v="SMLN-2019-617-000307_x000a_SMLN-2019-614-000061"/>
    <x v="68"/>
    <d v="2019-08-21T00:00:00"/>
    <d v="2021-08-18T00:00:00"/>
  </r>
  <r>
    <m/>
    <m/>
    <d v="2019-03-25T00:00:00"/>
    <s v="VZ-2019-000313"/>
    <x v="0"/>
    <s v="Dočkalová"/>
    <x v="138"/>
    <n v="1"/>
    <s v="Samoexpandibilní stenty vaskulární I"/>
    <m/>
    <s v="33140000-3"/>
    <m/>
    <n v="1010000"/>
    <x v="0"/>
    <d v="2019-04-05T00:00:00"/>
    <d v="2019-05-27T00:00:00"/>
    <m/>
    <s v="zrušeno - překročení ceny"/>
    <m/>
    <m/>
    <m/>
    <m/>
    <m/>
    <m/>
    <m/>
    <m/>
    <x v="0"/>
    <d v="2019-06-28T00:00:00"/>
    <s v="6.6. zrušeno"/>
  </r>
  <r>
    <m/>
    <m/>
    <d v="2019-03-25T00:00:00"/>
    <s v="VZ-2019-000313"/>
    <x v="0"/>
    <s v="Dočkalová"/>
    <x v="138"/>
    <n v="2"/>
    <s v="Samoexpandibilní stenty vaskulární II"/>
    <m/>
    <s v="33140000-3"/>
    <m/>
    <n v="1000000"/>
    <x v="0"/>
    <d v="2019-04-05T00:00:00"/>
    <d v="2019-05-27T00:00:00"/>
    <d v="2019-06-11T00:00:00"/>
    <s v="MEDITRADE spol. s r.o."/>
    <m/>
    <n v="1000000"/>
    <n v="1150000"/>
    <m/>
    <m/>
    <m/>
    <d v="2019-06-13T00:00:00"/>
    <s v="SMLN-2019-617-000271_x000a_SMLN-2019-614-000041"/>
    <x v="73"/>
    <d v="2019-09-05T00:00:00"/>
    <d v="2021-09-03T00:00:00"/>
  </r>
  <r>
    <m/>
    <m/>
    <d v="2019-03-25T00:00:00"/>
    <s v="VZ-2019-000313"/>
    <x v="0"/>
    <s v="Dočkalová"/>
    <x v="138"/>
    <n v="3"/>
    <s v="Samoexpandibilní stenty vaskulární XL"/>
    <m/>
    <s v="33140000-3"/>
    <m/>
    <n v="247500"/>
    <x v="0"/>
    <d v="2019-04-05T00:00:00"/>
    <d v="2019-05-27T00:00:00"/>
    <d v="2019-06-11T00:00:00"/>
    <s v="BARD Czech Republic s.r.o."/>
    <m/>
    <n v="247500"/>
    <n v="284625"/>
    <m/>
    <m/>
    <m/>
    <d v="2019-06-13T00:00:00"/>
    <s v="SMLN-2019-617-000272_x000a_SMLN-2019-614-000042"/>
    <x v="73"/>
    <d v="2019-09-05T00:00:00"/>
    <d v="2021-09-03T00:00:00"/>
  </r>
  <r>
    <m/>
    <m/>
    <d v="2019-03-25T00:00:00"/>
    <s v="VZ-2019-000313"/>
    <x v="0"/>
    <s v="Dočkalová"/>
    <x v="138"/>
    <n v="4"/>
    <s v="Balónexpandibilní stenty vaskulární I"/>
    <m/>
    <s v="33140000-3"/>
    <m/>
    <n v="1090000"/>
    <x v="0"/>
    <d v="2019-04-05T00:00:00"/>
    <d v="2019-05-27T00:00:00"/>
    <d v="2019-06-11T00:00:00"/>
    <s v="Stimcare s.r.o."/>
    <m/>
    <n v="1090000"/>
    <n v="1253500"/>
    <m/>
    <m/>
    <m/>
    <d v="2019-06-13T00:00:00"/>
    <s v="SMLN-2019-617-000273_x000a_SMLN-2019-614-000043"/>
    <x v="73"/>
    <d v="2019-09-05T00:00:00"/>
    <d v="2021-09-03T00:00:00"/>
  </r>
  <r>
    <m/>
    <m/>
    <d v="2019-03-25T00:00:00"/>
    <s v="VZ-2019-000313"/>
    <x v="0"/>
    <s v="Dočkalová"/>
    <x v="138"/>
    <n v="5"/>
    <s v="Balónexpandibilní stenty vaskulární II"/>
    <m/>
    <s v="33140000-3"/>
    <m/>
    <n v="228400"/>
    <x v="0"/>
    <d v="2019-04-05T00:00:00"/>
    <d v="2019-05-27T00:00:00"/>
    <d v="2019-06-11T00:00:00"/>
    <s v="Stimcare s.r.o."/>
    <m/>
    <n v="228400"/>
    <n v="262660"/>
    <m/>
    <m/>
    <m/>
    <d v="2019-06-13T00:00:00"/>
    <s v="SMLN-2019-617-000274_x000a_SMLN-2019-614-000044"/>
    <x v="73"/>
    <d v="2019-09-05T00:00:00"/>
    <d v="2021-09-03T00:00:00"/>
  </r>
  <r>
    <m/>
    <m/>
    <d v="2019-03-25T00:00:00"/>
    <s v="VZ-2019-000313"/>
    <x v="0"/>
    <s v="Dočkalová"/>
    <x v="138"/>
    <n v="6"/>
    <s v="Karotické stenty vaskulární I"/>
    <m/>
    <s v="33140000-3"/>
    <m/>
    <n v="264000"/>
    <x v="0"/>
    <d v="2019-04-05T00:00:00"/>
    <d v="2019-05-27T00:00:00"/>
    <d v="2019-06-11T00:00:00"/>
    <s v="MEDITRADE spol. s r.o."/>
    <m/>
    <n v="264000"/>
    <n v="303600"/>
    <m/>
    <m/>
    <m/>
    <d v="2019-06-13T00:00:00"/>
    <s v="SMLN-2019-617-000275_x000a_SMLN-2019-614-000045"/>
    <x v="73"/>
    <d v="2019-09-05T00:00:00"/>
    <d v="2021-09-03T00:00:00"/>
  </r>
  <r>
    <m/>
    <m/>
    <d v="2019-03-25T00:00:00"/>
    <s v="VZ-2019-000313"/>
    <x v="0"/>
    <s v="Dočkalová"/>
    <x v="138"/>
    <n v="7"/>
    <s v="Karotické stenty vaskulární II"/>
    <m/>
    <s v="33140000-3"/>
    <m/>
    <n v="217300"/>
    <x v="0"/>
    <d v="2019-04-05T00:00:00"/>
    <d v="2019-05-27T00:00:00"/>
    <d v="2019-06-11T00:00:00"/>
    <s v="Stimcare s.r.o."/>
    <m/>
    <n v="217300"/>
    <n v="249895"/>
    <m/>
    <m/>
    <m/>
    <d v="2019-06-13T00:00:00"/>
    <s v="SMLN-2019-617-000276_x000a_SMLN-2019-614-000046"/>
    <x v="73"/>
    <d v="2019-09-05T00:00:00"/>
    <d v="2021-09-03T00:00:00"/>
  </r>
  <r>
    <m/>
    <m/>
    <d v="2019-03-25T00:00:00"/>
    <s v="VZ-2019-000313"/>
    <x v="0"/>
    <s v="Dočkalová"/>
    <x v="138"/>
    <n v="8"/>
    <s v="Intrakraniální stenty vaskulární"/>
    <m/>
    <s v="33140000-3"/>
    <m/>
    <n v="14765750"/>
    <x v="0"/>
    <d v="2019-04-05T00:00:00"/>
    <d v="2019-05-27T00:00:00"/>
    <d v="2019-06-11T00:00:00"/>
    <s v="EspoMed spol. s r.o."/>
    <m/>
    <n v="14765000"/>
    <n v="16979750"/>
    <m/>
    <m/>
    <m/>
    <d v="2019-06-13T00:00:00"/>
    <s v="SMLN-2019-617-000277_x000a_SMLN-2019-614-000047"/>
    <x v="73"/>
    <d v="2019-09-05T00:00:00"/>
    <d v="2021-09-03T00:00:00"/>
  </r>
  <r>
    <m/>
    <m/>
    <d v="2019-03-25T00:00:00"/>
    <s v="VZ-2019-000314"/>
    <x v="0"/>
    <s v="Dočkalová"/>
    <x v="139"/>
    <n v="1"/>
    <s v="Mikrokatétry k periferním vaskulárním intervencím I."/>
    <m/>
    <s v="33140000-3"/>
    <m/>
    <n v="4478570"/>
    <x v="0"/>
    <d v="2019-04-03T00:00:00"/>
    <d v="2019-05-06T00:00:00"/>
    <d v="2019-06-11T00:00:00"/>
    <s v="VAMEX, spol. s r.o."/>
    <m/>
    <n v="3963844"/>
    <n v="4796251.24"/>
    <m/>
    <m/>
    <m/>
    <d v="2019-06-13T00:00:00"/>
    <s v="SMLN-2019-617-000266_x000a_SMLN-2019-614-000035"/>
    <x v="74"/>
    <d v="2019-08-28T00:00:00"/>
    <d v="2021-08-21T00:00:00"/>
  </r>
  <r>
    <m/>
    <m/>
    <d v="2019-03-25T00:00:00"/>
    <s v="VZ-2019-000314"/>
    <x v="0"/>
    <s v="Dočkalová"/>
    <x v="139"/>
    <n v="2"/>
    <s v="Mikrokatétry k periferním vaskulárním intervencím II."/>
    <m/>
    <s v="33140000-3"/>
    <m/>
    <n v="89090"/>
    <x v="0"/>
    <d v="2019-04-03T00:00:00"/>
    <d v="2019-05-06T00:00:00"/>
    <d v="2019-06-11T00:00:00"/>
    <s v="ARID obchodní společnost s.r.o."/>
    <m/>
    <n v="89090"/>
    <n v="107798.9"/>
    <m/>
    <m/>
    <m/>
    <d v="2019-06-13T00:00:00"/>
    <s v="SMLN-2019-617-000267_x000a_SMLN-2019-614-000036"/>
    <x v="74"/>
    <d v="2019-08-28T00:00:00"/>
    <d v="2021-08-21T00:00:00"/>
  </r>
  <r>
    <m/>
    <m/>
    <d v="2019-03-25T00:00:00"/>
    <s v="VZ-2019-000314"/>
    <x v="0"/>
    <s v="Dočkalová"/>
    <x v="139"/>
    <n v="3"/>
    <s v="Mikrokatétry neurointervenční I. "/>
    <m/>
    <s v="33140000-3"/>
    <m/>
    <n v="581650"/>
    <x v="0"/>
    <d v="2019-04-03T00:00:00"/>
    <d v="2019-05-06T00:00:00"/>
    <m/>
    <s v="zrušeno - bez nabídky"/>
    <m/>
    <m/>
    <m/>
    <m/>
    <m/>
    <m/>
    <m/>
    <m/>
    <x v="0"/>
    <d v="2019-06-28T00:00:00"/>
    <s v="5.6. zrušeno"/>
  </r>
  <r>
    <m/>
    <m/>
    <d v="2019-03-25T00:00:00"/>
    <s v="VZ-2019-000314"/>
    <x v="0"/>
    <s v="Dočkalová"/>
    <x v="139"/>
    <n v="4"/>
    <s v="Mikrokatétry neurointervenční II. "/>
    <m/>
    <s v="33140000-3"/>
    <m/>
    <n v="144580"/>
    <x v="0"/>
    <d v="2019-04-03T00:00:00"/>
    <d v="2019-05-06T00:00:00"/>
    <d v="2019-06-11T00:00:00"/>
    <s v="EspoMed spol. s r.o."/>
    <m/>
    <n v="144580"/>
    <n v="174941.8"/>
    <m/>
    <m/>
    <m/>
    <d v="2019-06-13T00:00:00"/>
    <s v="SMLN-2019-617-000268_x000a_SMLN-2019-614-000037"/>
    <x v="74"/>
    <d v="2019-08-28T00:00:00"/>
    <d v="2021-08-21T00:00:00"/>
  </r>
  <r>
    <m/>
    <m/>
    <d v="2019-03-25T00:00:00"/>
    <s v="VZ-2019-000314"/>
    <x v="0"/>
    <s v="Dočkalová"/>
    <x v="139"/>
    <n v="5"/>
    <s v="Mikrokatétry neurointervenční III. "/>
    <m/>
    <s v="33140000-3"/>
    <m/>
    <n v="629700"/>
    <x v="0"/>
    <d v="2019-04-03T00:00:00"/>
    <d v="2019-05-06T00:00:00"/>
    <d v="2019-06-11T00:00:00"/>
    <s v="EspoMed spol. s r.o."/>
    <m/>
    <n v="603200"/>
    <n v="729872"/>
    <m/>
    <m/>
    <m/>
    <d v="2019-06-13T00:00:00"/>
    <s v="SMLN-2019-617-000269_x000a_SMLN-2019-614-000038"/>
    <x v="74"/>
    <d v="2019-08-28T00:00:00"/>
    <d v="2021-08-21T00:00:00"/>
  </r>
  <r>
    <m/>
    <m/>
    <d v="2019-03-25T00:00:00"/>
    <s v="VZ-2019-000314"/>
    <x v="0"/>
    <s v="Dočkalová"/>
    <x v="139"/>
    <n v="6"/>
    <s v="Mikrokatétry neurointervenční IV. "/>
    <m/>
    <s v="33140000-3"/>
    <m/>
    <n v="50600"/>
    <x v="0"/>
    <d v="2019-04-03T00:00:00"/>
    <d v="2019-05-06T00:00:00"/>
    <d v="2019-06-11T00:00:00"/>
    <s v="EspoMed spol. s r.o."/>
    <m/>
    <n v="50599.5"/>
    <n v="61225.4"/>
    <m/>
    <m/>
    <m/>
    <d v="2019-06-13T00:00:00"/>
    <s v="SMLN-2019-617-000270_x000a_SMLN-2019-614-000040"/>
    <x v="74"/>
    <d v="2019-08-28T00:00:00"/>
    <d v="2021-08-21T00:00:00"/>
  </r>
  <r>
    <m/>
    <m/>
    <d v="2019-03-22T00:00:00"/>
    <s v="VZ-2019-000321"/>
    <x v="3"/>
    <s v="Nerudová"/>
    <x v="140"/>
    <m/>
    <m/>
    <m/>
    <s v="39120000-9"/>
    <m/>
    <n v="570000"/>
    <x v="0"/>
    <d v="2019-04-02T00:00:00"/>
    <d v="2019-05-07T00:00:00"/>
    <d v="2019-05-23T00:00:00"/>
    <s v="KSK nábytek s.r.o."/>
    <m/>
    <n v="513226"/>
    <n v="621003.46"/>
    <m/>
    <m/>
    <m/>
    <d v="2019-05-27T00:00:00"/>
    <s v="SMLN-2019-617-000238"/>
    <x v="75"/>
    <d v="2019-08-15T00:00:00"/>
    <d v="2019-10-24T00:00:00"/>
  </r>
  <r>
    <m/>
    <m/>
    <d v="2019-03-28T00:00:00"/>
    <s v="VZ-2019-000322"/>
    <x v="14"/>
    <s v="Merta"/>
    <x v="141"/>
    <m/>
    <m/>
    <m/>
    <s v="33694000-1"/>
    <m/>
    <n v="1950000"/>
    <x v="2"/>
    <d v="2019-04-03T00:00:00"/>
    <d v="2019-04-11T00:00:00"/>
    <m/>
    <m/>
    <s v="nová VZ-2019-000808, upravena technická kvalifikační kritéria a specifikace VZ"/>
    <m/>
    <m/>
    <m/>
    <m/>
    <m/>
    <m/>
    <m/>
    <x v="0"/>
    <d v="2019-07-25T00:00:00"/>
    <m/>
  </r>
  <r>
    <m/>
    <m/>
    <s v="opakovaná VZ"/>
    <s v="VZ-2019-000323"/>
    <x v="1"/>
    <s v="Oravec"/>
    <x v="142"/>
    <m/>
    <m/>
    <m/>
    <s v="72261000-2"/>
    <s v="3.2.12."/>
    <n v="266640"/>
    <x v="2"/>
    <d v="2019-03-29T00:00:00"/>
    <d v="2019-04-09T00:00:00"/>
    <d v="2019-04-24T00:00:00"/>
    <s v="Centrum pro podporui počítačové grafiky"/>
    <m/>
    <n v="266400"/>
    <n v="322344"/>
    <m/>
    <m/>
    <m/>
    <d v="2019-04-26T00:00:00"/>
    <s v="SMLN-2019-612-000041"/>
    <x v="76"/>
    <d v="2019-05-27T00:00:00"/>
    <s v="doba neurčitá"/>
  </r>
  <r>
    <m/>
    <m/>
    <d v="2019-03-25T00:00:00"/>
    <s v="VZ-2019-000324"/>
    <x v="1"/>
    <s v="Oravec"/>
    <x v="143"/>
    <m/>
    <m/>
    <m/>
    <s v="30121100-4 "/>
    <s v="3.2.35."/>
    <n v="537190"/>
    <x v="2"/>
    <d v="2019-04-03T00:00:00"/>
    <d v="2019-04-18T00:00:00"/>
    <d v="2019-05-02T00:00:00"/>
    <s v="Can21 s.r.o."/>
    <m/>
    <n v="541935"/>
    <n v="655741.35"/>
    <m/>
    <m/>
    <m/>
    <d v="2019-05-02T00:00:00"/>
    <s v="SMLN-2019-617-000209"/>
    <x v="76"/>
    <d v="2019-05-27T00:00:00"/>
    <d v="2020-05-22T00:00:00"/>
  </r>
  <r>
    <m/>
    <m/>
    <d v="2019-03-18T00:00:00"/>
    <s v="VZ-2019-000327"/>
    <x v="0"/>
    <s v="Valtová"/>
    <x v="144"/>
    <m/>
    <m/>
    <m/>
    <s v="33141200-2"/>
    <m/>
    <n v="745500"/>
    <x v="2"/>
    <d v="2019-04-03T00:00:00"/>
    <d v="2019-04-11T00:00:00"/>
    <d v="2019-04-24T00:00:00"/>
    <s v="Teleflex Medical s.r.o."/>
    <m/>
    <n v="717178.02"/>
    <n v="867785.40419999999"/>
    <m/>
    <m/>
    <m/>
    <d v="2019-04-24T00:00:00"/>
    <s v="SMLN-2019-617-000192"/>
    <x v="32"/>
    <d v="2019-05-09T00:00:00"/>
    <d v="2022-05-05T00:00:00"/>
  </r>
  <r>
    <m/>
    <m/>
    <d v="2019-04-01T00:00:00"/>
    <s v="VZ-2019-000328"/>
    <x v="6"/>
    <s v="Rosulek"/>
    <x v="145"/>
    <m/>
    <m/>
    <m/>
    <m/>
    <s v="2.2.126"/>
    <n v="459000"/>
    <x v="2"/>
    <d v="2019-04-05T00:00:00"/>
    <d v="2019-04-15T00:00:00"/>
    <d v="2019-05-14T00:00:00"/>
    <s v="Surgipa Medical spol. s r.o."/>
    <m/>
    <n v="447014.78"/>
    <n v="540887.92000000004"/>
    <m/>
    <m/>
    <m/>
    <d v="2019-05-14T00:00:00"/>
    <s v="SMLN-2019-617-000219_x000a_SMLN-2019-612-000054"/>
    <x v="77"/>
    <d v="2019-06-14T00:00:00"/>
    <d v="2019-07-24T00:00:00"/>
  </r>
  <r>
    <m/>
    <m/>
    <d v="2019-04-01T00:00:00"/>
    <s v="VZ-2019-000338"/>
    <x v="6"/>
    <s v="Rosulek"/>
    <x v="146"/>
    <m/>
    <m/>
    <m/>
    <m/>
    <s v="2.2.198"/>
    <n v="306000"/>
    <x v="2"/>
    <d v="2019-04-05T00:00:00"/>
    <d v="2019-04-12T00:00:00"/>
    <d v="2019-05-24T00:00:00"/>
    <s v="DEYMED Diagnostic s.r.o."/>
    <m/>
    <n v="304744"/>
    <n v="368740.24"/>
    <m/>
    <m/>
    <m/>
    <d v="2019-05-24T00:00:00"/>
    <s v="SMLN-2019-617-000236_x000a_SMLN-2019-612-000056"/>
    <x v="78"/>
    <d v="2019-06-27T00:00:00"/>
    <d v="2019-07-22T00:00:00"/>
  </r>
  <r>
    <m/>
    <m/>
    <d v="2019-04-02T00:00:00"/>
    <s v="VZ-2019-000342"/>
    <x v="5"/>
    <s v="Ondráčková"/>
    <x v="147"/>
    <n v="1"/>
    <s v="Sodná sůl treprostinilu II"/>
    <s v="B01AC21"/>
    <s v="33621100-0"/>
    <m/>
    <n v="102581921"/>
    <x v="0"/>
    <d v="2019-05-02T00:00:00"/>
    <d v="2019-06-05T00:00:00"/>
    <m/>
    <s v="AOP orphan,Alliance Healthcare s.r.o."/>
    <s v="VZ-2019-000824 nová VZ - DůVOD zrušeno - bez nabídky ; OT ; DALŠÍ POSTUP opakování zrušené; 26.7. předáno OZVZ; ÚPRAVA OT uznat; pumpy nepožadovat ; PŘEDPOKLAD  ; POZN: VZ-2019-000824"/>
    <m/>
    <m/>
    <m/>
    <m/>
    <m/>
    <m/>
    <m/>
    <x v="0"/>
    <d v="2019-06-12T00:00:00"/>
    <s v="10.6. zrušeno"/>
  </r>
  <r>
    <m/>
    <m/>
    <d v="2019-04-02T00:00:00"/>
    <s v="VZ-2019-000343"/>
    <x v="5"/>
    <s v="Ondráčková"/>
    <x v="148"/>
    <n v="1"/>
    <s v="Norepinefrin I"/>
    <s v="C01CA03"/>
    <s v="33622100-7"/>
    <m/>
    <n v="244342"/>
    <x v="0"/>
    <d v="2019-05-02T00:00:00"/>
    <d v="2019-06-20T00:00:00"/>
    <m/>
    <s v="zentiva"/>
    <s v="VZ-2019-000890 nová VZ, DůVOD zrušeno - námitky ; zrušeno - námitky ; DALŠÍ POSTUP opakování zrušené; 26.7. předáno OZVZ; ÚPRAVA bez úhrady; rozdělení na děti a dospělé ; PŘEDPOKLAD  ; POZN: "/>
    <m/>
    <m/>
    <m/>
    <m/>
    <m/>
    <m/>
    <m/>
    <x v="0"/>
    <d v="2019-08-01T00:00:00"/>
    <s v="9.7. zrušeno"/>
  </r>
  <r>
    <m/>
    <m/>
    <d v="2019-04-02T00:00:00"/>
    <s v="VZ-2019-000343"/>
    <x v="5"/>
    <s v="Ondráčková"/>
    <x v="148"/>
    <n v="2"/>
    <s v="Norepinefrin II"/>
    <s v="C01CA03"/>
    <s v="33622100-7"/>
    <m/>
    <n v="2975177"/>
    <x v="0"/>
    <d v="2019-05-02T00:00:00"/>
    <d v="2019-06-20T00:00:00"/>
    <m/>
    <m/>
    <s v="VZ-2019-000890 nová VZ, DůVOD zrušeno - námitky ; ardez ; DALŠÍ POSTUP opakování zrušené; 26.7. předáno OZVZ; ÚPRAVA 1421160 ; PŘEDPOKLAD  ; POZN: "/>
    <m/>
    <m/>
    <m/>
    <m/>
    <m/>
    <m/>
    <m/>
    <x v="0"/>
    <d v="2019-08-01T00:00:00"/>
    <s v="9.7. zrušeno"/>
  </r>
  <r>
    <m/>
    <m/>
    <d v="2019-04-02T00:00:00"/>
    <s v="VZ-2019-000343"/>
    <x v="5"/>
    <s v="Ondráčková"/>
    <x v="148"/>
    <n v="3"/>
    <s v="Norepinefrin III"/>
    <s v="C01CA03"/>
    <s v="33622100-7"/>
    <m/>
    <n v="780000"/>
    <x v="0"/>
    <d v="2019-05-02T00:00:00"/>
    <d v="2019-06-20T00:00:00"/>
    <m/>
    <m/>
    <s v="VZ-2019-000890 nová VZ, DůVOD zrušeno - námitky ; nové balení od září na trhu ; DALŠÍ POSTUP opakování zrušené; 26.7. předáno OZVZ; ÚPRAVA VZMR na rok ; PŘEDPOKLAD  ; POZN: "/>
    <m/>
    <m/>
    <m/>
    <m/>
    <m/>
    <m/>
    <m/>
    <x v="0"/>
    <d v="2019-08-01T00:00:00"/>
    <s v="9.7. zrušeno"/>
  </r>
  <r>
    <m/>
    <m/>
    <d v="2019-04-02T00:00:00"/>
    <s v="VZ-2019-000343"/>
    <x v="5"/>
    <s v="Ondráčková"/>
    <x v="148"/>
    <n v="4"/>
    <s v="Pankreatin"/>
    <s v="A09AA02"/>
    <s v="24965000-6"/>
    <m/>
    <n v="3831744"/>
    <x v="0"/>
    <d v="2019-05-02T00:00:00"/>
    <d v="2019-06-20T00:00:00"/>
    <d v="2019-08-15T00:00:00"/>
    <s v="PHOENIX lék.velkoobchod, s.r.o."/>
    <m/>
    <n v="3767853.64"/>
    <n v="4144639.0040000007"/>
    <m/>
    <m/>
    <m/>
    <d v="2019-08-16T00:00:00"/>
    <s v="SMLN-2019-617-000349"/>
    <x v="79"/>
    <d v="2019-10-01T00:00:00"/>
    <d v="2021-09-22T00:00:00"/>
  </r>
  <r>
    <m/>
    <m/>
    <d v="2019-04-02T00:00:00"/>
    <s v="VZ-2019-000344"/>
    <x v="5"/>
    <s v="Ondráčková"/>
    <x v="149"/>
    <n v="1"/>
    <s v="Nivolumab"/>
    <s v="L01XC17"/>
    <s v="33652100-6"/>
    <m/>
    <n v="67519837"/>
    <x v="0"/>
    <d v="2019-05-02T00:00:00"/>
    <d v="2019-07-02T00:00:00"/>
    <d v="2019-08-07T00:00:00"/>
    <s v="Bristol-Meyers Squibb spol. s r.o."/>
    <m/>
    <n v="122114868.40000001"/>
    <n v="134326355.24000001"/>
    <m/>
    <m/>
    <m/>
    <d v="2019-08-07T00:00:00"/>
    <s v="SMLN-2019-617-000338"/>
    <x v="80"/>
    <d v="2019-09-13T00:00:00"/>
    <d v="2021-09-09T00:00:00"/>
  </r>
  <r>
    <m/>
    <m/>
    <d v="2019-03-29T00:00:00"/>
    <s v="VZ-2019-000345"/>
    <x v="1"/>
    <s v="Miklík"/>
    <x v="150"/>
    <m/>
    <m/>
    <m/>
    <s v="72000000-5"/>
    <m/>
    <n v="800000"/>
    <x v="2"/>
    <d v="2019-04-08T00:00:00"/>
    <d v="2019-04-22T00:00:00"/>
    <d v="2019-04-29T00:00:00"/>
    <s v="ALEF NULA a.s."/>
    <m/>
    <n v="830000"/>
    <n v="1004300"/>
    <m/>
    <m/>
    <m/>
    <d v="2019-04-30T00:00:00"/>
    <s v="SMLN-2019-618-000033"/>
    <x v="81"/>
    <d v="2019-05-23T00:00:00"/>
    <d v="2021-10-31T00:00:00"/>
  </r>
  <r>
    <m/>
    <m/>
    <d v="2019-04-04T00:00:00"/>
    <s v="VZ-2019-000355"/>
    <x v="0"/>
    <s v="Dočkalová"/>
    <x v="151"/>
    <n v="1"/>
    <s v="Systémy pro uzavírání vstupů po perkutánnách cévních výkonech I."/>
    <m/>
    <s v="33140000-3"/>
    <m/>
    <n v="1505000"/>
    <x v="0"/>
    <d v="2019-04-16T00:00:00"/>
    <d v="2019-06-03T00:00:00"/>
    <m/>
    <s v="zrušeno - bez nabídky"/>
    <m/>
    <m/>
    <m/>
    <m/>
    <m/>
    <m/>
    <m/>
    <m/>
    <x v="0"/>
    <d v="2019-09-27T00:00:00"/>
    <s v="2.9. zrušeno"/>
  </r>
  <r>
    <m/>
    <m/>
    <d v="2019-04-04T00:00:00"/>
    <s v="VZ-2019-000355"/>
    <x v="0"/>
    <s v="Dočkalová"/>
    <x v="151"/>
    <n v="2"/>
    <s v="Systémy pro uzavírání vstupů po perkutánnách cévních výkonech II."/>
    <m/>
    <s v="33140000-3"/>
    <m/>
    <n v="3461500"/>
    <x v="0"/>
    <d v="2019-04-16T00:00:00"/>
    <d v="2019-06-03T00:00:00"/>
    <d v="2019-09-24T00:00:00"/>
    <s v="MEDITRADE spol. s r.o."/>
    <m/>
    <n v="3461500"/>
    <n v="3980725"/>
    <m/>
    <m/>
    <m/>
    <d v="2019-09-25T00:00:00"/>
    <s v="SMLN-2019-617-000458_x000a_SMLN-2019-614-000098"/>
    <x v="82"/>
    <d v="2019-10-17T00:00:00"/>
    <d v="2021-10-13T00:00:00"/>
  </r>
  <r>
    <m/>
    <m/>
    <d v="2019-04-04T00:00:00"/>
    <s v="VZ-2019-000356"/>
    <x v="0"/>
    <s v="Dočkalová"/>
    <x v="152"/>
    <m/>
    <m/>
    <m/>
    <s v="33140000-3"/>
    <m/>
    <n v="14033750"/>
    <x v="0"/>
    <d v="2019-04-16T00:00:00"/>
    <d v="2019-05-22T00:00:00"/>
    <m/>
    <s v="zrušeno - bez nabídky"/>
    <m/>
    <m/>
    <m/>
    <m/>
    <m/>
    <m/>
    <m/>
    <m/>
    <x v="0"/>
    <d v="2019-05-29T00:00:00"/>
    <m/>
  </r>
  <r>
    <m/>
    <m/>
    <d v="2019-04-02T00:00:00"/>
    <s v="VZ-2019-000357"/>
    <x v="10"/>
    <s v="Vaida"/>
    <x v="153"/>
    <m/>
    <m/>
    <m/>
    <s v="31710000-6"/>
    <s v="4.2.122."/>
    <n v="830000"/>
    <x v="2"/>
    <d v="2019-05-17T00:00:00"/>
    <d v="2019-06-03T00:00:00"/>
    <d v="2019-06-18T00:00:00"/>
    <s v="Kadlec - elektronika, s.r.o."/>
    <s v="vytvoření koncepce pořizování vyvolávacích systémů"/>
    <n v="1033225"/>
    <n v="1250202.25"/>
    <m/>
    <m/>
    <m/>
    <d v="2019-06-19T00:00:00"/>
    <s v="SMLN-2019-617-000290_x000a_SMLN-2019-618-000045"/>
    <x v="0"/>
    <d v="2019-06-26T00:00:00"/>
    <m/>
  </r>
  <r>
    <m/>
    <m/>
    <d v="2019-04-05T00:00:00"/>
    <s v="VZ2019-000362"/>
    <x v="6"/>
    <s v="Rosulek"/>
    <x v="154"/>
    <n v="1"/>
    <s v="Centrifuga pro Ústav mikrobiologie"/>
    <m/>
    <s v="42931100-2"/>
    <s v="2.3.373."/>
    <n v="198500"/>
    <x v="2"/>
    <d v="2019-04-10T00:00:00"/>
    <d v="2019-04-18T00:00:00"/>
    <d v="2019-04-29T00:00:00"/>
    <s v="TRIGON PLUS s.r.o."/>
    <m/>
    <n v="209240"/>
    <n v="253180.4"/>
    <m/>
    <m/>
    <m/>
    <d v="2019-04-29T00:00:00"/>
    <s v="SMLN-2019-617-000204_x000a_SMLN-2019-612-000044"/>
    <x v="83"/>
    <d v="2019-05-31T00:00:00"/>
    <d v="2019-07-22T00:00:00"/>
  </r>
  <r>
    <m/>
    <m/>
    <d v="2019-04-05T00:00:00"/>
    <s v="VZ2019-000362"/>
    <x v="6"/>
    <s v="Rosulek"/>
    <x v="154"/>
    <n v="2"/>
    <s v="Centrifuga pro Ústav imunologie"/>
    <m/>
    <s v="42931100-2"/>
    <s v="2.3.314."/>
    <n v="165500"/>
    <x v="2"/>
    <d v="2019-04-10T00:00:00"/>
    <d v="2019-04-18T00:00:00"/>
    <d v="2019-04-29T00:00:00"/>
    <s v="Schoeller Instruments s.r.o."/>
    <m/>
    <n v="148228"/>
    <n v="179355.88"/>
    <m/>
    <m/>
    <m/>
    <d v="2019-04-29T00:00:00"/>
    <s v="SMLN-2019-617-000205_x000a_SMLN-2019-612-000045"/>
    <x v="83"/>
    <d v="2019-05-31T00:00:00"/>
    <d v="2019-07-22T00:00:00"/>
  </r>
  <r>
    <m/>
    <m/>
    <d v="2019-04-05T00:00:00"/>
    <s v="VZ2019-000362"/>
    <x v="6"/>
    <s v="Rosulek"/>
    <x v="154"/>
    <n v="3"/>
    <s v="Centrifuga pro Neurologickou kliniku"/>
    <m/>
    <s v="42931100-2"/>
    <s v="2.3.366."/>
    <n v="182281"/>
    <x v="2"/>
    <d v="2019-04-10T00:00:00"/>
    <d v="2019-04-18T00:00:00"/>
    <d v="2019-04-29T00:00:00"/>
    <s v="Schoeller Instruments s.r.o."/>
    <m/>
    <n v="171578"/>
    <n v="207609.38"/>
    <m/>
    <m/>
    <m/>
    <d v="2019-04-29T00:00:00"/>
    <s v="SMLN-2019-617-000206_x000a_SMLN-2019-612-000046"/>
    <x v="83"/>
    <d v="2019-05-31T00:00:00"/>
    <d v="2019-07-22T00:00:00"/>
  </r>
  <r>
    <m/>
    <m/>
    <d v="2019-04-04T00:00:00"/>
    <s v="VZ-2019-000369"/>
    <x v="4"/>
    <s v="Srovnal"/>
    <x v="155"/>
    <m/>
    <m/>
    <m/>
    <s v="42513290-4"/>
    <s v="4.2.119."/>
    <n v="4130000"/>
    <x v="0"/>
    <d v="2019-04-17T00:00:00"/>
    <d v="2019-05-23T00:00:00"/>
    <m/>
    <s v="zrušeno"/>
    <s v="nová VZ-2019-000573"/>
    <m/>
    <m/>
    <m/>
    <m/>
    <m/>
    <m/>
    <m/>
    <x v="0"/>
    <d v="2019-05-24T00:00:00"/>
    <m/>
  </r>
  <r>
    <m/>
    <m/>
    <d v="2019-04-04T00:00:00"/>
    <s v="VZ-2019-000371"/>
    <x v="0"/>
    <s v="Dočkalová"/>
    <x v="156"/>
    <n v="1"/>
    <s v="Embolizační spirály odpoutatelné neurointervenční I."/>
    <m/>
    <s v="33140000-3"/>
    <m/>
    <n v="3746670"/>
    <x v="0"/>
    <d v="2019-04-16T00:00:00"/>
    <d v="2019-05-20T00:00:00"/>
    <m/>
    <s v="zrušeno - bez nabídky"/>
    <s v="nová VZ-2019-000952"/>
    <m/>
    <m/>
    <m/>
    <m/>
    <m/>
    <m/>
    <m/>
    <x v="0"/>
    <d v="2019-06-25T00:00:00"/>
    <s v="3.6.2019 zrušeno"/>
  </r>
  <r>
    <m/>
    <m/>
    <d v="2019-04-04T00:00:00"/>
    <s v="VZ-2019-000371"/>
    <x v="0"/>
    <s v="Dočkalová"/>
    <x v="156"/>
    <n v="2"/>
    <s v="Embolizační spirály odpoutatelné neurointervenční II."/>
    <m/>
    <s v="33140000-3"/>
    <m/>
    <n v="26970"/>
    <x v="0"/>
    <d v="2019-04-16T00:00:00"/>
    <d v="2019-05-20T00:00:00"/>
    <m/>
    <s v="zrušeno - úpravit zadání"/>
    <s v="nová VZ-2019-000952"/>
    <m/>
    <m/>
    <m/>
    <m/>
    <m/>
    <m/>
    <m/>
    <x v="0"/>
    <d v="2019-06-25T00:00:00"/>
    <s v="3.6.2019 zrušeno"/>
  </r>
  <r>
    <m/>
    <m/>
    <d v="2019-04-04T00:00:00"/>
    <s v="VZ-2019-000371"/>
    <x v="0"/>
    <s v="Dočkalová"/>
    <x v="156"/>
    <n v="3"/>
    <s v="Embolizační spirály odpoutatelné neurointervenční III."/>
    <m/>
    <s v="33140000-3"/>
    <m/>
    <n v="24120"/>
    <x v="0"/>
    <d v="2019-04-16T00:00:00"/>
    <d v="2019-05-20T00:00:00"/>
    <m/>
    <s v="zrušeno - úpravit zadání"/>
    <s v="nová VZ-2019-000952"/>
    <m/>
    <m/>
    <m/>
    <m/>
    <m/>
    <m/>
    <m/>
    <x v="0"/>
    <d v="2019-06-25T00:00:00"/>
    <s v="3.6.2019 zrušeno"/>
  </r>
  <r>
    <m/>
    <m/>
    <d v="2019-04-04T00:00:00"/>
    <s v="VZ-2019-000371"/>
    <x v="0"/>
    <s v="Dočkalová"/>
    <x v="156"/>
    <n v="4"/>
    <s v="Embolizační spirály vaskulární periferní"/>
    <m/>
    <s v="33140000-3"/>
    <m/>
    <n v="1081200"/>
    <x v="0"/>
    <d v="2019-04-16T00:00:00"/>
    <d v="2019-05-20T00:00:00"/>
    <d v="2019-06-11T00:00:00"/>
    <s v="ARID obchodní společnost s.r.o."/>
    <m/>
    <n v="1081200"/>
    <n v="1243380"/>
    <m/>
    <m/>
    <m/>
    <d v="2019-06-13T00:00:00"/>
    <s v="SMLN-2019-617-000278_x000a_SMLN-2019-614-000048"/>
    <x v="69"/>
    <d v="2019-09-02T00:00:00"/>
    <d v="2021-08-27T00:00:00"/>
  </r>
  <r>
    <m/>
    <m/>
    <d v="2019-04-04T00:00:00"/>
    <s v="VZ-2019-000372"/>
    <x v="0"/>
    <s v="Dočkalová"/>
    <x v="157"/>
    <m/>
    <m/>
    <m/>
    <s v="33140000-3"/>
    <m/>
    <n v="1750000"/>
    <x v="2"/>
    <d v="2019-04-12T00:00:00"/>
    <d v="2019-04-25T00:00:00"/>
    <m/>
    <s v="zrušeno - nesplnění podmínek"/>
    <s v="nová VZ-2019-000501"/>
    <m/>
    <m/>
    <m/>
    <m/>
    <m/>
    <m/>
    <m/>
    <x v="0"/>
    <d v="2019-05-03T00:00:00"/>
    <m/>
  </r>
  <r>
    <m/>
    <m/>
    <d v="2019-04-09T00:00:00"/>
    <s v="VZ-2019-000381"/>
    <x v="5"/>
    <s v="Ondráčková"/>
    <x v="158"/>
    <n v="1"/>
    <s v="Flukonazol"/>
    <s v="J02AC01"/>
    <s v="33651200-0"/>
    <m/>
    <n v="552312"/>
    <x v="0"/>
    <d v="2019-05-03T00:00:00"/>
    <d v="2019-06-17T00:00:00"/>
    <d v="2019-07-16T00:00:00"/>
    <s v="Fresenius Kabi s.r.o."/>
    <m/>
    <n v="548680"/>
    <n v="603548"/>
    <m/>
    <m/>
    <m/>
    <d v="2019-07-16T00:00:00"/>
    <s v="SMLN-2019-617-000318"/>
    <x v="73"/>
    <d v="2019-09-05T00:00:00"/>
    <d v="2019-09-03T00:00:00"/>
  </r>
  <r>
    <m/>
    <m/>
    <d v="2019-04-09T00:00:00"/>
    <s v="VZ-2019-000381"/>
    <x v="5"/>
    <s v="Ondráčková"/>
    <x v="158"/>
    <n v="2"/>
    <s v="Vorikonazol"/>
    <s v="J02AC03"/>
    <s v="33651200-0"/>
    <m/>
    <n v="1631658"/>
    <x v="0"/>
    <d v="2019-05-03T00:00:00"/>
    <d v="2019-06-17T00:00:00"/>
    <d v="2019-07-16T00:00:00"/>
    <s v="PHOENIX lék.velkoobchod, s.r.o."/>
    <m/>
    <n v="1335012.8999999999"/>
    <n v="1468514.19"/>
    <m/>
    <m/>
    <m/>
    <d v="2019-07-16T00:00:00"/>
    <s v="SMLN-2019-617-000319"/>
    <x v="73"/>
    <d v="2019-09-05T00:00:00"/>
    <d v="2021-09-03T00:00:00"/>
  </r>
  <r>
    <m/>
    <m/>
    <d v="2019-04-09T00:00:00"/>
    <s v="VZ-2019-000381"/>
    <x v="5"/>
    <s v="Ondráčková"/>
    <x v="158"/>
    <n v="3"/>
    <s v="Posakonazol"/>
    <s v="J02AC04"/>
    <s v="33651200-0"/>
    <m/>
    <n v="7487086"/>
    <x v="0"/>
    <d v="2019-05-03T00:00:00"/>
    <d v="2019-06-17T00:00:00"/>
    <d v="2019-10-11T00:00:00"/>
    <s v="MSD s.r.o."/>
    <m/>
    <n v="7487084.4800000004"/>
    <n v="8235792.9280000012"/>
    <m/>
    <m/>
    <m/>
    <d v="2019-10-11T00:00:00"/>
    <s v="SMLN-2019-617-000494"/>
    <x v="84"/>
    <d v="2019-12-05T00:00:00"/>
    <d v="2021-11-29T00:00:00"/>
  </r>
  <r>
    <m/>
    <m/>
    <d v="2019-04-09T00:00:00"/>
    <s v="VZ-2019-000382"/>
    <x v="5"/>
    <s v="Ondráčková"/>
    <x v="159"/>
    <n v="1"/>
    <s v="Tigecyklin"/>
    <s v="J01AA12"/>
    <s v="33651100-9"/>
    <m/>
    <n v="3344757"/>
    <x v="0"/>
    <d v="2019-05-03T00:00:00"/>
    <d v="2019-07-11T00:00:00"/>
    <d v="2019-09-10T00:00:00"/>
    <s v="PHOENIX lék.velkoobchod, s.r.o."/>
    <m/>
    <n v="2437091.4"/>
    <n v="2680800.54"/>
    <m/>
    <m/>
    <m/>
    <d v="2019-09-10T00:00:00"/>
    <s v="SMLN-2019-617-000406"/>
    <x v="85"/>
    <d v="2019-10-14T00:00:00"/>
    <d v="2021-10-06T00:00:00"/>
  </r>
  <r>
    <m/>
    <m/>
    <d v="2019-04-09T00:00:00"/>
    <s v="VZ-2019-000382"/>
    <x v="5"/>
    <s v="Ondráčková"/>
    <x v="159"/>
    <n v="2"/>
    <s v="Ampicilin a enzymový inhibitor"/>
    <s v="J01CR01"/>
    <s v="33651100-9"/>
    <m/>
    <n v="589950"/>
    <x v="0"/>
    <d v="2019-05-03T00:00:00"/>
    <d v="2019-07-11T00:00:00"/>
    <m/>
    <s v="pfizer,avel"/>
    <s v="DůVOD zrušeno - bez nabídky ; zrušeno - bez nabídky ; DALŠÍ POSTUP opakovat; ÚPRAVA ?sankce ; PŘEDPOKLAD 1.Q_20 ; POZN: výpadky"/>
    <m/>
    <m/>
    <m/>
    <m/>
    <m/>
    <m/>
    <m/>
    <x v="0"/>
    <d v="2019-08-19T00:00:00"/>
    <s v="6.8.2019 zrušeno"/>
  </r>
  <r>
    <m/>
    <m/>
    <d v="2019-04-09T00:00:00"/>
    <s v="VZ-2019-000382"/>
    <x v="5"/>
    <s v="Ondráčková"/>
    <x v="159"/>
    <n v="3"/>
    <s v="Amoxicilin a enzymový inhibitor"/>
    <s v="J01CR02"/>
    <s v="33651100-9"/>
    <m/>
    <n v="5323609"/>
    <x v="0"/>
    <d v="2019-05-03T00:00:00"/>
    <d v="2019-07-11T00:00:00"/>
    <d v="2019-09-10T00:00:00"/>
    <s v="Alliance Healthcare s.r.o."/>
    <m/>
    <n v="5236623.3"/>
    <n v="5760285.6299999999"/>
    <m/>
    <m/>
    <m/>
    <d v="2019-09-10T00:00:00"/>
    <s v="SMLN-2019-617-000407"/>
    <x v="85"/>
    <d v="2019-10-14T00:00:00"/>
    <d v="2021-10-06T00:00:00"/>
  </r>
  <r>
    <m/>
    <m/>
    <d v="2019-04-09T00:00:00"/>
    <s v="VZ-2019-000382"/>
    <x v="5"/>
    <s v="Ondráčková"/>
    <x v="159"/>
    <n v="4"/>
    <s v="Piperacilin a enzymový inhibitor"/>
    <s v="J01CR05"/>
    <s v="33651100-9"/>
    <m/>
    <n v="2695405"/>
    <x v="0"/>
    <d v="2019-05-03T00:00:00"/>
    <d v="2019-07-11T00:00:00"/>
    <m/>
    <s v="kabi a mylan"/>
    <s v="DůVOD zrušeno - bez nabídky ; zrušeno - bez nabídky ; DALŠÍ POSTUP opakovat; ÚPRAVA ?sankce ; PŘEDPOKLAD 1.Q_20 ; POZN: výpadky"/>
    <m/>
    <m/>
    <m/>
    <m/>
    <m/>
    <m/>
    <m/>
    <x v="0"/>
    <d v="2019-08-19T00:00:00"/>
    <s v="6.8.2019 zrušeno"/>
  </r>
  <r>
    <m/>
    <m/>
    <d v="2019-04-09T00:00:00"/>
    <s v="VZ-2019-000382"/>
    <x v="5"/>
    <s v="Ondráčková"/>
    <x v="159"/>
    <n v="5"/>
    <s v="Cefazolin"/>
    <s v="J01DB04"/>
    <s v="33651100-9"/>
    <m/>
    <n v="407146"/>
    <x v="0"/>
    <d v="2019-05-03T00:00:00"/>
    <d v="2019-07-11T00:00:00"/>
    <d v="2019-09-10T00:00:00"/>
    <s v="PHOENIX lék.velkoobchod, s.r.o."/>
    <m/>
    <n v="395329.6"/>
    <n v="434862.56"/>
    <m/>
    <m/>
    <m/>
    <d v="2019-09-10T00:00:00"/>
    <s v="SMLN-2019-617-000408"/>
    <x v="85"/>
    <d v="2019-10-14T00:00:00"/>
    <d v="2021-10-06T00:00:00"/>
  </r>
  <r>
    <m/>
    <m/>
    <d v="2019-04-09T00:00:00"/>
    <s v="VZ-2019-000382"/>
    <x v="5"/>
    <s v="Ondráčková"/>
    <x v="159"/>
    <n v="6"/>
    <s v="Cefuroxim "/>
    <s v="J01DC02"/>
    <s v="33651100-9"/>
    <m/>
    <n v="269261"/>
    <x v="0"/>
    <d v="2019-05-03T00:00:00"/>
    <d v="2019-07-11T00:00:00"/>
    <d v="2019-09-10T00:00:00"/>
    <s v="PHOENIX lék.velkoobchod, s.r.o."/>
    <m/>
    <n v="264811"/>
    <n v="291292.09999999998"/>
    <m/>
    <m/>
    <m/>
    <d v="2019-09-10T00:00:00"/>
    <s v="SMLN-2019-617-000409"/>
    <x v="85"/>
    <d v="2019-10-14T00:00:00"/>
    <d v="2021-10-06T00:00:00"/>
  </r>
  <r>
    <m/>
    <m/>
    <d v="2019-04-09T00:00:00"/>
    <s v="VZ-2019-000382"/>
    <x v="5"/>
    <s v="Ondráčková"/>
    <x v="159"/>
    <n v="7"/>
    <s v="Cefotaxim"/>
    <s v="J01DD01"/>
    <s v="33651100-9"/>
    <m/>
    <n v="417084"/>
    <x v="0"/>
    <d v="2019-05-03T00:00:00"/>
    <d v="2019-07-11T00:00:00"/>
    <d v="2019-09-10T00:00:00"/>
    <s v="PHOENIX lék.velkoobchod, s.r.o."/>
    <m/>
    <n v="298459.02"/>
    <n v="328304.92"/>
    <m/>
    <m/>
    <m/>
    <d v="2019-09-10T00:00:00"/>
    <s v="SMLN-2019-617-000410"/>
    <x v="85"/>
    <d v="2019-10-14T00:00:00"/>
    <d v="2021-10-06T00:00:00"/>
  </r>
  <r>
    <m/>
    <m/>
    <d v="2019-04-09T00:00:00"/>
    <s v="VZ-2019-000382"/>
    <x v="5"/>
    <s v="Ondráčková"/>
    <x v="159"/>
    <n v="8"/>
    <s v="Ceftazidim"/>
    <s v="J01DD02"/>
    <s v="33651100-9"/>
    <m/>
    <n v="388880"/>
    <x v="0"/>
    <d v="2019-05-03T00:00:00"/>
    <d v="2019-07-11T00:00:00"/>
    <m/>
    <s v="fresenius"/>
    <s v="DůVOD zrušeno - bez nabídky ; zrušeno - bez nabídky ; DALŠÍ POSTUP opakovat; ÚPRAVA ?sankce ; PŘEDPOKLAD 1.Q_20 ; POZN: výpadky"/>
    <m/>
    <m/>
    <m/>
    <m/>
    <m/>
    <m/>
    <m/>
    <x v="0"/>
    <d v="2019-08-19T00:00:00"/>
    <s v="6.8.2019 zrušeno"/>
  </r>
  <r>
    <m/>
    <m/>
    <d v="2019-04-09T00:00:00"/>
    <s v="VZ-2019-000382"/>
    <x v="5"/>
    <s v="Ondráčková"/>
    <x v="159"/>
    <n v="9"/>
    <s v="Ceftriaxon"/>
    <s v="J01DD04"/>
    <s v="33651100-9"/>
    <m/>
    <n v="105326"/>
    <x v="0"/>
    <d v="2019-05-03T00:00:00"/>
    <d v="2019-07-11T00:00:00"/>
    <d v="2019-09-10T00:00:00"/>
    <s v="PHOENIX lék.velkoobchod, s.r.o."/>
    <m/>
    <n v="81699.600000000006"/>
    <n v="89869.56"/>
    <m/>
    <m/>
    <m/>
    <d v="2019-09-10T00:00:00"/>
    <s v="SMLN-2019-617-000411"/>
    <x v="85"/>
    <d v="2019-10-14T00:00:00"/>
    <d v="2021-10-06T00:00:00"/>
  </r>
  <r>
    <m/>
    <m/>
    <d v="2019-04-09T00:00:00"/>
    <s v="VZ-2019-000383"/>
    <x v="5"/>
    <s v="Ondráčková"/>
    <x v="160"/>
    <n v="1"/>
    <s v="Meropenem"/>
    <s v="J01DH02"/>
    <s v="33651100-9"/>
    <m/>
    <n v="4306250"/>
    <x v="0"/>
    <d v="2019-05-03T00:00:00"/>
    <d v="2019-07-02T00:00:00"/>
    <d v="2019-08-22T00:00:00"/>
    <s v="Pharmos, a.s."/>
    <m/>
    <n v="3874189.2"/>
    <n v="4261608.12"/>
    <m/>
    <m/>
    <m/>
    <d v="2019-08-26T00:00:00"/>
    <s v="SMLN-2019-617-000371"/>
    <x v="82"/>
    <d v="2019-10-21T00:00:00"/>
    <d v="2021-10-13T00:00:00"/>
  </r>
  <r>
    <m/>
    <m/>
    <d v="2019-04-09T00:00:00"/>
    <s v="VZ-2019-000383"/>
    <x v="5"/>
    <s v="Ondráčková"/>
    <x v="160"/>
    <n v="2"/>
    <s v="Imipenem acilastatin"/>
    <s v="J01DH51"/>
    <s v="33651100-9"/>
    <m/>
    <n v="726125"/>
    <x v="0"/>
    <d v="2019-05-03T00:00:00"/>
    <d v="2019-07-02T00:00:00"/>
    <d v="2019-08-22T00:00:00"/>
    <s v="Fresenius Kabi s.r.o."/>
    <m/>
    <n v="715200"/>
    <n v="786720.00000000012"/>
    <m/>
    <m/>
    <m/>
    <d v="2019-08-26T00:00:00"/>
    <s v="SMLN-2019-617-000372"/>
    <x v="82"/>
    <d v="2019-10-21T00:00:00"/>
    <d v="2021-10-13T00:00:00"/>
  </r>
  <r>
    <m/>
    <m/>
    <d v="2019-04-09T00:00:00"/>
    <s v="VZ-2019-000383"/>
    <x v="5"/>
    <s v="Ondráčková"/>
    <x v="160"/>
    <n v="3"/>
    <s v="Klindamycin  fosfát"/>
    <s v="J01FF01"/>
    <s v="33651100-9"/>
    <m/>
    <n v="568258"/>
    <x v="0"/>
    <d v="2019-05-03T00:00:00"/>
    <d v="2019-07-02T00:00:00"/>
    <d v="2019-08-22T00:00:00"/>
    <s v="Fresenius Kabi s.r.o."/>
    <m/>
    <n v="567724"/>
    <n v="624496.4"/>
    <m/>
    <m/>
    <m/>
    <d v="2019-08-26T00:00:00"/>
    <s v="SMLN-2019-617-000373"/>
    <x v="82"/>
    <d v="2019-10-21T00:00:00"/>
    <d v="2021-10-13T00:00:00"/>
  </r>
  <r>
    <m/>
    <m/>
    <d v="2019-04-09T00:00:00"/>
    <s v="VZ-2019-000383"/>
    <x v="5"/>
    <s v="Ondráčková"/>
    <x v="160"/>
    <n v="4"/>
    <s v="Amikacin"/>
    <s v="J01GB06"/>
    <s v="33651100-9"/>
    <m/>
    <n v="134930"/>
    <x v="0"/>
    <d v="2019-05-03T00:00:00"/>
    <d v="2019-07-02T00:00:00"/>
    <m/>
    <s v="MEDOPHARM a Bbraun"/>
    <s v="DůVOD zrušeno - bez nabídky ; zrušeno - bez nabídky ; DALŠÍ POSTUP opakovat; ÚPRAVA ?sankce ; PŘEDPOKLAD 1.Q_20 ; POZN: výpadky"/>
    <m/>
    <m/>
    <m/>
    <m/>
    <m/>
    <m/>
    <m/>
    <x v="0"/>
    <d v="2019-09-06T00:00:00"/>
    <s v="15.8. zrušeno"/>
  </r>
  <r>
    <m/>
    <m/>
    <d v="2019-04-09T00:00:00"/>
    <s v="VZ-2019-000383"/>
    <x v="5"/>
    <s v="Ondráčková"/>
    <x v="160"/>
    <n v="5"/>
    <s v="Amikacin"/>
    <s v="J01GB06"/>
    <s v="33651100-9"/>
    <m/>
    <n v="677891"/>
    <x v="0"/>
    <d v="2019-05-03T00:00:00"/>
    <d v="2019-07-02T00:00:00"/>
    <d v="2019-08-22T00:00:00"/>
    <s v="PHOENIX lék.velkoobchod, s.r.o."/>
    <m/>
    <n v="657227.19999999995"/>
    <n v="722949.92"/>
    <m/>
    <m/>
    <m/>
    <d v="2019-08-26T00:00:00"/>
    <s v="SMLN-2019-617-000374"/>
    <x v="82"/>
    <d v="2019-10-21T00:00:00"/>
    <d v="2021-10-13T00:00:00"/>
  </r>
  <r>
    <m/>
    <m/>
    <d v="2019-04-09T00:00:00"/>
    <s v="VZ-2019-000383"/>
    <x v="5"/>
    <s v="Ondráčková"/>
    <x v="160"/>
    <n v="6"/>
    <s v="Ciprofloxacin"/>
    <s v="J01MA02"/>
    <s v="33651100-9"/>
    <m/>
    <n v="461853"/>
    <x v="0"/>
    <d v="2019-05-03T00:00:00"/>
    <d v="2019-07-02T00:00:00"/>
    <m/>
    <s v="fresenius"/>
    <s v="DůVOD zrušeno - překročení ceny ; zrušeno - překročení ceny ; DALŠÍ POSTUP opakovat; ÚPRAVA ?sankce ; PŘEDPOKLAD 1.Q_20 ; POZN: výpadky"/>
    <m/>
    <m/>
    <m/>
    <m/>
    <m/>
    <m/>
    <m/>
    <x v="0"/>
    <d v="2019-09-06T00:00:00"/>
    <s v="15.8. zrušeno"/>
  </r>
  <r>
    <m/>
    <m/>
    <d v="2019-04-09T00:00:00"/>
    <s v="VZ-2019-000383"/>
    <x v="5"/>
    <s v="Ondráčková"/>
    <x v="160"/>
    <n v="7"/>
    <s v="Moxifloxacin"/>
    <s v="J01MA14"/>
    <s v="33651100-9"/>
    <m/>
    <n v="381640"/>
    <x v="0"/>
    <d v="2019-05-03T00:00:00"/>
    <d v="2019-07-02T00:00:00"/>
    <d v="2019-08-22T00:00:00"/>
    <s v="Pharmos, a.s."/>
    <m/>
    <n v="229138.28"/>
    <n v="252052.10800000001"/>
    <m/>
    <m/>
    <m/>
    <d v="2019-08-26T00:00:00"/>
    <s v="SMLN-2019-617-000375"/>
    <x v="82"/>
    <d v="2019-10-21T00:00:00"/>
    <d v="2021-10-13T00:00:00"/>
  </r>
  <r>
    <m/>
    <m/>
    <d v="2019-04-09T00:00:00"/>
    <s v="VZ-2019-000383"/>
    <x v="5"/>
    <s v="Ondráčková"/>
    <x v="160"/>
    <n v="8"/>
    <s v="Vankomycin"/>
    <s v="J01XA01"/>
    <s v="33651100-9"/>
    <m/>
    <n v="447223"/>
    <x v="0"/>
    <d v="2019-05-03T00:00:00"/>
    <d v="2019-07-02T00:00:00"/>
    <d v="2019-08-22T00:00:00"/>
    <s v="PHOENIX lék.velkoobchod, s.r.o."/>
    <m/>
    <n v="447222.64"/>
    <n v="491944.90400000004"/>
    <m/>
    <m/>
    <m/>
    <d v="2019-08-26T00:00:00"/>
    <s v="SMLN-2019-617-000376"/>
    <x v="82"/>
    <d v="2019-10-21T00:00:00"/>
    <d v="2021-10-13T00:00:00"/>
  </r>
  <r>
    <m/>
    <m/>
    <d v="2019-04-09T00:00:00"/>
    <s v="VZ-2019-000383"/>
    <x v="5"/>
    <s v="Ondráčková"/>
    <x v="160"/>
    <n v="9"/>
    <s v="Metronidazol"/>
    <s v="J01XD01"/>
    <s v="33651100-9"/>
    <m/>
    <n v="656810"/>
    <x v="0"/>
    <d v="2019-05-03T00:00:00"/>
    <d v="2019-07-02T00:00:00"/>
    <d v="2019-08-22T00:00:00"/>
    <s v="Pharmos, a.s."/>
    <m/>
    <n v="652999.72"/>
    <n v="718299.69200000004"/>
    <m/>
    <m/>
    <m/>
    <d v="2019-08-26T00:00:00"/>
    <s v="SMLN-2019-617-000377"/>
    <x v="82"/>
    <d v="2019-10-21T00:00:00"/>
    <d v="2021-10-13T00:00:00"/>
  </r>
  <r>
    <m/>
    <m/>
    <d v="2019-04-09T00:00:00"/>
    <s v="VZ-2019-000384"/>
    <x v="5"/>
    <s v="Ondráčková"/>
    <x v="161"/>
    <n v="1"/>
    <s v="Tobramycin"/>
    <s v="J01GB01"/>
    <s v="33651100-9"/>
    <m/>
    <n v="2023668"/>
    <x v="0"/>
    <d v="2019-05-06T00:00:00"/>
    <d v="2019-07-12T00:00:00"/>
    <m/>
    <s v="novartis-AH,Phoenix, Chiesi CZ s.r.o."/>
    <s v="DůVOD zrušeno - bez nabídky ; zrušeno - bez nabídky ; DALŠÍ POSTUP opakovat; ÚPRAVA ?sankce ; PŘEDPOKLAD 1.Q_20 ; POZN: cystická fibr"/>
    <m/>
    <m/>
    <m/>
    <m/>
    <m/>
    <m/>
    <m/>
    <x v="0"/>
    <d v="2019-09-18T00:00:00"/>
    <s v="27.8. zrušeno"/>
  </r>
  <r>
    <m/>
    <m/>
    <d v="2019-04-09T00:00:00"/>
    <s v="VZ-2019-000384"/>
    <x v="5"/>
    <s v="Ondráčková"/>
    <x v="161"/>
    <n v="2"/>
    <s v="Gentamicin  I."/>
    <s v="J01GB03"/>
    <s v="33651100-9"/>
    <m/>
    <n v="566785"/>
    <x v="0"/>
    <d v="2019-05-06T00:00:00"/>
    <d v="2019-07-12T00:00:00"/>
    <d v="2019-11-12T00:00:00"/>
    <s v="Alliance Healthcare s.r.o."/>
    <m/>
    <n v="565770.1"/>
    <n v="622347.11"/>
    <m/>
    <m/>
    <m/>
    <d v="2019-11-12T00:00:00"/>
    <s v="SMLN-2019-617-000562"/>
    <x v="0"/>
    <m/>
    <m/>
  </r>
  <r>
    <m/>
    <m/>
    <d v="2019-04-09T00:00:00"/>
    <s v="VZ-2019-000384"/>
    <x v="5"/>
    <s v="Ondráčková"/>
    <x v="161"/>
    <n v="3"/>
    <s v="Gentamicin  II."/>
    <s v="J01GB03"/>
    <s v="33651100-9"/>
    <m/>
    <n v="365638"/>
    <x v="0"/>
    <d v="2019-05-06T00:00:00"/>
    <d v="2019-07-12T00:00:00"/>
    <m/>
    <s v="Bbraun a sandoz"/>
    <s v="DůVOD zrušeno - nespnění podmínek ; zrušeno - nesplnění podmínek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x v="5"/>
    <s v="Ondráčková"/>
    <x v="161"/>
    <n v="4"/>
    <s v="Gentamicin  III."/>
    <s v="J01GB03"/>
    <s v="33651100-9"/>
    <m/>
    <n v="40144"/>
    <x v="0"/>
    <d v="2019-05-06T00:00:00"/>
    <d v="2019-07-12T00:00:00"/>
    <m/>
    <s v="zrušeno - 3 shodné nabídky, z nichž jedna je obchodním tajemstvím, nelze vyhodnotit."/>
    <m/>
    <m/>
    <m/>
    <m/>
    <m/>
    <m/>
    <m/>
    <m/>
    <x v="0"/>
    <d v="2019-11-26T00:00:00"/>
    <s v="30.10. zrušeno"/>
  </r>
  <r>
    <m/>
    <m/>
    <d v="2019-04-09T00:00:00"/>
    <s v="VZ-2019-000384"/>
    <x v="5"/>
    <s v="Ondráčková"/>
    <x v="161"/>
    <n v="5"/>
    <s v="Ofloxacin"/>
    <s v="J01MA01"/>
    <s v="33651100-9"/>
    <m/>
    <n v="173910"/>
    <x v="0"/>
    <d v="2019-05-06T00:00:00"/>
    <d v="2019-07-12T00:00:00"/>
    <m/>
    <s v="zentiva, avel"/>
    <s v="DůVOD zrušeno - bez nabídky ; zrušeno - bez nabídky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x v="5"/>
    <s v="Ondráčková"/>
    <x v="161"/>
    <n v="6"/>
    <s v="Teikoplanin"/>
    <s v="J01XA02"/>
    <s v="33651100-9"/>
    <m/>
    <n v="228086"/>
    <x v="0"/>
    <d v="2019-05-06T00:00:00"/>
    <d v="2019-07-12T00:00:00"/>
    <m/>
    <s v="sanofi"/>
    <s v="DůVOD zrušeno - bez nabídky ; zrušeno - bez nabídky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x v="5"/>
    <s v="Ondráčková"/>
    <x v="161"/>
    <n v="7"/>
    <s v="Kolistin"/>
    <s v="J01XB01"/>
    <s v="33651100-9"/>
    <m/>
    <n v="796625"/>
    <x v="0"/>
    <d v="2019-05-06T00:00:00"/>
    <d v="2019-07-12T00:00:00"/>
    <m/>
    <s v="teva-phoenix,pharmos"/>
    <s v="DůVOD zrušeno - bez nabídky ; zrušeno - bez nabídky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x v="5"/>
    <s v="Ondráčková"/>
    <x v="161"/>
    <n v="8"/>
    <s v="Linezolid"/>
    <s v="J01XX08"/>
    <s v="33651100-9"/>
    <m/>
    <n v="230996"/>
    <x v="0"/>
    <d v="2019-05-06T00:00:00"/>
    <d v="2019-07-12T00:00:00"/>
    <d v="2019-11-12T00:00:00"/>
    <s v="Fresenius Kabi s.r.o."/>
    <m/>
    <n v="229270"/>
    <n v="252197"/>
    <m/>
    <m/>
    <m/>
    <d v="2019-11-12T00:00:00"/>
    <s v="SMLN-2019-617-000563"/>
    <x v="0"/>
    <m/>
    <m/>
  </r>
  <r>
    <m/>
    <m/>
    <d v="2019-04-09T00:00:00"/>
    <s v="VZ-2019-000384"/>
    <x v="5"/>
    <s v="Ondráčková"/>
    <x v="161"/>
    <n v="9"/>
    <s v="Sulfamethoxazol a trimethoprim"/>
    <s v="J01EE01"/>
    <s v="33651100-9"/>
    <m/>
    <n v="1057697"/>
    <x v="0"/>
    <d v="2019-05-06T00:00:00"/>
    <d v="2019-07-12T00:00:00"/>
    <d v="2019-11-12T00:00:00"/>
    <s v="PHOENIX lék.velkoobchod, s.r.o."/>
    <m/>
    <n v="1057608"/>
    <n v="1163368"/>
    <m/>
    <m/>
    <m/>
    <d v="2019-11-12T00:00:00"/>
    <s v="SMLN-2019-617-000564"/>
    <x v="0"/>
    <m/>
    <m/>
  </r>
  <r>
    <m/>
    <m/>
    <d v="2019-04-09T00:00:00"/>
    <s v="VZ-2019-000384"/>
    <x v="5"/>
    <s v="Ondráčková"/>
    <x v="161"/>
    <n v="10"/>
    <s v="Klarithromycin"/>
    <s v="J01FA09"/>
    <s v="33651100-9"/>
    <m/>
    <n v="1855269"/>
    <x v="0"/>
    <d v="2019-05-06T00:00:00"/>
    <d v="2019-07-12T00:00:00"/>
    <d v="2019-11-12T00:00:00"/>
    <s v="Pharmos, a.s."/>
    <m/>
    <n v="1833340.74"/>
    <n v="2016674.81"/>
    <m/>
    <m/>
    <m/>
    <d v="2019-11-12T00:00:00"/>
    <s v="SMLN-2019-617-000565"/>
    <x v="0"/>
    <m/>
    <m/>
  </r>
  <r>
    <m/>
    <m/>
    <d v="2019-04-09T00:00:00"/>
    <s v="VZ-2019-000384"/>
    <x v="5"/>
    <s v="Ondráčková"/>
    <x v="161"/>
    <n v="11"/>
    <s v="Ceftazidim a sodná sůl avibactamu"/>
    <s v="J01DD52"/>
    <s v="33651100-9"/>
    <m/>
    <n v="151853"/>
    <x v="0"/>
    <d v="2019-05-06T00:00:00"/>
    <d v="2019-07-12T00:00:00"/>
    <d v="2019-11-12T00:00:00"/>
    <s v="PHOENIX lék.velkoobchod, s.r.o."/>
    <m/>
    <n v="150348.79999999999"/>
    <n v="165383.67999999999"/>
    <m/>
    <m/>
    <m/>
    <d v="2019-11-12T00:00:00"/>
    <s v="SMLN-2019-617-000566"/>
    <x v="0"/>
    <m/>
    <m/>
  </r>
  <r>
    <m/>
    <m/>
    <d v="2019-04-09T00:00:00"/>
    <s v="VZ-2019-000384"/>
    <x v="5"/>
    <s v="Ondráčková"/>
    <x v="161"/>
    <n v="12"/>
    <s v="Cefepim"/>
    <s v="J01DE01"/>
    <s v="33651100-9"/>
    <m/>
    <n v="430818"/>
    <x v="0"/>
    <d v="2019-05-06T00:00:00"/>
    <d v="2019-07-12T00:00:00"/>
    <d v="2019-11-12T00:00:00"/>
    <s v="Pharmos, a.s."/>
    <m/>
    <n v="258834.2"/>
    <n v="284717.62"/>
    <m/>
    <m/>
    <m/>
    <d v="2019-11-12T00:00:00"/>
    <s v="SMLN-2019-617-000567"/>
    <x v="0"/>
    <m/>
    <m/>
  </r>
  <r>
    <m/>
    <m/>
    <d v="2019-04-09T00:00:00"/>
    <s v="VZ-2019-000384"/>
    <x v="5"/>
    <s v="Ondráčková"/>
    <x v="161"/>
    <n v="13"/>
    <s v="Tazobaktam a ceftolozan-sulfát"/>
    <s v="J01DI54"/>
    <s v="33651100-9"/>
    <m/>
    <n v="959749"/>
    <x v="0"/>
    <d v="2019-05-06T00:00:00"/>
    <d v="2019-07-12T00:00:00"/>
    <d v="2019-11-12T00:00:00"/>
    <s v="MSD s.r.o."/>
    <m/>
    <n v="942993.6"/>
    <n v="1037292.96"/>
    <m/>
    <m/>
    <m/>
    <d v="2019-11-12T00:00:00"/>
    <s v="SMLN-2019-617-000568"/>
    <x v="0"/>
    <m/>
    <m/>
  </r>
  <r>
    <m/>
    <m/>
    <d v="2019-04-09T00:00:00"/>
    <s v="VZ-2019-000384"/>
    <x v="5"/>
    <s v="Ondráčková"/>
    <x v="161"/>
    <n v="14"/>
    <s v="Ampicilin"/>
    <s v="J01CA01"/>
    <s v="33651100-9"/>
    <m/>
    <n v="314216"/>
    <x v="0"/>
    <d v="2019-05-06T00:00:00"/>
    <d v="2019-07-12T00:00:00"/>
    <m/>
    <s v="biotika-avel"/>
    <s v="DůVOD zrušeno - bez nabídky ; zrušeno - bez nabídky ; DALŠÍ POSTUP opakovat; ÚPRAVA ?sankce ; PŘEDPOKLAD 1.Q_20 ; POZN: výpadky"/>
    <m/>
    <m/>
    <m/>
    <m/>
    <m/>
    <m/>
    <m/>
    <x v="0"/>
    <d v="2019-09-18T00:00:00"/>
    <s v="27.8. zrušeno"/>
  </r>
  <r>
    <m/>
    <m/>
    <d v="2019-04-09T00:00:00"/>
    <s v="VZ-2019-000384"/>
    <x v="5"/>
    <s v="Ondráčková"/>
    <x v="161"/>
    <n v="15"/>
    <s v="Benzylpenicilin"/>
    <s v="J01CE01"/>
    <s v="33651100-9"/>
    <m/>
    <n v="164810"/>
    <x v="0"/>
    <d v="2019-05-06T00:00:00"/>
    <d v="2019-07-12T00:00:00"/>
    <d v="2019-11-12T00:00:00"/>
    <s v="Alliance Healthcare s.r.o."/>
    <m/>
    <n v="144007.4"/>
    <n v="158408.14000000001"/>
    <m/>
    <m/>
    <m/>
    <d v="2019-11-12T00:00:00"/>
    <s v="SMLN-2019-617-000569"/>
    <x v="0"/>
    <m/>
    <m/>
  </r>
  <r>
    <m/>
    <m/>
    <d v="2019-04-12T00:00:00"/>
    <s v="VZ-2019-000387"/>
    <x v="6"/>
    <s v="Rosulek"/>
    <x v="162"/>
    <m/>
    <m/>
    <m/>
    <s v="33122000-1"/>
    <s v="2.3.397."/>
    <n v="528926"/>
    <x v="2"/>
    <d v="2019-04-18T00:00:00"/>
    <d v="2019-04-30T00:00:00"/>
    <d v="2019-08-12T00:00:00"/>
    <s v="Askin  &amp; Co. s.r.o."/>
    <m/>
    <n v="438160"/>
    <n v="530173.6"/>
    <m/>
    <m/>
    <m/>
    <d v="2019-08-16T00:00:00"/>
    <s v="SMLN-2019-617-000354_x000a_SMLN-2019-612-000085"/>
    <x v="86"/>
    <d v="2019-10-01T00:00:00"/>
    <d v="2019-10-04T00:00:00"/>
  </r>
  <r>
    <m/>
    <m/>
    <d v="2019-04-12T00:00:00"/>
    <s v="VZ-2019-000392"/>
    <x v="0"/>
    <s v="Dočkalová"/>
    <x v="163"/>
    <n v="1"/>
    <s v="Stentgrafty aortální hrudní - proximální část I."/>
    <m/>
    <s v="33140000-3 "/>
    <m/>
    <n v="612000"/>
    <x v="0"/>
    <d v="2019-04-23T00:00:00"/>
    <d v="2019-05-24T00:00:00"/>
    <d v="2019-09-19T00:00:00"/>
    <s v="ARID obchodní společnost s.r.o."/>
    <m/>
    <n v="512000"/>
    <n v="588800"/>
    <m/>
    <m/>
    <m/>
    <d v="2019-09-19T00:00:00"/>
    <s v="SMLN-2019-617-000435_x000a_SMLN-2019-614-000081"/>
    <x v="82"/>
    <d v="2019-10-23T00:00:00"/>
    <d v="2021-10-13T00:00:00"/>
  </r>
  <r>
    <m/>
    <m/>
    <d v="2019-04-12T00:00:00"/>
    <s v="VZ-2019-000392"/>
    <x v="0"/>
    <s v="Dočkalová"/>
    <x v="163"/>
    <n v="2"/>
    <s v="Stentgrafty aortální hrudní -  distální část I."/>
    <m/>
    <s v="33140000-3 "/>
    <m/>
    <n v="229520"/>
    <x v="0"/>
    <d v="2019-04-23T00:00:00"/>
    <d v="2019-05-24T00:00:00"/>
    <d v="2019-09-19T00:00:00"/>
    <s v="ARID obchodní společnost s.r.o."/>
    <m/>
    <n v="229515"/>
    <n v="263942.25"/>
    <m/>
    <m/>
    <m/>
    <d v="2019-09-19T00:00:00"/>
    <s v="SMLN-2019-617-000436_x000a_SMLN-2019-614-000082"/>
    <x v="82"/>
    <d v="2019-10-23T00:00:00"/>
    <d v="2021-10-13T00:00:00"/>
  </r>
  <r>
    <m/>
    <m/>
    <d v="2019-04-12T00:00:00"/>
    <s v="VZ-2019-000392"/>
    <x v="0"/>
    <s v="Dočkalová"/>
    <x v="163"/>
    <n v="3"/>
    <s v="Stentgrafty aortální hrudní - distální extenze"/>
    <m/>
    <s v="33140000-3 "/>
    <m/>
    <n v="229520"/>
    <x v="0"/>
    <d v="2019-04-23T00:00:00"/>
    <d v="2019-05-24T00:00:00"/>
    <d v="2019-09-19T00:00:00"/>
    <s v="ARID obchodní společnost s.r.o."/>
    <m/>
    <n v="229515"/>
    <n v="263942.25"/>
    <m/>
    <m/>
    <m/>
    <d v="2019-09-19T00:00:00"/>
    <s v="SMLN-2019-617-000437_x000a_SMLN-2019-614-000083"/>
    <x v="82"/>
    <d v="2019-10-23T00:00:00"/>
    <d v="2021-10-13T00:00:00"/>
  </r>
  <r>
    <m/>
    <m/>
    <d v="2019-04-12T00:00:00"/>
    <s v="VZ-2019-000392"/>
    <x v="0"/>
    <s v="Dočkalová"/>
    <x v="163"/>
    <n v="4"/>
    <s v="Stentgrafty aortální pro reparaci disekcí sestupné části hrudní aorty "/>
    <m/>
    <s v="33140000-3 "/>
    <m/>
    <n v="279480"/>
    <x v="0"/>
    <d v="2019-04-23T00:00:00"/>
    <d v="2019-05-24T00:00:00"/>
    <d v="2019-09-19T00:00:00"/>
    <s v="ARID obchodní společnost s.r.o."/>
    <m/>
    <n v="258000"/>
    <n v="296700"/>
    <m/>
    <m/>
    <m/>
    <d v="2019-09-19T00:00:00"/>
    <s v="SMLN-2019-617-000438_x000a_SMLN-2019-614-000084"/>
    <x v="82"/>
    <d v="2019-10-23T00:00:00"/>
    <d v="2021-10-13T00:00:00"/>
  </r>
  <r>
    <m/>
    <m/>
    <d v="2019-04-12T00:00:00"/>
    <s v="VZ-2019-000392"/>
    <x v="0"/>
    <s v="Dočkalová"/>
    <x v="163"/>
    <n v="5"/>
    <s v="Stentgrafty aortální hrudní - proximální část II."/>
    <m/>
    <s v="33140000-3 "/>
    <m/>
    <n v="137729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2T00:00:00"/>
    <s v="VZ-2019-000392"/>
    <x v="0"/>
    <s v="Dočkalová"/>
    <x v="163"/>
    <n v="6"/>
    <s v="Stentgrafty aortální hrudní - distální část II."/>
    <m/>
    <s v="33140000-3 "/>
    <m/>
    <n v="289900"/>
    <x v="0"/>
    <d v="2019-04-23T00:00:00"/>
    <d v="2019-05-24T00:00:00"/>
    <d v="2019-09-19T00:00:00"/>
    <s v="ARID obchodní společnost s.r.o."/>
    <m/>
    <n v="289896"/>
    <n v="333380.40000000002"/>
    <m/>
    <m/>
    <m/>
    <d v="2019-09-19T00:00:00"/>
    <s v="SMLN-2019-617-000439_x000a_SMLN-2019-614-000085"/>
    <x v="82"/>
    <d v="2019-10-23T00:00:00"/>
    <d v="2021-10-13T00:00:00"/>
  </r>
  <r>
    <m/>
    <m/>
    <d v="2019-04-12T00:00:00"/>
    <s v="VZ-2019-000392"/>
    <x v="0"/>
    <s v="Dočkalová"/>
    <x v="163"/>
    <n v="7"/>
    <s v="Stenty tubulární komponentní pro modelování pravého lumen aorty při disekci aorty"/>
    <m/>
    <s v="33140000-3 "/>
    <m/>
    <n v="56650"/>
    <x v="0"/>
    <d v="2019-04-23T00:00:00"/>
    <d v="2019-05-24T00:00:00"/>
    <d v="2019-09-19T00:00:00"/>
    <s v="ARID obchodní společnost s.r.o."/>
    <m/>
    <n v="56650"/>
    <n v="65147.5"/>
    <m/>
    <m/>
    <m/>
    <d v="2019-09-19T00:00:00"/>
    <s v="SMLN-2019-617-000440_x000a_SMLN-2019-614-000086"/>
    <x v="82"/>
    <d v="2019-10-23T00:00:00"/>
    <d v="2021-10-13T00:00:00"/>
  </r>
  <r>
    <m/>
    <m/>
    <d v="2019-04-12T00:00:00"/>
    <s v="VZ-2019-000392"/>
    <x v="0"/>
    <s v="Dočkalová"/>
    <x v="163"/>
    <n v="8"/>
    <s v="Stentgrafty aortální bifurkační břišní I."/>
    <m/>
    <s v="33140000-3 "/>
    <m/>
    <n v="225009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2T00:00:00"/>
    <s v="VZ-2019-000392"/>
    <x v="0"/>
    <s v="Dočkalová"/>
    <x v="163"/>
    <n v="9"/>
    <s v="Stentgrafty tubulární do kompletu k tělu bifurkačního břišního aortálního stentgraftu, extenzní pro pravou a levou nožičku"/>
    <m/>
    <s v="33140000-3 "/>
    <m/>
    <n v="558825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2T00:00:00"/>
    <s v="VZ-2019-000392"/>
    <x v="0"/>
    <s v="Dočkalová"/>
    <x v="163"/>
    <n v="10"/>
    <s v="Stentgrafty aortální bifurkační břišní II."/>
    <m/>
    <s v="33140000-3 "/>
    <m/>
    <n v="32000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2T00:00:00"/>
    <s v="VZ-2019-000392"/>
    <x v="0"/>
    <s v="Dočkalová"/>
    <x v="163"/>
    <n v="11"/>
    <s v="Stentgrafty aortální tubulární břišní k prodloužení těla bifurkačního stentgraftu - proximální extenze"/>
    <m/>
    <s v="33140000-3 "/>
    <m/>
    <n v="234300"/>
    <x v="0"/>
    <d v="2019-04-23T00:00:00"/>
    <d v="2019-05-24T00:00:00"/>
    <d v="2019-09-19T00:00:00"/>
    <s v="ARID obchodní společnost s.r.o."/>
    <m/>
    <n v="234300"/>
    <n v="269445"/>
    <m/>
    <m/>
    <m/>
    <d v="2019-09-19T00:00:00"/>
    <s v="SMLN-2019-617-000441_x000a_SMLN-2019-614-000087"/>
    <x v="82"/>
    <d v="2019-10-23T00:00:00"/>
    <d v="2021-10-13T00:00:00"/>
  </r>
  <r>
    <m/>
    <m/>
    <d v="2019-04-12T00:00:00"/>
    <s v="VZ-2019-000392"/>
    <x v="0"/>
    <s v="Dočkalová"/>
    <x v="163"/>
    <n v="12"/>
    <s v="Stentgrafty aortální vaskulární aortouniiliakální"/>
    <m/>
    <s v="33140000-3 "/>
    <m/>
    <n v="93720"/>
    <x v="0"/>
    <d v="2019-04-23T00:00:00"/>
    <d v="2019-05-24T00:00:00"/>
    <d v="2019-09-19T00:00:00"/>
    <s v="ARID obchodní společnost s.r.o."/>
    <m/>
    <n v="93720"/>
    <n v="107778"/>
    <m/>
    <m/>
    <m/>
    <d v="2019-09-19T00:00:00"/>
    <s v="SMLN-2019-617-000442_x000a_SMLN-2019-614-000088"/>
    <x v="82"/>
    <d v="2019-10-23T00:00:00"/>
    <d v="2021-10-13T00:00:00"/>
  </r>
  <r>
    <m/>
    <m/>
    <d v="2019-04-12T00:00:00"/>
    <s v="VZ-2019-000392"/>
    <x v="0"/>
    <s v="Dočkalová"/>
    <x v="163"/>
    <n v="13"/>
    <s v="Stentgrafty vaskulární větvené pro vnitřní ilickou tepnu"/>
    <m/>
    <s v="33140000-3 "/>
    <m/>
    <n v="737460"/>
    <x v="0"/>
    <d v="2019-04-23T00:00:00"/>
    <d v="2019-05-24T00:00:00"/>
    <d v="2019-09-19T00:00:00"/>
    <s v="ARID obchodní společnost s.r.o."/>
    <m/>
    <n v="737440"/>
    <n v="848056"/>
    <m/>
    <m/>
    <m/>
    <d v="2019-09-19T00:00:00"/>
    <s v="SMLN-2019-617-000443_x000a_SMLN-2019-614-000089"/>
    <x v="82"/>
    <d v="2019-10-23T00:00:00"/>
    <d v="2021-10-13T00:00:00"/>
  </r>
  <r>
    <m/>
    <m/>
    <d v="2019-04-12T00:00:00"/>
    <s v="VZ-2019-000392"/>
    <x v="0"/>
    <s v="Dočkalová"/>
    <x v="163"/>
    <n v="14"/>
    <s v="Stentgrafty vaskulární arotální fenestrované pro endovaskulární reparace juxtarenálních břišních výdutí"/>
    <m/>
    <s v="33140000-3 "/>
    <m/>
    <n v="3572060"/>
    <x v="0"/>
    <d v="2019-04-23T00:00:00"/>
    <d v="2019-05-24T00:00:00"/>
    <d v="2019-09-19T00:00:00"/>
    <s v="ARID obchodní společnost s.r.o."/>
    <m/>
    <n v="3532279.2"/>
    <n v="4062121.08"/>
    <m/>
    <m/>
    <m/>
    <d v="2019-09-19T00:00:00"/>
    <s v="SMLN-2019-617-000444_x000a_SMLN-2019-614-000090"/>
    <x v="82"/>
    <d v="2019-10-23T00:00:00"/>
    <d v="2021-10-13T00:00:00"/>
  </r>
  <r>
    <m/>
    <m/>
    <d v="2019-04-12T00:00:00"/>
    <s v="VZ-2019-000392"/>
    <x v="0"/>
    <s v="Dočkalová"/>
    <x v="163"/>
    <n v="15"/>
    <s v="Stentgrafty vaskulární aortální thorako-abdominální pro endovaskulární reparaci thorako-abdominálního aneuryzmatu"/>
    <m/>
    <s v="33140000-3 "/>
    <m/>
    <n v="1367420"/>
    <x v="0"/>
    <d v="2019-04-23T00:00:00"/>
    <d v="2019-05-24T00:00:00"/>
    <m/>
    <s v="zrušeno - bez nabídky"/>
    <m/>
    <m/>
    <m/>
    <m/>
    <m/>
    <m/>
    <m/>
    <m/>
    <x v="0"/>
    <d v="2019-06-26T00:00:00"/>
    <s v="31.5.2019 zrušeno"/>
  </r>
  <r>
    <m/>
    <m/>
    <d v="2019-04-10T00:00:00"/>
    <s v="VZ-2019-000393"/>
    <x v="10"/>
    <s v="Vaida"/>
    <x v="164"/>
    <m/>
    <m/>
    <m/>
    <s v="45453000-7"/>
    <m/>
    <n v="910000"/>
    <x v="2"/>
    <d v="2019-04-25T00:00:00"/>
    <d v="2019-05-07T00:00:00"/>
    <d v="2019-05-20T00:00:00"/>
    <s v="OHL ŽS, a.s."/>
    <m/>
    <n v="1483436.96"/>
    <n v="1794958.7215999998"/>
    <m/>
    <m/>
    <m/>
    <d v="2019-05-20T00:00:00"/>
    <s v="SMLN-2019-618-000036"/>
    <x v="87"/>
    <d v="2019-06-17T00:00:00"/>
    <d v="2019-09-10T00:00:00"/>
  </r>
  <r>
    <m/>
    <m/>
    <s v="opakovaná VZ"/>
    <s v="VZ-2019-000395"/>
    <x v="11"/>
    <s v="Zemánek"/>
    <x v="165"/>
    <m/>
    <m/>
    <m/>
    <s v="50421000-2"/>
    <m/>
    <n v="1600000"/>
    <x v="2"/>
    <d v="2019-04-18T00:00:00"/>
    <d v="2019-04-25T00:00:00"/>
    <m/>
    <s v="zrušeno - bez nabídky"/>
    <s v="nová VZ-2019-000485"/>
    <m/>
    <m/>
    <m/>
    <m/>
    <m/>
    <m/>
    <m/>
    <x v="0"/>
    <d v="2019-04-26T00:00:00"/>
    <m/>
  </r>
  <r>
    <m/>
    <m/>
    <s v="opakovaná VZ"/>
    <s v="VZ-2019-000401"/>
    <x v="5"/>
    <s v="Ondráčková"/>
    <x v="166"/>
    <m/>
    <m/>
    <m/>
    <s v="24111500-5"/>
    <m/>
    <n v="15947556"/>
    <x v="0"/>
    <d v="2019-04-24T00:00:00"/>
    <d v="2019-06-21T00:00:00"/>
    <d v="2019-08-27T00:00:00"/>
    <s v="Messer Technogas s.r.o."/>
    <m/>
    <n v="17107857.199999999"/>
    <n v="20190047.199999999"/>
    <m/>
    <m/>
    <m/>
    <d v="2019-08-27T00:00:00"/>
    <s v="SMLN-2019-617-000383"/>
    <x v="86"/>
    <d v="2019-10-01T00:00:00"/>
    <d v="2021-09-29T00:00:00"/>
  </r>
  <r>
    <m/>
    <m/>
    <d v="2019-04-12T00:00:00"/>
    <s v="VZ-2019-000403"/>
    <x v="6"/>
    <s v="Rosulek"/>
    <x v="167"/>
    <m/>
    <m/>
    <m/>
    <s v="33162100-4"/>
    <s v="2.3.401."/>
    <n v="2450000"/>
    <x v="1"/>
    <d v="2019-04-26T00:00:00"/>
    <d v="2019-05-17T00:00:00"/>
    <m/>
    <s v="zrušeno - bez nabídky"/>
    <s v="nová VZ-2019-000797"/>
    <m/>
    <m/>
    <m/>
    <m/>
    <m/>
    <m/>
    <m/>
    <x v="0"/>
    <d v="2019-05-22T00:00:00"/>
    <m/>
  </r>
  <r>
    <m/>
    <m/>
    <d v="2019-04-11T00:00:00"/>
    <s v="VZ-2019-000404"/>
    <x v="3"/>
    <s v="Smrčková"/>
    <x v="168"/>
    <m/>
    <m/>
    <m/>
    <s v="39120000-9 "/>
    <m/>
    <n v="462000"/>
    <x v="0"/>
    <d v="2019-04-23T00:00:00"/>
    <d v="2019-05-24T00:00:00"/>
    <d v="2019-06-24T00:00:00"/>
    <s v="KSK nábytek s.r.o."/>
    <m/>
    <n v="437165"/>
    <n v="528969.65"/>
    <m/>
    <m/>
    <m/>
    <d v="2019-06-24T00:00:00"/>
    <s v="SMLN-2019-618-000048"/>
    <x v="75"/>
    <d v="2019-08-15T00:00:00"/>
    <d v="2019-10-24T00:00:00"/>
  </r>
  <r>
    <m/>
    <m/>
    <d v="2019-04-17T00:00:00"/>
    <s v="VZ-2019-000406"/>
    <x v="5"/>
    <s v="Ondráčková"/>
    <x v="169"/>
    <m/>
    <m/>
    <m/>
    <s v="33694000-1"/>
    <m/>
    <n v="6426000"/>
    <x v="0"/>
    <d v="2019-07-10T00:00:00"/>
    <d v="2019-08-14T00:00:00"/>
    <d v="2019-10-04T00:00:00"/>
    <s v="Beckman Coulter Česká republika s.r.o."/>
    <m/>
    <n v="4570200"/>
    <n v="5529942"/>
    <m/>
    <m/>
    <m/>
    <d v="2019-10-07T00:00:00"/>
    <s v="SMLN-2019-617-000492_x000a_SMLN-2019-616-000062"/>
    <x v="88"/>
    <d v="2019-12-05T00:00:00"/>
    <d v="2025-11-24T00:00:00"/>
  </r>
  <r>
    <m/>
    <m/>
    <n v="2018"/>
    <s v="VZ-2019-000408"/>
    <x v="0"/>
    <s v="Valtová"/>
    <x v="170"/>
    <m/>
    <m/>
    <m/>
    <s v="33140000-3 "/>
    <m/>
    <n v="720000"/>
    <x v="2"/>
    <d v="2019-05-03T00:00:00"/>
    <d v="2019-05-15T00:00:00"/>
    <d v="2019-05-24T00:00:00"/>
    <s v="IMMOMEDICAL CZ s.r.o."/>
    <m/>
    <n v="719500"/>
    <n v="827425"/>
    <m/>
    <m/>
    <m/>
    <d v="2019-05-24T00:00:00"/>
    <s v="SMLN-2019-617-000234_x000a_SMLN-2019-614-000023"/>
    <x v="89"/>
    <d v="2019-06-17T00:00:00"/>
    <d v="2021-06-06T00:00:00"/>
  </r>
  <r>
    <m/>
    <m/>
    <n v="2018"/>
    <s v="VZ-2019-000409"/>
    <x v="0"/>
    <s v="Valtová"/>
    <x v="171"/>
    <n v="1"/>
    <s v="Polohovač"/>
    <m/>
    <s v="33140000-3 "/>
    <m/>
    <n v="712800"/>
    <x v="2"/>
    <d v="2019-05-03T00:00:00"/>
    <d v="2019-05-15T00:00:00"/>
    <d v="2019-06-12T00:00:00"/>
    <s v="Getinge Czech Republic, s.r.o."/>
    <m/>
    <n v="745308"/>
    <n v="901822.68"/>
    <m/>
    <m/>
    <m/>
    <d v="2019-06-17T00:00:00"/>
    <s v="SMLN-2019-617-000283_x000a_SMLN-2019-614-000050"/>
    <x v="90"/>
    <d v="2019-08-01T00:00:00"/>
    <d v="2021-07-29T00:00:00"/>
  </r>
  <r>
    <m/>
    <m/>
    <n v="2018"/>
    <s v="VZ-2019-000409"/>
    <x v="0"/>
    <s v="Valtová"/>
    <x v="171"/>
    <n v="2"/>
    <s v="Ofuk Blower Mister"/>
    <m/>
    <s v="33140000-3"/>
    <m/>
    <n v="370740"/>
    <x v="2"/>
    <d v="2019-05-03T00:00:00"/>
    <d v="2019-05-15T00:00:00"/>
    <d v="2019-06-12T00:00:00"/>
    <s v="Getinge Czech Republic, s.r.o."/>
    <m/>
    <n v="458800"/>
    <n v="555148"/>
    <m/>
    <m/>
    <m/>
    <d v="2019-06-17T00:00:00"/>
    <s v="SMLN-2019-617-000284_x000a_SMLN-2019-614-000051"/>
    <x v="91"/>
    <d v="2019-07-29T00:00:00"/>
    <d v="2021-07-23T00:00:00"/>
  </r>
  <r>
    <m/>
    <m/>
    <n v="2018"/>
    <s v="VZ-2019-000413"/>
    <x v="0"/>
    <s v="Valtová"/>
    <x v="172"/>
    <m/>
    <m/>
    <m/>
    <s v="33140000-3 "/>
    <m/>
    <n v="670000"/>
    <x v="2"/>
    <d v="2019-05-03T00:00:00"/>
    <d v="2019-05-15T00:00:00"/>
    <m/>
    <s v="zrušeno - bez nabídky"/>
    <s v="nová VZ-2019-000524"/>
    <m/>
    <m/>
    <m/>
    <m/>
    <m/>
    <m/>
    <m/>
    <x v="0"/>
    <d v="2019-05-16T00:00:00"/>
    <m/>
  </r>
  <r>
    <m/>
    <m/>
    <n v="2018"/>
    <s v="VZ-2019-000414"/>
    <x v="0"/>
    <s v="Valtová"/>
    <x v="173"/>
    <m/>
    <m/>
    <m/>
    <s v="33140000-3 "/>
    <m/>
    <n v="434900"/>
    <x v="2"/>
    <d v="2019-05-03T00:00:00"/>
    <d v="2019-05-15T00:00:00"/>
    <m/>
    <s v="zrušeno - bez nabídky"/>
    <s v="nová VZ-2019-000525"/>
    <m/>
    <m/>
    <m/>
    <m/>
    <m/>
    <m/>
    <m/>
    <x v="0"/>
    <d v="2019-05-16T00:00:00"/>
    <m/>
  </r>
  <r>
    <m/>
    <m/>
    <d v="2019-04-08T00:00:00"/>
    <s v="VZ-2019-000416"/>
    <x v="15"/>
    <s v="Solovský"/>
    <x v="174"/>
    <n v="1"/>
    <s v="Sanitní vozidla DNR typu A2 s pohonem všech kol"/>
    <m/>
    <s v="34114110-3  "/>
    <s v="4.2.110."/>
    <n v="2500000"/>
    <x v="0"/>
    <d v="2019-04-26T00:00:00"/>
    <d v="2019-05-31T00:00:00"/>
    <m/>
    <s v="zrušeno - oprava zadání"/>
    <s v="nová VZ-2019-000607"/>
    <m/>
    <m/>
    <m/>
    <m/>
    <m/>
    <m/>
    <m/>
    <x v="0"/>
    <d v="2019-05-30T00:00:00"/>
    <m/>
  </r>
  <r>
    <m/>
    <m/>
    <d v="2019-04-08T00:00:00"/>
    <s v="VZ-2019-000416"/>
    <x v="15"/>
    <s v="Solovský"/>
    <x v="174"/>
    <n v="2"/>
    <s v="Sanitní vozidla DNR typu A2"/>
    <m/>
    <s v="34114110-3  "/>
    <s v="4.2.110."/>
    <n v="2300000"/>
    <x v="0"/>
    <d v="2019-04-26T00:00:00"/>
    <d v="2019-05-31T00:00:00"/>
    <m/>
    <s v="zrušeno - oprava zadání"/>
    <s v="nová VZ-2019-000607"/>
    <m/>
    <m/>
    <m/>
    <m/>
    <m/>
    <m/>
    <m/>
    <x v="0"/>
    <d v="2019-05-30T00:00:00"/>
    <m/>
  </r>
  <r>
    <m/>
    <m/>
    <d v="2019-04-23T00:00:00"/>
    <s v="VZ-2019-000420"/>
    <x v="4"/>
    <s v="Srovnal"/>
    <x v="175"/>
    <m/>
    <m/>
    <m/>
    <s v="45332300-6"/>
    <m/>
    <n v="320000"/>
    <x v="2"/>
    <d v="2019-04-25T00:00:00"/>
    <d v="2019-05-03T00:00:00"/>
    <d v="2019-05-13T00:00:00"/>
    <s v="LB 2000 s.r.o."/>
    <m/>
    <n v="138908.75"/>
    <n v="168079.58749999999"/>
    <m/>
    <m/>
    <m/>
    <d v="2019-05-14T00:00:00"/>
    <s v="SMLN-2019-618-000035"/>
    <x v="51"/>
    <d v="2019-06-06T00:00:00"/>
    <d v="2019-07-03T00:00:00"/>
  </r>
  <r>
    <m/>
    <m/>
    <n v="2018"/>
    <s v="VZ-2019-000424"/>
    <x v="0"/>
    <s v="Valtová"/>
    <x v="176"/>
    <n v="1"/>
    <s v="Stabilizátor pro operaci srdce bez mimotělního oběhu s tvarovatelným koncem"/>
    <m/>
    <s v="33140000-3 "/>
    <m/>
    <n v="862800"/>
    <x v="0"/>
    <d v="2019-04-26T00:00:00"/>
    <d v="2019-05-28T00:00:00"/>
    <d v="2019-07-15T00:00:00"/>
    <s v="Promedica Praha Group, a.s."/>
    <m/>
    <n v="862800"/>
    <n v="1043988"/>
    <m/>
    <m/>
    <m/>
    <d v="2019-07-16T00:00:00"/>
    <s v="SMLN-2019-617-000321_x000a_SMLN-2019-614-000064"/>
    <x v="92"/>
    <d v="2020-01-02T00:00:00"/>
    <d v="2021-12-22T00:00:00"/>
  </r>
  <r>
    <m/>
    <m/>
    <n v="2018"/>
    <s v="VZ-2019-000424"/>
    <x v="0"/>
    <s v="Valtová"/>
    <x v="176"/>
    <n v="2"/>
    <s v="Stabilizátor pro operaci srdce bez mimotělního oběhu s pevným koncem"/>
    <m/>
    <s v="33140000-3 "/>
    <m/>
    <n v="2904760"/>
    <x v="0"/>
    <d v="2019-04-26T00:00:00"/>
    <d v="2019-05-28T00:00:00"/>
    <d v="2019-07-15T00:00:00"/>
    <s v="Promedica Praha Group, a.s."/>
    <m/>
    <n v="2904760"/>
    <n v="3514759.6"/>
    <m/>
    <m/>
    <m/>
    <d v="2019-07-16T00:00:00"/>
    <s v="SMLN-2019-617-000322_x000a_SMLN-2019-614-000065"/>
    <x v="92"/>
    <d v="2020-01-02T00:00:00"/>
    <d v="2021-12-22T00:00:00"/>
  </r>
  <r>
    <m/>
    <m/>
    <s v="opakovaná VZ"/>
    <s v="VZ-2019-000426"/>
    <x v="2"/>
    <s v="Neudörflerová"/>
    <x v="177"/>
    <m/>
    <m/>
    <m/>
    <s v="33192230-3"/>
    <s v="2.3.345."/>
    <n v="3431405.18"/>
    <x v="0"/>
    <d v="2019-05-17T00:00:00"/>
    <d v="2019-06-19T00:00:00"/>
    <d v="2019-08-15T00:00:00"/>
    <s v="Getinge Czech Republic, s.r.o."/>
    <m/>
    <n v="3374949"/>
    <n v="4083688.3"/>
    <m/>
    <m/>
    <m/>
    <d v="2019-08-16T00:00:00"/>
    <s v="SMLN-2019-617-000347_x000a_SMLN-2019-612-000084"/>
    <x v="93"/>
    <d v="2019-10-02T00:00:00"/>
    <d v="2019-11-22T00:00:00"/>
  </r>
  <r>
    <m/>
    <m/>
    <d v="2019-04-16T00:00:00"/>
    <s v="VZ-2019-000427"/>
    <x v="4"/>
    <s v="Srovnal"/>
    <x v="178"/>
    <m/>
    <m/>
    <m/>
    <s v="50730000-1"/>
    <m/>
    <n v="6400000"/>
    <x v="0"/>
    <d v="2019-06-13T00:00:00"/>
    <d v="2019-07-18T00:00:00"/>
    <d v="2019-09-24T00:00:00"/>
    <s v="Air - Klimont s.r.o."/>
    <m/>
    <n v="5084400"/>
    <n v="6152124"/>
    <m/>
    <m/>
    <m/>
    <d v="2019-09-26T00:00:00"/>
    <s v="SMLN-2019-612-000116"/>
    <x v="94"/>
    <d v="2019-10-30T00:00:00"/>
    <d v="2023-10-23T00:00:00"/>
  </r>
  <r>
    <m/>
    <m/>
    <d v="2019-04-11T00:00:00"/>
    <s v="VZ-2019-000429"/>
    <x v="4"/>
    <s v="Srovnal"/>
    <x v="179"/>
    <m/>
    <m/>
    <m/>
    <s v="45311000-0"/>
    <m/>
    <n v="2900000"/>
    <x v="2"/>
    <d v="2019-05-15T00:00:00"/>
    <d v="2019-05-23T00:00:00"/>
    <m/>
    <s v="zrušeno - bez nabídky"/>
    <s v="nová VZ-2019-000672"/>
    <m/>
    <m/>
    <m/>
    <m/>
    <m/>
    <m/>
    <m/>
    <x v="0"/>
    <d v="2019-05-23T00:00:00"/>
    <m/>
  </r>
  <r>
    <m/>
    <m/>
    <d v="2019-04-25T00:00:00"/>
    <s v="VZ-2019-000450"/>
    <x v="6"/>
    <s v="Rosulek"/>
    <x v="180"/>
    <m/>
    <m/>
    <m/>
    <s v="33195000-3"/>
    <s v="2.3.383.,2.3.385.,2.3.413."/>
    <n v="16096000"/>
    <x v="0"/>
    <d v="2019-05-02T00:00:00"/>
    <d v="2019-06-06T00:00:00"/>
    <d v="2019-07-16T00:00:00"/>
    <s v="S + T Plus s.r.o."/>
    <m/>
    <n v="16070000"/>
    <n v="19444700"/>
    <m/>
    <m/>
    <m/>
    <d v="2019-07-17T00:00:00"/>
    <s v="SMLN-2019-617-000323_x000a_SMLN-2019-612-000071"/>
    <x v="68"/>
    <d v="2019-08-20T00:00:00"/>
    <d v="2019-10-14T00:00:00"/>
  </r>
  <r>
    <m/>
    <m/>
    <d v="2019-04-24T00:00:00"/>
    <s v="VZ-2019-000453"/>
    <x v="0"/>
    <s v="Dočkalová"/>
    <x v="181"/>
    <n v="1"/>
    <s v="PCS2"/>
    <m/>
    <s v="33140000-3"/>
    <m/>
    <n v="31542000"/>
    <x v="0"/>
    <d v="2019-06-12T00:00:00"/>
    <d v="2019-08-28T00:00:00"/>
    <m/>
    <m/>
    <m/>
    <m/>
    <m/>
    <m/>
    <m/>
    <m/>
    <m/>
    <m/>
    <x v="0"/>
    <m/>
    <m/>
  </r>
  <r>
    <m/>
    <m/>
    <d v="2019-04-24T00:00:00"/>
    <s v="VZ-2019-000453"/>
    <x v="0"/>
    <s v="Dočkalová"/>
    <x v="181"/>
    <n v="2"/>
    <s v="MCS+"/>
    <m/>
    <s v="33140000-3"/>
    <m/>
    <n v="19657800"/>
    <x v="0"/>
    <d v="2019-06-12T00:00:00"/>
    <d v="2019-08-28T00:00:00"/>
    <d v="2019-10-04T00:00:00"/>
    <s v="VAMEX, spol. s r.o."/>
    <m/>
    <n v="18450000"/>
    <n v="22324500"/>
    <m/>
    <m/>
    <m/>
    <d v="2019-10-07T00:00:00"/>
    <s v="SMLN-2019-617-000485_x000a_SMLN-2019-616-000060"/>
    <x v="0"/>
    <m/>
    <m/>
  </r>
  <r>
    <m/>
    <m/>
    <d v="2019-04-29T00:00:00"/>
    <s v="VZ-2019-000459"/>
    <x v="11"/>
    <s v="Zemánek"/>
    <x v="182"/>
    <m/>
    <m/>
    <m/>
    <s v="50421000-2"/>
    <m/>
    <n v="260000"/>
    <x v="2"/>
    <d v="2019-05-10T00:00:00"/>
    <d v="2019-05-21T00:00:00"/>
    <m/>
    <s v="zrušeno - bez nabídky"/>
    <s v="nová VZ-2019-000558"/>
    <m/>
    <m/>
    <m/>
    <m/>
    <m/>
    <m/>
    <m/>
    <x v="0"/>
    <d v="2019-05-21T00:00:00"/>
    <m/>
  </r>
  <r>
    <m/>
    <m/>
    <d v="2019-04-26T00:00:00"/>
    <s v="VZ-2019-000465"/>
    <x v="0"/>
    <s v="Dočkalová"/>
    <x v="183"/>
    <m/>
    <m/>
    <m/>
    <s v="33162200-5"/>
    <m/>
    <n v="1700000"/>
    <x v="2"/>
    <d v="2019-05-09T00:00:00"/>
    <d v="2019-05-22T00:00:00"/>
    <d v="2019-06-24T00:00:00"/>
    <s v="B. Braun Medical s.r.o."/>
    <m/>
    <n v="1513515.9"/>
    <n v="1831354.2389999998"/>
    <m/>
    <m/>
    <m/>
    <d v="2019-06-24T00:00:00"/>
    <s v="SMLN-2019-617-000296"/>
    <x v="95"/>
    <d v="2019-08-28T00:00:00"/>
    <d v="2019-10-08T00:00:00"/>
  </r>
  <r>
    <m/>
    <m/>
    <d v="2019-05-03T00:00:00"/>
    <s v="VZ-2019-000476"/>
    <x v="0"/>
    <s v="Dočkalová"/>
    <x v="184"/>
    <m/>
    <m/>
    <m/>
    <s v="33162200-5"/>
    <m/>
    <n v="881000"/>
    <x v="2"/>
    <d v="2019-05-09T00:00:00"/>
    <d v="2019-05-17T00:00:00"/>
    <d v="2019-05-24T00:00:00"/>
    <s v="EP SERVICES s.r.o."/>
    <m/>
    <n v="869000"/>
    <n v="1051490"/>
    <m/>
    <m/>
    <m/>
    <d v="2019-05-24T00:00:00"/>
    <s v="SMLN-2019-617-000237"/>
    <x v="78"/>
    <d v="2019-06-27T00:00:00"/>
    <d v="2021-06-23T00:00:00"/>
  </r>
  <r>
    <m/>
    <m/>
    <d v="2019-05-06T00:00:00"/>
    <s v="VZ-2019-000477"/>
    <x v="6"/>
    <s v="Rosulek"/>
    <x v="185"/>
    <m/>
    <m/>
    <m/>
    <s v="33191110-9"/>
    <s v="2.3.310.,2.3.313."/>
    <n v="684297"/>
    <x v="2"/>
    <d v="2019-05-10T00:00:00"/>
    <d v="2019-05-29T00:00:00"/>
    <d v="2019-07-26T00:00:00"/>
    <s v="Fénix Brno spol. s r.o."/>
    <m/>
    <n v="676763"/>
    <n v="818883.23"/>
    <m/>
    <m/>
    <m/>
    <d v="2019-07-26T00:00:00"/>
    <s v="SMLN-2019-617-000328 _x000a_SMLN-2019-612-000075"/>
    <x v="74"/>
    <d v="2019-08-28T00:00:00"/>
    <d v="2019-10-03T00:00:00"/>
  </r>
  <r>
    <m/>
    <m/>
    <d v="2019-05-06T00:00:00"/>
    <s v="VZ-2019-000478"/>
    <x v="6"/>
    <s v="Rosulek"/>
    <x v="186"/>
    <m/>
    <m/>
    <m/>
    <s v="38434500-1"/>
    <s v="2.2.127."/>
    <n v="513868"/>
    <x v="2"/>
    <d v="2019-05-10T00:00:00"/>
    <d v="2019-05-21T00:00:00"/>
    <m/>
    <s v="zrušeno - nepslnění podmínek"/>
    <s v="nová VZ-2019-000803"/>
    <m/>
    <m/>
    <m/>
    <m/>
    <m/>
    <m/>
    <m/>
    <x v="0"/>
    <d v="2019-07-17T00:00:00"/>
    <m/>
  </r>
  <r>
    <m/>
    <m/>
    <d v="2019-04-30T00:00:00"/>
    <s v="VZ-2019-000482"/>
    <x v="0"/>
    <s v="Dočkalová"/>
    <x v="187"/>
    <n v="1"/>
    <s v="Dilatační balónkové katétry vaskulární I."/>
    <m/>
    <s v="33140000-3"/>
    <m/>
    <n v="2455000"/>
    <x v="0"/>
    <d v="2019-05-14T00:00:00"/>
    <d v="2019-07-08T00:00:00"/>
    <d v="2019-09-24T00:00:00"/>
    <s v="Boston Scientific s.r.o."/>
    <m/>
    <n v="2455000"/>
    <n v="2970550"/>
    <m/>
    <m/>
    <m/>
    <d v="2019-09-25T00:00:00"/>
    <s v="SMLN-2019-617-000460_x000a_SMLN-2019-614-000100"/>
    <x v="65"/>
    <d v="2019-11-08T00:00:00"/>
    <d v="2021-10-24T00:00:00"/>
  </r>
  <r>
    <m/>
    <m/>
    <d v="2019-04-30T00:00:00"/>
    <s v="VZ-2019-000482"/>
    <x v="0"/>
    <s v="Dočkalová"/>
    <x v="187"/>
    <n v="2"/>
    <s v="Dilatační balónkové katétry vaskulární II."/>
    <m/>
    <s v="33140000-3"/>
    <m/>
    <n v="360000"/>
    <x v="0"/>
    <d v="2019-05-14T00:00:00"/>
    <d v="2019-07-08T00:00:00"/>
    <d v="2019-09-24T00:00:00"/>
    <s v="BARD Czech Republic s.r.o."/>
    <m/>
    <n v="360000"/>
    <n v="435600"/>
    <m/>
    <m/>
    <m/>
    <d v="2019-09-25T00:00:00"/>
    <s v="SMLN-2019-617-000461_x000a_SMLN-2019-614-000101"/>
    <x v="65"/>
    <d v="2019-11-08T00:00:00"/>
    <d v="2021-10-24T00:00:00"/>
  </r>
  <r>
    <m/>
    <m/>
    <d v="2019-04-30T00:00:00"/>
    <s v="VZ-2019-000482"/>
    <x v="0"/>
    <s v="Dočkalová"/>
    <x v="187"/>
    <n v="3"/>
    <s v="Dilatační balónkové katétry vaskulární III."/>
    <m/>
    <s v="33140000-3"/>
    <m/>
    <n v="245000"/>
    <x v="0"/>
    <d v="2019-05-14T00:00:00"/>
    <d v="2019-07-08T00:00:00"/>
    <d v="2019-09-24T00:00:00"/>
    <s v="ARID obchodní společnost s.r.o."/>
    <m/>
    <n v="245000"/>
    <n v="296450"/>
    <m/>
    <m/>
    <m/>
    <d v="2019-09-25T00:00:00"/>
    <s v="SMLN-2019-617-000462_x000a_SMLN-2019-614-000102"/>
    <x v="65"/>
    <d v="2019-11-08T00:00:00"/>
    <d v="2021-10-24T00:00:00"/>
  </r>
  <r>
    <m/>
    <m/>
    <d v="2019-04-30T00:00:00"/>
    <s v="VZ-2019-000482"/>
    <x v="0"/>
    <s v="Dočkalová"/>
    <x v="187"/>
    <n v="4"/>
    <s v="Dilatační balónkové katétry vaskulární noncompliant"/>
    <m/>
    <s v="33140000-3"/>
    <m/>
    <n v="1634400"/>
    <x v="0"/>
    <d v="2019-05-14T00:00:00"/>
    <d v="2019-07-08T00:00:00"/>
    <d v="2019-09-24T00:00:00"/>
    <s v="BS PRAGUE MEDICAL CS, spol. s r.o."/>
    <m/>
    <n v="1634400"/>
    <n v="1634400"/>
    <m/>
    <m/>
    <m/>
    <d v="2019-09-25T00:00:00"/>
    <s v="SMLN-2019-617-000463_x000a_SMLN-2019-614-000103"/>
    <x v="65"/>
    <d v="2019-11-08T00:00:00"/>
    <d v="2021-10-24T00:00:00"/>
  </r>
  <r>
    <m/>
    <m/>
    <d v="2019-04-30T00:00:00"/>
    <s v="VZ-2019-000482"/>
    <x v="0"/>
    <s v="Dočkalová"/>
    <x v="187"/>
    <n v="5"/>
    <s v="Dilatační balónkové katétry vaskulární noncompliant XXL"/>
    <m/>
    <s v="33140000-3"/>
    <m/>
    <n v="132000"/>
    <x v="0"/>
    <d v="2019-05-14T00:00:00"/>
    <d v="2019-07-08T00:00:00"/>
    <d v="2019-09-24T00:00:00"/>
    <s v="Boston Scientific s.r.o."/>
    <m/>
    <n v="132000"/>
    <n v="159720"/>
    <m/>
    <m/>
    <m/>
    <d v="2019-09-25T00:00:00"/>
    <s v="SMLN-2019-617-000464_x000a_SMLN-2019-614-000104"/>
    <x v="65"/>
    <d v="2019-11-08T00:00:00"/>
    <d v="2021-10-24T00:00:00"/>
  </r>
  <r>
    <m/>
    <m/>
    <d v="2019-04-30T00:00:00"/>
    <s v="VZ-2019-000482"/>
    <x v="0"/>
    <s v="Dočkalová"/>
    <x v="187"/>
    <n v="6"/>
    <s v="Dilatační balónkové katétry vaskulární po mikrovodících drátech monorial"/>
    <m/>
    <s v="33140000-3"/>
    <m/>
    <n v="623200"/>
    <x v="0"/>
    <d v="2019-05-14T00:00:00"/>
    <d v="2019-07-08T00:00:00"/>
    <d v="2019-10-01T00:00:00"/>
    <s v="Boston Scientific s.r.o."/>
    <m/>
    <n v="623200"/>
    <n v="754072"/>
    <m/>
    <m/>
    <m/>
    <d v="2019-10-02T00:00:00"/>
    <s v="SMLN-2019-617-000475_x000a_SMLN-2019-614-000107"/>
    <x v="65"/>
    <d v="2019-11-08T00:00:00"/>
    <d v="2021-10-24T00:00:00"/>
  </r>
  <r>
    <m/>
    <m/>
    <d v="2019-04-30T00:00:00"/>
    <s v="VZ-2019-000482"/>
    <x v="0"/>
    <s v="Dočkalová"/>
    <x v="187"/>
    <n v="7"/>
    <s v="Dilatační balónkové katétry vaskulární intrakraniální"/>
    <m/>
    <s v="33140000-3"/>
    <m/>
    <n v="24280"/>
    <x v="0"/>
    <d v="2019-05-14T00:00:00"/>
    <d v="2019-07-08T00:00:00"/>
    <m/>
    <m/>
    <m/>
    <m/>
    <m/>
    <m/>
    <m/>
    <m/>
    <m/>
    <m/>
    <x v="0"/>
    <d v="2019-09-27T00:00:00"/>
    <s v="2.9. zrušeno"/>
  </r>
  <r>
    <m/>
    <m/>
    <d v="2019-04-30T00:00:00"/>
    <s v="VZ-2019-000482"/>
    <x v="0"/>
    <s v="Dočkalová"/>
    <x v="187"/>
    <n v="8"/>
    <s v="Řezací dilatační balónkové katétry vaskulární"/>
    <m/>
    <s v="33140000-3"/>
    <m/>
    <n v="61260"/>
    <x v="0"/>
    <d v="2019-05-14T00:00:00"/>
    <d v="2019-07-08T00:00:00"/>
    <d v="2019-09-24T00:00:00"/>
    <s v="Boston Scientific s.r.o."/>
    <m/>
    <n v="61260"/>
    <n v="74124.600000000006"/>
    <m/>
    <m/>
    <m/>
    <d v="2019-09-25T00:00:00"/>
    <s v="SMLN-2019-617-000465_x000a_SMLN-2019-614-000105"/>
    <x v="65"/>
    <d v="2019-11-08T00:00:00"/>
    <d v="2021-10-24T00:00:00"/>
  </r>
  <r>
    <m/>
    <m/>
    <d v="2019-05-06T00:00:00"/>
    <s v="VZ-2019-000484"/>
    <x v="6"/>
    <s v="Rosulek"/>
    <x v="188"/>
    <m/>
    <m/>
    <m/>
    <s v="33168100-6"/>
    <s v="2.2.171."/>
    <n v="278000"/>
    <x v="2"/>
    <d v="2019-05-15T00:00:00"/>
    <d v="2019-05-24T00:00:00"/>
    <d v="2019-07-02T00:00:00"/>
    <s v="IMEDEX s.r.o."/>
    <m/>
    <n v="297160"/>
    <n v="359563.6"/>
    <m/>
    <m/>
    <m/>
    <d v="2019-07-03T00:00:00"/>
    <s v="SMLN-2019-617-000301 SMLN-2019-612-000066"/>
    <x v="96"/>
    <d v="2019-08-14T00:00:00"/>
    <d v="2019-08-22T00:00:00"/>
  </r>
  <r>
    <m/>
    <m/>
    <s v="opakovaná VZ"/>
    <s v="VZ-2019-000485"/>
    <x v="11"/>
    <s v="Zemánek"/>
    <x v="189"/>
    <m/>
    <m/>
    <m/>
    <s v="50421000-2"/>
    <m/>
    <n v="1600000"/>
    <x v="2"/>
    <d v="2019-05-15T00:00:00"/>
    <d v="2019-05-28T00:00:00"/>
    <d v="2019-06-12T00:00:00"/>
    <s v="Miele, spol. s r.o."/>
    <m/>
    <n v="345310"/>
    <n v="417825.1"/>
    <m/>
    <m/>
    <m/>
    <d v="2019-06-12T00:00:00"/>
    <s v="SMLN-2019-612-000063"/>
    <x v="58"/>
    <d v="2019-07-10T00:00:00"/>
    <s v="doba neurčitá"/>
  </r>
  <r>
    <m/>
    <m/>
    <d v="2019-04-29T00:00:00"/>
    <s v="VZ-2019-000493"/>
    <x v="0"/>
    <s v="Dočkalová"/>
    <x v="190"/>
    <m/>
    <m/>
    <m/>
    <s v="33140000-3"/>
    <m/>
    <n v="57312000"/>
    <x v="0"/>
    <d v="2019-06-04T00:00:00"/>
    <d v="2019-09-04T00:00:00"/>
    <m/>
    <m/>
    <m/>
    <m/>
    <m/>
    <m/>
    <m/>
    <m/>
    <m/>
    <m/>
    <x v="0"/>
    <m/>
    <m/>
  </r>
  <r>
    <m/>
    <m/>
    <d v="2019-05-10T00:00:00"/>
    <s v="VZ-2019-000501"/>
    <x v="0"/>
    <s v="Dočkalová"/>
    <x v="191"/>
    <m/>
    <m/>
    <m/>
    <s v="33140000-3"/>
    <m/>
    <n v="1750000"/>
    <x v="2"/>
    <d v="2019-05-15T00:00:00"/>
    <d v="2019-05-31T00:00:00"/>
    <d v="2019-06-06T00:00:00"/>
    <s v="EspoMed spol. s r.o."/>
    <m/>
    <n v="1750000"/>
    <n v="2012500"/>
    <m/>
    <m/>
    <m/>
    <d v="2019-06-07T00:00:00"/>
    <s v="SMLN-2019-617-000250_x000a_SMLN-2019-614-000026"/>
    <x v="48"/>
    <d v="2019-06-26T00:00:00"/>
    <d v="2021-06-17T00:00:00"/>
  </r>
  <r>
    <m/>
    <m/>
    <d v="2019-05-13T00:00:00"/>
    <s v="VZ-2019-000508"/>
    <x v="4"/>
    <s v="Srovnal"/>
    <x v="192"/>
    <m/>
    <m/>
    <m/>
    <s v="42512200-0"/>
    <s v="4.2.123."/>
    <n v="578000"/>
    <x v="2"/>
    <d v="2019-05-17T00:00:00"/>
    <d v="2019-05-28T00:00:00"/>
    <m/>
    <s v="zrušeno - bez nabídky"/>
    <s v="nová VZ-2019-000595"/>
    <m/>
    <m/>
    <m/>
    <m/>
    <m/>
    <m/>
    <m/>
    <x v="0"/>
    <d v="2019-05-29T00:00:00"/>
    <m/>
  </r>
  <r>
    <m/>
    <m/>
    <d v="2019-05-14T00:00:00"/>
    <s v="VZ-2019-000509"/>
    <x v="6"/>
    <s v="Rosulek"/>
    <x v="193"/>
    <m/>
    <m/>
    <m/>
    <s v="33195100-4"/>
    <s v="2.2.196."/>
    <n v="1810000"/>
    <x v="2"/>
    <d v="2019-05-21T00:00:00"/>
    <d v="2019-06-06T00:00:00"/>
    <m/>
    <s v="zrušeno - oprava zadání"/>
    <s v="nová VZ-2019-000651"/>
    <m/>
    <m/>
    <m/>
    <m/>
    <m/>
    <m/>
    <m/>
    <x v="0"/>
    <d v="2019-06-05T00:00:00"/>
    <m/>
  </r>
  <r>
    <m/>
    <m/>
    <d v="2019-05-13T00:00:00"/>
    <s v="VZ-2019-000510"/>
    <x v="0"/>
    <s v="Dočkalová"/>
    <x v="194"/>
    <m/>
    <m/>
    <m/>
    <s v="33140000-3"/>
    <m/>
    <n v="775200"/>
    <x v="2"/>
    <d v="2019-05-16T00:00:00"/>
    <d v="2019-05-31T00:00:00"/>
    <d v="2019-06-06T00:00:00"/>
    <s v="EspoMed spol. s r.o."/>
    <m/>
    <n v="774900"/>
    <n v="891135"/>
    <m/>
    <m/>
    <m/>
    <d v="2019-06-07T00:00:00"/>
    <s v="SMLN-2019-617-000249_x000a_SMLN-2019-614-000025"/>
    <x v="97"/>
    <d v="2019-06-28T00:00:00"/>
    <d v="2021-06-25T00:00:00"/>
  </r>
  <r>
    <m/>
    <m/>
    <d v="2019-05-15T00:00:00"/>
    <s v="VZ-2019-000512"/>
    <x v="2"/>
    <s v="Neudörflerová"/>
    <x v="195"/>
    <m/>
    <m/>
    <m/>
    <s v="33192200-4"/>
    <m/>
    <n v="957090.9"/>
    <x v="0"/>
    <d v="2019-06-11T00:00:00"/>
    <d v="2019-07-15T00:00:00"/>
    <m/>
    <s v="zrušeno – bez nabídky"/>
    <s v="nová VZ-2019-000806"/>
    <m/>
    <m/>
    <m/>
    <m/>
    <m/>
    <m/>
    <m/>
    <x v="0"/>
    <d v="2019-07-22T00:00:00"/>
    <s v="19.7. zrušeno"/>
  </r>
  <r>
    <m/>
    <m/>
    <d v="2019-05-15T00:00:00"/>
    <s v="VZ-2019-000514"/>
    <x v="6"/>
    <s v="Rosulek"/>
    <x v="196"/>
    <m/>
    <m/>
    <m/>
    <s v="33191110-9"/>
    <s v="aktualizace"/>
    <n v="150000"/>
    <x v="2"/>
    <d v="2019-05-21T00:00:00"/>
    <d v="2019-05-30T00:00:00"/>
    <d v="2019-07-09T00:00:00"/>
    <s v="SORAL &amp; HANZLIK Medical s.r.o."/>
    <m/>
    <n v="129620"/>
    <n v="156840.20000000001"/>
    <m/>
    <m/>
    <m/>
    <d v="2019-07-09T00:00:00"/>
    <s v="SMLN-2019-617-000313_x000a_ SMLN-2019-612-000069"/>
    <x v="98"/>
    <d v="2019-08-14T00:00:00"/>
    <d v="2019-10-29T00:00:00"/>
  </r>
  <r>
    <m/>
    <m/>
    <s v="opakovaná VZ"/>
    <s v="VZ-2019-000524"/>
    <x v="0"/>
    <s v="Dočkalová"/>
    <x v="197"/>
    <m/>
    <m/>
    <m/>
    <s v="33140000-3 "/>
    <m/>
    <n v="670000"/>
    <x v="2"/>
    <d v="2019-05-17T00:00:00"/>
    <d v="2019-05-28T00:00:00"/>
    <d v="2019-06-05T00:00:00"/>
    <s v="Biomedica ČS, s.r.o."/>
    <m/>
    <n v="668863.5"/>
    <n v="809324.84"/>
    <m/>
    <m/>
    <m/>
    <d v="2019-06-05T00:00:00"/>
    <s v=" SMLN-2019-617-000246"/>
    <x v="78"/>
    <d v="2019-06-27T00:00:00"/>
    <d v="2022-06-23T00:00:00"/>
  </r>
  <r>
    <m/>
    <m/>
    <s v="opakovaná VZ"/>
    <s v="VZ-2019-000525"/>
    <x v="0"/>
    <s v="Dočkalová"/>
    <x v="198"/>
    <m/>
    <m/>
    <m/>
    <s v="33140000-3"/>
    <m/>
    <n v="434900"/>
    <x v="2"/>
    <d v="2019-05-17T00:00:00"/>
    <d v="2019-05-28T00:00:00"/>
    <d v="2019-06-07T00:00:00"/>
    <s v="Promedica Praha Group, a.s."/>
    <m/>
    <n v="405000"/>
    <n v="490050"/>
    <m/>
    <m/>
    <m/>
    <d v="2019-06-10T00:00:00"/>
    <s v="SMLN-2019-617-000251"/>
    <x v="97"/>
    <d v="2019-06-28T00:00:00"/>
    <d v="2021-06-25T00:00:00"/>
  </r>
  <r>
    <m/>
    <m/>
    <d v="2019-05-13T00:00:00"/>
    <s v="VZ-2019-000527"/>
    <x v="0"/>
    <s v="Dočkalová"/>
    <x v="199"/>
    <m/>
    <m/>
    <m/>
    <s v="33140000-3"/>
    <m/>
    <n v="572700"/>
    <x v="2"/>
    <d v="2019-05-21T00:00:00"/>
    <d v="2019-05-31T00:00:00"/>
    <d v="2019-06-18T00:00:00"/>
    <s v="Alliance Healthcare s.r.o."/>
    <m/>
    <n v="540000"/>
    <n v="653400"/>
    <m/>
    <m/>
    <m/>
    <d v="2019-06-18T00:00:00"/>
    <s v="SMLN-2019-617-000289_x000a_SMLN-2019-614-000054"/>
    <x v="99"/>
    <d v="2019-07-19T00:00:00"/>
    <d v="2021-07-16T00:00:00"/>
  </r>
  <r>
    <m/>
    <m/>
    <d v="2019-05-13T00:00:00"/>
    <s v="VZ-2019-000528"/>
    <x v="0"/>
    <s v="Dočkalová"/>
    <x v="200"/>
    <m/>
    <m/>
    <m/>
    <s v="33140000-3"/>
    <m/>
    <n v="492000"/>
    <x v="2"/>
    <d v="2019-05-21T00:00:00"/>
    <d v="2019-05-31T00:00:00"/>
    <m/>
    <s v="zrušeno - bez nabídky"/>
    <s v="nová VZ-2019-000693"/>
    <m/>
    <m/>
    <m/>
    <m/>
    <m/>
    <m/>
    <m/>
    <x v="0"/>
    <d v="2019-05-31T00:00:00"/>
    <m/>
  </r>
  <r>
    <m/>
    <m/>
    <d v="2019-05-14T00:00:00"/>
    <s v="VZ-2019-000529"/>
    <x v="0"/>
    <s v="Dočkalová"/>
    <x v="201"/>
    <m/>
    <m/>
    <m/>
    <s v="33140000-3"/>
    <m/>
    <n v="293900"/>
    <x v="2"/>
    <d v="2019-05-23T00:00:00"/>
    <d v="2019-05-31T00:00:00"/>
    <d v="2019-06-11T00:00:00"/>
    <s v="CARDION s.r.o."/>
    <m/>
    <n v="293600"/>
    <n v="337640"/>
    <m/>
    <m/>
    <m/>
    <d v="2019-06-14T00:00:00"/>
    <s v="SMLN-2019-617-000279_x000a_SMLN-2019-614-000049"/>
    <x v="90"/>
    <d v="2019-08-02T00:00:00"/>
    <d v="2021-07-29T00:00:00"/>
  </r>
  <r>
    <m/>
    <m/>
    <d v="2019-05-14T00:00:00"/>
    <s v="VZ-2019-000530"/>
    <x v="0"/>
    <s v="Dočkalová"/>
    <x v="202"/>
    <m/>
    <m/>
    <m/>
    <s v="33140000-3"/>
    <m/>
    <n v="330840"/>
    <x v="2"/>
    <d v="2019-05-23T00:00:00"/>
    <d v="2019-05-31T00:00:00"/>
    <d v="2019-06-06T00:00:00"/>
    <s v="EspoMed spol. s r.o."/>
    <m/>
    <n v="330750"/>
    <n v="400207.5"/>
    <m/>
    <m/>
    <m/>
    <d v="2019-06-06T00:00:00"/>
    <s v="SMLN-2019-617-000247_x000a_SMLN-2019-614-000024"/>
    <x v="48"/>
    <d v="2019-06-27T00:00:00"/>
    <d v="2021-06-17T00:00:00"/>
  </r>
  <r>
    <m/>
    <m/>
    <d v="2019-05-14T00:00:00"/>
    <s v="VZ-2019-000531"/>
    <x v="0"/>
    <s v="Dočkalová"/>
    <x v="203"/>
    <m/>
    <m/>
    <m/>
    <s v="33140000-3"/>
    <m/>
    <n v="524480"/>
    <x v="2"/>
    <d v="2019-05-23T00:00:00"/>
    <d v="2019-05-31T00:00:00"/>
    <d v="2019-06-10T00:00:00"/>
    <s v="ARID obchodní společnost s.r.o."/>
    <m/>
    <n v="524480"/>
    <n v="634620.80000000005"/>
    <m/>
    <m/>
    <m/>
    <d v="2019-06-10T00:00:00"/>
    <s v="SMLN-2019-617-000253_x000a_SMLN-2019-614-000027"/>
    <x v="4"/>
    <d v="2019-07-09T00:00:00"/>
    <d v="2021-06-27T00:00:00"/>
  </r>
  <r>
    <m/>
    <m/>
    <d v="2019-05-17T00:00:00"/>
    <s v="VZ-2019-000533"/>
    <x v="5"/>
    <s v="Ondráčková"/>
    <x v="204"/>
    <n v="1"/>
    <s v="Amoxicilin a enzymový inhibitor"/>
    <s v="J01CR02"/>
    <s v="33651100-9"/>
    <m/>
    <n v="2343733"/>
    <x v="0"/>
    <d v="2019-05-24T00:00:00"/>
    <d v="2019-07-11T00:00:00"/>
    <d v="2019-10-17T00:00:00"/>
    <s v="Alliance Healthcare s.r.o."/>
    <m/>
    <n v="2343698.2799999998"/>
    <n v="2578068.11"/>
    <m/>
    <m/>
    <m/>
    <d v="2019-10-18T00:00:00"/>
    <s v="SMLN-2019-617-000519"/>
    <x v="100"/>
    <d v="2019-12-11T00:00:00"/>
    <d v="2021-11-28T00:00:00"/>
  </r>
  <r>
    <m/>
    <m/>
    <d v="2019-05-17T00:00:00"/>
    <s v="VZ-2019-000533"/>
    <x v="5"/>
    <s v="Ondráčková"/>
    <x v="204"/>
    <n v="2"/>
    <s v="Cefuroxim "/>
    <s v="J01DC02"/>
    <s v="33651100-9"/>
    <m/>
    <n v="778239.8"/>
    <x v="0"/>
    <d v="2019-05-24T00:00:00"/>
    <d v="2019-07-11T00:00:00"/>
    <m/>
    <s v="glaxo"/>
    <s v="DůVOD zrušeno - překročení ceny ; zrušeno - překročení ceny ; DALŠÍ POSTUP opakovat; ÚPRAVA ?sankce ; PŘEDPOKLAD 1.Q_20 ; POZN: kompenzace doplatků-změnit zadání"/>
    <m/>
    <m/>
    <m/>
    <m/>
    <m/>
    <m/>
    <m/>
    <x v="0"/>
    <d v="2019-09-06T00:00:00"/>
    <s v="15.8. zrušeno"/>
  </r>
  <r>
    <m/>
    <m/>
    <d v="2019-05-17T00:00:00"/>
    <s v="VZ-2019-000533"/>
    <x v="5"/>
    <s v="Ondráčková"/>
    <x v="204"/>
    <n v="3"/>
    <s v="Klindamycin"/>
    <s v="J01FF01"/>
    <s v="33651100-9"/>
    <m/>
    <n v="258189"/>
    <x v="0"/>
    <d v="2019-05-24T00:00:00"/>
    <d v="2019-07-11T00:00:00"/>
    <d v="2019-10-17T00:00:00"/>
    <s v="Pharmos, a.s."/>
    <m/>
    <n v="257585.64"/>
    <n v="283344.2"/>
    <m/>
    <m/>
    <m/>
    <d v="2019-10-18T00:00:00"/>
    <s v="SMLN-2019-617-000520"/>
    <x v="100"/>
    <d v="2019-12-11T00:00:00"/>
    <d v="2021-11-28T00:00:00"/>
  </r>
  <r>
    <m/>
    <m/>
    <d v="2019-05-17T00:00:00"/>
    <s v="VZ-2019-000533"/>
    <x v="5"/>
    <s v="Ondráčková"/>
    <x v="204"/>
    <n v="4"/>
    <s v="Sultamicilin"/>
    <s v="J01CR04"/>
    <s v="33651100-9"/>
    <m/>
    <n v="135108"/>
    <x v="0"/>
    <d v="2019-05-24T00:00:00"/>
    <d v="2019-07-11T00:00:00"/>
    <d v="2019-12-05T00:00:00"/>
    <s v="Alliance Healthcare s.r.o."/>
    <m/>
    <n v="134452.5"/>
    <n v="147897.75"/>
    <m/>
    <m/>
    <m/>
    <d v="2019-12-06T00:00:00"/>
    <s v="SMLN-2019-617-000628"/>
    <x v="0"/>
    <m/>
    <m/>
  </r>
  <r>
    <m/>
    <m/>
    <d v="2019-05-17T00:00:00"/>
    <s v="VZ-2019-000533"/>
    <x v="5"/>
    <s v="Ondráčková"/>
    <x v="204"/>
    <n v="5"/>
    <s v="Ciprofloxacin"/>
    <s v="J01MA02"/>
    <s v="33651100-9"/>
    <m/>
    <n v="250029"/>
    <x v="0"/>
    <d v="2019-05-24T00:00:00"/>
    <d v="2019-07-11T00:00:00"/>
    <d v="2019-10-17T00:00:00"/>
    <s v="Alliance Healthcare s.r.o."/>
    <m/>
    <n v="215896.32000000001"/>
    <n v="237485.95"/>
    <m/>
    <m/>
    <m/>
    <d v="2019-10-18T00:00:00"/>
    <s v="SMLN-2019-617-000523"/>
    <x v="0"/>
    <m/>
    <m/>
  </r>
  <r>
    <m/>
    <m/>
    <d v="2019-05-17T00:00:00"/>
    <s v="VZ-2019-000533"/>
    <x v="5"/>
    <s v="Ondráčková"/>
    <x v="204"/>
    <n v="6"/>
    <s v="Moxifloxacin"/>
    <s v="J01MA14"/>
    <s v="33651100-9"/>
    <m/>
    <n v="189365"/>
    <x v="0"/>
    <d v="2019-05-24T00:00:00"/>
    <d v="2019-07-11T00:00:00"/>
    <d v="2019-10-17T00:00:00"/>
    <s v="Pharmos, a.s."/>
    <m/>
    <n v="135008.04"/>
    <n v="148508.84"/>
    <m/>
    <m/>
    <m/>
    <d v="2019-10-18T00:00:00"/>
    <s v="SMLN-2019-617-000524"/>
    <x v="100"/>
    <d v="2019-12-11T00:00:00"/>
    <d v="2021-11-28T00:00:00"/>
  </r>
  <r>
    <m/>
    <m/>
    <d v="2019-05-17T00:00:00"/>
    <s v="VZ-2019-000533"/>
    <x v="5"/>
    <s v="Ondráčková"/>
    <x v="204"/>
    <n v="7"/>
    <s v="Klarithromycin"/>
    <s v="J01FA09"/>
    <s v="33651100-9"/>
    <m/>
    <n v="584770"/>
    <x v="0"/>
    <d v="2019-05-24T00:00:00"/>
    <d v="2019-07-11T00:00:00"/>
    <d v="2019-10-17T00:00:00"/>
    <s v="Pharmos, a.s."/>
    <m/>
    <n v="544810.54"/>
    <n v="599291.59"/>
    <m/>
    <m/>
    <m/>
    <d v="2019-10-18T00:00:00"/>
    <s v="SMLN-2019-617-000525"/>
    <x v="100"/>
    <d v="2019-12-11T00:00:00"/>
    <d v="2021-11-28T00:00:00"/>
  </r>
  <r>
    <m/>
    <m/>
    <d v="2019-05-17T00:00:00"/>
    <s v="VZ-2019-000536"/>
    <x v="5"/>
    <s v="Ondráčková"/>
    <x v="205"/>
    <n v="1"/>
    <s v="Spotřební materiál pro AAS"/>
    <m/>
    <s v="33694000-1"/>
    <m/>
    <n v="7800"/>
    <x v="0"/>
    <d v="2019-06-14T00:00:00"/>
    <d v="2019-08-20T00:00:00"/>
    <d v="2019-12-17T00:00:00"/>
    <s v="LAB MARK a.s."/>
    <m/>
    <n v="7800"/>
    <n v="9438"/>
    <m/>
    <m/>
    <m/>
    <d v="2019-12-19T00:00:00"/>
    <s v="SMLN-2019-617-000653"/>
    <x v="0"/>
    <m/>
    <m/>
  </r>
  <r>
    <m/>
    <m/>
    <d v="2019-05-17T00:00:00"/>
    <s v="VZ-2019-000536"/>
    <x v="5"/>
    <s v="Ondráčková"/>
    <x v="205"/>
    <n v="2"/>
    <s v="Spotřební materiál pro Analyzátor Variant"/>
    <m/>
    <s v="33694000-1"/>
    <m/>
    <n v="174100"/>
    <x v="0"/>
    <d v="2019-06-14T00:00:00"/>
    <d v="2019-08-20T00:00:00"/>
    <m/>
    <s v="firma BioRad přestává dodávat kity a také podporovat analyzátor Variant (inv.č. C007049), který máme zapůjčen"/>
    <s v="DůVOD zrušeno - bez nabídky ; zrušeno - bez nabídky ; DALŠÍ POSTUP ; ÚPRAVA zrušit ; PŘEDPOKLAD 4.Q_20 ; POZN: "/>
    <m/>
    <m/>
    <m/>
    <m/>
    <m/>
    <m/>
    <m/>
    <x v="0"/>
    <d v="2019-09-19T00:00:00"/>
    <s v="27.8. zrušeno"/>
  </r>
  <r>
    <m/>
    <m/>
    <d v="2019-05-17T00:00:00"/>
    <s v="VZ-2019-000536"/>
    <x v="5"/>
    <s v="Ondráčková"/>
    <x v="205"/>
    <n v="3"/>
    <s v="Spotřební materiál pro Arkray Adams "/>
    <m/>
    <s v="33694000-1"/>
    <m/>
    <n v="519966"/>
    <x v="0"/>
    <d v="2019-06-14T00:00:00"/>
    <d v="2019-08-20T00:00:00"/>
    <d v="2019-12-17T00:00:00"/>
    <s v="MEDISTA spol. s r.o."/>
    <m/>
    <n v="450000"/>
    <n v="544500"/>
    <m/>
    <m/>
    <m/>
    <d v="2019-12-19T00:00:00"/>
    <s v="SMLN-2019-617-000654"/>
    <x v="0"/>
    <m/>
    <m/>
  </r>
  <r>
    <m/>
    <m/>
    <d v="2019-05-17T00:00:00"/>
    <s v="VZ-2019-000536"/>
    <x v="5"/>
    <s v="Ondráčková"/>
    <x v="205"/>
    <n v="4"/>
    <s v="Spotřební materiál pro Arkray Amonia Checker"/>
    <m/>
    <s v="33694000-1"/>
    <m/>
    <n v="43451"/>
    <x v="0"/>
    <d v="2019-06-14T00:00:00"/>
    <d v="2019-08-20T00:00:00"/>
    <d v="2019-12-17T00:00:00"/>
    <s v="MEDISTA spol. s r.o."/>
    <m/>
    <n v="43450"/>
    <n v="52574.5"/>
    <m/>
    <m/>
    <m/>
    <d v="2019-12-19T00:00:00"/>
    <s v="SMLN-2019-617-000655"/>
    <x v="0"/>
    <m/>
    <m/>
  </r>
  <r>
    <m/>
    <m/>
    <d v="2019-05-17T00:00:00"/>
    <s v="VZ-2019-000536"/>
    <x v="5"/>
    <s v="Ondráčková"/>
    <x v="205"/>
    <n v="5"/>
    <s v="Spotřební materiál pro Arkray Osmometr I."/>
    <m/>
    <s v="33694000-1"/>
    <m/>
    <n v="9780"/>
    <x v="0"/>
    <d v="2019-06-14T00:00:00"/>
    <d v="2019-08-20T00:00:00"/>
    <d v="2019-12-17T00:00:00"/>
    <s v="MEDISTA spol. s r.o."/>
    <m/>
    <n v="9780"/>
    <n v="11833.8"/>
    <m/>
    <m/>
    <m/>
    <d v="2019-12-19T00:00:00"/>
    <s v="SMLN-2019-617-000656"/>
    <x v="0"/>
    <m/>
    <m/>
  </r>
  <r>
    <m/>
    <m/>
    <d v="2019-05-17T00:00:00"/>
    <s v="VZ-2019-000536"/>
    <x v="5"/>
    <s v="Ondráčková"/>
    <x v="205"/>
    <n v="6"/>
    <s v="Spotřební materiál pro Arkray Osmometr II."/>
    <m/>
    <s v="33694000-1"/>
    <m/>
    <n v="1853"/>
    <x v="0"/>
    <d v="2019-06-14T00:00:00"/>
    <d v="2019-08-20T00:00:00"/>
    <d v="2019-12-17T00:00:00"/>
    <s v="MEDISTA spol. s r.o."/>
    <m/>
    <n v="1800"/>
    <n v="2178"/>
    <m/>
    <m/>
    <m/>
    <d v="2019-12-19T00:00:00"/>
    <s v="SMLN-2019-617-000657"/>
    <x v="0"/>
    <m/>
    <m/>
  </r>
  <r>
    <m/>
    <m/>
    <d v="2019-05-17T00:00:00"/>
    <s v="VZ-2019-000536"/>
    <x v="5"/>
    <s v="Ondráčková"/>
    <x v="205"/>
    <n v="7"/>
    <s v="Spotřební materiál pro Dynablot"/>
    <m/>
    <s v="33694000-1"/>
    <m/>
    <n v="225101"/>
    <x v="0"/>
    <d v="2019-06-14T00:00:00"/>
    <d v="2019-08-20T00:00:00"/>
    <d v="2019-12-17T00:00:00"/>
    <s v="ASCO-MED, spol.  s r.o."/>
    <m/>
    <n v="204400"/>
    <n v="247324"/>
    <m/>
    <m/>
    <m/>
    <d v="2019-12-19T00:00:00"/>
    <s v="SMLN-2019-617-000658"/>
    <x v="0"/>
    <m/>
    <m/>
  </r>
  <r>
    <m/>
    <m/>
    <d v="2019-05-17T00:00:00"/>
    <s v="VZ-2019-000536"/>
    <x v="5"/>
    <s v="Ondráčková"/>
    <x v="205"/>
    <n v="8"/>
    <s v="Spotřební materiál pro Evolis I."/>
    <m/>
    <s v="33694000-1"/>
    <m/>
    <n v="181659"/>
    <x v="0"/>
    <d v="2019-06-14T00:00:00"/>
    <d v="2019-08-20T00:00:00"/>
    <m/>
    <s v="zrušeno - špatné zadání"/>
    <m/>
    <m/>
    <m/>
    <m/>
    <m/>
    <m/>
    <m/>
    <m/>
    <x v="0"/>
    <d v="2020-01-08T00:00:00"/>
    <s v="13.12. zrušeno"/>
  </r>
  <r>
    <m/>
    <m/>
    <d v="2019-05-17T00:00:00"/>
    <s v="VZ-2019-000536"/>
    <x v="5"/>
    <s v="Ondráčková"/>
    <x v="205"/>
    <n v="9"/>
    <s v="Spotřební materiál pro Evolis  II."/>
    <m/>
    <s v="33694000-1"/>
    <m/>
    <n v="160200"/>
    <x v="0"/>
    <d v="2019-06-14T00:00:00"/>
    <d v="2019-08-20T00:00:00"/>
    <d v="2019-12-17T00:00:00"/>
    <s v="Beckman Coulter Česká republika s.r.o."/>
    <m/>
    <n v="160200"/>
    <n v="193842"/>
    <m/>
    <m/>
    <m/>
    <d v="2019-12-19T00:00:00"/>
    <s v="SMLN-2019-617-000661"/>
    <x v="0"/>
    <m/>
    <m/>
  </r>
  <r>
    <m/>
    <m/>
    <d v="2019-05-17T00:00:00"/>
    <s v="VZ-2019-000536"/>
    <x v="5"/>
    <s v="Ondráčková"/>
    <x v="205"/>
    <n v="10"/>
    <s v="Spotřební materiál pro Evolis  III."/>
    <m/>
    <s v="33694000-1"/>
    <m/>
    <n v="8775"/>
    <x v="0"/>
    <d v="2019-06-14T00:00:00"/>
    <d v="2019-08-20T00:00:00"/>
    <d v="2019-12-17T00:00:00"/>
    <s v="Bio-Rad spol. s r.o."/>
    <m/>
    <n v="8750"/>
    <n v="10587.5"/>
    <m/>
    <m/>
    <m/>
    <d v="2019-12-19T00:00:00"/>
    <s v="SMLN-2019-617-000662"/>
    <x v="0"/>
    <m/>
    <m/>
  </r>
  <r>
    <m/>
    <m/>
    <d v="2019-05-17T00:00:00"/>
    <s v="VZ-2019-000536"/>
    <x v="5"/>
    <s v="Ondráčková"/>
    <x v="205"/>
    <n v="11"/>
    <s v="Spotřební materiál pro Evolis IV."/>
    <m/>
    <s v="33694000-1"/>
    <m/>
    <n v="442440"/>
    <x v="0"/>
    <d v="2019-06-14T00:00:00"/>
    <d v="2019-08-20T00:00:00"/>
    <m/>
    <s v="zrušeno - špatné zadání"/>
    <m/>
    <m/>
    <m/>
    <m/>
    <m/>
    <m/>
    <m/>
    <m/>
    <x v="0"/>
    <d v="2020-01-08T00:00:00"/>
    <s v="13.12. zrušeno"/>
  </r>
  <r>
    <m/>
    <m/>
    <d v="2019-05-17T00:00:00"/>
    <s v="VZ-2019-000536"/>
    <x v="5"/>
    <s v="Ondráčková"/>
    <x v="205"/>
    <n v="12"/>
    <s v="Spotřební materiál pro Evolis V."/>
    <m/>
    <s v="33694000-1"/>
    <m/>
    <n v="1087139"/>
    <x v="0"/>
    <d v="2019-06-14T00:00:00"/>
    <d v="2019-08-20T00:00:00"/>
    <m/>
    <s v="biovendor"/>
    <s v="DůVOD zrušeno - neúplná nabídka ;  ; DALŠÍ POSTUP upravit zadání; ÚPRAVA  ; PŘEDPOKLAD  ; POZN: "/>
    <m/>
    <m/>
    <m/>
    <m/>
    <m/>
    <m/>
    <m/>
    <x v="0"/>
    <d v="2019-09-19T00:00:00"/>
    <s v="27.8. zrušeno"/>
  </r>
  <r>
    <m/>
    <m/>
    <d v="2019-05-17T00:00:00"/>
    <s v="VZ-2019-000536"/>
    <x v="5"/>
    <s v="Ondráčková"/>
    <x v="205"/>
    <n v="13"/>
    <s v="Spotřební materiál pro Evolis VI."/>
    <m/>
    <s v="33694000-1"/>
    <m/>
    <n v="40650"/>
    <x v="0"/>
    <d v="2019-06-14T00:00:00"/>
    <d v="2019-08-20T00:00:00"/>
    <m/>
    <s v="biovendor"/>
    <s v="DůVOD zrušeno - neúplná nabídka ;  ; DALŠÍ POSTUP upravit zadání; ÚPRAVA  ; PŘEDPOKLAD  ; POZN: "/>
    <m/>
    <m/>
    <m/>
    <m/>
    <m/>
    <m/>
    <m/>
    <x v="0"/>
    <d v="2019-09-19T00:00:00"/>
    <s v="27.8. zrušeno"/>
  </r>
  <r>
    <m/>
    <m/>
    <d v="2019-05-17T00:00:00"/>
    <s v="VZ-2019-000536"/>
    <x v="5"/>
    <s v="Ondráčková"/>
    <x v="205"/>
    <n v="14"/>
    <s v="Spotřební materiál pro Evolis VII."/>
    <m/>
    <s v="33694000-1"/>
    <m/>
    <n v="253762"/>
    <x v="0"/>
    <d v="2019-06-14T00:00:00"/>
    <d v="2019-08-20T00:00:00"/>
    <d v="2019-12-17T00:00:00"/>
    <s v="Dynex LabSolutions s.r.o."/>
    <m/>
    <n v="242505.8"/>
    <n v="293432.02"/>
    <m/>
    <m/>
    <m/>
    <d v="2019-12-19T00:00:00"/>
    <s v="SMLN-2019-617-000663"/>
    <x v="0"/>
    <m/>
    <m/>
  </r>
  <r>
    <m/>
    <m/>
    <d v="2019-05-17T00:00:00"/>
    <s v="VZ-2019-000536"/>
    <x v="5"/>
    <s v="Ondráčková"/>
    <x v="205"/>
    <n v="15"/>
    <s v="Spotřební materiál pro Immulite 2000"/>
    <m/>
    <s v="33694000-1"/>
    <m/>
    <n v="1070340"/>
    <x v="0"/>
    <d v="2019-06-14T00:00:00"/>
    <d v="2019-08-20T00:00:00"/>
    <d v="2019-12-17T00:00:00"/>
    <s v="Siemens Healthcare s.r.o."/>
    <m/>
    <n v="1023157.5"/>
    <n v="1238020.58"/>
    <m/>
    <m/>
    <m/>
    <d v="2019-12-19T00:00:00"/>
    <s v="SMLN-2019-617-000664"/>
    <x v="0"/>
    <m/>
    <m/>
  </r>
  <r>
    <m/>
    <m/>
    <d v="2019-05-17T00:00:00"/>
    <s v="VZ-2019-000536"/>
    <x v="5"/>
    <s v="Ondráčková"/>
    <x v="205"/>
    <n v="16"/>
    <s v="Spotřební materiál pro Wizard I."/>
    <m/>
    <s v="33694000-1"/>
    <m/>
    <n v="619860"/>
    <x v="0"/>
    <d v="2019-06-14T00:00:00"/>
    <d v="2019-08-20T00:00:00"/>
    <m/>
    <s v="biovendor"/>
    <s v="DůVOD zrušeno - neúplné nabídky ;  ; DALŠÍ POSTUP upravit zadání; ÚPRAVA  ; PŘEDPOKLAD  ; POZN: "/>
    <m/>
    <m/>
    <m/>
    <m/>
    <m/>
    <m/>
    <m/>
    <x v="0"/>
    <d v="2019-09-19T00:00:00"/>
    <s v="27.8. zrušeno"/>
  </r>
  <r>
    <m/>
    <m/>
    <d v="2019-05-17T00:00:00"/>
    <s v="VZ-2019-000536"/>
    <x v="5"/>
    <s v="Ondráčková"/>
    <x v="205"/>
    <n v="17"/>
    <s v="Spotřební materiál pro Wizard II."/>
    <m/>
    <s v="33694000-1"/>
    <m/>
    <n v="147629"/>
    <x v="0"/>
    <d v="2019-06-14T00:00:00"/>
    <d v="2019-08-20T00:00:00"/>
    <m/>
    <s v="zrušeno - špatné zadání"/>
    <m/>
    <m/>
    <m/>
    <m/>
    <m/>
    <m/>
    <m/>
    <m/>
    <x v="0"/>
    <d v="2020-01-08T00:00:00"/>
    <s v="13.12. zrušeno"/>
  </r>
  <r>
    <m/>
    <m/>
    <d v="2019-05-17T00:00:00"/>
    <s v="VZ-2019-000536"/>
    <x v="5"/>
    <s v="Ondráčková"/>
    <x v="205"/>
    <n v="18"/>
    <s v="Spotřební materiál pro Wizard III."/>
    <m/>
    <s v="33694000-1"/>
    <m/>
    <n v="181921"/>
    <x v="0"/>
    <d v="2019-06-14T00:00:00"/>
    <d v="2019-08-20T00:00:00"/>
    <m/>
    <s v="lacomed"/>
    <s v="DůVOD zrušeno - bez nabídky ;  ; DALŠÍ POSTUP opakovat; ÚPRAVA  ; PŘEDPOKLAD  ; POZN: "/>
    <m/>
    <m/>
    <m/>
    <m/>
    <m/>
    <m/>
    <m/>
    <x v="0"/>
    <d v="2019-09-19T00:00:00"/>
    <s v="27.8. zrušeno"/>
  </r>
  <r>
    <m/>
    <m/>
    <d v="2019-05-17T00:00:00"/>
    <s v="VZ-2019-000537"/>
    <x v="5"/>
    <s v="Ondráčková"/>
    <x v="206"/>
    <n v="1"/>
    <s v="Spotřební materiál pro Architect 1000"/>
    <m/>
    <s v="33694000-1"/>
    <m/>
    <n v="1311117"/>
    <x v="0"/>
    <d v="2019-06-14T00:00:00"/>
    <d v="2019-08-21T00:00:00"/>
    <d v="2019-09-10T00:00:00"/>
    <s v="Abbott Laboratories, s.r.o."/>
    <m/>
    <n v="1311111"/>
    <n v="1586444.31"/>
    <m/>
    <m/>
    <m/>
    <d v="2019-09-10T00:00:00"/>
    <s v="SMLN-2019-617-000403"/>
    <x v="101"/>
    <d v="2019-10-11T00:00:00"/>
    <d v="2020-10-07T00:00:00"/>
  </r>
  <r>
    <m/>
    <m/>
    <d v="2019-05-17T00:00:00"/>
    <s v="VZ-2019-000537"/>
    <x v="5"/>
    <s v="Ondráčková"/>
    <x v="206"/>
    <n v="2"/>
    <s v="Spotřební materiál pro Architect 1000, 2000"/>
    <m/>
    <s v="33694000-1"/>
    <m/>
    <n v="23904"/>
    <x v="0"/>
    <d v="2019-06-14T00:00:00"/>
    <d v="2019-08-21T00:00:00"/>
    <d v="2019-09-10T00:00:00"/>
    <s v="Bio-Rad spol. s r.o."/>
    <m/>
    <n v="23901"/>
    <n v="28920.21"/>
    <m/>
    <m/>
    <m/>
    <d v="2019-09-10T00:00:00"/>
    <s v="SMLN-2019-617-000404"/>
    <x v="101"/>
    <d v="2019-10-11T00:00:00"/>
    <d v="2020-10-07T00:00:00"/>
  </r>
  <r>
    <m/>
    <m/>
    <d v="2019-05-17T00:00:00"/>
    <s v="VZ-2019-000537"/>
    <x v="5"/>
    <s v="Ondráčková"/>
    <x v="206"/>
    <n v="3"/>
    <s v="Spotřební materiál pro Architect 2000"/>
    <m/>
    <s v="33694000-1"/>
    <m/>
    <n v="7518968"/>
    <x v="0"/>
    <d v="2019-06-14T00:00:00"/>
    <d v="2019-08-21T00:00:00"/>
    <d v="2019-09-10T00:00:00"/>
    <s v="Abbott Laboratories, s.r.o."/>
    <m/>
    <n v="7513930"/>
    <n v="9091855.2999999989"/>
    <m/>
    <m/>
    <m/>
    <d v="2019-09-10T00:00:00"/>
    <s v="SMLN-2019-617-000405"/>
    <x v="101"/>
    <d v="2019-10-11T00:00:00"/>
    <d v="2020-10-07T00:00:00"/>
  </r>
  <r>
    <m/>
    <m/>
    <d v="2019-05-17T00:00:00"/>
    <s v="VZ-2019-000538"/>
    <x v="5"/>
    <s v="Ondráčková"/>
    <x v="207"/>
    <n v="1"/>
    <s v="Spotřební materiál pro Cobas 6000 I."/>
    <m/>
    <s v="33694000-1"/>
    <m/>
    <n v="7792"/>
    <x v="0"/>
    <d v="2019-06-17T00:00:00"/>
    <d v="2019-09-23T00:00:00"/>
    <d v="2019-10-04T00:00:00"/>
    <s v="Bio-Rad spol. s r.o."/>
    <m/>
    <n v="7218"/>
    <n v="8733.7800000000007"/>
    <m/>
    <m/>
    <m/>
    <d v="2019-10-07T00:00:00"/>
    <s v="SMLN-2019-617-000488"/>
    <x v="102"/>
    <d v="2019-11-28T00:00:00"/>
    <d v="2020-11-17T00:00:00"/>
  </r>
  <r>
    <m/>
    <m/>
    <d v="2019-05-17T00:00:00"/>
    <s v="VZ-2019-000538"/>
    <x v="5"/>
    <s v="Ondráčková"/>
    <x v="207"/>
    <n v="2"/>
    <s v="Spotřební materiál pro Cobas 6000 II."/>
    <m/>
    <s v="33694000-1"/>
    <m/>
    <n v="6443288"/>
    <x v="0"/>
    <d v="2019-06-17T00:00:00"/>
    <d v="2019-09-23T00:00:00"/>
    <d v="2019-10-04T00:00:00"/>
    <s v="ROCHE s.r.o."/>
    <m/>
    <n v="6443280.1600000001"/>
    <n v="7796368.9900000002"/>
    <m/>
    <m/>
    <m/>
    <d v="2019-10-07T00:00:00"/>
    <s v="SMLN-2019-617-000489"/>
    <x v="102"/>
    <d v="2019-11-28T00:00:00"/>
    <d v="2020-11-17T00:00:00"/>
  </r>
  <r>
    <m/>
    <m/>
    <d v="2019-05-17T00:00:00"/>
    <s v="VZ-2019-000538"/>
    <x v="5"/>
    <s v="Ondráčková"/>
    <x v="207"/>
    <n v="3"/>
    <s v="Spotřební materiál pro Prospec  I."/>
    <m/>
    <s v="33694000-1"/>
    <m/>
    <n v="951584"/>
    <x v="0"/>
    <d v="2019-06-17T00:00:00"/>
    <d v="2019-09-23T00:00:00"/>
    <d v="2019-10-04T00:00:00"/>
    <s v="Siemens Healthcare s.r.o."/>
    <m/>
    <n v="941643"/>
    <n v="1139388.03"/>
    <m/>
    <m/>
    <m/>
    <d v="2019-10-07T00:00:00"/>
    <s v="SMLN-2019-617-000490"/>
    <x v="102"/>
    <d v="2019-11-28T00:00:00"/>
    <d v="2020-11-17T00:00:00"/>
  </r>
  <r>
    <m/>
    <m/>
    <d v="2019-05-17T00:00:00"/>
    <s v="VZ-2019-000538"/>
    <x v="5"/>
    <s v="Ondráčková"/>
    <x v="207"/>
    <n v="4"/>
    <s v="Spotřební materiál pro Prospec  II."/>
    <m/>
    <s v="33694000-1"/>
    <m/>
    <n v="2700"/>
    <x v="0"/>
    <d v="2019-06-17T00:00:00"/>
    <d v="2019-09-23T00:00:00"/>
    <d v="2019-10-04T00:00:00"/>
    <s v="LAB MARK a.s."/>
    <m/>
    <n v="2580"/>
    <n v="3121.8"/>
    <m/>
    <m/>
    <m/>
    <d v="2019-10-07T00:00:00"/>
    <s v="SMLN-2019-617-000491"/>
    <x v="102"/>
    <d v="2019-11-28T00:00:00"/>
    <d v="2020-11-17T00:00:00"/>
  </r>
  <r>
    <m/>
    <m/>
    <d v="2019-05-17T00:00:00"/>
    <s v="VZ-2019-000538"/>
    <x v="5"/>
    <s v="Ondráčková"/>
    <x v="207"/>
    <n v="5"/>
    <s v="Spotřební materiál pro Sebia - elektroforeza"/>
    <m/>
    <s v="33694000-1"/>
    <m/>
    <n v="1669006"/>
    <x v="0"/>
    <d v="2019-06-17T00:00:00"/>
    <d v="2019-09-23T00:00:00"/>
    <m/>
    <s v="Biovendor"/>
    <s v="Biovendor - nepúplná nabídka - vyloučeni, VZ bude vypsána znovu"/>
    <m/>
    <m/>
    <m/>
    <m/>
    <m/>
    <m/>
    <m/>
    <x v="0"/>
    <d v="2019-10-15T00:00:00"/>
    <s v="24.9. zrušeno"/>
  </r>
  <r>
    <m/>
    <m/>
    <d v="2019-05-17T00:00:00"/>
    <s v="VZ-2019-000539"/>
    <x v="5"/>
    <s v="Ondráčková"/>
    <x v="208"/>
    <n v="1"/>
    <s v="Spotřební materiál pro Cobas 8000 I."/>
    <m/>
    <s v="33694000-1"/>
    <m/>
    <n v="245494"/>
    <x v="0"/>
    <d v="2019-06-17T00:00:00"/>
    <d v="2019-08-20T00:00:00"/>
    <d v="2019-09-25T00:00:00"/>
    <s v="Bio-Rad spol. s r.o."/>
    <m/>
    <n v="245492.5"/>
    <n v="297045.93"/>
    <m/>
    <m/>
    <m/>
    <d v="2019-09-26T00:00:00"/>
    <s v="SMLN-2019-617-000468"/>
    <x v="103"/>
    <d v="2019-11-19T00:00:00"/>
    <d v="2020-11-12T00:00:00"/>
  </r>
  <r>
    <m/>
    <m/>
    <d v="2019-05-17T00:00:00"/>
    <s v="VZ-2019-000539"/>
    <x v="5"/>
    <s v="Ondráčková"/>
    <x v="208"/>
    <n v="2"/>
    <s v="Spotřební materiál pro Cobas 8000  II."/>
    <m/>
    <s v="33694000-1"/>
    <m/>
    <n v="89100"/>
    <x v="0"/>
    <d v="2019-06-17T00:00:00"/>
    <d v="2019-08-20T00:00:00"/>
    <m/>
    <s v="eurorad"/>
    <s v="DůVOD zrušeno - bez nabídky ;  ; DALŠÍ POSTUP opakovat; ÚPRAVA  ; PŘEDPOKLAD  ; POZN: "/>
    <m/>
    <m/>
    <m/>
    <m/>
    <m/>
    <m/>
    <m/>
    <x v="0"/>
    <d v="2019-09-17T00:00:00"/>
    <s v="21.8. zrušeno"/>
  </r>
  <r>
    <m/>
    <m/>
    <d v="2019-05-17T00:00:00"/>
    <s v="VZ-2019-000539"/>
    <x v="5"/>
    <s v="Ondráčková"/>
    <x v="208"/>
    <n v="3"/>
    <s v="Spotřební materiál pro Cobas 8000 III."/>
    <m/>
    <s v="33694000-1"/>
    <m/>
    <n v="372709"/>
    <x v="0"/>
    <d v="2019-06-17T00:00:00"/>
    <d v="2019-08-20T00:00:00"/>
    <d v="2019-09-25T00:00:00"/>
    <s v="LAB MARK a.s."/>
    <m/>
    <n v="372700"/>
    <n v="450967"/>
    <m/>
    <m/>
    <m/>
    <d v="2019-09-26T00:00:00"/>
    <s v="SMLN-2019-617-000470"/>
    <x v="103"/>
    <d v="2019-11-19T00:00:00"/>
    <d v="2020-11-12T00:00:00"/>
  </r>
  <r>
    <m/>
    <m/>
    <d v="2019-05-17T00:00:00"/>
    <s v="VZ-2019-000539"/>
    <x v="5"/>
    <s v="Ondráčková"/>
    <x v="208"/>
    <n v="4"/>
    <s v="Spotřební materiál pro Cobas 8000  IV."/>
    <m/>
    <s v="33694000-1"/>
    <m/>
    <n v="9421101"/>
    <x v="0"/>
    <d v="2019-06-17T00:00:00"/>
    <d v="2019-08-20T00:00:00"/>
    <d v="2019-09-25T00:00:00"/>
    <s v="ROCHE s.r.o."/>
    <m/>
    <n v="9421090.1199999992"/>
    <n v="11399519.050000001"/>
    <m/>
    <m/>
    <m/>
    <d v="2019-09-26T00:00:00"/>
    <s v="SMLN-2019-617-000471"/>
    <x v="103"/>
    <d v="2019-11-19T00:00:00"/>
    <d v="2020-11-12T00:00:00"/>
  </r>
  <r>
    <m/>
    <m/>
    <d v="2019-05-17T00:00:00"/>
    <s v="VZ-2019-000540"/>
    <x v="5"/>
    <s v="Ondráčková"/>
    <x v="209"/>
    <n v="1"/>
    <s v="Spotřební materiál pro Cobas 8000"/>
    <m/>
    <s v="33694000-1"/>
    <m/>
    <n v="10400808"/>
    <x v="0"/>
    <d v="2019-06-14T00:00:00"/>
    <d v="2019-09-09T00:00:00"/>
    <d v="2019-09-25T00:00:00"/>
    <s v="ROCHE s.r.o."/>
    <m/>
    <n v="10400789.970000001"/>
    <n v="12584955.859999999"/>
    <m/>
    <m/>
    <m/>
    <d v="2019-09-26T00:00:00"/>
    <s v="SMLN-2019-617-000467"/>
    <x v="104"/>
    <d v="2019-11-12T00:00:00"/>
    <d v="2020-11-06T00:00:00"/>
  </r>
  <r>
    <m/>
    <m/>
    <d v="2019-05-17T00:00:00"/>
    <s v="VZ-2019-000541"/>
    <x v="5"/>
    <s v="Ondráčková"/>
    <x v="210"/>
    <n v="1"/>
    <s v="Spotřební materiál pro CFX96 I."/>
    <m/>
    <s v="33694000-1"/>
    <m/>
    <n v="2903053"/>
    <x v="0"/>
    <d v="2019-06-04T00:00:00"/>
    <d v="2019-08-12T00:00:00"/>
    <d v="2019-12-19T00:00:00"/>
    <s v="GeneTiCA s.r.o."/>
    <m/>
    <n v="2903040"/>
    <n v="3512678.3999999999"/>
    <m/>
    <m/>
    <m/>
    <d v="2019-12-20T00:00:00"/>
    <s v="SMLN-2019-617-000666"/>
    <x v="0"/>
    <m/>
    <m/>
  </r>
  <r>
    <m/>
    <m/>
    <d v="2019-05-17T00:00:00"/>
    <s v="VZ-2019-000541"/>
    <x v="5"/>
    <s v="Ondráčková"/>
    <x v="210"/>
    <n v="2"/>
    <s v="Spotřební materiál pro CFX96 II."/>
    <m/>
    <s v="33694000-1"/>
    <m/>
    <n v="1057073"/>
    <x v="0"/>
    <d v="2019-06-04T00:00:00"/>
    <d v="2019-08-12T00:00:00"/>
    <m/>
    <s v="medista"/>
    <s v="DůVOD zrušeno - bez nabídky ;  ; DALŠÍ POSTUP opakovat; ÚPRAVA  ; PŘEDPOKLAD  ; POZN: "/>
    <m/>
    <m/>
    <m/>
    <m/>
    <m/>
    <m/>
    <m/>
    <x v="0"/>
    <d v="2019-09-19T00:00:00"/>
    <s v="27.8. zrušeno"/>
  </r>
  <r>
    <m/>
    <m/>
    <d v="2019-05-17T00:00:00"/>
    <s v="VZ-2019-000541"/>
    <x v="5"/>
    <s v="Ondráčková"/>
    <x v="210"/>
    <n v="3"/>
    <s v="Spotřební materiál pro Cobas TaqMan"/>
    <m/>
    <s v="33694000-1"/>
    <m/>
    <n v="285400"/>
    <x v="0"/>
    <d v="2019-06-04T00:00:00"/>
    <d v="2019-08-12T00:00:00"/>
    <d v="2019-12-19T00:00:00"/>
    <s v="ROCHE s.r.o."/>
    <m/>
    <n v="285400"/>
    <n v="345334"/>
    <m/>
    <m/>
    <m/>
    <d v="2019-12-20T00:00:00"/>
    <s v="SMLN-2019-617-000667"/>
    <x v="0"/>
    <m/>
    <m/>
  </r>
  <r>
    <m/>
    <m/>
    <d v="2019-05-17T00:00:00"/>
    <s v="VZ-2019-000541"/>
    <x v="5"/>
    <s v="Ondráčková"/>
    <x v="210"/>
    <n v="4"/>
    <s v="Spotřební materiál pro  BactecMGIT960"/>
    <m/>
    <s v="33694000-1"/>
    <m/>
    <n v="909294"/>
    <x v="0"/>
    <d v="2019-06-04T00:00:00"/>
    <d v="2019-08-12T00:00:00"/>
    <m/>
    <s v="zrušeno - špatné zadání"/>
    <m/>
    <m/>
    <m/>
    <m/>
    <m/>
    <m/>
    <m/>
    <m/>
    <x v="0"/>
    <d v="2020-01-09T00:00:00"/>
    <s v="18.12.zrušeno"/>
  </r>
  <r>
    <m/>
    <m/>
    <d v="2019-05-17T00:00:00"/>
    <s v="VZ-2019-000541"/>
    <x v="5"/>
    <s v="Ondráčková"/>
    <x v="210"/>
    <n v="5"/>
    <s v="Spotřební materiál pro Fotometr Biotek ELx808 I."/>
    <m/>
    <s v="33694000-1"/>
    <m/>
    <n v="372050"/>
    <x v="0"/>
    <d v="2019-06-04T00:00:00"/>
    <d v="2019-08-12T00:00:00"/>
    <d v="2019-12-19T00:00:00"/>
    <s v="Biomedica ČS, s.r.o."/>
    <m/>
    <n v="237646.8"/>
    <n v="287552.63"/>
    <m/>
    <m/>
    <m/>
    <d v="2019-12-20T00:00:00"/>
    <s v="SMLN-2019-617-000668"/>
    <x v="0"/>
    <m/>
    <m/>
  </r>
  <r>
    <m/>
    <m/>
    <d v="2019-05-17T00:00:00"/>
    <s v="VZ-2019-000541"/>
    <x v="5"/>
    <s v="Ondráčková"/>
    <x v="210"/>
    <n v="6"/>
    <s v="Spotřební materiál pro Fotometr Biotek ELx808 II."/>
    <m/>
    <s v="33694000-1"/>
    <m/>
    <n v="750200"/>
    <x v="0"/>
    <d v="2019-06-04T00:00:00"/>
    <d v="2019-08-12T00:00:00"/>
    <m/>
    <s v="ascomed"/>
    <s v="DůVOD zrušeno -neuplná nabídka ;  ; DALŠÍ POSTUP upravit položky; ÚPRAVA  ; PŘEDPOKLAD  ; POZN: "/>
    <m/>
    <m/>
    <m/>
    <m/>
    <m/>
    <m/>
    <m/>
    <x v="0"/>
    <d v="2019-09-19T00:00:00"/>
    <s v="27.8. zrušeno"/>
  </r>
  <r>
    <m/>
    <m/>
    <d v="2019-05-17T00:00:00"/>
    <s v="VZ-2019-000541"/>
    <x v="5"/>
    <s v="Ondráčková"/>
    <x v="210"/>
    <n v="7"/>
    <s v="Spotřební materiál pro Fotometr Biotek ELx808 III."/>
    <m/>
    <s v="33694000-1"/>
    <m/>
    <n v="916955"/>
    <x v="0"/>
    <d v="2019-06-04T00:00:00"/>
    <d v="2019-08-12T00:00:00"/>
    <s v="19.12.209"/>
    <s v="Dynex LabSolutions s.r.o."/>
    <m/>
    <n v="906965.5"/>
    <n v="1097428.26"/>
    <m/>
    <m/>
    <m/>
    <d v="2019-12-20T00:00:00"/>
    <s v="SMLN-2019-617-000669"/>
    <x v="0"/>
    <m/>
    <m/>
  </r>
  <r>
    <m/>
    <m/>
    <d v="2019-05-17T00:00:00"/>
    <s v="VZ-2019-000541"/>
    <x v="5"/>
    <s v="Ondráčková"/>
    <x v="210"/>
    <n v="8"/>
    <s v="Kultivační média pro automat WASP"/>
    <m/>
    <s v="33694000-1"/>
    <m/>
    <n v="2769329"/>
    <x v="0"/>
    <d v="2019-06-04T00:00:00"/>
    <d v="2019-08-12T00:00:00"/>
    <d v="2019-12-19T00:00:00"/>
    <s v="TRIOS, spol. s r.o."/>
    <m/>
    <n v="2723403.66"/>
    <n v="3295318.43"/>
    <m/>
    <m/>
    <m/>
    <d v="2019-12-20T00:00:00"/>
    <s v="SMLN-2019-617-000670"/>
    <x v="0"/>
    <m/>
    <m/>
  </r>
  <r>
    <m/>
    <m/>
    <d v="2019-05-17T00:00:00"/>
    <s v="VZ-2019-000542"/>
    <x v="5"/>
    <s v="Ondráčková"/>
    <x v="211"/>
    <n v="1"/>
    <s v="Spotřební materiál pro Liaison XL "/>
    <m/>
    <s v="33694000-1"/>
    <m/>
    <n v="5942299"/>
    <x v="0"/>
    <d v="2019-06-05T00:00:00"/>
    <d v="2019-07-09T00:00:00"/>
    <d v="2019-08-20T00:00:00"/>
    <s v="DiaSorin Czech s.r.o."/>
    <m/>
    <n v="5924407.6799999997"/>
    <n v="7168533.29"/>
    <m/>
    <m/>
    <m/>
    <d v="2019-08-20T00:00:00"/>
    <s v="SMLN-2019-617-000361"/>
    <x v="101"/>
    <d v="2019-10-10T00:00:00"/>
    <d v="2020-10-07T00:00:00"/>
  </r>
  <r>
    <m/>
    <m/>
    <d v="2019-05-17T00:00:00"/>
    <s v="VZ-2019-000543"/>
    <x v="5"/>
    <s v="Ondráčková"/>
    <x v="212"/>
    <n v="1"/>
    <s v="Spotřební materiál pro mikrobiologii II."/>
    <m/>
    <s v="33694000-1"/>
    <m/>
    <n v="182310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2"/>
    <s v="Spotřební materiál pro mikrobiologii III."/>
    <m/>
    <s v="33694000-1"/>
    <m/>
    <n v="291206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3"/>
    <s v="Spotřební materiál pro mikrobiologii IV."/>
    <m/>
    <s v="33694000-1"/>
    <m/>
    <n v="12360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4"/>
    <s v="Spotřební materiál pro mikrobiologii V."/>
    <m/>
    <s v="33694000-1"/>
    <m/>
    <n v="409529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5"/>
    <s v="Spotřební materiál pro Qiacube"/>
    <m/>
    <s v="33694000-1"/>
    <m/>
    <n v="379509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6"/>
    <s v="Spotřební materiál pro mikrobiologii VI."/>
    <m/>
    <s v="33694000-1"/>
    <m/>
    <n v="162467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7"/>
    <s v="Spotřební materiál pro mikrobiologii VII."/>
    <m/>
    <s v="33694000-1"/>
    <m/>
    <n v="144450"/>
    <x v="0"/>
    <d v="2019-06-05T00:00:00"/>
    <d v="2019-08-29T00:00:00"/>
    <m/>
    <s v="sigmal"/>
    <s v="DůVOD zrušeno - bez nabídky ;  ; DALŠÍ POSTUP opakovat; ÚPRAVA  ; PŘEDPOKLAD  ; POZN: "/>
    <m/>
    <m/>
    <m/>
    <m/>
    <m/>
    <m/>
    <m/>
    <x v="0"/>
    <d v="2019-09-05T00:00:00"/>
    <s v="5.9. zrušeno"/>
  </r>
  <r>
    <m/>
    <m/>
    <d v="2019-05-17T00:00:00"/>
    <s v="VZ-2019-000543"/>
    <x v="5"/>
    <s v="Ondráčková"/>
    <x v="212"/>
    <n v="8"/>
    <s v="Spotřební materiál pro mikrobiologii VIII."/>
    <m/>
    <s v="33694000-1"/>
    <m/>
    <n v="202652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9"/>
    <s v="Spotřební materiál pro mikrobiologii  IX."/>
    <m/>
    <s v="33694000-1"/>
    <m/>
    <n v="601611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10"/>
    <s v="Spotřební materiál pro mikrobiologii  X."/>
    <m/>
    <s v="33694000-1"/>
    <m/>
    <n v="253696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11"/>
    <s v="Spotřební materiál pro Profiblot 48 Tecan"/>
    <m/>
    <s v="33694000-1"/>
    <m/>
    <n v="434935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12"/>
    <s v="Spotřební materiál pro CFX96 III."/>
    <m/>
    <s v="33694000-1"/>
    <m/>
    <n v="918481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13"/>
    <s v="Spotřební materiál pro CFX96 IV."/>
    <m/>
    <s v="33694000-1"/>
    <m/>
    <n v="320000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14"/>
    <s v="Spotřební materiál pro GeneXpert, Cepheid"/>
    <m/>
    <s v="33694000-1"/>
    <m/>
    <n v="98615"/>
    <x v="0"/>
    <d v="2019-06-05T00:00:00"/>
    <d v="2019-08-29T00:00:00"/>
    <m/>
    <m/>
    <m/>
    <m/>
    <m/>
    <m/>
    <m/>
    <m/>
    <m/>
    <m/>
    <x v="0"/>
    <m/>
    <m/>
  </r>
  <r>
    <m/>
    <m/>
    <d v="2019-05-17T00:00:00"/>
    <s v="VZ-2019-000543"/>
    <x v="5"/>
    <s v="Ondráčková"/>
    <x v="212"/>
    <n v="15"/>
    <s v="Spotřební materiál pro mikrobiologii I."/>
    <m/>
    <s v="33694000-1"/>
    <m/>
    <n v="319003"/>
    <x v="0"/>
    <d v="2019-06-05T00:00:00"/>
    <d v="2019-08-29T00:00:00"/>
    <m/>
    <m/>
    <m/>
    <m/>
    <m/>
    <m/>
    <m/>
    <m/>
    <m/>
    <m/>
    <x v="0"/>
    <d v="2019-09-05T00:00:00"/>
    <s v="5.9. zrušeno"/>
  </r>
  <r>
    <m/>
    <m/>
    <d v="2019-05-17T00:00:00"/>
    <s v="VZ-2019-000544"/>
    <x v="5"/>
    <s v="Ondráčková"/>
    <x v="213"/>
    <n v="1"/>
    <s v="Spotřební materiál pro BD FACSCanto"/>
    <m/>
    <s v="33694000-1"/>
    <m/>
    <n v="401500"/>
    <x v="0"/>
    <d v="2019-06-07T00:00:00"/>
    <d v="2019-08-13T00:00:00"/>
    <d v="2019-12-17T00:00:00"/>
    <s v="Becton Dickinson  Czechia, s.r.o."/>
    <m/>
    <n v="252220"/>
    <n v="305186.2"/>
    <m/>
    <m/>
    <m/>
    <d v="2019-12-19T00:00:00"/>
    <s v="SMLN-2019-617-000647"/>
    <x v="0"/>
    <m/>
    <m/>
  </r>
  <r>
    <m/>
    <m/>
    <d v="2019-05-17T00:00:00"/>
    <s v="VZ-2019-000544"/>
    <x v="5"/>
    <s v="Ondráčková"/>
    <x v="213"/>
    <n v="2"/>
    <s v="Spotřební materiál pro Cyklery Bio Rad, Biometra I"/>
    <m/>
    <s v="33694000-1"/>
    <m/>
    <n v="3061174"/>
    <x v="0"/>
    <d v="2019-06-07T00:00:00"/>
    <d v="2019-08-13T00:00:00"/>
    <d v="2019-12-17T00:00:00"/>
    <s v="INTERSOL, spol. s r.o."/>
    <m/>
    <n v="3061174"/>
    <n v="3631595.99"/>
    <m/>
    <m/>
    <m/>
    <d v="2019-12-19T00:00:00"/>
    <s v="SMLN-2019-617-000648"/>
    <x v="0"/>
    <m/>
    <m/>
  </r>
  <r>
    <m/>
    <m/>
    <d v="2019-05-17T00:00:00"/>
    <s v="VZ-2019-000544"/>
    <x v="5"/>
    <s v="Ondráčková"/>
    <x v="213"/>
    <n v="3"/>
    <s v="Spotřební materiál pro Cyklery Bio Rad, Biometra II"/>
    <m/>
    <s v="33694000-1"/>
    <m/>
    <n v="55026"/>
    <x v="0"/>
    <d v="2019-06-07T00:00:00"/>
    <d v="2019-08-13T00:00:00"/>
    <m/>
    <s v="JKTrading"/>
    <s v="DůVOD zrušeno - bez nabídky ;  ; DALŠÍ POSTUP opakovat; ÚPRAVA  ; PŘEDPOKLAD  ; POZN: "/>
    <m/>
    <m/>
    <m/>
    <m/>
    <m/>
    <m/>
    <m/>
    <x v="0"/>
    <d v="2019-09-18T00:00:00"/>
    <s v="27.8. zrušeno"/>
  </r>
  <r>
    <m/>
    <m/>
    <d v="2019-05-17T00:00:00"/>
    <s v="VZ-2019-000544"/>
    <x v="5"/>
    <s v="Ondráčková"/>
    <x v="213"/>
    <n v="4"/>
    <s v="Spotřební materiál pro Cyklery Bio Rad, Biometra III"/>
    <m/>
    <s v="33694000-1"/>
    <m/>
    <n v="32179"/>
    <x v="0"/>
    <d v="2019-06-07T00:00:00"/>
    <d v="2019-08-13T00:00:00"/>
    <m/>
    <s v="Dynex"/>
    <s v="DůVOD zrušeno - bez nabídky ;  ; DALŠÍ POSTUP opakovat; ÚPRAVA  ; PŘEDPOKLAD  ; POZN: "/>
    <m/>
    <m/>
    <m/>
    <m/>
    <m/>
    <m/>
    <m/>
    <x v="0"/>
    <d v="2019-09-18T00:00:00"/>
    <s v="27.8. zrušeno"/>
  </r>
  <r>
    <m/>
    <m/>
    <d v="2019-05-17T00:00:00"/>
    <s v="VZ-2019-000544"/>
    <x v="5"/>
    <s v="Ondráčková"/>
    <x v="213"/>
    <n v="5"/>
    <s v="Elekroforézy Max Power 500"/>
    <m/>
    <s v="33694000-1"/>
    <m/>
    <n v="159200"/>
    <x v="0"/>
    <d v="2019-06-07T00:00:00"/>
    <d v="2019-08-13T00:00:00"/>
    <d v="2019-12-17T00:00:00"/>
    <s v="BioTech a.s."/>
    <m/>
    <n v="107440"/>
    <n v="130002.4"/>
    <m/>
    <m/>
    <m/>
    <d v="2019-12-19T00:00:00"/>
    <s v="SMLN-2019-617-000649"/>
    <x v="0"/>
    <m/>
    <m/>
  </r>
  <r>
    <m/>
    <m/>
    <d v="2019-05-17T00:00:00"/>
    <s v="VZ-2019-000544"/>
    <x v="5"/>
    <s v="Ondráčková"/>
    <x v="213"/>
    <n v="6"/>
    <s v="Spotřební materiál pro  ELISA Reader Biotek"/>
    <m/>
    <s v="33694000-1"/>
    <m/>
    <n v="443295"/>
    <x v="0"/>
    <d v="2019-06-07T00:00:00"/>
    <d v="2019-08-13T00:00:00"/>
    <d v="2019-12-17T00:00:00"/>
    <s v="CEEMED s.r.o."/>
    <m/>
    <n v="443294"/>
    <n v="509788.1"/>
    <m/>
    <m/>
    <m/>
    <d v="2019-12-19T00:00:00"/>
    <s v="SMLN-2019-617-000650"/>
    <x v="0"/>
    <m/>
    <m/>
  </r>
  <r>
    <m/>
    <m/>
    <d v="2019-05-17T00:00:00"/>
    <s v="VZ-2019-000544"/>
    <x v="5"/>
    <s v="Ondráčková"/>
    <x v="213"/>
    <n v="7"/>
    <s v="Spotřební materiál pro  fotometr Tecan Sunrise I."/>
    <m/>
    <s v="33694000-1"/>
    <m/>
    <n v="138334"/>
    <x v="0"/>
    <d v="2019-06-07T00:00:00"/>
    <d v="2019-08-13T00:00:00"/>
    <d v="2019-12-17T00:00:00"/>
    <s v="LABOSERV s.r.o."/>
    <m/>
    <n v="138322.79999999999"/>
    <n v="167370.59"/>
    <m/>
    <m/>
    <m/>
    <d v="2019-12-19T00:00:00"/>
    <s v="SMLN-2019-617-000651"/>
    <x v="0"/>
    <m/>
    <m/>
  </r>
  <r>
    <m/>
    <m/>
    <d v="2019-05-17T00:00:00"/>
    <s v="VZ-2019-000544"/>
    <x v="5"/>
    <s v="Ondráčková"/>
    <x v="213"/>
    <n v="8"/>
    <s v="Spotřební materiál pro fotometr Tecan Sunrise II."/>
    <m/>
    <s v="33694000-1"/>
    <m/>
    <n v="144000"/>
    <x v="0"/>
    <d v="2019-06-07T00:00:00"/>
    <d v="2019-08-13T00:00:00"/>
    <m/>
    <s v="Testline"/>
    <s v="DůVOD zrušeno - bez nabídky ;  ; DALŠÍ POSTUP opakovat; ÚPRAVA  ; PŘEDPOKLAD  ; POZN: "/>
    <m/>
    <m/>
    <m/>
    <m/>
    <m/>
    <m/>
    <m/>
    <x v="0"/>
    <d v="2019-09-18T00:00:00"/>
    <s v="27.8. zrušeno"/>
  </r>
  <r>
    <m/>
    <m/>
    <d v="2019-05-17T00:00:00"/>
    <s v="VZ-2019-000544"/>
    <x v="5"/>
    <s v="Ondráčková"/>
    <x v="213"/>
    <n v="9"/>
    <s v="Spotřební materiál pro fotometr Tecan Sunrise III."/>
    <m/>
    <s v="33694000-1"/>
    <m/>
    <n v="630771"/>
    <x v="0"/>
    <d v="2019-06-07T00:00:00"/>
    <d v="2019-08-13T00:00:00"/>
    <d v="2019-12-17T00:00:00"/>
    <s v="GALI spol. s r.o."/>
    <m/>
    <n v="630740"/>
    <n v="763195.4"/>
    <m/>
    <m/>
    <m/>
    <d v="2019-12-19T00:00:00"/>
    <s v="SMLN-2019-617-000652"/>
    <x v="0"/>
    <m/>
    <m/>
  </r>
  <r>
    <m/>
    <m/>
    <d v="2019-05-17T00:00:00"/>
    <s v="VZ-2019-000544"/>
    <x v="5"/>
    <s v="Ondráčková"/>
    <x v="213"/>
    <n v="10"/>
    <s v="Spotřební materiál pro Fotometr Tecan Sunrise IV."/>
    <m/>
    <s v="33694000-1"/>
    <m/>
    <n v="798400"/>
    <x v="0"/>
    <d v="2019-06-07T00:00:00"/>
    <d v="2019-08-13T00:00:00"/>
    <m/>
    <s v="zrušeno - oprava zadání"/>
    <m/>
    <m/>
    <m/>
    <m/>
    <m/>
    <m/>
    <m/>
    <m/>
    <x v="0"/>
    <d v="2020-01-10T00:00:00"/>
    <s v="18.12. zrušeno"/>
  </r>
  <r>
    <m/>
    <m/>
    <d v="2019-05-17T00:00:00"/>
    <s v="VZ-2019-000545"/>
    <x v="5"/>
    <s v="Ondráčková"/>
    <x v="214"/>
    <n v="1"/>
    <s v="Spotřební materiál pro Phadia 100"/>
    <m/>
    <s v="33694000-1"/>
    <m/>
    <n v="115765"/>
    <x v="0"/>
    <d v="2019-06-07T00:00:00"/>
    <d v="2019-07-12T00:00:00"/>
    <d v="2019-08-29T00:00:00"/>
    <s v="Phadia, s.r.o."/>
    <m/>
    <n v="114895"/>
    <n v="139022.95000000001"/>
    <m/>
    <m/>
    <m/>
    <d v="2019-09-02T00:00:00"/>
    <s v="SMLN-2019-617-000392"/>
    <x v="105"/>
    <d v="2019-12-05T00:00:00"/>
    <d v="2020-11-26T00:00:00"/>
  </r>
  <r>
    <m/>
    <m/>
    <d v="2019-05-17T00:00:00"/>
    <s v="VZ-2019-000545"/>
    <x v="5"/>
    <s v="Ondráčková"/>
    <x v="214"/>
    <n v="2"/>
    <s v="Spotřební materiál pro Phadia 250"/>
    <m/>
    <s v="33694000-1"/>
    <m/>
    <n v="5632435"/>
    <x v="0"/>
    <d v="2019-06-07T00:00:00"/>
    <d v="2019-07-12T00:00:00"/>
    <d v="2019-08-29T00:00:00"/>
    <s v="Phadia, s.r.o."/>
    <m/>
    <n v="5628645"/>
    <n v="6810660.4500000002"/>
    <m/>
    <m/>
    <m/>
    <d v="2019-09-02T00:00:00"/>
    <s v="SMLN-2019-617-000393"/>
    <x v="105"/>
    <d v="2019-12-05T00:00:00"/>
    <d v="2020-11-26T00:00:00"/>
  </r>
  <r>
    <m/>
    <m/>
    <d v="2019-05-17T00:00:00"/>
    <s v="VZ-2019-000545"/>
    <x v="5"/>
    <s v="Ondráčková"/>
    <x v="214"/>
    <n v="3"/>
    <s v="Spotřební materiál pro nefelometr BN II"/>
    <m/>
    <s v="33694000-1"/>
    <m/>
    <n v="3859547"/>
    <x v="0"/>
    <d v="2019-06-07T00:00:00"/>
    <d v="2019-07-12T00:00:00"/>
    <d v="2019-08-29T00:00:00"/>
    <s v="Siemens Healthcare s.r.o."/>
    <m/>
    <n v="3854751"/>
    <n v="4664248.71"/>
    <m/>
    <m/>
    <m/>
    <d v="2019-09-02T00:00:00"/>
    <s v="SMLN-2019-617-000394"/>
    <x v="105"/>
    <d v="2019-12-05T00:00:00"/>
    <d v="2020-11-26T00:00:00"/>
  </r>
  <r>
    <m/>
    <m/>
    <d v="2019-05-17T00:00:00"/>
    <s v="VZ-2019-000546"/>
    <x v="5"/>
    <s v="Ondráčková"/>
    <x v="215"/>
    <n v="1"/>
    <s v="Spotřební materiál pro Fotometr Tecan Sunrise V."/>
    <m/>
    <s v="33694000-1"/>
    <m/>
    <n v="518440"/>
    <x v="0"/>
    <d v="2019-06-10T00:00:00"/>
    <d v="2019-07-15T00:00:00"/>
    <d v="2019-09-10T00:00:00"/>
    <s v="MEDISCO Praha, s.r.o."/>
    <m/>
    <n v="518350"/>
    <n v="627203.5"/>
    <m/>
    <m/>
    <m/>
    <d v="2019-09-10T00:00:00"/>
    <s v="SMLN-2019-617-000412"/>
    <x v="106"/>
    <d v="2019-11-06T00:00:00"/>
    <d v="2020-11-04T00:00:00"/>
  </r>
  <r>
    <m/>
    <m/>
    <d v="2019-05-17T00:00:00"/>
    <s v="VZ-2019-000546"/>
    <x v="5"/>
    <s v="Ondráčková"/>
    <x v="215"/>
    <n v="2"/>
    <s v="Spotřební materiál pro Genetický analyzátor 3500 I."/>
    <m/>
    <s v="33694000-1"/>
    <m/>
    <n v="1561878"/>
    <x v="0"/>
    <d v="2019-06-10T00:00:00"/>
    <d v="2019-07-15T00:00:00"/>
    <m/>
    <s v="Huge diagnostics"/>
    <s v="DůVOD zrušeno - bez nabídky ; kvůli nepřesným údajům zakázky (katalogová čísla a ceny)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3"/>
    <s v="Spotřební materiál pro Genetický analyzátor 3500  II."/>
    <m/>
    <s v="33694000-1"/>
    <m/>
    <n v="137608"/>
    <x v="0"/>
    <d v="2019-06-10T00:00:00"/>
    <d v="2019-07-15T00:00:00"/>
    <d v="2019-09-10T00:00:00"/>
    <s v="Life Technologies Czech Republic s.r.o."/>
    <m/>
    <n v="129404.85"/>
    <n v="156579.87"/>
    <m/>
    <m/>
    <m/>
    <d v="2019-09-10T00:00:00"/>
    <s v="SMLN-2019-617-000413"/>
    <x v="106"/>
    <d v="2019-11-06T00:00:00"/>
    <d v="2020-11-04T00:00:00"/>
  </r>
  <r>
    <m/>
    <m/>
    <d v="2019-05-17T00:00:00"/>
    <s v="VZ-2019-000546"/>
    <x v="5"/>
    <s v="Ondráčková"/>
    <x v="215"/>
    <n v="4"/>
    <s v="Spotřební materiál pro  mikroskop Nicon"/>
    <m/>
    <s v="33694000-1"/>
    <m/>
    <n v="17780"/>
    <x v="0"/>
    <d v="2019-06-10T00:00:00"/>
    <d v="2019-07-15T00:00:00"/>
    <m/>
    <s v="Scintil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5"/>
    <s v="Spotřební materiál pro Izolátor DNA NorDiag Arrow"/>
    <m/>
    <s v="33694000-1"/>
    <m/>
    <n v="112084"/>
    <x v="0"/>
    <d v="2019-06-10T00:00:00"/>
    <d v="2019-07-15T00:00:00"/>
    <m/>
    <s v="Huge diagnostics"/>
    <s v="DůVOD zrušeno - bez nabídky ; kvůli nepřesným údajům zakázky (katalogová čísla a ceny)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6"/>
    <s v="Spotřební materiál pro mikroskop Leica DM2000 I."/>
    <m/>
    <s v="33694000-1"/>
    <m/>
    <n v="164605"/>
    <x v="0"/>
    <d v="2019-06-10T00:00:00"/>
    <d v="2019-07-15T00:00:00"/>
    <m/>
    <s v="JKTrading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7"/>
    <s v="Spotřební materiál pro mikroskop Leica DM2000 II."/>
    <m/>
    <s v="33694000-1"/>
    <m/>
    <n v="230142"/>
    <x v="0"/>
    <d v="2019-06-10T00:00:00"/>
    <d v="2019-07-15T00:00:00"/>
    <d v="2019-09-10T00:00:00"/>
    <s v="Werfen Czech s.r.o."/>
    <m/>
    <n v="230141.95"/>
    <n v="278471.76"/>
    <m/>
    <m/>
    <m/>
    <d v="2019-09-10T00:00:00"/>
    <s v="SMLN-2019-617-000414"/>
    <x v="106"/>
    <d v="2019-11-06T00:00:00"/>
    <d v="2020-11-04T00:00:00"/>
  </r>
  <r>
    <m/>
    <m/>
    <d v="2019-05-17T00:00:00"/>
    <s v="VZ-2019-000546"/>
    <x v="5"/>
    <s v="Ondráčková"/>
    <x v="215"/>
    <n v="8"/>
    <s v=" Spotřební materiál pro mikroskop Nicon"/>
    <m/>
    <s v="33694000-1"/>
    <m/>
    <n v="56781"/>
    <x v="0"/>
    <d v="2019-06-10T00:00:00"/>
    <d v="2019-07-15T00:00:00"/>
    <m/>
    <s v="Scintil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9"/>
    <s v="Spotřební materiál pro Mindray BriCyte E10"/>
    <m/>
    <s v="33694000-1"/>
    <m/>
    <n v="242475"/>
    <x v="0"/>
    <d v="2019-06-10T00:00:00"/>
    <d v="2019-07-15T00:00:00"/>
    <d v="2019-09-10T00:00:00"/>
    <s v="I.T.A. - Interact s.r.o."/>
    <m/>
    <n v="242122"/>
    <n v="292967.62"/>
    <m/>
    <m/>
    <m/>
    <d v="2019-09-10T00:00:00"/>
    <s v="SMLN-2019-617-000415"/>
    <x v="106"/>
    <d v="2019-11-06T00:00:00"/>
    <d v="2020-11-04T00:00:00"/>
  </r>
  <r>
    <m/>
    <m/>
    <d v="2019-05-17T00:00:00"/>
    <s v="VZ-2019-000546"/>
    <x v="5"/>
    <s v="Ondráčková"/>
    <x v="215"/>
    <n v="10"/>
    <s v="Spotřební bonus pro Miseq - Illumina I."/>
    <m/>
    <s v="33694000-1"/>
    <m/>
    <n v="281956"/>
    <x v="0"/>
    <d v="2019-06-10T00:00:00"/>
    <d v="2019-07-15T00:00:00"/>
    <m/>
    <s v="Dynex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11"/>
    <s v="Spotřební bonus pro Miseq - Illumina II."/>
    <m/>
    <s v="33694000-1"/>
    <m/>
    <n v="273420"/>
    <x v="0"/>
    <d v="2019-06-10T00:00:00"/>
    <d v="2019-07-15T00:00:00"/>
    <m/>
    <s v="Genetica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12"/>
    <s v="Spotřební materiál pro Potransplantační CM/"/>
    <m/>
    <s v="33694000-1"/>
    <m/>
    <n v="9180"/>
    <x v="0"/>
    <d v="2019-06-10T00:00:00"/>
    <d v="2019-07-15T00:00:00"/>
    <m/>
    <s v="Scintil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13"/>
    <s v="Spotřební materiál pro Qubit® 2.0 Fluorometr "/>
    <m/>
    <s v="33694000-1"/>
    <m/>
    <n v="15521"/>
    <x v="0"/>
    <d v="2019-06-10T00:00:00"/>
    <d v="2019-07-15T00:00:00"/>
    <d v="2019-09-10T00:00:00"/>
    <s v="Life Technologies Czech Republic s.r.o."/>
    <m/>
    <n v="15498"/>
    <n v="18752.580000000002"/>
    <m/>
    <m/>
    <m/>
    <d v="2019-09-10T00:00:00"/>
    <s v="SMLN-2019-617-000416"/>
    <x v="106"/>
    <d v="2019-11-06T00:00:00"/>
    <d v="2020-11-04T00:00:00"/>
  </r>
  <r>
    <m/>
    <m/>
    <d v="2019-05-17T00:00:00"/>
    <s v="VZ-2019-000546"/>
    <x v="5"/>
    <s v="Ondráčková"/>
    <x v="215"/>
    <n v="14"/>
    <s v="Spotřební materiál pro Třepačka Mini Rocket"/>
    <m/>
    <s v="33694000-1"/>
    <m/>
    <n v="285592"/>
    <x v="0"/>
    <d v="2019-06-10T00:00:00"/>
    <d v="2019-07-15T00:00:00"/>
    <m/>
    <s v="biovendor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15"/>
    <s v="Spotřební materiál IMUNO I."/>
    <m/>
    <s v="33694000-1"/>
    <m/>
    <n v="7581"/>
    <x v="0"/>
    <d v="2019-06-10T00:00:00"/>
    <d v="2019-07-15T00:00:00"/>
    <m/>
    <s v="life diangnostic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6"/>
    <x v="5"/>
    <s v="Ondráčková"/>
    <x v="215"/>
    <n v="16"/>
    <s v="Spotřební materiál IMUNO II."/>
    <m/>
    <s v="33694000-1"/>
    <m/>
    <n v="17828"/>
    <x v="0"/>
    <d v="2019-06-10T00:00:00"/>
    <d v="2019-07-15T00:00:00"/>
    <m/>
    <s v="Scintil"/>
    <s v="DůVOD zrušeno - bez nabídky ;  ; DALŠÍ POSTUP opakovat; ÚPRAVA  ; PŘEDPOKLAD  ; POZN: "/>
    <m/>
    <m/>
    <m/>
    <m/>
    <m/>
    <m/>
    <m/>
    <x v="0"/>
    <d v="2019-08-19T00:00:00"/>
    <s v="6.8. zrušeno"/>
  </r>
  <r>
    <m/>
    <m/>
    <d v="2019-05-17T00:00:00"/>
    <s v="VZ-2019-000547"/>
    <x v="5"/>
    <s v="Ondráčková"/>
    <x v="216"/>
    <n v="1"/>
    <s v="Chemikálie pro molekulárně biologické metody"/>
    <m/>
    <s v="33694000-1"/>
    <m/>
    <n v="89798"/>
    <x v="1"/>
    <d v="2019-06-05T00:00:00"/>
    <d v="2019-07-22T00:00:00"/>
    <d v="2019-10-30T00:00:00"/>
    <s v="Carolina Biosystems, s.r.o."/>
    <m/>
    <n v="59000"/>
    <n v="71390"/>
    <m/>
    <m/>
    <m/>
    <d v="2019-10-31T00:00:00"/>
    <s v="SMLN-2019-617-000536"/>
    <x v="107"/>
    <d v="2020-01-13T00:00:00"/>
    <d v="2020-12-17T00:00:00"/>
  </r>
  <r>
    <m/>
    <m/>
    <d v="2019-05-17T00:00:00"/>
    <s v="VZ-2019-000547"/>
    <x v="5"/>
    <s v="Ondráčková"/>
    <x v="216"/>
    <n v="2"/>
    <s v="Protilátky a chemikálie pro IHC metody I."/>
    <m/>
    <s v="33694000-1"/>
    <m/>
    <n v="298119"/>
    <x v="1"/>
    <d v="2019-06-05T00:00:00"/>
    <d v="2019-07-22T00:00:00"/>
    <m/>
    <s v="pragostem"/>
    <s v="DůVOD zrušeno - nesplnění podmínek ;  ; DALŠÍ POSTUP opakovat; ÚPRAVA  ; PŘEDPOKLAD  ; POZN: "/>
    <m/>
    <m/>
    <m/>
    <m/>
    <m/>
    <m/>
    <m/>
    <x v="0"/>
    <d v="2019-08-13T00:00:00"/>
    <s v="12.8. zrušeno"/>
  </r>
  <r>
    <m/>
    <m/>
    <d v="2019-05-17T00:00:00"/>
    <s v="VZ-2019-000547"/>
    <x v="5"/>
    <s v="Ondráčková"/>
    <x v="216"/>
    <n v="3"/>
    <s v="Protilátky a chemikálie pro IHC metody II."/>
    <m/>
    <s v="33694000-1"/>
    <m/>
    <n v="1064078"/>
    <x v="1"/>
    <d v="2019-06-05T00:00:00"/>
    <d v="2019-07-22T00:00:00"/>
    <d v="2019-10-30T00:00:00"/>
    <s v="ROCHE s.r.o."/>
    <m/>
    <n v="1053324.42"/>
    <n v="1274522.55"/>
    <m/>
    <m/>
    <m/>
    <d v="2019-10-31T00:00:00"/>
    <s v="SMLN-2019-617-000537"/>
    <x v="0"/>
    <m/>
    <m/>
  </r>
  <r>
    <m/>
    <m/>
    <d v="2019-05-17T00:00:00"/>
    <s v="VZ-2019-000547"/>
    <x v="5"/>
    <s v="Ondráčková"/>
    <x v="216"/>
    <n v="4"/>
    <s v="Protilátky, sondy a chemikálie pro IHC/ISH metody"/>
    <m/>
    <s v="33694000-1"/>
    <m/>
    <n v="1025469"/>
    <x v="1"/>
    <d v="2019-06-05T00:00:00"/>
    <d v="2019-07-22T00:00:00"/>
    <d v="2019-10-30T00:00:00"/>
    <s v="HPST, s.r.o."/>
    <m/>
    <n v="1022982"/>
    <n v="1237808.22"/>
    <m/>
    <m/>
    <m/>
    <d v="2019-10-31T00:00:00"/>
    <s v="SMLN-2019-617-000538"/>
    <x v="107"/>
    <d v="2020-01-13T00:00:00"/>
    <d v="2020-12-17T00:00:00"/>
  </r>
  <r>
    <m/>
    <m/>
    <d v="2019-05-17T00:00:00"/>
    <s v="VZ-2019-000547"/>
    <x v="5"/>
    <s v="Ondráčková"/>
    <x v="216"/>
    <n v="5"/>
    <s v="Protilátky pro IHC metody I."/>
    <m/>
    <s v="33694000-1"/>
    <m/>
    <n v="256728"/>
    <x v="1"/>
    <d v="2019-06-05T00:00:00"/>
    <d v="2019-07-22T00:00:00"/>
    <d v="2019-10-30T00:00:00"/>
    <s v="ASCO-MED, spol.  s r.o."/>
    <m/>
    <n v="256725"/>
    <n v="310637.25"/>
    <m/>
    <m/>
    <m/>
    <d v="2019-10-31T00:00:00"/>
    <s v="SMLN-2019-617-000539"/>
    <x v="0"/>
    <m/>
    <m/>
  </r>
  <r>
    <m/>
    <m/>
    <d v="2019-05-17T00:00:00"/>
    <s v="VZ-2019-000547"/>
    <x v="5"/>
    <s v="Ondráčková"/>
    <x v="216"/>
    <n v="6"/>
    <s v="Protilátky pro IHC metody  II."/>
    <m/>
    <s v="33694000-1"/>
    <m/>
    <n v="114919"/>
    <x v="1"/>
    <d v="2019-06-05T00:00:00"/>
    <d v="2019-07-22T00:00:00"/>
    <d v="2019-10-30T00:00:00"/>
    <s v="BARIA  s.r.o."/>
    <m/>
    <n v="107624.79"/>
    <n v="130226.01"/>
    <m/>
    <m/>
    <m/>
    <d v="2019-10-31T00:00:00"/>
    <s v="SMLN-2019-617-000540"/>
    <x v="107"/>
    <d v="2020-01-13T00:00:00"/>
    <d v="2020-12-17T00:00:00"/>
  </r>
  <r>
    <m/>
    <m/>
    <d v="2019-05-17T00:00:00"/>
    <s v="VZ-2019-000547"/>
    <x v="5"/>
    <s v="Ondráčková"/>
    <x v="216"/>
    <n v="7"/>
    <s v="Protilátky pro IHC metody  III."/>
    <m/>
    <s v="33694000-1"/>
    <m/>
    <n v="122783"/>
    <x v="1"/>
    <d v="2019-06-05T00:00:00"/>
    <d v="2019-07-22T00:00:00"/>
    <m/>
    <s v="biotech"/>
    <s v="DůVOD zrušeno - nesplnění podmínek ;  ; DALŠÍ POSTUP opakovat; ÚPRAVA  ; PŘEDPOKLAD  ; POZN: "/>
    <m/>
    <m/>
    <m/>
    <m/>
    <m/>
    <m/>
    <m/>
    <x v="0"/>
    <d v="2019-08-13T00:00:00"/>
    <s v="12.8. zrušeno"/>
  </r>
  <r>
    <m/>
    <m/>
    <d v="2019-05-17T00:00:00"/>
    <s v="VZ-2019-000547"/>
    <x v="5"/>
    <s v="Ondráčková"/>
    <x v="216"/>
    <n v="8"/>
    <s v="Protilátky pro IHC metody IV."/>
    <m/>
    <s v="33694000-1"/>
    <m/>
    <n v="182762"/>
    <x v="1"/>
    <d v="2019-06-05T00:00:00"/>
    <d v="2019-07-22T00:00:00"/>
    <d v="2019-10-30T00:00:00"/>
    <s v="BARIA  s.r.o."/>
    <m/>
    <n v="117233.47"/>
    <n v="142149.51999999999"/>
    <m/>
    <m/>
    <m/>
    <d v="2019-10-31T00:00:00"/>
    <s v="SMLN-2019-617-000541"/>
    <x v="107"/>
    <d v="2020-01-13T00:00:00"/>
    <d v="2020-12-17T00:00:00"/>
  </r>
  <r>
    <m/>
    <m/>
    <d v="2019-05-17T00:00:00"/>
    <s v="VZ-2019-000547"/>
    <x v="5"/>
    <s v="Ondráčková"/>
    <x v="216"/>
    <n v="9"/>
    <s v="Protilátky pro IHC metody V."/>
    <m/>
    <s v="33694000-1"/>
    <m/>
    <n v="91580"/>
    <x v="1"/>
    <d v="2019-06-05T00:00:00"/>
    <d v="2019-07-22T00:00:00"/>
    <d v="2019-10-30T00:00:00"/>
    <s v="Spinchem s.r.o."/>
    <m/>
    <n v="91578"/>
    <n v="110809.38"/>
    <m/>
    <m/>
    <m/>
    <d v="2019-10-31T00:00:00"/>
    <s v="SMLN-2019-617-000542"/>
    <x v="0"/>
    <m/>
    <m/>
  </r>
  <r>
    <m/>
    <m/>
    <d v="2019-05-21T00:00:00"/>
    <s v="VZ-2019-000556"/>
    <x v="1"/>
    <s v="Miklík"/>
    <x v="217"/>
    <m/>
    <m/>
    <m/>
    <s v="72611000-6 "/>
    <m/>
    <n v="318182"/>
    <x v="2"/>
    <d v="2019-05-24T00:00:00"/>
    <d v="2019-05-31T00:00:00"/>
    <d v="2019-06-04T00:00:00"/>
    <s v="Merit Group a.s."/>
    <m/>
    <n v="296240.03999999998"/>
    <n v="358450.45"/>
    <m/>
    <m/>
    <m/>
    <d v="2019-06-04T00:00:00"/>
    <s v="SMLN-2019-612-000059"/>
    <x v="108"/>
    <d v="2019-07-10T00:00:00"/>
    <d v="2020-11-30T00:00:00"/>
  </r>
  <r>
    <m/>
    <m/>
    <d v="2019-05-14T00:00:00"/>
    <s v="VZ-2019-000557"/>
    <x v="0"/>
    <s v="Dočkalová"/>
    <x v="218"/>
    <m/>
    <m/>
    <m/>
    <s v="33182210-4"/>
    <s v="grant"/>
    <n v="1123966.8999999999"/>
    <x v="2"/>
    <d v="2019-05-23T00:00:00"/>
    <d v="2019-05-30T00:00:00"/>
    <m/>
    <s v="zrušeno - překročení ceny"/>
    <s v="nová VZ-2019-000611"/>
    <m/>
    <m/>
    <m/>
    <m/>
    <m/>
    <m/>
    <m/>
    <x v="0"/>
    <d v="2019-05-31T00:00:00"/>
    <m/>
  </r>
  <r>
    <m/>
    <m/>
    <s v="opakovaná VZ"/>
    <s v="VZ-2019-000558"/>
    <x v="11"/>
    <s v="Zemánek"/>
    <x v="219"/>
    <m/>
    <m/>
    <m/>
    <s v="50421000-2"/>
    <m/>
    <n v="260000"/>
    <x v="2"/>
    <d v="2019-05-31T00:00:00"/>
    <d v="2019-06-11T00:00:00"/>
    <d v="2019-06-20T00:00:00"/>
    <s v="Messer Technogas s.r.o."/>
    <m/>
    <n v="323640"/>
    <n v="391604.39999999997"/>
    <m/>
    <m/>
    <m/>
    <d v="2019-06-20T00:00:00"/>
    <s v="SMLN-2019-612-000065"/>
    <x v="75"/>
    <d v="2019-08-01T00:00:00"/>
    <s v="doba neurčitá"/>
  </r>
  <r>
    <m/>
    <m/>
    <d v="2019-05-21T00:00:00"/>
    <s v="VZ-2019-000562"/>
    <x v="6"/>
    <s v="Rosulek"/>
    <x v="220"/>
    <m/>
    <m/>
    <m/>
    <s v="38416000-4"/>
    <s v="2.2.177."/>
    <n v="416000"/>
    <x v="2"/>
    <d v="2019-06-03T00:00:00"/>
    <d v="2019-06-12T00:00:00"/>
    <m/>
    <s v="zrušeno - bez nabídky"/>
    <s v="nová VZ-2019-000688"/>
    <m/>
    <m/>
    <m/>
    <m/>
    <m/>
    <m/>
    <m/>
    <x v="0"/>
    <d v="2019-06-12T00:00:00"/>
    <m/>
  </r>
  <r>
    <m/>
    <m/>
    <d v="2019-05-21T00:00:00"/>
    <s v="VZ-2019-000563"/>
    <x v="0"/>
    <s v="Dočkalová"/>
    <x v="221"/>
    <m/>
    <m/>
    <m/>
    <s v="33140000-3"/>
    <m/>
    <n v="264400"/>
    <x v="2"/>
    <d v="2019-05-30T00:00:00"/>
    <d v="2019-06-11T00:00:00"/>
    <m/>
    <s v="zrušeno - orpava zadání"/>
    <s v="nová VZ-2019-000717"/>
    <m/>
    <m/>
    <m/>
    <m/>
    <m/>
    <m/>
    <m/>
    <x v="0"/>
    <d v="2019-06-25T00:00:00"/>
    <m/>
  </r>
  <r>
    <m/>
    <m/>
    <d v="2019-05-21T00:00:00"/>
    <s v="VZ-2019-000564"/>
    <x v="0"/>
    <s v="Dočkalová"/>
    <x v="222"/>
    <m/>
    <m/>
    <m/>
    <s v="33140000-3"/>
    <m/>
    <n v="409600"/>
    <x v="2"/>
    <d v="2019-05-30T00:00:00"/>
    <d v="2019-06-11T00:00:00"/>
    <m/>
    <s v="zrušeno – úprava zadání"/>
    <s v="nová VZ-2019-000685, VZ-2019-000760"/>
    <m/>
    <m/>
    <m/>
    <m/>
    <m/>
    <m/>
    <m/>
    <x v="0"/>
    <d v="2019-06-14T00:00:00"/>
    <m/>
  </r>
  <r>
    <m/>
    <m/>
    <d v="2019-05-13T00:00:00"/>
    <s v="VZ-2019-000565"/>
    <x v="0"/>
    <s v="Dočkalová"/>
    <x v="223"/>
    <m/>
    <m/>
    <m/>
    <s v="33140000-3"/>
    <m/>
    <n v="311600"/>
    <x v="2"/>
    <d v="2019-05-24T00:00:00"/>
    <d v="2019-05-31T00:00:00"/>
    <d v="2019-06-11T00:00:00"/>
    <s v="ARID obchodní společnost s.r.o."/>
    <m/>
    <n v="311600"/>
    <n v="377036"/>
    <m/>
    <m/>
    <m/>
    <d v="2019-06-17T00:00:00"/>
    <s v="SMLN-2019-617-000285_x000a_SMLN-2019-614-000052"/>
    <x v="109"/>
    <d v="2019-07-25T00:00:00"/>
    <d v="2021-07-18T00:00:00"/>
  </r>
  <r>
    <m/>
    <m/>
    <d v="2019-05-13T00:00:00"/>
    <s v="VZ-2019-000566"/>
    <x v="0"/>
    <s v="Dočkalová"/>
    <x v="224"/>
    <m/>
    <m/>
    <m/>
    <s v="33140000-3"/>
    <m/>
    <n v="444640"/>
    <x v="2"/>
    <d v="2019-05-24T00:00:00"/>
    <d v="2019-06-04T00:00:00"/>
    <d v="2019-06-11T00:00:00"/>
    <s v="EspoMed spol. s r.o."/>
    <m/>
    <n v="444640"/>
    <n v="538014.4"/>
    <m/>
    <m/>
    <m/>
    <d v="2019-06-17T00:00:00"/>
    <s v="SMLN-2019-617-000287_x000a_SMLN-2019-614-000053"/>
    <x v="99"/>
    <d v="2019-07-19T00:00:00"/>
    <d v="2021-07-16T00:00:00"/>
  </r>
  <r>
    <m/>
    <m/>
    <d v="2019-05-21T00:00:00"/>
    <s v="VZ-2019-000567"/>
    <x v="6"/>
    <s v="Novák"/>
    <x v="225"/>
    <m/>
    <m/>
    <m/>
    <s v="33192000-2"/>
    <m/>
    <n v="425000"/>
    <x v="2"/>
    <d v="2019-06-03T00:00:00"/>
    <d v="2019-06-14T00:00:00"/>
    <d v="2019-07-12T00:00:00"/>
    <s v="PROMA REHA s.r.o."/>
    <m/>
    <n v="654543.43000000005"/>
    <n v="757358.14"/>
    <m/>
    <m/>
    <m/>
    <d v="2019-07-12T00:00:00"/>
    <s v="SMLN-2019-617-000316 SMLN-2019-612-000070"/>
    <x v="74"/>
    <d v="2019-08-28T00:00:00"/>
    <d v="2019-10-31T00:00:00"/>
  </r>
  <r>
    <m/>
    <m/>
    <d v="2019-05-15T00:00:00"/>
    <s v="VZ-2019-000569"/>
    <x v="0"/>
    <s v="Dočkalová"/>
    <x v="226"/>
    <m/>
    <m/>
    <m/>
    <s v="33162200-5"/>
    <m/>
    <n v="1090000"/>
    <x v="1"/>
    <d v="2019-06-07T00:00:00"/>
    <d v="2019-06-26T00:00:00"/>
    <d v="2019-07-24T00:00:00"/>
    <s v="B. Braun Medical s.r.o."/>
    <m/>
    <n v="913708"/>
    <n v="1105586.68"/>
    <m/>
    <m/>
    <m/>
    <d v="2019-07-24T00:00:00"/>
    <s v="SMLN-2019-617-000327"/>
    <x v="93"/>
    <d v="2019-10-03T00:00:00"/>
    <d v="2019-11-08T00:00:00"/>
  </r>
  <r>
    <m/>
    <m/>
    <s v="opakovaná VZ"/>
    <s v="VZ-2019-000573"/>
    <x v="4"/>
    <s v="Srovnal"/>
    <x v="227"/>
    <m/>
    <m/>
    <m/>
    <s v="42513290-4"/>
    <s v="4.2.119."/>
    <n v="4130000"/>
    <x v="0"/>
    <d v="2019-05-24T00:00:00"/>
    <d v="2019-06-25T00:00:00"/>
    <d v="2019-06-26T00:00:00"/>
    <s v="CLIMART s.r.o."/>
    <m/>
    <n v="5936572"/>
    <n v="7183252.1200000001"/>
    <m/>
    <m/>
    <m/>
    <d v="2019-06-26T00:00:00"/>
    <s v="SMLN-2019-618-000049"/>
    <x v="110"/>
    <d v="2019-07-25T00:00:00"/>
    <d v="2019-08-02T00:00:00"/>
  </r>
  <r>
    <m/>
    <m/>
    <s v="opakovaná VZ"/>
    <s v="VZ-2019-000578"/>
    <x v="2"/>
    <s v="Neudörflerová"/>
    <x v="228"/>
    <m/>
    <m/>
    <m/>
    <s v="33162100-4"/>
    <s v="2.3.352"/>
    <n v="290082"/>
    <x v="0"/>
    <d v="2019-06-19T00:00:00"/>
    <d v="2019-07-23T00:00:00"/>
    <d v="2019-08-15T00:00:00"/>
    <s v="SARSTEDT spol. s r.o."/>
    <m/>
    <n v="310160"/>
    <n v="375293.6"/>
    <m/>
    <m/>
    <m/>
    <d v="2019-08-16T00:00:00"/>
    <s v="SMLN-2019-617-000346_x000a_SMLN-2019-612-000083"/>
    <x v="111"/>
    <d v="2019-09-20T00:00:00"/>
    <d v="2019-11-11T00:00:00"/>
  </r>
  <r>
    <m/>
    <m/>
    <d v="2019-05-21T00:00:00"/>
    <s v="VZ-2019-000581"/>
    <x v="0"/>
    <s v="Dočkalová"/>
    <x v="229"/>
    <n v="1"/>
    <s v="Bioptické jehly"/>
    <m/>
    <s v="33140000-3"/>
    <m/>
    <n v="255000"/>
    <x v="2"/>
    <d v="2019-05-31T00:00:00"/>
    <d v="2019-06-11T00:00:00"/>
    <d v="2019-08-08T00:00:00"/>
    <s v="BARD Czech Republic s.r.o."/>
    <m/>
    <n v="255000"/>
    <n v="308550"/>
    <m/>
    <m/>
    <m/>
    <d v="2019-08-20T00:00:00"/>
    <s v="SMLN-2019-617-000358_x000a_SMLN-2019-614-000068"/>
    <x v="112"/>
    <d v="2019-09-20T00:00:00"/>
    <d v="2021-09-11T00:00:00"/>
  </r>
  <r>
    <m/>
    <m/>
    <d v="2019-05-21T00:00:00"/>
    <s v="VZ-2019-000581"/>
    <x v="0"/>
    <s v="Dočkalová"/>
    <x v="229"/>
    <n v="2"/>
    <s v="Koaxiální bioptické jehly"/>
    <m/>
    <s v="33140000-3"/>
    <m/>
    <n v="64400"/>
    <x v="2"/>
    <d v="2019-05-31T00:00:00"/>
    <d v="2019-06-11T00:00:00"/>
    <d v="2019-08-08T00:00:00"/>
    <s v="BARD Czech Republic s.r.o."/>
    <m/>
    <n v="64400"/>
    <n v="77924"/>
    <m/>
    <m/>
    <m/>
    <d v="2019-08-20T00:00:00"/>
    <s v="SMLN-2019-617-000359_x000a_SMLN-2019-614-000068"/>
    <x v="112"/>
    <d v="2019-09-20T00:00:00"/>
    <d v="2021-09-11T00:00:00"/>
  </r>
  <r>
    <m/>
    <m/>
    <d v="2019-05-21T00:00:00"/>
    <s v="VZ-2019-000581"/>
    <x v="0"/>
    <s v="Dočkalová"/>
    <x v="229"/>
    <n v="3"/>
    <s v="Spotřební materiál pro vakuovou asistovanou biopsii prsu"/>
    <m/>
    <s v="33140000-3"/>
    <m/>
    <n v="860200"/>
    <x v="2"/>
    <d v="2019-05-31T00:00:00"/>
    <d v="2019-06-11T00:00:00"/>
    <d v="2019-08-08T00:00:00"/>
    <s v="BARD Czech Republic s.r.o."/>
    <m/>
    <n v="860200"/>
    <n v="1040842"/>
    <m/>
    <m/>
    <m/>
    <d v="2019-08-20T00:00:00"/>
    <s v="SMLN-2019-617-000360_x000a_SMLN-2019-614-000069"/>
    <x v="112"/>
    <d v="2019-09-20T00:00:00"/>
    <d v="2021-09-11T00:00:00"/>
  </r>
  <r>
    <m/>
    <m/>
    <d v="2019-05-21T00:00:00"/>
    <s v="VZ-2019-000586"/>
    <x v="0"/>
    <s v="Dočkalová"/>
    <x v="230"/>
    <m/>
    <m/>
    <m/>
    <s v="33140000-3"/>
    <m/>
    <n v="662084"/>
    <x v="2"/>
    <d v="2019-05-30T00:00:00"/>
    <d v="2019-06-11T00:00:00"/>
    <m/>
    <s v="zrušeno - bez nabídky"/>
    <s v="nová VZ-2019-000732, VZ-2019-000770"/>
    <m/>
    <m/>
    <m/>
    <m/>
    <m/>
    <m/>
    <m/>
    <x v="0"/>
    <d v="2019-06-11T00:00:00"/>
    <m/>
  </r>
  <r>
    <m/>
    <m/>
    <d v="2019-05-21T00:00:00"/>
    <s v="VZ-2019-000590"/>
    <x v="0"/>
    <s v="Dočkalová"/>
    <x v="231"/>
    <n v="1"/>
    <s v="Extraktory intravaskulární I."/>
    <m/>
    <s v="33140000-3"/>
    <m/>
    <n v="213450"/>
    <x v="2"/>
    <d v="2019-05-30T00:00:00"/>
    <d v="2019-06-11T00:00:00"/>
    <d v="2019-09-24T00:00:00"/>
    <s v="ARID obchodní společnost s.r.o."/>
    <m/>
    <n v="213450"/>
    <n v="258274.5"/>
    <m/>
    <m/>
    <m/>
    <d v="2019-09-24T00:00:00"/>
    <s v="SMLN-2019-617-000450_x000a_SMLN-2019-614-000091"/>
    <x v="82"/>
    <d v="2019-10-21T00:00:00"/>
    <d v="2021-10-13T00:00:00"/>
  </r>
  <r>
    <m/>
    <m/>
    <d v="2019-05-21T00:00:00"/>
    <s v="VZ-2019-000590"/>
    <x v="0"/>
    <s v="Dočkalová"/>
    <x v="231"/>
    <n v="2"/>
    <s v="Extraktory intravaskulární II."/>
    <m/>
    <s v="33140000-3"/>
    <m/>
    <n v="37028"/>
    <x v="2"/>
    <d v="2019-05-30T00:00:00"/>
    <d v="2019-06-11T00:00:00"/>
    <d v="2019-09-24T00:00:00"/>
    <s v="ARID obchodní společnost s.r.o."/>
    <m/>
    <n v="37028"/>
    <n v="44803.88"/>
    <m/>
    <m/>
    <m/>
    <d v="2019-09-24T00:00:00"/>
    <s v="SMLN-2019-617-000451_x000a_SMLN-2019-614-000092"/>
    <x v="82"/>
    <d v="2019-10-21T00:00:00"/>
    <d v="2021-10-13T00:00:00"/>
  </r>
  <r>
    <m/>
    <m/>
    <d v="2019-05-21T00:00:00"/>
    <s v="VZ-2019-000590"/>
    <x v="0"/>
    <s v="Dočkalová"/>
    <x v="231"/>
    <n v="3"/>
    <s v="Extraktory intravaskulární III."/>
    <m/>
    <s v="33140000-3"/>
    <m/>
    <n v="362580"/>
    <x v="2"/>
    <d v="2019-05-30T00:00:00"/>
    <d v="2019-06-11T00:00:00"/>
    <m/>
    <s v="zrušeno - upřesnit zadání"/>
    <s v="VZ-2019-001011"/>
    <m/>
    <m/>
    <m/>
    <m/>
    <m/>
    <m/>
    <m/>
    <x v="0"/>
    <d v="2019-09-24T00:00:00"/>
    <m/>
  </r>
  <r>
    <m/>
    <m/>
    <s v="opakovaná VZ"/>
    <s v="VZ-2019-000595"/>
    <x v="4"/>
    <s v="Srovnal"/>
    <x v="232"/>
    <m/>
    <m/>
    <m/>
    <s v="42512200-0"/>
    <s v="4.2.123."/>
    <n v="578000"/>
    <x v="2"/>
    <d v="2019-05-31T00:00:00"/>
    <d v="2019-06-07T00:00:00"/>
    <d v="2019-06-18T00:00:00"/>
    <s v="JK new product s.r.o."/>
    <m/>
    <n v="631935"/>
    <n v="764641"/>
    <m/>
    <m/>
    <m/>
    <d v="2019-06-18T00:00:00"/>
    <s v="SMLN-2019-618-000044"/>
    <x v="113"/>
    <d v="2019-07-15T00:00:00"/>
    <d v="2019-08-23T00:00:00"/>
  </r>
  <r>
    <m/>
    <m/>
    <s v="opakovaná VZ"/>
    <s v="VZ-2019-000596"/>
    <x v="2"/>
    <s v="Neudörflerová"/>
    <x v="233"/>
    <m/>
    <m/>
    <m/>
    <s v="33120000-7"/>
    <s v="2.3.336."/>
    <n v="101429.75"/>
    <x v="0"/>
    <m/>
    <m/>
    <m/>
    <s v="zrušeno - CRR"/>
    <s v="nová VZ-2019-000624"/>
    <m/>
    <m/>
    <m/>
    <m/>
    <m/>
    <m/>
    <m/>
    <x v="0"/>
    <d v="2019-06-06T00:00:00"/>
    <s v="6.6. zrušeno"/>
  </r>
  <r>
    <m/>
    <m/>
    <d v="2019-05-24T00:00:00"/>
    <s v="VZ-2019-000598"/>
    <x v="5"/>
    <s v="Ondráčková"/>
    <x v="234"/>
    <n v="1"/>
    <s v="Spotřební materiál pro  ARRAY"/>
    <m/>
    <s v="33694000-1"/>
    <m/>
    <n v="4639906"/>
    <x v="0"/>
    <d v="2019-06-18T00:00:00"/>
    <d v="2019-09-16T00:00:00"/>
    <d v="2019-11-07T00:00:00"/>
    <s v="HPST, s.r.o."/>
    <m/>
    <n v="4639906"/>
    <n v="5614286.2599999998"/>
    <m/>
    <m/>
    <m/>
    <d v="2019-11-12T00:00:00"/>
    <s v="SMLN-2019-617-000560"/>
    <x v="114"/>
    <d v="2019-12-23T00:00:00"/>
    <d v="2021-12-08T00:00:00"/>
  </r>
  <r>
    <m/>
    <m/>
    <d v="2019-05-24T00:00:00"/>
    <s v="VZ-2019-000598"/>
    <x v="5"/>
    <s v="Ondráčková"/>
    <x v="234"/>
    <n v="2"/>
    <s v="Spotřební materiál pro cytogenetiku I."/>
    <m/>
    <s v="33694000-1"/>
    <m/>
    <n v="116161"/>
    <x v="0"/>
    <d v="2019-06-18T00:00:00"/>
    <d v="2019-09-16T00:00:00"/>
    <m/>
    <s v="Abbott"/>
    <s v="žádná nabídka, bude vypsáno znovu, změny v ZD po dohodě s klinikou"/>
    <m/>
    <m/>
    <m/>
    <m/>
    <m/>
    <m/>
    <m/>
    <x v="0"/>
    <d v="2019-10-15T00:00:00"/>
    <s v="19.9. zrušeno"/>
  </r>
  <r>
    <m/>
    <m/>
    <d v="2019-05-24T00:00:00"/>
    <s v="VZ-2019-000598"/>
    <x v="5"/>
    <s v="Ondráčková"/>
    <x v="234"/>
    <n v="3"/>
    <s v="Spotřební materiál pro cytogenetiku II."/>
    <m/>
    <s v="33694000-1"/>
    <m/>
    <n v="248580"/>
    <x v="0"/>
    <d v="2019-06-18T00:00:00"/>
    <d v="2019-09-16T00:00:00"/>
    <m/>
    <s v="Abbott"/>
    <s v="žádná nabídka, bude vypsáno znovu, změny v ZD po dohodě s klinikou"/>
    <m/>
    <m/>
    <m/>
    <m/>
    <m/>
    <m/>
    <m/>
    <x v="0"/>
    <d v="2019-10-15T00:00:00"/>
    <s v="19.9. zrušeno"/>
  </r>
  <r>
    <m/>
    <m/>
    <d v="2019-05-24T00:00:00"/>
    <s v="VZ-2019-000598"/>
    <x v="5"/>
    <s v="Ondráčková"/>
    <x v="234"/>
    <n v="4"/>
    <s v="Spotřební materiál pro cytogenetiku III."/>
    <m/>
    <s v="33694000-1"/>
    <m/>
    <n v="361719"/>
    <x v="0"/>
    <d v="2019-06-18T00:00:00"/>
    <d v="2019-09-16T00:00:00"/>
    <d v="2019-11-07T00:00:00"/>
    <s v="INTIMEX s.r.o."/>
    <m/>
    <n v="361716"/>
    <n v="437676.36"/>
    <m/>
    <m/>
    <m/>
    <d v="2019-11-12T00:00:00"/>
    <s v="SMLN-2019-617-000561"/>
    <x v="114"/>
    <d v="2019-12-23T00:00:00"/>
    <d v="2021-12-08T00:00:00"/>
  </r>
  <r>
    <m/>
    <m/>
    <d v="2019-05-24T00:00:00"/>
    <s v="VZ-2019-000598"/>
    <x v="5"/>
    <s v="Ondráčková"/>
    <x v="234"/>
    <n v="5"/>
    <s v="Spotřební materiál pro cytogenetiku IV."/>
    <m/>
    <s v="33694000-1"/>
    <m/>
    <n v="1177122"/>
    <x v="0"/>
    <d v="2019-06-18T00:00:00"/>
    <d v="2019-09-16T00:00:00"/>
    <m/>
    <s v="Pragostem"/>
    <s v="žádná nabídka, bude vypsáno znovu, změny v ZD po dohodě s klinikou"/>
    <m/>
    <m/>
    <m/>
    <m/>
    <m/>
    <m/>
    <m/>
    <x v="0"/>
    <d v="2019-10-15T00:00:00"/>
    <s v="19.9. zrušeno"/>
  </r>
  <r>
    <m/>
    <m/>
    <d v="2019-05-24T00:00:00"/>
    <s v="VZ-2019-000598"/>
    <x v="5"/>
    <s v="Ondráčková"/>
    <x v="234"/>
    <n v="6"/>
    <s v="Spotřební materiál pro cytogenetiku V."/>
    <m/>
    <s v="33694000-1"/>
    <m/>
    <n v="2740880"/>
    <x v="0"/>
    <d v="2019-06-18T00:00:00"/>
    <d v="2019-09-16T00:00:00"/>
    <m/>
    <s v="Alogo"/>
    <s v="žádná nabídka, bude vypsáno znovu, změny v ZD po dohodě s klinikou"/>
    <m/>
    <m/>
    <m/>
    <m/>
    <m/>
    <m/>
    <m/>
    <x v="0"/>
    <d v="2019-10-15T00:00:00"/>
    <s v="19.9. zrušeno"/>
  </r>
  <r>
    <m/>
    <m/>
    <d v="2019-05-24T00:00:00"/>
    <s v="VZ-2019-000599"/>
    <x v="5"/>
    <s v="Ondráčková"/>
    <x v="235"/>
    <n v="1"/>
    <s v="Spotřební materiál pro cytogenetiku "/>
    <m/>
    <s v="33694000-1"/>
    <m/>
    <n v="14238"/>
    <x v="0"/>
    <d v="2019-06-18T00:00:00"/>
    <d v="2019-08-01T00:00:00"/>
    <d v="2019-08-29T00:00:00"/>
    <s v="ASCO-MED, spol.  s r.o."/>
    <m/>
    <n v="14328"/>
    <n v="17227.98"/>
    <m/>
    <m/>
    <m/>
    <d v="2019-09-02T00:00:00"/>
    <s v="SMLN-2019-617-000390"/>
    <x v="82"/>
    <d v="2019-10-17T00:00:00"/>
    <d v="2021-10-13T00:00:00"/>
  </r>
  <r>
    <m/>
    <m/>
    <d v="2019-05-24T00:00:00"/>
    <s v="VZ-2019-000599"/>
    <x v="5"/>
    <s v="Ondráčková"/>
    <x v="235"/>
    <n v="2"/>
    <s v="Spotřební materiál pro krevní obrazy I."/>
    <m/>
    <s v="33694000-1"/>
    <m/>
    <n v="1269028"/>
    <x v="0"/>
    <d v="2019-06-18T00:00:00"/>
    <d v="2019-08-01T00:00:00"/>
    <m/>
    <s v="medista"/>
    <s v="DůVOD zrušeno - nesplnění podmínek ;  ; DALŠÍ POSTUP opakovat; ÚPRAVA  ; PŘEDPOKLAD  ; POZN: "/>
    <m/>
    <m/>
    <m/>
    <m/>
    <m/>
    <m/>
    <m/>
    <x v="0"/>
    <d v="2019-09-18T00:00:00"/>
    <s v="27.8. zrušeno"/>
  </r>
  <r>
    <m/>
    <m/>
    <d v="2019-05-24T00:00:00"/>
    <s v="VZ-2019-000599"/>
    <x v="5"/>
    <s v="Ondráčková"/>
    <x v="235"/>
    <n v="3"/>
    <s v="Spotřební materiál pro krevní obrazy II."/>
    <m/>
    <s v="33694000-1"/>
    <m/>
    <n v="1005580"/>
    <x v="0"/>
    <d v="2019-06-18T00:00:00"/>
    <d v="2019-08-01T00:00:00"/>
    <m/>
    <s v="roche"/>
    <s v="DůVOD zrušeno - bez nabídky ;  ; DALŠÍ POSTUP opakovat; ÚPRAVA  ; PŘEDPOKLAD  ; POZN: "/>
    <m/>
    <m/>
    <m/>
    <m/>
    <m/>
    <m/>
    <m/>
    <x v="0"/>
    <d v="2019-09-18T00:00:00"/>
    <s v="27.8. zrušeno"/>
  </r>
  <r>
    <m/>
    <m/>
    <d v="2019-05-24T00:00:00"/>
    <s v="VZ-2019-000599"/>
    <x v="5"/>
    <s v="Ondráčková"/>
    <x v="235"/>
    <n v="4"/>
    <s v="Spotřební materiál pro krevní obrazy III."/>
    <m/>
    <s v="33694000-1"/>
    <m/>
    <n v="10074594"/>
    <x v="0"/>
    <d v="2019-06-18T00:00:00"/>
    <d v="2019-08-01T00:00:00"/>
    <d v="2019-08-29T00:00:00"/>
    <s v="Werfen Czech s.r.o."/>
    <m/>
    <n v="9031060"/>
    <n v="10927582.6"/>
    <m/>
    <m/>
    <m/>
    <d v="2019-09-02T00:00:00"/>
    <s v="SMLN-2019-617-000391"/>
    <x v="82"/>
    <d v="2019-10-17T00:00:00"/>
    <d v="2021-10-13T00:00:00"/>
  </r>
  <r>
    <m/>
    <m/>
    <d v="2019-05-24T00:00:00"/>
    <s v="VZ-2019-000600"/>
    <x v="5"/>
    <s v="Ondráčková"/>
    <x v="236"/>
    <n v="1"/>
    <s v="Spotřební materiál pro molekulární biologii I."/>
    <m/>
    <s v="33694000-1"/>
    <m/>
    <n v="282343"/>
    <x v="0"/>
    <d v="2019-07-01T00:00:00"/>
    <d v="2019-09-03T00:00:00"/>
    <m/>
    <s v="Diagnostika biotech"/>
    <s v="DůVOD zrušeno - bez nabídky ;  ; DALŠÍ POSTUP ; ÚPRAVA  ; PŘEDPOKLAD  ; POZN: "/>
    <m/>
    <m/>
    <m/>
    <m/>
    <m/>
    <m/>
    <m/>
    <x v="0"/>
    <d v="2019-10-11T00:00:00"/>
    <d v="2019-10-11T00:00:00"/>
  </r>
  <r>
    <m/>
    <m/>
    <d v="2019-05-24T00:00:00"/>
    <s v="VZ-2019-000600"/>
    <x v="5"/>
    <s v="Ondráčková"/>
    <x v="236"/>
    <n v="2"/>
    <s v="Spotřební materiál pro molekulární biologii II."/>
    <m/>
    <s v="33694000-1"/>
    <m/>
    <n v="1636320"/>
    <x v="0"/>
    <d v="2019-07-01T00:00:00"/>
    <d v="2019-09-03T00:00:00"/>
    <d v="2019-11-07T00:00:00"/>
    <s v="DYNEX Technologies spol.s r.o."/>
    <m/>
    <n v="1390872"/>
    <n v="1682955.12"/>
    <m/>
    <m/>
    <m/>
    <d v="2019-11-12T00:00:00"/>
    <s v="SMLN-2019-617-000557"/>
    <x v="0"/>
    <m/>
    <m/>
  </r>
  <r>
    <m/>
    <m/>
    <d v="2019-05-24T00:00:00"/>
    <s v="VZ-2019-000600"/>
    <x v="5"/>
    <s v="Ondráčková"/>
    <x v="236"/>
    <n v="3"/>
    <s v="Spotřební materiál pro molekulární biologii III."/>
    <m/>
    <s v="33694000-1"/>
    <m/>
    <n v="246007"/>
    <x v="0"/>
    <d v="2019-07-01T00:00:00"/>
    <d v="2019-09-03T00:00:00"/>
    <m/>
    <s v="Diagnostika Eastpor"/>
    <s v="DůVOD zrušeno - bez nabídky ;  ; DALŠÍ POSTUP ; ÚPRAVA  ; PŘEDPOKLAD  ; POZN: "/>
    <m/>
    <m/>
    <m/>
    <m/>
    <m/>
    <m/>
    <m/>
    <x v="0"/>
    <d v="2019-10-11T00:00:00"/>
    <s v="16.9. zrušeno"/>
  </r>
  <r>
    <m/>
    <m/>
    <d v="2019-05-24T00:00:00"/>
    <s v="VZ-2019-000600"/>
    <x v="5"/>
    <s v="Ondráčková"/>
    <x v="236"/>
    <n v="4"/>
    <s v="Spotřební materiál pro molekulární biologii IV."/>
    <m/>
    <s v="33694000-1"/>
    <m/>
    <n v="1891521"/>
    <x v="0"/>
    <d v="2019-07-01T00:00:00"/>
    <d v="2019-09-03T00:00:00"/>
    <d v="2019-11-07T00:00:00"/>
    <s v="Carolina Biosystems, s.r.o."/>
    <m/>
    <n v="1458000"/>
    <n v="1764180"/>
    <m/>
    <m/>
    <m/>
    <d v="2019-11-12T00:00:00"/>
    <s v="SMLN-2019-617-000558"/>
    <x v="0"/>
    <m/>
    <m/>
  </r>
  <r>
    <m/>
    <m/>
    <d v="2019-05-24T00:00:00"/>
    <s v="VZ-2019-000600"/>
    <x v="5"/>
    <s v="Ondráčková"/>
    <x v="236"/>
    <n v="5"/>
    <s v="Spotřební materiál pro molekulární biologii V."/>
    <m/>
    <s v="33694000-1"/>
    <m/>
    <n v="1174607"/>
    <x v="0"/>
    <d v="2019-07-01T00:00:00"/>
    <d v="2019-09-03T00:00:00"/>
    <m/>
    <s v="roche"/>
    <s v="DůVOD zrušeno - oprava zadání ;  ; DALŠÍ POSTUP opakovat; ÚPRAVA  ; PŘEDPOKLAD  ; POZN: "/>
    <m/>
    <m/>
    <m/>
    <m/>
    <m/>
    <m/>
    <m/>
    <x v="0"/>
    <d v="2019-08-13T00:00:00"/>
    <s v="7.8.zrušeno"/>
  </r>
  <r>
    <m/>
    <m/>
    <d v="2019-05-24T00:00:00"/>
    <s v="VZ-2019-000600"/>
    <x v="5"/>
    <s v="Ondráčková"/>
    <x v="236"/>
    <n v="6"/>
    <s v="Spotřební materiál pro molekulární biologii VI."/>
    <m/>
    <s v="33694000-1"/>
    <m/>
    <n v="201324"/>
    <x v="0"/>
    <d v="2019-07-01T00:00:00"/>
    <d v="2019-09-03T00:00:00"/>
    <m/>
    <s v="Diagnostika Scintil"/>
    <s v="DůVOD zrušeno - bez nabídky ;  ; DALŠÍ POSTUP ; ÚPRAVA  ; PŘEDPOKLAD  ; POZN: "/>
    <m/>
    <m/>
    <m/>
    <m/>
    <m/>
    <m/>
    <m/>
    <x v="0"/>
    <d v="2019-10-11T00:00:00"/>
    <s v="16.9. zrušeno"/>
  </r>
  <r>
    <m/>
    <m/>
    <d v="2019-05-24T00:00:00"/>
    <s v="VZ-2019-000600"/>
    <x v="5"/>
    <s v="Ondráčková"/>
    <x v="236"/>
    <n v="7"/>
    <s v="Spotřební materiál pro průtokovou cytometrii I."/>
    <m/>
    <s v="33694000-1"/>
    <m/>
    <n v="1004264"/>
    <x v="0"/>
    <d v="2019-07-01T00:00:00"/>
    <d v="2019-09-03T00:00:00"/>
    <m/>
    <m/>
    <s v="Důvod zrušeno - nesplnění podmínek "/>
    <m/>
    <m/>
    <m/>
    <m/>
    <m/>
    <m/>
    <m/>
    <x v="0"/>
    <d v="2019-10-11T00:00:00"/>
    <s v="3.10. zrušeno"/>
  </r>
  <r>
    <m/>
    <m/>
    <d v="2019-05-24T00:00:00"/>
    <s v="VZ-2019-000600"/>
    <x v="5"/>
    <s v="Ondráčková"/>
    <x v="236"/>
    <n v="8"/>
    <s v="Spotřební materiál pro průtokovou cytometrii II."/>
    <m/>
    <s v="33694000-1"/>
    <m/>
    <n v="2393323"/>
    <x v="0"/>
    <d v="2019-07-01T00:00:00"/>
    <d v="2019-09-03T00:00:00"/>
    <d v="2019-11-07T00:00:00"/>
    <s v="I.T.A. - Interact s.r.o."/>
    <m/>
    <n v="2367830"/>
    <n v="2865074.3"/>
    <m/>
    <m/>
    <m/>
    <d v="2019-11-12T00:00:00"/>
    <s v="SMLN-2019-617-000559"/>
    <x v="0"/>
    <m/>
    <m/>
  </r>
  <r>
    <m/>
    <m/>
    <d v="2019-05-24T00:00:00"/>
    <s v="VZ-2019-000601"/>
    <x v="5"/>
    <s v="Ondráčková"/>
    <x v="237"/>
    <n v="1"/>
    <s v="Spotřební materiál pro genetiku  I."/>
    <m/>
    <s v="33694000-1"/>
    <m/>
    <n v="746039.92069999978"/>
    <x v="1"/>
    <d v="2019-06-11T00:00:00"/>
    <d v="2019-07-24T00:00:00"/>
    <m/>
    <s v="biogen"/>
    <s v="DůVOD zrušeno - oprava zadání ;  ; DALŠÍ POSTUP opakovat; ÚPRAVA  ; PŘEDPOKLAD  ; POZN: "/>
    <m/>
    <m/>
    <m/>
    <m/>
    <m/>
    <m/>
    <m/>
    <x v="0"/>
    <d v="2019-07-04T00:00:00"/>
    <s v="3.7.zrušeno"/>
  </r>
  <r>
    <m/>
    <m/>
    <d v="2019-05-24T00:00:00"/>
    <s v="VZ-2019-000601"/>
    <x v="5"/>
    <s v="Ondráčková"/>
    <x v="237"/>
    <n v="2"/>
    <s v="Spotřební materiál pro genetiku  II."/>
    <m/>
    <s v="33694000-1"/>
    <m/>
    <n v="120719"/>
    <x v="1"/>
    <d v="2019-06-11T00:00:00"/>
    <d v="2019-07-24T00:00:00"/>
    <d v="2019-11-19T00:00:00"/>
    <s v="Bio-Rad spol. s r.o."/>
    <m/>
    <n v="120018"/>
    <n v="145221.78"/>
    <m/>
    <m/>
    <m/>
    <d v="2019-11-22T00:00:00"/>
    <s v="SMLN-2019-617-000594"/>
    <x v="0"/>
    <m/>
    <m/>
  </r>
  <r>
    <m/>
    <m/>
    <d v="2019-05-24T00:00:00"/>
    <s v="VZ-2019-000601"/>
    <x v="5"/>
    <s v="Ondráčková"/>
    <x v="237"/>
    <n v="3"/>
    <s v="Spotřební materiál pro genetiku  III."/>
    <m/>
    <s v="33694000-1"/>
    <m/>
    <n v="106305"/>
    <x v="1"/>
    <d v="2019-06-11T00:00:00"/>
    <d v="2019-07-24T00:00:00"/>
    <d v="2019-12-05T00:00:00"/>
    <s v="BioTech a.s."/>
    <m/>
    <n v="61860"/>
    <n v="74850.600000000006"/>
    <m/>
    <m/>
    <m/>
    <d v="2019-12-06T00:00:00"/>
    <s v="SMLN-2019-617-000620"/>
    <x v="0"/>
    <m/>
    <m/>
  </r>
  <r>
    <m/>
    <m/>
    <d v="2019-05-24T00:00:00"/>
    <s v="VZ-2019-000601"/>
    <x v="5"/>
    <s v="Ondráčková"/>
    <x v="237"/>
    <n v="4"/>
    <s v="Spotřební materiál pro genetiku  IV."/>
    <m/>
    <s v="33694000-1"/>
    <m/>
    <n v="278842"/>
    <x v="1"/>
    <d v="2019-06-11T00:00:00"/>
    <d v="2019-07-24T00:00:00"/>
    <d v="2019-11-19T00:00:00"/>
    <s v="GeneTiCA s.r.o."/>
    <m/>
    <n v="258489"/>
    <n v="312771.69"/>
    <m/>
    <m/>
    <m/>
    <d v="2019-11-22T00:00:00"/>
    <s v="SMLN-2019-617-000595"/>
    <x v="0"/>
    <m/>
    <m/>
  </r>
  <r>
    <m/>
    <m/>
    <d v="2019-05-24T00:00:00"/>
    <s v="VZ-2019-000601"/>
    <x v="5"/>
    <s v="Ondráčková"/>
    <x v="237"/>
    <n v="5"/>
    <s v="Spotřební materiál pro genetiku  V."/>
    <m/>
    <s v="33694000-1"/>
    <m/>
    <n v="116204"/>
    <x v="1"/>
    <d v="2019-06-11T00:00:00"/>
    <d v="2019-07-24T00:00:00"/>
    <d v="2019-11-19T00:00:00"/>
    <s v="intimex"/>
    <s v="DůVOD zrušeno - neúplná nabídka ;  ; DALŠÍ POSTUP opakovat; ÚPRAVA  ; PŘEDPOKLAD  ; POZN: "/>
    <m/>
    <m/>
    <m/>
    <m/>
    <m/>
    <m/>
    <m/>
    <x v="0"/>
    <d v="2019-08-14T00:00:00"/>
    <s v="1.8. zrušeno"/>
  </r>
  <r>
    <m/>
    <m/>
    <d v="2019-05-24T00:00:00"/>
    <s v="VZ-2019-000601"/>
    <x v="5"/>
    <s v="Ondráčková"/>
    <x v="237"/>
    <n v="6"/>
    <s v="Spotřební materiál pro genetiku  VI."/>
    <m/>
    <s v="33694000-1"/>
    <m/>
    <n v="1095475"/>
    <x v="1"/>
    <d v="2019-06-11T00:00:00"/>
    <d v="2019-07-24T00:00:00"/>
    <d v="2019-11-19T00:00:00"/>
    <s v="Life Technologies Czech Republic s.r.o."/>
    <m/>
    <n v="1052298.1000000001"/>
    <n v="1273280.7"/>
    <m/>
    <m/>
    <m/>
    <d v="2019-11-22T00:00:00"/>
    <s v="SMLN-2019-617-000596"/>
    <x v="0"/>
    <m/>
    <m/>
  </r>
  <r>
    <m/>
    <m/>
    <d v="2019-05-24T00:00:00"/>
    <s v="VZ-2019-000601"/>
    <x v="5"/>
    <s v="Ondráčková"/>
    <x v="237"/>
    <n v="7"/>
    <s v="Spotřební materiál pro genetiku  VII."/>
    <m/>
    <s v="33694000-1"/>
    <m/>
    <n v="680242.14"/>
    <x v="1"/>
    <d v="2019-06-11T00:00:00"/>
    <d v="2019-07-24T00:00:00"/>
    <d v="2019-11-19T00:00:00"/>
    <s v="pentagen"/>
    <s v="DůVOD zrušeno - oprava zadání ;  ; DALŠÍ POSTUP opakovat; ÚPRAVA  ; PŘEDPOKLAD  ; POZN: "/>
    <m/>
    <m/>
    <m/>
    <m/>
    <m/>
    <m/>
    <m/>
    <x v="0"/>
    <d v="2019-07-04T00:00:00"/>
    <s v="3.7. zrušeno"/>
  </r>
  <r>
    <m/>
    <m/>
    <d v="2019-05-24T00:00:00"/>
    <s v="VZ-2019-000601"/>
    <x v="5"/>
    <s v="Ondráčková"/>
    <x v="237"/>
    <n v="8"/>
    <s v="Spotřební materiál pro genetiku  VIII."/>
    <m/>
    <s v="33694000-1"/>
    <m/>
    <n v="222160"/>
    <x v="1"/>
    <d v="2019-06-11T00:00:00"/>
    <d v="2019-07-24T00:00:00"/>
    <d v="2019-11-19T00:00:00"/>
    <s v="ROCHE s.r.o."/>
    <m/>
    <n v="133296"/>
    <n v="161288.16"/>
    <m/>
    <m/>
    <m/>
    <d v="2019-11-22T00:00:00"/>
    <s v="SMLN-2019-617-000597"/>
    <x v="0"/>
    <m/>
    <m/>
  </r>
  <r>
    <m/>
    <m/>
    <d v="2019-05-24T00:00:00"/>
    <s v="VZ-2019-000602"/>
    <x v="5"/>
    <s v="Ondráčková"/>
    <x v="238"/>
    <n v="1"/>
    <s v="Spotřební materiál pro experimentální medicínu I."/>
    <m/>
    <s v="33694000-1"/>
    <m/>
    <n v="385106"/>
    <x v="0"/>
    <d v="2019-06-14T00:00:00"/>
    <d v="2019-09-09T00:00:00"/>
    <m/>
    <s v="Genetica"/>
    <s v="bude vypsáno znovu"/>
    <m/>
    <m/>
    <m/>
    <m/>
    <m/>
    <m/>
    <m/>
    <x v="0"/>
    <d v="2019-10-15T00:00:00"/>
    <s v="19.9. zrušeno"/>
  </r>
  <r>
    <m/>
    <m/>
    <d v="2019-05-24T00:00:00"/>
    <s v="VZ-2019-000602"/>
    <x v="5"/>
    <s v="Ondráčková"/>
    <x v="238"/>
    <n v="2"/>
    <s v="Spotřební materiál pro experimentální medicínu II."/>
    <m/>
    <s v="33694000-1"/>
    <m/>
    <n v="142941"/>
    <x v="0"/>
    <d v="2019-06-14T00:00:00"/>
    <d v="2019-09-09T00:00:00"/>
    <d v="2019-11-19T00:00:00"/>
    <s v="HPST, s.r.o."/>
    <m/>
    <n v="142931.54"/>
    <n v="172947.16"/>
    <m/>
    <m/>
    <m/>
    <d v="2019-11-22T00:00:00"/>
    <s v="SMLN-2019-617-000586"/>
    <x v="0"/>
    <m/>
    <m/>
  </r>
  <r>
    <m/>
    <m/>
    <d v="2019-05-24T00:00:00"/>
    <s v="VZ-2019-000602"/>
    <x v="5"/>
    <s v="Ondráčková"/>
    <x v="238"/>
    <n v="3"/>
    <s v="Spotřební materiál pro experimentální medicínu III."/>
    <m/>
    <s v="33694000-1"/>
    <m/>
    <n v="974576"/>
    <x v="0"/>
    <d v="2019-06-14T00:00:00"/>
    <d v="2019-09-09T00:00:00"/>
    <m/>
    <s v="Intellmed"/>
    <s v="bude vypsáno znovu"/>
    <m/>
    <m/>
    <m/>
    <m/>
    <m/>
    <m/>
    <m/>
    <x v="0"/>
    <d v="2019-10-15T00:00:00"/>
    <s v="19.9. zrušeno"/>
  </r>
  <r>
    <m/>
    <m/>
    <d v="2019-05-24T00:00:00"/>
    <s v="VZ-2019-000602"/>
    <x v="5"/>
    <s v="Ondráčková"/>
    <x v="238"/>
    <n v="4"/>
    <s v="Spotřební materiál pro experimentální medicínu IV."/>
    <m/>
    <s v="33694000-1"/>
    <m/>
    <n v="235929"/>
    <x v="0"/>
    <d v="2019-06-14T00:00:00"/>
    <d v="2019-09-09T00:00:00"/>
    <d v="2019-11-19T00:00:00"/>
    <s v="INTIMEX s.r.o."/>
    <m/>
    <n v="235926"/>
    <n v="285470.46000000002"/>
    <m/>
    <m/>
    <m/>
    <d v="2019-11-22T00:00:00"/>
    <s v="SMLN-2019-617-000587"/>
    <x v="0"/>
    <m/>
    <m/>
  </r>
  <r>
    <m/>
    <m/>
    <d v="2019-05-24T00:00:00"/>
    <s v="VZ-2019-000602"/>
    <x v="5"/>
    <s v="Ondráčková"/>
    <x v="238"/>
    <n v="5"/>
    <s v="Spotřební materiál pro experimentální medicínu V."/>
    <m/>
    <s v="33694000-1"/>
    <m/>
    <n v="74910"/>
    <x v="0"/>
    <d v="2019-06-14T00:00:00"/>
    <d v="2019-09-09T00:00:00"/>
    <d v="2019-11-19T00:00:00"/>
    <s v="KRD - obchodní společnost s.r.o."/>
    <m/>
    <n v="74700"/>
    <n v="90387"/>
    <m/>
    <m/>
    <m/>
    <d v="2019-11-22T00:00:00"/>
    <s v="SMLN-2019-617-000588"/>
    <x v="0"/>
    <m/>
    <m/>
  </r>
  <r>
    <m/>
    <m/>
    <d v="2019-05-24T00:00:00"/>
    <s v="VZ-2019-000602"/>
    <x v="5"/>
    <s v="Ondráčková"/>
    <x v="238"/>
    <n v="6"/>
    <s v="Spotřební materiál pro experimentální medicínu VI."/>
    <m/>
    <s v="33694000-1"/>
    <m/>
    <n v="796520"/>
    <x v="0"/>
    <d v="2019-06-14T00:00:00"/>
    <d v="2019-09-09T00:00:00"/>
    <d v="2019-11-19T00:00:00"/>
    <s v="Life Technologies Czech Republic s.r.o."/>
    <m/>
    <n v="749113.9"/>
    <n v="906427.82"/>
    <m/>
    <m/>
    <m/>
    <d v="2019-11-22T00:00:00"/>
    <s v="SMLN-2019-617-000589"/>
    <x v="0"/>
    <m/>
    <m/>
  </r>
  <r>
    <m/>
    <m/>
    <d v="2019-05-24T00:00:00"/>
    <s v="VZ-2019-000602"/>
    <x v="5"/>
    <s v="Ondráčková"/>
    <x v="238"/>
    <n v="7"/>
    <s v="Spotřební materiál pro experimentální medicínu VII."/>
    <m/>
    <s v="33694000-1"/>
    <m/>
    <n v="653040"/>
    <x v="0"/>
    <d v="2019-06-14T00:00:00"/>
    <d v="2019-09-09T00:00:00"/>
    <d v="2019-11-19T00:00:00"/>
    <s v="ROCHE s.r.o."/>
    <m/>
    <n v="653039.55000000005"/>
    <n v="790177.86"/>
    <m/>
    <m/>
    <m/>
    <d v="2019-11-22T00:00:00"/>
    <s v="SMLN-2019-617-000590"/>
    <x v="0"/>
    <m/>
    <m/>
  </r>
  <r>
    <m/>
    <m/>
    <d v="2019-05-24T00:00:00"/>
    <s v="VZ-2019-000602"/>
    <x v="5"/>
    <s v="Ondráčková"/>
    <x v="238"/>
    <n v="8"/>
    <s v="Spotřební materiál pro IVF I. "/>
    <m/>
    <s v="33694000-1"/>
    <m/>
    <n v="504800"/>
    <x v="0"/>
    <d v="2019-06-14T00:00:00"/>
    <d v="2019-09-09T00:00:00"/>
    <d v="2019-11-19T00:00:00"/>
    <s v="East Port Praha, s.r.o."/>
    <m/>
    <n v="479481"/>
    <n v="580172.01"/>
    <m/>
    <m/>
    <m/>
    <d v="2019-11-22T00:00:00"/>
    <s v="SMLN-2019-617-000591"/>
    <x v="0"/>
    <m/>
    <m/>
  </r>
  <r>
    <m/>
    <m/>
    <d v="2019-05-24T00:00:00"/>
    <s v="VZ-2019-000602"/>
    <x v="5"/>
    <s v="Ondráčková"/>
    <x v="238"/>
    <n v="9"/>
    <s v="Spotřební materiál pro IVF II. "/>
    <m/>
    <s v="33694000-1"/>
    <m/>
    <n v="742300"/>
    <x v="0"/>
    <d v="2019-06-14T00:00:00"/>
    <d v="2019-09-09T00:00:00"/>
    <d v="2019-11-19T00:00:00"/>
    <s v="PentaGen s.r.o."/>
    <m/>
    <n v="741850"/>
    <n v="897638.5"/>
    <m/>
    <m/>
    <m/>
    <d v="2019-11-22T00:00:00"/>
    <s v="SMLN-2019-617-000592"/>
    <x v="0"/>
    <m/>
    <m/>
  </r>
  <r>
    <m/>
    <m/>
    <d v="2019-05-23T00:00:00"/>
    <s v="VZ-2019-000603"/>
    <x v="6"/>
    <s v="Rosulek"/>
    <x v="239"/>
    <m/>
    <m/>
    <m/>
    <s v="33167000-8"/>
    <s v="2.3.398,2.3.423"/>
    <n v="569116"/>
    <x v="2"/>
    <d v="2019-06-07T00:00:00"/>
    <d v="2019-06-25T00:00:00"/>
    <d v="2019-07-26T00:00:00"/>
    <s v="Dräger Medical s.r.o."/>
    <m/>
    <n v="529960"/>
    <n v="641251.6"/>
    <m/>
    <m/>
    <m/>
    <d v="2019-07-26T00:00:00"/>
    <s v="SMLN-2019-617-000329_x000a_SMLN-2019-612-000076"/>
    <x v="61"/>
    <d v="2019-09-20T00:00:00"/>
    <d v="2019-10-29T00:00:00"/>
  </r>
  <r>
    <m/>
    <m/>
    <d v="2019-05-22T00:00:00"/>
    <s v="VZ-2019-000604"/>
    <x v="4"/>
    <s v="Srovnal"/>
    <x v="240"/>
    <m/>
    <m/>
    <m/>
    <s v="42514310-8"/>
    <m/>
    <n v="500000"/>
    <x v="2"/>
    <d v="2019-06-04T00:00:00"/>
    <d v="2019-06-20T00:00:00"/>
    <d v="2019-07-10T00:00:00"/>
    <s v="Stangl technik Česko spol. s r.o."/>
    <m/>
    <n v="467790"/>
    <n v="566026"/>
    <m/>
    <m/>
    <m/>
    <d v="2019-07-11T00:00:00"/>
    <s v="SMLN-2019-617-000315"/>
    <x v="115"/>
    <d v="2019-07-29T00:00:00"/>
    <d v="2019-09-05T00:00:00"/>
  </r>
  <r>
    <m/>
    <m/>
    <s v="opakovaná VZ"/>
    <s v="VZ-2019-000605"/>
    <x v="12"/>
    <s v="Křivková"/>
    <x v="241"/>
    <m/>
    <m/>
    <m/>
    <s v="79221000-9"/>
    <m/>
    <n v="750000"/>
    <x v="2"/>
    <d v="2019-05-31T00:00:00"/>
    <d v="2019-06-10T00:00:00"/>
    <m/>
    <s v="zrušeno - úprava zadání"/>
    <s v="VZ-2019-000880"/>
    <m/>
    <m/>
    <m/>
    <m/>
    <m/>
    <m/>
    <m/>
    <x v="0"/>
    <d v="2019-06-19T00:00:00"/>
    <m/>
  </r>
  <r>
    <m/>
    <m/>
    <s v="opakovaná VZ"/>
    <s v="VZ-2019-000607"/>
    <x v="15"/>
    <s v="Solovský"/>
    <x v="242"/>
    <n v="1"/>
    <s v="Sanitní vozidla DNR typu A2 s pohonem všech kol"/>
    <m/>
    <s v="34114110-3"/>
    <s v="4.2.110."/>
    <n v="4600000"/>
    <x v="0"/>
    <d v="2019-06-03T00:00:00"/>
    <d v="2019-08-06T00:00:00"/>
    <d v="2019-08-27T00:00:00"/>
    <s v="PROSSAN CZ s.r.o."/>
    <m/>
    <n v="4388000"/>
    <n v="5309480"/>
    <m/>
    <m/>
    <m/>
    <d v="2019-08-27T00:00:00"/>
    <s v="SMLN-2019-617-000384"/>
    <x v="116"/>
    <d v="2019-10-02T00:00:00"/>
    <d v="2020-02-29T00:00:00"/>
  </r>
  <r>
    <m/>
    <m/>
    <s v="opakovaná VZ"/>
    <s v="VZ-2019-000611"/>
    <x v="0"/>
    <s v="Dočkalová"/>
    <x v="243"/>
    <m/>
    <m/>
    <m/>
    <s v="33812210-4"/>
    <s v="grant"/>
    <n v="1123966.8999999999"/>
    <x v="2"/>
    <d v="2019-06-03T00:00:00"/>
    <d v="2019-06-06T00:00:00"/>
    <d v="2019-06-12T00:00:00"/>
    <s v="Cardiomedical, s.r.o."/>
    <m/>
    <n v="1123965.2"/>
    <n v="1359997.9"/>
    <m/>
    <m/>
    <m/>
    <d v="2019-06-14T00:00:00"/>
    <s v="SMLN-2019-617-000280"/>
    <x v="117"/>
    <d v="2019-06-26T00:00:00"/>
    <d v="2022-06-19T00:00:00"/>
  </r>
  <r>
    <m/>
    <m/>
    <d v="2019-05-21T00:00:00"/>
    <s v="VZ-2019-000616"/>
    <x v="0"/>
    <s v="Dočkalová"/>
    <x v="244"/>
    <m/>
    <m/>
    <m/>
    <s v="33140000-3"/>
    <m/>
    <n v="315260"/>
    <x v="2"/>
    <d v="2019-06-07T00:00:00"/>
    <d v="2019-06-14T00:00:00"/>
    <m/>
    <s v="zrušeno - bez nabídky"/>
    <s v="nová VZ-2019-000692"/>
    <m/>
    <m/>
    <m/>
    <m/>
    <m/>
    <m/>
    <m/>
    <x v="0"/>
    <d v="2019-06-17T00:00:00"/>
    <m/>
  </r>
  <r>
    <m/>
    <m/>
    <d v="2019-05-29T00:00:00"/>
    <s v="VZ-2019-000623"/>
    <x v="15"/>
    <s v="Solovský"/>
    <x v="245"/>
    <m/>
    <m/>
    <m/>
    <s v="34351100-3"/>
    <m/>
    <n v="320000"/>
    <x v="2"/>
    <d v="2019-06-07T00:00:00"/>
    <d v="2019-06-20T00:00:00"/>
    <d v="2019-06-26T00:00:00"/>
    <s v="SKARAB s.r.o."/>
    <m/>
    <n v="265470"/>
    <n v="321218.7"/>
    <m/>
    <m/>
    <m/>
    <d v="2019-06-26T00:00:00"/>
    <s v="SMLN-2019-617-000299"/>
    <x v="113"/>
    <d v="2019-07-15T00:00:00"/>
    <d v="2020-07-11T00:00:00"/>
  </r>
  <r>
    <m/>
    <m/>
    <s v="opakovaná VZ"/>
    <s v="VZ-2019-000624"/>
    <x v="2"/>
    <s v="Neudörflerová"/>
    <x v="246"/>
    <m/>
    <m/>
    <m/>
    <s v="33120000-7"/>
    <s v="2.3.336."/>
    <n v="101429.75"/>
    <x v="0"/>
    <d v="2019-07-15T00:00:00"/>
    <d v="2019-08-15T00:00:00"/>
    <d v="2019-11-15T00:00:00"/>
    <s v="WIDEX LINE s.r.o."/>
    <m/>
    <n v="93640"/>
    <n v="113304.4"/>
    <m/>
    <m/>
    <m/>
    <d v="2019-11-18T00:00:00"/>
    <s v="SMLN-2019-617-000582_x000a_SMLN-2019-612-000156"/>
    <x v="0"/>
    <m/>
    <m/>
  </r>
  <r>
    <m/>
    <m/>
    <d v="2019-06-03T00:00:00"/>
    <s v="VZ-2019-000625"/>
    <x v="2"/>
    <s v="Neudörflerová"/>
    <x v="247"/>
    <m/>
    <m/>
    <m/>
    <s v="33195100-4"/>
    <s v="aktualizace"/>
    <n v="653454.54"/>
    <x v="0"/>
    <d v="2019-06-20T00:00:00"/>
    <d v="2019-07-26T00:00:00"/>
    <d v="2019-08-27T00:00:00"/>
    <s v="Hoyer Praha s.r.o."/>
    <m/>
    <n v="93600"/>
    <n v="113256"/>
    <m/>
    <m/>
    <m/>
    <d v="2019-07-28T00:00:00"/>
    <s v="SMLN-2019-617-000386_x000a_SMLN-2019-612-000095"/>
    <x v="111"/>
    <d v="2019-09-20T00:00:00"/>
    <d v="2019-11-11T00:00:00"/>
  </r>
  <r>
    <m/>
    <m/>
    <s v="opakovaná VZ"/>
    <s v="VZ-2019-000626"/>
    <x v="2"/>
    <s v="Neudörflerová"/>
    <x v="248"/>
    <m/>
    <m/>
    <m/>
    <s v="33195100-4"/>
    <s v="2.3.333."/>
    <n v="2588200"/>
    <x v="0"/>
    <d v="2019-08-19T00:00:00"/>
    <d v="2019-10-21T00:00:00"/>
    <d v="2019-11-15T00:00:00"/>
    <s v="ASQA a.s."/>
    <m/>
    <n v="2456200"/>
    <n v="2972002"/>
    <m/>
    <m/>
    <m/>
    <d v="2019-10-31T00:00:00"/>
    <s v="SMLN-2019-617-000549_x000a_SMLN-2019-612-000142_x000a_SMLN-2020-617-000032"/>
    <x v="118"/>
    <d v="2019-12-12T00:00:00"/>
    <d v="2020-01-21T00:00:00"/>
  </r>
  <r>
    <m/>
    <m/>
    <s v="opkovaná VZ"/>
    <s v="VZ-2019-000630"/>
    <x v="2"/>
    <s v="Neudörflerová"/>
    <x v="249"/>
    <m/>
    <m/>
    <m/>
    <s v="33123000-8"/>
    <s v="2.3.332."/>
    <n v="143801.65"/>
    <x v="0"/>
    <d v="2019-06-28T00:00:00"/>
    <d v="2019-08-05T00:00:00"/>
    <m/>
    <s v="zrušeno - bez nabídky"/>
    <s v="nová VZ-2019-000877"/>
    <m/>
    <m/>
    <m/>
    <m/>
    <m/>
    <m/>
    <m/>
    <x v="0"/>
    <d v="2019-08-15T00:00:00"/>
    <s v="15.8. zrušeno"/>
  </r>
  <r>
    <m/>
    <m/>
    <d v="2019-06-11T00:00:00"/>
    <s v="VZ-2019-000639"/>
    <x v="7"/>
    <s v="Jansa"/>
    <x v="250"/>
    <m/>
    <m/>
    <m/>
    <s v="45215100-8"/>
    <s v="1.2.57."/>
    <n v="4500000"/>
    <x v="2"/>
    <d v="2019-06-11T00:00:00"/>
    <d v="2019-06-20T00:00:00"/>
    <d v="2019-06-21T00:00:00"/>
    <s v="OHL ŽS, a.s."/>
    <m/>
    <n v="3991339.51"/>
    <n v="4829520.8070999999"/>
    <m/>
    <m/>
    <m/>
    <d v="2019-06-21T00:00:00"/>
    <s v="SMLN-2019-618-000047"/>
    <x v="47"/>
    <d v="2019-07-10T00:00:00"/>
    <d v="2019-08-15T00:00:00"/>
  </r>
  <r>
    <m/>
    <m/>
    <d v="2019-05-28T00:00:00"/>
    <s v="VZ-2019-000640"/>
    <x v="4"/>
    <s v="Svozil"/>
    <x v="251"/>
    <m/>
    <m/>
    <m/>
    <s v="45233200-1"/>
    <s v="4.3.8."/>
    <n v="1650000"/>
    <x v="2"/>
    <d v="2019-06-12T00:00:00"/>
    <d v="2019-06-21T00:00:00"/>
    <d v="2019-06-27T00:00:00"/>
    <s v="OHL ŽS, a.s."/>
    <m/>
    <n v="1993715.88"/>
    <n v="2412396.2200000002"/>
    <m/>
    <m/>
    <m/>
    <d v="2019-06-27T00:00:00"/>
    <s v="SMLN-2019-618-000050"/>
    <x v="119"/>
    <d v="2019-08-19T00:00:00"/>
    <d v="2019-12-31T00:00:00"/>
  </r>
  <r>
    <m/>
    <m/>
    <d v="2019-05-24T00:00:00"/>
    <s v="VZ-2019-000642"/>
    <x v="0"/>
    <s v="Valtová"/>
    <x v="252"/>
    <m/>
    <m/>
    <m/>
    <s v="33140000-3"/>
    <m/>
    <n v="2550600"/>
    <x v="1"/>
    <d v="2019-06-11T00:00:00"/>
    <d v="2019-06-28T00:00:00"/>
    <d v="2019-09-24T00:00:00"/>
    <s v="Alliance Healthcare s.r.o."/>
    <m/>
    <n v="2177820"/>
    <n v="2635162.2000000002"/>
    <m/>
    <m/>
    <m/>
    <d v="2019-09-25T00:00:00"/>
    <s v="SMLN-2019-617-000459 SMLN-2019-614-000099"/>
    <x v="120"/>
    <d v="2019-10-24T00:00:00"/>
    <d v="2021-10-20T00:00:00"/>
  </r>
  <r>
    <m/>
    <m/>
    <d v="2019-06-04T00:00:00"/>
    <s v="VZ-2019-000643"/>
    <x v="5"/>
    <s v="Ondráčková"/>
    <x v="253"/>
    <n v="1"/>
    <s v="ANAKINRA"/>
    <m/>
    <s v="33652300-8"/>
    <m/>
    <n v="2143890"/>
    <x v="0"/>
    <d v="2019-06-13T00:00:00"/>
    <d v="2019-07-19T00:00:00"/>
    <m/>
    <s v="Swedish Orphan Biovitrum s.r.o."/>
    <s v="VZ-2019-000798 nová VZ - DůVOD zrušeno - bez nabídky ; zrušeno - bez nabídky ; DALŠÍ POSTUP opakování zrušené; 23.7. předáno OZVZ; ÚPRAVA  ; PŘEDPOKLAD  ; POZN: "/>
    <m/>
    <m/>
    <m/>
    <m/>
    <m/>
    <m/>
    <m/>
    <x v="0"/>
    <d v="2019-08-01T00:00:00"/>
    <s v="29.7. zrušeno"/>
  </r>
  <r>
    <m/>
    <m/>
    <d v="2019-06-04T00:00:00"/>
    <s v="VZ-2019-000643"/>
    <x v="5"/>
    <s v="Ondráčková"/>
    <x v="253"/>
    <n v="2"/>
    <s v="SARILUMAB "/>
    <m/>
    <s v="33652300-8"/>
    <m/>
    <n v="3103225"/>
    <x v="0"/>
    <d v="2019-06-13T00:00:00"/>
    <d v="2019-07-19T00:00:00"/>
    <m/>
    <s v="sanofi-aventis, s.r.o."/>
    <s v="VZ-2019-000798 nová VZ, DůVOD zrušeno - bez nabídky ; zrušeno - bez nabídky ; DALŠÍ POSTUP opakování zrušené; 23.7. předáno OZVZ; ÚPRAVA  ; PŘEDPOKLAD  ; POZN: "/>
    <m/>
    <m/>
    <m/>
    <m/>
    <m/>
    <m/>
    <m/>
    <x v="0"/>
    <d v="2019-08-01T00:00:00"/>
    <s v="29.7. zrušeno"/>
  </r>
  <r>
    <m/>
    <m/>
    <d v="2019-06-04T00:00:00"/>
    <s v="VZ-2019-000643"/>
    <x v="5"/>
    <s v="Ondráčková"/>
    <x v="253"/>
    <n v="3"/>
    <s v="BRODALUMAB "/>
    <m/>
    <s v="33652300-8"/>
    <m/>
    <n v="406262"/>
    <x v="0"/>
    <d v="2019-06-13T00:00:00"/>
    <d v="2019-07-19T00:00:00"/>
    <m/>
    <s v="LEO Pharma s.r.o."/>
    <s v="VZ-2019-000798 nová VZ, DůVOD zrušeno - bez nabídky ; zrušeno - bez nabídky ; DALŠÍ POSTUP opakování zrušené; 23.7. předáno OZVZ; ÚPRAVA  ; PŘEDPOKLAD  ; POZN: "/>
    <m/>
    <m/>
    <m/>
    <m/>
    <m/>
    <m/>
    <m/>
    <x v="0"/>
    <d v="2019-08-01T00:00:00"/>
    <s v="29.7. zrušeno"/>
  </r>
  <r>
    <m/>
    <m/>
    <d v="2019-06-04T00:00:00"/>
    <s v="VZ-2019-000644"/>
    <x v="5"/>
    <s v="Ondráčková"/>
    <x v="254"/>
    <m/>
    <m/>
    <m/>
    <s v="33652000-5"/>
    <m/>
    <n v="15813414"/>
    <x v="0"/>
    <d v="2019-06-14T00:00:00"/>
    <d v="2019-07-18T00:00:00"/>
    <d v="2019-08-07T00:00:00"/>
    <s v="Amgen s.r.o."/>
    <m/>
    <n v="15091188.189999999"/>
    <n v="16600307.01"/>
    <m/>
    <m/>
    <m/>
    <d v="2019-08-07T00:00:00"/>
    <s v="SMLN-2019-617-000337"/>
    <x v="112"/>
    <d v="2019-09-17T00:00:00"/>
    <d v="2020-09-11T00:00:00"/>
  </r>
  <r>
    <m/>
    <m/>
    <d v="2019-06-04T00:00:00"/>
    <s v="VZ-2019-000645"/>
    <x v="5"/>
    <s v="Ondráčková"/>
    <x v="255"/>
    <n v="1"/>
    <s v="VANDETANIB "/>
    <m/>
    <s v="33652000-5"/>
    <m/>
    <n v="2777011"/>
    <x v="0"/>
    <d v="2019-06-13T00:00:00"/>
    <d v="2019-08-14T00:00:00"/>
    <d v="2019-10-17T00:00:00"/>
    <s v="sanofi-aventis, s.r.o."/>
    <m/>
    <n v="2780260.18"/>
    <n v="3058286.2"/>
    <m/>
    <m/>
    <m/>
    <d v="2019-10-18T00:00:00"/>
    <s v="SMLN-2019-617-000511"/>
    <x v="105"/>
    <d v="2019-12-06T00:00:00"/>
    <d v="2021-11-26T00:00:00"/>
  </r>
  <r>
    <m/>
    <m/>
    <d v="2019-06-04T00:00:00"/>
    <s v="VZ-2019-000645"/>
    <x v="5"/>
    <s v="Ondráčková"/>
    <x v="255"/>
    <n v="2"/>
    <s v="AFATINIB"/>
    <m/>
    <s v="33652000-5"/>
    <m/>
    <n v="4504490"/>
    <x v="0"/>
    <d v="2019-06-13T00:00:00"/>
    <d v="2019-08-14T00:00:00"/>
    <m/>
    <s v=" -2% Boehringer Ingelheim spol s r.o."/>
    <s v="DůVOD zrušeno - překročení ceny ; zrušeno - překročení ceny ; DALŠÍ POSTUP opakovat; ÚPRAVA  ; PŘEDPOKLAD 3.Q_19 ; POZN: padl patent"/>
    <m/>
    <m/>
    <m/>
    <m/>
    <m/>
    <m/>
    <m/>
    <x v="0"/>
    <d v="2019-09-10T00:00:00"/>
    <s v="19.8. zrušeno"/>
  </r>
  <r>
    <m/>
    <m/>
    <d v="2019-06-04T00:00:00"/>
    <s v="VZ-2019-000645"/>
    <x v="5"/>
    <s v="Ondráčková"/>
    <x v="255"/>
    <n v="3"/>
    <s v="BOSUTINIB "/>
    <m/>
    <s v="33652000-5"/>
    <m/>
    <n v="207611"/>
    <x v="0"/>
    <d v="2019-06-13T00:00:00"/>
    <d v="2019-08-14T00:00:00"/>
    <d v="2019-10-17T00:00:00"/>
    <s v="PHOENIX lék.velkoobchod, s.r.o."/>
    <m/>
    <n v="201035.84"/>
    <n v="221139.43"/>
    <m/>
    <m/>
    <m/>
    <d v="2019-10-18T00:00:00"/>
    <s v="SMLN-2019-617-000512"/>
    <x v="105"/>
    <d v="2019-12-06T00:00:00"/>
    <d v="2021-11-26T00:00:00"/>
  </r>
  <r>
    <m/>
    <m/>
    <d v="2019-06-04T00:00:00"/>
    <s v="VZ-2019-000645"/>
    <x v="5"/>
    <s v="Ondráčková"/>
    <x v="255"/>
    <n v="4"/>
    <s v="KRIZOTINIB "/>
    <m/>
    <s v="33652000-5"/>
    <m/>
    <n v="12070000"/>
    <x v="0"/>
    <d v="2019-06-13T00:00:00"/>
    <d v="2019-08-14T00:00:00"/>
    <d v="2019-10-17T00:00:00"/>
    <s v="PHOENIX lék.velkoobchod, s.r.o."/>
    <m/>
    <n v="12070000"/>
    <n v="13277000"/>
    <m/>
    <m/>
    <m/>
    <d v="2019-10-18T00:00:00"/>
    <s v="SMLN-2019-617-000513"/>
    <x v="105"/>
    <d v="2019-12-06T00:00:00"/>
    <d v="2021-11-26T00:00:00"/>
  </r>
  <r>
    <m/>
    <m/>
    <d v="2019-06-04T00:00:00"/>
    <s v="VZ-2019-000645"/>
    <x v="5"/>
    <s v="Ondráčková"/>
    <x v="255"/>
    <n v="5"/>
    <s v="PONATINIB "/>
    <m/>
    <s v="33652000-5"/>
    <m/>
    <n v="3069066"/>
    <x v="0"/>
    <d v="2019-06-13T00:00:00"/>
    <d v="2019-08-14T00:00:00"/>
    <d v="2019-10-17T00:00:00"/>
    <s v="PHOENIX lék.velkoobchod, s.r.o."/>
    <m/>
    <n v="3029447.74"/>
    <n v="3332392.51"/>
    <m/>
    <m/>
    <m/>
    <d v="2019-10-18T00:00:00"/>
    <s v="SMLN-2019-617-000514"/>
    <x v="105"/>
    <d v="2019-12-06T00:00:00"/>
    <d v="2021-11-26T00:00:00"/>
  </r>
  <r>
    <m/>
    <m/>
    <d v="2019-06-04T00:00:00"/>
    <s v="VZ-2019-000645"/>
    <x v="5"/>
    <s v="Ondráčková"/>
    <x v="255"/>
    <n v="6"/>
    <s v="TRAMETINIB "/>
    <m/>
    <s v="33652000-5"/>
    <m/>
    <n v="1769495"/>
    <x v="0"/>
    <d v="2019-06-13T00:00:00"/>
    <d v="2019-08-14T00:00:00"/>
    <d v="2019-10-17T00:00:00"/>
    <s v="Alliance Healthcare s.r.o."/>
    <m/>
    <n v="1538049.52"/>
    <n v="1691854.47"/>
    <m/>
    <m/>
    <m/>
    <d v="2019-10-18T00:00:00"/>
    <s v="SMLN-2019-617-000515"/>
    <x v="105"/>
    <d v="2019-12-06T00:00:00"/>
    <d v="2021-11-26T00:00:00"/>
  </r>
  <r>
    <m/>
    <m/>
    <d v="2019-06-04T00:00:00"/>
    <s v="VZ-2019-000645"/>
    <x v="5"/>
    <s v="Ondráčková"/>
    <x v="255"/>
    <n v="7"/>
    <s v="KABOZANTINIB  I."/>
    <m/>
    <s v="33652000-5"/>
    <m/>
    <n v="3160476"/>
    <x v="0"/>
    <d v="2019-06-13T00:00:00"/>
    <d v="2019-08-14T00:00:00"/>
    <d v="2019-10-17T00:00:00"/>
    <s v="PHARMOS, a.s."/>
    <m/>
    <n v="3109876"/>
    <n v="3420863.6"/>
    <m/>
    <m/>
    <m/>
    <d v="2019-10-18T00:00:00"/>
    <s v="SMLN-2019-617-000516"/>
    <x v="121"/>
    <d v="2019-12-06T00:00:00"/>
    <d v="2021-11-25T00:00:00"/>
  </r>
  <r>
    <m/>
    <m/>
    <d v="2019-06-04T00:00:00"/>
    <s v="VZ-2019-000645"/>
    <x v="5"/>
    <s v="Ondráčková"/>
    <x v="255"/>
    <n v="8"/>
    <s v="KABOZANTINIB  II."/>
    <m/>
    <s v="33652000-5"/>
    <m/>
    <n v="8127504"/>
    <x v="0"/>
    <d v="2019-06-13T00:00:00"/>
    <d v="2019-08-14T00:00:00"/>
    <d v="2019-10-17T00:00:00"/>
    <s v="PHOENIX lék.velkoobchod, s.r.o."/>
    <m/>
    <n v="8006822.04"/>
    <n v="8807504.2400000002"/>
    <m/>
    <m/>
    <m/>
    <d v="2019-10-18T00:00:00"/>
    <s v="SMLN-2019-617-000517"/>
    <x v="105"/>
    <d v="2019-12-06T00:00:00"/>
    <d v="2021-11-26T00:00:00"/>
  </r>
  <r>
    <m/>
    <m/>
    <d v="2019-06-04T00:00:00"/>
    <s v="VZ-2019-000645"/>
    <x v="5"/>
    <s v="Ondráčková"/>
    <x v="255"/>
    <n v="9"/>
    <s v="LENVATINIB"/>
    <m/>
    <s v="33652000-5"/>
    <m/>
    <n v="2357044"/>
    <x v="0"/>
    <d v="2019-06-13T00:00:00"/>
    <d v="2019-08-14T00:00:00"/>
    <m/>
    <s v=" Eisai R&amp;D Management Co., "/>
    <s v="DůVOD zrušeno - bez nabídky ; zrušeno - bez nabídky ; DALŠÍ POSTUP opakovat; ÚPRAVA  ; PŘEDPOKLAD 3.Q_19 ; POZN: "/>
    <m/>
    <m/>
    <m/>
    <m/>
    <m/>
    <m/>
    <m/>
    <x v="0"/>
    <d v="2019-09-10T00:00:00"/>
    <s v="19.8. zrušeno"/>
  </r>
  <r>
    <m/>
    <m/>
    <d v="2019-06-04T00:00:00"/>
    <s v="VZ-2019-000645"/>
    <x v="5"/>
    <s v="Ondráčková"/>
    <x v="255"/>
    <n v="10"/>
    <s v="ALEKTINIB "/>
    <m/>
    <s v="33652000-5"/>
    <m/>
    <n v="5488380"/>
    <x v="0"/>
    <d v="2019-06-13T00:00:00"/>
    <d v="2019-08-14T00:00:00"/>
    <d v="2019-10-17T00:00:00"/>
    <s v="ROCHE s.r.o."/>
    <m/>
    <n v="5488380"/>
    <n v="6037218"/>
    <m/>
    <m/>
    <m/>
    <d v="2019-10-18T00:00:00"/>
    <s v="SMLN-2019-617-000518"/>
    <x v="105"/>
    <d v="2019-12-06T00:00:00"/>
    <d v="2021-11-26T00:00:00"/>
  </r>
  <r>
    <m/>
    <m/>
    <s v="opakovaná VZ"/>
    <s v="VZ-2019-000651"/>
    <x v="6"/>
    <s v="Rosulek"/>
    <x v="256"/>
    <m/>
    <m/>
    <m/>
    <s v="33195100-4"/>
    <s v="2.2.196."/>
    <n v="905000"/>
    <x v="2"/>
    <d v="2019-06-10T00:00:00"/>
    <d v="2019-06-19T00:00:00"/>
    <d v="2019-08-14T00:00:00"/>
    <s v="Medtronic Czechia s.r.o."/>
    <m/>
    <n v="1993493.67"/>
    <n v="2412127.3407000001"/>
    <m/>
    <m/>
    <m/>
    <d v="2019-08-15T00:00:00"/>
    <s v="SMLN-2019-617-000344_x000a_SMLN-2019-612-000081"/>
    <x v="116"/>
    <d v="2019-10-03T00:00:00"/>
    <d v="2019-10-22T00:00:00"/>
  </r>
  <r>
    <m/>
    <m/>
    <d v="2019-06-11T00:00:00"/>
    <s v="VZ-2019-000668"/>
    <x v="5"/>
    <s v="Ondráčková"/>
    <x v="257"/>
    <n v="1"/>
    <s v="Cetuximab I."/>
    <m/>
    <s v="33652100-6"/>
    <m/>
    <n v="19686840"/>
    <x v="0"/>
    <d v="2019-06-18T00:00:00"/>
    <d v="2019-07-30T00:00:00"/>
    <m/>
    <s v="Merck sro- alliance h"/>
    <s v="VZ-2019-000953 nová VZ, DůVOD zrušeno - bez nabídky ; VZ-2019-000953"/>
    <m/>
    <m/>
    <m/>
    <m/>
    <m/>
    <m/>
    <m/>
    <x v="0"/>
    <d v="2019-09-09T00:00:00"/>
    <s v="16.8. zrušeno"/>
  </r>
  <r>
    <m/>
    <m/>
    <d v="2019-06-11T00:00:00"/>
    <s v="VZ-2019-000668"/>
    <x v="5"/>
    <s v="Ondráčková"/>
    <x v="257"/>
    <n v="2"/>
    <s v="Cetuximab II."/>
    <m/>
    <s v="33652100-6"/>
    <m/>
    <n v="2059117"/>
    <x v="0"/>
    <d v="2019-06-18T00:00:00"/>
    <d v="2019-07-30T00:00:00"/>
    <d v="2019-08-15T00:00:00"/>
    <s v="Merck spol. s r.o."/>
    <m/>
    <n v="2059116.8"/>
    <n v="2265028.4800000004"/>
    <m/>
    <m/>
    <m/>
    <d v="2019-08-16T00:00:00"/>
    <s v="SMLN-2019-617-000350"/>
    <x v="122"/>
    <d v="2019-10-15T00:00:00"/>
    <d v="2021-10-08T00:00:00"/>
  </r>
  <r>
    <m/>
    <m/>
    <d v="2019-06-11T00:00:00"/>
    <s v="VZ-2019-000668"/>
    <x v="5"/>
    <s v="Ondráčková"/>
    <x v="257"/>
    <n v="3"/>
    <s v="Bevacizumab"/>
    <m/>
    <s v="33652100-6"/>
    <m/>
    <n v="26947075"/>
    <x v="0"/>
    <d v="2019-06-18T00:00:00"/>
    <d v="2019-07-30T00:00:00"/>
    <d v="2019-08-15T00:00:00"/>
    <s v="ROCHE s.r.o."/>
    <m/>
    <n v="26947074.600000001"/>
    <n v="29641782.060000002"/>
    <m/>
    <m/>
    <m/>
    <d v="2019-08-16T00:00:00"/>
    <s v="SMLN-2019-617-000351"/>
    <x v="122"/>
    <d v="2019-10-15T00:00:00"/>
    <d v="2021-10-08T00:00:00"/>
  </r>
  <r>
    <m/>
    <m/>
    <d v="2019-06-11T00:00:00"/>
    <s v="VZ-2019-000668"/>
    <x v="5"/>
    <s v="Ondráčková"/>
    <x v="257"/>
    <n v="4"/>
    <s v="Panitumumab"/>
    <m/>
    <s v="33652100-6"/>
    <m/>
    <n v="15472373"/>
    <x v="0"/>
    <d v="2019-06-18T00:00:00"/>
    <d v="2019-07-30T00:00:00"/>
    <d v="2019-08-15T00:00:00"/>
    <s v="Amgen s.r.o."/>
    <m/>
    <n v="15472372.800000001"/>
    <n v="17019610.080000002"/>
    <m/>
    <m/>
    <m/>
    <d v="2019-08-16T00:00:00"/>
    <s v="SMLN-2019-617-000352"/>
    <x v="122"/>
    <d v="2019-10-15T00:00:00"/>
    <d v="2021-10-08T00:00:00"/>
  </r>
  <r>
    <m/>
    <m/>
    <d v="2019-06-11T00:00:00"/>
    <s v="VZ-2019-000668"/>
    <x v="5"/>
    <s v="Ondráčková"/>
    <x v="257"/>
    <n v="5"/>
    <s v="Ramucirumab"/>
    <m/>
    <s v="33652100-6"/>
    <m/>
    <n v="5661728"/>
    <x v="0"/>
    <d v="2019-06-18T00:00:00"/>
    <d v="2019-07-30T00:00:00"/>
    <d v="2019-08-15T00:00:00"/>
    <s v="Alliance Healthcare s.r.o."/>
    <m/>
    <n v="5661190.4000000004"/>
    <n v="6227309.4400000013"/>
    <m/>
    <m/>
    <m/>
    <d v="2019-08-16T00:00:00"/>
    <s v="SMLN-2019-617-000353"/>
    <x v="122"/>
    <d v="2019-10-15T00:00:00"/>
    <d v="2021-10-08T00:00:00"/>
  </r>
  <r>
    <m/>
    <m/>
    <d v="2019-06-11T00:00:00"/>
    <s v="VZ-2019-000669"/>
    <x v="5"/>
    <s v="Ondráčková"/>
    <x v="258"/>
    <n v="1"/>
    <s v="Nintedanib"/>
    <m/>
    <s v="33652100-6"/>
    <m/>
    <n v="11906766.199999999"/>
    <x v="0"/>
    <d v="2019-06-17T00:00:00"/>
    <d v="2019-08-21T00:00:00"/>
    <d v="2019-10-11T00:00:00"/>
    <s v="Boehringer Ingelheim, spol. s r.o."/>
    <m/>
    <n v="11906766.199999999"/>
    <n v="13097442.82"/>
    <m/>
    <m/>
    <m/>
    <d v="2019-10-11T00:00:00"/>
    <s v="SMLN-2019-617-000495"/>
    <x v="123"/>
    <d v="2019-11-12T00:00:00"/>
    <d v="2021-11-05T00:00:00"/>
  </r>
  <r>
    <m/>
    <m/>
    <d v="2019-06-11T00:00:00"/>
    <s v="VZ-2019-000669"/>
    <x v="5"/>
    <s v="Ondráčková"/>
    <x v="258"/>
    <n v="2"/>
    <s v="Imatinib pro indikaci CML"/>
    <m/>
    <s v="33652100-6"/>
    <m/>
    <n v="5050800"/>
    <x v="0"/>
    <d v="2019-06-17T00:00:00"/>
    <d v="2019-08-21T00:00:00"/>
    <d v="2019-10-11T00:00:00"/>
    <s v="PHARMOS, a.s."/>
    <m/>
    <n v="1180926.6599999999"/>
    <n v="1299019.3260000001"/>
    <m/>
    <m/>
    <m/>
    <d v="2019-10-11T00:00:00"/>
    <s v="SMLN-2019-617-000496"/>
    <x v="123"/>
    <d v="2019-11-12T00:00:00"/>
    <d v="2021-11-05T00:00:00"/>
  </r>
  <r>
    <m/>
    <m/>
    <d v="2019-06-11T00:00:00"/>
    <s v="VZ-2019-000669"/>
    <x v="5"/>
    <s v="Ondráčková"/>
    <x v="258"/>
    <n v="3"/>
    <s v="Palbociklib"/>
    <m/>
    <s v="33652100-6"/>
    <m/>
    <n v="1321542.8"/>
    <x v="0"/>
    <d v="2019-06-17T00:00:00"/>
    <d v="2019-08-21T00:00:00"/>
    <d v="2019-10-11T00:00:00"/>
    <s v="PHOENIX lék.velkoobchod, s.r.o."/>
    <m/>
    <n v="1321502.8"/>
    <n v="1453653.08"/>
    <m/>
    <m/>
    <m/>
    <d v="2019-10-11T00:00:00"/>
    <s v="SMLN-2019-617-000497"/>
    <x v="123"/>
    <d v="2019-11-12T00:00:00"/>
    <d v="2021-11-05T00:00:00"/>
  </r>
  <r>
    <m/>
    <m/>
    <d v="2019-06-11T00:00:00"/>
    <s v="VZ-2019-000669"/>
    <x v="5"/>
    <s v="Ondráčková"/>
    <x v="258"/>
    <n v="4"/>
    <s v="Kobimetinib"/>
    <m/>
    <s v="33652100-6"/>
    <m/>
    <n v="1483940.64"/>
    <x v="0"/>
    <d v="2019-06-17T00:00:00"/>
    <d v="2019-08-21T00:00:00"/>
    <m/>
    <s v="roche"/>
    <s v="VZ-2019-000954 nová VZ, DůVOD zrušeno - bez nabídky ; VZ-2019-000954"/>
    <m/>
    <m/>
    <m/>
    <m/>
    <m/>
    <m/>
    <m/>
    <x v="0"/>
    <d v="2019-09-18T00:00:00"/>
    <s v="27.8. zrušeno"/>
  </r>
  <r>
    <m/>
    <m/>
    <s v="opakovaná VZ"/>
    <s v="VZ-2019-000672"/>
    <x v="4"/>
    <s v="Srovnal"/>
    <x v="179"/>
    <m/>
    <m/>
    <m/>
    <s v="45311000-0"/>
    <m/>
    <n v="2900000"/>
    <x v="2"/>
    <d v="2019-06-19T00:00:00"/>
    <d v="2019-06-28T00:00:00"/>
    <d v="2019-07-10T00:00:00"/>
    <s v="ELMAR group spol. s r.o."/>
    <m/>
    <n v="2498706"/>
    <n v="3023434.26"/>
    <m/>
    <m/>
    <m/>
    <d v="2019-07-11T00:00:00"/>
    <s v="SMLN-2019-618-000053"/>
    <x v="52"/>
    <d v="2019-08-19T00:00:00"/>
    <d v="2019-10-11T00:00:00"/>
  </r>
  <r>
    <m/>
    <m/>
    <d v="2019-05-28T00:00:00"/>
    <s v="VZ-2019-000675"/>
    <x v="11"/>
    <s v="Zemánek"/>
    <x v="259"/>
    <m/>
    <m/>
    <m/>
    <s v="50421000-2"/>
    <m/>
    <n v="8000000"/>
    <x v="0"/>
    <d v="2019-06-19T00:00:00"/>
    <d v="2019-07-23T00:00:00"/>
    <d v="2019-09-26T00:00:00"/>
    <s v="Olympus Czech Group s.r.o."/>
    <m/>
    <n v="1281160"/>
    <n v="1550203.5999999999"/>
    <m/>
    <m/>
    <m/>
    <d v="2019-09-26T00:00:00"/>
    <s v="SMLN-2019-612000117"/>
    <x v="105"/>
    <d v="2019-12-03T00:00:00"/>
    <s v="doba neurčitá"/>
  </r>
  <r>
    <m/>
    <m/>
    <s v="opakovaná VZ"/>
    <s v="VZ-2019-000685"/>
    <x v="0"/>
    <s v="Dočkalová"/>
    <x v="260"/>
    <m/>
    <m/>
    <m/>
    <s v="33140000-3"/>
    <m/>
    <n v="409600"/>
    <x v="2"/>
    <d v="2019-06-20T00:00:00"/>
    <d v="2019-07-02T00:00:00"/>
    <m/>
    <s v="zrušeno - bez nabídky"/>
    <s v="nová VZ-2019-000760"/>
    <m/>
    <m/>
    <m/>
    <m/>
    <m/>
    <m/>
    <m/>
    <x v="0"/>
    <d v="2019-07-02T00:00:00"/>
    <m/>
  </r>
  <r>
    <m/>
    <m/>
    <s v="opakovaná VZ"/>
    <s v="VZ-2019-000688"/>
    <x v="6"/>
    <s v="Rosulek"/>
    <x v="261"/>
    <m/>
    <m/>
    <m/>
    <s v="38416000-4"/>
    <s v="2.2.177."/>
    <n v="416000"/>
    <x v="2"/>
    <d v="2019-06-20T00:00:00"/>
    <d v="2019-07-09T00:00:00"/>
    <d v="2019-08-08T00:00:00"/>
    <s v="IMEDEX s.r.o."/>
    <m/>
    <n v="416240"/>
    <n v="503650.4"/>
    <m/>
    <m/>
    <m/>
    <d v="2019-08-16T00:00:00"/>
    <s v="SMLN-2019-617-000345_x000a_SMLN-2019-612-000082"/>
    <x v="124"/>
    <d v="2019-09-23T00:00:00"/>
    <d v="2019-10-16T00:00:00"/>
  </r>
  <r>
    <m/>
    <m/>
    <s v="opakovaná VZ"/>
    <s v="VZ-2019-000692"/>
    <x v="0"/>
    <s v="Dočkalová"/>
    <x v="262"/>
    <m/>
    <m/>
    <m/>
    <s v="33140000-3"/>
    <m/>
    <n v="315260"/>
    <x v="2"/>
    <d v="2019-06-20T00:00:00"/>
    <d v="2019-07-02T00:00:00"/>
    <d v="2019-07-03T00:00:00"/>
    <s v="BS PRAGUE MEDICALCS, spol. s r.o."/>
    <m/>
    <n v="315260"/>
    <n v="381464.6"/>
    <m/>
    <m/>
    <m/>
    <d v="2019-07-04T00:00:00"/>
    <s v="SMLN-2019-617-000308 SMLN-2019-614-000062"/>
    <x v="125"/>
    <d v="2019-07-30T00:00:00"/>
    <d v="2021-07-25T00:00:00"/>
  </r>
  <r>
    <m/>
    <m/>
    <s v="opakovaná VZ"/>
    <s v="VZ-2019-000693"/>
    <x v="0"/>
    <s v="Dočkalová"/>
    <x v="263"/>
    <m/>
    <m/>
    <m/>
    <s v="33140000-3"/>
    <m/>
    <n v="492000"/>
    <x v="2"/>
    <d v="2019-06-21T00:00:00"/>
    <d v="2019-07-02T00:00:00"/>
    <d v="2019-08-02T00:00:00"/>
    <s v="A Care a.s."/>
    <m/>
    <n v="492000"/>
    <n v="595320"/>
    <m/>
    <m/>
    <m/>
    <d v="2019-08-02T00:00:00"/>
    <s v="SMLN-2019-617-000335_x000a_SMLN-2019-614-000066"/>
    <x v="126"/>
    <d v="2019-08-14T00:00:00"/>
    <d v="2021-08-13T00:00:00"/>
  </r>
  <r>
    <m/>
    <m/>
    <d v="2019-06-21T00:00:00"/>
    <s v="VZ-2019-000694"/>
    <x v="6"/>
    <s v="Olejníček"/>
    <x v="264"/>
    <m/>
    <m/>
    <m/>
    <s v="31643100-6_x000a_33115100-0_x000a_50421000-2 "/>
    <m/>
    <n v="467173553"/>
    <x v="0"/>
    <d v="2019-09-16T00:00:00"/>
    <d v="2019-11-22T00:00:00"/>
    <m/>
    <m/>
    <m/>
    <m/>
    <m/>
    <m/>
    <m/>
    <m/>
    <m/>
    <m/>
    <x v="0"/>
    <d v="2020-01-07T00:00:00"/>
    <s v="19.12.2019 zrušeno"/>
  </r>
  <r>
    <m/>
    <m/>
    <d v="2019-06-19T00:00:00"/>
    <s v="VZ-2019-000697"/>
    <x v="0"/>
    <s v="Dočkalová"/>
    <x v="265"/>
    <m/>
    <m/>
    <m/>
    <s v="33812210-4"/>
    <m/>
    <n v="1960200"/>
    <x v="2"/>
    <d v="2019-06-26T00:00:00"/>
    <d v="2019-07-09T00:00:00"/>
    <d v="2019-07-25T00:00:00"/>
    <s v="Cardiomedical, s.r.o."/>
    <m/>
    <n v="1960200"/>
    <n v="2254230"/>
    <m/>
    <m/>
    <m/>
    <d v="2019-07-29T00:00:00"/>
    <s v="SMLN-2019-617-000331"/>
    <x v="74"/>
    <d v="2019-08-28T00:00:00"/>
    <d v="2020-08-21T00:00:00"/>
  </r>
  <r>
    <m/>
    <m/>
    <d v="2019-06-24T00:00:00"/>
    <s v="VZ-2019-000706"/>
    <x v="5"/>
    <s v="Ondráčková"/>
    <x v="266"/>
    <m/>
    <m/>
    <m/>
    <s v="33694000-1"/>
    <m/>
    <n v="21944616"/>
    <x v="0"/>
    <d v="2019-09-05T00:00:00"/>
    <d v="2019-10-17T00:00:00"/>
    <m/>
    <m/>
    <m/>
    <m/>
    <m/>
    <m/>
    <m/>
    <m/>
    <m/>
    <m/>
    <x v="0"/>
    <m/>
    <m/>
  </r>
  <r>
    <m/>
    <m/>
    <d v="2019-06-24T00:00:00"/>
    <s v="VZ-2019-000708"/>
    <x v="5"/>
    <s v="Ondráčková"/>
    <x v="267"/>
    <n v="1"/>
    <s v="Midostaurin"/>
    <m/>
    <s v="33652000-5"/>
    <m/>
    <n v="11889360"/>
    <x v="0"/>
    <d v="2019-09-03T00:00:00"/>
    <d v="2019-10-08T00:00:00"/>
    <d v="2019-11-12T00:00:00"/>
    <s v="Alliance Healthcare s.r.o."/>
    <m/>
    <n v="11889360"/>
    <n v="13078296"/>
    <m/>
    <m/>
    <m/>
    <d v="2019-11-13T00:00:00"/>
    <s v="SMLN-2019-617-000571"/>
    <x v="0"/>
    <m/>
    <m/>
  </r>
  <r>
    <m/>
    <m/>
    <d v="2019-06-24T00:00:00"/>
    <s v="VZ-2019-000709"/>
    <x v="5"/>
    <s v="Ondráčková"/>
    <x v="268"/>
    <n v="1"/>
    <s v="Dexmedetomidin"/>
    <m/>
    <s v="33661500-6"/>
    <m/>
    <n v="2669658"/>
    <x v="1"/>
    <d v="2019-07-09T00:00:00"/>
    <d v="2019-07-25T00:00:00"/>
    <d v="2019-08-15T00:00:00"/>
    <s v="PHOENIX lék.velkoobchod, s.r.o."/>
    <m/>
    <n v="1355567.67"/>
    <n v="1491124.54"/>
    <m/>
    <m/>
    <m/>
    <d v="2019-08-16T00:00:00"/>
    <s v="SMLN-2019-617-000348"/>
    <x v="80"/>
    <d v="2019-09-01T00:00:00"/>
    <d v="2021-09-09T00:00:00"/>
  </r>
  <r>
    <m/>
    <m/>
    <d v="2019-06-24T00:00:00"/>
    <s v="VZ-2019-000710"/>
    <x v="5"/>
    <s v="Ondráčková"/>
    <x v="269"/>
    <n v="1"/>
    <s v="Interferon alfa-2b"/>
    <m/>
    <s v="33652000-5"/>
    <m/>
    <n v="2304528"/>
    <x v="0"/>
    <d v="2019-08-02T00:00:00"/>
    <d v="2019-09-20T00:00:00"/>
    <d v="2019-12-05T00:00:00"/>
    <s v="PHARMOS, a.s."/>
    <m/>
    <n v="2279198.2000000002"/>
    <n v="2507118.02"/>
    <m/>
    <m/>
    <m/>
    <d v="2019-12-06T00:00:00"/>
    <s v="SMLN-2019-617-000623"/>
    <x v="0"/>
    <m/>
    <m/>
  </r>
  <r>
    <m/>
    <m/>
    <d v="2019-06-24T00:00:00"/>
    <s v="VZ-2019-000710"/>
    <x v="5"/>
    <s v="Ondráčková"/>
    <x v="269"/>
    <n v="2"/>
    <s v="Interferon beta-1a I"/>
    <m/>
    <s v="33652000-5"/>
    <m/>
    <n v="34875745"/>
    <x v="0"/>
    <d v="2019-08-02T00:00:00"/>
    <d v="2019-09-20T00:00:00"/>
    <d v="2019-12-05T00:00:00"/>
    <s v="Merck spol. s r.o."/>
    <m/>
    <n v="34875744.960000001"/>
    <n v="38363319.460000001"/>
    <m/>
    <m/>
    <m/>
    <d v="2019-12-06T00:00:00"/>
    <s v="SMLN-2019-617-000626"/>
    <x v="0"/>
    <m/>
    <m/>
  </r>
  <r>
    <m/>
    <m/>
    <d v="2019-06-24T00:00:00"/>
    <s v="VZ-2019-000710"/>
    <x v="5"/>
    <s v="Ondráčková"/>
    <x v="269"/>
    <n v="3"/>
    <s v="Interferon beta-1b"/>
    <m/>
    <s v="33652000-5"/>
    <m/>
    <n v="4011058"/>
    <x v="0"/>
    <d v="2019-08-02T00:00:00"/>
    <d v="2019-09-20T00:00:00"/>
    <d v="2019-12-05T00:00:00"/>
    <s v="BAYER s.r.o."/>
    <m/>
    <n v="4011000"/>
    <n v="4412100"/>
    <m/>
    <m/>
    <m/>
    <d v="2019-12-06T00:00:00"/>
    <s v="SMLN-2019-617-000624"/>
    <x v="0"/>
    <m/>
    <m/>
  </r>
  <r>
    <m/>
    <m/>
    <d v="2019-06-24T00:00:00"/>
    <s v="VZ-2019-000710"/>
    <x v="5"/>
    <s v="Ondráčková"/>
    <x v="269"/>
    <n v="4"/>
    <s v="Peginterferon alfa "/>
    <m/>
    <s v="33652000-5"/>
    <m/>
    <n v="331044"/>
    <x v="0"/>
    <d v="2019-08-02T00:00:00"/>
    <d v="2019-09-20T00:00:00"/>
    <m/>
    <s v="zrušeno - bez nabídky"/>
    <m/>
    <m/>
    <m/>
    <m/>
    <m/>
    <m/>
    <m/>
    <m/>
    <x v="0"/>
    <d v="2019-11-26T00:00:00"/>
    <s v="30.10. zrušeno"/>
  </r>
  <r>
    <m/>
    <m/>
    <d v="2019-06-24T00:00:00"/>
    <s v="VZ-2019-000710"/>
    <x v="5"/>
    <s v="Ondráčková"/>
    <x v="269"/>
    <n v="5"/>
    <s v="Peginterferon beta - 1a"/>
    <m/>
    <s v="33652000-5"/>
    <m/>
    <n v="13562801"/>
    <x v="0"/>
    <d v="2019-08-02T00:00:00"/>
    <d v="2019-09-20T00:00:00"/>
    <d v="2019-12-05T00:00:00"/>
    <s v="Avenier a.s."/>
    <m/>
    <n v="11639164.960000001"/>
    <n v="12803081.460000001"/>
    <m/>
    <m/>
    <m/>
    <d v="2019-12-06T00:00:00"/>
    <s v="SMLN-2019-617-000625"/>
    <x v="0"/>
    <m/>
    <m/>
  </r>
  <r>
    <m/>
    <m/>
    <d v="2019-06-24T00:00:00"/>
    <s v="VZ-2019-000714"/>
    <x v="4"/>
    <s v="Svozil"/>
    <x v="270"/>
    <m/>
    <m/>
    <m/>
    <s v="45223500-1"/>
    <s v="4.2.117."/>
    <n v="2100000"/>
    <x v="2"/>
    <d v="2019-07-10T00:00:00"/>
    <d v="2019-07-19T00:00:00"/>
    <d v="2019-08-20T00:00:00"/>
    <s v="OHL ŽS, a.s."/>
    <m/>
    <n v="2739020.63"/>
    <n v="3314214.9622999998"/>
    <m/>
    <m/>
    <m/>
    <d v="2019-08-20T00:00:00"/>
    <s v="SMLN-2019-618-000070"/>
    <x v="124"/>
    <d v="2019-09-19T00:00:00"/>
    <d v="2019-12-25T00:00:00"/>
  </r>
  <r>
    <m/>
    <m/>
    <d v="2019-06-24T00:00:00"/>
    <s v="VZ-2019-000715"/>
    <x v="16"/>
    <s v="Vaida"/>
    <x v="271"/>
    <m/>
    <m/>
    <m/>
    <s v="45453000-7"/>
    <m/>
    <n v="910000"/>
    <x v="2"/>
    <d v="2019-06-27T00:00:00"/>
    <d v="2019-07-16T00:00:00"/>
    <d v="2019-07-29T00:00:00"/>
    <s v="INTOP Olomouc CZ s.r.o."/>
    <m/>
    <n v="1079171.1599999999"/>
    <n v="1305797.1035999998"/>
    <m/>
    <m/>
    <m/>
    <d v="2019-07-29T00:00:00"/>
    <s v="SMLN-2019-618-000058"/>
    <x v="119"/>
    <d v="2019-08-14T00:00:00"/>
    <d v="2019-10-17T00:00:00"/>
  </r>
  <r>
    <m/>
    <m/>
    <d v="2019-06-25T00:00:00"/>
    <s v="VZ-2019-000717"/>
    <x v="0"/>
    <s v="Dočkalová"/>
    <x v="272"/>
    <m/>
    <m/>
    <m/>
    <s v="33140000-3"/>
    <m/>
    <n v="264400"/>
    <x v="2"/>
    <d v="2019-06-27T00:00:00"/>
    <d v="2019-07-08T00:00:00"/>
    <d v="2019-08-21T00:00:00"/>
    <s v="S.A.B. Impex  s.r.o."/>
    <m/>
    <n v="192000"/>
    <n v="232320"/>
    <m/>
    <m/>
    <m/>
    <d v="2019-08-21T00:00:00"/>
    <s v="SMLN-2019-617-000362_x000a_SMLN-2019-614-000071"/>
    <x v="61"/>
    <d v="2019-10-02T00:00:00"/>
    <d v="2021-09-16T00:00:00"/>
  </r>
  <r>
    <m/>
    <m/>
    <d v="2019-06-20T00:00:00"/>
    <s v="VZ-2019-000721"/>
    <x v="17"/>
    <s v="Olejníček"/>
    <x v="273"/>
    <m/>
    <m/>
    <m/>
    <s v="34923000-3"/>
    <s v="4.3.1."/>
    <n v="10200000"/>
    <x v="0"/>
    <d v="2019-07-03T00:00:00"/>
    <d v="2019-09-02T00:00:00"/>
    <m/>
    <s v="zrušeno - překročení ceny"/>
    <s v="bude vypsáno znovu"/>
    <m/>
    <m/>
    <m/>
    <m/>
    <m/>
    <m/>
    <m/>
    <x v="0"/>
    <d v="2019-09-16T00:00:00"/>
    <s v="13.9. zrušení na podpis"/>
  </r>
  <r>
    <m/>
    <m/>
    <d v="2019-06-25T00:00:00"/>
    <s v="VZ-2019-000729"/>
    <x v="5"/>
    <s v="Ondráčková"/>
    <x v="274"/>
    <n v="1"/>
    <s v="Methotrexát "/>
    <m/>
    <s v=" 33652300-8"/>
    <m/>
    <n v="53394"/>
    <x v="0"/>
    <d v="2019-07-22T00:00:00"/>
    <d v="2019-09-10T00:00:00"/>
    <d v="2019-10-11T00:00:00"/>
    <s v="ViaPharma s.r.o."/>
    <m/>
    <n v="48037.919999999998"/>
    <n v="52841.712"/>
    <m/>
    <m/>
    <m/>
    <d v="2019-10-11T00:00:00"/>
    <s v="SMLN-2019-617-000498"/>
    <x v="100"/>
    <d v="2019-12-11T00:00:00"/>
    <d v="2021-11-28T00:00:00"/>
  </r>
  <r>
    <m/>
    <m/>
    <d v="2019-06-25T00:00:00"/>
    <s v="VZ-2019-000729"/>
    <x v="5"/>
    <s v="Ondráčková"/>
    <x v="274"/>
    <n v="2"/>
    <s v="Metoject pen"/>
    <m/>
    <s v=" 33652300-8"/>
    <m/>
    <n v="1243160"/>
    <x v="0"/>
    <d v="2019-07-22T00:00:00"/>
    <d v="2019-09-10T00:00:00"/>
    <m/>
    <s v="zrušeno - bez nabídky"/>
    <m/>
    <m/>
    <m/>
    <m/>
    <m/>
    <m/>
    <m/>
    <m/>
    <x v="0"/>
    <d v="2019-09-27T00:00:00"/>
    <s v="13.9. zrušeno"/>
  </r>
  <r>
    <m/>
    <m/>
    <d v="2019-06-25T00:00:00"/>
    <s v="VZ-2019-000729"/>
    <x v="5"/>
    <s v="Ondráčková"/>
    <x v="274"/>
    <n v="3"/>
    <s v="Pirfenidon"/>
    <m/>
    <s v=" 33652300-8"/>
    <m/>
    <n v="15893577"/>
    <x v="0"/>
    <d v="2019-07-22T00:00:00"/>
    <d v="2019-09-10T00:00:00"/>
    <d v="2019-10-11T00:00:00"/>
    <s v="ROCHE s.r.o."/>
    <m/>
    <n v="15893577"/>
    <n v="17255801.199999999"/>
    <m/>
    <m/>
    <m/>
    <d v="2019-10-11T00:00:00"/>
    <s v="SMLN-2019-617-000499"/>
    <x v="100"/>
    <d v="2019-12-11T00:00:00"/>
    <d v="2021-11-28T00:00:00"/>
  </r>
  <r>
    <m/>
    <m/>
    <d v="2019-06-25T00:00:00"/>
    <s v="VZ-2019-000729"/>
    <x v="5"/>
    <s v="Ondráčková"/>
    <x v="274"/>
    <n v="4"/>
    <s v="Pomalidomid"/>
    <m/>
    <s v=" 33652300-8"/>
    <m/>
    <n v="10485581"/>
    <x v="0"/>
    <d v="2019-07-22T00:00:00"/>
    <d v="2019-09-10T00:00:00"/>
    <d v="2019-10-11T00:00:00"/>
    <s v="PHOENIX lék.velkoobchod, s.r.o."/>
    <m/>
    <n v="10485580.560000001"/>
    <n v="11534138.619999999"/>
    <m/>
    <m/>
    <m/>
    <d v="2019-10-11T00:00:00"/>
    <s v="SMLN-2019-617-000500"/>
    <x v="100"/>
    <d v="2019-12-11T00:00:00"/>
    <d v="2021-11-28T00:00:00"/>
  </r>
  <r>
    <m/>
    <m/>
    <d v="2019-06-25T00:00:00"/>
    <s v="VZ-2019-000729"/>
    <x v="5"/>
    <s v="Ondráčková"/>
    <x v="274"/>
    <n v="5"/>
    <s v="Lenalidomid"/>
    <m/>
    <s v=" 33652300-8"/>
    <m/>
    <n v="121325220"/>
    <x v="0"/>
    <d v="2019-07-22T00:00:00"/>
    <d v="2019-09-10T00:00:00"/>
    <d v="2019-10-11T00:00:00"/>
    <s v="PHOENIX lék.velkoobchod, s.r.o."/>
    <m/>
    <n v="97397567.939999998"/>
    <n v="107137324.73"/>
    <m/>
    <m/>
    <m/>
    <d v="2019-10-11T00:00:00"/>
    <s v="SMLN-2019-617-000501"/>
    <x v="100"/>
    <d v="2019-12-11T00:00:00"/>
    <d v="2021-11-28T00:00:00"/>
  </r>
  <r>
    <m/>
    <m/>
    <d v="2019-06-20T00:00:00"/>
    <s v="VZ-2019-000730"/>
    <x v="6"/>
    <s v="Rosulek"/>
    <x v="275"/>
    <m/>
    <m/>
    <m/>
    <s v="33124120-2"/>
    <m/>
    <n v="4530000"/>
    <x v="0"/>
    <d v="2019-07-03T00:00:00"/>
    <d v="2019-08-21T00:00:00"/>
    <d v="2019-10-22T00:00:00"/>
    <s v="Exact Imaging BVBA"/>
    <m/>
    <n v="4802142"/>
    <n v="4802142"/>
    <m/>
    <m/>
    <m/>
    <d v="2019-10-24T00:00:00"/>
    <s v="SMLN-2019-617-000528_x000a_SMLN-2019-612-000128"/>
    <x v="0"/>
    <m/>
    <m/>
  </r>
  <r>
    <m/>
    <m/>
    <s v="opakovaná VZ"/>
    <s v="VZ-2019-000732"/>
    <x v="0"/>
    <s v="Dočkalová"/>
    <x v="276"/>
    <m/>
    <m/>
    <m/>
    <s v="33140000-3"/>
    <m/>
    <n v="662084"/>
    <x v="2"/>
    <d v="2019-06-28T00:00:00"/>
    <d v="2019-07-11T00:00:00"/>
    <m/>
    <s v="zrušeno - překročena cena"/>
    <s v="nová VZ-2019-000770"/>
    <m/>
    <m/>
    <m/>
    <m/>
    <m/>
    <m/>
    <m/>
    <x v="0"/>
    <d v="2019-07-11T00:00:00"/>
    <m/>
  </r>
  <r>
    <m/>
    <m/>
    <d v="2019-06-26T00:00:00"/>
    <s v="VZ-2019-000733"/>
    <x v="16"/>
    <s v="Vaida"/>
    <x v="277"/>
    <m/>
    <m/>
    <m/>
    <s v="45262000-1"/>
    <m/>
    <n v="600000"/>
    <x v="2"/>
    <d v="2019-07-10T00:00:00"/>
    <d v="2019-07-19T00:00:00"/>
    <d v="2019-07-29T00:00:00"/>
    <s v="Elektropráce Spáčil s.r.o."/>
    <m/>
    <n v="509986.39"/>
    <n v="617083.53"/>
    <m/>
    <m/>
    <m/>
    <d v="2019-07-29T00:00:00"/>
    <s v="SMLN-2019-618-000059"/>
    <x v="80"/>
    <d v="2019-09-17T00:00:00"/>
    <d v="2019-11-07T00:00:00"/>
  </r>
  <r>
    <m/>
    <m/>
    <d v="2019-06-28T00:00:00"/>
    <s v="VZ-2019-000734"/>
    <x v="6"/>
    <s v="Rosulek"/>
    <x v="278"/>
    <m/>
    <m/>
    <m/>
    <s v="33154000-4"/>
    <s v="2.3.387."/>
    <n v="267000"/>
    <x v="2"/>
    <d v="2019-07-02T00:00:00"/>
    <d v="2019-07-18T00:00:00"/>
    <d v="2019-07-24T00:00:00"/>
    <s v="BTL zdravotnická technika a.s."/>
    <m/>
    <n v="282560"/>
    <n v="341897.6"/>
    <m/>
    <m/>
    <m/>
    <d v="2019-07-29T00:00:00"/>
    <s v="SMLN-2019-617-000330_x000a_SMLN-2019-612-000077"/>
    <x v="74"/>
    <d v="2019-08-28T00:00:00"/>
    <d v="2019-10-03T00:00:00"/>
  </r>
  <r>
    <m/>
    <m/>
    <d v="2019-06-28T00:00:00"/>
    <s v="VZ-2019-000735"/>
    <x v="6"/>
    <s v="Rosulek"/>
    <x v="279"/>
    <n v="1"/>
    <s v="Hlubokomrazící boxy"/>
    <m/>
    <s v="39711100-0"/>
    <s v="2.2.210., 2.2.218."/>
    <n v="598000"/>
    <x v="2"/>
    <d v="2019-07-04T00:00:00"/>
    <d v="2019-07-16T00:00:00"/>
    <m/>
    <s v="zrušeno - oprava zadání"/>
    <s v="nová VZ-2019-000875"/>
    <m/>
    <m/>
    <m/>
    <m/>
    <m/>
    <m/>
    <m/>
    <x v="0"/>
    <d v="2019-08-13T00:00:00"/>
    <m/>
  </r>
  <r>
    <m/>
    <m/>
    <d v="2019-06-28T00:00:00"/>
    <s v="VZ-2019-000735"/>
    <x v="6"/>
    <s v="Rosulek"/>
    <x v="279"/>
    <n v="2"/>
    <s v="Mrazící laboratorní box"/>
    <m/>
    <s v="39711100-0"/>
    <s v="2.2.216."/>
    <n v="62500"/>
    <x v="2"/>
    <d v="2019-07-04T00:00:00"/>
    <d v="2019-07-16T00:00:00"/>
    <d v="2019-08-22T00:00:00"/>
    <s v="Schoeller Instruments s.r.o."/>
    <m/>
    <n v="67950"/>
    <n v="82219.5"/>
    <m/>
    <m/>
    <m/>
    <d v="2019-08-23T00:00:00"/>
    <s v="SMLN-2019-617-000368_x000a_SMLN-2019-612-000087"/>
    <x v="127"/>
    <d v="2019-10-03T00:00:00"/>
    <d v="2019-10-18T00:00:00"/>
  </r>
  <r>
    <m/>
    <m/>
    <d v="2019-06-28T00:00:00"/>
    <s v="VZ-2019-000735"/>
    <x v="6"/>
    <s v="Rosulek"/>
    <x v="279"/>
    <n v="3"/>
    <s v="Laboratorní lednice"/>
    <m/>
    <s v="39711100-0"/>
    <s v="2.3.393."/>
    <n v="140000"/>
    <x v="2"/>
    <d v="2019-07-04T00:00:00"/>
    <d v="2019-07-16T00:00:00"/>
    <d v="2019-08-22T00:00:00"/>
    <s v="KRD obchodní společnost, s.r.o."/>
    <m/>
    <n v="91494"/>
    <n v="110708"/>
    <m/>
    <m/>
    <m/>
    <d v="2019-08-23T00:00:00"/>
    <s v="SMLN-2019-617-000369_x000a_SMLN-2019-612-000088"/>
    <x v="127"/>
    <d v="2019-10-03T00:00:00"/>
    <d v="2019-11-15T00:00:00"/>
  </r>
  <r>
    <m/>
    <m/>
    <d v="2019-06-28T00:00:00"/>
    <s v="VZ-2019-000735"/>
    <x v="6"/>
    <s v="Rosulek"/>
    <x v="279"/>
    <n v="4"/>
    <s v="Chladící box a hlubokomrazící box"/>
    <m/>
    <s v="39711100-0"/>
    <s v="2.2.101., 2.2.102."/>
    <n v="260000"/>
    <x v="2"/>
    <d v="2019-07-04T00:00:00"/>
    <d v="2019-07-16T00:00:00"/>
    <d v="2019-08-22T00:00:00"/>
    <s v="TRIGON PLUS s.r.o."/>
    <m/>
    <n v="509175"/>
    <n v="616101.75"/>
    <m/>
    <m/>
    <m/>
    <d v="2019-08-23T00:00:00"/>
    <s v="SMLN-2019-617-000370_x000a_SMLN-2019-612-000089"/>
    <x v="128"/>
    <d v="2019-10-03T00:00:00"/>
    <d v="2019-11-27T00:00:00"/>
  </r>
  <r>
    <m/>
    <m/>
    <d v="2019-07-01T00:00:00"/>
    <s v="VZ-2019-000737"/>
    <x v="7"/>
    <s v="Valíček"/>
    <x v="280"/>
    <m/>
    <m/>
    <m/>
    <s v="71400000-2"/>
    <s v="1.3.5."/>
    <n v="8000000"/>
    <x v="0"/>
    <d v="2019-07-15T00:00:00"/>
    <d v="2019-08-15T00:00:00"/>
    <d v="2019-09-16T00:00:00"/>
    <s v="LT PROJEKT a.s."/>
    <m/>
    <n v="8000000"/>
    <n v="9680000"/>
    <m/>
    <m/>
    <m/>
    <d v="2019-09-16T00:00:00"/>
    <s v="SMLN-2019-612-000103"/>
    <x v="129"/>
    <d v="2019-10-07T00:00:00"/>
    <d v="2020-07-09T00:00:00"/>
  </r>
  <r>
    <m/>
    <m/>
    <d v="2019-07-04T00:00:00"/>
    <s v="VZ-2019-000739"/>
    <x v="6"/>
    <s v="Rosulek"/>
    <x v="281"/>
    <n v="1"/>
    <s v="ELISA spektrofotometr "/>
    <m/>
    <s v="38000000-5"/>
    <s v="2.2.199."/>
    <n v="159300"/>
    <x v="2"/>
    <d v="2019-07-12T00:00:00"/>
    <d v="2019-07-25T00:00:00"/>
    <m/>
    <s v="zrušeno - oprava zadání"/>
    <s v="nová VZ-2019-000822"/>
    <m/>
    <m/>
    <m/>
    <m/>
    <m/>
    <m/>
    <m/>
    <x v="0"/>
    <d v="2019-07-31T00:00:00"/>
    <m/>
  </r>
  <r>
    <m/>
    <m/>
    <d v="2019-07-04T00:00:00"/>
    <s v="VZ-2019-000739"/>
    <x v="6"/>
    <s v="Rosulek"/>
    <x v="281"/>
    <n v="2"/>
    <s v="Automatický ELISA procesor a spektrofotometr "/>
    <m/>
    <s v="38000000-5"/>
    <s v="2.2.212."/>
    <n v="875000"/>
    <x v="2"/>
    <d v="2019-07-12T00:00:00"/>
    <d v="2019-07-25T00:00:00"/>
    <d v="2019-08-26T00:00:00"/>
    <s v="LABOSERV s.r.o."/>
    <m/>
    <n v="900189"/>
    <n v="1089228.69"/>
    <m/>
    <m/>
    <m/>
    <d v="2019-08-26T00:00:00"/>
    <s v="SMLN-2019-617-000379_x000a_SMLN-2019-612-000091"/>
    <x v="79"/>
    <d v="2019-10-01T00:00:00"/>
    <d v="2019-11-18T00:00:00"/>
  </r>
  <r>
    <m/>
    <m/>
    <d v="2019-07-04T00:00:00"/>
    <s v="VZ-2019-000739"/>
    <x v="6"/>
    <s v="Rosulek"/>
    <x v="281"/>
    <n v="3"/>
    <s v="ELISA zařízení s promývačkou"/>
    <m/>
    <s v="38000000-5"/>
    <s v="2.2.213-214."/>
    <n v="534000"/>
    <x v="2"/>
    <d v="2019-07-12T00:00:00"/>
    <d v="2019-07-25T00:00:00"/>
    <m/>
    <s v="zrušeno - oprava zadání"/>
    <s v="nová VZ-2019-000822"/>
    <m/>
    <m/>
    <m/>
    <m/>
    <m/>
    <m/>
    <m/>
    <x v="0"/>
    <d v="2019-07-31T00:00:00"/>
    <m/>
  </r>
  <r>
    <m/>
    <m/>
    <d v="2019-07-01T00:00:00"/>
    <s v="VZ-2019-000740"/>
    <x v="6"/>
    <s v="Rosulek"/>
    <x v="282"/>
    <m/>
    <m/>
    <m/>
    <s v="33121400-8 "/>
    <s v="2.2.220."/>
    <n v="283471"/>
    <x v="2"/>
    <d v="2019-07-11T00:00:00"/>
    <d v="2019-07-24T00:00:00"/>
    <d v="2019-09-06T00:00:00"/>
    <s v="WIDEX LINE s.r.o."/>
    <m/>
    <n v="224760"/>
    <n v="271959.59999999998"/>
    <m/>
    <m/>
    <m/>
    <d v="2019-09-13T00:00:00"/>
    <s v="SMLN-2019-617-000419_x000a_SMLN-2019-612-000101"/>
    <x v="122"/>
    <d v="2019-10-10T00:00:00"/>
    <d v="2019-11-06T00:00:00"/>
  </r>
  <r>
    <m/>
    <m/>
    <d v="2019-07-01T00:00:00"/>
    <s v="VZ-2019-000741"/>
    <x v="6"/>
    <s v="Rosulek"/>
    <x v="283"/>
    <m/>
    <m/>
    <m/>
    <s v="33191000-5"/>
    <s v="2.3.375."/>
    <n v="304000"/>
    <x v="2"/>
    <d v="2019-07-11T00:00:00"/>
    <d v="2019-07-30T00:00:00"/>
    <d v="2019-09-06T00:00:00"/>
    <s v="Getinge Czech Republic, s.r.o."/>
    <m/>
    <n v="363834"/>
    <n v="440241"/>
    <m/>
    <m/>
    <m/>
    <d v="2019-09-06T00:00:00"/>
    <s v="SMLN-2019-617-000398_x000a_SMLN-2019-612-000099"/>
    <x v="129"/>
    <d v="2019-10-08T00:00:00"/>
    <d v="2019-11-28T00:00:00"/>
  </r>
  <r>
    <m/>
    <m/>
    <d v="2019-07-03T00:00:00"/>
    <s v="VZ-2019-000743"/>
    <x v="16"/>
    <s v="Vaida"/>
    <x v="284"/>
    <m/>
    <m/>
    <m/>
    <s v="45453000-7"/>
    <m/>
    <n v="1100000"/>
    <x v="2"/>
    <d v="2019-07-09T00:00:00"/>
    <d v="2019-07-18T00:00:00"/>
    <d v="2019-07-26T00:00:00"/>
    <s v="Elektropráce Spáčil s.r.o."/>
    <m/>
    <n v="1615368.47"/>
    <n v="1954595.85"/>
    <m/>
    <m/>
    <m/>
    <d v="2019-07-29T00:00:00"/>
    <s v="SMLN-2019-618-000057"/>
    <x v="74"/>
    <d v="2019-08-26T00:00:00"/>
    <d v="2019-10-31T00:00:00"/>
  </r>
  <r>
    <m/>
    <m/>
    <s v="opakovaná VZ"/>
    <s v="VZ-2019-000749"/>
    <x v="16"/>
    <s v="Vaida"/>
    <x v="285"/>
    <m/>
    <m/>
    <m/>
    <s v="31710000-6"/>
    <s v="4.2.122."/>
    <n v="950000"/>
    <x v="2"/>
    <m/>
    <m/>
    <m/>
    <m/>
    <m/>
    <m/>
    <m/>
    <m/>
    <m/>
    <m/>
    <m/>
    <m/>
    <x v="0"/>
    <m/>
    <m/>
  </r>
  <r>
    <m/>
    <m/>
    <d v="2019-07-03T00:00:00"/>
    <s v="VZ-2019-000750"/>
    <x v="18"/>
    <s v="Kohutová"/>
    <x v="286"/>
    <m/>
    <m/>
    <m/>
    <s v="15980000-1 "/>
    <m/>
    <n v="8500000"/>
    <x v="0"/>
    <d v="2019-09-05T00:00:00"/>
    <d v="2019-10-08T00:00:00"/>
    <m/>
    <m/>
    <m/>
    <m/>
    <m/>
    <m/>
    <m/>
    <m/>
    <m/>
    <m/>
    <x v="0"/>
    <m/>
    <m/>
  </r>
  <r>
    <m/>
    <m/>
    <d v="2019-07-09T00:00:00"/>
    <s v="VZ-2019-000759"/>
    <x v="4"/>
    <s v="Srovnal"/>
    <x v="287"/>
    <m/>
    <m/>
    <m/>
    <s v="45310000-3"/>
    <m/>
    <n v="750000"/>
    <x v="2"/>
    <d v="2019-07-09T00:00:00"/>
    <d v="2019-07-15T00:00:00"/>
    <d v="2019-07-17T00:00:00"/>
    <s v="ELPREMO, spol. s r.o."/>
    <m/>
    <n v="920623.89"/>
    <n v="1113954.9099999999"/>
    <m/>
    <m/>
    <m/>
    <d v="2019-07-18T00:00:00"/>
    <s v="SMLN-2019-618-000054"/>
    <x v="130"/>
    <d v="2019-08-07T00:00:00"/>
    <d v="2019-08-12T00:00:00"/>
  </r>
  <r>
    <m/>
    <m/>
    <s v="opakovaná VZ"/>
    <s v="VZ-2019-000760"/>
    <x v="0"/>
    <s v="Dočkalová"/>
    <x v="288"/>
    <m/>
    <m/>
    <m/>
    <s v="33140000-3"/>
    <m/>
    <n v="409600"/>
    <x v="2"/>
    <d v="2019-07-15T00:00:00"/>
    <d v="2019-07-26T00:00:00"/>
    <d v="2019-08-06T00:00:00"/>
    <s v="ARID obchodní společnost s.r.o."/>
    <m/>
    <n v="409600"/>
    <n v="495616"/>
    <m/>
    <m/>
    <m/>
    <d v="2019-08-06T00:00:00"/>
    <s v="SMLN-2019-617-000336_x000a_SMLN-2019-614-000067"/>
    <x v="73"/>
    <d v="2019-09-17T00:00:00"/>
    <d v="2021-09-03T00:00:00"/>
  </r>
  <r>
    <m/>
    <m/>
    <d v="2019-07-04T00:00:00"/>
    <s v="VZ-2019-000765"/>
    <x v="6"/>
    <s v="Rosulek"/>
    <x v="289"/>
    <n v="1"/>
    <s v="Real-time termocykleer"/>
    <m/>
    <s v="38950000-9 "/>
    <s v="2.2.211."/>
    <n v="1113000"/>
    <x v="2"/>
    <d v="2019-07-12T00:00:00"/>
    <d v="2019-07-23T00:00:00"/>
    <d v="2019-08-26T00:00:00"/>
    <s v="ROCHE s.r.o."/>
    <m/>
    <n v="807575"/>
    <n v="977165.75"/>
    <m/>
    <m/>
    <m/>
    <d v="2019-08-26T00:00:00"/>
    <s v="SMLN-2019-617-000378_x000a_SMLN-2019-612-000090"/>
    <x v="101"/>
    <d v="2019-10-11T00:00:00"/>
    <d v="2019-11-07T00:00:00"/>
  </r>
  <r>
    <m/>
    <m/>
    <d v="2019-07-04T00:00:00"/>
    <s v="VZ-2019-000765"/>
    <x v="6"/>
    <s v="Rosulek"/>
    <x v="289"/>
    <n v="2"/>
    <s v="2ks jednoblokových termocyklerů"/>
    <m/>
    <s v="38950000-9 "/>
    <s v="2.2.217."/>
    <n v="456000"/>
    <x v="2"/>
    <d v="2019-07-12T00:00:00"/>
    <d v="2019-07-23T00:00:00"/>
    <m/>
    <s v="zrušeno - nesplnění podmínek"/>
    <s v="nová VZ-2019-000872"/>
    <m/>
    <m/>
    <m/>
    <m/>
    <m/>
    <m/>
    <m/>
    <x v="0"/>
    <d v="2019-08-19T00:00:00"/>
    <m/>
  </r>
  <r>
    <m/>
    <m/>
    <d v="2019-07-01T00:00:00"/>
    <s v="VZ-2019-000766"/>
    <x v="6"/>
    <s v="Rosulek"/>
    <x v="290"/>
    <n v="1"/>
    <s v="Echokardiografický přístroj pro I.IK"/>
    <m/>
    <s v="33124120-2"/>
    <s v="2.3.426."/>
    <n v="4167087"/>
    <x v="0"/>
    <d v="2019-07-22T00:00:00"/>
    <d v="2019-08-27T00:00:00"/>
    <d v="2019-10-30T00:00:00"/>
    <s v="Electric Medical Service, s.r.o."/>
    <m/>
    <n v="4162100"/>
    <n v="5036141"/>
    <m/>
    <m/>
    <m/>
    <d v="2019-10-31T00:00:00"/>
    <s v="SMLN-2019-617-000543_x000a_SMLN-2019-612-000136"/>
    <x v="131"/>
    <d v="2019-12-23T00:00:00"/>
    <d v="2020-02-07T00:00:00"/>
  </r>
  <r>
    <m/>
    <m/>
    <d v="2019-07-01T00:00:00"/>
    <s v="VZ-2019-000766"/>
    <x v="6"/>
    <s v="Rosulek"/>
    <x v="290"/>
    <n v="2"/>
    <s v="Ultrazvukový přístroj s příslušenstvím pro II.IK"/>
    <m/>
    <s v="33124120-2"/>
    <s v="2.2.158."/>
    <n v="1441983"/>
    <x v="0"/>
    <d v="2019-07-22T00:00:00"/>
    <d v="2019-08-27T00:00:00"/>
    <d v="2019-10-30T00:00:00"/>
    <s v="NIMOTECH, s.r.o."/>
    <m/>
    <n v="1433152"/>
    <n v="1734113.92"/>
    <m/>
    <m/>
    <m/>
    <d v="2019-10-31T00:00:00"/>
    <s v="SMLN-2019-617-000544_x000a_SMLN-2019-612-000137"/>
    <x v="131"/>
    <d v="2019-12-23T00:00:00"/>
    <d v="2020-02-07T00:00:00"/>
  </r>
  <r>
    <m/>
    <m/>
    <d v="2019-07-01T00:00:00"/>
    <s v="VZ-2019-000766"/>
    <x v="6"/>
    <s v="Rosulek"/>
    <x v="290"/>
    <n v="3"/>
    <s v="Echokardiografický přístroj pro DK"/>
    <m/>
    <s v="33124120-2"/>
    <s v="2.3.378."/>
    <n v="2835700"/>
    <x v="0"/>
    <d v="2019-07-22T00:00:00"/>
    <d v="2019-08-27T00:00:00"/>
    <d v="2019-10-30T00:00:00"/>
    <s v="S+T Plus s.r.o."/>
    <m/>
    <n v="2818691.82"/>
    <n v="3410617.11"/>
    <m/>
    <m/>
    <m/>
    <d v="2019-10-31T00:00:00"/>
    <s v="SMLN-2019-617-000545_x000a_SMLN-2019-612-000138"/>
    <x v="132"/>
    <d v="2019-12-23T00:00:00"/>
    <d v="2020-02-11T00:00:00"/>
  </r>
  <r>
    <m/>
    <m/>
    <d v="2019-07-01T00:00:00"/>
    <s v="VZ-2019-000766"/>
    <x v="6"/>
    <s v="Rosulek"/>
    <x v="290"/>
    <n v="4"/>
    <s v="Přenosný ultrazvukový systém pro KARIM"/>
    <m/>
    <s v="33124120-2"/>
    <s v="2.3.424."/>
    <n v="1194340"/>
    <x v="0"/>
    <d v="2019-07-22T00:00:00"/>
    <d v="2019-08-27T00:00:00"/>
    <d v="2019-11-15T00:00:00"/>
    <s v="Electric Medical Service, s.r.o."/>
    <m/>
    <n v="1149100"/>
    <n v="1390411"/>
    <m/>
    <m/>
    <m/>
    <d v="2019-11-18T00:00:00"/>
    <s v="SMLN-2019-617-000583_x000a_SMLN-2019-612-000158"/>
    <x v="131"/>
    <d v="2019-12-23T00:00:00"/>
    <d v="2020-02-07T00:00:00"/>
  </r>
  <r>
    <m/>
    <m/>
    <d v="2019-07-01T00:00:00"/>
    <s v="VZ-2019-000766"/>
    <x v="6"/>
    <s v="Rosulek"/>
    <x v="290"/>
    <n v="5"/>
    <s v="Ultrazvukový přístroj s predickí pro REHAB"/>
    <m/>
    <s v="33124120-2"/>
    <s v="2.2.129."/>
    <n v="960417"/>
    <x v="0"/>
    <d v="2019-07-22T00:00:00"/>
    <d v="2019-08-27T00:00:00"/>
    <d v="2019-10-30T00:00:00"/>
    <s v="NIMOTECH, s.r.o."/>
    <m/>
    <n v="956583.94"/>
    <n v="1157466.6000000001"/>
    <m/>
    <m/>
    <m/>
    <d v="2019-10-31T00:00:00"/>
    <s v="SMLN-2019-617-000546_x000a_SMLN-2019-612-000139"/>
    <x v="131"/>
    <d v="2019-12-23T00:00:00"/>
    <d v="2020-02-07T00:00:00"/>
  </r>
  <r>
    <m/>
    <m/>
    <d v="2019-07-01T00:00:00"/>
    <s v="VZ-2019-000766"/>
    <x v="6"/>
    <s v="Rosulek"/>
    <x v="290"/>
    <n v="6"/>
    <s v="Ultrazvukový přístroj centrální pro RDG"/>
    <m/>
    <s v="33124120-2"/>
    <s v="2.3.407."/>
    <n v="2224114"/>
    <x v="0"/>
    <d v="2019-07-22T00:00:00"/>
    <d v="2019-08-27T00:00:00"/>
    <m/>
    <s v="zrušeno - oprava zadání"/>
    <m/>
    <m/>
    <m/>
    <m/>
    <m/>
    <m/>
    <m/>
    <m/>
    <x v="0"/>
    <d v="2019-11-26T00:00:00"/>
    <s v="31.10. zrušeno"/>
  </r>
  <r>
    <m/>
    <m/>
    <d v="2019-07-01T00:00:00"/>
    <s v="VZ-2019-000766"/>
    <x v="6"/>
    <s v="Rosulek"/>
    <x v="290"/>
    <n v="7"/>
    <s v="Konvexní sonda k UVZ systému pro UROL"/>
    <m/>
    <s v="33124120-2"/>
    <s v="2.2.191."/>
    <n v="170114"/>
    <x v="0"/>
    <d v="2019-07-22T00:00:00"/>
    <d v="2019-08-27T00:00:00"/>
    <m/>
    <s v="zrušeno - oprava zadání"/>
    <m/>
    <m/>
    <m/>
    <m/>
    <m/>
    <m/>
    <m/>
    <m/>
    <x v="0"/>
    <d v="2019-11-26T00:00:00"/>
    <s v="31.10. zrušeno"/>
  </r>
  <r>
    <m/>
    <m/>
    <s v="opakovaná VZ"/>
    <s v="VZ-2019-000770"/>
    <x v="0"/>
    <s v="Dočkalová"/>
    <x v="291"/>
    <m/>
    <m/>
    <m/>
    <s v="33140000-3"/>
    <m/>
    <n v="662084"/>
    <x v="2"/>
    <d v="2019-07-30T00:00:00"/>
    <d v="2019-08-06T00:00:00"/>
    <d v="2019-08-21T00:00:00"/>
    <s v="ELLA-CS s.r.o."/>
    <m/>
    <n v="674408"/>
    <n v="775569.2"/>
    <m/>
    <m/>
    <m/>
    <d v="2019-08-21T00:00:00"/>
    <s v="SMLN-2019-617-000363_x000a_SMLN-2019-614-000072"/>
    <x v="93"/>
    <d v="2019-10-02T00:00:00"/>
    <d v="2021-09-26T00:00:00"/>
  </r>
  <r>
    <m/>
    <m/>
    <d v="2019-07-04T00:00:00"/>
    <s v="VZ-2019-000777"/>
    <x v="6"/>
    <s v="Rosulek"/>
    <x v="292"/>
    <m/>
    <m/>
    <m/>
    <s v="42931100-2"/>
    <s v="2.2.115."/>
    <n v="262000"/>
    <x v="2"/>
    <d v="2019-07-17T00:00:00"/>
    <d v="2019-07-26T00:00:00"/>
    <m/>
    <s v="zrušeno - nesplnění podmínek"/>
    <s v="opakování VZ-2019-000871"/>
    <m/>
    <m/>
    <m/>
    <m/>
    <m/>
    <m/>
    <m/>
    <x v="0"/>
    <d v="2019-08-19T00:00:00"/>
    <m/>
  </r>
  <r>
    <m/>
    <m/>
    <d v="2019-07-08T00:00:00"/>
    <s v="VZ-2019-000779"/>
    <x v="16"/>
    <s v="Vaida"/>
    <x v="293"/>
    <m/>
    <m/>
    <m/>
    <s v="43812000-8"/>
    <s v="4.2.112."/>
    <n v="300000"/>
    <x v="2"/>
    <d v="2019-07-22T00:00:00"/>
    <d v="2019-07-31T00:00:00"/>
    <d v="2019-08-09T00:00:00"/>
    <s v="BG Technik CS, a.s."/>
    <m/>
    <n v="199000"/>
    <n v="240790"/>
    <m/>
    <m/>
    <m/>
    <d v="2019-08-09T00:00:00"/>
    <s v="SMLN-2019-617-000340"/>
    <x v="74"/>
    <d v="2019-08-26T00:00:00"/>
    <d v="2019-10-01T00:00:00"/>
  </r>
  <r>
    <m/>
    <m/>
    <d v="2019-07-12T00:00:00"/>
    <s v="VZ-2019-000794"/>
    <x v="1"/>
    <s v="Miklík"/>
    <x v="294"/>
    <m/>
    <m/>
    <m/>
    <s v="72611000-6"/>
    <m/>
    <n v="550000"/>
    <x v="2"/>
    <d v="2019-07-24T00:00:00"/>
    <d v="2019-08-02T00:00:00"/>
    <m/>
    <s v="zrušeno - oprava zadání"/>
    <s v="VZ-2019-000885"/>
    <m/>
    <m/>
    <m/>
    <m/>
    <m/>
    <m/>
    <m/>
    <x v="0"/>
    <d v="2019-08-20T00:00:00"/>
    <m/>
  </r>
  <r>
    <m/>
    <m/>
    <d v="2019-07-12T00:00:00"/>
    <s v="VZ-2019-000795"/>
    <x v="7"/>
    <s v="Vzatek"/>
    <x v="295"/>
    <m/>
    <m/>
    <m/>
    <s v="71200000-0"/>
    <s v="1.3.20."/>
    <n v="1500000"/>
    <x v="2"/>
    <d v="2019-07-25T00:00:00"/>
    <d v="2019-08-06T00:00:00"/>
    <d v="2019-08-09T00:00:00"/>
    <s v="LT PROJEKT a.s."/>
    <m/>
    <n v="1850000"/>
    <n v="2238500"/>
    <m/>
    <m/>
    <m/>
    <d v="2019-08-09T00:00:00"/>
    <s v="SMLN-2019-618-000065"/>
    <x v="124"/>
    <d v="2019-09-19T00:00:00"/>
    <d v="2020-03-16T00:00:00"/>
  </r>
  <r>
    <m/>
    <m/>
    <d v="2019-07-17T00:00:00"/>
    <s v="VZ-2019-000796"/>
    <x v="13"/>
    <s v="Jeřábková"/>
    <x v="296"/>
    <m/>
    <m/>
    <m/>
    <s v="72422000-4"/>
    <m/>
    <n v="800000"/>
    <x v="2"/>
    <d v="2019-08-29T00:00:00"/>
    <d v="2019-09-13T00:00:00"/>
    <d v="2019-09-19T00:00:00"/>
    <s v="ESMEDIA Interactive s.r.o."/>
    <m/>
    <n v="1194000"/>
    <n v="1444788"/>
    <m/>
    <m/>
    <m/>
    <d v="2019-09-19T00:00:00"/>
    <s v="SMLN-2019-612-000109"/>
    <x v="133"/>
    <d v="2019-10-18T00:00:00"/>
    <s v="doba neurčitá"/>
  </r>
  <r>
    <m/>
    <m/>
    <s v="opakovaná VZ"/>
    <s v="VZ-2019-000797"/>
    <x v="6"/>
    <s v="Rosulek"/>
    <x v="297"/>
    <m/>
    <m/>
    <m/>
    <s v="33162100-4"/>
    <s v="2.3.401"/>
    <n v="2450000"/>
    <x v="1"/>
    <d v="2019-07-25T00:00:00"/>
    <d v="2019-08-16T00:00:00"/>
    <d v="2019-09-18T00:00:00"/>
    <s v="B. Braun Medical s.r.o."/>
    <m/>
    <n v="1688707.5"/>
    <n v="2043336.08"/>
    <m/>
    <m/>
    <m/>
    <d v="2019-09-19T00:00:00"/>
    <s v="SMLN-2019-617-000428_x000a_SMLN-2019-612-000108"/>
    <x v="65"/>
    <d v="2019-11-07T00:00:00"/>
    <d v="2019-11-22T00:00:00"/>
  </r>
  <r>
    <m/>
    <m/>
    <d v="2019-07-23T00:00:00"/>
    <s v="VZ-2019-000798"/>
    <x v="5"/>
    <s v="Ondráčková"/>
    <x v="298"/>
    <n v="1"/>
    <s v="ANAKINRA"/>
    <m/>
    <s v="33652300-8"/>
    <m/>
    <n v="2143890"/>
    <x v="0"/>
    <d v="2019-08-01T00:00:00"/>
    <d v="2019-11-27T00:00:00"/>
    <m/>
    <s v="PHARMOS a.s."/>
    <m/>
    <n v="2143890"/>
    <n v="2358279"/>
    <m/>
    <m/>
    <m/>
    <m/>
    <m/>
    <x v="0"/>
    <m/>
    <m/>
  </r>
  <r>
    <m/>
    <m/>
    <d v="2019-07-23T00:00:00"/>
    <s v="VZ-2019-000798"/>
    <x v="5"/>
    <s v="Ondráčková"/>
    <x v="298"/>
    <n v="2"/>
    <s v="SARILUMAB "/>
    <m/>
    <s v="33652300-8"/>
    <m/>
    <n v="3103225"/>
    <x v="0"/>
    <d v="2019-08-01T00:00:00"/>
    <d v="2019-11-27T00:00:00"/>
    <m/>
    <s v="sanofi-aventis, s.r.o."/>
    <m/>
    <n v="3153926.88"/>
    <n v="3469319.57"/>
    <m/>
    <m/>
    <m/>
    <m/>
    <m/>
    <x v="0"/>
    <m/>
    <m/>
  </r>
  <r>
    <m/>
    <m/>
    <d v="2019-07-23T00:00:00"/>
    <s v="VZ-2019-000798"/>
    <x v="5"/>
    <s v="Ondráčková"/>
    <x v="298"/>
    <n v="3"/>
    <s v="BRODALUMAB "/>
    <m/>
    <s v="33652300-8"/>
    <m/>
    <n v="406262"/>
    <x v="0"/>
    <d v="2019-08-01T00:00:00"/>
    <d v="2019-11-27T00:00:00"/>
    <m/>
    <s v="zrušeno - bez nabídky"/>
    <m/>
    <m/>
    <m/>
    <m/>
    <m/>
    <m/>
    <m/>
    <m/>
    <x v="0"/>
    <d v="2019-12-30T00:00:00"/>
    <s v="6.12. zrušeno"/>
  </r>
  <r>
    <m/>
    <m/>
    <d v="2019-07-22T00:00:00"/>
    <s v="VZ-2019-000799"/>
    <x v="5"/>
    <s v="Ondráčková"/>
    <x v="299"/>
    <n v="1"/>
    <s v="Gefitinib"/>
    <m/>
    <s v="33652000-5"/>
    <m/>
    <n v="5566000"/>
    <x v="0"/>
    <d v="2019-09-03T00:00:00"/>
    <d v="2019-10-09T00:00:00"/>
    <m/>
    <s v="zrušeno - oprava zadání"/>
    <m/>
    <m/>
    <m/>
    <m/>
    <m/>
    <m/>
    <m/>
    <m/>
    <x v="0"/>
    <d v="2019-11-12T00:00:00"/>
    <s v="6.11. zrušeno"/>
  </r>
  <r>
    <m/>
    <m/>
    <s v="opakovaná VZ"/>
    <s v="VZ-2019-000803"/>
    <x v="6"/>
    <s v="Rosulek"/>
    <x v="300"/>
    <m/>
    <m/>
    <m/>
    <s v="38434500-1"/>
    <s v="2.2.127."/>
    <n v="513868"/>
    <x v="2"/>
    <d v="2019-07-26T00:00:00"/>
    <d v="2019-08-06T00:00:00"/>
    <d v="2019-08-27T00:00:00"/>
    <s v="AxonLab spol.  s r.o."/>
    <m/>
    <n v="650223"/>
    <n v="786769.83"/>
    <m/>
    <m/>
    <m/>
    <d v="2019-07-28T00:00:00"/>
    <s v="SMLN-2019-617-000387_x000a_SMLN-2019-612-000096"/>
    <x v="86"/>
    <d v="2019-10-01T00:00:00"/>
    <d v="2019-10-21T00:00:00"/>
  </r>
  <r>
    <m/>
    <m/>
    <d v="2019-07-18T00:00:00"/>
    <s v="VZ-2019-000804"/>
    <x v="6"/>
    <s v="Rosulek"/>
    <x v="301"/>
    <m/>
    <m/>
    <m/>
    <m/>
    <s v="2.3.414"/>
    <n v="656000"/>
    <x v="2"/>
    <d v="2019-07-30T00:00:00"/>
    <d v="2019-08-16T00:00:00"/>
    <m/>
    <s v="zrušeno - oprava zadání"/>
    <s v="příprava nové VZ"/>
    <m/>
    <m/>
    <m/>
    <m/>
    <m/>
    <m/>
    <m/>
    <x v="0"/>
    <d v="2019-08-13T00:00:00"/>
    <m/>
  </r>
  <r>
    <m/>
    <m/>
    <s v="opakovaná VZ"/>
    <s v="VZ-2019-000806"/>
    <x v="2"/>
    <s v="Neudörflerová"/>
    <x v="302"/>
    <m/>
    <m/>
    <m/>
    <s v="33192200-4"/>
    <m/>
    <n v="957090.9"/>
    <x v="0"/>
    <d v="2019-08-16T00:00:00"/>
    <d v="2019-10-11T00:00:00"/>
    <d v="2019-10-16T00:00:00"/>
    <s v="Olympus Czech Group s.r.o."/>
    <m/>
    <n v="954500"/>
    <n v="1154945"/>
    <m/>
    <m/>
    <m/>
    <d v="2019-10-17T00:00:00"/>
    <s v="SMLN-2019-617-000508_x000a_SMLN-2019-612-000123"/>
    <x v="134"/>
    <d v="2019-11-26T00:00:00"/>
    <d v="2020-01-14T00:00:00"/>
  </r>
  <r>
    <m/>
    <m/>
    <d v="2019-07-18T00:00:00"/>
    <s v="VZ-2019-000807"/>
    <x v="6"/>
    <s v="Novák"/>
    <x v="303"/>
    <m/>
    <m/>
    <m/>
    <s v="33169000-2"/>
    <s v="2.3.374."/>
    <n v="320000"/>
    <x v="2"/>
    <d v="2019-07-31T00:00:00"/>
    <d v="2019-08-07T00:00:00"/>
    <d v="2019-08-09T00:00:00"/>
    <s v="ONE Vision s.r.o."/>
    <m/>
    <n v="318345"/>
    <n v="385197"/>
    <m/>
    <m/>
    <m/>
    <d v="2019-08-09T00:00:00"/>
    <s v="SMLN-2019-617-000341"/>
    <x v="135"/>
    <d v="2019-08-22T00:00:00"/>
    <d v="2019-09-29T00:00:00"/>
  </r>
  <r>
    <m/>
    <m/>
    <s v="opakovaná VZ"/>
    <s v="VZ-2019-000808"/>
    <x v="14"/>
    <s v="Merta"/>
    <x v="304"/>
    <m/>
    <m/>
    <m/>
    <s v="33694000-1"/>
    <m/>
    <n v="1950000"/>
    <x v="2"/>
    <d v="2019-08-29T00:00:00"/>
    <d v="2019-09-09T00:00:00"/>
    <d v="2019-11-06T00:00:00"/>
    <s v="Deloitte Advisory s.r.o."/>
    <m/>
    <n v="1959000"/>
    <n v="2370390"/>
    <m/>
    <m/>
    <m/>
    <d v="2019-11-06T00:00:00"/>
    <s v="SMLN-2019-612-000148"/>
    <x v="118"/>
    <d v="2019-12-16T00:00:00"/>
    <d v="2020-03-31T00:00:00"/>
  </r>
  <r>
    <m/>
    <m/>
    <d v="2019-07-18T00:00:00"/>
    <s v="VZ-2019-000809"/>
    <x v="6"/>
    <s v="Rosulek"/>
    <x v="305"/>
    <m/>
    <m/>
    <m/>
    <s v="33195100-4"/>
    <s v="2.2.90."/>
    <n v="400000"/>
    <x v="2"/>
    <d v="2019-07-30T00:00:00"/>
    <d v="2019-08-07T00:00:00"/>
    <d v="2019-09-25T00:00:00"/>
    <s v="medisap, s.r.o."/>
    <m/>
    <n v="319340"/>
    <n v="386401.39999999997"/>
    <m/>
    <m/>
    <m/>
    <d v="2019-09-26T00:00:00"/>
    <s v="SMLN-2019-617-000466_x000a_SMLN-2019-612-000115"/>
    <x v="136"/>
    <d v="2019-12-11T00:00:00"/>
    <d v="2020-01-14T00:00:00"/>
  </r>
  <r>
    <m/>
    <m/>
    <d v="2019-07-25T00:00:00"/>
    <s v="VZ-2019-000812"/>
    <x v="6"/>
    <s v="Rosulek"/>
    <x v="306"/>
    <n v="1"/>
    <s v="Digitální pojízdný RTG přístroj"/>
    <m/>
    <m/>
    <s v="2.2.204."/>
    <n v="2040000"/>
    <x v="0"/>
    <d v="2019-07-30T00:00:00"/>
    <d v="2019-09-04T00:00:00"/>
    <d v="2019-10-11T00:00:00"/>
    <s v="EXRAY s.r.o."/>
    <m/>
    <n v="2047900"/>
    <n v="2477959"/>
    <m/>
    <m/>
    <m/>
    <d v="2019-10-14T00:00:00"/>
    <s v="SMLN-2019-617-000502_x000a_SMLN-2019-612-000121"/>
    <x v="123"/>
    <d v="2019-11-08T00:00:00"/>
    <d v="2020-01-15T00:00:00"/>
  </r>
  <r>
    <m/>
    <m/>
    <d v="2019-07-25T00:00:00"/>
    <s v="VZ-2019-000812"/>
    <x v="6"/>
    <s v="Rosulek"/>
    <x v="306"/>
    <n v="2"/>
    <s v="Mobilní C-rameno s plochým detektorem"/>
    <m/>
    <m/>
    <s v="2.3.408."/>
    <n v="3000000"/>
    <x v="0"/>
    <d v="2019-07-30T00:00:00"/>
    <d v="2019-09-04T00:00:00"/>
    <d v="2019-10-11T00:00:00"/>
    <s v="AURA Medical s.r.o."/>
    <m/>
    <n v="2913800"/>
    <n v="3525698"/>
    <m/>
    <m/>
    <m/>
    <d v="2019-10-14T00:00:00"/>
    <s v="SMLN-2019-617-000503_x000a_SMLN-2019-612-000122"/>
    <x v="123"/>
    <d v="2019-11-08T00:00:00"/>
    <d v="2020-01-01T00:00:00"/>
  </r>
  <r>
    <m/>
    <m/>
    <d v="2019-07-04T00:00:00"/>
    <s v="VZ-2019-000815"/>
    <x v="1"/>
    <s v="Oravec"/>
    <x v="307"/>
    <n v="1"/>
    <s v="Mikrobiologie"/>
    <m/>
    <s v="72261000-2 "/>
    <m/>
    <n v="1780800"/>
    <x v="0"/>
    <d v="2019-09-10T00:00:00"/>
    <d v="2019-10-14T00:00:00"/>
    <d v="2019-11-06T00:00:00"/>
    <s v="DS Soft Olomouc s.r.o."/>
    <m/>
    <n v="1780800"/>
    <n v="2154768"/>
    <m/>
    <m/>
    <m/>
    <d v="2019-11-06T00:00:00"/>
    <s v="SMLN-2019-612-000149"/>
    <x v="100"/>
    <d v="2019-12-04T00:00:00"/>
    <s v="doba neurčitá"/>
  </r>
  <r>
    <m/>
    <m/>
    <d v="2019-07-04T00:00:00"/>
    <s v="VZ-2019-000815"/>
    <x v="1"/>
    <s v="Oravec"/>
    <x v="307"/>
    <n v="2"/>
    <s v="Patologie"/>
    <m/>
    <s v="72261000-2 "/>
    <m/>
    <n v="964800"/>
    <x v="0"/>
    <d v="2019-09-10T00:00:00"/>
    <d v="2019-10-14T00:00:00"/>
    <d v="2019-11-06T00:00:00"/>
    <s v="DS Soft Olomouc s.r.o."/>
    <m/>
    <n v="964800"/>
    <n v="1167408"/>
    <m/>
    <m/>
    <m/>
    <d v="2019-11-06T00:00:00"/>
    <s v="SMLN-2019-612-000150"/>
    <x v="100"/>
    <d v="2019-12-04T00:00:00"/>
    <s v="doba neurčitá"/>
  </r>
  <r>
    <m/>
    <m/>
    <d v="2019-07-04T00:00:00"/>
    <s v="VZ-2019-000815"/>
    <x v="1"/>
    <s v="Oravec"/>
    <x v="307"/>
    <n v="3"/>
    <s v="Distribuční portál"/>
    <m/>
    <s v="72261000-2 "/>
    <m/>
    <n v="189360"/>
    <x v="0"/>
    <d v="2019-09-10T00:00:00"/>
    <d v="2019-10-14T00:00:00"/>
    <d v="2019-11-06T00:00:00"/>
    <s v="DS Soft Olomouc s.r.o."/>
    <m/>
    <n v="189360"/>
    <n v="229125.6"/>
    <m/>
    <m/>
    <m/>
    <d v="2019-11-06T00:00:00"/>
    <s v="SMLN-2019-612-000151"/>
    <x v="100"/>
    <d v="2019-12-04T00:00:00"/>
    <s v="doba neurčitá"/>
  </r>
  <r>
    <m/>
    <m/>
    <d v="2019-07-04T00:00:00"/>
    <s v="VZ-2019-000815"/>
    <x v="1"/>
    <s v="Oravec"/>
    <x v="307"/>
    <n v="4"/>
    <s v="Akreditační nadstavba"/>
    <m/>
    <s v="72261000-2 "/>
    <m/>
    <n v="1412160"/>
    <x v="0"/>
    <d v="2019-09-10T00:00:00"/>
    <d v="2019-10-14T00:00:00"/>
    <d v="2019-11-06T00:00:00"/>
    <s v="DS Soft Olomouc s.r.o."/>
    <m/>
    <n v="1412160"/>
    <n v="1708713.5999999999"/>
    <m/>
    <m/>
    <m/>
    <d v="2019-11-06T00:00:00"/>
    <s v="SMLN-2019-612-000152"/>
    <x v="100"/>
    <d v="2019-12-04T00:00:00"/>
    <s v="doba neurčitá"/>
  </r>
  <r>
    <m/>
    <m/>
    <d v="2019-07-04T00:00:00"/>
    <s v="VZ-2019-000815"/>
    <x v="1"/>
    <s v="Oravec"/>
    <x v="307"/>
    <n v="5"/>
    <s v="Specializované ambulantní moduly"/>
    <m/>
    <s v="72261000-2 "/>
    <m/>
    <n v="595200"/>
    <x v="0"/>
    <d v="2019-09-10T00:00:00"/>
    <d v="2019-10-14T00:00:00"/>
    <d v="2019-11-06T00:00:00"/>
    <s v="DS Soft Olomouc s.r.o."/>
    <m/>
    <n v="595200"/>
    <n v="720192"/>
    <m/>
    <m/>
    <m/>
    <d v="2019-11-06T00:00:00"/>
    <s v="SMLN-2019-612-000153"/>
    <x v="100"/>
    <d v="2019-12-04T00:00:00"/>
    <s v="doba neurčitá"/>
  </r>
  <r>
    <m/>
    <m/>
    <d v="2019-07-26T00:00:00"/>
    <s v="VZ-2019-000819"/>
    <x v="5"/>
    <s v="Ondráčková"/>
    <x v="308"/>
    <n v="1"/>
    <s v="Blinatumomab"/>
    <m/>
    <s v="33652100-6"/>
    <m/>
    <n v="33090783"/>
    <x v="0"/>
    <d v="2019-11-25T00:00:00"/>
    <d v="2019-12-27T00:00:00"/>
    <m/>
    <m/>
    <m/>
    <m/>
    <m/>
    <m/>
    <m/>
    <m/>
    <m/>
    <m/>
    <x v="0"/>
    <m/>
    <m/>
  </r>
  <r>
    <m/>
    <m/>
    <s v="opakovaná VZ"/>
    <s v="VZ-2019-000822"/>
    <x v="6"/>
    <s v="Rosulek"/>
    <x v="309"/>
    <n v="1"/>
    <s v="ELISA spektrofotometr "/>
    <s v="38000000-5"/>
    <s v="38000000-5"/>
    <s v="2.2.199."/>
    <n v="159300"/>
    <x v="2"/>
    <d v="2019-08-01T00:00:00"/>
    <d v="2019-08-07T00:00:00"/>
    <d v="2019-08-26T00:00:00"/>
    <s v="DYNEX Technologies spol.s r.o."/>
    <m/>
    <n v="250960"/>
    <n v="303661.59999999998"/>
    <m/>
    <m/>
    <m/>
    <d v="2019-08-26T00:00:00"/>
    <s v="SMLN-2019-617-000380_x000a_SMLN-2019-612-000092"/>
    <x v="127"/>
    <d v="2019-10-01T00:00:00"/>
    <d v="2019-11-15T00:00:00"/>
  </r>
  <r>
    <m/>
    <m/>
    <s v="opakovaná VZ"/>
    <s v="VZ-2019-000822"/>
    <x v="6"/>
    <s v="Rosulek"/>
    <x v="309"/>
    <n v="2"/>
    <s v="ELISA zařízení s promývačkou"/>
    <s v="38000000-5"/>
    <s v="38000000-5"/>
    <s v="2.2.213-214."/>
    <n v="534000"/>
    <x v="2"/>
    <d v="2019-08-01T00:00:00"/>
    <d v="2019-08-07T00:00:00"/>
    <d v="2019-08-26T00:00:00"/>
    <s v="BioTech a.s."/>
    <m/>
    <n v="454260"/>
    <n v="549654.6"/>
    <m/>
    <m/>
    <m/>
    <d v="2019-08-26T00:00:00"/>
    <s v="SMLN-2019-617-000381_x000a_SMLN-2019-612-000093"/>
    <x v="137"/>
    <d v="2019-10-01T00:00:00"/>
    <d v="2019-11-06T00:00:00"/>
  </r>
  <r>
    <m/>
    <m/>
    <d v="2019-07-26T00:00:00"/>
    <s v="VZ-2019-000824"/>
    <x v="5"/>
    <s v="Ondráčková"/>
    <x v="310"/>
    <n v="1"/>
    <s v="Sodná sůl treprostinilu"/>
    <m/>
    <s v="33621100-0"/>
    <m/>
    <n v="73272200"/>
    <x v="0"/>
    <d v="2019-09-11T00:00:00"/>
    <d v="2020-01-08T00:00:00"/>
    <m/>
    <m/>
    <m/>
    <m/>
    <m/>
    <m/>
    <m/>
    <m/>
    <m/>
    <m/>
    <x v="0"/>
    <m/>
    <m/>
  </r>
  <r>
    <m/>
    <m/>
    <d v="2019-07-26T00:00:00"/>
    <s v="VZ-2019-000825"/>
    <x v="5"/>
    <s v="Ondráčková"/>
    <x v="311"/>
    <n v="1"/>
    <s v="RIBAVIRIN "/>
    <m/>
    <s v="33651400-2"/>
    <m/>
    <n v="39884"/>
    <x v="0"/>
    <d v="2019-09-27T00:00:00"/>
    <d v="2019-10-30T00:00:00"/>
    <m/>
    <s v="zrušeno - bez nabídky"/>
    <m/>
    <m/>
    <m/>
    <m/>
    <m/>
    <m/>
    <m/>
    <m/>
    <x v="0"/>
    <d v="2019-12-10T00:00:00"/>
    <s v="12.11. zrušeno"/>
  </r>
  <r>
    <m/>
    <m/>
    <d v="2019-07-26T00:00:00"/>
    <s v="VZ-2019-000825"/>
    <x v="5"/>
    <s v="Ondráčková"/>
    <x v="311"/>
    <n v="2"/>
    <s v="SOFOSBUVIR A LEDIPASVIR "/>
    <m/>
    <s v="33651400-2"/>
    <m/>
    <n v="5306400"/>
    <x v="0"/>
    <d v="2019-09-27T00:00:00"/>
    <d v="2019-10-30T00:00:00"/>
    <m/>
    <s v="zrušeno - bez nabídky"/>
    <m/>
    <m/>
    <m/>
    <m/>
    <m/>
    <m/>
    <m/>
    <m/>
    <x v="0"/>
    <d v="2019-12-10T00:00:00"/>
    <s v="12.11. zrušeno"/>
  </r>
  <r>
    <m/>
    <m/>
    <d v="2019-07-26T00:00:00"/>
    <s v="VZ-2019-000825"/>
    <x v="5"/>
    <s v="Ondráčková"/>
    <x v="311"/>
    <n v="3"/>
    <s v="SOFOSBUVIR A VELPATASVIR "/>
    <m/>
    <s v="33651400-2"/>
    <m/>
    <n v="4823999"/>
    <x v="0"/>
    <d v="2019-09-27T00:00:00"/>
    <d v="2019-10-30T00:00:00"/>
    <m/>
    <s v="zrušeno - bez nabídky"/>
    <m/>
    <m/>
    <m/>
    <m/>
    <m/>
    <m/>
    <m/>
    <m/>
    <x v="0"/>
    <d v="2019-12-10T00:00:00"/>
    <s v="12.11. zrušeno"/>
  </r>
  <r>
    <m/>
    <m/>
    <d v="2019-07-26T00:00:00"/>
    <s v="VZ-2019-000825"/>
    <x v="5"/>
    <s v="Ondráčková"/>
    <x v="311"/>
    <n v="4"/>
    <s v="SOFOSBUVIR, VELPATASVIR A VOXILAPREVIR "/>
    <m/>
    <s v="33651400-2"/>
    <m/>
    <n v="2169000"/>
    <x v="0"/>
    <d v="2019-09-27T00:00:00"/>
    <d v="2019-10-30T00:00:00"/>
    <m/>
    <s v="zrušeno - bez nabídky"/>
    <m/>
    <m/>
    <m/>
    <m/>
    <m/>
    <m/>
    <m/>
    <m/>
    <x v="0"/>
    <d v="2019-12-10T00:00:00"/>
    <s v="12.11. zrušeno"/>
  </r>
  <r>
    <m/>
    <m/>
    <d v="2019-07-26T00:00:00"/>
    <s v="VZ-2019-000825"/>
    <x v="5"/>
    <s v="Ondráčková"/>
    <x v="311"/>
    <n v="5"/>
    <s v="GLEKAPREVIR A PIBRENTASVIR "/>
    <m/>
    <s v="33651400-2"/>
    <m/>
    <n v="24711846"/>
    <x v="0"/>
    <d v="2019-09-27T00:00:00"/>
    <d v="2019-10-30T00:00:00"/>
    <d v="2019-12-17T00:00:00"/>
    <s v="PHOENIX lékárenský velkoobchod, s.r.o."/>
    <m/>
    <n v="24687189.539999999"/>
    <n v="27155908.489999998"/>
    <m/>
    <m/>
    <m/>
    <d v="2019-12-19T00:00:00"/>
    <s v="SMLN-2019-617-000644"/>
    <x v="0"/>
    <m/>
    <m/>
  </r>
  <r>
    <m/>
    <m/>
    <d v="2019-07-26T00:00:00"/>
    <s v="VZ-2019-000826"/>
    <x v="5"/>
    <s v="Ondráčková"/>
    <x v="312"/>
    <n v="1"/>
    <s v="Alemtuzumab"/>
    <m/>
    <s v="33652300-8"/>
    <m/>
    <n v="27093272"/>
    <x v="0"/>
    <d v="2019-11-25T00:00:00"/>
    <d v="2020-01-09T00:00:00"/>
    <m/>
    <m/>
    <m/>
    <m/>
    <m/>
    <m/>
    <m/>
    <m/>
    <m/>
    <m/>
    <x v="0"/>
    <m/>
    <m/>
  </r>
  <r>
    <m/>
    <m/>
    <d v="2019-08-06T00:00:00"/>
    <s v="VZ-2019-000834"/>
    <x v="7"/>
    <s v="Spáčil"/>
    <x v="313"/>
    <m/>
    <m/>
    <m/>
    <s v="45215100-8"/>
    <m/>
    <n v="4000000"/>
    <x v="2"/>
    <d v="2019-08-15T00:00:00"/>
    <d v="2019-08-23T00:00:00"/>
    <d v="2019-08-28T00:00:00"/>
    <s v="OHL ŽS, a.s."/>
    <m/>
    <n v="3837796.69"/>
    <n v="4643733.99"/>
    <m/>
    <m/>
    <m/>
    <d v="2019-08-29T00:00:00"/>
    <s v="SMLN-2019-618-000075"/>
    <x v="138"/>
    <d v="2019-09-17T00:00:00"/>
    <d v="2020-01-11T00:00:00"/>
  </r>
  <r>
    <m/>
    <m/>
    <d v="2019-08-06T00:00:00"/>
    <s v="VZ-2019-000835"/>
    <x v="6"/>
    <s v="Rosulek"/>
    <x v="314"/>
    <m/>
    <m/>
    <m/>
    <s v="38500000-0"/>
    <s v="2.2.222-223."/>
    <n v="537000"/>
    <x v="2"/>
    <d v="2019-08-15T00:00:00"/>
    <d v="2019-08-23T00:00:00"/>
    <d v="2019-08-27T00:00:00"/>
    <s v="SOTAX Pharmaceutical Testings s.r.o."/>
    <m/>
    <n v="473464"/>
    <n v="572891.43999999994"/>
    <m/>
    <m/>
    <m/>
    <d v="2019-08-28T00:00:00"/>
    <s v="SMLN-2019-617-000385_x000a_SMLN-2019-612-000094"/>
    <x v="116"/>
    <d v="2019-10-03T00:00:00"/>
    <d v="2019-11-12T00:00:00"/>
  </r>
  <r>
    <m/>
    <m/>
    <d v="2019-07-24T00:00:00"/>
    <s v="VZ-2019-000856"/>
    <x v="6"/>
    <s v="Rosulek"/>
    <x v="315"/>
    <m/>
    <m/>
    <m/>
    <s v="33191110-9 "/>
    <s v="2.2.36."/>
    <n v="3200000"/>
    <x v="1"/>
    <d v="2019-08-15T00:00:00"/>
    <d v="2019-09-03T00:00:00"/>
    <d v="2019-09-18T00:00:00"/>
    <s v="Miele spol. s r.o."/>
    <m/>
    <n v="2624624"/>
    <n v="3175795.04"/>
    <m/>
    <m/>
    <m/>
    <d v="2019-09-20T00:00:00"/>
    <s v="SMLN-2019-617-000447_x000a_SMLN-2019-612-000111"/>
    <x v="103"/>
    <d v="2019-11-19T00:00:00"/>
    <d v="2020-01-22T00:00:00"/>
  </r>
  <r>
    <m/>
    <m/>
    <d v="2019-08-13T00:00:00"/>
    <s v="VZ-2019-000862"/>
    <x v="5"/>
    <s v="Ondráčková"/>
    <x v="316"/>
    <n v="1"/>
    <s v="Léčivý přípravek OCALIVA"/>
    <m/>
    <s v="33610000-9"/>
    <m/>
    <n v="6432000"/>
    <x v="0"/>
    <d v="2019-09-16T00:00:00"/>
    <d v="2019-10-18T00:00:00"/>
    <d v="2019-11-12T00:00:00"/>
    <s v="Alliance Healthcare s.r.o."/>
    <m/>
    <n v="5767106.8799999999"/>
    <n v="6343817.5700000003"/>
    <m/>
    <m/>
    <m/>
    <d v="2019-11-13T00:00:00"/>
    <s v="SMLN-2019-617-000573"/>
    <x v="0"/>
    <m/>
    <m/>
  </r>
  <r>
    <m/>
    <m/>
    <d v="2019-08-14T00:00:00"/>
    <s v="VZ-2019-000865"/>
    <x v="4"/>
    <s v="Zbořil"/>
    <x v="317"/>
    <m/>
    <m/>
    <m/>
    <s v="45311200-2"/>
    <s v="4.2.116."/>
    <n v="5375000"/>
    <x v="2"/>
    <d v="2019-08-22T00:00:00"/>
    <d v="2019-09-03T00:00:00"/>
    <d v="2019-09-06T00:00:00"/>
    <s v="MEgA - Měřící Energetické Aparáty"/>
    <m/>
    <n v="5983500"/>
    <n v="7240035"/>
    <m/>
    <m/>
    <m/>
    <d v="2019-09-06T00:00:00"/>
    <s v="SMLN-2019-618-000079"/>
    <x v="70"/>
    <d v="2019-11-04T00:00:00"/>
    <d v="2020-01-30T00:00:00"/>
  </r>
  <r>
    <m/>
    <m/>
    <d v="2019-08-19T00:00:00"/>
    <s v="VZ-2019-000871"/>
    <x v="6"/>
    <s v="Rosulek"/>
    <x v="318"/>
    <m/>
    <m/>
    <m/>
    <s v="42931100-2"/>
    <s v="2.2.115."/>
    <n v="262000"/>
    <x v="2"/>
    <d v="2019-08-23T00:00:00"/>
    <d v="2019-09-03T00:00:00"/>
    <d v="2019-09-19T00:00:00"/>
    <s v="Eppendorf Czech a Slovakia s.r.o."/>
    <m/>
    <n v="346942"/>
    <n v="419800.06"/>
    <m/>
    <m/>
    <m/>
    <d v="2019-09-20T00:00:00"/>
    <s v="SMLN-2019-617-000446_x000a_SMLN-2019-612-000110"/>
    <x v="129"/>
    <d v="2019-10-08T00:00:00"/>
    <d v="2019-11-08T00:00:00"/>
  </r>
  <r>
    <m/>
    <m/>
    <d v="2019-08-19T00:00:00"/>
    <s v="VZ-2019-000872"/>
    <x v="6"/>
    <s v="Rosulek"/>
    <x v="319"/>
    <m/>
    <m/>
    <m/>
    <s v="38950000-9"/>
    <s v="2.2.117."/>
    <n v="456000"/>
    <x v="2"/>
    <d v="2019-08-20T00:00:00"/>
    <d v="2019-08-28T00:00:00"/>
    <d v="2019-09-17T00:00:00"/>
    <s v="Eppendorf Czech a Slovakia s.r.o."/>
    <m/>
    <n v="505445.2"/>
    <n v="611588.68999999994"/>
    <m/>
    <m/>
    <m/>
    <d v="2019-09-17T00:00:00"/>
    <s v="SMLN-2019-617-000422_x000a_SMLN-2019-612-000105"/>
    <x v="129"/>
    <d v="2019-10-08T00:00:00"/>
    <d v="2019-11-14T00:00:00"/>
  </r>
  <r>
    <m/>
    <m/>
    <d v="2019-08-19T00:00:00"/>
    <s v="VZ-2019-000875"/>
    <x v="6"/>
    <s v="Rosulek"/>
    <x v="320"/>
    <m/>
    <m/>
    <m/>
    <s v="39711100-0"/>
    <s v="2.2.218.,2.2.210."/>
    <n v="607000"/>
    <x v="2"/>
    <d v="2019-08-20T00:00:00"/>
    <d v="2019-08-28T00:00:00"/>
    <d v="2019-09-18T00:00:00"/>
    <s v="Schoeller Instruments s.r.o."/>
    <m/>
    <n v="566000"/>
    <n v="684860"/>
    <m/>
    <m/>
    <m/>
    <d v="2019-09-18T00:00:00"/>
    <s v="SMLN-2019-617-000425_x000a_SMLN-2019-612-000106"/>
    <x v="129"/>
    <d v="2019-10-08T00:00:00"/>
    <d v="2019-11-28T00:00:00"/>
  </r>
  <r>
    <m/>
    <m/>
    <s v="opakovaná VZ"/>
    <s v="VZ-2019-000877"/>
    <x v="2"/>
    <s v="Neudörflerová"/>
    <x v="321"/>
    <m/>
    <m/>
    <m/>
    <s v="33123000-8"/>
    <s v="2.3.332."/>
    <n v="143801.65"/>
    <x v="0"/>
    <d v="2019-09-09T00:00:00"/>
    <d v="2019-10-11T00:00:00"/>
    <d v="2019-10-16T00:00:00"/>
    <s v="BTL zdravotnická technika a.s."/>
    <m/>
    <n v="76250"/>
    <n v="92262.5"/>
    <m/>
    <m/>
    <m/>
    <s v="17.10.209"/>
    <s v="SMLN-2019-617-000509_x000a_SMLN-2019-612-000124"/>
    <x v="134"/>
    <d v="2019-11-26T00:00:00"/>
    <d v="2019-12-31T00:00:00"/>
  </r>
  <r>
    <m/>
    <m/>
    <s v="opakovaná VZ"/>
    <s v="VZ-2019-000880"/>
    <x v="12"/>
    <s v="Křivková"/>
    <x v="322"/>
    <m/>
    <m/>
    <m/>
    <s v="79221000-9"/>
    <m/>
    <n v="600000"/>
    <x v="2"/>
    <d v="2019-08-23T00:00:00"/>
    <d v="2019-09-06T00:00:00"/>
    <d v="2019-09-24T00:00:00"/>
    <s v="BDO Tax s.r.o."/>
    <m/>
    <n v="549000"/>
    <n v="664290"/>
    <m/>
    <m/>
    <m/>
    <d v="2019-09-24T00:00:00"/>
    <s v="SMLN-2019-612-000112"/>
    <x v="120"/>
    <d v="2019-10-22T00:00:00"/>
    <m/>
  </r>
  <r>
    <m/>
    <m/>
    <d v="2019-08-20T00:00:00"/>
    <s v="VZ-2019-000881"/>
    <x v="5"/>
    <s v="Ondráčková"/>
    <x v="323"/>
    <n v="1"/>
    <s v="TERIFLUNOMID"/>
    <m/>
    <s v="33652300-8"/>
    <m/>
    <n v="127016998"/>
    <x v="0"/>
    <d v="2019-11-27T00:00:00"/>
    <d v="2020-01-06T00:00:00"/>
    <m/>
    <m/>
    <m/>
    <m/>
    <m/>
    <m/>
    <m/>
    <m/>
    <m/>
    <m/>
    <x v="0"/>
    <m/>
    <m/>
  </r>
  <r>
    <m/>
    <m/>
    <d v="2019-08-15T00:00:00"/>
    <s v="VZ-2019-000882"/>
    <x v="0"/>
    <s v="Dočkalová"/>
    <x v="324"/>
    <m/>
    <m/>
    <m/>
    <s v="33194100-7"/>
    <m/>
    <n v="2384424"/>
    <x v="1"/>
    <d v="2019-10-30T00:00:00"/>
    <d v="2019-11-20T00:00:00"/>
    <d v="2019-12-05T00:00:00"/>
    <s v="BAXTER CZECH spol. s r.o."/>
    <m/>
    <n v="2346120"/>
    <n v="2838805.2"/>
    <m/>
    <m/>
    <m/>
    <d v="2019-12-05T00:00:00"/>
    <s v="SMLN-2019-617-000615"/>
    <x v="0"/>
    <m/>
    <m/>
  </r>
  <r>
    <m/>
    <m/>
    <d v="2019-08-20T00:00:00"/>
    <s v="VZ-2019-000883"/>
    <x v="5"/>
    <s v="Ondráčková"/>
    <x v="325"/>
    <n v="1"/>
    <s v="IVAKAFTOR"/>
    <m/>
    <s v="33670000-7"/>
    <m/>
    <n v="9364240"/>
    <x v="0"/>
    <d v="2019-09-16T00:00:00"/>
    <d v="2019-12-03T00:00:00"/>
    <m/>
    <m/>
    <m/>
    <m/>
    <m/>
    <m/>
    <m/>
    <m/>
    <m/>
    <m/>
    <x v="0"/>
    <m/>
    <m/>
  </r>
  <r>
    <m/>
    <m/>
    <d v="2019-08-20T00:00:00"/>
    <s v="VZ-2019-000884"/>
    <x v="5"/>
    <s v="Ondráčková"/>
    <x v="326"/>
    <n v="1"/>
    <s v="ETAMSYLÁT "/>
    <m/>
    <s v="33621000-9 "/>
    <m/>
    <n v="1381855"/>
    <x v="0"/>
    <d v="2019-10-08T00:00:00"/>
    <d v="2019-11-11T00:00:00"/>
    <d v="2019-12-05T00:00:00"/>
    <s v="Alliance Healthcare s.r.o."/>
    <m/>
    <n v="1381846.8"/>
    <n v="1520031.48"/>
    <m/>
    <m/>
    <m/>
    <d v="2019-12-06T00:00:00"/>
    <s v="SMLN-2019-617-000627"/>
    <x v="0"/>
    <m/>
    <m/>
  </r>
  <r>
    <m/>
    <m/>
    <d v="2019-08-20T00:00:00"/>
    <s v="VZ-2019-000884"/>
    <x v="5"/>
    <s v="Ondráčková"/>
    <x v="326"/>
    <n v="2"/>
    <s v="ROMIPLOSTIM"/>
    <m/>
    <s v="33621000-9 "/>
    <m/>
    <n v="8691934"/>
    <x v="0"/>
    <d v="2019-10-08T00:00:00"/>
    <d v="2019-11-11T00:00:00"/>
    <m/>
    <s v="zrušeno - již zasmluvněno"/>
    <m/>
    <m/>
    <m/>
    <m/>
    <m/>
    <m/>
    <m/>
    <m/>
    <x v="0"/>
    <d v="2019-10-24T00:00:00"/>
    <s v="24.10.2019 zrušeno"/>
  </r>
  <r>
    <m/>
    <m/>
    <d v="2019-08-20T00:00:00"/>
    <s v="VZ-2019-000884"/>
    <x v="5"/>
    <s v="Ondráčková"/>
    <x v="326"/>
    <n v="3"/>
    <s v="ELTROMBOPAG "/>
    <m/>
    <s v="33621000-9 "/>
    <m/>
    <n v="6543266"/>
    <x v="0"/>
    <d v="2019-10-08T00:00:00"/>
    <d v="2019-11-11T00:00:00"/>
    <m/>
    <s v="zrušeno - již zasmluvněno"/>
    <m/>
    <m/>
    <m/>
    <m/>
    <m/>
    <m/>
    <m/>
    <m/>
    <x v="0"/>
    <d v="2019-10-24T00:00:00"/>
    <s v="24.10.2019 zrušeno"/>
  </r>
  <r>
    <m/>
    <m/>
    <s v="opakovaná VZ"/>
    <s v="VZ-2019-000885"/>
    <x v="1"/>
    <s v="Miklík"/>
    <x v="294"/>
    <m/>
    <m/>
    <m/>
    <s v="72611000-6"/>
    <m/>
    <n v="550000"/>
    <x v="2"/>
    <d v="2019-08-22T00:00:00"/>
    <d v="2019-09-03T00:00:00"/>
    <d v="2019-09-09T00:00:00"/>
    <s v="Ing. Karel Boch"/>
    <m/>
    <n v="686661"/>
    <n v="830859.81"/>
    <m/>
    <m/>
    <m/>
    <d v="2019-09-10T00:00:00"/>
    <s v="SMLN-2019-612-000100"/>
    <x v="128"/>
    <d v="2019-10-03T00:00:00"/>
    <d v="2021-02-15T00:00:00"/>
  </r>
  <r>
    <m/>
    <m/>
    <d v="2019-09-26T00:00:00"/>
    <s v="VZ-2019-000888"/>
    <x v="1"/>
    <s v="Oravec"/>
    <x v="327"/>
    <m/>
    <m/>
    <m/>
    <s v="32552310-3"/>
    <s v="3.2.44."/>
    <n v="1573000"/>
    <x v="2"/>
    <d v="2019-10-02T00:00:00"/>
    <d v="2019-10-11T00:00:00"/>
    <d v="2019-10-18T00:00:00"/>
    <s v="ERISERV, spol. s r.o."/>
    <m/>
    <n v="1237500"/>
    <n v="1497375"/>
    <m/>
    <m/>
    <m/>
    <d v="2019-10-21T00:00:00"/>
    <s v="SMLN-2019-618-000089_x000a_SMLN-2019-612-000125"/>
    <x v="104"/>
    <d v="2019-11-11T00:00:00"/>
    <s v="na dobu neurčitou"/>
  </r>
  <r>
    <m/>
    <m/>
    <d v="2019-08-16T00:00:00"/>
    <s v="VZ-2019-000889"/>
    <x v="0"/>
    <s v="Valtová"/>
    <x v="328"/>
    <m/>
    <m/>
    <m/>
    <s v="33140000-3"/>
    <m/>
    <n v="1346625"/>
    <x v="2"/>
    <d v="2019-08-28T00:00:00"/>
    <d v="2019-09-05T00:00:00"/>
    <d v="2019-10-07T00:00:00"/>
    <s v="Johnson &amp; Johnson, s.r.o."/>
    <m/>
    <n v="1346625"/>
    <n v="1548621.9"/>
    <m/>
    <m/>
    <m/>
    <d v="2019-10-07T00:00:00"/>
    <s v="SMLN-2019-617-000487"/>
    <x v="94"/>
    <d v="2019-10-25T00:00:00"/>
    <d v="2022-10-23T00:00:00"/>
  </r>
  <r>
    <m/>
    <m/>
    <d v="2019-07-26T00:00:00"/>
    <s v="VZ-2019-000890"/>
    <x v="5"/>
    <s v="Ondráčková"/>
    <x v="329"/>
    <n v="1"/>
    <s v="Norepinefrin I."/>
    <m/>
    <s v="33622100-7"/>
    <m/>
    <n v="174460"/>
    <x v="2"/>
    <d v="2019-09-02T00:00:00"/>
    <d v="2019-09-13T00:00:00"/>
    <d v="2019-10-03T00:00:00"/>
    <s v="PHOENIX lék.velkoobchod, s.r.o."/>
    <m/>
    <n v="120377.4"/>
    <n v="132415.14000000001"/>
    <m/>
    <m/>
    <m/>
    <d v="2019-10-04T00:00:00"/>
    <s v="SMLN-2019-617-000477"/>
    <x v="120"/>
    <d v="2019-10-25T00:00:00"/>
    <d v="2020-10-20T00:00:00"/>
  </r>
  <r>
    <m/>
    <m/>
    <d v="2019-07-26T00:00:00"/>
    <s v="VZ-2019-000890"/>
    <x v="5"/>
    <s v="Ondráčková"/>
    <x v="329"/>
    <n v="2"/>
    <s v="Norepinefrin I. Pro použití u dětských pacientů"/>
    <m/>
    <s v="33622100-7"/>
    <m/>
    <n v="18200"/>
    <x v="2"/>
    <d v="2019-09-02T00:00:00"/>
    <d v="2019-09-13T00:00:00"/>
    <d v="2019-10-03T00:00:00"/>
    <s v="PHOENIX lék.velkoobchod, s.r.o."/>
    <m/>
    <n v="12558"/>
    <n v="13813.800000000001"/>
    <m/>
    <m/>
    <m/>
    <d v="2019-10-04T00:00:00"/>
    <s v="SMLN-2019-617-000478"/>
    <x v="120"/>
    <d v="2019-10-25T00:00:00"/>
    <d v="2020-10-20T00:00:00"/>
  </r>
  <r>
    <m/>
    <m/>
    <d v="2019-07-26T00:00:00"/>
    <s v="VZ-2019-000890"/>
    <x v="5"/>
    <s v="Ondráčková"/>
    <x v="329"/>
    <n v="3"/>
    <s v="Norepinefrin II."/>
    <m/>
    <s v="33622100-7"/>
    <m/>
    <n v="1224600"/>
    <x v="2"/>
    <d v="2019-09-02T00:00:00"/>
    <d v="2019-09-13T00:00:00"/>
    <d v="2019-10-03T00:00:00"/>
    <s v="PHOENIX lék.velkoobchod, s.r.o."/>
    <m/>
    <n v="844785.6"/>
    <n v="929264.16"/>
    <m/>
    <m/>
    <m/>
    <d v="2019-10-04T00:00:00"/>
    <s v="SMLN-2019-617-000479"/>
    <x v="120"/>
    <d v="2019-10-25T00:00:00"/>
    <d v="2020-10-20T00:00:00"/>
  </r>
  <r>
    <m/>
    <m/>
    <d v="2019-07-26T00:00:00"/>
    <s v="VZ-2019-000890"/>
    <x v="5"/>
    <s v="Ondráčková"/>
    <x v="329"/>
    <n v="4"/>
    <s v="Norepinefrin II. Pro použití u dětských pacientů"/>
    <m/>
    <s v="33622100-7"/>
    <m/>
    <n v="3900"/>
    <x v="2"/>
    <d v="2019-09-02T00:00:00"/>
    <d v="2019-09-13T00:00:00"/>
    <d v="2019-10-03T00:00:00"/>
    <s v="PHOENIX lék.velkoobchod, s.r.o."/>
    <m/>
    <n v="2690.4"/>
    <n v="2959.4400000000005"/>
    <m/>
    <m/>
    <m/>
    <d v="2019-10-04T00:00:00"/>
    <s v="SMLN-2019-617-000480"/>
    <x v="120"/>
    <d v="2019-10-25T00:00:00"/>
    <d v="2020-10-20T00:00:00"/>
  </r>
  <r>
    <m/>
    <m/>
    <s v="opakovaná VZ"/>
    <s v="VZ-2019-000893"/>
    <x v="2"/>
    <s v="Neudörflerová"/>
    <x v="330"/>
    <m/>
    <m/>
    <m/>
    <s v="33190000-8"/>
    <s v="2.3.338."/>
    <n v="308553.21999999997"/>
    <x v="0"/>
    <d v="2019-09-27T00:00:00"/>
    <d v="2019-10-30T00:00:00"/>
    <d v="2019-11-15T00:00:00"/>
    <s v="ASQA a.s."/>
    <m/>
    <n v="320800"/>
    <n v="388168"/>
    <m/>
    <m/>
    <m/>
    <d v="2019-11-18T00:00:00"/>
    <s v="SMLN-2019-617-000581_x000a_SMLN-2019-617-000593_x000a_SMLN-2019-612-000155"/>
    <x v="139"/>
    <d v="2019-12-16T00:00:00"/>
    <d v="2020-01-22T00:00:00"/>
  </r>
  <r>
    <m/>
    <m/>
    <d v="2019-07-19T00:00:00"/>
    <s v="VZ-2019-000904"/>
    <x v="15"/>
    <s v="Solovský"/>
    <x v="331"/>
    <n v="1"/>
    <s v="Servis sanitních vozidel"/>
    <m/>
    <s v="50110000-9, 34300000-0"/>
    <m/>
    <n v="5200000"/>
    <x v="0"/>
    <d v="2019-09-03T00:00:00"/>
    <d v="2019-10-07T00:00:00"/>
    <d v="2019-11-15T00:00:00"/>
    <s v="Jiří Klanica"/>
    <m/>
    <s v="jednotkové ceny"/>
    <s v="jednotkové ceny"/>
    <m/>
    <m/>
    <m/>
    <d v="2019-11-18T00:00:00"/>
    <s v="SMLN-2019-618-000101"/>
    <x v="0"/>
    <d v="2020-02-07T00:00:00"/>
    <s v="6.1.2020 zrušeno"/>
  </r>
  <r>
    <m/>
    <m/>
    <d v="2019-07-19T00:00:00"/>
    <s v="VZ-2019-000904"/>
    <x v="15"/>
    <s v="Solovský"/>
    <x v="331"/>
    <n v="2"/>
    <s v="Servis osobních a dodávkových vozidel (Škoda, Volkswagen)"/>
    <m/>
    <s v="50110000-9, 34300000-0"/>
    <m/>
    <n v="3400000"/>
    <x v="0"/>
    <d v="2019-09-03T00:00:00"/>
    <d v="2019-10-07T00:00:00"/>
    <m/>
    <s v="zrušeno - nejvýhodnější nabídky nesplnila fomální náležitosti"/>
    <m/>
    <m/>
    <m/>
    <m/>
    <m/>
    <m/>
    <m/>
    <m/>
    <x v="0"/>
    <d v="2019-12-16T00:00:00"/>
    <s v="21.11. zrušeno"/>
  </r>
  <r>
    <m/>
    <m/>
    <d v="2019-07-19T00:00:00"/>
    <s v="VZ-2019-000904"/>
    <x v="15"/>
    <s v="Solovský"/>
    <x v="331"/>
    <n v="3"/>
    <s v="Servis dodávkových vozidel (Ford, Renault)"/>
    <m/>
    <s v="50110000-9, 34300000-0"/>
    <m/>
    <n v="300000"/>
    <x v="0"/>
    <d v="2019-09-03T00:00:00"/>
    <d v="2019-10-07T00:00:00"/>
    <d v="2019-11-15T00:00:00"/>
    <s v="AUTO ČECHÁK s.r.o."/>
    <m/>
    <s v="jednotkové ceny"/>
    <s v="jednotkové ceny"/>
    <m/>
    <m/>
    <m/>
    <d v="2019-11-19T00:00:00"/>
    <s v="SMLN-2019-618-000103"/>
    <x v="0"/>
    <d v="2020-02-07T00:00:00"/>
    <s v="6.1.2020 zrušeno"/>
  </r>
  <r>
    <m/>
    <m/>
    <d v="2019-08-20T00:00:00"/>
    <s v="VZ-2019-000905"/>
    <x v="1"/>
    <s v="Oravec"/>
    <x v="332"/>
    <m/>
    <m/>
    <m/>
    <s v="30213300-8"/>
    <m/>
    <n v="6440000"/>
    <x v="0"/>
    <d v="2019-09-03T00:00:00"/>
    <d v="2019-10-25T00:00:00"/>
    <d v="2019-11-12T00:00:00"/>
    <s v="Z + M Logistics spol.s r.o."/>
    <m/>
    <n v="5269350"/>
    <n v="6375913.5"/>
    <m/>
    <m/>
    <m/>
    <d v="2019-11-15T00:00:00"/>
    <s v="SMLN-2019-617-000576"/>
    <x v="131"/>
    <d v="2019-12-18T00:00:00"/>
    <d v="2020-12-12T00:00:00"/>
  </r>
  <r>
    <m/>
    <m/>
    <d v="2019-08-23T00:00:00"/>
    <s v="VZ-2019-000907"/>
    <x v="4"/>
    <s v="Srovnal"/>
    <x v="333"/>
    <m/>
    <m/>
    <m/>
    <s v="50700000-2"/>
    <m/>
    <n v="2500000"/>
    <x v="1"/>
    <d v="2019-09-20T00:00:00"/>
    <d v="2019-10-29T00:00:00"/>
    <d v="2019-12-03T00:00:00"/>
    <s v="Výtahy - elektro Žižka spol. s r.o."/>
    <m/>
    <n v="3340900"/>
    <n v="4042489"/>
    <m/>
    <m/>
    <m/>
    <d v="2019-12-04T00:00:00"/>
    <s v="SMLN-2019-618-000106"/>
    <x v="0"/>
    <m/>
    <m/>
  </r>
  <r>
    <m/>
    <m/>
    <d v="2019-06-07T00:00:00"/>
    <s v="VZ-2019-000911"/>
    <x v="4"/>
    <s v="Srovnal"/>
    <x v="334"/>
    <m/>
    <m/>
    <m/>
    <s v="65100000-4"/>
    <m/>
    <n v="1000000"/>
    <x v="2"/>
    <d v="2019-10-07T00:00:00"/>
    <d v="2019-10-21T00:00:00"/>
    <d v="2019-10-29T00:00:00"/>
    <s v="qzp, s.r.o."/>
    <m/>
    <n v="705600"/>
    <n v="853776"/>
    <m/>
    <m/>
    <m/>
    <d v="2019-10-30T00:00:00"/>
    <s v="SMLN-2019-612-000130"/>
    <x v="136"/>
    <d v="2019-12-09T00:00:00"/>
    <d v="2027-06-29T00:00:00"/>
  </r>
  <r>
    <m/>
    <m/>
    <d v="2019-07-08T00:00:00"/>
    <s v="VZ-2019-000912"/>
    <x v="19"/>
    <s v="Odehnalová"/>
    <x v="335"/>
    <m/>
    <m/>
    <m/>
    <s v="72411000-4"/>
    <m/>
    <n v="120000000"/>
    <x v="0"/>
    <d v="2019-11-28T00:00:00"/>
    <d v="2020-01-03T00:00:00"/>
    <m/>
    <m/>
    <m/>
    <m/>
    <m/>
    <m/>
    <m/>
    <m/>
    <m/>
    <m/>
    <x v="0"/>
    <m/>
    <m/>
  </r>
  <r>
    <m/>
    <m/>
    <d v="2019-07-23T00:00:00"/>
    <s v="VZ-2019-000913"/>
    <x v="1"/>
    <s v="Oravec"/>
    <x v="336"/>
    <m/>
    <m/>
    <m/>
    <s v="72261000-2"/>
    <m/>
    <n v="2587200"/>
    <x v="1"/>
    <d v="2019-10-24T00:00:00"/>
    <d v="2019-11-20T00:00:00"/>
    <d v="2019-12-11T00:00:00"/>
    <s v="BCV solutions s.r.o."/>
    <m/>
    <n v="1987200"/>
    <n v="2404512"/>
    <m/>
    <m/>
    <m/>
    <d v="2019-12-12T00:00:00"/>
    <s v="SMLN-2019-612-000164"/>
    <x v="0"/>
    <m/>
    <m/>
  </r>
  <r>
    <m/>
    <m/>
    <d v="2019-07-23T00:00:00"/>
    <s v="VZ-2019-000914"/>
    <x v="1"/>
    <s v="Oravec"/>
    <x v="337"/>
    <m/>
    <s v="Po schůzce 29.8.2019 (Merta, Hlavinka, Gartner, Dočkal) - bude vypsáno na dobu určitou 2 let pouze servis bez náhrady, poté bude samotná soutěž na náhradu IS, VZ na servis na  2 roky předpokládaná hodnota do 250 tis. Kč bez DPH, VZ bude realizovat IT"/>
    <m/>
    <m/>
    <m/>
    <n v="200000"/>
    <x v="2"/>
    <m/>
    <m/>
    <m/>
    <m/>
    <m/>
    <m/>
    <m/>
    <m/>
    <m/>
    <m/>
    <m/>
    <m/>
    <x v="0"/>
    <m/>
    <m/>
  </r>
  <r>
    <m/>
    <m/>
    <d v="2019-08-14T00:00:00"/>
    <s v="VZ-2019-000915"/>
    <x v="0"/>
    <s v="Valtová"/>
    <x v="338"/>
    <m/>
    <m/>
    <m/>
    <s v="33140000-3"/>
    <m/>
    <n v="3943140"/>
    <x v="0"/>
    <d v="2019-10-31T00:00:00"/>
    <d v="2019-12-04T00:00:00"/>
    <d v="2019-12-17T00:00:00"/>
    <s v="Cardion s.r.o."/>
    <m/>
    <n v="3942981.82"/>
    <n v="4771008"/>
    <m/>
    <m/>
    <m/>
    <d v="2019-12-19T00:00:00"/>
    <s v="SMLN-2019-617-000643_x000a_SMLN-2019-614-000109"/>
    <x v="0"/>
    <m/>
    <m/>
  </r>
  <r>
    <m/>
    <m/>
    <d v="2019-08-15T00:00:00"/>
    <s v="VZ-2019-000916"/>
    <x v="6"/>
    <s v="Rosulek"/>
    <x v="339"/>
    <m/>
    <m/>
    <m/>
    <s v="33162100-4"/>
    <m/>
    <n v="2314000"/>
    <x v="1"/>
    <d v="2019-09-04T00:00:00"/>
    <d v="2019-09-25T00:00:00"/>
    <m/>
    <s v="zrušeno - špatné zadání"/>
    <s v="do VZ nebyly zahrnuty náklady na spotřební materiál, po úpravě ZD se bude soutěž opakovat."/>
    <m/>
    <m/>
    <m/>
    <m/>
    <m/>
    <m/>
    <m/>
    <x v="0"/>
    <d v="2019-09-19T00:00:00"/>
    <s v="19.9. zrušeno"/>
  </r>
  <r>
    <m/>
    <m/>
    <d v="2019-08-22T00:00:00"/>
    <s v="VZ-2019-000917"/>
    <x v="6"/>
    <s v="Rosulek"/>
    <x v="340"/>
    <m/>
    <m/>
    <m/>
    <s v="33192000-2"/>
    <s v="2.3.405."/>
    <n v="1133058"/>
    <x v="2"/>
    <d v="2019-09-03T00:00:00"/>
    <d v="2019-09-13T00:00:00"/>
    <d v="2019-09-30T00:00:00"/>
    <s v="Medinet s.r.o."/>
    <m/>
    <n v="1928768"/>
    <n v="2333809.2799999998"/>
    <m/>
    <m/>
    <m/>
    <d v="2019-09-30T00:00:00"/>
    <s v="SMLN-2019-617-000472_x000a_SMLN-2019-612-000118"/>
    <x v="70"/>
    <d v="2019-11-05T00:00:00"/>
    <d v="2019-12-27T00:00:00"/>
  </r>
  <r>
    <m/>
    <m/>
    <d v="2019-08-26T00:00:00"/>
    <s v="VZ-2019-000918"/>
    <x v="1"/>
    <s v="Miklík"/>
    <x v="341"/>
    <m/>
    <m/>
    <m/>
    <s v="32422000-7"/>
    <s v="3.2.38, 3.2.40."/>
    <n v="3840000"/>
    <x v="1"/>
    <d v="2019-09-23T00:00:00"/>
    <d v="2019-10-09T00:00:00"/>
    <d v="2019-10-15T00:00:00"/>
    <s v="MERIT GROUP a.s."/>
    <m/>
    <n v="3820900"/>
    <n v="4623289"/>
    <m/>
    <m/>
    <m/>
    <d v="2019-10-16T00:00:00"/>
    <s v="SMLN-2019-617-000506"/>
    <x v="103"/>
    <d v="2019-11-19T00:00:00"/>
    <d v="2020-01-12T00:00:00"/>
  </r>
  <r>
    <m/>
    <m/>
    <d v="2019-08-26T00:00:00"/>
    <s v="VZ-2019-000919"/>
    <x v="1"/>
    <s v="Miklík"/>
    <x v="342"/>
    <m/>
    <m/>
    <m/>
    <s v="48825000-7"/>
    <m/>
    <n v="1322314"/>
    <x v="2"/>
    <d v="2019-09-05T00:00:00"/>
    <d v="2019-09-17T00:00:00"/>
    <d v="2019-09-18T00:00:00"/>
    <s v="MERIT GROUP a.s."/>
    <m/>
    <n v="1160000"/>
    <n v="1403600"/>
    <m/>
    <m/>
    <m/>
    <d v="2019-09-19T00:00:00"/>
    <s v="SMLN-2019-617-000427"/>
    <x v="140"/>
    <d v="2019-10-18T00:00:00"/>
    <d v="2019-12-15T00:00:00"/>
  </r>
  <r>
    <m/>
    <m/>
    <d v="2019-08-28T00:00:00"/>
    <s v="VZ-2019-000920"/>
    <x v="11"/>
    <s v="Zemánek"/>
    <x v="343"/>
    <m/>
    <m/>
    <m/>
    <s v="50421000-2"/>
    <m/>
    <n v="277000"/>
    <x v="2"/>
    <d v="2019-09-20T00:00:00"/>
    <d v="2019-10-02T00:00:00"/>
    <d v="2019-10-29T00:00:00"/>
    <s v="Sysmex CZ s.r.o."/>
    <m/>
    <n v="249300"/>
    <n v="301653.12"/>
    <m/>
    <m/>
    <m/>
    <d v="2019-10-29T00:00:00"/>
    <s v="SMLN-2019-612-000129"/>
    <x v="105"/>
    <d v="2019-12-02T00:00:00"/>
    <d v="2023-11-26T00:00:00"/>
  </r>
  <r>
    <m/>
    <m/>
    <d v="2019-08-30T00:00:00"/>
    <s v="VZ-2019-000924"/>
    <x v="11"/>
    <s v="Zemánek"/>
    <x v="344"/>
    <m/>
    <m/>
    <m/>
    <s v="50421000-2"/>
    <m/>
    <n v="7920000"/>
    <x v="0"/>
    <m/>
    <m/>
    <m/>
    <m/>
    <m/>
    <m/>
    <m/>
    <m/>
    <m/>
    <m/>
    <m/>
    <m/>
    <x v="0"/>
    <m/>
    <m/>
  </r>
  <r>
    <m/>
    <m/>
    <d v="2019-08-30T00:00:00"/>
    <s v="VZ-2019-000925"/>
    <x v="6"/>
    <s v="Rosulek"/>
    <x v="345"/>
    <m/>
    <m/>
    <m/>
    <s v="33168100-6"/>
    <s v="2.2.120, 2.3.367, 2.3.400"/>
    <n v="580000"/>
    <x v="2"/>
    <d v="2019-09-11T00:00:00"/>
    <d v="2019-09-24T00:00:00"/>
    <d v="2019-11-04T00:00:00"/>
    <s v="Olympus Czech Group, s.r.o."/>
    <m/>
    <n v="553450"/>
    <n v="669670"/>
    <m/>
    <m/>
    <m/>
    <d v="2019-11-04T00:00:00"/>
    <s v="SMLN-2019-617-000552_x000a_SMLN-2019-612-000144"/>
    <x v="118"/>
    <d v="2019-12-16T00:00:00"/>
    <d v="2020-01-19T00:00:00"/>
  </r>
  <r>
    <m/>
    <m/>
    <d v="2019-08-30T00:00:00"/>
    <s v="VZ-2019-000928"/>
    <x v="5"/>
    <s v="Ondráčková"/>
    <x v="346"/>
    <n v="1"/>
    <s v="Ambrisentan"/>
    <m/>
    <s v="33622200-8"/>
    <m/>
    <n v="8418067"/>
    <x v="0"/>
    <d v="2019-09-23T00:00:00"/>
    <d v="2019-10-24T00:00:00"/>
    <d v="2019-12-05T00:00:00"/>
    <s v="PHOENIX lékárenský velkoobchod, s.r.o."/>
    <m/>
    <n v="8316786.4000000004"/>
    <n v="9148465.0399999991"/>
    <m/>
    <m/>
    <m/>
    <d v="2019-12-06T00:00:00"/>
    <s v="SMLN-2019-617-000621"/>
    <x v="0"/>
    <m/>
    <m/>
  </r>
  <r>
    <m/>
    <m/>
    <d v="2019-08-30T00:00:00"/>
    <s v="VZ-2019-000929"/>
    <x v="5"/>
    <s v="Ondráčková"/>
    <x v="347"/>
    <n v="1"/>
    <s v="Abirateron"/>
    <m/>
    <s v="33642000-2"/>
    <m/>
    <n v="28747836"/>
    <x v="0"/>
    <d v="2019-09-23T00:00:00"/>
    <d v="2019-11-04T00:00:00"/>
    <d v="2019-12-05T00:00:00"/>
    <s v="Janssen - Cilag s.r.o."/>
    <m/>
    <n v="28747836"/>
    <n v="31622620"/>
    <m/>
    <m/>
    <m/>
    <d v="2019-12-06T00:00:00"/>
    <s v="SMLN-2019-617-000622"/>
    <x v="0"/>
    <m/>
    <m/>
  </r>
  <r>
    <m/>
    <m/>
    <d v="2019-08-30T00:00:00"/>
    <s v="VZ-2019-000930"/>
    <x v="5"/>
    <s v="Ondráčková"/>
    <x v="348"/>
    <n v="1"/>
    <s v="MACITENTAN"/>
    <m/>
    <m/>
    <m/>
    <n v="8023320"/>
    <x v="0"/>
    <d v="2019-10-08T00:00:00"/>
    <d v="2019-12-17T00:00:00"/>
    <m/>
    <m/>
    <m/>
    <m/>
    <m/>
    <m/>
    <m/>
    <m/>
    <m/>
    <m/>
    <x v="0"/>
    <m/>
    <m/>
  </r>
  <r>
    <m/>
    <m/>
    <d v="2019-08-30T00:00:00"/>
    <s v="VZ-2019-000930"/>
    <x v="5"/>
    <s v="Ondráčková"/>
    <x v="348"/>
    <n v="2"/>
    <s v="EPOPROSTENOL"/>
    <m/>
    <m/>
    <m/>
    <n v="6714275"/>
    <x v="0"/>
    <d v="2019-10-08T00:00:00"/>
    <d v="2019-12-11T00:00:00"/>
    <m/>
    <s v="zrušeno - oprava zadání"/>
    <m/>
    <m/>
    <m/>
    <m/>
    <m/>
    <m/>
    <m/>
    <m/>
    <x v="0"/>
    <d v="2019-11-26T00:00:00"/>
    <s v="22.11. zrušení na podpis"/>
  </r>
  <r>
    <m/>
    <m/>
    <d v="2019-08-30T00:00:00"/>
    <s v="VZ-2019-000930"/>
    <x v="5"/>
    <s v="Ondráčková"/>
    <x v="348"/>
    <n v="3"/>
    <s v="SELEXIPAG"/>
    <m/>
    <m/>
    <m/>
    <n v="8587568"/>
    <x v="0"/>
    <d v="2019-10-08T00:00:00"/>
    <d v="2019-12-17T00:00:00"/>
    <m/>
    <s v="zrušeno - překročení ceny"/>
    <m/>
    <m/>
    <m/>
    <m/>
    <m/>
    <m/>
    <m/>
    <m/>
    <x v="0"/>
    <d v="2020-02-07T00:00:00"/>
    <s v="13.1.2020 zrušeno"/>
  </r>
  <r>
    <m/>
    <m/>
    <d v="2019-08-30T00:00:00"/>
    <s v="VZ-2019-000931"/>
    <x v="5"/>
    <s v="Ondráčková"/>
    <x v="349"/>
    <n v="1"/>
    <s v="Dolforin"/>
    <m/>
    <s v="33661200-3"/>
    <m/>
    <n v="1102110"/>
    <x v="0"/>
    <d v="2019-10-21T00:00:00"/>
    <d v="2019-11-26T00:00:00"/>
    <m/>
    <s v="PHOENIX lékárenský velkoobchod, s.r.o."/>
    <m/>
    <n v="999670.34"/>
    <n v="1099637.3700000001"/>
    <m/>
    <m/>
    <m/>
    <m/>
    <m/>
    <x v="0"/>
    <m/>
    <m/>
  </r>
  <r>
    <m/>
    <m/>
    <d v="2019-08-30T00:00:00"/>
    <s v="VZ-2019-000931"/>
    <x v="5"/>
    <s v="Ondráčková"/>
    <x v="349"/>
    <n v="2"/>
    <s v="Durogesic"/>
    <m/>
    <s v="33661200-3"/>
    <m/>
    <n v="2613344"/>
    <x v="0"/>
    <d v="2019-10-21T00:00:00"/>
    <d v="2019-11-26T00:00:00"/>
    <m/>
    <s v="PHOENIX lékárenský velkoobchod, s.r.o."/>
    <m/>
    <n v="2607720.96"/>
    <n v="2868493.06"/>
    <m/>
    <m/>
    <m/>
    <m/>
    <m/>
    <x v="0"/>
    <m/>
    <m/>
  </r>
  <r>
    <m/>
    <m/>
    <d v="2019-08-30T00:00:00"/>
    <s v="VZ-2019-000931"/>
    <x v="5"/>
    <s v="Ondráčková"/>
    <x v="349"/>
    <n v="3"/>
    <s v="Fentalis"/>
    <m/>
    <s v="33661200-3"/>
    <m/>
    <n v="3847274"/>
    <x v="0"/>
    <d v="2019-10-21T00:00:00"/>
    <d v="2019-11-26T00:00:00"/>
    <m/>
    <s v="Alliance Healtcare s.r.o."/>
    <m/>
    <n v="3847272.38"/>
    <n v="4230326.1900000004"/>
    <m/>
    <m/>
    <m/>
    <m/>
    <m/>
    <x v="0"/>
    <m/>
    <m/>
  </r>
  <r>
    <m/>
    <m/>
    <d v="2019-08-30T00:00:00"/>
    <s v="VZ-2019-000931"/>
    <x v="5"/>
    <s v="Ondráčková"/>
    <x v="349"/>
    <n v="4"/>
    <s v="Palexia Retard"/>
    <m/>
    <s v="33661200-3"/>
    <m/>
    <n v="1138769"/>
    <x v="0"/>
    <d v="2019-10-21T00:00:00"/>
    <d v="2019-11-26T00:00:00"/>
    <m/>
    <s v="zrušeno - bez nabídky"/>
    <m/>
    <m/>
    <m/>
    <m/>
    <m/>
    <m/>
    <m/>
    <m/>
    <x v="0"/>
    <d v="2019-12-30T00:00:00"/>
    <s v="6.12. zrušeno"/>
  </r>
  <r>
    <m/>
    <m/>
    <d v="2019-08-30T00:00:00"/>
    <s v="VZ-2019-000931"/>
    <x v="5"/>
    <s v="Ondráčková"/>
    <x v="349"/>
    <n v="5"/>
    <s v="Transtec"/>
    <m/>
    <s v="33661200-3"/>
    <m/>
    <n v="2377388"/>
    <x v="0"/>
    <d v="2019-10-21T00:00:00"/>
    <d v="2019-11-26T00:00:00"/>
    <m/>
    <s v="Alliance Healtcare s.r.o."/>
    <m/>
    <n v="2365392.4"/>
    <n v="2601931.64"/>
    <m/>
    <m/>
    <m/>
    <m/>
    <m/>
    <x v="0"/>
    <m/>
    <m/>
  </r>
  <r>
    <m/>
    <m/>
    <d v="2019-08-30T00:00:00"/>
    <s v="VZ-2019-000931"/>
    <x v="5"/>
    <s v="Ondráčková"/>
    <x v="349"/>
    <n v="6"/>
    <s v="Oxycodon Lannacher"/>
    <m/>
    <s v="33661200-3"/>
    <m/>
    <n v="2900177"/>
    <x v="0"/>
    <d v="2019-10-21T00:00:00"/>
    <d v="2019-11-26T00:00:00"/>
    <m/>
    <s v="Alliance Healtcare s.r.o."/>
    <m/>
    <n v="2893071.36"/>
    <n v="3182378.5"/>
    <m/>
    <m/>
    <m/>
    <m/>
    <m/>
    <x v="0"/>
    <m/>
    <m/>
  </r>
  <r>
    <m/>
    <m/>
    <d v="2019-08-30T00:00:00"/>
    <s v="VZ-2019-000931"/>
    <x v="5"/>
    <s v="Ondráčková"/>
    <x v="349"/>
    <n v="7"/>
    <s v="Lunaldin"/>
    <m/>
    <s v="33661200-3"/>
    <m/>
    <n v="4406890"/>
    <x v="0"/>
    <d v="2019-10-21T00:00:00"/>
    <d v="2019-11-26T00:00:00"/>
    <m/>
    <s v="Alliance Healtcare s.r.o."/>
    <m/>
    <n v="4405134.5599999996"/>
    <n v="4845648.0199999996"/>
    <m/>
    <m/>
    <m/>
    <m/>
    <m/>
    <x v="0"/>
    <m/>
    <m/>
  </r>
  <r>
    <m/>
    <m/>
    <d v="2019-09-02T00:00:00"/>
    <s v="VZ-2019-000942"/>
    <x v="5"/>
    <s v="Ondráčková"/>
    <x v="350"/>
    <n v="1"/>
    <s v="THROMBOREDUCTIN 0,5 MG"/>
    <m/>
    <s v="33652000-5   "/>
    <m/>
    <n v="2257006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x v="5"/>
    <s v="Ondráčková"/>
    <x v="350"/>
    <n v="2"/>
    <s v="Anagrelid Stada"/>
    <m/>
    <s v="33652000-5  "/>
    <m/>
    <n v="548404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x v="5"/>
    <s v="Ondráčková"/>
    <x v="350"/>
    <n v="3"/>
    <s v="Vismodegib"/>
    <m/>
    <s v="33652000-5  "/>
    <m/>
    <n v="6102514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x v="5"/>
    <s v="Ondráčková"/>
    <x v="350"/>
    <n v="4"/>
    <s v="Olaparib"/>
    <m/>
    <s v="33652000-5   "/>
    <m/>
    <n v="11043079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x v="5"/>
    <s v="Ondráčková"/>
    <x v="350"/>
    <n v="5"/>
    <s v="Hydroxykarbamid"/>
    <m/>
    <s v="33652000-5  "/>
    <m/>
    <n v="469154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x v="5"/>
    <s v="Ondráčková"/>
    <x v="350"/>
    <n v="6"/>
    <s v="IXAZOMIB-CITRÁT"/>
    <m/>
    <s v="33652000-5  "/>
    <m/>
    <n v="25724950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2"/>
    <x v="5"/>
    <s v="Ondráčková"/>
    <x v="350"/>
    <n v="7"/>
    <s v="VENETOKLAX"/>
    <m/>
    <s v="33652000-5   "/>
    <m/>
    <n v="2452038"/>
    <x v="0"/>
    <d v="2019-10-17T00:00:00"/>
    <d v="2020-01-10T00:00:00"/>
    <m/>
    <m/>
    <m/>
    <m/>
    <m/>
    <m/>
    <m/>
    <m/>
    <m/>
    <m/>
    <x v="0"/>
    <m/>
    <m/>
  </r>
  <r>
    <m/>
    <m/>
    <d v="2019-09-02T00:00:00"/>
    <s v="VZ-2019-000943"/>
    <x v="5"/>
    <s v="Ondráčková"/>
    <x v="351"/>
    <n v="1"/>
    <s v="Bortezomib"/>
    <m/>
    <s v="33652000-5  "/>
    <m/>
    <n v="1299600"/>
    <x v="0"/>
    <m/>
    <m/>
    <m/>
    <m/>
    <m/>
    <m/>
    <m/>
    <m/>
    <m/>
    <m/>
    <m/>
    <m/>
    <x v="0"/>
    <m/>
    <m/>
  </r>
  <r>
    <m/>
    <m/>
    <d v="2019-09-02T00:00:00"/>
    <s v="VZ-2019-000943"/>
    <x v="5"/>
    <s v="Ondráčková"/>
    <x v="351"/>
    <n v="2"/>
    <s v="Pegaspargasa"/>
    <m/>
    <s v="33652000-5  "/>
    <m/>
    <n v="2043895"/>
    <x v="0"/>
    <m/>
    <m/>
    <m/>
    <m/>
    <m/>
    <m/>
    <m/>
    <m/>
    <m/>
    <m/>
    <m/>
    <m/>
    <x v="0"/>
    <m/>
    <m/>
  </r>
  <r>
    <m/>
    <m/>
    <d v="2019-09-02T00:00:00"/>
    <s v="VZ-2019-000943"/>
    <x v="5"/>
    <s v="Ondráčková"/>
    <x v="351"/>
    <n v="3"/>
    <s v="Irinotekan"/>
    <m/>
    <s v="33652000-5  "/>
    <m/>
    <n v="677539"/>
    <x v="0"/>
    <m/>
    <m/>
    <m/>
    <m/>
    <m/>
    <m/>
    <m/>
    <m/>
    <m/>
    <m/>
    <m/>
    <m/>
    <x v="0"/>
    <m/>
    <m/>
  </r>
  <r>
    <m/>
    <m/>
    <d v="2019-09-02T00:00:00"/>
    <s v="VZ-2019-000943"/>
    <x v="5"/>
    <s v="Ondráčková"/>
    <x v="351"/>
    <n v="4"/>
    <s v="Eribulin-mesylát"/>
    <m/>
    <s v="33652000-5  "/>
    <m/>
    <n v="8531817"/>
    <x v="0"/>
    <m/>
    <m/>
    <m/>
    <m/>
    <m/>
    <m/>
    <m/>
    <m/>
    <m/>
    <m/>
    <m/>
    <m/>
    <x v="0"/>
    <m/>
    <m/>
  </r>
  <r>
    <m/>
    <m/>
    <d v="2019-09-02T00:00:00"/>
    <s v="VZ-2019-000943"/>
    <x v="5"/>
    <s v="Ondráčková"/>
    <x v="351"/>
    <n v="5"/>
    <s v="Aflibercept"/>
    <m/>
    <s v="33652000-5  "/>
    <m/>
    <n v="3476529"/>
    <x v="0"/>
    <m/>
    <m/>
    <m/>
    <m/>
    <m/>
    <m/>
    <m/>
    <m/>
    <m/>
    <m/>
    <m/>
    <m/>
    <x v="0"/>
    <m/>
    <m/>
  </r>
  <r>
    <m/>
    <m/>
    <d v="2019-09-02T00:00:00"/>
    <s v="VZ-2019-000943"/>
    <x v="5"/>
    <s v="Ondráčková"/>
    <x v="351"/>
    <n v="6"/>
    <s v="Asparaginasa produkovaná Erwinia chrysanthemi"/>
    <m/>
    <s v="33652000-5  "/>
    <m/>
    <n v="910770"/>
    <x v="0"/>
    <m/>
    <m/>
    <m/>
    <m/>
    <m/>
    <m/>
    <m/>
    <m/>
    <m/>
    <m/>
    <m/>
    <m/>
    <x v="0"/>
    <m/>
    <m/>
  </r>
  <r>
    <m/>
    <m/>
    <d v="2019-09-02T00:00:00"/>
    <s v="VZ-2019-000943"/>
    <x v="5"/>
    <s v="Ondráčková"/>
    <x v="351"/>
    <n v="7"/>
    <s v="Topotecan"/>
    <m/>
    <s v="33652000-5  "/>
    <m/>
    <n v="218849"/>
    <x v="0"/>
    <m/>
    <m/>
    <m/>
    <m/>
    <m/>
    <m/>
    <m/>
    <m/>
    <m/>
    <m/>
    <m/>
    <m/>
    <x v="0"/>
    <m/>
    <m/>
  </r>
  <r>
    <m/>
    <m/>
    <d v="2019-09-02T00:00:00"/>
    <s v="VZ-2019-000943"/>
    <x v="5"/>
    <s v="Ondráčková"/>
    <x v="351"/>
    <n v="8"/>
    <s v="Oxid arsenitý"/>
    <m/>
    <s v="33652000-5  "/>
    <m/>
    <n v="1161870"/>
    <x v="0"/>
    <m/>
    <m/>
    <m/>
    <m/>
    <m/>
    <m/>
    <m/>
    <m/>
    <m/>
    <m/>
    <m/>
    <m/>
    <x v="0"/>
    <m/>
    <m/>
  </r>
  <r>
    <m/>
    <m/>
    <d v="2019-09-02T00:00:00"/>
    <s v="VZ-2019-000944"/>
    <x v="5"/>
    <s v="Ondráčková"/>
    <x v="352"/>
    <n v="1"/>
    <s v="Bacillus Calmette-Guerin(BCG)"/>
    <m/>
    <s v="33652000-5"/>
    <m/>
    <n v="1447210"/>
    <x v="0"/>
    <d v="2019-10-18T00:00:00"/>
    <d v="2019-11-21T00:00:00"/>
    <m/>
    <s v="zrušeno - bez nabídky"/>
    <m/>
    <m/>
    <m/>
    <m/>
    <m/>
    <m/>
    <m/>
    <m/>
    <x v="0"/>
    <d v="2020-01-10T00:00:00"/>
    <s v="16.12. zrušeno"/>
  </r>
  <r>
    <m/>
    <m/>
    <d v="2019-09-02T00:00:00"/>
    <s v="VZ-2019-000944"/>
    <x v="5"/>
    <s v="Ondráčková"/>
    <x v="352"/>
    <n v="2"/>
    <s v="Plerixafor"/>
    <m/>
    <s v="33652000-5"/>
    <m/>
    <n v="530908"/>
    <x v="0"/>
    <d v="2019-10-18T00:00:00"/>
    <d v="2019-11-21T00:00:00"/>
    <m/>
    <s v="zrušeno - bez nabídky"/>
    <m/>
    <m/>
    <m/>
    <m/>
    <m/>
    <m/>
    <m/>
    <m/>
    <x v="0"/>
    <d v="2020-01-10T00:00:00"/>
    <s v="16.12. zrušeno"/>
  </r>
  <r>
    <m/>
    <m/>
    <d v="2019-09-02T00:00:00"/>
    <s v="VZ-2019-000944"/>
    <x v="5"/>
    <s v="Ondráčková"/>
    <x v="352"/>
    <n v="3"/>
    <s v="LYOFILIZOVANÝ BAKTERIÁLNÍ LYZÁT OM 85 (LYSATUM BACTERIALE OM 85 CRYODESICCATUM)"/>
    <m/>
    <s v="33652000-5"/>
    <m/>
    <n v="196833"/>
    <x v="0"/>
    <d v="2019-10-18T00:00:00"/>
    <d v="2019-11-21T00:00:00"/>
    <d v="2019-12-17T00:00:00"/>
    <s v="PHOENIX lékárenský velkoobchod, s.r.o."/>
    <m/>
    <n v="195963.12"/>
    <n v="215559.43"/>
    <m/>
    <m/>
    <m/>
    <d v="2019-12-19T00:00:00"/>
    <s v="SMLN-2019-617-000645"/>
    <x v="0"/>
    <m/>
    <m/>
  </r>
  <r>
    <m/>
    <m/>
    <d v="2019-09-02T00:00:00"/>
    <s v="VZ-2019-000944"/>
    <x v="5"/>
    <s v="Ondráčková"/>
    <x v="352"/>
    <n v="4"/>
    <s v="PRASEČÍ PŘENOSOVÝ FAKTOR"/>
    <m/>
    <s v="33652000-5"/>
    <m/>
    <n v="6868497"/>
    <x v="0"/>
    <d v="2019-10-18T00:00:00"/>
    <d v="2019-11-21T00:00:00"/>
    <d v="2019-12-17T00:00:00"/>
    <s v="PHARMOS, a.s."/>
    <m/>
    <n v="6806504"/>
    <n v="7487154.4000000004"/>
    <m/>
    <m/>
    <m/>
    <d v="2019-12-19T00:00:00"/>
    <s v="SMLN-2019-617-000646"/>
    <x v="0"/>
    <m/>
    <m/>
  </r>
  <r>
    <m/>
    <m/>
    <d v="2019-09-02T00:00:00"/>
    <s v="VZ-2019-000944"/>
    <x v="5"/>
    <s v="Ondráčková"/>
    <x v="352"/>
    <n v="5"/>
    <s v="SMĚS BAKTERIÁLNÍHO LYZÁTU"/>
    <m/>
    <s v="33652000-5"/>
    <m/>
    <n v="84492"/>
    <x v="0"/>
    <d v="2019-10-18T00:00:00"/>
    <d v="2019-11-21T00:00:00"/>
    <m/>
    <s v="zrušeno - bez nabídky"/>
    <m/>
    <m/>
    <m/>
    <m/>
    <m/>
    <m/>
    <m/>
    <m/>
    <x v="0"/>
    <d v="2020-01-10T00:00:00"/>
    <s v="16.12. zrušeno"/>
  </r>
  <r>
    <m/>
    <m/>
    <d v="2019-09-02T00:00:00"/>
    <s v="VZ-2019-000945"/>
    <x v="5"/>
    <s v="Ondráčková"/>
    <x v="353"/>
    <n v="1"/>
    <s v="Sekukinumab"/>
    <m/>
    <s v="33652300-8"/>
    <m/>
    <n v="20785905"/>
    <x v="0"/>
    <d v="2019-10-17T00:00:00"/>
    <d v="2019-11-29T00:00:00"/>
    <m/>
    <m/>
    <m/>
    <m/>
    <m/>
    <m/>
    <m/>
    <m/>
    <m/>
    <m/>
    <x v="0"/>
    <m/>
    <m/>
  </r>
  <r>
    <m/>
    <m/>
    <d v="2019-09-02T00:00:00"/>
    <s v="VZ-2019-000945"/>
    <x v="5"/>
    <s v="Ondráčková"/>
    <x v="353"/>
    <n v="2"/>
    <s v="Ustekinumab"/>
    <m/>
    <s v="33652300-8"/>
    <m/>
    <n v="20787500"/>
    <x v="0"/>
    <d v="2019-10-17T00:00:00"/>
    <d v="2019-11-29T00:00:00"/>
    <m/>
    <m/>
    <m/>
    <m/>
    <m/>
    <m/>
    <m/>
    <m/>
    <m/>
    <m/>
    <x v="0"/>
    <m/>
    <m/>
  </r>
  <r>
    <m/>
    <m/>
    <d v="2019-09-02T00:00:00"/>
    <s v="VZ-2019-000945"/>
    <x v="5"/>
    <s v="Ondráčková"/>
    <x v="353"/>
    <n v="3"/>
    <s v="Guselkumab"/>
    <m/>
    <s v="33652300-8"/>
    <m/>
    <n v="823621"/>
    <x v="0"/>
    <d v="2019-10-17T00:00:00"/>
    <d v="2019-11-29T00:00:00"/>
    <m/>
    <m/>
    <m/>
    <m/>
    <m/>
    <m/>
    <m/>
    <m/>
    <m/>
    <m/>
    <x v="0"/>
    <m/>
    <m/>
  </r>
  <r>
    <m/>
    <m/>
    <d v="2019-09-04T00:00:00"/>
    <s v="VZ-2019-000952"/>
    <x v="0"/>
    <s v="Dočkalová"/>
    <x v="354"/>
    <n v="1"/>
    <s v="Embolizační spirály odpoutatelné neurointervenční I."/>
    <m/>
    <s v="33140000-3"/>
    <m/>
    <n v="3733400"/>
    <x v="0"/>
    <d v="2019-12-04T00:00:00"/>
    <d v="2020-01-06T00:00:00"/>
    <m/>
    <m/>
    <m/>
    <m/>
    <m/>
    <m/>
    <m/>
    <m/>
    <m/>
    <m/>
    <x v="0"/>
    <m/>
    <m/>
  </r>
  <r>
    <m/>
    <m/>
    <d v="2019-09-04T00:00:00"/>
    <s v="VZ-2019-000952"/>
    <x v="0"/>
    <s v="Dočkalová"/>
    <x v="354"/>
    <n v="2"/>
    <s v="Embolizační spirály odpoutatelné neurointervenční II."/>
    <m/>
    <s v="33140000-3"/>
    <m/>
    <n v="141890.1"/>
    <x v="0"/>
    <d v="2019-12-04T00:00:00"/>
    <d v="2020-01-06T00:00:00"/>
    <m/>
    <m/>
    <m/>
    <m/>
    <m/>
    <m/>
    <m/>
    <m/>
    <m/>
    <m/>
    <x v="0"/>
    <m/>
    <m/>
  </r>
  <r>
    <m/>
    <m/>
    <d v="2019-09-04T00:00:00"/>
    <s v="VZ-2019-000953"/>
    <x v="5"/>
    <s v="Ondráčková"/>
    <x v="355"/>
    <n v="1"/>
    <s v="Cetuximab"/>
    <m/>
    <s v="33652100-6"/>
    <m/>
    <n v="19686840"/>
    <x v="0"/>
    <d v="2019-09-23T00:00:00"/>
    <d v="2019-10-24T00:00:00"/>
    <d v="2019-11-12T00:00:00"/>
    <s v="Alliance Healthcare s.r.o."/>
    <m/>
    <n v="19686799.440000001"/>
    <n v="21655479.379999999"/>
    <m/>
    <m/>
    <m/>
    <d v="2019-11-13T00:00:00"/>
    <s v="SMLN-2019-617-000572"/>
    <x v="0"/>
    <m/>
    <m/>
  </r>
  <r>
    <m/>
    <m/>
    <d v="2019-09-04T00:00:00"/>
    <s v="VZ-2019-000954"/>
    <x v="5"/>
    <s v="Ondráčková"/>
    <x v="356"/>
    <n v="1"/>
    <s v="Kobimetinib fumarát 2019 "/>
    <m/>
    <s v="33652000-5 "/>
    <m/>
    <n v="1483941"/>
    <x v="2"/>
    <d v="2019-09-10T00:00:00"/>
    <d v="2019-09-19T00:00:00"/>
    <d v="2019-10-03T00:00:00"/>
    <s v="ROCHE s.r.o."/>
    <m/>
    <n v="1483940.64"/>
    <n v="1632334.7039999999"/>
    <m/>
    <m/>
    <m/>
    <d v="2019-10-04T00:00:00"/>
    <s v="SMLN-2019-617-000476"/>
    <x v="141"/>
    <d v="2019-10-25T00:00:00"/>
    <d v="2021-10-22T00:00:00"/>
  </r>
  <r>
    <m/>
    <m/>
    <d v="2019-09-05T00:00:00"/>
    <s v="VZ-2019-000960"/>
    <x v="7"/>
    <s v="Vzatek"/>
    <x v="357"/>
    <m/>
    <m/>
    <m/>
    <s v="71000000-8"/>
    <m/>
    <n v="1000000"/>
    <x v="2"/>
    <d v="2019-09-19T00:00:00"/>
    <d v="2019-10-01T00:00:00"/>
    <d v="2019-10-17T00:00:00"/>
    <s v="LT PROJEKT a.s."/>
    <m/>
    <n v="1900000"/>
    <n v="2299000"/>
    <m/>
    <m/>
    <m/>
    <d v="2019-10-17T00:00:00"/>
    <s v="SMLN-2019-618-000086"/>
    <x v="103"/>
    <d v="2019-11-14T00:00:00"/>
    <d v="2020-03-12T00:00:00"/>
  </r>
  <r>
    <m/>
    <m/>
    <d v="2019-09-02T00:00:00"/>
    <s v="VZ-2019-000964"/>
    <x v="5"/>
    <s v="Ondráčková"/>
    <x v="358"/>
    <n v="1"/>
    <s v="Fampridin"/>
    <m/>
    <s v="33661700-8"/>
    <m/>
    <n v="281451.32"/>
    <x v="2"/>
    <d v="2019-09-10T00:00:00"/>
    <d v="2019-09-17T00:00:00"/>
    <d v="2019-10-03T00:00:00"/>
    <s v="Avenier a.s."/>
    <m/>
    <n v="280965.8"/>
    <n v="309062.38"/>
    <m/>
    <m/>
    <m/>
    <d v="2019-10-04T00:00:00"/>
    <s v="SMLN-2019-617-000481"/>
    <x v="142"/>
    <d v="2019-11-01T00:00:00"/>
    <d v="2021-10-16T00:00:00"/>
  </r>
  <r>
    <m/>
    <m/>
    <d v="2019-09-02T00:00:00"/>
    <s v="VZ-2019-000964"/>
    <x v="5"/>
    <s v="Ondráčková"/>
    <x v="358"/>
    <n v="2"/>
    <s v="Tetrabenazin"/>
    <m/>
    <s v="33661700-8"/>
    <m/>
    <n v="310234.06"/>
    <x v="2"/>
    <d v="2019-09-10T00:00:00"/>
    <d v="2019-09-17T00:00:00"/>
    <d v="2019-10-03T00:00:00"/>
    <s v="Alliance Healthcare s.r.o."/>
    <m/>
    <n v="310202.88"/>
    <n v="341223.17"/>
    <m/>
    <m/>
    <m/>
    <d v="2019-10-04T00:00:00"/>
    <s v="SMLN-2019-617-000482"/>
    <x v="143"/>
    <d v="2019-11-19T00:00:00"/>
    <d v="2021-11-14T00:00:00"/>
  </r>
  <r>
    <m/>
    <m/>
    <d v="2019-09-02T00:00:00"/>
    <s v="VZ-2019-000964"/>
    <x v="5"/>
    <s v="Ondráčková"/>
    <x v="358"/>
    <n v="3"/>
    <s v="Riluzol"/>
    <m/>
    <s v="33661700-8"/>
    <m/>
    <n v="470333.4"/>
    <x v="2"/>
    <d v="2019-09-10T00:00:00"/>
    <d v="2019-09-17T00:00:00"/>
    <d v="2019-10-03T00:00:00"/>
    <s v="PHARMOS, a.s."/>
    <m/>
    <n v="397633.32"/>
    <n v="437396.65"/>
    <m/>
    <m/>
    <m/>
    <d v="2019-10-04T00:00:00"/>
    <s v="SMLN-2019-617-000483"/>
    <x v="142"/>
    <d v="2019-11-01T00:00:00"/>
    <d v="2021-10-16T00:00:00"/>
  </r>
  <r>
    <m/>
    <m/>
    <d v="2019-09-06T00:00:00"/>
    <s v="VZ-2019-000968"/>
    <x v="4"/>
    <s v="Srovnal"/>
    <x v="359"/>
    <m/>
    <m/>
    <m/>
    <s v="71200000-0"/>
    <m/>
    <n v="580000"/>
    <x v="2"/>
    <d v="2019-09-13T00:00:00"/>
    <d v="2019-09-19T00:00:00"/>
    <d v="2019-09-26T00:00:00"/>
    <s v="Ing. Zdeněk Smolka"/>
    <m/>
    <n v="626900"/>
    <n v="758549"/>
    <m/>
    <m/>
    <m/>
    <d v="2019-09-26T00:00:00"/>
    <s v="SMLN-2019-618-000083"/>
    <x v="120"/>
    <d v="2019-10-22T00:00:00"/>
    <d v="2020-01-19T00:00:00"/>
  </r>
  <r>
    <m/>
    <m/>
    <d v="2019-09-09T00:00:00"/>
    <s v="VZ-2019-000979"/>
    <x v="3"/>
    <s v="Smrčková"/>
    <x v="360"/>
    <m/>
    <m/>
    <m/>
    <s v="39120000-9"/>
    <m/>
    <n v="990000"/>
    <x v="0"/>
    <d v="2019-10-02T00:00:00"/>
    <d v="2019-10-29T00:00:00"/>
    <d v="2019-11-18T00:00:00"/>
    <s v="KSK Nábytek s.r.o."/>
    <m/>
    <n v="1209763"/>
    <n v="1463813.23"/>
    <m/>
    <m/>
    <m/>
    <d v="2019-11-18T00:00:00"/>
    <s v="SMLN-2019-618-000100"/>
    <x v="0"/>
    <m/>
    <m/>
  </r>
  <r>
    <m/>
    <m/>
    <d v="2019-09-10T00:00:00"/>
    <s v="VZ-2019-000980"/>
    <x v="16"/>
    <s v="Vaida"/>
    <x v="361"/>
    <m/>
    <m/>
    <m/>
    <s v="32570000-9"/>
    <m/>
    <n v="350000"/>
    <x v="2"/>
    <d v="2019-09-16T00:00:00"/>
    <d v="2019-09-24T00:00:00"/>
    <d v="2019-09-26T00:00:00"/>
    <s v="CODACO ELECTRONIC s.r.o."/>
    <m/>
    <n v="326999.83"/>
    <n v="395669.79"/>
    <m/>
    <m/>
    <m/>
    <d v="2019-09-26T00:00:00"/>
    <s v="SMLN-2019-618-000085"/>
    <x v="133"/>
    <d v="2019-10-21T00:00:00"/>
    <d v="2019-11-19T00:00:00"/>
  </r>
  <r>
    <m/>
    <m/>
    <d v="2019-09-10T00:00:00"/>
    <s v="VZ-2019-000981"/>
    <x v="16"/>
    <s v="Vaida"/>
    <x v="362"/>
    <m/>
    <m/>
    <m/>
    <s v="45432210-9 "/>
    <m/>
    <n v="600000"/>
    <x v="2"/>
    <d v="2019-10-01T00:00:00"/>
    <d v="2019-10-10T00:00:00"/>
    <d v="2019-10-17T00:00:00"/>
    <s v="INVISTA Craft s.r.o."/>
    <m/>
    <n v="545847"/>
    <n v="660475"/>
    <m/>
    <m/>
    <m/>
    <d v="2019-10-17T00:00:00"/>
    <s v="SMLN-2019-617-000510"/>
    <x v="144"/>
    <d v="2019-12-19T00:00:00"/>
    <d v="2020-02-02T00:00:00"/>
  </r>
  <r>
    <m/>
    <m/>
    <s v="opakovaná VZ"/>
    <s v="VZ-2019-000982"/>
    <x v="0"/>
    <s v="Čech"/>
    <x v="363"/>
    <m/>
    <m/>
    <m/>
    <s v="33140000-3"/>
    <m/>
    <n v="1484500"/>
    <x v="1"/>
    <d v="2019-10-31T00:00:00"/>
    <d v="2019-11-25T00:00:00"/>
    <m/>
    <s v="zrušeno - překročení ceny"/>
    <m/>
    <m/>
    <m/>
    <m/>
    <m/>
    <m/>
    <m/>
    <m/>
    <x v="0"/>
    <d v="2019-11-28T00:00:00"/>
    <s v="25.11. zrušení na podpis"/>
  </r>
  <r>
    <m/>
    <m/>
    <d v="2019-09-06T00:00:00"/>
    <s v="VZ-2019-000984"/>
    <x v="2"/>
    <s v="Neudörflerová"/>
    <x v="364"/>
    <m/>
    <m/>
    <m/>
    <s v="33124120-2"/>
    <m/>
    <n v="1672092.56"/>
    <x v="0"/>
    <d v="2019-09-27T00:00:00"/>
    <d v="2019-10-29T00:00:00"/>
    <d v="2019-11-27T00:00:00"/>
    <s v="BIONIK Stapro Group s.r.o."/>
    <m/>
    <n v="1515550"/>
    <n v="1833815.5"/>
    <m/>
    <m/>
    <m/>
    <d v="2019-11-28T00:00:00"/>
    <s v="SMLN-2019-617-000604_x000a_SMLN-2019-612-000161"/>
    <x v="0"/>
    <m/>
    <m/>
  </r>
  <r>
    <m/>
    <m/>
    <d v="2019-09-06T00:00:00"/>
    <s v="VZ-2019-000986"/>
    <x v="2"/>
    <s v="Neudörflerová"/>
    <x v="365"/>
    <n v="1"/>
    <s v="Fototerapeutická jednotka"/>
    <m/>
    <s v="33190000-8"/>
    <m/>
    <n v="165495.85999999999"/>
    <x v="0"/>
    <d v="2019-09-27T00:00:00"/>
    <d v="2019-10-30T00:00:00"/>
    <m/>
    <s v="zrušeno - bez nabídky"/>
    <m/>
    <m/>
    <m/>
    <m/>
    <m/>
    <m/>
    <m/>
    <m/>
    <x v="0"/>
    <d v="2019-11-05T00:00:00"/>
    <s v="4.11. zrušeno"/>
  </r>
  <r>
    <m/>
    <m/>
    <d v="2019-09-06T00:00:00"/>
    <s v="VZ-2019-000986"/>
    <x v="2"/>
    <s v="Neudörflerová"/>
    <x v="365"/>
    <n v="2"/>
    <s v="Fototerapeutická jednotka mobilní"/>
    <m/>
    <s v="33190000-8"/>
    <m/>
    <n v="197923.96"/>
    <x v="0"/>
    <d v="2019-09-27T00:00:00"/>
    <d v="2019-10-30T00:00:00"/>
    <d v="2019-10-31T00:00:00"/>
    <s v="S+T Plus s.r.o."/>
    <m/>
    <n v="206088"/>
    <n v="249366.48"/>
    <m/>
    <m/>
    <m/>
    <d v="2019-10-31T00:00:00"/>
    <s v="SMLN-2019-617-000547_x000a_SMLN-2019-612-000140"/>
    <x v="139"/>
    <d v="2019-12-12T00:00:00"/>
    <d v="2020-02-05T00:00:00"/>
  </r>
  <r>
    <m/>
    <m/>
    <d v="2019-09-06T00:00:00"/>
    <s v="VZ-2019-000986"/>
    <x v="2"/>
    <s v="Neudörflerová"/>
    <x v="365"/>
    <n v="3"/>
    <s v="Fototerapeutická jednotka mobilní – kompaktní lampa"/>
    <m/>
    <s v="33190000-8"/>
    <m/>
    <n v="154571.9"/>
    <x v="0"/>
    <d v="2019-09-27T00:00:00"/>
    <d v="2019-10-30T00:00:00"/>
    <d v="2019-10-31T00:00:00"/>
    <s v="S+T Plus s.r.o."/>
    <m/>
    <n v="162960"/>
    <n v="197181.6"/>
    <m/>
    <m/>
    <m/>
    <d v="2019-10-31T00:00:00"/>
    <s v="SMLN-2019-617-000548_x000a_SMLN-2019-612-000141"/>
    <x v="139"/>
    <d v="2019-12-12T00:00:00"/>
    <d v="2020-02-05T00:00:00"/>
  </r>
  <r>
    <m/>
    <m/>
    <d v="2019-09-06T00:00:00"/>
    <s v="VZ-2019-000987"/>
    <x v="2"/>
    <s v="Neudörflerová"/>
    <x v="366"/>
    <n v="1"/>
    <s v="Instrumentárium porodní "/>
    <m/>
    <s v="33169000-2 "/>
    <m/>
    <n v="941148.76"/>
    <x v="0"/>
    <d v="2019-09-27T00:00:00"/>
    <d v="2019-12-02T00:00:00"/>
    <d v="2019-12-19T00:00:00"/>
    <s v="MEDILAB s.r.o."/>
    <m/>
    <n v="649378.56000000006"/>
    <n v="785748.05760000006"/>
    <m/>
    <m/>
    <m/>
    <d v="2019-12-19T00:00:00"/>
    <s v="SMLN-2019-617-000659"/>
    <x v="0"/>
    <m/>
    <m/>
  </r>
  <r>
    <m/>
    <m/>
    <d v="2019-09-06T00:00:00"/>
    <s v="VZ-2019-000987"/>
    <x v="2"/>
    <s v="Neudörflerová"/>
    <x v="366"/>
    <n v="2"/>
    <s v="Instrumentárium pro císařský řez"/>
    <m/>
    <s v="33169000-2 "/>
    <m/>
    <n v="182823.14"/>
    <x v="0"/>
    <d v="2019-09-27T00:00:00"/>
    <d v="2019-12-02T00:00:00"/>
    <d v="2019-12-19T00:00:00"/>
    <s v="LaparoTech Instruments s.r.o."/>
    <m/>
    <n v="119000"/>
    <n v="143990"/>
    <m/>
    <m/>
    <m/>
    <d v="2019-12-19T00:00:00"/>
    <s v="SMLN-2019-617-000660"/>
    <x v="0"/>
    <m/>
    <m/>
  </r>
  <r>
    <m/>
    <m/>
    <d v="2019-09-13T00:00:00"/>
    <s v="VZ-2019-000995"/>
    <x v="7"/>
    <s v="Spáčil"/>
    <x v="367"/>
    <m/>
    <m/>
    <m/>
    <s v="34923000-3"/>
    <s v="4.3.1."/>
    <n v="11500000"/>
    <x v="0"/>
    <d v="2019-10-02T00:00:00"/>
    <d v="2019-11-06T00:00:00"/>
    <d v="2019-12-13T00:00:00"/>
    <s v="Green Center s.r.o."/>
    <m/>
    <n v="11475709"/>
    <n v="13885607.890000001"/>
    <m/>
    <m/>
    <m/>
    <d v="2019-12-17T00:00:00"/>
    <s v="SMLN-2019-618-000113_x000a_SMLN-2019-612-000167"/>
    <x v="0"/>
    <m/>
    <m/>
  </r>
  <r>
    <m/>
    <m/>
    <d v="2019-09-13T00:00:00"/>
    <s v="VZ-2019-000997"/>
    <x v="5"/>
    <s v="Ondráčková"/>
    <x v="368"/>
    <m/>
    <s v="VZ-2020-000055"/>
    <m/>
    <s v="33141625-7"/>
    <m/>
    <n v="1440000"/>
    <x v="2"/>
    <m/>
    <m/>
    <m/>
    <m/>
    <m/>
    <m/>
    <m/>
    <m/>
    <m/>
    <m/>
    <m/>
    <m/>
    <x v="0"/>
    <m/>
    <m/>
  </r>
  <r>
    <m/>
    <m/>
    <d v="2019-09-17T00:00:00"/>
    <s v="VZ-2019-001005"/>
    <x v="0"/>
    <s v="Dočkalová"/>
    <x v="369"/>
    <m/>
    <m/>
    <m/>
    <s v="33140000-3"/>
    <m/>
    <n v="725000"/>
    <x v="2"/>
    <d v="2019-09-25T00:00:00"/>
    <d v="2019-10-08T00:00:00"/>
    <d v="2019-10-29T00:00:00"/>
    <s v="BS PRAGUE MEDICAL CS, spol. s r.o."/>
    <m/>
    <n v="630000"/>
    <n v="762300"/>
    <m/>
    <m/>
    <m/>
    <d v="2019-10-30T00:00:00"/>
    <s v="SMLN-2019-617-000533_x000a_SMLN-2019-612-000131"/>
    <x v="88"/>
    <d v="2019-12-02T00:00:00"/>
    <d v="2021-11-24T00:00:00"/>
  </r>
  <r>
    <m/>
    <m/>
    <d v="2019-09-06T00:00:00"/>
    <s v="VZ-2019-001011"/>
    <x v="0"/>
    <s v="Dočkalová"/>
    <x v="370"/>
    <m/>
    <m/>
    <m/>
    <s v="33140000-3"/>
    <m/>
    <n v="285180"/>
    <x v="2"/>
    <d v="2019-09-24T00:00:00"/>
    <d v="2019-10-04T00:00:00"/>
    <m/>
    <m/>
    <m/>
    <m/>
    <m/>
    <m/>
    <m/>
    <m/>
    <m/>
    <m/>
    <x v="0"/>
    <m/>
    <m/>
  </r>
  <r>
    <m/>
    <m/>
    <s v="bez formuláře"/>
    <s v="VZ-2019-001019"/>
    <x v="6"/>
    <s v="Rosulek"/>
    <x v="371"/>
    <n v="1"/>
    <s v="VZ-2020-000033"/>
    <m/>
    <s v="33161000-6"/>
    <s v="2.3.377."/>
    <n v="3245000"/>
    <x v="0"/>
    <m/>
    <m/>
    <m/>
    <m/>
    <m/>
    <m/>
    <m/>
    <m/>
    <m/>
    <m/>
    <m/>
    <m/>
    <x v="0"/>
    <m/>
    <m/>
  </r>
  <r>
    <m/>
    <m/>
    <s v="bez formuláře"/>
    <s v="VZ-2019-001019"/>
    <x v="6"/>
    <s v="Rosulek"/>
    <x v="371"/>
    <n v="2"/>
    <s v="VZ-2020-000033"/>
    <m/>
    <s v="33161000-6"/>
    <s v="2.2.234., 2.3.370."/>
    <n v="1730000"/>
    <x v="0"/>
    <m/>
    <m/>
    <m/>
    <m/>
    <m/>
    <m/>
    <m/>
    <m/>
    <m/>
    <m/>
    <m/>
    <m/>
    <x v="0"/>
    <m/>
    <m/>
  </r>
  <r>
    <m/>
    <m/>
    <d v="2019-09-25T00:00:00"/>
    <s v="VZ-2019-001020"/>
    <x v="6"/>
    <s v="Rosulek"/>
    <x v="372"/>
    <m/>
    <m/>
    <m/>
    <s v="33157400-9"/>
    <s v="2.3.119."/>
    <n v="1134000"/>
    <x v="2"/>
    <d v="2019-09-26T00:00:00"/>
    <d v="2019-10-04T00:00:00"/>
    <m/>
    <s v="zrušeno - bez nabídky, nová VZ-2019-001071"/>
    <m/>
    <m/>
    <m/>
    <m/>
    <m/>
    <m/>
    <m/>
    <m/>
    <x v="0"/>
    <d v="2019-10-04T00:00:00"/>
    <m/>
  </r>
  <r>
    <m/>
    <m/>
    <d v="2019-09-25T00:00:00"/>
    <s v="VZ-2019-001021"/>
    <x v="6"/>
    <s v="Rosulek"/>
    <x v="373"/>
    <m/>
    <m/>
    <m/>
    <s v="33158000-2"/>
    <s v="2.2.194."/>
    <n v="2670000"/>
    <x v="1"/>
    <d v="2019-10-07T00:00:00"/>
    <d v="2019-10-25T00:00:00"/>
    <d v="2019-12-11T00:00:00"/>
    <s v="Boston Scientific Česká Republika s.r.o."/>
    <m/>
    <n v="2668900"/>
    <n v="3229369"/>
    <m/>
    <m/>
    <m/>
    <d v="2019-12-12T00:00:00"/>
    <s v="SMLN-2019-617-000637_x000a_SMLN-2019-612-000165"/>
    <x v="0"/>
    <m/>
    <m/>
  </r>
  <r>
    <m/>
    <m/>
    <d v="2019-09-25T00:00:00"/>
    <s v="VZ-2019-001022"/>
    <x v="6"/>
    <s v="Rosulek"/>
    <x v="374"/>
    <m/>
    <m/>
    <m/>
    <s v="33910000-2"/>
    <s v="2.3.403."/>
    <n v="305000"/>
    <x v="2"/>
    <d v="2019-10-02T00:00:00"/>
    <d v="2019-10-15T00:00:00"/>
    <d v="2019-11-05T00:00:00"/>
    <s v="BARIA s.r.o."/>
    <m/>
    <n v="290770"/>
    <n v="351831.7"/>
    <m/>
    <m/>
    <m/>
    <d v="2019-11-05T00:00:00"/>
    <s v="SMLN-2019-617-000554_x000a_SMLN-2019-612-000146"/>
    <x v="136"/>
    <d v="2019-12-11T00:00:00"/>
    <d v="2020-01-14T00:00:00"/>
  </r>
  <r>
    <m/>
    <m/>
    <d v="2019-09-25T00:00:00"/>
    <s v="VZ-2019-001023"/>
    <x v="6"/>
    <s v="Rosulek"/>
    <x v="375"/>
    <m/>
    <m/>
    <m/>
    <s v="33153000-7"/>
    <s v="2.3.369."/>
    <n v="1138000"/>
    <x v="2"/>
    <d v="2019-09-26T00:00:00"/>
    <d v="2019-10-04T00:00:00"/>
    <d v="2019-10-30T00:00:00"/>
    <s v="Olympus Czech Group, s.r.o."/>
    <m/>
    <n v="906662"/>
    <n v="1097061.02"/>
    <m/>
    <m/>
    <m/>
    <d v="2019-10-30T00:00:00"/>
    <s v="SMLN-2019-617-000534_x000a_SMLN-2019-612-000132"/>
    <x v="88"/>
    <d v="2019-12-02T00:00:00"/>
    <d v="2020-01-24T00:00:00"/>
  </r>
  <r>
    <m/>
    <m/>
    <d v="2019-09-23T00:00:00"/>
    <s v="VZ-2019-001027"/>
    <x v="0"/>
    <s v="Dočkalová"/>
    <x v="376"/>
    <m/>
    <s v="VZ-2020-000160"/>
    <m/>
    <s v="33141310-6"/>
    <m/>
    <n v="11160000"/>
    <x v="0"/>
    <m/>
    <m/>
    <m/>
    <m/>
    <m/>
    <m/>
    <m/>
    <m/>
    <m/>
    <m/>
    <m/>
    <m/>
    <x v="0"/>
    <m/>
    <m/>
  </r>
  <r>
    <m/>
    <m/>
    <d v="2019-09-23T00:00:00"/>
    <s v="VZ-2019-001028"/>
    <x v="5"/>
    <s v="Ondráčková"/>
    <x v="377"/>
    <n v="1"/>
    <s v="Thymoglobuline"/>
    <m/>
    <s v="33652300-8"/>
    <m/>
    <n v="5455972"/>
    <x v="0"/>
    <d v="2019-10-30T00:00:00"/>
    <d v="2019-12-02T00:00:00"/>
    <m/>
    <m/>
    <m/>
    <m/>
    <m/>
    <m/>
    <m/>
    <m/>
    <m/>
    <m/>
    <x v="0"/>
    <m/>
    <m/>
  </r>
  <r>
    <m/>
    <m/>
    <d v="2019-09-23T00:00:00"/>
    <s v="VZ-2019-001028"/>
    <x v="5"/>
    <s v="Ondráčková"/>
    <x v="377"/>
    <n v="2"/>
    <s v="Tofacitinib-citrát"/>
    <m/>
    <s v="33652300-8"/>
    <m/>
    <n v="780222"/>
    <x v="0"/>
    <d v="2019-10-30T00:00:00"/>
    <d v="2019-12-02T00:00:00"/>
    <m/>
    <m/>
    <m/>
    <m/>
    <m/>
    <m/>
    <m/>
    <m/>
    <m/>
    <m/>
    <x v="0"/>
    <m/>
    <m/>
  </r>
  <r>
    <m/>
    <m/>
    <d v="2019-09-23T00:00:00"/>
    <s v="VZ-2019-001028"/>
    <x v="5"/>
    <s v="Ondráčková"/>
    <x v="377"/>
    <n v="3"/>
    <s v="Barcitinib"/>
    <m/>
    <s v="33652300-8"/>
    <m/>
    <n v="2461943"/>
    <x v="0"/>
    <d v="2019-10-30T00:00:00"/>
    <d v="2019-12-02T00:00:00"/>
    <m/>
    <s v="zrušeno - bez nabídky"/>
    <m/>
    <m/>
    <m/>
    <m/>
    <m/>
    <m/>
    <m/>
    <m/>
    <x v="0"/>
    <d v="2020-01-16T00:00:00"/>
    <s v="3.1.2020 zrušeno"/>
  </r>
  <r>
    <m/>
    <m/>
    <d v="2019-09-23T00:00:00"/>
    <s v="VZ-2019-001028"/>
    <x v="5"/>
    <s v="Ondráčková"/>
    <x v="377"/>
    <n v="4"/>
    <s v="Kladribin"/>
    <m/>
    <s v="33652300-8"/>
    <m/>
    <n v="20852269"/>
    <x v="0"/>
    <d v="2019-10-30T00:00:00"/>
    <d v="2019-12-02T00:00:00"/>
    <m/>
    <s v="zrušeno - bez nabídky"/>
    <m/>
    <m/>
    <m/>
    <m/>
    <m/>
    <m/>
    <m/>
    <m/>
    <x v="0"/>
    <d v="2020-01-16T00:00:00"/>
    <s v="3.1.2020 zrušeno"/>
  </r>
  <r>
    <m/>
    <m/>
    <d v="2019-09-23T00:00:00"/>
    <s v="VZ-2019-001028"/>
    <x v="5"/>
    <s v="Ondráčková"/>
    <x v="377"/>
    <n v="5"/>
    <s v="Leflunopharm"/>
    <m/>
    <s v="33652300-8"/>
    <m/>
    <n v="300491"/>
    <x v="0"/>
    <d v="2019-10-30T00:00:00"/>
    <d v="2019-12-02T00:00:00"/>
    <m/>
    <m/>
    <m/>
    <m/>
    <m/>
    <m/>
    <m/>
    <m/>
    <m/>
    <m/>
    <x v="0"/>
    <m/>
    <m/>
  </r>
  <r>
    <m/>
    <m/>
    <d v="2019-09-23T00:00:00"/>
    <s v="VZ-2019-001030"/>
    <x v="5"/>
    <s v="Ondráčková"/>
    <x v="378"/>
    <n v="1"/>
    <s v="Duodopa"/>
    <m/>
    <s v="33661400-5"/>
    <m/>
    <n v="21227976"/>
    <x v="0"/>
    <d v="2019-10-22T00:00:00"/>
    <d v="2019-11-28T00:00:00"/>
    <m/>
    <s v="PHOENIX lékárenský velkoobchod, s.r.o."/>
    <m/>
    <n v="21226705.920000002"/>
    <n v="23349376.510000002"/>
    <m/>
    <m/>
    <m/>
    <m/>
    <m/>
    <x v="0"/>
    <m/>
    <m/>
  </r>
  <r>
    <m/>
    <m/>
    <d v="2019-09-23T00:00:00"/>
    <s v="VZ-2019-001030"/>
    <x v="5"/>
    <s v="Ondráčková"/>
    <x v="378"/>
    <n v="2"/>
    <s v="Isicom"/>
    <m/>
    <s v="33661400-5"/>
    <m/>
    <n v="1061705"/>
    <x v="0"/>
    <d v="2019-10-22T00:00:00"/>
    <d v="2019-11-28T00:00:00"/>
    <m/>
    <s v="PHARMOS a.s."/>
    <m/>
    <n v="1057645.1599999999"/>
    <n v="1163409.68"/>
    <m/>
    <m/>
    <m/>
    <m/>
    <m/>
    <x v="0"/>
    <m/>
    <m/>
  </r>
  <r>
    <m/>
    <m/>
    <d v="2019-09-23T00:00:00"/>
    <s v="VZ-2019-001030"/>
    <x v="5"/>
    <s v="Ondráčková"/>
    <x v="378"/>
    <n v="3"/>
    <s v="Madopar"/>
    <m/>
    <s v="33661400-5"/>
    <m/>
    <n v="65635"/>
    <x v="0"/>
    <d v="2019-10-22T00:00:00"/>
    <d v="2019-11-28T00:00:00"/>
    <m/>
    <s v="PHARMOS a.s."/>
    <m/>
    <n v="65363.72"/>
    <n v="71900.09"/>
    <m/>
    <m/>
    <m/>
    <m/>
    <m/>
    <x v="0"/>
    <m/>
    <m/>
  </r>
  <r>
    <m/>
    <m/>
    <d v="2019-09-23T00:00:00"/>
    <s v="VZ-2019-001030"/>
    <x v="5"/>
    <s v="Ondráčková"/>
    <x v="378"/>
    <n v="4"/>
    <s v="Nakom Mite"/>
    <m/>
    <s v="33661400-5"/>
    <m/>
    <n v="335356"/>
    <x v="0"/>
    <d v="2019-10-22T00:00:00"/>
    <d v="2019-11-28T00:00:00"/>
    <m/>
    <s v="zrušeno - bez nabídky"/>
    <m/>
    <m/>
    <m/>
    <m/>
    <m/>
    <m/>
    <m/>
    <m/>
    <x v="0"/>
    <d v="2020-01-03T00:00:00"/>
    <s v="6.12. zrušeno"/>
  </r>
  <r>
    <m/>
    <m/>
    <d v="2019-09-23T00:00:00"/>
    <s v="VZ-2019-001030"/>
    <x v="5"/>
    <s v="Ondráčková"/>
    <x v="378"/>
    <n v="5"/>
    <s v="Nakom  "/>
    <m/>
    <s v="33661400-5"/>
    <m/>
    <n v="205618"/>
    <x v="0"/>
    <d v="2019-10-22T00:00:00"/>
    <d v="2019-11-28T00:00:00"/>
    <m/>
    <s v="zrušeno - bez nabídky"/>
    <m/>
    <m/>
    <m/>
    <m/>
    <m/>
    <m/>
    <m/>
    <m/>
    <x v="0"/>
    <d v="2020-01-03T00:00:00"/>
    <s v="6.12. zrušeno"/>
  </r>
  <r>
    <m/>
    <m/>
    <d v="2019-09-24T00:00:00"/>
    <s v="VZ-2019-001041"/>
    <x v="20"/>
    <s v="Kotzot"/>
    <x v="379"/>
    <m/>
    <m/>
    <m/>
    <s v="71631000-0"/>
    <m/>
    <n v="800000"/>
    <x v="2"/>
    <m/>
    <m/>
    <m/>
    <m/>
    <m/>
    <m/>
    <m/>
    <m/>
    <m/>
    <m/>
    <m/>
    <m/>
    <x v="0"/>
    <m/>
    <m/>
  </r>
  <r>
    <m/>
    <m/>
    <d v="2019-09-25T00:00:00"/>
    <s v="VZ-2019-001044"/>
    <x v="4"/>
    <s v="Srovnal"/>
    <x v="380"/>
    <m/>
    <m/>
    <m/>
    <s v="38430000-8"/>
    <m/>
    <n v="1000000"/>
    <x v="2"/>
    <d v="2019-10-01T00:00:00"/>
    <d v="2019-10-11T00:00:00"/>
    <d v="2019-10-18T00:00:00"/>
    <s v="Dräger Medical s.r.o."/>
    <m/>
    <n v="930000"/>
    <n v="1125300"/>
    <m/>
    <m/>
    <m/>
    <d v="2019-10-21T00:00:00"/>
    <s v="SMLN-2019-617-000526"/>
    <x v="134"/>
    <d v="2019-11-22T00:00:00"/>
    <d v="2020-01-28T00:00:00"/>
  </r>
  <r>
    <m/>
    <m/>
    <d v="2019-09-27T00:00:00"/>
    <s v="VZ-2019-001048"/>
    <x v="16"/>
    <s v="Vaida"/>
    <x v="381"/>
    <n v="1"/>
    <s v="Oprava střešního pláště na hale RZH na Tabulovém vrchu"/>
    <m/>
    <s v="45261910-6"/>
    <m/>
    <n v="1350000"/>
    <x v="2"/>
    <d v="2019-10-01T00:00:00"/>
    <d v="2019-10-09T00:00:00"/>
    <d v="2019-10-17T00:00:00"/>
    <s v="VESTAV group s.r.o."/>
    <m/>
    <n v="941441.02"/>
    <n v="1139143.6299999999"/>
    <m/>
    <m/>
    <m/>
    <d v="2019-10-17T00:00:00"/>
    <s v="SMLN-2019-618-000088"/>
    <x v="103"/>
    <d v="2019-11-14T00:00:00"/>
    <d v="2019-12-24T00:00:00"/>
  </r>
  <r>
    <m/>
    <m/>
    <d v="2019-09-27T00:00:00"/>
    <s v="VZ-2019-001048"/>
    <x v="16"/>
    <s v="Vaida"/>
    <x v="381"/>
    <n v="2"/>
    <s v="Oprava střešního pláště na garážích RZJ na Tabulovém vrchu"/>
    <m/>
    <s v="45261910-6"/>
    <m/>
    <n v="690000"/>
    <x v="2"/>
    <d v="2019-10-01T00:00:00"/>
    <d v="2019-10-09T00:00:00"/>
    <d v="2019-10-17T00:00:00"/>
    <s v="SOPAT CZ, spol. s r.o."/>
    <m/>
    <n v="394177.04"/>
    <n v="476954.22"/>
    <m/>
    <m/>
    <m/>
    <d v="2019-10-17T00:00:00"/>
    <s v="SMLN-2019-618-000087"/>
    <x v="123"/>
    <d v="2019-11-12T00:00:00"/>
    <d v="2019-12-16T00:00:00"/>
  </r>
  <r>
    <m/>
    <m/>
    <d v="2019-10-01T00:00:00"/>
    <s v="VZ-2019-001052"/>
    <x v="6"/>
    <s v="Rosulek"/>
    <x v="382"/>
    <m/>
    <m/>
    <m/>
    <s v="33160000-9"/>
    <s v="2.2.241."/>
    <n v="1300000"/>
    <x v="2"/>
    <d v="2019-10-04T00:00:00"/>
    <d v="2019-10-17T00:00:00"/>
    <d v="2019-11-12T00:00:00"/>
    <s v="Ing. Aleš Závorka"/>
    <m/>
    <n v="1293268"/>
    <n v="1564854.28"/>
    <m/>
    <m/>
    <m/>
    <d v="2019-11-13T00:00:00"/>
    <s v="SMLN-2019-617-000570_x000a_SMLN-2019-612-000154"/>
    <x v="145"/>
    <d v="2019-12-09T00:00:00"/>
    <d v="2020-01-03T00:00:00"/>
  </r>
  <r>
    <m/>
    <m/>
    <d v="2019-10-01T00:00:00"/>
    <s v="VZ-2019-001053"/>
    <x v="6"/>
    <s v="Rosulek"/>
    <x v="383"/>
    <m/>
    <m/>
    <m/>
    <s v="33123220-6"/>
    <s v="2.3.302."/>
    <n v="37230000"/>
    <x v="0"/>
    <m/>
    <m/>
    <m/>
    <m/>
    <m/>
    <m/>
    <m/>
    <m/>
    <m/>
    <m/>
    <m/>
    <m/>
    <x v="0"/>
    <m/>
    <m/>
  </r>
  <r>
    <m/>
    <m/>
    <d v="2019-10-01T00:00:00"/>
    <s v="VZ-2019-001056"/>
    <x v="3"/>
    <s v="Smrčková"/>
    <x v="384"/>
    <m/>
    <m/>
    <m/>
    <s v="33141620-2"/>
    <m/>
    <n v="2735780"/>
    <x v="1"/>
    <d v="2019-12-12T00:00:00"/>
    <d v="2020-01-16T00:00:00"/>
    <m/>
    <m/>
    <m/>
    <m/>
    <m/>
    <m/>
    <m/>
    <m/>
    <m/>
    <m/>
    <x v="0"/>
    <m/>
    <m/>
  </r>
  <r>
    <m/>
    <m/>
    <d v="2019-10-25T00:00:00"/>
    <s v="VZ-2019-001058"/>
    <x v="1"/>
    <s v="Oravec"/>
    <x v="385"/>
    <m/>
    <m/>
    <m/>
    <s v="30213500-0"/>
    <s v="3.2.36."/>
    <n v="3383400"/>
    <x v="1"/>
    <d v="2019-12-12T00:00:00"/>
    <d v="2020-01-09T00:00:00"/>
    <m/>
    <m/>
    <m/>
    <m/>
    <m/>
    <m/>
    <m/>
    <m/>
    <m/>
    <m/>
    <x v="0"/>
    <m/>
    <m/>
  </r>
  <r>
    <m/>
    <m/>
    <d v="2019-10-02T00:00:00"/>
    <s v="VZ-2019-001060"/>
    <x v="19"/>
    <s v="Odehnalová"/>
    <x v="386"/>
    <m/>
    <m/>
    <m/>
    <s v="55110000-4"/>
    <m/>
    <n v="500000"/>
    <x v="2"/>
    <d v="2019-10-08T00:00:00"/>
    <d v="2019-10-15T00:00:00"/>
    <d v="2019-10-22T00:00:00"/>
    <s v="Marie Hrochová"/>
    <m/>
    <n v="479338.84297520661"/>
    <n v="580000"/>
    <m/>
    <m/>
    <m/>
    <d v="2019-10-22T00:00:00"/>
    <s v="SMLN-2019-612-000127"/>
    <x v="146"/>
    <d v="2019-11-04T00:00:00"/>
    <d v="2019-11-29T00:00:00"/>
  </r>
  <r>
    <m/>
    <m/>
    <d v="2019-10-02T00:00:00"/>
    <s v="VZ-2019-001061"/>
    <x v="0"/>
    <s v="Dočkalová"/>
    <x v="387"/>
    <m/>
    <s v="VZ-2020-000032"/>
    <m/>
    <s v="33140000-3"/>
    <m/>
    <n v="4382693"/>
    <x v="0"/>
    <m/>
    <m/>
    <m/>
    <m/>
    <m/>
    <m/>
    <m/>
    <m/>
    <m/>
    <m/>
    <m/>
    <m/>
    <x v="0"/>
    <m/>
    <m/>
  </r>
  <r>
    <m/>
    <m/>
    <d v="2019-10-03T00:00:00"/>
    <s v="VZ-2019-001067"/>
    <x v="6"/>
    <s v="Rosulek"/>
    <x v="388"/>
    <m/>
    <m/>
    <m/>
    <s v="33158210-7"/>
    <s v="2.2.227."/>
    <n v="1802893"/>
    <x v="2"/>
    <m/>
    <m/>
    <m/>
    <m/>
    <m/>
    <m/>
    <m/>
    <m/>
    <m/>
    <m/>
    <m/>
    <m/>
    <x v="0"/>
    <m/>
    <m/>
  </r>
  <r>
    <m/>
    <m/>
    <d v="2019-10-04T00:00:00"/>
    <s v="VZ-2019-001071"/>
    <x v="6"/>
    <s v="Rosulek"/>
    <x v="389"/>
    <m/>
    <m/>
    <m/>
    <s v="33157400-9"/>
    <s v="2.3.119."/>
    <n v="1134000"/>
    <x v="2"/>
    <m/>
    <m/>
    <m/>
    <m/>
    <m/>
    <m/>
    <m/>
    <m/>
    <m/>
    <m/>
    <m/>
    <m/>
    <x v="0"/>
    <m/>
    <m/>
  </r>
  <r>
    <m/>
    <m/>
    <d v="2019-10-07T00:00:00"/>
    <s v="VZ-2019-001075"/>
    <x v="0"/>
    <s v="Dočkalová"/>
    <x v="390"/>
    <m/>
    <s v="VZ-2020-000030"/>
    <m/>
    <s v="33162200-5"/>
    <m/>
    <n v="900000"/>
    <x v="0"/>
    <m/>
    <m/>
    <m/>
    <m/>
    <m/>
    <m/>
    <m/>
    <m/>
    <m/>
    <m/>
    <m/>
    <m/>
    <x v="0"/>
    <m/>
    <m/>
  </r>
  <r>
    <m/>
    <m/>
    <d v="2019-10-07T00:00:00"/>
    <s v="VZ-2019-001076"/>
    <x v="3"/>
    <s v="Smrčková"/>
    <x v="391"/>
    <m/>
    <m/>
    <m/>
    <s v="33141620-2 "/>
    <m/>
    <n v="13519000"/>
    <x v="0"/>
    <m/>
    <m/>
    <m/>
    <m/>
    <m/>
    <m/>
    <m/>
    <m/>
    <m/>
    <m/>
    <m/>
    <m/>
    <x v="0"/>
    <m/>
    <m/>
  </r>
  <r>
    <m/>
    <m/>
    <d v="2019-10-08T00:00:00"/>
    <s v="VZ-2019-001077"/>
    <x v="21"/>
    <s v="Novák"/>
    <x v="392"/>
    <m/>
    <m/>
    <m/>
    <s v="33192300-5 "/>
    <m/>
    <n v="900000"/>
    <x v="2"/>
    <d v="2019-10-14T00:00:00"/>
    <d v="2019-10-25T00:00:00"/>
    <d v="2019-11-29T00:00:00"/>
    <s v="Maro - Mader s.r.o."/>
    <m/>
    <n v="753094"/>
    <n v="911243.74"/>
    <m/>
    <m/>
    <m/>
    <d v="2019-11-29T00:00:00"/>
    <s v="SMLN-2019-617-000606"/>
    <x v="139"/>
    <d v="2019-12-18T00:00:00"/>
    <d v="2020-02-05T00:00:00"/>
  </r>
  <r>
    <m/>
    <m/>
    <d v="2019-10-15T00:00:00"/>
    <s v="VZ-2019-001107"/>
    <x v="4"/>
    <s v="Srovnal"/>
    <x v="393"/>
    <m/>
    <m/>
    <m/>
    <s v="50532400-7"/>
    <m/>
    <n v="4500000"/>
    <x v="0"/>
    <d v="2019-10-22T00:00:00"/>
    <d v="2019-11-22T00:00:00"/>
    <d v="2019-12-03T00:00:00"/>
    <s v="Bc. Jakub Tomaštík"/>
    <m/>
    <n v="4266000"/>
    <n v="5161860"/>
    <m/>
    <m/>
    <m/>
    <d v="2019-12-04T00:00:00"/>
    <s v="SMLN-2019-618-000107"/>
    <x v="0"/>
    <m/>
    <m/>
  </r>
  <r>
    <m/>
    <m/>
    <d v="2019-10-16T00:00:00"/>
    <s v="VZ-2019-001121"/>
    <x v="6"/>
    <s v="Rosulek"/>
    <x v="394"/>
    <m/>
    <m/>
    <m/>
    <s v="33124100-6"/>
    <s v="2.2.226."/>
    <n v="1340000"/>
    <x v="2"/>
    <d v="2019-10-23T00:00:00"/>
    <d v="2019-10-31T00:00:00"/>
    <m/>
    <s v="zrušeno - bez hodnotitelné nabídky"/>
    <m/>
    <m/>
    <m/>
    <m/>
    <m/>
    <m/>
    <m/>
    <m/>
    <x v="0"/>
    <d v="2019-11-27T00:00:00"/>
    <m/>
  </r>
  <r>
    <m/>
    <m/>
    <d v="2019-10-17T00:00:00"/>
    <s v="VZ-2019-001122"/>
    <x v="6"/>
    <s v="Rosulek"/>
    <x v="395"/>
    <m/>
    <m/>
    <m/>
    <s v="33124100-6"/>
    <s v="2.2.230,2.2.232"/>
    <n v="1415000"/>
    <x v="2"/>
    <d v="2019-11-18T00:00:00"/>
    <d v="2019-11-26T00:00:00"/>
    <m/>
    <m/>
    <m/>
    <m/>
    <m/>
    <m/>
    <m/>
    <m/>
    <m/>
    <m/>
    <x v="0"/>
    <m/>
    <m/>
  </r>
  <r>
    <m/>
    <m/>
    <d v="2019-10-18T00:00:00"/>
    <s v="VZ-2019-001125"/>
    <x v="6"/>
    <s v="Novák"/>
    <x v="396"/>
    <m/>
    <m/>
    <m/>
    <s v="33162100-4,33140000-3"/>
    <s v="2.2.31."/>
    <n v="6323000"/>
    <x v="0"/>
    <d v="2019-10-23T00:00:00"/>
    <d v="2019-11-25T00:00:00"/>
    <d v="2019-12-11T00:00:00"/>
    <s v="SKALA-Medical s.r.o."/>
    <m/>
    <n v="6219800"/>
    <n v="7525958"/>
    <m/>
    <m/>
    <m/>
    <d v="2019-12-12T00:00:00"/>
    <s v="SMLN-2019-617-000635_x000a_SMLN-2019-612-000163_x000a_SMLN-2019-617-000636"/>
    <x v="0"/>
    <m/>
    <m/>
  </r>
  <r>
    <m/>
    <m/>
    <d v="2019-10-21T00:00:00"/>
    <s v="VZ-2019-001126"/>
    <x v="1"/>
    <s v="Gartner"/>
    <x v="397"/>
    <m/>
    <m/>
    <m/>
    <s v="72268000-1"/>
    <m/>
    <n v="1200000"/>
    <x v="2"/>
    <d v="2019-10-31T00:00:00"/>
    <d v="2019-11-12T00:00:00"/>
    <d v="2019-11-28T00:00:00"/>
    <s v="EXON s.r.o."/>
    <m/>
    <n v="896560"/>
    <n v="1084837.6000000001"/>
    <m/>
    <m/>
    <m/>
    <d v="2019-11-29T00:00:00"/>
    <s v="SMLN-2019-612-000162"/>
    <x v="0"/>
    <m/>
    <m/>
  </r>
  <r>
    <m/>
    <m/>
    <d v="2019-10-21T00:00:00"/>
    <s v="VZ-2019-001127"/>
    <x v="16"/>
    <s v="Vaida"/>
    <x v="398"/>
    <m/>
    <m/>
    <m/>
    <s v="32570000-9"/>
    <s v="4.2.132."/>
    <n v="1980000"/>
    <x v="2"/>
    <d v="2019-11-01T00:00:00"/>
    <d v="2019-11-12T00:00:00"/>
    <d v="2019-11-18T00:00:00"/>
    <s v="CODACO ELECTRONIC s.r.o."/>
    <m/>
    <n v="1546589.89"/>
    <n v="1871373.7668999999"/>
    <m/>
    <m/>
    <m/>
    <d v="2019-11-18T00:00:00"/>
    <s v="SMLN-2019-618-000099"/>
    <x v="121"/>
    <d v="2019-12-02T00:00:00"/>
    <d v="2020-02-24T00:00:00"/>
  </r>
  <r>
    <m/>
    <m/>
    <d v="2019-10-21T00:00:00"/>
    <s v="VZ-2019-001129"/>
    <x v="0"/>
    <s v="Dočkalová"/>
    <x v="399"/>
    <m/>
    <m/>
    <m/>
    <s v="33169400-6 "/>
    <m/>
    <n v="882390"/>
    <x v="2"/>
    <d v="2019-11-07T00:00:00"/>
    <d v="2019-11-20T00:00:00"/>
    <d v="2019-12-04T00:00:00"/>
    <s v="B. Braun Medical s.r.o."/>
    <m/>
    <n v="882363"/>
    <n v="1067659.23"/>
    <m/>
    <m/>
    <m/>
    <d v="2019-12-04T00:00:00"/>
    <s v="SMLN-2019-617-000613"/>
    <x v="0"/>
    <m/>
    <m/>
  </r>
  <r>
    <m/>
    <m/>
    <d v="2019-10-21T00:00:00"/>
    <s v="VZ-2019-001130"/>
    <x v="0"/>
    <s v="Dočkalová"/>
    <x v="400"/>
    <m/>
    <s v="VZ-2020-000194"/>
    <m/>
    <s v="33140000-3"/>
    <m/>
    <n v="2275355"/>
    <x v="1"/>
    <m/>
    <m/>
    <m/>
    <m/>
    <m/>
    <m/>
    <m/>
    <m/>
    <m/>
    <m/>
    <m/>
    <m/>
    <x v="0"/>
    <m/>
    <m/>
  </r>
  <r>
    <m/>
    <m/>
    <d v="2019-10-22T00:00:00"/>
    <s v="VZ-2019-001132"/>
    <x v="5"/>
    <s v="Ondráčková"/>
    <x v="401"/>
    <n v="1"/>
    <s v="TRASTUZUMAB EMTANSIN "/>
    <m/>
    <s v="33652100-6"/>
    <m/>
    <n v="12595778"/>
    <x v="0"/>
    <d v="2019-12-23T00:00:00"/>
    <d v="2020-01-27T00:00:00"/>
    <m/>
    <m/>
    <m/>
    <m/>
    <m/>
    <m/>
    <m/>
    <m/>
    <m/>
    <m/>
    <x v="0"/>
    <m/>
    <m/>
  </r>
  <r>
    <m/>
    <m/>
    <d v="2019-10-22T00:00:00"/>
    <s v="VZ-2019-001133"/>
    <x v="5"/>
    <s v="Ondráčková"/>
    <x v="402"/>
    <n v="1"/>
    <s v="REQUIP MODUTAB"/>
    <m/>
    <s v="33661400-5"/>
    <m/>
    <n v="1397547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3"/>
    <x v="5"/>
    <s v="Ondráčková"/>
    <x v="402"/>
    <n v="2"/>
    <s v="OPRYMEA"/>
    <m/>
    <s v="33661400-5"/>
    <m/>
    <n v="98913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3"/>
    <x v="5"/>
    <s v="Ondráčková"/>
    <x v="402"/>
    <n v="3"/>
    <s v="GLEPARK"/>
    <m/>
    <s v="33661400-5"/>
    <m/>
    <n v="286872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3"/>
    <x v="5"/>
    <s v="Ondráčková"/>
    <x v="402"/>
    <n v="4"/>
    <s v="DACEPTON"/>
    <m/>
    <s v="33661400-5"/>
    <m/>
    <n v="5219505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3"/>
    <x v="5"/>
    <s v="Ondráčková"/>
    <x v="402"/>
    <n v="5"/>
    <s v="NEUPRO"/>
    <m/>
    <s v="33661400-5"/>
    <m/>
    <n v="2622951"/>
    <x v="0"/>
    <d v="2019-11-13T00:00:00"/>
    <d v="2019-12-23T00:00:00"/>
    <m/>
    <m/>
    <m/>
    <m/>
    <m/>
    <m/>
    <m/>
    <m/>
    <m/>
    <m/>
    <x v="0"/>
    <m/>
    <m/>
  </r>
  <r>
    <m/>
    <m/>
    <d v="2019-10-22T00:00:00"/>
    <s v="VZ-2019-001134"/>
    <x v="5"/>
    <s v="Ondráčková"/>
    <x v="403"/>
    <n v="1"/>
    <s v="EVEROLIMUS"/>
    <m/>
    <s v="33652000-5"/>
    <m/>
    <n v="8390223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x v="5"/>
    <s v="Ondráčková"/>
    <x v="403"/>
    <n v="2"/>
    <s v="PAZOPANIB"/>
    <m/>
    <s v="33652000-5"/>
    <m/>
    <n v="6654142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x v="5"/>
    <s v="Ondráčková"/>
    <x v="403"/>
    <n v="3"/>
    <s v="AFATINIB "/>
    <m/>
    <s v="33652000-5"/>
    <m/>
    <n v="4568564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x v="5"/>
    <s v="Ondráčková"/>
    <x v="403"/>
    <n v="4"/>
    <s v="VEMURAFENIB "/>
    <m/>
    <s v="33652000-5"/>
    <m/>
    <n v="2736450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x v="5"/>
    <s v="Ondráčková"/>
    <x v="403"/>
    <n v="5"/>
    <s v="AXITINIB "/>
    <m/>
    <s v="33652000-5"/>
    <m/>
    <n v="1261016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4"/>
    <x v="5"/>
    <s v="Ondráčková"/>
    <x v="403"/>
    <n v="6"/>
    <s v="RUXOLITINIB "/>
    <m/>
    <s v="33652000-5"/>
    <m/>
    <n v="22859565"/>
    <x v="0"/>
    <d v="2019-11-13T00:00:00"/>
    <d v="2020-01-14T00:00:00"/>
    <m/>
    <m/>
    <m/>
    <m/>
    <m/>
    <m/>
    <m/>
    <m/>
    <m/>
    <m/>
    <x v="0"/>
    <m/>
    <m/>
  </r>
  <r>
    <m/>
    <m/>
    <d v="2019-10-22T00:00:00"/>
    <s v="VZ-2019-001139"/>
    <x v="7"/>
    <s v="Langer"/>
    <x v="404"/>
    <m/>
    <m/>
    <m/>
    <s v="45454100-5"/>
    <s v="1.3.21."/>
    <n v="6500000"/>
    <x v="1"/>
    <d v="2019-10-30T00:00:00"/>
    <d v="2019-11-15T00:00:00"/>
    <d v="2019-12-12T00:00:00"/>
    <s v="OHL ŽS a.s."/>
    <m/>
    <n v="7382425"/>
    <n v="8932734"/>
    <m/>
    <m/>
    <m/>
    <d v="2019-12-12T00:00:00"/>
    <s v="SMLN-2019-618-000111"/>
    <x v="0"/>
    <m/>
    <m/>
  </r>
  <r>
    <m/>
    <m/>
    <d v="2019-10-23T00:00:00"/>
    <s v="VZ-2019-001143"/>
    <x v="16"/>
    <s v="Vaida"/>
    <x v="405"/>
    <m/>
    <m/>
    <m/>
    <s v="45453000-7"/>
    <m/>
    <n v="1350000"/>
    <x v="2"/>
    <d v="2019-11-01T00:00:00"/>
    <d v="2019-11-18T00:00:00"/>
    <m/>
    <s v="zrušeno - nabídka po lhůtě"/>
    <m/>
    <m/>
    <m/>
    <m/>
    <m/>
    <m/>
    <m/>
    <m/>
    <x v="0"/>
    <d v="2019-11-19T00:00:00"/>
    <m/>
  </r>
  <r>
    <m/>
    <m/>
    <d v="2019-10-25T00:00:00"/>
    <s v="VZ-2019-001147"/>
    <x v="16"/>
    <s v="Vaida"/>
    <x v="406"/>
    <m/>
    <m/>
    <m/>
    <s v="45332300-6"/>
    <m/>
    <n v="500000"/>
    <x v="2"/>
    <d v="2019-11-01T00:00:00"/>
    <d v="2019-11-12T00:00:00"/>
    <d v="2019-11-18T00:00:00"/>
    <s v="MIZ Olomouc s.r.o."/>
    <m/>
    <n v="469550"/>
    <n v="568155.5"/>
    <m/>
    <m/>
    <m/>
    <d v="2019-11-19T00:00:00"/>
    <s v="SMLN-2019-618-000102"/>
    <x v="0"/>
    <m/>
    <m/>
  </r>
  <r>
    <m/>
    <m/>
    <d v="2019-10-31T00:00:00"/>
    <s v="VZ-2019-001156"/>
    <x v="6"/>
    <s v="Rosulek"/>
    <x v="407"/>
    <n v="1"/>
    <s v="Diodový laser"/>
    <m/>
    <s v="33169100-3"/>
    <s v="2.3.421."/>
    <n v="245000"/>
    <x v="2"/>
    <d v="2019-11-18T00:00:00"/>
    <d v="2019-11-27T00:00:00"/>
    <m/>
    <m/>
    <m/>
    <m/>
    <m/>
    <m/>
    <m/>
    <m/>
    <m/>
    <m/>
    <x v="0"/>
    <m/>
    <m/>
  </r>
  <r>
    <m/>
    <m/>
    <d v="2019-10-31T00:00:00"/>
    <s v="VZ-2019-001156"/>
    <x v="6"/>
    <s v="Rosulek"/>
    <x v="407"/>
    <n v="2"/>
    <s v="YAG/SLT laser"/>
    <m/>
    <s v="33169100-3"/>
    <s v="2.3.434."/>
    <n v="1750000"/>
    <x v="2"/>
    <d v="2019-11-18T00:00:00"/>
    <d v="2019-11-27T00:00:00"/>
    <m/>
    <m/>
    <m/>
    <m/>
    <m/>
    <m/>
    <m/>
    <m/>
    <m/>
    <m/>
    <x v="0"/>
    <m/>
    <m/>
  </r>
  <r>
    <m/>
    <m/>
    <d v="2019-10-31T00:00:00"/>
    <s v="VZ-2019-001158"/>
    <x v="3"/>
    <s v="Smrčková"/>
    <x v="8"/>
    <m/>
    <m/>
    <m/>
    <s v="33141620-2"/>
    <m/>
    <n v="12231200"/>
    <x v="0"/>
    <m/>
    <m/>
    <m/>
    <m/>
    <m/>
    <m/>
    <m/>
    <m/>
    <m/>
    <m/>
    <m/>
    <m/>
    <x v="0"/>
    <m/>
    <m/>
  </r>
  <r>
    <m/>
    <m/>
    <d v="2019-11-01T00:00:00"/>
    <s v="VZ-2019-001162"/>
    <x v="6"/>
    <s v="Rosulek"/>
    <x v="408"/>
    <m/>
    <m/>
    <m/>
    <s v="33168100-6"/>
    <s v="2.3.384.,2.3.414."/>
    <n v="546400"/>
    <x v="2"/>
    <d v="2019-11-18T00:00:00"/>
    <d v="2019-11-29T00:00:00"/>
    <m/>
    <s v="zrušeno - oprava zadání"/>
    <m/>
    <m/>
    <m/>
    <m/>
    <m/>
    <m/>
    <m/>
    <m/>
    <x v="0"/>
    <d v="2019-12-02T00:00:00"/>
    <m/>
  </r>
  <r>
    <m/>
    <m/>
    <d v="2019-11-01T00:00:00"/>
    <s v="VZ-2019-001163"/>
    <x v="22"/>
    <s v="Procházková"/>
    <x v="409"/>
    <m/>
    <m/>
    <m/>
    <s v="66510000-8"/>
    <m/>
    <n v="48800000"/>
    <x v="0"/>
    <d v="2019-12-04T00:00:00"/>
    <d v="2020-01-07T00:00:00"/>
    <m/>
    <m/>
    <m/>
    <m/>
    <m/>
    <m/>
    <m/>
    <m/>
    <m/>
    <m/>
    <x v="0"/>
    <m/>
    <m/>
  </r>
  <r>
    <m/>
    <m/>
    <d v="2019-11-04T00:00:00"/>
    <s v="VZ-2019-001172"/>
    <x v="19"/>
    <s v="Freharová"/>
    <x v="410"/>
    <m/>
    <m/>
    <m/>
    <s v="72261000-2"/>
    <m/>
    <n v="3390000"/>
    <x v="1"/>
    <d v="2019-12-17T00:00:00"/>
    <d v="2020-01-10T00:00:00"/>
    <m/>
    <m/>
    <m/>
    <m/>
    <m/>
    <m/>
    <m/>
    <m/>
    <m/>
    <m/>
    <x v="0"/>
    <m/>
    <m/>
  </r>
  <r>
    <m/>
    <m/>
    <d v="2019-11-07T00:00:00"/>
    <s v="VZ-2019-001185"/>
    <x v="1"/>
    <s v="Oravec"/>
    <x v="411"/>
    <m/>
    <m/>
    <m/>
    <s v="48180000-3, 72261000-2"/>
    <s v="3.2.45."/>
    <n v="1490000"/>
    <x v="2"/>
    <d v="2019-11-22T00:00:00"/>
    <d v="2019-12-09T00:00:00"/>
    <m/>
    <m/>
    <m/>
    <m/>
    <m/>
    <m/>
    <m/>
    <m/>
    <m/>
    <m/>
    <x v="0"/>
    <m/>
    <m/>
  </r>
  <r>
    <m/>
    <m/>
    <d v="2019-11-07T00:00:00"/>
    <s v="VZ-2019-001187"/>
    <x v="6"/>
    <s v="Rosulek"/>
    <x v="412"/>
    <m/>
    <m/>
    <m/>
    <s v="33191000-5"/>
    <s v="2.3.441."/>
    <n v="521900"/>
    <x v="2"/>
    <d v="2019-11-18T00:00:00"/>
    <d v="2019-11-28T00:00:00"/>
    <m/>
    <m/>
    <m/>
    <m/>
    <m/>
    <m/>
    <m/>
    <m/>
    <m/>
    <m/>
    <x v="0"/>
    <m/>
    <m/>
  </r>
  <r>
    <m/>
    <m/>
    <d v="2019-11-01T00:00:00"/>
    <s v="VZ-2019-001188"/>
    <x v="0"/>
    <s v="Dočkalová"/>
    <x v="413"/>
    <m/>
    <m/>
    <m/>
    <s v="33168100-6"/>
    <m/>
    <n v="443280"/>
    <x v="2"/>
    <d v="2019-11-13T00:00:00"/>
    <d v="2019-11-22T00:00:00"/>
    <d v="2019-12-16T00:00:00"/>
    <s v="MEDIN, a.s."/>
    <m/>
    <n v="384604.8"/>
    <n v="465371.81"/>
    <m/>
    <m/>
    <m/>
    <d v="2019-12-16T00:00:00"/>
    <s v="SMLN-2019-617-000640"/>
    <x v="0"/>
    <m/>
    <m/>
  </r>
  <r>
    <m/>
    <m/>
    <d v="2019-12-20T00:00:00"/>
    <s v="VZ-2019-001189"/>
    <x v="23"/>
    <s v="Neudörflerová"/>
    <x v="414"/>
    <m/>
    <m/>
    <m/>
    <s v="33111620-3"/>
    <s v="2.3.319."/>
    <n v="23494497.559999999"/>
    <x v="0"/>
    <m/>
    <m/>
    <m/>
    <m/>
    <m/>
    <m/>
    <m/>
    <m/>
    <m/>
    <m/>
    <m/>
    <m/>
    <x v="0"/>
    <m/>
    <m/>
  </r>
  <r>
    <m/>
    <m/>
    <d v="2019-11-11T00:00:00"/>
    <s v="VZ-2019-001192"/>
    <x v="24"/>
    <s v="Kriegová"/>
    <x v="415"/>
    <m/>
    <m/>
    <m/>
    <s v="71900000-7"/>
    <m/>
    <n v="260000"/>
    <x v="2"/>
    <d v="2019-11-14T00:00:00"/>
    <d v="2019-11-20T00:00:00"/>
    <d v="2019-11-21T00:00:00"/>
    <s v="Institute of Applied Biotechnologies a.s."/>
    <m/>
    <n v="259992"/>
    <n v="314590.32"/>
    <m/>
    <m/>
    <m/>
    <d v="2019-11-21T00:00:00"/>
    <s v="SMLN-2019-612-000160"/>
    <x v="147"/>
    <d v="2019-12-04T00:00:00"/>
    <d v="2019-12-05T00:00:00"/>
  </r>
  <r>
    <m/>
    <m/>
    <d v="2019-11-12T00:00:00"/>
    <s v="VZ-2019-001198"/>
    <x v="5"/>
    <s v="Ondráčková"/>
    <x v="416"/>
    <m/>
    <s v="Imunochemická vyšetření s výpůjčkou analyzátoru"/>
    <m/>
    <s v="33694000-1; 38434000-6"/>
    <m/>
    <n v="6463919"/>
    <x v="0"/>
    <d v="2019-12-16T00:00:00"/>
    <d v="2020-01-20T00:00:00"/>
    <m/>
    <m/>
    <m/>
    <m/>
    <m/>
    <m/>
    <m/>
    <m/>
    <m/>
    <m/>
    <x v="0"/>
    <m/>
    <m/>
  </r>
  <r>
    <m/>
    <m/>
    <d v="2019-11-13T00:00:00"/>
    <s v="VZ-2019-001204"/>
    <x v="0"/>
    <s v="Dočkalová"/>
    <x v="417"/>
    <n v="1"/>
    <s v="Láhve krmící jednorázové"/>
    <m/>
    <s v="33140000-3"/>
    <m/>
    <n v="663353.72"/>
    <x v="2"/>
    <d v="2019-11-19T00:00:00"/>
    <d v="2019-11-29T00:00:00"/>
    <d v="2019-12-10T00:00:00"/>
    <s v="MEDICAL M, spol.s  r.o."/>
    <m/>
    <n v="614920"/>
    <n v="744053.2"/>
    <m/>
    <m/>
    <m/>
    <d v="2019-12-11T00:00:00"/>
    <s v="SMLN-2019-617-000633"/>
    <x v="0"/>
    <m/>
    <m/>
  </r>
  <r>
    <m/>
    <m/>
    <d v="2019-11-13T00:00:00"/>
    <s v="VZ-2019-001204"/>
    <x v="0"/>
    <s v="Dočkalová"/>
    <x v="417"/>
    <n v="2"/>
    <s v="Dudlíky krmící jednorázové"/>
    <m/>
    <s v="33140000-3"/>
    <m/>
    <n v="332340.56"/>
    <x v="2"/>
    <d v="2019-11-19T00:00:00"/>
    <d v="2019-11-29T00:00:00"/>
    <d v="2019-12-10T00:00:00"/>
    <s v="S.A.B. Impex s.r.o."/>
    <m/>
    <n v="327954.8"/>
    <n v="396825.30799999996"/>
    <m/>
    <m/>
    <m/>
    <d v="2019-12-11T00:00:00"/>
    <s v="SMLN-2019-617-000634"/>
    <x v="0"/>
    <m/>
    <m/>
  </r>
  <r>
    <m/>
    <m/>
    <s v="opakovaná VZ"/>
    <s v="VZ-2019-001209"/>
    <x v="16"/>
    <s v="Vaida"/>
    <x v="418"/>
    <m/>
    <m/>
    <m/>
    <s v="4543000-7"/>
    <m/>
    <n v="1350000"/>
    <x v="2"/>
    <d v="2019-11-21T00:00:00"/>
    <d v="2019-11-28T00:00:00"/>
    <d v="2019-12-04T00:00:00"/>
    <s v="Elektropráce Spáčil s.r.o."/>
    <m/>
    <n v="1452256.26"/>
    <n v="1757230.0745999999"/>
    <m/>
    <m/>
    <m/>
    <d v="2019-12-04T00:00:00"/>
    <s v="SMLN-2019-618-000108"/>
    <x v="0"/>
    <m/>
    <m/>
  </r>
  <r>
    <m/>
    <m/>
    <d v="2019-11-19T00:00:00"/>
    <s v="VZ-2019-001210"/>
    <x v="11"/>
    <s v="Zemánek"/>
    <x v="419"/>
    <m/>
    <m/>
    <m/>
    <s v="50421000-2"/>
    <m/>
    <n v="1800000"/>
    <x v="2"/>
    <d v="2019-12-16T00:00:00"/>
    <d v="2020-01-07T00:00:00"/>
    <m/>
    <m/>
    <m/>
    <m/>
    <m/>
    <m/>
    <m/>
    <m/>
    <m/>
    <m/>
    <x v="0"/>
    <m/>
    <m/>
  </r>
  <r>
    <m/>
    <m/>
    <d v="2019-11-19T00:00:00"/>
    <s v="VZ-2019-001211"/>
    <x v="0"/>
    <s v="Valtová"/>
    <x v="420"/>
    <m/>
    <m/>
    <m/>
    <s v="33140000-3"/>
    <m/>
    <n v="1340211"/>
    <x v="2"/>
    <m/>
    <m/>
    <m/>
    <m/>
    <m/>
    <m/>
    <m/>
    <m/>
    <m/>
    <m/>
    <m/>
    <m/>
    <x v="0"/>
    <m/>
    <m/>
  </r>
  <r>
    <m/>
    <m/>
    <d v="2019-11-22T00:00:00"/>
    <s v="VZ-2019-001220"/>
    <x v="1"/>
    <s v="Oravec"/>
    <x v="421"/>
    <m/>
    <m/>
    <m/>
    <s v="72411000-4"/>
    <m/>
    <n v="480000"/>
    <x v="2"/>
    <d v="2019-11-28T00:00:00"/>
    <d v="2019-12-06T00:00:00"/>
    <d v="2019-12-12T00:00:00"/>
    <s v="MERIT Group a.s."/>
    <m/>
    <n v="432000"/>
    <n v="522720"/>
    <m/>
    <m/>
    <m/>
    <d v="2019-12-13T00:00:00"/>
    <s v="SMLN-2019-612-000166"/>
    <x v="0"/>
    <m/>
    <m/>
  </r>
  <r>
    <m/>
    <m/>
    <d v="2019-11-22T00:00:00"/>
    <s v="VZ-2019-001221"/>
    <x v="16"/>
    <s v="Vaida"/>
    <x v="422"/>
    <m/>
    <m/>
    <m/>
    <s v="45332300-6"/>
    <m/>
    <n v="300000"/>
    <x v="2"/>
    <d v="2019-12-05T00:00:00"/>
    <d v="2019-12-13T00:00:00"/>
    <d v="2019-12-19T00:00:00"/>
    <s v="INTOP Olomouc CZ s.r.o."/>
    <m/>
    <n v="288939"/>
    <n v="349616.2"/>
    <m/>
    <m/>
    <m/>
    <d v="2019-12-19T00:00:00"/>
    <s v="SMLN-2019-618-000114"/>
    <x v="0"/>
    <m/>
    <m/>
  </r>
  <r>
    <m/>
    <m/>
    <d v="2019-11-25T00:00:00"/>
    <s v="VZ-2019-001224"/>
    <x v="1"/>
    <s v="Oravec"/>
    <x v="423"/>
    <m/>
    <m/>
    <m/>
    <s v="30232110-8,30232120-1"/>
    <m/>
    <n v="743900"/>
    <x v="2"/>
    <d v="2019-12-02T00:00:00"/>
    <d v="2019-12-10T00:00:00"/>
    <d v="2019-12-13T00:00:00"/>
    <s v="Charita Opava"/>
    <m/>
    <n v="703825"/>
    <n v="851628.25"/>
    <m/>
    <m/>
    <m/>
    <d v="2019-12-13T00:00:00"/>
    <s v="SMLN-2019-617-000638"/>
    <x v="92"/>
    <d v="2020-01-02T00:00:00"/>
    <d v="2020-12-22T00:00:00"/>
  </r>
  <r>
    <m/>
    <m/>
    <d v="2019-11-27T00:00:00"/>
    <s v="VZ-2019-001234"/>
    <x v="7"/>
    <s v="Spáčil"/>
    <x v="424"/>
    <m/>
    <s v=" VZ-2020-000026"/>
    <m/>
    <s v="71200000-0"/>
    <m/>
    <n v="2500000"/>
    <x v="1"/>
    <m/>
    <m/>
    <m/>
    <m/>
    <m/>
    <m/>
    <m/>
    <m/>
    <m/>
    <m/>
    <m/>
    <m/>
    <x v="0"/>
    <m/>
    <m/>
  </r>
  <r>
    <m/>
    <m/>
    <d v="2019-11-26T00:00:00"/>
    <s v="VZ-2019-001244"/>
    <x v="5"/>
    <s v="Ondráčková"/>
    <x v="425"/>
    <n v="1"/>
    <s v="Omalizumab - VZ-2020-000006"/>
    <m/>
    <s v="33673000-8"/>
    <m/>
    <n v="47341396"/>
    <x v="0"/>
    <m/>
    <m/>
    <m/>
    <m/>
    <m/>
    <m/>
    <m/>
    <m/>
    <m/>
    <m/>
    <m/>
    <m/>
    <x v="0"/>
    <m/>
    <m/>
  </r>
  <r>
    <m/>
    <m/>
    <d v="2019-11-26T00:00:00"/>
    <s v="VZ-2019-001245"/>
    <x v="5"/>
    <s v="Ondráčková"/>
    <x v="426"/>
    <n v="1"/>
    <s v="Idelalisib - VZ-2020-000005"/>
    <m/>
    <s v="33652100-6"/>
    <m/>
    <n v="30769028"/>
    <x v="0"/>
    <m/>
    <m/>
    <m/>
    <m/>
    <m/>
    <m/>
    <m/>
    <m/>
    <m/>
    <m/>
    <m/>
    <m/>
    <x v="0"/>
    <m/>
    <m/>
  </r>
  <r>
    <m/>
    <m/>
    <d v="2019-11-26T00:00:00"/>
    <s v="VZ-2019-001246"/>
    <x v="5"/>
    <s v="Ondráčková"/>
    <x v="427"/>
    <n v="1"/>
    <s v="Thyrotropin alfa - VZ-2020-000007"/>
    <m/>
    <s v="33642100-3"/>
    <m/>
    <n v="1210714"/>
    <x v="2"/>
    <m/>
    <m/>
    <m/>
    <m/>
    <m/>
    <m/>
    <m/>
    <m/>
    <m/>
    <m/>
    <m/>
    <m/>
    <x v="0"/>
    <m/>
    <m/>
  </r>
  <r>
    <m/>
    <m/>
    <d v="2019-11-26T00:00:00"/>
    <s v="VZ-2019-001246"/>
    <x v="5"/>
    <s v="Ondráčková"/>
    <x v="427"/>
    <n v="2"/>
    <s v="Pegvisomant - VZ-2020-000007"/>
    <m/>
    <s v="33642100-3"/>
    <m/>
    <n v="637924"/>
    <x v="2"/>
    <m/>
    <m/>
    <m/>
    <m/>
    <m/>
    <m/>
    <m/>
    <m/>
    <m/>
    <m/>
    <m/>
    <m/>
    <x v="0"/>
    <m/>
    <m/>
  </r>
  <r>
    <m/>
    <m/>
    <s v="opakovaná VZ"/>
    <s v="VZ-2019-001250"/>
    <x v="6"/>
    <s v="Rosulek"/>
    <x v="428"/>
    <m/>
    <m/>
    <m/>
    <s v="33124100-6"/>
    <m/>
    <n v="1340000"/>
    <x v="2"/>
    <d v="2019-12-04T00:00:00"/>
    <d v="2019-12-13T00:00:00"/>
    <m/>
    <m/>
    <m/>
    <m/>
    <m/>
    <m/>
    <m/>
    <m/>
    <m/>
    <m/>
    <x v="0"/>
    <m/>
    <m/>
  </r>
  <r>
    <m/>
    <m/>
    <d v="2019-11-28T00:00:00"/>
    <s v="VZ-2019-001253"/>
    <x v="4"/>
    <s v="Srovnal"/>
    <x v="429"/>
    <m/>
    <m/>
    <m/>
    <s v="50750000-7"/>
    <m/>
    <n v="6500000"/>
    <x v="0"/>
    <m/>
    <m/>
    <m/>
    <m/>
    <m/>
    <m/>
    <m/>
    <m/>
    <m/>
    <m/>
    <m/>
    <m/>
    <x v="0"/>
    <m/>
    <m/>
  </r>
  <r>
    <m/>
    <m/>
    <s v="opakovaná VZ"/>
    <s v="VZ-2019-001260"/>
    <x v="6"/>
    <s v="Rosulek"/>
    <x v="430"/>
    <m/>
    <m/>
    <m/>
    <s v="33168100-6"/>
    <m/>
    <n v="513000"/>
    <x v="2"/>
    <d v="2019-12-10T00:00:00"/>
    <d v="2019-12-19T00:00:00"/>
    <m/>
    <m/>
    <m/>
    <m/>
    <m/>
    <m/>
    <m/>
    <m/>
    <m/>
    <m/>
    <x v="0"/>
    <m/>
    <m/>
  </r>
  <r>
    <m/>
    <m/>
    <d v="2019-12-05T00:00:00"/>
    <s v="VZ-2019-001262"/>
    <x v="5"/>
    <s v="Ondráčková"/>
    <x v="431"/>
    <n v="1"/>
    <s v="REGORAFENIB "/>
    <m/>
    <s v="33652000-5"/>
    <m/>
    <n v="5511956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x v="5"/>
    <s v="Ondráčková"/>
    <x v="431"/>
    <n v="2"/>
    <s v="DABRAFENIB "/>
    <m/>
    <s v="33652000-5"/>
    <m/>
    <n v="11127273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x v="5"/>
    <s v="Ondráčková"/>
    <x v="431"/>
    <n v="3"/>
    <s v="IBRUTINIB "/>
    <m/>
    <s v="33652000-5"/>
    <m/>
    <n v="95343903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x v="5"/>
    <s v="Ondráčková"/>
    <x v="431"/>
    <n v="4"/>
    <s v="LENVATINIB"/>
    <m/>
    <s v="33652000-5"/>
    <m/>
    <n v="5032508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x v="5"/>
    <s v="Ondráčková"/>
    <x v="431"/>
    <n v="5"/>
    <s v="RIBOCIKLIB-SUKCINÁT"/>
    <m/>
    <s v="33652000-5"/>
    <m/>
    <n v="704780"/>
    <x v="0"/>
    <d v="2019-12-20T00:00:00"/>
    <d v="2020-01-24T00:00:00"/>
    <m/>
    <m/>
    <m/>
    <m/>
    <m/>
    <m/>
    <m/>
    <m/>
    <m/>
    <m/>
    <x v="0"/>
    <m/>
    <m/>
  </r>
  <r>
    <m/>
    <m/>
    <d v="2019-12-05T00:00:00"/>
    <s v="VZ-2019-001262"/>
    <x v="5"/>
    <s v="Ondráčková"/>
    <x v="431"/>
    <n v="6"/>
    <s v="OSIMERTINIB "/>
    <m/>
    <s v="33652000-5"/>
    <m/>
    <n v="23556463"/>
    <x v="0"/>
    <d v="2019-12-20T00:00:00"/>
    <d v="2020-01-24T00:00:00"/>
    <m/>
    <m/>
    <m/>
    <m/>
    <m/>
    <m/>
    <m/>
    <m/>
    <m/>
    <m/>
    <x v="0"/>
    <m/>
    <m/>
  </r>
  <r>
    <m/>
    <m/>
    <s v="opakovaná VZ"/>
    <s v="VZ-2019-001263"/>
    <x v="2"/>
    <s v="Neudörflerová"/>
    <x v="432"/>
    <m/>
    <m/>
    <m/>
    <s v="33190000-8"/>
    <m/>
    <n v="165495.85999999999"/>
    <x v="2"/>
    <m/>
    <m/>
    <m/>
    <m/>
    <m/>
    <m/>
    <m/>
    <m/>
    <m/>
    <m/>
    <m/>
    <m/>
    <x v="0"/>
    <m/>
    <m/>
  </r>
  <r>
    <m/>
    <m/>
    <d v="2019-12-09T00:00:00"/>
    <s v="VZ-2019-001266"/>
    <x v="1"/>
    <s v="Oravec"/>
    <x v="433"/>
    <m/>
    <m/>
    <m/>
    <s v="30231310-3"/>
    <m/>
    <n v="1001000"/>
    <x v="2"/>
    <d v="2019-12-19T00:00:00"/>
    <d v="2020-01-07T00:00:00"/>
    <m/>
    <m/>
    <m/>
    <m/>
    <m/>
    <m/>
    <m/>
    <m/>
    <m/>
    <m/>
    <x v="0"/>
    <m/>
    <m/>
  </r>
  <r>
    <m/>
    <m/>
    <d v="2019-12-09T00:00:00"/>
    <s v="VZ-2019-001267"/>
    <x v="5"/>
    <s v="Ondráčková"/>
    <x v="434"/>
    <n v="1"/>
    <s v="HEPARIN"/>
    <m/>
    <s v="33141550-0"/>
    <m/>
    <n v="2292556"/>
    <x v="0"/>
    <d v="2019-12-20T00:00:00"/>
    <d v="2020-01-24T00:00:00"/>
    <m/>
    <m/>
    <m/>
    <m/>
    <m/>
    <m/>
    <m/>
    <m/>
    <m/>
    <m/>
    <x v="0"/>
    <m/>
    <m/>
  </r>
  <r>
    <m/>
    <m/>
    <d v="2019-12-09T00:00:00"/>
    <s v="VZ-2019-001267"/>
    <x v="5"/>
    <s v="Ondráčková"/>
    <x v="434"/>
    <n v="2"/>
    <s v="ENOXAPARIN "/>
    <m/>
    <s v="33141550-0"/>
    <m/>
    <n v="1293742"/>
    <x v="0"/>
    <d v="2019-12-20T00:00:00"/>
    <d v="2020-01-24T00:00:00"/>
    <m/>
    <m/>
    <m/>
    <m/>
    <m/>
    <m/>
    <m/>
    <m/>
    <m/>
    <m/>
    <x v="0"/>
    <m/>
    <m/>
  </r>
  <r>
    <m/>
    <m/>
    <d v="2019-12-09T00:00:00"/>
    <s v="VZ-2019-001267"/>
    <x v="5"/>
    <s v="Ondráčková"/>
    <x v="434"/>
    <n v="3"/>
    <s v="NADROPARIN"/>
    <m/>
    <s v="33141550-0"/>
    <m/>
    <n v="33304068"/>
    <x v="0"/>
    <d v="2019-12-20T00:00:00"/>
    <d v="2020-01-24T00:00:00"/>
    <m/>
    <m/>
    <m/>
    <m/>
    <m/>
    <m/>
    <m/>
    <m/>
    <m/>
    <m/>
    <x v="0"/>
    <m/>
    <m/>
  </r>
  <r>
    <m/>
    <m/>
    <d v="2019-12-09T00:00:00"/>
    <s v="VZ-2019-001267"/>
    <x v="5"/>
    <s v="Ondráčková"/>
    <x v="434"/>
    <n v="4"/>
    <s v="SULODEXID "/>
    <m/>
    <s v="33141550-0"/>
    <m/>
    <n v="2244322"/>
    <x v="0"/>
    <d v="2019-12-20T00:00:00"/>
    <d v="2020-01-24T00:00:00"/>
    <m/>
    <m/>
    <m/>
    <m/>
    <m/>
    <m/>
    <m/>
    <m/>
    <m/>
    <m/>
    <x v="0"/>
    <m/>
    <m/>
  </r>
  <r>
    <m/>
    <m/>
    <d v="2019-12-09T00:00:00"/>
    <s v="VZ-2019-001267"/>
    <x v="5"/>
    <s v="Ondráčková"/>
    <x v="434"/>
    <n v="5"/>
    <s v="ANTITHROMBIN III"/>
    <m/>
    <s v="33141550-0"/>
    <m/>
    <n v="5023286"/>
    <x v="0"/>
    <d v="2019-12-20T00:00:00"/>
    <d v="2020-01-24T00:00:00"/>
    <m/>
    <m/>
    <m/>
    <m/>
    <m/>
    <m/>
    <m/>
    <m/>
    <m/>
    <m/>
    <x v="0"/>
    <m/>
    <m/>
  </r>
  <r>
    <m/>
    <m/>
    <d v="2019-12-11T00:00:00"/>
    <s v="VZ-2019-001270"/>
    <x v="4"/>
    <s v="Srovnal"/>
    <x v="435"/>
    <m/>
    <m/>
    <m/>
    <s v="45454100-5"/>
    <m/>
    <n v="16259000"/>
    <x v="0"/>
    <m/>
    <m/>
    <m/>
    <m/>
    <m/>
    <m/>
    <m/>
    <m/>
    <m/>
    <m/>
    <m/>
    <m/>
    <x v="0"/>
    <m/>
    <m/>
  </r>
  <r>
    <m/>
    <m/>
    <d v="2019-12-11T00:00:00"/>
    <s v="VZ-2019-001278"/>
    <x v="6"/>
    <s v="Rosulek"/>
    <x v="436"/>
    <m/>
    <m/>
    <m/>
    <s v="33168100-6"/>
    <s v="2.2.242,2.3.404,435"/>
    <n v="1633000"/>
    <x v="2"/>
    <d v="2019-12-19T00:00:00"/>
    <d v="2020-01-07T00:00:00"/>
    <m/>
    <m/>
    <m/>
    <m/>
    <m/>
    <m/>
    <m/>
    <m/>
    <m/>
    <m/>
    <x v="0"/>
    <m/>
    <m/>
  </r>
  <r>
    <m/>
    <m/>
    <d v="2019-12-13T00:00:00"/>
    <s v="VZ-2019-001280"/>
    <x v="6"/>
    <s v="Rosulek"/>
    <x v="437"/>
    <m/>
    <m/>
    <m/>
    <s v="33192210-7"/>
    <s v="2.2.143,2.2.229"/>
    <n v="785500"/>
    <x v="2"/>
    <m/>
    <m/>
    <m/>
    <m/>
    <m/>
    <m/>
    <m/>
    <m/>
    <m/>
    <m/>
    <m/>
    <m/>
    <x v="0"/>
    <m/>
    <m/>
  </r>
  <r>
    <m/>
    <m/>
    <d v="2019-12-12T00:00:00"/>
    <s v="VZ-2019-001281"/>
    <x v="6"/>
    <s v="Rosulek"/>
    <x v="438"/>
    <m/>
    <m/>
    <m/>
    <s v="33168100-6"/>
    <s v="2.2.228."/>
    <n v="330000"/>
    <x v="2"/>
    <m/>
    <m/>
    <m/>
    <m/>
    <m/>
    <m/>
    <m/>
    <m/>
    <m/>
    <m/>
    <m/>
    <m/>
    <x v="0"/>
    <m/>
    <m/>
  </r>
  <r>
    <m/>
    <m/>
    <d v="2019-12-11T00:00:00"/>
    <s v="VZ-2019-001282"/>
    <x v="6"/>
    <s v="Rosulek"/>
    <x v="439"/>
    <m/>
    <m/>
    <m/>
    <s v="33192400-6"/>
    <m/>
    <n v="1362000"/>
    <x v="2"/>
    <m/>
    <m/>
    <m/>
    <m/>
    <m/>
    <m/>
    <m/>
    <m/>
    <m/>
    <m/>
    <m/>
    <m/>
    <x v="0"/>
    <m/>
    <m/>
  </r>
  <r>
    <m/>
    <m/>
    <d v="2019-12-10T00:00:00"/>
    <s v="VZ-2019-001283"/>
    <x v="7"/>
    <s v="Jansa"/>
    <x v="440"/>
    <m/>
    <m/>
    <m/>
    <s v="45111000-8"/>
    <m/>
    <n v="4500000"/>
    <x v="2"/>
    <d v="2019-12-30T00:00:00"/>
    <d v="2020-01-14T00:00:00"/>
    <m/>
    <m/>
    <m/>
    <m/>
    <m/>
    <m/>
    <m/>
    <m/>
    <m/>
    <m/>
    <x v="0"/>
    <m/>
    <m/>
  </r>
  <r>
    <m/>
    <m/>
    <d v="2019-12-12T00:00:00"/>
    <s v="VZ-2019-001284"/>
    <x v="4"/>
    <s v="Srovnal"/>
    <x v="441"/>
    <m/>
    <m/>
    <m/>
    <s v="34136000-9"/>
    <s v="4.2.127."/>
    <n v="538000"/>
    <x v="2"/>
    <m/>
    <m/>
    <m/>
    <m/>
    <m/>
    <m/>
    <m/>
    <m/>
    <m/>
    <m/>
    <m/>
    <m/>
    <x v="0"/>
    <m/>
    <m/>
  </r>
  <r>
    <m/>
    <m/>
    <d v="2019-12-13T00:00:00"/>
    <s v="VZ-2019-001285"/>
    <x v="4"/>
    <s v="Eyer"/>
    <x v="442"/>
    <m/>
    <m/>
    <m/>
    <s v="45232221-7"/>
    <s v="4.2.121."/>
    <n v="5990000"/>
    <x v="2"/>
    <m/>
    <m/>
    <m/>
    <m/>
    <m/>
    <m/>
    <m/>
    <m/>
    <m/>
    <m/>
    <m/>
    <m/>
    <x v="0"/>
    <m/>
    <m/>
  </r>
  <r>
    <m/>
    <m/>
    <d v="2019-12-17T00:00:00"/>
    <s v="VZ-2019-001287"/>
    <x v="1"/>
    <s v="Oravec"/>
    <x v="443"/>
    <m/>
    <m/>
    <m/>
    <s v="72261000-2"/>
    <m/>
    <n v="910800"/>
    <x v="2"/>
    <d v="2019-12-27T00:00:00"/>
    <d v="2020-01-10T00:00:00"/>
    <m/>
    <m/>
    <m/>
    <m/>
    <m/>
    <m/>
    <m/>
    <m/>
    <m/>
    <m/>
    <x v="0"/>
    <m/>
    <m/>
  </r>
  <r>
    <m/>
    <m/>
    <d v="2019-12-16T00:00:00"/>
    <s v="VZ-2019-001288"/>
    <x v="5"/>
    <s v="Ondráčková"/>
    <x v="444"/>
    <n v="1"/>
    <s v="ERLOTINIB-HYDROCHLORID"/>
    <m/>
    <s v="33652000-5"/>
    <m/>
    <n v="9044345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x v="5"/>
    <s v="Ondráčková"/>
    <x v="444"/>
    <n v="2"/>
    <s v="SUNITINIB-MALÁT"/>
    <m/>
    <s v="33652000-5"/>
    <m/>
    <n v="48895034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x v="5"/>
    <s v="Ondráčková"/>
    <x v="444"/>
    <n v="3"/>
    <s v="SORAFENIB-TOSILÁT"/>
    <m/>
    <s v="33652000-5"/>
    <m/>
    <n v="15048787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x v="5"/>
    <s v="Ondráčková"/>
    <x v="444"/>
    <n v="4"/>
    <s v="MONOHYDRÁT DASATINIBU"/>
    <m/>
    <s v="33652000-5"/>
    <m/>
    <n v="26372808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x v="5"/>
    <s v="Ondráčková"/>
    <x v="444"/>
    <n v="5"/>
    <s v="MONOHYDRÁT LAPATINIB-DITOSILÁTU"/>
    <m/>
    <s v="33652000-5"/>
    <m/>
    <n v="2377087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88"/>
    <x v="5"/>
    <s v="Ondráčková"/>
    <x v="444"/>
    <n v="6"/>
    <s v="TEMSIROLIMUS"/>
    <m/>
    <s v="33652000-5"/>
    <m/>
    <n v="304833"/>
    <x v="0"/>
    <d v="2019-12-23T00:00:00"/>
    <d v="2020-01-27T00:00:00"/>
    <m/>
    <m/>
    <m/>
    <m/>
    <m/>
    <m/>
    <m/>
    <m/>
    <m/>
    <m/>
    <x v="0"/>
    <m/>
    <m/>
  </r>
  <r>
    <m/>
    <m/>
    <d v="2019-12-16T00:00:00"/>
    <s v="VZ-2019-001290"/>
    <x v="3"/>
    <s v="Smrčková"/>
    <x v="49"/>
    <m/>
    <m/>
    <m/>
    <s v="33772000-2"/>
    <m/>
    <n v="1993000"/>
    <x v="2"/>
    <d v="2019-12-30T00:00:00"/>
    <d v="2020-01-10T00:00:00"/>
    <m/>
    <m/>
    <m/>
    <m/>
    <m/>
    <m/>
    <m/>
    <m/>
    <m/>
    <m/>
    <x v="0"/>
    <m/>
    <m/>
  </r>
  <r>
    <m/>
    <m/>
    <d v="2019-12-19T00:00:00"/>
    <s v="VZ-2019-001292"/>
    <x v="3"/>
    <s v="Smrčková"/>
    <x v="445"/>
    <m/>
    <m/>
    <m/>
    <s v="30197644-2"/>
    <m/>
    <n v="900000"/>
    <x v="2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  <r>
    <m/>
    <m/>
    <m/>
    <m/>
    <x v="25"/>
    <m/>
    <x v="446"/>
    <m/>
    <m/>
    <m/>
    <m/>
    <m/>
    <m/>
    <x v="3"/>
    <m/>
    <m/>
    <m/>
    <m/>
    <m/>
    <m/>
    <m/>
    <m/>
    <m/>
    <m/>
    <m/>
    <m/>
    <x v="0"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8">
  <r>
    <s v="VZ-2017-000418"/>
    <x v="0"/>
    <s v="Dudík"/>
    <x v="0"/>
    <s v="65100000-4"/>
    <s v="4.3.7."/>
    <n v="1990000"/>
    <x v="0"/>
    <d v="2017-10-17T00:00:00"/>
    <d v="2017-10-26T00:00:00"/>
    <s v="AQUA Cleer, s.r.o."/>
    <n v="1782746"/>
    <n v="2157123"/>
    <x v="0"/>
  </r>
  <r>
    <s v="VZ-2017-000460"/>
    <x v="1"/>
    <s v="Dočkalová"/>
    <x v="1"/>
    <s v="33140000-3"/>
    <m/>
    <n v="611000"/>
    <x v="0"/>
    <d v="2017-06-16T00:00:00"/>
    <d v="2017-06-30T00:00:00"/>
    <s v="Pro-Charitu s.r.o."/>
    <n v="605184"/>
    <n v="732272.64000000001"/>
    <x v="1"/>
  </r>
  <r>
    <s v="VZ-2017-000538"/>
    <x v="2"/>
    <s v="Ondráčková"/>
    <x v="2"/>
    <s v="33652000-5"/>
    <m/>
    <n v="6503641.7999999998"/>
    <x v="1"/>
    <d v="2017-08-16T00:00:00"/>
    <d v="2017-09-26T00:00:00"/>
    <s v="Fresenius Kabi s.r.o."/>
    <n v="1087227.6000000001"/>
    <n v="1195950.3600000001"/>
    <x v="2"/>
  </r>
  <r>
    <s v="VZ-2017-000538"/>
    <x v="2"/>
    <s v="Ondráčková"/>
    <x v="3"/>
    <s v="33652000-5"/>
    <m/>
    <n v="381074.24"/>
    <x v="1"/>
    <d v="2017-08-16T00:00:00"/>
    <d v="2017-09-26T00:00:00"/>
    <s v="Pharmos, a.s."/>
    <n v="378320.36"/>
    <n v="416152.39600000001"/>
    <x v="2"/>
  </r>
  <r>
    <s v="VZ-2017-000561"/>
    <x v="2"/>
    <s v="Ondráčková"/>
    <x v="4"/>
    <s v="33694000-1"/>
    <m/>
    <n v="3381000"/>
    <x v="2"/>
    <d v="2017-08-25T00:00:00"/>
    <d v="2017-09-19T00:00:00"/>
    <s v="PharmaTech s.r.o."/>
    <n v="3381000"/>
    <n v="4091010"/>
    <x v="3"/>
  </r>
  <r>
    <s v="VZ-2017-000565"/>
    <x v="3"/>
    <s v="Neudorflörová"/>
    <x v="5"/>
    <s v="33192120-9"/>
    <s v="2.3.254."/>
    <n v="11705547"/>
    <x v="1"/>
    <d v="2017-09-07T00:00:00"/>
    <d v="2017-10-19T00:00:00"/>
    <s v="Linet s.r.o."/>
    <n v="14909928.1"/>
    <n v="18041013.000999998"/>
    <x v="4"/>
  </r>
  <r>
    <s v="VZ-2017-000573"/>
    <x v="3"/>
    <s v="Neudorflörová"/>
    <x v="6"/>
    <s v="33124120-2"/>
    <m/>
    <n v="24819752"/>
    <x v="1"/>
    <d v="2017-10-02T00:00:00"/>
    <d v="2017-11-09T00:00:00"/>
    <s v="EMS s.r.o."/>
    <n v="23792140"/>
    <n v="28788489.399999999"/>
    <x v="5"/>
  </r>
  <r>
    <s v="VZ-2017-000579"/>
    <x v="3"/>
    <s v="Neudorflörová"/>
    <x v="7"/>
    <s v="33157400-9 "/>
    <s v="2.3.259."/>
    <n v="11203695.869999999"/>
    <x v="1"/>
    <d v="2017-10-04T00:00:00"/>
    <d v="2018-01-03T00:00:00"/>
    <s v="medisap s.r.o."/>
    <n v="9147640"/>
    <n v="11068644.4"/>
    <x v="6"/>
  </r>
  <r>
    <s v="VZ-2017-000589 "/>
    <x v="4"/>
    <s v="Eyer"/>
    <x v="8"/>
    <s v="51135100-8"/>
    <s v="4.2.18."/>
    <n v="3500000"/>
    <x v="2"/>
    <d v="2017-08-30T00:00:00"/>
    <d v="2017-09-20T00:00:00"/>
    <s v="Bosch Termotechnika s.r.o."/>
    <n v="3220530"/>
    <n v="3896841.3"/>
    <x v="7"/>
  </r>
  <r>
    <s v="VZ-2017-000627"/>
    <x v="2"/>
    <s v="Ondráčková"/>
    <x v="9"/>
    <s v="33652300-8"/>
    <m/>
    <n v="2854864.68"/>
    <x v="1"/>
    <d v="2017-10-09T00:00:00"/>
    <d v="2017-11-23T00:00:00"/>
    <s v="Alliance Healthcare s.r.o."/>
    <n v="2854864.68"/>
    <n v="3140351.1480000005"/>
    <x v="8"/>
  </r>
  <r>
    <s v="VZ-2017-000627"/>
    <x v="2"/>
    <s v="Ondráčková"/>
    <x v="10"/>
    <s v="33652300-8"/>
    <m/>
    <n v="22808400"/>
    <x v="1"/>
    <d v="2017-10-09T00:00:00"/>
    <d v="2017-11-23T00:00:00"/>
    <s v="PHOENIX lék.velkoobchod, s.r.o."/>
    <n v="22780920"/>
    <n v="25059012.000000004"/>
    <x v="8"/>
  </r>
  <r>
    <s v="VZ-2017-000627"/>
    <x v="2"/>
    <s v="Ondráčková"/>
    <x v="11"/>
    <s v="33652300-8"/>
    <m/>
    <n v="47998332"/>
    <x v="1"/>
    <d v="2017-10-09T00:00:00"/>
    <d v="2017-11-23T00:00:00"/>
    <s v="Alliance Healthcare s.r.o."/>
    <n v="48195114.479999997"/>
    <n v="53014625.928000003"/>
    <x v="8"/>
  </r>
  <r>
    <s v="VZ-2017-000627"/>
    <x v="2"/>
    <s v="Ondráčková"/>
    <x v="12"/>
    <s v="33652300-8"/>
    <m/>
    <n v="42201746.560000002"/>
    <x v="1"/>
    <d v="2017-10-09T00:00:00"/>
    <d v="2017-11-23T00:00:00"/>
    <s v="ViaPharma s.r.o."/>
    <n v="41814288"/>
    <n v="45995716.800000004"/>
    <x v="8"/>
  </r>
  <r>
    <s v="VZ-2017-000627"/>
    <x v="2"/>
    <s v="Ondráčková"/>
    <x v="13"/>
    <s v="33652300-8"/>
    <m/>
    <n v="15420550.880000001"/>
    <x v="1"/>
    <d v="2017-10-09T00:00:00"/>
    <d v="2017-11-23T00:00:00"/>
    <s v="Merck Sharp &amp; Dohme s.r.o."/>
    <n v="15485324.960000001"/>
    <n v="17033858.199999999"/>
    <x v="8"/>
  </r>
  <r>
    <s v="VZ-2017-000628"/>
    <x v="2"/>
    <s v="Ondráčková"/>
    <x v="14"/>
    <s v="33141550-0"/>
    <m/>
    <n v="998754.74239839998"/>
    <x v="1"/>
    <d v="2017-09-19T00:00:00"/>
    <d v="2017-10-26T00:00:00"/>
    <s v="Sanofi-Aventis"/>
    <n v="998719"/>
    <n v="1098590.9000000001"/>
    <x v="9"/>
  </r>
  <r>
    <s v="VZ-2017-000641"/>
    <x v="5"/>
    <s v="Solovský"/>
    <x v="15"/>
    <s v="34300000-0; 50110000-9"/>
    <m/>
    <n v="2700000"/>
    <x v="1"/>
    <d v="2017-10-11T00:00:00"/>
    <d v="2017-11-21T00:00:00"/>
    <s v="Auto Čechák s.r.o."/>
    <s v="jednotkové ceny"/>
    <s v="jednotkové ceny"/>
    <x v="10"/>
  </r>
  <r>
    <s v="VZ-2017-000641"/>
    <x v="5"/>
    <s v="Solovský"/>
    <x v="16"/>
    <s v="34300000-0; 50110000-9"/>
    <m/>
    <n v="1150000"/>
    <x v="1"/>
    <d v="2017-10-11T00:00:00"/>
    <d v="2017-11-21T00:00:00"/>
    <s v="Jiří Klanica"/>
    <s v="jednotkové ceny"/>
    <s v="jednotkové ceny"/>
    <x v="10"/>
  </r>
  <r>
    <s v="VZ-2017-000641"/>
    <x v="5"/>
    <s v="Solovský"/>
    <x v="17"/>
    <s v="34300000-0; 50110000-9"/>
    <m/>
    <n v="150000"/>
    <x v="1"/>
    <d v="2017-10-11T00:00:00"/>
    <d v="2017-11-21T00:00:00"/>
    <s v="Auto Čechák s.r.o."/>
    <s v="jednotkové ceny"/>
    <s v="jednotkové ceny"/>
    <x v="10"/>
  </r>
  <r>
    <s v="VZ-2017-000679"/>
    <x v="2"/>
    <s v="Ondráčková"/>
    <x v="18"/>
    <s v="33696500-0"/>
    <m/>
    <n v="8700000"/>
    <x v="1"/>
    <d v="2017-10-20T00:00:00"/>
    <d v="2017-11-30T00:00:00"/>
    <s v="Promedica Praha Group, a.s."/>
    <n v="8612882"/>
    <n v="10421587.220000001"/>
    <x v="11"/>
  </r>
  <r>
    <s v="VZ-2017-000691"/>
    <x v="2"/>
    <s v="Ondráčková"/>
    <x v="19"/>
    <s v="33651520-9"/>
    <m/>
    <n v="3910221.46"/>
    <x v="1"/>
    <d v="2017-10-12T00:00:00"/>
    <d v="2017-11-22T00:00:00"/>
    <s v="PHOENIX lék.velkoobchod, s.r.o."/>
    <n v="3910198.44"/>
    <n v="4301218.28"/>
    <x v="3"/>
  </r>
  <r>
    <s v="VZ-2017-000691"/>
    <x v="2"/>
    <s v="Ondráčková"/>
    <x v="20"/>
    <s v="33651520-9"/>
    <m/>
    <n v="744173.64"/>
    <x v="1"/>
    <d v="2017-10-12T00:00:00"/>
    <d v="2017-11-22T00:00:00"/>
    <s v="SHIRE CZECH s.r.o."/>
    <n v="744167.52"/>
    <n v="818584.27"/>
    <x v="3"/>
  </r>
  <r>
    <s v="VZ2017-000704"/>
    <x v="6"/>
    <s v="Nerudová"/>
    <x v="21"/>
    <s v="39120000-9"/>
    <m/>
    <n v="380000"/>
    <x v="2"/>
    <d v="2017-10-18T00:00:00"/>
    <d v="2017-11-08T00:00:00"/>
    <s v="KSK nábytek s.r.o."/>
    <n v="316570"/>
    <n v="383049.7"/>
    <x v="12"/>
  </r>
  <r>
    <s v="VZ-2017-000734"/>
    <x v="2"/>
    <s v="Ondráčková"/>
    <x v="22"/>
    <s v="33661700-8"/>
    <m/>
    <n v="27876213.379999999"/>
    <x v="1"/>
    <d v="2017-11-03T00:00:00"/>
    <d v="2017-12-11T00:00:00"/>
    <s v="PHOENIX lék.velkoobchod, s.r.o."/>
    <n v="27821554.02"/>
    <n v="30603709.422000002"/>
    <x v="13"/>
  </r>
  <r>
    <s v="VZ-2017-000734"/>
    <x v="2"/>
    <s v="Ondráčková"/>
    <x v="23"/>
    <s v="33661700-8"/>
    <m/>
    <n v="146844"/>
    <x v="1"/>
    <d v="2017-11-03T00:00:00"/>
    <d v="2017-12-11T00:00:00"/>
    <s v="PHOENIX lék.velkoobchod, s.r.o."/>
    <n v="146844"/>
    <n v="161528.40000000002"/>
    <x v="13"/>
  </r>
  <r>
    <s v="VZ-2017-000734"/>
    <x v="2"/>
    <s v="Ondráčková"/>
    <x v="24"/>
    <s v="33661700-8"/>
    <m/>
    <n v="300384"/>
    <x v="1"/>
    <d v="2017-11-03T00:00:00"/>
    <d v="2017-12-11T00:00:00"/>
    <s v="Alliance Healthcare s.r.o."/>
    <n v="298302"/>
    <n v="328132.2"/>
    <x v="13"/>
  </r>
  <r>
    <s v="VZ-2017-000734"/>
    <x v="2"/>
    <s v="Ondráčková"/>
    <x v="25"/>
    <s v="33661700-8"/>
    <m/>
    <n v="159122"/>
    <x v="1"/>
    <d v="2017-11-03T00:00:00"/>
    <d v="2017-12-11T00:00:00"/>
    <s v="PHOENIX lék.velkoobchod, s.r.o."/>
    <n v="157830"/>
    <n v="173613"/>
    <x v="13"/>
  </r>
  <r>
    <s v="VZ-2017-000735"/>
    <x v="2"/>
    <s v="Ondráčková"/>
    <x v="26"/>
    <s v="33652100-6 "/>
    <m/>
    <n v="425317.92"/>
    <x v="1"/>
    <d v="2017-11-16T00:00:00"/>
    <d v="2017-12-29T00:00:00"/>
    <s v="PHOENIX lék.velkoobchod, s.r.o."/>
    <n v="421822.88"/>
    <n v="464005.16800000006"/>
    <x v="14"/>
  </r>
  <r>
    <s v="VZ-2017-000735"/>
    <x v="2"/>
    <s v="Ondráčková"/>
    <x v="27"/>
    <s v="33652100-6"/>
    <m/>
    <n v="4104326.9"/>
    <x v="1"/>
    <d v="2017-11-16T00:00:00"/>
    <d v="2017-12-29T00:00:00"/>
    <s v="Alliance Healthcare s.r.o."/>
    <n v="4066536.34"/>
    <n v="4473189.9740000004"/>
    <x v="14"/>
  </r>
  <r>
    <s v="VZ-2017-000735"/>
    <x v="2"/>
    <s v="Ondráčková"/>
    <x v="28"/>
    <s v="33652100-6"/>
    <m/>
    <n v="4551397.9400000004"/>
    <x v="1"/>
    <d v="2017-11-16T00:00:00"/>
    <d v="2017-12-29T00:00:00"/>
    <s v="ROCHE s.r.o."/>
    <n v="4454820.18"/>
    <n v="4900302.1979999999"/>
    <x v="14"/>
  </r>
  <r>
    <s v="VZ-2017-000735"/>
    <x v="2"/>
    <s v="Ondráčková"/>
    <x v="29"/>
    <s v="33652100-6"/>
    <m/>
    <n v="8263134"/>
    <x v="1"/>
    <d v="2017-11-16T00:00:00"/>
    <d v="2017-12-29T00:00:00"/>
    <s v="PHOENIX lék.velkoobchod, s.r.o."/>
    <n v="8263134"/>
    <n v="9089447.4000000004"/>
    <x v="14"/>
  </r>
  <r>
    <s v="VZ-2017-000735"/>
    <x v="2"/>
    <s v="Ondráčková"/>
    <x v="30"/>
    <s v="33652100-6"/>
    <m/>
    <n v="17024000"/>
    <x v="1"/>
    <d v="2017-11-16T00:00:00"/>
    <d v="2017-12-29T00:00:00"/>
    <s v="Gilead Sciences s.r.o."/>
    <n v="17024000"/>
    <n v="18726400"/>
    <x v="14"/>
  </r>
  <r>
    <s v="VZ-2017-000736"/>
    <x v="2"/>
    <s v="Ondráčková"/>
    <x v="31"/>
    <s v="33652300-8"/>
    <m/>
    <n v="2424242"/>
    <x v="1"/>
    <d v="2017-11-09T00:00:00"/>
    <d v="2017-12-20T00:00:00"/>
    <s v="Alliance Healthcare s.r.o."/>
    <n v="2424242"/>
    <n v="2666666.2000000002"/>
    <x v="15"/>
  </r>
  <r>
    <s v="VZ-2017-000736"/>
    <x v="2"/>
    <s v="Ondráčková"/>
    <x v="32"/>
    <s v="33652300-8"/>
    <m/>
    <n v="12396122.52"/>
    <x v="1"/>
    <d v="2017-11-09T00:00:00"/>
    <d v="2017-12-20T00:00:00"/>
    <s v="Janssen-Cilag s.r.o."/>
    <n v="12396122.52"/>
    <n v="13635734.772"/>
    <x v="15"/>
  </r>
  <r>
    <s v="VZ-2017-000736"/>
    <x v="2"/>
    <s v="Ondráčková"/>
    <x v="33"/>
    <s v="33652300-8"/>
    <m/>
    <n v="6897081.4000000004"/>
    <x v="1"/>
    <d v="2017-11-09T00:00:00"/>
    <d v="2017-12-20T00:00:00"/>
    <s v="ViaPharma s.r.o."/>
    <n v="6800669.8899999997"/>
    <n v="7480736.8790000007"/>
    <x v="15"/>
  </r>
  <r>
    <s v="VZ-2017-000736"/>
    <x v="2"/>
    <s v="Ondráčková"/>
    <x v="34"/>
    <s v="33652300-8"/>
    <m/>
    <n v="6660432"/>
    <x v="1"/>
    <d v="2017-11-09T00:00:00"/>
    <d v="2017-12-20T00:00:00"/>
    <s v="Alliance Healthcare s.r.o."/>
    <n v="6660432"/>
    <n v="7326475.2000000002"/>
    <x v="15"/>
  </r>
  <r>
    <s v="VZ-2017-000784"/>
    <x v="2"/>
    <s v="Ondráčková"/>
    <x v="35"/>
    <s v="33632200-1"/>
    <m/>
    <n v="2300220"/>
    <x v="1"/>
    <d v="2017-11-16T00:00:00"/>
    <d v="2017-12-28T00:00:00"/>
    <s v="PHOENIX lék.velkoobchod, s.r.o."/>
    <n v="2281312.7999999998"/>
    <n v="2509444.08"/>
    <x v="3"/>
  </r>
  <r>
    <s v="VZ-2017-000784"/>
    <x v="2"/>
    <s v="Ondráčková"/>
    <x v="36"/>
    <s v="33632200-1"/>
    <m/>
    <n v="7844306.4000000004"/>
    <x v="1"/>
    <d v="2017-11-16T00:00:00"/>
    <d v="2017-12-28T00:00:00"/>
    <s v="PHOENIX lék.velkoobchod, s.r.o."/>
    <n v="7766640"/>
    <n v="8543304"/>
    <x v="3"/>
  </r>
  <r>
    <s v="VZ-2017-000784"/>
    <x v="2"/>
    <s v="Ondráčková"/>
    <x v="37"/>
    <s v="33632200-1"/>
    <m/>
    <n v="5059432.22"/>
    <x v="1"/>
    <d v="2017-11-16T00:00:00"/>
    <d v="2017-12-28T00:00:00"/>
    <s v="Alliance Healthcare s.r.o."/>
    <n v="5014850.16"/>
    <n v="5516335.1760000009"/>
    <x v="3"/>
  </r>
  <r>
    <s v="VZ-2017-000799"/>
    <x v="7"/>
    <s v="Čech"/>
    <x v="38"/>
    <s v="33124210-0"/>
    <s v="2.3.293."/>
    <n v="865000"/>
    <x v="0"/>
    <d v="2017-11-16T00:00:00"/>
    <d v="2017-11-29T00:00:00"/>
    <s v="Canberra Packard s.r.o."/>
    <n v="1669200"/>
    <n v="2019732"/>
    <x v="16"/>
  </r>
  <r>
    <s v="VZ-2017-000802"/>
    <x v="8"/>
    <s v="Cahlíková"/>
    <x v="39"/>
    <s v="72225000-8"/>
    <m/>
    <n v="300000"/>
    <x v="0"/>
    <d v="2017-11-15T00:00:00"/>
    <d v="2017-11-24T00:00:00"/>
    <s v="Česká společnost pro akreditaci ve zdravotnictví"/>
    <n v="194000"/>
    <n v="234740"/>
    <x v="17"/>
  </r>
  <r>
    <s v="VZ-2017-000812"/>
    <x v="2"/>
    <s v="Ondráčková"/>
    <x v="40"/>
    <s v="33621300-2"/>
    <m/>
    <n v="1702608"/>
    <x v="0"/>
    <d v="2017-12-14T00:00:00"/>
    <d v="2018-01-24T00:00:00"/>
    <s v="zrušeno - překročení ceny"/>
    <m/>
    <m/>
    <x v="18"/>
  </r>
  <r>
    <s v="VZ-2017-000813"/>
    <x v="2"/>
    <s v="Ondráčková"/>
    <x v="41"/>
    <s v="33652300-8"/>
    <m/>
    <n v="131673.32"/>
    <x v="1"/>
    <d v="2017-11-30T00:00:00"/>
    <d v="2018-01-09T00:00:00"/>
    <s v="Alliance Healthcare s.r.o."/>
    <n v="131673.32"/>
    <n v="144840.65"/>
    <x v="19"/>
  </r>
  <r>
    <s v="VZ-2017-000813"/>
    <x v="2"/>
    <s v="Ondráčková"/>
    <x v="42"/>
    <s v="33652300-8"/>
    <m/>
    <n v="16902723.82"/>
    <x v="1"/>
    <d v="2017-11-30T00:00:00"/>
    <d v="2018-01-09T00:00:00"/>
    <s v="Astellas Pharma s.r.o."/>
    <n v="16902723.82"/>
    <n v="18592996.199999999"/>
    <x v="19"/>
  </r>
  <r>
    <s v="VZ-2017-000814"/>
    <x v="2"/>
    <s v="Ondráčková"/>
    <x v="43"/>
    <s v="33652000-5"/>
    <m/>
    <n v="2899656"/>
    <x v="1"/>
    <d v="2017-12-08T00:00:00"/>
    <d v="2018-01-16T00:00:00"/>
    <s v="Alliance Healthcare s.r.o."/>
    <n v="2038596"/>
    <n v="2242455.6"/>
    <x v="19"/>
  </r>
  <r>
    <s v="VZ-2017-000814"/>
    <x v="2"/>
    <s v="Ondráčková"/>
    <x v="44"/>
    <s v="33652000-5"/>
    <m/>
    <n v="4172051.48"/>
    <x v="1"/>
    <d v="2017-12-08T00:00:00"/>
    <d v="2018-01-16T00:00:00"/>
    <s v="ViaPharma s.r.o."/>
    <n v="4152182.9"/>
    <n v="4567401.1900000004"/>
    <x v="19"/>
  </r>
  <r>
    <s v="VZ-2017-000815"/>
    <x v="2"/>
    <s v="Ondráčková"/>
    <x v="45"/>
    <s v="33652000-5"/>
    <m/>
    <n v="39478800"/>
    <x v="1"/>
    <d v="2017-11-22T00:00:00"/>
    <d v="2018-01-03T00:00:00"/>
    <s v="Alliance Healthcare s.r.o."/>
    <n v="39474370"/>
    <n v="43421807"/>
    <x v="3"/>
  </r>
  <r>
    <s v="VZ-2017-000815"/>
    <x v="2"/>
    <s v="Ondráčková"/>
    <x v="46"/>
    <s v="33652000-5"/>
    <m/>
    <n v="11502108.060000001"/>
    <x v="1"/>
    <d v="2017-11-22T00:00:00"/>
    <d v="2018-01-03T00:00:00"/>
    <s v="PHOENIX lék.velkoobchod, s.r.o."/>
    <n v="11502108.060000001"/>
    <n v="12652318.866000002"/>
    <x v="3"/>
  </r>
  <r>
    <s v="VZ-2017-000815"/>
    <x v="2"/>
    <s v="Ondráčková"/>
    <x v="47"/>
    <s v="33652000-5"/>
    <m/>
    <n v="12729355.68"/>
    <x v="1"/>
    <d v="2017-11-22T00:00:00"/>
    <d v="2018-01-03T00:00:00"/>
    <s v="ROCHE s.r.o."/>
    <n v="12729355.68"/>
    <n v="14002291.248000002"/>
    <x v="3"/>
  </r>
  <r>
    <s v="VZ-2017-000815"/>
    <x v="2"/>
    <s v="Ondráčková"/>
    <x v="48"/>
    <s v="33652000-5"/>
    <m/>
    <n v="46981891"/>
    <x v="1"/>
    <d v="2017-11-22T00:00:00"/>
    <d v="2018-01-03T00:00:00"/>
    <s v="PHOENIX lék.velkoobchod, s.r.o."/>
    <n v="46981891"/>
    <n v="51680080.100000001"/>
    <x v="3"/>
  </r>
  <r>
    <s v="VZ-2017-000815"/>
    <x v="2"/>
    <s v="Ondráčková"/>
    <x v="49"/>
    <s v="33652000-5"/>
    <m/>
    <n v="3726366.8"/>
    <x v="1"/>
    <d v="2017-11-22T00:00:00"/>
    <d v="2018-01-03T00:00:00"/>
    <s v="BAYER s.r.o."/>
    <n v="3726366.28"/>
    <n v="4099002.9080000003"/>
    <x v="3"/>
  </r>
  <r>
    <s v="VZ-2017-000815"/>
    <x v="2"/>
    <s v="Ondráčková"/>
    <x v="50"/>
    <s v="33652000-5"/>
    <m/>
    <n v="23613480"/>
    <x v="1"/>
    <d v="2017-11-22T00:00:00"/>
    <d v="2018-01-03T00:00:00"/>
    <s v="ViaPharma s.r.o."/>
    <n v="23613480"/>
    <n v="25974828.000000004"/>
    <x v="3"/>
  </r>
  <r>
    <s v="VZ-2017-000815"/>
    <x v="2"/>
    <s v="Ondráčková"/>
    <x v="51"/>
    <s v="33652000-5"/>
    <m/>
    <n v="846944.64"/>
    <x v="1"/>
    <d v="2017-11-22T00:00:00"/>
    <d v="2018-01-03T00:00:00"/>
    <s v="Alliance Healthcare s.r.o."/>
    <n v="846764.64"/>
    <n v="931441.10400000005"/>
    <x v="3"/>
  </r>
  <r>
    <s v="VZ-2017-000816"/>
    <x v="2"/>
    <s v="Ondráčková"/>
    <x v="52"/>
    <s v="33652000-5"/>
    <m/>
    <n v="19704244.98"/>
    <x v="1"/>
    <d v="2017-11-30T00:00:00"/>
    <d v="2018-01-08T00:00:00"/>
    <s v="Alliance Healthcare s.r.o."/>
    <n v="19702774.98"/>
    <n v="21673052.478000004"/>
    <x v="20"/>
  </r>
  <r>
    <s v="VZ-2017-000816"/>
    <x v="2"/>
    <s v="Ondráčková"/>
    <x v="53"/>
    <s v="33652000-5"/>
    <m/>
    <n v="7155968.7599999998"/>
    <x v="1"/>
    <d v="2017-11-30T00:00:00"/>
    <d v="2018-01-08T00:00:00"/>
    <s v="Alliance Healthcare s.r.o."/>
    <n v="7155494.7599999998"/>
    <n v="7871044.2360000005"/>
    <x v="20"/>
  </r>
  <r>
    <s v="VZ-2017-000816"/>
    <x v="2"/>
    <s v="Ondráčková"/>
    <x v="54"/>
    <s v="33652000-5"/>
    <m/>
    <n v="3150972"/>
    <x v="1"/>
    <d v="2017-11-30T00:00:00"/>
    <d v="2018-01-08T00:00:00"/>
    <s v="Alliance Healthcare s.r.o."/>
    <n v="3150552"/>
    <n v="3465607.2"/>
    <x v="20"/>
  </r>
  <r>
    <s v="VZ-2017-000816"/>
    <x v="2"/>
    <s v="Ondráčková"/>
    <x v="55"/>
    <s v="33652000-5"/>
    <m/>
    <n v="6035861.1200000001"/>
    <x v="1"/>
    <d v="2017-11-30T00:00:00"/>
    <d v="2018-01-08T00:00:00"/>
    <s v="Boehringer Ingelheim, spol.s r.o."/>
    <n v="6035861.1200000001"/>
    <n v="6639447.2320000008"/>
    <x v="20"/>
  </r>
  <r>
    <s v="VZ-2017-000816"/>
    <x v="2"/>
    <s v="Ondráčková"/>
    <x v="56"/>
    <s v="33652000-5"/>
    <m/>
    <n v="2516460"/>
    <x v="1"/>
    <d v="2017-11-30T00:00:00"/>
    <d v="2018-01-08T00:00:00"/>
    <s v="ROCHE s.r.o."/>
    <n v="2513968.2000000002"/>
    <n v="2765365.0200000005"/>
    <x v="20"/>
  </r>
  <r>
    <s v="VZ-2017-000816"/>
    <x v="2"/>
    <s v="Ondráčková"/>
    <x v="57"/>
    <s v="33652000-5"/>
    <m/>
    <n v="6451139.04"/>
    <x v="1"/>
    <d v="2017-11-30T00:00:00"/>
    <d v="2018-01-08T00:00:00"/>
    <s v="PHOENIX lék.velkoobchod, s.r.o."/>
    <n v="6451139.04"/>
    <n v="7096252.9440000011"/>
    <x v="20"/>
  </r>
  <r>
    <s v="VZ-2017-000816"/>
    <x v="2"/>
    <s v="Ondráčková"/>
    <x v="58"/>
    <s v="33652000-5"/>
    <m/>
    <n v="1785220.92"/>
    <x v="1"/>
    <d v="2017-11-30T00:00:00"/>
    <d v="2018-01-08T00:00:00"/>
    <s v="zrušeno bez nabídky"/>
    <m/>
    <m/>
    <x v="18"/>
  </r>
  <r>
    <s v="VZ-2017-000819"/>
    <x v="9"/>
    <s v="Oravec"/>
    <x v="59"/>
    <s v="30125110-5"/>
    <m/>
    <n v="4145000"/>
    <x v="1"/>
    <d v="2017-11-29T00:00:00"/>
    <d v="2018-01-09T00:00:00"/>
    <s v="zrušeno"/>
    <m/>
    <m/>
    <x v="18"/>
  </r>
  <r>
    <s v="VZ-2017-000827"/>
    <x v="7"/>
    <s v="Čech"/>
    <x v="60"/>
    <s v="33171200-1 "/>
    <s v="2.3.299."/>
    <n v="380000"/>
    <x v="0"/>
    <d v="2017-11-22T00:00:00"/>
    <d v="2017-12-01T00:00:00"/>
    <s v="Olympus Czech Rep."/>
    <n v="321642"/>
    <n v="389186.82"/>
    <x v="21"/>
  </r>
  <r>
    <s v="VZ-2017-000834"/>
    <x v="2"/>
    <s v="Ondráčková"/>
    <x v="61"/>
    <s v="33652300-8 "/>
    <m/>
    <n v="269641.59999999998"/>
    <x v="1"/>
    <d v="2017-11-28T00:00:00"/>
    <d v="2018-01-04T00:00:00"/>
    <s v="ViaPharma s.r.o."/>
    <n v="215084.44"/>
    <n v="236592.88400000002"/>
    <x v="22"/>
  </r>
  <r>
    <s v="VZ-2017-000834"/>
    <x v="2"/>
    <s v="Ondráčková"/>
    <x v="62"/>
    <s v="33652300-8 "/>
    <m/>
    <n v="961347.58"/>
    <x v="1"/>
    <d v="2017-11-28T00:00:00"/>
    <d v="2018-01-04T00:00:00"/>
    <s v="Alliance Healthcare s.r.o."/>
    <n v="884156.96"/>
    <n v="972572.65600000008"/>
    <x v="22"/>
  </r>
  <r>
    <s v="VZ-2017-000834"/>
    <x v="2"/>
    <s v="Ondráčková"/>
    <x v="63"/>
    <s v="33652300-8 "/>
    <m/>
    <n v="21963590.640000001"/>
    <x v="1"/>
    <d v="2017-11-28T00:00:00"/>
    <d v="2018-01-04T00:00:00"/>
    <s v="ROCHE s.r.o."/>
    <n v="21963590.640000001"/>
    <n v="24159949.704000004"/>
    <x v="22"/>
  </r>
  <r>
    <s v="VZ-2017-000834"/>
    <x v="2"/>
    <s v="Ondráčková"/>
    <x v="64"/>
    <s v="33652300-8 "/>
    <m/>
    <n v="15393728.699999999"/>
    <x v="1"/>
    <d v="2017-11-28T00:00:00"/>
    <d v="2018-01-04T00:00:00"/>
    <s v="PHOENIX lék.velkoobchod, s.r.o."/>
    <n v="15393728.699999999"/>
    <n v="16933101.57"/>
    <x v="22"/>
  </r>
  <r>
    <s v="VZ-2017-000834"/>
    <x v="2"/>
    <s v="Ondráčková"/>
    <x v="65"/>
    <s v="33652300-8 "/>
    <m/>
    <n v="100133671"/>
    <x v="1"/>
    <d v="2017-11-28T00:00:00"/>
    <d v="2018-01-04T00:00:00"/>
    <s v="PHOENIX lék.velkoobchod, s.r.o."/>
    <n v="100133671"/>
    <n v="110147038.10000001"/>
    <x v="22"/>
  </r>
  <r>
    <s v="VZ-2017-000836"/>
    <x v="7"/>
    <s v="Čech"/>
    <x v="66"/>
    <s v="33121400-8"/>
    <s v="2.3.298."/>
    <n v="1530000"/>
    <x v="0"/>
    <d v="2017-11-28T00:00:00"/>
    <d v="2017-12-12T00:00:00"/>
    <s v="Widex Line spol. s r.o."/>
    <n v="1239740"/>
    <n v="1500085.4"/>
    <x v="23"/>
  </r>
  <r>
    <s v="VZ-2017-000838"/>
    <x v="4"/>
    <s v="Eyer"/>
    <x v="67"/>
    <s v="31154000-0"/>
    <s v="4.2.61."/>
    <n v="1035000"/>
    <x v="0"/>
    <d v="2017-11-30T00:00:00"/>
    <d v="2017-12-15T00:00:00"/>
    <s v="Firstpower a.s."/>
    <n v="950000"/>
    <n v="1149500"/>
    <x v="12"/>
  </r>
  <r>
    <s v="VZ-2017-000844"/>
    <x v="9"/>
    <s v="Oravec"/>
    <x v="68"/>
    <s v="30213500-0"/>
    <m/>
    <n v="1080000"/>
    <x v="0"/>
    <d v="2017-12-14T00:00:00"/>
    <d v="2017-12-22T00:00:00"/>
    <s v="Datascan s.r.o."/>
    <n v="1080430"/>
    <n v="1307320.3"/>
    <x v="12"/>
  </r>
  <r>
    <s v="VZ-2017-000848"/>
    <x v="10"/>
    <s v="Dočkalová"/>
    <x v="69"/>
    <s v="33681000-7"/>
    <m/>
    <n v="1041000"/>
    <x v="0"/>
    <d v="2017-12-08T00:00:00"/>
    <d v="2017-12-28T00:00:00"/>
    <s v="Medical M spol. s r.o."/>
    <n v="908121.2"/>
    <n v="1098826.652"/>
    <x v="1"/>
  </r>
  <r>
    <s v="VZ-2017-000848"/>
    <x v="10"/>
    <s v="Dočkalová"/>
    <x v="70"/>
    <s v="33681000-7"/>
    <m/>
    <n v="15000"/>
    <x v="0"/>
    <d v="2017-12-08T00:00:00"/>
    <d v="2017-12-28T00:00:00"/>
    <s v="DN FORMED Brno s.r.o."/>
    <n v="13000"/>
    <n v="15730"/>
    <x v="1"/>
  </r>
  <r>
    <s v="VZ-2017-000848"/>
    <x v="10"/>
    <s v="Dočkalová"/>
    <x v="71"/>
    <s v="33681000-7"/>
    <m/>
    <n v="485000"/>
    <x v="0"/>
    <d v="2017-12-08T00:00:00"/>
    <d v="2017-12-28T00:00:00"/>
    <s v="S.A.B. Impex  s.r.o."/>
    <n v="482819"/>
    <n v="584210.99"/>
    <x v="24"/>
  </r>
  <r>
    <s v="VZ-2017-000856"/>
    <x v="2"/>
    <s v="Ondráčková"/>
    <x v="72"/>
    <s v="33652100-6"/>
    <m/>
    <n v="2935333"/>
    <x v="1"/>
    <d v="2017-12-14T00:00:00"/>
    <d v="2018-01-23T00:00:00"/>
    <s v="ViaPharma s.r.o."/>
    <n v="1706551.24"/>
    <n v="1877206.3640000001"/>
    <x v="7"/>
  </r>
  <r>
    <s v="VZ-2017-000856"/>
    <x v="2"/>
    <s v="Ondráčková"/>
    <x v="73"/>
    <s v="33652100-6"/>
    <m/>
    <n v="807048"/>
    <x v="1"/>
    <d v="2017-12-14T00:00:00"/>
    <d v="2018-01-23T00:00:00"/>
    <s v="ViaPharma s.r.o."/>
    <n v="705125.42"/>
    <n v="775637.96200000006"/>
    <x v="7"/>
  </r>
  <r>
    <s v="VZ-2017-000856"/>
    <x v="2"/>
    <s v="Ondráčková"/>
    <x v="74"/>
    <s v="33652100-6"/>
    <m/>
    <n v="5890312"/>
    <x v="1"/>
    <d v="2017-12-14T00:00:00"/>
    <d v="2018-01-23T00:00:00"/>
    <s v="Alliance Healthcare s.r.o."/>
    <n v="5838408.4000000004"/>
    <n v="6422249.2400000012"/>
    <x v="7"/>
  </r>
  <r>
    <s v="VZ-2017-000856"/>
    <x v="2"/>
    <s v="Ondráčková"/>
    <x v="75"/>
    <s v="33652100-6"/>
    <m/>
    <n v="10176790"/>
    <x v="1"/>
    <d v="2017-12-14T00:00:00"/>
    <d v="2018-01-23T00:00:00"/>
    <s v="Amgen s.r.o."/>
    <n v="10176789.800000001"/>
    <n v="11194468.780000001"/>
    <x v="7"/>
  </r>
  <r>
    <s v="VZ-2017-000856"/>
    <x v="2"/>
    <s v="Ondráčková"/>
    <x v="76"/>
    <s v="33652100-6"/>
    <m/>
    <n v="1493238"/>
    <x v="1"/>
    <d v="2017-12-14T00:00:00"/>
    <d v="2018-01-23T00:00:00"/>
    <s v="Alliance Healthcare s.r.o."/>
    <n v="1494426.6"/>
    <n v="12313915.658000002"/>
    <x v="20"/>
  </r>
  <r>
    <s v="VZ-2017-000856"/>
    <x v="2"/>
    <s v="Ondráčková"/>
    <x v="77"/>
    <s v="33652100-6"/>
    <m/>
    <n v="360876"/>
    <x v="1"/>
    <d v="2017-12-14T00:00:00"/>
    <d v="2018-01-23T00:00:00"/>
    <s v="zrušeno bez nabídky"/>
    <m/>
    <m/>
    <x v="18"/>
  </r>
  <r>
    <s v="VZ-2017-000856"/>
    <x v="2"/>
    <s v="Ondráčková"/>
    <x v="78"/>
    <s v="33652100-6"/>
    <m/>
    <n v="1410369"/>
    <x v="1"/>
    <d v="2017-12-14T00:00:00"/>
    <d v="2018-01-23T00:00:00"/>
    <s v="zrušeno bez nabídky"/>
    <m/>
    <m/>
    <x v="18"/>
  </r>
  <r>
    <s v="VZ-2017-000856"/>
    <x v="2"/>
    <s v="Ondráčková"/>
    <x v="79"/>
    <s v="33652100-6"/>
    <m/>
    <n v="3703522"/>
    <x v="1"/>
    <d v="2017-12-14T00:00:00"/>
    <d v="2018-01-23T00:00:00"/>
    <s v="zrušeno bez nabídky"/>
    <m/>
    <m/>
    <x v="18"/>
  </r>
  <r>
    <s v="VZ-2017-000857"/>
    <x v="2"/>
    <s v="Ondráčková"/>
    <x v="80"/>
    <s v="33652300-8"/>
    <m/>
    <n v="40489140"/>
    <x v="1"/>
    <d v="2017-12-12T00:00:00"/>
    <d v="2018-01-22T00:00:00"/>
    <s v="Avenier a.s."/>
    <n v="40465770"/>
    <n v="44512347"/>
    <x v="7"/>
  </r>
  <r>
    <s v="VZ-2017-000857"/>
    <x v="2"/>
    <s v="Ondráčková"/>
    <x v="81"/>
    <s v="33652300-8"/>
    <m/>
    <n v="80635182"/>
    <x v="1"/>
    <d v="2017-12-12T00:00:00"/>
    <d v="2018-01-22T00:00:00"/>
    <s v="Alliance Healthcare s.r.o."/>
    <n v="80635181.540000007"/>
    <n v="88698699.694000021"/>
    <x v="7"/>
  </r>
  <r>
    <s v="VZ-2017-000857"/>
    <x v="2"/>
    <s v="Ondráčková"/>
    <x v="82"/>
    <s v="33652300-8"/>
    <m/>
    <n v="27845933"/>
    <x v="1"/>
    <d v="2017-12-12T00:00:00"/>
    <d v="2018-01-22T00:00:00"/>
    <s v="Sanofi-Aventis"/>
    <n v="27845932.800000001"/>
    <n v="30630526.080000002"/>
    <x v="7"/>
  </r>
  <r>
    <s v="VZ-2017-000857"/>
    <x v="2"/>
    <s v="Ondráčková"/>
    <x v="83"/>
    <s v="33652300-8"/>
    <m/>
    <n v="3061412"/>
    <x v="1"/>
    <d v="2017-12-12T00:00:00"/>
    <d v="2018-01-22T00:00:00"/>
    <s v="Sanofi-Aventis"/>
    <n v="3061411.8"/>
    <n v="3367552.98"/>
    <x v="7"/>
  </r>
  <r>
    <s v="VZ-2017-000857"/>
    <x v="2"/>
    <s v="Ondráčková"/>
    <x v="84"/>
    <s v="33652300-8"/>
    <m/>
    <n v="2068139"/>
    <x v="1"/>
    <d v="2017-12-12T00:00:00"/>
    <d v="2018-01-22T00:00:00"/>
    <s v="zrušeno - překročení ceny"/>
    <m/>
    <m/>
    <x v="18"/>
  </r>
  <r>
    <s v="VZ-2017-000864"/>
    <x v="11"/>
    <s v="Kvapil"/>
    <x v="85"/>
    <s v="45215100-8 "/>
    <s v="1.3.10."/>
    <n v="33000000"/>
    <x v="1"/>
    <d v="2018-01-11T00:00:00"/>
    <d v="2018-02-16T00:00:00"/>
    <s v="OHL ŽS, a.s."/>
    <n v="32998064.449999999"/>
    <n v="39927657.984499998"/>
    <x v="25"/>
  </r>
  <r>
    <s v="VZ-2017-000869"/>
    <x v="4"/>
    <s v="Srovnal"/>
    <x v="86"/>
    <s v="45311000-0"/>
    <s v="4.2.16."/>
    <n v="3595950"/>
    <x v="0"/>
    <d v="2017-12-18T00:00:00"/>
    <d v="2018-01-05T00:00:00"/>
    <s v="zrušeno - NTMC se nebude realizovat"/>
    <m/>
    <m/>
    <x v="18"/>
  </r>
  <r>
    <s v="VZ-2017-000875"/>
    <x v="7"/>
    <s v="Čech"/>
    <x v="87"/>
    <s v="33116100-6"/>
    <s v="2.3.294."/>
    <n v="305000"/>
    <x v="0"/>
    <d v="2017-12-18T00:00:00"/>
    <d v="2018-01-04T00:00:00"/>
    <s v="Medtronic Czechia s.r.o."/>
    <n v="217271"/>
    <n v="262897.90999999997"/>
    <x v="26"/>
  </r>
  <r>
    <s v="VZ-2017-000881"/>
    <x v="12"/>
    <s v="Vaida"/>
    <x v="88"/>
    <s v="45215100-8"/>
    <m/>
    <n v="7200000"/>
    <x v="2"/>
    <d v="2017-12-19T00:00:00"/>
    <d v="2018-01-10T00:00:00"/>
    <s v="A-Z STAVBY s.r.o."/>
    <n v="7126872"/>
    <n v="8623515.1199999992"/>
    <x v="27"/>
  </r>
  <r>
    <s v="VZ-2017-000883"/>
    <x v="13"/>
    <s v="Hýža"/>
    <x v="89"/>
    <s v="39314000-6"/>
    <s v="4.2.7."/>
    <n v="1900000"/>
    <x v="0"/>
    <d v="2018-01-03T00:00:00"/>
    <d v="2018-01-16T00:00:00"/>
    <s v="Gastrocentrum s.r.o."/>
    <n v="1798000"/>
    <n v="2175580"/>
    <x v="24"/>
  </r>
  <r>
    <s v="VZ-2017-000884"/>
    <x v="10"/>
    <s v="Dočkalová"/>
    <x v="90"/>
    <s v="33141000-0 "/>
    <m/>
    <n v="1027000"/>
    <x v="0"/>
    <d v="2017-12-20T00:00:00"/>
    <d v="2018-01-10T00:00:00"/>
    <s v="MEDIFORM spol. s r.o."/>
    <n v="971868"/>
    <n v="1176764.8999999999"/>
    <x v="9"/>
  </r>
  <r>
    <s v="VZ-2017-000885"/>
    <x v="2"/>
    <s v="Ondráčková"/>
    <x v="91"/>
    <s v="33652000-5"/>
    <m/>
    <n v="14719291"/>
    <x v="1"/>
    <d v="2017-12-20T00:00:00"/>
    <d v="2018-02-20T00:00:00"/>
    <s v="Boehringer Ingelheim, spol.s r.o."/>
    <n v="14135582.060000001"/>
    <n v="15549140.266000003"/>
    <x v="9"/>
  </r>
  <r>
    <s v="VZ-2017-000885"/>
    <x v="2"/>
    <s v="Ondráčková"/>
    <x v="92"/>
    <s v="33652000-5"/>
    <m/>
    <n v="15915347"/>
    <x v="1"/>
    <d v="2017-12-20T00:00:00"/>
    <d v="2018-02-20T00:00:00"/>
    <s v="Alliance Healthcare s.r.o."/>
    <n v="15914941.6"/>
    <n v="17506435.760000002"/>
    <x v="25"/>
  </r>
  <r>
    <s v="VZ-2017-000885"/>
    <x v="2"/>
    <s v="Ondráčková"/>
    <x v="93"/>
    <s v="33652000-5"/>
    <m/>
    <n v="2900994"/>
    <x v="1"/>
    <d v="2017-12-20T00:00:00"/>
    <d v="2018-02-20T00:00:00"/>
    <s v="BAYER s.r.o."/>
    <n v="2900993.94"/>
    <n v="3191093.3340000003"/>
    <x v="9"/>
  </r>
  <r>
    <s v="VZ-2017-000885"/>
    <x v="2"/>
    <s v="Ondráčková"/>
    <x v="94"/>
    <s v="33652000-5"/>
    <m/>
    <n v="12262903"/>
    <x v="1"/>
    <d v="2017-12-20T00:00:00"/>
    <d v="2018-02-20T00:00:00"/>
    <s v="Alliance Healthcare s.r.o."/>
    <n v="12262496"/>
    <n v="13488745.600000001"/>
    <x v="9"/>
  </r>
  <r>
    <s v="VZ-2017-000885"/>
    <x v="2"/>
    <s v="Ondráčková"/>
    <x v="95"/>
    <s v="33652000-5"/>
    <m/>
    <n v="50787000"/>
    <x v="1"/>
    <d v="2017-12-20T00:00:00"/>
    <d v="2018-02-20T00:00:00"/>
    <s v="Janssen-Cilag s.r.o."/>
    <n v="50787000"/>
    <n v="55865700.000000007"/>
    <x v="9"/>
  </r>
  <r>
    <s v="VZ-2017-000885"/>
    <x v="2"/>
    <s v="Ondráčková"/>
    <x v="96"/>
    <s v="33652000-5"/>
    <m/>
    <n v="4387442"/>
    <x v="1"/>
    <d v="2017-12-20T00:00:00"/>
    <d v="2018-02-20T00:00:00"/>
    <s v="PHOENIX lék.velkoobchod, s.r.o."/>
    <n v="4387441.76"/>
    <n v="4826185.9359999998"/>
    <x v="9"/>
  </r>
  <r>
    <s v="VZ-2017-000885"/>
    <x v="2"/>
    <s v="Ondráčková"/>
    <x v="97"/>
    <s v="33652000-5"/>
    <m/>
    <n v="3124080"/>
    <x v="1"/>
    <d v="2017-12-20T00:00:00"/>
    <d v="2018-02-20T00:00:00"/>
    <s v="zrušeno - bez nabídky"/>
    <m/>
    <m/>
    <x v="18"/>
  </r>
  <r>
    <s v="VZ-2017-000885"/>
    <x v="2"/>
    <s v="Ondráčková"/>
    <x v="98"/>
    <s v="33652000-5"/>
    <m/>
    <n v="4084640"/>
    <x v="1"/>
    <d v="2017-12-20T00:00:00"/>
    <d v="2018-02-20T00:00:00"/>
    <s v="zrušeno - bez nabídky"/>
    <m/>
    <m/>
    <x v="18"/>
  </r>
  <r>
    <s v="VZ-2017-000891"/>
    <x v="9"/>
    <s v="Oravec"/>
    <x v="99"/>
    <s v="32422000-7"/>
    <s v="3.2.24."/>
    <n v="3500000"/>
    <x v="2"/>
    <d v="2018-01-08T00:00:00"/>
    <d v="2018-01-29T00:00:00"/>
    <s v="Merit Group, a.s."/>
    <n v="3481500"/>
    <n v="4212615"/>
    <x v="28"/>
  </r>
  <r>
    <s v="VZ-2018-000006"/>
    <x v="11"/>
    <s v="Junek"/>
    <x v="100"/>
    <s v="71000000-8"/>
    <s v="1.3.13."/>
    <n v="1000000"/>
    <x v="0"/>
    <d v="2018-01-16T00:00:00"/>
    <d v="2018-01-25T00:00:00"/>
    <s v="KANIA, a.s."/>
    <n v="1997500"/>
    <n v="2416975"/>
    <x v="29"/>
  </r>
  <r>
    <s v="VZ-2018-000007"/>
    <x v="7"/>
    <s v="Čech"/>
    <x v="101"/>
    <s v="33162100-4"/>
    <s v="2.3.274."/>
    <n v="2628500"/>
    <x v="1"/>
    <d v="2018-02-26T00:00:00"/>
    <d v="2018-04-06T00:00:00"/>
    <s v="Intuitive Surgical Sarl"/>
    <n v="2628500"/>
    <n v="3180485"/>
    <x v="25"/>
  </r>
  <r>
    <s v="VZ-2018-000008"/>
    <x v="13"/>
    <s v="Hýža"/>
    <x v="102"/>
    <s v="98370000-7"/>
    <m/>
    <n v="1400000"/>
    <x v="0"/>
    <d v="2018-01-26T00:00:00"/>
    <d v="2018-02-06T00:00:00"/>
    <s v="MISERICORDIA s.r.o."/>
    <n v="1500000"/>
    <n v="1725000"/>
    <x v="30"/>
  </r>
  <r>
    <s v="VZ-2018-000013"/>
    <x v="3"/>
    <s v="Neudorflörová"/>
    <x v="103"/>
    <s v="33191000-5"/>
    <s v="2.2.111."/>
    <n v="1530435"/>
    <x v="1"/>
    <d v="2018-03-01T00:00:00"/>
    <d v="2018-04-18T00:00:00"/>
    <s v="MIELE, spol. s r.o."/>
    <n v="1690200"/>
    <n v="2045142"/>
    <x v="31"/>
  </r>
  <r>
    <s v="VZ-2018-000014"/>
    <x v="3"/>
    <s v="Neudorflörová"/>
    <x v="104"/>
    <s v="33169100-3"/>
    <s v="2.2.109."/>
    <n v="2500000"/>
    <x v="1"/>
    <d v="2018-03-19T00:00:00"/>
    <d v="2018-04-26T00:00:00"/>
    <s v="HOSPIMED, spol. s r.o."/>
    <n v="2357657"/>
    <n v="2852764.9699999997"/>
    <x v="32"/>
  </r>
  <r>
    <s v="VZ-2018-000019"/>
    <x v="4"/>
    <s v="Srovnal"/>
    <x v="105"/>
    <s v="45311000-0 "/>
    <s v="4.2.16."/>
    <n v="1160000"/>
    <x v="0"/>
    <d v="2018-01-11T00:00:00"/>
    <d v="2018-01-18T00:00:00"/>
    <s v="ELPREMO, spol. s r.o."/>
    <n v="1128398"/>
    <n v="1365361.58"/>
    <x v="3"/>
  </r>
  <r>
    <s v="VZ-2018-000030"/>
    <x v="3"/>
    <s v="Neudorflörová"/>
    <x v="106"/>
    <s v="33169000-2"/>
    <s v="2.2.107."/>
    <n v="205498"/>
    <x v="1"/>
    <d v="2018-04-16T00:00:00"/>
    <d v="2018-05-25T00:00:00"/>
    <s v="ProSpon spol. s r.o."/>
    <n v="190168"/>
    <n v="230103.28"/>
    <x v="33"/>
  </r>
  <r>
    <s v="VZ-2018-000033"/>
    <x v="14"/>
    <s v="Hýža"/>
    <x v="107"/>
    <s v="90500000-2"/>
    <m/>
    <n v="28842000"/>
    <x v="1"/>
    <d v="2018-02-07T00:00:00"/>
    <d v="2018-04-16T00:00:00"/>
    <s v="SUEZ Využití zdrojů a.s."/>
    <n v="25828432"/>
    <n v="31252402.719999999"/>
    <x v="34"/>
  </r>
  <r>
    <s v="VZ-2018-000046"/>
    <x v="14"/>
    <s v="Hýža"/>
    <x v="108"/>
    <s v="34913000-0 "/>
    <m/>
    <n v="3000000"/>
    <x v="1"/>
    <d v="2018-02-21T00:00:00"/>
    <d v="2018-04-09T00:00:00"/>
    <s v="PROFITERM PROTECH s.r.o."/>
    <n v="2657498"/>
    <n v="3215572.58"/>
    <x v="35"/>
  </r>
  <r>
    <s v="VZ-2018-000046"/>
    <x v="14"/>
    <s v="Hýža"/>
    <x v="109"/>
    <s v="34913000-0 "/>
    <m/>
    <n v="5000000"/>
    <x v="1"/>
    <d v="2018-02-21T00:00:00"/>
    <d v="2018-04-09T00:00:00"/>
    <s v="PROFITERM PROTECH s.r.o."/>
    <n v="3880000"/>
    <n v="4694800"/>
    <x v="35"/>
  </r>
  <r>
    <s v="VZ-2018-000052"/>
    <x v="3"/>
    <s v="Neudorflörová"/>
    <x v="110"/>
    <s v="33172100-7"/>
    <s v="2.3.258."/>
    <n v="11951508"/>
    <x v="1"/>
    <d v="2018-01-24T00:00:00"/>
    <d v="2018-03-06T00:00:00"/>
    <s v="medisap s.r.o."/>
    <n v="8103390"/>
    <n v="9805101.9000000004"/>
    <x v="36"/>
  </r>
  <r>
    <s v="VZ-2018-000052"/>
    <x v="3"/>
    <s v="Neudorflörová"/>
    <x v="111"/>
    <s v="33172100-7"/>
    <s v="2.3.258."/>
    <n v="6639727"/>
    <x v="1"/>
    <d v="2018-01-24T00:00:00"/>
    <d v="2018-03-06T00:00:00"/>
    <s v="medisap s.r.o."/>
    <n v="6182390"/>
    <n v="7480691.8999999994"/>
    <x v="36"/>
  </r>
  <r>
    <s v="VZ-2018-000064"/>
    <x v="6"/>
    <s v="Nerudová"/>
    <x v="112"/>
    <s v="39120000-9"/>
    <m/>
    <n v="1000000"/>
    <x v="1"/>
    <d v="2018-02-01T00:00:00"/>
    <d v="2018-03-13T00:00:00"/>
    <s v="KSK nábytek s.r.o."/>
    <n v="839309"/>
    <n v="1015563.89"/>
    <x v="37"/>
  </r>
  <r>
    <s v="VZ-2018-000070"/>
    <x v="10"/>
    <s v="Merta"/>
    <x v="113"/>
    <s v="33182100-0"/>
    <m/>
    <n v="129840000"/>
    <x v="1"/>
    <d v="2018-02-02T00:00:00"/>
    <d v="2018-03-22T00:00:00"/>
    <s v="Cardiomedical, s.r.o."/>
    <n v="129840000"/>
    <n v="149316000"/>
    <x v="38"/>
  </r>
  <r>
    <s v="VZ-2018-000070"/>
    <x v="10"/>
    <s v="Merta"/>
    <x v="114"/>
    <s v="33182100-0"/>
    <m/>
    <n v="2326000"/>
    <x v="1"/>
    <d v="2018-02-02T00:00:00"/>
    <d v="2018-03-22T00:00:00"/>
    <s v="Medtronic Czechia s.r.o."/>
    <n v="2324426.0499999998"/>
    <n v="2673089.96"/>
    <x v="38"/>
  </r>
  <r>
    <s v="VZ-2018-000070"/>
    <x v="10"/>
    <s v="Merta"/>
    <x v="115"/>
    <s v="33182100-0"/>
    <m/>
    <n v="28076000"/>
    <x v="1"/>
    <d v="2018-02-02T00:00:00"/>
    <d v="2018-03-22T00:00:00"/>
    <s v="Cardion s.r.o."/>
    <n v="27870300"/>
    <n v="32050845"/>
    <x v="38"/>
  </r>
  <r>
    <s v="VZ-2018-000070"/>
    <x v="10"/>
    <s v="Merta"/>
    <x v="116"/>
    <s v="33182100-0"/>
    <m/>
    <n v="24761000"/>
    <x v="1"/>
    <d v="2018-02-02T00:00:00"/>
    <d v="2018-03-22T00:00:00"/>
    <s v="Biomedica ČS s.r.o."/>
    <n v="24760000"/>
    <n v="28474000"/>
    <x v="38"/>
  </r>
  <r>
    <s v="VZ-2018-000070"/>
    <x v="10"/>
    <s v="Merta"/>
    <x v="117"/>
    <s v="33182100-0"/>
    <m/>
    <n v="6016000"/>
    <x v="1"/>
    <d v="2018-02-02T00:00:00"/>
    <d v="2018-03-22T00:00:00"/>
    <s v="INLAB Medical, s.r.o."/>
    <n v="5845500"/>
    <n v="6722325"/>
    <x v="38"/>
  </r>
  <r>
    <s v="VZ-2018-000070"/>
    <x v="10"/>
    <s v="Merta"/>
    <x v="118"/>
    <s v="33182100-0"/>
    <m/>
    <n v="23756000"/>
    <x v="1"/>
    <d v="2018-02-02T00:00:00"/>
    <d v="2018-03-22T00:00:00"/>
    <s v="INLAB Medical, s.r.o."/>
    <n v="23718020"/>
    <n v="27275723"/>
    <x v="38"/>
  </r>
  <r>
    <s v="VZ-2018-000078"/>
    <x v="11"/>
    <s v="Valíček"/>
    <x v="119"/>
    <s v="71000000-8"/>
    <s v="1.2.52."/>
    <n v="350000"/>
    <x v="0"/>
    <d v="2018-02-19T00:00:00"/>
    <d v="2018-02-27T00:00:00"/>
    <s v="MEDICOPROJEKT s.r.o."/>
    <n v="266000"/>
    <n v="321860"/>
    <x v="39"/>
  </r>
  <r>
    <s v="VZ-2018-000085"/>
    <x v="12"/>
    <s v="Vaida"/>
    <x v="120"/>
    <s v="45215100-8"/>
    <s v="4.3.4."/>
    <n v="2800000"/>
    <x v="0"/>
    <d v="2018-02-13T00:00:00"/>
    <d v="2018-02-27T00:00:00"/>
    <s v="zrušeno"/>
    <m/>
    <m/>
    <x v="18"/>
  </r>
  <r>
    <s v="VZ-2018-000087"/>
    <x v="6"/>
    <s v="Nerudová"/>
    <x v="121"/>
    <s v="19231000-4"/>
    <m/>
    <n v="1400000"/>
    <x v="0"/>
    <d v="2018-02-13T00:00:00"/>
    <d v="2018-02-22T00:00:00"/>
    <s v="Kurýr JMP s.r.o."/>
    <n v="1079700"/>
    <n v="1306437"/>
    <x v="40"/>
  </r>
  <r>
    <s v="VZ-2018-000089"/>
    <x v="10"/>
    <s v="Merta"/>
    <x v="122"/>
    <s v="33182210-4"/>
    <m/>
    <n v="27291000"/>
    <x v="1"/>
    <d v="2018-02-13T00:00:00"/>
    <d v="2018-04-11T00:00:00"/>
    <s v="Cardiomed, s.r.o."/>
    <n v="27290965"/>
    <n v="31384609.75"/>
    <x v="41"/>
  </r>
  <r>
    <s v="VZ-2018-000089"/>
    <x v="10"/>
    <s v="Merta"/>
    <x v="123"/>
    <s v="33182210-4"/>
    <m/>
    <n v="391000"/>
    <x v="1"/>
    <d v="2018-02-13T00:00:00"/>
    <d v="2018-04-11T00:00:00"/>
    <s v="CARDION s.r.o."/>
    <n v="390960.87"/>
    <n v="449605"/>
    <x v="41"/>
  </r>
  <r>
    <s v="VZ-2018-000089"/>
    <x v="10"/>
    <s v="Merta"/>
    <x v="124"/>
    <s v="33182210-4"/>
    <m/>
    <n v="6412000"/>
    <x v="1"/>
    <d v="2018-02-13T00:00:00"/>
    <d v="2018-04-11T00:00:00"/>
    <s v="MEDKOTECH s.r.o."/>
    <n v="6016920"/>
    <n v="6919458"/>
    <x v="41"/>
  </r>
  <r>
    <s v="VZ-2018-000089"/>
    <x v="10"/>
    <s v="Merta"/>
    <x v="125"/>
    <s v="33182210-4"/>
    <m/>
    <n v="6883000"/>
    <x v="1"/>
    <d v="2018-02-13T00:00:00"/>
    <d v="2018-04-11T00:00:00"/>
    <s v="Medtronic Czechia s.r.o."/>
    <n v="6200000"/>
    <n v="7130000"/>
    <x v="41"/>
  </r>
  <r>
    <s v="VZ-2018-000089"/>
    <x v="10"/>
    <s v="Merta"/>
    <x v="126"/>
    <s v="33182210-4"/>
    <m/>
    <n v="5956000"/>
    <x v="1"/>
    <d v="2018-02-13T00:00:00"/>
    <d v="2018-04-11T00:00:00"/>
    <s v="bez nabídky"/>
    <m/>
    <m/>
    <x v="18"/>
  </r>
  <r>
    <s v="VZ-2018-000090"/>
    <x v="6"/>
    <s v="Nerudová"/>
    <x v="127"/>
    <s v="39112000-0"/>
    <m/>
    <n v="720000"/>
    <x v="0"/>
    <d v="2018-02-19T00:00:00"/>
    <d v="2018-02-28T00:00:00"/>
    <s v="AJAX CZ s.r.o."/>
    <n v="634260"/>
    <n v="767454.6"/>
    <x v="42"/>
  </r>
  <r>
    <s v="VZ-2018-000098"/>
    <x v="13"/>
    <s v="Hýža"/>
    <x v="128"/>
    <s v="45231510-3"/>
    <s v="1.1.10."/>
    <n v="490000"/>
    <x v="0"/>
    <d v="2018-02-19T00:00:00"/>
    <d v="2018-02-28T00:00:00"/>
    <s v="PROFITERM PROCZECH s.r.o. "/>
    <n v="479015"/>
    <n v="579608.15"/>
    <x v="39"/>
  </r>
  <r>
    <s v="VZ-2018-000103"/>
    <x v="3"/>
    <s v="Neudorflörová"/>
    <x v="129"/>
    <s v="33124110-9"/>
    <s v="2.2.108"/>
    <n v="3998000"/>
    <x v="1"/>
    <d v="2018-05-10T00:00:00"/>
    <d v="2018-07-16T00:00:00"/>
    <s v="Laparotech Instruments s.r.o."/>
    <n v="3584980"/>
    <n v="4337825.8"/>
    <x v="43"/>
  </r>
  <r>
    <s v="VZ-2018-000106"/>
    <x v="13"/>
    <s v="Hýža"/>
    <x v="130"/>
    <s v="39314000-6"/>
    <s v=" 4.2.86."/>
    <n v="826000"/>
    <x v="0"/>
    <d v="2018-02-26T00:00:00"/>
    <d v="2018-03-09T00:00:00"/>
    <s v="GastroMach s.r.o."/>
    <n v="498700"/>
    <n v="603427"/>
    <x v="44"/>
  </r>
  <r>
    <s v="VZ-2018-000106"/>
    <x v="13"/>
    <s v="Hýža"/>
    <x v="131"/>
    <s v="39314000-6"/>
    <s v="4.2.83."/>
    <n v="37000"/>
    <x v="0"/>
    <d v="2018-02-26T00:00:00"/>
    <d v="2018-03-09T00:00:00"/>
    <s v="zrušeno"/>
    <m/>
    <m/>
    <x v="18"/>
  </r>
  <r>
    <s v="VZ-2018-000106"/>
    <x v="13"/>
    <s v="Hýža"/>
    <x v="132"/>
    <s v="39314000-6"/>
    <s v="4.2.84."/>
    <n v="37000"/>
    <x v="0"/>
    <d v="2018-02-26T00:00:00"/>
    <d v="2018-03-09T00:00:00"/>
    <s v="Jiří Ruček SET ES"/>
    <n v="15817"/>
    <n v="19138.57"/>
    <x v="9"/>
  </r>
  <r>
    <s v="VZ-2018-000107"/>
    <x v="3"/>
    <s v="Neudorflörová"/>
    <x v="133"/>
    <s v="33192200-4"/>
    <s v="2.3.290."/>
    <n v="1118895"/>
    <x v="1"/>
    <d v="2018-05-18T00:00:00"/>
    <d v="2018-06-27T00:00:00"/>
    <s v="RQL s.r.o."/>
    <n v="630492"/>
    <n v="762895.32"/>
    <x v="45"/>
  </r>
  <r>
    <s v="VZ-2018-000108"/>
    <x v="15"/>
    <s v="Zemánek"/>
    <x v="134"/>
    <s v="50421000-2"/>
    <m/>
    <n v="190000"/>
    <x v="0"/>
    <d v="2018-03-07T00:00:00"/>
    <d v="2018-03-20T00:00:00"/>
    <s v="HZZ, a.s."/>
    <s v="jednotkové ceny"/>
    <s v="jednotkové ceny"/>
    <x v="46"/>
  </r>
  <r>
    <s v="VZ-2018-000112"/>
    <x v="15"/>
    <s v="Zemánek"/>
    <x v="135"/>
    <s v="50421000-2"/>
    <m/>
    <n v="370000"/>
    <x v="0"/>
    <d v="2018-03-12T00:00:00"/>
    <d v="2018-03-22T00:00:00"/>
    <s v="zrušeno"/>
    <m/>
    <m/>
    <x v="18"/>
  </r>
  <r>
    <s v="VZ-2018-000117"/>
    <x v="12"/>
    <s v="Vaida"/>
    <x v="136"/>
    <s v="45432210-9 "/>
    <m/>
    <n v="600000"/>
    <x v="0"/>
    <d v="2018-02-21T00:00:00"/>
    <d v="2018-03-01T00:00:00"/>
    <s v="zrušeno"/>
    <m/>
    <m/>
    <x v="18"/>
  </r>
  <r>
    <s v="VZ-2018-000118"/>
    <x v="12"/>
    <s v="Vaida"/>
    <x v="137"/>
    <s v="45233160-8 "/>
    <m/>
    <n v="290000"/>
    <x v="0"/>
    <d v="2018-02-21T00:00:00"/>
    <d v="2018-03-01T00:00:00"/>
    <s v="Marek Alt"/>
    <n v="249740.62"/>
    <n v="302186.15019999997"/>
    <x v="47"/>
  </r>
  <r>
    <s v="VZ-2018-000120"/>
    <x v="3"/>
    <s v="Neudorflörová"/>
    <x v="138"/>
    <s v="33168000-5"/>
    <s v="2.3.285."/>
    <n v="1634460"/>
    <x v="1"/>
    <d v="2018-02-27T00:00:00"/>
    <d v="2018-04-10T00:00:00"/>
    <s v="Radix CZ s.r.o."/>
    <n v="1725030"/>
    <n v="2087287.2"/>
    <x v="32"/>
  </r>
  <r>
    <s v="VZ-2018-000121"/>
    <x v="3"/>
    <s v="Neudorflörová"/>
    <x v="139"/>
    <s v="33168000-5 "/>
    <s v="2.3.286."/>
    <n v="8010122"/>
    <x v="1"/>
    <d v="2018-02-27T00:00:00"/>
    <d v="2018-04-11T00:00:00"/>
    <s v="Radix CZ s.r.o."/>
    <n v="9202080"/>
    <n v="11134518.199999999"/>
    <x v="32"/>
  </r>
  <r>
    <s v="VZ-2018-000123"/>
    <x v="15"/>
    <s v="Zemánek"/>
    <x v="140"/>
    <s v="50400000-9"/>
    <m/>
    <n v="100000"/>
    <x v="0"/>
    <d v="2018-03-12T00:00:00"/>
    <d v="2018-03-22T00:00:00"/>
    <s v="MeWadia s.r.o."/>
    <s v="jednotkové ceny"/>
    <s v="jednotkové ceny"/>
    <x v="48"/>
  </r>
  <r>
    <s v="VZ-2018-000124"/>
    <x v="15"/>
    <s v="Zemánek"/>
    <x v="141"/>
    <s v="50400000-9"/>
    <m/>
    <n v="200000"/>
    <x v="0"/>
    <d v="2018-03-28T00:00:00"/>
    <d v="2018-04-10T00:00:00"/>
    <s v="Dräger Medical s.r.o."/>
    <s v="jednotkové ceny"/>
    <s v="jednotkové ceny"/>
    <x v="36"/>
  </r>
  <r>
    <s v="VZ-2018-000125"/>
    <x v="3"/>
    <s v="Neudorflörová"/>
    <x v="142"/>
    <s v="33162100-4"/>
    <s v="2.3.262."/>
    <n v="2434830"/>
    <x v="1"/>
    <d v="2018-02-27T00:00:00"/>
    <d v="2018-04-12T00:00:00"/>
    <s v="Dräger Medical s.r.o."/>
    <n v="1671060"/>
    <n v="2021982.6"/>
    <x v="49"/>
  </r>
  <r>
    <s v="VZ-2018-000126"/>
    <x v="3"/>
    <s v="Neudorflörová"/>
    <x v="143"/>
    <s v="33167000-8"/>
    <s v="2.3.261."/>
    <n v="6490962"/>
    <x v="1"/>
    <d v="2018-02-27T00:00:00"/>
    <d v="2018-04-13T00:00:00"/>
    <s v="PRENCARE distribuční s.r.o."/>
    <n v="4307570"/>
    <n v="5212159.7"/>
    <x v="50"/>
  </r>
  <r>
    <s v="VZ-2018-000127"/>
    <x v="10"/>
    <s v="Merta"/>
    <x v="144"/>
    <s v="33141210-5"/>
    <m/>
    <n v="1955000"/>
    <x v="1"/>
    <d v="2018-04-19T00:00:00"/>
    <d v="2018-05-31T00:00:00"/>
    <s v="INNOVA Medical s.r.o."/>
    <n v="1955000"/>
    <n v="2365550"/>
    <x v="51"/>
  </r>
  <r>
    <s v="VZ-2018-000127"/>
    <x v="10"/>
    <s v="Merta"/>
    <x v="145"/>
    <s v="33141210-5"/>
    <m/>
    <n v="214500"/>
    <x v="1"/>
    <d v="2018-04-19T00:00:00"/>
    <d v="2018-05-31T00:00:00"/>
    <s v="INNOVA Medical s.r.o."/>
    <n v="214500"/>
    <n v="259545"/>
    <x v="51"/>
  </r>
  <r>
    <s v="VZ-2018-000127"/>
    <x v="10"/>
    <s v="Merta"/>
    <x v="146"/>
    <s v="33141210-5"/>
    <m/>
    <n v="128700"/>
    <x v="1"/>
    <d v="2018-04-19T00:00:00"/>
    <d v="2018-05-31T00:00:00"/>
    <s v="INNOVA Medical s.r.o."/>
    <n v="128700"/>
    <n v="155727"/>
    <x v="51"/>
  </r>
  <r>
    <s v="VZ-2018-000127"/>
    <x v="10"/>
    <s v="Merta"/>
    <x v="147"/>
    <s v="33141210-5"/>
    <m/>
    <n v="3120000"/>
    <x v="1"/>
    <d v="2018-04-19T00:00:00"/>
    <d v="2018-05-31T00:00:00"/>
    <s v="INNOVA Medical s.r.o."/>
    <n v="3120000"/>
    <n v="3775200"/>
    <x v="51"/>
  </r>
  <r>
    <s v="VZ-2018-000127"/>
    <x v="10"/>
    <s v="Merta"/>
    <x v="148"/>
    <s v="33141210-5"/>
    <m/>
    <n v="890650"/>
    <x v="1"/>
    <d v="2018-04-19T00:00:00"/>
    <d v="2018-05-31T00:00:00"/>
    <s v="INNOVA Medical s.r.o."/>
    <n v="890650"/>
    <n v="1077686.5"/>
    <x v="51"/>
  </r>
  <r>
    <s v="VZ-2018-000127"/>
    <x v="10"/>
    <s v="Merta"/>
    <x v="149"/>
    <s v="33141210-5"/>
    <m/>
    <n v="2962500"/>
    <x v="1"/>
    <d v="2018-04-19T00:00:00"/>
    <d v="2018-05-31T00:00:00"/>
    <s v="S.A.B. Impex  s.r.o."/>
    <n v="1274250"/>
    <n v="1541842.5"/>
    <x v="51"/>
  </r>
  <r>
    <s v="VZ-2018-000127"/>
    <x v="10"/>
    <s v="Merta"/>
    <x v="150"/>
    <s v="33141210-5"/>
    <m/>
    <n v="4147500"/>
    <x v="1"/>
    <d v="2018-04-19T00:00:00"/>
    <d v="2018-05-31T00:00:00"/>
    <s v="BS Prague  Medical s.r.o."/>
    <n v="4147500"/>
    <n v="5018475"/>
    <x v="51"/>
  </r>
  <r>
    <s v="VZ-2018-000127"/>
    <x v="10"/>
    <s v="Merta"/>
    <x v="151"/>
    <s v="33141210-5"/>
    <m/>
    <n v="1209590"/>
    <x v="1"/>
    <d v="2018-04-19T00:00:00"/>
    <d v="2018-05-31T00:00:00"/>
    <s v="B. Braun Medical s.r.o."/>
    <n v="1209495"/>
    <n v="1463488.95"/>
    <x v="51"/>
  </r>
  <r>
    <s v="VZ-2018-000127"/>
    <x v="10"/>
    <s v="Merta"/>
    <x v="152"/>
    <s v="33141210-5"/>
    <m/>
    <n v="2625000"/>
    <x v="1"/>
    <d v="2018-04-19T00:00:00"/>
    <d v="2018-05-31T00:00:00"/>
    <s v="INNOVA Medical s.r.o."/>
    <n v="2625000"/>
    <n v="3176250"/>
    <x v="51"/>
  </r>
  <r>
    <s v="VZ-2018-000127"/>
    <x v="10"/>
    <s v="Merta"/>
    <x v="153"/>
    <s v="33141210-5"/>
    <m/>
    <n v="656250"/>
    <x v="1"/>
    <d v="2018-04-19T00:00:00"/>
    <d v="2018-05-31T00:00:00"/>
    <s v="Medtronic Czechia s.r.o."/>
    <n v="472500"/>
    <n v="571725"/>
    <x v="51"/>
  </r>
  <r>
    <s v="VZ-2018-000127"/>
    <x v="10"/>
    <s v="Merta"/>
    <x v="154"/>
    <s v="33141210-5"/>
    <m/>
    <n v="756000"/>
    <x v="1"/>
    <d v="2018-04-19T00:00:00"/>
    <d v="2018-05-31T00:00:00"/>
    <s v="INNOVA Medical s.r.o."/>
    <n v="744000"/>
    <n v="900240"/>
    <x v="51"/>
  </r>
  <r>
    <s v="VZ-2018-000127"/>
    <x v="10"/>
    <s v="Merta"/>
    <x v="155"/>
    <s v="33141210-5"/>
    <m/>
    <n v="2001000"/>
    <x v="1"/>
    <d v="2018-04-19T00:00:00"/>
    <d v="2018-05-31T00:00:00"/>
    <s v="Cardiomedical s.r.o."/>
    <n v="1817000"/>
    <n v="2089550"/>
    <x v="51"/>
  </r>
  <r>
    <s v="VZ-2018-000127"/>
    <x v="10"/>
    <s v="Merta"/>
    <x v="156"/>
    <s v="33141210-5"/>
    <m/>
    <n v="585000"/>
    <x v="1"/>
    <d v="2018-04-19T00:00:00"/>
    <d v="2018-05-31T00:00:00"/>
    <s v="Stimcare s.r.o."/>
    <n v="561000"/>
    <n v="645150"/>
    <x v="51"/>
  </r>
  <r>
    <s v="VZ-2018-000127"/>
    <x v="10"/>
    <s v="Merta"/>
    <x v="157"/>
    <s v="33141210-5"/>
    <m/>
    <n v="12675000"/>
    <x v="1"/>
    <d v="2018-04-19T00:00:00"/>
    <d v="2018-05-31T00:00:00"/>
    <s v="Cardiomedical s.r.o."/>
    <n v="12675000"/>
    <n v="14576250"/>
    <x v="51"/>
  </r>
  <r>
    <s v="VZ-2018-000127"/>
    <x v="10"/>
    <s v="Merta"/>
    <x v="158"/>
    <s v="33141210-5"/>
    <m/>
    <n v="1680000"/>
    <x v="1"/>
    <d v="2018-04-19T00:00:00"/>
    <d v="2018-05-31T00:00:00"/>
    <s v="B. Braun Medical s.r.o."/>
    <n v="1680000"/>
    <n v="1931999.9999999998"/>
    <x v="51"/>
  </r>
  <r>
    <s v="VZ-2018-000127"/>
    <x v="10"/>
    <s v="Merta"/>
    <x v="159"/>
    <s v="33141210-5"/>
    <m/>
    <n v="1950000"/>
    <x v="1"/>
    <d v="2018-04-19T00:00:00"/>
    <d v="2018-05-31T00:00:00"/>
    <s v="Stimcare s.r.o."/>
    <n v="1365000"/>
    <n v="1569749.9999999998"/>
    <x v="51"/>
  </r>
  <r>
    <s v="VZ-2018-000127"/>
    <x v="10"/>
    <s v="Merta"/>
    <x v="160"/>
    <s v="33141210-5"/>
    <m/>
    <n v="2114955"/>
    <x v="1"/>
    <d v="2018-04-19T00:00:00"/>
    <d v="2018-05-31T00:00:00"/>
    <s v="Cardiomedical s.r.o."/>
    <n v="1760850"/>
    <n v="2024977.4999999998"/>
    <x v="51"/>
  </r>
  <r>
    <s v="VZ-2018-000127"/>
    <x v="10"/>
    <s v="Merta"/>
    <x v="161"/>
    <s v="33141210-5"/>
    <m/>
    <n v="1995000"/>
    <x v="1"/>
    <d v="2018-04-19T00:00:00"/>
    <d v="2018-05-31T00:00:00"/>
    <s v="INLAB Medical, s.r.o."/>
    <n v="1974100"/>
    <n v="2388661"/>
    <x v="18"/>
  </r>
  <r>
    <s v="VZ-2018-000127"/>
    <x v="10"/>
    <s v="Merta"/>
    <x v="162"/>
    <s v="33141210-5"/>
    <m/>
    <n v="870000"/>
    <x v="1"/>
    <d v="2018-04-19T00:00:00"/>
    <d v="2018-05-31T00:00:00"/>
    <s v="INLAB Medical, s.r.o."/>
    <n v="870000"/>
    <n v="1052700"/>
    <x v="18"/>
  </r>
  <r>
    <s v="VZ-2018-000127"/>
    <x v="10"/>
    <s v="Merta"/>
    <x v="163"/>
    <s v="33141210-5"/>
    <m/>
    <n v="2529750"/>
    <x v="1"/>
    <d v="2018-04-19T00:00:00"/>
    <d v="2018-05-31T00:00:00"/>
    <s v="zrušeno"/>
    <m/>
    <m/>
    <x v="18"/>
  </r>
  <r>
    <s v="VZ-2018-000127"/>
    <x v="10"/>
    <s v="Merta"/>
    <x v="164"/>
    <s v="33141210-5"/>
    <m/>
    <n v="11865750"/>
    <x v="1"/>
    <d v="2018-04-19T00:00:00"/>
    <d v="2018-05-31T00:00:00"/>
    <s v="INLAB Medical, s.r.o."/>
    <n v="11856000"/>
    <n v="13634399.999999998"/>
    <x v="18"/>
  </r>
  <r>
    <s v="VZ-2018-000128"/>
    <x v="5"/>
    <s v="Solovský"/>
    <x v="165"/>
    <s v="50114000-7"/>
    <m/>
    <n v="1200000"/>
    <x v="0"/>
    <d v="2018-03-12T00:00:00"/>
    <d v="2018-03-22T00:00:00"/>
    <s v="KAR-mobil s.r.o."/>
    <n v="1200000"/>
    <n v="1452000"/>
    <x v="52"/>
  </r>
  <r>
    <s v="VZ-2018-000131"/>
    <x v="16"/>
    <s v="Kohutova"/>
    <x v="166"/>
    <s v="15980000-1 "/>
    <m/>
    <n v="4600000"/>
    <x v="1"/>
    <d v="2018-04-19T00:00:00"/>
    <d v="2018-05-30T00:00:00"/>
    <s v="zrušeno"/>
    <m/>
    <m/>
    <x v="18"/>
  </r>
  <r>
    <s v="VZ-2018-000136"/>
    <x v="8"/>
    <s v="Cahlíková"/>
    <x v="167"/>
    <s v="72225000-8 "/>
    <m/>
    <n v="450000"/>
    <x v="0"/>
    <d v="2018-04-11T00:00:00"/>
    <d v="2018-04-18T00:00:00"/>
    <s v="DNV GL s.r.o."/>
    <n v="81000"/>
    <n v="98010"/>
    <x v="53"/>
  </r>
  <r>
    <s v="VZ-2018-000138"/>
    <x v="10"/>
    <s v="Dočkalová"/>
    <x v="168"/>
    <s v="33140000-3"/>
    <m/>
    <n v="3031000"/>
    <x v="2"/>
    <d v="2018-03-02T00:00:00"/>
    <d v="2018-03-27T00:00:00"/>
    <s v="Bella Bohemia s.r.o. (TZMO)"/>
    <n v="1496348.19"/>
    <n v="1810581.31"/>
    <x v="41"/>
  </r>
  <r>
    <s v="VZ-2018-000139"/>
    <x v="15"/>
    <s v="Zemánek"/>
    <x v="169"/>
    <s v="50400000-9"/>
    <m/>
    <n v="1000000"/>
    <x v="0"/>
    <d v="2018-03-28T00:00:00"/>
    <d v="2018-04-10T00:00:00"/>
    <s v="Stargen EU s.r.o."/>
    <s v="jednotkové ceny"/>
    <s v="jednotkové ceny"/>
    <x v="54"/>
  </r>
  <r>
    <s v="VZ-2018-000140"/>
    <x v="15"/>
    <s v="Zemánek"/>
    <x v="170"/>
    <s v="50400000-9"/>
    <m/>
    <n v="1900000"/>
    <x v="0"/>
    <d v="2018-04-11T00:00:00"/>
    <d v="2018-04-18T00:00:00"/>
    <s v="ZDRAVO s.r.o."/>
    <s v="jednotkové ceny"/>
    <s v="jednotkové ceny"/>
    <x v="55"/>
  </r>
  <r>
    <s v="VZ-2018-000141"/>
    <x v="15"/>
    <s v="Zemánek"/>
    <x v="171"/>
    <s v="50400000-9"/>
    <m/>
    <n v="800000"/>
    <x v="0"/>
    <d v="2018-05-07T00:00:00"/>
    <d v="2018-05-21T00:00:00"/>
    <s v="Canberra Packard s.r.o."/>
    <n v="720000"/>
    <n v="871200"/>
    <x v="50"/>
  </r>
  <r>
    <s v="VZ-2018-000141"/>
    <x v="15"/>
    <s v="Zemánek"/>
    <x v="172"/>
    <s v="50400000-9"/>
    <m/>
    <n v="500000"/>
    <x v="0"/>
    <d v="2018-05-07T00:00:00"/>
    <d v="2018-05-21T00:00:00"/>
    <s v="Canberra Packard s.r.o."/>
    <s v="jednotkové ceny"/>
    <s v="jednotkové ceny"/>
    <x v="56"/>
  </r>
  <r>
    <s v="VZ-2018-000145"/>
    <x v="3"/>
    <s v="Neudorflörová"/>
    <x v="173"/>
    <s v="33161000-6"/>
    <s v="2.3.288."/>
    <n v="655390"/>
    <x v="1"/>
    <d v="2018-05-18T00:00:00"/>
    <d v="2018-07-20T00:00:00"/>
    <s v="MeWadia s.r.o."/>
    <n v="258500"/>
    <n v="312785"/>
    <x v="51"/>
  </r>
  <r>
    <s v="VZ-2018-000146"/>
    <x v="3"/>
    <s v="Neudorflörová"/>
    <x v="174"/>
    <s v="33161000-6"/>
    <s v="2.3.289."/>
    <n v="657020"/>
    <x v="1"/>
    <d v="2018-05-18T00:00:00"/>
    <d v="2018-06-28T00:00:00"/>
    <s v="BioVendor a.s."/>
    <n v="547878"/>
    <n v="662932.43999999994"/>
    <x v="45"/>
  </r>
  <r>
    <s v="VZ-2018-000147"/>
    <x v="3"/>
    <s v="Neudorflörová"/>
    <x v="175"/>
    <s v="33192160-1"/>
    <s v="2.3.291."/>
    <n v="254330.57"/>
    <x v="1"/>
    <d v="2018-05-10T00:00:00"/>
    <d v="2018-06-19T00:00:00"/>
    <s v="Sezame Product s.r.o."/>
    <n v="150740"/>
    <n v="182395.4"/>
    <x v="57"/>
  </r>
  <r>
    <s v="VZ-2018-000154"/>
    <x v="4"/>
    <s v="Srovnal"/>
    <x v="176"/>
    <s v="71320000-7"/>
    <s v="4.2.79."/>
    <n v="300000"/>
    <x v="0"/>
    <d v="2018-03-07T00:00:00"/>
    <d v="2018-03-20T00:00:00"/>
    <s v="Ing. Zdeněk Smolka"/>
    <n v="306200"/>
    <n v="370502"/>
    <x v="58"/>
  </r>
  <r>
    <s v="VZ-2018-000156"/>
    <x v="4"/>
    <s v="Srovnal"/>
    <x v="177"/>
    <s v="50700000-2"/>
    <s v="4.2.70. - 4.2.75."/>
    <n v="2430000"/>
    <x v="2"/>
    <d v="2018-03-06T00:00:00"/>
    <d v="2018-04-05T00:00:00"/>
    <s v="Liftmont CZ s.r.o."/>
    <n v="2070000"/>
    <n v="2504700"/>
    <x v="50"/>
  </r>
  <r>
    <s v="VZ-2018-000164"/>
    <x v="6"/>
    <s v="Nerudová"/>
    <x v="178"/>
    <s v="39120000-9"/>
    <m/>
    <n v="800000"/>
    <x v="1"/>
    <d v="2018-03-15T00:00:00"/>
    <d v="2018-04-23T00:00:00"/>
    <s v="Basco SK s.r.o."/>
    <n v="765034"/>
    <n v="925691.14"/>
    <x v="41"/>
  </r>
  <r>
    <s v="VZ-2018-000166"/>
    <x v="7"/>
    <s v="Rosulek"/>
    <x v="179"/>
    <s v="33192230-3"/>
    <s v="2.2.117."/>
    <n v="400000"/>
    <x v="0"/>
    <d v="2018-03-16T00:00:00"/>
    <d v="2018-03-28T00:00:00"/>
    <s v="B. Braun Medical s.r.o."/>
    <n v="278792"/>
    <n v="337338.32"/>
    <x v="59"/>
  </r>
  <r>
    <s v="VZ-2018-000167"/>
    <x v="7"/>
    <s v="Rosulek"/>
    <x v="180"/>
    <s v="33191000-5"/>
    <s v="2.3.353."/>
    <n v="2844000"/>
    <x v="2"/>
    <d v="2018-03-13T00:00:00"/>
    <d v="2018-04-18T00:00:00"/>
    <s v="zrušeno - překročen limit"/>
    <m/>
    <m/>
    <x v="18"/>
  </r>
  <r>
    <s v="VZ-2018-000172"/>
    <x v="17"/>
    <s v="Havrlant"/>
    <x v="181"/>
    <s v="31523200-0"/>
    <m/>
    <n v="2479000"/>
    <x v="2"/>
    <d v="2018-03-13T00:00:00"/>
    <d v="2018-04-10T00:00:00"/>
    <s v="P&amp;V rytecké práce, s.r.o."/>
    <s v="jednotkové ceny"/>
    <s v="jednotkové ceny"/>
    <x v="56"/>
  </r>
  <r>
    <s v="VZ-2018-000173"/>
    <x v="12"/>
    <s v="Vaida"/>
    <x v="182"/>
    <s v="45432210-9 "/>
    <m/>
    <n v="600000"/>
    <x v="0"/>
    <d v="2018-03-22T00:00:00"/>
    <d v="2018-04-04T00:00:00"/>
    <s v="IVNISTA Craft  s.r.o."/>
    <n v="644485"/>
    <n v="779826.85"/>
    <x v="54"/>
  </r>
  <r>
    <s v="VZ-2018-000176"/>
    <x v="3"/>
    <s v="Neudorflörová"/>
    <x v="183"/>
    <s v="33167000-8"/>
    <s v="2.3.287."/>
    <n v="2632001.64"/>
    <x v="1"/>
    <d v="2018-04-27T00:00:00"/>
    <d v="2018-07-10T00:00:00"/>
    <s v="PRENCARE distribuční s.r.o."/>
    <n v="1141230"/>
    <n v="1380888.3"/>
    <x v="60"/>
  </r>
  <r>
    <s v="VZ-2018-000182"/>
    <x v="4"/>
    <s v="Srovnal"/>
    <x v="184"/>
    <s v="50730000-1"/>
    <m/>
    <n v="1600000"/>
    <x v="0"/>
    <d v="2018-03-28T00:00:00"/>
    <d v="2018-04-17T00:00:00"/>
    <s v="Air Klimont s.r.o."/>
    <n v="882699"/>
    <n v="1068065.79"/>
    <x v="36"/>
  </r>
  <r>
    <s v="VZ-2018-000183"/>
    <x v="17"/>
    <s v="Jeřábková"/>
    <x v="185"/>
    <s v="79952100-3"/>
    <m/>
    <n v="300000"/>
    <x v="0"/>
    <d v="2018-03-27T00:00:00"/>
    <d v="2018-04-06T00:00:00"/>
    <s v="CPI Hotels a.s."/>
    <n v="239669.42148760331"/>
    <n v="290000"/>
    <x v="36"/>
  </r>
  <r>
    <s v="VZ-2018-000185"/>
    <x v="9"/>
    <s v="Oravec"/>
    <x v="186"/>
    <s v="32429000-6"/>
    <s v="3.2.3."/>
    <n v="1598000"/>
    <x v="0"/>
    <d v="2018-04-25T00:00:00"/>
    <d v="2018-05-03T00:00:00"/>
    <s v="Eriserv s.r.o."/>
    <n v="1594260"/>
    <n v="1929054.5999999999"/>
    <x v="36"/>
  </r>
  <r>
    <s v="VZ-2018-000196"/>
    <x v="10"/>
    <s v="Merta"/>
    <x v="187"/>
    <s v="33186100-8"/>
    <m/>
    <n v="6500835"/>
    <x v="1"/>
    <d v="2018-04-25T00:00:00"/>
    <d v="2018-06-14T00:00:00"/>
    <s v="CARDION s.r.o."/>
    <n v="6480000"/>
    <n v="7840000"/>
    <x v="45"/>
  </r>
  <r>
    <s v="VZ-2018-000196"/>
    <x v="10"/>
    <s v="Merta"/>
    <x v="188"/>
    <s v="33186100-8"/>
    <m/>
    <n v="546000"/>
    <x v="1"/>
    <d v="2018-04-25T00:00:00"/>
    <d v="2018-06-14T00:00:00"/>
    <s v="CARDION s.r.o."/>
    <n v="545454.6"/>
    <n v="660000"/>
    <x v="45"/>
  </r>
  <r>
    <s v="VZ-2018-000196"/>
    <x v="10"/>
    <s v="Merta"/>
    <x v="189"/>
    <s v="33186100-8"/>
    <m/>
    <n v="3815694"/>
    <x v="1"/>
    <d v="2018-04-25T00:00:00"/>
    <d v="2018-06-14T00:00:00"/>
    <s v="zrušeno - bez nabídky"/>
    <m/>
    <m/>
    <x v="18"/>
  </r>
  <r>
    <s v="VZ-2018-000205"/>
    <x v="15"/>
    <s v="Zemánek"/>
    <x v="190"/>
    <s v="50400000-9"/>
    <m/>
    <n v="150000"/>
    <x v="0"/>
    <d v="2018-04-13T00:00:00"/>
    <d v="2018-04-25T00:00:00"/>
    <s v="zrušeno - bez nabídky"/>
    <m/>
    <m/>
    <x v="18"/>
  </r>
  <r>
    <s v="VZ-2018-000209"/>
    <x v="10"/>
    <s v="Dočkalová"/>
    <x v="191"/>
    <s v="33196000-0"/>
    <m/>
    <n v="700000"/>
    <x v="0"/>
    <d v="2018-04-16T00:00:00"/>
    <d v="2018-04-26T00:00:00"/>
    <s v="LINON CZ, s.r.o."/>
    <n v="348900"/>
    <n v="422169"/>
    <x v="56"/>
  </r>
  <r>
    <s v="VZ-2018-000211"/>
    <x v="12"/>
    <s v="Vaida"/>
    <x v="192"/>
    <s v="45215100-8"/>
    <s v="4.3.4."/>
    <n v="2800000"/>
    <x v="0"/>
    <d v="2018-04-03T00:00:00"/>
    <d v="2018-04-12T00:00:00"/>
    <s v="Elektropráce Spáčil s.r.o."/>
    <n v="2798650.92"/>
    <n v="3386367.6132"/>
    <x v="35"/>
  </r>
  <r>
    <s v="VZ-2018-000216"/>
    <x v="2"/>
    <s v="Ondráčková"/>
    <x v="193"/>
    <s v="33651200-0"/>
    <m/>
    <n v="2071524"/>
    <x v="1"/>
    <d v="2018-04-10T00:00:00"/>
    <d v="2018-05-17T00:00:00"/>
    <s v="Alliance Healthcare s.r.o."/>
    <n v="2053268.8"/>
    <n v="2258595.6800000002"/>
    <x v="61"/>
  </r>
  <r>
    <s v="VZ-2018-000216"/>
    <x v="2"/>
    <s v="Ondráčková"/>
    <x v="194"/>
    <s v="33651200-0"/>
    <m/>
    <n v="1778497"/>
    <x v="1"/>
    <d v="2018-04-10T00:00:00"/>
    <d v="2018-05-17T00:00:00"/>
    <s v="Alliance Healthcare s.r.o."/>
    <n v="1774950.3"/>
    <n v="1952445.33"/>
    <x v="61"/>
  </r>
  <r>
    <s v="VZ-2018-000216"/>
    <x v="2"/>
    <s v="Ondráčková"/>
    <x v="195"/>
    <s v="33651200-0"/>
    <m/>
    <n v="6969600"/>
    <x v="1"/>
    <d v="2018-04-10T00:00:00"/>
    <d v="2018-05-17T00:00:00"/>
    <s v="zrušeno bez nabídky"/>
    <m/>
    <m/>
    <x v="18"/>
  </r>
  <r>
    <s v="VZ-2018-000217"/>
    <x v="7"/>
    <s v="Rosulek"/>
    <x v="196"/>
    <s v="33192230-3"/>
    <s v="2.3.354."/>
    <n v="2650000"/>
    <x v="2"/>
    <d v="2018-04-18T00:00:00"/>
    <d v="2018-05-09T00:00:00"/>
    <s v="Hypokramed s.r.o."/>
    <n v="2743840"/>
    <n v="3320046.4"/>
    <x v="62"/>
  </r>
  <r>
    <s v="VZ-2018-000221"/>
    <x v="4"/>
    <s v="Srovnal"/>
    <x v="197"/>
    <s v="50532400-7 "/>
    <m/>
    <n v="2670000"/>
    <x v="2"/>
    <d v="2018-04-10T00:00:00"/>
    <d v="2018-04-25T00:00:00"/>
    <s v="Elmar Group s.r.o."/>
    <n v="2587249"/>
    <n v="3130571.29"/>
    <x v="63"/>
  </r>
  <r>
    <s v="VZ-2018-000224"/>
    <x v="7"/>
    <s v="Rosulek"/>
    <x v="198"/>
    <s v="33123200-0"/>
    <s v="2.2.140.; 2.3.303.;2.4.98."/>
    <n v="305000"/>
    <x v="0"/>
    <d v="2018-07-16T00:00:00"/>
    <d v="2018-07-27T00:00:00"/>
    <s v="BTL zdravotnická technika a.s."/>
    <n v="273350"/>
    <n v="330753.5"/>
    <x v="64"/>
  </r>
  <r>
    <s v="VZ-2018-000227"/>
    <x v="7"/>
    <s v="Novák"/>
    <x v="199"/>
    <s v="33681000-7"/>
    <m/>
    <n v="275000"/>
    <x v="0"/>
    <d v="2018-04-16T00:00:00"/>
    <d v="2018-04-30T00:00:00"/>
    <s v="Medical M spol. s r.o."/>
    <n v="180500"/>
    <n v="218405"/>
    <x v="56"/>
  </r>
  <r>
    <s v="VZ-2018-000238"/>
    <x v="13"/>
    <s v="Benešová"/>
    <x v="200"/>
    <s v="39314000-6"/>
    <s v="4.2.83."/>
    <n v="37000"/>
    <x v="0"/>
    <d v="2018-04-17T00:00:00"/>
    <d v="2018-04-27T00:00:00"/>
    <s v="Jiří Ruček SET ES"/>
    <n v="17968"/>
    <n v="21741.279999999999"/>
    <x v="65"/>
  </r>
  <r>
    <s v="VZ-2018-000250"/>
    <x v="10"/>
    <s v="Dočkalová"/>
    <x v="201"/>
    <m/>
    <m/>
    <n v="8000000"/>
    <x v="1"/>
    <d v="2018-04-19T00:00:00"/>
    <d v="2018-06-11T00:00:00"/>
    <s v="Canberra Packard s.r.o."/>
    <n v="8408000"/>
    <n v="10173680"/>
    <x v="61"/>
  </r>
  <r>
    <s v="VZ-2018-000251"/>
    <x v="8"/>
    <s v="Cahlíková"/>
    <x v="202"/>
    <s v="72225000-8 "/>
    <m/>
    <n v="300000"/>
    <x v="0"/>
    <d v="2018-04-24T00:00:00"/>
    <d v="2018-05-02T00:00:00"/>
    <s v="Respond &amp; Co s.r.o."/>
    <n v="225000"/>
    <n v="272250"/>
    <x v="66"/>
  </r>
  <r>
    <s v="VZ-2018-000252"/>
    <x v="18"/>
    <s v="Merta"/>
    <x v="203"/>
    <s v="80511000-9 "/>
    <m/>
    <n v="485000"/>
    <x v="0"/>
    <d v="2018-04-19T00:00:00"/>
    <d v="2018-04-26T00:00:00"/>
    <s v="Deloitte Advisory s.r.o."/>
    <n v="485000"/>
    <n v="586850"/>
    <x v="67"/>
  </r>
  <r>
    <s v="VZ-2018-000254"/>
    <x v="3"/>
    <s v="Neudorflörová"/>
    <x v="204"/>
    <s v="33194100-7 "/>
    <s v="2.2.112."/>
    <n v="200002.48"/>
    <x v="1"/>
    <d v="2018-05-10T00:00:00"/>
    <d v="2018-06-20T00:00:00"/>
    <s v="Fresenius Kabi s.r.o."/>
    <n v="186320"/>
    <n v="225447.19999999998"/>
    <x v="57"/>
  </r>
  <r>
    <s v="VZ-2018-000255"/>
    <x v="3"/>
    <s v="Neudorflörová"/>
    <x v="205"/>
    <s v="33161000-6"/>
    <s v="2.3.289."/>
    <n v="2161200"/>
    <x v="1"/>
    <d v="2018-05-18T00:00:00"/>
    <d v="2018-06-26T00:00:00"/>
    <s v="Laparotech Instruments s.r.o."/>
    <n v="2369799.98"/>
    <n v="2867457.98"/>
    <x v="45"/>
  </r>
  <r>
    <s v="VZ-2018-000267"/>
    <x v="10"/>
    <s v="Merta"/>
    <x v="206"/>
    <s v="33141750-2"/>
    <m/>
    <n v="17610000"/>
    <x v="1"/>
    <d v="2018-06-08T00:00:00"/>
    <d v="2018-08-01T00:00:00"/>
    <s v="ZIMMER Czech s.r.o."/>
    <n v="13797684.699999999"/>
    <n v="15867337.449999999"/>
    <x v="18"/>
  </r>
  <r>
    <s v="VZ-2018-000267"/>
    <x v="10"/>
    <s v="Merta"/>
    <x v="207"/>
    <s v="33141750-2"/>
    <m/>
    <n v="1650000"/>
    <x v="1"/>
    <d v="2018-06-08T00:00:00"/>
    <d v="2018-08-01T00:00:00"/>
    <s v="Johnson &amp; Johnson s.r.o."/>
    <n v="990000"/>
    <n v="1138500"/>
    <x v="18"/>
  </r>
  <r>
    <s v="VZ-2018-000267"/>
    <x v="10"/>
    <s v="Merta"/>
    <x v="208"/>
    <s v="33141750-2"/>
    <m/>
    <n v="2700000"/>
    <x v="1"/>
    <d v="2018-06-08T00:00:00"/>
    <d v="2018-08-01T00:00:00"/>
    <s v="ZIMMER Czech s.r.o."/>
    <n v="1677000"/>
    <n v="1928550"/>
    <x v="18"/>
  </r>
  <r>
    <s v="VZ-2018-000267"/>
    <x v="10"/>
    <s v="Merta"/>
    <x v="209"/>
    <s v="33141750-2"/>
    <m/>
    <n v="9420000"/>
    <x v="1"/>
    <d v="2018-06-08T00:00:00"/>
    <d v="2018-08-01T00:00:00"/>
    <s v="ZIMMER Czech s.r.o."/>
    <n v="7097500"/>
    <n v="8162125"/>
    <x v="18"/>
  </r>
  <r>
    <s v="VZ-2018-000267"/>
    <x v="10"/>
    <s v="Merta"/>
    <x v="210"/>
    <s v="33141750-2"/>
    <m/>
    <n v="1200000"/>
    <x v="1"/>
    <d v="2018-06-08T00:00:00"/>
    <d v="2018-08-01T00:00:00"/>
    <s v="ZIMMER Czech s.r.o."/>
    <n v="990000"/>
    <n v="1138500"/>
    <x v="18"/>
  </r>
  <r>
    <s v="VZ-2018-000267"/>
    <x v="10"/>
    <s v="Merta"/>
    <x v="211"/>
    <s v="33141750-2"/>
    <m/>
    <n v="2100000"/>
    <x v="1"/>
    <d v="2018-06-08T00:00:00"/>
    <d v="2018-08-01T00:00:00"/>
    <s v="ZIMMER Czech s.r.o."/>
    <n v="1650000"/>
    <n v="1897500"/>
    <x v="18"/>
  </r>
  <r>
    <s v="VZ-2018-000267"/>
    <x v="10"/>
    <s v="Merta"/>
    <x v="212"/>
    <s v="33141750-2"/>
    <m/>
    <n v="2400000"/>
    <x v="1"/>
    <d v="2018-06-08T00:00:00"/>
    <d v="2018-08-01T00:00:00"/>
    <s v="zrušeno"/>
    <m/>
    <m/>
    <x v="18"/>
  </r>
  <r>
    <s v="VZ-2018-000272"/>
    <x v="7"/>
    <s v="Rosulek"/>
    <x v="213"/>
    <s v="33191000-5"/>
    <s v="2.2.152."/>
    <n v="850000"/>
    <x v="0"/>
    <d v="2018-04-25T00:00:00"/>
    <d v="2018-05-04T00:00:00"/>
    <s v="AKC konstrukce s.r.o."/>
    <n v="1045200"/>
    <n v="1264692"/>
    <x v="32"/>
  </r>
  <r>
    <s v="VZ-2018-000283"/>
    <x v="12"/>
    <s v="Vaida"/>
    <x v="214"/>
    <s v="45432130-4"/>
    <m/>
    <n v="600000"/>
    <x v="0"/>
    <d v="2018-04-24T00:00:00"/>
    <d v="2018-05-04T00:00:00"/>
    <s v="STAVONA Olomouc, s.r.o."/>
    <n v="310716.90999999997"/>
    <n v="375967.46"/>
    <x v="35"/>
  </r>
  <r>
    <s v="VZ-2018-000286"/>
    <x v="11"/>
    <s v="Kvapil"/>
    <x v="215"/>
    <s v="32412000-4"/>
    <m/>
    <n v="255000"/>
    <x v="0"/>
    <d v="2018-05-16T00:00:00"/>
    <d v="2018-05-25T00:00:00"/>
    <s v="zrušeno - bez nabídky"/>
    <m/>
    <m/>
    <x v="18"/>
  </r>
  <r>
    <s v="VZ-2018-000287"/>
    <x v="10"/>
    <s v="Dočkalová"/>
    <x v="216"/>
    <s v="33140000-3"/>
    <m/>
    <n v="14300000"/>
    <x v="1"/>
    <d v="2018-04-26T00:00:00"/>
    <d v="2018-06-05T00:00:00"/>
    <s v="GioMed Group s.r.o."/>
    <n v="14294993.550000001"/>
    <n v="17296942.199999999"/>
    <x v="68"/>
  </r>
  <r>
    <s v="VZ-2018-000289"/>
    <x v="10"/>
    <s v="Dočkalová"/>
    <x v="217"/>
    <s v="33140000-3"/>
    <m/>
    <n v="3700000"/>
    <x v="2"/>
    <d v="2018-04-26T00:00:00"/>
    <d v="2018-05-24T00:00:00"/>
    <s v="zrušit"/>
    <m/>
    <m/>
    <x v="18"/>
  </r>
  <r>
    <s v="VZ-2018-000290"/>
    <x v="10"/>
    <s v="Dočkalová"/>
    <x v="218"/>
    <s v="33772000-2"/>
    <m/>
    <n v="800000"/>
    <x v="0"/>
    <d v="2018-04-25T00:00:00"/>
    <d v="2018-05-04T00:00:00"/>
    <s v="Europapier-Bohemia"/>
    <n v="747040"/>
    <n v="903918.4"/>
    <x v="69"/>
  </r>
  <r>
    <s v="VZ-2018-000296"/>
    <x v="4"/>
    <s v="Srovnal"/>
    <x v="219"/>
    <s v="42513290-4 "/>
    <s v="4.2.78."/>
    <n v="2000000"/>
    <x v="2"/>
    <d v="2018-04-27T00:00:00"/>
    <d v="2018-05-22T00:00:00"/>
    <s v="Climart s.r.o."/>
    <n v="1820723"/>
    <n v="2203074.83"/>
    <x v="50"/>
  </r>
  <r>
    <s v="VZ-2018-000298"/>
    <x v="7"/>
    <s v="Rosulek"/>
    <x v="220"/>
    <s v="33191000-5"/>
    <s v="2.3.353."/>
    <n v="4500000"/>
    <x v="1"/>
    <d v="2018-04-27T00:00:00"/>
    <d v="2018-06-04T00:00:00"/>
    <s v="UNIPRO-APLHA CS s.r.o."/>
    <n v="4398200"/>
    <n v="5321822"/>
    <x v="62"/>
  </r>
  <r>
    <s v="VZ-2018-000299"/>
    <x v="15"/>
    <s v="Zemánek"/>
    <x v="190"/>
    <s v="50400000-9"/>
    <m/>
    <n v="150000"/>
    <x v="0"/>
    <d v="2018-05-02T00:00:00"/>
    <d v="2018-05-11T00:00:00"/>
    <s v="Promedica Praha Group, a.s."/>
    <n v="152800.95999999999"/>
    <n v="184889.16159999999"/>
    <x v="70"/>
  </r>
  <r>
    <s v="VZ-2018-000300"/>
    <x v="4"/>
    <s v="Srovnal"/>
    <x v="221"/>
    <s v="31170000-8"/>
    <m/>
    <n v="1472000"/>
    <x v="0"/>
    <d v="2018-05-07T00:00:00"/>
    <d v="2018-05-21T00:00:00"/>
    <s v="ELPREMO, spol. s r.o."/>
    <n v="947077.5"/>
    <n v="1145963.78"/>
    <x v="71"/>
  </r>
  <r>
    <s v="VZ-2018-000309"/>
    <x v="10"/>
    <s v="Merta"/>
    <x v="222"/>
    <s v="33182220-7"/>
    <m/>
    <n v="25180440"/>
    <x v="1"/>
    <d v="2018-05-25T00:00:00"/>
    <d v="2018-07-17T00:00:00"/>
    <s v="CARDION s.r.o."/>
    <n v="25152173.800000001"/>
    <n v="28925000"/>
    <x v="72"/>
  </r>
  <r>
    <s v="VZ-2018-000309"/>
    <x v="10"/>
    <s v="Merta"/>
    <x v="223"/>
    <s v="33182220-7"/>
    <m/>
    <n v="5870000"/>
    <x v="1"/>
    <d v="2018-05-25T00:00:00"/>
    <d v="2018-07-17T00:00:00"/>
    <s v="Edwards Lifesciences "/>
    <n v="5869565.25"/>
    <n v="6750000"/>
    <x v="72"/>
  </r>
  <r>
    <s v="VZ-2018-000309"/>
    <x v="10"/>
    <s v="Merta"/>
    <x v="224"/>
    <s v="33182220-7"/>
    <m/>
    <n v="2348000"/>
    <x v="1"/>
    <d v="2018-05-25T00:00:00"/>
    <d v="2018-07-17T00:00:00"/>
    <s v="zrušeno - bez nabídky"/>
    <m/>
    <m/>
    <x v="18"/>
  </r>
  <r>
    <s v="VZ-2018-000310"/>
    <x v="10"/>
    <s v="Merta"/>
    <x v="225"/>
    <s v="33141220-8"/>
    <m/>
    <n v="244800"/>
    <x v="0"/>
    <d v="2018-08-27T00:00:00"/>
    <d v="2018-09-12T00:00:00"/>
    <s v="Allinex Kácovská s.r.o."/>
    <n v="235500"/>
    <n v="284955"/>
    <x v="73"/>
  </r>
  <r>
    <s v="VZ-2018-000310"/>
    <x v="10"/>
    <s v="Merta"/>
    <x v="226"/>
    <s v="33141220-8"/>
    <m/>
    <n v="1142400"/>
    <x v="0"/>
    <d v="2018-08-27T00:00:00"/>
    <d v="2018-09-12T00:00:00"/>
    <s v="Medtronic Czechia s.r.o."/>
    <n v="1142400"/>
    <n v="1382304"/>
    <x v="74"/>
  </r>
  <r>
    <s v="VZ-2018-000315"/>
    <x v="10"/>
    <s v="Dočkalová"/>
    <x v="227"/>
    <s v="35113420-9"/>
    <m/>
    <n v="700000"/>
    <x v="0"/>
    <d v="2018-05-10T00:00:00"/>
    <d v="2018-05-22T00:00:00"/>
    <s v="Brainhot Technologies, s.r.o."/>
    <n v="596800"/>
    <n v="722128"/>
    <x v="63"/>
  </r>
  <r>
    <s v="VZ-2018-000316"/>
    <x v="7"/>
    <s v="Rosulek"/>
    <x v="228"/>
    <s v="33191000-5"/>
    <s v="2.3.315."/>
    <n v="3380000"/>
    <x v="1"/>
    <d v="2018-05-10T00:00:00"/>
    <d v="2018-06-19T00:00:00"/>
    <s v="MIELE, spol. s r.o."/>
    <n v="2750280"/>
    <n v="3327838.8"/>
    <x v="75"/>
  </r>
  <r>
    <s v="VZ-2018-000317"/>
    <x v="7"/>
    <s v="Novák"/>
    <x v="229"/>
    <s v="33192300-5"/>
    <m/>
    <n v="560000"/>
    <x v="0"/>
    <d v="2018-05-17T00:00:00"/>
    <d v="2018-05-29T00:00:00"/>
    <s v="zrušeno"/>
    <m/>
    <m/>
    <x v="18"/>
  </r>
  <r>
    <s v="VZ-2018-000319"/>
    <x v="7"/>
    <s v="Novák"/>
    <x v="230"/>
    <s v="39711100-0"/>
    <m/>
    <n v="690000"/>
    <x v="0"/>
    <d v="2018-05-17T00:00:00"/>
    <d v="2018-05-29T00:00:00"/>
    <s v="KRD - obchodní společnost s.r.o."/>
    <n v="630105"/>
    <n v="762427.04999999993"/>
    <x v="56"/>
  </r>
  <r>
    <s v="VZ-2018-000332"/>
    <x v="10"/>
    <s v="Merta"/>
    <x v="231"/>
    <s v="33158210-7"/>
    <m/>
    <n v="4707330"/>
    <x v="1"/>
    <d v="2018-10-03T00:00:00"/>
    <d v="2018-11-06T00:00:00"/>
    <s v="Medifine a.s."/>
    <n v="4289133.8"/>
    <n v="4939616.2"/>
    <x v="18"/>
  </r>
  <r>
    <s v="VZ-2018-000332"/>
    <x v="10"/>
    <s v="Merta"/>
    <x v="232"/>
    <s v="33158210-7"/>
    <m/>
    <n v="27186970"/>
    <x v="1"/>
    <d v="2018-10-03T00:00:00"/>
    <d v="2018-11-06T00:00:00"/>
    <s v="Medifine a.s."/>
    <n v="25803589.02"/>
    <n v="29701249.710000001"/>
    <x v="18"/>
  </r>
  <r>
    <s v="VZ-2018-000332"/>
    <x v="10"/>
    <s v="Merta"/>
    <x v="233"/>
    <s v="33158210-7"/>
    <m/>
    <n v="7792000"/>
    <x v="1"/>
    <d v="2018-10-03T00:00:00"/>
    <d v="2018-11-06T00:00:00"/>
    <s v="Medifine a.s."/>
    <n v="7777523.2000000002"/>
    <n v="8960589.5999999996"/>
    <x v="18"/>
  </r>
  <r>
    <s v="VZ-2018-000332"/>
    <x v="10"/>
    <s v="Merta"/>
    <x v="234"/>
    <s v="33158210-7"/>
    <m/>
    <n v="2456000"/>
    <x v="1"/>
    <d v="2018-10-03T00:00:00"/>
    <d v="2018-11-06T00:00:00"/>
    <s v="Medifine a.s."/>
    <n v="2451609.56"/>
    <n v="2825040.84"/>
    <x v="18"/>
  </r>
  <r>
    <s v="VZ-2018-000332"/>
    <x v="10"/>
    <s v="Merta"/>
    <x v="235"/>
    <s v="33158210-7"/>
    <m/>
    <n v="3000000"/>
    <x v="1"/>
    <d v="2018-10-03T00:00:00"/>
    <d v="2018-11-06T00:00:00"/>
    <s v="Medifine a.s."/>
    <n v="2958928.04"/>
    <n v="3408015.94"/>
    <x v="18"/>
  </r>
  <r>
    <s v="VZ-2018-000334"/>
    <x v="9"/>
    <s v="Oravec"/>
    <x v="236"/>
    <s v="30125110-5 "/>
    <m/>
    <n v="4942180"/>
    <x v="1"/>
    <d v="2018-05-25T00:00:00"/>
    <d v="2018-08-16T00:00:00"/>
    <s v="COMP´S spol. s r.o."/>
    <n v="4133552"/>
    <n v="5001597.92"/>
    <x v="18"/>
  </r>
  <r>
    <s v="VZ-2018-000335"/>
    <x v="7"/>
    <s v="Rosulek"/>
    <x v="237"/>
    <s v="39122100-4"/>
    <m/>
    <n v="700000"/>
    <x v="0"/>
    <d v="2018-05-31T00:00:00"/>
    <d v="2018-06-12T00:00:00"/>
    <s v="KLARO s.r.o."/>
    <n v="93000"/>
    <n v="112530"/>
    <x v="62"/>
  </r>
  <r>
    <s v="VZ-2018-000337"/>
    <x v="10"/>
    <s v="Dočkalová"/>
    <x v="238"/>
    <s v="33140000-3"/>
    <m/>
    <n v="6900000"/>
    <x v="1"/>
    <d v="2018-05-25T00:00:00"/>
    <d v="2018-07-04T00:00:00"/>
    <s v="ARID obchodní společnost s.r.o."/>
    <n v="6518400"/>
    <n v="7887264"/>
    <x v="76"/>
  </r>
  <r>
    <s v="VZ-2018-000339"/>
    <x v="4"/>
    <s v="Srovnal"/>
    <x v="239"/>
    <s v="42514310-8"/>
    <m/>
    <n v="500000"/>
    <x v="0"/>
    <d v="2018-05-29T00:00:00"/>
    <d v="2018-06-08T00:00:00"/>
    <s v="KS Klima service s.r.o."/>
    <n v="311066"/>
    <n v="374175.56"/>
    <x v="61"/>
  </r>
  <r>
    <s v="VZ-2018-000340"/>
    <x v="4"/>
    <s v="Srovnal"/>
    <x v="240"/>
    <s v="39717200-3"/>
    <m/>
    <n v="1000000"/>
    <x v="0"/>
    <d v="2018-05-29T00:00:00"/>
    <d v="2018-06-08T00:00:00"/>
    <s v="Air Klimont s.r.o."/>
    <n v="627201"/>
    <n v="758913.2"/>
    <x v="77"/>
  </r>
  <r>
    <s v="VZ-2018-000345"/>
    <x v="7"/>
    <s v="Rosulek"/>
    <x v="241"/>
    <s v="33111400-5 "/>
    <m/>
    <n v="14000000"/>
    <x v="1"/>
    <d v="2018-05-28T00:00:00"/>
    <d v="2018-07-11T00:00:00"/>
    <s v="Siemens Healthcare s.r.o."/>
    <n v="11269600"/>
    <n v="13636216"/>
    <x v="76"/>
  </r>
  <r>
    <s v="VZ-2018-000346"/>
    <x v="10"/>
    <s v="Merta"/>
    <x v="242"/>
    <s v="33182220-7"/>
    <m/>
    <n v="546210"/>
    <x v="1"/>
    <d v="2018-09-06T00:00:00"/>
    <d v="2018-10-11T00:00:00"/>
    <s v="CARDION s.r.o."/>
    <n v="540000"/>
    <n v="621000"/>
    <x v="18"/>
  </r>
  <r>
    <s v="VZ-2018-000346"/>
    <x v="10"/>
    <s v="Merta"/>
    <x v="243"/>
    <s v="33182220-7"/>
    <m/>
    <n v="225650"/>
    <x v="1"/>
    <d v="2018-09-06T00:00:00"/>
    <d v="2018-10-11T00:00:00"/>
    <s v="Meditrade  spol. s r.o."/>
    <n v="225650"/>
    <n v="259497.5"/>
    <x v="18"/>
  </r>
  <r>
    <s v="VZ-2018-000346"/>
    <x v="10"/>
    <s v="Merta"/>
    <x v="244"/>
    <s v="33182220-7"/>
    <m/>
    <n v="587800"/>
    <x v="1"/>
    <d v="2018-09-06T00:00:00"/>
    <d v="2018-10-11T00:00:00"/>
    <s v="CARDION s.r.o."/>
    <n v="580000"/>
    <n v="667000"/>
    <x v="18"/>
  </r>
  <r>
    <s v="VZ-2018-000346"/>
    <x v="10"/>
    <s v="Merta"/>
    <x v="245"/>
    <s v="33182220-7"/>
    <m/>
    <n v="6780480"/>
    <x v="1"/>
    <d v="2018-09-06T00:00:00"/>
    <d v="2018-10-11T00:00:00"/>
    <s v="CARDION s.r.o."/>
    <n v="6720000"/>
    <n v="7728000"/>
    <x v="18"/>
  </r>
  <r>
    <s v="VZ-2018-000346"/>
    <x v="10"/>
    <s v="Merta"/>
    <x v="246"/>
    <s v="33182220-7"/>
    <m/>
    <n v="847375"/>
    <x v="1"/>
    <d v="2018-09-06T00:00:00"/>
    <d v="2018-10-11T00:00:00"/>
    <s v="zrušeno - překročení ceny"/>
    <m/>
    <m/>
    <x v="18"/>
  </r>
  <r>
    <s v="VZ-2018-000346"/>
    <x v="10"/>
    <s v="Merta"/>
    <x v="247"/>
    <s v="33182220-7"/>
    <m/>
    <n v="1792000"/>
    <x v="1"/>
    <d v="2018-09-06T00:00:00"/>
    <d v="2018-10-11T00:00:00"/>
    <s v="Edwards Lifesciences "/>
    <n v="1792000"/>
    <n v="2060799.9999999998"/>
    <x v="18"/>
  </r>
  <r>
    <s v="VZ-2018-000346"/>
    <x v="10"/>
    <s v="Merta"/>
    <x v="248"/>
    <s v="33182220-7"/>
    <m/>
    <n v="702150"/>
    <x v="1"/>
    <d v="2018-09-06T00:00:00"/>
    <d v="2018-10-11T00:00:00"/>
    <s v="CARDION s.r.o."/>
    <n v="700000"/>
    <n v="805000"/>
    <x v="18"/>
  </r>
  <r>
    <s v="VZ-2018-000346"/>
    <x v="10"/>
    <s v="Merta"/>
    <x v="249"/>
    <s v="33182220-7"/>
    <m/>
    <n v="398370"/>
    <x v="1"/>
    <d v="2018-09-06T00:00:00"/>
    <d v="2018-10-11T00:00:00"/>
    <s v="zrušeno - překročení ceny"/>
    <m/>
    <m/>
    <x v="18"/>
  </r>
  <r>
    <s v="VZ-2018-000346"/>
    <x v="10"/>
    <s v="Merta"/>
    <x v="250"/>
    <s v="33182220-7"/>
    <m/>
    <n v="407460"/>
    <x v="1"/>
    <d v="2018-09-06T00:00:00"/>
    <d v="2018-10-11T00:00:00"/>
    <s v="Edwards Lifesciences "/>
    <n v="407460"/>
    <n v="468579"/>
    <x v="18"/>
  </r>
  <r>
    <s v="VZ-2018-000348"/>
    <x v="2"/>
    <s v="Ondráčková"/>
    <x v="251"/>
    <s v="33651600-4"/>
    <m/>
    <n v="1383112"/>
    <x v="0"/>
    <d v="2018-06-20T00:00:00"/>
    <d v="2018-07-09T00:00:00"/>
    <s v="zrušeno"/>
    <m/>
    <m/>
    <x v="18"/>
  </r>
  <r>
    <s v="VZ-2018-000348"/>
    <x v="2"/>
    <s v="Ondráčková"/>
    <x v="252"/>
    <s v="33651600-4"/>
    <m/>
    <n v="83668"/>
    <x v="0"/>
    <d v="2018-06-20T00:00:00"/>
    <d v="2018-07-09T00:00:00"/>
    <s v="zrušeno"/>
    <m/>
    <m/>
    <x v="18"/>
  </r>
  <r>
    <s v="VZ-2018-000348"/>
    <x v="2"/>
    <s v="Ondráčková"/>
    <x v="253"/>
    <s v="33651600-4"/>
    <m/>
    <n v="25934"/>
    <x v="0"/>
    <d v="2018-06-20T00:00:00"/>
    <d v="2018-07-09T00:00:00"/>
    <s v="zrušeno"/>
    <m/>
    <m/>
    <x v="18"/>
  </r>
  <r>
    <s v="VZ-2018-000348"/>
    <x v="2"/>
    <s v="Ondráčková"/>
    <x v="254"/>
    <s v="33651600-4"/>
    <m/>
    <n v="31256"/>
    <x v="0"/>
    <d v="2018-06-20T00:00:00"/>
    <d v="2018-07-09T00:00:00"/>
    <s v="zrušeno"/>
    <m/>
    <m/>
    <x v="18"/>
  </r>
  <r>
    <s v="VZ-2018-000348"/>
    <x v="2"/>
    <s v="Ondráčková"/>
    <x v="255"/>
    <s v="33651600-4"/>
    <m/>
    <n v="3061"/>
    <x v="0"/>
    <d v="2018-06-20T00:00:00"/>
    <d v="2018-07-09T00:00:00"/>
    <s v="zrušeno"/>
    <m/>
    <m/>
    <x v="18"/>
  </r>
  <r>
    <s v="VZ-2018-000353"/>
    <x v="11"/>
    <s v="Kvapil"/>
    <x v="256"/>
    <s v="71000000-8 "/>
    <m/>
    <n v="525000"/>
    <x v="0"/>
    <d v="2018-06-08T00:00:00"/>
    <d v="2018-06-21T00:00:00"/>
    <s v="Adam Rujbr Architects s.r.o."/>
    <n v="482500"/>
    <n v="583825"/>
    <x v="57"/>
  </r>
  <r>
    <s v="VZ-2018-000354"/>
    <x v="7"/>
    <s v="Novák"/>
    <x v="257"/>
    <s v="33192160-1"/>
    <m/>
    <n v="430000"/>
    <x v="0"/>
    <d v="2018-05-31T00:00:00"/>
    <d v="2018-06-12T00:00:00"/>
    <s v="Sezame Product s.r.o."/>
    <n v="401780"/>
    <n v="486153.8"/>
    <x v="78"/>
  </r>
  <r>
    <s v="VZ-2018-000355"/>
    <x v="7"/>
    <s v="Novák"/>
    <x v="258"/>
    <s v="33192160-1"/>
    <m/>
    <n v="930000"/>
    <x v="0"/>
    <d v="2018-06-07T00:00:00"/>
    <d v="2018-06-19T00:00:00"/>
    <s v="Sezame Product s.r.o."/>
    <n v="694340"/>
    <n v="840151.4"/>
    <x v="79"/>
  </r>
  <r>
    <s v="VZ-2018-000356"/>
    <x v="3"/>
    <s v="Neudorflörová"/>
    <x v="259"/>
    <s v="33172200-8  "/>
    <s v="2.3.328."/>
    <n v="789537"/>
    <x v="1"/>
    <d v="2018-06-13T00:00:00"/>
    <d v="2018-09-10T00:00:00"/>
    <s v="medisap s.r.o."/>
    <n v="814390"/>
    <n v="985411.9"/>
    <x v="18"/>
  </r>
  <r>
    <s v="VZ-2018-000356"/>
    <x v="3"/>
    <s v="Neudorflörová"/>
    <x v="260"/>
    <s v="33172000-6"/>
    <s v="2.3.329."/>
    <n v="12102396"/>
    <x v="1"/>
    <d v="2018-06-13T00:00:00"/>
    <d v="2018-09-10T00:00:00"/>
    <s v="Dräger Medical s.r.o."/>
    <n v="10812100"/>
    <n v="13082641"/>
    <x v="18"/>
  </r>
  <r>
    <s v="VZ-2018-000356"/>
    <x v="3"/>
    <s v="Neudorflörová"/>
    <x v="261"/>
    <s v="33172000-6"/>
    <s v="2.3.330."/>
    <n v="2259338"/>
    <x v="1"/>
    <d v="2018-06-13T00:00:00"/>
    <d v="2018-09-10T00:00:00"/>
    <s v="medisap s.r.o."/>
    <n v="1743190"/>
    <n v="2109259.9"/>
    <x v="18"/>
  </r>
  <r>
    <s v="VZ-2018-000356"/>
    <x v="3"/>
    <s v="Neudorflörová"/>
    <x v="262"/>
    <s v="33172000-6"/>
    <s v="2.3.335."/>
    <n v="448283"/>
    <x v="1"/>
    <d v="2018-06-13T00:00:00"/>
    <d v="2018-09-10T00:00:00"/>
    <s v="Dartin spol. s r.o."/>
    <n v="665561.80000000005"/>
    <n v="805329.77800000005"/>
    <x v="18"/>
  </r>
  <r>
    <s v="VZ-2018-000357"/>
    <x v="3"/>
    <s v="Neudorflörová"/>
    <x v="263"/>
    <s v="33192000-2"/>
    <s v="2.3.340."/>
    <n v="442644"/>
    <x v="1"/>
    <d v="2018-06-15T00:00:00"/>
    <d v="2018-07-27T00:00:00"/>
    <s v="zrušeno bez nabídky"/>
    <m/>
    <m/>
    <x v="18"/>
  </r>
  <r>
    <s v="VZ-2018-000357"/>
    <x v="3"/>
    <s v="Neudorflörová"/>
    <x v="264"/>
    <s v="33192160-1"/>
    <s v="2.3.341."/>
    <n v="330082"/>
    <x v="1"/>
    <d v="2018-06-15T00:00:00"/>
    <d v="2018-07-27T00:00:00"/>
    <s v="HOSPIMED, spol. s r.o."/>
    <n v="294880"/>
    <n v="356804.8"/>
    <x v="80"/>
  </r>
  <r>
    <s v="VZ-2018-000357"/>
    <x v="3"/>
    <s v="Neudorflörová"/>
    <x v="265"/>
    <s v="33192100-3 "/>
    <s v="2.3.342."/>
    <n v="1818181"/>
    <x v="1"/>
    <d v="2018-06-15T00:00:00"/>
    <d v="2018-07-27T00:00:00"/>
    <s v="Linet s.r.o."/>
    <n v="1791363.5"/>
    <n v="2166885.88"/>
    <x v="80"/>
  </r>
  <r>
    <s v="VZ-2018-000357"/>
    <x v="3"/>
    <s v="Neudorflörová"/>
    <x v="266"/>
    <s v="33192000-2"/>
    <s v="2.3.347."/>
    <n v="34958"/>
    <x v="1"/>
    <d v="2018-06-15T00:00:00"/>
    <d v="2018-07-27T00:00:00"/>
    <s v="KLARO s.r.o."/>
    <n v="33561"/>
    <n v="40608.81"/>
    <x v="81"/>
  </r>
  <r>
    <s v="VZ-2018-000357"/>
    <x v="3"/>
    <s v="Neudorflörová"/>
    <x v="267"/>
    <s v="33192000-2"/>
    <s v="2.3.349."/>
    <n v="192785"/>
    <x v="1"/>
    <d v="2018-06-15T00:00:00"/>
    <d v="2018-07-27T00:00:00"/>
    <s v="zrušeno bez nabídky"/>
    <m/>
    <m/>
    <x v="18"/>
  </r>
  <r>
    <s v="VZ-2018-000357"/>
    <x v="3"/>
    <s v="Neudorflörová"/>
    <x v="268"/>
    <s v="33192160-1"/>
    <s v="2.3.350."/>
    <n v="475207"/>
    <x v="1"/>
    <d v="2018-06-15T00:00:00"/>
    <d v="2018-07-27T00:00:00"/>
    <s v="zrušeno"/>
    <m/>
    <m/>
    <x v="18"/>
  </r>
  <r>
    <s v="VZ-2018-000357"/>
    <x v="3"/>
    <s v="Neudorflörová"/>
    <x v="269"/>
    <s v="33192100-3 "/>
    <s v="2.3.344."/>
    <n v="3150660"/>
    <x v="1"/>
    <d v="2018-06-15T00:00:00"/>
    <d v="2018-07-27T00:00:00"/>
    <s v="INDUBIA s.r.o."/>
    <n v="2336290"/>
    <n v="2826910.9"/>
    <x v="81"/>
  </r>
  <r>
    <s v="VZ-2018-000357"/>
    <x v="3"/>
    <s v="Neudorflörová"/>
    <x v="270"/>
    <s v="33192100-3 "/>
    <s v="2.3.344."/>
    <n v="498098"/>
    <x v="1"/>
    <d v="2018-06-15T00:00:00"/>
    <d v="2018-07-27T00:00:00"/>
    <s v="Linet s.r.o."/>
    <n v="506750"/>
    <n v="657012.5"/>
    <x v="81"/>
  </r>
  <r>
    <s v="VZ-2018-000359"/>
    <x v="4"/>
    <s v="Srovnal"/>
    <x v="271"/>
    <s v="42513290-4"/>
    <s v="4.2.60."/>
    <n v="750000"/>
    <x v="2"/>
    <d v="2018-06-05T00:00:00"/>
    <d v="2018-06-27T00:00:00"/>
    <s v="zrušeno"/>
    <m/>
    <m/>
    <x v="18"/>
  </r>
  <r>
    <s v="VZ-2018-000360"/>
    <x v="2"/>
    <s v="Ondráčková"/>
    <x v="272"/>
    <s v="33651400-2"/>
    <m/>
    <n v="780290"/>
    <x v="2"/>
    <d v="2018-06-01T00:00:00"/>
    <d v="2018-06-21T00:00:00"/>
    <s v="Pharmos, a.s."/>
    <n v="779932.8"/>
    <n v="857926.08"/>
    <x v="82"/>
  </r>
  <r>
    <s v="VZ-2018-000360"/>
    <x v="2"/>
    <s v="Ondráčková"/>
    <x v="273"/>
    <s v="33651400-2"/>
    <m/>
    <n v="654848"/>
    <x v="2"/>
    <d v="2018-06-01T00:00:00"/>
    <d v="2018-06-21T00:00:00"/>
    <s v="Alliance Healthcare s.r.o."/>
    <n v="591578"/>
    <n v="650735.80000000005"/>
    <x v="82"/>
  </r>
  <r>
    <s v="VZ-2018-000360"/>
    <x v="2"/>
    <s v="Ondráčková"/>
    <x v="274"/>
    <s v="33651400-2"/>
    <m/>
    <n v="362712"/>
    <x v="2"/>
    <d v="2018-06-01T00:00:00"/>
    <d v="2018-06-21T00:00:00"/>
    <s v="PHOENIX lék.velkoobchod, s.r.o."/>
    <n v="356240.08"/>
    <n v="391864.09"/>
    <x v="82"/>
  </r>
  <r>
    <s v="VZ-2018-000360"/>
    <x v="2"/>
    <s v="Ondráčková"/>
    <x v="275"/>
    <s v="33651400-2"/>
    <m/>
    <n v="1010404"/>
    <x v="2"/>
    <d v="2018-06-01T00:00:00"/>
    <d v="2018-06-21T00:00:00"/>
    <s v="ViaPharma s.r.o."/>
    <n v="1000546.4"/>
    <n v="1100601.04"/>
    <x v="82"/>
  </r>
  <r>
    <s v="VZ-2018-000360"/>
    <x v="2"/>
    <s v="Ondráčková"/>
    <x v="276"/>
    <s v="33651400-2"/>
    <m/>
    <n v="165590"/>
    <x v="2"/>
    <d v="2018-06-01T00:00:00"/>
    <d v="2018-06-21T00:00:00"/>
    <s v="Pharmos, a.s."/>
    <n v="164617.60000000001"/>
    <n v="181079.36"/>
    <x v="82"/>
  </r>
  <r>
    <s v="VZ-2018-000360"/>
    <x v="2"/>
    <s v="Ondráčková"/>
    <x v="277"/>
    <s v="33651400-2"/>
    <m/>
    <n v="312763"/>
    <x v="2"/>
    <d v="2018-06-01T00:00:00"/>
    <d v="2018-06-21T00:00:00"/>
    <s v="PHOENIX lék.velkoobchod, s.r.o."/>
    <n v="312274.84000000003"/>
    <n v="343502.32"/>
    <x v="82"/>
  </r>
  <r>
    <s v="VZ-2018-000362"/>
    <x v="3"/>
    <s v="Neudorflörová"/>
    <x v="278"/>
    <s v="33152000-0 "/>
    <s v="3.2.323."/>
    <n v="9208264.2300000004"/>
    <x v="1"/>
    <d v="2018-06-15T00:00:00"/>
    <d v="2018-08-21T00:00:00"/>
    <s v="medisap s.r.o."/>
    <n v="9625799"/>
    <n v="11647216.789999999"/>
    <x v="83"/>
  </r>
  <r>
    <s v="VZ-2018-000362"/>
    <x v="3"/>
    <s v="Neudorflörová"/>
    <x v="279"/>
    <s v="33152000-0 "/>
    <s v="3.2.324."/>
    <n v="861983.4"/>
    <x v="1"/>
    <d v="2018-06-15T00:00:00"/>
    <d v="2018-08-21T00:00:00"/>
    <s v="medisap s.r.o."/>
    <n v="946620"/>
    <n v="1145410.2"/>
    <x v="84"/>
  </r>
  <r>
    <s v="VZ-2018-000362"/>
    <x v="3"/>
    <s v="Neudorflörová"/>
    <x v="280"/>
    <s v="33152000-0 "/>
    <s v="3.2.325."/>
    <n v="976033.35"/>
    <x v="1"/>
    <d v="2018-06-15T00:00:00"/>
    <d v="2018-08-21T00:00:00"/>
    <s v="Dartin spol. s r.o."/>
    <n v="1967572.28"/>
    <n v="2380762.4588000001"/>
    <x v="18"/>
  </r>
  <r>
    <s v="VZ-2018-000364"/>
    <x v="9"/>
    <s v="Oravec"/>
    <x v="281"/>
    <s v="72261000-2"/>
    <m/>
    <n v="370000"/>
    <x v="0"/>
    <d v="2018-06-06T00:00:00"/>
    <d v="2018-06-15T00:00:00"/>
    <s v="CompuNet s.r.o."/>
    <n v="292114"/>
    <n v="353458"/>
    <x v="45"/>
  </r>
  <r>
    <s v="VZ-2018-000367"/>
    <x v="10"/>
    <s v="Čech"/>
    <x v="282"/>
    <s v="33184100-4"/>
    <m/>
    <n v="321000"/>
    <x v="1"/>
    <d v="2018-06-18T00:00:00"/>
    <d v="2018-08-03T00:00:00"/>
    <s v="zrušeno - bez nabídky"/>
    <m/>
    <m/>
    <x v="18"/>
  </r>
  <r>
    <s v="VZ-2018-000367"/>
    <x v="10"/>
    <s v="Čech"/>
    <x v="283"/>
    <s v="33184100-4"/>
    <m/>
    <n v="3300000"/>
    <x v="1"/>
    <d v="2018-06-18T00:00:00"/>
    <d v="2018-08-03T00:00:00"/>
    <s v="BoneCare s.r.o."/>
    <n v="3240000"/>
    <n v="3726000"/>
    <x v="18"/>
  </r>
  <r>
    <s v="VZ-2018-000367"/>
    <x v="10"/>
    <s v="Čech"/>
    <x v="284"/>
    <s v="33184100-4"/>
    <m/>
    <n v="723000"/>
    <x v="1"/>
    <d v="2018-06-18T00:00:00"/>
    <d v="2018-08-03T00:00:00"/>
    <s v="Johnson &amp; Johnson s.r.o."/>
    <n v="276383"/>
    <n v="317840.45"/>
    <x v="18"/>
  </r>
  <r>
    <s v="VZ-2018-000367"/>
    <x v="10"/>
    <s v="Čech"/>
    <x v="285"/>
    <s v="33184100-4"/>
    <m/>
    <n v="419000"/>
    <x v="1"/>
    <d v="2018-06-18T00:00:00"/>
    <d v="2018-08-03T00:00:00"/>
    <s v="BoneCare s.r.o."/>
    <n v="398000"/>
    <n v="457700"/>
    <x v="18"/>
  </r>
  <r>
    <s v="VZ-2018-000367"/>
    <x v="10"/>
    <s v="Čech"/>
    <x v="286"/>
    <s v="33184100-4"/>
    <m/>
    <n v="1410000"/>
    <x v="1"/>
    <d v="2018-06-18T00:00:00"/>
    <d v="2018-08-03T00:00:00"/>
    <s v="BoneCare s.r.o."/>
    <n v="1410000"/>
    <n v="1621500"/>
    <x v="18"/>
  </r>
  <r>
    <s v="VZ-2018-000367"/>
    <x v="10"/>
    <s v="Čech"/>
    <x v="287"/>
    <s v="33184100-4"/>
    <m/>
    <n v="616000"/>
    <x v="1"/>
    <d v="2018-06-18T00:00:00"/>
    <d v="2018-08-03T00:00:00"/>
    <s v="BoneCare s.r.o."/>
    <n v="614250"/>
    <n v="706387.5"/>
    <x v="18"/>
  </r>
  <r>
    <s v="VZ-2018-000367"/>
    <x v="10"/>
    <s v="Čech"/>
    <x v="288"/>
    <s v="33184100-4"/>
    <m/>
    <n v="4280000"/>
    <x v="1"/>
    <d v="2018-06-18T00:00:00"/>
    <d v="2018-08-03T00:00:00"/>
    <s v="BoneCare s.r.o."/>
    <n v="2616000"/>
    <n v="3008400"/>
    <x v="18"/>
  </r>
  <r>
    <s v="VZ-2018-000367"/>
    <x v="10"/>
    <s v="Čech"/>
    <x v="289"/>
    <s v="33184100-4"/>
    <m/>
    <n v="4280000"/>
    <x v="1"/>
    <d v="2018-06-18T00:00:00"/>
    <d v="2018-08-03T00:00:00"/>
    <s v="BoneCare s.r.o."/>
    <n v="2160000"/>
    <n v="2484000"/>
    <x v="18"/>
  </r>
  <r>
    <s v="VZ-2018-000367"/>
    <x v="10"/>
    <s v="Čech"/>
    <x v="290"/>
    <s v="33184100-4"/>
    <m/>
    <n v="2817000"/>
    <x v="1"/>
    <d v="2018-06-18T00:00:00"/>
    <d v="2018-08-03T00:00:00"/>
    <s v="BoneCare s.r.o."/>
    <n v="2076000"/>
    <n v="2387400"/>
    <x v="18"/>
  </r>
  <r>
    <s v="VZ-2018-000367"/>
    <x v="10"/>
    <s v="Čech"/>
    <x v="291"/>
    <s v="33184100-4"/>
    <m/>
    <n v="1335000"/>
    <x v="1"/>
    <d v="2018-06-18T00:00:00"/>
    <d v="2018-08-03T00:00:00"/>
    <s v="BoneCare s.r.o."/>
    <n v="1320000"/>
    <n v="1518000"/>
    <x v="18"/>
  </r>
  <r>
    <s v="VZ-2018-000367"/>
    <x v="10"/>
    <s v="Čech"/>
    <x v="292"/>
    <s v="33184100-4"/>
    <m/>
    <n v="920000"/>
    <x v="1"/>
    <d v="2018-06-18T00:00:00"/>
    <d v="2018-08-03T00:00:00"/>
    <s v="Johnson &amp; Johnson s.r.o."/>
    <n v="904000"/>
    <n v="1039600"/>
    <x v="18"/>
  </r>
  <r>
    <s v="VZ-2018-000367"/>
    <x v="10"/>
    <s v="Čech"/>
    <x v="293"/>
    <s v="33184100-4"/>
    <m/>
    <n v="427000"/>
    <x v="1"/>
    <d v="2018-06-18T00:00:00"/>
    <d v="2018-08-03T00:00:00"/>
    <s v="zrušeno bez nabídky"/>
    <m/>
    <m/>
    <x v="18"/>
  </r>
  <r>
    <s v="VZ-2018-000367"/>
    <x v="10"/>
    <s v="Čech"/>
    <x v="294"/>
    <s v="33184100-4"/>
    <m/>
    <n v="243000"/>
    <x v="1"/>
    <d v="2018-06-18T00:00:00"/>
    <d v="2018-08-03T00:00:00"/>
    <s v="Mediservis s.r.o."/>
    <n v="172740.4"/>
    <n v="198651.46"/>
    <x v="18"/>
  </r>
  <r>
    <s v="VZ-2018-000368"/>
    <x v="6"/>
    <s v="Nerudová"/>
    <x v="295"/>
    <s v="33141620-2"/>
    <m/>
    <n v="12000000"/>
    <x v="1"/>
    <d v="2018-06-19T00:00:00"/>
    <d v="2018-09-05T00:00:00"/>
    <s v="Löhmann Rauscher s.r.o."/>
    <n v="8688800"/>
    <n v="9992120"/>
    <x v="18"/>
  </r>
  <r>
    <s v="VZ-2018-000373"/>
    <x v="7"/>
    <s v="Novák"/>
    <x v="296"/>
    <s v="33192000-1 "/>
    <m/>
    <n v="300000"/>
    <x v="0"/>
    <d v="2018-06-07T00:00:00"/>
    <d v="2018-06-19T00:00:00"/>
    <s v="Linet s.r.o."/>
    <n v="322203"/>
    <n v="389865.63"/>
    <x v="85"/>
  </r>
  <r>
    <s v="VZ-2018-000380"/>
    <x v="7"/>
    <s v="Rosulek"/>
    <x v="297"/>
    <s v="42943200-0"/>
    <s v="2.3.363."/>
    <n v="310000"/>
    <x v="0"/>
    <d v="2018-06-15T00:00:00"/>
    <d v="2018-06-26T00:00:00"/>
    <s v="Vistex Medical s..r.o."/>
    <n v="308110"/>
    <n v="372813.1"/>
    <x v="45"/>
  </r>
  <r>
    <s v="VZ-2018-000381"/>
    <x v="6"/>
    <s v="Nerudová"/>
    <x v="298"/>
    <s v="39712210-1, 39712300"/>
    <m/>
    <n v="470000"/>
    <x v="0"/>
    <d v="2018-06-08T00:00:00"/>
    <d v="2018-06-19T00:00:00"/>
    <s v="zrušeno"/>
    <m/>
    <m/>
    <x v="18"/>
  </r>
  <r>
    <s v="VZ-2018-000382"/>
    <x v="7"/>
    <s v="Novák"/>
    <x v="299"/>
    <s v="33192000-2"/>
    <m/>
    <n v="950000"/>
    <x v="0"/>
    <d v="2018-06-07T00:00:00"/>
    <d v="2018-06-19T00:00:00"/>
    <s v="Sezame Product s.r.o."/>
    <n v="793360"/>
    <n v="959965.6"/>
    <x v="85"/>
  </r>
  <r>
    <s v="VZ-2018-000386"/>
    <x v="7"/>
    <s v="Rosulek"/>
    <x v="300"/>
    <s v="38434000-6"/>
    <s v="2.2.185."/>
    <n v="4380000"/>
    <x v="1"/>
    <d v="2018-06-14T00:00:00"/>
    <d v="2018-07-24T00:00:00"/>
    <s v="Explorea s.r.o."/>
    <n v="5596040"/>
    <n v="6771208.4000000004"/>
    <x v="86"/>
  </r>
  <r>
    <s v="VZ-2018-000387"/>
    <x v="7"/>
    <s v="Novák"/>
    <x v="301"/>
    <s v="33192300-5"/>
    <m/>
    <n v="500000"/>
    <x v="0"/>
    <d v="2018-06-14T00:00:00"/>
    <d v="2018-06-26T00:00:00"/>
    <s v="zrušeno"/>
    <m/>
    <m/>
    <x v="18"/>
  </r>
  <r>
    <s v="VZ-2018-000388"/>
    <x v="7"/>
    <s v="Rosulek"/>
    <x v="302"/>
    <s v="38950000-9"/>
    <s v="2.2.183."/>
    <n v="3110000"/>
    <x v="2"/>
    <d v="2018-06-14T00:00:00"/>
    <d v="2018-07-03T00:00:00"/>
    <s v="BIO-RAD spol. s r.o."/>
    <n v="3108304"/>
    <n v="3761047.84"/>
    <x v="57"/>
  </r>
  <r>
    <s v="VZ-2018-000392"/>
    <x v="12"/>
    <s v="Vaida"/>
    <x v="303"/>
    <s v="44221220-6"/>
    <m/>
    <n v="1200000"/>
    <x v="0"/>
    <d v="2018-06-18T00:00:00"/>
    <d v="2018-06-26T00:00:00"/>
    <s v="KONE a.s."/>
    <n v="1031010"/>
    <n v="1247522.0999999999"/>
    <x v="45"/>
  </r>
  <r>
    <s v="VZ-2018-000394"/>
    <x v="7"/>
    <s v="Rosulek"/>
    <x v="304"/>
    <s v="33192120-9"/>
    <s v="2.2.80.-81;2.2.145-146"/>
    <n v="15100000"/>
    <x v="1"/>
    <d v="2018-06-18T00:00:00"/>
    <d v="2018-07-25T00:00:00"/>
    <s v="Linet s.r.o."/>
    <n v="15079872.58"/>
    <n v="17401841.02"/>
    <x v="87"/>
  </r>
  <r>
    <s v="VZ-2018-000394"/>
    <x v="7"/>
    <s v="Rosulek"/>
    <x v="305"/>
    <s v="33192120-9"/>
    <s v="2.2.80.-81;2.2.145-146"/>
    <n v="4215000"/>
    <x v="1"/>
    <d v="2018-06-18T00:00:00"/>
    <d v="2018-07-25T00:00:00"/>
    <s v="Linet s.r.o."/>
    <n v="4213714.5599999996"/>
    <n v="4858474.62"/>
    <x v="88"/>
  </r>
  <r>
    <s v="VZ-2018-000397"/>
    <x v="4"/>
    <s v="Srovnal"/>
    <x v="306"/>
    <s v="45331200-8"/>
    <s v="4.2.96."/>
    <n v="330000"/>
    <x v="0"/>
    <d v="2018-06-18T00:00:00"/>
    <d v="2018-06-26T00:00:00"/>
    <s v="Air Klimont s.r.o."/>
    <n v="314215"/>
    <n v="380200"/>
    <x v="61"/>
  </r>
  <r>
    <s v="VZ-2018-000398"/>
    <x v="9"/>
    <s v="Oravec"/>
    <x v="307"/>
    <s v="31154000-0"/>
    <m/>
    <n v="255372"/>
    <x v="0"/>
    <d v="2018-06-19T00:00:00"/>
    <d v="2018-06-27T00:00:00"/>
    <s v="Data-Inter s.r.o."/>
    <n v="165400"/>
    <n v="200134"/>
    <x v="61"/>
  </r>
  <r>
    <s v="Vz-2018-000399"/>
    <x v="12"/>
    <s v="Vaida"/>
    <x v="308"/>
    <s v="45215100-8 "/>
    <m/>
    <n v="500000"/>
    <x v="0"/>
    <d v="2018-06-28T00:00:00"/>
    <d v="2018-07-13T00:00:00"/>
    <s v="Elektropráce Spáčil s.r.o."/>
    <n v="596000"/>
    <n v="721160"/>
    <x v="45"/>
  </r>
  <r>
    <s v="VZ-2018-000401"/>
    <x v="9"/>
    <s v="Oravec"/>
    <x v="309"/>
    <s v="32422000-7"/>
    <s v="3.2.3."/>
    <n v="1950000"/>
    <x v="1"/>
    <d v="2018-06-19T00:00:00"/>
    <d v="2018-07-30T00:00:00"/>
    <s v="Merit Group, a.s."/>
    <n v="1899022"/>
    <n v="2297816.62"/>
    <x v="89"/>
  </r>
  <r>
    <s v="VZ-2018-000406"/>
    <x v="10"/>
    <s v="Čech"/>
    <x v="310"/>
    <s v="33140000-3 "/>
    <m/>
    <n v="3080000"/>
    <x v="2"/>
    <d v="2018-06-18T00:00:00"/>
    <d v="2018-07-12T00:00:00"/>
    <s v="MAQUET Czech Republic, s.r.o."/>
    <n v="3100920.18"/>
    <n v="3752112.74"/>
    <x v="76"/>
  </r>
  <r>
    <s v="VZ-2018-000407"/>
    <x v="10"/>
    <s v="Čech"/>
    <x v="311"/>
    <s v="33169000-2"/>
    <m/>
    <n v="3800000"/>
    <x v="2"/>
    <d v="2018-06-19T00:00:00"/>
    <d v="2018-07-13T00:00:00"/>
    <s v="Medtronic Czechia s.r.o."/>
    <n v="3732640"/>
    <n v="4516494.4000000004"/>
    <x v="82"/>
  </r>
  <r>
    <s v="VZ-2018-000408"/>
    <x v="7"/>
    <s v="Rosulek"/>
    <x v="312"/>
    <s v="33152000-0"/>
    <s v="2.3.308."/>
    <n v="300000"/>
    <x v="0"/>
    <d v="2018-06-22T00:00:00"/>
    <d v="2018-07-04T00:00:00"/>
    <s v="Ybux s.r.o."/>
    <n v="374982"/>
    <n v="453728.22"/>
    <x v="45"/>
  </r>
  <r>
    <s v="VZ-2018-000408"/>
    <x v="7"/>
    <s v="Rosulek"/>
    <x v="313"/>
    <s v="33152000-0"/>
    <s v="2.3.308."/>
    <n v="600000"/>
    <x v="0"/>
    <d v="2018-06-22T00:00:00"/>
    <d v="2018-07-04T00:00:00"/>
    <s v="zrušeno"/>
    <m/>
    <m/>
    <x v="18"/>
  </r>
  <r>
    <s v="VZ-2018-000409"/>
    <x v="7"/>
    <s v="Rosulek"/>
    <x v="314"/>
    <s v="33162100-4"/>
    <s v="2.3.360."/>
    <n v="254000"/>
    <x v="0"/>
    <d v="2018-06-28T00:00:00"/>
    <d v="2018-07-13T00:00:00"/>
    <s v="Johnson &amp; Johnson s.r.o."/>
    <n v="241569.6"/>
    <n v="292299.21600000001"/>
    <x v="90"/>
  </r>
  <r>
    <s v="VZ-2018-000416"/>
    <x v="4"/>
    <s v="Eyer"/>
    <x v="315"/>
    <s v="50710000-5"/>
    <m/>
    <n v="3000000"/>
    <x v="2"/>
    <d v="2018-10-09T00:00:00"/>
    <d v="2018-10-30T00:00:00"/>
    <s v="Otáhal Miloslav"/>
    <n v="1899072"/>
    <n v="1899072"/>
    <x v="18"/>
  </r>
  <r>
    <s v="VZ-2018-000419"/>
    <x v="6"/>
    <s v="Nerudová"/>
    <x v="316"/>
    <s v="39120000-9"/>
    <m/>
    <n v="980000"/>
    <x v="1"/>
    <d v="2018-06-21T00:00:00"/>
    <d v="2018-08-02T00:00:00"/>
    <s v="KSK nábytek s.r.o."/>
    <n v="890317"/>
    <n v="1077283.57"/>
    <x v="64"/>
  </r>
  <r>
    <s v="VZ-2018-000420"/>
    <x v="19"/>
    <s v="Buzkova"/>
    <x v="317"/>
    <s v="79212300-6 "/>
    <m/>
    <n v="640000"/>
    <x v="0"/>
    <d v="2018-06-28T00:00:00"/>
    <d v="2018-07-12T00:00:00"/>
    <s v="FIZA, a.s."/>
    <n v="640000"/>
    <n v="774400"/>
    <x v="91"/>
  </r>
  <r>
    <s v="VZ-2018-000423"/>
    <x v="7"/>
    <s v="Rosulek"/>
    <x v="318"/>
    <s v="38434500-1"/>
    <s v="2.2.130.; 2.2.182."/>
    <n v="5330000"/>
    <x v="1"/>
    <d v="2018-06-22T00:00:00"/>
    <d v="2018-08-23T00:00:00"/>
    <s v="Life Technologies s.r.o."/>
    <n v="7692805.96"/>
    <n v="9308295.2200000007"/>
    <x v="92"/>
  </r>
  <r>
    <s v="VZ-2018-000424"/>
    <x v="10"/>
    <s v="Merta"/>
    <x v="319"/>
    <s v="33141200-2 "/>
    <m/>
    <n v="19664900"/>
    <x v="1"/>
    <d v="2018-10-03T00:00:00"/>
    <d v="2018-12-14T00:00:00"/>
    <s v="EP SERVICES s.r.o."/>
    <n v="19664619.829999998"/>
    <n v="23794189.994299997"/>
    <x v="18"/>
  </r>
  <r>
    <s v="VZ-2018-000424"/>
    <x v="10"/>
    <s v="Merta"/>
    <x v="320"/>
    <s v="33141200-2 "/>
    <m/>
    <n v="3197500"/>
    <x v="1"/>
    <d v="2018-10-03T00:00:00"/>
    <d v="2018-12-14T00:00:00"/>
    <s v="Cardiomedical, s.r.o."/>
    <n v="3115500"/>
    <n v="3769755"/>
    <x v="18"/>
  </r>
  <r>
    <s v="VZ-2018-000424"/>
    <x v="10"/>
    <s v="Merta"/>
    <x v="321"/>
    <s v="33141200-2 "/>
    <m/>
    <n v="1202665"/>
    <x v="1"/>
    <d v="2018-10-03T00:00:00"/>
    <d v="2018-12-14T00:00:00"/>
    <s v="zrušeno - překročení ceny"/>
    <m/>
    <m/>
    <x v="18"/>
  </r>
  <r>
    <s v="VZ-2018-000424"/>
    <x v="10"/>
    <s v="Merta"/>
    <x v="322"/>
    <s v="33141200-2 "/>
    <m/>
    <n v="600000"/>
    <x v="1"/>
    <d v="2018-10-03T00:00:00"/>
    <d v="2018-12-14T00:00:00"/>
    <s v="INLAB Medical, s.r.o."/>
    <n v="592500"/>
    <n v="716925"/>
    <x v="18"/>
  </r>
  <r>
    <s v="VZ-2018-000424"/>
    <x v="10"/>
    <s v="Merta"/>
    <x v="323"/>
    <s v="33141200-2 "/>
    <m/>
    <n v="3479000"/>
    <x v="1"/>
    <d v="2018-10-03T00:00:00"/>
    <d v="2018-12-14T00:00:00"/>
    <s v="CARDION s.r.o."/>
    <n v="3478512.4"/>
    <n v="4209000.0039999997"/>
    <x v="18"/>
  </r>
  <r>
    <s v="VZ-2018-000424"/>
    <x v="10"/>
    <s v="Merta"/>
    <x v="324"/>
    <s v="33141200-2 "/>
    <m/>
    <n v="654000"/>
    <x v="1"/>
    <d v="2018-10-03T00:00:00"/>
    <d v="2018-12-14T00:00:00"/>
    <s v="Cardiomedical, s.r.o."/>
    <n v="654000"/>
    <n v="791340"/>
    <x v="18"/>
  </r>
  <r>
    <s v="VZ-2018-000424"/>
    <x v="10"/>
    <s v="Merta"/>
    <x v="325"/>
    <s v="33141200-2 "/>
    <m/>
    <n v="677000"/>
    <x v="1"/>
    <d v="2018-10-03T00:00:00"/>
    <d v="2018-12-14T00:00:00"/>
    <s v="CARDION s.r.o."/>
    <n v="676644.63"/>
    <n v="818740.00229999993"/>
    <x v="18"/>
  </r>
  <r>
    <s v="VZ-2018-000424"/>
    <x v="10"/>
    <s v="Merta"/>
    <x v="326"/>
    <s v="33141200-2 "/>
    <m/>
    <n v="14126200"/>
    <x v="1"/>
    <d v="2018-10-03T00:00:00"/>
    <d v="2018-12-14T00:00:00"/>
    <s v="CARDION s.r.o."/>
    <n v="14126033.060000001"/>
    <n v="17092500.002599999"/>
    <x v="18"/>
  </r>
  <r>
    <s v="VZ-2018-000424"/>
    <x v="10"/>
    <s v="Merta"/>
    <x v="327"/>
    <s v="33141200-2 "/>
    <m/>
    <n v="3800000"/>
    <x v="1"/>
    <d v="2018-10-03T00:00:00"/>
    <d v="2018-12-14T00:00:00"/>
    <s v="CARDION s.r.o."/>
    <n v="3800000"/>
    <n v="4598000"/>
    <x v="18"/>
  </r>
  <r>
    <s v="VZ-2018-000424"/>
    <x v="10"/>
    <s v="Merta"/>
    <x v="328"/>
    <s v="33141200-2 "/>
    <m/>
    <n v="5625000"/>
    <x v="1"/>
    <d v="2018-10-03T00:00:00"/>
    <d v="2018-12-14T00:00:00"/>
    <s v="EP SERVICES s.r.o."/>
    <n v="5625000"/>
    <n v="6806250"/>
    <x v="18"/>
  </r>
  <r>
    <s v="VZ-2018-000424"/>
    <x v="10"/>
    <s v="Merta"/>
    <x v="329"/>
    <s v="33141200-2 "/>
    <m/>
    <n v="1875000"/>
    <x v="1"/>
    <d v="2018-10-03T00:00:00"/>
    <d v="2018-12-14T00:00:00"/>
    <s v="EP SERVICES s.r.o."/>
    <n v="1875000"/>
    <n v="2268750"/>
    <x v="18"/>
  </r>
  <r>
    <s v="VZ-2018-000424"/>
    <x v="10"/>
    <s v="Merta"/>
    <x v="330"/>
    <s v="33141200-2 "/>
    <m/>
    <n v="1156750"/>
    <x v="1"/>
    <d v="2018-10-03T00:00:00"/>
    <d v="2018-12-14T00:00:00"/>
    <s v="EP SERVICES s.r.o."/>
    <n v="1156605.3799999999"/>
    <n v="1399492.5097999999"/>
    <x v="18"/>
  </r>
  <r>
    <s v="VZ-2018-000426"/>
    <x v="7"/>
    <s v="Rosulek"/>
    <x v="331"/>
    <s v="33168000-5"/>
    <s v="2.2.142.;2.2.156.;2.2.159.;2.2.160.;2.2.163 -167.; 2.2.170.;2.2.176.; 2.3.306."/>
    <n v="19929850"/>
    <x v="1"/>
    <d v="2018-06-29T00:00:00"/>
    <d v="2018-08-08T00:00:00"/>
    <s v="zrušeno"/>
    <m/>
    <m/>
    <x v="18"/>
  </r>
  <r>
    <s v="VZ-2018-000426"/>
    <x v="7"/>
    <s v="Rosulek"/>
    <x v="332"/>
    <m/>
    <s v="2.2.142.;2.2.156.;2.2.159.;2.2.160.;2.2.163 -167.; 2.2.170.;2.2.176.; 2.3.306."/>
    <n v="487600"/>
    <x v="1"/>
    <d v="2018-06-29T00:00:00"/>
    <d v="2018-08-08T00:00:00"/>
    <s v="zrušeno"/>
    <m/>
    <m/>
    <x v="18"/>
  </r>
  <r>
    <s v="VZ-2018-000427"/>
    <x v="7"/>
    <s v="Rosulek"/>
    <x v="333"/>
    <s v="33191000-5"/>
    <s v="2.2.151, 2.3.304"/>
    <n v="966942"/>
    <x v="0"/>
    <d v="2018-07-12T00:00:00"/>
    <d v="2018-07-30T00:00:00"/>
    <s v="MEDISUN profi s.r.o."/>
    <n v="894120"/>
    <n v="1081885.2"/>
    <x v="66"/>
  </r>
  <r>
    <s v="VZ-2018-000429"/>
    <x v="7"/>
    <s v="Rosulek"/>
    <x v="334"/>
    <s v="44411000-4"/>
    <s v="2.2.148."/>
    <n v="526000"/>
    <x v="0"/>
    <d v="2018-07-26T00:00:00"/>
    <d v="2018-08-07T00:00:00"/>
    <s v="ARJO Czech republic s.r.o."/>
    <n v="394480"/>
    <n v="477320.8"/>
    <x v="43"/>
  </r>
  <r>
    <s v="VZ-2018-000440"/>
    <x v="7"/>
    <s v="Rosulek"/>
    <x v="335"/>
    <s v="33195000-3"/>
    <s v="2.2.83;2.2.149;2.3.321"/>
    <n v="12396595"/>
    <x v="1"/>
    <d v="2018-07-04T00:00:00"/>
    <d v="2018-08-10T00:00:00"/>
    <s v="S &amp; T Plus s.r.o."/>
    <n v="11432841"/>
    <n v="13833836"/>
    <x v="93"/>
  </r>
  <r>
    <s v="VZ-2018-000441"/>
    <x v="3"/>
    <s v="Neudorflörová"/>
    <x v="336"/>
    <s v="33195000-3"/>
    <s v="2.3.339."/>
    <n v="5197355.32"/>
    <x v="1"/>
    <d v="2018-09-25T00:00:00"/>
    <d v="2018-11-05T00:00:00"/>
    <s v="S &amp; T Plus s.r.o."/>
    <n v="5279580"/>
    <n v="6388291.7999999998"/>
    <x v="18"/>
  </r>
  <r>
    <s v="VZ-2018-000441"/>
    <x v="3"/>
    <s v="Neudorflörová"/>
    <x v="337"/>
    <s v="33195000-3"/>
    <s v="2.3.343."/>
    <n v="3306944.71"/>
    <x v="1"/>
    <d v="2018-09-25T00:00:00"/>
    <d v="2018-11-05T00:00:00"/>
    <s v="MSM, spol. s r.o."/>
    <n v="2942292"/>
    <n v="3560173.66"/>
    <x v="18"/>
  </r>
  <r>
    <s v="VZ-2018-000455"/>
    <x v="7"/>
    <s v="Rosulek"/>
    <x v="338"/>
    <s v="33157400-9 "/>
    <s v="2.2.184."/>
    <n v="1257025"/>
    <x v="0"/>
    <d v="2018-07-13T00:00:00"/>
    <d v="2018-07-27T00:00:00"/>
    <s v="Dartin spol. s r.o."/>
    <n v="1349447"/>
    <n v="1632830.87"/>
    <x v="43"/>
  </r>
  <r>
    <s v="VZ-2018-000456"/>
    <x v="7"/>
    <s v="Rosulek"/>
    <x v="339"/>
    <s v="33192000-2"/>
    <s v="2.2.156."/>
    <n v="1613000"/>
    <x v="0"/>
    <d v="2018-07-26T00:00:00"/>
    <d v="2018-08-08T00:00:00"/>
    <s v="Olympus Czech Rep."/>
    <n v="1569740"/>
    <n v="1899385.4"/>
    <x v="94"/>
  </r>
  <r>
    <s v="VZ-2018-000457"/>
    <x v="11"/>
    <s v="Spáčil"/>
    <x v="340"/>
    <s v="45223300-9"/>
    <s v="1.3.17."/>
    <n v="2950000"/>
    <x v="0"/>
    <d v="2018-07-16T00:00:00"/>
    <d v="2018-07-27T00:00:00"/>
    <s v="zrušeno"/>
    <m/>
    <m/>
    <x v="18"/>
  </r>
  <r>
    <s v="VZ-2018-000459"/>
    <x v="15"/>
    <s v="Zemánek"/>
    <x v="341"/>
    <s v="50420000-5"/>
    <m/>
    <n v="800000"/>
    <x v="0"/>
    <d v="2018-09-10T00:00:00"/>
    <d v="2018-09-20T00:00:00"/>
    <s v="MAQUET Czech Republic, s.r.o."/>
    <n v="692565"/>
    <n v="838003.65"/>
    <x v="72"/>
  </r>
  <r>
    <s v="VZ-2018-000462"/>
    <x v="3"/>
    <s v="Neudorflörová"/>
    <x v="342"/>
    <s v="33195100-4"/>
    <s v="2.3.326."/>
    <n v="3399173"/>
    <x v="1"/>
    <d v="2018-11-09T00:00:00"/>
    <d v="2019-01-07T00:00:00"/>
    <m/>
    <m/>
    <m/>
    <x v="18"/>
  </r>
  <r>
    <s v="VZ-2018-000462"/>
    <x v="3"/>
    <s v="Neudorflörová"/>
    <x v="343"/>
    <s v="33195100-4"/>
    <s v="2.3.327."/>
    <n v="518181"/>
    <x v="1"/>
    <d v="2018-11-09T00:00:00"/>
    <d v="2019-01-07T00:00:00"/>
    <m/>
    <m/>
    <m/>
    <x v="18"/>
  </r>
  <r>
    <s v="VZ-2018-000462"/>
    <x v="3"/>
    <s v="Neudorflörová"/>
    <x v="344"/>
    <s v="33195100-4"/>
    <s v="2.3.348."/>
    <n v="1882644"/>
    <x v="1"/>
    <d v="2018-11-09T00:00:00"/>
    <d v="2019-01-07T00:00:00"/>
    <m/>
    <m/>
    <m/>
    <x v="18"/>
  </r>
  <r>
    <s v="VZ-2018-000462"/>
    <x v="3"/>
    <s v="Neudorflörová"/>
    <x v="345"/>
    <s v="33195100-4"/>
    <s v="2.3.326."/>
    <n v="2757850"/>
    <x v="1"/>
    <d v="2018-11-09T00:00:00"/>
    <d v="2019-01-07T00:00:00"/>
    <m/>
    <m/>
    <m/>
    <x v="18"/>
  </r>
  <r>
    <s v="VZ-2018-000463"/>
    <x v="2"/>
    <s v="Ondráčková"/>
    <x v="346"/>
    <s v="33696800-3"/>
    <m/>
    <n v="1705200"/>
    <x v="1"/>
    <d v="2018-07-18T00:00:00"/>
    <d v="2018-08-24T00:00:00"/>
    <s v="Diagnostic Pharmaceuticals a.s."/>
    <n v="1635600"/>
    <n v="1799160.0000000002"/>
    <x v="18"/>
  </r>
  <r>
    <s v="VZ-2018-000463"/>
    <x v="2"/>
    <s v="Ondráčková"/>
    <x v="347"/>
    <s v="33696800-3"/>
    <m/>
    <n v="74100"/>
    <x v="1"/>
    <d v="2018-07-18T00:00:00"/>
    <d v="2018-08-24T00:00:00"/>
    <s v="Bracco Imaging Czech s.r.o."/>
    <n v="74090"/>
    <n v="81499"/>
    <x v="18"/>
  </r>
  <r>
    <s v="VZ-2018-000463"/>
    <x v="2"/>
    <s v="Ondráčková"/>
    <x v="348"/>
    <s v="33696800-3"/>
    <m/>
    <n v="2302873"/>
    <x v="1"/>
    <d v="2018-07-18T00:00:00"/>
    <d v="2018-08-24T00:00:00"/>
    <s v="BAYER s.r.o."/>
    <n v="2302872.08"/>
    <n v="2533159.2880000002"/>
    <x v="18"/>
  </r>
  <r>
    <s v="VZ-2018-000466"/>
    <x v="10"/>
    <s v="Dočkalová"/>
    <x v="349"/>
    <s v="33140000-3"/>
    <m/>
    <n v="4613400"/>
    <x v="1"/>
    <d v="2018-07-25T00:00:00"/>
    <d v="2018-09-04T00:00:00"/>
    <s v="Terumo BCT Europe N.V."/>
    <n v="4613400"/>
    <n v="5582214"/>
    <x v="95"/>
  </r>
  <r>
    <s v="VZ-2018-000467"/>
    <x v="10"/>
    <s v="Dočkalová"/>
    <x v="350"/>
    <s v="33140000-3"/>
    <m/>
    <n v="2516000"/>
    <x v="2"/>
    <d v="2018-07-27T00:00:00"/>
    <d v="2018-08-22T00:00:00"/>
    <s v="Terumo BCT Europe N.V."/>
    <n v="2529000"/>
    <n v="3060090"/>
    <x v="95"/>
  </r>
  <r>
    <s v="VZ-2018-000469"/>
    <x v="10"/>
    <s v="Dočkalová"/>
    <x v="351"/>
    <s v="33140000-3"/>
    <m/>
    <n v="3700000"/>
    <x v="2"/>
    <d v="2018-07-17T00:00:00"/>
    <d v="2018-08-01T00:00:00"/>
    <s v="ADYTON s.r.o."/>
    <n v="3699739.44"/>
    <n v="4254700.4000000004"/>
    <x v="96"/>
  </r>
  <r>
    <s v="VZ-2018-000470"/>
    <x v="7"/>
    <s v="Rosulek"/>
    <x v="352"/>
    <s v="33162100-4"/>
    <s v="2.3.208."/>
    <n v="2314050"/>
    <x v="2"/>
    <d v="2018-07-18T00:00:00"/>
    <d v="2018-08-15T00:00:00"/>
    <s v="zrušeno"/>
    <m/>
    <m/>
    <x v="18"/>
  </r>
  <r>
    <s v="VZ-2018-000493"/>
    <x v="7"/>
    <s v="Rosulek"/>
    <x v="353"/>
    <s v="33157400-9"/>
    <s v="2.2.91;2.2.174"/>
    <n v="8049586"/>
    <x v="1"/>
    <d v="2018-07-25T00:00:00"/>
    <d v="2018-10-15T00:00:00"/>
    <s v="A.M.I.- Analytical Medical In."/>
    <n v="7125075"/>
    <n v="8621340.75"/>
    <x v="18"/>
  </r>
  <r>
    <s v="VZ-2018-000493"/>
    <x v="7"/>
    <s v="Rosulek"/>
    <x v="354"/>
    <s v="33157400-9"/>
    <s v="2.2.82; 2.2.175"/>
    <n v="1190082"/>
    <x v="1"/>
    <d v="2018-07-25T00:00:00"/>
    <d v="2018-10-15T00:00:00"/>
    <s v="Dräger Medical s.r.o."/>
    <n v="1184500"/>
    <n v="1433245"/>
    <x v="18"/>
  </r>
  <r>
    <s v="VZ-2018-000493"/>
    <x v="7"/>
    <s v="Rosulek"/>
    <x v="355"/>
    <s v="33157400-9"/>
    <s v="2.4.100"/>
    <n v="349256"/>
    <x v="1"/>
    <d v="2018-07-25T00:00:00"/>
    <d v="2018-10-15T00:00:00"/>
    <s v="Saegeling Medizintechnik"/>
    <n v="342828"/>
    <n v="397490.28"/>
    <x v="18"/>
  </r>
  <r>
    <s v="VZ-2018-000497"/>
    <x v="20"/>
    <s v="Knápek"/>
    <x v="356"/>
    <s v="48180000-3"/>
    <s v="3.2.27."/>
    <n v="1990000"/>
    <x v="0"/>
    <d v="2018-07-27T00:00:00"/>
    <d v="2018-08-08T00:00:00"/>
    <s v="SEFIMA s.r.o."/>
    <n v="1940000"/>
    <n v="2347400"/>
    <x v="85"/>
  </r>
  <r>
    <s v="VZ-2018-000503"/>
    <x v="12"/>
    <s v="Vaida"/>
    <x v="357"/>
    <s v="45213400-7"/>
    <s v="4.2.15."/>
    <n v="1322300"/>
    <x v="0"/>
    <d v="2018-08-02T00:00:00"/>
    <d v="2018-08-21T00:00:00"/>
    <s v="AZ stavby s.r.o."/>
    <n v="1700233.16"/>
    <n v="2057282.12"/>
    <x v="97"/>
  </r>
  <r>
    <s v="VZ-2018-000505"/>
    <x v="11"/>
    <s v="Spáčil"/>
    <x v="358"/>
    <s v="45111000-8"/>
    <m/>
    <n v="20000000"/>
    <x v="2"/>
    <d v="2018-10-05T00:00:00"/>
    <d v="2018-10-26T00:00:00"/>
    <s v="MORKUS Morava s.r.o."/>
    <n v="9766934.25"/>
    <n v="11817990.442499999"/>
    <x v="98"/>
  </r>
  <r>
    <s v="VZ-2018-000508"/>
    <x v="3"/>
    <s v="Neudorflörová"/>
    <x v="359"/>
    <s v="33111000-1"/>
    <s v="2.3.337."/>
    <n v="2152066.1"/>
    <x v="1"/>
    <d v="2018-09-25T00:00:00"/>
    <d v="2018-10-31T00:00:00"/>
    <s v="FOMA Medical spol. s  r.o."/>
    <n v="2119510"/>
    <n v="2564607.1"/>
    <x v="18"/>
  </r>
  <r>
    <s v="VZ-2018-000509"/>
    <x v="3"/>
    <s v="Neudorflörová"/>
    <x v="360"/>
    <s v="33124100-6"/>
    <s v="2.3.351."/>
    <n v="971000"/>
    <x v="1"/>
    <d v="2018-11-09T00:00:00"/>
    <d v="2018-12-12T00:00:00"/>
    <s v="MEDISTA spol. s r.o."/>
    <n v="1351100"/>
    <n v="1634831"/>
    <x v="18"/>
  </r>
  <r>
    <s v="VZ-2018-000512"/>
    <x v="7"/>
    <s v="Novák"/>
    <x v="361"/>
    <s v="33192300-5 "/>
    <m/>
    <n v="1865000"/>
    <x v="0"/>
    <d v="2018-08-16T00:00:00"/>
    <d v="2018-08-29T00:00:00"/>
    <s v="MARO-Mader s.r.o."/>
    <n v="1455675"/>
    <n v="1761378"/>
    <x v="86"/>
  </r>
  <r>
    <s v="VZ-2018-000513"/>
    <x v="12"/>
    <s v="Vaida"/>
    <x v="362"/>
    <s v="45430000-0 "/>
    <m/>
    <n v="1200000"/>
    <x v="0"/>
    <d v="2018-08-02T00:00:00"/>
    <d v="2018-08-16T00:00:00"/>
    <s v="BRADA Interiéry s.r.o."/>
    <n v="1223650"/>
    <n v="1480616.5"/>
    <x v="99"/>
  </r>
  <r>
    <s v="VZ-2018-000523"/>
    <x v="7"/>
    <s v="Novák"/>
    <x v="363"/>
    <s v="34911100-7 "/>
    <m/>
    <n v="910000"/>
    <x v="0"/>
    <d v="2018-08-22T00:00:00"/>
    <d v="2018-09-06T00:00:00"/>
    <s v="KLARO s.r.o."/>
    <n v="698937"/>
    <n v="845713.77"/>
    <x v="95"/>
  </r>
  <r>
    <s v="VZ-2018-000527"/>
    <x v="4"/>
    <s v="Srovnal"/>
    <x v="364"/>
    <s v="39717200-3 "/>
    <s v="4.2.97."/>
    <n v="250000"/>
    <x v="0"/>
    <d v="2018-08-13T00:00:00"/>
    <d v="2018-08-24T00:00:00"/>
    <s v="Air Klimont s.r.o."/>
    <n v="215470"/>
    <n v="260718.69999999998"/>
    <x v="99"/>
  </r>
  <r>
    <s v="VZ-2018-000534"/>
    <x v="12"/>
    <s v="Vaida"/>
    <x v="365"/>
    <s v="45213400-7 "/>
    <s v="4.2.99."/>
    <n v="700000"/>
    <x v="0"/>
    <d v="2018-08-13T00:00:00"/>
    <d v="2018-08-24T00:00:00"/>
    <s v="zrušeno - bez nabídky"/>
    <m/>
    <m/>
    <x v="18"/>
  </r>
  <r>
    <s v="VZ-2018-000535"/>
    <x v="7"/>
    <s v="Rosulek"/>
    <x v="366"/>
    <s v="33152000-0"/>
    <s v="2.3.308."/>
    <n v="534000"/>
    <x v="0"/>
    <d v="2018-08-17T00:00:00"/>
    <d v="2018-08-29T00:00:00"/>
    <s v="Trigon Plus s.r.o."/>
    <n v="714536"/>
    <n v="864588.55999999994"/>
    <x v="100"/>
  </r>
  <r>
    <s v="VZ-2018-000556"/>
    <x v="7"/>
    <s v="Rosulek"/>
    <x v="367"/>
    <s v="33191000-5"/>
    <s v="2.2.150."/>
    <n v="5206612"/>
    <x v="1"/>
    <d v="2018-08-20T00:00:00"/>
    <d v="2018-10-11T00:00:00"/>
    <s v="Suppmed s.r.o."/>
    <n v="5030299.82"/>
    <n v="6086662.9299999997"/>
    <x v="101"/>
  </r>
  <r>
    <s v="VZ-2018-000570"/>
    <x v="4"/>
    <s v="Srovnal"/>
    <x v="368"/>
    <s v="42513290-4 "/>
    <s v="4.2.60."/>
    <n v="750000"/>
    <x v="2"/>
    <d v="2018-09-07T00:00:00"/>
    <d v="2018-09-25T00:00:00"/>
    <s v="Air Klimont s.r.o."/>
    <n v="675048"/>
    <n v="816808"/>
    <x v="102"/>
  </r>
  <r>
    <s v="VZ-2018-000575"/>
    <x v="2"/>
    <s v="Ondráčková"/>
    <x v="369"/>
    <s v="33661200-3"/>
    <m/>
    <n v="1862375"/>
    <x v="0"/>
    <d v="2018-08-22T00:00:00"/>
    <d v="2018-08-29T00:00:00"/>
    <s v="ViaPharma s.r.o."/>
    <n v="1833158.71"/>
    <n v="2016474.58"/>
    <x v="18"/>
  </r>
  <r>
    <s v="VZ-2018-000578"/>
    <x v="7"/>
    <s v="Rosulek"/>
    <x v="370"/>
    <s v="33192600-8"/>
    <s v="2.2.94, 2.2.95, 2.2.154, 2.2.155, 2.2.172"/>
    <n v="1740000"/>
    <x v="0"/>
    <d v="2018-08-27T00:00:00"/>
    <d v="2018-09-05T00:00:00"/>
    <s v="zrušeno "/>
    <m/>
    <m/>
    <x v="18"/>
  </r>
  <r>
    <s v="VZ-2018-000586"/>
    <x v="10"/>
    <s v="Valtová"/>
    <x v="371"/>
    <s v="33140000-3"/>
    <m/>
    <n v="18039200"/>
    <x v="1"/>
    <d v="2018-10-03T00:00:00"/>
    <d v="2018-11-05T00:00:00"/>
    <s v="CARDION s.r.o."/>
    <n v="18039000"/>
    <n v="20744850"/>
    <x v="18"/>
  </r>
  <r>
    <s v="VZ-2018-000590"/>
    <x v="12"/>
    <s v="Vaida"/>
    <x v="372"/>
    <s v="45332000-3"/>
    <s v="4.2.63."/>
    <n v="1571000"/>
    <x v="0"/>
    <d v="2018-08-30T00:00:00"/>
    <d v="2018-09-14T00:00:00"/>
    <s v="INTOP Olomouc CZ s.r.o."/>
    <n v="1399548.52"/>
    <n v="1693453.71"/>
    <x v="103"/>
  </r>
  <r>
    <s v="VZ-2018-000592"/>
    <x v="7"/>
    <s v="Novák"/>
    <x v="373"/>
    <s v="33192300-5"/>
    <m/>
    <n v="490000"/>
    <x v="0"/>
    <d v="2018-08-27T00:00:00"/>
    <d v="2018-09-07T00:00:00"/>
    <s v="INTER META Ostrava s.r.o."/>
    <n v="501592.84"/>
    <n v="577256"/>
    <x v="86"/>
  </r>
  <r>
    <s v="VZ-2018-000593"/>
    <x v="10"/>
    <s v="Valtová"/>
    <x v="374"/>
    <s v="33140000-3"/>
    <m/>
    <n v="1115405"/>
    <x v="0"/>
    <d v="2018-08-27T00:00:00"/>
    <d v="2018-09-14T00:00:00"/>
    <s v="Medtronic Czechia s.r.o."/>
    <n v="900000"/>
    <n v="1089000"/>
    <x v="18"/>
  </r>
  <r>
    <s v="VZ-2018-000594"/>
    <x v="10"/>
    <s v="Valtová"/>
    <x v="375"/>
    <s v="33140000-3"/>
    <m/>
    <n v="1212500"/>
    <x v="0"/>
    <d v="2018-08-27T00:00:00"/>
    <d v="2018-09-12T00:00:00"/>
    <s v="Medtronic Czechia s.r.o."/>
    <n v="1212500"/>
    <n v="1467125"/>
    <x v="74"/>
  </r>
  <r>
    <s v="VZ-2018-000595"/>
    <x v="10"/>
    <s v="Valtová"/>
    <x v="376"/>
    <s v="33140000-3"/>
    <m/>
    <n v="5044317"/>
    <x v="1"/>
    <d v="2018-09-07T00:00:00"/>
    <d v="2018-10-12T00:00:00"/>
    <s v="INLAB Medical, s.r.o."/>
    <n v="5044290.99"/>
    <n v="5800934.6399999997"/>
    <x v="104"/>
  </r>
  <r>
    <s v="VZ-2018-000599"/>
    <x v="12"/>
    <s v="Vaida"/>
    <x v="377"/>
    <s v="45213400-7"/>
    <s v="4.2.99."/>
    <n v="700000"/>
    <x v="0"/>
    <d v="2018-09-03T00:00:00"/>
    <d v="2018-09-12T00:00:00"/>
    <s v="OHL ŽS, a.s."/>
    <n v="542032.61"/>
    <n v="655859.45809999993"/>
    <x v="88"/>
  </r>
  <r>
    <s v="VZ-2018-000600"/>
    <x v="4"/>
    <s v="Eyer"/>
    <x v="378"/>
    <s v="45421000-4"/>
    <s v="4.2.21."/>
    <n v="400000"/>
    <x v="0"/>
    <d v="2018-09-06T00:00:00"/>
    <d v="2018-09-17T00:00:00"/>
    <s v="MIZ- Olomouc s.r.o."/>
    <n v="515365"/>
    <n v="623591.65"/>
    <x v="103"/>
  </r>
  <r>
    <s v="VZ-2018-000601"/>
    <x v="9"/>
    <s v="Miklík"/>
    <x v="379"/>
    <s v="33124000-5"/>
    <s v="3.2.17."/>
    <n v="1570248"/>
    <x v="0"/>
    <d v="2018-09-05T00:00:00"/>
    <d v="2018-09-14T00:00:00"/>
    <s v="OR-CZ spol. s r.o."/>
    <n v="1290436"/>
    <n v="1561427.56"/>
    <x v="86"/>
  </r>
  <r>
    <s v="VZ-2018-000603"/>
    <x v="2"/>
    <s v="Ondráčková"/>
    <x v="380"/>
    <s v="33642100-3"/>
    <m/>
    <n v="41300323.960000001"/>
    <x v="1"/>
    <d v="2018-09-25T00:00:00"/>
    <d v="2018-10-31T00:00:00"/>
    <s v="PHOENIX lék.velkoobchod, s.r.o."/>
    <n v="41104437.479999997"/>
    <n v="45214881.228"/>
    <x v="18"/>
  </r>
  <r>
    <s v="VZ-2018-000603"/>
    <x v="2"/>
    <s v="Ondráčková"/>
    <x v="381"/>
    <s v="33642100-3"/>
    <m/>
    <n v="18830180.890000001"/>
    <x v="1"/>
    <d v="2018-09-25T00:00:00"/>
    <d v="2018-10-31T00:00:00"/>
    <s v="PHOENIX lék.velkoobchod, s.r.o."/>
    <n v="18736351.109999999"/>
    <n v="20609986.221000001"/>
    <x v="18"/>
  </r>
  <r>
    <s v="VZ-2018-000603"/>
    <x v="2"/>
    <s v="Ondráčková"/>
    <x v="382"/>
    <s v="33642100-3"/>
    <m/>
    <n v="42899036.450000003"/>
    <x v="1"/>
    <d v="2018-09-25T00:00:00"/>
    <d v="2018-10-31T00:00:00"/>
    <s v="ViaPharma s.r.o."/>
    <n v="42803439.280000001"/>
    <n v="47083783.208000004"/>
    <x v="18"/>
  </r>
  <r>
    <s v="VZ-2018-000603"/>
    <x v="2"/>
    <s v="Ondráčková"/>
    <x v="383"/>
    <s v="33642100-3"/>
    <m/>
    <n v="5515900.9100000001"/>
    <x v="1"/>
    <d v="2018-09-25T00:00:00"/>
    <d v="2018-10-31T00:00:00"/>
    <s v="PHOENIX lék.velkoobchod, s.r.o."/>
    <n v="5485924"/>
    <n v="6034516.4000000004"/>
    <x v="18"/>
  </r>
  <r>
    <s v="VZ-2018-000603"/>
    <x v="2"/>
    <s v="Ondráčková"/>
    <x v="384"/>
    <s v="33642100-3"/>
    <m/>
    <n v="16652654.73"/>
    <x v="1"/>
    <d v="2018-09-25T00:00:00"/>
    <d v="2018-10-31T00:00:00"/>
    <s v="Pharmos, a.s."/>
    <n v="16587621.630000001"/>
    <n v="18246383.793000001"/>
    <x v="18"/>
  </r>
  <r>
    <s v="VZ-2018-000603"/>
    <x v="2"/>
    <s v="Ondráčková"/>
    <x v="385"/>
    <s v="33642100-3"/>
    <m/>
    <n v="12678937.16"/>
    <x v="1"/>
    <d v="2018-09-25T00:00:00"/>
    <d v="2018-10-31T00:00:00"/>
    <s v="PHOENIX lék.velkoobchod, s.r.o."/>
    <n v="12608680.5"/>
    <n v="13869548.550000001"/>
    <x v="18"/>
  </r>
  <r>
    <s v="VZ-2018-000603"/>
    <x v="2"/>
    <s v="Ondráčková"/>
    <x v="386"/>
    <s v="33642100-3"/>
    <m/>
    <n v="11377554.689999999"/>
    <x v="1"/>
    <d v="2018-09-25T00:00:00"/>
    <d v="2018-10-31T00:00:00"/>
    <s v="ViaPharma s.r.o."/>
    <n v="11362478.16"/>
    <n v="12498725.976000002"/>
    <x v="18"/>
  </r>
  <r>
    <s v="VZ-2018-000604"/>
    <x v="2"/>
    <s v="Ondráčková"/>
    <x v="387"/>
    <s v=" 33621300-2 "/>
    <m/>
    <n v="858526"/>
    <x v="2"/>
    <d v="2018-09-06T00:00:00"/>
    <d v="2018-09-24T00:00:00"/>
    <s v="Amgen s.r.o."/>
    <n v="851840.86"/>
    <n v="937024.94600000011"/>
    <x v="105"/>
  </r>
  <r>
    <s v="VZ-2018-000604"/>
    <x v="2"/>
    <s v="Ondráčková"/>
    <x v="388"/>
    <s v="33621300-2"/>
    <m/>
    <n v="2200942"/>
    <x v="2"/>
    <d v="2018-09-06T00:00:00"/>
    <d v="2018-09-24T00:00:00"/>
    <s v="Promedica Praha Group, a.s."/>
    <n v="2200939.02"/>
    <n v="2421032.9220000003"/>
    <x v="105"/>
  </r>
  <r>
    <s v="VZ-2018-000605"/>
    <x v="2"/>
    <s v="Ondráčková"/>
    <x v="389"/>
    <s v="33622200-8"/>
    <m/>
    <n v="2130154"/>
    <x v="1"/>
    <d v="2018-10-25T00:00:00"/>
    <d v="2018-11-30T00:00:00"/>
    <s v="Alliance Healthcare s.r.o."/>
    <n v="1636059.1"/>
    <n v="1799665.0100000002"/>
    <x v="18"/>
  </r>
  <r>
    <s v="VZ-2018-000605"/>
    <x v="2"/>
    <s v="Ondráčková"/>
    <x v="390"/>
    <s v="33622200-8"/>
    <m/>
    <n v="298758"/>
    <x v="1"/>
    <d v="2018-10-25T00:00:00"/>
    <d v="2018-11-30T00:00:00"/>
    <s v="Alliance Healthcare s.r.o."/>
    <n v="207044.7"/>
    <n v="227749.17000000004"/>
    <x v="18"/>
  </r>
  <r>
    <s v="VZ-2018-000605"/>
    <x v="2"/>
    <s v="Ondráčková"/>
    <x v="391"/>
    <s v="33622200-8"/>
    <m/>
    <n v="13588559"/>
    <x v="1"/>
    <d v="2018-10-25T00:00:00"/>
    <d v="2018-11-30T00:00:00"/>
    <s v="PHOENIX lék.velkoobchod, s.r.o."/>
    <n v="13426404.6"/>
    <n v="14769045.060000001"/>
    <x v="18"/>
  </r>
  <r>
    <s v="VZ-2018-000605"/>
    <x v="2"/>
    <s v="Ondráčková"/>
    <x v="392"/>
    <s v="33622200-8"/>
    <m/>
    <n v="8837280"/>
    <x v="1"/>
    <d v="2018-10-25T00:00:00"/>
    <d v="2018-11-30T00:00:00"/>
    <s v="Alliance Healthcare s.r.o."/>
    <n v="8837280"/>
    <n v="9721008"/>
    <x v="18"/>
  </r>
  <r>
    <s v="VZ-2018-000605"/>
    <x v="2"/>
    <s v="Ondráčková"/>
    <x v="393"/>
    <s v="33622200-8"/>
    <m/>
    <n v="3523471"/>
    <x v="1"/>
    <d v="2018-10-25T00:00:00"/>
    <d v="2018-11-30T00:00:00"/>
    <s v="ViaPharma s.r.o."/>
    <n v="3036656.2"/>
    <n v="3340321.8200000003"/>
    <x v="18"/>
  </r>
  <r>
    <s v="VZ-2018-000605"/>
    <x v="2"/>
    <s v="Ondráčková"/>
    <x v="394"/>
    <s v="33622200-8"/>
    <m/>
    <n v="943725"/>
    <x v="1"/>
    <d v="2018-10-25T00:00:00"/>
    <d v="2018-11-30T00:00:00"/>
    <s v="zrušeno bez nabídky"/>
    <m/>
    <m/>
    <x v="18"/>
  </r>
  <r>
    <s v="VZ-2018-000605"/>
    <x v="2"/>
    <s v="Ondráčková"/>
    <x v="395"/>
    <s v="33622200-8"/>
    <m/>
    <n v="114957884"/>
    <x v="1"/>
    <d v="2018-10-25T00:00:00"/>
    <d v="2018-11-30T00:00:00"/>
    <s v="Alliance Healthcare s.r.o."/>
    <n v="114957882.56"/>
    <n v="126453670.81999999"/>
    <x v="18"/>
  </r>
  <r>
    <s v="VZ-2018-000605"/>
    <x v="2"/>
    <s v="Ondráčková"/>
    <x v="396"/>
    <s v="33622200-8"/>
    <m/>
    <n v="2039696"/>
    <x v="1"/>
    <d v="2018-10-25T00:00:00"/>
    <d v="2018-11-30T00:00:00"/>
    <s v="Alliance Healthcare s.r.o."/>
    <n v="996934.08"/>
    <n v="1096627.49"/>
    <x v="18"/>
  </r>
  <r>
    <s v="VZ-2018-000606"/>
    <x v="2"/>
    <s v="Ondráčková"/>
    <x v="397"/>
    <s v="33652000-5"/>
    <m/>
    <n v="2334404"/>
    <x v="1"/>
    <d v="2018-09-06T00:00:00"/>
    <d v="2018-10-10T00:00:00"/>
    <s v="zrušeno - bez nabídky"/>
    <m/>
    <m/>
    <x v="18"/>
  </r>
  <r>
    <s v="VZ-2018-000606"/>
    <x v="2"/>
    <s v="Ondráčková"/>
    <x v="398"/>
    <s v="33652000-5"/>
    <m/>
    <n v="35973112"/>
    <x v="1"/>
    <d v="2018-09-06T00:00:00"/>
    <d v="2018-10-10T00:00:00"/>
    <s v="zrušeno - překročení ceny"/>
    <m/>
    <m/>
    <x v="18"/>
  </r>
  <r>
    <s v="VZ-2018-000606"/>
    <x v="2"/>
    <s v="Ondráčková"/>
    <x v="399"/>
    <s v="33652000-5"/>
    <m/>
    <n v="41208280"/>
    <x v="1"/>
    <d v="2018-09-06T00:00:00"/>
    <d v="2018-10-10T00:00:00"/>
    <s v="Avenier a.s."/>
    <n v="41204810.799999997"/>
    <n v="45325291.880000003"/>
    <x v="18"/>
  </r>
  <r>
    <s v="VZ-2018-000606"/>
    <x v="2"/>
    <s v="Ondráčková"/>
    <x v="400"/>
    <s v="33652000-5"/>
    <m/>
    <n v="5145020"/>
    <x v="1"/>
    <d v="2018-09-06T00:00:00"/>
    <d v="2018-10-10T00:00:00"/>
    <s v="zrušeno - bez nabídky"/>
    <m/>
    <m/>
    <x v="18"/>
  </r>
  <r>
    <s v="VZ-2018-000606"/>
    <x v="2"/>
    <s v="Ondráčková"/>
    <x v="401"/>
    <s v="33652000-5"/>
    <m/>
    <n v="542548"/>
    <x v="1"/>
    <d v="2018-09-06T00:00:00"/>
    <d v="2018-10-10T00:00:00"/>
    <s v="zrušeno - bez nabídky"/>
    <m/>
    <m/>
    <x v="18"/>
  </r>
  <r>
    <s v="VZ-2018-000606"/>
    <x v="2"/>
    <s v="Ondráčková"/>
    <x v="402"/>
    <s v="33652000-5"/>
    <m/>
    <n v="11440923"/>
    <x v="1"/>
    <d v="2018-09-06T00:00:00"/>
    <d v="2018-10-10T00:00:00"/>
    <s v="Avenier a.s."/>
    <n v="11439502.880000001"/>
    <n v="12583453.17"/>
    <x v="18"/>
  </r>
  <r>
    <s v="VZ-2018-000607"/>
    <x v="2"/>
    <s v="Ondráčková"/>
    <x v="403"/>
    <s v="33651400-2"/>
    <m/>
    <n v="184729"/>
    <x v="1"/>
    <d v="2018-09-06T00:00:00"/>
    <d v="2018-10-17T00:00:00"/>
    <s v="Pharmos, a.s."/>
    <n v="184698"/>
    <n v="203167.8"/>
    <x v="18"/>
  </r>
  <r>
    <s v="VZ-2018-000607"/>
    <x v="2"/>
    <s v="Ondráčková"/>
    <x v="404"/>
    <s v="33651400-2"/>
    <m/>
    <n v="41208"/>
    <x v="1"/>
    <d v="2018-09-06T00:00:00"/>
    <d v="2018-10-17T00:00:00"/>
    <s v="Alliance Healthcare s.r.o."/>
    <n v="41202.9"/>
    <n v="45323.19"/>
    <x v="18"/>
  </r>
  <r>
    <s v="VZ-2018-000607"/>
    <x v="2"/>
    <s v="Ondráčková"/>
    <x v="405"/>
    <s v="33651400-2"/>
    <m/>
    <n v="445362"/>
    <x v="1"/>
    <d v="2018-09-06T00:00:00"/>
    <d v="2018-10-17T00:00:00"/>
    <s v="zrušeno - bez nabídky"/>
    <m/>
    <m/>
    <x v="18"/>
  </r>
  <r>
    <s v="VZ-2018-000607"/>
    <x v="2"/>
    <s v="Ondráčková"/>
    <x v="406"/>
    <s v="33651400-2"/>
    <m/>
    <n v="4884497"/>
    <x v="1"/>
    <d v="2018-09-06T00:00:00"/>
    <d v="2018-10-17T00:00:00"/>
    <s v="zrušeno - bez nabídky"/>
    <m/>
    <m/>
    <x v="18"/>
  </r>
  <r>
    <s v="VZ-2018-000607"/>
    <x v="2"/>
    <s v="Ondráčková"/>
    <x v="407"/>
    <s v="33651400-2"/>
    <m/>
    <n v="6271200"/>
    <x v="1"/>
    <d v="2018-09-06T00:00:00"/>
    <d v="2018-10-17T00:00:00"/>
    <s v="zrušeno - bez nabídky"/>
    <m/>
    <m/>
    <x v="18"/>
  </r>
  <r>
    <s v="VZ-2018-000607"/>
    <x v="2"/>
    <s v="Ondráčková"/>
    <x v="408"/>
    <s v="33651400-2"/>
    <m/>
    <n v="3054216"/>
    <x v="1"/>
    <d v="2018-09-06T00:00:00"/>
    <d v="2018-10-17T00:00:00"/>
    <s v="zrušeno - bez nabídky"/>
    <m/>
    <m/>
    <x v="18"/>
  </r>
  <r>
    <s v="VZ-2018-000607"/>
    <x v="2"/>
    <s v="Ondráčková"/>
    <x v="409"/>
    <s v="33651400-2"/>
    <m/>
    <n v="2169000"/>
    <x v="1"/>
    <d v="2018-09-06T00:00:00"/>
    <d v="2018-10-17T00:00:00"/>
    <s v="zrušeno - bez nabídky"/>
    <m/>
    <m/>
    <x v="18"/>
  </r>
  <r>
    <s v="VZ-2018-000607"/>
    <x v="2"/>
    <s v="Ondráčková"/>
    <x v="410"/>
    <s v="33651400-2"/>
    <m/>
    <n v="2894400"/>
    <x v="1"/>
    <d v="2018-09-06T00:00:00"/>
    <d v="2018-10-17T00:00:00"/>
    <s v="Merck Sharp &amp; Dohme s.r.o."/>
    <n v="2891520"/>
    <n v="3180672"/>
    <x v="18"/>
  </r>
  <r>
    <s v="VZ-2018-000608"/>
    <x v="2"/>
    <s v="Ondráčková"/>
    <x v="411"/>
    <s v="33661100-2"/>
    <m/>
    <n v="952945"/>
    <x v="1"/>
    <d v="2018-09-25T00:00:00"/>
    <d v="2018-10-30T00:00:00"/>
    <s v="Promedica Praha Group, a.s."/>
    <n v="952944.48"/>
    <n v="1048238.9280000001"/>
    <x v="18"/>
  </r>
  <r>
    <s v="VZ-2018-000608"/>
    <x v="2"/>
    <s v="Ondráčková"/>
    <x v="412"/>
    <s v="33661100-2"/>
    <m/>
    <n v="7533750"/>
    <x v="1"/>
    <d v="2018-09-25T00:00:00"/>
    <d v="2018-10-30T00:00:00"/>
    <s v="PHOENIX lék.velkoobchod, s.r.o."/>
    <n v="6608700"/>
    <n v="7269570.0000000009"/>
    <x v="18"/>
  </r>
  <r>
    <s v="VZ-2018-000609"/>
    <x v="7"/>
    <s v="Rosulek"/>
    <x v="413"/>
    <s v="33168000-5"/>
    <s v="2.2.142.;2.2.156.;2.2.159.;2.2.160.;2.2.163 -167.; 2.2.170.;2.2.176.; 2.3.306."/>
    <n v="28080100"/>
    <x v="1"/>
    <d v="2018-09-06T00:00:00"/>
    <d v="2018-10-08T00:00:00"/>
    <s v="zrušeno"/>
    <m/>
    <m/>
    <x v="18"/>
  </r>
  <r>
    <s v="VZ-2018-000609"/>
    <x v="7"/>
    <s v="Rosulek"/>
    <x v="414"/>
    <m/>
    <s v="2.2.142.;2.2.156.;2.2.159.;2.2.160.;2.2.163 -167.; 2.2.170.;2.2.176.; 2.3.306."/>
    <n v="652900"/>
    <x v="1"/>
    <d v="2018-09-06T00:00:00"/>
    <d v="2018-10-08T00:00:00"/>
    <s v="zrušeno"/>
    <m/>
    <m/>
    <x v="18"/>
  </r>
  <r>
    <s v="VZ-2018-000610"/>
    <x v="10"/>
    <s v="Dočkalová"/>
    <x v="415"/>
    <s v="33162200-5"/>
    <m/>
    <n v="7297000"/>
    <x v="1"/>
    <d v="2018-09-07T00:00:00"/>
    <d v="2018-10-09T00:00:00"/>
    <s v="Johnson &amp; Johnson s.r.o."/>
    <n v="6516492"/>
    <n v="7884956.6799999997"/>
    <x v="18"/>
  </r>
  <r>
    <s v="VZ-2018-000612"/>
    <x v="7"/>
    <s v="Rosulek"/>
    <x v="416"/>
    <s v="33192600-8"/>
    <s v="2.2.96.;2.2.162."/>
    <n v="983471"/>
    <x v="0"/>
    <d v="2018-09-05T00:00:00"/>
    <d v="2018-09-18T00:00:00"/>
    <s v="ARJO Czech republic s.r.o."/>
    <n v="1516694"/>
    <n v="1744198.1"/>
    <x v="106"/>
  </r>
  <r>
    <s v="VZ-2018-000617"/>
    <x v="11"/>
    <s v="Spáčil"/>
    <x v="417"/>
    <s v="45223300-9"/>
    <s v="1.3.16. "/>
    <n v="6500000"/>
    <x v="2"/>
    <d v="2018-09-07T00:00:00"/>
    <d v="2018-10-01T00:00:00"/>
    <s v="SWIETELSKY stavební s.r.o."/>
    <n v="9056056"/>
    <n v="10957827.76"/>
    <x v="18"/>
  </r>
  <r>
    <s v="VZ-2018-000617"/>
    <x v="11"/>
    <s v="Spáčil"/>
    <x v="418"/>
    <s v="45223300-9"/>
    <s v=" 1.3.17. "/>
    <n v="2950000"/>
    <x v="2"/>
    <d v="2018-09-07T00:00:00"/>
    <d v="2018-10-01T00:00:00"/>
    <s v="SWIETELSKY stavební s.r.o."/>
    <n v="2432940"/>
    <n v="2943857.4"/>
    <x v="18"/>
  </r>
  <r>
    <s v="VZ-2018-000624"/>
    <x v="10"/>
    <s v="Dočkalová"/>
    <x v="419"/>
    <s v="33141310-6"/>
    <m/>
    <n v="3403900"/>
    <x v="2"/>
    <d v="2018-09-12T00:00:00"/>
    <d v="2018-10-03T00:00:00"/>
    <s v="MSM, spol. s r.o."/>
    <n v="3112192"/>
    <n v="3765752.3"/>
    <x v="18"/>
  </r>
  <r>
    <s v="VZ-2018-000630"/>
    <x v="10"/>
    <s v="Dočkalová"/>
    <x v="420"/>
    <s v="33140000-3"/>
    <m/>
    <n v="6321000"/>
    <x v="1"/>
    <d v="2018-09-12T00:00:00"/>
    <d v="2018-10-16T00:00:00"/>
    <s v="ALCON Pharmaceuticals"/>
    <n v="6311208"/>
    <n v="7636561.6799999997"/>
    <x v="104"/>
  </r>
  <r>
    <s v="VZ-2018-000637"/>
    <x v="3"/>
    <s v="Rosulek"/>
    <x v="413"/>
    <s v="33168000-5"/>
    <s v="2.2.142.;2.2.156.;2.2.159.;2.2.160.;2.2.163 -167.; 2.2.170.;2.2.176.; 2.3.306."/>
    <n v="28080100"/>
    <x v="1"/>
    <d v="2018-09-27T00:00:00"/>
    <d v="2018-10-30T00:00:00"/>
    <s v="Z Technik s.r.o."/>
    <n v="26911800"/>
    <n v="32563278"/>
    <x v="105"/>
  </r>
  <r>
    <s v="VZ-2018-000637"/>
    <x v="3"/>
    <s v="Rosulek"/>
    <x v="414"/>
    <s v="33168000-5"/>
    <s v="2.2.142.;2.2.156.;2.2.159.;2.2.160.;2.2.163 -167.; 2.2.170.;2.2.176.; 2.3.306."/>
    <n v="652900"/>
    <x v="1"/>
    <d v="2018-09-27T00:00:00"/>
    <d v="2018-10-30T00:00:00"/>
    <s v="Z Technik s.r.o."/>
    <n v="676400"/>
    <n v="818444"/>
    <x v="105"/>
  </r>
  <r>
    <s v="VZ-2018-000649"/>
    <x v="4"/>
    <s v="Zbořil"/>
    <x v="421"/>
    <s v="45310000-3"/>
    <s v="4.1.33."/>
    <n v="400000"/>
    <x v="0"/>
    <d v="2018-09-17T00:00:00"/>
    <d v="2018-09-26T00:00:00"/>
    <s v="ELPREMO, spol. s r.o."/>
    <n v="618504"/>
    <n v="748390"/>
    <x v="107"/>
  </r>
  <r>
    <s v="VZ-2018-000651"/>
    <x v="7"/>
    <s v="Rosulek"/>
    <x v="422"/>
    <s v="33192130-2"/>
    <s v="2.2.137.,2.2.147."/>
    <n v="942149"/>
    <x v="0"/>
    <d v="2018-09-18T00:00:00"/>
    <d v="2018-09-27T00:00:00"/>
    <s v="ARJO Czech republic s.r.o."/>
    <n v="991528"/>
    <n v="1140257.2"/>
    <x v="108"/>
  </r>
  <r>
    <s v="VZ-2018-000656"/>
    <x v="7"/>
    <s v="Rosulek"/>
    <x v="423"/>
    <s v="33168000-5"/>
    <s v="2.2.118."/>
    <n v="3305785"/>
    <x v="1"/>
    <d v="2018-09-25T00:00:00"/>
    <d v="2018-10-29T00:00:00"/>
    <s v="Z Technik s.r.o."/>
    <n v="3302380"/>
    <n v="3995879.8"/>
    <x v="18"/>
  </r>
  <r>
    <s v="VZ-2018-000662"/>
    <x v="10"/>
    <s v="Dočkalová"/>
    <x v="424"/>
    <s v="33196000-0"/>
    <m/>
    <n v="900000"/>
    <x v="0"/>
    <d v="2018-09-25T00:00:00"/>
    <d v="2018-10-09T00:00:00"/>
    <s v="IF Facility a.s."/>
    <n v="1031338.64"/>
    <n v="1272119.75"/>
    <x v="18"/>
  </r>
  <r>
    <s v="VZ-2018-000663"/>
    <x v="7"/>
    <s v="Rosulek"/>
    <x v="425"/>
    <s v="33000000-0"/>
    <s v="2.2.94, 2.2.95, 2.2.154, 2.2.155, 2.2.172"/>
    <n v="1735536"/>
    <x v="0"/>
    <d v="2018-09-20T00:00:00"/>
    <d v="2018-10-01T00:00:00"/>
    <s v="ARJO Czech republic s.r.o."/>
    <n v="1908512"/>
    <n v="2141658.7999999998"/>
    <x v="108"/>
  </r>
  <r>
    <s v="VZ-2018-000664"/>
    <x v="7"/>
    <s v="Novák"/>
    <x v="426"/>
    <s v="34911100-7"/>
    <m/>
    <n v="440000"/>
    <x v="0"/>
    <d v="2018-09-25T00:00:00"/>
    <d v="2018-10-05T00:00:00"/>
    <s v="KLARO s.r.o."/>
    <n v="426370"/>
    <n v="515907.7"/>
    <x v="109"/>
  </r>
  <r>
    <s v="VZ-2018-000665"/>
    <x v="3"/>
    <s v="Neudorflörová"/>
    <x v="427"/>
    <s v="33195100-4 "/>
    <s v="2.3.333."/>
    <n v="716200"/>
    <x v="1"/>
    <d v="2018-11-09T00:00:00"/>
    <d v="2018-12-12T00:00:00"/>
    <s v="zrušeno bez nabídky"/>
    <m/>
    <m/>
    <x v="18"/>
  </r>
  <r>
    <s v="VZ-2018-000681"/>
    <x v="4"/>
    <s v="Srovnal"/>
    <x v="428"/>
    <s v="45331200-8"/>
    <s v="4.2.101."/>
    <n v="413000"/>
    <x v="0"/>
    <d v="2018-10-03T00:00:00"/>
    <d v="2018-10-15T00:00:00"/>
    <s v="JK New product s.r.o."/>
    <n v="444131"/>
    <n v="537398"/>
    <x v="110"/>
  </r>
  <r>
    <s v="VZ-2018-000685"/>
    <x v="11"/>
    <s v="Kvapil"/>
    <x v="429"/>
    <s v="45215120-4"/>
    <s v="1.3.11."/>
    <n v="129510000"/>
    <x v="1"/>
    <d v="2018-10-23T00:00:00"/>
    <d v="2018-12-20T00:00:00"/>
    <m/>
    <m/>
    <m/>
    <x v="18"/>
  </r>
  <r>
    <s v="VZ-2018-000702"/>
    <x v="7"/>
    <s v="Rosulek"/>
    <x v="430"/>
    <s v="33123210-3"/>
    <s v="2.3.364."/>
    <n v="329752"/>
    <x v="0"/>
    <d v="2018-10-08T00:00:00"/>
    <d v="2018-10-17T00:00:00"/>
    <s v="S &amp; T Plus s.r.o."/>
    <n v="348060"/>
    <n v="421152.6"/>
    <x v="111"/>
  </r>
  <r>
    <s v="VZ-2018-000727"/>
    <x v="11"/>
    <s v="Spáčil"/>
    <x v="431"/>
    <s v="45454100-5"/>
    <s v="1.2.42."/>
    <n v="3720000"/>
    <x v="0"/>
    <d v="2018-10-09T00:00:00"/>
    <d v="2018-10-19T00:00:00"/>
    <s v="OHL ŽS, a.s."/>
    <n v="5999986.1600000001"/>
    <n v="7259983"/>
    <x v="112"/>
  </r>
  <r>
    <s v="VZ-2018-000728"/>
    <x v="9"/>
    <s v="Oravec"/>
    <x v="432"/>
    <s v="72261000-2"/>
    <m/>
    <n v="2088000"/>
    <x v="2"/>
    <d v="2018-10-30T00:00:00"/>
    <d v="2018-11-21T00:00:00"/>
    <s v="zrušeno bez nabídky"/>
    <m/>
    <m/>
    <x v="18"/>
  </r>
  <r>
    <s v="VZ-2018-000730"/>
    <x v="9"/>
    <s v="Oravec"/>
    <x v="433"/>
    <s v="30231310-3"/>
    <m/>
    <n v="859504"/>
    <x v="0"/>
    <d v="2018-10-08T00:00:00"/>
    <d v="2018-10-16T00:00:00"/>
    <s v="AutoCont a.s."/>
    <n v="890825"/>
    <n v="1077898.25"/>
    <x v="92"/>
  </r>
  <r>
    <s v="VZ-2018-000731"/>
    <x v="4"/>
    <s v="Eyer"/>
    <x v="434"/>
    <s v="45262340-6"/>
    <s v="4.2.65."/>
    <n v="320000"/>
    <x v="0"/>
    <d v="2018-10-15T00:00:00"/>
    <d v="2018-10-24T00:00:00"/>
    <s v="DEV COMPANY, spol. s r.o."/>
    <n v="305375"/>
    <n v="369503.75"/>
    <x v="113"/>
  </r>
  <r>
    <s v="VZ-2018-000744"/>
    <x v="12"/>
    <s v="Vaida"/>
    <x v="435"/>
    <s v="45421100-5"/>
    <m/>
    <n v="500000"/>
    <x v="0"/>
    <d v="2018-10-15T00:00:00"/>
    <d v="2018-10-24T00:00:00"/>
    <s v="zrušeno bez nabídky"/>
    <m/>
    <m/>
    <x v="18"/>
  </r>
  <r>
    <s v="VZ-2018-000745"/>
    <x v="12"/>
    <s v="Vaida"/>
    <x v="436"/>
    <s v="45453000-7"/>
    <m/>
    <n v="2800000"/>
    <x v="0"/>
    <d v="2018-10-15T00:00:00"/>
    <d v="2018-10-26T00:00:00"/>
    <s v="Pozemstav Prostějov a.s."/>
    <n v="2749217"/>
    <n v="3326552.57"/>
    <x v="114"/>
  </r>
  <r>
    <s v="VZ-2018-000753"/>
    <x v="6"/>
    <s v="Nerudová"/>
    <x v="437"/>
    <s v="98310000-9"/>
    <m/>
    <n v="120000000"/>
    <x v="1"/>
    <d v="2018-10-19T00:00:00"/>
    <d v="2018-12-18T00:00:00"/>
    <s v="RENATEX CZ a.s."/>
    <n v="114751628.15000001"/>
    <n v="138849470.06150001"/>
    <x v="18"/>
  </r>
  <r>
    <s v="VZ-2018-000771"/>
    <x v="7"/>
    <s v="Novák"/>
    <x v="438"/>
    <s v="34911100-7"/>
    <m/>
    <n v="335000"/>
    <x v="0"/>
    <d v="2018-10-26T00:00:00"/>
    <d v="2018-11-06T00:00:00"/>
    <s v="Ortoservis s.r.o."/>
    <n v="313942"/>
    <n v="361439.68"/>
    <x v="115"/>
  </r>
  <r>
    <s v="VZ-2018-000772"/>
    <x v="9"/>
    <s v="Miklík"/>
    <x v="439"/>
    <s v="48821000-9"/>
    <s v="3.2.30."/>
    <n v="1405000"/>
    <x v="0"/>
    <d v="2018-10-23T00:00:00"/>
    <d v="2018-11-01T00:00:00"/>
    <s v="AutoCont a.s."/>
    <n v="1362080"/>
    <n v="1648116.8"/>
    <x v="116"/>
  </r>
  <r>
    <s v="VZ-2018-000775"/>
    <x v="21"/>
    <s v="Odehnalová"/>
    <x v="440"/>
    <s v="55110000-4"/>
    <m/>
    <n v="450000"/>
    <x v="0"/>
    <d v="2018-10-19T00:00:00"/>
    <d v="2018-10-26T00:00:00"/>
    <s v="zrušeno"/>
    <m/>
    <m/>
    <x v="18"/>
  </r>
  <r>
    <s v="VZ-2018-000783"/>
    <x v="13"/>
    <s v="Benešová"/>
    <x v="441"/>
    <s v="39832000-3"/>
    <m/>
    <n v="1600000"/>
    <x v="0"/>
    <d v="2018-10-25T00:00:00"/>
    <d v="2018-11-05T00:00:00"/>
    <s v="Christeyns s.r.o."/>
    <n v="1081060"/>
    <n v="1308082.5999999999"/>
    <x v="18"/>
  </r>
  <r>
    <s v="VZ-2018-000818"/>
    <x v="21"/>
    <s v="Odehnalová"/>
    <x v="440"/>
    <s v="55110000-4"/>
    <m/>
    <n v="495000"/>
    <x v="0"/>
    <d v="2018-10-29T00:00:00"/>
    <d v="2018-11-02T00:00:00"/>
    <s v="Marie Hrochová"/>
    <n v="491735.53719008266"/>
    <n v="595000"/>
    <x v="101"/>
  </r>
  <r>
    <s v="VZ-2018-000821"/>
    <x v="4"/>
    <s v="Srovnal"/>
    <x v="442"/>
    <s v="35120000-1"/>
    <s v="4.2.68., 4.2.69."/>
    <n v="420000"/>
    <x v="0"/>
    <d v="2018-11-02T00:00:00"/>
    <d v="2018-11-12T00:00:00"/>
    <s v="Merit Group, a.s."/>
    <n v="310243.3"/>
    <n v="375394.39299999998"/>
    <x v="18"/>
  </r>
  <r>
    <s v="VZ-2018-000830"/>
    <x v="10"/>
    <s v="Dočkalová"/>
    <x v="443"/>
    <s v="33140000-3"/>
    <m/>
    <n v="946000"/>
    <x v="0"/>
    <d v="2018-11-21T00:00:00"/>
    <d v="2018-11-30T00:00:00"/>
    <s v="zrušeno bez nabídky"/>
    <m/>
    <m/>
    <x v="18"/>
  </r>
  <r>
    <s v="VZ-2018-000831"/>
    <x v="10"/>
    <s v="Dočkalová"/>
    <x v="444"/>
    <s v="33140000-3"/>
    <m/>
    <n v="437800"/>
    <x v="0"/>
    <d v="2018-11-20T00:00:00"/>
    <d v="2018-11-30T00:00:00"/>
    <s v="Medtronic Czechia s.r.o."/>
    <n v="437800"/>
    <n v="529738"/>
    <x v="18"/>
  </r>
  <r>
    <s v="VZ-2018-000831"/>
    <x v="10"/>
    <s v="Dočkalová"/>
    <x v="445"/>
    <s v="33140000-3"/>
    <m/>
    <n v="542640"/>
    <x v="0"/>
    <d v="2018-11-20T00:00:00"/>
    <d v="2018-11-30T00:00:00"/>
    <s v="Biomedica ČS s.r.o."/>
    <n v="542640"/>
    <n v="656594.4"/>
    <x v="18"/>
  </r>
  <r>
    <s v="VZ-2018-000832"/>
    <x v="10"/>
    <s v="Dočkalová"/>
    <x v="446"/>
    <s v="33162200-5"/>
    <m/>
    <n v="881000"/>
    <x v="0"/>
    <d v="2018-11-13T00:00:00"/>
    <d v="2018-11-21T00:00:00"/>
    <s v="zrušeno bez nabídky"/>
    <m/>
    <m/>
    <x v="18"/>
  </r>
  <r>
    <s v="VZ-2018-000847"/>
    <x v="7"/>
    <s v="Rosulek"/>
    <x v="447"/>
    <s v="33124100-6"/>
    <s v="2.2.141."/>
    <n v="4600000"/>
    <x v="1"/>
    <d v="2018-11-09T00:00:00"/>
    <d v="2018-12-17T00:00:00"/>
    <s v="MEDATA spol. s r.o."/>
    <n v="2797000"/>
    <n v="3384370"/>
    <x v="18"/>
  </r>
  <r>
    <s v="VZ-2018-000849"/>
    <x v="7"/>
    <s v="Rosulek"/>
    <x v="448"/>
    <s v="33124120-2"/>
    <s v="2.2.69."/>
    <n v="4530000"/>
    <x v="1"/>
    <d v="2018-11-09T00:00:00"/>
    <d v="2018-12-14T00:00:00"/>
    <s v="Exact Imabing BVBA"/>
    <n v="6553201.2300000004"/>
    <n v="7929373.4699999997"/>
    <x v="18"/>
  </r>
  <r>
    <s v="VZ-2018-000862"/>
    <x v="10"/>
    <s v="Dočkalová"/>
    <x v="449"/>
    <s v="33181200-4"/>
    <m/>
    <n v="988520"/>
    <x v="2"/>
    <d v="2018-11-29T00:00:00"/>
    <d v="2018-12-19T00:00:00"/>
    <s v="Baxter Czech spol. s r.o. "/>
    <n v="814400"/>
    <n v="985424"/>
    <x v="18"/>
  </r>
  <r>
    <s v="VZ-2018-000862"/>
    <x v="10"/>
    <s v="Dočkalová"/>
    <x v="450"/>
    <s v="33181200-4"/>
    <m/>
    <n v="1036080"/>
    <x v="2"/>
    <d v="2018-11-29T00:00:00"/>
    <d v="2018-12-19T00:00:00"/>
    <s v="Fresenius Medical Care – ČR, s.r.o. "/>
    <n v="900828"/>
    <n v="1090001.8799999999"/>
    <x v="18"/>
  </r>
  <r>
    <s v="VZ-2018-000866"/>
    <x v="22"/>
    <s v="Filip"/>
    <x v="451"/>
    <s v="50411000-9"/>
    <m/>
    <n v="2100000"/>
    <x v="2"/>
    <d v="2018-12-13T00:00:00"/>
    <d v="2019-01-10T00:00:00"/>
    <m/>
    <m/>
    <m/>
    <x v="18"/>
  </r>
  <r>
    <s v="VZ-2018-000866"/>
    <x v="22"/>
    <s v="Filip"/>
    <x v="452"/>
    <s v="50411000-9"/>
    <m/>
    <n v="900000"/>
    <x v="2"/>
    <d v="2018-12-13T00:00:00"/>
    <d v="2019-01-10T00:00:00"/>
    <m/>
    <m/>
    <m/>
    <x v="18"/>
  </r>
  <r>
    <s v="VZ-2018-000872"/>
    <x v="4"/>
    <s v="Srovnal"/>
    <x v="453"/>
    <s v="45333000-0"/>
    <s v="4.2.67."/>
    <n v="1300000"/>
    <x v="0"/>
    <d v="2018-12-07T00:00:00"/>
    <d v="2018-12-17T00:00:00"/>
    <s v="Dräger Medical s.r.o."/>
    <n v="1108850"/>
    <n v="1341708.5"/>
    <x v="18"/>
  </r>
  <r>
    <s v="VZ-2018-000873"/>
    <x v="7"/>
    <s v="Rosulek"/>
    <x v="454"/>
    <s v="33162100-4"/>
    <s v="2.2.132."/>
    <n v="2727000"/>
    <x v="2"/>
    <d v="2018-11-29T00:00:00"/>
    <d v="2019-01-09T00:00:00"/>
    <m/>
    <m/>
    <m/>
    <x v="18"/>
  </r>
  <r>
    <s v="VZ-2018-000883"/>
    <x v="2"/>
    <s v="Ondráčková"/>
    <x v="455"/>
    <s v="09343000-5"/>
    <m/>
    <n v="33976800"/>
    <x v="1"/>
    <d v="2018-12-07T00:00:00"/>
    <d v="2019-01-18T00:00:00"/>
    <m/>
    <m/>
    <m/>
    <x v="18"/>
  </r>
  <r>
    <s v="VZ-2018-000887"/>
    <x v="10"/>
    <s v="Dočkalová"/>
    <x v="456"/>
    <s v="33731110-7"/>
    <m/>
    <n v="2898000"/>
    <x v="1"/>
    <d v="2018-11-29T00:00:00"/>
    <d v="2019-01-08T00:00:00"/>
    <m/>
    <m/>
    <m/>
    <x v="18"/>
  </r>
  <r>
    <s v="VZ-2018-000890"/>
    <x v="7"/>
    <s v="Rosulek"/>
    <x v="457"/>
    <s v="42996110-8"/>
    <s v="2.2.178."/>
    <n v="958909"/>
    <x v="0"/>
    <d v="2018-11-23T00:00:00"/>
    <d v="2018-11-30T00:00:00"/>
    <s v="S.A.B. Impex  s.r.o."/>
    <n v="847790"/>
    <n v="1025828"/>
    <x v="18"/>
  </r>
  <r>
    <s v="VZ-2018-000892"/>
    <x v="7"/>
    <s v="Rosulek"/>
    <x v="458"/>
    <s v="33168100-6"/>
    <s v="2.3.358.,2.3.359."/>
    <n v="438017"/>
    <x v="0"/>
    <d v="2018-11-23T00:00:00"/>
    <d v="2018-11-30T00:00:00"/>
    <s v="zrušeno - překročení ceny"/>
    <m/>
    <m/>
    <x v="18"/>
  </r>
  <r>
    <s v="VZ-2018-000904"/>
    <x v="10"/>
    <s v="Dočkalová"/>
    <x v="459"/>
    <s v="33140000-3"/>
    <m/>
    <n v="2360000"/>
    <x v="2"/>
    <d v="2018-12-04T00:00:00"/>
    <d v="2018-12-20T00:00:00"/>
    <s v="zrušeno - špatné zadání"/>
    <m/>
    <m/>
    <x v="18"/>
  </r>
  <r>
    <s v="VZ-2018-000906"/>
    <x v="2"/>
    <s v="Ondráčková"/>
    <x v="460"/>
    <s v="33621000-9"/>
    <m/>
    <n v="544671"/>
    <x v="1"/>
    <d v="2018-12-17T00:00:00"/>
    <d v="2019-01-18T00:00:00"/>
    <m/>
    <m/>
    <m/>
    <x v="18"/>
  </r>
  <r>
    <s v="VZ-2018-000906"/>
    <x v="2"/>
    <s v="Ondráčková"/>
    <x v="461"/>
    <s v="33621000-9"/>
    <m/>
    <n v="7039638"/>
    <x v="1"/>
    <d v="2018-12-17T00:00:00"/>
    <d v="2019-01-18T00:00:00"/>
    <m/>
    <m/>
    <m/>
    <x v="18"/>
  </r>
  <r>
    <s v="VZ-2018-000906"/>
    <x v="2"/>
    <s v="Ondráčková"/>
    <x v="462"/>
    <s v="33621000-9"/>
    <m/>
    <n v="149888.88"/>
    <x v="1"/>
    <d v="2018-12-17T00:00:00"/>
    <d v="2019-01-18T00:00:00"/>
    <m/>
    <m/>
    <m/>
    <x v="18"/>
  </r>
  <r>
    <s v="VZ-2018-000906"/>
    <x v="2"/>
    <s v="Ondráčková"/>
    <x v="463"/>
    <s v="33621000-9"/>
    <m/>
    <n v="3489447.06"/>
    <x v="1"/>
    <d v="2018-12-17T00:00:00"/>
    <d v="2019-01-18T00:00:00"/>
    <m/>
    <m/>
    <m/>
    <x v="18"/>
  </r>
  <r>
    <s v="VZ-2018-000906"/>
    <x v="2"/>
    <s v="Ondráčková"/>
    <x v="464"/>
    <s v="33621000-9"/>
    <m/>
    <n v="58090.2"/>
    <x v="1"/>
    <d v="2018-12-17T00:00:00"/>
    <d v="2019-01-18T00:00:00"/>
    <m/>
    <m/>
    <m/>
    <x v="18"/>
  </r>
  <r>
    <s v="VZ-2018-000906"/>
    <x v="2"/>
    <s v="Ondráčková"/>
    <x v="465"/>
    <s v="33621000-9"/>
    <m/>
    <n v="2148542.5499999998"/>
    <x v="1"/>
    <d v="2018-12-17T00:00:00"/>
    <d v="2019-01-18T00:00:00"/>
    <m/>
    <m/>
    <m/>
    <x v="18"/>
  </r>
  <r>
    <s v="VZ-2018-000906"/>
    <x v="2"/>
    <s v="Ondráčková"/>
    <x v="466"/>
    <s v="33621000-9"/>
    <m/>
    <n v="1998601.62"/>
    <x v="1"/>
    <d v="2018-12-17T00:00:00"/>
    <d v="2019-01-18T00:00:00"/>
    <m/>
    <m/>
    <m/>
    <x v="18"/>
  </r>
  <r>
    <s v="VZ-2018-000915"/>
    <x v="7"/>
    <s v="Rosulek"/>
    <x v="467"/>
    <s v="33166000-1"/>
    <s v="2.3.361."/>
    <n v="1024794"/>
    <x v="0"/>
    <d v="2018-12-04T00:00:00"/>
    <d v="2018-12-12T00:00:00"/>
    <s v="MediCom, a.s."/>
    <n v="1025350"/>
    <n v="1240673.5"/>
    <x v="18"/>
  </r>
  <r>
    <s v="VZ-2018-000919"/>
    <x v="7"/>
    <s v="Rosulek"/>
    <x v="468"/>
    <s v="39711100-0"/>
    <s v="2.2.131.,2.2.186.,2.2.189."/>
    <n v="180000"/>
    <x v="0"/>
    <d v="2018-12-07T00:00:00"/>
    <d v="2018-12-21T00:00:00"/>
    <s v="zrušeno - bez nabídky"/>
    <m/>
    <m/>
    <x v="18"/>
  </r>
  <r>
    <s v="VZ-2018-000919"/>
    <x v="23"/>
    <s v="Rosulek"/>
    <x v="469"/>
    <s v="39711100-0"/>
    <s v="2.2.131.,2.2.186.,2.2.189."/>
    <n v="769000"/>
    <x v="0"/>
    <d v="2018-12-07T00:00:00"/>
    <d v="2018-12-21T00:00:00"/>
    <s v="Schoeller Instruments s.r.o."/>
    <n v="577000"/>
    <n v="698170"/>
    <x v="18"/>
  </r>
  <r>
    <s v="VZ-2018-000920"/>
    <x v="2"/>
    <s v="Ondráčková"/>
    <x v="470"/>
    <s v="33621100-0"/>
    <m/>
    <n v="7413897"/>
    <x v="1"/>
    <d v="2018-12-05T00:00:00"/>
    <d v="2019-01-08T00:00:00"/>
    <m/>
    <m/>
    <m/>
    <x v="18"/>
  </r>
  <r>
    <s v="VZ-2018-000920"/>
    <x v="2"/>
    <s v="Ondráčková"/>
    <x v="471"/>
    <s v="33642000-2"/>
    <m/>
    <n v="2433774"/>
    <x v="1"/>
    <d v="2018-12-05T00:00:00"/>
    <d v="2019-01-08T00:00:00"/>
    <m/>
    <m/>
    <m/>
    <x v="18"/>
  </r>
  <r>
    <s v="VZ-2018-000920"/>
    <x v="2"/>
    <s v="Ondráčková"/>
    <x v="472"/>
    <s v="33642000-2"/>
    <m/>
    <n v="28298912"/>
    <x v="1"/>
    <d v="2018-12-05T00:00:00"/>
    <d v="2019-01-08T00:00:00"/>
    <m/>
    <m/>
    <m/>
    <x v="18"/>
  </r>
  <r>
    <s v="VZ-2018-000920"/>
    <x v="2"/>
    <s v="Ondráčková"/>
    <x v="473"/>
    <s v="33632000-9"/>
    <m/>
    <n v="3364809"/>
    <x v="1"/>
    <d v="2018-12-05T00:00:00"/>
    <d v="2019-01-08T00:00:00"/>
    <m/>
    <m/>
    <m/>
    <x v="18"/>
  </r>
  <r>
    <s v="VZ-2018-000920"/>
    <x v="2"/>
    <s v="Ondráčková"/>
    <x v="474"/>
    <s v="33632000-9"/>
    <m/>
    <n v="8895944"/>
    <x v="1"/>
    <d v="2018-12-05T00:00:00"/>
    <d v="2019-01-08T00:00:00"/>
    <m/>
    <m/>
    <m/>
    <x v="18"/>
  </r>
  <r>
    <s v="VZ-2018-000920"/>
    <x v="2"/>
    <s v="Ondráčková"/>
    <x v="475"/>
    <s v="33670000-7"/>
    <m/>
    <n v="9364240"/>
    <x v="1"/>
    <d v="2018-12-05T00:00:00"/>
    <d v="2019-01-08T00:00:00"/>
    <m/>
    <m/>
    <m/>
    <x v="18"/>
  </r>
  <r>
    <s v="VZ-2018-000925"/>
    <x v="11"/>
    <s v="Spáčil"/>
    <x v="476"/>
    <s v="45215100-8"/>
    <s v="1.2.52."/>
    <n v="9500000"/>
    <x v="2"/>
    <d v="2018-12-06T00:00:00"/>
    <d v="2018-12-27T00:00:00"/>
    <s v="EP Rožnov, a.s."/>
    <n v="8266536"/>
    <n v="10002508"/>
    <x v="18"/>
  </r>
  <r>
    <s v="VZ-2018-000928"/>
    <x v="6"/>
    <s v="Nerudová"/>
    <x v="477"/>
    <s v="33772000-2"/>
    <m/>
    <n v="1900000"/>
    <x v="0"/>
    <d v="2018-12-20T00:00:00"/>
    <d v="2019-01-11T00:00:00"/>
    <m/>
    <m/>
    <m/>
    <x v="18"/>
  </r>
  <r>
    <s v="VZ-2018-000932"/>
    <x v="2"/>
    <s v="Ondráčková"/>
    <x v="478"/>
    <s v="33621200-1"/>
    <m/>
    <n v="1360716"/>
    <x v="1"/>
    <d v="2018-12-05T00:00:00"/>
    <d v="2019-01-09T00:00:00"/>
    <m/>
    <m/>
    <m/>
    <x v="18"/>
  </r>
  <r>
    <s v="VZ-2018-000932"/>
    <x v="2"/>
    <s v="Ondráčková"/>
    <x v="479"/>
    <s v="33621200-1"/>
    <m/>
    <n v="4808719"/>
    <x v="1"/>
    <d v="2018-12-05T00:00:00"/>
    <d v="2019-01-09T00:00:00"/>
    <m/>
    <m/>
    <m/>
    <x v="18"/>
  </r>
  <r>
    <s v="VZ-2018-000932"/>
    <x v="2"/>
    <s v="Ondráčková"/>
    <x v="480"/>
    <s v="33621200-1"/>
    <m/>
    <n v="1434358"/>
    <x v="1"/>
    <d v="2018-12-05T00:00:00"/>
    <d v="2019-01-09T00:00:00"/>
    <m/>
    <m/>
    <m/>
    <x v="18"/>
  </r>
  <r>
    <s v="VZ-2018-000932"/>
    <x v="2"/>
    <s v="Ondráčková"/>
    <x v="481"/>
    <s v="33693000-4"/>
    <m/>
    <n v="140033"/>
    <x v="1"/>
    <d v="2018-12-05T00:00:00"/>
    <d v="2019-01-09T00:00:00"/>
    <m/>
    <m/>
    <m/>
    <x v="18"/>
  </r>
  <r>
    <s v="VZ-2018-000932"/>
    <x v="2"/>
    <s v="Ondráčková"/>
    <x v="482"/>
    <s v="33693000-4"/>
    <m/>
    <n v="472992"/>
    <x v="1"/>
    <d v="2018-12-05T00:00:00"/>
    <d v="2019-01-09T00:00:00"/>
    <m/>
    <m/>
    <m/>
    <x v="18"/>
  </r>
  <r>
    <s v="VZ-2018-000932"/>
    <x v="2"/>
    <s v="Ondráčková"/>
    <x v="483"/>
    <s v="33693000-4"/>
    <m/>
    <n v="7845389"/>
    <x v="1"/>
    <d v="2018-12-05T00:00:00"/>
    <d v="2019-01-09T00:00:00"/>
    <m/>
    <m/>
    <m/>
    <x v="18"/>
  </r>
  <r>
    <s v="VZ-2018-000944"/>
    <x v="12"/>
    <s v="Vaida"/>
    <x v="484"/>
    <s v="45421100-5"/>
    <m/>
    <n v="500000"/>
    <x v="0"/>
    <d v="2018-12-13T00:00:00"/>
    <d v="2019-01-04T00:00:00"/>
    <m/>
    <m/>
    <m/>
    <x v="18"/>
  </r>
  <r>
    <s v="VZ-2018-000945"/>
    <x v="2"/>
    <s v="Ondráčková"/>
    <x v="485"/>
    <s v="33652100-6"/>
    <m/>
    <n v="12688472"/>
    <x v="1"/>
    <d v="2018-12-13T00:00:00"/>
    <d v="2019-01-17T00:00:00"/>
    <m/>
    <m/>
    <m/>
    <x v="18"/>
  </r>
  <r>
    <s v="VZ-2018-000945"/>
    <x v="2"/>
    <s v="Ondráčková"/>
    <x v="486"/>
    <s v="33652100-6"/>
    <m/>
    <n v="2543217"/>
    <x v="1"/>
    <d v="2018-12-13T00:00:00"/>
    <d v="2019-01-17T00:00:00"/>
    <m/>
    <m/>
    <m/>
    <x v="18"/>
  </r>
  <r>
    <s v="VZ-2018-000946"/>
    <x v="10"/>
    <s v="Dočkalová"/>
    <x v="487"/>
    <s v="33140000-3"/>
    <m/>
    <n v="946000"/>
    <x v="0"/>
    <d v="2018-12-11T00:00:00"/>
    <d v="2018-12-20T00:00:00"/>
    <m/>
    <m/>
    <m/>
    <x v="18"/>
  </r>
  <r>
    <s v="VZ-2018-000949"/>
    <x v="3"/>
    <s v="Neudorflörová"/>
    <x v="488"/>
    <s v="33195100-4"/>
    <s v="2.3.332."/>
    <n v="435534.46"/>
    <x v="1"/>
    <m/>
    <m/>
    <m/>
    <m/>
    <m/>
    <x v="18"/>
  </r>
  <r>
    <s v="VZ-2018-000952"/>
    <x v="4"/>
    <s v="Srovnal"/>
    <x v="489"/>
    <s v="42500000-1"/>
    <s v="4.2.106."/>
    <n v="330000"/>
    <x v="0"/>
    <d v="2018-12-17T00:00:00"/>
    <d v="2019-01-04T00:00:00"/>
    <m/>
    <m/>
    <m/>
    <x v="18"/>
  </r>
  <r>
    <s v="VZ-2018-000953"/>
    <x v="11"/>
    <s v="Valíček"/>
    <x v="490"/>
    <s v="71200000-0"/>
    <s v="1.3.1."/>
    <n v="1950000"/>
    <x v="0"/>
    <d v="2018-12-14T00:00:00"/>
    <d v="2018-12-28T00:00:00"/>
    <s v="LT PROJEKT a.s."/>
    <n v="1700000"/>
    <n v="2057000"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  <r>
    <m/>
    <x v="24"/>
    <m/>
    <x v="491"/>
    <m/>
    <m/>
    <m/>
    <x v="3"/>
    <m/>
    <m/>
    <m/>
    <m/>
    <m/>
    <x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í tabulka 4" cacheId="9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C13" firstHeaderRow="1" firstDataRow="2" firstDataCol="1" rowPageCount="1" colPageCount="1"/>
  <pivotFields count="15">
    <pivotField showAll="0"/>
    <pivotField showAll="0"/>
    <pivotField showAll="0"/>
    <pivotField axis="axisRow" showAll="0">
      <items count="188">
        <item x="65"/>
        <item x="169"/>
        <item x="141"/>
        <item x="142"/>
        <item x="143"/>
        <item x="144"/>
        <item x="149"/>
        <item x="145"/>
        <item x="146"/>
        <item x="147"/>
        <item x="148"/>
        <item x="150"/>
        <item x="87"/>
        <item x="17"/>
        <item x="172"/>
        <item x="173"/>
        <item x="174"/>
        <item x="168"/>
        <item x="92"/>
        <item x="75"/>
        <item x="76"/>
        <item x="16"/>
        <item x="91"/>
        <item x="130"/>
        <item x="12"/>
        <item x="18"/>
        <item x="6"/>
        <item x="117"/>
        <item x="41"/>
        <item x="1"/>
        <item x="178"/>
        <item x="39"/>
        <item x="40"/>
        <item x="43"/>
        <item x="8"/>
        <item x="51"/>
        <item x="33"/>
        <item x="115"/>
        <item x="97"/>
        <item x="29"/>
        <item x="37"/>
        <item x="122"/>
        <item x="84"/>
        <item x="25"/>
        <item x="23"/>
        <item x="24"/>
        <item x="79"/>
        <item x="26"/>
        <item x="27"/>
        <item x="20"/>
        <item x="96"/>
        <item x="100"/>
        <item x="125"/>
        <item x="165"/>
        <item x="166"/>
        <item x="167"/>
        <item x="132"/>
        <item x="133"/>
        <item x="134"/>
        <item x="135"/>
        <item x="9"/>
        <item x="62"/>
        <item x="63"/>
        <item x="0"/>
        <item x="157"/>
        <item x="158"/>
        <item x="159"/>
        <item x="160"/>
        <item x="161"/>
        <item x="162"/>
        <item x="163"/>
        <item x="164"/>
        <item x="106"/>
        <item x="129"/>
        <item x="136"/>
        <item x="137"/>
        <item x="35"/>
        <item x="32"/>
        <item x="99"/>
        <item x="127"/>
        <item x="31"/>
        <item x="112"/>
        <item x="113"/>
        <item x="74"/>
        <item x="108"/>
        <item x="182"/>
        <item x="44"/>
        <item x="68"/>
        <item x="101"/>
        <item x="103"/>
        <item x="102"/>
        <item x="14"/>
        <item x="77"/>
        <item x="2"/>
        <item x="71"/>
        <item x="138"/>
        <item x="139"/>
        <item x="140"/>
        <item x="73"/>
        <item x="88"/>
        <item x="180"/>
        <item x="179"/>
        <item x="111"/>
        <item x="83"/>
        <item x="93"/>
        <item x="116"/>
        <item x="131"/>
        <item x="120"/>
        <item x="4"/>
        <item x="54"/>
        <item x="59"/>
        <item x="50"/>
        <item x="55"/>
        <item x="58"/>
        <item x="181"/>
        <item x="90"/>
        <item x="42"/>
        <item x="5"/>
        <item x="186"/>
        <item x="67"/>
        <item x="114"/>
        <item x="118"/>
        <item x="184"/>
        <item x="183"/>
        <item x="13"/>
        <item x="171"/>
        <item x="78"/>
        <item x="110"/>
        <item x="72"/>
        <item x="107"/>
        <item x="170"/>
        <item x="94"/>
        <item x="47"/>
        <item x="45"/>
        <item x="34"/>
        <item x="30"/>
        <item x="46"/>
        <item x="10"/>
        <item x="38"/>
        <item x="123"/>
        <item x="49"/>
        <item x="52"/>
        <item x="57"/>
        <item x="48"/>
        <item x="151"/>
        <item x="152"/>
        <item x="153"/>
        <item x="154"/>
        <item x="155"/>
        <item x="156"/>
        <item x="98"/>
        <item x="176"/>
        <item x="177"/>
        <item x="28"/>
        <item x="64"/>
        <item x="66"/>
        <item x="128"/>
        <item x="89"/>
        <item x="61"/>
        <item x="85"/>
        <item x="69"/>
        <item x="3"/>
        <item x="15"/>
        <item x="95"/>
        <item x="119"/>
        <item x="80"/>
        <item x="81"/>
        <item x="82"/>
        <item x="175"/>
        <item x="86"/>
        <item x="185"/>
        <item x="109"/>
        <item x="70"/>
        <item x="121"/>
        <item x="104"/>
        <item x="105"/>
        <item x="36"/>
        <item x="56"/>
        <item x="60"/>
        <item x="53"/>
        <item x="7"/>
        <item x="126"/>
        <item x="124"/>
        <item x="11"/>
        <item x="21"/>
        <item x="22"/>
        <item x="19"/>
        <item t="default"/>
      </items>
    </pivotField>
    <pivotField showAll="0"/>
    <pivotField showAll="0"/>
    <pivotField dataField="1" showAll="0"/>
    <pivotField axis="axisRow" showAll="0">
      <items count="10">
        <item sd="0" x="1"/>
        <item sd="0" x="7"/>
        <item sd="0" x="6"/>
        <item sd="0" x="4"/>
        <item sd="0" x="2"/>
        <item sd="0" x="8"/>
        <item sd="0" x="0"/>
        <item sd="0" x="3"/>
        <item sd="0" x="5"/>
        <item t="default"/>
      </items>
    </pivotField>
    <pivotField showAll="0"/>
    <pivotField showAll="0"/>
    <pivotField showAll="0"/>
    <pivotField dataField="1" showAll="0"/>
    <pivotField showAll="0"/>
    <pivotField axis="axisPage" multipleItemSelectionAllowed="1" showAll="0">
      <items count="82">
        <item h="1" x="61"/>
        <item x="76"/>
        <item x="46"/>
        <item x="3"/>
        <item x="27"/>
        <item x="2"/>
        <item x="22"/>
        <item x="48"/>
        <item x="1"/>
        <item x="31"/>
        <item x="4"/>
        <item x="5"/>
        <item x="30"/>
        <item x="40"/>
        <item x="21"/>
        <item x="29"/>
        <item x="45"/>
        <item x="6"/>
        <item x="0"/>
        <item x="43"/>
        <item x="71"/>
        <item x="32"/>
        <item x="17"/>
        <item x="44"/>
        <item x="47"/>
        <item x="50"/>
        <item x="20"/>
        <item x="33"/>
        <item x="52"/>
        <item x="8"/>
        <item x="18"/>
        <item x="53"/>
        <item x="51"/>
        <item x="54"/>
        <item x="58"/>
        <item x="49"/>
        <item x="36"/>
        <item x="77"/>
        <item x="35"/>
        <item x="57"/>
        <item x="23"/>
        <item x="28"/>
        <item x="56"/>
        <item x="9"/>
        <item x="80"/>
        <item x="64"/>
        <item x="34"/>
        <item x="24"/>
        <item x="41"/>
        <item x="39"/>
        <item x="78"/>
        <item x="72"/>
        <item x="59"/>
        <item x="68"/>
        <item x="42"/>
        <item x="65"/>
        <item x="69"/>
        <item x="66"/>
        <item x="26"/>
        <item x="10"/>
        <item x="62"/>
        <item x="38"/>
        <item x="37"/>
        <item x="67"/>
        <item x="60"/>
        <item x="70"/>
        <item x="25"/>
        <item x="12"/>
        <item x="13"/>
        <item x="63"/>
        <item x="75"/>
        <item x="74"/>
        <item x="19"/>
        <item x="14"/>
        <item x="11"/>
        <item x="16"/>
        <item x="15"/>
        <item x="79"/>
        <item x="73"/>
        <item x="55"/>
        <item h="1" x="7"/>
        <item t="default"/>
      </items>
    </pivotField>
    <pivotField showAll="0"/>
  </pivotFields>
  <rowFields count="2">
    <field x="7"/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3" hier="-1"/>
  </pageFields>
  <dataFields count="2">
    <dataField name="Součet z Předpokládaná hodnota VZ bez DPH" fld="6" baseField="0" baseItem="0"/>
    <dataField name="Součet z Vítězná cena bez DPH" fld="11" baseField="0" baseItem="0"/>
  </dataFields>
  <formats count="5">
    <format dxfId="158">
      <pivotArea outline="0" collapsedLevelsAreSubtotals="1" fieldPosition="0"/>
    </format>
    <format dxfId="157">
      <pivotArea dataOnly="0" labelOnly="1" outline="0" fieldPosition="0">
        <references count="1">
          <reference field="13" count="0"/>
        </references>
      </pivotArea>
    </format>
    <format dxfId="156">
      <pivotArea field="-2" type="button" dataOnly="0" labelOnly="1" outline="0" axis="axisCol" fieldPosition="0"/>
    </format>
    <format dxfId="155">
      <pivotArea type="topRight" dataOnly="0" labelOnly="1" outline="0" fieldPosition="0"/>
    </format>
    <format dxfId="1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0051E9-A5E6-414B-A915-DE6A54350940}" name="Kontingenční tabulka2" cacheId="18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E10" firstHeaderRow="1" firstDataRow="2" firstDataCol="1" rowPageCount="1" colPageCount="1"/>
  <pivotFields count="27">
    <pivotField showAll="0"/>
    <pivotField showAll="0"/>
    <pivotField showAll="0"/>
    <pivotField showAll="0"/>
    <pivotField axis="axisRow" showAll="0">
      <items count="487">
        <item x="40"/>
        <item x="46"/>
        <item x="23"/>
        <item x="13"/>
        <item x="4"/>
        <item x="1"/>
        <item x="21"/>
        <item x="22"/>
        <item x="20"/>
        <item x="81"/>
        <item x="30"/>
        <item x="41"/>
        <item x="84"/>
        <item x="14"/>
        <item x="9"/>
        <item x="12"/>
        <item x="11"/>
        <item x="10"/>
        <item x="8"/>
        <item x="6"/>
        <item x="7"/>
        <item x="5"/>
        <item x="55"/>
        <item m="1" x="452"/>
        <item x="32"/>
        <item x="82"/>
        <item x="138"/>
        <item x="105"/>
        <item x="45"/>
        <item m="1" x="462"/>
        <item x="68"/>
        <item x="60"/>
        <item x="78"/>
        <item x="80"/>
        <item m="1" x="466"/>
        <item x="69"/>
        <item x="65"/>
        <item x="19"/>
        <item x="39"/>
        <item x="59"/>
        <item x="77"/>
        <item x="86"/>
        <item x="67"/>
        <item x="16"/>
        <item x="96"/>
        <item x="37"/>
        <item x="38"/>
        <item x="28"/>
        <item x="88"/>
        <item x="97"/>
        <item m="1" x="430"/>
        <item x="56"/>
        <item m="1" x="465"/>
        <item x="3"/>
        <item x="70"/>
        <item x="93"/>
        <item x="94"/>
        <item x="35"/>
        <item x="34"/>
        <item x="33"/>
        <item x="27"/>
        <item x="95"/>
        <item x="48"/>
        <item x="58"/>
        <item x="24"/>
        <item x="49"/>
        <item x="15"/>
        <item x="17"/>
        <item x="51"/>
        <item x="79"/>
        <item x="57"/>
        <item x="66"/>
        <item x="102"/>
        <item x="62"/>
        <item x="36"/>
        <item x="52"/>
        <item x="29"/>
        <item x="100"/>
        <item x="63"/>
        <item x="44"/>
        <item x="85"/>
        <item x="18"/>
        <item x="26"/>
        <item x="75"/>
        <item x="243"/>
        <item x="92"/>
        <item x="71"/>
        <item x="83"/>
        <item m="1" x="442"/>
        <item x="136"/>
        <item x="50"/>
        <item x="2"/>
        <item m="1" x="480"/>
        <item m="1" x="469"/>
        <item x="31"/>
        <item x="64"/>
        <item m="1" x="443"/>
        <item x="72"/>
        <item m="1" x="477"/>
        <item x="108"/>
        <item m="1" x="440"/>
        <item x="131"/>
        <item x="104"/>
        <item x="47"/>
        <item x="25"/>
        <item m="1" x="419"/>
        <item m="1" x="483"/>
        <item x="87"/>
        <item x="43"/>
        <item x="76"/>
        <item x="74"/>
        <item x="42"/>
        <item m="1" x="461"/>
        <item x="0"/>
        <item x="53"/>
        <item x="73"/>
        <item x="54"/>
        <item x="61"/>
        <item x="415"/>
        <item x="91"/>
        <item m="1" x="433"/>
        <item x="99"/>
        <item x="98"/>
        <item x="101"/>
        <item x="103"/>
        <item x="106"/>
        <item x="107"/>
        <item x="109"/>
        <item x="110"/>
        <item m="1" x="482"/>
        <item m="1" x="450"/>
        <item m="1" x="463"/>
        <item m="1" x="421"/>
        <item m="1" x="423"/>
        <item m="1" x="474"/>
        <item m="1" x="481"/>
        <item m="1" x="417"/>
        <item m="1" x="460"/>
        <item m="1" x="436"/>
        <item m="1" x="429"/>
        <item x="113"/>
        <item x="114"/>
        <item m="1" x="424"/>
        <item x="112"/>
        <item x="89"/>
        <item x="90"/>
        <item x="115"/>
        <item x="116"/>
        <item x="117"/>
        <item x="118"/>
        <item x="119"/>
        <item x="120"/>
        <item m="1" x="484"/>
        <item m="1" x="447"/>
        <item m="1" x="446"/>
        <item x="111"/>
        <item x="121"/>
        <item x="122"/>
        <item x="123"/>
        <item x="125"/>
        <item x="126"/>
        <item m="1" x="472"/>
        <item m="1" x="485"/>
        <item x="127"/>
        <item m="1" x="476"/>
        <item m="1" x="441"/>
        <item m="1" x="453"/>
        <item x="128"/>
        <item m="1" x="418"/>
        <item x="124"/>
        <item x="129"/>
        <item x="130"/>
        <item x="132"/>
        <item x="133"/>
        <item x="134"/>
        <item x="135"/>
        <item m="1" x="420"/>
        <item m="1" x="473"/>
        <item m="1" x="464"/>
        <item x="137"/>
        <item x="139"/>
        <item x="140"/>
        <item x="141"/>
        <item m="1" x="479"/>
        <item m="1" x="458"/>
        <item m="1" x="448"/>
        <item m="1" x="467"/>
        <item m="1" x="470"/>
        <item x="143"/>
        <item x="144"/>
        <item x="142"/>
        <item x="146"/>
        <item x="147"/>
        <item m="1" x="431"/>
        <item x="149"/>
        <item x="148"/>
        <item m="1" x="478"/>
        <item x="150"/>
        <item m="1" x="471"/>
        <item m="1" x="475"/>
        <item m="1" x="445"/>
        <item x="151"/>
        <item x="152"/>
        <item m="1" x="449"/>
        <item m="1" x="444"/>
        <item m="1" x="455"/>
        <item x="153"/>
        <item x="154"/>
        <item x="155"/>
        <item x="156"/>
        <item x="157"/>
        <item x="158"/>
        <item x="159"/>
        <item m="1" x="439"/>
        <item x="160"/>
        <item m="1" x="456"/>
        <item x="161"/>
        <item m="1" x="422"/>
        <item x="162"/>
        <item x="163"/>
        <item x="164"/>
        <item x="165"/>
        <item x="166"/>
        <item x="167"/>
        <item x="168"/>
        <item x="145"/>
        <item x="169"/>
        <item x="376"/>
        <item x="170"/>
        <item x="173"/>
        <item x="171"/>
        <item x="172"/>
        <item x="174"/>
        <item x="175"/>
        <item x="176"/>
        <item x="177"/>
        <item x="178"/>
        <item m="1" x="437"/>
        <item x="179"/>
        <item x="180"/>
        <item x="182"/>
        <item x="183"/>
        <item x="184"/>
        <item x="185"/>
        <item x="186"/>
        <item x="187"/>
        <item x="188"/>
        <item x="189"/>
        <item m="1" x="432"/>
        <item x="191"/>
        <item x="192"/>
        <item x="193"/>
        <item x="194"/>
        <item x="190"/>
        <item x="195"/>
        <item x="196"/>
        <item x="197"/>
        <item x="198"/>
        <item x="199"/>
        <item x="200"/>
        <item x="201"/>
        <item x="202"/>
        <item x="203"/>
        <item x="181"/>
        <item x="204"/>
        <item m="1" x="451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06"/>
        <item x="223"/>
        <item x="224"/>
        <item x="225"/>
        <item x="227"/>
        <item x="228"/>
        <item x="229"/>
        <item x="230"/>
        <item m="1" x="435"/>
        <item m="1" x="438"/>
        <item x="226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4"/>
        <item x="245"/>
        <item x="246"/>
        <item x="247"/>
        <item x="248"/>
        <item x="249"/>
        <item x="254"/>
        <item x="255"/>
        <item x="250"/>
        <item x="251"/>
        <item x="252"/>
        <item x="253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3"/>
        <item x="272"/>
        <item x="274"/>
        <item x="275"/>
        <item m="1" x="428"/>
        <item x="277"/>
        <item x="278"/>
        <item x="279"/>
        <item x="280"/>
        <item x="281"/>
        <item x="282"/>
        <item x="239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m="1" x="427"/>
        <item m="1" x="459"/>
        <item x="302"/>
        <item x="303"/>
        <item x="304"/>
        <item x="305"/>
        <item x="306"/>
        <item x="307"/>
        <item x="308"/>
        <item x="301"/>
        <item x="309"/>
        <item x="310"/>
        <item x="300"/>
        <item x="311"/>
        <item x="312"/>
        <item x="313"/>
        <item m="1" x="426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m="1" x="416"/>
        <item x="334"/>
        <item x="335"/>
        <item x="336"/>
        <item x="327"/>
        <item x="337"/>
        <item x="340"/>
        <item x="339"/>
        <item x="276"/>
        <item x="341"/>
        <item x="342"/>
        <item x="343"/>
        <item x="344"/>
        <item x="345"/>
        <item x="346"/>
        <item x="347"/>
        <item x="348"/>
        <item x="349"/>
        <item m="1" x="425"/>
        <item x="351"/>
        <item x="352"/>
        <item x="354"/>
        <item x="355"/>
        <item x="338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7"/>
        <item x="378"/>
        <item x="350"/>
        <item x="379"/>
        <item x="380"/>
        <item x="381"/>
        <item x="382"/>
        <item x="383"/>
        <item x="384"/>
        <item m="1" x="454"/>
        <item x="391"/>
        <item x="386"/>
        <item x="387"/>
        <item x="388"/>
        <item x="389"/>
        <item x="390"/>
        <item x="392"/>
        <item x="393"/>
        <item m="1" x="468"/>
        <item x="394"/>
        <item x="395"/>
        <item x="353"/>
        <item m="1" x="434"/>
        <item m="1" x="457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396"/>
        <item x="414"/>
        <item x="385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6">
        <item sd="0" x="0"/>
        <item sd="0" x="2"/>
        <item sd="0" x="1"/>
        <item sd="0" x="4"/>
        <item sd="0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showAll="0">
      <items count="153">
        <item x="0"/>
        <item x="4"/>
        <item x="22"/>
        <item x="34"/>
        <item x="11"/>
        <item x="28"/>
        <item x="24"/>
        <item x="16"/>
        <item x="9"/>
        <item x="26"/>
        <item x="45"/>
        <item x="5"/>
        <item x="10"/>
        <item x="27"/>
        <item x="20"/>
        <item x="35"/>
        <item x="23"/>
        <item x="15"/>
        <item x="40"/>
        <item x="12"/>
        <item x="13"/>
        <item x="6"/>
        <item m="1" x="151"/>
        <item x="59"/>
        <item x="36"/>
        <item x="1"/>
        <item x="7"/>
        <item x="8"/>
        <item x="44"/>
        <item x="2"/>
        <item x="39"/>
        <item x="47"/>
        <item x="14"/>
        <item x="29"/>
        <item x="19"/>
        <item x="17"/>
        <item x="33"/>
        <item x="62"/>
        <item x="18"/>
        <item x="50"/>
        <item x="56"/>
        <item x="42"/>
        <item x="67"/>
        <item x="58"/>
        <item x="41"/>
        <item x="54"/>
        <item x="46"/>
        <item x="38"/>
        <item x="32"/>
        <item x="64"/>
        <item x="73"/>
        <item x="37"/>
        <item x="31"/>
        <item x="79"/>
        <item x="66"/>
        <item x="25"/>
        <item x="76"/>
        <item x="21"/>
        <item x="65"/>
        <item x="30"/>
        <item x="55"/>
        <item x="60"/>
        <item x="80"/>
        <item x="75"/>
        <item x="48"/>
        <item x="43"/>
        <item x="91"/>
        <item x="86"/>
        <item x="57"/>
        <item x="74"/>
        <item x="51"/>
        <item x="53"/>
        <item x="88"/>
        <item x="97"/>
        <item x="89"/>
        <item x="87"/>
        <item x="70"/>
        <item x="52"/>
        <item x="111"/>
        <item x="3"/>
        <item x="63"/>
        <item x="71"/>
        <item x="124"/>
        <item x="100"/>
        <item x="61"/>
        <item x="69"/>
        <item x="114"/>
        <item x="72"/>
        <item x="119"/>
        <item x="84"/>
        <item x="92"/>
        <item x="85"/>
        <item x="120"/>
        <item x="95"/>
        <item x="128"/>
        <item x="90"/>
        <item x="123"/>
        <item x="107"/>
        <item x="115"/>
        <item x="129"/>
        <item x="83"/>
        <item x="133"/>
        <item x="131"/>
        <item x="103"/>
        <item x="127"/>
        <item x="121"/>
        <item x="82"/>
        <item x="99"/>
        <item x="117"/>
        <item x="81"/>
        <item x="136"/>
        <item x="109"/>
        <item x="122"/>
        <item x="132"/>
        <item x="126"/>
        <item x="113"/>
        <item x="130"/>
        <item x="112"/>
        <item x="116"/>
        <item x="141"/>
        <item x="98"/>
        <item x="134"/>
        <item x="118"/>
        <item x="144"/>
        <item x="108"/>
        <item x="68"/>
        <item x="125"/>
        <item x="77"/>
        <item m="1" x="150"/>
        <item x="78"/>
        <item x="93"/>
        <item x="147"/>
        <item x="143"/>
        <item x="110"/>
        <item x="94"/>
        <item x="101"/>
        <item x="104"/>
        <item x="106"/>
        <item x="49"/>
        <item x="145"/>
        <item x="102"/>
        <item x="149"/>
        <item x="138"/>
        <item x="135"/>
        <item x="96"/>
        <item x="142"/>
        <item x="140"/>
        <item x="139"/>
        <item x="137"/>
        <item x="105"/>
        <item x="148"/>
        <item x="146"/>
        <item t="default"/>
      </items>
    </pivotField>
    <pivotField showAll="0"/>
    <pivotField showAll="0"/>
  </pivotFields>
  <rowFields count="2">
    <field x="11"/>
    <field x="4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4" hier="-1"/>
  </pageFields>
  <dataFields count="4">
    <dataField name="Počet z Předpokládaná hodnota VZ bez DPH" fld="10" subtotal="count" baseField="0" baseItem="0"/>
    <dataField name="Počet z Smlouva podepsána" fld="24" subtotal="count" baseField="0" baseItem="0"/>
    <dataField name="Součet z Předpokládaná hodnota VZ bez DPH2" fld="10" baseField="0" baseItem="0" numFmtId="164"/>
    <dataField name="Součet z Smlouva podepsána2" fld="24" baseField="0" baseItem="0" numFmtId="164"/>
  </dataFields>
  <formats count="8">
    <format dxfId="85">
      <pivotArea field="11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3">
      <pivotArea field="11" type="button" dataOnly="0" labelOnly="1" outline="0" axis="axisRow" fieldPosition="0"/>
    </format>
    <format dxfId="8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1">
      <pivotArea field="11" type="button" dataOnly="0" labelOnly="1" outline="0" axis="axisRow" fieldPosition="0"/>
    </format>
    <format dxfId="8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9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78">
      <pivotArea type="all" dataOnly="0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Kontingenční tabulka 1" cacheId="14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E10" firstHeaderRow="1" firstDataRow="2" firstDataCol="1" rowPageCount="1" colPageCount="1"/>
  <pivotFields count="27">
    <pivotField showAll="0"/>
    <pivotField showAll="0"/>
    <pivotField axis="axisRow" showAll="0">
      <items count="23">
        <item x="19"/>
        <item x="9"/>
        <item x="4"/>
        <item x="5"/>
        <item x="3"/>
        <item x="7"/>
        <item x="12"/>
        <item x="17"/>
        <item x="13"/>
        <item x="18"/>
        <item x="0"/>
        <item x="14"/>
        <item x="15"/>
        <item x="8"/>
        <item x="20"/>
        <item x="11"/>
        <item x="6"/>
        <item x="16"/>
        <item x="10"/>
        <item x="1"/>
        <item x="2"/>
        <item x="21"/>
        <item t="default"/>
      </items>
    </pivotField>
    <pivotField showAll="0"/>
    <pivotField axis="axisRow" showAll="0">
      <items count="544">
        <item m="1" x="541"/>
        <item x="41"/>
        <item x="48"/>
        <item x="46"/>
        <item x="36"/>
        <item x="30"/>
        <item x="26"/>
        <item x="45"/>
        <item x="38"/>
        <item x="0"/>
        <item x="58"/>
        <item x="4"/>
        <item x="60"/>
        <item x="57"/>
        <item x="22"/>
        <item x="5"/>
        <item x="2"/>
        <item x="15"/>
        <item x="34"/>
        <item x="14"/>
        <item m="1" x="532"/>
        <item m="1" x="515"/>
        <item x="56"/>
        <item x="10"/>
        <item x="17"/>
        <item x="31"/>
        <item x="33"/>
        <item x="54"/>
        <item x="39"/>
        <item x="55"/>
        <item x="40"/>
        <item x="68"/>
        <item x="12"/>
        <item x="23"/>
        <item x="24"/>
        <item x="11"/>
        <item x="32"/>
        <item m="1" x="512"/>
        <item x="42"/>
        <item x="52"/>
        <item x="29"/>
        <item x="43"/>
        <item m="1" x="511"/>
        <item x="51"/>
        <item x="37"/>
        <item x="44"/>
        <item x="61"/>
        <item x="25"/>
        <item x="245"/>
        <item x="49"/>
        <item m="1" x="526"/>
        <item m="1" x="504"/>
        <item x="50"/>
        <item m="1" x="524"/>
        <item x="16"/>
        <item m="1" x="523"/>
        <item x="8"/>
        <item x="59"/>
        <item x="7"/>
        <item x="9"/>
        <item m="1" x="528"/>
        <item x="18"/>
        <item x="35"/>
        <item x="27"/>
        <item m="1" x="514"/>
        <item x="3"/>
        <item x="80"/>
        <item x="53"/>
        <item x="21"/>
        <item x="19"/>
        <item x="1"/>
        <item x="13"/>
        <item x="28"/>
        <item m="1" x="521"/>
        <item x="6"/>
        <item m="1" x="537"/>
        <item x="20"/>
        <item x="100"/>
        <item x="62"/>
        <item x="503"/>
        <item m="1" x="527"/>
        <item x="63"/>
        <item x="47"/>
        <item x="64"/>
        <item x="65"/>
        <item x="66"/>
        <item m="1" x="508"/>
        <item x="67"/>
        <item x="69"/>
        <item x="70"/>
        <item x="71"/>
        <item x="72"/>
        <item x="73"/>
        <item x="74"/>
        <item x="75"/>
        <item x="76"/>
        <item x="77"/>
        <item x="78"/>
        <item m="1" x="542"/>
        <item m="1" x="536"/>
        <item x="81"/>
        <item x="83"/>
        <item x="84"/>
        <item x="85"/>
        <item x="86"/>
        <item x="87"/>
        <item x="88"/>
        <item x="89"/>
        <item x="90"/>
        <item m="1" x="520"/>
        <item x="92"/>
        <item x="93"/>
        <item x="94"/>
        <item x="95"/>
        <item x="96"/>
        <item x="97"/>
        <item x="98"/>
        <item x="82"/>
        <item m="1" x="534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m="1" x="540"/>
        <item x="99"/>
        <item x="119"/>
        <item x="120"/>
        <item x="118"/>
        <item x="121"/>
        <item x="122"/>
        <item x="123"/>
        <item x="124"/>
        <item x="125"/>
        <item x="126"/>
        <item x="79"/>
        <item x="130"/>
        <item x="127"/>
        <item x="128"/>
        <item x="129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91"/>
        <item x="151"/>
        <item x="152"/>
        <item x="153"/>
        <item m="1" x="509"/>
        <item x="155"/>
        <item x="156"/>
        <item x="157"/>
        <item x="158"/>
        <item x="159"/>
        <item x="154"/>
        <item x="160"/>
        <item x="161"/>
        <item x="162"/>
        <item x="163"/>
        <item x="164"/>
        <item x="165"/>
        <item x="166"/>
        <item x="167"/>
        <item x="168"/>
        <item x="170"/>
        <item x="169"/>
        <item m="1" x="522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m="1" x="513"/>
        <item x="190"/>
        <item x="189"/>
        <item x="191"/>
        <item x="192"/>
        <item m="1" x="517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05"/>
        <item x="210"/>
        <item x="211"/>
        <item x="212"/>
        <item x="213"/>
        <item x="214"/>
        <item x="215"/>
        <item x="216"/>
        <item x="217"/>
        <item x="218"/>
        <item x="219"/>
        <item m="1" x="505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m="1" x="535"/>
        <item x="247"/>
        <item x="248"/>
        <item m="1" x="531"/>
        <item m="1" x="506"/>
        <item m="1" x="529"/>
        <item x="244"/>
        <item x="250"/>
        <item x="251"/>
        <item x="249"/>
        <item x="252"/>
        <item x="253"/>
        <item x="254"/>
        <item x="255"/>
        <item x="220"/>
        <item x="256"/>
        <item x="257"/>
        <item x="258"/>
        <item x="259"/>
        <item x="260"/>
        <item x="261"/>
        <item x="246"/>
        <item m="1" x="510"/>
        <item x="262"/>
        <item x="263"/>
        <item x="264"/>
        <item x="265"/>
        <item m="1" x="516"/>
        <item x="268"/>
        <item x="269"/>
        <item x="270"/>
        <item x="271"/>
        <item m="1" x="539"/>
        <item x="273"/>
        <item x="272"/>
        <item x="274"/>
        <item x="275"/>
        <item x="276"/>
        <item x="277"/>
        <item x="278"/>
        <item x="279"/>
        <item x="280"/>
        <item x="281"/>
        <item x="282"/>
        <item x="266"/>
        <item x="267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43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171"/>
        <item x="339"/>
        <item x="353"/>
        <item x="354"/>
        <item x="355"/>
        <item x="356"/>
        <item x="357"/>
        <item x="358"/>
        <item x="359"/>
        <item m="1" x="518"/>
        <item x="361"/>
        <item x="362"/>
        <item m="1" x="507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m="1" x="533"/>
        <item x="386"/>
        <item x="387"/>
        <item x="385"/>
        <item x="388"/>
        <item x="389"/>
        <item x="390"/>
        <item x="36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9"/>
        <item x="410"/>
        <item x="411"/>
        <item x="412"/>
        <item x="413"/>
        <item m="1" x="525"/>
        <item x="414"/>
        <item x="415"/>
        <item x="416"/>
        <item x="417"/>
        <item x="418"/>
        <item x="419"/>
        <item x="421"/>
        <item m="1" x="519"/>
        <item x="423"/>
        <item x="424"/>
        <item x="425"/>
        <item x="426"/>
        <item x="427"/>
        <item x="428"/>
        <item x="420"/>
        <item x="429"/>
        <item x="430"/>
        <item x="432"/>
        <item x="433"/>
        <item x="434"/>
        <item x="435"/>
        <item x="431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3"/>
        <item x="454"/>
        <item x="452"/>
        <item x="450"/>
        <item x="455"/>
        <item x="456"/>
        <item x="457"/>
        <item x="422"/>
        <item x="458"/>
        <item x="459"/>
        <item x="460"/>
        <item x="461"/>
        <item x="462"/>
        <item x="408"/>
        <item x="464"/>
        <item x="465"/>
        <item x="467"/>
        <item x="468"/>
        <item x="469"/>
        <item x="470"/>
        <item x="472"/>
        <item x="473"/>
        <item x="474"/>
        <item x="476"/>
        <item x="463"/>
        <item x="471"/>
        <item x="477"/>
        <item x="478"/>
        <item x="480"/>
        <item x="479"/>
        <item x="481"/>
        <item x="482"/>
        <item x="483"/>
        <item x="485"/>
        <item x="486"/>
        <item x="487"/>
        <item x="488"/>
        <item x="489"/>
        <item x="475"/>
        <item x="490"/>
        <item x="491"/>
        <item x="492"/>
        <item x="493"/>
        <item x="494"/>
        <item x="495"/>
        <item x="496"/>
        <item x="466"/>
        <item x="497"/>
        <item m="1" x="530"/>
        <item x="499"/>
        <item x="500"/>
        <item x="498"/>
        <item x="501"/>
        <item m="1" x="538"/>
        <item x="502"/>
        <item x="484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7">
        <item sd="0" m="1" x="5"/>
        <item sd="0" x="0"/>
        <item sd="0" x="2"/>
        <item sd="0" x="1"/>
        <item sd="0" x="4"/>
        <item sd="0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170">
        <item x="6"/>
        <item x="21"/>
        <item x="41"/>
        <item x="13"/>
        <item x="10"/>
        <item x="7"/>
        <item x="11"/>
        <item x="18"/>
        <item x="17"/>
        <item x="44"/>
        <item x="37"/>
        <item x="4"/>
        <item x="40"/>
        <item x="2"/>
        <item x="23"/>
        <item x="5"/>
        <item x="47"/>
        <item x="36"/>
        <item x="30"/>
        <item x="3"/>
        <item x="49"/>
        <item x="45"/>
        <item x="42"/>
        <item x="48"/>
        <item x="29"/>
        <item x="28"/>
        <item x="14"/>
        <item x="0"/>
        <item x="25"/>
        <item x="8"/>
        <item x="27"/>
        <item x="38"/>
        <item x="68"/>
        <item x="22"/>
        <item x="24"/>
        <item x="20"/>
        <item x="9"/>
        <item x="39"/>
        <item x="16"/>
        <item x="15"/>
        <item x="26"/>
        <item x="12"/>
        <item x="54"/>
        <item x="33"/>
        <item x="61"/>
        <item x="57"/>
        <item x="60"/>
        <item x="82"/>
        <item x="46"/>
        <item x="63"/>
        <item x="35"/>
        <item x="73"/>
        <item x="56"/>
        <item x="32"/>
        <item x="34"/>
        <item x="69"/>
        <item x="81"/>
        <item x="98"/>
        <item x="71"/>
        <item x="31"/>
        <item x="87"/>
        <item x="43"/>
        <item x="80"/>
        <item x="74"/>
        <item x="85"/>
        <item x="53"/>
        <item x="67"/>
        <item x="88"/>
        <item x="95"/>
        <item x="89"/>
        <item x="86"/>
        <item x="19"/>
        <item x="66"/>
        <item x="70"/>
        <item x="55"/>
        <item x="77"/>
        <item x="100"/>
        <item x="78"/>
        <item x="83"/>
        <item x="76"/>
        <item x="59"/>
        <item x="79"/>
        <item x="93"/>
        <item x="110"/>
        <item x="90"/>
        <item x="51"/>
        <item x="58"/>
        <item x="92"/>
        <item x="50"/>
        <item x="52"/>
        <item x="112"/>
        <item x="105"/>
        <item x="72"/>
        <item x="94"/>
        <item x="91"/>
        <item x="107"/>
        <item x="1"/>
        <item x="106"/>
        <item x="120"/>
        <item x="122"/>
        <item x="119"/>
        <item x="99"/>
        <item x="121"/>
        <item x="127"/>
        <item x="115"/>
        <item x="62"/>
        <item x="75"/>
        <item x="129"/>
        <item x="108"/>
        <item x="125"/>
        <item x="102"/>
        <item x="117"/>
        <item x="114"/>
        <item x="130"/>
        <item x="111"/>
        <item x="113"/>
        <item x="97"/>
        <item x="147"/>
        <item x="139"/>
        <item x="109"/>
        <item x="96"/>
        <item x="144"/>
        <item x="154"/>
        <item x="118"/>
        <item x="131"/>
        <item x="84"/>
        <item x="103"/>
        <item x="101"/>
        <item x="138"/>
        <item x="142"/>
        <item x="137"/>
        <item x="140"/>
        <item x="145"/>
        <item x="160"/>
        <item x="151"/>
        <item x="64"/>
        <item x="126"/>
        <item x="136"/>
        <item x="128"/>
        <item x="132"/>
        <item x="135"/>
        <item x="158"/>
        <item x="156"/>
        <item x="104"/>
        <item x="141"/>
        <item x="153"/>
        <item x="163"/>
        <item x="152"/>
        <item x="162"/>
        <item x="143"/>
        <item x="116"/>
        <item x="161"/>
        <item x="157"/>
        <item x="65"/>
        <item x="159"/>
        <item x="146"/>
        <item x="123"/>
        <item x="150"/>
        <item m="1" x="168"/>
        <item x="124"/>
        <item x="166"/>
        <item x="164"/>
        <item x="148"/>
        <item x="134"/>
        <item x="165"/>
        <item x="155"/>
        <item x="167"/>
        <item x="133"/>
        <item x="149"/>
        <item t="default"/>
      </items>
    </pivotField>
    <pivotField showAll="0"/>
    <pivotField showAll="0"/>
  </pivotFields>
  <rowFields count="3">
    <field x="11"/>
    <field x="2"/>
    <field x="4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4" hier="-1"/>
  </pageFields>
  <dataFields count="4">
    <dataField name="Počet z Předpokládaná hodnota VZ bez DPH" fld="10" subtotal="count" baseField="0" baseItem="0"/>
    <dataField name="Počet z Smlouva podepsána" fld="24" subtotal="count" baseField="0" baseItem="0"/>
    <dataField name="Součet z Předpokládaná hodnota VZ bez DPH2" fld="10" baseField="0" baseItem="0" numFmtId="44"/>
    <dataField name="Součet z Smlouva podepsána2" fld="24" baseField="0" baseItem="0" numFmtId="44"/>
  </dataFields>
  <formats count="9">
    <format dxfId="7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73">
      <pivotArea outline="0" collapsedLevelsAreSubtotals="1" fieldPosition="0"/>
    </format>
    <format dxfId="72">
      <pivotArea field="11" type="button" dataOnly="0" labelOnly="1" outline="0" axis="axisRow" fieldPosition="0"/>
    </format>
    <format dxfId="71">
      <pivotArea dataOnly="0" labelOnly="1" fieldPosition="0">
        <references count="1">
          <reference field="11" count="0"/>
        </references>
      </pivotArea>
    </format>
    <format dxfId="70">
      <pivotArea dataOnly="0" labelOnly="1" grandRow="1" outline="0" fieldPosition="0"/>
    </format>
    <format dxfId="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5F3B1-0D38-4815-8A63-DA4AD58FB5E0}" name="Kontingenční tabulka4" cacheId="1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C9" firstHeaderRow="1" firstDataRow="2" firstDataCol="1" rowPageCount="1" colPageCount="1"/>
  <pivotFields count="27">
    <pivotField showAll="0"/>
    <pivotField showAll="0"/>
    <pivotField axis="axisRow" showAll="0">
      <items count="29">
        <item sd="0" x="18"/>
        <item sd="0" x="5"/>
        <item sd="0" x="7"/>
        <item sd="0" x="9"/>
        <item x="2"/>
        <item x="15"/>
        <item x="12"/>
        <item m="1" x="27"/>
        <item x="1"/>
        <item x="4"/>
        <item x="10"/>
        <item x="6"/>
        <item x="11"/>
        <item x="13"/>
        <item x="8"/>
        <item x="0"/>
        <item x="3"/>
        <item x="25"/>
        <item x="16"/>
        <item x="17"/>
        <item m="1" x="26"/>
        <item x="19"/>
        <item x="21"/>
        <item x="20"/>
        <item x="22"/>
        <item x="23"/>
        <item x="24"/>
        <item x="14"/>
        <item t="default"/>
      </items>
    </pivotField>
    <pivotField showAll="0"/>
    <pivotField axis="axisRow" showAll="0">
      <items count="487">
        <item x="40"/>
        <item x="46"/>
        <item x="23"/>
        <item x="13"/>
        <item x="4"/>
        <item x="1"/>
        <item x="21"/>
        <item x="22"/>
        <item x="20"/>
        <item x="81"/>
        <item x="30"/>
        <item x="41"/>
        <item x="84"/>
        <item x="14"/>
        <item x="9"/>
        <item x="12"/>
        <item x="11"/>
        <item x="10"/>
        <item x="8"/>
        <item x="6"/>
        <item x="7"/>
        <item x="5"/>
        <item x="55"/>
        <item m="1" x="452"/>
        <item x="32"/>
        <item x="82"/>
        <item x="138"/>
        <item x="105"/>
        <item x="45"/>
        <item m="1" x="462"/>
        <item x="68"/>
        <item x="60"/>
        <item x="78"/>
        <item x="80"/>
        <item m="1" x="466"/>
        <item x="69"/>
        <item x="65"/>
        <item x="19"/>
        <item x="39"/>
        <item x="59"/>
        <item x="77"/>
        <item x="86"/>
        <item x="67"/>
        <item x="16"/>
        <item x="96"/>
        <item x="37"/>
        <item x="38"/>
        <item x="28"/>
        <item x="88"/>
        <item x="97"/>
        <item m="1" x="430"/>
        <item x="56"/>
        <item m="1" x="465"/>
        <item x="3"/>
        <item x="70"/>
        <item x="93"/>
        <item x="94"/>
        <item x="35"/>
        <item x="34"/>
        <item x="33"/>
        <item x="27"/>
        <item x="95"/>
        <item x="48"/>
        <item x="58"/>
        <item x="24"/>
        <item x="49"/>
        <item x="15"/>
        <item x="17"/>
        <item x="51"/>
        <item x="79"/>
        <item x="57"/>
        <item x="66"/>
        <item x="102"/>
        <item x="62"/>
        <item x="36"/>
        <item x="52"/>
        <item x="29"/>
        <item x="100"/>
        <item x="63"/>
        <item x="44"/>
        <item x="85"/>
        <item x="18"/>
        <item x="26"/>
        <item x="75"/>
        <item x="243"/>
        <item x="92"/>
        <item x="71"/>
        <item x="83"/>
        <item m="1" x="442"/>
        <item x="136"/>
        <item x="50"/>
        <item x="2"/>
        <item m="1" x="480"/>
        <item m="1" x="469"/>
        <item x="31"/>
        <item x="64"/>
        <item m="1" x="443"/>
        <item x="72"/>
        <item m="1" x="477"/>
        <item x="108"/>
        <item m="1" x="440"/>
        <item x="131"/>
        <item x="104"/>
        <item x="47"/>
        <item x="25"/>
        <item m="1" x="419"/>
        <item m="1" x="483"/>
        <item x="87"/>
        <item x="43"/>
        <item x="76"/>
        <item x="74"/>
        <item x="42"/>
        <item m="1" x="461"/>
        <item x="0"/>
        <item x="53"/>
        <item x="73"/>
        <item x="54"/>
        <item x="61"/>
        <item x="415"/>
        <item x="91"/>
        <item m="1" x="433"/>
        <item x="99"/>
        <item x="98"/>
        <item x="101"/>
        <item x="103"/>
        <item x="106"/>
        <item x="107"/>
        <item x="109"/>
        <item x="110"/>
        <item m="1" x="482"/>
        <item m="1" x="450"/>
        <item m="1" x="463"/>
        <item m="1" x="421"/>
        <item m="1" x="423"/>
        <item m="1" x="474"/>
        <item m="1" x="481"/>
        <item m="1" x="417"/>
        <item m="1" x="460"/>
        <item m="1" x="436"/>
        <item m="1" x="429"/>
        <item x="113"/>
        <item x="114"/>
        <item m="1" x="424"/>
        <item x="112"/>
        <item x="89"/>
        <item x="90"/>
        <item x="115"/>
        <item x="116"/>
        <item x="117"/>
        <item x="118"/>
        <item x="119"/>
        <item x="120"/>
        <item m="1" x="484"/>
        <item m="1" x="447"/>
        <item m="1" x="446"/>
        <item x="111"/>
        <item x="121"/>
        <item x="122"/>
        <item x="123"/>
        <item x="125"/>
        <item x="126"/>
        <item m="1" x="472"/>
        <item m="1" x="485"/>
        <item x="127"/>
        <item m="1" x="476"/>
        <item m="1" x="441"/>
        <item m="1" x="453"/>
        <item x="128"/>
        <item m="1" x="418"/>
        <item x="124"/>
        <item x="129"/>
        <item x="130"/>
        <item x="132"/>
        <item x="133"/>
        <item x="134"/>
        <item x="135"/>
        <item m="1" x="420"/>
        <item m="1" x="473"/>
        <item m="1" x="464"/>
        <item x="137"/>
        <item x="139"/>
        <item x="140"/>
        <item x="141"/>
        <item m="1" x="479"/>
        <item m="1" x="458"/>
        <item m="1" x="448"/>
        <item m="1" x="467"/>
        <item m="1" x="470"/>
        <item x="143"/>
        <item x="144"/>
        <item x="142"/>
        <item x="146"/>
        <item x="147"/>
        <item m="1" x="431"/>
        <item x="149"/>
        <item x="148"/>
        <item m="1" x="478"/>
        <item x="150"/>
        <item m="1" x="471"/>
        <item m="1" x="475"/>
        <item m="1" x="445"/>
        <item x="151"/>
        <item x="152"/>
        <item m="1" x="449"/>
        <item m="1" x="444"/>
        <item m="1" x="455"/>
        <item x="153"/>
        <item x="154"/>
        <item x="155"/>
        <item x="156"/>
        <item x="157"/>
        <item x="158"/>
        <item x="159"/>
        <item m="1" x="439"/>
        <item x="160"/>
        <item m="1" x="456"/>
        <item x="161"/>
        <item m="1" x="422"/>
        <item x="162"/>
        <item x="163"/>
        <item x="164"/>
        <item x="165"/>
        <item x="166"/>
        <item x="167"/>
        <item x="168"/>
        <item x="145"/>
        <item x="169"/>
        <item x="376"/>
        <item x="170"/>
        <item x="173"/>
        <item x="171"/>
        <item x="172"/>
        <item x="174"/>
        <item x="175"/>
        <item x="176"/>
        <item x="177"/>
        <item x="178"/>
        <item m="1" x="437"/>
        <item x="179"/>
        <item x="180"/>
        <item x="182"/>
        <item x="183"/>
        <item x="184"/>
        <item x="185"/>
        <item x="186"/>
        <item x="187"/>
        <item x="188"/>
        <item x="189"/>
        <item m="1" x="432"/>
        <item x="191"/>
        <item x="192"/>
        <item x="193"/>
        <item x="194"/>
        <item x="190"/>
        <item x="195"/>
        <item x="196"/>
        <item x="197"/>
        <item x="198"/>
        <item x="199"/>
        <item x="200"/>
        <item x="201"/>
        <item x="202"/>
        <item x="203"/>
        <item x="181"/>
        <item x="204"/>
        <item m="1" x="451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06"/>
        <item x="223"/>
        <item x="224"/>
        <item x="225"/>
        <item x="227"/>
        <item x="228"/>
        <item x="229"/>
        <item x="230"/>
        <item m="1" x="435"/>
        <item m="1" x="438"/>
        <item x="226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4"/>
        <item x="245"/>
        <item x="246"/>
        <item x="247"/>
        <item x="248"/>
        <item x="249"/>
        <item x="254"/>
        <item x="255"/>
        <item x="250"/>
        <item x="251"/>
        <item x="252"/>
        <item x="253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3"/>
        <item x="272"/>
        <item x="274"/>
        <item x="275"/>
        <item m="1" x="428"/>
        <item x="277"/>
        <item x="278"/>
        <item x="279"/>
        <item x="280"/>
        <item x="281"/>
        <item x="282"/>
        <item x="239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m="1" x="427"/>
        <item m="1" x="459"/>
        <item x="302"/>
        <item x="303"/>
        <item x="304"/>
        <item x="305"/>
        <item x="306"/>
        <item x="307"/>
        <item x="308"/>
        <item x="301"/>
        <item x="309"/>
        <item x="310"/>
        <item x="300"/>
        <item x="311"/>
        <item x="312"/>
        <item x="313"/>
        <item m="1" x="426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m="1" x="416"/>
        <item x="334"/>
        <item x="335"/>
        <item x="336"/>
        <item x="327"/>
        <item x="337"/>
        <item x="340"/>
        <item x="339"/>
        <item x="276"/>
        <item x="341"/>
        <item x="342"/>
        <item x="343"/>
        <item x="344"/>
        <item x="345"/>
        <item x="346"/>
        <item x="347"/>
        <item x="348"/>
        <item x="349"/>
        <item m="1" x="425"/>
        <item x="351"/>
        <item x="352"/>
        <item x="354"/>
        <item x="355"/>
        <item x="338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7"/>
        <item x="378"/>
        <item x="350"/>
        <item x="379"/>
        <item x="380"/>
        <item x="381"/>
        <item x="382"/>
        <item x="383"/>
        <item x="384"/>
        <item m="1" x="454"/>
        <item x="391"/>
        <item x="386"/>
        <item x="387"/>
        <item x="388"/>
        <item x="389"/>
        <item x="390"/>
        <item x="392"/>
        <item x="393"/>
        <item m="1" x="468"/>
        <item x="394"/>
        <item x="395"/>
        <item x="353"/>
        <item m="1" x="434"/>
        <item m="1" x="457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396"/>
        <item x="414"/>
        <item x="385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6">
        <item sd="0" x="0"/>
        <item sd="0" x="2"/>
        <item sd="0" x="1"/>
        <item sd="0" x="4"/>
        <item sd="0" x="3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3">
        <item h="1" x="0"/>
        <item x="4"/>
        <item x="22"/>
        <item x="34"/>
        <item x="11"/>
        <item x="28"/>
        <item x="24"/>
        <item x="16"/>
        <item x="9"/>
        <item x="26"/>
        <item x="45"/>
        <item x="5"/>
        <item x="10"/>
        <item x="27"/>
        <item x="20"/>
        <item x="35"/>
        <item x="23"/>
        <item x="15"/>
        <item x="40"/>
        <item x="12"/>
        <item x="13"/>
        <item x="6"/>
        <item h="1" m="1" x="151"/>
        <item x="59"/>
        <item x="36"/>
        <item x="1"/>
        <item x="7"/>
        <item x="8"/>
        <item x="44"/>
        <item x="2"/>
        <item x="39"/>
        <item x="47"/>
        <item x="14"/>
        <item x="29"/>
        <item x="19"/>
        <item x="17"/>
        <item x="33"/>
        <item x="62"/>
        <item x="18"/>
        <item x="50"/>
        <item x="56"/>
        <item x="42"/>
        <item x="67"/>
        <item x="58"/>
        <item x="41"/>
        <item x="54"/>
        <item x="46"/>
        <item x="38"/>
        <item x="32"/>
        <item x="64"/>
        <item x="73"/>
        <item x="37"/>
        <item x="31"/>
        <item x="79"/>
        <item x="66"/>
        <item x="25"/>
        <item x="76"/>
        <item x="21"/>
        <item x="65"/>
        <item x="30"/>
        <item x="55"/>
        <item x="60"/>
        <item x="80"/>
        <item x="75"/>
        <item x="48"/>
        <item x="43"/>
        <item x="91"/>
        <item x="86"/>
        <item x="57"/>
        <item x="74"/>
        <item x="51"/>
        <item x="53"/>
        <item x="88"/>
        <item x="97"/>
        <item x="89"/>
        <item x="87"/>
        <item x="70"/>
        <item x="52"/>
        <item x="111"/>
        <item x="3"/>
        <item x="63"/>
        <item x="71"/>
        <item x="124"/>
        <item x="100"/>
        <item x="61"/>
        <item x="69"/>
        <item x="114"/>
        <item x="72"/>
        <item x="119"/>
        <item x="84"/>
        <item x="92"/>
        <item x="85"/>
        <item x="120"/>
        <item x="95"/>
        <item x="128"/>
        <item x="90"/>
        <item x="123"/>
        <item x="107"/>
        <item x="115"/>
        <item x="129"/>
        <item x="83"/>
        <item x="133"/>
        <item x="131"/>
        <item x="103"/>
        <item x="127"/>
        <item x="121"/>
        <item x="82"/>
        <item x="99"/>
        <item x="117"/>
        <item x="81"/>
        <item x="136"/>
        <item x="109"/>
        <item x="122"/>
        <item x="132"/>
        <item x="126"/>
        <item x="113"/>
        <item x="130"/>
        <item x="112"/>
        <item x="116"/>
        <item x="141"/>
        <item x="98"/>
        <item x="134"/>
        <item x="118"/>
        <item x="144"/>
        <item x="108"/>
        <item x="68"/>
        <item x="125"/>
        <item x="77"/>
        <item m="1" x="150"/>
        <item x="78"/>
        <item x="93"/>
        <item x="147"/>
        <item x="143"/>
        <item x="110"/>
        <item x="94"/>
        <item x="101"/>
        <item x="104"/>
        <item x="106"/>
        <item x="49"/>
        <item x="145"/>
        <item x="102"/>
        <item x="149"/>
        <item x="138"/>
        <item x="135"/>
        <item x="96"/>
        <item x="142"/>
        <item x="140"/>
        <item x="139"/>
        <item x="137"/>
        <item x="105"/>
        <item x="148"/>
        <item x="146"/>
        <item t="default"/>
      </items>
    </pivotField>
    <pivotField showAll="0"/>
    <pivotField showAll="0"/>
  </pivotFields>
  <rowFields count="3">
    <field x="11"/>
    <field x="2"/>
    <field x="4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1">
    <pageField fld="24" hier="-1"/>
  </pageFields>
  <dataFields count="2">
    <dataField name="Součet z Předpokládaná hodnota VZ bez DPH" fld="10" baseField="0" baseItem="0"/>
    <dataField name="Součet z Vítězná cena bez DPH" fld="17" baseField="0" baseItem="0"/>
  </dataFields>
  <formats count="5">
    <format dxfId="68">
      <pivotArea outline="0" collapsedLevelsAreSubtotals="1" fieldPosition="0"/>
    </format>
    <format dxfId="67">
      <pivotArea dataOnly="0" labelOnly="1" outline="0" fieldPosition="0">
        <references count="1">
          <reference field="24" count="0"/>
        </references>
      </pivotArea>
    </format>
    <format dxfId="66">
      <pivotArea field="-2" type="button" dataOnly="0" labelOnly="1" outline="0" axis="axisCol" fieldPosition="0"/>
    </format>
    <format dxfId="65">
      <pivotArea type="topRight" dataOnly="0" labelOnly="1" outline="0" fieldPosition="0"/>
    </format>
    <format dxfId="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Kontingenční tabulka 2" cacheId="15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C15" firstHeaderRow="1" firstDataRow="2" firstDataCol="1" rowPageCount="1" colPageCount="1"/>
  <pivotFields count="26">
    <pivotField showAll="0"/>
    <pivotField showAll="0"/>
    <pivotField axis="axisRow" showAll="0">
      <items count="27">
        <item sd="0" x="9"/>
        <item sd="0" x="4"/>
        <item sd="0" x="5"/>
        <item sd="0" x="3"/>
        <item m="1" x="24"/>
        <item sd="0" x="7"/>
        <item sd="0" x="0"/>
        <item sd="0" x="8"/>
        <item sd="0" x="6"/>
        <item m="1" x="25"/>
        <item sd="0" x="10"/>
        <item sd="0" x="1"/>
        <item sd="0" x="2"/>
        <item x="21"/>
        <item sd="0" x="13"/>
        <item x="12"/>
        <item x="14"/>
        <item m="1" x="23"/>
        <item x="16"/>
        <item x="17"/>
        <item m="1" x="22"/>
        <item sd="0" x="11"/>
        <item x="15"/>
        <item x="19"/>
        <item x="18"/>
        <item x="20"/>
        <item t="default"/>
      </items>
    </pivotField>
    <pivotField showAll="0"/>
    <pivotField axis="axisRow" showAll="0">
      <items count="544">
        <item m="1" x="541"/>
        <item x="41"/>
        <item x="48"/>
        <item x="46"/>
        <item x="36"/>
        <item x="30"/>
        <item x="26"/>
        <item x="45"/>
        <item x="38"/>
        <item x="0"/>
        <item x="58"/>
        <item x="4"/>
        <item x="60"/>
        <item x="57"/>
        <item x="22"/>
        <item x="5"/>
        <item x="2"/>
        <item x="15"/>
        <item x="34"/>
        <item x="14"/>
        <item m="1" x="532"/>
        <item m="1" x="515"/>
        <item x="56"/>
        <item x="10"/>
        <item x="17"/>
        <item x="31"/>
        <item x="33"/>
        <item x="54"/>
        <item x="39"/>
        <item x="55"/>
        <item x="40"/>
        <item x="68"/>
        <item x="12"/>
        <item x="23"/>
        <item x="24"/>
        <item x="11"/>
        <item x="32"/>
        <item m="1" x="512"/>
        <item x="42"/>
        <item x="52"/>
        <item x="29"/>
        <item x="43"/>
        <item m="1" x="511"/>
        <item x="51"/>
        <item x="37"/>
        <item x="44"/>
        <item x="61"/>
        <item x="25"/>
        <item x="245"/>
        <item x="49"/>
        <item m="1" x="526"/>
        <item m="1" x="504"/>
        <item x="50"/>
        <item m="1" x="524"/>
        <item x="16"/>
        <item m="1" x="523"/>
        <item x="8"/>
        <item x="59"/>
        <item x="7"/>
        <item x="9"/>
        <item m="1" x="528"/>
        <item x="18"/>
        <item x="35"/>
        <item x="27"/>
        <item m="1" x="514"/>
        <item x="3"/>
        <item x="80"/>
        <item x="53"/>
        <item x="21"/>
        <item x="19"/>
        <item x="1"/>
        <item x="13"/>
        <item x="28"/>
        <item m="1" x="521"/>
        <item x="6"/>
        <item m="1" x="537"/>
        <item x="20"/>
        <item x="100"/>
        <item x="62"/>
        <item x="503"/>
        <item m="1" x="527"/>
        <item x="63"/>
        <item x="47"/>
        <item x="64"/>
        <item x="65"/>
        <item x="66"/>
        <item m="1" x="508"/>
        <item x="67"/>
        <item x="69"/>
        <item x="70"/>
        <item x="71"/>
        <item x="72"/>
        <item x="73"/>
        <item x="74"/>
        <item x="75"/>
        <item x="76"/>
        <item x="77"/>
        <item x="78"/>
        <item m="1" x="542"/>
        <item m="1" x="536"/>
        <item x="81"/>
        <item x="83"/>
        <item x="84"/>
        <item x="85"/>
        <item x="86"/>
        <item x="87"/>
        <item x="88"/>
        <item x="89"/>
        <item x="90"/>
        <item m="1" x="520"/>
        <item x="92"/>
        <item x="93"/>
        <item x="94"/>
        <item x="95"/>
        <item x="96"/>
        <item x="97"/>
        <item x="98"/>
        <item x="82"/>
        <item m="1" x="534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m="1" x="540"/>
        <item x="99"/>
        <item x="119"/>
        <item x="120"/>
        <item x="118"/>
        <item x="121"/>
        <item x="122"/>
        <item x="123"/>
        <item x="124"/>
        <item x="125"/>
        <item x="126"/>
        <item x="79"/>
        <item x="130"/>
        <item x="127"/>
        <item x="128"/>
        <item x="129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91"/>
        <item x="151"/>
        <item x="152"/>
        <item x="153"/>
        <item m="1" x="509"/>
        <item x="155"/>
        <item x="156"/>
        <item x="157"/>
        <item x="158"/>
        <item x="159"/>
        <item x="154"/>
        <item x="160"/>
        <item x="161"/>
        <item x="162"/>
        <item x="163"/>
        <item x="164"/>
        <item x="165"/>
        <item x="166"/>
        <item x="167"/>
        <item x="168"/>
        <item x="170"/>
        <item x="169"/>
        <item m="1" x="522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m="1" x="513"/>
        <item x="190"/>
        <item x="189"/>
        <item x="191"/>
        <item x="192"/>
        <item m="1" x="517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05"/>
        <item x="210"/>
        <item x="211"/>
        <item x="212"/>
        <item x="213"/>
        <item x="214"/>
        <item x="215"/>
        <item x="216"/>
        <item x="217"/>
        <item x="218"/>
        <item x="219"/>
        <item m="1" x="505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m="1" x="535"/>
        <item x="247"/>
        <item x="248"/>
        <item m="1" x="531"/>
        <item m="1" x="506"/>
        <item m="1" x="529"/>
        <item x="244"/>
        <item x="250"/>
        <item x="251"/>
        <item x="249"/>
        <item x="252"/>
        <item x="253"/>
        <item x="254"/>
        <item x="255"/>
        <item x="220"/>
        <item x="256"/>
        <item x="257"/>
        <item x="258"/>
        <item x="259"/>
        <item x="260"/>
        <item x="261"/>
        <item x="246"/>
        <item m="1" x="510"/>
        <item x="262"/>
        <item x="263"/>
        <item x="264"/>
        <item x="265"/>
        <item m="1" x="516"/>
        <item x="268"/>
        <item x="269"/>
        <item x="270"/>
        <item x="271"/>
        <item m="1" x="539"/>
        <item x="273"/>
        <item x="272"/>
        <item x="274"/>
        <item x="275"/>
        <item x="276"/>
        <item x="277"/>
        <item x="278"/>
        <item x="279"/>
        <item x="280"/>
        <item x="281"/>
        <item x="282"/>
        <item x="266"/>
        <item x="267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43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171"/>
        <item x="339"/>
        <item x="353"/>
        <item x="354"/>
        <item x="355"/>
        <item x="356"/>
        <item x="357"/>
        <item x="358"/>
        <item x="359"/>
        <item m="1" x="518"/>
        <item x="361"/>
        <item x="362"/>
        <item m="1" x="507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m="1" x="533"/>
        <item x="386"/>
        <item x="387"/>
        <item x="385"/>
        <item x="388"/>
        <item x="389"/>
        <item x="390"/>
        <item x="36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9"/>
        <item x="410"/>
        <item x="411"/>
        <item x="412"/>
        <item x="413"/>
        <item m="1" x="525"/>
        <item x="414"/>
        <item x="415"/>
        <item x="416"/>
        <item x="417"/>
        <item x="418"/>
        <item x="419"/>
        <item x="421"/>
        <item m="1" x="519"/>
        <item x="423"/>
        <item x="424"/>
        <item x="425"/>
        <item x="426"/>
        <item x="427"/>
        <item x="428"/>
        <item x="420"/>
        <item x="429"/>
        <item x="430"/>
        <item x="432"/>
        <item x="433"/>
        <item x="434"/>
        <item x="435"/>
        <item x="431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3"/>
        <item x="454"/>
        <item x="452"/>
        <item x="450"/>
        <item x="455"/>
        <item x="456"/>
        <item x="457"/>
        <item x="422"/>
        <item x="458"/>
        <item x="459"/>
        <item x="460"/>
        <item x="461"/>
        <item x="462"/>
        <item x="408"/>
        <item x="464"/>
        <item x="465"/>
        <item x="467"/>
        <item x="468"/>
        <item x="469"/>
        <item x="470"/>
        <item x="472"/>
        <item x="473"/>
        <item x="474"/>
        <item x="476"/>
        <item x="463"/>
        <item x="471"/>
        <item x="477"/>
        <item x="478"/>
        <item x="480"/>
        <item x="479"/>
        <item x="481"/>
        <item x="482"/>
        <item x="483"/>
        <item x="485"/>
        <item x="486"/>
        <item x="487"/>
        <item x="488"/>
        <item x="489"/>
        <item x="475"/>
        <item x="490"/>
        <item x="491"/>
        <item x="492"/>
        <item x="493"/>
        <item x="494"/>
        <item x="495"/>
        <item x="496"/>
        <item x="466"/>
        <item x="497"/>
        <item m="1" x="530"/>
        <item x="499"/>
        <item x="500"/>
        <item x="498"/>
        <item x="501"/>
        <item m="1" x="538"/>
        <item x="502"/>
        <item x="484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7">
        <item sd="0" m="1" x="5"/>
        <item x="0"/>
        <item sd="0" x="2"/>
        <item sd="0" x="1"/>
        <item sd="0" x="4"/>
        <item sd="0" x="3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0">
        <item h="1" x="6"/>
        <item x="21"/>
        <item x="41"/>
        <item x="13"/>
        <item x="10"/>
        <item x="7"/>
        <item x="11"/>
        <item x="18"/>
        <item x="17"/>
        <item x="44"/>
        <item x="37"/>
        <item x="4"/>
        <item x="40"/>
        <item x="2"/>
        <item x="23"/>
        <item x="5"/>
        <item x="47"/>
        <item x="36"/>
        <item x="30"/>
        <item x="3"/>
        <item x="49"/>
        <item x="45"/>
        <item x="42"/>
        <item x="48"/>
        <item x="29"/>
        <item x="28"/>
        <item x="14"/>
        <item x="0"/>
        <item x="25"/>
        <item x="8"/>
        <item x="27"/>
        <item x="38"/>
        <item x="68"/>
        <item x="22"/>
        <item x="24"/>
        <item x="20"/>
        <item x="9"/>
        <item x="39"/>
        <item x="16"/>
        <item x="15"/>
        <item x="26"/>
        <item x="12"/>
        <item x="54"/>
        <item x="33"/>
        <item x="61"/>
        <item x="57"/>
        <item x="60"/>
        <item x="82"/>
        <item x="46"/>
        <item x="63"/>
        <item x="35"/>
        <item x="73"/>
        <item x="56"/>
        <item x="32"/>
        <item x="34"/>
        <item x="69"/>
        <item x="81"/>
        <item x="98"/>
        <item x="71"/>
        <item x="31"/>
        <item x="87"/>
        <item x="43"/>
        <item x="80"/>
        <item x="74"/>
        <item x="85"/>
        <item x="53"/>
        <item x="67"/>
        <item x="88"/>
        <item x="95"/>
        <item x="89"/>
        <item x="86"/>
        <item x="19"/>
        <item x="66"/>
        <item x="70"/>
        <item x="55"/>
        <item x="77"/>
        <item x="100"/>
        <item x="78"/>
        <item x="83"/>
        <item x="76"/>
        <item x="59"/>
        <item x="79"/>
        <item x="93"/>
        <item x="110"/>
        <item x="90"/>
        <item x="51"/>
        <item x="58"/>
        <item x="92"/>
        <item x="50"/>
        <item x="52"/>
        <item x="112"/>
        <item x="105"/>
        <item x="72"/>
        <item x="94"/>
        <item x="91"/>
        <item x="107"/>
        <item x="1"/>
        <item x="106"/>
        <item x="120"/>
        <item x="122"/>
        <item x="119"/>
        <item x="99"/>
        <item x="121"/>
        <item x="127"/>
        <item x="115"/>
        <item x="62"/>
        <item x="75"/>
        <item x="129"/>
        <item x="108"/>
        <item x="125"/>
        <item x="102"/>
        <item x="117"/>
        <item x="114"/>
        <item x="130"/>
        <item x="111"/>
        <item x="113"/>
        <item x="97"/>
        <item x="147"/>
        <item x="139"/>
        <item x="109"/>
        <item x="96"/>
        <item x="144"/>
        <item x="154"/>
        <item x="118"/>
        <item x="131"/>
        <item x="84"/>
        <item x="103"/>
        <item x="101"/>
        <item x="138"/>
        <item x="142"/>
        <item x="137"/>
        <item x="140"/>
        <item x="145"/>
        <item x="160"/>
        <item x="151"/>
        <item x="64"/>
        <item x="126"/>
        <item x="136"/>
        <item x="128"/>
        <item x="132"/>
        <item x="135"/>
        <item x="158"/>
        <item x="156"/>
        <item x="104"/>
        <item x="141"/>
        <item x="153"/>
        <item x="163"/>
        <item x="152"/>
        <item x="162"/>
        <item x="143"/>
        <item x="116"/>
        <item x="161"/>
        <item x="157"/>
        <item x="65"/>
        <item x="159"/>
        <item x="146"/>
        <item x="123"/>
        <item x="150"/>
        <item m="1" x="168"/>
        <item x="124"/>
        <item x="166"/>
        <item x="164"/>
        <item x="148"/>
        <item x="134"/>
        <item x="165"/>
        <item x="155"/>
        <item x="167"/>
        <item x="133"/>
        <item h="1" x="149"/>
        <item t="default"/>
      </items>
    </pivotField>
    <pivotField showAll="0"/>
  </pivotFields>
  <rowFields count="3">
    <field x="11"/>
    <field x="2"/>
    <field x="4"/>
  </rowFields>
  <rowItems count="11">
    <i>
      <x v="1"/>
    </i>
    <i r="1">
      <x v="1"/>
    </i>
    <i r="1">
      <x v="2"/>
    </i>
    <i r="1">
      <x v="3"/>
    </i>
    <i r="1">
      <x v="6"/>
    </i>
    <i r="1">
      <x v="11"/>
    </i>
    <i r="1">
      <x v="12"/>
    </i>
    <i r="1">
      <x v="2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24" hier="-1"/>
  </pageFields>
  <dataFields count="2">
    <dataField name="Součet z Předpokládaná hodnota VZ bez DPH" fld="10" baseField="0" baseItem="0"/>
    <dataField name="Součet z Vítězná cena bez DPH" fld="17" baseField="0" baseItem="0"/>
  </dataFields>
  <formats count="1">
    <format dxfId="6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FA0F61-7715-415D-A589-D04364DC01FF}" name="Kontingenční tabulka3" cacheId="5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F7" firstHeaderRow="0" firstDataRow="1" firstDataCol="1" rowPageCount="1" colPageCount="1"/>
  <pivotFields count="18">
    <pivotField showAll="0"/>
    <pivotField showAll="0"/>
    <pivotField axis="axisPage" multipleItemSelectionAllowed="1" showAll="0">
      <items count="22">
        <item x="19"/>
        <item x="9"/>
        <item x="4"/>
        <item x="5"/>
        <item x="3"/>
        <item x="7"/>
        <item x="12"/>
        <item x="17"/>
        <item x="13"/>
        <item x="18"/>
        <item x="0"/>
        <item x="14"/>
        <item x="15"/>
        <item x="8"/>
        <item x="20"/>
        <item x="11"/>
        <item x="6"/>
        <item x="16"/>
        <item x="10"/>
        <item x="2"/>
        <item x="1"/>
        <item t="default"/>
      </items>
    </pivotField>
    <pivotField numFmtId="44"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Průměr z Doba od obdržení podkladů pro vypsání" fld="13" subtotal="average" baseField="4" baseItem="0"/>
    <dataField name="Průměr z Doba od vypsání po nabídky" fld="14" subtotal="average" baseField="4" baseItem="0"/>
    <dataField name="Průměr z Doba od nabídek po vyhodnocení" fld="15" subtotal="average" baseField="4" baseItem="0"/>
    <dataField name="Průměr z Doba od vyhodnocení po uzavření smlouvy" fld="16" subtotal="average" baseField="4" baseItem="0"/>
    <dataField name="Průměr z Doba od obdržení podkladů po uzavření smlouvy" fld="17" subtotal="average" baseField="4" baseItem="0"/>
  </dataFields>
  <formats count="4">
    <format dxfId="61">
      <pivotArea outline="0" collapsedLevelsAreSubtotals="1" fieldPosition="0"/>
    </format>
    <format dxfId="60">
      <pivotArea dataOnly="0" labelOnly="1" outline="0" fieldPosition="0">
        <references count="1">
          <reference field="2" count="0"/>
        </references>
      </pivotArea>
    </format>
    <format dxfId="5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17CF15-1B7A-4D1E-B628-4A6D084476E1}" name="Kontingenční tabulka1" cacheId="16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E29" firstHeaderRow="0" firstDataRow="1" firstDataCol="1" rowPageCount="1" colPageCount="1"/>
  <pivotFields count="25">
    <pivotField showAll="0"/>
    <pivotField showAll="0"/>
    <pivotField axis="axisRow" showAll="0">
      <items count="27">
        <item sd="0" x="7"/>
        <item sd="0" x="5"/>
        <item sd="0" x="9"/>
        <item sd="0" x="2"/>
        <item sd="0" x="11"/>
        <item sd="0" x="1"/>
        <item sd="0" x="8"/>
        <item sd="0" x="3"/>
        <item sd="0" x="6"/>
        <item sd="0" x="0"/>
        <item sd="0" x="4"/>
        <item sd="0" x="23"/>
        <item sd="0" x="12"/>
        <item sd="0" x="10"/>
        <item sd="0" x="13"/>
        <item sd="0" x="14"/>
        <item sd="0" m="1" x="24"/>
        <item sd="0" x="15"/>
        <item sd="0" x="16"/>
        <item sd="0" x="17"/>
        <item sd="0" m="1" x="25"/>
        <item sd="0" x="18"/>
        <item sd="0" x="19"/>
        <item sd="0" x="20"/>
        <item sd="0" x="21"/>
        <item sd="0" x="22"/>
        <item t="default" sd="0"/>
      </items>
    </pivotField>
    <pivotField showAll="0"/>
    <pivotField axis="axisRow" showAll="0">
      <items count="637">
        <item x="19"/>
        <item x="43"/>
        <item x="39"/>
        <item x="28"/>
        <item x="65"/>
        <item x="29"/>
        <item x="80"/>
        <item x="52"/>
        <item m="1" x="619"/>
        <item m="1" x="622"/>
        <item x="6"/>
        <item x="5"/>
        <item x="9"/>
        <item x="51"/>
        <item x="59"/>
        <item x="57"/>
        <item x="90"/>
        <item x="64"/>
        <item x="79"/>
        <item x="61"/>
        <item x="33"/>
        <item x="73"/>
        <item x="26"/>
        <item x="75"/>
        <item x="77"/>
        <item x="15"/>
        <item x="24"/>
        <item x="27"/>
        <item x="85"/>
        <item x="58"/>
        <item x="87"/>
        <item x="82"/>
        <item m="1" x="626"/>
        <item x="13"/>
        <item x="70"/>
        <item x="1"/>
        <item x="78"/>
        <item m="1" x="628"/>
        <item m="1" x="629"/>
        <item x="49"/>
        <item x="99"/>
        <item x="35"/>
        <item x="40"/>
        <item x="93"/>
        <item x="68"/>
        <item x="45"/>
        <item x="34"/>
        <item x="0"/>
        <item x="74"/>
        <item x="42"/>
        <item x="18"/>
        <item x="95"/>
        <item x="17"/>
        <item x="8"/>
        <item x="84"/>
        <item m="1" x="612"/>
        <item m="1" x="614"/>
        <item x="10"/>
        <item x="91"/>
        <item x="21"/>
        <item x="23"/>
        <item x="69"/>
        <item m="1" x="633"/>
        <item x="149"/>
        <item x="81"/>
        <item x="36"/>
        <item x="60"/>
        <item x="150"/>
        <item x="11"/>
        <item x="37"/>
        <item x="110"/>
        <item x="86"/>
        <item m="1" x="617"/>
        <item x="92"/>
        <item x="47"/>
        <item x="48"/>
        <item x="38"/>
        <item x="7"/>
        <item x="2"/>
        <item x="148"/>
        <item m="1" x="611"/>
        <item x="100"/>
        <item x="62"/>
        <item x="76"/>
        <item x="12"/>
        <item x="88"/>
        <item x="63"/>
        <item x="20"/>
        <item x="83"/>
        <item x="54"/>
        <item x="31"/>
        <item x="4"/>
        <item x="71"/>
        <item x="32"/>
        <item x="66"/>
        <item x="94"/>
        <item x="56"/>
        <item x="50"/>
        <item x="25"/>
        <item x="53"/>
        <item x="16"/>
        <item x="22"/>
        <item x="30"/>
        <item x="72"/>
        <item x="14"/>
        <item x="89"/>
        <item m="1" x="607"/>
        <item x="67"/>
        <item x="55"/>
        <item x="44"/>
        <item m="1" x="634"/>
        <item x="46"/>
        <item x="605"/>
        <item m="1" x="615"/>
        <item x="97"/>
        <item x="98"/>
        <item x="102"/>
        <item x="103"/>
        <item x="104"/>
        <item x="105"/>
        <item x="106"/>
        <item x="107"/>
        <item x="108"/>
        <item x="96"/>
        <item x="109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m="1" x="624"/>
        <item x="133"/>
        <item x="134"/>
        <item x="135"/>
        <item x="136"/>
        <item x="137"/>
        <item x="138"/>
        <item m="1" x="620"/>
        <item x="140"/>
        <item x="141"/>
        <item x="142"/>
        <item m="1" x="630"/>
        <item x="144"/>
        <item x="145"/>
        <item x="146"/>
        <item x="147"/>
        <item x="151"/>
        <item x="152"/>
        <item x="143"/>
        <item x="153"/>
        <item x="154"/>
        <item x="101"/>
        <item x="155"/>
        <item x="157"/>
        <item x="158"/>
        <item x="139"/>
        <item x="15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41"/>
        <item x="171"/>
        <item m="1" x="618"/>
        <item m="1" x="610"/>
        <item x="174"/>
        <item x="175"/>
        <item x="176"/>
        <item x="159"/>
        <item x="177"/>
        <item x="178"/>
        <item x="179"/>
        <item x="180"/>
        <item x="181"/>
        <item x="182"/>
        <item m="1" x="621"/>
        <item x="184"/>
        <item x="185"/>
        <item x="186"/>
        <item x="187"/>
        <item x="188"/>
        <item x="190"/>
        <item x="191"/>
        <item x="189"/>
        <item x="192"/>
        <item x="193"/>
        <item x="194"/>
        <item x="3"/>
        <item x="195"/>
        <item x="196"/>
        <item x="197"/>
        <item x="198"/>
        <item x="199"/>
        <item x="172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183"/>
        <item x="212"/>
        <item x="213"/>
        <item x="214"/>
        <item x="216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m="1" x="623"/>
        <item x="236"/>
        <item x="132"/>
        <item x="237"/>
        <item x="238"/>
        <item x="239"/>
        <item m="1" x="631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m="1" x="625"/>
        <item m="1" x="608"/>
        <item x="310"/>
        <item x="311"/>
        <item x="312"/>
        <item x="313"/>
        <item x="173"/>
        <item x="314"/>
        <item x="315"/>
        <item x="308"/>
        <item x="316"/>
        <item x="318"/>
        <item x="317"/>
        <item x="235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240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51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80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m="1" x="632"/>
        <item m="1" x="627"/>
        <item x="457"/>
        <item x="458"/>
        <item x="459"/>
        <item x="460"/>
        <item x="461"/>
        <item x="462"/>
        <item x="463"/>
        <item x="464"/>
        <item x="465"/>
        <item m="1" x="606"/>
        <item x="467"/>
        <item x="468"/>
        <item x="469"/>
        <item x="470"/>
        <item x="471"/>
        <item x="466"/>
        <item x="472"/>
        <item x="473"/>
        <item x="474"/>
        <item x="475"/>
        <item x="477"/>
        <item x="479"/>
        <item x="480"/>
        <item x="481"/>
        <item x="476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m="1" x="613"/>
        <item x="492"/>
        <item x="497"/>
        <item x="500"/>
        <item x="501"/>
        <item x="502"/>
        <item x="503"/>
        <item x="504"/>
        <item x="498"/>
        <item x="499"/>
        <item x="505"/>
        <item x="506"/>
        <item x="507"/>
        <item x="508"/>
        <item x="509"/>
        <item x="309"/>
        <item x="510"/>
        <item x="511"/>
        <item x="512"/>
        <item x="513"/>
        <item x="515"/>
        <item x="516"/>
        <item x="517"/>
        <item x="519"/>
        <item x="520"/>
        <item x="521"/>
        <item x="522"/>
        <item x="518"/>
        <item x="523"/>
        <item x="524"/>
        <item x="525"/>
        <item x="526"/>
        <item x="514"/>
        <item x="527"/>
        <item x="528"/>
        <item x="529"/>
        <item x="530"/>
        <item x="531"/>
        <item x="456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m="1" x="609"/>
        <item x="558"/>
        <item x="557"/>
        <item x="559"/>
        <item x="560"/>
        <item x="561"/>
        <item x="562"/>
        <item x="563"/>
        <item x="564"/>
        <item x="565"/>
        <item x="566"/>
        <item x="567"/>
        <item m="1" x="616"/>
        <item x="569"/>
        <item x="570"/>
        <item x="571"/>
        <item x="572"/>
        <item x="573"/>
        <item x="574"/>
        <item x="575"/>
        <item x="576"/>
        <item x="577"/>
        <item x="578"/>
        <item x="4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600"/>
        <item x="599"/>
        <item x="601"/>
        <item x="602"/>
        <item x="603"/>
        <item x="604"/>
        <item m="1" x="635"/>
        <item x="568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7">
        <item sd="0" x="3"/>
        <item sd="0" x="0"/>
        <item x="2"/>
        <item sd="0" x="1"/>
        <item sd="0" x="5"/>
        <item sd="0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showAll="0">
      <items count="195">
        <item x="4"/>
        <item x="1"/>
        <item x="2"/>
        <item x="44"/>
        <item x="7"/>
        <item x="13"/>
        <item x="17"/>
        <item x="30"/>
        <item x="22"/>
        <item x="36"/>
        <item x="18"/>
        <item x="32"/>
        <item x="23"/>
        <item x="19"/>
        <item x="21"/>
        <item x="35"/>
        <item x="12"/>
        <item x="11"/>
        <item x="48"/>
        <item x="29"/>
        <item x="54"/>
        <item x="49"/>
        <item x="56"/>
        <item x="74"/>
        <item x="37"/>
        <item x="45"/>
        <item x="41"/>
        <item x="46"/>
        <item x="0"/>
        <item x="69"/>
        <item x="40"/>
        <item x="64"/>
        <item x="25"/>
        <item x="57"/>
        <item x="27"/>
        <item x="15"/>
        <item x="34"/>
        <item x="28"/>
        <item x="24"/>
        <item x="14"/>
        <item x="16"/>
        <item x="39"/>
        <item x="94"/>
        <item x="26"/>
        <item x="31"/>
        <item x="43"/>
        <item x="75"/>
        <item x="9"/>
        <item x="20"/>
        <item x="51"/>
        <item x="42"/>
        <item x="50"/>
        <item x="47"/>
        <item x="96"/>
        <item x="68"/>
        <item x="73"/>
        <item x="10"/>
        <item x="53"/>
        <item x="82"/>
        <item x="58"/>
        <item x="55"/>
        <item x="84"/>
        <item x="60"/>
        <item x="111"/>
        <item x="59"/>
        <item x="67"/>
        <item x="79"/>
        <item x="70"/>
        <item x="78"/>
        <item x="3"/>
        <item x="100"/>
        <item x="62"/>
        <item x="83"/>
        <item x="61"/>
        <item x="85"/>
        <item x="87"/>
        <item x="114"/>
        <item x="86"/>
        <item x="88"/>
        <item x="76"/>
        <item x="93"/>
        <item x="72"/>
        <item x="77"/>
        <item x="140"/>
        <item x="123"/>
        <item x="38"/>
        <item x="135"/>
        <item x="95"/>
        <item x="63"/>
        <item x="6"/>
        <item x="153"/>
        <item x="8"/>
        <item x="105"/>
        <item x="80"/>
        <item x="141"/>
        <item x="71"/>
        <item x="90"/>
        <item x="124"/>
        <item x="142"/>
        <item x="154"/>
        <item x="159"/>
        <item x="122"/>
        <item x="81"/>
        <item x="102"/>
        <item x="136"/>
        <item x="104"/>
        <item x="149"/>
        <item x="139"/>
        <item x="89"/>
        <item x="106"/>
        <item x="126"/>
        <item x="138"/>
        <item x="52"/>
        <item x="168"/>
        <item x="109"/>
        <item x="110"/>
        <item x="131"/>
        <item x="129"/>
        <item m="1" x="191"/>
        <item x="132"/>
        <item x="121"/>
        <item x="148"/>
        <item x="170"/>
        <item x="166"/>
        <item x="173"/>
        <item x="143"/>
        <item x="5"/>
        <item x="33"/>
        <item x="158"/>
        <item x="108"/>
        <item x="107"/>
        <item x="119"/>
        <item x="128"/>
        <item m="1" x="192"/>
        <item x="101"/>
        <item x="178"/>
        <item x="113"/>
        <item x="120"/>
        <item x="155"/>
        <item x="98"/>
        <item x="127"/>
        <item x="157"/>
        <item x="177"/>
        <item x="137"/>
        <item x="118"/>
        <item x="97"/>
        <item x="160"/>
        <item x="125"/>
        <item x="156"/>
        <item x="175"/>
        <item x="65"/>
        <item x="117"/>
        <item x="116"/>
        <item x="169"/>
        <item x="103"/>
        <item x="66"/>
        <item x="172"/>
        <item x="181"/>
        <item x="99"/>
        <item x="115"/>
        <item x="162"/>
        <item m="1" x="193"/>
        <item x="150"/>
        <item x="144"/>
        <item x="174"/>
        <item x="145"/>
        <item x="185"/>
        <item x="167"/>
        <item x="91"/>
        <item x="146"/>
        <item x="147"/>
        <item x="188"/>
        <item x="183"/>
        <item x="163"/>
        <item x="152"/>
        <item x="180"/>
        <item x="151"/>
        <item x="179"/>
        <item x="171"/>
        <item x="133"/>
        <item x="176"/>
        <item x="134"/>
        <item x="161"/>
        <item x="184"/>
        <item x="164"/>
        <item x="165"/>
        <item x="189"/>
        <item x="130"/>
        <item x="190"/>
        <item x="92"/>
        <item x="182"/>
        <item x="187"/>
        <item x="112"/>
        <item x="186"/>
        <item t="default"/>
      </items>
    </pivotField>
  </pivotFields>
  <rowFields count="3">
    <field x="11"/>
    <field x="2"/>
    <field x="4"/>
  </rowFields>
  <rowItems count="26">
    <i>
      <x/>
    </i>
    <i>
      <x v="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7"/>
    </i>
    <i r="1">
      <x v="18"/>
    </i>
    <i r="1">
      <x v="19"/>
    </i>
    <i r="1">
      <x v="21"/>
    </i>
    <i r="1">
      <x v="23"/>
    </i>
    <i r="1">
      <x v="24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4" hier="-1"/>
  </pageFields>
  <dataFields count="4">
    <dataField name="Počet z Předpokládaná hodnota VZ bez DPH" fld="10" subtotal="count" baseField="11" baseItem="0"/>
    <dataField name="Počet z Smlouva podepsána" fld="24" subtotal="count" baseField="0" baseItem="0"/>
    <dataField name="Součet z Předpokládaná hodnota VZ bez DPH" fld="10" baseField="0" baseItem="0" numFmtId="164"/>
    <dataField name="Součet z Smlouva podepsána2" fld="24" baseField="11" baseItem="0" numFmtId="164"/>
  </dataFields>
  <formats count="14">
    <format dxfId="57">
      <pivotArea field="11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5">
      <pivotArea field="11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3">
      <pivotArea field="11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1">
      <pivotArea type="all" dataOnly="0" outline="0" fieldPosition="0"/>
    </format>
    <format dxfId="50">
      <pivotArea outline="0" collapsedLevelsAreSubtotals="1" fieldPosition="0"/>
    </format>
    <format dxfId="49">
      <pivotArea field="11" type="button" dataOnly="0" labelOnly="1" outline="0" axis="axisRow" fieldPosition="0"/>
    </format>
    <format dxfId="48">
      <pivotArea dataOnly="0" labelOnly="1" fieldPosition="0">
        <references count="1">
          <reference field="11" count="0"/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5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44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53A204-3E1C-4037-896E-C99B89092D01}" name="Kontingenční tabulka2" cacheId="1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9" firstHeaderRow="0" firstDataRow="1" firstDataCol="1" rowPageCount="1" colPageCount="1"/>
  <pivotFields count="25">
    <pivotField showAll="0"/>
    <pivotField showAll="0"/>
    <pivotField axis="axisRow" showAll="0">
      <items count="27">
        <item sd="0" x="7"/>
        <item sd="0" x="5"/>
        <item sd="0" x="9"/>
        <item sd="0" x="2"/>
        <item sd="0" x="11"/>
        <item sd="0" x="1"/>
        <item sd="0" x="8"/>
        <item sd="0" x="3"/>
        <item sd="0" x="6"/>
        <item sd="0" x="0"/>
        <item sd="0" x="4"/>
        <item x="23"/>
        <item sd="0" x="12"/>
        <item sd="0" x="10"/>
        <item sd="0" x="13"/>
        <item sd="0" x="14"/>
        <item sd="0" m="1" x="24"/>
        <item sd="0" x="15"/>
        <item sd="0" x="16"/>
        <item sd="0" x="17"/>
        <item m="1" x="25"/>
        <item sd="0" x="18"/>
        <item sd="0" x="19"/>
        <item x="20"/>
        <item sd="0" x="21"/>
        <item x="22"/>
        <item t="default"/>
      </items>
    </pivotField>
    <pivotField showAll="0"/>
    <pivotField axis="axisRow" showAll="0">
      <items count="637">
        <item x="19"/>
        <item x="43"/>
        <item x="39"/>
        <item x="28"/>
        <item x="65"/>
        <item x="29"/>
        <item x="80"/>
        <item x="52"/>
        <item m="1" x="619"/>
        <item m="1" x="622"/>
        <item x="6"/>
        <item x="5"/>
        <item x="9"/>
        <item x="51"/>
        <item x="59"/>
        <item x="57"/>
        <item x="90"/>
        <item x="64"/>
        <item x="79"/>
        <item x="61"/>
        <item x="33"/>
        <item x="73"/>
        <item x="26"/>
        <item x="75"/>
        <item x="77"/>
        <item x="15"/>
        <item x="24"/>
        <item x="27"/>
        <item x="85"/>
        <item x="58"/>
        <item x="87"/>
        <item x="82"/>
        <item m="1" x="626"/>
        <item x="13"/>
        <item x="70"/>
        <item x="1"/>
        <item x="78"/>
        <item m="1" x="628"/>
        <item m="1" x="629"/>
        <item x="49"/>
        <item x="99"/>
        <item x="35"/>
        <item x="40"/>
        <item x="93"/>
        <item x="68"/>
        <item x="45"/>
        <item x="34"/>
        <item x="0"/>
        <item x="74"/>
        <item x="42"/>
        <item x="18"/>
        <item x="95"/>
        <item x="17"/>
        <item x="8"/>
        <item x="84"/>
        <item m="1" x="612"/>
        <item m="1" x="614"/>
        <item x="10"/>
        <item x="91"/>
        <item x="21"/>
        <item x="23"/>
        <item x="69"/>
        <item m="1" x="633"/>
        <item x="149"/>
        <item x="81"/>
        <item x="36"/>
        <item x="60"/>
        <item x="150"/>
        <item x="11"/>
        <item x="37"/>
        <item x="110"/>
        <item x="86"/>
        <item m="1" x="617"/>
        <item x="92"/>
        <item x="47"/>
        <item x="48"/>
        <item x="38"/>
        <item x="7"/>
        <item x="2"/>
        <item x="148"/>
        <item m="1" x="611"/>
        <item x="100"/>
        <item x="62"/>
        <item x="76"/>
        <item x="12"/>
        <item x="88"/>
        <item x="63"/>
        <item x="20"/>
        <item x="83"/>
        <item x="54"/>
        <item x="31"/>
        <item x="4"/>
        <item x="71"/>
        <item x="32"/>
        <item x="66"/>
        <item x="94"/>
        <item x="56"/>
        <item x="50"/>
        <item x="25"/>
        <item x="53"/>
        <item x="16"/>
        <item x="22"/>
        <item x="30"/>
        <item x="72"/>
        <item x="14"/>
        <item x="89"/>
        <item m="1" x="607"/>
        <item x="67"/>
        <item x="55"/>
        <item x="44"/>
        <item m="1" x="634"/>
        <item x="46"/>
        <item x="605"/>
        <item m="1" x="615"/>
        <item x="97"/>
        <item x="98"/>
        <item x="102"/>
        <item x="103"/>
        <item x="104"/>
        <item x="105"/>
        <item x="106"/>
        <item x="107"/>
        <item x="108"/>
        <item x="96"/>
        <item x="109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m="1" x="624"/>
        <item x="133"/>
        <item x="134"/>
        <item x="135"/>
        <item x="136"/>
        <item x="137"/>
        <item x="138"/>
        <item m="1" x="620"/>
        <item x="140"/>
        <item x="141"/>
        <item x="142"/>
        <item m="1" x="630"/>
        <item x="144"/>
        <item x="145"/>
        <item x="146"/>
        <item x="147"/>
        <item x="151"/>
        <item x="152"/>
        <item x="143"/>
        <item x="153"/>
        <item x="154"/>
        <item x="101"/>
        <item x="155"/>
        <item x="157"/>
        <item x="158"/>
        <item x="139"/>
        <item x="15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41"/>
        <item x="171"/>
        <item m="1" x="618"/>
        <item m="1" x="610"/>
        <item x="174"/>
        <item x="175"/>
        <item x="176"/>
        <item x="159"/>
        <item x="177"/>
        <item x="178"/>
        <item x="179"/>
        <item x="180"/>
        <item x="181"/>
        <item x="182"/>
        <item m="1" x="621"/>
        <item x="184"/>
        <item x="185"/>
        <item x="186"/>
        <item x="187"/>
        <item x="188"/>
        <item x="190"/>
        <item x="191"/>
        <item x="189"/>
        <item x="192"/>
        <item x="193"/>
        <item x="194"/>
        <item x="3"/>
        <item x="195"/>
        <item x="196"/>
        <item x="197"/>
        <item x="198"/>
        <item x="199"/>
        <item x="172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183"/>
        <item x="212"/>
        <item x="213"/>
        <item x="214"/>
        <item x="216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m="1" x="623"/>
        <item x="236"/>
        <item x="132"/>
        <item x="237"/>
        <item x="238"/>
        <item x="239"/>
        <item m="1" x="631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m="1" x="625"/>
        <item m="1" x="608"/>
        <item x="310"/>
        <item x="311"/>
        <item x="312"/>
        <item x="313"/>
        <item x="173"/>
        <item x="314"/>
        <item x="315"/>
        <item x="308"/>
        <item x="316"/>
        <item x="318"/>
        <item x="317"/>
        <item x="235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240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51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80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m="1" x="632"/>
        <item m="1" x="627"/>
        <item x="457"/>
        <item x="458"/>
        <item x="459"/>
        <item x="460"/>
        <item x="461"/>
        <item x="462"/>
        <item x="463"/>
        <item x="464"/>
        <item x="465"/>
        <item m="1" x="606"/>
        <item x="467"/>
        <item x="468"/>
        <item x="469"/>
        <item x="470"/>
        <item x="471"/>
        <item x="466"/>
        <item x="472"/>
        <item x="473"/>
        <item x="474"/>
        <item x="475"/>
        <item x="477"/>
        <item x="479"/>
        <item x="480"/>
        <item x="481"/>
        <item x="476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m="1" x="613"/>
        <item x="492"/>
        <item x="497"/>
        <item x="500"/>
        <item x="501"/>
        <item x="502"/>
        <item x="503"/>
        <item x="504"/>
        <item x="498"/>
        <item x="499"/>
        <item x="505"/>
        <item x="506"/>
        <item x="507"/>
        <item x="508"/>
        <item x="509"/>
        <item x="309"/>
        <item x="510"/>
        <item x="511"/>
        <item x="512"/>
        <item x="513"/>
        <item x="515"/>
        <item x="516"/>
        <item x="517"/>
        <item x="519"/>
        <item x="520"/>
        <item x="521"/>
        <item x="522"/>
        <item x="518"/>
        <item x="523"/>
        <item x="524"/>
        <item x="525"/>
        <item x="526"/>
        <item x="514"/>
        <item x="527"/>
        <item x="528"/>
        <item x="529"/>
        <item x="530"/>
        <item x="531"/>
        <item x="456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m="1" x="609"/>
        <item x="558"/>
        <item x="557"/>
        <item x="559"/>
        <item x="560"/>
        <item x="561"/>
        <item x="562"/>
        <item x="563"/>
        <item x="564"/>
        <item x="565"/>
        <item x="566"/>
        <item x="567"/>
        <item m="1" x="616"/>
        <item x="569"/>
        <item x="570"/>
        <item x="571"/>
        <item x="572"/>
        <item x="573"/>
        <item x="574"/>
        <item x="575"/>
        <item x="576"/>
        <item x="577"/>
        <item x="578"/>
        <item x="4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600"/>
        <item x="599"/>
        <item x="601"/>
        <item x="602"/>
        <item x="603"/>
        <item x="604"/>
        <item m="1" x="635"/>
        <item x="568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7">
        <item sd="0" x="3"/>
        <item sd="0" x="0"/>
        <item sd="0" x="2"/>
        <item sd="0" x="1"/>
        <item sd="0" x="5"/>
        <item sd="0" x="4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95">
        <item h="1" x="4"/>
        <item x="1"/>
        <item x="2"/>
        <item x="44"/>
        <item x="7"/>
        <item x="13"/>
        <item x="17"/>
        <item x="30"/>
        <item x="22"/>
        <item x="36"/>
        <item x="18"/>
        <item x="32"/>
        <item x="23"/>
        <item x="19"/>
        <item x="21"/>
        <item x="35"/>
        <item x="12"/>
        <item x="11"/>
        <item x="48"/>
        <item x="29"/>
        <item x="54"/>
        <item x="49"/>
        <item x="56"/>
        <item x="74"/>
        <item x="37"/>
        <item x="45"/>
        <item x="41"/>
        <item x="46"/>
        <item x="0"/>
        <item x="69"/>
        <item x="40"/>
        <item x="64"/>
        <item x="25"/>
        <item x="57"/>
        <item x="27"/>
        <item x="15"/>
        <item x="34"/>
        <item x="28"/>
        <item x="24"/>
        <item x="14"/>
        <item x="16"/>
        <item x="39"/>
        <item x="94"/>
        <item x="26"/>
        <item x="31"/>
        <item x="43"/>
        <item x="75"/>
        <item x="9"/>
        <item x="20"/>
        <item x="51"/>
        <item x="42"/>
        <item x="50"/>
        <item x="47"/>
        <item x="96"/>
        <item x="68"/>
        <item x="73"/>
        <item x="10"/>
        <item x="53"/>
        <item x="82"/>
        <item x="58"/>
        <item x="55"/>
        <item x="84"/>
        <item x="60"/>
        <item x="111"/>
        <item x="59"/>
        <item x="67"/>
        <item x="79"/>
        <item x="70"/>
        <item x="78"/>
        <item x="3"/>
        <item x="100"/>
        <item x="62"/>
        <item x="83"/>
        <item x="61"/>
        <item x="85"/>
        <item x="87"/>
        <item x="114"/>
        <item x="86"/>
        <item x="88"/>
        <item x="76"/>
        <item x="93"/>
        <item x="72"/>
        <item x="77"/>
        <item x="140"/>
        <item x="123"/>
        <item x="38"/>
        <item x="135"/>
        <item x="95"/>
        <item x="63"/>
        <item x="6"/>
        <item x="153"/>
        <item x="8"/>
        <item x="105"/>
        <item x="80"/>
        <item x="141"/>
        <item x="71"/>
        <item x="90"/>
        <item x="124"/>
        <item x="142"/>
        <item x="154"/>
        <item x="159"/>
        <item x="122"/>
        <item x="81"/>
        <item x="102"/>
        <item x="136"/>
        <item x="104"/>
        <item x="149"/>
        <item x="139"/>
        <item x="89"/>
        <item x="106"/>
        <item x="126"/>
        <item x="138"/>
        <item x="52"/>
        <item x="168"/>
        <item x="109"/>
        <item x="110"/>
        <item x="131"/>
        <item x="129"/>
        <item m="1" x="191"/>
        <item x="132"/>
        <item x="121"/>
        <item x="148"/>
        <item x="170"/>
        <item x="166"/>
        <item x="173"/>
        <item x="143"/>
        <item x="5"/>
        <item x="33"/>
        <item x="158"/>
        <item x="108"/>
        <item x="107"/>
        <item x="119"/>
        <item x="128"/>
        <item h="1" m="1" x="192"/>
        <item x="101"/>
        <item x="178"/>
        <item x="113"/>
        <item x="120"/>
        <item x="155"/>
        <item x="98"/>
        <item x="127"/>
        <item x="157"/>
        <item x="177"/>
        <item x="137"/>
        <item x="118"/>
        <item x="97"/>
        <item x="160"/>
        <item x="125"/>
        <item x="156"/>
        <item x="175"/>
        <item x="65"/>
        <item x="117"/>
        <item x="116"/>
        <item x="169"/>
        <item x="103"/>
        <item x="66"/>
        <item x="172"/>
        <item x="181"/>
        <item x="99"/>
        <item x="115"/>
        <item x="162"/>
        <item m="1" x="193"/>
        <item x="150"/>
        <item x="144"/>
        <item x="174"/>
        <item x="145"/>
        <item x="185"/>
        <item x="167"/>
        <item x="91"/>
        <item x="146"/>
        <item x="147"/>
        <item x="188"/>
        <item x="183"/>
        <item x="163"/>
        <item x="152"/>
        <item x="180"/>
        <item x="151"/>
        <item x="179"/>
        <item x="171"/>
        <item x="133"/>
        <item x="176"/>
        <item x="134"/>
        <item x="161"/>
        <item x="184"/>
        <item x="164"/>
        <item x="165"/>
        <item x="189"/>
        <item x="130"/>
        <item x="190"/>
        <item x="92"/>
        <item x="182"/>
        <item x="187"/>
        <item x="112"/>
        <item x="186"/>
        <item t="default"/>
      </items>
    </pivotField>
  </pivotFields>
  <rowFields count="3">
    <field x="11"/>
    <field x="2"/>
    <field x="4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-2"/>
  </colFields>
  <colItems count="2">
    <i>
      <x/>
    </i>
    <i i="1">
      <x v="1"/>
    </i>
  </colItems>
  <pageFields count="1">
    <pageField fld="24" hier="-1"/>
  </pageFields>
  <dataFields count="2">
    <dataField name="Součet z Předpokládaná hodnota VZ bez DPH" fld="10" baseField="0" baseItem="0"/>
    <dataField name="Součet z Vítězná cena bez DPH" fld="17" baseField="0" baseItem="0"/>
  </dataFields>
  <formats count="15">
    <format dxfId="43">
      <pivotArea field="11" type="button" dataOnly="0" labelOnly="1" outline="0" axis="axisRow" fieldPosition="0"/>
    </format>
    <format dxfId="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">
      <pivotArea field="1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1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">
      <pivotArea outline="0" collapsedLevelsAreSubtotals="1" fieldPosition="0"/>
    </format>
    <format dxfId="36">
      <pivotArea dataOnly="0" labelOnly="1" outline="0" fieldPosition="0">
        <references count="1">
          <reference field="24" count="0"/>
        </references>
      </pivotArea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11" type="button" dataOnly="0" labelOnly="1" outline="0" axis="axisRow" fieldPosition="0"/>
    </format>
    <format dxfId="31">
      <pivotArea dataOnly="0" labelOnly="1" fieldPosition="0">
        <references count="1">
          <reference field="11" count="0"/>
        </references>
      </pivotArea>
    </format>
    <format dxfId="30">
      <pivotArea dataOnly="0" labelOnly="1" grandRow="1" outline="0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6D4CDF-248C-4520-BFE4-C183CE185433}" name="Kontingenční tabulka1" cacheId="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E11" firstHeaderRow="0" firstDataRow="1" firstDataCol="1" rowPageCount="1" colPageCount="1"/>
  <pivotFields count="26">
    <pivotField showAll="0"/>
    <pivotField showAll="0"/>
    <pivotField axis="axisRow" showAll="0">
      <items count="28">
        <item sd="0" x="1"/>
        <item sd="0" x="4"/>
        <item sd="0" x="8"/>
        <item sd="0" x="5"/>
        <item x="0"/>
        <item sd="0" x="10"/>
        <item sd="0" x="6"/>
        <item sd="0" x="7"/>
        <item sd="0" x="9"/>
        <item sd="0" x="11"/>
        <item sd="0" x="2"/>
        <item sd="0" x="3"/>
        <item sd="0" x="21"/>
        <item sd="0" x="24"/>
        <item m="1" x="26"/>
        <item sd="0" x="12"/>
        <item x="14"/>
        <item x="15"/>
        <item x="13"/>
        <item x="16"/>
        <item x="17"/>
        <item x="18"/>
        <item m="1" x="25"/>
        <item x="19"/>
        <item x="20"/>
        <item x="22"/>
        <item x="23"/>
        <item t="default" sd="0"/>
      </items>
    </pivotField>
    <pivotField showAll="0"/>
    <pivotField showAll="0"/>
    <pivotField axis="axisRow" showAll="0">
      <items count="638">
        <item x="95"/>
        <item x="27"/>
        <item x="32"/>
        <item x="102"/>
        <item x="45"/>
        <item x="52"/>
        <item x="147"/>
        <item x="34"/>
        <item x="16"/>
        <item x="57"/>
        <item x="56"/>
        <item x="99"/>
        <item m="1" x="634"/>
        <item x="74"/>
        <item x="93"/>
        <item x="40"/>
        <item x="82"/>
        <item x="59"/>
        <item x="36"/>
        <item x="26"/>
        <item x="66"/>
        <item x="37"/>
        <item x="38"/>
        <item x="89"/>
        <item x="90"/>
        <item x="35"/>
        <item x="18"/>
        <item x="146"/>
        <item x="19"/>
        <item x="83"/>
        <item x="10"/>
        <item x="85"/>
        <item m="1" x="627"/>
        <item x="9"/>
        <item x="61"/>
        <item x="50"/>
        <item x="4"/>
        <item x="3"/>
        <item x="67"/>
        <item x="23"/>
        <item x="97"/>
        <item x="7"/>
        <item x="14"/>
        <item m="1" x="616"/>
        <item x="6"/>
        <item x="21"/>
        <item x="25"/>
        <item x="15"/>
        <item x="5"/>
        <item x="2"/>
        <item x="96"/>
        <item x="13"/>
        <item x="24"/>
        <item x="1"/>
        <item x="51"/>
        <item x="22"/>
        <item x="0"/>
        <item x="60"/>
        <item x="31"/>
        <item x="88"/>
        <item x="70"/>
        <item x="20"/>
        <item x="33"/>
        <item m="1" x="626"/>
        <item x="84"/>
        <item x="106"/>
        <item x="17"/>
        <item x="46"/>
        <item x="81"/>
        <item x="47"/>
        <item x="39"/>
        <item x="42"/>
        <item x="43"/>
        <item x="48"/>
        <item x="75"/>
        <item x="91"/>
        <item x="62"/>
        <item m="1" x="635"/>
        <item x="104"/>
        <item x="29"/>
        <item x="63"/>
        <item m="1" x="621"/>
        <item x="77"/>
        <item x="30"/>
        <item x="94"/>
        <item x="44"/>
        <item x="78"/>
        <item x="64"/>
        <item x="53"/>
        <item x="87"/>
        <item x="86"/>
        <item x="28"/>
        <item x="65"/>
        <item x="54"/>
        <item x="49"/>
        <item x="79"/>
        <item x="8"/>
        <item m="1" x="625"/>
        <item m="1" x="612"/>
        <item x="100"/>
        <item x="98"/>
        <item x="58"/>
        <item x="107"/>
        <item x="76"/>
        <item x="101"/>
        <item x="11"/>
        <item x="12"/>
        <item m="1" x="622"/>
        <item x="55"/>
        <item x="72"/>
        <item x="73"/>
        <item x="103"/>
        <item m="1" x="636"/>
        <item x="71"/>
        <item x="92"/>
        <item x="41"/>
        <item x="68"/>
        <item x="105"/>
        <item x="69"/>
        <item x="605"/>
        <item x="108"/>
        <item x="109"/>
        <item x="110"/>
        <item x="125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80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m="1" x="620"/>
        <item m="1" x="608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40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m="1" x="610"/>
        <item x="194"/>
        <item x="195"/>
        <item x="196"/>
        <item x="197"/>
        <item x="198"/>
        <item x="200"/>
        <item x="201"/>
        <item x="199"/>
        <item x="202"/>
        <item x="19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m="1" x="617"/>
        <item x="218"/>
        <item x="219"/>
        <item x="220"/>
        <item x="221"/>
        <item x="222"/>
        <item x="223"/>
        <item x="224"/>
        <item x="225"/>
        <item x="226"/>
        <item m="1" x="624"/>
        <item x="227"/>
        <item x="228"/>
        <item x="229"/>
        <item x="230"/>
        <item x="231"/>
        <item x="232"/>
        <item x="233"/>
        <item x="217"/>
        <item x="234"/>
        <item x="235"/>
        <item x="236"/>
        <item x="237"/>
        <item x="238"/>
        <item x="239"/>
        <item x="240"/>
        <item x="241"/>
        <item x="243"/>
        <item x="244"/>
        <item x="246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m="1" x="607"/>
        <item x="286"/>
        <item x="287"/>
        <item x="288"/>
        <item x="289"/>
        <item x="291"/>
        <item x="292"/>
        <item x="293"/>
        <item m="1" x="618"/>
        <item x="295"/>
        <item x="296"/>
        <item x="297"/>
        <item x="298"/>
        <item x="299"/>
        <item x="300"/>
        <item x="301"/>
        <item x="302"/>
        <item x="303"/>
        <item x="294"/>
        <item x="305"/>
        <item x="306"/>
        <item x="307"/>
        <item x="308"/>
        <item x="309"/>
        <item x="310"/>
        <item x="311"/>
        <item x="285"/>
        <item x="304"/>
        <item x="312"/>
        <item x="313"/>
        <item x="314"/>
        <item x="315"/>
        <item x="316"/>
        <item x="317"/>
        <item x="318"/>
        <item x="319"/>
        <item x="320"/>
        <item x="242"/>
        <item x="321"/>
        <item x="322"/>
        <item x="323"/>
        <item x="324"/>
        <item x="326"/>
        <item x="327"/>
        <item x="328"/>
        <item x="290"/>
        <item m="1" x="633"/>
        <item x="330"/>
        <item x="331"/>
        <item x="193"/>
        <item x="332"/>
        <item x="333"/>
        <item x="334"/>
        <item x="335"/>
        <item x="336"/>
        <item x="337"/>
        <item x="339"/>
        <item x="338"/>
        <item x="340"/>
        <item x="341"/>
        <item x="342"/>
        <item x="343"/>
        <item x="345"/>
        <item x="344"/>
        <item x="346"/>
        <item x="347"/>
        <item x="348"/>
        <item x="351"/>
        <item x="352"/>
        <item x="349"/>
        <item x="350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144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143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569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m="1" x="628"/>
        <item x="431"/>
        <item x="430"/>
        <item x="419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m="1" x="619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m="1" x="614"/>
        <item x="463"/>
        <item x="464"/>
        <item x="465"/>
        <item x="329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325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m="1" x="609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m="1" x="611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07"/>
        <item x="520"/>
        <item x="521"/>
        <item x="522"/>
        <item x="523"/>
        <item m="1" x="613"/>
        <item x="525"/>
        <item x="526"/>
        <item x="527"/>
        <item x="528"/>
        <item x="529"/>
        <item x="494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632"/>
        <item x="556"/>
        <item x="557"/>
        <item x="558"/>
        <item x="559"/>
        <item x="560"/>
        <item x="561"/>
        <item x="562"/>
        <item x="563"/>
        <item m="1" x="623"/>
        <item x="564"/>
        <item x="565"/>
        <item x="566"/>
        <item x="567"/>
        <item x="568"/>
        <item x="570"/>
        <item x="571"/>
        <item x="572"/>
        <item x="573"/>
        <item x="574"/>
        <item x="555"/>
        <item m="1" x="606"/>
        <item x="575"/>
        <item x="576"/>
        <item x="524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462"/>
        <item x="592"/>
        <item x="593"/>
        <item x="594"/>
        <item x="595"/>
        <item x="596"/>
        <item x="597"/>
        <item x="598"/>
        <item x="599"/>
        <item x="600"/>
        <item x="601"/>
        <item m="1" x="615"/>
        <item m="1" x="630"/>
        <item x="602"/>
        <item x="603"/>
        <item m="1" x="629"/>
        <item x="604"/>
        <item m="1" x="631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8">
        <item sd="0" x="0"/>
        <item sd="0" x="2"/>
        <item sd="0" x="1"/>
        <item sd="0" x="4"/>
        <item m="1" x="5"/>
        <item m="1" x="6"/>
        <item x="3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showAll="0">
      <items count="203">
        <item x="10"/>
        <item x="45"/>
        <item x="14"/>
        <item x="23"/>
        <item x="37"/>
        <item x="17"/>
        <item x="5"/>
        <item x="34"/>
        <item x="9"/>
        <item x="30"/>
        <item x="24"/>
        <item x="11"/>
        <item x="15"/>
        <item x="38"/>
        <item x="13"/>
        <item x="20"/>
        <item x="57"/>
        <item x="26"/>
        <item x="54"/>
        <item x="4"/>
        <item x="12"/>
        <item x="6"/>
        <item x="8"/>
        <item x="25"/>
        <item x="7"/>
        <item x="65"/>
        <item x="64"/>
        <item x="28"/>
        <item x="56"/>
        <item x="29"/>
        <item x="43"/>
        <item x="31"/>
        <item x="1"/>
        <item x="16"/>
        <item x="35"/>
        <item x="44"/>
        <item x="55"/>
        <item x="0"/>
        <item x="77"/>
        <item x="48"/>
        <item x="47"/>
        <item x="41"/>
        <item x="21"/>
        <item x="51"/>
        <item x="2"/>
        <item x="78"/>
        <item x="39"/>
        <item x="50"/>
        <item x="3"/>
        <item x="49"/>
        <item x="19"/>
        <item x="46"/>
        <item x="22"/>
        <item x="40"/>
        <item x="63"/>
        <item x="33"/>
        <item x="32"/>
        <item x="89"/>
        <item x="53"/>
        <item x="42"/>
        <item x="36"/>
        <item x="96"/>
        <item x="98"/>
        <item x="52"/>
        <item x="74"/>
        <item x="27"/>
        <item x="84"/>
        <item x="66"/>
        <item x="105"/>
        <item x="94"/>
        <item x="67"/>
        <item x="76"/>
        <item x="18"/>
        <item x="88"/>
        <item x="86"/>
        <item x="59"/>
        <item x="81"/>
        <item x="62"/>
        <item x="80"/>
        <item x="106"/>
        <item x="75"/>
        <item x="90"/>
        <item x="112"/>
        <item x="126"/>
        <item x="99"/>
        <item x="82"/>
        <item x="127"/>
        <item x="110"/>
        <item x="85"/>
        <item x="95"/>
        <item x="103"/>
        <item x="58"/>
        <item x="109"/>
        <item x="111"/>
        <item x="115"/>
        <item x="132"/>
        <item x="120"/>
        <item x="61"/>
        <item x="93"/>
        <item x="140"/>
        <item x="131"/>
        <item x="92"/>
        <item x="72"/>
        <item x="97"/>
        <item x="73"/>
        <item x="145"/>
        <item x="122"/>
        <item x="102"/>
        <item x="134"/>
        <item x="125"/>
        <item x="100"/>
        <item x="123"/>
        <item x="101"/>
        <item x="121"/>
        <item x="60"/>
        <item x="87"/>
        <item x="147"/>
        <item x="113"/>
        <item x="114"/>
        <item x="141"/>
        <item x="83"/>
        <item x="137"/>
        <item x="135"/>
        <item x="119"/>
        <item x="138"/>
        <item x="79"/>
        <item x="133"/>
        <item x="149"/>
        <item x="167"/>
        <item x="136"/>
        <item x="146"/>
        <item x="164"/>
        <item x="108"/>
        <item x="104"/>
        <item x="153"/>
        <item x="116"/>
        <item x="171"/>
        <item x="144"/>
        <item x="139"/>
        <item x="142"/>
        <item x="143"/>
        <item x="156"/>
        <item x="158"/>
        <item x="172"/>
        <item x="154"/>
        <item x="70"/>
        <item x="159"/>
        <item x="117"/>
        <item x="69"/>
        <item x="107"/>
        <item x="165"/>
        <item x="124"/>
        <item x="162"/>
        <item x="68"/>
        <item x="148"/>
        <item x="163"/>
        <item x="128"/>
        <item x="169"/>
        <item x="166"/>
        <item x="195"/>
        <item x="160"/>
        <item x="130"/>
        <item x="186"/>
        <item x="91"/>
        <item x="184"/>
        <item x="161"/>
        <item x="151"/>
        <item x="129"/>
        <item x="118"/>
        <item x="175"/>
        <item x="179"/>
        <item x="194"/>
        <item x="155"/>
        <item x="190"/>
        <item x="183"/>
        <item x="150"/>
        <item x="157"/>
        <item x="193"/>
        <item x="178"/>
        <item x="152"/>
        <item x="170"/>
        <item x="182"/>
        <item x="168"/>
        <item x="185"/>
        <item x="199"/>
        <item x="197"/>
        <item x="180"/>
        <item m="1" x="200"/>
        <item x="176"/>
        <item x="192"/>
        <item x="173"/>
        <item x="191"/>
        <item x="198"/>
        <item m="1" x="201"/>
        <item x="177"/>
        <item x="187"/>
        <item x="181"/>
        <item x="188"/>
        <item x="174"/>
        <item x="71"/>
        <item x="189"/>
        <item x="196"/>
        <item t="default"/>
      </items>
    </pivotField>
  </pivotFields>
  <rowFields count="3">
    <field x="12"/>
    <field x="2"/>
    <field x="5"/>
  </rowFields>
  <rowItems count="8">
    <i>
      <x/>
    </i>
    <i>
      <x v="1"/>
    </i>
    <i>
      <x v="2"/>
    </i>
    <i>
      <x v="3"/>
    </i>
    <i>
      <x v="6"/>
    </i>
    <i r="1">
      <x v="4"/>
    </i>
    <i r="2">
      <x v="61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5" hier="-1"/>
  </pageFields>
  <dataFields count="4">
    <dataField name="Počet z Předpokládaná hodnota VZ bez DPH" fld="11" subtotal="count" baseField="11" baseItem="0"/>
    <dataField name="Počet z Smlouva podepsána" fld="25" subtotal="count" baseField="0" baseItem="0"/>
    <dataField name="Součet z Předpokládaná hodnota VZ bez DPH" fld="11" baseField="0" baseItem="0" numFmtId="166"/>
    <dataField name="Počet z Smlouva podepsána2" fld="25" subtotal="count" baseField="0" baseItem="0"/>
  </dataFields>
  <formats count="14">
    <format dxfId="28">
      <pivotArea field="1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6">
      <pivotArea field="1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field="12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">
      <pivotArea type="all" dataOnly="0" outline="0" fieldPosition="0"/>
    </format>
    <format dxfId="21">
      <pivotArea outline="0" collapsedLevelsAreSubtotals="1" fieldPosition="0"/>
    </format>
    <format dxfId="20">
      <pivotArea field="12" type="button" dataOnly="0" labelOnly="1" outline="0" axis="axisRow" fieldPosition="0"/>
    </format>
    <format dxfId="19">
      <pivotArea dataOnly="0" labelOnly="1" fieldPosition="0">
        <references count="1">
          <reference field="12" count="0"/>
        </references>
      </pivotArea>
    </format>
    <format dxfId="18">
      <pivotArea dataOnly="0" labelOnly="1" grandRow="1" outline="0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46B1E1-9EF4-45FC-A749-9861263F5F09}" name="Kontingenční tabulka2" cacheId="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7" firstHeaderRow="0" firstDataRow="1" firstDataCol="1" rowPageCount="1" colPageCount="1"/>
  <pivotFields count="26">
    <pivotField showAll="0"/>
    <pivotField showAll="0"/>
    <pivotField axis="axisRow" showAll="0">
      <items count="28">
        <item x="1"/>
        <item x="4"/>
        <item sd="0" x="8"/>
        <item sd="0" x="5"/>
        <item sd="0" x="0"/>
        <item x="10"/>
        <item x="6"/>
        <item x="7"/>
        <item x="9"/>
        <item x="11"/>
        <item x="2"/>
        <item x="3"/>
        <item x="21"/>
        <item x="24"/>
        <item m="1" x="26"/>
        <item x="12"/>
        <item x="14"/>
        <item x="15"/>
        <item x="13"/>
        <item x="16"/>
        <item x="17"/>
        <item x="18"/>
        <item m="1" x="25"/>
        <item x="19"/>
        <item x="20"/>
        <item x="22"/>
        <item x="23"/>
        <item t="default"/>
      </items>
    </pivotField>
    <pivotField showAll="0"/>
    <pivotField showAll="0"/>
    <pivotField axis="axisRow" showAll="0">
      <items count="638">
        <item x="95"/>
        <item x="27"/>
        <item x="32"/>
        <item x="102"/>
        <item x="45"/>
        <item x="52"/>
        <item x="147"/>
        <item x="34"/>
        <item x="16"/>
        <item x="57"/>
        <item x="56"/>
        <item x="99"/>
        <item m="1" x="634"/>
        <item x="74"/>
        <item x="93"/>
        <item x="40"/>
        <item x="82"/>
        <item x="59"/>
        <item x="36"/>
        <item x="26"/>
        <item x="66"/>
        <item x="37"/>
        <item x="38"/>
        <item x="89"/>
        <item x="90"/>
        <item x="35"/>
        <item x="18"/>
        <item x="146"/>
        <item x="19"/>
        <item x="83"/>
        <item x="10"/>
        <item x="85"/>
        <item m="1" x="627"/>
        <item x="9"/>
        <item x="61"/>
        <item x="50"/>
        <item x="4"/>
        <item x="3"/>
        <item x="67"/>
        <item x="23"/>
        <item x="97"/>
        <item x="7"/>
        <item x="14"/>
        <item m="1" x="616"/>
        <item x="6"/>
        <item x="21"/>
        <item x="25"/>
        <item x="15"/>
        <item x="5"/>
        <item x="2"/>
        <item x="96"/>
        <item x="13"/>
        <item x="24"/>
        <item x="1"/>
        <item x="51"/>
        <item x="22"/>
        <item x="0"/>
        <item x="60"/>
        <item x="31"/>
        <item x="88"/>
        <item x="70"/>
        <item x="20"/>
        <item x="33"/>
        <item m="1" x="626"/>
        <item x="84"/>
        <item x="106"/>
        <item x="17"/>
        <item x="46"/>
        <item x="81"/>
        <item x="47"/>
        <item x="39"/>
        <item x="42"/>
        <item x="43"/>
        <item x="48"/>
        <item x="75"/>
        <item x="91"/>
        <item x="62"/>
        <item m="1" x="635"/>
        <item x="104"/>
        <item x="29"/>
        <item x="63"/>
        <item m="1" x="621"/>
        <item x="77"/>
        <item x="30"/>
        <item x="94"/>
        <item x="44"/>
        <item x="78"/>
        <item x="64"/>
        <item x="53"/>
        <item x="87"/>
        <item x="86"/>
        <item x="28"/>
        <item x="65"/>
        <item x="54"/>
        <item x="49"/>
        <item x="79"/>
        <item x="8"/>
        <item m="1" x="625"/>
        <item m="1" x="612"/>
        <item x="100"/>
        <item x="98"/>
        <item x="58"/>
        <item x="107"/>
        <item x="76"/>
        <item x="101"/>
        <item x="11"/>
        <item x="12"/>
        <item m="1" x="622"/>
        <item x="55"/>
        <item x="72"/>
        <item x="73"/>
        <item x="103"/>
        <item m="1" x="636"/>
        <item x="71"/>
        <item x="92"/>
        <item x="41"/>
        <item x="68"/>
        <item x="105"/>
        <item x="69"/>
        <item x="605"/>
        <item x="108"/>
        <item x="109"/>
        <item x="110"/>
        <item x="125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80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m="1" x="620"/>
        <item m="1" x="608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40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m="1" x="610"/>
        <item x="194"/>
        <item x="195"/>
        <item x="196"/>
        <item x="197"/>
        <item x="198"/>
        <item x="200"/>
        <item x="201"/>
        <item x="199"/>
        <item x="202"/>
        <item x="19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m="1" x="617"/>
        <item x="218"/>
        <item x="219"/>
        <item x="220"/>
        <item x="221"/>
        <item x="222"/>
        <item x="223"/>
        <item x="224"/>
        <item x="225"/>
        <item x="226"/>
        <item m="1" x="624"/>
        <item x="227"/>
        <item x="228"/>
        <item x="229"/>
        <item x="230"/>
        <item x="231"/>
        <item x="232"/>
        <item x="233"/>
        <item x="217"/>
        <item x="234"/>
        <item x="235"/>
        <item x="236"/>
        <item x="237"/>
        <item x="238"/>
        <item x="239"/>
        <item x="240"/>
        <item x="241"/>
        <item x="243"/>
        <item x="244"/>
        <item x="246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m="1" x="607"/>
        <item x="286"/>
        <item x="287"/>
        <item x="288"/>
        <item x="289"/>
        <item x="291"/>
        <item x="292"/>
        <item x="293"/>
        <item m="1" x="618"/>
        <item x="295"/>
        <item x="296"/>
        <item x="297"/>
        <item x="298"/>
        <item x="299"/>
        <item x="300"/>
        <item x="301"/>
        <item x="302"/>
        <item x="303"/>
        <item x="294"/>
        <item x="305"/>
        <item x="306"/>
        <item x="307"/>
        <item x="308"/>
        <item x="309"/>
        <item x="310"/>
        <item x="311"/>
        <item x="285"/>
        <item x="304"/>
        <item x="312"/>
        <item x="313"/>
        <item x="314"/>
        <item x="315"/>
        <item x="316"/>
        <item x="317"/>
        <item x="318"/>
        <item x="319"/>
        <item x="320"/>
        <item x="242"/>
        <item x="321"/>
        <item x="322"/>
        <item x="323"/>
        <item x="324"/>
        <item x="326"/>
        <item x="327"/>
        <item x="328"/>
        <item x="290"/>
        <item m="1" x="633"/>
        <item x="330"/>
        <item x="331"/>
        <item x="193"/>
        <item x="332"/>
        <item x="333"/>
        <item x="334"/>
        <item x="335"/>
        <item x="336"/>
        <item x="337"/>
        <item x="339"/>
        <item x="338"/>
        <item x="340"/>
        <item x="341"/>
        <item x="342"/>
        <item x="343"/>
        <item x="345"/>
        <item x="344"/>
        <item x="346"/>
        <item x="347"/>
        <item x="348"/>
        <item x="351"/>
        <item x="352"/>
        <item x="349"/>
        <item x="350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144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143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569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m="1" x="628"/>
        <item x="431"/>
        <item x="430"/>
        <item x="419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m="1" x="619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m="1" x="614"/>
        <item x="463"/>
        <item x="464"/>
        <item x="465"/>
        <item x="329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325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m="1" x="609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m="1" x="611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07"/>
        <item x="520"/>
        <item x="521"/>
        <item x="522"/>
        <item x="523"/>
        <item m="1" x="613"/>
        <item x="525"/>
        <item x="526"/>
        <item x="527"/>
        <item x="528"/>
        <item x="529"/>
        <item x="494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632"/>
        <item x="556"/>
        <item x="557"/>
        <item x="558"/>
        <item x="559"/>
        <item x="560"/>
        <item x="561"/>
        <item x="562"/>
        <item x="563"/>
        <item m="1" x="623"/>
        <item x="564"/>
        <item x="565"/>
        <item x="566"/>
        <item x="567"/>
        <item x="568"/>
        <item x="570"/>
        <item x="571"/>
        <item x="572"/>
        <item x="573"/>
        <item x="574"/>
        <item x="555"/>
        <item m="1" x="606"/>
        <item x="575"/>
        <item x="576"/>
        <item x="524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462"/>
        <item x="592"/>
        <item x="593"/>
        <item x="594"/>
        <item x="595"/>
        <item x="596"/>
        <item x="597"/>
        <item x="598"/>
        <item x="599"/>
        <item x="600"/>
        <item x="601"/>
        <item m="1" x="615"/>
        <item m="1" x="630"/>
        <item x="602"/>
        <item x="603"/>
        <item m="1" x="629"/>
        <item x="604"/>
        <item m="1" x="631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8">
        <item sd="0" x="0"/>
        <item sd="0" x="2"/>
        <item sd="0" x="1"/>
        <item sd="0" x="4"/>
        <item m="1" x="5"/>
        <item m="1" x="6"/>
        <item x="3"/>
        <item t="default" sd="0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03">
        <item h="1" x="10"/>
        <item x="45"/>
        <item x="14"/>
        <item x="23"/>
        <item x="37"/>
        <item x="17"/>
        <item x="5"/>
        <item x="34"/>
        <item x="9"/>
        <item x="30"/>
        <item x="24"/>
        <item x="11"/>
        <item x="15"/>
        <item x="38"/>
        <item x="13"/>
        <item x="20"/>
        <item x="57"/>
        <item x="26"/>
        <item x="54"/>
        <item x="4"/>
        <item x="12"/>
        <item x="6"/>
        <item x="8"/>
        <item x="25"/>
        <item x="7"/>
        <item x="65"/>
        <item x="64"/>
        <item x="28"/>
        <item x="56"/>
        <item x="29"/>
        <item x="43"/>
        <item x="31"/>
        <item x="1"/>
        <item x="16"/>
        <item x="35"/>
        <item x="44"/>
        <item x="55"/>
        <item x="0"/>
        <item x="77"/>
        <item x="48"/>
        <item x="47"/>
        <item x="41"/>
        <item x="21"/>
        <item x="51"/>
        <item x="2"/>
        <item x="78"/>
        <item x="39"/>
        <item x="50"/>
        <item x="3"/>
        <item x="49"/>
        <item x="19"/>
        <item x="46"/>
        <item x="22"/>
        <item x="40"/>
        <item x="63"/>
        <item x="33"/>
        <item x="32"/>
        <item x="89"/>
        <item x="53"/>
        <item x="42"/>
        <item x="36"/>
        <item x="96"/>
        <item x="98"/>
        <item x="52"/>
        <item x="74"/>
        <item x="27"/>
        <item x="84"/>
        <item x="66"/>
        <item x="105"/>
        <item x="94"/>
        <item x="67"/>
        <item x="76"/>
        <item x="18"/>
        <item x="88"/>
        <item x="86"/>
        <item x="59"/>
        <item x="81"/>
        <item x="62"/>
        <item x="80"/>
        <item x="106"/>
        <item x="75"/>
        <item x="90"/>
        <item x="112"/>
        <item x="126"/>
        <item x="99"/>
        <item x="82"/>
        <item x="127"/>
        <item x="110"/>
        <item x="85"/>
        <item x="95"/>
        <item x="103"/>
        <item x="58"/>
        <item x="109"/>
        <item x="111"/>
        <item x="115"/>
        <item x="132"/>
        <item x="120"/>
        <item x="61"/>
        <item x="93"/>
        <item x="140"/>
        <item x="131"/>
        <item x="92"/>
        <item x="72"/>
        <item x="97"/>
        <item x="73"/>
        <item x="145"/>
        <item x="122"/>
        <item x="102"/>
        <item x="134"/>
        <item x="125"/>
        <item x="100"/>
        <item x="123"/>
        <item x="101"/>
        <item x="121"/>
        <item x="60"/>
        <item x="87"/>
        <item x="147"/>
        <item x="113"/>
        <item x="114"/>
        <item x="141"/>
        <item x="83"/>
        <item x="137"/>
        <item x="135"/>
        <item x="119"/>
        <item x="138"/>
        <item x="79"/>
        <item x="133"/>
        <item x="149"/>
        <item x="167"/>
        <item x="136"/>
        <item x="146"/>
        <item x="164"/>
        <item x="108"/>
        <item x="104"/>
        <item x="153"/>
        <item x="116"/>
        <item x="171"/>
        <item x="144"/>
        <item x="139"/>
        <item x="142"/>
        <item x="143"/>
        <item x="156"/>
        <item x="158"/>
        <item x="172"/>
        <item x="154"/>
        <item x="70"/>
        <item x="159"/>
        <item x="117"/>
        <item x="69"/>
        <item x="107"/>
        <item x="165"/>
        <item x="124"/>
        <item x="162"/>
        <item x="68"/>
        <item x="148"/>
        <item x="163"/>
        <item x="128"/>
        <item x="169"/>
        <item x="166"/>
        <item x="195"/>
        <item x="160"/>
        <item x="130"/>
        <item x="186"/>
        <item x="91"/>
        <item x="184"/>
        <item x="161"/>
        <item x="151"/>
        <item x="129"/>
        <item x="118"/>
        <item x="175"/>
        <item x="179"/>
        <item x="194"/>
        <item x="155"/>
        <item x="190"/>
        <item x="183"/>
        <item x="150"/>
        <item x="157"/>
        <item x="193"/>
        <item x="178"/>
        <item x="152"/>
        <item x="170"/>
        <item x="182"/>
        <item x="168"/>
        <item x="185"/>
        <item x="199"/>
        <item x="197"/>
        <item x="180"/>
        <item m="1" x="200"/>
        <item x="176"/>
        <item x="192"/>
        <item x="173"/>
        <item x="191"/>
        <item x="198"/>
        <item m="1" x="201"/>
        <item x="177"/>
        <item x="187"/>
        <item x="181"/>
        <item x="188"/>
        <item x="174"/>
        <item x="71"/>
        <item x="189"/>
        <item x="196"/>
        <item t="default"/>
      </items>
    </pivotField>
  </pivotFields>
  <rowFields count="3">
    <field x="12"/>
    <field x="2"/>
    <field x="5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25" hier="-1"/>
  </pageFields>
  <dataFields count="2">
    <dataField name="Součet z Předpokládaná hodnota VZ bez DPH" fld="11" baseField="0" baseItem="0"/>
    <dataField name="Součet z Vítězná cena bez DPH" fld="18" baseField="0" baseItem="0"/>
  </dataFields>
  <formats count="3">
    <format dxfId="14">
      <pivotArea outline="0" collapsedLevelsAreSubtotals="1" fieldPosition="0"/>
    </format>
    <format dxfId="13">
      <pivotArea dataOnly="0" labelOnly="1" outline="0" fieldPosition="0">
        <references count="1">
          <reference field="25" count="0"/>
        </references>
      </pivotArea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5B1A8A-4FF4-443F-A7C6-A916F6498C41}" name="Kontingenční tabulka2" cacheId="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9" firstHeaderRow="0" firstDataRow="1" firstDataCol="1" rowPageCount="1" colPageCount="1"/>
  <pivotFields count="26">
    <pivotField showAll="0"/>
    <pivotField showAll="0"/>
    <pivotField axis="axisRow" showAll="0">
      <items count="20">
        <item sd="0" x="3"/>
        <item sd="0" x="0"/>
        <item sd="0" x="1"/>
        <item x="4"/>
        <item sd="0" x="5"/>
        <item x="2"/>
        <item x="16"/>
        <item m="1" x="17"/>
        <item x="7"/>
        <item x="6"/>
        <item x="8"/>
        <item m="1" x="18"/>
        <item x="10"/>
        <item x="11"/>
        <item x="12"/>
        <item x="13"/>
        <item x="15"/>
        <item x="9"/>
        <item x="14"/>
        <item t="default"/>
      </items>
    </pivotField>
    <pivotField showAll="0"/>
    <pivotField showAll="0"/>
    <pivotField axis="axisRow" showAll="0">
      <items count="510">
        <item x="12"/>
        <item x="22"/>
        <item x="28"/>
        <item x="8"/>
        <item x="24"/>
        <item x="23"/>
        <item x="19"/>
        <item x="25"/>
        <item x="20"/>
        <item x="21"/>
        <item x="10"/>
        <item x="17"/>
        <item x="15"/>
        <item x="13"/>
        <item x="18"/>
        <item x="14"/>
        <item x="27"/>
        <item x="6"/>
        <item x="2"/>
        <item x="11"/>
        <item x="7"/>
        <item x="3"/>
        <item m="1" x="500"/>
        <item x="4"/>
        <item x="26"/>
        <item x="9"/>
        <item x="5"/>
        <item x="16"/>
        <item x="496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m="1" x="502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497"/>
        <item x="60"/>
        <item x="61"/>
        <item x="62"/>
        <item x="63"/>
        <item x="64"/>
        <item x="65"/>
        <item m="1" x="499"/>
        <item x="66"/>
        <item x="67"/>
        <item x="68"/>
        <item x="69"/>
        <item x="72"/>
        <item x="70"/>
        <item x="73"/>
        <item x="74"/>
        <item x="71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76"/>
        <item x="90"/>
        <item x="91"/>
        <item x="92"/>
        <item x="93"/>
        <item x="94"/>
        <item x="95"/>
        <item x="96"/>
        <item x="97"/>
        <item x="100"/>
        <item x="98"/>
        <item x="102"/>
        <item x="103"/>
        <item x="104"/>
        <item x="105"/>
        <item x="106"/>
        <item x="108"/>
        <item x="109"/>
        <item x="110"/>
        <item x="111"/>
        <item x="113"/>
        <item x="99"/>
        <item x="101"/>
        <item x="107"/>
        <item x="114"/>
        <item x="115"/>
        <item x="116"/>
        <item x="117"/>
        <item x="118"/>
        <item x="119"/>
        <item x="124"/>
        <item x="112"/>
        <item x="120"/>
        <item x="127"/>
        <item x="121"/>
        <item x="123"/>
        <item m="1" x="508"/>
        <item x="129"/>
        <item x="130"/>
        <item x="133"/>
        <item x="122"/>
        <item x="126"/>
        <item x="131"/>
        <item x="134"/>
        <item x="135"/>
        <item x="137"/>
        <item x="138"/>
        <item x="139"/>
        <item m="1" x="505"/>
        <item x="140"/>
        <item x="141"/>
        <item x="142"/>
        <item x="143"/>
        <item x="145"/>
        <item x="146"/>
        <item x="148"/>
        <item x="150"/>
        <item x="151"/>
        <item x="149"/>
        <item x="152"/>
        <item x="144"/>
        <item x="153"/>
        <item x="155"/>
        <item x="156"/>
        <item x="128"/>
        <item x="157"/>
        <item x="147"/>
        <item x="159"/>
        <item x="160"/>
        <item x="161"/>
        <item x="162"/>
        <item x="164"/>
        <item x="165"/>
        <item x="163"/>
        <item x="136"/>
        <item x="158"/>
        <item x="166"/>
        <item x="167"/>
        <item x="168"/>
        <item x="169"/>
        <item x="171"/>
        <item x="172"/>
        <item x="173"/>
        <item x="175"/>
        <item x="176"/>
        <item x="174"/>
        <item x="177"/>
        <item x="178"/>
        <item x="170"/>
        <item x="179"/>
        <item x="180"/>
        <item x="181"/>
        <item x="182"/>
        <item x="183"/>
        <item x="185"/>
        <item x="184"/>
        <item x="125"/>
        <item x="187"/>
        <item x="189"/>
        <item x="191"/>
        <item x="192"/>
        <item x="196"/>
        <item x="193"/>
        <item x="194"/>
        <item x="197"/>
        <item x="190"/>
        <item x="199"/>
        <item x="200"/>
        <item x="201"/>
        <item x="202"/>
        <item x="198"/>
        <item x="204"/>
        <item x="205"/>
        <item x="206"/>
        <item m="1" x="506"/>
        <item x="203"/>
        <item x="207"/>
        <item x="210"/>
        <item x="209"/>
        <item x="211"/>
        <item x="213"/>
        <item x="216"/>
        <item x="217"/>
        <item x="214"/>
        <item x="218"/>
        <item x="219"/>
        <item x="220"/>
        <item x="212"/>
        <item x="221"/>
        <item x="223"/>
        <item x="224"/>
        <item x="225"/>
        <item x="188"/>
        <item x="228"/>
        <item x="229"/>
        <item x="186"/>
        <item x="231"/>
        <item x="227"/>
        <item x="230"/>
        <item x="1"/>
        <item x="232"/>
        <item x="233"/>
        <item x="235"/>
        <item x="237"/>
        <item x="226"/>
        <item x="236"/>
        <item x="239"/>
        <item x="241"/>
        <item x="222"/>
        <item x="242"/>
        <item x="234"/>
        <item x="244"/>
        <item x="243"/>
        <item x="245"/>
        <item x="247"/>
        <item x="246"/>
        <item m="1" x="503"/>
        <item x="250"/>
        <item x="238"/>
        <item x="248"/>
        <item x="251"/>
        <item x="208"/>
        <item x="254"/>
        <item x="256"/>
        <item x="259"/>
        <item x="240"/>
        <item x="252"/>
        <item x="255"/>
        <item x="260"/>
        <item x="261"/>
        <item x="262"/>
        <item x="264"/>
        <item x="266"/>
        <item x="154"/>
        <item x="249"/>
        <item x="257"/>
        <item x="270"/>
        <item x="271"/>
        <item x="263"/>
        <item x="272"/>
        <item x="276"/>
        <item x="267"/>
        <item x="268"/>
        <item x="253"/>
        <item x="269"/>
        <item x="273"/>
        <item x="275"/>
        <item x="277"/>
        <item x="278"/>
        <item x="280"/>
        <item x="195"/>
        <item x="265"/>
        <item x="215"/>
        <item x="281"/>
        <item x="282"/>
        <item x="274"/>
        <item x="279"/>
        <item x="285"/>
        <item x="284"/>
        <item x="258"/>
        <item x="288"/>
        <item x="287"/>
        <item x="291"/>
        <item x="286"/>
        <item x="292"/>
        <item x="290"/>
        <item x="295"/>
        <item x="294"/>
        <item x="296"/>
        <item x="298"/>
        <item x="0"/>
        <item x="132"/>
        <item x="297"/>
        <item x="293"/>
        <item x="299"/>
        <item x="303"/>
        <item x="304"/>
        <item x="300"/>
        <item x="301"/>
        <item x="302"/>
        <item x="305"/>
        <item x="306"/>
        <item x="307"/>
        <item x="308"/>
        <item x="311"/>
        <item x="289"/>
        <item x="309"/>
        <item x="310"/>
        <item x="312"/>
        <item x="313"/>
        <item x="314"/>
        <item x="316"/>
        <item x="317"/>
        <item x="318"/>
        <item x="319"/>
        <item x="320"/>
        <item x="321"/>
        <item x="323"/>
        <item x="325"/>
        <item m="1" x="498"/>
        <item x="327"/>
        <item x="328"/>
        <item x="329"/>
        <item x="330"/>
        <item x="332"/>
        <item x="334"/>
        <item x="336"/>
        <item x="337"/>
        <item x="338"/>
        <item x="339"/>
        <item x="340"/>
        <item x="342"/>
        <item x="326"/>
        <item x="331"/>
        <item x="333"/>
        <item x="343"/>
        <item x="324"/>
        <item x="345"/>
        <item x="346"/>
        <item x="344"/>
        <item x="315"/>
        <item x="348"/>
        <item x="335"/>
        <item x="322"/>
        <item x="347"/>
        <item x="349"/>
        <item x="351"/>
        <item x="352"/>
        <item x="353"/>
        <item x="354"/>
        <item x="355"/>
        <item x="358"/>
        <item x="357"/>
        <item x="341"/>
        <item x="350"/>
        <item x="359"/>
        <item x="366"/>
        <item x="367"/>
        <item x="368"/>
        <item x="371"/>
        <item x="373"/>
        <item x="374"/>
        <item x="283"/>
        <item x="376"/>
        <item m="1" x="501"/>
        <item x="378"/>
        <item x="381"/>
        <item x="380"/>
        <item x="383"/>
        <item m="1" x="504"/>
        <item x="364"/>
        <item x="365"/>
        <item x="370"/>
        <item x="372"/>
        <item x="379"/>
        <item x="384"/>
        <item x="385"/>
        <item x="360"/>
        <item x="386"/>
        <item x="388"/>
        <item x="362"/>
        <item x="375"/>
        <item x="377"/>
        <item x="389"/>
        <item x="393"/>
        <item x="356"/>
        <item x="395"/>
        <item x="397"/>
        <item x="400"/>
        <item x="369"/>
        <item x="391"/>
        <item x="392"/>
        <item x="394"/>
        <item x="396"/>
        <item x="399"/>
        <item x="402"/>
        <item m="1" x="507"/>
        <item x="398"/>
        <item x="408"/>
        <item x="363"/>
        <item x="409"/>
        <item x="411"/>
        <item x="412"/>
        <item x="403"/>
        <item x="405"/>
        <item x="413"/>
        <item x="390"/>
        <item x="414"/>
        <item x="416"/>
        <item x="418"/>
        <item x="420"/>
        <item x="406"/>
        <item x="410"/>
        <item x="415"/>
        <item x="417"/>
        <item x="404"/>
        <item x="421"/>
        <item x="422"/>
        <item x="423"/>
        <item x="424"/>
        <item x="425"/>
        <item x="361"/>
        <item x="427"/>
        <item x="428"/>
        <item x="429"/>
        <item x="430"/>
        <item x="431"/>
        <item x="426"/>
        <item x="435"/>
        <item x="432"/>
        <item x="434"/>
        <item x="437"/>
        <item x="438"/>
        <item x="439"/>
        <item x="407"/>
        <item x="419"/>
        <item x="433"/>
        <item x="436"/>
        <item x="441"/>
        <item x="440"/>
        <item x="445"/>
        <item x="446"/>
        <item x="382"/>
        <item x="442"/>
        <item x="443"/>
        <item x="444"/>
        <item x="447"/>
        <item x="454"/>
        <item x="453"/>
        <item x="452"/>
        <item x="456"/>
        <item x="448"/>
        <item x="449"/>
        <item x="450"/>
        <item x="451"/>
        <item x="455"/>
        <item x="458"/>
        <item x="459"/>
        <item x="460"/>
        <item x="462"/>
        <item x="463"/>
        <item x="466"/>
        <item x="467"/>
        <item x="464"/>
        <item x="461"/>
        <item x="465"/>
        <item x="473"/>
        <item x="474"/>
        <item x="469"/>
        <item x="470"/>
        <item x="478"/>
        <item x="479"/>
        <item x="480"/>
        <item x="482"/>
        <item x="387"/>
        <item x="471"/>
        <item x="477"/>
        <item x="483"/>
        <item x="484"/>
        <item x="476"/>
        <item x="481"/>
        <item x="485"/>
        <item x="486"/>
        <item x="457"/>
        <item x="468"/>
        <item x="472"/>
        <item x="475"/>
        <item x="487"/>
        <item x="489"/>
        <item x="488"/>
        <item x="494"/>
        <item x="401"/>
        <item x="490"/>
        <item x="491"/>
        <item x="492"/>
        <item x="493"/>
        <item x="495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8">
        <item sd="0" x="0"/>
        <item sd="0" x="1"/>
        <item sd="0" x="2"/>
        <item sd="0" x="6"/>
        <item sd="0" x="3"/>
        <item sd="0" x="4"/>
        <item sd="0" x="5"/>
        <item t="default" sd="0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6">
        <item h="1" x="2"/>
        <item x="9"/>
        <item x="4"/>
        <item x="17"/>
        <item x="8"/>
        <item x="23"/>
        <item x="16"/>
        <item x="13"/>
        <item x="29"/>
        <item x="12"/>
        <item x="25"/>
        <item x="24"/>
        <item x="11"/>
        <item x="34"/>
        <item x="15"/>
        <item x="36"/>
        <item x="31"/>
        <item x="35"/>
        <item x="21"/>
        <item x="14"/>
        <item x="41"/>
        <item x="47"/>
        <item x="28"/>
        <item x="22"/>
        <item x="18"/>
        <item x="3"/>
        <item x="30"/>
        <item x="7"/>
        <item x="50"/>
        <item x="44"/>
        <item x="26"/>
        <item x="56"/>
        <item x="42"/>
        <item x="40"/>
        <item x="20"/>
        <item x="19"/>
        <item x="38"/>
        <item x="1"/>
        <item x="33"/>
        <item x="64"/>
        <item x="6"/>
        <item x="5"/>
        <item x="39"/>
        <item x="51"/>
        <item x="52"/>
        <item x="79"/>
        <item x="49"/>
        <item x="46"/>
        <item x="57"/>
        <item x="53"/>
        <item x="71"/>
        <item x="48"/>
        <item x="66"/>
        <item x="62"/>
        <item x="78"/>
        <item x="84"/>
        <item x="55"/>
        <item x="85"/>
        <item x="37"/>
        <item x="91"/>
        <item x="58"/>
        <item x="59"/>
        <item x="69"/>
        <item x="89"/>
        <item x="81"/>
        <item x="88"/>
        <item x="43"/>
        <item x="96"/>
        <item x="92"/>
        <item x="60"/>
        <item x="65"/>
        <item x="61"/>
        <item x="76"/>
        <item x="32"/>
        <item x="101"/>
        <item x="98"/>
        <item x="54"/>
        <item x="90"/>
        <item x="74"/>
        <item x="100"/>
        <item x="97"/>
        <item x="10"/>
        <item x="72"/>
        <item x="80"/>
        <item x="70"/>
        <item x="27"/>
        <item x="82"/>
        <item x="63"/>
        <item x="73"/>
        <item x="93"/>
        <item x="87"/>
        <item x="75"/>
        <item x="86"/>
        <item x="83"/>
        <item x="45"/>
        <item x="67"/>
        <item x="99"/>
        <item x="77"/>
        <item m="1" x="104"/>
        <item x="103"/>
        <item x="94"/>
        <item x="102"/>
        <item x="95"/>
        <item x="0"/>
        <item x="68"/>
        <item t="default"/>
      </items>
    </pivotField>
  </pivotFields>
  <rowFields count="3">
    <field x="12"/>
    <field x="2"/>
    <field x="5"/>
  </rowFields>
  <rowItems count="6">
    <i>
      <x/>
    </i>
    <i>
      <x v="1"/>
    </i>
    <i>
      <x v="2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25" hier="-1"/>
  </pageFields>
  <dataFields count="2">
    <dataField name="Součet z Předpokládaná hodnota VZ bez DPH" fld="11" baseField="0" baseItem="0"/>
    <dataField name="Součet z Vítězná cena bez DPH" fld="18" baseField="0" baseItem="0"/>
  </dataFields>
  <formats count="3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25" count="0"/>
        </references>
      </pivotArea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í tabulka 1" cacheId="0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4:E14" firstHeaderRow="1" firstDataRow="2" firstDataCol="1" rowPageCount="1" colPageCount="1"/>
  <pivotFields count="14">
    <pivotField showAll="0"/>
    <pivotField showAll="0"/>
    <pivotField showAll="0"/>
    <pivotField axis="axisRow" showAll="0">
      <items count="369">
        <item x="197"/>
        <item x="78"/>
        <item x="79"/>
        <item x="16"/>
        <item x="17"/>
        <item x="18"/>
        <item x="207"/>
        <item x="208"/>
        <item x="209"/>
        <item x="210"/>
        <item x="215"/>
        <item x="211"/>
        <item x="212"/>
        <item x="213"/>
        <item x="214"/>
        <item x="216"/>
        <item x="218"/>
        <item x="219"/>
        <item x="220"/>
        <item x="221"/>
        <item x="222"/>
        <item x="223"/>
        <item x="224"/>
        <item x="217"/>
        <item x="225"/>
        <item x="226"/>
        <item x="227"/>
        <item x="228"/>
        <item x="233"/>
        <item x="229"/>
        <item x="230"/>
        <item x="231"/>
        <item x="232"/>
        <item x="234"/>
        <item x="235"/>
        <item m="1" x="362"/>
        <item x="90"/>
        <item x="180"/>
        <item x="34"/>
        <item x="31"/>
        <item x="57"/>
        <item x="46"/>
        <item x="14"/>
        <item x="245"/>
        <item x="4"/>
        <item x="21"/>
        <item x="11"/>
        <item x="32"/>
        <item x="80"/>
        <item x="12"/>
        <item x="205"/>
        <item x="114"/>
        <item x="253"/>
        <item x="178"/>
        <item x="150"/>
        <item x="158"/>
        <item x="255"/>
        <item x="24"/>
        <item x="298"/>
        <item x="69"/>
        <item x="202"/>
        <item x="296"/>
        <item x="288"/>
        <item x="204"/>
        <item x="183"/>
        <item x="151"/>
        <item x="10"/>
        <item x="191"/>
        <item x="8"/>
        <item x="246"/>
        <item x="42"/>
        <item x="260"/>
        <item x="72"/>
        <item x="122"/>
        <item x="290"/>
        <item x="82"/>
        <item x="81"/>
        <item x="105"/>
        <item x="160"/>
        <item x="186"/>
        <item x="70"/>
        <item x="47"/>
        <item x="48"/>
        <item x="49"/>
        <item x="50"/>
        <item x="51"/>
        <item x="52"/>
        <item x="53"/>
        <item x="54"/>
        <item x="133"/>
        <item x="134"/>
        <item x="135"/>
        <item x="136"/>
        <item x="141"/>
        <item x="137"/>
        <item x="138"/>
        <item x="139"/>
        <item x="140"/>
        <item x="142"/>
        <item x="164"/>
        <item x="165"/>
        <item x="166"/>
        <item x="167"/>
        <item x="172"/>
        <item x="168"/>
        <item x="169"/>
        <item x="170"/>
        <item x="171"/>
        <item x="173"/>
        <item x="174"/>
        <item m="1" x="349"/>
        <item x="19"/>
        <item x="109"/>
        <item m="1" x="346"/>
        <item x="179"/>
        <item x="175"/>
        <item x="176"/>
        <item x="177"/>
        <item x="294"/>
        <item x="295"/>
        <item x="190"/>
        <item x="0"/>
        <item x="94"/>
        <item x="95"/>
        <item x="297"/>
        <item x="73"/>
        <item x="102"/>
        <item x="93"/>
        <item x="147"/>
        <item x="148"/>
        <item x="149"/>
        <item x="236"/>
        <item x="237"/>
        <item x="259"/>
        <item x="98"/>
        <item x="71"/>
        <item x="3"/>
        <item x="192"/>
        <item x="193"/>
        <item x="112"/>
        <item x="206"/>
        <item x="13"/>
        <item x="38"/>
        <item x="89"/>
        <item x="124"/>
        <item x="125"/>
        <item x="126"/>
        <item x="127"/>
        <item x="128"/>
        <item x="143"/>
        <item x="144"/>
        <item x="145"/>
        <item x="146"/>
        <item x="86"/>
        <item x="258"/>
        <item x="61"/>
        <item x="77"/>
        <item x="201"/>
        <item x="291"/>
        <item x="29"/>
        <item x="83"/>
        <item x="26"/>
        <item x="27"/>
        <item x="33"/>
        <item x="28"/>
        <item x="248"/>
        <item x="130"/>
        <item x="131"/>
        <item x="132"/>
        <item x="292"/>
        <item x="58"/>
        <item x="189"/>
        <item x="252"/>
        <item x="162"/>
        <item x="194"/>
        <item x="116"/>
        <item x="129"/>
        <item x="45"/>
        <item x="66"/>
        <item x="59"/>
        <item x="251"/>
        <item x="286"/>
        <item x="108"/>
        <item x="23"/>
        <item x="97"/>
        <item x="76"/>
        <item m="1" x="358"/>
        <item x="7"/>
        <item x="40"/>
        <item x="96"/>
        <item x="35"/>
        <item x="74"/>
        <item x="9"/>
        <item x="289"/>
        <item x="185"/>
        <item x="249"/>
        <item x="250"/>
        <item x="262"/>
        <item x="88"/>
        <item x="123"/>
        <item x="84"/>
        <item x="85"/>
        <item x="25"/>
        <item x="37"/>
        <item x="91"/>
        <item x="198"/>
        <item x="159"/>
        <item x="106"/>
        <item x="63"/>
        <item x="87"/>
        <item x="195"/>
        <item x="254"/>
        <item x="15"/>
        <item x="111"/>
        <item x="199"/>
        <item x="99"/>
        <item x="113"/>
        <item x="152"/>
        <item x="153"/>
        <item x="154"/>
        <item x="155"/>
        <item x="156"/>
        <item x="157"/>
        <item x="187"/>
        <item x="188"/>
        <item x="238"/>
        <item x="55"/>
        <item x="5"/>
        <item x="6"/>
        <item x="1"/>
        <item x="163"/>
        <item x="2"/>
        <item x="103"/>
        <item x="104"/>
        <item m="1" x="355"/>
        <item x="285"/>
        <item x="239"/>
        <item x="92"/>
        <item x="39"/>
        <item x="300"/>
        <item x="67"/>
        <item x="244"/>
        <item x="41"/>
        <item x="203"/>
        <item x="257"/>
        <item x="121"/>
        <item x="60"/>
        <item x="261"/>
        <item x="287"/>
        <item x="36"/>
        <item x="65"/>
        <item x="299"/>
        <item x="117"/>
        <item x="181"/>
        <item x="182"/>
        <item x="43"/>
        <item x="44"/>
        <item x="247"/>
        <item x="56"/>
        <item x="200"/>
        <item x="184"/>
        <item x="293"/>
        <item x="161"/>
        <item x="62"/>
        <item x="284"/>
        <item x="256"/>
        <item x="22"/>
        <item x="68"/>
        <item x="101"/>
        <item x="107"/>
        <item x="20"/>
        <item x="243"/>
        <item x="283"/>
        <item x="196"/>
        <item x="115"/>
        <item x="301"/>
        <item x="64"/>
        <item x="100"/>
        <item x="110"/>
        <item x="30"/>
        <item x="119"/>
        <item x="120"/>
        <item x="118"/>
        <item x="343"/>
        <item x="302"/>
        <item x="303"/>
        <item x="304"/>
        <item x="305"/>
        <item m="1" x="350"/>
        <item m="1" x="361"/>
        <item m="1" x="344"/>
        <item m="1" x="363"/>
        <item m="1" x="359"/>
        <item m="1" x="366"/>
        <item m="1" x="347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263"/>
        <item x="264"/>
        <item x="265"/>
        <item m="1" x="367"/>
        <item m="1" x="348"/>
        <item x="317"/>
        <item x="318"/>
        <item x="319"/>
        <item m="1" x="356"/>
        <item x="321"/>
        <item x="75"/>
        <item m="1" x="345"/>
        <item m="1" x="360"/>
        <item x="322"/>
        <item x="323"/>
        <item x="324"/>
        <item x="325"/>
        <item m="1" x="354"/>
        <item x="329"/>
        <item x="330"/>
        <item x="331"/>
        <item x="332"/>
        <item x="333"/>
        <item x="334"/>
        <item x="335"/>
        <item m="1" x="364"/>
        <item m="1" x="352"/>
        <item m="1" x="351"/>
        <item m="1" x="353"/>
        <item m="1" x="357"/>
        <item m="1" x="365"/>
        <item x="320"/>
        <item x="326"/>
        <item x="327"/>
        <item x="328"/>
        <item x="336"/>
        <item x="337"/>
        <item x="338"/>
        <item x="339"/>
        <item x="340"/>
        <item x="341"/>
        <item x="342"/>
        <item x="240"/>
        <item x="241"/>
        <item x="242"/>
        <item x="266"/>
        <item x="267"/>
        <item x="268"/>
        <item t="default"/>
      </items>
    </pivotField>
    <pivotField showAll="0"/>
    <pivotField showAll="0"/>
    <pivotField dataField="1" showAll="0"/>
    <pivotField axis="axisRow" showAll="0">
      <items count="10">
        <item sd="0" x="4"/>
        <item sd="0" x="2"/>
        <item sd="0" x="7"/>
        <item sd="0" x="6"/>
        <item sd="0" x="1"/>
        <item sd="0" x="5"/>
        <item sd="0" x="3"/>
        <item sd="0" x="0"/>
        <item sd="0" x="8"/>
        <item t="default"/>
      </items>
    </pivotField>
    <pivotField showAll="0"/>
    <pivotField showAll="0"/>
    <pivotField multipleItemSelectionAllowed="1" showAll="0"/>
    <pivotField dataField="1" showAll="0"/>
    <pivotField showAll="0"/>
    <pivotField axis="axisPage" dataField="1" multipleItemSelectionAllowed="1" showAll="0">
      <items count="109">
        <item h="1" x="29"/>
        <item h="1" x="9"/>
        <item x="4"/>
        <item x="12"/>
        <item x="14"/>
        <item x="10"/>
        <item x="3"/>
        <item x="15"/>
        <item x="18"/>
        <item x="2"/>
        <item x="13"/>
        <item x="6"/>
        <item x="7"/>
        <item x="20"/>
        <item x="19"/>
        <item x="5"/>
        <item x="28"/>
        <item x="11"/>
        <item x="24"/>
        <item x="21"/>
        <item x="23"/>
        <item x="32"/>
        <item x="31"/>
        <item x="26"/>
        <item x="30"/>
        <item x="25"/>
        <item x="39"/>
        <item x="43"/>
        <item x="36"/>
        <item x="35"/>
        <item x="37"/>
        <item x="44"/>
        <item x="41"/>
        <item x="38"/>
        <item x="49"/>
        <item x="40"/>
        <item x="17"/>
        <item x="60"/>
        <item x="50"/>
        <item x="59"/>
        <item x="22"/>
        <item x="61"/>
        <item x="58"/>
        <item x="45"/>
        <item x="57"/>
        <item x="0"/>
        <item x="42"/>
        <item x="46"/>
        <item x="63"/>
        <item x="54"/>
        <item x="47"/>
        <item x="72"/>
        <item x="52"/>
        <item x="51"/>
        <item x="74"/>
        <item x="71"/>
        <item x="79"/>
        <item x="27"/>
        <item x="85"/>
        <item x="73"/>
        <item x="78"/>
        <item x="48"/>
        <item x="84"/>
        <item x="83"/>
        <item x="81"/>
        <item x="8"/>
        <item x="69"/>
        <item x="92"/>
        <item x="82"/>
        <item x="70"/>
        <item x="91"/>
        <item x="98"/>
        <item x="62"/>
        <item x="87"/>
        <item x="53"/>
        <item x="95"/>
        <item x="65"/>
        <item x="93"/>
        <item x="33"/>
        <item x="94"/>
        <item x="101"/>
        <item x="86"/>
        <item x="1"/>
        <item x="67"/>
        <item x="88"/>
        <item x="34"/>
        <item x="68"/>
        <item x="80"/>
        <item x="66"/>
        <item x="75"/>
        <item x="64"/>
        <item x="97"/>
        <item x="76"/>
        <item x="77"/>
        <item x="99"/>
        <item x="102"/>
        <item x="106"/>
        <item x="103"/>
        <item x="16"/>
        <item x="89"/>
        <item x="96"/>
        <item x="100"/>
        <item x="90"/>
        <item x="55"/>
        <item x="104"/>
        <item x="107"/>
        <item x="56"/>
        <item x="105"/>
        <item t="default"/>
      </items>
    </pivotField>
  </pivotFields>
  <rowFields count="2">
    <field x="7"/>
    <field x="3"/>
  </rowFields>
  <rowItems count="9">
    <i>
      <x/>
    </i>
    <i>
      <x v="1"/>
    </i>
    <i>
      <x v="2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3" hier="-1"/>
  </pageFields>
  <dataFields count="4">
    <dataField name="Počet z Předpokládaná hodnota VZ bez DPH" fld="6" subtotal="count" baseField="0" baseItem="0"/>
    <dataField name="Počet z Smlouva podepsána" fld="13" subtotal="count" baseField="0" baseItem="0"/>
    <dataField name="Součet z Předpokládaná hodnota VZ bez DPH2" fld="6" baseField="0" baseItem="0" numFmtId="7"/>
    <dataField name="Součet z Vítězná cena bez DPH" fld="11" baseField="0" baseItem="0" numFmtId="164"/>
  </dataFields>
  <formats count="13">
    <format dxfId="15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52">
      <pivotArea field="7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0">
      <pivotArea field="7" type="button" dataOnly="0" labelOnly="1" outline="0" axis="axisRow" fieldPosition="0"/>
    </format>
    <format dxfId="1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8">
      <pivotArea field="7" type="button" dataOnly="0" labelOnly="1" outline="0" axis="axisRow" fieldPosition="0"/>
    </format>
    <format dxfId="1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45">
      <pivotArea outline="0" collapsedLevelsAreSubtotals="1" fieldPosition="0"/>
    </format>
    <format dxfId="144">
      <pivotArea field="7" type="button" dataOnly="0" labelOnly="1" outline="0" axis="axisRow" fieldPosition="0"/>
    </format>
    <format dxfId="143">
      <pivotArea dataOnly="0" labelOnly="1" fieldPosition="0">
        <references count="1">
          <reference field="7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142">
      <pivotArea dataOnly="0" labelOnly="1" grandRow="1" outline="0" fieldPosition="0"/>
    </format>
    <format dxfId="1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1EC684-E953-46D2-82F3-C5BC080D79FA}" name="Kontingenční tabulka1" cacheId="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N36:P53" firstHeaderRow="1" firstDataRow="1" firstDataCol="0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757630-1681-4312-8EAD-A8B98ABA4AD1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D12" firstHeaderRow="0" firstDataRow="1" firstDataCol="1" rowPageCount="1" colPageCount="1"/>
  <pivotFields count="28">
    <pivotField showAll="0"/>
    <pivotField showAll="0"/>
    <pivotField axis="axisRow" showAll="0">
      <items count="22">
        <item m="1" x="17"/>
        <item x="16"/>
        <item x="2"/>
        <item m="1" x="18"/>
        <item x="0"/>
        <item x="1"/>
        <item x="3"/>
        <item x="4"/>
        <item x="5"/>
        <item m="1" x="19"/>
        <item x="7"/>
        <item x="6"/>
        <item x="8"/>
        <item m="1" x="20"/>
        <item x="10"/>
        <item x="11"/>
        <item x="12"/>
        <item x="13"/>
        <item x="15"/>
        <item x="9"/>
        <item x="14"/>
        <item t="default"/>
      </items>
    </pivotField>
    <pivotField showAll="0"/>
    <pivotField showAll="0"/>
    <pivotField axis="axisRow" showAll="0">
      <items count="511">
        <item x="4"/>
        <item x="496"/>
        <item x="5"/>
        <item x="6"/>
        <item x="7"/>
        <item x="8"/>
        <item x="9"/>
        <item x="10"/>
        <item x="11"/>
        <item m="1" x="500"/>
        <item x="2"/>
        <item x="3"/>
        <item x="12"/>
        <item x="13"/>
        <item x="14"/>
        <item x="15"/>
        <item x="16"/>
        <item x="17"/>
        <item m="1" x="509"/>
        <item x="19"/>
        <item x="20"/>
        <item x="21"/>
        <item x="22"/>
        <item x="18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m="1" x="502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497"/>
        <item x="60"/>
        <item x="61"/>
        <item x="62"/>
        <item x="63"/>
        <item x="64"/>
        <item x="65"/>
        <item m="1" x="499"/>
        <item x="66"/>
        <item x="67"/>
        <item x="68"/>
        <item x="69"/>
        <item x="72"/>
        <item x="70"/>
        <item x="73"/>
        <item x="74"/>
        <item x="71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76"/>
        <item x="90"/>
        <item x="91"/>
        <item x="92"/>
        <item x="93"/>
        <item x="94"/>
        <item x="95"/>
        <item x="96"/>
        <item x="97"/>
        <item x="100"/>
        <item x="98"/>
        <item x="102"/>
        <item x="103"/>
        <item x="104"/>
        <item x="105"/>
        <item x="106"/>
        <item x="108"/>
        <item x="109"/>
        <item x="110"/>
        <item x="111"/>
        <item x="113"/>
        <item x="99"/>
        <item x="101"/>
        <item x="107"/>
        <item x="114"/>
        <item x="115"/>
        <item x="116"/>
        <item x="117"/>
        <item x="118"/>
        <item x="119"/>
        <item x="124"/>
        <item x="112"/>
        <item x="120"/>
        <item x="127"/>
        <item x="121"/>
        <item x="123"/>
        <item m="1" x="508"/>
        <item x="129"/>
        <item x="130"/>
        <item x="133"/>
        <item x="122"/>
        <item x="126"/>
        <item x="131"/>
        <item x="134"/>
        <item x="135"/>
        <item x="137"/>
        <item x="138"/>
        <item x="139"/>
        <item m="1" x="505"/>
        <item x="140"/>
        <item x="141"/>
        <item x="142"/>
        <item x="143"/>
        <item x="145"/>
        <item x="146"/>
        <item x="148"/>
        <item x="150"/>
        <item x="151"/>
        <item x="149"/>
        <item x="152"/>
        <item x="144"/>
        <item x="153"/>
        <item x="155"/>
        <item x="156"/>
        <item x="128"/>
        <item x="157"/>
        <item x="147"/>
        <item x="159"/>
        <item x="160"/>
        <item x="161"/>
        <item x="162"/>
        <item x="164"/>
        <item x="165"/>
        <item x="163"/>
        <item x="136"/>
        <item x="158"/>
        <item x="166"/>
        <item x="167"/>
        <item x="168"/>
        <item x="169"/>
        <item x="171"/>
        <item x="172"/>
        <item x="173"/>
        <item x="175"/>
        <item x="176"/>
        <item x="174"/>
        <item x="177"/>
        <item x="178"/>
        <item x="170"/>
        <item x="179"/>
        <item x="180"/>
        <item x="181"/>
        <item x="182"/>
        <item x="183"/>
        <item x="185"/>
        <item x="184"/>
        <item x="125"/>
        <item x="187"/>
        <item x="189"/>
        <item x="191"/>
        <item x="192"/>
        <item x="196"/>
        <item x="193"/>
        <item x="194"/>
        <item x="197"/>
        <item x="190"/>
        <item x="199"/>
        <item x="200"/>
        <item x="201"/>
        <item x="202"/>
        <item x="198"/>
        <item x="204"/>
        <item x="205"/>
        <item x="206"/>
        <item m="1" x="506"/>
        <item x="203"/>
        <item x="207"/>
        <item x="210"/>
        <item x="209"/>
        <item x="211"/>
        <item x="213"/>
        <item x="216"/>
        <item x="217"/>
        <item x="214"/>
        <item x="218"/>
        <item x="219"/>
        <item x="220"/>
        <item x="212"/>
        <item x="221"/>
        <item x="223"/>
        <item x="224"/>
        <item x="225"/>
        <item x="188"/>
        <item x="228"/>
        <item x="229"/>
        <item x="186"/>
        <item x="231"/>
        <item x="227"/>
        <item x="230"/>
        <item x="1"/>
        <item x="232"/>
        <item x="233"/>
        <item x="235"/>
        <item x="237"/>
        <item x="226"/>
        <item x="236"/>
        <item x="239"/>
        <item x="241"/>
        <item x="222"/>
        <item x="242"/>
        <item x="234"/>
        <item x="244"/>
        <item x="243"/>
        <item x="245"/>
        <item x="247"/>
        <item x="246"/>
        <item m="1" x="503"/>
        <item x="250"/>
        <item x="238"/>
        <item x="248"/>
        <item x="251"/>
        <item x="208"/>
        <item x="254"/>
        <item x="256"/>
        <item x="259"/>
        <item x="240"/>
        <item x="252"/>
        <item x="255"/>
        <item x="260"/>
        <item x="261"/>
        <item x="262"/>
        <item x="264"/>
        <item x="266"/>
        <item x="154"/>
        <item x="249"/>
        <item x="257"/>
        <item x="270"/>
        <item x="271"/>
        <item x="263"/>
        <item x="272"/>
        <item x="276"/>
        <item x="267"/>
        <item x="268"/>
        <item x="253"/>
        <item x="269"/>
        <item x="273"/>
        <item x="275"/>
        <item x="277"/>
        <item x="278"/>
        <item x="280"/>
        <item x="195"/>
        <item x="265"/>
        <item x="215"/>
        <item x="281"/>
        <item x="282"/>
        <item x="274"/>
        <item x="279"/>
        <item x="285"/>
        <item x="284"/>
        <item x="258"/>
        <item x="288"/>
        <item x="287"/>
        <item x="291"/>
        <item x="286"/>
        <item x="292"/>
        <item x="290"/>
        <item x="295"/>
        <item x="294"/>
        <item x="296"/>
        <item x="298"/>
        <item x="0"/>
        <item x="132"/>
        <item x="297"/>
        <item x="293"/>
        <item x="299"/>
        <item x="303"/>
        <item x="304"/>
        <item x="300"/>
        <item x="301"/>
        <item x="302"/>
        <item x="305"/>
        <item x="306"/>
        <item x="307"/>
        <item x="308"/>
        <item x="311"/>
        <item x="289"/>
        <item x="309"/>
        <item x="310"/>
        <item x="312"/>
        <item x="313"/>
        <item x="314"/>
        <item x="316"/>
        <item x="317"/>
        <item x="318"/>
        <item x="319"/>
        <item x="320"/>
        <item x="321"/>
        <item x="323"/>
        <item x="325"/>
        <item m="1" x="498"/>
        <item x="327"/>
        <item x="328"/>
        <item x="329"/>
        <item x="330"/>
        <item x="332"/>
        <item x="334"/>
        <item x="336"/>
        <item x="337"/>
        <item x="338"/>
        <item x="339"/>
        <item x="340"/>
        <item x="342"/>
        <item x="326"/>
        <item x="331"/>
        <item x="333"/>
        <item x="343"/>
        <item x="324"/>
        <item x="345"/>
        <item x="346"/>
        <item x="344"/>
        <item x="315"/>
        <item x="348"/>
        <item x="335"/>
        <item x="322"/>
        <item x="347"/>
        <item x="349"/>
        <item x="351"/>
        <item x="352"/>
        <item x="353"/>
        <item x="354"/>
        <item x="355"/>
        <item x="358"/>
        <item x="357"/>
        <item x="341"/>
        <item x="350"/>
        <item x="359"/>
        <item x="366"/>
        <item x="367"/>
        <item x="368"/>
        <item x="371"/>
        <item x="373"/>
        <item x="374"/>
        <item x="283"/>
        <item x="376"/>
        <item m="1" x="501"/>
        <item x="378"/>
        <item x="381"/>
        <item x="380"/>
        <item x="383"/>
        <item m="1" x="504"/>
        <item x="364"/>
        <item x="365"/>
        <item x="370"/>
        <item x="372"/>
        <item x="379"/>
        <item x="384"/>
        <item x="385"/>
        <item x="360"/>
        <item x="386"/>
        <item x="388"/>
        <item x="362"/>
        <item x="375"/>
        <item x="377"/>
        <item x="389"/>
        <item x="393"/>
        <item x="356"/>
        <item x="395"/>
        <item x="397"/>
        <item x="400"/>
        <item x="369"/>
        <item x="391"/>
        <item x="392"/>
        <item x="394"/>
        <item x="396"/>
        <item x="399"/>
        <item x="402"/>
        <item m="1" x="507"/>
        <item x="398"/>
        <item x="408"/>
        <item x="363"/>
        <item x="409"/>
        <item x="411"/>
        <item x="412"/>
        <item x="403"/>
        <item x="405"/>
        <item x="413"/>
        <item x="390"/>
        <item x="414"/>
        <item x="416"/>
        <item x="418"/>
        <item x="420"/>
        <item x="406"/>
        <item x="410"/>
        <item x="415"/>
        <item x="417"/>
        <item x="404"/>
        <item x="421"/>
        <item x="422"/>
        <item x="423"/>
        <item x="424"/>
        <item x="425"/>
        <item x="361"/>
        <item x="427"/>
        <item x="428"/>
        <item x="429"/>
        <item x="430"/>
        <item x="431"/>
        <item x="426"/>
        <item x="435"/>
        <item x="432"/>
        <item x="434"/>
        <item x="437"/>
        <item x="438"/>
        <item x="439"/>
        <item x="407"/>
        <item x="419"/>
        <item x="433"/>
        <item x="436"/>
        <item x="441"/>
        <item x="440"/>
        <item x="445"/>
        <item x="446"/>
        <item x="382"/>
        <item x="442"/>
        <item x="443"/>
        <item x="444"/>
        <item x="447"/>
        <item x="454"/>
        <item x="453"/>
        <item x="452"/>
        <item x="456"/>
        <item x="448"/>
        <item x="449"/>
        <item x="450"/>
        <item x="451"/>
        <item x="455"/>
        <item x="458"/>
        <item x="459"/>
        <item x="460"/>
        <item x="462"/>
        <item x="463"/>
        <item x="466"/>
        <item x="467"/>
        <item x="464"/>
        <item x="461"/>
        <item x="465"/>
        <item x="473"/>
        <item x="474"/>
        <item x="469"/>
        <item x="470"/>
        <item x="478"/>
        <item x="479"/>
        <item x="480"/>
        <item x="482"/>
        <item x="387"/>
        <item x="471"/>
        <item x="477"/>
        <item x="483"/>
        <item x="484"/>
        <item x="476"/>
        <item x="481"/>
        <item x="485"/>
        <item x="486"/>
        <item x="457"/>
        <item x="468"/>
        <item x="472"/>
        <item x="475"/>
        <item x="487"/>
        <item x="489"/>
        <item x="488"/>
        <item x="494"/>
        <item x="401"/>
        <item x="490"/>
        <item x="491"/>
        <item x="492"/>
        <item x="493"/>
        <item x="495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8">
        <item sd="0" x="0"/>
        <item sd="0" x="6"/>
        <item sd="0" x="1"/>
        <item sd="0" x="2"/>
        <item sd="0" x="3"/>
        <item sd="0" x="4"/>
        <item sd="0" x="5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106">
        <item x="2"/>
        <item x="9"/>
        <item x="4"/>
        <item x="17"/>
        <item x="8"/>
        <item x="23"/>
        <item x="16"/>
        <item x="13"/>
        <item x="29"/>
        <item x="12"/>
        <item x="25"/>
        <item x="24"/>
        <item x="11"/>
        <item x="34"/>
        <item x="15"/>
        <item x="36"/>
        <item x="31"/>
        <item x="35"/>
        <item x="21"/>
        <item x="14"/>
        <item x="41"/>
        <item x="47"/>
        <item x="28"/>
        <item x="22"/>
        <item x="18"/>
        <item x="3"/>
        <item x="30"/>
        <item x="7"/>
        <item x="50"/>
        <item x="44"/>
        <item x="26"/>
        <item x="56"/>
        <item x="42"/>
        <item x="40"/>
        <item x="20"/>
        <item x="19"/>
        <item x="38"/>
        <item x="1"/>
        <item x="33"/>
        <item x="64"/>
        <item x="6"/>
        <item x="5"/>
        <item x="39"/>
        <item x="51"/>
        <item x="52"/>
        <item x="79"/>
        <item x="49"/>
        <item x="46"/>
        <item x="57"/>
        <item x="53"/>
        <item x="71"/>
        <item x="48"/>
        <item x="66"/>
        <item x="62"/>
        <item x="78"/>
        <item x="84"/>
        <item x="55"/>
        <item x="85"/>
        <item x="37"/>
        <item x="91"/>
        <item x="58"/>
        <item x="59"/>
        <item x="69"/>
        <item x="89"/>
        <item x="81"/>
        <item x="88"/>
        <item x="43"/>
        <item x="96"/>
        <item x="92"/>
        <item x="60"/>
        <item x="65"/>
        <item x="61"/>
        <item x="76"/>
        <item x="32"/>
        <item x="101"/>
        <item x="98"/>
        <item x="54"/>
        <item x="90"/>
        <item x="74"/>
        <item x="100"/>
        <item x="97"/>
        <item x="10"/>
        <item x="72"/>
        <item x="80"/>
        <item x="70"/>
        <item x="27"/>
        <item x="82"/>
        <item x="63"/>
        <item x="73"/>
        <item x="93"/>
        <item x="87"/>
        <item x="75"/>
        <item x="86"/>
        <item x="83"/>
        <item x="45"/>
        <item x="67"/>
        <item x="99"/>
        <item x="77"/>
        <item m="1" x="104"/>
        <item x="103"/>
        <item x="94"/>
        <item x="102"/>
        <item x="95"/>
        <item x="0"/>
        <item x="68"/>
        <item t="default"/>
      </items>
    </pivotField>
    <pivotField showAll="0"/>
    <pivotField showAll="0"/>
  </pivotFields>
  <rowFields count="3">
    <field x="12"/>
    <field x="2"/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5" hier="-1"/>
  </pageFields>
  <dataFields count="3">
    <dataField name="Počet z Předpokládaná hodnota VZ bez DPH" fld="11" subtotal="count" baseField="12" baseItem="0"/>
    <dataField name="Počet z Smlouva podepsána" fld="25" subtotal="count" baseField="0" baseItem="0"/>
    <dataField name="Součet z Předpokládaná hodnota VZ bez DPH" fld="11" baseField="0" baseItem="0" numFmtId="164"/>
  </dataFields>
  <formats count="9">
    <format dxfId="8">
      <pivotArea outline="0" collapsedLevelsAreSubtotals="1" fieldPosition="0"/>
    </format>
    <format dxfId="7">
      <pivotArea dataOnly="0" labelOnly="1" outline="0" fieldPosition="0">
        <references count="1">
          <reference field="25" count="0"/>
        </references>
      </pivotArea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A434C8-EC3D-4717-88A6-4A870E8D8F84}" name="Kontingenční tabulka2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17:B25" firstHeaderRow="1" firstDataRow="1" firstDataCol="1" rowPageCount="1" colPageCount="1"/>
  <pivotFields count="28">
    <pivotField showAll="0"/>
    <pivotField showAll="0"/>
    <pivotField axis="axisRow" showAll="0">
      <items count="22">
        <item m="1" x="17"/>
        <item x="16"/>
        <item x="2"/>
        <item m="1" x="18"/>
        <item x="0"/>
        <item x="1"/>
        <item x="3"/>
        <item x="4"/>
        <item x="5"/>
        <item m="1" x="19"/>
        <item x="7"/>
        <item x="6"/>
        <item x="8"/>
        <item m="1" x="20"/>
        <item x="10"/>
        <item x="11"/>
        <item x="12"/>
        <item x="13"/>
        <item x="15"/>
        <item x="9"/>
        <item x="14"/>
        <item t="default"/>
      </items>
    </pivotField>
    <pivotField showAll="0"/>
    <pivotField showAll="0"/>
    <pivotField axis="axisRow" showAll="0">
      <items count="511">
        <item x="4"/>
        <item x="496"/>
        <item x="5"/>
        <item x="6"/>
        <item x="7"/>
        <item x="8"/>
        <item x="9"/>
        <item x="10"/>
        <item x="11"/>
        <item m="1" x="500"/>
        <item x="2"/>
        <item x="3"/>
        <item x="12"/>
        <item x="13"/>
        <item x="14"/>
        <item x="15"/>
        <item x="16"/>
        <item x="17"/>
        <item m="1" x="509"/>
        <item x="19"/>
        <item x="20"/>
        <item x="21"/>
        <item x="22"/>
        <item x="18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m="1" x="502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497"/>
        <item x="60"/>
        <item x="61"/>
        <item x="62"/>
        <item x="63"/>
        <item x="64"/>
        <item x="65"/>
        <item m="1" x="499"/>
        <item x="66"/>
        <item x="67"/>
        <item x="68"/>
        <item x="69"/>
        <item x="72"/>
        <item x="70"/>
        <item x="73"/>
        <item x="74"/>
        <item x="71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76"/>
        <item x="90"/>
        <item x="91"/>
        <item x="92"/>
        <item x="93"/>
        <item x="94"/>
        <item x="95"/>
        <item x="96"/>
        <item x="97"/>
        <item x="100"/>
        <item x="98"/>
        <item x="102"/>
        <item x="103"/>
        <item x="104"/>
        <item x="105"/>
        <item x="106"/>
        <item x="108"/>
        <item x="109"/>
        <item x="110"/>
        <item x="111"/>
        <item x="113"/>
        <item x="99"/>
        <item x="101"/>
        <item x="107"/>
        <item x="114"/>
        <item x="115"/>
        <item x="116"/>
        <item x="117"/>
        <item x="118"/>
        <item x="119"/>
        <item x="124"/>
        <item x="112"/>
        <item x="120"/>
        <item x="127"/>
        <item x="121"/>
        <item x="123"/>
        <item m="1" x="508"/>
        <item x="129"/>
        <item x="130"/>
        <item x="133"/>
        <item x="122"/>
        <item x="126"/>
        <item x="131"/>
        <item x="134"/>
        <item x="135"/>
        <item x="137"/>
        <item x="138"/>
        <item x="139"/>
        <item m="1" x="505"/>
        <item x="140"/>
        <item x="141"/>
        <item x="142"/>
        <item x="143"/>
        <item x="145"/>
        <item x="146"/>
        <item x="148"/>
        <item x="150"/>
        <item x="151"/>
        <item x="149"/>
        <item x="152"/>
        <item x="144"/>
        <item x="153"/>
        <item x="155"/>
        <item x="156"/>
        <item x="128"/>
        <item x="157"/>
        <item x="147"/>
        <item x="159"/>
        <item x="160"/>
        <item x="161"/>
        <item x="162"/>
        <item x="164"/>
        <item x="165"/>
        <item x="163"/>
        <item x="136"/>
        <item x="158"/>
        <item x="166"/>
        <item x="167"/>
        <item x="168"/>
        <item x="169"/>
        <item x="171"/>
        <item x="172"/>
        <item x="173"/>
        <item x="175"/>
        <item x="176"/>
        <item x="174"/>
        <item x="177"/>
        <item x="178"/>
        <item x="170"/>
        <item x="179"/>
        <item x="180"/>
        <item x="181"/>
        <item x="182"/>
        <item x="183"/>
        <item x="185"/>
        <item x="184"/>
        <item x="125"/>
        <item x="187"/>
        <item x="189"/>
        <item x="191"/>
        <item x="192"/>
        <item x="196"/>
        <item x="193"/>
        <item x="194"/>
        <item x="197"/>
        <item x="190"/>
        <item x="199"/>
        <item x="200"/>
        <item x="201"/>
        <item x="202"/>
        <item x="198"/>
        <item x="204"/>
        <item x="205"/>
        <item x="206"/>
        <item m="1" x="506"/>
        <item x="203"/>
        <item x="207"/>
        <item x="210"/>
        <item x="209"/>
        <item x="211"/>
        <item x="213"/>
        <item x="216"/>
        <item x="217"/>
        <item x="214"/>
        <item x="218"/>
        <item x="219"/>
        <item x="220"/>
        <item x="212"/>
        <item x="221"/>
        <item x="223"/>
        <item x="224"/>
        <item x="225"/>
        <item x="188"/>
        <item x="228"/>
        <item x="229"/>
        <item x="186"/>
        <item x="231"/>
        <item x="227"/>
        <item x="230"/>
        <item x="1"/>
        <item x="232"/>
        <item x="233"/>
        <item x="235"/>
        <item x="237"/>
        <item x="226"/>
        <item x="236"/>
        <item x="239"/>
        <item x="241"/>
        <item x="222"/>
        <item x="242"/>
        <item x="234"/>
        <item x="244"/>
        <item x="243"/>
        <item x="245"/>
        <item x="247"/>
        <item x="246"/>
        <item m="1" x="503"/>
        <item x="250"/>
        <item x="238"/>
        <item x="248"/>
        <item x="251"/>
        <item x="208"/>
        <item x="254"/>
        <item x="256"/>
        <item x="259"/>
        <item x="240"/>
        <item x="252"/>
        <item x="255"/>
        <item x="260"/>
        <item x="261"/>
        <item x="262"/>
        <item x="264"/>
        <item x="266"/>
        <item x="154"/>
        <item x="249"/>
        <item x="257"/>
        <item x="270"/>
        <item x="271"/>
        <item x="263"/>
        <item x="272"/>
        <item x="276"/>
        <item x="267"/>
        <item x="268"/>
        <item x="253"/>
        <item x="269"/>
        <item x="273"/>
        <item x="275"/>
        <item x="277"/>
        <item x="278"/>
        <item x="280"/>
        <item x="195"/>
        <item x="265"/>
        <item x="215"/>
        <item x="281"/>
        <item x="282"/>
        <item x="274"/>
        <item x="279"/>
        <item x="285"/>
        <item x="284"/>
        <item x="258"/>
        <item x="288"/>
        <item x="287"/>
        <item x="291"/>
        <item x="286"/>
        <item x="292"/>
        <item x="290"/>
        <item x="295"/>
        <item x="294"/>
        <item x="296"/>
        <item x="298"/>
        <item x="0"/>
        <item x="132"/>
        <item x="297"/>
        <item x="293"/>
        <item x="299"/>
        <item x="303"/>
        <item x="304"/>
        <item x="300"/>
        <item x="301"/>
        <item x="302"/>
        <item x="305"/>
        <item x="306"/>
        <item x="307"/>
        <item x="308"/>
        <item x="311"/>
        <item x="289"/>
        <item x="309"/>
        <item x="310"/>
        <item x="312"/>
        <item x="313"/>
        <item x="314"/>
        <item x="316"/>
        <item x="317"/>
        <item x="318"/>
        <item x="319"/>
        <item x="320"/>
        <item x="321"/>
        <item x="323"/>
        <item x="325"/>
        <item m="1" x="498"/>
        <item x="327"/>
        <item x="328"/>
        <item x="329"/>
        <item x="330"/>
        <item x="332"/>
        <item x="334"/>
        <item x="336"/>
        <item x="337"/>
        <item x="338"/>
        <item x="339"/>
        <item x="340"/>
        <item x="342"/>
        <item x="326"/>
        <item x="331"/>
        <item x="333"/>
        <item x="343"/>
        <item x="324"/>
        <item x="345"/>
        <item x="346"/>
        <item x="344"/>
        <item x="315"/>
        <item x="348"/>
        <item x="335"/>
        <item x="322"/>
        <item x="347"/>
        <item x="349"/>
        <item x="351"/>
        <item x="352"/>
        <item x="353"/>
        <item x="354"/>
        <item x="355"/>
        <item x="358"/>
        <item x="357"/>
        <item x="341"/>
        <item x="350"/>
        <item x="359"/>
        <item x="366"/>
        <item x="367"/>
        <item x="368"/>
        <item x="371"/>
        <item x="373"/>
        <item x="374"/>
        <item x="283"/>
        <item x="376"/>
        <item m="1" x="501"/>
        <item x="378"/>
        <item x="381"/>
        <item x="380"/>
        <item x="383"/>
        <item m="1" x="504"/>
        <item x="364"/>
        <item x="365"/>
        <item x="370"/>
        <item x="372"/>
        <item x="379"/>
        <item x="384"/>
        <item x="385"/>
        <item x="360"/>
        <item x="386"/>
        <item x="388"/>
        <item x="362"/>
        <item x="375"/>
        <item x="377"/>
        <item x="389"/>
        <item x="393"/>
        <item x="356"/>
        <item x="395"/>
        <item x="397"/>
        <item x="400"/>
        <item x="369"/>
        <item x="391"/>
        <item x="392"/>
        <item x="394"/>
        <item x="396"/>
        <item x="399"/>
        <item x="402"/>
        <item m="1" x="507"/>
        <item x="398"/>
        <item x="408"/>
        <item x="363"/>
        <item x="409"/>
        <item x="411"/>
        <item x="412"/>
        <item x="403"/>
        <item x="405"/>
        <item x="413"/>
        <item x="390"/>
        <item x="414"/>
        <item x="416"/>
        <item x="418"/>
        <item x="420"/>
        <item x="406"/>
        <item x="410"/>
        <item x="415"/>
        <item x="417"/>
        <item x="404"/>
        <item x="421"/>
        <item x="422"/>
        <item x="423"/>
        <item x="424"/>
        <item x="425"/>
        <item x="361"/>
        <item x="427"/>
        <item x="428"/>
        <item x="429"/>
        <item x="430"/>
        <item x="431"/>
        <item x="426"/>
        <item x="435"/>
        <item x="432"/>
        <item x="434"/>
        <item x="437"/>
        <item x="438"/>
        <item x="439"/>
        <item x="407"/>
        <item x="419"/>
        <item x="433"/>
        <item x="436"/>
        <item x="441"/>
        <item x="440"/>
        <item x="445"/>
        <item x="446"/>
        <item x="382"/>
        <item x="442"/>
        <item x="443"/>
        <item x="444"/>
        <item x="447"/>
        <item x="454"/>
        <item x="453"/>
        <item x="452"/>
        <item x="456"/>
        <item x="448"/>
        <item x="449"/>
        <item x="450"/>
        <item x="451"/>
        <item x="455"/>
        <item x="458"/>
        <item x="459"/>
        <item x="460"/>
        <item x="462"/>
        <item x="463"/>
        <item x="466"/>
        <item x="467"/>
        <item x="464"/>
        <item x="461"/>
        <item x="465"/>
        <item x="473"/>
        <item x="474"/>
        <item x="469"/>
        <item x="470"/>
        <item x="478"/>
        <item x="479"/>
        <item x="480"/>
        <item x="482"/>
        <item x="387"/>
        <item x="471"/>
        <item x="477"/>
        <item x="483"/>
        <item x="484"/>
        <item x="476"/>
        <item x="481"/>
        <item x="485"/>
        <item x="486"/>
        <item x="457"/>
        <item x="468"/>
        <item x="472"/>
        <item x="475"/>
        <item x="487"/>
        <item x="489"/>
        <item x="488"/>
        <item x="494"/>
        <item x="401"/>
        <item x="490"/>
        <item x="491"/>
        <item x="492"/>
        <item x="493"/>
        <item x="495"/>
        <item t="default"/>
      </items>
    </pivotField>
    <pivotField axis="axisPage" multipleItemSelectionAllowed="1" showAll="0">
      <items count="10">
        <item x="1"/>
        <item h="1" x="2"/>
        <item h="1" x="3"/>
        <item h="1" x="4"/>
        <item h="1" x="5"/>
        <item x="0"/>
        <item h="1" x="6"/>
        <item h="1" x="7"/>
        <item h="1" x="8"/>
        <item t="default"/>
      </items>
    </pivotField>
    <pivotField showAll="0"/>
    <pivotField showAll="0"/>
    <pivotField showAll="0"/>
    <pivotField showAll="0"/>
    <pivotField dataField="1" showAll="0"/>
    <pivotField axis="axisRow" showAll="0">
      <items count="8">
        <item sd="0" x="0"/>
        <item sd="0" x="6"/>
        <item sd="0" x="1"/>
        <item sd="0" x="2"/>
        <item sd="0" x="3"/>
        <item sd="0" x="4"/>
        <item sd="0" x="5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2"/>
    <field x="2"/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Počet z Předpokládaná hodnota VZ bez DPH" fld="11" subtotal="count" baseField="1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Kontingenční tabulka 3" cacheId="10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C13" firstHeaderRow="1" firstDataRow="2" firstDataCol="1" rowPageCount="1" colPageCount="1"/>
  <pivotFields count="16">
    <pivotField showAll="0"/>
    <pivotField showAll="0"/>
    <pivotField showAll="0"/>
    <pivotField axis="axisRow" showAll="0">
      <items count="345">
        <item x="197"/>
        <item x="78"/>
        <item x="79"/>
        <item x="16"/>
        <item x="17"/>
        <item x="18"/>
        <item x="207"/>
        <item x="208"/>
        <item x="209"/>
        <item x="210"/>
        <item x="215"/>
        <item x="211"/>
        <item x="212"/>
        <item x="213"/>
        <item x="214"/>
        <item x="216"/>
        <item x="218"/>
        <item x="219"/>
        <item x="220"/>
        <item x="221"/>
        <item x="222"/>
        <item x="223"/>
        <item x="224"/>
        <item x="217"/>
        <item x="326"/>
        <item x="327"/>
        <item x="328"/>
        <item x="225"/>
        <item x="226"/>
        <item x="227"/>
        <item x="228"/>
        <item x="233"/>
        <item x="229"/>
        <item x="230"/>
        <item x="231"/>
        <item x="232"/>
        <item x="234"/>
        <item x="235"/>
        <item x="306"/>
        <item x="307"/>
        <item x="308"/>
        <item x="309"/>
        <item x="310"/>
        <item x="311"/>
        <item x="312"/>
        <item x="269"/>
        <item x="270"/>
        <item x="271"/>
        <item x="272"/>
        <item x="273"/>
        <item x="274"/>
        <item x="275"/>
        <item x="276"/>
        <item x="281"/>
        <item x="277"/>
        <item x="278"/>
        <item x="279"/>
        <item x="280"/>
        <item x="282"/>
        <item x="90"/>
        <item x="180"/>
        <item x="305"/>
        <item x="34"/>
        <item x="31"/>
        <item x="57"/>
        <item x="46"/>
        <item x="14"/>
        <item x="245"/>
        <item x="4"/>
        <item x="21"/>
        <item x="316"/>
        <item x="32"/>
        <item x="80"/>
        <item x="12"/>
        <item x="205"/>
        <item x="114"/>
        <item x="253"/>
        <item x="313"/>
        <item x="178"/>
        <item x="150"/>
        <item x="158"/>
        <item x="255"/>
        <item x="24"/>
        <item x="298"/>
        <item x="69"/>
        <item x="202"/>
        <item x="296"/>
        <item x="288"/>
        <item x="204"/>
        <item x="183"/>
        <item x="151"/>
        <item x="10"/>
        <item x="191"/>
        <item x="8"/>
        <item x="246"/>
        <item x="42"/>
        <item x="260"/>
        <item x="72"/>
        <item x="122"/>
        <item x="290"/>
        <item x="82"/>
        <item x="81"/>
        <item x="105"/>
        <item x="160"/>
        <item x="186"/>
        <item x="70"/>
        <item x="47"/>
        <item x="48"/>
        <item x="49"/>
        <item x="50"/>
        <item x="51"/>
        <item x="52"/>
        <item x="53"/>
        <item x="54"/>
        <item x="133"/>
        <item x="134"/>
        <item x="135"/>
        <item x="136"/>
        <item x="141"/>
        <item x="137"/>
        <item x="138"/>
        <item x="139"/>
        <item x="140"/>
        <item x="142"/>
        <item x="164"/>
        <item x="165"/>
        <item x="166"/>
        <item x="167"/>
        <item x="172"/>
        <item x="168"/>
        <item x="169"/>
        <item x="170"/>
        <item x="171"/>
        <item x="173"/>
        <item x="174"/>
        <item x="331"/>
        <item x="332"/>
        <item x="333"/>
        <item x="334"/>
        <item x="335"/>
        <item x="19"/>
        <item x="109"/>
        <item x="263"/>
        <item x="264"/>
        <item x="265"/>
        <item x="266"/>
        <item x="267"/>
        <item x="268"/>
        <item x="179"/>
        <item x="175"/>
        <item x="176"/>
        <item x="177"/>
        <item x="294"/>
        <item x="295"/>
        <item x="190"/>
        <item x="0"/>
        <item x="94"/>
        <item x="95"/>
        <item x="297"/>
        <item x="73"/>
        <item x="102"/>
        <item x="93"/>
        <item x="147"/>
        <item x="148"/>
        <item x="149"/>
        <item x="236"/>
        <item x="237"/>
        <item x="259"/>
        <item x="98"/>
        <item x="71"/>
        <item x="304"/>
        <item x="3"/>
        <item x="192"/>
        <item x="193"/>
        <item x="112"/>
        <item x="206"/>
        <item x="13"/>
        <item x="342"/>
        <item x="38"/>
        <item x="89"/>
        <item x="124"/>
        <item x="125"/>
        <item x="126"/>
        <item x="127"/>
        <item x="128"/>
        <item x="143"/>
        <item x="144"/>
        <item x="145"/>
        <item x="146"/>
        <item x="86"/>
        <item x="258"/>
        <item x="61"/>
        <item x="77"/>
        <item x="201"/>
        <item x="291"/>
        <item x="29"/>
        <item x="83"/>
        <item x="26"/>
        <item x="27"/>
        <item x="33"/>
        <item x="28"/>
        <item x="248"/>
        <item x="130"/>
        <item x="131"/>
        <item x="132"/>
        <item x="292"/>
        <item x="58"/>
        <item x="189"/>
        <item x="252"/>
        <item x="162"/>
        <item x="194"/>
        <item x="116"/>
        <item x="129"/>
        <item x="45"/>
        <item x="66"/>
        <item x="336"/>
        <item x="337"/>
        <item x="338"/>
        <item x="59"/>
        <item x="251"/>
        <item x="286"/>
        <item x="325"/>
        <item x="108"/>
        <item x="23"/>
        <item x="97"/>
        <item x="76"/>
        <item x="321"/>
        <item x="240"/>
        <item x="241"/>
        <item x="242"/>
        <item x="7"/>
        <item x="40"/>
        <item x="314"/>
        <item x="320"/>
        <item x="322"/>
        <item x="96"/>
        <item x="35"/>
        <item x="302"/>
        <item x="74"/>
        <item x="9"/>
        <item x="289"/>
        <item x="185"/>
        <item x="249"/>
        <item x="250"/>
        <item x="262"/>
        <item x="88"/>
        <item x="123"/>
        <item x="84"/>
        <item x="85"/>
        <item x="25"/>
        <item x="37"/>
        <item x="91"/>
        <item x="198"/>
        <item x="159"/>
        <item x="106"/>
        <item x="63"/>
        <item x="87"/>
        <item x="195"/>
        <item x="254"/>
        <item x="317"/>
        <item x="15"/>
        <item x="111"/>
        <item x="199"/>
        <item x="99"/>
        <item x="113"/>
        <item x="152"/>
        <item x="153"/>
        <item x="154"/>
        <item x="155"/>
        <item x="156"/>
        <item x="157"/>
        <item x="187"/>
        <item x="188"/>
        <item x="238"/>
        <item x="55"/>
        <item x="5"/>
        <item x="6"/>
        <item x="1"/>
        <item x="163"/>
        <item x="324"/>
        <item x="323"/>
        <item x="2"/>
        <item x="330"/>
        <item x="103"/>
        <item x="104"/>
        <item x="75"/>
        <item x="285"/>
        <item x="239"/>
        <item x="92"/>
        <item x="39"/>
        <item x="329"/>
        <item x="300"/>
        <item x="67"/>
        <item x="315"/>
        <item x="244"/>
        <item x="41"/>
        <item x="203"/>
        <item x="257"/>
        <item x="121"/>
        <item x="60"/>
        <item x="261"/>
        <item x="287"/>
        <item x="36"/>
        <item x="65"/>
        <item x="299"/>
        <item x="117"/>
        <item x="181"/>
        <item x="182"/>
        <item x="43"/>
        <item x="44"/>
        <item x="247"/>
        <item x="56"/>
        <item x="200"/>
        <item x="184"/>
        <item x="293"/>
        <item x="161"/>
        <item x="62"/>
        <item x="319"/>
        <item x="284"/>
        <item x="256"/>
        <item x="339"/>
        <item x="340"/>
        <item x="341"/>
        <item x="22"/>
        <item x="68"/>
        <item x="101"/>
        <item x="107"/>
        <item x="20"/>
        <item x="243"/>
        <item x="283"/>
        <item x="196"/>
        <item x="115"/>
        <item x="301"/>
        <item x="64"/>
        <item x="318"/>
        <item x="100"/>
        <item x="110"/>
        <item x="30"/>
        <item x="119"/>
        <item x="120"/>
        <item x="118"/>
        <item x="303"/>
        <item x="343"/>
        <item x="11"/>
        <item t="default"/>
      </items>
    </pivotField>
    <pivotField showAll="0"/>
    <pivotField showAll="0"/>
    <pivotField dataField="1" showAll="0"/>
    <pivotField axis="axisRow" showAll="0">
      <items count="10">
        <item sd="0" x="4"/>
        <item sd="0" x="2"/>
        <item sd="0" x="7"/>
        <item sd="0" x="6"/>
        <item sd="0" x="1"/>
        <item sd="0" x="5"/>
        <item sd="0" x="3"/>
        <item sd="0" x="0"/>
        <item sd="0" x="8"/>
        <item t="default"/>
      </items>
    </pivotField>
    <pivotField showAll="0"/>
    <pivotField showAll="0"/>
    <pivotField showAll="0"/>
    <pivotField dataField="1" showAll="0"/>
    <pivotField showAll="0"/>
    <pivotField axis="axisPage" multipleItemSelectionAllowed="1" showAll="0">
      <items count="109">
        <item x="29"/>
        <item x="9"/>
        <item x="4"/>
        <item x="12"/>
        <item x="14"/>
        <item x="10"/>
        <item x="3"/>
        <item x="15"/>
        <item x="18"/>
        <item x="2"/>
        <item x="13"/>
        <item x="6"/>
        <item x="7"/>
        <item x="20"/>
        <item x="19"/>
        <item x="5"/>
        <item x="28"/>
        <item x="11"/>
        <item x="24"/>
        <item x="21"/>
        <item x="23"/>
        <item x="32"/>
        <item x="31"/>
        <item x="26"/>
        <item x="30"/>
        <item x="25"/>
        <item x="39"/>
        <item x="43"/>
        <item x="36"/>
        <item x="35"/>
        <item x="37"/>
        <item x="44"/>
        <item x="41"/>
        <item x="38"/>
        <item x="49"/>
        <item x="40"/>
        <item x="17"/>
        <item x="60"/>
        <item x="50"/>
        <item x="59"/>
        <item x="22"/>
        <item x="61"/>
        <item x="58"/>
        <item x="45"/>
        <item x="57"/>
        <item x="0"/>
        <item x="42"/>
        <item x="46"/>
        <item x="63"/>
        <item x="54"/>
        <item x="47"/>
        <item x="72"/>
        <item x="52"/>
        <item x="51"/>
        <item x="74"/>
        <item x="71"/>
        <item x="79"/>
        <item x="27"/>
        <item x="85"/>
        <item x="73"/>
        <item x="78"/>
        <item x="48"/>
        <item x="84"/>
        <item x="83"/>
        <item x="81"/>
        <item x="8"/>
        <item x="69"/>
        <item x="92"/>
        <item x="82"/>
        <item x="70"/>
        <item x="91"/>
        <item x="98"/>
        <item x="62"/>
        <item x="87"/>
        <item x="53"/>
        <item x="95"/>
        <item x="65"/>
        <item x="93"/>
        <item x="33"/>
        <item x="94"/>
        <item x="101"/>
        <item x="86"/>
        <item x="67"/>
        <item x="68"/>
        <item x="88"/>
        <item x="34"/>
        <item x="80"/>
        <item x="106"/>
        <item x="66"/>
        <item x="64"/>
        <item x="75"/>
        <item x="97"/>
        <item x="76"/>
        <item x="77"/>
        <item x="99"/>
        <item x="102"/>
        <item x="103"/>
        <item x="89"/>
        <item x="96"/>
        <item x="16"/>
        <item x="100"/>
        <item x="90"/>
        <item x="55"/>
        <item x="104"/>
        <item x="107"/>
        <item x="56"/>
        <item x="105"/>
        <item h="1" x="1"/>
        <item t="default"/>
      </items>
    </pivotField>
    <pivotField showAll="0"/>
    <pivotField showAll="0"/>
  </pivotFields>
  <rowFields count="2">
    <field x="7"/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3" hier="-1"/>
  </pageFields>
  <dataFields count="2">
    <dataField name="Součet z Předpokládaná hodnota VZ bez DPH" fld="6" baseField="0" baseItem="0"/>
    <dataField name="Součet z Vítězná cena bez DPH" fld="11" baseField="0" baseItem="0"/>
  </dataFields>
  <formats count="5">
    <format dxfId="140">
      <pivotArea outline="0" collapsedLevelsAreSubtotals="1" fieldPosition="0"/>
    </format>
    <format dxfId="139">
      <pivotArea dataOnly="0" labelOnly="1" outline="0" fieldPosition="0">
        <references count="1">
          <reference field="13" count="0"/>
        </references>
      </pivotArea>
    </format>
    <format dxfId="138">
      <pivotArea field="-2" type="button" dataOnly="0" labelOnly="1" outline="0" axis="axisCol" fieldPosition="0"/>
    </format>
    <format dxfId="137">
      <pivotArea type="topRight" dataOnly="0" labelOnly="1" outline="0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Kontingenční tabulka 1" cacheId="13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5:E12" firstHeaderRow="1" firstDataRow="2" firstDataCol="1" rowPageCount="1" colPageCount="1"/>
  <pivotFields count="16">
    <pivotField showAll="0"/>
    <pivotField axis="axisRow" multipleItemSelectionAllowed="1" showAll="0">
      <items count="31">
        <item x="19"/>
        <item x="8"/>
        <item x="21"/>
        <item x="11"/>
        <item x="13"/>
        <item x="1"/>
        <item x="3"/>
        <item x="16"/>
        <item x="22"/>
        <item x="17"/>
        <item x="15"/>
        <item x="6"/>
        <item x="4"/>
        <item x="25"/>
        <item x="26"/>
        <item x="12"/>
        <item x="18"/>
        <item x="9"/>
        <item x="24"/>
        <item x="7"/>
        <item x="5"/>
        <item x="14"/>
        <item x="10"/>
        <item m="1" x="29"/>
        <item x="23"/>
        <item x="27"/>
        <item x="2"/>
        <item x="0"/>
        <item x="20"/>
        <item x="28"/>
        <item t="default"/>
      </items>
    </pivotField>
    <pivotField showAll="0"/>
    <pivotField axis="axisRow" showAll="0">
      <items count="533">
        <item x="433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m="1" x="530"/>
        <item m="1" x="450"/>
        <item m="1" x="434"/>
        <item m="1" x="522"/>
        <item m="1" x="436"/>
        <item m="1" x="525"/>
        <item m="1" x="455"/>
        <item m="1" x="513"/>
        <item m="1" x="484"/>
        <item m="1" x="491"/>
        <item m="1" x="521"/>
        <item m="1" x="470"/>
        <item m="1" x="441"/>
        <item m="1" x="486"/>
        <item m="1" x="505"/>
        <item m="1" x="448"/>
        <item x="59"/>
        <item x="60"/>
        <item m="1" x="523"/>
        <item m="1" x="520"/>
        <item x="61"/>
        <item m="1" x="482"/>
        <item m="1" x="444"/>
        <item m="1" x="489"/>
        <item m="1" x="461"/>
        <item m="1" x="452"/>
        <item m="1" x="490"/>
        <item m="1" x="514"/>
        <item x="69"/>
        <item x="70"/>
        <item x="71"/>
        <item x="72"/>
        <item x="73"/>
        <item m="1" x="512"/>
        <item x="74"/>
        <item x="75"/>
        <item x="76"/>
        <item x="77"/>
        <item x="78"/>
        <item x="79"/>
        <item x="80"/>
        <item x="81"/>
        <item x="82"/>
        <item x="83"/>
        <item m="1" x="493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m="1" x="449"/>
        <item x="2"/>
        <item x="98"/>
        <item x="99"/>
        <item x="42"/>
        <item x="43"/>
        <item x="44"/>
        <item x="45"/>
        <item x="46"/>
        <item x="47"/>
        <item x="48"/>
        <item x="62"/>
        <item x="63"/>
        <item x="64"/>
        <item x="65"/>
        <item x="66"/>
        <item x="67"/>
        <item x="68"/>
        <item x="100"/>
        <item x="101"/>
        <item x="102"/>
        <item x="84"/>
        <item x="85"/>
        <item m="1" x="529"/>
        <item x="104"/>
        <item x="105"/>
        <item m="1" x="518"/>
        <item x="107"/>
        <item x="108"/>
        <item x="109"/>
        <item x="110"/>
        <item x="103"/>
        <item x="114"/>
        <item x="111"/>
        <item x="112"/>
        <item x="113"/>
        <item x="115"/>
        <item x="116"/>
        <item x="117"/>
        <item x="118"/>
        <item m="1" x="454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m="1" x="474"/>
        <item x="134"/>
        <item x="135"/>
        <item x="136"/>
        <item m="1" x="440"/>
        <item x="139"/>
        <item x="137"/>
        <item x="138"/>
        <item x="140"/>
        <item x="141"/>
        <item x="142"/>
        <item x="143"/>
        <item x="146"/>
        <item x="49"/>
        <item x="50"/>
        <item x="51"/>
        <item x="52"/>
        <item x="53"/>
        <item x="54"/>
        <item x="55"/>
        <item x="56"/>
        <item x="57"/>
        <item x="58"/>
        <item m="1" x="492"/>
        <item x="147"/>
        <item x="148"/>
        <item x="149"/>
        <item m="1" x="437"/>
        <item x="144"/>
        <item x="145"/>
        <item x="152"/>
        <item x="153"/>
        <item x="154"/>
        <item x="155"/>
        <item x="156"/>
        <item m="1" x="447"/>
        <item m="1" x="438"/>
        <item x="160"/>
        <item x="161"/>
        <item x="162"/>
        <item x="159"/>
        <item m="1" x="463"/>
        <item x="165"/>
        <item x="166"/>
        <item x="167"/>
        <item m="1" x="472"/>
        <item m="1" x="524"/>
        <item x="169"/>
        <item m="1" x="507"/>
        <item x="171"/>
        <item x="164"/>
        <item x="172"/>
        <item x="173"/>
        <item x="150"/>
        <item x="151"/>
        <item x="174"/>
        <item x="175"/>
        <item x="176"/>
        <item x="157"/>
        <item x="158"/>
        <item x="170"/>
        <item m="1" x="483"/>
        <item x="179"/>
        <item x="180"/>
        <item x="181"/>
        <item x="182"/>
        <item x="168"/>
        <item m="1" x="478"/>
        <item x="184"/>
        <item x="183"/>
        <item x="185"/>
        <item x="186"/>
        <item x="187"/>
        <item x="188"/>
        <item x="177"/>
        <item x="178"/>
        <item m="1" x="453"/>
        <item x="191"/>
        <item x="190"/>
        <item x="193"/>
        <item x="194"/>
        <item x="195"/>
        <item x="189"/>
        <item x="192"/>
        <item x="196"/>
        <item x="197"/>
        <item x="198"/>
        <item x="199"/>
        <item x="200"/>
        <item m="1" x="531"/>
        <item x="206"/>
        <item x="207"/>
        <item x="204"/>
        <item m="1" x="511"/>
        <item x="209"/>
        <item x="210"/>
        <item x="211"/>
        <item x="212"/>
        <item x="213"/>
        <item x="214"/>
        <item x="215"/>
        <item m="1" x="500"/>
        <item x="218"/>
        <item x="219"/>
        <item x="220"/>
        <item x="221"/>
        <item m="1" x="459"/>
        <item x="222"/>
        <item x="223"/>
        <item x="224"/>
        <item x="225"/>
        <item m="1" x="458"/>
        <item x="228"/>
        <item x="229"/>
        <item x="201"/>
        <item x="202"/>
        <item x="203"/>
        <item x="230"/>
        <item x="231"/>
        <item x="232"/>
        <item x="233"/>
        <item m="1" x="506"/>
        <item x="163"/>
        <item x="236"/>
        <item x="234"/>
        <item x="235"/>
        <item x="205"/>
        <item m="1" x="476"/>
        <item x="238"/>
        <item m="1" x="460"/>
        <item x="241"/>
        <item x="216"/>
        <item x="217"/>
        <item x="237"/>
        <item x="242"/>
        <item x="243"/>
        <item m="1" x="456"/>
        <item x="246"/>
        <item x="226"/>
        <item x="227"/>
        <item m="1" x="465"/>
        <item x="247"/>
        <item x="248"/>
        <item x="249"/>
        <item x="250"/>
        <item m="1" x="515"/>
        <item m="1" x="517"/>
        <item x="244"/>
        <item x="245"/>
        <item m="1" x="462"/>
        <item m="1" x="495"/>
        <item m="1" x="480"/>
        <item m="1" x="468"/>
        <item m="1" x="475"/>
        <item m="1" x="439"/>
        <item x="208"/>
        <item x="251"/>
        <item x="252"/>
        <item x="253"/>
        <item x="239"/>
        <item x="240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73"/>
        <item x="268"/>
        <item x="269"/>
        <item x="270"/>
        <item x="271"/>
        <item x="274"/>
        <item x="275"/>
        <item x="276"/>
        <item x="277"/>
        <item x="278"/>
        <item x="279"/>
        <item x="280"/>
        <item x="272"/>
        <item m="1" x="510"/>
        <item x="281"/>
        <item x="282"/>
        <item x="283"/>
        <item x="284"/>
        <item x="285"/>
        <item x="286"/>
        <item m="1" x="466"/>
        <item x="287"/>
        <item x="288"/>
        <item x="289"/>
        <item x="290"/>
        <item x="292"/>
        <item x="293"/>
        <item x="294"/>
        <item x="295"/>
        <item x="296"/>
        <item x="297"/>
        <item x="298"/>
        <item x="299"/>
        <item x="300"/>
        <item x="301"/>
        <item x="291"/>
        <item m="1" x="488"/>
        <item m="1" x="435"/>
        <item m="1" x="528"/>
        <item x="309"/>
        <item x="310"/>
        <item x="311"/>
        <item x="312"/>
        <item x="315"/>
        <item x="316"/>
        <item x="317"/>
        <item x="313"/>
        <item x="314"/>
        <item x="318"/>
        <item x="304"/>
        <item x="305"/>
        <item x="319"/>
        <item x="254"/>
        <item x="255"/>
        <item x="256"/>
        <item m="1" x="516"/>
        <item x="321"/>
        <item x="322"/>
        <item x="323"/>
        <item m="1" x="502"/>
        <item x="324"/>
        <item x="325"/>
        <item x="326"/>
        <item x="327"/>
        <item x="328"/>
        <item x="329"/>
        <item x="330"/>
        <item x="331"/>
        <item x="332"/>
        <item x="320"/>
        <item m="1" x="464"/>
        <item x="334"/>
        <item x="335"/>
        <item x="336"/>
        <item x="337"/>
        <item x="333"/>
        <item x="338"/>
        <item x="302"/>
        <item x="303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m="1" x="497"/>
        <item x="352"/>
        <item x="353"/>
        <item x="354"/>
        <item x="355"/>
        <item x="356"/>
        <item x="357"/>
        <item x="358"/>
        <item x="359"/>
        <item x="360"/>
        <item m="1" x="442"/>
        <item x="361"/>
        <item x="362"/>
        <item x="363"/>
        <item m="1" x="496"/>
        <item x="364"/>
        <item x="365"/>
        <item x="366"/>
        <item x="367"/>
        <item x="368"/>
        <item x="369"/>
        <item x="370"/>
        <item x="371"/>
        <item x="375"/>
        <item x="376"/>
        <item x="373"/>
        <item x="374"/>
        <item x="372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06"/>
        <item x="307"/>
        <item x="308"/>
        <item x="350"/>
        <item x="351"/>
        <item x="391"/>
        <item m="1" x="471"/>
        <item m="1" x="503"/>
        <item x="392"/>
        <item x="393"/>
        <item x="394"/>
        <item x="395"/>
        <item x="396"/>
        <item x="397"/>
        <item x="398"/>
        <item m="1" x="481"/>
        <item m="1" x="519"/>
        <item m="1" x="504"/>
        <item m="1" x="467"/>
        <item m="1" x="451"/>
        <item m="1" x="499"/>
        <item m="1" x="479"/>
        <item x="399"/>
        <item x="400"/>
        <item m="1" x="527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4"/>
        <item x="425"/>
        <item x="426"/>
        <item x="427"/>
        <item x="428"/>
        <item x="429"/>
        <item x="430"/>
        <item x="431"/>
        <item m="1" x="508"/>
        <item m="1" x="487"/>
        <item m="1" x="526"/>
        <item m="1" x="501"/>
        <item m="1" x="457"/>
        <item m="1" x="485"/>
        <item m="1" x="443"/>
        <item m="1" x="494"/>
        <item m="1" x="473"/>
        <item m="1" x="469"/>
        <item m="1" x="445"/>
        <item m="1" x="498"/>
        <item m="1" x="477"/>
        <item m="1" x="446"/>
        <item m="1" x="509"/>
        <item x="421"/>
        <item x="422"/>
        <item x="423"/>
        <item x="401"/>
        <item x="402"/>
        <item x="403"/>
        <item x="432"/>
        <item x="106"/>
        <item t="default"/>
      </items>
    </pivotField>
    <pivotField showAll="0"/>
    <pivotField showAll="0"/>
    <pivotField dataField="1" showAll="0"/>
    <pivotField axis="axisRow" showAll="0">
      <items count="6">
        <item sd="0" x="4"/>
        <item sd="0" x="0"/>
        <item sd="0" x="1"/>
        <item sd="0" x="2"/>
        <item sd="0" x="3"/>
        <item t="default"/>
      </items>
    </pivotField>
    <pivotField showAll="0"/>
    <pivotField showAll="0"/>
    <pivotField multipleItemSelectionAllowed="1" showAll="0"/>
    <pivotField dataField="1" showAll="0"/>
    <pivotField showAll="0"/>
    <pivotField axis="axisPage" dataField="1" multipleItemSelectionAllowed="1" showAll="0">
      <items count="126">
        <item x="0"/>
        <item h="1" x="2"/>
        <item h="1" x="13"/>
        <item x="14"/>
        <item x="21"/>
        <item x="24"/>
        <item x="5"/>
        <item x="20"/>
        <item x="4"/>
        <item x="17"/>
        <item x="3"/>
        <item x="18"/>
        <item x="19"/>
        <item x="23"/>
        <item x="16"/>
        <item x="6"/>
        <item x="12"/>
        <item x="27"/>
        <item x="7"/>
        <item x="9"/>
        <item x="28"/>
        <item x="39"/>
        <item x="30"/>
        <item x="1"/>
        <item x="34"/>
        <item x="35"/>
        <item x="10"/>
        <item x="15"/>
        <item x="22"/>
        <item x="26"/>
        <item x="25"/>
        <item x="37"/>
        <item x="36"/>
        <item x="47"/>
        <item x="32"/>
        <item x="42"/>
        <item x="52"/>
        <item x="38"/>
        <item x="31"/>
        <item x="44"/>
        <item x="11"/>
        <item x="33"/>
        <item x="55"/>
        <item x="48"/>
        <item x="54"/>
        <item x="61"/>
        <item x="56"/>
        <item x="43"/>
        <item x="46"/>
        <item x="41"/>
        <item x="60"/>
        <item x="49"/>
        <item x="62"/>
        <item x="51"/>
        <item x="45"/>
        <item x="57"/>
        <item x="58"/>
        <item x="59"/>
        <item x="71"/>
        <item x="53"/>
        <item x="63"/>
        <item x="75"/>
        <item x="67"/>
        <item x="64"/>
        <item x="40"/>
        <item x="74"/>
        <item x="81"/>
        <item x="83"/>
        <item x="66"/>
        <item x="73"/>
        <item x="29"/>
        <item x="82"/>
        <item x="87"/>
        <item x="70"/>
        <item x="65"/>
        <item x="84"/>
        <item x="68"/>
        <item x="85"/>
        <item x="96"/>
        <item x="90"/>
        <item x="86"/>
        <item x="95"/>
        <item x="69"/>
        <item x="72"/>
        <item x="108"/>
        <item x="99"/>
        <item x="93"/>
        <item x="76"/>
        <item x="100"/>
        <item x="109"/>
        <item m="1" x="124"/>
        <item x="79"/>
        <item x="104"/>
        <item x="89"/>
        <item x="91"/>
        <item x="101"/>
        <item x="114"/>
        <item x="97"/>
        <item x="106"/>
        <item x="92"/>
        <item x="78"/>
        <item x="111"/>
        <item x="112"/>
        <item x="103"/>
        <item x="94"/>
        <item x="98"/>
        <item x="116"/>
        <item x="110"/>
        <item x="113"/>
        <item x="122"/>
        <item x="77"/>
        <item x="105"/>
        <item x="88"/>
        <item x="117"/>
        <item x="80"/>
        <item x="118"/>
        <item x="50"/>
        <item x="107"/>
        <item x="102"/>
        <item x="119"/>
        <item x="120"/>
        <item x="115"/>
        <item h="1" x="123"/>
        <item x="121"/>
        <item h="1" x="8"/>
        <item t="default"/>
      </items>
    </pivotField>
    <pivotField showAll="0" defaultSubtotal="0"/>
    <pivotField showAll="0"/>
  </pivotFields>
  <rowFields count="3">
    <field x="7"/>
    <field x="1"/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3" hier="-1"/>
  </pageFields>
  <dataFields count="4">
    <dataField name="Počet z Předpokládaná hodnota VZ bez DPH" fld="6" subtotal="count" baseField="0" baseItem="0"/>
    <dataField name="Počet z Smlouva podepsána" fld="13" subtotal="count" baseField="0" baseItem="0"/>
    <dataField name="Součet z Předpokládaná hodnota VZ bez DPH2" fld="6" baseField="0" baseItem="0" numFmtId="164"/>
    <dataField name="Součet z Vítězná cena bez DPH" fld="11" baseField="0" baseItem="0" numFmtId="164"/>
  </dataFields>
  <formats count="5">
    <format dxfId="135">
      <pivotArea field="7" type="button" dataOnly="0" labelOnly="1" outline="0" axis="axisRow" fieldPosition="0"/>
    </format>
    <format dxfId="1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3">
      <pivotArea field="7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1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Kontingenční tabulka 2" cacheId="11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C9" firstHeaderRow="1" firstDataRow="2" firstDataCol="1" rowPageCount="1" colPageCount="1"/>
  <pivotFields count="16">
    <pivotField showAll="0"/>
    <pivotField showAll="0"/>
    <pivotField showAll="0"/>
    <pivotField axis="axisRow" showAll="0">
      <items count="434">
        <item x="432"/>
        <item x="247"/>
        <item x="254"/>
        <item x="255"/>
        <item x="256"/>
        <item x="220"/>
        <item x="324"/>
        <item x="266"/>
        <item x="205"/>
        <item x="206"/>
        <item x="207"/>
        <item x="208"/>
        <item x="6"/>
        <item x="7"/>
        <item x="8"/>
        <item x="9"/>
        <item x="14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16"/>
        <item x="80"/>
        <item x="81"/>
        <item x="82"/>
        <item x="24"/>
        <item x="25"/>
        <item x="26"/>
        <item x="27"/>
        <item x="32"/>
        <item x="28"/>
        <item x="29"/>
        <item x="30"/>
        <item x="31"/>
        <item x="33"/>
        <item x="34"/>
        <item x="62"/>
        <item x="63"/>
        <item x="64"/>
        <item x="65"/>
        <item x="66"/>
        <item x="67"/>
        <item x="68"/>
        <item x="319"/>
        <item x="45"/>
        <item x="46"/>
        <item x="47"/>
        <item x="48"/>
        <item x="49"/>
        <item x="50"/>
        <item x="51"/>
        <item x="52"/>
        <item x="57"/>
        <item x="53"/>
        <item x="54"/>
        <item x="55"/>
        <item x="56"/>
        <item x="58"/>
        <item x="177"/>
        <item x="178"/>
        <item x="370"/>
        <item x="101"/>
        <item x="204"/>
        <item x="61"/>
        <item x="405"/>
        <item x="406"/>
        <item x="407"/>
        <item x="408"/>
        <item x="409"/>
        <item x="410"/>
        <item x="411"/>
        <item x="412"/>
        <item x="347"/>
        <item x="348"/>
        <item x="349"/>
        <item x="350"/>
        <item x="351"/>
        <item x="214"/>
        <item x="341"/>
        <item x="109"/>
        <item x="325"/>
        <item x="291"/>
        <item x="38"/>
        <item x="161"/>
        <item x="233"/>
        <item x="400"/>
        <item x="71"/>
        <item x="327"/>
        <item x="391"/>
        <item x="361"/>
        <item x="196"/>
        <item x="189"/>
        <item x="226"/>
        <item x="227"/>
        <item x="59"/>
        <item x="188"/>
        <item x="368"/>
        <item x="420"/>
        <item x="228"/>
        <item x="280"/>
        <item x="197"/>
        <item x="285"/>
        <item x="289"/>
        <item x="372"/>
        <item x="318"/>
        <item x="60"/>
        <item x="184"/>
        <item x="4"/>
        <item x="5"/>
        <item x="230"/>
        <item x="106"/>
        <item x="105"/>
        <item x="107"/>
        <item x="104"/>
        <item x="1"/>
        <item x="423"/>
        <item x="3"/>
        <item x="298"/>
        <item x="299"/>
        <item x="300"/>
        <item x="301"/>
        <item x="309"/>
        <item x="144"/>
        <item x="145"/>
        <item x="329"/>
        <item x="330"/>
        <item x="331"/>
        <item x="375"/>
        <item x="376"/>
        <item x="241"/>
        <item x="312"/>
        <item x="352"/>
        <item x="353"/>
        <item x="354"/>
        <item x="355"/>
        <item x="356"/>
        <item x="357"/>
        <item x="373"/>
        <item x="374"/>
        <item x="384"/>
        <item x="385"/>
        <item x="386"/>
        <item x="387"/>
        <item x="388"/>
        <item x="389"/>
        <item x="390"/>
        <item x="377"/>
        <item x="378"/>
        <item x="379"/>
        <item x="380"/>
        <item x="381"/>
        <item x="382"/>
        <item x="383"/>
        <item x="424"/>
        <item x="425"/>
        <item x="426"/>
        <item x="427"/>
        <item x="428"/>
        <item x="429"/>
        <item x="430"/>
        <item x="431"/>
        <item x="292"/>
        <item x="293"/>
        <item x="294"/>
        <item x="295"/>
        <item x="296"/>
        <item x="297"/>
        <item x="182"/>
        <item x="86"/>
        <item x="87"/>
        <item x="88"/>
        <item x="89"/>
        <item x="90"/>
        <item x="153"/>
        <item x="154"/>
        <item x="155"/>
        <item x="392"/>
        <item x="136"/>
        <item x="418"/>
        <item x="39"/>
        <item x="40"/>
        <item x="41"/>
        <item x="42"/>
        <item x="43"/>
        <item x="44"/>
        <item x="258"/>
        <item x="259"/>
        <item x="260"/>
        <item x="261"/>
        <item x="262"/>
        <item x="263"/>
        <item x="315"/>
        <item x="316"/>
        <item x="317"/>
        <item x="393"/>
        <item x="394"/>
        <item x="395"/>
        <item x="396"/>
        <item x="397"/>
        <item x="343"/>
        <item x="344"/>
        <item x="345"/>
        <item x="346"/>
        <item x="365"/>
        <item x="366"/>
        <item x="367"/>
        <item x="334"/>
        <item x="335"/>
        <item x="244"/>
        <item x="245"/>
        <item x="272"/>
        <item x="236"/>
        <item x="108"/>
        <item x="225"/>
        <item x="162"/>
        <item x="181"/>
        <item x="190"/>
        <item x="287"/>
        <item x="201"/>
        <item x="202"/>
        <item x="203"/>
        <item x="121"/>
        <item x="401"/>
        <item x="402"/>
        <item x="403"/>
        <item x="123"/>
        <item x="209"/>
        <item x="134"/>
        <item x="135"/>
        <item x="274"/>
        <item x="147"/>
        <item x="174"/>
        <item x="166"/>
        <item x="176"/>
        <item x="264"/>
        <item x="97"/>
        <item x="183"/>
        <item x="2"/>
        <item x="302"/>
        <item x="303"/>
        <item x="268"/>
        <item x="269"/>
        <item x="270"/>
        <item x="271"/>
        <item x="313"/>
        <item x="278"/>
        <item x="132"/>
        <item x="156"/>
        <item x="328"/>
        <item x="110"/>
        <item x="163"/>
        <item x="399"/>
        <item x="125"/>
        <item x="199"/>
        <item x="251"/>
        <item x="252"/>
        <item x="253"/>
        <item x="175"/>
        <item x="249"/>
        <item x="238"/>
        <item x="321"/>
        <item x="322"/>
        <item x="160"/>
        <item x="180"/>
        <item x="360"/>
        <item x="332"/>
        <item x="157"/>
        <item x="158"/>
        <item x="288"/>
        <item x="339"/>
        <item x="304"/>
        <item x="305"/>
        <item x="91"/>
        <item x="92"/>
        <item x="93"/>
        <item x="286"/>
        <item x="422"/>
        <item x="229"/>
        <item x="257"/>
        <item x="171"/>
        <item x="152"/>
        <item x="234"/>
        <item x="235"/>
        <item x="79"/>
        <item x="119"/>
        <item x="120"/>
        <item x="141"/>
        <item x="142"/>
        <item x="275"/>
        <item x="276"/>
        <item x="279"/>
        <item x="75"/>
        <item x="172"/>
        <item x="248"/>
        <item x="148"/>
        <item x="35"/>
        <item x="36"/>
        <item x="37"/>
        <item x="137"/>
        <item x="138"/>
        <item x="115"/>
        <item x="168"/>
        <item x="195"/>
        <item x="167"/>
        <item x="169"/>
        <item x="358"/>
        <item x="170"/>
        <item x="117"/>
        <item x="116"/>
        <item x="340"/>
        <item x="193"/>
        <item x="118"/>
        <item x="250"/>
        <item x="69"/>
        <item x="194"/>
        <item x="74"/>
        <item x="371"/>
        <item x="362"/>
        <item x="76"/>
        <item x="222"/>
        <item x="419"/>
        <item x="140"/>
        <item x="200"/>
        <item x="150"/>
        <item x="151"/>
        <item x="126"/>
        <item x="237"/>
        <item x="320"/>
        <item x="219"/>
        <item x="210"/>
        <item x="218"/>
        <item x="290"/>
        <item x="187"/>
        <item x="364"/>
        <item x="242"/>
        <item x="215"/>
        <item x="421"/>
        <item x="369"/>
        <item x="404"/>
        <item x="179"/>
        <item x="128"/>
        <item x="149"/>
        <item x="212"/>
        <item x="336"/>
        <item x="124"/>
        <item x="72"/>
        <item x="363"/>
        <item x="159"/>
        <item x="224"/>
        <item x="243"/>
        <item x="413"/>
        <item x="414"/>
        <item x="415"/>
        <item x="416"/>
        <item x="417"/>
        <item x="211"/>
        <item x="173"/>
        <item x="185"/>
        <item x="186"/>
        <item x="306"/>
        <item x="307"/>
        <item x="308"/>
        <item x="359"/>
        <item x="342"/>
        <item x="78"/>
        <item x="77"/>
        <item x="216"/>
        <item x="217"/>
        <item x="84"/>
        <item x="85"/>
        <item x="129"/>
        <item x="130"/>
        <item x="165"/>
        <item x="164"/>
        <item x="223"/>
        <item x="83"/>
        <item x="143"/>
        <item x="338"/>
        <item x="70"/>
        <item x="398"/>
        <item x="265"/>
        <item x="281"/>
        <item x="133"/>
        <item x="103"/>
        <item x="246"/>
        <item x="323"/>
        <item x="146"/>
        <item x="267"/>
        <item x="131"/>
        <item x="326"/>
        <item x="239"/>
        <item x="240"/>
        <item x="111"/>
        <item x="112"/>
        <item x="113"/>
        <item x="231"/>
        <item x="282"/>
        <item x="277"/>
        <item x="191"/>
        <item x="99"/>
        <item x="98"/>
        <item x="127"/>
        <item x="192"/>
        <item x="139"/>
        <item x="273"/>
        <item x="0"/>
        <item x="100"/>
        <item x="314"/>
        <item x="94"/>
        <item x="95"/>
        <item x="96"/>
        <item x="198"/>
        <item x="232"/>
        <item x="221"/>
        <item x="283"/>
        <item x="213"/>
        <item x="310"/>
        <item x="333"/>
        <item x="73"/>
        <item x="102"/>
        <item x="114"/>
        <item x="337"/>
        <item x="122"/>
        <item x="284"/>
        <item x="311"/>
        <item t="default"/>
      </items>
    </pivotField>
    <pivotField showAll="0"/>
    <pivotField showAll="0"/>
    <pivotField dataField="1" showAll="0"/>
    <pivotField axis="axisRow" showAll="0">
      <items count="5">
        <item sd="0" x="2"/>
        <item sd="0" x="1"/>
        <item sd="0" x="0"/>
        <item sd="0" x="3"/>
        <item t="default"/>
      </items>
    </pivotField>
    <pivotField showAll="0"/>
    <pivotField showAll="0"/>
    <pivotField showAll="0"/>
    <pivotField dataField="1" showAll="0"/>
    <pivotField showAll="0"/>
    <pivotField axis="axisPage" multipleItemSelectionAllowed="1" showAll="0">
      <items count="125">
        <item x="2"/>
        <item x="13"/>
        <item x="14"/>
        <item x="21"/>
        <item x="5"/>
        <item x="24"/>
        <item x="20"/>
        <item x="4"/>
        <item x="17"/>
        <item x="3"/>
        <item x="18"/>
        <item x="19"/>
        <item x="30"/>
        <item x="16"/>
        <item x="23"/>
        <item x="12"/>
        <item x="6"/>
        <item x="27"/>
        <item x="7"/>
        <item x="28"/>
        <item x="39"/>
        <item x="9"/>
        <item x="1"/>
        <item x="34"/>
        <item x="35"/>
        <item x="10"/>
        <item x="15"/>
        <item x="22"/>
        <item x="26"/>
        <item x="37"/>
        <item x="25"/>
        <item x="36"/>
        <item x="47"/>
        <item x="42"/>
        <item x="52"/>
        <item x="32"/>
        <item x="38"/>
        <item x="44"/>
        <item x="31"/>
        <item x="33"/>
        <item x="55"/>
        <item x="11"/>
        <item x="48"/>
        <item x="61"/>
        <item x="54"/>
        <item x="56"/>
        <item x="43"/>
        <item x="46"/>
        <item x="60"/>
        <item x="41"/>
        <item x="49"/>
        <item x="62"/>
        <item x="51"/>
        <item x="59"/>
        <item x="57"/>
        <item x="45"/>
        <item x="71"/>
        <item x="58"/>
        <item x="53"/>
        <item x="63"/>
        <item x="75"/>
        <item x="67"/>
        <item x="64"/>
        <item x="74"/>
        <item x="40"/>
        <item x="81"/>
        <item x="83"/>
        <item x="66"/>
        <item x="73"/>
        <item x="29"/>
        <item x="82"/>
        <item x="87"/>
        <item x="70"/>
        <item x="65"/>
        <item x="84"/>
        <item x="68"/>
        <item x="85"/>
        <item x="96"/>
        <item x="90"/>
        <item x="95"/>
        <item x="86"/>
        <item x="108"/>
        <item x="69"/>
        <item x="72"/>
        <item x="99"/>
        <item x="109"/>
        <item x="93"/>
        <item x="76"/>
        <item x="100"/>
        <item x="79"/>
        <item x="104"/>
        <item x="89"/>
        <item x="91"/>
        <item x="101"/>
        <item x="114"/>
        <item x="97"/>
        <item x="106"/>
        <item x="92"/>
        <item x="78"/>
        <item x="111"/>
        <item x="112"/>
        <item x="103"/>
        <item x="94"/>
        <item x="98"/>
        <item x="116"/>
        <item x="110"/>
        <item x="113"/>
        <item x="122"/>
        <item x="77"/>
        <item x="105"/>
        <item x="88"/>
        <item x="117"/>
        <item x="80"/>
        <item x="120"/>
        <item x="118"/>
        <item x="50"/>
        <item x="107"/>
        <item x="119"/>
        <item x="102"/>
        <item x="115"/>
        <item x="121"/>
        <item x="123"/>
        <item h="1" x="0"/>
        <item h="1" x="8"/>
        <item t="default"/>
      </items>
    </pivotField>
    <pivotField showAll="0" defaultSubtotal="0"/>
    <pivotField showAll="0"/>
  </pivotFields>
  <rowFields count="2">
    <field x="7"/>
    <field x="3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3" hier="-1"/>
  </pageFields>
  <dataFields count="2">
    <dataField name="Součet z Předpokládaná hodnota VZ bez DPH" fld="6" baseField="0" baseItem="0"/>
    <dataField name="Součet z Vítězná cena bez DPH" fld="11" baseField="0" baseItem="0"/>
  </dataFields>
  <formats count="5">
    <format dxfId="130">
      <pivotArea outline="0" collapsedLevelsAreSubtotals="1" fieldPosition="0"/>
    </format>
    <format dxfId="129">
      <pivotArea dataOnly="0" labelOnly="1" outline="0" fieldPosition="0">
        <references count="1">
          <reference field="13" count="0"/>
        </references>
      </pivotArea>
    </format>
    <format dxfId="128">
      <pivotArea field="-2" type="button" dataOnly="0" labelOnly="1" outline="0" axis="axisCol" fieldPosition="0"/>
    </format>
    <format dxfId="127">
      <pivotArea type="topRight" dataOnly="0" labelOnly="1" outline="0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Kontingenční tabulka 1" cacheId="12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E9" firstHeaderRow="1" firstDataRow="2" firstDataCol="1" rowPageCount="1" colPageCount="1"/>
  <pivotFields count="16">
    <pivotField showAll="0"/>
    <pivotField showAll="0"/>
    <pivotField showAll="0"/>
    <pivotField axis="axisRow" showAll="0">
      <items count="642">
        <item x="2"/>
        <item x="3"/>
        <item m="1" x="606"/>
        <item x="38"/>
        <item x="26"/>
        <item x="27"/>
        <item x="28"/>
        <item x="29"/>
        <item x="30"/>
        <item x="0"/>
        <item m="1" x="527"/>
        <item m="1" x="584"/>
        <item x="18"/>
        <item m="1" x="511"/>
        <item x="68"/>
        <item x="59"/>
        <item m="1" x="596"/>
        <item m="1" x="550"/>
        <item m="1" x="514"/>
        <item m="1" x="539"/>
        <item m="1" x="570"/>
        <item x="40"/>
        <item m="1" x="513"/>
        <item x="14"/>
        <item m="1" x="561"/>
        <item x="19"/>
        <item x="20"/>
        <item x="43"/>
        <item x="44"/>
        <item m="1" x="583"/>
        <item x="31"/>
        <item m="1" x="563"/>
        <item x="32"/>
        <item x="33"/>
        <item x="34"/>
        <item m="1" x="531"/>
        <item x="41"/>
        <item x="42"/>
        <item m="1" x="573"/>
        <item m="1" x="598"/>
        <item m="1" x="589"/>
        <item m="1" x="517"/>
        <item m="1" x="575"/>
        <item m="1" x="602"/>
        <item m="1" x="591"/>
        <item m="1" x="618"/>
        <item m="1" x="605"/>
        <item m="1" x="506"/>
        <item m="1" x="613"/>
        <item m="1" x="493"/>
        <item m="1" x="637"/>
        <item m="1" x="535"/>
        <item x="9"/>
        <item x="10"/>
        <item x="11"/>
        <item x="12"/>
        <item x="13"/>
        <item x="60"/>
        <item m="1" x="635"/>
        <item m="1" x="578"/>
        <item m="1" x="631"/>
        <item m="1" x="590"/>
        <item m="1" x="516"/>
        <item m="1" x="611"/>
        <item m="1" x="558"/>
        <item x="22"/>
        <item x="23"/>
        <item x="24"/>
        <item x="25"/>
        <item x="35"/>
        <item x="36"/>
        <item x="37"/>
        <item m="1" x="497"/>
        <item m="1" x="614"/>
        <item m="1" x="595"/>
        <item m="1" x="572"/>
        <item x="4"/>
        <item x="1"/>
        <item m="1" x="633"/>
        <item m="1" x="634"/>
        <item x="138"/>
        <item x="139"/>
        <item x="107"/>
        <item x="460"/>
        <item x="461"/>
        <item x="462"/>
        <item x="463"/>
        <item x="464"/>
        <item x="465"/>
        <item x="466"/>
        <item x="5"/>
        <item m="1" x="566"/>
        <item x="67"/>
        <item m="1" x="520"/>
        <item m="1" x="608"/>
        <item x="7"/>
        <item m="1" x="588"/>
        <item m="1" x="581"/>
        <item x="39"/>
        <item m="1" x="503"/>
        <item m="1" x="501"/>
        <item m="1" x="534"/>
        <item m="1" x="498"/>
        <item m="1" x="502"/>
        <item m="1" x="586"/>
        <item m="1" x="532"/>
        <item m="1" x="509"/>
        <item x="15"/>
        <item x="16"/>
        <item x="17"/>
        <item m="1" x="499"/>
        <item m="1" x="522"/>
        <item m="1" x="556"/>
        <item m="1" x="508"/>
        <item x="66"/>
        <item x="6"/>
        <item x="181"/>
        <item x="8"/>
        <item x="21"/>
        <item m="1" x="626"/>
        <item x="491"/>
        <item m="1" x="521"/>
        <item m="1" x="530"/>
        <item m="1" x="537"/>
        <item m="1" x="538"/>
        <item m="1" x="615"/>
        <item m="1" x="597"/>
        <item m="1" x="543"/>
        <item m="1" x="609"/>
        <item m="1" x="524"/>
        <item m="1" x="515"/>
        <item m="1" x="603"/>
        <item m="1" x="612"/>
        <item m="1" x="564"/>
        <item m="1" x="519"/>
        <item m="1" x="569"/>
        <item m="1" x="560"/>
        <item m="1" x="580"/>
        <item x="85"/>
        <item m="1" x="632"/>
        <item m="1" x="600"/>
        <item m="1" x="593"/>
        <item x="86"/>
        <item x="87"/>
        <item x="113"/>
        <item x="114"/>
        <item x="115"/>
        <item x="116"/>
        <item x="117"/>
        <item m="1" x="555"/>
        <item x="122"/>
        <item x="126"/>
        <item x="123"/>
        <item x="124"/>
        <item x="125"/>
        <item m="1" x="571"/>
        <item m="1" x="542"/>
        <item x="142"/>
        <item x="143"/>
        <item x="88"/>
        <item x="89"/>
        <item x="90"/>
        <item x="92"/>
        <item x="93"/>
        <item x="94"/>
        <item x="97"/>
        <item x="98"/>
        <item x="95"/>
        <item x="91"/>
        <item x="96"/>
        <item x="99"/>
        <item x="100"/>
        <item m="1" x="624"/>
        <item x="101"/>
        <item x="45"/>
        <item x="46"/>
        <item x="47"/>
        <item x="48"/>
        <item x="49"/>
        <item x="50"/>
        <item x="51"/>
        <item x="102"/>
        <item x="61"/>
        <item x="62"/>
        <item x="63"/>
        <item x="64"/>
        <item x="65"/>
        <item x="52"/>
        <item x="53"/>
        <item x="54"/>
        <item x="58"/>
        <item x="55"/>
        <item x="56"/>
        <item x="57"/>
        <item x="103"/>
        <item x="104"/>
        <item x="105"/>
        <item m="1" x="567"/>
        <item x="106"/>
        <item x="80"/>
        <item x="84"/>
        <item x="81"/>
        <item x="82"/>
        <item x="83"/>
        <item m="1" x="523"/>
        <item x="69"/>
        <item x="71"/>
        <item x="70"/>
        <item x="77"/>
        <item x="72"/>
        <item x="78"/>
        <item x="73"/>
        <item x="74"/>
        <item x="76"/>
        <item x="79"/>
        <item x="75"/>
        <item x="118"/>
        <item x="112"/>
        <item x="119"/>
        <item x="120"/>
        <item x="121"/>
        <item x="127"/>
        <item x="128"/>
        <item x="129"/>
        <item m="1" x="540"/>
        <item x="133"/>
        <item m="1" x="568"/>
        <item x="134"/>
        <item x="135"/>
        <item x="136"/>
        <item x="137"/>
        <item m="1" x="562"/>
        <item x="165"/>
        <item x="166"/>
        <item m="1" x="510"/>
        <item m="1" x="554"/>
        <item x="168"/>
        <item x="169"/>
        <item x="170"/>
        <item m="1" x="533"/>
        <item x="173"/>
        <item x="174"/>
        <item x="175"/>
        <item x="140"/>
        <item x="141"/>
        <item x="176"/>
        <item x="177"/>
        <item x="110"/>
        <item x="111"/>
        <item x="144"/>
        <item x="145"/>
        <item x="146"/>
        <item x="147"/>
        <item x="161"/>
        <item x="162"/>
        <item x="148"/>
        <item x="149"/>
        <item x="150"/>
        <item x="151"/>
        <item x="152"/>
        <item x="153"/>
        <item x="163"/>
        <item x="154"/>
        <item x="155"/>
        <item x="156"/>
        <item x="157"/>
        <item x="164"/>
        <item x="158"/>
        <item x="159"/>
        <item x="160"/>
        <item x="178"/>
        <item x="179"/>
        <item x="180"/>
        <item x="182"/>
        <item x="183"/>
        <item x="130"/>
        <item x="131"/>
        <item x="132"/>
        <item m="1" x="585"/>
        <item x="184"/>
        <item x="185"/>
        <item m="1" x="623"/>
        <item m="1" x="627"/>
        <item m="1" x="622"/>
        <item x="190"/>
        <item x="191"/>
        <item x="192"/>
        <item m="1" x="557"/>
        <item m="1" x="545"/>
        <item m="1" x="574"/>
        <item x="196"/>
        <item x="197"/>
        <item m="1" x="526"/>
        <item x="108"/>
        <item x="109"/>
        <item x="198"/>
        <item x="199"/>
        <item x="200"/>
        <item x="167"/>
        <item x="201"/>
        <item x="202"/>
        <item m="1" x="518"/>
        <item x="204"/>
        <item x="205"/>
        <item x="189"/>
        <item x="187"/>
        <item x="188"/>
        <item x="203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186"/>
        <item x="219"/>
        <item x="171"/>
        <item x="172"/>
        <item x="220"/>
        <item x="221"/>
        <item x="222"/>
        <item x="224"/>
        <item x="223"/>
        <item x="226"/>
        <item x="225"/>
        <item m="1" x="639"/>
        <item x="227"/>
        <item x="228"/>
        <item x="229"/>
        <item x="230"/>
        <item m="1" x="607"/>
        <item x="236"/>
        <item x="237"/>
        <item x="193"/>
        <item x="194"/>
        <item x="195"/>
        <item m="1" x="529"/>
        <item m="1" x="553"/>
        <item x="238"/>
        <item x="239"/>
        <item x="240"/>
        <item x="241"/>
        <item m="1" x="604"/>
        <item m="1" x="640"/>
        <item m="1" x="625"/>
        <item m="1" x="549"/>
        <item m="1" x="577"/>
        <item m="1" x="621"/>
        <item m="1" x="592"/>
        <item m="1" x="544"/>
        <item m="1" x="559"/>
        <item m="1" x="594"/>
        <item x="251"/>
        <item x="252"/>
        <item x="253"/>
        <item x="254"/>
        <item x="255"/>
        <item x="256"/>
        <item x="257"/>
        <item x="258"/>
        <item m="1" x="505"/>
        <item m="1" x="599"/>
        <item x="271"/>
        <item m="1" x="582"/>
        <item m="1" x="528"/>
        <item x="231"/>
        <item x="232"/>
        <item x="233"/>
        <item x="234"/>
        <item x="235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3"/>
        <item x="272"/>
        <item x="274"/>
        <item x="275"/>
        <item x="276"/>
        <item x="277"/>
        <item m="1" x="551"/>
        <item m="1" x="629"/>
        <item m="1" x="52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m="1" x="496"/>
        <item x="298"/>
        <item x="299"/>
        <item x="300"/>
        <item x="301"/>
        <item x="302"/>
        <item x="303"/>
        <item m="1" x="587"/>
        <item x="306"/>
        <item x="307"/>
        <item x="308"/>
        <item x="309"/>
        <item x="310"/>
        <item x="311"/>
        <item x="278"/>
        <item x="279"/>
        <item x="280"/>
        <item m="1" x="500"/>
        <item x="314"/>
        <item x="315"/>
        <item x="316"/>
        <item x="317"/>
        <item x="318"/>
        <item m="1" x="552"/>
        <item m="1" x="579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m="1" x="504"/>
        <item x="333"/>
        <item x="334"/>
        <item x="335"/>
        <item x="331"/>
        <item x="332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297"/>
        <item x="351"/>
        <item x="352"/>
        <item x="353"/>
        <item x="354"/>
        <item x="355"/>
        <item x="349"/>
        <item x="350"/>
        <item x="356"/>
        <item x="357"/>
        <item x="312"/>
        <item x="313"/>
        <item x="358"/>
        <item m="1" x="616"/>
        <item x="359"/>
        <item x="360"/>
        <item x="304"/>
        <item x="305"/>
        <item x="361"/>
        <item x="362"/>
        <item x="363"/>
        <item x="364"/>
        <item x="365"/>
        <item x="366"/>
        <item x="367"/>
        <item x="368"/>
        <item x="369"/>
        <item x="370"/>
        <item x="242"/>
        <item x="243"/>
        <item x="244"/>
        <item x="245"/>
        <item x="246"/>
        <item x="247"/>
        <item x="248"/>
        <item x="249"/>
        <item x="250"/>
        <item m="1" x="512"/>
        <item x="371"/>
        <item x="372"/>
        <item x="373"/>
        <item m="1" x="619"/>
        <item x="375"/>
        <item m="1" x="565"/>
        <item m="1" x="495"/>
        <item x="377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374"/>
        <item x="415"/>
        <item m="1" x="536"/>
        <item x="416"/>
        <item x="378"/>
        <item x="417"/>
        <item x="418"/>
        <item m="1" x="492"/>
        <item m="1" x="620"/>
        <item m="1" x="576"/>
        <item x="376"/>
        <item x="419"/>
        <item x="420"/>
        <item x="421"/>
        <item x="422"/>
        <item x="423"/>
        <item m="1" x="628"/>
        <item m="1" x="601"/>
        <item m="1" x="617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m="1" x="546"/>
        <item x="446"/>
        <item x="447"/>
        <item m="1" x="630"/>
        <item x="448"/>
        <item x="449"/>
        <item x="450"/>
        <item x="451"/>
        <item x="452"/>
        <item x="453"/>
        <item x="454"/>
        <item m="1" x="610"/>
        <item x="455"/>
        <item x="456"/>
        <item x="457"/>
        <item x="458"/>
        <item x="459"/>
        <item x="467"/>
        <item m="1" x="547"/>
        <item x="470"/>
        <item x="471"/>
        <item x="472"/>
        <item x="473"/>
        <item x="474"/>
        <item x="475"/>
        <item x="476"/>
        <item m="1" x="636"/>
        <item x="477"/>
        <item x="478"/>
        <item x="479"/>
        <item x="480"/>
        <item x="481"/>
        <item x="482"/>
        <item x="483"/>
        <item x="468"/>
        <item x="469"/>
        <item m="1" x="548"/>
        <item x="444"/>
        <item x="445"/>
        <item x="484"/>
        <item x="485"/>
        <item x="486"/>
        <item x="487"/>
        <item m="1" x="638"/>
        <item m="1" x="494"/>
        <item x="488"/>
        <item x="489"/>
        <item x="490"/>
        <item m="1" x="541"/>
        <item m="1" x="507"/>
        <item x="345"/>
        <item t="default"/>
      </items>
    </pivotField>
    <pivotField showAll="0"/>
    <pivotField showAll="0"/>
    <pivotField dataField="1" showAll="0"/>
    <pivotField axis="axisRow" showAll="0">
      <items count="5">
        <item sd="0" x="1"/>
        <item sd="0" x="0"/>
        <item sd="0" x="2"/>
        <item sd="0" x="3"/>
        <item t="default"/>
      </items>
    </pivotField>
    <pivotField showAll="0"/>
    <pivotField showAll="0"/>
    <pivotField showAll="0"/>
    <pivotField dataField="1" showAll="0"/>
    <pivotField showAll="0"/>
    <pivotField axis="axisPage" dataField="1" multipleItemSelectionAllowed="1" showAll="0">
      <items count="120">
        <item x="18"/>
        <item m="1" x="118"/>
        <item m="1" x="117"/>
        <item x="17"/>
        <item x="2"/>
        <item x="4"/>
        <item x="12"/>
        <item x="10"/>
        <item x="0"/>
        <item x="13"/>
        <item x="16"/>
        <item x="11"/>
        <item x="23"/>
        <item x="5"/>
        <item x="1"/>
        <item x="3"/>
        <item x="14"/>
        <item x="24"/>
        <item x="21"/>
        <item x="8"/>
        <item x="27"/>
        <item x="26"/>
        <item x="28"/>
        <item x="15"/>
        <item x="19"/>
        <item x="29"/>
        <item x="7"/>
        <item x="22"/>
        <item x="42"/>
        <item x="40"/>
        <item x="39"/>
        <item x="20"/>
        <item x="30"/>
        <item x="47"/>
        <item x="25"/>
        <item x="9"/>
        <item x="46"/>
        <item x="59"/>
        <item x="44"/>
        <item x="58"/>
        <item x="48"/>
        <item x="52"/>
        <item x="37"/>
        <item x="55"/>
        <item x="36"/>
        <item x="6"/>
        <item x="54"/>
        <item x="65"/>
        <item x="35"/>
        <item x="67"/>
        <item x="70"/>
        <item x="71"/>
        <item x="50"/>
        <item x="32"/>
        <item x="53"/>
        <item x="31"/>
        <item x="49"/>
        <item x="56"/>
        <item x="77"/>
        <item x="68"/>
        <item x="75"/>
        <item x="61"/>
        <item x="63"/>
        <item x="62"/>
        <item x="69"/>
        <item x="33"/>
        <item x="41"/>
        <item x="38"/>
        <item x="45"/>
        <item x="90"/>
        <item x="66"/>
        <item x="76"/>
        <item x="78"/>
        <item x="91"/>
        <item x="94"/>
        <item x="89"/>
        <item x="96"/>
        <item x="34"/>
        <item x="43"/>
        <item x="57"/>
        <item x="82"/>
        <item x="60"/>
        <item x="79"/>
        <item x="99"/>
        <item x="64"/>
        <item x="100"/>
        <item x="86"/>
        <item x="85"/>
        <item x="88"/>
        <item x="103"/>
        <item x="87"/>
        <item x="107"/>
        <item x="93"/>
        <item x="97"/>
        <item x="72"/>
        <item x="105"/>
        <item x="73"/>
        <item x="92"/>
        <item x="102"/>
        <item x="83"/>
        <item x="84"/>
        <item x="95"/>
        <item x="111"/>
        <item x="108"/>
        <item x="74"/>
        <item x="101"/>
        <item x="106"/>
        <item x="112"/>
        <item x="114"/>
        <item x="109"/>
        <item x="80"/>
        <item x="81"/>
        <item x="104"/>
        <item x="110"/>
        <item x="113"/>
        <item x="115"/>
        <item x="98"/>
        <item x="51"/>
        <item x="116"/>
        <item t="default"/>
      </items>
    </pivotField>
    <pivotField showAll="0" defaultSubtotal="0"/>
    <pivotField showAll="0"/>
  </pivotFields>
  <rowFields count="2">
    <field x="7"/>
    <field x="3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3" hier="-1"/>
  </pageFields>
  <dataFields count="4">
    <dataField name="Počet z Předpokládaná hodnota VZ bez DPH" fld="6" subtotal="count" baseField="0" baseItem="0"/>
    <dataField name="Počet z Smlouva podepsána" fld="13" subtotal="count" baseField="0" baseItem="0"/>
    <dataField name="Součet z Předpokládaná hodnota VZ bez DPH2" fld="6" baseField="0" baseItem="0" numFmtId="164"/>
    <dataField name="Součet z Vítězná cena bez DPH" fld="11" baseField="0" baseItem="0" numFmtId="164"/>
  </dataFields>
  <formats count="14">
    <format dxfId="125">
      <pivotArea field="7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123">
      <pivotArea dataOnly="0" outline="0" fieldPosition="0">
        <references count="1">
          <reference field="4294967294" count="1">
            <x v="0"/>
          </reference>
        </references>
      </pivotArea>
    </format>
    <format dxfId="122">
      <pivotArea type="all" dataOnly="0" outline="0" fieldPosition="0"/>
    </format>
    <format dxfId="12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0">
      <pivotArea type="topRight" dataOnly="0" labelOnly="1" outline="0" fieldPosition="0"/>
    </format>
    <format dxfId="11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Kontingenční tabulka 1" cacheId="8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C8" firstHeaderRow="1" firstDataRow="2" firstDataCol="1" rowPageCount="1" colPageCount="1"/>
  <pivotFields count="14">
    <pivotField showAll="0"/>
    <pivotField axis="axisRow" showAll="0">
      <items count="26">
        <item x="5"/>
        <item x="0"/>
        <item x="4"/>
        <item x="20"/>
        <item x="9"/>
        <item x="11"/>
        <item x="3"/>
        <item x="8"/>
        <item x="2"/>
        <item x="17"/>
        <item x="18"/>
        <item x="19"/>
        <item x="16"/>
        <item x="12"/>
        <item x="13"/>
        <item x="15"/>
        <item x="14"/>
        <item x="6"/>
        <item x="10"/>
        <item x="1"/>
        <item x="7"/>
        <item x="24"/>
        <item x="21"/>
        <item x="22"/>
        <item x="23"/>
        <item t="default"/>
      </items>
    </pivotField>
    <pivotField showAll="0"/>
    <pivotField axis="axisRow" showAll="0">
      <items count="510">
        <item x="99"/>
        <item x="2"/>
        <item x="3"/>
        <item x="38"/>
        <item x="77"/>
        <item x="72"/>
        <item x="78"/>
        <item x="73"/>
        <item x="74"/>
        <item x="76"/>
        <item x="79"/>
        <item x="75"/>
        <item x="26"/>
        <item x="27"/>
        <item x="28"/>
        <item x="29"/>
        <item x="30"/>
        <item x="0"/>
        <item x="18"/>
        <item x="68"/>
        <item x="59"/>
        <item x="105"/>
        <item x="87"/>
        <item x="40"/>
        <item x="133"/>
        <item x="90"/>
        <item x="14"/>
        <item x="106"/>
        <item x="101"/>
        <item x="113"/>
        <item x="114"/>
        <item x="115"/>
        <item x="116"/>
        <item x="117"/>
        <item x="118"/>
        <item x="19"/>
        <item x="20"/>
        <item x="43"/>
        <item x="44"/>
        <item x="31"/>
        <item x="32"/>
        <item x="33"/>
        <item x="34"/>
        <item x="41"/>
        <item x="42"/>
        <item x="52"/>
        <item x="53"/>
        <item x="54"/>
        <item x="58"/>
        <item x="55"/>
        <item x="56"/>
        <item x="57"/>
        <item x="45"/>
        <item x="46"/>
        <item x="47"/>
        <item x="48"/>
        <item x="49"/>
        <item x="50"/>
        <item x="51"/>
        <item x="92"/>
        <item x="93"/>
        <item x="94"/>
        <item x="97"/>
        <item x="98"/>
        <item x="95"/>
        <item x="91"/>
        <item x="96"/>
        <item x="9"/>
        <item x="10"/>
        <item x="11"/>
        <item x="12"/>
        <item x="13"/>
        <item x="60"/>
        <item x="85"/>
        <item x="61"/>
        <item x="62"/>
        <item x="63"/>
        <item x="64"/>
        <item x="65"/>
        <item x="22"/>
        <item x="23"/>
        <item x="24"/>
        <item x="25"/>
        <item x="35"/>
        <item x="36"/>
        <item x="37"/>
        <item x="127"/>
        <item x="122"/>
        <item x="126"/>
        <item x="123"/>
        <item x="124"/>
        <item x="125"/>
        <item x="4"/>
        <item x="1"/>
        <item x="69"/>
        <item x="71"/>
        <item x="70"/>
        <item x="138"/>
        <item x="139"/>
        <item x="107"/>
        <item x="460"/>
        <item x="461"/>
        <item x="462"/>
        <item x="463"/>
        <item x="464"/>
        <item x="465"/>
        <item x="466"/>
        <item x="121"/>
        <item x="5"/>
        <item x="103"/>
        <item x="67"/>
        <item x="143"/>
        <item x="89"/>
        <item x="100"/>
        <item x="119"/>
        <item x="7"/>
        <item x="128"/>
        <item x="39"/>
        <item x="102"/>
        <item x="86"/>
        <item x="120"/>
        <item x="88"/>
        <item x="80"/>
        <item x="84"/>
        <item x="81"/>
        <item x="82"/>
        <item x="83"/>
        <item x="15"/>
        <item x="16"/>
        <item x="17"/>
        <item x="142"/>
        <item x="66"/>
        <item x="129"/>
        <item x="104"/>
        <item x="6"/>
        <item x="8"/>
        <item x="21"/>
        <item x="112"/>
        <item x="491"/>
        <item x="134"/>
        <item x="135"/>
        <item x="136"/>
        <item x="137"/>
        <item x="165"/>
        <item x="166"/>
        <item x="168"/>
        <item x="169"/>
        <item x="170"/>
        <item x="173"/>
        <item x="174"/>
        <item x="175"/>
        <item x="140"/>
        <item x="141"/>
        <item x="176"/>
        <item x="177"/>
        <item x="110"/>
        <item x="111"/>
        <item x="144"/>
        <item x="145"/>
        <item x="146"/>
        <item x="147"/>
        <item x="161"/>
        <item x="162"/>
        <item x="148"/>
        <item x="149"/>
        <item x="150"/>
        <item x="151"/>
        <item x="152"/>
        <item x="153"/>
        <item x="163"/>
        <item x="154"/>
        <item x="155"/>
        <item x="156"/>
        <item x="157"/>
        <item x="164"/>
        <item x="158"/>
        <item x="159"/>
        <item x="160"/>
        <item x="178"/>
        <item x="179"/>
        <item x="180"/>
        <item x="181"/>
        <item x="182"/>
        <item x="183"/>
        <item x="130"/>
        <item x="131"/>
        <item x="132"/>
        <item x="184"/>
        <item x="185"/>
        <item x="190"/>
        <item x="191"/>
        <item x="192"/>
        <item x="196"/>
        <item x="197"/>
        <item x="108"/>
        <item x="109"/>
        <item x="198"/>
        <item x="199"/>
        <item x="200"/>
        <item x="167"/>
        <item x="201"/>
        <item x="202"/>
        <item x="204"/>
        <item x="205"/>
        <item x="189"/>
        <item x="187"/>
        <item x="188"/>
        <item x="203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186"/>
        <item x="219"/>
        <item x="171"/>
        <item x="172"/>
        <item x="220"/>
        <item x="221"/>
        <item x="222"/>
        <item x="224"/>
        <item x="223"/>
        <item x="226"/>
        <item x="225"/>
        <item x="227"/>
        <item x="228"/>
        <item x="229"/>
        <item x="230"/>
        <item x="236"/>
        <item x="237"/>
        <item x="193"/>
        <item x="194"/>
        <item x="195"/>
        <item m="1" x="495"/>
        <item x="238"/>
        <item x="239"/>
        <item x="240"/>
        <item x="241"/>
        <item x="251"/>
        <item x="252"/>
        <item x="253"/>
        <item x="254"/>
        <item x="255"/>
        <item x="256"/>
        <item x="257"/>
        <item x="258"/>
        <item x="271"/>
        <item x="231"/>
        <item x="232"/>
        <item x="233"/>
        <item x="234"/>
        <item x="235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3"/>
        <item x="272"/>
        <item x="274"/>
        <item x="275"/>
        <item x="276"/>
        <item x="277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8"/>
        <item x="299"/>
        <item x="300"/>
        <item x="301"/>
        <item x="302"/>
        <item x="303"/>
        <item x="306"/>
        <item x="307"/>
        <item x="308"/>
        <item x="309"/>
        <item x="310"/>
        <item x="311"/>
        <item x="278"/>
        <item x="279"/>
        <item x="280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3"/>
        <item x="334"/>
        <item x="331"/>
        <item x="332"/>
        <item x="297"/>
        <item x="312"/>
        <item x="313"/>
        <item x="304"/>
        <item x="305"/>
        <item x="242"/>
        <item x="243"/>
        <item x="244"/>
        <item x="245"/>
        <item x="246"/>
        <item x="247"/>
        <item x="248"/>
        <item x="249"/>
        <item x="250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492"/>
        <item m="1" x="504"/>
        <item m="1" x="500"/>
        <item x="419"/>
        <item x="420"/>
        <item x="421"/>
        <item x="422"/>
        <item x="423"/>
        <item m="1" x="505"/>
        <item m="1" x="501"/>
        <item m="1" x="50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m="1" x="497"/>
        <item x="446"/>
        <item x="447"/>
        <item m="1" x="506"/>
        <item x="448"/>
        <item x="449"/>
        <item x="450"/>
        <item x="451"/>
        <item x="452"/>
        <item x="453"/>
        <item x="454"/>
        <item m="1" x="502"/>
        <item x="455"/>
        <item x="456"/>
        <item x="457"/>
        <item x="458"/>
        <item x="459"/>
        <item x="467"/>
        <item m="1" x="498"/>
        <item x="470"/>
        <item x="471"/>
        <item x="472"/>
        <item x="473"/>
        <item x="474"/>
        <item x="475"/>
        <item x="476"/>
        <item m="1" x="507"/>
        <item x="477"/>
        <item x="478"/>
        <item x="479"/>
        <item x="480"/>
        <item x="481"/>
        <item x="482"/>
        <item x="483"/>
        <item x="468"/>
        <item x="469"/>
        <item m="1" x="499"/>
        <item x="444"/>
        <item x="445"/>
        <item x="484"/>
        <item x="485"/>
        <item x="486"/>
        <item x="487"/>
        <item m="1" x="508"/>
        <item m="1" x="493"/>
        <item x="488"/>
        <item x="489"/>
        <item x="490"/>
        <item m="1" x="496"/>
        <item m="1" x="494"/>
        <item x="345"/>
        <item t="default"/>
      </items>
    </pivotField>
    <pivotField showAll="0"/>
    <pivotField showAll="0"/>
    <pivotField dataField="1" showAll="0"/>
    <pivotField axis="axisRow" showAll="0">
      <items count="5">
        <item sd="0" x="1"/>
        <item sd="0" x="0"/>
        <item sd="0" x="2"/>
        <item x="3"/>
        <item t="default"/>
      </items>
    </pivotField>
    <pivotField showAll="0"/>
    <pivotField showAll="0"/>
    <pivotField showAll="0"/>
    <pivotField dataField="1" showAll="0"/>
    <pivotField showAll="0"/>
    <pivotField axis="axisPage" multipleItemSelectionAllowed="1" showAll="0">
      <items count="118">
        <item x="17"/>
        <item x="2"/>
        <item x="4"/>
        <item x="12"/>
        <item x="10"/>
        <item x="0"/>
        <item x="13"/>
        <item x="16"/>
        <item x="11"/>
        <item x="23"/>
        <item x="5"/>
        <item x="1"/>
        <item x="3"/>
        <item x="14"/>
        <item x="24"/>
        <item h="1" x="18"/>
        <item x="21"/>
        <item x="8"/>
        <item x="27"/>
        <item x="26"/>
        <item x="28"/>
        <item x="15"/>
        <item x="19"/>
        <item x="29"/>
        <item x="7"/>
        <item x="22"/>
        <item x="42"/>
        <item x="40"/>
        <item x="39"/>
        <item x="20"/>
        <item x="30"/>
        <item x="47"/>
        <item x="25"/>
        <item x="9"/>
        <item x="46"/>
        <item x="59"/>
        <item x="44"/>
        <item x="58"/>
        <item x="48"/>
        <item x="52"/>
        <item x="37"/>
        <item x="55"/>
        <item x="36"/>
        <item x="6"/>
        <item x="54"/>
        <item x="65"/>
        <item x="35"/>
        <item x="67"/>
        <item x="70"/>
        <item x="71"/>
        <item x="50"/>
        <item x="32"/>
        <item x="53"/>
        <item x="31"/>
        <item x="49"/>
        <item x="56"/>
        <item x="77"/>
        <item x="68"/>
        <item x="75"/>
        <item x="61"/>
        <item x="63"/>
        <item x="62"/>
        <item x="69"/>
        <item x="33"/>
        <item x="41"/>
        <item x="38"/>
        <item x="45"/>
        <item x="90"/>
        <item x="66"/>
        <item x="76"/>
        <item x="78"/>
        <item x="91"/>
        <item x="94"/>
        <item x="89"/>
        <item x="96"/>
        <item x="34"/>
        <item x="43"/>
        <item x="57"/>
        <item x="82"/>
        <item x="60"/>
        <item x="79"/>
        <item x="99"/>
        <item x="64"/>
        <item x="100"/>
        <item x="86"/>
        <item x="85"/>
        <item x="88"/>
        <item x="103"/>
        <item x="87"/>
        <item x="107"/>
        <item x="93"/>
        <item x="97"/>
        <item x="72"/>
        <item x="105"/>
        <item x="73"/>
        <item x="92"/>
        <item x="102"/>
        <item x="83"/>
        <item x="84"/>
        <item x="95"/>
        <item x="111"/>
        <item x="108"/>
        <item x="74"/>
        <item x="101"/>
        <item x="106"/>
        <item x="112"/>
        <item x="114"/>
        <item x="109"/>
        <item x="80"/>
        <item x="81"/>
        <item x="104"/>
        <item x="110"/>
        <item x="113"/>
        <item x="115"/>
        <item x="98"/>
        <item x="51"/>
        <item x="116"/>
        <item t="default"/>
      </items>
    </pivotField>
  </pivotFields>
  <rowFields count="3">
    <field x="7"/>
    <field x="1"/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13" hier="-1"/>
  </pageFields>
  <dataFields count="2">
    <dataField name="Součet z Předpokládaná hodnota VZ bez DPH" fld="6" baseField="0" baseItem="0"/>
    <dataField name="Součet z Vítězná cena bez DPH" fld="11" baseField="0" baseItem="0"/>
  </dataFields>
  <formats count="5">
    <format dxfId="111">
      <pivotArea outline="0" collapsedLevelsAreSubtotals="1" fieldPosition="0"/>
    </format>
    <format dxfId="110">
      <pivotArea dataOnly="0" labelOnly="1" outline="0" fieldPosition="0">
        <references count="1">
          <reference field="13" count="0"/>
        </references>
      </pivotArea>
    </format>
    <format dxfId="109">
      <pivotArea field="-2" type="button" dataOnly="0" labelOnly="1" outline="0" axis="axisCol" fieldPosition="0"/>
    </format>
    <format dxfId="108">
      <pivotArea type="topRight" dataOnly="0" labelOnly="1" outline="0" fieldPosition="0"/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Kontingenční tabulka 2" cacheId="6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4:E10" firstHeaderRow="1" firstDataRow="2" firstDataCol="1" rowPageCount="1" colPageCount="1"/>
  <pivotFields count="29">
    <pivotField showAll="0"/>
    <pivotField showAll="0"/>
    <pivotField showAll="0"/>
    <pivotField showAll="0"/>
    <pivotField showAll="0"/>
    <pivotField showAll="0"/>
    <pivotField axis="axisRow" showAll="0">
      <items count="623">
        <item m="1" x="568"/>
        <item m="1" x="589"/>
        <item m="1" x="490"/>
        <item m="1" x="527"/>
        <item m="1" x="591"/>
        <item m="1" x="529"/>
        <item m="1" x="472"/>
        <item m="1" x="492"/>
        <item m="1" x="536"/>
        <item m="1" x="533"/>
        <item x="42"/>
        <item x="57"/>
        <item x="45"/>
        <item x="89"/>
        <item m="1" x="618"/>
        <item m="1" x="517"/>
        <item m="1" x="485"/>
        <item m="1" x="483"/>
        <item m="1" x="510"/>
        <item m="1" x="465"/>
        <item m="1" x="522"/>
        <item m="1" x="491"/>
        <item m="1" x="462"/>
        <item m="1" x="466"/>
        <item m="1" x="523"/>
        <item m="1" x="493"/>
        <item m="1" x="606"/>
        <item x="56"/>
        <item m="1" x="541"/>
        <item m="1" x="460"/>
        <item m="1" x="484"/>
        <item x="54"/>
        <item m="1" x="570"/>
        <item m="1" x="488"/>
        <item m="1" x="580"/>
        <item m="1" x="566"/>
        <item m="1" x="595"/>
        <item m="1" x="578"/>
        <item m="1" x="455"/>
        <item m="1" x="602"/>
        <item m="1" x="549"/>
        <item m="1" x="540"/>
        <item m="1" x="596"/>
        <item m="1" x="575"/>
        <item m="1" x="563"/>
        <item m="1" x="616"/>
        <item m="1" x="588"/>
        <item m="1" x="605"/>
        <item m="1" x="607"/>
        <item m="1" x="546"/>
        <item m="1" x="514"/>
        <item m="1" x="601"/>
        <item m="1" x="500"/>
        <item m="1" x="535"/>
        <item m="1" x="501"/>
        <item m="1" x="519"/>
        <item m="1" x="620"/>
        <item m="1" x="576"/>
        <item m="1" x="506"/>
        <item m="1" x="499"/>
        <item m="1" x="612"/>
        <item m="1" x="498"/>
        <item m="1" x="467"/>
        <item m="1" x="597"/>
        <item m="1" x="579"/>
        <item m="1" x="459"/>
        <item m="1" x="567"/>
        <item m="1" x="565"/>
        <item x="61"/>
        <item m="1" x="582"/>
        <item m="1" x="548"/>
        <item x="18"/>
        <item x="31"/>
        <item m="1" x="511"/>
        <item m="1" x="525"/>
        <item m="1" x="594"/>
        <item m="1" x="572"/>
        <item m="1" x="571"/>
        <item m="1" x="531"/>
        <item m="1" x="599"/>
        <item m="1" x="577"/>
        <item m="1" x="544"/>
        <item x="17"/>
        <item m="1" x="521"/>
        <item m="1" x="585"/>
        <item m="1" x="557"/>
        <item m="1" x="508"/>
        <item m="1" x="481"/>
        <item m="1" x="551"/>
        <item m="1" x="516"/>
        <item m="1" x="539"/>
        <item m="1" x="447"/>
        <item m="1" x="590"/>
        <item m="1" x="482"/>
        <item m="1" x="464"/>
        <item m="1" x="562"/>
        <item x="43"/>
        <item x="25"/>
        <item x="58"/>
        <item x="36"/>
        <item x="15"/>
        <item m="1" x="583"/>
        <item m="1" x="619"/>
        <item m="1" x="598"/>
        <item m="1" x="554"/>
        <item m="1" x="530"/>
        <item x="32"/>
        <item x="3"/>
        <item m="1" x="528"/>
        <item m="1" x="586"/>
        <item m="1" x="561"/>
        <item m="1" x="512"/>
        <item m="1" x="489"/>
        <item x="30"/>
        <item x="39"/>
        <item x="40"/>
        <item m="1" x="592"/>
        <item m="1" x="614"/>
        <item m="1" x="604"/>
        <item m="1" x="479"/>
        <item x="29"/>
        <item m="1" x="587"/>
        <item m="1" x="507"/>
        <item m="1" x="547"/>
        <item m="1" x="461"/>
        <item m="1" x="558"/>
        <item x="33"/>
        <item x="28"/>
        <item x="41"/>
        <item m="1" x="453"/>
        <item m="1" x="463"/>
        <item x="48"/>
        <item x="9"/>
        <item x="8"/>
        <item m="1" x="593"/>
        <item m="1" x="515"/>
        <item x="53"/>
        <item m="1" x="569"/>
        <item m="1" x="615"/>
        <item m="1" x="553"/>
        <item m="1" x="505"/>
        <item m="1" x="468"/>
        <item m="1" x="564"/>
        <item m="1" x="475"/>
        <item x="19"/>
        <item m="1" x="471"/>
        <item m="1" x="457"/>
        <item m="1" x="613"/>
        <item m="1" x="603"/>
        <item m="1" x="600"/>
        <item m="1" x="545"/>
        <item m="1" x="532"/>
        <item m="1" x="478"/>
        <item m="1" x="611"/>
        <item m="1" x="559"/>
        <item m="1" x="497"/>
        <item m="1" x="480"/>
        <item m="1" x="573"/>
        <item m="1" x="520"/>
        <item m="1" x="534"/>
        <item m="1" x="556"/>
        <item m="1" x="503"/>
        <item m="1" x="458"/>
        <item m="1" x="621"/>
        <item m="1" x="451"/>
        <item x="27"/>
        <item x="49"/>
        <item m="1" x="560"/>
        <item m="1" x="542"/>
        <item m="1" x="469"/>
        <item m="1" x="552"/>
        <item m="1" x="449"/>
        <item m="1" x="474"/>
        <item x="35"/>
        <item x="16"/>
        <item x="51"/>
        <item x="446"/>
        <item x="0"/>
        <item m="1" x="509"/>
        <item x="1"/>
        <item x="2"/>
        <item x="4"/>
        <item x="5"/>
        <item x="6"/>
        <item x="7"/>
        <item x="10"/>
        <item x="11"/>
        <item x="12"/>
        <item x="13"/>
        <item x="14"/>
        <item x="20"/>
        <item x="21"/>
        <item x="22"/>
        <item x="23"/>
        <item x="24"/>
        <item x="26"/>
        <item x="34"/>
        <item x="37"/>
        <item x="38"/>
        <item x="44"/>
        <item x="46"/>
        <item x="47"/>
        <item x="50"/>
        <item x="52"/>
        <item x="77"/>
        <item x="59"/>
        <item x="60"/>
        <item x="62"/>
        <item x="63"/>
        <item x="64"/>
        <item x="65"/>
        <item x="66"/>
        <item x="67"/>
        <item x="55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107"/>
        <item x="96"/>
        <item x="97"/>
        <item x="98"/>
        <item x="99"/>
        <item x="100"/>
        <item x="101"/>
        <item x="102"/>
        <item x="103"/>
        <item x="104"/>
        <item m="1" x="617"/>
        <item x="105"/>
        <item x="106"/>
        <item x="109"/>
        <item x="110"/>
        <item x="94"/>
        <item x="111"/>
        <item x="112"/>
        <item x="95"/>
        <item x="113"/>
        <item x="114"/>
        <item x="115"/>
        <item x="116"/>
        <item x="118"/>
        <item m="1" x="608"/>
        <item x="120"/>
        <item x="121"/>
        <item x="122"/>
        <item x="123"/>
        <item x="124"/>
        <item m="1" x="502"/>
        <item x="108"/>
        <item x="126"/>
        <item x="127"/>
        <item x="128"/>
        <item x="129"/>
        <item x="130"/>
        <item x="131"/>
        <item x="132"/>
        <item x="133"/>
        <item x="134"/>
        <item m="1" x="494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35"/>
        <item x="117"/>
        <item x="151"/>
        <item x="152"/>
        <item x="153"/>
        <item x="154"/>
        <item x="155"/>
        <item m="1" x="537"/>
        <item m="1" x="450"/>
        <item x="156"/>
        <item x="157"/>
        <item x="158"/>
        <item x="159"/>
        <item x="160"/>
        <item x="161"/>
        <item x="162"/>
        <item x="163"/>
        <item x="164"/>
        <item m="1" x="448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9"/>
        <item x="190"/>
        <item x="188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5"/>
        <item x="216"/>
        <item x="210"/>
        <item x="211"/>
        <item x="212"/>
        <item x="213"/>
        <item x="214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m="1" x="495"/>
        <item x="230"/>
        <item x="231"/>
        <item x="232"/>
        <item m="1" x="524"/>
        <item x="234"/>
        <item x="235"/>
        <item x="236"/>
        <item x="237"/>
        <item x="238"/>
        <item x="125"/>
        <item x="229"/>
        <item x="239"/>
        <item x="240"/>
        <item x="241"/>
        <item x="242"/>
        <item x="243"/>
        <item x="244"/>
        <item x="23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m="1" x="504"/>
        <item x="259"/>
        <item x="260"/>
        <item x="261"/>
        <item x="262"/>
        <item x="263"/>
        <item m="1" x="526"/>
        <item x="265"/>
        <item x="264"/>
        <item x="266"/>
        <item x="267"/>
        <item x="268"/>
        <item x="269"/>
        <item m="1" x="476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70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m="1" x="486"/>
        <item x="305"/>
        <item x="306"/>
        <item x="308"/>
        <item x="310"/>
        <item x="311"/>
        <item x="312"/>
        <item x="307"/>
        <item x="313"/>
        <item x="314"/>
        <item x="309"/>
        <item x="315"/>
        <item x="316"/>
        <item x="317"/>
        <item x="119"/>
        <item x="318"/>
        <item x="319"/>
        <item x="320"/>
        <item x="321"/>
        <item m="1" x="518"/>
        <item x="323"/>
        <item x="325"/>
        <item x="326"/>
        <item x="324"/>
        <item x="327"/>
        <item x="328"/>
        <item x="329"/>
        <item x="304"/>
        <item m="1" x="550"/>
        <item m="1" x="543"/>
        <item x="331"/>
        <item x="332"/>
        <item x="333"/>
        <item x="334"/>
        <item x="335"/>
        <item m="1" x="555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m="1" x="513"/>
        <item x="352"/>
        <item x="353"/>
        <item x="354"/>
        <item x="355"/>
        <item m="1" x="456"/>
        <item m="1" x="581"/>
        <item x="358"/>
        <item x="370"/>
        <item x="359"/>
        <item x="360"/>
        <item x="361"/>
        <item x="362"/>
        <item x="330"/>
        <item x="356"/>
        <item x="364"/>
        <item x="365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m="1" x="574"/>
        <item x="384"/>
        <item m="1" x="477"/>
        <item x="385"/>
        <item x="386"/>
        <item x="387"/>
        <item x="388"/>
        <item x="336"/>
        <item x="389"/>
        <item x="390"/>
        <item x="391"/>
        <item x="363"/>
        <item x="392"/>
        <item x="393"/>
        <item x="394"/>
        <item x="395"/>
        <item x="366"/>
        <item x="396"/>
        <item x="397"/>
        <item x="398"/>
        <item m="1" x="452"/>
        <item x="400"/>
        <item x="399"/>
        <item x="401"/>
        <item x="402"/>
        <item x="403"/>
        <item x="404"/>
        <item x="405"/>
        <item x="406"/>
        <item x="407"/>
        <item x="408"/>
        <item x="409"/>
        <item m="1" x="473"/>
        <item x="411"/>
        <item x="412"/>
        <item x="413"/>
        <item x="415"/>
        <item x="416"/>
        <item x="417"/>
        <item x="419"/>
        <item m="1" x="538"/>
        <item x="418"/>
        <item x="421"/>
        <item x="422"/>
        <item x="423"/>
        <item m="1" x="584"/>
        <item m="1" x="610"/>
        <item m="1" x="609"/>
        <item x="427"/>
        <item x="428"/>
        <item m="1" x="454"/>
        <item x="430"/>
        <item m="1" x="470"/>
        <item x="431"/>
        <item x="433"/>
        <item x="434"/>
        <item x="410"/>
        <item m="1" x="496"/>
        <item x="436"/>
        <item x="437"/>
        <item x="438"/>
        <item x="439"/>
        <item x="440"/>
        <item x="441"/>
        <item m="1" x="487"/>
        <item x="432"/>
        <item x="443"/>
        <item x="444"/>
        <item x="445"/>
        <item x="414"/>
        <item x="351"/>
        <item x="425"/>
        <item x="426"/>
        <item x="435"/>
        <item x="442"/>
        <item x="383"/>
        <item x="424"/>
        <item x="357"/>
        <item x="420"/>
        <item x="429"/>
        <item x="322"/>
        <item t="default"/>
      </items>
    </pivotField>
    <pivotField showAll="0" defaultSubtotal="0"/>
    <pivotField showAll="0"/>
    <pivotField showAll="0"/>
    <pivotField showAll="0"/>
    <pivotField showAll="0"/>
    <pivotField dataField="1" showAll="0"/>
    <pivotField axis="axisRow" showAll="0">
      <items count="5">
        <item sd="0" x="0"/>
        <item sd="0" x="2"/>
        <item sd="0" x="1"/>
        <item sd="0" x="3"/>
        <item t="default"/>
      </items>
    </pivotField>
    <pivotField multipleItemSelectionAllowed="1"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/>
    <pivotField axis="axisPage" dataField="1" showAll="0">
      <items count="150">
        <item x="0"/>
        <item x="24"/>
        <item m="1" x="148"/>
        <item x="1"/>
        <item x="16"/>
        <item x="20"/>
        <item x="25"/>
        <item x="5"/>
        <item x="18"/>
        <item x="6"/>
        <item x="28"/>
        <item x="27"/>
        <item x="9"/>
        <item x="10"/>
        <item x="7"/>
        <item x="11"/>
        <item x="19"/>
        <item x="8"/>
        <item x="30"/>
        <item x="36"/>
        <item x="37"/>
        <item x="17"/>
        <item x="34"/>
        <item x="33"/>
        <item x="14"/>
        <item x="39"/>
        <item x="26"/>
        <item x="40"/>
        <item x="44"/>
        <item x="3"/>
        <item x="45"/>
        <item x="2"/>
        <item x="15"/>
        <item x="29"/>
        <item x="43"/>
        <item x="13"/>
        <item x="12"/>
        <item x="21"/>
        <item x="50"/>
        <item x="38"/>
        <item x="22"/>
        <item x="49"/>
        <item x="46"/>
        <item x="42"/>
        <item x="23"/>
        <item x="35"/>
        <item x="57"/>
        <item x="55"/>
        <item x="56"/>
        <item x="60"/>
        <item x="54"/>
        <item x="59"/>
        <item x="64"/>
        <item x="32"/>
        <item x="31"/>
        <item x="41"/>
        <item x="81"/>
        <item x="53"/>
        <item x="72"/>
        <item x="76"/>
        <item x="83"/>
        <item x="63"/>
        <item x="51"/>
        <item x="62"/>
        <item x="89"/>
        <item x="66"/>
        <item x="77"/>
        <item x="87"/>
        <item x="48"/>
        <item x="78"/>
        <item x="67"/>
        <item x="97"/>
        <item x="4"/>
        <item x="47"/>
        <item x="117"/>
        <item x="58"/>
        <item x="108"/>
        <item x="113"/>
        <item x="99"/>
        <item x="109"/>
        <item x="110"/>
        <item x="115"/>
        <item x="91"/>
        <item x="75"/>
        <item x="90"/>
        <item x="96"/>
        <item x="98"/>
        <item x="125"/>
        <item x="130"/>
        <item x="126"/>
        <item x="119"/>
        <item x="52"/>
        <item x="68"/>
        <item x="135"/>
        <item x="74"/>
        <item x="95"/>
        <item x="69"/>
        <item x="71"/>
        <item x="73"/>
        <item x="80"/>
        <item x="112"/>
        <item x="138"/>
        <item x="61"/>
        <item x="111"/>
        <item x="124"/>
        <item x="79"/>
        <item x="127"/>
        <item x="137"/>
        <item x="93"/>
        <item x="86"/>
        <item x="116"/>
        <item x="128"/>
        <item x="129"/>
        <item x="85"/>
        <item x="101"/>
        <item x="122"/>
        <item x="82"/>
        <item x="133"/>
        <item x="140"/>
        <item x="142"/>
        <item x="120"/>
        <item x="141"/>
        <item x="94"/>
        <item x="65"/>
        <item x="70"/>
        <item x="146"/>
        <item x="106"/>
        <item x="123"/>
        <item x="104"/>
        <item x="103"/>
        <item x="143"/>
        <item x="102"/>
        <item x="134"/>
        <item x="88"/>
        <item x="105"/>
        <item x="84"/>
        <item x="121"/>
        <item x="147"/>
        <item x="100"/>
        <item x="136"/>
        <item x="145"/>
        <item x="118"/>
        <item x="139"/>
        <item x="114"/>
        <item x="131"/>
        <item x="144"/>
        <item x="107"/>
        <item x="132"/>
        <item x="92"/>
        <item t="default"/>
      </items>
    </pivotField>
    <pivotField showAll="0"/>
    <pivotField showAll="0"/>
  </pivotFields>
  <rowFields count="2">
    <field x="13"/>
    <field x="6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6" hier="-1"/>
  </pageFields>
  <dataFields count="4">
    <dataField name="Počet z Předpokládaná hodnota VZ bez DPH" fld="12" subtotal="count" baseField="0" baseItem="0"/>
    <dataField name="Počet z Smlouva podepsána" fld="26" subtotal="count" baseField="0" baseItem="0"/>
    <dataField name="Součet z Předpokládaná hodnota VZ bez DPH2" fld="12" baseField="0" baseItem="0" numFmtId="164"/>
    <dataField name="Součet z Vítězná cena bez DPH" fld="19" baseField="0" baseItem="0" numFmtId="164"/>
  </dataFields>
  <formats count="16">
    <format dxfId="106">
      <pivotArea type="origin" dataOnly="0" labelOnly="1" outline="0" fieldPosition="0"/>
    </format>
    <format dxfId="105">
      <pivotArea field="13" type="button" dataOnly="0" labelOnly="1" outline="0" axis="axisRow" fieldPosition="0"/>
    </format>
    <format dxfId="104">
      <pivotArea field="-2" type="button" dataOnly="0" labelOnly="1" outline="0" axis="axisCol" fieldPosition="0"/>
    </format>
    <format dxfId="103">
      <pivotArea type="topRight" dataOnly="0" labelOnly="1" outline="0" fieldPosition="0"/>
    </format>
    <format dxfId="10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1">
      <pivotArea type="origin" dataOnly="0" labelOnly="1" outline="0" fieldPosition="0"/>
    </format>
    <format dxfId="100">
      <pivotArea field="13" type="button" dataOnly="0" labelOnly="1" outline="0" axis="axisRow" fieldPosition="0"/>
    </format>
    <format dxfId="99">
      <pivotArea field="-2" type="button" dataOnly="0" labelOnly="1" outline="0" axis="axisCol" fieldPosition="0"/>
    </format>
    <format dxfId="98">
      <pivotArea type="topRight" dataOnly="0" labelOnly="1" outline="0" fieldPosition="0"/>
    </format>
    <format dxfId="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6">
      <pivotArea type="origin" dataOnly="0" labelOnly="1" outline="0" fieldPosition="0"/>
    </format>
    <format dxfId="95">
      <pivotArea field="13" type="button" dataOnly="0" labelOnly="1" outline="0" axis="axisRow" fieldPosition="0"/>
    </format>
    <format dxfId="94">
      <pivotArea field="-2" type="button" dataOnly="0" labelOnly="1" outline="0" axis="axisCol" fieldPosition="0"/>
    </format>
    <format dxfId="93">
      <pivotArea type="topRight" dataOnly="0" labelOnly="1" outline="0" fieldPosition="0"/>
    </format>
    <format dxfId="9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1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Kontingenční tabulka 1" cacheId="7" applyNumberFormats="0" applyBorderFormats="0" applyFontFormats="0" applyPatternFormats="0" applyAlignmentFormats="0" applyWidthHeightFormats="1" dataCaption="Hodnoty" updatedVersion="6" minRefreshableVersion="3" showCalcMbrs="0" useAutoFormatting="1" itemPrintTitles="1" createdVersion="3" indent="0" outline="1" outlineData="1" multipleFieldFilters="0">
  <location ref="A3:C8" firstHeaderRow="1" firstDataRow="2" firstDataCol="1" rowPageCount="1" colPageCount="1"/>
  <pivotFields count="29">
    <pivotField showAll="0"/>
    <pivotField showAll="0"/>
    <pivotField showAll="0"/>
    <pivotField showAll="0"/>
    <pivotField axis="axisRow" showAll="0">
      <items count="29">
        <item x="4"/>
        <item x="1"/>
        <item x="7"/>
        <item x="2"/>
        <item x="5"/>
        <item x="9"/>
        <item x="14"/>
        <item x="10"/>
        <item x="8"/>
        <item x="3"/>
        <item x="0"/>
        <item x="6"/>
        <item m="1" x="27"/>
        <item x="25"/>
        <item x="11"/>
        <item x="17"/>
        <item x="13"/>
        <item x="12"/>
        <item m="1" x="26"/>
        <item x="15"/>
        <item x="16"/>
        <item x="18"/>
        <item x="19"/>
        <item x="20"/>
        <item x="21"/>
        <item x="22"/>
        <item x="24"/>
        <item x="23"/>
        <item t="default"/>
      </items>
    </pivotField>
    <pivotField showAll="0"/>
    <pivotField axis="axisRow" showAll="0">
      <items count="623">
        <item m="1" x="568"/>
        <item m="1" x="589"/>
        <item m="1" x="490"/>
        <item m="1" x="527"/>
        <item m="1" x="591"/>
        <item m="1" x="529"/>
        <item m="1" x="472"/>
        <item m="1" x="492"/>
        <item m="1" x="536"/>
        <item m="1" x="533"/>
        <item x="42"/>
        <item x="57"/>
        <item x="45"/>
        <item x="89"/>
        <item m="1" x="618"/>
        <item m="1" x="517"/>
        <item m="1" x="485"/>
        <item m="1" x="483"/>
        <item m="1" x="510"/>
        <item m="1" x="465"/>
        <item m="1" x="522"/>
        <item m="1" x="491"/>
        <item m="1" x="462"/>
        <item m="1" x="466"/>
        <item m="1" x="523"/>
        <item m="1" x="493"/>
        <item m="1" x="606"/>
        <item x="56"/>
        <item m="1" x="541"/>
        <item m="1" x="460"/>
        <item m="1" x="484"/>
        <item x="54"/>
        <item m="1" x="570"/>
        <item m="1" x="488"/>
        <item m="1" x="580"/>
        <item m="1" x="566"/>
        <item m="1" x="595"/>
        <item m="1" x="578"/>
        <item m="1" x="455"/>
        <item m="1" x="602"/>
        <item m="1" x="549"/>
        <item m="1" x="540"/>
        <item m="1" x="596"/>
        <item m="1" x="575"/>
        <item m="1" x="563"/>
        <item m="1" x="616"/>
        <item m="1" x="588"/>
        <item m="1" x="605"/>
        <item m="1" x="607"/>
        <item m="1" x="546"/>
        <item m="1" x="514"/>
        <item m="1" x="601"/>
        <item m="1" x="500"/>
        <item m="1" x="535"/>
        <item m="1" x="501"/>
        <item m="1" x="519"/>
        <item m="1" x="620"/>
        <item m="1" x="576"/>
        <item m="1" x="506"/>
        <item m="1" x="499"/>
        <item m="1" x="612"/>
        <item m="1" x="498"/>
        <item m="1" x="467"/>
        <item m="1" x="597"/>
        <item m="1" x="579"/>
        <item m="1" x="459"/>
        <item m="1" x="567"/>
        <item m="1" x="565"/>
        <item x="61"/>
        <item m="1" x="582"/>
        <item m="1" x="548"/>
        <item x="18"/>
        <item x="31"/>
        <item m="1" x="511"/>
        <item m="1" x="525"/>
        <item m="1" x="594"/>
        <item m="1" x="572"/>
        <item m="1" x="571"/>
        <item m="1" x="531"/>
        <item m="1" x="599"/>
        <item m="1" x="577"/>
        <item m="1" x="544"/>
        <item x="17"/>
        <item m="1" x="521"/>
        <item m="1" x="585"/>
        <item m="1" x="557"/>
        <item m="1" x="508"/>
        <item m="1" x="481"/>
        <item m="1" x="551"/>
        <item m="1" x="516"/>
        <item m="1" x="539"/>
        <item m="1" x="447"/>
        <item m="1" x="590"/>
        <item m="1" x="482"/>
        <item m="1" x="464"/>
        <item m="1" x="562"/>
        <item x="43"/>
        <item x="25"/>
        <item x="58"/>
        <item x="36"/>
        <item x="15"/>
        <item m="1" x="583"/>
        <item m="1" x="619"/>
        <item m="1" x="598"/>
        <item m="1" x="554"/>
        <item m="1" x="530"/>
        <item x="32"/>
        <item x="3"/>
        <item m="1" x="528"/>
        <item m="1" x="586"/>
        <item m="1" x="561"/>
        <item m="1" x="512"/>
        <item m="1" x="489"/>
        <item x="30"/>
        <item x="39"/>
        <item x="40"/>
        <item m="1" x="592"/>
        <item m="1" x="614"/>
        <item m="1" x="604"/>
        <item m="1" x="479"/>
        <item x="29"/>
        <item m="1" x="587"/>
        <item m="1" x="507"/>
        <item m="1" x="547"/>
        <item m="1" x="461"/>
        <item m="1" x="558"/>
        <item x="33"/>
        <item x="28"/>
        <item x="41"/>
        <item m="1" x="453"/>
        <item m="1" x="463"/>
        <item x="48"/>
        <item x="9"/>
        <item x="8"/>
        <item m="1" x="593"/>
        <item m="1" x="515"/>
        <item x="53"/>
        <item m="1" x="569"/>
        <item m="1" x="615"/>
        <item m="1" x="553"/>
        <item m="1" x="505"/>
        <item m="1" x="468"/>
        <item m="1" x="564"/>
        <item m="1" x="475"/>
        <item x="19"/>
        <item m="1" x="471"/>
        <item m="1" x="457"/>
        <item m="1" x="613"/>
        <item m="1" x="603"/>
        <item m="1" x="600"/>
        <item m="1" x="545"/>
        <item m="1" x="532"/>
        <item m="1" x="478"/>
        <item m="1" x="611"/>
        <item m="1" x="559"/>
        <item m="1" x="497"/>
        <item m="1" x="480"/>
        <item m="1" x="573"/>
        <item m="1" x="520"/>
        <item m="1" x="534"/>
        <item m="1" x="556"/>
        <item m="1" x="503"/>
        <item m="1" x="458"/>
        <item m="1" x="621"/>
        <item m="1" x="451"/>
        <item x="27"/>
        <item x="49"/>
        <item m="1" x="560"/>
        <item m="1" x="542"/>
        <item m="1" x="469"/>
        <item m="1" x="552"/>
        <item m="1" x="449"/>
        <item m="1" x="474"/>
        <item x="35"/>
        <item x="16"/>
        <item x="51"/>
        <item x="446"/>
        <item x="0"/>
        <item m="1" x="509"/>
        <item x="1"/>
        <item x="2"/>
        <item x="4"/>
        <item x="5"/>
        <item x="6"/>
        <item x="7"/>
        <item x="10"/>
        <item x="11"/>
        <item x="12"/>
        <item x="13"/>
        <item x="14"/>
        <item x="20"/>
        <item x="21"/>
        <item x="22"/>
        <item x="23"/>
        <item x="24"/>
        <item x="26"/>
        <item x="34"/>
        <item x="37"/>
        <item x="38"/>
        <item x="44"/>
        <item x="46"/>
        <item x="47"/>
        <item x="50"/>
        <item x="52"/>
        <item x="77"/>
        <item x="59"/>
        <item x="60"/>
        <item x="62"/>
        <item x="63"/>
        <item x="64"/>
        <item x="65"/>
        <item x="66"/>
        <item x="67"/>
        <item x="55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107"/>
        <item x="96"/>
        <item x="97"/>
        <item x="98"/>
        <item x="99"/>
        <item x="100"/>
        <item x="101"/>
        <item x="102"/>
        <item x="103"/>
        <item x="104"/>
        <item m="1" x="617"/>
        <item x="105"/>
        <item x="106"/>
        <item x="109"/>
        <item x="110"/>
        <item x="94"/>
        <item x="111"/>
        <item x="112"/>
        <item x="95"/>
        <item x="113"/>
        <item x="114"/>
        <item x="115"/>
        <item x="116"/>
        <item x="118"/>
        <item m="1" x="608"/>
        <item x="120"/>
        <item x="121"/>
        <item x="122"/>
        <item x="123"/>
        <item x="124"/>
        <item m="1" x="502"/>
        <item x="108"/>
        <item x="126"/>
        <item x="127"/>
        <item x="128"/>
        <item x="129"/>
        <item x="130"/>
        <item x="131"/>
        <item x="132"/>
        <item x="133"/>
        <item x="134"/>
        <item m="1" x="494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35"/>
        <item x="117"/>
        <item x="151"/>
        <item x="152"/>
        <item x="153"/>
        <item x="154"/>
        <item x="155"/>
        <item m="1" x="537"/>
        <item m="1" x="450"/>
        <item x="156"/>
        <item x="157"/>
        <item x="158"/>
        <item x="159"/>
        <item x="160"/>
        <item x="161"/>
        <item x="162"/>
        <item x="163"/>
        <item x="164"/>
        <item m="1" x="448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9"/>
        <item x="190"/>
        <item x="188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5"/>
        <item x="216"/>
        <item x="210"/>
        <item x="211"/>
        <item x="212"/>
        <item x="213"/>
        <item x="214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m="1" x="495"/>
        <item x="230"/>
        <item x="231"/>
        <item x="232"/>
        <item m="1" x="524"/>
        <item x="234"/>
        <item x="235"/>
        <item x="236"/>
        <item x="237"/>
        <item x="238"/>
        <item x="125"/>
        <item x="229"/>
        <item x="239"/>
        <item x="240"/>
        <item x="241"/>
        <item x="242"/>
        <item x="243"/>
        <item x="244"/>
        <item x="23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m="1" x="504"/>
        <item x="259"/>
        <item x="260"/>
        <item x="261"/>
        <item x="262"/>
        <item x="263"/>
        <item m="1" x="526"/>
        <item x="265"/>
        <item x="264"/>
        <item x="266"/>
        <item x="267"/>
        <item x="268"/>
        <item x="269"/>
        <item m="1" x="476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70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m="1" x="486"/>
        <item x="305"/>
        <item x="306"/>
        <item x="308"/>
        <item x="310"/>
        <item x="311"/>
        <item x="312"/>
        <item x="307"/>
        <item x="313"/>
        <item x="314"/>
        <item x="309"/>
        <item x="315"/>
        <item x="316"/>
        <item x="317"/>
        <item x="119"/>
        <item x="318"/>
        <item x="319"/>
        <item x="320"/>
        <item x="321"/>
        <item m="1" x="518"/>
        <item x="323"/>
        <item x="325"/>
        <item x="326"/>
        <item x="324"/>
        <item x="327"/>
        <item x="328"/>
        <item x="329"/>
        <item x="304"/>
        <item m="1" x="550"/>
        <item m="1" x="543"/>
        <item x="331"/>
        <item x="332"/>
        <item x="333"/>
        <item x="334"/>
        <item x="335"/>
        <item m="1" x="555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m="1" x="513"/>
        <item x="352"/>
        <item x="353"/>
        <item x="354"/>
        <item x="355"/>
        <item m="1" x="456"/>
        <item m="1" x="581"/>
        <item x="358"/>
        <item x="370"/>
        <item x="359"/>
        <item x="360"/>
        <item x="361"/>
        <item x="362"/>
        <item x="330"/>
        <item x="356"/>
        <item x="364"/>
        <item x="365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m="1" x="574"/>
        <item x="384"/>
        <item m="1" x="477"/>
        <item x="385"/>
        <item x="386"/>
        <item x="387"/>
        <item x="388"/>
        <item x="336"/>
        <item x="389"/>
        <item x="390"/>
        <item x="391"/>
        <item x="363"/>
        <item x="392"/>
        <item x="393"/>
        <item x="394"/>
        <item x="395"/>
        <item x="366"/>
        <item x="396"/>
        <item x="397"/>
        <item x="398"/>
        <item m="1" x="452"/>
        <item x="400"/>
        <item x="399"/>
        <item x="401"/>
        <item x="402"/>
        <item x="403"/>
        <item x="404"/>
        <item x="405"/>
        <item x="406"/>
        <item x="407"/>
        <item x="408"/>
        <item x="409"/>
        <item m="1" x="473"/>
        <item x="411"/>
        <item x="412"/>
        <item x="413"/>
        <item x="415"/>
        <item x="416"/>
        <item x="417"/>
        <item x="419"/>
        <item m="1" x="538"/>
        <item x="418"/>
        <item x="421"/>
        <item x="422"/>
        <item x="423"/>
        <item m="1" x="584"/>
        <item m="1" x="610"/>
        <item m="1" x="609"/>
        <item x="427"/>
        <item x="428"/>
        <item m="1" x="454"/>
        <item x="430"/>
        <item m="1" x="470"/>
        <item x="431"/>
        <item x="433"/>
        <item x="434"/>
        <item x="410"/>
        <item m="1" x="496"/>
        <item x="436"/>
        <item x="437"/>
        <item x="438"/>
        <item x="439"/>
        <item x="440"/>
        <item x="441"/>
        <item m="1" x="487"/>
        <item x="432"/>
        <item x="443"/>
        <item x="444"/>
        <item x="445"/>
        <item x="414"/>
        <item x="351"/>
        <item x="425"/>
        <item x="426"/>
        <item x="435"/>
        <item x="442"/>
        <item x="383"/>
        <item x="424"/>
        <item x="357"/>
        <item x="420"/>
        <item x="429"/>
        <item x="322"/>
        <item t="default"/>
      </items>
    </pivotField>
    <pivotField showAll="0" defaultSubtotal="0"/>
    <pivotField showAll="0"/>
    <pivotField showAll="0"/>
    <pivotField showAll="0"/>
    <pivotField showAll="0"/>
    <pivotField dataField="1" showAll="0"/>
    <pivotField axis="axisRow" showAll="0">
      <items count="5">
        <item sd="0" x="0"/>
        <item sd="0" x="2"/>
        <item sd="0" x="1"/>
        <item sd="0" x="3"/>
        <item t="default"/>
      </items>
    </pivotField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0">
        <item h="1" x="0"/>
        <item x="24"/>
        <item m="1" x="148"/>
        <item x="1"/>
        <item x="16"/>
        <item x="20"/>
        <item x="25"/>
        <item x="5"/>
        <item x="18"/>
        <item x="6"/>
        <item x="28"/>
        <item x="27"/>
        <item x="9"/>
        <item x="10"/>
        <item x="7"/>
        <item x="11"/>
        <item x="19"/>
        <item x="8"/>
        <item x="30"/>
        <item x="36"/>
        <item x="37"/>
        <item x="17"/>
        <item x="34"/>
        <item x="33"/>
        <item x="14"/>
        <item x="39"/>
        <item x="26"/>
        <item x="40"/>
        <item x="44"/>
        <item x="3"/>
        <item x="45"/>
        <item x="2"/>
        <item x="15"/>
        <item x="29"/>
        <item x="43"/>
        <item x="13"/>
        <item x="12"/>
        <item x="21"/>
        <item x="50"/>
        <item x="38"/>
        <item x="22"/>
        <item x="49"/>
        <item x="46"/>
        <item x="42"/>
        <item x="23"/>
        <item x="35"/>
        <item x="57"/>
        <item x="55"/>
        <item x="56"/>
        <item x="60"/>
        <item x="54"/>
        <item x="59"/>
        <item x="64"/>
        <item x="32"/>
        <item x="31"/>
        <item x="41"/>
        <item x="81"/>
        <item x="53"/>
        <item x="72"/>
        <item x="76"/>
        <item x="83"/>
        <item x="63"/>
        <item x="51"/>
        <item x="62"/>
        <item x="89"/>
        <item x="66"/>
        <item x="77"/>
        <item x="87"/>
        <item x="48"/>
        <item x="78"/>
        <item x="67"/>
        <item x="97"/>
        <item x="4"/>
        <item x="47"/>
        <item x="117"/>
        <item x="58"/>
        <item x="108"/>
        <item x="113"/>
        <item x="99"/>
        <item x="109"/>
        <item x="110"/>
        <item x="115"/>
        <item x="91"/>
        <item x="75"/>
        <item x="90"/>
        <item x="96"/>
        <item x="98"/>
        <item x="125"/>
        <item x="130"/>
        <item x="126"/>
        <item x="119"/>
        <item x="52"/>
        <item x="68"/>
        <item x="135"/>
        <item x="74"/>
        <item x="95"/>
        <item x="69"/>
        <item x="71"/>
        <item x="73"/>
        <item x="80"/>
        <item x="112"/>
        <item x="138"/>
        <item x="61"/>
        <item x="111"/>
        <item x="124"/>
        <item x="79"/>
        <item x="127"/>
        <item x="137"/>
        <item x="93"/>
        <item x="86"/>
        <item x="116"/>
        <item x="128"/>
        <item x="129"/>
        <item x="85"/>
        <item x="101"/>
        <item x="122"/>
        <item x="82"/>
        <item x="133"/>
        <item x="140"/>
        <item x="142"/>
        <item x="120"/>
        <item x="141"/>
        <item x="94"/>
        <item x="65"/>
        <item x="70"/>
        <item x="146"/>
        <item x="106"/>
        <item x="123"/>
        <item x="104"/>
        <item x="103"/>
        <item x="143"/>
        <item x="102"/>
        <item x="134"/>
        <item x="88"/>
        <item x="105"/>
        <item x="84"/>
        <item x="121"/>
        <item x="147"/>
        <item x="100"/>
        <item x="136"/>
        <item x="145"/>
        <item x="118"/>
        <item x="139"/>
        <item x="114"/>
        <item x="131"/>
        <item x="144"/>
        <item x="107"/>
        <item x="132"/>
        <item h="1" x="92"/>
        <item t="default"/>
      </items>
    </pivotField>
    <pivotField showAll="0"/>
    <pivotField showAll="0"/>
  </pivotFields>
  <rowFields count="3">
    <field x="13"/>
    <field x="4"/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26" hier="-1"/>
  </pageFields>
  <dataFields count="2">
    <dataField name="Součet z Předpokládaná hodnota VZ bez DPH" fld="12" baseField="0" baseItem="0"/>
    <dataField name="Součet z Vítězná cena bez DPH" fld="19" baseField="0" baseItem="0"/>
  </dataFields>
  <formats count="5">
    <format dxfId="90">
      <pivotArea outline="0" collapsedLevelsAreSubtotals="1" fieldPosition="0"/>
    </format>
    <format dxfId="89">
      <pivotArea dataOnly="0" labelOnly="1" outline="0" fieldPosition="0">
        <references count="1">
          <reference field="26" count="0"/>
        </references>
      </pivotArea>
    </format>
    <format dxfId="88">
      <pivotArea field="-2" type="button" dataOnly="0" labelOnly="1" outline="0" axis="axisCol" fieldPosition="0"/>
    </format>
    <format dxfId="87">
      <pivotArea type="topRight" dataOnly="0" labelOnly="1" outline="0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7"/>
  <dimension ref="A1:C14"/>
  <sheetViews>
    <sheetView workbookViewId="0">
      <selection activeCell="B16" sqref="B16"/>
    </sheetView>
  </sheetViews>
  <sheetFormatPr defaultRowHeight="15"/>
  <cols>
    <col min="1" max="1" width="19" bestFit="1" customWidth="1"/>
    <col min="2" max="2" width="41.28515625" style="373" bestFit="1" customWidth="1"/>
    <col min="3" max="3" width="28.28515625" style="373" bestFit="1" customWidth="1"/>
  </cols>
  <sheetData>
    <row r="1" spans="1:3">
      <c r="A1" s="2861" t="s">
        <v>10</v>
      </c>
      <c r="B1" s="2864" t="s">
        <v>745</v>
      </c>
    </row>
    <row r="3" spans="1:3">
      <c r="B3" s="1217" t="s">
        <v>742</v>
      </c>
      <c r="C3" s="2864"/>
    </row>
    <row r="4" spans="1:3">
      <c r="A4" s="2861" t="s">
        <v>739</v>
      </c>
      <c r="B4" s="2864" t="s">
        <v>741</v>
      </c>
      <c r="C4" s="2864" t="s">
        <v>743</v>
      </c>
    </row>
    <row r="5" spans="1:3">
      <c r="A5" s="2862" t="s">
        <v>235</v>
      </c>
      <c r="B5" s="2864">
        <v>11533008</v>
      </c>
      <c r="C5" s="2864">
        <v>11458532.557107437</v>
      </c>
    </row>
    <row r="6" spans="1:3">
      <c r="A6" s="2862" t="s">
        <v>502</v>
      </c>
      <c r="B6" s="2864">
        <v>2202000</v>
      </c>
      <c r="C6" s="2864">
        <v>2324405.77</v>
      </c>
    </row>
    <row r="7" spans="1:3">
      <c r="A7" s="2862" t="s">
        <v>645</v>
      </c>
      <c r="B7" s="2864">
        <v>2022420</v>
      </c>
      <c r="C7" s="2864">
        <v>2022420</v>
      </c>
    </row>
    <row r="8" spans="1:3">
      <c r="A8" s="2862" t="s">
        <v>251</v>
      </c>
      <c r="B8" s="2864">
        <v>204411281.06</v>
      </c>
      <c r="C8" s="2864">
        <v>185309881.41743806</v>
      </c>
    </row>
    <row r="9" spans="1:3">
      <c r="A9" s="2862" t="s">
        <v>95</v>
      </c>
      <c r="B9" s="2864">
        <v>3770000</v>
      </c>
      <c r="C9" s="2864">
        <v>3482550</v>
      </c>
    </row>
    <row r="10" spans="1:3">
      <c r="A10" s="2862" t="s">
        <v>109</v>
      </c>
      <c r="B10" s="2864">
        <v>85000000</v>
      </c>
      <c r="C10" s="2864">
        <v>86954208.549999997</v>
      </c>
    </row>
    <row r="11" spans="1:3">
      <c r="A11" s="2862" t="s">
        <v>112</v>
      </c>
      <c r="B11" s="2864">
        <v>60313000</v>
      </c>
      <c r="C11" s="2864">
        <v>50461793.853801653</v>
      </c>
    </row>
    <row r="12" spans="1:3">
      <c r="A12" s="2862" t="s">
        <v>216</v>
      </c>
      <c r="B12" s="2864">
        <v>10545000</v>
      </c>
      <c r="C12" s="2864">
        <v>9890057.5999999996</v>
      </c>
    </row>
    <row r="13" spans="1:3">
      <c r="A13" s="2862" t="s">
        <v>740</v>
      </c>
      <c r="B13" s="2864">
        <v>379796709.06</v>
      </c>
      <c r="C13" s="2864">
        <v>351903849.74834716</v>
      </c>
    </row>
    <row r="14" spans="1:3">
      <c r="B14"/>
      <c r="C14"/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8">
    <pageSetUpPr fitToPage="1"/>
  </sheetPr>
  <dimension ref="A1:W693"/>
  <sheetViews>
    <sheetView zoomScale="90" zoomScaleNormal="90" workbookViewId="0">
      <pane xSplit="13" ySplit="6" topLeftCell="N7" activePane="bottomRight" state="frozen"/>
      <selection activeCell="C281" sqref="C2:C281"/>
      <selection pane="topRight" activeCell="C281" sqref="C2:C281"/>
      <selection pane="bottomLeft" activeCell="C281" sqref="C2:C281"/>
      <selection pane="bottomRight" activeCell="I115" sqref="I115"/>
    </sheetView>
  </sheetViews>
  <sheetFormatPr defaultColWidth="9.140625" defaultRowHeight="15"/>
  <cols>
    <col min="1" max="1" width="16.28515625" style="802" customWidth="1"/>
    <col min="2" max="2" width="7.42578125" style="802" customWidth="1"/>
    <col min="3" max="3" width="11.7109375" style="802" customWidth="1"/>
    <col min="4" max="4" width="69.5703125" style="1162" customWidth="1"/>
    <col min="5" max="5" width="12.7109375" style="802" customWidth="1"/>
    <col min="6" max="6" width="15.140625" style="802" customWidth="1"/>
    <col min="7" max="7" width="20.7109375" style="804" customWidth="1"/>
    <col min="8" max="8" width="9.85546875" style="802" customWidth="1"/>
    <col min="9" max="9" width="13.7109375" style="802" customWidth="1"/>
    <col min="10" max="10" width="14" style="802" customWidth="1"/>
    <col min="11" max="11" width="27.5703125" style="802" customWidth="1"/>
    <col min="12" max="13" width="18.85546875" style="804" customWidth="1"/>
    <col min="14" max="16" width="15.7109375" style="802" customWidth="1"/>
    <col min="17" max="17" width="17" style="802" customWidth="1"/>
    <col min="18" max="18" width="15.7109375" style="802" customWidth="1"/>
    <col min="19" max="21" width="14.85546875" style="374" customWidth="1"/>
    <col min="22" max="23" width="9.140625" style="374"/>
    <col min="24" max="16384" width="9.140625" style="1162"/>
  </cols>
  <sheetData>
    <row r="1" spans="1:23">
      <c r="A1" s="374"/>
      <c r="B1" s="358"/>
      <c r="C1" s="374"/>
      <c r="D1" s="491" t="s">
        <v>222</v>
      </c>
      <c r="E1" s="374"/>
      <c r="F1" s="370"/>
      <c r="G1" s="371"/>
      <c r="H1" s="374"/>
      <c r="I1" s="374"/>
      <c r="J1" s="374"/>
      <c r="K1" s="374"/>
      <c r="L1" s="371"/>
      <c r="M1" s="371"/>
      <c r="N1" s="374"/>
      <c r="O1" s="374"/>
      <c r="P1" s="374"/>
      <c r="Q1" s="374"/>
      <c r="R1" s="374"/>
    </row>
    <row r="2" spans="1:23">
      <c r="A2" s="374"/>
      <c r="B2" s="359"/>
      <c r="C2" s="374"/>
      <c r="D2" s="506" t="s">
        <v>223</v>
      </c>
      <c r="E2" s="374"/>
      <c r="F2" s="370"/>
      <c r="G2" s="371"/>
      <c r="H2" s="374"/>
      <c r="I2" s="374"/>
      <c r="J2" s="374"/>
      <c r="K2" s="374"/>
      <c r="L2" s="371"/>
      <c r="M2" s="371"/>
      <c r="N2" s="374"/>
      <c r="O2" s="374"/>
      <c r="P2" s="374"/>
      <c r="Q2" s="374"/>
      <c r="R2" s="374"/>
    </row>
    <row r="3" spans="1:23">
      <c r="A3" s="374"/>
      <c r="B3" s="360"/>
      <c r="C3" s="374"/>
      <c r="D3" s="540" t="s">
        <v>224</v>
      </c>
      <c r="E3" s="374"/>
      <c r="F3" s="370"/>
      <c r="G3" s="371"/>
      <c r="H3" s="374"/>
      <c r="I3" s="374"/>
      <c r="J3" s="374"/>
      <c r="K3" s="374"/>
      <c r="L3" s="371"/>
      <c r="M3" s="371"/>
      <c r="N3" s="374"/>
      <c r="O3" s="374"/>
      <c r="P3" s="374"/>
      <c r="Q3" s="374"/>
      <c r="R3" s="374"/>
    </row>
    <row r="4" spans="1:23">
      <c r="A4" s="374"/>
      <c r="B4" s="360"/>
      <c r="C4" s="374"/>
      <c r="D4" s="590" t="s">
        <v>225</v>
      </c>
      <c r="E4" s="374"/>
      <c r="F4" s="370"/>
      <c r="G4" s="371"/>
      <c r="H4" s="374"/>
      <c r="I4" s="374"/>
      <c r="J4" s="374"/>
      <c r="K4" s="374"/>
      <c r="L4" s="371"/>
      <c r="M4" s="371"/>
      <c r="N4" s="374"/>
      <c r="O4" s="374"/>
      <c r="P4" s="374"/>
      <c r="Q4" s="374"/>
      <c r="R4" s="374"/>
    </row>
    <row r="5" spans="1:23">
      <c r="A5" s="374"/>
      <c r="B5" s="360"/>
      <c r="C5" s="796"/>
      <c r="D5" s="1102" t="s">
        <v>226</v>
      </c>
      <c r="E5" s="374"/>
      <c r="F5" s="370"/>
      <c r="G5" s="371"/>
      <c r="H5" s="374"/>
      <c r="I5" s="374"/>
      <c r="J5" s="374"/>
      <c r="K5" s="374"/>
      <c r="L5" s="371"/>
      <c r="M5" s="371"/>
      <c r="N5" s="374"/>
      <c r="O5" s="374"/>
      <c r="P5" s="374"/>
      <c r="Q5" s="374"/>
      <c r="R5" s="374"/>
    </row>
    <row r="6" spans="1:23" ht="75">
      <c r="A6" s="2165" t="s">
        <v>11</v>
      </c>
      <c r="B6" s="1191" t="s">
        <v>1164</v>
      </c>
      <c r="C6" s="1191" t="s">
        <v>0</v>
      </c>
      <c r="D6" s="1192" t="s">
        <v>1</v>
      </c>
      <c r="E6" s="1192" t="s">
        <v>2</v>
      </c>
      <c r="F6" s="1193" t="s">
        <v>5</v>
      </c>
      <c r="G6" s="1194" t="s">
        <v>15</v>
      </c>
      <c r="H6" s="1192" t="s">
        <v>3</v>
      </c>
      <c r="I6" s="1191" t="s">
        <v>4</v>
      </c>
      <c r="J6" s="1191" t="s">
        <v>6</v>
      </c>
      <c r="K6" s="1192" t="s">
        <v>7</v>
      </c>
      <c r="L6" s="1194" t="s">
        <v>8</v>
      </c>
      <c r="M6" s="1194" t="s">
        <v>9</v>
      </c>
      <c r="N6" s="1191" t="s">
        <v>10</v>
      </c>
      <c r="O6" s="1801" t="s">
        <v>4112</v>
      </c>
      <c r="P6" s="1191" t="s">
        <v>334</v>
      </c>
      <c r="Q6" s="3451" t="s">
        <v>220</v>
      </c>
      <c r="R6" s="3452"/>
      <c r="S6" s="374">
        <v>2020</v>
      </c>
      <c r="T6" s="374">
        <v>2021</v>
      </c>
      <c r="U6" s="374">
        <v>2022</v>
      </c>
    </row>
    <row r="7" spans="1:23" ht="15" customHeight="1">
      <c r="A7" s="902" t="s">
        <v>2193</v>
      </c>
      <c r="B7" s="902" t="s">
        <v>367</v>
      </c>
      <c r="C7" s="902" t="s">
        <v>1446</v>
      </c>
      <c r="D7" s="903" t="s">
        <v>2194</v>
      </c>
      <c r="E7" s="902" t="s">
        <v>2278</v>
      </c>
      <c r="F7" s="902" t="s">
        <v>2195</v>
      </c>
      <c r="G7" s="1211">
        <v>1990000</v>
      </c>
      <c r="H7" s="902" t="s">
        <v>112</v>
      </c>
      <c r="I7" s="905">
        <v>43025</v>
      </c>
      <c r="J7" s="905">
        <v>43034</v>
      </c>
      <c r="K7" s="902" t="s">
        <v>2399</v>
      </c>
      <c r="L7" s="1211">
        <v>1782746</v>
      </c>
      <c r="M7" s="1211">
        <v>2157123</v>
      </c>
      <c r="N7" s="905">
        <v>43115</v>
      </c>
      <c r="O7" s="905"/>
      <c r="P7" s="905">
        <v>43115</v>
      </c>
      <c r="Q7" s="905">
        <v>43200</v>
      </c>
      <c r="R7" s="1273">
        <v>44845</v>
      </c>
    </row>
    <row r="8" spans="1:23" ht="15" customHeight="1" thickBot="1">
      <c r="A8" s="913" t="s">
        <v>1981</v>
      </c>
      <c r="B8" s="913" t="s">
        <v>218</v>
      </c>
      <c r="C8" s="913" t="s">
        <v>219</v>
      </c>
      <c r="D8" s="914" t="s">
        <v>1983</v>
      </c>
      <c r="E8" s="913" t="s">
        <v>642</v>
      </c>
      <c r="F8" s="913"/>
      <c r="G8" s="915">
        <v>611000</v>
      </c>
      <c r="H8" s="913" t="s">
        <v>112</v>
      </c>
      <c r="I8" s="916">
        <v>42902</v>
      </c>
      <c r="J8" s="916">
        <v>42916</v>
      </c>
      <c r="K8" s="913" t="s">
        <v>2285</v>
      </c>
      <c r="L8" s="915">
        <v>605184</v>
      </c>
      <c r="M8" s="915">
        <f>L8*1.21</f>
        <v>732272.64000000001</v>
      </c>
      <c r="N8" s="916">
        <v>43143</v>
      </c>
      <c r="O8" s="916"/>
      <c r="P8" s="916">
        <v>43144</v>
      </c>
      <c r="Q8" s="916">
        <v>43535</v>
      </c>
      <c r="R8" s="1086"/>
    </row>
    <row r="9" spans="1:23" ht="15" customHeight="1" thickTop="1">
      <c r="A9" s="989" t="s">
        <v>2063</v>
      </c>
      <c r="B9" s="985" t="s">
        <v>69</v>
      </c>
      <c r="C9" s="985" t="s">
        <v>70</v>
      </c>
      <c r="D9" s="939" t="s">
        <v>2226</v>
      </c>
      <c r="E9" s="985" t="s">
        <v>93</v>
      </c>
      <c r="F9" s="985"/>
      <c r="G9" s="1210">
        <v>6503641.7999999998</v>
      </c>
      <c r="H9" s="985" t="s">
        <v>251</v>
      </c>
      <c r="I9" s="987">
        <v>42963</v>
      </c>
      <c r="J9" s="987">
        <v>43004</v>
      </c>
      <c r="K9" s="985" t="s">
        <v>1564</v>
      </c>
      <c r="L9" s="1210">
        <v>1087227.6000000001</v>
      </c>
      <c r="M9" s="1210">
        <v>1195950.3600000001</v>
      </c>
      <c r="N9" s="987">
        <v>43104</v>
      </c>
      <c r="O9" s="987">
        <v>43833</v>
      </c>
      <c r="P9" s="987">
        <v>43104</v>
      </c>
      <c r="Q9" s="1088">
        <v>43551</v>
      </c>
      <c r="R9" s="1964">
        <v>43914</v>
      </c>
      <c r="S9" s="1560">
        <v>43914</v>
      </c>
    </row>
    <row r="10" spans="1:23" ht="15.75" customHeight="1" thickBot="1">
      <c r="A10" s="990" t="s">
        <v>2063</v>
      </c>
      <c r="B10" s="981" t="s">
        <v>69</v>
      </c>
      <c r="C10" s="981" t="s">
        <v>70</v>
      </c>
      <c r="D10" s="940" t="s">
        <v>2234</v>
      </c>
      <c r="E10" s="981" t="s">
        <v>93</v>
      </c>
      <c r="F10" s="981"/>
      <c r="G10" s="1212">
        <v>381074.24</v>
      </c>
      <c r="H10" s="981" t="s">
        <v>251</v>
      </c>
      <c r="I10" s="982">
        <v>42963</v>
      </c>
      <c r="J10" s="982">
        <v>43004</v>
      </c>
      <c r="K10" s="981" t="s">
        <v>1402</v>
      </c>
      <c r="L10" s="1212">
        <v>378320.36</v>
      </c>
      <c r="M10" s="1212">
        <v>416152.39600000001</v>
      </c>
      <c r="N10" s="982">
        <v>43104</v>
      </c>
      <c r="O10" s="1317">
        <v>43833</v>
      </c>
      <c r="P10" s="982">
        <v>43104</v>
      </c>
      <c r="Q10" s="1090">
        <v>43551</v>
      </c>
      <c r="R10" s="1964">
        <v>43914</v>
      </c>
      <c r="S10" s="1560">
        <v>43914</v>
      </c>
    </row>
    <row r="11" spans="1:23" ht="15" customHeight="1" thickTop="1">
      <c r="A11" s="991" t="s">
        <v>2124</v>
      </c>
      <c r="B11" s="991" t="s">
        <v>69</v>
      </c>
      <c r="C11" s="991" t="s">
        <v>70</v>
      </c>
      <c r="D11" s="567" t="s">
        <v>2125</v>
      </c>
      <c r="E11" s="991" t="s">
        <v>42</v>
      </c>
      <c r="F11" s="991"/>
      <c r="G11" s="992">
        <v>3381000</v>
      </c>
      <c r="H11" s="991" t="s">
        <v>216</v>
      </c>
      <c r="I11" s="993">
        <v>42972</v>
      </c>
      <c r="J11" s="993">
        <v>42997</v>
      </c>
      <c r="K11" s="991" t="s">
        <v>1143</v>
      </c>
      <c r="L11" s="992">
        <v>3381000</v>
      </c>
      <c r="M11" s="992">
        <v>4091010</v>
      </c>
      <c r="N11" s="993">
        <v>43144</v>
      </c>
      <c r="O11" s="993">
        <v>44604</v>
      </c>
      <c r="P11" s="993">
        <v>43152</v>
      </c>
      <c r="Q11" s="993">
        <v>43550</v>
      </c>
      <c r="R11" s="1500">
        <v>43929</v>
      </c>
      <c r="S11" s="1560">
        <v>44280</v>
      </c>
      <c r="T11" s="1560">
        <v>44645</v>
      </c>
      <c r="U11" s="388" t="s">
        <v>2610</v>
      </c>
    </row>
    <row r="12" spans="1:23" ht="15" customHeight="1">
      <c r="A12" s="902" t="s">
        <v>2328</v>
      </c>
      <c r="B12" s="902" t="s">
        <v>1700</v>
      </c>
      <c r="C12" s="902" t="s">
        <v>1699</v>
      </c>
      <c r="D12" s="903" t="s">
        <v>2114</v>
      </c>
      <c r="E12" s="902" t="s">
        <v>505</v>
      </c>
      <c r="F12" s="902" t="s">
        <v>1703</v>
      </c>
      <c r="G12" s="1211">
        <v>11705547</v>
      </c>
      <c r="H12" s="902" t="s">
        <v>251</v>
      </c>
      <c r="I12" s="905">
        <v>42985</v>
      </c>
      <c r="J12" s="905">
        <v>43027</v>
      </c>
      <c r="K12" s="902" t="s">
        <v>1714</v>
      </c>
      <c r="L12" s="1211">
        <v>14909928.1</v>
      </c>
      <c r="M12" s="1211">
        <v>18041013.000999998</v>
      </c>
      <c r="N12" s="905">
        <v>43108</v>
      </c>
      <c r="O12" s="905"/>
      <c r="P12" s="905">
        <v>43110</v>
      </c>
      <c r="Q12" s="905">
        <v>43255</v>
      </c>
      <c r="R12" s="1273">
        <v>44865</v>
      </c>
      <c r="S12" s="796" t="s">
        <v>2546</v>
      </c>
      <c r="T12" s="796"/>
      <c r="U12" s="796"/>
    </row>
    <row r="13" spans="1:23" s="1016" customFormat="1" ht="15.75" customHeight="1">
      <c r="A13" s="902" t="s">
        <v>2118</v>
      </c>
      <c r="B13" s="902" t="s">
        <v>1700</v>
      </c>
      <c r="C13" s="902" t="s">
        <v>1699</v>
      </c>
      <c r="D13" s="903" t="s">
        <v>2119</v>
      </c>
      <c r="E13" s="902" t="s">
        <v>462</v>
      </c>
      <c r="F13" s="1130"/>
      <c r="G13" s="1211">
        <v>24819752</v>
      </c>
      <c r="H13" s="902" t="s">
        <v>251</v>
      </c>
      <c r="I13" s="905">
        <v>43010</v>
      </c>
      <c r="J13" s="905">
        <v>43048</v>
      </c>
      <c r="K13" s="902" t="s">
        <v>1239</v>
      </c>
      <c r="L13" s="1211">
        <v>23792140</v>
      </c>
      <c r="M13" s="1211">
        <v>28788489.399999999</v>
      </c>
      <c r="N13" s="905">
        <v>43133</v>
      </c>
      <c r="O13" s="905"/>
      <c r="P13" s="905">
        <v>43143</v>
      </c>
      <c r="Q13" s="905">
        <v>43276</v>
      </c>
      <c r="R13" s="1208" t="s">
        <v>1875</v>
      </c>
      <c r="S13" s="360"/>
      <c r="T13" s="360"/>
      <c r="U13" s="360"/>
      <c r="V13" s="360"/>
      <c r="W13" s="360"/>
    </row>
    <row r="14" spans="1:23" s="1016" customFormat="1" ht="15.75" customHeight="1">
      <c r="A14" s="902" t="s">
        <v>2120</v>
      </c>
      <c r="B14" s="902" t="s">
        <v>1700</v>
      </c>
      <c r="C14" s="902" t="s">
        <v>1699</v>
      </c>
      <c r="D14" s="1032" t="s">
        <v>79</v>
      </c>
      <c r="E14" s="902" t="s">
        <v>2121</v>
      </c>
      <c r="F14" s="902" t="s">
        <v>2152</v>
      </c>
      <c r="G14" s="1211">
        <v>11203695.869999999</v>
      </c>
      <c r="H14" s="902" t="s">
        <v>251</v>
      </c>
      <c r="I14" s="905">
        <v>43012</v>
      </c>
      <c r="J14" s="905">
        <v>43103</v>
      </c>
      <c r="K14" s="902" t="s">
        <v>2680</v>
      </c>
      <c r="L14" s="1211">
        <v>9147640</v>
      </c>
      <c r="M14" s="1211">
        <f>L14*1.21</f>
        <v>11068644.4</v>
      </c>
      <c r="N14" s="905">
        <v>43238</v>
      </c>
      <c r="O14" s="905"/>
      <c r="P14" s="905">
        <v>43243</v>
      </c>
      <c r="Q14" s="905">
        <v>43374</v>
      </c>
      <c r="R14" s="1208" t="s">
        <v>1875</v>
      </c>
      <c r="S14" s="360"/>
      <c r="T14" s="360"/>
      <c r="U14" s="360"/>
      <c r="V14" s="360"/>
      <c r="W14" s="360"/>
    </row>
    <row r="15" spans="1:23" ht="15" customHeight="1" thickBot="1">
      <c r="A15" s="902" t="s">
        <v>2133</v>
      </c>
      <c r="B15" s="902" t="s">
        <v>1032</v>
      </c>
      <c r="C15" s="902" t="s">
        <v>1033</v>
      </c>
      <c r="D15" s="903" t="s">
        <v>2134</v>
      </c>
      <c r="E15" s="902" t="s">
        <v>1972</v>
      </c>
      <c r="F15" s="902" t="s">
        <v>1973</v>
      </c>
      <c r="G15" s="1211">
        <v>3500000</v>
      </c>
      <c r="H15" s="902" t="s">
        <v>216</v>
      </c>
      <c r="I15" s="905">
        <v>42977</v>
      </c>
      <c r="J15" s="905">
        <v>42998</v>
      </c>
      <c r="K15" s="902" t="s">
        <v>2009</v>
      </c>
      <c r="L15" s="1211">
        <v>3220530</v>
      </c>
      <c r="M15" s="1211">
        <v>3896841.3</v>
      </c>
      <c r="N15" s="905">
        <v>43180</v>
      </c>
      <c r="O15" s="905"/>
      <c r="P15" s="905">
        <v>43181</v>
      </c>
      <c r="Q15" s="905">
        <v>43402</v>
      </c>
      <c r="R15" s="1083"/>
    </row>
    <row r="16" spans="1:23" ht="15.75" thickTop="1">
      <c r="A16" s="989" t="s">
        <v>2181</v>
      </c>
      <c r="B16" s="985" t="s">
        <v>69</v>
      </c>
      <c r="C16" s="985" t="s">
        <v>70</v>
      </c>
      <c r="D16" s="939" t="s">
        <v>2167</v>
      </c>
      <c r="E16" s="985" t="s">
        <v>68</v>
      </c>
      <c r="F16" s="985"/>
      <c r="G16" s="1210">
        <v>2854864.68</v>
      </c>
      <c r="H16" s="985" t="s">
        <v>251</v>
      </c>
      <c r="I16" s="987">
        <v>43017</v>
      </c>
      <c r="J16" s="987">
        <v>43062</v>
      </c>
      <c r="K16" s="985" t="s">
        <v>576</v>
      </c>
      <c r="L16" s="1210">
        <v>2854864.68</v>
      </c>
      <c r="M16" s="1210">
        <v>3140351.1480000005</v>
      </c>
      <c r="N16" s="987">
        <v>43158</v>
      </c>
      <c r="O16" s="987">
        <v>43887</v>
      </c>
      <c r="P16" s="987">
        <v>43159</v>
      </c>
      <c r="Q16" s="1088">
        <v>43550</v>
      </c>
      <c r="R16" s="1500">
        <v>43914</v>
      </c>
      <c r="S16" s="1560">
        <v>44280</v>
      </c>
    </row>
    <row r="17" spans="1:23">
      <c r="A17" s="1014" t="s">
        <v>2181</v>
      </c>
      <c r="B17" s="902" t="s">
        <v>69</v>
      </c>
      <c r="C17" s="902" t="s">
        <v>70</v>
      </c>
      <c r="D17" s="903" t="s">
        <v>2168</v>
      </c>
      <c r="E17" s="902" t="s">
        <v>68</v>
      </c>
      <c r="F17" s="902"/>
      <c r="G17" s="1211">
        <v>22808400</v>
      </c>
      <c r="H17" s="902" t="s">
        <v>251</v>
      </c>
      <c r="I17" s="905">
        <v>43017</v>
      </c>
      <c r="J17" s="905">
        <v>43062</v>
      </c>
      <c r="K17" s="902" t="s">
        <v>2548</v>
      </c>
      <c r="L17" s="1211">
        <v>22780920</v>
      </c>
      <c r="M17" s="1211">
        <v>25059012.000000004</v>
      </c>
      <c r="N17" s="905">
        <v>43158</v>
      </c>
      <c r="O17" s="905">
        <v>43887</v>
      </c>
      <c r="P17" s="905">
        <v>43159</v>
      </c>
      <c r="Q17" s="1089">
        <v>43550</v>
      </c>
      <c r="R17" s="1500">
        <v>43914</v>
      </c>
      <c r="S17" s="1560">
        <v>44280</v>
      </c>
    </row>
    <row r="18" spans="1:23">
      <c r="A18" s="1014" t="s">
        <v>2181</v>
      </c>
      <c r="B18" s="902" t="s">
        <v>69</v>
      </c>
      <c r="C18" s="902" t="s">
        <v>70</v>
      </c>
      <c r="D18" s="903" t="s">
        <v>2169</v>
      </c>
      <c r="E18" s="902" t="s">
        <v>68</v>
      </c>
      <c r="F18" s="902"/>
      <c r="G18" s="1211">
        <v>47998332</v>
      </c>
      <c r="H18" s="902" t="s">
        <v>251</v>
      </c>
      <c r="I18" s="905">
        <v>43017</v>
      </c>
      <c r="J18" s="905">
        <v>43062</v>
      </c>
      <c r="K18" s="902" t="s">
        <v>576</v>
      </c>
      <c r="L18" s="1211">
        <v>48195114.479999997</v>
      </c>
      <c r="M18" s="1211">
        <v>53014625.928000003</v>
      </c>
      <c r="N18" s="905">
        <v>43158</v>
      </c>
      <c r="O18" s="905">
        <v>43887</v>
      </c>
      <c r="P18" s="905">
        <v>43159</v>
      </c>
      <c r="Q18" s="1089">
        <v>43550</v>
      </c>
      <c r="R18" s="1500">
        <v>43914</v>
      </c>
      <c r="S18" s="1560">
        <v>44280</v>
      </c>
    </row>
    <row r="19" spans="1:23">
      <c r="A19" s="1014" t="s">
        <v>2181</v>
      </c>
      <c r="B19" s="902" t="s">
        <v>69</v>
      </c>
      <c r="C19" s="902" t="s">
        <v>70</v>
      </c>
      <c r="D19" s="903" t="s">
        <v>2171</v>
      </c>
      <c r="E19" s="902" t="s">
        <v>68</v>
      </c>
      <c r="F19" s="902"/>
      <c r="G19" s="1211">
        <v>42201746.560000002</v>
      </c>
      <c r="H19" s="902" t="s">
        <v>251</v>
      </c>
      <c r="I19" s="905">
        <v>43017</v>
      </c>
      <c r="J19" s="905">
        <v>43062</v>
      </c>
      <c r="K19" s="902" t="s">
        <v>1646</v>
      </c>
      <c r="L19" s="1211">
        <v>41814288</v>
      </c>
      <c r="M19" s="1211">
        <v>45995716.800000004</v>
      </c>
      <c r="N19" s="905">
        <v>43158</v>
      </c>
      <c r="O19" s="905">
        <v>43887</v>
      </c>
      <c r="P19" s="905">
        <v>43159</v>
      </c>
      <c r="Q19" s="1089">
        <v>43550</v>
      </c>
      <c r="R19" s="1500">
        <v>43914</v>
      </c>
      <c r="S19" s="1560">
        <v>44280</v>
      </c>
    </row>
    <row r="20" spans="1:23" ht="15.75" thickBot="1">
      <c r="A20" s="990" t="s">
        <v>2181</v>
      </c>
      <c r="B20" s="981" t="s">
        <v>69</v>
      </c>
      <c r="C20" s="981" t="s">
        <v>70</v>
      </c>
      <c r="D20" s="940" t="s">
        <v>2172</v>
      </c>
      <c r="E20" s="981" t="s">
        <v>68</v>
      </c>
      <c r="F20" s="981"/>
      <c r="G20" s="1212">
        <v>15420550.880000001</v>
      </c>
      <c r="H20" s="981" t="s">
        <v>251</v>
      </c>
      <c r="I20" s="982">
        <v>43017</v>
      </c>
      <c r="J20" s="982">
        <v>43062</v>
      </c>
      <c r="K20" s="981" t="s">
        <v>2405</v>
      </c>
      <c r="L20" s="1212">
        <v>15485324.960000001</v>
      </c>
      <c r="M20" s="1212">
        <v>17033858.199999999</v>
      </c>
      <c r="N20" s="982">
        <v>43158</v>
      </c>
      <c r="O20" s="1317">
        <v>43887</v>
      </c>
      <c r="P20" s="982">
        <v>43159</v>
      </c>
      <c r="Q20" s="1090">
        <v>43550</v>
      </c>
      <c r="R20" s="1500">
        <v>43914</v>
      </c>
      <c r="S20" s="1560">
        <v>44280</v>
      </c>
    </row>
    <row r="21" spans="1:23" ht="16.5" thickTop="1" thickBot="1">
      <c r="A21" s="1005" t="s">
        <v>2182</v>
      </c>
      <c r="B21" s="1005" t="s">
        <v>69</v>
      </c>
      <c r="C21" s="1005" t="s">
        <v>70</v>
      </c>
      <c r="D21" s="1006" t="s">
        <v>2176</v>
      </c>
      <c r="E21" s="1005" t="s">
        <v>2173</v>
      </c>
      <c r="F21" s="1005"/>
      <c r="G21" s="1007">
        <v>998754.74239839998</v>
      </c>
      <c r="H21" s="1005" t="s">
        <v>251</v>
      </c>
      <c r="I21" s="1008">
        <v>42997</v>
      </c>
      <c r="J21" s="1008">
        <v>43034</v>
      </c>
      <c r="K21" s="1005" t="s">
        <v>2333</v>
      </c>
      <c r="L21" s="1007">
        <v>998719</v>
      </c>
      <c r="M21" s="1007">
        <v>1098590.9000000001</v>
      </c>
      <c r="N21" s="1008">
        <v>43206</v>
      </c>
      <c r="O21" s="1008">
        <v>43936</v>
      </c>
      <c r="P21" s="1008">
        <v>43207</v>
      </c>
      <c r="Q21" s="1008">
        <v>43550</v>
      </c>
      <c r="R21" s="1500">
        <v>43914</v>
      </c>
      <c r="S21" s="1560">
        <v>44280</v>
      </c>
    </row>
    <row r="22" spans="1:23" ht="15.75" thickTop="1">
      <c r="A22" s="989" t="s">
        <v>2189</v>
      </c>
      <c r="B22" s="985" t="s">
        <v>289</v>
      </c>
      <c r="C22" s="985" t="s">
        <v>291</v>
      </c>
      <c r="D22" s="939" t="s">
        <v>2388</v>
      </c>
      <c r="E22" s="1182" t="s">
        <v>2190</v>
      </c>
      <c r="F22" s="985"/>
      <c r="G22" s="1210">
        <v>2700000</v>
      </c>
      <c r="H22" s="985" t="s">
        <v>251</v>
      </c>
      <c r="I22" s="987">
        <v>43019</v>
      </c>
      <c r="J22" s="987">
        <v>43060</v>
      </c>
      <c r="K22" s="985" t="s">
        <v>2403</v>
      </c>
      <c r="L22" s="1277" t="s">
        <v>2404</v>
      </c>
      <c r="M22" s="1274" t="s">
        <v>2404</v>
      </c>
      <c r="N22" s="987">
        <v>43110</v>
      </c>
      <c r="O22" s="987">
        <v>43839</v>
      </c>
      <c r="P22" s="987">
        <v>43111</v>
      </c>
      <c r="Q22" s="1088">
        <v>43553</v>
      </c>
      <c r="R22" s="1500">
        <v>43913</v>
      </c>
      <c r="S22" s="355" t="s">
        <v>2547</v>
      </c>
    </row>
    <row r="23" spans="1:23" ht="14.25" customHeight="1">
      <c r="A23" s="1014" t="s">
        <v>2189</v>
      </c>
      <c r="B23" s="902" t="s">
        <v>289</v>
      </c>
      <c r="C23" s="902" t="s">
        <v>291</v>
      </c>
      <c r="D23" s="903" t="s">
        <v>2389</v>
      </c>
      <c r="E23" s="1032" t="s">
        <v>2190</v>
      </c>
      <c r="F23" s="902"/>
      <c r="G23" s="1211">
        <v>1150000</v>
      </c>
      <c r="H23" s="902" t="s">
        <v>251</v>
      </c>
      <c r="I23" s="905">
        <v>43019</v>
      </c>
      <c r="J23" s="905">
        <v>43060</v>
      </c>
      <c r="K23" s="902" t="s">
        <v>665</v>
      </c>
      <c r="L23" s="1278" t="s">
        <v>2404</v>
      </c>
      <c r="M23" s="1275" t="s">
        <v>2404</v>
      </c>
      <c r="N23" s="905">
        <v>43110</v>
      </c>
      <c r="O23" s="905">
        <v>43839</v>
      </c>
      <c r="P23" s="905">
        <v>43111</v>
      </c>
      <c r="Q23" s="1089">
        <v>43553</v>
      </c>
      <c r="R23" s="1500">
        <v>43892</v>
      </c>
      <c r="S23" s="1560">
        <v>43900</v>
      </c>
    </row>
    <row r="24" spans="1:23" ht="15.75" thickBot="1">
      <c r="A24" s="990" t="s">
        <v>2189</v>
      </c>
      <c r="B24" s="981" t="s">
        <v>289</v>
      </c>
      <c r="C24" s="981" t="s">
        <v>291</v>
      </c>
      <c r="D24" s="940" t="s">
        <v>2390</v>
      </c>
      <c r="E24" s="1201" t="s">
        <v>2190</v>
      </c>
      <c r="F24" s="981"/>
      <c r="G24" s="1212">
        <v>150000</v>
      </c>
      <c r="H24" s="981" t="s">
        <v>251</v>
      </c>
      <c r="I24" s="982">
        <v>43019</v>
      </c>
      <c r="J24" s="982">
        <v>43060</v>
      </c>
      <c r="K24" s="981" t="s">
        <v>2403</v>
      </c>
      <c r="L24" s="1279" t="s">
        <v>2404</v>
      </c>
      <c r="M24" s="1276" t="s">
        <v>2404</v>
      </c>
      <c r="N24" s="982">
        <v>43110</v>
      </c>
      <c r="O24" s="1317">
        <v>43839</v>
      </c>
      <c r="P24" s="982">
        <v>43111</v>
      </c>
      <c r="Q24" s="1090">
        <v>43553</v>
      </c>
      <c r="R24" s="1500">
        <v>43913</v>
      </c>
      <c r="S24" s="355" t="s">
        <v>2547</v>
      </c>
    </row>
    <row r="25" spans="1:23" ht="16.5" thickTop="1" thickBot="1">
      <c r="A25" s="1005" t="s">
        <v>2245</v>
      </c>
      <c r="B25" s="1005" t="s">
        <v>69</v>
      </c>
      <c r="C25" s="1005" t="s">
        <v>70</v>
      </c>
      <c r="D25" s="1006" t="s">
        <v>2246</v>
      </c>
      <c r="E25" s="1005" t="s">
        <v>1616</v>
      </c>
      <c r="F25" s="1005"/>
      <c r="G25" s="1007">
        <v>8700000</v>
      </c>
      <c r="H25" s="1005" t="s">
        <v>251</v>
      </c>
      <c r="I25" s="1008">
        <v>43028</v>
      </c>
      <c r="J25" s="1008">
        <v>43069</v>
      </c>
      <c r="K25" s="1005" t="s">
        <v>2097</v>
      </c>
      <c r="L25" s="1007">
        <v>8612882</v>
      </c>
      <c r="M25" s="1007">
        <v>10421587.220000001</v>
      </c>
      <c r="N25" s="1008">
        <v>43130</v>
      </c>
      <c r="O25" s="1008" t="s">
        <v>4096</v>
      </c>
      <c r="P25" s="1008">
        <v>43131</v>
      </c>
      <c r="Q25" s="1008">
        <v>43550</v>
      </c>
      <c r="R25" s="1500">
        <v>43929</v>
      </c>
      <c r="S25" s="1964">
        <v>44280</v>
      </c>
      <c r="T25" s="1373" t="s">
        <v>11373</v>
      </c>
      <c r="U25" s="1399">
        <v>2022</v>
      </c>
      <c r="V25" s="1399">
        <v>2023</v>
      </c>
      <c r="W25" s="1990">
        <v>2024</v>
      </c>
    </row>
    <row r="26" spans="1:23" ht="15.75" thickTop="1">
      <c r="A26" s="989" t="s">
        <v>2254</v>
      </c>
      <c r="B26" s="985" t="s">
        <v>69</v>
      </c>
      <c r="C26" s="985" t="s">
        <v>70</v>
      </c>
      <c r="D26" s="939" t="s">
        <v>2256</v>
      </c>
      <c r="E26" s="985" t="s">
        <v>2255</v>
      </c>
      <c r="F26" s="985"/>
      <c r="G26" s="1210">
        <v>3910221.46</v>
      </c>
      <c r="H26" s="985" t="s">
        <v>251</v>
      </c>
      <c r="I26" s="987">
        <v>43020</v>
      </c>
      <c r="J26" s="987">
        <v>43061</v>
      </c>
      <c r="K26" s="985" t="s">
        <v>2548</v>
      </c>
      <c r="L26" s="1210">
        <v>3910198.44</v>
      </c>
      <c r="M26" s="1210">
        <v>4301218.28</v>
      </c>
      <c r="N26" s="987">
        <v>43144</v>
      </c>
      <c r="O26" s="987">
        <v>43873</v>
      </c>
      <c r="P26" s="987">
        <v>43153</v>
      </c>
      <c r="Q26" s="1088">
        <v>43550</v>
      </c>
      <c r="R26" s="1500">
        <v>43914</v>
      </c>
      <c r="S26" s="355" t="s">
        <v>8483</v>
      </c>
    </row>
    <row r="27" spans="1:23" ht="15.75" thickBot="1">
      <c r="A27" s="990" t="s">
        <v>2254</v>
      </c>
      <c r="B27" s="981" t="s">
        <v>69</v>
      </c>
      <c r="C27" s="981" t="s">
        <v>70</v>
      </c>
      <c r="D27" s="940" t="s">
        <v>2258</v>
      </c>
      <c r="E27" s="981" t="s">
        <v>2255</v>
      </c>
      <c r="F27" s="981"/>
      <c r="G27" s="1212">
        <v>744173.64</v>
      </c>
      <c r="H27" s="981" t="s">
        <v>251</v>
      </c>
      <c r="I27" s="982">
        <v>43020</v>
      </c>
      <c r="J27" s="982">
        <v>43061</v>
      </c>
      <c r="K27" s="1114" t="s">
        <v>2402</v>
      </c>
      <c r="L27" s="1212">
        <v>744167.52</v>
      </c>
      <c r="M27" s="1212">
        <v>818584.27</v>
      </c>
      <c r="N27" s="982">
        <v>43144</v>
      </c>
      <c r="O27" s="1317">
        <v>43873</v>
      </c>
      <c r="P27" s="982">
        <v>43153</v>
      </c>
      <c r="Q27" s="1090">
        <v>43550</v>
      </c>
      <c r="R27" s="1500">
        <v>43914</v>
      </c>
      <c r="S27" s="1560">
        <v>44280</v>
      </c>
    </row>
    <row r="28" spans="1:23" ht="16.5" thickTop="1" thickBot="1">
      <c r="A28" s="913" t="s">
        <v>2263</v>
      </c>
      <c r="B28" s="913" t="s">
        <v>2111</v>
      </c>
      <c r="C28" s="913" t="s">
        <v>1215</v>
      </c>
      <c r="D28" s="914" t="s">
        <v>2274</v>
      </c>
      <c r="E28" s="913" t="s">
        <v>2113</v>
      </c>
      <c r="F28" s="913"/>
      <c r="G28" s="915">
        <v>380000</v>
      </c>
      <c r="H28" s="913" t="s">
        <v>216</v>
      </c>
      <c r="I28" s="916">
        <v>43026</v>
      </c>
      <c r="J28" s="916">
        <v>43047</v>
      </c>
      <c r="K28" s="913" t="s">
        <v>2183</v>
      </c>
      <c r="L28" s="915">
        <v>316570</v>
      </c>
      <c r="M28" s="915">
        <v>383049.7</v>
      </c>
      <c r="N28" s="916">
        <v>43109</v>
      </c>
      <c r="O28" s="916"/>
      <c r="P28" s="916">
        <v>43110</v>
      </c>
      <c r="Q28" s="916">
        <v>43929</v>
      </c>
      <c r="R28" s="1083"/>
    </row>
    <row r="29" spans="1:23" ht="15.75" thickTop="1">
      <c r="A29" s="989" t="s">
        <v>2295</v>
      </c>
      <c r="B29" s="985" t="s">
        <v>69</v>
      </c>
      <c r="C29" s="985" t="s">
        <v>70</v>
      </c>
      <c r="D29" s="939" t="s">
        <v>2300</v>
      </c>
      <c r="E29" s="985" t="s">
        <v>2296</v>
      </c>
      <c r="F29" s="985"/>
      <c r="G29" s="1210">
        <v>27876213.379999999</v>
      </c>
      <c r="H29" s="985" t="s">
        <v>251</v>
      </c>
      <c r="I29" s="987">
        <v>43042</v>
      </c>
      <c r="J29" s="987">
        <v>43080</v>
      </c>
      <c r="K29" s="985" t="s">
        <v>2548</v>
      </c>
      <c r="L29" s="1210">
        <v>27821554.02</v>
      </c>
      <c r="M29" s="1210">
        <v>30603709.422000002</v>
      </c>
      <c r="N29" s="987">
        <v>43116</v>
      </c>
      <c r="O29" s="987">
        <v>43845</v>
      </c>
      <c r="P29" s="987">
        <v>43117</v>
      </c>
      <c r="Q29" s="1088">
        <v>43550</v>
      </c>
      <c r="R29" s="1500">
        <v>43914</v>
      </c>
      <c r="S29" s="1560">
        <v>44280</v>
      </c>
    </row>
    <row r="30" spans="1:23">
      <c r="A30" s="1014" t="s">
        <v>2295</v>
      </c>
      <c r="B30" s="902" t="s">
        <v>69</v>
      </c>
      <c r="C30" s="902" t="s">
        <v>70</v>
      </c>
      <c r="D30" s="903" t="s">
        <v>2299</v>
      </c>
      <c r="E30" s="902" t="s">
        <v>2296</v>
      </c>
      <c r="F30" s="902"/>
      <c r="G30" s="1211">
        <v>146844</v>
      </c>
      <c r="H30" s="902" t="s">
        <v>251</v>
      </c>
      <c r="I30" s="905">
        <v>43042</v>
      </c>
      <c r="J30" s="905">
        <v>43080</v>
      </c>
      <c r="K30" s="902" t="s">
        <v>2548</v>
      </c>
      <c r="L30" s="1211">
        <v>146844</v>
      </c>
      <c r="M30" s="1211">
        <v>161528.40000000002</v>
      </c>
      <c r="N30" s="905">
        <v>43116</v>
      </c>
      <c r="O30" s="905">
        <v>43845</v>
      </c>
      <c r="P30" s="905">
        <v>43117</v>
      </c>
      <c r="Q30" s="1089">
        <v>43550</v>
      </c>
      <c r="R30" s="1500">
        <v>43914</v>
      </c>
      <c r="S30" s="355" t="s">
        <v>8483</v>
      </c>
    </row>
    <row r="31" spans="1:23">
      <c r="A31" s="1014" t="s">
        <v>2295</v>
      </c>
      <c r="B31" s="902" t="s">
        <v>69</v>
      </c>
      <c r="C31" s="902" t="s">
        <v>70</v>
      </c>
      <c r="D31" s="903" t="s">
        <v>2298</v>
      </c>
      <c r="E31" s="902" t="s">
        <v>2296</v>
      </c>
      <c r="F31" s="902"/>
      <c r="G31" s="1211">
        <v>300384</v>
      </c>
      <c r="H31" s="902" t="s">
        <v>251</v>
      </c>
      <c r="I31" s="905">
        <v>43042</v>
      </c>
      <c r="J31" s="905">
        <v>43080</v>
      </c>
      <c r="K31" s="902" t="s">
        <v>576</v>
      </c>
      <c r="L31" s="1211">
        <v>298302</v>
      </c>
      <c r="M31" s="1211">
        <v>328132.2</v>
      </c>
      <c r="N31" s="905">
        <v>43116</v>
      </c>
      <c r="O31" s="905">
        <v>43845</v>
      </c>
      <c r="P31" s="905">
        <v>43117</v>
      </c>
      <c r="Q31" s="1089">
        <v>43550</v>
      </c>
      <c r="R31" s="1500">
        <v>43914</v>
      </c>
      <c r="S31" s="355" t="s">
        <v>8483</v>
      </c>
    </row>
    <row r="32" spans="1:23" ht="15.75" thickBot="1">
      <c r="A32" s="990" t="s">
        <v>2295</v>
      </c>
      <c r="B32" s="981" t="s">
        <v>69</v>
      </c>
      <c r="C32" s="981" t="s">
        <v>70</v>
      </c>
      <c r="D32" s="940" t="s">
        <v>2297</v>
      </c>
      <c r="E32" s="981" t="s">
        <v>2296</v>
      </c>
      <c r="F32" s="981"/>
      <c r="G32" s="1212">
        <v>159122</v>
      </c>
      <c r="H32" s="981" t="s">
        <v>251</v>
      </c>
      <c r="I32" s="982">
        <v>43042</v>
      </c>
      <c r="J32" s="982">
        <v>43080</v>
      </c>
      <c r="K32" s="981" t="s">
        <v>2548</v>
      </c>
      <c r="L32" s="1212">
        <v>157830</v>
      </c>
      <c r="M32" s="1212">
        <v>173613</v>
      </c>
      <c r="N32" s="982">
        <v>43116</v>
      </c>
      <c r="O32" s="1317">
        <v>43845</v>
      </c>
      <c r="P32" s="982">
        <v>43117</v>
      </c>
      <c r="Q32" s="1090">
        <v>43550</v>
      </c>
      <c r="R32" s="1500">
        <v>43914</v>
      </c>
      <c r="S32" s="355" t="s">
        <v>8483</v>
      </c>
    </row>
    <row r="33" spans="1:19" ht="15.75" thickTop="1">
      <c r="A33" s="989" t="s">
        <v>2301</v>
      </c>
      <c r="B33" s="985" t="s">
        <v>69</v>
      </c>
      <c r="C33" s="985" t="s">
        <v>70</v>
      </c>
      <c r="D33" s="939" t="s">
        <v>2303</v>
      </c>
      <c r="E33" s="985" t="s">
        <v>2302</v>
      </c>
      <c r="F33" s="985"/>
      <c r="G33" s="1210">
        <v>425317.92</v>
      </c>
      <c r="H33" s="985" t="s">
        <v>251</v>
      </c>
      <c r="I33" s="987">
        <v>43055</v>
      </c>
      <c r="J33" s="987">
        <v>43098</v>
      </c>
      <c r="K33" s="985" t="s">
        <v>2548</v>
      </c>
      <c r="L33" s="1210">
        <v>421822.88</v>
      </c>
      <c r="M33" s="1210">
        <f>L33*1.1</f>
        <v>464005.16800000006</v>
      </c>
      <c r="N33" s="987">
        <v>43146</v>
      </c>
      <c r="O33" s="987">
        <v>43875</v>
      </c>
      <c r="P33" s="987">
        <v>43151</v>
      </c>
      <c r="Q33" s="1088">
        <v>43550</v>
      </c>
      <c r="R33" s="1500">
        <v>43914</v>
      </c>
      <c r="S33" s="1560">
        <v>44280</v>
      </c>
    </row>
    <row r="34" spans="1:19">
      <c r="A34" s="1014" t="s">
        <v>2301</v>
      </c>
      <c r="B34" s="902" t="s">
        <v>69</v>
      </c>
      <c r="C34" s="902" t="s">
        <v>70</v>
      </c>
      <c r="D34" s="903" t="s">
        <v>2304</v>
      </c>
      <c r="E34" s="902" t="s">
        <v>72</v>
      </c>
      <c r="F34" s="902"/>
      <c r="G34" s="1211">
        <v>4104326.9</v>
      </c>
      <c r="H34" s="902" t="s">
        <v>251</v>
      </c>
      <c r="I34" s="905">
        <v>43055</v>
      </c>
      <c r="J34" s="905">
        <v>43098</v>
      </c>
      <c r="K34" s="902" t="s">
        <v>576</v>
      </c>
      <c r="L34" s="1211">
        <v>4066536.34</v>
      </c>
      <c r="M34" s="1211">
        <f>L34*1.1</f>
        <v>4473189.9740000004</v>
      </c>
      <c r="N34" s="905">
        <v>43146</v>
      </c>
      <c r="O34" s="905">
        <v>43875</v>
      </c>
      <c r="P34" s="905">
        <v>43151</v>
      </c>
      <c r="Q34" s="1089">
        <v>43550</v>
      </c>
      <c r="R34" s="1500">
        <v>43914</v>
      </c>
      <c r="S34" s="1560">
        <v>44280</v>
      </c>
    </row>
    <row r="35" spans="1:19">
      <c r="A35" s="1014" t="s">
        <v>2301</v>
      </c>
      <c r="B35" s="902" t="s">
        <v>69</v>
      </c>
      <c r="C35" s="902" t="s">
        <v>70</v>
      </c>
      <c r="D35" s="903" t="s">
        <v>2305</v>
      </c>
      <c r="E35" s="902" t="s">
        <v>72</v>
      </c>
      <c r="F35" s="902"/>
      <c r="G35" s="1211">
        <v>4551397.9400000004</v>
      </c>
      <c r="H35" s="902" t="s">
        <v>251</v>
      </c>
      <c r="I35" s="905">
        <v>43055</v>
      </c>
      <c r="J35" s="905">
        <v>43098</v>
      </c>
      <c r="K35" s="902" t="s">
        <v>1319</v>
      </c>
      <c r="L35" s="1211">
        <v>4454820.18</v>
      </c>
      <c r="M35" s="1211">
        <f>L35*1.1</f>
        <v>4900302.1979999999</v>
      </c>
      <c r="N35" s="905">
        <v>43146</v>
      </c>
      <c r="O35" s="905">
        <v>43875</v>
      </c>
      <c r="P35" s="905">
        <v>43151</v>
      </c>
      <c r="Q35" s="1089">
        <v>43550</v>
      </c>
      <c r="R35" s="1500">
        <v>43914</v>
      </c>
      <c r="S35" s="1560">
        <v>44280</v>
      </c>
    </row>
    <row r="36" spans="1:19">
      <c r="A36" s="1014" t="s">
        <v>2301</v>
      </c>
      <c r="B36" s="902" t="s">
        <v>69</v>
      </c>
      <c r="C36" s="902" t="s">
        <v>70</v>
      </c>
      <c r="D36" s="903" t="s">
        <v>2387</v>
      </c>
      <c r="E36" s="902" t="s">
        <v>72</v>
      </c>
      <c r="F36" s="902"/>
      <c r="G36" s="1211">
        <v>8263134</v>
      </c>
      <c r="H36" s="902" t="s">
        <v>251</v>
      </c>
      <c r="I36" s="905">
        <v>43055</v>
      </c>
      <c r="J36" s="905">
        <v>43098</v>
      </c>
      <c r="K36" s="902" t="s">
        <v>2548</v>
      </c>
      <c r="L36" s="1211">
        <v>8263134</v>
      </c>
      <c r="M36" s="1211">
        <f>L36*1.1</f>
        <v>9089447.4000000004</v>
      </c>
      <c r="N36" s="905">
        <v>43146</v>
      </c>
      <c r="O36" s="905">
        <v>43875</v>
      </c>
      <c r="P36" s="905">
        <v>43151</v>
      </c>
      <c r="Q36" s="1089">
        <v>43550</v>
      </c>
      <c r="R36" s="1500">
        <v>43914</v>
      </c>
      <c r="S36" s="1560">
        <v>44280</v>
      </c>
    </row>
    <row r="37" spans="1:19" ht="15.75" thickBot="1">
      <c r="A37" s="990" t="s">
        <v>2301</v>
      </c>
      <c r="B37" s="981" t="s">
        <v>69</v>
      </c>
      <c r="C37" s="981" t="s">
        <v>70</v>
      </c>
      <c r="D37" s="940" t="s">
        <v>2386</v>
      </c>
      <c r="E37" s="981" t="s">
        <v>72</v>
      </c>
      <c r="F37" s="981"/>
      <c r="G37" s="1212">
        <v>17024000</v>
      </c>
      <c r="H37" s="981" t="s">
        <v>251</v>
      </c>
      <c r="I37" s="982">
        <v>43055</v>
      </c>
      <c r="J37" s="982">
        <v>43098</v>
      </c>
      <c r="K37" s="981" t="s">
        <v>2534</v>
      </c>
      <c r="L37" s="1212">
        <v>17024000</v>
      </c>
      <c r="M37" s="1212">
        <f>L37*1.1</f>
        <v>18726400</v>
      </c>
      <c r="N37" s="982">
        <v>43146</v>
      </c>
      <c r="O37" s="1317">
        <v>43875</v>
      </c>
      <c r="P37" s="982">
        <v>43151</v>
      </c>
      <c r="Q37" s="1090">
        <v>43550</v>
      </c>
      <c r="R37" s="1500">
        <v>43914</v>
      </c>
      <c r="S37" s="1560">
        <v>44280</v>
      </c>
    </row>
    <row r="38" spans="1:19" ht="15.75" thickTop="1">
      <c r="A38" s="989" t="s">
        <v>2306</v>
      </c>
      <c r="B38" s="985" t="s">
        <v>69</v>
      </c>
      <c r="C38" s="985" t="s">
        <v>70</v>
      </c>
      <c r="D38" s="939" t="s">
        <v>2307</v>
      </c>
      <c r="E38" s="985" t="s">
        <v>68</v>
      </c>
      <c r="F38" s="985"/>
      <c r="G38" s="1210">
        <v>2424242</v>
      </c>
      <c r="H38" s="985" t="s">
        <v>251</v>
      </c>
      <c r="I38" s="987">
        <v>43048</v>
      </c>
      <c r="J38" s="987">
        <v>43089</v>
      </c>
      <c r="K38" s="985" t="s">
        <v>576</v>
      </c>
      <c r="L38" s="1210">
        <v>2424242</v>
      </c>
      <c r="M38" s="1210">
        <v>2666666.2000000002</v>
      </c>
      <c r="N38" s="987">
        <v>43166</v>
      </c>
      <c r="O38" s="987">
        <v>43896</v>
      </c>
      <c r="P38" s="987">
        <v>43171</v>
      </c>
      <c r="Q38" s="1088">
        <v>43550</v>
      </c>
      <c r="R38" s="1500">
        <v>43914</v>
      </c>
      <c r="S38" s="1560">
        <v>44280</v>
      </c>
    </row>
    <row r="39" spans="1:19">
      <c r="A39" s="1014" t="s">
        <v>2306</v>
      </c>
      <c r="B39" s="902" t="s">
        <v>69</v>
      </c>
      <c r="C39" s="902" t="s">
        <v>70</v>
      </c>
      <c r="D39" s="903" t="s">
        <v>2309</v>
      </c>
      <c r="E39" s="902" t="s">
        <v>68</v>
      </c>
      <c r="F39" s="902"/>
      <c r="G39" s="1211">
        <v>12396122.52</v>
      </c>
      <c r="H39" s="902" t="s">
        <v>251</v>
      </c>
      <c r="I39" s="905">
        <v>43048</v>
      </c>
      <c r="J39" s="905">
        <v>43089</v>
      </c>
      <c r="K39" s="902" t="s">
        <v>2490</v>
      </c>
      <c r="L39" s="1211">
        <v>12396122.52</v>
      </c>
      <c r="M39" s="1211">
        <v>13635734.772</v>
      </c>
      <c r="N39" s="905">
        <v>43166</v>
      </c>
      <c r="O39" s="905">
        <v>43896</v>
      </c>
      <c r="P39" s="905">
        <v>43171</v>
      </c>
      <c r="Q39" s="1089">
        <v>43550</v>
      </c>
      <c r="R39" s="1500">
        <v>43914</v>
      </c>
      <c r="S39" s="1560">
        <v>44280</v>
      </c>
    </row>
    <row r="40" spans="1:19">
      <c r="A40" s="1014" t="s">
        <v>2306</v>
      </c>
      <c r="B40" s="902" t="s">
        <v>69</v>
      </c>
      <c r="C40" s="902" t="s">
        <v>70</v>
      </c>
      <c r="D40" s="903" t="s">
        <v>2310</v>
      </c>
      <c r="E40" s="902" t="s">
        <v>68</v>
      </c>
      <c r="F40" s="902"/>
      <c r="G40" s="1211">
        <v>6897081.4000000004</v>
      </c>
      <c r="H40" s="902" t="s">
        <v>251</v>
      </c>
      <c r="I40" s="905">
        <v>43048</v>
      </c>
      <c r="J40" s="905">
        <v>43089</v>
      </c>
      <c r="K40" s="902" t="s">
        <v>1646</v>
      </c>
      <c r="L40" s="1211">
        <v>6800669.8899999997</v>
      </c>
      <c r="M40" s="1211">
        <v>7480736.8790000007</v>
      </c>
      <c r="N40" s="905">
        <v>43166</v>
      </c>
      <c r="O40" s="905">
        <v>43896</v>
      </c>
      <c r="P40" s="905">
        <v>43171</v>
      </c>
      <c r="Q40" s="1089">
        <v>43550</v>
      </c>
      <c r="R40" s="1500">
        <v>43914</v>
      </c>
      <c r="S40" s="355" t="s">
        <v>8483</v>
      </c>
    </row>
    <row r="41" spans="1:19" ht="15.75" thickBot="1">
      <c r="A41" s="990" t="s">
        <v>2306</v>
      </c>
      <c r="B41" s="981" t="s">
        <v>69</v>
      </c>
      <c r="C41" s="981" t="s">
        <v>70</v>
      </c>
      <c r="D41" s="940" t="s">
        <v>2311</v>
      </c>
      <c r="E41" s="981" t="s">
        <v>68</v>
      </c>
      <c r="F41" s="981"/>
      <c r="G41" s="1212">
        <v>6660432</v>
      </c>
      <c r="H41" s="981" t="s">
        <v>251</v>
      </c>
      <c r="I41" s="982">
        <v>43048</v>
      </c>
      <c r="J41" s="982">
        <v>43089</v>
      </c>
      <c r="K41" s="981" t="s">
        <v>576</v>
      </c>
      <c r="L41" s="1212">
        <v>6660432</v>
      </c>
      <c r="M41" s="1212">
        <v>7326475.2000000002</v>
      </c>
      <c r="N41" s="982">
        <v>43166</v>
      </c>
      <c r="O41" s="1317">
        <v>43896</v>
      </c>
      <c r="P41" s="982">
        <v>43171</v>
      </c>
      <c r="Q41" s="1090">
        <v>43550</v>
      </c>
      <c r="R41" s="1500">
        <v>43914</v>
      </c>
      <c r="S41" s="1560">
        <v>44280</v>
      </c>
    </row>
    <row r="42" spans="1:19" ht="15.75" thickTop="1">
      <c r="A42" s="989" t="s">
        <v>2337</v>
      </c>
      <c r="B42" s="985" t="s">
        <v>69</v>
      </c>
      <c r="C42" s="985" t="s">
        <v>70</v>
      </c>
      <c r="D42" s="939" t="s">
        <v>2338</v>
      </c>
      <c r="E42" s="985" t="s">
        <v>1147</v>
      </c>
      <c r="F42" s="985"/>
      <c r="G42" s="1210">
        <v>2300220</v>
      </c>
      <c r="H42" s="985" t="s">
        <v>251</v>
      </c>
      <c r="I42" s="987">
        <v>43055</v>
      </c>
      <c r="J42" s="987">
        <v>43097</v>
      </c>
      <c r="K42" s="985" t="s">
        <v>2548</v>
      </c>
      <c r="L42" s="1210">
        <v>2281312.7999999998</v>
      </c>
      <c r="M42" s="1210">
        <v>2509444.08</v>
      </c>
      <c r="N42" s="987">
        <v>43144</v>
      </c>
      <c r="O42" s="987">
        <v>43873</v>
      </c>
      <c r="P42" s="987">
        <v>43147</v>
      </c>
      <c r="Q42" s="1088">
        <v>43550</v>
      </c>
      <c r="R42" s="1500">
        <v>43914</v>
      </c>
      <c r="S42" s="1560">
        <v>44280</v>
      </c>
    </row>
    <row r="43" spans="1:19">
      <c r="A43" s="1014" t="s">
        <v>2337</v>
      </c>
      <c r="B43" s="902" t="s">
        <v>69</v>
      </c>
      <c r="C43" s="902" t="s">
        <v>70</v>
      </c>
      <c r="D43" s="903" t="s">
        <v>2339</v>
      </c>
      <c r="E43" s="902" t="s">
        <v>1147</v>
      </c>
      <c r="F43" s="902"/>
      <c r="G43" s="1211">
        <v>7844306.4000000004</v>
      </c>
      <c r="H43" s="902" t="s">
        <v>251</v>
      </c>
      <c r="I43" s="905">
        <v>43055</v>
      </c>
      <c r="J43" s="905">
        <v>43097</v>
      </c>
      <c r="K43" s="902" t="s">
        <v>2548</v>
      </c>
      <c r="L43" s="1211">
        <v>7766640</v>
      </c>
      <c r="M43" s="1211">
        <v>8543304</v>
      </c>
      <c r="N43" s="905">
        <v>43144</v>
      </c>
      <c r="O43" s="905">
        <v>43873</v>
      </c>
      <c r="P43" s="905">
        <v>43147</v>
      </c>
      <c r="Q43" s="1089">
        <v>43550</v>
      </c>
      <c r="R43" s="1500">
        <v>43914</v>
      </c>
      <c r="S43" s="1560">
        <v>44280</v>
      </c>
    </row>
    <row r="44" spans="1:19" ht="15.75" thickBot="1">
      <c r="A44" s="990" t="s">
        <v>2337</v>
      </c>
      <c r="B44" s="981" t="s">
        <v>69</v>
      </c>
      <c r="C44" s="981" t="s">
        <v>70</v>
      </c>
      <c r="D44" s="940" t="s">
        <v>2340</v>
      </c>
      <c r="E44" s="981" t="s">
        <v>1147</v>
      </c>
      <c r="F44" s="981"/>
      <c r="G44" s="1212">
        <v>5059432.22</v>
      </c>
      <c r="H44" s="981" t="s">
        <v>251</v>
      </c>
      <c r="I44" s="982">
        <v>43055</v>
      </c>
      <c r="J44" s="982">
        <v>43097</v>
      </c>
      <c r="K44" s="1114" t="s">
        <v>576</v>
      </c>
      <c r="L44" s="1212">
        <v>5014850.16</v>
      </c>
      <c r="M44" s="1212">
        <v>5516335.1760000009</v>
      </c>
      <c r="N44" s="982">
        <v>43144</v>
      </c>
      <c r="O44" s="1317">
        <v>43873</v>
      </c>
      <c r="P44" s="982">
        <v>43147</v>
      </c>
      <c r="Q44" s="1259">
        <v>43550</v>
      </c>
      <c r="R44" s="1500">
        <v>43914</v>
      </c>
      <c r="S44" s="1560">
        <v>44280</v>
      </c>
    </row>
    <row r="45" spans="1:19" ht="15.75" thickTop="1">
      <c r="A45" s="991" t="s">
        <v>2354</v>
      </c>
      <c r="B45" s="991" t="s">
        <v>58</v>
      </c>
      <c r="C45" s="991" t="s">
        <v>57</v>
      </c>
      <c r="D45" s="567" t="s">
        <v>2355</v>
      </c>
      <c r="E45" s="991" t="s">
        <v>2356</v>
      </c>
      <c r="F45" s="991" t="s">
        <v>2357</v>
      </c>
      <c r="G45" s="992">
        <v>865000</v>
      </c>
      <c r="H45" s="991" t="s">
        <v>112</v>
      </c>
      <c r="I45" s="993">
        <v>43055</v>
      </c>
      <c r="J45" s="993">
        <v>43068</v>
      </c>
      <c r="K45" s="991" t="s">
        <v>1792</v>
      </c>
      <c r="L45" s="992">
        <v>1669200</v>
      </c>
      <c r="M45" s="992">
        <v>2019732</v>
      </c>
      <c r="N45" s="993">
        <v>43117</v>
      </c>
      <c r="O45" s="993"/>
      <c r="P45" s="993">
        <v>43117</v>
      </c>
      <c r="Q45" s="993">
        <v>43227</v>
      </c>
      <c r="R45" s="1208" t="s">
        <v>1875</v>
      </c>
    </row>
    <row r="46" spans="1:19">
      <c r="A46" s="902" t="s">
        <v>2358</v>
      </c>
      <c r="B46" s="902" t="s">
        <v>1450</v>
      </c>
      <c r="C46" s="902" t="s">
        <v>232</v>
      </c>
      <c r="D46" s="903" t="s">
        <v>2359</v>
      </c>
      <c r="E46" s="902" t="s">
        <v>237</v>
      </c>
      <c r="F46" s="902"/>
      <c r="G46" s="1211">
        <v>300000</v>
      </c>
      <c r="H46" s="902" t="s">
        <v>112</v>
      </c>
      <c r="I46" s="905">
        <v>43054</v>
      </c>
      <c r="J46" s="905">
        <v>43063</v>
      </c>
      <c r="K46" s="1032" t="s">
        <v>2432</v>
      </c>
      <c r="L46" s="1211">
        <v>194000</v>
      </c>
      <c r="M46" s="1211">
        <v>234740</v>
      </c>
      <c r="N46" s="905">
        <v>43102</v>
      </c>
      <c r="O46" s="905"/>
      <c r="P46" s="902" t="s">
        <v>239</v>
      </c>
      <c r="Q46" s="902" t="s">
        <v>239</v>
      </c>
      <c r="R46" s="1083"/>
    </row>
    <row r="47" spans="1:19" ht="15.75" thickBot="1">
      <c r="A47" s="925" t="s">
        <v>2380</v>
      </c>
      <c r="B47" s="925" t="s">
        <v>69</v>
      </c>
      <c r="C47" s="925" t="s">
        <v>70</v>
      </c>
      <c r="D47" s="926" t="s">
        <v>2353</v>
      </c>
      <c r="E47" s="925" t="s">
        <v>688</v>
      </c>
      <c r="F47" s="925"/>
      <c r="G47" s="927">
        <v>1702608</v>
      </c>
      <c r="H47" s="925" t="s">
        <v>112</v>
      </c>
      <c r="I47" s="928">
        <v>43083</v>
      </c>
      <c r="J47" s="928">
        <v>43124</v>
      </c>
      <c r="K47" s="929" t="s">
        <v>2635</v>
      </c>
      <c r="L47" s="927"/>
      <c r="M47" s="927"/>
      <c r="N47" s="925"/>
      <c r="O47" s="925"/>
      <c r="P47" s="1213">
        <v>43126</v>
      </c>
      <c r="Q47" s="925"/>
      <c r="R47" s="1081"/>
    </row>
    <row r="48" spans="1:19" ht="15.75" thickTop="1">
      <c r="A48" s="989" t="s">
        <v>2378</v>
      </c>
      <c r="B48" s="985" t="s">
        <v>69</v>
      </c>
      <c r="C48" s="985" t="s">
        <v>70</v>
      </c>
      <c r="D48" s="939" t="s">
        <v>2351</v>
      </c>
      <c r="E48" s="985" t="s">
        <v>68</v>
      </c>
      <c r="F48" s="985"/>
      <c r="G48" s="1210">
        <v>131673.32</v>
      </c>
      <c r="H48" s="985" t="s">
        <v>251</v>
      </c>
      <c r="I48" s="987">
        <v>43069</v>
      </c>
      <c r="J48" s="987">
        <v>43109</v>
      </c>
      <c r="K48" s="985" t="s">
        <v>576</v>
      </c>
      <c r="L48" s="1210">
        <v>131673.32</v>
      </c>
      <c r="M48" s="1210">
        <v>144840.65</v>
      </c>
      <c r="N48" s="987">
        <v>43174</v>
      </c>
      <c r="O48" s="987">
        <v>43904</v>
      </c>
      <c r="P48" s="987">
        <v>43175</v>
      </c>
      <c r="Q48" s="1088">
        <v>43550</v>
      </c>
      <c r="R48" s="1965">
        <v>43914</v>
      </c>
      <c r="S48" s="1560">
        <v>44280</v>
      </c>
    </row>
    <row r="49" spans="1:19" ht="15.75" thickBot="1">
      <c r="A49" s="990" t="s">
        <v>2378</v>
      </c>
      <c r="B49" s="981" t="s">
        <v>69</v>
      </c>
      <c r="C49" s="981" t="s">
        <v>70</v>
      </c>
      <c r="D49" s="940" t="s">
        <v>2352</v>
      </c>
      <c r="E49" s="981" t="s">
        <v>68</v>
      </c>
      <c r="F49" s="981"/>
      <c r="G49" s="1212">
        <v>16902723.82</v>
      </c>
      <c r="H49" s="981" t="s">
        <v>251</v>
      </c>
      <c r="I49" s="982">
        <v>43069</v>
      </c>
      <c r="J49" s="982">
        <v>43109</v>
      </c>
      <c r="K49" s="981" t="s">
        <v>2554</v>
      </c>
      <c r="L49" s="1212">
        <v>16902723.82</v>
      </c>
      <c r="M49" s="1212">
        <v>18592996.199999999</v>
      </c>
      <c r="N49" s="982">
        <v>43174</v>
      </c>
      <c r="O49" s="1317">
        <v>43904</v>
      </c>
      <c r="P49" s="982">
        <v>43175</v>
      </c>
      <c r="Q49" s="1090">
        <v>43550</v>
      </c>
      <c r="R49" s="1288">
        <v>43914</v>
      </c>
      <c r="S49" s="1560">
        <v>44280</v>
      </c>
    </row>
    <row r="50" spans="1:19" ht="15.75" thickTop="1">
      <c r="A50" s="989" t="s">
        <v>2379</v>
      </c>
      <c r="B50" s="985" t="s">
        <v>69</v>
      </c>
      <c r="C50" s="985" t="s">
        <v>70</v>
      </c>
      <c r="D50" s="939" t="s">
        <v>2349</v>
      </c>
      <c r="E50" s="985" t="s">
        <v>93</v>
      </c>
      <c r="F50" s="985"/>
      <c r="G50" s="1210">
        <v>2899656</v>
      </c>
      <c r="H50" s="985" t="s">
        <v>251</v>
      </c>
      <c r="I50" s="987">
        <v>43077</v>
      </c>
      <c r="J50" s="987">
        <v>43116</v>
      </c>
      <c r="K50" s="985" t="s">
        <v>576</v>
      </c>
      <c r="L50" s="1210">
        <v>2038596</v>
      </c>
      <c r="M50" s="1210">
        <f t="shared" ref="M50:M64" si="0">L50*1.1</f>
        <v>2242455.6</v>
      </c>
      <c r="N50" s="987">
        <v>43174</v>
      </c>
      <c r="O50" s="987">
        <v>43904</v>
      </c>
      <c r="P50" s="987">
        <v>43175</v>
      </c>
      <c r="Q50" s="1088">
        <v>43550</v>
      </c>
      <c r="R50" s="1965">
        <v>43914</v>
      </c>
      <c r="S50" s="1560">
        <v>44280</v>
      </c>
    </row>
    <row r="51" spans="1:19" ht="15.75" thickBot="1">
      <c r="A51" s="990" t="s">
        <v>2379</v>
      </c>
      <c r="B51" s="981" t="s">
        <v>69</v>
      </c>
      <c r="C51" s="981" t="s">
        <v>70</v>
      </c>
      <c r="D51" s="940" t="s">
        <v>2350</v>
      </c>
      <c r="E51" s="981" t="s">
        <v>93</v>
      </c>
      <c r="F51" s="981"/>
      <c r="G51" s="1212">
        <v>4172051.48</v>
      </c>
      <c r="H51" s="981" t="s">
        <v>251</v>
      </c>
      <c r="I51" s="982">
        <v>43077</v>
      </c>
      <c r="J51" s="982">
        <v>43116</v>
      </c>
      <c r="K51" s="981" t="s">
        <v>1646</v>
      </c>
      <c r="L51" s="1212">
        <v>4152182.9</v>
      </c>
      <c r="M51" s="1212">
        <f t="shared" si="0"/>
        <v>4567401.1900000004</v>
      </c>
      <c r="N51" s="982">
        <v>43174</v>
      </c>
      <c r="O51" s="1317">
        <v>43904</v>
      </c>
      <c r="P51" s="982">
        <v>43175</v>
      </c>
      <c r="Q51" s="1090">
        <v>43550</v>
      </c>
      <c r="R51" s="1288">
        <v>43914</v>
      </c>
      <c r="S51" s="1560">
        <v>44280</v>
      </c>
    </row>
    <row r="52" spans="1:19" ht="15.75" thickTop="1">
      <c r="A52" s="989" t="s">
        <v>2381</v>
      </c>
      <c r="B52" s="985" t="s">
        <v>69</v>
      </c>
      <c r="C52" s="985" t="s">
        <v>70</v>
      </c>
      <c r="D52" s="939" t="s">
        <v>2511</v>
      </c>
      <c r="E52" s="985" t="s">
        <v>93</v>
      </c>
      <c r="F52" s="985"/>
      <c r="G52" s="1210">
        <v>39478800</v>
      </c>
      <c r="H52" s="985" t="s">
        <v>251</v>
      </c>
      <c r="I52" s="987">
        <v>43061</v>
      </c>
      <c r="J52" s="987">
        <v>43103</v>
      </c>
      <c r="K52" s="985" t="s">
        <v>576</v>
      </c>
      <c r="L52" s="1210">
        <v>39474370</v>
      </c>
      <c r="M52" s="1210">
        <f t="shared" si="0"/>
        <v>43421807</v>
      </c>
      <c r="N52" s="987">
        <v>43144</v>
      </c>
      <c r="O52" s="987">
        <v>43873</v>
      </c>
      <c r="P52" s="987">
        <v>43150</v>
      </c>
      <c r="Q52" s="1088">
        <v>43550</v>
      </c>
      <c r="R52" s="1965">
        <v>43914</v>
      </c>
      <c r="S52" s="1560">
        <v>44280</v>
      </c>
    </row>
    <row r="53" spans="1:19">
      <c r="A53" s="1014" t="s">
        <v>2381</v>
      </c>
      <c r="B53" s="902" t="s">
        <v>69</v>
      </c>
      <c r="C53" s="902" t="s">
        <v>70</v>
      </c>
      <c r="D53" s="903" t="s">
        <v>2512</v>
      </c>
      <c r="E53" s="902" t="s">
        <v>93</v>
      </c>
      <c r="F53" s="902"/>
      <c r="G53" s="1211">
        <v>11502108.060000001</v>
      </c>
      <c r="H53" s="902" t="s">
        <v>251</v>
      </c>
      <c r="I53" s="905">
        <v>43061</v>
      </c>
      <c r="J53" s="905">
        <v>43103</v>
      </c>
      <c r="K53" s="902" t="s">
        <v>2548</v>
      </c>
      <c r="L53" s="1211">
        <v>11502108.060000001</v>
      </c>
      <c r="M53" s="1211">
        <f t="shared" si="0"/>
        <v>12652318.866000002</v>
      </c>
      <c r="N53" s="905">
        <v>43144</v>
      </c>
      <c r="O53" s="905">
        <v>43873</v>
      </c>
      <c r="P53" s="905">
        <v>43150</v>
      </c>
      <c r="Q53" s="1089">
        <v>43550</v>
      </c>
      <c r="R53" s="1502">
        <v>43914</v>
      </c>
      <c r="S53" s="1560">
        <v>44280</v>
      </c>
    </row>
    <row r="54" spans="1:19">
      <c r="A54" s="1014" t="s">
        <v>2381</v>
      </c>
      <c r="B54" s="902" t="s">
        <v>69</v>
      </c>
      <c r="C54" s="902" t="s">
        <v>70</v>
      </c>
      <c r="D54" s="903" t="s">
        <v>2513</v>
      </c>
      <c r="E54" s="902" t="s">
        <v>93</v>
      </c>
      <c r="F54" s="902"/>
      <c r="G54" s="1211">
        <v>12729355.68</v>
      </c>
      <c r="H54" s="902" t="s">
        <v>251</v>
      </c>
      <c r="I54" s="905">
        <v>43061</v>
      </c>
      <c r="J54" s="905">
        <v>43103</v>
      </c>
      <c r="K54" s="902" t="s">
        <v>1319</v>
      </c>
      <c r="L54" s="1211">
        <v>12729355.68</v>
      </c>
      <c r="M54" s="1211">
        <f t="shared" si="0"/>
        <v>14002291.248000002</v>
      </c>
      <c r="N54" s="905">
        <v>43144</v>
      </c>
      <c r="O54" s="905">
        <v>43873</v>
      </c>
      <c r="P54" s="905">
        <v>43150</v>
      </c>
      <c r="Q54" s="1089">
        <v>43550</v>
      </c>
      <c r="R54" s="1502">
        <v>43914</v>
      </c>
      <c r="S54" s="1560">
        <v>44280</v>
      </c>
    </row>
    <row r="55" spans="1:19">
      <c r="A55" s="1014" t="s">
        <v>2381</v>
      </c>
      <c r="B55" s="902" t="s">
        <v>69</v>
      </c>
      <c r="C55" s="902" t="s">
        <v>70</v>
      </c>
      <c r="D55" s="903" t="s">
        <v>2514</v>
      </c>
      <c r="E55" s="902" t="s">
        <v>93</v>
      </c>
      <c r="F55" s="902"/>
      <c r="G55" s="1211">
        <v>46981891</v>
      </c>
      <c r="H55" s="902" t="s">
        <v>251</v>
      </c>
      <c r="I55" s="905">
        <v>43061</v>
      </c>
      <c r="J55" s="905">
        <v>43103</v>
      </c>
      <c r="K55" s="902" t="s">
        <v>2548</v>
      </c>
      <c r="L55" s="1211">
        <v>46981891</v>
      </c>
      <c r="M55" s="1211">
        <f t="shared" si="0"/>
        <v>51680080.100000001</v>
      </c>
      <c r="N55" s="905">
        <v>43144</v>
      </c>
      <c r="O55" s="905">
        <v>43873</v>
      </c>
      <c r="P55" s="905">
        <v>43150</v>
      </c>
      <c r="Q55" s="1089">
        <v>43550</v>
      </c>
      <c r="R55" s="1502">
        <v>43914</v>
      </c>
      <c r="S55" s="1560">
        <v>44280</v>
      </c>
    </row>
    <row r="56" spans="1:19">
      <c r="A56" s="1014" t="s">
        <v>2381</v>
      </c>
      <c r="B56" s="902" t="s">
        <v>69</v>
      </c>
      <c r="C56" s="902" t="s">
        <v>70</v>
      </c>
      <c r="D56" s="903" t="s">
        <v>2515</v>
      </c>
      <c r="E56" s="902" t="s">
        <v>93</v>
      </c>
      <c r="F56" s="902"/>
      <c r="G56" s="1211">
        <v>3726366.8</v>
      </c>
      <c r="H56" s="902" t="s">
        <v>251</v>
      </c>
      <c r="I56" s="905">
        <v>43061</v>
      </c>
      <c r="J56" s="905">
        <v>43103</v>
      </c>
      <c r="K56" s="902" t="s">
        <v>2518</v>
      </c>
      <c r="L56" s="1211">
        <v>3726366.28</v>
      </c>
      <c r="M56" s="1211">
        <f t="shared" si="0"/>
        <v>4099002.9080000003</v>
      </c>
      <c r="N56" s="905">
        <v>43144</v>
      </c>
      <c r="O56" s="905">
        <v>43873</v>
      </c>
      <c r="P56" s="905">
        <v>43150</v>
      </c>
      <c r="Q56" s="1089">
        <v>43550</v>
      </c>
      <c r="R56" s="1502">
        <v>43914</v>
      </c>
      <c r="S56" s="1560">
        <v>44280</v>
      </c>
    </row>
    <row r="57" spans="1:19">
      <c r="A57" s="1014" t="s">
        <v>2381</v>
      </c>
      <c r="B57" s="902" t="s">
        <v>69</v>
      </c>
      <c r="C57" s="902" t="s">
        <v>70</v>
      </c>
      <c r="D57" s="903" t="s">
        <v>2516</v>
      </c>
      <c r="E57" s="902" t="s">
        <v>93</v>
      </c>
      <c r="F57" s="902"/>
      <c r="G57" s="1211">
        <v>23613480</v>
      </c>
      <c r="H57" s="902" t="s">
        <v>251</v>
      </c>
      <c r="I57" s="905">
        <v>43061</v>
      </c>
      <c r="J57" s="905">
        <v>43103</v>
      </c>
      <c r="K57" s="902" t="s">
        <v>1646</v>
      </c>
      <c r="L57" s="1211">
        <v>23613480</v>
      </c>
      <c r="M57" s="1211">
        <f t="shared" si="0"/>
        <v>25974828.000000004</v>
      </c>
      <c r="N57" s="905">
        <v>43144</v>
      </c>
      <c r="O57" s="905">
        <v>43873</v>
      </c>
      <c r="P57" s="905">
        <v>43150</v>
      </c>
      <c r="Q57" s="1089">
        <v>43550</v>
      </c>
      <c r="R57" s="1502">
        <v>43914</v>
      </c>
      <c r="S57" s="1560">
        <v>44280</v>
      </c>
    </row>
    <row r="58" spans="1:19" ht="15.75" thickBot="1">
      <c r="A58" s="990" t="s">
        <v>2381</v>
      </c>
      <c r="B58" s="981" t="s">
        <v>69</v>
      </c>
      <c r="C58" s="981" t="s">
        <v>70</v>
      </c>
      <c r="D58" s="940" t="s">
        <v>2517</v>
      </c>
      <c r="E58" s="981" t="s">
        <v>93</v>
      </c>
      <c r="F58" s="981"/>
      <c r="G58" s="1212">
        <v>846944.64</v>
      </c>
      <c r="H58" s="981" t="s">
        <v>251</v>
      </c>
      <c r="I58" s="982">
        <v>43061</v>
      </c>
      <c r="J58" s="982">
        <v>43103</v>
      </c>
      <c r="K58" s="981" t="s">
        <v>576</v>
      </c>
      <c r="L58" s="1212">
        <v>846764.64</v>
      </c>
      <c r="M58" s="1212">
        <f t="shared" si="0"/>
        <v>931441.10400000005</v>
      </c>
      <c r="N58" s="982">
        <v>43144</v>
      </c>
      <c r="O58" s="1317">
        <v>43873</v>
      </c>
      <c r="P58" s="982">
        <v>43150</v>
      </c>
      <c r="Q58" s="1090">
        <v>43550</v>
      </c>
      <c r="R58" s="1288">
        <v>43914</v>
      </c>
      <c r="S58" s="1560">
        <v>44280</v>
      </c>
    </row>
    <row r="59" spans="1:19" ht="15.75" thickTop="1">
      <c r="A59" s="989" t="s">
        <v>2382</v>
      </c>
      <c r="B59" s="985" t="s">
        <v>69</v>
      </c>
      <c r="C59" s="985" t="s">
        <v>70</v>
      </c>
      <c r="D59" s="939" t="s">
        <v>2526</v>
      </c>
      <c r="E59" s="985" t="s">
        <v>93</v>
      </c>
      <c r="F59" s="985"/>
      <c r="G59" s="1210">
        <v>19704244.98</v>
      </c>
      <c r="H59" s="985" t="s">
        <v>251</v>
      </c>
      <c r="I59" s="987">
        <v>43069</v>
      </c>
      <c r="J59" s="987">
        <v>43108</v>
      </c>
      <c r="K59" s="985" t="s">
        <v>576</v>
      </c>
      <c r="L59" s="1210">
        <v>19702774.98</v>
      </c>
      <c r="M59" s="1210">
        <f t="shared" si="0"/>
        <v>21673052.478000004</v>
      </c>
      <c r="N59" s="987">
        <v>43199</v>
      </c>
      <c r="O59" s="987">
        <v>43929</v>
      </c>
      <c r="P59" s="987">
        <v>43201</v>
      </c>
      <c r="Q59" s="1088">
        <v>43550</v>
      </c>
      <c r="R59" s="1965">
        <v>43914</v>
      </c>
      <c r="S59" s="1560">
        <v>44280</v>
      </c>
    </row>
    <row r="60" spans="1:19">
      <c r="A60" s="1014" t="s">
        <v>2382</v>
      </c>
      <c r="B60" s="902" t="s">
        <v>69</v>
      </c>
      <c r="C60" s="902" t="s">
        <v>70</v>
      </c>
      <c r="D60" s="903" t="s">
        <v>2527</v>
      </c>
      <c r="E60" s="902" t="s">
        <v>93</v>
      </c>
      <c r="F60" s="902"/>
      <c r="G60" s="1211">
        <v>7155968.7599999998</v>
      </c>
      <c r="H60" s="902" t="s">
        <v>251</v>
      </c>
      <c r="I60" s="905">
        <v>43069</v>
      </c>
      <c r="J60" s="905">
        <v>43108</v>
      </c>
      <c r="K60" s="902" t="s">
        <v>576</v>
      </c>
      <c r="L60" s="1211">
        <v>7155494.7599999998</v>
      </c>
      <c r="M60" s="1211">
        <f t="shared" si="0"/>
        <v>7871044.2360000005</v>
      </c>
      <c r="N60" s="905">
        <v>43199</v>
      </c>
      <c r="O60" s="905">
        <v>43929</v>
      </c>
      <c r="P60" s="905">
        <v>43201</v>
      </c>
      <c r="Q60" s="1089">
        <v>43550</v>
      </c>
      <c r="R60" s="1502">
        <v>43914</v>
      </c>
      <c r="S60" s="1560">
        <v>44280</v>
      </c>
    </row>
    <row r="61" spans="1:19">
      <c r="A61" s="1014" t="s">
        <v>2382</v>
      </c>
      <c r="B61" s="902" t="s">
        <v>69</v>
      </c>
      <c r="C61" s="902" t="s">
        <v>70</v>
      </c>
      <c r="D61" s="903" t="s">
        <v>2528</v>
      </c>
      <c r="E61" s="902" t="s">
        <v>93</v>
      </c>
      <c r="F61" s="902"/>
      <c r="G61" s="1211">
        <v>3150972</v>
      </c>
      <c r="H61" s="902" t="s">
        <v>251</v>
      </c>
      <c r="I61" s="905">
        <v>43069</v>
      </c>
      <c r="J61" s="905">
        <v>43108</v>
      </c>
      <c r="K61" s="902" t="s">
        <v>576</v>
      </c>
      <c r="L61" s="1211">
        <v>3150552</v>
      </c>
      <c r="M61" s="1211">
        <f t="shared" si="0"/>
        <v>3465607.2</v>
      </c>
      <c r="N61" s="905">
        <v>43199</v>
      </c>
      <c r="O61" s="905">
        <v>43929</v>
      </c>
      <c r="P61" s="905">
        <v>43201</v>
      </c>
      <c r="Q61" s="1089">
        <v>43550</v>
      </c>
      <c r="R61" s="1502">
        <v>43914</v>
      </c>
      <c r="S61" s="1560">
        <v>44280</v>
      </c>
    </row>
    <row r="62" spans="1:19">
      <c r="A62" s="1014" t="s">
        <v>2382</v>
      </c>
      <c r="B62" s="902" t="s">
        <v>69</v>
      </c>
      <c r="C62" s="902" t="s">
        <v>70</v>
      </c>
      <c r="D62" s="903" t="s">
        <v>2530</v>
      </c>
      <c r="E62" s="902" t="s">
        <v>93</v>
      </c>
      <c r="F62" s="902"/>
      <c r="G62" s="1211">
        <v>6035861.1200000001</v>
      </c>
      <c r="H62" s="902" t="s">
        <v>251</v>
      </c>
      <c r="I62" s="905">
        <v>43069</v>
      </c>
      <c r="J62" s="905">
        <v>43108</v>
      </c>
      <c r="K62" s="902" t="s">
        <v>2533</v>
      </c>
      <c r="L62" s="1211">
        <v>6035861.1200000001</v>
      </c>
      <c r="M62" s="1211">
        <f t="shared" si="0"/>
        <v>6639447.2320000008</v>
      </c>
      <c r="N62" s="905">
        <v>43199</v>
      </c>
      <c r="O62" s="905">
        <v>43929</v>
      </c>
      <c r="P62" s="905">
        <v>43201</v>
      </c>
      <c r="Q62" s="1089">
        <v>43550</v>
      </c>
      <c r="R62" s="1502">
        <v>43914</v>
      </c>
      <c r="S62" s="355" t="s">
        <v>8483</v>
      </c>
    </row>
    <row r="63" spans="1:19">
      <c r="A63" s="1014" t="s">
        <v>2382</v>
      </c>
      <c r="B63" s="902" t="s">
        <v>69</v>
      </c>
      <c r="C63" s="902" t="s">
        <v>70</v>
      </c>
      <c r="D63" s="903" t="s">
        <v>2531</v>
      </c>
      <c r="E63" s="902" t="s">
        <v>93</v>
      </c>
      <c r="F63" s="902"/>
      <c r="G63" s="1211">
        <v>2516460</v>
      </c>
      <c r="H63" s="902" t="s">
        <v>251</v>
      </c>
      <c r="I63" s="905">
        <v>43069</v>
      </c>
      <c r="J63" s="905">
        <v>43108</v>
      </c>
      <c r="K63" s="902" t="s">
        <v>1319</v>
      </c>
      <c r="L63" s="1211">
        <v>2513968.2000000002</v>
      </c>
      <c r="M63" s="1211">
        <f t="shared" si="0"/>
        <v>2765365.0200000005</v>
      </c>
      <c r="N63" s="905">
        <v>43199</v>
      </c>
      <c r="O63" s="905">
        <v>43929</v>
      </c>
      <c r="P63" s="905">
        <v>43201</v>
      </c>
      <c r="Q63" s="1089">
        <v>43550</v>
      </c>
      <c r="R63" s="1502">
        <v>43914</v>
      </c>
      <c r="S63" s="1560">
        <v>44280</v>
      </c>
    </row>
    <row r="64" spans="1:19">
      <c r="A64" s="1014" t="s">
        <v>2382</v>
      </c>
      <c r="B64" s="902" t="s">
        <v>69</v>
      </c>
      <c r="C64" s="902" t="s">
        <v>70</v>
      </c>
      <c r="D64" s="903" t="s">
        <v>2532</v>
      </c>
      <c r="E64" s="902" t="s">
        <v>93</v>
      </c>
      <c r="F64" s="902"/>
      <c r="G64" s="1211">
        <v>6451139.04</v>
      </c>
      <c r="H64" s="902" t="s">
        <v>251</v>
      </c>
      <c r="I64" s="905">
        <v>43069</v>
      </c>
      <c r="J64" s="905">
        <v>43108</v>
      </c>
      <c r="K64" s="902" t="s">
        <v>2548</v>
      </c>
      <c r="L64" s="1211">
        <v>6451139.04</v>
      </c>
      <c r="M64" s="1211">
        <f t="shared" si="0"/>
        <v>7096252.9440000011</v>
      </c>
      <c r="N64" s="905">
        <v>43199</v>
      </c>
      <c r="O64" s="905">
        <v>43929</v>
      </c>
      <c r="P64" s="905">
        <v>43201</v>
      </c>
      <c r="Q64" s="1089">
        <v>43550</v>
      </c>
      <c r="R64" s="1502">
        <v>43914</v>
      </c>
      <c r="S64" s="355" t="s">
        <v>8483</v>
      </c>
    </row>
    <row r="65" spans="1:19" ht="15.75" thickBot="1">
      <c r="A65" s="888" t="s">
        <v>2382</v>
      </c>
      <c r="B65" s="889" t="s">
        <v>69</v>
      </c>
      <c r="C65" s="889" t="s">
        <v>70</v>
      </c>
      <c r="D65" s="890" t="s">
        <v>2529</v>
      </c>
      <c r="E65" s="889" t="s">
        <v>93</v>
      </c>
      <c r="F65" s="889"/>
      <c r="G65" s="891">
        <v>1785220.92</v>
      </c>
      <c r="H65" s="889" t="s">
        <v>251</v>
      </c>
      <c r="I65" s="892">
        <v>43069</v>
      </c>
      <c r="J65" s="892">
        <v>43108</v>
      </c>
      <c r="K65" s="895" t="s">
        <v>2192</v>
      </c>
      <c r="L65" s="891"/>
      <c r="M65" s="891"/>
      <c r="N65" s="892"/>
      <c r="O65" s="1285"/>
      <c r="P65" s="1805">
        <v>43151</v>
      </c>
      <c r="Q65" s="893"/>
      <c r="R65" s="1806"/>
    </row>
    <row r="66" spans="1:19" ht="15.75" thickTop="1">
      <c r="A66" s="1056" t="s">
        <v>2383</v>
      </c>
      <c r="B66" s="1056" t="s">
        <v>14</v>
      </c>
      <c r="C66" s="1056" t="s">
        <v>13</v>
      </c>
      <c r="D66" s="1057" t="s">
        <v>2384</v>
      </c>
      <c r="E66" s="1056" t="s">
        <v>2385</v>
      </c>
      <c r="F66" s="1056"/>
      <c r="G66" s="1058">
        <v>4145000</v>
      </c>
      <c r="H66" s="1056" t="s">
        <v>251</v>
      </c>
      <c r="I66" s="1059">
        <v>43068</v>
      </c>
      <c r="J66" s="1059">
        <v>43109</v>
      </c>
      <c r="K66" s="1060" t="s">
        <v>242</v>
      </c>
      <c r="L66" s="1058"/>
      <c r="M66" s="1058"/>
      <c r="N66" s="1056"/>
      <c r="O66" s="1056"/>
      <c r="P66" s="1250">
        <v>43157</v>
      </c>
      <c r="Q66" s="1056"/>
      <c r="R66" s="1180"/>
    </row>
    <row r="67" spans="1:19" ht="15.75" thickBot="1">
      <c r="A67" s="902" t="s">
        <v>2395</v>
      </c>
      <c r="B67" s="902" t="s">
        <v>58</v>
      </c>
      <c r="C67" s="902" t="s">
        <v>57</v>
      </c>
      <c r="D67" s="903" t="s">
        <v>2396</v>
      </c>
      <c r="E67" s="902" t="s">
        <v>2398</v>
      </c>
      <c r="F67" s="902" t="s">
        <v>2397</v>
      </c>
      <c r="G67" s="1211">
        <v>380000</v>
      </c>
      <c r="H67" s="902" t="s">
        <v>112</v>
      </c>
      <c r="I67" s="905">
        <v>43061</v>
      </c>
      <c r="J67" s="905">
        <v>43070</v>
      </c>
      <c r="K67" s="902" t="s">
        <v>2030</v>
      </c>
      <c r="L67" s="1211">
        <v>321642</v>
      </c>
      <c r="M67" s="1211">
        <v>389186.82</v>
      </c>
      <c r="N67" s="905">
        <v>43154</v>
      </c>
      <c r="O67" s="905"/>
      <c r="P67" s="902" t="s">
        <v>239</v>
      </c>
      <c r="Q67" s="902" t="s">
        <v>239</v>
      </c>
      <c r="R67" s="1180"/>
    </row>
    <row r="68" spans="1:19" ht="15.75" thickTop="1">
      <c r="A68" s="989" t="s">
        <v>2406</v>
      </c>
      <c r="B68" s="985" t="s">
        <v>69</v>
      </c>
      <c r="C68" s="985" t="s">
        <v>70</v>
      </c>
      <c r="D68" s="939" t="s">
        <v>2519</v>
      </c>
      <c r="E68" s="985" t="s">
        <v>2416</v>
      </c>
      <c r="F68" s="985"/>
      <c r="G68" s="1210">
        <v>269641.59999999998</v>
      </c>
      <c r="H68" s="985" t="s">
        <v>251</v>
      </c>
      <c r="I68" s="987">
        <v>43067</v>
      </c>
      <c r="J68" s="987">
        <v>43104</v>
      </c>
      <c r="K68" s="985" t="s">
        <v>1646</v>
      </c>
      <c r="L68" s="1210">
        <v>215084.44</v>
      </c>
      <c r="M68" s="1210">
        <f>L68*1.1</f>
        <v>236592.88400000002</v>
      </c>
      <c r="N68" s="987">
        <v>43181</v>
      </c>
      <c r="O68" s="987">
        <v>43911</v>
      </c>
      <c r="P68" s="987">
        <v>43186</v>
      </c>
      <c r="Q68" s="1088">
        <v>43550</v>
      </c>
      <c r="R68" s="1500">
        <v>43914</v>
      </c>
      <c r="S68" s="355" t="s">
        <v>8483</v>
      </c>
    </row>
    <row r="69" spans="1:19">
      <c r="A69" s="1014" t="s">
        <v>2406</v>
      </c>
      <c r="B69" s="902" t="s">
        <v>69</v>
      </c>
      <c r="C69" s="902" t="s">
        <v>70</v>
      </c>
      <c r="D69" s="903" t="s">
        <v>2520</v>
      </c>
      <c r="E69" s="902" t="s">
        <v>2416</v>
      </c>
      <c r="F69" s="902"/>
      <c r="G69" s="1211">
        <v>961347.58</v>
      </c>
      <c r="H69" s="902" t="s">
        <v>251</v>
      </c>
      <c r="I69" s="905">
        <v>43067</v>
      </c>
      <c r="J69" s="905">
        <v>43104</v>
      </c>
      <c r="K69" s="902" t="s">
        <v>576</v>
      </c>
      <c r="L69" s="1211">
        <v>884156.96</v>
      </c>
      <c r="M69" s="1211">
        <f>L69*1.1</f>
        <v>972572.65600000008</v>
      </c>
      <c r="N69" s="905">
        <v>43181</v>
      </c>
      <c r="O69" s="905">
        <v>43911</v>
      </c>
      <c r="P69" s="905">
        <v>43186</v>
      </c>
      <c r="Q69" s="1089">
        <v>43550</v>
      </c>
      <c r="R69" s="1500">
        <v>43914</v>
      </c>
      <c r="S69" s="1560">
        <v>44280</v>
      </c>
    </row>
    <row r="70" spans="1:19">
      <c r="A70" s="1014" t="s">
        <v>2406</v>
      </c>
      <c r="B70" s="902" t="s">
        <v>69</v>
      </c>
      <c r="C70" s="902" t="s">
        <v>70</v>
      </c>
      <c r="D70" s="903" t="s">
        <v>2521</v>
      </c>
      <c r="E70" s="902" t="s">
        <v>2416</v>
      </c>
      <c r="F70" s="902"/>
      <c r="G70" s="1211">
        <v>21963590.640000001</v>
      </c>
      <c r="H70" s="902" t="s">
        <v>251</v>
      </c>
      <c r="I70" s="905">
        <v>43067</v>
      </c>
      <c r="J70" s="905">
        <v>43104</v>
      </c>
      <c r="K70" s="902" t="s">
        <v>1319</v>
      </c>
      <c r="L70" s="1211">
        <v>21963590.640000001</v>
      </c>
      <c r="M70" s="1211">
        <f>L70*1.1</f>
        <v>24159949.704000004</v>
      </c>
      <c r="N70" s="905">
        <v>43181</v>
      </c>
      <c r="O70" s="905">
        <v>43911</v>
      </c>
      <c r="P70" s="905">
        <v>43186</v>
      </c>
      <c r="Q70" s="1089">
        <v>43550</v>
      </c>
      <c r="R70" s="1500">
        <v>43914</v>
      </c>
      <c r="S70" s="355" t="s">
        <v>8483</v>
      </c>
    </row>
    <row r="71" spans="1:19">
      <c r="A71" s="1014" t="s">
        <v>2406</v>
      </c>
      <c r="B71" s="902" t="s">
        <v>69</v>
      </c>
      <c r="C71" s="902" t="s">
        <v>70</v>
      </c>
      <c r="D71" s="903" t="s">
        <v>2522</v>
      </c>
      <c r="E71" s="902" t="s">
        <v>2416</v>
      </c>
      <c r="F71" s="902"/>
      <c r="G71" s="1211">
        <v>15393728.699999999</v>
      </c>
      <c r="H71" s="902" t="s">
        <v>251</v>
      </c>
      <c r="I71" s="905">
        <v>43067</v>
      </c>
      <c r="J71" s="905">
        <v>43104</v>
      </c>
      <c r="K71" s="902" t="s">
        <v>2548</v>
      </c>
      <c r="L71" s="1211">
        <v>15393728.699999999</v>
      </c>
      <c r="M71" s="1211">
        <f>L71*1.1</f>
        <v>16933101.57</v>
      </c>
      <c r="N71" s="905">
        <v>43181</v>
      </c>
      <c r="O71" s="905">
        <v>43911</v>
      </c>
      <c r="P71" s="905">
        <v>43186</v>
      </c>
      <c r="Q71" s="1089">
        <v>43550</v>
      </c>
      <c r="R71" s="1500">
        <v>43914</v>
      </c>
      <c r="S71" s="355" t="s">
        <v>8483</v>
      </c>
    </row>
    <row r="72" spans="1:19" ht="15.75" thickBot="1">
      <c r="A72" s="990" t="s">
        <v>2406</v>
      </c>
      <c r="B72" s="981" t="s">
        <v>69</v>
      </c>
      <c r="C72" s="981" t="s">
        <v>70</v>
      </c>
      <c r="D72" s="940" t="s">
        <v>2523</v>
      </c>
      <c r="E72" s="981" t="s">
        <v>2416</v>
      </c>
      <c r="F72" s="981"/>
      <c r="G72" s="1212">
        <v>100133671</v>
      </c>
      <c r="H72" s="981" t="s">
        <v>251</v>
      </c>
      <c r="I72" s="982">
        <v>43067</v>
      </c>
      <c r="J72" s="982">
        <v>43104</v>
      </c>
      <c r="K72" s="1114" t="s">
        <v>2548</v>
      </c>
      <c r="L72" s="1212">
        <v>100133671</v>
      </c>
      <c r="M72" s="1212">
        <f>L72*1.1</f>
        <v>110147038.10000001</v>
      </c>
      <c r="N72" s="982">
        <v>43181</v>
      </c>
      <c r="O72" s="1317">
        <v>43911</v>
      </c>
      <c r="P72" s="982">
        <v>43186</v>
      </c>
      <c r="Q72" s="1090">
        <v>43550</v>
      </c>
      <c r="R72" s="1500">
        <v>43914</v>
      </c>
      <c r="S72" s="355" t="s">
        <v>8483</v>
      </c>
    </row>
    <row r="73" spans="1:19" ht="15.75" thickTop="1">
      <c r="A73" s="1005" t="s">
        <v>2408</v>
      </c>
      <c r="B73" s="1005" t="s">
        <v>58</v>
      </c>
      <c r="C73" s="1005" t="s">
        <v>57</v>
      </c>
      <c r="D73" s="1006" t="s">
        <v>2407</v>
      </c>
      <c r="E73" s="1005" t="s">
        <v>2409</v>
      </c>
      <c r="F73" s="1005" t="s">
        <v>2410</v>
      </c>
      <c r="G73" s="1007">
        <v>1530000</v>
      </c>
      <c r="H73" s="1005" t="s">
        <v>112</v>
      </c>
      <c r="I73" s="1008">
        <v>43067</v>
      </c>
      <c r="J73" s="1008">
        <v>43081</v>
      </c>
      <c r="K73" s="1005" t="s">
        <v>2491</v>
      </c>
      <c r="L73" s="1007">
        <v>1239740</v>
      </c>
      <c r="M73" s="1007">
        <v>1500085.4</v>
      </c>
      <c r="N73" s="1008">
        <v>43132</v>
      </c>
      <c r="O73" s="1008"/>
      <c r="P73" s="1008">
        <v>43132</v>
      </c>
      <c r="Q73" s="1008">
        <v>43241</v>
      </c>
      <c r="R73" s="1208" t="s">
        <v>1875</v>
      </c>
    </row>
    <row r="74" spans="1:19">
      <c r="A74" s="991" t="s">
        <v>2425</v>
      </c>
      <c r="B74" s="991" t="s">
        <v>1032</v>
      </c>
      <c r="C74" s="991" t="s">
        <v>1033</v>
      </c>
      <c r="D74" s="567" t="s">
        <v>2426</v>
      </c>
      <c r="E74" s="991" t="s">
        <v>2433</v>
      </c>
      <c r="F74" s="991" t="s">
        <v>2427</v>
      </c>
      <c r="G74" s="992">
        <v>1035000</v>
      </c>
      <c r="H74" s="992" t="s">
        <v>112</v>
      </c>
      <c r="I74" s="993">
        <v>43069</v>
      </c>
      <c r="J74" s="993">
        <v>43084</v>
      </c>
      <c r="K74" s="991" t="s">
        <v>2489</v>
      </c>
      <c r="L74" s="992">
        <v>950000</v>
      </c>
      <c r="M74" s="992">
        <v>1149500</v>
      </c>
      <c r="N74" s="993">
        <v>43109</v>
      </c>
      <c r="O74" s="993"/>
      <c r="P74" s="993">
        <v>43110</v>
      </c>
      <c r="Q74" s="993">
        <v>43193</v>
      </c>
      <c r="R74" s="1083"/>
    </row>
    <row r="75" spans="1:19" ht="15.75" thickBot="1">
      <c r="A75" s="913" t="s">
        <v>2431</v>
      </c>
      <c r="B75" s="913" t="s">
        <v>14</v>
      </c>
      <c r="C75" s="913" t="s">
        <v>13</v>
      </c>
      <c r="D75" s="914" t="s">
        <v>2429</v>
      </c>
      <c r="E75" s="913" t="s">
        <v>2430</v>
      </c>
      <c r="F75" s="913"/>
      <c r="G75" s="915">
        <v>1080000</v>
      </c>
      <c r="H75" s="913" t="s">
        <v>112</v>
      </c>
      <c r="I75" s="916">
        <v>43083</v>
      </c>
      <c r="J75" s="916">
        <v>43091</v>
      </c>
      <c r="K75" s="913" t="s">
        <v>2492</v>
      </c>
      <c r="L75" s="915">
        <v>1080430</v>
      </c>
      <c r="M75" s="915">
        <v>1307320.3</v>
      </c>
      <c r="N75" s="916">
        <v>43109</v>
      </c>
      <c r="O75" s="916"/>
      <c r="P75" s="916">
        <v>43110</v>
      </c>
      <c r="Q75" s="916">
        <v>44244</v>
      </c>
      <c r="R75" s="1083"/>
    </row>
    <row r="76" spans="1:19" ht="15.75" thickTop="1">
      <c r="A76" s="989" t="s">
        <v>2435</v>
      </c>
      <c r="B76" s="985" t="s">
        <v>2434</v>
      </c>
      <c r="C76" s="985" t="s">
        <v>219</v>
      </c>
      <c r="D76" s="939" t="s">
        <v>2567</v>
      </c>
      <c r="E76" s="985" t="s">
        <v>525</v>
      </c>
      <c r="F76" s="985"/>
      <c r="G76" s="1210">
        <v>1041000</v>
      </c>
      <c r="H76" s="985" t="s">
        <v>112</v>
      </c>
      <c r="I76" s="987">
        <v>43077</v>
      </c>
      <c r="J76" s="987">
        <v>43097</v>
      </c>
      <c r="K76" s="985" t="s">
        <v>2497</v>
      </c>
      <c r="L76" s="1210">
        <v>908121.2</v>
      </c>
      <c r="M76" s="1210">
        <v>1098826.652</v>
      </c>
      <c r="N76" s="987">
        <v>43143</v>
      </c>
      <c r="O76" s="987">
        <v>43872</v>
      </c>
      <c r="P76" s="987">
        <v>43144</v>
      </c>
      <c r="Q76" s="1088">
        <v>43535</v>
      </c>
      <c r="R76" s="1500">
        <v>43900</v>
      </c>
      <c r="S76" s="360"/>
    </row>
    <row r="77" spans="1:19">
      <c r="A77" s="1014" t="s">
        <v>2435</v>
      </c>
      <c r="B77" s="902" t="s">
        <v>2434</v>
      </c>
      <c r="C77" s="902" t="s">
        <v>219</v>
      </c>
      <c r="D77" s="903" t="s">
        <v>2569</v>
      </c>
      <c r="E77" s="902" t="s">
        <v>525</v>
      </c>
      <c r="F77" s="902"/>
      <c r="G77" s="1211">
        <v>15000</v>
      </c>
      <c r="H77" s="902" t="s">
        <v>112</v>
      </c>
      <c r="I77" s="905">
        <v>43077</v>
      </c>
      <c r="J77" s="905">
        <v>43097</v>
      </c>
      <c r="K77" s="902" t="s">
        <v>2498</v>
      </c>
      <c r="L77" s="1211">
        <v>13000</v>
      </c>
      <c r="M77" s="1211">
        <v>15730</v>
      </c>
      <c r="N77" s="905">
        <v>43143</v>
      </c>
      <c r="O77" s="905">
        <v>43872</v>
      </c>
      <c r="P77" s="905">
        <v>43144</v>
      </c>
      <c r="Q77" s="1089">
        <v>43535</v>
      </c>
      <c r="R77" s="1500">
        <v>43654</v>
      </c>
      <c r="S77" s="360"/>
    </row>
    <row r="78" spans="1:19" ht="15.75" thickBot="1">
      <c r="A78" s="990" t="s">
        <v>2435</v>
      </c>
      <c r="B78" s="981" t="s">
        <v>2434</v>
      </c>
      <c r="C78" s="981" t="s">
        <v>219</v>
      </c>
      <c r="D78" s="940" t="s">
        <v>2568</v>
      </c>
      <c r="E78" s="981" t="s">
        <v>525</v>
      </c>
      <c r="F78" s="981"/>
      <c r="G78" s="1212">
        <v>485000</v>
      </c>
      <c r="H78" s="981" t="s">
        <v>112</v>
      </c>
      <c r="I78" s="982">
        <v>43077</v>
      </c>
      <c r="J78" s="982">
        <v>43097</v>
      </c>
      <c r="K78" s="981" t="s">
        <v>2496</v>
      </c>
      <c r="L78" s="1212">
        <v>482819</v>
      </c>
      <c r="M78" s="1212">
        <v>584210.99</v>
      </c>
      <c r="N78" s="982">
        <v>43147</v>
      </c>
      <c r="O78" s="1317">
        <v>43876</v>
      </c>
      <c r="P78" s="982">
        <v>43150</v>
      </c>
      <c r="Q78" s="1803">
        <v>43542</v>
      </c>
      <c r="R78" s="1967">
        <v>43900</v>
      </c>
      <c r="S78" s="360"/>
    </row>
    <row r="79" spans="1:19" ht="15.75" thickTop="1">
      <c r="A79" s="989" t="s">
        <v>2439</v>
      </c>
      <c r="B79" s="985" t="s">
        <v>69</v>
      </c>
      <c r="C79" s="985" t="s">
        <v>70</v>
      </c>
      <c r="D79" s="939" t="s">
        <v>2571</v>
      </c>
      <c r="E79" s="985" t="s">
        <v>72</v>
      </c>
      <c r="F79" s="985"/>
      <c r="G79" s="1210">
        <v>2935333</v>
      </c>
      <c r="H79" s="985" t="s">
        <v>251</v>
      </c>
      <c r="I79" s="987">
        <v>43083</v>
      </c>
      <c r="J79" s="987">
        <v>43123</v>
      </c>
      <c r="K79" s="985" t="s">
        <v>1646</v>
      </c>
      <c r="L79" s="1210">
        <v>1706551.24</v>
      </c>
      <c r="M79" s="1210">
        <f>L79*1.1</f>
        <v>1877206.3640000001</v>
      </c>
      <c r="N79" s="987">
        <v>43180</v>
      </c>
      <c r="O79" s="987">
        <v>43910</v>
      </c>
      <c r="P79" s="987">
        <v>43187</v>
      </c>
      <c r="Q79" s="1088">
        <v>43550</v>
      </c>
      <c r="R79" s="1500">
        <v>43914</v>
      </c>
      <c r="S79" s="1560">
        <v>44280</v>
      </c>
    </row>
    <row r="80" spans="1:19">
      <c r="A80" s="1014" t="s">
        <v>2439</v>
      </c>
      <c r="B80" s="902" t="s">
        <v>69</v>
      </c>
      <c r="C80" s="902" t="s">
        <v>70</v>
      </c>
      <c r="D80" s="903" t="s">
        <v>2573</v>
      </c>
      <c r="E80" s="902" t="s">
        <v>72</v>
      </c>
      <c r="F80" s="902"/>
      <c r="G80" s="1211">
        <v>807048</v>
      </c>
      <c r="H80" s="902" t="s">
        <v>251</v>
      </c>
      <c r="I80" s="905">
        <v>43083</v>
      </c>
      <c r="J80" s="905">
        <v>43123</v>
      </c>
      <c r="K80" s="902" t="s">
        <v>1646</v>
      </c>
      <c r="L80" s="1211">
        <v>705125.42</v>
      </c>
      <c r="M80" s="1211">
        <f>L80*1.1</f>
        <v>775637.96200000006</v>
      </c>
      <c r="N80" s="905">
        <v>43180</v>
      </c>
      <c r="O80" s="905">
        <v>43910</v>
      </c>
      <c r="P80" s="905">
        <v>43187</v>
      </c>
      <c r="Q80" s="1089">
        <v>43550</v>
      </c>
      <c r="R80" s="1500">
        <v>43914</v>
      </c>
      <c r="S80" s="1560">
        <v>44280</v>
      </c>
    </row>
    <row r="81" spans="1:19">
      <c r="A81" s="1014" t="s">
        <v>2439</v>
      </c>
      <c r="B81" s="902" t="s">
        <v>69</v>
      </c>
      <c r="C81" s="902" t="s">
        <v>70</v>
      </c>
      <c r="D81" s="903" t="s">
        <v>2574</v>
      </c>
      <c r="E81" s="902" t="s">
        <v>72</v>
      </c>
      <c r="F81" s="902"/>
      <c r="G81" s="1211">
        <v>5890312</v>
      </c>
      <c r="H81" s="902" t="s">
        <v>251</v>
      </c>
      <c r="I81" s="905">
        <v>43083</v>
      </c>
      <c r="J81" s="905">
        <v>43123</v>
      </c>
      <c r="K81" s="902" t="s">
        <v>576</v>
      </c>
      <c r="L81" s="1211">
        <v>5838408.4000000004</v>
      </c>
      <c r="M81" s="1211">
        <f>L81*1.1</f>
        <v>6422249.2400000012</v>
      </c>
      <c r="N81" s="905">
        <v>43180</v>
      </c>
      <c r="O81" s="905">
        <v>43910</v>
      </c>
      <c r="P81" s="905">
        <v>43187</v>
      </c>
      <c r="Q81" s="1089">
        <v>43550</v>
      </c>
      <c r="R81" s="1500">
        <v>43914</v>
      </c>
      <c r="S81" s="1560">
        <v>44280</v>
      </c>
    </row>
    <row r="82" spans="1:19">
      <c r="A82" s="1014" t="s">
        <v>2439</v>
      </c>
      <c r="B82" s="902" t="s">
        <v>69</v>
      </c>
      <c r="C82" s="902" t="s">
        <v>70</v>
      </c>
      <c r="D82" s="903" t="s">
        <v>2577</v>
      </c>
      <c r="E82" s="902" t="s">
        <v>72</v>
      </c>
      <c r="F82" s="902"/>
      <c r="G82" s="1211">
        <v>10176790</v>
      </c>
      <c r="H82" s="902" t="s">
        <v>251</v>
      </c>
      <c r="I82" s="905">
        <v>43083</v>
      </c>
      <c r="J82" s="905">
        <v>43123</v>
      </c>
      <c r="K82" s="902" t="s">
        <v>578</v>
      </c>
      <c r="L82" s="1211">
        <v>10176789.800000001</v>
      </c>
      <c r="M82" s="1211">
        <f>L82*1.1</f>
        <v>11194468.780000001</v>
      </c>
      <c r="N82" s="905">
        <v>43180</v>
      </c>
      <c r="O82" s="905">
        <v>43910</v>
      </c>
      <c r="P82" s="905">
        <v>43187</v>
      </c>
      <c r="Q82" s="1089">
        <v>43550</v>
      </c>
      <c r="R82" s="1500">
        <v>43914</v>
      </c>
      <c r="S82" s="355" t="s">
        <v>8483</v>
      </c>
    </row>
    <row r="83" spans="1:19">
      <c r="A83" s="1014" t="s">
        <v>2439</v>
      </c>
      <c r="B83" s="902" t="s">
        <v>69</v>
      </c>
      <c r="C83" s="902" t="s">
        <v>70</v>
      </c>
      <c r="D83" s="903" t="s">
        <v>2575</v>
      </c>
      <c r="E83" s="902" t="s">
        <v>72</v>
      </c>
      <c r="F83" s="902"/>
      <c r="G83" s="1211">
        <v>1493238</v>
      </c>
      <c r="H83" s="902" t="s">
        <v>251</v>
      </c>
      <c r="I83" s="905">
        <v>43083</v>
      </c>
      <c r="J83" s="905">
        <v>43123</v>
      </c>
      <c r="K83" s="902" t="s">
        <v>576</v>
      </c>
      <c r="L83" s="1211">
        <v>1494426.6</v>
      </c>
      <c r="M83" s="1211">
        <f>M82*1.1</f>
        <v>12313915.658000002</v>
      </c>
      <c r="N83" s="905">
        <v>43199</v>
      </c>
      <c r="O83" s="905">
        <v>43929</v>
      </c>
      <c r="P83" s="905">
        <v>43209</v>
      </c>
      <c r="Q83" s="1089">
        <v>43550</v>
      </c>
      <c r="R83" s="1500">
        <v>43914</v>
      </c>
    </row>
    <row r="84" spans="1:19">
      <c r="A84" s="999" t="s">
        <v>2439</v>
      </c>
      <c r="B84" s="872" t="s">
        <v>69</v>
      </c>
      <c r="C84" s="872" t="s">
        <v>70</v>
      </c>
      <c r="D84" s="873" t="s">
        <v>2570</v>
      </c>
      <c r="E84" s="872" t="s">
        <v>72</v>
      </c>
      <c r="F84" s="872"/>
      <c r="G84" s="875">
        <v>360876</v>
      </c>
      <c r="H84" s="872" t="s">
        <v>251</v>
      </c>
      <c r="I84" s="874">
        <v>43083</v>
      </c>
      <c r="J84" s="874">
        <v>43123</v>
      </c>
      <c r="K84" s="876" t="s">
        <v>2192</v>
      </c>
      <c r="L84" s="875"/>
      <c r="M84" s="875"/>
      <c r="N84" s="872"/>
      <c r="O84" s="872"/>
      <c r="P84" s="874">
        <v>43143</v>
      </c>
      <c r="Q84" s="1000"/>
      <c r="R84" s="1083"/>
    </row>
    <row r="85" spans="1:19">
      <c r="A85" s="999" t="s">
        <v>2439</v>
      </c>
      <c r="B85" s="872" t="s">
        <v>69</v>
      </c>
      <c r="C85" s="872" t="s">
        <v>70</v>
      </c>
      <c r="D85" s="873" t="s">
        <v>2572</v>
      </c>
      <c r="E85" s="872" t="s">
        <v>72</v>
      </c>
      <c r="F85" s="872"/>
      <c r="G85" s="875">
        <v>1410369</v>
      </c>
      <c r="H85" s="872" t="s">
        <v>251</v>
      </c>
      <c r="I85" s="874">
        <v>43083</v>
      </c>
      <c r="J85" s="874">
        <v>43123</v>
      </c>
      <c r="K85" s="876" t="s">
        <v>2192</v>
      </c>
      <c r="L85" s="875"/>
      <c r="M85" s="875"/>
      <c r="N85" s="872"/>
      <c r="O85" s="872"/>
      <c r="P85" s="874">
        <v>43143</v>
      </c>
      <c r="Q85" s="1000"/>
      <c r="R85" s="1083"/>
    </row>
    <row r="86" spans="1:19" ht="15.75" thickBot="1">
      <c r="A86" s="888" t="s">
        <v>2439</v>
      </c>
      <c r="B86" s="889" t="s">
        <v>69</v>
      </c>
      <c r="C86" s="889" t="s">
        <v>70</v>
      </c>
      <c r="D86" s="890" t="s">
        <v>2576</v>
      </c>
      <c r="E86" s="889" t="s">
        <v>72</v>
      </c>
      <c r="F86" s="889"/>
      <c r="G86" s="891">
        <v>3703522</v>
      </c>
      <c r="H86" s="889" t="s">
        <v>251</v>
      </c>
      <c r="I86" s="892">
        <v>43083</v>
      </c>
      <c r="J86" s="892">
        <v>43123</v>
      </c>
      <c r="K86" s="895" t="s">
        <v>2192</v>
      </c>
      <c r="L86" s="891"/>
      <c r="M86" s="891"/>
      <c r="N86" s="889"/>
      <c r="O86" s="1282"/>
      <c r="P86" s="892">
        <v>43143</v>
      </c>
      <c r="Q86" s="893"/>
      <c r="R86" s="1083"/>
    </row>
    <row r="87" spans="1:19" ht="15.75" thickTop="1">
      <c r="A87" s="989" t="s">
        <v>2448</v>
      </c>
      <c r="B87" s="985" t="s">
        <v>69</v>
      </c>
      <c r="C87" s="985" t="s">
        <v>70</v>
      </c>
      <c r="D87" s="939" t="s">
        <v>2560</v>
      </c>
      <c r="E87" s="985" t="s">
        <v>68</v>
      </c>
      <c r="F87" s="985"/>
      <c r="G87" s="1210">
        <v>40489140</v>
      </c>
      <c r="H87" s="985" t="s">
        <v>251</v>
      </c>
      <c r="I87" s="987">
        <v>43081</v>
      </c>
      <c r="J87" s="987">
        <v>43122</v>
      </c>
      <c r="K87" s="985" t="s">
        <v>1318</v>
      </c>
      <c r="L87" s="1210">
        <v>40465770</v>
      </c>
      <c r="M87" s="1210">
        <f>L87*1.1</f>
        <v>44512347</v>
      </c>
      <c r="N87" s="987">
        <v>43180</v>
      </c>
      <c r="O87" s="987">
        <v>43910</v>
      </c>
      <c r="P87" s="987">
        <v>43182</v>
      </c>
      <c r="Q87" s="1088">
        <v>43550</v>
      </c>
      <c r="R87" s="1500">
        <v>43914</v>
      </c>
      <c r="S87" s="1560">
        <v>44280</v>
      </c>
    </row>
    <row r="88" spans="1:19">
      <c r="A88" s="1014" t="s">
        <v>2448</v>
      </c>
      <c r="B88" s="902" t="s">
        <v>69</v>
      </c>
      <c r="C88" s="902" t="s">
        <v>70</v>
      </c>
      <c r="D88" s="903" t="s">
        <v>2562</v>
      </c>
      <c r="E88" s="902" t="s">
        <v>68</v>
      </c>
      <c r="F88" s="902"/>
      <c r="G88" s="1211">
        <v>80635182</v>
      </c>
      <c r="H88" s="902" t="s">
        <v>251</v>
      </c>
      <c r="I88" s="905">
        <v>43081</v>
      </c>
      <c r="J88" s="905">
        <v>43122</v>
      </c>
      <c r="K88" s="902" t="s">
        <v>576</v>
      </c>
      <c r="L88" s="1211">
        <v>80635181.540000007</v>
      </c>
      <c r="M88" s="1211">
        <f>L88*1.1</f>
        <v>88698699.694000021</v>
      </c>
      <c r="N88" s="905">
        <v>43180</v>
      </c>
      <c r="O88" s="905">
        <v>43910</v>
      </c>
      <c r="P88" s="905">
        <v>43182</v>
      </c>
      <c r="Q88" s="1089">
        <v>43550</v>
      </c>
      <c r="R88" s="1500">
        <v>43914</v>
      </c>
      <c r="S88" s="1560">
        <v>44280</v>
      </c>
    </row>
    <row r="89" spans="1:19">
      <c r="A89" s="1014" t="s">
        <v>2448</v>
      </c>
      <c r="B89" s="902" t="s">
        <v>69</v>
      </c>
      <c r="C89" s="902" t="s">
        <v>70</v>
      </c>
      <c r="D89" s="903" t="s">
        <v>2563</v>
      </c>
      <c r="E89" s="902" t="s">
        <v>68</v>
      </c>
      <c r="F89" s="902"/>
      <c r="G89" s="1211">
        <v>27845933</v>
      </c>
      <c r="H89" s="902" t="s">
        <v>251</v>
      </c>
      <c r="I89" s="905">
        <v>43081</v>
      </c>
      <c r="J89" s="905">
        <v>43122</v>
      </c>
      <c r="K89" s="902" t="s">
        <v>2333</v>
      </c>
      <c r="L89" s="1211">
        <v>27845932.800000001</v>
      </c>
      <c r="M89" s="1211">
        <f>L89*1.1</f>
        <v>30630526.080000002</v>
      </c>
      <c r="N89" s="905">
        <v>43180</v>
      </c>
      <c r="O89" s="905">
        <v>43910</v>
      </c>
      <c r="P89" s="905">
        <v>43182</v>
      </c>
      <c r="Q89" s="1089">
        <v>43550</v>
      </c>
      <c r="R89" s="1500">
        <v>43914</v>
      </c>
      <c r="S89" s="1560">
        <v>44280</v>
      </c>
    </row>
    <row r="90" spans="1:19">
      <c r="A90" s="1014" t="s">
        <v>2448</v>
      </c>
      <c r="B90" s="902" t="s">
        <v>69</v>
      </c>
      <c r="C90" s="902" t="s">
        <v>70</v>
      </c>
      <c r="D90" s="903" t="s">
        <v>2564</v>
      </c>
      <c r="E90" s="902" t="s">
        <v>68</v>
      </c>
      <c r="F90" s="902"/>
      <c r="G90" s="1211">
        <v>3061412</v>
      </c>
      <c r="H90" s="902" t="s">
        <v>251</v>
      </c>
      <c r="I90" s="905">
        <v>43081</v>
      </c>
      <c r="J90" s="905">
        <v>43122</v>
      </c>
      <c r="K90" s="902" t="s">
        <v>2333</v>
      </c>
      <c r="L90" s="1211">
        <v>3061411.8</v>
      </c>
      <c r="M90" s="1211">
        <f>L90*1.1</f>
        <v>3367552.98</v>
      </c>
      <c r="N90" s="905">
        <v>43180</v>
      </c>
      <c r="O90" s="905">
        <v>43910</v>
      </c>
      <c r="P90" s="905">
        <v>43182</v>
      </c>
      <c r="Q90" s="1089">
        <v>43550</v>
      </c>
      <c r="R90" s="1500">
        <v>43914</v>
      </c>
      <c r="S90" s="355" t="s">
        <v>8483</v>
      </c>
    </row>
    <row r="91" spans="1:19" ht="15.75" thickBot="1">
      <c r="A91" s="888" t="s">
        <v>2448</v>
      </c>
      <c r="B91" s="889" t="s">
        <v>69</v>
      </c>
      <c r="C91" s="889" t="s">
        <v>70</v>
      </c>
      <c r="D91" s="890" t="s">
        <v>2561</v>
      </c>
      <c r="E91" s="889" t="s">
        <v>68</v>
      </c>
      <c r="F91" s="889"/>
      <c r="G91" s="891">
        <v>2068139</v>
      </c>
      <c r="H91" s="889" t="s">
        <v>251</v>
      </c>
      <c r="I91" s="892">
        <v>43081</v>
      </c>
      <c r="J91" s="892">
        <v>43122</v>
      </c>
      <c r="K91" s="895" t="s">
        <v>2635</v>
      </c>
      <c r="L91" s="891"/>
      <c r="M91" s="891"/>
      <c r="N91" s="889"/>
      <c r="O91" s="1282"/>
      <c r="P91" s="892">
        <v>43151</v>
      </c>
      <c r="Q91" s="893"/>
      <c r="R91" s="1083"/>
      <c r="S91" s="360"/>
    </row>
    <row r="92" spans="1:19" ht="15.75" thickTop="1">
      <c r="A92" s="991" t="s">
        <v>2454</v>
      </c>
      <c r="B92" s="991" t="s">
        <v>52</v>
      </c>
      <c r="C92" s="991" t="s">
        <v>227</v>
      </c>
      <c r="D92" s="567" t="s">
        <v>2455</v>
      </c>
      <c r="E92" s="991" t="s">
        <v>1490</v>
      </c>
      <c r="F92" s="991" t="s">
        <v>1709</v>
      </c>
      <c r="G92" s="992">
        <v>33000000</v>
      </c>
      <c r="H92" s="991" t="s">
        <v>251</v>
      </c>
      <c r="I92" s="993">
        <v>43111</v>
      </c>
      <c r="J92" s="1267">
        <v>43147</v>
      </c>
      <c r="K92" s="991" t="s">
        <v>2626</v>
      </c>
      <c r="L92" s="992">
        <v>32998064.449999999</v>
      </c>
      <c r="M92" s="992">
        <f>L92*1.21</f>
        <v>39927657.984499998</v>
      </c>
      <c r="N92" s="993">
        <v>43203</v>
      </c>
      <c r="O92" s="993"/>
      <c r="P92" s="993">
        <v>43209</v>
      </c>
      <c r="Q92" s="1214">
        <v>43514</v>
      </c>
      <c r="R92" s="1083"/>
    </row>
    <row r="93" spans="1:19">
      <c r="A93" s="872" t="s">
        <v>2459</v>
      </c>
      <c r="B93" s="872" t="s">
        <v>1032</v>
      </c>
      <c r="C93" s="872" t="s">
        <v>361</v>
      </c>
      <c r="D93" s="873" t="s">
        <v>2456</v>
      </c>
      <c r="E93" s="872" t="s">
        <v>2457</v>
      </c>
      <c r="F93" s="872" t="s">
        <v>2458</v>
      </c>
      <c r="G93" s="875">
        <v>3595950</v>
      </c>
      <c r="H93" s="872" t="s">
        <v>112</v>
      </c>
      <c r="I93" s="874">
        <v>43087</v>
      </c>
      <c r="J93" s="874">
        <v>43105</v>
      </c>
      <c r="K93" s="1202" t="s">
        <v>2535</v>
      </c>
      <c r="L93" s="875"/>
      <c r="M93" s="875"/>
      <c r="N93" s="872"/>
      <c r="O93" s="872"/>
      <c r="P93" s="874">
        <v>43110</v>
      </c>
      <c r="Q93" s="872"/>
      <c r="R93" s="1083"/>
    </row>
    <row r="94" spans="1:19">
      <c r="A94" s="913" t="s">
        <v>2469</v>
      </c>
      <c r="B94" s="913" t="s">
        <v>58</v>
      </c>
      <c r="C94" s="913" t="s">
        <v>57</v>
      </c>
      <c r="D94" s="914" t="s">
        <v>2460</v>
      </c>
      <c r="E94" s="913" t="s">
        <v>1988</v>
      </c>
      <c r="F94" s="913" t="s">
        <v>2343</v>
      </c>
      <c r="G94" s="915">
        <v>305000</v>
      </c>
      <c r="H94" s="913" t="s">
        <v>112</v>
      </c>
      <c r="I94" s="916">
        <v>43087</v>
      </c>
      <c r="J94" s="916">
        <v>43104</v>
      </c>
      <c r="K94" s="902" t="s">
        <v>1433</v>
      </c>
      <c r="L94" s="915">
        <v>217271</v>
      </c>
      <c r="M94" s="915">
        <f>L94*1.21</f>
        <v>262897.90999999997</v>
      </c>
      <c r="N94" s="916">
        <v>43159</v>
      </c>
      <c r="O94" s="916"/>
      <c r="P94" s="913" t="s">
        <v>239</v>
      </c>
      <c r="Q94" s="913" t="s">
        <v>239</v>
      </c>
      <c r="R94" s="1086"/>
    </row>
    <row r="95" spans="1:19">
      <c r="A95" s="902" t="s">
        <v>2482</v>
      </c>
      <c r="B95" s="902" t="s">
        <v>166</v>
      </c>
      <c r="C95" s="902" t="s">
        <v>167</v>
      </c>
      <c r="D95" s="903" t="s">
        <v>2483</v>
      </c>
      <c r="E95" s="902" t="s">
        <v>33</v>
      </c>
      <c r="F95" s="902"/>
      <c r="G95" s="1211">
        <v>7200000</v>
      </c>
      <c r="H95" s="902" t="s">
        <v>216</v>
      </c>
      <c r="I95" s="905">
        <v>43088</v>
      </c>
      <c r="J95" s="905">
        <v>43110</v>
      </c>
      <c r="K95" s="1251" t="s">
        <v>2557</v>
      </c>
      <c r="L95" s="1211">
        <v>7126872</v>
      </c>
      <c r="M95" s="1211">
        <v>8623515.1199999992</v>
      </c>
      <c r="N95" s="905">
        <v>43157</v>
      </c>
      <c r="O95" s="905"/>
      <c r="P95" s="905">
        <v>43159</v>
      </c>
      <c r="Q95" s="905">
        <v>43493</v>
      </c>
      <c r="R95" s="1086"/>
    </row>
    <row r="96" spans="1:19">
      <c r="A96" s="902" t="s">
        <v>2484</v>
      </c>
      <c r="B96" s="902" t="s">
        <v>837</v>
      </c>
      <c r="C96" s="902" t="s">
        <v>1481</v>
      </c>
      <c r="D96" s="903" t="s">
        <v>2485</v>
      </c>
      <c r="E96" s="902" t="s">
        <v>158</v>
      </c>
      <c r="F96" s="902" t="s">
        <v>2149</v>
      </c>
      <c r="G96" s="1211">
        <v>1900000</v>
      </c>
      <c r="H96" s="902" t="s">
        <v>112</v>
      </c>
      <c r="I96" s="905">
        <v>43103</v>
      </c>
      <c r="J96" s="905">
        <v>43116</v>
      </c>
      <c r="K96" s="902" t="s">
        <v>2558</v>
      </c>
      <c r="L96" s="1211">
        <v>1798000</v>
      </c>
      <c r="M96" s="1211">
        <f>L96*1.21</f>
        <v>2175580</v>
      </c>
      <c r="N96" s="905">
        <v>43147</v>
      </c>
      <c r="O96" s="905"/>
      <c r="P96" s="905">
        <v>43150</v>
      </c>
      <c r="Q96" s="905">
        <v>43290</v>
      </c>
      <c r="R96" s="1086"/>
    </row>
    <row r="97" spans="1:19" ht="15.75" thickBot="1">
      <c r="A97" s="913" t="s">
        <v>2486</v>
      </c>
      <c r="B97" s="913" t="s">
        <v>2434</v>
      </c>
      <c r="C97" s="913" t="s">
        <v>219</v>
      </c>
      <c r="D97" s="914" t="s">
        <v>2487</v>
      </c>
      <c r="E97" s="913" t="s">
        <v>1042</v>
      </c>
      <c r="F97" s="913"/>
      <c r="G97" s="915">
        <v>1027000</v>
      </c>
      <c r="H97" s="913" t="s">
        <v>112</v>
      </c>
      <c r="I97" s="916">
        <v>43089</v>
      </c>
      <c r="J97" s="916">
        <v>43110</v>
      </c>
      <c r="K97" s="1269" t="s">
        <v>2556</v>
      </c>
      <c r="L97" s="915">
        <v>971868</v>
      </c>
      <c r="M97" s="915">
        <v>1176764.8999999999</v>
      </c>
      <c r="N97" s="916">
        <v>43206</v>
      </c>
      <c r="O97" s="916">
        <v>43570</v>
      </c>
      <c r="P97" s="916">
        <v>43207</v>
      </c>
      <c r="Q97" s="916">
        <v>43692</v>
      </c>
      <c r="R97" s="1086"/>
    </row>
    <row r="98" spans="1:19" ht="15.75" thickTop="1">
      <c r="A98" s="989" t="s">
        <v>2488</v>
      </c>
      <c r="B98" s="985" t="s">
        <v>69</v>
      </c>
      <c r="C98" s="985" t="s">
        <v>70</v>
      </c>
      <c r="D98" s="939" t="s">
        <v>2467</v>
      </c>
      <c r="E98" s="985" t="s">
        <v>93</v>
      </c>
      <c r="F98" s="985"/>
      <c r="G98" s="1210">
        <v>14719291</v>
      </c>
      <c r="H98" s="985" t="s">
        <v>251</v>
      </c>
      <c r="I98" s="987">
        <v>43089</v>
      </c>
      <c r="J98" s="987">
        <v>43151</v>
      </c>
      <c r="K98" s="985" t="s">
        <v>2533</v>
      </c>
      <c r="L98" s="1210">
        <v>14135582.060000001</v>
      </c>
      <c r="M98" s="1210">
        <f t="shared" ref="M98:M103" si="1">L98*1.1</f>
        <v>15549140.266000003</v>
      </c>
      <c r="N98" s="987">
        <v>43206</v>
      </c>
      <c r="O98" s="987">
        <v>43281</v>
      </c>
      <c r="P98" s="987">
        <v>43208</v>
      </c>
      <c r="Q98" s="1088">
        <v>43550</v>
      </c>
      <c r="R98" s="1966">
        <v>43914</v>
      </c>
      <c r="S98" s="355" t="s">
        <v>8483</v>
      </c>
    </row>
    <row r="99" spans="1:19">
      <c r="A99" s="1014" t="s">
        <v>2488</v>
      </c>
      <c r="B99" s="902" t="s">
        <v>69</v>
      </c>
      <c r="C99" s="902" t="s">
        <v>70</v>
      </c>
      <c r="D99" s="903" t="s">
        <v>2461</v>
      </c>
      <c r="E99" s="902" t="s">
        <v>93</v>
      </c>
      <c r="F99" s="902"/>
      <c r="G99" s="1211">
        <v>15915347</v>
      </c>
      <c r="H99" s="902" t="s">
        <v>251</v>
      </c>
      <c r="I99" s="905">
        <v>43089</v>
      </c>
      <c r="J99" s="905">
        <v>43151</v>
      </c>
      <c r="K99" s="902" t="s">
        <v>576</v>
      </c>
      <c r="L99" s="1211">
        <v>15914941.6</v>
      </c>
      <c r="M99" s="1211">
        <f t="shared" si="1"/>
        <v>17506435.760000002</v>
      </c>
      <c r="N99" s="905">
        <v>43203</v>
      </c>
      <c r="O99" s="905">
        <v>43933</v>
      </c>
      <c r="P99" s="905">
        <v>43208</v>
      </c>
      <c r="Q99" s="1089">
        <v>43550</v>
      </c>
      <c r="R99" s="1500">
        <v>43914</v>
      </c>
      <c r="S99" s="1560">
        <v>44280</v>
      </c>
    </row>
    <row r="100" spans="1:19">
      <c r="A100" s="1014" t="s">
        <v>2488</v>
      </c>
      <c r="B100" s="902" t="s">
        <v>69</v>
      </c>
      <c r="C100" s="902" t="s">
        <v>70</v>
      </c>
      <c r="D100" s="903" t="s">
        <v>2462</v>
      </c>
      <c r="E100" s="902" t="s">
        <v>93</v>
      </c>
      <c r="F100" s="902"/>
      <c r="G100" s="1211">
        <v>2900994</v>
      </c>
      <c r="H100" s="902" t="s">
        <v>251</v>
      </c>
      <c r="I100" s="905">
        <v>43089</v>
      </c>
      <c r="J100" s="905">
        <v>43151</v>
      </c>
      <c r="K100" s="902" t="s">
        <v>2518</v>
      </c>
      <c r="L100" s="1211">
        <v>2900993.94</v>
      </c>
      <c r="M100" s="1211">
        <f t="shared" si="1"/>
        <v>3191093.3340000003</v>
      </c>
      <c r="N100" s="905">
        <v>43206</v>
      </c>
      <c r="O100" s="905">
        <v>43936</v>
      </c>
      <c r="P100" s="905">
        <v>43208</v>
      </c>
      <c r="Q100" s="1089">
        <v>43550</v>
      </c>
      <c r="R100" s="1500">
        <v>43914</v>
      </c>
      <c r="S100" s="1560">
        <v>44280</v>
      </c>
    </row>
    <row r="101" spans="1:19">
      <c r="A101" s="1014" t="s">
        <v>2488</v>
      </c>
      <c r="B101" s="902" t="s">
        <v>69</v>
      </c>
      <c r="C101" s="902" t="s">
        <v>70</v>
      </c>
      <c r="D101" s="903" t="s">
        <v>2463</v>
      </c>
      <c r="E101" s="902" t="s">
        <v>93</v>
      </c>
      <c r="F101" s="902"/>
      <c r="G101" s="1211">
        <v>12262903</v>
      </c>
      <c r="H101" s="902" t="s">
        <v>251</v>
      </c>
      <c r="I101" s="905">
        <v>43089</v>
      </c>
      <c r="J101" s="905">
        <v>43151</v>
      </c>
      <c r="K101" s="902" t="s">
        <v>576</v>
      </c>
      <c r="L101" s="1211">
        <v>12262496</v>
      </c>
      <c r="M101" s="1211">
        <f t="shared" si="1"/>
        <v>13488745.600000001</v>
      </c>
      <c r="N101" s="905">
        <v>43206</v>
      </c>
      <c r="O101" s="905">
        <v>43936</v>
      </c>
      <c r="P101" s="905">
        <v>43208</v>
      </c>
      <c r="Q101" s="1089">
        <v>43550</v>
      </c>
      <c r="R101" s="1500">
        <v>43914</v>
      </c>
      <c r="S101" s="1560">
        <v>44280</v>
      </c>
    </row>
    <row r="102" spans="1:19">
      <c r="A102" s="1014" t="s">
        <v>2488</v>
      </c>
      <c r="B102" s="902" t="s">
        <v>69</v>
      </c>
      <c r="C102" s="902" t="s">
        <v>70</v>
      </c>
      <c r="D102" s="903" t="s">
        <v>2466</v>
      </c>
      <c r="E102" s="902" t="s">
        <v>93</v>
      </c>
      <c r="F102" s="902"/>
      <c r="G102" s="1211">
        <v>50787000</v>
      </c>
      <c r="H102" s="902" t="s">
        <v>251</v>
      </c>
      <c r="I102" s="905">
        <v>43089</v>
      </c>
      <c r="J102" s="905">
        <v>43151</v>
      </c>
      <c r="K102" s="902" t="s">
        <v>2490</v>
      </c>
      <c r="L102" s="1211">
        <v>50787000</v>
      </c>
      <c r="M102" s="1211">
        <f t="shared" si="1"/>
        <v>55865700.000000007</v>
      </c>
      <c r="N102" s="905">
        <v>43206</v>
      </c>
      <c r="O102" s="905">
        <v>43936</v>
      </c>
      <c r="P102" s="905">
        <v>43208</v>
      </c>
      <c r="Q102" s="1089">
        <v>43550</v>
      </c>
      <c r="R102" s="1500">
        <v>43914</v>
      </c>
      <c r="S102" s="1560">
        <v>44280</v>
      </c>
    </row>
    <row r="103" spans="1:19">
      <c r="A103" s="1014" t="s">
        <v>2488</v>
      </c>
      <c r="B103" s="902" t="s">
        <v>69</v>
      </c>
      <c r="C103" s="902" t="s">
        <v>70</v>
      </c>
      <c r="D103" s="903" t="s">
        <v>2468</v>
      </c>
      <c r="E103" s="902" t="s">
        <v>93</v>
      </c>
      <c r="F103" s="902"/>
      <c r="G103" s="1211">
        <v>4387442</v>
      </c>
      <c r="H103" s="902" t="s">
        <v>251</v>
      </c>
      <c r="I103" s="905">
        <v>43089</v>
      </c>
      <c r="J103" s="905">
        <v>43151</v>
      </c>
      <c r="K103" s="902" t="s">
        <v>2548</v>
      </c>
      <c r="L103" s="1211">
        <v>4387441.76</v>
      </c>
      <c r="M103" s="1211">
        <f t="shared" si="1"/>
        <v>4826185.9359999998</v>
      </c>
      <c r="N103" s="905">
        <v>43206</v>
      </c>
      <c r="O103" s="905">
        <v>43936</v>
      </c>
      <c r="P103" s="905">
        <v>43208</v>
      </c>
      <c r="Q103" s="1089">
        <v>43550</v>
      </c>
      <c r="R103" s="1500">
        <v>43914</v>
      </c>
      <c r="S103" s="1560">
        <v>44280</v>
      </c>
    </row>
    <row r="104" spans="1:19">
      <c r="A104" s="999" t="s">
        <v>2488</v>
      </c>
      <c r="B104" s="872" t="s">
        <v>69</v>
      </c>
      <c r="C104" s="872" t="s">
        <v>70</v>
      </c>
      <c r="D104" s="873" t="s">
        <v>2464</v>
      </c>
      <c r="E104" s="872" t="s">
        <v>93</v>
      </c>
      <c r="F104" s="872"/>
      <c r="G104" s="875">
        <v>3124080</v>
      </c>
      <c r="H104" s="872" t="s">
        <v>251</v>
      </c>
      <c r="I104" s="874">
        <v>43089</v>
      </c>
      <c r="J104" s="874">
        <v>43151</v>
      </c>
      <c r="K104" s="876" t="s">
        <v>304</v>
      </c>
      <c r="L104" s="875"/>
      <c r="M104" s="875"/>
      <c r="N104" s="872"/>
      <c r="O104" s="872"/>
      <c r="P104" s="874">
        <v>43158</v>
      </c>
      <c r="Q104" s="1000"/>
      <c r="R104" s="1083"/>
    </row>
    <row r="105" spans="1:19" ht="15.75" thickBot="1">
      <c r="A105" s="888" t="s">
        <v>2488</v>
      </c>
      <c r="B105" s="889" t="s">
        <v>69</v>
      </c>
      <c r="C105" s="889" t="s">
        <v>70</v>
      </c>
      <c r="D105" s="890" t="s">
        <v>2465</v>
      </c>
      <c r="E105" s="889" t="s">
        <v>93</v>
      </c>
      <c r="F105" s="889"/>
      <c r="G105" s="891">
        <v>4084640</v>
      </c>
      <c r="H105" s="889" t="s">
        <v>251</v>
      </c>
      <c r="I105" s="892">
        <v>43089</v>
      </c>
      <c r="J105" s="892">
        <v>43151</v>
      </c>
      <c r="K105" s="895" t="s">
        <v>304</v>
      </c>
      <c r="L105" s="891"/>
      <c r="M105" s="891"/>
      <c r="N105" s="889"/>
      <c r="O105" s="1282"/>
      <c r="P105" s="892">
        <v>43158</v>
      </c>
      <c r="Q105" s="893"/>
      <c r="R105" s="1083"/>
    </row>
    <row r="106" spans="1:19" ht="16.5" thickTop="1" thickBot="1">
      <c r="A106" s="1252" t="s">
        <v>2499</v>
      </c>
      <c r="B106" s="1252" t="s">
        <v>14</v>
      </c>
      <c r="C106" s="1252" t="s">
        <v>13</v>
      </c>
      <c r="D106" s="1253" t="s">
        <v>2500</v>
      </c>
      <c r="E106" s="1252" t="s">
        <v>1226</v>
      </c>
      <c r="F106" s="1252" t="s">
        <v>2501</v>
      </c>
      <c r="G106" s="1254">
        <v>3500000</v>
      </c>
      <c r="H106" s="1252" t="s">
        <v>216</v>
      </c>
      <c r="I106" s="1255">
        <v>43108</v>
      </c>
      <c r="J106" s="1255">
        <v>43129</v>
      </c>
      <c r="K106" s="1252" t="s">
        <v>2581</v>
      </c>
      <c r="L106" s="1254">
        <v>3481500</v>
      </c>
      <c r="M106" s="1254">
        <f>L106*1.21</f>
        <v>4212615</v>
      </c>
      <c r="N106" s="1255">
        <v>43161</v>
      </c>
      <c r="O106" s="1255"/>
      <c r="P106" s="1255">
        <v>43161</v>
      </c>
      <c r="Q106" s="1255">
        <v>43796</v>
      </c>
      <c r="R106" s="801"/>
    </row>
    <row r="107" spans="1:19">
      <c r="A107" s="991" t="s">
        <v>2503</v>
      </c>
      <c r="B107" s="991" t="s">
        <v>52</v>
      </c>
      <c r="C107" s="991" t="s">
        <v>1089</v>
      </c>
      <c r="D107" s="567" t="s">
        <v>2504</v>
      </c>
      <c r="E107" s="1005" t="s">
        <v>484</v>
      </c>
      <c r="F107" s="991" t="s">
        <v>2505</v>
      </c>
      <c r="G107" s="992">
        <v>1000000</v>
      </c>
      <c r="H107" s="991" t="s">
        <v>112</v>
      </c>
      <c r="I107" s="993">
        <v>43116</v>
      </c>
      <c r="J107" s="993">
        <v>43125</v>
      </c>
      <c r="K107" s="991" t="s">
        <v>2582</v>
      </c>
      <c r="L107" s="992">
        <v>1997500</v>
      </c>
      <c r="M107" s="992">
        <f>L107*1.21</f>
        <v>2416975</v>
      </c>
      <c r="N107" s="993">
        <v>43179</v>
      </c>
      <c r="O107" s="993"/>
      <c r="P107" s="993">
        <v>43179</v>
      </c>
      <c r="Q107" s="993">
        <v>44571</v>
      </c>
      <c r="R107" s="801"/>
    </row>
    <row r="108" spans="1:19">
      <c r="A108" s="1130" t="s">
        <v>2506</v>
      </c>
      <c r="B108" s="1130" t="s">
        <v>58</v>
      </c>
      <c r="C108" s="1130" t="s">
        <v>57</v>
      </c>
      <c r="D108" s="920" t="s">
        <v>2507</v>
      </c>
      <c r="E108" s="1130" t="s">
        <v>77</v>
      </c>
      <c r="F108" s="1130" t="s">
        <v>2607</v>
      </c>
      <c r="G108" s="1268">
        <v>2628500</v>
      </c>
      <c r="H108" s="1130" t="s">
        <v>251</v>
      </c>
      <c r="I108" s="1004">
        <v>43157</v>
      </c>
      <c r="J108" s="1004">
        <v>43196</v>
      </c>
      <c r="K108" s="1130" t="s">
        <v>2764</v>
      </c>
      <c r="L108" s="1268">
        <v>2628500</v>
      </c>
      <c r="M108" s="1268">
        <f>L108*1.21</f>
        <v>3180485</v>
      </c>
      <c r="N108" s="1004">
        <v>43203</v>
      </c>
      <c r="O108" s="1004"/>
      <c r="P108" s="1004">
        <v>43206</v>
      </c>
      <c r="Q108" s="1289">
        <v>44872</v>
      </c>
      <c r="R108" s="801"/>
    </row>
    <row r="109" spans="1:19">
      <c r="A109" s="902" t="s">
        <v>2508</v>
      </c>
      <c r="B109" s="902" t="s">
        <v>837</v>
      </c>
      <c r="C109" s="902" t="s">
        <v>1481</v>
      </c>
      <c r="D109" s="903" t="s">
        <v>2509</v>
      </c>
      <c r="E109" s="902" t="s">
        <v>2510</v>
      </c>
      <c r="F109" s="902"/>
      <c r="G109" s="1211">
        <v>1400000</v>
      </c>
      <c r="H109" s="902" t="s">
        <v>112</v>
      </c>
      <c r="I109" s="905">
        <v>43126</v>
      </c>
      <c r="J109" s="905">
        <v>43137</v>
      </c>
      <c r="K109" s="902" t="s">
        <v>2596</v>
      </c>
      <c r="L109" s="1211">
        <v>1500000</v>
      </c>
      <c r="M109" s="1211">
        <v>1725000</v>
      </c>
      <c r="N109" s="905">
        <v>43201</v>
      </c>
      <c r="O109" s="905">
        <v>44661</v>
      </c>
      <c r="P109" s="905">
        <v>43201</v>
      </c>
      <c r="Q109" s="905">
        <v>44762</v>
      </c>
      <c r="R109" s="801"/>
    </row>
    <row r="110" spans="1:19">
      <c r="A110" s="902" t="s">
        <v>2536</v>
      </c>
      <c r="B110" s="902" t="s">
        <v>1700</v>
      </c>
      <c r="C110" s="902" t="s">
        <v>1699</v>
      </c>
      <c r="D110" s="903" t="s">
        <v>2540</v>
      </c>
      <c r="E110" s="902" t="s">
        <v>269</v>
      </c>
      <c r="F110" s="902" t="s">
        <v>2543</v>
      </c>
      <c r="G110" s="1211">
        <v>1530435</v>
      </c>
      <c r="H110" s="902" t="s">
        <v>251</v>
      </c>
      <c r="I110" s="905">
        <v>43160</v>
      </c>
      <c r="J110" s="905">
        <v>43208</v>
      </c>
      <c r="K110" s="902" t="s">
        <v>2793</v>
      </c>
      <c r="L110" s="1211">
        <v>1690200</v>
      </c>
      <c r="M110" s="1211">
        <v>2045142</v>
      </c>
      <c r="N110" s="905">
        <v>43279</v>
      </c>
      <c r="O110" s="905"/>
      <c r="P110" s="905">
        <v>43280</v>
      </c>
      <c r="Q110" s="905">
        <v>43840</v>
      </c>
      <c r="R110" s="996" t="s">
        <v>1875</v>
      </c>
    </row>
    <row r="111" spans="1:19">
      <c r="A111" s="902" t="s">
        <v>2537</v>
      </c>
      <c r="B111" s="902" t="s">
        <v>1700</v>
      </c>
      <c r="C111" s="902" t="s">
        <v>1699</v>
      </c>
      <c r="D111" s="903" t="s">
        <v>2541</v>
      </c>
      <c r="E111" s="902" t="s">
        <v>737</v>
      </c>
      <c r="F111" s="902" t="s">
        <v>2542</v>
      </c>
      <c r="G111" s="1211">
        <v>2500000</v>
      </c>
      <c r="H111" s="902" t="s">
        <v>251</v>
      </c>
      <c r="I111" s="905">
        <v>43178</v>
      </c>
      <c r="J111" s="905">
        <v>43216</v>
      </c>
      <c r="K111" s="902" t="s">
        <v>2834</v>
      </c>
      <c r="L111" s="1211">
        <v>2357657</v>
      </c>
      <c r="M111" s="1211">
        <f>L111*1.21</f>
        <v>2852764.9699999997</v>
      </c>
      <c r="N111" s="905">
        <v>43272</v>
      </c>
      <c r="O111" s="905"/>
      <c r="P111" s="905">
        <v>43272</v>
      </c>
      <c r="Q111" s="905">
        <v>43381</v>
      </c>
      <c r="R111" s="996" t="s">
        <v>1875</v>
      </c>
    </row>
    <row r="112" spans="1:19">
      <c r="A112" s="902" t="s">
        <v>2538</v>
      </c>
      <c r="B112" s="902" t="s">
        <v>1032</v>
      </c>
      <c r="C112" s="902" t="s">
        <v>361</v>
      </c>
      <c r="D112" s="2536" t="s">
        <v>2539</v>
      </c>
      <c r="E112" s="902" t="s">
        <v>2545</v>
      </c>
      <c r="F112" s="902" t="s">
        <v>2458</v>
      </c>
      <c r="G112" s="1211">
        <v>1160000</v>
      </c>
      <c r="H112" s="902" t="s">
        <v>112</v>
      </c>
      <c r="I112" s="905">
        <v>43111</v>
      </c>
      <c r="J112" s="905">
        <v>43118</v>
      </c>
      <c r="K112" s="902" t="s">
        <v>2565</v>
      </c>
      <c r="L112" s="1211">
        <v>1128398</v>
      </c>
      <c r="M112" s="1211">
        <f>L112*1.21</f>
        <v>1365361.58</v>
      </c>
      <c r="N112" s="905">
        <v>43144</v>
      </c>
      <c r="O112" s="905"/>
      <c r="P112" s="905">
        <v>43145</v>
      </c>
      <c r="Q112" s="905">
        <v>43796</v>
      </c>
      <c r="R112" s="801"/>
    </row>
    <row r="113" spans="1:23">
      <c r="A113" s="902" t="s">
        <v>2549</v>
      </c>
      <c r="B113" s="902" t="s">
        <v>1700</v>
      </c>
      <c r="C113" s="902" t="s">
        <v>1699</v>
      </c>
      <c r="D113" s="903" t="s">
        <v>2555</v>
      </c>
      <c r="E113" s="902" t="s">
        <v>2550</v>
      </c>
      <c r="F113" s="902" t="s">
        <v>2551</v>
      </c>
      <c r="G113" s="1211">
        <v>205498</v>
      </c>
      <c r="H113" s="902" t="s">
        <v>251</v>
      </c>
      <c r="I113" s="905">
        <v>43206</v>
      </c>
      <c r="J113" s="905">
        <v>43245</v>
      </c>
      <c r="K113" s="902" t="s">
        <v>3044</v>
      </c>
      <c r="L113" s="1211">
        <v>190168</v>
      </c>
      <c r="M113" s="1211">
        <v>230103.28</v>
      </c>
      <c r="N113" s="905">
        <v>43315</v>
      </c>
      <c r="O113" s="905"/>
      <c r="P113" s="905">
        <v>43322</v>
      </c>
      <c r="Q113" s="905">
        <v>43437</v>
      </c>
      <c r="R113" s="801"/>
    </row>
    <row r="114" spans="1:23">
      <c r="A114" s="902" t="s">
        <v>2552</v>
      </c>
      <c r="B114" s="902" t="s">
        <v>2553</v>
      </c>
      <c r="C114" s="902" t="s">
        <v>1481</v>
      </c>
      <c r="D114" s="903" t="s">
        <v>1447</v>
      </c>
      <c r="E114" s="902" t="s">
        <v>1780</v>
      </c>
      <c r="F114" s="902"/>
      <c r="G114" s="1211">
        <v>28842000</v>
      </c>
      <c r="H114" s="902" t="s">
        <v>251</v>
      </c>
      <c r="I114" s="905">
        <v>43138</v>
      </c>
      <c r="J114" s="905">
        <v>43206</v>
      </c>
      <c r="K114" s="902" t="s">
        <v>2792</v>
      </c>
      <c r="L114" s="1211">
        <v>25828432</v>
      </c>
      <c r="M114" s="1211">
        <f>L114*1.21</f>
        <v>31252402.719999999</v>
      </c>
      <c r="N114" s="905">
        <v>43355</v>
      </c>
      <c r="O114" s="905">
        <v>44815</v>
      </c>
      <c r="P114" s="905">
        <v>43357</v>
      </c>
      <c r="Q114" s="905">
        <v>43551</v>
      </c>
      <c r="R114" s="905">
        <v>43913</v>
      </c>
      <c r="S114" s="1560">
        <v>44278</v>
      </c>
      <c r="T114" s="1560">
        <v>44642</v>
      </c>
      <c r="U114" s="388" t="s">
        <v>4131</v>
      </c>
    </row>
    <row r="115" spans="1:23">
      <c r="A115" s="902" t="s">
        <v>2559</v>
      </c>
      <c r="B115" s="902" t="s">
        <v>2553</v>
      </c>
      <c r="C115" s="902" t="s">
        <v>1481</v>
      </c>
      <c r="D115" s="903" t="s">
        <v>2765</v>
      </c>
      <c r="E115" s="902" t="s">
        <v>2566</v>
      </c>
      <c r="F115" s="902"/>
      <c r="G115" s="1132">
        <v>3000000</v>
      </c>
      <c r="H115" s="902" t="s">
        <v>251</v>
      </c>
      <c r="I115" s="905">
        <v>43152</v>
      </c>
      <c r="J115" s="905">
        <v>43199</v>
      </c>
      <c r="K115" s="902" t="s">
        <v>2767</v>
      </c>
      <c r="L115" s="1211">
        <v>2657498</v>
      </c>
      <c r="M115" s="1211">
        <f>L115*1.21</f>
        <v>3215572.58</v>
      </c>
      <c r="N115" s="905">
        <v>43251</v>
      </c>
      <c r="O115" s="905" t="s">
        <v>2585</v>
      </c>
      <c r="P115" s="905">
        <v>43252</v>
      </c>
      <c r="Q115" s="905">
        <v>43551</v>
      </c>
      <c r="R115" s="905">
        <v>43913</v>
      </c>
      <c r="S115" s="1560">
        <v>44278</v>
      </c>
      <c r="T115" s="355" t="s">
        <v>11373</v>
      </c>
      <c r="U115" s="388" t="s">
        <v>4129</v>
      </c>
    </row>
    <row r="116" spans="1:23" s="1190" customFormat="1">
      <c r="A116" s="902" t="s">
        <v>2559</v>
      </c>
      <c r="B116" s="902" t="s">
        <v>2553</v>
      </c>
      <c r="C116" s="902" t="s">
        <v>1481</v>
      </c>
      <c r="D116" s="903" t="s">
        <v>2766</v>
      </c>
      <c r="E116" s="902" t="s">
        <v>2566</v>
      </c>
      <c r="F116" s="902"/>
      <c r="G116" s="1132">
        <v>5000000</v>
      </c>
      <c r="H116" s="902" t="s">
        <v>251</v>
      </c>
      <c r="I116" s="905">
        <v>43152</v>
      </c>
      <c r="J116" s="905">
        <v>43199</v>
      </c>
      <c r="K116" s="902" t="s">
        <v>2767</v>
      </c>
      <c r="L116" s="1211">
        <v>3880000</v>
      </c>
      <c r="M116" s="1211">
        <f>L116*1.21</f>
        <v>4694800</v>
      </c>
      <c r="N116" s="905">
        <v>43251</v>
      </c>
      <c r="O116" s="905" t="s">
        <v>2585</v>
      </c>
      <c r="P116" s="905">
        <v>43252</v>
      </c>
      <c r="Q116" s="905">
        <v>43551</v>
      </c>
      <c r="R116" s="905">
        <v>43913</v>
      </c>
      <c r="S116" s="1560">
        <v>44278</v>
      </c>
      <c r="T116" s="1560">
        <v>44642</v>
      </c>
      <c r="U116" s="388" t="s">
        <v>4129</v>
      </c>
      <c r="V116" s="374"/>
      <c r="W116" s="374"/>
    </row>
    <row r="117" spans="1:23">
      <c r="A117" s="902" t="s">
        <v>2578</v>
      </c>
      <c r="B117" s="902" t="s">
        <v>1700</v>
      </c>
      <c r="C117" s="902" t="s">
        <v>1699</v>
      </c>
      <c r="D117" s="903" t="s">
        <v>2679</v>
      </c>
      <c r="E117" s="902" t="s">
        <v>2579</v>
      </c>
      <c r="F117" s="902" t="s">
        <v>2151</v>
      </c>
      <c r="G117" s="1211">
        <v>11951508</v>
      </c>
      <c r="H117" s="902" t="s">
        <v>251</v>
      </c>
      <c r="I117" s="905">
        <v>43124</v>
      </c>
      <c r="J117" s="905">
        <v>43165</v>
      </c>
      <c r="K117" s="902" t="s">
        <v>2680</v>
      </c>
      <c r="L117" s="1211">
        <v>8103390</v>
      </c>
      <c r="M117" s="1211">
        <v>9805101.9000000004</v>
      </c>
      <c r="N117" s="905">
        <v>43241</v>
      </c>
      <c r="O117" s="905"/>
      <c r="P117" s="905">
        <v>43244</v>
      </c>
      <c r="Q117" s="905">
        <v>43374</v>
      </c>
      <c r="R117" s="996" t="s">
        <v>1875</v>
      </c>
    </row>
    <row r="118" spans="1:23" s="1190" customFormat="1">
      <c r="A118" s="902" t="s">
        <v>2578</v>
      </c>
      <c r="B118" s="902" t="s">
        <v>1700</v>
      </c>
      <c r="C118" s="902" t="s">
        <v>1699</v>
      </c>
      <c r="D118" s="903" t="s">
        <v>2741</v>
      </c>
      <c r="E118" s="902" t="s">
        <v>2579</v>
      </c>
      <c r="F118" s="902" t="s">
        <v>2151</v>
      </c>
      <c r="G118" s="1211">
        <v>6639727</v>
      </c>
      <c r="H118" s="902" t="s">
        <v>251</v>
      </c>
      <c r="I118" s="905">
        <v>43124</v>
      </c>
      <c r="J118" s="905">
        <v>43165</v>
      </c>
      <c r="K118" s="913" t="s">
        <v>2680</v>
      </c>
      <c r="L118" s="915">
        <v>6182390</v>
      </c>
      <c r="M118" s="915">
        <f>L118*1.21</f>
        <v>7480691.8999999994</v>
      </c>
      <c r="N118" s="916">
        <v>43241</v>
      </c>
      <c r="O118" s="916"/>
      <c r="P118" s="916">
        <v>43244</v>
      </c>
      <c r="Q118" s="916">
        <v>43374</v>
      </c>
      <c r="R118" s="996" t="s">
        <v>1875</v>
      </c>
      <c r="S118" s="374"/>
      <c r="T118" s="374"/>
      <c r="U118" s="374"/>
      <c r="V118" s="374"/>
      <c r="W118" s="374"/>
    </row>
    <row r="119" spans="1:23" ht="15.75" thickBot="1">
      <c r="A119" s="913" t="s">
        <v>2583</v>
      </c>
      <c r="B119" s="913" t="s">
        <v>2111</v>
      </c>
      <c r="C119" s="913" t="s">
        <v>1215</v>
      </c>
      <c r="D119" s="914" t="s">
        <v>2584</v>
      </c>
      <c r="E119" s="913" t="s">
        <v>2113</v>
      </c>
      <c r="F119" s="913"/>
      <c r="G119" s="915">
        <v>1000000</v>
      </c>
      <c r="H119" s="913" t="s">
        <v>251</v>
      </c>
      <c r="I119" s="916">
        <v>43132</v>
      </c>
      <c r="J119" s="916">
        <v>43172</v>
      </c>
      <c r="K119" s="913" t="s">
        <v>2183</v>
      </c>
      <c r="L119" s="915">
        <v>839309</v>
      </c>
      <c r="M119" s="915">
        <v>1015563.89</v>
      </c>
      <c r="N119" s="916">
        <v>43236</v>
      </c>
      <c r="O119" s="916"/>
      <c r="P119" s="916">
        <v>43237</v>
      </c>
      <c r="Q119" s="916">
        <v>43374</v>
      </c>
      <c r="R119" s="801"/>
    </row>
    <row r="120" spans="1:23" ht="15.75" thickTop="1">
      <c r="A120" s="989" t="s">
        <v>2586</v>
      </c>
      <c r="B120" s="985" t="s">
        <v>2434</v>
      </c>
      <c r="C120" s="985" t="s">
        <v>751</v>
      </c>
      <c r="D120" s="939" t="s">
        <v>2471</v>
      </c>
      <c r="E120" s="985" t="s">
        <v>786</v>
      </c>
      <c r="F120" s="985"/>
      <c r="G120" s="1210">
        <v>129840000</v>
      </c>
      <c r="H120" s="985" t="s">
        <v>251</v>
      </c>
      <c r="I120" s="987">
        <v>43133</v>
      </c>
      <c r="J120" s="987">
        <v>43181</v>
      </c>
      <c r="K120" s="985" t="s">
        <v>3179</v>
      </c>
      <c r="L120" s="1210">
        <v>129840000</v>
      </c>
      <c r="M120" s="1210">
        <v>149316000</v>
      </c>
      <c r="N120" s="987">
        <v>43319</v>
      </c>
      <c r="O120" s="987">
        <v>43927</v>
      </c>
      <c r="P120" s="987">
        <v>43334</v>
      </c>
      <c r="Q120" s="1088">
        <v>43553</v>
      </c>
      <c r="R120" s="1500">
        <v>43920</v>
      </c>
      <c r="S120" s="1560">
        <v>44285</v>
      </c>
    </row>
    <row r="121" spans="1:23">
      <c r="A121" s="1014" t="s">
        <v>2586</v>
      </c>
      <c r="B121" s="902" t="s">
        <v>2434</v>
      </c>
      <c r="C121" s="902" t="s">
        <v>751</v>
      </c>
      <c r="D121" s="903" t="s">
        <v>2470</v>
      </c>
      <c r="E121" s="902" t="s">
        <v>786</v>
      </c>
      <c r="F121" s="902"/>
      <c r="G121" s="1211">
        <v>2326000</v>
      </c>
      <c r="H121" s="902" t="s">
        <v>251</v>
      </c>
      <c r="I121" s="905">
        <v>43133</v>
      </c>
      <c r="J121" s="905">
        <v>43181</v>
      </c>
      <c r="K121" s="902" t="s">
        <v>1433</v>
      </c>
      <c r="L121" s="1211">
        <v>2324426.0499999998</v>
      </c>
      <c r="M121" s="1211">
        <v>2673089.96</v>
      </c>
      <c r="N121" s="905">
        <v>43319</v>
      </c>
      <c r="O121" s="905">
        <v>43927</v>
      </c>
      <c r="P121" s="905">
        <v>43334</v>
      </c>
      <c r="Q121" s="1260" t="s">
        <v>4128</v>
      </c>
      <c r="R121" s="1500" t="s">
        <v>6603</v>
      </c>
      <c r="S121" s="355" t="s">
        <v>8483</v>
      </c>
    </row>
    <row r="122" spans="1:23">
      <c r="A122" s="1014" t="s">
        <v>2586</v>
      </c>
      <c r="B122" s="902" t="s">
        <v>2434</v>
      </c>
      <c r="C122" s="902" t="s">
        <v>751</v>
      </c>
      <c r="D122" s="903" t="s">
        <v>2472</v>
      </c>
      <c r="E122" s="902" t="s">
        <v>786</v>
      </c>
      <c r="F122" s="902"/>
      <c r="G122" s="1211">
        <v>28076000</v>
      </c>
      <c r="H122" s="902" t="s">
        <v>251</v>
      </c>
      <c r="I122" s="905">
        <v>43133</v>
      </c>
      <c r="J122" s="905">
        <v>43181</v>
      </c>
      <c r="K122" s="902" t="s">
        <v>2754</v>
      </c>
      <c r="L122" s="1211">
        <v>27870300</v>
      </c>
      <c r="M122" s="1211">
        <v>32050845</v>
      </c>
      <c r="N122" s="905">
        <v>43319</v>
      </c>
      <c r="O122" s="905">
        <v>43927</v>
      </c>
      <c r="P122" s="905">
        <v>43334</v>
      </c>
      <c r="Q122" s="1089">
        <v>43551</v>
      </c>
      <c r="R122" s="1500">
        <v>43920</v>
      </c>
      <c r="S122" s="1560">
        <v>44285</v>
      </c>
    </row>
    <row r="123" spans="1:23">
      <c r="A123" s="1014" t="s">
        <v>2586</v>
      </c>
      <c r="B123" s="902" t="s">
        <v>2434</v>
      </c>
      <c r="C123" s="902" t="s">
        <v>751</v>
      </c>
      <c r="D123" s="903" t="s">
        <v>2473</v>
      </c>
      <c r="E123" s="902" t="s">
        <v>786</v>
      </c>
      <c r="F123" s="902"/>
      <c r="G123" s="1211">
        <v>24761000</v>
      </c>
      <c r="H123" s="902" t="s">
        <v>251</v>
      </c>
      <c r="I123" s="905">
        <v>43133</v>
      </c>
      <c r="J123" s="905">
        <v>43181</v>
      </c>
      <c r="K123" s="902" t="s">
        <v>2344</v>
      </c>
      <c r="L123" s="1211">
        <v>24760000</v>
      </c>
      <c r="M123" s="1211">
        <v>28474000</v>
      </c>
      <c r="N123" s="905">
        <v>43319</v>
      </c>
      <c r="O123" s="905">
        <v>43927</v>
      </c>
      <c r="P123" s="905">
        <v>43334</v>
      </c>
      <c r="Q123" s="1089">
        <v>43551</v>
      </c>
      <c r="R123" s="1500">
        <v>43920</v>
      </c>
      <c r="S123" s="355" t="s">
        <v>8483</v>
      </c>
    </row>
    <row r="124" spans="1:23">
      <c r="A124" s="1014" t="s">
        <v>2586</v>
      </c>
      <c r="B124" s="902" t="s">
        <v>2434</v>
      </c>
      <c r="C124" s="902" t="s">
        <v>751</v>
      </c>
      <c r="D124" s="903" t="s">
        <v>2474</v>
      </c>
      <c r="E124" s="902" t="s">
        <v>786</v>
      </c>
      <c r="F124" s="902"/>
      <c r="G124" s="1211">
        <v>6016000</v>
      </c>
      <c r="H124" s="902" t="s">
        <v>251</v>
      </c>
      <c r="I124" s="905">
        <v>43133</v>
      </c>
      <c r="J124" s="905">
        <v>43181</v>
      </c>
      <c r="K124" s="902" t="s">
        <v>2755</v>
      </c>
      <c r="L124" s="1211">
        <v>5845500</v>
      </c>
      <c r="M124" s="1211">
        <v>6722325</v>
      </c>
      <c r="N124" s="905">
        <v>43319</v>
      </c>
      <c r="O124" s="905">
        <v>43927</v>
      </c>
      <c r="P124" s="905">
        <v>43334</v>
      </c>
      <c r="Q124" s="1089">
        <v>43551</v>
      </c>
      <c r="R124" s="1500">
        <v>43920</v>
      </c>
      <c r="S124" s="1560">
        <v>44285</v>
      </c>
    </row>
    <row r="125" spans="1:23" ht="15.75" thickBot="1">
      <c r="A125" s="990" t="s">
        <v>2586</v>
      </c>
      <c r="B125" s="981" t="s">
        <v>2434</v>
      </c>
      <c r="C125" s="981" t="s">
        <v>751</v>
      </c>
      <c r="D125" s="940" t="s">
        <v>2580</v>
      </c>
      <c r="E125" s="981" t="s">
        <v>786</v>
      </c>
      <c r="F125" s="981"/>
      <c r="G125" s="1212">
        <v>23756000</v>
      </c>
      <c r="H125" s="981" t="s">
        <v>251</v>
      </c>
      <c r="I125" s="982">
        <v>43133</v>
      </c>
      <c r="J125" s="982">
        <v>43181</v>
      </c>
      <c r="K125" s="981" t="s">
        <v>2755</v>
      </c>
      <c r="L125" s="1212">
        <v>23718020</v>
      </c>
      <c r="M125" s="1212">
        <v>27275723</v>
      </c>
      <c r="N125" s="982">
        <v>43319</v>
      </c>
      <c r="O125" s="1317">
        <v>43927</v>
      </c>
      <c r="P125" s="982">
        <v>43334</v>
      </c>
      <c r="Q125" s="1090">
        <v>43551</v>
      </c>
      <c r="R125" s="1500" t="s">
        <v>6603</v>
      </c>
      <c r="S125" s="1560">
        <v>44285</v>
      </c>
    </row>
    <row r="126" spans="1:23" ht="15.75" thickTop="1">
      <c r="A126" s="902" t="s">
        <v>2587</v>
      </c>
      <c r="B126" s="902" t="s">
        <v>52</v>
      </c>
      <c r="C126" s="902" t="s">
        <v>2588</v>
      </c>
      <c r="D126" s="903" t="s">
        <v>2589</v>
      </c>
      <c r="E126" s="1005" t="s">
        <v>484</v>
      </c>
      <c r="F126" s="902" t="s">
        <v>2594</v>
      </c>
      <c r="G126" s="1211">
        <v>350000</v>
      </c>
      <c r="H126" s="902" t="s">
        <v>112</v>
      </c>
      <c r="I126" s="905">
        <v>43150</v>
      </c>
      <c r="J126" s="905">
        <v>43158</v>
      </c>
      <c r="K126" s="902" t="s">
        <v>2678</v>
      </c>
      <c r="L126" s="1211">
        <v>266000</v>
      </c>
      <c r="M126" s="1211">
        <v>321860</v>
      </c>
      <c r="N126" s="905">
        <v>43195</v>
      </c>
      <c r="O126" s="905"/>
      <c r="P126" s="902" t="s">
        <v>239</v>
      </c>
      <c r="Q126" s="902" t="s">
        <v>239</v>
      </c>
      <c r="R126" s="801"/>
    </row>
    <row r="127" spans="1:23">
      <c r="A127" s="872" t="s">
        <v>2590</v>
      </c>
      <c r="B127" s="872" t="s">
        <v>166</v>
      </c>
      <c r="C127" s="872" t="s">
        <v>167</v>
      </c>
      <c r="D127" s="769" t="s">
        <v>2591</v>
      </c>
      <c r="E127" s="872" t="s">
        <v>33</v>
      </c>
      <c r="F127" s="872" t="s">
        <v>1957</v>
      </c>
      <c r="G127" s="875">
        <v>2800000</v>
      </c>
      <c r="H127" s="872" t="s">
        <v>112</v>
      </c>
      <c r="I127" s="874">
        <v>43144</v>
      </c>
      <c r="J127" s="874">
        <v>43158</v>
      </c>
      <c r="K127" s="876" t="s">
        <v>242</v>
      </c>
      <c r="L127" s="875"/>
      <c r="M127" s="875"/>
      <c r="N127" s="872"/>
      <c r="O127" s="872"/>
      <c r="P127" s="874">
        <v>43185</v>
      </c>
      <c r="Q127" s="872"/>
      <c r="R127" s="801"/>
    </row>
    <row r="128" spans="1:23" ht="15.75" thickBot="1">
      <c r="A128" s="902" t="s">
        <v>2592</v>
      </c>
      <c r="B128" s="902" t="s">
        <v>2111</v>
      </c>
      <c r="C128" s="902" t="s">
        <v>1215</v>
      </c>
      <c r="D128" s="903" t="s">
        <v>2593</v>
      </c>
      <c r="E128" s="902" t="s">
        <v>2595</v>
      </c>
      <c r="F128" s="902"/>
      <c r="G128" s="1211">
        <v>1400000</v>
      </c>
      <c r="H128" s="902" t="s">
        <v>112</v>
      </c>
      <c r="I128" s="905">
        <v>43144</v>
      </c>
      <c r="J128" s="905">
        <v>43153</v>
      </c>
      <c r="K128" s="902" t="s">
        <v>2666</v>
      </c>
      <c r="L128" s="1211">
        <v>1079700</v>
      </c>
      <c r="M128" s="1211">
        <v>1306437</v>
      </c>
      <c r="N128" s="905">
        <v>43188</v>
      </c>
      <c r="O128" s="905"/>
      <c r="P128" s="905">
        <v>43193</v>
      </c>
      <c r="Q128" s="905">
        <v>43570</v>
      </c>
      <c r="R128" s="905">
        <v>43913</v>
      </c>
    </row>
    <row r="129" spans="1:23" ht="15.75" thickTop="1">
      <c r="A129" s="989" t="s">
        <v>2597</v>
      </c>
      <c r="B129" s="985" t="s">
        <v>2434</v>
      </c>
      <c r="C129" s="985" t="s">
        <v>751</v>
      </c>
      <c r="D129" s="939" t="s">
        <v>2475</v>
      </c>
      <c r="E129" s="985" t="s">
        <v>1880</v>
      </c>
      <c r="F129" s="985"/>
      <c r="G129" s="1210">
        <v>27291000</v>
      </c>
      <c r="H129" s="985" t="s">
        <v>251</v>
      </c>
      <c r="I129" s="987">
        <v>43144</v>
      </c>
      <c r="J129" s="987">
        <v>43201</v>
      </c>
      <c r="K129" s="985" t="s">
        <v>2753</v>
      </c>
      <c r="L129" s="1210">
        <v>27290965</v>
      </c>
      <c r="M129" s="1210">
        <v>31384609.75</v>
      </c>
      <c r="N129" s="987">
        <v>43313</v>
      </c>
      <c r="O129" s="987">
        <v>43921</v>
      </c>
      <c r="P129" s="987">
        <v>43320</v>
      </c>
      <c r="Q129" s="1088">
        <v>43553</v>
      </c>
      <c r="R129" s="905">
        <v>43920</v>
      </c>
      <c r="S129" s="1560">
        <v>44285</v>
      </c>
    </row>
    <row r="130" spans="1:23">
      <c r="A130" s="1014" t="s">
        <v>2597</v>
      </c>
      <c r="B130" s="902" t="s">
        <v>2434</v>
      </c>
      <c r="C130" s="902" t="s">
        <v>751</v>
      </c>
      <c r="D130" s="903" t="s">
        <v>2477</v>
      </c>
      <c r="E130" s="902" t="s">
        <v>1880</v>
      </c>
      <c r="F130" s="902"/>
      <c r="G130" s="1211">
        <v>391000</v>
      </c>
      <c r="H130" s="902" t="s">
        <v>251</v>
      </c>
      <c r="I130" s="905">
        <v>43144</v>
      </c>
      <c r="J130" s="905">
        <v>43201</v>
      </c>
      <c r="K130" s="902" t="s">
        <v>2776</v>
      </c>
      <c r="L130" s="1211">
        <v>390960.87</v>
      </c>
      <c r="M130" s="1211">
        <v>449605</v>
      </c>
      <c r="N130" s="1004">
        <v>43313</v>
      </c>
      <c r="O130" s="1004">
        <v>43921</v>
      </c>
      <c r="P130" s="905">
        <v>43320</v>
      </c>
      <c r="Q130" s="1089">
        <v>43551</v>
      </c>
      <c r="R130" s="905">
        <v>43920</v>
      </c>
      <c r="S130" s="1560">
        <v>44285</v>
      </c>
    </row>
    <row r="131" spans="1:23">
      <c r="A131" s="1307" t="s">
        <v>2597</v>
      </c>
      <c r="B131" s="1130" t="s">
        <v>2434</v>
      </c>
      <c r="C131" s="1130" t="s">
        <v>751</v>
      </c>
      <c r="D131" s="920" t="s">
        <v>2478</v>
      </c>
      <c r="E131" s="1130" t="s">
        <v>1880</v>
      </c>
      <c r="F131" s="1130"/>
      <c r="G131" s="1132">
        <v>6412000</v>
      </c>
      <c r="H131" s="1130" t="s">
        <v>251</v>
      </c>
      <c r="I131" s="1004">
        <v>43144</v>
      </c>
      <c r="J131" s="1004">
        <v>43201</v>
      </c>
      <c r="K131" s="1130" t="s">
        <v>2777</v>
      </c>
      <c r="L131" s="1132">
        <v>6016920</v>
      </c>
      <c r="M131" s="1132">
        <v>6919458</v>
      </c>
      <c r="N131" s="1004">
        <v>43313</v>
      </c>
      <c r="O131" s="1004">
        <v>43921</v>
      </c>
      <c r="P131" s="1004">
        <v>43320</v>
      </c>
      <c r="Q131" s="1503">
        <v>43551</v>
      </c>
      <c r="R131" s="1004">
        <v>43920</v>
      </c>
      <c r="S131" s="1560">
        <v>44285</v>
      </c>
    </row>
    <row r="132" spans="1:23">
      <c r="A132" s="1014" t="s">
        <v>2597</v>
      </c>
      <c r="B132" s="902" t="s">
        <v>2434</v>
      </c>
      <c r="C132" s="902" t="s">
        <v>751</v>
      </c>
      <c r="D132" s="903" t="s">
        <v>2479</v>
      </c>
      <c r="E132" s="902" t="s">
        <v>1880</v>
      </c>
      <c r="F132" s="902"/>
      <c r="G132" s="1211">
        <v>6883000</v>
      </c>
      <c r="H132" s="902" t="s">
        <v>251</v>
      </c>
      <c r="I132" s="905">
        <v>43144</v>
      </c>
      <c r="J132" s="905">
        <v>43201</v>
      </c>
      <c r="K132" s="902" t="s">
        <v>1433</v>
      </c>
      <c r="L132" s="1211">
        <v>6200000</v>
      </c>
      <c r="M132" s="1211">
        <v>7130000</v>
      </c>
      <c r="N132" s="1004">
        <v>43313</v>
      </c>
      <c r="O132" s="1004">
        <v>43921</v>
      </c>
      <c r="P132" s="905">
        <v>43320</v>
      </c>
      <c r="Q132" s="1089">
        <v>43551</v>
      </c>
      <c r="R132" s="905">
        <v>43920</v>
      </c>
      <c r="S132" s="1560">
        <v>44285</v>
      </c>
    </row>
    <row r="133" spans="1:23" ht="15.75" thickBot="1">
      <c r="A133" s="888" t="s">
        <v>2597</v>
      </c>
      <c r="B133" s="889" t="s">
        <v>2434</v>
      </c>
      <c r="C133" s="889" t="s">
        <v>751</v>
      </c>
      <c r="D133" s="890" t="s">
        <v>2476</v>
      </c>
      <c r="E133" s="889" t="s">
        <v>1880</v>
      </c>
      <c r="F133" s="889"/>
      <c r="G133" s="891">
        <v>5956000</v>
      </c>
      <c r="H133" s="889" t="s">
        <v>251</v>
      </c>
      <c r="I133" s="892">
        <v>43144</v>
      </c>
      <c r="J133" s="892">
        <v>43201</v>
      </c>
      <c r="K133" s="895" t="s">
        <v>2774</v>
      </c>
      <c r="L133" s="891"/>
      <c r="M133" s="891"/>
      <c r="N133" s="889"/>
      <c r="O133" s="1285"/>
      <c r="P133" s="892">
        <v>43216</v>
      </c>
      <c r="Q133" s="893"/>
      <c r="R133" s="801"/>
    </row>
    <row r="134" spans="1:23" ht="15.75" thickTop="1">
      <c r="A134" s="902" t="s">
        <v>2598</v>
      </c>
      <c r="B134" s="902" t="s">
        <v>2111</v>
      </c>
      <c r="C134" s="902" t="s">
        <v>1215</v>
      </c>
      <c r="D134" s="903" t="s">
        <v>2599</v>
      </c>
      <c r="E134" s="902" t="s">
        <v>2600</v>
      </c>
      <c r="F134" s="902"/>
      <c r="G134" s="1211">
        <v>720000</v>
      </c>
      <c r="H134" s="902" t="s">
        <v>112</v>
      </c>
      <c r="I134" s="905">
        <v>43150</v>
      </c>
      <c r="J134" s="905">
        <v>43159</v>
      </c>
      <c r="K134" s="902" t="s">
        <v>2675</v>
      </c>
      <c r="L134" s="1211">
        <v>634260</v>
      </c>
      <c r="M134" s="1211">
        <f>L134*1.21</f>
        <v>767454.6</v>
      </c>
      <c r="N134" s="905">
        <v>43185</v>
      </c>
      <c r="O134" s="905"/>
      <c r="P134" s="905">
        <v>43186</v>
      </c>
      <c r="Q134" s="905">
        <v>43318</v>
      </c>
      <c r="R134" s="801"/>
    </row>
    <row r="135" spans="1:23">
      <c r="A135" s="902" t="s">
        <v>2601</v>
      </c>
      <c r="B135" s="902" t="s">
        <v>837</v>
      </c>
      <c r="C135" s="902" t="s">
        <v>1481</v>
      </c>
      <c r="D135" s="903" t="s">
        <v>2602</v>
      </c>
      <c r="E135" s="902" t="s">
        <v>108</v>
      </c>
      <c r="F135" s="902" t="s">
        <v>2603</v>
      </c>
      <c r="G135" s="1211">
        <v>490000</v>
      </c>
      <c r="H135" s="902" t="s">
        <v>112</v>
      </c>
      <c r="I135" s="905">
        <v>43150</v>
      </c>
      <c r="J135" s="905">
        <v>43159</v>
      </c>
      <c r="K135" s="902" t="s">
        <v>2676</v>
      </c>
      <c r="L135" s="1211">
        <v>479015</v>
      </c>
      <c r="M135" s="1211">
        <f>L135*1.21</f>
        <v>579608.15</v>
      </c>
      <c r="N135" s="905">
        <v>43195</v>
      </c>
      <c r="O135" s="905"/>
      <c r="P135" s="902" t="s">
        <v>239</v>
      </c>
      <c r="Q135" s="902" t="s">
        <v>239</v>
      </c>
      <c r="R135" s="801"/>
    </row>
    <row r="136" spans="1:23">
      <c r="A136" s="902" t="s">
        <v>2604</v>
      </c>
      <c r="B136" s="902" t="s">
        <v>1700</v>
      </c>
      <c r="C136" s="902" t="s">
        <v>1699</v>
      </c>
      <c r="D136" s="903" t="s">
        <v>2605</v>
      </c>
      <c r="E136" s="902" t="s">
        <v>2144</v>
      </c>
      <c r="F136" s="902" t="s">
        <v>2606</v>
      </c>
      <c r="G136" s="1211">
        <v>3998000</v>
      </c>
      <c r="H136" s="902" t="s">
        <v>251</v>
      </c>
      <c r="I136" s="905">
        <v>43230</v>
      </c>
      <c r="J136" s="905">
        <v>43297</v>
      </c>
      <c r="K136" s="902" t="s">
        <v>3059</v>
      </c>
      <c r="L136" s="1211">
        <v>3584980</v>
      </c>
      <c r="M136" s="1211">
        <f>L136*1.21</f>
        <v>4337825.8</v>
      </c>
      <c r="N136" s="905">
        <v>43360</v>
      </c>
      <c r="O136" s="905"/>
      <c r="P136" s="905">
        <v>43363</v>
      </c>
      <c r="Q136" s="905">
        <v>43461</v>
      </c>
      <c r="R136" s="996" t="s">
        <v>1875</v>
      </c>
    </row>
    <row r="137" spans="1:23">
      <c r="A137" s="902" t="s">
        <v>2611</v>
      </c>
      <c r="B137" s="902" t="s">
        <v>837</v>
      </c>
      <c r="C137" s="902" t="s">
        <v>1481</v>
      </c>
      <c r="D137" s="903" t="s">
        <v>2719</v>
      </c>
      <c r="E137" s="902" t="s">
        <v>158</v>
      </c>
      <c r="F137" s="902" t="s">
        <v>2722</v>
      </c>
      <c r="G137" s="1211">
        <v>826000</v>
      </c>
      <c r="H137" s="902" t="s">
        <v>112</v>
      </c>
      <c r="I137" s="905">
        <v>43157</v>
      </c>
      <c r="J137" s="905">
        <v>43168</v>
      </c>
      <c r="K137" s="902" t="s">
        <v>2726</v>
      </c>
      <c r="L137" s="1211">
        <v>498700</v>
      </c>
      <c r="M137" s="1211">
        <f>L137*1.21</f>
        <v>603427</v>
      </c>
      <c r="N137" s="905">
        <v>43214</v>
      </c>
      <c r="O137" s="905"/>
      <c r="P137" s="905">
        <v>43214</v>
      </c>
      <c r="Q137" s="905">
        <v>43290</v>
      </c>
      <c r="R137" s="801"/>
    </row>
    <row r="138" spans="1:23" s="1190" customFormat="1">
      <c r="A138" s="872" t="s">
        <v>2611</v>
      </c>
      <c r="B138" s="872" t="s">
        <v>837</v>
      </c>
      <c r="C138" s="872" t="s">
        <v>1481</v>
      </c>
      <c r="D138" s="873" t="s">
        <v>2720</v>
      </c>
      <c r="E138" s="872" t="s">
        <v>158</v>
      </c>
      <c r="F138" s="872" t="s">
        <v>2723</v>
      </c>
      <c r="G138" s="875">
        <v>37000</v>
      </c>
      <c r="H138" s="872" t="s">
        <v>112</v>
      </c>
      <c r="I138" s="874">
        <v>43157</v>
      </c>
      <c r="J138" s="874">
        <v>43168</v>
      </c>
      <c r="K138" s="876" t="s">
        <v>242</v>
      </c>
      <c r="L138" s="875"/>
      <c r="M138" s="875"/>
      <c r="N138" s="872"/>
      <c r="O138" s="872"/>
      <c r="P138" s="872" t="s">
        <v>239</v>
      </c>
      <c r="Q138" s="872"/>
      <c r="R138" s="801"/>
      <c r="S138" s="374"/>
      <c r="T138" s="374"/>
      <c r="U138" s="374"/>
      <c r="V138" s="374"/>
      <c r="W138" s="374"/>
    </row>
    <row r="139" spans="1:23" s="1190" customFormat="1">
      <c r="A139" s="902" t="s">
        <v>2611</v>
      </c>
      <c r="B139" s="902" t="s">
        <v>837</v>
      </c>
      <c r="C139" s="902" t="s">
        <v>1481</v>
      </c>
      <c r="D139" s="903" t="s">
        <v>2721</v>
      </c>
      <c r="E139" s="902" t="s">
        <v>158</v>
      </c>
      <c r="F139" s="1318" t="s">
        <v>3193</v>
      </c>
      <c r="G139" s="1211">
        <v>37000</v>
      </c>
      <c r="H139" s="902" t="s">
        <v>112</v>
      </c>
      <c r="I139" s="905">
        <v>43157</v>
      </c>
      <c r="J139" s="905">
        <v>43168</v>
      </c>
      <c r="K139" s="902" t="s">
        <v>2724</v>
      </c>
      <c r="L139" s="1211">
        <v>15817</v>
      </c>
      <c r="M139" s="1211">
        <f>L139*1.21</f>
        <v>19138.57</v>
      </c>
      <c r="N139" s="905">
        <v>43206</v>
      </c>
      <c r="O139" s="905"/>
      <c r="P139" s="905">
        <v>43207</v>
      </c>
      <c r="Q139" s="905">
        <v>43276</v>
      </c>
      <c r="R139" s="801"/>
      <c r="S139" s="374"/>
      <c r="T139" s="374"/>
      <c r="U139" s="374"/>
      <c r="V139" s="374"/>
      <c r="W139" s="374"/>
    </row>
    <row r="140" spans="1:23">
      <c r="A140" s="902" t="s">
        <v>2612</v>
      </c>
      <c r="B140" s="902" t="s">
        <v>1700</v>
      </c>
      <c r="C140" s="902" t="s">
        <v>1699</v>
      </c>
      <c r="D140" s="903" t="s">
        <v>2613</v>
      </c>
      <c r="E140" s="902" t="s">
        <v>2614</v>
      </c>
      <c r="F140" s="902" t="s">
        <v>2615</v>
      </c>
      <c r="G140" s="1211">
        <v>1118895</v>
      </c>
      <c r="H140" s="902" t="s">
        <v>251</v>
      </c>
      <c r="I140" s="905">
        <v>43238</v>
      </c>
      <c r="J140" s="905">
        <v>43278</v>
      </c>
      <c r="K140" s="902" t="s">
        <v>800</v>
      </c>
      <c r="L140" s="1211">
        <v>630492</v>
      </c>
      <c r="M140" s="1211">
        <f>L140*1.21</f>
        <v>762895.32</v>
      </c>
      <c r="N140" s="905">
        <v>43332</v>
      </c>
      <c r="O140" s="905"/>
      <c r="P140" s="905">
        <v>43339</v>
      </c>
      <c r="Q140" s="905">
        <v>43430</v>
      </c>
      <c r="R140" s="996" t="s">
        <v>1875</v>
      </c>
    </row>
    <row r="141" spans="1:23">
      <c r="A141" s="902" t="s">
        <v>2622</v>
      </c>
      <c r="B141" s="902" t="s">
        <v>1503</v>
      </c>
      <c r="C141" s="902" t="s">
        <v>918</v>
      </c>
      <c r="D141" s="903" t="s">
        <v>2623</v>
      </c>
      <c r="E141" s="902" t="s">
        <v>1518</v>
      </c>
      <c r="F141" s="902"/>
      <c r="G141" s="1211">
        <v>190000</v>
      </c>
      <c r="H141" s="902" t="s">
        <v>112</v>
      </c>
      <c r="I141" s="905">
        <v>43166</v>
      </c>
      <c r="J141" s="905">
        <v>43179</v>
      </c>
      <c r="K141" s="902" t="s">
        <v>2742</v>
      </c>
      <c r="L141" s="536" t="s">
        <v>2404</v>
      </c>
      <c r="M141" s="1211" t="s">
        <v>2404</v>
      </c>
      <c r="N141" s="905">
        <v>43208</v>
      </c>
      <c r="O141" s="905"/>
      <c r="P141" s="902" t="s">
        <v>239</v>
      </c>
      <c r="Q141" s="902" t="s">
        <v>239</v>
      </c>
      <c r="R141" s="801"/>
    </row>
    <row r="142" spans="1:23">
      <c r="A142" s="872" t="s">
        <v>2624</v>
      </c>
      <c r="B142" s="872" t="s">
        <v>1503</v>
      </c>
      <c r="C142" s="872" t="s">
        <v>918</v>
      </c>
      <c r="D142" s="873" t="s">
        <v>2625</v>
      </c>
      <c r="E142" s="872" t="s">
        <v>1518</v>
      </c>
      <c r="F142" s="872"/>
      <c r="G142" s="875">
        <v>370000</v>
      </c>
      <c r="H142" s="872" t="s">
        <v>112</v>
      </c>
      <c r="I142" s="874">
        <v>43171</v>
      </c>
      <c r="J142" s="874">
        <v>43181</v>
      </c>
      <c r="K142" s="876" t="s">
        <v>242</v>
      </c>
      <c r="L142" s="875"/>
      <c r="M142" s="875"/>
      <c r="N142" s="872"/>
      <c r="O142" s="872"/>
      <c r="P142" s="872" t="s">
        <v>239</v>
      </c>
      <c r="Q142" s="872"/>
      <c r="R142" s="801"/>
    </row>
    <row r="143" spans="1:23">
      <c r="A143" s="872" t="s">
        <v>2627</v>
      </c>
      <c r="B143" s="872" t="s">
        <v>166</v>
      </c>
      <c r="C143" s="872" t="s">
        <v>167</v>
      </c>
      <c r="D143" s="873" t="s">
        <v>2628</v>
      </c>
      <c r="E143" s="872" t="s">
        <v>2629</v>
      </c>
      <c r="F143" s="872"/>
      <c r="G143" s="875">
        <v>600000</v>
      </c>
      <c r="H143" s="872" t="s">
        <v>112</v>
      </c>
      <c r="I143" s="874">
        <v>43152</v>
      </c>
      <c r="J143" s="874">
        <v>43160</v>
      </c>
      <c r="K143" s="876" t="s">
        <v>242</v>
      </c>
      <c r="L143" s="875"/>
      <c r="M143" s="875"/>
      <c r="N143" s="872"/>
      <c r="O143" s="872"/>
      <c r="P143" s="874">
        <v>43161</v>
      </c>
      <c r="Q143" s="872"/>
      <c r="R143" s="801"/>
    </row>
    <row r="144" spans="1:23">
      <c r="A144" s="902" t="s">
        <v>2630</v>
      </c>
      <c r="B144" s="902" t="s">
        <v>166</v>
      </c>
      <c r="C144" s="902" t="s">
        <v>167</v>
      </c>
      <c r="D144" s="903" t="s">
        <v>2631</v>
      </c>
      <c r="E144" s="902" t="s">
        <v>2632</v>
      </c>
      <c r="F144" s="902"/>
      <c r="G144" s="1211">
        <v>290000</v>
      </c>
      <c r="H144" s="902" t="s">
        <v>112</v>
      </c>
      <c r="I144" s="905">
        <v>43152</v>
      </c>
      <c r="J144" s="905">
        <v>43160</v>
      </c>
      <c r="K144" s="902" t="s">
        <v>2677</v>
      </c>
      <c r="L144" s="1211">
        <v>249740.62</v>
      </c>
      <c r="M144" s="1211">
        <f>L144*1.21</f>
        <v>302186.15019999997</v>
      </c>
      <c r="N144" s="905">
        <v>43200</v>
      </c>
      <c r="O144" s="905"/>
      <c r="P144" s="902" t="s">
        <v>239</v>
      </c>
      <c r="Q144" s="902" t="s">
        <v>239</v>
      </c>
      <c r="R144" s="801"/>
    </row>
    <row r="145" spans="1:23" s="1190" customFormat="1">
      <c r="A145" s="913" t="s">
        <v>2633</v>
      </c>
      <c r="B145" s="913" t="s">
        <v>1700</v>
      </c>
      <c r="C145" s="913" t="s">
        <v>1699</v>
      </c>
      <c r="D145" s="914" t="s">
        <v>2394</v>
      </c>
      <c r="E145" s="913" t="s">
        <v>396</v>
      </c>
      <c r="F145" s="913" t="s">
        <v>2393</v>
      </c>
      <c r="G145" s="915">
        <v>1634460</v>
      </c>
      <c r="H145" s="913" t="s">
        <v>251</v>
      </c>
      <c r="I145" s="905">
        <v>43158</v>
      </c>
      <c r="J145" s="905">
        <v>43200</v>
      </c>
      <c r="K145" s="902" t="s">
        <v>1315</v>
      </c>
      <c r="L145" s="1211">
        <v>1725030</v>
      </c>
      <c r="M145" s="1211">
        <v>2087287.2</v>
      </c>
      <c r="N145" s="905">
        <v>43272</v>
      </c>
      <c r="O145" s="905"/>
      <c r="P145" s="905">
        <v>43273</v>
      </c>
      <c r="Q145" s="905">
        <v>43416</v>
      </c>
      <c r="R145" s="1208" t="s">
        <v>1875</v>
      </c>
      <c r="S145" s="374"/>
      <c r="T145" s="374"/>
      <c r="U145" s="374"/>
      <c r="V145" s="374"/>
      <c r="W145" s="374"/>
    </row>
    <row r="146" spans="1:23">
      <c r="A146" s="902" t="s">
        <v>2634</v>
      </c>
      <c r="B146" s="902" t="s">
        <v>1700</v>
      </c>
      <c r="C146" s="902" t="s">
        <v>1699</v>
      </c>
      <c r="D146" s="903" t="s">
        <v>2391</v>
      </c>
      <c r="E146" s="902" t="s">
        <v>1104</v>
      </c>
      <c r="F146" s="902" t="s">
        <v>2392</v>
      </c>
      <c r="G146" s="1211">
        <v>8010122</v>
      </c>
      <c r="H146" s="902" t="s">
        <v>251</v>
      </c>
      <c r="I146" s="905">
        <v>43158</v>
      </c>
      <c r="J146" s="905">
        <v>43201</v>
      </c>
      <c r="K146" s="902" t="s">
        <v>1315</v>
      </c>
      <c r="L146" s="1211">
        <v>9202080</v>
      </c>
      <c r="M146" s="1211">
        <v>11134518.199999999</v>
      </c>
      <c r="N146" s="905">
        <v>43272</v>
      </c>
      <c r="O146" s="905"/>
      <c r="P146" s="905">
        <v>43273</v>
      </c>
      <c r="Q146" s="905">
        <v>43796</v>
      </c>
      <c r="R146" s="1208" t="s">
        <v>1875</v>
      </c>
    </row>
    <row r="147" spans="1:23" s="1190" customFormat="1">
      <c r="A147" s="902" t="s">
        <v>2649</v>
      </c>
      <c r="B147" s="902" t="s">
        <v>1503</v>
      </c>
      <c r="C147" s="902" t="s">
        <v>918</v>
      </c>
      <c r="D147" s="903" t="s">
        <v>2667</v>
      </c>
      <c r="E147" s="902" t="s">
        <v>1244</v>
      </c>
      <c r="F147" s="902"/>
      <c r="G147" s="1211">
        <v>100000</v>
      </c>
      <c r="H147" s="902" t="s">
        <v>112</v>
      </c>
      <c r="I147" s="905">
        <v>43171</v>
      </c>
      <c r="J147" s="905">
        <v>43181</v>
      </c>
      <c r="K147" s="902" t="s">
        <v>2756</v>
      </c>
      <c r="L147" s="536" t="s">
        <v>2404</v>
      </c>
      <c r="M147" s="1211" t="s">
        <v>2404</v>
      </c>
      <c r="N147" s="905">
        <v>43220</v>
      </c>
      <c r="O147" s="905"/>
      <c r="P147" s="902" t="s">
        <v>239</v>
      </c>
      <c r="Q147" s="902" t="s">
        <v>239</v>
      </c>
      <c r="R147" s="1083"/>
      <c r="S147" s="374"/>
      <c r="T147" s="374"/>
      <c r="U147" s="374"/>
      <c r="V147" s="374"/>
      <c r="W147" s="374"/>
    </row>
    <row r="148" spans="1:23" s="1190" customFormat="1">
      <c r="A148" s="902" t="s">
        <v>2650</v>
      </c>
      <c r="B148" s="902" t="s">
        <v>1503</v>
      </c>
      <c r="C148" s="902" t="s">
        <v>918</v>
      </c>
      <c r="D148" s="903" t="s">
        <v>2668</v>
      </c>
      <c r="E148" s="902" t="s">
        <v>1244</v>
      </c>
      <c r="F148" s="902"/>
      <c r="G148" s="1211">
        <v>200000</v>
      </c>
      <c r="H148" s="902" t="s">
        <v>112</v>
      </c>
      <c r="I148" s="905">
        <v>43187</v>
      </c>
      <c r="J148" s="905">
        <v>43200</v>
      </c>
      <c r="K148" s="991" t="s">
        <v>342</v>
      </c>
      <c r="L148" s="536" t="s">
        <v>2404</v>
      </c>
      <c r="M148" s="1211" t="s">
        <v>2404</v>
      </c>
      <c r="N148" s="905">
        <v>43241</v>
      </c>
      <c r="O148" s="905"/>
      <c r="P148" s="902" t="s">
        <v>239</v>
      </c>
      <c r="Q148" s="902" t="s">
        <v>239</v>
      </c>
      <c r="R148" s="1083"/>
      <c r="S148" s="374"/>
      <c r="T148" s="374"/>
      <c r="U148" s="374"/>
      <c r="V148" s="374"/>
      <c r="W148" s="374"/>
    </row>
    <row r="149" spans="1:23">
      <c r="A149" s="991" t="s">
        <v>2636</v>
      </c>
      <c r="B149" s="991" t="s">
        <v>1700</v>
      </c>
      <c r="C149" s="991" t="s">
        <v>1699</v>
      </c>
      <c r="D149" s="567" t="s">
        <v>2480</v>
      </c>
      <c r="E149" s="991" t="s">
        <v>77</v>
      </c>
      <c r="F149" s="991" t="s">
        <v>2544</v>
      </c>
      <c r="G149" s="992">
        <v>2434830</v>
      </c>
      <c r="H149" s="991" t="s">
        <v>251</v>
      </c>
      <c r="I149" s="993">
        <v>43158</v>
      </c>
      <c r="J149" s="993">
        <v>43202</v>
      </c>
      <c r="K149" s="991" t="s">
        <v>342</v>
      </c>
      <c r="L149" s="992">
        <v>1671060</v>
      </c>
      <c r="M149" s="992">
        <v>2021982.6</v>
      </c>
      <c r="N149" s="993">
        <v>43280</v>
      </c>
      <c r="O149" s="993"/>
      <c r="P149" s="993">
        <v>43290</v>
      </c>
      <c r="Q149" s="993">
        <v>43374</v>
      </c>
      <c r="R149" s="1208" t="s">
        <v>1875</v>
      </c>
    </row>
    <row r="150" spans="1:23" ht="15.75" thickBot="1">
      <c r="A150" s="913" t="s">
        <v>2637</v>
      </c>
      <c r="B150" s="913" t="s">
        <v>1700</v>
      </c>
      <c r="C150" s="913" t="s">
        <v>1699</v>
      </c>
      <c r="D150" s="914" t="s">
        <v>2481</v>
      </c>
      <c r="E150" s="913" t="s">
        <v>2023</v>
      </c>
      <c r="F150" s="913" t="s">
        <v>2024</v>
      </c>
      <c r="G150" s="915">
        <v>6490962</v>
      </c>
      <c r="H150" s="913" t="s">
        <v>251</v>
      </c>
      <c r="I150" s="916">
        <v>43158</v>
      </c>
      <c r="J150" s="916">
        <v>43203</v>
      </c>
      <c r="K150" s="913" t="s">
        <v>2860</v>
      </c>
      <c r="L150" s="915">
        <v>4307570</v>
      </c>
      <c r="M150" s="915">
        <f t="shared" ref="M150:M161" si="2">L150*1.21</f>
        <v>5212159.7</v>
      </c>
      <c r="N150" s="916">
        <v>43266</v>
      </c>
      <c r="O150" s="916"/>
      <c r="P150" s="916">
        <v>43266</v>
      </c>
      <c r="Q150" s="916">
        <v>43374</v>
      </c>
      <c r="R150" s="977" t="s">
        <v>1875</v>
      </c>
    </row>
    <row r="151" spans="1:23" ht="15.75" thickTop="1">
      <c r="A151" s="989" t="s">
        <v>2638</v>
      </c>
      <c r="B151" s="985" t="s">
        <v>2434</v>
      </c>
      <c r="C151" s="985" t="s">
        <v>751</v>
      </c>
      <c r="D151" s="939" t="s">
        <v>2687</v>
      </c>
      <c r="E151" s="985" t="s">
        <v>2639</v>
      </c>
      <c r="F151" s="985"/>
      <c r="G151" s="1210">
        <v>1955000</v>
      </c>
      <c r="H151" s="985" t="s">
        <v>251</v>
      </c>
      <c r="I151" s="987">
        <v>43209</v>
      </c>
      <c r="J151" s="987">
        <v>43251</v>
      </c>
      <c r="K151" s="985" t="s">
        <v>2971</v>
      </c>
      <c r="L151" s="1210">
        <v>1955000</v>
      </c>
      <c r="M151" s="1210">
        <f t="shared" si="2"/>
        <v>2365550</v>
      </c>
      <c r="N151" s="987">
        <v>43454</v>
      </c>
      <c r="O151" s="987">
        <v>44001</v>
      </c>
      <c r="P151" s="987">
        <v>43483</v>
      </c>
      <c r="Q151" s="985" t="s">
        <v>4128</v>
      </c>
      <c r="R151" s="1088">
        <v>43929</v>
      </c>
      <c r="S151" s="1560">
        <v>44285</v>
      </c>
    </row>
    <row r="152" spans="1:23">
      <c r="A152" s="1014" t="s">
        <v>2638</v>
      </c>
      <c r="B152" s="902" t="s">
        <v>2434</v>
      </c>
      <c r="C152" s="902" t="s">
        <v>751</v>
      </c>
      <c r="D152" s="903" t="s">
        <v>2688</v>
      </c>
      <c r="E152" s="902" t="s">
        <v>2639</v>
      </c>
      <c r="F152" s="902"/>
      <c r="G152" s="1211">
        <v>214500</v>
      </c>
      <c r="H152" s="902" t="s">
        <v>251</v>
      </c>
      <c r="I152" s="905">
        <v>43209</v>
      </c>
      <c r="J152" s="905">
        <v>43251</v>
      </c>
      <c r="K152" s="902" t="s">
        <v>2971</v>
      </c>
      <c r="L152" s="1211">
        <v>214500</v>
      </c>
      <c r="M152" s="1211">
        <f t="shared" si="2"/>
        <v>259545</v>
      </c>
      <c r="N152" s="905">
        <v>43454</v>
      </c>
      <c r="O152" s="905">
        <v>44001</v>
      </c>
      <c r="P152" s="905">
        <v>43483</v>
      </c>
      <c r="Q152" s="902" t="s">
        <v>4128</v>
      </c>
      <c r="R152" s="1089">
        <v>43929</v>
      </c>
      <c r="S152" s="1560">
        <v>44285</v>
      </c>
    </row>
    <row r="153" spans="1:23">
      <c r="A153" s="1014" t="s">
        <v>2638</v>
      </c>
      <c r="B153" s="902" t="s">
        <v>2434</v>
      </c>
      <c r="C153" s="902" t="s">
        <v>751</v>
      </c>
      <c r="D153" s="903" t="s">
        <v>2689</v>
      </c>
      <c r="E153" s="902" t="s">
        <v>2639</v>
      </c>
      <c r="F153" s="902"/>
      <c r="G153" s="1211">
        <v>128700</v>
      </c>
      <c r="H153" s="902" t="s">
        <v>251</v>
      </c>
      <c r="I153" s="905">
        <v>43209</v>
      </c>
      <c r="J153" s="905">
        <v>43251</v>
      </c>
      <c r="K153" s="902" t="s">
        <v>2971</v>
      </c>
      <c r="L153" s="1211">
        <v>128700</v>
      </c>
      <c r="M153" s="1211">
        <f t="shared" si="2"/>
        <v>155727</v>
      </c>
      <c r="N153" s="905">
        <v>43454</v>
      </c>
      <c r="O153" s="905">
        <v>44001</v>
      </c>
      <c r="P153" s="905">
        <v>43483</v>
      </c>
      <c r="Q153" s="902" t="s">
        <v>4128</v>
      </c>
      <c r="R153" s="1089">
        <v>43929</v>
      </c>
      <c r="S153" s="1560">
        <v>44285</v>
      </c>
    </row>
    <row r="154" spans="1:23">
      <c r="A154" s="1014" t="s">
        <v>2638</v>
      </c>
      <c r="B154" s="902" t="s">
        <v>2434</v>
      </c>
      <c r="C154" s="902" t="s">
        <v>751</v>
      </c>
      <c r="D154" s="903" t="s">
        <v>2690</v>
      </c>
      <c r="E154" s="902" t="s">
        <v>2639</v>
      </c>
      <c r="F154" s="902"/>
      <c r="G154" s="1211">
        <v>3120000</v>
      </c>
      <c r="H154" s="902" t="s">
        <v>251</v>
      </c>
      <c r="I154" s="905">
        <v>43209</v>
      </c>
      <c r="J154" s="905">
        <v>43251</v>
      </c>
      <c r="K154" s="902" t="s">
        <v>2971</v>
      </c>
      <c r="L154" s="1211">
        <v>3120000</v>
      </c>
      <c r="M154" s="1211">
        <f t="shared" si="2"/>
        <v>3775200</v>
      </c>
      <c r="N154" s="905">
        <v>43454</v>
      </c>
      <c r="O154" s="905">
        <v>44001</v>
      </c>
      <c r="P154" s="905">
        <v>43483</v>
      </c>
      <c r="Q154" s="902" t="s">
        <v>4128</v>
      </c>
      <c r="R154" s="1089">
        <v>43929</v>
      </c>
      <c r="S154" s="1560">
        <v>44285</v>
      </c>
    </row>
    <row r="155" spans="1:23">
      <c r="A155" s="1014" t="s">
        <v>2638</v>
      </c>
      <c r="B155" s="902" t="s">
        <v>2434</v>
      </c>
      <c r="C155" s="902" t="s">
        <v>751</v>
      </c>
      <c r="D155" s="903" t="s">
        <v>2693</v>
      </c>
      <c r="E155" s="902" t="s">
        <v>2639</v>
      </c>
      <c r="F155" s="902"/>
      <c r="G155" s="1211">
        <v>890650</v>
      </c>
      <c r="H155" s="902" t="s">
        <v>251</v>
      </c>
      <c r="I155" s="905">
        <v>43209</v>
      </c>
      <c r="J155" s="905">
        <v>43251</v>
      </c>
      <c r="K155" s="902" t="s">
        <v>2971</v>
      </c>
      <c r="L155" s="1211">
        <v>890650</v>
      </c>
      <c r="M155" s="1211">
        <f t="shared" si="2"/>
        <v>1077686.5</v>
      </c>
      <c r="N155" s="905">
        <v>43454</v>
      </c>
      <c r="O155" s="905">
        <v>44001</v>
      </c>
      <c r="P155" s="905">
        <v>43483</v>
      </c>
      <c r="Q155" s="902" t="s">
        <v>4128</v>
      </c>
      <c r="R155" s="1089">
        <v>43929</v>
      </c>
      <c r="S155" s="1560" t="s">
        <v>8483</v>
      </c>
    </row>
    <row r="156" spans="1:23">
      <c r="A156" s="1014" t="s">
        <v>2638</v>
      </c>
      <c r="B156" s="902" t="s">
        <v>2434</v>
      </c>
      <c r="C156" s="902" t="s">
        <v>751</v>
      </c>
      <c r="D156" s="903" t="s">
        <v>2694</v>
      </c>
      <c r="E156" s="902" t="s">
        <v>2639</v>
      </c>
      <c r="F156" s="902"/>
      <c r="G156" s="1211">
        <v>2962500</v>
      </c>
      <c r="H156" s="902" t="s">
        <v>251</v>
      </c>
      <c r="I156" s="905">
        <v>43209</v>
      </c>
      <c r="J156" s="905">
        <v>43251</v>
      </c>
      <c r="K156" s="902" t="s">
        <v>2496</v>
      </c>
      <c r="L156" s="1211">
        <v>1274250</v>
      </c>
      <c r="M156" s="1211">
        <f t="shared" si="2"/>
        <v>1541842.5</v>
      </c>
      <c r="N156" s="905">
        <v>43454</v>
      </c>
      <c r="O156" s="905">
        <v>44001</v>
      </c>
      <c r="P156" s="905">
        <v>43483</v>
      </c>
      <c r="Q156" s="902" t="s">
        <v>4128</v>
      </c>
      <c r="R156" s="1089">
        <v>43929</v>
      </c>
      <c r="S156" s="1560">
        <v>44285</v>
      </c>
    </row>
    <row r="157" spans="1:23">
      <c r="A157" s="1014" t="s">
        <v>2638</v>
      </c>
      <c r="B157" s="902" t="s">
        <v>2434</v>
      </c>
      <c r="C157" s="902" t="s">
        <v>751</v>
      </c>
      <c r="D157" s="903" t="s">
        <v>2695</v>
      </c>
      <c r="E157" s="902" t="s">
        <v>2639</v>
      </c>
      <c r="F157" s="902"/>
      <c r="G157" s="1211">
        <v>4147500</v>
      </c>
      <c r="H157" s="902" t="s">
        <v>251</v>
      </c>
      <c r="I157" s="905">
        <v>43209</v>
      </c>
      <c r="J157" s="905">
        <v>43251</v>
      </c>
      <c r="K157" s="902" t="s">
        <v>2972</v>
      </c>
      <c r="L157" s="1211">
        <v>4147500</v>
      </c>
      <c r="M157" s="1211">
        <f t="shared" si="2"/>
        <v>5018475</v>
      </c>
      <c r="N157" s="905">
        <v>43454</v>
      </c>
      <c r="O157" s="905">
        <v>44001</v>
      </c>
      <c r="P157" s="905">
        <v>43483</v>
      </c>
      <c r="Q157" s="905">
        <v>43551</v>
      </c>
      <c r="R157" s="1089">
        <v>43929</v>
      </c>
      <c r="S157" s="355" t="s">
        <v>8483</v>
      </c>
    </row>
    <row r="158" spans="1:23">
      <c r="A158" s="1014" t="s">
        <v>2638</v>
      </c>
      <c r="B158" s="902" t="s">
        <v>2434</v>
      </c>
      <c r="C158" s="902" t="s">
        <v>751</v>
      </c>
      <c r="D158" s="903" t="s">
        <v>2696</v>
      </c>
      <c r="E158" s="902" t="s">
        <v>2639</v>
      </c>
      <c r="F158" s="902"/>
      <c r="G158" s="1211">
        <v>1209590</v>
      </c>
      <c r="H158" s="902" t="s">
        <v>251</v>
      </c>
      <c r="I158" s="905">
        <v>43209</v>
      </c>
      <c r="J158" s="905">
        <v>43251</v>
      </c>
      <c r="K158" s="902" t="s">
        <v>993</v>
      </c>
      <c r="L158" s="1211">
        <v>1209495</v>
      </c>
      <c r="M158" s="1211">
        <f t="shared" si="2"/>
        <v>1463488.95</v>
      </c>
      <c r="N158" s="905">
        <v>43454</v>
      </c>
      <c r="O158" s="905">
        <v>44001</v>
      </c>
      <c r="P158" s="905">
        <v>43483</v>
      </c>
      <c r="Q158" s="902" t="s">
        <v>4128</v>
      </c>
      <c r="R158" s="1089">
        <v>43929</v>
      </c>
      <c r="S158" s="1560">
        <v>44285</v>
      </c>
    </row>
    <row r="159" spans="1:23">
      <c r="A159" s="1014" t="s">
        <v>2638</v>
      </c>
      <c r="B159" s="902" t="s">
        <v>2434</v>
      </c>
      <c r="C159" s="902" t="s">
        <v>751</v>
      </c>
      <c r="D159" s="903" t="s">
        <v>2697</v>
      </c>
      <c r="E159" s="902" t="s">
        <v>2639</v>
      </c>
      <c r="F159" s="902"/>
      <c r="G159" s="1211">
        <v>2625000</v>
      </c>
      <c r="H159" s="902" t="s">
        <v>251</v>
      </c>
      <c r="I159" s="905">
        <v>43209</v>
      </c>
      <c r="J159" s="905">
        <v>43251</v>
      </c>
      <c r="K159" s="902" t="s">
        <v>2971</v>
      </c>
      <c r="L159" s="1211">
        <v>2625000</v>
      </c>
      <c r="M159" s="1211">
        <f t="shared" si="2"/>
        <v>3176250</v>
      </c>
      <c r="N159" s="905">
        <v>43454</v>
      </c>
      <c r="O159" s="905">
        <v>44001</v>
      </c>
      <c r="P159" s="905">
        <v>43483</v>
      </c>
      <c r="Q159" s="902" t="s">
        <v>4128</v>
      </c>
      <c r="R159" s="1089">
        <v>43929</v>
      </c>
      <c r="S159" s="1560">
        <v>44285</v>
      </c>
    </row>
    <row r="160" spans="1:23">
      <c r="A160" s="1014" t="s">
        <v>2638</v>
      </c>
      <c r="B160" s="902" t="s">
        <v>2434</v>
      </c>
      <c r="C160" s="902" t="s">
        <v>751</v>
      </c>
      <c r="D160" s="903" t="s">
        <v>2698</v>
      </c>
      <c r="E160" s="902" t="s">
        <v>2639</v>
      </c>
      <c r="F160" s="902"/>
      <c r="G160" s="1211">
        <v>656250</v>
      </c>
      <c r="H160" s="902" t="s">
        <v>251</v>
      </c>
      <c r="I160" s="905">
        <v>43209</v>
      </c>
      <c r="J160" s="905">
        <v>43251</v>
      </c>
      <c r="K160" s="902" t="s">
        <v>1433</v>
      </c>
      <c r="L160" s="1211">
        <v>472500</v>
      </c>
      <c r="M160" s="1211">
        <f t="shared" si="2"/>
        <v>571725</v>
      </c>
      <c r="N160" s="905">
        <v>43454</v>
      </c>
      <c r="O160" s="905">
        <v>44001</v>
      </c>
      <c r="P160" s="905">
        <v>43483</v>
      </c>
      <c r="Q160" s="902" t="s">
        <v>4128</v>
      </c>
      <c r="R160" s="1089">
        <v>43929</v>
      </c>
      <c r="S160" s="1560">
        <v>44285</v>
      </c>
    </row>
    <row r="161" spans="1:23">
      <c r="A161" s="1014" t="s">
        <v>2638</v>
      </c>
      <c r="B161" s="902" t="s">
        <v>2434</v>
      </c>
      <c r="C161" s="902" t="s">
        <v>751</v>
      </c>
      <c r="D161" s="903" t="s">
        <v>2700</v>
      </c>
      <c r="E161" s="902" t="s">
        <v>2639</v>
      </c>
      <c r="F161" s="902"/>
      <c r="G161" s="1211">
        <v>756000</v>
      </c>
      <c r="H161" s="902" t="s">
        <v>251</v>
      </c>
      <c r="I161" s="905">
        <v>43209</v>
      </c>
      <c r="J161" s="905">
        <v>43251</v>
      </c>
      <c r="K161" s="902" t="s">
        <v>2971</v>
      </c>
      <c r="L161" s="1211">
        <v>744000</v>
      </c>
      <c r="M161" s="1211">
        <f t="shared" si="2"/>
        <v>900240</v>
      </c>
      <c r="N161" s="905">
        <v>43454</v>
      </c>
      <c r="O161" s="905">
        <v>44001</v>
      </c>
      <c r="P161" s="905">
        <v>43483</v>
      </c>
      <c r="Q161" s="902" t="s">
        <v>4128</v>
      </c>
      <c r="R161" s="1089">
        <v>43929</v>
      </c>
      <c r="S161" s="355" t="s">
        <v>8483</v>
      </c>
    </row>
    <row r="162" spans="1:23">
      <c r="A162" s="1014" t="s">
        <v>2638</v>
      </c>
      <c r="B162" s="902" t="s">
        <v>2434</v>
      </c>
      <c r="C162" s="902" t="s">
        <v>751</v>
      </c>
      <c r="D162" s="903" t="s">
        <v>2701</v>
      </c>
      <c r="E162" s="902" t="s">
        <v>2639</v>
      </c>
      <c r="F162" s="902"/>
      <c r="G162" s="1211">
        <v>2001000</v>
      </c>
      <c r="H162" s="902" t="s">
        <v>251</v>
      </c>
      <c r="I162" s="905">
        <v>43209</v>
      </c>
      <c r="J162" s="905">
        <v>43251</v>
      </c>
      <c r="K162" s="902" t="s">
        <v>2974</v>
      </c>
      <c r="L162" s="1211">
        <v>1817000</v>
      </c>
      <c r="M162" s="1211">
        <v>2089550</v>
      </c>
      <c r="N162" s="905">
        <v>43454</v>
      </c>
      <c r="O162" s="905">
        <v>44001</v>
      </c>
      <c r="P162" s="905">
        <v>43483</v>
      </c>
      <c r="Q162" s="902" t="s">
        <v>4128</v>
      </c>
      <c r="R162" s="1089">
        <v>43929</v>
      </c>
      <c r="S162" s="1560">
        <v>44285</v>
      </c>
    </row>
    <row r="163" spans="1:23">
      <c r="A163" s="1014" t="s">
        <v>2638</v>
      </c>
      <c r="B163" s="902" t="s">
        <v>2434</v>
      </c>
      <c r="C163" s="902" t="s">
        <v>751</v>
      </c>
      <c r="D163" s="903" t="s">
        <v>2702</v>
      </c>
      <c r="E163" s="902" t="s">
        <v>2639</v>
      </c>
      <c r="F163" s="902"/>
      <c r="G163" s="1211">
        <v>585000</v>
      </c>
      <c r="H163" s="902" t="s">
        <v>251</v>
      </c>
      <c r="I163" s="905">
        <v>43209</v>
      </c>
      <c r="J163" s="905">
        <v>43251</v>
      </c>
      <c r="K163" s="902" t="s">
        <v>2973</v>
      </c>
      <c r="L163" s="1211">
        <v>561000</v>
      </c>
      <c r="M163" s="1211">
        <f>L163*1.15</f>
        <v>645150</v>
      </c>
      <c r="N163" s="905">
        <v>43454</v>
      </c>
      <c r="O163" s="905">
        <v>44001</v>
      </c>
      <c r="P163" s="905">
        <v>43483</v>
      </c>
      <c r="Q163" s="902" t="s">
        <v>4128</v>
      </c>
      <c r="R163" s="1089">
        <v>43929</v>
      </c>
      <c r="S163" s="1560">
        <v>44285</v>
      </c>
    </row>
    <row r="164" spans="1:23">
      <c r="A164" s="1014" t="s">
        <v>2638</v>
      </c>
      <c r="B164" s="902" t="s">
        <v>2434</v>
      </c>
      <c r="C164" s="902" t="s">
        <v>751</v>
      </c>
      <c r="D164" s="903" t="s">
        <v>2703</v>
      </c>
      <c r="E164" s="902" t="s">
        <v>2639</v>
      </c>
      <c r="F164" s="902"/>
      <c r="G164" s="1211">
        <v>12675000</v>
      </c>
      <c r="H164" s="902" t="s">
        <v>251</v>
      </c>
      <c r="I164" s="905">
        <v>43209</v>
      </c>
      <c r="J164" s="905">
        <v>43251</v>
      </c>
      <c r="K164" s="902" t="s">
        <v>2974</v>
      </c>
      <c r="L164" s="1211">
        <v>12675000</v>
      </c>
      <c r="M164" s="1211">
        <v>14576250</v>
      </c>
      <c r="N164" s="905">
        <v>43454</v>
      </c>
      <c r="O164" s="905">
        <v>44001</v>
      </c>
      <c r="P164" s="905">
        <v>43483</v>
      </c>
      <c r="Q164" s="902" t="s">
        <v>4128</v>
      </c>
      <c r="R164" s="1089">
        <v>43929</v>
      </c>
      <c r="S164" s="1560">
        <v>44285</v>
      </c>
    </row>
    <row r="165" spans="1:23">
      <c r="A165" s="1014" t="s">
        <v>2638</v>
      </c>
      <c r="B165" s="902" t="s">
        <v>2434</v>
      </c>
      <c r="C165" s="902" t="s">
        <v>751</v>
      </c>
      <c r="D165" s="903" t="s">
        <v>2705</v>
      </c>
      <c r="E165" s="902" t="s">
        <v>2639</v>
      </c>
      <c r="F165" s="902"/>
      <c r="G165" s="1211">
        <v>1680000</v>
      </c>
      <c r="H165" s="902" t="s">
        <v>251</v>
      </c>
      <c r="I165" s="905">
        <v>43209</v>
      </c>
      <c r="J165" s="905">
        <v>43251</v>
      </c>
      <c r="K165" s="902" t="s">
        <v>993</v>
      </c>
      <c r="L165" s="1211">
        <v>1680000</v>
      </c>
      <c r="M165" s="1211">
        <f>L165*1.15</f>
        <v>1931999.9999999998</v>
      </c>
      <c r="N165" s="905">
        <v>43454</v>
      </c>
      <c r="O165" s="905">
        <v>44001</v>
      </c>
      <c r="P165" s="905">
        <v>43483</v>
      </c>
      <c r="Q165" s="902" t="s">
        <v>4128</v>
      </c>
      <c r="R165" s="1089">
        <v>43929</v>
      </c>
      <c r="S165" s="355" t="s">
        <v>8483</v>
      </c>
    </row>
    <row r="166" spans="1:23">
      <c r="A166" s="1014" t="s">
        <v>2638</v>
      </c>
      <c r="B166" s="902" t="s">
        <v>2434</v>
      </c>
      <c r="C166" s="902" t="s">
        <v>751</v>
      </c>
      <c r="D166" s="903" t="s">
        <v>2706</v>
      </c>
      <c r="E166" s="902" t="s">
        <v>2639</v>
      </c>
      <c r="F166" s="902"/>
      <c r="G166" s="1211">
        <v>1950000</v>
      </c>
      <c r="H166" s="902" t="s">
        <v>251</v>
      </c>
      <c r="I166" s="905">
        <v>43209</v>
      </c>
      <c r="J166" s="905">
        <v>43251</v>
      </c>
      <c r="K166" s="902" t="s">
        <v>2973</v>
      </c>
      <c r="L166" s="1211">
        <v>1365000</v>
      </c>
      <c r="M166" s="1211">
        <f>L166*1.15</f>
        <v>1569749.9999999998</v>
      </c>
      <c r="N166" s="905">
        <v>43454</v>
      </c>
      <c r="O166" s="905">
        <v>44001</v>
      </c>
      <c r="P166" s="905">
        <v>43483</v>
      </c>
      <c r="Q166" s="902" t="s">
        <v>4128</v>
      </c>
      <c r="R166" s="1089">
        <v>43929</v>
      </c>
      <c r="S166" s="1560">
        <v>44285</v>
      </c>
    </row>
    <row r="167" spans="1:23">
      <c r="A167" s="1014" t="s">
        <v>2638</v>
      </c>
      <c r="B167" s="902" t="s">
        <v>2434</v>
      </c>
      <c r="C167" s="902" t="s">
        <v>751</v>
      </c>
      <c r="D167" s="903" t="s">
        <v>2707</v>
      </c>
      <c r="E167" s="902" t="s">
        <v>2639</v>
      </c>
      <c r="F167" s="902"/>
      <c r="G167" s="1211">
        <v>2114955</v>
      </c>
      <c r="H167" s="902" t="s">
        <v>251</v>
      </c>
      <c r="I167" s="905">
        <v>43209</v>
      </c>
      <c r="J167" s="905">
        <v>43251</v>
      </c>
      <c r="K167" s="902" t="s">
        <v>2974</v>
      </c>
      <c r="L167" s="1211">
        <v>1760850</v>
      </c>
      <c r="M167" s="1211">
        <f>L167*1.15</f>
        <v>2024977.4999999998</v>
      </c>
      <c r="N167" s="905">
        <v>43454</v>
      </c>
      <c r="O167" s="905">
        <v>44001</v>
      </c>
      <c r="P167" s="905">
        <v>43483</v>
      </c>
      <c r="Q167" s="902" t="s">
        <v>4128</v>
      </c>
      <c r="R167" s="1089">
        <v>43929</v>
      </c>
      <c r="S167" s="355" t="s">
        <v>8483</v>
      </c>
    </row>
    <row r="168" spans="1:23">
      <c r="A168" s="1098" t="s">
        <v>2638</v>
      </c>
      <c r="B168" s="869" t="s">
        <v>2434</v>
      </c>
      <c r="C168" s="869" t="s">
        <v>751</v>
      </c>
      <c r="D168" s="856" t="s">
        <v>2691</v>
      </c>
      <c r="E168" s="869" t="s">
        <v>2639</v>
      </c>
      <c r="F168" s="869"/>
      <c r="G168" s="1200">
        <v>1995000</v>
      </c>
      <c r="H168" s="869" t="s">
        <v>251</v>
      </c>
      <c r="I168" s="870">
        <v>43209</v>
      </c>
      <c r="J168" s="870">
        <v>43251</v>
      </c>
      <c r="K168" s="869" t="s">
        <v>2755</v>
      </c>
      <c r="L168" s="1200">
        <v>1974100</v>
      </c>
      <c r="M168" s="1200">
        <f>L168*1.21</f>
        <v>2388661</v>
      </c>
      <c r="N168" s="869"/>
      <c r="O168" s="869"/>
      <c r="P168" s="869"/>
      <c r="Q168" s="869"/>
      <c r="R168" s="1143"/>
    </row>
    <row r="169" spans="1:23">
      <c r="A169" s="1098" t="s">
        <v>2638</v>
      </c>
      <c r="B169" s="869" t="s">
        <v>2434</v>
      </c>
      <c r="C169" s="869" t="s">
        <v>751</v>
      </c>
      <c r="D169" s="856" t="s">
        <v>2692</v>
      </c>
      <c r="E169" s="869" t="s">
        <v>2639</v>
      </c>
      <c r="F169" s="869"/>
      <c r="G169" s="1200">
        <v>870000</v>
      </c>
      <c r="H169" s="869" t="s">
        <v>251</v>
      </c>
      <c r="I169" s="870">
        <v>43209</v>
      </c>
      <c r="J169" s="870">
        <v>43251</v>
      </c>
      <c r="K169" s="869" t="s">
        <v>2755</v>
      </c>
      <c r="L169" s="1200">
        <v>870000</v>
      </c>
      <c r="M169" s="1200">
        <f>L169*1.21</f>
        <v>1052700</v>
      </c>
      <c r="N169" s="869"/>
      <c r="O169" s="869"/>
      <c r="P169" s="869"/>
      <c r="Q169" s="869"/>
      <c r="R169" s="1143"/>
    </row>
    <row r="170" spans="1:23">
      <c r="A170" s="999" t="s">
        <v>2638</v>
      </c>
      <c r="B170" s="872" t="s">
        <v>2434</v>
      </c>
      <c r="C170" s="872" t="s">
        <v>751</v>
      </c>
      <c r="D170" s="873" t="s">
        <v>2699</v>
      </c>
      <c r="E170" s="872" t="s">
        <v>2639</v>
      </c>
      <c r="F170" s="872"/>
      <c r="G170" s="875">
        <v>2529750</v>
      </c>
      <c r="H170" s="872" t="s">
        <v>251</v>
      </c>
      <c r="I170" s="874">
        <v>43209</v>
      </c>
      <c r="J170" s="874">
        <v>43251</v>
      </c>
      <c r="K170" s="876" t="s">
        <v>242</v>
      </c>
      <c r="L170" s="875"/>
      <c r="M170" s="875"/>
      <c r="N170" s="872"/>
      <c r="O170" s="872"/>
      <c r="P170" s="874">
        <v>43243</v>
      </c>
      <c r="Q170" s="872"/>
      <c r="R170" s="1143"/>
    </row>
    <row r="171" spans="1:23" ht="15.75" thickBot="1">
      <c r="A171" s="1291" t="s">
        <v>2638</v>
      </c>
      <c r="B171" s="1292" t="s">
        <v>2434</v>
      </c>
      <c r="C171" s="1292" t="s">
        <v>751</v>
      </c>
      <c r="D171" s="1293" t="s">
        <v>2704</v>
      </c>
      <c r="E171" s="1292" t="s">
        <v>2639</v>
      </c>
      <c r="F171" s="1292"/>
      <c r="G171" s="1294">
        <v>11865750</v>
      </c>
      <c r="H171" s="1292" t="s">
        <v>251</v>
      </c>
      <c r="I171" s="1295">
        <v>43209</v>
      </c>
      <c r="J171" s="1295">
        <v>43251</v>
      </c>
      <c r="K171" s="1292" t="s">
        <v>2755</v>
      </c>
      <c r="L171" s="1294">
        <v>11856000</v>
      </c>
      <c r="M171" s="1294">
        <f>L171*1.15</f>
        <v>13634399.999999998</v>
      </c>
      <c r="N171" s="1292"/>
      <c r="O171" s="1292"/>
      <c r="P171" s="1292"/>
      <c r="Q171" s="1292"/>
      <c r="R171" s="1804"/>
    </row>
    <row r="172" spans="1:23" ht="15.75" thickTop="1">
      <c r="A172" s="991" t="s">
        <v>2640</v>
      </c>
      <c r="B172" s="991" t="s">
        <v>289</v>
      </c>
      <c r="C172" s="991" t="s">
        <v>291</v>
      </c>
      <c r="D172" s="567" t="s">
        <v>2642</v>
      </c>
      <c r="E172" s="991" t="s">
        <v>819</v>
      </c>
      <c r="F172" s="991"/>
      <c r="G172" s="992">
        <v>1200000</v>
      </c>
      <c r="H172" s="991" t="s">
        <v>112</v>
      </c>
      <c r="I172" s="993">
        <v>43171</v>
      </c>
      <c r="J172" s="993">
        <v>43181</v>
      </c>
      <c r="K172" s="991" t="s">
        <v>2757</v>
      </c>
      <c r="L172" s="992">
        <v>1200000</v>
      </c>
      <c r="M172" s="992">
        <f>L172*1.21</f>
        <v>1452000</v>
      </c>
      <c r="N172" s="993">
        <v>43227</v>
      </c>
      <c r="O172" s="993">
        <v>44687</v>
      </c>
      <c r="P172" s="993">
        <v>43227</v>
      </c>
      <c r="Q172" s="993">
        <v>44761</v>
      </c>
      <c r="R172" s="1076"/>
    </row>
    <row r="173" spans="1:23">
      <c r="A173" s="872" t="s">
        <v>2643</v>
      </c>
      <c r="B173" s="872" t="s">
        <v>2644</v>
      </c>
      <c r="C173" s="872" t="s">
        <v>2645</v>
      </c>
      <c r="D173" s="873" t="s">
        <v>2641</v>
      </c>
      <c r="E173" s="872" t="s">
        <v>2646</v>
      </c>
      <c r="F173" s="872"/>
      <c r="G173" s="875">
        <v>4600000</v>
      </c>
      <c r="H173" s="872" t="s">
        <v>251</v>
      </c>
      <c r="I173" s="874">
        <v>43209</v>
      </c>
      <c r="J173" s="874">
        <v>43250</v>
      </c>
      <c r="K173" s="876" t="s">
        <v>242</v>
      </c>
      <c r="L173" s="875"/>
      <c r="M173" s="875"/>
      <c r="N173" s="872"/>
      <c r="O173" s="872"/>
      <c r="P173" s="874">
        <v>43235</v>
      </c>
      <c r="Q173" s="872"/>
      <c r="R173" s="801"/>
    </row>
    <row r="174" spans="1:23" s="1190" customFormat="1">
      <c r="A174" s="902" t="s">
        <v>2789</v>
      </c>
      <c r="B174" s="902" t="s">
        <v>1450</v>
      </c>
      <c r="C174" s="902" t="s">
        <v>232</v>
      </c>
      <c r="D174" s="903" t="s">
        <v>2790</v>
      </c>
      <c r="E174" s="902" t="s">
        <v>2791</v>
      </c>
      <c r="F174" s="902"/>
      <c r="G174" s="1211">
        <v>450000</v>
      </c>
      <c r="H174" s="902" t="s">
        <v>112</v>
      </c>
      <c r="I174" s="905">
        <v>43201</v>
      </c>
      <c r="J174" s="905">
        <v>43208</v>
      </c>
      <c r="K174" s="902" t="s">
        <v>2837</v>
      </c>
      <c r="L174" s="1211">
        <v>81000</v>
      </c>
      <c r="M174" s="1211">
        <v>98010</v>
      </c>
      <c r="N174" s="905">
        <v>43277</v>
      </c>
      <c r="O174" s="905"/>
      <c r="P174" s="902" t="s">
        <v>239</v>
      </c>
      <c r="Q174" s="902" t="s">
        <v>239</v>
      </c>
      <c r="R174" s="801"/>
      <c r="S174" s="374"/>
      <c r="T174" s="360"/>
      <c r="U174" s="374"/>
      <c r="V174" s="374"/>
      <c r="W174" s="374"/>
    </row>
    <row r="175" spans="1:23">
      <c r="A175" s="902" t="s">
        <v>2647</v>
      </c>
      <c r="B175" s="902" t="s">
        <v>2434</v>
      </c>
      <c r="C175" s="902" t="s">
        <v>219</v>
      </c>
      <c r="D175" s="903" t="s">
        <v>2648</v>
      </c>
      <c r="E175" s="902" t="s">
        <v>642</v>
      </c>
      <c r="F175" s="902"/>
      <c r="G175" s="1211">
        <v>3031000</v>
      </c>
      <c r="H175" s="902" t="s">
        <v>216</v>
      </c>
      <c r="I175" s="905">
        <v>43161</v>
      </c>
      <c r="J175" s="905">
        <v>43186</v>
      </c>
      <c r="K175" s="902" t="s">
        <v>4063</v>
      </c>
      <c r="L175" s="1211">
        <v>1496348.19</v>
      </c>
      <c r="M175" s="1211">
        <v>1810581.31</v>
      </c>
      <c r="N175" s="905">
        <v>43313</v>
      </c>
      <c r="O175" s="905">
        <v>44408</v>
      </c>
      <c r="P175" s="905">
        <v>43315</v>
      </c>
      <c r="Q175" s="905">
        <v>43549</v>
      </c>
      <c r="R175" s="905">
        <v>43906</v>
      </c>
      <c r="S175" s="1560">
        <v>44446</v>
      </c>
      <c r="T175" s="360"/>
    </row>
    <row r="176" spans="1:23" ht="15.75" customHeight="1">
      <c r="A176" s="902" t="s">
        <v>2651</v>
      </c>
      <c r="B176" s="902" t="s">
        <v>1503</v>
      </c>
      <c r="C176" s="902" t="s">
        <v>918</v>
      </c>
      <c r="D176" s="903" t="s">
        <v>2652</v>
      </c>
      <c r="E176" s="902" t="s">
        <v>1244</v>
      </c>
      <c r="F176" s="902"/>
      <c r="G176" s="1211">
        <v>1000000</v>
      </c>
      <c r="H176" s="902" t="s">
        <v>112</v>
      </c>
      <c r="I176" s="905">
        <v>43187</v>
      </c>
      <c r="J176" s="905">
        <v>43200</v>
      </c>
      <c r="K176" s="902" t="s">
        <v>2780</v>
      </c>
      <c r="L176" s="536" t="s">
        <v>2404</v>
      </c>
      <c r="M176" s="1211" t="s">
        <v>2404</v>
      </c>
      <c r="N176" s="905">
        <v>43243</v>
      </c>
      <c r="O176" s="905" t="s">
        <v>2585</v>
      </c>
      <c r="P176" s="905">
        <v>43245</v>
      </c>
      <c r="Q176" s="905">
        <v>43551</v>
      </c>
      <c r="R176" s="905">
        <v>43913</v>
      </c>
      <c r="S176" s="355" t="s">
        <v>2609</v>
      </c>
      <c r="T176" s="2563">
        <v>44644</v>
      </c>
      <c r="U176" s="1991">
        <v>2022</v>
      </c>
      <c r="V176" s="388">
        <v>2023</v>
      </c>
    </row>
    <row r="177" spans="1:23">
      <c r="A177" s="902" t="s">
        <v>2653</v>
      </c>
      <c r="B177" s="902" t="s">
        <v>1503</v>
      </c>
      <c r="C177" s="902" t="s">
        <v>918</v>
      </c>
      <c r="D177" s="903" t="s">
        <v>2654</v>
      </c>
      <c r="E177" s="902" t="s">
        <v>1244</v>
      </c>
      <c r="F177" s="902"/>
      <c r="G177" s="1211">
        <v>1900000</v>
      </c>
      <c r="H177" s="902" t="s">
        <v>112</v>
      </c>
      <c r="I177" s="905">
        <v>43201</v>
      </c>
      <c r="J177" s="905">
        <v>43208</v>
      </c>
      <c r="K177" s="1251" t="s">
        <v>2794</v>
      </c>
      <c r="L177" s="536" t="s">
        <v>2404</v>
      </c>
      <c r="M177" s="1211" t="s">
        <v>2404</v>
      </c>
      <c r="N177" s="905">
        <v>43234</v>
      </c>
      <c r="O177" s="905" t="s">
        <v>2585</v>
      </c>
      <c r="P177" s="905">
        <v>43234</v>
      </c>
      <c r="Q177" s="905">
        <v>43551</v>
      </c>
      <c r="R177" s="905">
        <v>43913</v>
      </c>
      <c r="S177" s="1560">
        <v>44278</v>
      </c>
      <c r="T177" s="2563">
        <v>44644</v>
      </c>
      <c r="U177" s="1991">
        <v>2022</v>
      </c>
      <c r="V177" s="388">
        <v>2023</v>
      </c>
    </row>
    <row r="178" spans="1:23">
      <c r="A178" s="902" t="s">
        <v>2655</v>
      </c>
      <c r="B178" s="902" t="s">
        <v>1503</v>
      </c>
      <c r="C178" s="902" t="s">
        <v>918</v>
      </c>
      <c r="D178" s="903" t="s">
        <v>2831</v>
      </c>
      <c r="E178" s="902" t="s">
        <v>1244</v>
      </c>
      <c r="F178" s="902"/>
      <c r="G178" s="1211">
        <v>800000</v>
      </c>
      <c r="H178" s="902" t="s">
        <v>112</v>
      </c>
      <c r="I178" s="905">
        <v>43227</v>
      </c>
      <c r="J178" s="905">
        <v>43241</v>
      </c>
      <c r="K178" s="902" t="s">
        <v>1792</v>
      </c>
      <c r="L178" s="1211">
        <v>720000</v>
      </c>
      <c r="M178" s="1211">
        <f>L178*1.21</f>
        <v>871200</v>
      </c>
      <c r="N178" s="905">
        <v>43266</v>
      </c>
      <c r="O178" s="905" t="s">
        <v>4096</v>
      </c>
      <c r="P178" s="905">
        <v>43270</v>
      </c>
      <c r="Q178" s="905">
        <v>43553</v>
      </c>
      <c r="R178" s="905">
        <v>43913</v>
      </c>
      <c r="S178" s="355" t="s">
        <v>8483</v>
      </c>
      <c r="T178" s="2563">
        <v>44644</v>
      </c>
      <c r="U178" s="1991">
        <v>2022</v>
      </c>
      <c r="V178" s="388">
        <v>2023</v>
      </c>
    </row>
    <row r="179" spans="1:23" s="1190" customFormat="1">
      <c r="A179" s="902" t="s">
        <v>2655</v>
      </c>
      <c r="B179" s="902" t="s">
        <v>1503</v>
      </c>
      <c r="C179" s="902" t="s">
        <v>918</v>
      </c>
      <c r="D179" s="903" t="s">
        <v>2830</v>
      </c>
      <c r="E179" s="902" t="s">
        <v>1244</v>
      </c>
      <c r="F179" s="902"/>
      <c r="G179" s="1211">
        <v>500000</v>
      </c>
      <c r="H179" s="902" t="s">
        <v>112</v>
      </c>
      <c r="I179" s="905">
        <v>43227</v>
      </c>
      <c r="J179" s="905">
        <v>43241</v>
      </c>
      <c r="K179" s="902" t="s">
        <v>1792</v>
      </c>
      <c r="L179" s="1211" t="s">
        <v>2404</v>
      </c>
      <c r="M179" s="1211" t="s">
        <v>2404</v>
      </c>
      <c r="N179" s="905">
        <v>43290</v>
      </c>
      <c r="O179" s="905" t="s">
        <v>4096</v>
      </c>
      <c r="P179" s="905">
        <v>43291</v>
      </c>
      <c r="Q179" s="902" t="s">
        <v>4128</v>
      </c>
      <c r="R179" s="905">
        <v>43913</v>
      </c>
      <c r="S179" s="1560">
        <v>44278</v>
      </c>
      <c r="T179" s="2563">
        <v>44644</v>
      </c>
      <c r="U179" s="1991">
        <v>2022</v>
      </c>
      <c r="V179" s="388">
        <v>2023</v>
      </c>
      <c r="W179" s="374"/>
    </row>
    <row r="180" spans="1:23">
      <c r="A180" s="902" t="s">
        <v>2656</v>
      </c>
      <c r="B180" s="902" t="s">
        <v>1700</v>
      </c>
      <c r="C180" s="902" t="s">
        <v>1699</v>
      </c>
      <c r="D180" s="903" t="s">
        <v>2657</v>
      </c>
      <c r="E180" s="902" t="s">
        <v>2665</v>
      </c>
      <c r="F180" s="902" t="s">
        <v>2658</v>
      </c>
      <c r="G180" s="1211">
        <v>655390</v>
      </c>
      <c r="H180" s="902" t="s">
        <v>251</v>
      </c>
      <c r="I180" s="905">
        <v>43238</v>
      </c>
      <c r="J180" s="905">
        <v>43301</v>
      </c>
      <c r="K180" s="902" t="s">
        <v>2756</v>
      </c>
      <c r="L180" s="1211">
        <v>258500</v>
      </c>
      <c r="M180" s="1211">
        <v>312785</v>
      </c>
      <c r="N180" s="905">
        <v>43454</v>
      </c>
      <c r="O180" s="905"/>
      <c r="P180" s="905">
        <v>43462</v>
      </c>
      <c r="Q180" s="905">
        <v>43570</v>
      </c>
      <c r="R180" s="996" t="s">
        <v>1875</v>
      </c>
    </row>
    <row r="181" spans="1:23">
      <c r="A181" s="902" t="s">
        <v>2659</v>
      </c>
      <c r="B181" s="902" t="s">
        <v>1700</v>
      </c>
      <c r="C181" s="902" t="s">
        <v>1699</v>
      </c>
      <c r="D181" s="903" t="s">
        <v>2660</v>
      </c>
      <c r="E181" s="902" t="s">
        <v>2665</v>
      </c>
      <c r="F181" s="902" t="s">
        <v>2661</v>
      </c>
      <c r="G181" s="1211">
        <v>657020</v>
      </c>
      <c r="H181" s="902" t="s">
        <v>251</v>
      </c>
      <c r="I181" s="905">
        <v>43238</v>
      </c>
      <c r="J181" s="905">
        <v>43279</v>
      </c>
      <c r="K181" s="902" t="s">
        <v>3058</v>
      </c>
      <c r="L181" s="1211">
        <v>547878</v>
      </c>
      <c r="M181" s="1211">
        <v>662932.43999999994</v>
      </c>
      <c r="N181" s="905">
        <v>43332</v>
      </c>
      <c r="O181" s="905"/>
      <c r="P181" s="905">
        <v>43340</v>
      </c>
      <c r="Q181" s="905">
        <v>43451</v>
      </c>
      <c r="R181" s="996" t="s">
        <v>1875</v>
      </c>
    </row>
    <row r="182" spans="1:23">
      <c r="A182" s="902" t="s">
        <v>2662</v>
      </c>
      <c r="B182" s="902" t="s">
        <v>1700</v>
      </c>
      <c r="C182" s="902" t="s">
        <v>1699</v>
      </c>
      <c r="D182" s="903" t="s">
        <v>2663</v>
      </c>
      <c r="E182" s="902" t="s">
        <v>292</v>
      </c>
      <c r="F182" s="902" t="s">
        <v>2664</v>
      </c>
      <c r="G182" s="1211">
        <v>254330.57</v>
      </c>
      <c r="H182" s="902" t="s">
        <v>251</v>
      </c>
      <c r="I182" s="905">
        <v>43230</v>
      </c>
      <c r="J182" s="905">
        <v>43270</v>
      </c>
      <c r="K182" s="902" t="s">
        <v>3039</v>
      </c>
      <c r="L182" s="1211">
        <v>150740</v>
      </c>
      <c r="M182" s="1211">
        <v>182395.4</v>
      </c>
      <c r="N182" s="905">
        <v>43357</v>
      </c>
      <c r="O182" s="905"/>
      <c r="P182" s="905">
        <v>43375</v>
      </c>
      <c r="Q182" s="905">
        <v>43461</v>
      </c>
      <c r="R182" s="996" t="s">
        <v>1875</v>
      </c>
    </row>
    <row r="183" spans="1:23">
      <c r="A183" s="902" t="s">
        <v>2669</v>
      </c>
      <c r="B183" s="902" t="s">
        <v>1032</v>
      </c>
      <c r="C183" s="902" t="s">
        <v>361</v>
      </c>
      <c r="D183" s="903" t="s">
        <v>2670</v>
      </c>
      <c r="E183" s="902" t="s">
        <v>1816</v>
      </c>
      <c r="F183" s="902" t="s">
        <v>2671</v>
      </c>
      <c r="G183" s="1211">
        <v>300000</v>
      </c>
      <c r="H183" s="902" t="s">
        <v>112</v>
      </c>
      <c r="I183" s="905">
        <v>43166</v>
      </c>
      <c r="J183" s="905">
        <v>43179</v>
      </c>
      <c r="K183" s="902" t="s">
        <v>1859</v>
      </c>
      <c r="L183" s="1211">
        <v>306200</v>
      </c>
      <c r="M183" s="1211">
        <f>L183*1.21</f>
        <v>370502</v>
      </c>
      <c r="N183" s="905">
        <v>43215</v>
      </c>
      <c r="O183" s="905"/>
      <c r="P183" s="902" t="s">
        <v>239</v>
      </c>
      <c r="Q183" s="902" t="s">
        <v>239</v>
      </c>
      <c r="R183" s="801"/>
    </row>
    <row r="184" spans="1:23">
      <c r="A184" s="902" t="s">
        <v>2672</v>
      </c>
      <c r="B184" s="902" t="s">
        <v>1032</v>
      </c>
      <c r="C184" s="902" t="s">
        <v>361</v>
      </c>
      <c r="D184" s="903" t="s">
        <v>2673</v>
      </c>
      <c r="E184" s="902" t="s">
        <v>1049</v>
      </c>
      <c r="F184" s="902" t="s">
        <v>2674</v>
      </c>
      <c r="G184" s="1211">
        <v>2430000</v>
      </c>
      <c r="H184" s="902" t="s">
        <v>216</v>
      </c>
      <c r="I184" s="905">
        <v>43165</v>
      </c>
      <c r="J184" s="905">
        <v>43195</v>
      </c>
      <c r="K184" s="902" t="s">
        <v>1095</v>
      </c>
      <c r="L184" s="1211">
        <v>2070000</v>
      </c>
      <c r="M184" s="1211">
        <f>L184*1.21</f>
        <v>2504700</v>
      </c>
      <c r="N184" s="905">
        <v>43266</v>
      </c>
      <c r="O184" s="905"/>
      <c r="P184" s="905">
        <v>43276</v>
      </c>
      <c r="Q184" s="905">
        <v>44244</v>
      </c>
      <c r="R184" s="801"/>
    </row>
    <row r="185" spans="1:23">
      <c r="A185" s="902" t="s">
        <v>2681</v>
      </c>
      <c r="B185" s="902" t="s">
        <v>2111</v>
      </c>
      <c r="C185" s="902" t="s">
        <v>1215</v>
      </c>
      <c r="D185" s="903" t="s">
        <v>2682</v>
      </c>
      <c r="E185" s="902" t="s">
        <v>2113</v>
      </c>
      <c r="F185" s="902"/>
      <c r="G185" s="1211">
        <v>800000</v>
      </c>
      <c r="H185" s="902" t="s">
        <v>251</v>
      </c>
      <c r="I185" s="905">
        <v>43174</v>
      </c>
      <c r="J185" s="905">
        <v>43213</v>
      </c>
      <c r="K185" s="902" t="s">
        <v>1435</v>
      </c>
      <c r="L185" s="1211">
        <v>765034</v>
      </c>
      <c r="M185" s="1211">
        <v>925691.14</v>
      </c>
      <c r="N185" s="905">
        <v>43313</v>
      </c>
      <c r="O185" s="905"/>
      <c r="P185" s="905">
        <v>43319</v>
      </c>
      <c r="Q185" s="1127">
        <v>43500</v>
      </c>
      <c r="R185" s="801"/>
    </row>
    <row r="186" spans="1:23">
      <c r="A186" s="902" t="s">
        <v>2683</v>
      </c>
      <c r="B186" s="902" t="s">
        <v>58</v>
      </c>
      <c r="C186" s="902" t="s">
        <v>2684</v>
      </c>
      <c r="D186" s="903" t="s">
        <v>2685</v>
      </c>
      <c r="E186" s="902" t="s">
        <v>2060</v>
      </c>
      <c r="F186" s="902" t="s">
        <v>2686</v>
      </c>
      <c r="G186" s="1211">
        <v>400000</v>
      </c>
      <c r="H186" s="902" t="s">
        <v>112</v>
      </c>
      <c r="I186" s="905">
        <v>43175</v>
      </c>
      <c r="J186" s="905">
        <v>43187</v>
      </c>
      <c r="K186" s="902" t="s">
        <v>993</v>
      </c>
      <c r="L186" s="1211">
        <v>278792</v>
      </c>
      <c r="M186" s="1211">
        <f>L186*1.21</f>
        <v>337338.32</v>
      </c>
      <c r="N186" s="905">
        <v>43209</v>
      </c>
      <c r="O186" s="905"/>
      <c r="P186" s="902" t="s">
        <v>239</v>
      </c>
      <c r="Q186" s="902" t="s">
        <v>239</v>
      </c>
      <c r="R186" s="801"/>
    </row>
    <row r="187" spans="1:23">
      <c r="A187" s="1270" t="s">
        <v>2708</v>
      </c>
      <c r="B187" s="1270" t="s">
        <v>58</v>
      </c>
      <c r="C187" s="1270" t="s">
        <v>2684</v>
      </c>
      <c r="D187" s="860" t="s">
        <v>2709</v>
      </c>
      <c r="E187" s="1270" t="s">
        <v>269</v>
      </c>
      <c r="F187" s="1270" t="s">
        <v>2710</v>
      </c>
      <c r="G187" s="1271">
        <v>2844000</v>
      </c>
      <c r="H187" s="1270" t="s">
        <v>216</v>
      </c>
      <c r="I187" s="1249">
        <v>43172</v>
      </c>
      <c r="J187" s="1249">
        <v>43208</v>
      </c>
      <c r="K187" s="1272" t="s">
        <v>2825</v>
      </c>
      <c r="L187" s="1271"/>
      <c r="M187" s="1271"/>
      <c r="N187" s="1270"/>
      <c r="O187" s="1270"/>
      <c r="P187" s="1249">
        <v>43213</v>
      </c>
      <c r="Q187" s="1270"/>
      <c r="R187" s="801"/>
    </row>
    <row r="188" spans="1:23">
      <c r="A188" s="902" t="s">
        <v>2711</v>
      </c>
      <c r="B188" s="902" t="s">
        <v>2712</v>
      </c>
      <c r="C188" s="902" t="s">
        <v>417</v>
      </c>
      <c r="D188" s="903" t="s">
        <v>2713</v>
      </c>
      <c r="E188" s="902" t="s">
        <v>2714</v>
      </c>
      <c r="F188" s="902"/>
      <c r="G188" s="1211">
        <v>2479000</v>
      </c>
      <c r="H188" s="902" t="s">
        <v>216</v>
      </c>
      <c r="I188" s="905">
        <v>43172</v>
      </c>
      <c r="J188" s="905">
        <v>43200</v>
      </c>
      <c r="K188" s="902" t="s">
        <v>2775</v>
      </c>
      <c r="L188" s="536" t="s">
        <v>2404</v>
      </c>
      <c r="M188" s="1211" t="s">
        <v>2404</v>
      </c>
      <c r="N188" s="905">
        <v>43290</v>
      </c>
      <c r="O188" s="905"/>
      <c r="P188" s="905">
        <v>43291</v>
      </c>
      <c r="Q188" s="1127">
        <v>44242</v>
      </c>
      <c r="R188" s="801"/>
    </row>
    <row r="189" spans="1:23">
      <c r="A189" s="902" t="s">
        <v>2725</v>
      </c>
      <c r="B189" s="902" t="s">
        <v>166</v>
      </c>
      <c r="C189" s="902" t="s">
        <v>167</v>
      </c>
      <c r="D189" s="903" t="s">
        <v>2715</v>
      </c>
      <c r="E189" s="902" t="s">
        <v>2629</v>
      </c>
      <c r="F189" s="902"/>
      <c r="G189" s="1211">
        <v>600000</v>
      </c>
      <c r="H189" s="902" t="s">
        <v>112</v>
      </c>
      <c r="I189" s="905">
        <v>43181</v>
      </c>
      <c r="J189" s="905">
        <v>43194</v>
      </c>
      <c r="K189" s="902" t="s">
        <v>2762</v>
      </c>
      <c r="L189" s="1211">
        <v>644485</v>
      </c>
      <c r="M189" s="1211">
        <f>L189*1.21</f>
        <v>779826.85</v>
      </c>
      <c r="N189" s="905">
        <v>43243</v>
      </c>
      <c r="O189" s="905"/>
      <c r="P189" s="905">
        <v>43245</v>
      </c>
      <c r="Q189" s="905">
        <v>44244</v>
      </c>
      <c r="R189" s="801"/>
    </row>
    <row r="190" spans="1:23">
      <c r="A190" s="902" t="s">
        <v>2716</v>
      </c>
      <c r="B190" s="902" t="s">
        <v>1700</v>
      </c>
      <c r="C190" s="902" t="s">
        <v>1699</v>
      </c>
      <c r="D190" s="903" t="s">
        <v>2717</v>
      </c>
      <c r="E190" s="902" t="s">
        <v>2023</v>
      </c>
      <c r="F190" s="902" t="s">
        <v>2718</v>
      </c>
      <c r="G190" s="1211">
        <v>2632001.64</v>
      </c>
      <c r="H190" s="902" t="s">
        <v>251</v>
      </c>
      <c r="I190" s="905">
        <v>43217</v>
      </c>
      <c r="J190" s="905">
        <v>43291</v>
      </c>
      <c r="K190" s="902" t="s">
        <v>2860</v>
      </c>
      <c r="L190" s="1211">
        <v>1141230</v>
      </c>
      <c r="M190" s="1211">
        <f>L190*1.21</f>
        <v>1380888.3</v>
      </c>
      <c r="N190" s="905">
        <v>43364</v>
      </c>
      <c r="O190" s="905"/>
      <c r="P190" s="905">
        <v>43367</v>
      </c>
      <c r="Q190" s="905">
        <v>43461</v>
      </c>
      <c r="R190" s="996" t="s">
        <v>1875</v>
      </c>
    </row>
    <row r="191" spans="1:23">
      <c r="A191" s="902" t="s">
        <v>2727</v>
      </c>
      <c r="B191" s="902" t="s">
        <v>1032</v>
      </c>
      <c r="C191" s="902" t="s">
        <v>361</v>
      </c>
      <c r="D191" s="903" t="s">
        <v>2728</v>
      </c>
      <c r="E191" s="902" t="s">
        <v>2729</v>
      </c>
      <c r="F191" s="902"/>
      <c r="G191" s="1211">
        <v>1600000</v>
      </c>
      <c r="H191" s="902" t="s">
        <v>112</v>
      </c>
      <c r="I191" s="905">
        <v>43187</v>
      </c>
      <c r="J191" s="905">
        <v>43207</v>
      </c>
      <c r="K191" s="902" t="s">
        <v>3084</v>
      </c>
      <c r="L191" s="1211">
        <v>882699</v>
      </c>
      <c r="M191" s="1211">
        <f>L191*1.21</f>
        <v>1068065.79</v>
      </c>
      <c r="N191" s="905">
        <v>43241</v>
      </c>
      <c r="O191" s="905"/>
      <c r="P191" s="905">
        <v>43243</v>
      </c>
      <c r="Q191" s="905">
        <v>43556</v>
      </c>
      <c r="R191" s="905">
        <v>44637</v>
      </c>
    </row>
    <row r="192" spans="1:23">
      <c r="A192" s="902" t="s">
        <v>2730</v>
      </c>
      <c r="B192" s="902" t="s">
        <v>2712</v>
      </c>
      <c r="C192" s="902" t="s">
        <v>2731</v>
      </c>
      <c r="D192" s="903" t="s">
        <v>2732</v>
      </c>
      <c r="E192" s="902" t="s">
        <v>2733</v>
      </c>
      <c r="F192" s="902"/>
      <c r="G192" s="1211">
        <v>300000</v>
      </c>
      <c r="H192" s="902" t="s">
        <v>112</v>
      </c>
      <c r="I192" s="905">
        <v>43186</v>
      </c>
      <c r="J192" s="905">
        <v>43196</v>
      </c>
      <c r="K192" s="902" t="s">
        <v>2808</v>
      </c>
      <c r="L192" s="1211">
        <f>M192/1.21</f>
        <v>239669.42148760331</v>
      </c>
      <c r="M192" s="1211">
        <v>290000</v>
      </c>
      <c r="N192" s="905">
        <v>43241</v>
      </c>
      <c r="O192" s="905"/>
      <c r="P192" s="902" t="s">
        <v>239</v>
      </c>
      <c r="Q192" s="902" t="s">
        <v>239</v>
      </c>
      <c r="R192" s="801"/>
    </row>
    <row r="193" spans="1:23" ht="15.75" thickBot="1">
      <c r="A193" s="913" t="s">
        <v>2734</v>
      </c>
      <c r="B193" s="913" t="s">
        <v>14</v>
      </c>
      <c r="C193" s="913" t="s">
        <v>13</v>
      </c>
      <c r="D193" s="914" t="s">
        <v>2826</v>
      </c>
      <c r="E193" s="913" t="s">
        <v>2735</v>
      </c>
      <c r="F193" s="913" t="s">
        <v>762</v>
      </c>
      <c r="G193" s="915">
        <v>1598000</v>
      </c>
      <c r="H193" s="913" t="s">
        <v>112</v>
      </c>
      <c r="I193" s="916">
        <v>43215</v>
      </c>
      <c r="J193" s="916">
        <v>43223</v>
      </c>
      <c r="K193" s="1297" t="s">
        <v>2851</v>
      </c>
      <c r="L193" s="915">
        <v>1594260</v>
      </c>
      <c r="M193" s="915">
        <f>L193*1.21</f>
        <v>1929054.5999999999</v>
      </c>
      <c r="N193" s="916">
        <v>43241</v>
      </c>
      <c r="O193" s="916"/>
      <c r="P193" s="916">
        <v>43242</v>
      </c>
      <c r="Q193" s="916">
        <v>44244</v>
      </c>
      <c r="R193" s="801"/>
    </row>
    <row r="194" spans="1:23" ht="15.75" thickTop="1">
      <c r="A194" s="989" t="s">
        <v>2739</v>
      </c>
      <c r="B194" s="985" t="s">
        <v>2434</v>
      </c>
      <c r="C194" s="985" t="s">
        <v>751</v>
      </c>
      <c r="D194" s="939" t="s">
        <v>2796</v>
      </c>
      <c r="E194" s="985" t="s">
        <v>2740</v>
      </c>
      <c r="F194" s="985"/>
      <c r="G194" s="1210">
        <v>6500835</v>
      </c>
      <c r="H194" s="985" t="s">
        <v>251</v>
      </c>
      <c r="I194" s="987">
        <v>43215</v>
      </c>
      <c r="J194" s="987">
        <v>43265</v>
      </c>
      <c r="K194" s="991" t="s">
        <v>2776</v>
      </c>
      <c r="L194" s="1210">
        <v>6480000</v>
      </c>
      <c r="M194" s="1210">
        <v>7840000</v>
      </c>
      <c r="N194" s="987">
        <v>43332</v>
      </c>
      <c r="O194" s="987">
        <v>43880</v>
      </c>
      <c r="P194" s="987">
        <v>43340</v>
      </c>
      <c r="Q194" s="1088">
        <v>43551</v>
      </c>
      <c r="R194" s="1967">
        <v>43929</v>
      </c>
      <c r="S194" s="2170" t="s">
        <v>8483</v>
      </c>
    </row>
    <row r="195" spans="1:23">
      <c r="A195" s="1014" t="s">
        <v>2739</v>
      </c>
      <c r="B195" s="902" t="s">
        <v>2434</v>
      </c>
      <c r="C195" s="902" t="s">
        <v>751</v>
      </c>
      <c r="D195" s="903" t="s">
        <v>2797</v>
      </c>
      <c r="E195" s="902" t="s">
        <v>2740</v>
      </c>
      <c r="F195" s="902"/>
      <c r="G195" s="1211">
        <v>546000</v>
      </c>
      <c r="H195" s="902" t="s">
        <v>251</v>
      </c>
      <c r="I195" s="905">
        <v>43215</v>
      </c>
      <c r="J195" s="905">
        <v>43265</v>
      </c>
      <c r="K195" s="1251" t="s">
        <v>2776</v>
      </c>
      <c r="L195" s="1211">
        <v>545454.6</v>
      </c>
      <c r="M195" s="1211">
        <v>660000</v>
      </c>
      <c r="N195" s="905">
        <v>43332</v>
      </c>
      <c r="O195" s="905">
        <v>43880</v>
      </c>
      <c r="P195" s="905">
        <v>43340</v>
      </c>
      <c r="Q195" s="1089">
        <v>43551</v>
      </c>
      <c r="R195" s="1967">
        <v>43929</v>
      </c>
      <c r="S195" s="2170" t="s">
        <v>8483</v>
      </c>
    </row>
    <row r="196" spans="1:23" s="1190" customFormat="1" ht="15.75" thickBot="1">
      <c r="A196" s="1281" t="s">
        <v>2739</v>
      </c>
      <c r="B196" s="1282" t="s">
        <v>2434</v>
      </c>
      <c r="C196" s="1282" t="s">
        <v>751</v>
      </c>
      <c r="D196" s="1283" t="s">
        <v>2795</v>
      </c>
      <c r="E196" s="1282" t="s">
        <v>2740</v>
      </c>
      <c r="F196" s="1282"/>
      <c r="G196" s="1284">
        <v>3815694</v>
      </c>
      <c r="H196" s="1282" t="s">
        <v>251</v>
      </c>
      <c r="I196" s="1285">
        <v>43215</v>
      </c>
      <c r="J196" s="1285">
        <v>43265</v>
      </c>
      <c r="K196" s="1286" t="s">
        <v>304</v>
      </c>
      <c r="L196" s="1284"/>
      <c r="M196" s="1284"/>
      <c r="N196" s="1282"/>
      <c r="O196" s="1282"/>
      <c r="P196" s="1285">
        <v>43304</v>
      </c>
      <c r="Q196" s="1287"/>
      <c r="R196" s="1083"/>
      <c r="S196" s="374"/>
      <c r="T196" s="374"/>
      <c r="U196" s="374"/>
      <c r="V196" s="374"/>
      <c r="W196" s="374"/>
    </row>
    <row r="197" spans="1:23" ht="15.75" thickTop="1">
      <c r="A197" s="1056" t="s">
        <v>2743</v>
      </c>
      <c r="B197" s="1056" t="s">
        <v>1503</v>
      </c>
      <c r="C197" s="1056" t="s">
        <v>918</v>
      </c>
      <c r="D197" s="1057" t="s">
        <v>2744</v>
      </c>
      <c r="E197" s="1056" t="s">
        <v>1244</v>
      </c>
      <c r="F197" s="1056"/>
      <c r="G197" s="1058">
        <v>150000</v>
      </c>
      <c r="H197" s="1056" t="s">
        <v>112</v>
      </c>
      <c r="I197" s="1059">
        <v>43203</v>
      </c>
      <c r="J197" s="1059">
        <v>43215</v>
      </c>
      <c r="K197" s="1060" t="s">
        <v>304</v>
      </c>
      <c r="L197" s="1058"/>
      <c r="M197" s="1058"/>
      <c r="N197" s="1056"/>
      <c r="O197" s="1056"/>
      <c r="P197" s="1056" t="s">
        <v>239</v>
      </c>
      <c r="Q197" s="1056"/>
      <c r="R197" s="801"/>
    </row>
    <row r="198" spans="1:23">
      <c r="A198" s="902" t="s">
        <v>2745</v>
      </c>
      <c r="B198" s="902" t="s">
        <v>2434</v>
      </c>
      <c r="C198" s="902" t="s">
        <v>219</v>
      </c>
      <c r="D198" s="903" t="s">
        <v>2746</v>
      </c>
      <c r="E198" s="902" t="s">
        <v>2747</v>
      </c>
      <c r="F198" s="902"/>
      <c r="G198" s="1211">
        <v>700000</v>
      </c>
      <c r="H198" s="902" t="s">
        <v>112</v>
      </c>
      <c r="I198" s="905">
        <v>43206</v>
      </c>
      <c r="J198" s="905">
        <v>43216</v>
      </c>
      <c r="K198" s="902" t="s">
        <v>2836</v>
      </c>
      <c r="L198" s="1211">
        <v>348900</v>
      </c>
      <c r="M198" s="1211">
        <v>422169</v>
      </c>
      <c r="N198" s="905">
        <v>43290</v>
      </c>
      <c r="O198" s="905"/>
      <c r="P198" s="905">
        <v>43291</v>
      </c>
      <c r="Q198" s="905">
        <v>43552</v>
      </c>
      <c r="R198" s="801"/>
    </row>
    <row r="199" spans="1:23" ht="15.75" thickBot="1">
      <c r="A199" s="913" t="s">
        <v>2748</v>
      </c>
      <c r="B199" s="913" t="s">
        <v>166</v>
      </c>
      <c r="C199" s="913" t="s">
        <v>167</v>
      </c>
      <c r="D199" s="914" t="s">
        <v>2749</v>
      </c>
      <c r="E199" s="913" t="s">
        <v>33</v>
      </c>
      <c r="F199" s="913" t="s">
        <v>1957</v>
      </c>
      <c r="G199" s="915">
        <v>2800000</v>
      </c>
      <c r="H199" s="913" t="s">
        <v>112</v>
      </c>
      <c r="I199" s="916">
        <v>43193</v>
      </c>
      <c r="J199" s="916">
        <v>43202</v>
      </c>
      <c r="K199" s="913" t="s">
        <v>2032</v>
      </c>
      <c r="L199" s="915">
        <v>2798650.92</v>
      </c>
      <c r="M199" s="915">
        <f>L199*1.21</f>
        <v>3386367.6132</v>
      </c>
      <c r="N199" s="916">
        <v>43251</v>
      </c>
      <c r="O199" s="916"/>
      <c r="P199" s="916">
        <v>43252</v>
      </c>
      <c r="Q199" s="916">
        <v>43409</v>
      </c>
      <c r="R199" s="801"/>
    </row>
    <row r="200" spans="1:23" ht="15.75" thickTop="1">
      <c r="A200" s="989" t="s">
        <v>2750</v>
      </c>
      <c r="B200" s="985" t="s">
        <v>69</v>
      </c>
      <c r="C200" s="985" t="s">
        <v>70</v>
      </c>
      <c r="D200" s="939" t="s">
        <v>2873</v>
      </c>
      <c r="E200" s="985" t="s">
        <v>815</v>
      </c>
      <c r="F200" s="985"/>
      <c r="G200" s="1210">
        <v>2071524</v>
      </c>
      <c r="H200" s="985" t="s">
        <v>251</v>
      </c>
      <c r="I200" s="987">
        <v>43200</v>
      </c>
      <c r="J200" s="987">
        <v>43237</v>
      </c>
      <c r="K200" s="985" t="s">
        <v>576</v>
      </c>
      <c r="L200" s="1210">
        <v>2053268.8</v>
      </c>
      <c r="M200" s="1210">
        <v>2258595.6800000002</v>
      </c>
      <c r="N200" s="987">
        <v>43304</v>
      </c>
      <c r="O200" s="987">
        <v>44034</v>
      </c>
      <c r="P200" s="987">
        <v>43307</v>
      </c>
      <c r="Q200" s="1088">
        <v>43550</v>
      </c>
      <c r="R200" s="1500">
        <v>43914</v>
      </c>
      <c r="S200" s="1560">
        <v>44280</v>
      </c>
    </row>
    <row r="201" spans="1:23">
      <c r="A201" s="1014" t="s">
        <v>2750</v>
      </c>
      <c r="B201" s="902" t="s">
        <v>69</v>
      </c>
      <c r="C201" s="902" t="s">
        <v>70</v>
      </c>
      <c r="D201" s="903" t="s">
        <v>2874</v>
      </c>
      <c r="E201" s="902" t="s">
        <v>815</v>
      </c>
      <c r="F201" s="902"/>
      <c r="G201" s="1211">
        <v>1778497</v>
      </c>
      <c r="H201" s="902" t="s">
        <v>251</v>
      </c>
      <c r="I201" s="905">
        <v>43200</v>
      </c>
      <c r="J201" s="905">
        <v>43237</v>
      </c>
      <c r="K201" s="902" t="s">
        <v>576</v>
      </c>
      <c r="L201" s="1211">
        <v>1774950.3</v>
      </c>
      <c r="M201" s="1211">
        <v>1952445.33</v>
      </c>
      <c r="N201" s="905">
        <v>43304</v>
      </c>
      <c r="O201" s="905">
        <v>44034</v>
      </c>
      <c r="P201" s="905">
        <v>43307</v>
      </c>
      <c r="Q201" s="1089">
        <v>43550</v>
      </c>
      <c r="R201" s="1500">
        <v>43914</v>
      </c>
      <c r="S201" s="1560">
        <v>44280</v>
      </c>
    </row>
    <row r="202" spans="1:23" ht="15.75" thickBot="1">
      <c r="A202" s="1281" t="s">
        <v>2750</v>
      </c>
      <c r="B202" s="1282" t="s">
        <v>69</v>
      </c>
      <c r="C202" s="1282" t="s">
        <v>70</v>
      </c>
      <c r="D202" s="1283" t="s">
        <v>2875</v>
      </c>
      <c r="E202" s="1282" t="s">
        <v>815</v>
      </c>
      <c r="F202" s="1282"/>
      <c r="G202" s="1284">
        <v>6969600</v>
      </c>
      <c r="H202" s="1282" t="s">
        <v>251</v>
      </c>
      <c r="I202" s="1285">
        <v>43200</v>
      </c>
      <c r="J202" s="1285">
        <v>43237</v>
      </c>
      <c r="K202" s="1286" t="s">
        <v>2192</v>
      </c>
      <c r="L202" s="1284"/>
      <c r="M202" s="1284"/>
      <c r="N202" s="1282"/>
      <c r="O202" s="1282"/>
      <c r="P202" s="1285">
        <v>43272</v>
      </c>
      <c r="Q202" s="1287"/>
      <c r="R202" s="1083">
        <v>24</v>
      </c>
    </row>
    <row r="203" spans="1:23" ht="15.75" thickTop="1">
      <c r="A203" s="991" t="s">
        <v>2751</v>
      </c>
      <c r="B203" s="991" t="s">
        <v>58</v>
      </c>
      <c r="C203" s="991" t="s">
        <v>2684</v>
      </c>
      <c r="D203" s="567" t="s">
        <v>2752</v>
      </c>
      <c r="E203" s="991" t="s">
        <v>2060</v>
      </c>
      <c r="F203" s="991" t="s">
        <v>2758</v>
      </c>
      <c r="G203" s="992">
        <v>2650000</v>
      </c>
      <c r="H203" s="991" t="s">
        <v>216</v>
      </c>
      <c r="I203" s="993">
        <v>43208</v>
      </c>
      <c r="J203" s="993">
        <v>43229</v>
      </c>
      <c r="K203" s="991" t="s">
        <v>2859</v>
      </c>
      <c r="L203" s="992">
        <v>2743840</v>
      </c>
      <c r="M203" s="992">
        <v>3320046.4</v>
      </c>
      <c r="N203" s="993">
        <v>43307</v>
      </c>
      <c r="O203" s="993"/>
      <c r="P203" s="993">
        <v>43308</v>
      </c>
      <c r="Q203" s="993">
        <v>43416</v>
      </c>
      <c r="R203" s="996" t="s">
        <v>1875</v>
      </c>
      <c r="S203" s="796"/>
      <c r="T203" s="796"/>
      <c r="U203" s="796"/>
    </row>
    <row r="204" spans="1:23">
      <c r="A204" s="902" t="s">
        <v>2759</v>
      </c>
      <c r="B204" s="902" t="s">
        <v>1032</v>
      </c>
      <c r="C204" s="902" t="s">
        <v>361</v>
      </c>
      <c r="D204" s="903" t="s">
        <v>2760</v>
      </c>
      <c r="E204" s="902" t="s">
        <v>2761</v>
      </c>
      <c r="F204" s="902"/>
      <c r="G204" s="1211">
        <v>2670000</v>
      </c>
      <c r="H204" s="902" t="s">
        <v>216</v>
      </c>
      <c r="I204" s="905">
        <v>43200</v>
      </c>
      <c r="J204" s="905">
        <v>43215</v>
      </c>
      <c r="K204" s="902" t="s">
        <v>438</v>
      </c>
      <c r="L204" s="1211">
        <v>2587249</v>
      </c>
      <c r="M204" s="1211">
        <v>3130571.29</v>
      </c>
      <c r="N204" s="905">
        <v>43306</v>
      </c>
      <c r="O204" s="905"/>
      <c r="P204" s="905">
        <v>43306</v>
      </c>
      <c r="Q204" s="905">
        <v>43388</v>
      </c>
      <c r="R204" s="801"/>
    </row>
    <row r="205" spans="1:23">
      <c r="A205" s="902" t="s">
        <v>2769</v>
      </c>
      <c r="B205" s="902" t="s">
        <v>58</v>
      </c>
      <c r="C205" s="902" t="s">
        <v>2684</v>
      </c>
      <c r="D205" s="903" t="s">
        <v>2768</v>
      </c>
      <c r="E205" s="902" t="s">
        <v>782</v>
      </c>
      <c r="F205" s="902" t="s">
        <v>2763</v>
      </c>
      <c r="G205" s="1211">
        <v>305000</v>
      </c>
      <c r="H205" s="902" t="s">
        <v>112</v>
      </c>
      <c r="I205" s="905">
        <v>43297</v>
      </c>
      <c r="J205" s="905">
        <v>43308</v>
      </c>
      <c r="K205" s="902" t="s">
        <v>3183</v>
      </c>
      <c r="L205" s="1211">
        <v>273350</v>
      </c>
      <c r="M205" s="1211">
        <f>L205*1.21</f>
        <v>330753.5</v>
      </c>
      <c r="N205" s="905">
        <v>43377</v>
      </c>
      <c r="O205" s="905"/>
      <c r="P205" s="902" t="s">
        <v>239</v>
      </c>
      <c r="Q205" s="902" t="s">
        <v>239</v>
      </c>
      <c r="R205" s="801"/>
    </row>
    <row r="206" spans="1:23">
      <c r="A206" s="902" t="s">
        <v>2770</v>
      </c>
      <c r="B206" s="902" t="s">
        <v>58</v>
      </c>
      <c r="C206" s="902" t="s">
        <v>55</v>
      </c>
      <c r="D206" s="903" t="s">
        <v>2771</v>
      </c>
      <c r="E206" s="902" t="s">
        <v>525</v>
      </c>
      <c r="F206" s="902"/>
      <c r="G206" s="1211">
        <v>275000</v>
      </c>
      <c r="H206" s="902" t="s">
        <v>112</v>
      </c>
      <c r="I206" s="905">
        <v>43206</v>
      </c>
      <c r="J206" s="905">
        <v>43220</v>
      </c>
      <c r="K206" s="902" t="s">
        <v>2497</v>
      </c>
      <c r="L206" s="1211">
        <v>180500</v>
      </c>
      <c r="M206" s="1211">
        <f>L206*1.21</f>
        <v>218405</v>
      </c>
      <c r="N206" s="905">
        <v>43290</v>
      </c>
      <c r="O206" s="905"/>
      <c r="P206" s="902" t="s">
        <v>239</v>
      </c>
      <c r="Q206" s="902" t="s">
        <v>239</v>
      </c>
      <c r="R206" s="801"/>
    </row>
    <row r="207" spans="1:23">
      <c r="A207" s="902" t="s">
        <v>2772</v>
      </c>
      <c r="B207" s="902" t="s">
        <v>837</v>
      </c>
      <c r="C207" s="902" t="s">
        <v>1682</v>
      </c>
      <c r="D207" s="903" t="s">
        <v>2773</v>
      </c>
      <c r="E207" s="902" t="s">
        <v>158</v>
      </c>
      <c r="F207" s="902" t="s">
        <v>2723</v>
      </c>
      <c r="G207" s="1211">
        <v>37000</v>
      </c>
      <c r="H207" s="902" t="s">
        <v>112</v>
      </c>
      <c r="I207" s="905">
        <v>43207</v>
      </c>
      <c r="J207" s="905">
        <v>43217</v>
      </c>
      <c r="K207" s="902" t="s">
        <v>2724</v>
      </c>
      <c r="L207" s="1211">
        <v>17968</v>
      </c>
      <c r="M207" s="1211">
        <f>L207*1.21</f>
        <v>21741.279999999999</v>
      </c>
      <c r="N207" s="905">
        <v>43248</v>
      </c>
      <c r="O207" s="905"/>
      <c r="P207" s="902" t="s">
        <v>239</v>
      </c>
      <c r="Q207" s="902" t="s">
        <v>239</v>
      </c>
      <c r="R207" s="801"/>
    </row>
    <row r="208" spans="1:23">
      <c r="A208" s="902" t="s">
        <v>2778</v>
      </c>
      <c r="B208" s="902" t="s">
        <v>2434</v>
      </c>
      <c r="C208" s="902" t="s">
        <v>219</v>
      </c>
      <c r="D208" s="903" t="s">
        <v>2779</v>
      </c>
      <c r="E208" s="902"/>
      <c r="F208" s="902"/>
      <c r="G208" s="1211">
        <v>8000000</v>
      </c>
      <c r="H208" s="902" t="s">
        <v>251</v>
      </c>
      <c r="I208" s="905">
        <v>43209</v>
      </c>
      <c r="J208" s="905">
        <v>43262</v>
      </c>
      <c r="K208" s="902" t="s">
        <v>1792</v>
      </c>
      <c r="L208" s="1211">
        <v>8408000</v>
      </c>
      <c r="M208" s="1211">
        <v>10173680</v>
      </c>
      <c r="N208" s="905">
        <v>43304</v>
      </c>
      <c r="O208" s="905" t="s">
        <v>4096</v>
      </c>
      <c r="P208" s="905">
        <v>43307</v>
      </c>
      <c r="Q208" s="905">
        <v>43553</v>
      </c>
      <c r="R208" s="905">
        <v>43920</v>
      </c>
      <c r="S208" s="537">
        <v>44285</v>
      </c>
      <c r="T208" s="537">
        <v>44637</v>
      </c>
      <c r="U208" s="1374">
        <v>2022</v>
      </c>
      <c r="V208" s="388" t="s">
        <v>4129</v>
      </c>
    </row>
    <row r="209" spans="1:22">
      <c r="A209" s="902" t="s">
        <v>2781</v>
      </c>
      <c r="B209" s="902" t="s">
        <v>1450</v>
      </c>
      <c r="C209" s="902" t="s">
        <v>232</v>
      </c>
      <c r="D209" s="903" t="s">
        <v>2782</v>
      </c>
      <c r="E209" s="902" t="s">
        <v>2791</v>
      </c>
      <c r="F209" s="902"/>
      <c r="G209" s="1211">
        <v>300000</v>
      </c>
      <c r="H209" s="902" t="s">
        <v>112</v>
      </c>
      <c r="I209" s="905">
        <v>43214</v>
      </c>
      <c r="J209" s="905">
        <v>43222</v>
      </c>
      <c r="K209" s="902" t="s">
        <v>2885</v>
      </c>
      <c r="L209" s="1211">
        <v>225000</v>
      </c>
      <c r="M209" s="1211">
        <f>L209*1.21</f>
        <v>272250</v>
      </c>
      <c r="N209" s="905">
        <v>43339</v>
      </c>
      <c r="O209" s="905"/>
      <c r="P209" s="902" t="s">
        <v>239</v>
      </c>
      <c r="Q209" s="902" t="s">
        <v>239</v>
      </c>
      <c r="R209" s="801"/>
    </row>
    <row r="210" spans="1:22">
      <c r="A210" s="902" t="s">
        <v>2783</v>
      </c>
      <c r="B210" s="902" t="s">
        <v>702</v>
      </c>
      <c r="C210" s="902" t="s">
        <v>751</v>
      </c>
      <c r="D210" s="903" t="s">
        <v>2807</v>
      </c>
      <c r="E210" s="902" t="s">
        <v>2947</v>
      </c>
      <c r="F210" s="902"/>
      <c r="G210" s="1211">
        <v>485000</v>
      </c>
      <c r="H210" s="902" t="s">
        <v>112</v>
      </c>
      <c r="I210" s="905">
        <v>43209</v>
      </c>
      <c r="J210" s="905">
        <v>43216</v>
      </c>
      <c r="K210" s="902" t="s">
        <v>2835</v>
      </c>
      <c r="L210" s="1211">
        <v>485000</v>
      </c>
      <c r="M210" s="1211">
        <f>L210*1.21</f>
        <v>586850</v>
      </c>
      <c r="N210" s="905">
        <v>43245</v>
      </c>
      <c r="O210" s="905"/>
      <c r="P210" s="902" t="s">
        <v>239</v>
      </c>
      <c r="Q210" s="902" t="s">
        <v>239</v>
      </c>
      <c r="R210" s="801"/>
    </row>
    <row r="211" spans="1:22">
      <c r="A211" s="902" t="s">
        <v>2784</v>
      </c>
      <c r="B211" s="902" t="s">
        <v>1700</v>
      </c>
      <c r="C211" s="902" t="s">
        <v>1699</v>
      </c>
      <c r="D211" s="903" t="s">
        <v>2785</v>
      </c>
      <c r="E211" s="902" t="s">
        <v>899</v>
      </c>
      <c r="F211" s="902" t="s">
        <v>2786</v>
      </c>
      <c r="G211" s="1211">
        <v>200002.48</v>
      </c>
      <c r="H211" s="902" t="s">
        <v>251</v>
      </c>
      <c r="I211" s="905">
        <v>43230</v>
      </c>
      <c r="J211" s="905">
        <v>43271</v>
      </c>
      <c r="K211" s="902" t="s">
        <v>1564</v>
      </c>
      <c r="L211" s="1211">
        <v>186320</v>
      </c>
      <c r="M211" s="1211">
        <f>L211*1.21</f>
        <v>225447.19999999998</v>
      </c>
      <c r="N211" s="905">
        <v>43357</v>
      </c>
      <c r="O211" s="905"/>
      <c r="P211" s="905">
        <v>43363</v>
      </c>
      <c r="Q211" s="905">
        <v>43444</v>
      </c>
      <c r="R211" s="996" t="s">
        <v>1875</v>
      </c>
      <c r="T211" s="796"/>
      <c r="U211" s="796"/>
    </row>
    <row r="212" spans="1:22" ht="15.75" thickBot="1">
      <c r="A212" s="913" t="s">
        <v>2787</v>
      </c>
      <c r="B212" s="913" t="s">
        <v>1700</v>
      </c>
      <c r="C212" s="913" t="s">
        <v>1699</v>
      </c>
      <c r="D212" s="914" t="s">
        <v>2788</v>
      </c>
      <c r="E212" s="913" t="s">
        <v>2665</v>
      </c>
      <c r="F212" s="913" t="s">
        <v>2661</v>
      </c>
      <c r="G212" s="915">
        <v>2161200</v>
      </c>
      <c r="H212" s="913" t="s">
        <v>251</v>
      </c>
      <c r="I212" s="916">
        <v>43238</v>
      </c>
      <c r="J212" s="916">
        <v>43277</v>
      </c>
      <c r="K212" s="913" t="s">
        <v>3059</v>
      </c>
      <c r="L212" s="915">
        <v>2369799.98</v>
      </c>
      <c r="M212" s="915">
        <v>2867457.98</v>
      </c>
      <c r="N212" s="916">
        <v>43332</v>
      </c>
      <c r="O212" s="916"/>
      <c r="P212" s="916">
        <v>43339</v>
      </c>
      <c r="Q212" s="916">
        <v>43409</v>
      </c>
      <c r="R212" s="996" t="s">
        <v>1875</v>
      </c>
    </row>
    <row r="213" spans="1:22" ht="15.75" thickTop="1">
      <c r="A213" s="1091" t="s">
        <v>2798</v>
      </c>
      <c r="B213" s="1092" t="s">
        <v>2434</v>
      </c>
      <c r="C213" s="1092" t="s">
        <v>751</v>
      </c>
      <c r="D213" s="1093" t="s">
        <v>2799</v>
      </c>
      <c r="E213" s="1092" t="s">
        <v>2800</v>
      </c>
      <c r="F213" s="1092"/>
      <c r="G213" s="1199">
        <v>17610000</v>
      </c>
      <c r="H213" s="1092" t="s">
        <v>251</v>
      </c>
      <c r="I213" s="1095">
        <v>43259</v>
      </c>
      <c r="J213" s="1095">
        <v>43313</v>
      </c>
      <c r="K213" s="1092" t="s">
        <v>3175</v>
      </c>
      <c r="L213" s="1199">
        <v>13797684.699999999</v>
      </c>
      <c r="M213" s="1199">
        <v>15867337.449999999</v>
      </c>
      <c r="N213" s="1092"/>
      <c r="O213" s="1092"/>
      <c r="P213" s="1092"/>
      <c r="Q213" s="1119"/>
      <c r="R213" s="1083"/>
    </row>
    <row r="214" spans="1:22">
      <c r="A214" s="1098" t="s">
        <v>2798</v>
      </c>
      <c r="B214" s="869" t="s">
        <v>2434</v>
      </c>
      <c r="C214" s="869" t="s">
        <v>751</v>
      </c>
      <c r="D214" s="856" t="s">
        <v>2801</v>
      </c>
      <c r="E214" s="869" t="s">
        <v>2800</v>
      </c>
      <c r="F214" s="869"/>
      <c r="G214" s="1200">
        <v>1650000</v>
      </c>
      <c r="H214" s="869" t="s">
        <v>251</v>
      </c>
      <c r="I214" s="870">
        <v>43259</v>
      </c>
      <c r="J214" s="870">
        <v>43313</v>
      </c>
      <c r="K214" s="869" t="s">
        <v>3153</v>
      </c>
      <c r="L214" s="1200">
        <v>990000</v>
      </c>
      <c r="M214" s="1200">
        <v>1138500</v>
      </c>
      <c r="N214" s="869"/>
      <c r="O214" s="869"/>
      <c r="P214" s="869"/>
      <c r="Q214" s="1108"/>
      <c r="R214" s="1083"/>
    </row>
    <row r="215" spans="1:22">
      <c r="A215" s="1098" t="s">
        <v>2798</v>
      </c>
      <c r="B215" s="869" t="s">
        <v>2434</v>
      </c>
      <c r="C215" s="869" t="s">
        <v>751</v>
      </c>
      <c r="D215" s="856" t="s">
        <v>2802</v>
      </c>
      <c r="E215" s="869" t="s">
        <v>2800</v>
      </c>
      <c r="F215" s="869"/>
      <c r="G215" s="1200">
        <v>2700000</v>
      </c>
      <c r="H215" s="869" t="s">
        <v>251</v>
      </c>
      <c r="I215" s="870">
        <v>43259</v>
      </c>
      <c r="J215" s="870">
        <v>43313</v>
      </c>
      <c r="K215" s="869" t="s">
        <v>3175</v>
      </c>
      <c r="L215" s="1200">
        <v>1677000</v>
      </c>
      <c r="M215" s="1200">
        <v>1928550</v>
      </c>
      <c r="N215" s="869"/>
      <c r="O215" s="869"/>
      <c r="P215" s="869"/>
      <c r="Q215" s="1108"/>
      <c r="R215" s="1083"/>
    </row>
    <row r="216" spans="1:22">
      <c r="A216" s="1098" t="s">
        <v>2798</v>
      </c>
      <c r="B216" s="869" t="s">
        <v>2434</v>
      </c>
      <c r="C216" s="869" t="s">
        <v>751</v>
      </c>
      <c r="D216" s="856" t="s">
        <v>2803</v>
      </c>
      <c r="E216" s="869" t="s">
        <v>2800</v>
      </c>
      <c r="F216" s="869"/>
      <c r="G216" s="1200">
        <v>9420000</v>
      </c>
      <c r="H216" s="869" t="s">
        <v>251</v>
      </c>
      <c r="I216" s="870">
        <v>43259</v>
      </c>
      <c r="J216" s="870">
        <v>43313</v>
      </c>
      <c r="K216" s="869" t="s">
        <v>3175</v>
      </c>
      <c r="L216" s="1200">
        <v>7097500</v>
      </c>
      <c r="M216" s="1200">
        <v>8162125</v>
      </c>
      <c r="N216" s="869"/>
      <c r="O216" s="869"/>
      <c r="P216" s="869"/>
      <c r="Q216" s="1108"/>
      <c r="R216" s="1083"/>
    </row>
    <row r="217" spans="1:22">
      <c r="A217" s="1098" t="s">
        <v>2798</v>
      </c>
      <c r="B217" s="869" t="s">
        <v>2434</v>
      </c>
      <c r="C217" s="869" t="s">
        <v>751</v>
      </c>
      <c r="D217" s="856" t="s">
        <v>2804</v>
      </c>
      <c r="E217" s="869" t="s">
        <v>2800</v>
      </c>
      <c r="F217" s="869"/>
      <c r="G217" s="1200">
        <v>1200000</v>
      </c>
      <c r="H217" s="869" t="s">
        <v>251</v>
      </c>
      <c r="I217" s="870">
        <v>43259</v>
      </c>
      <c r="J217" s="870">
        <v>43313</v>
      </c>
      <c r="K217" s="869" t="s">
        <v>3175</v>
      </c>
      <c r="L217" s="1200">
        <v>990000</v>
      </c>
      <c r="M217" s="1200">
        <v>1138500</v>
      </c>
      <c r="N217" s="869"/>
      <c r="O217" s="869"/>
      <c r="P217" s="869"/>
      <c r="Q217" s="1108"/>
      <c r="R217" s="1083"/>
    </row>
    <row r="218" spans="1:22">
      <c r="A218" s="1098" t="s">
        <v>2798</v>
      </c>
      <c r="B218" s="869" t="s">
        <v>2434</v>
      </c>
      <c r="C218" s="869" t="s">
        <v>751</v>
      </c>
      <c r="D218" s="856" t="s">
        <v>2805</v>
      </c>
      <c r="E218" s="869" t="s">
        <v>2800</v>
      </c>
      <c r="F218" s="869"/>
      <c r="G218" s="1200">
        <v>2100000</v>
      </c>
      <c r="H218" s="869" t="s">
        <v>251</v>
      </c>
      <c r="I218" s="870">
        <v>43259</v>
      </c>
      <c r="J218" s="870">
        <v>43313</v>
      </c>
      <c r="K218" s="869" t="s">
        <v>3175</v>
      </c>
      <c r="L218" s="1200">
        <v>1650000</v>
      </c>
      <c r="M218" s="1200">
        <v>1897500</v>
      </c>
      <c r="N218" s="869"/>
      <c r="O218" s="869"/>
      <c r="P218" s="869"/>
      <c r="Q218" s="1108"/>
      <c r="R218" s="1083"/>
    </row>
    <row r="219" spans="1:22" ht="15.75" thickBot="1">
      <c r="A219" s="1281" t="s">
        <v>2798</v>
      </c>
      <c r="B219" s="1282" t="s">
        <v>2434</v>
      </c>
      <c r="C219" s="1282" t="s">
        <v>751</v>
      </c>
      <c r="D219" s="1283" t="s">
        <v>2806</v>
      </c>
      <c r="E219" s="1282" t="s">
        <v>2800</v>
      </c>
      <c r="F219" s="1282"/>
      <c r="G219" s="1284">
        <v>2400000</v>
      </c>
      <c r="H219" s="1282" t="s">
        <v>251</v>
      </c>
      <c r="I219" s="1285">
        <v>43259</v>
      </c>
      <c r="J219" s="1285">
        <v>43313</v>
      </c>
      <c r="K219" s="1286" t="s">
        <v>242</v>
      </c>
      <c r="L219" s="1284"/>
      <c r="M219" s="1284"/>
      <c r="N219" s="1282"/>
      <c r="O219" s="1282"/>
      <c r="P219" s="1285">
        <v>43413</v>
      </c>
      <c r="Q219" s="1287"/>
      <c r="R219" s="1083"/>
    </row>
    <row r="220" spans="1:22" ht="15.75" thickTop="1">
      <c r="A220" s="991" t="s">
        <v>2809</v>
      </c>
      <c r="B220" s="991" t="s">
        <v>58</v>
      </c>
      <c r="C220" s="991" t="s">
        <v>2684</v>
      </c>
      <c r="D220" s="567" t="s">
        <v>2810</v>
      </c>
      <c r="E220" s="991" t="s">
        <v>269</v>
      </c>
      <c r="F220" s="991" t="s">
        <v>2811</v>
      </c>
      <c r="G220" s="992">
        <v>850000</v>
      </c>
      <c r="H220" s="991" t="s">
        <v>112</v>
      </c>
      <c r="I220" s="993">
        <v>43215</v>
      </c>
      <c r="J220" s="993">
        <v>43224</v>
      </c>
      <c r="K220" s="991" t="s">
        <v>1888</v>
      </c>
      <c r="L220" s="992">
        <v>1045200</v>
      </c>
      <c r="M220" s="992">
        <v>1264692</v>
      </c>
      <c r="N220" s="993">
        <v>43272</v>
      </c>
      <c r="O220" s="993"/>
      <c r="P220" s="993">
        <v>43276</v>
      </c>
      <c r="Q220" s="993">
        <v>43430</v>
      </c>
      <c r="R220" s="801"/>
    </row>
    <row r="221" spans="1:22">
      <c r="A221" s="902" t="s">
        <v>2813</v>
      </c>
      <c r="B221" s="902" t="s">
        <v>166</v>
      </c>
      <c r="C221" s="902" t="s">
        <v>167</v>
      </c>
      <c r="D221" s="903" t="s">
        <v>2814</v>
      </c>
      <c r="E221" s="902" t="s">
        <v>1360</v>
      </c>
      <c r="F221" s="902"/>
      <c r="G221" s="1211">
        <v>600000</v>
      </c>
      <c r="H221" s="902" t="s">
        <v>112</v>
      </c>
      <c r="I221" s="905">
        <v>43214</v>
      </c>
      <c r="J221" s="905">
        <v>43224</v>
      </c>
      <c r="K221" s="902" t="s">
        <v>2852</v>
      </c>
      <c r="L221" s="1211">
        <v>310716.90999999997</v>
      </c>
      <c r="M221" s="1211">
        <v>375967.46</v>
      </c>
      <c r="N221" s="905">
        <v>43251</v>
      </c>
      <c r="O221" s="905"/>
      <c r="P221" s="905">
        <v>43252</v>
      </c>
      <c r="Q221" s="905">
        <v>43389</v>
      </c>
      <c r="R221" s="1078"/>
    </row>
    <row r="222" spans="1:22">
      <c r="A222" s="872" t="s">
        <v>2815</v>
      </c>
      <c r="B222" s="872" t="s">
        <v>52</v>
      </c>
      <c r="C222" s="872" t="s">
        <v>227</v>
      </c>
      <c r="D222" s="873" t="s">
        <v>2816</v>
      </c>
      <c r="E222" s="872" t="s">
        <v>2817</v>
      </c>
      <c r="F222" s="872"/>
      <c r="G222" s="875">
        <v>255000</v>
      </c>
      <c r="H222" s="872" t="s">
        <v>112</v>
      </c>
      <c r="I222" s="874">
        <v>43236</v>
      </c>
      <c r="J222" s="874">
        <v>43245</v>
      </c>
      <c r="K222" s="876" t="s">
        <v>304</v>
      </c>
      <c r="L222" s="875"/>
      <c r="M222" s="875"/>
      <c r="N222" s="872"/>
      <c r="O222" s="872"/>
      <c r="P222" s="872" t="s">
        <v>239</v>
      </c>
      <c r="Q222" s="872"/>
      <c r="R222" s="801"/>
    </row>
    <row r="223" spans="1:22">
      <c r="A223" s="902" t="s">
        <v>2818</v>
      </c>
      <c r="B223" s="902" t="s">
        <v>2434</v>
      </c>
      <c r="C223" s="902" t="s">
        <v>219</v>
      </c>
      <c r="D223" s="903" t="s">
        <v>2819</v>
      </c>
      <c r="E223" s="902" t="s">
        <v>642</v>
      </c>
      <c r="F223" s="902"/>
      <c r="G223" s="1211">
        <v>14300000</v>
      </c>
      <c r="H223" s="902" t="s">
        <v>251</v>
      </c>
      <c r="I223" s="905">
        <v>43216</v>
      </c>
      <c r="J223" s="905">
        <v>43256</v>
      </c>
      <c r="K223" s="902" t="s">
        <v>2995</v>
      </c>
      <c r="L223" s="1211">
        <v>14294993.550000001</v>
      </c>
      <c r="M223" s="1211">
        <v>17296942.199999999</v>
      </c>
      <c r="N223" s="905">
        <v>43297</v>
      </c>
      <c r="O223" s="905" t="s">
        <v>2585</v>
      </c>
      <c r="P223" s="905">
        <v>43298</v>
      </c>
      <c r="Q223" s="905">
        <v>43551</v>
      </c>
      <c r="R223" s="905">
        <v>43929</v>
      </c>
      <c r="S223" s="1560">
        <v>44285</v>
      </c>
      <c r="T223" s="2558">
        <v>44637</v>
      </c>
      <c r="U223" s="1992" t="s">
        <v>3582</v>
      </c>
      <c r="V223" s="388" t="s">
        <v>4129</v>
      </c>
    </row>
    <row r="224" spans="1:22" ht="15.75" customHeight="1">
      <c r="A224" s="872" t="s">
        <v>2820</v>
      </c>
      <c r="B224" s="872" t="s">
        <v>2434</v>
      </c>
      <c r="C224" s="872" t="s">
        <v>219</v>
      </c>
      <c r="D224" s="873" t="s">
        <v>2821</v>
      </c>
      <c r="E224" s="872" t="s">
        <v>642</v>
      </c>
      <c r="F224" s="872"/>
      <c r="G224" s="875">
        <v>3700000</v>
      </c>
      <c r="H224" s="872" t="s">
        <v>216</v>
      </c>
      <c r="I224" s="874">
        <v>43216</v>
      </c>
      <c r="J224" s="874">
        <v>43244</v>
      </c>
      <c r="K224" s="876" t="s">
        <v>2992</v>
      </c>
      <c r="L224" s="875"/>
      <c r="M224" s="875"/>
      <c r="N224" s="872"/>
      <c r="O224" s="872"/>
      <c r="P224" s="874">
        <v>43284</v>
      </c>
      <c r="Q224" s="872"/>
      <c r="R224" s="801"/>
    </row>
    <row r="225" spans="1:23">
      <c r="A225" s="902" t="s">
        <v>2822</v>
      </c>
      <c r="B225" s="902" t="s">
        <v>2434</v>
      </c>
      <c r="C225" s="902" t="s">
        <v>219</v>
      </c>
      <c r="D225" s="903" t="s">
        <v>2823</v>
      </c>
      <c r="E225" s="902" t="s">
        <v>2824</v>
      </c>
      <c r="F225" s="902"/>
      <c r="G225" s="1211">
        <v>800000</v>
      </c>
      <c r="H225" s="902" t="s">
        <v>112</v>
      </c>
      <c r="I225" s="905">
        <v>43215</v>
      </c>
      <c r="J225" s="905">
        <v>43224</v>
      </c>
      <c r="K225" s="902" t="s">
        <v>3148</v>
      </c>
      <c r="L225" s="1211">
        <v>747040</v>
      </c>
      <c r="M225" s="1211">
        <f>L225*1.21</f>
        <v>903918.4</v>
      </c>
      <c r="N225" s="905">
        <v>43308</v>
      </c>
      <c r="O225" s="905">
        <v>44038</v>
      </c>
      <c r="P225" s="905">
        <v>43311</v>
      </c>
      <c r="Q225" s="905">
        <v>44144</v>
      </c>
      <c r="R225" s="801"/>
    </row>
    <row r="226" spans="1:23">
      <c r="A226" s="902" t="s">
        <v>2827</v>
      </c>
      <c r="B226" s="902" t="s">
        <v>1032</v>
      </c>
      <c r="C226" s="902" t="s">
        <v>361</v>
      </c>
      <c r="D226" s="903" t="s">
        <v>2828</v>
      </c>
      <c r="E226" s="902" t="s">
        <v>1781</v>
      </c>
      <c r="F226" s="902" t="s">
        <v>2829</v>
      </c>
      <c r="G226" s="1211">
        <v>2000000</v>
      </c>
      <c r="H226" s="902" t="s">
        <v>216</v>
      </c>
      <c r="I226" s="905">
        <v>43217</v>
      </c>
      <c r="J226" s="905">
        <v>43242</v>
      </c>
      <c r="K226" s="902" t="s">
        <v>408</v>
      </c>
      <c r="L226" s="1211">
        <v>1820723</v>
      </c>
      <c r="M226" s="1211">
        <f>L226*1.21</f>
        <v>2203074.83</v>
      </c>
      <c r="N226" s="905">
        <v>43266</v>
      </c>
      <c r="O226" s="905"/>
      <c r="P226" s="905">
        <v>43269</v>
      </c>
      <c r="Q226" s="905">
        <v>43374</v>
      </c>
      <c r="R226" s="801"/>
    </row>
    <row r="227" spans="1:23">
      <c r="A227" s="902" t="s">
        <v>2832</v>
      </c>
      <c r="B227" s="1130" t="s">
        <v>58</v>
      </c>
      <c r="C227" s="1130" t="s">
        <v>2684</v>
      </c>
      <c r="D227" s="920" t="s">
        <v>2840</v>
      </c>
      <c r="E227" s="1130" t="s">
        <v>269</v>
      </c>
      <c r="F227" s="1130" t="s">
        <v>2710</v>
      </c>
      <c r="G227" s="1132">
        <v>4500000</v>
      </c>
      <c r="H227" s="902" t="s">
        <v>251</v>
      </c>
      <c r="I227" s="905">
        <v>43217</v>
      </c>
      <c r="J227" s="905">
        <v>43255</v>
      </c>
      <c r="K227" s="902" t="s">
        <v>2994</v>
      </c>
      <c r="L227" s="1211">
        <v>4398200</v>
      </c>
      <c r="M227" s="1211">
        <f>L227*1.21</f>
        <v>5321822</v>
      </c>
      <c r="N227" s="905">
        <v>43307</v>
      </c>
      <c r="O227" s="905"/>
      <c r="P227" s="905">
        <v>43308</v>
      </c>
      <c r="Q227" s="905">
        <v>43395</v>
      </c>
      <c r="R227" s="1127">
        <v>44494</v>
      </c>
    </row>
    <row r="228" spans="1:23">
      <c r="A228" s="902" t="s">
        <v>2833</v>
      </c>
      <c r="B228" s="902" t="s">
        <v>1503</v>
      </c>
      <c r="C228" s="902" t="s">
        <v>918</v>
      </c>
      <c r="D228" s="567" t="s">
        <v>2744</v>
      </c>
      <c r="E228" s="991" t="s">
        <v>1244</v>
      </c>
      <c r="F228" s="991"/>
      <c r="G228" s="992">
        <v>150000</v>
      </c>
      <c r="H228" s="991" t="s">
        <v>112</v>
      </c>
      <c r="I228" s="905">
        <v>43222</v>
      </c>
      <c r="J228" s="905">
        <v>43231</v>
      </c>
      <c r="K228" s="902" t="s">
        <v>2097</v>
      </c>
      <c r="L228" s="1211">
        <v>152800.95999999999</v>
      </c>
      <c r="M228" s="1211">
        <f>L228*1.21</f>
        <v>184889.16159999999</v>
      </c>
      <c r="N228" s="905">
        <v>43264</v>
      </c>
      <c r="O228" s="905"/>
      <c r="P228" s="902" t="s">
        <v>239</v>
      </c>
      <c r="Q228" s="902" t="s">
        <v>239</v>
      </c>
      <c r="R228" s="801"/>
    </row>
    <row r="229" spans="1:23" ht="15.75" thickBot="1">
      <c r="A229" s="913" t="s">
        <v>2838</v>
      </c>
      <c r="B229" s="913" t="s">
        <v>1032</v>
      </c>
      <c r="C229" s="913" t="s">
        <v>361</v>
      </c>
      <c r="D229" s="2536" t="s">
        <v>2839</v>
      </c>
      <c r="E229" s="1005" t="s">
        <v>2841</v>
      </c>
      <c r="F229" s="913"/>
      <c r="G229" s="915">
        <v>1472000</v>
      </c>
      <c r="H229" s="913" t="s">
        <v>112</v>
      </c>
      <c r="I229" s="916">
        <v>43227</v>
      </c>
      <c r="J229" s="916">
        <v>43241</v>
      </c>
      <c r="K229" s="913" t="s">
        <v>2565</v>
      </c>
      <c r="L229" s="915">
        <v>947077.5</v>
      </c>
      <c r="M229" s="915">
        <v>1145963.78</v>
      </c>
      <c r="N229" s="916">
        <v>43263</v>
      </c>
      <c r="O229" s="916"/>
      <c r="P229" s="916">
        <v>43265</v>
      </c>
      <c r="Q229" s="916">
        <v>43395</v>
      </c>
      <c r="R229" s="801"/>
    </row>
    <row r="230" spans="1:23" ht="15.75" thickTop="1">
      <c r="A230" s="989" t="s">
        <v>2842</v>
      </c>
      <c r="B230" s="985" t="s">
        <v>2434</v>
      </c>
      <c r="C230" s="985" t="s">
        <v>751</v>
      </c>
      <c r="D230" s="939" t="s">
        <v>2843</v>
      </c>
      <c r="E230" s="985" t="s">
        <v>2844</v>
      </c>
      <c r="F230" s="985"/>
      <c r="G230" s="1210">
        <v>25180440</v>
      </c>
      <c r="H230" s="985" t="s">
        <v>251</v>
      </c>
      <c r="I230" s="987">
        <v>43245</v>
      </c>
      <c r="J230" s="987">
        <v>43298</v>
      </c>
      <c r="K230" s="985" t="s">
        <v>2776</v>
      </c>
      <c r="L230" s="1210">
        <v>25152173.800000001</v>
      </c>
      <c r="M230" s="1210">
        <v>28925000</v>
      </c>
      <c r="N230" s="987">
        <v>43406</v>
      </c>
      <c r="O230" s="987">
        <v>43952</v>
      </c>
      <c r="P230" s="987">
        <v>43410</v>
      </c>
      <c r="Q230" s="1088">
        <v>43551</v>
      </c>
      <c r="R230" s="1500">
        <v>43929</v>
      </c>
      <c r="S230" s="1560">
        <v>44285</v>
      </c>
    </row>
    <row r="231" spans="1:23">
      <c r="A231" s="1014" t="s">
        <v>2842</v>
      </c>
      <c r="B231" s="902" t="s">
        <v>2434</v>
      </c>
      <c r="C231" s="902" t="s">
        <v>751</v>
      </c>
      <c r="D231" s="903" t="s">
        <v>2846</v>
      </c>
      <c r="E231" s="991" t="s">
        <v>2844</v>
      </c>
      <c r="F231" s="902"/>
      <c r="G231" s="1211">
        <v>5870000</v>
      </c>
      <c r="H231" s="902" t="s">
        <v>251</v>
      </c>
      <c r="I231" s="905">
        <v>43245</v>
      </c>
      <c r="J231" s="905">
        <v>43298</v>
      </c>
      <c r="K231" s="902" t="s">
        <v>3114</v>
      </c>
      <c r="L231" s="1211">
        <v>5869565.25</v>
      </c>
      <c r="M231" s="1211">
        <v>6750000</v>
      </c>
      <c r="N231" s="905">
        <v>43406</v>
      </c>
      <c r="O231" s="905">
        <v>43952</v>
      </c>
      <c r="P231" s="905">
        <v>43410</v>
      </c>
      <c r="Q231" s="1260" t="s">
        <v>4128</v>
      </c>
      <c r="R231" s="1500">
        <v>43929</v>
      </c>
      <c r="S231" s="1560">
        <v>44285</v>
      </c>
    </row>
    <row r="232" spans="1:23" ht="15.75" thickBot="1">
      <c r="A232" s="1281" t="s">
        <v>2842</v>
      </c>
      <c r="B232" s="1282" t="s">
        <v>2434</v>
      </c>
      <c r="C232" s="1282" t="s">
        <v>751</v>
      </c>
      <c r="D232" s="1283" t="s">
        <v>2845</v>
      </c>
      <c r="E232" s="1106" t="s">
        <v>2844</v>
      </c>
      <c r="F232" s="1282"/>
      <c r="G232" s="1284">
        <v>2348000</v>
      </c>
      <c r="H232" s="1282" t="s">
        <v>251</v>
      </c>
      <c r="I232" s="1285">
        <v>43245</v>
      </c>
      <c r="J232" s="1285">
        <v>43298</v>
      </c>
      <c r="K232" s="1286" t="s">
        <v>304</v>
      </c>
      <c r="L232" s="1284"/>
      <c r="M232" s="1284"/>
      <c r="N232" s="1282"/>
      <c r="O232" s="1282"/>
      <c r="P232" s="1285">
        <v>43374</v>
      </c>
      <c r="Q232" s="1287"/>
      <c r="R232" s="1083"/>
    </row>
    <row r="233" spans="1:23" ht="15.75" thickTop="1">
      <c r="A233" s="989" t="s">
        <v>2847</v>
      </c>
      <c r="B233" s="985" t="s">
        <v>2434</v>
      </c>
      <c r="C233" s="985" t="s">
        <v>751</v>
      </c>
      <c r="D233" s="939" t="s">
        <v>2850</v>
      </c>
      <c r="E233" s="985" t="s">
        <v>2848</v>
      </c>
      <c r="F233" s="985"/>
      <c r="G233" s="1210">
        <v>244800</v>
      </c>
      <c r="H233" s="985" t="s">
        <v>112</v>
      </c>
      <c r="I233" s="987">
        <v>43339</v>
      </c>
      <c r="J233" s="987">
        <v>43355</v>
      </c>
      <c r="K233" s="985" t="s">
        <v>3303</v>
      </c>
      <c r="L233" s="1210">
        <v>235500</v>
      </c>
      <c r="M233" s="1210">
        <f>L233*1.21</f>
        <v>284955</v>
      </c>
      <c r="N233" s="987">
        <v>43416</v>
      </c>
      <c r="O233" s="987">
        <v>43962</v>
      </c>
      <c r="P233" s="987">
        <v>43419</v>
      </c>
      <c r="Q233" s="988" t="s">
        <v>4128</v>
      </c>
      <c r="R233" s="1500">
        <v>44046</v>
      </c>
      <c r="S233" s="360"/>
    </row>
    <row r="234" spans="1:23" ht="15.75" thickBot="1">
      <c r="A234" s="1314" t="s">
        <v>2847</v>
      </c>
      <c r="B234" s="1297" t="s">
        <v>2434</v>
      </c>
      <c r="C234" s="1297" t="s">
        <v>751</v>
      </c>
      <c r="D234" s="1115" t="s">
        <v>2849</v>
      </c>
      <c r="E234" s="1114" t="s">
        <v>2848</v>
      </c>
      <c r="F234" s="1297"/>
      <c r="G234" s="1316">
        <v>1142400</v>
      </c>
      <c r="H234" s="1297" t="s">
        <v>112</v>
      </c>
      <c r="I234" s="1317">
        <v>43339</v>
      </c>
      <c r="J234" s="1317">
        <v>43355</v>
      </c>
      <c r="K234" s="1297" t="s">
        <v>1433</v>
      </c>
      <c r="L234" s="1316">
        <v>1142400</v>
      </c>
      <c r="M234" s="1316">
        <f>L234*1.21</f>
        <v>1382304</v>
      </c>
      <c r="N234" s="1317">
        <v>43432</v>
      </c>
      <c r="O234" s="1317">
        <v>43978</v>
      </c>
      <c r="P234" s="1317">
        <v>43433</v>
      </c>
      <c r="Q234" s="1498">
        <v>43553</v>
      </c>
      <c r="R234" s="1500">
        <v>43949</v>
      </c>
      <c r="S234" s="1993"/>
    </row>
    <row r="235" spans="1:23" s="1190" customFormat="1" ht="15.75" thickTop="1">
      <c r="A235" s="991" t="s">
        <v>2856</v>
      </c>
      <c r="B235" s="991" t="s">
        <v>2434</v>
      </c>
      <c r="C235" s="991" t="s">
        <v>219</v>
      </c>
      <c r="D235" s="567" t="s">
        <v>2857</v>
      </c>
      <c r="E235" s="991" t="s">
        <v>2858</v>
      </c>
      <c r="F235" s="991"/>
      <c r="G235" s="992">
        <v>700000</v>
      </c>
      <c r="H235" s="991" t="s">
        <v>112</v>
      </c>
      <c r="I235" s="993">
        <v>43230</v>
      </c>
      <c r="J235" s="993">
        <v>43242</v>
      </c>
      <c r="K235" s="991" t="s">
        <v>2893</v>
      </c>
      <c r="L235" s="992">
        <v>596800</v>
      </c>
      <c r="M235" s="992">
        <v>722128</v>
      </c>
      <c r="N235" s="993">
        <v>43306</v>
      </c>
      <c r="O235" s="993"/>
      <c r="P235" s="993">
        <v>43311</v>
      </c>
      <c r="Q235" s="993">
        <v>43551</v>
      </c>
      <c r="R235" s="1083"/>
      <c r="S235" s="374"/>
      <c r="T235" s="374"/>
      <c r="U235" s="374"/>
      <c r="V235" s="374"/>
      <c r="W235" s="374"/>
    </row>
    <row r="236" spans="1:23">
      <c r="A236" s="991" t="s">
        <v>2853</v>
      </c>
      <c r="B236" s="991" t="s">
        <v>58</v>
      </c>
      <c r="C236" s="991" t="s">
        <v>2684</v>
      </c>
      <c r="D236" s="567" t="s">
        <v>2854</v>
      </c>
      <c r="E236" s="991" t="s">
        <v>269</v>
      </c>
      <c r="F236" s="991" t="s">
        <v>2855</v>
      </c>
      <c r="G236" s="992">
        <v>3380000</v>
      </c>
      <c r="H236" s="991" t="s">
        <v>251</v>
      </c>
      <c r="I236" s="993">
        <v>43230</v>
      </c>
      <c r="J236" s="993">
        <v>43270</v>
      </c>
      <c r="K236" s="991" t="s">
        <v>2793</v>
      </c>
      <c r="L236" s="992">
        <v>2750280</v>
      </c>
      <c r="M236" s="992">
        <v>3327838.8</v>
      </c>
      <c r="N236" s="993">
        <v>43301</v>
      </c>
      <c r="O236" s="993"/>
      <c r="P236" s="993">
        <v>43304</v>
      </c>
      <c r="Q236" s="993">
        <v>43367</v>
      </c>
      <c r="R236" s="996" t="s">
        <v>1875</v>
      </c>
      <c r="S236" s="796"/>
      <c r="T236" s="796"/>
      <c r="U236" s="796"/>
    </row>
    <row r="237" spans="1:23">
      <c r="A237" s="872" t="s">
        <v>2861</v>
      </c>
      <c r="B237" s="872" t="s">
        <v>58</v>
      </c>
      <c r="C237" s="872" t="s">
        <v>55</v>
      </c>
      <c r="D237" s="873" t="s">
        <v>2862</v>
      </c>
      <c r="E237" s="872" t="s">
        <v>756</v>
      </c>
      <c r="F237" s="872"/>
      <c r="G237" s="875">
        <v>560000</v>
      </c>
      <c r="H237" s="872" t="s">
        <v>112</v>
      </c>
      <c r="I237" s="874">
        <v>43237</v>
      </c>
      <c r="J237" s="874">
        <v>43249</v>
      </c>
      <c r="K237" s="876" t="s">
        <v>242</v>
      </c>
      <c r="L237" s="875"/>
      <c r="M237" s="875"/>
      <c r="N237" s="872"/>
      <c r="O237" s="872"/>
      <c r="P237" s="874">
        <v>43256</v>
      </c>
      <c r="Q237" s="872"/>
      <c r="R237" s="801"/>
    </row>
    <row r="238" spans="1:23" ht="15.75" thickBot="1">
      <c r="A238" s="913" t="s">
        <v>2863</v>
      </c>
      <c r="B238" s="913" t="s">
        <v>58</v>
      </c>
      <c r="C238" s="913" t="s">
        <v>55</v>
      </c>
      <c r="D238" s="914" t="s">
        <v>2864</v>
      </c>
      <c r="E238" s="913" t="s">
        <v>1924</v>
      </c>
      <c r="F238" s="913"/>
      <c r="G238" s="915">
        <v>690000</v>
      </c>
      <c r="H238" s="913" t="s">
        <v>112</v>
      </c>
      <c r="I238" s="916">
        <v>43237</v>
      </c>
      <c r="J238" s="916">
        <v>43249</v>
      </c>
      <c r="K238" s="913" t="s">
        <v>2993</v>
      </c>
      <c r="L238" s="915">
        <v>630105</v>
      </c>
      <c r="M238" s="915">
        <f>L238*1.21</f>
        <v>762427.04999999993</v>
      </c>
      <c r="N238" s="916">
        <v>43290</v>
      </c>
      <c r="O238" s="916"/>
      <c r="P238" s="916">
        <v>43291</v>
      </c>
      <c r="Q238" s="916">
        <v>43395</v>
      </c>
      <c r="R238" s="996" t="s">
        <v>1875</v>
      </c>
    </row>
    <row r="239" spans="1:23" ht="15.75" thickTop="1">
      <c r="A239" s="1091" t="s">
        <v>2865</v>
      </c>
      <c r="B239" s="1092" t="s">
        <v>2434</v>
      </c>
      <c r="C239" s="1092" t="s">
        <v>751</v>
      </c>
      <c r="D239" s="1093" t="s">
        <v>2906</v>
      </c>
      <c r="E239" s="1092" t="s">
        <v>2866</v>
      </c>
      <c r="F239" s="1092"/>
      <c r="G239" s="1199">
        <v>4707330</v>
      </c>
      <c r="H239" s="1092" t="s">
        <v>251</v>
      </c>
      <c r="I239" s="1095">
        <v>43376</v>
      </c>
      <c r="J239" s="1095">
        <v>43410</v>
      </c>
      <c r="K239" s="1092" t="s">
        <v>3393</v>
      </c>
      <c r="L239" s="1199">
        <v>4289133.8</v>
      </c>
      <c r="M239" s="1199">
        <v>4939616.2</v>
      </c>
      <c r="N239" s="1092"/>
      <c r="O239" s="1092"/>
      <c r="P239" s="1092"/>
      <c r="Q239" s="1119"/>
      <c r="R239" s="1083"/>
    </row>
    <row r="240" spans="1:23">
      <c r="A240" s="1098" t="s">
        <v>2865</v>
      </c>
      <c r="B240" s="869" t="s">
        <v>2434</v>
      </c>
      <c r="C240" s="869" t="s">
        <v>751</v>
      </c>
      <c r="D240" s="856" t="s">
        <v>2907</v>
      </c>
      <c r="E240" s="869" t="s">
        <v>2866</v>
      </c>
      <c r="F240" s="869"/>
      <c r="G240" s="1200">
        <v>27186970</v>
      </c>
      <c r="H240" s="869" t="s">
        <v>251</v>
      </c>
      <c r="I240" s="870">
        <v>43376</v>
      </c>
      <c r="J240" s="870">
        <v>43410</v>
      </c>
      <c r="K240" s="869" t="s">
        <v>3393</v>
      </c>
      <c r="L240" s="1200">
        <v>25803589.02</v>
      </c>
      <c r="M240" s="1200">
        <v>29701249.710000001</v>
      </c>
      <c r="N240" s="869"/>
      <c r="O240" s="869"/>
      <c r="P240" s="869"/>
      <c r="Q240" s="1108"/>
      <c r="R240" s="1083"/>
    </row>
    <row r="241" spans="1:22">
      <c r="A241" s="1098" t="s">
        <v>2865</v>
      </c>
      <c r="B241" s="869" t="s">
        <v>2434</v>
      </c>
      <c r="C241" s="869" t="s">
        <v>751</v>
      </c>
      <c r="D241" s="856" t="s">
        <v>2908</v>
      </c>
      <c r="E241" s="869" t="s">
        <v>2866</v>
      </c>
      <c r="F241" s="869"/>
      <c r="G241" s="1200">
        <v>7792000</v>
      </c>
      <c r="H241" s="869" t="s">
        <v>251</v>
      </c>
      <c r="I241" s="870">
        <v>43376</v>
      </c>
      <c r="J241" s="870">
        <v>43410</v>
      </c>
      <c r="K241" s="869" t="s">
        <v>3393</v>
      </c>
      <c r="L241" s="1200">
        <v>7777523.2000000002</v>
      </c>
      <c r="M241" s="1200">
        <v>8960589.5999999996</v>
      </c>
      <c r="N241" s="869"/>
      <c r="O241" s="869"/>
      <c r="P241" s="869"/>
      <c r="Q241" s="1108"/>
      <c r="R241" s="1083"/>
    </row>
    <row r="242" spans="1:22">
      <c r="A242" s="1098" t="s">
        <v>2865</v>
      </c>
      <c r="B242" s="869" t="s">
        <v>2434</v>
      </c>
      <c r="C242" s="869" t="s">
        <v>751</v>
      </c>
      <c r="D242" s="856" t="s">
        <v>2909</v>
      </c>
      <c r="E242" s="869" t="s">
        <v>2866</v>
      </c>
      <c r="F242" s="869"/>
      <c r="G242" s="1200">
        <v>2456000</v>
      </c>
      <c r="H242" s="869" t="s">
        <v>251</v>
      </c>
      <c r="I242" s="870">
        <v>43376</v>
      </c>
      <c r="J242" s="870">
        <v>43410</v>
      </c>
      <c r="K242" s="869" t="s">
        <v>3393</v>
      </c>
      <c r="L242" s="1200">
        <v>2451609.56</v>
      </c>
      <c r="M242" s="1200">
        <v>2825040.84</v>
      </c>
      <c r="N242" s="869"/>
      <c r="O242" s="869"/>
      <c r="P242" s="869"/>
      <c r="Q242" s="1108"/>
      <c r="R242" s="1083"/>
    </row>
    <row r="243" spans="1:22" ht="15.75" thickBot="1">
      <c r="A243" s="1291" t="s">
        <v>2865</v>
      </c>
      <c r="B243" s="1292" t="s">
        <v>2434</v>
      </c>
      <c r="C243" s="1292" t="s">
        <v>751</v>
      </c>
      <c r="D243" s="1293" t="s">
        <v>2910</v>
      </c>
      <c r="E243" s="1292" t="s">
        <v>2866</v>
      </c>
      <c r="F243" s="1292"/>
      <c r="G243" s="1294">
        <v>3000000</v>
      </c>
      <c r="H243" s="1292" t="s">
        <v>251</v>
      </c>
      <c r="I243" s="1295">
        <v>43376</v>
      </c>
      <c r="J243" s="1295">
        <v>43410</v>
      </c>
      <c r="K243" s="1292" t="s">
        <v>3393</v>
      </c>
      <c r="L243" s="1294">
        <v>2958928.04</v>
      </c>
      <c r="M243" s="1294">
        <v>3408015.94</v>
      </c>
      <c r="N243" s="1292"/>
      <c r="O243" s="1292"/>
      <c r="P243" s="1292"/>
      <c r="Q243" s="1296"/>
      <c r="R243" s="1083"/>
    </row>
    <row r="244" spans="1:22" ht="15.75" thickTop="1">
      <c r="A244" s="1028" t="s">
        <v>2867</v>
      </c>
      <c r="B244" s="1028" t="s">
        <v>14</v>
      </c>
      <c r="C244" s="1028" t="s">
        <v>13</v>
      </c>
      <c r="D244" s="1029" t="s">
        <v>2868</v>
      </c>
      <c r="E244" s="1092" t="s">
        <v>2869</v>
      </c>
      <c r="F244" s="1028"/>
      <c r="G244" s="1034">
        <v>4942180</v>
      </c>
      <c r="H244" s="1028" t="s">
        <v>251</v>
      </c>
      <c r="I244" s="1030">
        <v>43245</v>
      </c>
      <c r="J244" s="1030">
        <v>43328</v>
      </c>
      <c r="K244" s="1028" t="s">
        <v>3286</v>
      </c>
      <c r="L244" s="1034">
        <v>4133552</v>
      </c>
      <c r="M244" s="1034">
        <f>L244*1.21</f>
        <v>5001597.92</v>
      </c>
      <c r="N244" s="1028"/>
      <c r="O244" s="1028"/>
      <c r="P244" s="1028"/>
      <c r="Q244" s="1028"/>
      <c r="R244" s="801"/>
    </row>
    <row r="245" spans="1:22">
      <c r="A245" s="902" t="s">
        <v>2870</v>
      </c>
      <c r="B245" s="902" t="s">
        <v>58</v>
      </c>
      <c r="C245" s="902" t="s">
        <v>2684</v>
      </c>
      <c r="D245" s="903" t="s">
        <v>2871</v>
      </c>
      <c r="E245" s="902" t="s">
        <v>2872</v>
      </c>
      <c r="F245" s="902"/>
      <c r="G245" s="1211">
        <v>700000</v>
      </c>
      <c r="H245" s="902" t="s">
        <v>112</v>
      </c>
      <c r="I245" s="905">
        <v>43251</v>
      </c>
      <c r="J245" s="905">
        <v>43263</v>
      </c>
      <c r="K245" s="902" t="s">
        <v>3060</v>
      </c>
      <c r="L245" s="1211">
        <v>93000</v>
      </c>
      <c r="M245" s="1211">
        <f>L245*1.21</f>
        <v>112530</v>
      </c>
      <c r="N245" s="905">
        <v>43307</v>
      </c>
      <c r="O245" s="905"/>
      <c r="P245" s="905">
        <v>43311</v>
      </c>
      <c r="Q245" s="905">
        <v>43551</v>
      </c>
      <c r="R245" s="801"/>
    </row>
    <row r="246" spans="1:22">
      <c r="A246" s="902" t="s">
        <v>2876</v>
      </c>
      <c r="B246" s="902" t="s">
        <v>2434</v>
      </c>
      <c r="C246" s="902" t="s">
        <v>219</v>
      </c>
      <c r="D246" s="903" t="s">
        <v>2877</v>
      </c>
      <c r="E246" s="902" t="s">
        <v>642</v>
      </c>
      <c r="F246" s="902"/>
      <c r="G246" s="1211">
        <v>6900000</v>
      </c>
      <c r="H246" s="902" t="s">
        <v>251</v>
      </c>
      <c r="I246" s="905">
        <v>43245</v>
      </c>
      <c r="J246" s="905">
        <v>43285</v>
      </c>
      <c r="K246" s="902" t="s">
        <v>3080</v>
      </c>
      <c r="L246" s="1211">
        <v>6518400</v>
      </c>
      <c r="M246" s="1211">
        <v>7887264</v>
      </c>
      <c r="N246" s="905">
        <v>43343</v>
      </c>
      <c r="O246" s="905" t="s">
        <v>4130</v>
      </c>
      <c r="P246" s="905">
        <v>43348</v>
      </c>
      <c r="Q246" s="902" t="s">
        <v>4128</v>
      </c>
      <c r="R246" s="905">
        <v>43929</v>
      </c>
      <c r="S246" s="498">
        <v>44285</v>
      </c>
      <c r="T246" s="498">
        <v>44637</v>
      </c>
      <c r="U246" s="1624" t="s">
        <v>3582</v>
      </c>
      <c r="V246" s="1624" t="s">
        <v>4129</v>
      </c>
    </row>
    <row r="247" spans="1:22">
      <c r="A247" s="902" t="s">
        <v>2878</v>
      </c>
      <c r="B247" s="902" t="s">
        <v>1032</v>
      </c>
      <c r="C247" s="902" t="s">
        <v>361</v>
      </c>
      <c r="D247" s="903" t="s">
        <v>2879</v>
      </c>
      <c r="E247" s="902" t="s">
        <v>896</v>
      </c>
      <c r="F247" s="902"/>
      <c r="G247" s="1211">
        <v>500000</v>
      </c>
      <c r="H247" s="902" t="s">
        <v>112</v>
      </c>
      <c r="I247" s="905">
        <v>43249</v>
      </c>
      <c r="J247" s="905">
        <v>43259</v>
      </c>
      <c r="K247" s="902" t="s">
        <v>2996</v>
      </c>
      <c r="L247" s="1211">
        <v>311066</v>
      </c>
      <c r="M247" s="1211">
        <v>374175.56</v>
      </c>
      <c r="N247" s="905">
        <v>43304</v>
      </c>
      <c r="O247" s="905"/>
      <c r="P247" s="905">
        <v>43304</v>
      </c>
      <c r="Q247" s="905">
        <v>43551</v>
      </c>
      <c r="R247" s="801"/>
    </row>
    <row r="248" spans="1:22">
      <c r="A248" s="902" t="s">
        <v>2880</v>
      </c>
      <c r="B248" s="902" t="s">
        <v>1032</v>
      </c>
      <c r="C248" s="902" t="s">
        <v>361</v>
      </c>
      <c r="D248" s="903" t="s">
        <v>2881</v>
      </c>
      <c r="E248" s="902" t="s">
        <v>98</v>
      </c>
      <c r="F248" s="902"/>
      <c r="G248" s="1211">
        <v>1000000</v>
      </c>
      <c r="H248" s="902" t="s">
        <v>112</v>
      </c>
      <c r="I248" s="905">
        <v>43249</v>
      </c>
      <c r="J248" s="905">
        <v>43259</v>
      </c>
      <c r="K248" s="902" t="s">
        <v>3084</v>
      </c>
      <c r="L248" s="1211">
        <v>627201</v>
      </c>
      <c r="M248" s="1211">
        <v>758913.2</v>
      </c>
      <c r="N248" s="905">
        <v>43292</v>
      </c>
      <c r="O248" s="905"/>
      <c r="P248" s="905">
        <v>43292</v>
      </c>
      <c r="Q248" s="905">
        <v>43423</v>
      </c>
      <c r="R248" s="801"/>
    </row>
    <row r="249" spans="1:22" ht="15.75" thickBot="1">
      <c r="A249" s="913" t="s">
        <v>2882</v>
      </c>
      <c r="B249" s="913" t="s">
        <v>58</v>
      </c>
      <c r="C249" s="913" t="s">
        <v>2684</v>
      </c>
      <c r="D249" s="2536" t="s">
        <v>2883</v>
      </c>
      <c r="E249" s="913" t="s">
        <v>56</v>
      </c>
      <c r="F249" s="913"/>
      <c r="G249" s="915">
        <v>14000000</v>
      </c>
      <c r="H249" s="913" t="s">
        <v>251</v>
      </c>
      <c r="I249" s="916">
        <v>43248</v>
      </c>
      <c r="J249" s="916">
        <v>43292</v>
      </c>
      <c r="K249" s="913" t="s">
        <v>3107</v>
      </c>
      <c r="L249" s="915">
        <v>11269600</v>
      </c>
      <c r="M249" s="915">
        <f>L249*1.21</f>
        <v>13636216</v>
      </c>
      <c r="N249" s="916">
        <v>43343</v>
      </c>
      <c r="O249" s="916"/>
      <c r="P249" s="916">
        <v>43348</v>
      </c>
      <c r="Q249" s="916">
        <v>43451</v>
      </c>
      <c r="R249" s="996" t="s">
        <v>1875</v>
      </c>
    </row>
    <row r="250" spans="1:22" ht="15.75" thickTop="1">
      <c r="A250" s="1091" t="s">
        <v>2884</v>
      </c>
      <c r="B250" s="1092" t="s">
        <v>2434</v>
      </c>
      <c r="C250" s="1092" t="s">
        <v>751</v>
      </c>
      <c r="D250" s="1093" t="s">
        <v>3194</v>
      </c>
      <c r="E250" s="1092" t="s">
        <v>2844</v>
      </c>
      <c r="F250" s="1092"/>
      <c r="G250" s="1199">
        <v>546210</v>
      </c>
      <c r="H250" s="1092" t="s">
        <v>251</v>
      </c>
      <c r="I250" s="1095">
        <v>43349</v>
      </c>
      <c r="J250" s="1095">
        <v>43384</v>
      </c>
      <c r="K250" s="1092" t="s">
        <v>2776</v>
      </c>
      <c r="L250" s="1199">
        <v>540000</v>
      </c>
      <c r="M250" s="1199">
        <v>621000</v>
      </c>
      <c r="N250" s="1092"/>
      <c r="O250" s="1092"/>
      <c r="P250" s="1092"/>
      <c r="Q250" s="1119"/>
      <c r="R250" s="1083"/>
    </row>
    <row r="251" spans="1:22">
      <c r="A251" s="1098" t="s">
        <v>2884</v>
      </c>
      <c r="B251" s="869" t="s">
        <v>2434</v>
      </c>
      <c r="C251" s="869" t="s">
        <v>751</v>
      </c>
      <c r="D251" s="856" t="s">
        <v>3195</v>
      </c>
      <c r="E251" s="1028" t="s">
        <v>2844</v>
      </c>
      <c r="F251" s="869"/>
      <c r="G251" s="1200">
        <v>225650</v>
      </c>
      <c r="H251" s="869" t="s">
        <v>251</v>
      </c>
      <c r="I251" s="870">
        <v>43349</v>
      </c>
      <c r="J251" s="870">
        <v>43384</v>
      </c>
      <c r="K251" s="869" t="s">
        <v>3350</v>
      </c>
      <c r="L251" s="1200">
        <v>225650</v>
      </c>
      <c r="M251" s="1200">
        <v>259497.5</v>
      </c>
      <c r="N251" s="869"/>
      <c r="O251" s="869"/>
      <c r="P251" s="869"/>
      <c r="Q251" s="1108"/>
      <c r="R251" s="1083"/>
    </row>
    <row r="252" spans="1:22">
      <c r="A252" s="1098" t="s">
        <v>2884</v>
      </c>
      <c r="B252" s="869" t="s">
        <v>2434</v>
      </c>
      <c r="C252" s="869" t="s">
        <v>751</v>
      </c>
      <c r="D252" s="856" t="s">
        <v>3196</v>
      </c>
      <c r="E252" s="1028" t="s">
        <v>2844</v>
      </c>
      <c r="F252" s="869"/>
      <c r="G252" s="1200">
        <v>587800</v>
      </c>
      <c r="H252" s="869" t="s">
        <v>251</v>
      </c>
      <c r="I252" s="870">
        <v>43349</v>
      </c>
      <c r="J252" s="870">
        <v>43384</v>
      </c>
      <c r="K252" s="869" t="s">
        <v>2776</v>
      </c>
      <c r="L252" s="1200">
        <v>580000</v>
      </c>
      <c r="M252" s="1200">
        <v>667000</v>
      </c>
      <c r="N252" s="869"/>
      <c r="O252" s="869"/>
      <c r="P252" s="869"/>
      <c r="Q252" s="1108"/>
      <c r="R252" s="1083"/>
    </row>
    <row r="253" spans="1:22">
      <c r="A253" s="1098" t="s">
        <v>2884</v>
      </c>
      <c r="B253" s="869" t="s">
        <v>2434</v>
      </c>
      <c r="C253" s="869" t="s">
        <v>751</v>
      </c>
      <c r="D253" s="856" t="s">
        <v>3197</v>
      </c>
      <c r="E253" s="1028" t="s">
        <v>2844</v>
      </c>
      <c r="F253" s="869"/>
      <c r="G253" s="1200">
        <v>6780480</v>
      </c>
      <c r="H253" s="869" t="s">
        <v>251</v>
      </c>
      <c r="I253" s="870">
        <v>43349</v>
      </c>
      <c r="J253" s="870">
        <v>43384</v>
      </c>
      <c r="K253" s="869" t="s">
        <v>2776</v>
      </c>
      <c r="L253" s="1200">
        <v>6720000</v>
      </c>
      <c r="M253" s="1200">
        <v>7728000</v>
      </c>
      <c r="N253" s="869"/>
      <c r="O253" s="869"/>
      <c r="P253" s="869"/>
      <c r="Q253" s="1108"/>
      <c r="R253" s="1083"/>
    </row>
    <row r="254" spans="1:22">
      <c r="A254" s="999" t="s">
        <v>2884</v>
      </c>
      <c r="B254" s="872" t="s">
        <v>2434</v>
      </c>
      <c r="C254" s="872" t="s">
        <v>751</v>
      </c>
      <c r="D254" s="873" t="s">
        <v>3198</v>
      </c>
      <c r="E254" s="1056" t="s">
        <v>2844</v>
      </c>
      <c r="F254" s="872"/>
      <c r="G254" s="875">
        <v>847375</v>
      </c>
      <c r="H254" s="872" t="s">
        <v>251</v>
      </c>
      <c r="I254" s="874">
        <v>43349</v>
      </c>
      <c r="J254" s="874">
        <v>43384</v>
      </c>
      <c r="K254" s="876" t="s">
        <v>2635</v>
      </c>
      <c r="L254" s="875"/>
      <c r="M254" s="875"/>
      <c r="N254" s="872"/>
      <c r="O254" s="872"/>
      <c r="P254" s="874">
        <v>43426</v>
      </c>
      <c r="Q254" s="1000"/>
      <c r="R254" s="1083"/>
    </row>
    <row r="255" spans="1:22">
      <c r="A255" s="1098" t="s">
        <v>2884</v>
      </c>
      <c r="B255" s="869" t="s">
        <v>2434</v>
      </c>
      <c r="C255" s="869" t="s">
        <v>751</v>
      </c>
      <c r="D255" s="856" t="s">
        <v>3199</v>
      </c>
      <c r="E255" s="1028" t="s">
        <v>2844</v>
      </c>
      <c r="F255" s="869"/>
      <c r="G255" s="1200">
        <v>1792000</v>
      </c>
      <c r="H255" s="869" t="s">
        <v>251</v>
      </c>
      <c r="I255" s="870">
        <v>43349</v>
      </c>
      <c r="J255" s="870">
        <v>43384</v>
      </c>
      <c r="K255" s="869" t="s">
        <v>3114</v>
      </c>
      <c r="L255" s="1200">
        <v>1792000</v>
      </c>
      <c r="M255" s="1200">
        <f>L255*1.15</f>
        <v>2060799.9999999998</v>
      </c>
      <c r="N255" s="869"/>
      <c r="O255" s="869"/>
      <c r="P255" s="869"/>
      <c r="Q255" s="1108"/>
      <c r="R255" s="1083"/>
    </row>
    <row r="256" spans="1:22">
      <c r="A256" s="1098" t="s">
        <v>2884</v>
      </c>
      <c r="B256" s="869" t="s">
        <v>2434</v>
      </c>
      <c r="C256" s="869" t="s">
        <v>751</v>
      </c>
      <c r="D256" s="856" t="s">
        <v>3200</v>
      </c>
      <c r="E256" s="1028" t="s">
        <v>2844</v>
      </c>
      <c r="F256" s="869"/>
      <c r="G256" s="1200">
        <v>702150</v>
      </c>
      <c r="H256" s="869" t="s">
        <v>251</v>
      </c>
      <c r="I256" s="870">
        <v>43349</v>
      </c>
      <c r="J256" s="870">
        <v>43384</v>
      </c>
      <c r="K256" s="869" t="s">
        <v>2776</v>
      </c>
      <c r="L256" s="1200">
        <v>700000</v>
      </c>
      <c r="M256" s="1200">
        <v>805000</v>
      </c>
      <c r="N256" s="869"/>
      <c r="O256" s="869"/>
      <c r="P256" s="869"/>
      <c r="Q256" s="1108"/>
      <c r="R256" s="1083"/>
    </row>
    <row r="257" spans="1:23">
      <c r="A257" s="999" t="s">
        <v>2884</v>
      </c>
      <c r="B257" s="872" t="s">
        <v>2434</v>
      </c>
      <c r="C257" s="872" t="s">
        <v>751</v>
      </c>
      <c r="D257" s="873" t="s">
        <v>3201</v>
      </c>
      <c r="E257" s="1056" t="s">
        <v>2844</v>
      </c>
      <c r="F257" s="872"/>
      <c r="G257" s="875">
        <v>398370</v>
      </c>
      <c r="H257" s="872" t="s">
        <v>251</v>
      </c>
      <c r="I257" s="874">
        <v>43349</v>
      </c>
      <c r="J257" s="874">
        <v>43384</v>
      </c>
      <c r="K257" s="876" t="s">
        <v>2635</v>
      </c>
      <c r="L257" s="875"/>
      <c r="M257" s="875"/>
      <c r="N257" s="872"/>
      <c r="O257" s="872"/>
      <c r="P257" s="874">
        <v>43426</v>
      </c>
      <c r="Q257" s="1000"/>
      <c r="R257" s="1083"/>
    </row>
    <row r="258" spans="1:23" ht="15.75" thickBot="1">
      <c r="A258" s="1098" t="s">
        <v>2884</v>
      </c>
      <c r="B258" s="869" t="s">
        <v>2434</v>
      </c>
      <c r="C258" s="869" t="s">
        <v>751</v>
      </c>
      <c r="D258" s="856" t="s">
        <v>3202</v>
      </c>
      <c r="E258" s="1028" t="s">
        <v>2844</v>
      </c>
      <c r="F258" s="869"/>
      <c r="G258" s="1200">
        <v>407460</v>
      </c>
      <c r="H258" s="869" t="s">
        <v>251</v>
      </c>
      <c r="I258" s="870">
        <v>43349</v>
      </c>
      <c r="J258" s="870">
        <v>43384</v>
      </c>
      <c r="K258" s="869" t="s">
        <v>3114</v>
      </c>
      <c r="L258" s="1200">
        <v>407460</v>
      </c>
      <c r="M258" s="1200">
        <v>468579</v>
      </c>
      <c r="N258" s="869"/>
      <c r="O258" s="869"/>
      <c r="P258" s="869"/>
      <c r="Q258" s="1108"/>
      <c r="R258" s="1083"/>
    </row>
    <row r="259" spans="1:23" ht="15.75" thickTop="1">
      <c r="A259" s="882" t="s">
        <v>2886</v>
      </c>
      <c r="B259" s="883" t="s">
        <v>69</v>
      </c>
      <c r="C259" s="883" t="s">
        <v>70</v>
      </c>
      <c r="D259" s="884" t="s">
        <v>2888</v>
      </c>
      <c r="E259" s="883" t="s">
        <v>2887</v>
      </c>
      <c r="F259" s="883"/>
      <c r="G259" s="885">
        <v>1383112</v>
      </c>
      <c r="H259" s="883" t="s">
        <v>112</v>
      </c>
      <c r="I259" s="886">
        <v>43271</v>
      </c>
      <c r="J259" s="886">
        <v>43290</v>
      </c>
      <c r="K259" s="894" t="s">
        <v>242</v>
      </c>
      <c r="L259" s="885"/>
      <c r="M259" s="885"/>
      <c r="N259" s="883"/>
      <c r="O259" s="883"/>
      <c r="P259" s="886">
        <v>43325</v>
      </c>
      <c r="Q259" s="887" t="s">
        <v>239</v>
      </c>
      <c r="R259" s="1083"/>
    </row>
    <row r="260" spans="1:23">
      <c r="A260" s="1312" t="s">
        <v>2886</v>
      </c>
      <c r="B260" s="1056" t="s">
        <v>69</v>
      </c>
      <c r="C260" s="1056" t="s">
        <v>70</v>
      </c>
      <c r="D260" s="1057" t="s">
        <v>2889</v>
      </c>
      <c r="E260" s="1056" t="s">
        <v>2887</v>
      </c>
      <c r="F260" s="1056"/>
      <c r="G260" s="1058">
        <v>83668</v>
      </c>
      <c r="H260" s="1056" t="s">
        <v>112</v>
      </c>
      <c r="I260" s="874">
        <v>43271</v>
      </c>
      <c r="J260" s="874">
        <v>43290</v>
      </c>
      <c r="K260" s="876" t="s">
        <v>242</v>
      </c>
      <c r="L260" s="875"/>
      <c r="M260" s="875"/>
      <c r="N260" s="872"/>
      <c r="O260" s="872"/>
      <c r="P260" s="874">
        <v>43325</v>
      </c>
      <c r="Q260" s="1000" t="s">
        <v>239</v>
      </c>
      <c r="R260" s="1083"/>
    </row>
    <row r="261" spans="1:23">
      <c r="A261" s="1312" t="s">
        <v>2886</v>
      </c>
      <c r="B261" s="1056" t="s">
        <v>69</v>
      </c>
      <c r="C261" s="1056" t="s">
        <v>70</v>
      </c>
      <c r="D261" s="1057" t="s">
        <v>2890</v>
      </c>
      <c r="E261" s="1056" t="s">
        <v>2887</v>
      </c>
      <c r="F261" s="1056"/>
      <c r="G261" s="1058">
        <v>25934</v>
      </c>
      <c r="H261" s="1056" t="s">
        <v>112</v>
      </c>
      <c r="I261" s="874">
        <v>43271</v>
      </c>
      <c r="J261" s="874">
        <v>43290</v>
      </c>
      <c r="K261" s="876" t="s">
        <v>242</v>
      </c>
      <c r="L261" s="875"/>
      <c r="M261" s="875"/>
      <c r="N261" s="872"/>
      <c r="O261" s="872"/>
      <c r="P261" s="874">
        <v>43325</v>
      </c>
      <c r="Q261" s="1000" t="s">
        <v>239</v>
      </c>
      <c r="R261" s="1083"/>
    </row>
    <row r="262" spans="1:23">
      <c r="A262" s="1312" t="s">
        <v>2886</v>
      </c>
      <c r="B262" s="1056" t="s">
        <v>69</v>
      </c>
      <c r="C262" s="1056" t="s">
        <v>70</v>
      </c>
      <c r="D262" s="1057" t="s">
        <v>2891</v>
      </c>
      <c r="E262" s="1056" t="s">
        <v>2887</v>
      </c>
      <c r="F262" s="1056"/>
      <c r="G262" s="1058">
        <v>31256</v>
      </c>
      <c r="H262" s="1056" t="s">
        <v>112</v>
      </c>
      <c r="I262" s="874">
        <v>43271</v>
      </c>
      <c r="J262" s="874">
        <v>43290</v>
      </c>
      <c r="K262" s="876" t="s">
        <v>242</v>
      </c>
      <c r="L262" s="875"/>
      <c r="M262" s="875"/>
      <c r="N262" s="872"/>
      <c r="O262" s="872"/>
      <c r="P262" s="874">
        <v>43325</v>
      </c>
      <c r="Q262" s="1000" t="s">
        <v>239</v>
      </c>
      <c r="R262" s="1083"/>
    </row>
    <row r="263" spans="1:23" ht="15.75" thickBot="1">
      <c r="A263" s="1105" t="s">
        <v>2886</v>
      </c>
      <c r="B263" s="1106" t="s">
        <v>69</v>
      </c>
      <c r="C263" s="1106" t="s">
        <v>70</v>
      </c>
      <c r="D263" s="1107" t="s">
        <v>2892</v>
      </c>
      <c r="E263" s="1106" t="s">
        <v>2887</v>
      </c>
      <c r="F263" s="1106"/>
      <c r="G263" s="1308">
        <v>3061</v>
      </c>
      <c r="H263" s="1106" t="s">
        <v>112</v>
      </c>
      <c r="I263" s="1285">
        <v>43271</v>
      </c>
      <c r="J263" s="1285">
        <v>43290</v>
      </c>
      <c r="K263" s="1286" t="s">
        <v>242</v>
      </c>
      <c r="L263" s="1284"/>
      <c r="M263" s="1284"/>
      <c r="N263" s="1282"/>
      <c r="O263" s="1282"/>
      <c r="P263" s="1285">
        <v>43325</v>
      </c>
      <c r="Q263" s="1287" t="s">
        <v>239</v>
      </c>
      <c r="R263" s="1083"/>
    </row>
    <row r="264" spans="1:23" ht="15.75" thickTop="1">
      <c r="A264" s="991" t="s">
        <v>2894</v>
      </c>
      <c r="B264" s="991" t="s">
        <v>52</v>
      </c>
      <c r="C264" s="991" t="s">
        <v>227</v>
      </c>
      <c r="D264" s="939" t="s">
        <v>2895</v>
      </c>
      <c r="E264" s="985" t="s">
        <v>1708</v>
      </c>
      <c r="F264" s="991"/>
      <c r="G264" s="992">
        <v>525000</v>
      </c>
      <c r="H264" s="991" t="s">
        <v>112</v>
      </c>
      <c r="I264" s="993">
        <v>43259</v>
      </c>
      <c r="J264" s="993">
        <v>43272</v>
      </c>
      <c r="K264" s="991" t="s">
        <v>1861</v>
      </c>
      <c r="L264" s="992">
        <v>482500</v>
      </c>
      <c r="M264" s="992">
        <v>583825</v>
      </c>
      <c r="N264" s="993">
        <v>43357</v>
      </c>
      <c r="O264" s="993"/>
      <c r="P264" s="993">
        <v>43361</v>
      </c>
      <c r="Q264" s="1214">
        <v>43840</v>
      </c>
      <c r="R264" s="801"/>
    </row>
    <row r="265" spans="1:23">
      <c r="A265" s="902" t="s">
        <v>2896</v>
      </c>
      <c r="B265" s="902" t="s">
        <v>58</v>
      </c>
      <c r="C265" s="902" t="s">
        <v>55</v>
      </c>
      <c r="D265" s="903" t="s">
        <v>867</v>
      </c>
      <c r="E265" s="902" t="s">
        <v>292</v>
      </c>
      <c r="F265" s="902"/>
      <c r="G265" s="1211">
        <v>430000</v>
      </c>
      <c r="H265" s="902" t="s">
        <v>112</v>
      </c>
      <c r="I265" s="905">
        <v>43251</v>
      </c>
      <c r="J265" s="905">
        <v>43263</v>
      </c>
      <c r="K265" s="902" t="s">
        <v>3039</v>
      </c>
      <c r="L265" s="1211">
        <v>401780</v>
      </c>
      <c r="M265" s="1211">
        <f t="shared" ref="M265:M270" si="3">L265*1.21</f>
        <v>486153.8</v>
      </c>
      <c r="N265" s="905">
        <v>43342</v>
      </c>
      <c r="O265" s="905"/>
      <c r="P265" s="902" t="s">
        <v>239</v>
      </c>
      <c r="Q265" s="902" t="s">
        <v>239</v>
      </c>
      <c r="R265" s="801"/>
    </row>
    <row r="266" spans="1:23" ht="15.75" thickBot="1">
      <c r="A266" s="913" t="s">
        <v>2897</v>
      </c>
      <c r="B266" s="913" t="s">
        <v>58</v>
      </c>
      <c r="C266" s="913" t="s">
        <v>55</v>
      </c>
      <c r="D266" s="914" t="s">
        <v>866</v>
      </c>
      <c r="E266" s="913" t="s">
        <v>292</v>
      </c>
      <c r="F266" s="913"/>
      <c r="G266" s="915">
        <v>930000</v>
      </c>
      <c r="H266" s="913" t="s">
        <v>112</v>
      </c>
      <c r="I266" s="905">
        <v>43258</v>
      </c>
      <c r="J266" s="905">
        <v>43270</v>
      </c>
      <c r="K266" s="913" t="s">
        <v>3039</v>
      </c>
      <c r="L266" s="915">
        <v>694340</v>
      </c>
      <c r="M266" s="915">
        <f t="shared" si="3"/>
        <v>840151.4</v>
      </c>
      <c r="N266" s="916">
        <v>43363</v>
      </c>
      <c r="O266" s="916"/>
      <c r="P266" s="916">
        <v>43368</v>
      </c>
      <c r="Q266" s="916">
        <v>43556</v>
      </c>
      <c r="R266" s="1208" t="s">
        <v>1875</v>
      </c>
    </row>
    <row r="267" spans="1:23" ht="15.75" thickTop="1">
      <c r="A267" s="1091" t="s">
        <v>2898</v>
      </c>
      <c r="B267" s="1092" t="s">
        <v>1700</v>
      </c>
      <c r="C267" s="1092" t="s">
        <v>1699</v>
      </c>
      <c r="D267" s="1093" t="s">
        <v>2931</v>
      </c>
      <c r="E267" s="1092" t="s">
        <v>2932</v>
      </c>
      <c r="F267" s="1092" t="s">
        <v>2933</v>
      </c>
      <c r="G267" s="1199">
        <v>789537</v>
      </c>
      <c r="H267" s="1092" t="s">
        <v>251</v>
      </c>
      <c r="I267" s="1095">
        <v>43264</v>
      </c>
      <c r="J267" s="1095">
        <v>43353</v>
      </c>
      <c r="K267" s="1092" t="s">
        <v>2680</v>
      </c>
      <c r="L267" s="1199">
        <v>814390</v>
      </c>
      <c r="M267" s="1199">
        <f t="shared" si="3"/>
        <v>985411.9</v>
      </c>
      <c r="N267" s="1092"/>
      <c r="O267" s="1092"/>
      <c r="P267" s="1092"/>
      <c r="Q267" s="1119"/>
      <c r="R267" s="1083"/>
    </row>
    <row r="268" spans="1:23" s="1190" customFormat="1">
      <c r="A268" s="1098" t="s">
        <v>2898</v>
      </c>
      <c r="B268" s="869" t="s">
        <v>1700</v>
      </c>
      <c r="C268" s="869" t="s">
        <v>1699</v>
      </c>
      <c r="D268" s="856" t="s">
        <v>2934</v>
      </c>
      <c r="E268" s="869" t="s">
        <v>2935</v>
      </c>
      <c r="F268" s="869" t="s">
        <v>2936</v>
      </c>
      <c r="G268" s="1200">
        <v>12102396</v>
      </c>
      <c r="H268" s="869" t="s">
        <v>251</v>
      </c>
      <c r="I268" s="870">
        <v>43264</v>
      </c>
      <c r="J268" s="870">
        <v>43353</v>
      </c>
      <c r="K268" s="869" t="s">
        <v>342</v>
      </c>
      <c r="L268" s="1200">
        <v>10812100</v>
      </c>
      <c r="M268" s="1200">
        <f t="shared" si="3"/>
        <v>13082641</v>
      </c>
      <c r="N268" s="869"/>
      <c r="O268" s="869"/>
      <c r="P268" s="869"/>
      <c r="Q268" s="1108"/>
      <c r="R268" s="1083"/>
      <c r="S268" s="374"/>
      <c r="T268" s="374"/>
      <c r="U268" s="374"/>
      <c r="V268" s="374"/>
      <c r="W268" s="374"/>
    </row>
    <row r="269" spans="1:23" s="1190" customFormat="1">
      <c r="A269" s="1098" t="s">
        <v>2898</v>
      </c>
      <c r="B269" s="869" t="s">
        <v>1700</v>
      </c>
      <c r="C269" s="869" t="s">
        <v>1699</v>
      </c>
      <c r="D269" s="856" t="s">
        <v>2937</v>
      </c>
      <c r="E269" s="869" t="s">
        <v>2935</v>
      </c>
      <c r="F269" s="869" t="s">
        <v>2938</v>
      </c>
      <c r="G269" s="1200">
        <v>2259338</v>
      </c>
      <c r="H269" s="869" t="s">
        <v>251</v>
      </c>
      <c r="I269" s="870">
        <v>43264</v>
      </c>
      <c r="J269" s="870">
        <v>43353</v>
      </c>
      <c r="K269" s="869" t="s">
        <v>2680</v>
      </c>
      <c r="L269" s="1200">
        <v>1743190</v>
      </c>
      <c r="M269" s="1200">
        <f t="shared" si="3"/>
        <v>2109259.9</v>
      </c>
      <c r="N269" s="869"/>
      <c r="O269" s="869"/>
      <c r="P269" s="869"/>
      <c r="Q269" s="1108"/>
      <c r="R269" s="1083"/>
      <c r="S269" s="374"/>
      <c r="T269" s="374"/>
      <c r="U269" s="374"/>
      <c r="V269" s="374"/>
      <c r="W269" s="374"/>
    </row>
    <row r="270" spans="1:23" s="1190" customFormat="1" ht="15.75" thickBot="1">
      <c r="A270" s="1291" t="s">
        <v>2898</v>
      </c>
      <c r="B270" s="1292" t="s">
        <v>1700</v>
      </c>
      <c r="C270" s="1292" t="s">
        <v>1699</v>
      </c>
      <c r="D270" s="1293" t="s">
        <v>2939</v>
      </c>
      <c r="E270" s="1292" t="s">
        <v>2935</v>
      </c>
      <c r="F270" s="1292" t="s">
        <v>2940</v>
      </c>
      <c r="G270" s="1294">
        <v>448283</v>
      </c>
      <c r="H270" s="1292" t="s">
        <v>251</v>
      </c>
      <c r="I270" s="1295">
        <v>43264</v>
      </c>
      <c r="J270" s="1295">
        <v>43353</v>
      </c>
      <c r="K270" s="1292" t="s">
        <v>3184</v>
      </c>
      <c r="L270" s="1294">
        <v>665561.80000000005</v>
      </c>
      <c r="M270" s="1294">
        <f t="shared" si="3"/>
        <v>805329.77800000005</v>
      </c>
      <c r="N270" s="1292"/>
      <c r="O270" s="1292"/>
      <c r="P270" s="1292"/>
      <c r="Q270" s="1296"/>
      <c r="R270" s="1083"/>
      <c r="S270" s="374"/>
      <c r="T270" s="374"/>
      <c r="U270" s="374"/>
      <c r="V270" s="374"/>
      <c r="W270" s="374"/>
    </row>
    <row r="271" spans="1:23" ht="15.75" thickTop="1">
      <c r="A271" s="882" t="s">
        <v>2899</v>
      </c>
      <c r="B271" s="883" t="s">
        <v>1700</v>
      </c>
      <c r="C271" s="883" t="s">
        <v>1699</v>
      </c>
      <c r="D271" s="1304" t="s">
        <v>2914</v>
      </c>
      <c r="E271" s="883" t="s">
        <v>2920</v>
      </c>
      <c r="F271" s="883" t="s">
        <v>2915</v>
      </c>
      <c r="G271" s="885">
        <v>442644</v>
      </c>
      <c r="H271" s="883" t="s">
        <v>251</v>
      </c>
      <c r="I271" s="886">
        <v>43266</v>
      </c>
      <c r="J271" s="886">
        <v>43308</v>
      </c>
      <c r="K271" s="894" t="s">
        <v>2192</v>
      </c>
      <c r="L271" s="885"/>
      <c r="M271" s="885"/>
      <c r="N271" s="883"/>
      <c r="O271" s="883"/>
      <c r="P271" s="886">
        <v>43315</v>
      </c>
      <c r="Q271" s="887"/>
      <c r="R271" s="1083"/>
    </row>
    <row r="272" spans="1:23" s="1190" customFormat="1">
      <c r="A272" s="1014" t="s">
        <v>2899</v>
      </c>
      <c r="B272" s="902" t="s">
        <v>1700</v>
      </c>
      <c r="C272" s="902" t="s">
        <v>1699</v>
      </c>
      <c r="D272" s="1345" t="s">
        <v>2916</v>
      </c>
      <c r="E272" s="902" t="s">
        <v>292</v>
      </c>
      <c r="F272" s="902" t="s">
        <v>2917</v>
      </c>
      <c r="G272" s="1211">
        <v>330082</v>
      </c>
      <c r="H272" s="902" t="s">
        <v>251</v>
      </c>
      <c r="I272" s="905">
        <v>43266</v>
      </c>
      <c r="J272" s="905">
        <v>43308</v>
      </c>
      <c r="K272" s="902" t="s">
        <v>2834</v>
      </c>
      <c r="L272" s="1211">
        <v>294880</v>
      </c>
      <c r="M272" s="1211">
        <v>356804.8</v>
      </c>
      <c r="N272" s="905">
        <v>43440</v>
      </c>
      <c r="O272" s="905"/>
      <c r="P272" s="905">
        <v>43448</v>
      </c>
      <c r="Q272" s="1089">
        <v>43598</v>
      </c>
      <c r="R272" s="1208" t="s">
        <v>1875</v>
      </c>
      <c r="S272" s="374"/>
      <c r="T272" s="374"/>
      <c r="U272" s="374"/>
      <c r="V272" s="374"/>
      <c r="W272" s="374"/>
    </row>
    <row r="273" spans="1:23" s="1190" customFormat="1">
      <c r="A273" s="1014" t="s">
        <v>2899</v>
      </c>
      <c r="B273" s="902" t="s">
        <v>1700</v>
      </c>
      <c r="C273" s="902" t="s">
        <v>1699</v>
      </c>
      <c r="D273" s="1345" t="s">
        <v>2921</v>
      </c>
      <c r="E273" s="902" t="s">
        <v>2919</v>
      </c>
      <c r="F273" s="902" t="s">
        <v>2918</v>
      </c>
      <c r="G273" s="1211">
        <v>1818181</v>
      </c>
      <c r="H273" s="902" t="s">
        <v>251</v>
      </c>
      <c r="I273" s="905">
        <v>43266</v>
      </c>
      <c r="J273" s="905">
        <v>43308</v>
      </c>
      <c r="K273" s="902" t="s">
        <v>1714</v>
      </c>
      <c r="L273" s="1211">
        <v>1791363.5</v>
      </c>
      <c r="M273" s="1211">
        <v>2166885.88</v>
      </c>
      <c r="N273" s="905">
        <v>43440</v>
      </c>
      <c r="O273" s="905"/>
      <c r="P273" s="905">
        <v>43448</v>
      </c>
      <c r="Q273" s="1089">
        <v>43556</v>
      </c>
      <c r="R273" s="1208" t="s">
        <v>1875</v>
      </c>
      <c r="S273" s="374"/>
      <c r="T273" s="374"/>
      <c r="U273" s="374"/>
      <c r="V273" s="374"/>
      <c r="W273" s="374"/>
    </row>
    <row r="274" spans="1:23" s="1190" customFormat="1">
      <c r="A274" s="1014" t="s">
        <v>2899</v>
      </c>
      <c r="B274" s="902" t="s">
        <v>1700</v>
      </c>
      <c r="C274" s="902" t="s">
        <v>1699</v>
      </c>
      <c r="D274" s="1345" t="s">
        <v>2922</v>
      </c>
      <c r="E274" s="902" t="s">
        <v>2920</v>
      </c>
      <c r="F274" s="902" t="s">
        <v>2923</v>
      </c>
      <c r="G274" s="1211">
        <v>34958</v>
      </c>
      <c r="H274" s="902" t="s">
        <v>251</v>
      </c>
      <c r="I274" s="905">
        <v>43266</v>
      </c>
      <c r="J274" s="905">
        <v>43308</v>
      </c>
      <c r="K274" s="902" t="s">
        <v>3060</v>
      </c>
      <c r="L274" s="1211">
        <v>33561</v>
      </c>
      <c r="M274" s="1211">
        <v>40608.81</v>
      </c>
      <c r="N274" s="905">
        <v>43438</v>
      </c>
      <c r="O274" s="905"/>
      <c r="P274" s="905">
        <v>43448</v>
      </c>
      <c r="Q274" s="1089">
        <v>43563</v>
      </c>
      <c r="R274" s="1083"/>
      <c r="S274" s="374"/>
      <c r="T274" s="374"/>
      <c r="U274" s="374"/>
      <c r="V274" s="374"/>
      <c r="W274" s="374"/>
    </row>
    <row r="275" spans="1:23" s="1190" customFormat="1">
      <c r="A275" s="999" t="s">
        <v>2899</v>
      </c>
      <c r="B275" s="872" t="s">
        <v>1700</v>
      </c>
      <c r="C275" s="872" t="s">
        <v>1699</v>
      </c>
      <c r="D275" s="1306" t="s">
        <v>2924</v>
      </c>
      <c r="E275" s="872" t="s">
        <v>2920</v>
      </c>
      <c r="F275" s="872" t="s">
        <v>2925</v>
      </c>
      <c r="G275" s="875">
        <v>192785</v>
      </c>
      <c r="H275" s="872" t="s">
        <v>251</v>
      </c>
      <c r="I275" s="874">
        <v>43266</v>
      </c>
      <c r="J275" s="874">
        <v>43308</v>
      </c>
      <c r="K275" s="876" t="s">
        <v>2192</v>
      </c>
      <c r="L275" s="875"/>
      <c r="M275" s="875"/>
      <c r="N275" s="872"/>
      <c r="O275" s="872"/>
      <c r="P275" s="874">
        <v>43315</v>
      </c>
      <c r="Q275" s="1000"/>
      <c r="R275" s="1083"/>
      <c r="S275" s="374"/>
      <c r="T275" s="374"/>
      <c r="U275" s="374"/>
      <c r="V275" s="374"/>
      <c r="W275" s="374"/>
    </row>
    <row r="276" spans="1:23" s="1190" customFormat="1">
      <c r="A276" s="999" t="s">
        <v>2899</v>
      </c>
      <c r="B276" s="872" t="s">
        <v>1700</v>
      </c>
      <c r="C276" s="872" t="s">
        <v>1699</v>
      </c>
      <c r="D276" s="1306" t="s">
        <v>2926</v>
      </c>
      <c r="E276" s="872" t="s">
        <v>292</v>
      </c>
      <c r="F276" s="872" t="s">
        <v>2927</v>
      </c>
      <c r="G276" s="875">
        <v>475207</v>
      </c>
      <c r="H276" s="872" t="s">
        <v>251</v>
      </c>
      <c r="I276" s="874">
        <v>43266</v>
      </c>
      <c r="J276" s="874">
        <v>43308</v>
      </c>
      <c r="K276" s="876" t="s">
        <v>242</v>
      </c>
      <c r="L276" s="875"/>
      <c r="M276" s="875"/>
      <c r="N276" s="872"/>
      <c r="O276" s="872"/>
      <c r="P276" s="874">
        <v>43410</v>
      </c>
      <c r="Q276" s="1000"/>
      <c r="R276" s="1083"/>
      <c r="S276" s="374"/>
      <c r="T276" s="374"/>
      <c r="U276" s="374"/>
      <c r="V276" s="374"/>
      <c r="W276" s="374"/>
    </row>
    <row r="277" spans="1:23" s="1190" customFormat="1">
      <c r="A277" s="1014" t="s">
        <v>2899</v>
      </c>
      <c r="B277" s="902" t="s">
        <v>1700</v>
      </c>
      <c r="C277" s="902" t="s">
        <v>1699</v>
      </c>
      <c r="D277" s="1345" t="s">
        <v>2928</v>
      </c>
      <c r="E277" s="902" t="s">
        <v>2919</v>
      </c>
      <c r="F277" s="902" t="s">
        <v>2930</v>
      </c>
      <c r="G277" s="1211">
        <v>3150660</v>
      </c>
      <c r="H277" s="902" t="s">
        <v>251</v>
      </c>
      <c r="I277" s="905">
        <v>43266</v>
      </c>
      <c r="J277" s="905">
        <v>43308</v>
      </c>
      <c r="K277" s="902" t="s">
        <v>3151</v>
      </c>
      <c r="L277" s="1211">
        <v>2336290</v>
      </c>
      <c r="M277" s="1211">
        <v>2826910.9</v>
      </c>
      <c r="N277" s="905">
        <v>43438</v>
      </c>
      <c r="O277" s="905"/>
      <c r="P277" s="905">
        <v>43448</v>
      </c>
      <c r="Q277" s="1089">
        <v>43563</v>
      </c>
      <c r="R277" s="1208" t="s">
        <v>1875</v>
      </c>
      <c r="S277" s="374"/>
      <c r="T277" s="374"/>
      <c r="U277" s="374"/>
      <c r="V277" s="374"/>
      <c r="W277" s="374"/>
    </row>
    <row r="278" spans="1:23" s="1190" customFormat="1" ht="15.75" thickBot="1">
      <c r="A278" s="1314" t="s">
        <v>2899</v>
      </c>
      <c r="B278" s="1297" t="s">
        <v>1700</v>
      </c>
      <c r="C278" s="1297" t="s">
        <v>1699</v>
      </c>
      <c r="D278" s="1346" t="s">
        <v>2929</v>
      </c>
      <c r="E278" s="1297" t="s">
        <v>2919</v>
      </c>
      <c r="F278" s="1297" t="s">
        <v>2930</v>
      </c>
      <c r="G278" s="1316">
        <v>498098</v>
      </c>
      <c r="H278" s="1297" t="s">
        <v>251</v>
      </c>
      <c r="I278" s="1317">
        <v>43266</v>
      </c>
      <c r="J278" s="1317">
        <v>43308</v>
      </c>
      <c r="K278" s="1297" t="s">
        <v>1714</v>
      </c>
      <c r="L278" s="1316">
        <v>506750</v>
      </c>
      <c r="M278" s="1316">
        <v>657012.5</v>
      </c>
      <c r="N278" s="1317">
        <v>43438</v>
      </c>
      <c r="O278" s="1317"/>
      <c r="P278" s="1317">
        <v>43448</v>
      </c>
      <c r="Q278" s="1498">
        <v>43608</v>
      </c>
      <c r="R278" s="1208" t="s">
        <v>1875</v>
      </c>
      <c r="S278" s="374"/>
      <c r="T278" s="374"/>
      <c r="U278" s="374"/>
      <c r="V278" s="374"/>
      <c r="W278" s="374"/>
    </row>
    <row r="279" spans="1:23" ht="16.5" thickTop="1" thickBot="1">
      <c r="A279" s="1300" t="s">
        <v>2900</v>
      </c>
      <c r="B279" s="1300" t="s">
        <v>1032</v>
      </c>
      <c r="C279" s="1300" t="s">
        <v>361</v>
      </c>
      <c r="D279" s="1301" t="s">
        <v>2901</v>
      </c>
      <c r="E279" s="1300" t="s">
        <v>806</v>
      </c>
      <c r="F279" s="1300" t="s">
        <v>2902</v>
      </c>
      <c r="G279" s="1302">
        <v>750000</v>
      </c>
      <c r="H279" s="1300" t="s">
        <v>216</v>
      </c>
      <c r="I279" s="1303">
        <v>43256</v>
      </c>
      <c r="J279" s="1303">
        <v>43278</v>
      </c>
      <c r="K279" s="1305" t="s">
        <v>242</v>
      </c>
      <c r="L279" s="1302"/>
      <c r="M279" s="1302"/>
      <c r="N279" s="1300"/>
      <c r="O279" s="1300"/>
      <c r="P279" s="1303">
        <v>43299</v>
      </c>
      <c r="Q279" s="1300"/>
      <c r="R279" s="801"/>
    </row>
    <row r="280" spans="1:23" ht="15.75" thickTop="1">
      <c r="A280" s="989" t="s">
        <v>2903</v>
      </c>
      <c r="B280" s="985" t="s">
        <v>69</v>
      </c>
      <c r="C280" s="985" t="s">
        <v>70</v>
      </c>
      <c r="D280" s="939" t="s">
        <v>2942</v>
      </c>
      <c r="E280" s="985" t="s">
        <v>816</v>
      </c>
      <c r="F280" s="985"/>
      <c r="G280" s="1210">
        <v>780290</v>
      </c>
      <c r="H280" s="985" t="s">
        <v>216</v>
      </c>
      <c r="I280" s="987">
        <v>43252</v>
      </c>
      <c r="J280" s="987">
        <v>43272</v>
      </c>
      <c r="K280" s="985" t="s">
        <v>1402</v>
      </c>
      <c r="L280" s="1210">
        <v>779932.8</v>
      </c>
      <c r="M280" s="1210">
        <v>857926.08</v>
      </c>
      <c r="N280" s="987">
        <v>43362</v>
      </c>
      <c r="O280" s="987">
        <v>43585</v>
      </c>
      <c r="P280" s="987">
        <v>43368</v>
      </c>
      <c r="Q280" s="1088">
        <v>43550</v>
      </c>
      <c r="R280" s="1500">
        <v>43914</v>
      </c>
      <c r="S280" s="1426" t="s">
        <v>4108</v>
      </c>
    </row>
    <row r="281" spans="1:23" s="1190" customFormat="1">
      <c r="A281" s="1014" t="s">
        <v>2903</v>
      </c>
      <c r="B281" s="902" t="s">
        <v>69</v>
      </c>
      <c r="C281" s="902" t="s">
        <v>70</v>
      </c>
      <c r="D281" s="903" t="s">
        <v>2941</v>
      </c>
      <c r="E281" s="902" t="s">
        <v>816</v>
      </c>
      <c r="F281" s="902"/>
      <c r="G281" s="1211">
        <v>654848</v>
      </c>
      <c r="H281" s="902" t="s">
        <v>216</v>
      </c>
      <c r="I281" s="905">
        <v>43252</v>
      </c>
      <c r="J281" s="905">
        <v>43272</v>
      </c>
      <c r="K281" s="902" t="s">
        <v>576</v>
      </c>
      <c r="L281" s="1211">
        <v>591578</v>
      </c>
      <c r="M281" s="1211">
        <v>650735.80000000005</v>
      </c>
      <c r="N281" s="1802">
        <v>43362</v>
      </c>
      <c r="O281" s="1802">
        <v>44092</v>
      </c>
      <c r="P281" s="905">
        <v>43368</v>
      </c>
      <c r="Q281" s="1089">
        <v>43550</v>
      </c>
      <c r="R281" s="1500">
        <v>43914</v>
      </c>
      <c r="S281" s="1560">
        <v>44280</v>
      </c>
      <c r="T281" s="374"/>
      <c r="U281" s="374"/>
      <c r="V281" s="374"/>
      <c r="W281" s="374"/>
    </row>
    <row r="282" spans="1:23" s="1190" customFormat="1">
      <c r="A282" s="1014" t="s">
        <v>2903</v>
      </c>
      <c r="B282" s="902" t="s">
        <v>69</v>
      </c>
      <c r="C282" s="902" t="s">
        <v>70</v>
      </c>
      <c r="D282" s="903" t="s">
        <v>2943</v>
      </c>
      <c r="E282" s="902" t="s">
        <v>816</v>
      </c>
      <c r="F282" s="902"/>
      <c r="G282" s="1211">
        <v>362712</v>
      </c>
      <c r="H282" s="902" t="s">
        <v>216</v>
      </c>
      <c r="I282" s="905">
        <v>43252</v>
      </c>
      <c r="J282" s="905">
        <v>43272</v>
      </c>
      <c r="K282" s="902" t="s">
        <v>2548</v>
      </c>
      <c r="L282" s="1211">
        <v>356240.08</v>
      </c>
      <c r="M282" s="1211">
        <v>391864.09</v>
      </c>
      <c r="N282" s="905">
        <v>43362</v>
      </c>
      <c r="O282" s="905">
        <v>44092</v>
      </c>
      <c r="P282" s="905">
        <v>43368</v>
      </c>
      <c r="Q282" s="1089">
        <v>43550</v>
      </c>
      <c r="R282" s="1500">
        <v>43914</v>
      </c>
      <c r="S282" s="1560">
        <v>44280</v>
      </c>
      <c r="T282" s="374"/>
      <c r="U282" s="374"/>
      <c r="V282" s="374"/>
      <c r="W282" s="374"/>
    </row>
    <row r="283" spans="1:23" s="1190" customFormat="1">
      <c r="A283" s="1014" t="s">
        <v>2903</v>
      </c>
      <c r="B283" s="902" t="s">
        <v>69</v>
      </c>
      <c r="C283" s="902" t="s">
        <v>70</v>
      </c>
      <c r="D283" s="903" t="s">
        <v>2944</v>
      </c>
      <c r="E283" s="902" t="s">
        <v>816</v>
      </c>
      <c r="F283" s="902"/>
      <c r="G283" s="1211">
        <v>1010404</v>
      </c>
      <c r="H283" s="902" t="s">
        <v>216</v>
      </c>
      <c r="I283" s="905">
        <v>43252</v>
      </c>
      <c r="J283" s="905">
        <v>43272</v>
      </c>
      <c r="K283" s="902" t="s">
        <v>1646</v>
      </c>
      <c r="L283" s="1211">
        <v>1000546.4</v>
      </c>
      <c r="M283" s="1211">
        <v>1100601.04</v>
      </c>
      <c r="N283" s="905">
        <v>43362</v>
      </c>
      <c r="O283" s="905">
        <v>44092</v>
      </c>
      <c r="P283" s="905">
        <v>43368</v>
      </c>
      <c r="Q283" s="1089">
        <v>43550</v>
      </c>
      <c r="R283" s="1500">
        <v>43914</v>
      </c>
      <c r="S283" s="1560">
        <v>44280</v>
      </c>
      <c r="T283" s="374"/>
      <c r="U283" s="374"/>
      <c r="V283" s="374"/>
      <c r="W283" s="374"/>
    </row>
    <row r="284" spans="1:23" s="1190" customFormat="1">
      <c r="A284" s="1014" t="s">
        <v>2903</v>
      </c>
      <c r="B284" s="902" t="s">
        <v>69</v>
      </c>
      <c r="C284" s="902" t="s">
        <v>70</v>
      </c>
      <c r="D284" s="903" t="s">
        <v>2945</v>
      </c>
      <c r="E284" s="902" t="s">
        <v>816</v>
      </c>
      <c r="F284" s="902"/>
      <c r="G284" s="1211">
        <v>165590</v>
      </c>
      <c r="H284" s="902" t="s">
        <v>216</v>
      </c>
      <c r="I284" s="905">
        <v>43252</v>
      </c>
      <c r="J284" s="905">
        <v>43272</v>
      </c>
      <c r="K284" s="902" t="s">
        <v>1402</v>
      </c>
      <c r="L284" s="1211">
        <v>164617.60000000001</v>
      </c>
      <c r="M284" s="1211">
        <v>181079.36</v>
      </c>
      <c r="N284" s="905">
        <v>43362</v>
      </c>
      <c r="O284" s="905">
        <v>44092</v>
      </c>
      <c r="P284" s="905">
        <v>43368</v>
      </c>
      <c r="Q284" s="1089">
        <v>43550</v>
      </c>
      <c r="R284" s="1500">
        <v>43914</v>
      </c>
      <c r="S284" s="1560">
        <v>44280</v>
      </c>
      <c r="T284" s="374"/>
      <c r="U284" s="374"/>
      <c r="V284" s="374"/>
      <c r="W284" s="374"/>
    </row>
    <row r="285" spans="1:23" s="1190" customFormat="1" ht="15.75" thickBot="1">
      <c r="A285" s="1314" t="s">
        <v>2903</v>
      </c>
      <c r="B285" s="1297" t="s">
        <v>69</v>
      </c>
      <c r="C285" s="1297" t="s">
        <v>70</v>
      </c>
      <c r="D285" s="1315" t="s">
        <v>2946</v>
      </c>
      <c r="E285" s="1297" t="s">
        <v>816</v>
      </c>
      <c r="F285" s="1297"/>
      <c r="G285" s="1316">
        <v>312763</v>
      </c>
      <c r="H285" s="1297" t="s">
        <v>216</v>
      </c>
      <c r="I285" s="1317">
        <v>43252</v>
      </c>
      <c r="J285" s="1317">
        <v>43272</v>
      </c>
      <c r="K285" s="1297" t="s">
        <v>2548</v>
      </c>
      <c r="L285" s="1316">
        <v>312274.84000000003</v>
      </c>
      <c r="M285" s="1316">
        <v>343502.32</v>
      </c>
      <c r="N285" s="1317">
        <v>43362</v>
      </c>
      <c r="O285" s="1317">
        <v>44092</v>
      </c>
      <c r="P285" s="1317">
        <v>43368</v>
      </c>
      <c r="Q285" s="1498">
        <v>43550</v>
      </c>
      <c r="R285" s="1500">
        <v>43914</v>
      </c>
      <c r="S285" s="1560">
        <v>44280</v>
      </c>
      <c r="T285" s="374"/>
      <c r="U285" s="374"/>
      <c r="V285" s="374"/>
      <c r="W285" s="374"/>
    </row>
    <row r="286" spans="1:23" ht="15.75" thickTop="1">
      <c r="A286" s="989" t="s">
        <v>2904</v>
      </c>
      <c r="B286" s="985" t="s">
        <v>1700</v>
      </c>
      <c r="C286" s="985" t="s">
        <v>1699</v>
      </c>
      <c r="D286" s="939" t="s">
        <v>3026</v>
      </c>
      <c r="E286" s="985" t="s">
        <v>2905</v>
      </c>
      <c r="F286" s="985" t="s">
        <v>2911</v>
      </c>
      <c r="G286" s="1210">
        <v>9208264.2300000004</v>
      </c>
      <c r="H286" s="985" t="s">
        <v>251</v>
      </c>
      <c r="I286" s="987">
        <v>43266</v>
      </c>
      <c r="J286" s="987">
        <v>43333</v>
      </c>
      <c r="K286" s="985" t="s">
        <v>2680</v>
      </c>
      <c r="L286" s="1210">
        <v>9625799</v>
      </c>
      <c r="M286" s="1210">
        <f>L286*1.21</f>
        <v>11647216.789999999</v>
      </c>
      <c r="N286" s="987">
        <v>43420</v>
      </c>
      <c r="O286" s="987"/>
      <c r="P286" s="987">
        <v>43433</v>
      </c>
      <c r="Q286" s="1088">
        <v>43461</v>
      </c>
      <c r="R286" s="1208" t="s">
        <v>1875</v>
      </c>
    </row>
    <row r="287" spans="1:23">
      <c r="A287" s="1014" t="s">
        <v>2904</v>
      </c>
      <c r="B287" s="902" t="s">
        <v>1700</v>
      </c>
      <c r="C287" s="902" t="s">
        <v>1699</v>
      </c>
      <c r="D287" s="903" t="s">
        <v>3028</v>
      </c>
      <c r="E287" s="902" t="s">
        <v>2905</v>
      </c>
      <c r="F287" s="902" t="s">
        <v>2912</v>
      </c>
      <c r="G287" s="1211">
        <v>861983.4</v>
      </c>
      <c r="H287" s="902" t="s">
        <v>251</v>
      </c>
      <c r="I287" s="905">
        <v>43266</v>
      </c>
      <c r="J287" s="905">
        <v>43333</v>
      </c>
      <c r="K287" s="902" t="s">
        <v>2680</v>
      </c>
      <c r="L287" s="1211">
        <v>946620</v>
      </c>
      <c r="M287" s="1211">
        <f>L287*1.21</f>
        <v>1145410.2</v>
      </c>
      <c r="N287" s="905">
        <v>43423</v>
      </c>
      <c r="O287" s="905"/>
      <c r="P287" s="905">
        <v>43433</v>
      </c>
      <c r="Q287" s="1089">
        <v>43461</v>
      </c>
      <c r="R287" s="1208" t="s">
        <v>1875</v>
      </c>
    </row>
    <row r="288" spans="1:23" ht="15.75" thickBot="1">
      <c r="A288" s="1291" t="s">
        <v>2904</v>
      </c>
      <c r="B288" s="1292" t="s">
        <v>1700</v>
      </c>
      <c r="C288" s="1292" t="s">
        <v>1699</v>
      </c>
      <c r="D288" s="1293" t="s">
        <v>3027</v>
      </c>
      <c r="E288" s="1292" t="s">
        <v>2905</v>
      </c>
      <c r="F288" s="1292" t="s">
        <v>2913</v>
      </c>
      <c r="G288" s="1294">
        <v>976033.35</v>
      </c>
      <c r="H288" s="1292" t="s">
        <v>251</v>
      </c>
      <c r="I288" s="1295">
        <v>43266</v>
      </c>
      <c r="J288" s="1295">
        <v>43333</v>
      </c>
      <c r="K288" s="1292" t="s">
        <v>3184</v>
      </c>
      <c r="L288" s="1294">
        <v>1967572.28</v>
      </c>
      <c r="M288" s="1294">
        <f>L288*1.21</f>
        <v>2380762.4588000001</v>
      </c>
      <c r="N288" s="1292"/>
      <c r="O288" s="1292"/>
      <c r="P288" s="1292"/>
      <c r="Q288" s="1296"/>
      <c r="R288" s="1083"/>
    </row>
    <row r="289" spans="1:18" ht="16.5" thickTop="1" thickBot="1">
      <c r="A289" s="1005" t="s">
        <v>2948</v>
      </c>
      <c r="B289" s="1005" t="s">
        <v>14</v>
      </c>
      <c r="C289" s="1005" t="s">
        <v>13</v>
      </c>
      <c r="D289" s="1006" t="s">
        <v>2949</v>
      </c>
      <c r="E289" s="1313" t="s">
        <v>2055</v>
      </c>
      <c r="F289" s="1005"/>
      <c r="G289" s="1007">
        <v>370000</v>
      </c>
      <c r="H289" s="1005" t="s">
        <v>112</v>
      </c>
      <c r="I289" s="1008">
        <v>43257</v>
      </c>
      <c r="J289" s="1008">
        <v>43266</v>
      </c>
      <c r="K289" s="1005" t="s">
        <v>3016</v>
      </c>
      <c r="L289" s="1007">
        <v>292114</v>
      </c>
      <c r="M289" s="1007">
        <v>353458</v>
      </c>
      <c r="N289" s="1008">
        <v>43332</v>
      </c>
      <c r="O289" s="1008"/>
      <c r="P289" s="1005" t="s">
        <v>239</v>
      </c>
      <c r="Q289" s="1005" t="s">
        <v>239</v>
      </c>
      <c r="R289" s="801"/>
    </row>
    <row r="290" spans="1:18" ht="15.75" thickTop="1">
      <c r="A290" s="882" t="s">
        <v>2950</v>
      </c>
      <c r="B290" s="883" t="s">
        <v>2434</v>
      </c>
      <c r="C290" s="883" t="s">
        <v>57</v>
      </c>
      <c r="D290" s="884" t="s">
        <v>2952</v>
      </c>
      <c r="E290" s="883" t="s">
        <v>2951</v>
      </c>
      <c r="F290" s="883"/>
      <c r="G290" s="885">
        <v>321000</v>
      </c>
      <c r="H290" s="883" t="s">
        <v>251</v>
      </c>
      <c r="I290" s="886">
        <v>43269</v>
      </c>
      <c r="J290" s="886">
        <v>43315</v>
      </c>
      <c r="K290" s="894" t="s">
        <v>304</v>
      </c>
      <c r="L290" s="885"/>
      <c r="M290" s="885"/>
      <c r="N290" s="883"/>
      <c r="O290" s="883"/>
      <c r="P290" s="886">
        <v>43384</v>
      </c>
      <c r="Q290" s="887"/>
      <c r="R290" s="1083"/>
    </row>
    <row r="291" spans="1:18">
      <c r="A291" s="1098" t="s">
        <v>2950</v>
      </c>
      <c r="B291" s="869" t="s">
        <v>2434</v>
      </c>
      <c r="C291" s="869" t="s">
        <v>57</v>
      </c>
      <c r="D291" s="856" t="s">
        <v>2953</v>
      </c>
      <c r="E291" s="869" t="s">
        <v>2951</v>
      </c>
      <c r="F291" s="869"/>
      <c r="G291" s="1200">
        <v>3300000</v>
      </c>
      <c r="H291" s="869" t="s">
        <v>251</v>
      </c>
      <c r="I291" s="870">
        <v>43269</v>
      </c>
      <c r="J291" s="870">
        <v>43315</v>
      </c>
      <c r="K291" s="869" t="s">
        <v>3191</v>
      </c>
      <c r="L291" s="1200">
        <v>3240000</v>
      </c>
      <c r="M291" s="1200">
        <v>3726000</v>
      </c>
      <c r="N291" s="869"/>
      <c r="O291" s="869"/>
      <c r="P291" s="869"/>
      <c r="Q291" s="1108"/>
      <c r="R291" s="1083"/>
    </row>
    <row r="292" spans="1:18">
      <c r="A292" s="1098" t="s">
        <v>2950</v>
      </c>
      <c r="B292" s="869" t="s">
        <v>2434</v>
      </c>
      <c r="C292" s="869" t="s">
        <v>57</v>
      </c>
      <c r="D292" s="856" t="s">
        <v>2954</v>
      </c>
      <c r="E292" s="869" t="s">
        <v>2951</v>
      </c>
      <c r="F292" s="869"/>
      <c r="G292" s="1200">
        <v>723000</v>
      </c>
      <c r="H292" s="869" t="s">
        <v>251</v>
      </c>
      <c r="I292" s="870">
        <v>43269</v>
      </c>
      <c r="J292" s="870">
        <v>43315</v>
      </c>
      <c r="K292" s="869" t="s">
        <v>3153</v>
      </c>
      <c r="L292" s="1200">
        <v>276383</v>
      </c>
      <c r="M292" s="1200">
        <v>317840.45</v>
      </c>
      <c r="N292" s="869"/>
      <c r="O292" s="869"/>
      <c r="P292" s="869"/>
      <c r="Q292" s="1108"/>
      <c r="R292" s="1083"/>
    </row>
    <row r="293" spans="1:18">
      <c r="A293" s="1098" t="s">
        <v>2950</v>
      </c>
      <c r="B293" s="869" t="s">
        <v>2434</v>
      </c>
      <c r="C293" s="869" t="s">
        <v>57</v>
      </c>
      <c r="D293" s="856" t="s">
        <v>2955</v>
      </c>
      <c r="E293" s="869" t="s">
        <v>2951</v>
      </c>
      <c r="F293" s="869"/>
      <c r="G293" s="1200">
        <v>419000</v>
      </c>
      <c r="H293" s="869" t="s">
        <v>251</v>
      </c>
      <c r="I293" s="870">
        <v>43269</v>
      </c>
      <c r="J293" s="870">
        <v>43315</v>
      </c>
      <c r="K293" s="869" t="s">
        <v>3191</v>
      </c>
      <c r="L293" s="1200">
        <v>398000</v>
      </c>
      <c r="M293" s="1200">
        <v>457700</v>
      </c>
      <c r="N293" s="869"/>
      <c r="O293" s="869"/>
      <c r="P293" s="869"/>
      <c r="Q293" s="1108"/>
      <c r="R293" s="1083"/>
    </row>
    <row r="294" spans="1:18">
      <c r="A294" s="1098" t="s">
        <v>2950</v>
      </c>
      <c r="B294" s="869" t="s">
        <v>2434</v>
      </c>
      <c r="C294" s="869" t="s">
        <v>57</v>
      </c>
      <c r="D294" s="856" t="s">
        <v>2956</v>
      </c>
      <c r="E294" s="869" t="s">
        <v>2951</v>
      </c>
      <c r="F294" s="869"/>
      <c r="G294" s="1200">
        <v>1410000</v>
      </c>
      <c r="H294" s="869" t="s">
        <v>251</v>
      </c>
      <c r="I294" s="870">
        <v>43269</v>
      </c>
      <c r="J294" s="870">
        <v>43315</v>
      </c>
      <c r="K294" s="869" t="s">
        <v>3191</v>
      </c>
      <c r="L294" s="1200">
        <v>1410000</v>
      </c>
      <c r="M294" s="1200">
        <v>1621500</v>
      </c>
      <c r="N294" s="869"/>
      <c r="O294" s="869"/>
      <c r="P294" s="869"/>
      <c r="Q294" s="1108"/>
      <c r="R294" s="1083"/>
    </row>
    <row r="295" spans="1:18">
      <c r="A295" s="1098" t="s">
        <v>2950</v>
      </c>
      <c r="B295" s="869" t="s">
        <v>2434</v>
      </c>
      <c r="C295" s="869" t="s">
        <v>57</v>
      </c>
      <c r="D295" s="856" t="s">
        <v>2957</v>
      </c>
      <c r="E295" s="869" t="s">
        <v>2951</v>
      </c>
      <c r="F295" s="869"/>
      <c r="G295" s="1200">
        <v>616000</v>
      </c>
      <c r="H295" s="869" t="s">
        <v>251</v>
      </c>
      <c r="I295" s="870">
        <v>43269</v>
      </c>
      <c r="J295" s="870">
        <v>43315</v>
      </c>
      <c r="K295" s="869" t="s">
        <v>3191</v>
      </c>
      <c r="L295" s="1200">
        <v>614250</v>
      </c>
      <c r="M295" s="1200">
        <v>706387.5</v>
      </c>
      <c r="N295" s="869"/>
      <c r="O295" s="869"/>
      <c r="P295" s="869"/>
      <c r="Q295" s="1108"/>
      <c r="R295" s="1083"/>
    </row>
    <row r="296" spans="1:18">
      <c r="A296" s="1098" t="s">
        <v>2950</v>
      </c>
      <c r="B296" s="869" t="s">
        <v>2434</v>
      </c>
      <c r="C296" s="869" t="s">
        <v>57</v>
      </c>
      <c r="D296" s="856" t="s">
        <v>2958</v>
      </c>
      <c r="E296" s="869" t="s">
        <v>2951</v>
      </c>
      <c r="F296" s="869"/>
      <c r="G296" s="1200">
        <v>4280000</v>
      </c>
      <c r="H296" s="869" t="s">
        <v>251</v>
      </c>
      <c r="I296" s="870">
        <v>43269</v>
      </c>
      <c r="J296" s="870">
        <v>43315</v>
      </c>
      <c r="K296" s="869" t="s">
        <v>3191</v>
      </c>
      <c r="L296" s="1200">
        <v>2616000</v>
      </c>
      <c r="M296" s="1200">
        <v>3008400</v>
      </c>
      <c r="N296" s="869"/>
      <c r="O296" s="869"/>
      <c r="P296" s="869"/>
      <c r="Q296" s="1108"/>
      <c r="R296" s="1083"/>
    </row>
    <row r="297" spans="1:18">
      <c r="A297" s="1098" t="s">
        <v>2950</v>
      </c>
      <c r="B297" s="869" t="s">
        <v>2434</v>
      </c>
      <c r="C297" s="869" t="s">
        <v>57</v>
      </c>
      <c r="D297" s="856" t="s">
        <v>2959</v>
      </c>
      <c r="E297" s="869" t="s">
        <v>2951</v>
      </c>
      <c r="F297" s="869"/>
      <c r="G297" s="1200">
        <v>4280000</v>
      </c>
      <c r="H297" s="869" t="s">
        <v>251</v>
      </c>
      <c r="I297" s="870">
        <v>43269</v>
      </c>
      <c r="J297" s="870">
        <v>43315</v>
      </c>
      <c r="K297" s="869" t="s">
        <v>3191</v>
      </c>
      <c r="L297" s="1200">
        <v>2160000</v>
      </c>
      <c r="M297" s="1200">
        <v>2484000</v>
      </c>
      <c r="N297" s="869"/>
      <c r="O297" s="869"/>
      <c r="P297" s="869"/>
      <c r="Q297" s="1108"/>
      <c r="R297" s="1083"/>
    </row>
    <row r="298" spans="1:18">
      <c r="A298" s="1322" t="s">
        <v>2950</v>
      </c>
      <c r="B298" s="1323" t="s">
        <v>2434</v>
      </c>
      <c r="C298" s="1323" t="s">
        <v>57</v>
      </c>
      <c r="D298" s="1324" t="s">
        <v>2960</v>
      </c>
      <c r="E298" s="1323" t="s">
        <v>2951</v>
      </c>
      <c r="F298" s="1323"/>
      <c r="G298" s="1325">
        <v>2817000</v>
      </c>
      <c r="H298" s="1323" t="s">
        <v>251</v>
      </c>
      <c r="I298" s="1326">
        <v>43269</v>
      </c>
      <c r="J298" s="1326">
        <v>43315</v>
      </c>
      <c r="K298" s="1323" t="s">
        <v>3191</v>
      </c>
      <c r="L298" s="1325">
        <v>2076000</v>
      </c>
      <c r="M298" s="1325">
        <v>2387400</v>
      </c>
      <c r="N298" s="1323"/>
      <c r="O298" s="1323"/>
      <c r="P298" s="1323"/>
      <c r="Q298" s="1327"/>
      <c r="R298" s="1083"/>
    </row>
    <row r="299" spans="1:18">
      <c r="A299" s="1098" t="s">
        <v>2950</v>
      </c>
      <c r="B299" s="869" t="s">
        <v>2434</v>
      </c>
      <c r="C299" s="869" t="s">
        <v>57</v>
      </c>
      <c r="D299" s="856" t="s">
        <v>2961</v>
      </c>
      <c r="E299" s="869" t="s">
        <v>2951</v>
      </c>
      <c r="F299" s="869"/>
      <c r="G299" s="1200">
        <v>1335000</v>
      </c>
      <c r="H299" s="869" t="s">
        <v>251</v>
      </c>
      <c r="I299" s="870">
        <v>43269</v>
      </c>
      <c r="J299" s="870">
        <v>43315</v>
      </c>
      <c r="K299" s="869" t="s">
        <v>3191</v>
      </c>
      <c r="L299" s="1200">
        <v>1320000</v>
      </c>
      <c r="M299" s="1200">
        <v>1518000</v>
      </c>
      <c r="N299" s="869"/>
      <c r="O299" s="869"/>
      <c r="P299" s="869"/>
      <c r="Q299" s="1108"/>
      <c r="R299" s="1083"/>
    </row>
    <row r="300" spans="1:18">
      <c r="A300" s="1098" t="s">
        <v>2950</v>
      </c>
      <c r="B300" s="869" t="s">
        <v>2434</v>
      </c>
      <c r="C300" s="869" t="s">
        <v>57</v>
      </c>
      <c r="D300" s="856" t="s">
        <v>2962</v>
      </c>
      <c r="E300" s="869" t="s">
        <v>2951</v>
      </c>
      <c r="F300" s="869"/>
      <c r="G300" s="1200">
        <v>920000</v>
      </c>
      <c r="H300" s="869" t="s">
        <v>251</v>
      </c>
      <c r="I300" s="870">
        <v>43269</v>
      </c>
      <c r="J300" s="870">
        <v>43315</v>
      </c>
      <c r="K300" s="869" t="s">
        <v>3153</v>
      </c>
      <c r="L300" s="1200">
        <v>904000</v>
      </c>
      <c r="M300" s="1200">
        <v>1039600</v>
      </c>
      <c r="N300" s="869"/>
      <c r="O300" s="869"/>
      <c r="P300" s="869"/>
      <c r="Q300" s="1108"/>
      <c r="R300" s="1083"/>
    </row>
    <row r="301" spans="1:18">
      <c r="A301" s="999" t="s">
        <v>2950</v>
      </c>
      <c r="B301" s="872" t="s">
        <v>2434</v>
      </c>
      <c r="C301" s="872" t="s">
        <v>57</v>
      </c>
      <c r="D301" s="873" t="s">
        <v>2963</v>
      </c>
      <c r="E301" s="872" t="s">
        <v>2951</v>
      </c>
      <c r="F301" s="872"/>
      <c r="G301" s="875">
        <v>427000</v>
      </c>
      <c r="H301" s="872" t="s">
        <v>251</v>
      </c>
      <c r="I301" s="874">
        <v>43269</v>
      </c>
      <c r="J301" s="874">
        <v>43315</v>
      </c>
      <c r="K301" s="876" t="s">
        <v>2192</v>
      </c>
      <c r="L301" s="875"/>
      <c r="M301" s="875"/>
      <c r="N301" s="872"/>
      <c r="O301" s="872"/>
      <c r="P301" s="874">
        <v>43384</v>
      </c>
      <c r="Q301" s="1000"/>
      <c r="R301" s="1083"/>
    </row>
    <row r="302" spans="1:18" ht="15.75" thickBot="1">
      <c r="A302" s="1291" t="s">
        <v>2950</v>
      </c>
      <c r="B302" s="1292" t="s">
        <v>2434</v>
      </c>
      <c r="C302" s="1292" t="s">
        <v>57</v>
      </c>
      <c r="D302" s="1293" t="s">
        <v>2964</v>
      </c>
      <c r="E302" s="1292" t="s">
        <v>2951</v>
      </c>
      <c r="F302" s="1292"/>
      <c r="G302" s="1294">
        <v>243000</v>
      </c>
      <c r="H302" s="1292" t="s">
        <v>251</v>
      </c>
      <c r="I302" s="1295">
        <v>43269</v>
      </c>
      <c r="J302" s="1295">
        <v>43315</v>
      </c>
      <c r="K302" s="1292" t="s">
        <v>3192</v>
      </c>
      <c r="L302" s="1294">
        <v>172740.4</v>
      </c>
      <c r="M302" s="1294">
        <v>198651.46</v>
      </c>
      <c r="N302" s="1292"/>
      <c r="O302" s="1292"/>
      <c r="P302" s="1292"/>
      <c r="Q302" s="1296"/>
      <c r="R302" s="1083"/>
    </row>
    <row r="303" spans="1:18" ht="15.75" thickTop="1">
      <c r="A303" s="1028" t="s">
        <v>2965</v>
      </c>
      <c r="B303" s="1028" t="s">
        <v>2111</v>
      </c>
      <c r="C303" s="1028" t="s">
        <v>1215</v>
      </c>
      <c r="D303" s="1029" t="s">
        <v>2966</v>
      </c>
      <c r="E303" s="1028" t="s">
        <v>2967</v>
      </c>
      <c r="F303" s="1028"/>
      <c r="G303" s="1034">
        <v>12000000</v>
      </c>
      <c r="H303" s="1028" t="s">
        <v>251</v>
      </c>
      <c r="I303" s="1030">
        <v>43270</v>
      </c>
      <c r="J303" s="1030">
        <v>43348</v>
      </c>
      <c r="K303" s="1028" t="s">
        <v>3289</v>
      </c>
      <c r="L303" s="1034">
        <v>8688800</v>
      </c>
      <c r="M303" s="1034">
        <v>9992120</v>
      </c>
      <c r="N303" s="1028"/>
      <c r="O303" s="1028"/>
      <c r="P303" s="1028"/>
      <c r="Q303" s="1028"/>
      <c r="R303" s="801"/>
    </row>
    <row r="304" spans="1:18">
      <c r="A304" s="902" t="s">
        <v>2968</v>
      </c>
      <c r="B304" s="902" t="s">
        <v>58</v>
      </c>
      <c r="C304" s="902" t="s">
        <v>55</v>
      </c>
      <c r="D304" s="903" t="s">
        <v>2969</v>
      </c>
      <c r="E304" s="902" t="s">
        <v>2970</v>
      </c>
      <c r="F304" s="902"/>
      <c r="G304" s="1211">
        <v>300000</v>
      </c>
      <c r="H304" s="902" t="s">
        <v>112</v>
      </c>
      <c r="I304" s="905">
        <v>43258</v>
      </c>
      <c r="J304" s="905">
        <v>43270</v>
      </c>
      <c r="K304" s="902" t="s">
        <v>1714</v>
      </c>
      <c r="L304" s="1211">
        <v>322203</v>
      </c>
      <c r="M304" s="1211">
        <f>L304*1.21</f>
        <v>389865.63</v>
      </c>
      <c r="N304" s="905">
        <v>43385</v>
      </c>
      <c r="O304" s="905"/>
      <c r="P304" s="902" t="s">
        <v>239</v>
      </c>
      <c r="Q304" s="902" t="s">
        <v>239</v>
      </c>
      <c r="R304" s="801"/>
    </row>
    <row r="305" spans="1:23">
      <c r="A305" s="902" t="s">
        <v>2975</v>
      </c>
      <c r="B305" s="902" t="s">
        <v>58</v>
      </c>
      <c r="C305" s="902" t="s">
        <v>2684</v>
      </c>
      <c r="D305" s="409" t="s">
        <v>3112</v>
      </c>
      <c r="E305" s="902" t="s">
        <v>2976</v>
      </c>
      <c r="F305" s="902" t="s">
        <v>2977</v>
      </c>
      <c r="G305" s="1211">
        <v>310000</v>
      </c>
      <c r="H305" s="902" t="s">
        <v>112</v>
      </c>
      <c r="I305" s="905">
        <v>43266</v>
      </c>
      <c r="J305" s="905">
        <v>43277</v>
      </c>
      <c r="K305" s="902" t="s">
        <v>3137</v>
      </c>
      <c r="L305" s="1211">
        <v>308110</v>
      </c>
      <c r="M305" s="1211">
        <f>L305*1.21</f>
        <v>372813.1</v>
      </c>
      <c r="N305" s="905">
        <v>43332</v>
      </c>
      <c r="O305" s="905"/>
      <c r="P305" s="902" t="s">
        <v>239</v>
      </c>
      <c r="Q305" s="902" t="s">
        <v>239</v>
      </c>
      <c r="R305" s="801"/>
    </row>
    <row r="306" spans="1:23">
      <c r="A306" s="872" t="s">
        <v>2978</v>
      </c>
      <c r="B306" s="872" t="s">
        <v>2111</v>
      </c>
      <c r="C306" s="872" t="s">
        <v>1215</v>
      </c>
      <c r="D306" s="873" t="s">
        <v>2979</v>
      </c>
      <c r="E306" s="1299" t="s">
        <v>2980</v>
      </c>
      <c r="F306" s="872"/>
      <c r="G306" s="875">
        <v>470000</v>
      </c>
      <c r="H306" s="872" t="s">
        <v>112</v>
      </c>
      <c r="I306" s="874">
        <v>43259</v>
      </c>
      <c r="J306" s="874">
        <v>43270</v>
      </c>
      <c r="K306" s="876" t="s">
        <v>242</v>
      </c>
      <c r="L306" s="875"/>
      <c r="M306" s="875"/>
      <c r="N306" s="872"/>
      <c r="O306" s="872"/>
      <c r="P306" s="872" t="s">
        <v>239</v>
      </c>
      <c r="Q306" s="872"/>
      <c r="R306" s="801"/>
    </row>
    <row r="307" spans="1:23">
      <c r="A307" s="902" t="s">
        <v>2981</v>
      </c>
      <c r="B307" s="902" t="s">
        <v>58</v>
      </c>
      <c r="C307" s="902" t="s">
        <v>55</v>
      </c>
      <c r="D307" s="903" t="s">
        <v>2982</v>
      </c>
      <c r="E307" s="902" t="s">
        <v>2920</v>
      </c>
      <c r="F307" s="902"/>
      <c r="G307" s="1211">
        <v>950000</v>
      </c>
      <c r="H307" s="902" t="s">
        <v>112</v>
      </c>
      <c r="I307" s="905">
        <v>43258</v>
      </c>
      <c r="J307" s="905">
        <v>43270</v>
      </c>
      <c r="K307" s="902" t="s">
        <v>3039</v>
      </c>
      <c r="L307" s="1211">
        <v>793360</v>
      </c>
      <c r="M307" s="1211">
        <f>L307*1.21</f>
        <v>959965.6</v>
      </c>
      <c r="N307" s="905">
        <v>43385</v>
      </c>
      <c r="O307" s="905"/>
      <c r="P307" s="905">
        <v>43390</v>
      </c>
      <c r="Q307" s="905">
        <v>43535</v>
      </c>
      <c r="R307" s="996" t="s">
        <v>1875</v>
      </c>
    </row>
    <row r="308" spans="1:23">
      <c r="A308" s="902" t="s">
        <v>2983</v>
      </c>
      <c r="B308" s="902" t="s">
        <v>58</v>
      </c>
      <c r="C308" s="902" t="s">
        <v>2684</v>
      </c>
      <c r="D308" s="2536" t="s">
        <v>2984</v>
      </c>
      <c r="E308" s="902" t="s">
        <v>326</v>
      </c>
      <c r="F308" s="902" t="s">
        <v>2985</v>
      </c>
      <c r="G308" s="1211">
        <v>4380000</v>
      </c>
      <c r="H308" s="902" t="s">
        <v>251</v>
      </c>
      <c r="I308" s="905">
        <v>43265</v>
      </c>
      <c r="J308" s="905">
        <v>43305</v>
      </c>
      <c r="K308" s="902" t="s">
        <v>3123</v>
      </c>
      <c r="L308" s="1211">
        <v>5596040</v>
      </c>
      <c r="M308" s="1211">
        <v>6771208.4000000004</v>
      </c>
      <c r="N308" s="905">
        <v>43382</v>
      </c>
      <c r="O308" s="905"/>
      <c r="P308" s="905">
        <v>43396</v>
      </c>
      <c r="Q308" s="905">
        <v>43840</v>
      </c>
      <c r="R308" s="996" t="s">
        <v>1875</v>
      </c>
    </row>
    <row r="309" spans="1:23">
      <c r="A309" s="872" t="s">
        <v>2986</v>
      </c>
      <c r="B309" s="872" t="s">
        <v>58</v>
      </c>
      <c r="C309" s="872" t="s">
        <v>55</v>
      </c>
      <c r="D309" s="873" t="s">
        <v>2987</v>
      </c>
      <c r="E309" s="872" t="s">
        <v>756</v>
      </c>
      <c r="F309" s="872"/>
      <c r="G309" s="875">
        <v>500000</v>
      </c>
      <c r="H309" s="872" t="s">
        <v>112</v>
      </c>
      <c r="I309" s="874">
        <v>43265</v>
      </c>
      <c r="J309" s="874">
        <v>43277</v>
      </c>
      <c r="K309" s="876" t="s">
        <v>242</v>
      </c>
      <c r="L309" s="875"/>
      <c r="M309" s="875"/>
      <c r="N309" s="872"/>
      <c r="O309" s="872"/>
      <c r="P309" s="874">
        <v>43327</v>
      </c>
      <c r="Q309" s="872"/>
      <c r="R309" s="801"/>
    </row>
    <row r="310" spans="1:23">
      <c r="A310" s="902" t="s">
        <v>2988</v>
      </c>
      <c r="B310" s="902" t="s">
        <v>58</v>
      </c>
      <c r="C310" s="902" t="s">
        <v>2684</v>
      </c>
      <c r="D310" s="903" t="s">
        <v>2989</v>
      </c>
      <c r="E310" s="902" t="s">
        <v>2990</v>
      </c>
      <c r="F310" s="902" t="s">
        <v>2991</v>
      </c>
      <c r="G310" s="1211">
        <v>3110000</v>
      </c>
      <c r="H310" s="902" t="s">
        <v>216</v>
      </c>
      <c r="I310" s="905">
        <v>43265</v>
      </c>
      <c r="J310" s="905">
        <v>43284</v>
      </c>
      <c r="K310" s="902" t="s">
        <v>3079</v>
      </c>
      <c r="L310" s="1211">
        <v>3108304</v>
      </c>
      <c r="M310" s="1211">
        <v>3761047.84</v>
      </c>
      <c r="N310" s="905">
        <v>43357</v>
      </c>
      <c r="O310" s="905"/>
      <c r="P310" s="905">
        <v>43361</v>
      </c>
      <c r="Q310" s="905">
        <v>43402</v>
      </c>
      <c r="R310" s="996" t="s">
        <v>1875</v>
      </c>
    </row>
    <row r="311" spans="1:23">
      <c r="A311" s="902" t="s">
        <v>2997</v>
      </c>
      <c r="B311" s="902" t="s">
        <v>166</v>
      </c>
      <c r="C311" s="902" t="s">
        <v>167</v>
      </c>
      <c r="D311" s="903" t="s">
        <v>2998</v>
      </c>
      <c r="E311" s="902" t="s">
        <v>2999</v>
      </c>
      <c r="F311" s="902"/>
      <c r="G311" s="1211">
        <v>1200000</v>
      </c>
      <c r="H311" s="902" t="s">
        <v>112</v>
      </c>
      <c r="I311" s="905">
        <v>43269</v>
      </c>
      <c r="J311" s="905">
        <v>43277</v>
      </c>
      <c r="K311" s="902" t="s">
        <v>3113</v>
      </c>
      <c r="L311" s="1211">
        <v>1031010</v>
      </c>
      <c r="M311" s="1211">
        <f>L311*1.21</f>
        <v>1247522.0999999999</v>
      </c>
      <c r="N311" s="905">
        <v>43332</v>
      </c>
      <c r="O311" s="905">
        <v>44062</v>
      </c>
      <c r="P311" s="905">
        <v>43333</v>
      </c>
      <c r="Q311" s="905">
        <v>44244</v>
      </c>
      <c r="R311" s="801"/>
    </row>
    <row r="312" spans="1:23">
      <c r="A312" s="902" t="s">
        <v>3000</v>
      </c>
      <c r="B312" s="902" t="s">
        <v>58</v>
      </c>
      <c r="C312" s="902" t="s">
        <v>2684</v>
      </c>
      <c r="D312" s="903" t="s">
        <v>3172</v>
      </c>
      <c r="E312" s="902" t="s">
        <v>505</v>
      </c>
      <c r="F312" s="902" t="s">
        <v>3001</v>
      </c>
      <c r="G312" s="1211">
        <v>15100000</v>
      </c>
      <c r="H312" s="902" t="s">
        <v>251</v>
      </c>
      <c r="I312" s="905">
        <v>43269</v>
      </c>
      <c r="J312" s="905">
        <v>43306</v>
      </c>
      <c r="K312" s="902" t="s">
        <v>1714</v>
      </c>
      <c r="L312" s="1211">
        <v>15079872.58</v>
      </c>
      <c r="M312" s="1211">
        <v>17401841.02</v>
      </c>
      <c r="N312" s="905">
        <v>43390</v>
      </c>
      <c r="O312" s="905"/>
      <c r="P312" s="905">
        <v>43395</v>
      </c>
      <c r="Q312" s="905">
        <v>43493</v>
      </c>
      <c r="R312" s="996" t="s">
        <v>1875</v>
      </c>
    </row>
    <row r="313" spans="1:23" s="1190" customFormat="1" ht="14.25" customHeight="1">
      <c r="A313" s="902" t="s">
        <v>3000</v>
      </c>
      <c r="B313" s="902" t="s">
        <v>58</v>
      </c>
      <c r="C313" s="902" t="s">
        <v>2684</v>
      </c>
      <c r="D313" s="903" t="s">
        <v>3173</v>
      </c>
      <c r="E313" s="902" t="s">
        <v>505</v>
      </c>
      <c r="F313" s="902" t="s">
        <v>3001</v>
      </c>
      <c r="G313" s="1211">
        <v>4215000</v>
      </c>
      <c r="H313" s="902" t="s">
        <v>251</v>
      </c>
      <c r="I313" s="905">
        <v>43269</v>
      </c>
      <c r="J313" s="905">
        <v>43306</v>
      </c>
      <c r="K313" s="902" t="s">
        <v>1714</v>
      </c>
      <c r="L313" s="1211">
        <v>4213714.5599999996</v>
      </c>
      <c r="M313" s="1211">
        <v>4858474.62</v>
      </c>
      <c r="N313" s="905">
        <v>43384</v>
      </c>
      <c r="O313" s="905"/>
      <c r="P313" s="905">
        <v>43395</v>
      </c>
      <c r="Q313" s="905">
        <v>43529</v>
      </c>
      <c r="R313" s="996" t="s">
        <v>1875</v>
      </c>
      <c r="S313" s="374"/>
      <c r="T313" s="374"/>
      <c r="U313" s="374"/>
      <c r="V313" s="374"/>
      <c r="W313" s="374"/>
    </row>
    <row r="314" spans="1:23">
      <c r="A314" s="902" t="s">
        <v>3017</v>
      </c>
      <c r="B314" s="902" t="s">
        <v>1032</v>
      </c>
      <c r="C314" s="902" t="s">
        <v>361</v>
      </c>
      <c r="D314" s="903" t="s">
        <v>3002</v>
      </c>
      <c r="E314" s="902" t="s">
        <v>3003</v>
      </c>
      <c r="F314" s="902" t="s">
        <v>3004</v>
      </c>
      <c r="G314" s="1211">
        <v>330000</v>
      </c>
      <c r="H314" s="902" t="s">
        <v>112</v>
      </c>
      <c r="I314" s="905">
        <v>43269</v>
      </c>
      <c r="J314" s="905">
        <v>43277</v>
      </c>
      <c r="K314" s="902" t="s">
        <v>3084</v>
      </c>
      <c r="L314" s="1211">
        <v>314215</v>
      </c>
      <c r="M314" s="1211">
        <v>380200</v>
      </c>
      <c r="N314" s="905">
        <v>43304</v>
      </c>
      <c r="O314" s="905"/>
      <c r="P314" s="902" t="s">
        <v>239</v>
      </c>
      <c r="Q314" s="902" t="s">
        <v>239</v>
      </c>
      <c r="R314" s="801"/>
    </row>
    <row r="315" spans="1:23">
      <c r="A315" s="902" t="s">
        <v>3005</v>
      </c>
      <c r="B315" s="902" t="s">
        <v>14</v>
      </c>
      <c r="C315" s="902" t="s">
        <v>13</v>
      </c>
      <c r="D315" s="903" t="s">
        <v>3006</v>
      </c>
      <c r="E315" s="902" t="s">
        <v>2433</v>
      </c>
      <c r="F315" s="902"/>
      <c r="G315" s="1211">
        <v>255372</v>
      </c>
      <c r="H315" s="902" t="s">
        <v>112</v>
      </c>
      <c r="I315" s="905">
        <v>43270</v>
      </c>
      <c r="J315" s="905">
        <v>43278</v>
      </c>
      <c r="K315" s="902" t="s">
        <v>3071</v>
      </c>
      <c r="L315" s="1211">
        <v>165400</v>
      </c>
      <c r="M315" s="1211">
        <v>200134</v>
      </c>
      <c r="N315" s="905">
        <v>43304</v>
      </c>
      <c r="O315" s="905"/>
      <c r="P315" s="902" t="s">
        <v>239</v>
      </c>
      <c r="Q315" s="902" t="s">
        <v>239</v>
      </c>
      <c r="R315" s="801"/>
    </row>
    <row r="316" spans="1:23">
      <c r="A316" s="902" t="s">
        <v>3007</v>
      </c>
      <c r="B316" s="902" t="s">
        <v>166</v>
      </c>
      <c r="C316" s="902" t="s">
        <v>167</v>
      </c>
      <c r="D316" s="903" t="s">
        <v>3008</v>
      </c>
      <c r="E316" s="902" t="s">
        <v>1490</v>
      </c>
      <c r="F316" s="902"/>
      <c r="G316" s="1211">
        <v>500000</v>
      </c>
      <c r="H316" s="902" t="s">
        <v>112</v>
      </c>
      <c r="I316" s="905">
        <v>43279</v>
      </c>
      <c r="J316" s="905">
        <v>43294</v>
      </c>
      <c r="K316" s="902" t="s">
        <v>2032</v>
      </c>
      <c r="L316" s="1211">
        <v>596000</v>
      </c>
      <c r="M316" s="1211">
        <v>721160</v>
      </c>
      <c r="N316" s="905">
        <v>43332</v>
      </c>
      <c r="O316" s="905"/>
      <c r="P316" s="905">
        <v>43333</v>
      </c>
      <c r="Q316" s="905">
        <v>43529</v>
      </c>
      <c r="R316" s="801"/>
    </row>
    <row r="317" spans="1:23">
      <c r="A317" s="902" t="s">
        <v>3009</v>
      </c>
      <c r="B317" s="902" t="s">
        <v>14</v>
      </c>
      <c r="C317" s="902" t="s">
        <v>13</v>
      </c>
      <c r="D317" s="903" t="s">
        <v>3010</v>
      </c>
      <c r="E317" s="902" t="s">
        <v>1226</v>
      </c>
      <c r="F317" s="902" t="s">
        <v>762</v>
      </c>
      <c r="G317" s="1211">
        <v>1950000</v>
      </c>
      <c r="H317" s="902" t="s">
        <v>251</v>
      </c>
      <c r="I317" s="905">
        <v>43270</v>
      </c>
      <c r="J317" s="905">
        <v>43311</v>
      </c>
      <c r="K317" s="902" t="s">
        <v>2581</v>
      </c>
      <c r="L317" s="1211">
        <v>1899022</v>
      </c>
      <c r="M317" s="1211">
        <v>2297816.62</v>
      </c>
      <c r="N317" s="905">
        <v>43350</v>
      </c>
      <c r="O317" s="905"/>
      <c r="P317" s="905">
        <v>43354</v>
      </c>
      <c r="Q317" s="905">
        <v>43461</v>
      </c>
      <c r="R317" s="801"/>
    </row>
    <row r="318" spans="1:23" ht="15.75" customHeight="1">
      <c r="A318" s="902" t="s">
        <v>3011</v>
      </c>
      <c r="B318" s="902" t="s">
        <v>2434</v>
      </c>
      <c r="C318" s="902" t="s">
        <v>57</v>
      </c>
      <c r="D318" s="903" t="s">
        <v>3012</v>
      </c>
      <c r="E318" s="902" t="s">
        <v>3013</v>
      </c>
      <c r="F318" s="902"/>
      <c r="G318" s="1211">
        <v>3080000</v>
      </c>
      <c r="H318" s="902" t="s">
        <v>216</v>
      </c>
      <c r="I318" s="905">
        <v>43269</v>
      </c>
      <c r="J318" s="905">
        <v>43293</v>
      </c>
      <c r="K318" s="902" t="s">
        <v>3320</v>
      </c>
      <c r="L318" s="1211">
        <v>3100920.18</v>
      </c>
      <c r="M318" s="1211">
        <v>3752112.74</v>
      </c>
      <c r="N318" s="905">
        <v>43343</v>
      </c>
      <c r="O318" s="905">
        <v>44073</v>
      </c>
      <c r="P318" s="905">
        <v>43348</v>
      </c>
      <c r="Q318" s="905">
        <v>43551</v>
      </c>
      <c r="R318" s="905">
        <v>43929</v>
      </c>
      <c r="S318" s="1560">
        <v>44285</v>
      </c>
    </row>
    <row r="319" spans="1:23">
      <c r="A319" s="902" t="s">
        <v>3014</v>
      </c>
      <c r="B319" s="902" t="s">
        <v>2434</v>
      </c>
      <c r="C319" s="902" t="s">
        <v>57</v>
      </c>
      <c r="D319" s="903" t="s">
        <v>3015</v>
      </c>
      <c r="E319" s="902" t="s">
        <v>2550</v>
      </c>
      <c r="F319" s="902"/>
      <c r="G319" s="1211">
        <v>3800000</v>
      </c>
      <c r="H319" s="902" t="s">
        <v>216</v>
      </c>
      <c r="I319" s="905">
        <v>43270</v>
      </c>
      <c r="J319" s="905">
        <v>43294</v>
      </c>
      <c r="K319" s="902" t="s">
        <v>1433</v>
      </c>
      <c r="L319" s="1211">
        <v>3732640</v>
      </c>
      <c r="M319" s="1211">
        <v>4516494.4000000004</v>
      </c>
      <c r="N319" s="905">
        <v>43362</v>
      </c>
      <c r="O319" s="905">
        <v>44092</v>
      </c>
      <c r="P319" s="905">
        <v>43367</v>
      </c>
      <c r="Q319" s="905">
        <v>43551</v>
      </c>
      <c r="R319" s="905">
        <v>43929</v>
      </c>
      <c r="S319" s="1560">
        <v>44285</v>
      </c>
    </row>
    <row r="320" spans="1:23">
      <c r="A320" s="902" t="s">
        <v>3019</v>
      </c>
      <c r="B320" s="902" t="s">
        <v>58</v>
      </c>
      <c r="C320" s="902" t="s">
        <v>2684</v>
      </c>
      <c r="D320" s="903" t="s">
        <v>3149</v>
      </c>
      <c r="E320" s="902" t="s">
        <v>476</v>
      </c>
      <c r="F320" s="902" t="s">
        <v>3029</v>
      </c>
      <c r="G320" s="1211">
        <v>300000</v>
      </c>
      <c r="H320" s="902" t="s">
        <v>112</v>
      </c>
      <c r="I320" s="905">
        <v>43273</v>
      </c>
      <c r="J320" s="905">
        <v>43285</v>
      </c>
      <c r="K320" s="902" t="s">
        <v>471</v>
      </c>
      <c r="L320" s="1211">
        <v>374982</v>
      </c>
      <c r="M320" s="1211">
        <f>L320*1.21</f>
        <v>453728.22</v>
      </c>
      <c r="N320" s="905">
        <v>43332</v>
      </c>
      <c r="O320" s="905"/>
      <c r="P320" s="905">
        <v>43335</v>
      </c>
      <c r="Q320" s="905">
        <v>43444</v>
      </c>
      <c r="R320" s="996" t="s">
        <v>1875</v>
      </c>
    </row>
    <row r="321" spans="1:23" s="1190" customFormat="1">
      <c r="A321" s="872" t="s">
        <v>3019</v>
      </c>
      <c r="B321" s="872" t="s">
        <v>58</v>
      </c>
      <c r="C321" s="872" t="s">
        <v>2684</v>
      </c>
      <c r="D321" s="873" t="s">
        <v>3150</v>
      </c>
      <c r="E321" s="872" t="s">
        <v>476</v>
      </c>
      <c r="F321" s="872" t="s">
        <v>3029</v>
      </c>
      <c r="G321" s="875">
        <v>600000</v>
      </c>
      <c r="H321" s="872" t="s">
        <v>112</v>
      </c>
      <c r="I321" s="874">
        <v>43273</v>
      </c>
      <c r="J321" s="874">
        <v>43285</v>
      </c>
      <c r="K321" s="876" t="s">
        <v>242</v>
      </c>
      <c r="L321" s="875"/>
      <c r="M321" s="875"/>
      <c r="N321" s="872"/>
      <c r="O321" s="872"/>
      <c r="P321" s="872" t="s">
        <v>239</v>
      </c>
      <c r="Q321" s="872" t="s">
        <v>239</v>
      </c>
      <c r="R321" s="801"/>
      <c r="S321" s="374"/>
      <c r="T321" s="374"/>
      <c r="U321" s="374"/>
      <c r="V321" s="374"/>
      <c r="W321" s="374"/>
    </row>
    <row r="322" spans="1:23">
      <c r="A322" s="902" t="s">
        <v>3020</v>
      </c>
      <c r="B322" s="902" t="s">
        <v>58</v>
      </c>
      <c r="C322" s="902" t="s">
        <v>2684</v>
      </c>
      <c r="D322" s="903" t="s">
        <v>3021</v>
      </c>
      <c r="E322" s="902" t="s">
        <v>77</v>
      </c>
      <c r="F322" s="902" t="s">
        <v>3040</v>
      </c>
      <c r="G322" s="1211">
        <v>254000</v>
      </c>
      <c r="H322" s="902" t="s">
        <v>112</v>
      </c>
      <c r="I322" s="905">
        <v>43279</v>
      </c>
      <c r="J322" s="905">
        <v>43294</v>
      </c>
      <c r="K322" s="902" t="s">
        <v>3153</v>
      </c>
      <c r="L322" s="1211">
        <v>241569.6</v>
      </c>
      <c r="M322" s="1211">
        <f>L322*1.21</f>
        <v>292299.21600000001</v>
      </c>
      <c r="N322" s="905">
        <v>43334</v>
      </c>
      <c r="O322" s="905"/>
      <c r="P322" s="902" t="s">
        <v>239</v>
      </c>
      <c r="Q322" s="902" t="s">
        <v>239</v>
      </c>
      <c r="R322" s="801"/>
    </row>
    <row r="323" spans="1:23">
      <c r="A323" s="869" t="s">
        <v>3022</v>
      </c>
      <c r="B323" s="869" t="s">
        <v>1032</v>
      </c>
      <c r="C323" s="869" t="s">
        <v>1033</v>
      </c>
      <c r="D323" s="856" t="s">
        <v>3023</v>
      </c>
      <c r="E323" s="869" t="s">
        <v>3024</v>
      </c>
      <c r="F323" s="869"/>
      <c r="G323" s="1200">
        <v>3000000</v>
      </c>
      <c r="H323" s="869" t="s">
        <v>216</v>
      </c>
      <c r="I323" s="870">
        <v>43382</v>
      </c>
      <c r="J323" s="870">
        <v>43403</v>
      </c>
      <c r="K323" s="869" t="s">
        <v>3378</v>
      </c>
      <c r="L323" s="1200">
        <v>1899072</v>
      </c>
      <c r="M323" s="1200">
        <v>1899072</v>
      </c>
      <c r="N323" s="869"/>
      <c r="O323" s="869"/>
      <c r="P323" s="869"/>
      <c r="Q323" s="869"/>
      <c r="R323" s="801"/>
    </row>
    <row r="324" spans="1:23">
      <c r="A324" s="902" t="s">
        <v>3030</v>
      </c>
      <c r="B324" s="902" t="s">
        <v>2111</v>
      </c>
      <c r="C324" s="902" t="s">
        <v>1215</v>
      </c>
      <c r="D324" s="903" t="s">
        <v>3025</v>
      </c>
      <c r="E324" s="902" t="s">
        <v>2113</v>
      </c>
      <c r="F324" s="902"/>
      <c r="G324" s="1211">
        <v>980000</v>
      </c>
      <c r="H324" s="902" t="s">
        <v>251</v>
      </c>
      <c r="I324" s="905">
        <v>43272</v>
      </c>
      <c r="J324" s="905">
        <v>43314</v>
      </c>
      <c r="K324" s="902" t="s">
        <v>2183</v>
      </c>
      <c r="L324" s="1211">
        <v>890317</v>
      </c>
      <c r="M324" s="1211">
        <f>L324*1.21</f>
        <v>1077283.57</v>
      </c>
      <c r="N324" s="905">
        <v>43377</v>
      </c>
      <c r="O324" s="905"/>
      <c r="P324" s="905">
        <v>43382</v>
      </c>
      <c r="Q324" s="905">
        <v>44244</v>
      </c>
      <c r="R324" s="801"/>
    </row>
    <row r="325" spans="1:23">
      <c r="A325" s="902" t="s">
        <v>3031</v>
      </c>
      <c r="B325" s="902" t="s">
        <v>3032</v>
      </c>
      <c r="C325" s="902" t="s">
        <v>3033</v>
      </c>
      <c r="D325" s="903" t="s">
        <v>3035</v>
      </c>
      <c r="E325" s="902" t="s">
        <v>3034</v>
      </c>
      <c r="F325" s="902"/>
      <c r="G325" s="1211">
        <v>640000</v>
      </c>
      <c r="H325" s="902" t="s">
        <v>112</v>
      </c>
      <c r="I325" s="905">
        <v>43279</v>
      </c>
      <c r="J325" s="2537">
        <v>43293</v>
      </c>
      <c r="K325" s="902" t="s">
        <v>3122</v>
      </c>
      <c r="L325" s="1211">
        <v>640000</v>
      </c>
      <c r="M325" s="1211">
        <v>774400</v>
      </c>
      <c r="N325" s="905">
        <v>43349</v>
      </c>
      <c r="O325" s="905"/>
      <c r="P325" s="905">
        <v>43349</v>
      </c>
      <c r="Q325" s="902" t="s">
        <v>4128</v>
      </c>
      <c r="R325" s="905">
        <v>44011</v>
      </c>
      <c r="S325" s="1560">
        <v>44011</v>
      </c>
      <c r="T325" s="1560">
        <v>44364</v>
      </c>
      <c r="U325" s="1560">
        <v>44732</v>
      </c>
    </row>
    <row r="326" spans="1:23" ht="15.75" thickBot="1">
      <c r="A326" s="913" t="s">
        <v>3036</v>
      </c>
      <c r="B326" s="913" t="s">
        <v>58</v>
      </c>
      <c r="C326" s="913" t="s">
        <v>2684</v>
      </c>
      <c r="D326" s="914" t="s">
        <v>3037</v>
      </c>
      <c r="E326" s="913" t="s">
        <v>753</v>
      </c>
      <c r="F326" s="913" t="s">
        <v>3038</v>
      </c>
      <c r="G326" s="915">
        <v>5330000</v>
      </c>
      <c r="H326" s="913" t="s">
        <v>251</v>
      </c>
      <c r="I326" s="916">
        <v>43273</v>
      </c>
      <c r="J326" s="916">
        <v>43335</v>
      </c>
      <c r="K326" s="913" t="s">
        <v>3210</v>
      </c>
      <c r="L326" s="915">
        <v>7692805.96</v>
      </c>
      <c r="M326" s="915">
        <v>9308295.2200000007</v>
      </c>
      <c r="N326" s="916">
        <v>43417</v>
      </c>
      <c r="O326" s="916"/>
      <c r="P326" s="916">
        <v>43419</v>
      </c>
      <c r="Q326" s="916">
        <v>44244</v>
      </c>
      <c r="R326" s="996" t="s">
        <v>1875</v>
      </c>
    </row>
    <row r="327" spans="1:23" ht="15.75" thickTop="1">
      <c r="A327" s="1091" t="s">
        <v>3041</v>
      </c>
      <c r="B327" s="1092" t="s">
        <v>2434</v>
      </c>
      <c r="C327" s="1092" t="s">
        <v>751</v>
      </c>
      <c r="D327" s="1093" t="s">
        <v>3046</v>
      </c>
      <c r="E327" s="1092" t="s">
        <v>3045</v>
      </c>
      <c r="F327" s="1092"/>
      <c r="G327" s="1199">
        <v>19664900</v>
      </c>
      <c r="H327" s="1092" t="s">
        <v>251</v>
      </c>
      <c r="I327" s="1095">
        <v>43376</v>
      </c>
      <c r="J327" s="1095">
        <v>43448</v>
      </c>
      <c r="K327" s="1092" t="s">
        <v>3478</v>
      </c>
      <c r="L327" s="1199">
        <v>19664619.829999998</v>
      </c>
      <c r="M327" s="1199">
        <f>L327*1.21</f>
        <v>23794189.994299997</v>
      </c>
      <c r="N327" s="1092"/>
      <c r="O327" s="1092"/>
      <c r="P327" s="1092"/>
      <c r="Q327" s="1119"/>
      <c r="R327" s="1083"/>
    </row>
    <row r="328" spans="1:23" s="1190" customFormat="1">
      <c r="A328" s="1098" t="s">
        <v>3041</v>
      </c>
      <c r="B328" s="869" t="s">
        <v>2434</v>
      </c>
      <c r="C328" s="869" t="s">
        <v>751</v>
      </c>
      <c r="D328" s="856" t="s">
        <v>3047</v>
      </c>
      <c r="E328" s="869" t="s">
        <v>3045</v>
      </c>
      <c r="F328" s="869"/>
      <c r="G328" s="1200">
        <v>3197500</v>
      </c>
      <c r="H328" s="869" t="s">
        <v>251</v>
      </c>
      <c r="I328" s="870">
        <v>43376</v>
      </c>
      <c r="J328" s="870">
        <v>43448</v>
      </c>
      <c r="K328" s="869" t="s">
        <v>3179</v>
      </c>
      <c r="L328" s="1200">
        <v>3115500</v>
      </c>
      <c r="M328" s="1200">
        <f>L328*1.21</f>
        <v>3769755</v>
      </c>
      <c r="N328" s="869"/>
      <c r="O328" s="869"/>
      <c r="P328" s="869"/>
      <c r="Q328" s="1108"/>
      <c r="R328" s="1083"/>
      <c r="S328" s="374"/>
      <c r="T328" s="374"/>
      <c r="U328" s="374"/>
      <c r="V328" s="374"/>
      <c r="W328" s="374"/>
    </row>
    <row r="329" spans="1:23" s="1190" customFormat="1">
      <c r="A329" s="999" t="s">
        <v>3041</v>
      </c>
      <c r="B329" s="872" t="s">
        <v>2434</v>
      </c>
      <c r="C329" s="872" t="s">
        <v>751</v>
      </c>
      <c r="D329" s="873" t="s">
        <v>3048</v>
      </c>
      <c r="E329" s="872" t="s">
        <v>3045</v>
      </c>
      <c r="F329" s="872"/>
      <c r="G329" s="875">
        <v>1202665</v>
      </c>
      <c r="H329" s="872" t="s">
        <v>251</v>
      </c>
      <c r="I329" s="874">
        <v>43376</v>
      </c>
      <c r="J329" s="874">
        <v>43448</v>
      </c>
      <c r="K329" s="876" t="s">
        <v>2635</v>
      </c>
      <c r="L329" s="875"/>
      <c r="M329" s="875"/>
      <c r="N329" s="872"/>
      <c r="O329" s="872"/>
      <c r="P329" s="874">
        <v>43515</v>
      </c>
      <c r="Q329" s="1000"/>
      <c r="R329" s="1083"/>
      <c r="S329" s="374"/>
      <c r="T329" s="374"/>
      <c r="U329" s="374"/>
      <c r="V329" s="374"/>
      <c r="W329" s="374"/>
    </row>
    <row r="330" spans="1:23" s="1190" customFormat="1">
      <c r="A330" s="1098" t="s">
        <v>3041</v>
      </c>
      <c r="B330" s="869" t="s">
        <v>2434</v>
      </c>
      <c r="C330" s="869" t="s">
        <v>751</v>
      </c>
      <c r="D330" s="856" t="s">
        <v>3049</v>
      </c>
      <c r="E330" s="869" t="s">
        <v>3045</v>
      </c>
      <c r="F330" s="869"/>
      <c r="G330" s="1200">
        <v>600000</v>
      </c>
      <c r="H330" s="869" t="s">
        <v>251</v>
      </c>
      <c r="I330" s="870">
        <v>43376</v>
      </c>
      <c r="J330" s="870">
        <v>43448</v>
      </c>
      <c r="K330" s="869" t="s">
        <v>2755</v>
      </c>
      <c r="L330" s="1200">
        <v>592500</v>
      </c>
      <c r="M330" s="1200">
        <f t="shared" ref="M330:M338" si="4">L330*1.21</f>
        <v>716925</v>
      </c>
      <c r="N330" s="869"/>
      <c r="O330" s="869"/>
      <c r="P330" s="869"/>
      <c r="Q330" s="1108"/>
      <c r="R330" s="1083"/>
      <c r="S330" s="374"/>
      <c r="T330" s="374"/>
      <c r="U330" s="374"/>
      <c r="V330" s="374"/>
      <c r="W330" s="374"/>
    </row>
    <row r="331" spans="1:23" s="1190" customFormat="1">
      <c r="A331" s="1098" t="s">
        <v>3041</v>
      </c>
      <c r="B331" s="869" t="s">
        <v>2434</v>
      </c>
      <c r="C331" s="869" t="s">
        <v>751</v>
      </c>
      <c r="D331" s="856" t="s">
        <v>3050</v>
      </c>
      <c r="E331" s="869" t="s">
        <v>3045</v>
      </c>
      <c r="F331" s="869"/>
      <c r="G331" s="1200">
        <v>3479000</v>
      </c>
      <c r="H331" s="869" t="s">
        <v>251</v>
      </c>
      <c r="I331" s="870">
        <v>43376</v>
      </c>
      <c r="J331" s="870">
        <v>43448</v>
      </c>
      <c r="K331" s="869" t="s">
        <v>2776</v>
      </c>
      <c r="L331" s="1200">
        <v>3478512.4</v>
      </c>
      <c r="M331" s="1200">
        <f t="shared" si="4"/>
        <v>4209000.0039999997</v>
      </c>
      <c r="N331" s="869"/>
      <c r="O331" s="869"/>
      <c r="P331" s="869"/>
      <c r="Q331" s="1108"/>
      <c r="R331" s="1083"/>
      <c r="S331" s="374"/>
      <c r="T331" s="374"/>
      <c r="U331" s="374"/>
      <c r="V331" s="374"/>
      <c r="W331" s="374"/>
    </row>
    <row r="332" spans="1:23" s="1190" customFormat="1">
      <c r="A332" s="1098" t="s">
        <v>3041</v>
      </c>
      <c r="B332" s="869" t="s">
        <v>2434</v>
      </c>
      <c r="C332" s="869" t="s">
        <v>751</v>
      </c>
      <c r="D332" s="856" t="s">
        <v>3051</v>
      </c>
      <c r="E332" s="869" t="s">
        <v>3045</v>
      </c>
      <c r="F332" s="869"/>
      <c r="G332" s="1200">
        <v>654000</v>
      </c>
      <c r="H332" s="869" t="s">
        <v>251</v>
      </c>
      <c r="I332" s="870">
        <v>43376</v>
      </c>
      <c r="J332" s="870">
        <v>43448</v>
      </c>
      <c r="K332" s="869" t="s">
        <v>3179</v>
      </c>
      <c r="L332" s="1200">
        <v>654000</v>
      </c>
      <c r="M332" s="1200">
        <f t="shared" si="4"/>
        <v>791340</v>
      </c>
      <c r="N332" s="869"/>
      <c r="O332" s="869"/>
      <c r="P332" s="869"/>
      <c r="Q332" s="1108"/>
      <c r="R332" s="1083"/>
      <c r="S332" s="374"/>
      <c r="T332" s="374"/>
      <c r="U332" s="374"/>
      <c r="V332" s="374"/>
      <c r="W332" s="374"/>
    </row>
    <row r="333" spans="1:23" s="1190" customFormat="1">
      <c r="A333" s="1098" t="s">
        <v>3041</v>
      </c>
      <c r="B333" s="869" t="s">
        <v>2434</v>
      </c>
      <c r="C333" s="869" t="s">
        <v>751</v>
      </c>
      <c r="D333" s="856" t="s">
        <v>3052</v>
      </c>
      <c r="E333" s="869" t="s">
        <v>3045</v>
      </c>
      <c r="F333" s="869"/>
      <c r="G333" s="1200">
        <v>677000</v>
      </c>
      <c r="H333" s="869" t="s">
        <v>251</v>
      </c>
      <c r="I333" s="870">
        <v>43376</v>
      </c>
      <c r="J333" s="870">
        <v>43448</v>
      </c>
      <c r="K333" s="869" t="s">
        <v>2776</v>
      </c>
      <c r="L333" s="1200">
        <v>676644.63</v>
      </c>
      <c r="M333" s="1200">
        <f t="shared" si="4"/>
        <v>818740.00229999993</v>
      </c>
      <c r="N333" s="869"/>
      <c r="O333" s="869"/>
      <c r="P333" s="869"/>
      <c r="Q333" s="1108"/>
      <c r="R333" s="1083"/>
      <c r="S333" s="374"/>
      <c r="T333" s="374"/>
      <c r="U333" s="374"/>
      <c r="V333" s="374"/>
      <c r="W333" s="374"/>
    </row>
    <row r="334" spans="1:23" s="1190" customFormat="1">
      <c r="A334" s="1098" t="s">
        <v>3041</v>
      </c>
      <c r="B334" s="869" t="s">
        <v>2434</v>
      </c>
      <c r="C334" s="869" t="s">
        <v>751</v>
      </c>
      <c r="D334" s="856" t="s">
        <v>3053</v>
      </c>
      <c r="E334" s="869" t="s">
        <v>3045</v>
      </c>
      <c r="F334" s="869"/>
      <c r="G334" s="1200">
        <v>14126200</v>
      </c>
      <c r="H334" s="869" t="s">
        <v>251</v>
      </c>
      <c r="I334" s="870">
        <v>43376</v>
      </c>
      <c r="J334" s="870">
        <v>43448</v>
      </c>
      <c r="K334" s="869" t="s">
        <v>2776</v>
      </c>
      <c r="L334" s="1200">
        <v>14126033.060000001</v>
      </c>
      <c r="M334" s="1200">
        <f t="shared" si="4"/>
        <v>17092500.002599999</v>
      </c>
      <c r="N334" s="869"/>
      <c r="O334" s="869"/>
      <c r="P334" s="869"/>
      <c r="Q334" s="1108"/>
      <c r="R334" s="1083"/>
      <c r="S334" s="374"/>
      <c r="T334" s="374"/>
      <c r="U334" s="374"/>
      <c r="V334" s="374"/>
      <c r="W334" s="374"/>
    </row>
    <row r="335" spans="1:23" s="1190" customFormat="1">
      <c r="A335" s="1098" t="s">
        <v>3041</v>
      </c>
      <c r="B335" s="869" t="s">
        <v>2434</v>
      </c>
      <c r="C335" s="869" t="s">
        <v>751</v>
      </c>
      <c r="D335" s="856" t="s">
        <v>3054</v>
      </c>
      <c r="E335" s="869" t="s">
        <v>3045</v>
      </c>
      <c r="F335" s="869"/>
      <c r="G335" s="1200">
        <v>3800000</v>
      </c>
      <c r="H335" s="869" t="s">
        <v>251</v>
      </c>
      <c r="I335" s="870">
        <v>43376</v>
      </c>
      <c r="J335" s="870">
        <v>43448</v>
      </c>
      <c r="K335" s="869" t="s">
        <v>2776</v>
      </c>
      <c r="L335" s="1200">
        <v>3800000</v>
      </c>
      <c r="M335" s="1200">
        <f t="shared" si="4"/>
        <v>4598000</v>
      </c>
      <c r="N335" s="869"/>
      <c r="O335" s="869"/>
      <c r="P335" s="869"/>
      <c r="Q335" s="1108"/>
      <c r="R335" s="1083"/>
      <c r="S335" s="374"/>
      <c r="T335" s="374"/>
      <c r="U335" s="374"/>
      <c r="V335" s="374"/>
      <c r="W335" s="374"/>
    </row>
    <row r="336" spans="1:23" s="1190" customFormat="1">
      <c r="A336" s="1098" t="s">
        <v>3041</v>
      </c>
      <c r="B336" s="869" t="s">
        <v>2434</v>
      </c>
      <c r="C336" s="869" t="s">
        <v>751</v>
      </c>
      <c r="D336" s="856" t="s">
        <v>3055</v>
      </c>
      <c r="E336" s="869" t="s">
        <v>3045</v>
      </c>
      <c r="F336" s="869"/>
      <c r="G336" s="1200">
        <v>5625000</v>
      </c>
      <c r="H336" s="869" t="s">
        <v>251</v>
      </c>
      <c r="I336" s="870">
        <v>43376</v>
      </c>
      <c r="J336" s="870">
        <v>43448</v>
      </c>
      <c r="K336" s="869" t="s">
        <v>3478</v>
      </c>
      <c r="L336" s="1200">
        <v>5625000</v>
      </c>
      <c r="M336" s="1200">
        <f t="shared" si="4"/>
        <v>6806250</v>
      </c>
      <c r="N336" s="869"/>
      <c r="O336" s="869"/>
      <c r="P336" s="869"/>
      <c r="Q336" s="1108"/>
      <c r="R336" s="1083"/>
      <c r="S336" s="374"/>
      <c r="T336" s="374"/>
      <c r="U336" s="374"/>
      <c r="V336" s="374"/>
      <c r="W336" s="374"/>
    </row>
    <row r="337" spans="1:23" s="1190" customFormat="1">
      <c r="A337" s="1098" t="s">
        <v>3041</v>
      </c>
      <c r="B337" s="869" t="s">
        <v>2434</v>
      </c>
      <c r="C337" s="869" t="s">
        <v>751</v>
      </c>
      <c r="D337" s="856" t="s">
        <v>3056</v>
      </c>
      <c r="E337" s="869" t="s">
        <v>3045</v>
      </c>
      <c r="F337" s="869"/>
      <c r="G337" s="1200">
        <v>1875000</v>
      </c>
      <c r="H337" s="869" t="s">
        <v>251</v>
      </c>
      <c r="I337" s="870">
        <v>43376</v>
      </c>
      <c r="J337" s="870">
        <v>43448</v>
      </c>
      <c r="K337" s="869" t="s">
        <v>3478</v>
      </c>
      <c r="L337" s="1200">
        <v>1875000</v>
      </c>
      <c r="M337" s="1200">
        <f t="shared" si="4"/>
        <v>2268750</v>
      </c>
      <c r="N337" s="869"/>
      <c r="O337" s="869"/>
      <c r="P337" s="869"/>
      <c r="Q337" s="1108"/>
      <c r="R337" s="1083"/>
      <c r="S337" s="374"/>
      <c r="T337" s="374"/>
      <c r="U337" s="374"/>
      <c r="V337" s="374"/>
      <c r="W337" s="374"/>
    </row>
    <row r="338" spans="1:23" s="1190" customFormat="1" ht="15.75" thickBot="1">
      <c r="A338" s="1098" t="s">
        <v>3041</v>
      </c>
      <c r="B338" s="869" t="s">
        <v>2434</v>
      </c>
      <c r="C338" s="869" t="s">
        <v>751</v>
      </c>
      <c r="D338" s="856" t="s">
        <v>3057</v>
      </c>
      <c r="E338" s="869" t="s">
        <v>3045</v>
      </c>
      <c r="F338" s="869"/>
      <c r="G338" s="1200">
        <v>1156750</v>
      </c>
      <c r="H338" s="869" t="s">
        <v>251</v>
      </c>
      <c r="I338" s="870">
        <v>43376</v>
      </c>
      <c r="J338" s="870">
        <v>43448</v>
      </c>
      <c r="K338" s="869" t="s">
        <v>3478</v>
      </c>
      <c r="L338" s="1200">
        <v>1156605.3799999999</v>
      </c>
      <c r="M338" s="1200">
        <f t="shared" si="4"/>
        <v>1399492.5097999999</v>
      </c>
      <c r="N338" s="869"/>
      <c r="O338" s="869"/>
      <c r="P338" s="869"/>
      <c r="Q338" s="1108"/>
      <c r="R338" s="1083"/>
      <c r="S338" s="374"/>
      <c r="T338" s="374"/>
      <c r="U338" s="374"/>
      <c r="V338" s="374"/>
      <c r="W338" s="374"/>
    </row>
    <row r="339" spans="1:23" ht="15.75" thickTop="1">
      <c r="A339" s="882" t="s">
        <v>3042</v>
      </c>
      <c r="B339" s="883" t="s">
        <v>58</v>
      </c>
      <c r="C339" s="883" t="s">
        <v>2684</v>
      </c>
      <c r="D339" s="884" t="s">
        <v>3077</v>
      </c>
      <c r="E339" s="883" t="s">
        <v>396</v>
      </c>
      <c r="F339" s="883" t="s">
        <v>3043</v>
      </c>
      <c r="G339" s="885">
        <v>19929850</v>
      </c>
      <c r="H339" s="883" t="s">
        <v>251</v>
      </c>
      <c r="I339" s="886">
        <v>43280</v>
      </c>
      <c r="J339" s="886">
        <v>43320</v>
      </c>
      <c r="K339" s="894" t="s">
        <v>242</v>
      </c>
      <c r="L339" s="885"/>
      <c r="M339" s="885"/>
      <c r="N339" s="883"/>
      <c r="O339" s="883"/>
      <c r="P339" s="886">
        <v>43347</v>
      </c>
      <c r="Q339" s="887"/>
      <c r="R339" s="1083"/>
    </row>
    <row r="340" spans="1:23" s="1190" customFormat="1" ht="15.75" thickBot="1">
      <c r="A340" s="1105" t="s">
        <v>3042</v>
      </c>
      <c r="B340" s="1106" t="s">
        <v>58</v>
      </c>
      <c r="C340" s="1106" t="s">
        <v>2684</v>
      </c>
      <c r="D340" s="1107" t="s">
        <v>3078</v>
      </c>
      <c r="E340" s="1106"/>
      <c r="F340" s="1106" t="s">
        <v>3043</v>
      </c>
      <c r="G340" s="1308">
        <v>487600</v>
      </c>
      <c r="H340" s="1106" t="s">
        <v>251</v>
      </c>
      <c r="I340" s="1309">
        <v>43280</v>
      </c>
      <c r="J340" s="1309">
        <v>43320</v>
      </c>
      <c r="K340" s="1310" t="s">
        <v>242</v>
      </c>
      <c r="L340" s="1308"/>
      <c r="M340" s="1308"/>
      <c r="N340" s="1106"/>
      <c r="O340" s="1106"/>
      <c r="P340" s="1309">
        <v>43347</v>
      </c>
      <c r="Q340" s="1311"/>
      <c r="R340" s="1083"/>
      <c r="S340" s="374"/>
      <c r="T340" s="374"/>
      <c r="U340" s="374"/>
      <c r="V340" s="374"/>
      <c r="W340" s="374"/>
    </row>
    <row r="341" spans="1:23" ht="15.75" thickTop="1">
      <c r="A341" s="991" t="s">
        <v>3061</v>
      </c>
      <c r="B341" s="991" t="s">
        <v>58</v>
      </c>
      <c r="C341" s="991" t="s">
        <v>2684</v>
      </c>
      <c r="D341" s="567" t="s">
        <v>3062</v>
      </c>
      <c r="E341" s="991" t="s">
        <v>269</v>
      </c>
      <c r="F341" s="991" t="s">
        <v>3063</v>
      </c>
      <c r="G341" s="992">
        <v>966942</v>
      </c>
      <c r="H341" s="991" t="s">
        <v>112</v>
      </c>
      <c r="I341" s="993">
        <v>43293</v>
      </c>
      <c r="J341" s="993">
        <v>43311</v>
      </c>
      <c r="K341" s="991" t="s">
        <v>3152</v>
      </c>
      <c r="L341" s="992">
        <v>894120</v>
      </c>
      <c r="M341" s="992">
        <f>L341*1.21</f>
        <v>1081885.2</v>
      </c>
      <c r="N341" s="993">
        <v>43339</v>
      </c>
      <c r="O341" s="993"/>
      <c r="P341" s="993">
        <v>43340</v>
      </c>
      <c r="Q341" s="993">
        <v>43461</v>
      </c>
      <c r="R341" s="996" t="s">
        <v>1875</v>
      </c>
    </row>
    <row r="342" spans="1:23" ht="15.75" customHeight="1">
      <c r="A342" s="902" t="s">
        <v>3064</v>
      </c>
      <c r="B342" s="902" t="s">
        <v>58</v>
      </c>
      <c r="C342" s="902" t="s">
        <v>2684</v>
      </c>
      <c r="D342" s="903" t="s">
        <v>3065</v>
      </c>
      <c r="E342" s="902" t="s">
        <v>976</v>
      </c>
      <c r="F342" s="902" t="s">
        <v>3066</v>
      </c>
      <c r="G342" s="1211">
        <v>526000</v>
      </c>
      <c r="H342" s="902" t="s">
        <v>112</v>
      </c>
      <c r="I342" s="905">
        <v>43307</v>
      </c>
      <c r="J342" s="905">
        <v>43319</v>
      </c>
      <c r="K342" s="902" t="s">
        <v>3182</v>
      </c>
      <c r="L342" s="1211">
        <v>394480</v>
      </c>
      <c r="M342" s="1211">
        <f>L342*1.21</f>
        <v>477320.8</v>
      </c>
      <c r="N342" s="905">
        <v>43360</v>
      </c>
      <c r="O342" s="905"/>
      <c r="P342" s="905">
        <v>43361</v>
      </c>
      <c r="Q342" s="905">
        <v>43521</v>
      </c>
      <c r="R342" s="996" t="s">
        <v>1875</v>
      </c>
    </row>
    <row r="343" spans="1:23" s="1190" customFormat="1" ht="15.75" customHeight="1" thickBot="1">
      <c r="A343" s="913" t="s">
        <v>3067</v>
      </c>
      <c r="B343" s="913" t="s">
        <v>58</v>
      </c>
      <c r="C343" s="913" t="s">
        <v>2684</v>
      </c>
      <c r="D343" s="914" t="s">
        <v>3070</v>
      </c>
      <c r="E343" s="913" t="s">
        <v>3068</v>
      </c>
      <c r="F343" s="913" t="s">
        <v>3069</v>
      </c>
      <c r="G343" s="915">
        <v>12396595</v>
      </c>
      <c r="H343" s="913" t="s">
        <v>251</v>
      </c>
      <c r="I343" s="916">
        <v>43285</v>
      </c>
      <c r="J343" s="916">
        <v>43322</v>
      </c>
      <c r="K343" s="913" t="s">
        <v>3174</v>
      </c>
      <c r="L343" s="915">
        <v>11432841</v>
      </c>
      <c r="M343" s="915">
        <v>13833836</v>
      </c>
      <c r="N343" s="916">
        <v>43398</v>
      </c>
      <c r="O343" s="916"/>
      <c r="P343" s="916">
        <v>43403</v>
      </c>
      <c r="Q343" s="916">
        <v>43514</v>
      </c>
      <c r="R343" s="996" t="s">
        <v>1875</v>
      </c>
      <c r="S343" s="374"/>
      <c r="T343" s="374"/>
      <c r="U343" s="374"/>
      <c r="V343" s="374"/>
      <c r="W343" s="374"/>
    </row>
    <row r="344" spans="1:23" s="1190" customFormat="1" ht="15.75" customHeight="1" thickTop="1">
      <c r="A344" s="1091" t="s">
        <v>3072</v>
      </c>
      <c r="B344" s="1092" t="s">
        <v>1700</v>
      </c>
      <c r="C344" s="1092" t="s">
        <v>1699</v>
      </c>
      <c r="D344" s="1093" t="s">
        <v>3073</v>
      </c>
      <c r="E344" s="1092" t="s">
        <v>3068</v>
      </c>
      <c r="F344" s="1092" t="s">
        <v>3074</v>
      </c>
      <c r="G344" s="1199">
        <v>5197355.32</v>
      </c>
      <c r="H344" s="1092" t="s">
        <v>251</v>
      </c>
      <c r="I344" s="1095">
        <v>43368</v>
      </c>
      <c r="J344" s="1095">
        <v>43409</v>
      </c>
      <c r="K344" s="1092" t="s">
        <v>3174</v>
      </c>
      <c r="L344" s="1199">
        <v>5279580</v>
      </c>
      <c r="M344" s="1199">
        <v>6388291.7999999998</v>
      </c>
      <c r="N344" s="1092"/>
      <c r="O344" s="1092"/>
      <c r="P344" s="1092"/>
      <c r="Q344" s="1119"/>
      <c r="R344" s="1083"/>
      <c r="S344" s="374"/>
      <c r="T344" s="374"/>
      <c r="U344" s="374"/>
      <c r="V344" s="374"/>
      <c r="W344" s="374"/>
    </row>
    <row r="345" spans="1:23" s="1190" customFormat="1" ht="15.75" customHeight="1" thickBot="1">
      <c r="A345" s="1291" t="s">
        <v>3072</v>
      </c>
      <c r="B345" s="1292" t="s">
        <v>1700</v>
      </c>
      <c r="C345" s="1292" t="s">
        <v>1699</v>
      </c>
      <c r="D345" s="1293" t="s">
        <v>3075</v>
      </c>
      <c r="E345" s="1292" t="s">
        <v>3068</v>
      </c>
      <c r="F345" s="1292" t="s">
        <v>3076</v>
      </c>
      <c r="G345" s="1294">
        <v>3306944.71</v>
      </c>
      <c r="H345" s="1292" t="s">
        <v>251</v>
      </c>
      <c r="I345" s="1295">
        <v>43368</v>
      </c>
      <c r="J345" s="1295">
        <v>43409</v>
      </c>
      <c r="K345" s="1292" t="s">
        <v>3332</v>
      </c>
      <c r="L345" s="1294">
        <v>2942292</v>
      </c>
      <c r="M345" s="1294">
        <v>3560173.66</v>
      </c>
      <c r="N345" s="1292"/>
      <c r="O345" s="1292"/>
      <c r="P345" s="1292"/>
      <c r="Q345" s="1296"/>
      <c r="R345" s="1083"/>
      <c r="S345" s="374"/>
      <c r="T345" s="374"/>
      <c r="U345" s="374"/>
      <c r="V345" s="374"/>
      <c r="W345" s="374"/>
    </row>
    <row r="346" spans="1:23" s="1190" customFormat="1" ht="15.75" customHeight="1" thickTop="1">
      <c r="A346" s="991" t="s">
        <v>3081</v>
      </c>
      <c r="B346" s="991" t="s">
        <v>58</v>
      </c>
      <c r="C346" s="991" t="s">
        <v>2684</v>
      </c>
      <c r="D346" s="567" t="s">
        <v>3082</v>
      </c>
      <c r="E346" s="985" t="s">
        <v>2121</v>
      </c>
      <c r="F346" s="991" t="s">
        <v>3083</v>
      </c>
      <c r="G346" s="992">
        <v>1257025</v>
      </c>
      <c r="H346" s="991" t="s">
        <v>112</v>
      </c>
      <c r="I346" s="993">
        <v>43294</v>
      </c>
      <c r="J346" s="993">
        <v>43308</v>
      </c>
      <c r="K346" s="991" t="s">
        <v>3184</v>
      </c>
      <c r="L346" s="992">
        <v>1349447</v>
      </c>
      <c r="M346" s="992">
        <v>1632830.87</v>
      </c>
      <c r="N346" s="993">
        <v>43360</v>
      </c>
      <c r="O346" s="993"/>
      <c r="P346" s="993">
        <v>43362</v>
      </c>
      <c r="Q346" s="993">
        <v>43840</v>
      </c>
      <c r="R346" s="996" t="s">
        <v>1875</v>
      </c>
      <c r="S346" s="374"/>
      <c r="T346" s="374"/>
      <c r="U346" s="374"/>
      <c r="V346" s="374"/>
      <c r="W346" s="374"/>
    </row>
    <row r="347" spans="1:23" s="1190" customFormat="1" ht="15.75" customHeight="1">
      <c r="A347" s="902" t="s">
        <v>3085</v>
      </c>
      <c r="B347" s="902" t="s">
        <v>58</v>
      </c>
      <c r="C347" s="902" t="s">
        <v>2684</v>
      </c>
      <c r="D347" s="903" t="s">
        <v>3086</v>
      </c>
      <c r="E347" s="902" t="s">
        <v>2920</v>
      </c>
      <c r="F347" s="902" t="s">
        <v>3088</v>
      </c>
      <c r="G347" s="1211">
        <v>1613000</v>
      </c>
      <c r="H347" s="902" t="s">
        <v>112</v>
      </c>
      <c r="I347" s="905">
        <v>43307</v>
      </c>
      <c r="J347" s="905">
        <v>43320</v>
      </c>
      <c r="K347" s="902" t="s">
        <v>2030</v>
      </c>
      <c r="L347" s="1211">
        <v>1569740</v>
      </c>
      <c r="M347" s="1211">
        <v>1899385.4</v>
      </c>
      <c r="N347" s="905">
        <v>43348</v>
      </c>
      <c r="O347" s="905"/>
      <c r="P347" s="905">
        <v>43350</v>
      </c>
      <c r="Q347" s="905">
        <v>43437</v>
      </c>
      <c r="R347" s="996" t="s">
        <v>1875</v>
      </c>
      <c r="S347" s="374"/>
      <c r="T347" s="374"/>
      <c r="U347" s="374"/>
      <c r="V347" s="374"/>
      <c r="W347" s="374"/>
    </row>
    <row r="348" spans="1:23" s="1190" customFormat="1" ht="15.75" customHeight="1">
      <c r="A348" s="872" t="s">
        <v>3087</v>
      </c>
      <c r="B348" s="872" t="s">
        <v>52</v>
      </c>
      <c r="C348" s="872" t="s">
        <v>3089</v>
      </c>
      <c r="D348" s="873" t="s">
        <v>3090</v>
      </c>
      <c r="E348" s="872" t="s">
        <v>3091</v>
      </c>
      <c r="F348" s="872" t="s">
        <v>3092</v>
      </c>
      <c r="G348" s="875">
        <v>2950000</v>
      </c>
      <c r="H348" s="872" t="s">
        <v>112</v>
      </c>
      <c r="I348" s="874">
        <v>43297</v>
      </c>
      <c r="J348" s="874">
        <v>43308</v>
      </c>
      <c r="K348" s="876" t="s">
        <v>242</v>
      </c>
      <c r="L348" s="875"/>
      <c r="M348" s="875"/>
      <c r="N348" s="872"/>
      <c r="O348" s="872"/>
      <c r="P348" s="874">
        <v>43336</v>
      </c>
      <c r="Q348" s="872"/>
      <c r="R348" s="801"/>
      <c r="S348" s="374"/>
      <c r="T348" s="374"/>
      <c r="U348" s="374"/>
      <c r="V348" s="374"/>
      <c r="W348" s="374"/>
    </row>
    <row r="349" spans="1:23" s="1190" customFormat="1" ht="15.75" customHeight="1" thickBot="1">
      <c r="A349" s="913" t="s">
        <v>3093</v>
      </c>
      <c r="B349" s="913" t="s">
        <v>1503</v>
      </c>
      <c r="C349" s="913" t="s">
        <v>918</v>
      </c>
      <c r="D349" s="914" t="s">
        <v>3094</v>
      </c>
      <c r="E349" s="913" t="s">
        <v>3095</v>
      </c>
      <c r="F349" s="913"/>
      <c r="G349" s="915">
        <v>800000</v>
      </c>
      <c r="H349" s="913" t="s">
        <v>112</v>
      </c>
      <c r="I349" s="916">
        <v>43353</v>
      </c>
      <c r="J349" s="916">
        <v>43363</v>
      </c>
      <c r="K349" s="913" t="s">
        <v>3320</v>
      </c>
      <c r="L349" s="915">
        <v>692565</v>
      </c>
      <c r="M349" s="915">
        <v>838003.65</v>
      </c>
      <c r="N349" s="916">
        <v>43406</v>
      </c>
      <c r="O349" s="916"/>
      <c r="P349" s="916">
        <v>43410</v>
      </c>
      <c r="Q349" s="916">
        <v>43691</v>
      </c>
      <c r="R349" s="801"/>
      <c r="S349" s="374"/>
      <c r="T349" s="374"/>
      <c r="U349" s="374"/>
      <c r="V349" s="374"/>
      <c r="W349" s="374"/>
    </row>
    <row r="350" spans="1:23" s="1190" customFormat="1" ht="15.75" customHeight="1" thickTop="1">
      <c r="A350" s="1044" t="s">
        <v>3096</v>
      </c>
      <c r="B350" s="1045" t="s">
        <v>1700</v>
      </c>
      <c r="C350" s="1045" t="s">
        <v>1699</v>
      </c>
      <c r="D350" s="770" t="s">
        <v>3097</v>
      </c>
      <c r="E350" s="1045" t="s">
        <v>86</v>
      </c>
      <c r="F350" s="1045" t="s">
        <v>3098</v>
      </c>
      <c r="G350" s="1046">
        <v>3399173</v>
      </c>
      <c r="H350" s="1045" t="s">
        <v>251</v>
      </c>
      <c r="I350" s="1047">
        <v>43413</v>
      </c>
      <c r="J350" s="1047">
        <v>43472</v>
      </c>
      <c r="K350" s="1045"/>
      <c r="L350" s="1046"/>
      <c r="M350" s="1046"/>
      <c r="N350" s="1045"/>
      <c r="O350" s="1045"/>
      <c r="P350" s="1045"/>
      <c r="Q350" s="1048"/>
      <c r="R350" s="1083"/>
      <c r="S350" s="374"/>
      <c r="T350" s="374"/>
      <c r="U350" s="374"/>
      <c r="V350" s="374"/>
      <c r="W350" s="374"/>
    </row>
    <row r="351" spans="1:23" s="1190" customFormat="1" ht="15.75" customHeight="1">
      <c r="A351" s="1054" t="s">
        <v>3096</v>
      </c>
      <c r="B351" s="853" t="s">
        <v>1700</v>
      </c>
      <c r="C351" s="853" t="s">
        <v>1699</v>
      </c>
      <c r="D351" s="771" t="s">
        <v>3099</v>
      </c>
      <c r="E351" s="853" t="s">
        <v>86</v>
      </c>
      <c r="F351" s="853" t="s">
        <v>3100</v>
      </c>
      <c r="G351" s="854">
        <v>518181</v>
      </c>
      <c r="H351" s="853" t="s">
        <v>251</v>
      </c>
      <c r="I351" s="855">
        <v>43413</v>
      </c>
      <c r="J351" s="855">
        <v>43472</v>
      </c>
      <c r="K351" s="853"/>
      <c r="L351" s="854"/>
      <c r="M351" s="854"/>
      <c r="N351" s="853"/>
      <c r="O351" s="853"/>
      <c r="P351" s="853"/>
      <c r="Q351" s="1049"/>
      <c r="R351" s="1083"/>
      <c r="S351" s="374"/>
      <c r="T351" s="374"/>
      <c r="U351" s="374"/>
      <c r="V351" s="374"/>
      <c r="W351" s="374"/>
    </row>
    <row r="352" spans="1:23" s="1190" customFormat="1" ht="15.75" customHeight="1">
      <c r="A352" s="1054" t="s">
        <v>3096</v>
      </c>
      <c r="B352" s="853" t="s">
        <v>1700</v>
      </c>
      <c r="C352" s="853" t="s">
        <v>1699</v>
      </c>
      <c r="D352" s="771" t="s">
        <v>3101</v>
      </c>
      <c r="E352" s="853" t="s">
        <v>86</v>
      </c>
      <c r="F352" s="853" t="s">
        <v>3102</v>
      </c>
      <c r="G352" s="854">
        <v>1882644</v>
      </c>
      <c r="H352" s="853" t="s">
        <v>251</v>
      </c>
      <c r="I352" s="855">
        <v>43413</v>
      </c>
      <c r="J352" s="855">
        <v>43472</v>
      </c>
      <c r="K352" s="853"/>
      <c r="L352" s="854"/>
      <c r="M352" s="854"/>
      <c r="N352" s="853"/>
      <c r="O352" s="853"/>
      <c r="P352" s="853"/>
      <c r="Q352" s="1049"/>
      <c r="R352" s="1083"/>
      <c r="S352" s="374"/>
      <c r="T352" s="374"/>
      <c r="U352" s="374"/>
      <c r="V352" s="374"/>
      <c r="W352" s="374"/>
    </row>
    <row r="353" spans="1:23" s="1190" customFormat="1" ht="15.75" customHeight="1" thickBot="1">
      <c r="A353" s="1328" t="s">
        <v>3096</v>
      </c>
      <c r="B353" s="1263" t="s">
        <v>1700</v>
      </c>
      <c r="C353" s="1263" t="s">
        <v>1699</v>
      </c>
      <c r="D353" s="1264" t="s">
        <v>3512</v>
      </c>
      <c r="E353" s="1263" t="s">
        <v>86</v>
      </c>
      <c r="F353" s="1263" t="s">
        <v>3098</v>
      </c>
      <c r="G353" s="1265">
        <v>2757850</v>
      </c>
      <c r="H353" s="1263" t="s">
        <v>251</v>
      </c>
      <c r="I353" s="1266">
        <v>43413</v>
      </c>
      <c r="J353" s="1266">
        <v>43472</v>
      </c>
      <c r="K353" s="1263"/>
      <c r="L353" s="1265"/>
      <c r="M353" s="1265"/>
      <c r="N353" s="1263"/>
      <c r="O353" s="1263"/>
      <c r="P353" s="1263"/>
      <c r="Q353" s="1329"/>
      <c r="R353" s="1083"/>
      <c r="S353" s="374"/>
      <c r="T353" s="374"/>
      <c r="U353" s="374"/>
      <c r="V353" s="374"/>
      <c r="W353" s="374"/>
    </row>
    <row r="354" spans="1:23" s="1190" customFormat="1" ht="15.75" customHeight="1" thickTop="1">
      <c r="A354" s="1091" t="s">
        <v>3103</v>
      </c>
      <c r="B354" s="1092" t="s">
        <v>69</v>
      </c>
      <c r="C354" s="1092" t="s">
        <v>70</v>
      </c>
      <c r="D354" s="1093" t="s">
        <v>3104</v>
      </c>
      <c r="E354" s="1092" t="s">
        <v>1537</v>
      </c>
      <c r="F354" s="1092"/>
      <c r="G354" s="1199">
        <v>1705200</v>
      </c>
      <c r="H354" s="1092" t="s">
        <v>251</v>
      </c>
      <c r="I354" s="1095">
        <v>43299</v>
      </c>
      <c r="J354" s="1095">
        <v>43336</v>
      </c>
      <c r="K354" s="1348" t="s">
        <v>3287</v>
      </c>
      <c r="L354" s="1199">
        <v>1635600</v>
      </c>
      <c r="M354" s="1199">
        <f>L354*1.1</f>
        <v>1799160.0000000002</v>
      </c>
      <c r="N354" s="1092"/>
      <c r="O354" s="1092"/>
      <c r="P354" s="1092"/>
      <c r="Q354" s="1119"/>
      <c r="R354" s="1083"/>
      <c r="S354" s="374"/>
      <c r="T354" s="374"/>
      <c r="U354" s="374"/>
      <c r="V354" s="374"/>
      <c r="W354" s="374"/>
    </row>
    <row r="355" spans="1:23" s="1190" customFormat="1" ht="15.75" customHeight="1">
      <c r="A355" s="1098" t="s">
        <v>3103</v>
      </c>
      <c r="B355" s="869" t="s">
        <v>69</v>
      </c>
      <c r="C355" s="869" t="s">
        <v>70</v>
      </c>
      <c r="D355" s="856" t="s">
        <v>3105</v>
      </c>
      <c r="E355" s="869" t="s">
        <v>1537</v>
      </c>
      <c r="F355" s="869"/>
      <c r="G355" s="1200">
        <v>74100</v>
      </c>
      <c r="H355" s="869" t="s">
        <v>251</v>
      </c>
      <c r="I355" s="870">
        <v>43299</v>
      </c>
      <c r="J355" s="870">
        <v>43336</v>
      </c>
      <c r="K355" s="1026" t="s">
        <v>3288</v>
      </c>
      <c r="L355" s="1200">
        <v>74090</v>
      </c>
      <c r="M355" s="1200">
        <f>L355*1.1</f>
        <v>81499</v>
      </c>
      <c r="N355" s="869"/>
      <c r="O355" s="869"/>
      <c r="P355" s="869"/>
      <c r="Q355" s="1108"/>
      <c r="R355" s="1083"/>
      <c r="S355" s="374"/>
      <c r="T355" s="374"/>
      <c r="U355" s="374"/>
      <c r="V355" s="374"/>
      <c r="W355" s="374"/>
    </row>
    <row r="356" spans="1:23" s="1190" customFormat="1" ht="15.75" customHeight="1" thickBot="1">
      <c r="A356" s="1291" t="s">
        <v>3103</v>
      </c>
      <c r="B356" s="1292" t="s">
        <v>69</v>
      </c>
      <c r="C356" s="1292" t="s">
        <v>70</v>
      </c>
      <c r="D356" s="1293" t="s">
        <v>3106</v>
      </c>
      <c r="E356" s="1292" t="s">
        <v>1537</v>
      </c>
      <c r="F356" s="1292"/>
      <c r="G356" s="1294">
        <v>2302873</v>
      </c>
      <c r="H356" s="1292" t="s">
        <v>251</v>
      </c>
      <c r="I356" s="1295">
        <v>43299</v>
      </c>
      <c r="J356" s="1295">
        <v>43336</v>
      </c>
      <c r="K356" s="1292" t="s">
        <v>2518</v>
      </c>
      <c r="L356" s="1294">
        <v>2302872.08</v>
      </c>
      <c r="M356" s="1294">
        <f>L356*1.1</f>
        <v>2533159.2880000002</v>
      </c>
      <c r="N356" s="1292"/>
      <c r="O356" s="1292"/>
      <c r="P356" s="1292"/>
      <c r="Q356" s="1296"/>
      <c r="R356" s="1083"/>
      <c r="S356" s="374"/>
      <c r="T356" s="374"/>
      <c r="U356" s="374"/>
      <c r="V356" s="374"/>
      <c r="W356" s="374"/>
    </row>
    <row r="357" spans="1:23" s="1190" customFormat="1" ht="15.75" customHeight="1" thickTop="1">
      <c r="A357" s="902" t="s">
        <v>3124</v>
      </c>
      <c r="B357" s="902" t="s">
        <v>2434</v>
      </c>
      <c r="C357" s="902" t="s">
        <v>219</v>
      </c>
      <c r="D357" s="903" t="s">
        <v>3125</v>
      </c>
      <c r="E357" s="902" t="s">
        <v>642</v>
      </c>
      <c r="F357" s="902"/>
      <c r="G357" s="1211">
        <v>4613400</v>
      </c>
      <c r="H357" s="902" t="s">
        <v>251</v>
      </c>
      <c r="I357" s="905">
        <v>43306</v>
      </c>
      <c r="J357" s="905">
        <v>43347</v>
      </c>
      <c r="K357" s="902" t="s">
        <v>459</v>
      </c>
      <c r="L357" s="1211">
        <v>4613400</v>
      </c>
      <c r="M357" s="1211">
        <f>L357*1.21</f>
        <v>5582214</v>
      </c>
      <c r="N357" s="905">
        <v>43424</v>
      </c>
      <c r="O357" s="905">
        <v>43788</v>
      </c>
      <c r="P357" s="905">
        <v>43427</v>
      </c>
      <c r="Q357" s="905">
        <v>43551</v>
      </c>
      <c r="R357" s="905">
        <v>43929</v>
      </c>
      <c r="S357" s="374"/>
      <c r="T357" s="374"/>
      <c r="U357" s="374"/>
      <c r="V357" s="374"/>
      <c r="W357" s="374"/>
    </row>
    <row r="358" spans="1:23" s="1190" customFormat="1" ht="15.75" customHeight="1">
      <c r="A358" s="991" t="s">
        <v>3135</v>
      </c>
      <c r="B358" s="991" t="s">
        <v>2434</v>
      </c>
      <c r="C358" s="991" t="s">
        <v>219</v>
      </c>
      <c r="D358" s="567" t="s">
        <v>3136</v>
      </c>
      <c r="E358" s="991" t="s">
        <v>642</v>
      </c>
      <c r="F358" s="991"/>
      <c r="G358" s="992">
        <v>2516000</v>
      </c>
      <c r="H358" s="991" t="s">
        <v>216</v>
      </c>
      <c r="I358" s="993">
        <v>43308</v>
      </c>
      <c r="J358" s="993">
        <v>43334</v>
      </c>
      <c r="K358" s="991" t="s">
        <v>459</v>
      </c>
      <c r="L358" s="992">
        <v>2529000</v>
      </c>
      <c r="M358" s="992">
        <v>3060090</v>
      </c>
      <c r="N358" s="993">
        <v>43424</v>
      </c>
      <c r="O358" s="993">
        <v>44154</v>
      </c>
      <c r="P358" s="993">
        <v>43427</v>
      </c>
      <c r="Q358" s="993">
        <v>43551</v>
      </c>
      <c r="R358" s="905">
        <v>43929</v>
      </c>
      <c r="S358" s="360"/>
      <c r="T358" s="796"/>
      <c r="U358" s="796"/>
      <c r="V358" s="374"/>
      <c r="W358" s="374"/>
    </row>
    <row r="359" spans="1:23" s="1190" customFormat="1" ht="15.75" customHeight="1">
      <c r="A359" s="991" t="s">
        <v>3108</v>
      </c>
      <c r="B359" s="991" t="s">
        <v>2434</v>
      </c>
      <c r="C359" s="991" t="s">
        <v>219</v>
      </c>
      <c r="D359" s="567" t="s">
        <v>3109</v>
      </c>
      <c r="E359" s="991" t="s">
        <v>642</v>
      </c>
      <c r="F359" s="991"/>
      <c r="G359" s="992">
        <v>3700000</v>
      </c>
      <c r="H359" s="991" t="s">
        <v>216</v>
      </c>
      <c r="I359" s="993">
        <v>43298</v>
      </c>
      <c r="J359" s="993">
        <v>43313</v>
      </c>
      <c r="K359" s="991" t="s">
        <v>3154</v>
      </c>
      <c r="L359" s="992">
        <v>3699739.44</v>
      </c>
      <c r="M359" s="992">
        <v>4254700.4000000004</v>
      </c>
      <c r="N359" s="993">
        <v>43353</v>
      </c>
      <c r="O359" s="993" t="s">
        <v>4096</v>
      </c>
      <c r="P359" s="993">
        <v>43354</v>
      </c>
      <c r="Q359" s="993">
        <v>43551</v>
      </c>
      <c r="R359" s="905">
        <v>43929</v>
      </c>
      <c r="S359" s="1560">
        <v>44285</v>
      </c>
      <c r="T359" s="2558">
        <v>44637</v>
      </c>
      <c r="U359" s="1992" t="s">
        <v>3582</v>
      </c>
      <c r="V359" s="1992" t="s">
        <v>4129</v>
      </c>
      <c r="W359" s="374"/>
    </row>
    <row r="360" spans="1:23" s="1190" customFormat="1" ht="15.75" customHeight="1" thickBot="1">
      <c r="A360" s="925" t="s">
        <v>3110</v>
      </c>
      <c r="B360" s="925" t="s">
        <v>58</v>
      </c>
      <c r="C360" s="925" t="s">
        <v>2684</v>
      </c>
      <c r="D360" s="926" t="s">
        <v>3111</v>
      </c>
      <c r="E360" s="925" t="s">
        <v>77</v>
      </c>
      <c r="F360" s="925" t="s">
        <v>2002</v>
      </c>
      <c r="G360" s="927">
        <v>2314050</v>
      </c>
      <c r="H360" s="925" t="s">
        <v>216</v>
      </c>
      <c r="I360" s="928">
        <v>43299</v>
      </c>
      <c r="J360" s="928">
        <v>43327</v>
      </c>
      <c r="K360" s="929" t="s">
        <v>242</v>
      </c>
      <c r="L360" s="927"/>
      <c r="M360" s="927"/>
      <c r="N360" s="925"/>
      <c r="O360" s="925"/>
      <c r="P360" s="928">
        <v>43326</v>
      </c>
      <c r="Q360" s="925"/>
      <c r="R360" s="801"/>
      <c r="S360" s="374"/>
      <c r="T360" s="374"/>
      <c r="U360" s="374"/>
      <c r="V360" s="374"/>
      <c r="W360" s="374"/>
    </row>
    <row r="361" spans="1:23" s="1190" customFormat="1" ht="15.75" customHeight="1" thickTop="1">
      <c r="A361" s="1092" t="s">
        <v>3115</v>
      </c>
      <c r="B361" s="1092" t="s">
        <v>58</v>
      </c>
      <c r="C361" s="1092" t="s">
        <v>2684</v>
      </c>
      <c r="D361" s="1093" t="s">
        <v>3119</v>
      </c>
      <c r="E361" s="1092" t="s">
        <v>80</v>
      </c>
      <c r="F361" s="1092" t="s">
        <v>3116</v>
      </c>
      <c r="G361" s="1199">
        <v>8049586</v>
      </c>
      <c r="H361" s="1092" t="s">
        <v>251</v>
      </c>
      <c r="I361" s="1095">
        <v>43306</v>
      </c>
      <c r="J361" s="1095">
        <v>43388</v>
      </c>
      <c r="K361" s="1092" t="s">
        <v>3355</v>
      </c>
      <c r="L361" s="1199">
        <v>7125075</v>
      </c>
      <c r="M361" s="1199">
        <v>8621340.75</v>
      </c>
      <c r="N361" s="1092"/>
      <c r="O361" s="1092"/>
      <c r="P361" s="1092"/>
      <c r="Q361" s="1092"/>
      <c r="R361" s="801"/>
      <c r="S361" s="374"/>
      <c r="T361" s="374"/>
      <c r="U361" s="374"/>
      <c r="V361" s="374"/>
      <c r="W361" s="374"/>
    </row>
    <row r="362" spans="1:23" s="1190" customFormat="1" ht="15.75" customHeight="1">
      <c r="A362" s="869" t="s">
        <v>3115</v>
      </c>
      <c r="B362" s="869" t="s">
        <v>58</v>
      </c>
      <c r="C362" s="869" t="s">
        <v>2684</v>
      </c>
      <c r="D362" s="856" t="s">
        <v>3120</v>
      </c>
      <c r="E362" s="869" t="s">
        <v>80</v>
      </c>
      <c r="F362" s="869" t="s">
        <v>3117</v>
      </c>
      <c r="G362" s="1200">
        <v>1190082</v>
      </c>
      <c r="H362" s="869" t="s">
        <v>251</v>
      </c>
      <c r="I362" s="870">
        <v>43306</v>
      </c>
      <c r="J362" s="870">
        <v>43388</v>
      </c>
      <c r="K362" s="869" t="s">
        <v>342</v>
      </c>
      <c r="L362" s="1200">
        <v>1184500</v>
      </c>
      <c r="M362" s="1200">
        <v>1433245</v>
      </c>
      <c r="N362" s="869"/>
      <c r="O362" s="869"/>
      <c r="P362" s="869"/>
      <c r="Q362" s="869"/>
      <c r="R362" s="801"/>
      <c r="S362" s="374"/>
      <c r="T362" s="374"/>
      <c r="U362" s="374"/>
      <c r="V362" s="374"/>
      <c r="W362" s="374"/>
    </row>
    <row r="363" spans="1:23" s="1190" customFormat="1" ht="15.75" customHeight="1" thickBot="1">
      <c r="A363" s="1292" t="s">
        <v>3115</v>
      </c>
      <c r="B363" s="1292" t="s">
        <v>58</v>
      </c>
      <c r="C363" s="1292" t="s">
        <v>2684</v>
      </c>
      <c r="D363" s="1293" t="s">
        <v>3121</v>
      </c>
      <c r="E363" s="1292" t="s">
        <v>80</v>
      </c>
      <c r="F363" s="1292" t="s">
        <v>3118</v>
      </c>
      <c r="G363" s="1294">
        <v>349256</v>
      </c>
      <c r="H363" s="1292" t="s">
        <v>251</v>
      </c>
      <c r="I363" s="1295">
        <v>43306</v>
      </c>
      <c r="J363" s="1295">
        <v>43388</v>
      </c>
      <c r="K363" s="1292" t="s">
        <v>3356</v>
      </c>
      <c r="L363" s="1294">
        <v>342828</v>
      </c>
      <c r="M363" s="1294">
        <v>397490.28</v>
      </c>
      <c r="N363" s="1292"/>
      <c r="O363" s="1292"/>
      <c r="P363" s="1292"/>
      <c r="Q363" s="1292"/>
      <c r="R363" s="801"/>
      <c r="S363" s="374"/>
      <c r="T363" s="374"/>
      <c r="U363" s="374"/>
      <c r="V363" s="374"/>
      <c r="W363" s="374"/>
    </row>
    <row r="364" spans="1:23" s="1190" customFormat="1" ht="15.75" customHeight="1" thickTop="1">
      <c r="A364" s="991" t="s">
        <v>3126</v>
      </c>
      <c r="B364" s="991" t="s">
        <v>3127</v>
      </c>
      <c r="C364" s="991" t="s">
        <v>3128</v>
      </c>
      <c r="D364" s="567" t="s">
        <v>3129</v>
      </c>
      <c r="E364" s="991" t="s">
        <v>765</v>
      </c>
      <c r="F364" s="991" t="s">
        <v>3134</v>
      </c>
      <c r="G364" s="992">
        <v>1990000</v>
      </c>
      <c r="H364" s="991" t="s">
        <v>112</v>
      </c>
      <c r="I364" s="993">
        <v>43308</v>
      </c>
      <c r="J364" s="993">
        <v>43320</v>
      </c>
      <c r="K364" s="991" t="s">
        <v>3222</v>
      </c>
      <c r="L364" s="992">
        <v>1940000</v>
      </c>
      <c r="M364" s="992">
        <f>L364*1.21</f>
        <v>2347400</v>
      </c>
      <c r="N364" s="993">
        <v>43385</v>
      </c>
      <c r="O364" s="993"/>
      <c r="P364" s="993">
        <v>43390</v>
      </c>
      <c r="Q364" s="993">
        <v>43514</v>
      </c>
      <c r="R364" s="1127">
        <v>44865</v>
      </c>
      <c r="S364" s="374"/>
      <c r="T364" s="374"/>
      <c r="U364" s="374"/>
      <c r="V364" s="374"/>
      <c r="W364" s="374"/>
    </row>
    <row r="365" spans="1:23" s="1190" customFormat="1" ht="15.75" customHeight="1">
      <c r="A365" s="902" t="s">
        <v>3130</v>
      </c>
      <c r="B365" s="902" t="s">
        <v>166</v>
      </c>
      <c r="C365" s="902" t="s">
        <v>167</v>
      </c>
      <c r="D365" s="903" t="s">
        <v>3131</v>
      </c>
      <c r="E365" s="902" t="s">
        <v>3132</v>
      </c>
      <c r="F365" s="902" t="s">
        <v>3133</v>
      </c>
      <c r="G365" s="1211">
        <v>1322300</v>
      </c>
      <c r="H365" s="902" t="s">
        <v>112</v>
      </c>
      <c r="I365" s="905">
        <v>43314</v>
      </c>
      <c r="J365" s="905">
        <v>43333</v>
      </c>
      <c r="K365" s="902" t="s">
        <v>907</v>
      </c>
      <c r="L365" s="1211">
        <v>1700233.16</v>
      </c>
      <c r="M365" s="1211">
        <v>2057282.12</v>
      </c>
      <c r="N365" s="905">
        <v>43402</v>
      </c>
      <c r="O365" s="905"/>
      <c r="P365" s="905">
        <v>43403</v>
      </c>
      <c r="Q365" s="905">
        <v>43514</v>
      </c>
      <c r="R365" s="801"/>
      <c r="S365" s="374"/>
      <c r="T365" s="374"/>
      <c r="U365" s="374"/>
      <c r="V365" s="374"/>
      <c r="W365" s="374"/>
    </row>
    <row r="366" spans="1:23" s="1190" customFormat="1" ht="15.75" customHeight="1">
      <c r="A366" s="902" t="s">
        <v>3138</v>
      </c>
      <c r="B366" s="902" t="s">
        <v>52</v>
      </c>
      <c r="C366" s="902" t="s">
        <v>3089</v>
      </c>
      <c r="D366" s="903" t="s">
        <v>3139</v>
      </c>
      <c r="E366" s="902" t="s">
        <v>3140</v>
      </c>
      <c r="F366" s="902"/>
      <c r="G366" s="1211">
        <v>20000000</v>
      </c>
      <c r="H366" s="902" t="s">
        <v>216</v>
      </c>
      <c r="I366" s="905">
        <v>43378</v>
      </c>
      <c r="J366" s="905">
        <v>43399</v>
      </c>
      <c r="K366" s="902" t="s">
        <v>3375</v>
      </c>
      <c r="L366" s="1211">
        <v>9766934.25</v>
      </c>
      <c r="M366" s="1211">
        <f>L366*1.21</f>
        <v>11817990.442499999</v>
      </c>
      <c r="N366" s="905">
        <v>43452</v>
      </c>
      <c r="O366" s="905"/>
      <c r="P366" s="905">
        <v>43462</v>
      </c>
      <c r="Q366" s="905">
        <v>43661</v>
      </c>
      <c r="R366" s="801"/>
      <c r="S366" s="374"/>
      <c r="T366" s="374"/>
      <c r="U366" s="374"/>
      <c r="V366" s="374"/>
      <c r="W366" s="374"/>
    </row>
    <row r="367" spans="1:23" s="1190" customFormat="1" ht="15.75" customHeight="1">
      <c r="A367" s="869" t="s">
        <v>3141</v>
      </c>
      <c r="B367" s="869" t="s">
        <v>1700</v>
      </c>
      <c r="C367" s="869" t="s">
        <v>1699</v>
      </c>
      <c r="D367" s="856" t="s">
        <v>3142</v>
      </c>
      <c r="E367" s="869" t="s">
        <v>3143</v>
      </c>
      <c r="F367" s="869" t="s">
        <v>3147</v>
      </c>
      <c r="G367" s="1200">
        <v>2152066.1</v>
      </c>
      <c r="H367" s="869" t="s">
        <v>251</v>
      </c>
      <c r="I367" s="870">
        <v>43368</v>
      </c>
      <c r="J367" s="870">
        <v>43404</v>
      </c>
      <c r="K367" s="869" t="s">
        <v>3379</v>
      </c>
      <c r="L367" s="1200">
        <v>2119510</v>
      </c>
      <c r="M367" s="1200">
        <v>2564607.1</v>
      </c>
      <c r="N367" s="869"/>
      <c r="O367" s="869"/>
      <c r="P367" s="869"/>
      <c r="Q367" s="869"/>
      <c r="R367" s="801"/>
      <c r="S367" s="374"/>
      <c r="T367" s="374"/>
      <c r="U367" s="374"/>
      <c r="V367" s="374"/>
      <c r="W367" s="374"/>
    </row>
    <row r="368" spans="1:23" s="1190" customFormat="1" ht="15.75" customHeight="1">
      <c r="A368" s="869" t="s">
        <v>3144</v>
      </c>
      <c r="B368" s="869" t="s">
        <v>1700</v>
      </c>
      <c r="C368" s="869" t="s">
        <v>1699</v>
      </c>
      <c r="D368" s="856" t="s">
        <v>3145</v>
      </c>
      <c r="E368" s="869" t="s">
        <v>1294</v>
      </c>
      <c r="F368" s="869" t="s">
        <v>3146</v>
      </c>
      <c r="G368" s="1200">
        <v>971000</v>
      </c>
      <c r="H368" s="869" t="s">
        <v>251</v>
      </c>
      <c r="I368" s="870">
        <v>43413</v>
      </c>
      <c r="J368" s="870">
        <v>43446</v>
      </c>
      <c r="K368" s="869" t="s">
        <v>3479</v>
      </c>
      <c r="L368" s="1200">
        <v>1351100</v>
      </c>
      <c r="M368" s="1200">
        <v>1634831</v>
      </c>
      <c r="N368" s="869"/>
      <c r="O368" s="869"/>
      <c r="P368" s="869"/>
      <c r="Q368" s="869"/>
      <c r="R368" s="801"/>
      <c r="S368" s="374"/>
      <c r="T368" s="374"/>
      <c r="U368" s="374"/>
      <c r="V368" s="374"/>
      <c r="W368" s="374"/>
    </row>
    <row r="369" spans="1:23" s="1190" customFormat="1" ht="15.75" customHeight="1">
      <c r="A369" s="902" t="s">
        <v>3155</v>
      </c>
      <c r="B369" s="902" t="s">
        <v>58</v>
      </c>
      <c r="C369" s="902" t="s">
        <v>55</v>
      </c>
      <c r="D369" s="903" t="s">
        <v>718</v>
      </c>
      <c r="E369" s="902" t="s">
        <v>3156</v>
      </c>
      <c r="F369" s="902"/>
      <c r="G369" s="1211">
        <v>1865000</v>
      </c>
      <c r="H369" s="902" t="s">
        <v>112</v>
      </c>
      <c r="I369" s="905">
        <v>43328</v>
      </c>
      <c r="J369" s="905">
        <v>43341</v>
      </c>
      <c r="K369" s="902" t="s">
        <v>749</v>
      </c>
      <c r="L369" s="1211">
        <v>1455675</v>
      </c>
      <c r="M369" s="1211">
        <v>1761378</v>
      </c>
      <c r="N369" s="905">
        <v>43382</v>
      </c>
      <c r="O369" s="905"/>
      <c r="P369" s="905">
        <v>43389</v>
      </c>
      <c r="Q369" s="905">
        <v>43840</v>
      </c>
      <c r="R369" s="801"/>
      <c r="S369" s="374"/>
      <c r="T369" s="374"/>
      <c r="U369" s="374"/>
      <c r="V369" s="374"/>
      <c r="W369" s="374"/>
    </row>
    <row r="370" spans="1:23" s="1190" customFormat="1" ht="15.75" customHeight="1">
      <c r="A370" s="902" t="s">
        <v>3157</v>
      </c>
      <c r="B370" s="902" t="s">
        <v>166</v>
      </c>
      <c r="C370" s="902" t="s">
        <v>167</v>
      </c>
      <c r="D370" s="903" t="s">
        <v>3158</v>
      </c>
      <c r="E370" s="902" t="s">
        <v>3159</v>
      </c>
      <c r="F370" s="902"/>
      <c r="G370" s="1211">
        <v>1200000</v>
      </c>
      <c r="H370" s="902" t="s">
        <v>112</v>
      </c>
      <c r="I370" s="905">
        <v>43314</v>
      </c>
      <c r="J370" s="905">
        <v>43328</v>
      </c>
      <c r="K370" s="902" t="s">
        <v>3285</v>
      </c>
      <c r="L370" s="1211">
        <v>1223650</v>
      </c>
      <c r="M370" s="1211">
        <f>L370*1.21</f>
        <v>1480616.5</v>
      </c>
      <c r="N370" s="905">
        <v>43374</v>
      </c>
      <c r="O370" s="905"/>
      <c r="P370" s="905">
        <v>43376</v>
      </c>
      <c r="Q370" s="905">
        <v>44179</v>
      </c>
      <c r="R370" s="801"/>
      <c r="S370" s="374"/>
      <c r="T370" s="374"/>
      <c r="U370" s="374"/>
      <c r="V370" s="374"/>
      <c r="W370" s="374"/>
    </row>
    <row r="371" spans="1:23" s="1190" customFormat="1" ht="15.75" customHeight="1">
      <c r="A371" s="902" t="s">
        <v>3160</v>
      </c>
      <c r="B371" s="902" t="s">
        <v>58</v>
      </c>
      <c r="C371" s="902" t="s">
        <v>55</v>
      </c>
      <c r="D371" s="903" t="s">
        <v>727</v>
      </c>
      <c r="E371" s="902" t="s">
        <v>3161</v>
      </c>
      <c r="F371" s="902"/>
      <c r="G371" s="1211">
        <v>910000</v>
      </c>
      <c r="H371" s="902" t="s">
        <v>112</v>
      </c>
      <c r="I371" s="905">
        <v>43334</v>
      </c>
      <c r="J371" s="905">
        <v>43349</v>
      </c>
      <c r="K371" s="902" t="s">
        <v>3060</v>
      </c>
      <c r="L371" s="1211">
        <v>698937</v>
      </c>
      <c r="M371" s="1211">
        <f>L371*1.21</f>
        <v>845713.77</v>
      </c>
      <c r="N371" s="905">
        <v>43424</v>
      </c>
      <c r="O371" s="905"/>
      <c r="P371" s="905">
        <v>43431</v>
      </c>
      <c r="Q371" s="905">
        <v>43556</v>
      </c>
      <c r="R371" s="996" t="s">
        <v>1875</v>
      </c>
      <c r="S371" s="374"/>
      <c r="T371" s="374"/>
      <c r="U371" s="374"/>
      <c r="V371" s="374"/>
      <c r="W371" s="374"/>
    </row>
    <row r="372" spans="1:23" s="1190" customFormat="1" ht="15.75" customHeight="1">
      <c r="A372" s="902" t="s">
        <v>3162</v>
      </c>
      <c r="B372" s="902" t="s">
        <v>1032</v>
      </c>
      <c r="C372" s="902" t="s">
        <v>361</v>
      </c>
      <c r="D372" s="903" t="s">
        <v>3163</v>
      </c>
      <c r="E372" s="902" t="s">
        <v>3165</v>
      </c>
      <c r="F372" s="902" t="s">
        <v>3164</v>
      </c>
      <c r="G372" s="1211">
        <v>250000</v>
      </c>
      <c r="H372" s="902" t="s">
        <v>112</v>
      </c>
      <c r="I372" s="905">
        <v>43325</v>
      </c>
      <c r="J372" s="905">
        <v>43336</v>
      </c>
      <c r="K372" s="902" t="s">
        <v>3084</v>
      </c>
      <c r="L372" s="1211">
        <v>215470</v>
      </c>
      <c r="M372" s="1211">
        <f>L372*1.21</f>
        <v>260718.69999999998</v>
      </c>
      <c r="N372" s="905">
        <v>43374</v>
      </c>
      <c r="O372" s="905"/>
      <c r="P372" s="902" t="s">
        <v>239</v>
      </c>
      <c r="Q372" s="902" t="s">
        <v>239</v>
      </c>
      <c r="R372" s="801"/>
      <c r="S372" s="374"/>
      <c r="T372" s="374"/>
      <c r="U372" s="374"/>
      <c r="V372" s="374"/>
      <c r="W372" s="374"/>
    </row>
    <row r="373" spans="1:23" s="1190" customFormat="1" ht="15.75" customHeight="1">
      <c r="A373" s="872" t="s">
        <v>3166</v>
      </c>
      <c r="B373" s="872" t="s">
        <v>166</v>
      </c>
      <c r="C373" s="872" t="s">
        <v>167</v>
      </c>
      <c r="D373" s="873" t="s">
        <v>3169</v>
      </c>
      <c r="E373" s="872" t="s">
        <v>3167</v>
      </c>
      <c r="F373" s="872" t="s">
        <v>3168</v>
      </c>
      <c r="G373" s="875">
        <v>700000</v>
      </c>
      <c r="H373" s="872" t="s">
        <v>112</v>
      </c>
      <c r="I373" s="874">
        <v>43325</v>
      </c>
      <c r="J373" s="874">
        <v>43336</v>
      </c>
      <c r="K373" s="876" t="s">
        <v>304</v>
      </c>
      <c r="L373" s="875"/>
      <c r="M373" s="875"/>
      <c r="N373" s="872"/>
      <c r="O373" s="872"/>
      <c r="P373" s="874">
        <v>43340</v>
      </c>
      <c r="Q373" s="872"/>
      <c r="R373" s="801"/>
      <c r="S373" s="374"/>
      <c r="T373" s="374"/>
      <c r="U373" s="374"/>
      <c r="V373" s="374"/>
      <c r="W373" s="374"/>
    </row>
    <row r="374" spans="1:23" s="1190" customFormat="1" ht="15.75" customHeight="1">
      <c r="A374" s="902" t="s">
        <v>3170</v>
      </c>
      <c r="B374" s="902" t="s">
        <v>58</v>
      </c>
      <c r="C374" s="902" t="s">
        <v>2684</v>
      </c>
      <c r="D374" s="903" t="s">
        <v>3171</v>
      </c>
      <c r="E374" s="902" t="s">
        <v>476</v>
      </c>
      <c r="F374" s="902" t="s">
        <v>3029</v>
      </c>
      <c r="G374" s="1211">
        <v>534000</v>
      </c>
      <c r="H374" s="902" t="s">
        <v>112</v>
      </c>
      <c r="I374" s="905">
        <v>43329</v>
      </c>
      <c r="J374" s="905">
        <v>43341</v>
      </c>
      <c r="K374" s="902" t="s">
        <v>1479</v>
      </c>
      <c r="L374" s="1211">
        <v>714536</v>
      </c>
      <c r="M374" s="1211">
        <f>L374*1.21</f>
        <v>864588.55999999994</v>
      </c>
      <c r="N374" s="905">
        <v>43378</v>
      </c>
      <c r="O374" s="905"/>
      <c r="P374" s="905">
        <v>43389</v>
      </c>
      <c r="Q374" s="905">
        <v>43472</v>
      </c>
      <c r="R374" s="996" t="s">
        <v>1875</v>
      </c>
      <c r="S374" s="374"/>
      <c r="T374" s="374"/>
      <c r="U374" s="374"/>
      <c r="V374" s="374"/>
      <c r="W374" s="374"/>
    </row>
    <row r="375" spans="1:23" s="1190" customFormat="1" ht="15.75" customHeight="1">
      <c r="A375" s="902" t="s">
        <v>3176</v>
      </c>
      <c r="B375" s="902" t="s">
        <v>58</v>
      </c>
      <c r="C375" s="902" t="s">
        <v>2684</v>
      </c>
      <c r="D375" s="903" t="s">
        <v>3177</v>
      </c>
      <c r="E375" s="902" t="s">
        <v>269</v>
      </c>
      <c r="F375" s="902" t="s">
        <v>3178</v>
      </c>
      <c r="G375" s="1211">
        <v>5206612</v>
      </c>
      <c r="H375" s="902" t="s">
        <v>251</v>
      </c>
      <c r="I375" s="905">
        <v>43332</v>
      </c>
      <c r="J375" s="905">
        <v>43384</v>
      </c>
      <c r="K375" s="902" t="s">
        <v>3351</v>
      </c>
      <c r="L375" s="1211">
        <v>5030299.82</v>
      </c>
      <c r="M375" s="1211">
        <v>6086662.9299999997</v>
      </c>
      <c r="N375" s="905">
        <v>43433</v>
      </c>
      <c r="O375" s="905"/>
      <c r="P375" s="905">
        <v>43437</v>
      </c>
      <c r="Q375" s="905">
        <v>43535</v>
      </c>
      <c r="R375" s="996" t="s">
        <v>1875</v>
      </c>
      <c r="S375" s="374"/>
      <c r="T375" s="374"/>
      <c r="U375" s="374"/>
      <c r="V375" s="374"/>
      <c r="W375" s="374"/>
    </row>
    <row r="376" spans="1:23" s="1190" customFormat="1" ht="15.75" customHeight="1">
      <c r="A376" s="902" t="s">
        <v>3180</v>
      </c>
      <c r="B376" s="902" t="s">
        <v>1032</v>
      </c>
      <c r="C376" s="902" t="s">
        <v>361</v>
      </c>
      <c r="D376" s="903" t="s">
        <v>3181</v>
      </c>
      <c r="E376" s="902" t="s">
        <v>1781</v>
      </c>
      <c r="F376" s="902" t="s">
        <v>2902</v>
      </c>
      <c r="G376" s="1211">
        <v>750000</v>
      </c>
      <c r="H376" s="902" t="s">
        <v>216</v>
      </c>
      <c r="I376" s="905">
        <v>43350</v>
      </c>
      <c r="J376" s="905">
        <v>43368</v>
      </c>
      <c r="K376" s="902" t="s">
        <v>3084</v>
      </c>
      <c r="L376" s="1211">
        <v>675048</v>
      </c>
      <c r="M376" s="1211">
        <v>816808</v>
      </c>
      <c r="N376" s="905">
        <v>43419</v>
      </c>
      <c r="O376" s="905"/>
      <c r="P376" s="905">
        <v>43423</v>
      </c>
      <c r="Q376" s="905">
        <v>43514</v>
      </c>
      <c r="R376" s="801"/>
      <c r="S376" s="374"/>
      <c r="T376" s="374"/>
      <c r="U376" s="374"/>
      <c r="V376" s="374"/>
      <c r="W376" s="374"/>
    </row>
    <row r="377" spans="1:23" s="1190" customFormat="1" ht="15.75" customHeight="1">
      <c r="A377" s="869" t="s">
        <v>3185</v>
      </c>
      <c r="B377" s="869" t="s">
        <v>69</v>
      </c>
      <c r="C377" s="869" t="s">
        <v>70</v>
      </c>
      <c r="D377" s="856" t="s">
        <v>3186</v>
      </c>
      <c r="E377" s="869" t="s">
        <v>3187</v>
      </c>
      <c r="F377" s="869"/>
      <c r="G377" s="1200">
        <v>1862375</v>
      </c>
      <c r="H377" s="869" t="s">
        <v>112</v>
      </c>
      <c r="I377" s="870">
        <v>43334</v>
      </c>
      <c r="J377" s="870">
        <v>43341</v>
      </c>
      <c r="K377" s="869" t="s">
        <v>1646</v>
      </c>
      <c r="L377" s="1200">
        <v>1833158.71</v>
      </c>
      <c r="M377" s="1200">
        <v>2016474.58</v>
      </c>
      <c r="N377" s="869"/>
      <c r="O377" s="869"/>
      <c r="P377" s="869"/>
      <c r="Q377" s="869"/>
      <c r="R377" s="801"/>
      <c r="S377" s="374"/>
      <c r="T377" s="374"/>
      <c r="U377" s="374"/>
      <c r="V377" s="374"/>
      <c r="W377" s="374"/>
    </row>
    <row r="378" spans="1:23" s="1190" customFormat="1" ht="15.75" customHeight="1">
      <c r="A378" s="872" t="s">
        <v>3188</v>
      </c>
      <c r="B378" s="872" t="s">
        <v>58</v>
      </c>
      <c r="C378" s="872" t="s">
        <v>2684</v>
      </c>
      <c r="D378" s="873" t="s">
        <v>3189</v>
      </c>
      <c r="E378" s="872" t="s">
        <v>403</v>
      </c>
      <c r="F378" s="872" t="s">
        <v>3190</v>
      </c>
      <c r="G378" s="875">
        <v>1740000</v>
      </c>
      <c r="H378" s="872" t="s">
        <v>112</v>
      </c>
      <c r="I378" s="874">
        <v>43339</v>
      </c>
      <c r="J378" s="874">
        <v>43348</v>
      </c>
      <c r="K378" s="876" t="s">
        <v>520</v>
      </c>
      <c r="L378" s="875"/>
      <c r="M378" s="875"/>
      <c r="N378" s="872"/>
      <c r="O378" s="872"/>
      <c r="P378" s="874">
        <v>43349</v>
      </c>
      <c r="Q378" s="872"/>
      <c r="R378" s="801"/>
      <c r="S378" s="374"/>
      <c r="T378" s="374"/>
      <c r="U378" s="374"/>
      <c r="V378" s="374"/>
      <c r="W378" s="374"/>
    </row>
    <row r="379" spans="1:23" s="1190" customFormat="1" ht="15.75" customHeight="1">
      <c r="A379" s="869" t="s">
        <v>3203</v>
      </c>
      <c r="B379" s="869" t="s">
        <v>2434</v>
      </c>
      <c r="C379" s="869" t="s">
        <v>3204</v>
      </c>
      <c r="D379" s="856" t="s">
        <v>3205</v>
      </c>
      <c r="E379" s="869" t="s">
        <v>642</v>
      </c>
      <c r="F379" s="869"/>
      <c r="G379" s="1200">
        <v>18039200</v>
      </c>
      <c r="H379" s="869" t="s">
        <v>251</v>
      </c>
      <c r="I379" s="870">
        <v>43376</v>
      </c>
      <c r="J379" s="870">
        <v>43409</v>
      </c>
      <c r="K379" s="869" t="s">
        <v>2776</v>
      </c>
      <c r="L379" s="1200">
        <v>18039000</v>
      </c>
      <c r="M379" s="1200">
        <v>20744850</v>
      </c>
      <c r="N379" s="869"/>
      <c r="O379" s="869"/>
      <c r="P379" s="869"/>
      <c r="Q379" s="869"/>
      <c r="R379" s="801"/>
      <c r="S379" s="374"/>
      <c r="T379" s="374"/>
      <c r="U379" s="374"/>
      <c r="V379" s="374"/>
      <c r="W379" s="374"/>
    </row>
    <row r="380" spans="1:23" s="1190" customFormat="1" ht="15.75" customHeight="1">
      <c r="A380" s="902" t="s">
        <v>3206</v>
      </c>
      <c r="B380" s="902" t="s">
        <v>166</v>
      </c>
      <c r="C380" s="902" t="s">
        <v>167</v>
      </c>
      <c r="D380" s="903" t="s">
        <v>3207</v>
      </c>
      <c r="E380" s="902" t="s">
        <v>3209</v>
      </c>
      <c r="F380" s="902" t="s">
        <v>3208</v>
      </c>
      <c r="G380" s="1211">
        <v>1571000</v>
      </c>
      <c r="H380" s="902" t="s">
        <v>112</v>
      </c>
      <c r="I380" s="905">
        <v>43342</v>
      </c>
      <c r="J380" s="905">
        <v>43357</v>
      </c>
      <c r="K380" s="902" t="s">
        <v>3304</v>
      </c>
      <c r="L380" s="1211">
        <v>1399548.52</v>
      </c>
      <c r="M380" s="1211">
        <v>1693453.71</v>
      </c>
      <c r="N380" s="905">
        <v>43388</v>
      </c>
      <c r="O380" s="905"/>
      <c r="P380" s="905">
        <v>43395</v>
      </c>
      <c r="Q380" s="1127">
        <v>43535</v>
      </c>
      <c r="R380" s="801"/>
      <c r="S380" s="374"/>
      <c r="T380" s="374"/>
      <c r="U380" s="374"/>
      <c r="V380" s="374"/>
      <c r="W380" s="374"/>
    </row>
    <row r="381" spans="1:23" s="1190" customFormat="1" ht="15.75" customHeight="1">
      <c r="A381" s="902" t="s">
        <v>3211</v>
      </c>
      <c r="B381" s="902" t="s">
        <v>58</v>
      </c>
      <c r="C381" s="902" t="s">
        <v>55</v>
      </c>
      <c r="D381" s="903" t="s">
        <v>3212</v>
      </c>
      <c r="E381" s="902" t="s">
        <v>756</v>
      </c>
      <c r="F381" s="902"/>
      <c r="G381" s="1211">
        <v>490000</v>
      </c>
      <c r="H381" s="902" t="s">
        <v>112</v>
      </c>
      <c r="I381" s="905">
        <v>43339</v>
      </c>
      <c r="J381" s="905">
        <v>43350</v>
      </c>
      <c r="K381" s="902" t="s">
        <v>2137</v>
      </c>
      <c r="L381" s="1211">
        <v>501592.84</v>
      </c>
      <c r="M381" s="1211">
        <v>577256</v>
      </c>
      <c r="N381" s="905">
        <v>43382</v>
      </c>
      <c r="O381" s="905"/>
      <c r="P381" s="905">
        <v>43389</v>
      </c>
      <c r="Q381" s="905">
        <v>43444</v>
      </c>
      <c r="R381" s="996" t="s">
        <v>1875</v>
      </c>
      <c r="S381" s="374"/>
      <c r="T381" s="374"/>
      <c r="U381" s="374"/>
      <c r="V381" s="374"/>
      <c r="W381" s="374"/>
    </row>
    <row r="382" spans="1:23" s="1190" customFormat="1" ht="15.75" customHeight="1">
      <c r="A382" s="869" t="s">
        <v>3213</v>
      </c>
      <c r="B382" s="869" t="s">
        <v>2434</v>
      </c>
      <c r="C382" s="869" t="s">
        <v>3204</v>
      </c>
      <c r="D382" s="1298" t="s">
        <v>3272</v>
      </c>
      <c r="E382" s="869" t="s">
        <v>642</v>
      </c>
      <c r="F382" s="869"/>
      <c r="G382" s="1200">
        <v>1115405</v>
      </c>
      <c r="H382" s="869" t="s">
        <v>112</v>
      </c>
      <c r="I382" s="870">
        <v>43339</v>
      </c>
      <c r="J382" s="870">
        <v>43357</v>
      </c>
      <c r="K382" s="869" t="s">
        <v>1433</v>
      </c>
      <c r="L382" s="1200">
        <v>900000</v>
      </c>
      <c r="M382" s="1200">
        <v>1089000</v>
      </c>
      <c r="N382" s="869"/>
      <c r="O382" s="869"/>
      <c r="P382" s="869"/>
      <c r="Q382" s="869"/>
      <c r="R382" s="801"/>
      <c r="S382" s="374"/>
      <c r="T382" s="374"/>
      <c r="U382" s="374"/>
      <c r="V382" s="374"/>
      <c r="W382" s="374"/>
    </row>
    <row r="383" spans="1:23" s="1190" customFormat="1" ht="15.75" customHeight="1" thickBot="1">
      <c r="A383" s="913" t="s">
        <v>3214</v>
      </c>
      <c r="B383" s="913" t="s">
        <v>2434</v>
      </c>
      <c r="C383" s="913" t="s">
        <v>3204</v>
      </c>
      <c r="D383" s="914" t="s">
        <v>3215</v>
      </c>
      <c r="E383" s="913" t="s">
        <v>642</v>
      </c>
      <c r="F383" s="913"/>
      <c r="G383" s="915">
        <v>1212500</v>
      </c>
      <c r="H383" s="913" t="s">
        <v>112</v>
      </c>
      <c r="I383" s="916">
        <v>43339</v>
      </c>
      <c r="J383" s="916">
        <v>43355</v>
      </c>
      <c r="K383" s="913" t="s">
        <v>1433</v>
      </c>
      <c r="L383" s="915">
        <v>1212500</v>
      </c>
      <c r="M383" s="915">
        <f>L383*1.21</f>
        <v>1467125</v>
      </c>
      <c r="N383" s="916">
        <v>43432</v>
      </c>
      <c r="O383" s="916">
        <v>44162</v>
      </c>
      <c r="P383" s="916">
        <v>43434</v>
      </c>
      <c r="Q383" s="916">
        <v>43553</v>
      </c>
      <c r="R383" s="905">
        <v>43929</v>
      </c>
      <c r="S383" s="1560">
        <v>44285</v>
      </c>
      <c r="T383" s="374"/>
      <c r="U383" s="374"/>
      <c r="V383" s="374"/>
      <c r="W383" s="374"/>
    </row>
    <row r="384" spans="1:23" s="1190" customFormat="1" ht="15.75" customHeight="1" thickTop="1">
      <c r="A384" s="985" t="s">
        <v>3216</v>
      </c>
      <c r="B384" s="985" t="s">
        <v>2434</v>
      </c>
      <c r="C384" s="985" t="s">
        <v>3204</v>
      </c>
      <c r="D384" s="939" t="s">
        <v>3290</v>
      </c>
      <c r="E384" s="985" t="s">
        <v>642</v>
      </c>
      <c r="F384" s="985"/>
      <c r="G384" s="1210">
        <v>5044317</v>
      </c>
      <c r="H384" s="985" t="s">
        <v>251</v>
      </c>
      <c r="I384" s="987">
        <v>43350</v>
      </c>
      <c r="J384" s="987">
        <v>43385</v>
      </c>
      <c r="K384" s="985" t="s">
        <v>2755</v>
      </c>
      <c r="L384" s="1210">
        <v>5044290.99</v>
      </c>
      <c r="M384" s="1210">
        <v>5800934.6399999997</v>
      </c>
      <c r="N384" s="987">
        <v>43441</v>
      </c>
      <c r="O384" s="987">
        <v>43988</v>
      </c>
      <c r="P384" s="987">
        <v>43445</v>
      </c>
      <c r="Q384" s="987">
        <v>43551</v>
      </c>
      <c r="R384" s="905">
        <v>43929</v>
      </c>
      <c r="S384" s="1560">
        <v>44285</v>
      </c>
      <c r="T384" s="374"/>
      <c r="U384" s="374"/>
      <c r="V384" s="374"/>
      <c r="W384" s="374"/>
    </row>
    <row r="385" spans="1:23" s="1190" customFormat="1" ht="15.75" customHeight="1">
      <c r="A385" s="991" t="s">
        <v>3217</v>
      </c>
      <c r="B385" s="991" t="s">
        <v>166</v>
      </c>
      <c r="C385" s="991" t="s">
        <v>167</v>
      </c>
      <c r="D385" s="567" t="s">
        <v>3218</v>
      </c>
      <c r="E385" s="991" t="s">
        <v>3132</v>
      </c>
      <c r="F385" s="991" t="s">
        <v>3168</v>
      </c>
      <c r="G385" s="992">
        <v>700000</v>
      </c>
      <c r="H385" s="991" t="s">
        <v>112</v>
      </c>
      <c r="I385" s="993">
        <v>43346</v>
      </c>
      <c r="J385" s="993">
        <v>43355</v>
      </c>
      <c r="K385" s="991" t="s">
        <v>2626</v>
      </c>
      <c r="L385" s="992">
        <v>542032.61</v>
      </c>
      <c r="M385" s="992">
        <f>L385*1.21</f>
        <v>655859.45809999993</v>
      </c>
      <c r="N385" s="993">
        <v>43384</v>
      </c>
      <c r="O385" s="993"/>
      <c r="P385" s="993">
        <v>43395</v>
      </c>
      <c r="Q385" s="993">
        <v>43535</v>
      </c>
      <c r="R385" s="801"/>
      <c r="S385" s="374"/>
      <c r="T385" s="374"/>
      <c r="U385" s="374"/>
      <c r="V385" s="374"/>
      <c r="W385" s="374"/>
    </row>
    <row r="386" spans="1:23" s="1190" customFormat="1" ht="15.75" customHeight="1">
      <c r="A386" s="1005" t="s">
        <v>3276</v>
      </c>
      <c r="B386" s="1005" t="s">
        <v>1032</v>
      </c>
      <c r="C386" s="1005" t="s">
        <v>1033</v>
      </c>
      <c r="D386" s="1006" t="s">
        <v>3277</v>
      </c>
      <c r="E386" s="1005" t="s">
        <v>3278</v>
      </c>
      <c r="F386" s="1005" t="s">
        <v>3279</v>
      </c>
      <c r="G386" s="1007">
        <v>400000</v>
      </c>
      <c r="H386" s="1005" t="s">
        <v>112</v>
      </c>
      <c r="I386" s="1008">
        <v>43349</v>
      </c>
      <c r="J386" s="1008">
        <v>43360</v>
      </c>
      <c r="K386" s="1005" t="s">
        <v>3315</v>
      </c>
      <c r="L386" s="1007">
        <v>515365</v>
      </c>
      <c r="M386" s="1007">
        <v>623591.65</v>
      </c>
      <c r="N386" s="1008">
        <v>43388</v>
      </c>
      <c r="O386" s="1008"/>
      <c r="P386" s="1008">
        <v>43395</v>
      </c>
      <c r="Q386" s="1008">
        <v>43507</v>
      </c>
      <c r="R386" s="801"/>
      <c r="S386" s="374"/>
      <c r="T386" s="374"/>
      <c r="U386" s="374"/>
      <c r="V386" s="374"/>
      <c r="W386" s="374"/>
    </row>
    <row r="387" spans="1:23" s="1190" customFormat="1" ht="15.75" customHeight="1" thickBot="1">
      <c r="A387" s="913" t="s">
        <v>3219</v>
      </c>
      <c r="B387" s="913" t="s">
        <v>14</v>
      </c>
      <c r="C387" s="913" t="s">
        <v>1753</v>
      </c>
      <c r="D387" s="914" t="s">
        <v>3220</v>
      </c>
      <c r="E387" s="913" t="s">
        <v>848</v>
      </c>
      <c r="F387" s="913" t="s">
        <v>3221</v>
      </c>
      <c r="G387" s="915">
        <v>1570248</v>
      </c>
      <c r="H387" s="913" t="s">
        <v>112</v>
      </c>
      <c r="I387" s="916">
        <v>43348</v>
      </c>
      <c r="J387" s="916">
        <v>43357</v>
      </c>
      <c r="K387" s="913" t="s">
        <v>1990</v>
      </c>
      <c r="L387" s="915">
        <v>1290436</v>
      </c>
      <c r="M387" s="915">
        <v>1561427.56</v>
      </c>
      <c r="N387" s="916">
        <v>43382</v>
      </c>
      <c r="O387" s="916"/>
      <c r="P387" s="916">
        <v>43389</v>
      </c>
      <c r="Q387" s="916">
        <v>43551</v>
      </c>
      <c r="R387" s="801"/>
      <c r="S387" s="374"/>
      <c r="T387" s="374"/>
      <c r="U387" s="374"/>
      <c r="V387" s="374"/>
      <c r="W387" s="374"/>
    </row>
    <row r="388" spans="1:23" s="1190" customFormat="1" ht="15.75" customHeight="1" thickTop="1">
      <c r="A388" s="1092" t="s">
        <v>3223</v>
      </c>
      <c r="B388" s="1092" t="s">
        <v>69</v>
      </c>
      <c r="C388" s="1092" t="s">
        <v>70</v>
      </c>
      <c r="D388" s="1093" t="s">
        <v>3224</v>
      </c>
      <c r="E388" s="1092" t="s">
        <v>3225</v>
      </c>
      <c r="F388" s="1092"/>
      <c r="G388" s="1199">
        <v>41300323.960000001</v>
      </c>
      <c r="H388" s="1092" t="s">
        <v>251</v>
      </c>
      <c r="I388" s="1095">
        <v>43368</v>
      </c>
      <c r="J388" s="1095">
        <v>43404</v>
      </c>
      <c r="K388" s="1092" t="s">
        <v>2548</v>
      </c>
      <c r="L388" s="1199">
        <v>41104437.479999997</v>
      </c>
      <c r="M388" s="1199">
        <f t="shared" ref="M388:M401" si="5">L388*1.1</f>
        <v>45214881.228</v>
      </c>
      <c r="N388" s="1092"/>
      <c r="O388" s="1092"/>
      <c r="P388" s="1092"/>
      <c r="Q388" s="1092"/>
      <c r="R388" s="801"/>
      <c r="S388" s="374"/>
      <c r="T388" s="374"/>
      <c r="U388" s="374"/>
      <c r="V388" s="374"/>
      <c r="W388" s="374"/>
    </row>
    <row r="389" spans="1:23" s="1190" customFormat="1" ht="15.75" customHeight="1">
      <c r="A389" s="869" t="s">
        <v>3223</v>
      </c>
      <c r="B389" s="869" t="s">
        <v>69</v>
      </c>
      <c r="C389" s="869" t="s">
        <v>70</v>
      </c>
      <c r="D389" s="856" t="s">
        <v>3226</v>
      </c>
      <c r="E389" s="869" t="s">
        <v>3225</v>
      </c>
      <c r="F389" s="869"/>
      <c r="G389" s="1200">
        <v>18830180.890000001</v>
      </c>
      <c r="H389" s="869" t="s">
        <v>251</v>
      </c>
      <c r="I389" s="870">
        <v>43368</v>
      </c>
      <c r="J389" s="870">
        <v>43404</v>
      </c>
      <c r="K389" s="869" t="s">
        <v>2548</v>
      </c>
      <c r="L389" s="1200">
        <v>18736351.109999999</v>
      </c>
      <c r="M389" s="1200">
        <f t="shared" si="5"/>
        <v>20609986.221000001</v>
      </c>
      <c r="N389" s="869"/>
      <c r="O389" s="869"/>
      <c r="P389" s="869"/>
      <c r="Q389" s="869"/>
      <c r="R389" s="801"/>
      <c r="S389" s="374"/>
      <c r="T389" s="374"/>
      <c r="U389" s="374"/>
      <c r="V389" s="374"/>
      <c r="W389" s="374"/>
    </row>
    <row r="390" spans="1:23" s="1190" customFormat="1" ht="15.75" customHeight="1">
      <c r="A390" s="869" t="s">
        <v>3223</v>
      </c>
      <c r="B390" s="869" t="s">
        <v>69</v>
      </c>
      <c r="C390" s="869" t="s">
        <v>70</v>
      </c>
      <c r="D390" s="856" t="s">
        <v>3227</v>
      </c>
      <c r="E390" s="869" t="s">
        <v>3225</v>
      </c>
      <c r="F390" s="869"/>
      <c r="G390" s="1200">
        <v>42899036.450000003</v>
      </c>
      <c r="H390" s="869" t="s">
        <v>251</v>
      </c>
      <c r="I390" s="870">
        <v>43368</v>
      </c>
      <c r="J390" s="870">
        <v>43404</v>
      </c>
      <c r="K390" s="869" t="s">
        <v>1646</v>
      </c>
      <c r="L390" s="1200">
        <v>42803439.280000001</v>
      </c>
      <c r="M390" s="1200">
        <f t="shared" si="5"/>
        <v>47083783.208000004</v>
      </c>
      <c r="N390" s="869"/>
      <c r="O390" s="869"/>
      <c r="P390" s="869"/>
      <c r="Q390" s="869"/>
      <c r="R390" s="801"/>
      <c r="S390" s="374"/>
      <c r="T390" s="374"/>
      <c r="U390" s="374"/>
      <c r="V390" s="374"/>
      <c r="W390" s="374"/>
    </row>
    <row r="391" spans="1:23" s="1190" customFormat="1" ht="15.75" customHeight="1">
      <c r="A391" s="869" t="s">
        <v>3223</v>
      </c>
      <c r="B391" s="869" t="s">
        <v>69</v>
      </c>
      <c r="C391" s="869" t="s">
        <v>70</v>
      </c>
      <c r="D391" s="856" t="s">
        <v>3228</v>
      </c>
      <c r="E391" s="869" t="s">
        <v>3225</v>
      </c>
      <c r="F391" s="869"/>
      <c r="G391" s="1200">
        <v>5515900.9100000001</v>
      </c>
      <c r="H391" s="869" t="s">
        <v>251</v>
      </c>
      <c r="I391" s="870">
        <v>43368</v>
      </c>
      <c r="J391" s="870">
        <v>43404</v>
      </c>
      <c r="K391" s="869" t="s">
        <v>2548</v>
      </c>
      <c r="L391" s="1200">
        <v>5485924</v>
      </c>
      <c r="M391" s="1200">
        <f t="shared" si="5"/>
        <v>6034516.4000000004</v>
      </c>
      <c r="N391" s="869"/>
      <c r="O391" s="869"/>
      <c r="P391" s="869"/>
      <c r="Q391" s="869"/>
      <c r="R391" s="801"/>
      <c r="S391" s="374"/>
      <c r="T391" s="374"/>
      <c r="U391" s="374"/>
      <c r="V391" s="374"/>
      <c r="W391" s="374"/>
    </row>
    <row r="392" spans="1:23" s="1190" customFormat="1" ht="15.75" customHeight="1">
      <c r="A392" s="869" t="s">
        <v>3223</v>
      </c>
      <c r="B392" s="869" t="s">
        <v>69</v>
      </c>
      <c r="C392" s="869" t="s">
        <v>70</v>
      </c>
      <c r="D392" s="856" t="s">
        <v>3229</v>
      </c>
      <c r="E392" s="869" t="s">
        <v>3225</v>
      </c>
      <c r="F392" s="869"/>
      <c r="G392" s="1200">
        <v>16652654.73</v>
      </c>
      <c r="H392" s="869" t="s">
        <v>251</v>
      </c>
      <c r="I392" s="870">
        <v>43368</v>
      </c>
      <c r="J392" s="870">
        <v>43404</v>
      </c>
      <c r="K392" s="869" t="s">
        <v>1402</v>
      </c>
      <c r="L392" s="1200">
        <v>16587621.630000001</v>
      </c>
      <c r="M392" s="1200">
        <f t="shared" si="5"/>
        <v>18246383.793000001</v>
      </c>
      <c r="N392" s="869"/>
      <c r="O392" s="869"/>
      <c r="P392" s="869"/>
      <c r="Q392" s="869"/>
      <c r="R392" s="801"/>
      <c r="S392" s="374"/>
      <c r="T392" s="374"/>
      <c r="U392" s="374"/>
      <c r="V392" s="374"/>
      <c r="W392" s="374"/>
    </row>
    <row r="393" spans="1:23" s="1190" customFormat="1" ht="15.75" customHeight="1">
      <c r="A393" s="869" t="s">
        <v>3223</v>
      </c>
      <c r="B393" s="869" t="s">
        <v>69</v>
      </c>
      <c r="C393" s="869" t="s">
        <v>70</v>
      </c>
      <c r="D393" s="856" t="s">
        <v>3230</v>
      </c>
      <c r="E393" s="869" t="s">
        <v>3225</v>
      </c>
      <c r="F393" s="869"/>
      <c r="G393" s="1200">
        <v>12678937.16</v>
      </c>
      <c r="H393" s="869" t="s">
        <v>251</v>
      </c>
      <c r="I393" s="870">
        <v>43368</v>
      </c>
      <c r="J393" s="870">
        <v>43404</v>
      </c>
      <c r="K393" s="869" t="s">
        <v>2548</v>
      </c>
      <c r="L393" s="1200">
        <v>12608680.5</v>
      </c>
      <c r="M393" s="1200">
        <f t="shared" si="5"/>
        <v>13869548.550000001</v>
      </c>
      <c r="N393" s="869"/>
      <c r="O393" s="869"/>
      <c r="P393" s="869"/>
      <c r="Q393" s="869"/>
      <c r="R393" s="801"/>
      <c r="S393" s="374"/>
      <c r="T393" s="374"/>
      <c r="U393" s="374"/>
      <c r="V393" s="374"/>
      <c r="W393" s="374"/>
    </row>
    <row r="394" spans="1:23" s="1190" customFormat="1" ht="15.75" customHeight="1" thickBot="1">
      <c r="A394" s="1292" t="s">
        <v>3223</v>
      </c>
      <c r="B394" s="1292" t="s">
        <v>69</v>
      </c>
      <c r="C394" s="1292" t="s">
        <v>70</v>
      </c>
      <c r="D394" s="1293" t="s">
        <v>3231</v>
      </c>
      <c r="E394" s="1292" t="s">
        <v>3225</v>
      </c>
      <c r="F394" s="1292"/>
      <c r="G394" s="1294">
        <v>11377554.689999999</v>
      </c>
      <c r="H394" s="1292" t="s">
        <v>251</v>
      </c>
      <c r="I394" s="1295">
        <v>43368</v>
      </c>
      <c r="J394" s="1295">
        <v>43404</v>
      </c>
      <c r="K394" s="1292" t="s">
        <v>1646</v>
      </c>
      <c r="L394" s="1294">
        <v>11362478.16</v>
      </c>
      <c r="M394" s="1294">
        <f t="shared" si="5"/>
        <v>12498725.976000002</v>
      </c>
      <c r="N394" s="1292"/>
      <c r="O394" s="1292"/>
      <c r="P394" s="1292"/>
      <c r="Q394" s="1292"/>
      <c r="R394" s="801"/>
      <c r="S394" s="374"/>
      <c r="T394" s="374"/>
      <c r="U394" s="374"/>
      <c r="V394" s="374"/>
      <c r="W394" s="374"/>
    </row>
    <row r="395" spans="1:23" s="1190" customFormat="1" ht="15.75" customHeight="1" thickTop="1">
      <c r="A395" s="985" t="s">
        <v>3232</v>
      </c>
      <c r="B395" s="985" t="s">
        <v>69</v>
      </c>
      <c r="C395" s="985" t="s">
        <v>70</v>
      </c>
      <c r="D395" s="939" t="s">
        <v>3233</v>
      </c>
      <c r="E395" s="985" t="s">
        <v>3234</v>
      </c>
      <c r="F395" s="985"/>
      <c r="G395" s="1210">
        <v>858526</v>
      </c>
      <c r="H395" s="985" t="s">
        <v>216</v>
      </c>
      <c r="I395" s="987">
        <v>43349</v>
      </c>
      <c r="J395" s="987">
        <v>43367</v>
      </c>
      <c r="K395" s="985" t="s">
        <v>578</v>
      </c>
      <c r="L395" s="1210">
        <v>851840.86</v>
      </c>
      <c r="M395" s="1210">
        <f t="shared" si="5"/>
        <v>937024.94600000011</v>
      </c>
      <c r="N395" s="987">
        <v>43413</v>
      </c>
      <c r="O395" s="987">
        <v>43777</v>
      </c>
      <c r="P395" s="987">
        <v>43419</v>
      </c>
      <c r="Q395" s="987">
        <v>43550</v>
      </c>
      <c r="R395" s="905">
        <v>43914</v>
      </c>
      <c r="S395" s="374"/>
      <c r="T395" s="374"/>
      <c r="U395" s="374"/>
      <c r="V395" s="374"/>
      <c r="W395" s="374"/>
    </row>
    <row r="396" spans="1:23" s="1190" customFormat="1" ht="15.75" customHeight="1" thickBot="1">
      <c r="A396" s="1297" t="s">
        <v>3232</v>
      </c>
      <c r="B396" s="1297" t="s">
        <v>69</v>
      </c>
      <c r="C396" s="1297" t="s">
        <v>70</v>
      </c>
      <c r="D396" s="1315" t="s">
        <v>3235</v>
      </c>
      <c r="E396" s="1297" t="s">
        <v>688</v>
      </c>
      <c r="F396" s="1297"/>
      <c r="G396" s="1316">
        <v>2200942</v>
      </c>
      <c r="H396" s="1297" t="s">
        <v>216</v>
      </c>
      <c r="I396" s="1317">
        <v>43349</v>
      </c>
      <c r="J396" s="1317">
        <v>43367</v>
      </c>
      <c r="K396" s="1297" t="s">
        <v>2097</v>
      </c>
      <c r="L396" s="1316">
        <v>2200939.02</v>
      </c>
      <c r="M396" s="1316">
        <f t="shared" si="5"/>
        <v>2421032.9220000003</v>
      </c>
      <c r="N396" s="1317">
        <v>43413</v>
      </c>
      <c r="O396" s="1317">
        <v>43777</v>
      </c>
      <c r="P396" s="1317">
        <v>43419</v>
      </c>
      <c r="Q396" s="1317">
        <v>43550</v>
      </c>
      <c r="R396" s="905">
        <v>43914</v>
      </c>
      <c r="S396" s="374"/>
      <c r="T396" s="374"/>
      <c r="U396" s="374"/>
      <c r="V396" s="374"/>
      <c r="W396" s="374"/>
    </row>
    <row r="397" spans="1:23" s="1190" customFormat="1" ht="15.75" customHeight="1" thickTop="1">
      <c r="A397" s="1092" t="s">
        <v>3236</v>
      </c>
      <c r="B397" s="1092" t="s">
        <v>69</v>
      </c>
      <c r="C397" s="1092" t="s">
        <v>70</v>
      </c>
      <c r="D397" s="1331" t="s">
        <v>3238</v>
      </c>
      <c r="E397" s="1092" t="s">
        <v>3237</v>
      </c>
      <c r="F397" s="1332"/>
      <c r="G397" s="1333">
        <v>2130154</v>
      </c>
      <c r="H397" s="1334" t="s">
        <v>251</v>
      </c>
      <c r="I397" s="1095">
        <v>43398</v>
      </c>
      <c r="J397" s="1095">
        <v>43434</v>
      </c>
      <c r="K397" s="1092" t="s">
        <v>576</v>
      </c>
      <c r="L397" s="1199">
        <v>1636059.1</v>
      </c>
      <c r="M397" s="1199">
        <f t="shared" si="5"/>
        <v>1799665.0100000002</v>
      </c>
      <c r="N397" s="1092"/>
      <c r="O397" s="1092"/>
      <c r="P397" s="1092"/>
      <c r="Q397" s="1092"/>
      <c r="R397" s="801"/>
      <c r="S397" s="374"/>
      <c r="T397" s="374"/>
      <c r="U397" s="374"/>
      <c r="V397" s="374"/>
      <c r="W397" s="374"/>
    </row>
    <row r="398" spans="1:23" s="1190" customFormat="1" ht="15.75" customHeight="1">
      <c r="A398" s="869" t="s">
        <v>3236</v>
      </c>
      <c r="B398" s="869" t="s">
        <v>69</v>
      </c>
      <c r="C398" s="869" t="s">
        <v>70</v>
      </c>
      <c r="D398" s="856" t="s">
        <v>3239</v>
      </c>
      <c r="E398" s="869" t="s">
        <v>3237</v>
      </c>
      <c r="F398" s="1335"/>
      <c r="G398" s="1336">
        <v>298758</v>
      </c>
      <c r="H398" s="1337" t="s">
        <v>251</v>
      </c>
      <c r="I398" s="870">
        <v>43398</v>
      </c>
      <c r="J398" s="870">
        <v>43434</v>
      </c>
      <c r="K398" s="869" t="s">
        <v>576</v>
      </c>
      <c r="L398" s="1200">
        <v>207044.7</v>
      </c>
      <c r="M398" s="1200">
        <f t="shared" si="5"/>
        <v>227749.17000000004</v>
      </c>
      <c r="N398" s="869"/>
      <c r="O398" s="869"/>
      <c r="P398" s="869"/>
      <c r="Q398" s="869"/>
      <c r="R398" s="801"/>
      <c r="S398" s="374"/>
      <c r="T398" s="374"/>
      <c r="U398" s="374"/>
      <c r="V398" s="374"/>
      <c r="W398" s="374"/>
    </row>
    <row r="399" spans="1:23" s="1190" customFormat="1" ht="15.75" customHeight="1">
      <c r="A399" s="869" t="s">
        <v>3236</v>
      </c>
      <c r="B399" s="869" t="s">
        <v>69</v>
      </c>
      <c r="C399" s="869" t="s">
        <v>70</v>
      </c>
      <c r="D399" s="856" t="s">
        <v>3240</v>
      </c>
      <c r="E399" s="869" t="s">
        <v>3237</v>
      </c>
      <c r="F399" s="1335"/>
      <c r="G399" s="1336">
        <v>13588559</v>
      </c>
      <c r="H399" s="1337" t="s">
        <v>251</v>
      </c>
      <c r="I399" s="870">
        <v>43398</v>
      </c>
      <c r="J399" s="870">
        <v>43434</v>
      </c>
      <c r="K399" s="869" t="s">
        <v>2548</v>
      </c>
      <c r="L399" s="1200">
        <v>13426404.6</v>
      </c>
      <c r="M399" s="1200">
        <f t="shared" si="5"/>
        <v>14769045.060000001</v>
      </c>
      <c r="N399" s="869"/>
      <c r="O399" s="869"/>
      <c r="P399" s="869"/>
      <c r="Q399" s="869"/>
      <c r="R399" s="801"/>
      <c r="S399" s="374"/>
      <c r="T399" s="374"/>
      <c r="U399" s="374"/>
      <c r="V399" s="374"/>
      <c r="W399" s="374"/>
    </row>
    <row r="400" spans="1:23" s="1190" customFormat="1" ht="15.75" customHeight="1">
      <c r="A400" s="869" t="s">
        <v>3236</v>
      </c>
      <c r="B400" s="869" t="s">
        <v>69</v>
      </c>
      <c r="C400" s="869" t="s">
        <v>70</v>
      </c>
      <c r="D400" s="856" t="s">
        <v>3241</v>
      </c>
      <c r="E400" s="869" t="s">
        <v>3237</v>
      </c>
      <c r="F400" s="1335"/>
      <c r="G400" s="1336">
        <v>8837280</v>
      </c>
      <c r="H400" s="1337" t="s">
        <v>251</v>
      </c>
      <c r="I400" s="870">
        <v>43398</v>
      </c>
      <c r="J400" s="870">
        <v>43434</v>
      </c>
      <c r="K400" s="869" t="s">
        <v>576</v>
      </c>
      <c r="L400" s="1200">
        <v>8837280</v>
      </c>
      <c r="M400" s="1200">
        <f t="shared" si="5"/>
        <v>9721008</v>
      </c>
      <c r="N400" s="869"/>
      <c r="O400" s="869"/>
      <c r="P400" s="869"/>
      <c r="Q400" s="869"/>
      <c r="R400" s="801"/>
      <c r="S400" s="374"/>
      <c r="T400" s="374"/>
      <c r="U400" s="374"/>
      <c r="V400" s="374"/>
      <c r="W400" s="374"/>
    </row>
    <row r="401" spans="1:23" s="1190" customFormat="1" ht="15.75" customHeight="1">
      <c r="A401" s="869" t="s">
        <v>3236</v>
      </c>
      <c r="B401" s="869" t="s">
        <v>69</v>
      </c>
      <c r="C401" s="869" t="s">
        <v>70</v>
      </c>
      <c r="D401" s="1338" t="s">
        <v>3242</v>
      </c>
      <c r="E401" s="869" t="s">
        <v>3237</v>
      </c>
      <c r="F401" s="1335"/>
      <c r="G401" s="1336">
        <v>3523471</v>
      </c>
      <c r="H401" s="1337" t="s">
        <v>251</v>
      </c>
      <c r="I401" s="870">
        <v>43398</v>
      </c>
      <c r="J401" s="870">
        <v>43434</v>
      </c>
      <c r="K401" s="869" t="s">
        <v>1646</v>
      </c>
      <c r="L401" s="1200">
        <v>3036656.2</v>
      </c>
      <c r="M401" s="1200">
        <f t="shared" si="5"/>
        <v>3340321.8200000003</v>
      </c>
      <c r="N401" s="869"/>
      <c r="O401" s="869"/>
      <c r="P401" s="869"/>
      <c r="Q401" s="869"/>
      <c r="R401" s="801"/>
      <c r="S401" s="374"/>
      <c r="T401" s="374"/>
      <c r="U401" s="374"/>
      <c r="V401" s="374"/>
      <c r="W401" s="374"/>
    </row>
    <row r="402" spans="1:23" s="1190" customFormat="1" ht="15.75" customHeight="1">
      <c r="A402" s="872" t="s">
        <v>3236</v>
      </c>
      <c r="B402" s="872" t="s">
        <v>69</v>
      </c>
      <c r="C402" s="872" t="s">
        <v>70</v>
      </c>
      <c r="D402" s="873" t="s">
        <v>3243</v>
      </c>
      <c r="E402" s="872" t="s">
        <v>3237</v>
      </c>
      <c r="F402" s="1342"/>
      <c r="G402" s="1343">
        <v>943725</v>
      </c>
      <c r="H402" s="1344" t="s">
        <v>251</v>
      </c>
      <c r="I402" s="874">
        <v>43398</v>
      </c>
      <c r="J402" s="874">
        <v>43434</v>
      </c>
      <c r="K402" s="876" t="s">
        <v>2192</v>
      </c>
      <c r="L402" s="875"/>
      <c r="M402" s="875"/>
      <c r="N402" s="872"/>
      <c r="O402" s="872"/>
      <c r="P402" s="874">
        <v>43546</v>
      </c>
      <c r="Q402" s="872"/>
      <c r="R402" s="801"/>
      <c r="S402" s="374"/>
      <c r="T402" s="374"/>
      <c r="U402" s="374"/>
      <c r="V402" s="374"/>
      <c r="W402" s="374"/>
    </row>
    <row r="403" spans="1:23" s="1190" customFormat="1" ht="15.75" customHeight="1">
      <c r="A403" s="869" t="s">
        <v>3236</v>
      </c>
      <c r="B403" s="869" t="s">
        <v>69</v>
      </c>
      <c r="C403" s="869" t="s">
        <v>70</v>
      </c>
      <c r="D403" s="856" t="s">
        <v>3244</v>
      </c>
      <c r="E403" s="869" t="s">
        <v>3237</v>
      </c>
      <c r="F403" s="1335"/>
      <c r="G403" s="1336">
        <v>114957884</v>
      </c>
      <c r="H403" s="1337" t="s">
        <v>251</v>
      </c>
      <c r="I403" s="870">
        <v>43398</v>
      </c>
      <c r="J403" s="870">
        <v>43434</v>
      </c>
      <c r="K403" s="869" t="s">
        <v>576</v>
      </c>
      <c r="L403" s="1200">
        <v>114957882.56</v>
      </c>
      <c r="M403" s="1200">
        <v>126453670.81999999</v>
      </c>
      <c r="N403" s="869"/>
      <c r="O403" s="869"/>
      <c r="P403" s="869"/>
      <c r="Q403" s="869"/>
      <c r="R403" s="801"/>
      <c r="S403" s="374"/>
      <c r="T403" s="374"/>
      <c r="U403" s="374"/>
      <c r="V403" s="374"/>
      <c r="W403" s="374"/>
    </row>
    <row r="404" spans="1:23" s="1190" customFormat="1" ht="15.75" customHeight="1" thickBot="1">
      <c r="A404" s="1292" t="s">
        <v>3236</v>
      </c>
      <c r="B404" s="1292" t="s">
        <v>69</v>
      </c>
      <c r="C404" s="1292" t="s">
        <v>70</v>
      </c>
      <c r="D404" s="1293" t="s">
        <v>3245</v>
      </c>
      <c r="E404" s="1292" t="s">
        <v>3237</v>
      </c>
      <c r="F404" s="1339"/>
      <c r="G404" s="1340">
        <v>2039696</v>
      </c>
      <c r="H404" s="1341" t="s">
        <v>251</v>
      </c>
      <c r="I404" s="1295">
        <v>43398</v>
      </c>
      <c r="J404" s="1295">
        <v>43434</v>
      </c>
      <c r="K404" s="1292" t="s">
        <v>576</v>
      </c>
      <c r="L404" s="1294">
        <v>996934.08</v>
      </c>
      <c r="M404" s="1294">
        <v>1096627.49</v>
      </c>
      <c r="N404" s="1292"/>
      <c r="O404" s="1292"/>
      <c r="P404" s="1292"/>
      <c r="Q404" s="1292"/>
      <c r="R404" s="801"/>
      <c r="S404" s="374"/>
      <c r="T404" s="374"/>
      <c r="U404" s="374"/>
      <c r="V404" s="374"/>
      <c r="W404" s="374"/>
    </row>
    <row r="405" spans="1:23" s="1190" customFormat="1" ht="15.75" customHeight="1" thickTop="1">
      <c r="A405" s="883" t="s">
        <v>3246</v>
      </c>
      <c r="B405" s="883" t="s">
        <v>69</v>
      </c>
      <c r="C405" s="883" t="s">
        <v>70</v>
      </c>
      <c r="D405" s="1321" t="s">
        <v>3247</v>
      </c>
      <c r="E405" s="883" t="s">
        <v>93</v>
      </c>
      <c r="F405" s="883"/>
      <c r="G405" s="885">
        <v>2334404</v>
      </c>
      <c r="H405" s="883" t="s">
        <v>251</v>
      </c>
      <c r="I405" s="886">
        <v>43349</v>
      </c>
      <c r="J405" s="886">
        <v>43383</v>
      </c>
      <c r="K405" s="894" t="s">
        <v>304</v>
      </c>
      <c r="L405" s="885"/>
      <c r="M405" s="885"/>
      <c r="N405" s="883"/>
      <c r="O405" s="883"/>
      <c r="P405" s="886">
        <v>43426</v>
      </c>
      <c r="Q405" s="883"/>
      <c r="R405" s="801"/>
      <c r="S405" s="374"/>
      <c r="T405" s="374"/>
      <c r="U405" s="374"/>
      <c r="V405" s="374"/>
      <c r="W405" s="374"/>
    </row>
    <row r="406" spans="1:23" s="1190" customFormat="1" ht="15.75" customHeight="1">
      <c r="A406" s="872" t="s">
        <v>3246</v>
      </c>
      <c r="B406" s="872" t="s">
        <v>69</v>
      </c>
      <c r="C406" s="872" t="s">
        <v>70</v>
      </c>
      <c r="D406" s="873" t="s">
        <v>3248</v>
      </c>
      <c r="E406" s="872" t="s">
        <v>93</v>
      </c>
      <c r="F406" s="872"/>
      <c r="G406" s="875">
        <v>35973112</v>
      </c>
      <c r="H406" s="872" t="s">
        <v>251</v>
      </c>
      <c r="I406" s="874">
        <v>43349</v>
      </c>
      <c r="J406" s="874">
        <v>43383</v>
      </c>
      <c r="K406" s="876" t="s">
        <v>2635</v>
      </c>
      <c r="L406" s="875"/>
      <c r="M406" s="875"/>
      <c r="N406" s="872"/>
      <c r="O406" s="872"/>
      <c r="P406" s="874">
        <v>43455</v>
      </c>
      <c r="Q406" s="872"/>
      <c r="R406" s="801"/>
      <c r="S406" s="374"/>
      <c r="T406" s="374"/>
      <c r="U406" s="374"/>
      <c r="V406" s="374"/>
      <c r="W406" s="374"/>
    </row>
    <row r="407" spans="1:23" s="1190" customFormat="1" ht="15.75" customHeight="1">
      <c r="A407" s="869" t="s">
        <v>3246</v>
      </c>
      <c r="B407" s="869" t="s">
        <v>69</v>
      </c>
      <c r="C407" s="869" t="s">
        <v>70</v>
      </c>
      <c r="D407" s="856" t="s">
        <v>3249</v>
      </c>
      <c r="E407" s="869" t="s">
        <v>93</v>
      </c>
      <c r="F407" s="869"/>
      <c r="G407" s="1200">
        <v>41208280</v>
      </c>
      <c r="H407" s="869" t="s">
        <v>251</v>
      </c>
      <c r="I407" s="870">
        <v>43349</v>
      </c>
      <c r="J407" s="870">
        <v>43383</v>
      </c>
      <c r="K407" s="869" t="s">
        <v>1318</v>
      </c>
      <c r="L407" s="1200">
        <v>41204810.799999997</v>
      </c>
      <c r="M407" s="1200">
        <v>45325291.880000003</v>
      </c>
      <c r="N407" s="869"/>
      <c r="O407" s="869"/>
      <c r="P407" s="869"/>
      <c r="Q407" s="869"/>
      <c r="R407" s="801"/>
      <c r="S407" s="374"/>
      <c r="T407" s="374"/>
      <c r="U407" s="374"/>
      <c r="V407" s="374"/>
      <c r="W407" s="374"/>
    </row>
    <row r="408" spans="1:23" s="1190" customFormat="1" ht="15.75" customHeight="1">
      <c r="A408" s="872" t="s">
        <v>3246</v>
      </c>
      <c r="B408" s="872" t="s">
        <v>69</v>
      </c>
      <c r="C408" s="872" t="s">
        <v>70</v>
      </c>
      <c r="D408" s="873" t="s">
        <v>3250</v>
      </c>
      <c r="E408" s="872" t="s">
        <v>93</v>
      </c>
      <c r="F408" s="872"/>
      <c r="G408" s="875">
        <v>5145020</v>
      </c>
      <c r="H408" s="872" t="s">
        <v>251</v>
      </c>
      <c r="I408" s="874">
        <v>43349</v>
      </c>
      <c r="J408" s="874">
        <v>43383</v>
      </c>
      <c r="K408" s="876" t="s">
        <v>304</v>
      </c>
      <c r="L408" s="875"/>
      <c r="M408" s="875"/>
      <c r="N408" s="872"/>
      <c r="O408" s="872"/>
      <c r="P408" s="874">
        <v>43426</v>
      </c>
      <c r="Q408" s="872"/>
      <c r="R408" s="801"/>
      <c r="S408" s="374"/>
      <c r="T408" s="374"/>
      <c r="U408" s="374"/>
      <c r="V408" s="374"/>
      <c r="W408" s="374"/>
    </row>
    <row r="409" spans="1:23" s="1190" customFormat="1" ht="15.75" customHeight="1">
      <c r="A409" s="872" t="s">
        <v>3246</v>
      </c>
      <c r="B409" s="872" t="s">
        <v>69</v>
      </c>
      <c r="C409" s="872" t="s">
        <v>70</v>
      </c>
      <c r="D409" s="873" t="s">
        <v>3251</v>
      </c>
      <c r="E409" s="872" t="s">
        <v>93</v>
      </c>
      <c r="F409" s="872"/>
      <c r="G409" s="875">
        <v>542548</v>
      </c>
      <c r="H409" s="872" t="s">
        <v>251</v>
      </c>
      <c r="I409" s="874">
        <v>43349</v>
      </c>
      <c r="J409" s="874">
        <v>43383</v>
      </c>
      <c r="K409" s="876" t="s">
        <v>304</v>
      </c>
      <c r="L409" s="875"/>
      <c r="M409" s="875"/>
      <c r="N409" s="872"/>
      <c r="O409" s="872"/>
      <c r="P409" s="874">
        <v>43426</v>
      </c>
      <c r="Q409" s="872"/>
      <c r="R409" s="801"/>
      <c r="S409" s="374"/>
      <c r="T409" s="374"/>
      <c r="U409" s="374"/>
      <c r="V409" s="374"/>
      <c r="W409" s="374"/>
    </row>
    <row r="410" spans="1:23" s="1190" customFormat="1" ht="15.75" customHeight="1" thickBot="1">
      <c r="A410" s="1292" t="s">
        <v>3246</v>
      </c>
      <c r="B410" s="1292" t="s">
        <v>69</v>
      </c>
      <c r="C410" s="1292" t="s">
        <v>70</v>
      </c>
      <c r="D410" s="1293" t="s">
        <v>3252</v>
      </c>
      <c r="E410" s="1292" t="s">
        <v>93</v>
      </c>
      <c r="F410" s="1292"/>
      <c r="G410" s="1294">
        <v>11440923</v>
      </c>
      <c r="H410" s="1292" t="s">
        <v>251</v>
      </c>
      <c r="I410" s="1295">
        <v>43349</v>
      </c>
      <c r="J410" s="1295">
        <v>43383</v>
      </c>
      <c r="K410" s="1292" t="s">
        <v>1318</v>
      </c>
      <c r="L410" s="1294">
        <v>11439502.880000001</v>
      </c>
      <c r="M410" s="1294">
        <v>12583453.17</v>
      </c>
      <c r="N410" s="1292"/>
      <c r="O410" s="1292"/>
      <c r="P410" s="1292"/>
      <c r="Q410" s="1292"/>
      <c r="R410" s="801"/>
      <c r="S410" s="374"/>
      <c r="T410" s="374"/>
      <c r="U410" s="374"/>
      <c r="V410" s="374"/>
      <c r="W410" s="374"/>
    </row>
    <row r="411" spans="1:23" s="1190" customFormat="1" ht="15.75" customHeight="1" thickTop="1">
      <c r="A411" s="1028" t="s">
        <v>3253</v>
      </c>
      <c r="B411" s="1028" t="s">
        <v>69</v>
      </c>
      <c r="C411" s="1028" t="s">
        <v>70</v>
      </c>
      <c r="D411" s="1029" t="s">
        <v>3254</v>
      </c>
      <c r="E411" s="1028" t="s">
        <v>816</v>
      </c>
      <c r="F411" s="1028"/>
      <c r="G411" s="1034">
        <v>184729</v>
      </c>
      <c r="H411" s="1028" t="s">
        <v>251</v>
      </c>
      <c r="I411" s="1030">
        <v>43349</v>
      </c>
      <c r="J411" s="1030">
        <v>43390</v>
      </c>
      <c r="K411" s="1028" t="s">
        <v>1402</v>
      </c>
      <c r="L411" s="1034">
        <v>184698</v>
      </c>
      <c r="M411" s="1034">
        <v>203167.8</v>
      </c>
      <c r="N411" s="1028"/>
      <c r="O411" s="1028"/>
      <c r="P411" s="1028"/>
      <c r="Q411" s="1028"/>
      <c r="R411" s="801"/>
      <c r="S411" s="374"/>
      <c r="T411" s="374"/>
      <c r="U411" s="374"/>
      <c r="V411" s="374"/>
      <c r="W411" s="374"/>
    </row>
    <row r="412" spans="1:23" s="1190" customFormat="1" ht="15.75" customHeight="1">
      <c r="A412" s="869" t="s">
        <v>3253</v>
      </c>
      <c r="B412" s="869" t="s">
        <v>69</v>
      </c>
      <c r="C412" s="869" t="s">
        <v>70</v>
      </c>
      <c r="D412" s="856" t="s">
        <v>3255</v>
      </c>
      <c r="E412" s="869" t="s">
        <v>816</v>
      </c>
      <c r="F412" s="869"/>
      <c r="G412" s="1200">
        <v>41208</v>
      </c>
      <c r="H412" s="869" t="s">
        <v>251</v>
      </c>
      <c r="I412" s="870">
        <v>43349</v>
      </c>
      <c r="J412" s="870">
        <v>43390</v>
      </c>
      <c r="K412" s="869" t="s">
        <v>576</v>
      </c>
      <c r="L412" s="1200">
        <v>41202.9</v>
      </c>
      <c r="M412" s="1200">
        <v>45323.19</v>
      </c>
      <c r="N412" s="869"/>
      <c r="O412" s="869"/>
      <c r="P412" s="869"/>
      <c r="Q412" s="869"/>
      <c r="R412" s="801"/>
      <c r="S412" s="374"/>
      <c r="T412" s="374"/>
      <c r="U412" s="374"/>
      <c r="V412" s="374"/>
      <c r="W412" s="374"/>
    </row>
    <row r="413" spans="1:23" s="1190" customFormat="1" ht="15.75" customHeight="1">
      <c r="A413" s="872" t="s">
        <v>3253</v>
      </c>
      <c r="B413" s="872" t="s">
        <v>69</v>
      </c>
      <c r="C413" s="872" t="s">
        <v>70</v>
      </c>
      <c r="D413" s="873" t="s">
        <v>3256</v>
      </c>
      <c r="E413" s="872" t="s">
        <v>816</v>
      </c>
      <c r="F413" s="872"/>
      <c r="G413" s="875">
        <v>445362</v>
      </c>
      <c r="H413" s="872" t="s">
        <v>251</v>
      </c>
      <c r="I413" s="874">
        <v>43349</v>
      </c>
      <c r="J413" s="874">
        <v>43390</v>
      </c>
      <c r="K413" s="876" t="s">
        <v>304</v>
      </c>
      <c r="L413" s="875"/>
      <c r="M413" s="875"/>
      <c r="N413" s="872"/>
      <c r="O413" s="872"/>
      <c r="P413" s="874">
        <v>43455</v>
      </c>
      <c r="Q413" s="872"/>
      <c r="R413" s="801"/>
      <c r="S413" s="374"/>
      <c r="T413" s="374"/>
      <c r="U413" s="374"/>
      <c r="V413" s="374"/>
      <c r="W413" s="374"/>
    </row>
    <row r="414" spans="1:23" s="1190" customFormat="1" ht="15.75" customHeight="1">
      <c r="A414" s="872" t="s">
        <v>3253</v>
      </c>
      <c r="B414" s="872" t="s">
        <v>69</v>
      </c>
      <c r="C414" s="872" t="s">
        <v>70</v>
      </c>
      <c r="D414" s="873" t="s">
        <v>3257</v>
      </c>
      <c r="E414" s="872" t="s">
        <v>816</v>
      </c>
      <c r="F414" s="872"/>
      <c r="G414" s="875">
        <v>4884497</v>
      </c>
      <c r="H414" s="872" t="s">
        <v>251</v>
      </c>
      <c r="I414" s="874">
        <v>43349</v>
      </c>
      <c r="J414" s="874">
        <v>43390</v>
      </c>
      <c r="K414" s="876" t="s">
        <v>304</v>
      </c>
      <c r="L414" s="875"/>
      <c r="M414" s="875"/>
      <c r="N414" s="872"/>
      <c r="O414" s="872"/>
      <c r="P414" s="874">
        <v>43455</v>
      </c>
      <c r="Q414" s="872"/>
      <c r="R414" s="801"/>
      <c r="S414" s="374"/>
      <c r="T414" s="374"/>
      <c r="U414" s="374"/>
      <c r="V414" s="374"/>
      <c r="W414" s="374"/>
    </row>
    <row r="415" spans="1:23" s="1190" customFormat="1" ht="15.75" customHeight="1">
      <c r="A415" s="872" t="s">
        <v>3253</v>
      </c>
      <c r="B415" s="872" t="s">
        <v>69</v>
      </c>
      <c r="C415" s="872" t="s">
        <v>70</v>
      </c>
      <c r="D415" s="873" t="s">
        <v>3258</v>
      </c>
      <c r="E415" s="872" t="s">
        <v>816</v>
      </c>
      <c r="F415" s="872"/>
      <c r="G415" s="875">
        <v>6271200</v>
      </c>
      <c r="H415" s="872" t="s">
        <v>251</v>
      </c>
      <c r="I415" s="874">
        <v>43349</v>
      </c>
      <c r="J415" s="874">
        <v>43390</v>
      </c>
      <c r="K415" s="876" t="s">
        <v>304</v>
      </c>
      <c r="L415" s="875"/>
      <c r="M415" s="875"/>
      <c r="N415" s="872"/>
      <c r="O415" s="872"/>
      <c r="P415" s="874">
        <v>43455</v>
      </c>
      <c r="Q415" s="872"/>
      <c r="R415" s="801"/>
      <c r="S415" s="374"/>
      <c r="T415" s="374"/>
      <c r="U415" s="374"/>
      <c r="V415" s="374"/>
      <c r="W415" s="374"/>
    </row>
    <row r="416" spans="1:23" s="1190" customFormat="1" ht="15.75" customHeight="1">
      <c r="A416" s="872" t="s">
        <v>3253</v>
      </c>
      <c r="B416" s="872" t="s">
        <v>69</v>
      </c>
      <c r="C416" s="872" t="s">
        <v>70</v>
      </c>
      <c r="D416" s="873" t="s">
        <v>3259</v>
      </c>
      <c r="E416" s="872" t="s">
        <v>816</v>
      </c>
      <c r="F416" s="872"/>
      <c r="G416" s="875">
        <v>3054216</v>
      </c>
      <c r="H416" s="872" t="s">
        <v>251</v>
      </c>
      <c r="I416" s="874">
        <v>43349</v>
      </c>
      <c r="J416" s="874">
        <v>43390</v>
      </c>
      <c r="K416" s="876" t="s">
        <v>304</v>
      </c>
      <c r="L416" s="875"/>
      <c r="M416" s="875"/>
      <c r="N416" s="872"/>
      <c r="O416" s="872"/>
      <c r="P416" s="874">
        <v>43455</v>
      </c>
      <c r="Q416" s="872"/>
      <c r="R416" s="801"/>
      <c r="S416" s="374"/>
      <c r="T416" s="374"/>
      <c r="U416" s="374"/>
      <c r="V416" s="374"/>
      <c r="W416" s="374"/>
    </row>
    <row r="417" spans="1:23" s="1190" customFormat="1" ht="15.75" customHeight="1">
      <c r="A417" s="872" t="s">
        <v>3253</v>
      </c>
      <c r="B417" s="872" t="s">
        <v>69</v>
      </c>
      <c r="C417" s="872" t="s">
        <v>70</v>
      </c>
      <c r="D417" s="873" t="s">
        <v>3260</v>
      </c>
      <c r="E417" s="872" t="s">
        <v>816</v>
      </c>
      <c r="F417" s="872"/>
      <c r="G417" s="875">
        <v>2169000</v>
      </c>
      <c r="H417" s="872" t="s">
        <v>251</v>
      </c>
      <c r="I417" s="874">
        <v>43349</v>
      </c>
      <c r="J417" s="874">
        <v>43390</v>
      </c>
      <c r="K417" s="876" t="s">
        <v>304</v>
      </c>
      <c r="L417" s="875"/>
      <c r="M417" s="875"/>
      <c r="N417" s="872"/>
      <c r="O417" s="872"/>
      <c r="P417" s="874">
        <v>43455</v>
      </c>
      <c r="Q417" s="872"/>
      <c r="R417" s="801"/>
      <c r="S417" s="374"/>
      <c r="T417" s="374"/>
      <c r="U417" s="374"/>
      <c r="V417" s="374"/>
      <c r="W417" s="374"/>
    </row>
    <row r="418" spans="1:23" s="1190" customFormat="1" ht="15.75" customHeight="1" thickBot="1">
      <c r="A418" s="1026" t="s">
        <v>3253</v>
      </c>
      <c r="B418" s="1026" t="s">
        <v>69</v>
      </c>
      <c r="C418" s="1026" t="s">
        <v>70</v>
      </c>
      <c r="D418" s="1035" t="s">
        <v>3261</v>
      </c>
      <c r="E418" s="1026" t="s">
        <v>816</v>
      </c>
      <c r="F418" s="1026"/>
      <c r="G418" s="1027">
        <v>2894400</v>
      </c>
      <c r="H418" s="1026" t="s">
        <v>251</v>
      </c>
      <c r="I418" s="1036">
        <v>43349</v>
      </c>
      <c r="J418" s="1036">
        <v>43390</v>
      </c>
      <c r="K418" s="1026" t="s">
        <v>2405</v>
      </c>
      <c r="L418" s="1027">
        <v>2891520</v>
      </c>
      <c r="M418" s="1027">
        <v>3180672</v>
      </c>
      <c r="N418" s="1026"/>
      <c r="O418" s="1026"/>
      <c r="P418" s="1026"/>
      <c r="Q418" s="1026"/>
      <c r="R418" s="801"/>
      <c r="S418" s="374"/>
      <c r="T418" s="374"/>
      <c r="U418" s="374"/>
      <c r="V418" s="374"/>
      <c r="W418" s="374"/>
    </row>
    <row r="419" spans="1:23" s="1190" customFormat="1" ht="15.75" customHeight="1" thickTop="1">
      <c r="A419" s="1092" t="s">
        <v>3262</v>
      </c>
      <c r="B419" s="1092" t="s">
        <v>69</v>
      </c>
      <c r="C419" s="1092" t="s">
        <v>70</v>
      </c>
      <c r="D419" s="1093" t="s">
        <v>3263</v>
      </c>
      <c r="E419" s="1092" t="s">
        <v>3265</v>
      </c>
      <c r="F419" s="1092"/>
      <c r="G419" s="1199">
        <v>952945</v>
      </c>
      <c r="H419" s="1092" t="s">
        <v>251</v>
      </c>
      <c r="I419" s="1095">
        <v>43368</v>
      </c>
      <c r="J419" s="1095">
        <v>43403</v>
      </c>
      <c r="K419" s="1092" t="s">
        <v>2097</v>
      </c>
      <c r="L419" s="1199">
        <v>952944.48</v>
      </c>
      <c r="M419" s="1199">
        <f>L419*1.1</f>
        <v>1048238.9280000001</v>
      </c>
      <c r="N419" s="1092"/>
      <c r="O419" s="1092"/>
      <c r="P419" s="1092"/>
      <c r="Q419" s="1092"/>
      <c r="R419" s="801"/>
      <c r="S419" s="374"/>
      <c r="T419" s="374"/>
      <c r="U419" s="374"/>
      <c r="V419" s="374"/>
      <c r="W419" s="374"/>
    </row>
    <row r="420" spans="1:23" s="1190" customFormat="1" ht="15.75" customHeight="1" thickBot="1">
      <c r="A420" s="1292" t="s">
        <v>3262</v>
      </c>
      <c r="B420" s="1292" t="s">
        <v>69</v>
      </c>
      <c r="C420" s="1292" t="s">
        <v>70</v>
      </c>
      <c r="D420" s="1293" t="s">
        <v>3264</v>
      </c>
      <c r="E420" s="1292" t="s">
        <v>3265</v>
      </c>
      <c r="F420" s="1292"/>
      <c r="G420" s="1294">
        <v>7533750</v>
      </c>
      <c r="H420" s="1292" t="s">
        <v>251</v>
      </c>
      <c r="I420" s="1295">
        <v>43368</v>
      </c>
      <c r="J420" s="1295">
        <v>43403</v>
      </c>
      <c r="K420" s="1292" t="s">
        <v>2548</v>
      </c>
      <c r="L420" s="1294">
        <v>6608700</v>
      </c>
      <c r="M420" s="1294">
        <f>L420*1.1</f>
        <v>7269570.0000000009</v>
      </c>
      <c r="N420" s="1292"/>
      <c r="O420" s="1292"/>
      <c r="P420" s="1292"/>
      <c r="Q420" s="1292"/>
      <c r="R420" s="801"/>
      <c r="S420" s="374"/>
      <c r="T420" s="374"/>
      <c r="U420" s="374"/>
      <c r="V420" s="374"/>
      <c r="W420" s="374"/>
    </row>
    <row r="421" spans="1:23" s="1190" customFormat="1" ht="15.75" customHeight="1" thickTop="1">
      <c r="A421" s="883" t="s">
        <v>3266</v>
      </c>
      <c r="B421" s="883" t="s">
        <v>58</v>
      </c>
      <c r="C421" s="883" t="s">
        <v>2684</v>
      </c>
      <c r="D421" s="884" t="s">
        <v>3267</v>
      </c>
      <c r="E421" s="883" t="s">
        <v>396</v>
      </c>
      <c r="F421" s="883" t="s">
        <v>3043</v>
      </c>
      <c r="G421" s="885">
        <v>28080100</v>
      </c>
      <c r="H421" s="883" t="s">
        <v>251</v>
      </c>
      <c r="I421" s="886">
        <v>43349</v>
      </c>
      <c r="J421" s="886">
        <v>43381</v>
      </c>
      <c r="K421" s="894" t="s">
        <v>242</v>
      </c>
      <c r="L421" s="885"/>
      <c r="M421" s="885"/>
      <c r="N421" s="883"/>
      <c r="O421" s="883"/>
      <c r="P421" s="886">
        <v>43376</v>
      </c>
      <c r="Q421" s="883"/>
      <c r="R421" s="801"/>
      <c r="S421" s="374"/>
      <c r="T421" s="374"/>
      <c r="U421" s="374"/>
      <c r="V421" s="374"/>
      <c r="W421" s="374"/>
    </row>
    <row r="422" spans="1:23" s="1190" customFormat="1" ht="15.75" customHeight="1" thickBot="1">
      <c r="A422" s="1282" t="s">
        <v>3266</v>
      </c>
      <c r="B422" s="1282" t="s">
        <v>58</v>
      </c>
      <c r="C422" s="1282" t="s">
        <v>2684</v>
      </c>
      <c r="D422" s="1283" t="s">
        <v>3268</v>
      </c>
      <c r="E422" s="1106"/>
      <c r="F422" s="1106" t="s">
        <v>3043</v>
      </c>
      <c r="G422" s="1308">
        <v>652900</v>
      </c>
      <c r="H422" s="1106" t="s">
        <v>251</v>
      </c>
      <c r="I422" s="1285">
        <v>43349</v>
      </c>
      <c r="J422" s="1285">
        <v>43381</v>
      </c>
      <c r="K422" s="1286" t="s">
        <v>242</v>
      </c>
      <c r="L422" s="1284"/>
      <c r="M422" s="1284"/>
      <c r="N422" s="1282"/>
      <c r="O422" s="1282"/>
      <c r="P422" s="1285">
        <v>43376</v>
      </c>
      <c r="Q422" s="1282"/>
      <c r="R422" s="801"/>
      <c r="S422" s="374"/>
      <c r="T422" s="374"/>
      <c r="U422" s="374"/>
      <c r="V422" s="374"/>
      <c r="W422" s="374"/>
    </row>
    <row r="423" spans="1:23" s="1190" customFormat="1" ht="15.75" customHeight="1" thickTop="1">
      <c r="A423" s="1028" t="s">
        <v>3269</v>
      </c>
      <c r="B423" s="1028" t="s">
        <v>2434</v>
      </c>
      <c r="C423" s="1028" t="s">
        <v>219</v>
      </c>
      <c r="D423" s="1029" t="s">
        <v>3270</v>
      </c>
      <c r="E423" s="1028" t="s">
        <v>3271</v>
      </c>
      <c r="F423" s="1028"/>
      <c r="G423" s="1034">
        <v>7297000</v>
      </c>
      <c r="H423" s="1028" t="s">
        <v>251</v>
      </c>
      <c r="I423" s="1030">
        <v>43350</v>
      </c>
      <c r="J423" s="1030">
        <v>43382</v>
      </c>
      <c r="K423" s="1028" t="s">
        <v>3153</v>
      </c>
      <c r="L423" s="1034">
        <v>6516492</v>
      </c>
      <c r="M423" s="1034">
        <v>7884956.6799999997</v>
      </c>
      <c r="N423" s="1028"/>
      <c r="O423" s="1028"/>
      <c r="P423" s="1028"/>
      <c r="Q423" s="1028"/>
      <c r="R423" s="801"/>
      <c r="S423" s="374"/>
      <c r="T423" s="374"/>
      <c r="U423" s="374"/>
      <c r="V423" s="374"/>
      <c r="W423" s="374"/>
    </row>
    <row r="424" spans="1:23" s="1190" customFormat="1" ht="15.75" customHeight="1">
      <c r="A424" s="902" t="s">
        <v>3273</v>
      </c>
      <c r="B424" s="902" t="s">
        <v>58</v>
      </c>
      <c r="C424" s="902" t="s">
        <v>2684</v>
      </c>
      <c r="D424" s="903" t="s">
        <v>3274</v>
      </c>
      <c r="E424" s="902" t="s">
        <v>403</v>
      </c>
      <c r="F424" s="902" t="s">
        <v>3275</v>
      </c>
      <c r="G424" s="1211">
        <v>983471</v>
      </c>
      <c r="H424" s="902" t="s">
        <v>112</v>
      </c>
      <c r="I424" s="905">
        <v>43348</v>
      </c>
      <c r="J424" s="905">
        <v>43361</v>
      </c>
      <c r="K424" s="902" t="s">
        <v>3182</v>
      </c>
      <c r="L424" s="1211">
        <v>1516694</v>
      </c>
      <c r="M424" s="1211">
        <v>1744198.1</v>
      </c>
      <c r="N424" s="905">
        <v>43431</v>
      </c>
      <c r="O424" s="905"/>
      <c r="P424" s="905">
        <v>43437</v>
      </c>
      <c r="Q424" s="905">
        <v>43556</v>
      </c>
      <c r="R424" s="996" t="s">
        <v>1875</v>
      </c>
      <c r="S424" s="374"/>
      <c r="T424" s="374"/>
      <c r="U424" s="374"/>
      <c r="V424" s="374"/>
      <c r="W424" s="374"/>
    </row>
    <row r="425" spans="1:23" s="1190" customFormat="1" ht="15.75" customHeight="1">
      <c r="A425" s="869" t="s">
        <v>3280</v>
      </c>
      <c r="B425" s="869" t="s">
        <v>52</v>
      </c>
      <c r="C425" s="869" t="s">
        <v>3089</v>
      </c>
      <c r="D425" s="856" t="s">
        <v>3281</v>
      </c>
      <c r="E425" s="869" t="s">
        <v>3091</v>
      </c>
      <c r="F425" s="869" t="s">
        <v>3283</v>
      </c>
      <c r="G425" s="1200">
        <v>6500000</v>
      </c>
      <c r="H425" s="869" t="s">
        <v>216</v>
      </c>
      <c r="I425" s="870">
        <v>43350</v>
      </c>
      <c r="J425" s="870">
        <v>43374</v>
      </c>
      <c r="K425" s="869" t="s">
        <v>3333</v>
      </c>
      <c r="L425" s="1200">
        <v>9056056</v>
      </c>
      <c r="M425" s="1200">
        <v>10957827.76</v>
      </c>
      <c r="N425" s="869"/>
      <c r="O425" s="869"/>
      <c r="P425" s="869"/>
      <c r="Q425" s="869"/>
      <c r="R425" s="801"/>
      <c r="S425" s="374"/>
      <c r="T425" s="374"/>
      <c r="U425" s="374"/>
      <c r="V425" s="374"/>
      <c r="W425" s="374"/>
    </row>
    <row r="426" spans="1:23" s="1190" customFormat="1" ht="15.75" customHeight="1">
      <c r="A426" s="869" t="s">
        <v>3280</v>
      </c>
      <c r="B426" s="869" t="s">
        <v>52</v>
      </c>
      <c r="C426" s="869" t="s">
        <v>3089</v>
      </c>
      <c r="D426" s="856" t="s">
        <v>3282</v>
      </c>
      <c r="E426" s="869" t="s">
        <v>3091</v>
      </c>
      <c r="F426" s="869" t="s">
        <v>3284</v>
      </c>
      <c r="G426" s="1200">
        <v>2950000</v>
      </c>
      <c r="H426" s="869" t="s">
        <v>216</v>
      </c>
      <c r="I426" s="870">
        <v>43350</v>
      </c>
      <c r="J426" s="870">
        <v>43374</v>
      </c>
      <c r="K426" s="869" t="s">
        <v>3333</v>
      </c>
      <c r="L426" s="1200">
        <v>2432940</v>
      </c>
      <c r="M426" s="1200">
        <v>2943857.4</v>
      </c>
      <c r="N426" s="869"/>
      <c r="O426" s="869"/>
      <c r="P426" s="869"/>
      <c r="Q426" s="869"/>
      <c r="R426" s="801"/>
      <c r="S426" s="374"/>
      <c r="T426" s="374"/>
      <c r="U426" s="374"/>
      <c r="V426" s="374"/>
      <c r="W426" s="374"/>
    </row>
    <row r="427" spans="1:23" s="1190" customFormat="1" ht="15.75" customHeight="1">
      <c r="A427" s="869" t="s">
        <v>3291</v>
      </c>
      <c r="B427" s="869" t="s">
        <v>2434</v>
      </c>
      <c r="C427" s="869" t="s">
        <v>219</v>
      </c>
      <c r="D427" s="856" t="s">
        <v>3292</v>
      </c>
      <c r="E427" s="869" t="s">
        <v>3293</v>
      </c>
      <c r="F427" s="869"/>
      <c r="G427" s="1200">
        <v>3403900</v>
      </c>
      <c r="H427" s="869" t="s">
        <v>216</v>
      </c>
      <c r="I427" s="870">
        <v>43355</v>
      </c>
      <c r="J427" s="870">
        <v>43376</v>
      </c>
      <c r="K427" s="869" t="s">
        <v>3332</v>
      </c>
      <c r="L427" s="1200">
        <v>3112192</v>
      </c>
      <c r="M427" s="1200">
        <v>3765752.3</v>
      </c>
      <c r="N427" s="869"/>
      <c r="O427" s="869"/>
      <c r="P427" s="869"/>
      <c r="Q427" s="869"/>
      <c r="R427" s="801"/>
      <c r="S427" s="374"/>
      <c r="T427" s="374"/>
      <c r="U427" s="374"/>
      <c r="V427" s="374"/>
      <c r="W427" s="374"/>
    </row>
    <row r="428" spans="1:23" s="1190" customFormat="1" ht="15.75" customHeight="1" thickBot="1">
      <c r="A428" s="913" t="s">
        <v>3294</v>
      </c>
      <c r="B428" s="913" t="s">
        <v>2434</v>
      </c>
      <c r="C428" s="913" t="s">
        <v>219</v>
      </c>
      <c r="D428" s="914" t="s">
        <v>3295</v>
      </c>
      <c r="E428" s="913" t="s">
        <v>642</v>
      </c>
      <c r="F428" s="913"/>
      <c r="G428" s="915">
        <v>6321000</v>
      </c>
      <c r="H428" s="913" t="s">
        <v>251</v>
      </c>
      <c r="I428" s="916">
        <v>43355</v>
      </c>
      <c r="J428" s="916">
        <v>43389</v>
      </c>
      <c r="K428" s="913" t="s">
        <v>711</v>
      </c>
      <c r="L428" s="915">
        <v>6311208</v>
      </c>
      <c r="M428" s="915">
        <v>7636561.6799999997</v>
      </c>
      <c r="N428" s="916">
        <v>43441</v>
      </c>
      <c r="O428" s="916">
        <v>44171</v>
      </c>
      <c r="P428" s="916">
        <v>43444</v>
      </c>
      <c r="Q428" s="913" t="s">
        <v>4128</v>
      </c>
      <c r="R428" s="905">
        <v>43930</v>
      </c>
      <c r="S428" s="1560">
        <v>44285</v>
      </c>
      <c r="T428" s="374"/>
      <c r="U428" s="374"/>
      <c r="V428" s="374"/>
      <c r="W428" s="374"/>
    </row>
    <row r="429" spans="1:23" s="1190" customFormat="1" ht="15.75" customHeight="1" thickTop="1">
      <c r="A429" s="985" t="s">
        <v>3296</v>
      </c>
      <c r="B429" s="985" t="s">
        <v>1700</v>
      </c>
      <c r="C429" s="985" t="s">
        <v>2684</v>
      </c>
      <c r="D429" s="939" t="s">
        <v>3267</v>
      </c>
      <c r="E429" s="985" t="s">
        <v>396</v>
      </c>
      <c r="F429" s="985" t="s">
        <v>3043</v>
      </c>
      <c r="G429" s="1210">
        <v>28080100</v>
      </c>
      <c r="H429" s="985" t="s">
        <v>251</v>
      </c>
      <c r="I429" s="987">
        <v>43370</v>
      </c>
      <c r="J429" s="987">
        <v>43403</v>
      </c>
      <c r="K429" s="985" t="s">
        <v>3376</v>
      </c>
      <c r="L429" s="1210">
        <v>26911800</v>
      </c>
      <c r="M429" s="1210">
        <f>L429*1.21</f>
        <v>32563278</v>
      </c>
      <c r="N429" s="987">
        <v>43413</v>
      </c>
      <c r="O429" s="987"/>
      <c r="P429" s="987">
        <v>43417</v>
      </c>
      <c r="Q429" s="987">
        <v>44244</v>
      </c>
      <c r="R429" s="996" t="s">
        <v>1875</v>
      </c>
      <c r="S429" s="374"/>
      <c r="T429" s="374"/>
      <c r="U429" s="374"/>
      <c r="V429" s="374"/>
      <c r="W429" s="374"/>
    </row>
    <row r="430" spans="1:23" s="1190" customFormat="1" ht="15.75" customHeight="1" thickBot="1">
      <c r="A430" s="1297" t="s">
        <v>3296</v>
      </c>
      <c r="B430" s="1297" t="s">
        <v>1700</v>
      </c>
      <c r="C430" s="1297" t="s">
        <v>2684</v>
      </c>
      <c r="D430" s="1315" t="s">
        <v>3268</v>
      </c>
      <c r="E430" s="1114" t="s">
        <v>396</v>
      </c>
      <c r="F430" s="1114" t="s">
        <v>3043</v>
      </c>
      <c r="G430" s="1117">
        <v>652900</v>
      </c>
      <c r="H430" s="1114" t="s">
        <v>251</v>
      </c>
      <c r="I430" s="1317">
        <v>43370</v>
      </c>
      <c r="J430" s="1317">
        <v>43403</v>
      </c>
      <c r="K430" s="1297" t="s">
        <v>3376</v>
      </c>
      <c r="L430" s="1316">
        <v>676400</v>
      </c>
      <c r="M430" s="1316">
        <f>L430*1.21</f>
        <v>818444</v>
      </c>
      <c r="N430" s="1317">
        <v>43413</v>
      </c>
      <c r="O430" s="1317"/>
      <c r="P430" s="1317">
        <v>43417</v>
      </c>
      <c r="Q430" s="1317">
        <v>43479</v>
      </c>
      <c r="R430" s="996" t="s">
        <v>1875</v>
      </c>
      <c r="S430" s="374"/>
      <c r="T430" s="374"/>
      <c r="U430" s="374"/>
      <c r="V430" s="374"/>
      <c r="W430" s="374"/>
    </row>
    <row r="431" spans="1:23" s="1190" customFormat="1" ht="15.75" customHeight="1" thickTop="1">
      <c r="A431" s="991" t="s">
        <v>3297</v>
      </c>
      <c r="B431" s="991" t="s">
        <v>1032</v>
      </c>
      <c r="C431" s="991" t="s">
        <v>1084</v>
      </c>
      <c r="D431" s="567" t="s">
        <v>3298</v>
      </c>
      <c r="E431" s="991" t="s">
        <v>1163</v>
      </c>
      <c r="F431" s="991" t="s">
        <v>2038</v>
      </c>
      <c r="G431" s="992">
        <v>400000</v>
      </c>
      <c r="H431" s="991" t="s">
        <v>112</v>
      </c>
      <c r="I431" s="993">
        <v>43360</v>
      </c>
      <c r="J431" s="993">
        <v>43369</v>
      </c>
      <c r="K431" s="991" t="s">
        <v>2565</v>
      </c>
      <c r="L431" s="992">
        <v>618504</v>
      </c>
      <c r="M431" s="992">
        <v>748390</v>
      </c>
      <c r="N431" s="993">
        <v>43391</v>
      </c>
      <c r="O431" s="993"/>
      <c r="P431" s="993">
        <v>43395</v>
      </c>
      <c r="Q431" s="993">
        <v>43514</v>
      </c>
      <c r="R431" s="801"/>
      <c r="S431" s="374"/>
      <c r="T431" s="374"/>
      <c r="U431" s="374"/>
      <c r="V431" s="374"/>
      <c r="W431" s="374"/>
    </row>
    <row r="432" spans="1:23" s="1190" customFormat="1" ht="15.75" customHeight="1">
      <c r="A432" s="902" t="s">
        <v>3299</v>
      </c>
      <c r="B432" s="902" t="s">
        <v>58</v>
      </c>
      <c r="C432" s="902" t="s">
        <v>2684</v>
      </c>
      <c r="D432" s="903" t="s">
        <v>3300</v>
      </c>
      <c r="E432" s="902" t="s">
        <v>3301</v>
      </c>
      <c r="F432" s="902" t="s">
        <v>3302</v>
      </c>
      <c r="G432" s="1211">
        <v>942149</v>
      </c>
      <c r="H432" s="902" t="s">
        <v>112</v>
      </c>
      <c r="I432" s="905">
        <v>43361</v>
      </c>
      <c r="J432" s="905">
        <v>43370</v>
      </c>
      <c r="K432" s="902" t="s">
        <v>3182</v>
      </c>
      <c r="L432" s="1211">
        <v>991528</v>
      </c>
      <c r="M432" s="1211">
        <v>1140257.2</v>
      </c>
      <c r="N432" s="905">
        <v>43430</v>
      </c>
      <c r="O432" s="905"/>
      <c r="P432" s="905">
        <v>43432</v>
      </c>
      <c r="Q432" s="905">
        <v>43528</v>
      </c>
      <c r="R432" s="996" t="s">
        <v>1875</v>
      </c>
      <c r="S432" s="374"/>
      <c r="T432" s="374"/>
      <c r="U432" s="374"/>
      <c r="V432" s="374"/>
      <c r="W432" s="374"/>
    </row>
    <row r="433" spans="1:23" s="1190" customFormat="1" ht="15.75" customHeight="1">
      <c r="A433" s="869" t="s">
        <v>3305</v>
      </c>
      <c r="B433" s="869" t="s">
        <v>58</v>
      </c>
      <c r="C433" s="869" t="s">
        <v>2684</v>
      </c>
      <c r="D433" s="856" t="s">
        <v>3306</v>
      </c>
      <c r="E433" s="869" t="s">
        <v>396</v>
      </c>
      <c r="F433" s="869" t="s">
        <v>3307</v>
      </c>
      <c r="G433" s="1200">
        <v>3305785</v>
      </c>
      <c r="H433" s="869" t="s">
        <v>251</v>
      </c>
      <c r="I433" s="870">
        <v>43368</v>
      </c>
      <c r="J433" s="870">
        <v>43402</v>
      </c>
      <c r="K433" s="869" t="s">
        <v>3376</v>
      </c>
      <c r="L433" s="1200">
        <v>3302380</v>
      </c>
      <c r="M433" s="1200">
        <f>L433*1.21</f>
        <v>3995879.8</v>
      </c>
      <c r="N433" s="869"/>
      <c r="O433" s="869"/>
      <c r="P433" s="869"/>
      <c r="Q433" s="869"/>
      <c r="R433" s="801"/>
      <c r="S433" s="374"/>
      <c r="T433" s="374"/>
      <c r="U433" s="374"/>
      <c r="V433" s="374"/>
      <c r="W433" s="374"/>
    </row>
    <row r="434" spans="1:23" s="1190" customFormat="1" ht="15.75" customHeight="1">
      <c r="A434" s="869" t="s">
        <v>3308</v>
      </c>
      <c r="B434" s="869" t="s">
        <v>2434</v>
      </c>
      <c r="C434" s="869" t="s">
        <v>219</v>
      </c>
      <c r="D434" s="1298" t="s">
        <v>3309</v>
      </c>
      <c r="E434" s="869" t="s">
        <v>2747</v>
      </c>
      <c r="F434" s="869"/>
      <c r="G434" s="1200">
        <v>900000</v>
      </c>
      <c r="H434" s="869" t="s">
        <v>112</v>
      </c>
      <c r="I434" s="870">
        <v>43368</v>
      </c>
      <c r="J434" s="870">
        <v>43382</v>
      </c>
      <c r="K434" s="869" t="s">
        <v>3349</v>
      </c>
      <c r="L434" s="1200">
        <v>1031338.64</v>
      </c>
      <c r="M434" s="1200">
        <v>1272119.75</v>
      </c>
      <c r="N434" s="869"/>
      <c r="O434" s="869"/>
      <c r="P434" s="869"/>
      <c r="Q434" s="869"/>
      <c r="R434" s="801"/>
      <c r="S434" s="374"/>
      <c r="T434" s="374"/>
      <c r="U434" s="374"/>
      <c r="V434" s="374"/>
      <c r="W434" s="374"/>
    </row>
    <row r="435" spans="1:23" s="1190" customFormat="1" ht="15.75" customHeight="1">
      <c r="A435" s="902" t="s">
        <v>3310</v>
      </c>
      <c r="B435" s="902" t="s">
        <v>58</v>
      </c>
      <c r="C435" s="902" t="s">
        <v>2684</v>
      </c>
      <c r="D435" s="903" t="s">
        <v>3311</v>
      </c>
      <c r="E435" s="902" t="s">
        <v>3312</v>
      </c>
      <c r="F435" s="902" t="s">
        <v>3190</v>
      </c>
      <c r="G435" s="1211">
        <v>1735536</v>
      </c>
      <c r="H435" s="902" t="s">
        <v>112</v>
      </c>
      <c r="I435" s="905">
        <v>43363</v>
      </c>
      <c r="J435" s="905">
        <v>43374</v>
      </c>
      <c r="K435" s="902" t="s">
        <v>3182</v>
      </c>
      <c r="L435" s="1211">
        <v>1908512</v>
      </c>
      <c r="M435" s="1211">
        <v>2141658.7999999998</v>
      </c>
      <c r="N435" s="905">
        <v>43430</v>
      </c>
      <c r="O435" s="905"/>
      <c r="P435" s="905">
        <v>43432</v>
      </c>
      <c r="Q435" s="905">
        <v>43556</v>
      </c>
      <c r="R435" s="1127" t="s">
        <v>1875</v>
      </c>
      <c r="S435" s="360"/>
      <c r="T435" s="360"/>
      <c r="U435" s="360"/>
      <c r="V435" s="360"/>
      <c r="W435" s="360"/>
    </row>
    <row r="436" spans="1:23" s="1190" customFormat="1" ht="15.75" customHeight="1">
      <c r="A436" s="902" t="s">
        <v>3313</v>
      </c>
      <c r="B436" s="902" t="s">
        <v>58</v>
      </c>
      <c r="C436" s="902" t="s">
        <v>55</v>
      </c>
      <c r="D436" s="903" t="s">
        <v>3314</v>
      </c>
      <c r="E436" s="902" t="s">
        <v>719</v>
      </c>
      <c r="F436" s="902"/>
      <c r="G436" s="1211">
        <v>440000</v>
      </c>
      <c r="H436" s="902" t="s">
        <v>112</v>
      </c>
      <c r="I436" s="905">
        <v>43368</v>
      </c>
      <c r="J436" s="905">
        <v>43378</v>
      </c>
      <c r="K436" s="902" t="s">
        <v>3060</v>
      </c>
      <c r="L436" s="1211">
        <v>426370</v>
      </c>
      <c r="M436" s="1211">
        <f>L436*1.21</f>
        <v>515907.7</v>
      </c>
      <c r="N436" s="905">
        <v>43437</v>
      </c>
      <c r="O436" s="905"/>
      <c r="P436" s="902" t="s">
        <v>239</v>
      </c>
      <c r="Q436" s="902" t="s">
        <v>239</v>
      </c>
      <c r="R436" s="801"/>
      <c r="S436" s="374"/>
      <c r="T436" s="374"/>
      <c r="U436" s="374"/>
      <c r="V436" s="374"/>
      <c r="W436" s="374"/>
    </row>
    <row r="437" spans="1:23" s="1190" customFormat="1" ht="15.75" customHeight="1">
      <c r="A437" s="872" t="s">
        <v>3316</v>
      </c>
      <c r="B437" s="872" t="s">
        <v>1700</v>
      </c>
      <c r="C437" s="872" t="s">
        <v>1699</v>
      </c>
      <c r="D437" s="873" t="s">
        <v>3317</v>
      </c>
      <c r="E437" s="872" t="s">
        <v>3318</v>
      </c>
      <c r="F437" s="872" t="s">
        <v>3319</v>
      </c>
      <c r="G437" s="875">
        <v>716200</v>
      </c>
      <c r="H437" s="872" t="s">
        <v>251</v>
      </c>
      <c r="I437" s="874">
        <v>43413</v>
      </c>
      <c r="J437" s="874">
        <v>43446</v>
      </c>
      <c r="K437" s="876" t="s">
        <v>2192</v>
      </c>
      <c r="L437" s="875"/>
      <c r="M437" s="875"/>
      <c r="N437" s="872"/>
      <c r="O437" s="872"/>
      <c r="P437" s="874">
        <v>43451</v>
      </c>
      <c r="Q437" s="872"/>
      <c r="R437" s="801"/>
      <c r="S437" s="374"/>
      <c r="T437" s="374"/>
      <c r="U437" s="374"/>
      <c r="V437" s="374"/>
      <c r="W437" s="374"/>
    </row>
    <row r="438" spans="1:23" s="1190" customFormat="1" ht="15.75" customHeight="1">
      <c r="A438" s="902" t="s">
        <v>3321</v>
      </c>
      <c r="B438" s="902" t="s">
        <v>1032</v>
      </c>
      <c r="C438" s="902" t="s">
        <v>361</v>
      </c>
      <c r="D438" s="903" t="s">
        <v>3322</v>
      </c>
      <c r="E438" s="902" t="s">
        <v>3003</v>
      </c>
      <c r="F438" s="902" t="s">
        <v>3323</v>
      </c>
      <c r="G438" s="1211">
        <v>413000</v>
      </c>
      <c r="H438" s="902" t="s">
        <v>112</v>
      </c>
      <c r="I438" s="905">
        <v>43376</v>
      </c>
      <c r="J438" s="905">
        <v>43388</v>
      </c>
      <c r="K438" s="902" t="s">
        <v>3357</v>
      </c>
      <c r="L438" s="1211">
        <v>444131</v>
      </c>
      <c r="M438" s="1211">
        <v>537398</v>
      </c>
      <c r="N438" s="905">
        <v>43444</v>
      </c>
      <c r="O438" s="905"/>
      <c r="P438" s="905">
        <v>43446</v>
      </c>
      <c r="Q438" s="905">
        <v>43549</v>
      </c>
      <c r="R438" s="801"/>
      <c r="S438" s="374"/>
      <c r="T438" s="374"/>
      <c r="U438" s="374"/>
      <c r="V438" s="374"/>
      <c r="W438" s="374"/>
    </row>
    <row r="439" spans="1:23" s="1190" customFormat="1" ht="15.75" customHeight="1">
      <c r="A439" s="869" t="s">
        <v>3324</v>
      </c>
      <c r="B439" s="869" t="s">
        <v>52</v>
      </c>
      <c r="C439" s="869" t="s">
        <v>227</v>
      </c>
      <c r="D439" s="856" t="s">
        <v>3325</v>
      </c>
      <c r="E439" s="869" t="s">
        <v>1091</v>
      </c>
      <c r="F439" s="869" t="s">
        <v>2362</v>
      </c>
      <c r="G439" s="1200">
        <v>129510000</v>
      </c>
      <c r="H439" s="869" t="s">
        <v>251</v>
      </c>
      <c r="I439" s="870">
        <v>43396</v>
      </c>
      <c r="J439" s="870">
        <v>43454</v>
      </c>
      <c r="K439" s="869"/>
      <c r="L439" s="1200"/>
      <c r="M439" s="1200"/>
      <c r="N439" s="869"/>
      <c r="O439" s="869"/>
      <c r="P439" s="869"/>
      <c r="Q439" s="869"/>
      <c r="R439" s="801"/>
      <c r="S439" s="374"/>
      <c r="T439" s="374"/>
      <c r="U439" s="374"/>
      <c r="V439" s="374"/>
      <c r="W439" s="374"/>
    </row>
    <row r="440" spans="1:23" s="1190" customFormat="1" ht="15.75" customHeight="1">
      <c r="A440" s="902" t="s">
        <v>3328</v>
      </c>
      <c r="B440" s="902" t="s">
        <v>58</v>
      </c>
      <c r="C440" s="902" t="s">
        <v>2684</v>
      </c>
      <c r="D440" s="903" t="s">
        <v>3329</v>
      </c>
      <c r="E440" s="902" t="s">
        <v>3330</v>
      </c>
      <c r="F440" s="902" t="s">
        <v>3331</v>
      </c>
      <c r="G440" s="1211">
        <v>329752</v>
      </c>
      <c r="H440" s="902" t="s">
        <v>112</v>
      </c>
      <c r="I440" s="905">
        <v>43381</v>
      </c>
      <c r="J440" s="905">
        <v>43390</v>
      </c>
      <c r="K440" s="902" t="s">
        <v>3174</v>
      </c>
      <c r="L440" s="1211">
        <v>348060</v>
      </c>
      <c r="M440" s="1211">
        <v>421152.6</v>
      </c>
      <c r="N440" s="905">
        <v>43426</v>
      </c>
      <c r="O440" s="905"/>
      <c r="P440" s="902" t="s">
        <v>239</v>
      </c>
      <c r="Q440" s="902" t="s">
        <v>239</v>
      </c>
      <c r="R440" s="801"/>
      <c r="S440" s="374"/>
      <c r="T440" s="374"/>
      <c r="U440" s="374"/>
      <c r="V440" s="374"/>
      <c r="W440" s="374"/>
    </row>
    <row r="441" spans="1:23" s="1190" customFormat="1" ht="15.75" customHeight="1">
      <c r="A441" s="902" t="s">
        <v>3334</v>
      </c>
      <c r="B441" s="902" t="s">
        <v>52</v>
      </c>
      <c r="C441" s="902" t="s">
        <v>3089</v>
      </c>
      <c r="D441" s="903" t="s">
        <v>3336</v>
      </c>
      <c r="E441" s="902" t="s">
        <v>1438</v>
      </c>
      <c r="F441" s="902" t="s">
        <v>3335</v>
      </c>
      <c r="G441" s="1211">
        <v>3720000</v>
      </c>
      <c r="H441" s="902" t="s">
        <v>112</v>
      </c>
      <c r="I441" s="905">
        <v>43382</v>
      </c>
      <c r="J441" s="905">
        <v>43392</v>
      </c>
      <c r="K441" s="902" t="s">
        <v>2626</v>
      </c>
      <c r="L441" s="1211">
        <v>5999986.1600000001</v>
      </c>
      <c r="M441" s="1211">
        <v>7259983</v>
      </c>
      <c r="N441" s="905">
        <v>43427</v>
      </c>
      <c r="O441" s="905"/>
      <c r="P441" s="905">
        <v>43432</v>
      </c>
      <c r="Q441" s="1127">
        <v>43691</v>
      </c>
      <c r="R441" s="801"/>
      <c r="S441" s="374"/>
      <c r="T441" s="374"/>
      <c r="U441" s="374"/>
      <c r="V441" s="374"/>
      <c r="W441" s="374"/>
    </row>
    <row r="442" spans="1:23" s="1190" customFormat="1" ht="15.75" customHeight="1">
      <c r="A442" s="872" t="s">
        <v>3337</v>
      </c>
      <c r="B442" s="872" t="s">
        <v>14</v>
      </c>
      <c r="C442" s="872" t="s">
        <v>13</v>
      </c>
      <c r="D442" s="873" t="s">
        <v>3338</v>
      </c>
      <c r="E442" s="872" t="s">
        <v>2055</v>
      </c>
      <c r="F442" s="872"/>
      <c r="G442" s="875">
        <v>2088000</v>
      </c>
      <c r="H442" s="872" t="s">
        <v>216</v>
      </c>
      <c r="I442" s="874">
        <v>43403</v>
      </c>
      <c r="J442" s="874">
        <v>43425</v>
      </c>
      <c r="K442" s="876" t="s">
        <v>2192</v>
      </c>
      <c r="L442" s="875"/>
      <c r="M442" s="875"/>
      <c r="N442" s="872"/>
      <c r="O442" s="872"/>
      <c r="P442" s="874">
        <v>43430</v>
      </c>
      <c r="Q442" s="872"/>
      <c r="R442" s="801"/>
      <c r="S442" s="374"/>
      <c r="T442" s="374"/>
      <c r="U442" s="374"/>
      <c r="V442" s="374"/>
      <c r="W442" s="374"/>
    </row>
    <row r="443" spans="1:23" s="1190" customFormat="1" ht="15.75" customHeight="1">
      <c r="A443" s="902" t="s">
        <v>3339</v>
      </c>
      <c r="B443" s="902" t="s">
        <v>14</v>
      </c>
      <c r="C443" s="902" t="s">
        <v>13</v>
      </c>
      <c r="D443" s="903" t="s">
        <v>3340</v>
      </c>
      <c r="E443" s="902" t="s">
        <v>21</v>
      </c>
      <c r="F443" s="902"/>
      <c r="G443" s="1211">
        <v>859504</v>
      </c>
      <c r="H443" s="902" t="s">
        <v>112</v>
      </c>
      <c r="I443" s="905">
        <v>43381</v>
      </c>
      <c r="J443" s="905">
        <v>43389</v>
      </c>
      <c r="K443" s="902" t="s">
        <v>3366</v>
      </c>
      <c r="L443" s="1211">
        <v>890825</v>
      </c>
      <c r="M443" s="1211">
        <v>1077898.25</v>
      </c>
      <c r="N443" s="905">
        <v>43417</v>
      </c>
      <c r="O443" s="905">
        <v>43781</v>
      </c>
      <c r="P443" s="905">
        <v>43418</v>
      </c>
      <c r="Q443" s="905">
        <v>44244</v>
      </c>
      <c r="R443" s="801"/>
      <c r="S443" s="374"/>
      <c r="T443" s="374"/>
      <c r="U443" s="374"/>
      <c r="V443" s="374"/>
      <c r="W443" s="374"/>
    </row>
    <row r="444" spans="1:23" s="1190" customFormat="1" ht="15.75" customHeight="1">
      <c r="A444" s="902" t="s">
        <v>3341</v>
      </c>
      <c r="B444" s="902" t="s">
        <v>1032</v>
      </c>
      <c r="C444" s="902" t="s">
        <v>1033</v>
      </c>
      <c r="D444" s="903" t="s">
        <v>3342</v>
      </c>
      <c r="E444" s="902" t="s">
        <v>3343</v>
      </c>
      <c r="F444" s="902" t="s">
        <v>3344</v>
      </c>
      <c r="G444" s="1211">
        <v>320000</v>
      </c>
      <c r="H444" s="902" t="s">
        <v>112</v>
      </c>
      <c r="I444" s="905">
        <v>43388</v>
      </c>
      <c r="J444" s="905">
        <v>43397</v>
      </c>
      <c r="K444" s="902" t="s">
        <v>3377</v>
      </c>
      <c r="L444" s="1211">
        <v>305375</v>
      </c>
      <c r="M444" s="1211">
        <f>L444*1.21</f>
        <v>369503.75</v>
      </c>
      <c r="N444" s="905">
        <v>43445</v>
      </c>
      <c r="O444" s="905"/>
      <c r="P444" s="905">
        <v>43447</v>
      </c>
      <c r="Q444" s="905">
        <v>43542</v>
      </c>
      <c r="R444" s="801"/>
      <c r="S444" s="374"/>
      <c r="T444" s="374"/>
      <c r="U444" s="374"/>
      <c r="V444" s="374"/>
      <c r="W444" s="374"/>
    </row>
    <row r="445" spans="1:23" s="1190" customFormat="1" ht="15.75" customHeight="1">
      <c r="A445" s="872" t="s">
        <v>3346</v>
      </c>
      <c r="B445" s="872" t="s">
        <v>166</v>
      </c>
      <c r="C445" s="872" t="s">
        <v>167</v>
      </c>
      <c r="D445" s="873" t="s">
        <v>3345</v>
      </c>
      <c r="E445" s="872" t="s">
        <v>498</v>
      </c>
      <c r="F445" s="872"/>
      <c r="G445" s="875">
        <v>500000</v>
      </c>
      <c r="H445" s="872" t="s">
        <v>112</v>
      </c>
      <c r="I445" s="874">
        <v>43388</v>
      </c>
      <c r="J445" s="874">
        <v>43397</v>
      </c>
      <c r="K445" s="876" t="s">
        <v>2192</v>
      </c>
      <c r="L445" s="875"/>
      <c r="M445" s="875"/>
      <c r="N445" s="872"/>
      <c r="O445" s="872"/>
      <c r="P445" s="1249">
        <v>43399</v>
      </c>
      <c r="Q445" s="872"/>
      <c r="R445" s="801"/>
      <c r="S445" s="374"/>
      <c r="T445" s="374"/>
      <c r="U445" s="374"/>
      <c r="V445" s="374"/>
      <c r="W445" s="374"/>
    </row>
    <row r="446" spans="1:23" s="1190" customFormat="1" ht="15.75" customHeight="1">
      <c r="A446" s="902" t="s">
        <v>3347</v>
      </c>
      <c r="B446" s="902" t="s">
        <v>166</v>
      </c>
      <c r="C446" s="902" t="s">
        <v>167</v>
      </c>
      <c r="D446" s="409" t="s">
        <v>3348</v>
      </c>
      <c r="E446" s="902" t="s">
        <v>1676</v>
      </c>
      <c r="F446" s="902"/>
      <c r="G446" s="1211">
        <v>2800000</v>
      </c>
      <c r="H446" s="902" t="s">
        <v>112</v>
      </c>
      <c r="I446" s="905">
        <v>43388</v>
      </c>
      <c r="J446" s="905">
        <v>43399</v>
      </c>
      <c r="K446" s="902" t="s">
        <v>3380</v>
      </c>
      <c r="L446" s="1211">
        <v>2749217</v>
      </c>
      <c r="M446" s="1211">
        <f>L446*1.21</f>
        <v>3326552.57</v>
      </c>
      <c r="N446" s="905">
        <v>43434</v>
      </c>
      <c r="O446" s="905"/>
      <c r="P446" s="905">
        <v>43438</v>
      </c>
      <c r="Q446" s="905">
        <v>43626</v>
      </c>
      <c r="R446" s="801"/>
      <c r="S446" s="374"/>
      <c r="T446" s="374"/>
      <c r="U446" s="374"/>
      <c r="V446" s="374"/>
      <c r="W446" s="374"/>
    </row>
    <row r="447" spans="1:23" s="1190" customFormat="1" ht="15.75" customHeight="1">
      <c r="A447" s="869" t="s">
        <v>3352</v>
      </c>
      <c r="B447" s="869" t="s">
        <v>2111</v>
      </c>
      <c r="C447" s="869" t="s">
        <v>1215</v>
      </c>
      <c r="D447" s="856" t="s">
        <v>3353</v>
      </c>
      <c r="E447" s="869" t="s">
        <v>3354</v>
      </c>
      <c r="F447" s="869"/>
      <c r="G447" s="1200">
        <v>120000000</v>
      </c>
      <c r="H447" s="869" t="s">
        <v>251</v>
      </c>
      <c r="I447" s="870">
        <v>43392</v>
      </c>
      <c r="J447" s="870">
        <v>43452</v>
      </c>
      <c r="K447" s="869" t="s">
        <v>3497</v>
      </c>
      <c r="L447" s="1200">
        <v>114751628.15000001</v>
      </c>
      <c r="M447" s="1200">
        <f>L447*1.21</f>
        <v>138849470.06150001</v>
      </c>
      <c r="N447" s="869"/>
      <c r="O447" s="869"/>
      <c r="P447" s="869"/>
      <c r="Q447" s="869"/>
      <c r="R447" s="801"/>
      <c r="S447" s="374"/>
      <c r="T447" s="374"/>
      <c r="U447" s="374"/>
      <c r="V447" s="374"/>
      <c r="W447" s="374"/>
    </row>
    <row r="448" spans="1:23" s="1190" customFormat="1" ht="15.75" customHeight="1">
      <c r="A448" s="902" t="s">
        <v>3358</v>
      </c>
      <c r="B448" s="902" t="s">
        <v>58</v>
      </c>
      <c r="C448" s="902" t="s">
        <v>55</v>
      </c>
      <c r="D448" s="409" t="s">
        <v>3359</v>
      </c>
      <c r="E448" s="902" t="s">
        <v>719</v>
      </c>
      <c r="F448" s="902"/>
      <c r="G448" s="1211">
        <v>335000</v>
      </c>
      <c r="H448" s="902" t="s">
        <v>112</v>
      </c>
      <c r="I448" s="905">
        <v>43399</v>
      </c>
      <c r="J448" s="905">
        <v>43410</v>
      </c>
      <c r="K448" s="902" t="s">
        <v>3406</v>
      </c>
      <c r="L448" s="1211">
        <v>313942</v>
      </c>
      <c r="M448" s="1211">
        <v>361439.68</v>
      </c>
      <c r="N448" s="905">
        <v>43451</v>
      </c>
      <c r="O448" s="905"/>
      <c r="P448" s="905">
        <v>43453</v>
      </c>
      <c r="Q448" s="905">
        <v>43542</v>
      </c>
      <c r="R448" s="996" t="s">
        <v>1875</v>
      </c>
      <c r="S448" s="374"/>
      <c r="T448" s="374"/>
      <c r="U448" s="374"/>
      <c r="V448" s="374"/>
      <c r="W448" s="374"/>
    </row>
    <row r="449" spans="1:23" s="1190" customFormat="1" ht="15.75" customHeight="1">
      <c r="A449" s="902" t="s">
        <v>3360</v>
      </c>
      <c r="B449" s="902" t="s">
        <v>14</v>
      </c>
      <c r="C449" s="902" t="s">
        <v>1753</v>
      </c>
      <c r="D449" s="903" t="s">
        <v>3361</v>
      </c>
      <c r="E449" s="902" t="s">
        <v>3362</v>
      </c>
      <c r="F449" s="902" t="s">
        <v>3363</v>
      </c>
      <c r="G449" s="1211">
        <v>1405000</v>
      </c>
      <c r="H449" s="902" t="s">
        <v>112</v>
      </c>
      <c r="I449" s="905">
        <v>43396</v>
      </c>
      <c r="J449" s="905">
        <v>43405</v>
      </c>
      <c r="K449" s="902" t="s">
        <v>3366</v>
      </c>
      <c r="L449" s="1211">
        <v>1362080</v>
      </c>
      <c r="M449" s="1211">
        <f>L449*1.21</f>
        <v>1648116.8</v>
      </c>
      <c r="N449" s="905">
        <v>43453</v>
      </c>
      <c r="O449" s="905"/>
      <c r="P449" s="905">
        <v>43454</v>
      </c>
      <c r="Q449" s="905">
        <v>43598</v>
      </c>
      <c r="R449" s="801"/>
      <c r="S449" s="374"/>
      <c r="T449" s="374"/>
      <c r="U449" s="374"/>
      <c r="V449" s="374"/>
      <c r="W449" s="374"/>
    </row>
    <row r="450" spans="1:23" s="1190" customFormat="1" ht="15.75" customHeight="1">
      <c r="A450" s="872" t="s">
        <v>3364</v>
      </c>
      <c r="B450" s="872" t="s">
        <v>2250</v>
      </c>
      <c r="C450" s="872" t="s">
        <v>1416</v>
      </c>
      <c r="D450" s="873" t="s">
        <v>3365</v>
      </c>
      <c r="E450" s="872" t="s">
        <v>1422</v>
      </c>
      <c r="F450" s="872"/>
      <c r="G450" s="875">
        <v>450000</v>
      </c>
      <c r="H450" s="872" t="s">
        <v>112</v>
      </c>
      <c r="I450" s="874">
        <v>43392</v>
      </c>
      <c r="J450" s="874">
        <v>43399</v>
      </c>
      <c r="K450" s="876" t="s">
        <v>242</v>
      </c>
      <c r="L450" s="875"/>
      <c r="M450" s="875"/>
      <c r="N450" s="872"/>
      <c r="O450" s="872"/>
      <c r="P450" s="872" t="s">
        <v>239</v>
      </c>
      <c r="Q450" s="872" t="s">
        <v>239</v>
      </c>
      <c r="R450" s="872"/>
      <c r="S450" s="374"/>
      <c r="T450" s="374"/>
      <c r="U450" s="374"/>
      <c r="V450" s="374"/>
      <c r="W450" s="374"/>
    </row>
    <row r="451" spans="1:23" s="1190" customFormat="1" ht="15.75" customHeight="1">
      <c r="A451" s="869" t="s">
        <v>3367</v>
      </c>
      <c r="B451" s="869" t="s">
        <v>837</v>
      </c>
      <c r="C451" s="869" t="s">
        <v>1682</v>
      </c>
      <c r="D451" s="856" t="s">
        <v>3368</v>
      </c>
      <c r="E451" s="869" t="s">
        <v>3369</v>
      </c>
      <c r="F451" s="869"/>
      <c r="G451" s="1200">
        <v>1600000</v>
      </c>
      <c r="H451" s="869" t="s">
        <v>112</v>
      </c>
      <c r="I451" s="870">
        <v>43398</v>
      </c>
      <c r="J451" s="870">
        <v>43409</v>
      </c>
      <c r="K451" s="869" t="s">
        <v>379</v>
      </c>
      <c r="L451" s="1200">
        <v>1081060</v>
      </c>
      <c r="M451" s="1200">
        <f>L451*1.21</f>
        <v>1308082.5999999999</v>
      </c>
      <c r="N451" s="869"/>
      <c r="O451" s="869"/>
      <c r="P451" s="869"/>
      <c r="Q451" s="869"/>
      <c r="R451" s="801"/>
      <c r="S451" s="374"/>
      <c r="T451" s="374"/>
      <c r="U451" s="374"/>
      <c r="V451" s="374"/>
      <c r="W451" s="374"/>
    </row>
    <row r="452" spans="1:23" s="1190" customFormat="1" ht="15.75" customHeight="1">
      <c r="A452" s="902" t="s">
        <v>3370</v>
      </c>
      <c r="B452" s="902" t="s">
        <v>2250</v>
      </c>
      <c r="C452" s="902" t="s">
        <v>1416</v>
      </c>
      <c r="D452" s="903" t="s">
        <v>3365</v>
      </c>
      <c r="E452" s="902" t="s">
        <v>1422</v>
      </c>
      <c r="F452" s="902"/>
      <c r="G452" s="1211">
        <v>495000</v>
      </c>
      <c r="H452" s="902" t="s">
        <v>112</v>
      </c>
      <c r="I452" s="905">
        <v>43402</v>
      </c>
      <c r="J452" s="905">
        <v>43406</v>
      </c>
      <c r="K452" s="902" t="s">
        <v>3381</v>
      </c>
      <c r="L452" s="1211">
        <f>M452/1.21</f>
        <v>491735.53719008266</v>
      </c>
      <c r="M452" s="1211">
        <v>595000</v>
      </c>
      <c r="N452" s="905">
        <v>43433</v>
      </c>
      <c r="O452" s="905"/>
      <c r="P452" s="902" t="s">
        <v>239</v>
      </c>
      <c r="Q452" s="902" t="s">
        <v>239</v>
      </c>
      <c r="R452" s="801"/>
      <c r="S452" s="374"/>
      <c r="T452" s="374"/>
      <c r="U452" s="374"/>
      <c r="V452" s="374"/>
      <c r="W452" s="374"/>
    </row>
    <row r="453" spans="1:23" s="1190" customFormat="1" ht="15.75" customHeight="1">
      <c r="A453" s="869" t="s">
        <v>3371</v>
      </c>
      <c r="B453" s="869" t="s">
        <v>1032</v>
      </c>
      <c r="C453" s="869" t="s">
        <v>361</v>
      </c>
      <c r="D453" s="1298" t="s">
        <v>3372</v>
      </c>
      <c r="E453" s="869" t="s">
        <v>3374</v>
      </c>
      <c r="F453" s="869" t="s">
        <v>3373</v>
      </c>
      <c r="G453" s="1200">
        <v>420000</v>
      </c>
      <c r="H453" s="869" t="s">
        <v>112</v>
      </c>
      <c r="I453" s="870">
        <v>43406</v>
      </c>
      <c r="J453" s="870">
        <v>43416</v>
      </c>
      <c r="K453" s="869" t="s">
        <v>2581</v>
      </c>
      <c r="L453" s="1200">
        <v>310243.3</v>
      </c>
      <c r="M453" s="1200">
        <f>L453*1.21</f>
        <v>375394.39299999998</v>
      </c>
      <c r="N453" s="869"/>
      <c r="O453" s="869"/>
      <c r="P453" s="869"/>
      <c r="Q453" s="869"/>
      <c r="R453" s="801"/>
      <c r="S453" s="374"/>
      <c r="T453" s="374"/>
      <c r="U453" s="374"/>
      <c r="V453" s="374"/>
      <c r="W453" s="374"/>
    </row>
    <row r="454" spans="1:23" s="1190" customFormat="1" ht="15.75" customHeight="1">
      <c r="A454" s="872" t="s">
        <v>3383</v>
      </c>
      <c r="B454" s="872" t="s">
        <v>2434</v>
      </c>
      <c r="C454" s="872" t="s">
        <v>219</v>
      </c>
      <c r="D454" s="873" t="s">
        <v>3382</v>
      </c>
      <c r="E454" s="872" t="s">
        <v>642</v>
      </c>
      <c r="F454" s="872"/>
      <c r="G454" s="875">
        <v>946000</v>
      </c>
      <c r="H454" s="872" t="s">
        <v>112</v>
      </c>
      <c r="I454" s="874">
        <v>43425</v>
      </c>
      <c r="J454" s="874">
        <v>43434</v>
      </c>
      <c r="K454" s="876" t="s">
        <v>2192</v>
      </c>
      <c r="L454" s="875"/>
      <c r="M454" s="875"/>
      <c r="N454" s="872"/>
      <c r="O454" s="872"/>
      <c r="P454" s="874">
        <v>43434</v>
      </c>
      <c r="Q454" s="872"/>
      <c r="R454" s="801"/>
      <c r="S454" s="374"/>
      <c r="T454" s="374"/>
      <c r="U454" s="374"/>
      <c r="V454" s="374"/>
      <c r="W454" s="374"/>
    </row>
    <row r="455" spans="1:23" s="1190" customFormat="1" ht="15.75" customHeight="1">
      <c r="A455" s="869" t="s">
        <v>3384</v>
      </c>
      <c r="B455" s="869" t="s">
        <v>2434</v>
      </c>
      <c r="C455" s="869" t="s">
        <v>219</v>
      </c>
      <c r="D455" s="856" t="s">
        <v>3458</v>
      </c>
      <c r="E455" s="869" t="s">
        <v>642</v>
      </c>
      <c r="F455" s="869"/>
      <c r="G455" s="1200">
        <v>437800</v>
      </c>
      <c r="H455" s="869" t="s">
        <v>112</v>
      </c>
      <c r="I455" s="870">
        <v>43424</v>
      </c>
      <c r="J455" s="870">
        <v>43434</v>
      </c>
      <c r="K455" s="869" t="s">
        <v>1433</v>
      </c>
      <c r="L455" s="1200">
        <v>437800</v>
      </c>
      <c r="M455" s="1200">
        <v>529738</v>
      </c>
      <c r="N455" s="869"/>
      <c r="O455" s="869"/>
      <c r="P455" s="869"/>
      <c r="Q455" s="869"/>
      <c r="R455" s="801"/>
      <c r="S455" s="374"/>
      <c r="T455" s="374"/>
      <c r="U455" s="374"/>
      <c r="V455" s="374"/>
      <c r="W455" s="374"/>
    </row>
    <row r="456" spans="1:23" s="1190" customFormat="1" ht="15.75" customHeight="1">
      <c r="A456" s="869" t="s">
        <v>3384</v>
      </c>
      <c r="B456" s="869" t="s">
        <v>2434</v>
      </c>
      <c r="C456" s="869" t="s">
        <v>219</v>
      </c>
      <c r="D456" s="856" t="s">
        <v>3459</v>
      </c>
      <c r="E456" s="869" t="s">
        <v>642</v>
      </c>
      <c r="F456" s="869"/>
      <c r="G456" s="1200">
        <v>542640</v>
      </c>
      <c r="H456" s="869" t="s">
        <v>112</v>
      </c>
      <c r="I456" s="870">
        <v>43424</v>
      </c>
      <c r="J456" s="870">
        <v>43434</v>
      </c>
      <c r="K456" s="869" t="s">
        <v>2344</v>
      </c>
      <c r="L456" s="1200">
        <v>542640</v>
      </c>
      <c r="M456" s="1200">
        <v>656594.4</v>
      </c>
      <c r="N456" s="869"/>
      <c r="O456" s="869"/>
      <c r="P456" s="869"/>
      <c r="Q456" s="869"/>
      <c r="R456" s="801"/>
      <c r="S456" s="374"/>
      <c r="T456" s="374"/>
      <c r="U456" s="374"/>
      <c r="V456" s="374"/>
      <c r="W456" s="374"/>
    </row>
    <row r="457" spans="1:23" s="1190" customFormat="1" ht="15.75" customHeight="1">
      <c r="A457" s="872" t="s">
        <v>3385</v>
      </c>
      <c r="B457" s="872" t="s">
        <v>2434</v>
      </c>
      <c r="C457" s="872" t="s">
        <v>219</v>
      </c>
      <c r="D457" s="873" t="s">
        <v>3386</v>
      </c>
      <c r="E457" s="872" t="s">
        <v>3271</v>
      </c>
      <c r="F457" s="872"/>
      <c r="G457" s="875">
        <v>881000</v>
      </c>
      <c r="H457" s="872" t="s">
        <v>112</v>
      </c>
      <c r="I457" s="874">
        <v>43417</v>
      </c>
      <c r="J457" s="874">
        <v>43425</v>
      </c>
      <c r="K457" s="876" t="s">
        <v>2192</v>
      </c>
      <c r="L457" s="875"/>
      <c r="M457" s="875"/>
      <c r="N457" s="872"/>
      <c r="O457" s="872"/>
      <c r="P457" s="874">
        <v>43426</v>
      </c>
      <c r="Q457" s="872"/>
      <c r="R457" s="801"/>
      <c r="S457" s="374"/>
      <c r="T457" s="374"/>
      <c r="U457" s="374"/>
      <c r="V457" s="374"/>
      <c r="W457" s="374"/>
    </row>
    <row r="458" spans="1:23" s="1190" customFormat="1" ht="15.75" customHeight="1">
      <c r="A458" s="869" t="s">
        <v>3387</v>
      </c>
      <c r="B458" s="869" t="s">
        <v>58</v>
      </c>
      <c r="C458" s="869" t="s">
        <v>2684</v>
      </c>
      <c r="D458" s="856" t="s">
        <v>3388</v>
      </c>
      <c r="E458" s="869" t="s">
        <v>1294</v>
      </c>
      <c r="F458" s="869" t="s">
        <v>3389</v>
      </c>
      <c r="G458" s="1200">
        <v>4600000</v>
      </c>
      <c r="H458" s="869" t="s">
        <v>251</v>
      </c>
      <c r="I458" s="870">
        <v>43413</v>
      </c>
      <c r="J458" s="870">
        <v>43451</v>
      </c>
      <c r="K458" s="869" t="s">
        <v>3480</v>
      </c>
      <c r="L458" s="1200">
        <v>2797000</v>
      </c>
      <c r="M458" s="1200">
        <v>3384370</v>
      </c>
      <c r="N458" s="869"/>
      <c r="O458" s="869"/>
      <c r="P458" s="869"/>
      <c r="Q458" s="869"/>
      <c r="R458" s="801"/>
      <c r="S458" s="374"/>
      <c r="T458" s="374"/>
      <c r="U458" s="374"/>
      <c r="V458" s="374"/>
      <c r="W458" s="374"/>
    </row>
    <row r="459" spans="1:23" s="1190" customFormat="1" ht="15.75" customHeight="1">
      <c r="A459" s="869" t="s">
        <v>3390</v>
      </c>
      <c r="B459" s="869" t="s">
        <v>58</v>
      </c>
      <c r="C459" s="869" t="s">
        <v>2684</v>
      </c>
      <c r="D459" s="856" t="s">
        <v>3392</v>
      </c>
      <c r="E459" s="869" t="s">
        <v>462</v>
      </c>
      <c r="F459" s="869" t="s">
        <v>3391</v>
      </c>
      <c r="G459" s="1200">
        <v>4530000</v>
      </c>
      <c r="H459" s="869" t="s">
        <v>251</v>
      </c>
      <c r="I459" s="870">
        <v>43413</v>
      </c>
      <c r="J459" s="870">
        <v>43448</v>
      </c>
      <c r="K459" s="869" t="s">
        <v>3481</v>
      </c>
      <c r="L459" s="1200">
        <v>6553201.2300000004</v>
      </c>
      <c r="M459" s="1200">
        <v>7929373.4699999997</v>
      </c>
      <c r="N459" s="869"/>
      <c r="O459" s="869"/>
      <c r="P459" s="869"/>
      <c r="Q459" s="869"/>
      <c r="R459" s="801"/>
      <c r="S459" s="374"/>
      <c r="T459" s="374"/>
      <c r="U459" s="374"/>
      <c r="V459" s="374"/>
      <c r="W459" s="374"/>
    </row>
    <row r="460" spans="1:23" s="1190" customFormat="1" ht="15.75" customHeight="1">
      <c r="A460" s="869" t="s">
        <v>3394</v>
      </c>
      <c r="B460" s="869" t="s">
        <v>2434</v>
      </c>
      <c r="C460" s="869" t="s">
        <v>219</v>
      </c>
      <c r="D460" s="856" t="s">
        <v>3395</v>
      </c>
      <c r="E460" s="869" t="s">
        <v>316</v>
      </c>
      <c r="F460" s="869"/>
      <c r="G460" s="1200">
        <v>988520</v>
      </c>
      <c r="H460" s="869" t="s">
        <v>216</v>
      </c>
      <c r="I460" s="870">
        <v>43433</v>
      </c>
      <c r="J460" s="870">
        <v>43453</v>
      </c>
      <c r="K460" s="1147" t="s">
        <v>3499</v>
      </c>
      <c r="L460" s="1200">
        <v>814400</v>
      </c>
      <c r="M460" s="1200">
        <f>L460*1.21</f>
        <v>985424</v>
      </c>
      <c r="N460" s="869"/>
      <c r="O460" s="869"/>
      <c r="P460" s="869"/>
      <c r="Q460" s="869"/>
      <c r="R460" s="801"/>
      <c r="S460" s="374"/>
      <c r="T460" s="374"/>
      <c r="U460" s="374"/>
      <c r="V460" s="374"/>
      <c r="W460" s="374"/>
    </row>
    <row r="461" spans="1:23" s="1190" customFormat="1" ht="15.75" customHeight="1">
      <c r="A461" s="869" t="s">
        <v>3394</v>
      </c>
      <c r="B461" s="869" t="s">
        <v>2434</v>
      </c>
      <c r="C461" s="869" t="s">
        <v>219</v>
      </c>
      <c r="D461" s="856" t="s">
        <v>3396</v>
      </c>
      <c r="E461" s="869" t="s">
        <v>316</v>
      </c>
      <c r="F461" s="869"/>
      <c r="G461" s="1200">
        <v>1036080</v>
      </c>
      <c r="H461" s="869" t="s">
        <v>216</v>
      </c>
      <c r="I461" s="870">
        <v>43433</v>
      </c>
      <c r="J461" s="870">
        <v>43453</v>
      </c>
      <c r="K461" s="1147" t="s">
        <v>3498</v>
      </c>
      <c r="L461" s="1200">
        <v>900828</v>
      </c>
      <c r="M461" s="1200">
        <f>L461*1.21</f>
        <v>1090001.8799999999</v>
      </c>
      <c r="N461" s="869"/>
      <c r="O461" s="869"/>
      <c r="P461" s="869"/>
      <c r="Q461" s="869"/>
      <c r="R461" s="801"/>
      <c r="S461" s="374"/>
      <c r="T461" s="374"/>
      <c r="U461" s="374"/>
      <c r="V461" s="374"/>
      <c r="W461" s="374"/>
    </row>
    <row r="462" spans="1:23" s="1190" customFormat="1" ht="15.75" customHeight="1">
      <c r="A462" s="853" t="s">
        <v>3397</v>
      </c>
      <c r="B462" s="853" t="s">
        <v>2265</v>
      </c>
      <c r="C462" s="853" t="s">
        <v>230</v>
      </c>
      <c r="D462" s="771" t="s">
        <v>3398</v>
      </c>
      <c r="E462" s="853" t="s">
        <v>154</v>
      </c>
      <c r="F462" s="853"/>
      <c r="G462" s="854">
        <v>2100000</v>
      </c>
      <c r="H462" s="853" t="s">
        <v>216</v>
      </c>
      <c r="I462" s="855">
        <v>43447</v>
      </c>
      <c r="J462" s="855">
        <v>43475</v>
      </c>
      <c r="K462" s="853"/>
      <c r="L462" s="854"/>
      <c r="M462" s="854"/>
      <c r="N462" s="853"/>
      <c r="O462" s="853"/>
      <c r="P462" s="853"/>
      <c r="Q462" s="853"/>
      <c r="R462" s="801"/>
      <c r="S462" s="374"/>
      <c r="T462" s="374"/>
      <c r="U462" s="374"/>
      <c r="V462" s="374"/>
      <c r="W462" s="374"/>
    </row>
    <row r="463" spans="1:23" s="1190" customFormat="1" ht="15.75" customHeight="1">
      <c r="A463" s="853" t="s">
        <v>3397</v>
      </c>
      <c r="B463" s="853" t="s">
        <v>2265</v>
      </c>
      <c r="C463" s="853" t="s">
        <v>230</v>
      </c>
      <c r="D463" s="771" t="s">
        <v>3399</v>
      </c>
      <c r="E463" s="853" t="s">
        <v>154</v>
      </c>
      <c r="F463" s="853"/>
      <c r="G463" s="854">
        <v>900000</v>
      </c>
      <c r="H463" s="853" t="s">
        <v>216</v>
      </c>
      <c r="I463" s="855">
        <v>43447</v>
      </c>
      <c r="J463" s="855">
        <v>43475</v>
      </c>
      <c r="K463" s="853"/>
      <c r="L463" s="854"/>
      <c r="M463" s="854"/>
      <c r="N463" s="853"/>
      <c r="O463" s="853"/>
      <c r="P463" s="853"/>
      <c r="Q463" s="853"/>
      <c r="R463" s="801"/>
      <c r="S463" s="374"/>
      <c r="T463" s="374"/>
      <c r="U463" s="374"/>
      <c r="V463" s="374"/>
      <c r="W463" s="374"/>
    </row>
    <row r="464" spans="1:23" s="1190" customFormat="1" ht="15.75" customHeight="1">
      <c r="A464" s="869" t="s">
        <v>3400</v>
      </c>
      <c r="B464" s="869" t="s">
        <v>1032</v>
      </c>
      <c r="C464" s="869" t="s">
        <v>361</v>
      </c>
      <c r="D464" s="856" t="s">
        <v>3401</v>
      </c>
      <c r="E464" s="869" t="s">
        <v>1765</v>
      </c>
      <c r="F464" s="869" t="s">
        <v>3402</v>
      </c>
      <c r="G464" s="1200">
        <v>1300000</v>
      </c>
      <c r="H464" s="869" t="s">
        <v>112</v>
      </c>
      <c r="I464" s="870">
        <v>43441</v>
      </c>
      <c r="J464" s="870">
        <v>43451</v>
      </c>
      <c r="K464" s="869" t="s">
        <v>342</v>
      </c>
      <c r="L464" s="1200">
        <v>1108850</v>
      </c>
      <c r="M464" s="1200">
        <v>1341708.5</v>
      </c>
      <c r="N464" s="869"/>
      <c r="O464" s="869"/>
      <c r="P464" s="869"/>
      <c r="Q464" s="869"/>
      <c r="R464" s="801"/>
      <c r="S464" s="374"/>
      <c r="T464" s="374"/>
      <c r="U464" s="374"/>
      <c r="V464" s="374"/>
      <c r="W464" s="374"/>
    </row>
    <row r="465" spans="1:23" s="1190" customFormat="1" ht="15.75" customHeight="1">
      <c r="A465" s="853" t="s">
        <v>3403</v>
      </c>
      <c r="B465" s="853" t="s">
        <v>58</v>
      </c>
      <c r="C465" s="853" t="s">
        <v>2684</v>
      </c>
      <c r="D465" s="771" t="s">
        <v>3404</v>
      </c>
      <c r="E465" s="853" t="s">
        <v>77</v>
      </c>
      <c r="F465" s="853" t="s">
        <v>3405</v>
      </c>
      <c r="G465" s="854">
        <v>2727000</v>
      </c>
      <c r="H465" s="853" t="s">
        <v>216</v>
      </c>
      <c r="I465" s="855">
        <v>43433</v>
      </c>
      <c r="J465" s="855">
        <v>43474</v>
      </c>
      <c r="K465" s="853"/>
      <c r="L465" s="854"/>
      <c r="M465" s="854"/>
      <c r="N465" s="853"/>
      <c r="O465" s="853"/>
      <c r="P465" s="853"/>
      <c r="Q465" s="853"/>
      <c r="R465" s="801"/>
      <c r="S465" s="374"/>
      <c r="T465" s="374"/>
      <c r="U465" s="374"/>
      <c r="V465" s="374"/>
      <c r="W465" s="374"/>
    </row>
    <row r="466" spans="1:23" s="1190" customFormat="1" ht="15.75" customHeight="1">
      <c r="A466" s="853" t="s">
        <v>3408</v>
      </c>
      <c r="B466" s="853" t="s">
        <v>69</v>
      </c>
      <c r="C466" s="853" t="s">
        <v>70</v>
      </c>
      <c r="D466" s="1124" t="s">
        <v>3409</v>
      </c>
      <c r="E466" s="853" t="s">
        <v>671</v>
      </c>
      <c r="F466" s="853"/>
      <c r="G466" s="854">
        <v>33976800</v>
      </c>
      <c r="H466" s="853" t="s">
        <v>251</v>
      </c>
      <c r="I466" s="855">
        <v>43441</v>
      </c>
      <c r="J466" s="855">
        <v>43483</v>
      </c>
      <c r="K466" s="853"/>
      <c r="L466" s="854"/>
      <c r="M466" s="854"/>
      <c r="N466" s="853"/>
      <c r="O466" s="853"/>
      <c r="P466" s="853"/>
      <c r="Q466" s="853"/>
      <c r="R466" s="801"/>
      <c r="S466" s="374"/>
      <c r="T466" s="374"/>
      <c r="U466" s="374"/>
      <c r="V466" s="374"/>
      <c r="W466" s="374"/>
    </row>
    <row r="467" spans="1:23" s="1190" customFormat="1" ht="15.75" customHeight="1">
      <c r="A467" s="853" t="s">
        <v>3410</v>
      </c>
      <c r="B467" s="853" t="s">
        <v>2434</v>
      </c>
      <c r="C467" s="853" t="s">
        <v>219</v>
      </c>
      <c r="D467" s="771" t="s">
        <v>3411</v>
      </c>
      <c r="E467" s="853" t="s">
        <v>675</v>
      </c>
      <c r="F467" s="853"/>
      <c r="G467" s="854">
        <v>2898000</v>
      </c>
      <c r="H467" s="853" t="s">
        <v>251</v>
      </c>
      <c r="I467" s="855">
        <v>43433</v>
      </c>
      <c r="J467" s="855">
        <v>43473</v>
      </c>
      <c r="K467" s="853"/>
      <c r="L467" s="854"/>
      <c r="M467" s="854"/>
      <c r="N467" s="853"/>
      <c r="O467" s="853"/>
      <c r="P467" s="853"/>
      <c r="Q467" s="853"/>
      <c r="R467" s="801"/>
      <c r="S467" s="374"/>
      <c r="T467" s="374"/>
      <c r="U467" s="374"/>
      <c r="V467" s="374"/>
      <c r="W467" s="374"/>
    </row>
    <row r="468" spans="1:23" s="1190" customFormat="1" ht="15.75" customHeight="1">
      <c r="A468" s="869" t="s">
        <v>3412</v>
      </c>
      <c r="B468" s="869" t="s">
        <v>58</v>
      </c>
      <c r="C468" s="869" t="s">
        <v>2684</v>
      </c>
      <c r="D468" s="856" t="s">
        <v>3413</v>
      </c>
      <c r="E468" s="869" t="s">
        <v>3414</v>
      </c>
      <c r="F468" s="869" t="s">
        <v>3415</v>
      </c>
      <c r="G468" s="1200">
        <v>958909</v>
      </c>
      <c r="H468" s="869" t="s">
        <v>112</v>
      </c>
      <c r="I468" s="870">
        <v>43427</v>
      </c>
      <c r="J468" s="870">
        <v>43434</v>
      </c>
      <c r="K468" s="869" t="s">
        <v>2496</v>
      </c>
      <c r="L468" s="1200">
        <v>847790</v>
      </c>
      <c r="M468" s="1200">
        <v>1025828</v>
      </c>
      <c r="N468" s="869"/>
      <c r="O468" s="869"/>
      <c r="P468" s="869"/>
      <c r="Q468" s="869"/>
      <c r="R468" s="801"/>
      <c r="S468" s="374"/>
      <c r="T468" s="374"/>
      <c r="U468" s="374"/>
      <c r="V468" s="374"/>
      <c r="W468" s="374"/>
    </row>
    <row r="469" spans="1:23" s="1190" customFormat="1" ht="15.75" customHeight="1">
      <c r="A469" s="872" t="s">
        <v>3416</v>
      </c>
      <c r="B469" s="872" t="s">
        <v>58</v>
      </c>
      <c r="C469" s="872" t="s">
        <v>2684</v>
      </c>
      <c r="D469" s="873" t="s">
        <v>3417</v>
      </c>
      <c r="E469" s="872" t="s">
        <v>421</v>
      </c>
      <c r="F469" s="872" t="s">
        <v>3418</v>
      </c>
      <c r="G469" s="875">
        <v>438017</v>
      </c>
      <c r="H469" s="872" t="s">
        <v>112</v>
      </c>
      <c r="I469" s="874">
        <v>43427</v>
      </c>
      <c r="J469" s="874">
        <v>43434</v>
      </c>
      <c r="K469" s="876" t="s">
        <v>2635</v>
      </c>
      <c r="L469" s="875"/>
      <c r="M469" s="875"/>
      <c r="N469" s="872"/>
      <c r="O469" s="872"/>
      <c r="P469" s="872" t="s">
        <v>239</v>
      </c>
      <c r="Q469" s="872" t="s">
        <v>239</v>
      </c>
      <c r="R469" s="801"/>
      <c r="S469" s="374"/>
      <c r="T469" s="374"/>
      <c r="U469" s="374"/>
      <c r="V469" s="374"/>
      <c r="W469" s="374"/>
    </row>
    <row r="470" spans="1:23" s="1190" customFormat="1" ht="15.75" customHeight="1" thickBot="1">
      <c r="A470" s="925" t="s">
        <v>3419</v>
      </c>
      <c r="B470" s="925" t="s">
        <v>2434</v>
      </c>
      <c r="C470" s="925" t="s">
        <v>219</v>
      </c>
      <c r="D470" s="926" t="s">
        <v>3420</v>
      </c>
      <c r="E470" s="925" t="s">
        <v>642</v>
      </c>
      <c r="F470" s="925"/>
      <c r="G470" s="927">
        <v>2360000</v>
      </c>
      <c r="H470" s="925" t="s">
        <v>216</v>
      </c>
      <c r="I470" s="928">
        <v>43438</v>
      </c>
      <c r="J470" s="928">
        <v>43454</v>
      </c>
      <c r="K470" s="929" t="s">
        <v>3477</v>
      </c>
      <c r="L470" s="927"/>
      <c r="M470" s="927"/>
      <c r="N470" s="925"/>
      <c r="O470" s="925"/>
      <c r="P470" s="928">
        <v>43448</v>
      </c>
      <c r="Q470" s="925"/>
      <c r="R470" s="801"/>
      <c r="S470" s="374"/>
      <c r="T470" s="374"/>
      <c r="U470" s="374"/>
      <c r="V470" s="374"/>
      <c r="W470" s="374"/>
    </row>
    <row r="471" spans="1:23" s="1190" customFormat="1" ht="15.75" customHeight="1" thickTop="1">
      <c r="A471" s="1045" t="s">
        <v>3441</v>
      </c>
      <c r="B471" s="1045" t="s">
        <v>69</v>
      </c>
      <c r="C471" s="1045" t="s">
        <v>70</v>
      </c>
      <c r="D471" s="770" t="s">
        <v>2417</v>
      </c>
      <c r="E471" s="1045" t="s">
        <v>2418</v>
      </c>
      <c r="F471" s="1045"/>
      <c r="G471" s="1046">
        <v>544671</v>
      </c>
      <c r="H471" s="1045" t="s">
        <v>251</v>
      </c>
      <c r="I471" s="1047">
        <v>43451</v>
      </c>
      <c r="J471" s="1047">
        <v>43483</v>
      </c>
      <c r="K471" s="1045"/>
      <c r="L471" s="1046"/>
      <c r="M471" s="1046"/>
      <c r="N471" s="1045"/>
      <c r="O471" s="1045"/>
      <c r="P471" s="1045"/>
      <c r="Q471" s="1045"/>
      <c r="R471" s="801"/>
      <c r="S471" s="374"/>
      <c r="T471" s="374"/>
      <c r="U471" s="374"/>
      <c r="V471" s="374"/>
      <c r="W471" s="374"/>
    </row>
    <row r="472" spans="1:23" s="1190" customFormat="1" ht="15.75" customHeight="1">
      <c r="A472" s="853" t="s">
        <v>3441</v>
      </c>
      <c r="B472" s="853" t="s">
        <v>69</v>
      </c>
      <c r="C472" s="853" t="s">
        <v>70</v>
      </c>
      <c r="D472" s="771" t="s">
        <v>2419</v>
      </c>
      <c r="E472" s="853" t="s">
        <v>2418</v>
      </c>
      <c r="F472" s="853"/>
      <c r="G472" s="854">
        <v>7039638</v>
      </c>
      <c r="H472" s="853" t="s">
        <v>251</v>
      </c>
      <c r="I472" s="855">
        <v>43451</v>
      </c>
      <c r="J472" s="855">
        <v>43483</v>
      </c>
      <c r="K472" s="853"/>
      <c r="L472" s="854"/>
      <c r="M472" s="854"/>
      <c r="N472" s="853"/>
      <c r="O472" s="853"/>
      <c r="P472" s="853"/>
      <c r="Q472" s="853"/>
      <c r="R472" s="801"/>
      <c r="S472" s="374"/>
      <c r="T472" s="374"/>
      <c r="U472" s="374"/>
      <c r="V472" s="374"/>
      <c r="W472" s="374"/>
    </row>
    <row r="473" spans="1:23" s="1190" customFormat="1" ht="15.75" customHeight="1">
      <c r="A473" s="853" t="s">
        <v>3441</v>
      </c>
      <c r="B473" s="853" t="s">
        <v>69</v>
      </c>
      <c r="C473" s="853" t="s">
        <v>70</v>
      </c>
      <c r="D473" s="771" t="s">
        <v>2420</v>
      </c>
      <c r="E473" s="853" t="s">
        <v>2418</v>
      </c>
      <c r="F473" s="853"/>
      <c r="G473" s="854">
        <v>149888.88</v>
      </c>
      <c r="H473" s="853" t="s">
        <v>251</v>
      </c>
      <c r="I473" s="855">
        <v>43451</v>
      </c>
      <c r="J473" s="855">
        <v>43483</v>
      </c>
      <c r="K473" s="853"/>
      <c r="L473" s="854"/>
      <c r="M473" s="854"/>
      <c r="N473" s="853"/>
      <c r="O473" s="853"/>
      <c r="P473" s="853"/>
      <c r="Q473" s="853"/>
      <c r="R473" s="801"/>
      <c r="S473" s="374"/>
      <c r="T473" s="374"/>
      <c r="U473" s="374"/>
      <c r="V473" s="374"/>
      <c r="W473" s="374"/>
    </row>
    <row r="474" spans="1:23" s="1190" customFormat="1" ht="15.75" customHeight="1">
      <c r="A474" s="853" t="s">
        <v>3441</v>
      </c>
      <c r="B474" s="853" t="s">
        <v>69</v>
      </c>
      <c r="C474" s="853" t="s">
        <v>70</v>
      </c>
      <c r="D474" s="771" t="s">
        <v>2421</v>
      </c>
      <c r="E474" s="853" t="s">
        <v>2418</v>
      </c>
      <c r="F474" s="853"/>
      <c r="G474" s="854">
        <v>3489447.06</v>
      </c>
      <c r="H474" s="853" t="s">
        <v>251</v>
      </c>
      <c r="I474" s="855">
        <v>43451</v>
      </c>
      <c r="J474" s="855">
        <v>43483</v>
      </c>
      <c r="K474" s="853"/>
      <c r="L474" s="854"/>
      <c r="M474" s="854"/>
      <c r="N474" s="853"/>
      <c r="O474" s="853"/>
      <c r="P474" s="853"/>
      <c r="Q474" s="853"/>
      <c r="R474" s="801"/>
      <c r="S474" s="374"/>
      <c r="T474" s="374"/>
      <c r="U474" s="374"/>
      <c r="V474" s="374"/>
      <c r="W474" s="374"/>
    </row>
    <row r="475" spans="1:23" s="1190" customFormat="1" ht="15.75" customHeight="1">
      <c r="A475" s="853" t="s">
        <v>3441</v>
      </c>
      <c r="B475" s="853" t="s">
        <v>69</v>
      </c>
      <c r="C475" s="853" t="s">
        <v>70</v>
      </c>
      <c r="D475" s="771" t="s">
        <v>2422</v>
      </c>
      <c r="E475" s="853" t="s">
        <v>2418</v>
      </c>
      <c r="F475" s="853"/>
      <c r="G475" s="854">
        <v>58090.2</v>
      </c>
      <c r="H475" s="853" t="s">
        <v>251</v>
      </c>
      <c r="I475" s="855">
        <v>43451</v>
      </c>
      <c r="J475" s="855">
        <v>43483</v>
      </c>
      <c r="K475" s="853"/>
      <c r="L475" s="854"/>
      <c r="M475" s="854"/>
      <c r="N475" s="853"/>
      <c r="O475" s="853"/>
      <c r="P475" s="853"/>
      <c r="Q475" s="853"/>
      <c r="R475" s="801"/>
      <c r="S475" s="374"/>
      <c r="T475" s="374"/>
      <c r="U475" s="374"/>
      <c r="V475" s="374"/>
      <c r="W475" s="374"/>
    </row>
    <row r="476" spans="1:23" s="1190" customFormat="1" ht="15.75" customHeight="1">
      <c r="A476" s="853" t="s">
        <v>3441</v>
      </c>
      <c r="B476" s="853" t="s">
        <v>69</v>
      </c>
      <c r="C476" s="853" t="s">
        <v>70</v>
      </c>
      <c r="D476" s="771" t="s">
        <v>2423</v>
      </c>
      <c r="E476" s="853" t="s">
        <v>2418</v>
      </c>
      <c r="F476" s="853"/>
      <c r="G476" s="854">
        <v>2148542.5499999998</v>
      </c>
      <c r="H476" s="853" t="s">
        <v>251</v>
      </c>
      <c r="I476" s="855">
        <v>43451</v>
      </c>
      <c r="J476" s="855">
        <v>43483</v>
      </c>
      <c r="K476" s="853"/>
      <c r="L476" s="854"/>
      <c r="M476" s="854"/>
      <c r="N476" s="853"/>
      <c r="O476" s="853"/>
      <c r="P476" s="853"/>
      <c r="Q476" s="853"/>
      <c r="R476" s="801"/>
      <c r="S476" s="374"/>
      <c r="T476" s="374"/>
      <c r="U476" s="374"/>
      <c r="V476" s="374"/>
      <c r="W476" s="374"/>
    </row>
    <row r="477" spans="1:23" s="1190" customFormat="1" ht="15.75" customHeight="1" thickBot="1">
      <c r="A477" s="1263" t="s">
        <v>3441</v>
      </c>
      <c r="B477" s="1263" t="s">
        <v>69</v>
      </c>
      <c r="C477" s="1263" t="s">
        <v>70</v>
      </c>
      <c r="D477" s="1264" t="s">
        <v>2424</v>
      </c>
      <c r="E477" s="1263" t="s">
        <v>2418</v>
      </c>
      <c r="F477" s="1263"/>
      <c r="G477" s="1265">
        <v>1998601.62</v>
      </c>
      <c r="H477" s="1263" t="s">
        <v>251</v>
      </c>
      <c r="I477" s="1266">
        <v>43451</v>
      </c>
      <c r="J477" s="1266">
        <v>43483</v>
      </c>
      <c r="K477" s="1263"/>
      <c r="L477" s="1265"/>
      <c r="M477" s="1265"/>
      <c r="N477" s="1263"/>
      <c r="O477" s="1263"/>
      <c r="P477" s="1263"/>
      <c r="Q477" s="1263"/>
      <c r="R477" s="801"/>
      <c r="S477" s="374"/>
      <c r="T477" s="374"/>
      <c r="U477" s="374"/>
      <c r="V477" s="374"/>
      <c r="W477" s="374"/>
    </row>
    <row r="478" spans="1:23" s="1190" customFormat="1" ht="15.75" customHeight="1" thickTop="1">
      <c r="A478" s="1028" t="s">
        <v>3421</v>
      </c>
      <c r="B478" s="1028" t="s">
        <v>58</v>
      </c>
      <c r="C478" s="1028" t="s">
        <v>2684</v>
      </c>
      <c r="D478" s="1029" t="s">
        <v>3422</v>
      </c>
      <c r="E478" s="1028" t="s">
        <v>3423</v>
      </c>
      <c r="F478" s="1028" t="s">
        <v>3424</v>
      </c>
      <c r="G478" s="1034">
        <v>1024794</v>
      </c>
      <c r="H478" s="1028" t="s">
        <v>112</v>
      </c>
      <c r="I478" s="1030">
        <v>43438</v>
      </c>
      <c r="J478" s="1030">
        <v>43446</v>
      </c>
      <c r="K478" s="1028" t="s">
        <v>3482</v>
      </c>
      <c r="L478" s="1034">
        <v>1025350</v>
      </c>
      <c r="M478" s="1034">
        <v>1240673.5</v>
      </c>
      <c r="N478" s="1028"/>
      <c r="O478" s="1028"/>
      <c r="P478" s="1028"/>
      <c r="Q478" s="1028"/>
      <c r="R478" s="801"/>
      <c r="S478" s="374"/>
      <c r="T478" s="374"/>
      <c r="U478" s="374"/>
      <c r="V478" s="374"/>
      <c r="W478" s="374"/>
    </row>
    <row r="479" spans="1:23" s="1190" customFormat="1" ht="15.75" customHeight="1">
      <c r="A479" s="872" t="s">
        <v>3425</v>
      </c>
      <c r="B479" s="872" t="s">
        <v>58</v>
      </c>
      <c r="C479" s="872" t="s">
        <v>2684</v>
      </c>
      <c r="D479" s="873" t="s">
        <v>3454</v>
      </c>
      <c r="E479" s="872" t="s">
        <v>1924</v>
      </c>
      <c r="F479" s="1354" t="s">
        <v>3456</v>
      </c>
      <c r="G479" s="875">
        <v>180000</v>
      </c>
      <c r="H479" s="872" t="s">
        <v>112</v>
      </c>
      <c r="I479" s="874">
        <v>43441</v>
      </c>
      <c r="J479" s="874">
        <v>43455</v>
      </c>
      <c r="K479" s="876" t="s">
        <v>304</v>
      </c>
      <c r="L479" s="875"/>
      <c r="M479" s="875"/>
      <c r="N479" s="872"/>
      <c r="O479" s="872"/>
      <c r="P479" s="874">
        <v>43475</v>
      </c>
      <c r="Q479" s="872"/>
      <c r="R479" s="801"/>
      <c r="S479" s="374"/>
      <c r="T479" s="374"/>
      <c r="U479" s="374"/>
      <c r="V479" s="374"/>
      <c r="W479" s="374"/>
    </row>
    <row r="480" spans="1:23" s="1190" customFormat="1" ht="15.75" customHeight="1" thickBot="1">
      <c r="A480" s="1292" t="s">
        <v>3425</v>
      </c>
      <c r="B480" s="1292" t="s">
        <v>1897</v>
      </c>
      <c r="C480" s="1292" t="s">
        <v>2684</v>
      </c>
      <c r="D480" s="1293" t="s">
        <v>3455</v>
      </c>
      <c r="E480" s="1292" t="s">
        <v>1924</v>
      </c>
      <c r="F480" s="1353" t="s">
        <v>3456</v>
      </c>
      <c r="G480" s="1294">
        <v>769000</v>
      </c>
      <c r="H480" s="1292" t="s">
        <v>112</v>
      </c>
      <c r="I480" s="1295">
        <v>43441</v>
      </c>
      <c r="J480" s="1295">
        <v>43455</v>
      </c>
      <c r="K480" s="1292" t="s">
        <v>2108</v>
      </c>
      <c r="L480" s="1294">
        <v>577000</v>
      </c>
      <c r="M480" s="1294">
        <v>698170</v>
      </c>
      <c r="N480" s="1292"/>
      <c r="O480" s="1292"/>
      <c r="P480" s="1292"/>
      <c r="Q480" s="1292"/>
      <c r="R480" s="801"/>
      <c r="S480" s="374"/>
      <c r="T480" s="374"/>
      <c r="U480" s="374"/>
      <c r="V480" s="374"/>
      <c r="W480" s="374"/>
    </row>
    <row r="481" spans="1:23" s="1190" customFormat="1" ht="15.75" customHeight="1" thickTop="1">
      <c r="A481" s="1045" t="s">
        <v>3426</v>
      </c>
      <c r="B481" s="1045" t="s">
        <v>69</v>
      </c>
      <c r="C481" s="1045" t="s">
        <v>70</v>
      </c>
      <c r="D481" s="770" t="s">
        <v>3427</v>
      </c>
      <c r="E481" s="1045" t="s">
        <v>3435</v>
      </c>
      <c r="F481" s="1045"/>
      <c r="G481" s="1046">
        <v>7413897</v>
      </c>
      <c r="H481" s="1045" t="s">
        <v>251</v>
      </c>
      <c r="I481" s="1047">
        <v>43439</v>
      </c>
      <c r="J481" s="1047">
        <v>43473</v>
      </c>
      <c r="K481" s="1045"/>
      <c r="L481" s="1046"/>
      <c r="M481" s="1046"/>
      <c r="N481" s="1045"/>
      <c r="O481" s="1045"/>
      <c r="P481" s="1045"/>
      <c r="Q481" s="1045"/>
      <c r="R481" s="801"/>
      <c r="S481" s="374"/>
      <c r="T481" s="374"/>
      <c r="U481" s="374"/>
      <c r="V481" s="374"/>
      <c r="W481" s="374"/>
    </row>
    <row r="482" spans="1:23" s="1190" customFormat="1" ht="15.75" customHeight="1">
      <c r="A482" s="853" t="s">
        <v>3426</v>
      </c>
      <c r="B482" s="853" t="s">
        <v>69</v>
      </c>
      <c r="C482" s="853" t="s">
        <v>70</v>
      </c>
      <c r="D482" s="771" t="s">
        <v>3428</v>
      </c>
      <c r="E482" s="853" t="s">
        <v>3436</v>
      </c>
      <c r="F482" s="853"/>
      <c r="G482" s="854">
        <v>2433774</v>
      </c>
      <c r="H482" s="853" t="s">
        <v>251</v>
      </c>
      <c r="I482" s="855">
        <v>43439</v>
      </c>
      <c r="J482" s="855">
        <v>43473</v>
      </c>
      <c r="K482" s="853"/>
      <c r="L482" s="854"/>
      <c r="M482" s="854"/>
      <c r="N482" s="853"/>
      <c r="O482" s="853"/>
      <c r="P482" s="853"/>
      <c r="Q482" s="853"/>
      <c r="R482" s="801"/>
      <c r="S482" s="374"/>
      <c r="T482" s="374"/>
      <c r="U482" s="374"/>
      <c r="V482" s="374"/>
      <c r="W482" s="374"/>
    </row>
    <row r="483" spans="1:23" s="1190" customFormat="1" ht="15.75" customHeight="1">
      <c r="A483" s="853" t="s">
        <v>3426</v>
      </c>
      <c r="B483" s="853" t="s">
        <v>69</v>
      </c>
      <c r="C483" s="853" t="s">
        <v>70</v>
      </c>
      <c r="D483" s="771" t="s">
        <v>3429</v>
      </c>
      <c r="E483" s="853" t="s">
        <v>3436</v>
      </c>
      <c r="F483" s="853"/>
      <c r="G483" s="854">
        <v>28298912</v>
      </c>
      <c r="H483" s="853" t="s">
        <v>251</v>
      </c>
      <c r="I483" s="855">
        <v>43439</v>
      </c>
      <c r="J483" s="855">
        <v>43473</v>
      </c>
      <c r="K483" s="853"/>
      <c r="L483" s="854"/>
      <c r="M483" s="854"/>
      <c r="N483" s="853"/>
      <c r="O483" s="853"/>
      <c r="P483" s="853"/>
      <c r="Q483" s="853"/>
      <c r="R483" s="801"/>
      <c r="S483" s="374"/>
      <c r="T483" s="374"/>
      <c r="U483" s="374"/>
      <c r="V483" s="374"/>
      <c r="W483" s="374"/>
    </row>
    <row r="484" spans="1:23" s="1190" customFormat="1" ht="15.75" customHeight="1">
      <c r="A484" s="853" t="s">
        <v>3426</v>
      </c>
      <c r="B484" s="853" t="s">
        <v>69</v>
      </c>
      <c r="C484" s="853" t="s">
        <v>70</v>
      </c>
      <c r="D484" s="771" t="s">
        <v>3430</v>
      </c>
      <c r="E484" s="853" t="s">
        <v>3437</v>
      </c>
      <c r="F484" s="853"/>
      <c r="G484" s="854">
        <v>3364809</v>
      </c>
      <c r="H484" s="853" t="s">
        <v>251</v>
      </c>
      <c r="I484" s="855">
        <v>43439</v>
      </c>
      <c r="J484" s="855">
        <v>43473</v>
      </c>
      <c r="K484" s="853"/>
      <c r="L484" s="854"/>
      <c r="M484" s="854"/>
      <c r="N484" s="853"/>
      <c r="O484" s="853"/>
      <c r="P484" s="853"/>
      <c r="Q484" s="853"/>
      <c r="R484" s="801"/>
      <c r="S484" s="374"/>
      <c r="T484" s="374"/>
      <c r="U484" s="374"/>
      <c r="V484" s="374"/>
      <c r="W484" s="374"/>
    </row>
    <row r="485" spans="1:23" s="1190" customFormat="1" ht="15.75" customHeight="1">
      <c r="A485" s="853" t="s">
        <v>3426</v>
      </c>
      <c r="B485" s="853" t="s">
        <v>69</v>
      </c>
      <c r="C485" s="853" t="s">
        <v>70</v>
      </c>
      <c r="D485" s="771" t="s">
        <v>3431</v>
      </c>
      <c r="E485" s="853" t="s">
        <v>3437</v>
      </c>
      <c r="F485" s="853"/>
      <c r="G485" s="854">
        <v>8895944</v>
      </c>
      <c r="H485" s="853" t="s">
        <v>251</v>
      </c>
      <c r="I485" s="855">
        <v>43439</v>
      </c>
      <c r="J485" s="855">
        <v>43473</v>
      </c>
      <c r="K485" s="853"/>
      <c r="L485" s="854"/>
      <c r="M485" s="854"/>
      <c r="N485" s="853"/>
      <c r="O485" s="853"/>
      <c r="P485" s="853"/>
      <c r="Q485" s="853"/>
      <c r="R485" s="801"/>
      <c r="S485" s="374"/>
      <c r="T485" s="374"/>
      <c r="U485" s="374"/>
      <c r="V485" s="374"/>
      <c r="W485" s="374"/>
    </row>
    <row r="486" spans="1:23" s="1190" customFormat="1" ht="15.75" customHeight="1" thickBot="1">
      <c r="A486" s="1263" t="s">
        <v>3426</v>
      </c>
      <c r="B486" s="1263" t="s">
        <v>69</v>
      </c>
      <c r="C486" s="1263" t="s">
        <v>70</v>
      </c>
      <c r="D486" s="1264" t="s">
        <v>3432</v>
      </c>
      <c r="E486" s="1263" t="s">
        <v>3438</v>
      </c>
      <c r="F486" s="1263"/>
      <c r="G486" s="1265">
        <v>9364240</v>
      </c>
      <c r="H486" s="1263" t="s">
        <v>251</v>
      </c>
      <c r="I486" s="1266">
        <v>43439</v>
      </c>
      <c r="J486" s="1266">
        <v>43473</v>
      </c>
      <c r="K486" s="1263"/>
      <c r="L486" s="1265"/>
      <c r="M486" s="1265"/>
      <c r="N486" s="1263"/>
      <c r="O486" s="1263"/>
      <c r="P486" s="1263"/>
      <c r="Q486" s="1263"/>
      <c r="R486" s="801"/>
      <c r="S486" s="374"/>
      <c r="T486" s="374"/>
      <c r="U486" s="374"/>
      <c r="V486" s="374"/>
      <c r="W486" s="374"/>
    </row>
    <row r="487" spans="1:23" s="1190" customFormat="1" ht="15.75" customHeight="1" thickTop="1">
      <c r="A487" s="1028" t="s">
        <v>3433</v>
      </c>
      <c r="B487" s="1028" t="s">
        <v>52</v>
      </c>
      <c r="C487" s="1028" t="s">
        <v>3089</v>
      </c>
      <c r="D487" s="1029" t="s">
        <v>3434</v>
      </c>
      <c r="E487" s="1028" t="s">
        <v>33</v>
      </c>
      <c r="F487" s="1028" t="s">
        <v>2594</v>
      </c>
      <c r="G487" s="1034">
        <v>9500000</v>
      </c>
      <c r="H487" s="1028" t="s">
        <v>216</v>
      </c>
      <c r="I487" s="1030">
        <v>43440</v>
      </c>
      <c r="J487" s="1030">
        <v>43461</v>
      </c>
      <c r="K487" s="1028" t="s">
        <v>3503</v>
      </c>
      <c r="L487" s="1034">
        <v>8266536</v>
      </c>
      <c r="M487" s="1034">
        <v>10002508</v>
      </c>
      <c r="N487" s="1028"/>
      <c r="O487" s="1028"/>
      <c r="P487" s="1028"/>
      <c r="Q487" s="1028"/>
      <c r="R487" s="801"/>
      <c r="S487" s="374"/>
      <c r="T487" s="374"/>
      <c r="U487" s="374"/>
      <c r="V487" s="374"/>
      <c r="W487" s="374"/>
    </row>
    <row r="488" spans="1:23" s="1190" customFormat="1" ht="15.75" customHeight="1">
      <c r="A488" s="853" t="s">
        <v>3442</v>
      </c>
      <c r="B488" s="853" t="s">
        <v>2111</v>
      </c>
      <c r="C488" s="853" t="s">
        <v>1215</v>
      </c>
      <c r="D488" s="771" t="s">
        <v>3443</v>
      </c>
      <c r="E488" s="853" t="s">
        <v>2824</v>
      </c>
      <c r="F488" s="853"/>
      <c r="G488" s="854">
        <v>1900000</v>
      </c>
      <c r="H488" s="853" t="s">
        <v>112</v>
      </c>
      <c r="I488" s="855">
        <v>43454</v>
      </c>
      <c r="J488" s="855">
        <v>43476</v>
      </c>
      <c r="K488" s="853"/>
      <c r="L488" s="854"/>
      <c r="M488" s="854"/>
      <c r="N488" s="853"/>
      <c r="O488" s="853"/>
      <c r="P488" s="853"/>
      <c r="Q488" s="853"/>
      <c r="R488" s="801"/>
      <c r="S488" s="374"/>
      <c r="T488" s="374"/>
      <c r="U488" s="374"/>
      <c r="V488" s="374"/>
      <c r="W488" s="374"/>
    </row>
    <row r="489" spans="1:23" s="1190" customFormat="1" ht="15.75" customHeight="1">
      <c r="A489" s="853" t="s">
        <v>3444</v>
      </c>
      <c r="B489" s="853" t="s">
        <v>69</v>
      </c>
      <c r="C489" s="853" t="s">
        <v>70</v>
      </c>
      <c r="D489" s="771" t="s">
        <v>3445</v>
      </c>
      <c r="E489" s="853" t="s">
        <v>3451</v>
      </c>
      <c r="F489" s="853"/>
      <c r="G489" s="854">
        <v>1360716</v>
      </c>
      <c r="H489" s="853" t="s">
        <v>251</v>
      </c>
      <c r="I489" s="855">
        <v>43439</v>
      </c>
      <c r="J489" s="855">
        <v>43474</v>
      </c>
      <c r="K489" s="853"/>
      <c r="L489" s="854"/>
      <c r="M489" s="854"/>
      <c r="N489" s="853"/>
      <c r="O489" s="853"/>
      <c r="P489" s="853"/>
      <c r="Q489" s="853"/>
      <c r="R489" s="801"/>
      <c r="S489" s="374"/>
      <c r="T489" s="374"/>
      <c r="U489" s="374"/>
      <c r="V489" s="374"/>
      <c r="W489" s="374"/>
    </row>
    <row r="490" spans="1:23" s="1190" customFormat="1" ht="15.75" customHeight="1">
      <c r="A490" s="853" t="s">
        <v>3444</v>
      </c>
      <c r="B490" s="853" t="s">
        <v>69</v>
      </c>
      <c r="C490" s="853" t="s">
        <v>70</v>
      </c>
      <c r="D490" s="771" t="s">
        <v>3446</v>
      </c>
      <c r="E490" s="853" t="s">
        <v>3451</v>
      </c>
      <c r="F490" s="853"/>
      <c r="G490" s="854">
        <v>4808719</v>
      </c>
      <c r="H490" s="853" t="s">
        <v>251</v>
      </c>
      <c r="I490" s="855">
        <v>43439</v>
      </c>
      <c r="J490" s="855">
        <v>43474</v>
      </c>
      <c r="K490" s="853"/>
      <c r="L490" s="854"/>
      <c r="M490" s="854"/>
      <c r="N490" s="853"/>
      <c r="O490" s="853"/>
      <c r="P490" s="853"/>
      <c r="Q490" s="853"/>
      <c r="R490" s="801"/>
      <c r="S490" s="374"/>
      <c r="T490" s="374"/>
      <c r="U490" s="374"/>
      <c r="V490" s="374"/>
      <c r="W490" s="374"/>
    </row>
    <row r="491" spans="1:23" s="1190" customFormat="1" ht="15.75" customHeight="1">
      <c r="A491" s="853" t="s">
        <v>3444</v>
      </c>
      <c r="B491" s="853" t="s">
        <v>69</v>
      </c>
      <c r="C491" s="853" t="s">
        <v>70</v>
      </c>
      <c r="D491" s="771" t="s">
        <v>3447</v>
      </c>
      <c r="E491" s="853" t="s">
        <v>3451</v>
      </c>
      <c r="F491" s="853"/>
      <c r="G491" s="854">
        <v>1434358</v>
      </c>
      <c r="H491" s="853" t="s">
        <v>251</v>
      </c>
      <c r="I491" s="855">
        <v>43439</v>
      </c>
      <c r="J491" s="855">
        <v>43474</v>
      </c>
      <c r="K491" s="853"/>
      <c r="L491" s="854"/>
      <c r="M491" s="854"/>
      <c r="N491" s="853"/>
      <c r="O491" s="853"/>
      <c r="P491" s="853"/>
      <c r="Q491" s="853"/>
      <c r="R491" s="801"/>
      <c r="S491" s="374"/>
      <c r="T491" s="374"/>
      <c r="U491" s="374"/>
      <c r="V491" s="374"/>
      <c r="W491" s="374"/>
    </row>
    <row r="492" spans="1:23" s="1190" customFormat="1" ht="15.75" customHeight="1">
      <c r="A492" s="853" t="s">
        <v>3444</v>
      </c>
      <c r="B492" s="853" t="s">
        <v>69</v>
      </c>
      <c r="C492" s="853" t="s">
        <v>70</v>
      </c>
      <c r="D492" s="771" t="s">
        <v>3448</v>
      </c>
      <c r="E492" s="853" t="s">
        <v>3452</v>
      </c>
      <c r="F492" s="853"/>
      <c r="G492" s="854">
        <v>140033</v>
      </c>
      <c r="H492" s="853" t="s">
        <v>251</v>
      </c>
      <c r="I492" s="855">
        <v>43439</v>
      </c>
      <c r="J492" s="855">
        <v>43474</v>
      </c>
      <c r="K492" s="853"/>
      <c r="L492" s="854"/>
      <c r="M492" s="854"/>
      <c r="N492" s="853"/>
      <c r="O492" s="853"/>
      <c r="P492" s="853"/>
      <c r="Q492" s="853"/>
      <c r="R492" s="801"/>
      <c r="S492" s="374"/>
      <c r="T492" s="374"/>
      <c r="U492" s="374"/>
      <c r="V492" s="374"/>
      <c r="W492" s="374"/>
    </row>
    <row r="493" spans="1:23" s="1190" customFormat="1" ht="15.75" customHeight="1">
      <c r="A493" s="853" t="s">
        <v>3444</v>
      </c>
      <c r="B493" s="853" t="s">
        <v>69</v>
      </c>
      <c r="C493" s="853" t="s">
        <v>70</v>
      </c>
      <c r="D493" s="771" t="s">
        <v>3449</v>
      </c>
      <c r="E493" s="853" t="s">
        <v>3452</v>
      </c>
      <c r="F493" s="853"/>
      <c r="G493" s="854">
        <v>472992</v>
      </c>
      <c r="H493" s="853" t="s">
        <v>251</v>
      </c>
      <c r="I493" s="855">
        <v>43439</v>
      </c>
      <c r="J493" s="855">
        <v>43474</v>
      </c>
      <c r="K493" s="853"/>
      <c r="L493" s="854"/>
      <c r="M493" s="854"/>
      <c r="N493" s="853"/>
      <c r="O493" s="853"/>
      <c r="P493" s="853"/>
      <c r="Q493" s="853"/>
      <c r="R493" s="801"/>
      <c r="S493" s="374"/>
      <c r="T493" s="374"/>
      <c r="U493" s="374"/>
      <c r="V493" s="374"/>
      <c r="W493" s="374"/>
    </row>
    <row r="494" spans="1:23" s="1190" customFormat="1" ht="15.75" customHeight="1">
      <c r="A494" s="853" t="s">
        <v>3444</v>
      </c>
      <c r="B494" s="853" t="s">
        <v>69</v>
      </c>
      <c r="C494" s="853" t="s">
        <v>70</v>
      </c>
      <c r="D494" s="771" t="s">
        <v>3450</v>
      </c>
      <c r="E494" s="853" t="s">
        <v>3452</v>
      </c>
      <c r="F494" s="853"/>
      <c r="G494" s="854">
        <v>7845389</v>
      </c>
      <c r="H494" s="853" t="s">
        <v>251</v>
      </c>
      <c r="I494" s="855">
        <v>43439</v>
      </c>
      <c r="J494" s="855">
        <v>43474</v>
      </c>
      <c r="K494" s="853"/>
      <c r="L494" s="854"/>
      <c r="M494" s="854"/>
      <c r="N494" s="853"/>
      <c r="O494" s="853"/>
      <c r="P494" s="853"/>
      <c r="Q494" s="853"/>
      <c r="R494" s="801"/>
      <c r="S494" s="374"/>
      <c r="T494" s="374"/>
      <c r="U494" s="374"/>
      <c r="V494" s="374"/>
      <c r="W494" s="374"/>
    </row>
    <row r="495" spans="1:23" s="1190" customFormat="1" ht="15.75" customHeight="1">
      <c r="A495" s="853" t="s">
        <v>3460</v>
      </c>
      <c r="B495" s="853" t="s">
        <v>166</v>
      </c>
      <c r="C495" s="853" t="s">
        <v>167</v>
      </c>
      <c r="D495" s="771" t="s">
        <v>3461</v>
      </c>
      <c r="E495" s="853" t="s">
        <v>498</v>
      </c>
      <c r="F495" s="853"/>
      <c r="G495" s="854">
        <v>500000</v>
      </c>
      <c r="H495" s="853" t="s">
        <v>112</v>
      </c>
      <c r="I495" s="855">
        <v>43447</v>
      </c>
      <c r="J495" s="855">
        <v>43469</v>
      </c>
      <c r="K495" s="853"/>
      <c r="L495" s="854"/>
      <c r="M495" s="854"/>
      <c r="N495" s="853"/>
      <c r="O495" s="853"/>
      <c r="P495" s="853"/>
      <c r="Q495" s="853"/>
      <c r="R495" s="801"/>
      <c r="S495" s="374"/>
      <c r="T495" s="374"/>
      <c r="U495" s="374"/>
      <c r="V495" s="374"/>
      <c r="W495" s="374"/>
    </row>
    <row r="496" spans="1:23" s="1190" customFormat="1" ht="15.75" customHeight="1">
      <c r="A496" s="853" t="s">
        <v>3462</v>
      </c>
      <c r="B496" s="853" t="s">
        <v>69</v>
      </c>
      <c r="C496" s="853" t="s">
        <v>70</v>
      </c>
      <c r="D496" s="771" t="s">
        <v>3465</v>
      </c>
      <c r="E496" s="853" t="s">
        <v>72</v>
      </c>
      <c r="F496" s="853"/>
      <c r="G496" s="854">
        <v>12688472</v>
      </c>
      <c r="H496" s="853" t="s">
        <v>251</v>
      </c>
      <c r="I496" s="855">
        <v>43447</v>
      </c>
      <c r="J496" s="855">
        <v>43482</v>
      </c>
      <c r="K496" s="853"/>
      <c r="L496" s="854"/>
      <c r="M496" s="854"/>
      <c r="N496" s="853"/>
      <c r="O496" s="853"/>
      <c r="P496" s="853"/>
      <c r="Q496" s="853"/>
      <c r="R496" s="801"/>
      <c r="S496" s="374"/>
      <c r="T496" s="374"/>
      <c r="U496" s="374"/>
      <c r="V496" s="374"/>
      <c r="W496" s="374"/>
    </row>
    <row r="497" spans="1:23" s="1190" customFormat="1" ht="15.75" customHeight="1">
      <c r="A497" s="853" t="s">
        <v>3462</v>
      </c>
      <c r="B497" s="853" t="s">
        <v>69</v>
      </c>
      <c r="C497" s="853" t="s">
        <v>70</v>
      </c>
      <c r="D497" s="771" t="s">
        <v>3466</v>
      </c>
      <c r="E497" s="853" t="s">
        <v>72</v>
      </c>
      <c r="F497" s="853"/>
      <c r="G497" s="854">
        <v>2543217</v>
      </c>
      <c r="H497" s="853" t="s">
        <v>251</v>
      </c>
      <c r="I497" s="855">
        <v>43447</v>
      </c>
      <c r="J497" s="855">
        <v>43482</v>
      </c>
      <c r="K497" s="853"/>
      <c r="L497" s="854"/>
      <c r="M497" s="854"/>
      <c r="N497" s="853"/>
      <c r="O497" s="853"/>
      <c r="P497" s="853"/>
      <c r="Q497" s="853"/>
      <c r="R497" s="801"/>
      <c r="S497" s="374"/>
      <c r="T497" s="374"/>
      <c r="U497" s="374"/>
      <c r="V497" s="374"/>
      <c r="W497" s="374"/>
    </row>
    <row r="498" spans="1:23" s="1190" customFormat="1" ht="15.75" customHeight="1">
      <c r="A498" s="869" t="s">
        <v>3463</v>
      </c>
      <c r="B498" s="869" t="s">
        <v>2434</v>
      </c>
      <c r="C498" s="869" t="s">
        <v>219</v>
      </c>
      <c r="D498" s="856" t="s">
        <v>3464</v>
      </c>
      <c r="E498" s="869" t="s">
        <v>642</v>
      </c>
      <c r="F498" s="869"/>
      <c r="G498" s="1200">
        <v>946000</v>
      </c>
      <c r="H498" s="869" t="s">
        <v>112</v>
      </c>
      <c r="I498" s="870">
        <v>43445</v>
      </c>
      <c r="J498" s="870">
        <v>43454</v>
      </c>
      <c r="K498" s="869"/>
      <c r="L498" s="1200"/>
      <c r="M498" s="1200"/>
      <c r="N498" s="869"/>
      <c r="O498" s="869"/>
      <c r="P498" s="869"/>
      <c r="Q498" s="869"/>
      <c r="R498" s="801"/>
      <c r="S498" s="374"/>
      <c r="T498" s="374"/>
      <c r="U498" s="374"/>
      <c r="V498" s="374"/>
      <c r="W498" s="374"/>
    </row>
    <row r="499" spans="1:23" s="1190" customFormat="1" ht="15.75" customHeight="1">
      <c r="A499" s="801" t="s">
        <v>3469</v>
      </c>
      <c r="B499" s="801" t="s">
        <v>1700</v>
      </c>
      <c r="C499" s="801" t="s">
        <v>1699</v>
      </c>
      <c r="D499" s="1347" t="s">
        <v>3470</v>
      </c>
      <c r="E499" s="1078" t="s">
        <v>86</v>
      </c>
      <c r="F499" s="801" t="s">
        <v>3471</v>
      </c>
      <c r="G499" s="803">
        <v>435534.46</v>
      </c>
      <c r="H499" s="801" t="s">
        <v>251</v>
      </c>
      <c r="I499" s="801"/>
      <c r="J499" s="801"/>
      <c r="K499" s="801"/>
      <c r="L499" s="803"/>
      <c r="M499" s="803"/>
      <c r="N499" s="801"/>
      <c r="O499" s="801"/>
      <c r="P499" s="801"/>
      <c r="Q499" s="801"/>
      <c r="R499" s="801"/>
      <c r="S499" s="374"/>
      <c r="T499" s="374"/>
      <c r="U499" s="374"/>
      <c r="V499" s="374"/>
      <c r="W499" s="374"/>
    </row>
    <row r="500" spans="1:23" s="1190" customFormat="1" ht="15.75" customHeight="1">
      <c r="A500" s="853" t="s">
        <v>3473</v>
      </c>
      <c r="B500" s="853" t="s">
        <v>1032</v>
      </c>
      <c r="C500" s="853" t="s">
        <v>361</v>
      </c>
      <c r="D500" s="771" t="s">
        <v>3475</v>
      </c>
      <c r="E500" s="853" t="s">
        <v>487</v>
      </c>
      <c r="F500" s="853" t="s">
        <v>3476</v>
      </c>
      <c r="G500" s="854">
        <v>330000</v>
      </c>
      <c r="H500" s="853" t="s">
        <v>112</v>
      </c>
      <c r="I500" s="855">
        <v>43451</v>
      </c>
      <c r="J500" s="855">
        <v>43469</v>
      </c>
      <c r="K500" s="853"/>
      <c r="L500" s="854"/>
      <c r="M500" s="854"/>
      <c r="N500" s="853"/>
      <c r="O500" s="853"/>
      <c r="P500" s="853"/>
      <c r="Q500" s="853"/>
      <c r="R500" s="801"/>
      <c r="S500" s="374"/>
      <c r="T500" s="374"/>
      <c r="U500" s="374"/>
      <c r="V500" s="374"/>
      <c r="W500" s="374"/>
    </row>
    <row r="501" spans="1:23" s="1190" customFormat="1" ht="15.75" customHeight="1">
      <c r="A501" s="869" t="s">
        <v>3472</v>
      </c>
      <c r="B501" s="869" t="s">
        <v>52</v>
      </c>
      <c r="C501" s="869" t="s">
        <v>2588</v>
      </c>
      <c r="D501" s="856" t="s">
        <v>3474</v>
      </c>
      <c r="E501" s="869" t="s">
        <v>332</v>
      </c>
      <c r="F501" s="869" t="s">
        <v>2361</v>
      </c>
      <c r="G501" s="1200">
        <v>1950000</v>
      </c>
      <c r="H501" s="869" t="s">
        <v>112</v>
      </c>
      <c r="I501" s="870">
        <v>43448</v>
      </c>
      <c r="J501" s="870">
        <v>43462</v>
      </c>
      <c r="K501" s="869" t="s">
        <v>3500</v>
      </c>
      <c r="L501" s="1200">
        <v>1700000</v>
      </c>
      <c r="M501" s="1200">
        <v>2057000</v>
      </c>
      <c r="N501" s="869"/>
      <c r="O501" s="869"/>
      <c r="P501" s="869"/>
      <c r="Q501" s="869"/>
      <c r="R501" s="801"/>
      <c r="S501" s="374"/>
      <c r="T501" s="374"/>
      <c r="U501" s="374"/>
      <c r="V501" s="374"/>
      <c r="W501" s="374"/>
    </row>
    <row r="502" spans="1:23" s="1190" customFormat="1" ht="15.75" customHeight="1">
      <c r="A502" s="801"/>
      <c r="B502" s="801"/>
      <c r="C502" s="801"/>
      <c r="D502" s="1349"/>
      <c r="E502" s="1078"/>
      <c r="F502" s="801"/>
      <c r="G502" s="803"/>
      <c r="H502" s="801"/>
      <c r="I502" s="801"/>
      <c r="J502" s="801"/>
      <c r="K502" s="801"/>
      <c r="L502" s="803"/>
      <c r="M502" s="803"/>
      <c r="N502" s="801"/>
      <c r="O502" s="801"/>
      <c r="P502" s="801"/>
      <c r="Q502" s="801"/>
      <c r="R502" s="801"/>
      <c r="S502" s="374"/>
      <c r="T502" s="374"/>
      <c r="U502" s="374"/>
      <c r="V502" s="374"/>
      <c r="W502" s="374"/>
    </row>
    <row r="503" spans="1:23" s="1190" customFormat="1" ht="15.75" customHeight="1">
      <c r="A503" s="801"/>
      <c r="B503" s="801"/>
      <c r="C503" s="801"/>
      <c r="D503" s="1320"/>
      <c r="E503" s="1078"/>
      <c r="F503" s="801"/>
      <c r="G503" s="803"/>
      <c r="H503" s="801"/>
      <c r="I503" s="801"/>
      <c r="J503" s="801"/>
      <c r="K503" s="801"/>
      <c r="L503" s="803"/>
      <c r="M503" s="803"/>
      <c r="N503" s="801"/>
      <c r="O503" s="801"/>
      <c r="P503" s="801"/>
      <c r="Q503" s="801"/>
      <c r="R503" s="801"/>
      <c r="S503" s="374"/>
      <c r="T503" s="374"/>
      <c r="U503" s="374"/>
      <c r="V503" s="374"/>
      <c r="W503" s="374"/>
    </row>
    <row r="504" spans="1:23" s="1190" customFormat="1" ht="15.75" customHeight="1">
      <c r="A504" s="801"/>
      <c r="B504" s="801"/>
      <c r="C504" s="801"/>
      <c r="D504" s="1320"/>
      <c r="E504" s="1078"/>
      <c r="F504" s="801"/>
      <c r="G504" s="803"/>
      <c r="H504" s="801"/>
      <c r="I504" s="801"/>
      <c r="J504" s="801"/>
      <c r="K504" s="801"/>
      <c r="L504" s="803"/>
      <c r="M504" s="803"/>
      <c r="N504" s="801"/>
      <c r="O504" s="801"/>
      <c r="P504" s="801"/>
      <c r="Q504" s="801"/>
      <c r="R504" s="801"/>
      <c r="S504" s="374"/>
      <c r="T504" s="374"/>
      <c r="U504" s="374"/>
      <c r="V504" s="374"/>
      <c r="W504" s="374"/>
    </row>
    <row r="505" spans="1:23" s="1190" customFormat="1" ht="15.75" customHeight="1">
      <c r="A505" s="801"/>
      <c r="B505" s="801"/>
      <c r="C505" s="801"/>
      <c r="D505" s="1320"/>
      <c r="E505" s="1078"/>
      <c r="F505" s="801"/>
      <c r="G505" s="803"/>
      <c r="H505" s="801"/>
      <c r="I505" s="801"/>
      <c r="J505" s="801"/>
      <c r="K505" s="801"/>
      <c r="L505" s="803"/>
      <c r="M505" s="803"/>
      <c r="N505" s="801"/>
      <c r="O505" s="801"/>
      <c r="P505" s="801"/>
      <c r="Q505" s="801"/>
      <c r="R505" s="801"/>
      <c r="S505" s="374"/>
      <c r="T505" s="374"/>
      <c r="U505" s="374"/>
      <c r="V505" s="374"/>
      <c r="W505" s="374"/>
    </row>
    <row r="506" spans="1:23" s="1190" customFormat="1" ht="15.75" customHeight="1">
      <c r="A506" s="801"/>
      <c r="B506" s="801"/>
      <c r="C506" s="801"/>
      <c r="D506" s="1320"/>
      <c r="E506" s="1078"/>
      <c r="F506" s="801"/>
      <c r="G506" s="803"/>
      <c r="H506" s="801"/>
      <c r="I506" s="801"/>
      <c r="J506" s="801"/>
      <c r="K506" s="801"/>
      <c r="L506" s="803"/>
      <c r="M506" s="803"/>
      <c r="N506" s="801"/>
      <c r="O506" s="801"/>
      <c r="P506" s="801"/>
      <c r="Q506" s="801"/>
      <c r="R506" s="801"/>
      <c r="S506" s="374"/>
      <c r="T506" s="374"/>
      <c r="U506" s="374"/>
      <c r="V506" s="374"/>
      <c r="W506" s="374"/>
    </row>
    <row r="507" spans="1:23" s="1190" customFormat="1" ht="15.75" customHeight="1">
      <c r="A507" s="801"/>
      <c r="B507" s="801"/>
      <c r="C507" s="801"/>
      <c r="D507" s="1320"/>
      <c r="E507" s="1078"/>
      <c r="F507" s="801"/>
      <c r="G507" s="803"/>
      <c r="H507" s="801"/>
      <c r="I507" s="801"/>
      <c r="J507" s="801"/>
      <c r="K507" s="801"/>
      <c r="L507" s="803"/>
      <c r="M507" s="803"/>
      <c r="N507" s="801"/>
      <c r="O507" s="801"/>
      <c r="P507" s="801"/>
      <c r="Q507" s="801"/>
      <c r="R507" s="801"/>
      <c r="S507" s="374"/>
      <c r="T507" s="374"/>
      <c r="U507" s="374"/>
      <c r="V507" s="374"/>
      <c r="W507" s="374"/>
    </row>
    <row r="508" spans="1:23" s="1190" customFormat="1" ht="15.75" customHeight="1">
      <c r="A508" s="801"/>
      <c r="B508" s="801"/>
      <c r="C508" s="801"/>
      <c r="D508" s="1320"/>
      <c r="E508" s="1078"/>
      <c r="F508" s="801"/>
      <c r="G508" s="803"/>
      <c r="H508" s="801"/>
      <c r="I508" s="801"/>
      <c r="J508" s="801"/>
      <c r="K508" s="801"/>
      <c r="L508" s="803"/>
      <c r="M508" s="803"/>
      <c r="N508" s="801"/>
      <c r="O508" s="801"/>
      <c r="P508" s="801"/>
      <c r="Q508" s="801"/>
      <c r="R508" s="801"/>
      <c r="S508" s="374"/>
      <c r="T508" s="374"/>
      <c r="U508" s="374"/>
      <c r="V508" s="374"/>
      <c r="W508" s="374"/>
    </row>
    <row r="509" spans="1:23" s="1190" customFormat="1" ht="15.75" customHeight="1">
      <c r="A509" s="801"/>
      <c r="B509" s="801"/>
      <c r="C509" s="801"/>
      <c r="D509" s="1320"/>
      <c r="E509" s="1078"/>
      <c r="F509" s="801"/>
      <c r="G509" s="803"/>
      <c r="H509" s="801"/>
      <c r="I509" s="801"/>
      <c r="J509" s="801"/>
      <c r="K509" s="801"/>
      <c r="L509" s="803"/>
      <c r="M509" s="803"/>
      <c r="N509" s="801"/>
      <c r="O509" s="801"/>
      <c r="P509" s="801"/>
      <c r="Q509" s="801"/>
      <c r="R509" s="801"/>
      <c r="S509" s="374"/>
      <c r="T509" s="374"/>
      <c r="U509" s="374"/>
      <c r="V509" s="374"/>
      <c r="W509" s="374"/>
    </row>
    <row r="510" spans="1:23" s="1190" customFormat="1" ht="15.75" customHeight="1">
      <c r="A510" s="801"/>
      <c r="B510" s="801"/>
      <c r="C510" s="801"/>
      <c r="D510" s="1320"/>
      <c r="E510" s="1078"/>
      <c r="F510" s="801"/>
      <c r="G510" s="803"/>
      <c r="H510" s="801"/>
      <c r="I510" s="801"/>
      <c r="J510" s="801"/>
      <c r="K510" s="801"/>
      <c r="L510" s="803"/>
      <c r="M510" s="803"/>
      <c r="N510" s="801"/>
      <c r="O510" s="801"/>
      <c r="P510" s="801"/>
      <c r="Q510" s="801"/>
      <c r="R510" s="801"/>
      <c r="S510" s="374"/>
      <c r="T510" s="374"/>
      <c r="U510" s="374"/>
      <c r="V510" s="374"/>
      <c r="W510" s="374"/>
    </row>
    <row r="511" spans="1:23" s="1190" customFormat="1" ht="15.75" customHeight="1">
      <c r="A511" s="801"/>
      <c r="B511" s="801"/>
      <c r="C511" s="801"/>
      <c r="D511" s="1320"/>
      <c r="E511" s="1078"/>
      <c r="F511" s="801"/>
      <c r="G511" s="803"/>
      <c r="H511" s="801"/>
      <c r="I511" s="801"/>
      <c r="J511" s="801"/>
      <c r="K511" s="801"/>
      <c r="L511" s="803"/>
      <c r="M511" s="803"/>
      <c r="N511" s="801"/>
      <c r="O511" s="801"/>
      <c r="P511" s="801"/>
      <c r="Q511" s="801"/>
      <c r="R511" s="801"/>
      <c r="S511" s="374"/>
      <c r="T511" s="374"/>
      <c r="U511" s="374"/>
      <c r="V511" s="374"/>
      <c r="W511" s="374"/>
    </row>
    <row r="512" spans="1:23" s="1190" customFormat="1" ht="15.75" customHeight="1">
      <c r="A512" s="801"/>
      <c r="B512" s="801"/>
      <c r="C512" s="801"/>
      <c r="D512" s="1320"/>
      <c r="E512" s="1078"/>
      <c r="F512" s="801"/>
      <c r="G512" s="803"/>
      <c r="H512" s="801"/>
      <c r="I512" s="801"/>
      <c r="J512" s="801"/>
      <c r="K512" s="801"/>
      <c r="L512" s="803"/>
      <c r="M512" s="803"/>
      <c r="N512" s="801"/>
      <c r="O512" s="801"/>
      <c r="P512" s="801"/>
      <c r="Q512" s="801"/>
      <c r="R512" s="801"/>
      <c r="S512" s="374"/>
      <c r="T512" s="374"/>
      <c r="U512" s="374"/>
      <c r="V512" s="374"/>
      <c r="W512" s="374"/>
    </row>
    <row r="513" spans="1:23" s="1190" customFormat="1" ht="15.75" customHeight="1">
      <c r="A513" s="801"/>
      <c r="B513" s="801"/>
      <c r="C513" s="801"/>
      <c r="D513" s="1320"/>
      <c r="E513" s="1078"/>
      <c r="F513" s="801"/>
      <c r="G513" s="803"/>
      <c r="H513" s="801"/>
      <c r="I513" s="801"/>
      <c r="J513" s="801"/>
      <c r="K513" s="801"/>
      <c r="L513" s="803"/>
      <c r="M513" s="803"/>
      <c r="N513" s="801"/>
      <c r="O513" s="801"/>
      <c r="P513" s="801"/>
      <c r="Q513" s="801"/>
      <c r="R513" s="801"/>
      <c r="S513" s="374"/>
      <c r="T513" s="374"/>
      <c r="U513" s="374"/>
      <c r="V513" s="374"/>
      <c r="W513" s="374"/>
    </row>
    <row r="514" spans="1:23" s="1190" customFormat="1" ht="15.75" customHeight="1">
      <c r="A514" s="801"/>
      <c r="B514" s="801"/>
      <c r="C514" s="801"/>
      <c r="D514" s="1320"/>
      <c r="E514" s="1078"/>
      <c r="F514" s="801"/>
      <c r="G514" s="803"/>
      <c r="H514" s="801"/>
      <c r="I514" s="801"/>
      <c r="J514" s="801"/>
      <c r="K514" s="801"/>
      <c r="L514" s="803"/>
      <c r="M514" s="803"/>
      <c r="N514" s="801"/>
      <c r="O514" s="801"/>
      <c r="P514" s="801"/>
      <c r="Q514" s="801"/>
      <c r="R514" s="801"/>
      <c r="S514" s="374"/>
      <c r="T514" s="374"/>
      <c r="U514" s="374"/>
      <c r="V514" s="374"/>
      <c r="W514" s="374"/>
    </row>
    <row r="515" spans="1:23" s="1190" customFormat="1" ht="15.75" customHeight="1">
      <c r="A515" s="801"/>
      <c r="B515" s="801"/>
      <c r="C515" s="801"/>
      <c r="D515" s="1320"/>
      <c r="E515" s="1078"/>
      <c r="F515" s="801"/>
      <c r="G515" s="803"/>
      <c r="H515" s="801"/>
      <c r="I515" s="801"/>
      <c r="J515" s="801"/>
      <c r="K515" s="801"/>
      <c r="L515" s="803"/>
      <c r="M515" s="803"/>
      <c r="N515" s="801"/>
      <c r="O515" s="801"/>
      <c r="P515" s="801"/>
      <c r="Q515" s="801"/>
      <c r="R515" s="801"/>
      <c r="S515" s="374"/>
      <c r="T515" s="374"/>
      <c r="U515" s="374"/>
      <c r="V515" s="374"/>
      <c r="W515" s="374"/>
    </row>
    <row r="516" spans="1:23" s="1190" customFormat="1" ht="15.75" customHeight="1">
      <c r="A516" s="801"/>
      <c r="B516" s="801"/>
      <c r="C516" s="801"/>
      <c r="D516" s="1320"/>
      <c r="E516" s="1078"/>
      <c r="F516" s="801"/>
      <c r="G516" s="803"/>
      <c r="H516" s="801"/>
      <c r="I516" s="801"/>
      <c r="J516" s="801"/>
      <c r="K516" s="801"/>
      <c r="L516" s="803"/>
      <c r="M516" s="803"/>
      <c r="N516" s="801"/>
      <c r="O516" s="801"/>
      <c r="P516" s="801"/>
      <c r="Q516" s="801"/>
      <c r="R516" s="801"/>
      <c r="S516" s="374"/>
      <c r="T516" s="374"/>
      <c r="U516" s="374"/>
      <c r="V516" s="374"/>
      <c r="W516" s="374"/>
    </row>
    <row r="517" spans="1:23" s="1190" customFormat="1" ht="15.75" customHeight="1">
      <c r="A517" s="801"/>
      <c r="B517" s="801"/>
      <c r="C517" s="801"/>
      <c r="D517" s="1320"/>
      <c r="E517" s="1078"/>
      <c r="F517" s="801"/>
      <c r="G517" s="803"/>
      <c r="H517" s="801"/>
      <c r="I517" s="801"/>
      <c r="J517" s="801"/>
      <c r="K517" s="801"/>
      <c r="L517" s="803"/>
      <c r="M517" s="803"/>
      <c r="N517" s="801"/>
      <c r="O517" s="801"/>
      <c r="P517" s="801"/>
      <c r="Q517" s="801"/>
      <c r="R517" s="801"/>
      <c r="S517" s="374"/>
      <c r="T517" s="374"/>
      <c r="U517" s="374"/>
      <c r="V517" s="374"/>
      <c r="W517" s="374"/>
    </row>
    <row r="518" spans="1:23" s="1190" customFormat="1" ht="15.75" customHeight="1">
      <c r="A518" s="801"/>
      <c r="B518" s="801"/>
      <c r="C518" s="801"/>
      <c r="D518" s="1320"/>
      <c r="E518" s="1078"/>
      <c r="F518" s="801"/>
      <c r="G518" s="803"/>
      <c r="H518" s="801"/>
      <c r="I518" s="801"/>
      <c r="J518" s="801"/>
      <c r="K518" s="801"/>
      <c r="L518" s="803"/>
      <c r="M518" s="803"/>
      <c r="N518" s="801"/>
      <c r="O518" s="801"/>
      <c r="P518" s="801"/>
      <c r="Q518" s="801"/>
      <c r="R518" s="801"/>
      <c r="S518" s="374"/>
      <c r="T518" s="374"/>
      <c r="U518" s="374"/>
      <c r="V518" s="374"/>
      <c r="W518" s="374"/>
    </row>
    <row r="519" spans="1:23" s="1190" customFormat="1" ht="15.75" customHeight="1">
      <c r="A519" s="801"/>
      <c r="B519" s="801"/>
      <c r="C519" s="801"/>
      <c r="D519" s="1320"/>
      <c r="E519" s="1078"/>
      <c r="F519" s="801"/>
      <c r="G519" s="803"/>
      <c r="H519" s="801"/>
      <c r="I519" s="801"/>
      <c r="J519" s="801"/>
      <c r="K519" s="801"/>
      <c r="L519" s="803"/>
      <c r="M519" s="803"/>
      <c r="N519" s="801"/>
      <c r="O519" s="801"/>
      <c r="P519" s="801"/>
      <c r="Q519" s="801"/>
      <c r="R519" s="801"/>
      <c r="S519" s="374"/>
      <c r="T519" s="374"/>
      <c r="U519" s="374"/>
      <c r="V519" s="374"/>
      <c r="W519" s="374"/>
    </row>
    <row r="520" spans="1:23" s="1190" customFormat="1" ht="15.75" customHeight="1">
      <c r="A520" s="801"/>
      <c r="B520" s="801"/>
      <c r="C520" s="801"/>
      <c r="D520" s="1320"/>
      <c r="E520" s="1078"/>
      <c r="F520" s="801"/>
      <c r="G520" s="803"/>
      <c r="H520" s="801"/>
      <c r="I520" s="801"/>
      <c r="J520" s="801"/>
      <c r="K520" s="801"/>
      <c r="L520" s="803"/>
      <c r="M520" s="803"/>
      <c r="N520" s="801"/>
      <c r="O520" s="801"/>
      <c r="P520" s="801"/>
      <c r="Q520" s="801"/>
      <c r="R520" s="801"/>
      <c r="S520" s="374"/>
      <c r="T520" s="374"/>
      <c r="U520" s="374"/>
      <c r="V520" s="374"/>
      <c r="W520" s="374"/>
    </row>
    <row r="521" spans="1:23" s="1190" customFormat="1" ht="15.75" customHeight="1">
      <c r="A521" s="801"/>
      <c r="B521" s="801"/>
      <c r="C521" s="801"/>
      <c r="D521" s="1320"/>
      <c r="E521" s="1078"/>
      <c r="F521" s="801"/>
      <c r="G521" s="803"/>
      <c r="H521" s="801"/>
      <c r="I521" s="801"/>
      <c r="J521" s="801"/>
      <c r="K521" s="801"/>
      <c r="L521" s="803"/>
      <c r="M521" s="803"/>
      <c r="N521" s="801"/>
      <c r="O521" s="801"/>
      <c r="P521" s="801"/>
      <c r="Q521" s="801"/>
      <c r="R521" s="801"/>
      <c r="S521" s="374"/>
      <c r="T521" s="374"/>
      <c r="U521" s="374"/>
      <c r="V521" s="374"/>
      <c r="W521" s="374"/>
    </row>
    <row r="522" spans="1:23" s="1190" customFormat="1" ht="15.75" customHeight="1">
      <c r="A522" s="801"/>
      <c r="B522" s="801"/>
      <c r="C522" s="801"/>
      <c r="D522" s="1320"/>
      <c r="E522" s="1078"/>
      <c r="F522" s="801"/>
      <c r="G522" s="803"/>
      <c r="H522" s="801"/>
      <c r="I522" s="801"/>
      <c r="J522" s="801"/>
      <c r="K522" s="801"/>
      <c r="L522" s="803"/>
      <c r="M522" s="803"/>
      <c r="N522" s="801"/>
      <c r="O522" s="801"/>
      <c r="P522" s="801"/>
      <c r="Q522" s="801"/>
      <c r="R522" s="801"/>
      <c r="S522" s="374"/>
      <c r="T522" s="374"/>
      <c r="U522" s="374"/>
      <c r="V522" s="374"/>
      <c r="W522" s="374"/>
    </row>
    <row r="523" spans="1:23" s="1190" customFormat="1" ht="15.75" customHeight="1">
      <c r="A523" s="801"/>
      <c r="B523" s="801"/>
      <c r="C523" s="801"/>
      <c r="D523" s="1320"/>
      <c r="E523" s="1078"/>
      <c r="F523" s="801"/>
      <c r="G523" s="803"/>
      <c r="H523" s="801"/>
      <c r="I523" s="801"/>
      <c r="J523" s="801"/>
      <c r="K523" s="801"/>
      <c r="L523" s="803"/>
      <c r="M523" s="803"/>
      <c r="N523" s="801"/>
      <c r="O523" s="801"/>
      <c r="P523" s="801"/>
      <c r="Q523" s="801"/>
      <c r="R523" s="801"/>
      <c r="S523" s="374"/>
      <c r="T523" s="374"/>
      <c r="U523" s="374"/>
      <c r="V523" s="374"/>
      <c r="W523" s="374"/>
    </row>
    <row r="524" spans="1:23" s="1190" customFormat="1" ht="15.75" customHeight="1">
      <c r="A524" s="801"/>
      <c r="B524" s="801"/>
      <c r="C524" s="801"/>
      <c r="D524" s="1320"/>
      <c r="E524" s="1078"/>
      <c r="F524" s="801"/>
      <c r="G524" s="803"/>
      <c r="H524" s="801"/>
      <c r="I524" s="801"/>
      <c r="J524" s="801"/>
      <c r="K524" s="801"/>
      <c r="L524" s="803"/>
      <c r="M524" s="803"/>
      <c r="N524" s="801"/>
      <c r="O524" s="801"/>
      <c r="P524" s="801"/>
      <c r="Q524" s="801"/>
      <c r="R524" s="801"/>
      <c r="S524" s="374"/>
      <c r="T524" s="374"/>
      <c r="U524" s="374"/>
      <c r="V524" s="374"/>
      <c r="W524" s="374"/>
    </row>
    <row r="525" spans="1:23" s="1190" customFormat="1" ht="15.75" customHeight="1">
      <c r="A525" s="801"/>
      <c r="B525" s="801"/>
      <c r="C525" s="801"/>
      <c r="D525" s="1320"/>
      <c r="E525" s="1078"/>
      <c r="F525" s="801"/>
      <c r="G525" s="803"/>
      <c r="H525" s="801"/>
      <c r="I525" s="801"/>
      <c r="J525" s="801"/>
      <c r="K525" s="801"/>
      <c r="L525" s="803"/>
      <c r="M525" s="803"/>
      <c r="N525" s="801"/>
      <c r="O525" s="801"/>
      <c r="P525" s="801"/>
      <c r="Q525" s="801"/>
      <c r="R525" s="801"/>
      <c r="S525" s="374"/>
      <c r="T525" s="374"/>
      <c r="U525" s="374"/>
      <c r="V525" s="374"/>
      <c r="W525" s="374"/>
    </row>
    <row r="526" spans="1:23" s="1190" customFormat="1" ht="15.75" customHeight="1">
      <c r="A526" s="801"/>
      <c r="B526" s="801"/>
      <c r="C526" s="801"/>
      <c r="D526" s="1320"/>
      <c r="E526" s="1078"/>
      <c r="F526" s="801"/>
      <c r="G526" s="803"/>
      <c r="H526" s="801"/>
      <c r="I526" s="801"/>
      <c r="J526" s="801"/>
      <c r="K526" s="801"/>
      <c r="L526" s="803"/>
      <c r="M526" s="803"/>
      <c r="N526" s="801"/>
      <c r="O526" s="801"/>
      <c r="P526" s="801"/>
      <c r="Q526" s="801"/>
      <c r="R526" s="801"/>
      <c r="S526" s="374"/>
      <c r="T526" s="374"/>
      <c r="U526" s="374"/>
      <c r="V526" s="374"/>
      <c r="W526" s="374"/>
    </row>
    <row r="527" spans="1:23" s="1190" customFormat="1" ht="15.75" customHeight="1">
      <c r="A527" s="801"/>
      <c r="B527" s="801"/>
      <c r="C527" s="801"/>
      <c r="D527" s="1320"/>
      <c r="E527" s="1078"/>
      <c r="F527" s="801"/>
      <c r="G527" s="803"/>
      <c r="H527" s="801"/>
      <c r="I527" s="801"/>
      <c r="J527" s="801"/>
      <c r="K527" s="801"/>
      <c r="L527" s="803"/>
      <c r="M527" s="803"/>
      <c r="N527" s="801"/>
      <c r="O527" s="801"/>
      <c r="P527" s="801"/>
      <c r="Q527" s="801"/>
      <c r="R527" s="801"/>
      <c r="S527" s="374"/>
      <c r="T527" s="374"/>
      <c r="U527" s="374"/>
      <c r="V527" s="374"/>
      <c r="W527" s="374"/>
    </row>
    <row r="528" spans="1:23" s="1190" customFormat="1" ht="15.75" customHeight="1">
      <c r="A528" s="801"/>
      <c r="B528" s="801"/>
      <c r="C528" s="801"/>
      <c r="D528" s="1320"/>
      <c r="E528" s="1078"/>
      <c r="F528" s="801"/>
      <c r="G528" s="803"/>
      <c r="H528" s="801"/>
      <c r="I528" s="801"/>
      <c r="J528" s="801"/>
      <c r="K528" s="801"/>
      <c r="L528" s="803"/>
      <c r="M528" s="803"/>
      <c r="N528" s="801"/>
      <c r="O528" s="801"/>
      <c r="P528" s="801"/>
      <c r="Q528" s="801"/>
      <c r="R528" s="801"/>
      <c r="S528" s="374"/>
      <c r="T528" s="374"/>
      <c r="U528" s="374"/>
      <c r="V528" s="374"/>
      <c r="W528" s="374"/>
    </row>
    <row r="529" spans="1:23" s="1190" customFormat="1" ht="15.75" customHeight="1">
      <c r="A529" s="801"/>
      <c r="B529" s="801"/>
      <c r="C529" s="801"/>
      <c r="D529" s="1320"/>
      <c r="E529" s="1078"/>
      <c r="F529" s="801"/>
      <c r="G529" s="803"/>
      <c r="H529" s="801"/>
      <c r="I529" s="801"/>
      <c r="J529" s="801"/>
      <c r="K529" s="801"/>
      <c r="L529" s="803"/>
      <c r="M529" s="803"/>
      <c r="N529" s="801"/>
      <c r="O529" s="801"/>
      <c r="P529" s="801"/>
      <c r="Q529" s="801"/>
      <c r="R529" s="801"/>
      <c r="S529" s="374"/>
      <c r="T529" s="374"/>
      <c r="U529" s="374"/>
      <c r="V529" s="374"/>
      <c r="W529" s="374"/>
    </row>
    <row r="530" spans="1:23" s="1190" customFormat="1" ht="15.75" customHeight="1">
      <c r="A530" s="801"/>
      <c r="B530" s="801"/>
      <c r="C530" s="801"/>
      <c r="D530" s="1320"/>
      <c r="E530" s="1078"/>
      <c r="F530" s="801"/>
      <c r="G530" s="803"/>
      <c r="H530" s="801"/>
      <c r="I530" s="801"/>
      <c r="J530" s="801"/>
      <c r="K530" s="801"/>
      <c r="L530" s="803"/>
      <c r="M530" s="803"/>
      <c r="N530" s="801"/>
      <c r="O530" s="801"/>
      <c r="P530" s="801"/>
      <c r="Q530" s="801"/>
      <c r="R530" s="801"/>
      <c r="S530" s="374"/>
      <c r="T530" s="374"/>
      <c r="U530" s="374"/>
      <c r="V530" s="374"/>
      <c r="W530" s="374"/>
    </row>
    <row r="531" spans="1:23" s="1190" customFormat="1" ht="15.75" customHeight="1">
      <c r="A531" s="801"/>
      <c r="B531" s="801"/>
      <c r="C531" s="801"/>
      <c r="D531" s="1320"/>
      <c r="E531" s="1078"/>
      <c r="F531" s="801"/>
      <c r="G531" s="803"/>
      <c r="H531" s="801"/>
      <c r="I531" s="801"/>
      <c r="J531" s="801"/>
      <c r="K531" s="801"/>
      <c r="L531" s="803"/>
      <c r="M531" s="803"/>
      <c r="N531" s="801"/>
      <c r="O531" s="801"/>
      <c r="P531" s="801"/>
      <c r="Q531" s="801"/>
      <c r="R531" s="801"/>
      <c r="S531" s="374"/>
      <c r="T531" s="374"/>
      <c r="U531" s="374"/>
      <c r="V531" s="374"/>
      <c r="W531" s="374"/>
    </row>
    <row r="532" spans="1:23" s="1190" customFormat="1" ht="15.75" customHeight="1">
      <c r="A532" s="801"/>
      <c r="B532" s="801"/>
      <c r="C532" s="801"/>
      <c r="D532" s="1320"/>
      <c r="E532" s="1078"/>
      <c r="F532" s="801"/>
      <c r="G532" s="803"/>
      <c r="H532" s="801"/>
      <c r="I532" s="801"/>
      <c r="J532" s="801"/>
      <c r="K532" s="801"/>
      <c r="L532" s="803"/>
      <c r="M532" s="803"/>
      <c r="N532" s="801"/>
      <c r="O532" s="801"/>
      <c r="P532" s="801"/>
      <c r="Q532" s="801"/>
      <c r="R532" s="801"/>
      <c r="S532" s="374"/>
      <c r="T532" s="374"/>
      <c r="U532" s="374"/>
      <c r="V532" s="374"/>
      <c r="W532" s="374"/>
    </row>
    <row r="533" spans="1:23" s="1190" customFormat="1" ht="15.75" customHeight="1">
      <c r="A533" s="801"/>
      <c r="B533" s="801"/>
      <c r="C533" s="801"/>
      <c r="D533" s="1320"/>
      <c r="E533" s="1078"/>
      <c r="F533" s="801"/>
      <c r="G533" s="803"/>
      <c r="H533" s="801"/>
      <c r="I533" s="801"/>
      <c r="J533" s="801"/>
      <c r="K533" s="801"/>
      <c r="L533" s="803"/>
      <c r="M533" s="803"/>
      <c r="N533" s="801"/>
      <c r="O533" s="801"/>
      <c r="P533" s="801"/>
      <c r="Q533" s="801"/>
      <c r="R533" s="801"/>
      <c r="S533" s="374"/>
      <c r="T533" s="374"/>
      <c r="U533" s="374"/>
      <c r="V533" s="374"/>
      <c r="W533" s="374"/>
    </row>
    <row r="534" spans="1:23" s="1190" customFormat="1" ht="15.75" customHeight="1">
      <c r="A534" s="801"/>
      <c r="B534" s="801"/>
      <c r="C534" s="801"/>
      <c r="D534" s="1320"/>
      <c r="E534" s="1078"/>
      <c r="F534" s="801"/>
      <c r="G534" s="803"/>
      <c r="H534" s="801"/>
      <c r="I534" s="801"/>
      <c r="J534" s="801"/>
      <c r="K534" s="801"/>
      <c r="L534" s="803"/>
      <c r="M534" s="803"/>
      <c r="N534" s="801"/>
      <c r="O534" s="801"/>
      <c r="P534" s="801"/>
      <c r="Q534" s="801"/>
      <c r="R534" s="801"/>
      <c r="S534" s="374"/>
      <c r="T534" s="374"/>
      <c r="U534" s="374"/>
      <c r="V534" s="374"/>
      <c r="W534" s="374"/>
    </row>
    <row r="535" spans="1:23" s="1190" customFormat="1" ht="15.75" customHeight="1">
      <c r="A535" s="801"/>
      <c r="B535" s="801"/>
      <c r="C535" s="801"/>
      <c r="D535" s="1320"/>
      <c r="E535" s="1078"/>
      <c r="F535" s="801"/>
      <c r="G535" s="803"/>
      <c r="H535" s="801"/>
      <c r="I535" s="801"/>
      <c r="J535" s="801"/>
      <c r="K535" s="801"/>
      <c r="L535" s="803"/>
      <c r="M535" s="803"/>
      <c r="N535" s="801"/>
      <c r="O535" s="801"/>
      <c r="P535" s="801"/>
      <c r="Q535" s="801"/>
      <c r="R535" s="801"/>
      <c r="S535" s="374"/>
      <c r="T535" s="374"/>
      <c r="U535" s="374"/>
      <c r="V535" s="374"/>
      <c r="W535" s="374"/>
    </row>
    <row r="536" spans="1:23" s="1190" customFormat="1" ht="15.75" customHeight="1">
      <c r="A536" s="801"/>
      <c r="B536" s="801"/>
      <c r="C536" s="801"/>
      <c r="D536" s="1320"/>
      <c r="E536" s="1078"/>
      <c r="F536" s="801"/>
      <c r="G536" s="803"/>
      <c r="H536" s="801"/>
      <c r="I536" s="801"/>
      <c r="J536" s="801"/>
      <c r="K536" s="801"/>
      <c r="L536" s="803"/>
      <c r="M536" s="803"/>
      <c r="N536" s="801"/>
      <c r="O536" s="801"/>
      <c r="P536" s="801"/>
      <c r="Q536" s="801"/>
      <c r="R536" s="801"/>
      <c r="S536" s="374"/>
      <c r="T536" s="374"/>
      <c r="U536" s="374"/>
      <c r="V536" s="374"/>
      <c r="W536" s="374"/>
    </row>
    <row r="537" spans="1:23" s="1190" customFormat="1" ht="15.75" customHeight="1">
      <c r="A537" s="801"/>
      <c r="B537" s="801"/>
      <c r="C537" s="801"/>
      <c r="D537" s="1320"/>
      <c r="E537" s="1078"/>
      <c r="F537" s="801"/>
      <c r="G537" s="803"/>
      <c r="H537" s="801"/>
      <c r="I537" s="801"/>
      <c r="J537" s="801"/>
      <c r="K537" s="801"/>
      <c r="L537" s="803"/>
      <c r="M537" s="803"/>
      <c r="N537" s="801"/>
      <c r="O537" s="801"/>
      <c r="P537" s="801"/>
      <c r="Q537" s="801"/>
      <c r="R537" s="801"/>
      <c r="S537" s="374"/>
      <c r="T537" s="374"/>
      <c r="U537" s="374"/>
      <c r="V537" s="374"/>
      <c r="W537" s="374"/>
    </row>
    <row r="538" spans="1:23" s="1190" customFormat="1" ht="15.75" customHeight="1">
      <c r="A538" s="801"/>
      <c r="B538" s="801"/>
      <c r="C538" s="801"/>
      <c r="D538" s="1320"/>
      <c r="E538" s="1078"/>
      <c r="F538" s="801"/>
      <c r="G538" s="803"/>
      <c r="H538" s="801"/>
      <c r="I538" s="801"/>
      <c r="J538" s="801"/>
      <c r="K538" s="801"/>
      <c r="L538" s="803"/>
      <c r="M538" s="803"/>
      <c r="N538" s="801"/>
      <c r="O538" s="801"/>
      <c r="P538" s="801"/>
      <c r="Q538" s="801"/>
      <c r="R538" s="801"/>
      <c r="S538" s="374"/>
      <c r="T538" s="374"/>
      <c r="U538" s="374"/>
      <c r="V538" s="374"/>
      <c r="W538" s="374"/>
    </row>
    <row r="539" spans="1:23" s="1190" customFormat="1" ht="15.75" customHeight="1">
      <c r="A539" s="801"/>
      <c r="B539" s="801"/>
      <c r="C539" s="801"/>
      <c r="D539" s="1320"/>
      <c r="E539" s="1078"/>
      <c r="F539" s="801"/>
      <c r="G539" s="803"/>
      <c r="H539" s="801"/>
      <c r="I539" s="801"/>
      <c r="J539" s="801"/>
      <c r="K539" s="801"/>
      <c r="L539" s="803"/>
      <c r="M539" s="803"/>
      <c r="N539" s="801"/>
      <c r="O539" s="801"/>
      <c r="P539" s="801"/>
      <c r="Q539" s="801"/>
      <c r="R539" s="801"/>
      <c r="S539" s="374"/>
      <c r="T539" s="374"/>
      <c r="U539" s="374"/>
      <c r="V539" s="374"/>
      <c r="W539" s="374"/>
    </row>
    <row r="540" spans="1:23" s="1190" customFormat="1" ht="15.75" customHeight="1">
      <c r="A540" s="801"/>
      <c r="B540" s="801"/>
      <c r="C540" s="801"/>
      <c r="D540" s="1320"/>
      <c r="E540" s="1078"/>
      <c r="F540" s="801"/>
      <c r="G540" s="803"/>
      <c r="H540" s="801"/>
      <c r="I540" s="801"/>
      <c r="J540" s="801"/>
      <c r="K540" s="801"/>
      <c r="L540" s="803"/>
      <c r="M540" s="803"/>
      <c r="N540" s="801"/>
      <c r="O540" s="801"/>
      <c r="P540" s="801"/>
      <c r="Q540" s="801"/>
      <c r="R540" s="801"/>
      <c r="S540" s="374"/>
      <c r="T540" s="374"/>
      <c r="U540" s="374"/>
      <c r="V540" s="374"/>
      <c r="W540" s="374"/>
    </row>
    <row r="541" spans="1:23" s="1190" customFormat="1" ht="15.75" customHeight="1">
      <c r="A541" s="801"/>
      <c r="B541" s="801"/>
      <c r="C541" s="801"/>
      <c r="D541" s="1320"/>
      <c r="E541" s="1078"/>
      <c r="F541" s="801"/>
      <c r="G541" s="803"/>
      <c r="H541" s="801"/>
      <c r="I541" s="801"/>
      <c r="J541" s="801"/>
      <c r="K541" s="801"/>
      <c r="L541" s="803"/>
      <c r="M541" s="803"/>
      <c r="N541" s="801"/>
      <c r="O541" s="801"/>
      <c r="P541" s="801"/>
      <c r="Q541" s="801"/>
      <c r="R541" s="801"/>
      <c r="S541" s="374"/>
      <c r="T541" s="374"/>
      <c r="U541" s="374"/>
      <c r="V541" s="374"/>
      <c r="W541" s="374"/>
    </row>
    <row r="542" spans="1:23" s="1190" customFormat="1" ht="15.75" customHeight="1">
      <c r="A542" s="801"/>
      <c r="B542" s="801"/>
      <c r="C542" s="801"/>
      <c r="D542" s="1320"/>
      <c r="E542" s="1078"/>
      <c r="F542" s="801"/>
      <c r="G542" s="803"/>
      <c r="H542" s="801"/>
      <c r="I542" s="801"/>
      <c r="J542" s="801"/>
      <c r="K542" s="801"/>
      <c r="L542" s="803"/>
      <c r="M542" s="803"/>
      <c r="N542" s="801"/>
      <c r="O542" s="801"/>
      <c r="P542" s="801"/>
      <c r="Q542" s="801"/>
      <c r="R542" s="801"/>
      <c r="S542" s="374"/>
      <c r="T542" s="374"/>
      <c r="U542" s="374"/>
      <c r="V542" s="374"/>
      <c r="W542" s="374"/>
    </row>
    <row r="543" spans="1:23" s="1190" customFormat="1" ht="15.75" customHeight="1">
      <c r="A543" s="801"/>
      <c r="B543" s="801"/>
      <c r="C543" s="801"/>
      <c r="D543" s="1320"/>
      <c r="E543" s="1078"/>
      <c r="F543" s="801"/>
      <c r="G543" s="803"/>
      <c r="H543" s="801"/>
      <c r="I543" s="801"/>
      <c r="J543" s="801"/>
      <c r="K543" s="801"/>
      <c r="L543" s="803"/>
      <c r="M543" s="803"/>
      <c r="N543" s="801"/>
      <c r="O543" s="801"/>
      <c r="P543" s="801"/>
      <c r="Q543" s="801"/>
      <c r="R543" s="801"/>
      <c r="S543" s="374"/>
      <c r="T543" s="374"/>
      <c r="U543" s="374"/>
      <c r="V543" s="374"/>
      <c r="W543" s="374"/>
    </row>
    <row r="544" spans="1:23" s="1190" customFormat="1" ht="15.75" customHeight="1">
      <c r="A544" s="801"/>
      <c r="B544" s="801"/>
      <c r="C544" s="801"/>
      <c r="D544" s="1320"/>
      <c r="E544" s="1078"/>
      <c r="F544" s="801"/>
      <c r="G544" s="803"/>
      <c r="H544" s="801"/>
      <c r="I544" s="801"/>
      <c r="J544" s="801"/>
      <c r="K544" s="801"/>
      <c r="L544" s="803"/>
      <c r="M544" s="803"/>
      <c r="N544" s="801"/>
      <c r="O544" s="801"/>
      <c r="P544" s="801"/>
      <c r="Q544" s="801"/>
      <c r="R544" s="801"/>
      <c r="S544" s="374"/>
      <c r="T544" s="374"/>
      <c r="U544" s="374"/>
      <c r="V544" s="374"/>
      <c r="W544" s="374"/>
    </row>
    <row r="545" spans="1:23" s="1190" customFormat="1" ht="15.75" customHeight="1">
      <c r="A545" s="801"/>
      <c r="B545" s="801"/>
      <c r="C545" s="801"/>
      <c r="D545" s="1320"/>
      <c r="E545" s="1078"/>
      <c r="F545" s="801"/>
      <c r="G545" s="803"/>
      <c r="H545" s="801"/>
      <c r="I545" s="801"/>
      <c r="J545" s="801"/>
      <c r="K545" s="801"/>
      <c r="L545" s="803"/>
      <c r="M545" s="803"/>
      <c r="N545" s="801"/>
      <c r="O545" s="801"/>
      <c r="P545" s="801"/>
      <c r="Q545" s="801"/>
      <c r="R545" s="801"/>
      <c r="S545" s="374"/>
      <c r="T545" s="374"/>
      <c r="U545" s="374"/>
      <c r="V545" s="374"/>
      <c r="W545" s="374"/>
    </row>
    <row r="546" spans="1:23" s="1190" customFormat="1" ht="15.75" customHeight="1">
      <c r="A546" s="801"/>
      <c r="B546" s="801"/>
      <c r="C546" s="801"/>
      <c r="D546" s="1320"/>
      <c r="E546" s="1078"/>
      <c r="F546" s="801"/>
      <c r="G546" s="803"/>
      <c r="H546" s="801"/>
      <c r="I546" s="801"/>
      <c r="J546" s="801"/>
      <c r="K546" s="801"/>
      <c r="L546" s="803"/>
      <c r="M546" s="803"/>
      <c r="N546" s="801"/>
      <c r="O546" s="801"/>
      <c r="P546" s="801"/>
      <c r="Q546" s="801"/>
      <c r="R546" s="801"/>
      <c r="S546" s="374"/>
      <c r="T546" s="374"/>
      <c r="U546" s="374"/>
      <c r="V546" s="374"/>
      <c r="W546" s="374"/>
    </row>
    <row r="547" spans="1:23" s="1190" customFormat="1" ht="15.75" customHeight="1">
      <c r="A547" s="801"/>
      <c r="B547" s="801"/>
      <c r="C547" s="801"/>
      <c r="D547" s="1320"/>
      <c r="E547" s="1078"/>
      <c r="F547" s="801"/>
      <c r="G547" s="803"/>
      <c r="H547" s="801"/>
      <c r="I547" s="801"/>
      <c r="J547" s="801"/>
      <c r="K547" s="801"/>
      <c r="L547" s="803"/>
      <c r="M547" s="803"/>
      <c r="N547" s="801"/>
      <c r="O547" s="801"/>
      <c r="P547" s="801"/>
      <c r="Q547" s="801"/>
      <c r="R547" s="801"/>
      <c r="S547" s="374"/>
      <c r="T547" s="374"/>
      <c r="U547" s="374"/>
      <c r="V547" s="374"/>
      <c r="W547" s="374"/>
    </row>
    <row r="548" spans="1:23" s="1190" customFormat="1" ht="15.75" customHeight="1">
      <c r="A548" s="801"/>
      <c r="B548" s="801"/>
      <c r="C548" s="801"/>
      <c r="D548" s="1320"/>
      <c r="E548" s="1078"/>
      <c r="F548" s="801"/>
      <c r="G548" s="803"/>
      <c r="H548" s="801"/>
      <c r="I548" s="801"/>
      <c r="J548" s="801"/>
      <c r="K548" s="801"/>
      <c r="L548" s="803"/>
      <c r="M548" s="803"/>
      <c r="N548" s="801"/>
      <c r="O548" s="801"/>
      <c r="P548" s="801"/>
      <c r="Q548" s="801"/>
      <c r="R548" s="801"/>
      <c r="S548" s="374"/>
      <c r="T548" s="374"/>
      <c r="U548" s="374"/>
      <c r="V548" s="374"/>
      <c r="W548" s="374"/>
    </row>
    <row r="549" spans="1:23" s="1190" customFormat="1" ht="15.75" customHeight="1">
      <c r="A549" s="801"/>
      <c r="B549" s="801"/>
      <c r="C549" s="801"/>
      <c r="D549" s="1320"/>
      <c r="E549" s="1078"/>
      <c r="F549" s="801"/>
      <c r="G549" s="803"/>
      <c r="H549" s="801"/>
      <c r="I549" s="801"/>
      <c r="J549" s="801"/>
      <c r="K549" s="801"/>
      <c r="L549" s="803"/>
      <c r="M549" s="803"/>
      <c r="N549" s="801"/>
      <c r="O549" s="801"/>
      <c r="P549" s="801"/>
      <c r="Q549" s="801"/>
      <c r="R549" s="801"/>
      <c r="S549" s="374"/>
      <c r="T549" s="374"/>
      <c r="U549" s="374"/>
      <c r="V549" s="374"/>
      <c r="W549" s="374"/>
    </row>
    <row r="550" spans="1:23" s="1190" customFormat="1" ht="15.75" customHeight="1">
      <c r="A550" s="801"/>
      <c r="B550" s="801"/>
      <c r="C550" s="801"/>
      <c r="D550" s="1320"/>
      <c r="E550" s="1078"/>
      <c r="F550" s="801"/>
      <c r="G550" s="803"/>
      <c r="H550" s="801"/>
      <c r="I550" s="801"/>
      <c r="J550" s="801"/>
      <c r="K550" s="801"/>
      <c r="L550" s="803"/>
      <c r="M550" s="803"/>
      <c r="N550" s="801"/>
      <c r="O550" s="801"/>
      <c r="P550" s="801"/>
      <c r="Q550" s="801"/>
      <c r="R550" s="801"/>
      <c r="S550" s="374"/>
      <c r="T550" s="374"/>
      <c r="U550" s="374"/>
      <c r="V550" s="374"/>
      <c r="W550" s="374"/>
    </row>
    <row r="551" spans="1:23" s="1190" customFormat="1" ht="15.75" customHeight="1">
      <c r="A551" s="801"/>
      <c r="B551" s="801"/>
      <c r="C551" s="801"/>
      <c r="D551" s="1320"/>
      <c r="E551" s="1078"/>
      <c r="F551" s="801"/>
      <c r="G551" s="803"/>
      <c r="H551" s="801"/>
      <c r="I551" s="801"/>
      <c r="J551" s="801"/>
      <c r="K551" s="801"/>
      <c r="L551" s="803"/>
      <c r="M551" s="803"/>
      <c r="N551" s="801"/>
      <c r="O551" s="801"/>
      <c r="P551" s="801"/>
      <c r="Q551" s="801"/>
      <c r="R551" s="801"/>
      <c r="S551" s="374"/>
      <c r="T551" s="374"/>
      <c r="U551" s="374"/>
      <c r="V551" s="374"/>
      <c r="W551" s="374"/>
    </row>
    <row r="552" spans="1:23" s="1190" customFormat="1" ht="15.75" customHeight="1">
      <c r="A552" s="801"/>
      <c r="B552" s="801"/>
      <c r="C552" s="801"/>
      <c r="D552" s="1320"/>
      <c r="E552" s="1078"/>
      <c r="F552" s="801"/>
      <c r="G552" s="803"/>
      <c r="H552" s="801"/>
      <c r="I552" s="801"/>
      <c r="J552" s="801"/>
      <c r="K552" s="801"/>
      <c r="L552" s="803"/>
      <c r="M552" s="803"/>
      <c r="N552" s="801"/>
      <c r="O552" s="801"/>
      <c r="P552" s="801"/>
      <c r="Q552" s="801"/>
      <c r="R552" s="801"/>
      <c r="S552" s="374"/>
      <c r="T552" s="374"/>
      <c r="U552" s="374"/>
      <c r="V552" s="374"/>
      <c r="W552" s="374"/>
    </row>
    <row r="553" spans="1:23" s="1190" customFormat="1" ht="15.75" customHeight="1">
      <c r="A553" s="801"/>
      <c r="B553" s="801"/>
      <c r="C553" s="801"/>
      <c r="D553" s="1320"/>
      <c r="E553" s="1078"/>
      <c r="F553" s="801"/>
      <c r="G553" s="803"/>
      <c r="H553" s="801"/>
      <c r="I553" s="801"/>
      <c r="J553" s="801"/>
      <c r="K553" s="801"/>
      <c r="L553" s="803"/>
      <c r="M553" s="803"/>
      <c r="N553" s="801"/>
      <c r="O553" s="801"/>
      <c r="P553" s="801"/>
      <c r="Q553" s="801"/>
      <c r="R553" s="801"/>
      <c r="S553" s="374"/>
      <c r="T553" s="374"/>
      <c r="U553" s="374"/>
      <c r="V553" s="374"/>
      <c r="W553" s="374"/>
    </row>
    <row r="554" spans="1:23" s="1190" customFormat="1" ht="15.75" customHeight="1">
      <c r="A554" s="801"/>
      <c r="B554" s="801"/>
      <c r="C554" s="801"/>
      <c r="D554" s="1320"/>
      <c r="E554" s="1078"/>
      <c r="F554" s="801"/>
      <c r="G554" s="803"/>
      <c r="H554" s="801"/>
      <c r="I554" s="801"/>
      <c r="J554" s="801"/>
      <c r="K554" s="801"/>
      <c r="L554" s="803"/>
      <c r="M554" s="803"/>
      <c r="N554" s="801"/>
      <c r="O554" s="801"/>
      <c r="P554" s="801"/>
      <c r="Q554" s="801"/>
      <c r="R554" s="801"/>
      <c r="S554" s="374"/>
      <c r="T554" s="374"/>
      <c r="U554" s="374"/>
      <c r="V554" s="374"/>
      <c r="W554" s="374"/>
    </row>
    <row r="555" spans="1:23" s="1190" customFormat="1" ht="15.75" customHeight="1">
      <c r="A555" s="801"/>
      <c r="B555" s="801"/>
      <c r="C555" s="801"/>
      <c r="D555" s="1320"/>
      <c r="E555" s="1078"/>
      <c r="F555" s="801"/>
      <c r="G555" s="803"/>
      <c r="H555" s="801"/>
      <c r="I555" s="801"/>
      <c r="J555" s="801"/>
      <c r="K555" s="801"/>
      <c r="L555" s="803"/>
      <c r="M555" s="803"/>
      <c r="N555" s="801"/>
      <c r="O555" s="801"/>
      <c r="P555" s="801"/>
      <c r="Q555" s="801"/>
      <c r="R555" s="801"/>
      <c r="S555" s="374"/>
      <c r="T555" s="374"/>
      <c r="U555" s="374"/>
      <c r="V555" s="374"/>
      <c r="W555" s="374"/>
    </row>
    <row r="556" spans="1:23" s="1190" customFormat="1" ht="15.75" customHeight="1">
      <c r="A556" s="801"/>
      <c r="B556" s="801"/>
      <c r="C556" s="801"/>
      <c r="D556" s="1320"/>
      <c r="E556" s="1078"/>
      <c r="F556" s="801"/>
      <c r="G556" s="803"/>
      <c r="H556" s="801"/>
      <c r="I556" s="801"/>
      <c r="J556" s="801"/>
      <c r="K556" s="801"/>
      <c r="L556" s="803"/>
      <c r="M556" s="803"/>
      <c r="N556" s="801"/>
      <c r="O556" s="801"/>
      <c r="P556" s="801"/>
      <c r="Q556" s="801"/>
      <c r="R556" s="801"/>
      <c r="S556" s="374"/>
      <c r="T556" s="374"/>
      <c r="U556" s="374"/>
      <c r="V556" s="374"/>
      <c r="W556" s="374"/>
    </row>
    <row r="557" spans="1:23" s="1190" customFormat="1" ht="15.75" customHeight="1">
      <c r="A557" s="801"/>
      <c r="B557" s="801"/>
      <c r="C557" s="801"/>
      <c r="D557" s="1320"/>
      <c r="E557" s="1078"/>
      <c r="F557" s="801"/>
      <c r="G557" s="803"/>
      <c r="H557" s="801"/>
      <c r="I557" s="801"/>
      <c r="J557" s="801"/>
      <c r="K557" s="801"/>
      <c r="L557" s="803"/>
      <c r="M557" s="803"/>
      <c r="N557" s="801"/>
      <c r="O557" s="801"/>
      <c r="P557" s="801"/>
      <c r="Q557" s="801"/>
      <c r="R557" s="801"/>
      <c r="S557" s="374"/>
      <c r="T557" s="374"/>
      <c r="U557" s="374"/>
      <c r="V557" s="374"/>
      <c r="W557" s="374"/>
    </row>
    <row r="558" spans="1:23" s="1190" customFormat="1" ht="15.75" customHeight="1">
      <c r="A558" s="801"/>
      <c r="B558" s="801"/>
      <c r="C558" s="801"/>
      <c r="D558" s="1320"/>
      <c r="E558" s="1078"/>
      <c r="F558" s="801"/>
      <c r="G558" s="803"/>
      <c r="H558" s="801"/>
      <c r="I558" s="801"/>
      <c r="J558" s="801"/>
      <c r="K558" s="801"/>
      <c r="L558" s="803"/>
      <c r="M558" s="803"/>
      <c r="N558" s="801"/>
      <c r="O558" s="801"/>
      <c r="P558" s="801"/>
      <c r="Q558" s="801"/>
      <c r="R558" s="801"/>
      <c r="S558" s="374"/>
      <c r="T558" s="374"/>
      <c r="U558" s="374"/>
      <c r="V558" s="374"/>
      <c r="W558" s="374"/>
    </row>
    <row r="559" spans="1:23" s="1190" customFormat="1" ht="15.75" customHeight="1">
      <c r="A559" s="801"/>
      <c r="B559" s="801"/>
      <c r="C559" s="801"/>
      <c r="D559" s="1320"/>
      <c r="E559" s="1078"/>
      <c r="F559" s="801"/>
      <c r="G559" s="803"/>
      <c r="H559" s="801"/>
      <c r="I559" s="801"/>
      <c r="J559" s="801"/>
      <c r="K559" s="801"/>
      <c r="L559" s="803"/>
      <c r="M559" s="803"/>
      <c r="N559" s="801"/>
      <c r="O559" s="801"/>
      <c r="P559" s="801"/>
      <c r="Q559" s="801"/>
      <c r="R559" s="801"/>
      <c r="S559" s="374"/>
      <c r="T559" s="374"/>
      <c r="U559" s="374"/>
      <c r="V559" s="374"/>
      <c r="W559" s="374"/>
    </row>
    <row r="560" spans="1:23" s="1190" customFormat="1" ht="15.75" customHeight="1">
      <c r="A560" s="801"/>
      <c r="B560" s="801"/>
      <c r="C560" s="801"/>
      <c r="D560" s="1320"/>
      <c r="E560" s="1078"/>
      <c r="F560" s="801"/>
      <c r="G560" s="803"/>
      <c r="H560" s="801"/>
      <c r="I560" s="801"/>
      <c r="J560" s="801"/>
      <c r="K560" s="801"/>
      <c r="L560" s="803"/>
      <c r="M560" s="803"/>
      <c r="N560" s="801"/>
      <c r="O560" s="801"/>
      <c r="P560" s="801"/>
      <c r="Q560" s="801"/>
      <c r="R560" s="801"/>
      <c r="S560" s="374"/>
      <c r="T560" s="374"/>
      <c r="U560" s="374"/>
      <c r="V560" s="374"/>
      <c r="W560" s="374"/>
    </row>
    <row r="561" spans="1:23" s="1190" customFormat="1" ht="15.75" customHeight="1">
      <c r="A561" s="801"/>
      <c r="B561" s="801"/>
      <c r="C561" s="801"/>
      <c r="D561" s="1320"/>
      <c r="E561" s="1078"/>
      <c r="F561" s="801"/>
      <c r="G561" s="803"/>
      <c r="H561" s="801"/>
      <c r="I561" s="801"/>
      <c r="J561" s="801"/>
      <c r="K561" s="801"/>
      <c r="L561" s="803"/>
      <c r="M561" s="803"/>
      <c r="N561" s="801"/>
      <c r="O561" s="801"/>
      <c r="P561" s="801"/>
      <c r="Q561" s="801"/>
      <c r="R561" s="801"/>
      <c r="S561" s="374"/>
      <c r="T561" s="374"/>
      <c r="U561" s="374"/>
      <c r="V561" s="374"/>
      <c r="W561" s="374"/>
    </row>
    <row r="562" spans="1:23" s="1190" customFormat="1" ht="15.75" customHeight="1">
      <c r="A562" s="801"/>
      <c r="B562" s="801"/>
      <c r="C562" s="801"/>
      <c r="D562" s="1320"/>
      <c r="E562" s="1078"/>
      <c r="F562" s="801"/>
      <c r="G562" s="803"/>
      <c r="H562" s="801"/>
      <c r="I562" s="801"/>
      <c r="J562" s="801"/>
      <c r="K562" s="801"/>
      <c r="L562" s="803"/>
      <c r="M562" s="803"/>
      <c r="N562" s="801"/>
      <c r="O562" s="801"/>
      <c r="P562" s="801"/>
      <c r="Q562" s="801"/>
      <c r="R562" s="801"/>
      <c r="S562" s="374"/>
      <c r="T562" s="374"/>
      <c r="U562" s="374"/>
      <c r="V562" s="374"/>
      <c r="W562" s="374"/>
    </row>
    <row r="563" spans="1:23" s="1190" customFormat="1" ht="15.75" customHeight="1">
      <c r="A563" s="801"/>
      <c r="B563" s="801"/>
      <c r="C563" s="801"/>
      <c r="D563" s="1320"/>
      <c r="E563" s="1078"/>
      <c r="F563" s="801"/>
      <c r="G563" s="803"/>
      <c r="H563" s="801"/>
      <c r="I563" s="801"/>
      <c r="J563" s="801"/>
      <c r="K563" s="801"/>
      <c r="L563" s="803"/>
      <c r="M563" s="803"/>
      <c r="N563" s="801"/>
      <c r="O563" s="801"/>
      <c r="P563" s="801"/>
      <c r="Q563" s="801"/>
      <c r="R563" s="801"/>
      <c r="S563" s="374"/>
      <c r="T563" s="374"/>
      <c r="U563" s="374"/>
      <c r="V563" s="374"/>
      <c r="W563" s="374"/>
    </row>
    <row r="564" spans="1:23" s="1190" customFormat="1" ht="15.75" customHeight="1">
      <c r="A564" s="801"/>
      <c r="B564" s="801"/>
      <c r="C564" s="801"/>
      <c r="D564" s="1320"/>
      <c r="E564" s="1078"/>
      <c r="F564" s="801"/>
      <c r="G564" s="803"/>
      <c r="H564" s="801"/>
      <c r="I564" s="801"/>
      <c r="J564" s="801"/>
      <c r="K564" s="801"/>
      <c r="L564" s="803"/>
      <c r="M564" s="803"/>
      <c r="N564" s="801"/>
      <c r="O564" s="801"/>
      <c r="P564" s="801"/>
      <c r="Q564" s="801"/>
      <c r="R564" s="801"/>
      <c r="S564" s="374"/>
      <c r="T564" s="374"/>
      <c r="U564" s="374"/>
      <c r="V564" s="374"/>
      <c r="W564" s="374"/>
    </row>
    <row r="565" spans="1:23" s="1190" customFormat="1" ht="15.75" customHeight="1">
      <c r="A565" s="801"/>
      <c r="B565" s="801"/>
      <c r="C565" s="801"/>
      <c r="D565" s="1320"/>
      <c r="E565" s="1078"/>
      <c r="F565" s="801"/>
      <c r="G565" s="803"/>
      <c r="H565" s="801"/>
      <c r="I565" s="801"/>
      <c r="J565" s="801"/>
      <c r="K565" s="801"/>
      <c r="L565" s="803"/>
      <c r="M565" s="803"/>
      <c r="N565" s="801"/>
      <c r="O565" s="801"/>
      <c r="P565" s="801"/>
      <c r="Q565" s="801"/>
      <c r="R565" s="801"/>
      <c r="S565" s="374"/>
      <c r="T565" s="374"/>
      <c r="U565" s="374"/>
      <c r="V565" s="374"/>
      <c r="W565" s="374"/>
    </row>
    <row r="566" spans="1:23" s="1190" customFormat="1" ht="15.75" customHeight="1">
      <c r="A566" s="801"/>
      <c r="B566" s="801"/>
      <c r="C566" s="801"/>
      <c r="D566" s="1320"/>
      <c r="E566" s="1078"/>
      <c r="F566" s="801"/>
      <c r="G566" s="803"/>
      <c r="H566" s="801"/>
      <c r="I566" s="801"/>
      <c r="J566" s="801"/>
      <c r="K566" s="801"/>
      <c r="L566" s="803"/>
      <c r="M566" s="803"/>
      <c r="N566" s="801"/>
      <c r="O566" s="801"/>
      <c r="P566" s="801"/>
      <c r="Q566" s="801"/>
      <c r="R566" s="801"/>
      <c r="S566" s="374"/>
      <c r="T566" s="374"/>
      <c r="U566" s="374"/>
      <c r="V566" s="374"/>
      <c r="W566" s="374"/>
    </row>
    <row r="567" spans="1:23" s="1190" customFormat="1" ht="15.75" customHeight="1">
      <c r="A567" s="801"/>
      <c r="B567" s="801"/>
      <c r="C567" s="801"/>
      <c r="D567" s="1320"/>
      <c r="E567" s="1078"/>
      <c r="F567" s="801"/>
      <c r="G567" s="803"/>
      <c r="H567" s="801"/>
      <c r="I567" s="801"/>
      <c r="J567" s="801"/>
      <c r="K567" s="801"/>
      <c r="L567" s="803"/>
      <c r="M567" s="803"/>
      <c r="N567" s="801"/>
      <c r="O567" s="801"/>
      <c r="P567" s="801"/>
      <c r="Q567" s="801"/>
      <c r="R567" s="801"/>
      <c r="S567" s="374"/>
      <c r="T567" s="374"/>
      <c r="U567" s="374"/>
      <c r="V567" s="374"/>
      <c r="W567" s="374"/>
    </row>
    <row r="568" spans="1:23" s="1190" customFormat="1" ht="15.75" customHeight="1">
      <c r="A568" s="801"/>
      <c r="B568" s="801"/>
      <c r="C568" s="801"/>
      <c r="D568" s="1320"/>
      <c r="E568" s="1078"/>
      <c r="F568" s="801"/>
      <c r="G568" s="803"/>
      <c r="H568" s="801"/>
      <c r="I568" s="801"/>
      <c r="J568" s="801"/>
      <c r="K568" s="801"/>
      <c r="L568" s="803"/>
      <c r="M568" s="803"/>
      <c r="N568" s="801"/>
      <c r="O568" s="801"/>
      <c r="P568" s="801"/>
      <c r="Q568" s="801"/>
      <c r="R568" s="801"/>
      <c r="S568" s="374"/>
      <c r="T568" s="374"/>
      <c r="U568" s="374"/>
      <c r="V568" s="374"/>
      <c r="W568" s="374"/>
    </row>
    <row r="569" spans="1:23" s="1190" customFormat="1" ht="15.75" customHeight="1">
      <c r="A569" s="801"/>
      <c r="B569" s="801"/>
      <c r="C569" s="801"/>
      <c r="D569" s="1320"/>
      <c r="E569" s="1078"/>
      <c r="F569" s="801"/>
      <c r="G569" s="803"/>
      <c r="H569" s="801"/>
      <c r="I569" s="801"/>
      <c r="J569" s="801"/>
      <c r="K569" s="801"/>
      <c r="L569" s="803"/>
      <c r="M569" s="803"/>
      <c r="N569" s="801"/>
      <c r="O569" s="801"/>
      <c r="P569" s="801"/>
      <c r="Q569" s="801"/>
      <c r="R569" s="801"/>
      <c r="S569" s="374"/>
      <c r="T569" s="374"/>
      <c r="U569" s="374"/>
      <c r="V569" s="374"/>
      <c r="W569" s="374"/>
    </row>
    <row r="570" spans="1:23" s="1190" customFormat="1" ht="15.75" customHeight="1">
      <c r="A570" s="801"/>
      <c r="B570" s="801"/>
      <c r="C570" s="801"/>
      <c r="D570" s="1320"/>
      <c r="E570" s="1078"/>
      <c r="F570" s="801"/>
      <c r="G570" s="803"/>
      <c r="H570" s="801"/>
      <c r="I570" s="801"/>
      <c r="J570" s="801"/>
      <c r="K570" s="801"/>
      <c r="L570" s="803"/>
      <c r="M570" s="803"/>
      <c r="N570" s="801"/>
      <c r="O570" s="801"/>
      <c r="P570" s="801"/>
      <c r="Q570" s="801"/>
      <c r="R570" s="801"/>
      <c r="S570" s="374"/>
      <c r="T570" s="374"/>
      <c r="U570" s="374"/>
      <c r="V570" s="374"/>
      <c r="W570" s="374"/>
    </row>
    <row r="571" spans="1:23" s="1190" customFormat="1" ht="15.75" customHeight="1">
      <c r="A571" s="801"/>
      <c r="B571" s="801"/>
      <c r="C571" s="801"/>
      <c r="D571" s="1320"/>
      <c r="E571" s="1078"/>
      <c r="F571" s="801"/>
      <c r="G571" s="803"/>
      <c r="H571" s="801"/>
      <c r="I571" s="801"/>
      <c r="J571" s="801"/>
      <c r="K571" s="801"/>
      <c r="L571" s="803"/>
      <c r="M571" s="803"/>
      <c r="N571" s="801"/>
      <c r="O571" s="801"/>
      <c r="P571" s="801"/>
      <c r="Q571" s="801"/>
      <c r="R571" s="801"/>
      <c r="S571" s="374"/>
      <c r="T571" s="374"/>
      <c r="U571" s="374"/>
      <c r="V571" s="374"/>
      <c r="W571" s="374"/>
    </row>
    <row r="572" spans="1:23" s="1190" customFormat="1" ht="15.75" customHeight="1">
      <c r="A572" s="801"/>
      <c r="B572" s="801"/>
      <c r="C572" s="801"/>
      <c r="D572" s="1320"/>
      <c r="E572" s="1078"/>
      <c r="F572" s="801"/>
      <c r="G572" s="803"/>
      <c r="H572" s="801"/>
      <c r="I572" s="801"/>
      <c r="J572" s="801"/>
      <c r="K572" s="801"/>
      <c r="L572" s="803"/>
      <c r="M572" s="803"/>
      <c r="N572" s="801"/>
      <c r="O572" s="801"/>
      <c r="P572" s="801"/>
      <c r="Q572" s="801"/>
      <c r="R572" s="801"/>
      <c r="S572" s="374"/>
      <c r="T572" s="374"/>
      <c r="U572" s="374"/>
      <c r="V572" s="374"/>
      <c r="W572" s="374"/>
    </row>
    <row r="573" spans="1:23" s="1190" customFormat="1" ht="15.75" customHeight="1">
      <c r="A573" s="801"/>
      <c r="B573" s="801"/>
      <c r="C573" s="801"/>
      <c r="D573" s="1320"/>
      <c r="E573" s="1078"/>
      <c r="F573" s="801"/>
      <c r="G573" s="803"/>
      <c r="H573" s="801"/>
      <c r="I573" s="801"/>
      <c r="J573" s="801"/>
      <c r="K573" s="801"/>
      <c r="L573" s="803"/>
      <c r="M573" s="803"/>
      <c r="N573" s="801"/>
      <c r="O573" s="801"/>
      <c r="P573" s="801"/>
      <c r="Q573" s="801"/>
      <c r="R573" s="801"/>
      <c r="S573" s="374"/>
      <c r="T573" s="374"/>
      <c r="U573" s="374"/>
      <c r="V573" s="374"/>
      <c r="W573" s="374"/>
    </row>
    <row r="574" spans="1:23" s="1190" customFormat="1" ht="15.75" customHeight="1">
      <c r="A574" s="801"/>
      <c r="B574" s="801"/>
      <c r="C574" s="801"/>
      <c r="D574" s="1320"/>
      <c r="E574" s="1078"/>
      <c r="F574" s="801"/>
      <c r="G574" s="803"/>
      <c r="H574" s="801"/>
      <c r="I574" s="801"/>
      <c r="J574" s="801"/>
      <c r="K574" s="801"/>
      <c r="L574" s="803"/>
      <c r="M574" s="803"/>
      <c r="N574" s="801"/>
      <c r="O574" s="801"/>
      <c r="P574" s="801"/>
      <c r="Q574" s="801"/>
      <c r="R574" s="801"/>
      <c r="S574" s="374"/>
      <c r="T574" s="374"/>
      <c r="U574" s="374"/>
      <c r="V574" s="374"/>
      <c r="W574" s="374"/>
    </row>
    <row r="575" spans="1:23" s="1190" customFormat="1" ht="15.75" customHeight="1">
      <c r="A575" s="801"/>
      <c r="B575" s="801"/>
      <c r="C575" s="801"/>
      <c r="D575" s="1320"/>
      <c r="E575" s="1078"/>
      <c r="F575" s="801"/>
      <c r="G575" s="803"/>
      <c r="H575" s="801"/>
      <c r="I575" s="801"/>
      <c r="J575" s="801"/>
      <c r="K575" s="801"/>
      <c r="L575" s="803"/>
      <c r="M575" s="803"/>
      <c r="N575" s="801"/>
      <c r="O575" s="801"/>
      <c r="P575" s="801"/>
      <c r="Q575" s="801"/>
      <c r="R575" s="801"/>
      <c r="S575" s="374"/>
      <c r="T575" s="374"/>
      <c r="U575" s="374"/>
      <c r="V575" s="374"/>
      <c r="W575" s="374"/>
    </row>
    <row r="576" spans="1:23" s="1190" customFormat="1" ht="15.75" customHeight="1">
      <c r="A576" s="801"/>
      <c r="B576" s="801"/>
      <c r="C576" s="801"/>
      <c r="D576" s="1320"/>
      <c r="E576" s="1078"/>
      <c r="F576" s="801"/>
      <c r="G576" s="803"/>
      <c r="H576" s="801"/>
      <c r="I576" s="801"/>
      <c r="J576" s="801"/>
      <c r="K576" s="801"/>
      <c r="L576" s="803"/>
      <c r="M576" s="803"/>
      <c r="N576" s="801"/>
      <c r="O576" s="801"/>
      <c r="P576" s="801"/>
      <c r="Q576" s="801"/>
      <c r="R576" s="801"/>
      <c r="S576" s="374"/>
      <c r="T576" s="374"/>
      <c r="U576" s="374"/>
      <c r="V576" s="374"/>
      <c r="W576" s="374"/>
    </row>
    <row r="577" spans="1:23" s="1190" customFormat="1" ht="15.75" customHeight="1">
      <c r="A577" s="801"/>
      <c r="B577" s="801"/>
      <c r="C577" s="801"/>
      <c r="D577" s="1320"/>
      <c r="E577" s="1078"/>
      <c r="F577" s="801"/>
      <c r="G577" s="803"/>
      <c r="H577" s="801"/>
      <c r="I577" s="801"/>
      <c r="J577" s="801"/>
      <c r="K577" s="801"/>
      <c r="L577" s="803"/>
      <c r="M577" s="803"/>
      <c r="N577" s="801"/>
      <c r="O577" s="801"/>
      <c r="P577" s="801"/>
      <c r="Q577" s="801"/>
      <c r="R577" s="801"/>
      <c r="S577" s="374"/>
      <c r="T577" s="374"/>
      <c r="U577" s="374"/>
      <c r="V577" s="374"/>
      <c r="W577" s="374"/>
    </row>
    <row r="578" spans="1:23" s="1190" customFormat="1" ht="15.75" customHeight="1">
      <c r="A578" s="801"/>
      <c r="B578" s="801"/>
      <c r="C578" s="801"/>
      <c r="D578" s="1320"/>
      <c r="E578" s="1078"/>
      <c r="F578" s="801"/>
      <c r="G578" s="803"/>
      <c r="H578" s="801"/>
      <c r="I578" s="801"/>
      <c r="J578" s="801"/>
      <c r="K578" s="801"/>
      <c r="L578" s="803"/>
      <c r="M578" s="803"/>
      <c r="N578" s="801"/>
      <c r="O578" s="801"/>
      <c r="P578" s="801"/>
      <c r="Q578" s="801"/>
      <c r="R578" s="801"/>
      <c r="S578" s="374"/>
      <c r="T578" s="374"/>
      <c r="U578" s="374"/>
      <c r="V578" s="374"/>
      <c r="W578" s="374"/>
    </row>
    <row r="579" spans="1:23" s="1190" customFormat="1" ht="15.75" customHeight="1">
      <c r="A579" s="801"/>
      <c r="B579" s="801"/>
      <c r="C579" s="801"/>
      <c r="D579" s="1320"/>
      <c r="E579" s="1078"/>
      <c r="F579" s="801"/>
      <c r="G579" s="803"/>
      <c r="H579" s="801"/>
      <c r="I579" s="801"/>
      <c r="J579" s="801"/>
      <c r="K579" s="801"/>
      <c r="L579" s="803"/>
      <c r="M579" s="803"/>
      <c r="N579" s="801"/>
      <c r="O579" s="801"/>
      <c r="P579" s="801"/>
      <c r="Q579" s="801"/>
      <c r="R579" s="801"/>
      <c r="S579" s="374"/>
      <c r="T579" s="374"/>
      <c r="U579" s="374"/>
      <c r="V579" s="374"/>
      <c r="W579" s="374"/>
    </row>
    <row r="580" spans="1:23" s="1190" customFormat="1" ht="15.75" customHeight="1">
      <c r="A580" s="801"/>
      <c r="B580" s="801"/>
      <c r="C580" s="801"/>
      <c r="D580" s="1320"/>
      <c r="E580" s="1078"/>
      <c r="F580" s="801"/>
      <c r="G580" s="803"/>
      <c r="H580" s="801"/>
      <c r="I580" s="801"/>
      <c r="J580" s="801"/>
      <c r="K580" s="801"/>
      <c r="L580" s="803"/>
      <c r="M580" s="803"/>
      <c r="N580" s="801"/>
      <c r="O580" s="801"/>
      <c r="P580" s="801"/>
      <c r="Q580" s="801"/>
      <c r="R580" s="801"/>
      <c r="S580" s="374"/>
      <c r="T580" s="374"/>
      <c r="U580" s="374"/>
      <c r="V580" s="374"/>
      <c r="W580" s="374"/>
    </row>
    <row r="581" spans="1:23" s="1190" customFormat="1" ht="15.75" customHeight="1">
      <c r="A581" s="801"/>
      <c r="B581" s="801"/>
      <c r="C581" s="801"/>
      <c r="D581" s="1320"/>
      <c r="E581" s="1078"/>
      <c r="F581" s="801"/>
      <c r="G581" s="803"/>
      <c r="H581" s="801"/>
      <c r="I581" s="801"/>
      <c r="J581" s="801"/>
      <c r="K581" s="801"/>
      <c r="L581" s="803"/>
      <c r="M581" s="803"/>
      <c r="N581" s="801"/>
      <c r="O581" s="801"/>
      <c r="P581" s="801"/>
      <c r="Q581" s="801"/>
      <c r="R581" s="801"/>
      <c r="S581" s="374"/>
      <c r="T581" s="374"/>
      <c r="U581" s="374"/>
      <c r="V581" s="374"/>
      <c r="W581" s="374"/>
    </row>
    <row r="582" spans="1:23" s="1190" customFormat="1" ht="15.75" customHeight="1">
      <c r="A582" s="801"/>
      <c r="B582" s="801"/>
      <c r="C582" s="801"/>
      <c r="D582" s="1320"/>
      <c r="E582" s="1078"/>
      <c r="F582" s="801"/>
      <c r="G582" s="803"/>
      <c r="H582" s="801"/>
      <c r="I582" s="801"/>
      <c r="J582" s="801"/>
      <c r="K582" s="801"/>
      <c r="L582" s="803"/>
      <c r="M582" s="803"/>
      <c r="N582" s="801"/>
      <c r="O582" s="801"/>
      <c r="P582" s="801"/>
      <c r="Q582" s="801"/>
      <c r="R582" s="801"/>
      <c r="S582" s="374"/>
      <c r="T582" s="374"/>
      <c r="U582" s="374"/>
      <c r="V582" s="374"/>
      <c r="W582" s="374"/>
    </row>
    <row r="583" spans="1:23" s="1190" customFormat="1" ht="15.75" customHeight="1">
      <c r="A583" s="801"/>
      <c r="B583" s="801"/>
      <c r="C583" s="801"/>
      <c r="D583" s="1320"/>
      <c r="E583" s="1078"/>
      <c r="F583" s="801"/>
      <c r="G583" s="803"/>
      <c r="H583" s="801"/>
      <c r="I583" s="801"/>
      <c r="J583" s="801"/>
      <c r="K583" s="801"/>
      <c r="L583" s="803"/>
      <c r="M583" s="803"/>
      <c r="N583" s="801"/>
      <c r="O583" s="801"/>
      <c r="P583" s="801"/>
      <c r="Q583" s="801"/>
      <c r="R583" s="801"/>
      <c r="S583" s="374"/>
      <c r="T583" s="374"/>
      <c r="U583" s="374"/>
      <c r="V583" s="374"/>
      <c r="W583" s="374"/>
    </row>
    <row r="584" spans="1:23" s="1190" customFormat="1" ht="15.75" customHeight="1">
      <c r="A584" s="801"/>
      <c r="B584" s="801"/>
      <c r="C584" s="801"/>
      <c r="D584" s="1320"/>
      <c r="E584" s="1078"/>
      <c r="F584" s="801"/>
      <c r="G584" s="803"/>
      <c r="H584" s="801"/>
      <c r="I584" s="801"/>
      <c r="J584" s="801"/>
      <c r="K584" s="801"/>
      <c r="L584" s="803"/>
      <c r="M584" s="803"/>
      <c r="N584" s="801"/>
      <c r="O584" s="801"/>
      <c r="P584" s="801"/>
      <c r="Q584" s="801"/>
      <c r="R584" s="801"/>
      <c r="S584" s="374"/>
      <c r="T584" s="374"/>
      <c r="U584" s="374"/>
      <c r="V584" s="374"/>
      <c r="W584" s="374"/>
    </row>
    <row r="585" spans="1:23" s="1190" customFormat="1" ht="15.75" customHeight="1">
      <c r="A585" s="801"/>
      <c r="B585" s="801"/>
      <c r="C585" s="801"/>
      <c r="D585" s="1320"/>
      <c r="E585" s="1078"/>
      <c r="F585" s="801"/>
      <c r="G585" s="803"/>
      <c r="H585" s="801"/>
      <c r="I585" s="801"/>
      <c r="J585" s="801"/>
      <c r="K585" s="801"/>
      <c r="L585" s="803"/>
      <c r="M585" s="803"/>
      <c r="N585" s="801"/>
      <c r="O585" s="801"/>
      <c r="P585" s="801"/>
      <c r="Q585" s="801"/>
      <c r="R585" s="801"/>
      <c r="S585" s="374"/>
      <c r="T585" s="374"/>
      <c r="U585" s="374"/>
      <c r="V585" s="374"/>
      <c r="W585" s="374"/>
    </row>
    <row r="586" spans="1:23" s="1190" customFormat="1" ht="15.75" customHeight="1">
      <c r="A586" s="801"/>
      <c r="B586" s="801"/>
      <c r="C586" s="801"/>
      <c r="D586" s="1320"/>
      <c r="E586" s="1078"/>
      <c r="F586" s="801"/>
      <c r="G586" s="803"/>
      <c r="H586" s="801"/>
      <c r="I586" s="801"/>
      <c r="J586" s="801"/>
      <c r="K586" s="801"/>
      <c r="L586" s="803"/>
      <c r="M586" s="803"/>
      <c r="N586" s="801"/>
      <c r="O586" s="801"/>
      <c r="P586" s="801"/>
      <c r="Q586" s="801"/>
      <c r="R586" s="801"/>
      <c r="S586" s="374"/>
      <c r="T586" s="374"/>
      <c r="U586" s="374"/>
      <c r="V586" s="374"/>
      <c r="W586" s="374"/>
    </row>
    <row r="587" spans="1:23" s="1190" customFormat="1" ht="15.75" customHeight="1">
      <c r="A587" s="801"/>
      <c r="B587" s="801"/>
      <c r="C587" s="801"/>
      <c r="D587" s="1320"/>
      <c r="E587" s="1078"/>
      <c r="F587" s="801"/>
      <c r="G587" s="803"/>
      <c r="H587" s="801"/>
      <c r="I587" s="801"/>
      <c r="J587" s="801"/>
      <c r="K587" s="801"/>
      <c r="L587" s="803"/>
      <c r="M587" s="803"/>
      <c r="N587" s="801"/>
      <c r="O587" s="801"/>
      <c r="P587" s="801"/>
      <c r="Q587" s="801"/>
      <c r="R587" s="801"/>
      <c r="S587" s="374"/>
      <c r="T587" s="374"/>
      <c r="U587" s="374"/>
      <c r="V587" s="374"/>
      <c r="W587" s="374"/>
    </row>
    <row r="588" spans="1:23" s="1190" customFormat="1" ht="15.75" customHeight="1">
      <c r="A588" s="801"/>
      <c r="B588" s="801"/>
      <c r="C588" s="801"/>
      <c r="D588" s="1320"/>
      <c r="E588" s="1078"/>
      <c r="F588" s="801"/>
      <c r="G588" s="803"/>
      <c r="H588" s="801"/>
      <c r="I588" s="801"/>
      <c r="J588" s="801"/>
      <c r="K588" s="801"/>
      <c r="L588" s="803"/>
      <c r="M588" s="803"/>
      <c r="N588" s="801"/>
      <c r="O588" s="801"/>
      <c r="P588" s="801"/>
      <c r="Q588" s="801"/>
      <c r="R588" s="801"/>
      <c r="S588" s="374"/>
      <c r="T588" s="374"/>
      <c r="U588" s="374"/>
      <c r="V588" s="374"/>
      <c r="W588" s="374"/>
    </row>
    <row r="589" spans="1:23" s="1190" customFormat="1" ht="15.75" customHeight="1">
      <c r="A589" s="801"/>
      <c r="B589" s="801"/>
      <c r="C589" s="801"/>
      <c r="D589" s="1320"/>
      <c r="E589" s="1078"/>
      <c r="F589" s="801"/>
      <c r="G589" s="803"/>
      <c r="H589" s="801"/>
      <c r="I589" s="801"/>
      <c r="J589" s="801"/>
      <c r="K589" s="801"/>
      <c r="L589" s="803"/>
      <c r="M589" s="803"/>
      <c r="N589" s="801"/>
      <c r="O589" s="801"/>
      <c r="P589" s="801"/>
      <c r="Q589" s="801"/>
      <c r="R589" s="801"/>
      <c r="S589" s="374"/>
      <c r="T589" s="374"/>
      <c r="U589" s="374"/>
      <c r="V589" s="374"/>
      <c r="W589" s="374"/>
    </row>
    <row r="590" spans="1:23" s="1190" customFormat="1" ht="15.75" customHeight="1">
      <c r="A590" s="801"/>
      <c r="B590" s="801"/>
      <c r="C590" s="801"/>
      <c r="D590" s="1320"/>
      <c r="E590" s="1078"/>
      <c r="F590" s="801"/>
      <c r="G590" s="803"/>
      <c r="H590" s="801"/>
      <c r="I590" s="801"/>
      <c r="J590" s="801"/>
      <c r="K590" s="801"/>
      <c r="L590" s="803"/>
      <c r="M590" s="803"/>
      <c r="N590" s="801"/>
      <c r="O590" s="801"/>
      <c r="P590" s="801"/>
      <c r="Q590" s="801"/>
      <c r="R590" s="801"/>
      <c r="S590" s="374"/>
      <c r="T590" s="374"/>
      <c r="U590" s="374"/>
      <c r="V590" s="374"/>
      <c r="W590" s="374"/>
    </row>
    <row r="591" spans="1:23" s="1190" customFormat="1" ht="15.75" customHeight="1">
      <c r="A591" s="801"/>
      <c r="B591" s="801"/>
      <c r="C591" s="801"/>
      <c r="D591" s="1320"/>
      <c r="E591" s="1078"/>
      <c r="F591" s="801"/>
      <c r="G591" s="803"/>
      <c r="H591" s="801"/>
      <c r="I591" s="801"/>
      <c r="J591" s="801"/>
      <c r="K591" s="801"/>
      <c r="L591" s="803"/>
      <c r="M591" s="803"/>
      <c r="N591" s="801"/>
      <c r="O591" s="801"/>
      <c r="P591" s="801"/>
      <c r="Q591" s="801"/>
      <c r="R591" s="801"/>
      <c r="S591" s="374"/>
      <c r="T591" s="374"/>
      <c r="U591" s="374"/>
      <c r="V591" s="374"/>
      <c r="W591" s="374"/>
    </row>
    <row r="592" spans="1:23" s="1190" customFormat="1" ht="15.75" customHeight="1">
      <c r="A592" s="801"/>
      <c r="B592" s="801"/>
      <c r="C592" s="801"/>
      <c r="D592" s="1320"/>
      <c r="E592" s="1078"/>
      <c r="F592" s="801"/>
      <c r="G592" s="803"/>
      <c r="H592" s="801"/>
      <c r="I592" s="801"/>
      <c r="J592" s="801"/>
      <c r="K592" s="801"/>
      <c r="L592" s="803"/>
      <c r="M592" s="803"/>
      <c r="N592" s="801"/>
      <c r="O592" s="801"/>
      <c r="P592" s="801"/>
      <c r="Q592" s="801"/>
      <c r="R592" s="801"/>
      <c r="S592" s="374"/>
      <c r="T592" s="374"/>
      <c r="U592" s="374"/>
      <c r="V592" s="374"/>
      <c r="W592" s="374"/>
    </row>
    <row r="593" spans="1:23" s="1190" customFormat="1" ht="15.75" customHeight="1">
      <c r="A593" s="801"/>
      <c r="B593" s="801"/>
      <c r="C593" s="801"/>
      <c r="D593" s="1320"/>
      <c r="E593" s="1078"/>
      <c r="F593" s="801"/>
      <c r="G593" s="803"/>
      <c r="H593" s="801"/>
      <c r="I593" s="801"/>
      <c r="J593" s="801"/>
      <c r="K593" s="801"/>
      <c r="L593" s="803"/>
      <c r="M593" s="803"/>
      <c r="N593" s="801"/>
      <c r="O593" s="801"/>
      <c r="P593" s="801"/>
      <c r="Q593" s="801"/>
      <c r="R593" s="801"/>
      <c r="S593" s="374"/>
      <c r="T593" s="374"/>
      <c r="U593" s="374"/>
      <c r="V593" s="374"/>
      <c r="W593" s="374"/>
    </row>
    <row r="594" spans="1:23" s="1190" customFormat="1" ht="15.75" customHeight="1">
      <c r="A594" s="801"/>
      <c r="B594" s="801"/>
      <c r="C594" s="801"/>
      <c r="D594" s="1320"/>
      <c r="E594" s="1078"/>
      <c r="F594" s="801"/>
      <c r="G594" s="803"/>
      <c r="H594" s="801"/>
      <c r="I594" s="801"/>
      <c r="J594" s="801"/>
      <c r="K594" s="801"/>
      <c r="L594" s="803"/>
      <c r="M594" s="803"/>
      <c r="N594" s="801"/>
      <c r="O594" s="801"/>
      <c r="P594" s="801"/>
      <c r="Q594" s="801"/>
      <c r="R594" s="801"/>
      <c r="S594" s="374"/>
      <c r="T594" s="374"/>
      <c r="U594" s="374"/>
      <c r="V594" s="374"/>
      <c r="W594" s="374"/>
    </row>
    <row r="595" spans="1:23" s="1190" customFormat="1" ht="15.75" customHeight="1">
      <c r="A595" s="801"/>
      <c r="B595" s="801"/>
      <c r="C595" s="801"/>
      <c r="D595" s="1320"/>
      <c r="E595" s="1078"/>
      <c r="F595" s="801"/>
      <c r="G595" s="803"/>
      <c r="H595" s="801"/>
      <c r="I595" s="801"/>
      <c r="J595" s="801"/>
      <c r="K595" s="801"/>
      <c r="L595" s="803"/>
      <c r="M595" s="803"/>
      <c r="N595" s="801"/>
      <c r="O595" s="801"/>
      <c r="P595" s="801"/>
      <c r="Q595" s="801"/>
      <c r="R595" s="801"/>
      <c r="S595" s="374"/>
      <c r="T595" s="374"/>
      <c r="U595" s="374"/>
      <c r="V595" s="374"/>
      <c r="W595" s="374"/>
    </row>
    <row r="596" spans="1:23" s="1190" customFormat="1" ht="15.75" customHeight="1">
      <c r="A596" s="801"/>
      <c r="B596" s="801"/>
      <c r="C596" s="801"/>
      <c r="D596" s="1320"/>
      <c r="E596" s="1078"/>
      <c r="F596" s="801"/>
      <c r="G596" s="803"/>
      <c r="H596" s="801"/>
      <c r="I596" s="801"/>
      <c r="J596" s="801"/>
      <c r="K596" s="801"/>
      <c r="L596" s="803"/>
      <c r="M596" s="803"/>
      <c r="N596" s="801"/>
      <c r="O596" s="801"/>
      <c r="P596" s="801"/>
      <c r="Q596" s="801"/>
      <c r="R596" s="801"/>
      <c r="S596" s="374"/>
      <c r="T596" s="374"/>
      <c r="U596" s="374"/>
      <c r="V596" s="374"/>
      <c r="W596" s="374"/>
    </row>
    <row r="597" spans="1:23" s="1190" customFormat="1" ht="15.75" customHeight="1">
      <c r="A597" s="801"/>
      <c r="B597" s="801"/>
      <c r="C597" s="801"/>
      <c r="D597" s="1320"/>
      <c r="E597" s="1078"/>
      <c r="F597" s="801"/>
      <c r="G597" s="803"/>
      <c r="H597" s="801"/>
      <c r="I597" s="801"/>
      <c r="J597" s="801"/>
      <c r="K597" s="801"/>
      <c r="L597" s="803"/>
      <c r="M597" s="803"/>
      <c r="N597" s="801"/>
      <c r="O597" s="801"/>
      <c r="P597" s="801"/>
      <c r="Q597" s="801"/>
      <c r="R597" s="801"/>
      <c r="S597" s="374"/>
      <c r="T597" s="374"/>
      <c r="U597" s="374"/>
      <c r="V597" s="374"/>
      <c r="W597" s="374"/>
    </row>
    <row r="598" spans="1:23" s="1190" customFormat="1" ht="15.75" customHeight="1">
      <c r="A598" s="801"/>
      <c r="B598" s="801"/>
      <c r="C598" s="801"/>
      <c r="D598" s="1320"/>
      <c r="E598" s="1078"/>
      <c r="F598" s="801"/>
      <c r="G598" s="803"/>
      <c r="H598" s="801"/>
      <c r="I598" s="801"/>
      <c r="J598" s="801"/>
      <c r="K598" s="801"/>
      <c r="L598" s="803"/>
      <c r="M598" s="803"/>
      <c r="N598" s="801"/>
      <c r="O598" s="801"/>
      <c r="P598" s="801"/>
      <c r="Q598" s="801"/>
      <c r="R598" s="801"/>
      <c r="S598" s="374"/>
      <c r="T598" s="374"/>
      <c r="U598" s="374"/>
      <c r="V598" s="374"/>
      <c r="W598" s="374"/>
    </row>
    <row r="599" spans="1:23" s="1190" customFormat="1" ht="15.75" customHeight="1">
      <c r="A599" s="801"/>
      <c r="B599" s="801"/>
      <c r="C599" s="801"/>
      <c r="D599" s="1320"/>
      <c r="E599" s="1078"/>
      <c r="F599" s="801"/>
      <c r="G599" s="803"/>
      <c r="H599" s="801"/>
      <c r="I599" s="801"/>
      <c r="J599" s="801"/>
      <c r="K599" s="801"/>
      <c r="L599" s="803"/>
      <c r="M599" s="803"/>
      <c r="N599" s="801"/>
      <c r="O599" s="801"/>
      <c r="P599" s="801"/>
      <c r="Q599" s="801"/>
      <c r="R599" s="801"/>
      <c r="S599" s="374"/>
      <c r="T599" s="374"/>
      <c r="U599" s="374"/>
      <c r="V599" s="374"/>
      <c r="W599" s="374"/>
    </row>
    <row r="600" spans="1:23" s="1190" customFormat="1" ht="15.75" customHeight="1">
      <c r="A600" s="801"/>
      <c r="B600" s="801"/>
      <c r="C600" s="801"/>
      <c r="D600" s="1320"/>
      <c r="E600" s="1078"/>
      <c r="F600" s="801"/>
      <c r="G600" s="803"/>
      <c r="H600" s="801"/>
      <c r="I600" s="801"/>
      <c r="J600" s="801"/>
      <c r="K600" s="801"/>
      <c r="L600" s="803"/>
      <c r="M600" s="803"/>
      <c r="N600" s="801"/>
      <c r="O600" s="801"/>
      <c r="P600" s="801"/>
      <c r="Q600" s="801"/>
      <c r="R600" s="801"/>
      <c r="S600" s="374"/>
      <c r="T600" s="374"/>
      <c r="U600" s="374"/>
      <c r="V600" s="374"/>
      <c r="W600" s="374"/>
    </row>
    <row r="601" spans="1:23" s="1190" customFormat="1" ht="15.75" customHeight="1">
      <c r="A601" s="801"/>
      <c r="B601" s="801"/>
      <c r="C601" s="801"/>
      <c r="D601" s="1320"/>
      <c r="E601" s="1078"/>
      <c r="F601" s="801"/>
      <c r="G601" s="803"/>
      <c r="H601" s="801"/>
      <c r="I601" s="801"/>
      <c r="J601" s="801"/>
      <c r="K601" s="801"/>
      <c r="L601" s="803"/>
      <c r="M601" s="803"/>
      <c r="N601" s="801"/>
      <c r="O601" s="801"/>
      <c r="P601" s="801"/>
      <c r="Q601" s="801"/>
      <c r="R601" s="801"/>
      <c r="S601" s="374"/>
      <c r="T601" s="374"/>
      <c r="U601" s="374"/>
      <c r="V601" s="374"/>
      <c r="W601" s="374"/>
    </row>
    <row r="602" spans="1:23" s="1190" customFormat="1" ht="15.75" customHeight="1">
      <c r="A602" s="801"/>
      <c r="B602" s="801"/>
      <c r="C602" s="801"/>
      <c r="D602" s="1320"/>
      <c r="E602" s="1078"/>
      <c r="F602" s="801"/>
      <c r="G602" s="803"/>
      <c r="H602" s="801"/>
      <c r="I602" s="801"/>
      <c r="J602" s="801"/>
      <c r="K602" s="801"/>
      <c r="L602" s="803"/>
      <c r="M602" s="803"/>
      <c r="N602" s="801"/>
      <c r="O602" s="801"/>
      <c r="P602" s="801"/>
      <c r="Q602" s="801"/>
      <c r="R602" s="801"/>
      <c r="S602" s="374"/>
      <c r="T602" s="374"/>
      <c r="U602" s="374"/>
      <c r="V602" s="374"/>
      <c r="W602" s="374"/>
    </row>
    <row r="603" spans="1:23" s="1190" customFormat="1" ht="15.75" customHeight="1">
      <c r="A603" s="801"/>
      <c r="B603" s="801"/>
      <c r="C603" s="801"/>
      <c r="D603" s="1320"/>
      <c r="E603" s="1078"/>
      <c r="F603" s="801"/>
      <c r="G603" s="803"/>
      <c r="H603" s="801"/>
      <c r="I603" s="801"/>
      <c r="J603" s="801"/>
      <c r="K603" s="801"/>
      <c r="L603" s="803"/>
      <c r="M603" s="803"/>
      <c r="N603" s="801"/>
      <c r="O603" s="801"/>
      <c r="P603" s="801"/>
      <c r="Q603" s="801"/>
      <c r="R603" s="801"/>
      <c r="S603" s="374"/>
      <c r="T603" s="374"/>
      <c r="U603" s="374"/>
      <c r="V603" s="374"/>
      <c r="W603" s="374"/>
    </row>
    <row r="604" spans="1:23" s="1190" customFormat="1" ht="15.75" customHeight="1">
      <c r="A604" s="801"/>
      <c r="B604" s="801"/>
      <c r="C604" s="801"/>
      <c r="D604" s="1320"/>
      <c r="E604" s="1078"/>
      <c r="F604" s="801"/>
      <c r="G604" s="803"/>
      <c r="H604" s="801"/>
      <c r="I604" s="801"/>
      <c r="J604" s="801"/>
      <c r="K604" s="801"/>
      <c r="L604" s="803"/>
      <c r="M604" s="803"/>
      <c r="N604" s="801"/>
      <c r="O604" s="801"/>
      <c r="P604" s="801"/>
      <c r="Q604" s="801"/>
      <c r="R604" s="801"/>
      <c r="S604" s="374"/>
      <c r="T604" s="374"/>
      <c r="U604" s="374"/>
      <c r="V604" s="374"/>
      <c r="W604" s="374"/>
    </row>
    <row r="605" spans="1:23" s="1190" customFormat="1" ht="15.75" customHeight="1">
      <c r="A605" s="801"/>
      <c r="B605" s="801"/>
      <c r="C605" s="801"/>
      <c r="D605" s="1320"/>
      <c r="E605" s="1078"/>
      <c r="F605" s="801"/>
      <c r="G605" s="803"/>
      <c r="H605" s="801"/>
      <c r="I605" s="801"/>
      <c r="J605" s="801"/>
      <c r="K605" s="801"/>
      <c r="L605" s="803"/>
      <c r="M605" s="803"/>
      <c r="N605" s="801"/>
      <c r="O605" s="801"/>
      <c r="P605" s="801"/>
      <c r="Q605" s="801"/>
      <c r="R605" s="801"/>
      <c r="S605" s="374"/>
      <c r="T605" s="374"/>
      <c r="U605" s="374"/>
      <c r="V605" s="374"/>
      <c r="W605" s="374"/>
    </row>
    <row r="606" spans="1:23" s="1190" customFormat="1" ht="15.75" customHeight="1">
      <c r="A606" s="801"/>
      <c r="B606" s="801"/>
      <c r="C606" s="801"/>
      <c r="D606" s="1320"/>
      <c r="E606" s="1078"/>
      <c r="F606" s="801"/>
      <c r="G606" s="803"/>
      <c r="H606" s="801"/>
      <c r="I606" s="801"/>
      <c r="J606" s="801"/>
      <c r="K606" s="801"/>
      <c r="L606" s="803"/>
      <c r="M606" s="803"/>
      <c r="N606" s="801"/>
      <c r="O606" s="801"/>
      <c r="P606" s="801"/>
      <c r="Q606" s="801"/>
      <c r="R606" s="801"/>
      <c r="S606" s="374"/>
      <c r="T606" s="374"/>
      <c r="U606" s="374"/>
      <c r="V606" s="374"/>
      <c r="W606" s="374"/>
    </row>
    <row r="607" spans="1:23" s="1190" customFormat="1" ht="15.75" customHeight="1">
      <c r="A607" s="801"/>
      <c r="B607" s="801"/>
      <c r="C607" s="801"/>
      <c r="D607" s="1320"/>
      <c r="E607" s="1078"/>
      <c r="F607" s="801"/>
      <c r="G607" s="803"/>
      <c r="H607" s="801"/>
      <c r="I607" s="801"/>
      <c r="J607" s="801"/>
      <c r="K607" s="801"/>
      <c r="L607" s="803"/>
      <c r="M607" s="803"/>
      <c r="N607" s="801"/>
      <c r="O607" s="801"/>
      <c r="P607" s="801"/>
      <c r="Q607" s="801"/>
      <c r="R607" s="801"/>
      <c r="S607" s="374"/>
      <c r="T607" s="374"/>
      <c r="U607" s="374"/>
      <c r="V607" s="374"/>
      <c r="W607" s="374"/>
    </row>
    <row r="608" spans="1:23" s="1190" customFormat="1" ht="15.75" customHeight="1">
      <c r="A608" s="801"/>
      <c r="B608" s="801"/>
      <c r="C608" s="801"/>
      <c r="D608" s="1320"/>
      <c r="E608" s="1078"/>
      <c r="F608" s="801"/>
      <c r="G608" s="803"/>
      <c r="H608" s="801"/>
      <c r="I608" s="801"/>
      <c r="J608" s="801"/>
      <c r="K608" s="801"/>
      <c r="L608" s="803"/>
      <c r="M608" s="803"/>
      <c r="N608" s="801"/>
      <c r="O608" s="801"/>
      <c r="P608" s="801"/>
      <c r="Q608" s="801"/>
      <c r="R608" s="801"/>
      <c r="S608" s="374"/>
      <c r="T608" s="374"/>
      <c r="U608" s="374"/>
      <c r="V608" s="374"/>
      <c r="W608" s="374"/>
    </row>
    <row r="609" spans="1:23" s="1190" customFormat="1" ht="15.75" customHeight="1">
      <c r="A609" s="801"/>
      <c r="B609" s="801"/>
      <c r="C609" s="801"/>
      <c r="D609" s="1320"/>
      <c r="E609" s="1078"/>
      <c r="F609" s="801"/>
      <c r="G609" s="803"/>
      <c r="H609" s="801"/>
      <c r="I609" s="801"/>
      <c r="J609" s="801"/>
      <c r="K609" s="801"/>
      <c r="L609" s="803"/>
      <c r="M609" s="803"/>
      <c r="N609" s="801"/>
      <c r="O609" s="801"/>
      <c r="P609" s="801"/>
      <c r="Q609" s="801"/>
      <c r="R609" s="801"/>
      <c r="S609" s="374"/>
      <c r="T609" s="374"/>
      <c r="U609" s="374"/>
      <c r="V609" s="374"/>
      <c r="W609" s="374"/>
    </row>
    <row r="610" spans="1:23" s="1190" customFormat="1" ht="15.75" customHeight="1">
      <c r="A610" s="801"/>
      <c r="B610" s="801"/>
      <c r="C610" s="801"/>
      <c r="D610" s="1320"/>
      <c r="E610" s="1078"/>
      <c r="F610" s="801"/>
      <c r="G610" s="803"/>
      <c r="H610" s="801"/>
      <c r="I610" s="801"/>
      <c r="J610" s="801"/>
      <c r="K610" s="801"/>
      <c r="L610" s="803"/>
      <c r="M610" s="803"/>
      <c r="N610" s="801"/>
      <c r="O610" s="801"/>
      <c r="P610" s="801"/>
      <c r="Q610" s="801"/>
      <c r="R610" s="801"/>
      <c r="S610" s="374"/>
      <c r="T610" s="374"/>
      <c r="U610" s="374"/>
      <c r="V610" s="374"/>
      <c r="W610" s="374"/>
    </row>
    <row r="611" spans="1:23" s="1190" customFormat="1" ht="15.75" customHeight="1">
      <c r="A611" s="801"/>
      <c r="B611" s="801"/>
      <c r="C611" s="801"/>
      <c r="D611" s="1320"/>
      <c r="E611" s="1078"/>
      <c r="F611" s="801"/>
      <c r="G611" s="803"/>
      <c r="H611" s="801"/>
      <c r="I611" s="801"/>
      <c r="J611" s="801"/>
      <c r="K611" s="801"/>
      <c r="L611" s="803"/>
      <c r="M611" s="803"/>
      <c r="N611" s="801"/>
      <c r="O611" s="801"/>
      <c r="P611" s="801"/>
      <c r="Q611" s="801"/>
      <c r="R611" s="801"/>
      <c r="S611" s="374"/>
      <c r="T611" s="374"/>
      <c r="U611" s="374"/>
      <c r="V611" s="374"/>
      <c r="W611" s="374"/>
    </row>
    <row r="612" spans="1:23" s="1190" customFormat="1" ht="15.75" customHeight="1">
      <c r="A612" s="801"/>
      <c r="B612" s="801"/>
      <c r="C612" s="801"/>
      <c r="D612" s="1320"/>
      <c r="E612" s="1078"/>
      <c r="F612" s="801"/>
      <c r="G612" s="803"/>
      <c r="H612" s="801"/>
      <c r="I612" s="801"/>
      <c r="J612" s="801"/>
      <c r="K612" s="801"/>
      <c r="L612" s="803"/>
      <c r="M612" s="803"/>
      <c r="N612" s="801"/>
      <c r="O612" s="801"/>
      <c r="P612" s="801"/>
      <c r="Q612" s="801"/>
      <c r="R612" s="801"/>
      <c r="S612" s="374"/>
      <c r="T612" s="374"/>
      <c r="U612" s="374"/>
      <c r="V612" s="374"/>
      <c r="W612" s="374"/>
    </row>
    <row r="613" spans="1:23" s="1190" customFormat="1" ht="15.75" customHeight="1">
      <c r="A613" s="801"/>
      <c r="B613" s="801"/>
      <c r="C613" s="801"/>
      <c r="D613" s="1320"/>
      <c r="E613" s="1078"/>
      <c r="F613" s="801"/>
      <c r="G613" s="803"/>
      <c r="H613" s="801"/>
      <c r="I613" s="801"/>
      <c r="J613" s="801"/>
      <c r="K613" s="801"/>
      <c r="L613" s="803"/>
      <c r="M613" s="803"/>
      <c r="N613" s="801"/>
      <c r="O613" s="801"/>
      <c r="P613" s="801"/>
      <c r="Q613" s="801"/>
      <c r="R613" s="801"/>
      <c r="S613" s="374"/>
      <c r="T613" s="374"/>
      <c r="U613" s="374"/>
      <c r="V613" s="374"/>
      <c r="W613" s="374"/>
    </row>
    <row r="614" spans="1:23" s="1190" customFormat="1" ht="15.75" customHeight="1">
      <c r="A614" s="801"/>
      <c r="B614" s="801"/>
      <c r="C614" s="801"/>
      <c r="D614" s="1320"/>
      <c r="E614" s="1078"/>
      <c r="F614" s="801"/>
      <c r="G614" s="803"/>
      <c r="H614" s="801"/>
      <c r="I614" s="801"/>
      <c r="J614" s="801"/>
      <c r="K614" s="801"/>
      <c r="L614" s="803"/>
      <c r="M614" s="803"/>
      <c r="N614" s="801"/>
      <c r="O614" s="801"/>
      <c r="P614" s="801"/>
      <c r="Q614" s="801"/>
      <c r="R614" s="801"/>
      <c r="S614" s="374"/>
      <c r="T614" s="374"/>
      <c r="U614" s="374"/>
      <c r="V614" s="374"/>
      <c r="W614" s="374"/>
    </row>
    <row r="615" spans="1:23" s="1190" customFormat="1" ht="15.75" customHeight="1">
      <c r="A615" s="801"/>
      <c r="B615" s="801"/>
      <c r="C615" s="801"/>
      <c r="D615" s="1320"/>
      <c r="E615" s="1078"/>
      <c r="F615" s="801"/>
      <c r="G615" s="803"/>
      <c r="H615" s="801"/>
      <c r="I615" s="801"/>
      <c r="J615" s="801"/>
      <c r="K615" s="801"/>
      <c r="L615" s="803"/>
      <c r="M615" s="803"/>
      <c r="N615" s="801"/>
      <c r="O615" s="801"/>
      <c r="P615" s="801"/>
      <c r="Q615" s="801"/>
      <c r="R615" s="801"/>
      <c r="S615" s="374"/>
      <c r="T615" s="374"/>
      <c r="U615" s="374"/>
      <c r="V615" s="374"/>
      <c r="W615" s="374"/>
    </row>
    <row r="616" spans="1:23" s="1190" customFormat="1" ht="15.75" customHeight="1">
      <c r="A616" s="801"/>
      <c r="B616" s="801"/>
      <c r="C616" s="801"/>
      <c r="D616" s="1320"/>
      <c r="E616" s="1078"/>
      <c r="F616" s="801"/>
      <c r="G616" s="803"/>
      <c r="H616" s="801"/>
      <c r="I616" s="801"/>
      <c r="J616" s="801"/>
      <c r="K616" s="801"/>
      <c r="L616" s="803"/>
      <c r="M616" s="803"/>
      <c r="N616" s="801"/>
      <c r="O616" s="801"/>
      <c r="P616" s="801"/>
      <c r="Q616" s="801"/>
      <c r="R616" s="801"/>
      <c r="S616" s="374"/>
      <c r="T616" s="374"/>
      <c r="U616" s="374"/>
      <c r="V616" s="374"/>
      <c r="W616" s="374"/>
    </row>
    <row r="617" spans="1:23" s="1190" customFormat="1" ht="15.75" customHeight="1">
      <c r="A617" s="801"/>
      <c r="B617" s="801"/>
      <c r="C617" s="801"/>
      <c r="D617" s="1320"/>
      <c r="E617" s="1078"/>
      <c r="F617" s="801"/>
      <c r="G617" s="803"/>
      <c r="H617" s="801"/>
      <c r="I617" s="801"/>
      <c r="J617" s="801"/>
      <c r="K617" s="801"/>
      <c r="L617" s="803"/>
      <c r="M617" s="803"/>
      <c r="N617" s="801"/>
      <c r="O617" s="801"/>
      <c r="P617" s="801"/>
      <c r="Q617" s="801"/>
      <c r="R617" s="801"/>
      <c r="S617" s="374"/>
      <c r="T617" s="374"/>
      <c r="U617" s="374"/>
      <c r="V617" s="374"/>
      <c r="W617" s="374"/>
    </row>
    <row r="618" spans="1:23" s="1190" customFormat="1" ht="15.75" customHeight="1">
      <c r="A618" s="801"/>
      <c r="B618" s="801"/>
      <c r="C618" s="801"/>
      <c r="D618" s="1320"/>
      <c r="E618" s="1078"/>
      <c r="F618" s="801"/>
      <c r="G618" s="803"/>
      <c r="H618" s="801"/>
      <c r="I618" s="801"/>
      <c r="J618" s="801"/>
      <c r="K618" s="801"/>
      <c r="L618" s="803"/>
      <c r="M618" s="803"/>
      <c r="N618" s="801"/>
      <c r="O618" s="801"/>
      <c r="P618" s="801"/>
      <c r="Q618" s="801"/>
      <c r="R618" s="801"/>
      <c r="S618" s="374"/>
      <c r="T618" s="374"/>
      <c r="U618" s="374"/>
      <c r="V618" s="374"/>
      <c r="W618" s="374"/>
    </row>
    <row r="619" spans="1:23" s="1190" customFormat="1" ht="15.75" customHeight="1">
      <c r="A619" s="801"/>
      <c r="B619" s="801"/>
      <c r="C619" s="801"/>
      <c r="D619" s="1320"/>
      <c r="E619" s="1078"/>
      <c r="F619" s="801"/>
      <c r="G619" s="803"/>
      <c r="H619" s="801"/>
      <c r="I619" s="801"/>
      <c r="J619" s="801"/>
      <c r="K619" s="801"/>
      <c r="L619" s="803"/>
      <c r="M619" s="803"/>
      <c r="N619" s="801"/>
      <c r="O619" s="801"/>
      <c r="P619" s="801"/>
      <c r="Q619" s="801"/>
      <c r="R619" s="801"/>
      <c r="S619" s="374"/>
      <c r="T619" s="374"/>
      <c r="U619" s="374"/>
      <c r="V619" s="374"/>
      <c r="W619" s="374"/>
    </row>
    <row r="620" spans="1:23" s="1190" customFormat="1" ht="15.75" customHeight="1">
      <c r="A620" s="801"/>
      <c r="B620" s="801"/>
      <c r="C620" s="801"/>
      <c r="D620" s="1320"/>
      <c r="E620" s="1078"/>
      <c r="F620" s="801"/>
      <c r="G620" s="803"/>
      <c r="H620" s="801"/>
      <c r="I620" s="801"/>
      <c r="J620" s="801"/>
      <c r="K620" s="801"/>
      <c r="L620" s="803"/>
      <c r="M620" s="803"/>
      <c r="N620" s="801"/>
      <c r="O620" s="801"/>
      <c r="P620" s="801"/>
      <c r="Q620" s="801"/>
      <c r="R620" s="801"/>
      <c r="S620" s="374"/>
      <c r="T620" s="374"/>
      <c r="U620" s="374"/>
      <c r="V620" s="374"/>
      <c r="W620" s="374"/>
    </row>
    <row r="621" spans="1:23" s="1190" customFormat="1" ht="15.75" customHeight="1">
      <c r="A621" s="801"/>
      <c r="B621" s="801"/>
      <c r="C621" s="801"/>
      <c r="D621" s="1320"/>
      <c r="E621" s="1078"/>
      <c r="F621" s="801"/>
      <c r="G621" s="803"/>
      <c r="H621" s="801"/>
      <c r="I621" s="801"/>
      <c r="J621" s="801"/>
      <c r="K621" s="801"/>
      <c r="L621" s="803"/>
      <c r="M621" s="803"/>
      <c r="N621" s="801"/>
      <c r="O621" s="801"/>
      <c r="P621" s="801"/>
      <c r="Q621" s="801"/>
      <c r="R621" s="801"/>
      <c r="S621" s="374"/>
      <c r="T621" s="374"/>
      <c r="U621" s="374"/>
      <c r="V621" s="374"/>
      <c r="W621" s="374"/>
    </row>
    <row r="622" spans="1:23" s="1190" customFormat="1" ht="15.75" customHeight="1">
      <c r="A622" s="801"/>
      <c r="B622" s="801"/>
      <c r="C622" s="801"/>
      <c r="D622" s="1320"/>
      <c r="E622" s="1078"/>
      <c r="F622" s="801"/>
      <c r="G622" s="803"/>
      <c r="H622" s="801"/>
      <c r="I622" s="801"/>
      <c r="J622" s="801"/>
      <c r="K622" s="801"/>
      <c r="L622" s="803"/>
      <c r="M622" s="803"/>
      <c r="N622" s="801"/>
      <c r="O622" s="801"/>
      <c r="P622" s="801"/>
      <c r="Q622" s="801"/>
      <c r="R622" s="801"/>
      <c r="S622" s="374"/>
      <c r="T622" s="374"/>
      <c r="U622" s="374"/>
      <c r="V622" s="374"/>
      <c r="W622" s="374"/>
    </row>
    <row r="623" spans="1:23" s="1190" customFormat="1" ht="15.75" customHeight="1">
      <c r="A623" s="801"/>
      <c r="B623" s="801"/>
      <c r="C623" s="801"/>
      <c r="D623" s="1320"/>
      <c r="E623" s="1078"/>
      <c r="F623" s="801"/>
      <c r="G623" s="803"/>
      <c r="H623" s="801"/>
      <c r="I623" s="801"/>
      <c r="J623" s="801"/>
      <c r="K623" s="801"/>
      <c r="L623" s="803"/>
      <c r="M623" s="803"/>
      <c r="N623" s="801"/>
      <c r="O623" s="801"/>
      <c r="P623" s="801"/>
      <c r="Q623" s="801"/>
      <c r="R623" s="801"/>
      <c r="S623" s="374"/>
      <c r="T623" s="374"/>
      <c r="U623" s="374"/>
      <c r="V623" s="374"/>
      <c r="W623" s="374"/>
    </row>
    <row r="624" spans="1:23" s="1190" customFormat="1" ht="15.75" customHeight="1">
      <c r="A624" s="801"/>
      <c r="B624" s="801"/>
      <c r="C624" s="801"/>
      <c r="D624" s="1320"/>
      <c r="E624" s="1078"/>
      <c r="F624" s="801"/>
      <c r="G624" s="803"/>
      <c r="H624" s="801"/>
      <c r="I624" s="801"/>
      <c r="J624" s="801"/>
      <c r="K624" s="801"/>
      <c r="L624" s="803"/>
      <c r="M624" s="803"/>
      <c r="N624" s="801"/>
      <c r="O624" s="801"/>
      <c r="P624" s="801"/>
      <c r="Q624" s="801"/>
      <c r="R624" s="801"/>
      <c r="S624" s="374"/>
      <c r="T624" s="374"/>
      <c r="U624" s="374"/>
      <c r="V624" s="374"/>
      <c r="W624" s="374"/>
    </row>
    <row r="625" spans="1:23" s="1190" customFormat="1" ht="15.75" customHeight="1">
      <c r="A625" s="801"/>
      <c r="B625" s="801"/>
      <c r="C625" s="801"/>
      <c r="D625" s="1320"/>
      <c r="E625" s="1078"/>
      <c r="F625" s="801"/>
      <c r="G625" s="803"/>
      <c r="H625" s="801"/>
      <c r="I625" s="801"/>
      <c r="J625" s="801"/>
      <c r="K625" s="801"/>
      <c r="L625" s="803"/>
      <c r="M625" s="803"/>
      <c r="N625" s="801"/>
      <c r="O625" s="801"/>
      <c r="P625" s="801"/>
      <c r="Q625" s="801"/>
      <c r="R625" s="801"/>
      <c r="S625" s="374"/>
      <c r="T625" s="374"/>
      <c r="U625" s="374"/>
      <c r="V625" s="374"/>
      <c r="W625" s="374"/>
    </row>
    <row r="626" spans="1:23" s="1190" customFormat="1" ht="15.75" customHeight="1">
      <c r="A626" s="801"/>
      <c r="B626" s="801"/>
      <c r="C626" s="801"/>
      <c r="D626" s="1320"/>
      <c r="E626" s="1078"/>
      <c r="F626" s="801"/>
      <c r="G626" s="803"/>
      <c r="H626" s="801"/>
      <c r="I626" s="801"/>
      <c r="J626" s="801"/>
      <c r="K626" s="801"/>
      <c r="L626" s="803"/>
      <c r="M626" s="803"/>
      <c r="N626" s="801"/>
      <c r="O626" s="801"/>
      <c r="P626" s="801"/>
      <c r="Q626" s="801"/>
      <c r="R626" s="801"/>
      <c r="S626" s="374"/>
      <c r="T626" s="374"/>
      <c r="U626" s="374"/>
      <c r="V626" s="374"/>
      <c r="W626" s="374"/>
    </row>
    <row r="627" spans="1:23" s="1190" customFormat="1" ht="15.75" customHeight="1">
      <c r="A627" s="801"/>
      <c r="B627" s="801"/>
      <c r="C627" s="801"/>
      <c r="D627" s="1320"/>
      <c r="E627" s="1078"/>
      <c r="F627" s="801"/>
      <c r="G627" s="803"/>
      <c r="H627" s="801"/>
      <c r="I627" s="801"/>
      <c r="J627" s="801"/>
      <c r="K627" s="801"/>
      <c r="L627" s="803"/>
      <c r="M627" s="803"/>
      <c r="N627" s="801"/>
      <c r="O627" s="801"/>
      <c r="P627" s="801"/>
      <c r="Q627" s="801"/>
      <c r="R627" s="801"/>
      <c r="S627" s="374"/>
      <c r="T627" s="374"/>
      <c r="U627" s="374"/>
      <c r="V627" s="374"/>
      <c r="W627" s="374"/>
    </row>
    <row r="628" spans="1:23" s="1190" customFormat="1" ht="15.75" customHeight="1">
      <c r="A628" s="801"/>
      <c r="B628" s="801"/>
      <c r="C628" s="801"/>
      <c r="D628" s="1320"/>
      <c r="E628" s="1078"/>
      <c r="F628" s="801"/>
      <c r="G628" s="803"/>
      <c r="H628" s="801"/>
      <c r="I628" s="801"/>
      <c r="J628" s="801"/>
      <c r="K628" s="801"/>
      <c r="L628" s="803"/>
      <c r="M628" s="803"/>
      <c r="N628" s="801"/>
      <c r="O628" s="801"/>
      <c r="P628" s="801"/>
      <c r="Q628" s="801"/>
      <c r="R628" s="801"/>
      <c r="S628" s="374"/>
      <c r="T628" s="374"/>
      <c r="U628" s="374"/>
      <c r="V628" s="374"/>
      <c r="W628" s="374"/>
    </row>
    <row r="629" spans="1:23" s="1190" customFormat="1" ht="15.75" customHeight="1">
      <c r="A629" s="801"/>
      <c r="B629" s="801"/>
      <c r="C629" s="801"/>
      <c r="D629" s="1320"/>
      <c r="E629" s="1078"/>
      <c r="F629" s="801"/>
      <c r="G629" s="803"/>
      <c r="H629" s="801"/>
      <c r="I629" s="801"/>
      <c r="J629" s="801"/>
      <c r="K629" s="801"/>
      <c r="L629" s="803"/>
      <c r="M629" s="803"/>
      <c r="N629" s="801"/>
      <c r="O629" s="801"/>
      <c r="P629" s="801"/>
      <c r="Q629" s="801"/>
      <c r="R629" s="801"/>
      <c r="S629" s="374"/>
      <c r="T629" s="374"/>
      <c r="U629" s="374"/>
      <c r="V629" s="374"/>
      <c r="W629" s="374"/>
    </row>
    <row r="630" spans="1:23" s="1190" customFormat="1" ht="15.75" customHeight="1">
      <c r="A630" s="801"/>
      <c r="B630" s="801"/>
      <c r="C630" s="801"/>
      <c r="D630" s="1320"/>
      <c r="E630" s="1078"/>
      <c r="F630" s="801"/>
      <c r="G630" s="803"/>
      <c r="H630" s="801"/>
      <c r="I630" s="801"/>
      <c r="J630" s="801"/>
      <c r="K630" s="801"/>
      <c r="L630" s="803"/>
      <c r="M630" s="803"/>
      <c r="N630" s="801"/>
      <c r="O630" s="801"/>
      <c r="P630" s="801"/>
      <c r="Q630" s="801"/>
      <c r="R630" s="801"/>
      <c r="S630" s="374"/>
      <c r="T630" s="374"/>
      <c r="U630" s="374"/>
      <c r="V630" s="374"/>
      <c r="W630" s="374"/>
    </row>
    <row r="631" spans="1:23" s="1190" customFormat="1" ht="15.75" customHeight="1">
      <c r="A631" s="801"/>
      <c r="B631" s="801"/>
      <c r="C631" s="801"/>
      <c r="D631" s="1320"/>
      <c r="E631" s="1078"/>
      <c r="F631" s="801"/>
      <c r="G631" s="803"/>
      <c r="H631" s="801"/>
      <c r="I631" s="801"/>
      <c r="J631" s="801"/>
      <c r="K631" s="801"/>
      <c r="L631" s="803"/>
      <c r="M631" s="803"/>
      <c r="N631" s="801"/>
      <c r="O631" s="801"/>
      <c r="P631" s="801"/>
      <c r="Q631" s="801"/>
      <c r="R631" s="801"/>
      <c r="S631" s="374"/>
      <c r="T631" s="374"/>
      <c r="U631" s="374"/>
      <c r="V631" s="374"/>
      <c r="W631" s="374"/>
    </row>
    <row r="632" spans="1:23" s="1190" customFormat="1" ht="15.75" customHeight="1">
      <c r="A632" s="801"/>
      <c r="B632" s="801"/>
      <c r="C632" s="801"/>
      <c r="D632" s="1320"/>
      <c r="E632" s="1078"/>
      <c r="F632" s="801"/>
      <c r="G632" s="803"/>
      <c r="H632" s="801"/>
      <c r="I632" s="801"/>
      <c r="J632" s="801"/>
      <c r="K632" s="801"/>
      <c r="L632" s="803"/>
      <c r="M632" s="803"/>
      <c r="N632" s="801"/>
      <c r="O632" s="801"/>
      <c r="P632" s="801"/>
      <c r="Q632" s="801"/>
      <c r="R632" s="801"/>
      <c r="S632" s="374"/>
      <c r="T632" s="374"/>
      <c r="U632" s="374"/>
      <c r="V632" s="374"/>
      <c r="W632" s="374"/>
    </row>
    <row r="633" spans="1:23" s="1190" customFormat="1" ht="15.75" customHeight="1">
      <c r="A633" s="801"/>
      <c r="B633" s="801"/>
      <c r="C633" s="801"/>
      <c r="D633" s="1320"/>
      <c r="E633" s="1078"/>
      <c r="F633" s="801"/>
      <c r="G633" s="803"/>
      <c r="H633" s="801"/>
      <c r="I633" s="801"/>
      <c r="J633" s="801"/>
      <c r="K633" s="801"/>
      <c r="L633" s="803"/>
      <c r="M633" s="803"/>
      <c r="N633" s="801"/>
      <c r="O633" s="801"/>
      <c r="P633" s="801"/>
      <c r="Q633" s="801"/>
      <c r="R633" s="801"/>
      <c r="S633" s="374"/>
      <c r="T633" s="374"/>
      <c r="U633" s="374"/>
      <c r="V633" s="374"/>
      <c r="W633" s="374"/>
    </row>
    <row r="634" spans="1:23" s="1190" customFormat="1" ht="15.75" customHeight="1">
      <c r="A634" s="801"/>
      <c r="B634" s="801"/>
      <c r="C634" s="801"/>
      <c r="D634" s="1320"/>
      <c r="E634" s="1078"/>
      <c r="F634" s="801"/>
      <c r="G634" s="803"/>
      <c r="H634" s="801"/>
      <c r="I634" s="801"/>
      <c r="J634" s="801"/>
      <c r="K634" s="801"/>
      <c r="L634" s="803"/>
      <c r="M634" s="803"/>
      <c r="N634" s="801"/>
      <c r="O634" s="801"/>
      <c r="P634" s="801"/>
      <c r="Q634" s="801"/>
      <c r="R634" s="801"/>
      <c r="S634" s="374"/>
      <c r="T634" s="374"/>
      <c r="U634" s="374"/>
      <c r="V634" s="374"/>
      <c r="W634" s="374"/>
    </row>
    <row r="635" spans="1:23" s="1190" customFormat="1" ht="15.75" customHeight="1">
      <c r="A635" s="801"/>
      <c r="B635" s="801"/>
      <c r="C635" s="801"/>
      <c r="D635" s="1320"/>
      <c r="E635" s="1078"/>
      <c r="F635" s="801"/>
      <c r="G635" s="803"/>
      <c r="H635" s="801"/>
      <c r="I635" s="801"/>
      <c r="J635" s="801"/>
      <c r="K635" s="801"/>
      <c r="L635" s="803"/>
      <c r="M635" s="803"/>
      <c r="N635" s="801"/>
      <c r="O635" s="801"/>
      <c r="P635" s="801"/>
      <c r="Q635" s="801"/>
      <c r="R635" s="801"/>
      <c r="S635" s="374"/>
      <c r="T635" s="374"/>
      <c r="U635" s="374"/>
      <c r="V635" s="374"/>
      <c r="W635" s="374"/>
    </row>
    <row r="636" spans="1:23" s="1190" customFormat="1" ht="15.75" customHeight="1">
      <c r="A636" s="801"/>
      <c r="B636" s="801"/>
      <c r="C636" s="801"/>
      <c r="D636" s="1320"/>
      <c r="E636" s="1078"/>
      <c r="F636" s="801"/>
      <c r="G636" s="803"/>
      <c r="H636" s="801"/>
      <c r="I636" s="801"/>
      <c r="J636" s="801"/>
      <c r="K636" s="801"/>
      <c r="L636" s="803"/>
      <c r="M636" s="803"/>
      <c r="N636" s="801"/>
      <c r="O636" s="801"/>
      <c r="P636" s="801"/>
      <c r="Q636" s="801"/>
      <c r="R636" s="801"/>
      <c r="S636" s="374"/>
      <c r="T636" s="374"/>
      <c r="U636" s="374"/>
      <c r="V636" s="374"/>
      <c r="W636" s="374"/>
    </row>
    <row r="637" spans="1:23" s="1190" customFormat="1" ht="15.75" customHeight="1">
      <c r="A637" s="801"/>
      <c r="B637" s="801"/>
      <c r="C637" s="801"/>
      <c r="D637" s="1320"/>
      <c r="E637" s="1078"/>
      <c r="F637" s="801"/>
      <c r="G637" s="803"/>
      <c r="H637" s="801"/>
      <c r="I637" s="801"/>
      <c r="J637" s="801"/>
      <c r="K637" s="801"/>
      <c r="L637" s="803"/>
      <c r="M637" s="803"/>
      <c r="N637" s="801"/>
      <c r="O637" s="801"/>
      <c r="P637" s="801"/>
      <c r="Q637" s="801"/>
      <c r="R637" s="801"/>
      <c r="S637" s="374"/>
      <c r="T637" s="374"/>
      <c r="U637" s="374"/>
      <c r="V637" s="374"/>
      <c r="W637" s="374"/>
    </row>
    <row r="638" spans="1:23" s="1190" customFormat="1" ht="15.75" customHeight="1">
      <c r="A638" s="801"/>
      <c r="B638" s="801"/>
      <c r="C638" s="801"/>
      <c r="D638" s="1320"/>
      <c r="E638" s="1078"/>
      <c r="F638" s="801"/>
      <c r="G638" s="803"/>
      <c r="H638" s="801"/>
      <c r="I638" s="801"/>
      <c r="J638" s="801"/>
      <c r="K638" s="801"/>
      <c r="L638" s="803"/>
      <c r="M638" s="803"/>
      <c r="N638" s="801"/>
      <c r="O638" s="801"/>
      <c r="P638" s="801"/>
      <c r="Q638" s="801"/>
      <c r="R638" s="801"/>
      <c r="S638" s="374"/>
      <c r="T638" s="374"/>
      <c r="U638" s="374"/>
      <c r="V638" s="374"/>
      <c r="W638" s="374"/>
    </row>
    <row r="639" spans="1:23" s="1190" customFormat="1" ht="15.75" customHeight="1">
      <c r="A639" s="801"/>
      <c r="B639" s="801"/>
      <c r="C639" s="801"/>
      <c r="D639" s="1320"/>
      <c r="E639" s="1078"/>
      <c r="F639" s="801"/>
      <c r="G639" s="803"/>
      <c r="H639" s="801"/>
      <c r="I639" s="801"/>
      <c r="J639" s="801"/>
      <c r="K639" s="801"/>
      <c r="L639" s="803"/>
      <c r="M639" s="803"/>
      <c r="N639" s="801"/>
      <c r="O639" s="801"/>
      <c r="P639" s="801"/>
      <c r="Q639" s="801"/>
      <c r="R639" s="801"/>
      <c r="S639" s="374"/>
      <c r="T639" s="374"/>
      <c r="U639" s="374"/>
      <c r="V639" s="374"/>
      <c r="W639" s="374"/>
    </row>
    <row r="640" spans="1:23" s="1190" customFormat="1" ht="15.75" customHeight="1">
      <c r="A640" s="801"/>
      <c r="B640" s="801"/>
      <c r="C640" s="801"/>
      <c r="D640" s="1320"/>
      <c r="E640" s="1078"/>
      <c r="F640" s="801"/>
      <c r="G640" s="803"/>
      <c r="H640" s="801"/>
      <c r="I640" s="801"/>
      <c r="J640" s="801"/>
      <c r="K640" s="801"/>
      <c r="L640" s="803"/>
      <c r="M640" s="803"/>
      <c r="N640" s="801"/>
      <c r="O640" s="801"/>
      <c r="P640" s="801"/>
      <c r="Q640" s="801"/>
      <c r="R640" s="801"/>
      <c r="S640" s="374"/>
      <c r="T640" s="374"/>
      <c r="U640" s="374"/>
      <c r="V640" s="374"/>
      <c r="W640" s="374"/>
    </row>
    <row r="641" spans="1:23" s="1190" customFormat="1" ht="15.75" customHeight="1">
      <c r="A641" s="801"/>
      <c r="B641" s="801"/>
      <c r="C641" s="801"/>
      <c r="D641" s="1320"/>
      <c r="E641" s="1078"/>
      <c r="F641" s="801"/>
      <c r="G641" s="803"/>
      <c r="H641" s="801"/>
      <c r="I641" s="801"/>
      <c r="J641" s="801"/>
      <c r="K641" s="801"/>
      <c r="L641" s="803"/>
      <c r="M641" s="803"/>
      <c r="N641" s="801"/>
      <c r="O641" s="801"/>
      <c r="P641" s="801"/>
      <c r="Q641" s="801"/>
      <c r="R641" s="801"/>
      <c r="S641" s="374"/>
      <c r="T641" s="374"/>
      <c r="U641" s="374"/>
      <c r="V641" s="374"/>
      <c r="W641" s="374"/>
    </row>
    <row r="642" spans="1:23" s="1190" customFormat="1" ht="15.75" customHeight="1">
      <c r="A642" s="801"/>
      <c r="B642" s="801"/>
      <c r="C642" s="801"/>
      <c r="D642" s="1320"/>
      <c r="E642" s="1078"/>
      <c r="F642" s="801"/>
      <c r="G642" s="803"/>
      <c r="H642" s="801"/>
      <c r="I642" s="801"/>
      <c r="J642" s="801"/>
      <c r="K642" s="801"/>
      <c r="L642" s="803"/>
      <c r="M642" s="803"/>
      <c r="N642" s="801"/>
      <c r="O642" s="801"/>
      <c r="P642" s="801"/>
      <c r="Q642" s="801"/>
      <c r="R642" s="801"/>
      <c r="S642" s="374"/>
      <c r="T642" s="374"/>
      <c r="U642" s="374"/>
      <c r="V642" s="374"/>
      <c r="W642" s="374"/>
    </row>
    <row r="643" spans="1:23" s="1190" customFormat="1" ht="15.75" customHeight="1">
      <c r="A643" s="801"/>
      <c r="B643" s="801"/>
      <c r="C643" s="801"/>
      <c r="D643" s="1320"/>
      <c r="E643" s="1078"/>
      <c r="F643" s="801"/>
      <c r="G643" s="803"/>
      <c r="H643" s="801"/>
      <c r="I643" s="801"/>
      <c r="J643" s="801"/>
      <c r="K643" s="801"/>
      <c r="L643" s="803"/>
      <c r="M643" s="803"/>
      <c r="N643" s="801"/>
      <c r="O643" s="801"/>
      <c r="P643" s="801"/>
      <c r="Q643" s="801"/>
      <c r="R643" s="801"/>
      <c r="S643" s="374"/>
      <c r="T643" s="374"/>
      <c r="U643" s="374"/>
      <c r="V643" s="374"/>
      <c r="W643" s="374"/>
    </row>
    <row r="644" spans="1:23" s="1190" customFormat="1" ht="15.75" customHeight="1">
      <c r="A644" s="801"/>
      <c r="B644" s="801"/>
      <c r="C644" s="801"/>
      <c r="D644" s="1320"/>
      <c r="E644" s="1078"/>
      <c r="F644" s="801"/>
      <c r="G644" s="803"/>
      <c r="H644" s="801"/>
      <c r="I644" s="801"/>
      <c r="J644" s="801"/>
      <c r="K644" s="801"/>
      <c r="L644" s="803"/>
      <c r="M644" s="803"/>
      <c r="N644" s="801"/>
      <c r="O644" s="801"/>
      <c r="P644" s="801"/>
      <c r="Q644" s="801"/>
      <c r="R644" s="801"/>
      <c r="S644" s="374"/>
      <c r="T644" s="374"/>
      <c r="U644" s="374"/>
      <c r="V644" s="374"/>
      <c r="W644" s="374"/>
    </row>
    <row r="645" spans="1:23" s="1190" customFormat="1" ht="15.75" customHeight="1">
      <c r="A645" s="801"/>
      <c r="B645" s="801"/>
      <c r="C645" s="801"/>
      <c r="D645" s="1320"/>
      <c r="E645" s="1078"/>
      <c r="F645" s="801"/>
      <c r="G645" s="803"/>
      <c r="H645" s="801"/>
      <c r="I645" s="801"/>
      <c r="J645" s="801"/>
      <c r="K645" s="801"/>
      <c r="L645" s="803"/>
      <c r="M645" s="803"/>
      <c r="N645" s="801"/>
      <c r="O645" s="801"/>
      <c r="P645" s="801"/>
      <c r="Q645" s="801"/>
      <c r="R645" s="801"/>
      <c r="S645" s="374"/>
      <c r="T645" s="374"/>
      <c r="U645" s="374"/>
      <c r="V645" s="374"/>
      <c r="W645" s="374"/>
    </row>
    <row r="646" spans="1:23" s="1190" customFormat="1" ht="15.75" customHeight="1">
      <c r="A646" s="801"/>
      <c r="B646" s="801"/>
      <c r="C646" s="801"/>
      <c r="D646" s="1320"/>
      <c r="E646" s="1078"/>
      <c r="F646" s="801"/>
      <c r="G646" s="803"/>
      <c r="H646" s="801"/>
      <c r="I646" s="801"/>
      <c r="J646" s="801"/>
      <c r="K646" s="801"/>
      <c r="L646" s="803"/>
      <c r="M646" s="803"/>
      <c r="N646" s="801"/>
      <c r="O646" s="801"/>
      <c r="P646" s="801"/>
      <c r="Q646" s="801"/>
      <c r="R646" s="801"/>
      <c r="S646" s="374"/>
      <c r="T646" s="374"/>
      <c r="U646" s="374"/>
      <c r="V646" s="374"/>
      <c r="W646" s="374"/>
    </row>
    <row r="647" spans="1:23" s="1190" customFormat="1" ht="15.75" customHeight="1">
      <c r="A647" s="801"/>
      <c r="B647" s="801"/>
      <c r="C647" s="801"/>
      <c r="D647" s="1320"/>
      <c r="E647" s="1078"/>
      <c r="F647" s="801"/>
      <c r="G647" s="803"/>
      <c r="H647" s="801"/>
      <c r="I647" s="801"/>
      <c r="J647" s="801"/>
      <c r="K647" s="801"/>
      <c r="L647" s="803"/>
      <c r="M647" s="803"/>
      <c r="N647" s="801"/>
      <c r="O647" s="801"/>
      <c r="P647" s="801"/>
      <c r="Q647" s="801"/>
      <c r="R647" s="801"/>
      <c r="S647" s="374"/>
      <c r="T647" s="374"/>
      <c r="U647" s="374"/>
      <c r="V647" s="374"/>
      <c r="W647" s="374"/>
    </row>
    <row r="648" spans="1:23" s="1190" customFormat="1" ht="15.75" customHeight="1">
      <c r="A648" s="801"/>
      <c r="B648" s="801"/>
      <c r="C648" s="801"/>
      <c r="D648" s="1320"/>
      <c r="E648" s="1078"/>
      <c r="F648" s="801"/>
      <c r="G648" s="803"/>
      <c r="H648" s="801"/>
      <c r="I648" s="801"/>
      <c r="J648" s="801"/>
      <c r="K648" s="801"/>
      <c r="L648" s="803"/>
      <c r="M648" s="803"/>
      <c r="N648" s="801"/>
      <c r="O648" s="801"/>
      <c r="P648" s="801"/>
      <c r="Q648" s="801"/>
      <c r="R648" s="801"/>
      <c r="S648" s="374"/>
      <c r="T648" s="374"/>
      <c r="U648" s="374"/>
      <c r="V648" s="374"/>
      <c r="W648" s="374"/>
    </row>
    <row r="649" spans="1:23" s="1190" customFormat="1" ht="15.75" customHeight="1">
      <c r="A649" s="801"/>
      <c r="B649" s="801"/>
      <c r="C649" s="801"/>
      <c r="D649" s="1320"/>
      <c r="E649" s="1078"/>
      <c r="F649" s="801"/>
      <c r="G649" s="803"/>
      <c r="H649" s="801"/>
      <c r="I649" s="801"/>
      <c r="J649" s="801"/>
      <c r="K649" s="801"/>
      <c r="L649" s="803"/>
      <c r="M649" s="803"/>
      <c r="N649" s="801"/>
      <c r="O649" s="801"/>
      <c r="P649" s="801"/>
      <c r="Q649" s="801"/>
      <c r="R649" s="801"/>
      <c r="S649" s="374"/>
      <c r="T649" s="374"/>
      <c r="U649" s="374"/>
      <c r="V649" s="374"/>
      <c r="W649" s="374"/>
    </row>
    <row r="650" spans="1:23" s="1190" customFormat="1" ht="15.75" customHeight="1">
      <c r="A650" s="801"/>
      <c r="B650" s="801"/>
      <c r="C650" s="801"/>
      <c r="D650" s="1320"/>
      <c r="E650" s="1078"/>
      <c r="F650" s="801"/>
      <c r="G650" s="803"/>
      <c r="H650" s="801"/>
      <c r="I650" s="801"/>
      <c r="J650" s="801"/>
      <c r="K650" s="801"/>
      <c r="L650" s="803"/>
      <c r="M650" s="803"/>
      <c r="N650" s="801"/>
      <c r="O650" s="801"/>
      <c r="P650" s="801"/>
      <c r="Q650" s="801"/>
      <c r="R650" s="801"/>
      <c r="S650" s="374"/>
      <c r="T650" s="374"/>
      <c r="U650" s="374"/>
      <c r="V650" s="374"/>
      <c r="W650" s="374"/>
    </row>
    <row r="651" spans="1:23" s="1190" customFormat="1" ht="15.75" customHeight="1">
      <c r="A651" s="801"/>
      <c r="B651" s="801"/>
      <c r="C651" s="801"/>
      <c r="D651" s="1320"/>
      <c r="E651" s="1078"/>
      <c r="F651" s="801"/>
      <c r="G651" s="803"/>
      <c r="H651" s="801"/>
      <c r="I651" s="801"/>
      <c r="J651" s="801"/>
      <c r="K651" s="801"/>
      <c r="L651" s="803"/>
      <c r="M651" s="803"/>
      <c r="N651" s="801"/>
      <c r="O651" s="801"/>
      <c r="P651" s="801"/>
      <c r="Q651" s="801"/>
      <c r="R651" s="801"/>
      <c r="S651" s="374"/>
      <c r="T651" s="374"/>
      <c r="U651" s="374"/>
      <c r="V651" s="374"/>
      <c r="W651" s="374"/>
    </row>
    <row r="652" spans="1:23" s="1190" customFormat="1" ht="15.75" customHeight="1">
      <c r="A652" s="801"/>
      <c r="B652" s="801"/>
      <c r="C652" s="801"/>
      <c r="D652" s="1320"/>
      <c r="E652" s="1078"/>
      <c r="F652" s="801"/>
      <c r="G652" s="803"/>
      <c r="H652" s="801"/>
      <c r="I652" s="801"/>
      <c r="J652" s="801"/>
      <c r="K652" s="801"/>
      <c r="L652" s="803"/>
      <c r="M652" s="803"/>
      <c r="N652" s="801"/>
      <c r="O652" s="801"/>
      <c r="P652" s="801"/>
      <c r="Q652" s="801"/>
      <c r="R652" s="801"/>
      <c r="S652" s="374"/>
      <c r="T652" s="374"/>
      <c r="U652" s="374"/>
      <c r="V652" s="374"/>
      <c r="W652" s="374"/>
    </row>
    <row r="653" spans="1:23" s="1190" customFormat="1" ht="15.75" customHeight="1">
      <c r="A653" s="801"/>
      <c r="B653" s="801"/>
      <c r="C653" s="801"/>
      <c r="D653" s="1320"/>
      <c r="E653" s="1078"/>
      <c r="F653" s="801"/>
      <c r="G653" s="803"/>
      <c r="H653" s="801"/>
      <c r="I653" s="801"/>
      <c r="J653" s="801"/>
      <c r="K653" s="801"/>
      <c r="L653" s="803"/>
      <c r="M653" s="803"/>
      <c r="N653" s="801"/>
      <c r="O653" s="801"/>
      <c r="P653" s="801"/>
      <c r="Q653" s="801"/>
      <c r="R653" s="801"/>
      <c r="S653" s="374"/>
      <c r="T653" s="374"/>
      <c r="U653" s="374"/>
      <c r="V653" s="374"/>
      <c r="W653" s="374"/>
    </row>
    <row r="654" spans="1:23" s="1190" customFormat="1" ht="15.75" customHeight="1">
      <c r="A654" s="801"/>
      <c r="B654" s="801"/>
      <c r="C654" s="801"/>
      <c r="D654" s="1320"/>
      <c r="E654" s="1078"/>
      <c r="F654" s="801"/>
      <c r="G654" s="803"/>
      <c r="H654" s="801"/>
      <c r="I654" s="801"/>
      <c r="J654" s="801"/>
      <c r="K654" s="801"/>
      <c r="L654" s="803"/>
      <c r="M654" s="803"/>
      <c r="N654" s="801"/>
      <c r="O654" s="801"/>
      <c r="P654" s="801"/>
      <c r="Q654" s="801"/>
      <c r="R654" s="801"/>
      <c r="S654" s="374"/>
      <c r="T654" s="374"/>
      <c r="U654" s="374"/>
      <c r="V654" s="374"/>
      <c r="W654" s="374"/>
    </row>
    <row r="655" spans="1:23" s="1190" customFormat="1" ht="15.75" customHeight="1">
      <c r="A655" s="801"/>
      <c r="B655" s="801"/>
      <c r="C655" s="801"/>
      <c r="D655" s="1320"/>
      <c r="E655" s="1078"/>
      <c r="F655" s="801"/>
      <c r="G655" s="803"/>
      <c r="H655" s="801"/>
      <c r="I655" s="801"/>
      <c r="J655" s="801"/>
      <c r="K655" s="801"/>
      <c r="L655" s="803"/>
      <c r="M655" s="803"/>
      <c r="N655" s="801"/>
      <c r="O655" s="801"/>
      <c r="P655" s="801"/>
      <c r="Q655" s="801"/>
      <c r="R655" s="801"/>
      <c r="S655" s="374"/>
      <c r="T655" s="374"/>
      <c r="U655" s="374"/>
      <c r="V655" s="374"/>
      <c r="W655" s="374"/>
    </row>
    <row r="656" spans="1:23" s="1190" customFormat="1" ht="15.75" customHeight="1">
      <c r="A656" s="801"/>
      <c r="B656" s="801"/>
      <c r="C656" s="801"/>
      <c r="D656" s="1320"/>
      <c r="E656" s="1078"/>
      <c r="F656" s="801"/>
      <c r="G656" s="803"/>
      <c r="H656" s="801"/>
      <c r="I656" s="801"/>
      <c r="J656" s="801"/>
      <c r="K656" s="801"/>
      <c r="L656" s="803"/>
      <c r="M656" s="803"/>
      <c r="N656" s="801"/>
      <c r="O656" s="801"/>
      <c r="P656" s="801"/>
      <c r="Q656" s="801"/>
      <c r="R656" s="801"/>
      <c r="S656" s="374"/>
      <c r="T656" s="374"/>
      <c r="U656" s="374"/>
      <c r="V656" s="374"/>
      <c r="W656" s="374"/>
    </row>
    <row r="657" spans="1:23" s="1190" customFormat="1" ht="15.75" customHeight="1">
      <c r="A657" s="801"/>
      <c r="B657" s="801"/>
      <c r="C657" s="801"/>
      <c r="D657" s="1320"/>
      <c r="E657" s="1078"/>
      <c r="F657" s="801"/>
      <c r="G657" s="803"/>
      <c r="H657" s="801"/>
      <c r="I657" s="801"/>
      <c r="J657" s="801"/>
      <c r="K657" s="801"/>
      <c r="L657" s="803"/>
      <c r="M657" s="803"/>
      <c r="N657" s="801"/>
      <c r="O657" s="801"/>
      <c r="P657" s="801"/>
      <c r="Q657" s="801"/>
      <c r="R657" s="801"/>
      <c r="S657" s="374"/>
      <c r="T657" s="374"/>
      <c r="U657" s="374"/>
      <c r="V657" s="374"/>
      <c r="W657" s="374"/>
    </row>
    <row r="658" spans="1:23" s="1190" customFormat="1" ht="15.75" customHeight="1">
      <c r="A658" s="801"/>
      <c r="B658" s="801"/>
      <c r="C658" s="801"/>
      <c r="D658" s="1320"/>
      <c r="E658" s="1078"/>
      <c r="F658" s="801"/>
      <c r="G658" s="803"/>
      <c r="H658" s="801"/>
      <c r="I658" s="801"/>
      <c r="J658" s="801"/>
      <c r="K658" s="801"/>
      <c r="L658" s="803"/>
      <c r="M658" s="803"/>
      <c r="N658" s="801"/>
      <c r="O658" s="801"/>
      <c r="P658" s="801"/>
      <c r="Q658" s="801"/>
      <c r="R658" s="801"/>
      <c r="S658" s="374"/>
      <c r="T658" s="374"/>
      <c r="U658" s="374"/>
      <c r="V658" s="374"/>
      <c r="W658" s="374"/>
    </row>
    <row r="659" spans="1:23" s="1190" customFormat="1" ht="15.75" customHeight="1">
      <c r="A659" s="801"/>
      <c r="B659" s="801"/>
      <c r="C659" s="801"/>
      <c r="D659" s="1320"/>
      <c r="E659" s="1078"/>
      <c r="F659" s="801"/>
      <c r="G659" s="803"/>
      <c r="H659" s="801"/>
      <c r="I659" s="801"/>
      <c r="J659" s="801"/>
      <c r="K659" s="801"/>
      <c r="L659" s="803"/>
      <c r="M659" s="803"/>
      <c r="N659" s="801"/>
      <c r="O659" s="801"/>
      <c r="P659" s="801"/>
      <c r="Q659" s="801"/>
      <c r="R659" s="801"/>
      <c r="S659" s="374"/>
      <c r="T659" s="374"/>
      <c r="U659" s="374"/>
      <c r="V659" s="374"/>
      <c r="W659" s="374"/>
    </row>
    <row r="660" spans="1:23" s="1190" customFormat="1" ht="15.75" customHeight="1">
      <c r="A660" s="801"/>
      <c r="B660" s="801"/>
      <c r="C660" s="801"/>
      <c r="D660" s="1320"/>
      <c r="E660" s="1078"/>
      <c r="F660" s="801"/>
      <c r="G660" s="803"/>
      <c r="H660" s="801"/>
      <c r="I660" s="801"/>
      <c r="J660" s="801"/>
      <c r="K660" s="801"/>
      <c r="L660" s="803"/>
      <c r="M660" s="803"/>
      <c r="N660" s="801"/>
      <c r="O660" s="801"/>
      <c r="P660" s="801"/>
      <c r="Q660" s="801"/>
      <c r="R660" s="801"/>
      <c r="S660" s="374"/>
      <c r="T660" s="374"/>
      <c r="U660" s="374"/>
      <c r="V660" s="374"/>
      <c r="W660" s="374"/>
    </row>
    <row r="661" spans="1:23" s="1190" customFormat="1" ht="15.75" customHeight="1">
      <c r="A661" s="801"/>
      <c r="B661" s="801"/>
      <c r="C661" s="801"/>
      <c r="D661" s="1320"/>
      <c r="E661" s="1078"/>
      <c r="F661" s="801"/>
      <c r="G661" s="803"/>
      <c r="H661" s="801"/>
      <c r="I661" s="801"/>
      <c r="J661" s="801"/>
      <c r="K661" s="801"/>
      <c r="L661" s="803"/>
      <c r="M661" s="803"/>
      <c r="N661" s="801"/>
      <c r="O661" s="801"/>
      <c r="P661" s="801"/>
      <c r="Q661" s="801"/>
      <c r="R661" s="801"/>
      <c r="S661" s="374"/>
      <c r="T661" s="374"/>
      <c r="U661" s="374"/>
      <c r="V661" s="374"/>
      <c r="W661" s="374"/>
    </row>
    <row r="662" spans="1:23" s="1190" customFormat="1" ht="15.75" customHeight="1">
      <c r="A662" s="801"/>
      <c r="B662" s="801"/>
      <c r="C662" s="801"/>
      <c r="D662" s="1320"/>
      <c r="E662" s="1078"/>
      <c r="F662" s="801"/>
      <c r="G662" s="803"/>
      <c r="H662" s="801"/>
      <c r="I662" s="801"/>
      <c r="J662" s="801"/>
      <c r="K662" s="801"/>
      <c r="L662" s="803"/>
      <c r="M662" s="803"/>
      <c r="N662" s="801"/>
      <c r="O662" s="801"/>
      <c r="P662" s="801"/>
      <c r="Q662" s="801"/>
      <c r="R662" s="801"/>
      <c r="S662" s="374"/>
      <c r="T662" s="374"/>
      <c r="U662" s="374"/>
      <c r="V662" s="374"/>
      <c r="W662" s="374"/>
    </row>
    <row r="663" spans="1:23" s="1190" customFormat="1" ht="15.75" customHeight="1">
      <c r="A663" s="801"/>
      <c r="B663" s="801"/>
      <c r="C663" s="801"/>
      <c r="D663" s="1320"/>
      <c r="E663" s="1078"/>
      <c r="F663" s="801"/>
      <c r="G663" s="803"/>
      <c r="H663" s="801"/>
      <c r="I663" s="801"/>
      <c r="J663" s="801"/>
      <c r="K663" s="801"/>
      <c r="L663" s="803"/>
      <c r="M663" s="803"/>
      <c r="N663" s="801"/>
      <c r="O663" s="801"/>
      <c r="P663" s="801"/>
      <c r="Q663" s="801"/>
      <c r="R663" s="801"/>
      <c r="S663" s="374"/>
      <c r="T663" s="374"/>
      <c r="U663" s="374"/>
      <c r="V663" s="374"/>
      <c r="W663" s="374"/>
    </row>
    <row r="664" spans="1:23" s="1190" customFormat="1" ht="15.75" customHeight="1">
      <c r="A664" s="801"/>
      <c r="B664" s="801"/>
      <c r="C664" s="801"/>
      <c r="D664" s="1320"/>
      <c r="E664" s="1078"/>
      <c r="F664" s="801"/>
      <c r="G664" s="803"/>
      <c r="H664" s="801"/>
      <c r="I664" s="801"/>
      <c r="J664" s="801"/>
      <c r="K664" s="801"/>
      <c r="L664" s="803"/>
      <c r="M664" s="803"/>
      <c r="N664" s="801"/>
      <c r="O664" s="801"/>
      <c r="P664" s="801"/>
      <c r="Q664" s="801"/>
      <c r="R664" s="801"/>
      <c r="S664" s="374"/>
      <c r="T664" s="374"/>
      <c r="U664" s="374"/>
      <c r="V664" s="374"/>
      <c r="W664" s="374"/>
    </row>
    <row r="665" spans="1:23" s="1190" customFormat="1" ht="15.75" customHeight="1">
      <c r="A665" s="801"/>
      <c r="B665" s="801"/>
      <c r="C665" s="801"/>
      <c r="D665" s="1320"/>
      <c r="E665" s="1078"/>
      <c r="F665" s="801"/>
      <c r="G665" s="803"/>
      <c r="H665" s="801"/>
      <c r="I665" s="801"/>
      <c r="J665" s="801"/>
      <c r="K665" s="801"/>
      <c r="L665" s="803"/>
      <c r="M665" s="803"/>
      <c r="N665" s="801"/>
      <c r="O665" s="801"/>
      <c r="P665" s="801"/>
      <c r="Q665" s="801"/>
      <c r="R665" s="801"/>
      <c r="S665" s="374"/>
      <c r="T665" s="374"/>
      <c r="U665" s="374"/>
      <c r="V665" s="374"/>
      <c r="W665" s="374"/>
    </row>
    <row r="666" spans="1:23" s="1190" customFormat="1" ht="15.75" customHeight="1">
      <c r="A666" s="801"/>
      <c r="B666" s="801"/>
      <c r="C666" s="801"/>
      <c r="D666" s="1320"/>
      <c r="E666" s="1078"/>
      <c r="F666" s="801"/>
      <c r="G666" s="803"/>
      <c r="H666" s="801"/>
      <c r="I666" s="801"/>
      <c r="J666" s="801"/>
      <c r="K666" s="801"/>
      <c r="L666" s="803"/>
      <c r="M666" s="803"/>
      <c r="N666" s="801"/>
      <c r="O666" s="801"/>
      <c r="P666" s="801"/>
      <c r="Q666" s="801"/>
      <c r="R666" s="801"/>
      <c r="S666" s="374"/>
      <c r="T666" s="374"/>
      <c r="U666" s="374"/>
      <c r="V666" s="374"/>
      <c r="W666" s="374"/>
    </row>
    <row r="667" spans="1:23" s="1190" customFormat="1" ht="15.75" customHeight="1">
      <c r="A667" s="801"/>
      <c r="B667" s="801"/>
      <c r="C667" s="801"/>
      <c r="D667" s="1320"/>
      <c r="E667" s="1078"/>
      <c r="F667" s="801"/>
      <c r="G667" s="803"/>
      <c r="H667" s="801"/>
      <c r="I667" s="801"/>
      <c r="J667" s="801"/>
      <c r="K667" s="801"/>
      <c r="L667" s="803"/>
      <c r="M667" s="803"/>
      <c r="N667" s="801"/>
      <c r="O667" s="801"/>
      <c r="P667" s="801"/>
      <c r="Q667" s="801"/>
      <c r="R667" s="801"/>
      <c r="S667" s="374"/>
      <c r="T667" s="374"/>
      <c r="U667" s="374"/>
      <c r="V667" s="374"/>
      <c r="W667" s="374"/>
    </row>
    <row r="668" spans="1:23" s="1190" customFormat="1" ht="15.75" customHeight="1">
      <c r="A668" s="801"/>
      <c r="B668" s="801"/>
      <c r="C668" s="801"/>
      <c r="D668" s="1320"/>
      <c r="E668" s="1078"/>
      <c r="F668" s="801"/>
      <c r="G668" s="803"/>
      <c r="H668" s="801"/>
      <c r="I668" s="801"/>
      <c r="J668" s="801"/>
      <c r="K668" s="801"/>
      <c r="L668" s="803"/>
      <c r="M668" s="803"/>
      <c r="N668" s="801"/>
      <c r="O668" s="801"/>
      <c r="P668" s="801"/>
      <c r="Q668" s="801"/>
      <c r="R668" s="801"/>
      <c r="S668" s="374"/>
      <c r="T668" s="374"/>
      <c r="U668" s="374"/>
      <c r="V668" s="374"/>
      <c r="W668" s="374"/>
    </row>
    <row r="669" spans="1:23" s="1190" customFormat="1" ht="15.75" customHeight="1">
      <c r="A669" s="801"/>
      <c r="B669" s="801"/>
      <c r="C669" s="801"/>
      <c r="D669" s="1320"/>
      <c r="E669" s="1078"/>
      <c r="F669" s="801"/>
      <c r="G669" s="803"/>
      <c r="H669" s="801"/>
      <c r="I669" s="801"/>
      <c r="J669" s="801"/>
      <c r="K669" s="801"/>
      <c r="L669" s="803"/>
      <c r="M669" s="803"/>
      <c r="N669" s="801"/>
      <c r="O669" s="801"/>
      <c r="P669" s="801"/>
      <c r="Q669" s="801"/>
      <c r="R669" s="801"/>
      <c r="S669" s="374"/>
      <c r="T669" s="374"/>
      <c r="U669" s="374"/>
      <c r="V669" s="374"/>
      <c r="W669" s="374"/>
    </row>
    <row r="670" spans="1:23" s="1190" customFormat="1" ht="15.75" customHeight="1">
      <c r="A670" s="801"/>
      <c r="B670" s="801"/>
      <c r="C670" s="801"/>
      <c r="D670" s="1320"/>
      <c r="E670" s="1078"/>
      <c r="F670" s="801"/>
      <c r="G670" s="803"/>
      <c r="H670" s="801"/>
      <c r="I670" s="801"/>
      <c r="J670" s="801"/>
      <c r="K670" s="801"/>
      <c r="L670" s="803"/>
      <c r="M670" s="803"/>
      <c r="N670" s="801"/>
      <c r="O670" s="801"/>
      <c r="P670" s="801"/>
      <c r="Q670" s="801"/>
      <c r="R670" s="801"/>
      <c r="S670" s="374"/>
      <c r="T670" s="374"/>
      <c r="U670" s="374"/>
      <c r="V670" s="374"/>
      <c r="W670" s="374"/>
    </row>
    <row r="671" spans="1:23" s="1190" customFormat="1" ht="15.75" customHeight="1">
      <c r="A671" s="801"/>
      <c r="B671" s="801"/>
      <c r="C671" s="801"/>
      <c r="D671" s="1320"/>
      <c r="E671" s="1078"/>
      <c r="F671" s="801"/>
      <c r="G671" s="803"/>
      <c r="H671" s="801"/>
      <c r="I671" s="801"/>
      <c r="J671" s="801"/>
      <c r="K671" s="801"/>
      <c r="L671" s="803"/>
      <c r="M671" s="803"/>
      <c r="N671" s="801"/>
      <c r="O671" s="801"/>
      <c r="P671" s="801"/>
      <c r="Q671" s="801"/>
      <c r="R671" s="801"/>
      <c r="S671" s="374"/>
      <c r="T671" s="374"/>
      <c r="U671" s="374"/>
      <c r="V671" s="374"/>
      <c r="W671" s="374"/>
    </row>
    <row r="672" spans="1:23" s="1190" customFormat="1" ht="15.75" customHeight="1">
      <c r="A672" s="801"/>
      <c r="B672" s="801"/>
      <c r="C672" s="801"/>
      <c r="D672" s="1320"/>
      <c r="E672" s="1078"/>
      <c r="F672" s="801"/>
      <c r="G672" s="803"/>
      <c r="H672" s="801"/>
      <c r="I672" s="801"/>
      <c r="J672" s="801"/>
      <c r="K672" s="801"/>
      <c r="L672" s="803"/>
      <c r="M672" s="803"/>
      <c r="N672" s="801"/>
      <c r="O672" s="801"/>
      <c r="P672" s="801"/>
      <c r="Q672" s="801"/>
      <c r="R672" s="801"/>
      <c r="S672" s="374"/>
      <c r="T672" s="374"/>
      <c r="U672" s="374"/>
      <c r="V672" s="374"/>
      <c r="W672" s="374"/>
    </row>
    <row r="673" spans="1:23" s="1190" customFormat="1" ht="15.75" customHeight="1">
      <c r="A673" s="801"/>
      <c r="B673" s="801"/>
      <c r="C673" s="801"/>
      <c r="D673" s="1320"/>
      <c r="E673" s="1078"/>
      <c r="F673" s="801"/>
      <c r="G673" s="803"/>
      <c r="H673" s="801"/>
      <c r="I673" s="801"/>
      <c r="J673" s="801"/>
      <c r="K673" s="801"/>
      <c r="L673" s="803"/>
      <c r="M673" s="803"/>
      <c r="N673" s="801"/>
      <c r="O673" s="801"/>
      <c r="P673" s="801"/>
      <c r="Q673" s="801"/>
      <c r="R673" s="801"/>
      <c r="S673" s="374"/>
      <c r="T673" s="374"/>
      <c r="U673" s="374"/>
      <c r="V673" s="374"/>
      <c r="W673" s="374"/>
    </row>
    <row r="674" spans="1:23" s="1190" customFormat="1" ht="15.75" customHeight="1">
      <c r="A674" s="801"/>
      <c r="B674" s="801"/>
      <c r="C674" s="801"/>
      <c r="D674" s="1320"/>
      <c r="E674" s="1078"/>
      <c r="F674" s="801"/>
      <c r="G674" s="803"/>
      <c r="H674" s="801"/>
      <c r="I674" s="801"/>
      <c r="J674" s="801"/>
      <c r="K674" s="801"/>
      <c r="L674" s="803"/>
      <c r="M674" s="803"/>
      <c r="N674" s="801"/>
      <c r="O674" s="801"/>
      <c r="P674" s="801"/>
      <c r="Q674" s="801"/>
      <c r="R674" s="801"/>
      <c r="S674" s="374"/>
      <c r="T674" s="374"/>
      <c r="U674" s="374"/>
      <c r="V674" s="374"/>
      <c r="W674" s="374"/>
    </row>
    <row r="675" spans="1:23" s="1190" customFormat="1" ht="15.75" customHeight="1">
      <c r="A675" s="801"/>
      <c r="B675" s="801"/>
      <c r="C675" s="801"/>
      <c r="D675" s="1320"/>
      <c r="E675" s="1078"/>
      <c r="F675" s="801"/>
      <c r="G675" s="803"/>
      <c r="H675" s="801"/>
      <c r="I675" s="801"/>
      <c r="J675" s="801"/>
      <c r="K675" s="801"/>
      <c r="L675" s="803"/>
      <c r="M675" s="803"/>
      <c r="N675" s="801"/>
      <c r="O675" s="801"/>
      <c r="P675" s="801"/>
      <c r="Q675" s="801"/>
      <c r="R675" s="801"/>
      <c r="S675" s="374"/>
      <c r="T675" s="374"/>
      <c r="U675" s="374"/>
      <c r="V675" s="374"/>
      <c r="W675" s="374"/>
    </row>
    <row r="676" spans="1:23" s="1190" customFormat="1" ht="15.75" customHeight="1">
      <c r="A676" s="801"/>
      <c r="B676" s="801"/>
      <c r="C676" s="801"/>
      <c r="D676" s="1320"/>
      <c r="E676" s="1078"/>
      <c r="F676" s="801"/>
      <c r="G676" s="803"/>
      <c r="H676" s="801"/>
      <c r="I676" s="801"/>
      <c r="J676" s="801"/>
      <c r="K676" s="801"/>
      <c r="L676" s="803"/>
      <c r="M676" s="803"/>
      <c r="N676" s="801"/>
      <c r="O676" s="801"/>
      <c r="P676" s="801"/>
      <c r="Q676" s="801"/>
      <c r="R676" s="801"/>
      <c r="S676" s="374"/>
      <c r="T676" s="374"/>
      <c r="U676" s="374"/>
      <c r="V676" s="374"/>
      <c r="W676" s="374"/>
    </row>
    <row r="677" spans="1:23" s="1190" customFormat="1" ht="15.75" customHeight="1">
      <c r="A677" s="801"/>
      <c r="B677" s="801"/>
      <c r="C677" s="801"/>
      <c r="D677" s="1320"/>
      <c r="E677" s="1078"/>
      <c r="F677" s="801"/>
      <c r="G677" s="803"/>
      <c r="H677" s="801"/>
      <c r="I677" s="801"/>
      <c r="J677" s="801"/>
      <c r="K677" s="801"/>
      <c r="L677" s="803"/>
      <c r="M677" s="803"/>
      <c r="N677" s="801"/>
      <c r="O677" s="801"/>
      <c r="P677" s="801"/>
      <c r="Q677" s="801"/>
      <c r="R677" s="801"/>
      <c r="S677" s="374"/>
      <c r="T677" s="374"/>
      <c r="U677" s="374"/>
      <c r="V677" s="374"/>
      <c r="W677" s="374"/>
    </row>
    <row r="678" spans="1:23" s="1190" customFormat="1" ht="15.75" customHeight="1">
      <c r="A678" s="801"/>
      <c r="B678" s="801"/>
      <c r="C678" s="801"/>
      <c r="D678" s="1320"/>
      <c r="E678" s="1078"/>
      <c r="F678" s="801"/>
      <c r="G678" s="803"/>
      <c r="H678" s="801"/>
      <c r="I678" s="801"/>
      <c r="J678" s="801"/>
      <c r="K678" s="801"/>
      <c r="L678" s="803"/>
      <c r="M678" s="803"/>
      <c r="N678" s="801"/>
      <c r="O678" s="801"/>
      <c r="P678" s="801"/>
      <c r="Q678" s="801"/>
      <c r="R678" s="801"/>
      <c r="S678" s="374"/>
      <c r="T678" s="374"/>
      <c r="U678" s="374"/>
      <c r="V678" s="374"/>
      <c r="W678" s="374"/>
    </row>
    <row r="679" spans="1:23" s="1190" customFormat="1" ht="15.75" customHeight="1">
      <c r="A679" s="801"/>
      <c r="B679" s="801"/>
      <c r="C679" s="801"/>
      <c r="D679" s="1320"/>
      <c r="E679" s="1078"/>
      <c r="F679" s="801"/>
      <c r="G679" s="803"/>
      <c r="H679" s="801"/>
      <c r="I679" s="801"/>
      <c r="J679" s="801"/>
      <c r="K679" s="801"/>
      <c r="L679" s="803"/>
      <c r="M679" s="803"/>
      <c r="N679" s="801"/>
      <c r="O679" s="801"/>
      <c r="P679" s="801"/>
      <c r="Q679" s="801"/>
      <c r="R679" s="801"/>
      <c r="S679" s="374"/>
      <c r="T679" s="374"/>
      <c r="U679" s="374"/>
      <c r="V679" s="374"/>
      <c r="W679" s="374"/>
    </row>
    <row r="680" spans="1:23" s="1190" customFormat="1" ht="15.75" customHeight="1">
      <c r="A680" s="801"/>
      <c r="B680" s="801"/>
      <c r="C680" s="801"/>
      <c r="D680" s="1320"/>
      <c r="E680" s="1078"/>
      <c r="F680" s="801"/>
      <c r="G680" s="803"/>
      <c r="H680" s="801"/>
      <c r="I680" s="801"/>
      <c r="J680" s="801"/>
      <c r="K680" s="801"/>
      <c r="L680" s="803"/>
      <c r="M680" s="803"/>
      <c r="N680" s="801"/>
      <c r="O680" s="801"/>
      <c r="P680" s="801"/>
      <c r="Q680" s="801"/>
      <c r="R680" s="801"/>
      <c r="S680" s="374"/>
      <c r="T680" s="374"/>
      <c r="U680" s="374"/>
      <c r="V680" s="374"/>
      <c r="W680" s="374"/>
    </row>
    <row r="681" spans="1:23" s="1190" customFormat="1" ht="15.75" customHeight="1">
      <c r="A681" s="801"/>
      <c r="B681" s="801"/>
      <c r="C681" s="801"/>
      <c r="D681" s="1320"/>
      <c r="E681" s="1078"/>
      <c r="F681" s="801"/>
      <c r="G681" s="803"/>
      <c r="H681" s="801"/>
      <c r="I681" s="801"/>
      <c r="J681" s="801"/>
      <c r="K681" s="801"/>
      <c r="L681" s="803"/>
      <c r="M681" s="803"/>
      <c r="N681" s="801"/>
      <c r="O681" s="801"/>
      <c r="P681" s="801"/>
      <c r="Q681" s="801"/>
      <c r="R681" s="801"/>
      <c r="S681" s="374"/>
      <c r="T681" s="374"/>
      <c r="U681" s="374"/>
      <c r="V681" s="374"/>
      <c r="W681" s="374"/>
    </row>
    <row r="682" spans="1:23" s="1190" customFormat="1" ht="15.75" customHeight="1">
      <c r="A682" s="801"/>
      <c r="B682" s="801"/>
      <c r="C682" s="801"/>
      <c r="D682" s="1320"/>
      <c r="E682" s="1078"/>
      <c r="F682" s="801"/>
      <c r="G682" s="803"/>
      <c r="H682" s="801"/>
      <c r="I682" s="801"/>
      <c r="J682" s="801"/>
      <c r="K682" s="801"/>
      <c r="L682" s="803"/>
      <c r="M682" s="803"/>
      <c r="N682" s="801"/>
      <c r="O682" s="801"/>
      <c r="P682" s="801"/>
      <c r="Q682" s="801"/>
      <c r="R682" s="801"/>
      <c r="S682" s="374"/>
      <c r="T682" s="374"/>
      <c r="U682" s="374"/>
      <c r="V682" s="374"/>
      <c r="W682" s="374"/>
    </row>
    <row r="683" spans="1:23" s="1190" customFormat="1" ht="15.75" customHeight="1">
      <c r="A683" s="801"/>
      <c r="B683" s="801"/>
      <c r="C683" s="801"/>
      <c r="D683" s="1320"/>
      <c r="E683" s="1078"/>
      <c r="F683" s="801"/>
      <c r="G683" s="803"/>
      <c r="H683" s="801"/>
      <c r="I683" s="801"/>
      <c r="J683" s="801"/>
      <c r="K683" s="801"/>
      <c r="L683" s="803"/>
      <c r="M683" s="803"/>
      <c r="N683" s="801"/>
      <c r="O683" s="801"/>
      <c r="P683" s="801"/>
      <c r="Q683" s="801"/>
      <c r="R683" s="801"/>
      <c r="S683" s="374"/>
      <c r="T683" s="374"/>
      <c r="U683" s="374"/>
      <c r="V683" s="374"/>
      <c r="W683" s="374"/>
    </row>
    <row r="684" spans="1:23" s="1190" customFormat="1" ht="15.75" customHeight="1">
      <c r="A684" s="801"/>
      <c r="B684" s="801"/>
      <c r="C684" s="801"/>
      <c r="D684" s="1320"/>
      <c r="E684" s="1078"/>
      <c r="F684" s="801"/>
      <c r="G684" s="803"/>
      <c r="H684" s="801"/>
      <c r="I684" s="801"/>
      <c r="J684" s="801"/>
      <c r="K684" s="801"/>
      <c r="L684" s="803"/>
      <c r="M684" s="803"/>
      <c r="N684" s="801"/>
      <c r="O684" s="801"/>
      <c r="P684" s="801"/>
      <c r="Q684" s="801"/>
      <c r="R684" s="801"/>
      <c r="S684" s="374"/>
      <c r="T684" s="374"/>
      <c r="U684" s="374"/>
      <c r="V684" s="374"/>
      <c r="W684" s="374"/>
    </row>
    <row r="685" spans="1:23" s="1190" customFormat="1" ht="15.75" customHeight="1">
      <c r="A685" s="801"/>
      <c r="B685" s="801"/>
      <c r="C685" s="801"/>
      <c r="D685" s="1320"/>
      <c r="E685" s="1078"/>
      <c r="F685" s="801"/>
      <c r="G685" s="803"/>
      <c r="H685" s="801"/>
      <c r="I685" s="801"/>
      <c r="J685" s="801"/>
      <c r="K685" s="801"/>
      <c r="L685" s="803"/>
      <c r="M685" s="803"/>
      <c r="N685" s="801"/>
      <c r="O685" s="801"/>
      <c r="P685" s="801"/>
      <c r="Q685" s="801"/>
      <c r="R685" s="801"/>
      <c r="S685" s="374"/>
      <c r="T685" s="374"/>
      <c r="U685" s="374"/>
      <c r="V685" s="374"/>
      <c r="W685" s="374"/>
    </row>
    <row r="686" spans="1:23" s="1190" customFormat="1" ht="15.75" customHeight="1">
      <c r="A686" s="801"/>
      <c r="B686" s="801"/>
      <c r="C686" s="801"/>
      <c r="D686" s="1320"/>
      <c r="E686" s="1078"/>
      <c r="F686" s="801"/>
      <c r="G686" s="803"/>
      <c r="H686" s="801"/>
      <c r="I686" s="801"/>
      <c r="J686" s="801"/>
      <c r="K686" s="801"/>
      <c r="L686" s="803"/>
      <c r="M686" s="803"/>
      <c r="N686" s="801"/>
      <c r="O686" s="801"/>
      <c r="P686" s="801"/>
      <c r="Q686" s="801"/>
      <c r="R686" s="801"/>
      <c r="S686" s="374"/>
      <c r="T686" s="374"/>
      <c r="U686" s="374"/>
      <c r="V686" s="374"/>
      <c r="W686" s="374"/>
    </row>
    <row r="687" spans="1:23" s="1190" customFormat="1" ht="15.75" customHeight="1">
      <c r="A687" s="801"/>
      <c r="B687" s="801"/>
      <c r="C687" s="801"/>
      <c r="D687" s="1320"/>
      <c r="E687" s="1078"/>
      <c r="F687" s="801"/>
      <c r="G687" s="803"/>
      <c r="H687" s="801"/>
      <c r="I687" s="801"/>
      <c r="J687" s="801"/>
      <c r="K687" s="801"/>
      <c r="L687" s="803"/>
      <c r="M687" s="803"/>
      <c r="N687" s="801"/>
      <c r="O687" s="801"/>
      <c r="P687" s="801"/>
      <c r="Q687" s="801"/>
      <c r="R687" s="801"/>
      <c r="S687" s="374"/>
      <c r="T687" s="374"/>
      <c r="U687" s="374"/>
      <c r="V687" s="374"/>
      <c r="W687" s="374"/>
    </row>
    <row r="688" spans="1:23" s="1190" customFormat="1" ht="15.75" customHeight="1">
      <c r="A688" s="801"/>
      <c r="B688" s="801"/>
      <c r="C688" s="801"/>
      <c r="D688" s="1320"/>
      <c r="E688" s="1078"/>
      <c r="F688" s="801"/>
      <c r="G688" s="803"/>
      <c r="H688" s="801"/>
      <c r="I688" s="801"/>
      <c r="J688" s="801"/>
      <c r="K688" s="801"/>
      <c r="L688" s="803"/>
      <c r="M688" s="803"/>
      <c r="N688" s="801"/>
      <c r="O688" s="801"/>
      <c r="P688" s="801"/>
      <c r="Q688" s="801"/>
      <c r="R688" s="801"/>
      <c r="S688" s="374"/>
      <c r="T688" s="374"/>
      <c r="U688" s="374"/>
      <c r="V688" s="374"/>
      <c r="W688" s="374"/>
    </row>
    <row r="689" spans="1:23" s="1190" customFormat="1" ht="15.75" customHeight="1">
      <c r="A689" s="801"/>
      <c r="B689" s="801"/>
      <c r="C689" s="801"/>
      <c r="D689" s="1320"/>
      <c r="E689" s="1078"/>
      <c r="F689" s="801"/>
      <c r="G689" s="803"/>
      <c r="H689" s="801"/>
      <c r="I689" s="801"/>
      <c r="J689" s="801"/>
      <c r="K689" s="801"/>
      <c r="L689" s="803"/>
      <c r="M689" s="803"/>
      <c r="N689" s="801"/>
      <c r="O689" s="801"/>
      <c r="P689" s="801"/>
      <c r="Q689" s="801"/>
      <c r="R689" s="801"/>
      <c r="S689" s="374"/>
      <c r="T689" s="374"/>
      <c r="U689" s="374"/>
      <c r="V689" s="374"/>
      <c r="W689" s="374"/>
    </row>
    <row r="690" spans="1:23" s="1190" customFormat="1" ht="15.75" customHeight="1">
      <c r="A690" s="801"/>
      <c r="B690" s="801"/>
      <c r="C690" s="801"/>
      <c r="D690" s="1320"/>
      <c r="E690" s="1078"/>
      <c r="F690" s="801"/>
      <c r="G690" s="803"/>
      <c r="H690" s="801"/>
      <c r="I690" s="801"/>
      <c r="J690" s="801"/>
      <c r="K690" s="801"/>
      <c r="L690" s="803"/>
      <c r="M690" s="803"/>
      <c r="N690" s="801"/>
      <c r="O690" s="801"/>
      <c r="P690" s="801"/>
      <c r="Q690" s="801"/>
      <c r="R690" s="801"/>
      <c r="S690" s="374"/>
      <c r="T690" s="374"/>
      <c r="U690" s="374"/>
      <c r="V690" s="374"/>
      <c r="W690" s="374"/>
    </row>
    <row r="691" spans="1:23" s="1190" customFormat="1" ht="15.75" customHeight="1">
      <c r="A691" s="801"/>
      <c r="B691" s="801"/>
      <c r="C691" s="801"/>
      <c r="D691" s="1320"/>
      <c r="E691" s="1078"/>
      <c r="F691" s="801"/>
      <c r="G691" s="803"/>
      <c r="H691" s="801"/>
      <c r="I691" s="801"/>
      <c r="J691" s="801"/>
      <c r="K691" s="801"/>
      <c r="L691" s="803"/>
      <c r="M691" s="803"/>
      <c r="N691" s="801"/>
      <c r="O691" s="801"/>
      <c r="P691" s="801"/>
      <c r="Q691" s="801"/>
      <c r="R691" s="801"/>
      <c r="S691" s="374"/>
      <c r="T691" s="374"/>
      <c r="U691" s="374"/>
      <c r="V691" s="374"/>
      <c r="W691" s="374"/>
    </row>
    <row r="692" spans="1:23" s="1190" customFormat="1" ht="15.75" customHeight="1">
      <c r="A692" s="801"/>
      <c r="B692" s="801"/>
      <c r="C692" s="801"/>
      <c r="D692" s="1320"/>
      <c r="E692" s="1078"/>
      <c r="F692" s="801"/>
      <c r="G692" s="803"/>
      <c r="H692" s="801"/>
      <c r="I692" s="801"/>
      <c r="J692" s="801"/>
      <c r="K692" s="801"/>
      <c r="L692" s="803"/>
      <c r="M692" s="803"/>
      <c r="N692" s="801"/>
      <c r="O692" s="801"/>
      <c r="P692" s="801"/>
      <c r="Q692" s="801"/>
      <c r="R692" s="801"/>
      <c r="S692" s="374"/>
      <c r="T692" s="374"/>
      <c r="U692" s="374"/>
      <c r="V692" s="374"/>
      <c r="W692" s="374"/>
    </row>
    <row r="693" spans="1:23">
      <c r="E693" s="801"/>
      <c r="F693" s="801"/>
    </row>
  </sheetData>
  <autoFilter ref="A6:U501" xr:uid="{56B306DE-28D3-4D4F-9E5F-D009EB5AECAC}">
    <filterColumn colId="16" showButton="0"/>
  </autoFilter>
  <mergeCells count="1">
    <mergeCell ref="Q6:R6"/>
  </mergeCells>
  <pageMargins left="0.23622047244094491" right="0.11811023622047245" top="0.31496062992125984" bottom="0.2" header="0.31496062992125984" footer="0.31496062992125984"/>
  <pageSetup paperSize="9" scale="56" fitToHeight="13" orientation="landscape" r:id="rId1"/>
  <drawing r:id="rId2"/>
  <legacyDrawing r:id="rId3"/>
  <controls>
    <mc:AlternateContent xmlns:mc="http://schemas.openxmlformats.org/markup-compatibility/2006">
      <mc:Choice Requires="x14">
        <control shapeId="2050" r:id="rId4" name="Control 2">
          <controlPr defaultSize="0" autoPict="0" r:id="rId5">
            <anchor moveWithCells="1">
              <from>
                <xdr:col>6</xdr:col>
                <xdr:colOff>47625</xdr:colOff>
                <xdr:row>493</xdr:row>
                <xdr:rowOff>171450</xdr:rowOff>
              </from>
              <to>
                <xdr:col>6</xdr:col>
                <xdr:colOff>276225</xdr:colOff>
                <xdr:row>495</xdr:row>
                <xdr:rowOff>0</xdr:rowOff>
              </to>
            </anchor>
          </controlPr>
        </control>
      </mc:Choice>
      <mc:Fallback>
        <control shapeId="2050" r:id="rId4" name="Control 2"/>
      </mc:Fallback>
    </mc:AlternateContent>
    <mc:AlternateContent xmlns:mc="http://schemas.openxmlformats.org/markup-compatibility/2006">
      <mc:Choice Requires="x14">
        <control shapeId="2" r:id="rId6" name="Control 1">
          <controlPr defaultSize="0" r:id="rId7">
            <anchor moveWithCells="1">
              <from>
                <xdr:col>2</xdr:col>
                <xdr:colOff>0</xdr:colOff>
                <xdr:row>493</xdr:row>
                <xdr:rowOff>171450</xdr:rowOff>
              </from>
              <to>
                <xdr:col>2</xdr:col>
                <xdr:colOff>190500</xdr:colOff>
                <xdr:row>494</xdr:row>
                <xdr:rowOff>180975</xdr:rowOff>
              </to>
            </anchor>
          </controlPr>
        </control>
      </mc:Choice>
      <mc:Fallback>
        <control shapeId="2049" r:id="rId6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S1173"/>
  <sheetViews>
    <sheetView topLeftCell="C1" zoomScale="90" zoomScaleNormal="90" workbookViewId="0">
      <pane xSplit="11" ySplit="8" topLeftCell="R9" activePane="bottomRight" state="frozen"/>
      <selection activeCell="C281" sqref="C2:C281"/>
      <selection pane="topRight" activeCell="C281" sqref="C2:C281"/>
      <selection pane="bottomLeft" activeCell="C281" sqref="C2:C281"/>
      <selection pane="bottomRight" activeCell="M64" sqref="M64"/>
    </sheetView>
  </sheetViews>
  <sheetFormatPr defaultColWidth="9.140625" defaultRowHeight="15"/>
  <cols>
    <col min="1" max="1" width="11.7109375" style="1440" hidden="1" customWidth="1"/>
    <col min="2" max="2" width="10" style="374" hidden="1" customWidth="1"/>
    <col min="3" max="3" width="13" style="374" customWidth="1"/>
    <col min="4" max="4" width="16.28515625" style="374" customWidth="1"/>
    <col min="5" max="5" width="7.42578125" style="374" customWidth="1"/>
    <col min="6" max="6" width="13" style="374" customWidth="1"/>
    <col min="7" max="7" width="59.42578125" style="9" customWidth="1"/>
    <col min="8" max="8" width="5.42578125" style="374" customWidth="1"/>
    <col min="9" max="9" width="52.28515625" style="1166" customWidth="1"/>
    <col min="10" max="10" width="25.85546875" style="374" hidden="1" customWidth="1"/>
    <col min="11" max="11" width="12.7109375" style="374" customWidth="1"/>
    <col min="12" max="12" width="15.140625" style="374" customWidth="1"/>
    <col min="13" max="13" width="20.7109375" style="371" customWidth="1"/>
    <col min="14" max="14" width="8.7109375" style="374" customWidth="1"/>
    <col min="15" max="16" width="13" style="374" customWidth="1"/>
    <col min="17" max="17" width="13.42578125" style="374" customWidth="1"/>
    <col min="18" max="18" width="29" style="374" customWidth="1"/>
    <col min="19" max="19" width="40.7109375" style="1166" customWidth="1"/>
    <col min="20" max="21" width="20.85546875" style="371" customWidth="1"/>
    <col min="22" max="22" width="21.28515625" style="1469" hidden="1" customWidth="1"/>
    <col min="23" max="23" width="18.28515625" style="1469" hidden="1" customWidth="1"/>
    <col min="24" max="24" width="20.28515625" style="1469" hidden="1" customWidth="1"/>
    <col min="25" max="25" width="19.85546875" style="371" bestFit="1" customWidth="1"/>
    <col min="26" max="26" width="24.42578125" style="371" bestFit="1" customWidth="1"/>
    <col min="27" max="27" width="15.5703125" style="374" bestFit="1" customWidth="1"/>
    <col min="28" max="28" width="22.42578125" style="374" bestFit="1" customWidth="1"/>
    <col min="29" max="29" width="22.5703125" style="374" bestFit="1" customWidth="1"/>
    <col min="30" max="30" width="16.5703125" style="374" customWidth="1"/>
    <col min="31" max="31" width="17.140625" style="374" bestFit="1" customWidth="1"/>
    <col min="32" max="32" width="24.85546875" style="360" customWidth="1"/>
    <col min="33" max="33" width="21.42578125" style="360" customWidth="1"/>
    <col min="34" max="34" width="14.85546875" style="374" customWidth="1"/>
    <col min="35" max="35" width="15" style="374" customWidth="1"/>
    <col min="36" max="36" width="15.140625" style="374" customWidth="1"/>
    <col min="37" max="37" width="8.5703125" style="374" customWidth="1"/>
    <col min="38" max="38" width="13.5703125" style="374" bestFit="1" customWidth="1"/>
    <col min="39" max="40" width="9.140625" style="374"/>
    <col min="41" max="41" width="11" style="374" bestFit="1" customWidth="1"/>
    <col min="42" max="44" width="9.140625" style="374"/>
    <col min="45" max="45" width="13.42578125" style="374" customWidth="1"/>
    <col min="46" max="16384" width="9.140625" style="9"/>
  </cols>
  <sheetData>
    <row r="1" spans="1:33">
      <c r="E1" s="358"/>
      <c r="G1" s="491" t="s">
        <v>222</v>
      </c>
      <c r="L1" s="370"/>
    </row>
    <row r="2" spans="1:33">
      <c r="E2" s="359"/>
      <c r="G2" s="506" t="s">
        <v>223</v>
      </c>
      <c r="L2" s="370"/>
    </row>
    <row r="3" spans="1:33">
      <c r="E3" s="360"/>
      <c r="G3" s="540" t="s">
        <v>4837</v>
      </c>
      <c r="L3" s="370"/>
    </row>
    <row r="4" spans="1:33">
      <c r="E4" s="360"/>
      <c r="G4" s="590" t="s">
        <v>225</v>
      </c>
      <c r="L4" s="370"/>
    </row>
    <row r="5" spans="1:33">
      <c r="E5" s="360"/>
      <c r="G5" s="1552" t="s">
        <v>4709</v>
      </c>
      <c r="L5" s="370"/>
    </row>
    <row r="6" spans="1:33">
      <c r="E6" s="360"/>
      <c r="F6" s="796"/>
      <c r="G6" s="1102" t="s">
        <v>226</v>
      </c>
      <c r="H6" s="1351"/>
      <c r="I6" s="1418"/>
      <c r="J6" s="1351"/>
      <c r="L6" s="370"/>
    </row>
    <row r="7" spans="1:33">
      <c r="E7" s="360"/>
      <c r="F7" s="796"/>
      <c r="G7" s="1639" t="s">
        <v>5393</v>
      </c>
      <c r="H7" s="1351"/>
      <c r="I7" s="1418"/>
      <c r="J7" s="1351"/>
      <c r="L7" s="370"/>
    </row>
    <row r="8" spans="1:33" ht="75.75" thickBot="1">
      <c r="A8" s="1441" t="s">
        <v>3483</v>
      </c>
      <c r="B8" s="1350" t="s">
        <v>3496</v>
      </c>
      <c r="C8" s="1572" t="s">
        <v>3484</v>
      </c>
      <c r="D8" s="1572" t="s">
        <v>11</v>
      </c>
      <c r="E8" s="1572" t="s">
        <v>1164</v>
      </c>
      <c r="F8" s="1572" t="s">
        <v>0</v>
      </c>
      <c r="G8" s="1192" t="s">
        <v>1</v>
      </c>
      <c r="H8" s="1192" t="s">
        <v>3684</v>
      </c>
      <c r="I8" s="1527" t="s">
        <v>3489</v>
      </c>
      <c r="J8" s="1572" t="s">
        <v>3490</v>
      </c>
      <c r="K8" s="1192" t="s">
        <v>2</v>
      </c>
      <c r="L8" s="1193" t="s">
        <v>5</v>
      </c>
      <c r="M8" s="1194" t="s">
        <v>15</v>
      </c>
      <c r="N8" s="1192" t="s">
        <v>3</v>
      </c>
      <c r="O8" s="1572" t="s">
        <v>4</v>
      </c>
      <c r="P8" s="1572" t="s">
        <v>6</v>
      </c>
      <c r="Q8" s="1572" t="s">
        <v>3485</v>
      </c>
      <c r="R8" s="1792" t="s">
        <v>5486</v>
      </c>
      <c r="S8" s="1706" t="s">
        <v>5487</v>
      </c>
      <c r="T8" s="1194" t="s">
        <v>8</v>
      </c>
      <c r="U8" s="1194" t="s">
        <v>9</v>
      </c>
      <c r="V8" s="1528" t="s">
        <v>3491</v>
      </c>
      <c r="W8" s="1528" t="s">
        <v>3492</v>
      </c>
      <c r="X8" s="1528" t="s">
        <v>3493</v>
      </c>
      <c r="Y8" s="1194" t="s">
        <v>3486</v>
      </c>
      <c r="Z8" s="1194" t="s">
        <v>3487</v>
      </c>
      <c r="AA8" s="1572" t="s">
        <v>10</v>
      </c>
      <c r="AB8" s="1572" t="s">
        <v>334</v>
      </c>
      <c r="AC8" s="1572" t="s">
        <v>3488</v>
      </c>
      <c r="AD8" s="2533" t="s">
        <v>220</v>
      </c>
      <c r="AE8" s="1892">
        <v>2021</v>
      </c>
      <c r="AF8" s="360">
        <v>2021</v>
      </c>
    </row>
    <row r="9" spans="1:33" ht="15.75" thickTop="1">
      <c r="A9" s="1442" t="s">
        <v>239</v>
      </c>
      <c r="B9" s="439" t="s">
        <v>239</v>
      </c>
      <c r="C9" s="439" t="s">
        <v>239</v>
      </c>
      <c r="D9" s="1382" t="s">
        <v>2638</v>
      </c>
      <c r="E9" s="506" t="s">
        <v>2434</v>
      </c>
      <c r="F9" s="506" t="s">
        <v>751</v>
      </c>
      <c r="G9" s="507" t="s">
        <v>3505</v>
      </c>
      <c r="H9" s="506">
        <v>5</v>
      </c>
      <c r="I9" s="548" t="s">
        <v>3790</v>
      </c>
      <c r="J9" s="506"/>
      <c r="K9" s="506" t="s">
        <v>2639</v>
      </c>
      <c r="L9" s="506"/>
      <c r="M9" s="511">
        <v>1995000</v>
      </c>
      <c r="N9" s="506" t="s">
        <v>251</v>
      </c>
      <c r="O9" s="510">
        <v>43209</v>
      </c>
      <c r="P9" s="510">
        <v>43251</v>
      </c>
      <c r="Q9" s="510"/>
      <c r="R9" s="514" t="s">
        <v>3544</v>
      </c>
      <c r="S9" s="1713" t="s">
        <v>4714</v>
      </c>
      <c r="T9" s="511">
        <v>1974100</v>
      </c>
      <c r="U9" s="511">
        <f>T9*1.21</f>
        <v>2388661</v>
      </c>
      <c r="V9" s="1470"/>
      <c r="W9" s="1470"/>
      <c r="X9" s="1470"/>
      <c r="Y9" s="511"/>
      <c r="Z9" s="511"/>
      <c r="AA9" s="506"/>
      <c r="AB9" s="510">
        <v>43483</v>
      </c>
      <c r="AC9" s="506"/>
      <c r="AD9" s="506"/>
      <c r="AE9" s="506"/>
    </row>
    <row r="10" spans="1:33" ht="30">
      <c r="A10" s="1443" t="s">
        <v>239</v>
      </c>
      <c r="B10" s="491" t="s">
        <v>239</v>
      </c>
      <c r="C10" s="491" t="s">
        <v>239</v>
      </c>
      <c r="D10" s="1373" t="s">
        <v>2638</v>
      </c>
      <c r="E10" s="491" t="s">
        <v>2434</v>
      </c>
      <c r="F10" s="491" t="s">
        <v>751</v>
      </c>
      <c r="G10" s="571" t="s">
        <v>3505</v>
      </c>
      <c r="H10" s="491">
        <v>6</v>
      </c>
      <c r="I10" s="495" t="s">
        <v>3791</v>
      </c>
      <c r="J10" s="491"/>
      <c r="K10" s="491" t="s">
        <v>2639</v>
      </c>
      <c r="L10" s="491"/>
      <c r="M10" s="536">
        <v>870000</v>
      </c>
      <c r="N10" s="491" t="s">
        <v>251</v>
      </c>
      <c r="O10" s="537">
        <v>43209</v>
      </c>
      <c r="P10" s="537">
        <v>43251</v>
      </c>
      <c r="Q10" s="537">
        <v>43350</v>
      </c>
      <c r="R10" s="491" t="s">
        <v>2755</v>
      </c>
      <c r="S10" s="495"/>
      <c r="T10" s="536">
        <v>870000</v>
      </c>
      <c r="U10" s="536">
        <f>T10*1.21</f>
        <v>1052700</v>
      </c>
      <c r="V10" s="1471"/>
      <c r="W10" s="1471"/>
      <c r="X10" s="1471"/>
      <c r="Y10" s="573">
        <v>43355</v>
      </c>
      <c r="Z10" s="1375" t="s">
        <v>3551</v>
      </c>
      <c r="AA10" s="537">
        <v>43469</v>
      </c>
      <c r="AB10" s="537">
        <v>43483</v>
      </c>
      <c r="AC10" s="537">
        <v>44012</v>
      </c>
      <c r="AD10" s="537">
        <v>43920</v>
      </c>
      <c r="AE10" s="852">
        <v>44285</v>
      </c>
      <c r="AF10" s="374"/>
      <c r="AG10" s="374"/>
    </row>
    <row r="11" spans="1:33" ht="30.75" thickBot="1">
      <c r="A11" s="1444" t="s">
        <v>239</v>
      </c>
      <c r="B11" s="411" t="s">
        <v>239</v>
      </c>
      <c r="C11" s="411" t="s">
        <v>239</v>
      </c>
      <c r="D11" s="1373" t="s">
        <v>2638</v>
      </c>
      <c r="E11" s="491" t="s">
        <v>2434</v>
      </c>
      <c r="F11" s="491" t="s">
        <v>751</v>
      </c>
      <c r="G11" s="571" t="s">
        <v>3505</v>
      </c>
      <c r="H11" s="491">
        <v>18</v>
      </c>
      <c r="I11" s="495" t="s">
        <v>3792</v>
      </c>
      <c r="J11" s="491"/>
      <c r="K11" s="491" t="s">
        <v>2639</v>
      </c>
      <c r="L11" s="491"/>
      <c r="M11" s="536">
        <v>11865750</v>
      </c>
      <c r="N11" s="491" t="s">
        <v>251</v>
      </c>
      <c r="O11" s="537">
        <v>43209</v>
      </c>
      <c r="P11" s="537">
        <v>43251</v>
      </c>
      <c r="Q11" s="537">
        <v>43350</v>
      </c>
      <c r="R11" s="491" t="s">
        <v>2755</v>
      </c>
      <c r="S11" s="495"/>
      <c r="T11" s="536">
        <v>11856000</v>
      </c>
      <c r="U11" s="536">
        <f>T11*1.15</f>
        <v>13634399.999999998</v>
      </c>
      <c r="V11" s="1471"/>
      <c r="W11" s="1471"/>
      <c r="X11" s="1471"/>
      <c r="Y11" s="573">
        <v>43355</v>
      </c>
      <c r="Z11" s="1375" t="s">
        <v>3552</v>
      </c>
      <c r="AA11" s="537">
        <v>43469</v>
      </c>
      <c r="AB11" s="537">
        <v>43483</v>
      </c>
      <c r="AC11" s="537">
        <v>44012</v>
      </c>
      <c r="AD11" s="537" t="s">
        <v>6603</v>
      </c>
      <c r="AE11" s="852">
        <v>44285</v>
      </c>
      <c r="AF11" s="374"/>
      <c r="AG11" s="374"/>
    </row>
    <row r="12" spans="1:33" ht="30.75" thickTop="1">
      <c r="A12" s="1445" t="s">
        <v>239</v>
      </c>
      <c r="B12" s="425" t="s">
        <v>239</v>
      </c>
      <c r="C12" s="453" t="s">
        <v>239</v>
      </c>
      <c r="D12" s="1383" t="s">
        <v>2798</v>
      </c>
      <c r="E12" s="453" t="s">
        <v>2434</v>
      </c>
      <c r="F12" s="453" t="s">
        <v>751</v>
      </c>
      <c r="G12" s="473" t="s">
        <v>3506</v>
      </c>
      <c r="H12" s="453">
        <v>1</v>
      </c>
      <c r="I12" s="1420" t="s">
        <v>3685</v>
      </c>
      <c r="J12" s="453"/>
      <c r="K12" s="453" t="s">
        <v>2800</v>
      </c>
      <c r="L12" s="453"/>
      <c r="M12" s="457">
        <v>17610000</v>
      </c>
      <c r="N12" s="453" t="s">
        <v>251</v>
      </c>
      <c r="O12" s="474">
        <v>43259</v>
      </c>
      <c r="P12" s="474">
        <v>43313</v>
      </c>
      <c r="Q12" s="474">
        <v>43388</v>
      </c>
      <c r="R12" s="453" t="s">
        <v>3175</v>
      </c>
      <c r="S12" s="1420"/>
      <c r="T12" s="457">
        <v>13797684.699999999</v>
      </c>
      <c r="U12" s="457">
        <v>15867337.449999999</v>
      </c>
      <c r="V12" s="1474"/>
      <c r="W12" s="1474"/>
      <c r="X12" s="1474"/>
      <c r="Y12" s="570">
        <v>43390</v>
      </c>
      <c r="Z12" s="1387" t="s">
        <v>3907</v>
      </c>
      <c r="AA12" s="474">
        <v>43539</v>
      </c>
      <c r="AB12" s="474">
        <v>43543</v>
      </c>
      <c r="AC12" s="1400">
        <v>44088</v>
      </c>
      <c r="AD12" s="575">
        <v>43929</v>
      </c>
      <c r="AE12" s="1964">
        <v>44285</v>
      </c>
      <c r="AF12" s="374"/>
      <c r="AG12" s="374"/>
    </row>
    <row r="13" spans="1:33" ht="30">
      <c r="A13" s="1446" t="s">
        <v>239</v>
      </c>
      <c r="B13" s="540" t="s">
        <v>239</v>
      </c>
      <c r="C13" s="491" t="s">
        <v>239</v>
      </c>
      <c r="D13" s="1373" t="s">
        <v>2798</v>
      </c>
      <c r="E13" s="491" t="s">
        <v>2434</v>
      </c>
      <c r="F13" s="491" t="s">
        <v>751</v>
      </c>
      <c r="G13" s="571" t="s">
        <v>3506</v>
      </c>
      <c r="H13" s="491">
        <v>2</v>
      </c>
      <c r="I13" s="495" t="s">
        <v>3686</v>
      </c>
      <c r="J13" s="491"/>
      <c r="K13" s="491" t="s">
        <v>2800</v>
      </c>
      <c r="L13" s="491"/>
      <c r="M13" s="536">
        <v>1650000</v>
      </c>
      <c r="N13" s="491" t="s">
        <v>251</v>
      </c>
      <c r="O13" s="537">
        <v>43259</v>
      </c>
      <c r="P13" s="537">
        <v>43313</v>
      </c>
      <c r="Q13" s="537">
        <v>43388</v>
      </c>
      <c r="R13" s="491" t="s">
        <v>3153</v>
      </c>
      <c r="S13" s="495"/>
      <c r="T13" s="536">
        <v>990000</v>
      </c>
      <c r="U13" s="536">
        <v>1138500</v>
      </c>
      <c r="V13" s="1471"/>
      <c r="W13" s="1471"/>
      <c r="X13" s="1471"/>
      <c r="Y13" s="573">
        <v>43390</v>
      </c>
      <c r="Z13" s="1375" t="s">
        <v>3908</v>
      </c>
      <c r="AA13" s="537">
        <v>43535</v>
      </c>
      <c r="AB13" s="537">
        <v>43543</v>
      </c>
      <c r="AC13" s="1401">
        <v>44084</v>
      </c>
      <c r="AD13" s="852">
        <v>43929</v>
      </c>
      <c r="AE13" s="1373" t="s">
        <v>8483</v>
      </c>
      <c r="AF13" s="374"/>
      <c r="AG13" s="374"/>
    </row>
    <row r="14" spans="1:33" ht="30">
      <c r="A14" s="1446" t="s">
        <v>239</v>
      </c>
      <c r="B14" s="540" t="s">
        <v>239</v>
      </c>
      <c r="C14" s="491" t="s">
        <v>239</v>
      </c>
      <c r="D14" s="1373" t="s">
        <v>2798</v>
      </c>
      <c r="E14" s="491" t="s">
        <v>2434</v>
      </c>
      <c r="F14" s="491" t="s">
        <v>751</v>
      </c>
      <c r="G14" s="571" t="s">
        <v>3506</v>
      </c>
      <c r="H14" s="491">
        <v>3</v>
      </c>
      <c r="I14" s="495" t="s">
        <v>3687</v>
      </c>
      <c r="J14" s="491"/>
      <c r="K14" s="491" t="s">
        <v>2800</v>
      </c>
      <c r="L14" s="491"/>
      <c r="M14" s="536">
        <v>2700000</v>
      </c>
      <c r="N14" s="491" t="s">
        <v>251</v>
      </c>
      <c r="O14" s="537">
        <v>43259</v>
      </c>
      <c r="P14" s="537">
        <v>43313</v>
      </c>
      <c r="Q14" s="537">
        <v>43388</v>
      </c>
      <c r="R14" s="491" t="s">
        <v>3175</v>
      </c>
      <c r="S14" s="495"/>
      <c r="T14" s="536">
        <v>1677000</v>
      </c>
      <c r="U14" s="536">
        <v>1928550</v>
      </c>
      <c r="V14" s="1471"/>
      <c r="W14" s="1471"/>
      <c r="X14" s="1471"/>
      <c r="Y14" s="573">
        <v>43390</v>
      </c>
      <c r="Z14" s="1375" t="s">
        <v>3909</v>
      </c>
      <c r="AA14" s="537">
        <v>43539</v>
      </c>
      <c r="AB14" s="537">
        <v>43543</v>
      </c>
      <c r="AC14" s="1401">
        <v>44088</v>
      </c>
      <c r="AD14" s="502" t="s">
        <v>6603</v>
      </c>
      <c r="AE14" s="1964">
        <v>44285</v>
      </c>
      <c r="AF14" s="374"/>
      <c r="AG14" s="374"/>
    </row>
    <row r="15" spans="1:33" ht="30">
      <c r="A15" s="1446" t="s">
        <v>239</v>
      </c>
      <c r="B15" s="540" t="s">
        <v>239</v>
      </c>
      <c r="C15" s="491" t="s">
        <v>239</v>
      </c>
      <c r="D15" s="1373" t="s">
        <v>2798</v>
      </c>
      <c r="E15" s="491" t="s">
        <v>2434</v>
      </c>
      <c r="F15" s="491" t="s">
        <v>751</v>
      </c>
      <c r="G15" s="571" t="s">
        <v>3506</v>
      </c>
      <c r="H15" s="491">
        <v>4</v>
      </c>
      <c r="I15" s="495" t="s">
        <v>3688</v>
      </c>
      <c r="J15" s="491"/>
      <c r="K15" s="491" t="s">
        <v>2800</v>
      </c>
      <c r="L15" s="491"/>
      <c r="M15" s="536">
        <v>9420000</v>
      </c>
      <c r="N15" s="491" t="s">
        <v>251</v>
      </c>
      <c r="O15" s="537">
        <v>43259</v>
      </c>
      <c r="P15" s="537">
        <v>43313</v>
      </c>
      <c r="Q15" s="537">
        <v>43388</v>
      </c>
      <c r="R15" s="491" t="s">
        <v>3175</v>
      </c>
      <c r="S15" s="495"/>
      <c r="T15" s="536">
        <v>7097500</v>
      </c>
      <c r="U15" s="536">
        <v>8162125</v>
      </c>
      <c r="V15" s="1471"/>
      <c r="W15" s="1471"/>
      <c r="X15" s="1471"/>
      <c r="Y15" s="573">
        <v>43390</v>
      </c>
      <c r="Z15" s="1375" t="s">
        <v>3910</v>
      </c>
      <c r="AA15" s="537">
        <v>43539</v>
      </c>
      <c r="AB15" s="537">
        <v>43543</v>
      </c>
      <c r="AC15" s="1401">
        <v>44088</v>
      </c>
      <c r="AD15" s="502" t="s">
        <v>6603</v>
      </c>
      <c r="AE15" s="1964">
        <v>44285</v>
      </c>
      <c r="AF15" s="374"/>
      <c r="AG15" s="374"/>
    </row>
    <row r="16" spans="1:33" ht="30">
      <c r="A16" s="1446" t="s">
        <v>239</v>
      </c>
      <c r="B16" s="540" t="s">
        <v>239</v>
      </c>
      <c r="C16" s="491" t="s">
        <v>239</v>
      </c>
      <c r="D16" s="1373" t="s">
        <v>2798</v>
      </c>
      <c r="E16" s="491" t="s">
        <v>2434</v>
      </c>
      <c r="F16" s="491" t="s">
        <v>751</v>
      </c>
      <c r="G16" s="571" t="s">
        <v>3506</v>
      </c>
      <c r="H16" s="491">
        <v>5</v>
      </c>
      <c r="I16" s="495" t="s">
        <v>3689</v>
      </c>
      <c r="J16" s="491"/>
      <c r="K16" s="491" t="s">
        <v>2800</v>
      </c>
      <c r="L16" s="491"/>
      <c r="M16" s="536">
        <v>1200000</v>
      </c>
      <c r="N16" s="491" t="s">
        <v>251</v>
      </c>
      <c r="O16" s="537">
        <v>43259</v>
      </c>
      <c r="P16" s="537">
        <v>43313</v>
      </c>
      <c r="Q16" s="537">
        <v>43388</v>
      </c>
      <c r="R16" s="491" t="s">
        <v>3175</v>
      </c>
      <c r="S16" s="495"/>
      <c r="T16" s="536">
        <v>990000</v>
      </c>
      <c r="U16" s="536">
        <v>1138500</v>
      </c>
      <c r="V16" s="1471"/>
      <c r="W16" s="1471"/>
      <c r="X16" s="1471"/>
      <c r="Y16" s="573">
        <v>43390</v>
      </c>
      <c r="Z16" s="1375" t="s">
        <v>3911</v>
      </c>
      <c r="AA16" s="537">
        <v>43539</v>
      </c>
      <c r="AB16" s="537">
        <v>43543</v>
      </c>
      <c r="AC16" s="1401">
        <v>44088</v>
      </c>
      <c r="AD16" s="502" t="s">
        <v>6603</v>
      </c>
      <c r="AE16" s="1373" t="s">
        <v>8483</v>
      </c>
      <c r="AF16" s="374"/>
      <c r="AG16" s="374"/>
    </row>
    <row r="17" spans="1:33" ht="30.75" thickBot="1">
      <c r="A17" s="1447" t="s">
        <v>239</v>
      </c>
      <c r="B17" s="1355" t="s">
        <v>239</v>
      </c>
      <c r="C17" s="1376" t="s">
        <v>239</v>
      </c>
      <c r="D17" s="1373" t="s">
        <v>2798</v>
      </c>
      <c r="E17" s="491" t="s">
        <v>2434</v>
      </c>
      <c r="F17" s="491" t="s">
        <v>751</v>
      </c>
      <c r="G17" s="571" t="s">
        <v>3506</v>
      </c>
      <c r="H17" s="491">
        <v>6</v>
      </c>
      <c r="I17" s="495" t="s">
        <v>3690</v>
      </c>
      <c r="J17" s="491"/>
      <c r="K17" s="491" t="s">
        <v>2800</v>
      </c>
      <c r="L17" s="491"/>
      <c r="M17" s="536">
        <v>2100000</v>
      </c>
      <c r="N17" s="491" t="s">
        <v>251</v>
      </c>
      <c r="O17" s="537">
        <v>43259</v>
      </c>
      <c r="P17" s="537">
        <v>43313</v>
      </c>
      <c r="Q17" s="537">
        <v>43388</v>
      </c>
      <c r="R17" s="491" t="s">
        <v>3175</v>
      </c>
      <c r="S17" s="495"/>
      <c r="T17" s="536">
        <v>1650000</v>
      </c>
      <c r="U17" s="536">
        <v>1897500</v>
      </c>
      <c r="V17" s="1471"/>
      <c r="W17" s="1471"/>
      <c r="X17" s="1471"/>
      <c r="Y17" s="573">
        <v>43390</v>
      </c>
      <c r="Z17" s="1375" t="s">
        <v>3912</v>
      </c>
      <c r="AA17" s="537">
        <v>43539</v>
      </c>
      <c r="AB17" s="537">
        <v>43543</v>
      </c>
      <c r="AC17" s="1401">
        <v>44088</v>
      </c>
      <c r="AD17" s="502" t="s">
        <v>6603</v>
      </c>
      <c r="AE17" s="1964">
        <v>44285</v>
      </c>
      <c r="AF17" s="374"/>
      <c r="AG17" s="374"/>
    </row>
    <row r="18" spans="1:33" ht="45.75" thickTop="1">
      <c r="A18" s="1448" t="s">
        <v>239</v>
      </c>
      <c r="B18" s="423" t="s">
        <v>239</v>
      </c>
      <c r="C18" s="1570" t="s">
        <v>239</v>
      </c>
      <c r="D18" s="1383" t="s">
        <v>2865</v>
      </c>
      <c r="E18" s="453" t="s">
        <v>2434</v>
      </c>
      <c r="F18" s="453" t="s">
        <v>751</v>
      </c>
      <c r="G18" s="473" t="s">
        <v>3507</v>
      </c>
      <c r="H18" s="453">
        <v>1</v>
      </c>
      <c r="I18" s="1420" t="s">
        <v>3793</v>
      </c>
      <c r="J18" s="453"/>
      <c r="K18" s="453" t="s">
        <v>2866</v>
      </c>
      <c r="L18" s="453"/>
      <c r="M18" s="457">
        <v>4707330</v>
      </c>
      <c r="N18" s="453" t="s">
        <v>251</v>
      </c>
      <c r="O18" s="474">
        <v>43376</v>
      </c>
      <c r="P18" s="474">
        <v>43410</v>
      </c>
      <c r="Q18" s="474">
        <v>43578</v>
      </c>
      <c r="R18" s="453" t="s">
        <v>3393</v>
      </c>
      <c r="S18" s="1420"/>
      <c r="T18" s="457">
        <v>4289133.8</v>
      </c>
      <c r="U18" s="457">
        <v>4939616.2</v>
      </c>
      <c r="V18" s="1474"/>
      <c r="W18" s="1474"/>
      <c r="X18" s="1474"/>
      <c r="Y18" s="570">
        <v>43580</v>
      </c>
      <c r="Z18" s="1387" t="s">
        <v>4485</v>
      </c>
      <c r="AA18" s="474">
        <v>43644</v>
      </c>
      <c r="AB18" s="474">
        <v>43658</v>
      </c>
      <c r="AC18" s="1400">
        <v>44192</v>
      </c>
      <c r="AD18" s="575">
        <v>43929</v>
      </c>
      <c r="AE18" s="1964" t="s">
        <v>8483</v>
      </c>
      <c r="AF18" s="374"/>
      <c r="AG18" s="374"/>
    </row>
    <row r="19" spans="1:33" ht="30">
      <c r="A19" s="1446" t="s">
        <v>239</v>
      </c>
      <c r="B19" s="540" t="s">
        <v>239</v>
      </c>
      <c r="C19" s="491" t="s">
        <v>239</v>
      </c>
      <c r="D19" s="1373" t="s">
        <v>2865</v>
      </c>
      <c r="E19" s="491" t="s">
        <v>2434</v>
      </c>
      <c r="F19" s="491" t="s">
        <v>751</v>
      </c>
      <c r="G19" s="571" t="s">
        <v>3507</v>
      </c>
      <c r="H19" s="491">
        <v>2</v>
      </c>
      <c r="I19" s="495" t="s">
        <v>3794</v>
      </c>
      <c r="J19" s="491"/>
      <c r="K19" s="491" t="s">
        <v>2866</v>
      </c>
      <c r="L19" s="491"/>
      <c r="M19" s="536">
        <v>27186970</v>
      </c>
      <c r="N19" s="491" t="s">
        <v>251</v>
      </c>
      <c r="O19" s="537">
        <v>43376</v>
      </c>
      <c r="P19" s="537">
        <v>43410</v>
      </c>
      <c r="Q19" s="537">
        <v>43578</v>
      </c>
      <c r="R19" s="491" t="s">
        <v>3393</v>
      </c>
      <c r="S19" s="495"/>
      <c r="T19" s="536">
        <v>25803589.02</v>
      </c>
      <c r="U19" s="536">
        <v>29701249.710000001</v>
      </c>
      <c r="V19" s="1471"/>
      <c r="W19" s="1471"/>
      <c r="X19" s="1471"/>
      <c r="Y19" s="573">
        <v>43580</v>
      </c>
      <c r="Z19" s="1375" t="s">
        <v>4486</v>
      </c>
      <c r="AA19" s="537">
        <v>43644</v>
      </c>
      <c r="AB19" s="537">
        <v>43658</v>
      </c>
      <c r="AC19" s="1401">
        <v>44192</v>
      </c>
      <c r="AD19" s="852">
        <v>43929</v>
      </c>
      <c r="AE19" s="1964">
        <v>44285</v>
      </c>
      <c r="AF19" s="374"/>
      <c r="AG19" s="374"/>
    </row>
    <row r="20" spans="1:33" ht="30">
      <c r="A20" s="1446" t="s">
        <v>239</v>
      </c>
      <c r="B20" s="540" t="s">
        <v>239</v>
      </c>
      <c r="C20" s="491" t="s">
        <v>239</v>
      </c>
      <c r="D20" s="1373" t="s">
        <v>2865</v>
      </c>
      <c r="E20" s="491" t="s">
        <v>2434</v>
      </c>
      <c r="F20" s="491" t="s">
        <v>751</v>
      </c>
      <c r="G20" s="571" t="s">
        <v>3507</v>
      </c>
      <c r="H20" s="491">
        <v>3</v>
      </c>
      <c r="I20" s="495" t="s">
        <v>3795</v>
      </c>
      <c r="J20" s="491"/>
      <c r="K20" s="491" t="s">
        <v>2866</v>
      </c>
      <c r="L20" s="491"/>
      <c r="M20" s="536">
        <v>7792000</v>
      </c>
      <c r="N20" s="491" t="s">
        <v>251</v>
      </c>
      <c r="O20" s="537">
        <v>43376</v>
      </c>
      <c r="P20" s="537">
        <v>43410</v>
      </c>
      <c r="Q20" s="537">
        <v>43578</v>
      </c>
      <c r="R20" s="491" t="s">
        <v>3393</v>
      </c>
      <c r="S20" s="495"/>
      <c r="T20" s="536">
        <v>7777523.2000000002</v>
      </c>
      <c r="U20" s="536">
        <v>8960589.5999999996</v>
      </c>
      <c r="V20" s="1471"/>
      <c r="W20" s="1471"/>
      <c r="X20" s="1471"/>
      <c r="Y20" s="573">
        <v>43580</v>
      </c>
      <c r="Z20" s="1375" t="s">
        <v>4487</v>
      </c>
      <c r="AA20" s="537">
        <v>43644</v>
      </c>
      <c r="AB20" s="537">
        <v>43658</v>
      </c>
      <c r="AC20" s="1401">
        <v>44192</v>
      </c>
      <c r="AD20" s="852">
        <v>43929</v>
      </c>
      <c r="AE20" s="1964">
        <v>44285</v>
      </c>
      <c r="AF20" s="374"/>
      <c r="AG20" s="374"/>
    </row>
    <row r="21" spans="1:33" ht="30">
      <c r="A21" s="1446" t="s">
        <v>239</v>
      </c>
      <c r="B21" s="540" t="s">
        <v>239</v>
      </c>
      <c r="C21" s="491" t="s">
        <v>239</v>
      </c>
      <c r="D21" s="1373" t="s">
        <v>2865</v>
      </c>
      <c r="E21" s="491" t="s">
        <v>2434</v>
      </c>
      <c r="F21" s="491" t="s">
        <v>751</v>
      </c>
      <c r="G21" s="571" t="s">
        <v>3507</v>
      </c>
      <c r="H21" s="491">
        <v>4</v>
      </c>
      <c r="I21" s="495" t="s">
        <v>3796</v>
      </c>
      <c r="J21" s="491"/>
      <c r="K21" s="491" t="s">
        <v>2866</v>
      </c>
      <c r="L21" s="491"/>
      <c r="M21" s="536">
        <v>2456000</v>
      </c>
      <c r="N21" s="491" t="s">
        <v>251</v>
      </c>
      <c r="O21" s="537">
        <v>43376</v>
      </c>
      <c r="P21" s="537">
        <v>43410</v>
      </c>
      <c r="Q21" s="537">
        <v>43578</v>
      </c>
      <c r="R21" s="491" t="s">
        <v>3393</v>
      </c>
      <c r="S21" s="495"/>
      <c r="T21" s="536">
        <v>2451609.56</v>
      </c>
      <c r="U21" s="536">
        <v>2825040.84</v>
      </c>
      <c r="V21" s="1471"/>
      <c r="W21" s="1471"/>
      <c r="X21" s="1471"/>
      <c r="Y21" s="573">
        <v>43580</v>
      </c>
      <c r="Z21" s="1375" t="s">
        <v>4488</v>
      </c>
      <c r="AA21" s="537">
        <v>43644</v>
      </c>
      <c r="AB21" s="537">
        <v>43658</v>
      </c>
      <c r="AC21" s="1401">
        <v>44192</v>
      </c>
      <c r="AD21" s="852" t="s">
        <v>6603</v>
      </c>
      <c r="AE21" s="1964" t="s">
        <v>8483</v>
      </c>
      <c r="AF21" s="374"/>
      <c r="AG21" s="374"/>
    </row>
    <row r="22" spans="1:33" ht="30.75" thickBot="1">
      <c r="A22" s="1449" t="s">
        <v>239</v>
      </c>
      <c r="B22" s="406" t="s">
        <v>239</v>
      </c>
      <c r="C22" s="411" t="s">
        <v>239</v>
      </c>
      <c r="D22" s="1377" t="s">
        <v>2865</v>
      </c>
      <c r="E22" s="1376" t="s">
        <v>2434</v>
      </c>
      <c r="F22" s="1376" t="s">
        <v>751</v>
      </c>
      <c r="G22" s="1378" t="s">
        <v>3507</v>
      </c>
      <c r="H22" s="1376">
        <v>5</v>
      </c>
      <c r="I22" s="1421" t="s">
        <v>3797</v>
      </c>
      <c r="J22" s="1376"/>
      <c r="K22" s="1376" t="s">
        <v>2866</v>
      </c>
      <c r="L22" s="1376"/>
      <c r="M22" s="1379">
        <v>3000000</v>
      </c>
      <c r="N22" s="1376" t="s">
        <v>251</v>
      </c>
      <c r="O22" s="1380">
        <v>43376</v>
      </c>
      <c r="P22" s="1380">
        <v>43410</v>
      </c>
      <c r="Q22" s="1380">
        <v>43578</v>
      </c>
      <c r="R22" s="1376" t="s">
        <v>3393</v>
      </c>
      <c r="S22" s="1421"/>
      <c r="T22" s="1379">
        <v>2958928.04</v>
      </c>
      <c r="U22" s="1379">
        <v>3408015.94</v>
      </c>
      <c r="V22" s="1475"/>
      <c r="W22" s="1475"/>
      <c r="X22" s="1475"/>
      <c r="Y22" s="1388">
        <v>43580</v>
      </c>
      <c r="Z22" s="1389" t="s">
        <v>4489</v>
      </c>
      <c r="AA22" s="1380">
        <v>43644</v>
      </c>
      <c r="AB22" s="1380">
        <v>43658</v>
      </c>
      <c r="AC22" s="1416">
        <v>44192</v>
      </c>
      <c r="AD22" s="1530" t="s">
        <v>6603</v>
      </c>
      <c r="AE22" s="1964" t="s">
        <v>8483</v>
      </c>
      <c r="AF22" s="374"/>
      <c r="AG22" s="374"/>
    </row>
    <row r="23" spans="1:33" ht="16.5" thickTop="1" thickBot="1">
      <c r="A23" s="1450" t="s">
        <v>239</v>
      </c>
      <c r="B23" s="707" t="s">
        <v>239</v>
      </c>
      <c r="C23" s="707" t="s">
        <v>239</v>
      </c>
      <c r="D23" s="1397" t="s">
        <v>2867</v>
      </c>
      <c r="E23" s="1570" t="s">
        <v>14</v>
      </c>
      <c r="F23" s="1570" t="s">
        <v>13</v>
      </c>
      <c r="G23" s="175" t="s">
        <v>2868</v>
      </c>
      <c r="H23" s="1570"/>
      <c r="I23" s="1571"/>
      <c r="J23" s="1570"/>
      <c r="K23" s="453" t="s">
        <v>2869</v>
      </c>
      <c r="L23" s="1570"/>
      <c r="M23" s="364">
        <v>4942180</v>
      </c>
      <c r="N23" s="1570" t="s">
        <v>251</v>
      </c>
      <c r="O23" s="365">
        <v>43245</v>
      </c>
      <c r="P23" s="365">
        <v>43328</v>
      </c>
      <c r="Q23" s="365">
        <v>43348</v>
      </c>
      <c r="R23" s="1791" t="s">
        <v>3286</v>
      </c>
      <c r="S23" s="1705"/>
      <c r="T23" s="364">
        <v>4133552</v>
      </c>
      <c r="U23" s="364">
        <f>T23*1.21</f>
        <v>5001597.92</v>
      </c>
      <c r="V23" s="1473"/>
      <c r="W23" s="1473"/>
      <c r="X23" s="1473"/>
      <c r="Y23" s="681">
        <v>43349</v>
      </c>
      <c r="Z23" s="364" t="s">
        <v>3597</v>
      </c>
      <c r="AA23" s="365">
        <v>43476</v>
      </c>
      <c r="AB23" s="365">
        <v>43481</v>
      </c>
      <c r="AC23" s="365">
        <v>44206</v>
      </c>
      <c r="AD23" s="365">
        <v>43913</v>
      </c>
      <c r="AE23" s="537">
        <v>44277</v>
      </c>
      <c r="AF23" s="1993"/>
      <c r="AG23" s="374"/>
    </row>
    <row r="24" spans="1:33" ht="30.75" thickTop="1">
      <c r="A24" s="1451" t="s">
        <v>239</v>
      </c>
      <c r="B24" s="1570" t="s">
        <v>239</v>
      </c>
      <c r="C24" s="1570" t="s">
        <v>239</v>
      </c>
      <c r="D24" s="1383" t="s">
        <v>2884</v>
      </c>
      <c r="E24" s="453" t="s">
        <v>2434</v>
      </c>
      <c r="F24" s="453" t="s">
        <v>751</v>
      </c>
      <c r="G24" s="473" t="s">
        <v>3508</v>
      </c>
      <c r="H24" s="453">
        <v>1</v>
      </c>
      <c r="I24" s="1420" t="s">
        <v>3798</v>
      </c>
      <c r="J24" s="453"/>
      <c r="K24" s="453" t="s">
        <v>2844</v>
      </c>
      <c r="L24" s="453"/>
      <c r="M24" s="457">
        <v>546210</v>
      </c>
      <c r="N24" s="453" t="s">
        <v>251</v>
      </c>
      <c r="O24" s="474">
        <v>43349</v>
      </c>
      <c r="P24" s="474">
        <v>43384</v>
      </c>
      <c r="Q24" s="474">
        <v>43411</v>
      </c>
      <c r="R24" s="453" t="s">
        <v>2776</v>
      </c>
      <c r="S24" s="1420"/>
      <c r="T24" s="457">
        <v>540000</v>
      </c>
      <c r="U24" s="457">
        <v>621000</v>
      </c>
      <c r="V24" s="1474"/>
      <c r="W24" s="1474"/>
      <c r="X24" s="1474"/>
      <c r="Y24" s="570">
        <v>43413</v>
      </c>
      <c r="Z24" s="1387" t="s">
        <v>3621</v>
      </c>
      <c r="AA24" s="474">
        <v>43486</v>
      </c>
      <c r="AB24" s="474">
        <v>43490</v>
      </c>
      <c r="AC24" s="1400">
        <v>44032</v>
      </c>
      <c r="AD24" s="575">
        <v>43929</v>
      </c>
      <c r="AE24" s="1373" t="s">
        <v>8483</v>
      </c>
      <c r="AF24" s="374"/>
      <c r="AG24" s="374"/>
    </row>
    <row r="25" spans="1:33" ht="30">
      <c r="A25" s="1443" t="s">
        <v>239</v>
      </c>
      <c r="B25" s="491" t="s">
        <v>239</v>
      </c>
      <c r="C25" s="491" t="s">
        <v>239</v>
      </c>
      <c r="D25" s="1373" t="s">
        <v>2884</v>
      </c>
      <c r="E25" s="491" t="s">
        <v>2434</v>
      </c>
      <c r="F25" s="491" t="s">
        <v>751</v>
      </c>
      <c r="G25" s="571" t="s">
        <v>3508</v>
      </c>
      <c r="H25" s="1570">
        <v>2</v>
      </c>
      <c r="I25" s="1571" t="s">
        <v>3799</v>
      </c>
      <c r="J25" s="1570"/>
      <c r="K25" s="1570" t="s">
        <v>2844</v>
      </c>
      <c r="L25" s="491"/>
      <c r="M25" s="536">
        <v>225650</v>
      </c>
      <c r="N25" s="491" t="s">
        <v>251</v>
      </c>
      <c r="O25" s="537">
        <v>43349</v>
      </c>
      <c r="P25" s="537">
        <v>43384</v>
      </c>
      <c r="Q25" s="537">
        <v>43411</v>
      </c>
      <c r="R25" s="491" t="s">
        <v>3350</v>
      </c>
      <c r="S25" s="495"/>
      <c r="T25" s="536">
        <v>225650</v>
      </c>
      <c r="U25" s="536">
        <v>259497.5</v>
      </c>
      <c r="V25" s="1471"/>
      <c r="W25" s="1471"/>
      <c r="X25" s="1471"/>
      <c r="Y25" s="573">
        <v>43413</v>
      </c>
      <c r="Z25" s="1375" t="s">
        <v>3622</v>
      </c>
      <c r="AA25" s="537">
        <v>43486</v>
      </c>
      <c r="AB25" s="537">
        <v>43490</v>
      </c>
      <c r="AC25" s="1401">
        <v>44032</v>
      </c>
      <c r="AD25" s="852">
        <v>43929</v>
      </c>
      <c r="AE25" s="1964">
        <v>44285</v>
      </c>
      <c r="AF25" s="374"/>
      <c r="AG25" s="374"/>
    </row>
    <row r="26" spans="1:33" ht="30">
      <c r="A26" s="1443" t="s">
        <v>239</v>
      </c>
      <c r="B26" s="491" t="s">
        <v>239</v>
      </c>
      <c r="C26" s="491" t="s">
        <v>239</v>
      </c>
      <c r="D26" s="1373" t="s">
        <v>2884</v>
      </c>
      <c r="E26" s="491" t="s">
        <v>2434</v>
      </c>
      <c r="F26" s="491" t="s">
        <v>751</v>
      </c>
      <c r="G26" s="571" t="s">
        <v>3508</v>
      </c>
      <c r="H26" s="1570">
        <v>3</v>
      </c>
      <c r="I26" s="1571" t="s">
        <v>3800</v>
      </c>
      <c r="J26" s="1570"/>
      <c r="K26" s="1570" t="s">
        <v>2844</v>
      </c>
      <c r="L26" s="491"/>
      <c r="M26" s="536">
        <v>587800</v>
      </c>
      <c r="N26" s="491" t="s">
        <v>251</v>
      </c>
      <c r="O26" s="537">
        <v>43349</v>
      </c>
      <c r="P26" s="537">
        <v>43384</v>
      </c>
      <c r="Q26" s="537">
        <v>43411</v>
      </c>
      <c r="R26" s="491" t="s">
        <v>2776</v>
      </c>
      <c r="S26" s="495"/>
      <c r="T26" s="536">
        <v>580000</v>
      </c>
      <c r="U26" s="536">
        <v>667000</v>
      </c>
      <c r="V26" s="1471"/>
      <c r="W26" s="1471"/>
      <c r="X26" s="1471"/>
      <c r="Y26" s="573">
        <v>43413</v>
      </c>
      <c r="Z26" s="1375" t="s">
        <v>3623</v>
      </c>
      <c r="AA26" s="537">
        <v>43486</v>
      </c>
      <c r="AB26" s="537">
        <v>43490</v>
      </c>
      <c r="AC26" s="1401">
        <v>44032</v>
      </c>
      <c r="AD26" s="852">
        <v>43929</v>
      </c>
      <c r="AE26" s="1373" t="s">
        <v>8483</v>
      </c>
      <c r="AF26" s="374"/>
      <c r="AG26" s="374"/>
    </row>
    <row r="27" spans="1:33" ht="30">
      <c r="A27" s="1443" t="s">
        <v>239</v>
      </c>
      <c r="B27" s="491" t="s">
        <v>239</v>
      </c>
      <c r="C27" s="491" t="s">
        <v>239</v>
      </c>
      <c r="D27" s="1373" t="s">
        <v>2884</v>
      </c>
      <c r="E27" s="491" t="s">
        <v>2434</v>
      </c>
      <c r="F27" s="491" t="s">
        <v>751</v>
      </c>
      <c r="G27" s="571" t="s">
        <v>3508</v>
      </c>
      <c r="H27" s="1570">
        <v>4</v>
      </c>
      <c r="I27" s="1571" t="s">
        <v>3801</v>
      </c>
      <c r="J27" s="1570"/>
      <c r="K27" s="1570" t="s">
        <v>2844</v>
      </c>
      <c r="L27" s="491"/>
      <c r="M27" s="536">
        <v>6780480</v>
      </c>
      <c r="N27" s="491" t="s">
        <v>251</v>
      </c>
      <c r="O27" s="537">
        <v>43349</v>
      </c>
      <c r="P27" s="537">
        <v>43384</v>
      </c>
      <c r="Q27" s="537">
        <v>43411</v>
      </c>
      <c r="R27" s="491" t="s">
        <v>2776</v>
      </c>
      <c r="S27" s="495"/>
      <c r="T27" s="536">
        <v>6720000</v>
      </c>
      <c r="U27" s="536">
        <v>7728000</v>
      </c>
      <c r="V27" s="1471"/>
      <c r="W27" s="1471"/>
      <c r="X27" s="1471"/>
      <c r="Y27" s="573">
        <v>43413</v>
      </c>
      <c r="Z27" s="1375" t="s">
        <v>3624</v>
      </c>
      <c r="AA27" s="537">
        <v>43486</v>
      </c>
      <c r="AB27" s="537">
        <v>43490</v>
      </c>
      <c r="AC27" s="1401">
        <v>44032</v>
      </c>
      <c r="AD27" s="852">
        <v>43929</v>
      </c>
      <c r="AE27" s="1964">
        <v>44285</v>
      </c>
      <c r="AF27" s="374"/>
      <c r="AG27" s="374"/>
    </row>
    <row r="28" spans="1:33" ht="30">
      <c r="A28" s="1443" t="s">
        <v>239</v>
      </c>
      <c r="B28" s="491" t="s">
        <v>239</v>
      </c>
      <c r="C28" s="491" t="s">
        <v>239</v>
      </c>
      <c r="D28" s="1373" t="s">
        <v>2884</v>
      </c>
      <c r="E28" s="491" t="s">
        <v>2434</v>
      </c>
      <c r="F28" s="491" t="s">
        <v>751</v>
      </c>
      <c r="G28" s="571" t="s">
        <v>3508</v>
      </c>
      <c r="H28" s="1570">
        <v>6</v>
      </c>
      <c r="I28" s="1571" t="s">
        <v>3802</v>
      </c>
      <c r="J28" s="1570"/>
      <c r="K28" s="1570" t="s">
        <v>2844</v>
      </c>
      <c r="L28" s="491"/>
      <c r="M28" s="536">
        <v>1792000</v>
      </c>
      <c r="N28" s="491" t="s">
        <v>251</v>
      </c>
      <c r="O28" s="537">
        <v>43349</v>
      </c>
      <c r="P28" s="537">
        <v>43384</v>
      </c>
      <c r="Q28" s="537">
        <v>43411</v>
      </c>
      <c r="R28" s="491" t="s">
        <v>3114</v>
      </c>
      <c r="S28" s="495"/>
      <c r="T28" s="536">
        <v>1792000</v>
      </c>
      <c r="U28" s="536">
        <f>T28*1.15</f>
        <v>2060799.9999999998</v>
      </c>
      <c r="V28" s="1471"/>
      <c r="W28" s="1471"/>
      <c r="X28" s="1471"/>
      <c r="Y28" s="573">
        <v>43413</v>
      </c>
      <c r="Z28" s="1375" t="s">
        <v>3625</v>
      </c>
      <c r="AA28" s="537">
        <v>43486</v>
      </c>
      <c r="AB28" s="537">
        <v>43490</v>
      </c>
      <c r="AC28" s="1401">
        <v>44032</v>
      </c>
      <c r="AD28" s="852">
        <v>43929</v>
      </c>
      <c r="AE28" s="1964">
        <v>44285</v>
      </c>
      <c r="AF28" s="374"/>
      <c r="AG28" s="374"/>
    </row>
    <row r="29" spans="1:33" ht="30">
      <c r="A29" s="1443" t="s">
        <v>239</v>
      </c>
      <c r="B29" s="491" t="s">
        <v>239</v>
      </c>
      <c r="C29" s="491" t="s">
        <v>239</v>
      </c>
      <c r="D29" s="1373" t="s">
        <v>2884</v>
      </c>
      <c r="E29" s="491" t="s">
        <v>2434</v>
      </c>
      <c r="F29" s="491" t="s">
        <v>751</v>
      </c>
      <c r="G29" s="571" t="s">
        <v>3508</v>
      </c>
      <c r="H29" s="1570">
        <v>7</v>
      </c>
      <c r="I29" s="1571" t="s">
        <v>3803</v>
      </c>
      <c r="J29" s="1570"/>
      <c r="K29" s="1570" t="s">
        <v>2844</v>
      </c>
      <c r="L29" s="491"/>
      <c r="M29" s="536">
        <v>702150</v>
      </c>
      <c r="N29" s="491" t="s">
        <v>251</v>
      </c>
      <c r="O29" s="537">
        <v>43349</v>
      </c>
      <c r="P29" s="537">
        <v>43384</v>
      </c>
      <c r="Q29" s="537">
        <v>43411</v>
      </c>
      <c r="R29" s="491" t="s">
        <v>2776</v>
      </c>
      <c r="S29" s="495"/>
      <c r="T29" s="536">
        <v>700000</v>
      </c>
      <c r="U29" s="536">
        <v>805000</v>
      </c>
      <c r="V29" s="1471"/>
      <c r="W29" s="1471"/>
      <c r="X29" s="1471"/>
      <c r="Y29" s="573">
        <v>43413</v>
      </c>
      <c r="Z29" s="1375" t="s">
        <v>3626</v>
      </c>
      <c r="AA29" s="537">
        <v>43486</v>
      </c>
      <c r="AB29" s="537">
        <v>43490</v>
      </c>
      <c r="AC29" s="1401">
        <v>44032</v>
      </c>
      <c r="AD29" s="852">
        <v>43929</v>
      </c>
      <c r="AE29" s="1964">
        <v>44285</v>
      </c>
      <c r="AF29" s="374"/>
      <c r="AG29" s="374"/>
    </row>
    <row r="30" spans="1:33" ht="30.75" thickBot="1">
      <c r="A30" s="1444" t="s">
        <v>239</v>
      </c>
      <c r="B30" s="411" t="s">
        <v>239</v>
      </c>
      <c r="C30" s="411" t="s">
        <v>239</v>
      </c>
      <c r="D30" s="1373" t="s">
        <v>2884</v>
      </c>
      <c r="E30" s="491" t="s">
        <v>2434</v>
      </c>
      <c r="F30" s="491" t="s">
        <v>751</v>
      </c>
      <c r="G30" s="571" t="s">
        <v>3508</v>
      </c>
      <c r="H30" s="1570">
        <v>9</v>
      </c>
      <c r="I30" s="1571" t="s">
        <v>3804</v>
      </c>
      <c r="J30" s="1570"/>
      <c r="K30" s="1570" t="s">
        <v>2844</v>
      </c>
      <c r="L30" s="491"/>
      <c r="M30" s="536">
        <v>407460</v>
      </c>
      <c r="N30" s="491" t="s">
        <v>251</v>
      </c>
      <c r="O30" s="537">
        <v>43349</v>
      </c>
      <c r="P30" s="537">
        <v>43384</v>
      </c>
      <c r="Q30" s="537">
        <v>43411</v>
      </c>
      <c r="R30" s="491" t="s">
        <v>3114</v>
      </c>
      <c r="S30" s="495"/>
      <c r="T30" s="536">
        <v>407460</v>
      </c>
      <c r="U30" s="536">
        <v>468579</v>
      </c>
      <c r="V30" s="1471"/>
      <c r="W30" s="1471"/>
      <c r="X30" s="1471"/>
      <c r="Y30" s="573">
        <v>43468</v>
      </c>
      <c r="Z30" s="1389" t="s">
        <v>3627</v>
      </c>
      <c r="AA30" s="537">
        <v>43486</v>
      </c>
      <c r="AB30" s="537">
        <v>43490</v>
      </c>
      <c r="AC30" s="1401">
        <v>44032</v>
      </c>
      <c r="AD30" s="852">
        <v>43929</v>
      </c>
      <c r="AE30" s="1964">
        <v>44285</v>
      </c>
      <c r="AF30" s="374"/>
      <c r="AG30" s="374"/>
    </row>
    <row r="31" spans="1:33" ht="30.75" thickTop="1">
      <c r="A31" s="1452" t="s">
        <v>239</v>
      </c>
      <c r="B31" s="453" t="s">
        <v>239</v>
      </c>
      <c r="C31" s="453" t="s">
        <v>239</v>
      </c>
      <c r="D31" s="1383" t="s">
        <v>2898</v>
      </c>
      <c r="E31" s="453" t="s">
        <v>1700</v>
      </c>
      <c r="F31" s="453" t="s">
        <v>6206</v>
      </c>
      <c r="G31" s="473" t="s">
        <v>3504</v>
      </c>
      <c r="H31" s="453">
        <v>1</v>
      </c>
      <c r="I31" s="1420" t="s">
        <v>3805</v>
      </c>
      <c r="J31" s="453"/>
      <c r="K31" s="453" t="s">
        <v>2932</v>
      </c>
      <c r="L31" s="453" t="s">
        <v>2933</v>
      </c>
      <c r="M31" s="457">
        <v>789537</v>
      </c>
      <c r="N31" s="453" t="s">
        <v>251</v>
      </c>
      <c r="O31" s="474">
        <v>43264</v>
      </c>
      <c r="P31" s="474">
        <v>43353</v>
      </c>
      <c r="Q31" s="474">
        <v>43448</v>
      </c>
      <c r="R31" s="453" t="s">
        <v>2680</v>
      </c>
      <c r="S31" s="1420"/>
      <c r="T31" s="457">
        <v>814390</v>
      </c>
      <c r="U31" s="457">
        <f>T31*1.21</f>
        <v>985411.9</v>
      </c>
      <c r="V31" s="1474"/>
      <c r="W31" s="1474"/>
      <c r="X31" s="1474"/>
      <c r="Y31" s="570">
        <v>43448</v>
      </c>
      <c r="Z31" s="1387" t="s">
        <v>3547</v>
      </c>
      <c r="AA31" s="474">
        <v>43502</v>
      </c>
      <c r="AB31" s="474">
        <v>43509</v>
      </c>
      <c r="AC31" s="1400">
        <f>AA31+70</f>
        <v>43572</v>
      </c>
      <c r="AD31" s="575">
        <v>43626</v>
      </c>
      <c r="AE31" s="1399" t="s">
        <v>1875</v>
      </c>
      <c r="AF31" s="374"/>
      <c r="AG31" s="374"/>
    </row>
    <row r="32" spans="1:33" ht="30">
      <c r="A32" s="1443" t="s">
        <v>239</v>
      </c>
      <c r="B32" s="491" t="s">
        <v>239</v>
      </c>
      <c r="C32" s="491" t="s">
        <v>239</v>
      </c>
      <c r="D32" s="1373" t="s">
        <v>2898</v>
      </c>
      <c r="E32" s="491" t="s">
        <v>1700</v>
      </c>
      <c r="F32" s="491" t="s">
        <v>6206</v>
      </c>
      <c r="G32" s="571" t="s">
        <v>3504</v>
      </c>
      <c r="H32" s="491">
        <v>2</v>
      </c>
      <c r="I32" s="495" t="s">
        <v>3806</v>
      </c>
      <c r="J32" s="491"/>
      <c r="K32" s="491" t="s">
        <v>2935</v>
      </c>
      <c r="L32" s="491" t="s">
        <v>2936</v>
      </c>
      <c r="M32" s="536">
        <v>12102396</v>
      </c>
      <c r="N32" s="491" t="s">
        <v>251</v>
      </c>
      <c r="O32" s="537">
        <v>43264</v>
      </c>
      <c r="P32" s="537">
        <v>43353</v>
      </c>
      <c r="Q32" s="537">
        <v>43448</v>
      </c>
      <c r="R32" s="491" t="s">
        <v>342</v>
      </c>
      <c r="S32" s="495"/>
      <c r="T32" s="536">
        <v>10812100</v>
      </c>
      <c r="U32" s="536">
        <f>T32*1.21</f>
        <v>13082641</v>
      </c>
      <c r="V32" s="1471"/>
      <c r="W32" s="1471"/>
      <c r="X32" s="1471"/>
      <c r="Y32" s="573">
        <v>43448</v>
      </c>
      <c r="Z32" s="1375" t="s">
        <v>3548</v>
      </c>
      <c r="AA32" s="537">
        <v>43502</v>
      </c>
      <c r="AB32" s="537">
        <v>43509</v>
      </c>
      <c r="AC32" s="1401">
        <f>AA32+56</f>
        <v>43558</v>
      </c>
      <c r="AD32" s="852">
        <v>43605</v>
      </c>
      <c r="AE32" s="1399" t="s">
        <v>1875</v>
      </c>
      <c r="AF32" s="374"/>
      <c r="AG32" s="374"/>
    </row>
    <row r="33" spans="1:33">
      <c r="A33" s="1453" t="s">
        <v>239</v>
      </c>
      <c r="B33" s="506" t="s">
        <v>239</v>
      </c>
      <c r="C33" s="506" t="s">
        <v>239</v>
      </c>
      <c r="D33" s="1382" t="s">
        <v>2898</v>
      </c>
      <c r="E33" s="506" t="s">
        <v>1700</v>
      </c>
      <c r="F33" s="506" t="s">
        <v>6206</v>
      </c>
      <c r="G33" s="507" t="s">
        <v>3504</v>
      </c>
      <c r="H33" s="506">
        <v>3</v>
      </c>
      <c r="I33" s="548" t="s">
        <v>3807</v>
      </c>
      <c r="J33" s="506"/>
      <c r="K33" s="506" t="s">
        <v>2935</v>
      </c>
      <c r="L33" s="506" t="s">
        <v>2938</v>
      </c>
      <c r="M33" s="511">
        <v>2259338</v>
      </c>
      <c r="N33" s="506" t="s">
        <v>251</v>
      </c>
      <c r="O33" s="510">
        <v>43264</v>
      </c>
      <c r="P33" s="510">
        <v>43353</v>
      </c>
      <c r="Q33" s="510"/>
      <c r="R33" s="514" t="s">
        <v>242</v>
      </c>
      <c r="S33" s="1713" t="s">
        <v>4710</v>
      </c>
      <c r="T33" s="511"/>
      <c r="U33" s="511"/>
      <c r="V33" s="1470"/>
      <c r="W33" s="1470"/>
      <c r="X33" s="1470"/>
      <c r="Y33" s="1398"/>
      <c r="Z33" s="511"/>
      <c r="AA33" s="506"/>
      <c r="AB33" s="510">
        <v>43509</v>
      </c>
      <c r="AC33" s="1396"/>
      <c r="AD33" s="506"/>
      <c r="AE33" s="506"/>
    </row>
    <row r="34" spans="1:33" ht="30.75" thickBot="1">
      <c r="A34" s="1454" t="s">
        <v>239</v>
      </c>
      <c r="B34" s="1376" t="s">
        <v>239</v>
      </c>
      <c r="C34" s="1376" t="s">
        <v>239</v>
      </c>
      <c r="D34" s="1377" t="s">
        <v>2898</v>
      </c>
      <c r="E34" s="1376" t="s">
        <v>1700</v>
      </c>
      <c r="F34" s="1376" t="s">
        <v>6206</v>
      </c>
      <c r="G34" s="1378" t="s">
        <v>3504</v>
      </c>
      <c r="H34" s="1376">
        <v>4</v>
      </c>
      <c r="I34" s="1421" t="s">
        <v>3808</v>
      </c>
      <c r="J34" s="1376"/>
      <c r="K34" s="1376" t="s">
        <v>2935</v>
      </c>
      <c r="L34" s="1376" t="s">
        <v>2940</v>
      </c>
      <c r="M34" s="1379">
        <v>448283</v>
      </c>
      <c r="N34" s="1376" t="s">
        <v>251</v>
      </c>
      <c r="O34" s="1380">
        <v>43264</v>
      </c>
      <c r="P34" s="1380">
        <v>43353</v>
      </c>
      <c r="Q34" s="1380">
        <v>43448</v>
      </c>
      <c r="R34" s="1376" t="s">
        <v>3184</v>
      </c>
      <c r="S34" s="1421"/>
      <c r="T34" s="1379">
        <v>665561.80000000005</v>
      </c>
      <c r="U34" s="1379">
        <f>T34*1.21</f>
        <v>805329.77800000005</v>
      </c>
      <c r="V34" s="1475"/>
      <c r="W34" s="1475"/>
      <c r="X34" s="1475"/>
      <c r="Y34" s="1388">
        <v>43448</v>
      </c>
      <c r="Z34" s="1389" t="s">
        <v>3549</v>
      </c>
      <c r="AA34" s="1380">
        <v>43508</v>
      </c>
      <c r="AB34" s="1380">
        <v>43509</v>
      </c>
      <c r="AC34" s="1416">
        <f>AB34+56</f>
        <v>43565</v>
      </c>
      <c r="AD34" s="1530">
        <v>43578</v>
      </c>
      <c r="AE34" s="1399" t="s">
        <v>1875</v>
      </c>
      <c r="AF34" s="374"/>
      <c r="AG34" s="374"/>
    </row>
    <row r="35" spans="1:33" ht="31.5" thickTop="1" thickBot="1">
      <c r="A35" s="1450" t="s">
        <v>239</v>
      </c>
      <c r="B35" s="707" t="s">
        <v>239</v>
      </c>
      <c r="C35" s="707" t="s">
        <v>239</v>
      </c>
      <c r="D35" s="1377" t="s">
        <v>2904</v>
      </c>
      <c r="E35" s="1376" t="s">
        <v>1700</v>
      </c>
      <c r="F35" s="1376" t="s">
        <v>6206</v>
      </c>
      <c r="G35" s="1378" t="s">
        <v>3509</v>
      </c>
      <c r="H35" s="1376">
        <v>3</v>
      </c>
      <c r="I35" s="1421" t="s">
        <v>3809</v>
      </c>
      <c r="J35" s="1376"/>
      <c r="K35" s="1376" t="s">
        <v>2905</v>
      </c>
      <c r="L35" s="1376" t="s">
        <v>2913</v>
      </c>
      <c r="M35" s="1379">
        <v>976033.35</v>
      </c>
      <c r="N35" s="1376" t="s">
        <v>251</v>
      </c>
      <c r="O35" s="1380">
        <v>43266</v>
      </c>
      <c r="P35" s="1380">
        <v>43333</v>
      </c>
      <c r="Q35" s="1380">
        <v>43403</v>
      </c>
      <c r="R35" s="1376" t="s">
        <v>3184</v>
      </c>
      <c r="S35" s="1421"/>
      <c r="T35" s="1379">
        <v>1967572.28</v>
      </c>
      <c r="U35" s="1379">
        <f>T35*1.21</f>
        <v>2380762.4588000001</v>
      </c>
      <c r="V35" s="1475"/>
      <c r="W35" s="1475"/>
      <c r="X35" s="1475"/>
      <c r="Y35" s="1388">
        <v>43406</v>
      </c>
      <c r="Z35" s="1389" t="s">
        <v>3553</v>
      </c>
      <c r="AA35" s="1380">
        <v>43489</v>
      </c>
      <c r="AB35" s="1380">
        <v>43494</v>
      </c>
      <c r="AC35" s="1416">
        <v>43559</v>
      </c>
      <c r="AD35" s="1530">
        <v>43616</v>
      </c>
      <c r="AE35" s="1399" t="s">
        <v>1875</v>
      </c>
      <c r="AF35" s="374"/>
      <c r="AG35" s="374"/>
    </row>
    <row r="36" spans="1:33" ht="30.75" thickTop="1">
      <c r="A36" s="1451" t="s">
        <v>239</v>
      </c>
      <c r="B36" s="1570" t="s">
        <v>239</v>
      </c>
      <c r="C36" s="1570" t="s">
        <v>239</v>
      </c>
      <c r="D36" s="1373" t="s">
        <v>2950</v>
      </c>
      <c r="E36" s="491" t="s">
        <v>2434</v>
      </c>
      <c r="F36" s="491" t="s">
        <v>57</v>
      </c>
      <c r="G36" s="571" t="s">
        <v>3510</v>
      </c>
      <c r="H36" s="491">
        <v>2</v>
      </c>
      <c r="I36" s="495" t="s">
        <v>3810</v>
      </c>
      <c r="J36" s="491"/>
      <c r="K36" s="491" t="s">
        <v>2951</v>
      </c>
      <c r="L36" s="491"/>
      <c r="M36" s="536">
        <v>3300000</v>
      </c>
      <c r="N36" s="491" t="s">
        <v>251</v>
      </c>
      <c r="O36" s="537">
        <v>43269</v>
      </c>
      <c r="P36" s="537">
        <v>43315</v>
      </c>
      <c r="Q36" s="537">
        <v>43388</v>
      </c>
      <c r="R36" s="491" t="s">
        <v>3191</v>
      </c>
      <c r="S36" s="495"/>
      <c r="T36" s="536">
        <v>3240000</v>
      </c>
      <c r="U36" s="536">
        <v>3726000</v>
      </c>
      <c r="V36" s="1471"/>
      <c r="W36" s="1471"/>
      <c r="X36" s="1471"/>
      <c r="Y36" s="573">
        <v>43389</v>
      </c>
      <c r="Z36" s="1375" t="s">
        <v>3854</v>
      </c>
      <c r="AA36" s="537">
        <v>43500</v>
      </c>
      <c r="AB36" s="1435">
        <v>43504</v>
      </c>
      <c r="AC36" s="1401">
        <v>44046</v>
      </c>
      <c r="AD36" s="852">
        <v>43929</v>
      </c>
      <c r="AE36" s="1964">
        <v>44285</v>
      </c>
      <c r="AF36" s="374"/>
      <c r="AG36" s="374"/>
    </row>
    <row r="37" spans="1:33" ht="30">
      <c r="A37" s="1443" t="s">
        <v>239</v>
      </c>
      <c r="B37" s="491" t="s">
        <v>239</v>
      </c>
      <c r="C37" s="491" t="s">
        <v>239</v>
      </c>
      <c r="D37" s="1373" t="s">
        <v>2950</v>
      </c>
      <c r="E37" s="491" t="s">
        <v>2434</v>
      </c>
      <c r="F37" s="491" t="s">
        <v>57</v>
      </c>
      <c r="G37" s="571" t="s">
        <v>3510</v>
      </c>
      <c r="H37" s="491">
        <v>3</v>
      </c>
      <c r="I37" s="495" t="s">
        <v>3811</v>
      </c>
      <c r="J37" s="491"/>
      <c r="K37" s="491" t="s">
        <v>2951</v>
      </c>
      <c r="L37" s="491"/>
      <c r="M37" s="536">
        <v>723000</v>
      </c>
      <c r="N37" s="491" t="s">
        <v>251</v>
      </c>
      <c r="O37" s="537">
        <v>43269</v>
      </c>
      <c r="P37" s="537">
        <v>43315</v>
      </c>
      <c r="Q37" s="537">
        <v>43388</v>
      </c>
      <c r="R37" s="491" t="s">
        <v>3153</v>
      </c>
      <c r="S37" s="495"/>
      <c r="T37" s="536">
        <v>276383</v>
      </c>
      <c r="U37" s="536">
        <v>317840.45</v>
      </c>
      <c r="V37" s="1471"/>
      <c r="W37" s="1471"/>
      <c r="X37" s="1471"/>
      <c r="Y37" s="573">
        <v>43389</v>
      </c>
      <c r="Z37" s="1375" t="s">
        <v>3862</v>
      </c>
      <c r="AA37" s="537">
        <v>43500</v>
      </c>
      <c r="AB37" s="537">
        <v>43504</v>
      </c>
      <c r="AC37" s="1401">
        <v>44046</v>
      </c>
      <c r="AD37" s="852">
        <v>43929</v>
      </c>
      <c r="AE37" s="1964">
        <v>44285</v>
      </c>
      <c r="AF37" s="374"/>
      <c r="AG37" s="374"/>
    </row>
    <row r="38" spans="1:33" ht="30">
      <c r="A38" s="1443" t="s">
        <v>239</v>
      </c>
      <c r="B38" s="491" t="s">
        <v>239</v>
      </c>
      <c r="C38" s="491" t="s">
        <v>239</v>
      </c>
      <c r="D38" s="1373" t="s">
        <v>2950</v>
      </c>
      <c r="E38" s="491" t="s">
        <v>2434</v>
      </c>
      <c r="F38" s="491" t="s">
        <v>57</v>
      </c>
      <c r="G38" s="571" t="s">
        <v>3510</v>
      </c>
      <c r="H38" s="491">
        <v>4</v>
      </c>
      <c r="I38" s="495" t="s">
        <v>3812</v>
      </c>
      <c r="J38" s="491"/>
      <c r="K38" s="491" t="s">
        <v>2951</v>
      </c>
      <c r="L38" s="491"/>
      <c r="M38" s="536">
        <v>419000</v>
      </c>
      <c r="N38" s="491" t="s">
        <v>251</v>
      </c>
      <c r="O38" s="537">
        <v>43269</v>
      </c>
      <c r="P38" s="537">
        <v>43315</v>
      </c>
      <c r="Q38" s="537">
        <v>43388</v>
      </c>
      <c r="R38" s="491" t="s">
        <v>3191</v>
      </c>
      <c r="S38" s="495"/>
      <c r="T38" s="536">
        <v>398000</v>
      </c>
      <c r="U38" s="536">
        <v>457700</v>
      </c>
      <c r="V38" s="1471"/>
      <c r="W38" s="1471"/>
      <c r="X38" s="1471"/>
      <c r="Y38" s="573">
        <v>43389</v>
      </c>
      <c r="Z38" s="1375" t="s">
        <v>3855</v>
      </c>
      <c r="AA38" s="537">
        <v>43500</v>
      </c>
      <c r="AB38" s="537">
        <v>43504</v>
      </c>
      <c r="AC38" s="1401">
        <v>44046</v>
      </c>
      <c r="AD38" s="852">
        <v>43929</v>
      </c>
      <c r="AE38" s="1373" t="s">
        <v>8483</v>
      </c>
      <c r="AF38" s="374"/>
      <c r="AG38" s="374"/>
    </row>
    <row r="39" spans="1:33" ht="30">
      <c r="A39" s="1443" t="s">
        <v>239</v>
      </c>
      <c r="B39" s="491" t="s">
        <v>239</v>
      </c>
      <c r="C39" s="491" t="s">
        <v>239</v>
      </c>
      <c r="D39" s="1373" t="s">
        <v>2950</v>
      </c>
      <c r="E39" s="491" t="s">
        <v>2434</v>
      </c>
      <c r="F39" s="491" t="s">
        <v>57</v>
      </c>
      <c r="G39" s="571" t="s">
        <v>3510</v>
      </c>
      <c r="H39" s="491">
        <v>5</v>
      </c>
      <c r="I39" s="495" t="s">
        <v>3813</v>
      </c>
      <c r="J39" s="491"/>
      <c r="K39" s="491" t="s">
        <v>2951</v>
      </c>
      <c r="L39" s="491"/>
      <c r="M39" s="536">
        <v>1410000</v>
      </c>
      <c r="N39" s="491" t="s">
        <v>251</v>
      </c>
      <c r="O39" s="537">
        <v>43269</v>
      </c>
      <c r="P39" s="537">
        <v>43315</v>
      </c>
      <c r="Q39" s="537">
        <v>43388</v>
      </c>
      <c r="R39" s="491" t="s">
        <v>3191</v>
      </c>
      <c r="S39" s="495"/>
      <c r="T39" s="536">
        <v>1410000</v>
      </c>
      <c r="U39" s="536">
        <v>1621500</v>
      </c>
      <c r="V39" s="1471"/>
      <c r="W39" s="1471"/>
      <c r="X39" s="1471"/>
      <c r="Y39" s="573">
        <v>43389</v>
      </c>
      <c r="Z39" s="1375" t="s">
        <v>3856</v>
      </c>
      <c r="AA39" s="537">
        <v>43500</v>
      </c>
      <c r="AB39" s="537">
        <v>43504</v>
      </c>
      <c r="AC39" s="1401">
        <v>44046</v>
      </c>
      <c r="AD39" s="852">
        <v>43929</v>
      </c>
      <c r="AE39" s="1964">
        <v>44285</v>
      </c>
      <c r="AF39" s="374"/>
      <c r="AG39" s="374"/>
    </row>
    <row r="40" spans="1:33" ht="30">
      <c r="A40" s="1443" t="s">
        <v>239</v>
      </c>
      <c r="B40" s="491" t="s">
        <v>239</v>
      </c>
      <c r="C40" s="491" t="s">
        <v>239</v>
      </c>
      <c r="D40" s="1373" t="s">
        <v>2950</v>
      </c>
      <c r="E40" s="491" t="s">
        <v>2434</v>
      </c>
      <c r="F40" s="491" t="s">
        <v>57</v>
      </c>
      <c r="G40" s="571" t="s">
        <v>3510</v>
      </c>
      <c r="H40" s="491">
        <v>6</v>
      </c>
      <c r="I40" s="495" t="s">
        <v>3814</v>
      </c>
      <c r="J40" s="491"/>
      <c r="K40" s="491" t="s">
        <v>2951</v>
      </c>
      <c r="L40" s="491"/>
      <c r="M40" s="536">
        <v>616000</v>
      </c>
      <c r="N40" s="491" t="s">
        <v>251</v>
      </c>
      <c r="O40" s="537">
        <v>43269</v>
      </c>
      <c r="P40" s="537">
        <v>43315</v>
      </c>
      <c r="Q40" s="537">
        <v>43388</v>
      </c>
      <c r="R40" s="491" t="s">
        <v>3191</v>
      </c>
      <c r="S40" s="495"/>
      <c r="T40" s="536">
        <v>614250</v>
      </c>
      <c r="U40" s="536">
        <v>706387.5</v>
      </c>
      <c r="V40" s="1471"/>
      <c r="W40" s="1471"/>
      <c r="X40" s="1471"/>
      <c r="Y40" s="573">
        <v>43389</v>
      </c>
      <c r="Z40" s="1375" t="s">
        <v>3857</v>
      </c>
      <c r="AA40" s="537">
        <v>43500</v>
      </c>
      <c r="AB40" s="537">
        <v>43504</v>
      </c>
      <c r="AC40" s="1401">
        <v>44046</v>
      </c>
      <c r="AD40" s="852">
        <v>43929</v>
      </c>
      <c r="AE40" s="1964">
        <v>44285</v>
      </c>
      <c r="AF40" s="374"/>
      <c r="AG40" s="374"/>
    </row>
    <row r="41" spans="1:33" ht="30">
      <c r="A41" s="1443" t="s">
        <v>239</v>
      </c>
      <c r="B41" s="491" t="s">
        <v>239</v>
      </c>
      <c r="C41" s="491" t="s">
        <v>239</v>
      </c>
      <c r="D41" s="1373" t="s">
        <v>2950</v>
      </c>
      <c r="E41" s="491" t="s">
        <v>2434</v>
      </c>
      <c r="F41" s="491" t="s">
        <v>57</v>
      </c>
      <c r="G41" s="571" t="s">
        <v>3510</v>
      </c>
      <c r="H41" s="491">
        <v>7</v>
      </c>
      <c r="I41" s="495" t="s">
        <v>3815</v>
      </c>
      <c r="J41" s="491"/>
      <c r="K41" s="491" t="s">
        <v>2951</v>
      </c>
      <c r="L41" s="491"/>
      <c r="M41" s="536">
        <v>4280000</v>
      </c>
      <c r="N41" s="491" t="s">
        <v>251</v>
      </c>
      <c r="O41" s="537">
        <v>43269</v>
      </c>
      <c r="P41" s="537">
        <v>43315</v>
      </c>
      <c r="Q41" s="537">
        <v>43388</v>
      </c>
      <c r="R41" s="491" t="s">
        <v>3191</v>
      </c>
      <c r="S41" s="495"/>
      <c r="T41" s="536">
        <v>2616000</v>
      </c>
      <c r="U41" s="536">
        <v>3008400</v>
      </c>
      <c r="V41" s="1471"/>
      <c r="W41" s="1471"/>
      <c r="X41" s="1471"/>
      <c r="Y41" s="573">
        <v>43389</v>
      </c>
      <c r="Z41" s="1375" t="s">
        <v>3858</v>
      </c>
      <c r="AA41" s="537">
        <v>43500</v>
      </c>
      <c r="AB41" s="537">
        <v>43504</v>
      </c>
      <c r="AC41" s="1401">
        <v>44046</v>
      </c>
      <c r="AD41" s="852">
        <v>43929</v>
      </c>
      <c r="AE41" s="1964">
        <v>44285</v>
      </c>
      <c r="AF41" s="374"/>
      <c r="AG41" s="374"/>
    </row>
    <row r="42" spans="1:33" ht="30">
      <c r="A42" s="1443" t="s">
        <v>239</v>
      </c>
      <c r="B42" s="491" t="s">
        <v>239</v>
      </c>
      <c r="C42" s="491" t="s">
        <v>239</v>
      </c>
      <c r="D42" s="1373" t="s">
        <v>2950</v>
      </c>
      <c r="E42" s="491" t="s">
        <v>2434</v>
      </c>
      <c r="F42" s="491" t="s">
        <v>57</v>
      </c>
      <c r="G42" s="571" t="s">
        <v>3510</v>
      </c>
      <c r="H42" s="491">
        <v>8</v>
      </c>
      <c r="I42" s="495" t="s">
        <v>3816</v>
      </c>
      <c r="J42" s="491"/>
      <c r="K42" s="491" t="s">
        <v>2951</v>
      </c>
      <c r="L42" s="491"/>
      <c r="M42" s="536">
        <v>4280000</v>
      </c>
      <c r="N42" s="491" t="s">
        <v>251</v>
      </c>
      <c r="O42" s="537">
        <v>43269</v>
      </c>
      <c r="P42" s="537">
        <v>43315</v>
      </c>
      <c r="Q42" s="537">
        <v>43388</v>
      </c>
      <c r="R42" s="491" t="s">
        <v>3191</v>
      </c>
      <c r="S42" s="495"/>
      <c r="T42" s="536">
        <v>2160000</v>
      </c>
      <c r="U42" s="536">
        <v>2484000</v>
      </c>
      <c r="V42" s="1471"/>
      <c r="W42" s="1471"/>
      <c r="X42" s="1471"/>
      <c r="Y42" s="573">
        <v>43389</v>
      </c>
      <c r="Z42" s="1375" t="s">
        <v>3859</v>
      </c>
      <c r="AA42" s="537">
        <v>43500</v>
      </c>
      <c r="AB42" s="537">
        <v>43504</v>
      </c>
      <c r="AC42" s="1401">
        <v>44046</v>
      </c>
      <c r="AD42" s="852" t="s">
        <v>6603</v>
      </c>
      <c r="AE42" s="1964">
        <v>44285</v>
      </c>
      <c r="AF42" s="374"/>
      <c r="AG42" s="374"/>
    </row>
    <row r="43" spans="1:33">
      <c r="A43" s="1453" t="s">
        <v>239</v>
      </c>
      <c r="B43" s="506" t="s">
        <v>239</v>
      </c>
      <c r="C43" s="506" t="s">
        <v>239</v>
      </c>
      <c r="D43" s="1382" t="s">
        <v>2950</v>
      </c>
      <c r="E43" s="506" t="s">
        <v>2434</v>
      </c>
      <c r="F43" s="506" t="s">
        <v>57</v>
      </c>
      <c r="G43" s="507" t="s">
        <v>3510</v>
      </c>
      <c r="H43" s="506">
        <v>9</v>
      </c>
      <c r="I43" s="548" t="s">
        <v>3817</v>
      </c>
      <c r="J43" s="506"/>
      <c r="K43" s="506" t="s">
        <v>2951</v>
      </c>
      <c r="L43" s="506"/>
      <c r="M43" s="511">
        <v>2817000</v>
      </c>
      <c r="N43" s="506" t="s">
        <v>251</v>
      </c>
      <c r="O43" s="510">
        <v>43269</v>
      </c>
      <c r="P43" s="510">
        <v>43315</v>
      </c>
      <c r="Q43" s="510"/>
      <c r="R43" s="514" t="s">
        <v>242</v>
      </c>
      <c r="S43" s="1719" t="s">
        <v>4711</v>
      </c>
      <c r="T43" s="511"/>
      <c r="U43" s="511"/>
      <c r="V43" s="1470"/>
      <c r="W43" s="1470"/>
      <c r="X43" s="1470"/>
      <c r="Y43" s="1398"/>
      <c r="Z43" s="511"/>
      <c r="AA43" s="506"/>
      <c r="AB43" s="510">
        <v>43504</v>
      </c>
      <c r="AC43" s="1434"/>
      <c r="AD43" s="506"/>
      <c r="AE43" s="506"/>
    </row>
    <row r="44" spans="1:33" ht="30">
      <c r="A44" s="1443" t="s">
        <v>239</v>
      </c>
      <c r="B44" s="491" t="s">
        <v>239</v>
      </c>
      <c r="C44" s="491" t="s">
        <v>239</v>
      </c>
      <c r="D44" s="1373" t="s">
        <v>2950</v>
      </c>
      <c r="E44" s="491" t="s">
        <v>2434</v>
      </c>
      <c r="F44" s="491" t="s">
        <v>57</v>
      </c>
      <c r="G44" s="571" t="s">
        <v>3510</v>
      </c>
      <c r="H44" s="491">
        <v>10</v>
      </c>
      <c r="I44" s="495" t="s">
        <v>3818</v>
      </c>
      <c r="J44" s="491"/>
      <c r="K44" s="491" t="s">
        <v>2951</v>
      </c>
      <c r="L44" s="491"/>
      <c r="M44" s="536">
        <v>1335000</v>
      </c>
      <c r="N44" s="491" t="s">
        <v>251</v>
      </c>
      <c r="O44" s="537">
        <v>43269</v>
      </c>
      <c r="P44" s="537">
        <v>43315</v>
      </c>
      <c r="Q44" s="537">
        <v>43486</v>
      </c>
      <c r="R44" s="491" t="s">
        <v>3191</v>
      </c>
      <c r="S44" s="495"/>
      <c r="T44" s="536">
        <v>1320000</v>
      </c>
      <c r="U44" s="536">
        <v>1518000</v>
      </c>
      <c r="V44" s="1471"/>
      <c r="W44" s="1471"/>
      <c r="X44" s="1471"/>
      <c r="Y44" s="573">
        <v>43486</v>
      </c>
      <c r="Z44" s="1375" t="s">
        <v>3863</v>
      </c>
      <c r="AA44" s="537">
        <v>43504</v>
      </c>
      <c r="AB44" s="537">
        <v>43504</v>
      </c>
      <c r="AC44" s="1401">
        <v>44050</v>
      </c>
      <c r="AD44" s="852" t="s">
        <v>6603</v>
      </c>
      <c r="AE44" s="1964">
        <v>44285</v>
      </c>
      <c r="AF44" s="374"/>
      <c r="AG44" s="374"/>
    </row>
    <row r="45" spans="1:33" ht="30">
      <c r="A45" s="1443" t="s">
        <v>239</v>
      </c>
      <c r="B45" s="491" t="s">
        <v>239</v>
      </c>
      <c r="C45" s="491" t="s">
        <v>239</v>
      </c>
      <c r="D45" s="1373" t="s">
        <v>2950</v>
      </c>
      <c r="E45" s="491" t="s">
        <v>2434</v>
      </c>
      <c r="F45" s="491" t="s">
        <v>57</v>
      </c>
      <c r="G45" s="571" t="s">
        <v>3510</v>
      </c>
      <c r="H45" s="491">
        <v>11</v>
      </c>
      <c r="I45" s="495" t="s">
        <v>3819</v>
      </c>
      <c r="J45" s="491"/>
      <c r="K45" s="491" t="s">
        <v>2951</v>
      </c>
      <c r="L45" s="491"/>
      <c r="M45" s="536">
        <v>920000</v>
      </c>
      <c r="N45" s="491" t="s">
        <v>251</v>
      </c>
      <c r="O45" s="537">
        <v>43269</v>
      </c>
      <c r="P45" s="537">
        <v>43315</v>
      </c>
      <c r="Q45" s="537">
        <v>43388</v>
      </c>
      <c r="R45" s="491" t="s">
        <v>3153</v>
      </c>
      <c r="S45" s="495"/>
      <c r="T45" s="536">
        <v>904000</v>
      </c>
      <c r="U45" s="536">
        <v>1039600</v>
      </c>
      <c r="V45" s="1471"/>
      <c r="W45" s="1471"/>
      <c r="X45" s="1471"/>
      <c r="Y45" s="573">
        <v>43389</v>
      </c>
      <c r="Z45" s="1375" t="s">
        <v>3860</v>
      </c>
      <c r="AA45" s="537">
        <v>43500</v>
      </c>
      <c r="AB45" s="537">
        <v>43504</v>
      </c>
      <c r="AC45" s="1401">
        <v>44046</v>
      </c>
      <c r="AD45" s="852" t="s">
        <v>6603</v>
      </c>
      <c r="AE45" s="1373" t="s">
        <v>8483</v>
      </c>
      <c r="AF45" s="374"/>
      <c r="AG45" s="374"/>
    </row>
    <row r="46" spans="1:33" ht="30.75" thickBot="1">
      <c r="A46" s="1444" t="s">
        <v>239</v>
      </c>
      <c r="B46" s="411" t="s">
        <v>239</v>
      </c>
      <c r="C46" s="411" t="s">
        <v>239</v>
      </c>
      <c r="D46" s="1377" t="s">
        <v>2950</v>
      </c>
      <c r="E46" s="1376" t="s">
        <v>2434</v>
      </c>
      <c r="F46" s="1376" t="s">
        <v>57</v>
      </c>
      <c r="G46" s="1378" t="s">
        <v>3510</v>
      </c>
      <c r="H46" s="1376">
        <v>13</v>
      </c>
      <c r="I46" s="1421" t="s">
        <v>3820</v>
      </c>
      <c r="J46" s="1376"/>
      <c r="K46" s="1376" t="s">
        <v>2951</v>
      </c>
      <c r="L46" s="1376"/>
      <c r="M46" s="1379">
        <v>243000</v>
      </c>
      <c r="N46" s="1376" t="s">
        <v>251</v>
      </c>
      <c r="O46" s="1380">
        <v>43269</v>
      </c>
      <c r="P46" s="1380">
        <v>43315</v>
      </c>
      <c r="Q46" s="1380">
        <v>43388</v>
      </c>
      <c r="R46" s="1376" t="s">
        <v>3192</v>
      </c>
      <c r="S46" s="1421"/>
      <c r="T46" s="1379">
        <v>172740.4</v>
      </c>
      <c r="U46" s="1379">
        <v>198651.46</v>
      </c>
      <c r="V46" s="1475"/>
      <c r="W46" s="1475"/>
      <c r="X46" s="1475"/>
      <c r="Y46" s="1388">
        <v>43389</v>
      </c>
      <c r="Z46" s="1389" t="s">
        <v>3861</v>
      </c>
      <c r="AA46" s="1380">
        <v>43500</v>
      </c>
      <c r="AB46" s="1380">
        <v>43504</v>
      </c>
      <c r="AC46" s="1416">
        <v>44046</v>
      </c>
      <c r="AD46" s="1530" t="s">
        <v>6603</v>
      </c>
      <c r="AE46" s="1373" t="s">
        <v>8483</v>
      </c>
      <c r="AF46" s="374"/>
      <c r="AG46" s="374"/>
    </row>
    <row r="47" spans="1:33" ht="15.75" thickTop="1">
      <c r="A47" s="1445" t="s">
        <v>239</v>
      </c>
      <c r="B47" s="425" t="s">
        <v>239</v>
      </c>
      <c r="C47" s="439" t="s">
        <v>239</v>
      </c>
      <c r="D47" s="1515" t="s">
        <v>2965</v>
      </c>
      <c r="E47" s="466" t="s">
        <v>2111</v>
      </c>
      <c r="F47" s="466" t="s">
        <v>1215</v>
      </c>
      <c r="G47" s="467" t="s">
        <v>2966</v>
      </c>
      <c r="H47" s="466"/>
      <c r="I47" s="654"/>
      <c r="J47" s="466"/>
      <c r="K47" s="466" t="s">
        <v>2967</v>
      </c>
      <c r="L47" s="466"/>
      <c r="M47" s="472">
        <v>12000000</v>
      </c>
      <c r="N47" s="466" t="s">
        <v>251</v>
      </c>
      <c r="O47" s="470">
        <v>43270</v>
      </c>
      <c r="P47" s="470">
        <v>43348</v>
      </c>
      <c r="Q47" s="470"/>
      <c r="R47" s="1171" t="s">
        <v>4964</v>
      </c>
      <c r="S47" s="1724" t="s">
        <v>4711</v>
      </c>
      <c r="T47" s="472"/>
      <c r="U47" s="472"/>
      <c r="V47" s="1516"/>
      <c r="W47" s="1516"/>
      <c r="X47" s="1516"/>
      <c r="Y47" s="472"/>
      <c r="Z47" s="472"/>
      <c r="AA47" s="466"/>
      <c r="AB47" s="470">
        <v>43637</v>
      </c>
      <c r="AC47" s="466"/>
      <c r="AD47" s="466"/>
      <c r="AE47" s="506"/>
    </row>
    <row r="48" spans="1:33" ht="15.75" thickBot="1">
      <c r="A48" s="1454" t="s">
        <v>239</v>
      </c>
      <c r="B48" s="1376" t="s">
        <v>239</v>
      </c>
      <c r="C48" s="1376" t="s">
        <v>239</v>
      </c>
      <c r="D48" s="1373" t="s">
        <v>3022</v>
      </c>
      <c r="E48" s="491" t="s">
        <v>1032</v>
      </c>
      <c r="F48" s="491" t="s">
        <v>1033</v>
      </c>
      <c r="G48" s="571" t="s">
        <v>3023</v>
      </c>
      <c r="H48" s="491"/>
      <c r="I48" s="495"/>
      <c r="J48" s="491"/>
      <c r="K48" s="491" t="s">
        <v>3024</v>
      </c>
      <c r="L48" s="491"/>
      <c r="M48" s="536">
        <v>3000000</v>
      </c>
      <c r="N48" s="491" t="s">
        <v>216</v>
      </c>
      <c r="O48" s="537">
        <v>43382</v>
      </c>
      <c r="P48" s="537">
        <v>43403</v>
      </c>
      <c r="Q48" s="537">
        <v>43439</v>
      </c>
      <c r="R48" s="491" t="s">
        <v>3378</v>
      </c>
      <c r="S48" s="495"/>
      <c r="T48" s="536">
        <v>1899072</v>
      </c>
      <c r="U48" s="536">
        <v>1899072</v>
      </c>
      <c r="V48" s="1471"/>
      <c r="W48" s="1471"/>
      <c r="X48" s="1471"/>
      <c r="Y48" s="573">
        <v>43439</v>
      </c>
      <c r="Z48" s="536" t="s">
        <v>3885</v>
      </c>
      <c r="AA48" s="537">
        <v>43502</v>
      </c>
      <c r="AB48" s="537">
        <v>43504</v>
      </c>
      <c r="AC48" s="537">
        <v>44597</v>
      </c>
      <c r="AD48" s="537">
        <v>43843</v>
      </c>
      <c r="AE48" s="1525">
        <v>44684</v>
      </c>
    </row>
    <row r="49" spans="1:33" ht="30.75" thickTop="1">
      <c r="A49" s="1448" t="s">
        <v>239</v>
      </c>
      <c r="B49" s="423" t="s">
        <v>239</v>
      </c>
      <c r="C49" s="1570" t="s">
        <v>239</v>
      </c>
      <c r="D49" s="1383" t="s">
        <v>3041</v>
      </c>
      <c r="E49" s="453" t="s">
        <v>2434</v>
      </c>
      <c r="F49" s="453" t="s">
        <v>751</v>
      </c>
      <c r="G49" s="473" t="s">
        <v>3514</v>
      </c>
      <c r="H49" s="453">
        <v>1</v>
      </c>
      <c r="I49" s="1420" t="s">
        <v>3821</v>
      </c>
      <c r="J49" s="453"/>
      <c r="K49" s="453" t="s">
        <v>3045</v>
      </c>
      <c r="L49" s="453"/>
      <c r="M49" s="457">
        <v>19664900</v>
      </c>
      <c r="N49" s="453" t="s">
        <v>251</v>
      </c>
      <c r="O49" s="474">
        <v>43376</v>
      </c>
      <c r="P49" s="474">
        <v>43448</v>
      </c>
      <c r="Q49" s="474">
        <v>43503</v>
      </c>
      <c r="R49" s="453" t="s">
        <v>3478</v>
      </c>
      <c r="S49" s="1420"/>
      <c r="T49" s="457">
        <v>19664619.829999998</v>
      </c>
      <c r="U49" s="457">
        <f t="shared" ref="U49:U59" si="0">T49*1.21</f>
        <v>23794189.994299997</v>
      </c>
      <c r="V49" s="1474"/>
      <c r="W49" s="1474"/>
      <c r="X49" s="1474"/>
      <c r="Y49" s="570">
        <v>43509</v>
      </c>
      <c r="Z49" s="1387" t="s">
        <v>3917</v>
      </c>
      <c r="AA49" s="474">
        <v>43552</v>
      </c>
      <c r="AB49" s="474">
        <v>43565</v>
      </c>
      <c r="AC49" s="1400">
        <v>44101</v>
      </c>
      <c r="AD49" s="575">
        <v>43929</v>
      </c>
      <c r="AE49" s="1964">
        <v>44285</v>
      </c>
      <c r="AF49" s="374"/>
      <c r="AG49" s="374"/>
    </row>
    <row r="50" spans="1:33" ht="30">
      <c r="A50" s="1446" t="s">
        <v>239</v>
      </c>
      <c r="B50" s="540" t="s">
        <v>239</v>
      </c>
      <c r="C50" s="491" t="s">
        <v>239</v>
      </c>
      <c r="D50" s="1373" t="s">
        <v>3041</v>
      </c>
      <c r="E50" s="491" t="s">
        <v>2434</v>
      </c>
      <c r="F50" s="491" t="s">
        <v>751</v>
      </c>
      <c r="G50" s="571" t="s">
        <v>3514</v>
      </c>
      <c r="H50" s="491">
        <v>2</v>
      </c>
      <c r="I50" s="495" t="s">
        <v>3822</v>
      </c>
      <c r="J50" s="491"/>
      <c r="K50" s="491" t="s">
        <v>3045</v>
      </c>
      <c r="L50" s="491"/>
      <c r="M50" s="536">
        <v>3197500</v>
      </c>
      <c r="N50" s="491" t="s">
        <v>251</v>
      </c>
      <c r="O50" s="537">
        <v>43376</v>
      </c>
      <c r="P50" s="537">
        <v>43448</v>
      </c>
      <c r="Q50" s="537">
        <v>43503</v>
      </c>
      <c r="R50" s="491" t="s">
        <v>3179</v>
      </c>
      <c r="S50" s="495"/>
      <c r="T50" s="536">
        <v>3115500</v>
      </c>
      <c r="U50" s="536">
        <f t="shared" si="0"/>
        <v>3769755</v>
      </c>
      <c r="V50" s="1471"/>
      <c r="W50" s="1471"/>
      <c r="X50" s="1471"/>
      <c r="Y50" s="573">
        <v>43509</v>
      </c>
      <c r="Z50" s="1375" t="s">
        <v>3918</v>
      </c>
      <c r="AA50" s="537">
        <v>43549</v>
      </c>
      <c r="AB50" s="537">
        <v>43565</v>
      </c>
      <c r="AC50" s="1401">
        <v>44098</v>
      </c>
      <c r="AD50" s="852">
        <v>43929</v>
      </c>
      <c r="AE50" s="1964">
        <v>44285</v>
      </c>
      <c r="AF50" s="374"/>
      <c r="AG50" s="374"/>
    </row>
    <row r="51" spans="1:33" ht="30">
      <c r="A51" s="1446" t="s">
        <v>239</v>
      </c>
      <c r="B51" s="540" t="s">
        <v>239</v>
      </c>
      <c r="C51" s="491" t="s">
        <v>239</v>
      </c>
      <c r="D51" s="1373" t="s">
        <v>3041</v>
      </c>
      <c r="E51" s="491" t="s">
        <v>2434</v>
      </c>
      <c r="F51" s="491" t="s">
        <v>751</v>
      </c>
      <c r="G51" s="571" t="s">
        <v>3514</v>
      </c>
      <c r="H51" s="491">
        <v>4</v>
      </c>
      <c r="I51" s="495" t="s">
        <v>3823</v>
      </c>
      <c r="J51" s="491"/>
      <c r="K51" s="491" t="s">
        <v>3045</v>
      </c>
      <c r="L51" s="491"/>
      <c r="M51" s="536">
        <v>600000</v>
      </c>
      <c r="N51" s="491" t="s">
        <v>251</v>
      </c>
      <c r="O51" s="537">
        <v>43376</v>
      </c>
      <c r="P51" s="537">
        <v>43448</v>
      </c>
      <c r="Q51" s="537">
        <v>43503</v>
      </c>
      <c r="R51" s="491" t="s">
        <v>3179</v>
      </c>
      <c r="S51" s="495"/>
      <c r="T51" s="536">
        <v>600000</v>
      </c>
      <c r="U51" s="536">
        <f t="shared" si="0"/>
        <v>726000</v>
      </c>
      <c r="V51" s="1471"/>
      <c r="W51" s="1471"/>
      <c r="X51" s="1471"/>
      <c r="Y51" s="573">
        <v>43509</v>
      </c>
      <c r="Z51" s="1375" t="s">
        <v>3919</v>
      </c>
      <c r="AA51" s="537">
        <v>43549</v>
      </c>
      <c r="AB51" s="537">
        <v>43565</v>
      </c>
      <c r="AC51" s="1401">
        <v>44098</v>
      </c>
      <c r="AD51" s="852">
        <v>43929</v>
      </c>
      <c r="AE51" s="1964">
        <v>44285</v>
      </c>
      <c r="AF51" s="374"/>
      <c r="AG51" s="374"/>
    </row>
    <row r="52" spans="1:33" ht="30">
      <c r="A52" s="1446" t="s">
        <v>239</v>
      </c>
      <c r="B52" s="540" t="s">
        <v>239</v>
      </c>
      <c r="C52" s="491" t="s">
        <v>239</v>
      </c>
      <c r="D52" s="1373" t="s">
        <v>3041</v>
      </c>
      <c r="E52" s="491" t="s">
        <v>2434</v>
      </c>
      <c r="F52" s="491" t="s">
        <v>751</v>
      </c>
      <c r="G52" s="571" t="s">
        <v>3514</v>
      </c>
      <c r="H52" s="491">
        <v>5</v>
      </c>
      <c r="I52" s="495" t="s">
        <v>3824</v>
      </c>
      <c r="J52" s="491"/>
      <c r="K52" s="491" t="s">
        <v>3045</v>
      </c>
      <c r="L52" s="491"/>
      <c r="M52" s="536">
        <v>3479000</v>
      </c>
      <c r="N52" s="491" t="s">
        <v>251</v>
      </c>
      <c r="O52" s="537">
        <v>43376</v>
      </c>
      <c r="P52" s="537">
        <v>43448</v>
      </c>
      <c r="Q52" s="537">
        <v>43503</v>
      </c>
      <c r="R52" s="491" t="s">
        <v>2776</v>
      </c>
      <c r="S52" s="495"/>
      <c r="T52" s="536">
        <v>3478512.4</v>
      </c>
      <c r="U52" s="536">
        <f t="shared" si="0"/>
        <v>4209000.0039999997</v>
      </c>
      <c r="V52" s="1471"/>
      <c r="W52" s="1471"/>
      <c r="X52" s="1471"/>
      <c r="Y52" s="573">
        <v>43509</v>
      </c>
      <c r="Z52" s="1375" t="s">
        <v>3920</v>
      </c>
      <c r="AA52" s="537">
        <v>43549</v>
      </c>
      <c r="AB52" s="537">
        <v>43565</v>
      </c>
      <c r="AC52" s="1401">
        <v>44098</v>
      </c>
      <c r="AD52" s="852">
        <v>43929</v>
      </c>
      <c r="AE52" s="1964">
        <v>44285</v>
      </c>
      <c r="AF52" s="374"/>
      <c r="AG52" s="374"/>
    </row>
    <row r="53" spans="1:33" ht="30">
      <c r="A53" s="1446" t="s">
        <v>239</v>
      </c>
      <c r="B53" s="540" t="s">
        <v>239</v>
      </c>
      <c r="C53" s="491" t="s">
        <v>239</v>
      </c>
      <c r="D53" s="1373" t="s">
        <v>3041</v>
      </c>
      <c r="E53" s="491" t="s">
        <v>2434</v>
      </c>
      <c r="F53" s="491" t="s">
        <v>751</v>
      </c>
      <c r="G53" s="571" t="s">
        <v>3514</v>
      </c>
      <c r="H53" s="491">
        <v>6</v>
      </c>
      <c r="I53" s="495" t="s">
        <v>3825</v>
      </c>
      <c r="J53" s="491"/>
      <c r="K53" s="491" t="s">
        <v>3045</v>
      </c>
      <c r="L53" s="491"/>
      <c r="M53" s="536">
        <v>654000</v>
      </c>
      <c r="N53" s="491" t="s">
        <v>251</v>
      </c>
      <c r="O53" s="537">
        <v>43376</v>
      </c>
      <c r="P53" s="537">
        <v>43448</v>
      </c>
      <c r="Q53" s="537">
        <v>43503</v>
      </c>
      <c r="R53" s="491" t="s">
        <v>3179</v>
      </c>
      <c r="S53" s="495"/>
      <c r="T53" s="536">
        <v>654000</v>
      </c>
      <c r="U53" s="536">
        <f t="shared" si="0"/>
        <v>791340</v>
      </c>
      <c r="V53" s="1471"/>
      <c r="W53" s="1471"/>
      <c r="X53" s="1471"/>
      <c r="Y53" s="573">
        <v>43509</v>
      </c>
      <c r="Z53" s="1375" t="s">
        <v>3921</v>
      </c>
      <c r="AA53" s="537">
        <v>43549</v>
      </c>
      <c r="AB53" s="537">
        <v>43565</v>
      </c>
      <c r="AC53" s="1401">
        <v>44098</v>
      </c>
      <c r="AD53" s="852">
        <v>43929</v>
      </c>
      <c r="AE53" s="1964">
        <v>44285</v>
      </c>
      <c r="AF53" s="374"/>
      <c r="AG53" s="374"/>
    </row>
    <row r="54" spans="1:33" ht="30">
      <c r="A54" s="1446" t="s">
        <v>239</v>
      </c>
      <c r="B54" s="540" t="s">
        <v>239</v>
      </c>
      <c r="C54" s="491" t="s">
        <v>239</v>
      </c>
      <c r="D54" s="1373" t="s">
        <v>3041</v>
      </c>
      <c r="E54" s="491" t="s">
        <v>2434</v>
      </c>
      <c r="F54" s="491" t="s">
        <v>751</v>
      </c>
      <c r="G54" s="571" t="s">
        <v>3514</v>
      </c>
      <c r="H54" s="491">
        <v>7</v>
      </c>
      <c r="I54" s="495" t="s">
        <v>3826</v>
      </c>
      <c r="J54" s="491"/>
      <c r="K54" s="491" t="s">
        <v>3045</v>
      </c>
      <c r="L54" s="491"/>
      <c r="M54" s="536">
        <v>677000</v>
      </c>
      <c r="N54" s="491" t="s">
        <v>251</v>
      </c>
      <c r="O54" s="537">
        <v>43376</v>
      </c>
      <c r="P54" s="537">
        <v>43448</v>
      </c>
      <c r="Q54" s="537">
        <v>43503</v>
      </c>
      <c r="R54" s="491" t="s">
        <v>2776</v>
      </c>
      <c r="S54" s="495"/>
      <c r="T54" s="536">
        <v>676644.63</v>
      </c>
      <c r="U54" s="536">
        <f t="shared" si="0"/>
        <v>818740.00229999993</v>
      </c>
      <c r="V54" s="1471"/>
      <c r="W54" s="1471"/>
      <c r="X54" s="1471"/>
      <c r="Y54" s="573">
        <v>43509</v>
      </c>
      <c r="Z54" s="1375" t="s">
        <v>3922</v>
      </c>
      <c r="AA54" s="537">
        <v>43552</v>
      </c>
      <c r="AB54" s="537">
        <v>43565</v>
      </c>
      <c r="AC54" s="1401">
        <v>44101</v>
      </c>
      <c r="AD54" s="852">
        <v>43929</v>
      </c>
      <c r="AE54" s="1964">
        <v>44285</v>
      </c>
      <c r="AF54" s="374"/>
      <c r="AG54" s="374"/>
    </row>
    <row r="55" spans="1:33" ht="30">
      <c r="A55" s="1446" t="s">
        <v>239</v>
      </c>
      <c r="B55" s="540" t="s">
        <v>239</v>
      </c>
      <c r="C55" s="491" t="s">
        <v>239</v>
      </c>
      <c r="D55" s="1373" t="s">
        <v>3041</v>
      </c>
      <c r="E55" s="491" t="s">
        <v>2434</v>
      </c>
      <c r="F55" s="491" t="s">
        <v>751</v>
      </c>
      <c r="G55" s="571" t="s">
        <v>3514</v>
      </c>
      <c r="H55" s="491">
        <v>8</v>
      </c>
      <c r="I55" s="495" t="s">
        <v>3827</v>
      </c>
      <c r="J55" s="491"/>
      <c r="K55" s="491" t="s">
        <v>3045</v>
      </c>
      <c r="L55" s="491"/>
      <c r="M55" s="536">
        <v>14126200</v>
      </c>
      <c r="N55" s="491" t="s">
        <v>251</v>
      </c>
      <c r="O55" s="537">
        <v>43376</v>
      </c>
      <c r="P55" s="537">
        <v>43448</v>
      </c>
      <c r="Q55" s="537">
        <v>43503</v>
      </c>
      <c r="R55" s="491" t="s">
        <v>2776</v>
      </c>
      <c r="S55" s="495"/>
      <c r="T55" s="536">
        <v>14126033.060000001</v>
      </c>
      <c r="U55" s="536">
        <f t="shared" si="0"/>
        <v>17092500.002599999</v>
      </c>
      <c r="V55" s="1471"/>
      <c r="W55" s="1471"/>
      <c r="X55" s="1471"/>
      <c r="Y55" s="573">
        <v>43509</v>
      </c>
      <c r="Z55" s="1375" t="s">
        <v>3923</v>
      </c>
      <c r="AA55" s="537">
        <v>43552</v>
      </c>
      <c r="AB55" s="537">
        <v>43565</v>
      </c>
      <c r="AC55" s="1401">
        <v>44101</v>
      </c>
      <c r="AD55" s="852">
        <v>43929</v>
      </c>
      <c r="AE55" s="1964">
        <v>44285</v>
      </c>
      <c r="AF55" s="374"/>
      <c r="AG55" s="374"/>
    </row>
    <row r="56" spans="1:33" ht="30">
      <c r="A56" s="1446" t="s">
        <v>239</v>
      </c>
      <c r="B56" s="540" t="s">
        <v>239</v>
      </c>
      <c r="C56" s="491" t="s">
        <v>239</v>
      </c>
      <c r="D56" s="1373" t="s">
        <v>3041</v>
      </c>
      <c r="E56" s="491" t="s">
        <v>2434</v>
      </c>
      <c r="F56" s="491" t="s">
        <v>751</v>
      </c>
      <c r="G56" s="571" t="s">
        <v>3514</v>
      </c>
      <c r="H56" s="491">
        <v>9</v>
      </c>
      <c r="I56" s="495" t="s">
        <v>3828</v>
      </c>
      <c r="J56" s="491"/>
      <c r="K56" s="491" t="s">
        <v>3045</v>
      </c>
      <c r="L56" s="491"/>
      <c r="M56" s="536">
        <v>3800000</v>
      </c>
      <c r="N56" s="491" t="s">
        <v>251</v>
      </c>
      <c r="O56" s="537">
        <v>43376</v>
      </c>
      <c r="P56" s="537">
        <v>43448</v>
      </c>
      <c r="Q56" s="537">
        <v>43503</v>
      </c>
      <c r="R56" s="491" t="s">
        <v>2776</v>
      </c>
      <c r="S56" s="495"/>
      <c r="T56" s="536">
        <v>3800000</v>
      </c>
      <c r="U56" s="536">
        <f t="shared" si="0"/>
        <v>4598000</v>
      </c>
      <c r="V56" s="1471"/>
      <c r="W56" s="1471"/>
      <c r="X56" s="1471"/>
      <c r="Y56" s="573">
        <v>43509</v>
      </c>
      <c r="Z56" s="1375" t="s">
        <v>3924</v>
      </c>
      <c r="AA56" s="537">
        <v>43552</v>
      </c>
      <c r="AB56" s="537">
        <v>43565</v>
      </c>
      <c r="AC56" s="1401">
        <v>44101</v>
      </c>
      <c r="AD56" s="852">
        <v>43929</v>
      </c>
      <c r="AE56" s="1964">
        <v>44285</v>
      </c>
      <c r="AF56" s="374"/>
      <c r="AG56" s="374"/>
    </row>
    <row r="57" spans="1:33" ht="30">
      <c r="A57" s="1446" t="s">
        <v>239</v>
      </c>
      <c r="B57" s="540" t="s">
        <v>239</v>
      </c>
      <c r="C57" s="491" t="s">
        <v>239</v>
      </c>
      <c r="D57" s="1373" t="s">
        <v>3041</v>
      </c>
      <c r="E57" s="491" t="s">
        <v>2434</v>
      </c>
      <c r="F57" s="491" t="s">
        <v>751</v>
      </c>
      <c r="G57" s="571" t="s">
        <v>3514</v>
      </c>
      <c r="H57" s="491">
        <v>10</v>
      </c>
      <c r="I57" s="495" t="s">
        <v>3829</v>
      </c>
      <c r="J57" s="491"/>
      <c r="K57" s="491" t="s">
        <v>3045</v>
      </c>
      <c r="L57" s="491"/>
      <c r="M57" s="536">
        <v>5625000</v>
      </c>
      <c r="N57" s="491" t="s">
        <v>251</v>
      </c>
      <c r="O57" s="537">
        <v>43376</v>
      </c>
      <c r="P57" s="537">
        <v>43448</v>
      </c>
      <c r="Q57" s="537">
        <v>43503</v>
      </c>
      <c r="R57" s="491" t="s">
        <v>3478</v>
      </c>
      <c r="S57" s="495"/>
      <c r="T57" s="536">
        <v>5625000</v>
      </c>
      <c r="U57" s="536">
        <f t="shared" si="0"/>
        <v>6806250</v>
      </c>
      <c r="V57" s="1471"/>
      <c r="W57" s="1471"/>
      <c r="X57" s="1471"/>
      <c r="Y57" s="573">
        <v>43509</v>
      </c>
      <c r="Z57" s="1375" t="s">
        <v>3925</v>
      </c>
      <c r="AA57" s="537">
        <v>43552</v>
      </c>
      <c r="AB57" s="537">
        <v>43565</v>
      </c>
      <c r="AC57" s="1401">
        <v>44101</v>
      </c>
      <c r="AD57" s="852">
        <v>43929</v>
      </c>
      <c r="AE57" s="1964">
        <v>44285</v>
      </c>
      <c r="AF57" s="374"/>
      <c r="AG57" s="374"/>
    </row>
    <row r="58" spans="1:33" ht="30">
      <c r="A58" s="1446" t="s">
        <v>239</v>
      </c>
      <c r="B58" s="540" t="s">
        <v>239</v>
      </c>
      <c r="C58" s="491" t="s">
        <v>239</v>
      </c>
      <c r="D58" s="1373" t="s">
        <v>3041</v>
      </c>
      <c r="E58" s="491" t="s">
        <v>2434</v>
      </c>
      <c r="F58" s="491" t="s">
        <v>751</v>
      </c>
      <c r="G58" s="571" t="s">
        <v>3514</v>
      </c>
      <c r="H58" s="491">
        <v>11</v>
      </c>
      <c r="I58" s="495" t="s">
        <v>3830</v>
      </c>
      <c r="J58" s="491"/>
      <c r="K58" s="491" t="s">
        <v>3045</v>
      </c>
      <c r="L58" s="491"/>
      <c r="M58" s="536">
        <v>1875000</v>
      </c>
      <c r="N58" s="491" t="s">
        <v>251</v>
      </c>
      <c r="O58" s="537">
        <v>43376</v>
      </c>
      <c r="P58" s="537">
        <v>43448</v>
      </c>
      <c r="Q58" s="537">
        <v>43503</v>
      </c>
      <c r="R58" s="491" t="s">
        <v>3478</v>
      </c>
      <c r="S58" s="495"/>
      <c r="T58" s="536">
        <v>1875000</v>
      </c>
      <c r="U58" s="536">
        <f t="shared" si="0"/>
        <v>2268750</v>
      </c>
      <c r="V58" s="1471"/>
      <c r="W58" s="1471"/>
      <c r="X58" s="1471"/>
      <c r="Y58" s="573">
        <v>43509</v>
      </c>
      <c r="Z58" s="1375" t="s">
        <v>3926</v>
      </c>
      <c r="AA58" s="537">
        <v>43552</v>
      </c>
      <c r="AB58" s="537">
        <v>43565</v>
      </c>
      <c r="AC58" s="1401">
        <v>44101</v>
      </c>
      <c r="AD58" s="502" t="s">
        <v>6603</v>
      </c>
      <c r="AE58" s="1373" t="s">
        <v>8483</v>
      </c>
      <c r="AF58" s="374"/>
      <c r="AG58" s="374"/>
    </row>
    <row r="59" spans="1:33" ht="30.75" thickBot="1">
      <c r="A59" s="1449" t="s">
        <v>239</v>
      </c>
      <c r="B59" s="406" t="s">
        <v>239</v>
      </c>
      <c r="C59" s="411" t="s">
        <v>239</v>
      </c>
      <c r="D59" s="1373" t="s">
        <v>3041</v>
      </c>
      <c r="E59" s="491" t="s">
        <v>2434</v>
      </c>
      <c r="F59" s="491" t="s">
        <v>751</v>
      </c>
      <c r="G59" s="571" t="s">
        <v>3514</v>
      </c>
      <c r="H59" s="491">
        <v>12</v>
      </c>
      <c r="I59" s="495" t="s">
        <v>3831</v>
      </c>
      <c r="J59" s="491"/>
      <c r="K59" s="491" t="s">
        <v>3045</v>
      </c>
      <c r="L59" s="491"/>
      <c r="M59" s="536">
        <v>1156750</v>
      </c>
      <c r="N59" s="491" t="s">
        <v>251</v>
      </c>
      <c r="O59" s="537">
        <v>43376</v>
      </c>
      <c r="P59" s="537">
        <v>43448</v>
      </c>
      <c r="Q59" s="537">
        <v>43503</v>
      </c>
      <c r="R59" s="491" t="s">
        <v>3478</v>
      </c>
      <c r="S59" s="495"/>
      <c r="T59" s="536">
        <v>1156605.3799999999</v>
      </c>
      <c r="U59" s="536">
        <f t="shared" si="0"/>
        <v>1399492.5097999999</v>
      </c>
      <c r="V59" s="1471"/>
      <c r="W59" s="1471"/>
      <c r="X59" s="1471"/>
      <c r="Y59" s="573">
        <v>43509</v>
      </c>
      <c r="Z59" s="1389" t="s">
        <v>3927</v>
      </c>
      <c r="AA59" s="537">
        <v>43552</v>
      </c>
      <c r="AB59" s="537">
        <v>43565</v>
      </c>
      <c r="AC59" s="1401">
        <v>44101</v>
      </c>
      <c r="AD59" s="852">
        <v>43929</v>
      </c>
      <c r="AE59" s="1964">
        <v>44285</v>
      </c>
      <c r="AF59" s="374"/>
      <c r="AG59" s="374"/>
    </row>
    <row r="60" spans="1:33" ht="30.75" thickTop="1">
      <c r="A60" s="1445" t="s">
        <v>239</v>
      </c>
      <c r="B60" s="425" t="s">
        <v>239</v>
      </c>
      <c r="C60" s="453" t="s">
        <v>239</v>
      </c>
      <c r="D60" s="1383" t="s">
        <v>3072</v>
      </c>
      <c r="E60" s="453" t="s">
        <v>1700</v>
      </c>
      <c r="F60" s="453" t="s">
        <v>6206</v>
      </c>
      <c r="G60" s="473" t="s">
        <v>3511</v>
      </c>
      <c r="H60" s="453">
        <v>1</v>
      </c>
      <c r="I60" s="1420" t="s">
        <v>3832</v>
      </c>
      <c r="J60" s="453"/>
      <c r="K60" s="453" t="s">
        <v>3068</v>
      </c>
      <c r="L60" s="453" t="s">
        <v>3074</v>
      </c>
      <c r="M60" s="457">
        <v>5197355.32</v>
      </c>
      <c r="N60" s="453" t="s">
        <v>251</v>
      </c>
      <c r="O60" s="474">
        <v>43368</v>
      </c>
      <c r="P60" s="474">
        <v>43409</v>
      </c>
      <c r="Q60" s="474">
        <v>43447</v>
      </c>
      <c r="R60" s="453" t="s">
        <v>3174</v>
      </c>
      <c r="S60" s="1420"/>
      <c r="T60" s="457">
        <v>5279580</v>
      </c>
      <c r="U60" s="457">
        <v>6388291.7999999998</v>
      </c>
      <c r="V60" s="1474"/>
      <c r="W60" s="1474"/>
      <c r="X60" s="1474"/>
      <c r="Y60" s="570">
        <v>43448</v>
      </c>
      <c r="Z60" s="1387" t="s">
        <v>3545</v>
      </c>
      <c r="AA60" s="474">
        <v>43522</v>
      </c>
      <c r="AB60" s="474">
        <v>43524</v>
      </c>
      <c r="AC60" s="1400">
        <v>43592</v>
      </c>
      <c r="AD60" s="575">
        <v>43668</v>
      </c>
      <c r="AE60" s="1399" t="s">
        <v>1875</v>
      </c>
      <c r="AF60" s="374"/>
      <c r="AG60" s="374"/>
    </row>
    <row r="61" spans="1:33" ht="30.75" thickBot="1">
      <c r="A61" s="1447" t="s">
        <v>239</v>
      </c>
      <c r="B61" s="1355" t="s">
        <v>239</v>
      </c>
      <c r="C61" s="1376" t="s">
        <v>239</v>
      </c>
      <c r="D61" s="1377" t="s">
        <v>3072</v>
      </c>
      <c r="E61" s="1376" t="s">
        <v>1700</v>
      </c>
      <c r="F61" s="1376" t="s">
        <v>6206</v>
      </c>
      <c r="G61" s="1378" t="s">
        <v>3511</v>
      </c>
      <c r="H61" s="1376">
        <v>2</v>
      </c>
      <c r="I61" s="1421" t="s">
        <v>3833</v>
      </c>
      <c r="J61" s="1376"/>
      <c r="K61" s="1376" t="s">
        <v>3068</v>
      </c>
      <c r="L61" s="1376" t="s">
        <v>3076</v>
      </c>
      <c r="M61" s="1379">
        <v>3306944.71</v>
      </c>
      <c r="N61" s="1376" t="s">
        <v>251</v>
      </c>
      <c r="O61" s="1380">
        <v>43368</v>
      </c>
      <c r="P61" s="1380">
        <v>43409</v>
      </c>
      <c r="Q61" s="1380">
        <v>43447</v>
      </c>
      <c r="R61" s="1376" t="s">
        <v>3332</v>
      </c>
      <c r="S61" s="1421"/>
      <c r="T61" s="1379">
        <v>2942292</v>
      </c>
      <c r="U61" s="1379">
        <v>3560173.66</v>
      </c>
      <c r="V61" s="1475"/>
      <c r="W61" s="1475"/>
      <c r="X61" s="1475"/>
      <c r="Y61" s="1388">
        <v>43448</v>
      </c>
      <c r="Z61" s="1389" t="s">
        <v>3546</v>
      </c>
      <c r="AA61" s="1380">
        <v>43522</v>
      </c>
      <c r="AB61" s="1380">
        <v>43524</v>
      </c>
      <c r="AC61" s="1416">
        <v>43578</v>
      </c>
      <c r="AD61" s="1530">
        <v>43633</v>
      </c>
      <c r="AE61" s="1399" t="s">
        <v>1875</v>
      </c>
      <c r="AF61" s="374"/>
      <c r="AG61" s="374"/>
    </row>
    <row r="62" spans="1:33" ht="30.75" thickTop="1">
      <c r="A62" s="1448" t="s">
        <v>239</v>
      </c>
      <c r="B62" s="423" t="s">
        <v>239</v>
      </c>
      <c r="C62" s="1570" t="s">
        <v>239</v>
      </c>
      <c r="D62" s="1383" t="s">
        <v>3096</v>
      </c>
      <c r="E62" s="453" t="s">
        <v>1700</v>
      </c>
      <c r="F62" s="453" t="s">
        <v>6206</v>
      </c>
      <c r="G62" s="473" t="s">
        <v>3513</v>
      </c>
      <c r="H62" s="453">
        <v>1</v>
      </c>
      <c r="I62" s="1420" t="s">
        <v>3834</v>
      </c>
      <c r="J62" s="453"/>
      <c r="K62" s="453" t="s">
        <v>86</v>
      </c>
      <c r="L62" s="453" t="s">
        <v>3098</v>
      </c>
      <c r="M62" s="457">
        <v>3399173</v>
      </c>
      <c r="N62" s="453" t="s">
        <v>251</v>
      </c>
      <c r="O62" s="474">
        <v>43413</v>
      </c>
      <c r="P62" s="474">
        <v>43472</v>
      </c>
      <c r="Q62" s="474">
        <v>43503</v>
      </c>
      <c r="R62" s="453" t="s">
        <v>2680</v>
      </c>
      <c r="S62" s="1420"/>
      <c r="T62" s="457">
        <v>3560154</v>
      </c>
      <c r="U62" s="457">
        <f>T62*1.21</f>
        <v>4307786.34</v>
      </c>
      <c r="V62" s="1474"/>
      <c r="W62" s="1474"/>
      <c r="X62" s="1474"/>
      <c r="Y62" s="570">
        <v>43504</v>
      </c>
      <c r="Z62" s="1387" t="s">
        <v>3892</v>
      </c>
      <c r="AA62" s="474">
        <v>43549</v>
      </c>
      <c r="AB62" s="474">
        <v>43551</v>
      </c>
      <c r="AC62" s="1507">
        <f>AA62+70</f>
        <v>43619</v>
      </c>
      <c r="AD62" s="575">
        <v>44244</v>
      </c>
      <c r="AE62" s="1399" t="s">
        <v>1875</v>
      </c>
      <c r="AF62" s="374"/>
      <c r="AG62" s="374"/>
    </row>
    <row r="63" spans="1:33" ht="45">
      <c r="A63" s="1446" t="s">
        <v>239</v>
      </c>
      <c r="B63" s="540" t="s">
        <v>239</v>
      </c>
      <c r="C63" s="491" t="s">
        <v>239</v>
      </c>
      <c r="D63" s="1373" t="s">
        <v>3096</v>
      </c>
      <c r="E63" s="491" t="s">
        <v>1700</v>
      </c>
      <c r="F63" s="491" t="s">
        <v>6206</v>
      </c>
      <c r="G63" s="571" t="s">
        <v>3513</v>
      </c>
      <c r="H63" s="491">
        <v>2</v>
      </c>
      <c r="I63" s="495" t="s">
        <v>3835</v>
      </c>
      <c r="J63" s="491"/>
      <c r="K63" s="491" t="s">
        <v>86</v>
      </c>
      <c r="L63" s="491" t="s">
        <v>3100</v>
      </c>
      <c r="M63" s="536">
        <v>518181</v>
      </c>
      <c r="N63" s="491" t="s">
        <v>251</v>
      </c>
      <c r="O63" s="537">
        <v>43413</v>
      </c>
      <c r="P63" s="537">
        <v>43472</v>
      </c>
      <c r="Q63" s="537">
        <v>43503</v>
      </c>
      <c r="R63" s="491" t="s">
        <v>3184</v>
      </c>
      <c r="S63" s="495"/>
      <c r="T63" s="536">
        <v>671689</v>
      </c>
      <c r="U63" s="536">
        <v>812743.17</v>
      </c>
      <c r="V63" s="1471"/>
      <c r="W63" s="1471"/>
      <c r="X63" s="1471"/>
      <c r="Y63" s="573">
        <v>43504</v>
      </c>
      <c r="Z63" s="1375" t="s">
        <v>3893</v>
      </c>
      <c r="AA63" s="537">
        <v>43549</v>
      </c>
      <c r="AB63" s="537">
        <v>43551</v>
      </c>
      <c r="AC63" s="537">
        <f>AA63+56</f>
        <v>43605</v>
      </c>
      <c r="AD63" s="852">
        <v>43691</v>
      </c>
      <c r="AE63" s="1399" t="s">
        <v>4137</v>
      </c>
      <c r="AF63" s="374"/>
      <c r="AG63" s="374"/>
    </row>
    <row r="64" spans="1:33" ht="30">
      <c r="A64" s="1446" t="s">
        <v>239</v>
      </c>
      <c r="B64" s="540" t="s">
        <v>239</v>
      </c>
      <c r="C64" s="491" t="s">
        <v>239</v>
      </c>
      <c r="D64" s="1373" t="s">
        <v>3096</v>
      </c>
      <c r="E64" s="491" t="s">
        <v>1700</v>
      </c>
      <c r="F64" s="491" t="s">
        <v>6206</v>
      </c>
      <c r="G64" s="571" t="s">
        <v>3513</v>
      </c>
      <c r="H64" s="491">
        <v>3</v>
      </c>
      <c r="I64" s="495" t="s">
        <v>3836</v>
      </c>
      <c r="J64" s="491"/>
      <c r="K64" s="491" t="s">
        <v>86</v>
      </c>
      <c r="L64" s="491" t="s">
        <v>3102</v>
      </c>
      <c r="M64" s="536">
        <v>1882644</v>
      </c>
      <c r="N64" s="491" t="s">
        <v>251</v>
      </c>
      <c r="O64" s="537">
        <v>43413</v>
      </c>
      <c r="P64" s="537">
        <v>43472</v>
      </c>
      <c r="Q64" s="537">
        <v>43503</v>
      </c>
      <c r="R64" s="491" t="s">
        <v>3174</v>
      </c>
      <c r="S64" s="495"/>
      <c r="T64" s="536">
        <v>1132576</v>
      </c>
      <c r="U64" s="536">
        <f>T64*1.21</f>
        <v>1370416.96</v>
      </c>
      <c r="V64" s="1471"/>
      <c r="W64" s="1471"/>
      <c r="X64" s="1471"/>
      <c r="Y64" s="573">
        <v>43507</v>
      </c>
      <c r="Z64" s="1375" t="s">
        <v>3894</v>
      </c>
      <c r="AA64" s="537">
        <v>43549</v>
      </c>
      <c r="AB64" s="537">
        <v>43551</v>
      </c>
      <c r="AC64" s="1401">
        <v>43619</v>
      </c>
      <c r="AD64" s="852">
        <v>43647</v>
      </c>
      <c r="AE64" s="1399" t="s">
        <v>1875</v>
      </c>
      <c r="AF64" s="374"/>
      <c r="AG64" s="374"/>
    </row>
    <row r="65" spans="1:34" ht="30.75" thickBot="1">
      <c r="A65" s="1449" t="s">
        <v>239</v>
      </c>
      <c r="B65" s="406" t="s">
        <v>239</v>
      </c>
      <c r="C65" s="411" t="s">
        <v>239</v>
      </c>
      <c r="D65" s="1377" t="s">
        <v>3096</v>
      </c>
      <c r="E65" s="1376" t="s">
        <v>1700</v>
      </c>
      <c r="F65" s="1376" t="s">
        <v>6206</v>
      </c>
      <c r="G65" s="1378" t="s">
        <v>3513</v>
      </c>
      <c r="H65" s="1376">
        <v>4</v>
      </c>
      <c r="I65" s="1421" t="s">
        <v>3837</v>
      </c>
      <c r="J65" s="1376"/>
      <c r="K65" s="1376" t="s">
        <v>86</v>
      </c>
      <c r="L65" s="1376" t="s">
        <v>3098</v>
      </c>
      <c r="M65" s="1379">
        <v>2757850</v>
      </c>
      <c r="N65" s="1376" t="s">
        <v>251</v>
      </c>
      <c r="O65" s="1380">
        <v>43413</v>
      </c>
      <c r="P65" s="1380">
        <v>43472</v>
      </c>
      <c r="Q65" s="1380">
        <v>43503</v>
      </c>
      <c r="R65" s="1376" t="s">
        <v>3174</v>
      </c>
      <c r="S65" s="1421"/>
      <c r="T65" s="1379">
        <v>2736480</v>
      </c>
      <c r="U65" s="1379">
        <f>T65*1.21</f>
        <v>3311140.8</v>
      </c>
      <c r="V65" s="1475"/>
      <c r="W65" s="1475"/>
      <c r="X65" s="1475"/>
      <c r="Y65" s="1388">
        <v>43507</v>
      </c>
      <c r="Z65" s="1389" t="s">
        <v>3895</v>
      </c>
      <c r="AA65" s="1380">
        <v>43549</v>
      </c>
      <c r="AB65" s="1380">
        <v>43551</v>
      </c>
      <c r="AC65" s="1416">
        <v>43619</v>
      </c>
      <c r="AD65" s="1530">
        <v>43647</v>
      </c>
      <c r="AE65" s="1399" t="s">
        <v>1875</v>
      </c>
      <c r="AF65" s="374"/>
      <c r="AG65" s="374"/>
    </row>
    <row r="66" spans="1:34" ht="15.75" thickTop="1">
      <c r="A66" s="1445" t="s">
        <v>239</v>
      </c>
      <c r="B66" s="425" t="s">
        <v>239</v>
      </c>
      <c r="C66" s="453" t="s">
        <v>239</v>
      </c>
      <c r="D66" s="1383" t="s">
        <v>3103</v>
      </c>
      <c r="E66" s="453" t="s">
        <v>69</v>
      </c>
      <c r="F66" s="453" t="s">
        <v>70</v>
      </c>
      <c r="G66" s="473" t="s">
        <v>3515</v>
      </c>
      <c r="H66" s="453">
        <v>1</v>
      </c>
      <c r="I66" s="1420" t="s">
        <v>3732</v>
      </c>
      <c r="J66" s="453" t="s">
        <v>3735</v>
      </c>
      <c r="K66" s="453" t="s">
        <v>1537</v>
      </c>
      <c r="L66" s="453"/>
      <c r="M66" s="457">
        <v>1705200</v>
      </c>
      <c r="N66" s="453" t="s">
        <v>251</v>
      </c>
      <c r="O66" s="474">
        <v>43299</v>
      </c>
      <c r="P66" s="474">
        <v>43336</v>
      </c>
      <c r="Q66" s="474">
        <v>43481</v>
      </c>
      <c r="R66" s="453" t="s">
        <v>3287</v>
      </c>
      <c r="S66" s="1420"/>
      <c r="T66" s="457">
        <v>1635600</v>
      </c>
      <c r="U66" s="457">
        <f>T66*1.1</f>
        <v>1799160.0000000002</v>
      </c>
      <c r="V66" s="1474"/>
      <c r="W66" s="1474"/>
      <c r="X66" s="1474"/>
      <c r="Y66" s="570">
        <v>43481</v>
      </c>
      <c r="Z66" s="457" t="s">
        <v>3603</v>
      </c>
      <c r="AA66" s="474">
        <v>43542</v>
      </c>
      <c r="AB66" s="474">
        <v>43549</v>
      </c>
      <c r="AC66" s="1400">
        <v>44272</v>
      </c>
      <c r="AD66" s="575">
        <v>43914</v>
      </c>
      <c r="AE66" s="1964">
        <v>44280</v>
      </c>
      <c r="AF66" s="1560">
        <v>44378</v>
      </c>
      <c r="AG66" s="374"/>
    </row>
    <row r="67" spans="1:34">
      <c r="A67" s="1446" t="s">
        <v>239</v>
      </c>
      <c r="B67" s="540" t="s">
        <v>239</v>
      </c>
      <c r="C67" s="491" t="s">
        <v>239</v>
      </c>
      <c r="D67" s="1373" t="s">
        <v>3103</v>
      </c>
      <c r="E67" s="491" t="s">
        <v>69</v>
      </c>
      <c r="F67" s="491" t="s">
        <v>70</v>
      </c>
      <c r="G67" s="571" t="s">
        <v>3515</v>
      </c>
      <c r="H67" s="491">
        <v>2</v>
      </c>
      <c r="I67" s="495" t="s">
        <v>3733</v>
      </c>
      <c r="J67" s="491" t="s">
        <v>3735</v>
      </c>
      <c r="K67" s="491" t="s">
        <v>1537</v>
      </c>
      <c r="L67" s="491"/>
      <c r="M67" s="536">
        <v>74100</v>
      </c>
      <c r="N67" s="491" t="s">
        <v>251</v>
      </c>
      <c r="O67" s="537">
        <v>43299</v>
      </c>
      <c r="P67" s="537">
        <v>43336</v>
      </c>
      <c r="Q67" s="416">
        <v>43481</v>
      </c>
      <c r="R67" s="411" t="s">
        <v>3288</v>
      </c>
      <c r="S67" s="630"/>
      <c r="T67" s="536">
        <v>74090</v>
      </c>
      <c r="U67" s="536">
        <f>T67*1.1</f>
        <v>81499</v>
      </c>
      <c r="V67" s="1471"/>
      <c r="W67" s="1471"/>
      <c r="X67" s="1471"/>
      <c r="Y67" s="573">
        <v>43481</v>
      </c>
      <c r="Z67" s="536" t="s">
        <v>3604</v>
      </c>
      <c r="AA67" s="537">
        <v>43542</v>
      </c>
      <c r="AB67" s="537">
        <v>43549</v>
      </c>
      <c r="AC67" s="1401">
        <v>44272</v>
      </c>
      <c r="AD67" s="852">
        <v>43914</v>
      </c>
      <c r="AE67" s="1964">
        <v>44280</v>
      </c>
      <c r="AF67" s="1560">
        <v>44378</v>
      </c>
      <c r="AG67" s="374"/>
    </row>
    <row r="68" spans="1:34" ht="15.75" thickBot="1">
      <c r="A68" s="1447" t="s">
        <v>239</v>
      </c>
      <c r="B68" s="1355" t="s">
        <v>239</v>
      </c>
      <c r="C68" s="1376" t="s">
        <v>239</v>
      </c>
      <c r="D68" s="1377" t="s">
        <v>3103</v>
      </c>
      <c r="E68" s="1376" t="s">
        <v>69</v>
      </c>
      <c r="F68" s="1376" t="s">
        <v>70</v>
      </c>
      <c r="G68" s="1378" t="s">
        <v>3515</v>
      </c>
      <c r="H68" s="1376">
        <v>3</v>
      </c>
      <c r="I68" s="1421" t="s">
        <v>3734</v>
      </c>
      <c r="J68" s="1376" t="s">
        <v>3735</v>
      </c>
      <c r="K68" s="1376" t="s">
        <v>1537</v>
      </c>
      <c r="L68" s="1376"/>
      <c r="M68" s="1379">
        <v>2302873</v>
      </c>
      <c r="N68" s="1376" t="s">
        <v>251</v>
      </c>
      <c r="O68" s="1380">
        <v>43299</v>
      </c>
      <c r="P68" s="1380">
        <v>43336</v>
      </c>
      <c r="Q68" s="1380">
        <v>43481</v>
      </c>
      <c r="R68" s="1376" t="s">
        <v>2518</v>
      </c>
      <c r="S68" s="1421"/>
      <c r="T68" s="1379">
        <v>2302872.08</v>
      </c>
      <c r="U68" s="1379">
        <f>T68*1.1</f>
        <v>2533159.2880000002</v>
      </c>
      <c r="V68" s="1475"/>
      <c r="W68" s="1475"/>
      <c r="X68" s="1475"/>
      <c r="Y68" s="1388">
        <v>43481</v>
      </c>
      <c r="Z68" s="1379" t="s">
        <v>3605</v>
      </c>
      <c r="AA68" s="1380">
        <v>43542</v>
      </c>
      <c r="AB68" s="1380">
        <v>43549</v>
      </c>
      <c r="AC68" s="1416">
        <v>44272</v>
      </c>
      <c r="AD68" s="1530">
        <v>43914</v>
      </c>
      <c r="AE68" s="1964">
        <v>44280</v>
      </c>
      <c r="AF68" s="1560">
        <v>44378</v>
      </c>
      <c r="AG68" s="374"/>
    </row>
    <row r="69" spans="1:34" ht="30.75" thickTop="1">
      <c r="A69" s="1451" t="s">
        <v>239</v>
      </c>
      <c r="B69" s="1570" t="s">
        <v>239</v>
      </c>
      <c r="C69" s="1570" t="s">
        <v>239</v>
      </c>
      <c r="D69" s="1383" t="s">
        <v>3115</v>
      </c>
      <c r="E69" s="453" t="s">
        <v>58</v>
      </c>
      <c r="F69" s="453" t="s">
        <v>2684</v>
      </c>
      <c r="G69" s="473" t="s">
        <v>3516</v>
      </c>
      <c r="H69" s="453">
        <v>1</v>
      </c>
      <c r="I69" s="1420" t="s">
        <v>79</v>
      </c>
      <c r="J69" s="453"/>
      <c r="K69" s="453" t="s">
        <v>80</v>
      </c>
      <c r="L69" s="453" t="s">
        <v>3116</v>
      </c>
      <c r="M69" s="457">
        <v>8049586</v>
      </c>
      <c r="N69" s="453" t="s">
        <v>251</v>
      </c>
      <c r="O69" s="474">
        <v>43306</v>
      </c>
      <c r="P69" s="474">
        <v>43388</v>
      </c>
      <c r="Q69" s="474">
        <v>43426</v>
      </c>
      <c r="R69" s="453" t="s">
        <v>3355</v>
      </c>
      <c r="S69" s="1420"/>
      <c r="T69" s="457">
        <v>7125075</v>
      </c>
      <c r="U69" s="457">
        <v>8621340.75</v>
      </c>
      <c r="V69" s="1474"/>
      <c r="W69" s="1474"/>
      <c r="X69" s="1474"/>
      <c r="Y69" s="570">
        <v>43430</v>
      </c>
      <c r="Z69" s="1387" t="s">
        <v>3554</v>
      </c>
      <c r="AA69" s="474">
        <v>43472</v>
      </c>
      <c r="AB69" s="474">
        <v>43474</v>
      </c>
      <c r="AC69" s="474">
        <v>43528</v>
      </c>
      <c r="AD69" s="474">
        <v>43556</v>
      </c>
      <c r="AE69" s="1374" t="s">
        <v>1875</v>
      </c>
      <c r="AF69" s="374"/>
      <c r="AG69" s="374"/>
    </row>
    <row r="70" spans="1:34" ht="30">
      <c r="A70" s="1443" t="s">
        <v>239</v>
      </c>
      <c r="B70" s="491" t="s">
        <v>239</v>
      </c>
      <c r="C70" s="491" t="s">
        <v>239</v>
      </c>
      <c r="D70" s="1373" t="s">
        <v>3115</v>
      </c>
      <c r="E70" s="491" t="s">
        <v>58</v>
      </c>
      <c r="F70" s="491" t="s">
        <v>2684</v>
      </c>
      <c r="G70" s="571" t="s">
        <v>3516</v>
      </c>
      <c r="H70" s="491">
        <v>2</v>
      </c>
      <c r="I70" s="495" t="s">
        <v>3838</v>
      </c>
      <c r="J70" s="491"/>
      <c r="K70" s="491" t="s">
        <v>80</v>
      </c>
      <c r="L70" s="491" t="s">
        <v>3117</v>
      </c>
      <c r="M70" s="536">
        <v>1190082</v>
      </c>
      <c r="N70" s="491" t="s">
        <v>251</v>
      </c>
      <c r="O70" s="537">
        <v>43306</v>
      </c>
      <c r="P70" s="537">
        <v>43388</v>
      </c>
      <c r="Q70" s="537">
        <v>43426</v>
      </c>
      <c r="R70" s="491" t="s">
        <v>342</v>
      </c>
      <c r="S70" s="495"/>
      <c r="T70" s="536">
        <v>1184500</v>
      </c>
      <c r="U70" s="536">
        <v>1433245</v>
      </c>
      <c r="V70" s="1471"/>
      <c r="W70" s="1471"/>
      <c r="X70" s="1471"/>
      <c r="Y70" s="573">
        <v>43430</v>
      </c>
      <c r="Z70" s="1375" t="s">
        <v>3555</v>
      </c>
      <c r="AA70" s="537">
        <v>43502</v>
      </c>
      <c r="AB70" s="537">
        <v>43502</v>
      </c>
      <c r="AC70" s="537">
        <f>AA70+56</f>
        <v>43558</v>
      </c>
      <c r="AD70" s="537">
        <v>43605</v>
      </c>
      <c r="AE70" s="1374" t="s">
        <v>1875</v>
      </c>
      <c r="AF70" s="374"/>
      <c r="AG70" s="374"/>
    </row>
    <row r="71" spans="1:34" ht="30.75" thickBot="1">
      <c r="A71" s="1444" t="s">
        <v>239</v>
      </c>
      <c r="B71" s="411" t="s">
        <v>239</v>
      </c>
      <c r="C71" s="411" t="s">
        <v>239</v>
      </c>
      <c r="D71" s="1377" t="s">
        <v>3115</v>
      </c>
      <c r="E71" s="1376" t="s">
        <v>58</v>
      </c>
      <c r="F71" s="1376" t="s">
        <v>2684</v>
      </c>
      <c r="G71" s="1378" t="s">
        <v>3516</v>
      </c>
      <c r="H71" s="1376">
        <v>3</v>
      </c>
      <c r="I71" s="1421" t="s">
        <v>3839</v>
      </c>
      <c r="J71" s="1376"/>
      <c r="K71" s="1376" t="s">
        <v>80</v>
      </c>
      <c r="L71" s="1376" t="s">
        <v>3118</v>
      </c>
      <c r="M71" s="1379">
        <v>349256</v>
      </c>
      <c r="N71" s="1376" t="s">
        <v>251</v>
      </c>
      <c r="O71" s="1380">
        <v>43306</v>
      </c>
      <c r="P71" s="1380">
        <v>43388</v>
      </c>
      <c r="Q71" s="1380">
        <v>43426</v>
      </c>
      <c r="R71" s="1376" t="s">
        <v>3356</v>
      </c>
      <c r="S71" s="1421"/>
      <c r="T71" s="1379">
        <v>342828</v>
      </c>
      <c r="U71" s="1379">
        <v>397490.28</v>
      </c>
      <c r="V71" s="1475"/>
      <c r="W71" s="1475"/>
      <c r="X71" s="1475"/>
      <c r="Y71" s="1388">
        <v>43430</v>
      </c>
      <c r="Z71" s="1389" t="s">
        <v>3556</v>
      </c>
      <c r="AA71" s="1380">
        <v>43472</v>
      </c>
      <c r="AB71" s="1380">
        <v>43474</v>
      </c>
      <c r="AC71" s="1380">
        <v>43528</v>
      </c>
      <c r="AD71" s="1380">
        <v>43563</v>
      </c>
      <c r="AE71" s="1374" t="s">
        <v>1875</v>
      </c>
      <c r="AF71" s="374"/>
      <c r="AG71" s="374"/>
    </row>
    <row r="72" spans="1:34" ht="30.75" thickTop="1">
      <c r="A72" s="1452" t="s">
        <v>239</v>
      </c>
      <c r="B72" s="453" t="s">
        <v>239</v>
      </c>
      <c r="C72" s="453" t="s">
        <v>239</v>
      </c>
      <c r="D72" s="1373" t="s">
        <v>3141</v>
      </c>
      <c r="E72" s="491" t="s">
        <v>1700</v>
      </c>
      <c r="F72" s="491" t="s">
        <v>6206</v>
      </c>
      <c r="G72" s="571" t="s">
        <v>3142</v>
      </c>
      <c r="H72" s="491"/>
      <c r="I72" s="495"/>
      <c r="J72" s="491"/>
      <c r="K72" s="491" t="s">
        <v>3143</v>
      </c>
      <c r="L72" s="491" t="s">
        <v>3147</v>
      </c>
      <c r="M72" s="536">
        <v>2152066.1</v>
      </c>
      <c r="N72" s="491" t="s">
        <v>251</v>
      </c>
      <c r="O72" s="537">
        <v>43368</v>
      </c>
      <c r="P72" s="537">
        <v>43404</v>
      </c>
      <c r="Q72" s="537">
        <v>43439</v>
      </c>
      <c r="R72" s="491" t="s">
        <v>3379</v>
      </c>
      <c r="S72" s="495"/>
      <c r="T72" s="536">
        <v>2119510</v>
      </c>
      <c r="U72" s="536">
        <v>2564607.1</v>
      </c>
      <c r="V72" s="1471"/>
      <c r="W72" s="1471"/>
      <c r="X72" s="1471"/>
      <c r="Y72" s="573">
        <v>43441</v>
      </c>
      <c r="Z72" s="1375" t="s">
        <v>3550</v>
      </c>
      <c r="AA72" s="537">
        <v>43476</v>
      </c>
      <c r="AB72" s="537">
        <v>43488</v>
      </c>
      <c r="AC72" s="537">
        <v>43546</v>
      </c>
      <c r="AD72" s="537">
        <v>43605</v>
      </c>
      <c r="AE72" s="1525">
        <v>44039</v>
      </c>
      <c r="AF72" s="374"/>
      <c r="AG72" s="374"/>
    </row>
    <row r="73" spans="1:34" ht="45">
      <c r="A73" s="1443" t="s">
        <v>239</v>
      </c>
      <c r="B73" s="491" t="s">
        <v>239</v>
      </c>
      <c r="C73" s="491" t="s">
        <v>239</v>
      </c>
      <c r="D73" s="1373" t="s">
        <v>3144</v>
      </c>
      <c r="E73" s="491" t="s">
        <v>1700</v>
      </c>
      <c r="F73" s="491" t="s">
        <v>6206</v>
      </c>
      <c r="G73" s="571" t="s">
        <v>3145</v>
      </c>
      <c r="H73" s="491"/>
      <c r="I73" s="495"/>
      <c r="J73" s="491"/>
      <c r="K73" s="491" t="s">
        <v>1294</v>
      </c>
      <c r="L73" s="491" t="s">
        <v>3146</v>
      </c>
      <c r="M73" s="536">
        <v>971000</v>
      </c>
      <c r="N73" s="491" t="s">
        <v>251</v>
      </c>
      <c r="O73" s="537">
        <v>43413</v>
      </c>
      <c r="P73" s="537">
        <v>43446</v>
      </c>
      <c r="Q73" s="537">
        <v>43480</v>
      </c>
      <c r="R73" s="491" t="s">
        <v>3479</v>
      </c>
      <c r="S73" s="495"/>
      <c r="T73" s="536">
        <v>1351100</v>
      </c>
      <c r="U73" s="536">
        <v>1634831</v>
      </c>
      <c r="V73" s="1471"/>
      <c r="W73" s="1471"/>
      <c r="X73" s="1471"/>
      <c r="Y73" s="573">
        <v>43481</v>
      </c>
      <c r="Z73" s="1375" t="s">
        <v>3601</v>
      </c>
      <c r="AA73" s="537">
        <v>43515</v>
      </c>
      <c r="AB73" s="537">
        <v>43517</v>
      </c>
      <c r="AC73" s="537">
        <f>AA73+56</f>
        <v>43571</v>
      </c>
      <c r="AD73" s="537">
        <v>43626</v>
      </c>
      <c r="AE73" s="1374" t="s">
        <v>1875</v>
      </c>
      <c r="AF73" s="374"/>
      <c r="AG73" s="374"/>
    </row>
    <row r="74" spans="1:34">
      <c r="A74" s="1443" t="s">
        <v>239</v>
      </c>
      <c r="B74" s="491" t="s">
        <v>239</v>
      </c>
      <c r="C74" s="491" t="s">
        <v>239</v>
      </c>
      <c r="D74" s="1373" t="s">
        <v>3185</v>
      </c>
      <c r="E74" s="491" t="s">
        <v>69</v>
      </c>
      <c r="F74" s="491" t="s">
        <v>70</v>
      </c>
      <c r="G74" s="571" t="s">
        <v>3186</v>
      </c>
      <c r="H74" s="491">
        <v>1</v>
      </c>
      <c r="I74" s="495" t="s">
        <v>3731</v>
      </c>
      <c r="J74" s="491" t="s">
        <v>3736</v>
      </c>
      <c r="K74" s="491" t="s">
        <v>3187</v>
      </c>
      <c r="L74" s="491"/>
      <c r="M74" s="536">
        <v>1862375</v>
      </c>
      <c r="N74" s="491" t="s">
        <v>112</v>
      </c>
      <c r="O74" s="537">
        <v>43334</v>
      </c>
      <c r="P74" s="537">
        <v>43341</v>
      </c>
      <c r="Q74" s="537">
        <v>43424</v>
      </c>
      <c r="R74" s="491" t="s">
        <v>1646</v>
      </c>
      <c r="S74" s="495"/>
      <c r="T74" s="536">
        <v>1833158.71</v>
      </c>
      <c r="U74" s="536">
        <v>2016474.58</v>
      </c>
      <c r="V74" s="1471"/>
      <c r="W74" s="1471"/>
      <c r="X74" s="1471"/>
      <c r="Y74" s="573">
        <v>43424</v>
      </c>
      <c r="Z74" s="536" t="s">
        <v>3592</v>
      </c>
      <c r="AA74" s="537">
        <v>43479</v>
      </c>
      <c r="AB74" s="537">
        <v>43479</v>
      </c>
      <c r="AC74" s="537">
        <v>43843</v>
      </c>
      <c r="AD74" s="537">
        <v>43914</v>
      </c>
      <c r="AE74" s="537">
        <v>44280</v>
      </c>
      <c r="AF74" s="374"/>
      <c r="AG74" s="374"/>
    </row>
    <row r="75" spans="1:34" ht="30">
      <c r="A75" s="1443" t="s">
        <v>239</v>
      </c>
      <c r="B75" s="491" t="s">
        <v>239</v>
      </c>
      <c r="C75" s="491" t="s">
        <v>239</v>
      </c>
      <c r="D75" s="1373" t="s">
        <v>3203</v>
      </c>
      <c r="E75" s="491" t="s">
        <v>2434</v>
      </c>
      <c r="F75" s="491" t="s">
        <v>3204</v>
      </c>
      <c r="G75" s="571" t="s">
        <v>3205</v>
      </c>
      <c r="H75" s="491"/>
      <c r="I75" s="495"/>
      <c r="J75" s="491"/>
      <c r="K75" s="491" t="s">
        <v>642</v>
      </c>
      <c r="L75" s="491"/>
      <c r="M75" s="536">
        <v>18039200</v>
      </c>
      <c r="N75" s="491" t="s">
        <v>251</v>
      </c>
      <c r="O75" s="537">
        <v>43376</v>
      </c>
      <c r="P75" s="537">
        <v>43409</v>
      </c>
      <c r="Q75" s="537">
        <v>43439</v>
      </c>
      <c r="R75" s="491" t="s">
        <v>2776</v>
      </c>
      <c r="S75" s="495"/>
      <c r="T75" s="536">
        <v>18039000</v>
      </c>
      <c r="U75" s="536">
        <v>20744850</v>
      </c>
      <c r="V75" s="1471"/>
      <c r="W75" s="1471"/>
      <c r="X75" s="1471"/>
      <c r="Y75" s="573">
        <v>43445</v>
      </c>
      <c r="Z75" s="1375" t="s">
        <v>3602</v>
      </c>
      <c r="AA75" s="537">
        <v>43489</v>
      </c>
      <c r="AB75" s="537">
        <v>43490</v>
      </c>
      <c r="AC75" s="537">
        <v>44035</v>
      </c>
      <c r="AD75" s="537">
        <v>43929</v>
      </c>
      <c r="AE75" s="537">
        <v>44285</v>
      </c>
      <c r="AF75" s="374"/>
      <c r="AG75" s="374"/>
    </row>
    <row r="76" spans="1:34" ht="30.75" thickBot="1">
      <c r="A76" s="1454" t="s">
        <v>239</v>
      </c>
      <c r="B76" s="1376" t="s">
        <v>239</v>
      </c>
      <c r="C76" s="411" t="s">
        <v>239</v>
      </c>
      <c r="D76" s="1468" t="s">
        <v>3213</v>
      </c>
      <c r="E76" s="411" t="s">
        <v>2434</v>
      </c>
      <c r="F76" s="411" t="s">
        <v>3204</v>
      </c>
      <c r="G76" s="412" t="s">
        <v>3272</v>
      </c>
      <c r="H76" s="411"/>
      <c r="I76" s="2672"/>
      <c r="J76" s="355"/>
      <c r="K76" s="411" t="s">
        <v>642</v>
      </c>
      <c r="L76" s="411"/>
      <c r="M76" s="417">
        <v>1115405</v>
      </c>
      <c r="N76" s="411" t="s">
        <v>112</v>
      </c>
      <c r="O76" s="416">
        <v>43339</v>
      </c>
      <c r="P76" s="416">
        <v>43357</v>
      </c>
      <c r="Q76" s="416">
        <v>43733</v>
      </c>
      <c r="R76" s="411" t="s">
        <v>1433</v>
      </c>
      <c r="S76" s="630"/>
      <c r="T76" s="417">
        <v>900000</v>
      </c>
      <c r="U76" s="417">
        <v>1089000</v>
      </c>
      <c r="V76" s="1480"/>
      <c r="W76" s="1480"/>
      <c r="X76" s="1480"/>
      <c r="Y76" s="513">
        <v>43481</v>
      </c>
      <c r="Z76" s="1553" t="s">
        <v>3882</v>
      </c>
      <c r="AA76" s="416">
        <v>43501</v>
      </c>
      <c r="AB76" s="416">
        <v>43504</v>
      </c>
      <c r="AC76" s="416">
        <v>44231</v>
      </c>
      <c r="AD76" s="416">
        <v>43929</v>
      </c>
      <c r="AE76" s="416">
        <v>44285</v>
      </c>
      <c r="AF76" s="355" t="s">
        <v>3883</v>
      </c>
      <c r="AG76" s="374"/>
    </row>
    <row r="77" spans="1:34" ht="15.75" thickTop="1">
      <c r="A77" s="1452" t="s">
        <v>239</v>
      </c>
      <c r="B77" s="453" t="s">
        <v>239</v>
      </c>
      <c r="C77" s="453" t="s">
        <v>239</v>
      </c>
      <c r="D77" s="453" t="s">
        <v>3223</v>
      </c>
      <c r="E77" s="453" t="s">
        <v>69</v>
      </c>
      <c r="F77" s="453" t="s">
        <v>70</v>
      </c>
      <c r="G77" s="473" t="s">
        <v>3517</v>
      </c>
      <c r="H77" s="453">
        <v>1</v>
      </c>
      <c r="I77" s="1420" t="s">
        <v>3691</v>
      </c>
      <c r="J77" s="453" t="s">
        <v>3737</v>
      </c>
      <c r="K77" s="453" t="s">
        <v>3225</v>
      </c>
      <c r="L77" s="453"/>
      <c r="M77" s="457">
        <v>41300323.960000001</v>
      </c>
      <c r="N77" s="453" t="s">
        <v>251</v>
      </c>
      <c r="O77" s="474">
        <v>43368</v>
      </c>
      <c r="P77" s="474">
        <v>43404</v>
      </c>
      <c r="Q77" s="474">
        <v>43434</v>
      </c>
      <c r="R77" s="453" t="s">
        <v>2548</v>
      </c>
      <c r="S77" s="1420"/>
      <c r="T77" s="457">
        <v>41104437.479999997</v>
      </c>
      <c r="U77" s="457">
        <f t="shared" ref="U77:U87" si="1">T77*1.1</f>
        <v>45214881.228</v>
      </c>
      <c r="V77" s="1474"/>
      <c r="W77" s="1474"/>
      <c r="X77" s="1474"/>
      <c r="Y77" s="570">
        <v>43437</v>
      </c>
      <c r="Z77" s="457" t="s">
        <v>3568</v>
      </c>
      <c r="AA77" s="474">
        <v>43475</v>
      </c>
      <c r="AB77" s="474">
        <v>43486</v>
      </c>
      <c r="AC77" s="474">
        <v>44935</v>
      </c>
      <c r="AD77" s="474">
        <v>43914</v>
      </c>
      <c r="AE77" s="474">
        <v>44280</v>
      </c>
      <c r="AF77" s="474">
        <v>44645</v>
      </c>
      <c r="AG77" s="1391" t="s">
        <v>3582</v>
      </c>
      <c r="AH77" s="1391" t="s">
        <v>3583</v>
      </c>
    </row>
    <row r="78" spans="1:34">
      <c r="A78" s="1443" t="s">
        <v>239</v>
      </c>
      <c r="B78" s="491" t="s">
        <v>239</v>
      </c>
      <c r="C78" s="2141" t="s">
        <v>239</v>
      </c>
      <c r="D78" s="2141" t="s">
        <v>3223</v>
      </c>
      <c r="E78" s="2141" t="s">
        <v>69</v>
      </c>
      <c r="F78" s="2141" t="s">
        <v>70</v>
      </c>
      <c r="G78" s="2142" t="s">
        <v>3517</v>
      </c>
      <c r="H78" s="2141">
        <v>2</v>
      </c>
      <c r="I78" s="2143" t="s">
        <v>3692</v>
      </c>
      <c r="J78" s="2141" t="s">
        <v>3737</v>
      </c>
      <c r="K78" s="2141" t="s">
        <v>3225</v>
      </c>
      <c r="L78" s="2141"/>
      <c r="M78" s="2144">
        <v>18830180.890000001</v>
      </c>
      <c r="N78" s="2141" t="s">
        <v>251</v>
      </c>
      <c r="O78" s="2140">
        <v>43368</v>
      </c>
      <c r="P78" s="2140">
        <v>43404</v>
      </c>
      <c r="Q78" s="2140">
        <v>43434</v>
      </c>
      <c r="R78" s="2141" t="s">
        <v>2548</v>
      </c>
      <c r="S78" s="2143"/>
      <c r="T78" s="2144">
        <v>18736351.109999999</v>
      </c>
      <c r="U78" s="2144">
        <f t="shared" si="1"/>
        <v>20609986.221000001</v>
      </c>
      <c r="V78" s="2145"/>
      <c r="W78" s="2145"/>
      <c r="X78" s="2145"/>
      <c r="Y78" s="2146">
        <v>43437</v>
      </c>
      <c r="Z78" s="2144" t="s">
        <v>3569</v>
      </c>
      <c r="AA78" s="2140">
        <v>43475</v>
      </c>
      <c r="AB78" s="2140">
        <v>43486</v>
      </c>
      <c r="AC78" s="2140">
        <v>44935</v>
      </c>
      <c r="AD78" s="2140">
        <v>43914</v>
      </c>
      <c r="AE78" s="2140">
        <v>44280</v>
      </c>
      <c r="AF78" s="2140">
        <v>44645</v>
      </c>
      <c r="AG78" s="2109" t="s">
        <v>3582</v>
      </c>
      <c r="AH78" s="2109" t="s">
        <v>3583</v>
      </c>
    </row>
    <row r="79" spans="1:34">
      <c r="A79" s="1443" t="s">
        <v>239</v>
      </c>
      <c r="B79" s="491" t="s">
        <v>239</v>
      </c>
      <c r="C79" s="2141" t="s">
        <v>239</v>
      </c>
      <c r="D79" s="2141" t="s">
        <v>3223</v>
      </c>
      <c r="E79" s="2141" t="s">
        <v>69</v>
      </c>
      <c r="F79" s="2141" t="s">
        <v>70</v>
      </c>
      <c r="G79" s="2142" t="s">
        <v>3517</v>
      </c>
      <c r="H79" s="2141">
        <v>3</v>
      </c>
      <c r="I79" s="2143" t="s">
        <v>3693</v>
      </c>
      <c r="J79" s="2141" t="s">
        <v>3737</v>
      </c>
      <c r="K79" s="2141" t="s">
        <v>3225</v>
      </c>
      <c r="L79" s="2141"/>
      <c r="M79" s="2144">
        <v>42899036.450000003</v>
      </c>
      <c r="N79" s="2141" t="s">
        <v>251</v>
      </c>
      <c r="O79" s="2140">
        <v>43368</v>
      </c>
      <c r="P79" s="2140">
        <v>43404</v>
      </c>
      <c r="Q79" s="2140">
        <v>43434</v>
      </c>
      <c r="R79" s="2141" t="s">
        <v>1646</v>
      </c>
      <c r="S79" s="2143"/>
      <c r="T79" s="2144">
        <v>42803439.280000001</v>
      </c>
      <c r="U79" s="2144">
        <f t="shared" si="1"/>
        <v>47083783.208000004</v>
      </c>
      <c r="V79" s="2145"/>
      <c r="W79" s="2145"/>
      <c r="X79" s="2145"/>
      <c r="Y79" s="2146">
        <v>43437</v>
      </c>
      <c r="Z79" s="2144" t="s">
        <v>3570</v>
      </c>
      <c r="AA79" s="2140">
        <v>43475</v>
      </c>
      <c r="AB79" s="2140">
        <v>43486</v>
      </c>
      <c r="AC79" s="2140">
        <v>44935</v>
      </c>
      <c r="AD79" s="2140">
        <v>43914</v>
      </c>
      <c r="AE79" s="2140">
        <v>44280</v>
      </c>
      <c r="AF79" s="2140">
        <v>44645</v>
      </c>
      <c r="AG79" s="2109" t="s">
        <v>3582</v>
      </c>
      <c r="AH79" s="2109" t="s">
        <v>3583</v>
      </c>
    </row>
    <row r="80" spans="1:34">
      <c r="A80" s="1443" t="s">
        <v>239</v>
      </c>
      <c r="B80" s="491" t="s">
        <v>239</v>
      </c>
      <c r="C80" s="2141" t="s">
        <v>239</v>
      </c>
      <c r="D80" s="2141" t="s">
        <v>3223</v>
      </c>
      <c r="E80" s="2141" t="s">
        <v>69</v>
      </c>
      <c r="F80" s="2141" t="s">
        <v>70</v>
      </c>
      <c r="G80" s="2142" t="s">
        <v>3517</v>
      </c>
      <c r="H80" s="2141">
        <v>4</v>
      </c>
      <c r="I80" s="2143" t="s">
        <v>3694</v>
      </c>
      <c r="J80" s="2141" t="s">
        <v>3737</v>
      </c>
      <c r="K80" s="2141" t="s">
        <v>3225</v>
      </c>
      <c r="L80" s="2141"/>
      <c r="M80" s="2144">
        <v>5515900.9100000001</v>
      </c>
      <c r="N80" s="2141" t="s">
        <v>251</v>
      </c>
      <c r="O80" s="2140">
        <v>43368</v>
      </c>
      <c r="P80" s="2140">
        <v>43404</v>
      </c>
      <c r="Q80" s="2140">
        <v>43434</v>
      </c>
      <c r="R80" s="2141" t="s">
        <v>2548</v>
      </c>
      <c r="S80" s="2143"/>
      <c r="T80" s="2144">
        <v>5485924</v>
      </c>
      <c r="U80" s="2144">
        <f t="shared" si="1"/>
        <v>6034516.4000000004</v>
      </c>
      <c r="V80" s="2145"/>
      <c r="W80" s="2145"/>
      <c r="X80" s="2145"/>
      <c r="Y80" s="2146">
        <v>43437</v>
      </c>
      <c r="Z80" s="2144" t="s">
        <v>3571</v>
      </c>
      <c r="AA80" s="2140">
        <v>43475</v>
      </c>
      <c r="AB80" s="2140">
        <v>43486</v>
      </c>
      <c r="AC80" s="2140">
        <v>44935</v>
      </c>
      <c r="AD80" s="2140">
        <v>43914</v>
      </c>
      <c r="AE80" s="2140">
        <v>44280</v>
      </c>
      <c r="AF80" s="2140">
        <v>44645</v>
      </c>
      <c r="AG80" s="2109" t="s">
        <v>3582</v>
      </c>
      <c r="AH80" s="2109" t="s">
        <v>3583</v>
      </c>
    </row>
    <row r="81" spans="1:34">
      <c r="A81" s="1443" t="s">
        <v>239</v>
      </c>
      <c r="B81" s="491" t="s">
        <v>239</v>
      </c>
      <c r="C81" s="2141" t="s">
        <v>239</v>
      </c>
      <c r="D81" s="2141" t="s">
        <v>3223</v>
      </c>
      <c r="E81" s="2141" t="s">
        <v>69</v>
      </c>
      <c r="F81" s="2141" t="s">
        <v>70</v>
      </c>
      <c r="G81" s="2142" t="s">
        <v>3517</v>
      </c>
      <c r="H81" s="2141">
        <v>5</v>
      </c>
      <c r="I81" s="2143" t="s">
        <v>3695</v>
      </c>
      <c r="J81" s="2141" t="s">
        <v>3737</v>
      </c>
      <c r="K81" s="2141" t="s">
        <v>3225</v>
      </c>
      <c r="L81" s="2141"/>
      <c r="M81" s="2144">
        <v>16652654.73</v>
      </c>
      <c r="N81" s="2141" t="s">
        <v>251</v>
      </c>
      <c r="O81" s="2140">
        <v>43368</v>
      </c>
      <c r="P81" s="2140">
        <v>43404</v>
      </c>
      <c r="Q81" s="2140">
        <v>43434</v>
      </c>
      <c r="R81" s="2141" t="s">
        <v>1402</v>
      </c>
      <c r="S81" s="2143"/>
      <c r="T81" s="2144">
        <v>16587621.630000001</v>
      </c>
      <c r="U81" s="2144">
        <f t="shared" si="1"/>
        <v>18246383.793000001</v>
      </c>
      <c r="V81" s="2145"/>
      <c r="W81" s="2145"/>
      <c r="X81" s="2145"/>
      <c r="Y81" s="2146">
        <v>43437</v>
      </c>
      <c r="Z81" s="2144" t="s">
        <v>3572</v>
      </c>
      <c r="AA81" s="2140">
        <v>43475</v>
      </c>
      <c r="AB81" s="2140">
        <v>43486</v>
      </c>
      <c r="AC81" s="2140">
        <v>44935</v>
      </c>
      <c r="AD81" s="2140">
        <v>43914</v>
      </c>
      <c r="AE81" s="2140">
        <v>44280</v>
      </c>
      <c r="AF81" s="2140">
        <v>44645</v>
      </c>
      <c r="AG81" s="2109" t="s">
        <v>3582</v>
      </c>
      <c r="AH81" s="2109" t="s">
        <v>3583</v>
      </c>
    </row>
    <row r="82" spans="1:34">
      <c r="A82" s="1443" t="s">
        <v>239</v>
      </c>
      <c r="B82" s="491" t="s">
        <v>239</v>
      </c>
      <c r="C82" s="2141" t="s">
        <v>239</v>
      </c>
      <c r="D82" s="2141" t="s">
        <v>3223</v>
      </c>
      <c r="E82" s="2141" t="s">
        <v>69</v>
      </c>
      <c r="F82" s="2141" t="s">
        <v>70</v>
      </c>
      <c r="G82" s="2142" t="s">
        <v>3517</v>
      </c>
      <c r="H82" s="2141">
        <v>6</v>
      </c>
      <c r="I82" s="2143" t="s">
        <v>3696</v>
      </c>
      <c r="J82" s="2141" t="s">
        <v>3737</v>
      </c>
      <c r="K82" s="2141" t="s">
        <v>3225</v>
      </c>
      <c r="L82" s="2141"/>
      <c r="M82" s="2144">
        <v>12678937.16</v>
      </c>
      <c r="N82" s="2141" t="s">
        <v>251</v>
      </c>
      <c r="O82" s="2140">
        <v>43368</v>
      </c>
      <c r="P82" s="2140">
        <v>43404</v>
      </c>
      <c r="Q82" s="2140">
        <v>43434</v>
      </c>
      <c r="R82" s="2141" t="s">
        <v>2548</v>
      </c>
      <c r="S82" s="2143"/>
      <c r="T82" s="2144">
        <v>12608680.5</v>
      </c>
      <c r="U82" s="2144">
        <f t="shared" si="1"/>
        <v>13869548.550000001</v>
      </c>
      <c r="V82" s="2145"/>
      <c r="W82" s="2145"/>
      <c r="X82" s="2145"/>
      <c r="Y82" s="2146">
        <v>43437</v>
      </c>
      <c r="Z82" s="2144" t="s">
        <v>3573</v>
      </c>
      <c r="AA82" s="2140">
        <v>43475</v>
      </c>
      <c r="AB82" s="2140">
        <v>43486</v>
      </c>
      <c r="AC82" s="2140">
        <v>44935</v>
      </c>
      <c r="AD82" s="2140">
        <v>43914</v>
      </c>
      <c r="AE82" s="2141" t="s">
        <v>8483</v>
      </c>
      <c r="AF82" s="2140">
        <v>44645</v>
      </c>
      <c r="AG82" s="2109" t="s">
        <v>3582</v>
      </c>
      <c r="AH82" s="2109" t="s">
        <v>3583</v>
      </c>
    </row>
    <row r="83" spans="1:34" ht="15.75" thickBot="1">
      <c r="A83" s="1454" t="s">
        <v>239</v>
      </c>
      <c r="B83" s="1376" t="s">
        <v>239</v>
      </c>
      <c r="C83" s="2118" t="s">
        <v>239</v>
      </c>
      <c r="D83" s="2118" t="s">
        <v>3223</v>
      </c>
      <c r="E83" s="2118" t="s">
        <v>69</v>
      </c>
      <c r="F83" s="2118" t="s">
        <v>70</v>
      </c>
      <c r="G83" s="2119" t="s">
        <v>3517</v>
      </c>
      <c r="H83" s="2118">
        <v>7</v>
      </c>
      <c r="I83" s="2120" t="s">
        <v>3697</v>
      </c>
      <c r="J83" s="2118" t="s">
        <v>3737</v>
      </c>
      <c r="K83" s="2118" t="s">
        <v>3225</v>
      </c>
      <c r="L83" s="2118"/>
      <c r="M83" s="2121">
        <v>11377554.689999999</v>
      </c>
      <c r="N83" s="2118" t="s">
        <v>251</v>
      </c>
      <c r="O83" s="2117">
        <v>43368</v>
      </c>
      <c r="P83" s="2117">
        <v>43404</v>
      </c>
      <c r="Q83" s="2117">
        <v>43434</v>
      </c>
      <c r="R83" s="2118" t="s">
        <v>1646</v>
      </c>
      <c r="S83" s="2120"/>
      <c r="T83" s="2121">
        <v>11362478.16</v>
      </c>
      <c r="U83" s="2121">
        <f t="shared" si="1"/>
        <v>12498725.976000002</v>
      </c>
      <c r="V83" s="2122"/>
      <c r="W83" s="2122"/>
      <c r="X83" s="2122"/>
      <c r="Y83" s="2123">
        <v>43437</v>
      </c>
      <c r="Z83" s="2121" t="s">
        <v>3574</v>
      </c>
      <c r="AA83" s="2117">
        <v>43475</v>
      </c>
      <c r="AB83" s="2117">
        <v>43486</v>
      </c>
      <c r="AC83" s="2117">
        <v>44935</v>
      </c>
      <c r="AD83" s="2117">
        <v>43914</v>
      </c>
      <c r="AE83" s="2117">
        <v>44280</v>
      </c>
      <c r="AF83" s="2117">
        <v>44645</v>
      </c>
      <c r="AG83" s="2110" t="s">
        <v>3582</v>
      </c>
      <c r="AH83" s="2110" t="s">
        <v>3583</v>
      </c>
    </row>
    <row r="84" spans="1:34" ht="15.75" thickTop="1">
      <c r="A84" s="1448" t="s">
        <v>239</v>
      </c>
      <c r="B84" s="423" t="s">
        <v>239</v>
      </c>
      <c r="C84" s="1570" t="s">
        <v>239</v>
      </c>
      <c r="D84" s="1397" t="s">
        <v>3236</v>
      </c>
      <c r="E84" s="2669" t="s">
        <v>69</v>
      </c>
      <c r="F84" s="2669" t="s">
        <v>70</v>
      </c>
      <c r="G84" s="274" t="s">
        <v>3525</v>
      </c>
      <c r="H84" s="2673">
        <v>1</v>
      </c>
      <c r="I84" s="293" t="s">
        <v>3738</v>
      </c>
      <c r="J84" s="2673" t="s">
        <v>3746</v>
      </c>
      <c r="K84" s="2669" t="s">
        <v>3237</v>
      </c>
      <c r="L84" s="2674"/>
      <c r="M84" s="364">
        <v>2130154</v>
      </c>
      <c r="N84" s="1397" t="s">
        <v>251</v>
      </c>
      <c r="O84" s="365">
        <v>43398</v>
      </c>
      <c r="P84" s="365">
        <v>43434</v>
      </c>
      <c r="Q84" s="365">
        <v>43529</v>
      </c>
      <c r="R84" s="2669" t="s">
        <v>576</v>
      </c>
      <c r="S84" s="2670"/>
      <c r="T84" s="364">
        <v>1636059.1</v>
      </c>
      <c r="U84" s="364">
        <f t="shared" si="1"/>
        <v>1799665.0100000002</v>
      </c>
      <c r="V84" s="1473"/>
      <c r="W84" s="1473"/>
      <c r="X84" s="1473"/>
      <c r="Y84" s="681">
        <v>43529</v>
      </c>
      <c r="Z84" s="364" t="s">
        <v>4050</v>
      </c>
      <c r="AA84" s="365">
        <v>43556</v>
      </c>
      <c r="AB84" s="365">
        <v>43560</v>
      </c>
      <c r="AC84" s="365">
        <v>44286</v>
      </c>
      <c r="AD84" s="365">
        <v>43915</v>
      </c>
      <c r="AE84" s="2669" t="s">
        <v>8483</v>
      </c>
      <c r="AF84" s="1560">
        <v>44378</v>
      </c>
      <c r="AG84" s="374"/>
    </row>
    <row r="85" spans="1:34">
      <c r="A85" s="1446" t="s">
        <v>239</v>
      </c>
      <c r="B85" s="540" t="s">
        <v>239</v>
      </c>
      <c r="C85" s="491" t="s">
        <v>239</v>
      </c>
      <c r="D85" s="1373" t="s">
        <v>3236</v>
      </c>
      <c r="E85" s="491" t="s">
        <v>69</v>
      </c>
      <c r="F85" s="491" t="s">
        <v>70</v>
      </c>
      <c r="G85" s="571" t="s">
        <v>3525</v>
      </c>
      <c r="H85" s="1373">
        <v>2</v>
      </c>
      <c r="I85" s="1510" t="s">
        <v>3739</v>
      </c>
      <c r="J85" s="491" t="s">
        <v>3746</v>
      </c>
      <c r="K85" s="491" t="s">
        <v>3237</v>
      </c>
      <c r="L85" s="1511"/>
      <c r="M85" s="536">
        <v>298758</v>
      </c>
      <c r="N85" s="1373" t="s">
        <v>251</v>
      </c>
      <c r="O85" s="537">
        <v>43398</v>
      </c>
      <c r="P85" s="537">
        <v>43434</v>
      </c>
      <c r="Q85" s="537">
        <v>43529</v>
      </c>
      <c r="R85" s="491" t="s">
        <v>576</v>
      </c>
      <c r="S85" s="495"/>
      <c r="T85" s="536">
        <v>207044.7</v>
      </c>
      <c r="U85" s="536">
        <f t="shared" si="1"/>
        <v>227749.17000000004</v>
      </c>
      <c r="V85" s="1471"/>
      <c r="W85" s="1471"/>
      <c r="X85" s="1471"/>
      <c r="Y85" s="573">
        <v>43529</v>
      </c>
      <c r="Z85" s="536" t="s">
        <v>4051</v>
      </c>
      <c r="AA85" s="537">
        <v>43556</v>
      </c>
      <c r="AB85" s="537">
        <v>43560</v>
      </c>
      <c r="AC85" s="537">
        <v>44286</v>
      </c>
      <c r="AD85" s="537">
        <v>43915</v>
      </c>
      <c r="AE85" s="537">
        <v>44280</v>
      </c>
      <c r="AF85" s="1560">
        <v>44378</v>
      </c>
      <c r="AG85" s="374"/>
    </row>
    <row r="86" spans="1:34">
      <c r="A86" s="1446" t="s">
        <v>239</v>
      </c>
      <c r="B86" s="540" t="s">
        <v>239</v>
      </c>
      <c r="C86" s="491" t="s">
        <v>239</v>
      </c>
      <c r="D86" s="1373" t="s">
        <v>3236</v>
      </c>
      <c r="E86" s="491" t="s">
        <v>69</v>
      </c>
      <c r="F86" s="491" t="s">
        <v>70</v>
      </c>
      <c r="G86" s="571" t="s">
        <v>3525</v>
      </c>
      <c r="H86" s="1373">
        <v>3</v>
      </c>
      <c r="I86" s="1510" t="s">
        <v>3740</v>
      </c>
      <c r="J86" s="491" t="s">
        <v>3747</v>
      </c>
      <c r="K86" s="491" t="s">
        <v>3237</v>
      </c>
      <c r="L86" s="1511"/>
      <c r="M86" s="536">
        <v>13588559</v>
      </c>
      <c r="N86" s="1373" t="s">
        <v>251</v>
      </c>
      <c r="O86" s="537">
        <v>43398</v>
      </c>
      <c r="P86" s="537">
        <v>43434</v>
      </c>
      <c r="Q86" s="537">
        <v>43529</v>
      </c>
      <c r="R86" s="491" t="s">
        <v>2548</v>
      </c>
      <c r="S86" s="495"/>
      <c r="T86" s="536">
        <v>13426404.6</v>
      </c>
      <c r="U86" s="536">
        <f t="shared" si="1"/>
        <v>14769045.060000001</v>
      </c>
      <c r="V86" s="1471"/>
      <c r="W86" s="1471"/>
      <c r="X86" s="1471"/>
      <c r="Y86" s="573">
        <v>43529</v>
      </c>
      <c r="Z86" s="536" t="s">
        <v>4052</v>
      </c>
      <c r="AA86" s="537">
        <v>43556</v>
      </c>
      <c r="AB86" s="537">
        <v>43560</v>
      </c>
      <c r="AC86" s="537">
        <v>44286</v>
      </c>
      <c r="AD86" s="537">
        <v>43915</v>
      </c>
      <c r="AE86" s="491" t="s">
        <v>8483</v>
      </c>
      <c r="AF86" s="1560">
        <v>44378</v>
      </c>
      <c r="AG86" s="374"/>
    </row>
    <row r="87" spans="1:34">
      <c r="A87" s="1446" t="s">
        <v>239</v>
      </c>
      <c r="B87" s="540" t="s">
        <v>239</v>
      </c>
      <c r="C87" s="491" t="s">
        <v>239</v>
      </c>
      <c r="D87" s="1373" t="s">
        <v>3236</v>
      </c>
      <c r="E87" s="491" t="s">
        <v>69</v>
      </c>
      <c r="F87" s="491" t="s">
        <v>70</v>
      </c>
      <c r="G87" s="571" t="s">
        <v>3525</v>
      </c>
      <c r="H87" s="1373">
        <v>4</v>
      </c>
      <c r="I87" s="1510" t="s">
        <v>3741</v>
      </c>
      <c r="J87" s="491" t="s">
        <v>3748</v>
      </c>
      <c r="K87" s="491" t="s">
        <v>3237</v>
      </c>
      <c r="L87" s="1511"/>
      <c r="M87" s="536">
        <v>8837280</v>
      </c>
      <c r="N87" s="1373" t="s">
        <v>251</v>
      </c>
      <c r="O87" s="537">
        <v>43398</v>
      </c>
      <c r="P87" s="537">
        <v>43434</v>
      </c>
      <c r="Q87" s="537">
        <v>43529</v>
      </c>
      <c r="R87" s="491" t="s">
        <v>576</v>
      </c>
      <c r="S87" s="495"/>
      <c r="T87" s="536">
        <v>8837280</v>
      </c>
      <c r="U87" s="536">
        <f t="shared" si="1"/>
        <v>9721008</v>
      </c>
      <c r="V87" s="1471"/>
      <c r="W87" s="1471"/>
      <c r="X87" s="1471"/>
      <c r="Y87" s="573">
        <v>43529</v>
      </c>
      <c r="Z87" s="536" t="s">
        <v>4053</v>
      </c>
      <c r="AA87" s="537">
        <v>43556</v>
      </c>
      <c r="AB87" s="537">
        <v>43560</v>
      </c>
      <c r="AC87" s="537">
        <v>44286</v>
      </c>
      <c r="AD87" s="537">
        <v>43915</v>
      </c>
      <c r="AE87" s="537">
        <v>44280</v>
      </c>
      <c r="AF87" s="1560">
        <v>44378</v>
      </c>
      <c r="AG87" s="374"/>
    </row>
    <row r="88" spans="1:34">
      <c r="A88" s="1453" t="s">
        <v>239</v>
      </c>
      <c r="B88" s="506" t="s">
        <v>239</v>
      </c>
      <c r="C88" s="506" t="s">
        <v>239</v>
      </c>
      <c r="D88" s="1382" t="s">
        <v>3236</v>
      </c>
      <c r="E88" s="506" t="s">
        <v>69</v>
      </c>
      <c r="F88" s="506" t="s">
        <v>70</v>
      </c>
      <c r="G88" s="1408" t="s">
        <v>3525</v>
      </c>
      <c r="H88" s="1409">
        <v>5</v>
      </c>
      <c r="I88" s="1423" t="s">
        <v>3742</v>
      </c>
      <c r="J88" s="1409" t="s">
        <v>3749</v>
      </c>
      <c r="K88" s="506" t="s">
        <v>3237</v>
      </c>
      <c r="L88" s="506"/>
      <c r="M88" s="511">
        <v>3523471</v>
      </c>
      <c r="N88" s="1382" t="s">
        <v>251</v>
      </c>
      <c r="O88" s="510">
        <v>43398</v>
      </c>
      <c r="P88" s="510">
        <v>43434</v>
      </c>
      <c r="Q88" s="510"/>
      <c r="R88" s="514" t="s">
        <v>5521</v>
      </c>
      <c r="S88" s="736" t="s">
        <v>5497</v>
      </c>
      <c r="T88" s="511"/>
      <c r="U88" s="511"/>
      <c r="V88" s="1470"/>
      <c r="W88" s="1470"/>
      <c r="X88" s="1470"/>
      <c r="Y88" s="511"/>
      <c r="Z88" s="511"/>
      <c r="AA88" s="506"/>
      <c r="AB88" s="510">
        <v>43546</v>
      </c>
      <c r="AC88" s="506"/>
      <c r="AD88" s="506"/>
      <c r="AE88" s="506"/>
    </row>
    <row r="89" spans="1:34">
      <c r="A89" s="1453" t="s">
        <v>239</v>
      </c>
      <c r="B89" s="506" t="s">
        <v>239</v>
      </c>
      <c r="C89" s="506" t="s">
        <v>239</v>
      </c>
      <c r="D89" s="1382" t="s">
        <v>3236</v>
      </c>
      <c r="E89" s="506" t="s">
        <v>69</v>
      </c>
      <c r="F89" s="506" t="s">
        <v>70</v>
      </c>
      <c r="G89" s="1408" t="s">
        <v>3525</v>
      </c>
      <c r="H89" s="1409">
        <v>6</v>
      </c>
      <c r="I89" s="1423" t="s">
        <v>3743</v>
      </c>
      <c r="J89" s="1409" t="s">
        <v>3750</v>
      </c>
      <c r="K89" s="506" t="s">
        <v>3237</v>
      </c>
      <c r="L89" s="506"/>
      <c r="M89" s="511">
        <v>943725</v>
      </c>
      <c r="N89" s="1382" t="s">
        <v>251</v>
      </c>
      <c r="O89" s="510">
        <v>43398</v>
      </c>
      <c r="P89" s="510">
        <v>43434</v>
      </c>
      <c r="Q89" s="510"/>
      <c r="R89" s="514" t="s">
        <v>5521</v>
      </c>
      <c r="S89" s="736" t="s">
        <v>5497</v>
      </c>
      <c r="T89" s="511"/>
      <c r="U89" s="511"/>
      <c r="V89" s="1470"/>
      <c r="W89" s="1470"/>
      <c r="X89" s="1470"/>
      <c r="Y89" s="511"/>
      <c r="Z89" s="511"/>
      <c r="AA89" s="506"/>
      <c r="AB89" s="510">
        <v>43546</v>
      </c>
      <c r="AC89" s="506"/>
      <c r="AD89" s="506"/>
      <c r="AE89" s="506"/>
    </row>
    <row r="90" spans="1:34">
      <c r="A90" s="1453" t="s">
        <v>239</v>
      </c>
      <c r="B90" s="506" t="s">
        <v>239</v>
      </c>
      <c r="C90" s="506" t="s">
        <v>239</v>
      </c>
      <c r="D90" s="1382" t="s">
        <v>3236</v>
      </c>
      <c r="E90" s="506" t="s">
        <v>69</v>
      </c>
      <c r="F90" s="506" t="s">
        <v>70</v>
      </c>
      <c r="G90" s="507" t="s">
        <v>3525</v>
      </c>
      <c r="H90" s="1382">
        <v>7</v>
      </c>
      <c r="I90" s="1424" t="s">
        <v>5493</v>
      </c>
      <c r="J90" s="506" t="s">
        <v>3751</v>
      </c>
      <c r="K90" s="506" t="s">
        <v>3237</v>
      </c>
      <c r="L90" s="1396"/>
      <c r="M90" s="511">
        <v>114957884</v>
      </c>
      <c r="N90" s="1382" t="s">
        <v>251</v>
      </c>
      <c r="O90" s="510">
        <v>43398</v>
      </c>
      <c r="P90" s="510">
        <v>43434</v>
      </c>
      <c r="Q90" s="510"/>
      <c r="R90" s="514" t="s">
        <v>5522</v>
      </c>
      <c r="S90" s="736" t="s">
        <v>5497</v>
      </c>
      <c r="T90" s="511"/>
      <c r="U90" s="511"/>
      <c r="V90" s="1470"/>
      <c r="W90" s="1470"/>
      <c r="X90" s="1470"/>
      <c r="Y90" s="511"/>
      <c r="Z90" s="511"/>
      <c r="AA90" s="506"/>
      <c r="AB90" s="510">
        <v>43546</v>
      </c>
      <c r="AC90" s="506"/>
      <c r="AD90" s="506"/>
      <c r="AE90" s="506"/>
    </row>
    <row r="91" spans="1:34" ht="15.75" thickBot="1">
      <c r="A91" s="1449" t="s">
        <v>239</v>
      </c>
      <c r="B91" s="406" t="s">
        <v>239</v>
      </c>
      <c r="C91" s="411" t="s">
        <v>239</v>
      </c>
      <c r="D91" s="1377" t="s">
        <v>3236</v>
      </c>
      <c r="E91" s="1376" t="s">
        <v>69</v>
      </c>
      <c r="F91" s="1376" t="s">
        <v>70</v>
      </c>
      <c r="G91" s="1378" t="s">
        <v>3525</v>
      </c>
      <c r="H91" s="1377">
        <v>8</v>
      </c>
      <c r="I91" s="1508" t="s">
        <v>3745</v>
      </c>
      <c r="J91" s="1376" t="s">
        <v>3752</v>
      </c>
      <c r="K91" s="1376" t="s">
        <v>3237</v>
      </c>
      <c r="L91" s="1509"/>
      <c r="M91" s="1379">
        <v>2039696</v>
      </c>
      <c r="N91" s="1377" t="s">
        <v>251</v>
      </c>
      <c r="O91" s="1380">
        <v>43398</v>
      </c>
      <c r="P91" s="1380">
        <v>43434</v>
      </c>
      <c r="Q91" s="1380">
        <v>43529</v>
      </c>
      <c r="R91" s="1376" t="s">
        <v>576</v>
      </c>
      <c r="S91" s="1421"/>
      <c r="T91" s="1379">
        <v>996934.08</v>
      </c>
      <c r="U91" s="1379">
        <v>1096627.49</v>
      </c>
      <c r="V91" s="1475"/>
      <c r="W91" s="1475"/>
      <c r="X91" s="1475"/>
      <c r="Y91" s="1388">
        <v>43529</v>
      </c>
      <c r="Z91" s="1379" t="s">
        <v>4054</v>
      </c>
      <c r="AA91" s="1380">
        <v>43556</v>
      </c>
      <c r="AB91" s="1380">
        <v>43560</v>
      </c>
      <c r="AC91" s="1380">
        <v>44286</v>
      </c>
      <c r="AD91" s="1380">
        <v>43915</v>
      </c>
      <c r="AE91" s="537">
        <v>44280</v>
      </c>
      <c r="AF91" s="1560">
        <v>44378</v>
      </c>
      <c r="AG91" s="374"/>
    </row>
    <row r="92" spans="1:34" ht="15.75" thickTop="1">
      <c r="A92" s="1452" t="s">
        <v>239</v>
      </c>
      <c r="B92" s="453" t="s">
        <v>239</v>
      </c>
      <c r="C92" s="453" t="s">
        <v>239</v>
      </c>
      <c r="D92" s="1373" t="s">
        <v>3246</v>
      </c>
      <c r="E92" s="491" t="s">
        <v>69</v>
      </c>
      <c r="F92" s="491" t="s">
        <v>70</v>
      </c>
      <c r="G92" s="571" t="s">
        <v>3524</v>
      </c>
      <c r="H92" s="491">
        <v>3</v>
      </c>
      <c r="I92" s="495" t="s">
        <v>3698</v>
      </c>
      <c r="J92" s="491" t="s">
        <v>3753</v>
      </c>
      <c r="K92" s="491" t="s">
        <v>93</v>
      </c>
      <c r="L92" s="491"/>
      <c r="M92" s="536">
        <v>41208280</v>
      </c>
      <c r="N92" s="491" t="s">
        <v>251</v>
      </c>
      <c r="O92" s="537">
        <v>43349</v>
      </c>
      <c r="P92" s="537">
        <v>43383</v>
      </c>
      <c r="Q92" s="537">
        <v>43434</v>
      </c>
      <c r="R92" s="491" t="s">
        <v>1318</v>
      </c>
      <c r="S92" s="495"/>
      <c r="T92" s="536">
        <v>41204810.799999997</v>
      </c>
      <c r="U92" s="536">
        <v>45325291.880000003</v>
      </c>
      <c r="V92" s="1477"/>
      <c r="W92" s="1477"/>
      <c r="X92" s="1471"/>
      <c r="Y92" s="573">
        <v>43134</v>
      </c>
      <c r="Z92" s="1375" t="s">
        <v>3558</v>
      </c>
      <c r="AA92" s="537">
        <v>43469</v>
      </c>
      <c r="AB92" s="537">
        <v>43474</v>
      </c>
      <c r="AC92" s="537">
        <v>44199</v>
      </c>
      <c r="AD92" s="537">
        <v>43915</v>
      </c>
      <c r="AE92" s="537">
        <v>44280</v>
      </c>
      <c r="AF92" s="1560">
        <v>44378</v>
      </c>
      <c r="AG92" s="374"/>
    </row>
    <row r="93" spans="1:34" ht="15.75" thickBot="1">
      <c r="A93" s="1454" t="s">
        <v>239</v>
      </c>
      <c r="B93" s="1376" t="s">
        <v>239</v>
      </c>
      <c r="C93" s="1376" t="s">
        <v>239</v>
      </c>
      <c r="D93" s="1377" t="s">
        <v>3246</v>
      </c>
      <c r="E93" s="1376" t="s">
        <v>69</v>
      </c>
      <c r="F93" s="1376" t="s">
        <v>70</v>
      </c>
      <c r="G93" s="1378" t="s">
        <v>3524</v>
      </c>
      <c r="H93" s="1376">
        <v>6</v>
      </c>
      <c r="I93" s="1421" t="s">
        <v>3699</v>
      </c>
      <c r="J93" s="1376" t="s">
        <v>3754</v>
      </c>
      <c r="K93" s="1376" t="s">
        <v>93</v>
      </c>
      <c r="L93" s="1376"/>
      <c r="M93" s="1379">
        <v>11440923</v>
      </c>
      <c r="N93" s="1376" t="s">
        <v>251</v>
      </c>
      <c r="O93" s="1380">
        <v>43349</v>
      </c>
      <c r="P93" s="1380">
        <v>43383</v>
      </c>
      <c r="Q93" s="1380">
        <v>43434</v>
      </c>
      <c r="R93" s="1376" t="s">
        <v>1318</v>
      </c>
      <c r="S93" s="1421"/>
      <c r="T93" s="1379">
        <v>11439502.880000001</v>
      </c>
      <c r="U93" s="1379">
        <v>12583453.17</v>
      </c>
      <c r="V93" s="1475"/>
      <c r="W93" s="1475"/>
      <c r="X93" s="1475"/>
      <c r="Y93" s="1388">
        <v>43134</v>
      </c>
      <c r="Z93" s="1379" t="s">
        <v>3557</v>
      </c>
      <c r="AA93" s="1380">
        <v>43469</v>
      </c>
      <c r="AB93" s="1380">
        <v>43474</v>
      </c>
      <c r="AC93" s="1380">
        <v>44199</v>
      </c>
      <c r="AD93" s="1380">
        <v>43915</v>
      </c>
      <c r="AE93" s="537">
        <v>44280</v>
      </c>
      <c r="AF93" s="1560">
        <v>44378</v>
      </c>
      <c r="AG93" s="374"/>
    </row>
    <row r="94" spans="1:34" ht="15.75" thickTop="1">
      <c r="A94" s="1448" t="s">
        <v>239</v>
      </c>
      <c r="B94" s="423" t="s">
        <v>239</v>
      </c>
      <c r="C94" s="466" t="s">
        <v>239</v>
      </c>
      <c r="D94" s="1515" t="s">
        <v>3253</v>
      </c>
      <c r="E94" s="466" t="s">
        <v>69</v>
      </c>
      <c r="F94" s="466" t="s">
        <v>70</v>
      </c>
      <c r="G94" s="467" t="s">
        <v>3523</v>
      </c>
      <c r="H94" s="466">
        <v>1</v>
      </c>
      <c r="I94" s="654" t="s">
        <v>3755</v>
      </c>
      <c r="J94" s="466" t="s">
        <v>3756</v>
      </c>
      <c r="K94" s="466" t="s">
        <v>816</v>
      </c>
      <c r="L94" s="466"/>
      <c r="M94" s="472">
        <v>184729</v>
      </c>
      <c r="N94" s="466" t="s">
        <v>251</v>
      </c>
      <c r="O94" s="470">
        <v>43349</v>
      </c>
      <c r="P94" s="470">
        <v>43390</v>
      </c>
      <c r="Q94" s="470">
        <v>43481</v>
      </c>
      <c r="R94" s="1171" t="s">
        <v>5523</v>
      </c>
      <c r="S94" s="471" t="s">
        <v>5732</v>
      </c>
      <c r="T94" s="472"/>
      <c r="U94" s="472"/>
      <c r="V94" s="1516"/>
      <c r="W94" s="1516"/>
      <c r="X94" s="1516"/>
      <c r="Y94" s="1547"/>
      <c r="Z94" s="472" t="s">
        <v>3606</v>
      </c>
      <c r="AA94" s="466"/>
      <c r="AB94" s="470">
        <v>43591</v>
      </c>
      <c r="AC94" s="466"/>
      <c r="AD94" s="466"/>
      <c r="AE94" s="506"/>
    </row>
    <row r="95" spans="1:34">
      <c r="A95" s="1446" t="s">
        <v>239</v>
      </c>
      <c r="B95" s="540" t="s">
        <v>239</v>
      </c>
      <c r="C95" s="491" t="s">
        <v>239</v>
      </c>
      <c r="D95" s="1373" t="s">
        <v>3253</v>
      </c>
      <c r="E95" s="491" t="s">
        <v>69</v>
      </c>
      <c r="F95" s="491" t="s">
        <v>70</v>
      </c>
      <c r="G95" s="571" t="s">
        <v>3523</v>
      </c>
      <c r="H95" s="491">
        <v>2</v>
      </c>
      <c r="I95" s="495" t="s">
        <v>3757</v>
      </c>
      <c r="J95" s="491" t="s">
        <v>3758</v>
      </c>
      <c r="K95" s="491" t="s">
        <v>816</v>
      </c>
      <c r="L95" s="491"/>
      <c r="M95" s="536">
        <v>41208</v>
      </c>
      <c r="N95" s="491" t="s">
        <v>251</v>
      </c>
      <c r="O95" s="537">
        <v>43349</v>
      </c>
      <c r="P95" s="537">
        <v>43390</v>
      </c>
      <c r="Q95" s="537">
        <v>43481</v>
      </c>
      <c r="R95" s="491" t="s">
        <v>576</v>
      </c>
      <c r="S95" s="495"/>
      <c r="T95" s="536">
        <v>41202.9</v>
      </c>
      <c r="U95" s="536">
        <v>45323.19</v>
      </c>
      <c r="V95" s="1471"/>
      <c r="W95" s="1471"/>
      <c r="X95" s="1471"/>
      <c r="Y95" s="573">
        <v>43482</v>
      </c>
      <c r="Z95" s="536" t="s">
        <v>3607</v>
      </c>
      <c r="AA95" s="537">
        <v>43558</v>
      </c>
      <c r="AB95" s="537">
        <v>43581</v>
      </c>
      <c r="AC95" s="537">
        <v>44288</v>
      </c>
      <c r="AD95" s="537">
        <v>43915</v>
      </c>
      <c r="AE95" s="491" t="s">
        <v>8483</v>
      </c>
      <c r="AF95" s="1560">
        <v>44645</v>
      </c>
      <c r="AG95" s="374"/>
    </row>
    <row r="96" spans="1:34" ht="15.75" thickBot="1">
      <c r="A96" s="1449" t="s">
        <v>239</v>
      </c>
      <c r="B96" s="406" t="s">
        <v>239</v>
      </c>
      <c r="C96" s="411" t="s">
        <v>239</v>
      </c>
      <c r="D96" s="1468" t="s">
        <v>3253</v>
      </c>
      <c r="E96" s="411" t="s">
        <v>69</v>
      </c>
      <c r="F96" s="411" t="s">
        <v>70</v>
      </c>
      <c r="G96" s="412" t="s">
        <v>3523</v>
      </c>
      <c r="H96" s="411">
        <v>8</v>
      </c>
      <c r="I96" s="630" t="s">
        <v>3759</v>
      </c>
      <c r="J96" s="411" t="s">
        <v>3760</v>
      </c>
      <c r="K96" s="411" t="s">
        <v>816</v>
      </c>
      <c r="L96" s="411"/>
      <c r="M96" s="417">
        <v>2894400</v>
      </c>
      <c r="N96" s="411" t="s">
        <v>251</v>
      </c>
      <c r="O96" s="416">
        <v>43349</v>
      </c>
      <c r="P96" s="416">
        <v>43390</v>
      </c>
      <c r="Q96" s="416">
        <v>43481</v>
      </c>
      <c r="R96" s="411" t="s">
        <v>2405</v>
      </c>
      <c r="S96" s="630"/>
      <c r="T96" s="417">
        <v>2891520</v>
      </c>
      <c r="U96" s="417">
        <v>3180672</v>
      </c>
      <c r="V96" s="1480"/>
      <c r="W96" s="1480"/>
      <c r="X96" s="1480"/>
      <c r="Y96" s="513">
        <v>43482</v>
      </c>
      <c r="Z96" s="417" t="s">
        <v>3608</v>
      </c>
      <c r="AA96" s="416">
        <v>43558</v>
      </c>
      <c r="AB96" s="416">
        <v>43581</v>
      </c>
      <c r="AC96" s="416">
        <v>44288</v>
      </c>
      <c r="AD96" s="416">
        <v>43915</v>
      </c>
      <c r="AE96" s="537">
        <v>44280</v>
      </c>
      <c r="AF96" s="1560">
        <v>44645</v>
      </c>
      <c r="AG96" s="374"/>
    </row>
    <row r="97" spans="1:36" ht="30.75" thickTop="1">
      <c r="A97" s="1445" t="s">
        <v>239</v>
      </c>
      <c r="B97" s="425" t="s">
        <v>239</v>
      </c>
      <c r="C97" s="453" t="s">
        <v>239</v>
      </c>
      <c r="D97" s="1383" t="s">
        <v>3262</v>
      </c>
      <c r="E97" s="453" t="s">
        <v>69</v>
      </c>
      <c r="F97" s="453" t="s">
        <v>70</v>
      </c>
      <c r="G97" s="473" t="s">
        <v>3522</v>
      </c>
      <c r="H97" s="453">
        <v>1</v>
      </c>
      <c r="I97" s="1420" t="s">
        <v>3700</v>
      </c>
      <c r="J97" s="453" t="s">
        <v>3761</v>
      </c>
      <c r="K97" s="453" t="s">
        <v>3265</v>
      </c>
      <c r="L97" s="453"/>
      <c r="M97" s="457">
        <v>952945</v>
      </c>
      <c r="N97" s="453" t="s">
        <v>251</v>
      </c>
      <c r="O97" s="474">
        <v>43368</v>
      </c>
      <c r="P97" s="474">
        <v>43403</v>
      </c>
      <c r="Q97" s="474">
        <v>43522</v>
      </c>
      <c r="R97" s="453" t="s">
        <v>2097</v>
      </c>
      <c r="S97" s="1420"/>
      <c r="T97" s="457">
        <v>952944.48</v>
      </c>
      <c r="U97" s="457">
        <f>T97*1.1</f>
        <v>1048238.9280000001</v>
      </c>
      <c r="V97" s="1474"/>
      <c r="W97" s="1474"/>
      <c r="X97" s="1474"/>
      <c r="Y97" s="570">
        <v>43522</v>
      </c>
      <c r="Z97" s="1387" t="s">
        <v>3993</v>
      </c>
      <c r="AA97" s="474">
        <v>43567</v>
      </c>
      <c r="AB97" s="474">
        <v>43584</v>
      </c>
      <c r="AC97" s="474">
        <v>45027</v>
      </c>
      <c r="AD97" s="474">
        <v>43915</v>
      </c>
      <c r="AE97" s="537">
        <v>44280</v>
      </c>
      <c r="AF97" s="355" t="s">
        <v>11373</v>
      </c>
      <c r="AG97" s="388">
        <v>2022</v>
      </c>
      <c r="AH97" s="388" t="s">
        <v>4405</v>
      </c>
    </row>
    <row r="98" spans="1:36" ht="15.75" thickBot="1">
      <c r="A98" s="1455" t="s">
        <v>239</v>
      </c>
      <c r="B98" s="1410" t="s">
        <v>239</v>
      </c>
      <c r="C98" s="1410" t="s">
        <v>239</v>
      </c>
      <c r="D98" s="1411" t="s">
        <v>3262</v>
      </c>
      <c r="E98" s="1410" t="s">
        <v>69</v>
      </c>
      <c r="F98" s="1410" t="s">
        <v>70</v>
      </c>
      <c r="G98" s="1412" t="s">
        <v>3522</v>
      </c>
      <c r="H98" s="1410">
        <v>2</v>
      </c>
      <c r="I98" s="1430" t="s">
        <v>3701</v>
      </c>
      <c r="J98" s="1410" t="s">
        <v>3762</v>
      </c>
      <c r="K98" s="1410" t="s">
        <v>3265</v>
      </c>
      <c r="L98" s="1410"/>
      <c r="M98" s="1413">
        <v>7533750</v>
      </c>
      <c r="N98" s="1410" t="s">
        <v>251</v>
      </c>
      <c r="O98" s="1414">
        <v>43368</v>
      </c>
      <c r="P98" s="1414">
        <v>43403</v>
      </c>
      <c r="Q98" s="1414"/>
      <c r="R98" s="1740" t="s">
        <v>5524</v>
      </c>
      <c r="S98" s="1710" t="s">
        <v>5498</v>
      </c>
      <c r="T98" s="1413"/>
      <c r="U98" s="1413"/>
      <c r="V98" s="1479"/>
      <c r="W98" s="1479"/>
      <c r="X98" s="1479"/>
      <c r="Y98" s="1413"/>
      <c r="Z98" s="1413"/>
      <c r="AA98" s="1410"/>
      <c r="AB98" s="1414">
        <v>43523</v>
      </c>
      <c r="AC98" s="1410"/>
      <c r="AD98" s="1410"/>
      <c r="AE98" s="506"/>
    </row>
    <row r="99" spans="1:36" ht="45.75" thickTop="1">
      <c r="A99" s="1451" t="s">
        <v>239</v>
      </c>
      <c r="B99" s="1570" t="s">
        <v>239</v>
      </c>
      <c r="C99" s="1570" t="s">
        <v>239</v>
      </c>
      <c r="D99" s="1397" t="s">
        <v>3269</v>
      </c>
      <c r="E99" s="1570" t="s">
        <v>2434</v>
      </c>
      <c r="F99" s="1570" t="s">
        <v>219</v>
      </c>
      <c r="G99" s="175" t="s">
        <v>3270</v>
      </c>
      <c r="H99" s="1570"/>
      <c r="I99" s="1571"/>
      <c r="J99" s="1570"/>
      <c r="K99" s="1570" t="s">
        <v>3271</v>
      </c>
      <c r="L99" s="1570"/>
      <c r="M99" s="364">
        <v>7297000</v>
      </c>
      <c r="N99" s="1570" t="s">
        <v>251</v>
      </c>
      <c r="O99" s="365">
        <v>43350</v>
      </c>
      <c r="P99" s="365">
        <v>43382</v>
      </c>
      <c r="Q99" s="365">
        <v>43397</v>
      </c>
      <c r="R99" s="1791" t="s">
        <v>3153</v>
      </c>
      <c r="S99" s="1705"/>
      <c r="T99" s="364">
        <v>6516492</v>
      </c>
      <c r="U99" s="364">
        <v>7884956.6799999997</v>
      </c>
      <c r="V99" s="1473"/>
      <c r="W99" s="1473"/>
      <c r="X99" s="1473"/>
      <c r="Y99" s="681">
        <v>43398</v>
      </c>
      <c r="Z99" s="1417" t="s">
        <v>3665</v>
      </c>
      <c r="AA99" s="365">
        <v>43489</v>
      </c>
      <c r="AB99" s="365">
        <v>43494</v>
      </c>
      <c r="AC99" s="365">
        <v>44219</v>
      </c>
      <c r="AD99" s="365">
        <v>43929</v>
      </c>
      <c r="AE99" s="537">
        <v>44285</v>
      </c>
      <c r="AF99" s="1560">
        <v>44285</v>
      </c>
      <c r="AG99" s="374"/>
    </row>
    <row r="100" spans="1:36">
      <c r="A100" s="1443" t="s">
        <v>239</v>
      </c>
      <c r="B100" s="491" t="s">
        <v>239</v>
      </c>
      <c r="C100" s="537">
        <v>43334</v>
      </c>
      <c r="D100" s="1373" t="s">
        <v>3280</v>
      </c>
      <c r="E100" s="491" t="s">
        <v>52</v>
      </c>
      <c r="F100" s="491" t="s">
        <v>3089</v>
      </c>
      <c r="G100" s="571" t="s">
        <v>3521</v>
      </c>
      <c r="H100" s="491">
        <v>1</v>
      </c>
      <c r="I100" s="495" t="s">
        <v>3840</v>
      </c>
      <c r="J100" s="491" t="s">
        <v>239</v>
      </c>
      <c r="K100" s="491" t="s">
        <v>3091</v>
      </c>
      <c r="L100" s="491" t="s">
        <v>3283</v>
      </c>
      <c r="M100" s="536">
        <v>6500000</v>
      </c>
      <c r="N100" s="491" t="s">
        <v>216</v>
      </c>
      <c r="O100" s="537">
        <v>43350</v>
      </c>
      <c r="P100" s="537">
        <v>43374</v>
      </c>
      <c r="Q100" s="537">
        <v>43382</v>
      </c>
      <c r="R100" s="491" t="s">
        <v>3333</v>
      </c>
      <c r="S100" s="495"/>
      <c r="T100" s="536">
        <v>9056056</v>
      </c>
      <c r="U100" s="536">
        <v>10957827.76</v>
      </c>
      <c r="V100" s="1471" t="s">
        <v>239</v>
      </c>
      <c r="W100" s="1471" t="s">
        <v>239</v>
      </c>
      <c r="X100" s="1471" t="s">
        <v>239</v>
      </c>
      <c r="Y100" s="573">
        <v>43383</v>
      </c>
      <c r="Z100" s="536" t="s">
        <v>3532</v>
      </c>
      <c r="AA100" s="537">
        <v>43467</v>
      </c>
      <c r="AB100" s="537">
        <v>43469</v>
      </c>
      <c r="AC100" s="537">
        <v>43588</v>
      </c>
      <c r="AD100" s="1525">
        <v>43920</v>
      </c>
      <c r="AE100" s="530"/>
      <c r="AF100" s="374"/>
      <c r="AG100" s="374"/>
    </row>
    <row r="101" spans="1:36">
      <c r="A101" s="1443" t="s">
        <v>239</v>
      </c>
      <c r="B101" s="491" t="s">
        <v>239</v>
      </c>
      <c r="C101" s="537">
        <v>43334</v>
      </c>
      <c r="D101" s="1373" t="s">
        <v>3280</v>
      </c>
      <c r="E101" s="491" t="s">
        <v>52</v>
      </c>
      <c r="F101" s="491" t="s">
        <v>3089</v>
      </c>
      <c r="G101" s="571" t="s">
        <v>3521</v>
      </c>
      <c r="H101" s="491">
        <v>2</v>
      </c>
      <c r="I101" s="495" t="s">
        <v>3841</v>
      </c>
      <c r="J101" s="491" t="s">
        <v>239</v>
      </c>
      <c r="K101" s="491" t="s">
        <v>3091</v>
      </c>
      <c r="L101" s="491" t="s">
        <v>3284</v>
      </c>
      <c r="M101" s="536">
        <v>2950000</v>
      </c>
      <c r="N101" s="491" t="s">
        <v>216</v>
      </c>
      <c r="O101" s="537">
        <v>43350</v>
      </c>
      <c r="P101" s="537">
        <v>43374</v>
      </c>
      <c r="Q101" s="537">
        <v>43382</v>
      </c>
      <c r="R101" s="491" t="s">
        <v>3333</v>
      </c>
      <c r="S101" s="495"/>
      <c r="T101" s="536">
        <v>2432940</v>
      </c>
      <c r="U101" s="536">
        <v>2943857.4</v>
      </c>
      <c r="V101" s="1471" t="s">
        <v>239</v>
      </c>
      <c r="W101" s="1471" t="s">
        <v>239</v>
      </c>
      <c r="X101" s="1471" t="s">
        <v>239</v>
      </c>
      <c r="Y101" s="573">
        <v>43383</v>
      </c>
      <c r="Z101" s="536" t="s">
        <v>3533</v>
      </c>
      <c r="AA101" s="537">
        <v>43467</v>
      </c>
      <c r="AB101" s="537">
        <v>43469</v>
      </c>
      <c r="AC101" s="537">
        <v>43558</v>
      </c>
      <c r="AD101" s="1525">
        <v>43619</v>
      </c>
      <c r="AE101" s="530"/>
      <c r="AF101" s="374"/>
      <c r="AG101" s="374"/>
    </row>
    <row r="102" spans="1:36">
      <c r="A102" s="1446" t="s">
        <v>239</v>
      </c>
      <c r="B102" s="540" t="s">
        <v>239</v>
      </c>
      <c r="C102" s="506" t="s">
        <v>239</v>
      </c>
      <c r="D102" s="1382" t="s">
        <v>3291</v>
      </c>
      <c r="E102" s="506" t="s">
        <v>2434</v>
      </c>
      <c r="F102" s="506" t="s">
        <v>219</v>
      </c>
      <c r="G102" s="507" t="s">
        <v>3292</v>
      </c>
      <c r="H102" s="506"/>
      <c r="I102" s="548"/>
      <c r="J102" s="506"/>
      <c r="K102" s="506" t="s">
        <v>3293</v>
      </c>
      <c r="L102" s="506"/>
      <c r="M102" s="511">
        <v>3403900</v>
      </c>
      <c r="N102" s="506" t="s">
        <v>216</v>
      </c>
      <c r="O102" s="510">
        <v>43355</v>
      </c>
      <c r="P102" s="510">
        <v>43376</v>
      </c>
      <c r="Q102" s="510"/>
      <c r="R102" s="514" t="s">
        <v>4499</v>
      </c>
      <c r="S102" s="1719" t="s">
        <v>4712</v>
      </c>
      <c r="T102" s="511"/>
      <c r="U102" s="511"/>
      <c r="V102" s="1470"/>
      <c r="W102" s="1470"/>
      <c r="X102" s="1470"/>
      <c r="Y102" s="511"/>
      <c r="Z102" s="511"/>
      <c r="AA102" s="506"/>
      <c r="AB102" s="510">
        <v>43585</v>
      </c>
      <c r="AC102" s="506"/>
      <c r="AD102" s="506"/>
      <c r="AE102" s="506"/>
    </row>
    <row r="103" spans="1:36" ht="30">
      <c r="A103" s="1443" t="s">
        <v>239</v>
      </c>
      <c r="B103" s="491" t="s">
        <v>239</v>
      </c>
      <c r="C103" s="491" t="s">
        <v>239</v>
      </c>
      <c r="D103" s="1373" t="s">
        <v>3305</v>
      </c>
      <c r="E103" s="491" t="s">
        <v>58</v>
      </c>
      <c r="F103" s="491" t="s">
        <v>2684</v>
      </c>
      <c r="G103" s="571" t="s">
        <v>3306</v>
      </c>
      <c r="H103" s="491"/>
      <c r="I103" s="495"/>
      <c r="J103" s="491"/>
      <c r="K103" s="491" t="s">
        <v>396</v>
      </c>
      <c r="L103" s="491" t="s">
        <v>3307</v>
      </c>
      <c r="M103" s="536">
        <v>3305785</v>
      </c>
      <c r="N103" s="491" t="s">
        <v>251</v>
      </c>
      <c r="O103" s="537">
        <v>43368</v>
      </c>
      <c r="P103" s="537">
        <v>43402</v>
      </c>
      <c r="Q103" s="537">
        <v>43425</v>
      </c>
      <c r="R103" s="491" t="s">
        <v>3376</v>
      </c>
      <c r="S103" s="495"/>
      <c r="T103" s="536">
        <v>3302380</v>
      </c>
      <c r="U103" s="536">
        <f>T103*1.21</f>
        <v>3995879.8</v>
      </c>
      <c r="V103" s="1471"/>
      <c r="W103" s="1471"/>
      <c r="X103" s="1471"/>
      <c r="Y103" s="573">
        <v>43426</v>
      </c>
      <c r="Z103" s="1375" t="s">
        <v>3567</v>
      </c>
      <c r="AA103" s="537">
        <v>43474</v>
      </c>
      <c r="AB103" s="537">
        <v>43475</v>
      </c>
      <c r="AC103" s="537">
        <v>43524</v>
      </c>
      <c r="AD103" s="537">
        <v>43542</v>
      </c>
      <c r="AE103" s="1374" t="s">
        <v>1875</v>
      </c>
      <c r="AF103" s="374"/>
      <c r="AG103" s="374"/>
    </row>
    <row r="104" spans="1:36">
      <c r="A104" s="1453" t="s">
        <v>239</v>
      </c>
      <c r="B104" s="506" t="s">
        <v>239</v>
      </c>
      <c r="C104" s="506" t="s">
        <v>239</v>
      </c>
      <c r="D104" s="1382" t="s">
        <v>3308</v>
      </c>
      <c r="E104" s="506" t="s">
        <v>2434</v>
      </c>
      <c r="F104" s="506" t="s">
        <v>219</v>
      </c>
      <c r="G104" s="507" t="s">
        <v>3309</v>
      </c>
      <c r="H104" s="356"/>
      <c r="I104" s="1436"/>
      <c r="J104" s="356"/>
      <c r="K104" s="506" t="s">
        <v>2747</v>
      </c>
      <c r="L104" s="506"/>
      <c r="M104" s="511">
        <v>900000</v>
      </c>
      <c r="N104" s="506" t="s">
        <v>112</v>
      </c>
      <c r="O104" s="510">
        <v>43368</v>
      </c>
      <c r="P104" s="510">
        <v>43382</v>
      </c>
      <c r="Q104" s="510"/>
      <c r="R104" s="761" t="s">
        <v>242</v>
      </c>
      <c r="S104" s="1714" t="s">
        <v>4713</v>
      </c>
      <c r="T104" s="511"/>
      <c r="U104" s="511"/>
      <c r="V104" s="1470"/>
      <c r="W104" s="1470"/>
      <c r="X104" s="1470"/>
      <c r="Y104" s="1398"/>
      <c r="Z104" s="511"/>
      <c r="AA104" s="506"/>
      <c r="AB104" s="510">
        <v>43507</v>
      </c>
      <c r="AC104" s="506"/>
      <c r="AD104" s="506"/>
      <c r="AE104" s="506"/>
    </row>
    <row r="105" spans="1:36">
      <c r="A105" s="1446" t="s">
        <v>239</v>
      </c>
      <c r="B105" s="540" t="s">
        <v>239</v>
      </c>
      <c r="C105" s="491" t="s">
        <v>239</v>
      </c>
      <c r="D105" s="1373" t="s">
        <v>3324</v>
      </c>
      <c r="E105" s="491" t="s">
        <v>52</v>
      </c>
      <c r="F105" s="491" t="s">
        <v>227</v>
      </c>
      <c r="G105" s="571" t="s">
        <v>3325</v>
      </c>
      <c r="H105" s="491"/>
      <c r="I105" s="495"/>
      <c r="J105" s="491"/>
      <c r="K105" s="491" t="s">
        <v>1091</v>
      </c>
      <c r="L105" s="491" t="s">
        <v>2362</v>
      </c>
      <c r="M105" s="536">
        <v>129510000</v>
      </c>
      <c r="N105" s="491" t="s">
        <v>251</v>
      </c>
      <c r="O105" s="537">
        <v>43396</v>
      </c>
      <c r="P105" s="537">
        <v>43454</v>
      </c>
      <c r="Q105" s="537">
        <v>43495</v>
      </c>
      <c r="R105" s="491" t="s">
        <v>2626</v>
      </c>
      <c r="S105" s="495"/>
      <c r="T105" s="536">
        <v>128990069.95999999</v>
      </c>
      <c r="U105" s="536">
        <f>T105*1.21</f>
        <v>156077984.65159997</v>
      </c>
      <c r="V105" s="1472"/>
      <c r="W105" s="1472"/>
      <c r="X105" s="1472"/>
      <c r="Y105" s="573">
        <v>43495</v>
      </c>
      <c r="Z105" s="536" t="s">
        <v>3674</v>
      </c>
      <c r="AA105" s="537">
        <v>43530</v>
      </c>
      <c r="AB105" s="537">
        <v>43531</v>
      </c>
      <c r="AC105" s="537">
        <v>44079</v>
      </c>
      <c r="AD105" s="537">
        <v>44074</v>
      </c>
      <c r="AE105" s="530"/>
      <c r="AF105" s="374"/>
      <c r="AG105" s="374"/>
    </row>
    <row r="106" spans="1:36" ht="30">
      <c r="A106" s="1446" t="s">
        <v>239</v>
      </c>
      <c r="B106" s="540" t="s">
        <v>239</v>
      </c>
      <c r="C106" s="491" t="s">
        <v>239</v>
      </c>
      <c r="D106" s="1373" t="s">
        <v>3352</v>
      </c>
      <c r="E106" s="491" t="s">
        <v>2111</v>
      </c>
      <c r="F106" s="491" t="s">
        <v>1215</v>
      </c>
      <c r="G106" s="571" t="s">
        <v>3353</v>
      </c>
      <c r="H106" s="491"/>
      <c r="I106" s="495"/>
      <c r="J106" s="491"/>
      <c r="K106" s="491" t="s">
        <v>3354</v>
      </c>
      <c r="L106" s="491"/>
      <c r="M106" s="536">
        <v>120000000</v>
      </c>
      <c r="N106" s="491" t="s">
        <v>251</v>
      </c>
      <c r="O106" s="537">
        <v>43392</v>
      </c>
      <c r="P106" s="537">
        <v>43452</v>
      </c>
      <c r="Q106" s="537">
        <v>43480</v>
      </c>
      <c r="R106" s="491" t="s">
        <v>3497</v>
      </c>
      <c r="S106" s="495"/>
      <c r="T106" s="536">
        <v>114751628.15000001</v>
      </c>
      <c r="U106" s="536">
        <f>T106*1.21</f>
        <v>138849470.06150001</v>
      </c>
      <c r="V106" s="1472"/>
      <c r="W106" s="1472"/>
      <c r="X106" s="1472"/>
      <c r="Y106" s="573">
        <v>43481</v>
      </c>
      <c r="Z106" s="1375" t="s">
        <v>3789</v>
      </c>
      <c r="AA106" s="537">
        <v>43535</v>
      </c>
      <c r="AB106" s="537">
        <v>43538</v>
      </c>
      <c r="AC106" s="491" t="s">
        <v>4096</v>
      </c>
      <c r="AD106" s="537" t="s">
        <v>7131</v>
      </c>
      <c r="AE106" s="537">
        <v>44278</v>
      </c>
      <c r="AF106" s="1560">
        <v>44642</v>
      </c>
      <c r="AG106" s="388">
        <v>2022</v>
      </c>
      <c r="AH106" s="388">
        <v>2023</v>
      </c>
      <c r="AI106" s="388">
        <v>2024</v>
      </c>
      <c r="AJ106" s="388">
        <v>2025</v>
      </c>
    </row>
    <row r="107" spans="1:36" ht="30">
      <c r="A107" s="1443" t="s">
        <v>239</v>
      </c>
      <c r="B107" s="491" t="s">
        <v>239</v>
      </c>
      <c r="C107" s="491" t="s">
        <v>239</v>
      </c>
      <c r="D107" s="1373" t="s">
        <v>3367</v>
      </c>
      <c r="E107" s="491" t="s">
        <v>837</v>
      </c>
      <c r="F107" s="491" t="s">
        <v>1682</v>
      </c>
      <c r="G107" s="571" t="s">
        <v>3368</v>
      </c>
      <c r="H107" s="491"/>
      <c r="I107" s="495"/>
      <c r="J107" s="491"/>
      <c r="K107" s="491" t="s">
        <v>3369</v>
      </c>
      <c r="L107" s="491"/>
      <c r="M107" s="536">
        <v>1600000</v>
      </c>
      <c r="N107" s="491" t="s">
        <v>112</v>
      </c>
      <c r="O107" s="537">
        <v>43398</v>
      </c>
      <c r="P107" s="537">
        <v>43409</v>
      </c>
      <c r="Q107" s="537">
        <v>43446</v>
      </c>
      <c r="R107" s="491" t="s">
        <v>379</v>
      </c>
      <c r="S107" s="495"/>
      <c r="T107" s="536">
        <v>1081060</v>
      </c>
      <c r="U107" s="536">
        <f>T107*1.21</f>
        <v>1308082.5999999999</v>
      </c>
      <c r="V107" s="1471" t="s">
        <v>239</v>
      </c>
      <c r="W107" s="1471" t="s">
        <v>239</v>
      </c>
      <c r="X107" s="1471" t="s">
        <v>239</v>
      </c>
      <c r="Y107" s="573">
        <v>43446</v>
      </c>
      <c r="Z107" s="1375" t="s">
        <v>3591</v>
      </c>
      <c r="AA107" s="537">
        <v>43476</v>
      </c>
      <c r="AB107" s="537">
        <v>43479</v>
      </c>
      <c r="AC107" s="537">
        <v>44936</v>
      </c>
      <c r="AD107" s="537">
        <v>43913</v>
      </c>
      <c r="AE107" s="537">
        <v>44278</v>
      </c>
      <c r="AF107" s="1560">
        <v>44642</v>
      </c>
      <c r="AG107" s="388" t="s">
        <v>3582</v>
      </c>
      <c r="AH107" s="388" t="s">
        <v>3590</v>
      </c>
    </row>
    <row r="108" spans="1:36">
      <c r="A108" s="1443" t="s">
        <v>239</v>
      </c>
      <c r="B108" s="491" t="s">
        <v>239</v>
      </c>
      <c r="C108" s="491" t="s">
        <v>239</v>
      </c>
      <c r="D108" s="1373" t="s">
        <v>3371</v>
      </c>
      <c r="E108" s="491" t="s">
        <v>1032</v>
      </c>
      <c r="F108" s="491" t="s">
        <v>361</v>
      </c>
      <c r="G108" s="571" t="s">
        <v>3372</v>
      </c>
      <c r="H108" s="355"/>
      <c r="I108" s="1426"/>
      <c r="J108" s="355"/>
      <c r="K108" s="491" t="s">
        <v>3374</v>
      </c>
      <c r="L108" s="491" t="s">
        <v>3373</v>
      </c>
      <c r="M108" s="536">
        <v>420000</v>
      </c>
      <c r="N108" s="491" t="s">
        <v>112</v>
      </c>
      <c r="O108" s="537">
        <v>43406</v>
      </c>
      <c r="P108" s="537">
        <v>43416</v>
      </c>
      <c r="Q108" s="537">
        <v>43432</v>
      </c>
      <c r="R108" s="491" t="s">
        <v>2581</v>
      </c>
      <c r="S108" s="495"/>
      <c r="T108" s="536">
        <v>310243.3</v>
      </c>
      <c r="U108" s="536">
        <f>T108*1.21</f>
        <v>375394.39299999998</v>
      </c>
      <c r="V108" s="1471" t="s">
        <v>239</v>
      </c>
      <c r="W108" s="1471" t="s">
        <v>239</v>
      </c>
      <c r="X108" s="1471" t="s">
        <v>239</v>
      </c>
      <c r="Y108" s="573">
        <v>43432</v>
      </c>
      <c r="Z108" s="536" t="s">
        <v>3576</v>
      </c>
      <c r="AA108" s="537">
        <v>43476</v>
      </c>
      <c r="AB108" s="537">
        <v>43479</v>
      </c>
      <c r="AC108" s="537">
        <v>43541</v>
      </c>
      <c r="AD108" s="537">
        <v>43626</v>
      </c>
      <c r="AE108" s="530"/>
      <c r="AF108" s="374"/>
      <c r="AG108" s="374"/>
    </row>
    <row r="109" spans="1:36">
      <c r="A109" s="1443" t="s">
        <v>239</v>
      </c>
      <c r="B109" s="491" t="s">
        <v>239</v>
      </c>
      <c r="C109" s="491" t="s">
        <v>239</v>
      </c>
      <c r="D109" s="1373" t="s">
        <v>3384</v>
      </c>
      <c r="E109" s="491" t="s">
        <v>2434</v>
      </c>
      <c r="F109" s="491" t="s">
        <v>219</v>
      </c>
      <c r="G109" s="571" t="s">
        <v>3520</v>
      </c>
      <c r="H109" s="491">
        <v>1</v>
      </c>
      <c r="I109" s="495" t="s">
        <v>3842</v>
      </c>
      <c r="J109" s="491"/>
      <c r="K109" s="491" t="s">
        <v>642</v>
      </c>
      <c r="L109" s="491"/>
      <c r="M109" s="536">
        <v>437800</v>
      </c>
      <c r="N109" s="491" t="s">
        <v>112</v>
      </c>
      <c r="O109" s="537">
        <v>43424</v>
      </c>
      <c r="P109" s="537">
        <v>43434</v>
      </c>
      <c r="Q109" s="537">
        <v>43446</v>
      </c>
      <c r="R109" s="491" t="s">
        <v>1433</v>
      </c>
      <c r="S109" s="495"/>
      <c r="T109" s="536">
        <v>437800</v>
      </c>
      <c r="U109" s="536">
        <v>529738</v>
      </c>
      <c r="V109" s="1471"/>
      <c r="W109" s="1471"/>
      <c r="X109" s="1471"/>
      <c r="Y109" s="573">
        <v>43446</v>
      </c>
      <c r="Z109" s="536" t="s">
        <v>3578</v>
      </c>
      <c r="AA109" s="537">
        <v>43487</v>
      </c>
      <c r="AB109" s="537">
        <v>43488</v>
      </c>
      <c r="AC109" s="537">
        <v>44217</v>
      </c>
      <c r="AD109" s="537">
        <v>43930</v>
      </c>
      <c r="AE109" s="537">
        <v>44285</v>
      </c>
      <c r="AF109" s="1560">
        <v>44285</v>
      </c>
      <c r="AG109" s="374"/>
    </row>
    <row r="110" spans="1:36">
      <c r="A110" s="1443" t="s">
        <v>239</v>
      </c>
      <c r="B110" s="491" t="s">
        <v>239</v>
      </c>
      <c r="C110" s="491" t="s">
        <v>239</v>
      </c>
      <c r="D110" s="1373" t="s">
        <v>3384</v>
      </c>
      <c r="E110" s="491" t="s">
        <v>2434</v>
      </c>
      <c r="F110" s="491" t="s">
        <v>219</v>
      </c>
      <c r="G110" s="571" t="s">
        <v>3520</v>
      </c>
      <c r="H110" s="491">
        <v>2</v>
      </c>
      <c r="I110" s="495" t="s">
        <v>3843</v>
      </c>
      <c r="J110" s="491"/>
      <c r="K110" s="491" t="s">
        <v>642</v>
      </c>
      <c r="L110" s="491"/>
      <c r="M110" s="536">
        <v>542640</v>
      </c>
      <c r="N110" s="491" t="s">
        <v>112</v>
      </c>
      <c r="O110" s="537">
        <v>43424</v>
      </c>
      <c r="P110" s="537">
        <v>43434</v>
      </c>
      <c r="Q110" s="537">
        <v>43446</v>
      </c>
      <c r="R110" s="491" t="s">
        <v>4857</v>
      </c>
      <c r="S110" s="495"/>
      <c r="T110" s="536">
        <v>542640</v>
      </c>
      <c r="U110" s="536">
        <v>656594.4</v>
      </c>
      <c r="V110" s="1471"/>
      <c r="W110" s="1471"/>
      <c r="X110" s="1471"/>
      <c r="Y110" s="573">
        <v>43446</v>
      </c>
      <c r="Z110" s="536" t="s">
        <v>3577</v>
      </c>
      <c r="AA110" s="537">
        <v>43482</v>
      </c>
      <c r="AB110" s="537">
        <v>43488</v>
      </c>
      <c r="AC110" s="537">
        <v>44212</v>
      </c>
      <c r="AD110" s="537">
        <v>43864</v>
      </c>
      <c r="AE110" s="537">
        <v>44285</v>
      </c>
      <c r="AF110" s="1560">
        <v>44285</v>
      </c>
      <c r="AG110" s="374"/>
    </row>
    <row r="111" spans="1:36">
      <c r="A111" s="1453" t="s">
        <v>239</v>
      </c>
      <c r="B111" s="506" t="s">
        <v>239</v>
      </c>
      <c r="C111" s="506" t="s">
        <v>239</v>
      </c>
      <c r="D111" s="1382" t="s">
        <v>3387</v>
      </c>
      <c r="E111" s="506" t="s">
        <v>58</v>
      </c>
      <c r="F111" s="506" t="s">
        <v>2684</v>
      </c>
      <c r="G111" s="507" t="s">
        <v>3388</v>
      </c>
      <c r="H111" s="506"/>
      <c r="I111" s="548"/>
      <c r="J111" s="506"/>
      <c r="K111" s="506" t="s">
        <v>1294</v>
      </c>
      <c r="L111" s="506" t="s">
        <v>3389</v>
      </c>
      <c r="M111" s="511">
        <v>4600000</v>
      </c>
      <c r="N111" s="506" t="s">
        <v>251</v>
      </c>
      <c r="O111" s="510">
        <v>43413</v>
      </c>
      <c r="P111" s="510">
        <v>43451</v>
      </c>
      <c r="Q111" s="510"/>
      <c r="R111" s="514" t="s">
        <v>242</v>
      </c>
      <c r="S111" s="1713" t="s">
        <v>4715</v>
      </c>
      <c r="T111" s="511">
        <v>4585200</v>
      </c>
      <c r="U111" s="511">
        <v>5548092</v>
      </c>
      <c r="V111" s="1470"/>
      <c r="W111" s="1470"/>
      <c r="X111" s="1470"/>
      <c r="Y111" s="511"/>
      <c r="Z111" s="511"/>
      <c r="AA111" s="506"/>
      <c r="AB111" s="510">
        <v>43507</v>
      </c>
      <c r="AC111" s="506"/>
      <c r="AD111" s="506"/>
      <c r="AE111" s="506"/>
    </row>
    <row r="112" spans="1:36" ht="30">
      <c r="A112" s="1446" t="s">
        <v>239</v>
      </c>
      <c r="B112" s="540" t="s">
        <v>239</v>
      </c>
      <c r="C112" s="506" t="s">
        <v>239</v>
      </c>
      <c r="D112" s="1382" t="s">
        <v>3390</v>
      </c>
      <c r="E112" s="506" t="s">
        <v>58</v>
      </c>
      <c r="F112" s="506" t="s">
        <v>2684</v>
      </c>
      <c r="G112" s="507" t="s">
        <v>3392</v>
      </c>
      <c r="H112" s="506"/>
      <c r="I112" s="548"/>
      <c r="J112" s="506"/>
      <c r="K112" s="506" t="s">
        <v>462</v>
      </c>
      <c r="L112" s="506" t="s">
        <v>3391</v>
      </c>
      <c r="M112" s="511">
        <v>4530000</v>
      </c>
      <c r="N112" s="506" t="s">
        <v>251</v>
      </c>
      <c r="O112" s="510">
        <v>43413</v>
      </c>
      <c r="P112" s="510">
        <v>43448</v>
      </c>
      <c r="Q112" s="510">
        <v>43507</v>
      </c>
      <c r="R112" s="514" t="s">
        <v>4300</v>
      </c>
      <c r="S112" s="1720" t="s">
        <v>5248</v>
      </c>
      <c r="T112" s="511">
        <v>6553201.2300000004</v>
      </c>
      <c r="U112" s="511">
        <v>7929373.4699999997</v>
      </c>
      <c r="V112" s="1470"/>
      <c r="W112" s="1470"/>
      <c r="X112" s="1470"/>
      <c r="Y112" s="1398">
        <v>43510</v>
      </c>
      <c r="Z112" s="1561" t="s">
        <v>3941</v>
      </c>
      <c r="AA112" s="506"/>
      <c r="AB112" s="510">
        <v>43641</v>
      </c>
      <c r="AC112" s="506"/>
      <c r="AD112" s="506"/>
      <c r="AE112" s="506"/>
    </row>
    <row r="113" spans="1:34">
      <c r="A113" s="1446" t="s">
        <v>239</v>
      </c>
      <c r="B113" s="540" t="s">
        <v>239</v>
      </c>
      <c r="C113" s="491" t="s">
        <v>239</v>
      </c>
      <c r="D113" s="1373" t="s">
        <v>3394</v>
      </c>
      <c r="E113" s="491" t="s">
        <v>2434</v>
      </c>
      <c r="F113" s="491" t="s">
        <v>219</v>
      </c>
      <c r="G113" s="571" t="s">
        <v>3518</v>
      </c>
      <c r="H113" s="491">
        <v>1</v>
      </c>
      <c r="I113" s="495" t="s">
        <v>3844</v>
      </c>
      <c r="J113" s="491"/>
      <c r="K113" s="491" t="s">
        <v>316</v>
      </c>
      <c r="L113" s="491"/>
      <c r="M113" s="536">
        <v>988520</v>
      </c>
      <c r="N113" s="491" t="s">
        <v>216</v>
      </c>
      <c r="O113" s="537">
        <v>43433</v>
      </c>
      <c r="P113" s="537">
        <v>43453</v>
      </c>
      <c r="Q113" s="537">
        <v>43507</v>
      </c>
      <c r="R113" s="491" t="s">
        <v>3501</v>
      </c>
      <c r="S113" s="495"/>
      <c r="T113" s="536">
        <v>814400</v>
      </c>
      <c r="U113" s="536">
        <v>985424</v>
      </c>
      <c r="V113" s="1471"/>
      <c r="W113" s="1471"/>
      <c r="X113" s="1471"/>
      <c r="Y113" s="573">
        <v>43510</v>
      </c>
      <c r="Z113" s="536" t="s">
        <v>3942</v>
      </c>
      <c r="AA113" s="537">
        <v>43543</v>
      </c>
      <c r="AB113" s="537">
        <v>43549</v>
      </c>
      <c r="AC113" s="537">
        <v>43908</v>
      </c>
      <c r="AD113" s="537">
        <v>43815</v>
      </c>
      <c r="AE113" s="537">
        <v>43955</v>
      </c>
      <c r="AF113" s="374"/>
      <c r="AG113" s="374"/>
    </row>
    <row r="114" spans="1:34">
      <c r="A114" s="1446" t="s">
        <v>239</v>
      </c>
      <c r="B114" s="540" t="s">
        <v>239</v>
      </c>
      <c r="C114" s="491" t="s">
        <v>239</v>
      </c>
      <c r="D114" s="1373" t="s">
        <v>3394</v>
      </c>
      <c r="E114" s="491" t="s">
        <v>2434</v>
      </c>
      <c r="F114" s="491" t="s">
        <v>219</v>
      </c>
      <c r="G114" s="571" t="s">
        <v>3518</v>
      </c>
      <c r="H114" s="491">
        <v>2</v>
      </c>
      <c r="I114" s="495" t="s">
        <v>3845</v>
      </c>
      <c r="J114" s="491"/>
      <c r="K114" s="491" t="s">
        <v>316</v>
      </c>
      <c r="L114" s="491"/>
      <c r="M114" s="536">
        <v>1036080</v>
      </c>
      <c r="N114" s="491" t="s">
        <v>216</v>
      </c>
      <c r="O114" s="537">
        <v>43433</v>
      </c>
      <c r="P114" s="537">
        <v>43453</v>
      </c>
      <c r="Q114" s="537">
        <v>43507</v>
      </c>
      <c r="R114" s="491" t="s">
        <v>3502</v>
      </c>
      <c r="S114" s="495"/>
      <c r="T114" s="536">
        <v>900828</v>
      </c>
      <c r="U114" s="536">
        <v>1090001.8799999999</v>
      </c>
      <c r="V114" s="1471"/>
      <c r="W114" s="1471"/>
      <c r="X114" s="1471"/>
      <c r="Y114" s="573">
        <v>43510</v>
      </c>
      <c r="Z114" s="536" t="s">
        <v>3943</v>
      </c>
      <c r="AA114" s="537">
        <v>43542</v>
      </c>
      <c r="AB114" s="537">
        <v>43549</v>
      </c>
      <c r="AC114" s="537">
        <v>43907</v>
      </c>
      <c r="AD114" s="537">
        <v>43838</v>
      </c>
      <c r="AE114" s="537">
        <v>44175</v>
      </c>
      <c r="AF114" s="374"/>
      <c r="AG114" s="374"/>
    </row>
    <row r="115" spans="1:34">
      <c r="A115" s="1453" t="s">
        <v>239</v>
      </c>
      <c r="B115" s="506" t="s">
        <v>239</v>
      </c>
      <c r="C115" s="506" t="s">
        <v>239</v>
      </c>
      <c r="D115" s="1382" t="s">
        <v>3397</v>
      </c>
      <c r="E115" s="506" t="s">
        <v>2265</v>
      </c>
      <c r="F115" s="506" t="s">
        <v>230</v>
      </c>
      <c r="G115" s="507" t="s">
        <v>3519</v>
      </c>
      <c r="H115" s="506">
        <v>1</v>
      </c>
      <c r="I115" s="548" t="s">
        <v>3846</v>
      </c>
      <c r="J115" s="506"/>
      <c r="K115" s="506" t="s">
        <v>154</v>
      </c>
      <c r="L115" s="506"/>
      <c r="M115" s="511">
        <v>2100000</v>
      </c>
      <c r="N115" s="506" t="s">
        <v>216</v>
      </c>
      <c r="O115" s="510">
        <v>43447</v>
      </c>
      <c r="P115" s="510">
        <v>43475</v>
      </c>
      <c r="Q115" s="510"/>
      <c r="R115" s="514" t="s">
        <v>2774</v>
      </c>
      <c r="S115" s="1713" t="s">
        <v>4716</v>
      </c>
      <c r="T115" s="511"/>
      <c r="U115" s="511"/>
      <c r="V115" s="1470"/>
      <c r="W115" s="1470"/>
      <c r="X115" s="1470"/>
      <c r="Y115" s="511"/>
      <c r="Z115" s="511"/>
      <c r="AA115" s="506"/>
      <c r="AB115" s="510">
        <v>43476</v>
      </c>
      <c r="AC115" s="506"/>
      <c r="AD115" s="506"/>
      <c r="AE115" s="506"/>
    </row>
    <row r="116" spans="1:34">
      <c r="A116" s="1453" t="s">
        <v>239</v>
      </c>
      <c r="B116" s="506" t="s">
        <v>239</v>
      </c>
      <c r="C116" s="506" t="s">
        <v>239</v>
      </c>
      <c r="D116" s="1382" t="s">
        <v>3397</v>
      </c>
      <c r="E116" s="506" t="s">
        <v>2265</v>
      </c>
      <c r="F116" s="506" t="s">
        <v>230</v>
      </c>
      <c r="G116" s="507" t="s">
        <v>3519</v>
      </c>
      <c r="H116" s="506">
        <v>2</v>
      </c>
      <c r="I116" s="548" t="s">
        <v>3847</v>
      </c>
      <c r="J116" s="506"/>
      <c r="K116" s="506" t="s">
        <v>154</v>
      </c>
      <c r="L116" s="506"/>
      <c r="M116" s="511">
        <v>900000</v>
      </c>
      <c r="N116" s="506" t="s">
        <v>216</v>
      </c>
      <c r="O116" s="510">
        <v>43447</v>
      </c>
      <c r="P116" s="510">
        <v>43475</v>
      </c>
      <c r="Q116" s="510"/>
      <c r="R116" s="514" t="s">
        <v>2774</v>
      </c>
      <c r="S116" s="1713" t="s">
        <v>4716</v>
      </c>
      <c r="T116" s="511"/>
      <c r="U116" s="511"/>
      <c r="V116" s="1470"/>
      <c r="W116" s="1470"/>
      <c r="X116" s="1470"/>
      <c r="Y116" s="511"/>
      <c r="Z116" s="511"/>
      <c r="AA116" s="506"/>
      <c r="AB116" s="510">
        <v>43476</v>
      </c>
      <c r="AC116" s="506"/>
      <c r="AD116" s="506"/>
      <c r="AE116" s="506"/>
    </row>
    <row r="117" spans="1:34" ht="30">
      <c r="A117" s="1443" t="s">
        <v>239</v>
      </c>
      <c r="B117" s="491" t="s">
        <v>239</v>
      </c>
      <c r="C117" s="491" t="s">
        <v>239</v>
      </c>
      <c r="D117" s="1373" t="s">
        <v>3400</v>
      </c>
      <c r="E117" s="491" t="s">
        <v>1032</v>
      </c>
      <c r="F117" s="491" t="s">
        <v>361</v>
      </c>
      <c r="G117" s="571" t="s">
        <v>3401</v>
      </c>
      <c r="H117" s="491"/>
      <c r="I117" s="495"/>
      <c r="J117" s="491"/>
      <c r="K117" s="491" t="s">
        <v>1765</v>
      </c>
      <c r="L117" s="491" t="s">
        <v>3402</v>
      </c>
      <c r="M117" s="536">
        <v>1300000</v>
      </c>
      <c r="N117" s="491" t="s">
        <v>112</v>
      </c>
      <c r="O117" s="537">
        <v>43441</v>
      </c>
      <c r="P117" s="537">
        <v>43451</v>
      </c>
      <c r="Q117" s="537">
        <v>43474</v>
      </c>
      <c r="R117" s="491" t="s">
        <v>342</v>
      </c>
      <c r="S117" s="495"/>
      <c r="T117" s="536">
        <v>1108850</v>
      </c>
      <c r="U117" s="536">
        <v>1341708.5</v>
      </c>
      <c r="V117" s="1471"/>
      <c r="W117" s="1471"/>
      <c r="X117" s="1471"/>
      <c r="Y117" s="573">
        <v>43474</v>
      </c>
      <c r="Z117" s="1375" t="s">
        <v>3575</v>
      </c>
      <c r="AA117" s="537">
        <v>43510</v>
      </c>
      <c r="AB117" s="537">
        <v>43510</v>
      </c>
      <c r="AC117" s="537">
        <v>43689</v>
      </c>
      <c r="AD117" s="537">
        <v>43767</v>
      </c>
      <c r="AE117" s="1374" t="s">
        <v>1875</v>
      </c>
      <c r="AF117" s="374"/>
      <c r="AG117" s="374"/>
    </row>
    <row r="118" spans="1:34" ht="30">
      <c r="A118" s="1446" t="s">
        <v>239</v>
      </c>
      <c r="B118" s="540" t="s">
        <v>239</v>
      </c>
      <c r="C118" s="491" t="s">
        <v>239</v>
      </c>
      <c r="D118" s="1373" t="s">
        <v>3403</v>
      </c>
      <c r="E118" s="491" t="s">
        <v>58</v>
      </c>
      <c r="F118" s="491" t="s">
        <v>2684</v>
      </c>
      <c r="G118" s="571" t="s">
        <v>3404</v>
      </c>
      <c r="H118" s="491"/>
      <c r="I118" s="495"/>
      <c r="J118" s="491"/>
      <c r="K118" s="491" t="s">
        <v>77</v>
      </c>
      <c r="L118" s="491" t="s">
        <v>3405</v>
      </c>
      <c r="M118" s="536">
        <v>2727000</v>
      </c>
      <c r="N118" s="491" t="s">
        <v>216</v>
      </c>
      <c r="O118" s="537">
        <v>43433</v>
      </c>
      <c r="P118" s="537">
        <v>43474</v>
      </c>
      <c r="Q118" s="1524">
        <v>43566</v>
      </c>
      <c r="R118" s="919" t="s">
        <v>4323</v>
      </c>
      <c r="S118" s="976"/>
      <c r="T118" s="1523">
        <v>2161400</v>
      </c>
      <c r="U118" s="1523">
        <v>2615294</v>
      </c>
      <c r="V118" s="1517"/>
      <c r="W118" s="1517"/>
      <c r="X118" s="1517"/>
      <c r="Y118" s="1532">
        <v>43566</v>
      </c>
      <c r="Z118" s="1549" t="s">
        <v>4324</v>
      </c>
      <c r="AA118" s="537">
        <v>43599</v>
      </c>
      <c r="AB118" s="537">
        <v>43601</v>
      </c>
      <c r="AC118" s="537">
        <f>AA118+56</f>
        <v>43655</v>
      </c>
      <c r="AD118" s="537">
        <v>43692</v>
      </c>
      <c r="AE118" s="1374" t="s">
        <v>1875</v>
      </c>
      <c r="AG118" s="374"/>
    </row>
    <row r="119" spans="1:34">
      <c r="A119" s="1446" t="s">
        <v>239</v>
      </c>
      <c r="B119" s="540" t="s">
        <v>239</v>
      </c>
      <c r="C119" s="491" t="s">
        <v>239</v>
      </c>
      <c r="D119" s="1373" t="s">
        <v>3408</v>
      </c>
      <c r="E119" s="491" t="s">
        <v>69</v>
      </c>
      <c r="F119" s="491" t="s">
        <v>70</v>
      </c>
      <c r="G119" s="495" t="s">
        <v>3409</v>
      </c>
      <c r="H119" s="491">
        <v>1</v>
      </c>
      <c r="I119" s="495" t="s">
        <v>3763</v>
      </c>
      <c r="J119" s="491" t="s">
        <v>3764</v>
      </c>
      <c r="K119" s="491" t="s">
        <v>671</v>
      </c>
      <c r="L119" s="491"/>
      <c r="M119" s="536">
        <v>33976800</v>
      </c>
      <c r="N119" s="491" t="s">
        <v>251</v>
      </c>
      <c r="O119" s="537">
        <v>43441</v>
      </c>
      <c r="P119" s="537">
        <v>43487</v>
      </c>
      <c r="Q119" s="537">
        <v>43529</v>
      </c>
      <c r="R119" s="491" t="s">
        <v>1389</v>
      </c>
      <c r="S119" s="495"/>
      <c r="T119" s="536">
        <v>33976800</v>
      </c>
      <c r="U119" s="536">
        <f>T119*1.1</f>
        <v>37374480</v>
      </c>
      <c r="V119" s="1471"/>
      <c r="W119" s="1471"/>
      <c r="X119" s="1471"/>
      <c r="Y119" s="573">
        <v>43529</v>
      </c>
      <c r="Z119" s="536" t="s">
        <v>4048</v>
      </c>
      <c r="AA119" s="537">
        <v>43556</v>
      </c>
      <c r="AB119" s="537">
        <v>43557</v>
      </c>
      <c r="AC119" s="537">
        <v>44286</v>
      </c>
      <c r="AD119" s="537">
        <v>43878</v>
      </c>
      <c r="AE119" s="537">
        <v>44355</v>
      </c>
      <c r="AF119" s="360" t="s">
        <v>9132</v>
      </c>
      <c r="AG119" s="374"/>
    </row>
    <row r="120" spans="1:34" ht="30">
      <c r="A120" s="1446" t="s">
        <v>239</v>
      </c>
      <c r="B120" s="540" t="s">
        <v>239</v>
      </c>
      <c r="C120" s="491" t="s">
        <v>239</v>
      </c>
      <c r="D120" s="1373" t="s">
        <v>3410</v>
      </c>
      <c r="E120" s="491" t="s">
        <v>2434</v>
      </c>
      <c r="F120" s="491" t="s">
        <v>219</v>
      </c>
      <c r="G120" s="571" t="s">
        <v>3411</v>
      </c>
      <c r="H120" s="491"/>
      <c r="I120" s="495"/>
      <c r="J120" s="491"/>
      <c r="K120" s="491" t="s">
        <v>675</v>
      </c>
      <c r="L120" s="491"/>
      <c r="M120" s="536">
        <v>2898000</v>
      </c>
      <c r="N120" s="491" t="s">
        <v>251</v>
      </c>
      <c r="O120" s="537">
        <v>43433</v>
      </c>
      <c r="P120" s="537">
        <v>43473</v>
      </c>
      <c r="Q120" s="537">
        <v>43489</v>
      </c>
      <c r="R120" s="491" t="s">
        <v>1874</v>
      </c>
      <c r="S120" s="495"/>
      <c r="T120" s="536">
        <v>2898000</v>
      </c>
      <c r="U120" s="536">
        <v>3332700</v>
      </c>
      <c r="V120" s="1471"/>
      <c r="W120" s="1471"/>
      <c r="X120" s="1471"/>
      <c r="Y120" s="573">
        <v>43489</v>
      </c>
      <c r="Z120" s="1375" t="s">
        <v>3984</v>
      </c>
      <c r="AA120" s="537">
        <v>43522</v>
      </c>
      <c r="AB120" s="537">
        <v>43523</v>
      </c>
      <c r="AC120" s="491" t="s">
        <v>3985</v>
      </c>
      <c r="AD120" s="491" t="s">
        <v>6603</v>
      </c>
      <c r="AE120" s="491" t="s">
        <v>8483</v>
      </c>
      <c r="AF120" s="1560">
        <v>44637</v>
      </c>
      <c r="AG120" s="388">
        <v>2022</v>
      </c>
      <c r="AH120" s="388">
        <v>2023</v>
      </c>
    </row>
    <row r="121" spans="1:34" ht="30.75" thickBot="1">
      <c r="A121" s="1444" t="s">
        <v>239</v>
      </c>
      <c r="B121" s="411" t="s">
        <v>239</v>
      </c>
      <c r="C121" s="411" t="s">
        <v>239</v>
      </c>
      <c r="D121" s="1373" t="s">
        <v>3412</v>
      </c>
      <c r="E121" s="491" t="s">
        <v>58</v>
      </c>
      <c r="F121" s="491" t="s">
        <v>2684</v>
      </c>
      <c r="G121" s="571" t="s">
        <v>3413</v>
      </c>
      <c r="H121" s="491"/>
      <c r="I121" s="495"/>
      <c r="J121" s="491"/>
      <c r="K121" s="491" t="s">
        <v>3414</v>
      </c>
      <c r="L121" s="491" t="s">
        <v>3415</v>
      </c>
      <c r="M121" s="536">
        <v>958909</v>
      </c>
      <c r="N121" s="491" t="s">
        <v>112</v>
      </c>
      <c r="O121" s="537">
        <v>43427</v>
      </c>
      <c r="P121" s="537">
        <v>43434</v>
      </c>
      <c r="Q121" s="537">
        <v>43479</v>
      </c>
      <c r="R121" s="491" t="s">
        <v>2496</v>
      </c>
      <c r="S121" s="495"/>
      <c r="T121" s="536">
        <v>847790</v>
      </c>
      <c r="U121" s="536">
        <v>1025828</v>
      </c>
      <c r="V121" s="1471"/>
      <c r="W121" s="1471"/>
      <c r="X121" s="1471"/>
      <c r="Y121" s="573">
        <v>43479</v>
      </c>
      <c r="Z121" s="1375" t="s">
        <v>3595</v>
      </c>
      <c r="AA121" s="537">
        <v>43502</v>
      </c>
      <c r="AB121" s="537">
        <v>43502</v>
      </c>
      <c r="AC121" s="537">
        <f>AA121+30</f>
        <v>43532</v>
      </c>
      <c r="AD121" s="537">
        <v>43584</v>
      </c>
      <c r="AE121" s="1374" t="s">
        <v>1875</v>
      </c>
      <c r="AF121" s="374"/>
      <c r="AG121" s="374"/>
    </row>
    <row r="122" spans="1:34" ht="15.75" thickTop="1">
      <c r="A122" s="1456" t="s">
        <v>239</v>
      </c>
      <c r="B122" s="583" t="s">
        <v>239</v>
      </c>
      <c r="C122" s="453" t="s">
        <v>239</v>
      </c>
      <c r="D122" s="1383" t="s">
        <v>3441</v>
      </c>
      <c r="E122" s="453" t="s">
        <v>69</v>
      </c>
      <c r="F122" s="453" t="s">
        <v>70</v>
      </c>
      <c r="G122" s="473" t="s">
        <v>3526</v>
      </c>
      <c r="H122" s="453">
        <v>1</v>
      </c>
      <c r="I122" s="1420" t="s">
        <v>3765</v>
      </c>
      <c r="J122" s="453" t="s">
        <v>3766</v>
      </c>
      <c r="K122" s="453" t="s">
        <v>2418</v>
      </c>
      <c r="L122" s="453"/>
      <c r="M122" s="457">
        <v>990714</v>
      </c>
      <c r="N122" s="453" t="s">
        <v>251</v>
      </c>
      <c r="O122" s="474">
        <v>43451</v>
      </c>
      <c r="P122" s="474">
        <v>43518</v>
      </c>
      <c r="Q122" s="474">
        <v>43557</v>
      </c>
      <c r="R122" s="453" t="s">
        <v>3501</v>
      </c>
      <c r="S122" s="1420"/>
      <c r="T122" s="457">
        <v>990714</v>
      </c>
      <c r="U122" s="457">
        <v>1089785.3999999999</v>
      </c>
      <c r="V122" s="1474"/>
      <c r="W122" s="1474"/>
      <c r="X122" s="1474"/>
      <c r="Y122" s="570">
        <v>43558</v>
      </c>
      <c r="Z122" s="457" t="s">
        <v>4177</v>
      </c>
      <c r="AA122" s="474">
        <v>43591</v>
      </c>
      <c r="AB122" s="474">
        <v>43615</v>
      </c>
      <c r="AC122" s="474">
        <v>44686</v>
      </c>
      <c r="AD122" s="474">
        <v>43915</v>
      </c>
      <c r="AE122" s="537">
        <v>44280</v>
      </c>
      <c r="AF122" s="1560">
        <v>44645</v>
      </c>
      <c r="AG122" s="388" t="s">
        <v>4562</v>
      </c>
    </row>
    <row r="123" spans="1:34">
      <c r="A123" s="1457" t="s">
        <v>239</v>
      </c>
      <c r="B123" s="590" t="s">
        <v>239</v>
      </c>
      <c r="C123" s="491" t="s">
        <v>239</v>
      </c>
      <c r="D123" s="1373" t="s">
        <v>3441</v>
      </c>
      <c r="E123" s="491" t="s">
        <v>69</v>
      </c>
      <c r="F123" s="491" t="s">
        <v>70</v>
      </c>
      <c r="G123" s="571" t="s">
        <v>3526</v>
      </c>
      <c r="H123" s="491">
        <v>2</v>
      </c>
      <c r="I123" s="495" t="s">
        <v>3767</v>
      </c>
      <c r="J123" s="491" t="s">
        <v>3766</v>
      </c>
      <c r="K123" s="491" t="s">
        <v>2418</v>
      </c>
      <c r="L123" s="491"/>
      <c r="M123" s="536">
        <v>8306208</v>
      </c>
      <c r="N123" s="491" t="s">
        <v>251</v>
      </c>
      <c r="O123" s="537">
        <v>43451</v>
      </c>
      <c r="P123" s="537">
        <v>43518</v>
      </c>
      <c r="Q123" s="537">
        <v>43557</v>
      </c>
      <c r="R123" s="491" t="s">
        <v>3501</v>
      </c>
      <c r="S123" s="495"/>
      <c r="T123" s="536">
        <v>8552650</v>
      </c>
      <c r="U123" s="536">
        <v>9407915</v>
      </c>
      <c r="V123" s="1471"/>
      <c r="W123" s="1471"/>
      <c r="X123" s="1471"/>
      <c r="Y123" s="573">
        <v>43558</v>
      </c>
      <c r="Z123" s="536" t="s">
        <v>4178</v>
      </c>
      <c r="AA123" s="537">
        <v>43591</v>
      </c>
      <c r="AB123" s="537">
        <v>43615</v>
      </c>
      <c r="AC123" s="537">
        <v>44686</v>
      </c>
      <c r="AD123" s="537">
        <v>43915</v>
      </c>
      <c r="AE123" s="537">
        <v>44280</v>
      </c>
      <c r="AF123" s="1560">
        <v>44645</v>
      </c>
      <c r="AG123" s="388" t="s">
        <v>4562</v>
      </c>
    </row>
    <row r="124" spans="1:34">
      <c r="A124" s="1457" t="s">
        <v>239</v>
      </c>
      <c r="B124" s="590" t="s">
        <v>239</v>
      </c>
      <c r="C124" s="491" t="s">
        <v>239</v>
      </c>
      <c r="D124" s="1373" t="s">
        <v>3441</v>
      </c>
      <c r="E124" s="491" t="s">
        <v>69</v>
      </c>
      <c r="F124" s="491" t="s">
        <v>70</v>
      </c>
      <c r="G124" s="571" t="s">
        <v>3526</v>
      </c>
      <c r="H124" s="491">
        <v>3</v>
      </c>
      <c r="I124" s="495" t="s">
        <v>3768</v>
      </c>
      <c r="J124" s="491" t="s">
        <v>3766</v>
      </c>
      <c r="K124" s="491" t="s">
        <v>2418</v>
      </c>
      <c r="L124" s="491"/>
      <c r="M124" s="536">
        <v>65752</v>
      </c>
      <c r="N124" s="491" t="s">
        <v>251</v>
      </c>
      <c r="O124" s="537">
        <v>43451</v>
      </c>
      <c r="P124" s="537">
        <v>43518</v>
      </c>
      <c r="Q124" s="537">
        <v>43557</v>
      </c>
      <c r="R124" s="491" t="s">
        <v>3501</v>
      </c>
      <c r="S124" s="495"/>
      <c r="T124" s="536">
        <v>65751</v>
      </c>
      <c r="U124" s="536">
        <v>72326.539999999994</v>
      </c>
      <c r="V124" s="1471"/>
      <c r="W124" s="1471"/>
      <c r="X124" s="1471"/>
      <c r="Y124" s="573">
        <v>43558</v>
      </c>
      <c r="Z124" s="536" t="s">
        <v>4179</v>
      </c>
      <c r="AA124" s="537">
        <v>43591</v>
      </c>
      <c r="AB124" s="537">
        <v>43615</v>
      </c>
      <c r="AC124" s="537">
        <v>44686</v>
      </c>
      <c r="AD124" s="537">
        <v>43915</v>
      </c>
      <c r="AE124" s="537">
        <v>44280</v>
      </c>
      <c r="AF124" s="1560">
        <v>44645</v>
      </c>
      <c r="AG124" s="388" t="s">
        <v>4562</v>
      </c>
    </row>
    <row r="125" spans="1:34">
      <c r="A125" s="1457" t="s">
        <v>239</v>
      </c>
      <c r="B125" s="590" t="s">
        <v>239</v>
      </c>
      <c r="C125" s="491" t="s">
        <v>239</v>
      </c>
      <c r="D125" s="1373" t="s">
        <v>3441</v>
      </c>
      <c r="E125" s="491" t="s">
        <v>69</v>
      </c>
      <c r="F125" s="491" t="s">
        <v>70</v>
      </c>
      <c r="G125" s="571" t="s">
        <v>3526</v>
      </c>
      <c r="H125" s="491">
        <v>4</v>
      </c>
      <c r="I125" s="495" t="s">
        <v>3769</v>
      </c>
      <c r="J125" s="491" t="s">
        <v>3770</v>
      </c>
      <c r="K125" s="491" t="s">
        <v>2418</v>
      </c>
      <c r="L125" s="491"/>
      <c r="M125" s="536">
        <v>3909258</v>
      </c>
      <c r="N125" s="491" t="s">
        <v>251</v>
      </c>
      <c r="O125" s="537">
        <v>43451</v>
      </c>
      <c r="P125" s="537">
        <v>43518</v>
      </c>
      <c r="Q125" s="537">
        <v>43557</v>
      </c>
      <c r="R125" s="491" t="s">
        <v>576</v>
      </c>
      <c r="S125" s="495"/>
      <c r="T125" s="536">
        <v>3873244.32</v>
      </c>
      <c r="U125" s="536">
        <v>4260568.75</v>
      </c>
      <c r="V125" s="1471"/>
      <c r="W125" s="1471"/>
      <c r="X125" s="1471"/>
      <c r="Y125" s="573">
        <v>43558</v>
      </c>
      <c r="Z125" s="536" t="s">
        <v>4180</v>
      </c>
      <c r="AA125" s="537">
        <v>43591</v>
      </c>
      <c r="AB125" s="537">
        <v>43615</v>
      </c>
      <c r="AC125" s="537">
        <v>44686</v>
      </c>
      <c r="AD125" s="537">
        <v>43915</v>
      </c>
      <c r="AE125" s="537">
        <v>44280</v>
      </c>
      <c r="AF125" s="1560">
        <v>44645</v>
      </c>
      <c r="AG125" s="388" t="s">
        <v>4562</v>
      </c>
    </row>
    <row r="126" spans="1:34">
      <c r="A126" s="1457" t="s">
        <v>239</v>
      </c>
      <c r="B126" s="590" t="s">
        <v>239</v>
      </c>
      <c r="C126" s="491" t="s">
        <v>239</v>
      </c>
      <c r="D126" s="1373" t="s">
        <v>3441</v>
      </c>
      <c r="E126" s="491" t="s">
        <v>69</v>
      </c>
      <c r="F126" s="491" t="s">
        <v>70</v>
      </c>
      <c r="G126" s="571" t="s">
        <v>3526</v>
      </c>
      <c r="H126" s="491">
        <v>5</v>
      </c>
      <c r="I126" s="495" t="s">
        <v>3771</v>
      </c>
      <c r="J126" s="491"/>
      <c r="K126" s="491" t="s">
        <v>2418</v>
      </c>
      <c r="L126" s="491"/>
      <c r="M126" s="536">
        <v>1018999</v>
      </c>
      <c r="N126" s="491" t="s">
        <v>251</v>
      </c>
      <c r="O126" s="537">
        <v>43451</v>
      </c>
      <c r="P126" s="537">
        <v>43518</v>
      </c>
      <c r="Q126" s="537">
        <v>43557</v>
      </c>
      <c r="R126" s="491" t="s">
        <v>3501</v>
      </c>
      <c r="S126" s="495"/>
      <c r="T126" s="536">
        <v>1018997.7</v>
      </c>
      <c r="U126" s="536">
        <v>1171847.3600000001</v>
      </c>
      <c r="V126" s="1471"/>
      <c r="W126" s="1471"/>
      <c r="X126" s="1471"/>
      <c r="Y126" s="573">
        <v>43558</v>
      </c>
      <c r="Z126" s="536" t="s">
        <v>4181</v>
      </c>
      <c r="AA126" s="537">
        <v>43591</v>
      </c>
      <c r="AB126" s="537">
        <v>43615</v>
      </c>
      <c r="AC126" s="537">
        <v>44686</v>
      </c>
      <c r="AD126" s="537">
        <v>43915</v>
      </c>
      <c r="AE126" s="537">
        <v>44280</v>
      </c>
      <c r="AF126" s="1560">
        <v>44645</v>
      </c>
      <c r="AG126" s="388" t="s">
        <v>4562</v>
      </c>
    </row>
    <row r="127" spans="1:34">
      <c r="A127" s="1457" t="s">
        <v>239</v>
      </c>
      <c r="B127" s="590" t="s">
        <v>239</v>
      </c>
      <c r="C127" s="491" t="s">
        <v>239</v>
      </c>
      <c r="D127" s="1373" t="s">
        <v>3441</v>
      </c>
      <c r="E127" s="491" t="s">
        <v>69</v>
      </c>
      <c r="F127" s="491" t="s">
        <v>70</v>
      </c>
      <c r="G127" s="571" t="s">
        <v>3526</v>
      </c>
      <c r="H127" s="491">
        <v>6</v>
      </c>
      <c r="I127" s="495" t="s">
        <v>3772</v>
      </c>
      <c r="J127" s="491" t="s">
        <v>3773</v>
      </c>
      <c r="K127" s="491" t="s">
        <v>2418</v>
      </c>
      <c r="L127" s="491"/>
      <c r="M127" s="536">
        <v>3518439</v>
      </c>
      <c r="N127" s="491" t="s">
        <v>251</v>
      </c>
      <c r="O127" s="537">
        <v>43451</v>
      </c>
      <c r="P127" s="537">
        <v>43518</v>
      </c>
      <c r="Q127" s="537">
        <v>43557</v>
      </c>
      <c r="R127" s="491" t="s">
        <v>576</v>
      </c>
      <c r="S127" s="495"/>
      <c r="T127" s="536">
        <v>3518438.04</v>
      </c>
      <c r="U127" s="536">
        <v>3870281.84</v>
      </c>
      <c r="V127" s="1471"/>
      <c r="W127" s="1471"/>
      <c r="X127" s="1471"/>
      <c r="Y127" s="573">
        <v>43558</v>
      </c>
      <c r="Z127" s="536" t="s">
        <v>4182</v>
      </c>
      <c r="AA127" s="537">
        <v>43591</v>
      </c>
      <c r="AB127" s="537">
        <v>43615</v>
      </c>
      <c r="AC127" s="537">
        <v>44686</v>
      </c>
      <c r="AD127" s="537">
        <v>43915</v>
      </c>
      <c r="AE127" s="537">
        <v>44280</v>
      </c>
      <c r="AF127" s="1560">
        <v>44645</v>
      </c>
      <c r="AG127" s="388" t="s">
        <v>4562</v>
      </c>
    </row>
    <row r="128" spans="1:34" ht="15.75" thickBot="1">
      <c r="A128" s="1458" t="s">
        <v>239</v>
      </c>
      <c r="B128" s="1356" t="s">
        <v>239</v>
      </c>
      <c r="C128" s="1376" t="s">
        <v>239</v>
      </c>
      <c r="D128" s="1377" t="s">
        <v>3441</v>
      </c>
      <c r="E128" s="1376" t="s">
        <v>69</v>
      </c>
      <c r="F128" s="1376" t="s">
        <v>70</v>
      </c>
      <c r="G128" s="1378" t="s">
        <v>3526</v>
      </c>
      <c r="H128" s="1376">
        <v>7</v>
      </c>
      <c r="I128" s="1421" t="s">
        <v>3774</v>
      </c>
      <c r="J128" s="1376" t="s">
        <v>3773</v>
      </c>
      <c r="K128" s="1376" t="s">
        <v>2418</v>
      </c>
      <c r="L128" s="1376"/>
      <c r="M128" s="1379">
        <v>2011987</v>
      </c>
      <c r="N128" s="1376" t="s">
        <v>251</v>
      </c>
      <c r="O128" s="1380">
        <v>43451</v>
      </c>
      <c r="P128" s="1380">
        <v>43518</v>
      </c>
      <c r="Q128" s="1380">
        <v>43557</v>
      </c>
      <c r="R128" s="1376" t="s">
        <v>576</v>
      </c>
      <c r="S128" s="1421"/>
      <c r="T128" s="1379">
        <v>1999611.72</v>
      </c>
      <c r="U128" s="1379">
        <v>2199572.89</v>
      </c>
      <c r="V128" s="1475"/>
      <c r="W128" s="1475"/>
      <c r="X128" s="1475"/>
      <c r="Y128" s="1388">
        <v>43558</v>
      </c>
      <c r="Z128" s="1379" t="s">
        <v>4183</v>
      </c>
      <c r="AA128" s="1380">
        <v>43591</v>
      </c>
      <c r="AB128" s="1380">
        <v>43615</v>
      </c>
      <c r="AC128" s="1380">
        <v>44686</v>
      </c>
      <c r="AD128" s="1380">
        <v>43915</v>
      </c>
      <c r="AE128" s="537">
        <v>44280</v>
      </c>
      <c r="AF128" s="1560">
        <v>44645</v>
      </c>
      <c r="AG128" s="388" t="s">
        <v>4562</v>
      </c>
    </row>
    <row r="129" spans="1:33" ht="30.75" thickTop="1">
      <c r="A129" s="1451" t="s">
        <v>239</v>
      </c>
      <c r="B129" s="1570" t="s">
        <v>239</v>
      </c>
      <c r="C129" s="1570" t="s">
        <v>239</v>
      </c>
      <c r="D129" s="1397" t="s">
        <v>3421</v>
      </c>
      <c r="E129" s="1570" t="s">
        <v>58</v>
      </c>
      <c r="F129" s="1570" t="s">
        <v>2684</v>
      </c>
      <c r="G129" s="175" t="s">
        <v>3422</v>
      </c>
      <c r="H129" s="1570"/>
      <c r="I129" s="1571"/>
      <c r="J129" s="1570"/>
      <c r="K129" s="1570" t="s">
        <v>3423</v>
      </c>
      <c r="L129" s="1570" t="s">
        <v>3424</v>
      </c>
      <c r="M129" s="364">
        <v>1024794</v>
      </c>
      <c r="N129" s="1570" t="s">
        <v>112</v>
      </c>
      <c r="O129" s="365">
        <v>43438</v>
      </c>
      <c r="P129" s="365">
        <v>43446</v>
      </c>
      <c r="Q129" s="365">
        <v>43474</v>
      </c>
      <c r="R129" s="1791" t="s">
        <v>3482</v>
      </c>
      <c r="S129" s="1705"/>
      <c r="T129" s="364">
        <v>1025350</v>
      </c>
      <c r="U129" s="364">
        <v>1240673.5</v>
      </c>
      <c r="V129" s="1473"/>
      <c r="W129" s="1473"/>
      <c r="X129" s="1473"/>
      <c r="Y129" s="681">
        <v>43474</v>
      </c>
      <c r="Z129" s="1417" t="s">
        <v>3579</v>
      </c>
      <c r="AA129" s="365">
        <v>43500</v>
      </c>
      <c r="AB129" s="365">
        <v>43502</v>
      </c>
      <c r="AC129" s="365">
        <f>AA129+70</f>
        <v>43570</v>
      </c>
      <c r="AD129" s="365">
        <v>43591</v>
      </c>
      <c r="AE129" s="1374" t="s">
        <v>1875</v>
      </c>
      <c r="AF129" s="374"/>
      <c r="AG129" s="374"/>
    </row>
    <row r="130" spans="1:33" ht="30.75" thickBot="1">
      <c r="A130" s="1444" t="s">
        <v>239</v>
      </c>
      <c r="B130" s="411" t="s">
        <v>239</v>
      </c>
      <c r="C130" s="411" t="s">
        <v>239</v>
      </c>
      <c r="D130" s="1377" t="s">
        <v>3425</v>
      </c>
      <c r="E130" s="1376" t="s">
        <v>58</v>
      </c>
      <c r="F130" s="1376" t="s">
        <v>2684</v>
      </c>
      <c r="G130" s="1378" t="s">
        <v>3527</v>
      </c>
      <c r="H130" s="1376">
        <v>2</v>
      </c>
      <c r="I130" s="1421" t="s">
        <v>3848</v>
      </c>
      <c r="J130" s="1376"/>
      <c r="K130" s="1376" t="s">
        <v>1924</v>
      </c>
      <c r="L130" s="512" t="s">
        <v>3456</v>
      </c>
      <c r="M130" s="1379">
        <v>769000</v>
      </c>
      <c r="N130" s="1376" t="s">
        <v>112</v>
      </c>
      <c r="O130" s="1380">
        <v>43441</v>
      </c>
      <c r="P130" s="1380">
        <v>43455</v>
      </c>
      <c r="Q130" s="1380">
        <v>43479</v>
      </c>
      <c r="R130" s="1376" t="s">
        <v>2108</v>
      </c>
      <c r="S130" s="1421"/>
      <c r="T130" s="1379">
        <v>577000</v>
      </c>
      <c r="U130" s="1379">
        <v>698170</v>
      </c>
      <c r="V130" s="1475"/>
      <c r="W130" s="1475"/>
      <c r="X130" s="1475"/>
      <c r="Y130" s="1388">
        <v>43479</v>
      </c>
      <c r="Z130" s="1389" t="s">
        <v>3594</v>
      </c>
      <c r="AA130" s="1380">
        <v>43502</v>
      </c>
      <c r="AB130" s="1380">
        <v>43502</v>
      </c>
      <c r="AC130" s="1380">
        <f>AA130+56</f>
        <v>43558</v>
      </c>
      <c r="AD130" s="1380">
        <v>43605</v>
      </c>
      <c r="AE130" s="1374" t="s">
        <v>1875</v>
      </c>
      <c r="AF130" s="374"/>
      <c r="AG130" s="374"/>
    </row>
    <row r="131" spans="1:33" ht="15.75" thickTop="1">
      <c r="A131" s="1445" t="s">
        <v>239</v>
      </c>
      <c r="B131" s="425" t="s">
        <v>239</v>
      </c>
      <c r="C131" s="453" t="s">
        <v>239</v>
      </c>
      <c r="D131" s="1383" t="s">
        <v>3426</v>
      </c>
      <c r="E131" s="453" t="s">
        <v>69</v>
      </c>
      <c r="F131" s="453" t="s">
        <v>70</v>
      </c>
      <c r="G131" s="473" t="s">
        <v>3528</v>
      </c>
      <c r="H131" s="453">
        <v>1</v>
      </c>
      <c r="I131" s="1420" t="s">
        <v>3702</v>
      </c>
      <c r="J131" s="453" t="s">
        <v>3775</v>
      </c>
      <c r="K131" s="453" t="s">
        <v>3435</v>
      </c>
      <c r="L131" s="453"/>
      <c r="M131" s="457">
        <v>7413897</v>
      </c>
      <c r="N131" s="453" t="s">
        <v>251</v>
      </c>
      <c r="O131" s="474">
        <v>43439</v>
      </c>
      <c r="P131" s="474">
        <v>43473</v>
      </c>
      <c r="Q131" s="474">
        <v>43522</v>
      </c>
      <c r="R131" s="453" t="s">
        <v>576</v>
      </c>
      <c r="S131" s="1420"/>
      <c r="T131" s="457">
        <v>7353707.2199999997</v>
      </c>
      <c r="U131" s="457">
        <f>T131*1.1</f>
        <v>8089077.9420000007</v>
      </c>
      <c r="V131" s="1474"/>
      <c r="W131" s="1474"/>
      <c r="X131" s="1474"/>
      <c r="Y131" s="570">
        <v>43523</v>
      </c>
      <c r="Z131" s="457" t="s">
        <v>4019</v>
      </c>
      <c r="AA131" s="474">
        <v>43552</v>
      </c>
      <c r="AB131" s="474">
        <v>43557</v>
      </c>
      <c r="AC131" s="474">
        <v>44282</v>
      </c>
      <c r="AD131" s="474">
        <v>43915</v>
      </c>
      <c r="AE131" s="537">
        <v>44280</v>
      </c>
      <c r="AF131" s="1560">
        <v>44378</v>
      </c>
      <c r="AG131" s="374"/>
    </row>
    <row r="132" spans="1:33">
      <c r="A132" s="1446" t="s">
        <v>239</v>
      </c>
      <c r="B132" s="540" t="s">
        <v>239</v>
      </c>
      <c r="C132" s="491" t="s">
        <v>239</v>
      </c>
      <c r="D132" s="1373" t="s">
        <v>3426</v>
      </c>
      <c r="E132" s="491" t="s">
        <v>69</v>
      </c>
      <c r="F132" s="491" t="s">
        <v>70</v>
      </c>
      <c r="G132" s="571" t="s">
        <v>3528</v>
      </c>
      <c r="H132" s="491">
        <v>2</v>
      </c>
      <c r="I132" s="495" t="s">
        <v>3703</v>
      </c>
      <c r="J132" s="491" t="s">
        <v>3776</v>
      </c>
      <c r="K132" s="491" t="s">
        <v>3436</v>
      </c>
      <c r="L132" s="491"/>
      <c r="M132" s="536">
        <v>2433774</v>
      </c>
      <c r="N132" s="491" t="s">
        <v>251</v>
      </c>
      <c r="O132" s="537">
        <v>43439</v>
      </c>
      <c r="P132" s="537">
        <v>43473</v>
      </c>
      <c r="Q132" s="537">
        <v>43522</v>
      </c>
      <c r="R132" s="491" t="s">
        <v>1646</v>
      </c>
      <c r="S132" s="495"/>
      <c r="T132" s="536">
        <v>2429964.12</v>
      </c>
      <c r="U132" s="536">
        <f>T132*1.1</f>
        <v>2672960.5320000001</v>
      </c>
      <c r="V132" s="1471"/>
      <c r="W132" s="1471"/>
      <c r="X132" s="1471"/>
      <c r="Y132" s="573">
        <v>43523</v>
      </c>
      <c r="Z132" s="536" t="s">
        <v>4020</v>
      </c>
      <c r="AA132" s="537">
        <v>43552</v>
      </c>
      <c r="AB132" s="537">
        <v>43557</v>
      </c>
      <c r="AC132" s="537">
        <v>44282</v>
      </c>
      <c r="AD132" s="537">
        <v>43915</v>
      </c>
      <c r="AE132" s="537">
        <v>44280</v>
      </c>
      <c r="AF132" s="1560">
        <v>44378</v>
      </c>
      <c r="AG132" s="374"/>
    </row>
    <row r="133" spans="1:33">
      <c r="A133" s="1453" t="s">
        <v>239</v>
      </c>
      <c r="B133" s="506" t="s">
        <v>239</v>
      </c>
      <c r="C133" s="506" t="s">
        <v>239</v>
      </c>
      <c r="D133" s="1382" t="s">
        <v>3426</v>
      </c>
      <c r="E133" s="506" t="s">
        <v>69</v>
      </c>
      <c r="F133" s="506" t="s">
        <v>70</v>
      </c>
      <c r="G133" s="507" t="s">
        <v>3528</v>
      </c>
      <c r="H133" s="506">
        <v>3</v>
      </c>
      <c r="I133" s="548" t="s">
        <v>3704</v>
      </c>
      <c r="J133" s="506" t="s">
        <v>3777</v>
      </c>
      <c r="K133" s="506" t="s">
        <v>3436</v>
      </c>
      <c r="L133" s="506"/>
      <c r="M133" s="511">
        <v>28298912</v>
      </c>
      <c r="N133" s="506" t="s">
        <v>251</v>
      </c>
      <c r="O133" s="510">
        <v>43439</v>
      </c>
      <c r="P133" s="510">
        <v>43473</v>
      </c>
      <c r="Q133" s="510"/>
      <c r="R133" s="514" t="s">
        <v>5525</v>
      </c>
      <c r="S133" s="736" t="s">
        <v>5733</v>
      </c>
      <c r="T133" s="511"/>
      <c r="U133" s="511"/>
      <c r="V133" s="1470"/>
      <c r="W133" s="1470"/>
      <c r="X133" s="1470"/>
      <c r="Y133" s="511"/>
      <c r="Z133" s="511"/>
      <c r="AA133" s="506"/>
      <c r="AB133" s="510">
        <v>43525</v>
      </c>
      <c r="AC133" s="506"/>
      <c r="AD133" s="506"/>
      <c r="AE133" s="506"/>
    </row>
    <row r="134" spans="1:33">
      <c r="A134" s="1446" t="s">
        <v>239</v>
      </c>
      <c r="B134" s="540" t="s">
        <v>239</v>
      </c>
      <c r="C134" s="491" t="s">
        <v>239</v>
      </c>
      <c r="D134" s="1373" t="s">
        <v>3426</v>
      </c>
      <c r="E134" s="491" t="s">
        <v>69</v>
      </c>
      <c r="F134" s="491" t="s">
        <v>70</v>
      </c>
      <c r="G134" s="571" t="s">
        <v>3528</v>
      </c>
      <c r="H134" s="491">
        <v>4</v>
      </c>
      <c r="I134" s="495" t="s">
        <v>3705</v>
      </c>
      <c r="J134" s="491" t="s">
        <v>3778</v>
      </c>
      <c r="K134" s="491" t="s">
        <v>3437</v>
      </c>
      <c r="L134" s="491"/>
      <c r="M134" s="536">
        <v>3364809</v>
      </c>
      <c r="N134" s="491" t="s">
        <v>251</v>
      </c>
      <c r="O134" s="537">
        <v>43439</v>
      </c>
      <c r="P134" s="537">
        <v>43473</v>
      </c>
      <c r="Q134" s="537">
        <v>43522</v>
      </c>
      <c r="R134" s="491" t="s">
        <v>578</v>
      </c>
      <c r="S134" s="495"/>
      <c r="T134" s="536">
        <v>3039688.4</v>
      </c>
      <c r="U134" s="536">
        <f>T134*1.1</f>
        <v>3343657.24</v>
      </c>
      <c r="V134" s="1471"/>
      <c r="W134" s="1471"/>
      <c r="X134" s="1471"/>
      <c r="Y134" s="573">
        <v>43523</v>
      </c>
      <c r="Z134" s="536" t="s">
        <v>4021</v>
      </c>
      <c r="AA134" s="537">
        <v>43549</v>
      </c>
      <c r="AB134" s="537">
        <v>43557</v>
      </c>
      <c r="AC134" s="537">
        <v>44282</v>
      </c>
      <c r="AD134" s="537">
        <v>43915</v>
      </c>
      <c r="AE134" s="537">
        <v>44280</v>
      </c>
      <c r="AF134" s="1560">
        <v>44378</v>
      </c>
      <c r="AG134" s="374"/>
    </row>
    <row r="135" spans="1:33">
      <c r="A135" s="1446" t="s">
        <v>239</v>
      </c>
      <c r="B135" s="540" t="s">
        <v>239</v>
      </c>
      <c r="C135" s="491" t="s">
        <v>239</v>
      </c>
      <c r="D135" s="1373" t="s">
        <v>3426</v>
      </c>
      <c r="E135" s="491" t="s">
        <v>69</v>
      </c>
      <c r="F135" s="491" t="s">
        <v>70</v>
      </c>
      <c r="G135" s="571" t="s">
        <v>3528</v>
      </c>
      <c r="H135" s="491">
        <v>5</v>
      </c>
      <c r="I135" s="495" t="s">
        <v>3706</v>
      </c>
      <c r="J135" s="491" t="s">
        <v>3778</v>
      </c>
      <c r="K135" s="491" t="s">
        <v>3437</v>
      </c>
      <c r="L135" s="491"/>
      <c r="M135" s="536">
        <v>8895944</v>
      </c>
      <c r="N135" s="491" t="s">
        <v>251</v>
      </c>
      <c r="O135" s="537">
        <v>43439</v>
      </c>
      <c r="P135" s="537">
        <v>43473</v>
      </c>
      <c r="Q135" s="537">
        <v>43522</v>
      </c>
      <c r="R135" s="491" t="s">
        <v>578</v>
      </c>
      <c r="S135" s="495"/>
      <c r="T135" s="536">
        <v>8889294.7799999993</v>
      </c>
      <c r="U135" s="536">
        <f>T135*1.1</f>
        <v>9778224.2579999994</v>
      </c>
      <c r="V135" s="1471"/>
      <c r="W135" s="1471"/>
      <c r="X135" s="1471"/>
      <c r="Y135" s="573">
        <v>43523</v>
      </c>
      <c r="Z135" s="536" t="s">
        <v>4022</v>
      </c>
      <c r="AA135" s="537">
        <v>43549</v>
      </c>
      <c r="AB135" s="537">
        <v>43557</v>
      </c>
      <c r="AC135" s="537">
        <v>44282</v>
      </c>
      <c r="AD135" s="537">
        <v>43915</v>
      </c>
      <c r="AE135" s="537">
        <v>44280</v>
      </c>
      <c r="AF135" s="1560">
        <v>44378</v>
      </c>
      <c r="AG135" s="374"/>
    </row>
    <row r="136" spans="1:33" ht="15.75" thickBot="1">
      <c r="A136" s="1455" t="s">
        <v>239</v>
      </c>
      <c r="B136" s="1410" t="s">
        <v>239</v>
      </c>
      <c r="C136" s="1410" t="s">
        <v>239</v>
      </c>
      <c r="D136" s="1411" t="s">
        <v>3426</v>
      </c>
      <c r="E136" s="1410" t="s">
        <v>69</v>
      </c>
      <c r="F136" s="1410" t="s">
        <v>70</v>
      </c>
      <c r="G136" s="1412" t="s">
        <v>3528</v>
      </c>
      <c r="H136" s="1410">
        <v>6</v>
      </c>
      <c r="I136" s="1430" t="s">
        <v>3707</v>
      </c>
      <c r="J136" s="1410" t="s">
        <v>3779</v>
      </c>
      <c r="K136" s="1410" t="s">
        <v>3438</v>
      </c>
      <c r="L136" s="1410"/>
      <c r="M136" s="1413">
        <v>9364240</v>
      </c>
      <c r="N136" s="1410" t="s">
        <v>251</v>
      </c>
      <c r="O136" s="1414">
        <v>43439</v>
      </c>
      <c r="P136" s="1414">
        <v>43473</v>
      </c>
      <c r="Q136" s="1414"/>
      <c r="R136" s="1740" t="s">
        <v>5526</v>
      </c>
      <c r="S136" s="1710" t="s">
        <v>5734</v>
      </c>
      <c r="T136" s="1413"/>
      <c r="U136" s="1413"/>
      <c r="V136" s="1479"/>
      <c r="W136" s="1479"/>
      <c r="X136" s="1479"/>
      <c r="Y136" s="1413"/>
      <c r="Z136" s="1413"/>
      <c r="AA136" s="1410"/>
      <c r="AB136" s="1414">
        <v>43525</v>
      </c>
      <c r="AC136" s="1410"/>
      <c r="AD136" s="1410"/>
      <c r="AE136" s="506"/>
    </row>
    <row r="137" spans="1:33" ht="15.75" thickTop="1">
      <c r="A137" s="1451" t="s">
        <v>239</v>
      </c>
      <c r="B137" s="1570" t="s">
        <v>239</v>
      </c>
      <c r="C137" s="1570" t="s">
        <v>239</v>
      </c>
      <c r="D137" s="1397" t="s">
        <v>3433</v>
      </c>
      <c r="E137" s="1570" t="s">
        <v>52</v>
      </c>
      <c r="F137" s="1570" t="s">
        <v>3089</v>
      </c>
      <c r="G137" s="175" t="s">
        <v>3434</v>
      </c>
      <c r="H137" s="1570"/>
      <c r="I137" s="1571"/>
      <c r="J137" s="1570"/>
      <c r="K137" s="1570" t="s">
        <v>33</v>
      </c>
      <c r="L137" s="1570" t="s">
        <v>2594</v>
      </c>
      <c r="M137" s="364">
        <v>9500000</v>
      </c>
      <c r="N137" s="1570" t="s">
        <v>216</v>
      </c>
      <c r="O137" s="365">
        <v>43440</v>
      </c>
      <c r="P137" s="365">
        <v>43461</v>
      </c>
      <c r="Q137" s="365">
        <v>43479</v>
      </c>
      <c r="R137" s="1791" t="s">
        <v>2626</v>
      </c>
      <c r="S137" s="1705"/>
      <c r="T137" s="364">
        <v>9498000</v>
      </c>
      <c r="U137" s="364">
        <v>11492580</v>
      </c>
      <c r="V137" s="1473"/>
      <c r="W137" s="1473"/>
      <c r="X137" s="1473"/>
      <c r="Y137" s="681">
        <v>43114</v>
      </c>
      <c r="Z137" s="364" t="s">
        <v>3593</v>
      </c>
      <c r="AA137" s="365">
        <v>43504</v>
      </c>
      <c r="AB137" s="365">
        <v>43508</v>
      </c>
      <c r="AC137" s="1570" t="s">
        <v>3896</v>
      </c>
      <c r="AD137" s="365">
        <v>44244</v>
      </c>
      <c r="AE137" s="530"/>
      <c r="AF137" s="374"/>
      <c r="AG137" s="374"/>
    </row>
    <row r="138" spans="1:33" ht="15.75" thickBot="1">
      <c r="A138" s="1449" t="s">
        <v>239</v>
      </c>
      <c r="B138" s="406" t="s">
        <v>239</v>
      </c>
      <c r="C138" s="416">
        <v>43419</v>
      </c>
      <c r="D138" s="1468" t="s">
        <v>3442</v>
      </c>
      <c r="E138" s="411" t="s">
        <v>2111</v>
      </c>
      <c r="F138" s="411" t="s">
        <v>1215</v>
      </c>
      <c r="G138" s="412" t="s">
        <v>3443</v>
      </c>
      <c r="H138" s="411"/>
      <c r="I138" s="630"/>
      <c r="J138" s="411"/>
      <c r="K138" s="411" t="s">
        <v>2824</v>
      </c>
      <c r="L138" s="411"/>
      <c r="M138" s="417">
        <v>1900000</v>
      </c>
      <c r="N138" s="411" t="s">
        <v>112</v>
      </c>
      <c r="O138" s="416">
        <v>43454</v>
      </c>
      <c r="P138" s="416">
        <v>43476</v>
      </c>
      <c r="Q138" s="416">
        <v>43481</v>
      </c>
      <c r="R138" s="411" t="s">
        <v>3598</v>
      </c>
      <c r="S138" s="1421"/>
      <c r="T138" s="417">
        <v>1546109</v>
      </c>
      <c r="U138" s="417">
        <v>1870791.89</v>
      </c>
      <c r="V138" s="1480"/>
      <c r="W138" s="1480"/>
      <c r="X138" s="1480"/>
      <c r="Y138" s="513">
        <v>43501</v>
      </c>
      <c r="Z138" s="513" t="s">
        <v>3983</v>
      </c>
      <c r="AA138" s="416">
        <v>43521</v>
      </c>
      <c r="AB138" s="416">
        <v>43522</v>
      </c>
      <c r="AC138" s="416">
        <v>43885</v>
      </c>
      <c r="AD138" s="416">
        <v>43838</v>
      </c>
      <c r="AE138" s="810"/>
      <c r="AF138" s="374"/>
      <c r="AG138" s="374"/>
    </row>
    <row r="139" spans="1:33" ht="15.75" thickTop="1">
      <c r="A139" s="1442" t="s">
        <v>239</v>
      </c>
      <c r="B139" s="439" t="s">
        <v>239</v>
      </c>
      <c r="C139" s="439" t="s">
        <v>239</v>
      </c>
      <c r="D139" s="1415" t="s">
        <v>3444</v>
      </c>
      <c r="E139" s="439" t="s">
        <v>69</v>
      </c>
      <c r="F139" s="439" t="s">
        <v>70</v>
      </c>
      <c r="G139" s="440" t="s">
        <v>3529</v>
      </c>
      <c r="H139" s="439">
        <v>1</v>
      </c>
      <c r="I139" s="1431" t="s">
        <v>3708</v>
      </c>
      <c r="J139" s="439" t="s">
        <v>3780</v>
      </c>
      <c r="K139" s="439" t="s">
        <v>3451</v>
      </c>
      <c r="L139" s="439"/>
      <c r="M139" s="444">
        <v>1360716</v>
      </c>
      <c r="N139" s="439" t="s">
        <v>251</v>
      </c>
      <c r="O139" s="443">
        <v>43439</v>
      </c>
      <c r="P139" s="443">
        <v>43474</v>
      </c>
      <c r="Q139" s="443"/>
      <c r="R139" s="538" t="s">
        <v>5527</v>
      </c>
      <c r="S139" s="471" t="s">
        <v>5499</v>
      </c>
      <c r="T139" s="444"/>
      <c r="U139" s="444"/>
      <c r="V139" s="1481"/>
      <c r="W139" s="1481"/>
      <c r="X139" s="1481"/>
      <c r="Y139" s="444"/>
      <c r="Z139" s="444"/>
      <c r="AA139" s="439"/>
      <c r="AB139" s="443">
        <v>43524</v>
      </c>
      <c r="AC139" s="439"/>
      <c r="AD139" s="439"/>
      <c r="AE139" s="439"/>
    </row>
    <row r="140" spans="1:33">
      <c r="A140" s="1446" t="s">
        <v>239</v>
      </c>
      <c r="B140" s="540" t="s">
        <v>239</v>
      </c>
      <c r="C140" s="491" t="s">
        <v>239</v>
      </c>
      <c r="D140" s="1373" t="s">
        <v>3444</v>
      </c>
      <c r="E140" s="491" t="s">
        <v>69</v>
      </c>
      <c r="F140" s="491" t="s">
        <v>70</v>
      </c>
      <c r="G140" s="571" t="s">
        <v>3529</v>
      </c>
      <c r="H140" s="491">
        <v>2</v>
      </c>
      <c r="I140" s="495" t="s">
        <v>3709</v>
      </c>
      <c r="J140" s="491" t="s">
        <v>3781</v>
      </c>
      <c r="K140" s="491" t="s">
        <v>3451</v>
      </c>
      <c r="L140" s="491"/>
      <c r="M140" s="536">
        <v>4808719</v>
      </c>
      <c r="N140" s="491" t="s">
        <v>251</v>
      </c>
      <c r="O140" s="537">
        <v>43439</v>
      </c>
      <c r="P140" s="537">
        <v>43474</v>
      </c>
      <c r="Q140" s="537">
        <v>43522</v>
      </c>
      <c r="R140" s="491" t="s">
        <v>578</v>
      </c>
      <c r="S140" s="495"/>
      <c r="T140" s="536">
        <v>4758558.76</v>
      </c>
      <c r="U140" s="536">
        <f>T140*1.1</f>
        <v>5234414.6359999999</v>
      </c>
      <c r="V140" s="1471"/>
      <c r="W140" s="1471"/>
      <c r="X140" s="1471"/>
      <c r="Y140" s="573">
        <v>43522</v>
      </c>
      <c r="Z140" s="536" t="s">
        <v>3995</v>
      </c>
      <c r="AA140" s="537">
        <v>43556</v>
      </c>
      <c r="AB140" s="537">
        <v>43559</v>
      </c>
      <c r="AC140" s="537">
        <v>44286</v>
      </c>
      <c r="AD140" s="537">
        <v>43915</v>
      </c>
      <c r="AE140" s="537">
        <v>44280</v>
      </c>
      <c r="AF140" s="1560">
        <v>44378</v>
      </c>
      <c r="AG140" s="374"/>
    </row>
    <row r="141" spans="1:33">
      <c r="A141" s="1446" t="s">
        <v>239</v>
      </c>
      <c r="B141" s="540" t="s">
        <v>239</v>
      </c>
      <c r="C141" s="491" t="s">
        <v>239</v>
      </c>
      <c r="D141" s="1373" t="s">
        <v>3444</v>
      </c>
      <c r="E141" s="491" t="s">
        <v>69</v>
      </c>
      <c r="F141" s="491" t="s">
        <v>70</v>
      </c>
      <c r="G141" s="571" t="s">
        <v>3529</v>
      </c>
      <c r="H141" s="491">
        <v>3</v>
      </c>
      <c r="I141" s="495" t="s">
        <v>3710</v>
      </c>
      <c r="J141" s="491" t="s">
        <v>3782</v>
      </c>
      <c r="K141" s="491" t="s">
        <v>3451</v>
      </c>
      <c r="L141" s="491"/>
      <c r="M141" s="536">
        <v>1434358</v>
      </c>
      <c r="N141" s="491" t="s">
        <v>251</v>
      </c>
      <c r="O141" s="537">
        <v>43439</v>
      </c>
      <c r="P141" s="537">
        <v>43474</v>
      </c>
      <c r="Q141" s="537">
        <v>43522</v>
      </c>
      <c r="R141" s="491" t="s">
        <v>576</v>
      </c>
      <c r="S141" s="495"/>
      <c r="T141" s="536">
        <v>1434357.12</v>
      </c>
      <c r="U141" s="536">
        <f>T141*1.1</f>
        <v>1577792.8320000002</v>
      </c>
      <c r="V141" s="1471"/>
      <c r="W141" s="1471"/>
      <c r="X141" s="1471"/>
      <c r="Y141" s="573">
        <v>43522</v>
      </c>
      <c r="Z141" s="536" t="s">
        <v>3996</v>
      </c>
      <c r="AA141" s="537">
        <v>43556</v>
      </c>
      <c r="AB141" s="537">
        <v>43559</v>
      </c>
      <c r="AC141" s="537">
        <v>44286</v>
      </c>
      <c r="AD141" s="537">
        <v>43915</v>
      </c>
      <c r="AE141" s="537">
        <v>44280</v>
      </c>
      <c r="AF141" s="1560">
        <v>44378</v>
      </c>
      <c r="AG141" s="374"/>
    </row>
    <row r="142" spans="1:33">
      <c r="A142" s="1446" t="s">
        <v>239</v>
      </c>
      <c r="B142" s="540" t="s">
        <v>239</v>
      </c>
      <c r="C142" s="491" t="s">
        <v>239</v>
      </c>
      <c r="D142" s="1373" t="s">
        <v>3444</v>
      </c>
      <c r="E142" s="491" t="s">
        <v>69</v>
      </c>
      <c r="F142" s="491" t="s">
        <v>70</v>
      </c>
      <c r="G142" s="571" t="s">
        <v>3529</v>
      </c>
      <c r="H142" s="491">
        <v>4</v>
      </c>
      <c r="I142" s="495" t="s">
        <v>3711</v>
      </c>
      <c r="J142" s="491" t="s">
        <v>3783</v>
      </c>
      <c r="K142" s="491" t="s">
        <v>3452</v>
      </c>
      <c r="L142" s="491"/>
      <c r="M142" s="536">
        <v>140033</v>
      </c>
      <c r="N142" s="491" t="s">
        <v>251</v>
      </c>
      <c r="O142" s="537">
        <v>43439</v>
      </c>
      <c r="P142" s="537">
        <v>43474</v>
      </c>
      <c r="Q142" s="537">
        <v>43522</v>
      </c>
      <c r="R142" s="491" t="s">
        <v>576</v>
      </c>
      <c r="S142" s="495"/>
      <c r="T142" s="536">
        <v>140030</v>
      </c>
      <c r="U142" s="536">
        <f>T142*1.1</f>
        <v>154033</v>
      </c>
      <c r="V142" s="1471"/>
      <c r="W142" s="1471"/>
      <c r="X142" s="1471"/>
      <c r="Y142" s="573">
        <v>43522</v>
      </c>
      <c r="Z142" s="536" t="s">
        <v>3997</v>
      </c>
      <c r="AA142" s="537">
        <v>43556</v>
      </c>
      <c r="AB142" s="537">
        <v>43559</v>
      </c>
      <c r="AC142" s="537">
        <v>44286</v>
      </c>
      <c r="AD142" s="537">
        <v>43915</v>
      </c>
      <c r="AE142" s="537">
        <v>44280</v>
      </c>
      <c r="AF142" s="1560">
        <v>44378</v>
      </c>
      <c r="AG142" s="374"/>
    </row>
    <row r="143" spans="1:33">
      <c r="A143" s="1446" t="s">
        <v>239</v>
      </c>
      <c r="B143" s="540" t="s">
        <v>239</v>
      </c>
      <c r="C143" s="491" t="s">
        <v>239</v>
      </c>
      <c r="D143" s="1373" t="s">
        <v>3444</v>
      </c>
      <c r="E143" s="491" t="s">
        <v>69</v>
      </c>
      <c r="F143" s="491" t="s">
        <v>70</v>
      </c>
      <c r="G143" s="571" t="s">
        <v>3529</v>
      </c>
      <c r="H143" s="491">
        <v>5</v>
      </c>
      <c r="I143" s="495" t="s">
        <v>3712</v>
      </c>
      <c r="J143" s="491" t="s">
        <v>3784</v>
      </c>
      <c r="K143" s="491" t="s">
        <v>3452</v>
      </c>
      <c r="L143" s="491"/>
      <c r="M143" s="536">
        <v>472992</v>
      </c>
      <c r="N143" s="491" t="s">
        <v>251</v>
      </c>
      <c r="O143" s="537">
        <v>43439</v>
      </c>
      <c r="P143" s="537">
        <v>43474</v>
      </c>
      <c r="Q143" s="537">
        <v>43522</v>
      </c>
      <c r="R143" s="491" t="s">
        <v>576</v>
      </c>
      <c r="S143" s="495"/>
      <c r="T143" s="536">
        <v>472430.08000000002</v>
      </c>
      <c r="U143" s="536">
        <f>T143*1.1</f>
        <v>519673.08800000005</v>
      </c>
      <c r="V143" s="1471"/>
      <c r="W143" s="1471"/>
      <c r="X143" s="1471"/>
      <c r="Y143" s="573">
        <v>43523</v>
      </c>
      <c r="Z143" s="536" t="s">
        <v>4023</v>
      </c>
      <c r="AA143" s="537">
        <v>43556</v>
      </c>
      <c r="AB143" s="537">
        <v>43559</v>
      </c>
      <c r="AC143" s="537">
        <v>44286</v>
      </c>
      <c r="AD143" s="537">
        <v>43915</v>
      </c>
      <c r="AE143" s="537">
        <v>44280</v>
      </c>
      <c r="AF143" s="1560">
        <v>44378</v>
      </c>
      <c r="AG143" s="374"/>
    </row>
    <row r="144" spans="1:33" ht="15.75" thickBot="1">
      <c r="A144" s="1447" t="s">
        <v>239</v>
      </c>
      <c r="B144" s="1355" t="s">
        <v>239</v>
      </c>
      <c r="C144" s="1376" t="s">
        <v>239</v>
      </c>
      <c r="D144" s="1377" t="s">
        <v>3444</v>
      </c>
      <c r="E144" s="1376" t="s">
        <v>69</v>
      </c>
      <c r="F144" s="1376" t="s">
        <v>70</v>
      </c>
      <c r="G144" s="1378" t="s">
        <v>3529</v>
      </c>
      <c r="H144" s="1376">
        <v>6</v>
      </c>
      <c r="I144" s="1421" t="s">
        <v>3713</v>
      </c>
      <c r="J144" s="1376" t="s">
        <v>3785</v>
      </c>
      <c r="K144" s="1376" t="s">
        <v>3452</v>
      </c>
      <c r="L144" s="1376"/>
      <c r="M144" s="1379">
        <v>7845389</v>
      </c>
      <c r="N144" s="1376" t="s">
        <v>251</v>
      </c>
      <c r="O144" s="1380">
        <v>43439</v>
      </c>
      <c r="P144" s="1380">
        <v>43474</v>
      </c>
      <c r="Q144" s="1380">
        <v>43522</v>
      </c>
      <c r="R144" s="1376" t="s">
        <v>576</v>
      </c>
      <c r="S144" s="1421"/>
      <c r="T144" s="1379">
        <v>7719800</v>
      </c>
      <c r="U144" s="1379">
        <f>T144*1.1</f>
        <v>8491780</v>
      </c>
      <c r="V144" s="1475"/>
      <c r="W144" s="1475"/>
      <c r="X144" s="1475"/>
      <c r="Y144" s="1388">
        <v>43523</v>
      </c>
      <c r="Z144" s="1379" t="s">
        <v>4024</v>
      </c>
      <c r="AA144" s="1380">
        <v>43556</v>
      </c>
      <c r="AB144" s="1380">
        <v>43559</v>
      </c>
      <c r="AC144" s="1380">
        <v>44286</v>
      </c>
      <c r="AD144" s="1380">
        <v>43915</v>
      </c>
      <c r="AE144" s="1380">
        <v>44280</v>
      </c>
      <c r="AF144" s="1560">
        <v>44378</v>
      </c>
      <c r="AG144" s="374"/>
    </row>
    <row r="145" spans="1:45" ht="15.75" thickTop="1">
      <c r="A145" s="1448" t="s">
        <v>239</v>
      </c>
      <c r="B145" s="423" t="s">
        <v>239</v>
      </c>
      <c r="C145" s="1570" t="s">
        <v>239</v>
      </c>
      <c r="D145" s="1397" t="s">
        <v>3460</v>
      </c>
      <c r="E145" s="1570" t="s">
        <v>166</v>
      </c>
      <c r="F145" s="1570" t="s">
        <v>167</v>
      </c>
      <c r="G145" s="175" t="s">
        <v>3461</v>
      </c>
      <c r="H145" s="1570"/>
      <c r="I145" s="1571"/>
      <c r="J145" s="1570"/>
      <c r="K145" s="1570" t="s">
        <v>498</v>
      </c>
      <c r="L145" s="1570"/>
      <c r="M145" s="364">
        <v>500000</v>
      </c>
      <c r="N145" s="1570" t="s">
        <v>112</v>
      </c>
      <c r="O145" s="365">
        <v>43447</v>
      </c>
      <c r="P145" s="365">
        <v>43473</v>
      </c>
      <c r="Q145" s="365">
        <v>43480</v>
      </c>
      <c r="R145" s="1791" t="s">
        <v>3584</v>
      </c>
      <c r="S145" s="1705"/>
      <c r="T145" s="364">
        <v>635808</v>
      </c>
      <c r="U145" s="364">
        <f>T145*1.21</f>
        <v>769327.67999999993</v>
      </c>
      <c r="V145" s="1473"/>
      <c r="W145" s="1473"/>
      <c r="X145" s="1473"/>
      <c r="Y145" s="681">
        <v>43480</v>
      </c>
      <c r="Z145" s="364" t="s">
        <v>3600</v>
      </c>
      <c r="AA145" s="365">
        <v>43518</v>
      </c>
      <c r="AB145" s="365">
        <v>43521</v>
      </c>
      <c r="AC145" s="365">
        <f>AA145+55</f>
        <v>43573</v>
      </c>
      <c r="AD145" s="365">
        <v>43598</v>
      </c>
      <c r="AE145" s="817"/>
      <c r="AF145" s="374"/>
      <c r="AG145" s="374"/>
    </row>
    <row r="146" spans="1:45">
      <c r="A146" s="1446" t="s">
        <v>239</v>
      </c>
      <c r="B146" s="540" t="s">
        <v>239</v>
      </c>
      <c r="C146" s="491" t="s">
        <v>239</v>
      </c>
      <c r="D146" s="1373" t="s">
        <v>3462</v>
      </c>
      <c r="E146" s="491" t="s">
        <v>69</v>
      </c>
      <c r="F146" s="491" t="s">
        <v>70</v>
      </c>
      <c r="G146" s="571" t="s">
        <v>3530</v>
      </c>
      <c r="H146" s="491">
        <v>1</v>
      </c>
      <c r="I146" s="495" t="s">
        <v>3787</v>
      </c>
      <c r="J146" s="491" t="s">
        <v>3786</v>
      </c>
      <c r="K146" s="491" t="s">
        <v>72</v>
      </c>
      <c r="L146" s="491"/>
      <c r="M146" s="536">
        <v>12688472</v>
      </c>
      <c r="N146" s="491" t="s">
        <v>251</v>
      </c>
      <c r="O146" s="537">
        <v>43447</v>
      </c>
      <c r="P146" s="537">
        <v>43482</v>
      </c>
      <c r="Q146" s="537">
        <v>43522</v>
      </c>
      <c r="R146" s="491" t="s">
        <v>576</v>
      </c>
      <c r="S146" s="495"/>
      <c r="T146" s="536">
        <v>6798782.4000000004</v>
      </c>
      <c r="U146" s="536">
        <f>T146*1.21</f>
        <v>8226526.7039999999</v>
      </c>
      <c r="V146" s="1471"/>
      <c r="W146" s="1471"/>
      <c r="X146" s="1471"/>
      <c r="Y146" s="573">
        <v>43522</v>
      </c>
      <c r="Z146" s="536" t="s">
        <v>3994</v>
      </c>
      <c r="AA146" s="537">
        <v>43570</v>
      </c>
      <c r="AB146" s="537">
        <v>43584</v>
      </c>
      <c r="AC146" s="537">
        <v>44300</v>
      </c>
      <c r="AD146" s="537">
        <v>43915</v>
      </c>
      <c r="AE146" s="537">
        <v>44280</v>
      </c>
      <c r="AF146" s="1560">
        <v>44645</v>
      </c>
      <c r="AG146" s="374"/>
    </row>
    <row r="147" spans="1:45">
      <c r="A147" s="1446" t="s">
        <v>239</v>
      </c>
      <c r="B147" s="540" t="s">
        <v>239</v>
      </c>
      <c r="C147" s="506" t="s">
        <v>239</v>
      </c>
      <c r="D147" s="1382" t="s">
        <v>3462</v>
      </c>
      <c r="E147" s="506" t="s">
        <v>69</v>
      </c>
      <c r="F147" s="506" t="s">
        <v>70</v>
      </c>
      <c r="G147" s="507" t="s">
        <v>3530</v>
      </c>
      <c r="H147" s="506">
        <v>2</v>
      </c>
      <c r="I147" s="548" t="s">
        <v>3788</v>
      </c>
      <c r="J147" s="506" t="s">
        <v>3786</v>
      </c>
      <c r="K147" s="506" t="s">
        <v>72</v>
      </c>
      <c r="L147" s="506"/>
      <c r="M147" s="511">
        <v>2543217</v>
      </c>
      <c r="N147" s="506" t="s">
        <v>251</v>
      </c>
      <c r="O147" s="510">
        <v>43447</v>
      </c>
      <c r="P147" s="510">
        <v>43482</v>
      </c>
      <c r="Q147" s="510"/>
      <c r="R147" s="514" t="s">
        <v>5528</v>
      </c>
      <c r="S147" s="736" t="s">
        <v>5500</v>
      </c>
      <c r="T147" s="511"/>
      <c r="U147" s="511"/>
      <c r="V147" s="1470"/>
      <c r="W147" s="1470"/>
      <c r="X147" s="1470"/>
      <c r="Y147" s="511"/>
      <c r="Z147" s="511"/>
      <c r="AA147" s="506"/>
      <c r="AB147" s="510">
        <v>43543</v>
      </c>
      <c r="AC147" s="506"/>
      <c r="AD147" s="506"/>
      <c r="AE147" s="506"/>
    </row>
    <row r="148" spans="1:45">
      <c r="A148" s="1443" t="s">
        <v>239</v>
      </c>
      <c r="B148" s="491" t="s">
        <v>239</v>
      </c>
      <c r="C148" s="491" t="s">
        <v>239</v>
      </c>
      <c r="D148" s="1373" t="s">
        <v>3463</v>
      </c>
      <c r="E148" s="491" t="s">
        <v>2434</v>
      </c>
      <c r="F148" s="491" t="s">
        <v>219</v>
      </c>
      <c r="G148" s="571" t="s">
        <v>3464</v>
      </c>
      <c r="H148" s="491"/>
      <c r="I148" s="495"/>
      <c r="J148" s="491"/>
      <c r="K148" s="491" t="s">
        <v>642</v>
      </c>
      <c r="L148" s="491"/>
      <c r="M148" s="536">
        <v>946000</v>
      </c>
      <c r="N148" s="491" t="s">
        <v>112</v>
      </c>
      <c r="O148" s="537">
        <v>43445</v>
      </c>
      <c r="P148" s="537">
        <v>43454</v>
      </c>
      <c r="Q148" s="537">
        <v>43479</v>
      </c>
      <c r="R148" s="491" t="s">
        <v>3114</v>
      </c>
      <c r="S148" s="495"/>
      <c r="T148" s="536">
        <v>940800</v>
      </c>
      <c r="U148" s="536">
        <v>1138368</v>
      </c>
      <c r="V148" s="1471"/>
      <c r="W148" s="1471"/>
      <c r="X148" s="1471"/>
      <c r="Y148" s="573">
        <v>43479</v>
      </c>
      <c r="Z148" s="536" t="s">
        <v>3596</v>
      </c>
      <c r="AA148" s="537">
        <v>43511</v>
      </c>
      <c r="AB148" s="537">
        <v>43514</v>
      </c>
      <c r="AC148" s="537">
        <v>44241</v>
      </c>
      <c r="AD148" s="537">
        <v>43801</v>
      </c>
      <c r="AE148" s="537">
        <v>44320</v>
      </c>
      <c r="AG148" s="374"/>
    </row>
    <row r="149" spans="1:45">
      <c r="A149" s="1443" t="s">
        <v>239</v>
      </c>
      <c r="B149" s="491" t="s">
        <v>239</v>
      </c>
      <c r="C149" s="491" t="s">
        <v>239</v>
      </c>
      <c r="D149" s="1373" t="s">
        <v>3473</v>
      </c>
      <c r="E149" s="491" t="s">
        <v>1032</v>
      </c>
      <c r="F149" s="491" t="s">
        <v>361</v>
      </c>
      <c r="G149" s="571" t="s">
        <v>3475</v>
      </c>
      <c r="H149" s="491"/>
      <c r="I149" s="495"/>
      <c r="J149" s="491"/>
      <c r="K149" s="491" t="s">
        <v>487</v>
      </c>
      <c r="L149" s="491" t="s">
        <v>3476</v>
      </c>
      <c r="M149" s="536">
        <v>330000</v>
      </c>
      <c r="N149" s="491" t="s">
        <v>112</v>
      </c>
      <c r="O149" s="537">
        <v>43451</v>
      </c>
      <c r="P149" s="537">
        <v>43476</v>
      </c>
      <c r="Q149" s="537">
        <v>43482</v>
      </c>
      <c r="R149" s="491" t="s">
        <v>923</v>
      </c>
      <c r="S149" s="495"/>
      <c r="T149" s="536">
        <v>236952</v>
      </c>
      <c r="U149" s="536">
        <f>T149*1.21</f>
        <v>286711.92</v>
      </c>
      <c r="V149" s="1471"/>
      <c r="W149" s="1471"/>
      <c r="X149" s="1471"/>
      <c r="Y149" s="573">
        <v>43483</v>
      </c>
      <c r="Z149" s="536" t="s">
        <v>3944</v>
      </c>
      <c r="AA149" s="537">
        <v>43514</v>
      </c>
      <c r="AB149" s="537">
        <v>43514</v>
      </c>
      <c r="AC149" s="537">
        <v>43570</v>
      </c>
      <c r="AD149" s="537">
        <v>43840</v>
      </c>
      <c r="AE149" s="530"/>
      <c r="AF149" s="374"/>
      <c r="AG149" s="374"/>
    </row>
    <row r="150" spans="1:45" ht="15.75" thickBot="1">
      <c r="A150" s="1443" t="s">
        <v>239</v>
      </c>
      <c r="B150" s="491" t="s">
        <v>239</v>
      </c>
      <c r="C150" s="491" t="s">
        <v>239</v>
      </c>
      <c r="D150" s="1373" t="s">
        <v>3472</v>
      </c>
      <c r="E150" s="491" t="s">
        <v>52</v>
      </c>
      <c r="F150" s="491" t="s">
        <v>2588</v>
      </c>
      <c r="G150" s="571" t="s">
        <v>3599</v>
      </c>
      <c r="H150" s="491"/>
      <c r="I150" s="495"/>
      <c r="J150" s="491"/>
      <c r="K150" s="491" t="s">
        <v>332</v>
      </c>
      <c r="L150" s="491" t="s">
        <v>2361</v>
      </c>
      <c r="M150" s="536">
        <v>1950000</v>
      </c>
      <c r="N150" s="491" t="s">
        <v>112</v>
      </c>
      <c r="O150" s="537">
        <v>43448</v>
      </c>
      <c r="P150" s="537">
        <v>43462</v>
      </c>
      <c r="Q150" s="537">
        <v>43474</v>
      </c>
      <c r="R150" s="491" t="s">
        <v>3500</v>
      </c>
      <c r="S150" s="495"/>
      <c r="T150" s="536">
        <v>1700000</v>
      </c>
      <c r="U150" s="536">
        <v>2057000</v>
      </c>
      <c r="V150" s="1471"/>
      <c r="W150" s="1471"/>
      <c r="X150" s="1471"/>
      <c r="Y150" s="573">
        <v>43476</v>
      </c>
      <c r="Z150" s="536" t="s">
        <v>3612</v>
      </c>
      <c r="AA150" s="537">
        <v>43489</v>
      </c>
      <c r="AB150" s="537">
        <v>43500</v>
      </c>
      <c r="AC150" s="537">
        <v>43579</v>
      </c>
      <c r="AD150" s="537">
        <v>43640</v>
      </c>
      <c r="AE150" s="530"/>
      <c r="AF150" s="374"/>
      <c r="AG150" s="374"/>
    </row>
    <row r="151" spans="1:45" ht="15.75" thickTop="1">
      <c r="A151" s="1459" t="s">
        <v>239</v>
      </c>
      <c r="B151" s="1403" t="s">
        <v>239</v>
      </c>
      <c r="C151" s="1404">
        <v>43406</v>
      </c>
      <c r="D151" s="1405" t="s">
        <v>3534</v>
      </c>
      <c r="E151" s="1403" t="s">
        <v>58</v>
      </c>
      <c r="F151" s="1403" t="s">
        <v>2684</v>
      </c>
      <c r="G151" s="1406" t="s">
        <v>3453</v>
      </c>
      <c r="H151" s="1403"/>
      <c r="I151" s="1433"/>
      <c r="J151" s="1403"/>
      <c r="K151" s="1403" t="s">
        <v>3457</v>
      </c>
      <c r="L151" s="1403" t="s">
        <v>3535</v>
      </c>
      <c r="M151" s="1407">
        <v>619835</v>
      </c>
      <c r="N151" s="1403" t="s">
        <v>112</v>
      </c>
      <c r="O151" s="1404">
        <v>43476</v>
      </c>
      <c r="P151" s="1404">
        <v>43487</v>
      </c>
      <c r="Q151" s="1403"/>
      <c r="R151" s="1793" t="s">
        <v>304</v>
      </c>
      <c r="S151" s="1707" t="s">
        <v>4719</v>
      </c>
      <c r="T151" s="1407"/>
      <c r="U151" s="1407"/>
      <c r="V151" s="1482"/>
      <c r="W151" s="1482"/>
      <c r="X151" s="1482"/>
      <c r="Y151" s="1407"/>
      <c r="Z151" s="1407"/>
      <c r="AA151" s="1403"/>
      <c r="AB151" s="1404">
        <v>43488</v>
      </c>
      <c r="AC151" s="1403"/>
      <c r="AD151" s="1403"/>
      <c r="AE151" s="1403"/>
      <c r="AS151" s="1700"/>
    </row>
    <row r="152" spans="1:45" ht="30">
      <c r="A152" s="1446" t="s">
        <v>239</v>
      </c>
      <c r="B152" s="540" t="s">
        <v>239</v>
      </c>
      <c r="C152" s="537">
        <v>43353</v>
      </c>
      <c r="D152" s="1373" t="s">
        <v>3536</v>
      </c>
      <c r="E152" s="491" t="s">
        <v>69</v>
      </c>
      <c r="F152" s="491" t="s">
        <v>70</v>
      </c>
      <c r="G152" s="571" t="s">
        <v>3407</v>
      </c>
      <c r="H152" s="491">
        <v>1</v>
      </c>
      <c r="I152" s="495" t="s">
        <v>3407</v>
      </c>
      <c r="J152" s="491"/>
      <c r="K152" s="491" t="s">
        <v>42</v>
      </c>
      <c r="L152" s="491"/>
      <c r="M152" s="536">
        <v>8400000</v>
      </c>
      <c r="N152" s="491" t="s">
        <v>251</v>
      </c>
      <c r="O152" s="537">
        <v>43473</v>
      </c>
      <c r="P152" s="537">
        <v>43504</v>
      </c>
      <c r="Q152" s="537">
        <v>43529</v>
      </c>
      <c r="R152" s="491" t="s">
        <v>1153</v>
      </c>
      <c r="S152" s="495"/>
      <c r="T152" s="536">
        <v>8388000</v>
      </c>
      <c r="U152" s="536">
        <v>10149480</v>
      </c>
      <c r="V152" s="1471"/>
      <c r="W152" s="1471"/>
      <c r="X152" s="1471"/>
      <c r="Y152" s="573">
        <v>43529</v>
      </c>
      <c r="Z152" s="1375" t="s">
        <v>4049</v>
      </c>
      <c r="AA152" s="537">
        <v>43570</v>
      </c>
      <c r="AB152" s="537">
        <v>43580</v>
      </c>
      <c r="AC152" s="537">
        <v>46491</v>
      </c>
      <c r="AD152" s="537">
        <v>43929</v>
      </c>
      <c r="AE152" s="537">
        <v>44280</v>
      </c>
      <c r="AF152" s="1560">
        <v>44645</v>
      </c>
      <c r="AG152" s="388">
        <v>2022</v>
      </c>
      <c r="AH152" s="388">
        <v>2023</v>
      </c>
      <c r="AI152" s="388">
        <v>2024</v>
      </c>
      <c r="AJ152" s="388">
        <v>2025</v>
      </c>
      <c r="AK152" s="388">
        <v>2026</v>
      </c>
      <c r="AL152" s="388" t="s">
        <v>4410</v>
      </c>
    </row>
    <row r="153" spans="1:45">
      <c r="A153" s="1453" t="s">
        <v>239</v>
      </c>
      <c r="B153" s="506" t="s">
        <v>239</v>
      </c>
      <c r="C153" s="510">
        <v>43375</v>
      </c>
      <c r="D153" s="1382" t="s">
        <v>3537</v>
      </c>
      <c r="E153" s="506" t="s">
        <v>69</v>
      </c>
      <c r="F153" s="506" t="s">
        <v>70</v>
      </c>
      <c r="G153" s="507" t="s">
        <v>3439</v>
      </c>
      <c r="H153" s="506">
        <v>1</v>
      </c>
      <c r="I153" s="548" t="s">
        <v>3439</v>
      </c>
      <c r="J153" s="506"/>
      <c r="K153" s="506" t="s">
        <v>3440</v>
      </c>
      <c r="L153" s="506"/>
      <c r="M153" s="511">
        <v>7973778</v>
      </c>
      <c r="N153" s="506" t="s">
        <v>251</v>
      </c>
      <c r="O153" s="510">
        <v>43473</v>
      </c>
      <c r="P153" s="510">
        <v>43504</v>
      </c>
      <c r="Q153" s="506"/>
      <c r="R153" s="514" t="s">
        <v>472</v>
      </c>
      <c r="S153" s="736" t="s">
        <v>5756</v>
      </c>
      <c r="T153" s="511"/>
      <c r="U153" s="511"/>
      <c r="V153" s="1470"/>
      <c r="W153" s="1470"/>
      <c r="X153" s="1470"/>
      <c r="Y153" s="511"/>
      <c r="Z153" s="511"/>
      <c r="AA153" s="506"/>
      <c r="AB153" s="510">
        <v>43509</v>
      </c>
      <c r="AC153" s="506"/>
      <c r="AD153" s="506"/>
      <c r="AE153" s="506"/>
    </row>
    <row r="154" spans="1:45">
      <c r="A154" s="1453" t="s">
        <v>239</v>
      </c>
      <c r="B154" s="506" t="s">
        <v>239</v>
      </c>
      <c r="C154" s="510">
        <v>43462</v>
      </c>
      <c r="D154" s="1382" t="s">
        <v>3539</v>
      </c>
      <c r="E154" s="506" t="s">
        <v>1032</v>
      </c>
      <c r="F154" s="506" t="s">
        <v>361</v>
      </c>
      <c r="G154" s="507" t="s">
        <v>3538</v>
      </c>
      <c r="H154" s="506"/>
      <c r="I154" s="548"/>
      <c r="J154" s="506"/>
      <c r="K154" s="506" t="s">
        <v>3542</v>
      </c>
      <c r="L154" s="506"/>
      <c r="M154" s="511">
        <v>300000</v>
      </c>
      <c r="N154" s="506" t="s">
        <v>112</v>
      </c>
      <c r="O154" s="510">
        <v>43475</v>
      </c>
      <c r="P154" s="510">
        <v>43486</v>
      </c>
      <c r="Q154" s="506"/>
      <c r="R154" s="514" t="s">
        <v>304</v>
      </c>
      <c r="S154" s="1713" t="s">
        <v>4717</v>
      </c>
      <c r="T154" s="511"/>
      <c r="U154" s="511"/>
      <c r="V154" s="1470"/>
      <c r="W154" s="1470"/>
      <c r="X154" s="1470"/>
      <c r="Y154" s="511"/>
      <c r="Z154" s="511"/>
      <c r="AA154" s="506"/>
      <c r="AB154" s="510">
        <v>43486</v>
      </c>
      <c r="AC154" s="506"/>
      <c r="AD154" s="506"/>
      <c r="AE154" s="506"/>
      <c r="AS154" s="1700"/>
    </row>
    <row r="155" spans="1:45">
      <c r="A155" s="1446" t="s">
        <v>239</v>
      </c>
      <c r="B155" s="540" t="s">
        <v>239</v>
      </c>
      <c r="C155" s="537">
        <v>43454</v>
      </c>
      <c r="D155" s="1373" t="s">
        <v>3540</v>
      </c>
      <c r="E155" s="491" t="s">
        <v>14</v>
      </c>
      <c r="F155" s="491" t="s">
        <v>13</v>
      </c>
      <c r="G155" s="571" t="s">
        <v>3541</v>
      </c>
      <c r="H155" s="491"/>
      <c r="I155" s="495"/>
      <c r="J155" s="491"/>
      <c r="K155" s="491" t="s">
        <v>2055</v>
      </c>
      <c r="L155" s="491"/>
      <c r="M155" s="536">
        <v>2088000</v>
      </c>
      <c r="N155" s="491" t="s">
        <v>216</v>
      </c>
      <c r="O155" s="537">
        <v>43474</v>
      </c>
      <c r="P155" s="537">
        <v>43494</v>
      </c>
      <c r="Q155" s="537">
        <v>43502</v>
      </c>
      <c r="R155" s="491" t="s">
        <v>3999</v>
      </c>
      <c r="S155" s="495"/>
      <c r="T155" s="536">
        <v>1998000</v>
      </c>
      <c r="U155" s="536">
        <v>2417580</v>
      </c>
      <c r="V155" s="1471"/>
      <c r="W155" s="1471"/>
      <c r="X155" s="1471"/>
      <c r="Y155" s="573">
        <v>43502</v>
      </c>
      <c r="Z155" s="536" t="s">
        <v>4000</v>
      </c>
      <c r="AA155" s="537">
        <v>43557</v>
      </c>
      <c r="AB155" s="537">
        <v>43559</v>
      </c>
      <c r="AC155" s="537">
        <v>44652</v>
      </c>
      <c r="AD155" s="537">
        <v>43892</v>
      </c>
      <c r="AE155" s="1525">
        <v>44802</v>
      </c>
    </row>
    <row r="156" spans="1:45">
      <c r="A156" s="1446" t="s">
        <v>239</v>
      </c>
      <c r="B156" s="540" t="s">
        <v>239</v>
      </c>
      <c r="C156" s="537">
        <v>43413</v>
      </c>
      <c r="D156" s="1373" t="s">
        <v>3543</v>
      </c>
      <c r="E156" s="491" t="s">
        <v>2111</v>
      </c>
      <c r="F156" s="491" t="s">
        <v>1215</v>
      </c>
      <c r="G156" s="571" t="s">
        <v>3494</v>
      </c>
      <c r="H156" s="491"/>
      <c r="I156" s="495"/>
      <c r="J156" s="491"/>
      <c r="K156" s="491" t="s">
        <v>3495</v>
      </c>
      <c r="L156" s="491"/>
      <c r="M156" s="536">
        <v>1020000</v>
      </c>
      <c r="N156" s="491" t="s">
        <v>112</v>
      </c>
      <c r="O156" s="537">
        <v>43469</v>
      </c>
      <c r="P156" s="537">
        <v>43482</v>
      </c>
      <c r="Q156" s="537">
        <v>43501</v>
      </c>
      <c r="R156" s="491" t="s">
        <v>3864</v>
      </c>
      <c r="S156" s="495"/>
      <c r="T156" s="536">
        <v>1231140</v>
      </c>
      <c r="U156" s="536">
        <v>1489679.4</v>
      </c>
      <c r="V156" s="1471"/>
      <c r="W156" s="1471"/>
      <c r="X156" s="1471"/>
      <c r="Y156" s="573">
        <v>43501</v>
      </c>
      <c r="Z156" s="536" t="s">
        <v>3976</v>
      </c>
      <c r="AA156" s="537">
        <v>43524</v>
      </c>
      <c r="AB156" s="537">
        <v>43525</v>
      </c>
      <c r="AC156" s="537">
        <v>43888</v>
      </c>
      <c r="AD156" s="537">
        <v>43838</v>
      </c>
      <c r="AE156" s="537">
        <v>43941</v>
      </c>
      <c r="AF156" s="374"/>
      <c r="AG156" s="374"/>
      <c r="AS156" s="1700"/>
    </row>
    <row r="157" spans="1:45">
      <c r="A157" s="1453" t="s">
        <v>239</v>
      </c>
      <c r="B157" s="506" t="s">
        <v>239</v>
      </c>
      <c r="C157" s="510">
        <v>43468</v>
      </c>
      <c r="D157" s="1382" t="s">
        <v>3559</v>
      </c>
      <c r="E157" s="506" t="s">
        <v>58</v>
      </c>
      <c r="F157" s="506" t="s">
        <v>2684</v>
      </c>
      <c r="G157" s="507" t="s">
        <v>3560</v>
      </c>
      <c r="H157" s="506"/>
      <c r="I157" s="548"/>
      <c r="J157" s="506"/>
      <c r="K157" s="506" t="s">
        <v>421</v>
      </c>
      <c r="L157" s="506" t="s">
        <v>3561</v>
      </c>
      <c r="M157" s="511">
        <v>486000</v>
      </c>
      <c r="N157" s="506" t="s">
        <v>112</v>
      </c>
      <c r="O157" s="510">
        <v>43474</v>
      </c>
      <c r="P157" s="510">
        <v>43483</v>
      </c>
      <c r="Q157" s="506"/>
      <c r="R157" s="514" t="s">
        <v>242</v>
      </c>
      <c r="S157" s="1713" t="s">
        <v>4718</v>
      </c>
      <c r="T157" s="511"/>
      <c r="U157" s="511"/>
      <c r="V157" s="1470"/>
      <c r="W157" s="1470"/>
      <c r="X157" s="1470"/>
      <c r="Y157" s="511"/>
      <c r="Z157" s="511"/>
      <c r="AA157" s="506"/>
      <c r="AB157" s="510">
        <v>43486</v>
      </c>
      <c r="AC157" s="506"/>
      <c r="AD157" s="506"/>
      <c r="AE157" s="506"/>
      <c r="AS157" s="1700"/>
    </row>
    <row r="158" spans="1:45">
      <c r="A158" s="1446" t="s">
        <v>239</v>
      </c>
      <c r="B158" s="540" t="s">
        <v>239</v>
      </c>
      <c r="C158" s="537">
        <v>43440</v>
      </c>
      <c r="D158" s="1373" t="s">
        <v>3562</v>
      </c>
      <c r="E158" s="491" t="s">
        <v>2434</v>
      </c>
      <c r="F158" s="491" t="s">
        <v>219</v>
      </c>
      <c r="G158" s="571" t="s">
        <v>3563</v>
      </c>
      <c r="H158" s="491"/>
      <c r="I158" s="495"/>
      <c r="J158" s="491"/>
      <c r="K158" s="491" t="s">
        <v>642</v>
      </c>
      <c r="L158" s="491"/>
      <c r="M158" s="536">
        <v>1347470</v>
      </c>
      <c r="N158" s="491" t="s">
        <v>112</v>
      </c>
      <c r="O158" s="537">
        <v>43481</v>
      </c>
      <c r="P158" s="537">
        <v>43489</v>
      </c>
      <c r="Q158" s="537">
        <v>43508</v>
      </c>
      <c r="R158" s="491" t="s">
        <v>2285</v>
      </c>
      <c r="S158" s="495"/>
      <c r="T158" s="536">
        <v>1115140</v>
      </c>
      <c r="U158" s="536">
        <v>1349319.4</v>
      </c>
      <c r="V158" s="1471"/>
      <c r="W158" s="1471"/>
      <c r="X158" s="1471"/>
      <c r="Y158" s="573">
        <v>43509</v>
      </c>
      <c r="Z158" s="536" t="s">
        <v>3914</v>
      </c>
      <c r="AA158" s="537">
        <v>43529</v>
      </c>
      <c r="AB158" s="537">
        <v>43530</v>
      </c>
      <c r="AC158" s="537">
        <v>44259</v>
      </c>
      <c r="AD158" s="537">
        <v>43838</v>
      </c>
      <c r="AE158" s="537">
        <v>44320</v>
      </c>
      <c r="AG158" s="374"/>
      <c r="AS158" s="1700"/>
    </row>
    <row r="159" spans="1:45" ht="15.75" thickBot="1">
      <c r="A159" s="1449" t="s">
        <v>239</v>
      </c>
      <c r="B159" s="406" t="s">
        <v>239</v>
      </c>
      <c r="C159" s="643">
        <v>43467</v>
      </c>
      <c r="D159" s="1491" t="s">
        <v>3564</v>
      </c>
      <c r="E159" s="639" t="s">
        <v>14</v>
      </c>
      <c r="F159" s="639" t="s">
        <v>13</v>
      </c>
      <c r="G159" s="1573" t="s">
        <v>3565</v>
      </c>
      <c r="H159" s="356"/>
      <c r="I159" s="1436"/>
      <c r="J159" s="639"/>
      <c r="K159" s="639" t="s">
        <v>2055</v>
      </c>
      <c r="L159" s="639" t="s">
        <v>3566</v>
      </c>
      <c r="M159" s="645">
        <v>1350000</v>
      </c>
      <c r="N159" s="639" t="s">
        <v>112</v>
      </c>
      <c r="O159" s="643">
        <v>43493</v>
      </c>
      <c r="P159" s="643">
        <v>43504</v>
      </c>
      <c r="Q159" s="639"/>
      <c r="R159" s="831" t="s">
        <v>3998</v>
      </c>
      <c r="S159" s="1715" t="s">
        <v>4720</v>
      </c>
      <c r="T159" s="645"/>
      <c r="U159" s="645"/>
      <c r="V159" s="1478"/>
      <c r="W159" s="1478"/>
      <c r="X159" s="1478"/>
      <c r="Y159" s="645"/>
      <c r="Z159" s="645"/>
      <c r="AA159" s="639"/>
      <c r="AB159" s="643">
        <v>43522</v>
      </c>
      <c r="AC159" s="639"/>
      <c r="AD159" s="639"/>
      <c r="AE159" s="639"/>
      <c r="AS159" s="1700"/>
    </row>
    <row r="160" spans="1:45" ht="15.75" thickTop="1">
      <c r="A160" s="1456" t="s">
        <v>239</v>
      </c>
      <c r="B160" s="583" t="s">
        <v>239</v>
      </c>
      <c r="C160" s="474">
        <v>43473</v>
      </c>
      <c r="D160" s="1383" t="s">
        <v>3580</v>
      </c>
      <c r="E160" s="453" t="s">
        <v>1700</v>
      </c>
      <c r="F160" s="453" t="s">
        <v>6206</v>
      </c>
      <c r="G160" s="473" t="s">
        <v>3581</v>
      </c>
      <c r="H160" s="453">
        <v>1</v>
      </c>
      <c r="I160" s="1420" t="s">
        <v>3849</v>
      </c>
      <c r="J160" s="453"/>
      <c r="K160" s="453" t="s">
        <v>2550</v>
      </c>
      <c r="L160" s="453"/>
      <c r="M160" s="457">
        <v>1394214.87</v>
      </c>
      <c r="N160" s="453" t="s">
        <v>251</v>
      </c>
      <c r="O160" s="474">
        <v>43504</v>
      </c>
      <c r="P160" s="474">
        <v>43537</v>
      </c>
      <c r="Q160" s="474">
        <v>43564</v>
      </c>
      <c r="R160" s="453" t="s">
        <v>4315</v>
      </c>
      <c r="S160" s="1420"/>
      <c r="T160" s="457">
        <v>1389636</v>
      </c>
      <c r="U160" s="457">
        <f>T160*1.21</f>
        <v>1681459.56</v>
      </c>
      <c r="V160" s="1474"/>
      <c r="W160" s="1474"/>
      <c r="X160" s="1474"/>
      <c r="Y160" s="570">
        <v>43564</v>
      </c>
      <c r="Z160" s="457" t="s">
        <v>4316</v>
      </c>
      <c r="AA160" s="474">
        <v>43602</v>
      </c>
      <c r="AB160" s="474">
        <v>43605</v>
      </c>
      <c r="AC160" s="474">
        <v>43644</v>
      </c>
      <c r="AD160" s="474">
        <v>43647</v>
      </c>
      <c r="AE160" s="1393"/>
      <c r="AF160" s="374"/>
      <c r="AG160" s="374"/>
    </row>
    <row r="161" spans="1:45">
      <c r="A161" s="1457" t="s">
        <v>239</v>
      </c>
      <c r="B161" s="590" t="s">
        <v>239</v>
      </c>
      <c r="C161" s="537">
        <v>43473</v>
      </c>
      <c r="D161" s="1373" t="s">
        <v>3580</v>
      </c>
      <c r="E161" s="491" t="s">
        <v>1700</v>
      </c>
      <c r="F161" s="491" t="s">
        <v>6206</v>
      </c>
      <c r="G161" s="571" t="s">
        <v>3581</v>
      </c>
      <c r="H161" s="491">
        <v>2</v>
      </c>
      <c r="I161" s="495" t="s">
        <v>3850</v>
      </c>
      <c r="J161" s="491"/>
      <c r="K161" s="491" t="s">
        <v>2550</v>
      </c>
      <c r="L161" s="491"/>
      <c r="M161" s="536">
        <v>1600826.44</v>
      </c>
      <c r="N161" s="491" t="s">
        <v>251</v>
      </c>
      <c r="O161" s="537">
        <v>43504</v>
      </c>
      <c r="P161" s="537">
        <v>43537</v>
      </c>
      <c r="Q161" s="537">
        <v>43564</v>
      </c>
      <c r="R161" s="491" t="s">
        <v>4315</v>
      </c>
      <c r="S161" s="495"/>
      <c r="T161" s="536">
        <v>1595178</v>
      </c>
      <c r="U161" s="536">
        <f>T161*1.21</f>
        <v>1930165.38</v>
      </c>
      <c r="V161" s="1471"/>
      <c r="W161" s="1471"/>
      <c r="X161" s="1471"/>
      <c r="Y161" s="573">
        <v>43564</v>
      </c>
      <c r="Z161" s="536" t="s">
        <v>4317</v>
      </c>
      <c r="AA161" s="537">
        <v>43602</v>
      </c>
      <c r="AB161" s="537">
        <v>43605</v>
      </c>
      <c r="AC161" s="537">
        <v>43644</v>
      </c>
      <c r="AD161" s="537">
        <v>43647</v>
      </c>
      <c r="AE161" s="1102"/>
      <c r="AF161" s="374"/>
      <c r="AG161" s="374"/>
    </row>
    <row r="162" spans="1:45" ht="15.75" thickBot="1">
      <c r="A162" s="1458" t="s">
        <v>239</v>
      </c>
      <c r="B162" s="1356" t="s">
        <v>239</v>
      </c>
      <c r="C162" s="1380">
        <v>43473</v>
      </c>
      <c r="D162" s="1377" t="s">
        <v>3580</v>
      </c>
      <c r="E162" s="1376" t="s">
        <v>1700</v>
      </c>
      <c r="F162" s="1376" t="s">
        <v>6206</v>
      </c>
      <c r="G162" s="1378" t="s">
        <v>3581</v>
      </c>
      <c r="H162" s="1376">
        <v>3</v>
      </c>
      <c r="I162" s="1421" t="s">
        <v>3851</v>
      </c>
      <c r="J162" s="1376"/>
      <c r="K162" s="1376" t="s">
        <v>2550</v>
      </c>
      <c r="L162" s="1376"/>
      <c r="M162" s="1379">
        <v>1406611.57</v>
      </c>
      <c r="N162" s="1376" t="s">
        <v>251</v>
      </c>
      <c r="O162" s="1380">
        <v>43504</v>
      </c>
      <c r="P162" s="1380">
        <v>43537</v>
      </c>
      <c r="Q162" s="1380">
        <v>43564</v>
      </c>
      <c r="R162" s="1376" t="s">
        <v>4315</v>
      </c>
      <c r="S162" s="1421"/>
      <c r="T162" s="1379">
        <v>1399800</v>
      </c>
      <c r="U162" s="1379">
        <f>T162*1.21</f>
        <v>1693758</v>
      </c>
      <c r="V162" s="1475"/>
      <c r="W162" s="1475"/>
      <c r="X162" s="1475"/>
      <c r="Y162" s="1388">
        <v>43564</v>
      </c>
      <c r="Z162" s="1379" t="s">
        <v>4318</v>
      </c>
      <c r="AA162" s="1380">
        <v>43602</v>
      </c>
      <c r="AB162" s="1380">
        <v>43605</v>
      </c>
      <c r="AC162" s="1380">
        <v>43644</v>
      </c>
      <c r="AD162" s="1380">
        <v>43661</v>
      </c>
      <c r="AE162" s="1395"/>
      <c r="AF162" s="374"/>
      <c r="AG162" s="374"/>
    </row>
    <row r="163" spans="1:45" ht="15.75" thickTop="1">
      <c r="A163" s="1448" t="s">
        <v>239</v>
      </c>
      <c r="B163" s="423" t="s">
        <v>239</v>
      </c>
      <c r="C163" s="1570" t="s">
        <v>3585</v>
      </c>
      <c r="D163" s="1397" t="s">
        <v>3586</v>
      </c>
      <c r="E163" s="1570" t="s">
        <v>2265</v>
      </c>
      <c r="F163" s="1570" t="s">
        <v>230</v>
      </c>
      <c r="G163" s="175" t="s">
        <v>3587</v>
      </c>
      <c r="H163" s="491">
        <v>1</v>
      </c>
      <c r="I163" s="495" t="s">
        <v>3846</v>
      </c>
      <c r="J163" s="1570"/>
      <c r="K163" s="491" t="s">
        <v>154</v>
      </c>
      <c r="L163" s="1570"/>
      <c r="M163" s="364">
        <v>2100000</v>
      </c>
      <c r="N163" s="1570" t="s">
        <v>216</v>
      </c>
      <c r="O163" s="365">
        <v>43479</v>
      </c>
      <c r="P163" s="365">
        <v>43495</v>
      </c>
      <c r="Q163" s="365">
        <v>43509</v>
      </c>
      <c r="R163" s="1791" t="s">
        <v>2360</v>
      </c>
      <c r="S163" s="1705"/>
      <c r="T163" s="364">
        <v>1712320</v>
      </c>
      <c r="U163" s="364">
        <v>2071907.2</v>
      </c>
      <c r="V163" s="1476"/>
      <c r="W163" s="1476"/>
      <c r="X163" s="1476"/>
      <c r="Y163" s="681">
        <v>43511</v>
      </c>
      <c r="Z163" s="364" t="s">
        <v>3945</v>
      </c>
      <c r="AA163" s="365">
        <v>43556</v>
      </c>
      <c r="AB163" s="365">
        <v>43559</v>
      </c>
      <c r="AC163" s="365">
        <v>43921</v>
      </c>
      <c r="AD163" s="365">
        <v>43913</v>
      </c>
      <c r="AE163" s="365">
        <v>44278</v>
      </c>
      <c r="AF163" s="374"/>
      <c r="AG163" s="374"/>
    </row>
    <row r="164" spans="1:45">
      <c r="A164" s="1448" t="s">
        <v>239</v>
      </c>
      <c r="B164" s="423" t="s">
        <v>239</v>
      </c>
      <c r="C164" s="1570" t="s">
        <v>3585</v>
      </c>
      <c r="D164" s="1397" t="s">
        <v>3586</v>
      </c>
      <c r="E164" s="1570" t="s">
        <v>2265</v>
      </c>
      <c r="F164" s="1570" t="s">
        <v>230</v>
      </c>
      <c r="G164" s="175" t="s">
        <v>3587</v>
      </c>
      <c r="H164" s="491">
        <v>2</v>
      </c>
      <c r="I164" s="495" t="s">
        <v>3847</v>
      </c>
      <c r="J164" s="491"/>
      <c r="K164" s="491" t="s">
        <v>154</v>
      </c>
      <c r="L164" s="491"/>
      <c r="M164" s="536">
        <v>900000</v>
      </c>
      <c r="N164" s="491" t="s">
        <v>216</v>
      </c>
      <c r="O164" s="537">
        <v>43479</v>
      </c>
      <c r="P164" s="537">
        <v>43495</v>
      </c>
      <c r="Q164" s="537">
        <v>43509</v>
      </c>
      <c r="R164" s="491" t="s">
        <v>2360</v>
      </c>
      <c r="S164" s="495"/>
      <c r="T164" s="536">
        <v>796300</v>
      </c>
      <c r="U164" s="536">
        <v>963523</v>
      </c>
      <c r="V164" s="1472"/>
      <c r="W164" s="1472"/>
      <c r="X164" s="1472"/>
      <c r="Y164" s="573">
        <v>43511</v>
      </c>
      <c r="Z164" s="536" t="s">
        <v>3946</v>
      </c>
      <c r="AA164" s="537">
        <v>43556</v>
      </c>
      <c r="AB164" s="537">
        <v>43559</v>
      </c>
      <c r="AC164" s="537">
        <v>43921</v>
      </c>
      <c r="AD164" s="537">
        <v>43913</v>
      </c>
      <c r="AE164" s="537">
        <v>44278</v>
      </c>
      <c r="AF164" s="374"/>
      <c r="AG164" s="374"/>
    </row>
    <row r="165" spans="1:45">
      <c r="A165" s="1457" t="s">
        <v>239</v>
      </c>
      <c r="B165" s="590" t="s">
        <v>239</v>
      </c>
      <c r="C165" s="537">
        <v>43467</v>
      </c>
      <c r="D165" s="1373" t="s">
        <v>3588</v>
      </c>
      <c r="E165" s="491" t="s">
        <v>2111</v>
      </c>
      <c r="F165" s="491" t="s">
        <v>1215</v>
      </c>
      <c r="G165" s="571" t="s">
        <v>3589</v>
      </c>
      <c r="H165" s="491"/>
      <c r="I165" s="495"/>
      <c r="J165" s="491"/>
      <c r="K165" s="491" t="s">
        <v>2113</v>
      </c>
      <c r="L165" s="491"/>
      <c r="M165" s="536">
        <v>930000</v>
      </c>
      <c r="N165" s="491" t="s">
        <v>251</v>
      </c>
      <c r="O165" s="537">
        <v>43486</v>
      </c>
      <c r="P165" s="537">
        <v>43518</v>
      </c>
      <c r="Q165" s="537">
        <v>43530</v>
      </c>
      <c r="R165" s="491" t="s">
        <v>4017</v>
      </c>
      <c r="S165" s="495"/>
      <c r="T165" s="536">
        <v>845534</v>
      </c>
      <c r="U165" s="536">
        <f>T165*1.21</f>
        <v>1023096.14</v>
      </c>
      <c r="V165" s="1471"/>
      <c r="W165" s="1471"/>
      <c r="X165" s="1471"/>
      <c r="Y165" s="573">
        <v>43531</v>
      </c>
      <c r="Z165" s="536" t="s">
        <v>4068</v>
      </c>
      <c r="AA165" s="537">
        <v>43565</v>
      </c>
      <c r="AB165" s="537">
        <v>43572</v>
      </c>
      <c r="AC165" s="537">
        <f>AA165+112</f>
        <v>43677</v>
      </c>
      <c r="AD165" s="537">
        <v>43745</v>
      </c>
      <c r="AE165" s="1102"/>
      <c r="AF165" s="374"/>
      <c r="AG165" s="374"/>
    </row>
    <row r="166" spans="1:45" ht="30">
      <c r="A166" s="1446" t="s">
        <v>239</v>
      </c>
      <c r="B166" s="540" t="s">
        <v>239</v>
      </c>
      <c r="C166" s="537">
        <v>43479</v>
      </c>
      <c r="D166" s="1373" t="s">
        <v>3609</v>
      </c>
      <c r="E166" s="491" t="s">
        <v>58</v>
      </c>
      <c r="F166" s="491" t="s">
        <v>2684</v>
      </c>
      <c r="G166" s="571" t="s">
        <v>3610</v>
      </c>
      <c r="H166" s="491"/>
      <c r="I166" s="495"/>
      <c r="J166" s="491"/>
      <c r="K166" s="491" t="s">
        <v>1924</v>
      </c>
      <c r="L166" s="491" t="s">
        <v>3611</v>
      </c>
      <c r="M166" s="536">
        <v>179338</v>
      </c>
      <c r="N166" s="491" t="s">
        <v>112</v>
      </c>
      <c r="O166" s="537">
        <v>43486</v>
      </c>
      <c r="P166" s="537">
        <v>43503</v>
      </c>
      <c r="Q166" s="537">
        <v>43524</v>
      </c>
      <c r="R166" s="491" t="s">
        <v>4005</v>
      </c>
      <c r="S166" s="495"/>
      <c r="T166" s="536">
        <v>229984</v>
      </c>
      <c r="U166" s="536">
        <v>278280.64</v>
      </c>
      <c r="V166" s="1471"/>
      <c r="W166" s="1471"/>
      <c r="X166" s="1471"/>
      <c r="Y166" s="573">
        <v>43525</v>
      </c>
      <c r="Z166" s="1375" t="s">
        <v>4018</v>
      </c>
      <c r="AA166" s="537">
        <v>43550</v>
      </c>
      <c r="AB166" s="537">
        <v>43553</v>
      </c>
      <c r="AC166" s="537">
        <f>AA166+56</f>
        <v>43606</v>
      </c>
      <c r="AD166" s="537">
        <v>43626</v>
      </c>
      <c r="AE166" s="1374" t="s">
        <v>1875</v>
      </c>
      <c r="AF166" s="374"/>
      <c r="AG166" s="374"/>
      <c r="AS166" s="1700"/>
    </row>
    <row r="167" spans="1:45" ht="30">
      <c r="A167" s="1446" t="s">
        <v>239</v>
      </c>
      <c r="B167" s="540" t="s">
        <v>239</v>
      </c>
      <c r="C167" s="510">
        <v>43482</v>
      </c>
      <c r="D167" s="1382" t="s">
        <v>3613</v>
      </c>
      <c r="E167" s="506" t="s">
        <v>58</v>
      </c>
      <c r="F167" s="506" t="s">
        <v>2684</v>
      </c>
      <c r="G167" s="507" t="s">
        <v>3614</v>
      </c>
      <c r="H167" s="506"/>
      <c r="I167" s="548"/>
      <c r="J167" s="506"/>
      <c r="K167" s="506" t="s">
        <v>275</v>
      </c>
      <c r="L167" s="506" t="s">
        <v>3615</v>
      </c>
      <c r="M167" s="511">
        <v>438017</v>
      </c>
      <c r="N167" s="506" t="s">
        <v>112</v>
      </c>
      <c r="O167" s="510">
        <v>43487</v>
      </c>
      <c r="P167" s="510">
        <v>43496</v>
      </c>
      <c r="Q167" s="510">
        <v>43508</v>
      </c>
      <c r="R167" s="1794" t="s">
        <v>4927</v>
      </c>
      <c r="S167" s="1723" t="s">
        <v>5361</v>
      </c>
      <c r="T167" s="511">
        <v>514254</v>
      </c>
      <c r="U167" s="511">
        <v>622248.5</v>
      </c>
      <c r="V167" s="1470"/>
      <c r="W167" s="1470"/>
      <c r="X167" s="1470"/>
      <c r="Y167" s="1398">
        <v>43509</v>
      </c>
      <c r="Z167" s="1561" t="s">
        <v>3913</v>
      </c>
      <c r="AA167" s="506"/>
      <c r="AB167" s="510">
        <v>43629</v>
      </c>
      <c r="AC167" s="506"/>
      <c r="AD167" s="506"/>
      <c r="AE167" s="506"/>
      <c r="AS167" s="1700"/>
    </row>
    <row r="168" spans="1:45" ht="30">
      <c r="A168" s="1446" t="s">
        <v>239</v>
      </c>
      <c r="B168" s="540" t="s">
        <v>239</v>
      </c>
      <c r="C168" s="491" t="s">
        <v>3585</v>
      </c>
      <c r="D168" s="1373" t="s">
        <v>3616</v>
      </c>
      <c r="E168" s="491" t="s">
        <v>58</v>
      </c>
      <c r="F168" s="491" t="s">
        <v>2684</v>
      </c>
      <c r="G168" s="571" t="s">
        <v>3617</v>
      </c>
      <c r="H168" s="491"/>
      <c r="I168" s="495"/>
      <c r="J168" s="491"/>
      <c r="K168" s="491" t="s">
        <v>421</v>
      </c>
      <c r="L168" s="491" t="s">
        <v>3618</v>
      </c>
      <c r="M168" s="536">
        <v>486000</v>
      </c>
      <c r="N168" s="491" t="s">
        <v>112</v>
      </c>
      <c r="O168" s="537">
        <v>43488</v>
      </c>
      <c r="P168" s="537">
        <v>43503</v>
      </c>
      <c r="Q168" s="537">
        <v>43509</v>
      </c>
      <c r="R168" s="491" t="s">
        <v>3939</v>
      </c>
      <c r="S168" s="495"/>
      <c r="T168" s="536">
        <v>649837</v>
      </c>
      <c r="U168" s="536">
        <f>T168*1.21</f>
        <v>786302.77</v>
      </c>
      <c r="V168" s="1471"/>
      <c r="W168" s="1471"/>
      <c r="X168" s="1471"/>
      <c r="Y168" s="573">
        <v>43509</v>
      </c>
      <c r="Z168" s="1375" t="s">
        <v>3940</v>
      </c>
      <c r="AA168" s="537">
        <v>43532</v>
      </c>
      <c r="AB168" s="537">
        <v>43536</v>
      </c>
      <c r="AC168" s="537">
        <f>AA168+63</f>
        <v>43595</v>
      </c>
      <c r="AD168" s="537">
        <v>43633</v>
      </c>
      <c r="AE168" s="1374" t="s">
        <v>1875</v>
      </c>
      <c r="AF168" s="374"/>
      <c r="AG168" s="374"/>
      <c r="AS168" s="1700"/>
    </row>
    <row r="169" spans="1:45">
      <c r="A169" s="1457" t="s">
        <v>239</v>
      </c>
      <c r="B169" s="590" t="s">
        <v>239</v>
      </c>
      <c r="C169" s="537">
        <v>43482</v>
      </c>
      <c r="D169" s="1373" t="s">
        <v>3619</v>
      </c>
      <c r="E169" s="491" t="s">
        <v>1032</v>
      </c>
      <c r="F169" s="491" t="s">
        <v>361</v>
      </c>
      <c r="G169" s="571" t="s">
        <v>3620</v>
      </c>
      <c r="H169" s="491"/>
      <c r="I169" s="495"/>
      <c r="J169" s="491"/>
      <c r="K169" s="491" t="s">
        <v>1385</v>
      </c>
      <c r="L169" s="491"/>
      <c r="M169" s="536">
        <v>4000000</v>
      </c>
      <c r="N169" s="491" t="s">
        <v>251</v>
      </c>
      <c r="O169" s="537">
        <v>43510</v>
      </c>
      <c r="P169" s="537">
        <v>43546</v>
      </c>
      <c r="Q169" s="537">
        <v>43566</v>
      </c>
      <c r="R169" s="491" t="s">
        <v>1365</v>
      </c>
      <c r="S169" s="495"/>
      <c r="T169" s="536">
        <v>3997042.8</v>
      </c>
      <c r="U169" s="536">
        <v>4836421.79</v>
      </c>
      <c r="V169" s="1471"/>
      <c r="W169" s="1471"/>
      <c r="X169" s="1471"/>
      <c r="Y169" s="573">
        <v>43566</v>
      </c>
      <c r="Z169" s="536" t="s">
        <v>4328</v>
      </c>
      <c r="AA169" s="537">
        <v>43602</v>
      </c>
      <c r="AB169" s="537">
        <v>43607</v>
      </c>
      <c r="AC169" s="537">
        <v>45062</v>
      </c>
      <c r="AD169" s="1525">
        <v>44845</v>
      </c>
      <c r="AE169" s="1102"/>
      <c r="AF169" s="374"/>
      <c r="AG169" s="374"/>
    </row>
    <row r="170" spans="1:45" ht="15.75" thickBot="1">
      <c r="A170" s="1449" t="s">
        <v>239</v>
      </c>
      <c r="B170" s="406" t="s">
        <v>239</v>
      </c>
      <c r="C170" s="411" t="s">
        <v>3585</v>
      </c>
      <c r="D170" s="1468" t="s">
        <v>3628</v>
      </c>
      <c r="E170" s="411" t="s">
        <v>1032</v>
      </c>
      <c r="F170" s="411" t="s">
        <v>361</v>
      </c>
      <c r="G170" s="412" t="s">
        <v>3629</v>
      </c>
      <c r="H170" s="411"/>
      <c r="I170" s="630"/>
      <c r="J170" s="411"/>
      <c r="K170" s="411" t="s">
        <v>3542</v>
      </c>
      <c r="L170" s="411"/>
      <c r="M170" s="417">
        <v>300000</v>
      </c>
      <c r="N170" s="411" t="s">
        <v>112</v>
      </c>
      <c r="O170" s="416">
        <v>43489</v>
      </c>
      <c r="P170" s="416">
        <v>43501</v>
      </c>
      <c r="Q170" s="416">
        <v>43507</v>
      </c>
      <c r="R170" s="411" t="s">
        <v>3884</v>
      </c>
      <c r="S170" s="630"/>
      <c r="T170" s="417">
        <v>269000</v>
      </c>
      <c r="U170" s="417">
        <v>325490</v>
      </c>
      <c r="V170" s="1480"/>
      <c r="W170" s="1480"/>
      <c r="X170" s="1480"/>
      <c r="Y170" s="513">
        <v>43507</v>
      </c>
      <c r="Z170" s="417" t="s">
        <v>4007</v>
      </c>
      <c r="AA170" s="416">
        <v>43536</v>
      </c>
      <c r="AB170" s="416">
        <v>43536</v>
      </c>
      <c r="AC170" s="416">
        <v>43555</v>
      </c>
      <c r="AD170" s="416">
        <v>43605</v>
      </c>
      <c r="AE170" s="967"/>
      <c r="AF170" s="374"/>
      <c r="AG170" s="374"/>
      <c r="AS170" s="1700"/>
    </row>
    <row r="171" spans="1:45" ht="15.75" thickTop="1">
      <c r="A171" s="1456" t="s">
        <v>239</v>
      </c>
      <c r="B171" s="583" t="s">
        <v>239</v>
      </c>
      <c r="C171" s="474">
        <v>43440</v>
      </c>
      <c r="D171" s="1383" t="s">
        <v>3630</v>
      </c>
      <c r="E171" s="453" t="s">
        <v>69</v>
      </c>
      <c r="F171" s="453" t="s">
        <v>70</v>
      </c>
      <c r="G171" s="473" t="s">
        <v>3631</v>
      </c>
      <c r="H171" s="453">
        <v>1</v>
      </c>
      <c r="I171" s="1420" t="s">
        <v>3714</v>
      </c>
      <c r="J171" s="453" t="s">
        <v>3653</v>
      </c>
      <c r="K171" s="453" t="s">
        <v>3632</v>
      </c>
      <c r="L171" s="453"/>
      <c r="M171" s="457">
        <v>356773</v>
      </c>
      <c r="N171" s="453" t="s">
        <v>251</v>
      </c>
      <c r="O171" s="474">
        <v>43490</v>
      </c>
      <c r="P171" s="474">
        <v>43521</v>
      </c>
      <c r="Q171" s="474">
        <v>43532</v>
      </c>
      <c r="R171" s="453" t="s">
        <v>576</v>
      </c>
      <c r="S171" s="1420"/>
      <c r="T171" s="457">
        <v>352274.24</v>
      </c>
      <c r="U171" s="457">
        <f>T171*1.1</f>
        <v>387501.66400000005</v>
      </c>
      <c r="V171" s="1474"/>
      <c r="W171" s="1474"/>
      <c r="X171" s="1474"/>
      <c r="Y171" s="570">
        <v>43535</v>
      </c>
      <c r="Z171" s="457" t="s">
        <v>4064</v>
      </c>
      <c r="AA171" s="474">
        <v>43563</v>
      </c>
      <c r="AB171" s="474">
        <v>43580</v>
      </c>
      <c r="AC171" s="474">
        <v>44293</v>
      </c>
      <c r="AD171" s="474">
        <v>43915</v>
      </c>
      <c r="AE171" s="474">
        <v>44280</v>
      </c>
      <c r="AF171" s="1560">
        <v>44645</v>
      </c>
      <c r="AG171" s="374"/>
    </row>
    <row r="172" spans="1:45">
      <c r="A172" s="1457" t="s">
        <v>239</v>
      </c>
      <c r="B172" s="590" t="s">
        <v>239</v>
      </c>
      <c r="C172" s="537">
        <v>43440</v>
      </c>
      <c r="D172" s="1373" t="s">
        <v>3630</v>
      </c>
      <c r="E172" s="491" t="s">
        <v>69</v>
      </c>
      <c r="F172" s="491" t="s">
        <v>70</v>
      </c>
      <c r="G172" s="571" t="s">
        <v>3631</v>
      </c>
      <c r="H172" s="491">
        <v>2</v>
      </c>
      <c r="I172" s="495" t="s">
        <v>3715</v>
      </c>
      <c r="J172" s="491" t="s">
        <v>3643</v>
      </c>
      <c r="K172" s="491" t="s">
        <v>3632</v>
      </c>
      <c r="L172" s="491"/>
      <c r="M172" s="536">
        <v>3945195</v>
      </c>
      <c r="N172" s="491" t="s">
        <v>251</v>
      </c>
      <c r="O172" s="537">
        <v>43490</v>
      </c>
      <c r="P172" s="537">
        <v>43521</v>
      </c>
      <c r="Q172" s="537">
        <v>43532</v>
      </c>
      <c r="R172" s="491" t="s">
        <v>576</v>
      </c>
      <c r="S172" s="495"/>
      <c r="T172" s="536">
        <v>3910413.28</v>
      </c>
      <c r="U172" s="536">
        <f>T172*1.1</f>
        <v>4301454.608</v>
      </c>
      <c r="V172" s="1471"/>
      <c r="W172" s="1471"/>
      <c r="X172" s="1471"/>
      <c r="Y172" s="573">
        <v>43535</v>
      </c>
      <c r="Z172" s="536" t="s">
        <v>4065</v>
      </c>
      <c r="AA172" s="537">
        <v>43563</v>
      </c>
      <c r="AB172" s="537">
        <v>43580</v>
      </c>
      <c r="AC172" s="537">
        <v>44293</v>
      </c>
      <c r="AD172" s="537">
        <v>43915</v>
      </c>
      <c r="AE172" s="537">
        <v>44280</v>
      </c>
      <c r="AF172" s="1560">
        <v>44645</v>
      </c>
      <c r="AG172" s="374"/>
    </row>
    <row r="173" spans="1:45">
      <c r="A173" s="1457" t="s">
        <v>239</v>
      </c>
      <c r="B173" s="590" t="s">
        <v>239</v>
      </c>
      <c r="C173" s="510">
        <v>43440</v>
      </c>
      <c r="D173" s="1382" t="s">
        <v>3630</v>
      </c>
      <c r="E173" s="506" t="s">
        <v>69</v>
      </c>
      <c r="F173" s="506" t="s">
        <v>70</v>
      </c>
      <c r="G173" s="507" t="s">
        <v>3631</v>
      </c>
      <c r="H173" s="506">
        <v>3</v>
      </c>
      <c r="I173" s="548" t="s">
        <v>3716</v>
      </c>
      <c r="J173" s="506" t="s">
        <v>3644</v>
      </c>
      <c r="K173" s="506" t="s">
        <v>3633</v>
      </c>
      <c r="L173" s="506"/>
      <c r="M173" s="511">
        <v>2016941</v>
      </c>
      <c r="N173" s="506" t="s">
        <v>251</v>
      </c>
      <c r="O173" s="510">
        <v>43490</v>
      </c>
      <c r="P173" s="510">
        <v>43521</v>
      </c>
      <c r="Q173" s="510">
        <v>43532</v>
      </c>
      <c r="R173" s="514" t="s">
        <v>5529</v>
      </c>
      <c r="S173" s="736" t="s">
        <v>5501</v>
      </c>
      <c r="T173" s="511"/>
      <c r="U173" s="511"/>
      <c r="V173" s="1470"/>
      <c r="W173" s="1470"/>
      <c r="X173" s="1470"/>
      <c r="Y173" s="1398">
        <v>43535</v>
      </c>
      <c r="Z173" s="511" t="s">
        <v>4066</v>
      </c>
      <c r="AA173" s="506"/>
      <c r="AB173" s="510">
        <v>43580</v>
      </c>
      <c r="AC173" s="506"/>
      <c r="AD173" s="506"/>
      <c r="AE173" s="506"/>
    </row>
    <row r="174" spans="1:45">
      <c r="A174" s="1457" t="s">
        <v>239</v>
      </c>
      <c r="B174" s="590" t="s">
        <v>239</v>
      </c>
      <c r="C174" s="510">
        <v>43440</v>
      </c>
      <c r="D174" s="1382" t="s">
        <v>3630</v>
      </c>
      <c r="E174" s="506" t="s">
        <v>69</v>
      </c>
      <c r="F174" s="506" t="s">
        <v>70</v>
      </c>
      <c r="G174" s="507" t="s">
        <v>3631</v>
      </c>
      <c r="H174" s="506">
        <v>4</v>
      </c>
      <c r="I174" s="548" t="s">
        <v>3717</v>
      </c>
      <c r="J174" s="506" t="s">
        <v>3645</v>
      </c>
      <c r="K174" s="506" t="s">
        <v>3633</v>
      </c>
      <c r="L174" s="506"/>
      <c r="M174" s="511">
        <v>1079792</v>
      </c>
      <c r="N174" s="506" t="s">
        <v>251</v>
      </c>
      <c r="O174" s="510">
        <v>43490</v>
      </c>
      <c r="P174" s="510">
        <v>43521</v>
      </c>
      <c r="Q174" s="510"/>
      <c r="R174" s="514" t="s">
        <v>5530</v>
      </c>
      <c r="S174" s="736" t="s">
        <v>5502</v>
      </c>
      <c r="T174" s="511"/>
      <c r="U174" s="511"/>
      <c r="V174" s="1470"/>
      <c r="W174" s="1470"/>
      <c r="X174" s="1470"/>
      <c r="Y174" s="511"/>
      <c r="Z174" s="511"/>
      <c r="AA174" s="506"/>
      <c r="AB174" s="510">
        <v>43553</v>
      </c>
      <c r="AC174" s="506"/>
      <c r="AD174" s="506"/>
      <c r="AE174" s="506"/>
    </row>
    <row r="175" spans="1:45">
      <c r="A175" s="1457" t="s">
        <v>239</v>
      </c>
      <c r="B175" s="590" t="s">
        <v>239</v>
      </c>
      <c r="C175" s="537">
        <v>43440</v>
      </c>
      <c r="D175" s="1373" t="s">
        <v>3630</v>
      </c>
      <c r="E175" s="491" t="s">
        <v>69</v>
      </c>
      <c r="F175" s="491" t="s">
        <v>70</v>
      </c>
      <c r="G175" s="571" t="s">
        <v>3631</v>
      </c>
      <c r="H175" s="491">
        <v>5</v>
      </c>
      <c r="I175" s="495" t="s">
        <v>3718</v>
      </c>
      <c r="J175" s="491" t="s">
        <v>3646</v>
      </c>
      <c r="K175" s="491" t="s">
        <v>3436</v>
      </c>
      <c r="L175" s="491"/>
      <c r="M175" s="536">
        <v>4299113</v>
      </c>
      <c r="N175" s="491" t="s">
        <v>251</v>
      </c>
      <c r="O175" s="537">
        <v>43490</v>
      </c>
      <c r="P175" s="537">
        <v>43521</v>
      </c>
      <c r="Q175" s="537">
        <v>43532</v>
      </c>
      <c r="R175" s="491" t="s">
        <v>576</v>
      </c>
      <c r="S175" s="495"/>
      <c r="T175" s="536">
        <v>4261228.68</v>
      </c>
      <c r="U175" s="536">
        <f>T175*1.1</f>
        <v>4687351.5480000004</v>
      </c>
      <c r="V175" s="1471"/>
      <c r="W175" s="1471"/>
      <c r="X175" s="1471"/>
      <c r="Y175" s="573">
        <v>43535</v>
      </c>
      <c r="Z175" s="536" t="s">
        <v>4067</v>
      </c>
      <c r="AA175" s="537">
        <v>43563</v>
      </c>
      <c r="AB175" s="537">
        <v>43580</v>
      </c>
      <c r="AC175" s="537">
        <v>44293</v>
      </c>
      <c r="AD175" s="537">
        <v>43915</v>
      </c>
      <c r="AE175" s="537">
        <v>44280</v>
      </c>
      <c r="AF175" s="1560">
        <v>44645</v>
      </c>
      <c r="AG175" s="374"/>
    </row>
    <row r="176" spans="1:45">
      <c r="A176" s="1457" t="s">
        <v>239</v>
      </c>
      <c r="B176" s="590" t="s">
        <v>239</v>
      </c>
      <c r="C176" s="510">
        <v>43440</v>
      </c>
      <c r="D176" s="1382" t="s">
        <v>3630</v>
      </c>
      <c r="E176" s="506" t="s">
        <v>69</v>
      </c>
      <c r="F176" s="506" t="s">
        <v>70</v>
      </c>
      <c r="G176" s="507" t="s">
        <v>3631</v>
      </c>
      <c r="H176" s="506">
        <v>6</v>
      </c>
      <c r="I176" s="548" t="s">
        <v>3719</v>
      </c>
      <c r="J176" s="506" t="s">
        <v>3647</v>
      </c>
      <c r="K176" s="506" t="s">
        <v>3634</v>
      </c>
      <c r="L176" s="506"/>
      <c r="M176" s="511">
        <v>1881217</v>
      </c>
      <c r="N176" s="506" t="s">
        <v>251</v>
      </c>
      <c r="O176" s="510">
        <v>43490</v>
      </c>
      <c r="P176" s="510">
        <v>43521</v>
      </c>
      <c r="Q176" s="506"/>
      <c r="R176" s="514" t="s">
        <v>5531</v>
      </c>
      <c r="S176" s="736" t="s">
        <v>5503</v>
      </c>
      <c r="T176" s="511"/>
      <c r="U176" s="511"/>
      <c r="V176" s="1470"/>
      <c r="W176" s="1470"/>
      <c r="X176" s="1470"/>
      <c r="Y176" s="511"/>
      <c r="Z176" s="511"/>
      <c r="AA176" s="506"/>
      <c r="AB176" s="510">
        <v>43553</v>
      </c>
      <c r="AC176" s="506"/>
      <c r="AD176" s="506"/>
      <c r="AE176" s="506"/>
    </row>
    <row r="177" spans="1:45" ht="15.75" thickBot="1">
      <c r="A177" s="1458" t="s">
        <v>239</v>
      </c>
      <c r="B177" s="1356" t="s">
        <v>239</v>
      </c>
      <c r="C177" s="1414">
        <v>43440</v>
      </c>
      <c r="D177" s="1411" t="s">
        <v>3630</v>
      </c>
      <c r="E177" s="1410" t="s">
        <v>69</v>
      </c>
      <c r="F177" s="1410" t="s">
        <v>70</v>
      </c>
      <c r="G177" s="1412" t="s">
        <v>3631</v>
      </c>
      <c r="H177" s="1410">
        <v>7</v>
      </c>
      <c r="I177" s="1430" t="s">
        <v>3720</v>
      </c>
      <c r="J177" s="1410" t="s">
        <v>3648</v>
      </c>
      <c r="K177" s="1410" t="s">
        <v>3634</v>
      </c>
      <c r="L177" s="1410"/>
      <c r="M177" s="1413">
        <v>3254038</v>
      </c>
      <c r="N177" s="1410" t="s">
        <v>251</v>
      </c>
      <c r="O177" s="510">
        <v>43490</v>
      </c>
      <c r="P177" s="1414">
        <v>43521</v>
      </c>
      <c r="Q177" s="1410"/>
      <c r="R177" s="1740" t="s">
        <v>5531</v>
      </c>
      <c r="S177" s="644" t="s">
        <v>5503</v>
      </c>
      <c r="T177" s="1413"/>
      <c r="U177" s="1413"/>
      <c r="V177" s="1479"/>
      <c r="W177" s="1479"/>
      <c r="X177" s="1479"/>
      <c r="Y177" s="1413"/>
      <c r="Z177" s="1413"/>
      <c r="AA177" s="1410"/>
      <c r="AB177" s="1414">
        <v>43553</v>
      </c>
      <c r="AC177" s="1410"/>
      <c r="AD177" s="1410"/>
      <c r="AE177" s="1410"/>
    </row>
    <row r="178" spans="1:45" s="390" customFormat="1" ht="15.75" thickTop="1">
      <c r="A178" s="1460" t="s">
        <v>239</v>
      </c>
      <c r="B178" s="824" t="s">
        <v>239</v>
      </c>
      <c r="C178" s="474">
        <v>43433</v>
      </c>
      <c r="D178" s="1383" t="s">
        <v>3636</v>
      </c>
      <c r="E178" s="453" t="s">
        <v>69</v>
      </c>
      <c r="F178" s="453" t="s">
        <v>70</v>
      </c>
      <c r="G178" s="473" t="s">
        <v>3635</v>
      </c>
      <c r="H178" s="453">
        <v>1</v>
      </c>
      <c r="I178" s="1420" t="s">
        <v>3721</v>
      </c>
      <c r="J178" s="453" t="s">
        <v>3637</v>
      </c>
      <c r="K178" s="453" t="s">
        <v>93</v>
      </c>
      <c r="L178" s="453"/>
      <c r="M178" s="457">
        <v>509063</v>
      </c>
      <c r="N178" s="453" t="s">
        <v>251</v>
      </c>
      <c r="O178" s="474">
        <v>43532</v>
      </c>
      <c r="P178" s="474">
        <v>43565</v>
      </c>
      <c r="Q178" s="474">
        <v>43608</v>
      </c>
      <c r="R178" s="453" t="s">
        <v>1646</v>
      </c>
      <c r="S178" s="1420"/>
      <c r="T178" s="457">
        <v>468605.22</v>
      </c>
      <c r="U178" s="457">
        <v>515465.74</v>
      </c>
      <c r="V178" s="1474"/>
      <c r="W178" s="1474"/>
      <c r="X178" s="1474"/>
      <c r="Y178" s="570">
        <v>43609</v>
      </c>
      <c r="Z178" s="457" t="s">
        <v>4807</v>
      </c>
      <c r="AA178" s="474">
        <v>43648</v>
      </c>
      <c r="AB178" s="474">
        <v>43656</v>
      </c>
      <c r="AC178" s="474">
        <v>44378</v>
      </c>
      <c r="AD178" s="474">
        <v>43915</v>
      </c>
      <c r="AE178" s="474">
        <v>44280</v>
      </c>
      <c r="AF178" s="1560">
        <v>44645</v>
      </c>
      <c r="AG178" s="360"/>
      <c r="AH178" s="360"/>
      <c r="AI178" s="360"/>
      <c r="AJ178" s="360"/>
      <c r="AK178" s="360"/>
      <c r="AL178" s="360"/>
      <c r="AM178" s="360"/>
      <c r="AN178" s="360"/>
      <c r="AO178" s="360"/>
      <c r="AP178" s="360"/>
      <c r="AQ178" s="360"/>
      <c r="AR178" s="374"/>
      <c r="AS178" s="360"/>
    </row>
    <row r="179" spans="1:45" s="390" customFormat="1">
      <c r="A179" s="1461" t="s">
        <v>239</v>
      </c>
      <c r="B179" s="530" t="s">
        <v>239</v>
      </c>
      <c r="C179" s="537">
        <v>43433</v>
      </c>
      <c r="D179" s="1373" t="s">
        <v>3636</v>
      </c>
      <c r="E179" s="491" t="s">
        <v>69</v>
      </c>
      <c r="F179" s="491" t="s">
        <v>70</v>
      </c>
      <c r="G179" s="571" t="s">
        <v>3635</v>
      </c>
      <c r="H179" s="491">
        <v>2</v>
      </c>
      <c r="I179" s="495" t="s">
        <v>3722</v>
      </c>
      <c r="J179" s="491" t="s">
        <v>3637</v>
      </c>
      <c r="K179" s="491" t="s">
        <v>93</v>
      </c>
      <c r="L179" s="491"/>
      <c r="M179" s="536">
        <v>22616</v>
      </c>
      <c r="N179" s="491" t="s">
        <v>251</v>
      </c>
      <c r="O179" s="537">
        <v>43532</v>
      </c>
      <c r="P179" s="537">
        <v>43565</v>
      </c>
      <c r="Q179" s="537">
        <v>43608</v>
      </c>
      <c r="R179" s="491" t="s">
        <v>576</v>
      </c>
      <c r="S179" s="495"/>
      <c r="T179" s="536">
        <v>18231</v>
      </c>
      <c r="U179" s="536">
        <v>20054.099999999999</v>
      </c>
      <c r="V179" s="1471"/>
      <c r="W179" s="1471"/>
      <c r="X179" s="1471"/>
      <c r="Y179" s="573">
        <v>43609</v>
      </c>
      <c r="Z179" s="536" t="s">
        <v>4812</v>
      </c>
      <c r="AA179" s="537">
        <v>43648</v>
      </c>
      <c r="AB179" s="537">
        <v>43656</v>
      </c>
      <c r="AC179" s="537">
        <v>44378</v>
      </c>
      <c r="AD179" s="537">
        <v>43915</v>
      </c>
      <c r="AE179" s="537">
        <v>44280</v>
      </c>
      <c r="AF179" s="1560">
        <v>44645</v>
      </c>
      <c r="AG179" s="360"/>
      <c r="AH179" s="360"/>
      <c r="AI179" s="360"/>
      <c r="AJ179" s="360"/>
      <c r="AK179" s="360"/>
      <c r="AL179" s="360"/>
      <c r="AM179" s="360"/>
      <c r="AN179" s="360"/>
      <c r="AO179" s="360"/>
      <c r="AP179" s="360"/>
      <c r="AQ179" s="360"/>
      <c r="AR179" s="374"/>
      <c r="AS179" s="360"/>
    </row>
    <row r="180" spans="1:45" s="390" customFormat="1">
      <c r="A180" s="1461" t="s">
        <v>239</v>
      </c>
      <c r="B180" s="530" t="s">
        <v>239</v>
      </c>
      <c r="C180" s="537">
        <v>43433</v>
      </c>
      <c r="D180" s="1373" t="s">
        <v>3636</v>
      </c>
      <c r="E180" s="491" t="s">
        <v>69</v>
      </c>
      <c r="F180" s="491" t="s">
        <v>70</v>
      </c>
      <c r="G180" s="571" t="s">
        <v>3635</v>
      </c>
      <c r="H180" s="491">
        <v>3</v>
      </c>
      <c r="I180" s="495" t="s">
        <v>3723</v>
      </c>
      <c r="J180" s="491" t="s">
        <v>3638</v>
      </c>
      <c r="K180" s="491" t="s">
        <v>93</v>
      </c>
      <c r="L180" s="491"/>
      <c r="M180" s="536">
        <v>631503</v>
      </c>
      <c r="N180" s="491" t="s">
        <v>251</v>
      </c>
      <c r="O180" s="537">
        <v>43532</v>
      </c>
      <c r="P180" s="537">
        <v>43565</v>
      </c>
      <c r="Q180" s="537">
        <v>43608</v>
      </c>
      <c r="R180" s="491" t="s">
        <v>1646</v>
      </c>
      <c r="S180" s="495"/>
      <c r="T180" s="536">
        <v>576435.6</v>
      </c>
      <c r="U180" s="536">
        <v>634079.16</v>
      </c>
      <c r="V180" s="1471"/>
      <c r="W180" s="1471"/>
      <c r="X180" s="1471"/>
      <c r="Y180" s="573">
        <v>43609</v>
      </c>
      <c r="Z180" s="536" t="s">
        <v>4808</v>
      </c>
      <c r="AA180" s="537">
        <v>43648</v>
      </c>
      <c r="AB180" s="537">
        <v>43656</v>
      </c>
      <c r="AC180" s="537">
        <v>44378</v>
      </c>
      <c r="AD180" s="537">
        <v>43915</v>
      </c>
      <c r="AE180" s="537">
        <v>44280</v>
      </c>
      <c r="AF180" s="1560">
        <v>44645</v>
      </c>
      <c r="AG180" s="360"/>
      <c r="AH180" s="360"/>
      <c r="AI180" s="360"/>
      <c r="AJ180" s="360"/>
      <c r="AK180" s="360"/>
      <c r="AL180" s="360"/>
      <c r="AM180" s="360"/>
      <c r="AN180" s="360"/>
      <c r="AO180" s="360"/>
      <c r="AP180" s="360"/>
      <c r="AQ180" s="360"/>
      <c r="AR180" s="374"/>
      <c r="AS180" s="360"/>
    </row>
    <row r="181" spans="1:45" s="390" customFormat="1">
      <c r="A181" s="1461" t="s">
        <v>239</v>
      </c>
      <c r="B181" s="530" t="s">
        <v>239</v>
      </c>
      <c r="C181" s="537">
        <v>43433</v>
      </c>
      <c r="D181" s="1373" t="s">
        <v>3636</v>
      </c>
      <c r="E181" s="491" t="s">
        <v>69</v>
      </c>
      <c r="F181" s="491" t="s">
        <v>70</v>
      </c>
      <c r="G181" s="571" t="s">
        <v>3635</v>
      </c>
      <c r="H181" s="491">
        <v>4</v>
      </c>
      <c r="I181" s="495" t="s">
        <v>3724</v>
      </c>
      <c r="J181" s="491" t="s">
        <v>3639</v>
      </c>
      <c r="K181" s="491" t="s">
        <v>93</v>
      </c>
      <c r="L181" s="491"/>
      <c r="M181" s="536">
        <v>905546</v>
      </c>
      <c r="N181" s="491" t="s">
        <v>251</v>
      </c>
      <c r="O181" s="537">
        <v>43532</v>
      </c>
      <c r="P181" s="537">
        <v>43565</v>
      </c>
      <c r="Q181" s="537">
        <v>43608</v>
      </c>
      <c r="R181" s="491" t="s">
        <v>1646</v>
      </c>
      <c r="S181" s="495"/>
      <c r="T181" s="536">
        <v>900488.9</v>
      </c>
      <c r="U181" s="536">
        <v>990537.79</v>
      </c>
      <c r="V181" s="1471"/>
      <c r="W181" s="1471"/>
      <c r="X181" s="1471"/>
      <c r="Y181" s="573">
        <v>43609</v>
      </c>
      <c r="Z181" s="536" t="s">
        <v>4811</v>
      </c>
      <c r="AA181" s="537">
        <v>43648</v>
      </c>
      <c r="AB181" s="537">
        <v>43656</v>
      </c>
      <c r="AC181" s="537">
        <v>44378</v>
      </c>
      <c r="AD181" s="537">
        <v>43915</v>
      </c>
      <c r="AE181" s="537">
        <v>44280</v>
      </c>
      <c r="AF181" s="1560">
        <v>44645</v>
      </c>
      <c r="AG181" s="360"/>
      <c r="AH181" s="360"/>
      <c r="AI181" s="360"/>
      <c r="AJ181" s="360"/>
      <c r="AK181" s="360"/>
      <c r="AL181" s="360"/>
      <c r="AM181" s="360"/>
      <c r="AN181" s="360"/>
      <c r="AO181" s="360"/>
      <c r="AP181" s="360"/>
      <c r="AQ181" s="360"/>
      <c r="AR181" s="374"/>
      <c r="AS181" s="360"/>
    </row>
    <row r="182" spans="1:45" s="390" customFormat="1">
      <c r="A182" s="1461" t="s">
        <v>239</v>
      </c>
      <c r="B182" s="530" t="s">
        <v>239</v>
      </c>
      <c r="C182" s="537">
        <v>43433</v>
      </c>
      <c r="D182" s="1373" t="s">
        <v>3636</v>
      </c>
      <c r="E182" s="491" t="s">
        <v>69</v>
      </c>
      <c r="F182" s="491" t="s">
        <v>70</v>
      </c>
      <c r="G182" s="571" t="s">
        <v>3635</v>
      </c>
      <c r="H182" s="491">
        <v>5</v>
      </c>
      <c r="I182" s="495" t="s">
        <v>3725</v>
      </c>
      <c r="J182" s="491" t="s">
        <v>3640</v>
      </c>
      <c r="K182" s="491" t="s">
        <v>93</v>
      </c>
      <c r="L182" s="491"/>
      <c r="M182" s="536">
        <v>21208837</v>
      </c>
      <c r="N182" s="491" t="s">
        <v>251</v>
      </c>
      <c r="O182" s="537">
        <v>43532</v>
      </c>
      <c r="P182" s="537">
        <v>43565</v>
      </c>
      <c r="Q182" s="537">
        <v>43608</v>
      </c>
      <c r="R182" s="491" t="s">
        <v>2548</v>
      </c>
      <c r="S182" s="495"/>
      <c r="T182" s="536">
        <v>21208836.100000001</v>
      </c>
      <c r="U182" s="536">
        <v>23329719.710000001</v>
      </c>
      <c r="V182" s="1471"/>
      <c r="W182" s="1471"/>
      <c r="X182" s="1471"/>
      <c r="Y182" s="573">
        <v>43609</v>
      </c>
      <c r="Z182" s="536" t="s">
        <v>4806</v>
      </c>
      <c r="AA182" s="537">
        <v>43648</v>
      </c>
      <c r="AB182" s="537">
        <v>43656</v>
      </c>
      <c r="AC182" s="537">
        <v>44378</v>
      </c>
      <c r="AD182" s="537">
        <v>43915</v>
      </c>
      <c r="AE182" s="537">
        <v>44280</v>
      </c>
      <c r="AF182" s="1560">
        <v>44645</v>
      </c>
      <c r="AG182" s="360"/>
      <c r="AH182" s="360"/>
      <c r="AI182" s="360"/>
      <c r="AJ182" s="360"/>
      <c r="AK182" s="360"/>
      <c r="AL182" s="360"/>
      <c r="AM182" s="360"/>
      <c r="AN182" s="360"/>
      <c r="AO182" s="360"/>
      <c r="AP182" s="360"/>
      <c r="AQ182" s="360"/>
      <c r="AR182" s="374"/>
      <c r="AS182" s="360"/>
    </row>
    <row r="183" spans="1:45" s="390" customFormat="1">
      <c r="A183" s="1461" t="s">
        <v>239</v>
      </c>
      <c r="B183" s="530" t="s">
        <v>239</v>
      </c>
      <c r="C183" s="537">
        <v>43433</v>
      </c>
      <c r="D183" s="1373" t="s">
        <v>3636</v>
      </c>
      <c r="E183" s="491" t="s">
        <v>69</v>
      </c>
      <c r="F183" s="491" t="s">
        <v>70</v>
      </c>
      <c r="G183" s="571" t="s">
        <v>3635</v>
      </c>
      <c r="H183" s="491">
        <v>6</v>
      </c>
      <c r="I183" s="495" t="s">
        <v>3726</v>
      </c>
      <c r="J183" s="491" t="s">
        <v>3641</v>
      </c>
      <c r="K183" s="491" t="s">
        <v>93</v>
      </c>
      <c r="L183" s="491"/>
      <c r="M183" s="536">
        <v>2391696</v>
      </c>
      <c r="N183" s="491" t="s">
        <v>251</v>
      </c>
      <c r="O183" s="537">
        <v>43532</v>
      </c>
      <c r="P183" s="537">
        <v>43565</v>
      </c>
      <c r="Q183" s="537">
        <v>43608</v>
      </c>
      <c r="R183" s="491" t="s">
        <v>2548</v>
      </c>
      <c r="S183" s="495"/>
      <c r="T183" s="536">
        <v>2391694.98</v>
      </c>
      <c r="U183" s="536">
        <v>2630864.48</v>
      </c>
      <c r="V183" s="1471"/>
      <c r="W183" s="1471"/>
      <c r="X183" s="1471"/>
      <c r="Y183" s="573">
        <v>43609</v>
      </c>
      <c r="Z183" s="536" t="s">
        <v>4809</v>
      </c>
      <c r="AA183" s="537">
        <v>43648</v>
      </c>
      <c r="AB183" s="537">
        <v>43656</v>
      </c>
      <c r="AC183" s="537">
        <v>44378</v>
      </c>
      <c r="AD183" s="537">
        <v>43915</v>
      </c>
      <c r="AE183" s="537">
        <v>44280</v>
      </c>
      <c r="AF183" s="1560">
        <v>44645</v>
      </c>
      <c r="AG183" s="360"/>
      <c r="AH183" s="360"/>
      <c r="AI183" s="360"/>
      <c r="AJ183" s="360"/>
      <c r="AK183" s="360"/>
      <c r="AL183" s="360"/>
      <c r="AM183" s="360"/>
      <c r="AN183" s="360"/>
      <c r="AO183" s="360"/>
      <c r="AP183" s="360"/>
      <c r="AQ183" s="360"/>
      <c r="AR183" s="374"/>
      <c r="AS183" s="360"/>
    </row>
    <row r="184" spans="1:45" s="390" customFormat="1">
      <c r="A184" s="1461" t="s">
        <v>239</v>
      </c>
      <c r="B184" s="530" t="s">
        <v>239</v>
      </c>
      <c r="C184" s="537">
        <v>43433</v>
      </c>
      <c r="D184" s="1373" t="s">
        <v>3636</v>
      </c>
      <c r="E184" s="491" t="s">
        <v>69</v>
      </c>
      <c r="F184" s="491" t="s">
        <v>70</v>
      </c>
      <c r="G184" s="571" t="s">
        <v>3635</v>
      </c>
      <c r="H184" s="491">
        <v>7</v>
      </c>
      <c r="I184" s="495" t="s">
        <v>3727</v>
      </c>
      <c r="J184" s="491" t="s">
        <v>3642</v>
      </c>
      <c r="K184" s="491" t="s">
        <v>93</v>
      </c>
      <c r="L184" s="491"/>
      <c r="M184" s="536">
        <v>1298388</v>
      </c>
      <c r="N184" s="491" t="s">
        <v>251</v>
      </c>
      <c r="O184" s="537">
        <v>43532</v>
      </c>
      <c r="P184" s="537">
        <v>43565</v>
      </c>
      <c r="Q184" s="537">
        <v>43608</v>
      </c>
      <c r="R184" s="491" t="s">
        <v>1646</v>
      </c>
      <c r="S184" s="495"/>
      <c r="T184" s="536">
        <v>272565.03999999998</v>
      </c>
      <c r="U184" s="536">
        <v>299821.53999999998</v>
      </c>
      <c r="V184" s="1471"/>
      <c r="W184" s="1471"/>
      <c r="X184" s="1471"/>
      <c r="Y184" s="573">
        <v>43609</v>
      </c>
      <c r="Z184" s="536" t="s">
        <v>4810</v>
      </c>
      <c r="AA184" s="537">
        <v>43648</v>
      </c>
      <c r="AB184" s="537">
        <v>43656</v>
      </c>
      <c r="AC184" s="537">
        <v>44378</v>
      </c>
      <c r="AD184" s="537">
        <v>43915</v>
      </c>
      <c r="AE184" s="537">
        <v>44280</v>
      </c>
      <c r="AF184" s="1560">
        <v>44645</v>
      </c>
      <c r="AG184" s="360"/>
      <c r="AH184" s="360"/>
      <c r="AI184" s="360"/>
      <c r="AJ184" s="360"/>
      <c r="AK184" s="360"/>
      <c r="AL184" s="360"/>
      <c r="AM184" s="360"/>
      <c r="AN184" s="360"/>
      <c r="AO184" s="360"/>
      <c r="AP184" s="360"/>
      <c r="AQ184" s="360"/>
      <c r="AR184" s="374"/>
      <c r="AS184" s="360"/>
    </row>
    <row r="185" spans="1:45" s="390" customFormat="1" ht="15.75" thickBot="1">
      <c r="A185" s="1462" t="s">
        <v>239</v>
      </c>
      <c r="B185" s="1394" t="s">
        <v>239</v>
      </c>
      <c r="C185" s="1414">
        <v>43433</v>
      </c>
      <c r="D185" s="1411" t="s">
        <v>3636</v>
      </c>
      <c r="E185" s="1410" t="s">
        <v>69</v>
      </c>
      <c r="F185" s="1410" t="s">
        <v>70</v>
      </c>
      <c r="G185" s="1412" t="s">
        <v>3635</v>
      </c>
      <c r="H185" s="1410">
        <v>8</v>
      </c>
      <c r="I185" s="1430" t="s">
        <v>3728</v>
      </c>
      <c r="J185" s="1410" t="s">
        <v>3642</v>
      </c>
      <c r="K185" s="1410" t="s">
        <v>93</v>
      </c>
      <c r="L185" s="1410"/>
      <c r="M185" s="1413">
        <v>226535</v>
      </c>
      <c r="N185" s="1410" t="s">
        <v>251</v>
      </c>
      <c r="O185" s="1414">
        <v>43532</v>
      </c>
      <c r="P185" s="1414">
        <v>43565</v>
      </c>
      <c r="Q185" s="1414">
        <v>43608</v>
      </c>
      <c r="R185" s="1740"/>
      <c r="S185" s="1710"/>
      <c r="T185" s="1413"/>
      <c r="U185" s="1413"/>
      <c r="V185" s="1479"/>
      <c r="W185" s="1479"/>
      <c r="X185" s="1479"/>
      <c r="Y185" s="1569">
        <v>43609</v>
      </c>
      <c r="Z185" s="1413" t="s">
        <v>4813</v>
      </c>
      <c r="AA185" s="1410"/>
      <c r="AB185" s="1414">
        <v>43656</v>
      </c>
      <c r="AC185" s="1410" t="s">
        <v>5104</v>
      </c>
      <c r="AD185" s="1410"/>
      <c r="AE185" s="1410"/>
      <c r="AF185" s="360"/>
      <c r="AG185" s="360"/>
      <c r="AH185" s="360"/>
      <c r="AI185" s="360"/>
      <c r="AJ185" s="360"/>
      <c r="AK185" s="360"/>
      <c r="AL185" s="360"/>
      <c r="AM185" s="360"/>
      <c r="AN185" s="360"/>
      <c r="AO185" s="360"/>
      <c r="AP185" s="360"/>
      <c r="AQ185" s="360"/>
      <c r="AR185" s="360"/>
      <c r="AS185" s="360"/>
    </row>
    <row r="186" spans="1:45" ht="15.75" thickTop="1">
      <c r="A186" s="1463" t="s">
        <v>239</v>
      </c>
      <c r="B186" s="576" t="s">
        <v>239</v>
      </c>
      <c r="C186" s="470">
        <v>43418</v>
      </c>
      <c r="D186" s="1515" t="s">
        <v>3650</v>
      </c>
      <c r="E186" s="466" t="s">
        <v>69</v>
      </c>
      <c r="F186" s="466" t="s">
        <v>70</v>
      </c>
      <c r="G186" s="467" t="s">
        <v>3649</v>
      </c>
      <c r="H186" s="466">
        <v>1</v>
      </c>
      <c r="I186" s="654" t="s">
        <v>3729</v>
      </c>
      <c r="J186" s="466" t="s">
        <v>3651</v>
      </c>
      <c r="K186" s="466" t="s">
        <v>2255</v>
      </c>
      <c r="L186" s="466"/>
      <c r="M186" s="472">
        <v>355240</v>
      </c>
      <c r="N186" s="466" t="s">
        <v>251</v>
      </c>
      <c r="O186" s="470">
        <v>43504</v>
      </c>
      <c r="P186" s="470">
        <v>43559</v>
      </c>
      <c r="Q186" s="466"/>
      <c r="R186" s="1171" t="s">
        <v>5532</v>
      </c>
      <c r="S186" s="471" t="s">
        <v>5504</v>
      </c>
      <c r="T186" s="472"/>
      <c r="U186" s="472"/>
      <c r="V186" s="1516"/>
      <c r="W186" s="1516"/>
      <c r="X186" s="1516"/>
      <c r="Y186" s="472"/>
      <c r="Z186" s="472"/>
      <c r="AA186" s="466"/>
      <c r="AB186" s="470">
        <v>43588</v>
      </c>
      <c r="AC186" s="466"/>
      <c r="AD186" s="466"/>
      <c r="AE186" s="466"/>
    </row>
    <row r="187" spans="1:45">
      <c r="A187" s="1457" t="s">
        <v>239</v>
      </c>
      <c r="B187" s="590" t="s">
        <v>239</v>
      </c>
      <c r="C187" s="537">
        <v>43418</v>
      </c>
      <c r="D187" s="1373" t="s">
        <v>3650</v>
      </c>
      <c r="E187" s="491" t="s">
        <v>69</v>
      </c>
      <c r="F187" s="491" t="s">
        <v>70</v>
      </c>
      <c r="G187" s="571" t="s">
        <v>3649</v>
      </c>
      <c r="H187" s="491">
        <v>2</v>
      </c>
      <c r="I187" s="495" t="s">
        <v>3730</v>
      </c>
      <c r="J187" s="491" t="s">
        <v>3652</v>
      </c>
      <c r="K187" s="491" t="s">
        <v>2255</v>
      </c>
      <c r="L187" s="491"/>
      <c r="M187" s="536">
        <v>10084849</v>
      </c>
      <c r="N187" s="491" t="s">
        <v>251</v>
      </c>
      <c r="O187" s="537">
        <v>43504</v>
      </c>
      <c r="P187" s="537">
        <v>43559</v>
      </c>
      <c r="Q187" s="537">
        <v>43608</v>
      </c>
      <c r="R187" s="491" t="s">
        <v>2548</v>
      </c>
      <c r="S187" s="495"/>
      <c r="T187" s="536">
        <v>10712898</v>
      </c>
      <c r="U187" s="536">
        <v>11784187.800000001</v>
      </c>
      <c r="V187" s="1471"/>
      <c r="W187" s="1471"/>
      <c r="X187" s="1471"/>
      <c r="Y187" s="573">
        <v>43609</v>
      </c>
      <c r="Z187" s="536" t="s">
        <v>4803</v>
      </c>
      <c r="AA187" s="537">
        <v>43634</v>
      </c>
      <c r="AB187" s="537">
        <v>43643</v>
      </c>
      <c r="AC187" s="537">
        <v>44364</v>
      </c>
      <c r="AD187" s="537">
        <v>43915</v>
      </c>
      <c r="AE187" s="537">
        <v>44280</v>
      </c>
      <c r="AF187" s="1560">
        <v>44645</v>
      </c>
      <c r="AG187" s="374"/>
    </row>
    <row r="188" spans="1:45">
      <c r="A188" s="1446" t="s">
        <v>239</v>
      </c>
      <c r="B188" s="540" t="s">
        <v>239</v>
      </c>
      <c r="C188" s="537">
        <v>43488</v>
      </c>
      <c r="D188" s="1373" t="s">
        <v>3654</v>
      </c>
      <c r="E188" s="491" t="s">
        <v>166</v>
      </c>
      <c r="F188" s="491" t="s">
        <v>167</v>
      </c>
      <c r="G188" s="571" t="s">
        <v>3655</v>
      </c>
      <c r="H188" s="355"/>
      <c r="I188" s="1426"/>
      <c r="J188" s="491"/>
      <c r="K188" s="491" t="s">
        <v>3664</v>
      </c>
      <c r="L188" s="491"/>
      <c r="M188" s="536">
        <v>400000</v>
      </c>
      <c r="N188" s="491" t="s">
        <v>112</v>
      </c>
      <c r="O188" s="537">
        <v>43496</v>
      </c>
      <c r="P188" s="537">
        <v>43508</v>
      </c>
      <c r="Q188" s="537">
        <v>43525</v>
      </c>
      <c r="R188" s="491" t="s">
        <v>4006</v>
      </c>
      <c r="S188" s="495"/>
      <c r="T188" s="536">
        <v>198141</v>
      </c>
      <c r="U188" s="536">
        <f>T188*1.21</f>
        <v>239750.61</v>
      </c>
      <c r="V188" s="1471"/>
      <c r="W188" s="1471"/>
      <c r="X188" s="1471"/>
      <c r="Y188" s="573">
        <v>43525</v>
      </c>
      <c r="Z188" s="536" t="s">
        <v>4015</v>
      </c>
      <c r="AA188" s="537">
        <v>43559</v>
      </c>
      <c r="AB188" s="537">
        <v>43566</v>
      </c>
      <c r="AC188" s="537">
        <v>43579</v>
      </c>
      <c r="AD188" s="537">
        <v>43633</v>
      </c>
      <c r="AE188" s="1102"/>
      <c r="AF188" s="374"/>
      <c r="AG188" s="374"/>
      <c r="AS188" s="1700"/>
    </row>
    <row r="189" spans="1:45" ht="30">
      <c r="A189" s="1457" t="s">
        <v>239</v>
      </c>
      <c r="B189" s="590" t="s">
        <v>239</v>
      </c>
      <c r="C189" s="537">
        <v>43488</v>
      </c>
      <c r="D189" s="1373" t="s">
        <v>3656</v>
      </c>
      <c r="E189" s="491" t="s">
        <v>1700</v>
      </c>
      <c r="F189" s="491" t="s">
        <v>6206</v>
      </c>
      <c r="G189" s="571" t="s">
        <v>3531</v>
      </c>
      <c r="H189" s="491">
        <v>1</v>
      </c>
      <c r="I189" s="495" t="s">
        <v>3852</v>
      </c>
      <c r="J189" s="491"/>
      <c r="K189" s="491" t="s">
        <v>2060</v>
      </c>
      <c r="L189" s="491" t="s">
        <v>3467</v>
      </c>
      <c r="M189" s="536">
        <v>521492.23</v>
      </c>
      <c r="N189" s="491" t="s">
        <v>251</v>
      </c>
      <c r="O189" s="537">
        <v>43493</v>
      </c>
      <c r="P189" s="537">
        <v>43563</v>
      </c>
      <c r="Q189" s="537">
        <v>43585</v>
      </c>
      <c r="R189" s="491" t="s">
        <v>4506</v>
      </c>
      <c r="S189" s="495"/>
      <c r="T189" s="536">
        <v>190499</v>
      </c>
      <c r="U189" s="536">
        <v>230503.79</v>
      </c>
      <c r="V189" s="1471"/>
      <c r="W189" s="1471"/>
      <c r="X189" s="1471"/>
      <c r="Y189" s="573">
        <v>43587</v>
      </c>
      <c r="Z189" s="1375" t="s">
        <v>4507</v>
      </c>
      <c r="AA189" s="537">
        <v>43634</v>
      </c>
      <c r="AB189" s="537">
        <v>43635</v>
      </c>
      <c r="AC189" s="537">
        <f>AA189+42</f>
        <v>43676</v>
      </c>
      <c r="AD189" s="537">
        <v>43703</v>
      </c>
      <c r="AE189" s="1374" t="s">
        <v>1875</v>
      </c>
      <c r="AF189" s="374"/>
      <c r="AG189" s="374"/>
    </row>
    <row r="190" spans="1:45">
      <c r="A190" s="1457" t="s">
        <v>239</v>
      </c>
      <c r="B190" s="590" t="s">
        <v>239</v>
      </c>
      <c r="C190" s="510">
        <v>43488</v>
      </c>
      <c r="D190" s="1382" t="s">
        <v>3656</v>
      </c>
      <c r="E190" s="506" t="s">
        <v>1700</v>
      </c>
      <c r="F190" s="506" t="s">
        <v>6206</v>
      </c>
      <c r="G190" s="507" t="s">
        <v>3531</v>
      </c>
      <c r="H190" s="506">
        <v>2</v>
      </c>
      <c r="I190" s="548" t="s">
        <v>2059</v>
      </c>
      <c r="J190" s="506"/>
      <c r="K190" s="506" t="s">
        <v>2060</v>
      </c>
      <c r="L190" s="506" t="s">
        <v>3468</v>
      </c>
      <c r="M190" s="511">
        <v>3431405.18</v>
      </c>
      <c r="N190" s="506" t="s">
        <v>251</v>
      </c>
      <c r="O190" s="510">
        <v>43493</v>
      </c>
      <c r="P190" s="510">
        <v>43563</v>
      </c>
      <c r="Q190" s="506"/>
      <c r="R190" s="514" t="s">
        <v>304</v>
      </c>
      <c r="S190" s="1713" t="s">
        <v>4721</v>
      </c>
      <c r="T190" s="511"/>
      <c r="U190" s="511"/>
      <c r="V190" s="1470"/>
      <c r="W190" s="1470"/>
      <c r="X190" s="1470"/>
      <c r="Y190" s="511"/>
      <c r="Z190" s="511"/>
      <c r="AA190" s="506"/>
      <c r="AB190" s="510">
        <v>43594</v>
      </c>
      <c r="AC190" s="506"/>
      <c r="AD190" s="506"/>
      <c r="AE190" s="506"/>
    </row>
    <row r="191" spans="1:45" ht="30">
      <c r="A191" s="1443" t="s">
        <v>239</v>
      </c>
      <c r="B191" s="491" t="s">
        <v>239</v>
      </c>
      <c r="C191" s="537">
        <v>43490</v>
      </c>
      <c r="D191" s="1373" t="s">
        <v>3657</v>
      </c>
      <c r="E191" s="491" t="s">
        <v>58</v>
      </c>
      <c r="F191" s="491" t="s">
        <v>55</v>
      </c>
      <c r="G191" s="571" t="s">
        <v>3658</v>
      </c>
      <c r="H191" s="491"/>
      <c r="I191" s="495"/>
      <c r="J191" s="491"/>
      <c r="K191" s="491" t="s">
        <v>464</v>
      </c>
      <c r="L191" s="491"/>
      <c r="M191" s="536">
        <v>365000</v>
      </c>
      <c r="N191" s="491" t="s">
        <v>112</v>
      </c>
      <c r="O191" s="537">
        <v>43500</v>
      </c>
      <c r="P191" s="537">
        <v>43510</v>
      </c>
      <c r="Q191" s="537">
        <v>43517</v>
      </c>
      <c r="R191" s="491" t="s">
        <v>3953</v>
      </c>
      <c r="S191" s="495"/>
      <c r="T191" s="536">
        <v>426860.16</v>
      </c>
      <c r="U191" s="536">
        <v>491753.08</v>
      </c>
      <c r="V191" s="1471"/>
      <c r="W191" s="1471"/>
      <c r="X191" s="1471"/>
      <c r="Y191" s="573">
        <v>43517</v>
      </c>
      <c r="Z191" s="1375" t="s">
        <v>3974</v>
      </c>
      <c r="AA191" s="537">
        <v>43535</v>
      </c>
      <c r="AB191" s="537">
        <v>43537</v>
      </c>
      <c r="AC191" s="537">
        <f>AA191+56</f>
        <v>43591</v>
      </c>
      <c r="AD191" s="537">
        <v>43661</v>
      </c>
      <c r="AE191" s="1374" t="s">
        <v>1875</v>
      </c>
      <c r="AF191" s="374"/>
      <c r="AG191" s="374"/>
      <c r="AS191" s="1700"/>
    </row>
    <row r="192" spans="1:45">
      <c r="A192" s="1446" t="s">
        <v>239</v>
      </c>
      <c r="B192" s="540" t="s">
        <v>239</v>
      </c>
      <c r="C192" s="537">
        <v>43490</v>
      </c>
      <c r="D192" s="1373" t="s">
        <v>3659</v>
      </c>
      <c r="E192" s="491" t="s">
        <v>14</v>
      </c>
      <c r="F192" s="491" t="s">
        <v>13</v>
      </c>
      <c r="G192" s="571" t="s">
        <v>3660</v>
      </c>
      <c r="H192" s="491"/>
      <c r="I192" s="495"/>
      <c r="J192" s="491"/>
      <c r="K192" s="491" t="s">
        <v>775</v>
      </c>
      <c r="L192" s="491"/>
      <c r="M192" s="536">
        <v>526033</v>
      </c>
      <c r="N192" s="491" t="s">
        <v>112</v>
      </c>
      <c r="O192" s="537">
        <v>43495</v>
      </c>
      <c r="P192" s="537">
        <v>43507</v>
      </c>
      <c r="Q192" s="537">
        <v>43508</v>
      </c>
      <c r="R192" s="491" t="s">
        <v>3915</v>
      </c>
      <c r="S192" s="495"/>
      <c r="T192" s="536">
        <v>546500</v>
      </c>
      <c r="U192" s="536">
        <f>T192*1.21</f>
        <v>661265</v>
      </c>
      <c r="V192" s="1471"/>
      <c r="W192" s="1471"/>
      <c r="X192" s="1471"/>
      <c r="Y192" s="573">
        <v>43509</v>
      </c>
      <c r="Z192" s="536" t="s">
        <v>3916</v>
      </c>
      <c r="AA192" s="537">
        <v>43543</v>
      </c>
      <c r="AB192" s="537">
        <v>43551</v>
      </c>
      <c r="AC192" s="537">
        <v>43908</v>
      </c>
      <c r="AD192" s="537">
        <v>43654</v>
      </c>
      <c r="AE192" s="537">
        <v>43949</v>
      </c>
      <c r="AF192" s="374"/>
      <c r="AG192" s="374"/>
      <c r="AS192" s="1700"/>
    </row>
    <row r="193" spans="1:45">
      <c r="A193" s="1446" t="s">
        <v>239</v>
      </c>
      <c r="B193" s="540" t="s">
        <v>239</v>
      </c>
      <c r="C193" s="537">
        <v>43482</v>
      </c>
      <c r="D193" s="1373" t="s">
        <v>3661</v>
      </c>
      <c r="E193" s="491" t="s">
        <v>14</v>
      </c>
      <c r="F193" s="491" t="s">
        <v>13</v>
      </c>
      <c r="G193" s="571" t="s">
        <v>3662</v>
      </c>
      <c r="H193" s="491"/>
      <c r="I193" s="495"/>
      <c r="J193" s="491"/>
      <c r="K193" s="491" t="s">
        <v>3663</v>
      </c>
      <c r="L193" s="491"/>
      <c r="M193" s="536">
        <v>578500</v>
      </c>
      <c r="N193" s="491" t="s">
        <v>112</v>
      </c>
      <c r="O193" s="537">
        <v>43495</v>
      </c>
      <c r="P193" s="537">
        <v>43507</v>
      </c>
      <c r="Q193" s="537">
        <v>43522</v>
      </c>
      <c r="R193" s="491" t="s">
        <v>4009</v>
      </c>
      <c r="S193" s="495"/>
      <c r="T193" s="536">
        <v>560000</v>
      </c>
      <c r="U193" s="536">
        <f>T193*1.21</f>
        <v>677600</v>
      </c>
      <c r="V193" s="1471"/>
      <c r="W193" s="1471"/>
      <c r="X193" s="1471"/>
      <c r="Y193" s="573">
        <v>43524</v>
      </c>
      <c r="Z193" s="536" t="s">
        <v>4010</v>
      </c>
      <c r="AA193" s="537">
        <v>43543</v>
      </c>
      <c r="AB193" s="537">
        <v>43546</v>
      </c>
      <c r="AC193" s="491" t="s">
        <v>4096</v>
      </c>
      <c r="AD193" s="1524">
        <v>43691</v>
      </c>
      <c r="AE193" s="537">
        <v>43920</v>
      </c>
      <c r="AF193" s="1980">
        <v>44761</v>
      </c>
      <c r="AG193" s="374"/>
      <c r="AS193" s="1700"/>
    </row>
    <row r="194" spans="1:45">
      <c r="A194" s="1446" t="s">
        <v>239</v>
      </c>
      <c r="B194" s="540" t="s">
        <v>239</v>
      </c>
      <c r="C194" s="537">
        <v>43489</v>
      </c>
      <c r="D194" s="1373" t="s">
        <v>3666</v>
      </c>
      <c r="E194" s="491" t="s">
        <v>2111</v>
      </c>
      <c r="F194" s="491" t="s">
        <v>1215</v>
      </c>
      <c r="G194" s="571" t="s">
        <v>3667</v>
      </c>
      <c r="H194" s="491"/>
      <c r="I194" s="495"/>
      <c r="J194" s="491"/>
      <c r="K194" s="491" t="s">
        <v>3668</v>
      </c>
      <c r="L194" s="491"/>
      <c r="M194" s="536">
        <v>1100000</v>
      </c>
      <c r="N194" s="491" t="s">
        <v>112</v>
      </c>
      <c r="O194" s="537">
        <v>43504</v>
      </c>
      <c r="P194" s="537">
        <v>43515</v>
      </c>
      <c r="Q194" s="537">
        <v>43525</v>
      </c>
      <c r="R194" s="491" t="s">
        <v>3598</v>
      </c>
      <c r="S194" s="495"/>
      <c r="T194" s="536">
        <v>1251419.6499999999</v>
      </c>
      <c r="U194" s="536">
        <v>1525644.65</v>
      </c>
      <c r="V194" s="1471"/>
      <c r="W194" s="1471"/>
      <c r="X194" s="1471"/>
      <c r="Y194" s="573">
        <v>43525</v>
      </c>
      <c r="Z194" s="536" t="s">
        <v>4014</v>
      </c>
      <c r="AA194" s="537">
        <v>43546</v>
      </c>
      <c r="AB194" s="537">
        <v>43558</v>
      </c>
      <c r="AC194" s="537">
        <v>43911</v>
      </c>
      <c r="AD194" s="537">
        <v>43838</v>
      </c>
      <c r="AE194" s="537">
        <v>43976</v>
      </c>
      <c r="AF194" s="374"/>
      <c r="AG194" s="374"/>
      <c r="AS194" s="1700"/>
    </row>
    <row r="195" spans="1:45">
      <c r="A195" s="1446" t="s">
        <v>239</v>
      </c>
      <c r="B195" s="540" t="s">
        <v>239</v>
      </c>
      <c r="C195" s="537">
        <v>43490</v>
      </c>
      <c r="D195" s="1373" t="s">
        <v>3669</v>
      </c>
      <c r="E195" s="491" t="s">
        <v>52</v>
      </c>
      <c r="F195" s="491" t="s">
        <v>3670</v>
      </c>
      <c r="G195" s="571" t="s">
        <v>3671</v>
      </c>
      <c r="H195" s="491"/>
      <c r="I195" s="495"/>
      <c r="J195" s="491"/>
      <c r="K195" s="491" t="s">
        <v>3140</v>
      </c>
      <c r="L195" s="491"/>
      <c r="M195" s="536">
        <v>4100000</v>
      </c>
      <c r="N195" s="491" t="s">
        <v>112</v>
      </c>
      <c r="O195" s="537">
        <v>43496</v>
      </c>
      <c r="P195" s="537">
        <v>43511</v>
      </c>
      <c r="Q195" s="537">
        <v>43518</v>
      </c>
      <c r="R195" s="491" t="s">
        <v>1194</v>
      </c>
      <c r="S195" s="495"/>
      <c r="T195" s="536">
        <v>3780547.28</v>
      </c>
      <c r="U195" s="536">
        <v>4574462.21</v>
      </c>
      <c r="V195" s="1471"/>
      <c r="W195" s="1471"/>
      <c r="X195" s="1471"/>
      <c r="Y195" s="573">
        <v>43518</v>
      </c>
      <c r="Z195" s="536" t="s">
        <v>3975</v>
      </c>
      <c r="AA195" s="537">
        <v>43550</v>
      </c>
      <c r="AB195" s="537">
        <v>43553</v>
      </c>
      <c r="AC195" s="537">
        <f>AA195+95</f>
        <v>43645</v>
      </c>
      <c r="AD195" s="537">
        <v>43759</v>
      </c>
      <c r="AE195" s="1102"/>
      <c r="AF195" s="374"/>
      <c r="AG195" s="374"/>
      <c r="AS195" s="1700"/>
    </row>
    <row r="196" spans="1:45">
      <c r="A196" s="1446" t="s">
        <v>239</v>
      </c>
      <c r="B196" s="540" t="s">
        <v>239</v>
      </c>
      <c r="C196" s="537">
        <v>43489</v>
      </c>
      <c r="D196" s="1373" t="s">
        <v>3672</v>
      </c>
      <c r="E196" s="491" t="s">
        <v>52</v>
      </c>
      <c r="F196" s="491" t="s">
        <v>3670</v>
      </c>
      <c r="G196" s="571" t="s">
        <v>3673</v>
      </c>
      <c r="H196" s="491"/>
      <c r="I196" s="495"/>
      <c r="J196" s="491"/>
      <c r="K196" s="491" t="s">
        <v>3140</v>
      </c>
      <c r="L196" s="491"/>
      <c r="M196" s="536">
        <v>1650000</v>
      </c>
      <c r="N196" s="491" t="s">
        <v>112</v>
      </c>
      <c r="O196" s="537">
        <v>43496</v>
      </c>
      <c r="P196" s="537">
        <v>43509</v>
      </c>
      <c r="Q196" s="537">
        <v>43521</v>
      </c>
      <c r="R196" s="491" t="s">
        <v>3971</v>
      </c>
      <c r="S196" s="495"/>
      <c r="T196" s="536">
        <v>2055377.06</v>
      </c>
      <c r="U196" s="536">
        <v>2487006.2400000002</v>
      </c>
      <c r="V196" s="1471"/>
      <c r="W196" s="1471"/>
      <c r="X196" s="1471"/>
      <c r="Y196" s="573">
        <v>43522</v>
      </c>
      <c r="Z196" s="536" t="s">
        <v>4008</v>
      </c>
      <c r="AA196" s="537">
        <v>43565</v>
      </c>
      <c r="AB196" s="537">
        <v>43566</v>
      </c>
      <c r="AC196" s="491" t="s">
        <v>4321</v>
      </c>
      <c r="AD196" s="537">
        <v>43692</v>
      </c>
      <c r="AE196" s="1102"/>
      <c r="AF196" s="374"/>
      <c r="AG196" s="374"/>
      <c r="AS196" s="1700"/>
    </row>
    <row r="197" spans="1:45" ht="15.75" customHeight="1">
      <c r="A197" s="1457" t="s">
        <v>239</v>
      </c>
      <c r="B197" s="590" t="s">
        <v>239</v>
      </c>
      <c r="C197" s="537">
        <v>43390</v>
      </c>
      <c r="D197" s="1373" t="s">
        <v>3675</v>
      </c>
      <c r="E197" s="491" t="s">
        <v>2434</v>
      </c>
      <c r="F197" s="491" t="s">
        <v>751</v>
      </c>
      <c r="G197" s="571" t="s">
        <v>3676</v>
      </c>
      <c r="H197" s="491"/>
      <c r="I197" s="495"/>
      <c r="J197" s="491"/>
      <c r="K197" s="491" t="s">
        <v>2800</v>
      </c>
      <c r="L197" s="491"/>
      <c r="M197" s="536">
        <v>4800000</v>
      </c>
      <c r="N197" s="491" t="s">
        <v>251</v>
      </c>
      <c r="O197" s="537">
        <v>43501</v>
      </c>
      <c r="P197" s="537">
        <v>43566</v>
      </c>
      <c r="Q197" s="537">
        <v>43627</v>
      </c>
      <c r="R197" s="491" t="s">
        <v>3153</v>
      </c>
      <c r="S197" s="495"/>
      <c r="T197" s="536">
        <v>4320000</v>
      </c>
      <c r="U197" s="536">
        <v>4968000</v>
      </c>
      <c r="V197" s="1471"/>
      <c r="W197" s="1471"/>
      <c r="X197" s="1471"/>
      <c r="Y197" s="573">
        <v>43627</v>
      </c>
      <c r="Z197" s="536" t="s">
        <v>4906</v>
      </c>
      <c r="AA197" s="537">
        <v>43648</v>
      </c>
      <c r="AB197" s="537">
        <v>43661</v>
      </c>
      <c r="AC197" s="537">
        <v>45108</v>
      </c>
      <c r="AD197" s="537">
        <v>43930</v>
      </c>
      <c r="AE197" s="537">
        <v>44285</v>
      </c>
      <c r="AF197" s="1560">
        <v>44637</v>
      </c>
      <c r="AG197" s="388">
        <v>2022</v>
      </c>
      <c r="AH197" s="388" t="s">
        <v>5045</v>
      </c>
    </row>
    <row r="198" spans="1:45">
      <c r="A198" s="1457" t="s">
        <v>239</v>
      </c>
      <c r="B198" s="590" t="s">
        <v>239</v>
      </c>
      <c r="C198" s="537">
        <v>43861</v>
      </c>
      <c r="D198" s="1373" t="s">
        <v>3677</v>
      </c>
      <c r="E198" s="491" t="s">
        <v>3678</v>
      </c>
      <c r="F198" s="491" t="s">
        <v>918</v>
      </c>
      <c r="G198" s="571" t="s">
        <v>3679</v>
      </c>
      <c r="H198" s="491"/>
      <c r="I198" s="495"/>
      <c r="J198" s="491"/>
      <c r="K198" s="491" t="s">
        <v>1518</v>
      </c>
      <c r="L198" s="491"/>
      <c r="M198" s="536">
        <v>6000000</v>
      </c>
      <c r="N198" s="491" t="s">
        <v>251</v>
      </c>
      <c r="O198" s="537">
        <v>43507</v>
      </c>
      <c r="P198" s="537">
        <v>43542</v>
      </c>
      <c r="Q198" s="537">
        <v>43585</v>
      </c>
      <c r="R198" s="491" t="s">
        <v>2680</v>
      </c>
      <c r="S198" s="495"/>
      <c r="T198" s="536">
        <v>6596000.1600000001</v>
      </c>
      <c r="U198" s="536">
        <v>7981160.1600000001</v>
      </c>
      <c r="V198" s="1471"/>
      <c r="W198" s="1471"/>
      <c r="X198" s="1471"/>
      <c r="Y198" s="573">
        <v>43587</v>
      </c>
      <c r="Z198" s="536" t="s">
        <v>4511</v>
      </c>
      <c r="AA198" s="537">
        <v>43621</v>
      </c>
      <c r="AB198" s="537">
        <v>43621</v>
      </c>
      <c r="AC198" s="491" t="s">
        <v>4096</v>
      </c>
      <c r="AD198" s="537">
        <v>43892</v>
      </c>
      <c r="AE198" s="1525">
        <v>44865</v>
      </c>
      <c r="AH198" s="360"/>
      <c r="AI198" s="360"/>
    </row>
    <row r="199" spans="1:45" ht="30">
      <c r="A199" s="1461" t="s">
        <v>239</v>
      </c>
      <c r="B199" s="530" t="s">
        <v>239</v>
      </c>
      <c r="C199" s="537">
        <v>43488</v>
      </c>
      <c r="D199" s="1373" t="s">
        <v>3680</v>
      </c>
      <c r="E199" s="491" t="s">
        <v>1700</v>
      </c>
      <c r="F199" s="491" t="s">
        <v>6206</v>
      </c>
      <c r="G199" s="571" t="s">
        <v>3681</v>
      </c>
      <c r="H199" s="491"/>
      <c r="I199" s="495"/>
      <c r="J199" s="491"/>
      <c r="K199" s="491" t="s">
        <v>3682</v>
      </c>
      <c r="L199" s="491" t="s">
        <v>3683</v>
      </c>
      <c r="M199" s="536">
        <v>576425.43999999994</v>
      </c>
      <c r="N199" s="491" t="s">
        <v>251</v>
      </c>
      <c r="O199" s="537">
        <v>43524</v>
      </c>
      <c r="P199" s="537">
        <v>43558</v>
      </c>
      <c r="Q199" s="537">
        <v>43585</v>
      </c>
      <c r="R199" s="491" t="s">
        <v>3184</v>
      </c>
      <c r="S199" s="495"/>
      <c r="T199" s="536">
        <v>547698.56000000006</v>
      </c>
      <c r="U199" s="536">
        <v>662715.23</v>
      </c>
      <c r="V199" s="1471"/>
      <c r="W199" s="1471"/>
      <c r="X199" s="1471"/>
      <c r="Y199" s="573">
        <v>43587</v>
      </c>
      <c r="Z199" s="1375" t="s">
        <v>4513</v>
      </c>
      <c r="AA199" s="537">
        <v>43634</v>
      </c>
      <c r="AB199" s="537">
        <v>43634</v>
      </c>
      <c r="AC199" s="537">
        <f>AA199+70</f>
        <v>43704</v>
      </c>
      <c r="AD199" s="537">
        <v>43710</v>
      </c>
      <c r="AE199" s="1374" t="s">
        <v>1875</v>
      </c>
      <c r="AF199" s="374"/>
      <c r="AG199" s="374"/>
    </row>
    <row r="200" spans="1:45">
      <c r="A200" s="1457" t="s">
        <v>239</v>
      </c>
      <c r="B200" s="590" t="s">
        <v>239</v>
      </c>
      <c r="C200" s="537">
        <v>43487</v>
      </c>
      <c r="D200" s="1373" t="s">
        <v>3865</v>
      </c>
      <c r="E200" s="491" t="s">
        <v>69</v>
      </c>
      <c r="F200" s="491" t="s">
        <v>70</v>
      </c>
      <c r="G200" s="571" t="s">
        <v>3866</v>
      </c>
      <c r="H200" s="491"/>
      <c r="I200" s="495"/>
      <c r="J200" s="491" t="s">
        <v>3867</v>
      </c>
      <c r="K200" s="491" t="s">
        <v>3436</v>
      </c>
      <c r="L200" s="491"/>
      <c r="M200" s="536">
        <v>3949503</v>
      </c>
      <c r="N200" s="491" t="s">
        <v>251</v>
      </c>
      <c r="O200" s="537">
        <v>43504</v>
      </c>
      <c r="P200" s="537">
        <v>43537</v>
      </c>
      <c r="Q200" s="537">
        <v>43546</v>
      </c>
      <c r="R200" s="491" t="s">
        <v>578</v>
      </c>
      <c r="S200" s="495"/>
      <c r="T200" s="536">
        <v>3949502.1</v>
      </c>
      <c r="U200" s="536">
        <v>4344452.3099999996</v>
      </c>
      <c r="V200" s="1471"/>
      <c r="W200" s="1471"/>
      <c r="X200" s="1471"/>
      <c r="Y200" s="573">
        <v>43546</v>
      </c>
      <c r="Z200" s="536" t="s">
        <v>4406</v>
      </c>
      <c r="AA200" s="537">
        <v>43567</v>
      </c>
      <c r="AB200" s="537">
        <v>43584</v>
      </c>
      <c r="AC200" s="537">
        <v>43932</v>
      </c>
      <c r="AD200" s="537">
        <v>43915</v>
      </c>
      <c r="AE200" s="537">
        <v>44279</v>
      </c>
      <c r="AF200" s="374"/>
      <c r="AG200" s="374"/>
    </row>
    <row r="201" spans="1:45" ht="30">
      <c r="A201" s="1443" t="s">
        <v>239</v>
      </c>
      <c r="B201" s="491" t="s">
        <v>239</v>
      </c>
      <c r="C201" s="537">
        <v>43483</v>
      </c>
      <c r="D201" s="1373" t="s">
        <v>3868</v>
      </c>
      <c r="E201" s="491" t="s">
        <v>69</v>
      </c>
      <c r="F201" s="491" t="s">
        <v>70</v>
      </c>
      <c r="G201" s="571" t="s">
        <v>3869</v>
      </c>
      <c r="H201" s="491"/>
      <c r="I201" s="495"/>
      <c r="J201" s="491"/>
      <c r="K201" s="491" t="s">
        <v>3870</v>
      </c>
      <c r="L201" s="491"/>
      <c r="M201" s="536">
        <v>4524000</v>
      </c>
      <c r="N201" s="491" t="s">
        <v>251</v>
      </c>
      <c r="O201" s="537">
        <v>43579</v>
      </c>
      <c r="P201" s="537">
        <v>43614</v>
      </c>
      <c r="Q201" s="537">
        <v>43655</v>
      </c>
      <c r="R201" s="491" t="s">
        <v>5049</v>
      </c>
      <c r="S201" s="495"/>
      <c r="T201" s="536">
        <v>4355520</v>
      </c>
      <c r="U201" s="536">
        <v>5270179.2</v>
      </c>
      <c r="V201" s="1471"/>
      <c r="W201" s="1471"/>
      <c r="X201" s="1471"/>
      <c r="Y201" s="573">
        <v>43655</v>
      </c>
      <c r="Z201" s="1375" t="s">
        <v>5074</v>
      </c>
      <c r="AA201" s="537">
        <v>43693</v>
      </c>
      <c r="AB201" s="537">
        <v>43696</v>
      </c>
      <c r="AC201" s="537">
        <v>45153</v>
      </c>
      <c r="AD201" s="537">
        <v>43929</v>
      </c>
      <c r="AE201" s="537">
        <v>44279</v>
      </c>
      <c r="AF201" s="1560">
        <v>44645</v>
      </c>
      <c r="AG201" s="388">
        <v>2022</v>
      </c>
      <c r="AH201" s="388" t="s">
        <v>5279</v>
      </c>
    </row>
    <row r="202" spans="1:45" ht="30.75" thickBot="1">
      <c r="A202" s="1464" t="s">
        <v>239</v>
      </c>
      <c r="B202" s="1437" t="s">
        <v>239</v>
      </c>
      <c r="C202" s="416">
        <v>43497</v>
      </c>
      <c r="D202" s="1468" t="s">
        <v>3853</v>
      </c>
      <c r="E202" s="411" t="s">
        <v>1700</v>
      </c>
      <c r="F202" s="411" t="s">
        <v>6206</v>
      </c>
      <c r="G202" s="412" t="s">
        <v>3470</v>
      </c>
      <c r="H202" s="411"/>
      <c r="I202" s="630"/>
      <c r="J202" s="411"/>
      <c r="K202" s="411" t="s">
        <v>86</v>
      </c>
      <c r="L202" s="411" t="s">
        <v>3471</v>
      </c>
      <c r="M202" s="417">
        <v>811673.55</v>
      </c>
      <c r="N202" s="411" t="s">
        <v>251</v>
      </c>
      <c r="O202" s="416">
        <v>43503</v>
      </c>
      <c r="P202" s="416">
        <v>43537</v>
      </c>
      <c r="Q202" s="416">
        <v>43585</v>
      </c>
      <c r="R202" s="411" t="s">
        <v>4517</v>
      </c>
      <c r="S202" s="630"/>
      <c r="T202" s="417">
        <v>448744</v>
      </c>
      <c r="U202" s="417">
        <v>539720.5</v>
      </c>
      <c r="V202" s="1480"/>
      <c r="W202" s="1480"/>
      <c r="X202" s="1480"/>
      <c r="Y202" s="513">
        <v>43587</v>
      </c>
      <c r="Z202" s="1553" t="s">
        <v>4516</v>
      </c>
      <c r="AA202" s="416">
        <v>43607</v>
      </c>
      <c r="AB202" s="416">
        <v>43607</v>
      </c>
      <c r="AC202" s="416">
        <f>AA202+28</f>
        <v>43635</v>
      </c>
      <c r="AD202" s="416">
        <v>43840</v>
      </c>
      <c r="AE202" s="422" t="s">
        <v>1875</v>
      </c>
      <c r="AF202" s="374"/>
      <c r="AG202" s="374"/>
    </row>
    <row r="203" spans="1:45" ht="15.75" thickTop="1">
      <c r="A203" s="1460" t="s">
        <v>239</v>
      </c>
      <c r="B203" s="824" t="s">
        <v>239</v>
      </c>
      <c r="C203" s="428">
        <v>43501</v>
      </c>
      <c r="D203" s="1358" t="s">
        <v>3871</v>
      </c>
      <c r="E203" s="425" t="s">
        <v>2434</v>
      </c>
      <c r="F203" s="425" t="s">
        <v>57</v>
      </c>
      <c r="G203" s="426" t="s">
        <v>3872</v>
      </c>
      <c r="H203" s="425">
        <v>1</v>
      </c>
      <c r="I203" s="1371" t="s">
        <v>3873</v>
      </c>
      <c r="J203" s="583"/>
      <c r="K203" s="425" t="s">
        <v>3880</v>
      </c>
      <c r="L203" s="425"/>
      <c r="M203" s="429">
        <v>3971710</v>
      </c>
      <c r="N203" s="425" t="s">
        <v>251</v>
      </c>
      <c r="O203" s="428">
        <v>43553</v>
      </c>
      <c r="P203" s="428">
        <v>43654</v>
      </c>
      <c r="Q203" s="425"/>
      <c r="R203" s="425"/>
      <c r="S203" s="1371"/>
      <c r="T203" s="429"/>
      <c r="U203" s="429"/>
      <c r="V203" s="1483"/>
      <c r="W203" s="1483"/>
      <c r="X203" s="1483"/>
      <c r="Y203" s="429"/>
      <c r="Z203" s="429"/>
      <c r="AA203" s="425"/>
      <c r="AB203" s="425"/>
      <c r="AC203" s="425"/>
      <c r="AD203" s="425"/>
      <c r="AE203" s="425"/>
      <c r="AF203" s="1438" t="s">
        <v>3881</v>
      </c>
      <c r="AG203" s="374"/>
    </row>
    <row r="204" spans="1:45">
      <c r="A204" s="1461" t="s">
        <v>239</v>
      </c>
      <c r="B204" s="530" t="s">
        <v>239</v>
      </c>
      <c r="C204" s="544">
        <v>43501</v>
      </c>
      <c r="D204" s="1357" t="s">
        <v>3871</v>
      </c>
      <c r="E204" s="540" t="s">
        <v>2434</v>
      </c>
      <c r="F204" s="540" t="s">
        <v>57</v>
      </c>
      <c r="G204" s="541" t="s">
        <v>3872</v>
      </c>
      <c r="H204" s="540">
        <v>2</v>
      </c>
      <c r="I204" s="1402" t="s">
        <v>3874</v>
      </c>
      <c r="J204" s="590"/>
      <c r="K204" s="540" t="s">
        <v>3880</v>
      </c>
      <c r="L204" s="540"/>
      <c r="M204" s="545">
        <v>8741040</v>
      </c>
      <c r="N204" s="540" t="s">
        <v>251</v>
      </c>
      <c r="O204" s="544">
        <v>43553</v>
      </c>
      <c r="P204" s="544">
        <v>43654</v>
      </c>
      <c r="Q204" s="540"/>
      <c r="R204" s="540"/>
      <c r="S204" s="1402"/>
      <c r="T204" s="545"/>
      <c r="U204" s="545"/>
      <c r="V204" s="1484"/>
      <c r="W204" s="1484"/>
      <c r="X204" s="1484"/>
      <c r="Y204" s="545"/>
      <c r="Z204" s="545"/>
      <c r="AA204" s="540"/>
      <c r="AB204" s="540"/>
      <c r="AC204" s="540"/>
      <c r="AD204" s="540"/>
      <c r="AE204" s="540"/>
      <c r="AF204" s="796" t="s">
        <v>3881</v>
      </c>
      <c r="AG204" s="374"/>
    </row>
    <row r="205" spans="1:45">
      <c r="A205" s="1461" t="s">
        <v>239</v>
      </c>
      <c r="B205" s="530" t="s">
        <v>239</v>
      </c>
      <c r="C205" s="544">
        <v>43501</v>
      </c>
      <c r="D205" s="1357" t="s">
        <v>3871</v>
      </c>
      <c r="E205" s="540" t="s">
        <v>2434</v>
      </c>
      <c r="F205" s="540" t="s">
        <v>57</v>
      </c>
      <c r="G205" s="541" t="s">
        <v>3872</v>
      </c>
      <c r="H205" s="540">
        <v>3</v>
      </c>
      <c r="I205" s="1402" t="s">
        <v>3875</v>
      </c>
      <c r="J205" s="590"/>
      <c r="K205" s="540" t="s">
        <v>3880</v>
      </c>
      <c r="L205" s="540"/>
      <c r="M205" s="545">
        <v>29682900</v>
      </c>
      <c r="N205" s="540" t="s">
        <v>251</v>
      </c>
      <c r="O205" s="544">
        <v>43553</v>
      </c>
      <c r="P205" s="544">
        <v>43654</v>
      </c>
      <c r="Q205" s="540"/>
      <c r="R205" s="540"/>
      <c r="S205" s="1402"/>
      <c r="T205" s="545"/>
      <c r="U205" s="545"/>
      <c r="V205" s="1484"/>
      <c r="W205" s="1484"/>
      <c r="X205" s="1484"/>
      <c r="Y205" s="545"/>
      <c r="Z205" s="545"/>
      <c r="AA205" s="540"/>
      <c r="AB205" s="540"/>
      <c r="AC205" s="540"/>
      <c r="AD205" s="540"/>
      <c r="AE205" s="540"/>
      <c r="AF205" s="796" t="s">
        <v>3881</v>
      </c>
      <c r="AG205" s="374"/>
    </row>
    <row r="206" spans="1:45">
      <c r="A206" s="1461" t="s">
        <v>239</v>
      </c>
      <c r="B206" s="530" t="s">
        <v>239</v>
      </c>
      <c r="C206" s="544">
        <v>43501</v>
      </c>
      <c r="D206" s="1357" t="s">
        <v>3871</v>
      </c>
      <c r="E206" s="540" t="s">
        <v>2434</v>
      </c>
      <c r="F206" s="540" t="s">
        <v>57</v>
      </c>
      <c r="G206" s="541" t="s">
        <v>3872</v>
      </c>
      <c r="H206" s="540">
        <v>4</v>
      </c>
      <c r="I206" s="1402" t="s">
        <v>3876</v>
      </c>
      <c r="J206" s="590"/>
      <c r="K206" s="540" t="s">
        <v>3880</v>
      </c>
      <c r="L206" s="540"/>
      <c r="M206" s="545">
        <v>16065920</v>
      </c>
      <c r="N206" s="540" t="s">
        <v>251</v>
      </c>
      <c r="O206" s="544">
        <v>43553</v>
      </c>
      <c r="P206" s="544">
        <v>43654</v>
      </c>
      <c r="Q206" s="540"/>
      <c r="R206" s="540"/>
      <c r="S206" s="1402"/>
      <c r="T206" s="545"/>
      <c r="U206" s="545"/>
      <c r="V206" s="1484"/>
      <c r="W206" s="1484"/>
      <c r="X206" s="1484"/>
      <c r="Y206" s="545"/>
      <c r="Z206" s="545"/>
      <c r="AA206" s="540"/>
      <c r="AB206" s="540"/>
      <c r="AC206" s="540"/>
      <c r="AD206" s="540"/>
      <c r="AE206" s="540"/>
      <c r="AF206" s="796" t="s">
        <v>3881</v>
      </c>
      <c r="AG206" s="374"/>
    </row>
    <row r="207" spans="1:45">
      <c r="A207" s="1461" t="s">
        <v>239</v>
      </c>
      <c r="B207" s="530" t="s">
        <v>239</v>
      </c>
      <c r="C207" s="544">
        <v>43501</v>
      </c>
      <c r="D207" s="1357" t="s">
        <v>3871</v>
      </c>
      <c r="E207" s="540" t="s">
        <v>2434</v>
      </c>
      <c r="F207" s="540" t="s">
        <v>57</v>
      </c>
      <c r="G207" s="541" t="s">
        <v>3872</v>
      </c>
      <c r="H207" s="540">
        <v>5</v>
      </c>
      <c r="I207" s="1402" t="s">
        <v>3877</v>
      </c>
      <c r="J207" s="590"/>
      <c r="K207" s="540" t="s">
        <v>3880</v>
      </c>
      <c r="L207" s="540"/>
      <c r="M207" s="545">
        <v>414690</v>
      </c>
      <c r="N207" s="540" t="s">
        <v>251</v>
      </c>
      <c r="O207" s="544">
        <v>43553</v>
      </c>
      <c r="P207" s="544">
        <v>43654</v>
      </c>
      <c r="Q207" s="540"/>
      <c r="R207" s="540"/>
      <c r="S207" s="1402"/>
      <c r="T207" s="545"/>
      <c r="U207" s="545"/>
      <c r="V207" s="1484"/>
      <c r="W207" s="1484"/>
      <c r="X207" s="1484"/>
      <c r="Y207" s="545"/>
      <c r="Z207" s="545"/>
      <c r="AA207" s="540"/>
      <c r="AB207" s="540"/>
      <c r="AC207" s="540"/>
      <c r="AD207" s="540"/>
      <c r="AE207" s="540"/>
      <c r="AF207" s="796" t="s">
        <v>3881</v>
      </c>
      <c r="AG207" s="374"/>
    </row>
    <row r="208" spans="1:45">
      <c r="A208" s="1461" t="s">
        <v>239</v>
      </c>
      <c r="B208" s="530" t="s">
        <v>239</v>
      </c>
      <c r="C208" s="544">
        <v>43501</v>
      </c>
      <c r="D208" s="1357" t="s">
        <v>3871</v>
      </c>
      <c r="E208" s="540" t="s">
        <v>2434</v>
      </c>
      <c r="F208" s="540" t="s">
        <v>57</v>
      </c>
      <c r="G208" s="541" t="s">
        <v>3872</v>
      </c>
      <c r="H208" s="540">
        <v>6</v>
      </c>
      <c r="I208" s="1402" t="s">
        <v>3878</v>
      </c>
      <c r="J208" s="590"/>
      <c r="K208" s="540" t="s">
        <v>3880</v>
      </c>
      <c r="L208" s="540"/>
      <c r="M208" s="545">
        <v>2678400</v>
      </c>
      <c r="N208" s="540" t="s">
        <v>251</v>
      </c>
      <c r="O208" s="544">
        <v>43553</v>
      </c>
      <c r="P208" s="544">
        <v>43654</v>
      </c>
      <c r="Q208" s="540"/>
      <c r="R208" s="540"/>
      <c r="S208" s="1402"/>
      <c r="T208" s="545"/>
      <c r="U208" s="545"/>
      <c r="V208" s="1484"/>
      <c r="W208" s="1484"/>
      <c r="X208" s="1484"/>
      <c r="Y208" s="545"/>
      <c r="Z208" s="545"/>
      <c r="AA208" s="540"/>
      <c r="AB208" s="540"/>
      <c r="AC208" s="540"/>
      <c r="AD208" s="540"/>
      <c r="AE208" s="540"/>
      <c r="AF208" s="796" t="s">
        <v>3881</v>
      </c>
      <c r="AG208" s="374"/>
    </row>
    <row r="209" spans="1:45" ht="16.5" customHeight="1" thickBot="1">
      <c r="A209" s="1462" t="s">
        <v>239</v>
      </c>
      <c r="B209" s="1394" t="s">
        <v>239</v>
      </c>
      <c r="C209" s="1363">
        <v>43501</v>
      </c>
      <c r="D209" s="1360" t="s">
        <v>3871</v>
      </c>
      <c r="E209" s="1355" t="s">
        <v>2434</v>
      </c>
      <c r="F209" s="1355" t="s">
        <v>57</v>
      </c>
      <c r="G209" s="1361" t="s">
        <v>3872</v>
      </c>
      <c r="H209" s="1355">
        <v>7</v>
      </c>
      <c r="I209" s="1419" t="s">
        <v>3879</v>
      </c>
      <c r="J209" s="1356"/>
      <c r="K209" s="1355" t="s">
        <v>3880</v>
      </c>
      <c r="L209" s="1355"/>
      <c r="M209" s="1362">
        <v>208800</v>
      </c>
      <c r="N209" s="1355" t="s">
        <v>251</v>
      </c>
      <c r="O209" s="1363">
        <v>43553</v>
      </c>
      <c r="P209" s="1363">
        <v>43654</v>
      </c>
      <c r="Q209" s="1355"/>
      <c r="R209" s="1355"/>
      <c r="S209" s="1419"/>
      <c r="T209" s="1362"/>
      <c r="U209" s="1362"/>
      <c r="V209" s="1485"/>
      <c r="W209" s="1485"/>
      <c r="X209" s="1485"/>
      <c r="Y209" s="1362"/>
      <c r="Z209" s="1362"/>
      <c r="AA209" s="1355"/>
      <c r="AB209" s="1355"/>
      <c r="AC209" s="1355"/>
      <c r="AD209" s="1355"/>
      <c r="AE209" s="1355"/>
      <c r="AF209" s="1439" t="s">
        <v>3881</v>
      </c>
      <c r="AG209" s="374"/>
    </row>
    <row r="210" spans="1:45" ht="15.75" thickTop="1">
      <c r="A210" s="1465" t="s">
        <v>239</v>
      </c>
      <c r="B210" s="817" t="s">
        <v>239</v>
      </c>
      <c r="C210" s="365">
        <v>43503</v>
      </c>
      <c r="D210" s="1397" t="s">
        <v>3886</v>
      </c>
      <c r="E210" s="1570" t="s">
        <v>2434</v>
      </c>
      <c r="F210" s="1570" t="s">
        <v>219</v>
      </c>
      <c r="G210" s="175" t="s">
        <v>3887</v>
      </c>
      <c r="H210" s="1570"/>
      <c r="I210" s="1571"/>
      <c r="J210" s="1570"/>
      <c r="K210" s="1570" t="s">
        <v>1042</v>
      </c>
      <c r="L210" s="1570"/>
      <c r="M210" s="364">
        <v>2519000</v>
      </c>
      <c r="N210" s="1570" t="s">
        <v>216</v>
      </c>
      <c r="O210" s="365">
        <v>43521</v>
      </c>
      <c r="P210" s="365">
        <v>43539</v>
      </c>
      <c r="Q210" s="365">
        <v>43567</v>
      </c>
      <c r="R210" s="1791" t="s">
        <v>4464</v>
      </c>
      <c r="S210" s="1705"/>
      <c r="T210" s="364">
        <v>2517321</v>
      </c>
      <c r="U210" s="364">
        <v>3043850.2</v>
      </c>
      <c r="V210" s="1489"/>
      <c r="W210" s="1489"/>
      <c r="X210" s="1489"/>
      <c r="Y210" s="681">
        <v>43579</v>
      </c>
      <c r="Z210" s="364" t="s">
        <v>4465</v>
      </c>
      <c r="AA210" s="365">
        <v>43587</v>
      </c>
      <c r="AB210" s="365">
        <v>43592</v>
      </c>
      <c r="AC210" s="365">
        <v>44317</v>
      </c>
      <c r="AD210" s="365">
        <v>44369</v>
      </c>
      <c r="AE210" s="1513"/>
      <c r="AG210" s="374"/>
    </row>
    <row r="211" spans="1:45">
      <c r="A211" s="1461" t="s">
        <v>239</v>
      </c>
      <c r="B211" s="530" t="s">
        <v>239</v>
      </c>
      <c r="C211" s="537">
        <v>43494</v>
      </c>
      <c r="D211" s="1373" t="s">
        <v>3888</v>
      </c>
      <c r="E211" s="491" t="s">
        <v>2434</v>
      </c>
      <c r="F211" s="491" t="s">
        <v>219</v>
      </c>
      <c r="G211" s="571" t="s">
        <v>3889</v>
      </c>
      <c r="H211" s="491"/>
      <c r="I211" s="495"/>
      <c r="J211" s="491"/>
      <c r="K211" s="491" t="s">
        <v>3890</v>
      </c>
      <c r="L211" s="491"/>
      <c r="M211" s="536">
        <v>5607000</v>
      </c>
      <c r="N211" s="491" t="s">
        <v>251</v>
      </c>
      <c r="O211" s="537">
        <v>43522</v>
      </c>
      <c r="P211" s="537">
        <v>43553</v>
      </c>
      <c r="Q211" s="537">
        <v>43563</v>
      </c>
      <c r="R211" s="491" t="s">
        <v>4326</v>
      </c>
      <c r="S211" s="495"/>
      <c r="T211" s="536">
        <v>5600000</v>
      </c>
      <c r="U211" s="536">
        <v>6776000</v>
      </c>
      <c r="V211" s="1471"/>
      <c r="W211" s="1471"/>
      <c r="X211" s="1471"/>
      <c r="Y211" s="573">
        <v>43566</v>
      </c>
      <c r="Z211" s="536" t="s">
        <v>4327</v>
      </c>
      <c r="AA211" s="537">
        <v>43602</v>
      </c>
      <c r="AB211" s="537">
        <v>43605</v>
      </c>
      <c r="AC211" s="537">
        <v>44332</v>
      </c>
      <c r="AD211" s="537">
        <v>43930</v>
      </c>
      <c r="AE211" s="537">
        <v>44285</v>
      </c>
      <c r="AF211" s="1560">
        <v>44637</v>
      </c>
      <c r="AG211" s="374"/>
    </row>
    <row r="212" spans="1:45">
      <c r="A212" s="1457" t="s">
        <v>239</v>
      </c>
      <c r="B212" s="590" t="s">
        <v>239</v>
      </c>
      <c r="C212" s="537">
        <v>43507</v>
      </c>
      <c r="D212" s="1373" t="s">
        <v>3891</v>
      </c>
      <c r="E212" s="491" t="s">
        <v>14</v>
      </c>
      <c r="F212" s="491" t="s">
        <v>1753</v>
      </c>
      <c r="G212" s="571" t="s">
        <v>3220</v>
      </c>
      <c r="H212" s="491"/>
      <c r="I212" s="495"/>
      <c r="J212" s="491"/>
      <c r="K212" s="491" t="s">
        <v>848</v>
      </c>
      <c r="L212" s="491" t="s">
        <v>3897</v>
      </c>
      <c r="M212" s="536">
        <v>1611570</v>
      </c>
      <c r="N212" s="491" t="s">
        <v>112</v>
      </c>
      <c r="O212" s="537">
        <v>43509</v>
      </c>
      <c r="P212" s="537">
        <v>43518</v>
      </c>
      <c r="Q212" s="537">
        <v>43536</v>
      </c>
      <c r="R212" s="491" t="s">
        <v>4074</v>
      </c>
      <c r="S212" s="495"/>
      <c r="T212" s="536">
        <v>1438800</v>
      </c>
      <c r="U212" s="536">
        <f>T212*1.21</f>
        <v>1740948</v>
      </c>
      <c r="V212" s="1471"/>
      <c r="W212" s="1471"/>
      <c r="X212" s="1471"/>
      <c r="Y212" s="573">
        <v>43537</v>
      </c>
      <c r="Z212" s="536" t="s">
        <v>4097</v>
      </c>
      <c r="AA212" s="537">
        <v>43578</v>
      </c>
      <c r="AB212" s="537">
        <v>43579</v>
      </c>
      <c r="AC212" s="537">
        <v>43943</v>
      </c>
      <c r="AD212" s="537">
        <v>43808</v>
      </c>
      <c r="AE212" s="1102"/>
      <c r="AF212" s="374"/>
      <c r="AG212" s="374"/>
      <c r="AS212" s="1700"/>
    </row>
    <row r="213" spans="1:45" s="390" customFormat="1">
      <c r="A213" s="1467"/>
      <c r="B213" s="1102"/>
      <c r="C213" s="510">
        <v>43511</v>
      </c>
      <c r="D213" s="1382" t="s">
        <v>3972</v>
      </c>
      <c r="E213" s="506" t="s">
        <v>3678</v>
      </c>
      <c r="F213" s="506" t="s">
        <v>918</v>
      </c>
      <c r="G213" s="507" t="s">
        <v>3973</v>
      </c>
      <c r="H213" s="506"/>
      <c r="I213" s="548"/>
      <c r="J213" s="506"/>
      <c r="K213" s="506" t="s">
        <v>1518</v>
      </c>
      <c r="L213" s="506"/>
      <c r="M213" s="511">
        <v>1600000</v>
      </c>
      <c r="N213" s="506" t="s">
        <v>112</v>
      </c>
      <c r="O213" s="510">
        <v>43524</v>
      </c>
      <c r="P213" s="510">
        <v>43539</v>
      </c>
      <c r="Q213" s="506"/>
      <c r="R213" s="514" t="s">
        <v>242</v>
      </c>
      <c r="S213" s="1713" t="s">
        <v>5575</v>
      </c>
      <c r="T213" s="511"/>
      <c r="U213" s="511"/>
      <c r="V213" s="1470"/>
      <c r="W213" s="1470"/>
      <c r="X213" s="1470"/>
      <c r="Y213" s="511"/>
      <c r="Z213" s="511"/>
      <c r="AA213" s="506"/>
      <c r="AB213" s="510">
        <v>43565</v>
      </c>
      <c r="AC213" s="506"/>
      <c r="AD213" s="506"/>
      <c r="AE213" s="506"/>
      <c r="AF213" s="360"/>
      <c r="AG213" s="360"/>
      <c r="AH213" s="360"/>
      <c r="AI213" s="360"/>
      <c r="AJ213" s="360"/>
      <c r="AK213" s="360"/>
      <c r="AL213" s="360"/>
      <c r="AM213" s="360"/>
      <c r="AN213" s="360"/>
      <c r="AO213" s="360"/>
      <c r="AP213" s="360"/>
      <c r="AQ213" s="360"/>
      <c r="AR213" s="360"/>
      <c r="AS213" s="1700"/>
    </row>
    <row r="214" spans="1:45" s="390" customFormat="1">
      <c r="A214" s="1467"/>
      <c r="B214" s="1102"/>
      <c r="C214" s="537">
        <v>43516</v>
      </c>
      <c r="D214" s="1373" t="s">
        <v>3986</v>
      </c>
      <c r="E214" s="491" t="s">
        <v>166</v>
      </c>
      <c r="F214" s="491" t="s">
        <v>167</v>
      </c>
      <c r="G214" s="571" t="s">
        <v>163</v>
      </c>
      <c r="H214" s="491"/>
      <c r="I214" s="495"/>
      <c r="J214" s="491"/>
      <c r="K214" s="491" t="s">
        <v>1751</v>
      </c>
      <c r="L214" s="491"/>
      <c r="M214" s="536">
        <v>4500000</v>
      </c>
      <c r="N214" s="491" t="s">
        <v>112</v>
      </c>
      <c r="O214" s="537">
        <v>43535</v>
      </c>
      <c r="P214" s="537">
        <v>43545</v>
      </c>
      <c r="Q214" s="537">
        <v>43551</v>
      </c>
      <c r="R214" s="491" t="s">
        <v>4125</v>
      </c>
      <c r="S214" s="495"/>
      <c r="T214" s="536">
        <v>4719975</v>
      </c>
      <c r="U214" s="536">
        <f>T214*1.21</f>
        <v>5711169.75</v>
      </c>
      <c r="V214" s="1471"/>
      <c r="W214" s="1471"/>
      <c r="X214" s="1471"/>
      <c r="Y214" s="573">
        <v>43551</v>
      </c>
      <c r="Z214" s="536" t="s">
        <v>4133</v>
      </c>
      <c r="AA214" s="537">
        <v>43580</v>
      </c>
      <c r="AB214" s="537">
        <v>43580</v>
      </c>
      <c r="AC214" s="537">
        <v>44347</v>
      </c>
      <c r="AD214" s="537">
        <v>43838</v>
      </c>
      <c r="AE214" s="537">
        <v>44418</v>
      </c>
      <c r="AF214" s="360"/>
      <c r="AG214" s="360"/>
      <c r="AH214" s="360"/>
      <c r="AI214" s="360"/>
      <c r="AJ214" s="360"/>
      <c r="AK214" s="360"/>
      <c r="AL214" s="360"/>
      <c r="AM214" s="360"/>
      <c r="AN214" s="360"/>
      <c r="AO214" s="360"/>
      <c r="AP214" s="360"/>
      <c r="AQ214" s="360"/>
      <c r="AR214" s="374"/>
      <c r="AS214" s="1700"/>
    </row>
    <row r="215" spans="1:45" ht="30">
      <c r="A215" s="1457" t="s">
        <v>239</v>
      </c>
      <c r="B215" s="590" t="s">
        <v>239</v>
      </c>
      <c r="C215" s="537">
        <v>43507</v>
      </c>
      <c r="D215" s="1373" t="s">
        <v>3899</v>
      </c>
      <c r="E215" s="491" t="s">
        <v>58</v>
      </c>
      <c r="F215" s="491" t="s">
        <v>2684</v>
      </c>
      <c r="G215" s="571" t="s">
        <v>3901</v>
      </c>
      <c r="H215" s="491"/>
      <c r="I215" s="495"/>
      <c r="J215" s="491"/>
      <c r="K215" s="490" t="s">
        <v>3902</v>
      </c>
      <c r="L215" s="491" t="s">
        <v>3900</v>
      </c>
      <c r="M215" s="536">
        <v>7211000</v>
      </c>
      <c r="N215" s="491" t="s">
        <v>251</v>
      </c>
      <c r="O215" s="537">
        <v>43515</v>
      </c>
      <c r="P215" s="537">
        <v>43559</v>
      </c>
      <c r="Q215" s="537">
        <v>43579</v>
      </c>
      <c r="R215" s="491" t="s">
        <v>4483</v>
      </c>
      <c r="S215" s="495"/>
      <c r="T215" s="536">
        <v>7218900</v>
      </c>
      <c r="U215" s="536">
        <v>8734869</v>
      </c>
      <c r="V215" s="1471"/>
      <c r="W215" s="1471"/>
      <c r="X215" s="1471"/>
      <c r="Y215" s="573">
        <v>43580</v>
      </c>
      <c r="Z215" s="1375" t="s">
        <v>4484</v>
      </c>
      <c r="AA215" s="537">
        <v>43599</v>
      </c>
      <c r="AB215" s="537">
        <v>43600</v>
      </c>
      <c r="AC215" s="537">
        <f>AA215+70</f>
        <v>43669</v>
      </c>
      <c r="AD215" s="537">
        <v>43731</v>
      </c>
      <c r="AE215" s="1374" t="s">
        <v>1875</v>
      </c>
      <c r="AF215" s="374"/>
      <c r="AG215" s="374"/>
    </row>
    <row r="216" spans="1:45">
      <c r="A216" s="1457" t="s">
        <v>239</v>
      </c>
      <c r="B216" s="590" t="s">
        <v>239</v>
      </c>
      <c r="C216" s="537">
        <v>43496</v>
      </c>
      <c r="D216" s="1373" t="s">
        <v>3904</v>
      </c>
      <c r="E216" s="491" t="s">
        <v>3678</v>
      </c>
      <c r="F216" s="491" t="s">
        <v>918</v>
      </c>
      <c r="G216" s="571" t="s">
        <v>3903</v>
      </c>
      <c r="H216" s="491"/>
      <c r="I216" s="495"/>
      <c r="J216" s="491"/>
      <c r="K216" s="491" t="s">
        <v>1518</v>
      </c>
      <c r="L216" s="491"/>
      <c r="M216" s="536">
        <v>5000000</v>
      </c>
      <c r="N216" s="491" t="s">
        <v>251</v>
      </c>
      <c r="O216" s="537">
        <v>43515</v>
      </c>
      <c r="P216" s="537">
        <v>43550</v>
      </c>
      <c r="Q216" s="537">
        <v>43585</v>
      </c>
      <c r="R216" s="491" t="s">
        <v>1397</v>
      </c>
      <c r="S216" s="495"/>
      <c r="T216" s="536">
        <v>4005000</v>
      </c>
      <c r="U216" s="536">
        <v>4846050.24</v>
      </c>
      <c r="V216" s="1471"/>
      <c r="W216" s="1471"/>
      <c r="X216" s="1471"/>
      <c r="Y216" s="573">
        <v>43587</v>
      </c>
      <c r="Z216" s="536" t="s">
        <v>4512</v>
      </c>
      <c r="AA216" s="537">
        <v>43644</v>
      </c>
      <c r="AB216" s="537">
        <v>43658</v>
      </c>
      <c r="AC216" s="491" t="s">
        <v>4096</v>
      </c>
      <c r="AD216" s="537">
        <v>43913</v>
      </c>
      <c r="AE216" s="537">
        <v>44278</v>
      </c>
      <c r="AF216" s="1560">
        <v>44644</v>
      </c>
      <c r="AG216" s="388">
        <v>2022</v>
      </c>
      <c r="AH216" s="388">
        <v>2023</v>
      </c>
      <c r="AI216" s="388" t="s">
        <v>4435</v>
      </c>
    </row>
    <row r="217" spans="1:45">
      <c r="A217" s="1457" t="s">
        <v>239</v>
      </c>
      <c r="B217" s="590" t="s">
        <v>239</v>
      </c>
      <c r="C217" s="537">
        <v>43496</v>
      </c>
      <c r="D217" s="1373" t="s">
        <v>3905</v>
      </c>
      <c r="E217" s="491" t="s">
        <v>3678</v>
      </c>
      <c r="F217" s="491" t="s">
        <v>918</v>
      </c>
      <c r="G217" s="571" t="s">
        <v>3906</v>
      </c>
      <c r="H217" s="491"/>
      <c r="I217" s="495"/>
      <c r="J217" s="491"/>
      <c r="K217" s="491" t="s">
        <v>1518</v>
      </c>
      <c r="L217" s="491"/>
      <c r="M217" s="536">
        <v>1400000</v>
      </c>
      <c r="N217" s="491" t="s">
        <v>112</v>
      </c>
      <c r="O217" s="537">
        <v>43517</v>
      </c>
      <c r="P217" s="537">
        <v>43524</v>
      </c>
      <c r="Q217" s="537">
        <v>43532</v>
      </c>
      <c r="R217" s="491" t="s">
        <v>342</v>
      </c>
      <c r="S217" s="495"/>
      <c r="T217" s="536">
        <v>1674609</v>
      </c>
      <c r="U217" s="536">
        <f>T217*1.21</f>
        <v>2026276.89</v>
      </c>
      <c r="V217" s="1471"/>
      <c r="W217" s="1471"/>
      <c r="X217" s="1471"/>
      <c r="Y217" s="573">
        <v>43536</v>
      </c>
      <c r="Z217" s="536" t="s">
        <v>4075</v>
      </c>
      <c r="AA217" s="537">
        <v>43572</v>
      </c>
      <c r="AB217" s="537">
        <v>43579</v>
      </c>
      <c r="AC217" s="491" t="s">
        <v>4096</v>
      </c>
      <c r="AD217" s="537">
        <v>43913</v>
      </c>
      <c r="AE217" s="537">
        <v>44284</v>
      </c>
      <c r="AF217" s="1560">
        <v>44644</v>
      </c>
      <c r="AG217" s="388">
        <v>2022</v>
      </c>
      <c r="AH217" s="388">
        <v>2023</v>
      </c>
      <c r="AI217" s="388" t="s">
        <v>4435</v>
      </c>
      <c r="AS217" s="1700"/>
    </row>
    <row r="218" spans="1:45">
      <c r="A218" s="1457" t="s">
        <v>239</v>
      </c>
      <c r="B218" s="590" t="s">
        <v>239</v>
      </c>
      <c r="C218" s="537">
        <v>43507</v>
      </c>
      <c r="D218" s="1373" t="s">
        <v>3928</v>
      </c>
      <c r="E218" s="491" t="s">
        <v>14</v>
      </c>
      <c r="F218" s="491" t="s">
        <v>1753</v>
      </c>
      <c r="G218" s="571" t="s">
        <v>3929</v>
      </c>
      <c r="H218" s="491"/>
      <c r="I218" s="495"/>
      <c r="J218" s="491"/>
      <c r="K218" s="491" t="s">
        <v>1891</v>
      </c>
      <c r="L218" s="491"/>
      <c r="M218" s="536">
        <v>650000</v>
      </c>
      <c r="N218" s="491" t="s">
        <v>112</v>
      </c>
      <c r="O218" s="537">
        <v>43516</v>
      </c>
      <c r="P218" s="537">
        <v>43524</v>
      </c>
      <c r="Q218" s="537">
        <v>43525</v>
      </c>
      <c r="R218" s="491" t="s">
        <v>4004</v>
      </c>
      <c r="S218" s="495"/>
      <c r="T218" s="536">
        <f>75900*8</f>
        <v>607200</v>
      </c>
      <c r="U218" s="536">
        <f>T218*1.21</f>
        <v>734712</v>
      </c>
      <c r="V218" s="1471"/>
      <c r="W218" s="1471"/>
      <c r="X218" s="1471"/>
      <c r="Y218" s="573">
        <v>43525</v>
      </c>
      <c r="Z218" s="536" t="s">
        <v>4016</v>
      </c>
      <c r="AA218" s="537">
        <v>43552</v>
      </c>
      <c r="AB218" s="537">
        <v>43557</v>
      </c>
      <c r="AC218" s="537">
        <v>44196</v>
      </c>
      <c r="AD218" s="537">
        <v>44637</v>
      </c>
      <c r="AE218" s="1102"/>
      <c r="AF218" s="374"/>
      <c r="AG218" s="374"/>
      <c r="AS218" s="1700"/>
    </row>
    <row r="219" spans="1:45">
      <c r="A219" s="1461" t="s">
        <v>239</v>
      </c>
      <c r="B219" s="530" t="s">
        <v>239</v>
      </c>
      <c r="C219" s="510">
        <v>43509</v>
      </c>
      <c r="D219" s="1382" t="s">
        <v>3930</v>
      </c>
      <c r="E219" s="506" t="s">
        <v>1700</v>
      </c>
      <c r="F219" s="506" t="s">
        <v>6206</v>
      </c>
      <c r="G219" s="507" t="s">
        <v>1666</v>
      </c>
      <c r="H219" s="506"/>
      <c r="I219" s="548"/>
      <c r="J219" s="506"/>
      <c r="K219" s="506" t="s">
        <v>77</v>
      </c>
      <c r="L219" s="506" t="s">
        <v>3931</v>
      </c>
      <c r="M219" s="511">
        <v>290082</v>
      </c>
      <c r="N219" s="506" t="s">
        <v>251</v>
      </c>
      <c r="O219" s="510">
        <v>43537</v>
      </c>
      <c r="P219" s="510">
        <v>43570</v>
      </c>
      <c r="Q219" s="506"/>
      <c r="R219" s="514" t="s">
        <v>304</v>
      </c>
      <c r="S219" s="1713" t="s">
        <v>4957</v>
      </c>
      <c r="T219" s="511"/>
      <c r="U219" s="511"/>
      <c r="V219" s="1470"/>
      <c r="W219" s="1470"/>
      <c r="X219" s="1470"/>
      <c r="Y219" s="511"/>
      <c r="Z219" s="511"/>
      <c r="AA219" s="506"/>
      <c r="AB219" s="510">
        <v>43579</v>
      </c>
      <c r="AC219" s="506"/>
      <c r="AD219" s="506"/>
      <c r="AE219" s="506"/>
    </row>
    <row r="220" spans="1:45" ht="30.75" thickBot="1">
      <c r="A220" s="1466" t="s">
        <v>239</v>
      </c>
      <c r="B220" s="810" t="s">
        <v>239</v>
      </c>
      <c r="C220" s="416">
        <v>43507</v>
      </c>
      <c r="D220" s="1468" t="s">
        <v>3932</v>
      </c>
      <c r="E220" s="411" t="s">
        <v>1700</v>
      </c>
      <c r="F220" s="411" t="s">
        <v>6206</v>
      </c>
      <c r="G220" s="412" t="s">
        <v>3933</v>
      </c>
      <c r="H220" s="411"/>
      <c r="I220" s="630"/>
      <c r="J220" s="411"/>
      <c r="K220" s="411" t="s">
        <v>2935</v>
      </c>
      <c r="L220" s="411" t="s">
        <v>2938</v>
      </c>
      <c r="M220" s="417">
        <v>2259338</v>
      </c>
      <c r="N220" s="411" t="s">
        <v>251</v>
      </c>
      <c r="O220" s="416">
        <v>43537</v>
      </c>
      <c r="P220" s="416">
        <v>43571</v>
      </c>
      <c r="Q220" s="416">
        <v>43608</v>
      </c>
      <c r="R220" s="411" t="s">
        <v>2680</v>
      </c>
      <c r="S220" s="630"/>
      <c r="T220" s="417">
        <v>1533790</v>
      </c>
      <c r="U220" s="417">
        <f>T220*1.21</f>
        <v>1855885.9</v>
      </c>
      <c r="V220" s="1480"/>
      <c r="W220" s="1480"/>
      <c r="X220" s="1480"/>
      <c r="Y220" s="513">
        <v>43609</v>
      </c>
      <c r="Z220" s="1553" t="s">
        <v>4740</v>
      </c>
      <c r="AA220" s="416">
        <v>43655</v>
      </c>
      <c r="AB220" s="416">
        <v>43656</v>
      </c>
      <c r="AC220" s="416">
        <f>AA220+70</f>
        <v>43725</v>
      </c>
      <c r="AD220" s="416">
        <v>43840</v>
      </c>
      <c r="AE220" s="422" t="s">
        <v>1875</v>
      </c>
      <c r="AF220" s="374"/>
      <c r="AG220" s="374"/>
    </row>
    <row r="221" spans="1:45" ht="15.75" thickTop="1">
      <c r="A221" s="1460" t="s">
        <v>239</v>
      </c>
      <c r="B221" s="824" t="s">
        <v>239</v>
      </c>
      <c r="C221" s="1640">
        <v>43510</v>
      </c>
      <c r="D221" s="1641" t="s">
        <v>3934</v>
      </c>
      <c r="E221" s="1642" t="s">
        <v>1700</v>
      </c>
      <c r="F221" s="1642" t="s">
        <v>6206</v>
      </c>
      <c r="G221" s="1643" t="s">
        <v>3935</v>
      </c>
      <c r="H221" s="1642">
        <v>1</v>
      </c>
      <c r="I221" s="1644" t="s">
        <v>3936</v>
      </c>
      <c r="J221" s="1642"/>
      <c r="K221" s="1642" t="s">
        <v>2920</v>
      </c>
      <c r="L221" s="1642" t="s">
        <v>2915</v>
      </c>
      <c r="M221" s="1645">
        <v>442644</v>
      </c>
      <c r="N221" s="1642" t="s">
        <v>251</v>
      </c>
      <c r="O221" s="1642"/>
      <c r="P221" s="1642"/>
      <c r="Q221" s="1642"/>
      <c r="R221" s="1646" t="s">
        <v>1313</v>
      </c>
      <c r="S221" s="1708"/>
      <c r="T221" s="1645"/>
      <c r="U221" s="1645"/>
      <c r="V221" s="1647"/>
      <c r="W221" s="1647"/>
      <c r="X221" s="1647"/>
      <c r="Y221" s="1645"/>
      <c r="Z221" s="1645"/>
      <c r="AA221" s="1642"/>
      <c r="AB221" s="1646" t="s">
        <v>5001</v>
      </c>
      <c r="AC221" s="1642"/>
      <c r="AD221" s="1642"/>
      <c r="AE221" s="1642"/>
      <c r="AF221" s="1648" t="s">
        <v>5362</v>
      </c>
      <c r="AG221" s="374"/>
    </row>
    <row r="222" spans="1:45">
      <c r="A222" s="1461" t="s">
        <v>239</v>
      </c>
      <c r="B222" s="530" t="s">
        <v>239</v>
      </c>
      <c r="C222" s="1649">
        <v>43510</v>
      </c>
      <c r="D222" s="1650" t="s">
        <v>3934</v>
      </c>
      <c r="E222" s="1651" t="s">
        <v>1700</v>
      </c>
      <c r="F222" s="1651" t="s">
        <v>6206</v>
      </c>
      <c r="G222" s="1652" t="s">
        <v>3935</v>
      </c>
      <c r="H222" s="1651">
        <v>2</v>
      </c>
      <c r="I222" s="1653" t="s">
        <v>3937</v>
      </c>
      <c r="J222" s="1651"/>
      <c r="K222" s="1651" t="s">
        <v>2920</v>
      </c>
      <c r="L222" s="1651" t="s">
        <v>2925</v>
      </c>
      <c r="M222" s="1654">
        <v>192785</v>
      </c>
      <c r="N222" s="1651" t="s">
        <v>251</v>
      </c>
      <c r="O222" s="1651"/>
      <c r="P222" s="1651"/>
      <c r="Q222" s="1651"/>
      <c r="R222" s="1655" t="s">
        <v>1313</v>
      </c>
      <c r="S222" s="1668"/>
      <c r="T222" s="1654"/>
      <c r="U222" s="1654"/>
      <c r="V222" s="1656"/>
      <c r="W222" s="1656"/>
      <c r="X222" s="1656"/>
      <c r="Y222" s="1654"/>
      <c r="Z222" s="1654"/>
      <c r="AA222" s="1651"/>
      <c r="AB222" s="1655" t="s">
        <v>5001</v>
      </c>
      <c r="AC222" s="1651"/>
      <c r="AD222" s="1651"/>
      <c r="AE222" s="1651"/>
      <c r="AF222" s="1648" t="s">
        <v>5362</v>
      </c>
      <c r="AG222" s="374"/>
    </row>
    <row r="223" spans="1:45" ht="15.75" thickBot="1">
      <c r="A223" s="1462" t="s">
        <v>239</v>
      </c>
      <c r="B223" s="1394" t="s">
        <v>239</v>
      </c>
      <c r="C223" s="1657">
        <v>43510</v>
      </c>
      <c r="D223" s="1658" t="s">
        <v>3934</v>
      </c>
      <c r="E223" s="1659" t="s">
        <v>1700</v>
      </c>
      <c r="F223" s="1659" t="s">
        <v>6206</v>
      </c>
      <c r="G223" s="1660" t="s">
        <v>3935</v>
      </c>
      <c r="H223" s="1659">
        <v>3</v>
      </c>
      <c r="I223" s="1661" t="s">
        <v>3938</v>
      </c>
      <c r="J223" s="1659"/>
      <c r="K223" s="1659" t="s">
        <v>2920</v>
      </c>
      <c r="L223" s="1659" t="s">
        <v>2927</v>
      </c>
      <c r="M223" s="1662">
        <v>475207</v>
      </c>
      <c r="N223" s="1659" t="s">
        <v>251</v>
      </c>
      <c r="O223" s="1659"/>
      <c r="P223" s="1659"/>
      <c r="Q223" s="1659"/>
      <c r="R223" s="1663" t="s">
        <v>1313</v>
      </c>
      <c r="S223" s="1709"/>
      <c r="T223" s="1662"/>
      <c r="U223" s="1662"/>
      <c r="V223" s="1664"/>
      <c r="W223" s="1664"/>
      <c r="X223" s="1664"/>
      <c r="Y223" s="1662"/>
      <c r="Z223" s="1662"/>
      <c r="AA223" s="1659"/>
      <c r="AB223" s="1663" t="s">
        <v>5001</v>
      </c>
      <c r="AC223" s="1659"/>
      <c r="AD223" s="1659"/>
      <c r="AE223" s="1659"/>
      <c r="AF223" s="1648" t="s">
        <v>5362</v>
      </c>
      <c r="AG223" s="374"/>
    </row>
    <row r="224" spans="1:45" ht="30.75" thickTop="1">
      <c r="A224" s="1463" t="s">
        <v>239</v>
      </c>
      <c r="B224" s="576" t="s">
        <v>239</v>
      </c>
      <c r="C224" s="365">
        <v>43514</v>
      </c>
      <c r="D224" s="1397" t="s">
        <v>3947</v>
      </c>
      <c r="E224" s="1570" t="s">
        <v>58</v>
      </c>
      <c r="F224" s="1570" t="s">
        <v>2684</v>
      </c>
      <c r="G224" s="175" t="s">
        <v>3948</v>
      </c>
      <c r="H224" s="1570"/>
      <c r="I224" s="1571"/>
      <c r="J224" s="1570"/>
      <c r="K224" s="1570" t="s">
        <v>2665</v>
      </c>
      <c r="L224" s="1570" t="s">
        <v>3951</v>
      </c>
      <c r="M224" s="364">
        <v>289435</v>
      </c>
      <c r="N224" s="1570" t="s">
        <v>112</v>
      </c>
      <c r="O224" s="365">
        <v>43516</v>
      </c>
      <c r="P224" s="365">
        <v>43524</v>
      </c>
      <c r="Q224" s="365">
        <v>43549</v>
      </c>
      <c r="R224" s="1791" t="s">
        <v>993</v>
      </c>
      <c r="S224" s="1705"/>
      <c r="T224" s="364">
        <v>231699</v>
      </c>
      <c r="U224" s="364">
        <f>T224*1.21</f>
        <v>280355.78999999998</v>
      </c>
      <c r="V224" s="1473"/>
      <c r="W224" s="1473"/>
      <c r="X224" s="1473"/>
      <c r="Y224" s="681">
        <v>43551</v>
      </c>
      <c r="Z224" s="1417" t="s">
        <v>4132</v>
      </c>
      <c r="AA224" s="365">
        <v>43594</v>
      </c>
      <c r="AB224" s="365">
        <v>43598</v>
      </c>
      <c r="AC224" s="365">
        <f>AA224+56</f>
        <v>43650</v>
      </c>
      <c r="AD224" s="365">
        <v>43661</v>
      </c>
      <c r="AE224" s="451" t="s">
        <v>1875</v>
      </c>
      <c r="AF224" s="374"/>
      <c r="AG224" s="374"/>
      <c r="AS224" s="1700"/>
    </row>
    <row r="225" spans="1:45">
      <c r="A225" s="1461" t="s">
        <v>239</v>
      </c>
      <c r="B225" s="530" t="s">
        <v>239</v>
      </c>
      <c r="C225" s="537">
        <v>43514</v>
      </c>
      <c r="D225" s="1373" t="s">
        <v>3949</v>
      </c>
      <c r="E225" s="491" t="s">
        <v>52</v>
      </c>
      <c r="F225" s="491" t="s">
        <v>227</v>
      </c>
      <c r="G225" s="571" t="s">
        <v>3950</v>
      </c>
      <c r="H225" s="491"/>
      <c r="I225" s="495"/>
      <c r="J225" s="491"/>
      <c r="K225" s="491" t="s">
        <v>484</v>
      </c>
      <c r="L225" s="491" t="s">
        <v>3952</v>
      </c>
      <c r="M225" s="536">
        <v>619800</v>
      </c>
      <c r="N225" s="491" t="s">
        <v>112</v>
      </c>
      <c r="O225" s="537">
        <v>43529</v>
      </c>
      <c r="P225" s="537">
        <v>43543</v>
      </c>
      <c r="Q225" s="537">
        <v>43567</v>
      </c>
      <c r="R225" s="491" t="s">
        <v>4176</v>
      </c>
      <c r="S225" s="495"/>
      <c r="T225" s="536">
        <v>1294000</v>
      </c>
      <c r="U225" s="536">
        <v>1565740</v>
      </c>
      <c r="V225" s="1471"/>
      <c r="W225" s="1471"/>
      <c r="X225" s="1471"/>
      <c r="Y225" s="573">
        <v>43567</v>
      </c>
      <c r="Z225" s="536" t="s">
        <v>4408</v>
      </c>
      <c r="AA225" s="537">
        <v>43599</v>
      </c>
      <c r="AB225" s="537">
        <v>43601</v>
      </c>
      <c r="AC225" s="537">
        <f>AA225+180</f>
        <v>43779</v>
      </c>
      <c r="AD225" s="537">
        <v>43878</v>
      </c>
      <c r="AE225" s="1524">
        <v>44624</v>
      </c>
      <c r="AF225" s="374"/>
      <c r="AG225" s="374"/>
      <c r="AS225" s="1700"/>
    </row>
    <row r="226" spans="1:45">
      <c r="A226" s="1461" t="s">
        <v>239</v>
      </c>
      <c r="B226" s="530" t="s">
        <v>239</v>
      </c>
      <c r="C226" s="510">
        <v>43516</v>
      </c>
      <c r="D226" s="1382" t="s">
        <v>3954</v>
      </c>
      <c r="E226" s="506" t="s">
        <v>1700</v>
      </c>
      <c r="F226" s="506" t="s">
        <v>6206</v>
      </c>
      <c r="G226" s="507" t="s">
        <v>3955</v>
      </c>
      <c r="H226" s="506"/>
      <c r="I226" s="548"/>
      <c r="J226" s="506"/>
      <c r="K226" s="506" t="s">
        <v>3956</v>
      </c>
      <c r="L226" s="506" t="s">
        <v>3471</v>
      </c>
      <c r="M226" s="511">
        <v>142737</v>
      </c>
      <c r="N226" s="506" t="s">
        <v>251</v>
      </c>
      <c r="O226" s="510">
        <v>43550</v>
      </c>
      <c r="P226" s="510">
        <v>43584</v>
      </c>
      <c r="Q226" s="506"/>
      <c r="R226" s="514" t="s">
        <v>304</v>
      </c>
      <c r="S226" s="1713" t="s">
        <v>5576</v>
      </c>
      <c r="T226" s="511"/>
      <c r="U226" s="511"/>
      <c r="V226" s="1470"/>
      <c r="W226" s="1470"/>
      <c r="X226" s="1470"/>
      <c r="Y226" s="511"/>
      <c r="Z226" s="511"/>
      <c r="AA226" s="506"/>
      <c r="AB226" s="510">
        <v>43588</v>
      </c>
      <c r="AC226" s="506"/>
      <c r="AD226" s="506"/>
      <c r="AE226" s="1396"/>
      <c r="AF226" s="1351"/>
    </row>
    <row r="227" spans="1:45" ht="15.75" thickBot="1">
      <c r="A227" s="1461" t="s">
        <v>239</v>
      </c>
      <c r="B227" s="530" t="s">
        <v>239</v>
      </c>
      <c r="C227" s="416">
        <v>43363</v>
      </c>
      <c r="D227" s="1468" t="s">
        <v>3957</v>
      </c>
      <c r="E227" s="411" t="s">
        <v>2434</v>
      </c>
      <c r="F227" s="411" t="s">
        <v>219</v>
      </c>
      <c r="G227" s="412" t="s">
        <v>3958</v>
      </c>
      <c r="H227" s="411"/>
      <c r="I227" s="630"/>
      <c r="J227" s="411"/>
      <c r="K227" s="411" t="s">
        <v>642</v>
      </c>
      <c r="L227" s="411"/>
      <c r="M227" s="417">
        <v>2686000</v>
      </c>
      <c r="N227" s="411" t="s">
        <v>216</v>
      </c>
      <c r="O227" s="416">
        <v>43521</v>
      </c>
      <c r="P227" s="416">
        <v>43538</v>
      </c>
      <c r="Q227" s="416">
        <v>43549</v>
      </c>
      <c r="R227" s="411" t="s">
        <v>4464</v>
      </c>
      <c r="S227" s="630"/>
      <c r="T227" s="417">
        <v>1536000</v>
      </c>
      <c r="U227" s="417">
        <v>1858560</v>
      </c>
      <c r="V227" s="1480"/>
      <c r="W227" s="1480"/>
      <c r="X227" s="1480"/>
      <c r="Y227" s="513">
        <v>43551</v>
      </c>
      <c r="Z227" s="417" t="s">
        <v>4504</v>
      </c>
      <c r="AA227" s="416">
        <v>43585</v>
      </c>
      <c r="AB227" s="416">
        <v>43585</v>
      </c>
      <c r="AC227" s="416">
        <v>44315</v>
      </c>
      <c r="AD227" s="416">
        <v>43930</v>
      </c>
      <c r="AE227" s="416">
        <v>44285</v>
      </c>
      <c r="AF227" s="1560">
        <v>44637</v>
      </c>
      <c r="AG227" s="374"/>
    </row>
    <row r="228" spans="1:45" ht="15.75" thickTop="1">
      <c r="A228" s="1461" t="s">
        <v>239</v>
      </c>
      <c r="B228" s="530" t="s">
        <v>239</v>
      </c>
      <c r="C228" s="474">
        <v>43507</v>
      </c>
      <c r="D228" s="1383" t="s">
        <v>3959</v>
      </c>
      <c r="E228" s="453" t="s">
        <v>2434</v>
      </c>
      <c r="F228" s="453" t="s">
        <v>219</v>
      </c>
      <c r="G228" s="473" t="s">
        <v>3898</v>
      </c>
      <c r="H228" s="453">
        <v>1</v>
      </c>
      <c r="I228" s="1420" t="s">
        <v>3960</v>
      </c>
      <c r="J228" s="453"/>
      <c r="K228" s="453" t="s">
        <v>2747</v>
      </c>
      <c r="L228" s="453"/>
      <c r="M228" s="457">
        <v>650000</v>
      </c>
      <c r="N228" s="453" t="s">
        <v>112</v>
      </c>
      <c r="O228" s="474">
        <v>43518</v>
      </c>
      <c r="P228" s="474">
        <v>43529</v>
      </c>
      <c r="Q228" s="474">
        <v>43552</v>
      </c>
      <c r="R228" s="453" t="s">
        <v>4126</v>
      </c>
      <c r="S228" s="1420"/>
      <c r="T228" s="457">
        <v>538476</v>
      </c>
      <c r="U228" s="457">
        <v>651555.96</v>
      </c>
      <c r="V228" s="1474"/>
      <c r="W228" s="1474"/>
      <c r="X228" s="1474"/>
      <c r="Y228" s="570">
        <v>43552</v>
      </c>
      <c r="Z228" s="457" t="s">
        <v>4135</v>
      </c>
      <c r="AA228" s="474">
        <v>43578</v>
      </c>
      <c r="AB228" s="474">
        <v>43579</v>
      </c>
      <c r="AC228" s="474">
        <f>AA228+42</f>
        <v>43620</v>
      </c>
      <c r="AD228" s="474">
        <v>43692</v>
      </c>
      <c r="AE228" s="1393"/>
      <c r="AF228" s="374"/>
      <c r="AG228" s="374"/>
    </row>
    <row r="229" spans="1:45" ht="15.75" thickBot="1">
      <c r="A229" s="1461" t="s">
        <v>239</v>
      </c>
      <c r="B229" s="530" t="s">
        <v>239</v>
      </c>
      <c r="C229" s="1380">
        <v>43507</v>
      </c>
      <c r="D229" s="1377" t="s">
        <v>3959</v>
      </c>
      <c r="E229" s="1376" t="s">
        <v>2434</v>
      </c>
      <c r="F229" s="1376" t="s">
        <v>219</v>
      </c>
      <c r="G229" s="1378" t="s">
        <v>3898</v>
      </c>
      <c r="H229" s="1376">
        <v>2</v>
      </c>
      <c r="I229" s="1421" t="s">
        <v>3961</v>
      </c>
      <c r="J229" s="1376"/>
      <c r="K229" s="1376" t="s">
        <v>2747</v>
      </c>
      <c r="L229" s="1376"/>
      <c r="M229" s="1379">
        <v>250000</v>
      </c>
      <c r="N229" s="1376" t="s">
        <v>112</v>
      </c>
      <c r="O229" s="1380">
        <v>43518</v>
      </c>
      <c r="P229" s="1380">
        <v>43529</v>
      </c>
      <c r="Q229" s="1380">
        <v>43552</v>
      </c>
      <c r="R229" s="1376" t="s">
        <v>4127</v>
      </c>
      <c r="S229" s="1421"/>
      <c r="T229" s="1379">
        <v>347107</v>
      </c>
      <c r="U229" s="1379">
        <v>419999</v>
      </c>
      <c r="V229" s="1475"/>
      <c r="W229" s="1475"/>
      <c r="X229" s="1475"/>
      <c r="Y229" s="1388">
        <v>43552</v>
      </c>
      <c r="Z229" s="1379" t="s">
        <v>4136</v>
      </c>
      <c r="AA229" s="1380">
        <v>43567</v>
      </c>
      <c r="AB229" s="1380">
        <v>43579</v>
      </c>
      <c r="AC229" s="1380">
        <f>AA229+42</f>
        <v>43609</v>
      </c>
      <c r="AD229" s="1380">
        <v>43647</v>
      </c>
      <c r="AE229" s="1395"/>
      <c r="AF229" s="374"/>
      <c r="AG229" s="374"/>
    </row>
    <row r="230" spans="1:45" s="390" customFormat="1" ht="30.75" thickTop="1">
      <c r="A230" s="1467"/>
      <c r="B230" s="1102"/>
      <c r="C230" s="474" t="s">
        <v>4091</v>
      </c>
      <c r="D230" s="1383" t="s">
        <v>4092</v>
      </c>
      <c r="E230" s="453" t="s">
        <v>2434</v>
      </c>
      <c r="F230" s="453" t="s">
        <v>219</v>
      </c>
      <c r="G230" s="473" t="s">
        <v>4093</v>
      </c>
      <c r="H230" s="453">
        <v>1</v>
      </c>
      <c r="I230" s="1420" t="s">
        <v>4094</v>
      </c>
      <c r="J230" s="453"/>
      <c r="K230" s="453" t="s">
        <v>642</v>
      </c>
      <c r="L230" s="453"/>
      <c r="M230" s="457">
        <v>3607360</v>
      </c>
      <c r="N230" s="453" t="s">
        <v>251</v>
      </c>
      <c r="O230" s="474">
        <v>43545</v>
      </c>
      <c r="P230" s="474">
        <v>43580</v>
      </c>
      <c r="Q230" s="474">
        <v>43699</v>
      </c>
      <c r="R230" s="453" t="s">
        <v>2496</v>
      </c>
      <c r="S230" s="1420"/>
      <c r="T230" s="457">
        <v>2725650</v>
      </c>
      <c r="U230" s="457">
        <v>3298036.5</v>
      </c>
      <c r="V230" s="1474"/>
      <c r="W230" s="1474"/>
      <c r="X230" s="1474"/>
      <c r="Y230" s="570">
        <v>43700</v>
      </c>
      <c r="Z230" s="1387" t="s">
        <v>5327</v>
      </c>
      <c r="AA230" s="474">
        <v>43725</v>
      </c>
      <c r="AB230" s="474">
        <v>43727</v>
      </c>
      <c r="AC230" s="474">
        <v>44455</v>
      </c>
      <c r="AD230" s="474">
        <v>43930</v>
      </c>
      <c r="AE230" s="474">
        <v>44285</v>
      </c>
      <c r="AF230" s="1560">
        <v>44637</v>
      </c>
      <c r="AG230" s="360"/>
      <c r="AH230" s="360"/>
      <c r="AI230" s="360"/>
      <c r="AJ230" s="360"/>
      <c r="AK230" s="360"/>
      <c r="AL230" s="360"/>
      <c r="AM230" s="360"/>
      <c r="AN230" s="360"/>
      <c r="AO230" s="360"/>
      <c r="AP230" s="360"/>
      <c r="AQ230" s="360"/>
      <c r="AR230" s="360"/>
      <c r="AS230" s="360"/>
    </row>
    <row r="231" spans="1:45" s="390" customFormat="1" ht="15.75" thickBot="1">
      <c r="A231" s="1467"/>
      <c r="B231" s="1102"/>
      <c r="C231" s="1414">
        <v>43535</v>
      </c>
      <c r="D231" s="1411" t="s">
        <v>4092</v>
      </c>
      <c r="E231" s="1410" t="s">
        <v>2434</v>
      </c>
      <c r="F231" s="1410" t="s">
        <v>219</v>
      </c>
      <c r="G231" s="1412" t="s">
        <v>4093</v>
      </c>
      <c r="H231" s="1410">
        <v>2</v>
      </c>
      <c r="I231" s="1430" t="s">
        <v>4095</v>
      </c>
      <c r="J231" s="1410"/>
      <c r="K231" s="1410" t="s">
        <v>642</v>
      </c>
      <c r="L231" s="1410"/>
      <c r="M231" s="1413">
        <v>1059500</v>
      </c>
      <c r="N231" s="1410" t="s">
        <v>251</v>
      </c>
      <c r="O231" s="1414">
        <v>43545</v>
      </c>
      <c r="P231" s="1414">
        <v>43580</v>
      </c>
      <c r="Q231" s="1410"/>
      <c r="R231" s="1740" t="s">
        <v>4964</v>
      </c>
      <c r="S231" s="1757" t="s">
        <v>5697</v>
      </c>
      <c r="T231" s="1413"/>
      <c r="U231" s="1413"/>
      <c r="V231" s="1479"/>
      <c r="W231" s="1479"/>
      <c r="X231" s="1479"/>
      <c r="Y231" s="1413"/>
      <c r="Z231" s="1413"/>
      <c r="AA231" s="1410"/>
      <c r="AB231" s="1414">
        <v>43725</v>
      </c>
      <c r="AC231" s="1410" t="s">
        <v>5283</v>
      </c>
      <c r="AD231" s="1410"/>
      <c r="AE231" s="1410"/>
      <c r="AF231" s="360"/>
      <c r="AG231" s="360"/>
      <c r="AH231" s="360"/>
      <c r="AI231" s="360"/>
      <c r="AJ231" s="360"/>
      <c r="AK231" s="360"/>
      <c r="AL231" s="360"/>
      <c r="AM231" s="360"/>
      <c r="AN231" s="360"/>
      <c r="AO231" s="360"/>
      <c r="AP231" s="360"/>
      <c r="AQ231" s="360"/>
      <c r="AR231" s="360"/>
      <c r="AS231" s="360"/>
    </row>
    <row r="232" spans="1:45" ht="15.75" thickTop="1">
      <c r="A232" s="1461" t="s">
        <v>3963</v>
      </c>
      <c r="B232" s="530" t="s">
        <v>239</v>
      </c>
      <c r="C232" s="365">
        <v>43517</v>
      </c>
      <c r="D232" s="1397" t="s">
        <v>3962</v>
      </c>
      <c r="E232" s="1570" t="s">
        <v>1032</v>
      </c>
      <c r="F232" s="1570" t="s">
        <v>361</v>
      </c>
      <c r="G232" s="175" t="s">
        <v>3965</v>
      </c>
      <c r="H232" s="1570"/>
      <c r="I232" s="1571"/>
      <c r="J232" s="1570"/>
      <c r="K232" s="2012" t="s">
        <v>1765</v>
      </c>
      <c r="L232" s="1570" t="s">
        <v>3966</v>
      </c>
      <c r="M232" s="364">
        <v>5750000</v>
      </c>
      <c r="N232" s="1570" t="s">
        <v>112</v>
      </c>
      <c r="O232" s="365">
        <v>43531</v>
      </c>
      <c r="P232" s="365">
        <v>43546</v>
      </c>
      <c r="Q232" s="365">
        <v>43563</v>
      </c>
      <c r="R232" s="2116" t="s">
        <v>4174</v>
      </c>
      <c r="S232" s="1705"/>
      <c r="T232" s="364">
        <v>4297607</v>
      </c>
      <c r="U232" s="364">
        <v>5200104.47</v>
      </c>
      <c r="V232" s="1473"/>
      <c r="W232" s="1473"/>
      <c r="X232" s="1473"/>
      <c r="Y232" s="681">
        <v>43563</v>
      </c>
      <c r="Z232" s="364" t="s">
        <v>4319</v>
      </c>
      <c r="AA232" s="365">
        <v>43587</v>
      </c>
      <c r="AB232" s="365">
        <v>43588</v>
      </c>
      <c r="AC232" s="365">
        <v>44285</v>
      </c>
      <c r="AD232" s="365">
        <v>44364</v>
      </c>
      <c r="AE232" s="1513" t="s">
        <v>8522</v>
      </c>
      <c r="AF232" s="374"/>
      <c r="AG232" s="374"/>
    </row>
    <row r="233" spans="1:45">
      <c r="A233" s="1461"/>
      <c r="B233" s="530"/>
      <c r="C233" s="1496">
        <v>43252</v>
      </c>
      <c r="D233" s="1382" t="s">
        <v>3967</v>
      </c>
      <c r="E233" s="506" t="s">
        <v>2434</v>
      </c>
      <c r="F233" s="506" t="s">
        <v>219</v>
      </c>
      <c r="G233" s="507" t="s">
        <v>3969</v>
      </c>
      <c r="H233" s="506">
        <v>1</v>
      </c>
      <c r="I233" s="1574" t="s">
        <v>3968</v>
      </c>
      <c r="J233" s="506"/>
      <c r="K233" s="506" t="s">
        <v>642</v>
      </c>
      <c r="L233" s="506"/>
      <c r="M233" s="511">
        <v>1484500</v>
      </c>
      <c r="N233" s="506" t="s">
        <v>216</v>
      </c>
      <c r="O233" s="510">
        <v>43523</v>
      </c>
      <c r="P233" s="510">
        <v>43539</v>
      </c>
      <c r="Q233" s="506"/>
      <c r="R233" s="514" t="s">
        <v>304</v>
      </c>
      <c r="S233" s="736" t="s">
        <v>4723</v>
      </c>
      <c r="T233" s="511"/>
      <c r="U233" s="511"/>
      <c r="V233" s="1470"/>
      <c r="W233" s="1470"/>
      <c r="X233" s="1470"/>
      <c r="Y233" s="511"/>
      <c r="Z233" s="511"/>
      <c r="AA233" s="506"/>
      <c r="AB233" s="510">
        <v>43545</v>
      </c>
      <c r="AC233" s="506"/>
      <c r="AD233" s="506"/>
      <c r="AE233" s="506"/>
    </row>
    <row r="234" spans="1:45">
      <c r="A234" s="1461"/>
      <c r="B234" s="530"/>
      <c r="C234" s="1526">
        <v>43252</v>
      </c>
      <c r="D234" s="1373" t="s">
        <v>3967</v>
      </c>
      <c r="E234" s="491" t="s">
        <v>2434</v>
      </c>
      <c r="F234" s="491" t="s">
        <v>219</v>
      </c>
      <c r="G234" s="571" t="s">
        <v>3969</v>
      </c>
      <c r="H234" s="491">
        <v>2</v>
      </c>
      <c r="I234" s="571" t="s">
        <v>3970</v>
      </c>
      <c r="J234" s="491"/>
      <c r="K234" s="491" t="s">
        <v>642</v>
      </c>
      <c r="L234" s="491"/>
      <c r="M234" s="536">
        <v>1571100</v>
      </c>
      <c r="N234" s="491" t="s">
        <v>216</v>
      </c>
      <c r="O234" s="537">
        <v>43523</v>
      </c>
      <c r="P234" s="537">
        <v>43539</v>
      </c>
      <c r="Q234" s="537">
        <v>43557</v>
      </c>
      <c r="R234" s="491" t="s">
        <v>2497</v>
      </c>
      <c r="S234" s="495"/>
      <c r="T234" s="536">
        <v>1284000</v>
      </c>
      <c r="U234" s="536">
        <v>1553640</v>
      </c>
      <c r="V234" s="1471"/>
      <c r="W234" s="1471"/>
      <c r="X234" s="1471"/>
      <c r="Y234" s="573">
        <v>43558</v>
      </c>
      <c r="Z234" s="536" t="s">
        <v>4320</v>
      </c>
      <c r="AA234" s="537">
        <v>43570</v>
      </c>
      <c r="AB234" s="537">
        <v>43584</v>
      </c>
      <c r="AC234" s="491" t="s">
        <v>4096</v>
      </c>
      <c r="AD234" s="537">
        <v>43930</v>
      </c>
      <c r="AE234" s="537">
        <v>44285</v>
      </c>
      <c r="AF234" s="1560">
        <v>44637</v>
      </c>
      <c r="AG234" s="388">
        <v>2022</v>
      </c>
      <c r="AH234" s="388">
        <v>2023</v>
      </c>
      <c r="AI234" s="388">
        <v>2024</v>
      </c>
      <c r="AJ234" s="388"/>
    </row>
    <row r="235" spans="1:45">
      <c r="A235" s="1461"/>
      <c r="B235" s="530"/>
      <c r="C235" s="510">
        <v>43517</v>
      </c>
      <c r="D235" s="506" t="s">
        <v>3977</v>
      </c>
      <c r="E235" s="506" t="s">
        <v>166</v>
      </c>
      <c r="F235" s="506" t="s">
        <v>167</v>
      </c>
      <c r="G235" s="507" t="s">
        <v>3978</v>
      </c>
      <c r="H235" s="506"/>
      <c r="I235" s="548"/>
      <c r="J235" s="506"/>
      <c r="K235" s="506" t="s">
        <v>1676</v>
      </c>
      <c r="L235" s="506"/>
      <c r="M235" s="511">
        <v>350000</v>
      </c>
      <c r="N235" s="506" t="s">
        <v>112</v>
      </c>
      <c r="O235" s="510">
        <v>43524</v>
      </c>
      <c r="P235" s="510">
        <v>43539</v>
      </c>
      <c r="Q235" s="506"/>
      <c r="R235" s="514" t="s">
        <v>242</v>
      </c>
      <c r="S235" s="1713" t="s">
        <v>4724</v>
      </c>
      <c r="T235" s="511"/>
      <c r="U235" s="511"/>
      <c r="V235" s="1470"/>
      <c r="W235" s="1470"/>
      <c r="X235" s="1470"/>
      <c r="Y235" s="511"/>
      <c r="Z235" s="511"/>
      <c r="AA235" s="506"/>
      <c r="AB235" s="510">
        <v>43545</v>
      </c>
      <c r="AC235" s="506"/>
      <c r="AD235" s="506"/>
      <c r="AE235" s="506"/>
    </row>
    <row r="236" spans="1:45">
      <c r="A236" s="1461"/>
      <c r="B236" s="530"/>
      <c r="C236" s="537">
        <v>43516</v>
      </c>
      <c r="D236" s="491" t="s">
        <v>3979</v>
      </c>
      <c r="E236" s="491" t="s">
        <v>52</v>
      </c>
      <c r="F236" s="491" t="s">
        <v>3981</v>
      </c>
      <c r="G236" s="571" t="s">
        <v>3980</v>
      </c>
      <c r="H236" s="491"/>
      <c r="I236" s="495"/>
      <c r="J236" s="491"/>
      <c r="K236" s="491" t="s">
        <v>484</v>
      </c>
      <c r="L236" s="491" t="s">
        <v>3982</v>
      </c>
      <c r="M236" s="536">
        <v>600000</v>
      </c>
      <c r="N236" s="491" t="s">
        <v>112</v>
      </c>
      <c r="O236" s="537">
        <v>43535</v>
      </c>
      <c r="P236" s="537">
        <v>43550</v>
      </c>
      <c r="Q236" s="537">
        <v>43559</v>
      </c>
      <c r="R236" s="491" t="s">
        <v>3503</v>
      </c>
      <c r="S236" s="495"/>
      <c r="T236" s="536">
        <v>846000</v>
      </c>
      <c r="U236" s="536">
        <f>T236*1.21</f>
        <v>1023660</v>
      </c>
      <c r="V236" s="1471"/>
      <c r="W236" s="1471"/>
      <c r="X236" s="1471"/>
      <c r="Y236" s="573">
        <v>43560</v>
      </c>
      <c r="Z236" s="536" t="s">
        <v>4298</v>
      </c>
      <c r="AA236" s="537">
        <v>43594</v>
      </c>
      <c r="AB236" s="537">
        <v>43598</v>
      </c>
      <c r="AC236" s="537">
        <f>AA236+120</f>
        <v>43714</v>
      </c>
      <c r="AD236" s="1525">
        <v>44011</v>
      </c>
      <c r="AE236" s="1102"/>
      <c r="AF236" s="374"/>
      <c r="AG236" s="374"/>
    </row>
    <row r="237" spans="1:45">
      <c r="A237" s="1461"/>
      <c r="B237" s="530"/>
      <c r="C237" s="491" t="s">
        <v>3585</v>
      </c>
      <c r="D237" s="491" t="s">
        <v>3987</v>
      </c>
      <c r="E237" s="491" t="s">
        <v>14</v>
      </c>
      <c r="F237" s="491" t="s">
        <v>13</v>
      </c>
      <c r="G237" s="571" t="s">
        <v>3988</v>
      </c>
      <c r="H237" s="491"/>
      <c r="I237" s="495"/>
      <c r="J237" s="491"/>
      <c r="K237" s="491" t="s">
        <v>2055</v>
      </c>
      <c r="L237" s="491" t="s">
        <v>3566</v>
      </c>
      <c r="M237" s="536">
        <v>1350000</v>
      </c>
      <c r="N237" s="491" t="s">
        <v>112</v>
      </c>
      <c r="O237" s="537">
        <v>43528</v>
      </c>
      <c r="P237" s="537">
        <v>43537</v>
      </c>
      <c r="Q237" s="537">
        <v>43545</v>
      </c>
      <c r="R237" s="491" t="s">
        <v>4110</v>
      </c>
      <c r="S237" s="495"/>
      <c r="T237" s="536">
        <v>1634490</v>
      </c>
      <c r="U237" s="536">
        <v>1977732</v>
      </c>
      <c r="V237" s="1471"/>
      <c r="W237" s="1471"/>
      <c r="X237" s="1471"/>
      <c r="Y237" s="573">
        <v>43546</v>
      </c>
      <c r="Z237" s="536" t="s">
        <v>4113</v>
      </c>
      <c r="AA237" s="537">
        <v>43626</v>
      </c>
      <c r="AB237" s="537">
        <v>43629</v>
      </c>
      <c r="AC237" s="491" t="s">
        <v>4096</v>
      </c>
      <c r="AD237" s="537">
        <v>43717</v>
      </c>
      <c r="AE237" s="1525">
        <v>44782</v>
      </c>
      <c r="AF237" s="374"/>
      <c r="AG237" s="374"/>
    </row>
    <row r="238" spans="1:45">
      <c r="A238" s="1461"/>
      <c r="B238" s="530"/>
      <c r="C238" s="537">
        <v>43518</v>
      </c>
      <c r="D238" s="1373" t="s">
        <v>3989</v>
      </c>
      <c r="E238" s="491" t="s">
        <v>14</v>
      </c>
      <c r="F238" s="491" t="s">
        <v>13</v>
      </c>
      <c r="G238" s="571" t="s">
        <v>2321</v>
      </c>
      <c r="H238" s="491"/>
      <c r="I238" s="495"/>
      <c r="J238" s="491"/>
      <c r="K238" s="491" t="s">
        <v>774</v>
      </c>
      <c r="L238" s="491"/>
      <c r="M238" s="536">
        <v>384300</v>
      </c>
      <c r="N238" s="491" t="s">
        <v>112</v>
      </c>
      <c r="O238" s="537">
        <v>43528</v>
      </c>
      <c r="P238" s="537">
        <v>43535</v>
      </c>
      <c r="Q238" s="537">
        <v>43537</v>
      </c>
      <c r="R238" s="491" t="s">
        <v>2492</v>
      </c>
      <c r="S238" s="495"/>
      <c r="T238" s="536">
        <v>371752</v>
      </c>
      <c r="U238" s="536">
        <f>T238*1.21</f>
        <v>449819.92</v>
      </c>
      <c r="V238" s="1471"/>
      <c r="W238" s="1471"/>
      <c r="X238" s="1471"/>
      <c r="Y238" s="573">
        <v>43537</v>
      </c>
      <c r="Z238" s="536" t="s">
        <v>4098</v>
      </c>
      <c r="AA238" s="537">
        <v>43552</v>
      </c>
      <c r="AB238" s="537">
        <v>43563</v>
      </c>
      <c r="AC238" s="537">
        <v>43557</v>
      </c>
      <c r="AD238" s="537">
        <v>43616</v>
      </c>
      <c r="AE238" s="1102"/>
      <c r="AF238" s="374"/>
      <c r="AG238" s="374"/>
    </row>
    <row r="239" spans="1:45">
      <c r="A239" s="1461"/>
      <c r="B239" s="530"/>
      <c r="C239" s="537">
        <v>43518</v>
      </c>
      <c r="D239" s="1373" t="s">
        <v>3990</v>
      </c>
      <c r="E239" s="491" t="s">
        <v>14</v>
      </c>
      <c r="F239" s="491" t="s">
        <v>13</v>
      </c>
      <c r="G239" s="571" t="s">
        <v>3991</v>
      </c>
      <c r="H239" s="491"/>
      <c r="I239" s="495"/>
      <c r="J239" s="491"/>
      <c r="K239" s="491" t="s">
        <v>3992</v>
      </c>
      <c r="L239" s="491"/>
      <c r="M239" s="536">
        <v>934710</v>
      </c>
      <c r="N239" s="491" t="s">
        <v>112</v>
      </c>
      <c r="O239" s="537">
        <v>43528</v>
      </c>
      <c r="P239" s="537">
        <v>43536</v>
      </c>
      <c r="Q239" s="1524">
        <v>43557</v>
      </c>
      <c r="R239" s="919" t="s">
        <v>754</v>
      </c>
      <c r="S239" s="976"/>
      <c r="T239" s="1523">
        <v>964240</v>
      </c>
      <c r="U239" s="1523">
        <f>T239*1.21</f>
        <v>1166730.3999999999</v>
      </c>
      <c r="V239" s="1531"/>
      <c r="W239" s="1531"/>
      <c r="X239" s="1531"/>
      <c r="Y239" s="1532">
        <v>43557</v>
      </c>
      <c r="Z239" s="1523" t="s">
        <v>4299</v>
      </c>
      <c r="AA239" s="1524">
        <v>43578</v>
      </c>
      <c r="AB239" s="1524">
        <v>43579</v>
      </c>
      <c r="AC239" s="1524">
        <v>43943</v>
      </c>
      <c r="AD239" s="537">
        <v>44067</v>
      </c>
      <c r="AE239" s="1102"/>
      <c r="AF239" s="374"/>
      <c r="AG239" s="374"/>
    </row>
    <row r="240" spans="1:45" ht="30">
      <c r="A240" s="1461"/>
      <c r="B240" s="530"/>
      <c r="C240" s="537">
        <v>43522</v>
      </c>
      <c r="D240" s="1373" t="s">
        <v>4001</v>
      </c>
      <c r="E240" s="491" t="s">
        <v>58</v>
      </c>
      <c r="F240" s="491" t="s">
        <v>2684</v>
      </c>
      <c r="G240" s="571" t="s">
        <v>4002</v>
      </c>
      <c r="H240" s="491"/>
      <c r="I240" s="495"/>
      <c r="J240" s="491"/>
      <c r="K240" s="491" t="s">
        <v>1798</v>
      </c>
      <c r="L240" s="491" t="s">
        <v>4003</v>
      </c>
      <c r="M240" s="536">
        <v>415000</v>
      </c>
      <c r="N240" s="491" t="s">
        <v>112</v>
      </c>
      <c r="O240" s="537">
        <v>43532</v>
      </c>
      <c r="P240" s="537">
        <v>43544</v>
      </c>
      <c r="Q240" s="537">
        <v>43585</v>
      </c>
      <c r="R240" s="491" t="s">
        <v>1155</v>
      </c>
      <c r="S240" s="495"/>
      <c r="T240" s="536">
        <v>309080</v>
      </c>
      <c r="U240" s="536">
        <f>T240*1.21</f>
        <v>373986.8</v>
      </c>
      <c r="V240" s="1471"/>
      <c r="W240" s="1471"/>
      <c r="X240" s="1471"/>
      <c r="Y240" s="573">
        <v>43587</v>
      </c>
      <c r="Z240" s="1375" t="s">
        <v>4510</v>
      </c>
      <c r="AA240" s="537">
        <v>43619</v>
      </c>
      <c r="AB240" s="537">
        <v>43626</v>
      </c>
      <c r="AC240" s="537">
        <f>AA240+35</f>
        <v>43654</v>
      </c>
      <c r="AD240" s="537">
        <v>43717</v>
      </c>
      <c r="AE240" s="1374" t="s">
        <v>1875</v>
      </c>
      <c r="AF240" s="374"/>
      <c r="AG240" s="374"/>
    </row>
    <row r="241" spans="1:45" s="390" customFormat="1">
      <c r="A241" s="1467"/>
      <c r="B241" s="1102"/>
      <c r="C241" s="643">
        <v>43563</v>
      </c>
      <c r="D241" s="1491" t="s">
        <v>4294</v>
      </c>
      <c r="E241" s="639" t="s">
        <v>4295</v>
      </c>
      <c r="F241" s="639" t="s">
        <v>4296</v>
      </c>
      <c r="G241" s="1573" t="s">
        <v>4297</v>
      </c>
      <c r="H241" s="639"/>
      <c r="I241" s="1533"/>
      <c r="J241" s="639"/>
      <c r="K241" s="506" t="s">
        <v>1645</v>
      </c>
      <c r="L241" s="639"/>
      <c r="M241" s="645">
        <v>200000</v>
      </c>
      <c r="N241" s="639" t="s">
        <v>112</v>
      </c>
      <c r="O241" s="643">
        <v>43565</v>
      </c>
      <c r="P241" s="643">
        <v>43573</v>
      </c>
      <c r="Q241" s="639"/>
      <c r="R241" s="831" t="s">
        <v>4505</v>
      </c>
      <c r="S241" s="1715" t="s">
        <v>5577</v>
      </c>
      <c r="T241" s="645"/>
      <c r="U241" s="645"/>
      <c r="V241" s="1534"/>
      <c r="W241" s="1534"/>
      <c r="X241" s="1534"/>
      <c r="Y241" s="645"/>
      <c r="Z241" s="645"/>
      <c r="AA241" s="639"/>
      <c r="AB241" s="643">
        <v>43587</v>
      </c>
      <c r="AC241" s="639"/>
      <c r="AD241" s="639"/>
      <c r="AE241" s="639"/>
      <c r="AF241" s="360"/>
      <c r="AG241" s="1351"/>
      <c r="AH241" s="360"/>
      <c r="AI241" s="360"/>
      <c r="AJ241" s="360"/>
      <c r="AK241" s="360"/>
      <c r="AL241" s="360"/>
      <c r="AM241" s="360"/>
      <c r="AN241" s="360"/>
      <c r="AO241" s="360"/>
      <c r="AP241" s="360"/>
      <c r="AQ241" s="360"/>
      <c r="AR241" s="360"/>
      <c r="AS241" s="360"/>
    </row>
    <row r="242" spans="1:45" ht="15.75" thickBot="1">
      <c r="A242" s="1461"/>
      <c r="B242" s="530"/>
      <c r="C242" s="416">
        <v>43517</v>
      </c>
      <c r="D242" s="1468" t="s">
        <v>4011</v>
      </c>
      <c r="E242" s="411" t="s">
        <v>1032</v>
      </c>
      <c r="F242" s="411" t="s">
        <v>361</v>
      </c>
      <c r="G242" s="412" t="s">
        <v>4012</v>
      </c>
      <c r="H242" s="411"/>
      <c r="I242" s="630"/>
      <c r="J242" s="411"/>
      <c r="K242" s="411" t="s">
        <v>809</v>
      </c>
      <c r="L242" s="411" t="s">
        <v>4013</v>
      </c>
      <c r="M242" s="417">
        <v>430000</v>
      </c>
      <c r="N242" s="411" t="s">
        <v>112</v>
      </c>
      <c r="O242" s="416">
        <v>43535</v>
      </c>
      <c r="P242" s="416">
        <v>43545</v>
      </c>
      <c r="Q242" s="416">
        <v>43556</v>
      </c>
      <c r="R242" s="411" t="s">
        <v>4134</v>
      </c>
      <c r="S242" s="630"/>
      <c r="T242" s="417">
        <v>553228</v>
      </c>
      <c r="U242" s="417">
        <v>669405.88</v>
      </c>
      <c r="V242" s="1490"/>
      <c r="W242" s="1490"/>
      <c r="X242" s="1490"/>
      <c r="Y242" s="513">
        <v>43556</v>
      </c>
      <c r="Z242" s="417" t="s">
        <v>4175</v>
      </c>
      <c r="AA242" s="416">
        <v>43592</v>
      </c>
      <c r="AB242" s="416">
        <v>43594</v>
      </c>
      <c r="AC242" s="416">
        <f>AA242+42</f>
        <v>43634</v>
      </c>
      <c r="AD242" s="416">
        <v>43840</v>
      </c>
      <c r="AE242" s="967"/>
      <c r="AF242" s="374"/>
      <c r="AG242" s="374"/>
    </row>
    <row r="243" spans="1:45" ht="30.75" thickTop="1">
      <c r="A243" s="1461"/>
      <c r="B243" s="530"/>
      <c r="C243" s="474">
        <v>43525</v>
      </c>
      <c r="D243" s="1383" t="s">
        <v>4025</v>
      </c>
      <c r="E243" s="453" t="s">
        <v>2434</v>
      </c>
      <c r="F243" s="453" t="s">
        <v>219</v>
      </c>
      <c r="G243" s="473" t="s">
        <v>5268</v>
      </c>
      <c r="H243" s="453">
        <v>1</v>
      </c>
      <c r="I243" s="1420" t="s">
        <v>4038</v>
      </c>
      <c r="J243" s="453"/>
      <c r="K243" s="453" t="s">
        <v>642</v>
      </c>
      <c r="L243" s="453"/>
      <c r="M243" s="457">
        <v>258300</v>
      </c>
      <c r="N243" s="453" t="s">
        <v>251</v>
      </c>
      <c r="O243" s="474">
        <v>43537</v>
      </c>
      <c r="P243" s="474">
        <v>43595</v>
      </c>
      <c r="Q243" s="474">
        <v>43727</v>
      </c>
      <c r="R243" s="453" t="s">
        <v>2496</v>
      </c>
      <c r="S243" s="1420"/>
      <c r="T243" s="457">
        <v>210100</v>
      </c>
      <c r="U243" s="457">
        <v>254221</v>
      </c>
      <c r="V243" s="1474"/>
      <c r="W243" s="1474"/>
      <c r="X243" s="1474"/>
      <c r="Y243" s="570">
        <v>43727</v>
      </c>
      <c r="Z243" s="1387" t="s">
        <v>5644</v>
      </c>
      <c r="AA243" s="474">
        <v>43763</v>
      </c>
      <c r="AB243" s="474">
        <v>43776</v>
      </c>
      <c r="AC243" s="474">
        <v>44493</v>
      </c>
      <c r="AD243" s="474">
        <v>43930</v>
      </c>
      <c r="AE243" s="453" t="s">
        <v>8483</v>
      </c>
      <c r="AF243" s="1560">
        <v>44637</v>
      </c>
      <c r="AG243" s="374"/>
    </row>
    <row r="244" spans="1:45" ht="30">
      <c r="A244" s="1461"/>
      <c r="B244" s="530"/>
      <c r="C244" s="537">
        <v>43525</v>
      </c>
      <c r="D244" s="1373" t="s">
        <v>4025</v>
      </c>
      <c r="E244" s="491" t="s">
        <v>2434</v>
      </c>
      <c r="F244" s="491" t="s">
        <v>219</v>
      </c>
      <c r="G244" s="571" t="s">
        <v>5268</v>
      </c>
      <c r="H244" s="491">
        <v>2</v>
      </c>
      <c r="I244" s="495" t="s">
        <v>4039</v>
      </c>
      <c r="J244" s="491"/>
      <c r="K244" s="491" t="s">
        <v>642</v>
      </c>
      <c r="L244" s="491"/>
      <c r="M244" s="536">
        <v>2475880</v>
      </c>
      <c r="N244" s="491" t="s">
        <v>251</v>
      </c>
      <c r="O244" s="537">
        <v>43537</v>
      </c>
      <c r="P244" s="537">
        <v>43595</v>
      </c>
      <c r="Q244" s="537">
        <v>43727</v>
      </c>
      <c r="R244" s="491" t="s">
        <v>4838</v>
      </c>
      <c r="S244" s="495"/>
      <c r="T244" s="536">
        <v>2188489.4</v>
      </c>
      <c r="U244" s="536">
        <v>2648072.17</v>
      </c>
      <c r="V244" s="1471"/>
      <c r="W244" s="1471"/>
      <c r="X244" s="1471"/>
      <c r="Y244" s="573">
        <v>43727</v>
      </c>
      <c r="Z244" s="1375" t="s">
        <v>5645</v>
      </c>
      <c r="AA244" s="537">
        <v>43763</v>
      </c>
      <c r="AB244" s="537">
        <v>43776</v>
      </c>
      <c r="AC244" s="537">
        <v>44493</v>
      </c>
      <c r="AD244" s="537">
        <v>43930</v>
      </c>
      <c r="AE244" s="537">
        <v>44285</v>
      </c>
      <c r="AF244" s="1560">
        <v>44637</v>
      </c>
      <c r="AG244" s="374"/>
    </row>
    <row r="245" spans="1:45" ht="30">
      <c r="A245" s="1461"/>
      <c r="B245" s="530"/>
      <c r="C245" s="537">
        <v>43525</v>
      </c>
      <c r="D245" s="1373" t="s">
        <v>4025</v>
      </c>
      <c r="E245" s="491" t="s">
        <v>2434</v>
      </c>
      <c r="F245" s="491" t="s">
        <v>219</v>
      </c>
      <c r="G245" s="571" t="s">
        <v>5268</v>
      </c>
      <c r="H245" s="491">
        <v>3</v>
      </c>
      <c r="I245" s="495" t="s">
        <v>4040</v>
      </c>
      <c r="J245" s="491"/>
      <c r="K245" s="491" t="s">
        <v>642</v>
      </c>
      <c r="L245" s="491"/>
      <c r="M245" s="536">
        <v>339250</v>
      </c>
      <c r="N245" s="491" t="s">
        <v>251</v>
      </c>
      <c r="O245" s="537">
        <v>43537</v>
      </c>
      <c r="P245" s="537">
        <v>43595</v>
      </c>
      <c r="Q245" s="537">
        <v>43727</v>
      </c>
      <c r="R245" s="491" t="s">
        <v>3080</v>
      </c>
      <c r="S245" s="495"/>
      <c r="T245" s="536">
        <v>338022</v>
      </c>
      <c r="U245" s="536">
        <v>409006.6</v>
      </c>
      <c r="V245" s="1471"/>
      <c r="W245" s="1471"/>
      <c r="X245" s="1471"/>
      <c r="Y245" s="573">
        <v>43727</v>
      </c>
      <c r="Z245" s="1375" t="s">
        <v>5646</v>
      </c>
      <c r="AA245" s="537">
        <v>43763</v>
      </c>
      <c r="AB245" s="537">
        <v>43776</v>
      </c>
      <c r="AC245" s="537">
        <v>44493</v>
      </c>
      <c r="AD245" s="537">
        <v>43930</v>
      </c>
      <c r="AE245" s="537">
        <v>44285</v>
      </c>
      <c r="AF245" s="1560">
        <v>44637</v>
      </c>
      <c r="AG245" s="374"/>
    </row>
    <row r="246" spans="1:45" ht="30">
      <c r="A246" s="1461"/>
      <c r="B246" s="530"/>
      <c r="C246" s="537">
        <v>43525</v>
      </c>
      <c r="D246" s="1373" t="s">
        <v>4025</v>
      </c>
      <c r="E246" s="491" t="s">
        <v>2434</v>
      </c>
      <c r="F246" s="491" t="s">
        <v>219</v>
      </c>
      <c r="G246" s="571" t="s">
        <v>5268</v>
      </c>
      <c r="H246" s="491">
        <v>4</v>
      </c>
      <c r="I246" s="495" t="s">
        <v>4041</v>
      </c>
      <c r="J246" s="491"/>
      <c r="K246" s="491" t="s">
        <v>642</v>
      </c>
      <c r="L246" s="491"/>
      <c r="M246" s="536">
        <v>298310</v>
      </c>
      <c r="N246" s="491" t="s">
        <v>251</v>
      </c>
      <c r="O246" s="537">
        <v>43537</v>
      </c>
      <c r="P246" s="537">
        <v>43595</v>
      </c>
      <c r="Q246" s="537">
        <v>43727</v>
      </c>
      <c r="R246" s="491" t="s">
        <v>4839</v>
      </c>
      <c r="S246" s="495"/>
      <c r="T246" s="536">
        <v>298310</v>
      </c>
      <c r="U246" s="536">
        <v>360955.1</v>
      </c>
      <c r="V246" s="1471"/>
      <c r="W246" s="1471"/>
      <c r="X246" s="1471"/>
      <c r="Y246" s="573">
        <v>43727</v>
      </c>
      <c r="Z246" s="1375" t="s">
        <v>5647</v>
      </c>
      <c r="AA246" s="537">
        <v>43763</v>
      </c>
      <c r="AB246" s="537">
        <v>43776</v>
      </c>
      <c r="AC246" s="537">
        <v>44493</v>
      </c>
      <c r="AD246" s="537">
        <v>43930</v>
      </c>
      <c r="AE246" s="537">
        <v>44285</v>
      </c>
      <c r="AF246" s="1560">
        <v>44637</v>
      </c>
      <c r="AG246" s="374"/>
    </row>
    <row r="247" spans="1:45" ht="30">
      <c r="A247" s="1461"/>
      <c r="B247" s="530"/>
      <c r="C247" s="537">
        <v>43525</v>
      </c>
      <c r="D247" s="1373" t="s">
        <v>4025</v>
      </c>
      <c r="E247" s="491" t="s">
        <v>2434</v>
      </c>
      <c r="F247" s="491" t="s">
        <v>219</v>
      </c>
      <c r="G247" s="571" t="s">
        <v>5268</v>
      </c>
      <c r="H247" s="491">
        <v>5</v>
      </c>
      <c r="I247" s="495" t="s">
        <v>4042</v>
      </c>
      <c r="J247" s="491"/>
      <c r="K247" s="491" t="s">
        <v>642</v>
      </c>
      <c r="L247" s="491"/>
      <c r="M247" s="536">
        <v>331240</v>
      </c>
      <c r="N247" s="491" t="s">
        <v>251</v>
      </c>
      <c r="O247" s="537">
        <v>43537</v>
      </c>
      <c r="P247" s="537">
        <v>43595</v>
      </c>
      <c r="Q247" s="537">
        <v>43727</v>
      </c>
      <c r="R247" s="491" t="s">
        <v>5209</v>
      </c>
      <c r="S247" s="495"/>
      <c r="T247" s="536">
        <v>328783.55</v>
      </c>
      <c r="U247" s="536">
        <v>397828.1</v>
      </c>
      <c r="V247" s="1471"/>
      <c r="W247" s="1471"/>
      <c r="X247" s="1471"/>
      <c r="Y247" s="573">
        <v>43727</v>
      </c>
      <c r="Z247" s="1375" t="s">
        <v>5648</v>
      </c>
      <c r="AA247" s="537">
        <v>43763</v>
      </c>
      <c r="AB247" s="537">
        <v>43776</v>
      </c>
      <c r="AC247" s="537">
        <v>44493</v>
      </c>
      <c r="AD247" s="491" t="s">
        <v>6603</v>
      </c>
      <c r="AE247" s="537">
        <v>44285</v>
      </c>
      <c r="AF247" s="1560">
        <v>44637</v>
      </c>
      <c r="AG247" s="374"/>
    </row>
    <row r="248" spans="1:45">
      <c r="A248" s="1461"/>
      <c r="B248" s="530"/>
      <c r="C248" s="510">
        <v>43525</v>
      </c>
      <c r="D248" s="1382" t="s">
        <v>4025</v>
      </c>
      <c r="E248" s="506" t="s">
        <v>2434</v>
      </c>
      <c r="F248" s="506" t="s">
        <v>219</v>
      </c>
      <c r="G248" s="507" t="s">
        <v>5268</v>
      </c>
      <c r="H248" s="506">
        <v>6</v>
      </c>
      <c r="I248" s="548" t="s">
        <v>4043</v>
      </c>
      <c r="J248" s="506"/>
      <c r="K248" s="506" t="s">
        <v>642</v>
      </c>
      <c r="L248" s="506"/>
      <c r="M248" s="511">
        <v>730380</v>
      </c>
      <c r="N248" s="506" t="s">
        <v>251</v>
      </c>
      <c r="O248" s="510">
        <v>43537</v>
      </c>
      <c r="P248" s="510">
        <v>43595</v>
      </c>
      <c r="Q248" s="506"/>
      <c r="R248" s="514" t="s">
        <v>2635</v>
      </c>
      <c r="S248" s="736"/>
      <c r="T248" s="511"/>
      <c r="U248" s="511"/>
      <c r="V248" s="1470"/>
      <c r="W248" s="1470"/>
      <c r="X248" s="1470"/>
      <c r="Y248" s="511"/>
      <c r="Z248" s="1561"/>
      <c r="AA248" s="506"/>
      <c r="AB248" s="510">
        <v>43725</v>
      </c>
      <c r="AC248" s="506" t="s">
        <v>5384</v>
      </c>
      <c r="AD248" s="548"/>
      <c r="AE248" s="506"/>
    </row>
    <row r="249" spans="1:45" ht="30.75" thickBot="1">
      <c r="A249" s="1461"/>
      <c r="B249" s="530"/>
      <c r="C249" s="1380">
        <v>43525</v>
      </c>
      <c r="D249" s="1377" t="s">
        <v>4025</v>
      </c>
      <c r="E249" s="1376" t="s">
        <v>2434</v>
      </c>
      <c r="F249" s="1376" t="s">
        <v>219</v>
      </c>
      <c r="G249" s="1378" t="s">
        <v>5268</v>
      </c>
      <c r="H249" s="1376">
        <v>7</v>
      </c>
      <c r="I249" s="1421" t="s">
        <v>4044</v>
      </c>
      <c r="J249" s="1376"/>
      <c r="K249" s="1376" t="s">
        <v>642</v>
      </c>
      <c r="L249" s="1376"/>
      <c r="M249" s="1379">
        <v>609420</v>
      </c>
      <c r="N249" s="1376" t="s">
        <v>251</v>
      </c>
      <c r="O249" s="1380">
        <v>43537</v>
      </c>
      <c r="P249" s="1380">
        <v>43595</v>
      </c>
      <c r="Q249" s="1380">
        <v>43727</v>
      </c>
      <c r="R249" s="1376" t="s">
        <v>4839</v>
      </c>
      <c r="S249" s="1421"/>
      <c r="T249" s="1379">
        <v>609420</v>
      </c>
      <c r="U249" s="1379">
        <v>737398.2</v>
      </c>
      <c r="V249" s="1475"/>
      <c r="W249" s="1475"/>
      <c r="X249" s="1475"/>
      <c r="Y249" s="1388">
        <v>43727</v>
      </c>
      <c r="Z249" s="1389" t="s">
        <v>5649</v>
      </c>
      <c r="AA249" s="1380">
        <v>43763</v>
      </c>
      <c r="AB249" s="1380">
        <v>43776</v>
      </c>
      <c r="AC249" s="1380">
        <v>44493</v>
      </c>
      <c r="AD249" s="1376" t="s">
        <v>6603</v>
      </c>
      <c r="AE249" s="1380">
        <v>44285</v>
      </c>
      <c r="AF249" s="1560">
        <v>44637</v>
      </c>
      <c r="AG249" s="374"/>
    </row>
    <row r="250" spans="1:45" ht="16.5" thickTop="1" thickBot="1">
      <c r="A250" s="1461"/>
      <c r="B250" s="530"/>
      <c r="C250" s="498">
        <v>43522</v>
      </c>
      <c r="D250" s="1544" t="s">
        <v>4026</v>
      </c>
      <c r="E250" s="232" t="s">
        <v>2434</v>
      </c>
      <c r="F250" s="232" t="s">
        <v>219</v>
      </c>
      <c r="G250" s="274" t="s">
        <v>4027</v>
      </c>
      <c r="H250" s="232"/>
      <c r="I250" s="669"/>
      <c r="J250" s="232"/>
      <c r="K250" s="232" t="s">
        <v>3890</v>
      </c>
      <c r="L250" s="232"/>
      <c r="M250" s="499">
        <v>1104640</v>
      </c>
      <c r="N250" s="232" t="s">
        <v>112</v>
      </c>
      <c r="O250" s="498">
        <v>43536</v>
      </c>
      <c r="P250" s="498">
        <v>43549</v>
      </c>
      <c r="Q250" s="498">
        <v>43556</v>
      </c>
      <c r="R250" s="232" t="s">
        <v>3154</v>
      </c>
      <c r="S250" s="669"/>
      <c r="T250" s="499">
        <v>1104637.4399999999</v>
      </c>
      <c r="U250" s="499">
        <v>1270333.06</v>
      </c>
      <c r="V250" s="1545"/>
      <c r="W250" s="1545"/>
      <c r="X250" s="1545"/>
      <c r="Y250" s="682">
        <v>43556</v>
      </c>
      <c r="Z250" s="499" t="s">
        <v>4173</v>
      </c>
      <c r="AA250" s="498">
        <v>43572</v>
      </c>
      <c r="AB250" s="498">
        <v>43579</v>
      </c>
      <c r="AC250" s="498">
        <v>44302</v>
      </c>
      <c r="AD250" s="498">
        <v>43930</v>
      </c>
      <c r="AE250" s="498">
        <v>44285</v>
      </c>
      <c r="AF250" s="1560">
        <v>44637</v>
      </c>
      <c r="AG250" s="374"/>
    </row>
    <row r="251" spans="1:45" s="390" customFormat="1" ht="15.75" thickTop="1">
      <c r="A251" s="1467"/>
      <c r="B251" s="1102"/>
      <c r="C251" s="474">
        <v>43528</v>
      </c>
      <c r="D251" s="1383" t="s">
        <v>4028</v>
      </c>
      <c r="E251" s="453" t="s">
        <v>69</v>
      </c>
      <c r="F251" s="453" t="s">
        <v>70</v>
      </c>
      <c r="G251" s="473" t="s">
        <v>4029</v>
      </c>
      <c r="H251" s="453">
        <v>1</v>
      </c>
      <c r="I251" s="1420" t="s">
        <v>4030</v>
      </c>
      <c r="J251" s="453" t="s">
        <v>4031</v>
      </c>
      <c r="K251" s="453" t="s">
        <v>68</v>
      </c>
      <c r="L251" s="453"/>
      <c r="M251" s="457">
        <v>33063300</v>
      </c>
      <c r="N251" s="453" t="s">
        <v>251</v>
      </c>
      <c r="O251" s="474">
        <v>43532</v>
      </c>
      <c r="P251" s="474">
        <v>43567</v>
      </c>
      <c r="Q251" s="474">
        <v>43579</v>
      </c>
      <c r="R251" s="453" t="s">
        <v>576</v>
      </c>
      <c r="S251" s="1420"/>
      <c r="T251" s="457">
        <v>22366350</v>
      </c>
      <c r="U251" s="457">
        <v>24602985</v>
      </c>
      <c r="V251" s="1474"/>
      <c r="W251" s="1474"/>
      <c r="X251" s="1474"/>
      <c r="Y251" s="570">
        <v>43580</v>
      </c>
      <c r="Z251" s="457" t="s">
        <v>4480</v>
      </c>
      <c r="AA251" s="474">
        <v>43627</v>
      </c>
      <c r="AB251" s="474">
        <v>43630</v>
      </c>
      <c r="AC251" s="474">
        <v>44722</v>
      </c>
      <c r="AD251" s="474">
        <v>43915</v>
      </c>
      <c r="AE251" s="474">
        <v>44279</v>
      </c>
      <c r="AF251" s="1560">
        <v>44645</v>
      </c>
      <c r="AG251" s="388" t="s">
        <v>8971</v>
      </c>
      <c r="AH251" s="360"/>
      <c r="AI251" s="360"/>
      <c r="AJ251" s="360"/>
      <c r="AK251" s="360"/>
      <c r="AL251" s="360"/>
      <c r="AM251" s="360"/>
      <c r="AN251" s="360"/>
      <c r="AO251" s="360"/>
      <c r="AP251" s="360"/>
      <c r="AQ251" s="360"/>
      <c r="AR251" s="374"/>
      <c r="AS251" s="360"/>
    </row>
    <row r="252" spans="1:45" s="390" customFormat="1">
      <c r="A252" s="1467"/>
      <c r="B252" s="1102"/>
      <c r="C252" s="510">
        <v>43528</v>
      </c>
      <c r="D252" s="1382" t="s">
        <v>4028</v>
      </c>
      <c r="E252" s="506" t="s">
        <v>69</v>
      </c>
      <c r="F252" s="506" t="s">
        <v>70</v>
      </c>
      <c r="G252" s="507" t="s">
        <v>4029</v>
      </c>
      <c r="H252" s="506">
        <v>2</v>
      </c>
      <c r="I252" s="548" t="s">
        <v>4032</v>
      </c>
      <c r="J252" s="506" t="s">
        <v>4033</v>
      </c>
      <c r="K252" s="506" t="s">
        <v>68</v>
      </c>
      <c r="L252" s="506"/>
      <c r="M252" s="511">
        <v>8727264</v>
      </c>
      <c r="N252" s="506" t="s">
        <v>251</v>
      </c>
      <c r="O252" s="510">
        <v>43532</v>
      </c>
      <c r="P252" s="510">
        <v>43567</v>
      </c>
      <c r="Q252" s="506"/>
      <c r="R252" s="514" t="s">
        <v>5533</v>
      </c>
      <c r="S252" s="736" t="s">
        <v>5505</v>
      </c>
      <c r="T252" s="511"/>
      <c r="U252" s="511"/>
      <c r="V252" s="1470"/>
      <c r="W252" s="1470"/>
      <c r="X252" s="1470"/>
      <c r="Y252" s="511"/>
      <c r="Z252" s="511"/>
      <c r="AA252" s="506"/>
      <c r="AB252" s="510">
        <v>43607</v>
      </c>
      <c r="AC252" s="506"/>
      <c r="AD252" s="506"/>
      <c r="AE252" s="506"/>
      <c r="AF252" s="360"/>
      <c r="AG252" s="360"/>
      <c r="AH252" s="360"/>
      <c r="AI252" s="360"/>
      <c r="AJ252" s="360"/>
      <c r="AK252" s="360"/>
      <c r="AL252" s="360"/>
      <c r="AM252" s="360"/>
      <c r="AN252" s="360"/>
      <c r="AO252" s="360"/>
      <c r="AP252" s="360"/>
      <c r="AQ252" s="360"/>
      <c r="AR252" s="360"/>
      <c r="AS252" s="360"/>
    </row>
    <row r="253" spans="1:45" s="390" customFormat="1">
      <c r="A253" s="1467"/>
      <c r="B253" s="1102"/>
      <c r="C253" s="537">
        <v>43528</v>
      </c>
      <c r="D253" s="1373" t="s">
        <v>4028</v>
      </c>
      <c r="E253" s="491" t="s">
        <v>69</v>
      </c>
      <c r="F253" s="491" t="s">
        <v>70</v>
      </c>
      <c r="G253" s="571" t="s">
        <v>4029</v>
      </c>
      <c r="H253" s="491">
        <v>3</v>
      </c>
      <c r="I253" s="495" t="s">
        <v>4034</v>
      </c>
      <c r="J253" s="491" t="s">
        <v>4035</v>
      </c>
      <c r="K253" s="491" t="s">
        <v>68</v>
      </c>
      <c r="L253" s="491"/>
      <c r="M253" s="536">
        <v>1049967</v>
      </c>
      <c r="N253" s="491" t="s">
        <v>251</v>
      </c>
      <c r="O253" s="537">
        <v>43532</v>
      </c>
      <c r="P253" s="537">
        <v>43567</v>
      </c>
      <c r="Q253" s="537">
        <v>43579</v>
      </c>
      <c r="R253" s="491" t="s">
        <v>2548</v>
      </c>
      <c r="S253" s="495"/>
      <c r="T253" s="536">
        <v>1049966.58</v>
      </c>
      <c r="U253" s="536">
        <v>1154963.24</v>
      </c>
      <c r="V253" s="1471"/>
      <c r="W253" s="1471"/>
      <c r="X253" s="1471"/>
      <c r="Y253" s="573">
        <v>43580</v>
      </c>
      <c r="Z253" s="536" t="s">
        <v>4481</v>
      </c>
      <c r="AA253" s="537">
        <v>43627</v>
      </c>
      <c r="AB253" s="537">
        <v>43630</v>
      </c>
      <c r="AC253" s="537">
        <v>44722</v>
      </c>
      <c r="AD253" s="537">
        <v>43915</v>
      </c>
      <c r="AE253" s="537">
        <v>44279</v>
      </c>
      <c r="AF253" s="1994" t="s">
        <v>7102</v>
      </c>
      <c r="AG253" s="360"/>
      <c r="AH253" s="360"/>
      <c r="AI253" s="360"/>
      <c r="AJ253" s="360"/>
      <c r="AK253" s="360"/>
      <c r="AL253" s="360"/>
      <c r="AM253" s="360"/>
      <c r="AN253" s="360"/>
      <c r="AO253" s="360"/>
      <c r="AP253" s="360"/>
      <c r="AQ253" s="360"/>
      <c r="AR253" s="374"/>
      <c r="AS253" s="360"/>
    </row>
    <row r="254" spans="1:45" s="390" customFormat="1" ht="15.75" thickBot="1">
      <c r="A254" s="1467"/>
      <c r="B254" s="1102"/>
      <c r="C254" s="1380">
        <v>43528</v>
      </c>
      <c r="D254" s="1377" t="s">
        <v>4028</v>
      </c>
      <c r="E254" s="1376" t="s">
        <v>69</v>
      </c>
      <c r="F254" s="1376" t="s">
        <v>70</v>
      </c>
      <c r="G254" s="1378" t="s">
        <v>4029</v>
      </c>
      <c r="H254" s="1376">
        <v>4</v>
      </c>
      <c r="I254" s="1421" t="s">
        <v>4036</v>
      </c>
      <c r="J254" s="1376" t="s">
        <v>4037</v>
      </c>
      <c r="K254" s="1376" t="s">
        <v>68</v>
      </c>
      <c r="L254" s="1376"/>
      <c r="M254" s="1379">
        <v>15459426</v>
      </c>
      <c r="N254" s="1376" t="s">
        <v>251</v>
      </c>
      <c r="O254" s="1380">
        <v>43532</v>
      </c>
      <c r="P254" s="1380">
        <v>43567</v>
      </c>
      <c r="Q254" s="1380">
        <v>43579</v>
      </c>
      <c r="R254" s="1376" t="s">
        <v>1319</v>
      </c>
      <c r="S254" s="1421"/>
      <c r="T254" s="1379">
        <v>13071596.73</v>
      </c>
      <c r="U254" s="1379">
        <v>14378756.4</v>
      </c>
      <c r="V254" s="1475"/>
      <c r="W254" s="1475"/>
      <c r="X254" s="1475"/>
      <c r="Y254" s="1388">
        <v>43580</v>
      </c>
      <c r="Z254" s="1379" t="s">
        <v>4482</v>
      </c>
      <c r="AA254" s="1380">
        <v>43627</v>
      </c>
      <c r="AB254" s="1380">
        <v>43630</v>
      </c>
      <c r="AC254" s="1380">
        <v>44722</v>
      </c>
      <c r="AD254" s="1380">
        <v>43915</v>
      </c>
      <c r="AE254" s="1380">
        <v>44279</v>
      </c>
      <c r="AF254" s="1560">
        <v>44645</v>
      </c>
      <c r="AG254" s="388" t="s">
        <v>8971</v>
      </c>
      <c r="AH254" s="360"/>
      <c r="AI254" s="360"/>
      <c r="AJ254" s="360"/>
      <c r="AK254" s="360"/>
      <c r="AL254" s="360"/>
      <c r="AM254" s="360"/>
      <c r="AN254" s="360"/>
      <c r="AO254" s="360"/>
      <c r="AP254" s="360"/>
      <c r="AQ254" s="360"/>
      <c r="AR254" s="374"/>
      <c r="AS254" s="360"/>
    </row>
    <row r="255" spans="1:45" ht="30.75" thickTop="1">
      <c r="A255" s="1461"/>
      <c r="B255" s="530"/>
      <c r="C255" s="365">
        <v>43528</v>
      </c>
      <c r="D255" s="1397" t="s">
        <v>4045</v>
      </c>
      <c r="E255" s="1570" t="s">
        <v>58</v>
      </c>
      <c r="F255" s="1570" t="s">
        <v>2684</v>
      </c>
      <c r="G255" s="1563" t="s">
        <v>4046</v>
      </c>
      <c r="H255" s="1570"/>
      <c r="I255" s="1571"/>
      <c r="J255" s="1570"/>
      <c r="K255" s="1570" t="s">
        <v>786</v>
      </c>
      <c r="L255" s="1570" t="s">
        <v>4047</v>
      </c>
      <c r="M255" s="364">
        <v>870000</v>
      </c>
      <c r="N255" s="1570" t="s">
        <v>112</v>
      </c>
      <c r="O255" s="365">
        <v>43536</v>
      </c>
      <c r="P255" s="365">
        <v>43544</v>
      </c>
      <c r="Q255" s="365">
        <v>43578</v>
      </c>
      <c r="R255" s="1791" t="s">
        <v>637</v>
      </c>
      <c r="S255" s="1705"/>
      <c r="T255" s="364">
        <v>843740</v>
      </c>
      <c r="U255" s="364">
        <f>T255*1.21</f>
        <v>1020925.4</v>
      </c>
      <c r="V255" s="1473"/>
      <c r="W255" s="1473"/>
      <c r="X255" s="1473"/>
      <c r="Y255" s="681">
        <v>43578</v>
      </c>
      <c r="Z255" s="1417" t="s">
        <v>4463</v>
      </c>
      <c r="AA255" s="365">
        <v>43641</v>
      </c>
      <c r="AB255" s="365">
        <v>43644</v>
      </c>
      <c r="AC255" s="365">
        <f>AA255+84</f>
        <v>43725</v>
      </c>
      <c r="AD255" s="365">
        <v>44244</v>
      </c>
      <c r="AE255" s="451" t="s">
        <v>1875</v>
      </c>
      <c r="AF255" s="374"/>
      <c r="AG255" s="374"/>
    </row>
    <row r="256" spans="1:45">
      <c r="A256" s="1461"/>
      <c r="B256" s="530"/>
      <c r="C256" s="506" t="s">
        <v>4055</v>
      </c>
      <c r="D256" s="1382" t="s">
        <v>4056</v>
      </c>
      <c r="E256" s="506" t="s">
        <v>1700</v>
      </c>
      <c r="F256" s="506" t="s">
        <v>6206</v>
      </c>
      <c r="G256" s="507" t="s">
        <v>4057</v>
      </c>
      <c r="H256" s="506"/>
      <c r="I256" s="548"/>
      <c r="J256" s="506"/>
      <c r="K256" s="506" t="s">
        <v>780</v>
      </c>
      <c r="L256" s="506" t="s">
        <v>4058</v>
      </c>
      <c r="M256" s="511">
        <v>101429.75</v>
      </c>
      <c r="N256" s="506" t="s">
        <v>251</v>
      </c>
      <c r="O256" s="510">
        <v>43552</v>
      </c>
      <c r="P256" s="510">
        <v>43585</v>
      </c>
      <c r="Q256" s="506"/>
      <c r="R256" s="514" t="s">
        <v>304</v>
      </c>
      <c r="S256" s="1713" t="s">
        <v>5578</v>
      </c>
      <c r="T256" s="511"/>
      <c r="U256" s="511"/>
      <c r="V256" s="1470"/>
      <c r="W256" s="1470"/>
      <c r="X256" s="1470"/>
      <c r="Y256" s="511"/>
      <c r="Z256" s="511"/>
      <c r="AA256" s="506"/>
      <c r="AB256" s="510">
        <v>43588</v>
      </c>
      <c r="AC256" s="506"/>
      <c r="AD256" s="506"/>
      <c r="AE256" s="506"/>
    </row>
    <row r="257" spans="1:35" ht="30">
      <c r="A257" s="1461"/>
      <c r="B257" s="530"/>
      <c r="C257" s="491" t="s">
        <v>4055</v>
      </c>
      <c r="D257" s="1373" t="s">
        <v>4059</v>
      </c>
      <c r="E257" s="491" t="s">
        <v>1700</v>
      </c>
      <c r="F257" s="491" t="s">
        <v>6206</v>
      </c>
      <c r="G257" s="571" t="s">
        <v>4060</v>
      </c>
      <c r="H257" s="491"/>
      <c r="I257" s="495"/>
      <c r="J257" s="491"/>
      <c r="K257" s="491" t="s">
        <v>780</v>
      </c>
      <c r="L257" s="491" t="s">
        <v>4061</v>
      </c>
      <c r="M257" s="536">
        <v>543831</v>
      </c>
      <c r="N257" s="491" t="s">
        <v>251</v>
      </c>
      <c r="O257" s="537">
        <v>43559</v>
      </c>
      <c r="P257" s="537">
        <v>43591</v>
      </c>
      <c r="Q257" s="537">
        <v>43662</v>
      </c>
      <c r="R257" s="491" t="s">
        <v>342</v>
      </c>
      <c r="S257" s="495"/>
      <c r="T257" s="536">
        <v>590200</v>
      </c>
      <c r="U257" s="536">
        <v>714142</v>
      </c>
      <c r="V257" s="1471"/>
      <c r="W257" s="1471"/>
      <c r="X257" s="1471"/>
      <c r="Y257" s="573">
        <v>43663</v>
      </c>
      <c r="Z257" s="1375" t="s">
        <v>5138</v>
      </c>
      <c r="AA257" s="537">
        <v>43696</v>
      </c>
      <c r="AB257" s="537">
        <v>43699</v>
      </c>
      <c r="AC257" s="537">
        <f>AA257+56</f>
        <v>43752</v>
      </c>
      <c r="AD257" s="537">
        <v>43795</v>
      </c>
      <c r="AE257" s="1374" t="s">
        <v>1875</v>
      </c>
      <c r="AF257" s="374"/>
      <c r="AG257" s="374"/>
    </row>
    <row r="258" spans="1:35" ht="15.75" thickBot="1">
      <c r="A258" s="1461"/>
      <c r="B258" s="530"/>
      <c r="C258" s="639" t="s">
        <v>4055</v>
      </c>
      <c r="D258" s="1491" t="s">
        <v>4062</v>
      </c>
      <c r="E258" s="639" t="s">
        <v>1700</v>
      </c>
      <c r="F258" s="639" t="s">
        <v>6206</v>
      </c>
      <c r="G258" s="640" t="s">
        <v>4816</v>
      </c>
      <c r="H258" s="639"/>
      <c r="I258" s="1533"/>
      <c r="J258" s="639"/>
      <c r="K258" s="639" t="s">
        <v>86</v>
      </c>
      <c r="L258" s="639" t="s">
        <v>3319</v>
      </c>
      <c r="M258" s="645">
        <v>716200</v>
      </c>
      <c r="N258" s="639" t="s">
        <v>251</v>
      </c>
      <c r="O258" s="643">
        <v>43552</v>
      </c>
      <c r="P258" s="643">
        <v>43591</v>
      </c>
      <c r="Q258" s="639"/>
      <c r="R258" s="831" t="s">
        <v>4817</v>
      </c>
      <c r="S258" s="1715" t="s">
        <v>4856</v>
      </c>
      <c r="T258" s="645"/>
      <c r="U258" s="645"/>
      <c r="V258" s="1534"/>
      <c r="W258" s="1534"/>
      <c r="X258" s="1534"/>
      <c r="Y258" s="645"/>
      <c r="Z258" s="645"/>
      <c r="AA258" s="639"/>
      <c r="AB258" s="643">
        <v>43614</v>
      </c>
      <c r="AC258" s="639"/>
      <c r="AD258" s="639"/>
      <c r="AE258" s="639"/>
    </row>
    <row r="259" spans="1:35" ht="15.75" thickTop="1">
      <c r="A259" s="1461"/>
      <c r="B259" s="530"/>
      <c r="C259" s="474">
        <v>43532</v>
      </c>
      <c r="D259" s="1383" t="s">
        <v>4069</v>
      </c>
      <c r="E259" s="453" t="s">
        <v>3678</v>
      </c>
      <c r="F259" s="453" t="s">
        <v>918</v>
      </c>
      <c r="G259" s="713" t="s">
        <v>4070</v>
      </c>
      <c r="H259" s="453">
        <v>1</v>
      </c>
      <c r="I259" s="1637" t="s">
        <v>4071</v>
      </c>
      <c r="J259" s="453"/>
      <c r="K259" s="453" t="s">
        <v>4072</v>
      </c>
      <c r="L259" s="453"/>
      <c r="M259" s="457">
        <v>13500000</v>
      </c>
      <c r="N259" s="453" t="s">
        <v>251</v>
      </c>
      <c r="O259" s="474">
        <v>43581</v>
      </c>
      <c r="P259" s="474">
        <v>43621</v>
      </c>
      <c r="Q259" s="474">
        <v>43670</v>
      </c>
      <c r="R259" s="453" t="s">
        <v>5167</v>
      </c>
      <c r="S259" s="1420"/>
      <c r="T259" s="457">
        <v>13350000</v>
      </c>
      <c r="U259" s="457">
        <v>16153500</v>
      </c>
      <c r="V259" s="1474"/>
      <c r="W259" s="1474"/>
      <c r="X259" s="1474"/>
      <c r="Y259" s="570">
        <v>43671</v>
      </c>
      <c r="Z259" s="457" t="s">
        <v>5168</v>
      </c>
      <c r="AA259" s="474">
        <v>43705</v>
      </c>
      <c r="AB259" s="474">
        <v>43710</v>
      </c>
      <c r="AC259" s="474">
        <v>45531</v>
      </c>
      <c r="AD259" s="474">
        <v>43892</v>
      </c>
      <c r="AE259" s="1841">
        <v>44872</v>
      </c>
      <c r="AH259" s="360"/>
      <c r="AI259" s="2172"/>
    </row>
    <row r="260" spans="1:35" ht="15.75" thickBot="1">
      <c r="A260" s="1461"/>
      <c r="B260" s="530"/>
      <c r="C260" s="1380">
        <v>43532</v>
      </c>
      <c r="D260" s="1377" t="s">
        <v>4069</v>
      </c>
      <c r="E260" s="1376" t="s">
        <v>3678</v>
      </c>
      <c r="F260" s="1376" t="s">
        <v>918</v>
      </c>
      <c r="G260" s="1378" t="s">
        <v>4070</v>
      </c>
      <c r="H260" s="1376">
        <v>2</v>
      </c>
      <c r="I260" s="1421" t="s">
        <v>4073</v>
      </c>
      <c r="J260" s="1376"/>
      <c r="K260" s="1376" t="s">
        <v>4072</v>
      </c>
      <c r="L260" s="1376"/>
      <c r="M260" s="1379">
        <v>27000000</v>
      </c>
      <c r="N260" s="1376" t="s">
        <v>251</v>
      </c>
      <c r="O260" s="1380">
        <v>43581</v>
      </c>
      <c r="P260" s="1380">
        <v>43621</v>
      </c>
      <c r="Q260" s="1380">
        <v>43670</v>
      </c>
      <c r="R260" s="1376" t="s">
        <v>5167</v>
      </c>
      <c r="S260" s="1421"/>
      <c r="T260" s="1379">
        <v>6723600</v>
      </c>
      <c r="U260" s="1379">
        <v>8135556</v>
      </c>
      <c r="V260" s="1475"/>
      <c r="W260" s="1475"/>
      <c r="X260" s="1475"/>
      <c r="Y260" s="1388">
        <v>43671</v>
      </c>
      <c r="Z260" s="1379" t="s">
        <v>5169</v>
      </c>
      <c r="AA260" s="1380">
        <v>43705</v>
      </c>
      <c r="AB260" s="1380">
        <v>43710</v>
      </c>
      <c r="AC260" s="1380">
        <v>45531</v>
      </c>
      <c r="AD260" s="1380">
        <v>43892</v>
      </c>
      <c r="AE260" s="1974">
        <v>44865</v>
      </c>
      <c r="AH260" s="360"/>
      <c r="AI260" s="360"/>
    </row>
    <row r="261" spans="1:35" ht="16.5" thickTop="1" thickBot="1">
      <c r="A261" s="1461"/>
      <c r="B261" s="530"/>
      <c r="C261" s="1539">
        <v>43531</v>
      </c>
      <c r="D261" s="1540" t="s">
        <v>4076</v>
      </c>
      <c r="E261" s="185" t="s">
        <v>14</v>
      </c>
      <c r="F261" s="185" t="s">
        <v>13</v>
      </c>
      <c r="G261" s="282" t="s">
        <v>4077</v>
      </c>
      <c r="H261" s="185"/>
      <c r="I261" s="1541"/>
      <c r="J261" s="185"/>
      <c r="K261" s="185" t="s">
        <v>2055</v>
      </c>
      <c r="L261" s="185" t="s">
        <v>3566</v>
      </c>
      <c r="M261" s="1542">
        <v>266640</v>
      </c>
      <c r="N261" s="185" t="s">
        <v>112</v>
      </c>
      <c r="O261" s="1539">
        <v>43544</v>
      </c>
      <c r="P261" s="1539">
        <v>43550</v>
      </c>
      <c r="Q261" s="185"/>
      <c r="R261" s="1795" t="s">
        <v>242</v>
      </c>
      <c r="S261" s="1716" t="s">
        <v>4725</v>
      </c>
      <c r="T261" s="1542"/>
      <c r="U261" s="1542"/>
      <c r="V261" s="1543"/>
      <c r="W261" s="1543"/>
      <c r="X261" s="1543"/>
      <c r="Y261" s="1542"/>
      <c r="Z261" s="1542"/>
      <c r="AA261" s="185"/>
      <c r="AB261" s="1539">
        <v>43551</v>
      </c>
      <c r="AC261" s="185"/>
      <c r="AD261" s="185"/>
      <c r="AE261" s="185"/>
    </row>
    <row r="262" spans="1:35" ht="30.75" thickTop="1">
      <c r="A262" s="1461"/>
      <c r="B262" s="530"/>
      <c r="C262" s="474">
        <v>43531</v>
      </c>
      <c r="D262" s="1383" t="s">
        <v>4078</v>
      </c>
      <c r="E262" s="453" t="s">
        <v>2434</v>
      </c>
      <c r="F262" s="453" t="s">
        <v>219</v>
      </c>
      <c r="G262" s="473" t="s">
        <v>4079</v>
      </c>
      <c r="H262" s="453">
        <v>1</v>
      </c>
      <c r="I262" s="1420" t="s">
        <v>4086</v>
      </c>
      <c r="J262" s="453"/>
      <c r="K262" s="453" t="s">
        <v>642</v>
      </c>
      <c r="L262" s="453"/>
      <c r="M262" s="457">
        <v>568000</v>
      </c>
      <c r="N262" s="453" t="s">
        <v>216</v>
      </c>
      <c r="O262" s="474">
        <v>43539</v>
      </c>
      <c r="P262" s="474">
        <v>43560</v>
      </c>
      <c r="Q262" s="474">
        <v>43732</v>
      </c>
      <c r="R262" s="453" t="s">
        <v>3080</v>
      </c>
      <c r="S262" s="1420"/>
      <c r="T262" s="457">
        <v>567900</v>
      </c>
      <c r="U262" s="457">
        <v>687159</v>
      </c>
      <c r="V262" s="1474"/>
      <c r="W262" s="1474"/>
      <c r="X262" s="1474"/>
      <c r="Y262" s="570">
        <v>43733</v>
      </c>
      <c r="Z262" s="1387" t="s">
        <v>5703</v>
      </c>
      <c r="AA262" s="474">
        <v>43770</v>
      </c>
      <c r="AB262" s="474">
        <v>43776</v>
      </c>
      <c r="AC262" s="474">
        <v>44500</v>
      </c>
      <c r="AD262" s="474">
        <v>43930</v>
      </c>
      <c r="AE262" s="474">
        <v>44285</v>
      </c>
      <c r="AF262" s="1560">
        <v>44637</v>
      </c>
      <c r="AG262" s="374"/>
    </row>
    <row r="263" spans="1:35" ht="30">
      <c r="A263" s="1461"/>
      <c r="B263" s="530"/>
      <c r="C263" s="537">
        <v>43531</v>
      </c>
      <c r="D263" s="1373" t="s">
        <v>4078</v>
      </c>
      <c r="E263" s="491" t="s">
        <v>2434</v>
      </c>
      <c r="F263" s="491" t="s">
        <v>219</v>
      </c>
      <c r="G263" s="571" t="s">
        <v>4079</v>
      </c>
      <c r="H263" s="491">
        <v>2</v>
      </c>
      <c r="I263" s="495" t="s">
        <v>4087</v>
      </c>
      <c r="J263" s="491"/>
      <c r="K263" s="491" t="s">
        <v>642</v>
      </c>
      <c r="L263" s="491"/>
      <c r="M263" s="536">
        <v>1066200</v>
      </c>
      <c r="N263" s="491" t="s">
        <v>216</v>
      </c>
      <c r="O263" s="537">
        <v>43539</v>
      </c>
      <c r="P263" s="537">
        <v>43560</v>
      </c>
      <c r="Q263" s="537">
        <v>43732</v>
      </c>
      <c r="R263" s="491" t="s">
        <v>576</v>
      </c>
      <c r="S263" s="495"/>
      <c r="T263" s="536">
        <v>840000</v>
      </c>
      <c r="U263" s="536">
        <v>1016400</v>
      </c>
      <c r="V263" s="1471"/>
      <c r="W263" s="1471"/>
      <c r="X263" s="1471"/>
      <c r="Y263" s="573">
        <v>43733</v>
      </c>
      <c r="Z263" s="1375" t="s">
        <v>5704</v>
      </c>
      <c r="AA263" s="537">
        <v>43770</v>
      </c>
      <c r="AB263" s="537">
        <v>43776</v>
      </c>
      <c r="AC263" s="537">
        <v>44500</v>
      </c>
      <c r="AD263" s="537">
        <v>43930</v>
      </c>
      <c r="AE263" s="537">
        <v>44285</v>
      </c>
      <c r="AF263" s="1560">
        <v>44637</v>
      </c>
      <c r="AG263" s="374"/>
    </row>
    <row r="264" spans="1:35" ht="30">
      <c r="A264" s="1461"/>
      <c r="B264" s="530"/>
      <c r="C264" s="537">
        <v>43531</v>
      </c>
      <c r="D264" s="1373" t="s">
        <v>4078</v>
      </c>
      <c r="E264" s="491" t="s">
        <v>2434</v>
      </c>
      <c r="F264" s="491" t="s">
        <v>219</v>
      </c>
      <c r="G264" s="571" t="s">
        <v>4079</v>
      </c>
      <c r="H264" s="491">
        <v>3</v>
      </c>
      <c r="I264" s="495" t="s">
        <v>4088</v>
      </c>
      <c r="J264" s="491"/>
      <c r="K264" s="491" t="s">
        <v>642</v>
      </c>
      <c r="L264" s="491"/>
      <c r="M264" s="536">
        <v>121160</v>
      </c>
      <c r="N264" s="491" t="s">
        <v>216</v>
      </c>
      <c r="O264" s="537">
        <v>43539</v>
      </c>
      <c r="P264" s="537">
        <v>43560</v>
      </c>
      <c r="Q264" s="537">
        <v>43732</v>
      </c>
      <c r="R264" s="491" t="s">
        <v>4838</v>
      </c>
      <c r="S264" s="495"/>
      <c r="T264" s="536">
        <v>80487.360000000001</v>
      </c>
      <c r="U264" s="536">
        <v>97389.71</v>
      </c>
      <c r="V264" s="1471"/>
      <c r="W264" s="1471"/>
      <c r="X264" s="1471"/>
      <c r="Y264" s="573">
        <v>43733</v>
      </c>
      <c r="Z264" s="1375" t="s">
        <v>5705</v>
      </c>
      <c r="AA264" s="537">
        <v>43770</v>
      </c>
      <c r="AB264" s="537">
        <v>43776</v>
      </c>
      <c r="AC264" s="537">
        <v>44500</v>
      </c>
      <c r="AD264" s="537">
        <v>43930</v>
      </c>
      <c r="AE264" s="537">
        <v>44285</v>
      </c>
      <c r="AF264" s="1560">
        <v>44637</v>
      </c>
      <c r="AG264" s="374"/>
    </row>
    <row r="265" spans="1:35" ht="30">
      <c r="A265" s="1461"/>
      <c r="B265" s="530"/>
      <c r="C265" s="537">
        <v>43531</v>
      </c>
      <c r="D265" s="1373" t="s">
        <v>4078</v>
      </c>
      <c r="E265" s="491" t="s">
        <v>2434</v>
      </c>
      <c r="F265" s="491" t="s">
        <v>219</v>
      </c>
      <c r="G265" s="571" t="s">
        <v>4079</v>
      </c>
      <c r="H265" s="491">
        <v>4</v>
      </c>
      <c r="I265" s="495" t="s">
        <v>4089</v>
      </c>
      <c r="J265" s="491"/>
      <c r="K265" s="491" t="s">
        <v>642</v>
      </c>
      <c r="L265" s="491"/>
      <c r="M265" s="536">
        <v>83210</v>
      </c>
      <c r="N265" s="491" t="s">
        <v>216</v>
      </c>
      <c r="O265" s="537">
        <v>43539</v>
      </c>
      <c r="P265" s="537">
        <v>43560</v>
      </c>
      <c r="Q265" s="537">
        <v>43732</v>
      </c>
      <c r="R265" s="491" t="s">
        <v>5053</v>
      </c>
      <c r="S265" s="495"/>
      <c r="T265" s="536">
        <v>125160</v>
      </c>
      <c r="U265" s="536">
        <v>151443.6</v>
      </c>
      <c r="V265" s="1471"/>
      <c r="W265" s="1471"/>
      <c r="X265" s="1471"/>
      <c r="Y265" s="573">
        <v>43733</v>
      </c>
      <c r="Z265" s="1375" t="s">
        <v>5706</v>
      </c>
      <c r="AA265" s="537">
        <v>43770</v>
      </c>
      <c r="AB265" s="537">
        <v>43776</v>
      </c>
      <c r="AC265" s="537">
        <v>44500</v>
      </c>
      <c r="AD265" s="537">
        <v>43930</v>
      </c>
      <c r="AE265" s="537">
        <v>44285</v>
      </c>
      <c r="AF265" s="1560">
        <v>44637</v>
      </c>
      <c r="AG265" s="374"/>
    </row>
    <row r="266" spans="1:35" ht="30.75" thickBot="1">
      <c r="A266" s="1461"/>
      <c r="B266" s="530"/>
      <c r="C266" s="1380">
        <v>43531</v>
      </c>
      <c r="D266" s="1377" t="s">
        <v>4078</v>
      </c>
      <c r="E266" s="1376" t="s">
        <v>2434</v>
      </c>
      <c r="F266" s="1376" t="s">
        <v>219</v>
      </c>
      <c r="G266" s="1378" t="s">
        <v>4079</v>
      </c>
      <c r="H266" s="1376">
        <v>5</v>
      </c>
      <c r="I266" s="1421" t="s">
        <v>4090</v>
      </c>
      <c r="J266" s="1376"/>
      <c r="K266" s="1376" t="s">
        <v>642</v>
      </c>
      <c r="L266" s="1376"/>
      <c r="M266" s="1379">
        <v>971110</v>
      </c>
      <c r="N266" s="1376" t="s">
        <v>216</v>
      </c>
      <c r="O266" s="1380">
        <v>43539</v>
      </c>
      <c r="P266" s="1380">
        <v>43560</v>
      </c>
      <c r="Q266" s="1380">
        <v>43732</v>
      </c>
      <c r="R266" s="1376" t="s">
        <v>5209</v>
      </c>
      <c r="S266" s="1421"/>
      <c r="T266" s="1379">
        <v>971092.5</v>
      </c>
      <c r="U266" s="1379">
        <v>1175021.93</v>
      </c>
      <c r="V266" s="1475"/>
      <c r="W266" s="1475"/>
      <c r="X266" s="1475"/>
      <c r="Y266" s="1388">
        <v>43733</v>
      </c>
      <c r="Z266" s="1389" t="s">
        <v>5707</v>
      </c>
      <c r="AA266" s="1380">
        <v>43770</v>
      </c>
      <c r="AB266" s="1380">
        <v>43776</v>
      </c>
      <c r="AC266" s="1380">
        <v>44500</v>
      </c>
      <c r="AD266" s="1380">
        <v>43930</v>
      </c>
      <c r="AE266" s="1380">
        <v>44285</v>
      </c>
      <c r="AF266" s="1560">
        <v>44637</v>
      </c>
      <c r="AG266" s="374"/>
    </row>
    <row r="267" spans="1:35" ht="30.75" thickTop="1">
      <c r="A267" s="1461"/>
      <c r="B267" s="530"/>
      <c r="C267" s="474">
        <v>43531</v>
      </c>
      <c r="D267" s="1383" t="s">
        <v>4080</v>
      </c>
      <c r="E267" s="453" t="s">
        <v>2434</v>
      </c>
      <c r="F267" s="453" t="s">
        <v>219</v>
      </c>
      <c r="G267" s="473" t="s">
        <v>4081</v>
      </c>
      <c r="H267" s="453">
        <v>1</v>
      </c>
      <c r="I267" s="1420" t="s">
        <v>4082</v>
      </c>
      <c r="J267" s="453"/>
      <c r="K267" s="453" t="s">
        <v>642</v>
      </c>
      <c r="L267" s="453"/>
      <c r="M267" s="457">
        <v>1313380</v>
      </c>
      <c r="N267" s="453" t="s">
        <v>216</v>
      </c>
      <c r="O267" s="474">
        <v>43539</v>
      </c>
      <c r="P267" s="474">
        <v>43563</v>
      </c>
      <c r="Q267" s="474">
        <v>43627</v>
      </c>
      <c r="R267" s="453" t="s">
        <v>4838</v>
      </c>
      <c r="S267" s="1420"/>
      <c r="T267" s="457">
        <v>1078008.75</v>
      </c>
      <c r="U267" s="457">
        <v>1304390.5900000001</v>
      </c>
      <c r="V267" s="1474"/>
      <c r="W267" s="1474"/>
      <c r="X267" s="1474"/>
      <c r="Y267" s="570">
        <v>43628</v>
      </c>
      <c r="Z267" s="1387" t="s">
        <v>4923</v>
      </c>
      <c r="AA267" s="474">
        <v>43706</v>
      </c>
      <c r="AB267" s="474">
        <v>43712</v>
      </c>
      <c r="AC267" s="474">
        <v>44436</v>
      </c>
      <c r="AD267" s="474">
        <v>43930</v>
      </c>
      <c r="AE267" s="474">
        <v>44285</v>
      </c>
      <c r="AF267" s="1560">
        <v>44637</v>
      </c>
      <c r="AG267" s="374"/>
    </row>
    <row r="268" spans="1:35" ht="30">
      <c r="A268" s="1461"/>
      <c r="B268" s="530"/>
      <c r="C268" s="537">
        <v>43531</v>
      </c>
      <c r="D268" s="1373" t="s">
        <v>4080</v>
      </c>
      <c r="E268" s="491" t="s">
        <v>2434</v>
      </c>
      <c r="F268" s="491" t="s">
        <v>219</v>
      </c>
      <c r="G268" s="571" t="s">
        <v>4081</v>
      </c>
      <c r="H268" s="491">
        <v>2</v>
      </c>
      <c r="I268" s="495" t="s">
        <v>4083</v>
      </c>
      <c r="J268" s="491"/>
      <c r="K268" s="491" t="s">
        <v>642</v>
      </c>
      <c r="L268" s="491"/>
      <c r="M268" s="536">
        <v>1572940</v>
      </c>
      <c r="N268" s="491" t="s">
        <v>216</v>
      </c>
      <c r="O268" s="537">
        <v>43539</v>
      </c>
      <c r="P268" s="537">
        <v>43563</v>
      </c>
      <c r="Q268" s="537">
        <v>43627</v>
      </c>
      <c r="R268" s="491" t="s">
        <v>3080</v>
      </c>
      <c r="S268" s="495"/>
      <c r="T268" s="536">
        <v>1567195.5</v>
      </c>
      <c r="U268" s="536">
        <v>1896306.6</v>
      </c>
      <c r="V268" s="1471"/>
      <c r="W268" s="1471"/>
      <c r="X268" s="1471"/>
      <c r="Y268" s="573">
        <v>43628</v>
      </c>
      <c r="Z268" s="1375" t="s">
        <v>4924</v>
      </c>
      <c r="AA268" s="537">
        <v>43706</v>
      </c>
      <c r="AB268" s="537">
        <v>43712</v>
      </c>
      <c r="AC268" s="537">
        <v>44436</v>
      </c>
      <c r="AD268" s="537">
        <v>43930</v>
      </c>
      <c r="AE268" s="537">
        <v>44285</v>
      </c>
      <c r="AF268" s="1560">
        <v>44637</v>
      </c>
      <c r="AG268" s="374"/>
    </row>
    <row r="269" spans="1:35" ht="30">
      <c r="A269" s="1461"/>
      <c r="B269" s="530"/>
      <c r="C269" s="537">
        <v>43531</v>
      </c>
      <c r="D269" s="1373" t="s">
        <v>4080</v>
      </c>
      <c r="E269" s="491" t="s">
        <v>2434</v>
      </c>
      <c r="F269" s="491" t="s">
        <v>219</v>
      </c>
      <c r="G269" s="571" t="s">
        <v>4081</v>
      </c>
      <c r="H269" s="491">
        <v>3</v>
      </c>
      <c r="I269" s="495" t="s">
        <v>4084</v>
      </c>
      <c r="J269" s="491"/>
      <c r="K269" s="491" t="s">
        <v>642</v>
      </c>
      <c r="L269" s="491"/>
      <c r="M269" s="536">
        <v>122210</v>
      </c>
      <c r="N269" s="491" t="s">
        <v>216</v>
      </c>
      <c r="O269" s="537">
        <v>43539</v>
      </c>
      <c r="P269" s="537">
        <v>43563</v>
      </c>
      <c r="Q269" s="537">
        <v>43627</v>
      </c>
      <c r="R269" s="491" t="s">
        <v>4838</v>
      </c>
      <c r="S269" s="495"/>
      <c r="T269" s="536">
        <v>104833.72</v>
      </c>
      <c r="U269" s="536">
        <v>126848.8</v>
      </c>
      <c r="V269" s="1471"/>
      <c r="W269" s="1471"/>
      <c r="X269" s="1471"/>
      <c r="Y269" s="573">
        <v>43628</v>
      </c>
      <c r="Z269" s="1375" t="s">
        <v>4925</v>
      </c>
      <c r="AA269" s="537">
        <v>43706</v>
      </c>
      <c r="AB269" s="537">
        <v>43712</v>
      </c>
      <c r="AC269" s="537">
        <v>44436</v>
      </c>
      <c r="AD269" s="537">
        <v>43930</v>
      </c>
      <c r="AE269" s="491" t="s">
        <v>8483</v>
      </c>
      <c r="AF269" s="1560">
        <v>44637</v>
      </c>
      <c r="AG269" s="374"/>
    </row>
    <row r="270" spans="1:35" ht="30.75" thickBot="1">
      <c r="A270" s="1461"/>
      <c r="B270" s="530"/>
      <c r="C270" s="1380">
        <v>43531</v>
      </c>
      <c r="D270" s="1377" t="s">
        <v>4080</v>
      </c>
      <c r="E270" s="1376" t="s">
        <v>2434</v>
      </c>
      <c r="F270" s="1376" t="s">
        <v>219</v>
      </c>
      <c r="G270" s="1378" t="s">
        <v>4081</v>
      </c>
      <c r="H270" s="1376">
        <v>4</v>
      </c>
      <c r="I270" s="1421" t="s">
        <v>4085</v>
      </c>
      <c r="J270" s="1376"/>
      <c r="K270" s="1376" t="s">
        <v>642</v>
      </c>
      <c r="L270" s="1376"/>
      <c r="M270" s="1379">
        <v>79170</v>
      </c>
      <c r="N270" s="1376" t="s">
        <v>216</v>
      </c>
      <c r="O270" s="1380">
        <v>43539</v>
      </c>
      <c r="P270" s="1380">
        <v>43563</v>
      </c>
      <c r="Q270" s="1380">
        <v>43627</v>
      </c>
      <c r="R270" s="1376" t="s">
        <v>4464</v>
      </c>
      <c r="S270" s="1421"/>
      <c r="T270" s="1379">
        <v>58320</v>
      </c>
      <c r="U270" s="1379">
        <v>70567.199999999997</v>
      </c>
      <c r="V270" s="1475"/>
      <c r="W270" s="1475"/>
      <c r="X270" s="1475"/>
      <c r="Y270" s="1388">
        <v>43628</v>
      </c>
      <c r="Z270" s="1389" t="s">
        <v>4926</v>
      </c>
      <c r="AA270" s="1380">
        <v>43706</v>
      </c>
      <c r="AB270" s="1380">
        <v>43712</v>
      </c>
      <c r="AC270" s="1380">
        <v>44436</v>
      </c>
      <c r="AD270" s="1380">
        <v>43930</v>
      </c>
      <c r="AE270" s="1380">
        <v>44285</v>
      </c>
      <c r="AF270" s="1560">
        <v>44637</v>
      </c>
      <c r="AG270" s="374"/>
    </row>
    <row r="271" spans="1:35" ht="30.75" thickTop="1">
      <c r="A271" s="1461"/>
      <c r="B271" s="530"/>
      <c r="C271" s="365">
        <v>43536</v>
      </c>
      <c r="D271" s="1397" t="s">
        <v>4099</v>
      </c>
      <c r="E271" s="1741" t="s">
        <v>1700</v>
      </c>
      <c r="F271" s="1876" t="s">
        <v>6206</v>
      </c>
      <c r="G271" s="175" t="s">
        <v>4100</v>
      </c>
      <c r="H271" s="1741">
        <v>1</v>
      </c>
      <c r="I271" s="1742" t="s">
        <v>5253</v>
      </c>
      <c r="J271" s="1741"/>
      <c r="K271" s="1741" t="s">
        <v>5329</v>
      </c>
      <c r="L271" s="1741" t="s">
        <v>5255</v>
      </c>
      <c r="M271" s="364">
        <v>141227.04</v>
      </c>
      <c r="N271" s="1741" t="s">
        <v>251</v>
      </c>
      <c r="O271" s="365">
        <v>43619</v>
      </c>
      <c r="P271" s="365">
        <v>43675</v>
      </c>
      <c r="Q271" s="365">
        <v>43704</v>
      </c>
      <c r="R271" s="1791" t="s">
        <v>5320</v>
      </c>
      <c r="S271" s="1742"/>
      <c r="T271" s="364">
        <v>119516</v>
      </c>
      <c r="U271" s="364">
        <v>144614.35999999999</v>
      </c>
      <c r="V271" s="1473"/>
      <c r="W271" s="1473"/>
      <c r="X271" s="1473"/>
      <c r="Y271" s="681">
        <v>43674</v>
      </c>
      <c r="Z271" s="1417" t="s">
        <v>5391</v>
      </c>
      <c r="AA271" s="365">
        <v>43725</v>
      </c>
      <c r="AB271" s="365">
        <v>43731</v>
      </c>
      <c r="AC271" s="365">
        <f>AA271+42</f>
        <v>43767</v>
      </c>
      <c r="AD271" s="365">
        <v>43840</v>
      </c>
      <c r="AE271" s="451" t="s">
        <v>1875</v>
      </c>
      <c r="AF271" s="374"/>
      <c r="AG271" s="374"/>
    </row>
    <row r="272" spans="1:35">
      <c r="A272" s="1461"/>
      <c r="B272" s="530"/>
      <c r="C272" s="470">
        <v>43536</v>
      </c>
      <c r="D272" s="1515" t="s">
        <v>4099</v>
      </c>
      <c r="E272" s="466" t="s">
        <v>1700</v>
      </c>
      <c r="F272" s="466" t="s">
        <v>6206</v>
      </c>
      <c r="G272" s="467" t="s">
        <v>4100</v>
      </c>
      <c r="H272" s="466">
        <v>2</v>
      </c>
      <c r="I272" s="654" t="s">
        <v>5254</v>
      </c>
      <c r="J272" s="466"/>
      <c r="K272" s="466" t="s">
        <v>1950</v>
      </c>
      <c r="L272" s="466" t="s">
        <v>5255</v>
      </c>
      <c r="M272" s="472">
        <v>308553.21999999997</v>
      </c>
      <c r="N272" s="466" t="s">
        <v>251</v>
      </c>
      <c r="O272" s="470">
        <v>43619</v>
      </c>
      <c r="P272" s="470">
        <v>43675</v>
      </c>
      <c r="Q272" s="466"/>
      <c r="R272" s="514" t="s">
        <v>304</v>
      </c>
      <c r="S272" s="1717" t="s">
        <v>5328</v>
      </c>
      <c r="T272" s="472"/>
      <c r="U272" s="472"/>
      <c r="V272" s="1516"/>
      <c r="W272" s="1516"/>
      <c r="X272" s="1516"/>
      <c r="Y272" s="472"/>
      <c r="Z272" s="472"/>
      <c r="AA272" s="466"/>
      <c r="AB272" s="470">
        <v>43697</v>
      </c>
      <c r="AC272" s="466" t="s">
        <v>5283</v>
      </c>
      <c r="AD272" s="466"/>
      <c r="AE272" s="1726"/>
      <c r="AF272" s="1351"/>
    </row>
    <row r="273" spans="1:35">
      <c r="A273" s="1461"/>
      <c r="B273" s="530"/>
      <c r="C273" s="537">
        <v>43535</v>
      </c>
      <c r="D273" s="1373" t="s">
        <v>4101</v>
      </c>
      <c r="E273" s="491" t="s">
        <v>3678</v>
      </c>
      <c r="F273" s="491" t="s">
        <v>918</v>
      </c>
      <c r="G273" s="571" t="s">
        <v>4102</v>
      </c>
      <c r="H273" s="491"/>
      <c r="I273" s="495"/>
      <c r="J273" s="491"/>
      <c r="K273" s="491" t="s">
        <v>1518</v>
      </c>
      <c r="L273" s="491"/>
      <c r="M273" s="536">
        <v>1600000</v>
      </c>
      <c r="N273" s="491" t="s">
        <v>112</v>
      </c>
      <c r="O273" s="537">
        <v>43559</v>
      </c>
      <c r="P273" s="537">
        <v>43567</v>
      </c>
      <c r="Q273" s="537">
        <v>43579</v>
      </c>
      <c r="R273" s="491" t="s">
        <v>4466</v>
      </c>
      <c r="S273" s="495"/>
      <c r="T273" s="536">
        <f>48*31900</f>
        <v>1531200</v>
      </c>
      <c r="U273" s="536">
        <f>T273*1.21</f>
        <v>1852752</v>
      </c>
      <c r="V273" s="1471"/>
      <c r="W273" s="1471"/>
      <c r="X273" s="1471"/>
      <c r="Y273" s="573">
        <v>43581</v>
      </c>
      <c r="Z273" s="536" t="s">
        <v>4490</v>
      </c>
      <c r="AA273" s="537">
        <v>43599</v>
      </c>
      <c r="AB273" s="537">
        <v>43601</v>
      </c>
      <c r="AC273" s="491" t="s">
        <v>4096</v>
      </c>
      <c r="AD273" s="537">
        <v>43906</v>
      </c>
      <c r="AE273" s="1525">
        <v>44845</v>
      </c>
      <c r="AH273" s="360"/>
      <c r="AI273" s="360"/>
    </row>
    <row r="274" spans="1:35" ht="30">
      <c r="A274" s="1461"/>
      <c r="B274" s="530"/>
      <c r="C274" s="537">
        <v>43542</v>
      </c>
      <c r="D274" s="1373" t="s">
        <v>4103</v>
      </c>
      <c r="E274" s="491" t="s">
        <v>58</v>
      </c>
      <c r="F274" s="491" t="s">
        <v>55</v>
      </c>
      <c r="G274" s="571" t="s">
        <v>4104</v>
      </c>
      <c r="H274" s="491"/>
      <c r="I274" s="495"/>
      <c r="J274" s="491"/>
      <c r="K274" s="491" t="s">
        <v>1673</v>
      </c>
      <c r="L274" s="491"/>
      <c r="M274" s="536">
        <v>395000</v>
      </c>
      <c r="N274" s="491" t="s">
        <v>112</v>
      </c>
      <c r="O274" s="537">
        <v>43552</v>
      </c>
      <c r="P274" s="537">
        <v>43564</v>
      </c>
      <c r="Q274" s="537">
        <v>43594</v>
      </c>
      <c r="R274" s="491" t="s">
        <v>4523</v>
      </c>
      <c r="S274" s="495"/>
      <c r="T274" s="536">
        <v>601197.5</v>
      </c>
      <c r="U274" s="536">
        <v>727449</v>
      </c>
      <c r="V274" s="1471"/>
      <c r="W274" s="1471"/>
      <c r="X274" s="1471"/>
      <c r="Y274" s="573">
        <v>43595</v>
      </c>
      <c r="Z274" s="1375" t="s">
        <v>4546</v>
      </c>
      <c r="AA274" s="537">
        <v>43621</v>
      </c>
      <c r="AB274" s="537">
        <v>43626</v>
      </c>
      <c r="AC274" s="537" t="s">
        <v>4897</v>
      </c>
      <c r="AD274" s="1525">
        <v>44641</v>
      </c>
      <c r="AE274" s="1102"/>
      <c r="AF274" s="374"/>
      <c r="AG274" s="374"/>
    </row>
    <row r="275" spans="1:35">
      <c r="A275" s="1461"/>
      <c r="B275" s="530"/>
      <c r="C275" s="537">
        <v>43539</v>
      </c>
      <c r="D275" s="1373" t="s">
        <v>4105</v>
      </c>
      <c r="E275" s="491" t="s">
        <v>4106</v>
      </c>
      <c r="F275" s="491" t="s">
        <v>4107</v>
      </c>
      <c r="G275" s="571" t="s">
        <v>1307</v>
      </c>
      <c r="H275" s="491"/>
      <c r="I275" s="495"/>
      <c r="J275" s="491"/>
      <c r="K275" s="491" t="s">
        <v>1695</v>
      </c>
      <c r="L275" s="491"/>
      <c r="M275" s="536">
        <v>520000</v>
      </c>
      <c r="N275" s="491" t="s">
        <v>112</v>
      </c>
      <c r="O275" s="537">
        <v>43545</v>
      </c>
      <c r="P275" s="537">
        <v>43552</v>
      </c>
      <c r="Q275" s="537">
        <v>43567</v>
      </c>
      <c r="R275" s="491" t="s">
        <v>4407</v>
      </c>
      <c r="S275" s="495"/>
      <c r="T275" s="536">
        <v>527200</v>
      </c>
      <c r="U275" s="536">
        <f>T275*1.21</f>
        <v>637912</v>
      </c>
      <c r="V275" s="1471"/>
      <c r="W275" s="1471"/>
      <c r="X275" s="1471"/>
      <c r="Y275" s="573">
        <v>43570</v>
      </c>
      <c r="Z275" s="536" t="s">
        <v>4411</v>
      </c>
      <c r="AA275" s="537">
        <v>43587</v>
      </c>
      <c r="AB275" s="537">
        <v>43588</v>
      </c>
      <c r="AC275" s="537">
        <v>44196</v>
      </c>
      <c r="AD275" s="537">
        <v>44193</v>
      </c>
      <c r="AE275" s="1102"/>
      <c r="AF275" s="374"/>
      <c r="AG275" s="374"/>
    </row>
    <row r="276" spans="1:35">
      <c r="A276" s="1461"/>
      <c r="B276" s="530"/>
      <c r="C276" s="506" t="s">
        <v>3585</v>
      </c>
      <c r="D276" s="1382" t="s">
        <v>4109</v>
      </c>
      <c r="E276" s="506" t="s">
        <v>2434</v>
      </c>
      <c r="F276" s="506" t="s">
        <v>219</v>
      </c>
      <c r="G276" s="507" t="s">
        <v>3968</v>
      </c>
      <c r="H276" s="506"/>
      <c r="I276" s="507"/>
      <c r="J276" s="506"/>
      <c r="K276" s="506" t="s">
        <v>642</v>
      </c>
      <c r="L276" s="506"/>
      <c r="M276" s="511">
        <v>1484500</v>
      </c>
      <c r="N276" s="506" t="s">
        <v>216</v>
      </c>
      <c r="O276" s="510">
        <v>43563</v>
      </c>
      <c r="P276" s="510">
        <v>43581</v>
      </c>
      <c r="Q276" s="506"/>
      <c r="R276" s="514" t="s">
        <v>304</v>
      </c>
      <c r="S276" s="736"/>
      <c r="T276" s="511"/>
      <c r="U276" s="511"/>
      <c r="V276" s="1484"/>
      <c r="W276" s="1484"/>
      <c r="X276" s="1484"/>
      <c r="Y276" s="511"/>
      <c r="Z276" s="511"/>
      <c r="AA276" s="506"/>
      <c r="AB276" s="510">
        <v>43587</v>
      </c>
      <c r="AC276" s="506"/>
      <c r="AD276" s="506"/>
      <c r="AE276" s="506"/>
    </row>
    <row r="277" spans="1:35">
      <c r="A277" s="1461"/>
      <c r="B277" s="530"/>
      <c r="C277" s="537">
        <v>43543</v>
      </c>
      <c r="D277" s="1373" t="s">
        <v>4111</v>
      </c>
      <c r="E277" s="491" t="s">
        <v>1032</v>
      </c>
      <c r="F277" s="491" t="s">
        <v>361</v>
      </c>
      <c r="G277" s="571" t="s">
        <v>4203</v>
      </c>
      <c r="H277" s="491"/>
      <c r="I277" s="495"/>
      <c r="J277" s="491"/>
      <c r="K277" s="491" t="s">
        <v>1816</v>
      </c>
      <c r="L277" s="491"/>
      <c r="M277" s="536">
        <v>300000</v>
      </c>
      <c r="N277" s="491" t="s">
        <v>112</v>
      </c>
      <c r="O277" s="537">
        <v>43550</v>
      </c>
      <c r="P277" s="537">
        <v>43559</v>
      </c>
      <c r="Q277" s="537">
        <v>43566</v>
      </c>
      <c r="R277" s="491" t="s">
        <v>2565</v>
      </c>
      <c r="S277" s="495"/>
      <c r="T277" s="536">
        <v>430000</v>
      </c>
      <c r="U277" s="536">
        <f>T277*1.21</f>
        <v>520300</v>
      </c>
      <c r="V277" s="1471"/>
      <c r="W277" s="1471"/>
      <c r="X277" s="1471"/>
      <c r="Y277" s="573">
        <v>43566</v>
      </c>
      <c r="Z277" s="536" t="s">
        <v>4325</v>
      </c>
      <c r="AA277" s="537">
        <v>43594</v>
      </c>
      <c r="AB277" s="537">
        <v>43598</v>
      </c>
      <c r="AC277" s="537">
        <f>AA277+90</f>
        <v>43684</v>
      </c>
      <c r="AD277" s="537">
        <v>43752</v>
      </c>
      <c r="AE277" s="1102"/>
      <c r="AF277" s="374"/>
      <c r="AG277" s="374"/>
    </row>
    <row r="278" spans="1:35">
      <c r="A278" s="1461"/>
      <c r="B278" s="530"/>
      <c r="C278" s="491" t="s">
        <v>3585</v>
      </c>
      <c r="D278" s="1373" t="s">
        <v>4114</v>
      </c>
      <c r="E278" s="491" t="s">
        <v>166</v>
      </c>
      <c r="F278" s="491" t="s">
        <v>167</v>
      </c>
      <c r="G278" s="571" t="s">
        <v>4115</v>
      </c>
      <c r="H278" s="491"/>
      <c r="I278" s="495"/>
      <c r="J278" s="491"/>
      <c r="K278" s="491" t="s">
        <v>1676</v>
      </c>
      <c r="L278" s="491"/>
      <c r="M278" s="536">
        <v>350000</v>
      </c>
      <c r="N278" s="491" t="s">
        <v>112</v>
      </c>
      <c r="O278" s="537">
        <v>43552</v>
      </c>
      <c r="P278" s="537">
        <v>43564</v>
      </c>
      <c r="Q278" s="537">
        <v>43578</v>
      </c>
      <c r="R278" s="491" t="s">
        <v>3584</v>
      </c>
      <c r="S278" s="495"/>
      <c r="T278" s="536">
        <v>399545</v>
      </c>
      <c r="U278" s="536">
        <f>T278*1.21</f>
        <v>483449.45</v>
      </c>
      <c r="V278" s="1471"/>
      <c r="W278" s="1471"/>
      <c r="X278" s="1471"/>
      <c r="Y278" s="573">
        <v>43578</v>
      </c>
      <c r="Z278" s="536" t="s">
        <v>4462</v>
      </c>
      <c r="AA278" s="537">
        <v>43609</v>
      </c>
      <c r="AB278" s="537">
        <v>43614</v>
      </c>
      <c r="AC278" s="537">
        <v>43795</v>
      </c>
      <c r="AD278" s="537">
        <v>43767</v>
      </c>
      <c r="AE278" s="1102"/>
      <c r="AF278" s="374"/>
      <c r="AG278" s="374"/>
    </row>
    <row r="279" spans="1:35" ht="30">
      <c r="A279" s="1461"/>
      <c r="B279" s="530"/>
      <c r="C279" s="537">
        <v>43543</v>
      </c>
      <c r="D279" s="1373" t="s">
        <v>4116</v>
      </c>
      <c r="E279" s="491" t="s">
        <v>58</v>
      </c>
      <c r="F279" s="491" t="s">
        <v>2684</v>
      </c>
      <c r="G279" s="571" t="s">
        <v>3388</v>
      </c>
      <c r="H279" s="491"/>
      <c r="I279" s="495"/>
      <c r="J279" s="491"/>
      <c r="K279" s="491" t="s">
        <v>1294</v>
      </c>
      <c r="L279" s="491" t="s">
        <v>3389</v>
      </c>
      <c r="M279" s="536">
        <v>4600000</v>
      </c>
      <c r="N279" s="491" t="s">
        <v>251</v>
      </c>
      <c r="O279" s="537">
        <v>43549</v>
      </c>
      <c r="P279" s="537">
        <v>43585</v>
      </c>
      <c r="Q279" s="537">
        <v>43622</v>
      </c>
      <c r="R279" s="491" t="s">
        <v>198</v>
      </c>
      <c r="S279" s="495"/>
      <c r="T279" s="536">
        <v>4585200</v>
      </c>
      <c r="U279" s="536">
        <f>T279*1.21</f>
        <v>5548092</v>
      </c>
      <c r="V279" s="1471"/>
      <c r="W279" s="1471"/>
      <c r="X279" s="1471"/>
      <c r="Y279" s="573">
        <v>43623</v>
      </c>
      <c r="Z279" s="1375" t="s">
        <v>4899</v>
      </c>
      <c r="AA279" s="537">
        <v>43648</v>
      </c>
      <c r="AB279" s="537">
        <v>43661</v>
      </c>
      <c r="AC279" s="537">
        <f>AA279+42</f>
        <v>43690</v>
      </c>
      <c r="AD279" s="537">
        <v>43738</v>
      </c>
      <c r="AE279" s="1374" t="s">
        <v>1875</v>
      </c>
      <c r="AF279" s="374"/>
      <c r="AG279" s="374"/>
    </row>
    <row r="280" spans="1:35" ht="15.75" thickBot="1">
      <c r="A280" s="1461"/>
      <c r="B280" s="530"/>
      <c r="C280" s="639" t="s">
        <v>3585</v>
      </c>
      <c r="D280" s="1491" t="s">
        <v>4117</v>
      </c>
      <c r="E280" s="639" t="s">
        <v>58</v>
      </c>
      <c r="F280" s="639" t="s">
        <v>2684</v>
      </c>
      <c r="G280" s="640" t="s">
        <v>3453</v>
      </c>
      <c r="H280" s="639"/>
      <c r="I280" s="1533"/>
      <c r="J280" s="639"/>
      <c r="K280" s="639" t="s">
        <v>3457</v>
      </c>
      <c r="L280" s="639" t="s">
        <v>4118</v>
      </c>
      <c r="M280" s="645">
        <v>620000</v>
      </c>
      <c r="N280" s="639" t="s">
        <v>112</v>
      </c>
      <c r="O280" s="643">
        <v>43556</v>
      </c>
      <c r="P280" s="643">
        <v>43579</v>
      </c>
      <c r="Q280" s="639"/>
      <c r="R280" s="831" t="s">
        <v>304</v>
      </c>
      <c r="S280" s="644" t="s">
        <v>5360</v>
      </c>
      <c r="T280" s="645"/>
      <c r="U280" s="645"/>
      <c r="V280" s="1534"/>
      <c r="W280" s="1534"/>
      <c r="X280" s="1534"/>
      <c r="Y280" s="645"/>
      <c r="Z280" s="645"/>
      <c r="AA280" s="639"/>
      <c r="AB280" s="643">
        <v>43580</v>
      </c>
      <c r="AC280" s="639"/>
      <c r="AD280" s="639"/>
      <c r="AE280" s="639"/>
    </row>
    <row r="281" spans="1:35" ht="30.75" thickTop="1">
      <c r="A281" s="1461"/>
      <c r="B281" s="530"/>
      <c r="C281" s="474">
        <v>43549</v>
      </c>
      <c r="D281" s="1383" t="s">
        <v>4119</v>
      </c>
      <c r="E281" s="453" t="s">
        <v>2434</v>
      </c>
      <c r="F281" s="453" t="s">
        <v>219</v>
      </c>
      <c r="G281" s="473" t="s">
        <v>4120</v>
      </c>
      <c r="H281" s="453">
        <v>1</v>
      </c>
      <c r="I281" s="1420" t="s">
        <v>4154</v>
      </c>
      <c r="J281" s="453"/>
      <c r="K281" s="453" t="s">
        <v>642</v>
      </c>
      <c r="L281" s="453"/>
      <c r="M281" s="457">
        <v>1393200</v>
      </c>
      <c r="N281" s="453" t="s">
        <v>251</v>
      </c>
      <c r="O281" s="474">
        <v>43560</v>
      </c>
      <c r="P281" s="474">
        <v>43615</v>
      </c>
      <c r="Q281" s="474">
        <v>43649</v>
      </c>
      <c r="R281" s="453" t="s">
        <v>4893</v>
      </c>
      <c r="S281" s="1420"/>
      <c r="T281" s="457">
        <v>1393200</v>
      </c>
      <c r="U281" s="457">
        <v>1602180</v>
      </c>
      <c r="V281" s="1474"/>
      <c r="W281" s="1474"/>
      <c r="X281" s="1474"/>
      <c r="Y281" s="570">
        <v>43649</v>
      </c>
      <c r="Z281" s="1616" t="s">
        <v>5055</v>
      </c>
      <c r="AA281" s="474">
        <v>43696</v>
      </c>
      <c r="AB281" s="474">
        <v>43698</v>
      </c>
      <c r="AC281" s="474">
        <v>44426</v>
      </c>
      <c r="AD281" s="474">
        <v>43930</v>
      </c>
      <c r="AE281" s="474">
        <v>44285</v>
      </c>
      <c r="AF281" s="1560">
        <v>44637</v>
      </c>
      <c r="AG281" s="374"/>
    </row>
    <row r="282" spans="1:35" ht="30">
      <c r="A282" s="1461"/>
      <c r="B282" s="530"/>
      <c r="C282" s="537">
        <v>43549</v>
      </c>
      <c r="D282" s="1373" t="s">
        <v>4119</v>
      </c>
      <c r="E282" s="491" t="s">
        <v>2434</v>
      </c>
      <c r="F282" s="491" t="s">
        <v>219</v>
      </c>
      <c r="G282" s="571" t="s">
        <v>4120</v>
      </c>
      <c r="H282" s="491">
        <v>2</v>
      </c>
      <c r="I282" s="495" t="s">
        <v>4155</v>
      </c>
      <c r="J282" s="491"/>
      <c r="K282" s="491" t="s">
        <v>642</v>
      </c>
      <c r="L282" s="491"/>
      <c r="M282" s="536">
        <v>1852140</v>
      </c>
      <c r="N282" s="491" t="s">
        <v>251</v>
      </c>
      <c r="O282" s="537">
        <v>43560</v>
      </c>
      <c r="P282" s="537">
        <v>43615</v>
      </c>
      <c r="Q282" s="537">
        <v>43649</v>
      </c>
      <c r="R282" s="491" t="s">
        <v>2973</v>
      </c>
      <c r="S282" s="495"/>
      <c r="T282" s="536">
        <v>1852140</v>
      </c>
      <c r="U282" s="536">
        <v>2129961</v>
      </c>
      <c r="V282" s="1471"/>
      <c r="W282" s="1471"/>
      <c r="X282" s="1471"/>
      <c r="Y282" s="573">
        <v>43649</v>
      </c>
      <c r="Z282" s="1375" t="s">
        <v>5056</v>
      </c>
      <c r="AA282" s="537">
        <v>43696</v>
      </c>
      <c r="AB282" s="537">
        <v>43698</v>
      </c>
      <c r="AC282" s="537">
        <v>44426</v>
      </c>
      <c r="AD282" s="537" t="s">
        <v>6603</v>
      </c>
      <c r="AE282" s="537">
        <v>44285</v>
      </c>
      <c r="AF282" s="1560">
        <v>44637</v>
      </c>
      <c r="AG282" s="374"/>
    </row>
    <row r="283" spans="1:35">
      <c r="A283" s="1461"/>
      <c r="B283" s="530"/>
      <c r="C283" s="510">
        <v>43549</v>
      </c>
      <c r="D283" s="1382" t="s">
        <v>4119</v>
      </c>
      <c r="E283" s="506" t="s">
        <v>2434</v>
      </c>
      <c r="F283" s="506" t="s">
        <v>219</v>
      </c>
      <c r="G283" s="507" t="s">
        <v>4120</v>
      </c>
      <c r="H283" s="506">
        <v>3</v>
      </c>
      <c r="I283" s="548" t="s">
        <v>4156</v>
      </c>
      <c r="J283" s="506"/>
      <c r="K283" s="506" t="s">
        <v>642</v>
      </c>
      <c r="L283" s="506"/>
      <c r="M283" s="511">
        <v>780000</v>
      </c>
      <c r="N283" s="506" t="s">
        <v>251</v>
      </c>
      <c r="O283" s="510">
        <v>43560</v>
      </c>
      <c r="P283" s="510">
        <v>43615</v>
      </c>
      <c r="Q283" s="510"/>
      <c r="R283" s="514" t="s">
        <v>304</v>
      </c>
      <c r="S283" s="736"/>
      <c r="T283" s="511"/>
      <c r="U283" s="511"/>
      <c r="V283" s="1470"/>
      <c r="W283" s="1470"/>
      <c r="X283" s="1470"/>
      <c r="Y283" s="511"/>
      <c r="Z283" s="645"/>
      <c r="AA283" s="506"/>
      <c r="AB283" s="510">
        <v>43672</v>
      </c>
      <c r="AC283" s="506" t="s">
        <v>5050</v>
      </c>
      <c r="AD283" s="506"/>
      <c r="AE283" s="506"/>
    </row>
    <row r="284" spans="1:35" ht="30">
      <c r="A284" s="1461"/>
      <c r="B284" s="530"/>
      <c r="C284" s="537">
        <v>43549</v>
      </c>
      <c r="D284" s="1373" t="s">
        <v>4119</v>
      </c>
      <c r="E284" s="491" t="s">
        <v>2434</v>
      </c>
      <c r="F284" s="491" t="s">
        <v>219</v>
      </c>
      <c r="G284" s="571" t="s">
        <v>4120</v>
      </c>
      <c r="H284" s="491">
        <v>4</v>
      </c>
      <c r="I284" s="495" t="s">
        <v>4157</v>
      </c>
      <c r="J284" s="491"/>
      <c r="K284" s="491" t="s">
        <v>642</v>
      </c>
      <c r="L284" s="491"/>
      <c r="M284" s="536">
        <v>232200</v>
      </c>
      <c r="N284" s="491" t="s">
        <v>251</v>
      </c>
      <c r="O284" s="537">
        <v>43560</v>
      </c>
      <c r="P284" s="537">
        <v>43615</v>
      </c>
      <c r="Q284" s="537">
        <v>43649</v>
      </c>
      <c r="R284" s="491" t="s">
        <v>4893</v>
      </c>
      <c r="S284" s="495"/>
      <c r="T284" s="536">
        <v>232200</v>
      </c>
      <c r="U284" s="536">
        <v>267030</v>
      </c>
      <c r="V284" s="1471"/>
      <c r="W284" s="1471"/>
      <c r="X284" s="1471"/>
      <c r="Y284" s="573">
        <v>43649</v>
      </c>
      <c r="Z284" s="1375" t="s">
        <v>5057</v>
      </c>
      <c r="AA284" s="537">
        <v>43696</v>
      </c>
      <c r="AB284" s="537">
        <v>43698</v>
      </c>
      <c r="AC284" s="537">
        <v>44426</v>
      </c>
      <c r="AD284" s="537">
        <v>43930</v>
      </c>
      <c r="AE284" s="537">
        <v>44285</v>
      </c>
      <c r="AF284" s="1560">
        <v>44637</v>
      </c>
      <c r="AG284" s="374"/>
    </row>
    <row r="285" spans="1:35" ht="30.75" thickBot="1">
      <c r="A285" s="1461"/>
      <c r="B285" s="530"/>
      <c r="C285" s="1380">
        <v>43549</v>
      </c>
      <c r="D285" s="1377" t="s">
        <v>4119</v>
      </c>
      <c r="E285" s="1376" t="s">
        <v>2434</v>
      </c>
      <c r="F285" s="1376" t="s">
        <v>219</v>
      </c>
      <c r="G285" s="1378" t="s">
        <v>4120</v>
      </c>
      <c r="H285" s="1376">
        <v>5</v>
      </c>
      <c r="I285" s="1421" t="s">
        <v>4158</v>
      </c>
      <c r="J285" s="1376"/>
      <c r="K285" s="1376" t="s">
        <v>642</v>
      </c>
      <c r="L285" s="1376"/>
      <c r="M285" s="1379">
        <v>3478000</v>
      </c>
      <c r="N285" s="1376" t="s">
        <v>251</v>
      </c>
      <c r="O285" s="1380">
        <v>43560</v>
      </c>
      <c r="P285" s="1380">
        <v>43615</v>
      </c>
      <c r="Q285" s="1380">
        <v>43649</v>
      </c>
      <c r="R285" s="1376" t="s">
        <v>2973</v>
      </c>
      <c r="S285" s="1421"/>
      <c r="T285" s="1379">
        <v>3478000</v>
      </c>
      <c r="U285" s="1379">
        <v>3999700</v>
      </c>
      <c r="V285" s="1475"/>
      <c r="W285" s="1475"/>
      <c r="X285" s="1475"/>
      <c r="Y285" s="1388">
        <v>43649</v>
      </c>
      <c r="Z285" s="1389" t="s">
        <v>5058</v>
      </c>
      <c r="AA285" s="1380">
        <v>43696</v>
      </c>
      <c r="AB285" s="1380">
        <v>43698</v>
      </c>
      <c r="AC285" s="1380">
        <v>44426</v>
      </c>
      <c r="AD285" s="1380">
        <v>43930</v>
      </c>
      <c r="AE285" s="1380">
        <v>44285</v>
      </c>
      <c r="AF285" s="1560">
        <v>44637</v>
      </c>
      <c r="AG285" s="374"/>
    </row>
    <row r="286" spans="1:35" ht="15.75" thickTop="1">
      <c r="A286" s="1461"/>
      <c r="B286" s="530"/>
      <c r="C286" s="470">
        <v>43549</v>
      </c>
      <c r="D286" s="1515" t="s">
        <v>4121</v>
      </c>
      <c r="E286" s="466" t="s">
        <v>2434</v>
      </c>
      <c r="F286" s="466" t="s">
        <v>219</v>
      </c>
      <c r="G286" s="467" t="s">
        <v>4122</v>
      </c>
      <c r="H286" s="466">
        <v>1</v>
      </c>
      <c r="I286" s="654" t="s">
        <v>4146</v>
      </c>
      <c r="J286" s="466"/>
      <c r="K286" s="466" t="s">
        <v>642</v>
      </c>
      <c r="L286" s="466"/>
      <c r="M286" s="472">
        <v>1010000</v>
      </c>
      <c r="N286" s="466" t="s">
        <v>251</v>
      </c>
      <c r="O286" s="470">
        <v>43560</v>
      </c>
      <c r="P286" s="470">
        <v>43612</v>
      </c>
      <c r="Q286" s="466"/>
      <c r="R286" s="1171" t="s">
        <v>2635</v>
      </c>
      <c r="S286" s="1711"/>
      <c r="T286" s="1559"/>
      <c r="U286" s="472"/>
      <c r="V286" s="1516"/>
      <c r="W286" s="1516"/>
      <c r="X286" s="1516"/>
      <c r="Y286" s="472"/>
      <c r="Z286" s="472"/>
      <c r="AA286" s="466"/>
      <c r="AB286" s="470">
        <v>43644</v>
      </c>
      <c r="AC286" s="472" t="s">
        <v>4896</v>
      </c>
      <c r="AD286" s="466"/>
      <c r="AE286" s="466"/>
    </row>
    <row r="287" spans="1:35" ht="30">
      <c r="A287" s="1443"/>
      <c r="B287" s="491"/>
      <c r="C287" s="537">
        <v>43549</v>
      </c>
      <c r="D287" s="1373" t="s">
        <v>4121</v>
      </c>
      <c r="E287" s="491" t="s">
        <v>2434</v>
      </c>
      <c r="F287" s="491" t="s">
        <v>219</v>
      </c>
      <c r="G287" s="571" t="s">
        <v>4122</v>
      </c>
      <c r="H287" s="491">
        <v>2</v>
      </c>
      <c r="I287" s="495" t="s">
        <v>4147</v>
      </c>
      <c r="J287" s="491"/>
      <c r="K287" s="491" t="s">
        <v>642</v>
      </c>
      <c r="L287" s="491"/>
      <c r="M287" s="536">
        <v>1000000</v>
      </c>
      <c r="N287" s="491" t="s">
        <v>251</v>
      </c>
      <c r="O287" s="537">
        <v>43560</v>
      </c>
      <c r="P287" s="537">
        <v>43612</v>
      </c>
      <c r="Q287" s="537">
        <v>43627</v>
      </c>
      <c r="R287" s="491" t="s">
        <v>4894</v>
      </c>
      <c r="S287" s="495"/>
      <c r="T287" s="536">
        <v>1000000</v>
      </c>
      <c r="U287" s="536">
        <v>1150000</v>
      </c>
      <c r="V287" s="1471"/>
      <c r="W287" s="1471"/>
      <c r="X287" s="1471"/>
      <c r="Y287" s="573">
        <v>43629</v>
      </c>
      <c r="Z287" s="1375" t="s">
        <v>4936</v>
      </c>
      <c r="AA287" s="537">
        <v>43712</v>
      </c>
      <c r="AB287" s="537">
        <v>43713</v>
      </c>
      <c r="AC287" s="537">
        <v>44442</v>
      </c>
      <c r="AD287" s="537">
        <v>43930</v>
      </c>
      <c r="AE287" s="537">
        <v>44285</v>
      </c>
      <c r="AF287" s="1560">
        <v>44637</v>
      </c>
      <c r="AG287" s="374"/>
    </row>
    <row r="288" spans="1:35" ht="30">
      <c r="A288" s="1443"/>
      <c r="B288" s="491"/>
      <c r="C288" s="537">
        <v>43549</v>
      </c>
      <c r="D288" s="1373" t="s">
        <v>4121</v>
      </c>
      <c r="E288" s="491" t="s">
        <v>2434</v>
      </c>
      <c r="F288" s="491" t="s">
        <v>219</v>
      </c>
      <c r="G288" s="571" t="s">
        <v>4122</v>
      </c>
      <c r="H288" s="491">
        <v>3</v>
      </c>
      <c r="I288" s="495" t="s">
        <v>4148</v>
      </c>
      <c r="J288" s="491"/>
      <c r="K288" s="491" t="s">
        <v>642</v>
      </c>
      <c r="L288" s="491"/>
      <c r="M288" s="536">
        <v>247500</v>
      </c>
      <c r="N288" s="491" t="s">
        <v>251</v>
      </c>
      <c r="O288" s="537">
        <v>43560</v>
      </c>
      <c r="P288" s="537">
        <v>43612</v>
      </c>
      <c r="Q288" s="537">
        <v>43627</v>
      </c>
      <c r="R288" s="491" t="s">
        <v>4893</v>
      </c>
      <c r="S288" s="495"/>
      <c r="T288" s="536">
        <v>247500</v>
      </c>
      <c r="U288" s="536">
        <v>284625</v>
      </c>
      <c r="V288" s="1471"/>
      <c r="W288" s="1471"/>
      <c r="X288" s="1471"/>
      <c r="Y288" s="573">
        <v>43629</v>
      </c>
      <c r="Z288" s="1375" t="s">
        <v>4937</v>
      </c>
      <c r="AA288" s="537">
        <v>43712</v>
      </c>
      <c r="AB288" s="537">
        <v>43713</v>
      </c>
      <c r="AC288" s="537">
        <v>44442</v>
      </c>
      <c r="AD288" s="491" t="s">
        <v>6603</v>
      </c>
      <c r="AE288" s="537">
        <v>44285</v>
      </c>
      <c r="AF288" s="1560">
        <v>44637</v>
      </c>
      <c r="AG288" s="374"/>
    </row>
    <row r="289" spans="1:33" ht="30">
      <c r="A289" s="1443"/>
      <c r="B289" s="491"/>
      <c r="C289" s="537">
        <v>43549</v>
      </c>
      <c r="D289" s="1373" t="s">
        <v>4121</v>
      </c>
      <c r="E289" s="491" t="s">
        <v>2434</v>
      </c>
      <c r="F289" s="491" t="s">
        <v>219</v>
      </c>
      <c r="G289" s="571" t="s">
        <v>4122</v>
      </c>
      <c r="H289" s="491">
        <v>4</v>
      </c>
      <c r="I289" s="495" t="s">
        <v>4149</v>
      </c>
      <c r="J289" s="491"/>
      <c r="K289" s="491" t="s">
        <v>642</v>
      </c>
      <c r="L289" s="491"/>
      <c r="M289" s="536">
        <v>1090000</v>
      </c>
      <c r="N289" s="491" t="s">
        <v>251</v>
      </c>
      <c r="O289" s="537">
        <v>43560</v>
      </c>
      <c r="P289" s="537">
        <v>43612</v>
      </c>
      <c r="Q289" s="537">
        <v>43627</v>
      </c>
      <c r="R289" s="491" t="s">
        <v>2973</v>
      </c>
      <c r="S289" s="495"/>
      <c r="T289" s="536">
        <v>1090000</v>
      </c>
      <c r="U289" s="536">
        <v>1253500</v>
      </c>
      <c r="V289" s="1471"/>
      <c r="W289" s="1471"/>
      <c r="X289" s="1471"/>
      <c r="Y289" s="573">
        <v>43629</v>
      </c>
      <c r="Z289" s="1375" t="s">
        <v>4938</v>
      </c>
      <c r="AA289" s="537">
        <v>43712</v>
      </c>
      <c r="AB289" s="537">
        <v>43713</v>
      </c>
      <c r="AC289" s="537">
        <v>44442</v>
      </c>
      <c r="AD289" s="537">
        <v>43930</v>
      </c>
      <c r="AE289" s="537">
        <v>44285</v>
      </c>
      <c r="AF289" s="1560">
        <v>44637</v>
      </c>
      <c r="AG289" s="374"/>
    </row>
    <row r="290" spans="1:33" ht="30">
      <c r="A290" s="1443"/>
      <c r="B290" s="491"/>
      <c r="C290" s="537">
        <v>43549</v>
      </c>
      <c r="D290" s="1373" t="s">
        <v>4121</v>
      </c>
      <c r="E290" s="491" t="s">
        <v>2434</v>
      </c>
      <c r="F290" s="491" t="s">
        <v>219</v>
      </c>
      <c r="G290" s="571" t="s">
        <v>4122</v>
      </c>
      <c r="H290" s="491">
        <v>5</v>
      </c>
      <c r="I290" s="495" t="s">
        <v>4150</v>
      </c>
      <c r="J290" s="491"/>
      <c r="K290" s="491" t="s">
        <v>642</v>
      </c>
      <c r="L290" s="491"/>
      <c r="M290" s="536">
        <v>228400</v>
      </c>
      <c r="N290" s="491" t="s">
        <v>251</v>
      </c>
      <c r="O290" s="537">
        <v>43560</v>
      </c>
      <c r="P290" s="537">
        <v>43612</v>
      </c>
      <c r="Q290" s="537">
        <v>43627</v>
      </c>
      <c r="R290" s="491" t="s">
        <v>2973</v>
      </c>
      <c r="S290" s="495"/>
      <c r="T290" s="536">
        <v>228400</v>
      </c>
      <c r="U290" s="536">
        <v>262660</v>
      </c>
      <c r="V290" s="1471"/>
      <c r="W290" s="1471"/>
      <c r="X290" s="1471"/>
      <c r="Y290" s="573">
        <v>43629</v>
      </c>
      <c r="Z290" s="1375" t="s">
        <v>4939</v>
      </c>
      <c r="AA290" s="537">
        <v>43712</v>
      </c>
      <c r="AB290" s="537">
        <v>43713</v>
      </c>
      <c r="AC290" s="537">
        <v>44442</v>
      </c>
      <c r="AD290" s="537">
        <v>43930</v>
      </c>
      <c r="AE290" s="537">
        <v>44285</v>
      </c>
      <c r="AF290" s="1560">
        <v>44637</v>
      </c>
      <c r="AG290" s="374"/>
    </row>
    <row r="291" spans="1:33" ht="30">
      <c r="A291" s="1443"/>
      <c r="B291" s="491"/>
      <c r="C291" s="537">
        <v>43549</v>
      </c>
      <c r="D291" s="1373" t="s">
        <v>4121</v>
      </c>
      <c r="E291" s="491" t="s">
        <v>2434</v>
      </c>
      <c r="F291" s="491" t="s">
        <v>219</v>
      </c>
      <c r="G291" s="571" t="s">
        <v>4122</v>
      </c>
      <c r="H291" s="491">
        <v>6</v>
      </c>
      <c r="I291" s="495" t="s">
        <v>4151</v>
      </c>
      <c r="J291" s="491"/>
      <c r="K291" s="491" t="s">
        <v>642</v>
      </c>
      <c r="L291" s="491"/>
      <c r="M291" s="536">
        <v>264000</v>
      </c>
      <c r="N291" s="491" t="s">
        <v>251</v>
      </c>
      <c r="O291" s="537">
        <v>43560</v>
      </c>
      <c r="P291" s="537">
        <v>43612</v>
      </c>
      <c r="Q291" s="537">
        <v>43627</v>
      </c>
      <c r="R291" s="491" t="s">
        <v>4894</v>
      </c>
      <c r="S291" s="495"/>
      <c r="T291" s="536">
        <v>264000</v>
      </c>
      <c r="U291" s="536">
        <v>303600</v>
      </c>
      <c r="V291" s="1471"/>
      <c r="W291" s="1471"/>
      <c r="X291" s="1471"/>
      <c r="Y291" s="573">
        <v>43629</v>
      </c>
      <c r="Z291" s="1375" t="s">
        <v>4940</v>
      </c>
      <c r="AA291" s="537">
        <v>43712</v>
      </c>
      <c r="AB291" s="537">
        <v>43713</v>
      </c>
      <c r="AC291" s="537">
        <v>44442</v>
      </c>
      <c r="AD291" s="537">
        <v>43930</v>
      </c>
      <c r="AE291" s="537">
        <v>44285</v>
      </c>
      <c r="AF291" s="1560">
        <v>44637</v>
      </c>
      <c r="AG291" s="374"/>
    </row>
    <row r="292" spans="1:33" ht="30">
      <c r="A292" s="1443"/>
      <c r="B292" s="491"/>
      <c r="C292" s="537">
        <v>43549</v>
      </c>
      <c r="D292" s="1373" t="s">
        <v>4121</v>
      </c>
      <c r="E292" s="491" t="s">
        <v>2434</v>
      </c>
      <c r="F292" s="491" t="s">
        <v>219</v>
      </c>
      <c r="G292" s="571" t="s">
        <v>4122</v>
      </c>
      <c r="H292" s="491">
        <v>7</v>
      </c>
      <c r="I292" s="495" t="s">
        <v>4152</v>
      </c>
      <c r="J292" s="491"/>
      <c r="K292" s="491" t="s">
        <v>642</v>
      </c>
      <c r="L292" s="491"/>
      <c r="M292" s="536">
        <v>217300</v>
      </c>
      <c r="N292" s="491" t="s">
        <v>251</v>
      </c>
      <c r="O292" s="537">
        <v>43560</v>
      </c>
      <c r="P292" s="537">
        <v>43612</v>
      </c>
      <c r="Q292" s="537">
        <v>43627</v>
      </c>
      <c r="R292" s="491" t="s">
        <v>2973</v>
      </c>
      <c r="S292" s="495"/>
      <c r="T292" s="536">
        <v>217300</v>
      </c>
      <c r="U292" s="536">
        <v>249895</v>
      </c>
      <c r="V292" s="1471"/>
      <c r="W292" s="1471"/>
      <c r="X292" s="1471"/>
      <c r="Y292" s="573">
        <v>43629</v>
      </c>
      <c r="Z292" s="1375" t="s">
        <v>4941</v>
      </c>
      <c r="AA292" s="537">
        <v>43712</v>
      </c>
      <c r="AB292" s="537">
        <v>43713</v>
      </c>
      <c r="AC292" s="537">
        <v>44442</v>
      </c>
      <c r="AD292" s="491" t="s">
        <v>6603</v>
      </c>
      <c r="AE292" s="537">
        <v>44285</v>
      </c>
      <c r="AF292" s="1560">
        <v>44637</v>
      </c>
      <c r="AG292" s="374"/>
    </row>
    <row r="293" spans="1:33" ht="30.75" thickBot="1">
      <c r="A293" s="1443"/>
      <c r="B293" s="491"/>
      <c r="C293" s="416">
        <v>43549</v>
      </c>
      <c r="D293" s="1468" t="s">
        <v>4121</v>
      </c>
      <c r="E293" s="411" t="s">
        <v>2434</v>
      </c>
      <c r="F293" s="411" t="s">
        <v>219</v>
      </c>
      <c r="G293" s="412" t="s">
        <v>4122</v>
      </c>
      <c r="H293" s="411">
        <v>8</v>
      </c>
      <c r="I293" s="630" t="s">
        <v>4153</v>
      </c>
      <c r="J293" s="411"/>
      <c r="K293" s="411" t="s">
        <v>642</v>
      </c>
      <c r="L293" s="411"/>
      <c r="M293" s="417">
        <v>14765750</v>
      </c>
      <c r="N293" s="411" t="s">
        <v>251</v>
      </c>
      <c r="O293" s="416">
        <v>43560</v>
      </c>
      <c r="P293" s="416">
        <v>43612</v>
      </c>
      <c r="Q293" s="416">
        <v>43627</v>
      </c>
      <c r="R293" s="411" t="s">
        <v>4839</v>
      </c>
      <c r="S293" s="630"/>
      <c r="T293" s="417">
        <v>14765000</v>
      </c>
      <c r="U293" s="417">
        <v>16979750</v>
      </c>
      <c r="V293" s="1480"/>
      <c r="W293" s="1480"/>
      <c r="X293" s="1480"/>
      <c r="Y293" s="513">
        <v>43629</v>
      </c>
      <c r="Z293" s="1375" t="s">
        <v>4942</v>
      </c>
      <c r="AA293" s="416">
        <v>43712</v>
      </c>
      <c r="AB293" s="416">
        <v>43713</v>
      </c>
      <c r="AC293" s="416">
        <v>44442</v>
      </c>
      <c r="AD293" s="416">
        <v>43930</v>
      </c>
      <c r="AE293" s="416">
        <v>44285</v>
      </c>
      <c r="AF293" s="1560">
        <v>44637</v>
      </c>
      <c r="AG293" s="374"/>
    </row>
    <row r="294" spans="1:33" ht="30.75" thickTop="1">
      <c r="A294" s="1461"/>
      <c r="B294" s="530"/>
      <c r="C294" s="474">
        <v>43549</v>
      </c>
      <c r="D294" s="1383" t="s">
        <v>4123</v>
      </c>
      <c r="E294" s="453" t="s">
        <v>2434</v>
      </c>
      <c r="F294" s="453" t="s">
        <v>219</v>
      </c>
      <c r="G294" s="473" t="s">
        <v>4124</v>
      </c>
      <c r="H294" s="453">
        <v>1</v>
      </c>
      <c r="I294" s="1420" t="s">
        <v>4140</v>
      </c>
      <c r="J294" s="453"/>
      <c r="K294" s="453" t="s">
        <v>642</v>
      </c>
      <c r="L294" s="453"/>
      <c r="M294" s="457">
        <v>4478570</v>
      </c>
      <c r="N294" s="453" t="s">
        <v>251</v>
      </c>
      <c r="O294" s="474">
        <v>43558</v>
      </c>
      <c r="P294" s="474">
        <v>43591</v>
      </c>
      <c r="Q294" s="474">
        <v>43627</v>
      </c>
      <c r="R294" s="453" t="s">
        <v>4838</v>
      </c>
      <c r="S294" s="1420"/>
      <c r="T294" s="457">
        <v>3963844</v>
      </c>
      <c r="U294" s="457">
        <v>4796251.24</v>
      </c>
      <c r="V294" s="1474"/>
      <c r="W294" s="1474"/>
      <c r="X294" s="1474"/>
      <c r="Y294" s="570">
        <v>43629</v>
      </c>
      <c r="Z294" s="1387" t="s">
        <v>4930</v>
      </c>
      <c r="AA294" s="474">
        <v>43699</v>
      </c>
      <c r="AB294" s="474">
        <v>43705</v>
      </c>
      <c r="AC294" s="474">
        <v>44429</v>
      </c>
      <c r="AD294" s="635">
        <v>43930</v>
      </c>
      <c r="AE294" s="635">
        <v>44285</v>
      </c>
      <c r="AF294" s="1560">
        <v>44637</v>
      </c>
      <c r="AG294" s="374"/>
    </row>
    <row r="295" spans="1:33" ht="30">
      <c r="A295" s="1461"/>
      <c r="B295" s="530"/>
      <c r="C295" s="537">
        <v>43549</v>
      </c>
      <c r="D295" s="1373" t="s">
        <v>4123</v>
      </c>
      <c r="E295" s="491" t="s">
        <v>2434</v>
      </c>
      <c r="F295" s="491" t="s">
        <v>219</v>
      </c>
      <c r="G295" s="571" t="s">
        <v>4124</v>
      </c>
      <c r="H295" s="491">
        <v>2</v>
      </c>
      <c r="I295" s="495" t="s">
        <v>4141</v>
      </c>
      <c r="J295" s="491"/>
      <c r="K295" s="491" t="s">
        <v>642</v>
      </c>
      <c r="L295" s="491"/>
      <c r="M295" s="536">
        <v>89090</v>
      </c>
      <c r="N295" s="491" t="s">
        <v>251</v>
      </c>
      <c r="O295" s="537">
        <v>43558</v>
      </c>
      <c r="P295" s="537">
        <v>43591</v>
      </c>
      <c r="Q295" s="537">
        <v>43627</v>
      </c>
      <c r="R295" s="491" t="s">
        <v>3080</v>
      </c>
      <c r="S295" s="495"/>
      <c r="T295" s="536">
        <v>89090</v>
      </c>
      <c r="U295" s="536">
        <v>107798.9</v>
      </c>
      <c r="V295" s="1471"/>
      <c r="W295" s="1471"/>
      <c r="X295" s="1471"/>
      <c r="Y295" s="573">
        <v>43629</v>
      </c>
      <c r="Z295" s="1375" t="s">
        <v>4931</v>
      </c>
      <c r="AA295" s="537">
        <v>43699</v>
      </c>
      <c r="AB295" s="537">
        <v>43705</v>
      </c>
      <c r="AC295" s="537">
        <v>44429</v>
      </c>
      <c r="AD295" s="491" t="s">
        <v>6603</v>
      </c>
      <c r="AE295" s="537">
        <v>44285</v>
      </c>
      <c r="AF295" s="537">
        <v>44637</v>
      </c>
      <c r="AG295" s="374"/>
    </row>
    <row r="296" spans="1:33">
      <c r="A296" s="1461"/>
      <c r="B296" s="530"/>
      <c r="C296" s="510">
        <v>43549</v>
      </c>
      <c r="D296" s="1382" t="s">
        <v>4123</v>
      </c>
      <c r="E296" s="506" t="s">
        <v>2434</v>
      </c>
      <c r="F296" s="506" t="s">
        <v>219</v>
      </c>
      <c r="G296" s="507" t="s">
        <v>4124</v>
      </c>
      <c r="H296" s="506">
        <v>3</v>
      </c>
      <c r="I296" s="548" t="s">
        <v>4142</v>
      </c>
      <c r="J296" s="506"/>
      <c r="K296" s="506" t="s">
        <v>642</v>
      </c>
      <c r="L296" s="506"/>
      <c r="M296" s="511">
        <v>581650</v>
      </c>
      <c r="N296" s="506" t="s">
        <v>251</v>
      </c>
      <c r="O296" s="510">
        <v>43558</v>
      </c>
      <c r="P296" s="510">
        <v>43591</v>
      </c>
      <c r="Q296" s="506"/>
      <c r="R296" s="514" t="s">
        <v>304</v>
      </c>
      <c r="S296" s="736"/>
      <c r="T296" s="511"/>
      <c r="U296" s="511"/>
      <c r="V296" s="1470"/>
      <c r="W296" s="1470"/>
      <c r="X296" s="1470"/>
      <c r="Y296" s="511"/>
      <c r="Z296" s="511"/>
      <c r="AA296" s="506"/>
      <c r="AB296" s="510">
        <v>43644</v>
      </c>
      <c r="AC296" s="506" t="s">
        <v>4890</v>
      </c>
      <c r="AD296" s="466"/>
      <c r="AE296" s="466"/>
    </row>
    <row r="297" spans="1:33" ht="30">
      <c r="A297" s="1461"/>
      <c r="B297" s="530"/>
      <c r="C297" s="537">
        <v>43549</v>
      </c>
      <c r="D297" s="1373" t="s">
        <v>4123</v>
      </c>
      <c r="E297" s="491" t="s">
        <v>2434</v>
      </c>
      <c r="F297" s="491" t="s">
        <v>219</v>
      </c>
      <c r="G297" s="571" t="s">
        <v>4124</v>
      </c>
      <c r="H297" s="491">
        <v>4</v>
      </c>
      <c r="I297" s="495" t="s">
        <v>4143</v>
      </c>
      <c r="J297" s="491"/>
      <c r="K297" s="491" t="s">
        <v>642</v>
      </c>
      <c r="L297" s="491"/>
      <c r="M297" s="536">
        <v>144580</v>
      </c>
      <c r="N297" s="491" t="s">
        <v>251</v>
      </c>
      <c r="O297" s="537">
        <v>43558</v>
      </c>
      <c r="P297" s="537">
        <v>43591</v>
      </c>
      <c r="Q297" s="537">
        <v>43627</v>
      </c>
      <c r="R297" s="491" t="s">
        <v>4839</v>
      </c>
      <c r="S297" s="495"/>
      <c r="T297" s="536">
        <v>144580</v>
      </c>
      <c r="U297" s="536">
        <v>174941.8</v>
      </c>
      <c r="V297" s="1471"/>
      <c r="W297" s="1471"/>
      <c r="X297" s="1471"/>
      <c r="Y297" s="573">
        <v>43629</v>
      </c>
      <c r="Z297" s="1375" t="s">
        <v>4932</v>
      </c>
      <c r="AA297" s="537">
        <v>43699</v>
      </c>
      <c r="AB297" s="537">
        <v>43705</v>
      </c>
      <c r="AC297" s="537">
        <v>44429</v>
      </c>
      <c r="AD297" s="537">
        <v>43930</v>
      </c>
      <c r="AE297" s="537">
        <v>44285</v>
      </c>
      <c r="AF297" s="1560">
        <v>44637</v>
      </c>
      <c r="AG297" s="374"/>
    </row>
    <row r="298" spans="1:33" ht="30">
      <c r="A298" s="1461"/>
      <c r="B298" s="530"/>
      <c r="C298" s="537">
        <v>43549</v>
      </c>
      <c r="D298" s="1373" t="s">
        <v>4123</v>
      </c>
      <c r="E298" s="491" t="s">
        <v>2434</v>
      </c>
      <c r="F298" s="491" t="s">
        <v>219</v>
      </c>
      <c r="G298" s="571" t="s">
        <v>4124</v>
      </c>
      <c r="H298" s="491">
        <v>5</v>
      </c>
      <c r="I298" s="495" t="s">
        <v>4144</v>
      </c>
      <c r="J298" s="491"/>
      <c r="K298" s="491" t="s">
        <v>642</v>
      </c>
      <c r="L298" s="491"/>
      <c r="M298" s="536">
        <v>629700</v>
      </c>
      <c r="N298" s="491" t="s">
        <v>251</v>
      </c>
      <c r="O298" s="537">
        <v>43558</v>
      </c>
      <c r="P298" s="537">
        <v>43591</v>
      </c>
      <c r="Q298" s="537">
        <v>43627</v>
      </c>
      <c r="R298" s="491" t="s">
        <v>4839</v>
      </c>
      <c r="S298" s="495"/>
      <c r="T298" s="536">
        <v>603200</v>
      </c>
      <c r="U298" s="536">
        <v>729872</v>
      </c>
      <c r="V298" s="1471"/>
      <c r="W298" s="1471"/>
      <c r="X298" s="1471"/>
      <c r="Y298" s="573">
        <v>43629</v>
      </c>
      <c r="Z298" s="1375" t="s">
        <v>4933</v>
      </c>
      <c r="AA298" s="537">
        <v>43699</v>
      </c>
      <c r="AB298" s="537">
        <v>43705</v>
      </c>
      <c r="AC298" s="537">
        <v>44429</v>
      </c>
      <c r="AD298" s="537">
        <v>43930</v>
      </c>
      <c r="AE298" s="491" t="s">
        <v>8483</v>
      </c>
      <c r="AF298" s="1560">
        <v>44637</v>
      </c>
      <c r="AG298" s="374"/>
    </row>
    <row r="299" spans="1:33" ht="30.75" thickBot="1">
      <c r="A299" s="1461"/>
      <c r="B299" s="530"/>
      <c r="C299" s="1380">
        <v>43549</v>
      </c>
      <c r="D299" s="1377" t="s">
        <v>4123</v>
      </c>
      <c r="E299" s="1376" t="s">
        <v>2434</v>
      </c>
      <c r="F299" s="1376" t="s">
        <v>219</v>
      </c>
      <c r="G299" s="1378" t="s">
        <v>4124</v>
      </c>
      <c r="H299" s="1376">
        <v>6</v>
      </c>
      <c r="I299" s="1421" t="s">
        <v>4145</v>
      </c>
      <c r="J299" s="1376"/>
      <c r="K299" s="1376" t="s">
        <v>642</v>
      </c>
      <c r="L299" s="1376"/>
      <c r="M299" s="1379">
        <v>50600</v>
      </c>
      <c r="N299" s="1376" t="s">
        <v>251</v>
      </c>
      <c r="O299" s="1380">
        <v>43558</v>
      </c>
      <c r="P299" s="1380">
        <v>43591</v>
      </c>
      <c r="Q299" s="1380">
        <v>43627</v>
      </c>
      <c r="R299" s="1376" t="s">
        <v>4839</v>
      </c>
      <c r="S299" s="1421"/>
      <c r="T299" s="1379">
        <v>50599.5</v>
      </c>
      <c r="U299" s="1379">
        <v>61225.4</v>
      </c>
      <c r="V299" s="1475"/>
      <c r="W299" s="1475"/>
      <c r="X299" s="1475"/>
      <c r="Y299" s="1388">
        <v>43629</v>
      </c>
      <c r="Z299" s="1389" t="s">
        <v>4934</v>
      </c>
      <c r="AA299" s="1380">
        <v>43699</v>
      </c>
      <c r="AB299" s="1380">
        <v>43705</v>
      </c>
      <c r="AC299" s="1380">
        <v>44429</v>
      </c>
      <c r="AD299" s="1380">
        <v>43930</v>
      </c>
      <c r="AE299" s="1380">
        <v>44285</v>
      </c>
      <c r="AF299" s="1560">
        <v>44637</v>
      </c>
      <c r="AG299" s="374"/>
    </row>
    <row r="300" spans="1:33" ht="15.75" thickTop="1">
      <c r="A300" s="1461"/>
      <c r="B300" s="530"/>
      <c r="C300" s="365">
        <v>43546</v>
      </c>
      <c r="D300" s="1397" t="s">
        <v>4138</v>
      </c>
      <c r="E300" s="1603" t="s">
        <v>2111</v>
      </c>
      <c r="F300" s="1603" t="s">
        <v>1215</v>
      </c>
      <c r="G300" s="175" t="s">
        <v>4139</v>
      </c>
      <c r="H300" s="1603"/>
      <c r="I300" s="1604"/>
      <c r="J300" s="1603"/>
      <c r="K300" s="1603" t="s">
        <v>2113</v>
      </c>
      <c r="L300" s="1603"/>
      <c r="M300" s="364">
        <v>570000</v>
      </c>
      <c r="N300" s="1603" t="s">
        <v>251</v>
      </c>
      <c r="O300" s="365">
        <v>43557</v>
      </c>
      <c r="P300" s="365">
        <v>43592</v>
      </c>
      <c r="Q300" s="365">
        <v>43608</v>
      </c>
      <c r="R300" s="1791" t="s">
        <v>2183</v>
      </c>
      <c r="S300" s="1705"/>
      <c r="T300" s="364">
        <v>513226</v>
      </c>
      <c r="U300" s="364">
        <f>T300*1.21</f>
        <v>621003.46</v>
      </c>
      <c r="V300" s="1473"/>
      <c r="W300" s="1473"/>
      <c r="X300" s="1473"/>
      <c r="Y300" s="681">
        <v>43612</v>
      </c>
      <c r="Z300" s="364" t="s">
        <v>4815</v>
      </c>
      <c r="AA300" s="365">
        <v>43678</v>
      </c>
      <c r="AB300" s="365">
        <v>43692</v>
      </c>
      <c r="AC300" s="365">
        <f>AA300+84</f>
        <v>43762</v>
      </c>
      <c r="AD300" s="365">
        <v>43840</v>
      </c>
      <c r="AE300" s="1513"/>
      <c r="AF300" s="374"/>
      <c r="AG300" s="374"/>
    </row>
    <row r="301" spans="1:33">
      <c r="A301" s="1461"/>
      <c r="B301" s="530"/>
      <c r="C301" s="510">
        <v>43552</v>
      </c>
      <c r="D301" s="1382" t="s">
        <v>4160</v>
      </c>
      <c r="E301" s="506" t="s">
        <v>702</v>
      </c>
      <c r="F301" s="506" t="s">
        <v>751</v>
      </c>
      <c r="G301" s="507" t="s">
        <v>4161</v>
      </c>
      <c r="H301" s="506"/>
      <c r="I301" s="548"/>
      <c r="J301" s="506"/>
      <c r="K301" s="506" t="s">
        <v>42</v>
      </c>
      <c r="L301" s="506"/>
      <c r="M301" s="511">
        <v>1950000</v>
      </c>
      <c r="N301" s="506" t="s">
        <v>112</v>
      </c>
      <c r="O301" s="510">
        <v>43558</v>
      </c>
      <c r="P301" s="510">
        <v>43566</v>
      </c>
      <c r="Q301" s="506"/>
      <c r="R301" s="506"/>
      <c r="S301" s="495" t="s">
        <v>5579</v>
      </c>
      <c r="T301" s="511"/>
      <c r="U301" s="511"/>
      <c r="V301" s="1470"/>
      <c r="W301" s="1470"/>
      <c r="X301" s="1470"/>
      <c r="Y301" s="511"/>
      <c r="Z301" s="511"/>
      <c r="AA301" s="506"/>
      <c r="AB301" s="510">
        <v>43671</v>
      </c>
      <c r="AC301" s="506"/>
      <c r="AD301" s="506"/>
      <c r="AE301" s="506"/>
      <c r="AG301" s="1615" t="s">
        <v>5394</v>
      </c>
    </row>
    <row r="302" spans="1:33">
      <c r="A302" s="1461"/>
      <c r="B302" s="530"/>
      <c r="C302" s="491" t="s">
        <v>3585</v>
      </c>
      <c r="D302" s="1373" t="s">
        <v>4162</v>
      </c>
      <c r="E302" s="491" t="s">
        <v>14</v>
      </c>
      <c r="F302" s="491" t="s">
        <v>13</v>
      </c>
      <c r="G302" s="571" t="s">
        <v>4163</v>
      </c>
      <c r="H302" s="491"/>
      <c r="I302" s="495"/>
      <c r="J302" s="491"/>
      <c r="K302" s="491" t="s">
        <v>2055</v>
      </c>
      <c r="L302" s="491" t="s">
        <v>3566</v>
      </c>
      <c r="M302" s="536">
        <v>266640</v>
      </c>
      <c r="N302" s="491" t="s">
        <v>112</v>
      </c>
      <c r="O302" s="537">
        <v>43553</v>
      </c>
      <c r="P302" s="537">
        <v>43564</v>
      </c>
      <c r="Q302" s="537">
        <v>43579</v>
      </c>
      <c r="R302" s="491" t="s">
        <v>4479</v>
      </c>
      <c r="S302" s="495"/>
      <c r="T302" s="536">
        <v>266400</v>
      </c>
      <c r="U302" s="536">
        <f>T302*1.21</f>
        <v>322344</v>
      </c>
      <c r="V302" s="1471"/>
      <c r="W302" s="1471"/>
      <c r="X302" s="1471"/>
      <c r="Y302" s="573">
        <v>43581</v>
      </c>
      <c r="Z302" s="536" t="s">
        <v>4491</v>
      </c>
      <c r="AA302" s="537">
        <v>43608</v>
      </c>
      <c r="AB302" s="537">
        <v>43612</v>
      </c>
      <c r="AC302" s="491" t="s">
        <v>4096</v>
      </c>
      <c r="AD302" s="537">
        <v>43691</v>
      </c>
      <c r="AE302" s="1525">
        <v>44865</v>
      </c>
      <c r="AF302" s="374"/>
      <c r="AG302" s="374"/>
    </row>
    <row r="303" spans="1:33">
      <c r="A303" s="1461"/>
      <c r="B303" s="530"/>
      <c r="C303" s="537">
        <v>43549</v>
      </c>
      <c r="D303" s="1373" t="s">
        <v>4164</v>
      </c>
      <c r="E303" s="491" t="s">
        <v>14</v>
      </c>
      <c r="F303" s="491" t="s">
        <v>13</v>
      </c>
      <c r="G303" s="571" t="s">
        <v>4165</v>
      </c>
      <c r="H303" s="491"/>
      <c r="I303" s="495"/>
      <c r="J303" s="491"/>
      <c r="K303" s="491" t="s">
        <v>4166</v>
      </c>
      <c r="L303" s="491" t="s">
        <v>4167</v>
      </c>
      <c r="M303" s="536">
        <v>537190</v>
      </c>
      <c r="N303" s="491" t="s">
        <v>112</v>
      </c>
      <c r="O303" s="537">
        <v>43558</v>
      </c>
      <c r="P303" s="537">
        <v>43573</v>
      </c>
      <c r="Q303" s="537">
        <v>43587</v>
      </c>
      <c r="R303" s="491" t="s">
        <v>4508</v>
      </c>
      <c r="S303" s="495"/>
      <c r="T303" s="536">
        <v>541935</v>
      </c>
      <c r="U303" s="536">
        <f>T303*1.21</f>
        <v>655741.35</v>
      </c>
      <c r="V303" s="1471"/>
      <c r="W303" s="1471"/>
      <c r="X303" s="1471"/>
      <c r="Y303" s="573">
        <v>43587</v>
      </c>
      <c r="Z303" s="1375" t="s">
        <v>4509</v>
      </c>
      <c r="AA303" s="537">
        <v>43608</v>
      </c>
      <c r="AB303" s="537">
        <v>43612</v>
      </c>
      <c r="AC303" s="537">
        <v>43973</v>
      </c>
      <c r="AD303" s="537">
        <v>44244</v>
      </c>
      <c r="AE303" s="1102"/>
      <c r="AF303" s="374"/>
      <c r="AG303" s="374"/>
    </row>
    <row r="304" spans="1:33">
      <c r="A304" s="1461"/>
      <c r="B304" s="530"/>
      <c r="C304" s="537">
        <v>43542</v>
      </c>
      <c r="D304" s="1373" t="s">
        <v>4168</v>
      </c>
      <c r="E304" s="491" t="s">
        <v>2434</v>
      </c>
      <c r="F304" s="491" t="s">
        <v>3204</v>
      </c>
      <c r="G304" s="571" t="s">
        <v>4169</v>
      </c>
      <c r="H304" s="491"/>
      <c r="I304" s="495"/>
      <c r="J304" s="491"/>
      <c r="K304" s="491" t="s">
        <v>3890</v>
      </c>
      <c r="L304" s="491"/>
      <c r="M304" s="536">
        <v>745500</v>
      </c>
      <c r="N304" s="491" t="s">
        <v>112</v>
      </c>
      <c r="O304" s="537">
        <v>43558</v>
      </c>
      <c r="P304" s="537">
        <v>43566</v>
      </c>
      <c r="Q304" s="537">
        <v>43579</v>
      </c>
      <c r="R304" s="491" t="s">
        <v>1400</v>
      </c>
      <c r="S304" s="495"/>
      <c r="T304" s="536">
        <v>717178.02</v>
      </c>
      <c r="U304" s="536">
        <f>T304*1.21</f>
        <v>867785.40419999999</v>
      </c>
      <c r="V304" s="1471"/>
      <c r="W304" s="1471"/>
      <c r="X304" s="1471"/>
      <c r="Y304" s="573">
        <v>43579</v>
      </c>
      <c r="Z304" s="536" t="s">
        <v>4477</v>
      </c>
      <c r="AA304" s="537">
        <v>43591</v>
      </c>
      <c r="AB304" s="537">
        <v>43594</v>
      </c>
      <c r="AC304" s="537">
        <v>44686</v>
      </c>
      <c r="AD304" s="537">
        <v>43930</v>
      </c>
      <c r="AE304" s="537">
        <v>44285</v>
      </c>
      <c r="AF304" s="1560">
        <v>44637</v>
      </c>
      <c r="AG304" s="388" t="s">
        <v>4562</v>
      </c>
    </row>
    <row r="305" spans="1:33" ht="30">
      <c r="A305" s="1461"/>
      <c r="B305" s="530"/>
      <c r="C305" s="537">
        <v>43556</v>
      </c>
      <c r="D305" s="1373" t="s">
        <v>4170</v>
      </c>
      <c r="E305" s="491" t="s">
        <v>58</v>
      </c>
      <c r="F305" s="491" t="s">
        <v>2684</v>
      </c>
      <c r="G305" s="571" t="s">
        <v>4171</v>
      </c>
      <c r="H305" s="491"/>
      <c r="I305" s="495"/>
      <c r="J305" s="491"/>
      <c r="K305" s="491"/>
      <c r="L305" s="491" t="s">
        <v>4172</v>
      </c>
      <c r="M305" s="536">
        <v>459000</v>
      </c>
      <c r="N305" s="491" t="s">
        <v>112</v>
      </c>
      <c r="O305" s="537">
        <v>43560</v>
      </c>
      <c r="P305" s="537">
        <v>43570</v>
      </c>
      <c r="Q305" s="537">
        <v>43599</v>
      </c>
      <c r="R305" s="491" t="s">
        <v>4522</v>
      </c>
      <c r="S305" s="495"/>
      <c r="T305" s="536">
        <v>447014.78</v>
      </c>
      <c r="U305" s="536">
        <v>540887.92000000004</v>
      </c>
      <c r="V305" s="1471"/>
      <c r="W305" s="1471"/>
      <c r="X305" s="1471"/>
      <c r="Y305" s="573">
        <v>43599</v>
      </c>
      <c r="Z305" s="1375" t="s">
        <v>4555</v>
      </c>
      <c r="AA305" s="537">
        <v>43628</v>
      </c>
      <c r="AB305" s="537">
        <v>43630</v>
      </c>
      <c r="AC305" s="537">
        <f>AA305+42</f>
        <v>43670</v>
      </c>
      <c r="AD305" s="537">
        <v>43731</v>
      </c>
      <c r="AE305" s="1374" t="s">
        <v>1875</v>
      </c>
      <c r="AF305" s="374"/>
      <c r="AG305" s="374"/>
    </row>
    <row r="306" spans="1:33" ht="30">
      <c r="A306" s="1461"/>
      <c r="B306" s="530"/>
      <c r="C306" s="537">
        <v>43556</v>
      </c>
      <c r="D306" s="1373" t="s">
        <v>4197</v>
      </c>
      <c r="E306" s="491" t="s">
        <v>58</v>
      </c>
      <c r="F306" s="491" t="s">
        <v>2684</v>
      </c>
      <c r="G306" s="571" t="s">
        <v>4198</v>
      </c>
      <c r="H306" s="491"/>
      <c r="I306" s="495"/>
      <c r="J306" s="491"/>
      <c r="K306" s="491"/>
      <c r="L306" s="491" t="s">
        <v>4199</v>
      </c>
      <c r="M306" s="536">
        <v>306000</v>
      </c>
      <c r="N306" s="491" t="s">
        <v>112</v>
      </c>
      <c r="O306" s="537">
        <v>43560</v>
      </c>
      <c r="P306" s="537">
        <v>43567</v>
      </c>
      <c r="Q306" s="537">
        <v>43609</v>
      </c>
      <c r="R306" s="491" t="s">
        <v>4517</v>
      </c>
      <c r="S306" s="495"/>
      <c r="T306" s="536">
        <v>304744</v>
      </c>
      <c r="U306" s="536">
        <f>T306*1.21</f>
        <v>368740.24</v>
      </c>
      <c r="V306" s="1471"/>
      <c r="W306" s="1471"/>
      <c r="X306" s="1471"/>
      <c r="Y306" s="573">
        <v>43609</v>
      </c>
      <c r="Z306" s="1375" t="s">
        <v>4814</v>
      </c>
      <c r="AA306" s="537">
        <v>43640</v>
      </c>
      <c r="AB306" s="537">
        <v>43643</v>
      </c>
      <c r="AC306" s="537">
        <f>AA306+28</f>
        <v>43668</v>
      </c>
      <c r="AD306" s="537">
        <v>43731</v>
      </c>
      <c r="AE306" s="1374" t="s">
        <v>1875</v>
      </c>
      <c r="AF306" s="374"/>
      <c r="AG306" s="374"/>
    </row>
    <row r="307" spans="1:33" ht="15.75" thickBot="1">
      <c r="A307" s="1461"/>
      <c r="B307" s="530"/>
      <c r="C307" s="643">
        <v>43557</v>
      </c>
      <c r="D307" s="1491" t="s">
        <v>4184</v>
      </c>
      <c r="E307" s="639" t="s">
        <v>69</v>
      </c>
      <c r="F307" s="639" t="s">
        <v>70</v>
      </c>
      <c r="G307" s="640" t="s">
        <v>4185</v>
      </c>
      <c r="H307" s="639">
        <v>1</v>
      </c>
      <c r="I307" s="1533" t="s">
        <v>5494</v>
      </c>
      <c r="J307" s="639" t="s">
        <v>3751</v>
      </c>
      <c r="K307" s="639" t="s">
        <v>3435</v>
      </c>
      <c r="L307" s="639"/>
      <c r="M307" s="645">
        <v>102581921</v>
      </c>
      <c r="N307" s="639" t="s">
        <v>251</v>
      </c>
      <c r="O307" s="643">
        <v>43587</v>
      </c>
      <c r="P307" s="643">
        <v>43621</v>
      </c>
      <c r="Q307" s="639"/>
      <c r="R307" s="831" t="s">
        <v>5534</v>
      </c>
      <c r="S307" s="1718" t="s">
        <v>5731</v>
      </c>
      <c r="T307" s="645"/>
      <c r="U307" s="645"/>
      <c r="V307" s="1490"/>
      <c r="W307" s="1490"/>
      <c r="X307" s="1490"/>
      <c r="Y307" s="645"/>
      <c r="Z307" s="645"/>
      <c r="AA307" s="639"/>
      <c r="AB307" s="643">
        <v>43628</v>
      </c>
      <c r="AC307" s="639" t="s">
        <v>4902</v>
      </c>
      <c r="AD307" s="639"/>
      <c r="AE307" s="639"/>
    </row>
    <row r="308" spans="1:33" ht="15.75" thickTop="1">
      <c r="A308" s="1461"/>
      <c r="B308" s="530"/>
      <c r="C308" s="443">
        <v>43557</v>
      </c>
      <c r="D308" s="1415" t="s">
        <v>4186</v>
      </c>
      <c r="E308" s="439" t="s">
        <v>69</v>
      </c>
      <c r="F308" s="439" t="s">
        <v>70</v>
      </c>
      <c r="G308" s="440" t="s">
        <v>4187</v>
      </c>
      <c r="H308" s="439">
        <v>1</v>
      </c>
      <c r="I308" s="1431" t="s">
        <v>5488</v>
      </c>
      <c r="J308" s="439" t="s">
        <v>4191</v>
      </c>
      <c r="K308" s="439" t="s">
        <v>4188</v>
      </c>
      <c r="L308" s="439"/>
      <c r="M308" s="444">
        <v>244342</v>
      </c>
      <c r="N308" s="439" t="s">
        <v>251</v>
      </c>
      <c r="O308" s="443">
        <v>43587</v>
      </c>
      <c r="P308" s="443">
        <v>43636</v>
      </c>
      <c r="Q308" s="439"/>
      <c r="R308" s="538" t="s">
        <v>5535</v>
      </c>
      <c r="S308" s="471" t="s">
        <v>5735</v>
      </c>
      <c r="T308" s="444"/>
      <c r="U308" s="444"/>
      <c r="V308" s="1481"/>
      <c r="W308" s="1481"/>
      <c r="X308" s="1481"/>
      <c r="Y308" s="444"/>
      <c r="Z308" s="444"/>
      <c r="AA308" s="439"/>
      <c r="AB308" s="443">
        <v>43678</v>
      </c>
      <c r="AC308" s="439" t="s">
        <v>5105</v>
      </c>
      <c r="AD308" s="439"/>
      <c r="AE308" s="439"/>
    </row>
    <row r="309" spans="1:33">
      <c r="A309" s="1461"/>
      <c r="B309" s="530"/>
      <c r="C309" s="510">
        <v>43557</v>
      </c>
      <c r="D309" s="1382" t="s">
        <v>4186</v>
      </c>
      <c r="E309" s="506" t="s">
        <v>69</v>
      </c>
      <c r="F309" s="506" t="s">
        <v>70</v>
      </c>
      <c r="G309" s="507" t="s">
        <v>4187</v>
      </c>
      <c r="H309" s="506">
        <v>2</v>
      </c>
      <c r="I309" s="548" t="s">
        <v>5489</v>
      </c>
      <c r="J309" s="506" t="s">
        <v>4191</v>
      </c>
      <c r="K309" s="506" t="s">
        <v>4188</v>
      </c>
      <c r="L309" s="506"/>
      <c r="M309" s="511">
        <v>2975177</v>
      </c>
      <c r="N309" s="506" t="s">
        <v>251</v>
      </c>
      <c r="O309" s="510">
        <v>43587</v>
      </c>
      <c r="P309" s="510">
        <v>43636</v>
      </c>
      <c r="Q309" s="506"/>
      <c r="R309" s="514"/>
      <c r="S309" s="736" t="s">
        <v>5736</v>
      </c>
      <c r="T309" s="511"/>
      <c r="U309" s="511"/>
      <c r="V309" s="1470"/>
      <c r="W309" s="1470"/>
      <c r="X309" s="1470"/>
      <c r="Y309" s="511"/>
      <c r="Z309" s="511"/>
      <c r="AA309" s="506"/>
      <c r="AB309" s="510">
        <v>43678</v>
      </c>
      <c r="AC309" s="506" t="s">
        <v>5105</v>
      </c>
      <c r="AD309" s="506"/>
      <c r="AE309" s="506"/>
    </row>
    <row r="310" spans="1:33">
      <c r="A310" s="1461"/>
      <c r="B310" s="530"/>
      <c r="C310" s="510">
        <v>43557</v>
      </c>
      <c r="D310" s="1382" t="s">
        <v>4186</v>
      </c>
      <c r="E310" s="506" t="s">
        <v>69</v>
      </c>
      <c r="F310" s="506" t="s">
        <v>70</v>
      </c>
      <c r="G310" s="507" t="s">
        <v>4187</v>
      </c>
      <c r="H310" s="506">
        <v>3</v>
      </c>
      <c r="I310" s="548" t="s">
        <v>5490</v>
      </c>
      <c r="J310" s="506" t="s">
        <v>4191</v>
      </c>
      <c r="K310" s="506" t="s">
        <v>4188</v>
      </c>
      <c r="L310" s="506"/>
      <c r="M310" s="511">
        <v>780000</v>
      </c>
      <c r="N310" s="506" t="s">
        <v>251</v>
      </c>
      <c r="O310" s="510">
        <v>43587</v>
      </c>
      <c r="P310" s="510">
        <v>43636</v>
      </c>
      <c r="Q310" s="506"/>
      <c r="R310" s="514"/>
      <c r="S310" s="736" t="s">
        <v>5737</v>
      </c>
      <c r="T310" s="511"/>
      <c r="U310" s="511"/>
      <c r="V310" s="1470"/>
      <c r="W310" s="1470"/>
      <c r="X310" s="1470"/>
      <c r="Y310" s="511"/>
      <c r="Z310" s="511"/>
      <c r="AA310" s="506"/>
      <c r="AB310" s="510">
        <v>43678</v>
      </c>
      <c r="AC310" s="506" t="s">
        <v>5105</v>
      </c>
      <c r="AD310" s="506"/>
      <c r="AE310" s="506"/>
    </row>
    <row r="311" spans="1:33" ht="15.75" thickBot="1">
      <c r="A311" s="1461"/>
      <c r="B311" s="530"/>
      <c r="C311" s="1380">
        <v>43557</v>
      </c>
      <c r="D311" s="1377" t="s">
        <v>4186</v>
      </c>
      <c r="E311" s="1376" t="s">
        <v>69</v>
      </c>
      <c r="F311" s="1376" t="s">
        <v>70</v>
      </c>
      <c r="G311" s="1378" t="s">
        <v>4187</v>
      </c>
      <c r="H311" s="1376">
        <v>4</v>
      </c>
      <c r="I311" s="1421" t="s">
        <v>4190</v>
      </c>
      <c r="J311" s="1376" t="s">
        <v>4192</v>
      </c>
      <c r="K311" s="1376" t="s">
        <v>4189</v>
      </c>
      <c r="L311" s="1376"/>
      <c r="M311" s="1379">
        <v>3831744</v>
      </c>
      <c r="N311" s="1376" t="s">
        <v>251</v>
      </c>
      <c r="O311" s="1380">
        <v>43587</v>
      </c>
      <c r="P311" s="1380">
        <v>43636</v>
      </c>
      <c r="Q311" s="1380">
        <v>43692</v>
      </c>
      <c r="R311" s="1376" t="s">
        <v>2548</v>
      </c>
      <c r="S311" s="1421"/>
      <c r="T311" s="1379">
        <v>3767853.64</v>
      </c>
      <c r="U311" s="1379">
        <f>T311*1.1</f>
        <v>4144639.0040000007</v>
      </c>
      <c r="V311" s="1475"/>
      <c r="W311" s="1475"/>
      <c r="X311" s="1475"/>
      <c r="Y311" s="1388">
        <v>43693</v>
      </c>
      <c r="Z311" s="1379" t="s">
        <v>5261</v>
      </c>
      <c r="AA311" s="1380">
        <v>43731</v>
      </c>
      <c r="AB311" s="1380">
        <v>43739</v>
      </c>
      <c r="AC311" s="1380">
        <v>44461</v>
      </c>
      <c r="AD311" s="1380">
        <v>43915</v>
      </c>
      <c r="AE311" s="1380">
        <v>44279</v>
      </c>
      <c r="AF311" s="1560">
        <v>44645</v>
      </c>
      <c r="AG311" s="374"/>
    </row>
    <row r="312" spans="1:33" ht="15.75" thickTop="1">
      <c r="A312" s="1461"/>
      <c r="B312" s="530"/>
      <c r="C312" s="365">
        <v>43557</v>
      </c>
      <c r="D312" s="1397" t="s">
        <v>4193</v>
      </c>
      <c r="E312" s="1728" t="s">
        <v>69</v>
      </c>
      <c r="F312" s="1728" t="s">
        <v>70</v>
      </c>
      <c r="G312" s="175" t="s">
        <v>4194</v>
      </c>
      <c r="H312" s="1728">
        <v>1</v>
      </c>
      <c r="I312" s="1729" t="s">
        <v>4195</v>
      </c>
      <c r="J312" s="1728" t="s">
        <v>4196</v>
      </c>
      <c r="K312" s="1728" t="s">
        <v>72</v>
      </c>
      <c r="L312" s="1728"/>
      <c r="M312" s="364">
        <v>67519837</v>
      </c>
      <c r="N312" s="1728" t="s">
        <v>251</v>
      </c>
      <c r="O312" s="365">
        <v>43587</v>
      </c>
      <c r="P312" s="365">
        <v>43648</v>
      </c>
      <c r="Q312" s="365">
        <v>43684</v>
      </c>
      <c r="R312" s="1791" t="s">
        <v>5211</v>
      </c>
      <c r="S312" s="1729"/>
      <c r="T312" s="364">
        <v>122114868.40000001</v>
      </c>
      <c r="U312" s="364">
        <v>134326355.24000001</v>
      </c>
      <c r="V312" s="1473"/>
      <c r="W312" s="1473"/>
      <c r="X312" s="1473"/>
      <c r="Y312" s="681">
        <v>43684</v>
      </c>
      <c r="Z312" s="364" t="s">
        <v>5210</v>
      </c>
      <c r="AA312" s="365">
        <v>43718</v>
      </c>
      <c r="AB312" s="365">
        <v>43721</v>
      </c>
      <c r="AC312" s="365">
        <v>44448</v>
      </c>
      <c r="AD312" s="365">
        <v>43915</v>
      </c>
      <c r="AE312" s="365">
        <v>44279</v>
      </c>
      <c r="AF312" s="1560">
        <v>44645</v>
      </c>
      <c r="AG312" s="374"/>
    </row>
    <row r="313" spans="1:33" ht="15.75" thickBot="1">
      <c r="A313" s="1461"/>
      <c r="B313" s="530"/>
      <c r="C313" s="416">
        <v>43553</v>
      </c>
      <c r="D313" s="1468" t="s">
        <v>4200</v>
      </c>
      <c r="E313" s="411" t="s">
        <v>14</v>
      </c>
      <c r="F313" s="411" t="s">
        <v>1753</v>
      </c>
      <c r="G313" s="412" t="s">
        <v>4201</v>
      </c>
      <c r="H313" s="411"/>
      <c r="I313" s="630"/>
      <c r="J313" s="411"/>
      <c r="K313" s="411" t="s">
        <v>4202</v>
      </c>
      <c r="L313" s="411"/>
      <c r="M313" s="417">
        <v>800000</v>
      </c>
      <c r="N313" s="411" t="s">
        <v>112</v>
      </c>
      <c r="O313" s="416">
        <v>43563</v>
      </c>
      <c r="P313" s="416">
        <v>43577</v>
      </c>
      <c r="Q313" s="416">
        <v>43584</v>
      </c>
      <c r="R313" s="411" t="s">
        <v>4455</v>
      </c>
      <c r="S313" s="630"/>
      <c r="T313" s="417">
        <v>830000</v>
      </c>
      <c r="U313" s="417">
        <v>1004300</v>
      </c>
      <c r="V313" s="1480"/>
      <c r="W313" s="1480"/>
      <c r="X313" s="1480"/>
      <c r="Y313" s="513">
        <v>43585</v>
      </c>
      <c r="Z313" s="417" t="s">
        <v>4503</v>
      </c>
      <c r="AA313" s="416">
        <v>43606</v>
      </c>
      <c r="AB313" s="416">
        <v>43608</v>
      </c>
      <c r="AC313" s="416">
        <v>44500</v>
      </c>
      <c r="AD313" s="416">
        <v>43913</v>
      </c>
      <c r="AE313" s="416">
        <v>44637</v>
      </c>
      <c r="AF313" s="374"/>
      <c r="AG313" s="374"/>
    </row>
    <row r="314" spans="1:33" ht="15.75" thickTop="1">
      <c r="A314" s="1461"/>
      <c r="B314" s="530"/>
      <c r="C314" s="443">
        <v>43559</v>
      </c>
      <c r="D314" s="1415" t="s">
        <v>4279</v>
      </c>
      <c r="E314" s="439" t="s">
        <v>2434</v>
      </c>
      <c r="F314" s="439" t="s">
        <v>219</v>
      </c>
      <c r="G314" s="440" t="s">
        <v>4280</v>
      </c>
      <c r="H314" s="439">
        <v>1</v>
      </c>
      <c r="I314" s="1431" t="s">
        <v>4281</v>
      </c>
      <c r="J314" s="439"/>
      <c r="K314" s="439" t="s">
        <v>642</v>
      </c>
      <c r="L314" s="439"/>
      <c r="M314" s="444">
        <v>1505000</v>
      </c>
      <c r="N314" s="439" t="s">
        <v>251</v>
      </c>
      <c r="O314" s="443">
        <v>43571</v>
      </c>
      <c r="P314" s="443">
        <v>43619</v>
      </c>
      <c r="Q314" s="439"/>
      <c r="R314" s="538" t="s">
        <v>304</v>
      </c>
      <c r="S314" s="753"/>
      <c r="T314" s="444"/>
      <c r="U314" s="444"/>
      <c r="V314" s="1481"/>
      <c r="W314" s="1481"/>
      <c r="X314" s="1481"/>
      <c r="Y314" s="444"/>
      <c r="Z314" s="444"/>
      <c r="AA314" s="439"/>
      <c r="AB314" s="443">
        <v>43735</v>
      </c>
      <c r="AC314" s="439" t="s">
        <v>5623</v>
      </c>
      <c r="AD314" s="439"/>
      <c r="AE314" s="439"/>
    </row>
    <row r="315" spans="1:33" ht="30.75" thickBot="1">
      <c r="A315" s="1461"/>
      <c r="B315" s="530"/>
      <c r="C315" s="1380">
        <v>43559</v>
      </c>
      <c r="D315" s="1377" t="s">
        <v>4279</v>
      </c>
      <c r="E315" s="1376" t="s">
        <v>2434</v>
      </c>
      <c r="F315" s="1376" t="s">
        <v>219</v>
      </c>
      <c r="G315" s="1378" t="s">
        <v>4280</v>
      </c>
      <c r="H315" s="1376">
        <v>2</v>
      </c>
      <c r="I315" s="1421" t="s">
        <v>4282</v>
      </c>
      <c r="J315" s="1376"/>
      <c r="K315" s="1376" t="s">
        <v>642</v>
      </c>
      <c r="L315" s="1376"/>
      <c r="M315" s="1379">
        <v>3461500</v>
      </c>
      <c r="N315" s="1376" t="s">
        <v>251</v>
      </c>
      <c r="O315" s="1380">
        <v>43571</v>
      </c>
      <c r="P315" s="1380">
        <v>43619</v>
      </c>
      <c r="Q315" s="1380">
        <v>43732</v>
      </c>
      <c r="R315" s="1376" t="s">
        <v>4894</v>
      </c>
      <c r="S315" s="1421"/>
      <c r="T315" s="1379">
        <v>3461500</v>
      </c>
      <c r="U315" s="1379">
        <v>3980725</v>
      </c>
      <c r="V315" s="1475"/>
      <c r="W315" s="1475"/>
      <c r="X315" s="1475"/>
      <c r="Y315" s="1388">
        <v>43733</v>
      </c>
      <c r="Z315" s="1389" t="s">
        <v>5708</v>
      </c>
      <c r="AA315" s="1380">
        <v>43752</v>
      </c>
      <c r="AB315" s="1380">
        <v>43755</v>
      </c>
      <c r="AC315" s="1380">
        <v>44482</v>
      </c>
      <c r="AD315" s="1380">
        <v>43930</v>
      </c>
      <c r="AE315" s="1380">
        <v>44285</v>
      </c>
      <c r="AF315" s="1560">
        <v>44637</v>
      </c>
      <c r="AG315" s="374"/>
    </row>
    <row r="316" spans="1:33" ht="15.75" thickTop="1">
      <c r="A316" s="1461"/>
      <c r="B316" s="530"/>
      <c r="C316" s="470">
        <v>43559</v>
      </c>
      <c r="D316" s="1515" t="s">
        <v>4283</v>
      </c>
      <c r="E316" s="466" t="s">
        <v>2434</v>
      </c>
      <c r="F316" s="466" t="s">
        <v>219</v>
      </c>
      <c r="G316" s="467" t="s">
        <v>4284</v>
      </c>
      <c r="H316" s="466"/>
      <c r="I316" s="654"/>
      <c r="J316" s="466"/>
      <c r="K316" s="466" t="s">
        <v>642</v>
      </c>
      <c r="L316" s="466"/>
      <c r="M316" s="472">
        <v>14033750</v>
      </c>
      <c r="N316" s="466" t="s">
        <v>251</v>
      </c>
      <c r="O316" s="470">
        <v>43571</v>
      </c>
      <c r="P316" s="470">
        <v>43607</v>
      </c>
      <c r="Q316" s="466"/>
      <c r="R316" s="1171" t="s">
        <v>304</v>
      </c>
      <c r="S316" s="471"/>
      <c r="T316" s="472"/>
      <c r="U316" s="472"/>
      <c r="V316" s="1516"/>
      <c r="W316" s="1516"/>
      <c r="X316" s="1516"/>
      <c r="Y316" s="472"/>
      <c r="Z316" s="472"/>
      <c r="AA316" s="466"/>
      <c r="AB316" s="1556">
        <v>43614</v>
      </c>
      <c r="AC316" s="466"/>
      <c r="AD316" s="466"/>
      <c r="AE316" s="466"/>
    </row>
    <row r="317" spans="1:33" ht="30">
      <c r="A317" s="1461"/>
      <c r="B317" s="530"/>
      <c r="C317" s="510">
        <v>43557</v>
      </c>
      <c r="D317" s="1382" t="s">
        <v>4285</v>
      </c>
      <c r="E317" s="506" t="s">
        <v>166</v>
      </c>
      <c r="F317" s="506" t="s">
        <v>167</v>
      </c>
      <c r="G317" s="507" t="s">
        <v>4286</v>
      </c>
      <c r="H317" s="506"/>
      <c r="I317" s="548"/>
      <c r="J317" s="506"/>
      <c r="K317" s="506" t="s">
        <v>4287</v>
      </c>
      <c r="L317" s="506" t="s">
        <v>4288</v>
      </c>
      <c r="M317" s="511">
        <v>830000</v>
      </c>
      <c r="N317" s="506" t="s">
        <v>112</v>
      </c>
      <c r="O317" s="510">
        <v>43602</v>
      </c>
      <c r="P317" s="510">
        <v>43619</v>
      </c>
      <c r="Q317" s="510">
        <v>43634</v>
      </c>
      <c r="R317" s="506" t="s">
        <v>4946</v>
      </c>
      <c r="S317" s="548" t="s">
        <v>5363</v>
      </c>
      <c r="T317" s="511">
        <v>1033225</v>
      </c>
      <c r="U317" s="511">
        <v>1250202.25</v>
      </c>
      <c r="V317" s="1470"/>
      <c r="W317" s="1470"/>
      <c r="X317" s="1470"/>
      <c r="Y317" s="1398">
        <v>43635</v>
      </c>
      <c r="Z317" s="1561" t="s">
        <v>4967</v>
      </c>
      <c r="AA317" s="506"/>
      <c r="AB317" s="510">
        <v>43642</v>
      </c>
      <c r="AC317" s="506"/>
      <c r="AD317" s="506"/>
      <c r="AE317" s="506"/>
      <c r="AF317" s="1725"/>
    </row>
    <row r="318" spans="1:33" ht="30">
      <c r="A318" s="1461"/>
      <c r="B318" s="530"/>
      <c r="C318" s="537">
        <v>43560</v>
      </c>
      <c r="D318" s="1373" t="s">
        <v>4289</v>
      </c>
      <c r="E318" s="491" t="s">
        <v>58</v>
      </c>
      <c r="F318" s="491" t="s">
        <v>2684</v>
      </c>
      <c r="G318" s="571" t="s">
        <v>4219</v>
      </c>
      <c r="H318" s="491">
        <v>1</v>
      </c>
      <c r="I318" s="495" t="s">
        <v>4290</v>
      </c>
      <c r="J318" s="491"/>
      <c r="K318" s="491" t="s">
        <v>792</v>
      </c>
      <c r="L318" s="491" t="s">
        <v>4221</v>
      </c>
      <c r="M318" s="536">
        <v>198500</v>
      </c>
      <c r="N318" s="491" t="s">
        <v>112</v>
      </c>
      <c r="O318" s="537">
        <v>43565</v>
      </c>
      <c r="P318" s="537">
        <v>43573</v>
      </c>
      <c r="Q318" s="537">
        <v>43584</v>
      </c>
      <c r="R318" s="491" t="s">
        <v>4478</v>
      </c>
      <c r="S318" s="495"/>
      <c r="T318" s="536">
        <v>209240</v>
      </c>
      <c r="U318" s="536">
        <v>253180.4</v>
      </c>
      <c r="V318" s="1471"/>
      <c r="W318" s="1471"/>
      <c r="X318" s="1471"/>
      <c r="Y318" s="573">
        <v>43584</v>
      </c>
      <c r="Z318" s="1375" t="s">
        <v>4500</v>
      </c>
      <c r="AA318" s="537">
        <v>43612</v>
      </c>
      <c r="AB318" s="537">
        <v>43616</v>
      </c>
      <c r="AC318" s="537">
        <v>43668</v>
      </c>
      <c r="AD318" s="537">
        <v>43703</v>
      </c>
      <c r="AE318" s="1374" t="s">
        <v>1875</v>
      </c>
      <c r="AF318" s="374"/>
      <c r="AG318" s="374"/>
    </row>
    <row r="319" spans="1:33" ht="30">
      <c r="A319" s="1461"/>
      <c r="B319" s="530"/>
      <c r="C319" s="537">
        <v>43560</v>
      </c>
      <c r="D319" s="1373" t="s">
        <v>4289</v>
      </c>
      <c r="E319" s="491" t="s">
        <v>58</v>
      </c>
      <c r="F319" s="491" t="s">
        <v>2684</v>
      </c>
      <c r="G319" s="571" t="s">
        <v>4219</v>
      </c>
      <c r="H319" s="491">
        <v>2</v>
      </c>
      <c r="I319" s="495" t="s">
        <v>4293</v>
      </c>
      <c r="J319" s="491"/>
      <c r="K319" s="491" t="s">
        <v>792</v>
      </c>
      <c r="L319" s="491" t="s">
        <v>4220</v>
      </c>
      <c r="M319" s="536">
        <v>165500</v>
      </c>
      <c r="N319" s="491" t="s">
        <v>112</v>
      </c>
      <c r="O319" s="537">
        <v>43565</v>
      </c>
      <c r="P319" s="537">
        <v>43573</v>
      </c>
      <c r="Q319" s="537">
        <v>43584</v>
      </c>
      <c r="R319" s="491" t="s">
        <v>2108</v>
      </c>
      <c r="S319" s="495"/>
      <c r="T319" s="536">
        <v>148228</v>
      </c>
      <c r="U319" s="536">
        <v>179355.88</v>
      </c>
      <c r="V319" s="1471"/>
      <c r="W319" s="1471"/>
      <c r="X319" s="1471"/>
      <c r="Y319" s="573">
        <v>43584</v>
      </c>
      <c r="Z319" s="1375" t="s">
        <v>4501</v>
      </c>
      <c r="AA319" s="537">
        <v>43612</v>
      </c>
      <c r="AB319" s="537">
        <v>43616</v>
      </c>
      <c r="AC319" s="537">
        <v>43668</v>
      </c>
      <c r="AD319" s="537">
        <v>43703</v>
      </c>
      <c r="AE319" s="1374" t="s">
        <v>1875</v>
      </c>
      <c r="AF319" s="374"/>
      <c r="AG319" s="374"/>
    </row>
    <row r="320" spans="1:33" ht="30">
      <c r="A320" s="1461"/>
      <c r="B320" s="530"/>
      <c r="C320" s="537">
        <v>43560</v>
      </c>
      <c r="D320" s="1373" t="s">
        <v>4289</v>
      </c>
      <c r="E320" s="491" t="s">
        <v>58</v>
      </c>
      <c r="F320" s="491" t="s">
        <v>2684</v>
      </c>
      <c r="G320" s="571" t="s">
        <v>4219</v>
      </c>
      <c r="H320" s="491">
        <v>3</v>
      </c>
      <c r="I320" s="495" t="s">
        <v>4292</v>
      </c>
      <c r="J320" s="491"/>
      <c r="K320" s="491" t="s">
        <v>792</v>
      </c>
      <c r="L320" s="491" t="s">
        <v>4291</v>
      </c>
      <c r="M320" s="536">
        <v>182281</v>
      </c>
      <c r="N320" s="491" t="s">
        <v>112</v>
      </c>
      <c r="O320" s="537">
        <v>43565</v>
      </c>
      <c r="P320" s="537">
        <v>43573</v>
      </c>
      <c r="Q320" s="537">
        <v>43584</v>
      </c>
      <c r="R320" s="491" t="s">
        <v>2108</v>
      </c>
      <c r="S320" s="495"/>
      <c r="T320" s="536">
        <v>171578</v>
      </c>
      <c r="U320" s="536">
        <v>207609.38</v>
      </c>
      <c r="V320" s="1471"/>
      <c r="W320" s="1471"/>
      <c r="X320" s="1471"/>
      <c r="Y320" s="573">
        <v>43584</v>
      </c>
      <c r="Z320" s="1375" t="s">
        <v>4502</v>
      </c>
      <c r="AA320" s="537">
        <v>43612</v>
      </c>
      <c r="AB320" s="537">
        <v>43616</v>
      </c>
      <c r="AC320" s="537">
        <v>43668</v>
      </c>
      <c r="AD320" s="537">
        <v>43703</v>
      </c>
      <c r="AE320" s="1374" t="s">
        <v>1875</v>
      </c>
      <c r="AF320" s="374"/>
      <c r="AG320" s="374"/>
    </row>
    <row r="321" spans="1:45" ht="15.75" thickBot="1">
      <c r="A321" s="1461"/>
      <c r="B321" s="530"/>
      <c r="C321" s="643">
        <v>43559</v>
      </c>
      <c r="D321" s="1491" t="s">
        <v>4301</v>
      </c>
      <c r="E321" s="639" t="s">
        <v>1032</v>
      </c>
      <c r="F321" s="639" t="s">
        <v>361</v>
      </c>
      <c r="G321" s="640" t="s">
        <v>4302</v>
      </c>
      <c r="H321" s="639"/>
      <c r="I321" s="1533"/>
      <c r="J321" s="639"/>
      <c r="K321" s="639" t="s">
        <v>806</v>
      </c>
      <c r="L321" s="639" t="s">
        <v>4303</v>
      </c>
      <c r="M321" s="645">
        <v>4130000</v>
      </c>
      <c r="N321" s="639" t="s">
        <v>251</v>
      </c>
      <c r="O321" s="643">
        <v>43572</v>
      </c>
      <c r="P321" s="643">
        <v>43608</v>
      </c>
      <c r="Q321" s="639"/>
      <c r="R321" s="831" t="s">
        <v>242</v>
      </c>
      <c r="S321" s="1715" t="s">
        <v>4818</v>
      </c>
      <c r="T321" s="645"/>
      <c r="U321" s="645"/>
      <c r="V321" s="1534"/>
      <c r="W321" s="1534"/>
      <c r="X321" s="1534"/>
      <c r="Y321" s="645"/>
      <c r="Z321" s="645"/>
      <c r="AA321" s="639"/>
      <c r="AB321" s="643">
        <v>43609</v>
      </c>
      <c r="AC321" s="639"/>
      <c r="AD321" s="639"/>
      <c r="AE321" s="639"/>
    </row>
    <row r="322" spans="1:45" ht="15.75" thickTop="1">
      <c r="A322" s="1461"/>
      <c r="B322" s="530"/>
      <c r="C322" s="443">
        <v>43559</v>
      </c>
      <c r="D322" s="1415" t="s">
        <v>4304</v>
      </c>
      <c r="E322" s="439" t="s">
        <v>2434</v>
      </c>
      <c r="F322" s="439" t="s">
        <v>219</v>
      </c>
      <c r="G322" s="440" t="s">
        <v>4322</v>
      </c>
      <c r="H322" s="439">
        <v>1</v>
      </c>
      <c r="I322" s="1431" t="s">
        <v>4306</v>
      </c>
      <c r="J322" s="439"/>
      <c r="K322" s="439" t="s">
        <v>642</v>
      </c>
      <c r="L322" s="439"/>
      <c r="M322" s="444">
        <v>3746670</v>
      </c>
      <c r="N322" s="439" t="s">
        <v>251</v>
      </c>
      <c r="O322" s="443">
        <v>43571</v>
      </c>
      <c r="P322" s="443">
        <v>43605</v>
      </c>
      <c r="Q322" s="439"/>
      <c r="R322" s="538" t="s">
        <v>304</v>
      </c>
      <c r="S322" s="1900" t="s">
        <v>5462</v>
      </c>
      <c r="T322" s="444"/>
      <c r="U322" s="444"/>
      <c r="V322" s="1483"/>
      <c r="W322" s="1483"/>
      <c r="X322" s="1483"/>
      <c r="Y322" s="444"/>
      <c r="Z322" s="444"/>
      <c r="AA322" s="439"/>
      <c r="AB322" s="443">
        <v>43641</v>
      </c>
      <c r="AC322" s="439" t="s">
        <v>4859</v>
      </c>
      <c r="AD322" s="439"/>
      <c r="AE322" s="439"/>
    </row>
    <row r="323" spans="1:45">
      <c r="A323" s="1461"/>
      <c r="B323" s="530"/>
      <c r="C323" s="510">
        <v>43559</v>
      </c>
      <c r="D323" s="1382" t="s">
        <v>4304</v>
      </c>
      <c r="E323" s="506" t="s">
        <v>2434</v>
      </c>
      <c r="F323" s="506" t="s">
        <v>219</v>
      </c>
      <c r="G323" s="507" t="s">
        <v>4322</v>
      </c>
      <c r="H323" s="506">
        <v>2</v>
      </c>
      <c r="I323" s="548" t="s">
        <v>4308</v>
      </c>
      <c r="J323" s="506"/>
      <c r="K323" s="506" t="s">
        <v>642</v>
      </c>
      <c r="L323" s="506"/>
      <c r="M323" s="511">
        <v>26970</v>
      </c>
      <c r="N323" s="506" t="s">
        <v>251</v>
      </c>
      <c r="O323" s="510">
        <v>43571</v>
      </c>
      <c r="P323" s="510">
        <v>43605</v>
      </c>
      <c r="Q323" s="506"/>
      <c r="R323" s="514" t="s">
        <v>4825</v>
      </c>
      <c r="S323" s="1720" t="s">
        <v>5462</v>
      </c>
      <c r="T323" s="511"/>
      <c r="U323" s="511"/>
      <c r="V323" s="1484"/>
      <c r="W323" s="1484"/>
      <c r="X323" s="1484"/>
      <c r="Y323" s="511"/>
      <c r="Z323" s="511"/>
      <c r="AA323" s="506"/>
      <c r="AB323" s="510">
        <v>43641</v>
      </c>
      <c r="AC323" s="506" t="s">
        <v>4859</v>
      </c>
      <c r="AD323" s="506"/>
      <c r="AE323" s="506"/>
    </row>
    <row r="324" spans="1:45">
      <c r="A324" s="1461"/>
      <c r="B324" s="530"/>
      <c r="C324" s="510">
        <v>43559</v>
      </c>
      <c r="D324" s="1382" t="s">
        <v>4304</v>
      </c>
      <c r="E324" s="506" t="s">
        <v>2434</v>
      </c>
      <c r="F324" s="506" t="s">
        <v>219</v>
      </c>
      <c r="G324" s="507" t="s">
        <v>4322</v>
      </c>
      <c r="H324" s="506">
        <v>3</v>
      </c>
      <c r="I324" s="548" t="s">
        <v>4309</v>
      </c>
      <c r="J324" s="506"/>
      <c r="K324" s="506" t="s">
        <v>642</v>
      </c>
      <c r="L324" s="506"/>
      <c r="M324" s="511">
        <v>24120</v>
      </c>
      <c r="N324" s="506" t="s">
        <v>251</v>
      </c>
      <c r="O324" s="510">
        <v>43571</v>
      </c>
      <c r="P324" s="510">
        <v>43605</v>
      </c>
      <c r="Q324" s="506"/>
      <c r="R324" s="514" t="s">
        <v>4825</v>
      </c>
      <c r="S324" s="1720" t="s">
        <v>5462</v>
      </c>
      <c r="T324" s="511"/>
      <c r="U324" s="511"/>
      <c r="V324" s="1470"/>
      <c r="W324" s="1470"/>
      <c r="X324" s="1470"/>
      <c r="Y324" s="511"/>
      <c r="Z324" s="511"/>
      <c r="AA324" s="506"/>
      <c r="AB324" s="510">
        <v>43641</v>
      </c>
      <c r="AC324" s="506" t="s">
        <v>4859</v>
      </c>
      <c r="AD324" s="506"/>
      <c r="AE324" s="506"/>
    </row>
    <row r="325" spans="1:45" ht="30.75" thickBot="1">
      <c r="A325" s="1461"/>
      <c r="B325" s="530"/>
      <c r="C325" s="1380">
        <v>43559</v>
      </c>
      <c r="D325" s="1377" t="s">
        <v>4304</v>
      </c>
      <c r="E325" s="1376" t="s">
        <v>2434</v>
      </c>
      <c r="F325" s="1376" t="s">
        <v>219</v>
      </c>
      <c r="G325" s="1378" t="s">
        <v>4322</v>
      </c>
      <c r="H325" s="1376">
        <v>4</v>
      </c>
      <c r="I325" s="1421" t="s">
        <v>4307</v>
      </c>
      <c r="J325" s="1376"/>
      <c r="K325" s="1376" t="s">
        <v>642</v>
      </c>
      <c r="L325" s="1376"/>
      <c r="M325" s="1379">
        <v>1081200</v>
      </c>
      <c r="N325" s="1376" t="s">
        <v>251</v>
      </c>
      <c r="O325" s="1380">
        <v>43571</v>
      </c>
      <c r="P325" s="1380">
        <v>43605</v>
      </c>
      <c r="Q325" s="1380">
        <v>43627</v>
      </c>
      <c r="R325" s="1376" t="s">
        <v>3080</v>
      </c>
      <c r="S325" s="1421"/>
      <c r="T325" s="1379">
        <v>1081200</v>
      </c>
      <c r="U325" s="1379">
        <v>1243380</v>
      </c>
      <c r="V325" s="1475"/>
      <c r="W325" s="1475"/>
      <c r="X325" s="1475"/>
      <c r="Y325" s="1388">
        <v>43629</v>
      </c>
      <c r="Z325" s="1389" t="s">
        <v>4935</v>
      </c>
      <c r="AA325" s="1380">
        <v>43705</v>
      </c>
      <c r="AB325" s="1380">
        <v>43710</v>
      </c>
      <c r="AC325" s="1380">
        <v>44435</v>
      </c>
      <c r="AD325" s="1380">
        <v>43930</v>
      </c>
      <c r="AE325" s="1380">
        <v>44285</v>
      </c>
      <c r="AF325" s="1560">
        <v>44637</v>
      </c>
      <c r="AG325" s="374"/>
    </row>
    <row r="326" spans="1:45" ht="16.5" thickTop="1" thickBot="1">
      <c r="A326" s="1461"/>
      <c r="B326" s="530"/>
      <c r="C326" s="1539">
        <v>43559</v>
      </c>
      <c r="D326" s="1540" t="s">
        <v>4305</v>
      </c>
      <c r="E326" s="185" t="s">
        <v>2434</v>
      </c>
      <c r="F326" s="185" t="s">
        <v>219</v>
      </c>
      <c r="G326" s="282" t="s">
        <v>4211</v>
      </c>
      <c r="H326" s="185"/>
      <c r="I326" s="1541"/>
      <c r="J326" s="185"/>
      <c r="K326" s="185" t="s">
        <v>642</v>
      </c>
      <c r="L326" s="185"/>
      <c r="M326" s="1542">
        <v>1750000</v>
      </c>
      <c r="N326" s="185" t="s">
        <v>112</v>
      </c>
      <c r="O326" s="1539">
        <v>43567</v>
      </c>
      <c r="P326" s="1539">
        <v>43580</v>
      </c>
      <c r="Q326" s="185"/>
      <c r="R326" s="1795" t="s">
        <v>4524</v>
      </c>
      <c r="S326" s="1716" t="s">
        <v>4726</v>
      </c>
      <c r="T326" s="1542"/>
      <c r="U326" s="1542"/>
      <c r="V326" s="1543"/>
      <c r="W326" s="1543"/>
      <c r="X326" s="1543"/>
      <c r="Y326" s="1542"/>
      <c r="Z326" s="1542"/>
      <c r="AA326" s="185"/>
      <c r="AB326" s="1539">
        <v>43588</v>
      </c>
      <c r="AC326" s="185"/>
      <c r="AD326" s="185"/>
      <c r="AE326" s="185"/>
    </row>
    <row r="327" spans="1:45" ht="15.75" thickTop="1">
      <c r="A327" s="1461"/>
      <c r="B327" s="530"/>
      <c r="C327" s="474">
        <v>43564</v>
      </c>
      <c r="D327" s="1383" t="s">
        <v>4329</v>
      </c>
      <c r="E327" s="453" t="s">
        <v>69</v>
      </c>
      <c r="F327" s="453" t="s">
        <v>70</v>
      </c>
      <c r="G327" s="473" t="s">
        <v>4330</v>
      </c>
      <c r="H327" s="453">
        <v>1</v>
      </c>
      <c r="I327" s="1420" t="s">
        <v>4331</v>
      </c>
      <c r="J327" s="453" t="s">
        <v>4334</v>
      </c>
      <c r="K327" s="453" t="s">
        <v>815</v>
      </c>
      <c r="L327" s="453"/>
      <c r="M327" s="457">
        <v>552312</v>
      </c>
      <c r="N327" s="453" t="s">
        <v>251</v>
      </c>
      <c r="O327" s="474">
        <v>43588</v>
      </c>
      <c r="P327" s="474">
        <v>43633</v>
      </c>
      <c r="Q327" s="474">
        <v>43662</v>
      </c>
      <c r="R327" s="453" t="s">
        <v>1564</v>
      </c>
      <c r="S327" s="1420"/>
      <c r="T327" s="457">
        <v>548680</v>
      </c>
      <c r="U327" s="457">
        <f>T327*1.1</f>
        <v>603548</v>
      </c>
      <c r="V327" s="1474"/>
      <c r="W327" s="1474"/>
      <c r="X327" s="1474"/>
      <c r="Y327" s="570">
        <v>43662</v>
      </c>
      <c r="Z327" s="457" t="s">
        <v>5133</v>
      </c>
      <c r="AA327" s="474">
        <v>43712</v>
      </c>
      <c r="AB327" s="474">
        <v>43713</v>
      </c>
      <c r="AC327" s="474">
        <v>43711</v>
      </c>
      <c r="AD327" s="537">
        <v>43915</v>
      </c>
      <c r="AE327" s="537">
        <v>44279</v>
      </c>
      <c r="AF327" s="1560">
        <v>44645</v>
      </c>
      <c r="AG327" s="374"/>
    </row>
    <row r="328" spans="1:45">
      <c r="A328" s="1461"/>
      <c r="B328" s="530"/>
      <c r="C328" s="537">
        <v>43564</v>
      </c>
      <c r="D328" s="1373" t="s">
        <v>4329</v>
      </c>
      <c r="E328" s="491" t="s">
        <v>69</v>
      </c>
      <c r="F328" s="491" t="s">
        <v>70</v>
      </c>
      <c r="G328" s="571" t="s">
        <v>4330</v>
      </c>
      <c r="H328" s="491">
        <v>2</v>
      </c>
      <c r="I328" s="495" t="s">
        <v>4332</v>
      </c>
      <c r="J328" s="590" t="s">
        <v>4335</v>
      </c>
      <c r="K328" s="491" t="s">
        <v>815</v>
      </c>
      <c r="L328" s="491"/>
      <c r="M328" s="536">
        <v>1631658</v>
      </c>
      <c r="N328" s="491" t="s">
        <v>251</v>
      </c>
      <c r="O328" s="537">
        <v>43588</v>
      </c>
      <c r="P328" s="537">
        <v>43633</v>
      </c>
      <c r="Q328" s="537">
        <v>43662</v>
      </c>
      <c r="R328" s="491" t="s">
        <v>2548</v>
      </c>
      <c r="S328" s="495"/>
      <c r="T328" s="536">
        <v>1335012.8999999999</v>
      </c>
      <c r="U328" s="536">
        <f>T328*1.1</f>
        <v>1468514.19</v>
      </c>
      <c r="V328" s="1471"/>
      <c r="W328" s="1471"/>
      <c r="X328" s="1471"/>
      <c r="Y328" s="573">
        <v>43662</v>
      </c>
      <c r="Z328" s="536" t="s">
        <v>5134</v>
      </c>
      <c r="AA328" s="537">
        <v>43712</v>
      </c>
      <c r="AB328" s="537">
        <v>43713</v>
      </c>
      <c r="AC328" s="537">
        <v>44442</v>
      </c>
      <c r="AD328" s="537">
        <v>43915</v>
      </c>
      <c r="AE328" s="537">
        <v>44279</v>
      </c>
      <c r="AF328" s="1560">
        <v>44645</v>
      </c>
      <c r="AG328" s="374"/>
    </row>
    <row r="329" spans="1:45" s="1747" customFormat="1" ht="15.75" thickBot="1">
      <c r="A329" s="1743"/>
      <c r="B329" s="1744"/>
      <c r="C329" s="1830">
        <v>43564</v>
      </c>
      <c r="D329" s="1831" t="s">
        <v>4329</v>
      </c>
      <c r="E329" s="1832" t="s">
        <v>69</v>
      </c>
      <c r="F329" s="1832" t="s">
        <v>70</v>
      </c>
      <c r="G329" s="1833" t="s">
        <v>4330</v>
      </c>
      <c r="H329" s="1832">
        <v>3</v>
      </c>
      <c r="I329" s="1834" t="s">
        <v>4333</v>
      </c>
      <c r="J329" s="1832" t="s">
        <v>4336</v>
      </c>
      <c r="K329" s="1832" t="s">
        <v>815</v>
      </c>
      <c r="L329" s="1832"/>
      <c r="M329" s="1835">
        <v>7487086</v>
      </c>
      <c r="N329" s="1832" t="s">
        <v>251</v>
      </c>
      <c r="O329" s="1830">
        <v>43588</v>
      </c>
      <c r="P329" s="1830">
        <v>43633</v>
      </c>
      <c r="Q329" s="1830">
        <v>43749</v>
      </c>
      <c r="R329" s="1832" t="s">
        <v>5640</v>
      </c>
      <c r="S329" s="1834"/>
      <c r="T329" s="1835">
        <v>7487084.4800000004</v>
      </c>
      <c r="U329" s="1835">
        <f>T329*1.1</f>
        <v>8235792.9280000012</v>
      </c>
      <c r="V329" s="1836"/>
      <c r="W329" s="1836"/>
      <c r="X329" s="1836"/>
      <c r="Y329" s="1837">
        <v>43749</v>
      </c>
      <c r="Z329" s="1835" t="s">
        <v>5812</v>
      </c>
      <c r="AA329" s="1830">
        <v>43799</v>
      </c>
      <c r="AB329" s="1830">
        <v>43804</v>
      </c>
      <c r="AC329" s="1830">
        <v>44529</v>
      </c>
      <c r="AD329" s="1830">
        <v>43915</v>
      </c>
      <c r="AE329" s="1830">
        <v>44279</v>
      </c>
      <c r="AF329" s="2559">
        <v>44645</v>
      </c>
      <c r="AG329" s="1746"/>
      <c r="AH329" s="1746"/>
      <c r="AI329" s="1746"/>
      <c r="AJ329" s="1746"/>
      <c r="AK329" s="1746"/>
      <c r="AL329" s="1746"/>
      <c r="AM329" s="1746"/>
      <c r="AN329" s="1746"/>
      <c r="AO329" s="1746"/>
      <c r="AP329" s="1746"/>
      <c r="AQ329" s="1746"/>
      <c r="AR329" s="1746"/>
      <c r="AS329" s="1746"/>
    </row>
    <row r="330" spans="1:45" ht="15.75" thickTop="1">
      <c r="A330" s="1461"/>
      <c r="B330" s="530"/>
      <c r="C330" s="365">
        <v>43564</v>
      </c>
      <c r="D330" s="1397" t="s">
        <v>4337</v>
      </c>
      <c r="E330" s="1758" t="s">
        <v>69</v>
      </c>
      <c r="F330" s="1758" t="s">
        <v>70</v>
      </c>
      <c r="G330" s="175" t="s">
        <v>4338</v>
      </c>
      <c r="H330" s="1758">
        <v>1</v>
      </c>
      <c r="I330" s="1759" t="s">
        <v>4339</v>
      </c>
      <c r="J330" s="1758" t="s">
        <v>4340</v>
      </c>
      <c r="K330" s="1758" t="s">
        <v>814</v>
      </c>
      <c r="L330" s="1758"/>
      <c r="M330" s="364">
        <v>3344757</v>
      </c>
      <c r="N330" s="1758" t="s">
        <v>251</v>
      </c>
      <c r="O330" s="365">
        <v>43588</v>
      </c>
      <c r="P330" s="365">
        <v>43657</v>
      </c>
      <c r="Q330" s="365">
        <v>43718</v>
      </c>
      <c r="R330" s="1791" t="s">
        <v>2548</v>
      </c>
      <c r="S330" s="1759"/>
      <c r="T330" s="364">
        <v>2437091.4</v>
      </c>
      <c r="U330" s="364">
        <v>2680800.54</v>
      </c>
      <c r="V330" s="1473"/>
      <c r="W330" s="1473"/>
      <c r="X330" s="1473"/>
      <c r="Y330" s="681">
        <v>43718</v>
      </c>
      <c r="Z330" s="364" t="s">
        <v>5598</v>
      </c>
      <c r="AA330" s="365">
        <v>43745</v>
      </c>
      <c r="AB330" s="365">
        <v>43752</v>
      </c>
      <c r="AC330" s="365">
        <v>44475</v>
      </c>
      <c r="AD330" s="365">
        <v>43915</v>
      </c>
      <c r="AE330" s="365">
        <v>44279</v>
      </c>
      <c r="AF330" s="1560">
        <v>44645</v>
      </c>
      <c r="AG330" s="374"/>
    </row>
    <row r="331" spans="1:45">
      <c r="A331" s="1461"/>
      <c r="B331" s="530"/>
      <c r="C331" s="510">
        <v>43564</v>
      </c>
      <c r="D331" s="1382" t="s">
        <v>4337</v>
      </c>
      <c r="E331" s="506" t="s">
        <v>69</v>
      </c>
      <c r="F331" s="506" t="s">
        <v>70</v>
      </c>
      <c r="G331" s="507" t="s">
        <v>4338</v>
      </c>
      <c r="H331" s="506">
        <v>2</v>
      </c>
      <c r="I331" s="548" t="s">
        <v>4341</v>
      </c>
      <c r="J331" s="506" t="s">
        <v>4342</v>
      </c>
      <c r="K331" s="506" t="s">
        <v>814</v>
      </c>
      <c r="L331" s="506"/>
      <c r="M331" s="511">
        <v>589950</v>
      </c>
      <c r="N331" s="506" t="s">
        <v>251</v>
      </c>
      <c r="O331" s="510">
        <v>43588</v>
      </c>
      <c r="P331" s="510">
        <v>43657</v>
      </c>
      <c r="Q331" s="506"/>
      <c r="R331" s="514" t="s">
        <v>5536</v>
      </c>
      <c r="S331" s="736" t="s">
        <v>5506</v>
      </c>
      <c r="T331" s="511"/>
      <c r="U331" s="511"/>
      <c r="V331" s="1484"/>
      <c r="W331" s="1484"/>
      <c r="X331" s="1484"/>
      <c r="Y331" s="511"/>
      <c r="Z331" s="511"/>
      <c r="AA331" s="506"/>
      <c r="AB331" s="510">
        <v>43696</v>
      </c>
      <c r="AC331" s="506" t="s">
        <v>5267</v>
      </c>
      <c r="AD331" s="506"/>
      <c r="AE331" s="506"/>
      <c r="AF331" s="1560">
        <v>44645</v>
      </c>
    </row>
    <row r="332" spans="1:45">
      <c r="A332" s="1461"/>
      <c r="B332" s="530"/>
      <c r="C332" s="537">
        <v>43564</v>
      </c>
      <c r="D332" s="1373" t="s">
        <v>4337</v>
      </c>
      <c r="E332" s="491" t="s">
        <v>69</v>
      </c>
      <c r="F332" s="491" t="s">
        <v>70</v>
      </c>
      <c r="G332" s="571" t="s">
        <v>4338</v>
      </c>
      <c r="H332" s="491">
        <v>3</v>
      </c>
      <c r="I332" s="495" t="s">
        <v>4343</v>
      </c>
      <c r="J332" s="491" t="s">
        <v>4344</v>
      </c>
      <c r="K332" s="491" t="s">
        <v>814</v>
      </c>
      <c r="L332" s="491"/>
      <c r="M332" s="536">
        <v>5323609</v>
      </c>
      <c r="N332" s="491" t="s">
        <v>251</v>
      </c>
      <c r="O332" s="537">
        <v>43588</v>
      </c>
      <c r="P332" s="537">
        <v>43657</v>
      </c>
      <c r="Q332" s="537">
        <v>43718</v>
      </c>
      <c r="R332" s="491" t="s">
        <v>576</v>
      </c>
      <c r="S332" s="495"/>
      <c r="T332" s="536">
        <v>5236623.3</v>
      </c>
      <c r="U332" s="536">
        <v>5760285.6299999999</v>
      </c>
      <c r="V332" s="1471"/>
      <c r="W332" s="1471"/>
      <c r="X332" s="1471"/>
      <c r="Y332" s="573">
        <v>43718</v>
      </c>
      <c r="Z332" s="536" t="s">
        <v>5599</v>
      </c>
      <c r="AA332" s="537">
        <v>43745</v>
      </c>
      <c r="AB332" s="537">
        <v>43752</v>
      </c>
      <c r="AC332" s="537">
        <v>44475</v>
      </c>
      <c r="AD332" s="537">
        <v>43915</v>
      </c>
      <c r="AE332" s="537">
        <v>44279</v>
      </c>
      <c r="AF332" s="1560">
        <v>44645</v>
      </c>
      <c r="AG332" s="374"/>
    </row>
    <row r="333" spans="1:45">
      <c r="A333" s="1461"/>
      <c r="B333" s="530"/>
      <c r="C333" s="510">
        <v>43564</v>
      </c>
      <c r="D333" s="1382" t="s">
        <v>4337</v>
      </c>
      <c r="E333" s="506" t="s">
        <v>69</v>
      </c>
      <c r="F333" s="506" t="s">
        <v>70</v>
      </c>
      <c r="G333" s="507" t="s">
        <v>4338</v>
      </c>
      <c r="H333" s="506">
        <v>4</v>
      </c>
      <c r="I333" s="548" t="s">
        <v>4345</v>
      </c>
      <c r="J333" s="506" t="s">
        <v>4346</v>
      </c>
      <c r="K333" s="506" t="s">
        <v>814</v>
      </c>
      <c r="L333" s="506"/>
      <c r="M333" s="511">
        <v>2695405</v>
      </c>
      <c r="N333" s="506" t="s">
        <v>251</v>
      </c>
      <c r="O333" s="510">
        <v>43588</v>
      </c>
      <c r="P333" s="510">
        <v>43657</v>
      </c>
      <c r="Q333" s="506"/>
      <c r="R333" s="514" t="s">
        <v>5537</v>
      </c>
      <c r="S333" s="736" t="s">
        <v>5506</v>
      </c>
      <c r="T333" s="511"/>
      <c r="U333" s="511"/>
      <c r="V333" s="1484"/>
      <c r="W333" s="1484"/>
      <c r="X333" s="1484"/>
      <c r="Y333" s="511"/>
      <c r="Z333" s="511"/>
      <c r="AA333" s="506"/>
      <c r="AB333" s="510">
        <v>43696</v>
      </c>
      <c r="AC333" s="506" t="s">
        <v>5267</v>
      </c>
      <c r="AD333" s="506"/>
      <c r="AE333" s="506"/>
    </row>
    <row r="334" spans="1:45">
      <c r="A334" s="1461"/>
      <c r="B334" s="530"/>
      <c r="C334" s="537">
        <v>43564</v>
      </c>
      <c r="D334" s="1373" t="s">
        <v>4337</v>
      </c>
      <c r="E334" s="491" t="s">
        <v>69</v>
      </c>
      <c r="F334" s="491" t="s">
        <v>70</v>
      </c>
      <c r="G334" s="571" t="s">
        <v>4338</v>
      </c>
      <c r="H334" s="491">
        <v>5</v>
      </c>
      <c r="I334" s="495" t="s">
        <v>4347</v>
      </c>
      <c r="J334" s="491" t="s">
        <v>4348</v>
      </c>
      <c r="K334" s="491" t="s">
        <v>814</v>
      </c>
      <c r="L334" s="491"/>
      <c r="M334" s="536">
        <v>407146</v>
      </c>
      <c r="N334" s="491" t="s">
        <v>251</v>
      </c>
      <c r="O334" s="537">
        <v>43588</v>
      </c>
      <c r="P334" s="537">
        <v>43657</v>
      </c>
      <c r="Q334" s="537">
        <v>43718</v>
      </c>
      <c r="R334" s="491" t="s">
        <v>2548</v>
      </c>
      <c r="S334" s="495"/>
      <c r="T334" s="536">
        <v>395329.6</v>
      </c>
      <c r="U334" s="536">
        <v>434862.56</v>
      </c>
      <c r="V334" s="1471"/>
      <c r="W334" s="1471"/>
      <c r="X334" s="1471"/>
      <c r="Y334" s="573">
        <v>43718</v>
      </c>
      <c r="Z334" s="536" t="s">
        <v>5600</v>
      </c>
      <c r="AA334" s="537">
        <v>43745</v>
      </c>
      <c r="AB334" s="537">
        <v>43752</v>
      </c>
      <c r="AC334" s="537">
        <v>44475</v>
      </c>
      <c r="AD334" s="537">
        <v>43915</v>
      </c>
      <c r="AE334" s="537">
        <v>44279</v>
      </c>
      <c r="AF334" s="1560">
        <v>44645</v>
      </c>
      <c r="AG334" s="374"/>
    </row>
    <row r="335" spans="1:45">
      <c r="A335" s="1461"/>
      <c r="B335" s="530"/>
      <c r="C335" s="537">
        <v>43564</v>
      </c>
      <c r="D335" s="1373" t="s">
        <v>4337</v>
      </c>
      <c r="E335" s="491" t="s">
        <v>69</v>
      </c>
      <c r="F335" s="491" t="s">
        <v>70</v>
      </c>
      <c r="G335" s="571" t="s">
        <v>4338</v>
      </c>
      <c r="H335" s="491">
        <v>6</v>
      </c>
      <c r="I335" s="495" t="s">
        <v>4349</v>
      </c>
      <c r="J335" s="491" t="s">
        <v>4350</v>
      </c>
      <c r="K335" s="491" t="s">
        <v>814</v>
      </c>
      <c r="L335" s="491"/>
      <c r="M335" s="536">
        <v>269261</v>
      </c>
      <c r="N335" s="491" t="s">
        <v>251</v>
      </c>
      <c r="O335" s="537">
        <v>43588</v>
      </c>
      <c r="P335" s="537">
        <v>43657</v>
      </c>
      <c r="Q335" s="537">
        <v>43718</v>
      </c>
      <c r="R335" s="491" t="s">
        <v>2548</v>
      </c>
      <c r="S335" s="495"/>
      <c r="T335" s="536">
        <v>264811</v>
      </c>
      <c r="U335" s="536">
        <v>291292.09999999998</v>
      </c>
      <c r="V335" s="1471"/>
      <c r="W335" s="1471"/>
      <c r="X335" s="1471"/>
      <c r="Y335" s="573">
        <v>43718</v>
      </c>
      <c r="Z335" s="536" t="s">
        <v>5601</v>
      </c>
      <c r="AA335" s="537">
        <v>43745</v>
      </c>
      <c r="AB335" s="537">
        <v>43752</v>
      </c>
      <c r="AC335" s="537">
        <v>44475</v>
      </c>
      <c r="AD335" s="537">
        <v>43915</v>
      </c>
      <c r="AE335" s="537">
        <v>44279</v>
      </c>
      <c r="AF335" s="1560">
        <v>44645</v>
      </c>
      <c r="AG335" s="374"/>
    </row>
    <row r="336" spans="1:45">
      <c r="A336" s="1461"/>
      <c r="B336" s="530"/>
      <c r="C336" s="537">
        <v>43564</v>
      </c>
      <c r="D336" s="1373" t="s">
        <v>4337</v>
      </c>
      <c r="E336" s="491" t="s">
        <v>69</v>
      </c>
      <c r="F336" s="491" t="s">
        <v>70</v>
      </c>
      <c r="G336" s="571" t="s">
        <v>4338</v>
      </c>
      <c r="H336" s="491">
        <v>7</v>
      </c>
      <c r="I336" s="495" t="s">
        <v>4351</v>
      </c>
      <c r="J336" s="491" t="s">
        <v>4352</v>
      </c>
      <c r="K336" s="491" t="s">
        <v>814</v>
      </c>
      <c r="L336" s="491"/>
      <c r="M336" s="536">
        <v>417084</v>
      </c>
      <c r="N336" s="491" t="s">
        <v>251</v>
      </c>
      <c r="O336" s="537">
        <v>43588</v>
      </c>
      <c r="P336" s="537">
        <v>43657</v>
      </c>
      <c r="Q336" s="537">
        <v>43718</v>
      </c>
      <c r="R336" s="491" t="s">
        <v>2548</v>
      </c>
      <c r="S336" s="495"/>
      <c r="T336" s="536">
        <v>298459.02</v>
      </c>
      <c r="U336" s="536">
        <v>328304.92</v>
      </c>
      <c r="V336" s="1471"/>
      <c r="W336" s="1471"/>
      <c r="X336" s="1471"/>
      <c r="Y336" s="573">
        <v>43718</v>
      </c>
      <c r="Z336" s="536" t="s">
        <v>5602</v>
      </c>
      <c r="AA336" s="537">
        <v>43745</v>
      </c>
      <c r="AB336" s="537">
        <v>43752</v>
      </c>
      <c r="AC336" s="537">
        <v>44475</v>
      </c>
      <c r="AD336" s="537">
        <v>43915</v>
      </c>
      <c r="AE336" s="537">
        <v>44279</v>
      </c>
      <c r="AF336" s="1560">
        <v>44645</v>
      </c>
      <c r="AG336" s="374"/>
    </row>
    <row r="337" spans="1:33">
      <c r="A337" s="1461"/>
      <c r="B337" s="530"/>
      <c r="C337" s="510">
        <v>43564</v>
      </c>
      <c r="D337" s="1382" t="s">
        <v>4337</v>
      </c>
      <c r="E337" s="506" t="s">
        <v>69</v>
      </c>
      <c r="F337" s="506" t="s">
        <v>70</v>
      </c>
      <c r="G337" s="507" t="s">
        <v>4338</v>
      </c>
      <c r="H337" s="506">
        <v>8</v>
      </c>
      <c r="I337" s="548" t="s">
        <v>4353</v>
      </c>
      <c r="J337" s="506" t="s">
        <v>4354</v>
      </c>
      <c r="K337" s="506" t="s">
        <v>814</v>
      </c>
      <c r="L337" s="506"/>
      <c r="M337" s="511">
        <v>388880</v>
      </c>
      <c r="N337" s="506" t="s">
        <v>251</v>
      </c>
      <c r="O337" s="510">
        <v>43588</v>
      </c>
      <c r="P337" s="510">
        <v>43657</v>
      </c>
      <c r="Q337" s="506"/>
      <c r="R337" s="514" t="s">
        <v>5538</v>
      </c>
      <c r="S337" s="736" t="s">
        <v>5506</v>
      </c>
      <c r="T337" s="511"/>
      <c r="U337" s="511"/>
      <c r="V337" s="1484"/>
      <c r="W337" s="1484"/>
      <c r="X337" s="1484"/>
      <c r="Y337" s="511"/>
      <c r="Z337" s="511"/>
      <c r="AA337" s="506"/>
      <c r="AB337" s="510">
        <v>43696</v>
      </c>
      <c r="AC337" s="506" t="s">
        <v>5267</v>
      </c>
      <c r="AD337" s="506"/>
      <c r="AE337" s="506"/>
    </row>
    <row r="338" spans="1:33" ht="15.75" thickBot="1">
      <c r="A338" s="1461"/>
      <c r="B338" s="530"/>
      <c r="C338" s="416">
        <v>43564</v>
      </c>
      <c r="D338" s="1468" t="s">
        <v>4337</v>
      </c>
      <c r="E338" s="411" t="s">
        <v>69</v>
      </c>
      <c r="F338" s="411" t="s">
        <v>70</v>
      </c>
      <c r="G338" s="412" t="s">
        <v>4338</v>
      </c>
      <c r="H338" s="411">
        <v>9</v>
      </c>
      <c r="I338" s="630" t="s">
        <v>4355</v>
      </c>
      <c r="J338" s="411" t="s">
        <v>4356</v>
      </c>
      <c r="K338" s="411" t="s">
        <v>814</v>
      </c>
      <c r="L338" s="411"/>
      <c r="M338" s="417">
        <v>105326</v>
      </c>
      <c r="N338" s="411" t="s">
        <v>251</v>
      </c>
      <c r="O338" s="416">
        <v>43588</v>
      </c>
      <c r="P338" s="416">
        <v>43657</v>
      </c>
      <c r="Q338" s="416">
        <v>43718</v>
      </c>
      <c r="R338" s="411" t="s">
        <v>2548</v>
      </c>
      <c r="S338" s="630"/>
      <c r="T338" s="417">
        <v>81699.600000000006</v>
      </c>
      <c r="U338" s="417">
        <v>89869.56</v>
      </c>
      <c r="V338" s="1480"/>
      <c r="W338" s="1480"/>
      <c r="X338" s="1480"/>
      <c r="Y338" s="513">
        <v>43718</v>
      </c>
      <c r="Z338" s="417" t="s">
        <v>5603</v>
      </c>
      <c r="AA338" s="416">
        <v>43745</v>
      </c>
      <c r="AB338" s="416">
        <v>43752</v>
      </c>
      <c r="AC338" s="416">
        <v>44475</v>
      </c>
      <c r="AD338" s="416">
        <v>43915</v>
      </c>
      <c r="AE338" s="416">
        <v>44279</v>
      </c>
      <c r="AF338" s="1560">
        <v>44645</v>
      </c>
      <c r="AG338" s="374"/>
    </row>
    <row r="339" spans="1:33" ht="15.75" thickTop="1">
      <c r="A339" s="1461"/>
      <c r="B339" s="530"/>
      <c r="C339" s="474">
        <v>43564</v>
      </c>
      <c r="D339" s="1383" t="s">
        <v>4357</v>
      </c>
      <c r="E339" s="453" t="s">
        <v>69</v>
      </c>
      <c r="F339" s="453" t="s">
        <v>70</v>
      </c>
      <c r="G339" s="473" t="s">
        <v>4358</v>
      </c>
      <c r="H339" s="453">
        <v>1</v>
      </c>
      <c r="I339" s="1420" t="s">
        <v>4359</v>
      </c>
      <c r="J339" s="453" t="s">
        <v>4360</v>
      </c>
      <c r="K339" s="453" t="s">
        <v>814</v>
      </c>
      <c r="L339" s="453"/>
      <c r="M339" s="457">
        <v>4306250</v>
      </c>
      <c r="N339" s="453" t="s">
        <v>251</v>
      </c>
      <c r="O339" s="474">
        <v>43588</v>
      </c>
      <c r="P339" s="474">
        <v>43648</v>
      </c>
      <c r="Q339" s="474">
        <v>43699</v>
      </c>
      <c r="R339" s="453" t="s">
        <v>1402</v>
      </c>
      <c r="S339" s="1420"/>
      <c r="T339" s="457">
        <v>3874189.2</v>
      </c>
      <c r="U339" s="457">
        <f>T339*1.1</f>
        <v>4261608.12</v>
      </c>
      <c r="V339" s="1474"/>
      <c r="W339" s="1474"/>
      <c r="X339" s="1474"/>
      <c r="Y339" s="570">
        <v>43703</v>
      </c>
      <c r="Z339" s="457" t="s">
        <v>5335</v>
      </c>
      <c r="AA339" s="474">
        <v>43752</v>
      </c>
      <c r="AB339" s="474">
        <v>43759</v>
      </c>
      <c r="AC339" s="474">
        <v>44482</v>
      </c>
      <c r="AD339" s="474">
        <v>43915</v>
      </c>
      <c r="AE339" s="453" t="s">
        <v>8483</v>
      </c>
      <c r="AF339" s="1560">
        <v>44645</v>
      </c>
      <c r="AG339" s="374"/>
    </row>
    <row r="340" spans="1:33">
      <c r="A340" s="1461"/>
      <c r="B340" s="530"/>
      <c r="C340" s="537">
        <v>43564</v>
      </c>
      <c r="D340" s="1373" t="s">
        <v>4357</v>
      </c>
      <c r="E340" s="491" t="s">
        <v>69</v>
      </c>
      <c r="F340" s="491" t="s">
        <v>70</v>
      </c>
      <c r="G340" s="571" t="s">
        <v>4358</v>
      </c>
      <c r="H340" s="491">
        <v>2</v>
      </c>
      <c r="I340" s="495" t="s">
        <v>4361</v>
      </c>
      <c r="J340" s="491" t="s">
        <v>4362</v>
      </c>
      <c r="K340" s="491" t="s">
        <v>814</v>
      </c>
      <c r="L340" s="491"/>
      <c r="M340" s="536">
        <v>726125</v>
      </c>
      <c r="N340" s="491" t="s">
        <v>251</v>
      </c>
      <c r="O340" s="537">
        <v>43588</v>
      </c>
      <c r="P340" s="537">
        <v>43648</v>
      </c>
      <c r="Q340" s="537">
        <v>43699</v>
      </c>
      <c r="R340" s="491" t="s">
        <v>1564</v>
      </c>
      <c r="S340" s="495"/>
      <c r="T340" s="536">
        <v>715200</v>
      </c>
      <c r="U340" s="536">
        <f>T340*1.1</f>
        <v>786720.00000000012</v>
      </c>
      <c r="V340" s="1471"/>
      <c r="W340" s="1471"/>
      <c r="X340" s="1471"/>
      <c r="Y340" s="573">
        <v>43703</v>
      </c>
      <c r="Z340" s="536" t="s">
        <v>5336</v>
      </c>
      <c r="AA340" s="537">
        <v>43752</v>
      </c>
      <c r="AB340" s="537">
        <v>43759</v>
      </c>
      <c r="AC340" s="537">
        <v>44482</v>
      </c>
      <c r="AD340" s="537">
        <v>43915</v>
      </c>
      <c r="AE340" s="537">
        <v>44279</v>
      </c>
      <c r="AF340" s="1560">
        <v>44645</v>
      </c>
      <c r="AG340" s="374"/>
    </row>
    <row r="341" spans="1:33">
      <c r="A341" s="1461"/>
      <c r="B341" s="530"/>
      <c r="C341" s="537">
        <v>43564</v>
      </c>
      <c r="D341" s="1373" t="s">
        <v>4357</v>
      </c>
      <c r="E341" s="491" t="s">
        <v>69</v>
      </c>
      <c r="F341" s="491" t="s">
        <v>70</v>
      </c>
      <c r="G341" s="571" t="s">
        <v>4358</v>
      </c>
      <c r="H341" s="491">
        <v>3</v>
      </c>
      <c r="I341" s="495" t="s">
        <v>4363</v>
      </c>
      <c r="J341" s="491" t="s">
        <v>4364</v>
      </c>
      <c r="K341" s="491" t="s">
        <v>814</v>
      </c>
      <c r="L341" s="491"/>
      <c r="M341" s="536">
        <v>568258</v>
      </c>
      <c r="N341" s="491" t="s">
        <v>251</v>
      </c>
      <c r="O341" s="537">
        <v>43588</v>
      </c>
      <c r="P341" s="537">
        <v>43648</v>
      </c>
      <c r="Q341" s="537">
        <v>43699</v>
      </c>
      <c r="R341" s="491" t="s">
        <v>1564</v>
      </c>
      <c r="S341" s="495"/>
      <c r="T341" s="536">
        <v>567724</v>
      </c>
      <c r="U341" s="536">
        <f>T341*1.1</f>
        <v>624496.4</v>
      </c>
      <c r="V341" s="1471"/>
      <c r="W341" s="1471"/>
      <c r="X341" s="1471"/>
      <c r="Y341" s="573">
        <v>43703</v>
      </c>
      <c r="Z341" s="536" t="s">
        <v>5337</v>
      </c>
      <c r="AA341" s="537">
        <v>43752</v>
      </c>
      <c r="AB341" s="537">
        <v>43759</v>
      </c>
      <c r="AC341" s="537">
        <v>44482</v>
      </c>
      <c r="AD341" s="537">
        <v>43915</v>
      </c>
      <c r="AE341" s="537">
        <v>44279</v>
      </c>
      <c r="AF341" s="1560">
        <v>44645</v>
      </c>
      <c r="AG341" s="374"/>
    </row>
    <row r="342" spans="1:33">
      <c r="A342" s="1461"/>
      <c r="B342" s="530"/>
      <c r="C342" s="510">
        <v>43564</v>
      </c>
      <c r="D342" s="1382" t="s">
        <v>4357</v>
      </c>
      <c r="E342" s="506" t="s">
        <v>69</v>
      </c>
      <c r="F342" s="506" t="s">
        <v>70</v>
      </c>
      <c r="G342" s="507" t="s">
        <v>4358</v>
      </c>
      <c r="H342" s="506">
        <v>4</v>
      </c>
      <c r="I342" s="548" t="s">
        <v>4365</v>
      </c>
      <c r="J342" s="506" t="s">
        <v>4366</v>
      </c>
      <c r="K342" s="506" t="s">
        <v>814</v>
      </c>
      <c r="L342" s="506"/>
      <c r="M342" s="511">
        <v>134930</v>
      </c>
      <c r="N342" s="506" t="s">
        <v>251</v>
      </c>
      <c r="O342" s="510">
        <v>43588</v>
      </c>
      <c r="P342" s="510">
        <v>43648</v>
      </c>
      <c r="Q342" s="506"/>
      <c r="R342" s="514" t="s">
        <v>5539</v>
      </c>
      <c r="S342" s="736" t="s">
        <v>5506</v>
      </c>
      <c r="T342" s="511"/>
      <c r="U342" s="511"/>
      <c r="V342" s="1470"/>
      <c r="W342" s="1470"/>
      <c r="X342" s="1470"/>
      <c r="Y342" s="511"/>
      <c r="Z342" s="511"/>
      <c r="AA342" s="506"/>
      <c r="AB342" s="510">
        <v>43714</v>
      </c>
      <c r="AC342" s="506" t="s">
        <v>5256</v>
      </c>
      <c r="AD342" s="506"/>
      <c r="AE342" s="506"/>
    </row>
    <row r="343" spans="1:33">
      <c r="A343" s="1461"/>
      <c r="B343" s="530"/>
      <c r="C343" s="537">
        <v>43564</v>
      </c>
      <c r="D343" s="1373" t="s">
        <v>4357</v>
      </c>
      <c r="E343" s="491" t="s">
        <v>69</v>
      </c>
      <c r="F343" s="491" t="s">
        <v>70</v>
      </c>
      <c r="G343" s="571" t="s">
        <v>4358</v>
      </c>
      <c r="H343" s="491">
        <v>5</v>
      </c>
      <c r="I343" s="495" t="s">
        <v>4365</v>
      </c>
      <c r="J343" s="491" t="s">
        <v>4366</v>
      </c>
      <c r="K343" s="491" t="s">
        <v>814</v>
      </c>
      <c r="L343" s="491"/>
      <c r="M343" s="536">
        <v>677891</v>
      </c>
      <c r="N343" s="491" t="s">
        <v>251</v>
      </c>
      <c r="O343" s="537">
        <v>43588</v>
      </c>
      <c r="P343" s="537">
        <v>43648</v>
      </c>
      <c r="Q343" s="537">
        <v>43699</v>
      </c>
      <c r="R343" s="491" t="s">
        <v>2548</v>
      </c>
      <c r="S343" s="495"/>
      <c r="T343" s="536">
        <v>657227.19999999995</v>
      </c>
      <c r="U343" s="536">
        <f>T343*1.1</f>
        <v>722949.92</v>
      </c>
      <c r="V343" s="1471"/>
      <c r="W343" s="1471"/>
      <c r="X343" s="1471"/>
      <c r="Y343" s="573">
        <v>43703</v>
      </c>
      <c r="Z343" s="536" t="s">
        <v>5338</v>
      </c>
      <c r="AA343" s="537">
        <v>43752</v>
      </c>
      <c r="AB343" s="537">
        <v>43759</v>
      </c>
      <c r="AC343" s="537">
        <v>44482</v>
      </c>
      <c r="AD343" s="537">
        <v>43915</v>
      </c>
      <c r="AE343" s="491" t="s">
        <v>8483</v>
      </c>
      <c r="AF343" s="1560">
        <v>44645</v>
      </c>
      <c r="AG343" s="374"/>
    </row>
    <row r="344" spans="1:33">
      <c r="A344" s="1461"/>
      <c r="B344" s="530"/>
      <c r="C344" s="510">
        <v>43564</v>
      </c>
      <c r="D344" s="1382" t="s">
        <v>4357</v>
      </c>
      <c r="E344" s="506" t="s">
        <v>69</v>
      </c>
      <c r="F344" s="506" t="s">
        <v>70</v>
      </c>
      <c r="G344" s="507" t="s">
        <v>4358</v>
      </c>
      <c r="H344" s="506">
        <v>6</v>
      </c>
      <c r="I344" s="548" t="s">
        <v>4367</v>
      </c>
      <c r="J344" s="506" t="s">
        <v>4368</v>
      </c>
      <c r="K344" s="506" t="s">
        <v>814</v>
      </c>
      <c r="L344" s="506"/>
      <c r="M344" s="511">
        <v>461853</v>
      </c>
      <c r="N344" s="506" t="s">
        <v>251</v>
      </c>
      <c r="O344" s="510">
        <v>43588</v>
      </c>
      <c r="P344" s="510">
        <v>43648</v>
      </c>
      <c r="Q344" s="506"/>
      <c r="R344" s="514" t="s">
        <v>5538</v>
      </c>
      <c r="S344" s="736" t="s">
        <v>5507</v>
      </c>
      <c r="T344" s="511"/>
      <c r="U344" s="511"/>
      <c r="V344" s="1470"/>
      <c r="W344" s="1470"/>
      <c r="X344" s="1470"/>
      <c r="Y344" s="511"/>
      <c r="Z344" s="511"/>
      <c r="AA344" s="506"/>
      <c r="AB344" s="510">
        <v>43714</v>
      </c>
      <c r="AC344" s="506" t="s">
        <v>5256</v>
      </c>
      <c r="AD344" s="506"/>
      <c r="AE344" s="506"/>
    </row>
    <row r="345" spans="1:33">
      <c r="A345" s="1461"/>
      <c r="B345" s="530"/>
      <c r="C345" s="537">
        <v>43564</v>
      </c>
      <c r="D345" s="1373" t="s">
        <v>4357</v>
      </c>
      <c r="E345" s="491" t="s">
        <v>69</v>
      </c>
      <c r="F345" s="491" t="s">
        <v>70</v>
      </c>
      <c r="G345" s="571" t="s">
        <v>4358</v>
      </c>
      <c r="H345" s="491">
        <v>7</v>
      </c>
      <c r="I345" s="495" t="s">
        <v>4369</v>
      </c>
      <c r="J345" s="491" t="s">
        <v>4370</v>
      </c>
      <c r="K345" s="491" t="s">
        <v>814</v>
      </c>
      <c r="L345" s="491"/>
      <c r="M345" s="536">
        <v>381640</v>
      </c>
      <c r="N345" s="491" t="s">
        <v>251</v>
      </c>
      <c r="O345" s="537">
        <v>43588</v>
      </c>
      <c r="P345" s="537">
        <v>43648</v>
      </c>
      <c r="Q345" s="537">
        <v>43699</v>
      </c>
      <c r="R345" s="491" t="s">
        <v>1402</v>
      </c>
      <c r="S345" s="495"/>
      <c r="T345" s="536">
        <v>229138.28</v>
      </c>
      <c r="U345" s="536">
        <f>T345*1.1</f>
        <v>252052.10800000001</v>
      </c>
      <c r="V345" s="1471"/>
      <c r="W345" s="1471"/>
      <c r="X345" s="1471"/>
      <c r="Y345" s="573">
        <v>43703</v>
      </c>
      <c r="Z345" s="536" t="s">
        <v>5339</v>
      </c>
      <c r="AA345" s="537">
        <v>43752</v>
      </c>
      <c r="AB345" s="537">
        <v>43759</v>
      </c>
      <c r="AC345" s="537">
        <v>44482</v>
      </c>
      <c r="AD345" s="537">
        <v>43915</v>
      </c>
      <c r="AE345" s="491" t="s">
        <v>8483</v>
      </c>
      <c r="AF345" s="1560">
        <v>44645</v>
      </c>
      <c r="AG345" s="374"/>
    </row>
    <row r="346" spans="1:33">
      <c r="A346" s="1461"/>
      <c r="B346" s="530"/>
      <c r="C346" s="537">
        <v>43564</v>
      </c>
      <c r="D346" s="1373" t="s">
        <v>4357</v>
      </c>
      <c r="E346" s="491" t="s">
        <v>69</v>
      </c>
      <c r="F346" s="491" t="s">
        <v>70</v>
      </c>
      <c r="G346" s="571" t="s">
        <v>4358</v>
      </c>
      <c r="H346" s="491">
        <v>8</v>
      </c>
      <c r="I346" s="495" t="s">
        <v>4371</v>
      </c>
      <c r="J346" s="491" t="s">
        <v>4372</v>
      </c>
      <c r="K346" s="491" t="s">
        <v>814</v>
      </c>
      <c r="L346" s="491"/>
      <c r="M346" s="536">
        <v>447223</v>
      </c>
      <c r="N346" s="491" t="s">
        <v>251</v>
      </c>
      <c r="O346" s="537">
        <v>43588</v>
      </c>
      <c r="P346" s="537">
        <v>43648</v>
      </c>
      <c r="Q346" s="537">
        <v>43699</v>
      </c>
      <c r="R346" s="491" t="s">
        <v>2548</v>
      </c>
      <c r="S346" s="495"/>
      <c r="T346" s="536">
        <v>447222.64</v>
      </c>
      <c r="U346" s="536">
        <f>T346*1.1</f>
        <v>491944.90400000004</v>
      </c>
      <c r="V346" s="1471"/>
      <c r="W346" s="1471"/>
      <c r="X346" s="1471"/>
      <c r="Y346" s="573">
        <v>43703</v>
      </c>
      <c r="Z346" s="536" t="s">
        <v>5340</v>
      </c>
      <c r="AA346" s="537">
        <v>43752</v>
      </c>
      <c r="AB346" s="537">
        <v>43759</v>
      </c>
      <c r="AC346" s="537">
        <v>44482</v>
      </c>
      <c r="AD346" s="537">
        <v>43915</v>
      </c>
      <c r="AE346" s="537">
        <v>44279</v>
      </c>
      <c r="AF346" s="1560">
        <v>44645</v>
      </c>
      <c r="AG346" s="374"/>
    </row>
    <row r="347" spans="1:33" ht="15.75" thickBot="1">
      <c r="A347" s="1461"/>
      <c r="B347" s="530"/>
      <c r="C347" s="1380">
        <v>43564</v>
      </c>
      <c r="D347" s="1377" t="s">
        <v>4357</v>
      </c>
      <c r="E347" s="1376" t="s">
        <v>69</v>
      </c>
      <c r="F347" s="1376" t="s">
        <v>70</v>
      </c>
      <c r="G347" s="1378" t="s">
        <v>4358</v>
      </c>
      <c r="H347" s="1376">
        <v>9</v>
      </c>
      <c r="I347" s="1421" t="s">
        <v>4373</v>
      </c>
      <c r="J347" s="1376" t="s">
        <v>4374</v>
      </c>
      <c r="K347" s="1376" t="s">
        <v>814</v>
      </c>
      <c r="L347" s="1376"/>
      <c r="M347" s="1379">
        <v>656810</v>
      </c>
      <c r="N347" s="1376" t="s">
        <v>251</v>
      </c>
      <c r="O347" s="1380">
        <v>43588</v>
      </c>
      <c r="P347" s="1380">
        <v>43648</v>
      </c>
      <c r="Q347" s="1380">
        <v>43699</v>
      </c>
      <c r="R347" s="1376" t="s">
        <v>1402</v>
      </c>
      <c r="S347" s="1421"/>
      <c r="T347" s="1379">
        <v>652999.72</v>
      </c>
      <c r="U347" s="1379">
        <f>T347*1.1</f>
        <v>718299.69200000004</v>
      </c>
      <c r="V347" s="1475"/>
      <c r="W347" s="1475"/>
      <c r="X347" s="1475"/>
      <c r="Y347" s="1388">
        <v>43703</v>
      </c>
      <c r="Z347" s="1379" t="s">
        <v>5341</v>
      </c>
      <c r="AA347" s="1380">
        <v>43752</v>
      </c>
      <c r="AB347" s="1380">
        <v>43759</v>
      </c>
      <c r="AC347" s="1380">
        <v>44482</v>
      </c>
      <c r="AD347" s="1380">
        <v>43915</v>
      </c>
      <c r="AE347" s="1380">
        <v>44279</v>
      </c>
      <c r="AF347" s="1560">
        <v>44645</v>
      </c>
      <c r="AG347" s="374"/>
    </row>
    <row r="348" spans="1:33" ht="15.75" thickTop="1">
      <c r="A348" s="1461"/>
      <c r="B348" s="530"/>
      <c r="C348" s="443">
        <v>43564</v>
      </c>
      <c r="D348" s="1415" t="s">
        <v>4375</v>
      </c>
      <c r="E348" s="439" t="s">
        <v>69</v>
      </c>
      <c r="F348" s="439" t="s">
        <v>70</v>
      </c>
      <c r="G348" s="440" t="s">
        <v>4376</v>
      </c>
      <c r="H348" s="439">
        <v>1</v>
      </c>
      <c r="I348" s="1431" t="s">
        <v>4377</v>
      </c>
      <c r="J348" s="439" t="s">
        <v>4378</v>
      </c>
      <c r="K348" s="439" t="s">
        <v>814</v>
      </c>
      <c r="L348" s="439"/>
      <c r="M348" s="444">
        <v>2023668</v>
      </c>
      <c r="N348" s="439" t="s">
        <v>251</v>
      </c>
      <c r="O348" s="443">
        <v>43591</v>
      </c>
      <c r="P348" s="443">
        <v>43658</v>
      </c>
      <c r="Q348" s="439"/>
      <c r="R348" s="538" t="s">
        <v>5540</v>
      </c>
      <c r="S348" s="471" t="s">
        <v>5508</v>
      </c>
      <c r="T348" s="444"/>
      <c r="U348" s="444"/>
      <c r="V348" s="1483"/>
      <c r="W348" s="1483"/>
      <c r="X348" s="1483"/>
      <c r="Y348" s="444"/>
      <c r="Z348" s="444"/>
      <c r="AA348" s="439"/>
      <c r="AB348" s="443">
        <v>43726</v>
      </c>
      <c r="AC348" s="439" t="s">
        <v>5355</v>
      </c>
      <c r="AD348" s="439"/>
      <c r="AE348" s="439"/>
    </row>
    <row r="349" spans="1:33">
      <c r="A349" s="1461"/>
      <c r="B349" s="530"/>
      <c r="C349" s="544">
        <v>43564</v>
      </c>
      <c r="D349" s="1357" t="s">
        <v>4375</v>
      </c>
      <c r="E349" s="540" t="s">
        <v>69</v>
      </c>
      <c r="F349" s="540" t="s">
        <v>70</v>
      </c>
      <c r="G349" s="541" t="s">
        <v>4376</v>
      </c>
      <c r="H349" s="540">
        <v>2</v>
      </c>
      <c r="I349" s="1402" t="s">
        <v>4379</v>
      </c>
      <c r="J349" s="590" t="s">
        <v>4380</v>
      </c>
      <c r="K349" s="540" t="s">
        <v>814</v>
      </c>
      <c r="L349" s="540"/>
      <c r="M349" s="545">
        <v>566785</v>
      </c>
      <c r="N349" s="540" t="s">
        <v>251</v>
      </c>
      <c r="O349" s="544">
        <v>43591</v>
      </c>
      <c r="P349" s="544">
        <v>43658</v>
      </c>
      <c r="Q349" s="544">
        <v>43781</v>
      </c>
      <c r="R349" s="540" t="s">
        <v>576</v>
      </c>
      <c r="S349" s="1402"/>
      <c r="T349" s="545">
        <v>565770.1</v>
      </c>
      <c r="U349" s="545">
        <v>622347.11</v>
      </c>
      <c r="V349" s="1484"/>
      <c r="W349" s="1484"/>
      <c r="X349" s="1484"/>
      <c r="Y349" s="1385">
        <v>43781</v>
      </c>
      <c r="Z349" s="545" t="s">
        <v>5985</v>
      </c>
      <c r="AA349" s="540"/>
      <c r="AB349" s="540"/>
      <c r="AC349" s="540"/>
      <c r="AD349" s="540"/>
      <c r="AE349" s="540"/>
      <c r="AF349" s="374"/>
      <c r="AG349" s="374"/>
    </row>
    <row r="350" spans="1:33">
      <c r="A350" s="1461"/>
      <c r="B350" s="530"/>
      <c r="C350" s="510">
        <v>43564</v>
      </c>
      <c r="D350" s="1382" t="s">
        <v>4375</v>
      </c>
      <c r="E350" s="506" t="s">
        <v>69</v>
      </c>
      <c r="F350" s="506" t="s">
        <v>70</v>
      </c>
      <c r="G350" s="507" t="s">
        <v>4376</v>
      </c>
      <c r="H350" s="506">
        <v>3</v>
      </c>
      <c r="I350" s="548" t="s">
        <v>4381</v>
      </c>
      <c r="J350" s="506" t="s">
        <v>4380</v>
      </c>
      <c r="K350" s="506" t="s">
        <v>814</v>
      </c>
      <c r="L350" s="506"/>
      <c r="M350" s="511">
        <v>365638</v>
      </c>
      <c r="N350" s="506" t="s">
        <v>251</v>
      </c>
      <c r="O350" s="510">
        <v>43591</v>
      </c>
      <c r="P350" s="510">
        <v>43658</v>
      </c>
      <c r="Q350" s="506"/>
      <c r="R350" s="514" t="s">
        <v>5541</v>
      </c>
      <c r="S350" s="736" t="s">
        <v>5509</v>
      </c>
      <c r="T350" s="511"/>
      <c r="U350" s="511"/>
      <c r="V350" s="1470"/>
      <c r="W350" s="1470"/>
      <c r="X350" s="1470"/>
      <c r="Y350" s="511"/>
      <c r="Z350" s="511"/>
      <c r="AA350" s="506"/>
      <c r="AB350" s="510">
        <v>43726</v>
      </c>
      <c r="AC350" s="506" t="s">
        <v>5355</v>
      </c>
      <c r="AD350" s="506"/>
      <c r="AE350" s="506"/>
    </row>
    <row r="351" spans="1:33">
      <c r="A351" s="1461"/>
      <c r="B351" s="530"/>
      <c r="C351" s="510">
        <v>43564</v>
      </c>
      <c r="D351" s="1382" t="s">
        <v>4375</v>
      </c>
      <c r="E351" s="506" t="s">
        <v>69</v>
      </c>
      <c r="F351" s="506" t="s">
        <v>70</v>
      </c>
      <c r="G351" s="507" t="s">
        <v>4376</v>
      </c>
      <c r="H351" s="506">
        <v>4</v>
      </c>
      <c r="I351" s="548" t="s">
        <v>4382</v>
      </c>
      <c r="J351" s="506" t="s">
        <v>4380</v>
      </c>
      <c r="K351" s="506" t="s">
        <v>814</v>
      </c>
      <c r="L351" s="506"/>
      <c r="M351" s="511">
        <v>40144</v>
      </c>
      <c r="N351" s="506" t="s">
        <v>251</v>
      </c>
      <c r="O351" s="510">
        <v>43591</v>
      </c>
      <c r="P351" s="510">
        <v>43658</v>
      </c>
      <c r="Q351" s="506"/>
      <c r="R351" s="506" t="s">
        <v>5907</v>
      </c>
      <c r="S351" s="548"/>
      <c r="T351" s="511"/>
      <c r="U351" s="511"/>
      <c r="V351" s="1470"/>
      <c r="W351" s="1470"/>
      <c r="X351" s="1470"/>
      <c r="Y351" s="511"/>
      <c r="Z351" s="511"/>
      <c r="AA351" s="506"/>
      <c r="AB351" s="510">
        <v>43795</v>
      </c>
      <c r="AC351" s="506" t="s">
        <v>5919</v>
      </c>
      <c r="AD351" s="506"/>
      <c r="AE351" s="506"/>
      <c r="AF351" s="374"/>
      <c r="AG351" s="374"/>
    </row>
    <row r="352" spans="1:33">
      <c r="A352" s="1461"/>
      <c r="B352" s="530"/>
      <c r="C352" s="510">
        <v>43564</v>
      </c>
      <c r="D352" s="1382" t="s">
        <v>4375</v>
      </c>
      <c r="E352" s="506" t="s">
        <v>69</v>
      </c>
      <c r="F352" s="506" t="s">
        <v>70</v>
      </c>
      <c r="G352" s="507" t="s">
        <v>4376</v>
      </c>
      <c r="H352" s="506">
        <v>5</v>
      </c>
      <c r="I352" s="548" t="s">
        <v>4383</v>
      </c>
      <c r="J352" s="506" t="s">
        <v>4384</v>
      </c>
      <c r="K352" s="506" t="s">
        <v>814</v>
      </c>
      <c r="L352" s="506"/>
      <c r="M352" s="511">
        <v>173910</v>
      </c>
      <c r="N352" s="506" t="s">
        <v>251</v>
      </c>
      <c r="O352" s="510">
        <v>43591</v>
      </c>
      <c r="P352" s="510">
        <v>43658</v>
      </c>
      <c r="Q352" s="506"/>
      <c r="R352" s="514" t="s">
        <v>5542</v>
      </c>
      <c r="S352" s="736" t="s">
        <v>5506</v>
      </c>
      <c r="T352" s="511"/>
      <c r="U352" s="511"/>
      <c r="V352" s="1484"/>
      <c r="W352" s="1484"/>
      <c r="X352" s="1484"/>
      <c r="Y352" s="511"/>
      <c r="Z352" s="511"/>
      <c r="AA352" s="506"/>
      <c r="AB352" s="510">
        <v>43726</v>
      </c>
      <c r="AC352" s="506" t="s">
        <v>5355</v>
      </c>
      <c r="AD352" s="506"/>
      <c r="AE352" s="506"/>
    </row>
    <row r="353" spans="1:33">
      <c r="A353" s="1461"/>
      <c r="B353" s="530"/>
      <c r="C353" s="510">
        <v>43564</v>
      </c>
      <c r="D353" s="1382" t="s">
        <v>4375</v>
      </c>
      <c r="E353" s="506" t="s">
        <v>69</v>
      </c>
      <c r="F353" s="506" t="s">
        <v>70</v>
      </c>
      <c r="G353" s="507" t="s">
        <v>4376</v>
      </c>
      <c r="H353" s="506">
        <v>6</v>
      </c>
      <c r="I353" s="548" t="s">
        <v>4385</v>
      </c>
      <c r="J353" s="506" t="s">
        <v>4386</v>
      </c>
      <c r="K353" s="506" t="s">
        <v>814</v>
      </c>
      <c r="L353" s="506"/>
      <c r="M353" s="511">
        <v>228086</v>
      </c>
      <c r="N353" s="506" t="s">
        <v>251</v>
      </c>
      <c r="O353" s="510">
        <v>43591</v>
      </c>
      <c r="P353" s="510">
        <v>43658</v>
      </c>
      <c r="Q353" s="506"/>
      <c r="R353" s="514" t="s">
        <v>5543</v>
      </c>
      <c r="S353" s="736" t="s">
        <v>5506</v>
      </c>
      <c r="T353" s="511"/>
      <c r="U353" s="511"/>
      <c r="V353" s="1484"/>
      <c r="W353" s="1484"/>
      <c r="X353" s="1484"/>
      <c r="Y353" s="511"/>
      <c r="Z353" s="511"/>
      <c r="AA353" s="506"/>
      <c r="AB353" s="510">
        <v>43726</v>
      </c>
      <c r="AC353" s="506" t="s">
        <v>5355</v>
      </c>
      <c r="AD353" s="506"/>
      <c r="AE353" s="506"/>
    </row>
    <row r="354" spans="1:33">
      <c r="A354" s="1461"/>
      <c r="B354" s="530"/>
      <c r="C354" s="510">
        <v>43564</v>
      </c>
      <c r="D354" s="1382" t="s">
        <v>4375</v>
      </c>
      <c r="E354" s="506" t="s">
        <v>69</v>
      </c>
      <c r="F354" s="506" t="s">
        <v>70</v>
      </c>
      <c r="G354" s="507" t="s">
        <v>4376</v>
      </c>
      <c r="H354" s="506">
        <v>7</v>
      </c>
      <c r="I354" s="548" t="s">
        <v>4387</v>
      </c>
      <c r="J354" s="506" t="s">
        <v>4388</v>
      </c>
      <c r="K354" s="506" t="s">
        <v>814</v>
      </c>
      <c r="L354" s="506"/>
      <c r="M354" s="511">
        <v>796625</v>
      </c>
      <c r="N354" s="506" t="s">
        <v>251</v>
      </c>
      <c r="O354" s="510">
        <v>43591</v>
      </c>
      <c r="P354" s="510">
        <v>43658</v>
      </c>
      <c r="Q354" s="506"/>
      <c r="R354" s="514" t="s">
        <v>5544</v>
      </c>
      <c r="S354" s="736" t="s">
        <v>5506</v>
      </c>
      <c r="T354" s="511"/>
      <c r="U354" s="511"/>
      <c r="V354" s="1484"/>
      <c r="W354" s="1484"/>
      <c r="X354" s="1484"/>
      <c r="Y354" s="511"/>
      <c r="Z354" s="511"/>
      <c r="AA354" s="506"/>
      <c r="AB354" s="510">
        <v>43726</v>
      </c>
      <c r="AC354" s="506" t="s">
        <v>5355</v>
      </c>
      <c r="AD354" s="506"/>
      <c r="AE354" s="506"/>
    </row>
    <row r="355" spans="1:33">
      <c r="A355" s="1461"/>
      <c r="B355" s="530"/>
      <c r="C355" s="544">
        <v>43564</v>
      </c>
      <c r="D355" s="1357" t="s">
        <v>4375</v>
      </c>
      <c r="E355" s="540" t="s">
        <v>69</v>
      </c>
      <c r="F355" s="540" t="s">
        <v>70</v>
      </c>
      <c r="G355" s="541" t="s">
        <v>4376</v>
      </c>
      <c r="H355" s="540">
        <v>8</v>
      </c>
      <c r="I355" s="1402" t="s">
        <v>4389</v>
      </c>
      <c r="J355" s="590" t="s">
        <v>4390</v>
      </c>
      <c r="K355" s="540" t="s">
        <v>814</v>
      </c>
      <c r="L355" s="540"/>
      <c r="M355" s="545">
        <v>230996</v>
      </c>
      <c r="N355" s="540" t="s">
        <v>251</v>
      </c>
      <c r="O355" s="544">
        <v>43591</v>
      </c>
      <c r="P355" s="544">
        <v>43658</v>
      </c>
      <c r="Q355" s="544">
        <v>43781</v>
      </c>
      <c r="R355" s="540" t="s">
        <v>1564</v>
      </c>
      <c r="S355" s="1402"/>
      <c r="T355" s="545">
        <v>229270</v>
      </c>
      <c r="U355" s="545">
        <v>252197</v>
      </c>
      <c r="V355" s="1484"/>
      <c r="W355" s="1484"/>
      <c r="X355" s="1484"/>
      <c r="Y355" s="1385">
        <v>43781</v>
      </c>
      <c r="Z355" s="545" t="s">
        <v>5986</v>
      </c>
      <c r="AA355" s="540"/>
      <c r="AB355" s="540"/>
      <c r="AC355" s="540"/>
      <c r="AD355" s="540"/>
      <c r="AE355" s="540"/>
      <c r="AF355" s="374"/>
      <c r="AG355" s="374"/>
    </row>
    <row r="356" spans="1:33">
      <c r="A356" s="1461"/>
      <c r="B356" s="530"/>
      <c r="C356" s="544">
        <v>43564</v>
      </c>
      <c r="D356" s="1357" t="s">
        <v>4375</v>
      </c>
      <c r="E356" s="540" t="s">
        <v>69</v>
      </c>
      <c r="F356" s="540" t="s">
        <v>70</v>
      </c>
      <c r="G356" s="541" t="s">
        <v>4376</v>
      </c>
      <c r="H356" s="540">
        <v>9</v>
      </c>
      <c r="I356" s="1402" t="s">
        <v>4391</v>
      </c>
      <c r="J356" s="590" t="s">
        <v>4392</v>
      </c>
      <c r="K356" s="540" t="s">
        <v>814</v>
      </c>
      <c r="L356" s="540"/>
      <c r="M356" s="545">
        <v>1057697</v>
      </c>
      <c r="N356" s="540" t="s">
        <v>251</v>
      </c>
      <c r="O356" s="544">
        <v>43591</v>
      </c>
      <c r="P356" s="544">
        <v>43658</v>
      </c>
      <c r="Q356" s="544">
        <v>43781</v>
      </c>
      <c r="R356" s="540" t="s">
        <v>2548</v>
      </c>
      <c r="S356" s="1402"/>
      <c r="T356" s="545">
        <v>1057608</v>
      </c>
      <c r="U356" s="545">
        <v>1163368</v>
      </c>
      <c r="V356" s="1484"/>
      <c r="W356" s="1484"/>
      <c r="X356" s="1484"/>
      <c r="Y356" s="1385">
        <v>43781</v>
      </c>
      <c r="Z356" s="545" t="s">
        <v>5987</v>
      </c>
      <c r="AA356" s="540"/>
      <c r="AB356" s="540"/>
      <c r="AC356" s="540"/>
      <c r="AD356" s="540"/>
      <c r="AE356" s="540"/>
      <c r="AF356" s="374"/>
      <c r="AG356" s="374"/>
    </row>
    <row r="357" spans="1:33">
      <c r="A357" s="1461"/>
      <c r="B357" s="530"/>
      <c r="C357" s="544">
        <v>43564</v>
      </c>
      <c r="D357" s="1357" t="s">
        <v>4375</v>
      </c>
      <c r="E357" s="540" t="s">
        <v>69</v>
      </c>
      <c r="F357" s="540" t="s">
        <v>70</v>
      </c>
      <c r="G357" s="541" t="s">
        <v>4376</v>
      </c>
      <c r="H357" s="540">
        <v>10</v>
      </c>
      <c r="I357" s="1402" t="s">
        <v>4393</v>
      </c>
      <c r="J357" s="590" t="s">
        <v>4394</v>
      </c>
      <c r="K357" s="540" t="s">
        <v>814</v>
      </c>
      <c r="L357" s="540"/>
      <c r="M357" s="545">
        <v>1855269</v>
      </c>
      <c r="N357" s="540" t="s">
        <v>251</v>
      </c>
      <c r="O357" s="544">
        <v>43591</v>
      </c>
      <c r="P357" s="544">
        <v>43658</v>
      </c>
      <c r="Q357" s="544">
        <v>43781</v>
      </c>
      <c r="R357" s="540" t="s">
        <v>1402</v>
      </c>
      <c r="S357" s="1402"/>
      <c r="T357" s="545">
        <v>1833340.74</v>
      </c>
      <c r="U357" s="545">
        <v>2016674.81</v>
      </c>
      <c r="V357" s="1484"/>
      <c r="W357" s="1484"/>
      <c r="X357" s="1484"/>
      <c r="Y357" s="1385">
        <v>43781</v>
      </c>
      <c r="Z357" s="545" t="s">
        <v>5988</v>
      </c>
      <c r="AA357" s="540"/>
      <c r="AB357" s="540"/>
      <c r="AC357" s="540"/>
      <c r="AD357" s="540"/>
      <c r="AE357" s="540"/>
      <c r="AF357" s="374"/>
      <c r="AG357" s="374"/>
    </row>
    <row r="358" spans="1:33">
      <c r="A358" s="1461"/>
      <c r="B358" s="530"/>
      <c r="C358" s="544">
        <v>43564</v>
      </c>
      <c r="D358" s="1357" t="s">
        <v>4375</v>
      </c>
      <c r="E358" s="540" t="s">
        <v>69</v>
      </c>
      <c r="F358" s="540" t="s">
        <v>70</v>
      </c>
      <c r="G358" s="541" t="s">
        <v>4376</v>
      </c>
      <c r="H358" s="540">
        <v>11</v>
      </c>
      <c r="I358" s="1402" t="s">
        <v>4395</v>
      </c>
      <c r="J358" s="590" t="s">
        <v>4396</v>
      </c>
      <c r="K358" s="540" t="s">
        <v>814</v>
      </c>
      <c r="L358" s="540"/>
      <c r="M358" s="545">
        <v>151853</v>
      </c>
      <c r="N358" s="540" t="s">
        <v>251</v>
      </c>
      <c r="O358" s="544">
        <v>43591</v>
      </c>
      <c r="P358" s="544">
        <v>43658</v>
      </c>
      <c r="Q358" s="544">
        <v>43781</v>
      </c>
      <c r="R358" s="540" t="s">
        <v>2548</v>
      </c>
      <c r="S358" s="1402"/>
      <c r="T358" s="545">
        <v>150348.79999999999</v>
      </c>
      <c r="U358" s="545">
        <v>165383.67999999999</v>
      </c>
      <c r="V358" s="1484"/>
      <c r="W358" s="1484"/>
      <c r="X358" s="1484"/>
      <c r="Y358" s="1385">
        <v>43781</v>
      </c>
      <c r="Z358" s="545" t="s">
        <v>5989</v>
      </c>
      <c r="AA358" s="540"/>
      <c r="AB358" s="540"/>
      <c r="AC358" s="540"/>
      <c r="AD358" s="540"/>
      <c r="AE358" s="540"/>
      <c r="AF358" s="374"/>
      <c r="AG358" s="374"/>
    </row>
    <row r="359" spans="1:33">
      <c r="A359" s="1461"/>
      <c r="B359" s="530"/>
      <c r="C359" s="544">
        <v>43564</v>
      </c>
      <c r="D359" s="1357" t="s">
        <v>4375</v>
      </c>
      <c r="E359" s="540" t="s">
        <v>69</v>
      </c>
      <c r="F359" s="540" t="s">
        <v>70</v>
      </c>
      <c r="G359" s="541" t="s">
        <v>4376</v>
      </c>
      <c r="H359" s="540">
        <v>12</v>
      </c>
      <c r="I359" s="1402" t="s">
        <v>4397</v>
      </c>
      <c r="J359" s="590" t="s">
        <v>4398</v>
      </c>
      <c r="K359" s="540" t="s">
        <v>814</v>
      </c>
      <c r="L359" s="540"/>
      <c r="M359" s="545">
        <v>430818</v>
      </c>
      <c r="N359" s="540" t="s">
        <v>251</v>
      </c>
      <c r="O359" s="544">
        <v>43591</v>
      </c>
      <c r="P359" s="544">
        <v>43658</v>
      </c>
      <c r="Q359" s="544">
        <v>43781</v>
      </c>
      <c r="R359" s="540" t="s">
        <v>1402</v>
      </c>
      <c r="S359" s="1402"/>
      <c r="T359" s="545">
        <v>258834.2</v>
      </c>
      <c r="U359" s="545">
        <v>284717.62</v>
      </c>
      <c r="V359" s="1484"/>
      <c r="W359" s="1484"/>
      <c r="X359" s="1484"/>
      <c r="Y359" s="1385">
        <v>43781</v>
      </c>
      <c r="Z359" s="545" t="s">
        <v>5990</v>
      </c>
      <c r="AA359" s="540"/>
      <c r="AB359" s="540"/>
      <c r="AC359" s="540"/>
      <c r="AD359" s="540"/>
      <c r="AE359" s="540"/>
      <c r="AF359" s="374"/>
      <c r="AG359" s="374"/>
    </row>
    <row r="360" spans="1:33">
      <c r="A360" s="1461"/>
      <c r="B360" s="530"/>
      <c r="C360" s="544">
        <v>43564</v>
      </c>
      <c r="D360" s="1357" t="s">
        <v>4375</v>
      </c>
      <c r="E360" s="540" t="s">
        <v>69</v>
      </c>
      <c r="F360" s="540" t="s">
        <v>70</v>
      </c>
      <c r="G360" s="541" t="s">
        <v>4376</v>
      </c>
      <c r="H360" s="540">
        <v>13</v>
      </c>
      <c r="I360" s="1402" t="s">
        <v>4399</v>
      </c>
      <c r="J360" s="590" t="s">
        <v>4400</v>
      </c>
      <c r="K360" s="540" t="s">
        <v>814</v>
      </c>
      <c r="L360" s="540"/>
      <c r="M360" s="545">
        <v>959749</v>
      </c>
      <c r="N360" s="540" t="s">
        <v>251</v>
      </c>
      <c r="O360" s="544">
        <v>43591</v>
      </c>
      <c r="P360" s="544">
        <v>43658</v>
      </c>
      <c r="Q360" s="544">
        <v>43781</v>
      </c>
      <c r="R360" s="540" t="s">
        <v>5640</v>
      </c>
      <c r="S360" s="1402"/>
      <c r="T360" s="545">
        <v>942993.6</v>
      </c>
      <c r="U360" s="545">
        <v>1037292.96</v>
      </c>
      <c r="V360" s="1484"/>
      <c r="W360" s="1484"/>
      <c r="X360" s="1484"/>
      <c r="Y360" s="1385">
        <v>43781</v>
      </c>
      <c r="Z360" s="545" t="s">
        <v>5991</v>
      </c>
      <c r="AA360" s="540"/>
      <c r="AB360" s="540"/>
      <c r="AC360" s="540"/>
      <c r="AD360" s="540"/>
      <c r="AE360" s="540"/>
      <c r="AF360" s="374"/>
      <c r="AG360" s="374"/>
    </row>
    <row r="361" spans="1:33">
      <c r="A361" s="1461"/>
      <c r="B361" s="530"/>
      <c r="C361" s="510">
        <v>43564</v>
      </c>
      <c r="D361" s="1382" t="s">
        <v>4375</v>
      </c>
      <c r="E361" s="506" t="s">
        <v>69</v>
      </c>
      <c r="F361" s="506" t="s">
        <v>70</v>
      </c>
      <c r="G361" s="507" t="s">
        <v>4376</v>
      </c>
      <c r="H361" s="506">
        <v>14</v>
      </c>
      <c r="I361" s="548" t="s">
        <v>4401</v>
      </c>
      <c r="J361" s="506" t="s">
        <v>4402</v>
      </c>
      <c r="K361" s="506" t="s">
        <v>814</v>
      </c>
      <c r="L361" s="506"/>
      <c r="M361" s="511">
        <v>314216</v>
      </c>
      <c r="N361" s="506" t="s">
        <v>251</v>
      </c>
      <c r="O361" s="510">
        <v>43591</v>
      </c>
      <c r="P361" s="510">
        <v>43658</v>
      </c>
      <c r="Q361" s="506"/>
      <c r="R361" s="514" t="s">
        <v>5545</v>
      </c>
      <c r="S361" s="736" t="s">
        <v>5506</v>
      </c>
      <c r="T361" s="511"/>
      <c r="U361" s="511"/>
      <c r="V361" s="1484"/>
      <c r="W361" s="1484"/>
      <c r="X361" s="1484"/>
      <c r="Y361" s="511"/>
      <c r="Z361" s="511"/>
      <c r="AA361" s="506"/>
      <c r="AB361" s="510">
        <v>43726</v>
      </c>
      <c r="AC361" s="506" t="s">
        <v>5355</v>
      </c>
      <c r="AD361" s="506"/>
      <c r="AE361" s="506"/>
    </row>
    <row r="362" spans="1:33" ht="15.75" thickBot="1">
      <c r="A362" s="1461"/>
      <c r="B362" s="530"/>
      <c r="C362" s="1363">
        <v>43564</v>
      </c>
      <c r="D362" s="1360" t="s">
        <v>4375</v>
      </c>
      <c r="E362" s="1355" t="s">
        <v>69</v>
      </c>
      <c r="F362" s="1355" t="s">
        <v>70</v>
      </c>
      <c r="G362" s="1361" t="s">
        <v>4376</v>
      </c>
      <c r="H362" s="1355">
        <v>15</v>
      </c>
      <c r="I362" s="1419" t="s">
        <v>4403</v>
      </c>
      <c r="J362" s="1356" t="s">
        <v>4404</v>
      </c>
      <c r="K362" s="1355" t="s">
        <v>814</v>
      </c>
      <c r="L362" s="1355"/>
      <c r="M362" s="1362">
        <v>164810</v>
      </c>
      <c r="N362" s="1355" t="s">
        <v>251</v>
      </c>
      <c r="O362" s="1363">
        <v>43591</v>
      </c>
      <c r="P362" s="1363">
        <v>43658</v>
      </c>
      <c r="Q362" s="1363">
        <v>43781</v>
      </c>
      <c r="R362" s="1355" t="s">
        <v>576</v>
      </c>
      <c r="S362" s="1419"/>
      <c r="T362" s="1362">
        <v>144007.4</v>
      </c>
      <c r="U362" s="1362">
        <v>158408.14000000001</v>
      </c>
      <c r="V362" s="1485"/>
      <c r="W362" s="1485"/>
      <c r="X362" s="1485"/>
      <c r="Y362" s="1512">
        <v>43781</v>
      </c>
      <c r="Z362" s="1362" t="s">
        <v>5992</v>
      </c>
      <c r="AA362" s="1355"/>
      <c r="AB362" s="1355"/>
      <c r="AC362" s="1355"/>
      <c r="AD362" s="1355"/>
      <c r="AE362" s="1355"/>
      <c r="AF362" s="374"/>
      <c r="AG362" s="374"/>
    </row>
    <row r="363" spans="1:33" ht="31.5" thickTop="1" thickBot="1">
      <c r="A363" s="1461"/>
      <c r="B363" s="530"/>
      <c r="C363" s="498">
        <v>43567</v>
      </c>
      <c r="D363" s="1544" t="s">
        <v>4412</v>
      </c>
      <c r="E363" s="232" t="s">
        <v>58</v>
      </c>
      <c r="F363" s="232" t="s">
        <v>2684</v>
      </c>
      <c r="G363" s="274" t="s">
        <v>4413</v>
      </c>
      <c r="H363" s="232"/>
      <c r="I363" s="669"/>
      <c r="J363" s="232"/>
      <c r="K363" s="232" t="s">
        <v>62</v>
      </c>
      <c r="L363" s="232" t="s">
        <v>4237</v>
      </c>
      <c r="M363" s="499">
        <v>528926</v>
      </c>
      <c r="N363" s="232" t="s">
        <v>112</v>
      </c>
      <c r="O363" s="498">
        <v>43573</v>
      </c>
      <c r="P363" s="498">
        <v>43585</v>
      </c>
      <c r="Q363" s="498">
        <v>43689</v>
      </c>
      <c r="R363" s="1376" t="s">
        <v>5252</v>
      </c>
      <c r="S363" s="669"/>
      <c r="T363" s="499">
        <v>438160</v>
      </c>
      <c r="U363" s="499">
        <f>T363*1.21</f>
        <v>530173.6</v>
      </c>
      <c r="V363" s="1545"/>
      <c r="W363" s="1545"/>
      <c r="X363" s="1545"/>
      <c r="Y363" s="682">
        <v>43693</v>
      </c>
      <c r="Z363" s="1752" t="s">
        <v>5270</v>
      </c>
      <c r="AA363" s="498">
        <v>43738</v>
      </c>
      <c r="AB363" s="498">
        <v>43739</v>
      </c>
      <c r="AC363" s="498">
        <f>AA363+4</f>
        <v>43742</v>
      </c>
      <c r="AD363" s="498">
        <v>43822</v>
      </c>
      <c r="AE363" s="1546" t="s">
        <v>1875</v>
      </c>
      <c r="AF363" s="374"/>
      <c r="AG363" s="374"/>
    </row>
    <row r="364" spans="1:33" ht="30.75" thickTop="1">
      <c r="A364" s="1461"/>
      <c r="B364" s="491"/>
      <c r="C364" s="474">
        <v>43567</v>
      </c>
      <c r="D364" s="1383" t="s">
        <v>4414</v>
      </c>
      <c r="E364" s="453" t="s">
        <v>2434</v>
      </c>
      <c r="F364" s="453" t="s">
        <v>219</v>
      </c>
      <c r="G364" s="473" t="s">
        <v>4415</v>
      </c>
      <c r="H364" s="453">
        <v>1</v>
      </c>
      <c r="I364" s="1420" t="s">
        <v>4416</v>
      </c>
      <c r="J364" s="453"/>
      <c r="K364" s="453" t="s">
        <v>3013</v>
      </c>
      <c r="L364" s="453"/>
      <c r="M364" s="1387">
        <v>612000</v>
      </c>
      <c r="N364" s="1383" t="s">
        <v>251</v>
      </c>
      <c r="O364" s="474">
        <v>43578</v>
      </c>
      <c r="P364" s="474">
        <v>43609</v>
      </c>
      <c r="Q364" s="474">
        <v>43727</v>
      </c>
      <c r="R364" s="453" t="s">
        <v>3080</v>
      </c>
      <c r="S364" s="1420"/>
      <c r="T364" s="457">
        <v>512000</v>
      </c>
      <c r="U364" s="457">
        <v>588800</v>
      </c>
      <c r="V364" s="1474"/>
      <c r="W364" s="1474"/>
      <c r="X364" s="1474"/>
      <c r="Y364" s="570">
        <v>43727</v>
      </c>
      <c r="Z364" s="1387" t="s">
        <v>5652</v>
      </c>
      <c r="AA364" s="474">
        <v>43752</v>
      </c>
      <c r="AB364" s="474">
        <v>43761</v>
      </c>
      <c r="AC364" s="474">
        <v>44482</v>
      </c>
      <c r="AD364" s="453" t="s">
        <v>6603</v>
      </c>
      <c r="AE364" s="474">
        <v>44285</v>
      </c>
      <c r="AF364" s="1560">
        <v>44637</v>
      </c>
      <c r="AG364" s="374"/>
    </row>
    <row r="365" spans="1:33" ht="30">
      <c r="A365" s="1461"/>
      <c r="B365" s="491"/>
      <c r="C365" s="537">
        <v>43567</v>
      </c>
      <c r="D365" s="1373" t="s">
        <v>4414</v>
      </c>
      <c r="E365" s="491" t="s">
        <v>2434</v>
      </c>
      <c r="F365" s="491" t="s">
        <v>219</v>
      </c>
      <c r="G365" s="571" t="s">
        <v>4415</v>
      </c>
      <c r="H365" s="491">
        <v>2</v>
      </c>
      <c r="I365" s="495" t="s">
        <v>4417</v>
      </c>
      <c r="J365" s="491"/>
      <c r="K365" s="491" t="s">
        <v>3013</v>
      </c>
      <c r="L365" s="491"/>
      <c r="M365" s="1417">
        <v>229520</v>
      </c>
      <c r="N365" s="1373" t="s">
        <v>251</v>
      </c>
      <c r="O365" s="537">
        <v>43578</v>
      </c>
      <c r="P365" s="537">
        <v>43609</v>
      </c>
      <c r="Q365" s="537">
        <v>43727</v>
      </c>
      <c r="R365" s="491" t="s">
        <v>3080</v>
      </c>
      <c r="S365" s="495"/>
      <c r="T365" s="536">
        <v>229515</v>
      </c>
      <c r="U365" s="536">
        <v>263942.25</v>
      </c>
      <c r="V365" s="1471"/>
      <c r="W365" s="1471"/>
      <c r="X365" s="1471"/>
      <c r="Y365" s="573">
        <v>43727</v>
      </c>
      <c r="Z365" s="1375" t="s">
        <v>5653</v>
      </c>
      <c r="AA365" s="537">
        <v>43752</v>
      </c>
      <c r="AB365" s="537">
        <v>43761</v>
      </c>
      <c r="AC365" s="537">
        <v>44482</v>
      </c>
      <c r="AD365" s="491" t="s">
        <v>6603</v>
      </c>
      <c r="AE365" s="491" t="s">
        <v>8483</v>
      </c>
      <c r="AF365" s="1560">
        <v>44637</v>
      </c>
      <c r="AG365" s="374"/>
    </row>
    <row r="366" spans="1:33" ht="30">
      <c r="A366" s="1461"/>
      <c r="B366" s="491"/>
      <c r="C366" s="537">
        <v>43567</v>
      </c>
      <c r="D366" s="1373" t="s">
        <v>4414</v>
      </c>
      <c r="E366" s="491" t="s">
        <v>2434</v>
      </c>
      <c r="F366" s="491" t="s">
        <v>219</v>
      </c>
      <c r="G366" s="571" t="s">
        <v>4415</v>
      </c>
      <c r="H366" s="491">
        <v>3</v>
      </c>
      <c r="I366" s="495" t="s">
        <v>4418</v>
      </c>
      <c r="J366" s="491"/>
      <c r="K366" s="491" t="s">
        <v>3013</v>
      </c>
      <c r="L366" s="491"/>
      <c r="M366" s="1417">
        <v>229520</v>
      </c>
      <c r="N366" s="1373" t="s">
        <v>251</v>
      </c>
      <c r="O366" s="537">
        <v>43578</v>
      </c>
      <c r="P366" s="537">
        <v>43609</v>
      </c>
      <c r="Q366" s="537">
        <v>43727</v>
      </c>
      <c r="R366" s="491" t="s">
        <v>3080</v>
      </c>
      <c r="S366" s="495"/>
      <c r="T366" s="536">
        <v>229515</v>
      </c>
      <c r="U366" s="536">
        <v>263942.25</v>
      </c>
      <c r="V366" s="1471"/>
      <c r="W366" s="1471"/>
      <c r="X366" s="1471"/>
      <c r="Y366" s="573">
        <v>43727</v>
      </c>
      <c r="Z366" s="1375" t="s">
        <v>5654</v>
      </c>
      <c r="AA366" s="537">
        <v>43752</v>
      </c>
      <c r="AB366" s="537">
        <v>43761</v>
      </c>
      <c r="AC366" s="537">
        <v>44482</v>
      </c>
      <c r="AD366" s="491" t="s">
        <v>6603</v>
      </c>
      <c r="AE366" s="491" t="s">
        <v>8483</v>
      </c>
      <c r="AF366" s="1560">
        <v>44637</v>
      </c>
      <c r="AG366" s="374"/>
    </row>
    <row r="367" spans="1:33" ht="30">
      <c r="B367" s="355"/>
      <c r="C367" s="537">
        <v>43567</v>
      </c>
      <c r="D367" s="1373" t="s">
        <v>4414</v>
      </c>
      <c r="E367" s="491" t="s">
        <v>2434</v>
      </c>
      <c r="F367" s="491" t="s">
        <v>219</v>
      </c>
      <c r="G367" s="571" t="s">
        <v>4415</v>
      </c>
      <c r="H367" s="491">
        <v>4</v>
      </c>
      <c r="I367" s="495" t="s">
        <v>4419</v>
      </c>
      <c r="J367" s="491"/>
      <c r="K367" s="491" t="s">
        <v>3013</v>
      </c>
      <c r="L367" s="491"/>
      <c r="M367" s="1417">
        <v>279480</v>
      </c>
      <c r="N367" s="1373" t="s">
        <v>251</v>
      </c>
      <c r="O367" s="537">
        <v>43578</v>
      </c>
      <c r="P367" s="537">
        <v>43609</v>
      </c>
      <c r="Q367" s="537">
        <v>43727</v>
      </c>
      <c r="R367" s="491" t="s">
        <v>3080</v>
      </c>
      <c r="S367" s="495"/>
      <c r="T367" s="536">
        <v>258000</v>
      </c>
      <c r="U367" s="536">
        <v>296700</v>
      </c>
      <c r="V367" s="1471"/>
      <c r="W367" s="1471"/>
      <c r="X367" s="1471"/>
      <c r="Y367" s="573">
        <v>43727</v>
      </c>
      <c r="Z367" s="1375" t="s">
        <v>5655</v>
      </c>
      <c r="AA367" s="537">
        <v>43752</v>
      </c>
      <c r="AB367" s="537">
        <v>43761</v>
      </c>
      <c r="AC367" s="537">
        <v>44482</v>
      </c>
      <c r="AD367" s="537">
        <v>43930</v>
      </c>
      <c r="AE367" s="491" t="s">
        <v>8483</v>
      </c>
      <c r="AF367" s="1560">
        <v>44637</v>
      </c>
      <c r="AG367" s="374"/>
    </row>
    <row r="368" spans="1:33">
      <c r="C368" s="510">
        <v>43567</v>
      </c>
      <c r="D368" s="1382" t="s">
        <v>4414</v>
      </c>
      <c r="E368" s="506" t="s">
        <v>2434</v>
      </c>
      <c r="F368" s="506" t="s">
        <v>219</v>
      </c>
      <c r="G368" s="507" t="s">
        <v>4415</v>
      </c>
      <c r="H368" s="506">
        <v>5</v>
      </c>
      <c r="I368" s="548" t="s">
        <v>4420</v>
      </c>
      <c r="J368" s="506"/>
      <c r="K368" s="506" t="s">
        <v>3013</v>
      </c>
      <c r="L368" s="506"/>
      <c r="M368" s="1611">
        <v>1377290</v>
      </c>
      <c r="N368" s="1382" t="s">
        <v>251</v>
      </c>
      <c r="O368" s="510">
        <v>43578</v>
      </c>
      <c r="P368" s="510">
        <v>43609</v>
      </c>
      <c r="Q368" s="506"/>
      <c r="R368" s="514" t="s">
        <v>304</v>
      </c>
      <c r="S368" s="736"/>
      <c r="T368" s="511"/>
      <c r="U368" s="511"/>
      <c r="V368" s="1484"/>
      <c r="W368" s="1484"/>
      <c r="X368" s="1484"/>
      <c r="Y368" s="511"/>
      <c r="Z368" s="511"/>
      <c r="AA368" s="506"/>
      <c r="AB368" s="510">
        <v>43642</v>
      </c>
      <c r="AC368" s="506" t="s">
        <v>4860</v>
      </c>
      <c r="AD368" s="506"/>
      <c r="AE368" s="506"/>
    </row>
    <row r="369" spans="3:36" ht="30">
      <c r="C369" s="537">
        <v>43567</v>
      </c>
      <c r="D369" s="1373" t="s">
        <v>4414</v>
      </c>
      <c r="E369" s="491" t="s">
        <v>2434</v>
      </c>
      <c r="F369" s="491" t="s">
        <v>219</v>
      </c>
      <c r="G369" s="571" t="s">
        <v>4415</v>
      </c>
      <c r="H369" s="491">
        <v>6</v>
      </c>
      <c r="I369" s="495" t="s">
        <v>4421</v>
      </c>
      <c r="J369" s="491"/>
      <c r="K369" s="491" t="s">
        <v>3013</v>
      </c>
      <c r="L369" s="491"/>
      <c r="M369" s="1417">
        <v>289900</v>
      </c>
      <c r="N369" s="1373" t="s">
        <v>251</v>
      </c>
      <c r="O369" s="537">
        <v>43578</v>
      </c>
      <c r="P369" s="537">
        <v>43609</v>
      </c>
      <c r="Q369" s="537">
        <v>43727</v>
      </c>
      <c r="R369" s="491" t="s">
        <v>3080</v>
      </c>
      <c r="S369" s="495"/>
      <c r="T369" s="536">
        <v>289896</v>
      </c>
      <c r="U369" s="536">
        <v>333380.40000000002</v>
      </c>
      <c r="V369" s="1471"/>
      <c r="W369" s="1471"/>
      <c r="X369" s="1471"/>
      <c r="Y369" s="573">
        <v>43727</v>
      </c>
      <c r="Z369" s="1375" t="s">
        <v>5656</v>
      </c>
      <c r="AA369" s="537">
        <v>43752</v>
      </c>
      <c r="AB369" s="537">
        <v>43761</v>
      </c>
      <c r="AC369" s="537">
        <v>44482</v>
      </c>
      <c r="AD369" s="491" t="s">
        <v>6603</v>
      </c>
      <c r="AE369" s="491" t="s">
        <v>8483</v>
      </c>
      <c r="AF369" s="1560">
        <v>44637</v>
      </c>
      <c r="AG369" s="374"/>
    </row>
    <row r="370" spans="3:36" ht="30">
      <c r="C370" s="537">
        <v>43567</v>
      </c>
      <c r="D370" s="1373" t="s">
        <v>4414</v>
      </c>
      <c r="E370" s="491" t="s">
        <v>2434</v>
      </c>
      <c r="F370" s="491" t="s">
        <v>219</v>
      </c>
      <c r="G370" s="571" t="s">
        <v>4415</v>
      </c>
      <c r="H370" s="491">
        <v>7</v>
      </c>
      <c r="I370" s="495" t="s">
        <v>4422</v>
      </c>
      <c r="J370" s="491"/>
      <c r="K370" s="491" t="s">
        <v>3013</v>
      </c>
      <c r="L370" s="491"/>
      <c r="M370" s="1417">
        <v>56650</v>
      </c>
      <c r="N370" s="1373" t="s">
        <v>251</v>
      </c>
      <c r="O370" s="537">
        <v>43578</v>
      </c>
      <c r="P370" s="537">
        <v>43609</v>
      </c>
      <c r="Q370" s="537">
        <v>43727</v>
      </c>
      <c r="R370" s="491" t="s">
        <v>3080</v>
      </c>
      <c r="S370" s="495"/>
      <c r="T370" s="536">
        <v>56650</v>
      </c>
      <c r="U370" s="536">
        <v>65147.5</v>
      </c>
      <c r="V370" s="1471"/>
      <c r="W370" s="1471"/>
      <c r="X370" s="1471"/>
      <c r="Y370" s="573">
        <v>43727</v>
      </c>
      <c r="Z370" s="1375" t="s">
        <v>5657</v>
      </c>
      <c r="AA370" s="537">
        <v>43752</v>
      </c>
      <c r="AB370" s="537">
        <v>43761</v>
      </c>
      <c r="AC370" s="537">
        <v>44482</v>
      </c>
      <c r="AD370" s="491" t="s">
        <v>6603</v>
      </c>
      <c r="AE370" s="491" t="s">
        <v>8483</v>
      </c>
      <c r="AF370" s="1560">
        <v>44637</v>
      </c>
      <c r="AG370" s="374"/>
    </row>
    <row r="371" spans="3:36">
      <c r="C371" s="510">
        <v>43567</v>
      </c>
      <c r="D371" s="1382" t="s">
        <v>4414</v>
      </c>
      <c r="E371" s="506" t="s">
        <v>2434</v>
      </c>
      <c r="F371" s="506" t="s">
        <v>219</v>
      </c>
      <c r="G371" s="507" t="s">
        <v>4415</v>
      </c>
      <c r="H371" s="506">
        <v>8</v>
      </c>
      <c r="I371" s="548" t="s">
        <v>4423</v>
      </c>
      <c r="J371" s="506"/>
      <c r="K371" s="506" t="s">
        <v>3013</v>
      </c>
      <c r="L371" s="506"/>
      <c r="M371" s="1611">
        <v>2250090</v>
      </c>
      <c r="N371" s="1382" t="s">
        <v>251</v>
      </c>
      <c r="O371" s="510">
        <v>43578</v>
      </c>
      <c r="P371" s="510">
        <v>43609</v>
      </c>
      <c r="Q371" s="506"/>
      <c r="R371" s="514" t="s">
        <v>304</v>
      </c>
      <c r="S371" s="736"/>
      <c r="T371" s="511"/>
      <c r="U371" s="511"/>
      <c r="V371" s="1484"/>
      <c r="W371" s="1484"/>
      <c r="X371" s="1484"/>
      <c r="Y371" s="511"/>
      <c r="Z371" s="511"/>
      <c r="AA371" s="506"/>
      <c r="AB371" s="510">
        <v>43642</v>
      </c>
      <c r="AC371" s="506" t="s">
        <v>4860</v>
      </c>
      <c r="AD371" s="506"/>
      <c r="AE371" s="506"/>
    </row>
    <row r="372" spans="3:36">
      <c r="C372" s="510">
        <v>43567</v>
      </c>
      <c r="D372" s="1382" t="s">
        <v>4414</v>
      </c>
      <c r="E372" s="506" t="s">
        <v>2434</v>
      </c>
      <c r="F372" s="506" t="s">
        <v>219</v>
      </c>
      <c r="G372" s="507" t="s">
        <v>4415</v>
      </c>
      <c r="H372" s="506">
        <v>9</v>
      </c>
      <c r="I372" s="548" t="s">
        <v>4424</v>
      </c>
      <c r="J372" s="506"/>
      <c r="K372" s="506" t="s">
        <v>3013</v>
      </c>
      <c r="L372" s="506"/>
      <c r="M372" s="1611">
        <v>5588250</v>
      </c>
      <c r="N372" s="1382" t="s">
        <v>251</v>
      </c>
      <c r="O372" s="510">
        <v>43578</v>
      </c>
      <c r="P372" s="510">
        <v>43609</v>
      </c>
      <c r="Q372" s="506"/>
      <c r="R372" s="514" t="s">
        <v>304</v>
      </c>
      <c r="S372" s="736"/>
      <c r="T372" s="511"/>
      <c r="U372" s="511"/>
      <c r="V372" s="1484"/>
      <c r="W372" s="1484"/>
      <c r="X372" s="1484"/>
      <c r="Y372" s="511"/>
      <c r="Z372" s="511"/>
      <c r="AA372" s="506"/>
      <c r="AB372" s="510">
        <v>43642</v>
      </c>
      <c r="AC372" s="506" t="s">
        <v>4860</v>
      </c>
      <c r="AD372" s="506"/>
      <c r="AE372" s="506"/>
    </row>
    <row r="373" spans="3:36">
      <c r="C373" s="510">
        <v>43567</v>
      </c>
      <c r="D373" s="1382" t="s">
        <v>4414</v>
      </c>
      <c r="E373" s="506" t="s">
        <v>2434</v>
      </c>
      <c r="F373" s="506" t="s">
        <v>219</v>
      </c>
      <c r="G373" s="507" t="s">
        <v>4415</v>
      </c>
      <c r="H373" s="506">
        <v>10</v>
      </c>
      <c r="I373" s="548" t="s">
        <v>4425</v>
      </c>
      <c r="J373" s="506"/>
      <c r="K373" s="506" t="s">
        <v>3013</v>
      </c>
      <c r="L373" s="506"/>
      <c r="M373" s="1611">
        <v>320000</v>
      </c>
      <c r="N373" s="1382" t="s">
        <v>251</v>
      </c>
      <c r="O373" s="510">
        <v>43578</v>
      </c>
      <c r="P373" s="510">
        <v>43609</v>
      </c>
      <c r="Q373" s="506"/>
      <c r="R373" s="514" t="s">
        <v>304</v>
      </c>
      <c r="S373" s="736"/>
      <c r="T373" s="511"/>
      <c r="U373" s="511"/>
      <c r="V373" s="1484"/>
      <c r="W373" s="1484"/>
      <c r="X373" s="1484"/>
      <c r="Y373" s="511"/>
      <c r="Z373" s="511"/>
      <c r="AA373" s="506"/>
      <c r="AB373" s="510">
        <v>43642</v>
      </c>
      <c r="AC373" s="506" t="s">
        <v>4860</v>
      </c>
      <c r="AD373" s="506"/>
      <c r="AE373" s="506"/>
    </row>
    <row r="374" spans="3:36" ht="30">
      <c r="C374" s="537">
        <v>43567</v>
      </c>
      <c r="D374" s="1373" t="s">
        <v>4414</v>
      </c>
      <c r="E374" s="491" t="s">
        <v>2434</v>
      </c>
      <c r="F374" s="491" t="s">
        <v>219</v>
      </c>
      <c r="G374" s="571" t="s">
        <v>4415</v>
      </c>
      <c r="H374" s="491">
        <v>11</v>
      </c>
      <c r="I374" s="495" t="s">
        <v>4426</v>
      </c>
      <c r="J374" s="491"/>
      <c r="K374" s="491" t="s">
        <v>3013</v>
      </c>
      <c r="L374" s="491"/>
      <c r="M374" s="1417">
        <v>234300</v>
      </c>
      <c r="N374" s="1373" t="s">
        <v>251</v>
      </c>
      <c r="O374" s="537">
        <v>43578</v>
      </c>
      <c r="P374" s="537">
        <v>43609</v>
      </c>
      <c r="Q374" s="537">
        <v>43727</v>
      </c>
      <c r="R374" s="491" t="s">
        <v>3080</v>
      </c>
      <c r="S374" s="495"/>
      <c r="T374" s="536">
        <v>234300</v>
      </c>
      <c r="U374" s="536">
        <v>269445</v>
      </c>
      <c r="V374" s="1471"/>
      <c r="W374" s="1471"/>
      <c r="X374" s="1471"/>
      <c r="Y374" s="573">
        <v>43727</v>
      </c>
      <c r="Z374" s="1375" t="s">
        <v>5658</v>
      </c>
      <c r="AA374" s="537">
        <v>43752</v>
      </c>
      <c r="AB374" s="537">
        <v>43761</v>
      </c>
      <c r="AC374" s="537">
        <v>44482</v>
      </c>
      <c r="AD374" s="537">
        <v>43930</v>
      </c>
      <c r="AE374" s="537">
        <v>44285</v>
      </c>
      <c r="AF374" s="1560">
        <v>44637</v>
      </c>
      <c r="AG374" s="374"/>
    </row>
    <row r="375" spans="3:36" ht="30">
      <c r="C375" s="537">
        <v>43567</v>
      </c>
      <c r="D375" s="1373" t="s">
        <v>4414</v>
      </c>
      <c r="E375" s="491" t="s">
        <v>2434</v>
      </c>
      <c r="F375" s="491" t="s">
        <v>219</v>
      </c>
      <c r="G375" s="571" t="s">
        <v>4415</v>
      </c>
      <c r="H375" s="491">
        <v>12</v>
      </c>
      <c r="I375" s="495" t="s">
        <v>4427</v>
      </c>
      <c r="J375" s="491"/>
      <c r="K375" s="491" t="s">
        <v>3013</v>
      </c>
      <c r="L375" s="491"/>
      <c r="M375" s="1417">
        <v>93720</v>
      </c>
      <c r="N375" s="1373" t="s">
        <v>251</v>
      </c>
      <c r="O375" s="537">
        <v>43578</v>
      </c>
      <c r="P375" s="537">
        <v>43609</v>
      </c>
      <c r="Q375" s="537">
        <v>43727</v>
      </c>
      <c r="R375" s="491" t="s">
        <v>3080</v>
      </c>
      <c r="S375" s="495"/>
      <c r="T375" s="536">
        <v>93720</v>
      </c>
      <c r="U375" s="536">
        <v>107778</v>
      </c>
      <c r="V375" s="1471"/>
      <c r="W375" s="1471"/>
      <c r="X375" s="1471"/>
      <c r="Y375" s="573">
        <v>43727</v>
      </c>
      <c r="Z375" s="1375" t="s">
        <v>5659</v>
      </c>
      <c r="AA375" s="537">
        <v>43752</v>
      </c>
      <c r="AB375" s="537">
        <v>43761</v>
      </c>
      <c r="AC375" s="537">
        <v>44482</v>
      </c>
      <c r="AD375" s="491" t="s">
        <v>6603</v>
      </c>
      <c r="AE375" s="491" t="s">
        <v>8483</v>
      </c>
      <c r="AF375" s="1560">
        <v>44637</v>
      </c>
      <c r="AG375" s="374"/>
    </row>
    <row r="376" spans="3:36" ht="30">
      <c r="C376" s="537">
        <v>43567</v>
      </c>
      <c r="D376" s="1373" t="s">
        <v>4414</v>
      </c>
      <c r="E376" s="491" t="s">
        <v>2434</v>
      </c>
      <c r="F376" s="491" t="s">
        <v>219</v>
      </c>
      <c r="G376" s="571" t="s">
        <v>4415</v>
      </c>
      <c r="H376" s="491">
        <v>13</v>
      </c>
      <c r="I376" s="495" t="s">
        <v>4428</v>
      </c>
      <c r="J376" s="491"/>
      <c r="K376" s="491" t="s">
        <v>3013</v>
      </c>
      <c r="L376" s="491"/>
      <c r="M376" s="1417">
        <v>737460</v>
      </c>
      <c r="N376" s="1373" t="s">
        <v>251</v>
      </c>
      <c r="O376" s="537">
        <v>43578</v>
      </c>
      <c r="P376" s="537">
        <v>43609</v>
      </c>
      <c r="Q376" s="537">
        <v>43727</v>
      </c>
      <c r="R376" s="491" t="s">
        <v>3080</v>
      </c>
      <c r="S376" s="495"/>
      <c r="T376" s="536">
        <v>737440</v>
      </c>
      <c r="U376" s="536">
        <v>848056</v>
      </c>
      <c r="V376" s="1471"/>
      <c r="W376" s="1471"/>
      <c r="X376" s="1471"/>
      <c r="Y376" s="573">
        <v>43727</v>
      </c>
      <c r="Z376" s="1375" t="s">
        <v>5660</v>
      </c>
      <c r="AA376" s="537">
        <v>43752</v>
      </c>
      <c r="AB376" s="537">
        <v>43761</v>
      </c>
      <c r="AC376" s="537">
        <v>44482</v>
      </c>
      <c r="AD376" s="537">
        <v>43930</v>
      </c>
      <c r="AE376" s="537">
        <v>44285</v>
      </c>
      <c r="AF376" s="1560">
        <v>44637</v>
      </c>
      <c r="AG376" s="374"/>
    </row>
    <row r="377" spans="3:36" ht="30">
      <c r="C377" s="537">
        <v>43567</v>
      </c>
      <c r="D377" s="1373" t="s">
        <v>4414</v>
      </c>
      <c r="E377" s="491" t="s">
        <v>2434</v>
      </c>
      <c r="F377" s="491" t="s">
        <v>219</v>
      </c>
      <c r="G377" s="571" t="s">
        <v>4415</v>
      </c>
      <c r="H377" s="491">
        <v>14</v>
      </c>
      <c r="I377" s="495" t="s">
        <v>4429</v>
      </c>
      <c r="J377" s="491"/>
      <c r="K377" s="491" t="s">
        <v>3013</v>
      </c>
      <c r="L377" s="491"/>
      <c r="M377" s="1417">
        <v>3572060</v>
      </c>
      <c r="N377" s="1373" t="s">
        <v>251</v>
      </c>
      <c r="O377" s="537">
        <v>43578</v>
      </c>
      <c r="P377" s="537">
        <v>43609</v>
      </c>
      <c r="Q377" s="537">
        <v>43727</v>
      </c>
      <c r="R377" s="491" t="s">
        <v>3080</v>
      </c>
      <c r="S377" s="495"/>
      <c r="T377" s="536">
        <v>3532279.2</v>
      </c>
      <c r="U377" s="536">
        <v>4062121.08</v>
      </c>
      <c r="V377" s="1471"/>
      <c r="W377" s="1471"/>
      <c r="X377" s="1471"/>
      <c r="Y377" s="573">
        <v>43727</v>
      </c>
      <c r="Z377" s="1375" t="s">
        <v>5661</v>
      </c>
      <c r="AA377" s="537">
        <v>43752</v>
      </c>
      <c r="AB377" s="537">
        <v>43761</v>
      </c>
      <c r="AC377" s="537">
        <v>44482</v>
      </c>
      <c r="AD377" s="491" t="s">
        <v>6603</v>
      </c>
      <c r="AE377" s="537">
        <v>44285</v>
      </c>
      <c r="AF377" s="1560">
        <v>44637</v>
      </c>
      <c r="AG377" s="374"/>
    </row>
    <row r="378" spans="3:36" ht="15.75" thickBot="1">
      <c r="C378" s="1414">
        <v>43567</v>
      </c>
      <c r="D378" s="1411" t="s">
        <v>4414</v>
      </c>
      <c r="E378" s="1410" t="s">
        <v>2434</v>
      </c>
      <c r="F378" s="1410" t="s">
        <v>219</v>
      </c>
      <c r="G378" s="1412" t="s">
        <v>4415</v>
      </c>
      <c r="H378" s="1410">
        <v>15</v>
      </c>
      <c r="I378" s="1430" t="s">
        <v>4430</v>
      </c>
      <c r="J378" s="1410"/>
      <c r="K378" s="1410" t="s">
        <v>3013</v>
      </c>
      <c r="L378" s="1410"/>
      <c r="M378" s="1612">
        <v>1367420</v>
      </c>
      <c r="N378" s="1411" t="s">
        <v>251</v>
      </c>
      <c r="O378" s="1414">
        <v>43578</v>
      </c>
      <c r="P378" s="1414">
        <v>43609</v>
      </c>
      <c r="Q378" s="1410"/>
      <c r="R378" s="1740" t="s">
        <v>304</v>
      </c>
      <c r="S378" s="1710"/>
      <c r="T378" s="1413"/>
      <c r="U378" s="1413"/>
      <c r="V378" s="1485"/>
      <c r="W378" s="1485"/>
      <c r="X378" s="1485"/>
      <c r="Y378" s="1413"/>
      <c r="Z378" s="1413"/>
      <c r="AA378" s="1410"/>
      <c r="AB378" s="1414">
        <v>43642</v>
      </c>
      <c r="AC378" s="1410" t="s">
        <v>4860</v>
      </c>
      <c r="AD378" s="1410"/>
      <c r="AE378" s="1410"/>
    </row>
    <row r="379" spans="3:36" ht="15.75" thickTop="1">
      <c r="C379" s="365">
        <v>43565</v>
      </c>
      <c r="D379" s="1397" t="s">
        <v>4431</v>
      </c>
      <c r="E379" s="1570" t="s">
        <v>166</v>
      </c>
      <c r="F379" s="1570" t="s">
        <v>167</v>
      </c>
      <c r="G379" s="175" t="s">
        <v>4432</v>
      </c>
      <c r="H379" s="1570"/>
      <c r="I379" s="1571"/>
      <c r="J379" s="1570"/>
      <c r="K379" s="1570" t="s">
        <v>1676</v>
      </c>
      <c r="L379" s="1570"/>
      <c r="M379" s="364">
        <v>910000</v>
      </c>
      <c r="N379" s="1570" t="s">
        <v>112</v>
      </c>
      <c r="O379" s="365">
        <v>43580</v>
      </c>
      <c r="P379" s="365">
        <v>43592</v>
      </c>
      <c r="Q379" s="365">
        <v>43605</v>
      </c>
      <c r="R379" s="1791" t="s">
        <v>2626</v>
      </c>
      <c r="S379" s="1705"/>
      <c r="T379" s="364">
        <v>1483436.96</v>
      </c>
      <c r="U379" s="364">
        <f>T379*1.21</f>
        <v>1794958.7215999998</v>
      </c>
      <c r="V379" s="1473"/>
      <c r="W379" s="1473"/>
      <c r="X379" s="1473"/>
      <c r="Y379" s="681">
        <v>43605</v>
      </c>
      <c r="Z379" s="364" t="s">
        <v>4696</v>
      </c>
      <c r="AA379" s="365">
        <v>43630</v>
      </c>
      <c r="AB379" s="365">
        <v>43633</v>
      </c>
      <c r="AC379" s="365">
        <v>43718</v>
      </c>
      <c r="AD379" s="365">
        <v>43801</v>
      </c>
      <c r="AE379" s="1513"/>
      <c r="AF379" s="374"/>
      <c r="AG379" s="374"/>
    </row>
    <row r="380" spans="3:36">
      <c r="C380" s="506" t="s">
        <v>3585</v>
      </c>
      <c r="D380" s="1382" t="s">
        <v>4433</v>
      </c>
      <c r="E380" s="506" t="s">
        <v>3678</v>
      </c>
      <c r="F380" s="506" t="s">
        <v>918</v>
      </c>
      <c r="G380" s="1573" t="s">
        <v>4434</v>
      </c>
      <c r="H380" s="506"/>
      <c r="I380" s="548"/>
      <c r="J380" s="506"/>
      <c r="K380" s="506" t="s">
        <v>1518</v>
      </c>
      <c r="L380" s="506"/>
      <c r="M380" s="511">
        <v>1600000</v>
      </c>
      <c r="N380" s="506" t="s">
        <v>112</v>
      </c>
      <c r="O380" s="510">
        <v>43573</v>
      </c>
      <c r="P380" s="510">
        <v>43580</v>
      </c>
      <c r="Q380" s="506"/>
      <c r="R380" s="514" t="s">
        <v>304</v>
      </c>
      <c r="S380" s="1713" t="s">
        <v>4722</v>
      </c>
      <c r="T380" s="511"/>
      <c r="U380" s="511"/>
      <c r="V380" s="1484"/>
      <c r="W380" s="1484"/>
      <c r="X380" s="1484"/>
      <c r="Y380" s="511"/>
      <c r="Z380" s="511"/>
      <c r="AA380" s="506"/>
      <c r="AB380" s="510">
        <v>43581</v>
      </c>
      <c r="AC380" s="506"/>
      <c r="AD380" s="506"/>
      <c r="AE380" s="506"/>
    </row>
    <row r="381" spans="3:36">
      <c r="C381" s="491" t="s">
        <v>3585</v>
      </c>
      <c r="D381" s="1373" t="s">
        <v>4436</v>
      </c>
      <c r="E381" s="491" t="s">
        <v>69</v>
      </c>
      <c r="F381" s="491" t="s">
        <v>70</v>
      </c>
      <c r="G381" s="571" t="s">
        <v>4270</v>
      </c>
      <c r="H381" s="491"/>
      <c r="I381" s="495"/>
      <c r="J381" s="491"/>
      <c r="K381" s="491" t="s">
        <v>3440</v>
      </c>
      <c r="L381" s="491"/>
      <c r="M381" s="536">
        <v>15947556</v>
      </c>
      <c r="N381" s="491" t="s">
        <v>251</v>
      </c>
      <c r="O381" s="537">
        <v>43579</v>
      </c>
      <c r="P381" s="537">
        <v>43637</v>
      </c>
      <c r="Q381" s="537">
        <v>43704</v>
      </c>
      <c r="R381" s="491" t="s">
        <v>472</v>
      </c>
      <c r="S381" s="495"/>
      <c r="T381" s="536">
        <v>17107857.199999999</v>
      </c>
      <c r="U381" s="536">
        <v>20190047.199999999</v>
      </c>
      <c r="V381" s="1471"/>
      <c r="W381" s="1471"/>
      <c r="X381" s="1471"/>
      <c r="Y381" s="573">
        <v>43704</v>
      </c>
      <c r="Z381" s="536" t="s">
        <v>5387</v>
      </c>
      <c r="AA381" s="537">
        <v>43738</v>
      </c>
      <c r="AB381" s="537">
        <v>43739</v>
      </c>
      <c r="AC381" s="537">
        <v>44468</v>
      </c>
      <c r="AD381" s="537">
        <v>43922</v>
      </c>
      <c r="AE381" s="537">
        <v>44279</v>
      </c>
      <c r="AF381" s="1560">
        <v>44645</v>
      </c>
      <c r="AG381" s="374"/>
    </row>
    <row r="382" spans="3:36">
      <c r="C382" s="510">
        <v>43567</v>
      </c>
      <c r="D382" s="1382" t="s">
        <v>4437</v>
      </c>
      <c r="E382" s="506" t="s">
        <v>58</v>
      </c>
      <c r="F382" s="506" t="s">
        <v>2684</v>
      </c>
      <c r="G382" s="507" t="s">
        <v>4438</v>
      </c>
      <c r="H382" s="506"/>
      <c r="I382" s="548"/>
      <c r="J382" s="506"/>
      <c r="K382" s="506" t="s">
        <v>77</v>
      </c>
      <c r="L382" s="506" t="s">
        <v>4233</v>
      </c>
      <c r="M382" s="511">
        <v>2450000</v>
      </c>
      <c r="N382" s="506" t="s">
        <v>216</v>
      </c>
      <c r="O382" s="510">
        <v>43581</v>
      </c>
      <c r="P382" s="510">
        <v>43602</v>
      </c>
      <c r="Q382" s="506"/>
      <c r="R382" s="514" t="s">
        <v>304</v>
      </c>
      <c r="S382" s="1713" t="s">
        <v>5150</v>
      </c>
      <c r="T382" s="511"/>
      <c r="U382" s="511"/>
      <c r="V382" s="1484"/>
      <c r="W382" s="1484"/>
      <c r="X382" s="1484"/>
      <c r="Y382" s="511"/>
      <c r="Z382" s="511"/>
      <c r="AA382" s="506"/>
      <c r="AB382" s="510">
        <v>43607</v>
      </c>
      <c r="AC382" s="506"/>
      <c r="AD382" s="506"/>
      <c r="AE382" s="506"/>
    </row>
    <row r="383" spans="3:36">
      <c r="C383" s="537">
        <v>43566</v>
      </c>
      <c r="D383" s="1373" t="s">
        <v>4439</v>
      </c>
      <c r="E383" s="491" t="s">
        <v>2111</v>
      </c>
      <c r="F383" s="491" t="s">
        <v>4440</v>
      </c>
      <c r="G383" s="571" t="s">
        <v>4441</v>
      </c>
      <c r="H383" s="491"/>
      <c r="I383" s="495"/>
      <c r="J383" s="491"/>
      <c r="K383" s="491" t="s">
        <v>4442</v>
      </c>
      <c r="L383" s="491"/>
      <c r="M383" s="536">
        <v>462000</v>
      </c>
      <c r="N383" s="491" t="s">
        <v>251</v>
      </c>
      <c r="O383" s="537">
        <v>43578</v>
      </c>
      <c r="P383" s="537">
        <v>43609</v>
      </c>
      <c r="Q383" s="537">
        <v>43640</v>
      </c>
      <c r="R383" s="491" t="s">
        <v>2183</v>
      </c>
      <c r="S383" s="495"/>
      <c r="T383" s="536">
        <v>437165</v>
      </c>
      <c r="U383" s="536">
        <f>T383*1.21</f>
        <v>528969.65</v>
      </c>
      <c r="V383" s="1471"/>
      <c r="W383" s="1471"/>
      <c r="X383" s="1471"/>
      <c r="Y383" s="573">
        <v>43640</v>
      </c>
      <c r="Z383" s="355" t="s">
        <v>4978</v>
      </c>
      <c r="AA383" s="537">
        <v>43678</v>
      </c>
      <c r="AB383" s="537">
        <v>43692</v>
      </c>
      <c r="AC383" s="537">
        <f>AA383+84</f>
        <v>43762</v>
      </c>
      <c r="AD383" s="537">
        <v>44244</v>
      </c>
      <c r="AE383" s="1102"/>
      <c r="AF383" s="374"/>
      <c r="AG383" s="374"/>
    </row>
    <row r="384" spans="3:36" ht="30">
      <c r="C384" s="537">
        <v>43572</v>
      </c>
      <c r="D384" s="1373" t="s">
        <v>4444</v>
      </c>
      <c r="E384" s="491" t="s">
        <v>69</v>
      </c>
      <c r="F384" s="491" t="s">
        <v>70</v>
      </c>
      <c r="G384" s="571" t="s">
        <v>4443</v>
      </c>
      <c r="H384" s="491"/>
      <c r="I384" s="495"/>
      <c r="J384" s="491"/>
      <c r="K384" s="491" t="s">
        <v>42</v>
      </c>
      <c r="L384" s="491"/>
      <c r="M384" s="536">
        <v>6426000</v>
      </c>
      <c r="N384" s="491" t="s">
        <v>251</v>
      </c>
      <c r="O384" s="537">
        <v>43656</v>
      </c>
      <c r="P384" s="537">
        <v>43691</v>
      </c>
      <c r="Q384" s="537">
        <v>43742</v>
      </c>
      <c r="R384" s="491" t="s">
        <v>5804</v>
      </c>
      <c r="S384" s="495"/>
      <c r="T384" s="536">
        <v>4570200</v>
      </c>
      <c r="U384" s="536">
        <v>5529942</v>
      </c>
      <c r="V384" s="1471"/>
      <c r="W384" s="1471"/>
      <c r="X384" s="1471"/>
      <c r="Y384" s="573">
        <v>43745</v>
      </c>
      <c r="Z384" s="1375" t="s">
        <v>5803</v>
      </c>
      <c r="AA384" s="537">
        <v>43794</v>
      </c>
      <c r="AB384" s="537">
        <v>43804</v>
      </c>
      <c r="AC384" s="537">
        <v>45985</v>
      </c>
      <c r="AD384" s="537">
        <v>43929</v>
      </c>
      <c r="AE384" s="537">
        <v>44279</v>
      </c>
      <c r="AF384" s="1560">
        <v>44645</v>
      </c>
      <c r="AG384" s="388">
        <v>2022</v>
      </c>
      <c r="AH384" s="388">
        <v>2023</v>
      </c>
      <c r="AI384" s="388">
        <v>2024</v>
      </c>
      <c r="AJ384" s="388" t="s">
        <v>6045</v>
      </c>
    </row>
    <row r="385" spans="3:34" ht="30.75" thickBot="1">
      <c r="C385" s="411">
        <v>2018</v>
      </c>
      <c r="D385" s="1468" t="s">
        <v>4445</v>
      </c>
      <c r="E385" s="411" t="s">
        <v>2434</v>
      </c>
      <c r="F385" s="411" t="s">
        <v>3204</v>
      </c>
      <c r="G385" s="412" t="s">
        <v>4446</v>
      </c>
      <c r="H385" s="411"/>
      <c r="I385" s="630"/>
      <c r="J385" s="411"/>
      <c r="K385" s="411" t="s">
        <v>3013</v>
      </c>
      <c r="L385" s="411"/>
      <c r="M385" s="417">
        <v>720000</v>
      </c>
      <c r="N385" s="411" t="s">
        <v>112</v>
      </c>
      <c r="O385" s="416">
        <v>43588</v>
      </c>
      <c r="P385" s="416">
        <v>43600</v>
      </c>
      <c r="Q385" s="416">
        <v>43609</v>
      </c>
      <c r="R385" s="411" t="s">
        <v>4692</v>
      </c>
      <c r="S385" s="630"/>
      <c r="T385" s="417">
        <v>719500</v>
      </c>
      <c r="U385" s="417">
        <v>827425</v>
      </c>
      <c r="V385" s="1480"/>
      <c r="W385" s="1480"/>
      <c r="X385" s="1480"/>
      <c r="Y385" s="513">
        <v>43609</v>
      </c>
      <c r="Z385" s="1553" t="s">
        <v>4805</v>
      </c>
      <c r="AA385" s="416">
        <v>43623</v>
      </c>
      <c r="AB385" s="416">
        <v>43633</v>
      </c>
      <c r="AC385" s="416">
        <v>44353</v>
      </c>
      <c r="AD385" s="416">
        <v>43930</v>
      </c>
      <c r="AE385" s="416">
        <v>44285</v>
      </c>
      <c r="AF385" s="1560">
        <v>44637</v>
      </c>
      <c r="AG385" s="374"/>
    </row>
    <row r="386" spans="3:34" ht="30.75" thickTop="1">
      <c r="C386" s="453">
        <v>2018</v>
      </c>
      <c r="D386" s="1383" t="s">
        <v>4447</v>
      </c>
      <c r="E386" s="453" t="s">
        <v>2434</v>
      </c>
      <c r="F386" s="453" t="s">
        <v>3204</v>
      </c>
      <c r="G386" s="473" t="s">
        <v>4448</v>
      </c>
      <c r="H386" s="453">
        <v>1</v>
      </c>
      <c r="I386" s="1420" t="s">
        <v>4514</v>
      </c>
      <c r="J386" s="453"/>
      <c r="K386" s="453" t="s">
        <v>3013</v>
      </c>
      <c r="L386" s="453"/>
      <c r="M386" s="457">
        <v>712800</v>
      </c>
      <c r="N386" s="453" t="s">
        <v>112</v>
      </c>
      <c r="O386" s="474">
        <v>43588</v>
      </c>
      <c r="P386" s="474">
        <v>43600</v>
      </c>
      <c r="Q386" s="1607">
        <v>43628</v>
      </c>
      <c r="R386" s="453" t="s">
        <v>4905</v>
      </c>
      <c r="S386" s="1420"/>
      <c r="T386" s="457">
        <v>745308</v>
      </c>
      <c r="U386" s="457">
        <v>901822.68</v>
      </c>
      <c r="V386" s="1474"/>
      <c r="W386" s="1474"/>
      <c r="X386" s="1474"/>
      <c r="Y386" s="570">
        <v>43633</v>
      </c>
      <c r="Z386" s="1387" t="s">
        <v>4947</v>
      </c>
      <c r="AA386" s="474">
        <v>43676</v>
      </c>
      <c r="AB386" s="474">
        <v>43678</v>
      </c>
      <c r="AC386" s="474">
        <v>44406</v>
      </c>
      <c r="AD386" s="474">
        <v>43930</v>
      </c>
      <c r="AE386" s="474">
        <v>44285</v>
      </c>
      <c r="AF386" s="1560">
        <v>44637</v>
      </c>
      <c r="AG386" s="374"/>
    </row>
    <row r="387" spans="3:34" ht="30.75" thickBot="1">
      <c r="C387" s="1376">
        <v>2018</v>
      </c>
      <c r="D387" s="1377" t="s">
        <v>4447</v>
      </c>
      <c r="E387" s="1376" t="s">
        <v>2434</v>
      </c>
      <c r="F387" s="1376" t="s">
        <v>3204</v>
      </c>
      <c r="G387" s="1378" t="s">
        <v>4448</v>
      </c>
      <c r="H387" s="1376">
        <v>2</v>
      </c>
      <c r="I387" s="1421" t="s">
        <v>4515</v>
      </c>
      <c r="J387" s="1376"/>
      <c r="K387" s="1376" t="s">
        <v>642</v>
      </c>
      <c r="L387" s="1376"/>
      <c r="M387" s="1379">
        <v>370740</v>
      </c>
      <c r="N387" s="1376" t="s">
        <v>112</v>
      </c>
      <c r="O387" s="1380">
        <v>43588</v>
      </c>
      <c r="P387" s="1380">
        <v>43600</v>
      </c>
      <c r="Q387" s="1380">
        <v>43628</v>
      </c>
      <c r="R387" s="1376" t="s">
        <v>4905</v>
      </c>
      <c r="S387" s="1421"/>
      <c r="T387" s="1379">
        <v>458800</v>
      </c>
      <c r="U387" s="1379">
        <v>555148</v>
      </c>
      <c r="V387" s="1475"/>
      <c r="W387" s="1475"/>
      <c r="X387" s="1475"/>
      <c r="Y387" s="1388">
        <v>43633</v>
      </c>
      <c r="Z387" s="1389" t="s">
        <v>4948</v>
      </c>
      <c r="AA387" s="1380">
        <v>43670</v>
      </c>
      <c r="AB387" s="1380">
        <v>43675</v>
      </c>
      <c r="AC387" s="1380">
        <v>44400</v>
      </c>
      <c r="AD387" s="1380">
        <v>43930</v>
      </c>
      <c r="AE387" s="1380">
        <v>44285</v>
      </c>
      <c r="AF387" s="1560">
        <v>44637</v>
      </c>
      <c r="AG387" s="374"/>
    </row>
    <row r="388" spans="3:34" ht="15.75" thickTop="1">
      <c r="C388" s="466">
        <v>2018</v>
      </c>
      <c r="D388" s="1515" t="s">
        <v>4450</v>
      </c>
      <c r="E388" s="466" t="s">
        <v>2434</v>
      </c>
      <c r="F388" s="466" t="s">
        <v>3204</v>
      </c>
      <c r="G388" s="467" t="s">
        <v>4449</v>
      </c>
      <c r="H388" s="466"/>
      <c r="I388" s="654"/>
      <c r="J388" s="466"/>
      <c r="K388" s="466" t="s">
        <v>3013</v>
      </c>
      <c r="L388" s="466"/>
      <c r="M388" s="472">
        <v>670000</v>
      </c>
      <c r="N388" s="466" t="s">
        <v>112</v>
      </c>
      <c r="O388" s="470">
        <v>43588</v>
      </c>
      <c r="P388" s="470">
        <v>43600</v>
      </c>
      <c r="Q388" s="466"/>
      <c r="R388" s="1171" t="s">
        <v>304</v>
      </c>
      <c r="S388" s="1717" t="s">
        <v>4728</v>
      </c>
      <c r="T388" s="472"/>
      <c r="U388" s="472"/>
      <c r="V388" s="1516"/>
      <c r="W388" s="1516"/>
      <c r="X388" s="1516"/>
      <c r="Y388" s="472"/>
      <c r="Z388" s="472"/>
      <c r="AA388" s="466"/>
      <c r="AB388" s="470">
        <v>43601</v>
      </c>
      <c r="AC388" s="466"/>
      <c r="AD388" s="466"/>
      <c r="AE388" s="466"/>
    </row>
    <row r="389" spans="3:34" ht="15.75" thickBot="1">
      <c r="C389" s="639">
        <v>2018</v>
      </c>
      <c r="D389" s="1491" t="s">
        <v>4452</v>
      </c>
      <c r="E389" s="639" t="s">
        <v>2434</v>
      </c>
      <c r="F389" s="639" t="s">
        <v>3204</v>
      </c>
      <c r="G389" s="640" t="s">
        <v>4451</v>
      </c>
      <c r="H389" s="639"/>
      <c r="I389" s="1533"/>
      <c r="J389" s="639"/>
      <c r="K389" s="639" t="s">
        <v>3013</v>
      </c>
      <c r="L389" s="639"/>
      <c r="M389" s="645">
        <v>434900</v>
      </c>
      <c r="N389" s="639" t="s">
        <v>112</v>
      </c>
      <c r="O389" s="643">
        <v>43588</v>
      </c>
      <c r="P389" s="643">
        <v>43600</v>
      </c>
      <c r="Q389" s="639"/>
      <c r="R389" s="831" t="s">
        <v>304</v>
      </c>
      <c r="S389" s="1715" t="s">
        <v>4727</v>
      </c>
      <c r="T389" s="645"/>
      <c r="U389" s="645"/>
      <c r="V389" s="1534"/>
      <c r="W389" s="1534"/>
      <c r="X389" s="1534"/>
      <c r="Y389" s="645"/>
      <c r="Z389" s="645"/>
      <c r="AA389" s="639"/>
      <c r="AB389" s="643">
        <v>43601</v>
      </c>
      <c r="AC389" s="639"/>
      <c r="AD389" s="639"/>
      <c r="AE389" s="639"/>
    </row>
    <row r="390" spans="3:34" ht="15.75" thickTop="1">
      <c r="C390" s="443">
        <v>43563</v>
      </c>
      <c r="D390" s="1415" t="s">
        <v>4453</v>
      </c>
      <c r="E390" s="439" t="s">
        <v>289</v>
      </c>
      <c r="F390" s="439" t="s">
        <v>291</v>
      </c>
      <c r="G390" s="440" t="s">
        <v>4454</v>
      </c>
      <c r="H390" s="439">
        <v>1</v>
      </c>
      <c r="I390" s="1431" t="s">
        <v>4459</v>
      </c>
      <c r="J390" s="439"/>
      <c r="K390" s="439" t="s">
        <v>4458</v>
      </c>
      <c r="L390" s="439" t="s">
        <v>4461</v>
      </c>
      <c r="M390" s="444">
        <v>2500000</v>
      </c>
      <c r="N390" s="439" t="s">
        <v>251</v>
      </c>
      <c r="O390" s="443">
        <v>43581</v>
      </c>
      <c r="P390" s="443">
        <v>43616</v>
      </c>
      <c r="Q390" s="439"/>
      <c r="R390" s="538" t="s">
        <v>4830</v>
      </c>
      <c r="S390" s="1756" t="s">
        <v>4829</v>
      </c>
      <c r="T390" s="444"/>
      <c r="U390" s="444"/>
      <c r="V390" s="1483"/>
      <c r="W390" s="1483"/>
      <c r="X390" s="1483"/>
      <c r="Y390" s="444"/>
      <c r="Z390" s="444"/>
      <c r="AA390" s="439"/>
      <c r="AB390" s="443">
        <v>43615</v>
      </c>
      <c r="AC390" s="439"/>
      <c r="AD390" s="439"/>
      <c r="AE390" s="439"/>
    </row>
    <row r="391" spans="3:34" ht="15.75" thickBot="1">
      <c r="C391" s="1414">
        <v>43563</v>
      </c>
      <c r="D391" s="1411" t="s">
        <v>4453</v>
      </c>
      <c r="E391" s="1410" t="s">
        <v>289</v>
      </c>
      <c r="F391" s="1410" t="s">
        <v>291</v>
      </c>
      <c r="G391" s="1412" t="s">
        <v>4454</v>
      </c>
      <c r="H391" s="1410">
        <v>2</v>
      </c>
      <c r="I391" s="1430" t="s">
        <v>4460</v>
      </c>
      <c r="J391" s="1410"/>
      <c r="K391" s="1410" t="s">
        <v>4458</v>
      </c>
      <c r="L391" s="1410" t="s">
        <v>4461</v>
      </c>
      <c r="M391" s="1413">
        <v>2300000</v>
      </c>
      <c r="N391" s="1410" t="s">
        <v>251</v>
      </c>
      <c r="O391" s="1414">
        <v>43581</v>
      </c>
      <c r="P391" s="1414">
        <v>43616</v>
      </c>
      <c r="Q391" s="1410"/>
      <c r="R391" s="1740" t="s">
        <v>4830</v>
      </c>
      <c r="S391" s="1757" t="s">
        <v>4829</v>
      </c>
      <c r="T391" s="1413"/>
      <c r="U391" s="1413"/>
      <c r="V391" s="1485"/>
      <c r="W391" s="1485"/>
      <c r="X391" s="1485"/>
      <c r="Y391" s="1413"/>
      <c r="Z391" s="1413"/>
      <c r="AA391" s="1410"/>
      <c r="AB391" s="1414">
        <v>43615</v>
      </c>
      <c r="AC391" s="1410"/>
      <c r="AD391" s="1410"/>
      <c r="AE391" s="1410"/>
    </row>
    <row r="392" spans="3:34" ht="16.5" thickTop="1" thickBot="1">
      <c r="C392" s="498">
        <v>43578</v>
      </c>
      <c r="D392" s="1544" t="s">
        <v>4456</v>
      </c>
      <c r="E392" s="232" t="s">
        <v>1032</v>
      </c>
      <c r="F392" s="232" t="s">
        <v>361</v>
      </c>
      <c r="G392" s="274" t="s">
        <v>4457</v>
      </c>
      <c r="H392" s="232"/>
      <c r="I392" s="669"/>
      <c r="J392" s="232"/>
      <c r="K392" s="232" t="s">
        <v>2166</v>
      </c>
      <c r="L392" s="232"/>
      <c r="M392" s="499">
        <v>320000</v>
      </c>
      <c r="N392" s="232" t="s">
        <v>112</v>
      </c>
      <c r="O392" s="498">
        <v>43580</v>
      </c>
      <c r="P392" s="498">
        <v>43588</v>
      </c>
      <c r="Q392" s="498">
        <v>43598</v>
      </c>
      <c r="R392" s="232" t="s">
        <v>4547</v>
      </c>
      <c r="S392" s="669"/>
      <c r="T392" s="499">
        <v>138908.75</v>
      </c>
      <c r="U392" s="499">
        <f>T392*1.21</f>
        <v>168079.58749999999</v>
      </c>
      <c r="V392" s="1545"/>
      <c r="W392" s="1545"/>
      <c r="X392" s="1545"/>
      <c r="Y392" s="682">
        <v>43599</v>
      </c>
      <c r="Z392" s="499" t="s">
        <v>4556</v>
      </c>
      <c r="AA392" s="498">
        <v>43621</v>
      </c>
      <c r="AB392" s="498">
        <v>43622</v>
      </c>
      <c r="AC392" s="498">
        <f>AA392+28</f>
        <v>43649</v>
      </c>
      <c r="AD392" s="498">
        <v>43703</v>
      </c>
      <c r="AE392" s="1558"/>
      <c r="AF392" s="374"/>
      <c r="AG392" s="374"/>
    </row>
    <row r="393" spans="3:34" ht="30.75" thickTop="1">
      <c r="C393" s="453">
        <v>2018</v>
      </c>
      <c r="D393" s="1383" t="s">
        <v>4467</v>
      </c>
      <c r="E393" s="453" t="s">
        <v>2434</v>
      </c>
      <c r="F393" s="453" t="s">
        <v>3204</v>
      </c>
      <c r="G393" s="473" t="s">
        <v>4468</v>
      </c>
      <c r="H393" s="453">
        <v>1</v>
      </c>
      <c r="I393" s="735" t="s">
        <v>4470</v>
      </c>
      <c r="J393" s="453"/>
      <c r="K393" s="453" t="s">
        <v>3013</v>
      </c>
      <c r="L393" s="453"/>
      <c r="M393" s="457">
        <v>862800</v>
      </c>
      <c r="N393" s="453" t="s">
        <v>251</v>
      </c>
      <c r="O393" s="474">
        <v>43581</v>
      </c>
      <c r="P393" s="474">
        <v>43613</v>
      </c>
      <c r="Q393" s="474">
        <v>43661</v>
      </c>
      <c r="R393" s="453" t="s">
        <v>2097</v>
      </c>
      <c r="S393" s="1420"/>
      <c r="T393" s="457">
        <v>862800</v>
      </c>
      <c r="U393" s="457">
        <v>1043988</v>
      </c>
      <c r="V393" s="1474"/>
      <c r="W393" s="1474"/>
      <c r="X393" s="1474"/>
      <c r="Y393" s="570">
        <v>43662</v>
      </c>
      <c r="Z393" s="1387" t="s">
        <v>5135</v>
      </c>
      <c r="AA393" s="474">
        <v>43822</v>
      </c>
      <c r="AB393" s="474">
        <v>43832</v>
      </c>
      <c r="AC393" s="474">
        <v>44552</v>
      </c>
      <c r="AD393" s="453" t="s">
        <v>6603</v>
      </c>
      <c r="AE393" s="453" t="s">
        <v>8515</v>
      </c>
      <c r="AG393" s="374"/>
    </row>
    <row r="394" spans="3:34" ht="30.75" thickBot="1">
      <c r="C394" s="1376">
        <v>2018</v>
      </c>
      <c r="D394" s="1377" t="s">
        <v>4467</v>
      </c>
      <c r="E394" s="1376" t="s">
        <v>2434</v>
      </c>
      <c r="F394" s="1376" t="s">
        <v>3204</v>
      </c>
      <c r="G394" s="1378" t="s">
        <v>4468</v>
      </c>
      <c r="H394" s="1376">
        <v>2</v>
      </c>
      <c r="I394" s="1421" t="s">
        <v>4469</v>
      </c>
      <c r="J394" s="1376"/>
      <c r="K394" s="1376" t="s">
        <v>3013</v>
      </c>
      <c r="L394" s="1376"/>
      <c r="M394" s="1379">
        <v>2904760</v>
      </c>
      <c r="N394" s="1376" t="s">
        <v>251</v>
      </c>
      <c r="O394" s="1380">
        <v>43581</v>
      </c>
      <c r="P394" s="1380">
        <v>43613</v>
      </c>
      <c r="Q394" s="1380">
        <v>43661</v>
      </c>
      <c r="R394" s="1376" t="s">
        <v>2097</v>
      </c>
      <c r="S394" s="1421"/>
      <c r="T394" s="1379">
        <v>2904760</v>
      </c>
      <c r="U394" s="1379">
        <v>3514759.6</v>
      </c>
      <c r="V394" s="1475"/>
      <c r="W394" s="1475"/>
      <c r="X394" s="1475"/>
      <c r="Y394" s="1388">
        <v>43662</v>
      </c>
      <c r="Z394" s="1389" t="s">
        <v>5136</v>
      </c>
      <c r="AA394" s="1380">
        <v>43822</v>
      </c>
      <c r="AB394" s="1380">
        <v>43832</v>
      </c>
      <c r="AC394" s="1380">
        <v>44552</v>
      </c>
      <c r="AD394" s="1376" t="s">
        <v>6603</v>
      </c>
      <c r="AE394" s="1376" t="s">
        <v>8515</v>
      </c>
      <c r="AG394" s="374"/>
    </row>
    <row r="395" spans="3:34" ht="30.75" thickTop="1">
      <c r="C395" s="365" t="s">
        <v>3585</v>
      </c>
      <c r="D395" s="1397" t="s">
        <v>4472</v>
      </c>
      <c r="E395" s="1750" t="s">
        <v>1700</v>
      </c>
      <c r="F395" s="1876" t="s">
        <v>6206</v>
      </c>
      <c r="G395" s="175" t="s">
        <v>4473</v>
      </c>
      <c r="H395" s="1750"/>
      <c r="I395" s="1751"/>
      <c r="J395" s="576"/>
      <c r="K395" s="1750" t="s">
        <v>2060</v>
      </c>
      <c r="L395" s="1750" t="s">
        <v>4474</v>
      </c>
      <c r="M395" s="364">
        <v>3431405.18</v>
      </c>
      <c r="N395" s="1750" t="s">
        <v>251</v>
      </c>
      <c r="O395" s="365">
        <v>43602</v>
      </c>
      <c r="P395" s="365">
        <v>43635</v>
      </c>
      <c r="Q395" s="365">
        <v>43692</v>
      </c>
      <c r="R395" s="1791" t="s">
        <v>4905</v>
      </c>
      <c r="S395" s="1751"/>
      <c r="T395" s="364">
        <v>3374949</v>
      </c>
      <c r="U395" s="364">
        <v>4083688.3</v>
      </c>
      <c r="V395" s="1489"/>
      <c r="W395" s="1489"/>
      <c r="X395" s="1489"/>
      <c r="Y395" s="681">
        <v>43693</v>
      </c>
      <c r="Z395" s="1417" t="s">
        <v>5259</v>
      </c>
      <c r="AA395" s="365">
        <v>43735</v>
      </c>
      <c r="AB395" s="365">
        <v>43740</v>
      </c>
      <c r="AC395" s="365">
        <f>AA395+56</f>
        <v>43791</v>
      </c>
      <c r="AD395" s="365">
        <v>43885</v>
      </c>
      <c r="AE395" s="451" t="s">
        <v>1875</v>
      </c>
      <c r="AF395" s="374"/>
      <c r="AG395" s="374"/>
    </row>
    <row r="396" spans="3:34">
      <c r="C396" s="537">
        <v>43571</v>
      </c>
      <c r="D396" s="1373" t="s">
        <v>4471</v>
      </c>
      <c r="E396" s="491" t="s">
        <v>1032</v>
      </c>
      <c r="F396" s="491" t="s">
        <v>361</v>
      </c>
      <c r="G396" s="571" t="s">
        <v>2728</v>
      </c>
      <c r="H396" s="491"/>
      <c r="I396" s="495"/>
      <c r="J396" s="491"/>
      <c r="K396" s="491" t="s">
        <v>2729</v>
      </c>
      <c r="L396" s="491"/>
      <c r="M396" s="536">
        <v>6400000</v>
      </c>
      <c r="N396" s="491" t="s">
        <v>251</v>
      </c>
      <c r="O396" s="537">
        <v>43629</v>
      </c>
      <c r="P396" s="537">
        <v>43664</v>
      </c>
      <c r="Q396" s="537">
        <v>43732</v>
      </c>
      <c r="R396" s="491" t="s">
        <v>923</v>
      </c>
      <c r="S396" s="495"/>
      <c r="T396" s="536">
        <v>5084400</v>
      </c>
      <c r="U396" s="536">
        <v>6152124</v>
      </c>
      <c r="V396" s="1471"/>
      <c r="W396" s="1471"/>
      <c r="X396" s="1471"/>
      <c r="Y396" s="573">
        <v>43734</v>
      </c>
      <c r="Z396" s="536" t="s">
        <v>5747</v>
      </c>
      <c r="AA396" s="537">
        <v>43762</v>
      </c>
      <c r="AB396" s="537">
        <v>43768</v>
      </c>
      <c r="AC396" s="537">
        <v>45222</v>
      </c>
      <c r="AD396" s="537">
        <v>43885</v>
      </c>
      <c r="AE396" s="1525">
        <v>44865</v>
      </c>
      <c r="AH396" s="360"/>
    </row>
    <row r="397" spans="3:34">
      <c r="C397" s="510">
        <v>43566</v>
      </c>
      <c r="D397" s="1382" t="s">
        <v>4475</v>
      </c>
      <c r="E397" s="506" t="s">
        <v>1032</v>
      </c>
      <c r="F397" s="506" t="s">
        <v>361</v>
      </c>
      <c r="G397" s="507" t="s">
        <v>4476</v>
      </c>
      <c r="H397" s="506"/>
      <c r="I397" s="548"/>
      <c r="J397" s="506"/>
      <c r="K397" s="506" t="s">
        <v>2457</v>
      </c>
      <c r="L397" s="506"/>
      <c r="M397" s="511">
        <v>2900000</v>
      </c>
      <c r="N397" s="506" t="s">
        <v>112</v>
      </c>
      <c r="O397" s="510">
        <v>43600</v>
      </c>
      <c r="P397" s="510">
        <v>43608</v>
      </c>
      <c r="Q397" s="506"/>
      <c r="R397" s="514" t="s">
        <v>304</v>
      </c>
      <c r="S397" s="1713" t="s">
        <v>4921</v>
      </c>
      <c r="T397" s="511"/>
      <c r="U397" s="511"/>
      <c r="V397" s="1470"/>
      <c r="W397" s="1470"/>
      <c r="X397" s="1470"/>
      <c r="Y397" s="511"/>
      <c r="Z397" s="511"/>
      <c r="AA397" s="506"/>
      <c r="AB397" s="510">
        <v>43608</v>
      </c>
      <c r="AC397" s="506"/>
      <c r="AD397" s="506"/>
      <c r="AE397" s="506"/>
    </row>
    <row r="398" spans="3:34" ht="30.75" thickBot="1">
      <c r="C398" s="416">
        <v>43580</v>
      </c>
      <c r="D398" s="1468" t="s">
        <v>4492</v>
      </c>
      <c r="E398" s="411" t="s">
        <v>58</v>
      </c>
      <c r="F398" s="411" t="s">
        <v>2684</v>
      </c>
      <c r="G398" s="412" t="s">
        <v>4494</v>
      </c>
      <c r="H398" s="411"/>
      <c r="I398" s="630"/>
      <c r="J398" s="411"/>
      <c r="K398" s="411" t="s">
        <v>3068</v>
      </c>
      <c r="L398" s="411" t="s">
        <v>4493</v>
      </c>
      <c r="M398" s="417">
        <v>16096000</v>
      </c>
      <c r="N398" s="411" t="s">
        <v>251</v>
      </c>
      <c r="O398" s="416">
        <v>43587</v>
      </c>
      <c r="P398" s="416">
        <v>43622</v>
      </c>
      <c r="Q398" s="416">
        <v>43662</v>
      </c>
      <c r="R398" s="411" t="s">
        <v>1397</v>
      </c>
      <c r="S398" s="630"/>
      <c r="T398" s="417">
        <v>16070000</v>
      </c>
      <c r="U398" s="417">
        <v>19444700</v>
      </c>
      <c r="V398" s="1480"/>
      <c r="W398" s="1480"/>
      <c r="X398" s="1480"/>
      <c r="Y398" s="513">
        <v>43663</v>
      </c>
      <c r="Z398" s="1553" t="s">
        <v>5137</v>
      </c>
      <c r="AA398" s="416">
        <v>43696</v>
      </c>
      <c r="AB398" s="416">
        <v>43697</v>
      </c>
      <c r="AC398" s="416">
        <f>AA398+56</f>
        <v>43752</v>
      </c>
      <c r="AD398" s="416">
        <v>43801</v>
      </c>
      <c r="AE398" s="422" t="s">
        <v>1875</v>
      </c>
      <c r="AF398" s="374"/>
      <c r="AG398" s="374"/>
    </row>
    <row r="399" spans="3:34" ht="15.75" thickTop="1">
      <c r="C399" s="1625">
        <v>43579</v>
      </c>
      <c r="D399" s="1626" t="s">
        <v>4495</v>
      </c>
      <c r="E399" s="1627" t="s">
        <v>2434</v>
      </c>
      <c r="F399" s="1627" t="s">
        <v>219</v>
      </c>
      <c r="G399" s="1628" t="s">
        <v>4496</v>
      </c>
      <c r="H399" s="1627">
        <v>1</v>
      </c>
      <c r="I399" s="1629" t="s">
        <v>4497</v>
      </c>
      <c r="J399" s="583"/>
      <c r="K399" s="1627" t="s">
        <v>642</v>
      </c>
      <c r="L399" s="1627"/>
      <c r="M399" s="1635">
        <v>31542000</v>
      </c>
      <c r="N399" s="1627" t="s">
        <v>251</v>
      </c>
      <c r="O399" s="1625">
        <v>43628</v>
      </c>
      <c r="P399" s="1625">
        <v>43705</v>
      </c>
      <c r="Q399" s="1627"/>
      <c r="R399" s="1627"/>
      <c r="S399" s="1629"/>
      <c r="T399" s="1635"/>
      <c r="U399" s="1635"/>
      <c r="V399" s="1483"/>
      <c r="W399" s="1483"/>
      <c r="X399" s="1483"/>
      <c r="Y399" s="1635"/>
      <c r="Z399" s="1635"/>
      <c r="AA399" s="1627"/>
      <c r="AB399" s="1627"/>
      <c r="AC399" s="1627"/>
      <c r="AD399" s="1627"/>
      <c r="AE399" s="1627"/>
      <c r="AF399" s="374"/>
      <c r="AG399" s="374"/>
    </row>
    <row r="400" spans="3:34" ht="30.75" thickBot="1">
      <c r="C400" s="1630">
        <v>43579</v>
      </c>
      <c r="D400" s="1631" t="s">
        <v>4495</v>
      </c>
      <c r="E400" s="1632" t="s">
        <v>2434</v>
      </c>
      <c r="F400" s="1632" t="s">
        <v>219</v>
      </c>
      <c r="G400" s="1633" t="s">
        <v>4496</v>
      </c>
      <c r="H400" s="1632">
        <v>2</v>
      </c>
      <c r="I400" s="1634" t="s">
        <v>4498</v>
      </c>
      <c r="J400" s="1356"/>
      <c r="K400" s="1632" t="s">
        <v>642</v>
      </c>
      <c r="L400" s="1632"/>
      <c r="M400" s="1636">
        <v>19657800</v>
      </c>
      <c r="N400" s="1632" t="s">
        <v>251</v>
      </c>
      <c r="O400" s="1630">
        <v>43628</v>
      </c>
      <c r="P400" s="1630">
        <v>43705</v>
      </c>
      <c r="Q400" s="1630">
        <v>43742</v>
      </c>
      <c r="R400" s="1632" t="s">
        <v>4838</v>
      </c>
      <c r="S400" s="1634"/>
      <c r="T400" s="1636">
        <v>18450000</v>
      </c>
      <c r="U400" s="1636">
        <v>22324500</v>
      </c>
      <c r="V400" s="1485"/>
      <c r="W400" s="1485"/>
      <c r="X400" s="1485"/>
      <c r="Y400" s="1745">
        <v>43745</v>
      </c>
      <c r="Z400" s="1760" t="s">
        <v>5791</v>
      </c>
      <c r="AA400" s="1632"/>
      <c r="AB400" s="1632"/>
      <c r="AC400" s="1632"/>
      <c r="AD400" s="1632"/>
      <c r="AE400" s="1632"/>
      <c r="AF400" s="374"/>
      <c r="AG400" s="374"/>
    </row>
    <row r="401" spans="3:35" ht="15.75" thickTop="1">
      <c r="C401" s="470">
        <v>43584</v>
      </c>
      <c r="D401" s="1515" t="s">
        <v>4518</v>
      </c>
      <c r="E401" s="466" t="s">
        <v>3678</v>
      </c>
      <c r="F401" s="466" t="s">
        <v>918</v>
      </c>
      <c r="G401" s="467" t="s">
        <v>4519</v>
      </c>
      <c r="H401" s="466"/>
      <c r="I401" s="654"/>
      <c r="J401" s="466"/>
      <c r="K401" s="439" t="s">
        <v>1518</v>
      </c>
      <c r="L401" s="466"/>
      <c r="M401" s="472">
        <v>260000</v>
      </c>
      <c r="N401" s="466" t="s">
        <v>112</v>
      </c>
      <c r="O401" s="470">
        <v>43595</v>
      </c>
      <c r="P401" s="470">
        <v>43606</v>
      </c>
      <c r="Q401" s="466"/>
      <c r="R401" s="1171" t="s">
        <v>304</v>
      </c>
      <c r="S401" s="1717" t="s">
        <v>4729</v>
      </c>
      <c r="T401" s="472"/>
      <c r="U401" s="472"/>
      <c r="V401" s="1489"/>
      <c r="W401" s="1489"/>
      <c r="X401" s="1489"/>
      <c r="Y401" s="472"/>
      <c r="Z401" s="472"/>
      <c r="AA401" s="466"/>
      <c r="AB401" s="470">
        <v>43606</v>
      </c>
      <c r="AC401" s="466"/>
      <c r="AD401" s="466"/>
      <c r="AE401" s="466"/>
    </row>
    <row r="402" spans="3:35">
      <c r="C402" s="537">
        <v>43581</v>
      </c>
      <c r="D402" s="1373" t="s">
        <v>4520</v>
      </c>
      <c r="E402" s="491" t="s">
        <v>2434</v>
      </c>
      <c r="F402" s="491" t="s">
        <v>219</v>
      </c>
      <c r="G402" s="571" t="s">
        <v>4521</v>
      </c>
      <c r="H402" s="491"/>
      <c r="I402" s="495"/>
      <c r="J402" s="491"/>
      <c r="K402" s="491" t="s">
        <v>3271</v>
      </c>
      <c r="L402" s="491"/>
      <c r="M402" s="536">
        <v>1700000</v>
      </c>
      <c r="N402" s="491" t="s">
        <v>112</v>
      </c>
      <c r="O402" s="537">
        <v>43594</v>
      </c>
      <c r="P402" s="537">
        <v>43607</v>
      </c>
      <c r="Q402" s="537">
        <v>43640</v>
      </c>
      <c r="R402" s="491" t="s">
        <v>993</v>
      </c>
      <c r="S402" s="495"/>
      <c r="T402" s="536">
        <v>1513515.9</v>
      </c>
      <c r="U402" s="536">
        <f>T402*1.21</f>
        <v>1831354.2389999998</v>
      </c>
      <c r="V402" s="1471"/>
      <c r="W402" s="1471"/>
      <c r="X402" s="1471"/>
      <c r="Y402" s="573">
        <v>43640</v>
      </c>
      <c r="Z402" s="536" t="s">
        <v>4977</v>
      </c>
      <c r="AA402" s="537">
        <v>43704</v>
      </c>
      <c r="AB402" s="537">
        <v>43705</v>
      </c>
      <c r="AC402" s="537">
        <f>AA402+42</f>
        <v>43746</v>
      </c>
      <c r="AD402" s="537">
        <v>43788</v>
      </c>
      <c r="AE402" s="1102"/>
      <c r="AF402" s="374"/>
      <c r="AG402" s="374"/>
    </row>
    <row r="403" spans="3:35">
      <c r="C403" s="537">
        <v>43588</v>
      </c>
      <c r="D403" s="1373" t="s">
        <v>4525</v>
      </c>
      <c r="E403" s="491" t="s">
        <v>2434</v>
      </c>
      <c r="F403" s="491" t="s">
        <v>219</v>
      </c>
      <c r="G403" s="571" t="s">
        <v>3386</v>
      </c>
      <c r="H403" s="491"/>
      <c r="I403" s="495"/>
      <c r="J403" s="491"/>
      <c r="K403" s="491" t="s">
        <v>3271</v>
      </c>
      <c r="L403" s="491"/>
      <c r="M403" s="536">
        <v>881000</v>
      </c>
      <c r="N403" s="491" t="s">
        <v>112</v>
      </c>
      <c r="O403" s="537">
        <v>43594</v>
      </c>
      <c r="P403" s="537">
        <v>43602</v>
      </c>
      <c r="Q403" s="537">
        <v>43609</v>
      </c>
      <c r="R403" s="491" t="s">
        <v>3478</v>
      </c>
      <c r="S403" s="495"/>
      <c r="T403" s="536">
        <v>869000</v>
      </c>
      <c r="U403" s="536">
        <v>1051490</v>
      </c>
      <c r="V403" s="1471"/>
      <c r="W403" s="1471"/>
      <c r="X403" s="1471"/>
      <c r="Y403" s="573">
        <v>43609</v>
      </c>
      <c r="Z403" s="536" t="s">
        <v>4804</v>
      </c>
      <c r="AA403" s="537">
        <v>43640</v>
      </c>
      <c r="AB403" s="537">
        <v>43643</v>
      </c>
      <c r="AC403" s="537">
        <v>44370</v>
      </c>
      <c r="AD403" s="491" t="s">
        <v>6603</v>
      </c>
      <c r="AE403" s="537">
        <v>44285</v>
      </c>
      <c r="AF403" s="1560">
        <v>44637</v>
      </c>
      <c r="AG403" s="374"/>
    </row>
    <row r="404" spans="3:35" ht="30">
      <c r="C404" s="537">
        <v>43591</v>
      </c>
      <c r="D404" s="1373" t="s">
        <v>4526</v>
      </c>
      <c r="E404" s="491" t="s">
        <v>58</v>
      </c>
      <c r="F404" s="491" t="s">
        <v>2684</v>
      </c>
      <c r="G404" s="571" t="s">
        <v>4250</v>
      </c>
      <c r="H404" s="491"/>
      <c r="I404" s="495"/>
      <c r="J404" s="491"/>
      <c r="K404" s="491" t="s">
        <v>4527</v>
      </c>
      <c r="L404" s="491" t="s">
        <v>4528</v>
      </c>
      <c r="M404" s="536">
        <v>684297</v>
      </c>
      <c r="N404" s="491" t="s">
        <v>112</v>
      </c>
      <c r="O404" s="537">
        <v>43595</v>
      </c>
      <c r="P404" s="537">
        <v>43614</v>
      </c>
      <c r="Q404" s="537">
        <v>43672</v>
      </c>
      <c r="R404" s="491" t="s">
        <v>5103</v>
      </c>
      <c r="S404" s="495"/>
      <c r="T404" s="536">
        <v>676763</v>
      </c>
      <c r="U404" s="536">
        <v>818883.23</v>
      </c>
      <c r="V404" s="1471"/>
      <c r="W404" s="1471"/>
      <c r="X404" s="1471"/>
      <c r="Y404" s="573">
        <v>43672</v>
      </c>
      <c r="Z404" s="1375" t="s">
        <v>5176</v>
      </c>
      <c r="AA404" s="537">
        <v>43699</v>
      </c>
      <c r="AB404" s="537">
        <v>43705</v>
      </c>
      <c r="AC404" s="537">
        <f>AA404+42</f>
        <v>43741</v>
      </c>
      <c r="AD404" s="537">
        <v>43773</v>
      </c>
      <c r="AE404" s="1374" t="s">
        <v>1875</v>
      </c>
      <c r="AF404" s="374"/>
      <c r="AG404" s="374"/>
    </row>
    <row r="405" spans="3:35" ht="15.75" thickBot="1">
      <c r="C405" s="643">
        <v>43591</v>
      </c>
      <c r="D405" s="1491" t="s">
        <v>4529</v>
      </c>
      <c r="E405" s="639" t="s">
        <v>58</v>
      </c>
      <c r="F405" s="639" t="s">
        <v>2684</v>
      </c>
      <c r="G405" s="640" t="s">
        <v>4241</v>
      </c>
      <c r="H405" s="639"/>
      <c r="I405" s="1533"/>
      <c r="J405" s="639"/>
      <c r="K405" s="639" t="s">
        <v>753</v>
      </c>
      <c r="L405" s="639" t="s">
        <v>4242</v>
      </c>
      <c r="M405" s="645">
        <v>513868</v>
      </c>
      <c r="N405" s="639" t="s">
        <v>112</v>
      </c>
      <c r="O405" s="643">
        <v>43595</v>
      </c>
      <c r="P405" s="643">
        <v>43606</v>
      </c>
      <c r="Q405" s="639"/>
      <c r="R405" s="831" t="s">
        <v>5164</v>
      </c>
      <c r="S405" s="1715" t="s">
        <v>5160</v>
      </c>
      <c r="T405" s="645"/>
      <c r="U405" s="645"/>
      <c r="V405" s="1534"/>
      <c r="W405" s="1534"/>
      <c r="X405" s="1534"/>
      <c r="Y405" s="645"/>
      <c r="Z405" s="645"/>
      <c r="AA405" s="639"/>
      <c r="AB405" s="643">
        <v>43663</v>
      </c>
      <c r="AC405" s="639"/>
      <c r="AD405" s="639"/>
      <c r="AE405" s="639"/>
    </row>
    <row r="406" spans="3:35" ht="30.75" thickTop="1">
      <c r="C406" s="474">
        <v>43585</v>
      </c>
      <c r="D406" s="1383" t="s">
        <v>4530</v>
      </c>
      <c r="E406" s="453" t="s">
        <v>2434</v>
      </c>
      <c r="F406" s="453" t="s">
        <v>219</v>
      </c>
      <c r="G406" s="473" t="s">
        <v>4531</v>
      </c>
      <c r="H406" s="453">
        <v>1</v>
      </c>
      <c r="I406" s="1420" t="s">
        <v>4532</v>
      </c>
      <c r="J406" s="453"/>
      <c r="K406" s="453" t="s">
        <v>642</v>
      </c>
      <c r="L406" s="453"/>
      <c r="M406" s="457">
        <v>2455000</v>
      </c>
      <c r="N406" s="453" t="s">
        <v>251</v>
      </c>
      <c r="O406" s="474">
        <v>43599</v>
      </c>
      <c r="P406" s="474">
        <v>43654</v>
      </c>
      <c r="Q406" s="474">
        <v>43732</v>
      </c>
      <c r="R406" s="453" t="s">
        <v>5662</v>
      </c>
      <c r="S406" s="1420"/>
      <c r="T406" s="457">
        <v>2455000</v>
      </c>
      <c r="U406" s="457">
        <v>2970550</v>
      </c>
      <c r="V406" s="1474"/>
      <c r="W406" s="1474"/>
      <c r="X406" s="1474"/>
      <c r="Y406" s="570">
        <v>43733</v>
      </c>
      <c r="Z406" s="1387" t="s">
        <v>5709</v>
      </c>
      <c r="AA406" s="474">
        <v>43763</v>
      </c>
      <c r="AB406" s="474">
        <v>43777</v>
      </c>
      <c r="AC406" s="474">
        <v>44493</v>
      </c>
      <c r="AD406" s="474">
        <v>43930</v>
      </c>
      <c r="AE406" s="474">
        <v>44285</v>
      </c>
      <c r="AF406" s="1560">
        <v>44637</v>
      </c>
      <c r="AG406" s="374"/>
    </row>
    <row r="407" spans="3:35" ht="30">
      <c r="C407" s="537">
        <v>43585</v>
      </c>
      <c r="D407" s="1373" t="s">
        <v>4530</v>
      </c>
      <c r="E407" s="491" t="s">
        <v>2434</v>
      </c>
      <c r="F407" s="491" t="s">
        <v>219</v>
      </c>
      <c r="G407" s="571" t="s">
        <v>4531</v>
      </c>
      <c r="H407" s="491">
        <v>2</v>
      </c>
      <c r="I407" s="495" t="s">
        <v>4533</v>
      </c>
      <c r="J407" s="491"/>
      <c r="K407" s="491" t="s">
        <v>642</v>
      </c>
      <c r="L407" s="491"/>
      <c r="M407" s="536">
        <v>360000</v>
      </c>
      <c r="N407" s="491" t="s">
        <v>251</v>
      </c>
      <c r="O407" s="537">
        <v>43599</v>
      </c>
      <c r="P407" s="537">
        <v>43654</v>
      </c>
      <c r="Q407" s="537">
        <v>43732</v>
      </c>
      <c r="R407" s="491" t="s">
        <v>4893</v>
      </c>
      <c r="S407" s="495"/>
      <c r="T407" s="536">
        <v>360000</v>
      </c>
      <c r="U407" s="536">
        <v>435600</v>
      </c>
      <c r="V407" s="1471"/>
      <c r="W407" s="1471"/>
      <c r="X407" s="1471"/>
      <c r="Y407" s="573">
        <v>43733</v>
      </c>
      <c r="Z407" s="1375" t="s">
        <v>5710</v>
      </c>
      <c r="AA407" s="537">
        <v>43763</v>
      </c>
      <c r="AB407" s="537">
        <v>43777</v>
      </c>
      <c r="AC407" s="537">
        <v>44493</v>
      </c>
      <c r="AD407" s="537">
        <v>43930</v>
      </c>
      <c r="AE407" s="537">
        <v>44285</v>
      </c>
      <c r="AF407" s="1560">
        <v>44637</v>
      </c>
      <c r="AG407" s="374"/>
    </row>
    <row r="408" spans="3:35" ht="30">
      <c r="C408" s="537">
        <v>43585</v>
      </c>
      <c r="D408" s="1373" t="s">
        <v>4530</v>
      </c>
      <c r="E408" s="491" t="s">
        <v>2434</v>
      </c>
      <c r="F408" s="491" t="s">
        <v>219</v>
      </c>
      <c r="G408" s="571" t="s">
        <v>4531</v>
      </c>
      <c r="H408" s="491">
        <v>3</v>
      </c>
      <c r="I408" s="495" t="s">
        <v>4534</v>
      </c>
      <c r="J408" s="491"/>
      <c r="K408" s="491" t="s">
        <v>642</v>
      </c>
      <c r="L408" s="491"/>
      <c r="M408" s="536">
        <v>245000</v>
      </c>
      <c r="N408" s="491" t="s">
        <v>251</v>
      </c>
      <c r="O408" s="537">
        <v>43599</v>
      </c>
      <c r="P408" s="537">
        <v>43654</v>
      </c>
      <c r="Q408" s="537">
        <v>43732</v>
      </c>
      <c r="R408" s="491" t="s">
        <v>3080</v>
      </c>
      <c r="S408" s="495"/>
      <c r="T408" s="536">
        <v>245000</v>
      </c>
      <c r="U408" s="536">
        <v>296450</v>
      </c>
      <c r="V408" s="1471"/>
      <c r="W408" s="1471"/>
      <c r="X408" s="1471"/>
      <c r="Y408" s="573">
        <v>43733</v>
      </c>
      <c r="Z408" s="1375" t="s">
        <v>5711</v>
      </c>
      <c r="AA408" s="537">
        <v>43763</v>
      </c>
      <c r="AB408" s="537">
        <v>43777</v>
      </c>
      <c r="AC408" s="537">
        <v>44493</v>
      </c>
      <c r="AD408" s="537">
        <v>43930</v>
      </c>
      <c r="AE408" s="537">
        <v>44285</v>
      </c>
      <c r="AF408" s="1560">
        <v>44637</v>
      </c>
      <c r="AG408" s="374"/>
    </row>
    <row r="409" spans="3:35" ht="30">
      <c r="C409" s="537">
        <v>43585</v>
      </c>
      <c r="D409" s="1373" t="s">
        <v>4530</v>
      </c>
      <c r="E409" s="491" t="s">
        <v>2434</v>
      </c>
      <c r="F409" s="491" t="s">
        <v>219</v>
      </c>
      <c r="G409" s="571" t="s">
        <v>4531</v>
      </c>
      <c r="H409" s="491">
        <v>4</v>
      </c>
      <c r="I409" s="495" t="s">
        <v>4535</v>
      </c>
      <c r="J409" s="491"/>
      <c r="K409" s="491" t="s">
        <v>642</v>
      </c>
      <c r="L409" s="491"/>
      <c r="M409" s="536">
        <v>1634400</v>
      </c>
      <c r="N409" s="491" t="s">
        <v>251</v>
      </c>
      <c r="O409" s="537">
        <v>43599</v>
      </c>
      <c r="P409" s="537">
        <v>43654</v>
      </c>
      <c r="Q409" s="537">
        <v>43732</v>
      </c>
      <c r="R409" s="491" t="s">
        <v>5908</v>
      </c>
      <c r="S409" s="495"/>
      <c r="T409" s="536">
        <v>1634400</v>
      </c>
      <c r="U409" s="536">
        <v>1634400</v>
      </c>
      <c r="V409" s="1471"/>
      <c r="W409" s="1471"/>
      <c r="X409" s="1471"/>
      <c r="Y409" s="573">
        <v>43733</v>
      </c>
      <c r="Z409" s="1375" t="s">
        <v>5712</v>
      </c>
      <c r="AA409" s="537">
        <v>43763</v>
      </c>
      <c r="AB409" s="537">
        <v>43777</v>
      </c>
      <c r="AC409" s="537">
        <v>44493</v>
      </c>
      <c r="AD409" s="537">
        <v>43930</v>
      </c>
      <c r="AE409" s="537">
        <v>44285</v>
      </c>
      <c r="AF409" s="1560">
        <v>44637</v>
      </c>
      <c r="AG409" s="374"/>
    </row>
    <row r="410" spans="3:35" ht="30">
      <c r="C410" s="537">
        <v>43585</v>
      </c>
      <c r="D410" s="1373" t="s">
        <v>4530</v>
      </c>
      <c r="E410" s="491" t="s">
        <v>2434</v>
      </c>
      <c r="F410" s="491" t="s">
        <v>219</v>
      </c>
      <c r="G410" s="571" t="s">
        <v>4531</v>
      </c>
      <c r="H410" s="491">
        <v>5</v>
      </c>
      <c r="I410" s="495" t="s">
        <v>4536</v>
      </c>
      <c r="J410" s="491"/>
      <c r="K410" s="491" t="s">
        <v>642</v>
      </c>
      <c r="L410" s="491"/>
      <c r="M410" s="536">
        <v>132000</v>
      </c>
      <c r="N410" s="491" t="s">
        <v>251</v>
      </c>
      <c r="O410" s="537">
        <v>43599</v>
      </c>
      <c r="P410" s="537">
        <v>43654</v>
      </c>
      <c r="Q410" s="537">
        <v>43732</v>
      </c>
      <c r="R410" s="491" t="s">
        <v>5662</v>
      </c>
      <c r="S410" s="495"/>
      <c r="T410" s="536">
        <v>132000</v>
      </c>
      <c r="U410" s="536">
        <v>159720</v>
      </c>
      <c r="V410" s="1471"/>
      <c r="W410" s="1471"/>
      <c r="X410" s="1471"/>
      <c r="Y410" s="573">
        <v>43733</v>
      </c>
      <c r="Z410" s="1375" t="s">
        <v>5713</v>
      </c>
      <c r="AA410" s="537">
        <v>43763</v>
      </c>
      <c r="AB410" s="537">
        <v>43777</v>
      </c>
      <c r="AC410" s="537">
        <v>44493</v>
      </c>
      <c r="AD410" s="537">
        <v>43930</v>
      </c>
      <c r="AE410" s="491" t="s">
        <v>8483</v>
      </c>
      <c r="AF410" s="1560">
        <v>44637</v>
      </c>
      <c r="AG410" s="374"/>
    </row>
    <row r="411" spans="3:35" ht="30">
      <c r="C411" s="537">
        <v>43585</v>
      </c>
      <c r="D411" s="1373" t="s">
        <v>4530</v>
      </c>
      <c r="E411" s="491" t="s">
        <v>2434</v>
      </c>
      <c r="F411" s="491" t="s">
        <v>219</v>
      </c>
      <c r="G411" s="571" t="s">
        <v>4531</v>
      </c>
      <c r="H411" s="491">
        <v>6</v>
      </c>
      <c r="I411" s="495" t="s">
        <v>4537</v>
      </c>
      <c r="J411" s="491"/>
      <c r="K411" s="491" t="s">
        <v>642</v>
      </c>
      <c r="L411" s="491"/>
      <c r="M411" s="536">
        <v>623200</v>
      </c>
      <c r="N411" s="491" t="s">
        <v>251</v>
      </c>
      <c r="O411" s="537">
        <v>43599</v>
      </c>
      <c r="P411" s="537">
        <v>43654</v>
      </c>
      <c r="Q411" s="537">
        <v>43739</v>
      </c>
      <c r="R411" s="491" t="s">
        <v>5662</v>
      </c>
      <c r="S411" s="495"/>
      <c r="T411" s="536">
        <v>623200</v>
      </c>
      <c r="U411" s="536">
        <v>754072</v>
      </c>
      <c r="V411" s="1471"/>
      <c r="W411" s="1471"/>
      <c r="X411" s="1471"/>
      <c r="Y411" s="573">
        <v>43740</v>
      </c>
      <c r="Z411" s="1375" t="s">
        <v>5770</v>
      </c>
      <c r="AA411" s="537">
        <v>43763</v>
      </c>
      <c r="AB411" s="537">
        <v>43777</v>
      </c>
      <c r="AC411" s="537">
        <v>44493</v>
      </c>
      <c r="AD411" s="537">
        <v>43930</v>
      </c>
      <c r="AE411" s="537">
        <v>44285</v>
      </c>
      <c r="AF411" s="1560">
        <v>44637</v>
      </c>
      <c r="AG411" s="374"/>
    </row>
    <row r="412" spans="3:35">
      <c r="C412" s="510">
        <v>43585</v>
      </c>
      <c r="D412" s="1382" t="s">
        <v>4530</v>
      </c>
      <c r="E412" s="506" t="s">
        <v>2434</v>
      </c>
      <c r="F412" s="506" t="s">
        <v>219</v>
      </c>
      <c r="G412" s="507" t="s">
        <v>4531</v>
      </c>
      <c r="H412" s="506">
        <v>7</v>
      </c>
      <c r="I412" s="548" t="s">
        <v>4538</v>
      </c>
      <c r="J412" s="506"/>
      <c r="K412" s="506" t="s">
        <v>642</v>
      </c>
      <c r="L412" s="506"/>
      <c r="M412" s="511">
        <v>24280</v>
      </c>
      <c r="N412" s="506" t="s">
        <v>251</v>
      </c>
      <c r="O412" s="510">
        <v>43599</v>
      </c>
      <c r="P412" s="510">
        <v>43654</v>
      </c>
      <c r="Q412" s="506"/>
      <c r="R412" s="506"/>
      <c r="S412" s="548"/>
      <c r="T412" s="511"/>
      <c r="U412" s="511"/>
      <c r="V412" s="1470"/>
      <c r="W412" s="1470"/>
      <c r="X412" s="1470"/>
      <c r="Y412" s="511"/>
      <c r="Z412" s="511"/>
      <c r="AA412" s="506"/>
      <c r="AB412" s="510">
        <v>43735</v>
      </c>
      <c r="AC412" s="506" t="s">
        <v>5623</v>
      </c>
      <c r="AD412" s="506"/>
      <c r="AE412" s="506"/>
    </row>
    <row r="413" spans="3:35" ht="30.75" thickBot="1">
      <c r="C413" s="1380">
        <v>43585</v>
      </c>
      <c r="D413" s="1377" t="s">
        <v>4530</v>
      </c>
      <c r="E413" s="1376" t="s">
        <v>2434</v>
      </c>
      <c r="F413" s="1376" t="s">
        <v>219</v>
      </c>
      <c r="G413" s="1378" t="s">
        <v>4531</v>
      </c>
      <c r="H413" s="1376">
        <v>8</v>
      </c>
      <c r="I413" s="1421" t="s">
        <v>4539</v>
      </c>
      <c r="J413" s="1376"/>
      <c r="K413" s="1376" t="s">
        <v>642</v>
      </c>
      <c r="L413" s="1376"/>
      <c r="M413" s="1379">
        <v>61260</v>
      </c>
      <c r="N413" s="1376" t="s">
        <v>251</v>
      </c>
      <c r="O413" s="1380">
        <v>43599</v>
      </c>
      <c r="P413" s="1380">
        <v>43654</v>
      </c>
      <c r="Q413" s="1380">
        <v>43732</v>
      </c>
      <c r="R413" s="1376" t="s">
        <v>5662</v>
      </c>
      <c r="S413" s="1421"/>
      <c r="T413" s="1379">
        <v>61260</v>
      </c>
      <c r="U413" s="1379">
        <v>74124.600000000006</v>
      </c>
      <c r="V413" s="1475"/>
      <c r="W413" s="1475"/>
      <c r="X413" s="1475"/>
      <c r="Y413" s="1388">
        <v>43733</v>
      </c>
      <c r="Z413" s="1389" t="s">
        <v>5714</v>
      </c>
      <c r="AA413" s="1380">
        <v>43763</v>
      </c>
      <c r="AB413" s="1380">
        <v>43777</v>
      </c>
      <c r="AC413" s="1380">
        <v>44493</v>
      </c>
      <c r="AD413" s="1376" t="s">
        <v>6603</v>
      </c>
      <c r="AE413" s="1376" t="s">
        <v>8483</v>
      </c>
      <c r="AF413" s="1560">
        <v>44637</v>
      </c>
      <c r="AG413" s="374"/>
    </row>
    <row r="414" spans="3:35" ht="30.75" thickTop="1">
      <c r="C414" s="365">
        <v>43591</v>
      </c>
      <c r="D414" s="1397" t="s">
        <v>4544</v>
      </c>
      <c r="E414" s="1748" t="s">
        <v>58</v>
      </c>
      <c r="F414" s="1748" t="s">
        <v>2684</v>
      </c>
      <c r="G414" s="175" t="s">
        <v>4545</v>
      </c>
      <c r="H414" s="1748"/>
      <c r="I414" s="1749"/>
      <c r="J414" s="1748"/>
      <c r="K414" s="1748" t="s">
        <v>421</v>
      </c>
      <c r="L414" s="1748" t="s">
        <v>4248</v>
      </c>
      <c r="M414" s="364">
        <v>278000</v>
      </c>
      <c r="N414" s="1748" t="s">
        <v>112</v>
      </c>
      <c r="O414" s="365">
        <v>43600</v>
      </c>
      <c r="P414" s="365">
        <v>43609</v>
      </c>
      <c r="Q414" s="365">
        <v>43648</v>
      </c>
      <c r="R414" s="1791" t="s">
        <v>4326</v>
      </c>
      <c r="S414" s="1749"/>
      <c r="T414" s="364">
        <v>297160</v>
      </c>
      <c r="U414" s="364">
        <v>359563.6</v>
      </c>
      <c r="V414" s="1473"/>
      <c r="W414" s="1473"/>
      <c r="X414" s="1473"/>
      <c r="Y414" s="681">
        <v>43649</v>
      </c>
      <c r="Z414" s="1417" t="s">
        <v>5052</v>
      </c>
      <c r="AA414" s="365">
        <v>43685</v>
      </c>
      <c r="AB414" s="365">
        <v>43691</v>
      </c>
      <c r="AC414" s="365">
        <f>AA414+14</f>
        <v>43699</v>
      </c>
      <c r="AD414" s="365">
        <v>43759</v>
      </c>
      <c r="AE414" s="451" t="s">
        <v>1875</v>
      </c>
      <c r="AF414" s="374"/>
      <c r="AG414" s="374"/>
    </row>
    <row r="415" spans="3:35">
      <c r="C415" s="537" t="s">
        <v>3585</v>
      </c>
      <c r="D415" s="1373" t="s">
        <v>4540</v>
      </c>
      <c r="E415" s="491" t="s">
        <v>3678</v>
      </c>
      <c r="F415" s="491" t="s">
        <v>918</v>
      </c>
      <c r="G415" s="571" t="s">
        <v>4541</v>
      </c>
      <c r="H415" s="491"/>
      <c r="I415" s="495"/>
      <c r="J415" s="491"/>
      <c r="K415" s="491" t="s">
        <v>1518</v>
      </c>
      <c r="L415" s="491"/>
      <c r="M415" s="536">
        <v>1600000</v>
      </c>
      <c r="N415" s="491" t="s">
        <v>112</v>
      </c>
      <c r="O415" s="537">
        <v>43600</v>
      </c>
      <c r="P415" s="537">
        <v>43613</v>
      </c>
      <c r="Q415" s="537">
        <v>43628</v>
      </c>
      <c r="R415" s="491" t="s">
        <v>4895</v>
      </c>
      <c r="S415" s="495"/>
      <c r="T415" s="536">
        <v>345310</v>
      </c>
      <c r="U415" s="536">
        <f>T415*1.21</f>
        <v>417825.1</v>
      </c>
      <c r="V415" s="1471"/>
      <c r="W415" s="1471"/>
      <c r="X415" s="1471"/>
      <c r="Y415" s="573">
        <v>43628</v>
      </c>
      <c r="Z415" s="536" t="s">
        <v>4922</v>
      </c>
      <c r="AA415" s="537">
        <v>43655</v>
      </c>
      <c r="AB415" s="537">
        <v>43656</v>
      </c>
      <c r="AC415" s="491" t="s">
        <v>4096</v>
      </c>
      <c r="AD415" s="491" t="s">
        <v>6603</v>
      </c>
      <c r="AE415" s="491" t="s">
        <v>8483</v>
      </c>
      <c r="AF415" s="1560">
        <v>44644</v>
      </c>
      <c r="AG415" s="388">
        <v>2022</v>
      </c>
      <c r="AH415" s="388">
        <v>2023</v>
      </c>
      <c r="AI415" s="388" t="s">
        <v>4435</v>
      </c>
    </row>
    <row r="416" spans="3:35">
      <c r="C416" s="544">
        <v>43584</v>
      </c>
      <c r="D416" s="1357" t="s">
        <v>4542</v>
      </c>
      <c r="E416" s="540" t="s">
        <v>2434</v>
      </c>
      <c r="F416" s="540" t="s">
        <v>219</v>
      </c>
      <c r="G416" s="541" t="s">
        <v>4543</v>
      </c>
      <c r="H416" s="540"/>
      <c r="I416" s="1402"/>
      <c r="J416" s="590"/>
      <c r="K416" s="540" t="s">
        <v>642</v>
      </c>
      <c r="L416" s="540"/>
      <c r="M416" s="545">
        <v>57312000</v>
      </c>
      <c r="N416" s="540" t="s">
        <v>251</v>
      </c>
      <c r="O416" s="544">
        <v>43620</v>
      </c>
      <c r="P416" s="544">
        <v>43712</v>
      </c>
      <c r="Q416" s="540"/>
      <c r="R416" s="540"/>
      <c r="S416" s="1402"/>
      <c r="T416" s="545"/>
      <c r="U416" s="545"/>
      <c r="V416" s="1484"/>
      <c r="W416" s="1484"/>
      <c r="X416" s="1484"/>
      <c r="Y416" s="545"/>
      <c r="Z416" s="545"/>
      <c r="AA416" s="540"/>
      <c r="AB416" s="540"/>
      <c r="AC416" s="540"/>
      <c r="AD416" s="540"/>
      <c r="AE416" s="540"/>
      <c r="AF416" s="374"/>
      <c r="AG416" s="374"/>
    </row>
    <row r="417" spans="1:33" ht="30">
      <c r="C417" s="537">
        <v>43595</v>
      </c>
      <c r="D417" s="1373" t="s">
        <v>4548</v>
      </c>
      <c r="E417" s="491" t="s">
        <v>2434</v>
      </c>
      <c r="F417" s="491" t="s">
        <v>219</v>
      </c>
      <c r="G417" s="571" t="s">
        <v>4549</v>
      </c>
      <c r="H417" s="491"/>
      <c r="I417" s="495"/>
      <c r="J417" s="491"/>
      <c r="K417" s="491" t="s">
        <v>642</v>
      </c>
      <c r="L417" s="232"/>
      <c r="M417" s="499">
        <v>1750000</v>
      </c>
      <c r="N417" s="232" t="s">
        <v>112</v>
      </c>
      <c r="O417" s="537">
        <v>43600</v>
      </c>
      <c r="P417" s="537">
        <v>43616</v>
      </c>
      <c r="Q417" s="537">
        <v>43622</v>
      </c>
      <c r="R417" s="491" t="s">
        <v>4839</v>
      </c>
      <c r="S417" s="495"/>
      <c r="T417" s="536">
        <v>1750000</v>
      </c>
      <c r="U417" s="536">
        <v>2012500</v>
      </c>
      <c r="V417" s="1471"/>
      <c r="W417" s="1471"/>
      <c r="X417" s="1471"/>
      <c r="Y417" s="573">
        <v>43623</v>
      </c>
      <c r="Z417" s="1375" t="s">
        <v>4900</v>
      </c>
      <c r="AA417" s="537">
        <v>43634</v>
      </c>
      <c r="AB417" s="537">
        <v>43642</v>
      </c>
      <c r="AC417" s="537">
        <v>44364</v>
      </c>
      <c r="AD417" s="537">
        <v>43930</v>
      </c>
      <c r="AE417" s="537">
        <v>44285</v>
      </c>
      <c r="AF417" s="1560">
        <v>44637</v>
      </c>
      <c r="AG417" s="374"/>
    </row>
    <row r="418" spans="1:33">
      <c r="C418" s="510">
        <v>43598</v>
      </c>
      <c r="D418" s="1382" t="s">
        <v>4550</v>
      </c>
      <c r="E418" s="506" t="s">
        <v>1032</v>
      </c>
      <c r="F418" s="506" t="s">
        <v>361</v>
      </c>
      <c r="G418" s="507" t="s">
        <v>4551</v>
      </c>
      <c r="H418" s="506"/>
      <c r="I418" s="548"/>
      <c r="J418" s="506"/>
      <c r="K418" s="506" t="s">
        <v>809</v>
      </c>
      <c r="L418" s="506" t="s">
        <v>4756</v>
      </c>
      <c r="M418" s="511">
        <v>578000</v>
      </c>
      <c r="N418" s="506" t="s">
        <v>112</v>
      </c>
      <c r="O418" s="510">
        <v>43602</v>
      </c>
      <c r="P418" s="510">
        <v>43613</v>
      </c>
      <c r="Q418" s="506"/>
      <c r="R418" s="514" t="s">
        <v>304</v>
      </c>
      <c r="S418" s="1713" t="s">
        <v>4836</v>
      </c>
      <c r="T418" s="511"/>
      <c r="U418" s="511"/>
      <c r="V418" s="1484"/>
      <c r="W418" s="1484"/>
      <c r="X418" s="1484"/>
      <c r="Y418" s="511"/>
      <c r="Z418" s="511"/>
      <c r="AA418" s="506"/>
      <c r="AB418" s="510">
        <v>43614</v>
      </c>
      <c r="AC418" s="506"/>
      <c r="AD418" s="506"/>
      <c r="AE418" s="506"/>
    </row>
    <row r="419" spans="1:33">
      <c r="C419" s="510">
        <v>43599</v>
      </c>
      <c r="D419" s="1382" t="s">
        <v>4552</v>
      </c>
      <c r="E419" s="506" t="s">
        <v>58</v>
      </c>
      <c r="F419" s="506" t="s">
        <v>2684</v>
      </c>
      <c r="G419" s="507" t="s">
        <v>4231</v>
      </c>
      <c r="H419" s="506"/>
      <c r="I419" s="548"/>
      <c r="J419" s="506"/>
      <c r="K419" s="506" t="s">
        <v>86</v>
      </c>
      <c r="L419" s="506" t="s">
        <v>4232</v>
      </c>
      <c r="M419" s="511">
        <v>1810000</v>
      </c>
      <c r="N419" s="506" t="s">
        <v>112</v>
      </c>
      <c r="O419" s="510">
        <v>43606</v>
      </c>
      <c r="P419" s="510">
        <v>43622</v>
      </c>
      <c r="Q419" s="506"/>
      <c r="R419" s="514" t="s">
        <v>4830</v>
      </c>
      <c r="S419" s="1713" t="s">
        <v>6002</v>
      </c>
      <c r="T419" s="511"/>
      <c r="U419" s="511"/>
      <c r="V419" s="1470"/>
      <c r="W419" s="1470"/>
      <c r="X419" s="1470"/>
      <c r="Y419" s="511"/>
      <c r="Z419" s="511"/>
      <c r="AA419" s="506"/>
      <c r="AB419" s="510">
        <v>43621</v>
      </c>
      <c r="AC419" s="506"/>
      <c r="AD419" s="506"/>
      <c r="AE419" s="506"/>
    </row>
    <row r="420" spans="1:33" ht="30">
      <c r="C420" s="537">
        <v>43598</v>
      </c>
      <c r="D420" s="1373" t="s">
        <v>4553</v>
      </c>
      <c r="E420" s="491" t="s">
        <v>2434</v>
      </c>
      <c r="F420" s="491" t="s">
        <v>219</v>
      </c>
      <c r="G420" s="571" t="s">
        <v>4554</v>
      </c>
      <c r="H420" s="491"/>
      <c r="I420" s="495"/>
      <c r="J420" s="491"/>
      <c r="K420" s="491" t="s">
        <v>642</v>
      </c>
      <c r="L420" s="491"/>
      <c r="M420" s="536">
        <v>775200</v>
      </c>
      <c r="N420" s="491" t="s">
        <v>112</v>
      </c>
      <c r="O420" s="537">
        <v>43601</v>
      </c>
      <c r="P420" s="537">
        <v>43616</v>
      </c>
      <c r="Q420" s="537">
        <v>43622</v>
      </c>
      <c r="R420" s="491" t="s">
        <v>4839</v>
      </c>
      <c r="S420" s="495"/>
      <c r="T420" s="536">
        <v>774900</v>
      </c>
      <c r="U420" s="536">
        <v>891135</v>
      </c>
      <c r="V420" s="1471"/>
      <c r="W420" s="1471"/>
      <c r="X420" s="1471"/>
      <c r="Y420" s="573">
        <v>43623</v>
      </c>
      <c r="Z420" s="1375" t="s">
        <v>4901</v>
      </c>
      <c r="AA420" s="537">
        <v>43642</v>
      </c>
      <c r="AB420" s="537">
        <v>43644</v>
      </c>
      <c r="AC420" s="537">
        <v>44372</v>
      </c>
      <c r="AD420" s="537">
        <v>43930</v>
      </c>
      <c r="AE420" s="537">
        <v>44285</v>
      </c>
      <c r="AF420" s="1560">
        <v>44637</v>
      </c>
      <c r="AG420" s="374"/>
    </row>
    <row r="421" spans="1:33">
      <c r="C421" s="510">
        <v>43600</v>
      </c>
      <c r="D421" s="1382" t="s">
        <v>4557</v>
      </c>
      <c r="E421" s="506" t="s">
        <v>1700</v>
      </c>
      <c r="F421" s="506" t="s">
        <v>6206</v>
      </c>
      <c r="G421" s="507" t="s">
        <v>4558</v>
      </c>
      <c r="H421" s="506"/>
      <c r="I421" s="548"/>
      <c r="J421" s="590"/>
      <c r="K421" s="506" t="s">
        <v>2614</v>
      </c>
      <c r="L421" s="506"/>
      <c r="M421" s="511">
        <v>957090.9</v>
      </c>
      <c r="N421" s="506" t="s">
        <v>251</v>
      </c>
      <c r="O421" s="510">
        <v>43627</v>
      </c>
      <c r="P421" s="510">
        <v>43661</v>
      </c>
      <c r="Q421" s="506"/>
      <c r="R421" s="514" t="s">
        <v>5125</v>
      </c>
      <c r="S421" s="1713" t="s">
        <v>5249</v>
      </c>
      <c r="T421" s="511"/>
      <c r="U421" s="511"/>
      <c r="V421" s="1484"/>
      <c r="W421" s="1484"/>
      <c r="X421" s="1484"/>
      <c r="Y421" s="511"/>
      <c r="Z421" s="511"/>
      <c r="AA421" s="506"/>
      <c r="AB421" s="510">
        <v>43668</v>
      </c>
      <c r="AC421" s="506" t="s">
        <v>5157</v>
      </c>
      <c r="AD421" s="506"/>
      <c r="AE421" s="506"/>
    </row>
    <row r="422" spans="1:33" ht="30">
      <c r="C422" s="537">
        <v>43600</v>
      </c>
      <c r="D422" s="1373" t="s">
        <v>4559</v>
      </c>
      <c r="E422" s="491" t="s">
        <v>58</v>
      </c>
      <c r="F422" s="491" t="s">
        <v>2684</v>
      </c>
      <c r="G422" s="1563" t="s">
        <v>4560</v>
      </c>
      <c r="H422" s="491"/>
      <c r="I422" s="495"/>
      <c r="J422" s="491"/>
      <c r="K422" s="491" t="s">
        <v>4527</v>
      </c>
      <c r="L422" s="491" t="s">
        <v>4561</v>
      </c>
      <c r="M422" s="536">
        <v>150000</v>
      </c>
      <c r="N422" s="491" t="s">
        <v>112</v>
      </c>
      <c r="O422" s="537">
        <v>43606</v>
      </c>
      <c r="P422" s="537">
        <v>43615</v>
      </c>
      <c r="Q422" s="537">
        <v>43655</v>
      </c>
      <c r="R422" s="491" t="s">
        <v>5073</v>
      </c>
      <c r="S422" s="495"/>
      <c r="T422" s="536">
        <v>129620</v>
      </c>
      <c r="U422" s="536">
        <v>156840.20000000001</v>
      </c>
      <c r="V422" s="1471"/>
      <c r="W422" s="1471"/>
      <c r="X422" s="1471"/>
      <c r="Y422" s="573">
        <v>43655</v>
      </c>
      <c r="Z422" s="1375" t="s">
        <v>5072</v>
      </c>
      <c r="AA422" s="537">
        <v>43683</v>
      </c>
      <c r="AB422" s="537">
        <v>43691</v>
      </c>
      <c r="AC422" s="537">
        <f>AA422+84</f>
        <v>43767</v>
      </c>
      <c r="AD422" s="537">
        <v>43801</v>
      </c>
      <c r="AE422" s="1374" t="s">
        <v>1875</v>
      </c>
      <c r="AF422" s="374"/>
      <c r="AG422" s="374"/>
    </row>
    <row r="423" spans="1:33">
      <c r="C423" s="491" t="s">
        <v>3585</v>
      </c>
      <c r="D423" s="1373" t="s">
        <v>4563</v>
      </c>
      <c r="E423" s="491" t="s">
        <v>2434</v>
      </c>
      <c r="F423" s="491" t="s">
        <v>219</v>
      </c>
      <c r="G423" s="571" t="s">
        <v>4564</v>
      </c>
      <c r="H423" s="491"/>
      <c r="I423" s="495"/>
      <c r="J423" s="491"/>
      <c r="K423" s="491" t="s">
        <v>3013</v>
      </c>
      <c r="L423" s="491"/>
      <c r="M423" s="536">
        <v>670000</v>
      </c>
      <c r="N423" s="491" t="s">
        <v>112</v>
      </c>
      <c r="O423" s="537">
        <v>43602</v>
      </c>
      <c r="P423" s="537">
        <v>43613</v>
      </c>
      <c r="Q423" s="537">
        <v>43621</v>
      </c>
      <c r="R423" s="491" t="s">
        <v>4857</v>
      </c>
      <c r="S423" s="495"/>
      <c r="T423" s="536">
        <v>668863.5</v>
      </c>
      <c r="U423" s="536">
        <v>809324.84</v>
      </c>
      <c r="V423" s="1471"/>
      <c r="W423" s="1471"/>
      <c r="X423" s="1471"/>
      <c r="Y423" s="573">
        <v>43621</v>
      </c>
      <c r="Z423" s="536" t="s">
        <v>5071</v>
      </c>
      <c r="AA423" s="537">
        <v>43640</v>
      </c>
      <c r="AB423" s="537">
        <v>43643</v>
      </c>
      <c r="AC423" s="537">
        <v>44735</v>
      </c>
      <c r="AD423" s="537">
        <v>43930</v>
      </c>
      <c r="AE423" s="537">
        <v>44285</v>
      </c>
      <c r="AF423" s="1560">
        <v>44637</v>
      </c>
      <c r="AG423" s="388" t="s">
        <v>4976</v>
      </c>
    </row>
    <row r="424" spans="1:33">
      <c r="C424" s="491" t="s">
        <v>3585</v>
      </c>
      <c r="D424" s="1373" t="s">
        <v>4565</v>
      </c>
      <c r="E424" s="491" t="s">
        <v>2434</v>
      </c>
      <c r="F424" s="491" t="s">
        <v>219</v>
      </c>
      <c r="G424" s="571" t="s">
        <v>4566</v>
      </c>
      <c r="H424" s="491"/>
      <c r="I424" s="495"/>
      <c r="J424" s="491"/>
      <c r="K424" s="491" t="s">
        <v>642</v>
      </c>
      <c r="L424" s="491"/>
      <c r="M424" s="536">
        <v>434900</v>
      </c>
      <c r="N424" s="491" t="s">
        <v>112</v>
      </c>
      <c r="O424" s="537">
        <v>43602</v>
      </c>
      <c r="P424" s="537">
        <v>43613</v>
      </c>
      <c r="Q424" s="537">
        <v>43623</v>
      </c>
      <c r="R424" s="491" t="s">
        <v>2097</v>
      </c>
      <c r="S424" s="495"/>
      <c r="T424" s="536">
        <v>405000</v>
      </c>
      <c r="U424" s="536">
        <v>490050</v>
      </c>
      <c r="V424" s="1471"/>
      <c r="W424" s="1471"/>
      <c r="X424" s="1471"/>
      <c r="Y424" s="573">
        <v>43626</v>
      </c>
      <c r="Z424" s="536" t="s">
        <v>4903</v>
      </c>
      <c r="AA424" s="537">
        <v>43642</v>
      </c>
      <c r="AB424" s="537">
        <v>43644</v>
      </c>
      <c r="AC424" s="537">
        <v>44372</v>
      </c>
      <c r="AD424" s="537">
        <v>43930</v>
      </c>
      <c r="AE424" s="537">
        <v>44285</v>
      </c>
      <c r="AF424" s="1560">
        <v>44637</v>
      </c>
      <c r="AG424" s="374"/>
    </row>
    <row r="425" spans="1:33" ht="30">
      <c r="C425" s="537">
        <v>43598</v>
      </c>
      <c r="D425" s="1373" t="s">
        <v>4567</v>
      </c>
      <c r="E425" s="491" t="s">
        <v>2434</v>
      </c>
      <c r="F425" s="491" t="s">
        <v>219</v>
      </c>
      <c r="G425" s="571" t="s">
        <v>4210</v>
      </c>
      <c r="H425" s="491"/>
      <c r="I425" s="495"/>
      <c r="J425" s="491"/>
      <c r="K425" s="491" t="s">
        <v>642</v>
      </c>
      <c r="L425" s="491"/>
      <c r="M425" s="536">
        <v>572700</v>
      </c>
      <c r="N425" s="491" t="s">
        <v>112</v>
      </c>
      <c r="O425" s="537">
        <v>43606</v>
      </c>
      <c r="P425" s="537">
        <v>43616</v>
      </c>
      <c r="Q425" s="537">
        <v>43634</v>
      </c>
      <c r="R425" s="491" t="s">
        <v>576</v>
      </c>
      <c r="S425" s="495"/>
      <c r="T425" s="536">
        <v>540000</v>
      </c>
      <c r="U425" s="536">
        <v>653400</v>
      </c>
      <c r="V425" s="1471"/>
      <c r="W425" s="1471"/>
      <c r="X425" s="1471"/>
      <c r="Y425" s="573">
        <v>43634</v>
      </c>
      <c r="Z425" s="1375" t="s">
        <v>4966</v>
      </c>
      <c r="AA425" s="537">
        <v>43663</v>
      </c>
      <c r="AB425" s="537">
        <v>43665</v>
      </c>
      <c r="AC425" s="537">
        <v>44393</v>
      </c>
      <c r="AD425" s="491" t="s">
        <v>6603</v>
      </c>
      <c r="AE425" s="537">
        <v>44285</v>
      </c>
      <c r="AF425" s="1560">
        <v>44637</v>
      </c>
      <c r="AG425" s="374"/>
    </row>
    <row r="426" spans="1:33">
      <c r="C426" s="510">
        <v>43598</v>
      </c>
      <c r="D426" s="1382" t="s">
        <v>4568</v>
      </c>
      <c r="E426" s="506" t="s">
        <v>2434</v>
      </c>
      <c r="F426" s="506" t="s">
        <v>219</v>
      </c>
      <c r="G426" s="507" t="s">
        <v>4209</v>
      </c>
      <c r="H426" s="506"/>
      <c r="I426" s="548"/>
      <c r="J426" s="506"/>
      <c r="K426" s="506" t="s">
        <v>642</v>
      </c>
      <c r="L426" s="506"/>
      <c r="M426" s="511">
        <v>492000</v>
      </c>
      <c r="N426" s="506" t="s">
        <v>112</v>
      </c>
      <c r="O426" s="510">
        <v>43606</v>
      </c>
      <c r="P426" s="510">
        <v>43616</v>
      </c>
      <c r="Q426" s="506"/>
      <c r="R426" s="514" t="s">
        <v>304</v>
      </c>
      <c r="S426" s="1713" t="s">
        <v>4963</v>
      </c>
      <c r="T426" s="511"/>
      <c r="U426" s="511"/>
      <c r="V426" s="1470"/>
      <c r="W426" s="1470"/>
      <c r="X426" s="1470"/>
      <c r="Y426" s="511"/>
      <c r="Z426" s="511"/>
      <c r="AA426" s="506"/>
      <c r="AB426" s="510">
        <v>43616</v>
      </c>
      <c r="AC426" s="506"/>
      <c r="AD426" s="506"/>
      <c r="AE426" s="506"/>
    </row>
    <row r="427" spans="1:33" ht="30">
      <c r="A427" s="1608"/>
      <c r="B427" s="355"/>
      <c r="C427" s="537">
        <v>43599</v>
      </c>
      <c r="D427" s="1373" t="s">
        <v>4569</v>
      </c>
      <c r="E427" s="491" t="s">
        <v>2434</v>
      </c>
      <c r="F427" s="491" t="s">
        <v>219</v>
      </c>
      <c r="G427" s="571" t="s">
        <v>4212</v>
      </c>
      <c r="H427" s="491"/>
      <c r="I427" s="495"/>
      <c r="J427" s="491"/>
      <c r="K427" s="491" t="s">
        <v>642</v>
      </c>
      <c r="L427" s="491"/>
      <c r="M427" s="536">
        <v>293900</v>
      </c>
      <c r="N427" s="491" t="s">
        <v>112</v>
      </c>
      <c r="O427" s="537">
        <v>43608</v>
      </c>
      <c r="P427" s="537">
        <v>43616</v>
      </c>
      <c r="Q427" s="537">
        <v>43627</v>
      </c>
      <c r="R427" s="491" t="s">
        <v>2776</v>
      </c>
      <c r="S427" s="495"/>
      <c r="T427" s="536">
        <v>293600</v>
      </c>
      <c r="U427" s="536">
        <v>337640</v>
      </c>
      <c r="V427" s="1471"/>
      <c r="W427" s="1471"/>
      <c r="X427" s="1471"/>
      <c r="Y427" s="573">
        <v>43630</v>
      </c>
      <c r="Z427" s="1375" t="s">
        <v>4943</v>
      </c>
      <c r="AA427" s="537">
        <v>43676</v>
      </c>
      <c r="AB427" s="537">
        <v>43679</v>
      </c>
      <c r="AC427" s="537">
        <v>44406</v>
      </c>
      <c r="AD427" s="537">
        <v>43930</v>
      </c>
      <c r="AE427" s="537">
        <v>44285</v>
      </c>
      <c r="AF427" s="1560">
        <v>44637</v>
      </c>
      <c r="AG427" s="374"/>
    </row>
    <row r="428" spans="1:33" ht="30">
      <c r="C428" s="537">
        <v>43599</v>
      </c>
      <c r="D428" s="1373" t="s">
        <v>4570</v>
      </c>
      <c r="E428" s="491" t="s">
        <v>2434</v>
      </c>
      <c r="F428" s="491" t="s">
        <v>219</v>
      </c>
      <c r="G428" s="571" t="s">
        <v>4213</v>
      </c>
      <c r="H428" s="491"/>
      <c r="I428" s="495"/>
      <c r="J428" s="491"/>
      <c r="K428" s="491" t="s">
        <v>642</v>
      </c>
      <c r="L428" s="491"/>
      <c r="M428" s="536">
        <v>330840</v>
      </c>
      <c r="N428" s="491" t="s">
        <v>112</v>
      </c>
      <c r="O428" s="537">
        <v>43608</v>
      </c>
      <c r="P428" s="537">
        <v>43616</v>
      </c>
      <c r="Q428" s="537">
        <v>43622</v>
      </c>
      <c r="R428" s="491" t="s">
        <v>4839</v>
      </c>
      <c r="S428" s="495"/>
      <c r="T428" s="536">
        <v>330750</v>
      </c>
      <c r="U428" s="536">
        <v>400207.5</v>
      </c>
      <c r="V428" s="1471"/>
      <c r="W428" s="1471"/>
      <c r="X428" s="1471"/>
      <c r="Y428" s="573">
        <v>43622</v>
      </c>
      <c r="Z428" s="1375" t="s">
        <v>4898</v>
      </c>
      <c r="AA428" s="537">
        <v>43634</v>
      </c>
      <c r="AB428" s="537">
        <v>43643</v>
      </c>
      <c r="AC428" s="537">
        <v>44364</v>
      </c>
      <c r="AD428" s="537">
        <v>43930</v>
      </c>
      <c r="AE428" s="537">
        <v>44285</v>
      </c>
      <c r="AF428" s="1560">
        <v>44637</v>
      </c>
      <c r="AG428" s="374"/>
    </row>
    <row r="429" spans="1:33" ht="30.75" thickBot="1">
      <c r="C429" s="416">
        <v>43599</v>
      </c>
      <c r="D429" s="1468" t="s">
        <v>4571</v>
      </c>
      <c r="E429" s="411" t="s">
        <v>2434</v>
      </c>
      <c r="F429" s="411" t="s">
        <v>219</v>
      </c>
      <c r="G429" s="412" t="s">
        <v>4214</v>
      </c>
      <c r="H429" s="411"/>
      <c r="I429" s="630"/>
      <c r="J429" s="411"/>
      <c r="K429" s="411" t="s">
        <v>642</v>
      </c>
      <c r="L429" s="411"/>
      <c r="M429" s="417">
        <v>524480</v>
      </c>
      <c r="N429" s="411" t="s">
        <v>112</v>
      </c>
      <c r="O429" s="416">
        <v>43608</v>
      </c>
      <c r="P429" s="416">
        <v>43616</v>
      </c>
      <c r="Q429" s="416">
        <v>43626</v>
      </c>
      <c r="R429" s="411" t="s">
        <v>3080</v>
      </c>
      <c r="S429" s="630"/>
      <c r="T429" s="417">
        <v>524480</v>
      </c>
      <c r="U429" s="417">
        <v>634620.80000000005</v>
      </c>
      <c r="V429" s="1480"/>
      <c r="W429" s="1480"/>
      <c r="X429" s="1480"/>
      <c r="Y429" s="513">
        <v>43626</v>
      </c>
      <c r="Z429" s="1553" t="s">
        <v>4904</v>
      </c>
      <c r="AA429" s="416">
        <v>43644</v>
      </c>
      <c r="AB429" s="416">
        <v>43655</v>
      </c>
      <c r="AC429" s="416">
        <v>44374</v>
      </c>
      <c r="AD429" s="416">
        <v>43930</v>
      </c>
      <c r="AE429" s="416">
        <v>44285</v>
      </c>
      <c r="AF429" s="1560">
        <v>44637</v>
      </c>
      <c r="AG429" s="374"/>
    </row>
    <row r="430" spans="1:33" ht="15.75" thickTop="1">
      <c r="C430" s="474">
        <v>43602</v>
      </c>
      <c r="D430" s="453" t="s">
        <v>4573</v>
      </c>
      <c r="E430" s="453" t="s">
        <v>69</v>
      </c>
      <c r="F430" s="453" t="s">
        <v>70</v>
      </c>
      <c r="G430" s="473" t="s">
        <v>4574</v>
      </c>
      <c r="H430" s="453">
        <v>1</v>
      </c>
      <c r="I430" s="1420" t="s">
        <v>4343</v>
      </c>
      <c r="J430" s="453" t="s">
        <v>4344</v>
      </c>
      <c r="K430" s="453" t="s">
        <v>814</v>
      </c>
      <c r="L430" s="453"/>
      <c r="M430" s="457">
        <v>2343733</v>
      </c>
      <c r="N430" s="453" t="s">
        <v>251</v>
      </c>
      <c r="O430" s="474">
        <v>43609</v>
      </c>
      <c r="P430" s="474">
        <v>43657</v>
      </c>
      <c r="Q430" s="474">
        <v>43755</v>
      </c>
      <c r="R430" s="453" t="s">
        <v>576</v>
      </c>
      <c r="S430" s="1420"/>
      <c r="T430" s="457">
        <v>2343698.2799999998</v>
      </c>
      <c r="U430" s="457">
        <v>2578068.11</v>
      </c>
      <c r="V430" s="1474"/>
      <c r="W430" s="1474"/>
      <c r="X430" s="1474"/>
      <c r="Y430" s="570">
        <v>43756</v>
      </c>
      <c r="Z430" s="457" t="s">
        <v>5854</v>
      </c>
      <c r="AA430" s="474">
        <v>43798</v>
      </c>
      <c r="AB430" s="474">
        <v>43810</v>
      </c>
      <c r="AC430" s="474">
        <v>44528</v>
      </c>
      <c r="AD430" s="474">
        <v>43915</v>
      </c>
      <c r="AE430" s="474">
        <v>44279</v>
      </c>
      <c r="AF430" s="1560">
        <v>44645</v>
      </c>
      <c r="AG430" s="374"/>
    </row>
    <row r="431" spans="1:33">
      <c r="C431" s="510">
        <v>43602</v>
      </c>
      <c r="D431" s="506" t="s">
        <v>4573</v>
      </c>
      <c r="E431" s="506" t="s">
        <v>69</v>
      </c>
      <c r="F431" s="506" t="s">
        <v>70</v>
      </c>
      <c r="G431" s="507" t="s">
        <v>4574</v>
      </c>
      <c r="H431" s="506">
        <v>2</v>
      </c>
      <c r="I431" s="548" t="s">
        <v>4349</v>
      </c>
      <c r="J431" s="506" t="s">
        <v>4350</v>
      </c>
      <c r="K431" s="506" t="s">
        <v>814</v>
      </c>
      <c r="L431" s="506"/>
      <c r="M431" s="511">
        <v>778239.8</v>
      </c>
      <c r="N431" s="506" t="s">
        <v>251</v>
      </c>
      <c r="O431" s="510">
        <v>43609</v>
      </c>
      <c r="P431" s="510">
        <v>43657</v>
      </c>
      <c r="Q431" s="506"/>
      <c r="R431" s="514" t="s">
        <v>5546</v>
      </c>
      <c r="S431" s="736" t="s">
        <v>5510</v>
      </c>
      <c r="T431" s="511"/>
      <c r="U431" s="511"/>
      <c r="V431" s="1470"/>
      <c r="W431" s="1470"/>
      <c r="X431" s="1470"/>
      <c r="Y431" s="511"/>
      <c r="Z431" s="511"/>
      <c r="AA431" s="506"/>
      <c r="AB431" s="510">
        <v>43714</v>
      </c>
      <c r="AC431" s="506" t="s">
        <v>5256</v>
      </c>
      <c r="AD431" s="506"/>
      <c r="AE431" s="506"/>
    </row>
    <row r="432" spans="1:33">
      <c r="C432" s="537">
        <v>43602</v>
      </c>
      <c r="D432" s="491" t="s">
        <v>4573</v>
      </c>
      <c r="E432" s="491" t="s">
        <v>69</v>
      </c>
      <c r="F432" s="491" t="s">
        <v>70</v>
      </c>
      <c r="G432" s="571" t="s">
        <v>4574</v>
      </c>
      <c r="H432" s="491">
        <v>3</v>
      </c>
      <c r="I432" s="495" t="s">
        <v>4575</v>
      </c>
      <c r="J432" s="491" t="s">
        <v>4364</v>
      </c>
      <c r="K432" s="491" t="s">
        <v>814</v>
      </c>
      <c r="L432" s="491"/>
      <c r="M432" s="536">
        <v>258189</v>
      </c>
      <c r="N432" s="491" t="s">
        <v>251</v>
      </c>
      <c r="O432" s="537">
        <v>43609</v>
      </c>
      <c r="P432" s="537">
        <v>43657</v>
      </c>
      <c r="Q432" s="537">
        <v>43755</v>
      </c>
      <c r="R432" s="491" t="s">
        <v>1402</v>
      </c>
      <c r="S432" s="495"/>
      <c r="T432" s="536">
        <v>257585.64</v>
      </c>
      <c r="U432" s="536">
        <v>283344.2</v>
      </c>
      <c r="V432" s="1471"/>
      <c r="W432" s="1471"/>
      <c r="X432" s="1471"/>
      <c r="Y432" s="573">
        <v>43756</v>
      </c>
      <c r="Z432" s="536" t="s">
        <v>5855</v>
      </c>
      <c r="AA432" s="537">
        <v>43798</v>
      </c>
      <c r="AB432" s="537">
        <v>43810</v>
      </c>
      <c r="AC432" s="537">
        <v>44528</v>
      </c>
      <c r="AD432" s="537">
        <v>43915</v>
      </c>
      <c r="AE432" s="537">
        <v>44279</v>
      </c>
      <c r="AF432" s="1560">
        <v>44645</v>
      </c>
      <c r="AG432" s="374"/>
    </row>
    <row r="433" spans="3:33">
      <c r="C433" s="544">
        <v>43602</v>
      </c>
      <c r="D433" s="540" t="s">
        <v>4573</v>
      </c>
      <c r="E433" s="540" t="s">
        <v>69</v>
      </c>
      <c r="F433" s="540" t="s">
        <v>70</v>
      </c>
      <c r="G433" s="541" t="s">
        <v>4574</v>
      </c>
      <c r="H433" s="540">
        <v>4</v>
      </c>
      <c r="I433" s="1402" t="s">
        <v>4576</v>
      </c>
      <c r="J433" s="590" t="s">
        <v>4577</v>
      </c>
      <c r="K433" s="540" t="s">
        <v>814</v>
      </c>
      <c r="L433" s="540"/>
      <c r="M433" s="545">
        <v>135108</v>
      </c>
      <c r="N433" s="540" t="s">
        <v>251</v>
      </c>
      <c r="O433" s="544">
        <v>43609</v>
      </c>
      <c r="P433" s="544">
        <v>43657</v>
      </c>
      <c r="Q433" s="544">
        <v>43804</v>
      </c>
      <c r="R433" s="540" t="s">
        <v>576</v>
      </c>
      <c r="S433" s="1402"/>
      <c r="T433" s="545">
        <v>134452.5</v>
      </c>
      <c r="U433" s="545">
        <f>T433*1.1</f>
        <v>147897.75</v>
      </c>
      <c r="V433" s="1484"/>
      <c r="W433" s="1484"/>
      <c r="X433" s="1484"/>
      <c r="Y433" s="1385">
        <v>43805</v>
      </c>
      <c r="Z433" s="545" t="s">
        <v>6097</v>
      </c>
      <c r="AA433" s="540"/>
      <c r="AB433" s="540"/>
      <c r="AC433" s="540"/>
      <c r="AD433" s="540"/>
      <c r="AE433" s="540"/>
      <c r="AF433" s="374"/>
      <c r="AG433" s="374"/>
    </row>
    <row r="434" spans="3:33">
      <c r="C434" s="544">
        <v>43602</v>
      </c>
      <c r="D434" s="540" t="s">
        <v>4573</v>
      </c>
      <c r="E434" s="540" t="s">
        <v>69</v>
      </c>
      <c r="F434" s="540" t="s">
        <v>70</v>
      </c>
      <c r="G434" s="541" t="s">
        <v>4574</v>
      </c>
      <c r="H434" s="540">
        <v>5</v>
      </c>
      <c r="I434" s="1402" t="s">
        <v>4367</v>
      </c>
      <c r="J434" s="590" t="s">
        <v>4368</v>
      </c>
      <c r="K434" s="540" t="s">
        <v>814</v>
      </c>
      <c r="L434" s="540"/>
      <c r="M434" s="545">
        <v>250029</v>
      </c>
      <c r="N434" s="540" t="s">
        <v>251</v>
      </c>
      <c r="O434" s="544">
        <v>43609</v>
      </c>
      <c r="P434" s="544">
        <v>43657</v>
      </c>
      <c r="Q434" s="544">
        <v>43755</v>
      </c>
      <c r="R434" s="540" t="s">
        <v>576</v>
      </c>
      <c r="S434" s="1402"/>
      <c r="T434" s="545">
        <v>215896.32000000001</v>
      </c>
      <c r="U434" s="545">
        <v>237485.95</v>
      </c>
      <c r="V434" s="1484"/>
      <c r="W434" s="1484"/>
      <c r="X434" s="1484"/>
      <c r="Y434" s="1385">
        <v>43756</v>
      </c>
      <c r="Z434" s="545" t="s">
        <v>5856</v>
      </c>
      <c r="AA434" s="540"/>
      <c r="AB434" s="540"/>
      <c r="AC434" s="540"/>
      <c r="AD434" s="540"/>
      <c r="AE434" s="540"/>
      <c r="AF434" s="374"/>
      <c r="AG434" s="374"/>
    </row>
    <row r="435" spans="3:33">
      <c r="C435" s="537">
        <v>43602</v>
      </c>
      <c r="D435" s="491" t="s">
        <v>4573</v>
      </c>
      <c r="E435" s="491" t="s">
        <v>69</v>
      </c>
      <c r="F435" s="491" t="s">
        <v>70</v>
      </c>
      <c r="G435" s="571" t="s">
        <v>4574</v>
      </c>
      <c r="H435" s="491">
        <v>6</v>
      </c>
      <c r="I435" s="495" t="s">
        <v>4369</v>
      </c>
      <c r="J435" s="491" t="s">
        <v>4370</v>
      </c>
      <c r="K435" s="491" t="s">
        <v>814</v>
      </c>
      <c r="L435" s="491"/>
      <c r="M435" s="536">
        <v>189365</v>
      </c>
      <c r="N435" s="491" t="s">
        <v>251</v>
      </c>
      <c r="O435" s="537">
        <v>43609</v>
      </c>
      <c r="P435" s="537">
        <v>43657</v>
      </c>
      <c r="Q435" s="537">
        <v>43755</v>
      </c>
      <c r="R435" s="491" t="s">
        <v>1402</v>
      </c>
      <c r="S435" s="495"/>
      <c r="T435" s="536">
        <v>135008.04</v>
      </c>
      <c r="U435" s="536">
        <v>148508.84</v>
      </c>
      <c r="V435" s="1471"/>
      <c r="W435" s="1471"/>
      <c r="X435" s="1471"/>
      <c r="Y435" s="573">
        <v>43756</v>
      </c>
      <c r="Z435" s="536" t="s">
        <v>5857</v>
      </c>
      <c r="AA435" s="537">
        <v>43798</v>
      </c>
      <c r="AB435" s="537">
        <v>43810</v>
      </c>
      <c r="AC435" s="537">
        <v>44528</v>
      </c>
      <c r="AD435" s="537">
        <v>43915</v>
      </c>
      <c r="AE435" s="537">
        <v>44279</v>
      </c>
      <c r="AF435" s="1560">
        <v>44645</v>
      </c>
      <c r="AG435" s="374"/>
    </row>
    <row r="436" spans="3:33" ht="15.75" thickBot="1">
      <c r="C436" s="1380">
        <v>43602</v>
      </c>
      <c r="D436" s="1376" t="s">
        <v>4573</v>
      </c>
      <c r="E436" s="1376" t="s">
        <v>69</v>
      </c>
      <c r="F436" s="1376" t="s">
        <v>70</v>
      </c>
      <c r="G436" s="1378" t="s">
        <v>4574</v>
      </c>
      <c r="H436" s="1376">
        <v>7</v>
      </c>
      <c r="I436" s="1421" t="s">
        <v>4393</v>
      </c>
      <c r="J436" s="1376" t="s">
        <v>4394</v>
      </c>
      <c r="K436" s="1376" t="s">
        <v>814</v>
      </c>
      <c r="L436" s="1376"/>
      <c r="M436" s="1379">
        <v>584770</v>
      </c>
      <c r="N436" s="1376" t="s">
        <v>251</v>
      </c>
      <c r="O436" s="1380">
        <v>43609</v>
      </c>
      <c r="P436" s="1380">
        <v>43657</v>
      </c>
      <c r="Q436" s="1380">
        <v>43755</v>
      </c>
      <c r="R436" s="1376" t="s">
        <v>1402</v>
      </c>
      <c r="S436" s="1421"/>
      <c r="T436" s="1379">
        <v>544810.54</v>
      </c>
      <c r="U436" s="1379">
        <v>599291.59</v>
      </c>
      <c r="V436" s="1475"/>
      <c r="W436" s="1475"/>
      <c r="X436" s="1475"/>
      <c r="Y436" s="1388">
        <v>43756</v>
      </c>
      <c r="Z436" s="1379" t="s">
        <v>5858</v>
      </c>
      <c r="AA436" s="1380">
        <v>43798</v>
      </c>
      <c r="AB436" s="1380">
        <v>43810</v>
      </c>
      <c r="AC436" s="1380">
        <v>44528</v>
      </c>
      <c r="AD436" s="1380">
        <v>43915</v>
      </c>
      <c r="AE436" s="1380">
        <v>44279</v>
      </c>
      <c r="AF436" s="1560">
        <v>44645</v>
      </c>
      <c r="AG436" s="374"/>
    </row>
    <row r="437" spans="3:33" ht="15.75" thickTop="1">
      <c r="C437" s="840">
        <v>43602</v>
      </c>
      <c r="D437" s="1364" t="s">
        <v>4628</v>
      </c>
      <c r="E437" s="423" t="s">
        <v>69</v>
      </c>
      <c r="F437" s="423" t="s">
        <v>70</v>
      </c>
      <c r="G437" s="837" t="s">
        <v>4578</v>
      </c>
      <c r="H437" s="423">
        <v>1</v>
      </c>
      <c r="I437" s="1422" t="s">
        <v>4579</v>
      </c>
      <c r="J437" s="576"/>
      <c r="K437" s="423" t="s">
        <v>42</v>
      </c>
      <c r="L437" s="423"/>
      <c r="M437" s="841">
        <v>7800</v>
      </c>
      <c r="N437" s="423" t="s">
        <v>251</v>
      </c>
      <c r="O437" s="840">
        <v>43630</v>
      </c>
      <c r="P437" s="840">
        <v>43697</v>
      </c>
      <c r="Q437" s="840">
        <v>43816</v>
      </c>
      <c r="R437" s="423" t="s">
        <v>5639</v>
      </c>
      <c r="S437" s="1422"/>
      <c r="T437" s="841">
        <v>7800</v>
      </c>
      <c r="U437" s="841">
        <v>9438</v>
      </c>
      <c r="V437" s="1489"/>
      <c r="W437" s="1489"/>
      <c r="X437" s="1489"/>
      <c r="Y437" s="1392">
        <v>43818</v>
      </c>
      <c r="Z437" s="841" t="s">
        <v>6189</v>
      </c>
      <c r="AA437" s="423"/>
      <c r="AB437" s="423"/>
      <c r="AC437" s="423"/>
      <c r="AD437" s="423"/>
      <c r="AE437" s="423"/>
      <c r="AF437" s="374"/>
      <c r="AG437" s="374"/>
    </row>
    <row r="438" spans="3:33">
      <c r="C438" s="510">
        <v>43602</v>
      </c>
      <c r="D438" s="1382" t="s">
        <v>4628</v>
      </c>
      <c r="E438" s="506" t="s">
        <v>69</v>
      </c>
      <c r="F438" s="506" t="s">
        <v>70</v>
      </c>
      <c r="G438" s="507" t="s">
        <v>4578</v>
      </c>
      <c r="H438" s="506">
        <v>2</v>
      </c>
      <c r="I438" s="548" t="s">
        <v>4580</v>
      </c>
      <c r="J438" s="590"/>
      <c r="K438" s="506" t="s">
        <v>42</v>
      </c>
      <c r="L438" s="506"/>
      <c r="M438" s="511">
        <v>174100</v>
      </c>
      <c r="N438" s="506" t="s">
        <v>251</v>
      </c>
      <c r="O438" s="510">
        <v>43630</v>
      </c>
      <c r="P438" s="470">
        <v>43697</v>
      </c>
      <c r="Q438" s="506"/>
      <c r="R438" s="514" t="s">
        <v>5547</v>
      </c>
      <c r="S438" s="736" t="s">
        <v>5511</v>
      </c>
      <c r="T438" s="511"/>
      <c r="U438" s="511"/>
      <c r="V438" s="1484"/>
      <c r="W438" s="1484"/>
      <c r="X438" s="1484"/>
      <c r="Y438" s="511"/>
      <c r="Z438" s="511"/>
      <c r="AA438" s="506"/>
      <c r="AB438" s="510">
        <v>43727</v>
      </c>
      <c r="AC438" s="506" t="s">
        <v>5355</v>
      </c>
      <c r="AD438" s="506"/>
      <c r="AE438" s="506"/>
    </row>
    <row r="439" spans="3:33">
      <c r="C439" s="544">
        <v>43602</v>
      </c>
      <c r="D439" s="1357" t="s">
        <v>4628</v>
      </c>
      <c r="E439" s="540" t="s">
        <v>69</v>
      </c>
      <c r="F439" s="540" t="s">
        <v>70</v>
      </c>
      <c r="G439" s="541" t="s">
        <v>4578</v>
      </c>
      <c r="H439" s="540">
        <v>3</v>
      </c>
      <c r="I439" s="1402" t="s">
        <v>4581</v>
      </c>
      <c r="J439" s="590"/>
      <c r="K439" s="540" t="s">
        <v>42</v>
      </c>
      <c r="L439" s="540"/>
      <c r="M439" s="545">
        <v>519966</v>
      </c>
      <c r="N439" s="540" t="s">
        <v>251</v>
      </c>
      <c r="O439" s="544">
        <v>43630</v>
      </c>
      <c r="P439" s="840">
        <v>43697</v>
      </c>
      <c r="Q439" s="544">
        <v>43816</v>
      </c>
      <c r="R439" s="540" t="s">
        <v>3479</v>
      </c>
      <c r="S439" s="1402"/>
      <c r="T439" s="545">
        <v>450000</v>
      </c>
      <c r="U439" s="545">
        <v>544500</v>
      </c>
      <c r="V439" s="1484"/>
      <c r="W439" s="1484"/>
      <c r="X439" s="1484"/>
      <c r="Y439" s="1385">
        <v>43818</v>
      </c>
      <c r="Z439" s="545" t="s">
        <v>6190</v>
      </c>
      <c r="AA439" s="540"/>
      <c r="AB439" s="540"/>
      <c r="AC439" s="540"/>
      <c r="AD439" s="540"/>
      <c r="AE439" s="540"/>
      <c r="AF439" s="374"/>
      <c r="AG439" s="374"/>
    </row>
    <row r="440" spans="3:33">
      <c r="C440" s="544">
        <v>43602</v>
      </c>
      <c r="D440" s="1357" t="s">
        <v>4628</v>
      </c>
      <c r="E440" s="540" t="s">
        <v>69</v>
      </c>
      <c r="F440" s="540" t="s">
        <v>70</v>
      </c>
      <c r="G440" s="541" t="s">
        <v>4578</v>
      </c>
      <c r="H440" s="540">
        <v>4</v>
      </c>
      <c r="I440" s="1402" t="s">
        <v>4582</v>
      </c>
      <c r="J440" s="590"/>
      <c r="K440" s="540" t="s">
        <v>42</v>
      </c>
      <c r="L440" s="540"/>
      <c r="M440" s="545">
        <v>43451</v>
      </c>
      <c r="N440" s="540" t="s">
        <v>251</v>
      </c>
      <c r="O440" s="544">
        <v>43630</v>
      </c>
      <c r="P440" s="840">
        <v>43697</v>
      </c>
      <c r="Q440" s="544">
        <v>43816</v>
      </c>
      <c r="R440" s="540" t="s">
        <v>3479</v>
      </c>
      <c r="S440" s="1402"/>
      <c r="T440" s="545">
        <v>43450</v>
      </c>
      <c r="U440" s="545">
        <v>52574.5</v>
      </c>
      <c r="V440" s="1484"/>
      <c r="W440" s="1484"/>
      <c r="X440" s="1484"/>
      <c r="Y440" s="1385">
        <v>43818</v>
      </c>
      <c r="Z440" s="545" t="s">
        <v>6191</v>
      </c>
      <c r="AA440" s="540"/>
      <c r="AB440" s="540"/>
      <c r="AC440" s="540"/>
      <c r="AD440" s="540"/>
      <c r="AE440" s="540"/>
      <c r="AF440" s="374"/>
      <c r="AG440" s="374"/>
    </row>
    <row r="441" spans="3:33">
      <c r="C441" s="544">
        <v>43602</v>
      </c>
      <c r="D441" s="1357" t="s">
        <v>4628</v>
      </c>
      <c r="E441" s="540" t="s">
        <v>69</v>
      </c>
      <c r="F441" s="540" t="s">
        <v>70</v>
      </c>
      <c r="G441" s="541" t="s">
        <v>4578</v>
      </c>
      <c r="H441" s="540">
        <v>5</v>
      </c>
      <c r="I441" s="1402" t="s">
        <v>4583</v>
      </c>
      <c r="J441" s="590"/>
      <c r="K441" s="540" t="s">
        <v>42</v>
      </c>
      <c r="L441" s="540"/>
      <c r="M441" s="545">
        <v>9780</v>
      </c>
      <c r="N441" s="540" t="s">
        <v>251</v>
      </c>
      <c r="O441" s="544">
        <v>43630</v>
      </c>
      <c r="P441" s="840">
        <v>43697</v>
      </c>
      <c r="Q441" s="544">
        <v>43816</v>
      </c>
      <c r="R441" s="540" t="s">
        <v>3479</v>
      </c>
      <c r="S441" s="1402"/>
      <c r="T441" s="545">
        <v>9780</v>
      </c>
      <c r="U441" s="545">
        <v>11833.8</v>
      </c>
      <c r="V441" s="1484"/>
      <c r="W441" s="1484"/>
      <c r="X441" s="1484"/>
      <c r="Y441" s="1385">
        <v>43818</v>
      </c>
      <c r="Z441" s="545" t="s">
        <v>6192</v>
      </c>
      <c r="AA441" s="540"/>
      <c r="AB441" s="540"/>
      <c r="AC441" s="540"/>
      <c r="AD441" s="540"/>
      <c r="AE441" s="540"/>
      <c r="AF441" s="374"/>
      <c r="AG441" s="374"/>
    </row>
    <row r="442" spans="3:33">
      <c r="C442" s="544">
        <v>43602</v>
      </c>
      <c r="D442" s="1357" t="s">
        <v>4628</v>
      </c>
      <c r="E442" s="540" t="s">
        <v>69</v>
      </c>
      <c r="F442" s="540" t="s">
        <v>70</v>
      </c>
      <c r="G442" s="541" t="s">
        <v>4578</v>
      </c>
      <c r="H442" s="540">
        <v>6</v>
      </c>
      <c r="I442" s="1402" t="s">
        <v>4584</v>
      </c>
      <c r="J442" s="590"/>
      <c r="K442" s="540" t="s">
        <v>42</v>
      </c>
      <c r="L442" s="540"/>
      <c r="M442" s="545">
        <v>1853</v>
      </c>
      <c r="N442" s="540" t="s">
        <v>251</v>
      </c>
      <c r="O442" s="544">
        <v>43630</v>
      </c>
      <c r="P442" s="840">
        <v>43697</v>
      </c>
      <c r="Q442" s="544">
        <v>43816</v>
      </c>
      <c r="R442" s="540" t="s">
        <v>3479</v>
      </c>
      <c r="S442" s="1402"/>
      <c r="T442" s="545">
        <v>1800</v>
      </c>
      <c r="U442" s="545">
        <v>2178</v>
      </c>
      <c r="V442" s="1484"/>
      <c r="W442" s="1484"/>
      <c r="X442" s="1484"/>
      <c r="Y442" s="1385">
        <v>43818</v>
      </c>
      <c r="Z442" s="545" t="s">
        <v>6193</v>
      </c>
      <c r="AA442" s="540"/>
      <c r="AB442" s="540"/>
      <c r="AC442" s="540"/>
      <c r="AD442" s="540"/>
      <c r="AE442" s="540"/>
      <c r="AF442" s="374"/>
      <c r="AG442" s="374"/>
    </row>
    <row r="443" spans="3:33">
      <c r="C443" s="544">
        <v>43602</v>
      </c>
      <c r="D443" s="1357" t="s">
        <v>4628</v>
      </c>
      <c r="E443" s="540" t="s">
        <v>69</v>
      </c>
      <c r="F443" s="540" t="s">
        <v>70</v>
      </c>
      <c r="G443" s="541" t="s">
        <v>4578</v>
      </c>
      <c r="H443" s="540">
        <v>7</v>
      </c>
      <c r="I443" s="1402" t="s">
        <v>4585</v>
      </c>
      <c r="J443" s="590"/>
      <c r="K443" s="540" t="s">
        <v>42</v>
      </c>
      <c r="L443" s="540"/>
      <c r="M443" s="545">
        <v>225101</v>
      </c>
      <c r="N443" s="540" t="s">
        <v>251</v>
      </c>
      <c r="O443" s="544">
        <v>43630</v>
      </c>
      <c r="P443" s="840">
        <v>43697</v>
      </c>
      <c r="Q443" s="544">
        <v>43816</v>
      </c>
      <c r="R443" s="540" t="s">
        <v>5353</v>
      </c>
      <c r="S443" s="1402"/>
      <c r="T443" s="545">
        <v>204400</v>
      </c>
      <c r="U443" s="545">
        <v>247324</v>
      </c>
      <c r="V443" s="1484"/>
      <c r="W443" s="1484"/>
      <c r="X443" s="1484"/>
      <c r="Y443" s="1385">
        <v>43818</v>
      </c>
      <c r="Z443" s="545" t="s">
        <v>6194</v>
      </c>
      <c r="AA443" s="540"/>
      <c r="AB443" s="540"/>
      <c r="AC443" s="540"/>
      <c r="AD443" s="540"/>
      <c r="AE443" s="540"/>
      <c r="AF443" s="374"/>
      <c r="AG443" s="374"/>
    </row>
    <row r="444" spans="3:33">
      <c r="C444" s="510">
        <v>43602</v>
      </c>
      <c r="D444" s="1382" t="s">
        <v>4628</v>
      </c>
      <c r="E444" s="506" t="s">
        <v>69</v>
      </c>
      <c r="F444" s="506" t="s">
        <v>70</v>
      </c>
      <c r="G444" s="507" t="s">
        <v>4578</v>
      </c>
      <c r="H444" s="506">
        <v>8</v>
      </c>
      <c r="I444" s="548" t="s">
        <v>4586</v>
      </c>
      <c r="J444" s="506"/>
      <c r="K444" s="506" t="s">
        <v>42</v>
      </c>
      <c r="L444" s="506"/>
      <c r="M444" s="511">
        <v>181659</v>
      </c>
      <c r="N444" s="506" t="s">
        <v>251</v>
      </c>
      <c r="O444" s="510">
        <v>43630</v>
      </c>
      <c r="P444" s="470">
        <v>43697</v>
      </c>
      <c r="Q444" s="506"/>
      <c r="R444" s="514" t="s">
        <v>3477</v>
      </c>
      <c r="S444" s="548"/>
      <c r="T444" s="511"/>
      <c r="U444" s="511"/>
      <c r="V444" s="1470"/>
      <c r="W444" s="1470"/>
      <c r="X444" s="1470"/>
      <c r="Y444" s="511"/>
      <c r="Z444" s="511"/>
      <c r="AA444" s="506"/>
      <c r="AB444" s="510">
        <v>43838</v>
      </c>
      <c r="AC444" s="506" t="s">
        <v>6127</v>
      </c>
      <c r="AD444" s="506"/>
      <c r="AE444" s="506"/>
      <c r="AF444" s="374"/>
      <c r="AG444" s="374"/>
    </row>
    <row r="445" spans="3:33">
      <c r="C445" s="544">
        <v>43602</v>
      </c>
      <c r="D445" s="1357" t="s">
        <v>4628</v>
      </c>
      <c r="E445" s="540" t="s">
        <v>69</v>
      </c>
      <c r="F445" s="540" t="s">
        <v>70</v>
      </c>
      <c r="G445" s="541" t="s">
        <v>4578</v>
      </c>
      <c r="H445" s="540">
        <v>9</v>
      </c>
      <c r="I445" s="1402" t="s">
        <v>4587</v>
      </c>
      <c r="J445" s="590"/>
      <c r="K445" s="540" t="s">
        <v>42</v>
      </c>
      <c r="L445" s="540"/>
      <c r="M445" s="545">
        <v>160200</v>
      </c>
      <c r="N445" s="540" t="s">
        <v>251</v>
      </c>
      <c r="O445" s="544">
        <v>43630</v>
      </c>
      <c r="P445" s="840">
        <v>43697</v>
      </c>
      <c r="Q445" s="544">
        <v>43816</v>
      </c>
      <c r="R445" s="1402" t="s">
        <v>5804</v>
      </c>
      <c r="S445" s="1402"/>
      <c r="T445" s="545">
        <v>160200</v>
      </c>
      <c r="U445" s="545">
        <v>193842</v>
      </c>
      <c r="V445" s="1484"/>
      <c r="W445" s="1484"/>
      <c r="X445" s="1484"/>
      <c r="Y445" s="1385">
        <v>43818</v>
      </c>
      <c r="Z445" s="545" t="s">
        <v>6196</v>
      </c>
      <c r="AA445" s="540"/>
      <c r="AB445" s="540"/>
      <c r="AC445" s="540"/>
      <c r="AD445" s="540"/>
      <c r="AE445" s="540"/>
      <c r="AF445" s="374"/>
      <c r="AG445" s="374"/>
    </row>
    <row r="446" spans="3:33">
      <c r="C446" s="544">
        <v>43602</v>
      </c>
      <c r="D446" s="1357" t="s">
        <v>4628</v>
      </c>
      <c r="E446" s="540" t="s">
        <v>69</v>
      </c>
      <c r="F446" s="540" t="s">
        <v>70</v>
      </c>
      <c r="G446" s="541" t="s">
        <v>4578</v>
      </c>
      <c r="H446" s="540">
        <v>10</v>
      </c>
      <c r="I446" s="1402" t="s">
        <v>4588</v>
      </c>
      <c r="J446" s="590"/>
      <c r="K446" s="540" t="s">
        <v>42</v>
      </c>
      <c r="L446" s="540"/>
      <c r="M446" s="545">
        <v>8775</v>
      </c>
      <c r="N446" s="540" t="s">
        <v>251</v>
      </c>
      <c r="O446" s="544">
        <v>43630</v>
      </c>
      <c r="P446" s="840">
        <v>43697</v>
      </c>
      <c r="Q446" s="544">
        <v>43816</v>
      </c>
      <c r="R446" s="540" t="s">
        <v>2066</v>
      </c>
      <c r="S446" s="1402"/>
      <c r="T446" s="545">
        <v>8750</v>
      </c>
      <c r="U446" s="545">
        <v>10587.5</v>
      </c>
      <c r="V446" s="1484"/>
      <c r="W446" s="1484"/>
      <c r="X446" s="1484"/>
      <c r="Y446" s="1385">
        <v>43818</v>
      </c>
      <c r="Z446" s="545" t="s">
        <v>6197</v>
      </c>
      <c r="AA446" s="540"/>
      <c r="AB446" s="540"/>
      <c r="AC446" s="540"/>
      <c r="AD446" s="540"/>
      <c r="AE446" s="540"/>
      <c r="AF446" s="374"/>
      <c r="AG446" s="374"/>
    </row>
    <row r="447" spans="3:33">
      <c r="C447" s="510">
        <v>43602</v>
      </c>
      <c r="D447" s="1382" t="s">
        <v>4628</v>
      </c>
      <c r="E447" s="506" t="s">
        <v>69</v>
      </c>
      <c r="F447" s="506" t="s">
        <v>70</v>
      </c>
      <c r="G447" s="507" t="s">
        <v>4578</v>
      </c>
      <c r="H447" s="506">
        <v>11</v>
      </c>
      <c r="I447" s="548" t="s">
        <v>4589</v>
      </c>
      <c r="J447" s="506"/>
      <c r="K447" s="506" t="s">
        <v>42</v>
      </c>
      <c r="L447" s="506"/>
      <c r="M447" s="511">
        <v>442440</v>
      </c>
      <c r="N447" s="506" t="s">
        <v>251</v>
      </c>
      <c r="O447" s="510">
        <v>43630</v>
      </c>
      <c r="P447" s="470">
        <v>43697</v>
      </c>
      <c r="Q447" s="506"/>
      <c r="R447" s="514" t="s">
        <v>3477</v>
      </c>
      <c r="S447" s="548"/>
      <c r="T447" s="511"/>
      <c r="U447" s="511"/>
      <c r="V447" s="1470"/>
      <c r="W447" s="1470"/>
      <c r="X447" s="1470"/>
      <c r="Y447" s="511"/>
      <c r="Z447" s="511"/>
      <c r="AA447" s="506"/>
      <c r="AB447" s="510">
        <v>43838</v>
      </c>
      <c r="AC447" s="506" t="s">
        <v>6127</v>
      </c>
      <c r="AD447" s="506"/>
      <c r="AE447" s="506"/>
      <c r="AF447" s="374"/>
      <c r="AG447" s="374"/>
    </row>
    <row r="448" spans="3:33">
      <c r="C448" s="510">
        <v>43602</v>
      </c>
      <c r="D448" s="1382" t="s">
        <v>4628</v>
      </c>
      <c r="E448" s="506" t="s">
        <v>69</v>
      </c>
      <c r="F448" s="506" t="s">
        <v>70</v>
      </c>
      <c r="G448" s="507" t="s">
        <v>4578</v>
      </c>
      <c r="H448" s="506">
        <v>12</v>
      </c>
      <c r="I448" s="548" t="s">
        <v>4590</v>
      </c>
      <c r="J448" s="506"/>
      <c r="K448" s="506" t="s">
        <v>42</v>
      </c>
      <c r="L448" s="506"/>
      <c r="M448" s="511">
        <v>1087139</v>
      </c>
      <c r="N448" s="506" t="s">
        <v>251</v>
      </c>
      <c r="O448" s="510">
        <v>43630</v>
      </c>
      <c r="P448" s="470">
        <v>43697</v>
      </c>
      <c r="Q448" s="506"/>
      <c r="R448" s="514" t="s">
        <v>5548</v>
      </c>
      <c r="S448" s="736" t="s">
        <v>5512</v>
      </c>
      <c r="T448" s="511"/>
      <c r="U448" s="511"/>
      <c r="V448" s="1470"/>
      <c r="W448" s="1470"/>
      <c r="X448" s="1470"/>
      <c r="Y448" s="511"/>
      <c r="Z448" s="511"/>
      <c r="AA448" s="506"/>
      <c r="AB448" s="510">
        <v>43727</v>
      </c>
      <c r="AC448" s="506" t="s">
        <v>5355</v>
      </c>
      <c r="AD448" s="506"/>
      <c r="AE448" s="506"/>
    </row>
    <row r="449" spans="3:33">
      <c r="C449" s="510">
        <v>43602</v>
      </c>
      <c r="D449" s="1382" t="s">
        <v>4628</v>
      </c>
      <c r="E449" s="506" t="s">
        <v>69</v>
      </c>
      <c r="F449" s="506" t="s">
        <v>70</v>
      </c>
      <c r="G449" s="507" t="s">
        <v>4578</v>
      </c>
      <c r="H449" s="506">
        <v>13</v>
      </c>
      <c r="I449" s="548" t="s">
        <v>4591</v>
      </c>
      <c r="J449" s="506"/>
      <c r="K449" s="506" t="s">
        <v>42</v>
      </c>
      <c r="L449" s="506"/>
      <c r="M449" s="511">
        <v>40650</v>
      </c>
      <c r="N449" s="506" t="s">
        <v>251</v>
      </c>
      <c r="O449" s="510">
        <v>43630</v>
      </c>
      <c r="P449" s="470">
        <v>43697</v>
      </c>
      <c r="Q449" s="506"/>
      <c r="R449" s="514" t="s">
        <v>5548</v>
      </c>
      <c r="S449" s="736" t="s">
        <v>5512</v>
      </c>
      <c r="T449" s="511"/>
      <c r="U449" s="511"/>
      <c r="V449" s="1470"/>
      <c r="W449" s="1470"/>
      <c r="X449" s="1470"/>
      <c r="Y449" s="511"/>
      <c r="Z449" s="511"/>
      <c r="AA449" s="506"/>
      <c r="AB449" s="510">
        <v>43727</v>
      </c>
      <c r="AC449" s="506" t="s">
        <v>5355</v>
      </c>
      <c r="AD449" s="506"/>
      <c r="AE449" s="506"/>
    </row>
    <row r="450" spans="3:33">
      <c r="C450" s="544">
        <v>43602</v>
      </c>
      <c r="D450" s="1357" t="s">
        <v>4628</v>
      </c>
      <c r="E450" s="540" t="s">
        <v>69</v>
      </c>
      <c r="F450" s="540" t="s">
        <v>70</v>
      </c>
      <c r="G450" s="541" t="s">
        <v>4578</v>
      </c>
      <c r="H450" s="540">
        <v>14</v>
      </c>
      <c r="I450" s="1402" t="s">
        <v>4592</v>
      </c>
      <c r="J450" s="590"/>
      <c r="K450" s="540" t="s">
        <v>42</v>
      </c>
      <c r="L450" s="540"/>
      <c r="M450" s="545">
        <v>253762</v>
      </c>
      <c r="N450" s="540" t="s">
        <v>251</v>
      </c>
      <c r="O450" s="544">
        <v>43630</v>
      </c>
      <c r="P450" s="840">
        <v>43697</v>
      </c>
      <c r="Q450" s="544">
        <v>43816</v>
      </c>
      <c r="R450" s="540" t="s">
        <v>6117</v>
      </c>
      <c r="S450" s="1402"/>
      <c r="T450" s="545">
        <v>242505.8</v>
      </c>
      <c r="U450" s="545">
        <v>293432.02</v>
      </c>
      <c r="V450" s="1484"/>
      <c r="W450" s="1484"/>
      <c r="X450" s="1484"/>
      <c r="Y450" s="1385">
        <v>43818</v>
      </c>
      <c r="Z450" s="545" t="s">
        <v>6198</v>
      </c>
      <c r="AA450" s="540"/>
      <c r="AB450" s="540"/>
      <c r="AC450" s="540"/>
      <c r="AD450" s="540"/>
      <c r="AE450" s="540"/>
      <c r="AF450" s="374"/>
      <c r="AG450" s="374"/>
    </row>
    <row r="451" spans="3:33">
      <c r="C451" s="544">
        <v>43602</v>
      </c>
      <c r="D451" s="1357" t="s">
        <v>4628</v>
      </c>
      <c r="E451" s="540" t="s">
        <v>69</v>
      </c>
      <c r="F451" s="540" t="s">
        <v>70</v>
      </c>
      <c r="G451" s="541" t="s">
        <v>4578</v>
      </c>
      <c r="H451" s="540">
        <v>15</v>
      </c>
      <c r="I451" s="1402" t="s">
        <v>4593</v>
      </c>
      <c r="J451" s="590"/>
      <c r="K451" s="540" t="s">
        <v>42</v>
      </c>
      <c r="L451" s="540"/>
      <c r="M451" s="545">
        <v>1070340</v>
      </c>
      <c r="N451" s="540" t="s">
        <v>251</v>
      </c>
      <c r="O451" s="544">
        <v>43630</v>
      </c>
      <c r="P451" s="840">
        <v>43697</v>
      </c>
      <c r="Q451" s="544">
        <v>43816</v>
      </c>
      <c r="R451" s="540" t="s">
        <v>3107</v>
      </c>
      <c r="S451" s="1402"/>
      <c r="T451" s="545">
        <v>1023157.5</v>
      </c>
      <c r="U451" s="545">
        <v>1238020.58</v>
      </c>
      <c r="V451" s="1484"/>
      <c r="W451" s="1484"/>
      <c r="X451" s="1484"/>
      <c r="Y451" s="1385">
        <v>43818</v>
      </c>
      <c r="Z451" s="545" t="s">
        <v>6199</v>
      </c>
      <c r="AA451" s="540"/>
      <c r="AB451" s="540"/>
      <c r="AC451" s="540"/>
      <c r="AD451" s="540"/>
      <c r="AE451" s="540"/>
      <c r="AF451" s="374"/>
      <c r="AG451" s="374"/>
    </row>
    <row r="452" spans="3:33">
      <c r="C452" s="510">
        <v>43602</v>
      </c>
      <c r="D452" s="1382" t="s">
        <v>4628</v>
      </c>
      <c r="E452" s="506" t="s">
        <v>69</v>
      </c>
      <c r="F452" s="506" t="s">
        <v>70</v>
      </c>
      <c r="G452" s="507" t="s">
        <v>4578</v>
      </c>
      <c r="H452" s="506">
        <v>16</v>
      </c>
      <c r="I452" s="548" t="s">
        <v>4594</v>
      </c>
      <c r="J452" s="506"/>
      <c r="K452" s="506" t="s">
        <v>42</v>
      </c>
      <c r="L452" s="506"/>
      <c r="M452" s="511">
        <v>619860</v>
      </c>
      <c r="N452" s="506" t="s">
        <v>251</v>
      </c>
      <c r="O452" s="510">
        <v>43630</v>
      </c>
      <c r="P452" s="470">
        <v>43697</v>
      </c>
      <c r="Q452" s="506"/>
      <c r="R452" s="514" t="s">
        <v>5548</v>
      </c>
      <c r="S452" s="736" t="s">
        <v>5513</v>
      </c>
      <c r="T452" s="511"/>
      <c r="U452" s="511"/>
      <c r="V452" s="1470"/>
      <c r="W452" s="1470"/>
      <c r="X452" s="1470"/>
      <c r="Y452" s="511"/>
      <c r="Z452" s="511"/>
      <c r="AA452" s="506"/>
      <c r="AB452" s="510">
        <v>43727</v>
      </c>
      <c r="AC452" s="506" t="s">
        <v>5355</v>
      </c>
      <c r="AD452" s="506"/>
      <c r="AE452" s="506"/>
    </row>
    <row r="453" spans="3:33">
      <c r="C453" s="510">
        <v>43602</v>
      </c>
      <c r="D453" s="1382" t="s">
        <v>4628</v>
      </c>
      <c r="E453" s="506" t="s">
        <v>69</v>
      </c>
      <c r="F453" s="506" t="s">
        <v>70</v>
      </c>
      <c r="G453" s="507" t="s">
        <v>4578</v>
      </c>
      <c r="H453" s="506">
        <v>17</v>
      </c>
      <c r="I453" s="548" t="s">
        <v>4595</v>
      </c>
      <c r="J453" s="506"/>
      <c r="K453" s="506" t="s">
        <v>42</v>
      </c>
      <c r="L453" s="506"/>
      <c r="M453" s="511">
        <v>147629</v>
      </c>
      <c r="N453" s="506" t="s">
        <v>251</v>
      </c>
      <c r="O453" s="510">
        <v>43630</v>
      </c>
      <c r="P453" s="470">
        <v>43697</v>
      </c>
      <c r="Q453" s="506"/>
      <c r="R453" s="514" t="s">
        <v>3477</v>
      </c>
      <c r="S453" s="548"/>
      <c r="T453" s="511"/>
      <c r="U453" s="511"/>
      <c r="V453" s="1470"/>
      <c r="W453" s="1470"/>
      <c r="X453" s="1470"/>
      <c r="Y453" s="511"/>
      <c r="Z453" s="511"/>
      <c r="AA453" s="506"/>
      <c r="AB453" s="510">
        <v>43838</v>
      </c>
      <c r="AC453" s="506" t="s">
        <v>6127</v>
      </c>
      <c r="AD453" s="506"/>
      <c r="AE453" s="506"/>
      <c r="AF453" s="374"/>
      <c r="AG453" s="374"/>
    </row>
    <row r="454" spans="3:33" ht="15.75" thickBot="1">
      <c r="C454" s="643">
        <v>43602</v>
      </c>
      <c r="D454" s="1491" t="s">
        <v>4628</v>
      </c>
      <c r="E454" s="639" t="s">
        <v>69</v>
      </c>
      <c r="F454" s="639" t="s">
        <v>70</v>
      </c>
      <c r="G454" s="640" t="s">
        <v>4578</v>
      </c>
      <c r="H454" s="639">
        <v>18</v>
      </c>
      <c r="I454" s="1533" t="s">
        <v>4596</v>
      </c>
      <c r="J454" s="1437"/>
      <c r="K454" s="639" t="s">
        <v>42</v>
      </c>
      <c r="L454" s="639"/>
      <c r="M454" s="645">
        <v>181921</v>
      </c>
      <c r="N454" s="639" t="s">
        <v>251</v>
      </c>
      <c r="O454" s="643">
        <v>43630</v>
      </c>
      <c r="P454" s="470">
        <v>43697</v>
      </c>
      <c r="Q454" s="639"/>
      <c r="R454" s="831" t="s">
        <v>5549</v>
      </c>
      <c r="S454" s="644" t="s">
        <v>5495</v>
      </c>
      <c r="T454" s="645"/>
      <c r="U454" s="645"/>
      <c r="V454" s="1490"/>
      <c r="W454" s="1490"/>
      <c r="X454" s="1490"/>
      <c r="Y454" s="645"/>
      <c r="Z454" s="645"/>
      <c r="AA454" s="639"/>
      <c r="AB454" s="643">
        <v>43727</v>
      </c>
      <c r="AC454" s="639" t="s">
        <v>5355</v>
      </c>
      <c r="AD454" s="639"/>
      <c r="AE454" s="639"/>
    </row>
    <row r="455" spans="3:33" ht="15.75" thickTop="1">
      <c r="C455" s="474">
        <v>43602</v>
      </c>
      <c r="D455" s="453" t="s">
        <v>4629</v>
      </c>
      <c r="E455" s="453" t="s">
        <v>69</v>
      </c>
      <c r="F455" s="453" t="s">
        <v>70</v>
      </c>
      <c r="G455" s="473" t="s">
        <v>4597</v>
      </c>
      <c r="H455" s="453">
        <v>1</v>
      </c>
      <c r="I455" s="1420" t="s">
        <v>4598</v>
      </c>
      <c r="J455" s="453"/>
      <c r="K455" s="453" t="s">
        <v>42</v>
      </c>
      <c r="L455" s="453"/>
      <c r="M455" s="457">
        <v>1311117</v>
      </c>
      <c r="N455" s="453" t="s">
        <v>251</v>
      </c>
      <c r="O455" s="474">
        <v>43630</v>
      </c>
      <c r="P455" s="474">
        <v>43698</v>
      </c>
      <c r="Q455" s="474">
        <v>43718</v>
      </c>
      <c r="R455" s="453" t="s">
        <v>5597</v>
      </c>
      <c r="S455" s="1420"/>
      <c r="T455" s="457">
        <v>1311111</v>
      </c>
      <c r="U455" s="457">
        <f>T455*1.21</f>
        <v>1586444.31</v>
      </c>
      <c r="V455" s="1474"/>
      <c r="W455" s="1474"/>
      <c r="X455" s="1474"/>
      <c r="Y455" s="570">
        <v>43718</v>
      </c>
      <c r="Z455" s="457" t="s">
        <v>5594</v>
      </c>
      <c r="AA455" s="474">
        <v>43746</v>
      </c>
      <c r="AB455" s="474">
        <v>43749</v>
      </c>
      <c r="AC455" s="474">
        <v>44111</v>
      </c>
      <c r="AD455" s="474">
        <v>43929</v>
      </c>
      <c r="AE455" s="474">
        <v>44279</v>
      </c>
      <c r="AF455" s="374"/>
      <c r="AG455" s="374"/>
    </row>
    <row r="456" spans="3:33">
      <c r="C456" s="537">
        <v>43602</v>
      </c>
      <c r="D456" s="491" t="s">
        <v>4629</v>
      </c>
      <c r="E456" s="491" t="s">
        <v>69</v>
      </c>
      <c r="F456" s="491" t="s">
        <v>70</v>
      </c>
      <c r="G456" s="571" t="s">
        <v>4597</v>
      </c>
      <c r="H456" s="491">
        <v>2</v>
      </c>
      <c r="I456" s="495" t="s">
        <v>4599</v>
      </c>
      <c r="J456" s="491"/>
      <c r="K456" s="491" t="s">
        <v>42</v>
      </c>
      <c r="L456" s="491"/>
      <c r="M456" s="536">
        <v>23904</v>
      </c>
      <c r="N456" s="491" t="s">
        <v>251</v>
      </c>
      <c r="O456" s="537">
        <v>43630</v>
      </c>
      <c r="P456" s="537">
        <v>43698</v>
      </c>
      <c r="Q456" s="537">
        <v>43718</v>
      </c>
      <c r="R456" s="491" t="s">
        <v>2066</v>
      </c>
      <c r="S456" s="495"/>
      <c r="T456" s="536">
        <v>23901</v>
      </c>
      <c r="U456" s="536">
        <f>T456*1.21</f>
        <v>28920.21</v>
      </c>
      <c r="V456" s="1471"/>
      <c r="W456" s="1471"/>
      <c r="X456" s="1471"/>
      <c r="Y456" s="573">
        <v>43718</v>
      </c>
      <c r="Z456" s="536" t="s">
        <v>5595</v>
      </c>
      <c r="AA456" s="537">
        <v>43746</v>
      </c>
      <c r="AB456" s="537">
        <v>43749</v>
      </c>
      <c r="AC456" s="537">
        <v>44111</v>
      </c>
      <c r="AD456" s="537">
        <v>43929</v>
      </c>
      <c r="AE456" s="537">
        <v>44279</v>
      </c>
      <c r="AF456" s="374"/>
      <c r="AG456" s="374"/>
    </row>
    <row r="457" spans="3:33" ht="15.75" thickBot="1">
      <c r="C457" s="1380">
        <v>43602</v>
      </c>
      <c r="D457" s="1376" t="s">
        <v>4629</v>
      </c>
      <c r="E457" s="1376" t="s">
        <v>69</v>
      </c>
      <c r="F457" s="1376" t="s">
        <v>70</v>
      </c>
      <c r="G457" s="1378" t="s">
        <v>4597</v>
      </c>
      <c r="H457" s="1376">
        <v>3</v>
      </c>
      <c r="I457" s="1421" t="s">
        <v>4600</v>
      </c>
      <c r="J457" s="1376"/>
      <c r="K457" s="1376" t="s">
        <v>42</v>
      </c>
      <c r="L457" s="1376"/>
      <c r="M457" s="1379">
        <v>7518968</v>
      </c>
      <c r="N457" s="1376" t="s">
        <v>251</v>
      </c>
      <c r="O457" s="1380">
        <v>43630</v>
      </c>
      <c r="P457" s="1380">
        <v>43698</v>
      </c>
      <c r="Q457" s="1380">
        <v>43718</v>
      </c>
      <c r="R457" s="1376" t="s">
        <v>5597</v>
      </c>
      <c r="S457" s="1421"/>
      <c r="T457" s="1379">
        <v>7513930</v>
      </c>
      <c r="U457" s="1379">
        <f>T457*1.21</f>
        <v>9091855.2999999989</v>
      </c>
      <c r="V457" s="1475"/>
      <c r="W457" s="1475"/>
      <c r="X457" s="1475"/>
      <c r="Y457" s="1388">
        <v>43718</v>
      </c>
      <c r="Z457" s="1379" t="s">
        <v>5596</v>
      </c>
      <c r="AA457" s="1380">
        <v>43746</v>
      </c>
      <c r="AB457" s="1380">
        <v>43749</v>
      </c>
      <c r="AC457" s="1380">
        <v>44111</v>
      </c>
      <c r="AD457" s="1380">
        <v>43929</v>
      </c>
      <c r="AE457" s="1380">
        <v>44279</v>
      </c>
      <c r="AF457" s="374"/>
      <c r="AG457" s="374"/>
    </row>
    <row r="458" spans="3:33" ht="15.75" thickTop="1">
      <c r="C458" s="365">
        <v>43602</v>
      </c>
      <c r="D458" s="1397" t="s">
        <v>4630</v>
      </c>
      <c r="E458" s="1807" t="s">
        <v>69</v>
      </c>
      <c r="F458" s="1807" t="s">
        <v>70</v>
      </c>
      <c r="G458" s="175" t="s">
        <v>4601</v>
      </c>
      <c r="H458" s="1807">
        <v>1</v>
      </c>
      <c r="I458" s="1808" t="s">
        <v>4602</v>
      </c>
      <c r="J458" s="1807"/>
      <c r="K458" s="1807" t="s">
        <v>42</v>
      </c>
      <c r="L458" s="1807"/>
      <c r="M458" s="364">
        <v>7792</v>
      </c>
      <c r="N458" s="1807" t="s">
        <v>251</v>
      </c>
      <c r="O458" s="365">
        <v>43633</v>
      </c>
      <c r="P458" s="365">
        <v>43731</v>
      </c>
      <c r="Q458" s="365">
        <v>43742</v>
      </c>
      <c r="R458" s="1807" t="s">
        <v>2066</v>
      </c>
      <c r="S458" s="1808"/>
      <c r="T458" s="364">
        <v>7218</v>
      </c>
      <c r="U458" s="364">
        <v>8733.7800000000007</v>
      </c>
      <c r="V458" s="1473"/>
      <c r="W458" s="1473"/>
      <c r="X458" s="1473"/>
      <c r="Y458" s="681">
        <v>43745</v>
      </c>
      <c r="Z458" s="364" t="s">
        <v>5799</v>
      </c>
      <c r="AA458" s="365">
        <v>43787</v>
      </c>
      <c r="AB458" s="365">
        <v>43797</v>
      </c>
      <c r="AC458" s="365">
        <v>44152</v>
      </c>
      <c r="AD458" s="365">
        <v>43929</v>
      </c>
      <c r="AE458" s="365">
        <v>44279</v>
      </c>
      <c r="AF458" s="374"/>
      <c r="AG458" s="374"/>
    </row>
    <row r="459" spans="3:33">
      <c r="C459" s="537">
        <v>43602</v>
      </c>
      <c r="D459" s="1373" t="s">
        <v>4630</v>
      </c>
      <c r="E459" s="491" t="s">
        <v>69</v>
      </c>
      <c r="F459" s="491" t="s">
        <v>70</v>
      </c>
      <c r="G459" s="571" t="s">
        <v>4601</v>
      </c>
      <c r="H459" s="491">
        <v>2</v>
      </c>
      <c r="I459" s="495" t="s">
        <v>4603</v>
      </c>
      <c r="J459" s="491"/>
      <c r="K459" s="491" t="s">
        <v>42</v>
      </c>
      <c r="L459" s="491"/>
      <c r="M459" s="536">
        <v>6443288</v>
      </c>
      <c r="N459" s="491" t="s">
        <v>251</v>
      </c>
      <c r="O459" s="537">
        <v>43633</v>
      </c>
      <c r="P459" s="537">
        <v>43731</v>
      </c>
      <c r="Q459" s="537">
        <v>43742</v>
      </c>
      <c r="R459" s="491" t="s">
        <v>1319</v>
      </c>
      <c r="S459" s="495"/>
      <c r="T459" s="536">
        <v>6443280.1600000001</v>
      </c>
      <c r="U459" s="536">
        <v>7796368.9900000002</v>
      </c>
      <c r="V459" s="1471"/>
      <c r="W459" s="1471"/>
      <c r="X459" s="1471"/>
      <c r="Y459" s="573">
        <v>43745</v>
      </c>
      <c r="Z459" s="536" t="s">
        <v>5800</v>
      </c>
      <c r="AA459" s="537">
        <v>43787</v>
      </c>
      <c r="AB459" s="537">
        <v>43797</v>
      </c>
      <c r="AC459" s="537">
        <v>44152</v>
      </c>
      <c r="AD459" s="537">
        <v>43929</v>
      </c>
      <c r="AE459" s="537">
        <v>44279</v>
      </c>
      <c r="AF459" s="374"/>
      <c r="AG459" s="374"/>
    </row>
    <row r="460" spans="3:33">
      <c r="C460" s="537">
        <v>43602</v>
      </c>
      <c r="D460" s="1373" t="s">
        <v>4630</v>
      </c>
      <c r="E460" s="491" t="s">
        <v>69</v>
      </c>
      <c r="F460" s="491" t="s">
        <v>70</v>
      </c>
      <c r="G460" s="571" t="s">
        <v>4601</v>
      </c>
      <c r="H460" s="491">
        <v>3</v>
      </c>
      <c r="I460" s="495" t="s">
        <v>4604</v>
      </c>
      <c r="J460" s="491"/>
      <c r="K460" s="491" t="s">
        <v>42</v>
      </c>
      <c r="L460" s="491"/>
      <c r="M460" s="536">
        <v>951584</v>
      </c>
      <c r="N460" s="491" t="s">
        <v>251</v>
      </c>
      <c r="O460" s="537">
        <v>43633</v>
      </c>
      <c r="P460" s="537">
        <v>43731</v>
      </c>
      <c r="Q460" s="537">
        <v>43742</v>
      </c>
      <c r="R460" s="491" t="s">
        <v>3107</v>
      </c>
      <c r="S460" s="495"/>
      <c r="T460" s="536">
        <v>941643</v>
      </c>
      <c r="U460" s="536">
        <v>1139388.03</v>
      </c>
      <c r="V460" s="1471"/>
      <c r="W460" s="1471"/>
      <c r="X460" s="1471"/>
      <c r="Y460" s="573">
        <v>43745</v>
      </c>
      <c r="Z460" s="536" t="s">
        <v>5801</v>
      </c>
      <c r="AA460" s="537">
        <v>43787</v>
      </c>
      <c r="AB460" s="537">
        <v>43797</v>
      </c>
      <c r="AC460" s="537">
        <v>44152</v>
      </c>
      <c r="AD460" s="537">
        <v>43929</v>
      </c>
      <c r="AE460" s="537">
        <v>44279</v>
      </c>
      <c r="AF460" s="374"/>
      <c r="AG460" s="374"/>
    </row>
    <row r="461" spans="3:33">
      <c r="C461" s="537">
        <v>43602</v>
      </c>
      <c r="D461" s="1373" t="s">
        <v>4630</v>
      </c>
      <c r="E461" s="491" t="s">
        <v>69</v>
      </c>
      <c r="F461" s="491" t="s">
        <v>70</v>
      </c>
      <c r="G461" s="571" t="s">
        <v>4601</v>
      </c>
      <c r="H461" s="491">
        <v>4</v>
      </c>
      <c r="I461" s="495" t="s">
        <v>4605</v>
      </c>
      <c r="J461" s="491"/>
      <c r="K461" s="491" t="s">
        <v>42</v>
      </c>
      <c r="L461" s="491"/>
      <c r="M461" s="536">
        <v>2700</v>
      </c>
      <c r="N461" s="491" t="s">
        <v>251</v>
      </c>
      <c r="O461" s="537">
        <v>43633</v>
      </c>
      <c r="P461" s="537">
        <v>43731</v>
      </c>
      <c r="Q461" s="537">
        <v>43742</v>
      </c>
      <c r="R461" s="491" t="s">
        <v>5639</v>
      </c>
      <c r="S461" s="495"/>
      <c r="T461" s="536">
        <v>2580</v>
      </c>
      <c r="U461" s="536">
        <v>3121.8</v>
      </c>
      <c r="V461" s="1471"/>
      <c r="W461" s="1471"/>
      <c r="X461" s="1471"/>
      <c r="Y461" s="573">
        <v>43745</v>
      </c>
      <c r="Z461" s="536" t="s">
        <v>5802</v>
      </c>
      <c r="AA461" s="537">
        <v>43787</v>
      </c>
      <c r="AB461" s="537">
        <v>43797</v>
      </c>
      <c r="AC461" s="537">
        <v>44152</v>
      </c>
      <c r="AD461" s="537">
        <v>43929</v>
      </c>
      <c r="AE461" s="537">
        <v>44279</v>
      </c>
      <c r="AF461" s="374"/>
      <c r="AG461" s="374"/>
    </row>
    <row r="462" spans="3:33" ht="15.75" thickBot="1">
      <c r="C462" s="643">
        <v>43602</v>
      </c>
      <c r="D462" s="1491" t="s">
        <v>4630</v>
      </c>
      <c r="E462" s="639" t="s">
        <v>69</v>
      </c>
      <c r="F462" s="639" t="s">
        <v>70</v>
      </c>
      <c r="G462" s="640" t="s">
        <v>4601</v>
      </c>
      <c r="H462" s="639">
        <v>5</v>
      </c>
      <c r="I462" s="1533" t="s">
        <v>4606</v>
      </c>
      <c r="J462" s="639"/>
      <c r="K462" s="639" t="s">
        <v>42</v>
      </c>
      <c r="L462" s="639"/>
      <c r="M462" s="645">
        <v>1669006</v>
      </c>
      <c r="N462" s="639" t="s">
        <v>251</v>
      </c>
      <c r="O462" s="643">
        <v>43633</v>
      </c>
      <c r="P462" s="643">
        <v>43731</v>
      </c>
      <c r="Q462" s="639"/>
      <c r="R462" s="831" t="s">
        <v>5754</v>
      </c>
      <c r="S462" s="644" t="s">
        <v>5755</v>
      </c>
      <c r="T462" s="645"/>
      <c r="U462" s="645"/>
      <c r="V462" s="1534"/>
      <c r="W462" s="1534"/>
      <c r="X462" s="1534"/>
      <c r="Y462" s="645"/>
      <c r="Z462" s="645"/>
      <c r="AA462" s="639"/>
      <c r="AB462" s="643">
        <v>43753</v>
      </c>
      <c r="AC462" s="639" t="s">
        <v>5702</v>
      </c>
      <c r="AD462" s="639"/>
      <c r="AE462" s="639"/>
      <c r="AF462" s="374"/>
      <c r="AG462" s="374"/>
    </row>
    <row r="463" spans="3:33" ht="15.75" thickTop="1">
      <c r="C463" s="474">
        <v>43602</v>
      </c>
      <c r="D463" s="453" t="s">
        <v>4631</v>
      </c>
      <c r="E463" s="453" t="s">
        <v>69</v>
      </c>
      <c r="F463" s="453" t="s">
        <v>70</v>
      </c>
      <c r="G463" s="473" t="s">
        <v>4611</v>
      </c>
      <c r="H463" s="453">
        <v>1</v>
      </c>
      <c r="I463" s="1420" t="s">
        <v>4607</v>
      </c>
      <c r="J463" s="453"/>
      <c r="K463" s="453" t="s">
        <v>42</v>
      </c>
      <c r="L463" s="453"/>
      <c r="M463" s="457">
        <v>245494</v>
      </c>
      <c r="N463" s="453" t="s">
        <v>251</v>
      </c>
      <c r="O463" s="474">
        <v>43633</v>
      </c>
      <c r="P463" s="474">
        <v>43697</v>
      </c>
      <c r="Q463" s="474">
        <v>43733</v>
      </c>
      <c r="R463" s="453" t="s">
        <v>2066</v>
      </c>
      <c r="S463" s="1420"/>
      <c r="T463" s="457">
        <v>245492.5</v>
      </c>
      <c r="U463" s="457">
        <v>297045.93</v>
      </c>
      <c r="V463" s="1474"/>
      <c r="W463" s="1474"/>
      <c r="X463" s="1474"/>
      <c r="Y463" s="570">
        <v>43734</v>
      </c>
      <c r="Z463" s="457" t="s">
        <v>5722</v>
      </c>
      <c r="AA463" s="474">
        <v>43782</v>
      </c>
      <c r="AB463" s="474">
        <v>43788</v>
      </c>
      <c r="AC463" s="474">
        <v>44147</v>
      </c>
      <c r="AD463" s="474">
        <v>43929</v>
      </c>
      <c r="AE463" s="474">
        <v>44279</v>
      </c>
      <c r="AF463" s="374"/>
      <c r="AG463" s="374"/>
    </row>
    <row r="464" spans="3:33">
      <c r="C464" s="510">
        <v>43602</v>
      </c>
      <c r="D464" s="506" t="s">
        <v>4631</v>
      </c>
      <c r="E464" s="506" t="s">
        <v>69</v>
      </c>
      <c r="F464" s="506" t="s">
        <v>70</v>
      </c>
      <c r="G464" s="507" t="s">
        <v>4611</v>
      </c>
      <c r="H464" s="506">
        <v>2</v>
      </c>
      <c r="I464" s="548" t="s">
        <v>4608</v>
      </c>
      <c r="J464" s="590"/>
      <c r="K464" s="506" t="s">
        <v>42</v>
      </c>
      <c r="L464" s="506"/>
      <c r="M464" s="511">
        <v>89100</v>
      </c>
      <c r="N464" s="506" t="s">
        <v>251</v>
      </c>
      <c r="O464" s="510">
        <v>43633</v>
      </c>
      <c r="P464" s="510">
        <v>43697</v>
      </c>
      <c r="Q464" s="506"/>
      <c r="R464" s="514" t="s">
        <v>5550</v>
      </c>
      <c r="S464" s="736" t="s">
        <v>5495</v>
      </c>
      <c r="T464" s="511"/>
      <c r="U464" s="511"/>
      <c r="V464" s="1484"/>
      <c r="W464" s="1484"/>
      <c r="X464" s="1484"/>
      <c r="Y464" s="511"/>
      <c r="Z464" s="511"/>
      <c r="AA464" s="506"/>
      <c r="AB464" s="510">
        <v>43725</v>
      </c>
      <c r="AC464" s="506" t="s">
        <v>5334</v>
      </c>
      <c r="AD464" s="506"/>
      <c r="AE464" s="506"/>
    </row>
    <row r="465" spans="3:33">
      <c r="C465" s="537">
        <v>43602</v>
      </c>
      <c r="D465" s="491" t="s">
        <v>4631</v>
      </c>
      <c r="E465" s="491" t="s">
        <v>69</v>
      </c>
      <c r="F465" s="491" t="s">
        <v>70</v>
      </c>
      <c r="G465" s="571" t="s">
        <v>4611</v>
      </c>
      <c r="H465" s="491">
        <v>3</v>
      </c>
      <c r="I465" s="495" t="s">
        <v>4609</v>
      </c>
      <c r="J465" s="491"/>
      <c r="K465" s="491" t="s">
        <v>42</v>
      </c>
      <c r="L465" s="491"/>
      <c r="M465" s="536">
        <v>372709</v>
      </c>
      <c r="N465" s="491" t="s">
        <v>251</v>
      </c>
      <c r="O465" s="537">
        <v>43633</v>
      </c>
      <c r="P465" s="537">
        <v>43697</v>
      </c>
      <c r="Q465" s="537">
        <v>43733</v>
      </c>
      <c r="R465" s="491" t="s">
        <v>5639</v>
      </c>
      <c r="S465" s="495"/>
      <c r="T465" s="536">
        <v>372700</v>
      </c>
      <c r="U465" s="536">
        <v>450967</v>
      </c>
      <c r="V465" s="1471"/>
      <c r="W465" s="1471"/>
      <c r="X465" s="1471"/>
      <c r="Y465" s="573">
        <v>43734</v>
      </c>
      <c r="Z465" s="536" t="s">
        <v>5723</v>
      </c>
      <c r="AA465" s="537">
        <v>43782</v>
      </c>
      <c r="AB465" s="537">
        <v>43788</v>
      </c>
      <c r="AC465" s="537">
        <v>44147</v>
      </c>
      <c r="AD465" s="537">
        <v>43929</v>
      </c>
      <c r="AE465" s="537">
        <v>44279</v>
      </c>
      <c r="AF465" s="374"/>
      <c r="AG465" s="374"/>
    </row>
    <row r="466" spans="3:33" ht="15.75" thickBot="1">
      <c r="C466" s="1380">
        <v>43602</v>
      </c>
      <c r="D466" s="1376" t="s">
        <v>4631</v>
      </c>
      <c r="E466" s="1376" t="s">
        <v>69</v>
      </c>
      <c r="F466" s="1376" t="s">
        <v>70</v>
      </c>
      <c r="G466" s="1378" t="s">
        <v>4611</v>
      </c>
      <c r="H466" s="1376">
        <v>4</v>
      </c>
      <c r="I466" s="1421" t="s">
        <v>4610</v>
      </c>
      <c r="J466" s="1376"/>
      <c r="K466" s="1376" t="s">
        <v>42</v>
      </c>
      <c r="L466" s="1376"/>
      <c r="M466" s="1379">
        <v>9421101</v>
      </c>
      <c r="N466" s="1376" t="s">
        <v>251</v>
      </c>
      <c r="O466" s="1380">
        <v>43633</v>
      </c>
      <c r="P466" s="1380">
        <v>43697</v>
      </c>
      <c r="Q466" s="1380">
        <v>43733</v>
      </c>
      <c r="R466" s="1376" t="s">
        <v>1319</v>
      </c>
      <c r="S466" s="1421"/>
      <c r="T466" s="1379">
        <v>9421090.1199999992</v>
      </c>
      <c r="U466" s="1379">
        <v>11399519.050000001</v>
      </c>
      <c r="V466" s="1475"/>
      <c r="W466" s="1475"/>
      <c r="X466" s="1475"/>
      <c r="Y466" s="1388">
        <v>43734</v>
      </c>
      <c r="Z466" s="1379" t="s">
        <v>5724</v>
      </c>
      <c r="AA466" s="1380">
        <v>43782</v>
      </c>
      <c r="AB466" s="1380">
        <v>43788</v>
      </c>
      <c r="AC466" s="1380">
        <v>44147</v>
      </c>
      <c r="AD466" s="1380">
        <v>43929</v>
      </c>
      <c r="AE466" s="1380">
        <v>44279</v>
      </c>
      <c r="AF466" s="374"/>
      <c r="AG466" s="374"/>
    </row>
    <row r="467" spans="3:33" ht="16.5" thickTop="1" thickBot="1">
      <c r="C467" s="498">
        <v>43602</v>
      </c>
      <c r="D467" s="1544" t="s">
        <v>4632</v>
      </c>
      <c r="E467" s="232" t="s">
        <v>69</v>
      </c>
      <c r="F467" s="232" t="s">
        <v>70</v>
      </c>
      <c r="G467" s="274" t="s">
        <v>4612</v>
      </c>
      <c r="H467" s="232">
        <v>1</v>
      </c>
      <c r="I467" s="669" t="s">
        <v>4613</v>
      </c>
      <c r="J467" s="232"/>
      <c r="K467" s="232" t="s">
        <v>42</v>
      </c>
      <c r="L467" s="232"/>
      <c r="M467" s="499">
        <v>10400808</v>
      </c>
      <c r="N467" s="232" t="s">
        <v>251</v>
      </c>
      <c r="O467" s="498">
        <v>43630</v>
      </c>
      <c r="P467" s="498">
        <v>43717</v>
      </c>
      <c r="Q467" s="498">
        <v>43733</v>
      </c>
      <c r="R467" s="232" t="s">
        <v>1319</v>
      </c>
      <c r="S467" s="669"/>
      <c r="T467" s="499">
        <v>10400789.970000001</v>
      </c>
      <c r="U467" s="499">
        <v>12584955.859999999</v>
      </c>
      <c r="V467" s="1545"/>
      <c r="W467" s="1545"/>
      <c r="X467" s="1545"/>
      <c r="Y467" s="682">
        <v>43734</v>
      </c>
      <c r="Z467" s="499" t="s">
        <v>5725</v>
      </c>
      <c r="AA467" s="498">
        <v>43776</v>
      </c>
      <c r="AB467" s="498">
        <v>43781</v>
      </c>
      <c r="AC467" s="498">
        <v>44141</v>
      </c>
      <c r="AD467" s="498">
        <v>43929</v>
      </c>
      <c r="AE467" s="498">
        <v>44279</v>
      </c>
      <c r="AF467" s="374"/>
      <c r="AG467" s="374"/>
    </row>
    <row r="468" spans="3:33" ht="15.75" thickTop="1">
      <c r="C468" s="428">
        <v>43602</v>
      </c>
      <c r="D468" s="425" t="s">
        <v>4636</v>
      </c>
      <c r="E468" s="425" t="s">
        <v>69</v>
      </c>
      <c r="F468" s="425" t="s">
        <v>70</v>
      </c>
      <c r="G468" s="426" t="s">
        <v>4617</v>
      </c>
      <c r="H468" s="425">
        <v>1</v>
      </c>
      <c r="I468" s="1371" t="s">
        <v>4640</v>
      </c>
      <c r="J468" s="425"/>
      <c r="K468" s="425" t="s">
        <v>42</v>
      </c>
      <c r="L468" s="425"/>
      <c r="M468" s="429">
        <v>2903053</v>
      </c>
      <c r="N468" s="425" t="s">
        <v>251</v>
      </c>
      <c r="O468" s="428">
        <v>43620</v>
      </c>
      <c r="P468" s="428">
        <v>43689</v>
      </c>
      <c r="Q468" s="428">
        <v>43818</v>
      </c>
      <c r="R468" s="425" t="s">
        <v>5979</v>
      </c>
      <c r="S468" s="1371"/>
      <c r="T468" s="429">
        <v>2903040</v>
      </c>
      <c r="U468" s="429">
        <v>3512678.3999999999</v>
      </c>
      <c r="V468" s="1605"/>
      <c r="W468" s="1605"/>
      <c r="X468" s="1605"/>
      <c r="Y468" s="1384">
        <v>43819</v>
      </c>
      <c r="Z468" s="545" t="s">
        <v>6201</v>
      </c>
      <c r="AA468" s="425"/>
      <c r="AB468" s="425"/>
      <c r="AC468" s="425"/>
      <c r="AD468" s="425"/>
      <c r="AE468" s="425"/>
      <c r="AF468" s="374"/>
      <c r="AG468" s="374"/>
    </row>
    <row r="469" spans="3:33">
      <c r="C469" s="510">
        <v>43602</v>
      </c>
      <c r="D469" s="506" t="s">
        <v>4636</v>
      </c>
      <c r="E469" s="506" t="s">
        <v>69</v>
      </c>
      <c r="F469" s="506" t="s">
        <v>70</v>
      </c>
      <c r="G469" s="507" t="s">
        <v>4617</v>
      </c>
      <c r="H469" s="506">
        <v>2</v>
      </c>
      <c r="I469" s="548" t="s">
        <v>4641</v>
      </c>
      <c r="J469" s="506"/>
      <c r="K469" s="506" t="s">
        <v>42</v>
      </c>
      <c r="L469" s="506"/>
      <c r="M469" s="511">
        <v>1057073</v>
      </c>
      <c r="N469" s="506" t="s">
        <v>251</v>
      </c>
      <c r="O469" s="510">
        <v>43620</v>
      </c>
      <c r="P469" s="510">
        <v>43689</v>
      </c>
      <c r="Q469" s="506"/>
      <c r="R469" s="514" t="s">
        <v>5551</v>
      </c>
      <c r="S469" s="736" t="s">
        <v>5495</v>
      </c>
      <c r="T469" s="511"/>
      <c r="U469" s="511"/>
      <c r="V469" s="1472"/>
      <c r="W469" s="1472"/>
      <c r="X469" s="1472"/>
      <c r="Y469" s="511"/>
      <c r="Z469" s="511"/>
      <c r="AA469" s="506"/>
      <c r="AB469" s="510">
        <v>43727</v>
      </c>
      <c r="AC469" s="639" t="s">
        <v>5355</v>
      </c>
      <c r="AD469" s="506"/>
      <c r="AE469" s="506"/>
    </row>
    <row r="470" spans="3:33">
      <c r="C470" s="544">
        <v>43602</v>
      </c>
      <c r="D470" s="540" t="s">
        <v>4636</v>
      </c>
      <c r="E470" s="540" t="s">
        <v>69</v>
      </c>
      <c r="F470" s="540" t="s">
        <v>70</v>
      </c>
      <c r="G470" s="541" t="s">
        <v>4617</v>
      </c>
      <c r="H470" s="540">
        <v>3</v>
      </c>
      <c r="I470" s="1402" t="s">
        <v>4642</v>
      </c>
      <c r="J470" s="540"/>
      <c r="K470" s="540" t="s">
        <v>42</v>
      </c>
      <c r="L470" s="540"/>
      <c r="M470" s="545">
        <v>285400</v>
      </c>
      <c r="N470" s="540" t="s">
        <v>251</v>
      </c>
      <c r="O470" s="544">
        <v>43620</v>
      </c>
      <c r="P470" s="544">
        <v>43689</v>
      </c>
      <c r="Q470" s="544">
        <v>43818</v>
      </c>
      <c r="R470" s="540" t="s">
        <v>1319</v>
      </c>
      <c r="S470" s="1402"/>
      <c r="T470" s="545">
        <v>285400</v>
      </c>
      <c r="U470" s="545">
        <v>345334</v>
      </c>
      <c r="V470" s="1472"/>
      <c r="W470" s="1472"/>
      <c r="X470" s="1472"/>
      <c r="Y470" s="1385">
        <v>43819</v>
      </c>
      <c r="Z470" s="545" t="s">
        <v>6202</v>
      </c>
      <c r="AA470" s="540"/>
      <c r="AB470" s="540"/>
      <c r="AC470" s="540"/>
      <c r="AD470" s="540"/>
      <c r="AE470" s="540"/>
      <c r="AF470" s="374"/>
      <c r="AG470" s="374"/>
    </row>
    <row r="471" spans="3:33">
      <c r="C471" s="510">
        <v>43602</v>
      </c>
      <c r="D471" s="506" t="s">
        <v>4636</v>
      </c>
      <c r="E471" s="506" t="s">
        <v>69</v>
      </c>
      <c r="F471" s="506" t="s">
        <v>70</v>
      </c>
      <c r="G471" s="507" t="s">
        <v>4617</v>
      </c>
      <c r="H471" s="506">
        <v>4</v>
      </c>
      <c r="I471" s="548" t="s">
        <v>4643</v>
      </c>
      <c r="J471" s="506"/>
      <c r="K471" s="506" t="s">
        <v>42</v>
      </c>
      <c r="L471" s="506"/>
      <c r="M471" s="511">
        <v>909294</v>
      </c>
      <c r="N471" s="506" t="s">
        <v>251</v>
      </c>
      <c r="O471" s="510">
        <v>43620</v>
      </c>
      <c r="P471" s="510">
        <v>43689</v>
      </c>
      <c r="Q471" s="506"/>
      <c r="R471" s="514" t="s">
        <v>3477</v>
      </c>
      <c r="S471" s="548"/>
      <c r="T471" s="511"/>
      <c r="U471" s="511"/>
      <c r="V471" s="1470"/>
      <c r="W471" s="1470"/>
      <c r="X471" s="1470"/>
      <c r="Y471" s="511"/>
      <c r="Z471" s="511"/>
      <c r="AA471" s="506"/>
      <c r="AB471" s="510">
        <v>43839</v>
      </c>
      <c r="AC471" s="506" t="s">
        <v>6171</v>
      </c>
      <c r="AD471" s="506"/>
      <c r="AE471" s="506"/>
      <c r="AF471" s="374"/>
      <c r="AG471" s="374"/>
    </row>
    <row r="472" spans="3:33">
      <c r="C472" s="544">
        <v>43602</v>
      </c>
      <c r="D472" s="540" t="s">
        <v>4636</v>
      </c>
      <c r="E472" s="540" t="s">
        <v>69</v>
      </c>
      <c r="F472" s="540" t="s">
        <v>70</v>
      </c>
      <c r="G472" s="541" t="s">
        <v>4617</v>
      </c>
      <c r="H472" s="540">
        <v>5</v>
      </c>
      <c r="I472" s="1402" t="s">
        <v>4644</v>
      </c>
      <c r="J472" s="540"/>
      <c r="K472" s="540" t="s">
        <v>42</v>
      </c>
      <c r="L472" s="540"/>
      <c r="M472" s="545">
        <v>372050</v>
      </c>
      <c r="N472" s="540" t="s">
        <v>251</v>
      </c>
      <c r="O472" s="544">
        <v>43620</v>
      </c>
      <c r="P472" s="544">
        <v>43689</v>
      </c>
      <c r="Q472" s="544">
        <v>43818</v>
      </c>
      <c r="R472" s="540" t="s">
        <v>4857</v>
      </c>
      <c r="S472" s="1402"/>
      <c r="T472" s="545">
        <v>237646.8</v>
      </c>
      <c r="U472" s="545">
        <v>287552.63</v>
      </c>
      <c r="V472" s="1472"/>
      <c r="W472" s="1472"/>
      <c r="X472" s="1472"/>
      <c r="Y472" s="1385">
        <v>43819</v>
      </c>
      <c r="Z472" s="545" t="s">
        <v>6203</v>
      </c>
      <c r="AA472" s="540"/>
      <c r="AB472" s="540"/>
      <c r="AC472" s="540"/>
      <c r="AD472" s="540"/>
      <c r="AE472" s="540"/>
      <c r="AF472" s="374"/>
      <c r="AG472" s="374"/>
    </row>
    <row r="473" spans="3:33">
      <c r="C473" s="510">
        <v>43602</v>
      </c>
      <c r="D473" s="506" t="s">
        <v>4636</v>
      </c>
      <c r="E473" s="506" t="s">
        <v>69</v>
      </c>
      <c r="F473" s="506" t="s">
        <v>70</v>
      </c>
      <c r="G473" s="507" t="s">
        <v>4617</v>
      </c>
      <c r="H473" s="506">
        <v>6</v>
      </c>
      <c r="I473" s="548" t="s">
        <v>4645</v>
      </c>
      <c r="J473" s="506"/>
      <c r="K473" s="506" t="s">
        <v>42</v>
      </c>
      <c r="L473" s="506"/>
      <c r="M473" s="511">
        <v>750200</v>
      </c>
      <c r="N473" s="506" t="s">
        <v>251</v>
      </c>
      <c r="O473" s="510">
        <v>43620</v>
      </c>
      <c r="P473" s="510">
        <v>43689</v>
      </c>
      <c r="Q473" s="506"/>
      <c r="R473" s="514" t="s">
        <v>5552</v>
      </c>
      <c r="S473" s="736" t="s">
        <v>5514</v>
      </c>
      <c r="T473" s="511"/>
      <c r="U473" s="511"/>
      <c r="V473" s="1472"/>
      <c r="W473" s="1472"/>
      <c r="X473" s="1472"/>
      <c r="Y473" s="511"/>
      <c r="Z473" s="511"/>
      <c r="AA473" s="506"/>
      <c r="AB473" s="510">
        <v>43727</v>
      </c>
      <c r="AC473" s="639" t="s">
        <v>5355</v>
      </c>
      <c r="AD473" s="506"/>
      <c r="AE473" s="506"/>
    </row>
    <row r="474" spans="3:33">
      <c r="C474" s="544">
        <v>43602</v>
      </c>
      <c r="D474" s="540" t="s">
        <v>4636</v>
      </c>
      <c r="E474" s="540" t="s">
        <v>69</v>
      </c>
      <c r="F474" s="540" t="s">
        <v>70</v>
      </c>
      <c r="G474" s="541" t="s">
        <v>4617</v>
      </c>
      <c r="H474" s="540">
        <v>7</v>
      </c>
      <c r="I474" s="1402" t="s">
        <v>4646</v>
      </c>
      <c r="J474" s="540"/>
      <c r="K474" s="540" t="s">
        <v>42</v>
      </c>
      <c r="L474" s="540"/>
      <c r="M474" s="545">
        <v>916955</v>
      </c>
      <c r="N474" s="540" t="s">
        <v>251</v>
      </c>
      <c r="O474" s="544">
        <v>43620</v>
      </c>
      <c r="P474" s="544">
        <v>43689</v>
      </c>
      <c r="Q474" s="540" t="s">
        <v>6172</v>
      </c>
      <c r="R474" s="540" t="s">
        <v>6117</v>
      </c>
      <c r="S474" s="1402"/>
      <c r="T474" s="545">
        <v>906965.5</v>
      </c>
      <c r="U474" s="545">
        <v>1097428.26</v>
      </c>
      <c r="V474" s="1472"/>
      <c r="W474" s="1472"/>
      <c r="X474" s="1472"/>
      <c r="Y474" s="1385">
        <v>43819</v>
      </c>
      <c r="Z474" s="545" t="s">
        <v>6204</v>
      </c>
      <c r="AA474" s="540"/>
      <c r="AB474" s="540"/>
      <c r="AC474" s="540"/>
      <c r="AD474" s="540"/>
      <c r="AE474" s="540"/>
      <c r="AF474" s="374"/>
      <c r="AG474" s="374"/>
    </row>
    <row r="475" spans="3:33" ht="15.75" thickBot="1">
      <c r="C475" s="1363">
        <v>43602</v>
      </c>
      <c r="D475" s="1355" t="s">
        <v>4636</v>
      </c>
      <c r="E475" s="1355" t="s">
        <v>69</v>
      </c>
      <c r="F475" s="1355" t="s">
        <v>70</v>
      </c>
      <c r="G475" s="1361" t="s">
        <v>4617</v>
      </c>
      <c r="H475" s="1355">
        <v>8</v>
      </c>
      <c r="I475" s="1419" t="s">
        <v>4647</v>
      </c>
      <c r="J475" s="1355"/>
      <c r="K475" s="1355" t="s">
        <v>42</v>
      </c>
      <c r="L475" s="1355"/>
      <c r="M475" s="1362">
        <v>2769329</v>
      </c>
      <c r="N475" s="1355" t="s">
        <v>251</v>
      </c>
      <c r="O475" s="1363">
        <v>43620</v>
      </c>
      <c r="P475" s="1363">
        <v>43689</v>
      </c>
      <c r="Q475" s="1363">
        <v>43818</v>
      </c>
      <c r="R475" s="1355" t="s">
        <v>6173</v>
      </c>
      <c r="S475" s="1419"/>
      <c r="T475" s="1362">
        <v>2723403.66</v>
      </c>
      <c r="U475" s="1362">
        <v>3295318.43</v>
      </c>
      <c r="V475" s="1606"/>
      <c r="W475" s="1606"/>
      <c r="X475" s="1606"/>
      <c r="Y475" s="1512">
        <v>43819</v>
      </c>
      <c r="Z475" s="1362" t="s">
        <v>6205</v>
      </c>
      <c r="AA475" s="1355"/>
      <c r="AB475" s="1355"/>
      <c r="AC475" s="1355"/>
      <c r="AD475" s="1355"/>
      <c r="AE475" s="1355"/>
      <c r="AF475" s="374"/>
      <c r="AG475" s="374"/>
    </row>
    <row r="476" spans="3:33" ht="16.5" thickTop="1" thickBot="1">
      <c r="C476" s="498">
        <v>43602</v>
      </c>
      <c r="D476" s="1544" t="s">
        <v>4637</v>
      </c>
      <c r="E476" s="232" t="s">
        <v>69</v>
      </c>
      <c r="F476" s="232" t="s">
        <v>70</v>
      </c>
      <c r="G476" s="274" t="s">
        <v>4649</v>
      </c>
      <c r="H476" s="232">
        <v>1</v>
      </c>
      <c r="I476" s="669" t="s">
        <v>4648</v>
      </c>
      <c r="J476" s="232"/>
      <c r="K476" s="232" t="s">
        <v>42</v>
      </c>
      <c r="L476" s="232"/>
      <c r="M476" s="499">
        <v>5942299</v>
      </c>
      <c r="N476" s="232" t="s">
        <v>251</v>
      </c>
      <c r="O476" s="498">
        <v>43621</v>
      </c>
      <c r="P476" s="498">
        <v>43655</v>
      </c>
      <c r="Q476" s="498">
        <v>43697</v>
      </c>
      <c r="R476" s="232" t="s">
        <v>5233</v>
      </c>
      <c r="S476" s="669"/>
      <c r="T476" s="499">
        <v>5924407.6799999997</v>
      </c>
      <c r="U476" s="499">
        <v>7168533.29</v>
      </c>
      <c r="V476" s="1545"/>
      <c r="W476" s="1545"/>
      <c r="X476" s="1545"/>
      <c r="Y476" s="682">
        <v>43697</v>
      </c>
      <c r="Z476" s="499" t="s">
        <v>5304</v>
      </c>
      <c r="AA476" s="498">
        <v>43746</v>
      </c>
      <c r="AB476" s="498">
        <v>43748</v>
      </c>
      <c r="AC476" s="498">
        <v>44111</v>
      </c>
      <c r="AD476" s="498">
        <v>43929</v>
      </c>
      <c r="AE476" s="498">
        <v>44279</v>
      </c>
      <c r="AF476" s="374"/>
      <c r="AG476" s="374"/>
    </row>
    <row r="477" spans="3:33" ht="15.75" thickTop="1">
      <c r="C477" s="428">
        <v>43602</v>
      </c>
      <c r="D477" s="425" t="s">
        <v>4638</v>
      </c>
      <c r="E477" s="425" t="s">
        <v>69</v>
      </c>
      <c r="F477" s="425" t="s">
        <v>70</v>
      </c>
      <c r="G477" s="426" t="s">
        <v>4665</v>
      </c>
      <c r="H477" s="425">
        <v>1</v>
      </c>
      <c r="I477" s="1371" t="s">
        <v>4650</v>
      </c>
      <c r="J477" s="583"/>
      <c r="K477" s="425" t="s">
        <v>42</v>
      </c>
      <c r="L477" s="425"/>
      <c r="M477" s="429">
        <v>182310</v>
      </c>
      <c r="N477" s="425" t="s">
        <v>251</v>
      </c>
      <c r="O477" s="428">
        <v>43621</v>
      </c>
      <c r="P477" s="428">
        <v>43706</v>
      </c>
      <c r="Q477" s="425"/>
      <c r="R477" s="425"/>
      <c r="S477" s="1371"/>
      <c r="T477" s="429"/>
      <c r="U477" s="429"/>
      <c r="V477" s="1483"/>
      <c r="W477" s="1483"/>
      <c r="X477" s="1483"/>
      <c r="Y477" s="429"/>
      <c r="Z477" s="429"/>
      <c r="AA477" s="425"/>
      <c r="AB477" s="425"/>
      <c r="AC477" s="425"/>
      <c r="AD477" s="425"/>
      <c r="AE477" s="425"/>
      <c r="AF477" s="374"/>
      <c r="AG477" s="374"/>
    </row>
    <row r="478" spans="3:33">
      <c r="C478" s="544">
        <v>43602</v>
      </c>
      <c r="D478" s="540" t="s">
        <v>4638</v>
      </c>
      <c r="E478" s="540" t="s">
        <v>69</v>
      </c>
      <c r="F478" s="540" t="s">
        <v>70</v>
      </c>
      <c r="G478" s="541" t="s">
        <v>4665</v>
      </c>
      <c r="H478" s="540">
        <v>2</v>
      </c>
      <c r="I478" s="1402" t="s">
        <v>4651</v>
      </c>
      <c r="J478" s="590"/>
      <c r="K478" s="540" t="s">
        <v>42</v>
      </c>
      <c r="L478" s="540"/>
      <c r="M478" s="545">
        <v>291206</v>
      </c>
      <c r="N478" s="540" t="s">
        <v>251</v>
      </c>
      <c r="O478" s="544">
        <v>43621</v>
      </c>
      <c r="P478" s="544">
        <v>43706</v>
      </c>
      <c r="Q478" s="540"/>
      <c r="R478" s="540"/>
      <c r="S478" s="1402"/>
      <c r="T478" s="545"/>
      <c r="U478" s="545"/>
      <c r="V478" s="1484"/>
      <c r="W478" s="1484"/>
      <c r="X478" s="1484"/>
      <c r="Y478" s="545"/>
      <c r="Z478" s="545"/>
      <c r="AA478" s="540"/>
      <c r="AB478" s="540"/>
      <c r="AC478" s="540"/>
      <c r="AD478" s="540"/>
      <c r="AE478" s="540"/>
      <c r="AF478" s="374"/>
      <c r="AG478" s="374"/>
    </row>
    <row r="479" spans="3:33">
      <c r="C479" s="544">
        <v>43602</v>
      </c>
      <c r="D479" s="540" t="s">
        <v>4638</v>
      </c>
      <c r="E479" s="540" t="s">
        <v>69</v>
      </c>
      <c r="F479" s="540" t="s">
        <v>70</v>
      </c>
      <c r="G479" s="541" t="s">
        <v>4665</v>
      </c>
      <c r="H479" s="540">
        <v>3</v>
      </c>
      <c r="I479" s="1402" t="s">
        <v>4652</v>
      </c>
      <c r="J479" s="590"/>
      <c r="K479" s="540" t="s">
        <v>42</v>
      </c>
      <c r="L479" s="540"/>
      <c r="M479" s="545">
        <v>12360</v>
      </c>
      <c r="N479" s="540" t="s">
        <v>251</v>
      </c>
      <c r="O479" s="544">
        <v>43621</v>
      </c>
      <c r="P479" s="544">
        <v>43706</v>
      </c>
      <c r="Q479" s="540"/>
      <c r="R479" s="540"/>
      <c r="S479" s="1402"/>
      <c r="T479" s="545"/>
      <c r="U479" s="545"/>
      <c r="V479" s="1484"/>
      <c r="W479" s="1484"/>
      <c r="X479" s="1484"/>
      <c r="Y479" s="545"/>
      <c r="Z479" s="545"/>
      <c r="AA479" s="540"/>
      <c r="AB479" s="540"/>
      <c r="AC479" s="540"/>
      <c r="AD479" s="540"/>
      <c r="AE479" s="540"/>
      <c r="AF479" s="374"/>
      <c r="AG479" s="374"/>
    </row>
    <row r="480" spans="3:33">
      <c r="C480" s="544">
        <v>43602</v>
      </c>
      <c r="D480" s="540" t="s">
        <v>4638</v>
      </c>
      <c r="E480" s="540" t="s">
        <v>69</v>
      </c>
      <c r="F480" s="540" t="s">
        <v>70</v>
      </c>
      <c r="G480" s="541" t="s">
        <v>4665</v>
      </c>
      <c r="H480" s="540">
        <v>4</v>
      </c>
      <c r="I480" s="1402" t="s">
        <v>4653</v>
      </c>
      <c r="J480" s="590"/>
      <c r="K480" s="540" t="s">
        <v>42</v>
      </c>
      <c r="L480" s="540"/>
      <c r="M480" s="545">
        <v>409529</v>
      </c>
      <c r="N480" s="540" t="s">
        <v>251</v>
      </c>
      <c r="O480" s="544">
        <v>43621</v>
      </c>
      <c r="P480" s="544">
        <v>43706</v>
      </c>
      <c r="Q480" s="540"/>
      <c r="R480" s="540"/>
      <c r="S480" s="1402"/>
      <c r="T480" s="545"/>
      <c r="U480" s="545"/>
      <c r="V480" s="1484"/>
      <c r="W480" s="1484"/>
      <c r="X480" s="1484"/>
      <c r="Y480" s="545"/>
      <c r="Z480" s="545"/>
      <c r="AA480" s="540"/>
      <c r="AB480" s="540"/>
      <c r="AC480" s="540"/>
      <c r="AD480" s="540"/>
      <c r="AE480" s="540"/>
      <c r="AF480" s="374"/>
      <c r="AG480" s="374"/>
    </row>
    <row r="481" spans="3:33">
      <c r="C481" s="544">
        <v>43602</v>
      </c>
      <c r="D481" s="540" t="s">
        <v>4638</v>
      </c>
      <c r="E481" s="540" t="s">
        <v>69</v>
      </c>
      <c r="F481" s="540" t="s">
        <v>70</v>
      </c>
      <c r="G481" s="541" t="s">
        <v>4665</v>
      </c>
      <c r="H481" s="540">
        <v>5</v>
      </c>
      <c r="I481" s="1402" t="s">
        <v>4654</v>
      </c>
      <c r="J481" s="590"/>
      <c r="K481" s="540" t="s">
        <v>42</v>
      </c>
      <c r="L481" s="540"/>
      <c r="M481" s="545">
        <v>379509</v>
      </c>
      <c r="N481" s="540" t="s">
        <v>251</v>
      </c>
      <c r="O481" s="544">
        <v>43621</v>
      </c>
      <c r="P481" s="544">
        <v>43706</v>
      </c>
      <c r="Q481" s="540"/>
      <c r="R481" s="540"/>
      <c r="S481" s="1402"/>
      <c r="T481" s="545"/>
      <c r="U481" s="545"/>
      <c r="V481" s="1484"/>
      <c r="W481" s="1484"/>
      <c r="X481" s="1484"/>
      <c r="Y481" s="545"/>
      <c r="Z481" s="545"/>
      <c r="AA481" s="540"/>
      <c r="AB481" s="540"/>
      <c r="AC481" s="540"/>
      <c r="AD481" s="540"/>
      <c r="AE481" s="540"/>
      <c r="AF481" s="374"/>
      <c r="AG481" s="374"/>
    </row>
    <row r="482" spans="3:33">
      <c r="C482" s="544">
        <v>43602</v>
      </c>
      <c r="D482" s="540" t="s">
        <v>4638</v>
      </c>
      <c r="E482" s="540" t="s">
        <v>69</v>
      </c>
      <c r="F482" s="540" t="s">
        <v>70</v>
      </c>
      <c r="G482" s="541" t="s">
        <v>4665</v>
      </c>
      <c r="H482" s="540">
        <v>6</v>
      </c>
      <c r="I482" s="1402" t="s">
        <v>4655</v>
      </c>
      <c r="J482" s="590"/>
      <c r="K482" s="540" t="s">
        <v>42</v>
      </c>
      <c r="L482" s="540"/>
      <c r="M482" s="545">
        <v>162467</v>
      </c>
      <c r="N482" s="540" t="s">
        <v>251</v>
      </c>
      <c r="O482" s="544">
        <v>43621</v>
      </c>
      <c r="P482" s="544">
        <v>43706</v>
      </c>
      <c r="Q482" s="540"/>
      <c r="R482" s="540"/>
      <c r="S482" s="1402"/>
      <c r="T482" s="545"/>
      <c r="U482" s="545"/>
      <c r="V482" s="1484"/>
      <c r="W482" s="1484"/>
      <c r="X482" s="1484"/>
      <c r="Y482" s="545"/>
      <c r="Z482" s="545"/>
      <c r="AA482" s="540"/>
      <c r="AB482" s="540"/>
      <c r="AC482" s="540"/>
      <c r="AD482" s="540"/>
      <c r="AE482" s="540"/>
      <c r="AF482" s="374"/>
      <c r="AG482" s="374"/>
    </row>
    <row r="483" spans="3:33">
      <c r="C483" s="510">
        <v>43602</v>
      </c>
      <c r="D483" s="506" t="s">
        <v>4638</v>
      </c>
      <c r="E483" s="506" t="s">
        <v>69</v>
      </c>
      <c r="F483" s="506" t="s">
        <v>70</v>
      </c>
      <c r="G483" s="507" t="s">
        <v>4665</v>
      </c>
      <c r="H483" s="506">
        <v>7</v>
      </c>
      <c r="I483" s="548" t="s">
        <v>4656</v>
      </c>
      <c r="J483" s="590"/>
      <c r="K483" s="506" t="s">
        <v>42</v>
      </c>
      <c r="L483" s="506"/>
      <c r="M483" s="511">
        <v>144450</v>
      </c>
      <c r="N483" s="506" t="s">
        <v>251</v>
      </c>
      <c r="O483" s="510">
        <v>43621</v>
      </c>
      <c r="P483" s="510">
        <v>43706</v>
      </c>
      <c r="Q483" s="506"/>
      <c r="R483" s="514" t="s">
        <v>5571</v>
      </c>
      <c r="S483" s="736" t="s">
        <v>5495</v>
      </c>
      <c r="T483" s="511"/>
      <c r="U483" s="511"/>
      <c r="V483" s="1484"/>
      <c r="W483" s="1484"/>
      <c r="X483" s="1484"/>
      <c r="Y483" s="511"/>
      <c r="Z483" s="511"/>
      <c r="AA483" s="506"/>
      <c r="AB483" s="510">
        <v>43713</v>
      </c>
      <c r="AC483" s="506" t="s">
        <v>5624</v>
      </c>
      <c r="AD483" s="506"/>
      <c r="AE483" s="506"/>
    </row>
    <row r="484" spans="3:33">
      <c r="C484" s="544">
        <v>43602</v>
      </c>
      <c r="D484" s="540" t="s">
        <v>4638</v>
      </c>
      <c r="E484" s="540" t="s">
        <v>69</v>
      </c>
      <c r="F484" s="540" t="s">
        <v>70</v>
      </c>
      <c r="G484" s="541" t="s">
        <v>4665</v>
      </c>
      <c r="H484" s="540">
        <v>8</v>
      </c>
      <c r="I484" s="1402" t="s">
        <v>4657</v>
      </c>
      <c r="J484" s="590"/>
      <c r="K484" s="540" t="s">
        <v>42</v>
      </c>
      <c r="L484" s="540"/>
      <c r="M484" s="545">
        <v>202652</v>
      </c>
      <c r="N484" s="540" t="s">
        <v>251</v>
      </c>
      <c r="O484" s="544">
        <v>43621</v>
      </c>
      <c r="P484" s="544">
        <v>43706</v>
      </c>
      <c r="Q484" s="540"/>
      <c r="R484" s="540"/>
      <c r="S484" s="1402"/>
      <c r="T484" s="545"/>
      <c r="U484" s="545"/>
      <c r="V484" s="1484"/>
      <c r="W484" s="1484"/>
      <c r="X484" s="1484"/>
      <c r="Y484" s="545"/>
      <c r="Z484" s="545"/>
      <c r="AA484" s="540"/>
      <c r="AB484" s="540"/>
      <c r="AC484" s="540"/>
      <c r="AD484" s="540"/>
      <c r="AE484" s="540"/>
      <c r="AF484" s="374"/>
      <c r="AG484" s="374"/>
    </row>
    <row r="485" spans="3:33">
      <c r="C485" s="544">
        <v>43602</v>
      </c>
      <c r="D485" s="540" t="s">
        <v>4638</v>
      </c>
      <c r="E485" s="540" t="s">
        <v>69</v>
      </c>
      <c r="F485" s="540" t="s">
        <v>70</v>
      </c>
      <c r="G485" s="541" t="s">
        <v>4665</v>
      </c>
      <c r="H485" s="540">
        <v>9</v>
      </c>
      <c r="I485" s="1402" t="s">
        <v>4658</v>
      </c>
      <c r="J485" s="590"/>
      <c r="K485" s="540" t="s">
        <v>42</v>
      </c>
      <c r="L485" s="540"/>
      <c r="M485" s="545">
        <v>601611</v>
      </c>
      <c r="N485" s="540" t="s">
        <v>251</v>
      </c>
      <c r="O485" s="544">
        <v>43621</v>
      </c>
      <c r="P485" s="544">
        <v>43706</v>
      </c>
      <c r="Q485" s="540"/>
      <c r="R485" s="540"/>
      <c r="S485" s="1402"/>
      <c r="T485" s="545"/>
      <c r="U485" s="545"/>
      <c r="V485" s="1484"/>
      <c r="W485" s="1484"/>
      <c r="X485" s="1484"/>
      <c r="Y485" s="545"/>
      <c r="Z485" s="545"/>
      <c r="AA485" s="540"/>
      <c r="AB485" s="540"/>
      <c r="AC485" s="540"/>
      <c r="AD485" s="540"/>
      <c r="AE485" s="540"/>
      <c r="AF485" s="374"/>
      <c r="AG485" s="374"/>
    </row>
    <row r="486" spans="3:33">
      <c r="C486" s="544">
        <v>43602</v>
      </c>
      <c r="D486" s="540" t="s">
        <v>4638</v>
      </c>
      <c r="E486" s="540" t="s">
        <v>69</v>
      </c>
      <c r="F486" s="540" t="s">
        <v>70</v>
      </c>
      <c r="G486" s="541" t="s">
        <v>4665</v>
      </c>
      <c r="H486" s="540">
        <v>10</v>
      </c>
      <c r="I486" s="1402" t="s">
        <v>4659</v>
      </c>
      <c r="J486" s="590"/>
      <c r="K486" s="540" t="s">
        <v>42</v>
      </c>
      <c r="L486" s="540"/>
      <c r="M486" s="545">
        <v>253696</v>
      </c>
      <c r="N486" s="540" t="s">
        <v>251</v>
      </c>
      <c r="O486" s="544">
        <v>43621</v>
      </c>
      <c r="P486" s="544">
        <v>43706</v>
      </c>
      <c r="Q486" s="540"/>
      <c r="R486" s="540"/>
      <c r="S486" s="1402"/>
      <c r="T486" s="545"/>
      <c r="U486" s="545"/>
      <c r="V486" s="1484"/>
      <c r="W486" s="1484"/>
      <c r="X486" s="1484"/>
      <c r="Y486" s="545"/>
      <c r="Z486" s="545"/>
      <c r="AA486" s="540"/>
      <c r="AB486" s="540"/>
      <c r="AC486" s="540"/>
      <c r="AD486" s="540"/>
      <c r="AE486" s="540"/>
      <c r="AF486" s="374"/>
      <c r="AG486" s="374"/>
    </row>
    <row r="487" spans="3:33">
      <c r="C487" s="544">
        <v>43602</v>
      </c>
      <c r="D487" s="540" t="s">
        <v>4638</v>
      </c>
      <c r="E487" s="540" t="s">
        <v>69</v>
      </c>
      <c r="F487" s="540" t="s">
        <v>70</v>
      </c>
      <c r="G487" s="541" t="s">
        <v>4665</v>
      </c>
      <c r="H487" s="540">
        <v>11</v>
      </c>
      <c r="I487" s="1402" t="s">
        <v>4660</v>
      </c>
      <c r="J487" s="590"/>
      <c r="K487" s="540" t="s">
        <v>42</v>
      </c>
      <c r="L487" s="540"/>
      <c r="M487" s="545">
        <v>434935</v>
      </c>
      <c r="N487" s="540" t="s">
        <v>251</v>
      </c>
      <c r="O487" s="544">
        <v>43621</v>
      </c>
      <c r="P487" s="544">
        <v>43706</v>
      </c>
      <c r="Q487" s="540"/>
      <c r="R487" s="540"/>
      <c r="S487" s="1402"/>
      <c r="T487" s="545"/>
      <c r="U487" s="545"/>
      <c r="V487" s="1484"/>
      <c r="W487" s="1484"/>
      <c r="X487" s="1484"/>
      <c r="Y487" s="545"/>
      <c r="Z487" s="545"/>
      <c r="AA487" s="540"/>
      <c r="AB487" s="540"/>
      <c r="AC487" s="540"/>
      <c r="AD487" s="540"/>
      <c r="AE487" s="540"/>
      <c r="AF487" s="374"/>
      <c r="AG487" s="374"/>
    </row>
    <row r="488" spans="3:33">
      <c r="C488" s="544">
        <v>43602</v>
      </c>
      <c r="D488" s="540" t="s">
        <v>4638</v>
      </c>
      <c r="E488" s="540" t="s">
        <v>69</v>
      </c>
      <c r="F488" s="540" t="s">
        <v>70</v>
      </c>
      <c r="G488" s="541" t="s">
        <v>4665</v>
      </c>
      <c r="H488" s="540">
        <v>12</v>
      </c>
      <c r="I488" s="1402" t="s">
        <v>4661</v>
      </c>
      <c r="J488" s="590"/>
      <c r="K488" s="540" t="s">
        <v>42</v>
      </c>
      <c r="L488" s="540"/>
      <c r="M488" s="545">
        <v>918481</v>
      </c>
      <c r="N488" s="540" t="s">
        <v>251</v>
      </c>
      <c r="O488" s="544">
        <v>43621</v>
      </c>
      <c r="P488" s="544">
        <v>43706</v>
      </c>
      <c r="Q488" s="540"/>
      <c r="R488" s="540"/>
      <c r="S488" s="1402"/>
      <c r="T488" s="545"/>
      <c r="U488" s="545"/>
      <c r="V488" s="1484"/>
      <c r="W488" s="1484"/>
      <c r="X488" s="1484"/>
      <c r="Y488" s="545"/>
      <c r="Z488" s="545"/>
      <c r="AA488" s="540"/>
      <c r="AB488" s="540"/>
      <c r="AC488" s="540"/>
      <c r="AD488" s="540"/>
      <c r="AE488" s="540"/>
      <c r="AF488" s="374"/>
      <c r="AG488" s="374"/>
    </row>
    <row r="489" spans="3:33">
      <c r="C489" s="544">
        <v>43602</v>
      </c>
      <c r="D489" s="540" t="s">
        <v>4638</v>
      </c>
      <c r="E489" s="540" t="s">
        <v>69</v>
      </c>
      <c r="F489" s="540" t="s">
        <v>70</v>
      </c>
      <c r="G489" s="541" t="s">
        <v>4665</v>
      </c>
      <c r="H489" s="540">
        <v>13</v>
      </c>
      <c r="I489" s="1402" t="s">
        <v>4662</v>
      </c>
      <c r="J489" s="590"/>
      <c r="K489" s="540" t="s">
        <v>42</v>
      </c>
      <c r="L489" s="540"/>
      <c r="M489" s="545">
        <v>320000</v>
      </c>
      <c r="N489" s="540" t="s">
        <v>251</v>
      </c>
      <c r="O489" s="544">
        <v>43621</v>
      </c>
      <c r="P489" s="544">
        <v>43706</v>
      </c>
      <c r="Q489" s="540"/>
      <c r="R489" s="540"/>
      <c r="S489" s="1402"/>
      <c r="T489" s="545"/>
      <c r="U489" s="545"/>
      <c r="V489" s="1484"/>
      <c r="W489" s="1484"/>
      <c r="X489" s="1484"/>
      <c r="Y489" s="545"/>
      <c r="Z489" s="545"/>
      <c r="AA489" s="540"/>
      <c r="AB489" s="540"/>
      <c r="AC489" s="540"/>
      <c r="AD489" s="540"/>
      <c r="AE489" s="540"/>
      <c r="AF489" s="374"/>
      <c r="AG489" s="374"/>
    </row>
    <row r="490" spans="3:33">
      <c r="C490" s="544">
        <v>43602</v>
      </c>
      <c r="D490" s="540" t="s">
        <v>4638</v>
      </c>
      <c r="E490" s="540" t="s">
        <v>69</v>
      </c>
      <c r="F490" s="540" t="s">
        <v>70</v>
      </c>
      <c r="G490" s="541" t="s">
        <v>4665</v>
      </c>
      <c r="H490" s="540">
        <v>14</v>
      </c>
      <c r="I490" s="1402" t="s">
        <v>4663</v>
      </c>
      <c r="J490" s="590"/>
      <c r="K490" s="540" t="s">
        <v>42</v>
      </c>
      <c r="L490" s="540"/>
      <c r="M490" s="545">
        <v>98615</v>
      </c>
      <c r="N490" s="540" t="s">
        <v>251</v>
      </c>
      <c r="O490" s="544">
        <v>43621</v>
      </c>
      <c r="P490" s="544">
        <v>43706</v>
      </c>
      <c r="Q490" s="540"/>
      <c r="R490" s="540"/>
      <c r="S490" s="1402"/>
      <c r="T490" s="545"/>
      <c r="U490" s="545"/>
      <c r="V490" s="1484"/>
      <c r="W490" s="1484"/>
      <c r="X490" s="1484"/>
      <c r="Y490" s="545"/>
      <c r="Z490" s="545"/>
      <c r="AA490" s="540"/>
      <c r="AB490" s="540"/>
      <c r="AC490" s="540"/>
      <c r="AD490" s="540"/>
      <c r="AE490" s="540"/>
      <c r="AF490" s="374"/>
      <c r="AG490" s="374"/>
    </row>
    <row r="491" spans="3:33" ht="15.75" thickBot="1">
      <c r="C491" s="1414">
        <v>43602</v>
      </c>
      <c r="D491" s="1410" t="s">
        <v>4638</v>
      </c>
      <c r="E491" s="1410" t="s">
        <v>69</v>
      </c>
      <c r="F491" s="1410" t="s">
        <v>70</v>
      </c>
      <c r="G491" s="1412" t="s">
        <v>4665</v>
      </c>
      <c r="H491" s="1410">
        <v>15</v>
      </c>
      <c r="I491" s="1430" t="s">
        <v>4664</v>
      </c>
      <c r="J491" s="1356"/>
      <c r="K491" s="1410" t="s">
        <v>42</v>
      </c>
      <c r="L491" s="1410"/>
      <c r="M491" s="1413">
        <v>319003</v>
      </c>
      <c r="N491" s="1410" t="s">
        <v>251</v>
      </c>
      <c r="O491" s="1414">
        <v>43621</v>
      </c>
      <c r="P491" s="1414">
        <v>43706</v>
      </c>
      <c r="Q491" s="1410"/>
      <c r="R491" s="1740"/>
      <c r="S491" s="1710"/>
      <c r="T491" s="1413"/>
      <c r="U491" s="1413"/>
      <c r="V491" s="1485"/>
      <c r="W491" s="1485"/>
      <c r="X491" s="1485"/>
      <c r="Y491" s="1413"/>
      <c r="Z491" s="1413"/>
      <c r="AA491" s="1410"/>
      <c r="AB491" s="1414">
        <v>43713</v>
      </c>
      <c r="AC491" s="1410" t="s">
        <v>5624</v>
      </c>
      <c r="AD491" s="1410"/>
      <c r="AE491" s="1410"/>
    </row>
    <row r="492" spans="3:33" ht="15.75" thickTop="1">
      <c r="C492" s="840">
        <v>43602</v>
      </c>
      <c r="D492" s="1364" t="s">
        <v>4633</v>
      </c>
      <c r="E492" s="423" t="s">
        <v>69</v>
      </c>
      <c r="F492" s="423" t="s">
        <v>70</v>
      </c>
      <c r="G492" s="837" t="s">
        <v>4614</v>
      </c>
      <c r="H492" s="423">
        <v>1</v>
      </c>
      <c r="I492" s="1422" t="s">
        <v>4666</v>
      </c>
      <c r="J492" s="423"/>
      <c r="K492" s="423" t="s">
        <v>42</v>
      </c>
      <c r="L492" s="423"/>
      <c r="M492" s="841">
        <v>401500</v>
      </c>
      <c r="N492" s="423" t="s">
        <v>251</v>
      </c>
      <c r="O492" s="840">
        <v>43623</v>
      </c>
      <c r="P492" s="840">
        <v>43690</v>
      </c>
      <c r="Q492" s="840">
        <v>43816</v>
      </c>
      <c r="R492" s="423" t="s">
        <v>6128</v>
      </c>
      <c r="S492" s="1422"/>
      <c r="T492" s="841">
        <v>252220</v>
      </c>
      <c r="U492" s="841">
        <v>305186.2</v>
      </c>
      <c r="V492" s="1476"/>
      <c r="W492" s="1476"/>
      <c r="X492" s="1476"/>
      <c r="Y492" s="1392">
        <v>43818</v>
      </c>
      <c r="Z492" s="841" t="s">
        <v>6183</v>
      </c>
      <c r="AA492" s="423"/>
      <c r="AB492" s="423"/>
      <c r="AC492" s="423"/>
      <c r="AD492" s="423"/>
      <c r="AE492" s="423"/>
      <c r="AF492" s="374"/>
      <c r="AG492" s="374"/>
    </row>
    <row r="493" spans="3:33">
      <c r="C493" s="544">
        <v>43602</v>
      </c>
      <c r="D493" s="1357" t="s">
        <v>4633</v>
      </c>
      <c r="E493" s="540" t="s">
        <v>69</v>
      </c>
      <c r="F493" s="540" t="s">
        <v>70</v>
      </c>
      <c r="G493" s="541" t="s">
        <v>4614</v>
      </c>
      <c r="H493" s="540">
        <v>2</v>
      </c>
      <c r="I493" s="1402" t="s">
        <v>5491</v>
      </c>
      <c r="J493" s="540"/>
      <c r="K493" s="540" t="s">
        <v>42</v>
      </c>
      <c r="L493" s="540"/>
      <c r="M493" s="545">
        <v>3061174</v>
      </c>
      <c r="N493" s="540" t="s">
        <v>251</v>
      </c>
      <c r="O493" s="544">
        <v>43623</v>
      </c>
      <c r="P493" s="544">
        <v>43690</v>
      </c>
      <c r="Q493" s="544">
        <v>43816</v>
      </c>
      <c r="R493" s="540" t="s">
        <v>6129</v>
      </c>
      <c r="S493" s="1402"/>
      <c r="T493" s="545">
        <v>3061174</v>
      </c>
      <c r="U493" s="545">
        <v>3631595.99</v>
      </c>
      <c r="V493" s="1472"/>
      <c r="W493" s="1472"/>
      <c r="X493" s="1472"/>
      <c r="Y493" s="1385">
        <v>43818</v>
      </c>
      <c r="Z493" s="545" t="s">
        <v>6184</v>
      </c>
      <c r="AA493" s="540"/>
      <c r="AB493" s="540"/>
      <c r="AC493" s="540"/>
      <c r="AD493" s="540"/>
      <c r="AE493" s="540"/>
      <c r="AF493" s="374"/>
      <c r="AG493" s="374"/>
    </row>
    <row r="494" spans="3:33">
      <c r="C494" s="510">
        <v>43602</v>
      </c>
      <c r="D494" s="1382" t="s">
        <v>4633</v>
      </c>
      <c r="E494" s="506" t="s">
        <v>69</v>
      </c>
      <c r="F494" s="506" t="s">
        <v>70</v>
      </c>
      <c r="G494" s="507" t="s">
        <v>4614</v>
      </c>
      <c r="H494" s="506">
        <v>3</v>
      </c>
      <c r="I494" s="548" t="s">
        <v>5492</v>
      </c>
      <c r="J494" s="506"/>
      <c r="K494" s="506" t="s">
        <v>42</v>
      </c>
      <c r="L494" s="506"/>
      <c r="M494" s="511">
        <v>55026</v>
      </c>
      <c r="N494" s="506" t="s">
        <v>251</v>
      </c>
      <c r="O494" s="510">
        <v>43623</v>
      </c>
      <c r="P494" s="510">
        <v>43690</v>
      </c>
      <c r="Q494" s="506"/>
      <c r="R494" s="514" t="s">
        <v>5553</v>
      </c>
      <c r="S494" s="736" t="s">
        <v>5495</v>
      </c>
      <c r="T494" s="511"/>
      <c r="U494" s="511"/>
      <c r="V494" s="1472"/>
      <c r="W494" s="1472"/>
      <c r="X494" s="1472"/>
      <c r="Y494" s="511"/>
      <c r="Z494" s="511"/>
      <c r="AA494" s="506"/>
      <c r="AB494" s="510">
        <v>43726</v>
      </c>
      <c r="AC494" s="639" t="s">
        <v>5355</v>
      </c>
      <c r="AD494" s="506"/>
      <c r="AE494" s="506"/>
    </row>
    <row r="495" spans="3:33">
      <c r="C495" s="510">
        <v>43602</v>
      </c>
      <c r="D495" s="1382" t="s">
        <v>4633</v>
      </c>
      <c r="E495" s="506" t="s">
        <v>69</v>
      </c>
      <c r="F495" s="506" t="s">
        <v>70</v>
      </c>
      <c r="G495" s="507" t="s">
        <v>4614</v>
      </c>
      <c r="H495" s="506">
        <v>4</v>
      </c>
      <c r="I495" s="548" t="s">
        <v>5635</v>
      </c>
      <c r="J495" s="506"/>
      <c r="K495" s="506" t="s">
        <v>42</v>
      </c>
      <c r="L495" s="506"/>
      <c r="M495" s="511">
        <v>32179</v>
      </c>
      <c r="N495" s="506" t="s">
        <v>251</v>
      </c>
      <c r="O495" s="510">
        <v>43623</v>
      </c>
      <c r="P495" s="510">
        <v>43690</v>
      </c>
      <c r="Q495" s="506"/>
      <c r="R495" s="514" t="s">
        <v>5554</v>
      </c>
      <c r="S495" s="736" t="s">
        <v>5495</v>
      </c>
      <c r="T495" s="511"/>
      <c r="U495" s="511"/>
      <c r="V495" s="1472"/>
      <c r="W495" s="1472"/>
      <c r="X495" s="1472"/>
      <c r="Y495" s="511"/>
      <c r="Z495" s="511"/>
      <c r="AA495" s="506"/>
      <c r="AB495" s="510">
        <v>43726</v>
      </c>
      <c r="AC495" s="639" t="s">
        <v>5355</v>
      </c>
      <c r="AD495" s="506"/>
      <c r="AE495" s="506"/>
    </row>
    <row r="496" spans="3:33">
      <c r="C496" s="544">
        <v>43602</v>
      </c>
      <c r="D496" s="1357" t="s">
        <v>4633</v>
      </c>
      <c r="E496" s="540" t="s">
        <v>69</v>
      </c>
      <c r="F496" s="540" t="s">
        <v>70</v>
      </c>
      <c r="G496" s="541" t="s">
        <v>4614</v>
      </c>
      <c r="H496" s="540">
        <v>5</v>
      </c>
      <c r="I496" s="1402" t="s">
        <v>4667</v>
      </c>
      <c r="J496" s="540"/>
      <c r="K496" s="540" t="s">
        <v>42</v>
      </c>
      <c r="L496" s="540"/>
      <c r="M496" s="545">
        <v>159200</v>
      </c>
      <c r="N496" s="540" t="s">
        <v>251</v>
      </c>
      <c r="O496" s="544">
        <v>43623</v>
      </c>
      <c r="P496" s="544">
        <v>43690</v>
      </c>
      <c r="Q496" s="544">
        <v>43816</v>
      </c>
      <c r="R496" s="540" t="s">
        <v>5333</v>
      </c>
      <c r="S496" s="1402"/>
      <c r="T496" s="545">
        <v>107440</v>
      </c>
      <c r="U496" s="545">
        <v>130002.4</v>
      </c>
      <c r="V496" s="1472"/>
      <c r="W496" s="1472"/>
      <c r="X496" s="1472"/>
      <c r="Y496" s="1385">
        <v>43818</v>
      </c>
      <c r="Z496" s="545" t="s">
        <v>6185</v>
      </c>
      <c r="AA496" s="540"/>
      <c r="AB496" s="540"/>
      <c r="AC496" s="540"/>
      <c r="AD496" s="540"/>
      <c r="AE496" s="540"/>
      <c r="AF496" s="374"/>
      <c r="AG496" s="374"/>
    </row>
    <row r="497" spans="3:33">
      <c r="C497" s="544">
        <v>43602</v>
      </c>
      <c r="D497" s="1357" t="s">
        <v>4633</v>
      </c>
      <c r="E497" s="540" t="s">
        <v>69</v>
      </c>
      <c r="F497" s="540" t="s">
        <v>70</v>
      </c>
      <c r="G497" s="541" t="s">
        <v>4614</v>
      </c>
      <c r="H497" s="540">
        <v>6</v>
      </c>
      <c r="I497" s="1402" t="s">
        <v>4668</v>
      </c>
      <c r="J497" s="540"/>
      <c r="K497" s="540" t="s">
        <v>42</v>
      </c>
      <c r="L497" s="540"/>
      <c r="M497" s="545">
        <v>443295</v>
      </c>
      <c r="N497" s="540" t="s">
        <v>251</v>
      </c>
      <c r="O497" s="544">
        <v>43623</v>
      </c>
      <c r="P497" s="544">
        <v>43690</v>
      </c>
      <c r="Q497" s="544">
        <v>43816</v>
      </c>
      <c r="R497" s="540" t="s">
        <v>6130</v>
      </c>
      <c r="S497" s="1402"/>
      <c r="T497" s="545">
        <v>443294</v>
      </c>
      <c r="U497" s="545">
        <v>509788.1</v>
      </c>
      <c r="V497" s="1472"/>
      <c r="W497" s="1472"/>
      <c r="X497" s="1472"/>
      <c r="Y497" s="1385">
        <v>43818</v>
      </c>
      <c r="Z497" s="545" t="s">
        <v>6186</v>
      </c>
      <c r="AA497" s="540"/>
      <c r="AB497" s="540"/>
      <c r="AC497" s="540"/>
      <c r="AD497" s="540"/>
      <c r="AE497" s="540"/>
      <c r="AF497" s="374"/>
      <c r="AG497" s="374"/>
    </row>
    <row r="498" spans="3:33">
      <c r="C498" s="544">
        <v>43602</v>
      </c>
      <c r="D498" s="1357" t="s">
        <v>4633</v>
      </c>
      <c r="E498" s="540" t="s">
        <v>69</v>
      </c>
      <c r="F498" s="540" t="s">
        <v>70</v>
      </c>
      <c r="G498" s="541" t="s">
        <v>4614</v>
      </c>
      <c r="H498" s="540">
        <v>7</v>
      </c>
      <c r="I498" s="1402" t="s">
        <v>4669</v>
      </c>
      <c r="J498" s="540"/>
      <c r="K498" s="540" t="s">
        <v>42</v>
      </c>
      <c r="L498" s="540"/>
      <c r="M498" s="545">
        <v>138334</v>
      </c>
      <c r="N498" s="540" t="s">
        <v>251</v>
      </c>
      <c r="O498" s="544">
        <v>43623</v>
      </c>
      <c r="P498" s="544">
        <v>43690</v>
      </c>
      <c r="Q498" s="544">
        <v>43816</v>
      </c>
      <c r="R498" s="540" t="s">
        <v>5331</v>
      </c>
      <c r="S498" s="1402"/>
      <c r="T498" s="545">
        <v>138322.79999999999</v>
      </c>
      <c r="U498" s="545">
        <v>167370.59</v>
      </c>
      <c r="V498" s="1472"/>
      <c r="W498" s="1472"/>
      <c r="X498" s="1472"/>
      <c r="Y498" s="1385">
        <v>43818</v>
      </c>
      <c r="Z498" s="545" t="s">
        <v>6187</v>
      </c>
      <c r="AA498" s="540"/>
      <c r="AB498" s="540"/>
      <c r="AC498" s="540"/>
      <c r="AD498" s="540"/>
      <c r="AE498" s="540"/>
      <c r="AF498" s="374"/>
      <c r="AG498" s="374"/>
    </row>
    <row r="499" spans="3:33">
      <c r="C499" s="510">
        <v>43602</v>
      </c>
      <c r="D499" s="1382" t="s">
        <v>4633</v>
      </c>
      <c r="E499" s="506" t="s">
        <v>69</v>
      </c>
      <c r="F499" s="506" t="s">
        <v>70</v>
      </c>
      <c r="G499" s="507" t="s">
        <v>4614</v>
      </c>
      <c r="H499" s="506">
        <v>8</v>
      </c>
      <c r="I499" s="548" t="s">
        <v>4670</v>
      </c>
      <c r="J499" s="506"/>
      <c r="K499" s="506" t="s">
        <v>42</v>
      </c>
      <c r="L499" s="506"/>
      <c r="M499" s="511">
        <v>144000</v>
      </c>
      <c r="N499" s="506" t="s">
        <v>251</v>
      </c>
      <c r="O499" s="510">
        <v>43623</v>
      </c>
      <c r="P499" s="510">
        <v>43690</v>
      </c>
      <c r="Q499" s="506"/>
      <c r="R499" s="514" t="s">
        <v>5555</v>
      </c>
      <c r="S499" s="736" t="s">
        <v>5495</v>
      </c>
      <c r="T499" s="511"/>
      <c r="U499" s="511"/>
      <c r="V499" s="1472"/>
      <c r="W499" s="1472"/>
      <c r="X499" s="1472"/>
      <c r="Y499" s="511"/>
      <c r="Z499" s="511"/>
      <c r="AA499" s="506"/>
      <c r="AB499" s="510">
        <v>43726</v>
      </c>
      <c r="AC499" s="639" t="s">
        <v>5355</v>
      </c>
      <c r="AD499" s="506"/>
      <c r="AE499" s="506"/>
    </row>
    <row r="500" spans="3:33">
      <c r="C500" s="544">
        <v>43602</v>
      </c>
      <c r="D500" s="1357" t="s">
        <v>4633</v>
      </c>
      <c r="E500" s="540" t="s">
        <v>69</v>
      </c>
      <c r="F500" s="540" t="s">
        <v>70</v>
      </c>
      <c r="G500" s="541" t="s">
        <v>4614</v>
      </c>
      <c r="H500" s="540">
        <v>9</v>
      </c>
      <c r="I500" s="1402" t="s">
        <v>4671</v>
      </c>
      <c r="J500" s="540"/>
      <c r="K500" s="540" t="s">
        <v>42</v>
      </c>
      <c r="L500" s="540"/>
      <c r="M500" s="545">
        <v>630771</v>
      </c>
      <c r="N500" s="540" t="s">
        <v>251</v>
      </c>
      <c r="O500" s="544">
        <v>43623</v>
      </c>
      <c r="P500" s="544">
        <v>43690</v>
      </c>
      <c r="Q500" s="544">
        <v>43816</v>
      </c>
      <c r="R500" s="540" t="s">
        <v>6131</v>
      </c>
      <c r="S500" s="1402"/>
      <c r="T500" s="545">
        <v>630740</v>
      </c>
      <c r="U500" s="545">
        <v>763195.4</v>
      </c>
      <c r="V500" s="1472"/>
      <c r="W500" s="1472"/>
      <c r="X500" s="1472"/>
      <c r="Y500" s="1385">
        <v>43818</v>
      </c>
      <c r="Z500" s="545" t="s">
        <v>6188</v>
      </c>
      <c r="AA500" s="540"/>
      <c r="AB500" s="540"/>
      <c r="AC500" s="540"/>
      <c r="AD500" s="540"/>
      <c r="AE500" s="540"/>
      <c r="AF500" s="374"/>
      <c r="AG500" s="374"/>
    </row>
    <row r="501" spans="3:33" ht="15.75" thickBot="1">
      <c r="C501" s="643">
        <v>43602</v>
      </c>
      <c r="D501" s="1491" t="s">
        <v>4633</v>
      </c>
      <c r="E501" s="639" t="s">
        <v>69</v>
      </c>
      <c r="F501" s="639" t="s">
        <v>70</v>
      </c>
      <c r="G501" s="640" t="s">
        <v>4614</v>
      </c>
      <c r="H501" s="639">
        <v>10</v>
      </c>
      <c r="I501" s="1533" t="s">
        <v>4672</v>
      </c>
      <c r="J501" s="639"/>
      <c r="K501" s="639" t="s">
        <v>42</v>
      </c>
      <c r="L501" s="639"/>
      <c r="M501" s="645">
        <v>798400</v>
      </c>
      <c r="N501" s="639" t="s">
        <v>251</v>
      </c>
      <c r="O501" s="643">
        <v>43623</v>
      </c>
      <c r="P501" s="643">
        <v>43690</v>
      </c>
      <c r="Q501" s="639"/>
      <c r="R501" s="831" t="s">
        <v>4830</v>
      </c>
      <c r="S501" s="1533"/>
      <c r="T501" s="645"/>
      <c r="U501" s="645"/>
      <c r="V501" s="1534"/>
      <c r="W501" s="1534"/>
      <c r="X501" s="1534"/>
      <c r="Y501" s="645"/>
      <c r="Z501" s="645"/>
      <c r="AA501" s="639"/>
      <c r="AB501" s="643">
        <v>43840</v>
      </c>
      <c r="AC501" s="639" t="s">
        <v>6176</v>
      </c>
      <c r="AD501" s="639"/>
      <c r="AE501" s="639"/>
      <c r="AF501" s="374"/>
      <c r="AG501" s="374"/>
    </row>
    <row r="502" spans="3:33" ht="15.75" thickTop="1">
      <c r="C502" s="474">
        <v>43602</v>
      </c>
      <c r="D502" s="453" t="s">
        <v>4634</v>
      </c>
      <c r="E502" s="453" t="s">
        <v>69</v>
      </c>
      <c r="F502" s="453" t="s">
        <v>70</v>
      </c>
      <c r="G502" s="473" t="s">
        <v>4615</v>
      </c>
      <c r="H502" s="453">
        <v>1</v>
      </c>
      <c r="I502" s="1420" t="s">
        <v>4673</v>
      </c>
      <c r="J502" s="453"/>
      <c r="K502" s="453" t="s">
        <v>42</v>
      </c>
      <c r="L502" s="453"/>
      <c r="M502" s="457">
        <v>115765</v>
      </c>
      <c r="N502" s="453" t="s">
        <v>251</v>
      </c>
      <c r="O502" s="474">
        <v>43623</v>
      </c>
      <c r="P502" s="474">
        <v>43658</v>
      </c>
      <c r="Q502" s="474">
        <v>43706</v>
      </c>
      <c r="R502" s="453" t="s">
        <v>5356</v>
      </c>
      <c r="S502" s="1420"/>
      <c r="T502" s="457">
        <v>114895</v>
      </c>
      <c r="U502" s="457">
        <v>139022.95000000001</v>
      </c>
      <c r="V502" s="1474"/>
      <c r="W502" s="1474"/>
      <c r="X502" s="1474"/>
      <c r="Y502" s="570">
        <v>43710</v>
      </c>
      <c r="Z502" s="457" t="s">
        <v>5421</v>
      </c>
      <c r="AA502" s="474">
        <v>43796</v>
      </c>
      <c r="AB502" s="474">
        <v>43804</v>
      </c>
      <c r="AC502" s="474">
        <v>44161</v>
      </c>
      <c r="AD502" s="474">
        <v>43929</v>
      </c>
      <c r="AE502" s="474">
        <v>44279</v>
      </c>
      <c r="AF502" s="374"/>
      <c r="AG502" s="374"/>
    </row>
    <row r="503" spans="3:33">
      <c r="C503" s="537">
        <v>43602</v>
      </c>
      <c r="D503" s="491" t="s">
        <v>4634</v>
      </c>
      <c r="E503" s="491" t="s">
        <v>69</v>
      </c>
      <c r="F503" s="491" t="s">
        <v>70</v>
      </c>
      <c r="G503" s="571" t="s">
        <v>4615</v>
      </c>
      <c r="H503" s="491">
        <v>2</v>
      </c>
      <c r="I503" s="495" t="s">
        <v>4674</v>
      </c>
      <c r="J503" s="491"/>
      <c r="K503" s="491" t="s">
        <v>42</v>
      </c>
      <c r="L503" s="491"/>
      <c r="M503" s="536">
        <v>5632435</v>
      </c>
      <c r="N503" s="491" t="s">
        <v>251</v>
      </c>
      <c r="O503" s="537">
        <v>43623</v>
      </c>
      <c r="P503" s="537">
        <v>43658</v>
      </c>
      <c r="Q503" s="537">
        <v>43706</v>
      </c>
      <c r="R503" s="491" t="s">
        <v>5356</v>
      </c>
      <c r="S503" s="495"/>
      <c r="T503" s="536">
        <v>5628645</v>
      </c>
      <c r="U503" s="536">
        <v>6810660.4500000002</v>
      </c>
      <c r="V503" s="1471"/>
      <c r="W503" s="1471"/>
      <c r="X503" s="1471"/>
      <c r="Y503" s="573">
        <v>43710</v>
      </c>
      <c r="Z503" s="536" t="s">
        <v>5422</v>
      </c>
      <c r="AA503" s="537">
        <v>43796</v>
      </c>
      <c r="AB503" s="537">
        <v>43804</v>
      </c>
      <c r="AC503" s="537">
        <v>44161</v>
      </c>
      <c r="AD503" s="537">
        <v>43929</v>
      </c>
      <c r="AE503" s="537">
        <v>44279</v>
      </c>
      <c r="AF503" s="374"/>
      <c r="AG503" s="374"/>
    </row>
    <row r="504" spans="3:33" ht="15.75" thickBot="1">
      <c r="C504" s="1380">
        <v>43602</v>
      </c>
      <c r="D504" s="1376" t="s">
        <v>4634</v>
      </c>
      <c r="E504" s="1376" t="s">
        <v>69</v>
      </c>
      <c r="F504" s="1376" t="s">
        <v>70</v>
      </c>
      <c r="G504" s="1378" t="s">
        <v>4615</v>
      </c>
      <c r="H504" s="1376">
        <v>3</v>
      </c>
      <c r="I504" s="1421" t="s">
        <v>4675</v>
      </c>
      <c r="J504" s="1376"/>
      <c r="K504" s="1376" t="s">
        <v>42</v>
      </c>
      <c r="L504" s="1376"/>
      <c r="M504" s="1379">
        <v>3859547</v>
      </c>
      <c r="N504" s="1376" t="s">
        <v>251</v>
      </c>
      <c r="O504" s="1380">
        <v>43623</v>
      </c>
      <c r="P504" s="1380">
        <v>43658</v>
      </c>
      <c r="Q504" s="1380">
        <v>43706</v>
      </c>
      <c r="R504" s="1376" t="s">
        <v>3107</v>
      </c>
      <c r="S504" s="1421"/>
      <c r="T504" s="1379">
        <v>3854751</v>
      </c>
      <c r="U504" s="1379">
        <v>4664248.71</v>
      </c>
      <c r="V504" s="1475"/>
      <c r="W504" s="1475"/>
      <c r="X504" s="1475"/>
      <c r="Y504" s="1388">
        <v>43710</v>
      </c>
      <c r="Z504" s="1379" t="s">
        <v>5423</v>
      </c>
      <c r="AA504" s="1380">
        <v>43796</v>
      </c>
      <c r="AB504" s="1380">
        <v>43804</v>
      </c>
      <c r="AC504" s="1380">
        <v>44161</v>
      </c>
      <c r="AD504" s="1380">
        <v>43929</v>
      </c>
      <c r="AE504" s="1380">
        <v>44279</v>
      </c>
      <c r="AF504" s="374"/>
      <c r="AG504" s="374"/>
    </row>
    <row r="505" spans="3:33" ht="15.75" thickTop="1">
      <c r="C505" s="365">
        <v>43602</v>
      </c>
      <c r="D505" s="1397" t="s">
        <v>4635</v>
      </c>
      <c r="E505" s="1797" t="s">
        <v>69</v>
      </c>
      <c r="F505" s="1797" t="s">
        <v>70</v>
      </c>
      <c r="G505" s="175" t="s">
        <v>4616</v>
      </c>
      <c r="H505" s="1797">
        <v>1</v>
      </c>
      <c r="I505" s="1798" t="s">
        <v>4676</v>
      </c>
      <c r="J505" s="1797"/>
      <c r="K505" s="1797" t="s">
        <v>42</v>
      </c>
      <c r="L505" s="1797"/>
      <c r="M505" s="364">
        <v>518440</v>
      </c>
      <c r="N505" s="1797" t="s">
        <v>251</v>
      </c>
      <c r="O505" s="365">
        <v>43626</v>
      </c>
      <c r="P505" s="365">
        <v>43661</v>
      </c>
      <c r="Q505" s="365">
        <v>43718</v>
      </c>
      <c r="R505" s="1797" t="s">
        <v>5470</v>
      </c>
      <c r="S505" s="1798"/>
      <c r="T505" s="364">
        <v>518350</v>
      </c>
      <c r="U505" s="364">
        <v>627203.5</v>
      </c>
      <c r="V505" s="1473"/>
      <c r="W505" s="1473"/>
      <c r="X505" s="1473"/>
      <c r="Y505" s="681">
        <v>43718</v>
      </c>
      <c r="Z505" s="364" t="s">
        <v>5589</v>
      </c>
      <c r="AA505" s="365">
        <v>43774</v>
      </c>
      <c r="AB505" s="365">
        <v>43775</v>
      </c>
      <c r="AC505" s="365">
        <v>44139</v>
      </c>
      <c r="AD505" s="365">
        <v>43929</v>
      </c>
      <c r="AE505" s="365">
        <v>44279</v>
      </c>
      <c r="AF505" s="374"/>
      <c r="AG505" s="374"/>
    </row>
    <row r="506" spans="3:33">
      <c r="C506" s="510">
        <v>43602</v>
      </c>
      <c r="D506" s="1382" t="s">
        <v>4635</v>
      </c>
      <c r="E506" s="506" t="s">
        <v>69</v>
      </c>
      <c r="F506" s="506" t="s">
        <v>70</v>
      </c>
      <c r="G506" s="507" t="s">
        <v>4616</v>
      </c>
      <c r="H506" s="506">
        <v>2</v>
      </c>
      <c r="I506" s="548" t="s">
        <v>4677</v>
      </c>
      <c r="J506" s="506"/>
      <c r="K506" s="506" t="s">
        <v>42</v>
      </c>
      <c r="L506" s="506"/>
      <c r="M506" s="511">
        <v>1561878</v>
      </c>
      <c r="N506" s="506" t="s">
        <v>251</v>
      </c>
      <c r="O506" s="510">
        <v>43626</v>
      </c>
      <c r="P506" s="510">
        <v>43661</v>
      </c>
      <c r="Q506" s="506"/>
      <c r="R506" s="514" t="s">
        <v>5556</v>
      </c>
      <c r="S506" s="736" t="s">
        <v>5515</v>
      </c>
      <c r="T506" s="511"/>
      <c r="U506" s="511"/>
      <c r="V506" s="1470"/>
      <c r="W506" s="1470"/>
      <c r="X506" s="1470"/>
      <c r="Y506" s="511"/>
      <c r="Z506" s="511"/>
      <c r="AA506" s="506"/>
      <c r="AB506" s="510">
        <v>43696</v>
      </c>
      <c r="AC506" s="506" t="s">
        <v>5229</v>
      </c>
      <c r="AD506" s="506"/>
      <c r="AE506" s="506"/>
    </row>
    <row r="507" spans="3:33">
      <c r="C507" s="537">
        <v>43602</v>
      </c>
      <c r="D507" s="1373" t="s">
        <v>4635</v>
      </c>
      <c r="E507" s="491" t="s">
        <v>69</v>
      </c>
      <c r="F507" s="491" t="s">
        <v>70</v>
      </c>
      <c r="G507" s="571" t="s">
        <v>4616</v>
      </c>
      <c r="H507" s="491">
        <v>3</v>
      </c>
      <c r="I507" s="495" t="s">
        <v>4678</v>
      </c>
      <c r="J507" s="491"/>
      <c r="K507" s="491" t="s">
        <v>42</v>
      </c>
      <c r="L507" s="491"/>
      <c r="M507" s="536">
        <v>137608</v>
      </c>
      <c r="N507" s="491" t="s">
        <v>251</v>
      </c>
      <c r="O507" s="537">
        <v>43626</v>
      </c>
      <c r="P507" s="537">
        <v>43661</v>
      </c>
      <c r="Q507" s="537">
        <v>43718</v>
      </c>
      <c r="R507" s="495" t="s">
        <v>5471</v>
      </c>
      <c r="S507" s="495"/>
      <c r="T507" s="536">
        <v>129404.85</v>
      </c>
      <c r="U507" s="536">
        <v>156579.87</v>
      </c>
      <c r="V507" s="1471"/>
      <c r="W507" s="1471"/>
      <c r="X507" s="1471"/>
      <c r="Y507" s="573">
        <v>43718</v>
      </c>
      <c r="Z507" s="536" t="s">
        <v>5590</v>
      </c>
      <c r="AA507" s="537">
        <v>43774</v>
      </c>
      <c r="AB507" s="537">
        <v>43775</v>
      </c>
      <c r="AC507" s="537">
        <v>44139</v>
      </c>
      <c r="AD507" s="537">
        <v>43929</v>
      </c>
      <c r="AE507" s="537">
        <v>44279</v>
      </c>
      <c r="AF507" s="374"/>
      <c r="AG507" s="374"/>
    </row>
    <row r="508" spans="3:33">
      <c r="C508" s="510">
        <v>43602</v>
      </c>
      <c r="D508" s="1382" t="s">
        <v>4635</v>
      </c>
      <c r="E508" s="506" t="s">
        <v>69</v>
      </c>
      <c r="F508" s="506" t="s">
        <v>70</v>
      </c>
      <c r="G508" s="507" t="s">
        <v>4616</v>
      </c>
      <c r="H508" s="506">
        <v>4</v>
      </c>
      <c r="I508" s="548" t="s">
        <v>4679</v>
      </c>
      <c r="J508" s="506"/>
      <c r="K508" s="506" t="s">
        <v>42</v>
      </c>
      <c r="L508" s="506"/>
      <c r="M508" s="511">
        <v>17780</v>
      </c>
      <c r="N508" s="506" t="s">
        <v>251</v>
      </c>
      <c r="O508" s="510">
        <v>43626</v>
      </c>
      <c r="P508" s="510">
        <v>43661</v>
      </c>
      <c r="Q508" s="506"/>
      <c r="R508" s="514" t="s">
        <v>5557</v>
      </c>
      <c r="S508" s="736" t="s">
        <v>5495</v>
      </c>
      <c r="T508" s="511"/>
      <c r="U508" s="511"/>
      <c r="V508" s="1470"/>
      <c r="W508" s="1470"/>
      <c r="X508" s="1470"/>
      <c r="Y508" s="511"/>
      <c r="Z508" s="511"/>
      <c r="AA508" s="506"/>
      <c r="AB508" s="510">
        <v>43696</v>
      </c>
      <c r="AC508" s="506" t="s">
        <v>5229</v>
      </c>
      <c r="AD508" s="506"/>
      <c r="AE508" s="506"/>
    </row>
    <row r="509" spans="3:33">
      <c r="C509" s="510">
        <v>43602</v>
      </c>
      <c r="D509" s="1382" t="s">
        <v>4635</v>
      </c>
      <c r="E509" s="506" t="s">
        <v>69</v>
      </c>
      <c r="F509" s="506" t="s">
        <v>70</v>
      </c>
      <c r="G509" s="507" t="s">
        <v>4616</v>
      </c>
      <c r="H509" s="506">
        <v>5</v>
      </c>
      <c r="I509" s="548" t="s">
        <v>4680</v>
      </c>
      <c r="J509" s="506"/>
      <c r="K509" s="506" t="s">
        <v>42</v>
      </c>
      <c r="L509" s="506"/>
      <c r="M509" s="511">
        <v>112084</v>
      </c>
      <c r="N509" s="506" t="s">
        <v>251</v>
      </c>
      <c r="O509" s="510">
        <v>43626</v>
      </c>
      <c r="P509" s="510">
        <v>43661</v>
      </c>
      <c r="Q509" s="506"/>
      <c r="R509" s="514" t="s">
        <v>5556</v>
      </c>
      <c r="S509" s="736" t="s">
        <v>5515</v>
      </c>
      <c r="T509" s="511"/>
      <c r="U509" s="511"/>
      <c r="V509" s="1470"/>
      <c r="W509" s="1470"/>
      <c r="X509" s="1470"/>
      <c r="Y509" s="511"/>
      <c r="Z509" s="511"/>
      <c r="AA509" s="506"/>
      <c r="AB509" s="510">
        <v>43696</v>
      </c>
      <c r="AC509" s="506" t="s">
        <v>5229</v>
      </c>
      <c r="AD509" s="506"/>
      <c r="AE509" s="506"/>
    </row>
    <row r="510" spans="3:33">
      <c r="C510" s="510">
        <v>43602</v>
      </c>
      <c r="D510" s="1382" t="s">
        <v>4635</v>
      </c>
      <c r="E510" s="506" t="s">
        <v>69</v>
      </c>
      <c r="F510" s="506" t="s">
        <v>70</v>
      </c>
      <c r="G510" s="507" t="s">
        <v>4616</v>
      </c>
      <c r="H510" s="506">
        <v>6</v>
      </c>
      <c r="I510" s="548" t="s">
        <v>4681</v>
      </c>
      <c r="J510" s="506"/>
      <c r="K510" s="506" t="s">
        <v>42</v>
      </c>
      <c r="L510" s="506"/>
      <c r="M510" s="511">
        <v>164605</v>
      </c>
      <c r="N510" s="506" t="s">
        <v>251</v>
      </c>
      <c r="O510" s="510">
        <v>43626</v>
      </c>
      <c r="P510" s="510">
        <v>43661</v>
      </c>
      <c r="Q510" s="506"/>
      <c r="R510" s="514" t="s">
        <v>5553</v>
      </c>
      <c r="S510" s="736" t="s">
        <v>5495</v>
      </c>
      <c r="T510" s="511"/>
      <c r="U510" s="511"/>
      <c r="V510" s="1470"/>
      <c r="W510" s="1470"/>
      <c r="X510" s="1470"/>
      <c r="Y510" s="511"/>
      <c r="Z510" s="511"/>
      <c r="AA510" s="506"/>
      <c r="AB510" s="510">
        <v>43696</v>
      </c>
      <c r="AC510" s="506" t="s">
        <v>5229</v>
      </c>
      <c r="AD510" s="506"/>
      <c r="AE510" s="506"/>
    </row>
    <row r="511" spans="3:33">
      <c r="C511" s="537">
        <v>43602</v>
      </c>
      <c r="D511" s="1373" t="s">
        <v>4635</v>
      </c>
      <c r="E511" s="491" t="s">
        <v>69</v>
      </c>
      <c r="F511" s="491" t="s">
        <v>70</v>
      </c>
      <c r="G511" s="571" t="s">
        <v>4616</v>
      </c>
      <c r="H511" s="491">
        <v>7</v>
      </c>
      <c r="I511" s="495" t="s">
        <v>4682</v>
      </c>
      <c r="J511" s="491"/>
      <c r="K511" s="491" t="s">
        <v>42</v>
      </c>
      <c r="L511" s="491"/>
      <c r="M511" s="536">
        <v>230142</v>
      </c>
      <c r="N511" s="491" t="s">
        <v>251</v>
      </c>
      <c r="O511" s="537">
        <v>43626</v>
      </c>
      <c r="P511" s="537">
        <v>43661</v>
      </c>
      <c r="Q511" s="537">
        <v>43718</v>
      </c>
      <c r="R511" s="491" t="s">
        <v>5354</v>
      </c>
      <c r="S511" s="495"/>
      <c r="T511" s="536">
        <v>230141.95</v>
      </c>
      <c r="U511" s="536">
        <v>278471.76</v>
      </c>
      <c r="V511" s="1471"/>
      <c r="W511" s="1471"/>
      <c r="X511" s="1471"/>
      <c r="Y511" s="573">
        <v>43718</v>
      </c>
      <c r="Z511" s="536" t="s">
        <v>5591</v>
      </c>
      <c r="AA511" s="537">
        <v>43774</v>
      </c>
      <c r="AB511" s="537">
        <v>43775</v>
      </c>
      <c r="AC511" s="537">
        <v>44139</v>
      </c>
      <c r="AD511" s="537">
        <v>43929</v>
      </c>
      <c r="AE511" s="537">
        <v>44279</v>
      </c>
      <c r="AF511" s="374"/>
      <c r="AG511" s="374"/>
    </row>
    <row r="512" spans="3:33">
      <c r="C512" s="510">
        <v>43602</v>
      </c>
      <c r="D512" s="1382" t="s">
        <v>4635</v>
      </c>
      <c r="E512" s="506" t="s">
        <v>69</v>
      </c>
      <c r="F512" s="506" t="s">
        <v>70</v>
      </c>
      <c r="G512" s="507" t="s">
        <v>4616</v>
      </c>
      <c r="H512" s="506">
        <v>8</v>
      </c>
      <c r="I512" s="548" t="s">
        <v>4683</v>
      </c>
      <c r="J512" s="506"/>
      <c r="K512" s="506" t="s">
        <v>42</v>
      </c>
      <c r="L512" s="506"/>
      <c r="M512" s="511">
        <v>56781</v>
      </c>
      <c r="N512" s="506" t="s">
        <v>251</v>
      </c>
      <c r="O512" s="510">
        <v>43626</v>
      </c>
      <c r="P512" s="510">
        <v>43661</v>
      </c>
      <c r="Q512" s="506"/>
      <c r="R512" s="514" t="s">
        <v>5557</v>
      </c>
      <c r="S512" s="736" t="s">
        <v>5495</v>
      </c>
      <c r="T512" s="511"/>
      <c r="U512" s="511"/>
      <c r="V512" s="1470"/>
      <c r="W512" s="1470"/>
      <c r="X512" s="1470"/>
      <c r="Y512" s="511"/>
      <c r="Z512" s="511"/>
      <c r="AA512" s="506"/>
      <c r="AB512" s="510">
        <v>43696</v>
      </c>
      <c r="AC512" s="506" t="s">
        <v>5229</v>
      </c>
      <c r="AD512" s="506"/>
      <c r="AE512" s="506"/>
    </row>
    <row r="513" spans="3:33">
      <c r="C513" s="537">
        <v>43602</v>
      </c>
      <c r="D513" s="1373" t="s">
        <v>4635</v>
      </c>
      <c r="E513" s="491" t="s">
        <v>69</v>
      </c>
      <c r="F513" s="491" t="s">
        <v>70</v>
      </c>
      <c r="G513" s="571" t="s">
        <v>4616</v>
      </c>
      <c r="H513" s="491">
        <v>9</v>
      </c>
      <c r="I513" s="495" t="s">
        <v>4684</v>
      </c>
      <c r="J513" s="491"/>
      <c r="K513" s="491" t="s">
        <v>42</v>
      </c>
      <c r="L513" s="491"/>
      <c r="M513" s="536">
        <v>242475</v>
      </c>
      <c r="N513" s="491" t="s">
        <v>251</v>
      </c>
      <c r="O513" s="537">
        <v>43626</v>
      </c>
      <c r="P513" s="537">
        <v>43661</v>
      </c>
      <c r="Q513" s="537">
        <v>43718</v>
      </c>
      <c r="R513" s="491" t="s">
        <v>5472</v>
      </c>
      <c r="S513" s="495"/>
      <c r="T513" s="536">
        <v>242122</v>
      </c>
      <c r="U513" s="536">
        <v>292967.62</v>
      </c>
      <c r="V513" s="1471"/>
      <c r="W513" s="1471"/>
      <c r="X513" s="1471"/>
      <c r="Y513" s="573">
        <v>43718</v>
      </c>
      <c r="Z513" s="536" t="s">
        <v>5592</v>
      </c>
      <c r="AA513" s="537">
        <v>43774</v>
      </c>
      <c r="AB513" s="537">
        <v>43775</v>
      </c>
      <c r="AC513" s="537">
        <v>44139</v>
      </c>
      <c r="AD513" s="537">
        <v>43929</v>
      </c>
      <c r="AE513" s="537">
        <v>44279</v>
      </c>
      <c r="AF513" s="374"/>
      <c r="AG513" s="374"/>
    </row>
    <row r="514" spans="3:33">
      <c r="C514" s="510">
        <v>43602</v>
      </c>
      <c r="D514" s="1382" t="s">
        <v>4635</v>
      </c>
      <c r="E514" s="506" t="s">
        <v>69</v>
      </c>
      <c r="F514" s="506" t="s">
        <v>70</v>
      </c>
      <c r="G514" s="507" t="s">
        <v>4616</v>
      </c>
      <c r="H514" s="506">
        <v>10</v>
      </c>
      <c r="I514" s="548" t="s">
        <v>4685</v>
      </c>
      <c r="J514" s="506"/>
      <c r="K514" s="506" t="s">
        <v>42</v>
      </c>
      <c r="L514" s="506"/>
      <c r="M514" s="511">
        <v>281956</v>
      </c>
      <c r="N514" s="506" t="s">
        <v>251</v>
      </c>
      <c r="O514" s="510">
        <v>43626</v>
      </c>
      <c r="P514" s="510">
        <v>43661</v>
      </c>
      <c r="Q514" s="506"/>
      <c r="R514" s="514" t="s">
        <v>5554</v>
      </c>
      <c r="S514" s="736" t="s">
        <v>5495</v>
      </c>
      <c r="T514" s="511"/>
      <c r="U514" s="511"/>
      <c r="V514" s="1470"/>
      <c r="W514" s="1470"/>
      <c r="X514" s="1470"/>
      <c r="Y514" s="511"/>
      <c r="Z514" s="511"/>
      <c r="AA514" s="506"/>
      <c r="AB514" s="510">
        <v>43696</v>
      </c>
      <c r="AC514" s="506" t="s">
        <v>5229</v>
      </c>
      <c r="AD514" s="506"/>
      <c r="AE514" s="506"/>
    </row>
    <row r="515" spans="3:33">
      <c r="C515" s="510">
        <v>43602</v>
      </c>
      <c r="D515" s="1382" t="s">
        <v>4635</v>
      </c>
      <c r="E515" s="506" t="s">
        <v>69</v>
      </c>
      <c r="F515" s="506" t="s">
        <v>70</v>
      </c>
      <c r="G515" s="507" t="s">
        <v>4616</v>
      </c>
      <c r="H515" s="506">
        <v>11</v>
      </c>
      <c r="I515" s="548" t="s">
        <v>4686</v>
      </c>
      <c r="J515" s="506"/>
      <c r="K515" s="506" t="s">
        <v>42</v>
      </c>
      <c r="L515" s="506"/>
      <c r="M515" s="511">
        <v>273420</v>
      </c>
      <c r="N515" s="506" t="s">
        <v>251</v>
      </c>
      <c r="O515" s="510">
        <v>43626</v>
      </c>
      <c r="P515" s="510">
        <v>43661</v>
      </c>
      <c r="Q515" s="506"/>
      <c r="R515" s="514" t="s">
        <v>5558</v>
      </c>
      <c r="S515" s="736" t="s">
        <v>5495</v>
      </c>
      <c r="T515" s="511"/>
      <c r="U515" s="511"/>
      <c r="V515" s="1470"/>
      <c r="W515" s="1470"/>
      <c r="X515" s="1470"/>
      <c r="Y515" s="511"/>
      <c r="Z515" s="511"/>
      <c r="AA515" s="506"/>
      <c r="AB515" s="510">
        <v>43696</v>
      </c>
      <c r="AC515" s="506" t="s">
        <v>5229</v>
      </c>
      <c r="AD515" s="506"/>
      <c r="AE515" s="506"/>
    </row>
    <row r="516" spans="3:33">
      <c r="C516" s="510">
        <v>43602</v>
      </c>
      <c r="D516" s="1382" t="s">
        <v>4635</v>
      </c>
      <c r="E516" s="506" t="s">
        <v>69</v>
      </c>
      <c r="F516" s="506" t="s">
        <v>70</v>
      </c>
      <c r="G516" s="507" t="s">
        <v>4616</v>
      </c>
      <c r="H516" s="506">
        <v>12</v>
      </c>
      <c r="I516" s="548" t="s">
        <v>4687</v>
      </c>
      <c r="J516" s="506"/>
      <c r="K516" s="506" t="s">
        <v>42</v>
      </c>
      <c r="L516" s="506"/>
      <c r="M516" s="511">
        <v>9180</v>
      </c>
      <c r="N516" s="506" t="s">
        <v>251</v>
      </c>
      <c r="O516" s="510">
        <v>43626</v>
      </c>
      <c r="P516" s="510">
        <v>43661</v>
      </c>
      <c r="Q516" s="506"/>
      <c r="R516" s="514" t="s">
        <v>5557</v>
      </c>
      <c r="S516" s="736" t="s">
        <v>5495</v>
      </c>
      <c r="T516" s="511"/>
      <c r="U516" s="511"/>
      <c r="V516" s="1470"/>
      <c r="W516" s="1470"/>
      <c r="X516" s="1470"/>
      <c r="Y516" s="511"/>
      <c r="Z516" s="511"/>
      <c r="AA516" s="506"/>
      <c r="AB516" s="510">
        <v>43696</v>
      </c>
      <c r="AC516" s="506" t="s">
        <v>5229</v>
      </c>
      <c r="AD516" s="506"/>
      <c r="AE516" s="506"/>
    </row>
    <row r="517" spans="3:33">
      <c r="C517" s="537">
        <v>43602</v>
      </c>
      <c r="D517" s="1373" t="s">
        <v>4635</v>
      </c>
      <c r="E517" s="491" t="s">
        <v>69</v>
      </c>
      <c r="F517" s="491" t="s">
        <v>70</v>
      </c>
      <c r="G517" s="571" t="s">
        <v>4616</v>
      </c>
      <c r="H517" s="491">
        <v>13</v>
      </c>
      <c r="I517" s="495" t="s">
        <v>4688</v>
      </c>
      <c r="J517" s="491"/>
      <c r="K517" s="491" t="s">
        <v>42</v>
      </c>
      <c r="L517" s="491"/>
      <c r="M517" s="536">
        <v>15521</v>
      </c>
      <c r="N517" s="491" t="s">
        <v>251</v>
      </c>
      <c r="O517" s="537">
        <v>43626</v>
      </c>
      <c r="P517" s="537">
        <v>43661</v>
      </c>
      <c r="Q517" s="537">
        <v>43718</v>
      </c>
      <c r="R517" s="495" t="s">
        <v>5471</v>
      </c>
      <c r="S517" s="495"/>
      <c r="T517" s="536">
        <v>15498</v>
      </c>
      <c r="U517" s="536">
        <v>18752.580000000002</v>
      </c>
      <c r="V517" s="1471"/>
      <c r="W517" s="1471"/>
      <c r="X517" s="1471"/>
      <c r="Y517" s="573">
        <v>43718</v>
      </c>
      <c r="Z517" s="536" t="s">
        <v>5593</v>
      </c>
      <c r="AA517" s="537">
        <v>43774</v>
      </c>
      <c r="AB517" s="537">
        <v>43775</v>
      </c>
      <c r="AC517" s="537">
        <v>44139</v>
      </c>
      <c r="AD517" s="537">
        <v>43929</v>
      </c>
      <c r="AE517" s="537">
        <v>44279</v>
      </c>
      <c r="AF517" s="374"/>
      <c r="AG517" s="374"/>
    </row>
    <row r="518" spans="3:33">
      <c r="C518" s="510">
        <v>43602</v>
      </c>
      <c r="D518" s="1382" t="s">
        <v>4635</v>
      </c>
      <c r="E518" s="506" t="s">
        <v>69</v>
      </c>
      <c r="F518" s="506" t="s">
        <v>70</v>
      </c>
      <c r="G518" s="507" t="s">
        <v>4616</v>
      </c>
      <c r="H518" s="506">
        <v>14</v>
      </c>
      <c r="I518" s="548" t="s">
        <v>4689</v>
      </c>
      <c r="J518" s="506"/>
      <c r="K518" s="506" t="s">
        <v>42</v>
      </c>
      <c r="L518" s="506"/>
      <c r="M518" s="511">
        <v>285592</v>
      </c>
      <c r="N518" s="506" t="s">
        <v>251</v>
      </c>
      <c r="O518" s="510">
        <v>43626</v>
      </c>
      <c r="P518" s="510">
        <v>43661</v>
      </c>
      <c r="Q518" s="506"/>
      <c r="R518" s="514" t="s">
        <v>5548</v>
      </c>
      <c r="S518" s="736" t="s">
        <v>5495</v>
      </c>
      <c r="T518" s="511"/>
      <c r="U518" s="511"/>
      <c r="V518" s="1470"/>
      <c r="W518" s="1470"/>
      <c r="X518" s="1470"/>
      <c r="Y518" s="511"/>
      <c r="Z518" s="511"/>
      <c r="AA518" s="506"/>
      <c r="AB518" s="510">
        <v>43696</v>
      </c>
      <c r="AC518" s="506" t="s">
        <v>5229</v>
      </c>
      <c r="AD518" s="506"/>
      <c r="AE518" s="506"/>
    </row>
    <row r="519" spans="3:33">
      <c r="C519" s="510">
        <v>43602</v>
      </c>
      <c r="D519" s="1382" t="s">
        <v>4635</v>
      </c>
      <c r="E519" s="506" t="s">
        <v>69</v>
      </c>
      <c r="F519" s="506" t="s">
        <v>70</v>
      </c>
      <c r="G519" s="507" t="s">
        <v>4616</v>
      </c>
      <c r="H519" s="506">
        <v>15</v>
      </c>
      <c r="I519" s="548" t="s">
        <v>4690</v>
      </c>
      <c r="J519" s="506"/>
      <c r="K519" s="506" t="s">
        <v>42</v>
      </c>
      <c r="L519" s="506"/>
      <c r="M519" s="511">
        <v>7581</v>
      </c>
      <c r="N519" s="506" t="s">
        <v>251</v>
      </c>
      <c r="O519" s="510">
        <v>43626</v>
      </c>
      <c r="P519" s="510">
        <v>43661</v>
      </c>
      <c r="Q519" s="506"/>
      <c r="R519" s="514" t="s">
        <v>5559</v>
      </c>
      <c r="S519" s="736" t="s">
        <v>5495</v>
      </c>
      <c r="T519" s="511"/>
      <c r="U519" s="511"/>
      <c r="V519" s="1470"/>
      <c r="W519" s="1470"/>
      <c r="X519" s="1470"/>
      <c r="Y519" s="511"/>
      <c r="Z519" s="511"/>
      <c r="AA519" s="506"/>
      <c r="AB519" s="510">
        <v>43696</v>
      </c>
      <c r="AC519" s="506" t="s">
        <v>5229</v>
      </c>
      <c r="AD519" s="506"/>
      <c r="AE519" s="506"/>
    </row>
    <row r="520" spans="3:33" ht="15.75" thickBot="1">
      <c r="C520" s="643">
        <v>43602</v>
      </c>
      <c r="D520" s="1491" t="s">
        <v>4635</v>
      </c>
      <c r="E520" s="639" t="s">
        <v>69</v>
      </c>
      <c r="F520" s="639" t="s">
        <v>70</v>
      </c>
      <c r="G520" s="640" t="s">
        <v>4616</v>
      </c>
      <c r="H520" s="639">
        <v>16</v>
      </c>
      <c r="I520" s="1533" t="s">
        <v>4691</v>
      </c>
      <c r="J520" s="639"/>
      <c r="K520" s="639" t="s">
        <v>42</v>
      </c>
      <c r="L520" s="639"/>
      <c r="M520" s="645">
        <v>17828</v>
      </c>
      <c r="N520" s="639" t="s">
        <v>251</v>
      </c>
      <c r="O520" s="643">
        <v>43626</v>
      </c>
      <c r="P520" s="643">
        <v>43661</v>
      </c>
      <c r="Q520" s="639"/>
      <c r="R520" s="831" t="s">
        <v>5557</v>
      </c>
      <c r="S520" s="644" t="s">
        <v>5495</v>
      </c>
      <c r="T520" s="645"/>
      <c r="U520" s="645"/>
      <c r="V520" s="1534"/>
      <c r="W520" s="1534"/>
      <c r="X520" s="1534"/>
      <c r="Y520" s="645"/>
      <c r="Z520" s="645"/>
      <c r="AA520" s="639"/>
      <c r="AB520" s="643">
        <v>43696</v>
      </c>
      <c r="AC520" s="639" t="s">
        <v>5229</v>
      </c>
      <c r="AD520" s="639"/>
      <c r="AE520" s="639"/>
    </row>
    <row r="521" spans="3:33" ht="15.75" thickTop="1">
      <c r="C521" s="474">
        <v>43602</v>
      </c>
      <c r="D521" s="453" t="s">
        <v>4639</v>
      </c>
      <c r="E521" s="453" t="s">
        <v>69</v>
      </c>
      <c r="F521" s="453" t="s">
        <v>70</v>
      </c>
      <c r="G521" s="473" t="s">
        <v>4618</v>
      </c>
      <c r="H521" s="453">
        <v>1</v>
      </c>
      <c r="I521" s="1420" t="s">
        <v>4619</v>
      </c>
      <c r="J521" s="453"/>
      <c r="K521" s="453" t="s">
        <v>42</v>
      </c>
      <c r="L521" s="453"/>
      <c r="M521" s="457">
        <v>89798</v>
      </c>
      <c r="N521" s="453" t="s">
        <v>216</v>
      </c>
      <c r="O521" s="474">
        <v>43621</v>
      </c>
      <c r="P521" s="474">
        <v>43668</v>
      </c>
      <c r="Q521" s="474">
        <v>43768</v>
      </c>
      <c r="R521" s="453" t="s">
        <v>5900</v>
      </c>
      <c r="S521" s="1420"/>
      <c r="T521" s="457">
        <v>59000</v>
      </c>
      <c r="U521" s="457">
        <v>71390</v>
      </c>
      <c r="V521" s="1474"/>
      <c r="W521" s="1474"/>
      <c r="X521" s="1474"/>
      <c r="Y521" s="570">
        <v>43769</v>
      </c>
      <c r="Z521" s="457" t="s">
        <v>5929</v>
      </c>
      <c r="AA521" s="474">
        <v>43817</v>
      </c>
      <c r="AB521" s="474">
        <v>43843</v>
      </c>
      <c r="AC521" s="474">
        <v>44182</v>
      </c>
      <c r="AD521" s="474">
        <v>43929</v>
      </c>
      <c r="AE521" s="453" t="s">
        <v>8483</v>
      </c>
      <c r="AF521" s="374"/>
      <c r="AG521" s="374"/>
    </row>
    <row r="522" spans="3:33">
      <c r="C522" s="510">
        <v>43602</v>
      </c>
      <c r="D522" s="506" t="s">
        <v>4639</v>
      </c>
      <c r="E522" s="506" t="s">
        <v>69</v>
      </c>
      <c r="F522" s="506" t="s">
        <v>70</v>
      </c>
      <c r="G522" s="507" t="s">
        <v>4618</v>
      </c>
      <c r="H522" s="506">
        <v>2</v>
      </c>
      <c r="I522" s="548" t="s">
        <v>4620</v>
      </c>
      <c r="J522" s="506"/>
      <c r="K522" s="506" t="s">
        <v>42</v>
      </c>
      <c r="L522" s="506"/>
      <c r="M522" s="511">
        <v>298119</v>
      </c>
      <c r="N522" s="506" t="s">
        <v>216</v>
      </c>
      <c r="O522" s="510">
        <v>43621</v>
      </c>
      <c r="P522" s="510">
        <v>43668</v>
      </c>
      <c r="Q522" s="506"/>
      <c r="R522" s="514" t="s">
        <v>5560</v>
      </c>
      <c r="S522" s="736" t="s">
        <v>5516</v>
      </c>
      <c r="T522" s="511"/>
      <c r="U522" s="511"/>
      <c r="V522" s="1470"/>
      <c r="W522" s="1470"/>
      <c r="X522" s="1470"/>
      <c r="Y522" s="511"/>
      <c r="Z522" s="511"/>
      <c r="AA522" s="506"/>
      <c r="AB522" s="510">
        <v>43690</v>
      </c>
      <c r="AC522" s="506" t="s">
        <v>5232</v>
      </c>
      <c r="AD522" s="506"/>
      <c r="AE522" s="506"/>
    </row>
    <row r="523" spans="3:33">
      <c r="C523" s="544">
        <v>43602</v>
      </c>
      <c r="D523" s="540" t="s">
        <v>4639</v>
      </c>
      <c r="E523" s="540" t="s">
        <v>69</v>
      </c>
      <c r="F523" s="540" t="s">
        <v>70</v>
      </c>
      <c r="G523" s="541" t="s">
        <v>4618</v>
      </c>
      <c r="H523" s="540">
        <v>3</v>
      </c>
      <c r="I523" s="1402" t="s">
        <v>4621</v>
      </c>
      <c r="J523" s="590"/>
      <c r="K523" s="540" t="s">
        <v>42</v>
      </c>
      <c r="L523" s="540"/>
      <c r="M523" s="545">
        <v>1064078</v>
      </c>
      <c r="N523" s="540" t="s">
        <v>216</v>
      </c>
      <c r="O523" s="544">
        <v>43621</v>
      </c>
      <c r="P523" s="544">
        <v>43668</v>
      </c>
      <c r="Q523" s="544">
        <v>43768</v>
      </c>
      <c r="R523" s="540" t="s">
        <v>1319</v>
      </c>
      <c r="S523" s="1402"/>
      <c r="T523" s="545">
        <v>1053324.42</v>
      </c>
      <c r="U523" s="545">
        <v>1274522.55</v>
      </c>
      <c r="V523" s="1484"/>
      <c r="W523" s="1484"/>
      <c r="X523" s="1484"/>
      <c r="Y523" s="1385">
        <v>43769</v>
      </c>
      <c r="Z523" s="545" t="s">
        <v>5930</v>
      </c>
      <c r="AA523" s="540"/>
      <c r="AB523" s="540"/>
      <c r="AC523" s="540"/>
      <c r="AD523" s="540"/>
      <c r="AE523" s="540"/>
      <c r="AF523" s="374"/>
      <c r="AG523" s="374"/>
    </row>
    <row r="524" spans="3:33">
      <c r="C524" s="537">
        <v>43602</v>
      </c>
      <c r="D524" s="491" t="s">
        <v>4639</v>
      </c>
      <c r="E524" s="491" t="s">
        <v>69</v>
      </c>
      <c r="F524" s="491" t="s">
        <v>70</v>
      </c>
      <c r="G524" s="571" t="s">
        <v>4618</v>
      </c>
      <c r="H524" s="491">
        <v>4</v>
      </c>
      <c r="I524" s="495" t="s">
        <v>4622</v>
      </c>
      <c r="J524" s="491"/>
      <c r="K524" s="491" t="s">
        <v>42</v>
      </c>
      <c r="L524" s="491"/>
      <c r="M524" s="536">
        <v>1025469</v>
      </c>
      <c r="N524" s="491" t="s">
        <v>216</v>
      </c>
      <c r="O524" s="537">
        <v>43621</v>
      </c>
      <c r="P524" s="537">
        <v>43668</v>
      </c>
      <c r="Q524" s="537">
        <v>43768</v>
      </c>
      <c r="R524" s="491" t="s">
        <v>5901</v>
      </c>
      <c r="S524" s="495"/>
      <c r="T524" s="536">
        <v>1022982</v>
      </c>
      <c r="U524" s="536">
        <v>1237808.22</v>
      </c>
      <c r="V524" s="1471"/>
      <c r="W524" s="1471"/>
      <c r="X524" s="1471"/>
      <c r="Y524" s="573">
        <v>43769</v>
      </c>
      <c r="Z524" s="536" t="s">
        <v>5931</v>
      </c>
      <c r="AA524" s="537">
        <v>43817</v>
      </c>
      <c r="AB524" s="537">
        <v>43843</v>
      </c>
      <c r="AC524" s="537">
        <v>44182</v>
      </c>
      <c r="AD524" s="537">
        <v>43929</v>
      </c>
      <c r="AE524" s="537">
        <v>44279</v>
      </c>
      <c r="AF524" s="374"/>
      <c r="AG524" s="374"/>
    </row>
    <row r="525" spans="3:33">
      <c r="C525" s="544">
        <v>43602</v>
      </c>
      <c r="D525" s="540" t="s">
        <v>4639</v>
      </c>
      <c r="E525" s="540" t="s">
        <v>69</v>
      </c>
      <c r="F525" s="540" t="s">
        <v>70</v>
      </c>
      <c r="G525" s="541" t="s">
        <v>4618</v>
      </c>
      <c r="H525" s="540">
        <v>5</v>
      </c>
      <c r="I525" s="1402" t="s">
        <v>4623</v>
      </c>
      <c r="J525" s="590"/>
      <c r="K525" s="540" t="s">
        <v>42</v>
      </c>
      <c r="L525" s="540"/>
      <c r="M525" s="545">
        <v>256728</v>
      </c>
      <c r="N525" s="540" t="s">
        <v>216</v>
      </c>
      <c r="O525" s="544">
        <v>43621</v>
      </c>
      <c r="P525" s="544">
        <v>43668</v>
      </c>
      <c r="Q525" s="544">
        <v>43768</v>
      </c>
      <c r="R525" s="540" t="s">
        <v>5353</v>
      </c>
      <c r="S525" s="1402"/>
      <c r="T525" s="545">
        <v>256725</v>
      </c>
      <c r="U525" s="545">
        <v>310637.25</v>
      </c>
      <c r="V525" s="1484"/>
      <c r="W525" s="1484"/>
      <c r="X525" s="1484"/>
      <c r="Y525" s="1385">
        <v>43769</v>
      </c>
      <c r="Z525" s="545" t="s">
        <v>5932</v>
      </c>
      <c r="AA525" s="540"/>
      <c r="AB525" s="540"/>
      <c r="AC525" s="540"/>
      <c r="AD525" s="540"/>
      <c r="AE525" s="540"/>
      <c r="AF525" s="374"/>
      <c r="AG525" s="374"/>
    </row>
    <row r="526" spans="3:33">
      <c r="C526" s="537">
        <v>43602</v>
      </c>
      <c r="D526" s="491" t="s">
        <v>4639</v>
      </c>
      <c r="E526" s="491" t="s">
        <v>69</v>
      </c>
      <c r="F526" s="491" t="s">
        <v>70</v>
      </c>
      <c r="G526" s="571" t="s">
        <v>4618</v>
      </c>
      <c r="H526" s="491">
        <v>6</v>
      </c>
      <c r="I526" s="495" t="s">
        <v>4624</v>
      </c>
      <c r="J526" s="491"/>
      <c r="K526" s="491" t="s">
        <v>42</v>
      </c>
      <c r="L526" s="491"/>
      <c r="M526" s="536">
        <v>114919</v>
      </c>
      <c r="N526" s="491" t="s">
        <v>216</v>
      </c>
      <c r="O526" s="537">
        <v>43621</v>
      </c>
      <c r="P526" s="537">
        <v>43668</v>
      </c>
      <c r="Q526" s="537">
        <v>43768</v>
      </c>
      <c r="R526" s="491" t="s">
        <v>5902</v>
      </c>
      <c r="S526" s="495"/>
      <c r="T526" s="536">
        <v>107624.79</v>
      </c>
      <c r="U526" s="536">
        <v>130226.01</v>
      </c>
      <c r="V526" s="1471"/>
      <c r="W526" s="1471"/>
      <c r="X526" s="1471"/>
      <c r="Y526" s="573">
        <v>43769</v>
      </c>
      <c r="Z526" s="536" t="s">
        <v>5933</v>
      </c>
      <c r="AA526" s="537">
        <v>43817</v>
      </c>
      <c r="AB526" s="537">
        <v>43843</v>
      </c>
      <c r="AC526" s="537">
        <v>44182</v>
      </c>
      <c r="AD526" s="537">
        <v>43929</v>
      </c>
      <c r="AE526" s="537">
        <v>44279</v>
      </c>
      <c r="AF526" s="374"/>
      <c r="AG526" s="374"/>
    </row>
    <row r="527" spans="3:33">
      <c r="C527" s="510">
        <v>43602</v>
      </c>
      <c r="D527" s="506" t="s">
        <v>4639</v>
      </c>
      <c r="E527" s="506" t="s">
        <v>69</v>
      </c>
      <c r="F527" s="506" t="s">
        <v>70</v>
      </c>
      <c r="G527" s="507" t="s">
        <v>4618</v>
      </c>
      <c r="H527" s="506">
        <v>7</v>
      </c>
      <c r="I527" s="548" t="s">
        <v>4625</v>
      </c>
      <c r="J527" s="506"/>
      <c r="K527" s="506" t="s">
        <v>42</v>
      </c>
      <c r="L527" s="506"/>
      <c r="M527" s="511">
        <v>122783</v>
      </c>
      <c r="N527" s="506" t="s">
        <v>216</v>
      </c>
      <c r="O527" s="510">
        <v>43621</v>
      </c>
      <c r="P527" s="510">
        <v>43668</v>
      </c>
      <c r="Q527" s="506"/>
      <c r="R527" s="514" t="s">
        <v>5561</v>
      </c>
      <c r="S527" s="736" t="s">
        <v>5516</v>
      </c>
      <c r="T527" s="511"/>
      <c r="U527" s="511"/>
      <c r="V527" s="1470"/>
      <c r="W527" s="1470"/>
      <c r="X527" s="1470"/>
      <c r="Y527" s="511"/>
      <c r="Z527" s="511"/>
      <c r="AA527" s="506"/>
      <c r="AB527" s="510">
        <v>43690</v>
      </c>
      <c r="AC527" s="506" t="s">
        <v>5232</v>
      </c>
      <c r="AD527" s="506"/>
      <c r="AE527" s="506"/>
    </row>
    <row r="528" spans="3:33">
      <c r="C528" s="537">
        <v>43602</v>
      </c>
      <c r="D528" s="491" t="s">
        <v>4639</v>
      </c>
      <c r="E528" s="491" t="s">
        <v>69</v>
      </c>
      <c r="F528" s="491" t="s">
        <v>70</v>
      </c>
      <c r="G528" s="571" t="s">
        <v>4618</v>
      </c>
      <c r="H528" s="491">
        <v>8</v>
      </c>
      <c r="I528" s="495" t="s">
        <v>4626</v>
      </c>
      <c r="J528" s="491"/>
      <c r="K528" s="491" t="s">
        <v>42</v>
      </c>
      <c r="L528" s="491"/>
      <c r="M528" s="536">
        <v>182762</v>
      </c>
      <c r="N528" s="491" t="s">
        <v>216</v>
      </c>
      <c r="O528" s="537">
        <v>43621</v>
      </c>
      <c r="P528" s="537">
        <v>43668</v>
      </c>
      <c r="Q528" s="537">
        <v>43768</v>
      </c>
      <c r="R528" s="491" t="s">
        <v>5902</v>
      </c>
      <c r="S528" s="495"/>
      <c r="T528" s="536">
        <v>117233.47</v>
      </c>
      <c r="U528" s="536">
        <v>142149.51999999999</v>
      </c>
      <c r="V528" s="1471"/>
      <c r="W528" s="1471"/>
      <c r="X528" s="1471"/>
      <c r="Y528" s="573">
        <v>43769</v>
      </c>
      <c r="Z528" s="536" t="s">
        <v>5934</v>
      </c>
      <c r="AA528" s="537">
        <v>43817</v>
      </c>
      <c r="AB528" s="537">
        <v>43843</v>
      </c>
      <c r="AC528" s="537">
        <v>44182</v>
      </c>
      <c r="AD528" s="537">
        <v>43929</v>
      </c>
      <c r="AE528" s="491" t="s">
        <v>8483</v>
      </c>
      <c r="AF528" s="374"/>
      <c r="AG528" s="374"/>
    </row>
    <row r="529" spans="3:34" ht="15.75" thickBot="1">
      <c r="C529" s="1363">
        <v>43602</v>
      </c>
      <c r="D529" s="1355" t="s">
        <v>4639</v>
      </c>
      <c r="E529" s="1355" t="s">
        <v>69</v>
      </c>
      <c r="F529" s="1355" t="s">
        <v>70</v>
      </c>
      <c r="G529" s="1361" t="s">
        <v>4618</v>
      </c>
      <c r="H529" s="1355">
        <v>9</v>
      </c>
      <c r="I529" s="1419" t="s">
        <v>4627</v>
      </c>
      <c r="J529" s="1356"/>
      <c r="K529" s="1355" t="s">
        <v>42</v>
      </c>
      <c r="L529" s="1355"/>
      <c r="M529" s="1362">
        <v>91580</v>
      </c>
      <c r="N529" s="1355" t="s">
        <v>216</v>
      </c>
      <c r="O529" s="1363">
        <v>43621</v>
      </c>
      <c r="P529" s="1363">
        <v>43668</v>
      </c>
      <c r="Q529" s="1363">
        <v>43768</v>
      </c>
      <c r="R529" s="1355" t="s">
        <v>5903</v>
      </c>
      <c r="S529" s="1419"/>
      <c r="T529" s="1362">
        <v>91578</v>
      </c>
      <c r="U529" s="1362">
        <v>110809.38</v>
      </c>
      <c r="V529" s="1485"/>
      <c r="W529" s="1485"/>
      <c r="X529" s="1485"/>
      <c r="Y529" s="1512">
        <v>43769</v>
      </c>
      <c r="Z529" s="1362" t="s">
        <v>5935</v>
      </c>
      <c r="AA529" s="1355"/>
      <c r="AB529" s="1355"/>
      <c r="AC529" s="1355"/>
      <c r="AD529" s="1355"/>
      <c r="AE529" s="1355"/>
      <c r="AF529" s="374"/>
      <c r="AG529" s="374"/>
    </row>
    <row r="530" spans="3:34" ht="15.75" thickTop="1">
      <c r="C530" s="365">
        <v>43606</v>
      </c>
      <c r="D530" s="1397" t="s">
        <v>4693</v>
      </c>
      <c r="E530" s="1570" t="s">
        <v>14</v>
      </c>
      <c r="F530" s="1570" t="s">
        <v>1753</v>
      </c>
      <c r="G530" s="175" t="s">
        <v>4694</v>
      </c>
      <c r="H530" s="1570"/>
      <c r="I530" s="1571"/>
      <c r="J530" s="1570"/>
      <c r="K530" s="1570" t="s">
        <v>4695</v>
      </c>
      <c r="L530" s="1570"/>
      <c r="M530" s="364">
        <v>318182</v>
      </c>
      <c r="N530" s="1570" t="s">
        <v>112</v>
      </c>
      <c r="O530" s="365">
        <v>43609</v>
      </c>
      <c r="P530" s="365">
        <v>43616</v>
      </c>
      <c r="Q530" s="365">
        <v>43620</v>
      </c>
      <c r="R530" s="1791" t="s">
        <v>1074</v>
      </c>
      <c r="S530" s="1705"/>
      <c r="T530" s="364">
        <v>296240.03999999998</v>
      </c>
      <c r="U530" s="364">
        <v>358450.45</v>
      </c>
      <c r="V530" s="1473"/>
      <c r="W530" s="1473"/>
      <c r="X530" s="1473"/>
      <c r="Y530" s="681">
        <v>43620</v>
      </c>
      <c r="Z530" s="364" t="s">
        <v>4858</v>
      </c>
      <c r="AA530" s="365">
        <v>43647</v>
      </c>
      <c r="AB530" s="365">
        <v>43656</v>
      </c>
      <c r="AC530" s="365">
        <v>44165</v>
      </c>
      <c r="AD530" s="365">
        <v>43717</v>
      </c>
      <c r="AE530" s="1513"/>
      <c r="AF530" s="374"/>
      <c r="AG530" s="374"/>
    </row>
    <row r="531" spans="3:34">
      <c r="C531" s="510">
        <v>43599</v>
      </c>
      <c r="D531" s="1382" t="s">
        <v>4697</v>
      </c>
      <c r="E531" s="506" t="s">
        <v>2434</v>
      </c>
      <c r="F531" s="506" t="s">
        <v>219</v>
      </c>
      <c r="G531" s="507" t="s">
        <v>4698</v>
      </c>
      <c r="H531" s="506"/>
      <c r="I531" s="548"/>
      <c r="J531" s="506"/>
      <c r="K531" s="506" t="s">
        <v>1880</v>
      </c>
      <c r="L531" s="506" t="s">
        <v>4699</v>
      </c>
      <c r="M531" s="511">
        <v>1123966.8999999999</v>
      </c>
      <c r="N531" s="506" t="s">
        <v>112</v>
      </c>
      <c r="O531" s="510">
        <v>43608</v>
      </c>
      <c r="P531" s="510">
        <v>43615</v>
      </c>
      <c r="Q531" s="506"/>
      <c r="R531" s="514" t="s">
        <v>2635</v>
      </c>
      <c r="S531" s="1713" t="s">
        <v>4835</v>
      </c>
      <c r="T531" s="511"/>
      <c r="U531" s="511"/>
      <c r="V531" s="1470"/>
      <c r="W531" s="1470"/>
      <c r="X531" s="1470"/>
      <c r="Y531" s="511"/>
      <c r="Z531" s="511"/>
      <c r="AA531" s="506"/>
      <c r="AB531" s="1557">
        <v>43616</v>
      </c>
      <c r="AC531" s="506"/>
      <c r="AD531" s="506"/>
      <c r="AE531" s="506"/>
    </row>
    <row r="532" spans="3:34">
      <c r="C532" s="537" t="s">
        <v>3585</v>
      </c>
      <c r="D532" s="1373" t="s">
        <v>4700</v>
      </c>
      <c r="E532" s="491" t="s">
        <v>3678</v>
      </c>
      <c r="F532" s="491" t="s">
        <v>918</v>
      </c>
      <c r="G532" s="571" t="s">
        <v>4701</v>
      </c>
      <c r="H532" s="491"/>
      <c r="I532" s="495"/>
      <c r="J532" s="491"/>
      <c r="K532" s="491" t="s">
        <v>1518</v>
      </c>
      <c r="L532" s="491"/>
      <c r="M532" s="536">
        <v>260000</v>
      </c>
      <c r="N532" s="491" t="s">
        <v>112</v>
      </c>
      <c r="O532" s="537">
        <v>43616</v>
      </c>
      <c r="P532" s="537">
        <v>43627</v>
      </c>
      <c r="Q532" s="537">
        <v>43636</v>
      </c>
      <c r="R532" s="491" t="s">
        <v>472</v>
      </c>
      <c r="S532" s="495"/>
      <c r="T532" s="536">
        <v>323640</v>
      </c>
      <c r="U532" s="536">
        <f>T532*1.21</f>
        <v>391604.39999999997</v>
      </c>
      <c r="V532" s="1471"/>
      <c r="W532" s="1471"/>
      <c r="X532" s="1471"/>
      <c r="Y532" s="573">
        <v>43636</v>
      </c>
      <c r="Z532" s="536" t="s">
        <v>4974</v>
      </c>
      <c r="AA532" s="537">
        <v>43678</v>
      </c>
      <c r="AB532" s="537">
        <v>43678</v>
      </c>
      <c r="AC532" s="491" t="s">
        <v>4096</v>
      </c>
      <c r="AD532" s="537">
        <v>43913</v>
      </c>
      <c r="AE532" s="537">
        <v>44278</v>
      </c>
      <c r="AF532" s="1560">
        <v>44644</v>
      </c>
      <c r="AG532" s="388">
        <v>2022</v>
      </c>
      <c r="AH532" s="388">
        <v>2023</v>
      </c>
    </row>
    <row r="533" spans="3:34">
      <c r="C533" s="510">
        <v>43606</v>
      </c>
      <c r="D533" s="1382" t="s">
        <v>4702</v>
      </c>
      <c r="E533" s="506" t="s">
        <v>58</v>
      </c>
      <c r="F533" s="506" t="s">
        <v>2684</v>
      </c>
      <c r="G533" s="507" t="s">
        <v>4703</v>
      </c>
      <c r="H533" s="506"/>
      <c r="I533" s="548"/>
      <c r="J533" s="590"/>
      <c r="K533" s="506" t="s">
        <v>4704</v>
      </c>
      <c r="L533" s="506" t="s">
        <v>4249</v>
      </c>
      <c r="M533" s="511">
        <v>416000</v>
      </c>
      <c r="N533" s="506" t="s">
        <v>112</v>
      </c>
      <c r="O533" s="510">
        <v>43619</v>
      </c>
      <c r="P533" s="510">
        <v>43628</v>
      </c>
      <c r="Q533" s="506"/>
      <c r="R533" s="514" t="s">
        <v>304</v>
      </c>
      <c r="S533" s="1713" t="s">
        <v>4956</v>
      </c>
      <c r="T533" s="511"/>
      <c r="U533" s="511"/>
      <c r="V533" s="1484"/>
      <c r="W533" s="1484"/>
      <c r="X533" s="1484"/>
      <c r="Y533" s="511"/>
      <c r="Z533" s="511"/>
      <c r="AA533" s="506"/>
      <c r="AB533" s="510">
        <v>43628</v>
      </c>
      <c r="AC533" s="506"/>
      <c r="AD533" s="506"/>
      <c r="AE533" s="1396"/>
      <c r="AF533" s="1351"/>
    </row>
    <row r="534" spans="3:34">
      <c r="C534" s="510">
        <v>43606</v>
      </c>
      <c r="D534" s="1382" t="s">
        <v>4705</v>
      </c>
      <c r="E534" s="506" t="s">
        <v>2434</v>
      </c>
      <c r="F534" s="506" t="s">
        <v>219</v>
      </c>
      <c r="G534" s="507" t="s">
        <v>4706</v>
      </c>
      <c r="H534" s="506"/>
      <c r="I534" s="548"/>
      <c r="J534" s="540"/>
      <c r="K534" s="506" t="s">
        <v>642</v>
      </c>
      <c r="L534" s="506"/>
      <c r="M534" s="511">
        <v>264400</v>
      </c>
      <c r="N534" s="506" t="s">
        <v>112</v>
      </c>
      <c r="O534" s="510">
        <v>43615</v>
      </c>
      <c r="P534" s="510">
        <v>43627</v>
      </c>
      <c r="Q534" s="506"/>
      <c r="R534" s="514" t="s">
        <v>5633</v>
      </c>
      <c r="S534" s="1714" t="s">
        <v>5634</v>
      </c>
      <c r="T534" s="511"/>
      <c r="U534" s="511"/>
      <c r="V534" s="1484"/>
      <c r="W534" s="1484"/>
      <c r="X534" s="1484"/>
      <c r="Y534" s="511"/>
      <c r="Z534" s="511"/>
      <c r="AA534" s="506"/>
      <c r="AB534" s="510">
        <v>43641</v>
      </c>
      <c r="AC534" s="506"/>
      <c r="AD534" s="506"/>
      <c r="AE534" s="506"/>
      <c r="AF534" s="374"/>
      <c r="AG534" s="374"/>
    </row>
    <row r="535" spans="3:34">
      <c r="C535" s="510">
        <v>43606</v>
      </c>
      <c r="D535" s="1382" t="s">
        <v>4707</v>
      </c>
      <c r="E535" s="506" t="s">
        <v>2434</v>
      </c>
      <c r="F535" s="506" t="s">
        <v>219</v>
      </c>
      <c r="G535" s="507" t="s">
        <v>4708</v>
      </c>
      <c r="H535" s="506"/>
      <c r="I535" s="548"/>
      <c r="J535" s="506"/>
      <c r="K535" s="506" t="s">
        <v>642</v>
      </c>
      <c r="L535" s="506"/>
      <c r="M535" s="511">
        <v>409600</v>
      </c>
      <c r="N535" s="506" t="s">
        <v>112</v>
      </c>
      <c r="O535" s="510">
        <v>43615</v>
      </c>
      <c r="P535" s="510">
        <v>43627</v>
      </c>
      <c r="Q535" s="506"/>
      <c r="R535" s="514" t="s">
        <v>4953</v>
      </c>
      <c r="S535" s="1713" t="s">
        <v>5580</v>
      </c>
      <c r="T535" s="511"/>
      <c r="U535" s="511"/>
      <c r="V535" s="1470"/>
      <c r="W535" s="1470"/>
      <c r="X535" s="1470"/>
      <c r="Y535" s="511"/>
      <c r="Z535" s="511"/>
      <c r="AA535" s="506"/>
      <c r="AB535" s="510">
        <v>43630</v>
      </c>
      <c r="AC535" s="506"/>
      <c r="AD535" s="506"/>
      <c r="AE535" s="1396"/>
      <c r="AF535" s="1351"/>
    </row>
    <row r="536" spans="3:34" ht="30">
      <c r="C536" s="537">
        <v>43598</v>
      </c>
      <c r="D536" s="1373" t="s">
        <v>4730</v>
      </c>
      <c r="E536" s="491" t="s">
        <v>2434</v>
      </c>
      <c r="F536" s="491" t="s">
        <v>219</v>
      </c>
      <c r="G536" s="571" t="s">
        <v>4731</v>
      </c>
      <c r="H536" s="491"/>
      <c r="I536" s="495"/>
      <c r="J536" s="491"/>
      <c r="K536" s="491" t="s">
        <v>642</v>
      </c>
      <c r="L536" s="491"/>
      <c r="M536" s="536">
        <v>311600</v>
      </c>
      <c r="N536" s="491" t="s">
        <v>112</v>
      </c>
      <c r="O536" s="537">
        <v>43609</v>
      </c>
      <c r="P536" s="537">
        <v>43616</v>
      </c>
      <c r="Q536" s="537">
        <v>43627</v>
      </c>
      <c r="R536" s="491" t="s">
        <v>3080</v>
      </c>
      <c r="S536" s="495"/>
      <c r="T536" s="536">
        <v>311600</v>
      </c>
      <c r="U536" s="536">
        <v>377036</v>
      </c>
      <c r="V536" s="1471"/>
      <c r="W536" s="1471"/>
      <c r="X536" s="1471"/>
      <c r="Y536" s="573">
        <v>43633</v>
      </c>
      <c r="Z536" s="1375" t="s">
        <v>4950</v>
      </c>
      <c r="AA536" s="537">
        <v>43665</v>
      </c>
      <c r="AB536" s="537">
        <v>43671</v>
      </c>
      <c r="AC536" s="537">
        <v>44395</v>
      </c>
      <c r="AD536" s="537">
        <v>43930</v>
      </c>
      <c r="AE536" s="537">
        <v>44285</v>
      </c>
      <c r="AF536" s="1560">
        <v>44637</v>
      </c>
      <c r="AG536" s="374"/>
    </row>
    <row r="537" spans="3:34" ht="30">
      <c r="C537" s="537">
        <v>43598</v>
      </c>
      <c r="D537" s="1373" t="s">
        <v>4732</v>
      </c>
      <c r="E537" s="491" t="s">
        <v>2434</v>
      </c>
      <c r="F537" s="491" t="s">
        <v>219</v>
      </c>
      <c r="G537" s="571" t="s">
        <v>4733</v>
      </c>
      <c r="H537" s="491"/>
      <c r="I537" s="495"/>
      <c r="J537" s="491"/>
      <c r="K537" s="491" t="s">
        <v>642</v>
      </c>
      <c r="L537" s="491"/>
      <c r="M537" s="536">
        <v>444640</v>
      </c>
      <c r="N537" s="491" t="s">
        <v>112</v>
      </c>
      <c r="O537" s="537">
        <v>43609</v>
      </c>
      <c r="P537" s="537">
        <v>43620</v>
      </c>
      <c r="Q537" s="537">
        <v>43627</v>
      </c>
      <c r="R537" s="777" t="s">
        <v>4839</v>
      </c>
      <c r="S537" s="1712"/>
      <c r="T537" s="536">
        <v>444640</v>
      </c>
      <c r="U537" s="536">
        <v>538014.4</v>
      </c>
      <c r="V537" s="1471"/>
      <c r="W537" s="1471"/>
      <c r="X537" s="1471"/>
      <c r="Y537" s="573">
        <v>43633</v>
      </c>
      <c r="Z537" s="1375" t="s">
        <v>4949</v>
      </c>
      <c r="AA537" s="537">
        <v>43663</v>
      </c>
      <c r="AB537" s="537">
        <v>43665</v>
      </c>
      <c r="AC537" s="537">
        <v>44393</v>
      </c>
      <c r="AD537" s="537">
        <v>43930</v>
      </c>
      <c r="AE537" s="537">
        <v>44285</v>
      </c>
      <c r="AF537" s="1560">
        <v>44637</v>
      </c>
      <c r="AG537" s="374"/>
    </row>
    <row r="538" spans="3:34" ht="30">
      <c r="C538" s="537">
        <v>43606</v>
      </c>
      <c r="D538" s="1373" t="s">
        <v>4734</v>
      </c>
      <c r="E538" s="491" t="s">
        <v>58</v>
      </c>
      <c r="F538" s="491" t="s">
        <v>55</v>
      </c>
      <c r="G538" s="571" t="s">
        <v>4735</v>
      </c>
      <c r="H538" s="491"/>
      <c r="I538" s="495"/>
      <c r="J538" s="491"/>
      <c r="K538" s="1623" t="s">
        <v>2920</v>
      </c>
      <c r="L538" s="491"/>
      <c r="M538" s="536">
        <v>425000</v>
      </c>
      <c r="N538" s="491" t="s">
        <v>112</v>
      </c>
      <c r="O538" s="537">
        <v>43619</v>
      </c>
      <c r="P538" s="537">
        <v>43630</v>
      </c>
      <c r="Q538" s="537">
        <v>43658</v>
      </c>
      <c r="R538" s="491" t="s">
        <v>3953</v>
      </c>
      <c r="S538" s="495"/>
      <c r="T538" s="536">
        <v>654543.43000000005</v>
      </c>
      <c r="U538" s="536">
        <v>757358.14</v>
      </c>
      <c r="V538" s="1471"/>
      <c r="W538" s="1471"/>
      <c r="X538" s="1471"/>
      <c r="Y538" s="573">
        <v>43658</v>
      </c>
      <c r="Z538" s="1375" t="s">
        <v>5106</v>
      </c>
      <c r="AA538" s="537">
        <v>43699</v>
      </c>
      <c r="AB538" s="537">
        <v>43705</v>
      </c>
      <c r="AC538" s="537">
        <f>AA538+70</f>
        <v>43769</v>
      </c>
      <c r="AD538" s="537">
        <v>43808</v>
      </c>
      <c r="AE538" s="1374" t="s">
        <v>1875</v>
      </c>
      <c r="AF538" s="1166"/>
      <c r="AG538" s="374"/>
    </row>
    <row r="539" spans="3:34">
      <c r="C539" s="537">
        <v>43600</v>
      </c>
      <c r="D539" s="1373" t="s">
        <v>4736</v>
      </c>
      <c r="E539" s="491" t="s">
        <v>2434</v>
      </c>
      <c r="F539" s="491" t="s">
        <v>219</v>
      </c>
      <c r="G539" s="571" t="s">
        <v>4737</v>
      </c>
      <c r="H539" s="491"/>
      <c r="I539" s="495"/>
      <c r="J539" s="491"/>
      <c r="K539" s="491" t="s">
        <v>3271</v>
      </c>
      <c r="L539" s="491"/>
      <c r="M539" s="536">
        <v>1090000</v>
      </c>
      <c r="N539" s="491" t="s">
        <v>216</v>
      </c>
      <c r="O539" s="537">
        <v>43623</v>
      </c>
      <c r="P539" s="537">
        <v>43642</v>
      </c>
      <c r="Q539" s="537">
        <v>43670</v>
      </c>
      <c r="R539" s="491" t="s">
        <v>993</v>
      </c>
      <c r="S539" s="495"/>
      <c r="T539" s="536">
        <v>913708</v>
      </c>
      <c r="U539" s="536">
        <v>1105586.68</v>
      </c>
      <c r="V539" s="1471"/>
      <c r="W539" s="1471"/>
      <c r="X539" s="1471"/>
      <c r="Y539" s="573">
        <v>43670</v>
      </c>
      <c r="Z539" s="536" t="s">
        <v>5156</v>
      </c>
      <c r="AA539" s="537">
        <v>43735</v>
      </c>
      <c r="AB539" s="537">
        <v>43741</v>
      </c>
      <c r="AC539" s="537">
        <f>AA539+42</f>
        <v>43777</v>
      </c>
      <c r="AD539" s="537">
        <v>44285</v>
      </c>
      <c r="AE539" s="1102"/>
      <c r="AF539" s="1166"/>
      <c r="AG539" s="374"/>
    </row>
    <row r="540" spans="3:34">
      <c r="C540" s="537" t="s">
        <v>3585</v>
      </c>
      <c r="D540" s="1373" t="s">
        <v>4738</v>
      </c>
      <c r="E540" s="491" t="s">
        <v>1032</v>
      </c>
      <c r="F540" s="491" t="s">
        <v>361</v>
      </c>
      <c r="G540" s="571" t="s">
        <v>4739</v>
      </c>
      <c r="H540" s="491"/>
      <c r="I540" s="495"/>
      <c r="J540" s="491"/>
      <c r="K540" s="491" t="s">
        <v>806</v>
      </c>
      <c r="L540" s="491" t="s">
        <v>4303</v>
      </c>
      <c r="M540" s="536">
        <v>4130000</v>
      </c>
      <c r="N540" s="491" t="s">
        <v>251</v>
      </c>
      <c r="O540" s="537">
        <v>43609</v>
      </c>
      <c r="P540" s="537">
        <v>43641</v>
      </c>
      <c r="Q540" s="537">
        <v>43642</v>
      </c>
      <c r="R540" s="491" t="s">
        <v>5005</v>
      </c>
      <c r="S540" s="495"/>
      <c r="T540" s="536">
        <v>5936572</v>
      </c>
      <c r="U540" s="536">
        <v>7183252.1200000001</v>
      </c>
      <c r="V540" s="1471"/>
      <c r="W540" s="1471"/>
      <c r="X540" s="1471"/>
      <c r="Y540" s="573">
        <v>43642</v>
      </c>
      <c r="Z540" s="536" t="s">
        <v>5004</v>
      </c>
      <c r="AA540" s="537">
        <v>43661</v>
      </c>
      <c r="AB540" s="537">
        <v>43671</v>
      </c>
      <c r="AC540" s="537">
        <v>43679</v>
      </c>
      <c r="AD540" s="537">
        <v>43773</v>
      </c>
      <c r="AE540" s="1102"/>
      <c r="AF540" s="1166"/>
      <c r="AG540" s="374"/>
    </row>
    <row r="541" spans="3:34" ht="30.75" thickBot="1">
      <c r="C541" s="416" t="s">
        <v>3585</v>
      </c>
      <c r="D541" s="1468" t="s">
        <v>4741</v>
      </c>
      <c r="E541" s="411" t="s">
        <v>1700</v>
      </c>
      <c r="F541" s="411" t="s">
        <v>6206</v>
      </c>
      <c r="G541" s="412" t="s">
        <v>4742</v>
      </c>
      <c r="H541" s="411"/>
      <c r="I541" s="630"/>
      <c r="J541" s="411"/>
      <c r="K541" s="411" t="s">
        <v>77</v>
      </c>
      <c r="L541" s="411" t="s">
        <v>4743</v>
      </c>
      <c r="M541" s="417">
        <v>290082</v>
      </c>
      <c r="N541" s="411" t="s">
        <v>251</v>
      </c>
      <c r="O541" s="416">
        <v>43635</v>
      </c>
      <c r="P541" s="416">
        <v>43669</v>
      </c>
      <c r="Q541" s="416">
        <v>43692</v>
      </c>
      <c r="R541" s="411" t="s">
        <v>5251</v>
      </c>
      <c r="S541" s="630"/>
      <c r="T541" s="417">
        <v>310160</v>
      </c>
      <c r="U541" s="417">
        <f>T541*1.21</f>
        <v>375293.6</v>
      </c>
      <c r="V541" s="1480"/>
      <c r="W541" s="1480"/>
      <c r="X541" s="1480"/>
      <c r="Y541" s="513">
        <v>43693</v>
      </c>
      <c r="Z541" s="1553" t="s">
        <v>5257</v>
      </c>
      <c r="AA541" s="416">
        <v>43724</v>
      </c>
      <c r="AB541" s="416">
        <v>43728</v>
      </c>
      <c r="AC541" s="416">
        <f>AA541+56</f>
        <v>43780</v>
      </c>
      <c r="AD541" s="416">
        <v>44244</v>
      </c>
      <c r="AE541" s="422" t="s">
        <v>1875</v>
      </c>
      <c r="AF541" s="1166"/>
      <c r="AG541" s="374"/>
    </row>
    <row r="542" spans="3:34" ht="30.75" thickTop="1">
      <c r="C542" s="1735">
        <v>43606</v>
      </c>
      <c r="D542" s="453" t="s">
        <v>4744</v>
      </c>
      <c r="E542" s="453" t="s">
        <v>2434</v>
      </c>
      <c r="F542" s="453" t="s">
        <v>219</v>
      </c>
      <c r="G542" s="473" t="s">
        <v>4826</v>
      </c>
      <c r="H542" s="453">
        <v>1</v>
      </c>
      <c r="I542" s="1420" t="s">
        <v>4745</v>
      </c>
      <c r="J542" s="453"/>
      <c r="K542" s="453" t="s">
        <v>642</v>
      </c>
      <c r="L542" s="453"/>
      <c r="M542" s="457">
        <v>255000</v>
      </c>
      <c r="N542" s="453" t="s">
        <v>112</v>
      </c>
      <c r="O542" s="474">
        <v>43616</v>
      </c>
      <c r="P542" s="474">
        <v>43627</v>
      </c>
      <c r="Q542" s="474">
        <v>43685</v>
      </c>
      <c r="R542" s="453" t="s">
        <v>4893</v>
      </c>
      <c r="S542" s="1420"/>
      <c r="T542" s="457">
        <v>255000</v>
      </c>
      <c r="U542" s="457">
        <v>308550</v>
      </c>
      <c r="V542" s="1474"/>
      <c r="W542" s="1474"/>
      <c r="X542" s="1474"/>
      <c r="Y542" s="570">
        <v>43697</v>
      </c>
      <c r="Z542" s="1387" t="s">
        <v>5286</v>
      </c>
      <c r="AA542" s="474">
        <v>43720</v>
      </c>
      <c r="AB542" s="474">
        <v>43728</v>
      </c>
      <c r="AC542" s="474">
        <v>44450</v>
      </c>
      <c r="AD542" s="474">
        <v>43930</v>
      </c>
      <c r="AE542" s="575">
        <v>44285</v>
      </c>
      <c r="AF542" s="1560">
        <v>44637</v>
      </c>
      <c r="AG542" s="374"/>
    </row>
    <row r="543" spans="3:34" ht="30">
      <c r="C543" s="1736">
        <v>43606</v>
      </c>
      <c r="D543" s="491" t="s">
        <v>4744</v>
      </c>
      <c r="E543" s="491" t="s">
        <v>2434</v>
      </c>
      <c r="F543" s="491" t="s">
        <v>219</v>
      </c>
      <c r="G543" s="571" t="s">
        <v>4826</v>
      </c>
      <c r="H543" s="491">
        <v>2</v>
      </c>
      <c r="I543" s="495" t="s">
        <v>4746</v>
      </c>
      <c r="J543" s="491"/>
      <c r="K543" s="491" t="s">
        <v>642</v>
      </c>
      <c r="L543" s="491"/>
      <c r="M543" s="536">
        <v>64400</v>
      </c>
      <c r="N543" s="491" t="s">
        <v>112</v>
      </c>
      <c r="O543" s="537">
        <v>43616</v>
      </c>
      <c r="P543" s="537">
        <v>43627</v>
      </c>
      <c r="Q543" s="537">
        <v>43685</v>
      </c>
      <c r="R543" s="491" t="s">
        <v>4893</v>
      </c>
      <c r="S543" s="495"/>
      <c r="T543" s="536">
        <v>64400</v>
      </c>
      <c r="U543" s="536">
        <v>77924</v>
      </c>
      <c r="V543" s="1471"/>
      <c r="W543" s="1471"/>
      <c r="X543" s="1471"/>
      <c r="Y543" s="573">
        <v>43697</v>
      </c>
      <c r="Z543" s="1375" t="s">
        <v>5287</v>
      </c>
      <c r="AA543" s="537">
        <v>43720</v>
      </c>
      <c r="AB543" s="537">
        <v>43728</v>
      </c>
      <c r="AC543" s="537">
        <v>44450</v>
      </c>
      <c r="AD543" s="537">
        <v>43930</v>
      </c>
      <c r="AE543" s="852">
        <v>44285</v>
      </c>
      <c r="AF543" s="1560">
        <v>44637</v>
      </c>
      <c r="AG543" s="374"/>
    </row>
    <row r="544" spans="3:34" ht="30.75" thickBot="1">
      <c r="C544" s="1737">
        <v>43606</v>
      </c>
      <c r="D544" s="1376" t="s">
        <v>4744</v>
      </c>
      <c r="E544" s="1376" t="s">
        <v>2434</v>
      </c>
      <c r="F544" s="1376" t="s">
        <v>219</v>
      </c>
      <c r="G544" s="1378" t="s">
        <v>4826</v>
      </c>
      <c r="H544" s="1376">
        <v>3</v>
      </c>
      <c r="I544" s="1421" t="s">
        <v>4831</v>
      </c>
      <c r="J544" s="1376"/>
      <c r="K544" s="1376" t="s">
        <v>642</v>
      </c>
      <c r="L544" s="1376"/>
      <c r="M544" s="1379">
        <v>860200</v>
      </c>
      <c r="N544" s="1376" t="s">
        <v>112</v>
      </c>
      <c r="O544" s="1380">
        <v>43616</v>
      </c>
      <c r="P544" s="1380">
        <v>43627</v>
      </c>
      <c r="Q544" s="1380">
        <v>43685</v>
      </c>
      <c r="R544" s="1376" t="s">
        <v>4893</v>
      </c>
      <c r="S544" s="1421"/>
      <c r="T544" s="1379">
        <v>860200</v>
      </c>
      <c r="U544" s="1379">
        <v>1040842</v>
      </c>
      <c r="V544" s="1475"/>
      <c r="W544" s="1475"/>
      <c r="X544" s="1475"/>
      <c r="Y544" s="1388">
        <v>43697</v>
      </c>
      <c r="Z544" s="1389" t="s">
        <v>5288</v>
      </c>
      <c r="AA544" s="1380">
        <v>43720</v>
      </c>
      <c r="AB544" s="1380">
        <v>43728</v>
      </c>
      <c r="AC544" s="1380">
        <v>44450</v>
      </c>
      <c r="AD544" s="1376" t="s">
        <v>6603</v>
      </c>
      <c r="AE544" s="2169" t="s">
        <v>8483</v>
      </c>
      <c r="AF544" s="1560">
        <v>44637</v>
      </c>
      <c r="AG544" s="374"/>
    </row>
    <row r="545" spans="3:41" ht="16.5" thickTop="1" thickBot="1">
      <c r="C545" s="1539">
        <v>43606</v>
      </c>
      <c r="D545" s="1540" t="s">
        <v>4747</v>
      </c>
      <c r="E545" s="185" t="s">
        <v>2434</v>
      </c>
      <c r="F545" s="185" t="s">
        <v>219</v>
      </c>
      <c r="G545" s="282" t="s">
        <v>4748</v>
      </c>
      <c r="H545" s="185"/>
      <c r="I545" s="1541"/>
      <c r="J545" s="185"/>
      <c r="K545" s="185" t="s">
        <v>642</v>
      </c>
      <c r="L545" s="185"/>
      <c r="M545" s="1542">
        <v>662084</v>
      </c>
      <c r="N545" s="185" t="s">
        <v>112</v>
      </c>
      <c r="O545" s="1539">
        <v>43615</v>
      </c>
      <c r="P545" s="1539">
        <v>43627</v>
      </c>
      <c r="Q545" s="185"/>
      <c r="R545" s="1795" t="s">
        <v>304</v>
      </c>
      <c r="S545" s="1716" t="s">
        <v>5581</v>
      </c>
      <c r="T545" s="1542"/>
      <c r="U545" s="1542"/>
      <c r="V545" s="1537"/>
      <c r="W545" s="1537"/>
      <c r="X545" s="1537"/>
      <c r="Y545" s="1542"/>
      <c r="Z545" s="1542"/>
      <c r="AA545" s="185"/>
      <c r="AB545" s="1539">
        <v>43627</v>
      </c>
      <c r="AC545" s="185"/>
      <c r="AD545" s="185"/>
      <c r="AE545" s="1727"/>
      <c r="AF545" s="1351"/>
    </row>
    <row r="546" spans="3:41" ht="30.75" thickTop="1">
      <c r="C546" s="1735">
        <v>43606</v>
      </c>
      <c r="D546" s="453" t="s">
        <v>4749</v>
      </c>
      <c r="E546" s="453" t="s">
        <v>2434</v>
      </c>
      <c r="F546" s="453" t="s">
        <v>219</v>
      </c>
      <c r="G546" s="473" t="s">
        <v>4750</v>
      </c>
      <c r="H546" s="453">
        <v>1</v>
      </c>
      <c r="I546" s="1420" t="s">
        <v>4751</v>
      </c>
      <c r="J546" s="453"/>
      <c r="K546" s="453" t="s">
        <v>642</v>
      </c>
      <c r="L546" s="453"/>
      <c r="M546" s="457">
        <v>213450</v>
      </c>
      <c r="N546" s="453" t="s">
        <v>112</v>
      </c>
      <c r="O546" s="474">
        <v>43615</v>
      </c>
      <c r="P546" s="474">
        <v>43627</v>
      </c>
      <c r="Q546" s="474">
        <v>43732</v>
      </c>
      <c r="R546" s="453" t="s">
        <v>3080</v>
      </c>
      <c r="S546" s="1420"/>
      <c r="T546" s="457">
        <v>213450</v>
      </c>
      <c r="U546" s="457">
        <v>258274.5</v>
      </c>
      <c r="V546" s="1474"/>
      <c r="W546" s="1474"/>
      <c r="X546" s="1474"/>
      <c r="Y546" s="570">
        <v>43732</v>
      </c>
      <c r="Z546" s="1387" t="s">
        <v>5698</v>
      </c>
      <c r="AA546" s="474">
        <v>43752</v>
      </c>
      <c r="AB546" s="474">
        <v>43759</v>
      </c>
      <c r="AC546" s="474">
        <v>44482</v>
      </c>
      <c r="AD546" s="474">
        <v>43930</v>
      </c>
      <c r="AE546" s="475" t="s">
        <v>8483</v>
      </c>
      <c r="AF546" s="1560">
        <v>44637</v>
      </c>
      <c r="AG546" s="374"/>
    </row>
    <row r="547" spans="3:41" ht="30.75" thickBot="1">
      <c r="C547" s="1736">
        <v>43606</v>
      </c>
      <c r="D547" s="491" t="s">
        <v>4749</v>
      </c>
      <c r="E547" s="491" t="s">
        <v>2434</v>
      </c>
      <c r="F547" s="491" t="s">
        <v>219</v>
      </c>
      <c r="G547" s="571" t="s">
        <v>4750</v>
      </c>
      <c r="H547" s="491">
        <v>2</v>
      </c>
      <c r="I547" s="495" t="s">
        <v>4752</v>
      </c>
      <c r="J547" s="491"/>
      <c r="K547" s="491" t="s">
        <v>642</v>
      </c>
      <c r="L547" s="491"/>
      <c r="M547" s="536">
        <v>37028</v>
      </c>
      <c r="N547" s="491" t="s">
        <v>112</v>
      </c>
      <c r="O547" s="537">
        <v>43615</v>
      </c>
      <c r="P547" s="537">
        <v>43627</v>
      </c>
      <c r="Q547" s="537">
        <v>43732</v>
      </c>
      <c r="R547" s="491" t="s">
        <v>3080</v>
      </c>
      <c r="S547" s="495"/>
      <c r="T547" s="536">
        <v>37028</v>
      </c>
      <c r="U547" s="536">
        <v>44803.88</v>
      </c>
      <c r="V547" s="1471"/>
      <c r="W547" s="1471"/>
      <c r="X547" s="1471"/>
      <c r="Y547" s="573">
        <v>43732</v>
      </c>
      <c r="Z547" s="1375" t="s">
        <v>5699</v>
      </c>
      <c r="AA547" s="537">
        <v>43752</v>
      </c>
      <c r="AB547" s="537">
        <v>43759</v>
      </c>
      <c r="AC547" s="537">
        <v>44482</v>
      </c>
      <c r="AD547" s="1376" t="s">
        <v>6603</v>
      </c>
      <c r="AE547" s="852">
        <v>44285</v>
      </c>
      <c r="AF547" s="1560">
        <v>44637</v>
      </c>
      <c r="AG547" s="374"/>
    </row>
    <row r="548" spans="3:41" ht="16.5" thickTop="1" thickBot="1">
      <c r="C548" s="1703">
        <v>43606</v>
      </c>
      <c r="D548" s="1410" t="s">
        <v>4749</v>
      </c>
      <c r="E548" s="1410" t="s">
        <v>2434</v>
      </c>
      <c r="F548" s="1410" t="s">
        <v>219</v>
      </c>
      <c r="G548" s="1412" t="s">
        <v>4750</v>
      </c>
      <c r="H548" s="1410">
        <v>3</v>
      </c>
      <c r="I548" s="1430" t="s">
        <v>4753</v>
      </c>
      <c r="J548" s="1355"/>
      <c r="K548" s="1410" t="s">
        <v>642</v>
      </c>
      <c r="L548" s="1410"/>
      <c r="M548" s="1413">
        <v>362580</v>
      </c>
      <c r="N548" s="1410" t="s">
        <v>112</v>
      </c>
      <c r="O548" s="1414">
        <v>43615</v>
      </c>
      <c r="P548" s="1414">
        <v>43627</v>
      </c>
      <c r="Q548" s="1410"/>
      <c r="R548" s="1740" t="s">
        <v>5481</v>
      </c>
      <c r="S548" s="1721" t="s">
        <v>5641</v>
      </c>
      <c r="T548" s="1413"/>
      <c r="U548" s="1413"/>
      <c r="V548" s="1485"/>
      <c r="W548" s="1485"/>
      <c r="X548" s="1485"/>
      <c r="Y548" s="1413"/>
      <c r="Z548" s="1413"/>
      <c r="AA548" s="1410"/>
      <c r="AB548" s="1414">
        <v>43732</v>
      </c>
      <c r="AC548" s="1410"/>
      <c r="AD548" s="1410"/>
      <c r="AE548" s="1704"/>
      <c r="AF548" s="1615"/>
    </row>
    <row r="549" spans="3:41" ht="15.75" thickTop="1">
      <c r="C549" s="365" t="s">
        <v>3585</v>
      </c>
      <c r="D549" s="1397" t="s">
        <v>4754</v>
      </c>
      <c r="E549" s="1576" t="s">
        <v>1032</v>
      </c>
      <c r="F549" s="1576" t="s">
        <v>361</v>
      </c>
      <c r="G549" s="175" t="s">
        <v>4755</v>
      </c>
      <c r="H549" s="1576"/>
      <c r="I549" s="1577"/>
      <c r="J549" s="1576"/>
      <c r="K549" s="491" t="s">
        <v>809</v>
      </c>
      <c r="L549" s="1576" t="s">
        <v>4756</v>
      </c>
      <c r="M549" s="364">
        <v>578000</v>
      </c>
      <c r="N549" s="1576" t="s">
        <v>112</v>
      </c>
      <c r="O549" s="365">
        <v>43616</v>
      </c>
      <c r="P549" s="365">
        <v>43623</v>
      </c>
      <c r="Q549" s="365">
        <v>43634</v>
      </c>
      <c r="R549" s="1791" t="s">
        <v>4945</v>
      </c>
      <c r="S549" s="1705"/>
      <c r="T549" s="364">
        <v>631935</v>
      </c>
      <c r="U549" s="364">
        <v>764641</v>
      </c>
      <c r="V549" s="1473"/>
      <c r="W549" s="1473"/>
      <c r="X549" s="1473"/>
      <c r="Y549" s="681">
        <v>43634</v>
      </c>
      <c r="Z549" s="364" t="s">
        <v>4965</v>
      </c>
      <c r="AA549" s="365">
        <v>43658</v>
      </c>
      <c r="AB549" s="365">
        <v>43661</v>
      </c>
      <c r="AC549" s="365">
        <f>AA549+42</f>
        <v>43700</v>
      </c>
      <c r="AD549" s="365">
        <v>43822</v>
      </c>
      <c r="AE549" s="1513"/>
      <c r="AF549" s="1166"/>
      <c r="AG549" s="374"/>
    </row>
    <row r="550" spans="3:41" ht="15.75" thickBot="1">
      <c r="C550" s="1539" t="s">
        <v>3585</v>
      </c>
      <c r="D550" s="1540" t="s">
        <v>4802</v>
      </c>
      <c r="E550" s="185" t="s">
        <v>1700</v>
      </c>
      <c r="F550" s="185" t="s">
        <v>6206</v>
      </c>
      <c r="G550" s="282" t="s">
        <v>4846</v>
      </c>
      <c r="H550" s="185"/>
      <c r="I550" s="1541"/>
      <c r="J550" s="185"/>
      <c r="K550" s="185" t="s">
        <v>780</v>
      </c>
      <c r="L550" s="185" t="s">
        <v>4058</v>
      </c>
      <c r="M550" s="1542">
        <v>101429.75</v>
      </c>
      <c r="N550" s="185" t="s">
        <v>251</v>
      </c>
      <c r="O550" s="1539"/>
      <c r="P550" s="1539"/>
      <c r="Q550" s="185"/>
      <c r="R550" s="1795" t="s">
        <v>4845</v>
      </c>
      <c r="S550" s="1716" t="s">
        <v>4855</v>
      </c>
      <c r="T550" s="1542"/>
      <c r="U550" s="1542"/>
      <c r="V550" s="1537"/>
      <c r="W550" s="1537"/>
      <c r="X550" s="1537"/>
      <c r="Y550" s="1542"/>
      <c r="Z550" s="1542"/>
      <c r="AA550" s="185"/>
      <c r="AB550" s="1539">
        <v>43622</v>
      </c>
      <c r="AC550" s="185" t="s">
        <v>4896</v>
      </c>
      <c r="AD550" s="185"/>
      <c r="AE550" s="185"/>
      <c r="AO550" s="1700"/>
    </row>
    <row r="551" spans="3:41" ht="15.75" thickTop="1">
      <c r="C551" s="474">
        <v>43609</v>
      </c>
      <c r="D551" s="453" t="s">
        <v>4757</v>
      </c>
      <c r="E551" s="453" t="s">
        <v>69</v>
      </c>
      <c r="F551" s="453" t="s">
        <v>70</v>
      </c>
      <c r="G551" s="473" t="s">
        <v>4764</v>
      </c>
      <c r="H551" s="453">
        <v>1</v>
      </c>
      <c r="I551" s="1420" t="s">
        <v>4758</v>
      </c>
      <c r="J551" s="453"/>
      <c r="K551" s="453" t="s">
        <v>42</v>
      </c>
      <c r="L551" s="453"/>
      <c r="M551" s="457">
        <v>4639906</v>
      </c>
      <c r="N551" s="453" t="s">
        <v>251</v>
      </c>
      <c r="O551" s="474">
        <v>43634</v>
      </c>
      <c r="P551" s="474">
        <v>43724</v>
      </c>
      <c r="Q551" s="474">
        <v>43776</v>
      </c>
      <c r="R551" s="453" t="s">
        <v>5901</v>
      </c>
      <c r="S551" s="1420"/>
      <c r="T551" s="457">
        <v>4639906</v>
      </c>
      <c r="U551" s="457">
        <v>5614286.2599999998</v>
      </c>
      <c r="V551" s="1474"/>
      <c r="W551" s="1474"/>
      <c r="X551" s="1474"/>
      <c r="Y551" s="570">
        <v>43781</v>
      </c>
      <c r="Z551" s="457" t="s">
        <v>5977</v>
      </c>
      <c r="AA551" s="474">
        <v>43808</v>
      </c>
      <c r="AB551" s="474">
        <v>43822</v>
      </c>
      <c r="AC551" s="474">
        <v>44538</v>
      </c>
      <c r="AD551" s="1976" t="s">
        <v>6678</v>
      </c>
      <c r="AE551" s="474">
        <v>44279</v>
      </c>
      <c r="AF551" s="1560">
        <v>44645</v>
      </c>
      <c r="AG551" s="374"/>
      <c r="AO551" s="1700"/>
    </row>
    <row r="552" spans="3:41">
      <c r="C552" s="510">
        <v>43609</v>
      </c>
      <c r="D552" s="506" t="s">
        <v>4757</v>
      </c>
      <c r="E552" s="506" t="s">
        <v>69</v>
      </c>
      <c r="F552" s="506" t="s">
        <v>70</v>
      </c>
      <c r="G552" s="507" t="s">
        <v>4764</v>
      </c>
      <c r="H552" s="506">
        <v>2</v>
      </c>
      <c r="I552" s="548" t="s">
        <v>4759</v>
      </c>
      <c r="J552" s="506"/>
      <c r="K552" s="506" t="s">
        <v>42</v>
      </c>
      <c r="L552" s="506"/>
      <c r="M552" s="511">
        <v>116161</v>
      </c>
      <c r="N552" s="506" t="s">
        <v>251</v>
      </c>
      <c r="O552" s="510">
        <v>43634</v>
      </c>
      <c r="P552" s="510">
        <v>43724</v>
      </c>
      <c r="Q552" s="506"/>
      <c r="R552" s="514" t="s">
        <v>5741</v>
      </c>
      <c r="S552" s="548" t="s">
        <v>5744</v>
      </c>
      <c r="T552" s="511"/>
      <c r="U552" s="511"/>
      <c r="V552" s="1470"/>
      <c r="W552" s="1470"/>
      <c r="X552" s="1470"/>
      <c r="Y552" s="511"/>
      <c r="Z552" s="511"/>
      <c r="AA552" s="506"/>
      <c r="AB552" s="510">
        <v>43753</v>
      </c>
      <c r="AC552" s="506" t="s">
        <v>5642</v>
      </c>
      <c r="AD552" s="506"/>
      <c r="AE552" s="506"/>
      <c r="AF552" s="1166"/>
      <c r="AG552" s="374"/>
      <c r="AO552" s="1700"/>
    </row>
    <row r="553" spans="3:41">
      <c r="C553" s="510">
        <v>43609</v>
      </c>
      <c r="D553" s="506" t="s">
        <v>4757</v>
      </c>
      <c r="E553" s="506" t="s">
        <v>69</v>
      </c>
      <c r="F553" s="506" t="s">
        <v>70</v>
      </c>
      <c r="G553" s="507" t="s">
        <v>4764</v>
      </c>
      <c r="H553" s="506">
        <v>3</v>
      </c>
      <c r="I553" s="548" t="s">
        <v>4760</v>
      </c>
      <c r="J553" s="506"/>
      <c r="K553" s="506" t="s">
        <v>42</v>
      </c>
      <c r="L553" s="506"/>
      <c r="M553" s="511">
        <v>248580</v>
      </c>
      <c r="N553" s="506" t="s">
        <v>251</v>
      </c>
      <c r="O553" s="510">
        <v>43634</v>
      </c>
      <c r="P553" s="510">
        <v>43724</v>
      </c>
      <c r="Q553" s="506"/>
      <c r="R553" s="514" t="s">
        <v>5741</v>
      </c>
      <c r="S553" s="548" t="s">
        <v>5744</v>
      </c>
      <c r="T553" s="511"/>
      <c r="U553" s="511"/>
      <c r="V553" s="1470"/>
      <c r="W553" s="1470"/>
      <c r="X553" s="1470"/>
      <c r="Y553" s="1398"/>
      <c r="Z553" s="511"/>
      <c r="AA553" s="506"/>
      <c r="AB553" s="510">
        <v>43753</v>
      </c>
      <c r="AC553" s="506" t="s">
        <v>5642</v>
      </c>
      <c r="AD553" s="506"/>
      <c r="AE553" s="506"/>
      <c r="AF553" s="1166"/>
      <c r="AG553" s="374"/>
      <c r="AO553" s="1700"/>
    </row>
    <row r="554" spans="3:41">
      <c r="C554" s="537">
        <v>43609</v>
      </c>
      <c r="D554" s="491" t="s">
        <v>4757</v>
      </c>
      <c r="E554" s="491" t="s">
        <v>69</v>
      </c>
      <c r="F554" s="491" t="s">
        <v>70</v>
      </c>
      <c r="G554" s="571" t="s">
        <v>4764</v>
      </c>
      <c r="H554" s="491">
        <v>4</v>
      </c>
      <c r="I554" s="495" t="s">
        <v>4761</v>
      </c>
      <c r="J554" s="491"/>
      <c r="K554" s="491" t="s">
        <v>42</v>
      </c>
      <c r="L554" s="491"/>
      <c r="M554" s="536">
        <v>361719</v>
      </c>
      <c r="N554" s="491" t="s">
        <v>251</v>
      </c>
      <c r="O554" s="537">
        <v>43634</v>
      </c>
      <c r="P554" s="537">
        <v>43724</v>
      </c>
      <c r="Q554" s="537">
        <v>43776</v>
      </c>
      <c r="R554" s="491" t="s">
        <v>5949</v>
      </c>
      <c r="S554" s="495"/>
      <c r="T554" s="536">
        <v>361716</v>
      </c>
      <c r="U554" s="536">
        <v>437676.36</v>
      </c>
      <c r="V554" s="1471"/>
      <c r="W554" s="1471"/>
      <c r="X554" s="1471"/>
      <c r="Y554" s="573">
        <v>43781</v>
      </c>
      <c r="Z554" s="536" t="s">
        <v>5978</v>
      </c>
      <c r="AA554" s="537">
        <v>43808</v>
      </c>
      <c r="AB554" s="537">
        <v>43822</v>
      </c>
      <c r="AC554" s="537">
        <v>44538</v>
      </c>
      <c r="AD554" s="1975" t="s">
        <v>6678</v>
      </c>
      <c r="AE554" s="537">
        <v>44279</v>
      </c>
      <c r="AF554" s="1560">
        <v>44645</v>
      </c>
      <c r="AG554" s="374"/>
      <c r="AO554" s="1700"/>
    </row>
    <row r="555" spans="3:41">
      <c r="C555" s="510">
        <v>43609</v>
      </c>
      <c r="D555" s="506" t="s">
        <v>4757</v>
      </c>
      <c r="E555" s="506" t="s">
        <v>69</v>
      </c>
      <c r="F555" s="506" t="s">
        <v>70</v>
      </c>
      <c r="G555" s="507" t="s">
        <v>4764</v>
      </c>
      <c r="H555" s="506">
        <v>5</v>
      </c>
      <c r="I555" s="548" t="s">
        <v>4762</v>
      </c>
      <c r="J555" s="506"/>
      <c r="K555" s="506" t="s">
        <v>42</v>
      </c>
      <c r="L555" s="506"/>
      <c r="M555" s="511">
        <v>1177122</v>
      </c>
      <c r="N555" s="506" t="s">
        <v>251</v>
      </c>
      <c r="O555" s="510">
        <v>43634</v>
      </c>
      <c r="P555" s="510">
        <v>43724</v>
      </c>
      <c r="Q555" s="506"/>
      <c r="R555" s="514" t="s">
        <v>5742</v>
      </c>
      <c r="S555" s="548" t="s">
        <v>5744</v>
      </c>
      <c r="T555" s="511"/>
      <c r="U555" s="511"/>
      <c r="V555" s="1470"/>
      <c r="W555" s="1470"/>
      <c r="X555" s="1470"/>
      <c r="Y555" s="511"/>
      <c r="Z555" s="511"/>
      <c r="AA555" s="506"/>
      <c r="AB555" s="510">
        <v>43753</v>
      </c>
      <c r="AC555" s="506" t="s">
        <v>5642</v>
      </c>
      <c r="AD555" s="506"/>
      <c r="AE555" s="506"/>
      <c r="AF555" s="1166"/>
      <c r="AG555" s="374"/>
      <c r="AO555" s="1700"/>
    </row>
    <row r="556" spans="3:41" ht="15.75" thickBot="1">
      <c r="C556" s="1414">
        <v>43609</v>
      </c>
      <c r="D556" s="1410" t="s">
        <v>4757</v>
      </c>
      <c r="E556" s="1410" t="s">
        <v>69</v>
      </c>
      <c r="F556" s="1410" t="s">
        <v>70</v>
      </c>
      <c r="G556" s="1412" t="s">
        <v>4764</v>
      </c>
      <c r="H556" s="1410">
        <v>6</v>
      </c>
      <c r="I556" s="1430" t="s">
        <v>4763</v>
      </c>
      <c r="J556" s="1410"/>
      <c r="K556" s="1410" t="s">
        <v>42</v>
      </c>
      <c r="L556" s="1410"/>
      <c r="M556" s="1413">
        <v>2740880</v>
      </c>
      <c r="N556" s="1410" t="s">
        <v>251</v>
      </c>
      <c r="O556" s="1414">
        <v>43634</v>
      </c>
      <c r="P556" s="1414">
        <v>43724</v>
      </c>
      <c r="Q556" s="1410"/>
      <c r="R556" s="1740" t="s">
        <v>5743</v>
      </c>
      <c r="S556" s="548" t="s">
        <v>5744</v>
      </c>
      <c r="T556" s="1413"/>
      <c r="U556" s="1413"/>
      <c r="V556" s="1479"/>
      <c r="W556" s="1479"/>
      <c r="X556" s="1479"/>
      <c r="Y556" s="1413"/>
      <c r="Z556" s="1413"/>
      <c r="AA556" s="1410"/>
      <c r="AB556" s="1414">
        <v>43753</v>
      </c>
      <c r="AC556" s="1410" t="s">
        <v>5642</v>
      </c>
      <c r="AD556" s="1410"/>
      <c r="AE556" s="1410"/>
      <c r="AF556" s="1166"/>
      <c r="AG556" s="374"/>
      <c r="AO556" s="1700"/>
    </row>
    <row r="557" spans="3:41" ht="15.75" thickTop="1">
      <c r="C557" s="365">
        <v>43609</v>
      </c>
      <c r="D557" s="1397" t="s">
        <v>4765</v>
      </c>
      <c r="E557" s="1763" t="s">
        <v>69</v>
      </c>
      <c r="F557" s="1763" t="s">
        <v>70</v>
      </c>
      <c r="G557" s="175" t="s">
        <v>4766</v>
      </c>
      <c r="H557" s="1763">
        <v>1</v>
      </c>
      <c r="I557" s="1764" t="s">
        <v>4767</v>
      </c>
      <c r="J557" s="1763"/>
      <c r="K557" s="1763" t="s">
        <v>42</v>
      </c>
      <c r="L557" s="1763"/>
      <c r="M557" s="1765">
        <v>14238</v>
      </c>
      <c r="N557" s="1763" t="s">
        <v>251</v>
      </c>
      <c r="O557" s="365">
        <v>43634</v>
      </c>
      <c r="P557" s="365">
        <v>43678</v>
      </c>
      <c r="Q557" s="365">
        <v>43706</v>
      </c>
      <c r="R557" s="1791" t="s">
        <v>5353</v>
      </c>
      <c r="S557" s="1764"/>
      <c r="T557" s="364">
        <v>14328</v>
      </c>
      <c r="U557" s="364">
        <v>17227.98</v>
      </c>
      <c r="V557" s="1473"/>
      <c r="W557" s="1473"/>
      <c r="X557" s="1473"/>
      <c r="Y557" s="681">
        <v>43710</v>
      </c>
      <c r="Z557" s="364" t="s">
        <v>5424</v>
      </c>
      <c r="AA557" s="365">
        <v>43752</v>
      </c>
      <c r="AB557" s="365">
        <v>43755</v>
      </c>
      <c r="AC557" s="365">
        <v>44482</v>
      </c>
      <c r="AD557" s="365">
        <v>43929</v>
      </c>
      <c r="AE557" s="365">
        <v>44279</v>
      </c>
      <c r="AF557" s="1560">
        <v>44645</v>
      </c>
      <c r="AG557" s="374"/>
      <c r="AO557" s="1700"/>
    </row>
    <row r="558" spans="3:41">
      <c r="C558" s="510">
        <v>43609</v>
      </c>
      <c r="D558" s="1382" t="s">
        <v>4765</v>
      </c>
      <c r="E558" s="506" t="s">
        <v>69</v>
      </c>
      <c r="F558" s="506" t="s">
        <v>70</v>
      </c>
      <c r="G558" s="507" t="s">
        <v>4766</v>
      </c>
      <c r="H558" s="506">
        <v>2</v>
      </c>
      <c r="I558" s="548" t="s">
        <v>4768</v>
      </c>
      <c r="J558" s="506"/>
      <c r="K558" s="506" t="s">
        <v>42</v>
      </c>
      <c r="L558" s="506"/>
      <c r="M558" s="511">
        <v>1269028</v>
      </c>
      <c r="N558" s="506" t="s">
        <v>251</v>
      </c>
      <c r="O558" s="510">
        <v>43634</v>
      </c>
      <c r="P558" s="510">
        <v>43678</v>
      </c>
      <c r="Q558" s="506"/>
      <c r="R558" s="514" t="s">
        <v>5551</v>
      </c>
      <c r="S558" s="736" t="s">
        <v>5516</v>
      </c>
      <c r="T558" s="511"/>
      <c r="U558" s="511"/>
      <c r="V558" s="1472"/>
      <c r="W558" s="1472"/>
      <c r="X558" s="1472"/>
      <c r="Y558" s="511"/>
      <c r="Z558" s="511"/>
      <c r="AA558" s="506"/>
      <c r="AB558" s="510">
        <v>43726</v>
      </c>
      <c r="AC558" s="506" t="s">
        <v>5355</v>
      </c>
      <c r="AD558" s="506"/>
      <c r="AE558" s="506"/>
      <c r="AF558" s="1615"/>
      <c r="AO558" s="1700"/>
    </row>
    <row r="559" spans="3:41">
      <c r="C559" s="510">
        <v>43609</v>
      </c>
      <c r="D559" s="1382" t="s">
        <v>4765</v>
      </c>
      <c r="E559" s="506" t="s">
        <v>69</v>
      </c>
      <c r="F559" s="506" t="s">
        <v>70</v>
      </c>
      <c r="G559" s="507" t="s">
        <v>4766</v>
      </c>
      <c r="H559" s="506">
        <v>3</v>
      </c>
      <c r="I559" s="548" t="s">
        <v>4769</v>
      </c>
      <c r="J559" s="506"/>
      <c r="K559" s="506" t="s">
        <v>42</v>
      </c>
      <c r="L559" s="506"/>
      <c r="M559" s="511">
        <v>1005580</v>
      </c>
      <c r="N559" s="506" t="s">
        <v>251</v>
      </c>
      <c r="O559" s="510">
        <v>43634</v>
      </c>
      <c r="P559" s="510">
        <v>43678</v>
      </c>
      <c r="Q559" s="506"/>
      <c r="R559" s="514" t="s">
        <v>5533</v>
      </c>
      <c r="S559" s="736" t="s">
        <v>5495</v>
      </c>
      <c r="T559" s="511"/>
      <c r="U559" s="511"/>
      <c r="V559" s="1472"/>
      <c r="W559" s="1472"/>
      <c r="X559" s="1472"/>
      <c r="Y559" s="511"/>
      <c r="Z559" s="511"/>
      <c r="AA559" s="506"/>
      <c r="AB559" s="510">
        <v>43726</v>
      </c>
      <c r="AC559" s="506" t="s">
        <v>5355</v>
      </c>
      <c r="AD559" s="506"/>
      <c r="AE559" s="506"/>
      <c r="AF559" s="1615"/>
      <c r="AO559" s="1700"/>
    </row>
    <row r="560" spans="3:41" ht="15.75" thickBot="1">
      <c r="C560" s="416">
        <v>43609</v>
      </c>
      <c r="D560" s="1468" t="s">
        <v>4765</v>
      </c>
      <c r="E560" s="411" t="s">
        <v>69</v>
      </c>
      <c r="F560" s="411" t="s">
        <v>70</v>
      </c>
      <c r="G560" s="412" t="s">
        <v>4766</v>
      </c>
      <c r="H560" s="411">
        <v>4</v>
      </c>
      <c r="I560" s="630" t="s">
        <v>4770</v>
      </c>
      <c r="J560" s="411"/>
      <c r="K560" s="411" t="s">
        <v>42</v>
      </c>
      <c r="L560" s="411"/>
      <c r="M560" s="417">
        <v>10074594</v>
      </c>
      <c r="N560" s="411" t="s">
        <v>251</v>
      </c>
      <c r="O560" s="416">
        <v>43634</v>
      </c>
      <c r="P560" s="416">
        <v>43678</v>
      </c>
      <c r="Q560" s="416">
        <v>43706</v>
      </c>
      <c r="R560" s="411" t="s">
        <v>5354</v>
      </c>
      <c r="S560" s="1421"/>
      <c r="T560" s="417">
        <v>9031060</v>
      </c>
      <c r="U560" s="417">
        <v>10927582.6</v>
      </c>
      <c r="V560" s="1480"/>
      <c r="W560" s="1480"/>
      <c r="X560" s="1480"/>
      <c r="Y560" s="513">
        <v>43710</v>
      </c>
      <c r="Z560" s="417" t="s">
        <v>5425</v>
      </c>
      <c r="AA560" s="416">
        <v>43752</v>
      </c>
      <c r="AB560" s="416">
        <v>43755</v>
      </c>
      <c r="AC560" s="416">
        <v>44482</v>
      </c>
      <c r="AD560" s="416">
        <v>43929</v>
      </c>
      <c r="AE560" s="416">
        <v>44279</v>
      </c>
      <c r="AF560" s="1560">
        <v>44645</v>
      </c>
      <c r="AG560" s="374"/>
      <c r="AO560" s="1700"/>
    </row>
    <row r="561" spans="3:33" ht="15.75" thickTop="1">
      <c r="C561" s="443">
        <v>43609</v>
      </c>
      <c r="D561" s="439" t="s">
        <v>4771</v>
      </c>
      <c r="E561" s="439" t="s">
        <v>69</v>
      </c>
      <c r="F561" s="439" t="s">
        <v>70</v>
      </c>
      <c r="G561" s="440" t="s">
        <v>4772</v>
      </c>
      <c r="H561" s="439">
        <v>1</v>
      </c>
      <c r="I561" s="1431" t="s">
        <v>4775</v>
      </c>
      <c r="J561" s="583"/>
      <c r="K561" s="439" t="s">
        <v>42</v>
      </c>
      <c r="L561" s="439"/>
      <c r="M561" s="444">
        <v>282343</v>
      </c>
      <c r="N561" s="439" t="s">
        <v>251</v>
      </c>
      <c r="O561" s="443">
        <v>43647</v>
      </c>
      <c r="P561" s="443">
        <v>43711</v>
      </c>
      <c r="Q561" s="439"/>
      <c r="R561" s="538" t="s">
        <v>5572</v>
      </c>
      <c r="S561" s="471" t="s">
        <v>5496</v>
      </c>
      <c r="T561" s="444"/>
      <c r="U561" s="444"/>
      <c r="V561" s="1483"/>
      <c r="W561" s="1483"/>
      <c r="X561" s="1483"/>
      <c r="Y561" s="444"/>
      <c r="Z561" s="444"/>
      <c r="AA561" s="439"/>
      <c r="AB561" s="443">
        <v>43749</v>
      </c>
      <c r="AC561" s="443">
        <v>43749</v>
      </c>
      <c r="AD561" s="439"/>
      <c r="AE561" s="439"/>
      <c r="AF561" s="1615"/>
    </row>
    <row r="562" spans="3:33">
      <c r="C562" s="544">
        <v>43609</v>
      </c>
      <c r="D562" s="540" t="s">
        <v>4771</v>
      </c>
      <c r="E562" s="540" t="s">
        <v>69</v>
      </c>
      <c r="F562" s="540" t="s">
        <v>70</v>
      </c>
      <c r="G562" s="541" t="s">
        <v>4772</v>
      </c>
      <c r="H562" s="540">
        <v>2</v>
      </c>
      <c r="I562" s="1402" t="s">
        <v>4776</v>
      </c>
      <c r="J562" s="590"/>
      <c r="K562" s="540" t="s">
        <v>42</v>
      </c>
      <c r="L562" s="540"/>
      <c r="M562" s="545">
        <v>1636320</v>
      </c>
      <c r="N562" s="540" t="s">
        <v>251</v>
      </c>
      <c r="O562" s="544">
        <v>43647</v>
      </c>
      <c r="P562" s="544">
        <v>43711</v>
      </c>
      <c r="Q562" s="544">
        <v>43776</v>
      </c>
      <c r="R562" s="540" t="s">
        <v>5332</v>
      </c>
      <c r="S562" s="1402"/>
      <c r="T562" s="545">
        <v>1390872</v>
      </c>
      <c r="U562" s="545">
        <v>1682955.12</v>
      </c>
      <c r="V562" s="1484"/>
      <c r="W562" s="1484"/>
      <c r="X562" s="1484"/>
      <c r="Y562" s="1385">
        <v>43781</v>
      </c>
      <c r="Z562" s="545" t="s">
        <v>5974</v>
      </c>
      <c r="AA562" s="540"/>
      <c r="AB562" s="540"/>
      <c r="AC562" s="540"/>
      <c r="AD562" s="540"/>
      <c r="AE562" s="540"/>
      <c r="AF562" s="1166"/>
      <c r="AG562" s="374"/>
    </row>
    <row r="563" spans="3:33">
      <c r="C563" s="510">
        <v>43609</v>
      </c>
      <c r="D563" s="506" t="s">
        <v>4771</v>
      </c>
      <c r="E563" s="506" t="s">
        <v>69</v>
      </c>
      <c r="F563" s="506" t="s">
        <v>70</v>
      </c>
      <c r="G563" s="507" t="s">
        <v>4772</v>
      </c>
      <c r="H563" s="506">
        <v>3</v>
      </c>
      <c r="I563" s="548" t="s">
        <v>4777</v>
      </c>
      <c r="J563" s="590"/>
      <c r="K563" s="506" t="s">
        <v>42</v>
      </c>
      <c r="L563" s="506"/>
      <c r="M563" s="511">
        <v>246007</v>
      </c>
      <c r="N563" s="506" t="s">
        <v>251</v>
      </c>
      <c r="O563" s="510">
        <v>43647</v>
      </c>
      <c r="P563" s="510">
        <v>43711</v>
      </c>
      <c r="Q563" s="506"/>
      <c r="R563" s="514" t="s">
        <v>5573</v>
      </c>
      <c r="S563" s="736" t="s">
        <v>5496</v>
      </c>
      <c r="T563" s="511"/>
      <c r="U563" s="511"/>
      <c r="V563" s="1484"/>
      <c r="W563" s="1484"/>
      <c r="X563" s="1484"/>
      <c r="Y563" s="511"/>
      <c r="Z563" s="511"/>
      <c r="AA563" s="506"/>
      <c r="AB563" s="510">
        <v>43749</v>
      </c>
      <c r="AC563" s="506" t="s">
        <v>5625</v>
      </c>
      <c r="AD563" s="506"/>
      <c r="AE563" s="506"/>
      <c r="AF563" s="1615"/>
    </row>
    <row r="564" spans="3:33">
      <c r="C564" s="544">
        <v>43609</v>
      </c>
      <c r="D564" s="540" t="s">
        <v>4771</v>
      </c>
      <c r="E564" s="540" t="s">
        <v>69</v>
      </c>
      <c r="F564" s="540" t="s">
        <v>70</v>
      </c>
      <c r="G564" s="541" t="s">
        <v>4772</v>
      </c>
      <c r="H564" s="540">
        <v>4</v>
      </c>
      <c r="I564" s="1402" t="s">
        <v>4778</v>
      </c>
      <c r="J564" s="590"/>
      <c r="K564" s="540" t="s">
        <v>42</v>
      </c>
      <c r="L564" s="540"/>
      <c r="M564" s="545">
        <v>1891521</v>
      </c>
      <c r="N564" s="540" t="s">
        <v>251</v>
      </c>
      <c r="O564" s="544">
        <v>43647</v>
      </c>
      <c r="P564" s="544">
        <v>43711</v>
      </c>
      <c r="Q564" s="544">
        <v>43776</v>
      </c>
      <c r="R564" s="540" t="s">
        <v>5900</v>
      </c>
      <c r="S564" s="1402"/>
      <c r="T564" s="545">
        <v>1458000</v>
      </c>
      <c r="U564" s="545">
        <v>1764180</v>
      </c>
      <c r="V564" s="1484"/>
      <c r="W564" s="1484"/>
      <c r="X564" s="1484"/>
      <c r="Y564" s="1385">
        <v>43781</v>
      </c>
      <c r="Z564" s="545" t="s">
        <v>5975</v>
      </c>
      <c r="AA564" s="540"/>
      <c r="AB564" s="540"/>
      <c r="AC564" s="540"/>
      <c r="AD564" s="540"/>
      <c r="AE564" s="540"/>
      <c r="AF564" s="1166"/>
      <c r="AG564" s="374"/>
    </row>
    <row r="565" spans="3:33">
      <c r="C565" s="510">
        <v>43609</v>
      </c>
      <c r="D565" s="506" t="s">
        <v>4771</v>
      </c>
      <c r="E565" s="506" t="s">
        <v>69</v>
      </c>
      <c r="F565" s="506" t="s">
        <v>70</v>
      </c>
      <c r="G565" s="507" t="s">
        <v>4772</v>
      </c>
      <c r="H565" s="506">
        <v>5</v>
      </c>
      <c r="I565" s="548" t="s">
        <v>4779</v>
      </c>
      <c r="J565" s="506"/>
      <c r="K565" s="506" t="s">
        <v>42</v>
      </c>
      <c r="L565" s="506"/>
      <c r="M565" s="511">
        <v>1174607</v>
      </c>
      <c r="N565" s="506" t="s">
        <v>251</v>
      </c>
      <c r="O565" s="510">
        <v>43647</v>
      </c>
      <c r="P565" s="510">
        <v>43711</v>
      </c>
      <c r="Q565" s="506"/>
      <c r="R565" s="514" t="s">
        <v>5533</v>
      </c>
      <c r="S565" s="736" t="s">
        <v>5517</v>
      </c>
      <c r="T565" s="511"/>
      <c r="U565" s="511"/>
      <c r="V565" s="1484"/>
      <c r="W565" s="1484"/>
      <c r="X565" s="1484"/>
      <c r="Y565" s="511"/>
      <c r="Z565" s="511"/>
      <c r="AA565" s="506"/>
      <c r="AB565" s="510">
        <v>43690</v>
      </c>
      <c r="AC565" s="506" t="s">
        <v>5228</v>
      </c>
      <c r="AD565" s="506"/>
      <c r="AE565" s="506"/>
      <c r="AF565" s="1615"/>
    </row>
    <row r="566" spans="3:33">
      <c r="C566" s="510">
        <v>43609</v>
      </c>
      <c r="D566" s="506" t="s">
        <v>4771</v>
      </c>
      <c r="E566" s="506" t="s">
        <v>69</v>
      </c>
      <c r="F566" s="506" t="s">
        <v>70</v>
      </c>
      <c r="G566" s="507" t="s">
        <v>4772</v>
      </c>
      <c r="H566" s="506">
        <v>6</v>
      </c>
      <c r="I566" s="548" t="s">
        <v>4780</v>
      </c>
      <c r="J566" s="590"/>
      <c r="K566" s="506" t="s">
        <v>42</v>
      </c>
      <c r="L566" s="506"/>
      <c r="M566" s="511">
        <v>201324</v>
      </c>
      <c r="N566" s="506" t="s">
        <v>251</v>
      </c>
      <c r="O566" s="510">
        <v>43647</v>
      </c>
      <c r="P566" s="510">
        <v>43711</v>
      </c>
      <c r="Q566" s="506"/>
      <c r="R566" s="514" t="s">
        <v>5574</v>
      </c>
      <c r="S566" s="736" t="s">
        <v>5496</v>
      </c>
      <c r="T566" s="511"/>
      <c r="U566" s="511"/>
      <c r="V566" s="1484"/>
      <c r="W566" s="1484"/>
      <c r="X566" s="1484"/>
      <c r="Y566" s="511"/>
      <c r="Z566" s="511"/>
      <c r="AA566" s="506"/>
      <c r="AB566" s="510">
        <v>43749</v>
      </c>
      <c r="AC566" s="506" t="s">
        <v>5625</v>
      </c>
      <c r="AD566" s="506"/>
      <c r="AE566" s="506"/>
      <c r="AF566" s="1615"/>
    </row>
    <row r="567" spans="3:33">
      <c r="C567" s="510">
        <v>43609</v>
      </c>
      <c r="D567" s="506" t="s">
        <v>4771</v>
      </c>
      <c r="E567" s="506" t="s">
        <v>69</v>
      </c>
      <c r="F567" s="506" t="s">
        <v>70</v>
      </c>
      <c r="G567" s="507" t="s">
        <v>4772</v>
      </c>
      <c r="H567" s="506">
        <v>7</v>
      </c>
      <c r="I567" s="548" t="s">
        <v>4781</v>
      </c>
      <c r="J567" s="506"/>
      <c r="K567" s="506" t="s">
        <v>42</v>
      </c>
      <c r="L567" s="506"/>
      <c r="M567" s="511">
        <v>1004264</v>
      </c>
      <c r="N567" s="506" t="s">
        <v>251</v>
      </c>
      <c r="O567" s="510">
        <v>43647</v>
      </c>
      <c r="P567" s="510">
        <v>43711</v>
      </c>
      <c r="Q567" s="506"/>
      <c r="R567" s="506"/>
      <c r="S567" s="736" t="s">
        <v>5811</v>
      </c>
      <c r="T567" s="511"/>
      <c r="U567" s="511"/>
      <c r="V567" s="1470"/>
      <c r="W567" s="1470"/>
      <c r="X567" s="1470"/>
      <c r="Y567" s="511"/>
      <c r="Z567" s="511"/>
      <c r="AA567" s="506"/>
      <c r="AB567" s="510">
        <v>43749</v>
      </c>
      <c r="AC567" s="506" t="s">
        <v>5778</v>
      </c>
      <c r="AD567" s="506"/>
      <c r="AE567" s="506"/>
      <c r="AF567" s="1166"/>
      <c r="AG567" s="374"/>
    </row>
    <row r="568" spans="3:33" ht="15.75" thickBot="1">
      <c r="C568" s="1363">
        <v>43609</v>
      </c>
      <c r="D568" s="1355" t="s">
        <v>4771</v>
      </c>
      <c r="E568" s="1355" t="s">
        <v>69</v>
      </c>
      <c r="F568" s="1355" t="s">
        <v>70</v>
      </c>
      <c r="G568" s="1361" t="s">
        <v>4772</v>
      </c>
      <c r="H568" s="1355">
        <v>8</v>
      </c>
      <c r="I568" s="1419" t="s">
        <v>4782</v>
      </c>
      <c r="J568" s="1356"/>
      <c r="K568" s="1355" t="s">
        <v>42</v>
      </c>
      <c r="L568" s="1355"/>
      <c r="M568" s="1362">
        <v>2393323</v>
      </c>
      <c r="N568" s="1355" t="s">
        <v>251</v>
      </c>
      <c r="O568" s="1363">
        <v>43647</v>
      </c>
      <c r="P568" s="1363">
        <v>43711</v>
      </c>
      <c r="Q568" s="1363">
        <v>43776</v>
      </c>
      <c r="R568" s="1355" t="s">
        <v>5472</v>
      </c>
      <c r="S568" s="1419"/>
      <c r="T568" s="1362">
        <v>2367830</v>
      </c>
      <c r="U568" s="1362">
        <v>2865074.3</v>
      </c>
      <c r="V568" s="1485"/>
      <c r="W568" s="1485"/>
      <c r="X568" s="1485"/>
      <c r="Y568" s="1512">
        <v>43781</v>
      </c>
      <c r="Z568" s="1362" t="s">
        <v>5976</v>
      </c>
      <c r="AA568" s="1355"/>
      <c r="AB568" s="1355"/>
      <c r="AC568" s="1355"/>
      <c r="AD568" s="1355"/>
      <c r="AE568" s="1355"/>
      <c r="AF568" s="1166"/>
      <c r="AG568" s="374"/>
    </row>
    <row r="569" spans="3:33" ht="15.75" thickTop="1">
      <c r="C569" s="470">
        <v>43609</v>
      </c>
      <c r="D569" s="1515" t="s">
        <v>4773</v>
      </c>
      <c r="E569" s="466" t="s">
        <v>69</v>
      </c>
      <c r="F569" s="466" t="s">
        <v>70</v>
      </c>
      <c r="G569" s="467" t="s">
        <v>4783</v>
      </c>
      <c r="H569" s="466">
        <v>1</v>
      </c>
      <c r="I569" s="654" t="s">
        <v>4784</v>
      </c>
      <c r="J569" s="466"/>
      <c r="K569" s="466" t="s">
        <v>42</v>
      </c>
      <c r="L569" s="466"/>
      <c r="M569" s="472">
        <v>746039.92069999978</v>
      </c>
      <c r="N569" s="466" t="s">
        <v>216</v>
      </c>
      <c r="O569" s="470">
        <v>43627</v>
      </c>
      <c r="P569" s="470">
        <v>43670</v>
      </c>
      <c r="Q569" s="466"/>
      <c r="R569" s="1171" t="s">
        <v>5562</v>
      </c>
      <c r="S569" s="471" t="s">
        <v>5517</v>
      </c>
      <c r="T569" s="472"/>
      <c r="U569" s="472"/>
      <c r="V569" s="1516"/>
      <c r="W569" s="1516"/>
      <c r="X569" s="1516"/>
      <c r="Y569" s="472"/>
      <c r="Z569" s="472"/>
      <c r="AA569" s="466"/>
      <c r="AB569" s="1556">
        <v>43650</v>
      </c>
      <c r="AC569" s="466" t="s">
        <v>5050</v>
      </c>
      <c r="AD569" s="466"/>
      <c r="AE569" s="466"/>
      <c r="AF569" s="1615"/>
    </row>
    <row r="570" spans="3:33">
      <c r="C570" s="544">
        <v>43609</v>
      </c>
      <c r="D570" s="1357" t="s">
        <v>4773</v>
      </c>
      <c r="E570" s="540" t="s">
        <v>69</v>
      </c>
      <c r="F570" s="540" t="s">
        <v>70</v>
      </c>
      <c r="G570" s="541" t="s">
        <v>4783</v>
      </c>
      <c r="H570" s="540">
        <v>2</v>
      </c>
      <c r="I570" s="1402" t="s">
        <v>4785</v>
      </c>
      <c r="J570" s="590"/>
      <c r="K570" s="540" t="s">
        <v>42</v>
      </c>
      <c r="L570" s="540"/>
      <c r="M570" s="545">
        <v>120719</v>
      </c>
      <c r="N570" s="540" t="s">
        <v>216</v>
      </c>
      <c r="O570" s="544">
        <v>43627</v>
      </c>
      <c r="P570" s="544">
        <v>43670</v>
      </c>
      <c r="Q570" s="544">
        <v>43788</v>
      </c>
      <c r="R570" s="540" t="s">
        <v>2066</v>
      </c>
      <c r="S570" s="1402"/>
      <c r="T570" s="545">
        <v>120018</v>
      </c>
      <c r="U570" s="545">
        <v>145221.78</v>
      </c>
      <c r="V570" s="1484"/>
      <c r="W570" s="1484"/>
      <c r="X570" s="1484"/>
      <c r="Y570" s="1385">
        <v>43791</v>
      </c>
      <c r="Z570" s="545" t="s">
        <v>6031</v>
      </c>
      <c r="AA570" s="540"/>
      <c r="AB570" s="540"/>
      <c r="AC570" s="540"/>
      <c r="AD570" s="540"/>
      <c r="AE570" s="540"/>
      <c r="AF570" s="1166"/>
      <c r="AG570" s="374"/>
    </row>
    <row r="571" spans="3:33">
      <c r="C571" s="544">
        <v>43609</v>
      </c>
      <c r="D571" s="1357" t="s">
        <v>4773</v>
      </c>
      <c r="E571" s="540" t="s">
        <v>69</v>
      </c>
      <c r="F571" s="540" t="s">
        <v>70</v>
      </c>
      <c r="G571" s="541" t="s">
        <v>4783</v>
      </c>
      <c r="H571" s="540">
        <v>3</v>
      </c>
      <c r="I571" s="1402" t="s">
        <v>4786</v>
      </c>
      <c r="J571" s="590"/>
      <c r="K571" s="540" t="s">
        <v>42</v>
      </c>
      <c r="L571" s="540"/>
      <c r="M571" s="545">
        <v>106305</v>
      </c>
      <c r="N571" s="540" t="s">
        <v>216</v>
      </c>
      <c r="O571" s="544">
        <v>43627</v>
      </c>
      <c r="P571" s="544">
        <v>43670</v>
      </c>
      <c r="Q571" s="544">
        <v>43804</v>
      </c>
      <c r="R571" s="540" t="s">
        <v>5333</v>
      </c>
      <c r="S571" s="1402"/>
      <c r="T571" s="545">
        <v>61860</v>
      </c>
      <c r="U571" s="545">
        <v>74850.600000000006</v>
      </c>
      <c r="V571" s="1484"/>
      <c r="W571" s="1484"/>
      <c r="X571" s="1484"/>
      <c r="Y571" s="1385">
        <v>43805</v>
      </c>
      <c r="Z571" s="545" t="s">
        <v>6090</v>
      </c>
      <c r="AA571" s="540"/>
      <c r="AB571" s="540"/>
      <c r="AC571" s="540"/>
      <c r="AD571" s="540"/>
      <c r="AE571" s="540"/>
      <c r="AF571" s="1166"/>
      <c r="AG571" s="374"/>
    </row>
    <row r="572" spans="3:33">
      <c r="C572" s="544">
        <v>43609</v>
      </c>
      <c r="D572" s="1357" t="s">
        <v>4773</v>
      </c>
      <c r="E572" s="540" t="s">
        <v>69</v>
      </c>
      <c r="F572" s="540" t="s">
        <v>70</v>
      </c>
      <c r="G572" s="541" t="s">
        <v>4783</v>
      </c>
      <c r="H572" s="540">
        <v>4</v>
      </c>
      <c r="I572" s="1402" t="s">
        <v>4787</v>
      </c>
      <c r="J572" s="590"/>
      <c r="K572" s="540" t="s">
        <v>42</v>
      </c>
      <c r="L572" s="540"/>
      <c r="M572" s="545">
        <v>278842</v>
      </c>
      <c r="N572" s="540" t="s">
        <v>216</v>
      </c>
      <c r="O572" s="544">
        <v>43627</v>
      </c>
      <c r="P572" s="544">
        <v>43670</v>
      </c>
      <c r="Q572" s="544">
        <v>43788</v>
      </c>
      <c r="R572" s="540" t="s">
        <v>5979</v>
      </c>
      <c r="S572" s="1402"/>
      <c r="T572" s="545">
        <v>258489</v>
      </c>
      <c r="U572" s="545">
        <v>312771.69</v>
      </c>
      <c r="V572" s="1484"/>
      <c r="W572" s="1484"/>
      <c r="X572" s="1484"/>
      <c r="Y572" s="1385">
        <v>43791</v>
      </c>
      <c r="Z572" s="545" t="s">
        <v>6032</v>
      </c>
      <c r="AA572" s="540"/>
      <c r="AB572" s="540"/>
      <c r="AC572" s="540"/>
      <c r="AD572" s="540"/>
      <c r="AE572" s="540"/>
      <c r="AF572" s="1166"/>
      <c r="AG572" s="374"/>
    </row>
    <row r="573" spans="3:33">
      <c r="C573" s="510">
        <v>43609</v>
      </c>
      <c r="D573" s="1382" t="s">
        <v>4773</v>
      </c>
      <c r="E573" s="506" t="s">
        <v>69</v>
      </c>
      <c r="F573" s="506" t="s">
        <v>70</v>
      </c>
      <c r="G573" s="507" t="s">
        <v>4783</v>
      </c>
      <c r="H573" s="506">
        <v>5</v>
      </c>
      <c r="I573" s="548" t="s">
        <v>4788</v>
      </c>
      <c r="J573" s="506"/>
      <c r="K573" s="506" t="s">
        <v>42</v>
      </c>
      <c r="L573" s="506"/>
      <c r="M573" s="511">
        <v>116204</v>
      </c>
      <c r="N573" s="506" t="s">
        <v>216</v>
      </c>
      <c r="O573" s="510">
        <v>43627</v>
      </c>
      <c r="P573" s="510">
        <v>43670</v>
      </c>
      <c r="Q573" s="510">
        <v>43788</v>
      </c>
      <c r="R573" s="514" t="s">
        <v>5563</v>
      </c>
      <c r="S573" s="736" t="s">
        <v>5518</v>
      </c>
      <c r="T573" s="511"/>
      <c r="U573" s="511"/>
      <c r="V573" s="1470"/>
      <c r="W573" s="1470"/>
      <c r="X573" s="1470"/>
      <c r="Y573" s="511"/>
      <c r="Z573" s="511"/>
      <c r="AA573" s="506"/>
      <c r="AB573" s="510">
        <v>43691</v>
      </c>
      <c r="AC573" s="506" t="s">
        <v>5230</v>
      </c>
      <c r="AD573" s="506"/>
      <c r="AE573" s="506"/>
      <c r="AF573" s="1615"/>
    </row>
    <row r="574" spans="3:33">
      <c r="C574" s="544">
        <v>43609</v>
      </c>
      <c r="D574" s="1357" t="s">
        <v>4773</v>
      </c>
      <c r="E574" s="540" t="s">
        <v>69</v>
      </c>
      <c r="F574" s="540" t="s">
        <v>70</v>
      </c>
      <c r="G574" s="541" t="s">
        <v>4783</v>
      </c>
      <c r="H574" s="540">
        <v>6</v>
      </c>
      <c r="I574" s="1402" t="s">
        <v>4789</v>
      </c>
      <c r="J574" s="590"/>
      <c r="K574" s="540" t="s">
        <v>42</v>
      </c>
      <c r="L574" s="540"/>
      <c r="M574" s="545">
        <v>1095475</v>
      </c>
      <c r="N574" s="540" t="s">
        <v>216</v>
      </c>
      <c r="O574" s="544">
        <v>43627</v>
      </c>
      <c r="P574" s="544">
        <v>43670</v>
      </c>
      <c r="Q574" s="544">
        <v>43788</v>
      </c>
      <c r="R574" s="1402" t="s">
        <v>5471</v>
      </c>
      <c r="S574" s="1402"/>
      <c r="T574" s="545">
        <v>1052298.1000000001</v>
      </c>
      <c r="U574" s="545">
        <v>1273280.7</v>
      </c>
      <c r="V574" s="1484"/>
      <c r="W574" s="1484"/>
      <c r="X574" s="1484"/>
      <c r="Y574" s="1385">
        <v>43791</v>
      </c>
      <c r="Z574" s="545" t="s">
        <v>6033</v>
      </c>
      <c r="AA574" s="540"/>
      <c r="AB574" s="540"/>
      <c r="AC574" s="540"/>
      <c r="AD574" s="540"/>
      <c r="AE574" s="540"/>
      <c r="AF574" s="1166"/>
      <c r="AG574" s="374"/>
    </row>
    <row r="575" spans="3:33">
      <c r="C575" s="510">
        <v>43609</v>
      </c>
      <c r="D575" s="1382" t="s">
        <v>4773</v>
      </c>
      <c r="E575" s="506" t="s">
        <v>69</v>
      </c>
      <c r="F575" s="506" t="s">
        <v>70</v>
      </c>
      <c r="G575" s="507" t="s">
        <v>4783</v>
      </c>
      <c r="H575" s="506">
        <v>7</v>
      </c>
      <c r="I575" s="548" t="s">
        <v>4790</v>
      </c>
      <c r="J575" s="506"/>
      <c r="K575" s="506" t="s">
        <v>42</v>
      </c>
      <c r="L575" s="506"/>
      <c r="M575" s="511">
        <v>680242.14</v>
      </c>
      <c r="N575" s="506" t="s">
        <v>216</v>
      </c>
      <c r="O575" s="510">
        <v>43627</v>
      </c>
      <c r="P575" s="510">
        <v>43670</v>
      </c>
      <c r="Q575" s="510">
        <v>43788</v>
      </c>
      <c r="R575" s="514" t="s">
        <v>5564</v>
      </c>
      <c r="S575" s="736" t="s">
        <v>5517</v>
      </c>
      <c r="T575" s="511"/>
      <c r="U575" s="511"/>
      <c r="V575" s="1470"/>
      <c r="W575" s="1470"/>
      <c r="X575" s="1470"/>
      <c r="Y575" s="511"/>
      <c r="Z575" s="511"/>
      <c r="AA575" s="506"/>
      <c r="AB575" s="1557">
        <v>43650</v>
      </c>
      <c r="AC575" s="506" t="s">
        <v>5054</v>
      </c>
      <c r="AD575" s="506"/>
      <c r="AE575" s="506"/>
      <c r="AF575" s="1615"/>
    </row>
    <row r="576" spans="3:33" ht="15.75" thickBot="1">
      <c r="C576" s="464">
        <v>43609</v>
      </c>
      <c r="D576" s="1372" t="s">
        <v>4773</v>
      </c>
      <c r="E576" s="406" t="s">
        <v>69</v>
      </c>
      <c r="F576" s="406" t="s">
        <v>70</v>
      </c>
      <c r="G576" s="462" t="s">
        <v>4783</v>
      </c>
      <c r="H576" s="406">
        <v>8</v>
      </c>
      <c r="I576" s="1425" t="s">
        <v>4791</v>
      </c>
      <c r="J576" s="1437"/>
      <c r="K576" s="406" t="s">
        <v>42</v>
      </c>
      <c r="L576" s="406"/>
      <c r="M576" s="465">
        <v>222160</v>
      </c>
      <c r="N576" s="406" t="s">
        <v>216</v>
      </c>
      <c r="O576" s="464">
        <v>43627</v>
      </c>
      <c r="P576" s="464">
        <v>43670</v>
      </c>
      <c r="Q576" s="464">
        <v>43788</v>
      </c>
      <c r="R576" s="406" t="s">
        <v>1319</v>
      </c>
      <c r="S576" s="1419"/>
      <c r="T576" s="465">
        <v>133296</v>
      </c>
      <c r="U576" s="465">
        <v>161288.16</v>
      </c>
      <c r="V576" s="1490"/>
      <c r="W576" s="1490"/>
      <c r="X576" s="1490"/>
      <c r="Y576" s="1809">
        <v>43791</v>
      </c>
      <c r="Z576" s="465" t="s">
        <v>6034</v>
      </c>
      <c r="AA576" s="406"/>
      <c r="AB576" s="406"/>
      <c r="AC576" s="406"/>
      <c r="AD576" s="406"/>
      <c r="AE576" s="406"/>
      <c r="AF576" s="1166"/>
      <c r="AG576" s="374"/>
    </row>
    <row r="577" spans="3:33" ht="15.75" thickTop="1">
      <c r="C577" s="443">
        <v>43609</v>
      </c>
      <c r="D577" s="439" t="s">
        <v>4774</v>
      </c>
      <c r="E577" s="439" t="s">
        <v>69</v>
      </c>
      <c r="F577" s="439" t="s">
        <v>70</v>
      </c>
      <c r="G577" s="440" t="s">
        <v>4792</v>
      </c>
      <c r="H577" s="439">
        <v>1</v>
      </c>
      <c r="I577" s="1431" t="s">
        <v>4793</v>
      </c>
      <c r="J577" s="583"/>
      <c r="K577" s="439" t="s">
        <v>42</v>
      </c>
      <c r="L577" s="439"/>
      <c r="M577" s="444">
        <v>385106</v>
      </c>
      <c r="N577" s="439" t="s">
        <v>251</v>
      </c>
      <c r="O577" s="443">
        <v>43630</v>
      </c>
      <c r="P577" s="443">
        <v>43717</v>
      </c>
      <c r="Q577" s="439"/>
      <c r="R577" s="538" t="s">
        <v>5558</v>
      </c>
      <c r="S577" s="471" t="s">
        <v>5616</v>
      </c>
      <c r="T577" s="444"/>
      <c r="U577" s="444"/>
      <c r="V577" s="1483"/>
      <c r="W577" s="1483"/>
      <c r="X577" s="1483"/>
      <c r="Y577" s="444"/>
      <c r="Z577" s="444"/>
      <c r="AA577" s="439"/>
      <c r="AB577" s="443">
        <v>43753</v>
      </c>
      <c r="AC577" s="439" t="s">
        <v>5642</v>
      </c>
      <c r="AD577" s="439"/>
      <c r="AE577" s="439"/>
      <c r="AF577" s="1615"/>
    </row>
    <row r="578" spans="3:33">
      <c r="C578" s="544">
        <v>43609</v>
      </c>
      <c r="D578" s="540" t="s">
        <v>4774</v>
      </c>
      <c r="E578" s="540" t="s">
        <v>69</v>
      </c>
      <c r="F578" s="540" t="s">
        <v>70</v>
      </c>
      <c r="G578" s="541" t="s">
        <v>4792</v>
      </c>
      <c r="H578" s="540">
        <v>2</v>
      </c>
      <c r="I578" s="1402" t="s">
        <v>4794</v>
      </c>
      <c r="J578" s="590"/>
      <c r="K578" s="540" t="s">
        <v>42</v>
      </c>
      <c r="L578" s="540"/>
      <c r="M578" s="545">
        <v>142941</v>
      </c>
      <c r="N578" s="540" t="s">
        <v>251</v>
      </c>
      <c r="O578" s="544">
        <v>43630</v>
      </c>
      <c r="P578" s="544">
        <v>43717</v>
      </c>
      <c r="Q578" s="544">
        <v>43788</v>
      </c>
      <c r="R578" s="540" t="s">
        <v>5901</v>
      </c>
      <c r="S578" s="1402"/>
      <c r="T578" s="545">
        <v>142931.54</v>
      </c>
      <c r="U578" s="545">
        <v>172947.16</v>
      </c>
      <c r="V578" s="1484"/>
      <c r="W578" s="1484"/>
      <c r="X578" s="1484"/>
      <c r="Y578" s="1385">
        <v>43791</v>
      </c>
      <c r="Z578" s="545" t="s">
        <v>6024</v>
      </c>
      <c r="AA578" s="540"/>
      <c r="AB578" s="540"/>
      <c r="AC578" s="540"/>
      <c r="AD578" s="540"/>
      <c r="AE578" s="540"/>
      <c r="AF578" s="1166"/>
      <c r="AG578" s="374"/>
    </row>
    <row r="579" spans="3:33">
      <c r="C579" s="510">
        <v>43609</v>
      </c>
      <c r="D579" s="506" t="s">
        <v>4774</v>
      </c>
      <c r="E579" s="506" t="s">
        <v>69</v>
      </c>
      <c r="F579" s="506" t="s">
        <v>70</v>
      </c>
      <c r="G579" s="507" t="s">
        <v>4792</v>
      </c>
      <c r="H579" s="506">
        <v>3</v>
      </c>
      <c r="I579" s="548" t="s">
        <v>4795</v>
      </c>
      <c r="J579" s="590"/>
      <c r="K579" s="506" t="s">
        <v>42</v>
      </c>
      <c r="L579" s="506"/>
      <c r="M579" s="511">
        <v>974576</v>
      </c>
      <c r="N579" s="506" t="s">
        <v>251</v>
      </c>
      <c r="O579" s="510">
        <v>43630</v>
      </c>
      <c r="P579" s="510">
        <v>43717</v>
      </c>
      <c r="Q579" s="506"/>
      <c r="R579" s="514" t="s">
        <v>5729</v>
      </c>
      <c r="S579" s="736" t="s">
        <v>5616</v>
      </c>
      <c r="T579" s="511"/>
      <c r="U579" s="511"/>
      <c r="V579" s="1484"/>
      <c r="W579" s="1484"/>
      <c r="X579" s="1484"/>
      <c r="Y579" s="511"/>
      <c r="Z579" s="511"/>
      <c r="AA579" s="506"/>
      <c r="AB579" s="510">
        <v>43753</v>
      </c>
      <c r="AC579" s="506" t="s">
        <v>5642</v>
      </c>
      <c r="AD579" s="506"/>
      <c r="AE579" s="506"/>
      <c r="AF579" s="1615"/>
    </row>
    <row r="580" spans="3:33">
      <c r="C580" s="544">
        <v>43609</v>
      </c>
      <c r="D580" s="540" t="s">
        <v>4774</v>
      </c>
      <c r="E580" s="540" t="s">
        <v>69</v>
      </c>
      <c r="F580" s="540" t="s">
        <v>70</v>
      </c>
      <c r="G580" s="541" t="s">
        <v>4792</v>
      </c>
      <c r="H580" s="540">
        <v>4</v>
      </c>
      <c r="I580" s="1402" t="s">
        <v>4796</v>
      </c>
      <c r="J580" s="590"/>
      <c r="K580" s="540" t="s">
        <v>42</v>
      </c>
      <c r="L580" s="540"/>
      <c r="M580" s="545">
        <v>235929</v>
      </c>
      <c r="N580" s="540" t="s">
        <v>251</v>
      </c>
      <c r="O580" s="544">
        <v>43630</v>
      </c>
      <c r="P580" s="544">
        <v>43717</v>
      </c>
      <c r="Q580" s="544">
        <v>43788</v>
      </c>
      <c r="R580" s="540" t="s">
        <v>5949</v>
      </c>
      <c r="S580" s="1402"/>
      <c r="T580" s="545">
        <v>235926</v>
      </c>
      <c r="U580" s="545">
        <v>285470.46000000002</v>
      </c>
      <c r="V580" s="1484"/>
      <c r="W580" s="1484"/>
      <c r="X580" s="1484"/>
      <c r="Y580" s="1385">
        <v>43791</v>
      </c>
      <c r="Z580" s="545" t="s">
        <v>6025</v>
      </c>
      <c r="AA580" s="540"/>
      <c r="AB580" s="540"/>
      <c r="AC580" s="540"/>
      <c r="AD580" s="540"/>
      <c r="AE580" s="540"/>
      <c r="AF580" s="1166"/>
      <c r="AG580" s="374"/>
    </row>
    <row r="581" spans="3:33">
      <c r="C581" s="544">
        <v>43609</v>
      </c>
      <c r="D581" s="540" t="s">
        <v>4774</v>
      </c>
      <c r="E581" s="540" t="s">
        <v>69</v>
      </c>
      <c r="F581" s="540" t="s">
        <v>70</v>
      </c>
      <c r="G581" s="541" t="s">
        <v>4792</v>
      </c>
      <c r="H581" s="540">
        <v>5</v>
      </c>
      <c r="I581" s="1402" t="s">
        <v>4797</v>
      </c>
      <c r="J581" s="590"/>
      <c r="K581" s="540" t="s">
        <v>42</v>
      </c>
      <c r="L581" s="540"/>
      <c r="M581" s="545">
        <v>74910</v>
      </c>
      <c r="N581" s="540" t="s">
        <v>251</v>
      </c>
      <c r="O581" s="544">
        <v>43630</v>
      </c>
      <c r="P581" s="544">
        <v>43717</v>
      </c>
      <c r="Q581" s="544">
        <v>43788</v>
      </c>
      <c r="R581" s="540" t="s">
        <v>2993</v>
      </c>
      <c r="S581" s="1402"/>
      <c r="T581" s="545">
        <v>74700</v>
      </c>
      <c r="U581" s="545">
        <v>90387</v>
      </c>
      <c r="V581" s="1484"/>
      <c r="W581" s="1484"/>
      <c r="X581" s="1484"/>
      <c r="Y581" s="1385">
        <v>43791</v>
      </c>
      <c r="Z581" s="545" t="s">
        <v>6026</v>
      </c>
      <c r="AA581" s="540"/>
      <c r="AB581" s="540"/>
      <c r="AC581" s="540"/>
      <c r="AD581" s="540"/>
      <c r="AE581" s="540"/>
      <c r="AF581" s="1166"/>
      <c r="AG581" s="374"/>
    </row>
    <row r="582" spans="3:33">
      <c r="C582" s="544">
        <v>43609</v>
      </c>
      <c r="D582" s="540" t="s">
        <v>4774</v>
      </c>
      <c r="E582" s="540" t="s">
        <v>69</v>
      </c>
      <c r="F582" s="540" t="s">
        <v>70</v>
      </c>
      <c r="G582" s="541" t="s">
        <v>4792</v>
      </c>
      <c r="H582" s="540">
        <v>6</v>
      </c>
      <c r="I582" s="1402" t="s">
        <v>4798</v>
      </c>
      <c r="J582" s="590"/>
      <c r="K582" s="540" t="s">
        <v>42</v>
      </c>
      <c r="L582" s="540"/>
      <c r="M582" s="545">
        <v>796520</v>
      </c>
      <c r="N582" s="540" t="s">
        <v>251</v>
      </c>
      <c r="O582" s="544">
        <v>43630</v>
      </c>
      <c r="P582" s="544">
        <v>43717</v>
      </c>
      <c r="Q582" s="544">
        <v>43788</v>
      </c>
      <c r="R582" s="1402" t="s">
        <v>5471</v>
      </c>
      <c r="S582" s="1402"/>
      <c r="T582" s="545">
        <v>749113.9</v>
      </c>
      <c r="U582" s="545">
        <v>906427.82</v>
      </c>
      <c r="V582" s="1484"/>
      <c r="W582" s="1484"/>
      <c r="X582" s="1484"/>
      <c r="Y582" s="1385">
        <v>43791</v>
      </c>
      <c r="Z582" s="545" t="s">
        <v>6027</v>
      </c>
      <c r="AA582" s="540"/>
      <c r="AB582" s="540"/>
      <c r="AC582" s="540"/>
      <c r="AD582" s="540"/>
      <c r="AE582" s="540"/>
      <c r="AF582" s="1166"/>
      <c r="AG582" s="374"/>
    </row>
    <row r="583" spans="3:33">
      <c r="C583" s="544">
        <v>43609</v>
      </c>
      <c r="D583" s="540" t="s">
        <v>4774</v>
      </c>
      <c r="E583" s="540" t="s">
        <v>69</v>
      </c>
      <c r="F583" s="540" t="s">
        <v>70</v>
      </c>
      <c r="G583" s="541" t="s">
        <v>4792</v>
      </c>
      <c r="H583" s="540">
        <v>7</v>
      </c>
      <c r="I583" s="1402" t="s">
        <v>4799</v>
      </c>
      <c r="J583" s="590"/>
      <c r="K583" s="540" t="s">
        <v>42</v>
      </c>
      <c r="L583" s="540"/>
      <c r="M583" s="545">
        <v>653040</v>
      </c>
      <c r="N583" s="540" t="s">
        <v>251</v>
      </c>
      <c r="O583" s="544">
        <v>43630</v>
      </c>
      <c r="P583" s="544">
        <v>43717</v>
      </c>
      <c r="Q583" s="544">
        <v>43788</v>
      </c>
      <c r="R583" s="540" t="s">
        <v>1319</v>
      </c>
      <c r="S583" s="1402"/>
      <c r="T583" s="545">
        <v>653039.55000000005</v>
      </c>
      <c r="U583" s="545">
        <v>790177.86</v>
      </c>
      <c r="V583" s="1484"/>
      <c r="W583" s="1484"/>
      <c r="X583" s="1484"/>
      <c r="Y583" s="1385">
        <v>43791</v>
      </c>
      <c r="Z583" s="545" t="s">
        <v>6028</v>
      </c>
      <c r="AA583" s="540"/>
      <c r="AB583" s="540"/>
      <c r="AC583" s="540"/>
      <c r="AD583" s="540"/>
      <c r="AE583" s="540"/>
      <c r="AF583" s="1166"/>
      <c r="AG583" s="374"/>
    </row>
    <row r="584" spans="3:33">
      <c r="C584" s="544">
        <v>43609</v>
      </c>
      <c r="D584" s="540" t="s">
        <v>4774</v>
      </c>
      <c r="E584" s="540" t="s">
        <v>69</v>
      </c>
      <c r="F584" s="540" t="s">
        <v>70</v>
      </c>
      <c r="G584" s="541" t="s">
        <v>4792</v>
      </c>
      <c r="H584" s="540">
        <v>8</v>
      </c>
      <c r="I584" s="1402" t="s">
        <v>4800</v>
      </c>
      <c r="J584" s="590"/>
      <c r="K584" s="540" t="s">
        <v>42</v>
      </c>
      <c r="L584" s="540"/>
      <c r="M584" s="545">
        <v>504800</v>
      </c>
      <c r="N584" s="540" t="s">
        <v>251</v>
      </c>
      <c r="O584" s="544">
        <v>43630</v>
      </c>
      <c r="P584" s="544">
        <v>43717</v>
      </c>
      <c r="Q584" s="544">
        <v>43788</v>
      </c>
      <c r="R584" s="540" t="s">
        <v>5983</v>
      </c>
      <c r="S584" s="1402"/>
      <c r="T584" s="545">
        <v>479481</v>
      </c>
      <c r="U584" s="545">
        <v>580172.01</v>
      </c>
      <c r="V584" s="1484"/>
      <c r="W584" s="1484"/>
      <c r="X584" s="1484"/>
      <c r="Y584" s="1385">
        <v>43791</v>
      </c>
      <c r="Z584" s="545" t="s">
        <v>6029</v>
      </c>
      <c r="AA584" s="540"/>
      <c r="AB584" s="540"/>
      <c r="AC584" s="540"/>
      <c r="AD584" s="540"/>
      <c r="AE584" s="540"/>
      <c r="AF584" s="1166"/>
      <c r="AG584" s="374"/>
    </row>
    <row r="585" spans="3:33" ht="15.75" thickBot="1">
      <c r="C585" s="1363">
        <v>43609</v>
      </c>
      <c r="D585" s="1355" t="s">
        <v>4774</v>
      </c>
      <c r="E585" s="1355" t="s">
        <v>69</v>
      </c>
      <c r="F585" s="1355" t="s">
        <v>70</v>
      </c>
      <c r="G585" s="1361" t="s">
        <v>4792</v>
      </c>
      <c r="H585" s="1355">
        <v>9</v>
      </c>
      <c r="I585" s="1419" t="s">
        <v>4801</v>
      </c>
      <c r="J585" s="1356"/>
      <c r="K585" s="1355" t="s">
        <v>42</v>
      </c>
      <c r="L585" s="1355"/>
      <c r="M585" s="1362">
        <v>742300</v>
      </c>
      <c r="N585" s="1355" t="s">
        <v>251</v>
      </c>
      <c r="O585" s="1363">
        <v>43630</v>
      </c>
      <c r="P585" s="1363">
        <v>43717</v>
      </c>
      <c r="Q585" s="1363">
        <v>43788</v>
      </c>
      <c r="R585" s="1355" t="s">
        <v>5984</v>
      </c>
      <c r="S585" s="1419"/>
      <c r="T585" s="1362">
        <v>741850</v>
      </c>
      <c r="U585" s="1362">
        <v>897638.5</v>
      </c>
      <c r="V585" s="1485"/>
      <c r="W585" s="1485"/>
      <c r="X585" s="1485"/>
      <c r="Y585" s="1512">
        <v>43791</v>
      </c>
      <c r="Z585" s="1362" t="s">
        <v>6030</v>
      </c>
      <c r="AA585" s="1355"/>
      <c r="AB585" s="1355"/>
      <c r="AC585" s="1355"/>
      <c r="AD585" s="1355"/>
      <c r="AE585" s="1355"/>
      <c r="AF585" s="1166"/>
      <c r="AG585" s="374"/>
    </row>
    <row r="586" spans="3:33" ht="30.75" thickTop="1">
      <c r="C586" s="365">
        <v>43608</v>
      </c>
      <c r="D586" s="1397" t="s">
        <v>4819</v>
      </c>
      <c r="E586" s="1738" t="s">
        <v>58</v>
      </c>
      <c r="F586" s="1738" t="s">
        <v>2684</v>
      </c>
      <c r="G586" s="175" t="s">
        <v>2022</v>
      </c>
      <c r="H586" s="1738"/>
      <c r="I586" s="1739"/>
      <c r="J586" s="1738"/>
      <c r="K586" s="1738" t="s">
        <v>2023</v>
      </c>
      <c r="L586" s="1738" t="s">
        <v>4820</v>
      </c>
      <c r="M586" s="364">
        <v>569116</v>
      </c>
      <c r="N586" s="1738" t="s">
        <v>112</v>
      </c>
      <c r="O586" s="365">
        <v>43623</v>
      </c>
      <c r="P586" s="365">
        <v>43641</v>
      </c>
      <c r="Q586" s="365">
        <v>43672</v>
      </c>
      <c r="R586" s="1791" t="s">
        <v>342</v>
      </c>
      <c r="S586" s="1739"/>
      <c r="T586" s="364">
        <v>529960</v>
      </c>
      <c r="U586" s="364">
        <f>T586*1.21</f>
        <v>641251.6</v>
      </c>
      <c r="V586" s="1473"/>
      <c r="W586" s="1473"/>
      <c r="X586" s="1473"/>
      <c r="Y586" s="681">
        <v>43672</v>
      </c>
      <c r="Z586" s="1417" t="s">
        <v>5183</v>
      </c>
      <c r="AA586" s="365">
        <v>43725</v>
      </c>
      <c r="AB586" s="365">
        <v>43728</v>
      </c>
      <c r="AC586" s="365">
        <f>AA586+42</f>
        <v>43767</v>
      </c>
      <c r="AD586" s="365">
        <v>43871</v>
      </c>
      <c r="AE586" s="451" t="s">
        <v>1875</v>
      </c>
      <c r="AF586" s="1166"/>
      <c r="AG586" s="374"/>
    </row>
    <row r="587" spans="3:33">
      <c r="C587" s="537">
        <v>43607</v>
      </c>
      <c r="D587" s="1373" t="s">
        <v>4821</v>
      </c>
      <c r="E587" s="491" t="s">
        <v>1032</v>
      </c>
      <c r="F587" s="491" t="s">
        <v>361</v>
      </c>
      <c r="G587" s="571" t="s">
        <v>4822</v>
      </c>
      <c r="H587" s="491"/>
      <c r="I587" s="495"/>
      <c r="J587" s="491"/>
      <c r="K587" s="491" t="s">
        <v>896</v>
      </c>
      <c r="L587" s="491"/>
      <c r="M587" s="536">
        <v>500000</v>
      </c>
      <c r="N587" s="491" t="s">
        <v>112</v>
      </c>
      <c r="O587" s="537">
        <v>43620</v>
      </c>
      <c r="P587" s="537">
        <v>43636</v>
      </c>
      <c r="Q587" s="537">
        <v>43656</v>
      </c>
      <c r="R587" s="491" t="s">
        <v>5044</v>
      </c>
      <c r="S587" s="495"/>
      <c r="T587" s="536">
        <v>467790</v>
      </c>
      <c r="U587" s="536">
        <v>566026</v>
      </c>
      <c r="V587" s="1471"/>
      <c r="W587" s="1471"/>
      <c r="X587" s="1471"/>
      <c r="Y587" s="573">
        <v>43657</v>
      </c>
      <c r="Z587" s="536" t="s">
        <v>5089</v>
      </c>
      <c r="AA587" s="537">
        <v>43671</v>
      </c>
      <c r="AB587" s="537">
        <v>43675</v>
      </c>
      <c r="AC587" s="537">
        <f>AA587+42</f>
        <v>43713</v>
      </c>
      <c r="AD587" s="537">
        <v>43773</v>
      </c>
      <c r="AE587" s="1102"/>
      <c r="AF587" s="1166"/>
      <c r="AG587" s="374"/>
    </row>
    <row r="588" spans="3:33">
      <c r="C588" s="510" t="s">
        <v>3585</v>
      </c>
      <c r="D588" s="1382" t="s">
        <v>4823</v>
      </c>
      <c r="E588" s="506" t="s">
        <v>4295</v>
      </c>
      <c r="F588" s="506" t="s">
        <v>4296</v>
      </c>
      <c r="G588" s="507" t="s">
        <v>4824</v>
      </c>
      <c r="H588" s="506"/>
      <c r="I588" s="548"/>
      <c r="J588" s="491"/>
      <c r="K588" s="506" t="s">
        <v>1645</v>
      </c>
      <c r="L588" s="506"/>
      <c r="M588" s="511">
        <v>750000</v>
      </c>
      <c r="N588" s="506" t="s">
        <v>112</v>
      </c>
      <c r="O588" s="510">
        <v>43616</v>
      </c>
      <c r="P588" s="510">
        <v>43626</v>
      </c>
      <c r="Q588" s="506"/>
      <c r="R588" s="514" t="s">
        <v>4964</v>
      </c>
      <c r="S588" s="736" t="s">
        <v>5284</v>
      </c>
      <c r="T588" s="511"/>
      <c r="U588" s="511"/>
      <c r="V588" s="1471"/>
      <c r="W588" s="1471"/>
      <c r="X588" s="1471"/>
      <c r="Y588" s="511"/>
      <c r="Z588" s="511"/>
      <c r="AA588" s="506"/>
      <c r="AB588" s="510">
        <v>43635</v>
      </c>
      <c r="AC588" s="506"/>
      <c r="AD588" s="506"/>
      <c r="AE588" s="1396"/>
      <c r="AF588" s="1351"/>
    </row>
    <row r="589" spans="3:33">
      <c r="C589" s="537" t="s">
        <v>3585</v>
      </c>
      <c r="D589" s="1373" t="s">
        <v>4827</v>
      </c>
      <c r="E589" s="491" t="s">
        <v>289</v>
      </c>
      <c r="F589" s="491" t="s">
        <v>291</v>
      </c>
      <c r="G589" s="571" t="s">
        <v>4828</v>
      </c>
      <c r="H589" s="491">
        <v>1</v>
      </c>
      <c r="I589" s="495" t="s">
        <v>4459</v>
      </c>
      <c r="J589" s="491"/>
      <c r="K589" s="491" t="s">
        <v>680</v>
      </c>
      <c r="L589" s="491" t="s">
        <v>4461</v>
      </c>
      <c r="M589" s="536">
        <v>4600000</v>
      </c>
      <c r="N589" s="491" t="s">
        <v>251</v>
      </c>
      <c r="O589" s="537">
        <v>43619</v>
      </c>
      <c r="P589" s="537">
        <v>43683</v>
      </c>
      <c r="Q589" s="537">
        <v>43704</v>
      </c>
      <c r="R589" s="491" t="s">
        <v>5385</v>
      </c>
      <c r="S589" s="495"/>
      <c r="T589" s="536">
        <v>4388000</v>
      </c>
      <c r="U589" s="536">
        <f>T589*1.21</f>
        <v>5309480</v>
      </c>
      <c r="V589" s="1471"/>
      <c r="W589" s="1471"/>
      <c r="X589" s="1471"/>
      <c r="Y589" s="573">
        <v>43704</v>
      </c>
      <c r="Z589" s="536" t="s">
        <v>5386</v>
      </c>
      <c r="AA589" s="537">
        <v>43739</v>
      </c>
      <c r="AB589" s="537">
        <v>43740</v>
      </c>
      <c r="AC589" s="537">
        <v>43890</v>
      </c>
      <c r="AD589" s="537">
        <v>43955</v>
      </c>
      <c r="AE589" s="1102"/>
      <c r="AF589" s="1166"/>
      <c r="AG589" s="374"/>
    </row>
    <row r="590" spans="3:33">
      <c r="C590" s="537" t="s">
        <v>3585</v>
      </c>
      <c r="D590" s="1373" t="s">
        <v>4833</v>
      </c>
      <c r="E590" s="491" t="s">
        <v>2434</v>
      </c>
      <c r="F590" s="491" t="s">
        <v>219</v>
      </c>
      <c r="G590" s="571" t="s">
        <v>4832</v>
      </c>
      <c r="H590" s="491"/>
      <c r="I590" s="495"/>
      <c r="J590" s="540"/>
      <c r="K590" s="491" t="s">
        <v>4834</v>
      </c>
      <c r="L590" s="491" t="s">
        <v>4699</v>
      </c>
      <c r="M590" s="536">
        <v>1123966.8999999999</v>
      </c>
      <c r="N590" s="491" t="s">
        <v>112</v>
      </c>
      <c r="O590" s="537">
        <v>43619</v>
      </c>
      <c r="P590" s="537">
        <v>43622</v>
      </c>
      <c r="Q590" s="537">
        <v>43628</v>
      </c>
      <c r="R590" s="491" t="s">
        <v>3179</v>
      </c>
      <c r="S590" s="495"/>
      <c r="T590" s="536">
        <v>1123965.2</v>
      </c>
      <c r="U590" s="536">
        <v>1359997.9</v>
      </c>
      <c r="V590" s="1484"/>
      <c r="W590" s="1484"/>
      <c r="X590" s="1484"/>
      <c r="Y590" s="573">
        <v>43630</v>
      </c>
      <c r="Z590" s="536" t="s">
        <v>4944</v>
      </c>
      <c r="AA590" s="537">
        <v>43636</v>
      </c>
      <c r="AB590" s="537">
        <v>43642</v>
      </c>
      <c r="AC590" s="537">
        <v>44731</v>
      </c>
      <c r="AD590" s="537">
        <v>43930</v>
      </c>
      <c r="AE590" s="491" t="s">
        <v>8483</v>
      </c>
      <c r="AF590" s="1560">
        <v>44645</v>
      </c>
      <c r="AG590" s="388" t="s">
        <v>5051</v>
      </c>
    </row>
    <row r="591" spans="3:33">
      <c r="C591" s="510">
        <v>43606</v>
      </c>
      <c r="D591" s="1382" t="s">
        <v>4840</v>
      </c>
      <c r="E591" s="506" t="s">
        <v>2434</v>
      </c>
      <c r="F591" s="506" t="s">
        <v>219</v>
      </c>
      <c r="G591" s="507" t="s">
        <v>4841</v>
      </c>
      <c r="H591" s="506"/>
      <c r="I591" s="548"/>
      <c r="J591" s="506"/>
      <c r="K591" s="506" t="s">
        <v>642</v>
      </c>
      <c r="L591" s="506"/>
      <c r="M591" s="511">
        <v>315260</v>
      </c>
      <c r="N591" s="506" t="s">
        <v>112</v>
      </c>
      <c r="O591" s="510">
        <v>43623</v>
      </c>
      <c r="P591" s="510">
        <v>43630</v>
      </c>
      <c r="Q591" s="506"/>
      <c r="R591" s="514" t="s">
        <v>304</v>
      </c>
      <c r="S591" s="1713" t="s">
        <v>4962</v>
      </c>
      <c r="T591" s="511"/>
      <c r="U591" s="511"/>
      <c r="V591" s="1470"/>
      <c r="W591" s="1470"/>
      <c r="X591" s="1470"/>
      <c r="Y591" s="511"/>
      <c r="Z591" s="511"/>
      <c r="AA591" s="506"/>
      <c r="AB591" s="510">
        <v>43633</v>
      </c>
      <c r="AC591" s="506"/>
      <c r="AD591" s="506"/>
      <c r="AE591" s="506"/>
    </row>
    <row r="592" spans="3:33">
      <c r="C592" s="537">
        <v>43614</v>
      </c>
      <c r="D592" s="1373" t="s">
        <v>4844</v>
      </c>
      <c r="E592" s="491" t="s">
        <v>289</v>
      </c>
      <c r="F592" s="491" t="s">
        <v>291</v>
      </c>
      <c r="G592" s="571" t="s">
        <v>4843</v>
      </c>
      <c r="H592" s="491"/>
      <c r="I592" s="495"/>
      <c r="J592" s="491"/>
      <c r="K592" s="491" t="s">
        <v>455</v>
      </c>
      <c r="L592" s="491"/>
      <c r="M592" s="536">
        <v>320000</v>
      </c>
      <c r="N592" s="491" t="s">
        <v>112</v>
      </c>
      <c r="O592" s="537">
        <v>43623</v>
      </c>
      <c r="P592" s="537">
        <v>43636</v>
      </c>
      <c r="Q592" s="537">
        <v>43642</v>
      </c>
      <c r="R592" s="491" t="s">
        <v>5002</v>
      </c>
      <c r="S592" s="495"/>
      <c r="T592" s="536">
        <v>265470</v>
      </c>
      <c r="U592" s="536">
        <v>321218.7</v>
      </c>
      <c r="V592" s="1471"/>
      <c r="W592" s="1471"/>
      <c r="X592" s="1471"/>
      <c r="Y592" s="573">
        <v>43642</v>
      </c>
      <c r="Z592" s="536" t="s">
        <v>5003</v>
      </c>
      <c r="AA592" s="537">
        <v>43658</v>
      </c>
      <c r="AB592" s="537">
        <v>43661</v>
      </c>
      <c r="AC592" s="537">
        <v>44023</v>
      </c>
      <c r="AD592" s="537">
        <v>44244</v>
      </c>
      <c r="AE592" s="1102"/>
      <c r="AF592" s="374"/>
      <c r="AG592" s="374"/>
    </row>
    <row r="593" spans="3:33" ht="30">
      <c r="C593" s="544" t="s">
        <v>3585</v>
      </c>
      <c r="D593" s="1357" t="s">
        <v>4842</v>
      </c>
      <c r="E593" s="540" t="s">
        <v>1700</v>
      </c>
      <c r="F593" s="423" t="s">
        <v>6206</v>
      </c>
      <c r="G593" s="837" t="s">
        <v>4847</v>
      </c>
      <c r="H593" s="423"/>
      <c r="I593" s="1422"/>
      <c r="J593" s="576"/>
      <c r="K593" s="423" t="s">
        <v>780</v>
      </c>
      <c r="L593" s="423" t="s">
        <v>4058</v>
      </c>
      <c r="M593" s="841">
        <v>101429.75</v>
      </c>
      <c r="N593" s="423" t="s">
        <v>251</v>
      </c>
      <c r="O593" s="544">
        <v>43661</v>
      </c>
      <c r="P593" s="544">
        <v>43692</v>
      </c>
      <c r="Q593" s="544">
        <v>43784</v>
      </c>
      <c r="R593" s="540" t="s">
        <v>5461</v>
      </c>
      <c r="S593" s="1402"/>
      <c r="T593" s="545">
        <v>93640</v>
      </c>
      <c r="U593" s="545">
        <f>T593*1.21</f>
        <v>113304.4</v>
      </c>
      <c r="V593" s="1484"/>
      <c r="W593" s="1484"/>
      <c r="X593" s="1484"/>
      <c r="Y593" s="1385">
        <v>43787</v>
      </c>
      <c r="Z593" s="1386" t="s">
        <v>6005</v>
      </c>
      <c r="AA593" s="540"/>
      <c r="AB593" s="540"/>
      <c r="AC593" s="540"/>
      <c r="AD593" s="540"/>
      <c r="AE593" s="540"/>
      <c r="AF593" s="374"/>
      <c r="AG593" s="374"/>
    </row>
    <row r="594" spans="3:33" ht="30">
      <c r="C594" s="537">
        <v>43619</v>
      </c>
      <c r="D594" s="1373" t="s">
        <v>4848</v>
      </c>
      <c r="E594" s="491" t="s">
        <v>1700</v>
      </c>
      <c r="F594" s="491" t="s">
        <v>6206</v>
      </c>
      <c r="G594" s="571" t="s">
        <v>4849</v>
      </c>
      <c r="H594" s="491"/>
      <c r="I594" s="495"/>
      <c r="J594" s="491"/>
      <c r="K594" s="491" t="s">
        <v>86</v>
      </c>
      <c r="L594" s="491" t="s">
        <v>4561</v>
      </c>
      <c r="M594" s="536">
        <v>653454.54</v>
      </c>
      <c r="N594" s="491" t="s">
        <v>251</v>
      </c>
      <c r="O594" s="537">
        <v>43636</v>
      </c>
      <c r="P594" s="537">
        <v>43672</v>
      </c>
      <c r="Q594" s="537">
        <v>43704</v>
      </c>
      <c r="R594" s="491" t="s">
        <v>5321</v>
      </c>
      <c r="S594" s="495"/>
      <c r="T594" s="536">
        <v>93600</v>
      </c>
      <c r="U594" s="536">
        <v>113256</v>
      </c>
      <c r="V594" s="1471"/>
      <c r="W594" s="1471"/>
      <c r="X594" s="1471"/>
      <c r="Y594" s="573">
        <v>43674</v>
      </c>
      <c r="Z594" s="1375" t="s">
        <v>5389</v>
      </c>
      <c r="AA594" s="537">
        <v>43724</v>
      </c>
      <c r="AB594" s="537">
        <v>43728</v>
      </c>
      <c r="AC594" s="537">
        <f>AA594+56</f>
        <v>43780</v>
      </c>
      <c r="AD594" s="537">
        <v>44244</v>
      </c>
      <c r="AE594" s="1374" t="s">
        <v>1875</v>
      </c>
      <c r="AF594" s="374"/>
      <c r="AG594" s="374"/>
    </row>
    <row r="595" spans="3:33" ht="45">
      <c r="C595" s="537" t="s">
        <v>3585</v>
      </c>
      <c r="D595" s="1373" t="s">
        <v>4850</v>
      </c>
      <c r="E595" s="491" t="s">
        <v>1700</v>
      </c>
      <c r="F595" s="491" t="s">
        <v>6206</v>
      </c>
      <c r="G595" s="571" t="s">
        <v>4851</v>
      </c>
      <c r="H595" s="491"/>
      <c r="I595" s="495"/>
      <c r="J595" s="590"/>
      <c r="K595" s="491" t="s">
        <v>86</v>
      </c>
      <c r="L595" s="491" t="s">
        <v>3319</v>
      </c>
      <c r="M595" s="536">
        <v>2588200</v>
      </c>
      <c r="N595" s="491" t="s">
        <v>251</v>
      </c>
      <c r="O595" s="537">
        <v>43696</v>
      </c>
      <c r="P595" s="537">
        <v>43759</v>
      </c>
      <c r="Q595" s="537">
        <v>43784</v>
      </c>
      <c r="R595" s="491" t="s">
        <v>5939</v>
      </c>
      <c r="S595" s="495"/>
      <c r="T595" s="536">
        <v>2456200</v>
      </c>
      <c r="U595" s="536">
        <v>2972002</v>
      </c>
      <c r="V595" s="1484"/>
      <c r="W595" s="1484"/>
      <c r="X595" s="1484"/>
      <c r="Y595" s="573">
        <v>43769</v>
      </c>
      <c r="Z595" s="1375" t="s">
        <v>6287</v>
      </c>
      <c r="AA595" s="537">
        <v>43809</v>
      </c>
      <c r="AB595" s="537">
        <v>43811</v>
      </c>
      <c r="AC595" s="537">
        <f>AA595+42</f>
        <v>43851</v>
      </c>
      <c r="AD595" s="537">
        <v>43900</v>
      </c>
      <c r="AE595" s="1374" t="s">
        <v>4137</v>
      </c>
      <c r="AG595" s="374"/>
    </row>
    <row r="596" spans="3:33">
      <c r="C596" s="510" t="s">
        <v>4852</v>
      </c>
      <c r="D596" s="1382" t="s">
        <v>4853</v>
      </c>
      <c r="E596" s="506" t="s">
        <v>1700</v>
      </c>
      <c r="F596" s="506" t="s">
        <v>6206</v>
      </c>
      <c r="G596" s="507" t="s">
        <v>4854</v>
      </c>
      <c r="H596" s="506"/>
      <c r="I596" s="548"/>
      <c r="J596" s="506"/>
      <c r="K596" s="506" t="s">
        <v>3956</v>
      </c>
      <c r="L596" s="506" t="s">
        <v>3471</v>
      </c>
      <c r="M596" s="511">
        <v>143801.65</v>
      </c>
      <c r="N596" s="506" t="s">
        <v>251</v>
      </c>
      <c r="O596" s="510">
        <v>43644</v>
      </c>
      <c r="P596" s="510">
        <v>43682</v>
      </c>
      <c r="Q596" s="506"/>
      <c r="R596" s="514" t="s">
        <v>304</v>
      </c>
      <c r="S596" s="1713" t="s">
        <v>5364</v>
      </c>
      <c r="T596" s="511"/>
      <c r="U596" s="511"/>
      <c r="V596" s="1470"/>
      <c r="W596" s="1470"/>
      <c r="X596" s="1470"/>
      <c r="Y596" s="511"/>
      <c r="Z596" s="511"/>
      <c r="AA596" s="506"/>
      <c r="AB596" s="510">
        <v>43692</v>
      </c>
      <c r="AC596" s="506" t="s">
        <v>5256</v>
      </c>
      <c r="AD596" s="506"/>
      <c r="AE596" s="506"/>
    </row>
    <row r="597" spans="3:33">
      <c r="C597" s="537">
        <v>43627</v>
      </c>
      <c r="D597" s="1373" t="s">
        <v>4861</v>
      </c>
      <c r="E597" s="491" t="s">
        <v>52</v>
      </c>
      <c r="F597" s="491" t="s">
        <v>3670</v>
      </c>
      <c r="G597" s="571" t="s">
        <v>4862</v>
      </c>
      <c r="H597" s="491"/>
      <c r="I597" s="495"/>
      <c r="J597" s="491"/>
      <c r="K597" s="491" t="s">
        <v>33</v>
      </c>
      <c r="L597" s="491" t="s">
        <v>4870</v>
      </c>
      <c r="M597" s="536">
        <v>4500000</v>
      </c>
      <c r="N597" s="491" t="s">
        <v>112</v>
      </c>
      <c r="O597" s="537">
        <v>43627</v>
      </c>
      <c r="P597" s="537">
        <v>43636</v>
      </c>
      <c r="Q597" s="537">
        <v>43637</v>
      </c>
      <c r="R597" s="491" t="s">
        <v>2626</v>
      </c>
      <c r="S597" s="495"/>
      <c r="T597" s="536">
        <v>3991339.51</v>
      </c>
      <c r="U597" s="536">
        <f>T597*1.21</f>
        <v>4829520.8070999999</v>
      </c>
      <c r="V597" s="1471"/>
      <c r="W597" s="1471"/>
      <c r="X597" s="1471"/>
      <c r="Y597" s="573">
        <v>43637</v>
      </c>
      <c r="Z597" s="536" t="s">
        <v>4975</v>
      </c>
      <c r="AA597" s="537">
        <v>43648</v>
      </c>
      <c r="AB597" s="537">
        <v>43656</v>
      </c>
      <c r="AC597" s="537">
        <v>43692</v>
      </c>
      <c r="AD597" s="537">
        <v>43759</v>
      </c>
      <c r="AE597" s="1102"/>
      <c r="AF597" s="374"/>
      <c r="AG597" s="374"/>
    </row>
    <row r="598" spans="3:33">
      <c r="C598" s="537">
        <v>43613</v>
      </c>
      <c r="D598" s="1373" t="s">
        <v>4863</v>
      </c>
      <c r="E598" s="491" t="s">
        <v>1032</v>
      </c>
      <c r="F598" s="491" t="s">
        <v>4864</v>
      </c>
      <c r="G598" s="1563" t="s">
        <v>4865</v>
      </c>
      <c r="H598" s="491"/>
      <c r="I598" s="495"/>
      <c r="J598" s="491"/>
      <c r="K598" s="491" t="s">
        <v>4867</v>
      </c>
      <c r="L598" s="491" t="s">
        <v>4866</v>
      </c>
      <c r="M598" s="536">
        <v>1650000</v>
      </c>
      <c r="N598" s="491" t="s">
        <v>112</v>
      </c>
      <c r="O598" s="537">
        <v>43628</v>
      </c>
      <c r="P598" s="537">
        <v>43637</v>
      </c>
      <c r="Q598" s="537">
        <v>43643</v>
      </c>
      <c r="R598" s="491" t="s">
        <v>2626</v>
      </c>
      <c r="S598" s="495"/>
      <c r="T598" s="536">
        <v>1993715.88</v>
      </c>
      <c r="U598" s="536">
        <v>2412396.2200000002</v>
      </c>
      <c r="V598" s="1471"/>
      <c r="W598" s="1471"/>
      <c r="X598" s="1471"/>
      <c r="Y598" s="573">
        <v>43643</v>
      </c>
      <c r="Z598" s="536" t="s">
        <v>5018</v>
      </c>
      <c r="AA598" s="537">
        <v>43690</v>
      </c>
      <c r="AB598" s="537">
        <v>43696</v>
      </c>
      <c r="AC598" s="537">
        <f>AA598+140</f>
        <v>43830</v>
      </c>
      <c r="AD598" s="537">
        <v>43864</v>
      </c>
      <c r="AE598" s="1102"/>
      <c r="AF598" s="374"/>
      <c r="AG598" s="374"/>
    </row>
    <row r="599" spans="3:33" ht="30.75" thickBot="1">
      <c r="C599" s="416">
        <v>43609</v>
      </c>
      <c r="D599" s="1468" t="s">
        <v>4868</v>
      </c>
      <c r="E599" s="411" t="s">
        <v>2434</v>
      </c>
      <c r="F599" s="411" t="s">
        <v>3204</v>
      </c>
      <c r="G599" s="412" t="s">
        <v>4869</v>
      </c>
      <c r="H599" s="411"/>
      <c r="I599" s="630"/>
      <c r="J599" s="411"/>
      <c r="K599" s="411" t="s">
        <v>642</v>
      </c>
      <c r="L599" s="411"/>
      <c r="M599" s="417">
        <v>2550600</v>
      </c>
      <c r="N599" s="411" t="s">
        <v>216</v>
      </c>
      <c r="O599" s="416">
        <v>43627</v>
      </c>
      <c r="P599" s="416">
        <v>43644</v>
      </c>
      <c r="Q599" s="416">
        <v>43732</v>
      </c>
      <c r="R599" s="411" t="s">
        <v>576</v>
      </c>
      <c r="S599" s="1421"/>
      <c r="T599" s="417">
        <v>2177820</v>
      </c>
      <c r="U599" s="417">
        <v>2635162.2000000002</v>
      </c>
      <c r="V599" s="1480"/>
      <c r="W599" s="1480"/>
      <c r="X599" s="1480"/>
      <c r="Y599" s="513">
        <v>43733</v>
      </c>
      <c r="Z599" s="1553" t="s">
        <v>5715</v>
      </c>
      <c r="AA599" s="416">
        <v>43759</v>
      </c>
      <c r="AB599" s="416">
        <v>43762</v>
      </c>
      <c r="AC599" s="416">
        <v>44489</v>
      </c>
      <c r="AD599" s="416">
        <v>43930</v>
      </c>
      <c r="AE599" s="416">
        <v>44285</v>
      </c>
      <c r="AF599" s="1560">
        <v>44631</v>
      </c>
      <c r="AG599" s="374"/>
    </row>
    <row r="600" spans="3:33" ht="15.75" thickTop="1">
      <c r="C600" s="443">
        <v>43620</v>
      </c>
      <c r="D600" s="1415" t="s">
        <v>4871</v>
      </c>
      <c r="E600" s="439" t="s">
        <v>69</v>
      </c>
      <c r="F600" s="439" t="s">
        <v>70</v>
      </c>
      <c r="G600" s="440" t="s">
        <v>4872</v>
      </c>
      <c r="H600" s="439">
        <v>1</v>
      </c>
      <c r="I600" s="440" t="s">
        <v>4873</v>
      </c>
      <c r="J600" s="439"/>
      <c r="K600" s="439" t="s">
        <v>68</v>
      </c>
      <c r="L600" s="439"/>
      <c r="M600" s="444">
        <v>2143890</v>
      </c>
      <c r="N600" s="439" t="s">
        <v>251</v>
      </c>
      <c r="O600" s="443">
        <v>43629</v>
      </c>
      <c r="P600" s="443">
        <v>43665</v>
      </c>
      <c r="Q600" s="439"/>
      <c r="R600" s="538" t="s">
        <v>5565</v>
      </c>
      <c r="S600" s="1722" t="s">
        <v>5730</v>
      </c>
      <c r="T600" s="444"/>
      <c r="U600" s="444"/>
      <c r="V600" s="1481"/>
      <c r="W600" s="1481"/>
      <c r="X600" s="1481"/>
      <c r="Y600" s="444"/>
      <c r="Z600" s="444"/>
      <c r="AA600" s="439"/>
      <c r="AB600" s="443">
        <v>43678</v>
      </c>
      <c r="AC600" s="439" t="s">
        <v>5231</v>
      </c>
      <c r="AD600" s="439"/>
      <c r="AE600" s="439"/>
    </row>
    <row r="601" spans="3:33">
      <c r="C601" s="510">
        <v>43620</v>
      </c>
      <c r="D601" s="1382" t="s">
        <v>4871</v>
      </c>
      <c r="E601" s="506" t="s">
        <v>69</v>
      </c>
      <c r="F601" s="506" t="s">
        <v>70</v>
      </c>
      <c r="G601" s="507" t="s">
        <v>4872</v>
      </c>
      <c r="H601" s="506">
        <v>2</v>
      </c>
      <c r="I601" s="507" t="s">
        <v>4874</v>
      </c>
      <c r="J601" s="506"/>
      <c r="K601" s="506" t="s">
        <v>68</v>
      </c>
      <c r="L601" s="506"/>
      <c r="M601" s="511">
        <v>3103225</v>
      </c>
      <c r="N601" s="506" t="s">
        <v>251</v>
      </c>
      <c r="O601" s="510">
        <v>43629</v>
      </c>
      <c r="P601" s="510">
        <v>43665</v>
      </c>
      <c r="Q601" s="506"/>
      <c r="R601" s="514" t="s">
        <v>5566</v>
      </c>
      <c r="S601" s="1720" t="s">
        <v>5738</v>
      </c>
      <c r="T601" s="511"/>
      <c r="U601" s="511"/>
      <c r="V601" s="1470"/>
      <c r="W601" s="1470"/>
      <c r="X601" s="1470"/>
      <c r="Y601" s="511"/>
      <c r="Z601" s="511"/>
      <c r="AA601" s="506"/>
      <c r="AB601" s="510">
        <v>43678</v>
      </c>
      <c r="AC601" s="506" t="s">
        <v>5231</v>
      </c>
      <c r="AD601" s="506"/>
      <c r="AE601" s="506"/>
    </row>
    <row r="602" spans="3:33" ht="15.75" thickBot="1">
      <c r="C602" s="1414">
        <v>43620</v>
      </c>
      <c r="D602" s="1411" t="s">
        <v>4871</v>
      </c>
      <c r="E602" s="1410" t="s">
        <v>69</v>
      </c>
      <c r="F602" s="1410" t="s">
        <v>70</v>
      </c>
      <c r="G602" s="1412" t="s">
        <v>4872</v>
      </c>
      <c r="H602" s="1410">
        <v>3</v>
      </c>
      <c r="I602" s="1412" t="s">
        <v>4875</v>
      </c>
      <c r="J602" s="1410"/>
      <c r="K602" s="1410" t="s">
        <v>68</v>
      </c>
      <c r="L602" s="1410"/>
      <c r="M602" s="1413">
        <v>406262</v>
      </c>
      <c r="N602" s="1410" t="s">
        <v>251</v>
      </c>
      <c r="O602" s="1414">
        <v>43629</v>
      </c>
      <c r="P602" s="1414">
        <v>43665</v>
      </c>
      <c r="Q602" s="1410"/>
      <c r="R602" s="1740" t="s">
        <v>5567</v>
      </c>
      <c r="S602" s="1721" t="s">
        <v>5738</v>
      </c>
      <c r="T602" s="1413"/>
      <c r="U602" s="1413"/>
      <c r="V602" s="1479"/>
      <c r="W602" s="1479"/>
      <c r="X602" s="1479"/>
      <c r="Y602" s="1413"/>
      <c r="Z602" s="1413"/>
      <c r="AA602" s="1410"/>
      <c r="AB602" s="1414">
        <v>43678</v>
      </c>
      <c r="AC602" s="1410" t="s">
        <v>5231</v>
      </c>
      <c r="AD602" s="1410"/>
      <c r="AE602" s="1410"/>
    </row>
    <row r="603" spans="3:33" ht="16.5" thickTop="1" thickBot="1">
      <c r="C603" s="498">
        <v>43620</v>
      </c>
      <c r="D603" s="1544" t="s">
        <v>4877</v>
      </c>
      <c r="E603" s="232" t="s">
        <v>69</v>
      </c>
      <c r="F603" s="232" t="s">
        <v>70</v>
      </c>
      <c r="G603" s="274" t="s">
        <v>4876</v>
      </c>
      <c r="H603" s="232"/>
      <c r="I603" s="669"/>
      <c r="J603" s="232"/>
      <c r="K603" s="232" t="s">
        <v>93</v>
      </c>
      <c r="L603" s="232"/>
      <c r="M603" s="636">
        <v>15813414</v>
      </c>
      <c r="N603" s="232" t="s">
        <v>251</v>
      </c>
      <c r="O603" s="498">
        <v>43630</v>
      </c>
      <c r="P603" s="498">
        <v>43664</v>
      </c>
      <c r="Q603" s="498">
        <v>43684</v>
      </c>
      <c r="R603" s="232" t="s">
        <v>578</v>
      </c>
      <c r="S603" s="669"/>
      <c r="T603" s="499">
        <v>15091188.189999999</v>
      </c>
      <c r="U603" s="499">
        <v>16600307.01</v>
      </c>
      <c r="V603" s="1545"/>
      <c r="W603" s="1545"/>
      <c r="X603" s="1545"/>
      <c r="Y603" s="682">
        <v>43684</v>
      </c>
      <c r="Z603" s="499" t="s">
        <v>5212</v>
      </c>
      <c r="AA603" s="498">
        <v>43720</v>
      </c>
      <c r="AB603" s="498">
        <v>43725</v>
      </c>
      <c r="AC603" s="498">
        <v>44085</v>
      </c>
      <c r="AD603" s="498">
        <v>43915</v>
      </c>
      <c r="AE603" s="498">
        <v>44279</v>
      </c>
      <c r="AF603" s="374"/>
      <c r="AG603" s="374"/>
    </row>
    <row r="604" spans="3:33" ht="15.75" thickTop="1">
      <c r="C604" s="474">
        <v>43620</v>
      </c>
      <c r="D604" s="453" t="s">
        <v>4878</v>
      </c>
      <c r="E604" s="453" t="s">
        <v>69</v>
      </c>
      <c r="F604" s="453" t="s">
        <v>70</v>
      </c>
      <c r="G604" s="473" t="s">
        <v>4889</v>
      </c>
      <c r="H604" s="453">
        <v>1</v>
      </c>
      <c r="I604" s="473" t="s">
        <v>4879</v>
      </c>
      <c r="J604" s="453"/>
      <c r="K604" s="453" t="s">
        <v>93</v>
      </c>
      <c r="L604" s="453"/>
      <c r="M604" s="457">
        <v>2777011</v>
      </c>
      <c r="N604" s="453" t="s">
        <v>251</v>
      </c>
      <c r="O604" s="474">
        <v>43629</v>
      </c>
      <c r="P604" s="474">
        <v>43691</v>
      </c>
      <c r="Q604" s="474">
        <v>43755</v>
      </c>
      <c r="R604" s="453" t="s">
        <v>5566</v>
      </c>
      <c r="S604" s="1420"/>
      <c r="T604" s="457">
        <v>2780260.18</v>
      </c>
      <c r="U604" s="457">
        <v>3058286.2</v>
      </c>
      <c r="V604" s="1474"/>
      <c r="W604" s="1474"/>
      <c r="X604" s="1474"/>
      <c r="Y604" s="570">
        <v>43756</v>
      </c>
      <c r="Z604" s="457" t="s">
        <v>5845</v>
      </c>
      <c r="AA604" s="474">
        <v>43796</v>
      </c>
      <c r="AB604" s="474">
        <v>43805</v>
      </c>
      <c r="AC604" s="474">
        <v>44526</v>
      </c>
      <c r="AD604" s="474">
        <v>43915</v>
      </c>
      <c r="AE604" s="474">
        <v>44279</v>
      </c>
      <c r="AF604" s="1560">
        <v>44645</v>
      </c>
      <c r="AG604" s="374"/>
    </row>
    <row r="605" spans="3:33">
      <c r="C605" s="510">
        <v>43620</v>
      </c>
      <c r="D605" s="506" t="s">
        <v>4878</v>
      </c>
      <c r="E605" s="506" t="s">
        <v>69</v>
      </c>
      <c r="F605" s="506" t="s">
        <v>70</v>
      </c>
      <c r="G605" s="507" t="s">
        <v>4889</v>
      </c>
      <c r="H605" s="506">
        <v>2</v>
      </c>
      <c r="I605" s="507" t="s">
        <v>4880</v>
      </c>
      <c r="J605" s="506"/>
      <c r="K605" s="506" t="s">
        <v>93</v>
      </c>
      <c r="L605" s="506"/>
      <c r="M605" s="511">
        <v>4504490</v>
      </c>
      <c r="N605" s="506" t="s">
        <v>251</v>
      </c>
      <c r="O605" s="510">
        <v>43629</v>
      </c>
      <c r="P605" s="510">
        <v>43691</v>
      </c>
      <c r="Q605" s="506"/>
      <c r="R605" s="514" t="s">
        <v>5568</v>
      </c>
      <c r="S605" s="736" t="s">
        <v>5519</v>
      </c>
      <c r="T605" s="511"/>
      <c r="U605" s="511"/>
      <c r="V605" s="1470"/>
      <c r="W605" s="1470"/>
      <c r="X605" s="1470"/>
      <c r="Y605" s="511"/>
      <c r="Z605" s="511"/>
      <c r="AA605" s="506"/>
      <c r="AB605" s="510">
        <v>43718</v>
      </c>
      <c r="AC605" s="506" t="s">
        <v>5281</v>
      </c>
      <c r="AD605" s="506"/>
      <c r="AE605" s="506"/>
    </row>
    <row r="606" spans="3:33">
      <c r="C606" s="537">
        <v>43620</v>
      </c>
      <c r="D606" s="491" t="s">
        <v>4878</v>
      </c>
      <c r="E606" s="491" t="s">
        <v>69</v>
      </c>
      <c r="F606" s="491" t="s">
        <v>70</v>
      </c>
      <c r="G606" s="571" t="s">
        <v>4889</v>
      </c>
      <c r="H606" s="491">
        <v>3</v>
      </c>
      <c r="I606" s="571" t="s">
        <v>4881</v>
      </c>
      <c r="J606" s="491"/>
      <c r="K606" s="491" t="s">
        <v>93</v>
      </c>
      <c r="L606" s="491"/>
      <c r="M606" s="536">
        <v>207611</v>
      </c>
      <c r="N606" s="491" t="s">
        <v>251</v>
      </c>
      <c r="O606" s="537">
        <v>43629</v>
      </c>
      <c r="P606" s="537">
        <v>43691</v>
      </c>
      <c r="Q606" s="537">
        <v>43755</v>
      </c>
      <c r="R606" s="491" t="s">
        <v>2548</v>
      </c>
      <c r="S606" s="495"/>
      <c r="T606" s="536">
        <v>201035.84</v>
      </c>
      <c r="U606" s="536">
        <v>221139.43</v>
      </c>
      <c r="V606" s="1471"/>
      <c r="W606" s="1471"/>
      <c r="X606" s="1471"/>
      <c r="Y606" s="573">
        <v>43756</v>
      </c>
      <c r="Z606" s="536" t="s">
        <v>5846</v>
      </c>
      <c r="AA606" s="537">
        <v>43796</v>
      </c>
      <c r="AB606" s="537">
        <v>43805</v>
      </c>
      <c r="AC606" s="537">
        <v>44526</v>
      </c>
      <c r="AD606" s="537">
        <v>43915</v>
      </c>
      <c r="AE606" s="537">
        <v>44279</v>
      </c>
      <c r="AF606" s="1560">
        <v>44645</v>
      </c>
      <c r="AG606" s="374"/>
    </row>
    <row r="607" spans="3:33">
      <c r="C607" s="537">
        <v>43620</v>
      </c>
      <c r="D607" s="491" t="s">
        <v>4878</v>
      </c>
      <c r="E607" s="491" t="s">
        <v>69</v>
      </c>
      <c r="F607" s="491" t="s">
        <v>70</v>
      </c>
      <c r="G607" s="571" t="s">
        <v>4889</v>
      </c>
      <c r="H607" s="491">
        <v>4</v>
      </c>
      <c r="I607" s="571" t="s">
        <v>4882</v>
      </c>
      <c r="J607" s="491"/>
      <c r="K607" s="491" t="s">
        <v>93</v>
      </c>
      <c r="L607" s="491"/>
      <c r="M607" s="536">
        <v>12070000</v>
      </c>
      <c r="N607" s="491" t="s">
        <v>251</v>
      </c>
      <c r="O607" s="537">
        <v>43629</v>
      </c>
      <c r="P607" s="537">
        <v>43691</v>
      </c>
      <c r="Q607" s="537">
        <v>43755</v>
      </c>
      <c r="R607" s="491" t="s">
        <v>2548</v>
      </c>
      <c r="S607" s="495"/>
      <c r="T607" s="536">
        <v>12070000</v>
      </c>
      <c r="U607" s="536">
        <v>13277000</v>
      </c>
      <c r="V607" s="1471"/>
      <c r="W607" s="1471"/>
      <c r="X607" s="1471"/>
      <c r="Y607" s="573">
        <v>43756</v>
      </c>
      <c r="Z607" s="536" t="s">
        <v>5847</v>
      </c>
      <c r="AA607" s="537">
        <v>43796</v>
      </c>
      <c r="AB607" s="537">
        <v>43805</v>
      </c>
      <c r="AC607" s="537">
        <v>44526</v>
      </c>
      <c r="AD607" s="537">
        <v>43915</v>
      </c>
      <c r="AE607" s="537">
        <v>44279</v>
      </c>
      <c r="AF607" s="1560">
        <v>44645</v>
      </c>
      <c r="AG607" s="374"/>
    </row>
    <row r="608" spans="3:33">
      <c r="C608" s="537">
        <v>43620</v>
      </c>
      <c r="D608" s="491" t="s">
        <v>4878</v>
      </c>
      <c r="E608" s="491" t="s">
        <v>69</v>
      </c>
      <c r="F608" s="491" t="s">
        <v>70</v>
      </c>
      <c r="G608" s="571" t="s">
        <v>4889</v>
      </c>
      <c r="H608" s="491">
        <v>5</v>
      </c>
      <c r="I608" s="571" t="s">
        <v>4883</v>
      </c>
      <c r="J608" s="491"/>
      <c r="K608" s="491" t="s">
        <v>93</v>
      </c>
      <c r="L608" s="491"/>
      <c r="M608" s="536">
        <v>3069066</v>
      </c>
      <c r="N608" s="491" t="s">
        <v>251</v>
      </c>
      <c r="O608" s="537">
        <v>43629</v>
      </c>
      <c r="P608" s="537">
        <v>43691</v>
      </c>
      <c r="Q608" s="537">
        <v>43755</v>
      </c>
      <c r="R608" s="491" t="s">
        <v>2548</v>
      </c>
      <c r="S608" s="495"/>
      <c r="T608" s="536">
        <v>3029447.74</v>
      </c>
      <c r="U608" s="536">
        <v>3332392.51</v>
      </c>
      <c r="V608" s="1471"/>
      <c r="W608" s="1471"/>
      <c r="X608" s="1471"/>
      <c r="Y608" s="573">
        <v>43756</v>
      </c>
      <c r="Z608" s="536" t="s">
        <v>5848</v>
      </c>
      <c r="AA608" s="537">
        <v>43796</v>
      </c>
      <c r="AB608" s="537">
        <v>43805</v>
      </c>
      <c r="AC608" s="537">
        <v>44526</v>
      </c>
      <c r="AD608" s="537">
        <v>43915</v>
      </c>
      <c r="AE608" s="537">
        <v>44279</v>
      </c>
      <c r="AF608" s="1560">
        <v>44645</v>
      </c>
      <c r="AG608" s="374"/>
    </row>
    <row r="609" spans="3:33">
      <c r="C609" s="537">
        <v>43620</v>
      </c>
      <c r="D609" s="491" t="s">
        <v>4878</v>
      </c>
      <c r="E609" s="491" t="s">
        <v>69</v>
      </c>
      <c r="F609" s="491" t="s">
        <v>70</v>
      </c>
      <c r="G609" s="571" t="s">
        <v>4889</v>
      </c>
      <c r="H609" s="491">
        <v>6</v>
      </c>
      <c r="I609" s="571" t="s">
        <v>4884</v>
      </c>
      <c r="J609" s="491"/>
      <c r="K609" s="491" t="s">
        <v>93</v>
      </c>
      <c r="L609" s="491"/>
      <c r="M609" s="536">
        <v>1769495</v>
      </c>
      <c r="N609" s="491" t="s">
        <v>251</v>
      </c>
      <c r="O609" s="537">
        <v>43629</v>
      </c>
      <c r="P609" s="537">
        <v>43691</v>
      </c>
      <c r="Q609" s="537">
        <v>43755</v>
      </c>
      <c r="R609" s="491" t="s">
        <v>576</v>
      </c>
      <c r="S609" s="495"/>
      <c r="T609" s="536">
        <v>1538049.52</v>
      </c>
      <c r="U609" s="536">
        <v>1691854.47</v>
      </c>
      <c r="V609" s="1471"/>
      <c r="W609" s="1471"/>
      <c r="X609" s="1471"/>
      <c r="Y609" s="573">
        <v>43756</v>
      </c>
      <c r="Z609" s="536" t="s">
        <v>5849</v>
      </c>
      <c r="AA609" s="537">
        <v>43796</v>
      </c>
      <c r="AB609" s="537">
        <v>43805</v>
      </c>
      <c r="AC609" s="537">
        <v>44526</v>
      </c>
      <c r="AD609" s="537">
        <v>43915</v>
      </c>
      <c r="AE609" s="537">
        <v>44279</v>
      </c>
      <c r="AF609" s="1560">
        <v>44645</v>
      </c>
      <c r="AG609" s="374"/>
    </row>
    <row r="610" spans="3:33">
      <c r="C610" s="537">
        <v>43620</v>
      </c>
      <c r="D610" s="491" t="s">
        <v>4878</v>
      </c>
      <c r="E610" s="491" t="s">
        <v>69</v>
      </c>
      <c r="F610" s="491" t="s">
        <v>70</v>
      </c>
      <c r="G610" s="571" t="s">
        <v>4889</v>
      </c>
      <c r="H610" s="491">
        <v>7</v>
      </c>
      <c r="I610" s="571" t="s">
        <v>4885</v>
      </c>
      <c r="J610" s="491"/>
      <c r="K610" s="491" t="s">
        <v>93</v>
      </c>
      <c r="L610" s="491"/>
      <c r="M610" s="536">
        <v>3160476</v>
      </c>
      <c r="N610" s="491" t="s">
        <v>251</v>
      </c>
      <c r="O610" s="537">
        <v>43629</v>
      </c>
      <c r="P610" s="537">
        <v>43691</v>
      </c>
      <c r="Q610" s="537">
        <v>43755</v>
      </c>
      <c r="R610" s="491" t="s">
        <v>5774</v>
      </c>
      <c r="S610" s="495"/>
      <c r="T610" s="536">
        <v>3109876</v>
      </c>
      <c r="U610" s="536">
        <v>3420863.6</v>
      </c>
      <c r="V610" s="1471"/>
      <c r="W610" s="1471"/>
      <c r="X610" s="1471"/>
      <c r="Y610" s="573">
        <v>43756</v>
      </c>
      <c r="Z610" s="536" t="s">
        <v>5851</v>
      </c>
      <c r="AA610" s="537">
        <v>43795</v>
      </c>
      <c r="AB610" s="537">
        <v>43805</v>
      </c>
      <c r="AC610" s="537">
        <v>44525</v>
      </c>
      <c r="AD610" s="491" t="s">
        <v>6603</v>
      </c>
      <c r="AE610" s="491" t="s">
        <v>8483</v>
      </c>
      <c r="AF610" s="1560">
        <v>44645</v>
      </c>
      <c r="AG610" s="374"/>
    </row>
    <row r="611" spans="3:33">
      <c r="C611" s="537">
        <v>43620</v>
      </c>
      <c r="D611" s="491" t="s">
        <v>4878</v>
      </c>
      <c r="E611" s="491" t="s">
        <v>69</v>
      </c>
      <c r="F611" s="491" t="s">
        <v>70</v>
      </c>
      <c r="G611" s="571" t="s">
        <v>4889</v>
      </c>
      <c r="H611" s="491">
        <v>8</v>
      </c>
      <c r="I611" s="571" t="s">
        <v>4886</v>
      </c>
      <c r="J611" s="491"/>
      <c r="K611" s="491" t="s">
        <v>93</v>
      </c>
      <c r="L611" s="491"/>
      <c r="M611" s="536">
        <v>8127504</v>
      </c>
      <c r="N611" s="491" t="s">
        <v>251</v>
      </c>
      <c r="O611" s="537">
        <v>43629</v>
      </c>
      <c r="P611" s="537">
        <v>43691</v>
      </c>
      <c r="Q611" s="537">
        <v>43755</v>
      </c>
      <c r="R611" s="491" t="s">
        <v>2548</v>
      </c>
      <c r="S611" s="495"/>
      <c r="T611" s="536">
        <v>8006822.04</v>
      </c>
      <c r="U611" s="536">
        <v>8807504.2400000002</v>
      </c>
      <c r="V611" s="1471"/>
      <c r="W611" s="1471"/>
      <c r="X611" s="1471"/>
      <c r="Y611" s="573">
        <v>43756</v>
      </c>
      <c r="Z611" s="536" t="s">
        <v>5852</v>
      </c>
      <c r="AA611" s="537">
        <v>43796</v>
      </c>
      <c r="AB611" s="537">
        <v>43805</v>
      </c>
      <c r="AC611" s="537">
        <v>44526</v>
      </c>
      <c r="AD611" s="537">
        <v>43915</v>
      </c>
      <c r="AE611" s="537">
        <v>44279</v>
      </c>
      <c r="AF611" s="1560">
        <v>44645</v>
      </c>
      <c r="AG611" s="374"/>
    </row>
    <row r="612" spans="3:33">
      <c r="C612" s="510">
        <v>43620</v>
      </c>
      <c r="D612" s="506" t="s">
        <v>4878</v>
      </c>
      <c r="E612" s="506" t="s">
        <v>69</v>
      </c>
      <c r="F612" s="506" t="s">
        <v>70</v>
      </c>
      <c r="G612" s="507" t="s">
        <v>4889</v>
      </c>
      <c r="H612" s="506">
        <v>9</v>
      </c>
      <c r="I612" s="507" t="s">
        <v>4887</v>
      </c>
      <c r="J612" s="506"/>
      <c r="K612" s="506" t="s">
        <v>93</v>
      </c>
      <c r="L612" s="506"/>
      <c r="M612" s="511">
        <v>2357044</v>
      </c>
      <c r="N612" s="506" t="s">
        <v>251</v>
      </c>
      <c r="O612" s="510">
        <v>43629</v>
      </c>
      <c r="P612" s="510">
        <v>43691</v>
      </c>
      <c r="Q612" s="506"/>
      <c r="R612" s="514" t="s">
        <v>5569</v>
      </c>
      <c r="S612" s="736" t="s">
        <v>5520</v>
      </c>
      <c r="T612" s="511"/>
      <c r="U612" s="511"/>
      <c r="V612" s="1470"/>
      <c r="W612" s="1470"/>
      <c r="X612" s="1470"/>
      <c r="Y612" s="511"/>
      <c r="Z612" s="511"/>
      <c r="AA612" s="506"/>
      <c r="AB612" s="510">
        <v>43718</v>
      </c>
      <c r="AC612" s="506" t="s">
        <v>5281</v>
      </c>
      <c r="AD612" s="506"/>
      <c r="AE612" s="506"/>
    </row>
    <row r="613" spans="3:33" ht="15.75" thickBot="1">
      <c r="C613" s="1380">
        <v>43620</v>
      </c>
      <c r="D613" s="1376" t="s">
        <v>4878</v>
      </c>
      <c r="E613" s="1376" t="s">
        <v>69</v>
      </c>
      <c r="F613" s="1376" t="s">
        <v>70</v>
      </c>
      <c r="G613" s="1378" t="s">
        <v>4889</v>
      </c>
      <c r="H613" s="1376">
        <v>10</v>
      </c>
      <c r="I613" s="1378" t="s">
        <v>4888</v>
      </c>
      <c r="J613" s="1376"/>
      <c r="K613" s="1376" t="s">
        <v>93</v>
      </c>
      <c r="L613" s="1376"/>
      <c r="M613" s="1379">
        <v>5488380</v>
      </c>
      <c r="N613" s="1376" t="s">
        <v>251</v>
      </c>
      <c r="O613" s="1380">
        <v>43629</v>
      </c>
      <c r="P613" s="1380">
        <v>43691</v>
      </c>
      <c r="Q613" s="1380">
        <v>43755</v>
      </c>
      <c r="R613" s="1376" t="s">
        <v>1319</v>
      </c>
      <c r="S613" s="1421"/>
      <c r="T613" s="1379">
        <v>5488380</v>
      </c>
      <c r="U613" s="1379">
        <v>6037218</v>
      </c>
      <c r="V613" s="1475"/>
      <c r="W613" s="1475"/>
      <c r="X613" s="1475"/>
      <c r="Y613" s="1388">
        <v>43756</v>
      </c>
      <c r="Z613" s="1379" t="s">
        <v>5853</v>
      </c>
      <c r="AA613" s="1380">
        <v>43796</v>
      </c>
      <c r="AB613" s="1380">
        <v>43805</v>
      </c>
      <c r="AC613" s="1380">
        <v>44526</v>
      </c>
      <c r="AD613" s="1380">
        <v>43915</v>
      </c>
      <c r="AE613" s="1380">
        <v>44279</v>
      </c>
      <c r="AF613" s="1560">
        <v>44645</v>
      </c>
      <c r="AG613" s="374"/>
    </row>
    <row r="614" spans="3:33" ht="31.5" thickTop="1" thickBot="1">
      <c r="C614" s="498" t="s">
        <v>3585</v>
      </c>
      <c r="D614" s="1544" t="s">
        <v>4891</v>
      </c>
      <c r="E614" s="232" t="s">
        <v>58</v>
      </c>
      <c r="F614" s="232" t="s">
        <v>2684</v>
      </c>
      <c r="G614" s="412" t="s">
        <v>4892</v>
      </c>
      <c r="H614" s="232"/>
      <c r="I614" s="669"/>
      <c r="J614" s="232"/>
      <c r="K614" s="232" t="s">
        <v>86</v>
      </c>
      <c r="L614" s="232" t="s">
        <v>4232</v>
      </c>
      <c r="M614" s="499">
        <v>905000</v>
      </c>
      <c r="N614" s="232" t="s">
        <v>112</v>
      </c>
      <c r="O614" s="498">
        <v>43626</v>
      </c>
      <c r="P614" s="498">
        <v>43635</v>
      </c>
      <c r="Q614" s="498">
        <v>43691</v>
      </c>
      <c r="R614" s="232" t="s">
        <v>1433</v>
      </c>
      <c r="S614" s="1755"/>
      <c r="T614" s="499">
        <v>1993493.67</v>
      </c>
      <c r="U614" s="499">
        <f>T614*1.21</f>
        <v>2412127.3407000001</v>
      </c>
      <c r="V614" s="1545"/>
      <c r="W614" s="1545"/>
      <c r="X614" s="1545"/>
      <c r="Y614" s="682">
        <v>43692</v>
      </c>
      <c r="Z614" s="1752" t="s">
        <v>5247</v>
      </c>
      <c r="AA614" s="498">
        <v>43739</v>
      </c>
      <c r="AB614" s="498">
        <v>43741</v>
      </c>
      <c r="AC614" s="498">
        <f>AA614+21</f>
        <v>43760</v>
      </c>
      <c r="AD614" s="498">
        <v>43822</v>
      </c>
      <c r="AE614" s="1546" t="s">
        <v>1875</v>
      </c>
      <c r="AF614" s="374"/>
      <c r="AG614" s="374"/>
    </row>
    <row r="615" spans="3:33" ht="15.75" thickTop="1">
      <c r="C615" s="443">
        <v>43627</v>
      </c>
      <c r="D615" s="1415" t="s">
        <v>4907</v>
      </c>
      <c r="E615" s="439" t="s">
        <v>69</v>
      </c>
      <c r="F615" s="439" t="s">
        <v>70</v>
      </c>
      <c r="G615" s="440" t="s">
        <v>4908</v>
      </c>
      <c r="H615" s="439">
        <v>1</v>
      </c>
      <c r="I615" s="1431" t="s">
        <v>4910</v>
      </c>
      <c r="J615" s="439"/>
      <c r="K615" s="439" t="s">
        <v>72</v>
      </c>
      <c r="L615" s="439"/>
      <c r="M615" s="444">
        <v>19686840</v>
      </c>
      <c r="N615" s="439" t="s">
        <v>251</v>
      </c>
      <c r="O615" s="443">
        <v>43634</v>
      </c>
      <c r="P615" s="443">
        <v>43676</v>
      </c>
      <c r="Q615" s="439"/>
      <c r="R615" s="538" t="s">
        <v>5570</v>
      </c>
      <c r="S615" s="1722" t="s">
        <v>5739</v>
      </c>
      <c r="T615" s="444"/>
      <c r="U615" s="444"/>
      <c r="V615" s="1481"/>
      <c r="W615" s="1481"/>
      <c r="X615" s="1481"/>
      <c r="Y615" s="444"/>
      <c r="Z615" s="444"/>
      <c r="AA615" s="439"/>
      <c r="AB615" s="443">
        <v>43717</v>
      </c>
      <c r="AC615" s="439" t="s">
        <v>5282</v>
      </c>
      <c r="AD615" s="439"/>
      <c r="AE615" s="439"/>
    </row>
    <row r="616" spans="3:33">
      <c r="C616" s="537">
        <v>43627</v>
      </c>
      <c r="D616" s="1373" t="s">
        <v>4907</v>
      </c>
      <c r="E616" s="491" t="s">
        <v>69</v>
      </c>
      <c r="F616" s="491" t="s">
        <v>70</v>
      </c>
      <c r="G616" s="571" t="s">
        <v>4908</v>
      </c>
      <c r="H616" s="491">
        <v>2</v>
      </c>
      <c r="I616" s="495" t="s">
        <v>4909</v>
      </c>
      <c r="J616" s="491"/>
      <c r="K616" s="491" t="s">
        <v>72</v>
      </c>
      <c r="L616" s="491"/>
      <c r="M616" s="536">
        <v>2059117</v>
      </c>
      <c r="N616" s="491" t="s">
        <v>251</v>
      </c>
      <c r="O616" s="537">
        <v>43634</v>
      </c>
      <c r="P616" s="537">
        <v>43676</v>
      </c>
      <c r="Q616" s="537">
        <v>43692</v>
      </c>
      <c r="R616" s="491" t="s">
        <v>5236</v>
      </c>
      <c r="S616" s="495"/>
      <c r="T616" s="536">
        <v>2059116.8</v>
      </c>
      <c r="U616" s="536">
        <f t="shared" ref="U616:U622" si="2">T616*1.1</f>
        <v>2265028.4800000004</v>
      </c>
      <c r="V616" s="1471"/>
      <c r="W616" s="1471"/>
      <c r="X616" s="1471"/>
      <c r="Y616" s="573">
        <v>43693</v>
      </c>
      <c r="Z616" s="536" t="s">
        <v>5262</v>
      </c>
      <c r="AA616" s="537">
        <v>43747</v>
      </c>
      <c r="AB616" s="537">
        <v>43753</v>
      </c>
      <c r="AC616" s="537">
        <v>44477</v>
      </c>
      <c r="AD616" s="537">
        <v>43915</v>
      </c>
      <c r="AE616" s="537">
        <v>44279</v>
      </c>
      <c r="AF616" s="1560">
        <v>44645</v>
      </c>
      <c r="AG616" s="374"/>
    </row>
    <row r="617" spans="3:33">
      <c r="C617" s="537">
        <v>43627</v>
      </c>
      <c r="D617" s="1373" t="s">
        <v>4907</v>
      </c>
      <c r="E617" s="491" t="s">
        <v>69</v>
      </c>
      <c r="F617" s="491" t="s">
        <v>70</v>
      </c>
      <c r="G617" s="571" t="s">
        <v>4908</v>
      </c>
      <c r="H617" s="491">
        <v>3</v>
      </c>
      <c r="I617" s="495" t="s">
        <v>4911</v>
      </c>
      <c r="J617" s="491"/>
      <c r="K617" s="491" t="s">
        <v>72</v>
      </c>
      <c r="L617" s="491"/>
      <c r="M617" s="536">
        <v>26947075</v>
      </c>
      <c r="N617" s="491" t="s">
        <v>251</v>
      </c>
      <c r="O617" s="537">
        <v>43634</v>
      </c>
      <c r="P617" s="537">
        <v>43676</v>
      </c>
      <c r="Q617" s="537">
        <v>43692</v>
      </c>
      <c r="R617" s="491" t="s">
        <v>1319</v>
      </c>
      <c r="S617" s="495"/>
      <c r="T617" s="536">
        <v>26947074.600000001</v>
      </c>
      <c r="U617" s="536">
        <f t="shared" si="2"/>
        <v>29641782.060000002</v>
      </c>
      <c r="V617" s="1471"/>
      <c r="W617" s="1471"/>
      <c r="X617" s="1471"/>
      <c r="Y617" s="573">
        <v>43693</v>
      </c>
      <c r="Z617" s="536" t="s">
        <v>5263</v>
      </c>
      <c r="AA617" s="537">
        <v>43747</v>
      </c>
      <c r="AB617" s="537">
        <v>43753</v>
      </c>
      <c r="AC617" s="537">
        <v>44477</v>
      </c>
      <c r="AD617" s="537">
        <v>43915</v>
      </c>
      <c r="AE617" s="537">
        <v>44279</v>
      </c>
      <c r="AF617" s="1560">
        <v>44645</v>
      </c>
      <c r="AG617" s="374"/>
    </row>
    <row r="618" spans="3:33">
      <c r="C618" s="537">
        <v>43627</v>
      </c>
      <c r="D618" s="1373" t="s">
        <v>4907</v>
      </c>
      <c r="E618" s="491" t="s">
        <v>69</v>
      </c>
      <c r="F618" s="491" t="s">
        <v>70</v>
      </c>
      <c r="G618" s="571" t="s">
        <v>4908</v>
      </c>
      <c r="H618" s="491">
        <v>4</v>
      </c>
      <c r="I618" s="495" t="s">
        <v>4912</v>
      </c>
      <c r="J618" s="491"/>
      <c r="K618" s="491" t="s">
        <v>72</v>
      </c>
      <c r="L618" s="491"/>
      <c r="M618" s="536">
        <v>15472373</v>
      </c>
      <c r="N618" s="491" t="s">
        <v>251</v>
      </c>
      <c r="O618" s="537">
        <v>43634</v>
      </c>
      <c r="P618" s="537">
        <v>43676</v>
      </c>
      <c r="Q618" s="537">
        <v>43692</v>
      </c>
      <c r="R618" s="491" t="s">
        <v>578</v>
      </c>
      <c r="S618" s="495"/>
      <c r="T618" s="536">
        <v>15472372.800000001</v>
      </c>
      <c r="U618" s="536">
        <f t="shared" si="2"/>
        <v>17019610.080000002</v>
      </c>
      <c r="V618" s="1471"/>
      <c r="W618" s="1471"/>
      <c r="X618" s="1471"/>
      <c r="Y618" s="573">
        <v>43693</v>
      </c>
      <c r="Z618" s="536" t="s">
        <v>5264</v>
      </c>
      <c r="AA618" s="537">
        <v>43747</v>
      </c>
      <c r="AB618" s="537">
        <v>43753</v>
      </c>
      <c r="AC618" s="537">
        <v>44477</v>
      </c>
      <c r="AD618" s="537">
        <v>43915</v>
      </c>
      <c r="AE618" s="537">
        <v>44279</v>
      </c>
      <c r="AF618" s="1560">
        <v>44645</v>
      </c>
      <c r="AG618" s="374"/>
    </row>
    <row r="619" spans="3:33" ht="15.75" thickBot="1">
      <c r="C619" s="1380">
        <v>43627</v>
      </c>
      <c r="D619" s="1377" t="s">
        <v>4907</v>
      </c>
      <c r="E619" s="1376" t="s">
        <v>69</v>
      </c>
      <c r="F619" s="1376" t="s">
        <v>70</v>
      </c>
      <c r="G619" s="1378" t="s">
        <v>4908</v>
      </c>
      <c r="H619" s="1376">
        <v>5</v>
      </c>
      <c r="I619" s="1421" t="s">
        <v>4913</v>
      </c>
      <c r="J619" s="1376"/>
      <c r="K619" s="1376" t="s">
        <v>72</v>
      </c>
      <c r="L619" s="1376"/>
      <c r="M619" s="1379">
        <v>5661728</v>
      </c>
      <c r="N619" s="1376" t="s">
        <v>251</v>
      </c>
      <c r="O619" s="1380">
        <v>43634</v>
      </c>
      <c r="P619" s="1380">
        <v>43676</v>
      </c>
      <c r="Q619" s="1380">
        <v>43692</v>
      </c>
      <c r="R619" s="1376" t="s">
        <v>576</v>
      </c>
      <c r="S619" s="1421"/>
      <c r="T619" s="1379">
        <v>5661190.4000000004</v>
      </c>
      <c r="U619" s="1379">
        <f t="shared" si="2"/>
        <v>6227309.4400000013</v>
      </c>
      <c r="V619" s="1475"/>
      <c r="W619" s="1475"/>
      <c r="X619" s="1475"/>
      <c r="Y619" s="1388">
        <v>43693</v>
      </c>
      <c r="Z619" s="1379" t="s">
        <v>5265</v>
      </c>
      <c r="AA619" s="1380">
        <v>43747</v>
      </c>
      <c r="AB619" s="1380">
        <v>43753</v>
      </c>
      <c r="AC619" s="1380">
        <v>44477</v>
      </c>
      <c r="AD619" s="1380">
        <v>43915</v>
      </c>
      <c r="AE619" s="1380">
        <v>44279</v>
      </c>
      <c r="AF619" s="1560">
        <v>44645</v>
      </c>
      <c r="AG619" s="374"/>
    </row>
    <row r="620" spans="3:33" ht="15.75" thickTop="1">
      <c r="C620" s="474">
        <v>43627</v>
      </c>
      <c r="D620" s="1383" t="s">
        <v>4914</v>
      </c>
      <c r="E620" s="453" t="s">
        <v>69</v>
      </c>
      <c r="F620" s="453" t="s">
        <v>70</v>
      </c>
      <c r="G620" s="473" t="s">
        <v>4915</v>
      </c>
      <c r="H620" s="453">
        <v>1</v>
      </c>
      <c r="I620" s="1420" t="s">
        <v>4916</v>
      </c>
      <c r="J620" s="453"/>
      <c r="K620" s="453" t="s">
        <v>72</v>
      </c>
      <c r="L620" s="453"/>
      <c r="M620" s="457">
        <v>11906766.199999999</v>
      </c>
      <c r="N620" s="453" t="s">
        <v>251</v>
      </c>
      <c r="O620" s="474">
        <v>43633</v>
      </c>
      <c r="P620" s="474">
        <v>43698</v>
      </c>
      <c r="Q620" s="474">
        <v>43749</v>
      </c>
      <c r="R620" s="453" t="s">
        <v>5805</v>
      </c>
      <c r="S620" s="1420"/>
      <c r="T620" s="457">
        <v>11906766.199999999</v>
      </c>
      <c r="U620" s="457">
        <f t="shared" si="2"/>
        <v>13097442.82</v>
      </c>
      <c r="V620" s="1474"/>
      <c r="W620" s="1474"/>
      <c r="X620" s="1474"/>
      <c r="Y620" s="570">
        <v>43749</v>
      </c>
      <c r="Z620" s="457" t="s">
        <v>5813</v>
      </c>
      <c r="AA620" s="474">
        <v>43775</v>
      </c>
      <c r="AB620" s="474">
        <v>43781</v>
      </c>
      <c r="AC620" s="474">
        <v>44505</v>
      </c>
      <c r="AD620" s="474">
        <v>43915</v>
      </c>
      <c r="AE620" s="474">
        <v>44279</v>
      </c>
      <c r="AF620" s="1560">
        <v>44645</v>
      </c>
      <c r="AG620" s="374"/>
    </row>
    <row r="621" spans="3:33">
      <c r="C621" s="537">
        <v>43627</v>
      </c>
      <c r="D621" s="1373" t="s">
        <v>4914</v>
      </c>
      <c r="E621" s="491" t="s">
        <v>69</v>
      </c>
      <c r="F621" s="491" t="s">
        <v>70</v>
      </c>
      <c r="G621" s="571" t="s">
        <v>4915</v>
      </c>
      <c r="H621" s="491">
        <v>2</v>
      </c>
      <c r="I621" s="495" t="s">
        <v>4917</v>
      </c>
      <c r="J621" s="491"/>
      <c r="K621" s="491" t="s">
        <v>72</v>
      </c>
      <c r="L621" s="491"/>
      <c r="M621" s="536">
        <v>5050800</v>
      </c>
      <c r="N621" s="491" t="s">
        <v>251</v>
      </c>
      <c r="O621" s="537">
        <v>43633</v>
      </c>
      <c r="P621" s="537">
        <v>43698</v>
      </c>
      <c r="Q621" s="537">
        <v>43749</v>
      </c>
      <c r="R621" s="491" t="s">
        <v>5774</v>
      </c>
      <c r="S621" s="495"/>
      <c r="T621" s="536">
        <v>1180926.6599999999</v>
      </c>
      <c r="U621" s="536">
        <f t="shared" si="2"/>
        <v>1299019.3260000001</v>
      </c>
      <c r="V621" s="1471"/>
      <c r="W621" s="1471"/>
      <c r="X621" s="1471"/>
      <c r="Y621" s="573">
        <v>43749</v>
      </c>
      <c r="Z621" s="536" t="s">
        <v>5814</v>
      </c>
      <c r="AA621" s="537">
        <v>43775</v>
      </c>
      <c r="AB621" s="537">
        <v>43781</v>
      </c>
      <c r="AC621" s="537">
        <v>44505</v>
      </c>
      <c r="AD621" s="537">
        <v>43915</v>
      </c>
      <c r="AE621" s="537">
        <v>44279</v>
      </c>
      <c r="AF621" s="1560">
        <v>44645</v>
      </c>
      <c r="AG621" s="374"/>
    </row>
    <row r="622" spans="3:33">
      <c r="C622" s="537">
        <v>43627</v>
      </c>
      <c r="D622" s="1373" t="s">
        <v>4914</v>
      </c>
      <c r="E622" s="491" t="s">
        <v>69</v>
      </c>
      <c r="F622" s="491" t="s">
        <v>70</v>
      </c>
      <c r="G622" s="571" t="s">
        <v>4915</v>
      </c>
      <c r="H622" s="491">
        <v>3</v>
      </c>
      <c r="I622" s="495" t="s">
        <v>4918</v>
      </c>
      <c r="J622" s="491"/>
      <c r="K622" s="491" t="s">
        <v>72</v>
      </c>
      <c r="L622" s="491"/>
      <c r="M622" s="536">
        <v>1321542.8</v>
      </c>
      <c r="N622" s="491" t="s">
        <v>251</v>
      </c>
      <c r="O622" s="537">
        <v>43633</v>
      </c>
      <c r="P622" s="537">
        <v>43698</v>
      </c>
      <c r="Q622" s="537">
        <v>43749</v>
      </c>
      <c r="R622" s="491" t="s">
        <v>2548</v>
      </c>
      <c r="S622" s="495"/>
      <c r="T622" s="536">
        <v>1321502.8</v>
      </c>
      <c r="U622" s="536">
        <f t="shared" si="2"/>
        <v>1453653.08</v>
      </c>
      <c r="V622" s="1471"/>
      <c r="W622" s="1471"/>
      <c r="X622" s="1471"/>
      <c r="Y622" s="573">
        <v>43749</v>
      </c>
      <c r="Z622" s="536" t="s">
        <v>5815</v>
      </c>
      <c r="AA622" s="537">
        <v>43775</v>
      </c>
      <c r="AB622" s="537">
        <v>43781</v>
      </c>
      <c r="AC622" s="537">
        <v>44505</v>
      </c>
      <c r="AD622" s="537">
        <v>43915</v>
      </c>
      <c r="AE622" s="537">
        <v>44279</v>
      </c>
      <c r="AF622" s="1560">
        <v>44645</v>
      </c>
      <c r="AG622" s="374"/>
    </row>
    <row r="623" spans="3:33" ht="15.75" thickBot="1">
      <c r="C623" s="1414">
        <v>43627</v>
      </c>
      <c r="D623" s="1411" t="s">
        <v>4914</v>
      </c>
      <c r="E623" s="1410" t="s">
        <v>69</v>
      </c>
      <c r="F623" s="1410" t="s">
        <v>70</v>
      </c>
      <c r="G623" s="1412" t="s">
        <v>4915</v>
      </c>
      <c r="H623" s="1410">
        <v>4</v>
      </c>
      <c r="I623" s="1430" t="s">
        <v>4919</v>
      </c>
      <c r="J623" s="1356"/>
      <c r="K623" s="1410" t="s">
        <v>72</v>
      </c>
      <c r="L623" s="1410"/>
      <c r="M623" s="1413">
        <v>1483940.64</v>
      </c>
      <c r="N623" s="1410" t="s">
        <v>251</v>
      </c>
      <c r="O623" s="1414">
        <v>43633</v>
      </c>
      <c r="P623" s="1414">
        <v>43698</v>
      </c>
      <c r="Q623" s="1410"/>
      <c r="R623" s="1740" t="s">
        <v>5533</v>
      </c>
      <c r="S623" s="1757" t="s">
        <v>5740</v>
      </c>
      <c r="T623" s="1413"/>
      <c r="U623" s="1413"/>
      <c r="V623" s="1485"/>
      <c r="W623" s="1485"/>
      <c r="X623" s="1485"/>
      <c r="Y623" s="1413"/>
      <c r="Z623" s="1413"/>
      <c r="AA623" s="1410"/>
      <c r="AB623" s="1414">
        <v>43726</v>
      </c>
      <c r="AC623" s="1410" t="s">
        <v>5355</v>
      </c>
      <c r="AD623" s="1410"/>
      <c r="AE623" s="1410"/>
    </row>
    <row r="624" spans="3:33" ht="15.75" thickTop="1">
      <c r="C624" s="365" t="s">
        <v>3585</v>
      </c>
      <c r="D624" s="1397" t="s">
        <v>4920</v>
      </c>
      <c r="E624" s="1613" t="s">
        <v>1032</v>
      </c>
      <c r="F624" s="1613" t="s">
        <v>361</v>
      </c>
      <c r="G624" s="175" t="s">
        <v>4476</v>
      </c>
      <c r="H624" s="1613"/>
      <c r="I624" s="1614"/>
      <c r="J624" s="1613"/>
      <c r="K624" s="2020" t="s">
        <v>2457</v>
      </c>
      <c r="L624" s="1613"/>
      <c r="M624" s="364">
        <v>2900000</v>
      </c>
      <c r="N624" s="1613" t="s">
        <v>112</v>
      </c>
      <c r="O624" s="365">
        <v>43635</v>
      </c>
      <c r="P624" s="365">
        <v>43644</v>
      </c>
      <c r="Q624" s="365">
        <v>43656</v>
      </c>
      <c r="R624" s="1791" t="s">
        <v>5070</v>
      </c>
      <c r="S624" s="1705"/>
      <c r="T624" s="364">
        <v>2498706</v>
      </c>
      <c r="U624" s="364">
        <v>3023434.26</v>
      </c>
      <c r="V624" s="1473"/>
      <c r="W624" s="1473"/>
      <c r="X624" s="1473"/>
      <c r="Y624" s="681">
        <v>43657</v>
      </c>
      <c r="Z624" s="364" t="s">
        <v>5087</v>
      </c>
      <c r="AA624" s="365">
        <v>43693</v>
      </c>
      <c r="AB624" s="365">
        <v>43696</v>
      </c>
      <c r="AC624" s="365">
        <f>AA624+56</f>
        <v>43749</v>
      </c>
      <c r="AD624" s="365">
        <v>43840</v>
      </c>
      <c r="AE624" s="1513"/>
      <c r="AF624" s="374"/>
      <c r="AG624" s="374"/>
    </row>
    <row r="625" spans="1:45">
      <c r="C625" s="537">
        <v>43613</v>
      </c>
      <c r="D625" s="1373" t="s">
        <v>4928</v>
      </c>
      <c r="E625" s="491" t="s">
        <v>3678</v>
      </c>
      <c r="F625" s="491" t="s">
        <v>918</v>
      </c>
      <c r="G625" s="571" t="s">
        <v>4929</v>
      </c>
      <c r="H625" s="491"/>
      <c r="I625" s="495"/>
      <c r="J625" s="491"/>
      <c r="K625" s="491" t="s">
        <v>1518</v>
      </c>
      <c r="L625" s="491"/>
      <c r="M625" s="536">
        <v>8000000</v>
      </c>
      <c r="N625" s="491" t="s">
        <v>251</v>
      </c>
      <c r="O625" s="537">
        <v>43635</v>
      </c>
      <c r="P625" s="537">
        <v>43669</v>
      </c>
      <c r="Q625" s="537">
        <v>43734</v>
      </c>
      <c r="R625" s="491" t="s">
        <v>3939</v>
      </c>
      <c r="S625" s="495"/>
      <c r="T625" s="536">
        <v>1281160</v>
      </c>
      <c r="U625" s="536">
        <f>T625*1.21</f>
        <v>1550203.5999999999</v>
      </c>
      <c r="V625" s="1471"/>
      <c r="W625" s="1471"/>
      <c r="X625" s="1471"/>
      <c r="Y625" s="573">
        <v>43734</v>
      </c>
      <c r="Z625" s="536" t="s">
        <v>5748</v>
      </c>
      <c r="AA625" s="537">
        <v>43796</v>
      </c>
      <c r="AB625" s="537">
        <v>43802</v>
      </c>
      <c r="AC625" s="491" t="s">
        <v>4096</v>
      </c>
      <c r="AD625" s="491" t="s">
        <v>6603</v>
      </c>
      <c r="AE625" s="491" t="s">
        <v>8483</v>
      </c>
      <c r="AF625" s="1560">
        <v>44644</v>
      </c>
      <c r="AG625" s="388">
        <v>2022</v>
      </c>
      <c r="AH625" s="388">
        <v>2023</v>
      </c>
    </row>
    <row r="626" spans="1:45">
      <c r="C626" s="510" t="s">
        <v>3585</v>
      </c>
      <c r="D626" s="1382" t="s">
        <v>4951</v>
      </c>
      <c r="E626" s="506" t="s">
        <v>2434</v>
      </c>
      <c r="F626" s="506" t="s">
        <v>219</v>
      </c>
      <c r="G626" s="507" t="s">
        <v>4952</v>
      </c>
      <c r="H626" s="506"/>
      <c r="I626" s="548"/>
      <c r="J626" s="590"/>
      <c r="K626" s="506" t="s">
        <v>642</v>
      </c>
      <c r="L626" s="506"/>
      <c r="M626" s="511">
        <v>409600</v>
      </c>
      <c r="N626" s="506" t="s">
        <v>112</v>
      </c>
      <c r="O626" s="510">
        <v>43636</v>
      </c>
      <c r="P626" s="510">
        <v>43648</v>
      </c>
      <c r="Q626" s="506"/>
      <c r="R626" s="514" t="s">
        <v>304</v>
      </c>
      <c r="S626" s="1713" t="s">
        <v>5068</v>
      </c>
      <c r="T626" s="511"/>
      <c r="U626" s="511"/>
      <c r="V626" s="1484"/>
      <c r="W626" s="1484"/>
      <c r="X626" s="1484"/>
      <c r="Y626" s="511"/>
      <c r="Z626" s="511"/>
      <c r="AA626" s="506"/>
      <c r="AB626" s="510">
        <v>43648</v>
      </c>
      <c r="AC626" s="506"/>
      <c r="AD626" s="506"/>
      <c r="AE626" s="506"/>
    </row>
    <row r="627" spans="1:45" ht="30">
      <c r="C627" s="537" t="s">
        <v>3585</v>
      </c>
      <c r="D627" s="1373" t="s">
        <v>4954</v>
      </c>
      <c r="E627" s="491" t="s">
        <v>58</v>
      </c>
      <c r="F627" s="491" t="s">
        <v>2684</v>
      </c>
      <c r="G627" s="571" t="s">
        <v>4955</v>
      </c>
      <c r="H627" s="491"/>
      <c r="I627" s="495"/>
      <c r="J627" s="491"/>
      <c r="K627" s="491" t="s">
        <v>4704</v>
      </c>
      <c r="L627" s="491" t="s">
        <v>4249</v>
      </c>
      <c r="M627" s="536">
        <v>416000</v>
      </c>
      <c r="N627" s="491" t="s">
        <v>112</v>
      </c>
      <c r="O627" s="537">
        <v>43636</v>
      </c>
      <c r="P627" s="537">
        <v>43655</v>
      </c>
      <c r="Q627" s="537">
        <v>43685</v>
      </c>
      <c r="R627" s="491" t="s">
        <v>4326</v>
      </c>
      <c r="S627" s="495"/>
      <c r="T627" s="536">
        <v>416240</v>
      </c>
      <c r="U627" s="536">
        <v>503650.4</v>
      </c>
      <c r="V627" s="1471"/>
      <c r="W627" s="1471"/>
      <c r="X627" s="1471"/>
      <c r="Y627" s="573">
        <v>43693</v>
      </c>
      <c r="Z627" s="1375" t="s">
        <v>5258</v>
      </c>
      <c r="AA627" s="537">
        <v>43726</v>
      </c>
      <c r="AB627" s="537">
        <v>43731</v>
      </c>
      <c r="AC627" s="537">
        <f>AA627+28</f>
        <v>43754</v>
      </c>
      <c r="AD627" s="537">
        <v>43808</v>
      </c>
      <c r="AE627" s="1374" t="s">
        <v>1875</v>
      </c>
      <c r="AF627" s="374"/>
      <c r="AG627" s="374"/>
    </row>
    <row r="628" spans="1:45" ht="30">
      <c r="C628" s="537" t="s">
        <v>3585</v>
      </c>
      <c r="D628" s="1373" t="s">
        <v>4958</v>
      </c>
      <c r="E628" s="491" t="s">
        <v>2434</v>
      </c>
      <c r="F628" s="491" t="s">
        <v>219</v>
      </c>
      <c r="G628" s="571" t="s">
        <v>4959</v>
      </c>
      <c r="H628" s="491"/>
      <c r="I628" s="495"/>
      <c r="J628" s="491"/>
      <c r="K628" s="491" t="s">
        <v>642</v>
      </c>
      <c r="L628" s="491"/>
      <c r="M628" s="536">
        <v>315260</v>
      </c>
      <c r="N628" s="491" t="s">
        <v>112</v>
      </c>
      <c r="O628" s="537">
        <v>43636</v>
      </c>
      <c r="P628" s="537">
        <v>43648</v>
      </c>
      <c r="Q628" s="537">
        <v>43649</v>
      </c>
      <c r="R628" s="491" t="s">
        <v>5053</v>
      </c>
      <c r="S628" s="495"/>
      <c r="T628" s="536">
        <v>315260</v>
      </c>
      <c r="U628" s="536">
        <v>381464.6</v>
      </c>
      <c r="V628" s="1471"/>
      <c r="W628" s="1471"/>
      <c r="X628" s="1471"/>
      <c r="Y628" s="573">
        <v>43650</v>
      </c>
      <c r="Z628" s="1375" t="s">
        <v>5064</v>
      </c>
      <c r="AA628" s="537">
        <v>43672</v>
      </c>
      <c r="AB628" s="537">
        <v>43676</v>
      </c>
      <c r="AC628" s="537">
        <v>44402</v>
      </c>
      <c r="AD628" s="537">
        <v>43930</v>
      </c>
      <c r="AE628" s="537">
        <v>44285</v>
      </c>
      <c r="AF628" s="1560">
        <v>44637</v>
      </c>
      <c r="AG628" s="374"/>
    </row>
    <row r="629" spans="1:45" ht="30.75" thickBot="1">
      <c r="C629" s="416" t="s">
        <v>3585</v>
      </c>
      <c r="D629" s="1468" t="s">
        <v>4960</v>
      </c>
      <c r="E629" s="411" t="s">
        <v>2434</v>
      </c>
      <c r="F629" s="411" t="s">
        <v>219</v>
      </c>
      <c r="G629" s="412" t="s">
        <v>4961</v>
      </c>
      <c r="H629" s="411"/>
      <c r="I629" s="630"/>
      <c r="J629" s="411"/>
      <c r="K629" s="411" t="s">
        <v>642</v>
      </c>
      <c r="L629" s="411"/>
      <c r="M629" s="417">
        <v>492000</v>
      </c>
      <c r="N629" s="411" t="s">
        <v>112</v>
      </c>
      <c r="O629" s="416">
        <v>43637</v>
      </c>
      <c r="P629" s="416">
        <v>43648</v>
      </c>
      <c r="Q629" s="416">
        <v>43679</v>
      </c>
      <c r="R629" s="411" t="s">
        <v>5209</v>
      </c>
      <c r="S629" s="630"/>
      <c r="T629" s="417">
        <v>492000</v>
      </c>
      <c r="U629" s="417">
        <v>595320</v>
      </c>
      <c r="V629" s="1480"/>
      <c r="W629" s="1480"/>
      <c r="X629" s="1480"/>
      <c r="Y629" s="513">
        <v>43679</v>
      </c>
      <c r="Z629" s="1553" t="s">
        <v>5208</v>
      </c>
      <c r="AA629" s="416">
        <v>43691</v>
      </c>
      <c r="AB629" s="416">
        <v>43691</v>
      </c>
      <c r="AC629" s="416">
        <v>44421</v>
      </c>
      <c r="AD629" s="416">
        <v>43930</v>
      </c>
      <c r="AE629" s="416">
        <v>44285</v>
      </c>
      <c r="AF629" s="1560">
        <v>44637</v>
      </c>
      <c r="AG629" s="374"/>
    </row>
    <row r="630" spans="1:45" ht="45.75" thickTop="1">
      <c r="C630" s="443">
        <v>43637</v>
      </c>
      <c r="D630" s="439" t="s">
        <v>4968</v>
      </c>
      <c r="E630" s="439" t="s">
        <v>58</v>
      </c>
      <c r="F630" s="439" t="s">
        <v>4969</v>
      </c>
      <c r="G630" s="1886" t="s">
        <v>4973</v>
      </c>
      <c r="H630" s="439"/>
      <c r="I630" s="1887"/>
      <c r="J630" s="439"/>
      <c r="K630" s="1888" t="s">
        <v>4972</v>
      </c>
      <c r="L630" s="439"/>
      <c r="M630" s="444">
        <v>467173553</v>
      </c>
      <c r="N630" s="439" t="s">
        <v>251</v>
      </c>
      <c r="O630" s="443">
        <v>43724</v>
      </c>
      <c r="P630" s="443">
        <v>43791</v>
      </c>
      <c r="Q630" s="439"/>
      <c r="R630" s="439"/>
      <c r="S630" s="1431"/>
      <c r="T630" s="444"/>
      <c r="U630" s="444"/>
      <c r="V630" s="1481"/>
      <c r="W630" s="1481"/>
      <c r="X630" s="1481"/>
      <c r="Y630" s="444"/>
      <c r="Z630" s="444"/>
      <c r="AA630" s="439"/>
      <c r="AB630" s="443">
        <v>43837</v>
      </c>
      <c r="AC630" s="439" t="s">
        <v>6211</v>
      </c>
      <c r="AD630" s="439"/>
      <c r="AE630" s="439"/>
      <c r="AF630" s="374"/>
      <c r="AG630" s="374"/>
    </row>
    <row r="631" spans="1:45">
      <c r="C631" s="365">
        <v>43635</v>
      </c>
      <c r="D631" s="1397" t="s">
        <v>4970</v>
      </c>
      <c r="E631" s="1621" t="s">
        <v>2434</v>
      </c>
      <c r="F631" s="1621" t="s">
        <v>219</v>
      </c>
      <c r="G631" s="175" t="s">
        <v>4971</v>
      </c>
      <c r="H631" s="1621"/>
      <c r="I631" s="1622"/>
      <c r="J631" s="1621"/>
      <c r="K631" s="1621" t="s">
        <v>4834</v>
      </c>
      <c r="L631" s="1621"/>
      <c r="M631" s="364">
        <v>1960200</v>
      </c>
      <c r="N631" s="1621" t="s">
        <v>112</v>
      </c>
      <c r="O631" s="365">
        <v>43642</v>
      </c>
      <c r="P631" s="365">
        <v>43655</v>
      </c>
      <c r="Q631" s="365">
        <v>43671</v>
      </c>
      <c r="R631" s="1791" t="s">
        <v>3179</v>
      </c>
      <c r="S631" s="1705"/>
      <c r="T631" s="364">
        <v>1960200</v>
      </c>
      <c r="U631" s="364">
        <v>2254230</v>
      </c>
      <c r="V631" s="1473"/>
      <c r="W631" s="1473"/>
      <c r="X631" s="1473"/>
      <c r="Y631" s="681">
        <v>43675</v>
      </c>
      <c r="Z631" s="364" t="s">
        <v>5206</v>
      </c>
      <c r="AA631" s="365">
        <v>43699</v>
      </c>
      <c r="AB631" s="365">
        <v>43705</v>
      </c>
      <c r="AC631" s="365">
        <v>44064</v>
      </c>
      <c r="AD631" s="365">
        <v>43930</v>
      </c>
      <c r="AE631" s="365">
        <v>44285</v>
      </c>
      <c r="AF631" s="374"/>
      <c r="AG631" s="374"/>
    </row>
    <row r="632" spans="1:45">
      <c r="C632" s="544">
        <v>43640</v>
      </c>
      <c r="D632" s="1357" t="s">
        <v>4992</v>
      </c>
      <c r="E632" s="540" t="s">
        <v>69</v>
      </c>
      <c r="F632" s="540" t="s">
        <v>70</v>
      </c>
      <c r="G632" s="541" t="s">
        <v>4993</v>
      </c>
      <c r="H632" s="540"/>
      <c r="I632" s="1402"/>
      <c r="J632" s="590"/>
      <c r="K632" s="540" t="s">
        <v>42</v>
      </c>
      <c r="L632" s="540"/>
      <c r="M632" s="545">
        <v>21944616</v>
      </c>
      <c r="N632" s="540" t="s">
        <v>251</v>
      </c>
      <c r="O632" s="544">
        <v>43713</v>
      </c>
      <c r="P632" s="544">
        <v>43755</v>
      </c>
      <c r="Q632" s="540"/>
      <c r="R632" s="540"/>
      <c r="S632" s="1402"/>
      <c r="T632" s="545"/>
      <c r="U632" s="545"/>
      <c r="V632" s="1484"/>
      <c r="W632" s="1484"/>
      <c r="X632" s="1484"/>
      <c r="Y632" s="545"/>
      <c r="Z632" s="545"/>
      <c r="AA632" s="540"/>
      <c r="AB632" s="540"/>
      <c r="AC632" s="540"/>
      <c r="AD632" s="540"/>
      <c r="AE632" s="540"/>
      <c r="AF632" s="374"/>
      <c r="AG632" s="374"/>
    </row>
    <row r="633" spans="1:45">
      <c r="C633" s="544">
        <v>43640</v>
      </c>
      <c r="D633" s="1357" t="s">
        <v>4989</v>
      </c>
      <c r="E633" s="540" t="s">
        <v>69</v>
      </c>
      <c r="F633" s="540" t="s">
        <v>70</v>
      </c>
      <c r="G633" s="541" t="s">
        <v>4990</v>
      </c>
      <c r="H633" s="540">
        <v>1</v>
      </c>
      <c r="I633" s="1402" t="s">
        <v>4991</v>
      </c>
      <c r="J633" s="590"/>
      <c r="K633" s="540" t="s">
        <v>93</v>
      </c>
      <c r="L633" s="540"/>
      <c r="M633" s="545">
        <v>11889360</v>
      </c>
      <c r="N633" s="540" t="s">
        <v>251</v>
      </c>
      <c r="O633" s="544">
        <v>43711</v>
      </c>
      <c r="P633" s="544">
        <v>43746</v>
      </c>
      <c r="Q633" s="544">
        <v>43781</v>
      </c>
      <c r="R633" s="540" t="s">
        <v>576</v>
      </c>
      <c r="S633" s="1402"/>
      <c r="T633" s="545">
        <v>11889360</v>
      </c>
      <c r="U633" s="545">
        <v>13078296</v>
      </c>
      <c r="V633" s="1484"/>
      <c r="W633" s="1484"/>
      <c r="X633" s="1484"/>
      <c r="Y633" s="1385">
        <v>43782</v>
      </c>
      <c r="Z633" s="545" t="s">
        <v>5999</v>
      </c>
      <c r="AA633" s="540"/>
      <c r="AB633" s="540"/>
      <c r="AC633" s="540"/>
      <c r="AD633" s="540"/>
      <c r="AE633" s="540"/>
      <c r="AF633" s="374"/>
      <c r="AG633" s="374"/>
    </row>
    <row r="634" spans="1:45" ht="15.75" thickBot="1">
      <c r="C634" s="416">
        <v>43640</v>
      </c>
      <c r="D634" s="1468" t="s">
        <v>4986</v>
      </c>
      <c r="E634" s="411" t="s">
        <v>69</v>
      </c>
      <c r="F634" s="411" t="s">
        <v>70</v>
      </c>
      <c r="G634" s="412" t="s">
        <v>4987</v>
      </c>
      <c r="H634" s="411">
        <v>1</v>
      </c>
      <c r="I634" s="630" t="s">
        <v>4988</v>
      </c>
      <c r="J634" s="411"/>
      <c r="K634" s="411" t="s">
        <v>4278</v>
      </c>
      <c r="L634" s="411"/>
      <c r="M634" s="417">
        <v>2669658</v>
      </c>
      <c r="N634" s="411" t="s">
        <v>216</v>
      </c>
      <c r="O634" s="416">
        <v>43655</v>
      </c>
      <c r="P634" s="416">
        <v>43671</v>
      </c>
      <c r="Q634" s="416">
        <v>43692</v>
      </c>
      <c r="R634" s="491" t="s">
        <v>2548</v>
      </c>
      <c r="S634" s="630"/>
      <c r="T634" s="417">
        <v>1355567.67</v>
      </c>
      <c r="U634" s="417">
        <v>1491124.54</v>
      </c>
      <c r="V634" s="1480"/>
      <c r="W634" s="1480"/>
      <c r="X634" s="1480"/>
      <c r="Y634" s="513">
        <v>43693</v>
      </c>
      <c r="Z634" s="417" t="s">
        <v>5260</v>
      </c>
      <c r="AA634" s="416">
        <v>43718</v>
      </c>
      <c r="AB634" s="416">
        <v>43709</v>
      </c>
      <c r="AC634" s="416">
        <v>44448</v>
      </c>
      <c r="AD634" s="416">
        <v>43915</v>
      </c>
      <c r="AE634" s="416">
        <v>44279</v>
      </c>
      <c r="AF634" s="1560">
        <v>44645</v>
      </c>
      <c r="AG634" s="374"/>
    </row>
    <row r="635" spans="1:45" ht="15.75" thickTop="1">
      <c r="C635" s="428">
        <v>43640</v>
      </c>
      <c r="D635" s="425" t="s">
        <v>4979</v>
      </c>
      <c r="E635" s="425" t="s">
        <v>69</v>
      </c>
      <c r="F635" s="425" t="s">
        <v>70</v>
      </c>
      <c r="G635" s="426" t="s">
        <v>4980</v>
      </c>
      <c r="H635" s="425">
        <v>1</v>
      </c>
      <c r="I635" s="1371" t="s">
        <v>4981</v>
      </c>
      <c r="J635" s="583"/>
      <c r="K635" s="425" t="s">
        <v>93</v>
      </c>
      <c r="L635" s="425"/>
      <c r="M635" s="429">
        <v>2304528</v>
      </c>
      <c r="N635" s="425" t="s">
        <v>251</v>
      </c>
      <c r="O635" s="428">
        <v>43679</v>
      </c>
      <c r="P635" s="428">
        <v>43728</v>
      </c>
      <c r="Q635" s="428">
        <v>43804</v>
      </c>
      <c r="R635" s="425" t="s">
        <v>5774</v>
      </c>
      <c r="S635" s="1371"/>
      <c r="T635" s="429">
        <v>2279198.2000000002</v>
      </c>
      <c r="U635" s="429">
        <v>2507118.02</v>
      </c>
      <c r="V635" s="1483"/>
      <c r="W635" s="1483"/>
      <c r="X635" s="1483"/>
      <c r="Y635" s="1384">
        <v>43805</v>
      </c>
      <c r="Z635" s="429" t="s">
        <v>6091</v>
      </c>
      <c r="AA635" s="425"/>
      <c r="AB635" s="425"/>
      <c r="AC635" s="425"/>
      <c r="AD635" s="425"/>
      <c r="AE635" s="425"/>
      <c r="AF635" s="374"/>
      <c r="AG635" s="374"/>
    </row>
    <row r="636" spans="1:45">
      <c r="C636" s="544">
        <v>43640</v>
      </c>
      <c r="D636" s="540" t="s">
        <v>4979</v>
      </c>
      <c r="E636" s="540" t="s">
        <v>69</v>
      </c>
      <c r="F636" s="540" t="s">
        <v>70</v>
      </c>
      <c r="G636" s="541" t="s">
        <v>4980</v>
      </c>
      <c r="H636" s="540">
        <v>2</v>
      </c>
      <c r="I636" s="1402" t="s">
        <v>4982</v>
      </c>
      <c r="J636" s="590"/>
      <c r="K636" s="540" t="s">
        <v>93</v>
      </c>
      <c r="L636" s="540"/>
      <c r="M636" s="545">
        <v>34875745</v>
      </c>
      <c r="N636" s="540" t="s">
        <v>251</v>
      </c>
      <c r="O636" s="544">
        <v>43679</v>
      </c>
      <c r="P636" s="544">
        <v>43728</v>
      </c>
      <c r="Q636" s="544">
        <v>43804</v>
      </c>
      <c r="R636" s="540" t="s">
        <v>5236</v>
      </c>
      <c r="S636" s="1402"/>
      <c r="T636" s="545">
        <v>34875744.960000001</v>
      </c>
      <c r="U636" s="545">
        <v>38363319.460000001</v>
      </c>
      <c r="V636" s="1484"/>
      <c r="W636" s="1484"/>
      <c r="X636" s="1484"/>
      <c r="Y636" s="1385">
        <v>43805</v>
      </c>
      <c r="Z636" s="545" t="s">
        <v>6092</v>
      </c>
      <c r="AA636" s="540"/>
      <c r="AB636" s="540"/>
      <c r="AC636" s="540"/>
      <c r="AD636" s="540"/>
      <c r="AE636" s="540"/>
      <c r="AF636" s="374"/>
      <c r="AG636" s="374"/>
    </row>
    <row r="637" spans="1:45">
      <c r="C637" s="544">
        <v>43640</v>
      </c>
      <c r="D637" s="540" t="s">
        <v>4979</v>
      </c>
      <c r="E637" s="540" t="s">
        <v>69</v>
      </c>
      <c r="F637" s="540" t="s">
        <v>70</v>
      </c>
      <c r="G637" s="541" t="s">
        <v>4980</v>
      </c>
      <c r="H637" s="540">
        <v>3</v>
      </c>
      <c r="I637" s="1402" t="s">
        <v>4983</v>
      </c>
      <c r="J637" s="590"/>
      <c r="K637" s="540" t="s">
        <v>93</v>
      </c>
      <c r="L637" s="540"/>
      <c r="M637" s="545">
        <v>4011058</v>
      </c>
      <c r="N637" s="540" t="s">
        <v>251</v>
      </c>
      <c r="O637" s="544">
        <v>43679</v>
      </c>
      <c r="P637" s="544">
        <v>43728</v>
      </c>
      <c r="Q637" s="544">
        <v>43804</v>
      </c>
      <c r="R637" s="540" t="s">
        <v>2518</v>
      </c>
      <c r="S637" s="1402"/>
      <c r="T637" s="545">
        <v>4011000</v>
      </c>
      <c r="U637" s="545">
        <v>4412100</v>
      </c>
      <c r="V637" s="1484"/>
      <c r="W637" s="1484"/>
      <c r="X637" s="1484"/>
      <c r="Y637" s="1385">
        <v>43805</v>
      </c>
      <c r="Z637" s="545" t="s">
        <v>6093</v>
      </c>
      <c r="AA637" s="540"/>
      <c r="AB637" s="540"/>
      <c r="AC637" s="540"/>
      <c r="AD637" s="540"/>
      <c r="AE637" s="540"/>
      <c r="AF637" s="374"/>
      <c r="AG637" s="374"/>
    </row>
    <row r="638" spans="1:45">
      <c r="C638" s="510">
        <v>43640</v>
      </c>
      <c r="D638" s="506" t="s">
        <v>4979</v>
      </c>
      <c r="E638" s="506" t="s">
        <v>69</v>
      </c>
      <c r="F638" s="506" t="s">
        <v>70</v>
      </c>
      <c r="G638" s="507" t="s">
        <v>4980</v>
      </c>
      <c r="H638" s="506">
        <v>4</v>
      </c>
      <c r="I638" s="548" t="s">
        <v>4984</v>
      </c>
      <c r="J638" s="590"/>
      <c r="K638" s="506" t="s">
        <v>93</v>
      </c>
      <c r="L638" s="506"/>
      <c r="M638" s="511">
        <v>331044</v>
      </c>
      <c r="N638" s="506" t="s">
        <v>251</v>
      </c>
      <c r="O638" s="510">
        <v>43679</v>
      </c>
      <c r="P638" s="510">
        <v>43728</v>
      </c>
      <c r="Q638" s="506"/>
      <c r="R638" s="514" t="s">
        <v>304</v>
      </c>
      <c r="S638" s="548"/>
      <c r="T638" s="511"/>
      <c r="U638" s="511"/>
      <c r="V638" s="1484"/>
      <c r="W638" s="1484"/>
      <c r="X638" s="1484"/>
      <c r="Y638" s="511"/>
      <c r="Z638" s="511"/>
      <c r="AA638" s="506"/>
      <c r="AB638" s="510">
        <v>43795</v>
      </c>
      <c r="AC638" s="506" t="s">
        <v>5919</v>
      </c>
      <c r="AD638" s="506"/>
      <c r="AE638" s="506"/>
      <c r="AF638" s="374"/>
      <c r="AG638" s="374"/>
    </row>
    <row r="639" spans="1:45" ht="15.75" thickBot="1">
      <c r="C639" s="1363">
        <v>43640</v>
      </c>
      <c r="D639" s="1355" t="s">
        <v>4979</v>
      </c>
      <c r="E639" s="1355" t="s">
        <v>69</v>
      </c>
      <c r="F639" s="1355" t="s">
        <v>70</v>
      </c>
      <c r="G639" s="1361" t="s">
        <v>4980</v>
      </c>
      <c r="H639" s="1355">
        <v>5</v>
      </c>
      <c r="I639" s="1419" t="s">
        <v>4985</v>
      </c>
      <c r="J639" s="1356"/>
      <c r="K639" s="1355" t="s">
        <v>93</v>
      </c>
      <c r="L639" s="1355"/>
      <c r="M639" s="1362">
        <v>13562801</v>
      </c>
      <c r="N639" s="1355" t="s">
        <v>251</v>
      </c>
      <c r="O639" s="1363">
        <v>43679</v>
      </c>
      <c r="P639" s="1363">
        <v>43728</v>
      </c>
      <c r="Q639" s="1363">
        <v>43804</v>
      </c>
      <c r="R639" s="1355" t="s">
        <v>1318</v>
      </c>
      <c r="S639" s="1419"/>
      <c r="T639" s="1362">
        <v>11639164.960000001</v>
      </c>
      <c r="U639" s="1362">
        <v>12803081.460000001</v>
      </c>
      <c r="V639" s="1485"/>
      <c r="W639" s="1485"/>
      <c r="X639" s="1485"/>
      <c r="Y639" s="1512">
        <v>43805</v>
      </c>
      <c r="Z639" s="1362" t="s">
        <v>6094</v>
      </c>
      <c r="AA639" s="1355"/>
      <c r="AB639" s="1355"/>
      <c r="AC639" s="1355"/>
      <c r="AD639" s="1355"/>
      <c r="AE639" s="1355"/>
      <c r="AF639" s="374"/>
      <c r="AG639" s="374"/>
    </row>
    <row r="640" spans="1:45" ht="15.75" thickTop="1">
      <c r="A640" s="9"/>
      <c r="B640" s="9"/>
      <c r="C640" s="365">
        <v>43640</v>
      </c>
      <c r="D640" s="1397" t="s">
        <v>4994</v>
      </c>
      <c r="E640" s="1741" t="s">
        <v>1032</v>
      </c>
      <c r="F640" s="1741" t="s">
        <v>4864</v>
      </c>
      <c r="G640" s="175" t="s">
        <v>5048</v>
      </c>
      <c r="H640" s="1741"/>
      <c r="I640" s="1742"/>
      <c r="J640" s="1741"/>
      <c r="K640" s="1741" t="s">
        <v>4995</v>
      </c>
      <c r="L640" s="1741" t="s">
        <v>5401</v>
      </c>
      <c r="M640" s="364">
        <v>2100000</v>
      </c>
      <c r="N640" s="1741" t="s">
        <v>112</v>
      </c>
      <c r="O640" s="365">
        <v>43656</v>
      </c>
      <c r="P640" s="365">
        <v>43665</v>
      </c>
      <c r="Q640" s="365">
        <v>43697</v>
      </c>
      <c r="R640" s="1791" t="s">
        <v>2626</v>
      </c>
      <c r="S640" s="1742"/>
      <c r="T640" s="364">
        <v>2739020.63</v>
      </c>
      <c r="U640" s="364">
        <f>T640*1.21</f>
        <v>3314214.9622999998</v>
      </c>
      <c r="V640" s="1473"/>
      <c r="W640" s="1473"/>
      <c r="X640" s="1473"/>
      <c r="Y640" s="681">
        <v>43697</v>
      </c>
      <c r="Z640" s="364" t="s">
        <v>5303</v>
      </c>
      <c r="AA640" s="365">
        <v>43726</v>
      </c>
      <c r="AB640" s="365">
        <v>43727</v>
      </c>
      <c r="AC640" s="365">
        <f>AA640+98</f>
        <v>43824</v>
      </c>
      <c r="AD640" s="365">
        <v>43850</v>
      </c>
      <c r="AE640" s="1907" t="s">
        <v>6411</v>
      </c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</row>
    <row r="641" spans="1:45">
      <c r="A641" s="9"/>
      <c r="B641" s="9"/>
      <c r="C641" s="537">
        <v>43640</v>
      </c>
      <c r="D641" s="1373" t="s">
        <v>4996</v>
      </c>
      <c r="E641" s="491" t="s">
        <v>4997</v>
      </c>
      <c r="F641" s="491" t="s">
        <v>167</v>
      </c>
      <c r="G641" s="571" t="s">
        <v>4998</v>
      </c>
      <c r="H641" s="491"/>
      <c r="I641" s="495"/>
      <c r="J641" s="491"/>
      <c r="K641" s="491" t="s">
        <v>1676</v>
      </c>
      <c r="L641" s="491"/>
      <c r="M641" s="536">
        <v>910000</v>
      </c>
      <c r="N641" s="491" t="s">
        <v>112</v>
      </c>
      <c r="O641" s="537">
        <v>43643</v>
      </c>
      <c r="P641" s="537">
        <v>43662</v>
      </c>
      <c r="Q641" s="537">
        <v>43675</v>
      </c>
      <c r="R641" s="491" t="s">
        <v>3304</v>
      </c>
      <c r="S641" s="495"/>
      <c r="T641" s="536">
        <v>1079171.1599999999</v>
      </c>
      <c r="U641" s="536">
        <f>T641*1.21</f>
        <v>1305797.1035999998</v>
      </c>
      <c r="V641" s="1471"/>
      <c r="W641" s="1471"/>
      <c r="X641" s="1471"/>
      <c r="Y641" s="573">
        <v>43675</v>
      </c>
      <c r="Z641" s="536" t="s">
        <v>5203</v>
      </c>
      <c r="AA641" s="537">
        <v>43690</v>
      </c>
      <c r="AB641" s="537">
        <v>43691</v>
      </c>
      <c r="AC641" s="537">
        <f>AA641+65</f>
        <v>43755</v>
      </c>
      <c r="AD641" s="537">
        <v>44244</v>
      </c>
      <c r="AE641" s="1102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S641" s="9"/>
    </row>
    <row r="642" spans="1:45" ht="30">
      <c r="A642" s="9"/>
      <c r="B642" s="9"/>
      <c r="C642" s="537">
        <v>43641</v>
      </c>
      <c r="D642" s="1373" t="s">
        <v>4999</v>
      </c>
      <c r="E642" s="491" t="s">
        <v>2434</v>
      </c>
      <c r="F642" s="491" t="s">
        <v>219</v>
      </c>
      <c r="G642" s="571" t="s">
        <v>5000</v>
      </c>
      <c r="H642" s="491"/>
      <c r="I642" s="495"/>
      <c r="J642" s="491"/>
      <c r="K642" s="491" t="s">
        <v>642</v>
      </c>
      <c r="L642" s="491"/>
      <c r="M642" s="536">
        <v>264400</v>
      </c>
      <c r="N642" s="491" t="s">
        <v>112</v>
      </c>
      <c r="O642" s="537">
        <v>43643</v>
      </c>
      <c r="P642" s="537">
        <v>43654</v>
      </c>
      <c r="Q642" s="537">
        <v>43698</v>
      </c>
      <c r="R642" s="491" t="s">
        <v>2496</v>
      </c>
      <c r="S642" s="495"/>
      <c r="T642" s="536">
        <v>192000</v>
      </c>
      <c r="U642" s="536">
        <v>232320</v>
      </c>
      <c r="V642" s="1471"/>
      <c r="W642" s="1471"/>
      <c r="X642" s="1471"/>
      <c r="Y642" s="573">
        <v>43698</v>
      </c>
      <c r="Z642" s="1375" t="s">
        <v>5307</v>
      </c>
      <c r="AA642" s="537">
        <v>43725</v>
      </c>
      <c r="AB642" s="537">
        <v>43740</v>
      </c>
      <c r="AC642" s="537">
        <v>44455</v>
      </c>
      <c r="AD642" s="537">
        <v>43930</v>
      </c>
      <c r="AE642" s="537">
        <v>44285</v>
      </c>
      <c r="AF642" s="1560">
        <v>44637</v>
      </c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</row>
    <row r="643" spans="1:45" ht="15.75" thickBot="1">
      <c r="A643" s="9"/>
      <c r="B643" s="9"/>
      <c r="C643" s="643">
        <v>43636</v>
      </c>
      <c r="D643" s="1491" t="s">
        <v>5006</v>
      </c>
      <c r="E643" s="639" t="s">
        <v>3964</v>
      </c>
      <c r="F643" s="639" t="s">
        <v>4969</v>
      </c>
      <c r="G643" s="640" t="s">
        <v>5007</v>
      </c>
      <c r="H643" s="639"/>
      <c r="I643" s="1533"/>
      <c r="J643" s="1437"/>
      <c r="K643" s="639" t="s">
        <v>1580</v>
      </c>
      <c r="L643" s="639" t="s">
        <v>1581</v>
      </c>
      <c r="M643" s="645">
        <v>10200000</v>
      </c>
      <c r="N643" s="639" t="s">
        <v>251</v>
      </c>
      <c r="O643" s="643">
        <v>43649</v>
      </c>
      <c r="P643" s="643">
        <v>43710</v>
      </c>
      <c r="Q643" s="639"/>
      <c r="R643" s="831" t="s">
        <v>2635</v>
      </c>
      <c r="S643" s="644" t="s">
        <v>5616</v>
      </c>
      <c r="T643" s="645"/>
      <c r="U643" s="645"/>
      <c r="V643" s="1490"/>
      <c r="W643" s="1490"/>
      <c r="X643" s="1490"/>
      <c r="Y643" s="645"/>
      <c r="Z643" s="645"/>
      <c r="AA643" s="639"/>
      <c r="AB643" s="643">
        <v>43724</v>
      </c>
      <c r="AC643" s="639" t="s">
        <v>5615</v>
      </c>
      <c r="AD643" s="639"/>
      <c r="AE643" s="639"/>
      <c r="AF643" s="390"/>
      <c r="AG643" s="390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</row>
    <row r="644" spans="1:45" ht="15.75" thickTop="1">
      <c r="A644" s="9"/>
      <c r="B644" s="9"/>
      <c r="C644" s="474">
        <v>43641</v>
      </c>
      <c r="D644" s="453" t="s">
        <v>5008</v>
      </c>
      <c r="E644" s="453" t="s">
        <v>69</v>
      </c>
      <c r="F644" s="453" t="s">
        <v>70</v>
      </c>
      <c r="G644" s="473" t="s">
        <v>5009</v>
      </c>
      <c r="H644" s="453">
        <v>1</v>
      </c>
      <c r="I644" s="1420" t="s">
        <v>5011</v>
      </c>
      <c r="J644" s="453"/>
      <c r="K644" s="453" t="s">
        <v>5010</v>
      </c>
      <c r="L644" s="453"/>
      <c r="M644" s="457">
        <v>53394</v>
      </c>
      <c r="N644" s="453" t="s">
        <v>251</v>
      </c>
      <c r="O644" s="474">
        <v>43668</v>
      </c>
      <c r="P644" s="474">
        <v>43718</v>
      </c>
      <c r="Q644" s="474">
        <v>43749</v>
      </c>
      <c r="R644" s="453" t="s">
        <v>1646</v>
      </c>
      <c r="S644" s="1420"/>
      <c r="T644" s="457">
        <v>48037.919999999998</v>
      </c>
      <c r="U644" s="457">
        <f>T644*1.1</f>
        <v>52841.712</v>
      </c>
      <c r="V644" s="1474"/>
      <c r="W644" s="1474"/>
      <c r="X644" s="1474"/>
      <c r="Y644" s="570">
        <v>43749</v>
      </c>
      <c r="Z644" s="457" t="s">
        <v>5816</v>
      </c>
      <c r="AA644" s="474">
        <v>43798</v>
      </c>
      <c r="AB644" s="474">
        <v>43810</v>
      </c>
      <c r="AC644" s="474">
        <v>44528</v>
      </c>
      <c r="AD644" s="474">
        <v>43915</v>
      </c>
      <c r="AE644" s="474">
        <v>44279</v>
      </c>
      <c r="AF644" s="1560">
        <v>44645</v>
      </c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</row>
    <row r="645" spans="1:45">
      <c r="A645" s="9"/>
      <c r="B645" s="9"/>
      <c r="C645" s="510">
        <v>43641</v>
      </c>
      <c r="D645" s="506" t="s">
        <v>5008</v>
      </c>
      <c r="E645" s="506" t="s">
        <v>69</v>
      </c>
      <c r="F645" s="506" t="s">
        <v>70</v>
      </c>
      <c r="G645" s="507" t="s">
        <v>5009</v>
      </c>
      <c r="H645" s="506">
        <v>2</v>
      </c>
      <c r="I645" s="548" t="s">
        <v>5012</v>
      </c>
      <c r="J645" s="506"/>
      <c r="K645" s="506" t="s">
        <v>5010</v>
      </c>
      <c r="L645" s="506"/>
      <c r="M645" s="511">
        <v>1243160</v>
      </c>
      <c r="N645" s="506" t="s">
        <v>251</v>
      </c>
      <c r="O645" s="510">
        <v>43668</v>
      </c>
      <c r="P645" s="510">
        <v>43718</v>
      </c>
      <c r="Q645" s="506"/>
      <c r="R645" s="514" t="s">
        <v>304</v>
      </c>
      <c r="S645" s="548"/>
      <c r="T645" s="511"/>
      <c r="U645" s="511"/>
      <c r="V645" s="1470"/>
      <c r="W645" s="1470"/>
      <c r="X645" s="1470"/>
      <c r="Y645" s="511"/>
      <c r="Z645" s="511"/>
      <c r="AA645" s="506"/>
      <c r="AB645" s="510">
        <v>43735</v>
      </c>
      <c r="AC645" s="506" t="s">
        <v>5626</v>
      </c>
      <c r="AD645" s="506"/>
      <c r="AE645" s="506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</row>
    <row r="646" spans="1:45">
      <c r="A646" s="9"/>
      <c r="B646" s="9"/>
      <c r="C646" s="537">
        <v>43641</v>
      </c>
      <c r="D646" s="491" t="s">
        <v>5008</v>
      </c>
      <c r="E646" s="491" t="s">
        <v>69</v>
      </c>
      <c r="F646" s="491" t="s">
        <v>70</v>
      </c>
      <c r="G646" s="571" t="s">
        <v>5009</v>
      </c>
      <c r="H646" s="491">
        <v>3</v>
      </c>
      <c r="I646" s="495" t="s">
        <v>5013</v>
      </c>
      <c r="J646" s="491"/>
      <c r="K646" s="491" t="s">
        <v>5010</v>
      </c>
      <c r="L646" s="491"/>
      <c r="M646" s="536">
        <v>15893577</v>
      </c>
      <c r="N646" s="491" t="s">
        <v>251</v>
      </c>
      <c r="O646" s="537">
        <v>43668</v>
      </c>
      <c r="P646" s="537">
        <v>43718</v>
      </c>
      <c r="Q646" s="537">
        <v>43749</v>
      </c>
      <c r="R646" s="491" t="s">
        <v>1319</v>
      </c>
      <c r="S646" s="495"/>
      <c r="T646" s="536">
        <v>15893577</v>
      </c>
      <c r="U646" s="536">
        <v>17255801.199999999</v>
      </c>
      <c r="V646" s="1471"/>
      <c r="W646" s="1471"/>
      <c r="X646" s="1471"/>
      <c r="Y646" s="573">
        <v>43749</v>
      </c>
      <c r="Z646" s="536" t="s">
        <v>5817</v>
      </c>
      <c r="AA646" s="537">
        <v>43798</v>
      </c>
      <c r="AB646" s="537">
        <v>43810</v>
      </c>
      <c r="AC646" s="537">
        <v>44528</v>
      </c>
      <c r="AD646" s="537">
        <v>43915</v>
      </c>
      <c r="AE646" s="537">
        <v>44279</v>
      </c>
      <c r="AF646" s="1560">
        <v>44645</v>
      </c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</row>
    <row r="647" spans="1:45">
      <c r="A647" s="9"/>
      <c r="B647" s="9"/>
      <c r="C647" s="537">
        <v>43641</v>
      </c>
      <c r="D647" s="491" t="s">
        <v>5008</v>
      </c>
      <c r="E647" s="491" t="s">
        <v>69</v>
      </c>
      <c r="F647" s="491" t="s">
        <v>70</v>
      </c>
      <c r="G647" s="571" t="s">
        <v>5009</v>
      </c>
      <c r="H647" s="491">
        <v>4</v>
      </c>
      <c r="I647" s="495" t="s">
        <v>5014</v>
      </c>
      <c r="J647" s="491"/>
      <c r="K647" s="491" t="s">
        <v>5010</v>
      </c>
      <c r="L647" s="491"/>
      <c r="M647" s="536">
        <v>10485581</v>
      </c>
      <c r="N647" s="491" t="s">
        <v>251</v>
      </c>
      <c r="O647" s="537">
        <v>43668</v>
      </c>
      <c r="P647" s="537">
        <v>43718</v>
      </c>
      <c r="Q647" s="537">
        <v>43749</v>
      </c>
      <c r="R647" s="491" t="s">
        <v>2548</v>
      </c>
      <c r="S647" s="495"/>
      <c r="T647" s="536">
        <v>10485580.560000001</v>
      </c>
      <c r="U647" s="536">
        <v>11534138.619999999</v>
      </c>
      <c r="V647" s="1471"/>
      <c r="W647" s="1471"/>
      <c r="X647" s="1471"/>
      <c r="Y647" s="573">
        <v>43749</v>
      </c>
      <c r="Z647" s="536" t="s">
        <v>5818</v>
      </c>
      <c r="AA647" s="537">
        <v>43798</v>
      </c>
      <c r="AB647" s="537">
        <v>43810</v>
      </c>
      <c r="AC647" s="537">
        <v>44528</v>
      </c>
      <c r="AD647" s="537">
        <v>43915</v>
      </c>
      <c r="AE647" s="537">
        <v>44279</v>
      </c>
      <c r="AF647" s="1560">
        <v>44645</v>
      </c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</row>
    <row r="648" spans="1:45" ht="15.75" thickBot="1">
      <c r="A648" s="9"/>
      <c r="B648" s="9"/>
      <c r="C648" s="1380">
        <v>43641</v>
      </c>
      <c r="D648" s="1376" t="s">
        <v>5008</v>
      </c>
      <c r="E648" s="1376" t="s">
        <v>69</v>
      </c>
      <c r="F648" s="1376" t="s">
        <v>70</v>
      </c>
      <c r="G648" s="1378" t="s">
        <v>5009</v>
      </c>
      <c r="H648" s="1376">
        <v>5</v>
      </c>
      <c r="I648" s="1421" t="s">
        <v>5015</v>
      </c>
      <c r="J648" s="1376"/>
      <c r="K648" s="1376" t="s">
        <v>5010</v>
      </c>
      <c r="L648" s="1376"/>
      <c r="M648" s="1379">
        <v>121325220</v>
      </c>
      <c r="N648" s="1376" t="s">
        <v>251</v>
      </c>
      <c r="O648" s="1380">
        <v>43668</v>
      </c>
      <c r="P648" s="1380">
        <v>43718</v>
      </c>
      <c r="Q648" s="1380">
        <v>43749</v>
      </c>
      <c r="R648" s="1376" t="s">
        <v>2548</v>
      </c>
      <c r="S648" s="1421"/>
      <c r="T648" s="1379">
        <v>97397567.939999998</v>
      </c>
      <c r="U648" s="1379">
        <v>107137324.73</v>
      </c>
      <c r="V648" s="1475"/>
      <c r="W648" s="1475"/>
      <c r="X648" s="1475"/>
      <c r="Y648" s="1388">
        <v>43749</v>
      </c>
      <c r="Z648" s="1379" t="s">
        <v>5819</v>
      </c>
      <c r="AA648" s="1380">
        <v>43798</v>
      </c>
      <c r="AB648" s="1380">
        <v>43810</v>
      </c>
      <c r="AC648" s="1380">
        <v>44528</v>
      </c>
      <c r="AD648" s="1380">
        <v>43915</v>
      </c>
      <c r="AE648" s="1380">
        <v>44279</v>
      </c>
      <c r="AF648" s="1560">
        <v>44645</v>
      </c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</row>
    <row r="649" spans="1:45" ht="30.75" thickTop="1">
      <c r="A649" s="9"/>
      <c r="B649" s="9"/>
      <c r="C649" s="840">
        <v>43636</v>
      </c>
      <c r="D649" s="1364" t="s">
        <v>5016</v>
      </c>
      <c r="E649" s="423" t="s">
        <v>58</v>
      </c>
      <c r="F649" s="423" t="s">
        <v>2684</v>
      </c>
      <c r="G649" s="1575" t="s">
        <v>5017</v>
      </c>
      <c r="H649" s="423"/>
      <c r="I649" s="1422"/>
      <c r="J649" s="576"/>
      <c r="K649" s="423" t="s">
        <v>462</v>
      </c>
      <c r="L649" s="423"/>
      <c r="M649" s="841">
        <v>4530000</v>
      </c>
      <c r="N649" s="423" t="s">
        <v>251</v>
      </c>
      <c r="O649" s="840">
        <v>43649</v>
      </c>
      <c r="P649" s="840">
        <v>43698</v>
      </c>
      <c r="Q649" s="840">
        <v>43760</v>
      </c>
      <c r="R649" s="423" t="s">
        <v>5827</v>
      </c>
      <c r="S649" s="1422"/>
      <c r="T649" s="841">
        <v>4802142</v>
      </c>
      <c r="U649" s="841">
        <v>4802142</v>
      </c>
      <c r="V649" s="1489"/>
      <c r="W649" s="1489"/>
      <c r="X649" s="1489"/>
      <c r="Y649" s="1392">
        <v>43762</v>
      </c>
      <c r="Z649" s="1796" t="s">
        <v>5909</v>
      </c>
      <c r="AA649" s="423"/>
      <c r="AB649" s="423"/>
      <c r="AC649" s="423"/>
      <c r="AD649" s="423"/>
      <c r="AE649" s="423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</row>
    <row r="650" spans="1:45">
      <c r="A650" s="9"/>
      <c r="B650" s="9"/>
      <c r="C650" s="510" t="s">
        <v>3585</v>
      </c>
      <c r="D650" s="1382" t="s">
        <v>5019</v>
      </c>
      <c r="E650" s="506" t="s">
        <v>2434</v>
      </c>
      <c r="F650" s="506" t="s">
        <v>219</v>
      </c>
      <c r="G650" s="507" t="s">
        <v>5020</v>
      </c>
      <c r="H650" s="506"/>
      <c r="I650" s="548"/>
      <c r="J650" s="590"/>
      <c r="K650" s="506" t="s">
        <v>642</v>
      </c>
      <c r="L650" s="506"/>
      <c r="M650" s="511">
        <v>662084</v>
      </c>
      <c r="N650" s="506" t="s">
        <v>112</v>
      </c>
      <c r="O650" s="510">
        <v>43644</v>
      </c>
      <c r="P650" s="510">
        <v>43657</v>
      </c>
      <c r="Q650" s="506"/>
      <c r="R650" s="514" t="s">
        <v>5088</v>
      </c>
      <c r="S650" s="1713" t="s">
        <v>5093</v>
      </c>
      <c r="T650" s="511"/>
      <c r="U650" s="511"/>
      <c r="V650" s="1484"/>
      <c r="W650" s="1484"/>
      <c r="X650" s="1484"/>
      <c r="Y650" s="511"/>
      <c r="Z650" s="511"/>
      <c r="AA650" s="506"/>
      <c r="AB650" s="510">
        <v>43657</v>
      </c>
      <c r="AC650" s="506"/>
      <c r="AD650" s="506"/>
      <c r="AE650" s="506"/>
      <c r="AG650" s="390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</row>
    <row r="651" spans="1:45">
      <c r="A651" s="9"/>
      <c r="B651" s="9"/>
      <c r="C651" s="537">
        <v>43642</v>
      </c>
      <c r="D651" s="1373" t="s">
        <v>5021</v>
      </c>
      <c r="E651" s="491" t="s">
        <v>4997</v>
      </c>
      <c r="F651" s="491" t="s">
        <v>167</v>
      </c>
      <c r="G651" s="1563" t="s">
        <v>5022</v>
      </c>
      <c r="H651" s="491"/>
      <c r="I651" s="495"/>
      <c r="J651" s="491"/>
      <c r="K651" s="491" t="s">
        <v>5023</v>
      </c>
      <c r="L651" s="491"/>
      <c r="M651" s="536">
        <v>600000</v>
      </c>
      <c r="N651" s="491" t="s">
        <v>112</v>
      </c>
      <c r="O651" s="537">
        <v>43656</v>
      </c>
      <c r="P651" s="537">
        <v>43665</v>
      </c>
      <c r="Q651" s="537">
        <v>43675</v>
      </c>
      <c r="R651" s="491" t="s">
        <v>2032</v>
      </c>
      <c r="S651" s="495"/>
      <c r="T651" s="536">
        <v>509986.39</v>
      </c>
      <c r="U651" s="536">
        <v>617083.53</v>
      </c>
      <c r="V651" s="1471"/>
      <c r="W651" s="1471"/>
      <c r="X651" s="1471"/>
      <c r="Y651" s="573">
        <v>43675</v>
      </c>
      <c r="Z651" s="536" t="s">
        <v>5205</v>
      </c>
      <c r="AA651" s="537">
        <v>43718</v>
      </c>
      <c r="AB651" s="537">
        <v>43725</v>
      </c>
      <c r="AC651" s="537">
        <f>AA651+58</f>
        <v>43776</v>
      </c>
      <c r="AD651" s="537">
        <v>44244</v>
      </c>
      <c r="AE651" s="1102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</row>
    <row r="652" spans="1:45" ht="30.75" thickBot="1">
      <c r="A652" s="9"/>
      <c r="B652" s="9"/>
      <c r="C652" s="416">
        <v>43644</v>
      </c>
      <c r="D652" s="1468" t="s">
        <v>5024</v>
      </c>
      <c r="E652" s="411" t="s">
        <v>58</v>
      </c>
      <c r="F652" s="411" t="s">
        <v>2684</v>
      </c>
      <c r="G652" s="412" t="s">
        <v>4260</v>
      </c>
      <c r="H652" s="411"/>
      <c r="I652" s="630"/>
      <c r="J652" s="411"/>
      <c r="K652" s="411" t="s">
        <v>5027</v>
      </c>
      <c r="L652" s="411" t="s">
        <v>4261</v>
      </c>
      <c r="M652" s="417">
        <v>267000</v>
      </c>
      <c r="N652" s="411" t="s">
        <v>112</v>
      </c>
      <c r="O652" s="416">
        <v>43648</v>
      </c>
      <c r="P652" s="416">
        <v>43664</v>
      </c>
      <c r="Q652" s="416">
        <v>43670</v>
      </c>
      <c r="R652" s="411" t="s">
        <v>3183</v>
      </c>
      <c r="S652" s="630"/>
      <c r="T652" s="417">
        <v>282560</v>
      </c>
      <c r="U652" s="417">
        <v>341897.6</v>
      </c>
      <c r="V652" s="1480"/>
      <c r="W652" s="1480"/>
      <c r="X652" s="1480"/>
      <c r="Y652" s="513">
        <v>43675</v>
      </c>
      <c r="Z652" s="1553" t="s">
        <v>5207</v>
      </c>
      <c r="AA652" s="416">
        <v>43699</v>
      </c>
      <c r="AB652" s="416">
        <v>43705</v>
      </c>
      <c r="AC652" s="416">
        <f>AA652+42</f>
        <v>43741</v>
      </c>
      <c r="AD652" s="416">
        <v>43788</v>
      </c>
      <c r="AE652" s="422" t="s">
        <v>1875</v>
      </c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S652" s="9"/>
    </row>
    <row r="653" spans="1:45" ht="15.75" thickTop="1">
      <c r="A653" s="9"/>
      <c r="B653" s="9"/>
      <c r="C653" s="443">
        <v>43644</v>
      </c>
      <c r="D653" s="439" t="s">
        <v>5026</v>
      </c>
      <c r="E653" s="439" t="s">
        <v>58</v>
      </c>
      <c r="F653" s="439" t="s">
        <v>2684</v>
      </c>
      <c r="G653" s="440" t="s">
        <v>5025</v>
      </c>
      <c r="H653" s="439">
        <v>1</v>
      </c>
      <c r="I653" s="1431" t="s">
        <v>3848</v>
      </c>
      <c r="J653" s="439"/>
      <c r="K653" s="439" t="s">
        <v>1924</v>
      </c>
      <c r="L653" s="439" t="s">
        <v>5032</v>
      </c>
      <c r="M653" s="444">
        <v>598000</v>
      </c>
      <c r="N653" s="439" t="s">
        <v>112</v>
      </c>
      <c r="O653" s="443">
        <v>43650</v>
      </c>
      <c r="P653" s="443">
        <v>43662</v>
      </c>
      <c r="Q653" s="439"/>
      <c r="R653" s="538" t="s">
        <v>4830</v>
      </c>
      <c r="S653" s="1756" t="s">
        <v>5323</v>
      </c>
      <c r="T653" s="444"/>
      <c r="U653" s="444"/>
      <c r="V653" s="1481"/>
      <c r="W653" s="1481"/>
      <c r="X653" s="1481"/>
      <c r="Y653" s="444"/>
      <c r="Z653" s="444"/>
      <c r="AA653" s="439"/>
      <c r="AB653" s="443">
        <v>43690</v>
      </c>
      <c r="AC653" s="439"/>
      <c r="AD653" s="439"/>
      <c r="AE653" s="439"/>
      <c r="AG653" s="390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</row>
    <row r="654" spans="1:45" ht="30">
      <c r="A654" s="9"/>
      <c r="B654" s="9"/>
      <c r="C654" s="537">
        <v>43644</v>
      </c>
      <c r="D654" s="491" t="s">
        <v>5026</v>
      </c>
      <c r="E654" s="491" t="s">
        <v>58</v>
      </c>
      <c r="F654" s="491" t="s">
        <v>2684</v>
      </c>
      <c r="G654" s="571" t="s">
        <v>5025</v>
      </c>
      <c r="H654" s="491">
        <v>2</v>
      </c>
      <c r="I654" s="495" t="s">
        <v>5028</v>
      </c>
      <c r="J654" s="590"/>
      <c r="K654" s="491" t="s">
        <v>1924</v>
      </c>
      <c r="L654" s="491" t="s">
        <v>5033</v>
      </c>
      <c r="M654" s="536">
        <v>62500</v>
      </c>
      <c r="N654" s="491" t="s">
        <v>112</v>
      </c>
      <c r="O654" s="537">
        <v>43650</v>
      </c>
      <c r="P654" s="537">
        <v>43662</v>
      </c>
      <c r="Q654" s="537">
        <v>43699</v>
      </c>
      <c r="R654" s="491" t="s">
        <v>2108</v>
      </c>
      <c r="S654" s="495"/>
      <c r="T654" s="536">
        <v>67950</v>
      </c>
      <c r="U654" s="536">
        <v>82219.5</v>
      </c>
      <c r="V654" s="1484"/>
      <c r="W654" s="1484"/>
      <c r="X654" s="1484"/>
      <c r="Y654" s="573">
        <v>43700</v>
      </c>
      <c r="Z654" s="1375" t="s">
        <v>5324</v>
      </c>
      <c r="AA654" s="537">
        <v>43728</v>
      </c>
      <c r="AB654" s="537">
        <v>43741</v>
      </c>
      <c r="AC654" s="537">
        <f>AA654+28</f>
        <v>43756</v>
      </c>
      <c r="AD654" s="537">
        <v>43808</v>
      </c>
      <c r="AE654" s="1374" t="s">
        <v>1875</v>
      </c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</row>
    <row r="655" spans="1:45" ht="30">
      <c r="A655" s="9"/>
      <c r="B655" s="9"/>
      <c r="C655" s="537">
        <v>43644</v>
      </c>
      <c r="D655" s="491" t="s">
        <v>5026</v>
      </c>
      <c r="E655" s="491" t="s">
        <v>58</v>
      </c>
      <c r="F655" s="491" t="s">
        <v>2684</v>
      </c>
      <c r="G655" s="571" t="s">
        <v>5025</v>
      </c>
      <c r="H655" s="491">
        <v>3</v>
      </c>
      <c r="I655" s="495" t="s">
        <v>5029</v>
      </c>
      <c r="J655" s="590"/>
      <c r="K655" s="491" t="s">
        <v>1924</v>
      </c>
      <c r="L655" s="491" t="s">
        <v>4245</v>
      </c>
      <c r="M655" s="536">
        <v>140000</v>
      </c>
      <c r="N655" s="491" t="s">
        <v>112</v>
      </c>
      <c r="O655" s="537">
        <v>43650</v>
      </c>
      <c r="P655" s="537">
        <v>43662</v>
      </c>
      <c r="Q655" s="537">
        <v>43699</v>
      </c>
      <c r="R655" s="491" t="s">
        <v>5269</v>
      </c>
      <c r="S655" s="495"/>
      <c r="T655" s="536">
        <v>91494</v>
      </c>
      <c r="U655" s="536">
        <v>110708</v>
      </c>
      <c r="V655" s="1484"/>
      <c r="W655" s="1484"/>
      <c r="X655" s="1484"/>
      <c r="Y655" s="573">
        <v>43700</v>
      </c>
      <c r="Z655" s="1375" t="s">
        <v>5325</v>
      </c>
      <c r="AA655" s="537">
        <v>43728</v>
      </c>
      <c r="AB655" s="537">
        <v>43741</v>
      </c>
      <c r="AC655" s="537">
        <f>AA655+56</f>
        <v>43784</v>
      </c>
      <c r="AD655" s="537">
        <v>43815</v>
      </c>
      <c r="AE655" s="1374" t="s">
        <v>1875</v>
      </c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</row>
    <row r="656" spans="1:45" ht="30.75" thickBot="1">
      <c r="A656" s="9"/>
      <c r="B656" s="9"/>
      <c r="C656" s="1380">
        <v>43644</v>
      </c>
      <c r="D656" s="1376" t="s">
        <v>5026</v>
      </c>
      <c r="E656" s="1376" t="s">
        <v>58</v>
      </c>
      <c r="F656" s="1376" t="s">
        <v>2684</v>
      </c>
      <c r="G656" s="1378" t="s">
        <v>5025</v>
      </c>
      <c r="H656" s="1376">
        <v>4</v>
      </c>
      <c r="I656" s="1421" t="s">
        <v>5030</v>
      </c>
      <c r="J656" s="1376"/>
      <c r="K656" s="1376" t="s">
        <v>1924</v>
      </c>
      <c r="L656" s="1376" t="s">
        <v>5031</v>
      </c>
      <c r="M656" s="1379">
        <v>260000</v>
      </c>
      <c r="N656" s="1376" t="s">
        <v>112</v>
      </c>
      <c r="O656" s="1380">
        <v>43650</v>
      </c>
      <c r="P656" s="1380">
        <v>43662</v>
      </c>
      <c r="Q656" s="1380">
        <v>43699</v>
      </c>
      <c r="R656" s="1376" t="s">
        <v>4478</v>
      </c>
      <c r="S656" s="1421"/>
      <c r="T656" s="1379">
        <v>509175</v>
      </c>
      <c r="U656" s="1379">
        <v>616101.75</v>
      </c>
      <c r="V656" s="1475"/>
      <c r="W656" s="1475"/>
      <c r="X656" s="1475"/>
      <c r="Y656" s="1388">
        <v>43700</v>
      </c>
      <c r="Z656" s="1389" t="s">
        <v>5326</v>
      </c>
      <c r="AA656" s="1380">
        <v>43740</v>
      </c>
      <c r="AB656" s="1380">
        <v>43741</v>
      </c>
      <c r="AC656" s="1380">
        <f>AA656+56</f>
        <v>43796</v>
      </c>
      <c r="AD656" s="1380">
        <v>43864</v>
      </c>
      <c r="AE656" s="1381" t="s">
        <v>1875</v>
      </c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</row>
    <row r="657" spans="1:45" ht="16.5" thickTop="1" thickBot="1">
      <c r="A657" s="9"/>
      <c r="B657" s="9"/>
      <c r="C657" s="498">
        <v>43647</v>
      </c>
      <c r="D657" s="1544" t="s">
        <v>5034</v>
      </c>
      <c r="E657" s="232" t="s">
        <v>52</v>
      </c>
      <c r="F657" s="232" t="s">
        <v>2588</v>
      </c>
      <c r="G657" s="274" t="s">
        <v>5035</v>
      </c>
      <c r="H657" s="232"/>
      <c r="I657" s="669"/>
      <c r="J657" s="232"/>
      <c r="K657" s="232" t="s">
        <v>5036</v>
      </c>
      <c r="L657" s="232" t="s">
        <v>245</v>
      </c>
      <c r="M657" s="499">
        <v>8000000</v>
      </c>
      <c r="N657" s="232" t="s">
        <v>251</v>
      </c>
      <c r="O657" s="498">
        <v>43661</v>
      </c>
      <c r="P657" s="498">
        <v>43692</v>
      </c>
      <c r="Q657" s="498">
        <v>43724</v>
      </c>
      <c r="R657" s="232" t="s">
        <v>3500</v>
      </c>
      <c r="S657" s="669"/>
      <c r="T657" s="499">
        <v>8000000</v>
      </c>
      <c r="U657" s="499">
        <v>9680000</v>
      </c>
      <c r="V657" s="1545"/>
      <c r="W657" s="1545"/>
      <c r="X657" s="1545"/>
      <c r="Y657" s="682">
        <v>43724</v>
      </c>
      <c r="Z657" s="499" t="s">
        <v>5622</v>
      </c>
      <c r="AA657" s="498">
        <v>43741</v>
      </c>
      <c r="AB657" s="498">
        <v>43745</v>
      </c>
      <c r="AC657" s="498">
        <f>AA657+280</f>
        <v>44021</v>
      </c>
      <c r="AD657" s="498">
        <v>44109</v>
      </c>
      <c r="AE657" s="1558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</row>
    <row r="658" spans="1:45" ht="15.75" thickTop="1">
      <c r="A658" s="9"/>
      <c r="B658" s="9"/>
      <c r="C658" s="443">
        <v>43650</v>
      </c>
      <c r="D658" s="439" t="s">
        <v>5037</v>
      </c>
      <c r="E658" s="439" t="s">
        <v>58</v>
      </c>
      <c r="F658" s="439" t="s">
        <v>2684</v>
      </c>
      <c r="G658" s="440" t="s">
        <v>5038</v>
      </c>
      <c r="H658" s="439">
        <v>1</v>
      </c>
      <c r="I658" s="1431" t="s">
        <v>5094</v>
      </c>
      <c r="J658" s="439"/>
      <c r="K658" s="439" t="s">
        <v>1159</v>
      </c>
      <c r="L658" s="439" t="s">
        <v>4263</v>
      </c>
      <c r="M658" s="444">
        <v>159300</v>
      </c>
      <c r="N658" s="439" t="s">
        <v>112</v>
      </c>
      <c r="O658" s="443">
        <v>43658</v>
      </c>
      <c r="P658" s="443">
        <v>43671</v>
      </c>
      <c r="Q658" s="439"/>
      <c r="R658" s="538" t="s">
        <v>4830</v>
      </c>
      <c r="S658" s="1756" t="s">
        <v>5250</v>
      </c>
      <c r="T658" s="444"/>
      <c r="U658" s="444"/>
      <c r="V658" s="1481"/>
      <c r="W658" s="1481"/>
      <c r="X658" s="1481"/>
      <c r="Y658" s="444"/>
      <c r="Z658" s="444"/>
      <c r="AA658" s="439"/>
      <c r="AB658" s="443">
        <v>43677</v>
      </c>
      <c r="AC658" s="439"/>
      <c r="AD658" s="439"/>
      <c r="AE658" s="439"/>
      <c r="AG658" s="390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</row>
    <row r="659" spans="1:45" ht="30">
      <c r="A659" s="9"/>
      <c r="B659" s="9"/>
      <c r="C659" s="537">
        <v>43650</v>
      </c>
      <c r="D659" s="491" t="s">
        <v>5037</v>
      </c>
      <c r="E659" s="491" t="s">
        <v>58</v>
      </c>
      <c r="F659" s="491" t="s">
        <v>2684</v>
      </c>
      <c r="G659" s="571" t="s">
        <v>5038</v>
      </c>
      <c r="H659" s="491">
        <v>2</v>
      </c>
      <c r="I659" s="495" t="s">
        <v>5095</v>
      </c>
      <c r="J659" s="491"/>
      <c r="K659" s="491" t="s">
        <v>1159</v>
      </c>
      <c r="L659" s="491" t="s">
        <v>5097</v>
      </c>
      <c r="M659" s="536">
        <v>875000</v>
      </c>
      <c r="N659" s="491" t="s">
        <v>112</v>
      </c>
      <c r="O659" s="537">
        <v>43658</v>
      </c>
      <c r="P659" s="537">
        <v>43671</v>
      </c>
      <c r="Q659" s="537">
        <v>43703</v>
      </c>
      <c r="R659" s="491" t="s">
        <v>5331</v>
      </c>
      <c r="S659" s="495"/>
      <c r="T659" s="536">
        <v>900189</v>
      </c>
      <c r="U659" s="536">
        <v>1089228.69</v>
      </c>
      <c r="V659" s="1471"/>
      <c r="W659" s="1471"/>
      <c r="X659" s="1471"/>
      <c r="Y659" s="573">
        <v>43703</v>
      </c>
      <c r="Z659" s="1375" t="s">
        <v>5342</v>
      </c>
      <c r="AA659" s="537">
        <v>43731</v>
      </c>
      <c r="AB659" s="537">
        <v>43739</v>
      </c>
      <c r="AC659" s="537">
        <f>AA659+56</f>
        <v>43787</v>
      </c>
      <c r="AD659" s="537">
        <v>44244</v>
      </c>
      <c r="AE659" s="1374" t="s">
        <v>1875</v>
      </c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</row>
    <row r="660" spans="1:45" ht="15.75" thickBot="1">
      <c r="A660" s="9"/>
      <c r="B660" s="9"/>
      <c r="C660" s="1414">
        <v>43650</v>
      </c>
      <c r="D660" s="1410" t="s">
        <v>5037</v>
      </c>
      <c r="E660" s="1410" t="s">
        <v>58</v>
      </c>
      <c r="F660" s="1410" t="s">
        <v>2684</v>
      </c>
      <c r="G660" s="1412" t="s">
        <v>5038</v>
      </c>
      <c r="H660" s="1410">
        <v>3</v>
      </c>
      <c r="I660" s="1430" t="s">
        <v>5096</v>
      </c>
      <c r="J660" s="1410"/>
      <c r="K660" s="1410" t="s">
        <v>1159</v>
      </c>
      <c r="L660" s="1410" t="s">
        <v>5098</v>
      </c>
      <c r="M660" s="1413">
        <v>534000</v>
      </c>
      <c r="N660" s="1410" t="s">
        <v>112</v>
      </c>
      <c r="O660" s="1414">
        <v>43658</v>
      </c>
      <c r="P660" s="1414">
        <v>43671</v>
      </c>
      <c r="Q660" s="1410"/>
      <c r="R660" s="1740" t="s">
        <v>4830</v>
      </c>
      <c r="S660" s="1757" t="s">
        <v>5250</v>
      </c>
      <c r="T660" s="1413"/>
      <c r="U660" s="1413"/>
      <c r="V660" s="1479"/>
      <c r="W660" s="1479"/>
      <c r="X660" s="1479"/>
      <c r="Y660" s="1413"/>
      <c r="Z660" s="1413"/>
      <c r="AA660" s="1410"/>
      <c r="AB660" s="1414">
        <v>43677</v>
      </c>
      <c r="AC660" s="1410"/>
      <c r="AD660" s="1410"/>
      <c r="AE660" s="1410"/>
      <c r="AG660" s="390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</row>
    <row r="661" spans="1:45" ht="30.75" thickTop="1">
      <c r="A661" s="9"/>
      <c r="B661" s="9"/>
      <c r="C661" s="365">
        <v>43647</v>
      </c>
      <c r="D661" s="1397" t="s">
        <v>5039</v>
      </c>
      <c r="E661" s="1761" t="s">
        <v>58</v>
      </c>
      <c r="F661" s="1761" t="s">
        <v>2684</v>
      </c>
      <c r="G661" s="175" t="s">
        <v>5040</v>
      </c>
      <c r="H661" s="1761"/>
      <c r="I661" s="1762"/>
      <c r="J661" s="1761"/>
      <c r="K661" s="1761" t="s">
        <v>5042</v>
      </c>
      <c r="L661" s="1761" t="s">
        <v>5041</v>
      </c>
      <c r="M661" s="364">
        <v>283471</v>
      </c>
      <c r="N661" s="1761" t="s">
        <v>112</v>
      </c>
      <c r="O661" s="365">
        <v>43657</v>
      </c>
      <c r="P661" s="365">
        <v>43670</v>
      </c>
      <c r="Q661" s="365">
        <v>43714</v>
      </c>
      <c r="R661" s="1791" t="s">
        <v>5461</v>
      </c>
      <c r="S661" s="1762"/>
      <c r="T661" s="364">
        <v>224760</v>
      </c>
      <c r="U661" s="364">
        <v>271959.59999999998</v>
      </c>
      <c r="V661" s="1473"/>
      <c r="W661" s="1473"/>
      <c r="X661" s="1473"/>
      <c r="Y661" s="681">
        <v>43721</v>
      </c>
      <c r="Z661" s="1417" t="s">
        <v>5621</v>
      </c>
      <c r="AA661" s="365">
        <v>43747</v>
      </c>
      <c r="AB661" s="365">
        <v>43748</v>
      </c>
      <c r="AC661" s="365">
        <f>AA661+28</f>
        <v>43775</v>
      </c>
      <c r="AD661" s="365">
        <v>43878</v>
      </c>
      <c r="AE661" s="451" t="s">
        <v>1875</v>
      </c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</row>
    <row r="662" spans="1:45" ht="30">
      <c r="A662" s="9"/>
      <c r="B662" s="9"/>
      <c r="C662" s="537">
        <v>43647</v>
      </c>
      <c r="D662" s="1373" t="s">
        <v>5043</v>
      </c>
      <c r="E662" s="491" t="s">
        <v>58</v>
      </c>
      <c r="F662" s="491" t="s">
        <v>2684</v>
      </c>
      <c r="G662" s="571" t="s">
        <v>857</v>
      </c>
      <c r="H662" s="491"/>
      <c r="I662" s="495"/>
      <c r="J662" s="491"/>
      <c r="K662" s="491" t="s">
        <v>269</v>
      </c>
      <c r="L662" s="491" t="s">
        <v>4206</v>
      </c>
      <c r="M662" s="536">
        <v>304000</v>
      </c>
      <c r="N662" s="491" t="s">
        <v>112</v>
      </c>
      <c r="O662" s="537">
        <v>43657</v>
      </c>
      <c r="P662" s="537">
        <v>43676</v>
      </c>
      <c r="Q662" s="537">
        <v>43714</v>
      </c>
      <c r="R662" s="491" t="s">
        <v>4905</v>
      </c>
      <c r="S662" s="495"/>
      <c r="T662" s="536">
        <v>363834</v>
      </c>
      <c r="U662" s="536">
        <v>440241</v>
      </c>
      <c r="V662" s="1471"/>
      <c r="W662" s="1471"/>
      <c r="X662" s="1471"/>
      <c r="Y662" s="573">
        <v>43714</v>
      </c>
      <c r="Z662" s="1375" t="s">
        <v>5485</v>
      </c>
      <c r="AA662" s="537">
        <v>43741</v>
      </c>
      <c r="AB662" s="537">
        <v>43746</v>
      </c>
      <c r="AC662" s="537">
        <f>AA662+56</f>
        <v>43797</v>
      </c>
      <c r="AD662" s="537">
        <v>43857</v>
      </c>
      <c r="AE662" s="1374" t="s">
        <v>1875</v>
      </c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</row>
    <row r="663" spans="1:45">
      <c r="A663" s="9"/>
      <c r="B663" s="9"/>
      <c r="C663" s="537">
        <v>43649</v>
      </c>
      <c r="D663" s="1373" t="s">
        <v>5047</v>
      </c>
      <c r="E663" s="491" t="s">
        <v>4997</v>
      </c>
      <c r="F663" s="491" t="s">
        <v>167</v>
      </c>
      <c r="G663" s="571" t="s">
        <v>5046</v>
      </c>
      <c r="H663" s="491"/>
      <c r="I663" s="495"/>
      <c r="J663" s="491"/>
      <c r="K663" s="491" t="s">
        <v>1676</v>
      </c>
      <c r="L663" s="491"/>
      <c r="M663" s="536">
        <v>1100000</v>
      </c>
      <c r="N663" s="491" t="s">
        <v>112</v>
      </c>
      <c r="O663" s="537">
        <v>43655</v>
      </c>
      <c r="P663" s="537">
        <v>43664</v>
      </c>
      <c r="Q663" s="537">
        <v>43672</v>
      </c>
      <c r="R663" s="491" t="s">
        <v>2032</v>
      </c>
      <c r="S663" s="495"/>
      <c r="T663" s="536">
        <v>1615368.47</v>
      </c>
      <c r="U663" s="536">
        <v>1954595.85</v>
      </c>
      <c r="V663" s="1471"/>
      <c r="W663" s="1471"/>
      <c r="X663" s="1471"/>
      <c r="Y663" s="573">
        <v>43675</v>
      </c>
      <c r="Z663" s="536" t="s">
        <v>5204</v>
      </c>
      <c r="AA663" s="537">
        <v>43699</v>
      </c>
      <c r="AB663" s="537">
        <v>43703</v>
      </c>
      <c r="AC663" s="537">
        <f>AA663+70</f>
        <v>43769</v>
      </c>
      <c r="AD663" s="537">
        <v>43838</v>
      </c>
      <c r="AE663" s="1102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S663" s="9"/>
    </row>
    <row r="664" spans="1:45">
      <c r="A664" s="9"/>
      <c r="B664" s="9"/>
      <c r="C664" s="1649" t="s">
        <v>3585</v>
      </c>
      <c r="D664" s="1650" t="s">
        <v>5059</v>
      </c>
      <c r="E664" s="1651" t="s">
        <v>4997</v>
      </c>
      <c r="F664" s="1651" t="s">
        <v>167</v>
      </c>
      <c r="G664" s="1652" t="s">
        <v>5060</v>
      </c>
      <c r="H664" s="1651"/>
      <c r="I664" s="1653"/>
      <c r="J664" s="1651"/>
      <c r="K664" s="1651" t="s">
        <v>4287</v>
      </c>
      <c r="L664" s="1651" t="s">
        <v>4288</v>
      </c>
      <c r="M664" s="1654">
        <v>950000</v>
      </c>
      <c r="N664" s="1651" t="s">
        <v>112</v>
      </c>
      <c r="O664" s="1651"/>
      <c r="P664" s="1651"/>
      <c r="Q664" s="1651"/>
      <c r="R664" s="1651"/>
      <c r="S664" s="1653"/>
      <c r="T664" s="1654"/>
      <c r="U664" s="1654"/>
      <c r="V664" s="1656"/>
      <c r="W664" s="1656"/>
      <c r="X664" s="1656"/>
      <c r="Y664" s="1654"/>
      <c r="Z664" s="1654"/>
      <c r="AA664" s="1651"/>
      <c r="AB664" s="1651"/>
      <c r="AC664" s="1651"/>
      <c r="AD664" s="1651"/>
      <c r="AE664" s="1651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</row>
    <row r="665" spans="1:45">
      <c r="A665" s="9"/>
      <c r="B665" s="9"/>
      <c r="C665" s="544">
        <v>43649</v>
      </c>
      <c r="D665" s="1357" t="s">
        <v>5061</v>
      </c>
      <c r="E665" s="540" t="s">
        <v>2644</v>
      </c>
      <c r="F665" s="540" t="s">
        <v>5062</v>
      </c>
      <c r="G665" s="541" t="s">
        <v>5063</v>
      </c>
      <c r="H665" s="540"/>
      <c r="I665" s="1402"/>
      <c r="J665" s="590"/>
      <c r="K665" s="540" t="s">
        <v>2646</v>
      </c>
      <c r="L665" s="540"/>
      <c r="M665" s="545">
        <v>8500000</v>
      </c>
      <c r="N665" s="540" t="s">
        <v>251</v>
      </c>
      <c r="O665" s="544">
        <v>43713</v>
      </c>
      <c r="P665" s="544">
        <v>43746</v>
      </c>
      <c r="Q665" s="540"/>
      <c r="R665" s="540"/>
      <c r="S665" s="1402"/>
      <c r="T665" s="545"/>
      <c r="U665" s="545"/>
      <c r="V665" s="1484"/>
      <c r="W665" s="1484"/>
      <c r="X665" s="1484"/>
      <c r="Y665" s="545"/>
      <c r="Z665" s="545"/>
      <c r="AA665" s="540"/>
      <c r="AB665" s="540"/>
      <c r="AC665" s="540"/>
      <c r="AD665" s="540"/>
      <c r="AE665" s="540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</row>
    <row r="666" spans="1:45">
      <c r="A666" s="9"/>
      <c r="B666" s="9"/>
      <c r="C666" s="537">
        <v>43655</v>
      </c>
      <c r="D666" s="1373" t="s">
        <v>5065</v>
      </c>
      <c r="E666" s="491" t="s">
        <v>1032</v>
      </c>
      <c r="F666" s="491" t="s">
        <v>361</v>
      </c>
      <c r="G666" s="571" t="s">
        <v>5066</v>
      </c>
      <c r="H666" s="491"/>
      <c r="I666" s="495"/>
      <c r="J666" s="491"/>
      <c r="K666" s="491" t="s">
        <v>1163</v>
      </c>
      <c r="L666" s="491"/>
      <c r="M666" s="536">
        <v>750000</v>
      </c>
      <c r="N666" s="491" t="s">
        <v>112</v>
      </c>
      <c r="O666" s="537">
        <v>43655</v>
      </c>
      <c r="P666" s="537">
        <v>43661</v>
      </c>
      <c r="Q666" s="537">
        <v>43663</v>
      </c>
      <c r="R666" s="491" t="s">
        <v>2565</v>
      </c>
      <c r="S666" s="495"/>
      <c r="T666" s="536">
        <v>920623.89</v>
      </c>
      <c r="U666" s="536">
        <v>1113954.9099999999</v>
      </c>
      <c r="V666" s="1471"/>
      <c r="W666" s="1471"/>
      <c r="X666" s="1471"/>
      <c r="Y666" s="573">
        <v>43664</v>
      </c>
      <c r="Z666" s="536" t="s">
        <v>5139</v>
      </c>
      <c r="AA666" s="537">
        <v>43682</v>
      </c>
      <c r="AB666" s="537">
        <v>43684</v>
      </c>
      <c r="AC666" s="537">
        <v>43689</v>
      </c>
      <c r="AD666" s="537">
        <v>43752</v>
      </c>
      <c r="AE666" s="1102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S666" s="9"/>
    </row>
    <row r="667" spans="1:45" ht="30.75" thickBot="1">
      <c r="A667" s="9"/>
      <c r="B667" s="9"/>
      <c r="C667" s="416" t="s">
        <v>3585</v>
      </c>
      <c r="D667" s="1468" t="s">
        <v>5067</v>
      </c>
      <c r="E667" s="411" t="s">
        <v>2434</v>
      </c>
      <c r="F667" s="411" t="s">
        <v>219</v>
      </c>
      <c r="G667" s="412" t="s">
        <v>5069</v>
      </c>
      <c r="H667" s="411"/>
      <c r="I667" s="630"/>
      <c r="J667" s="411"/>
      <c r="K667" s="411" t="s">
        <v>642</v>
      </c>
      <c r="L667" s="411"/>
      <c r="M667" s="417">
        <v>409600</v>
      </c>
      <c r="N667" s="411" t="s">
        <v>112</v>
      </c>
      <c r="O667" s="416">
        <v>43661</v>
      </c>
      <c r="P667" s="416">
        <v>43672</v>
      </c>
      <c r="Q667" s="416">
        <v>43683</v>
      </c>
      <c r="R667" s="411" t="s">
        <v>3080</v>
      </c>
      <c r="S667" s="630"/>
      <c r="T667" s="417">
        <v>409600</v>
      </c>
      <c r="U667" s="417">
        <v>495616</v>
      </c>
      <c r="V667" s="1480"/>
      <c r="W667" s="1480"/>
      <c r="X667" s="1480"/>
      <c r="Y667" s="513">
        <v>43683</v>
      </c>
      <c r="Z667" s="1553" t="s">
        <v>5199</v>
      </c>
      <c r="AA667" s="416">
        <v>43712</v>
      </c>
      <c r="AB667" s="416">
        <v>43725</v>
      </c>
      <c r="AC667" s="416">
        <v>44442</v>
      </c>
      <c r="AD667" s="618">
        <v>43930</v>
      </c>
      <c r="AE667" s="618">
        <v>44285</v>
      </c>
      <c r="AF667" s="2559">
        <v>44637</v>
      </c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</row>
    <row r="668" spans="1:45" ht="30.75" thickTop="1">
      <c r="A668" s="9"/>
      <c r="B668" s="9"/>
      <c r="C668" s="474">
        <v>43650</v>
      </c>
      <c r="D668" s="1383" t="s">
        <v>5075</v>
      </c>
      <c r="E668" s="453" t="s">
        <v>58</v>
      </c>
      <c r="F668" s="453" t="s">
        <v>2684</v>
      </c>
      <c r="G668" s="473" t="s">
        <v>5076</v>
      </c>
      <c r="H668" s="453">
        <v>1</v>
      </c>
      <c r="I668" s="1420" t="s">
        <v>5099</v>
      </c>
      <c r="J668" s="453"/>
      <c r="K668" s="453" t="s">
        <v>5077</v>
      </c>
      <c r="L668" s="453" t="s">
        <v>5102</v>
      </c>
      <c r="M668" s="457">
        <v>1113000</v>
      </c>
      <c r="N668" s="453" t="s">
        <v>112</v>
      </c>
      <c r="O668" s="474">
        <v>43658</v>
      </c>
      <c r="P668" s="474">
        <v>43669</v>
      </c>
      <c r="Q668" s="474">
        <v>43703</v>
      </c>
      <c r="R668" s="453" t="s">
        <v>1319</v>
      </c>
      <c r="S668" s="1420"/>
      <c r="T668" s="457">
        <v>807575</v>
      </c>
      <c r="U668" s="457">
        <v>977165.75</v>
      </c>
      <c r="V668" s="1474"/>
      <c r="W668" s="1474"/>
      <c r="X668" s="1474"/>
      <c r="Y668" s="570">
        <v>43703</v>
      </c>
      <c r="Z668" s="1387" t="s">
        <v>5343</v>
      </c>
      <c r="AA668" s="474">
        <v>43746</v>
      </c>
      <c r="AB668" s="474">
        <v>43749</v>
      </c>
      <c r="AC668" s="474">
        <f>AA668+30</f>
        <v>43776</v>
      </c>
      <c r="AD668" s="474">
        <v>43949</v>
      </c>
      <c r="AE668" s="1391" t="s">
        <v>1875</v>
      </c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</row>
    <row r="669" spans="1:45" ht="15.75" thickBot="1">
      <c r="A669" s="9"/>
      <c r="B669" s="9"/>
      <c r="C669" s="1414">
        <v>43650</v>
      </c>
      <c r="D669" s="1411" t="s">
        <v>5075</v>
      </c>
      <c r="E669" s="1410" t="s">
        <v>58</v>
      </c>
      <c r="F669" s="1410" t="s">
        <v>2684</v>
      </c>
      <c r="G669" s="1412" t="s">
        <v>5076</v>
      </c>
      <c r="H669" s="1410">
        <v>2</v>
      </c>
      <c r="I669" s="1430" t="s">
        <v>5100</v>
      </c>
      <c r="J669" s="1410"/>
      <c r="K669" s="1410" t="s">
        <v>5077</v>
      </c>
      <c r="L669" s="1410" t="s">
        <v>5101</v>
      </c>
      <c r="M669" s="1413">
        <v>456000</v>
      </c>
      <c r="N669" s="1410" t="s">
        <v>112</v>
      </c>
      <c r="O669" s="1414">
        <v>43658</v>
      </c>
      <c r="P669" s="1414">
        <v>43669</v>
      </c>
      <c r="Q669" s="1410"/>
      <c r="R669" s="1740" t="s">
        <v>4524</v>
      </c>
      <c r="S669" s="1757" t="s">
        <v>5280</v>
      </c>
      <c r="T669" s="1413"/>
      <c r="U669" s="1413"/>
      <c r="V669" s="1479"/>
      <c r="W669" s="1479"/>
      <c r="X669" s="1479"/>
      <c r="Y669" s="1413"/>
      <c r="Z669" s="1413"/>
      <c r="AA669" s="1410"/>
      <c r="AB669" s="1414">
        <v>43696</v>
      </c>
      <c r="AC669" s="1410"/>
      <c r="AD669" s="1410"/>
      <c r="AE669" s="1410"/>
      <c r="AF669" s="390"/>
      <c r="AG669" s="390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</row>
    <row r="670" spans="1:45" ht="30.75" thickTop="1">
      <c r="A670" s="9"/>
      <c r="B670" s="9"/>
      <c r="C670" s="474">
        <v>43647</v>
      </c>
      <c r="D670" s="1383" t="s">
        <v>5078</v>
      </c>
      <c r="E670" s="453" t="s">
        <v>58</v>
      </c>
      <c r="F670" s="453" t="s">
        <v>2684</v>
      </c>
      <c r="G670" s="473" t="s">
        <v>5079</v>
      </c>
      <c r="H670" s="453">
        <v>1</v>
      </c>
      <c r="I670" s="1420" t="s">
        <v>5080</v>
      </c>
      <c r="J670" s="453"/>
      <c r="K670" s="453" t="s">
        <v>462</v>
      </c>
      <c r="L670" s="453" t="s">
        <v>5090</v>
      </c>
      <c r="M670" s="457">
        <v>4167087</v>
      </c>
      <c r="N670" s="453" t="s">
        <v>251</v>
      </c>
      <c r="O670" s="474">
        <v>43668</v>
      </c>
      <c r="P670" s="474">
        <v>43704</v>
      </c>
      <c r="Q670" s="474">
        <v>43768</v>
      </c>
      <c r="R670" s="453" t="s">
        <v>5913</v>
      </c>
      <c r="S670" s="1420"/>
      <c r="T670" s="457">
        <v>4162100</v>
      </c>
      <c r="U670" s="457">
        <v>5036141</v>
      </c>
      <c r="V670" s="1474"/>
      <c r="W670" s="1474"/>
      <c r="X670" s="1474"/>
      <c r="Y670" s="570">
        <v>43769</v>
      </c>
      <c r="Z670" s="1387" t="s">
        <v>5925</v>
      </c>
      <c r="AA670" s="474">
        <v>43812</v>
      </c>
      <c r="AB670" s="474">
        <v>43822</v>
      </c>
      <c r="AC670" s="474">
        <v>43868</v>
      </c>
      <c r="AD670" s="474">
        <v>43941</v>
      </c>
      <c r="AE670" s="1391" t="s">
        <v>1875</v>
      </c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</row>
    <row r="671" spans="1:45" ht="30">
      <c r="A671" s="9"/>
      <c r="B671" s="9"/>
      <c r="C671" s="537">
        <v>43647</v>
      </c>
      <c r="D671" s="1373" t="s">
        <v>5078</v>
      </c>
      <c r="E671" s="491" t="s">
        <v>58</v>
      </c>
      <c r="F671" s="491" t="s">
        <v>2684</v>
      </c>
      <c r="G671" s="571" t="s">
        <v>5079</v>
      </c>
      <c r="H671" s="491">
        <v>2</v>
      </c>
      <c r="I671" s="495" t="s">
        <v>5081</v>
      </c>
      <c r="J671" s="491"/>
      <c r="K671" s="491" t="s">
        <v>462</v>
      </c>
      <c r="L671" s="491" t="s">
        <v>4225</v>
      </c>
      <c r="M671" s="536">
        <v>1441983</v>
      </c>
      <c r="N671" s="491" t="s">
        <v>251</v>
      </c>
      <c r="O671" s="537">
        <v>43668</v>
      </c>
      <c r="P671" s="537">
        <v>43704</v>
      </c>
      <c r="Q671" s="537">
        <v>43768</v>
      </c>
      <c r="R671" s="491" t="s">
        <v>5914</v>
      </c>
      <c r="S671" s="495"/>
      <c r="T671" s="536">
        <v>1433152</v>
      </c>
      <c r="U671" s="536">
        <v>1734113.92</v>
      </c>
      <c r="V671" s="1471"/>
      <c r="W671" s="1471"/>
      <c r="X671" s="1471"/>
      <c r="Y671" s="573">
        <v>43769</v>
      </c>
      <c r="Z671" s="1375" t="s">
        <v>5926</v>
      </c>
      <c r="AA671" s="537">
        <v>43812</v>
      </c>
      <c r="AB671" s="537">
        <v>43822</v>
      </c>
      <c r="AC671" s="537">
        <v>43868</v>
      </c>
      <c r="AD671" s="537">
        <v>43878</v>
      </c>
      <c r="AE671" s="1374" t="s">
        <v>1875</v>
      </c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</row>
    <row r="672" spans="1:45" ht="30">
      <c r="A672" s="9"/>
      <c r="B672" s="9"/>
      <c r="C672" s="537">
        <v>43647</v>
      </c>
      <c r="D672" s="1373" t="s">
        <v>5078</v>
      </c>
      <c r="E672" s="491" t="s">
        <v>58</v>
      </c>
      <c r="F672" s="491" t="s">
        <v>2684</v>
      </c>
      <c r="G672" s="571" t="s">
        <v>5079</v>
      </c>
      <c r="H672" s="491">
        <v>3</v>
      </c>
      <c r="I672" s="495" t="s">
        <v>5082</v>
      </c>
      <c r="J672" s="491"/>
      <c r="K672" s="491" t="s">
        <v>462</v>
      </c>
      <c r="L672" s="491" t="s">
        <v>4226</v>
      </c>
      <c r="M672" s="536">
        <v>2835700</v>
      </c>
      <c r="N672" s="491" t="s">
        <v>251</v>
      </c>
      <c r="O672" s="537">
        <v>43668</v>
      </c>
      <c r="P672" s="537">
        <v>43704</v>
      </c>
      <c r="Q672" s="537">
        <v>43768</v>
      </c>
      <c r="R672" s="491" t="s">
        <v>383</v>
      </c>
      <c r="S672" s="495"/>
      <c r="T672" s="536">
        <v>2818691.82</v>
      </c>
      <c r="U672" s="536">
        <v>3410617.11</v>
      </c>
      <c r="V672" s="1471"/>
      <c r="W672" s="1471"/>
      <c r="X672" s="1471"/>
      <c r="Y672" s="573">
        <v>43769</v>
      </c>
      <c r="Z672" s="1375" t="s">
        <v>5927</v>
      </c>
      <c r="AA672" s="537">
        <v>43816</v>
      </c>
      <c r="AB672" s="537">
        <v>43822</v>
      </c>
      <c r="AC672" s="537">
        <f>AA672+56</f>
        <v>43872</v>
      </c>
      <c r="AD672" s="537">
        <v>43885</v>
      </c>
      <c r="AE672" s="1374" t="s">
        <v>1875</v>
      </c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</row>
    <row r="673" spans="1:45" ht="30">
      <c r="A673" s="9"/>
      <c r="B673" s="9"/>
      <c r="C673" s="537">
        <v>43647</v>
      </c>
      <c r="D673" s="1373" t="s">
        <v>5078</v>
      </c>
      <c r="E673" s="491" t="s">
        <v>58</v>
      </c>
      <c r="F673" s="491" t="s">
        <v>2684</v>
      </c>
      <c r="G673" s="571" t="s">
        <v>5079</v>
      </c>
      <c r="H673" s="491">
        <v>4</v>
      </c>
      <c r="I673" s="495" t="s">
        <v>5083</v>
      </c>
      <c r="J673" s="491"/>
      <c r="K673" s="491" t="s">
        <v>462</v>
      </c>
      <c r="L673" s="491" t="s">
        <v>4227</v>
      </c>
      <c r="M673" s="536">
        <v>1194340</v>
      </c>
      <c r="N673" s="491" t="s">
        <v>251</v>
      </c>
      <c r="O673" s="537">
        <v>43668</v>
      </c>
      <c r="P673" s="537">
        <v>43704</v>
      </c>
      <c r="Q673" s="537">
        <v>43784</v>
      </c>
      <c r="R673" s="491" t="s">
        <v>5913</v>
      </c>
      <c r="S673" s="495"/>
      <c r="T673" s="536">
        <v>1149100</v>
      </c>
      <c r="U673" s="536">
        <f>T673*1.21</f>
        <v>1390411</v>
      </c>
      <c r="V673" s="1471"/>
      <c r="W673" s="1471"/>
      <c r="X673" s="1471"/>
      <c r="Y673" s="573">
        <v>43787</v>
      </c>
      <c r="Z673" s="1375" t="s">
        <v>6007</v>
      </c>
      <c r="AA673" s="537">
        <v>43812</v>
      </c>
      <c r="AB673" s="537">
        <v>43822</v>
      </c>
      <c r="AC673" s="537">
        <v>43868</v>
      </c>
      <c r="AD673" s="537">
        <v>43949</v>
      </c>
      <c r="AE673" s="1374" t="s">
        <v>1875</v>
      </c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</row>
    <row r="674" spans="1:45" ht="30">
      <c r="A674" s="9"/>
      <c r="B674" s="9"/>
      <c r="C674" s="537">
        <v>43647</v>
      </c>
      <c r="D674" s="1373" t="s">
        <v>5078</v>
      </c>
      <c r="E674" s="491" t="s">
        <v>58</v>
      </c>
      <c r="F674" s="491" t="s">
        <v>2684</v>
      </c>
      <c r="G674" s="571" t="s">
        <v>5079</v>
      </c>
      <c r="H674" s="491">
        <v>5</v>
      </c>
      <c r="I674" s="495" t="s">
        <v>5084</v>
      </c>
      <c r="J674" s="491"/>
      <c r="K674" s="491" t="s">
        <v>462</v>
      </c>
      <c r="L674" s="491" t="s">
        <v>4224</v>
      </c>
      <c r="M674" s="536">
        <v>960417</v>
      </c>
      <c r="N674" s="491" t="s">
        <v>251</v>
      </c>
      <c r="O674" s="537">
        <v>43668</v>
      </c>
      <c r="P674" s="537">
        <v>43704</v>
      </c>
      <c r="Q674" s="537">
        <v>43768</v>
      </c>
      <c r="R674" s="491" t="s">
        <v>5914</v>
      </c>
      <c r="S674" s="495"/>
      <c r="T674" s="536">
        <v>956583.94</v>
      </c>
      <c r="U674" s="536">
        <v>1157466.6000000001</v>
      </c>
      <c r="V674" s="1471"/>
      <c r="W674" s="1471"/>
      <c r="X674" s="1471"/>
      <c r="Y674" s="573">
        <v>43769</v>
      </c>
      <c r="Z674" s="1375" t="s">
        <v>5928</v>
      </c>
      <c r="AA674" s="537">
        <v>43812</v>
      </c>
      <c r="AB674" s="537">
        <v>43822</v>
      </c>
      <c r="AC674" s="537">
        <v>43868</v>
      </c>
      <c r="AD674" s="537">
        <v>43878</v>
      </c>
      <c r="AE674" s="1374" t="s">
        <v>1875</v>
      </c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</row>
    <row r="675" spans="1:45">
      <c r="A675" s="9"/>
      <c r="B675" s="9"/>
      <c r="C675" s="510">
        <v>43647</v>
      </c>
      <c r="D675" s="1382" t="s">
        <v>5078</v>
      </c>
      <c r="E675" s="506" t="s">
        <v>58</v>
      </c>
      <c r="F675" s="506" t="s">
        <v>2684</v>
      </c>
      <c r="G675" s="507" t="s">
        <v>5079</v>
      </c>
      <c r="H675" s="506">
        <v>6</v>
      </c>
      <c r="I675" s="548" t="s">
        <v>5085</v>
      </c>
      <c r="J675" s="506"/>
      <c r="K675" s="506" t="s">
        <v>462</v>
      </c>
      <c r="L675" s="506" t="s">
        <v>4223</v>
      </c>
      <c r="M675" s="511">
        <v>2224114</v>
      </c>
      <c r="N675" s="506" t="s">
        <v>251</v>
      </c>
      <c r="O675" s="510">
        <v>43668</v>
      </c>
      <c r="P675" s="510">
        <v>43704</v>
      </c>
      <c r="Q675" s="506"/>
      <c r="R675" s="514" t="s">
        <v>4830</v>
      </c>
      <c r="S675" s="548"/>
      <c r="T675" s="511"/>
      <c r="U675" s="511"/>
      <c r="V675" s="1470"/>
      <c r="W675" s="1470"/>
      <c r="X675" s="1470"/>
      <c r="Y675" s="511"/>
      <c r="Z675" s="511"/>
      <c r="AA675" s="506"/>
      <c r="AB675" s="510">
        <v>43795</v>
      </c>
      <c r="AC675" s="506" t="s">
        <v>5962</v>
      </c>
      <c r="AD675" s="506"/>
      <c r="AE675" s="506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</row>
    <row r="676" spans="1:45" ht="15.75" thickBot="1">
      <c r="A676" s="9"/>
      <c r="B676" s="9"/>
      <c r="C676" s="1414">
        <v>43647</v>
      </c>
      <c r="D676" s="1411" t="s">
        <v>5078</v>
      </c>
      <c r="E676" s="1410" t="s">
        <v>58</v>
      </c>
      <c r="F676" s="1410" t="s">
        <v>2684</v>
      </c>
      <c r="G676" s="1412" t="s">
        <v>5079</v>
      </c>
      <c r="H676" s="1410">
        <v>7</v>
      </c>
      <c r="I676" s="1430" t="s">
        <v>5086</v>
      </c>
      <c r="J676" s="1410"/>
      <c r="K676" s="1410" t="s">
        <v>462</v>
      </c>
      <c r="L676" s="1410" t="s">
        <v>4228</v>
      </c>
      <c r="M676" s="1413">
        <v>170114</v>
      </c>
      <c r="N676" s="1410" t="s">
        <v>251</v>
      </c>
      <c r="O676" s="1414">
        <v>43668</v>
      </c>
      <c r="P676" s="1414">
        <v>43704</v>
      </c>
      <c r="Q676" s="1410"/>
      <c r="R676" s="1740" t="s">
        <v>4830</v>
      </c>
      <c r="S676" s="1430"/>
      <c r="T676" s="1413"/>
      <c r="U676" s="1413"/>
      <c r="V676" s="1479"/>
      <c r="W676" s="1479"/>
      <c r="X676" s="1479"/>
      <c r="Y676" s="1413"/>
      <c r="Z676" s="1413"/>
      <c r="AA676" s="1410"/>
      <c r="AB676" s="1414">
        <v>43795</v>
      </c>
      <c r="AC676" s="1410" t="s">
        <v>5962</v>
      </c>
      <c r="AD676" s="1410"/>
      <c r="AE676" s="1410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</row>
    <row r="677" spans="1:45" ht="30.75" thickTop="1">
      <c r="A677" s="9"/>
      <c r="B677" s="9"/>
      <c r="C677" s="1750" t="s">
        <v>3585</v>
      </c>
      <c r="D677" s="1397" t="s">
        <v>5091</v>
      </c>
      <c r="E677" s="1750" t="s">
        <v>2434</v>
      </c>
      <c r="F677" s="1750" t="s">
        <v>219</v>
      </c>
      <c r="G677" s="175" t="s">
        <v>5092</v>
      </c>
      <c r="H677" s="1750"/>
      <c r="I677" s="1751"/>
      <c r="J677" s="1750"/>
      <c r="K677" s="1750" t="s">
        <v>642</v>
      </c>
      <c r="L677" s="1750"/>
      <c r="M677" s="364">
        <v>662084</v>
      </c>
      <c r="N677" s="1750" t="s">
        <v>112</v>
      </c>
      <c r="O677" s="365">
        <v>43676</v>
      </c>
      <c r="P677" s="365">
        <v>43683</v>
      </c>
      <c r="Q677" s="365">
        <v>43698</v>
      </c>
      <c r="R677" s="1791" t="s">
        <v>5266</v>
      </c>
      <c r="S677" s="1751"/>
      <c r="T677" s="364">
        <v>674408</v>
      </c>
      <c r="U677" s="364">
        <v>775569.2</v>
      </c>
      <c r="V677" s="1473"/>
      <c r="W677" s="1473"/>
      <c r="X677" s="1473"/>
      <c r="Y677" s="681">
        <v>43698</v>
      </c>
      <c r="Z677" s="1417" t="s">
        <v>5306</v>
      </c>
      <c r="AA677" s="365">
        <v>43735</v>
      </c>
      <c r="AB677" s="365">
        <v>43740</v>
      </c>
      <c r="AC677" s="365">
        <v>44465</v>
      </c>
      <c r="AD677" s="365">
        <v>43930</v>
      </c>
      <c r="AE677" s="365">
        <v>44285</v>
      </c>
      <c r="AF677" s="1560">
        <v>44637</v>
      </c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</row>
    <row r="678" spans="1:45">
      <c r="A678" s="9"/>
      <c r="B678" s="9"/>
      <c r="C678" s="510">
        <v>43650</v>
      </c>
      <c r="D678" s="1382" t="s">
        <v>5126</v>
      </c>
      <c r="E678" s="506" t="s">
        <v>58</v>
      </c>
      <c r="F678" s="506" t="s">
        <v>2684</v>
      </c>
      <c r="G678" s="507" t="s">
        <v>5127</v>
      </c>
      <c r="H678" s="506"/>
      <c r="I678" s="548"/>
      <c r="J678" s="506"/>
      <c r="K678" s="506" t="s">
        <v>792</v>
      </c>
      <c r="L678" s="506" t="s">
        <v>5128</v>
      </c>
      <c r="M678" s="511">
        <v>262000</v>
      </c>
      <c r="N678" s="506" t="s">
        <v>112</v>
      </c>
      <c r="O678" s="510">
        <v>43663</v>
      </c>
      <c r="P678" s="510">
        <v>43672</v>
      </c>
      <c r="Q678" s="506"/>
      <c r="R678" s="506" t="s">
        <v>4524</v>
      </c>
      <c r="S678" s="495" t="s">
        <v>5643</v>
      </c>
      <c r="T678" s="511"/>
      <c r="U678" s="511"/>
      <c r="V678" s="1470"/>
      <c r="W678" s="1470"/>
      <c r="X678" s="1470"/>
      <c r="Y678" s="511"/>
      <c r="Z678" s="511"/>
      <c r="AA678" s="506"/>
      <c r="AB678" s="510">
        <v>43696</v>
      </c>
      <c r="AC678" s="506"/>
      <c r="AD678" s="506"/>
      <c r="AE678" s="506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</row>
    <row r="679" spans="1:45">
      <c r="A679" s="9"/>
      <c r="B679" s="9"/>
      <c r="C679" s="537">
        <v>43654</v>
      </c>
      <c r="D679" s="1373" t="s">
        <v>5129</v>
      </c>
      <c r="E679" s="491" t="s">
        <v>4997</v>
      </c>
      <c r="F679" s="491" t="s">
        <v>167</v>
      </c>
      <c r="G679" s="571" t="s">
        <v>5130</v>
      </c>
      <c r="H679" s="491"/>
      <c r="I679" s="495"/>
      <c r="J679" s="491"/>
      <c r="K679" s="491" t="s">
        <v>5132</v>
      </c>
      <c r="L679" s="491" t="s">
        <v>5131</v>
      </c>
      <c r="M679" s="536">
        <v>300000</v>
      </c>
      <c r="N679" s="491" t="s">
        <v>112</v>
      </c>
      <c r="O679" s="537">
        <v>43668</v>
      </c>
      <c r="P679" s="537">
        <v>43677</v>
      </c>
      <c r="Q679" s="537">
        <v>43686</v>
      </c>
      <c r="R679" s="491" t="s">
        <v>5201</v>
      </c>
      <c r="S679" s="495"/>
      <c r="T679" s="536">
        <v>199000</v>
      </c>
      <c r="U679" s="536">
        <v>240790</v>
      </c>
      <c r="V679" s="1471"/>
      <c r="W679" s="1471"/>
      <c r="X679" s="1471"/>
      <c r="Y679" s="573">
        <v>43686</v>
      </c>
      <c r="Z679" s="536" t="s">
        <v>5200</v>
      </c>
      <c r="AA679" s="537">
        <v>43699</v>
      </c>
      <c r="AB679" s="537">
        <v>43703</v>
      </c>
      <c r="AC679" s="537">
        <f>AA679+40</f>
        <v>43739</v>
      </c>
      <c r="AD679" s="537">
        <v>44244</v>
      </c>
      <c r="AE679" s="1102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S679" s="9"/>
    </row>
    <row r="680" spans="1:45">
      <c r="A680" s="9"/>
      <c r="B680" s="9"/>
      <c r="C680" s="510">
        <v>43658</v>
      </c>
      <c r="D680" s="1382" t="s">
        <v>5140</v>
      </c>
      <c r="E680" s="506" t="s">
        <v>14</v>
      </c>
      <c r="F680" s="506" t="s">
        <v>1753</v>
      </c>
      <c r="G680" s="507" t="s">
        <v>544</v>
      </c>
      <c r="H680" s="506"/>
      <c r="I680" s="548"/>
      <c r="J680" s="506"/>
      <c r="K680" s="506" t="s">
        <v>545</v>
      </c>
      <c r="L680" s="506"/>
      <c r="M680" s="511">
        <v>550000</v>
      </c>
      <c r="N680" s="506" t="s">
        <v>112</v>
      </c>
      <c r="O680" s="510">
        <v>43670</v>
      </c>
      <c r="P680" s="510">
        <v>43679</v>
      </c>
      <c r="Q680" s="506"/>
      <c r="R680" s="514" t="s">
        <v>4830</v>
      </c>
      <c r="S680" s="1713" t="s">
        <v>5305</v>
      </c>
      <c r="T680" s="511"/>
      <c r="U680" s="511"/>
      <c r="V680" s="1470"/>
      <c r="W680" s="1470"/>
      <c r="X680" s="1470"/>
      <c r="Y680" s="511"/>
      <c r="Z680" s="511"/>
      <c r="AA680" s="506"/>
      <c r="AB680" s="510">
        <v>43697</v>
      </c>
      <c r="AC680" s="506"/>
      <c r="AD680" s="506"/>
      <c r="AE680" s="1396"/>
      <c r="AF680" s="1351"/>
      <c r="AG680" s="390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</row>
    <row r="681" spans="1:45">
      <c r="A681" s="9"/>
      <c r="B681" s="9"/>
      <c r="C681" s="537">
        <v>43658</v>
      </c>
      <c r="D681" s="1373" t="s">
        <v>5141</v>
      </c>
      <c r="E681" s="491" t="s">
        <v>52</v>
      </c>
      <c r="F681" s="491" t="s">
        <v>3981</v>
      </c>
      <c r="G681" s="571" t="s">
        <v>5142</v>
      </c>
      <c r="H681" s="491"/>
      <c r="I681" s="495"/>
      <c r="J681" s="491"/>
      <c r="K681" s="491" t="s">
        <v>332</v>
      </c>
      <c r="L681" s="491" t="s">
        <v>5143</v>
      </c>
      <c r="M681" s="536">
        <v>1500000</v>
      </c>
      <c r="N681" s="491" t="s">
        <v>112</v>
      </c>
      <c r="O681" s="537">
        <v>43671</v>
      </c>
      <c r="P681" s="537">
        <v>43683</v>
      </c>
      <c r="Q681" s="537">
        <v>43686</v>
      </c>
      <c r="R681" s="491" t="s">
        <v>3500</v>
      </c>
      <c r="S681" s="495"/>
      <c r="T681" s="536">
        <v>1850000</v>
      </c>
      <c r="U681" s="536">
        <v>2238500</v>
      </c>
      <c r="V681" s="1471"/>
      <c r="W681" s="1471"/>
      <c r="X681" s="1471"/>
      <c r="Y681" s="573">
        <v>43686</v>
      </c>
      <c r="Z681" s="536" t="s">
        <v>5202</v>
      </c>
      <c r="AA681" s="537">
        <v>43726</v>
      </c>
      <c r="AB681" s="537">
        <v>43727</v>
      </c>
      <c r="AC681" s="537">
        <f>AA681+180</f>
        <v>43906</v>
      </c>
      <c r="AD681" s="1525">
        <v>44039</v>
      </c>
      <c r="AE681" s="1102" t="s">
        <v>6303</v>
      </c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</row>
    <row r="682" spans="1:45">
      <c r="A682" s="9"/>
      <c r="B682" s="9"/>
      <c r="C682" s="537">
        <v>43663</v>
      </c>
      <c r="D682" s="1373" t="s">
        <v>5144</v>
      </c>
      <c r="E682" s="491" t="s">
        <v>4106</v>
      </c>
      <c r="F682" s="491" t="s">
        <v>2731</v>
      </c>
      <c r="G682" s="571" t="s">
        <v>5145</v>
      </c>
      <c r="H682" s="491"/>
      <c r="I682" s="495"/>
      <c r="J682" s="491"/>
      <c r="K682" s="491" t="s">
        <v>5146</v>
      </c>
      <c r="L682" s="491"/>
      <c r="M682" s="536">
        <v>800000</v>
      </c>
      <c r="N682" s="491" t="s">
        <v>112</v>
      </c>
      <c r="O682" s="537">
        <v>43706</v>
      </c>
      <c r="P682" s="537">
        <v>43721</v>
      </c>
      <c r="Q682" s="537">
        <v>43727</v>
      </c>
      <c r="R682" s="491" t="s">
        <v>5632</v>
      </c>
      <c r="S682" s="495"/>
      <c r="T682" s="536">
        <v>1194000</v>
      </c>
      <c r="U682" s="536">
        <v>1444788</v>
      </c>
      <c r="V682" s="1471"/>
      <c r="W682" s="1471"/>
      <c r="X682" s="1471"/>
      <c r="Y682" s="573">
        <v>43727</v>
      </c>
      <c r="Z682" s="536" t="s">
        <v>5650</v>
      </c>
      <c r="AA682" s="537">
        <v>43753</v>
      </c>
      <c r="AB682" s="537">
        <v>43756</v>
      </c>
      <c r="AC682" s="491" t="s">
        <v>4096</v>
      </c>
      <c r="AD682" s="1525">
        <v>44865</v>
      </c>
      <c r="AE682" s="1102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</row>
    <row r="683" spans="1:45" ht="30.75" thickBot="1">
      <c r="A683" s="9"/>
      <c r="B683" s="9"/>
      <c r="C683" s="416" t="s">
        <v>3585</v>
      </c>
      <c r="D683" s="1468" t="s">
        <v>5147</v>
      </c>
      <c r="E683" s="411" t="s">
        <v>58</v>
      </c>
      <c r="F683" s="411" t="s">
        <v>2684</v>
      </c>
      <c r="G683" s="412" t="s">
        <v>5148</v>
      </c>
      <c r="H683" s="411"/>
      <c r="I683" s="630"/>
      <c r="J683" s="411"/>
      <c r="K683" s="411" t="s">
        <v>77</v>
      </c>
      <c r="L683" s="411" t="s">
        <v>5149</v>
      </c>
      <c r="M683" s="417">
        <v>2450000</v>
      </c>
      <c r="N683" s="411" t="s">
        <v>216</v>
      </c>
      <c r="O683" s="416">
        <v>43671</v>
      </c>
      <c r="P683" s="416">
        <v>43693</v>
      </c>
      <c r="Q683" s="416">
        <v>43726</v>
      </c>
      <c r="R683" s="411" t="s">
        <v>993</v>
      </c>
      <c r="S683" s="630"/>
      <c r="T683" s="417">
        <v>1688707.5</v>
      </c>
      <c r="U683" s="417">
        <v>2043336.08</v>
      </c>
      <c r="V683" s="1480"/>
      <c r="W683" s="1480"/>
      <c r="X683" s="1480"/>
      <c r="Y683" s="513">
        <v>43727</v>
      </c>
      <c r="Z683" s="1553" t="s">
        <v>5651</v>
      </c>
      <c r="AA683" s="416">
        <v>43763</v>
      </c>
      <c r="AB683" s="416">
        <v>43776</v>
      </c>
      <c r="AC683" s="416">
        <f>AA683+28</f>
        <v>43791</v>
      </c>
      <c r="AD683" s="416">
        <v>43850</v>
      </c>
      <c r="AE683" s="422" t="s">
        <v>1875</v>
      </c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</row>
    <row r="684" spans="1:45" ht="15.75" thickTop="1">
      <c r="A684" s="9"/>
      <c r="B684" s="9"/>
      <c r="C684" s="428">
        <v>43669</v>
      </c>
      <c r="D684" s="1358" t="s">
        <v>5151</v>
      </c>
      <c r="E684" s="425" t="s">
        <v>69</v>
      </c>
      <c r="F684" s="425" t="s">
        <v>70</v>
      </c>
      <c r="G684" s="426" t="s">
        <v>5152</v>
      </c>
      <c r="H684" s="425">
        <v>1</v>
      </c>
      <c r="I684" s="1371" t="s">
        <v>4873</v>
      </c>
      <c r="J684" s="583"/>
      <c r="K684" s="425" t="s">
        <v>68</v>
      </c>
      <c r="L684" s="425"/>
      <c r="M684" s="429">
        <v>2143890</v>
      </c>
      <c r="N684" s="425" t="s">
        <v>251</v>
      </c>
      <c r="O684" s="428">
        <v>43678</v>
      </c>
      <c r="P684" s="428">
        <v>43796</v>
      </c>
      <c r="Q684" s="428"/>
      <c r="R684" s="425" t="s">
        <v>6076</v>
      </c>
      <c r="S684" s="1371"/>
      <c r="T684" s="429">
        <v>2143890</v>
      </c>
      <c r="U684" s="429">
        <v>2358279</v>
      </c>
      <c r="V684" s="1483"/>
      <c r="W684" s="1483"/>
      <c r="X684" s="1483"/>
      <c r="Y684" s="429"/>
      <c r="Z684" s="429"/>
      <c r="AA684" s="425"/>
      <c r="AB684" s="425"/>
      <c r="AC684" s="425"/>
      <c r="AD684" s="425"/>
      <c r="AE684" s="425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</row>
    <row r="685" spans="1:45">
      <c r="A685" s="9"/>
      <c r="B685" s="9"/>
      <c r="C685" s="544">
        <v>43669</v>
      </c>
      <c r="D685" s="1357" t="s">
        <v>5151</v>
      </c>
      <c r="E685" s="540" t="s">
        <v>69</v>
      </c>
      <c r="F685" s="540" t="s">
        <v>70</v>
      </c>
      <c r="G685" s="541" t="s">
        <v>5152</v>
      </c>
      <c r="H685" s="540">
        <v>2</v>
      </c>
      <c r="I685" s="1402" t="s">
        <v>4874</v>
      </c>
      <c r="J685" s="590"/>
      <c r="K685" s="540" t="s">
        <v>68</v>
      </c>
      <c r="L685" s="540"/>
      <c r="M685" s="545">
        <v>3103225</v>
      </c>
      <c r="N685" s="540" t="s">
        <v>251</v>
      </c>
      <c r="O685" s="544">
        <v>43678</v>
      </c>
      <c r="P685" s="544">
        <v>43796</v>
      </c>
      <c r="Q685" s="544"/>
      <c r="R685" s="540" t="s">
        <v>5566</v>
      </c>
      <c r="S685" s="1402"/>
      <c r="T685" s="545">
        <v>3153926.88</v>
      </c>
      <c r="U685" s="545">
        <v>3469319.57</v>
      </c>
      <c r="V685" s="1484"/>
      <c r="W685" s="1484"/>
      <c r="X685" s="1484"/>
      <c r="Y685" s="545"/>
      <c r="Z685" s="545"/>
      <c r="AA685" s="540"/>
      <c r="AB685" s="540"/>
      <c r="AC685" s="540"/>
      <c r="AD685" s="540"/>
      <c r="AE685" s="540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</row>
    <row r="686" spans="1:45" ht="15.75" thickBot="1">
      <c r="A686" s="9"/>
      <c r="B686" s="9"/>
      <c r="C686" s="1414">
        <v>43669</v>
      </c>
      <c r="D686" s="1411" t="s">
        <v>5151</v>
      </c>
      <c r="E686" s="1410" t="s">
        <v>69</v>
      </c>
      <c r="F686" s="1410" t="s">
        <v>70</v>
      </c>
      <c r="G686" s="1412" t="s">
        <v>5152</v>
      </c>
      <c r="H686" s="1410">
        <v>3</v>
      </c>
      <c r="I686" s="1430" t="s">
        <v>4875</v>
      </c>
      <c r="J686" s="1410"/>
      <c r="K686" s="1410" t="s">
        <v>68</v>
      </c>
      <c r="L686" s="1410"/>
      <c r="M686" s="1413">
        <v>406262</v>
      </c>
      <c r="N686" s="1410" t="s">
        <v>251</v>
      </c>
      <c r="O686" s="1414">
        <v>43678</v>
      </c>
      <c r="P686" s="1414">
        <v>43796</v>
      </c>
      <c r="Q686" s="1410"/>
      <c r="R686" s="1740" t="s">
        <v>304</v>
      </c>
      <c r="S686" s="1430"/>
      <c r="T686" s="1413"/>
      <c r="U686" s="1413"/>
      <c r="V686" s="1479"/>
      <c r="W686" s="1479"/>
      <c r="X686" s="1479"/>
      <c r="Y686" s="1413"/>
      <c r="Z686" s="1413"/>
      <c r="AA686" s="1410"/>
      <c r="AB686" s="1414">
        <v>43829</v>
      </c>
      <c r="AC686" s="1410" t="s">
        <v>6099</v>
      </c>
      <c r="AD686" s="1410"/>
      <c r="AE686" s="1410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</row>
    <row r="687" spans="1:45" ht="15.75" thickTop="1">
      <c r="A687" s="9"/>
      <c r="B687" s="9"/>
      <c r="C687" s="470">
        <v>43668</v>
      </c>
      <c r="D687" s="1515" t="s">
        <v>5153</v>
      </c>
      <c r="E687" s="466" t="s">
        <v>69</v>
      </c>
      <c r="F687" s="466" t="s">
        <v>70</v>
      </c>
      <c r="G687" s="467" t="s">
        <v>5154</v>
      </c>
      <c r="H687" s="466">
        <v>1</v>
      </c>
      <c r="I687" s="654" t="s">
        <v>5155</v>
      </c>
      <c r="J687" s="466"/>
      <c r="K687" s="466" t="s">
        <v>93</v>
      </c>
      <c r="L687" s="466"/>
      <c r="M687" s="472">
        <v>5566000</v>
      </c>
      <c r="N687" s="466" t="s">
        <v>251</v>
      </c>
      <c r="O687" s="470">
        <v>43711</v>
      </c>
      <c r="P687" s="470">
        <v>43747</v>
      </c>
      <c r="Q687" s="466"/>
      <c r="R687" s="1171" t="s">
        <v>4830</v>
      </c>
      <c r="S687" s="654"/>
      <c r="T687" s="472"/>
      <c r="U687" s="472"/>
      <c r="V687" s="1516"/>
      <c r="W687" s="1516"/>
      <c r="X687" s="1516"/>
      <c r="Y687" s="472"/>
      <c r="Z687" s="472"/>
      <c r="AA687" s="466"/>
      <c r="AB687" s="470">
        <v>43781</v>
      </c>
      <c r="AC687" s="466" t="s">
        <v>5963</v>
      </c>
      <c r="AD687" s="466"/>
      <c r="AE687" s="466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</row>
    <row r="688" spans="1:45" ht="30">
      <c r="A688" s="9"/>
      <c r="B688" s="9"/>
      <c r="C688" s="491" t="s">
        <v>3585</v>
      </c>
      <c r="D688" s="1373" t="s">
        <v>5158</v>
      </c>
      <c r="E688" s="491" t="s">
        <v>58</v>
      </c>
      <c r="F688" s="491" t="s">
        <v>2684</v>
      </c>
      <c r="G688" s="571" t="s">
        <v>5159</v>
      </c>
      <c r="H688" s="491"/>
      <c r="I688" s="495"/>
      <c r="J688" s="491"/>
      <c r="K688" s="491" t="s">
        <v>753</v>
      </c>
      <c r="L688" s="491" t="s">
        <v>4242</v>
      </c>
      <c r="M688" s="536">
        <v>513868</v>
      </c>
      <c r="N688" s="491" t="s">
        <v>112</v>
      </c>
      <c r="O688" s="537">
        <v>43672</v>
      </c>
      <c r="P688" s="537">
        <v>43683</v>
      </c>
      <c r="Q688" s="537">
        <v>43704</v>
      </c>
      <c r="R688" s="491" t="s">
        <v>5285</v>
      </c>
      <c r="S688" s="495"/>
      <c r="T688" s="536">
        <v>650223</v>
      </c>
      <c r="U688" s="536">
        <v>786769.83</v>
      </c>
      <c r="V688" s="1471"/>
      <c r="W688" s="1471"/>
      <c r="X688" s="1471"/>
      <c r="Y688" s="573">
        <v>43674</v>
      </c>
      <c r="Z688" s="1375" t="s">
        <v>5390</v>
      </c>
      <c r="AA688" s="537">
        <v>43738</v>
      </c>
      <c r="AB688" s="537">
        <v>43739</v>
      </c>
      <c r="AC688" s="537">
        <f>AA688+21</f>
        <v>43759</v>
      </c>
      <c r="AD688" s="537">
        <v>43815</v>
      </c>
      <c r="AE688" s="1374" t="s">
        <v>1875</v>
      </c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</row>
    <row r="689" spans="1:45">
      <c r="A689" s="9"/>
      <c r="B689" s="9"/>
      <c r="C689" s="510">
        <v>43664</v>
      </c>
      <c r="D689" s="1382" t="s">
        <v>5161</v>
      </c>
      <c r="E689" s="506" t="s">
        <v>58</v>
      </c>
      <c r="F689" s="506" t="s">
        <v>2684</v>
      </c>
      <c r="G689" s="507" t="s">
        <v>5162</v>
      </c>
      <c r="H689" s="506"/>
      <c r="I689" s="548"/>
      <c r="J689" s="506"/>
      <c r="K689" s="506"/>
      <c r="L689" s="506" t="s">
        <v>5163</v>
      </c>
      <c r="M689" s="511">
        <v>656000</v>
      </c>
      <c r="N689" s="506" t="s">
        <v>112</v>
      </c>
      <c r="O689" s="510">
        <v>43676</v>
      </c>
      <c r="P689" s="510">
        <v>43693</v>
      </c>
      <c r="Q689" s="506"/>
      <c r="R689" s="514" t="s">
        <v>4830</v>
      </c>
      <c r="S689" s="1719" t="s">
        <v>4711</v>
      </c>
      <c r="T689" s="511"/>
      <c r="U689" s="511"/>
      <c r="V689" s="1470"/>
      <c r="W689" s="1470"/>
      <c r="X689" s="1470"/>
      <c r="Y689" s="511"/>
      <c r="Z689" s="511"/>
      <c r="AA689" s="506"/>
      <c r="AB689" s="510">
        <v>43690</v>
      </c>
      <c r="AC689" s="506"/>
      <c r="AD689" s="506"/>
      <c r="AE689" s="506"/>
      <c r="AG689" s="390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</row>
    <row r="690" spans="1:45" ht="30">
      <c r="A690" s="9"/>
      <c r="B690" s="9"/>
      <c r="C690" s="491" t="s">
        <v>3585</v>
      </c>
      <c r="D690" s="1373" t="s">
        <v>5165</v>
      </c>
      <c r="E690" s="491" t="s">
        <v>1700</v>
      </c>
      <c r="F690" s="491" t="s">
        <v>6206</v>
      </c>
      <c r="G690" s="571" t="s">
        <v>5166</v>
      </c>
      <c r="H690" s="491"/>
      <c r="I690" s="495"/>
      <c r="J690" s="590"/>
      <c r="K690" s="491" t="s">
        <v>2614</v>
      </c>
      <c r="L690" s="491"/>
      <c r="M690" s="536">
        <v>957090.9</v>
      </c>
      <c r="N690" s="491" t="s">
        <v>251</v>
      </c>
      <c r="O690" s="537">
        <v>43693</v>
      </c>
      <c r="P690" s="537">
        <v>43749</v>
      </c>
      <c r="Q690" s="537">
        <v>43754</v>
      </c>
      <c r="R690" s="491" t="s">
        <v>3939</v>
      </c>
      <c r="S690" s="495"/>
      <c r="T690" s="536">
        <v>954500</v>
      </c>
      <c r="U690" s="536">
        <v>1154945</v>
      </c>
      <c r="V690" s="1484"/>
      <c r="W690" s="1484"/>
      <c r="X690" s="1484"/>
      <c r="Y690" s="573">
        <v>43755</v>
      </c>
      <c r="Z690" s="1375" t="s">
        <v>5835</v>
      </c>
      <c r="AA690" s="537">
        <v>43788</v>
      </c>
      <c r="AB690" s="537">
        <v>43795</v>
      </c>
      <c r="AC690" s="537">
        <f>AA690+56</f>
        <v>43844</v>
      </c>
      <c r="AD690" s="537">
        <v>43900</v>
      </c>
      <c r="AE690" s="1374" t="s">
        <v>1875</v>
      </c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</row>
    <row r="691" spans="1:45">
      <c r="A691" s="9"/>
      <c r="B691" s="9"/>
      <c r="C691" s="537">
        <v>43664</v>
      </c>
      <c r="D691" s="1373" t="s">
        <v>5170</v>
      </c>
      <c r="E691" s="491" t="s">
        <v>58</v>
      </c>
      <c r="F691" s="491" t="s">
        <v>55</v>
      </c>
      <c r="G691" s="571" t="s">
        <v>5171</v>
      </c>
      <c r="H691" s="491"/>
      <c r="I691" s="495"/>
      <c r="J691" s="491"/>
      <c r="K691" s="491" t="s">
        <v>2550</v>
      </c>
      <c r="L691" s="491" t="s">
        <v>4257</v>
      </c>
      <c r="M691" s="536">
        <v>320000</v>
      </c>
      <c r="N691" s="491" t="s">
        <v>112</v>
      </c>
      <c r="O691" s="537">
        <v>43677</v>
      </c>
      <c r="P691" s="537">
        <v>43684</v>
      </c>
      <c r="Q691" s="537">
        <v>43686</v>
      </c>
      <c r="R691" s="491" t="s">
        <v>5214</v>
      </c>
      <c r="S691" s="495"/>
      <c r="T691" s="536">
        <v>318345</v>
      </c>
      <c r="U691" s="536">
        <v>385197</v>
      </c>
      <c r="V691" s="1471"/>
      <c r="W691" s="1471"/>
      <c r="X691" s="1471"/>
      <c r="Y691" s="573">
        <v>43686</v>
      </c>
      <c r="Z691" s="536" t="s">
        <v>5213</v>
      </c>
      <c r="AA691" s="537">
        <v>43697</v>
      </c>
      <c r="AB691" s="537">
        <v>43699</v>
      </c>
      <c r="AC691" s="537">
        <f>AA691+40</f>
        <v>43737</v>
      </c>
      <c r="AD691" s="537">
        <v>43773</v>
      </c>
      <c r="AE691" s="1102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S691" s="9"/>
    </row>
    <row r="692" spans="1:45">
      <c r="A692" s="9"/>
      <c r="B692" s="9"/>
      <c r="C692" s="491" t="s">
        <v>3585</v>
      </c>
      <c r="D692" s="1373" t="s">
        <v>5172</v>
      </c>
      <c r="E692" s="491" t="s">
        <v>702</v>
      </c>
      <c r="F692" s="491" t="s">
        <v>751</v>
      </c>
      <c r="G692" s="571" t="s">
        <v>5322</v>
      </c>
      <c r="H692" s="491"/>
      <c r="I692" s="495"/>
      <c r="J692" s="491"/>
      <c r="K692" s="491" t="s">
        <v>42</v>
      </c>
      <c r="L692" s="491"/>
      <c r="M692" s="536">
        <v>1950000</v>
      </c>
      <c r="N692" s="491" t="s">
        <v>112</v>
      </c>
      <c r="O692" s="537">
        <v>43706</v>
      </c>
      <c r="P692" s="537">
        <v>43717</v>
      </c>
      <c r="Q692" s="537">
        <v>43775</v>
      </c>
      <c r="R692" s="491" t="s">
        <v>2835</v>
      </c>
      <c r="S692" s="495"/>
      <c r="T692" s="536">
        <v>1959000</v>
      </c>
      <c r="U692" s="536">
        <f>T692*1.21</f>
        <v>2370390</v>
      </c>
      <c r="V692" s="1471"/>
      <c r="W692" s="1471"/>
      <c r="X692" s="1471"/>
      <c r="Y692" s="573">
        <v>43775</v>
      </c>
      <c r="Z692" s="536" t="s">
        <v>5952</v>
      </c>
      <c r="AA692" s="537">
        <v>43809</v>
      </c>
      <c r="AB692" s="537">
        <v>43815</v>
      </c>
      <c r="AC692" s="537">
        <v>43921</v>
      </c>
      <c r="AD692" s="537">
        <v>44063</v>
      </c>
      <c r="AE692" s="1102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</row>
    <row r="693" spans="1:45" ht="30">
      <c r="A693" s="9"/>
      <c r="B693" s="9"/>
      <c r="C693" s="537">
        <v>43664</v>
      </c>
      <c r="D693" s="1373" t="s">
        <v>5173</v>
      </c>
      <c r="E693" s="491" t="s">
        <v>58</v>
      </c>
      <c r="F693" s="491" t="s">
        <v>2684</v>
      </c>
      <c r="G693" s="571" t="s">
        <v>5174</v>
      </c>
      <c r="H693" s="491"/>
      <c r="I693" s="495"/>
      <c r="J693" s="491"/>
      <c r="K693" s="491" t="s">
        <v>86</v>
      </c>
      <c r="L693" s="491" t="s">
        <v>5175</v>
      </c>
      <c r="M693" s="536">
        <v>400000</v>
      </c>
      <c r="N693" s="491" t="s">
        <v>112</v>
      </c>
      <c r="O693" s="537">
        <v>43676</v>
      </c>
      <c r="P693" s="537">
        <v>43684</v>
      </c>
      <c r="Q693" s="537">
        <v>43733</v>
      </c>
      <c r="R693" s="491" t="s">
        <v>5726</v>
      </c>
      <c r="S693" s="495"/>
      <c r="T693" s="536">
        <v>319340</v>
      </c>
      <c r="U693" s="536">
        <f>T693*1.21</f>
        <v>386401.39999999997</v>
      </c>
      <c r="V693" s="1471"/>
      <c r="W693" s="1471"/>
      <c r="X693" s="1471"/>
      <c r="Y693" s="573">
        <v>43734</v>
      </c>
      <c r="Z693" s="1375" t="s">
        <v>5727</v>
      </c>
      <c r="AA693" s="537">
        <v>43802</v>
      </c>
      <c r="AB693" s="537">
        <v>43810</v>
      </c>
      <c r="AC693" s="537">
        <f>AA693+42</f>
        <v>43844</v>
      </c>
      <c r="AD693" s="537">
        <v>44244</v>
      </c>
      <c r="AE693" s="1374" t="s">
        <v>1875</v>
      </c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</row>
    <row r="694" spans="1:45" ht="30">
      <c r="A694" s="9"/>
      <c r="B694" s="9"/>
      <c r="C694" s="537">
        <v>43671</v>
      </c>
      <c r="D694" s="1373" t="s">
        <v>5177</v>
      </c>
      <c r="E694" s="491" t="s">
        <v>58</v>
      </c>
      <c r="F694" s="491" t="s">
        <v>2684</v>
      </c>
      <c r="G694" s="571" t="s">
        <v>5182</v>
      </c>
      <c r="H694" s="491">
        <v>1</v>
      </c>
      <c r="I694" s="495" t="s">
        <v>5178</v>
      </c>
      <c r="J694" s="491"/>
      <c r="K694" s="491"/>
      <c r="L694" s="491" t="s">
        <v>5179</v>
      </c>
      <c r="M694" s="536">
        <v>2040000</v>
      </c>
      <c r="N694" s="491" t="s">
        <v>251</v>
      </c>
      <c r="O694" s="537">
        <v>43676</v>
      </c>
      <c r="P694" s="537">
        <v>43712</v>
      </c>
      <c r="Q694" s="537">
        <v>43749</v>
      </c>
      <c r="R694" s="491" t="s">
        <v>5809</v>
      </c>
      <c r="S694" s="495"/>
      <c r="T694" s="536">
        <v>2047900</v>
      </c>
      <c r="U694" s="536">
        <v>2477959</v>
      </c>
      <c r="V694" s="1471"/>
      <c r="W694" s="1471"/>
      <c r="X694" s="1471"/>
      <c r="Y694" s="573">
        <v>43752</v>
      </c>
      <c r="Z694" s="1375" t="s">
        <v>5820</v>
      </c>
      <c r="AA694" s="537">
        <v>43775</v>
      </c>
      <c r="AB694" s="537">
        <v>43777</v>
      </c>
      <c r="AC694" s="537">
        <f>AA694+70</f>
        <v>43845</v>
      </c>
      <c r="AD694" s="537">
        <v>43900</v>
      </c>
      <c r="AE694" s="1374" t="s">
        <v>1875</v>
      </c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</row>
    <row r="695" spans="1:45" ht="30.75" thickBot="1">
      <c r="A695" s="9"/>
      <c r="B695" s="9"/>
      <c r="C695" s="416">
        <v>43671</v>
      </c>
      <c r="D695" s="1468" t="s">
        <v>5177</v>
      </c>
      <c r="E695" s="411" t="s">
        <v>58</v>
      </c>
      <c r="F695" s="411" t="s">
        <v>2684</v>
      </c>
      <c r="G695" s="412" t="s">
        <v>5182</v>
      </c>
      <c r="H695" s="411">
        <v>2</v>
      </c>
      <c r="I695" s="630" t="s">
        <v>5181</v>
      </c>
      <c r="J695" s="411"/>
      <c r="K695" s="411"/>
      <c r="L695" s="411" t="s">
        <v>5180</v>
      </c>
      <c r="M695" s="417">
        <v>3000000</v>
      </c>
      <c r="N695" s="411" t="s">
        <v>251</v>
      </c>
      <c r="O695" s="416">
        <v>43676</v>
      </c>
      <c r="P695" s="416">
        <v>43712</v>
      </c>
      <c r="Q695" s="416">
        <v>43749</v>
      </c>
      <c r="R695" s="411" t="s">
        <v>5810</v>
      </c>
      <c r="S695" s="630"/>
      <c r="T695" s="417">
        <v>2913800</v>
      </c>
      <c r="U695" s="417">
        <v>3525698</v>
      </c>
      <c r="V695" s="1480"/>
      <c r="W695" s="1480"/>
      <c r="X695" s="1480"/>
      <c r="Y695" s="513">
        <v>43752</v>
      </c>
      <c r="Z695" s="1553" t="s">
        <v>5821</v>
      </c>
      <c r="AA695" s="416">
        <v>43775</v>
      </c>
      <c r="AB695" s="416">
        <v>43777</v>
      </c>
      <c r="AC695" s="416">
        <f>AA695+56</f>
        <v>43831</v>
      </c>
      <c r="AD695" s="416">
        <v>43871</v>
      </c>
      <c r="AE695" s="422" t="s">
        <v>1875</v>
      </c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</row>
    <row r="696" spans="1:45" s="390" customFormat="1" ht="15.75" thickTop="1">
      <c r="C696" s="474">
        <v>43650</v>
      </c>
      <c r="D696" s="1383" t="s">
        <v>5215</v>
      </c>
      <c r="E696" s="453" t="s">
        <v>14</v>
      </c>
      <c r="F696" s="453" t="s">
        <v>13</v>
      </c>
      <c r="G696" s="473" t="s">
        <v>5216</v>
      </c>
      <c r="H696" s="453">
        <v>1</v>
      </c>
      <c r="I696" s="1420" t="s">
        <v>5221</v>
      </c>
      <c r="J696" s="453"/>
      <c r="K696" s="453" t="s">
        <v>1891</v>
      </c>
      <c r="L696" s="453"/>
      <c r="M696" s="457">
        <v>1780800</v>
      </c>
      <c r="N696" s="453" t="s">
        <v>251</v>
      </c>
      <c r="O696" s="474">
        <v>43718</v>
      </c>
      <c r="P696" s="474">
        <v>43752</v>
      </c>
      <c r="Q696" s="474">
        <v>43775</v>
      </c>
      <c r="R696" s="453" t="s">
        <v>3999</v>
      </c>
      <c r="S696" s="1420"/>
      <c r="T696" s="457">
        <v>1780800</v>
      </c>
      <c r="U696" s="457">
        <f>T696*1.21</f>
        <v>2154768</v>
      </c>
      <c r="V696" s="1474"/>
      <c r="W696" s="1474"/>
      <c r="X696" s="1474"/>
      <c r="Y696" s="570">
        <v>43775</v>
      </c>
      <c r="Z696" s="457" t="s">
        <v>5953</v>
      </c>
      <c r="AA696" s="474">
        <v>43798</v>
      </c>
      <c r="AB696" s="474">
        <v>43803</v>
      </c>
      <c r="AC696" s="453" t="s">
        <v>4096</v>
      </c>
      <c r="AD696" s="474">
        <v>43913</v>
      </c>
      <c r="AE696" s="1841">
        <v>44865</v>
      </c>
      <c r="AF696" s="360"/>
      <c r="AG696" s="360"/>
      <c r="AH696" s="360"/>
      <c r="AI696" s="360"/>
    </row>
    <row r="697" spans="1:45" s="390" customFormat="1">
      <c r="C697" s="537">
        <v>43650</v>
      </c>
      <c r="D697" s="1373" t="s">
        <v>5215</v>
      </c>
      <c r="E697" s="491" t="s">
        <v>14</v>
      </c>
      <c r="F697" s="491" t="s">
        <v>13</v>
      </c>
      <c r="G697" s="571" t="s">
        <v>5216</v>
      </c>
      <c r="H697" s="491">
        <v>2</v>
      </c>
      <c r="I697" s="495" t="s">
        <v>5220</v>
      </c>
      <c r="J697" s="491"/>
      <c r="K697" s="491" t="s">
        <v>1891</v>
      </c>
      <c r="L697" s="491"/>
      <c r="M697" s="536">
        <v>964800</v>
      </c>
      <c r="N697" s="491" t="s">
        <v>251</v>
      </c>
      <c r="O697" s="537">
        <v>43718</v>
      </c>
      <c r="P697" s="537">
        <v>43752</v>
      </c>
      <c r="Q697" s="537">
        <v>43775</v>
      </c>
      <c r="R697" s="491" t="s">
        <v>3999</v>
      </c>
      <c r="S697" s="495"/>
      <c r="T697" s="536">
        <v>964800</v>
      </c>
      <c r="U697" s="536">
        <f>T697*1.21</f>
        <v>1167408</v>
      </c>
      <c r="V697" s="1471"/>
      <c r="W697" s="1471"/>
      <c r="X697" s="1471"/>
      <c r="Y697" s="573">
        <v>43775</v>
      </c>
      <c r="Z697" s="536" t="s">
        <v>5954</v>
      </c>
      <c r="AA697" s="537">
        <v>43798</v>
      </c>
      <c r="AB697" s="537">
        <v>43803</v>
      </c>
      <c r="AC697" s="491" t="s">
        <v>4096</v>
      </c>
      <c r="AD697" s="537">
        <v>43913</v>
      </c>
      <c r="AE697" s="1525">
        <v>44865</v>
      </c>
      <c r="AF697" s="360"/>
      <c r="AG697" s="360"/>
      <c r="AH697" s="360"/>
      <c r="AI697" s="360"/>
    </row>
    <row r="698" spans="1:45" s="390" customFormat="1">
      <c r="C698" s="537">
        <v>43650</v>
      </c>
      <c r="D698" s="1373" t="s">
        <v>5215</v>
      </c>
      <c r="E698" s="491" t="s">
        <v>14</v>
      </c>
      <c r="F698" s="491" t="s">
        <v>13</v>
      </c>
      <c r="G698" s="571" t="s">
        <v>5216</v>
      </c>
      <c r="H698" s="491">
        <v>3</v>
      </c>
      <c r="I698" s="495" t="s">
        <v>5219</v>
      </c>
      <c r="J698" s="491"/>
      <c r="K698" s="491" t="s">
        <v>1891</v>
      </c>
      <c r="L698" s="491"/>
      <c r="M698" s="536">
        <v>189360</v>
      </c>
      <c r="N698" s="491" t="s">
        <v>251</v>
      </c>
      <c r="O698" s="537">
        <v>43718</v>
      </c>
      <c r="P698" s="537">
        <v>43752</v>
      </c>
      <c r="Q698" s="537">
        <v>43775</v>
      </c>
      <c r="R698" s="491" t="s">
        <v>3999</v>
      </c>
      <c r="S698" s="495"/>
      <c r="T698" s="536">
        <v>189360</v>
      </c>
      <c r="U698" s="536">
        <f>T698*1.21</f>
        <v>229125.6</v>
      </c>
      <c r="V698" s="1471"/>
      <c r="W698" s="1471"/>
      <c r="X698" s="1471"/>
      <c r="Y698" s="573">
        <v>43775</v>
      </c>
      <c r="Z698" s="536" t="s">
        <v>5955</v>
      </c>
      <c r="AA698" s="537">
        <v>43798</v>
      </c>
      <c r="AB698" s="537">
        <v>43803</v>
      </c>
      <c r="AC698" s="491" t="s">
        <v>4096</v>
      </c>
      <c r="AD698" s="537">
        <v>43913</v>
      </c>
      <c r="AE698" s="1525">
        <v>44865</v>
      </c>
      <c r="AF698" s="360"/>
      <c r="AG698" s="360"/>
      <c r="AH698" s="360"/>
      <c r="AI698" s="360"/>
    </row>
    <row r="699" spans="1:45" s="390" customFormat="1">
      <c r="C699" s="537">
        <v>43650</v>
      </c>
      <c r="D699" s="1373" t="s">
        <v>5215</v>
      </c>
      <c r="E699" s="491" t="s">
        <v>14</v>
      </c>
      <c r="F699" s="491" t="s">
        <v>13</v>
      </c>
      <c r="G699" s="571" t="s">
        <v>5216</v>
      </c>
      <c r="H699" s="491">
        <v>4</v>
      </c>
      <c r="I699" s="495" t="s">
        <v>5218</v>
      </c>
      <c r="J699" s="491"/>
      <c r="K699" s="491" t="s">
        <v>1891</v>
      </c>
      <c r="L699" s="491"/>
      <c r="M699" s="536">
        <v>1412160</v>
      </c>
      <c r="N699" s="491" t="s">
        <v>251</v>
      </c>
      <c r="O699" s="537">
        <v>43718</v>
      </c>
      <c r="P699" s="537">
        <v>43752</v>
      </c>
      <c r="Q699" s="537">
        <v>43775</v>
      </c>
      <c r="R699" s="491" t="s">
        <v>3999</v>
      </c>
      <c r="S699" s="495"/>
      <c r="T699" s="536">
        <v>1412160</v>
      </c>
      <c r="U699" s="536">
        <f>T699*1.21</f>
        <v>1708713.5999999999</v>
      </c>
      <c r="V699" s="1471"/>
      <c r="W699" s="1471"/>
      <c r="X699" s="1471"/>
      <c r="Y699" s="573">
        <v>43775</v>
      </c>
      <c r="Z699" s="536" t="s">
        <v>5956</v>
      </c>
      <c r="AA699" s="537">
        <v>43798</v>
      </c>
      <c r="AB699" s="537">
        <v>43803</v>
      </c>
      <c r="AC699" s="491" t="s">
        <v>4096</v>
      </c>
      <c r="AD699" s="537">
        <v>43913</v>
      </c>
      <c r="AE699" s="1525">
        <v>44865</v>
      </c>
      <c r="AF699" s="360"/>
      <c r="AG699" s="360"/>
      <c r="AH699" s="360"/>
      <c r="AI699" s="360"/>
    </row>
    <row r="700" spans="1:45" s="390" customFormat="1" ht="15.75" thickBot="1">
      <c r="C700" s="1380">
        <v>43650</v>
      </c>
      <c r="D700" s="1377" t="s">
        <v>5215</v>
      </c>
      <c r="E700" s="1376" t="s">
        <v>14</v>
      </c>
      <c r="F700" s="1376" t="s">
        <v>13</v>
      </c>
      <c r="G700" s="1378" t="s">
        <v>5216</v>
      </c>
      <c r="H700" s="1376">
        <v>5</v>
      </c>
      <c r="I700" s="1421" t="s">
        <v>5217</v>
      </c>
      <c r="J700" s="1376"/>
      <c r="K700" s="1376" t="s">
        <v>1891</v>
      </c>
      <c r="L700" s="1376"/>
      <c r="M700" s="1379">
        <v>595200</v>
      </c>
      <c r="N700" s="1376" t="s">
        <v>251</v>
      </c>
      <c r="O700" s="1380">
        <v>43718</v>
      </c>
      <c r="P700" s="1380">
        <v>43752</v>
      </c>
      <c r="Q700" s="1380">
        <v>43775</v>
      </c>
      <c r="R700" s="1376" t="s">
        <v>3999</v>
      </c>
      <c r="S700" s="1421"/>
      <c r="T700" s="1379">
        <v>595200</v>
      </c>
      <c r="U700" s="1379">
        <f>T700*1.21</f>
        <v>720192</v>
      </c>
      <c r="V700" s="1475"/>
      <c r="W700" s="1475"/>
      <c r="X700" s="1475"/>
      <c r="Y700" s="1388">
        <v>43775</v>
      </c>
      <c r="Z700" s="1379" t="s">
        <v>5957</v>
      </c>
      <c r="AA700" s="1380">
        <v>43798</v>
      </c>
      <c r="AB700" s="1380">
        <v>43803</v>
      </c>
      <c r="AC700" s="1376" t="s">
        <v>4096</v>
      </c>
      <c r="AD700" s="1380">
        <v>43913</v>
      </c>
      <c r="AE700" s="1974">
        <v>44865</v>
      </c>
      <c r="AF700" s="360"/>
      <c r="AG700" s="360"/>
      <c r="AH700" s="360"/>
      <c r="AI700" s="360"/>
    </row>
    <row r="701" spans="1:45" ht="16.5" thickTop="1" thickBot="1">
      <c r="A701" s="9"/>
      <c r="B701" s="9"/>
      <c r="C701" s="1877">
        <v>43672</v>
      </c>
      <c r="D701" s="1535" t="s">
        <v>5184</v>
      </c>
      <c r="E701" s="1878" t="s">
        <v>69</v>
      </c>
      <c r="F701" s="1878" t="s">
        <v>70</v>
      </c>
      <c r="G701" s="1536" t="s">
        <v>5185</v>
      </c>
      <c r="H701" s="1878">
        <v>1</v>
      </c>
      <c r="I701" s="1879" t="s">
        <v>5186</v>
      </c>
      <c r="J701" s="1878"/>
      <c r="K701" s="1878" t="s">
        <v>72</v>
      </c>
      <c r="L701" s="1878"/>
      <c r="M701" s="1880">
        <v>33090783</v>
      </c>
      <c r="N701" s="1878" t="s">
        <v>251</v>
      </c>
      <c r="O701" s="1877">
        <v>43794</v>
      </c>
      <c r="P701" s="1877">
        <v>43826</v>
      </c>
      <c r="Q701" s="1878"/>
      <c r="R701" s="1878"/>
      <c r="S701" s="1879"/>
      <c r="T701" s="1880"/>
      <c r="U701" s="1880"/>
      <c r="V701" s="1881"/>
      <c r="W701" s="1881"/>
      <c r="X701" s="1881"/>
      <c r="Y701" s="1880"/>
      <c r="Z701" s="1880"/>
      <c r="AA701" s="1878"/>
      <c r="AB701" s="1878"/>
      <c r="AC701" s="1878"/>
      <c r="AD701" s="1878"/>
      <c r="AE701" s="1878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</row>
    <row r="702" spans="1:45" s="390" customFormat="1" ht="30.75" thickTop="1">
      <c r="A702" s="9"/>
      <c r="B702" s="9"/>
      <c r="C702" s="474" t="s">
        <v>3585</v>
      </c>
      <c r="D702" s="453" t="s">
        <v>5234</v>
      </c>
      <c r="E702" s="453" t="s">
        <v>58</v>
      </c>
      <c r="F702" s="453" t="s">
        <v>2684</v>
      </c>
      <c r="G702" s="473" t="s">
        <v>5235</v>
      </c>
      <c r="H702" s="453">
        <v>1</v>
      </c>
      <c r="I702" s="1420" t="s">
        <v>5094</v>
      </c>
      <c r="J702" s="453" t="s">
        <v>1159</v>
      </c>
      <c r="K702" s="453" t="s">
        <v>1159</v>
      </c>
      <c r="L702" s="457" t="s">
        <v>4263</v>
      </c>
      <c r="M702" s="457">
        <v>159300</v>
      </c>
      <c r="N702" s="453" t="s">
        <v>112</v>
      </c>
      <c r="O702" s="474">
        <v>43678</v>
      </c>
      <c r="P702" s="474">
        <v>43684</v>
      </c>
      <c r="Q702" s="474">
        <v>43703</v>
      </c>
      <c r="R702" s="453" t="s">
        <v>5332</v>
      </c>
      <c r="S702" s="1420"/>
      <c r="T702" s="457">
        <v>250960</v>
      </c>
      <c r="U702" s="457">
        <f>T702*1.21</f>
        <v>303661.59999999998</v>
      </c>
      <c r="V702" s="1474"/>
      <c r="W702" s="1474"/>
      <c r="X702" s="1474"/>
      <c r="Y702" s="570">
        <v>43703</v>
      </c>
      <c r="Z702" s="1387" t="s">
        <v>5344</v>
      </c>
      <c r="AA702" s="474">
        <v>43728</v>
      </c>
      <c r="AB702" s="474">
        <v>43739</v>
      </c>
      <c r="AC702" s="474">
        <f>AA702+56</f>
        <v>43784</v>
      </c>
      <c r="AD702" s="474">
        <v>43815</v>
      </c>
      <c r="AE702" s="1391" t="s">
        <v>1875</v>
      </c>
    </row>
    <row r="703" spans="1:45" s="390" customFormat="1" ht="30.75" thickBot="1">
      <c r="A703" s="9"/>
      <c r="B703" s="9"/>
      <c r="C703" s="1380" t="s">
        <v>3585</v>
      </c>
      <c r="D703" s="1376" t="s">
        <v>5234</v>
      </c>
      <c r="E703" s="1376" t="s">
        <v>58</v>
      </c>
      <c r="F703" s="1376" t="s">
        <v>2684</v>
      </c>
      <c r="G703" s="1378" t="s">
        <v>5235</v>
      </c>
      <c r="H703" s="1376">
        <v>2</v>
      </c>
      <c r="I703" s="1421" t="s">
        <v>5096</v>
      </c>
      <c r="J703" s="1355" t="s">
        <v>1159</v>
      </c>
      <c r="K703" s="1376" t="s">
        <v>1159</v>
      </c>
      <c r="L703" s="1379" t="s">
        <v>5098</v>
      </c>
      <c r="M703" s="1379">
        <v>534000</v>
      </c>
      <c r="N703" s="1376" t="s">
        <v>112</v>
      </c>
      <c r="O703" s="1380">
        <v>43678</v>
      </c>
      <c r="P703" s="1380">
        <v>43684</v>
      </c>
      <c r="Q703" s="1380">
        <v>43703</v>
      </c>
      <c r="R703" s="1376" t="s">
        <v>5333</v>
      </c>
      <c r="S703" s="1421"/>
      <c r="T703" s="1379">
        <v>454260</v>
      </c>
      <c r="U703" s="1379">
        <f>T703*1.21</f>
        <v>549654.6</v>
      </c>
      <c r="V703" s="1606"/>
      <c r="W703" s="1606"/>
      <c r="X703" s="1606"/>
      <c r="Y703" s="1388">
        <v>43703</v>
      </c>
      <c r="Z703" s="1389" t="s">
        <v>5345</v>
      </c>
      <c r="AA703" s="1380">
        <v>43733</v>
      </c>
      <c r="AB703" s="1380">
        <v>43739</v>
      </c>
      <c r="AC703" s="1380">
        <f>AA703+42</f>
        <v>43775</v>
      </c>
      <c r="AD703" s="1380">
        <v>44244</v>
      </c>
      <c r="AE703" s="1381" t="s">
        <v>1875</v>
      </c>
    </row>
    <row r="704" spans="1:45" ht="16.5" thickTop="1" thickBot="1">
      <c r="A704" s="9"/>
      <c r="B704" s="9"/>
      <c r="C704" s="1730">
        <v>43672</v>
      </c>
      <c r="D704" s="1731" t="s">
        <v>5187</v>
      </c>
      <c r="E704" s="1550" t="s">
        <v>69</v>
      </c>
      <c r="F704" s="1550" t="s">
        <v>70</v>
      </c>
      <c r="G704" s="1732" t="s">
        <v>5188</v>
      </c>
      <c r="H704" s="1550">
        <v>1</v>
      </c>
      <c r="I704" s="1733" t="s">
        <v>3744</v>
      </c>
      <c r="J704" s="1550"/>
      <c r="K704" s="1550" t="s">
        <v>3435</v>
      </c>
      <c r="L704" s="1550"/>
      <c r="M704" s="1734">
        <v>73272200</v>
      </c>
      <c r="N704" s="1550" t="s">
        <v>251</v>
      </c>
      <c r="O704" s="1730">
        <v>43719</v>
      </c>
      <c r="P704" s="1730">
        <v>43838</v>
      </c>
      <c r="Q704" s="1550"/>
      <c r="R704" s="1550"/>
      <c r="S704" s="1733"/>
      <c r="T704" s="1734"/>
      <c r="U704" s="1734"/>
      <c r="V704" s="1537"/>
      <c r="W704" s="1537"/>
      <c r="X704" s="1537"/>
      <c r="Y704" s="1734"/>
      <c r="Z704" s="1734"/>
      <c r="AA704" s="1550"/>
      <c r="AB704" s="1550"/>
      <c r="AC704" s="1550"/>
      <c r="AD704" s="1550"/>
      <c r="AE704" s="1550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</row>
    <row r="705" spans="1:45" ht="15.75" thickTop="1">
      <c r="A705" s="9"/>
      <c r="B705" s="9"/>
      <c r="C705" s="443">
        <v>43672</v>
      </c>
      <c r="D705" s="1415" t="s">
        <v>5189</v>
      </c>
      <c r="E705" s="439" t="s">
        <v>69</v>
      </c>
      <c r="F705" s="439" t="s">
        <v>70</v>
      </c>
      <c r="G705" s="440" t="s">
        <v>5190</v>
      </c>
      <c r="H705" s="439">
        <v>1</v>
      </c>
      <c r="I705" s="1431" t="s">
        <v>5191</v>
      </c>
      <c r="J705" s="583"/>
      <c r="K705" s="439" t="s">
        <v>816</v>
      </c>
      <c r="L705" s="439"/>
      <c r="M705" s="444">
        <v>39884</v>
      </c>
      <c r="N705" s="439" t="s">
        <v>251</v>
      </c>
      <c r="O705" s="443">
        <v>43735</v>
      </c>
      <c r="P705" s="443">
        <v>43768</v>
      </c>
      <c r="Q705" s="439"/>
      <c r="R705" s="538" t="s">
        <v>304</v>
      </c>
      <c r="S705" s="1431"/>
      <c r="T705" s="444"/>
      <c r="U705" s="444"/>
      <c r="V705" s="1483"/>
      <c r="W705" s="1483"/>
      <c r="X705" s="1483"/>
      <c r="Y705" s="444"/>
      <c r="Z705" s="444"/>
      <c r="AA705" s="439"/>
      <c r="AB705" s="443">
        <v>43809</v>
      </c>
      <c r="AC705" s="439" t="s">
        <v>5993</v>
      </c>
      <c r="AD705" s="439"/>
      <c r="AE705" s="43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</row>
    <row r="706" spans="1:45">
      <c r="A706" s="9"/>
      <c r="B706" s="9"/>
      <c r="C706" s="510">
        <v>43672</v>
      </c>
      <c r="D706" s="1382" t="s">
        <v>5189</v>
      </c>
      <c r="E706" s="506" t="s">
        <v>69</v>
      </c>
      <c r="F706" s="506" t="s">
        <v>70</v>
      </c>
      <c r="G706" s="507" t="s">
        <v>5190</v>
      </c>
      <c r="H706" s="506">
        <v>2</v>
      </c>
      <c r="I706" s="548" t="s">
        <v>5192</v>
      </c>
      <c r="J706" s="590"/>
      <c r="K706" s="506" t="s">
        <v>816</v>
      </c>
      <c r="L706" s="506"/>
      <c r="M706" s="511">
        <v>5306400</v>
      </c>
      <c r="N706" s="506" t="s">
        <v>251</v>
      </c>
      <c r="O706" s="510">
        <v>43735</v>
      </c>
      <c r="P706" s="510">
        <v>43768</v>
      </c>
      <c r="Q706" s="506"/>
      <c r="R706" s="514" t="s">
        <v>304</v>
      </c>
      <c r="S706" s="548"/>
      <c r="T706" s="511"/>
      <c r="U706" s="511"/>
      <c r="V706" s="1484"/>
      <c r="W706" s="1484"/>
      <c r="X706" s="1484"/>
      <c r="Y706" s="511"/>
      <c r="Z706" s="511"/>
      <c r="AA706" s="506"/>
      <c r="AB706" s="510">
        <v>43809</v>
      </c>
      <c r="AC706" s="506" t="s">
        <v>5993</v>
      </c>
      <c r="AD706" s="506"/>
      <c r="AE706" s="506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</row>
    <row r="707" spans="1:45">
      <c r="A707" s="9"/>
      <c r="B707" s="9"/>
      <c r="C707" s="510">
        <v>43672</v>
      </c>
      <c r="D707" s="1382" t="s">
        <v>5189</v>
      </c>
      <c r="E707" s="506" t="s">
        <v>69</v>
      </c>
      <c r="F707" s="506" t="s">
        <v>70</v>
      </c>
      <c r="G707" s="507" t="s">
        <v>5190</v>
      </c>
      <c r="H707" s="506">
        <v>3</v>
      </c>
      <c r="I707" s="548" t="s">
        <v>5193</v>
      </c>
      <c r="J707" s="590"/>
      <c r="K707" s="506" t="s">
        <v>816</v>
      </c>
      <c r="L707" s="506"/>
      <c r="M707" s="511">
        <v>4823999</v>
      </c>
      <c r="N707" s="506" t="s">
        <v>251</v>
      </c>
      <c r="O707" s="510">
        <v>43735</v>
      </c>
      <c r="P707" s="510">
        <v>43768</v>
      </c>
      <c r="Q707" s="506"/>
      <c r="R707" s="514" t="s">
        <v>304</v>
      </c>
      <c r="S707" s="548"/>
      <c r="T707" s="511"/>
      <c r="U707" s="511"/>
      <c r="V707" s="1484"/>
      <c r="W707" s="1484"/>
      <c r="X707" s="1484"/>
      <c r="Y707" s="511"/>
      <c r="Z707" s="511"/>
      <c r="AA707" s="506"/>
      <c r="AB707" s="510">
        <v>43809</v>
      </c>
      <c r="AC707" s="506" t="s">
        <v>5993</v>
      </c>
      <c r="AD707" s="506"/>
      <c r="AE707" s="506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</row>
    <row r="708" spans="1:45">
      <c r="A708" s="9"/>
      <c r="B708" s="9"/>
      <c r="C708" s="510">
        <v>43672</v>
      </c>
      <c r="D708" s="1382" t="s">
        <v>5189</v>
      </c>
      <c r="E708" s="506" t="s">
        <v>69</v>
      </c>
      <c r="F708" s="506" t="s">
        <v>70</v>
      </c>
      <c r="G708" s="507" t="s">
        <v>5190</v>
      </c>
      <c r="H708" s="506">
        <v>4</v>
      </c>
      <c r="I708" s="548" t="s">
        <v>5194</v>
      </c>
      <c r="J708" s="590"/>
      <c r="K708" s="506" t="s">
        <v>816</v>
      </c>
      <c r="L708" s="506"/>
      <c r="M708" s="511">
        <v>2169000</v>
      </c>
      <c r="N708" s="506" t="s">
        <v>251</v>
      </c>
      <c r="O708" s="510">
        <v>43735</v>
      </c>
      <c r="P708" s="510">
        <v>43768</v>
      </c>
      <c r="Q708" s="506"/>
      <c r="R708" s="514" t="s">
        <v>304</v>
      </c>
      <c r="S708" s="548"/>
      <c r="T708" s="511"/>
      <c r="U708" s="511"/>
      <c r="V708" s="1484"/>
      <c r="W708" s="1484"/>
      <c r="X708" s="1484"/>
      <c r="Y708" s="511"/>
      <c r="Z708" s="511"/>
      <c r="AA708" s="506"/>
      <c r="AB708" s="510">
        <v>43809</v>
      </c>
      <c r="AC708" s="506" t="s">
        <v>5993</v>
      </c>
      <c r="AD708" s="506"/>
      <c r="AE708" s="506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</row>
    <row r="709" spans="1:45" ht="15.75" thickBot="1">
      <c r="A709" s="9"/>
      <c r="B709" s="9"/>
      <c r="C709" s="1363">
        <v>43672</v>
      </c>
      <c r="D709" s="1360" t="s">
        <v>5189</v>
      </c>
      <c r="E709" s="1355" t="s">
        <v>69</v>
      </c>
      <c r="F709" s="1355" t="s">
        <v>70</v>
      </c>
      <c r="G709" s="1361" t="s">
        <v>5190</v>
      </c>
      <c r="H709" s="1355">
        <v>5</v>
      </c>
      <c r="I709" s="1419" t="s">
        <v>5195</v>
      </c>
      <c r="J709" s="1356"/>
      <c r="K709" s="1355" t="s">
        <v>816</v>
      </c>
      <c r="L709" s="1355"/>
      <c r="M709" s="1362">
        <v>24711846</v>
      </c>
      <c r="N709" s="1355" t="s">
        <v>251</v>
      </c>
      <c r="O709" s="1363">
        <v>43735</v>
      </c>
      <c r="P709" s="1363">
        <v>43768</v>
      </c>
      <c r="Q709" s="1363">
        <v>43816</v>
      </c>
      <c r="R709" s="1419" t="s">
        <v>6067</v>
      </c>
      <c r="S709" s="1419"/>
      <c r="T709" s="1362">
        <v>24687189.539999999</v>
      </c>
      <c r="U709" s="1362">
        <v>27155908.489999998</v>
      </c>
      <c r="V709" s="1485"/>
      <c r="W709" s="1485"/>
      <c r="X709" s="1485"/>
      <c r="Y709" s="1512">
        <v>43818</v>
      </c>
      <c r="Z709" s="1362" t="s">
        <v>6182</v>
      </c>
      <c r="AA709" s="1355"/>
      <c r="AB709" s="1355"/>
      <c r="AC709" s="1355"/>
      <c r="AD709" s="1355"/>
      <c r="AE709" s="1355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</row>
    <row r="710" spans="1:45" ht="15.75" thickTop="1">
      <c r="A710" s="9"/>
      <c r="B710" s="9"/>
      <c r="C710" s="580">
        <v>43672</v>
      </c>
      <c r="D710" s="1538" t="s">
        <v>5196</v>
      </c>
      <c r="E710" s="576" t="s">
        <v>69</v>
      </c>
      <c r="F710" s="576" t="s">
        <v>70</v>
      </c>
      <c r="G710" s="577" t="s">
        <v>5197</v>
      </c>
      <c r="H710" s="576">
        <v>1</v>
      </c>
      <c r="I710" s="1828" t="s">
        <v>5198</v>
      </c>
      <c r="J710" s="576"/>
      <c r="K710" s="576" t="s">
        <v>68</v>
      </c>
      <c r="L710" s="576"/>
      <c r="M710" s="581">
        <v>27093272</v>
      </c>
      <c r="N710" s="576" t="s">
        <v>251</v>
      </c>
      <c r="O710" s="580">
        <v>43794</v>
      </c>
      <c r="P710" s="580">
        <v>43839</v>
      </c>
      <c r="Q710" s="576"/>
      <c r="R710" s="576"/>
      <c r="S710" s="1828"/>
      <c r="T710" s="581"/>
      <c r="U710" s="581"/>
      <c r="V710" s="1489"/>
      <c r="W710" s="1489"/>
      <c r="X710" s="1489"/>
      <c r="Y710" s="581"/>
      <c r="Z710" s="581"/>
      <c r="AA710" s="576"/>
      <c r="AB710" s="576"/>
      <c r="AC710" s="576"/>
      <c r="AD710" s="576"/>
      <c r="AE710" s="576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</row>
    <row r="711" spans="1:45">
      <c r="A711" s="9"/>
      <c r="B711" s="9"/>
      <c r="C711" s="537">
        <v>43683</v>
      </c>
      <c r="D711" s="1373" t="s">
        <v>5222</v>
      </c>
      <c r="E711" s="491" t="s">
        <v>52</v>
      </c>
      <c r="F711" s="491" t="s">
        <v>3089</v>
      </c>
      <c r="G711" s="571" t="s">
        <v>5223</v>
      </c>
      <c r="H711" s="491"/>
      <c r="I711" s="495"/>
      <c r="J711" s="491"/>
      <c r="K711" s="491" t="s">
        <v>33</v>
      </c>
      <c r="L711" s="491"/>
      <c r="M711" s="536">
        <v>4000000</v>
      </c>
      <c r="N711" s="491" t="s">
        <v>112</v>
      </c>
      <c r="O711" s="537">
        <v>43692</v>
      </c>
      <c r="P711" s="537">
        <v>43700</v>
      </c>
      <c r="Q711" s="537">
        <v>43705</v>
      </c>
      <c r="R711" s="491" t="s">
        <v>2626</v>
      </c>
      <c r="S711" s="495"/>
      <c r="T711" s="536">
        <v>3837796.69</v>
      </c>
      <c r="U711" s="536">
        <v>4643733.99</v>
      </c>
      <c r="V711" s="1471"/>
      <c r="W711" s="1471"/>
      <c r="X711" s="1471"/>
      <c r="Y711" s="573">
        <v>43706</v>
      </c>
      <c r="Z711" s="536" t="s">
        <v>5392</v>
      </c>
      <c r="AA711" s="537">
        <v>43721</v>
      </c>
      <c r="AB711" s="537">
        <v>43725</v>
      </c>
      <c r="AC711" s="537">
        <v>43841</v>
      </c>
      <c r="AD711" s="537">
        <v>44244</v>
      </c>
      <c r="AE711" s="1102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</row>
    <row r="712" spans="1:45" ht="30">
      <c r="A712" s="9"/>
      <c r="B712" s="9"/>
      <c r="C712" s="537">
        <v>43683</v>
      </c>
      <c r="D712" s="1373" t="s">
        <v>5225</v>
      </c>
      <c r="E712" s="491" t="s">
        <v>58</v>
      </c>
      <c r="F712" s="491" t="s">
        <v>2684</v>
      </c>
      <c r="G712" s="571" t="s">
        <v>5224</v>
      </c>
      <c r="H712" s="491"/>
      <c r="I712" s="495"/>
      <c r="J712" s="491"/>
      <c r="K712" s="491" t="s">
        <v>5227</v>
      </c>
      <c r="L712" s="491" t="s">
        <v>5226</v>
      </c>
      <c r="M712" s="536">
        <v>537000</v>
      </c>
      <c r="N712" s="491" t="s">
        <v>112</v>
      </c>
      <c r="O712" s="537">
        <v>43692</v>
      </c>
      <c r="P712" s="537">
        <v>43700</v>
      </c>
      <c r="Q712" s="537">
        <v>43704</v>
      </c>
      <c r="R712" s="491" t="s">
        <v>5330</v>
      </c>
      <c r="S712" s="495"/>
      <c r="T712" s="536">
        <v>473464</v>
      </c>
      <c r="U712" s="536">
        <v>572891.43999999994</v>
      </c>
      <c r="V712" s="1471"/>
      <c r="W712" s="1471"/>
      <c r="X712" s="1471"/>
      <c r="Y712" s="573">
        <v>43705</v>
      </c>
      <c r="Z712" s="1375" t="s">
        <v>5388</v>
      </c>
      <c r="AA712" s="537">
        <v>43739</v>
      </c>
      <c r="AB712" s="537">
        <v>43741</v>
      </c>
      <c r="AC712" s="537">
        <f>AA712+42</f>
        <v>43781</v>
      </c>
      <c r="AD712" s="537">
        <v>43955</v>
      </c>
      <c r="AE712" s="1374" t="s">
        <v>1875</v>
      </c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</row>
    <row r="713" spans="1:45" s="390" customFormat="1" ht="30.75" thickBot="1">
      <c r="A713" s="9"/>
      <c r="B713" s="9"/>
      <c r="C713" s="498">
        <v>43670</v>
      </c>
      <c r="D713" s="1544" t="s">
        <v>5237</v>
      </c>
      <c r="E713" s="232" t="s">
        <v>58</v>
      </c>
      <c r="F713" s="232" t="s">
        <v>2684</v>
      </c>
      <c r="G713" s="274" t="s">
        <v>5238</v>
      </c>
      <c r="H713" s="491"/>
      <c r="I713" s="495"/>
      <c r="J713" s="1376"/>
      <c r="K713" s="491" t="s">
        <v>5239</v>
      </c>
      <c r="L713" s="417" t="s">
        <v>1501</v>
      </c>
      <c r="M713" s="417">
        <v>3200000</v>
      </c>
      <c r="N713" s="491" t="s">
        <v>216</v>
      </c>
      <c r="O713" s="537">
        <v>43692</v>
      </c>
      <c r="P713" s="537">
        <v>43711</v>
      </c>
      <c r="Q713" s="537">
        <v>43726</v>
      </c>
      <c r="R713" s="491" t="s">
        <v>340</v>
      </c>
      <c r="S713" s="495"/>
      <c r="T713" s="536">
        <v>2624624</v>
      </c>
      <c r="U713" s="536">
        <v>3175795.04</v>
      </c>
      <c r="V713" s="1471"/>
      <c r="W713" s="1471"/>
      <c r="X713" s="1471"/>
      <c r="Y713" s="573">
        <v>43728</v>
      </c>
      <c r="Z713" s="1375" t="s">
        <v>5664</v>
      </c>
      <c r="AA713" s="537">
        <v>43782</v>
      </c>
      <c r="AB713" s="537">
        <v>43788</v>
      </c>
      <c r="AC713" s="537">
        <f>AA713+70</f>
        <v>43852</v>
      </c>
      <c r="AD713" s="537">
        <v>43850</v>
      </c>
      <c r="AE713" s="1374" t="s">
        <v>1875</v>
      </c>
    </row>
    <row r="714" spans="1:45" ht="15.75" thickTop="1">
      <c r="A714" s="9"/>
      <c r="B714" s="9"/>
      <c r="C714" s="544">
        <v>43690</v>
      </c>
      <c r="D714" s="1357" t="s">
        <v>5240</v>
      </c>
      <c r="E714" s="540" t="s">
        <v>69</v>
      </c>
      <c r="F714" s="540" t="s">
        <v>70</v>
      </c>
      <c r="G714" s="541" t="s">
        <v>5241</v>
      </c>
      <c r="H714" s="540">
        <v>1</v>
      </c>
      <c r="I714" s="1422" t="s">
        <v>5242</v>
      </c>
      <c r="J714" s="590"/>
      <c r="K714" s="540" t="s">
        <v>5244</v>
      </c>
      <c r="L714" s="540"/>
      <c r="M714" s="545">
        <v>6432000</v>
      </c>
      <c r="N714" s="540" t="s">
        <v>251</v>
      </c>
      <c r="O714" s="544">
        <v>43724</v>
      </c>
      <c r="P714" s="544">
        <v>43756</v>
      </c>
      <c r="Q714" s="544">
        <v>43781</v>
      </c>
      <c r="R714" s="540" t="s">
        <v>576</v>
      </c>
      <c r="S714" s="1402"/>
      <c r="T714" s="545">
        <v>5767106.8799999999</v>
      </c>
      <c r="U714" s="545">
        <v>6343817.5700000003</v>
      </c>
      <c r="V714" s="1484"/>
      <c r="W714" s="1484"/>
      <c r="X714" s="1484"/>
      <c r="Y714" s="1385">
        <v>43782</v>
      </c>
      <c r="Z714" s="545" t="s">
        <v>5998</v>
      </c>
      <c r="AA714" s="540"/>
      <c r="AB714" s="540"/>
      <c r="AC714" s="540"/>
      <c r="AD714" s="540"/>
      <c r="AE714" s="540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</row>
    <row r="715" spans="1:45">
      <c r="A715" s="9"/>
      <c r="B715" s="9"/>
      <c r="C715" s="537">
        <v>43691</v>
      </c>
      <c r="D715" s="1373" t="s">
        <v>5243</v>
      </c>
      <c r="E715" s="491" t="s">
        <v>1032</v>
      </c>
      <c r="F715" s="491" t="s">
        <v>1084</v>
      </c>
      <c r="G715" s="571" t="s">
        <v>4216</v>
      </c>
      <c r="H715" s="491"/>
      <c r="I715" s="495"/>
      <c r="J715" s="491"/>
      <c r="K715" s="491" t="s">
        <v>5246</v>
      </c>
      <c r="L715" s="491" t="s">
        <v>5245</v>
      </c>
      <c r="M715" s="536">
        <v>5375000</v>
      </c>
      <c r="N715" s="491" t="s">
        <v>112</v>
      </c>
      <c r="O715" s="537">
        <v>43699</v>
      </c>
      <c r="P715" s="537">
        <v>43711</v>
      </c>
      <c r="Q715" s="537">
        <v>43714</v>
      </c>
      <c r="R715" s="491" t="s">
        <v>5474</v>
      </c>
      <c r="S715" s="495"/>
      <c r="T715" s="536">
        <v>5983500</v>
      </c>
      <c r="U715" s="536">
        <v>7240035</v>
      </c>
      <c r="V715" s="1471"/>
      <c r="W715" s="1471"/>
      <c r="X715" s="1471"/>
      <c r="Y715" s="573">
        <v>43714</v>
      </c>
      <c r="Z715" s="536" t="s">
        <v>5484</v>
      </c>
      <c r="AA715" s="537">
        <v>43770</v>
      </c>
      <c r="AB715" s="537">
        <v>43773</v>
      </c>
      <c r="AC715" s="537">
        <f>AA715+90</f>
        <v>43860</v>
      </c>
      <c r="AD715" s="537">
        <v>43920</v>
      </c>
      <c r="AE715" s="1102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</row>
    <row r="716" spans="1:45" ht="30">
      <c r="A716" s="9"/>
      <c r="B716" s="9"/>
      <c r="C716" s="537">
        <v>43696</v>
      </c>
      <c r="D716" s="1373" t="s">
        <v>5271</v>
      </c>
      <c r="E716" s="491" t="s">
        <v>58</v>
      </c>
      <c r="F716" s="491" t="s">
        <v>2684</v>
      </c>
      <c r="G716" s="571" t="s">
        <v>5272</v>
      </c>
      <c r="H716" s="491"/>
      <c r="I716" s="495"/>
      <c r="J716" s="491"/>
      <c r="K716" s="491" t="s">
        <v>792</v>
      </c>
      <c r="L716" s="491" t="s">
        <v>5128</v>
      </c>
      <c r="M716" s="536">
        <v>262000</v>
      </c>
      <c r="N716" s="491" t="s">
        <v>112</v>
      </c>
      <c r="O716" s="537">
        <v>43700</v>
      </c>
      <c r="P716" s="537">
        <v>43711</v>
      </c>
      <c r="Q716" s="537">
        <v>43727</v>
      </c>
      <c r="R716" s="491" t="s">
        <v>5627</v>
      </c>
      <c r="S716" s="495"/>
      <c r="T716" s="536">
        <v>346942</v>
      </c>
      <c r="U716" s="536">
        <v>419800.06</v>
      </c>
      <c r="V716" s="1471"/>
      <c r="W716" s="1471"/>
      <c r="X716" s="1471"/>
      <c r="Y716" s="573">
        <v>43728</v>
      </c>
      <c r="Z716" s="1375" t="s">
        <v>5663</v>
      </c>
      <c r="AA716" s="537">
        <v>43741</v>
      </c>
      <c r="AB716" s="537">
        <v>43746</v>
      </c>
      <c r="AC716" s="537">
        <v>43777</v>
      </c>
      <c r="AD716" s="537">
        <v>44244</v>
      </c>
      <c r="AE716" s="1374" t="s">
        <v>1875</v>
      </c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</row>
    <row r="717" spans="1:45" ht="30">
      <c r="A717" s="9"/>
      <c r="B717" s="9"/>
      <c r="C717" s="537">
        <v>43696</v>
      </c>
      <c r="D717" s="1373" t="s">
        <v>5273</v>
      </c>
      <c r="E717" s="491" t="s">
        <v>58</v>
      </c>
      <c r="F717" s="491" t="s">
        <v>2684</v>
      </c>
      <c r="G717" s="571" t="s">
        <v>5274</v>
      </c>
      <c r="H717" s="491"/>
      <c r="I717" s="495"/>
      <c r="J717" s="491"/>
      <c r="K717" s="491" t="s">
        <v>2990</v>
      </c>
      <c r="L717" s="491" t="s">
        <v>2686</v>
      </c>
      <c r="M717" s="536">
        <v>456000</v>
      </c>
      <c r="N717" s="491" t="s">
        <v>112</v>
      </c>
      <c r="O717" s="537">
        <v>43697</v>
      </c>
      <c r="P717" s="537">
        <v>43705</v>
      </c>
      <c r="Q717" s="537">
        <v>43725</v>
      </c>
      <c r="R717" s="491" t="s">
        <v>5627</v>
      </c>
      <c r="S717" s="495"/>
      <c r="T717" s="536">
        <v>505445.2</v>
      </c>
      <c r="U717" s="536">
        <v>611588.68999999994</v>
      </c>
      <c r="V717" s="1471"/>
      <c r="W717" s="1471"/>
      <c r="X717" s="1471"/>
      <c r="Y717" s="573">
        <v>43725</v>
      </c>
      <c r="Z717" s="1375" t="s">
        <v>5631</v>
      </c>
      <c r="AA717" s="537">
        <v>43741</v>
      </c>
      <c r="AB717" s="537">
        <v>43746</v>
      </c>
      <c r="AC717" s="537">
        <f>AA717+42</f>
        <v>43783</v>
      </c>
      <c r="AD717" s="537">
        <v>44244</v>
      </c>
      <c r="AE717" s="1374" t="s">
        <v>1875</v>
      </c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</row>
    <row r="718" spans="1:45" ht="30">
      <c r="A718" s="9"/>
      <c r="B718" s="9"/>
      <c r="C718" s="537">
        <v>43696</v>
      </c>
      <c r="D718" s="1373" t="s">
        <v>5275</v>
      </c>
      <c r="E718" s="491" t="s">
        <v>58</v>
      </c>
      <c r="F718" s="491" t="s">
        <v>2684</v>
      </c>
      <c r="G718" s="571" t="s">
        <v>3848</v>
      </c>
      <c r="H718" s="491"/>
      <c r="I718" s="495"/>
      <c r="J718" s="491"/>
      <c r="K718" s="491" t="s">
        <v>1924</v>
      </c>
      <c r="L718" s="491" t="s">
        <v>5276</v>
      </c>
      <c r="M718" s="536">
        <v>607000</v>
      </c>
      <c r="N718" s="491" t="s">
        <v>112</v>
      </c>
      <c r="O718" s="537">
        <v>43697</v>
      </c>
      <c r="P718" s="537">
        <v>43705</v>
      </c>
      <c r="Q718" s="537">
        <v>43726</v>
      </c>
      <c r="R718" s="491" t="s">
        <v>2108</v>
      </c>
      <c r="S718" s="495"/>
      <c r="T718" s="536">
        <v>566000</v>
      </c>
      <c r="U718" s="536">
        <v>684860</v>
      </c>
      <c r="V718" s="1471"/>
      <c r="W718" s="1471"/>
      <c r="X718" s="1471"/>
      <c r="Y718" s="573">
        <v>43726</v>
      </c>
      <c r="Z718" s="1375" t="s">
        <v>5636</v>
      </c>
      <c r="AA718" s="537">
        <v>43741</v>
      </c>
      <c r="AB718" s="537">
        <v>43746</v>
      </c>
      <c r="AC718" s="537">
        <f>AA718+56</f>
        <v>43797</v>
      </c>
      <c r="AD718" s="537">
        <v>44244</v>
      </c>
      <c r="AE718" s="1374" t="s">
        <v>1875</v>
      </c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</row>
    <row r="719" spans="1:45" ht="30">
      <c r="A719" s="9"/>
      <c r="B719" s="9"/>
      <c r="C719" s="491" t="s">
        <v>3585</v>
      </c>
      <c r="D719" s="1373" t="s">
        <v>5277</v>
      </c>
      <c r="E719" s="491" t="s">
        <v>1700</v>
      </c>
      <c r="F719" s="491" t="s">
        <v>6206</v>
      </c>
      <c r="G719" s="571" t="s">
        <v>5278</v>
      </c>
      <c r="H719" s="491"/>
      <c r="I719" s="495"/>
      <c r="J719" s="590"/>
      <c r="K719" s="491" t="s">
        <v>3956</v>
      </c>
      <c r="L719" s="491" t="s">
        <v>3471</v>
      </c>
      <c r="M719" s="536">
        <v>143801.65</v>
      </c>
      <c r="N719" s="491" t="s">
        <v>251</v>
      </c>
      <c r="O719" s="537">
        <v>43717</v>
      </c>
      <c r="P719" s="537">
        <v>43749</v>
      </c>
      <c r="Q719" s="537">
        <v>43754</v>
      </c>
      <c r="R719" s="491" t="s">
        <v>3183</v>
      </c>
      <c r="S719" s="495"/>
      <c r="T719" s="536">
        <v>76250</v>
      </c>
      <c r="U719" s="536">
        <v>92262.5</v>
      </c>
      <c r="V719" s="1484"/>
      <c r="W719" s="1484"/>
      <c r="X719" s="1484"/>
      <c r="Y719" s="536" t="s">
        <v>5836</v>
      </c>
      <c r="Z719" s="1375" t="s">
        <v>5837</v>
      </c>
      <c r="AA719" s="537">
        <v>43788</v>
      </c>
      <c r="AB719" s="537">
        <v>43795</v>
      </c>
      <c r="AC719" s="537">
        <f>AA719+42</f>
        <v>43830</v>
      </c>
      <c r="AD719" s="537">
        <v>43928</v>
      </c>
      <c r="AE719" s="1374" t="s">
        <v>1875</v>
      </c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</row>
    <row r="720" spans="1:45">
      <c r="A720" s="9"/>
      <c r="B720" s="9"/>
      <c r="C720" s="491" t="s">
        <v>3585</v>
      </c>
      <c r="D720" s="1373" t="s">
        <v>5284</v>
      </c>
      <c r="E720" s="491" t="s">
        <v>4295</v>
      </c>
      <c r="F720" s="491" t="s">
        <v>4296</v>
      </c>
      <c r="G720" s="571" t="s">
        <v>7742</v>
      </c>
      <c r="H720" s="491"/>
      <c r="I720" s="495"/>
      <c r="J720" s="491"/>
      <c r="K720" s="491" t="s">
        <v>1645</v>
      </c>
      <c r="L720" s="491"/>
      <c r="M720" s="536">
        <v>600000</v>
      </c>
      <c r="N720" s="491" t="s">
        <v>112</v>
      </c>
      <c r="O720" s="537">
        <v>43700</v>
      </c>
      <c r="P720" s="537">
        <v>43714</v>
      </c>
      <c r="Q720" s="537">
        <v>43732</v>
      </c>
      <c r="R720" s="491" t="s">
        <v>5701</v>
      </c>
      <c r="S720" s="495"/>
      <c r="T720" s="536">
        <v>549000</v>
      </c>
      <c r="U720" s="536">
        <f>T720*1.21</f>
        <v>664290</v>
      </c>
      <c r="V720" s="1471"/>
      <c r="W720" s="1471"/>
      <c r="X720" s="1471"/>
      <c r="Y720" s="573">
        <v>43732</v>
      </c>
      <c r="Z720" s="536" t="s">
        <v>5700</v>
      </c>
      <c r="AA720" s="537">
        <v>43759</v>
      </c>
      <c r="AB720" s="537">
        <v>43760</v>
      </c>
      <c r="AC720" s="491"/>
      <c r="AD720" s="537">
        <v>44116</v>
      </c>
      <c r="AE720" s="1102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</row>
    <row r="721" spans="1:45">
      <c r="A721" s="9"/>
      <c r="B721" s="9"/>
      <c r="C721" s="594">
        <v>43697</v>
      </c>
      <c r="D721" s="1366" t="s">
        <v>5289</v>
      </c>
      <c r="E721" s="590" t="s">
        <v>69</v>
      </c>
      <c r="F721" s="590" t="s">
        <v>70</v>
      </c>
      <c r="G721" s="591" t="s">
        <v>5290</v>
      </c>
      <c r="H721" s="590">
        <v>1</v>
      </c>
      <c r="I721" s="1428" t="s">
        <v>5291</v>
      </c>
      <c r="J721" s="590"/>
      <c r="K721" s="590" t="s">
        <v>68</v>
      </c>
      <c r="L721" s="590"/>
      <c r="M721" s="595">
        <v>127016998</v>
      </c>
      <c r="N721" s="590" t="s">
        <v>251</v>
      </c>
      <c r="O721" s="594">
        <v>43796</v>
      </c>
      <c r="P721" s="594">
        <v>43836</v>
      </c>
      <c r="Q721" s="590"/>
      <c r="R721" s="590"/>
      <c r="S721" s="1428"/>
      <c r="T721" s="595"/>
      <c r="U721" s="595"/>
      <c r="V721" s="1484"/>
      <c r="W721" s="1484"/>
      <c r="X721" s="1484"/>
      <c r="Y721" s="595"/>
      <c r="Z721" s="595"/>
      <c r="AA721" s="590"/>
      <c r="AB721" s="590"/>
      <c r="AC721" s="590"/>
      <c r="AD721" s="590"/>
      <c r="AE721" s="590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</row>
    <row r="722" spans="1:45">
      <c r="A722" s="9"/>
      <c r="B722" s="9"/>
      <c r="C722" s="544">
        <v>43692</v>
      </c>
      <c r="D722" s="1357" t="s">
        <v>5301</v>
      </c>
      <c r="E722" s="540" t="s">
        <v>2434</v>
      </c>
      <c r="F722" s="540" t="s">
        <v>219</v>
      </c>
      <c r="G722" s="1298" t="s">
        <v>5302</v>
      </c>
      <c r="H722" s="540"/>
      <c r="I722" s="1402"/>
      <c r="J722" s="590"/>
      <c r="K722" s="540" t="s">
        <v>4312</v>
      </c>
      <c r="L722" s="540"/>
      <c r="M722" s="545">
        <v>2384424</v>
      </c>
      <c r="N722" s="540" t="s">
        <v>216</v>
      </c>
      <c r="O722" s="544">
        <v>43768</v>
      </c>
      <c r="P722" s="544">
        <v>43789</v>
      </c>
      <c r="Q722" s="544">
        <v>43804</v>
      </c>
      <c r="R722" s="540" t="s">
        <v>6071</v>
      </c>
      <c r="S722" s="1402"/>
      <c r="T722" s="545">
        <v>2346120</v>
      </c>
      <c r="U722" s="545">
        <v>2838805.2</v>
      </c>
      <c r="V722" s="1484"/>
      <c r="W722" s="1484"/>
      <c r="X722" s="1484"/>
      <c r="Y722" s="1385">
        <v>43804</v>
      </c>
      <c r="Z722" s="545" t="s">
        <v>6088</v>
      </c>
      <c r="AA722" s="540"/>
      <c r="AB722" s="540"/>
      <c r="AC722" s="540"/>
      <c r="AD722" s="540"/>
      <c r="AE722" s="540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</row>
    <row r="723" spans="1:45" ht="15.75" thickBot="1">
      <c r="A723" s="9"/>
      <c r="B723" s="9"/>
      <c r="C723" s="464">
        <v>43697</v>
      </c>
      <c r="D723" s="1372" t="s">
        <v>5292</v>
      </c>
      <c r="E723" s="406" t="s">
        <v>69</v>
      </c>
      <c r="F723" s="406" t="s">
        <v>70</v>
      </c>
      <c r="G723" s="462" t="s">
        <v>5293</v>
      </c>
      <c r="H723" s="406">
        <v>1</v>
      </c>
      <c r="I723" s="1425" t="s">
        <v>5294</v>
      </c>
      <c r="J723" s="1437"/>
      <c r="K723" s="406" t="s">
        <v>3438</v>
      </c>
      <c r="L723" s="406"/>
      <c r="M723" s="465">
        <v>9364240</v>
      </c>
      <c r="N723" s="406" t="s">
        <v>251</v>
      </c>
      <c r="O723" s="464">
        <v>43724</v>
      </c>
      <c r="P723" s="464">
        <v>43802</v>
      </c>
      <c r="Q723" s="406"/>
      <c r="R723" s="406"/>
      <c r="S723" s="1425"/>
      <c r="T723" s="465"/>
      <c r="U723" s="465"/>
      <c r="V723" s="1490"/>
      <c r="W723" s="1490"/>
      <c r="X723" s="1490"/>
      <c r="Y723" s="465"/>
      <c r="Z723" s="465"/>
      <c r="AA723" s="406"/>
      <c r="AB723" s="406"/>
      <c r="AC723" s="406"/>
      <c r="AD723" s="406"/>
      <c r="AE723" s="406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</row>
    <row r="724" spans="1:45" ht="15.75" thickTop="1">
      <c r="A724" s="9"/>
      <c r="B724" s="9"/>
      <c r="C724" s="428">
        <v>43697</v>
      </c>
      <c r="D724" s="1358" t="s">
        <v>5295</v>
      </c>
      <c r="E724" s="425" t="s">
        <v>69</v>
      </c>
      <c r="F724" s="425" t="s">
        <v>70</v>
      </c>
      <c r="G724" s="426" t="s">
        <v>5296</v>
      </c>
      <c r="H724" s="425">
        <v>1</v>
      </c>
      <c r="I724" s="1371" t="s">
        <v>5297</v>
      </c>
      <c r="J724" s="583"/>
      <c r="K724" s="425" t="s">
        <v>5300</v>
      </c>
      <c r="L724" s="425"/>
      <c r="M724" s="429">
        <v>1381855</v>
      </c>
      <c r="N724" s="425" t="s">
        <v>251</v>
      </c>
      <c r="O724" s="428">
        <v>43746</v>
      </c>
      <c r="P724" s="428">
        <v>43780</v>
      </c>
      <c r="Q724" s="428">
        <v>43804</v>
      </c>
      <c r="R724" s="425" t="s">
        <v>576</v>
      </c>
      <c r="S724" s="1371"/>
      <c r="T724" s="429">
        <v>1381846.8</v>
      </c>
      <c r="U724" s="429">
        <v>1520031.48</v>
      </c>
      <c r="V724" s="1483"/>
      <c r="W724" s="1483"/>
      <c r="X724" s="1483"/>
      <c r="Y724" s="1384">
        <v>43805</v>
      </c>
      <c r="Z724" s="429" t="s">
        <v>6098</v>
      </c>
      <c r="AA724" s="425"/>
      <c r="AB724" s="425"/>
      <c r="AC724" s="425"/>
      <c r="AD724" s="425"/>
      <c r="AE724" s="425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</row>
    <row r="725" spans="1:45">
      <c r="A725" s="9"/>
      <c r="B725" s="9"/>
      <c r="C725" s="510">
        <v>43697</v>
      </c>
      <c r="D725" s="1382" t="s">
        <v>5295</v>
      </c>
      <c r="E725" s="506" t="s">
        <v>69</v>
      </c>
      <c r="F725" s="506" t="s">
        <v>70</v>
      </c>
      <c r="G725" s="507" t="s">
        <v>5296</v>
      </c>
      <c r="H725" s="506">
        <v>2</v>
      </c>
      <c r="I725" s="548" t="s">
        <v>5298</v>
      </c>
      <c r="J725" s="506"/>
      <c r="K725" s="506" t="s">
        <v>5300</v>
      </c>
      <c r="L725" s="506"/>
      <c r="M725" s="511">
        <v>8691934</v>
      </c>
      <c r="N725" s="506" t="s">
        <v>251</v>
      </c>
      <c r="O725" s="510">
        <v>43746</v>
      </c>
      <c r="P725" s="510">
        <v>43780</v>
      </c>
      <c r="Q725" s="506"/>
      <c r="R725" s="514" t="s">
        <v>5906</v>
      </c>
      <c r="S725" s="548"/>
      <c r="T725" s="511"/>
      <c r="U725" s="511"/>
      <c r="V725" s="1470"/>
      <c r="W725" s="1470"/>
      <c r="X725" s="1470"/>
      <c r="Y725" s="511"/>
      <c r="Z725" s="511"/>
      <c r="AA725" s="506"/>
      <c r="AB725" s="510">
        <v>43762</v>
      </c>
      <c r="AC725" s="506" t="s">
        <v>5905</v>
      </c>
      <c r="AD725" s="506"/>
      <c r="AE725" s="506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</row>
    <row r="726" spans="1:45" ht="15.75" thickBot="1">
      <c r="A726" s="9"/>
      <c r="B726" s="9"/>
      <c r="C726" s="1414">
        <v>43697</v>
      </c>
      <c r="D726" s="1411" t="s">
        <v>5295</v>
      </c>
      <c r="E726" s="1410" t="s">
        <v>69</v>
      </c>
      <c r="F726" s="1410" t="s">
        <v>70</v>
      </c>
      <c r="G726" s="1412" t="s">
        <v>5296</v>
      </c>
      <c r="H726" s="1410">
        <v>3</v>
      </c>
      <c r="I726" s="1430" t="s">
        <v>5299</v>
      </c>
      <c r="J726" s="1410"/>
      <c r="K726" s="1410" t="s">
        <v>5300</v>
      </c>
      <c r="L726" s="1410"/>
      <c r="M726" s="1413">
        <v>6543266</v>
      </c>
      <c r="N726" s="1410" t="s">
        <v>251</v>
      </c>
      <c r="O726" s="1414">
        <v>43746</v>
      </c>
      <c r="P726" s="1414">
        <v>43780</v>
      </c>
      <c r="Q726" s="1410"/>
      <c r="R726" s="1740" t="s">
        <v>5906</v>
      </c>
      <c r="S726" s="1430"/>
      <c r="T726" s="1413"/>
      <c r="U726" s="1413"/>
      <c r="V726" s="1479"/>
      <c r="W726" s="1479"/>
      <c r="X726" s="1479"/>
      <c r="Y726" s="1413"/>
      <c r="Z726" s="1413"/>
      <c r="AA726" s="1410"/>
      <c r="AB726" s="1414">
        <v>43762</v>
      </c>
      <c r="AC726" s="1410" t="s">
        <v>5905</v>
      </c>
      <c r="AD726" s="1410"/>
      <c r="AE726" s="1410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</row>
    <row r="727" spans="1:45" ht="15.75" thickTop="1">
      <c r="A727" s="9"/>
      <c r="B727" s="9"/>
      <c r="C727" s="365" t="s">
        <v>3585</v>
      </c>
      <c r="D727" s="1397" t="s">
        <v>5305</v>
      </c>
      <c r="E727" s="1753" t="s">
        <v>14</v>
      </c>
      <c r="F727" s="1753" t="s">
        <v>1753</v>
      </c>
      <c r="G727" s="175" t="s">
        <v>544</v>
      </c>
      <c r="H727" s="1753"/>
      <c r="I727" s="1754"/>
      <c r="J727" s="1753"/>
      <c r="K727" s="1753" t="s">
        <v>545</v>
      </c>
      <c r="L727" s="1753"/>
      <c r="M727" s="364">
        <v>550000</v>
      </c>
      <c r="N727" s="1753" t="s">
        <v>112</v>
      </c>
      <c r="O727" s="365">
        <v>43699</v>
      </c>
      <c r="P727" s="365">
        <v>43711</v>
      </c>
      <c r="Q727" s="365">
        <v>43717</v>
      </c>
      <c r="R727" s="1791" t="s">
        <v>5460</v>
      </c>
      <c r="S727" s="1754"/>
      <c r="T727" s="364">
        <v>686661</v>
      </c>
      <c r="U727" s="364">
        <v>830859.81</v>
      </c>
      <c r="V727" s="1473"/>
      <c r="W727" s="1473"/>
      <c r="X727" s="1473"/>
      <c r="Y727" s="681">
        <v>43718</v>
      </c>
      <c r="Z727" s="364" t="s">
        <v>5582</v>
      </c>
      <c r="AA727" s="365">
        <v>43740</v>
      </c>
      <c r="AB727" s="365">
        <v>43741</v>
      </c>
      <c r="AC727" s="365">
        <v>44242</v>
      </c>
      <c r="AD727" s="365">
        <v>44244</v>
      </c>
      <c r="AE727" s="1513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</row>
    <row r="728" spans="1:45" ht="30">
      <c r="A728" s="9"/>
      <c r="B728" s="9"/>
      <c r="C728" s="537">
        <v>43734</v>
      </c>
      <c r="D728" s="1373" t="s">
        <v>5308</v>
      </c>
      <c r="E728" s="491" t="s">
        <v>14</v>
      </c>
      <c r="F728" s="491" t="s">
        <v>13</v>
      </c>
      <c r="G728" s="571" t="s">
        <v>5309</v>
      </c>
      <c r="H728" s="491"/>
      <c r="I728" s="495"/>
      <c r="J728" s="491"/>
      <c r="K728" s="491" t="s">
        <v>5310</v>
      </c>
      <c r="L728" s="491" t="s">
        <v>5311</v>
      </c>
      <c r="M728" s="536">
        <v>1573000</v>
      </c>
      <c r="N728" s="491" t="s">
        <v>112</v>
      </c>
      <c r="O728" s="537">
        <v>43740</v>
      </c>
      <c r="P728" s="537">
        <v>43749</v>
      </c>
      <c r="Q728" s="537">
        <v>43756</v>
      </c>
      <c r="R728" s="491" t="s">
        <v>3915</v>
      </c>
      <c r="S728" s="495"/>
      <c r="T728" s="536">
        <v>1237500</v>
      </c>
      <c r="U728" s="536">
        <v>1497375</v>
      </c>
      <c r="V728" s="1471"/>
      <c r="W728" s="1471"/>
      <c r="X728" s="1471"/>
      <c r="Y728" s="573">
        <v>43759</v>
      </c>
      <c r="Z728" s="1375" t="s">
        <v>5860</v>
      </c>
      <c r="AA728" s="537">
        <v>43776</v>
      </c>
      <c r="AB728" s="537">
        <v>43780</v>
      </c>
      <c r="AC728" s="491" t="s">
        <v>2585</v>
      </c>
      <c r="AD728" s="537">
        <v>43878</v>
      </c>
      <c r="AE728" s="1525">
        <v>44865</v>
      </c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</row>
    <row r="729" spans="1:45" ht="15.75" thickBot="1">
      <c r="A729" s="9"/>
      <c r="B729" s="9"/>
      <c r="C729" s="416">
        <v>43693</v>
      </c>
      <c r="D729" s="1468" t="s">
        <v>5312</v>
      </c>
      <c r="E729" s="411" t="s">
        <v>2434</v>
      </c>
      <c r="F729" s="411" t="s">
        <v>3204</v>
      </c>
      <c r="G729" s="412" t="s">
        <v>5313</v>
      </c>
      <c r="H729" s="411"/>
      <c r="I729" s="630"/>
      <c r="J729" s="411"/>
      <c r="K729" s="411" t="s">
        <v>642</v>
      </c>
      <c r="L729" s="411"/>
      <c r="M729" s="417">
        <v>1346625</v>
      </c>
      <c r="N729" s="411" t="s">
        <v>112</v>
      </c>
      <c r="O729" s="416">
        <v>43705</v>
      </c>
      <c r="P729" s="416">
        <v>43713</v>
      </c>
      <c r="Q729" s="416">
        <v>43745</v>
      </c>
      <c r="R729" s="411" t="s">
        <v>5696</v>
      </c>
      <c r="S729" s="630"/>
      <c r="T729" s="417">
        <v>1346625</v>
      </c>
      <c r="U729" s="417">
        <v>1548621.9</v>
      </c>
      <c r="V729" s="1480"/>
      <c r="W729" s="1480"/>
      <c r="X729" s="1480"/>
      <c r="Y729" s="513">
        <v>43745</v>
      </c>
      <c r="Z729" s="417" t="s">
        <v>5792</v>
      </c>
      <c r="AA729" s="416">
        <v>43762</v>
      </c>
      <c r="AB729" s="416">
        <v>43763</v>
      </c>
      <c r="AC729" s="416">
        <v>44857</v>
      </c>
      <c r="AD729" s="411" t="s">
        <v>6603</v>
      </c>
      <c r="AE729" s="416">
        <v>44285</v>
      </c>
      <c r="AF729" s="1560">
        <v>44637</v>
      </c>
      <c r="AG729" s="388" t="s">
        <v>5910</v>
      </c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</row>
    <row r="730" spans="1:45" ht="15.75" thickTop="1">
      <c r="A730" s="9"/>
      <c r="B730" s="9"/>
      <c r="C730" s="474">
        <v>43672</v>
      </c>
      <c r="D730" s="453" t="s">
        <v>5314</v>
      </c>
      <c r="E730" s="453" t="s">
        <v>69</v>
      </c>
      <c r="F730" s="453" t="s">
        <v>70</v>
      </c>
      <c r="G730" s="473" t="s">
        <v>5315</v>
      </c>
      <c r="H730" s="453">
        <v>1</v>
      </c>
      <c r="I730" s="1420" t="s">
        <v>5316</v>
      </c>
      <c r="J730" s="453"/>
      <c r="K730" s="453" t="s">
        <v>4188</v>
      </c>
      <c r="L730" s="453"/>
      <c r="M730" s="1788">
        <v>174460</v>
      </c>
      <c r="N730" s="453" t="s">
        <v>112</v>
      </c>
      <c r="O730" s="474">
        <v>43710</v>
      </c>
      <c r="P730" s="474">
        <v>43721</v>
      </c>
      <c r="Q730" s="474">
        <v>43741</v>
      </c>
      <c r="R730" s="453" t="s">
        <v>2548</v>
      </c>
      <c r="S730" s="1420"/>
      <c r="T730" s="457">
        <v>120377.4</v>
      </c>
      <c r="U730" s="457">
        <f>T730*1.1</f>
        <v>132415.14000000001</v>
      </c>
      <c r="V730" s="1474"/>
      <c r="W730" s="1474"/>
      <c r="X730" s="1474"/>
      <c r="Y730" s="570">
        <v>43742</v>
      </c>
      <c r="Z730" s="457" t="s">
        <v>5782</v>
      </c>
      <c r="AA730" s="474">
        <v>43759</v>
      </c>
      <c r="AB730" s="474">
        <v>43763</v>
      </c>
      <c r="AC730" s="474">
        <v>44124</v>
      </c>
      <c r="AD730" s="474">
        <v>43915</v>
      </c>
      <c r="AE730" s="453" t="s">
        <v>8483</v>
      </c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</row>
    <row r="731" spans="1:45">
      <c r="A731" s="9"/>
      <c r="B731" s="9"/>
      <c r="C731" s="537">
        <v>43672</v>
      </c>
      <c r="D731" s="491" t="s">
        <v>5314</v>
      </c>
      <c r="E731" s="491" t="s">
        <v>69</v>
      </c>
      <c r="F731" s="491" t="s">
        <v>70</v>
      </c>
      <c r="G731" s="571" t="s">
        <v>5315</v>
      </c>
      <c r="H731" s="491">
        <v>2</v>
      </c>
      <c r="I731" s="495" t="s">
        <v>5317</v>
      </c>
      <c r="J731" s="491"/>
      <c r="K731" s="491" t="s">
        <v>4188</v>
      </c>
      <c r="L731" s="491"/>
      <c r="M731" s="1789">
        <v>18200</v>
      </c>
      <c r="N731" s="491" t="s">
        <v>112</v>
      </c>
      <c r="O731" s="537">
        <v>43710</v>
      </c>
      <c r="P731" s="537">
        <v>43721</v>
      </c>
      <c r="Q731" s="537">
        <v>43741</v>
      </c>
      <c r="R731" s="491" t="s">
        <v>2548</v>
      </c>
      <c r="S731" s="495"/>
      <c r="T731" s="536">
        <v>12558</v>
      </c>
      <c r="U731" s="536">
        <f>T731*1.1</f>
        <v>13813.800000000001</v>
      </c>
      <c r="V731" s="1471"/>
      <c r="W731" s="1471"/>
      <c r="X731" s="1471"/>
      <c r="Y731" s="573">
        <v>43742</v>
      </c>
      <c r="Z731" s="536" t="s">
        <v>5783</v>
      </c>
      <c r="AA731" s="537">
        <v>43759</v>
      </c>
      <c r="AB731" s="537">
        <v>43763</v>
      </c>
      <c r="AC731" s="537">
        <v>44124</v>
      </c>
      <c r="AD731" s="537">
        <v>43915</v>
      </c>
      <c r="AE731" s="537">
        <v>44279</v>
      </c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</row>
    <row r="732" spans="1:45">
      <c r="A732" s="9"/>
      <c r="B732" s="9"/>
      <c r="C732" s="537">
        <v>43672</v>
      </c>
      <c r="D732" s="491" t="s">
        <v>5314</v>
      </c>
      <c r="E732" s="491" t="s">
        <v>69</v>
      </c>
      <c r="F732" s="491" t="s">
        <v>70</v>
      </c>
      <c r="G732" s="571" t="s">
        <v>5315</v>
      </c>
      <c r="H732" s="491">
        <v>3</v>
      </c>
      <c r="I732" s="495" t="s">
        <v>5318</v>
      </c>
      <c r="J732" s="491"/>
      <c r="K732" s="491" t="s">
        <v>4188</v>
      </c>
      <c r="L732" s="491"/>
      <c r="M732" s="1789">
        <v>1224600</v>
      </c>
      <c r="N732" s="491" t="s">
        <v>112</v>
      </c>
      <c r="O732" s="537">
        <v>43710</v>
      </c>
      <c r="P732" s="537">
        <v>43721</v>
      </c>
      <c r="Q732" s="537">
        <v>43741</v>
      </c>
      <c r="R732" s="491" t="s">
        <v>2548</v>
      </c>
      <c r="S732" s="495"/>
      <c r="T732" s="536">
        <v>844785.6</v>
      </c>
      <c r="U732" s="536">
        <f>T732*1.1</f>
        <v>929264.16</v>
      </c>
      <c r="V732" s="1471"/>
      <c r="W732" s="1471"/>
      <c r="X732" s="1471"/>
      <c r="Y732" s="573">
        <v>43742</v>
      </c>
      <c r="Z732" s="536" t="s">
        <v>5784</v>
      </c>
      <c r="AA732" s="537">
        <v>43759</v>
      </c>
      <c r="AB732" s="537">
        <v>43763</v>
      </c>
      <c r="AC732" s="537">
        <v>44124</v>
      </c>
      <c r="AD732" s="537">
        <v>43915</v>
      </c>
      <c r="AE732" s="491" t="s">
        <v>8483</v>
      </c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</row>
    <row r="733" spans="1:45" ht="15.75" thickBot="1">
      <c r="A733" s="9"/>
      <c r="B733" s="9"/>
      <c r="C733" s="1380">
        <v>43672</v>
      </c>
      <c r="D733" s="1376" t="s">
        <v>5314</v>
      </c>
      <c r="E733" s="1376" t="s">
        <v>69</v>
      </c>
      <c r="F733" s="1376" t="s">
        <v>70</v>
      </c>
      <c r="G733" s="1378" t="s">
        <v>5315</v>
      </c>
      <c r="H733" s="1376">
        <v>4</v>
      </c>
      <c r="I733" s="1421" t="s">
        <v>5319</v>
      </c>
      <c r="J733" s="1376"/>
      <c r="K733" s="1376" t="s">
        <v>4188</v>
      </c>
      <c r="L733" s="1376"/>
      <c r="M733" s="1790">
        <v>3900</v>
      </c>
      <c r="N733" s="1376" t="s">
        <v>112</v>
      </c>
      <c r="O733" s="1380">
        <v>43710</v>
      </c>
      <c r="P733" s="1380">
        <v>43721</v>
      </c>
      <c r="Q733" s="1380">
        <v>43741</v>
      </c>
      <c r="R733" s="1376" t="s">
        <v>2548</v>
      </c>
      <c r="S733" s="1421"/>
      <c r="T733" s="1379">
        <v>2690.4</v>
      </c>
      <c r="U733" s="1379">
        <f>T733*1.1</f>
        <v>2959.4400000000005</v>
      </c>
      <c r="V733" s="1475"/>
      <c r="W733" s="1475"/>
      <c r="X733" s="1475"/>
      <c r="Y733" s="1388">
        <v>43742</v>
      </c>
      <c r="Z733" s="1379" t="s">
        <v>5785</v>
      </c>
      <c r="AA733" s="1380">
        <v>43759</v>
      </c>
      <c r="AB733" s="1380">
        <v>43763</v>
      </c>
      <c r="AC733" s="1380">
        <v>44124</v>
      </c>
      <c r="AD733" s="1380">
        <v>43915</v>
      </c>
      <c r="AE733" s="1380">
        <v>44279</v>
      </c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</row>
    <row r="734" spans="1:45" ht="46.5" thickTop="1" thickBot="1">
      <c r="A734" s="9"/>
      <c r="B734" s="9"/>
      <c r="C734" s="232" t="s">
        <v>3585</v>
      </c>
      <c r="D734" s="1544" t="s">
        <v>5328</v>
      </c>
      <c r="E734" s="232" t="s">
        <v>1700</v>
      </c>
      <c r="F734" s="232" t="s">
        <v>6206</v>
      </c>
      <c r="G734" s="1563" t="s">
        <v>5588</v>
      </c>
      <c r="H734" s="232"/>
      <c r="I734" s="669"/>
      <c r="J734" s="232"/>
      <c r="K734" s="232" t="s">
        <v>1950</v>
      </c>
      <c r="L734" s="232" t="s">
        <v>5255</v>
      </c>
      <c r="M734" s="499">
        <v>308553.21999999997</v>
      </c>
      <c r="N734" s="232" t="s">
        <v>251</v>
      </c>
      <c r="O734" s="498">
        <v>43735</v>
      </c>
      <c r="P734" s="498">
        <v>43768</v>
      </c>
      <c r="Q734" s="498">
        <v>43784</v>
      </c>
      <c r="R734" s="232" t="s">
        <v>5939</v>
      </c>
      <c r="S734" s="669"/>
      <c r="T734" s="499">
        <v>320800</v>
      </c>
      <c r="U734" s="499">
        <f>T734*1.21</f>
        <v>388168</v>
      </c>
      <c r="V734" s="1545"/>
      <c r="W734" s="1545"/>
      <c r="X734" s="1545"/>
      <c r="Y734" s="682">
        <v>43787</v>
      </c>
      <c r="Z734" s="1752" t="s">
        <v>6048</v>
      </c>
      <c r="AA734" s="498">
        <v>43810</v>
      </c>
      <c r="AB734" s="498">
        <v>43815</v>
      </c>
      <c r="AC734" s="498">
        <f>AA734+42</f>
        <v>43852</v>
      </c>
      <c r="AD734" s="498">
        <v>44244</v>
      </c>
      <c r="AE734" s="1546" t="s">
        <v>6118</v>
      </c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</row>
    <row r="735" spans="1:45" ht="15.75" thickTop="1">
      <c r="A735" s="9"/>
      <c r="B735" s="9"/>
      <c r="C735" s="443">
        <v>43665</v>
      </c>
      <c r="D735" s="1415" t="s">
        <v>5346</v>
      </c>
      <c r="E735" s="439" t="s">
        <v>289</v>
      </c>
      <c r="F735" s="439" t="s">
        <v>291</v>
      </c>
      <c r="G735" s="440" t="s">
        <v>5347</v>
      </c>
      <c r="H735" s="439">
        <v>1</v>
      </c>
      <c r="I735" s="1883" t="s">
        <v>5349</v>
      </c>
      <c r="J735" s="439"/>
      <c r="K735" s="1431" t="s">
        <v>5348</v>
      </c>
      <c r="L735" s="439"/>
      <c r="M735" s="444">
        <v>5200000</v>
      </c>
      <c r="N735" s="439" t="s">
        <v>251</v>
      </c>
      <c r="O735" s="443">
        <v>43711</v>
      </c>
      <c r="P735" s="443">
        <v>43745</v>
      </c>
      <c r="Q735" s="443">
        <v>43784</v>
      </c>
      <c r="R735" s="439" t="s">
        <v>665</v>
      </c>
      <c r="S735" s="1431"/>
      <c r="T735" s="444" t="s">
        <v>2404</v>
      </c>
      <c r="U735" s="444" t="s">
        <v>2404</v>
      </c>
      <c r="V735" s="1481"/>
      <c r="W735" s="1481"/>
      <c r="X735" s="1481"/>
      <c r="Y735" s="1884">
        <v>43787</v>
      </c>
      <c r="Z735" s="444" t="s">
        <v>6014</v>
      </c>
      <c r="AA735" s="439"/>
      <c r="AB735" s="443">
        <v>43868</v>
      </c>
      <c r="AC735" s="439" t="s">
        <v>6235</v>
      </c>
      <c r="AD735" s="1431" t="s">
        <v>6210</v>
      </c>
      <c r="AE735" s="43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</row>
    <row r="736" spans="1:45">
      <c r="A736" s="9"/>
      <c r="B736" s="9"/>
      <c r="C736" s="510">
        <v>43665</v>
      </c>
      <c r="D736" s="1382" t="s">
        <v>5346</v>
      </c>
      <c r="E736" s="506" t="s">
        <v>289</v>
      </c>
      <c r="F736" s="506" t="s">
        <v>291</v>
      </c>
      <c r="G736" s="507" t="s">
        <v>5347</v>
      </c>
      <c r="H736" s="506">
        <v>2</v>
      </c>
      <c r="I736" s="1810" t="s">
        <v>5350</v>
      </c>
      <c r="J736" s="506"/>
      <c r="K736" s="548" t="s">
        <v>5348</v>
      </c>
      <c r="L736" s="506"/>
      <c r="M736" s="511">
        <v>3400000</v>
      </c>
      <c r="N736" s="506" t="s">
        <v>251</v>
      </c>
      <c r="O736" s="510">
        <v>43711</v>
      </c>
      <c r="P736" s="510">
        <v>43745</v>
      </c>
      <c r="Q736" s="506"/>
      <c r="R736" s="736" t="s">
        <v>6016</v>
      </c>
      <c r="S736" s="548"/>
      <c r="T736" s="511"/>
      <c r="U736" s="511"/>
      <c r="V736" s="1470"/>
      <c r="W736" s="1470"/>
      <c r="X736" s="1470"/>
      <c r="Y736" s="511"/>
      <c r="Z736" s="511"/>
      <c r="AA736" s="506"/>
      <c r="AB736" s="510">
        <v>43815</v>
      </c>
      <c r="AC736" s="506" t="s">
        <v>6046</v>
      </c>
      <c r="AD736" s="506"/>
      <c r="AE736" s="506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</row>
    <row r="737" spans="1:45" ht="15.75" thickBot="1">
      <c r="A737" s="9"/>
      <c r="B737" s="9"/>
      <c r="C737" s="1414">
        <v>43665</v>
      </c>
      <c r="D737" s="1411" t="s">
        <v>5346</v>
      </c>
      <c r="E737" s="1410" t="s">
        <v>289</v>
      </c>
      <c r="F737" s="1410" t="s">
        <v>291</v>
      </c>
      <c r="G737" s="1412" t="s">
        <v>5347</v>
      </c>
      <c r="H737" s="1410">
        <v>3</v>
      </c>
      <c r="I737" s="1885" t="s">
        <v>5351</v>
      </c>
      <c r="J737" s="1410"/>
      <c r="K737" s="1430" t="s">
        <v>5348</v>
      </c>
      <c r="L737" s="1410"/>
      <c r="M737" s="1413">
        <v>300000</v>
      </c>
      <c r="N737" s="1410" t="s">
        <v>251</v>
      </c>
      <c r="O737" s="1414">
        <v>43711</v>
      </c>
      <c r="P737" s="1414">
        <v>43745</v>
      </c>
      <c r="Q737" s="1414">
        <v>43784</v>
      </c>
      <c r="R737" s="1410" t="s">
        <v>6013</v>
      </c>
      <c r="S737" s="1430"/>
      <c r="T737" s="1413" t="s">
        <v>2404</v>
      </c>
      <c r="U737" s="1413" t="s">
        <v>2404</v>
      </c>
      <c r="V737" s="1479"/>
      <c r="W737" s="1479"/>
      <c r="X737" s="1479"/>
      <c r="Y737" s="1569">
        <v>43788</v>
      </c>
      <c r="Z737" s="1413" t="s">
        <v>6015</v>
      </c>
      <c r="AA737" s="1410"/>
      <c r="AB737" s="1414">
        <v>43868</v>
      </c>
      <c r="AC737" s="1410" t="s">
        <v>6235</v>
      </c>
      <c r="AD737" s="1430" t="s">
        <v>6210</v>
      </c>
      <c r="AE737" s="1410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</row>
    <row r="738" spans="1:45" ht="15.75" thickTop="1">
      <c r="A738" s="9"/>
      <c r="B738" s="9"/>
      <c r="C738" s="365">
        <v>43697</v>
      </c>
      <c r="D738" s="1397" t="s">
        <v>5357</v>
      </c>
      <c r="E738" s="1868" t="s">
        <v>14</v>
      </c>
      <c r="F738" s="1868" t="s">
        <v>13</v>
      </c>
      <c r="G738" s="175" t="s">
        <v>5352</v>
      </c>
      <c r="H738" s="1868"/>
      <c r="I738" s="1869"/>
      <c r="J738" s="1868"/>
      <c r="K738" s="2017" t="s">
        <v>773</v>
      </c>
      <c r="L738" s="1868"/>
      <c r="M738" s="364">
        <v>6440000</v>
      </c>
      <c r="N738" s="1868" t="s">
        <v>251</v>
      </c>
      <c r="O738" s="365">
        <v>43711</v>
      </c>
      <c r="P738" s="365">
        <v>43763</v>
      </c>
      <c r="Q738" s="365">
        <v>43781</v>
      </c>
      <c r="R738" s="1868" t="s">
        <v>6000</v>
      </c>
      <c r="S738" s="1869"/>
      <c r="T738" s="364">
        <v>5269350</v>
      </c>
      <c r="U738" s="364">
        <f>T738*1.21</f>
        <v>6375913.5</v>
      </c>
      <c r="V738" s="1473"/>
      <c r="W738" s="1473"/>
      <c r="X738" s="1473"/>
      <c r="Y738" s="681">
        <v>43784</v>
      </c>
      <c r="Z738" s="364" t="s">
        <v>6001</v>
      </c>
      <c r="AA738" s="365">
        <v>43812</v>
      </c>
      <c r="AB738" s="365">
        <v>43817</v>
      </c>
      <c r="AC738" s="365">
        <v>44177</v>
      </c>
      <c r="AD738" s="365">
        <v>43913</v>
      </c>
      <c r="AE738" s="365">
        <v>44277</v>
      </c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</row>
    <row r="739" spans="1:45">
      <c r="A739" s="9"/>
      <c r="B739" s="9"/>
      <c r="C739" s="544">
        <v>43700</v>
      </c>
      <c r="D739" s="1357" t="s">
        <v>5358</v>
      </c>
      <c r="E739" s="540" t="s">
        <v>1032</v>
      </c>
      <c r="F739" s="540" t="s">
        <v>361</v>
      </c>
      <c r="G739" s="541" t="s">
        <v>5359</v>
      </c>
      <c r="H739" s="540"/>
      <c r="I739" s="1402"/>
      <c r="J739" s="590"/>
      <c r="K739" s="540" t="s">
        <v>1049</v>
      </c>
      <c r="L739" s="540"/>
      <c r="M739" s="545">
        <v>2500000</v>
      </c>
      <c r="N739" s="540" t="s">
        <v>216</v>
      </c>
      <c r="O739" s="544">
        <v>43728</v>
      </c>
      <c r="P739" s="544">
        <v>43767</v>
      </c>
      <c r="Q739" s="544">
        <v>43802</v>
      </c>
      <c r="R739" s="540" t="s">
        <v>6069</v>
      </c>
      <c r="S739" s="1402"/>
      <c r="T739" s="545">
        <v>3340900</v>
      </c>
      <c r="U739" s="545">
        <f>T739*1.21</f>
        <v>4042489</v>
      </c>
      <c r="V739" s="1484"/>
      <c r="W739" s="1484"/>
      <c r="X739" s="1484"/>
      <c r="Y739" s="1385">
        <v>43803</v>
      </c>
      <c r="Z739" s="545" t="s">
        <v>6080</v>
      </c>
      <c r="AA739" s="540"/>
      <c r="AB739" s="540"/>
      <c r="AC739" s="540"/>
      <c r="AD739" s="540"/>
      <c r="AE739" s="540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</row>
    <row r="740" spans="1:45">
      <c r="A740" s="9"/>
      <c r="B740" s="9"/>
      <c r="C740" s="537">
        <v>43623</v>
      </c>
      <c r="D740" s="1373" t="s">
        <v>5365</v>
      </c>
      <c r="E740" s="491" t="s">
        <v>1032</v>
      </c>
      <c r="F740" s="491" t="s">
        <v>361</v>
      </c>
      <c r="G740" s="571" t="s">
        <v>5366</v>
      </c>
      <c r="H740" s="491"/>
      <c r="I740" s="495"/>
      <c r="J740" s="491"/>
      <c r="K740" s="491" t="s">
        <v>2278</v>
      </c>
      <c r="L740" s="491"/>
      <c r="M740" s="536">
        <v>1000000</v>
      </c>
      <c r="N740" s="491" t="s">
        <v>112</v>
      </c>
      <c r="O740" s="537">
        <v>43745</v>
      </c>
      <c r="P740" s="537">
        <v>43759</v>
      </c>
      <c r="Q740" s="537">
        <v>43767</v>
      </c>
      <c r="R740" s="491" t="s">
        <v>5904</v>
      </c>
      <c r="S740" s="495"/>
      <c r="T740" s="536">
        <v>705600</v>
      </c>
      <c r="U740" s="536">
        <f>T740*1.21</f>
        <v>853776</v>
      </c>
      <c r="V740" s="1471"/>
      <c r="W740" s="1471"/>
      <c r="X740" s="1471"/>
      <c r="Y740" s="573">
        <v>43768</v>
      </c>
      <c r="Z740" s="536" t="s">
        <v>5916</v>
      </c>
      <c r="AA740" s="537">
        <v>43802</v>
      </c>
      <c r="AB740" s="537">
        <v>43808</v>
      </c>
      <c r="AC740" s="537">
        <v>46567</v>
      </c>
      <c r="AD740" s="537">
        <v>43906</v>
      </c>
      <c r="AE740" s="1525">
        <v>44872</v>
      </c>
      <c r="AH740" s="360"/>
      <c r="AI740" s="360"/>
      <c r="AJ740" s="360"/>
      <c r="AK740" s="360"/>
      <c r="AL740" s="360"/>
      <c r="AM740" s="9"/>
      <c r="AN740" s="9"/>
      <c r="AO740" s="9"/>
      <c r="AP740" s="9"/>
      <c r="AQ740" s="9"/>
      <c r="AR740" s="9"/>
      <c r="AS740" s="9"/>
    </row>
    <row r="741" spans="1:45">
      <c r="A741" s="9"/>
      <c r="B741" s="9"/>
      <c r="C741" s="594">
        <v>43654</v>
      </c>
      <c r="D741" s="1366" t="s">
        <v>5367</v>
      </c>
      <c r="E741" s="590" t="s">
        <v>2250</v>
      </c>
      <c r="F741" s="590" t="s">
        <v>1416</v>
      </c>
      <c r="G741" s="591" t="s">
        <v>5368</v>
      </c>
      <c r="H741" s="590"/>
      <c r="I741" s="1428"/>
      <c r="J741" s="590"/>
      <c r="K741" s="590" t="s">
        <v>5459</v>
      </c>
      <c r="L741" s="590"/>
      <c r="M741" s="595">
        <v>120000000</v>
      </c>
      <c r="N741" s="590" t="s">
        <v>251</v>
      </c>
      <c r="O741" s="594">
        <v>43797</v>
      </c>
      <c r="P741" s="594">
        <v>43833</v>
      </c>
      <c r="Q741" s="590"/>
      <c r="R741" s="590"/>
      <c r="S741" s="1428"/>
      <c r="T741" s="595"/>
      <c r="U741" s="595"/>
      <c r="V741" s="1484"/>
      <c r="W741" s="1484"/>
      <c r="X741" s="1484"/>
      <c r="Y741" s="595"/>
      <c r="Z741" s="595"/>
      <c r="AA741" s="590"/>
      <c r="AB741" s="590"/>
      <c r="AC741" s="590"/>
      <c r="AD741" s="590"/>
      <c r="AE741" s="590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</row>
    <row r="742" spans="1:45">
      <c r="A742" s="9"/>
      <c r="B742" s="9"/>
      <c r="C742" s="544">
        <v>43669</v>
      </c>
      <c r="D742" s="1357" t="s">
        <v>5369</v>
      </c>
      <c r="E742" s="540" t="s">
        <v>14</v>
      </c>
      <c r="F742" s="540" t="s">
        <v>13</v>
      </c>
      <c r="G742" s="541" t="s">
        <v>5787</v>
      </c>
      <c r="H742" s="540"/>
      <c r="I742" s="1402"/>
      <c r="J742" s="590"/>
      <c r="K742" s="540" t="s">
        <v>2055</v>
      </c>
      <c r="L742" s="540"/>
      <c r="M742" s="545">
        <v>2587200</v>
      </c>
      <c r="N742" s="540" t="s">
        <v>216</v>
      </c>
      <c r="O742" s="544">
        <v>43762</v>
      </c>
      <c r="P742" s="544">
        <v>43789</v>
      </c>
      <c r="Q742" s="544">
        <v>43810</v>
      </c>
      <c r="R742" s="540" t="s">
        <v>6112</v>
      </c>
      <c r="S742" s="1402"/>
      <c r="T742" s="545">
        <v>1987200</v>
      </c>
      <c r="U742" s="545">
        <v>2404512</v>
      </c>
      <c r="V742" s="1484"/>
      <c r="W742" s="1484"/>
      <c r="X742" s="1484"/>
      <c r="Y742" s="1385">
        <v>43811</v>
      </c>
      <c r="Z742" s="545" t="s">
        <v>6124</v>
      </c>
      <c r="AA742" s="540"/>
      <c r="AB742" s="540"/>
      <c r="AC742" s="540"/>
      <c r="AD742" s="540"/>
      <c r="AE742" s="540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</row>
    <row r="743" spans="1:45" s="1638" customFormat="1">
      <c r="C743" s="1665">
        <v>43669</v>
      </c>
      <c r="D743" s="1666" t="s">
        <v>5370</v>
      </c>
      <c r="E743" s="1655" t="s">
        <v>14</v>
      </c>
      <c r="F743" s="1655" t="s">
        <v>13</v>
      </c>
      <c r="G743" s="1667" t="s">
        <v>5371</v>
      </c>
      <c r="H743" s="1655"/>
      <c r="I743" s="1668" t="s">
        <v>5395</v>
      </c>
      <c r="J743" s="1655"/>
      <c r="K743" s="1655"/>
      <c r="L743" s="1655"/>
      <c r="M743" s="1669">
        <v>200000</v>
      </c>
      <c r="N743" s="1655" t="s">
        <v>112</v>
      </c>
      <c r="O743" s="1655"/>
      <c r="P743" s="1655"/>
      <c r="Q743" s="1655"/>
      <c r="R743" s="1655"/>
      <c r="S743" s="1668"/>
      <c r="T743" s="1669"/>
      <c r="U743" s="1669"/>
      <c r="V743" s="1670"/>
      <c r="W743" s="1670"/>
      <c r="X743" s="1670"/>
      <c r="Y743" s="1669"/>
      <c r="Z743" s="1669"/>
      <c r="AA743" s="1655"/>
      <c r="AB743" s="1655"/>
      <c r="AC743" s="1655"/>
      <c r="AD743" s="1655"/>
      <c r="AE743" s="1655"/>
    </row>
    <row r="744" spans="1:45" ht="30">
      <c r="A744" s="9"/>
      <c r="B744" s="9"/>
      <c r="C744" s="544">
        <v>43691</v>
      </c>
      <c r="D744" s="1357" t="s">
        <v>5372</v>
      </c>
      <c r="E744" s="540" t="s">
        <v>2434</v>
      </c>
      <c r="F744" s="540" t="s">
        <v>3204</v>
      </c>
      <c r="G744" s="1842" t="s">
        <v>5373</v>
      </c>
      <c r="H744" s="540"/>
      <c r="I744" s="1402"/>
      <c r="J744" s="540"/>
      <c r="K744" s="540" t="s">
        <v>642</v>
      </c>
      <c r="L744" s="540"/>
      <c r="M744" s="545">
        <v>3943140</v>
      </c>
      <c r="N744" s="540" t="s">
        <v>251</v>
      </c>
      <c r="O744" s="544">
        <v>43769</v>
      </c>
      <c r="P744" s="544">
        <v>43803</v>
      </c>
      <c r="Q744" s="544">
        <v>43816</v>
      </c>
      <c r="R744" s="540" t="s">
        <v>2754</v>
      </c>
      <c r="S744" s="1402"/>
      <c r="T744" s="545">
        <v>3942981.82</v>
      </c>
      <c r="U744" s="545">
        <v>4771008</v>
      </c>
      <c r="V744" s="1472"/>
      <c r="W744" s="1472"/>
      <c r="X744" s="1472"/>
      <c r="Y744" s="1385">
        <v>43818</v>
      </c>
      <c r="Z744" s="1386" t="s">
        <v>6170</v>
      </c>
      <c r="AA744" s="540"/>
      <c r="AB744" s="540"/>
      <c r="AC744" s="540"/>
      <c r="AD744" s="540"/>
      <c r="AE744" s="540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</row>
    <row r="745" spans="1:45">
      <c r="A745" s="9"/>
      <c r="B745" s="9"/>
      <c r="C745" s="510">
        <v>43692</v>
      </c>
      <c r="D745" s="1382" t="s">
        <v>5374</v>
      </c>
      <c r="E745" s="506" t="s">
        <v>58</v>
      </c>
      <c r="F745" s="506" t="s">
        <v>2684</v>
      </c>
      <c r="G745" s="507" t="s">
        <v>3111</v>
      </c>
      <c r="H745" s="506"/>
      <c r="I745" s="548"/>
      <c r="J745" s="506"/>
      <c r="K745" s="506" t="s">
        <v>77</v>
      </c>
      <c r="L745" s="506"/>
      <c r="M745" s="511">
        <v>2314000</v>
      </c>
      <c r="N745" s="506" t="s">
        <v>216</v>
      </c>
      <c r="O745" s="510">
        <v>43712</v>
      </c>
      <c r="P745" s="510">
        <v>43733</v>
      </c>
      <c r="Q745" s="506"/>
      <c r="R745" s="514" t="s">
        <v>3477</v>
      </c>
      <c r="S745" s="548" t="s">
        <v>5628</v>
      </c>
      <c r="T745" s="511"/>
      <c r="U745" s="511"/>
      <c r="V745" s="1470"/>
      <c r="W745" s="1470"/>
      <c r="X745" s="1470"/>
      <c r="Y745" s="511"/>
      <c r="Z745" s="511"/>
      <c r="AA745" s="506"/>
      <c r="AB745" s="510">
        <v>43727</v>
      </c>
      <c r="AC745" s="506" t="s">
        <v>5642</v>
      </c>
      <c r="AD745" s="506"/>
      <c r="AE745" s="506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</row>
    <row r="746" spans="1:45" ht="30">
      <c r="A746" s="9"/>
      <c r="B746" s="9"/>
      <c r="C746" s="537">
        <v>43699</v>
      </c>
      <c r="D746" s="1373" t="s">
        <v>5375</v>
      </c>
      <c r="E746" s="491" t="s">
        <v>58</v>
      </c>
      <c r="F746" s="491" t="s">
        <v>2684</v>
      </c>
      <c r="G746" s="571" t="s">
        <v>5376</v>
      </c>
      <c r="H746" s="491"/>
      <c r="I746" s="495"/>
      <c r="J746" s="491"/>
      <c r="K746" s="491" t="s">
        <v>2920</v>
      </c>
      <c r="L746" s="491" t="s">
        <v>4230</v>
      </c>
      <c r="M746" s="536">
        <v>1133058</v>
      </c>
      <c r="N746" s="491" t="s">
        <v>112</v>
      </c>
      <c r="O746" s="537">
        <v>43711</v>
      </c>
      <c r="P746" s="537">
        <v>43721</v>
      </c>
      <c r="Q746" s="537">
        <v>43738</v>
      </c>
      <c r="R746" s="491" t="s">
        <v>198</v>
      </c>
      <c r="S746" s="495"/>
      <c r="T746" s="536">
        <v>1928768</v>
      </c>
      <c r="U746" s="536">
        <f>T746*1.21</f>
        <v>2333809.2799999998</v>
      </c>
      <c r="V746" s="1484"/>
      <c r="W746" s="1484"/>
      <c r="X746" s="1484"/>
      <c r="Y746" s="573">
        <v>43738</v>
      </c>
      <c r="Z746" s="1375" t="s">
        <v>5757</v>
      </c>
      <c r="AA746" s="537">
        <v>43770</v>
      </c>
      <c r="AB746" s="537">
        <v>43774</v>
      </c>
      <c r="AC746" s="537">
        <f>AA746+56</f>
        <v>43826</v>
      </c>
      <c r="AD746" s="537">
        <v>43892</v>
      </c>
      <c r="AE746" s="1374" t="s">
        <v>1875</v>
      </c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</row>
    <row r="747" spans="1:45">
      <c r="A747" s="9"/>
      <c r="B747" s="9"/>
      <c r="C747" s="537">
        <v>43703</v>
      </c>
      <c r="D747" s="1373" t="s">
        <v>5377</v>
      </c>
      <c r="E747" s="491" t="s">
        <v>14</v>
      </c>
      <c r="F747" s="491" t="s">
        <v>1753</v>
      </c>
      <c r="G747" s="571" t="s">
        <v>5378</v>
      </c>
      <c r="H747" s="491"/>
      <c r="I747" s="495"/>
      <c r="J747" s="491"/>
      <c r="K747" s="491" t="s">
        <v>1226</v>
      </c>
      <c r="L747" s="495" t="s">
        <v>5637</v>
      </c>
      <c r="M747" s="536">
        <v>3840000</v>
      </c>
      <c r="N747" s="491" t="s">
        <v>216</v>
      </c>
      <c r="O747" s="537">
        <v>43731</v>
      </c>
      <c r="P747" s="537">
        <v>43747</v>
      </c>
      <c r="Q747" s="537">
        <v>43753</v>
      </c>
      <c r="R747" s="491" t="s">
        <v>333</v>
      </c>
      <c r="S747" s="495"/>
      <c r="T747" s="536">
        <v>3820900</v>
      </c>
      <c r="U747" s="536">
        <v>4623289</v>
      </c>
      <c r="V747" s="1471"/>
      <c r="W747" s="1471"/>
      <c r="X747" s="1471"/>
      <c r="Y747" s="573">
        <v>43754</v>
      </c>
      <c r="Z747" s="536" t="s">
        <v>5831</v>
      </c>
      <c r="AA747" s="537">
        <v>43782</v>
      </c>
      <c r="AB747" s="537">
        <v>43788</v>
      </c>
      <c r="AC747" s="537">
        <f>AA747+60</f>
        <v>43842</v>
      </c>
      <c r="AD747" s="537">
        <v>43900</v>
      </c>
      <c r="AE747" s="1102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</row>
    <row r="748" spans="1:45">
      <c r="A748" s="9"/>
      <c r="B748" s="9"/>
      <c r="C748" s="537">
        <v>43703</v>
      </c>
      <c r="D748" s="1373" t="s">
        <v>5379</v>
      </c>
      <c r="E748" s="491" t="s">
        <v>14</v>
      </c>
      <c r="F748" s="491" t="s">
        <v>1753</v>
      </c>
      <c r="G748" s="571" t="s">
        <v>5381</v>
      </c>
      <c r="H748" s="491"/>
      <c r="I748" s="495"/>
      <c r="J748" s="491"/>
      <c r="K748" s="491" t="s">
        <v>5380</v>
      </c>
      <c r="L748" s="491"/>
      <c r="M748" s="536">
        <v>1322314</v>
      </c>
      <c r="N748" s="491" t="s">
        <v>112</v>
      </c>
      <c r="O748" s="537">
        <v>43713</v>
      </c>
      <c r="P748" s="537">
        <v>43725</v>
      </c>
      <c r="Q748" s="537">
        <v>43726</v>
      </c>
      <c r="R748" s="491" t="s">
        <v>333</v>
      </c>
      <c r="S748" s="495"/>
      <c r="T748" s="536">
        <v>1160000</v>
      </c>
      <c r="U748" s="536">
        <v>1403600</v>
      </c>
      <c r="V748" s="1471"/>
      <c r="W748" s="1471"/>
      <c r="X748" s="1471"/>
      <c r="Y748" s="573">
        <v>43727</v>
      </c>
      <c r="Z748" s="536" t="s">
        <v>5638</v>
      </c>
      <c r="AA748" s="537">
        <v>43754</v>
      </c>
      <c r="AB748" s="537">
        <v>43756</v>
      </c>
      <c r="AC748" s="537">
        <f>AA748+60</f>
        <v>43814</v>
      </c>
      <c r="AD748" s="537">
        <v>43857</v>
      </c>
      <c r="AE748" s="1102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</row>
    <row r="749" spans="1:45">
      <c r="A749" s="9"/>
      <c r="B749" s="9"/>
      <c r="C749" s="537">
        <v>43705</v>
      </c>
      <c r="D749" s="1373" t="s">
        <v>5382</v>
      </c>
      <c r="E749" s="491" t="s">
        <v>3678</v>
      </c>
      <c r="F749" s="491" t="s">
        <v>918</v>
      </c>
      <c r="G749" s="571" t="s">
        <v>5383</v>
      </c>
      <c r="H749" s="491"/>
      <c r="I749" s="495"/>
      <c r="J749" s="491"/>
      <c r="K749" s="491" t="s">
        <v>1518</v>
      </c>
      <c r="L749" s="491"/>
      <c r="M749" s="536">
        <v>277000</v>
      </c>
      <c r="N749" s="491" t="s">
        <v>112</v>
      </c>
      <c r="O749" s="537">
        <v>43728</v>
      </c>
      <c r="P749" s="537">
        <v>43740</v>
      </c>
      <c r="Q749" s="537">
        <v>43767</v>
      </c>
      <c r="R749" s="491" t="s">
        <v>5795</v>
      </c>
      <c r="S749" s="495"/>
      <c r="T749" s="536">
        <v>249300</v>
      </c>
      <c r="U749" s="536">
        <v>301653.12</v>
      </c>
      <c r="V749" s="1471"/>
      <c r="W749" s="1471"/>
      <c r="X749" s="1471"/>
      <c r="Y749" s="573">
        <v>43767</v>
      </c>
      <c r="Z749" s="536" t="s">
        <v>5915</v>
      </c>
      <c r="AA749" s="537">
        <v>43796</v>
      </c>
      <c r="AB749" s="537">
        <v>43801</v>
      </c>
      <c r="AC749" s="537">
        <v>45256</v>
      </c>
      <c r="AD749" s="537">
        <v>43913</v>
      </c>
      <c r="AE749" s="1525">
        <v>44865</v>
      </c>
      <c r="AH749" s="360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</row>
    <row r="750" spans="1:45">
      <c r="A750" s="9"/>
      <c r="B750" s="9"/>
      <c r="C750" s="1390">
        <v>43707</v>
      </c>
      <c r="D750" s="1359" t="s">
        <v>5396</v>
      </c>
      <c r="E750" s="530" t="s">
        <v>3678</v>
      </c>
      <c r="F750" s="530" t="s">
        <v>918</v>
      </c>
      <c r="G750" s="1190" t="s">
        <v>5397</v>
      </c>
      <c r="H750" s="530"/>
      <c r="I750" s="1432"/>
      <c r="J750" s="530"/>
      <c r="K750" s="1102" t="s">
        <v>1518</v>
      </c>
      <c r="L750" s="530"/>
      <c r="M750" s="533">
        <v>7920000</v>
      </c>
      <c r="N750" s="530" t="s">
        <v>251</v>
      </c>
      <c r="O750" s="530"/>
      <c r="P750" s="530"/>
      <c r="Q750" s="530"/>
      <c r="R750" s="530"/>
      <c r="S750" s="1432"/>
      <c r="T750" s="533"/>
      <c r="U750" s="533"/>
      <c r="V750" s="1487"/>
      <c r="W750" s="1487"/>
      <c r="X750" s="1487"/>
      <c r="Y750" s="533"/>
      <c r="Z750" s="533"/>
      <c r="AA750" s="530"/>
      <c r="AB750" s="530"/>
      <c r="AC750" s="530"/>
      <c r="AD750" s="530"/>
      <c r="AE750" s="530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</row>
    <row r="751" spans="1:45" ht="30">
      <c r="A751" s="9"/>
      <c r="B751" s="9"/>
      <c r="C751" s="537">
        <v>43707</v>
      </c>
      <c r="D751" s="1373" t="s">
        <v>5399</v>
      </c>
      <c r="E751" s="491" t="s">
        <v>58</v>
      </c>
      <c r="F751" s="491" t="s">
        <v>2684</v>
      </c>
      <c r="G751" s="571" t="s">
        <v>5398</v>
      </c>
      <c r="H751" s="491"/>
      <c r="I751" s="495"/>
      <c r="J751" s="491"/>
      <c r="K751" s="491" t="s">
        <v>421</v>
      </c>
      <c r="L751" s="495" t="s">
        <v>5400</v>
      </c>
      <c r="M751" s="536">
        <v>580000</v>
      </c>
      <c r="N751" s="491" t="s">
        <v>112</v>
      </c>
      <c r="O751" s="537">
        <v>43719</v>
      </c>
      <c r="P751" s="537">
        <v>43732</v>
      </c>
      <c r="Q751" s="537">
        <v>43773</v>
      </c>
      <c r="R751" s="491" t="s">
        <v>5890</v>
      </c>
      <c r="S751" s="495"/>
      <c r="T751" s="536">
        <v>553450</v>
      </c>
      <c r="U751" s="536">
        <v>669670</v>
      </c>
      <c r="V751" s="1471"/>
      <c r="W751" s="1471"/>
      <c r="X751" s="1471"/>
      <c r="Y751" s="573">
        <v>43773</v>
      </c>
      <c r="Z751" s="1375" t="s">
        <v>5946</v>
      </c>
      <c r="AA751" s="537">
        <v>43809</v>
      </c>
      <c r="AB751" s="537">
        <v>43815</v>
      </c>
      <c r="AC751" s="537">
        <f>AA751+40</f>
        <v>43849</v>
      </c>
      <c r="AD751" s="537">
        <v>43878</v>
      </c>
      <c r="AE751" s="1374" t="s">
        <v>1875</v>
      </c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</row>
    <row r="752" spans="1:45">
      <c r="A752" s="9"/>
      <c r="B752" s="9"/>
      <c r="C752" s="544">
        <v>43707</v>
      </c>
      <c r="D752" s="1357" t="s">
        <v>5402</v>
      </c>
      <c r="E752" s="540" t="s">
        <v>69</v>
      </c>
      <c r="F752" s="540" t="s">
        <v>70</v>
      </c>
      <c r="G752" s="541" t="s">
        <v>5404</v>
      </c>
      <c r="H752" s="540">
        <v>1</v>
      </c>
      <c r="I752" s="1402" t="s">
        <v>3740</v>
      </c>
      <c r="J752" s="590"/>
      <c r="K752" s="540" t="s">
        <v>3237</v>
      </c>
      <c r="L752" s="540"/>
      <c r="M752" s="545">
        <v>8418067</v>
      </c>
      <c r="N752" s="540" t="s">
        <v>251</v>
      </c>
      <c r="O752" s="544">
        <v>43731</v>
      </c>
      <c r="P752" s="544">
        <v>43762</v>
      </c>
      <c r="Q752" s="544">
        <v>43804</v>
      </c>
      <c r="R752" s="1402" t="s">
        <v>6067</v>
      </c>
      <c r="S752" s="1402"/>
      <c r="T752" s="545">
        <v>8316786.4000000004</v>
      </c>
      <c r="U752" s="545">
        <v>9148465.0399999991</v>
      </c>
      <c r="V752" s="1484"/>
      <c r="W752" s="1484"/>
      <c r="X752" s="1484"/>
      <c r="Y752" s="1385">
        <v>43805</v>
      </c>
      <c r="Z752" s="545" t="s">
        <v>6095</v>
      </c>
      <c r="AA752" s="540"/>
      <c r="AB752" s="540"/>
      <c r="AC752" s="540"/>
      <c r="AD752" s="540"/>
      <c r="AE752" s="540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</row>
    <row r="753" spans="1:45" ht="15.75" thickBot="1">
      <c r="A753" s="9"/>
      <c r="B753" s="9"/>
      <c r="C753" s="464">
        <v>43707</v>
      </c>
      <c r="D753" s="1372" t="s">
        <v>5403</v>
      </c>
      <c r="E753" s="406" t="s">
        <v>69</v>
      </c>
      <c r="F753" s="406" t="s">
        <v>70</v>
      </c>
      <c r="G753" s="462" t="s">
        <v>5405</v>
      </c>
      <c r="H753" s="406">
        <v>1</v>
      </c>
      <c r="I753" s="1425" t="s">
        <v>5406</v>
      </c>
      <c r="J753" s="1437"/>
      <c r="K753" s="406" t="s">
        <v>3436</v>
      </c>
      <c r="L753" s="406"/>
      <c r="M753" s="465">
        <v>28747836</v>
      </c>
      <c r="N753" s="406" t="s">
        <v>251</v>
      </c>
      <c r="O753" s="464">
        <v>43731</v>
      </c>
      <c r="P753" s="464">
        <v>43773</v>
      </c>
      <c r="Q753" s="464">
        <v>43804</v>
      </c>
      <c r="R753" s="406" t="s">
        <v>1407</v>
      </c>
      <c r="S753" s="1425"/>
      <c r="T753" s="465">
        <v>28747836</v>
      </c>
      <c r="U753" s="465">
        <v>31622620</v>
      </c>
      <c r="V753" s="1490"/>
      <c r="W753" s="1490"/>
      <c r="X753" s="1490"/>
      <c r="Y753" s="1809">
        <v>43805</v>
      </c>
      <c r="Z753" s="465" t="s">
        <v>6096</v>
      </c>
      <c r="AA753" s="406"/>
      <c r="AB753" s="406"/>
      <c r="AC753" s="406"/>
      <c r="AD753" s="406"/>
      <c r="AE753" s="406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</row>
    <row r="754" spans="1:45" ht="15.75" thickTop="1">
      <c r="A754" s="9"/>
      <c r="B754" s="9"/>
      <c r="C754" s="428">
        <v>43707</v>
      </c>
      <c r="D754" s="1358" t="s">
        <v>5407</v>
      </c>
      <c r="E754" s="425" t="s">
        <v>69</v>
      </c>
      <c r="F754" s="425" t="s">
        <v>70</v>
      </c>
      <c r="G754" s="426" t="s">
        <v>5411</v>
      </c>
      <c r="H754" s="425">
        <v>1</v>
      </c>
      <c r="I754" s="1371" t="s">
        <v>5408</v>
      </c>
      <c r="J754" s="583"/>
      <c r="K754" s="425"/>
      <c r="L754" s="425"/>
      <c r="M754" s="429">
        <v>8023320</v>
      </c>
      <c r="N754" s="425" t="s">
        <v>251</v>
      </c>
      <c r="O754" s="428">
        <v>43746</v>
      </c>
      <c r="P754" s="428">
        <v>43816</v>
      </c>
      <c r="Q754" s="425"/>
      <c r="R754" s="425"/>
      <c r="S754" s="1371"/>
      <c r="T754" s="429"/>
      <c r="U754" s="429"/>
      <c r="V754" s="1483"/>
      <c r="W754" s="1483"/>
      <c r="X754" s="1483"/>
      <c r="Y754" s="429"/>
      <c r="Z754" s="429"/>
      <c r="AA754" s="425"/>
      <c r="AB754" s="425"/>
      <c r="AC754" s="425"/>
      <c r="AD754" s="425"/>
      <c r="AE754" s="425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</row>
    <row r="755" spans="1:45">
      <c r="A755" s="9"/>
      <c r="B755" s="9"/>
      <c r="C755" s="510">
        <v>43707</v>
      </c>
      <c r="D755" s="1382" t="s">
        <v>5407</v>
      </c>
      <c r="E755" s="506" t="s">
        <v>69</v>
      </c>
      <c r="F755" s="506" t="s">
        <v>70</v>
      </c>
      <c r="G755" s="507" t="s">
        <v>5411</v>
      </c>
      <c r="H755" s="506">
        <v>2</v>
      </c>
      <c r="I755" s="548" t="s">
        <v>5409</v>
      </c>
      <c r="J755" s="590"/>
      <c r="K755" s="506"/>
      <c r="L755" s="506"/>
      <c r="M755" s="511">
        <v>6714275</v>
      </c>
      <c r="N755" s="506" t="s">
        <v>251</v>
      </c>
      <c r="O755" s="510">
        <v>43746</v>
      </c>
      <c r="P755" s="510">
        <v>43810</v>
      </c>
      <c r="Q755" s="506"/>
      <c r="R755" s="514" t="s">
        <v>4830</v>
      </c>
      <c r="S755" s="548"/>
      <c r="T755" s="511"/>
      <c r="U755" s="511"/>
      <c r="V755" s="1484"/>
      <c r="W755" s="1484"/>
      <c r="X755" s="1484"/>
      <c r="Y755" s="511"/>
      <c r="Z755" s="511"/>
      <c r="AA755" s="506"/>
      <c r="AB755" s="510">
        <v>43795</v>
      </c>
      <c r="AC755" s="506" t="s">
        <v>6044</v>
      </c>
      <c r="AD755" s="506"/>
      <c r="AE755" s="506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</row>
    <row r="756" spans="1:45" ht="15.75" thickBot="1">
      <c r="A756" s="9"/>
      <c r="B756" s="9"/>
      <c r="C756" s="1414">
        <v>43707</v>
      </c>
      <c r="D756" s="1411" t="s">
        <v>5407</v>
      </c>
      <c r="E756" s="1410" t="s">
        <v>69</v>
      </c>
      <c r="F756" s="1410" t="s">
        <v>70</v>
      </c>
      <c r="G756" s="1412" t="s">
        <v>5411</v>
      </c>
      <c r="H756" s="1410">
        <v>3</v>
      </c>
      <c r="I756" s="1430" t="s">
        <v>5410</v>
      </c>
      <c r="J756" s="1410"/>
      <c r="K756" s="1410"/>
      <c r="L756" s="1410"/>
      <c r="M756" s="1413">
        <v>8587568</v>
      </c>
      <c r="N756" s="1410" t="s">
        <v>251</v>
      </c>
      <c r="O756" s="1414">
        <v>43746</v>
      </c>
      <c r="P756" s="1414">
        <v>43816</v>
      </c>
      <c r="Q756" s="1410"/>
      <c r="R756" s="1740" t="s">
        <v>2635</v>
      </c>
      <c r="S756" s="1430"/>
      <c r="T756" s="1413"/>
      <c r="U756" s="1413"/>
      <c r="V756" s="1479"/>
      <c r="W756" s="1479"/>
      <c r="X756" s="1479"/>
      <c r="Y756" s="1413"/>
      <c r="Z756" s="1413"/>
      <c r="AA756" s="1410"/>
      <c r="AB756" s="1414">
        <v>43868</v>
      </c>
      <c r="AC756" s="1410" t="s">
        <v>6251</v>
      </c>
      <c r="AD756" s="1410"/>
      <c r="AE756" s="1410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</row>
    <row r="757" spans="1:45" ht="15.75" thickTop="1">
      <c r="A757" s="9"/>
      <c r="B757" s="9"/>
      <c r="C757" s="428">
        <v>43707</v>
      </c>
      <c r="D757" s="1358" t="s">
        <v>5412</v>
      </c>
      <c r="E757" s="425" t="s">
        <v>69</v>
      </c>
      <c r="F757" s="425" t="s">
        <v>70</v>
      </c>
      <c r="G757" s="426" t="s">
        <v>5413</v>
      </c>
      <c r="H757" s="425">
        <v>1</v>
      </c>
      <c r="I757" s="1371" t="s">
        <v>5414</v>
      </c>
      <c r="J757" s="583"/>
      <c r="K757" s="425" t="s">
        <v>3187</v>
      </c>
      <c r="L757" s="425"/>
      <c r="M757" s="429">
        <v>1102110</v>
      </c>
      <c r="N757" s="425" t="s">
        <v>251</v>
      </c>
      <c r="O757" s="428">
        <v>43759</v>
      </c>
      <c r="P757" s="428">
        <v>43795</v>
      </c>
      <c r="Q757" s="425"/>
      <c r="R757" s="1371" t="s">
        <v>6067</v>
      </c>
      <c r="S757" s="1371"/>
      <c r="T757" s="429">
        <v>999670.34</v>
      </c>
      <c r="U757" s="429">
        <v>1099637.3700000001</v>
      </c>
      <c r="V757" s="1483"/>
      <c r="W757" s="1483"/>
      <c r="X757" s="1483"/>
      <c r="Y757" s="429"/>
      <c r="Z757" s="429"/>
      <c r="AA757" s="425"/>
      <c r="AB757" s="425"/>
      <c r="AC757" s="425"/>
      <c r="AD757" s="425"/>
      <c r="AE757" s="425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</row>
    <row r="758" spans="1:45">
      <c r="A758" s="9"/>
      <c r="B758" s="9"/>
      <c r="C758" s="544">
        <v>43707</v>
      </c>
      <c r="D758" s="1357" t="s">
        <v>5412</v>
      </c>
      <c r="E758" s="540" t="s">
        <v>69</v>
      </c>
      <c r="F758" s="540" t="s">
        <v>70</v>
      </c>
      <c r="G758" s="541" t="s">
        <v>5413</v>
      </c>
      <c r="H758" s="540">
        <v>2</v>
      </c>
      <c r="I758" s="1402" t="s">
        <v>5415</v>
      </c>
      <c r="J758" s="590"/>
      <c r="K758" s="540" t="s">
        <v>3187</v>
      </c>
      <c r="L758" s="540"/>
      <c r="M758" s="545">
        <v>2613344</v>
      </c>
      <c r="N758" s="540" t="s">
        <v>251</v>
      </c>
      <c r="O758" s="544">
        <v>43759</v>
      </c>
      <c r="P758" s="544">
        <v>43795</v>
      </c>
      <c r="Q758" s="540"/>
      <c r="R758" s="1402" t="s">
        <v>6067</v>
      </c>
      <c r="S758" s="1402"/>
      <c r="T758" s="545">
        <v>2607720.96</v>
      </c>
      <c r="U758" s="545">
        <v>2868493.06</v>
      </c>
      <c r="V758" s="1484"/>
      <c r="W758" s="1484"/>
      <c r="X758" s="1484"/>
      <c r="Y758" s="545"/>
      <c r="Z758" s="545"/>
      <c r="AA758" s="540"/>
      <c r="AB758" s="540"/>
      <c r="AC758" s="540"/>
      <c r="AD758" s="540"/>
      <c r="AE758" s="540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</row>
    <row r="759" spans="1:45">
      <c r="A759" s="9"/>
      <c r="B759" s="9"/>
      <c r="C759" s="544">
        <v>43707</v>
      </c>
      <c r="D759" s="1357" t="s">
        <v>5412</v>
      </c>
      <c r="E759" s="540" t="s">
        <v>69</v>
      </c>
      <c r="F759" s="540" t="s">
        <v>70</v>
      </c>
      <c r="G759" s="541" t="s">
        <v>5413</v>
      </c>
      <c r="H759" s="540">
        <v>3</v>
      </c>
      <c r="I759" s="1402" t="s">
        <v>5416</v>
      </c>
      <c r="J759" s="590"/>
      <c r="K759" s="540" t="s">
        <v>3187</v>
      </c>
      <c r="L759" s="540"/>
      <c r="M759" s="545">
        <v>3847274</v>
      </c>
      <c r="N759" s="540" t="s">
        <v>251</v>
      </c>
      <c r="O759" s="544">
        <v>43759</v>
      </c>
      <c r="P759" s="544">
        <v>43795</v>
      </c>
      <c r="Q759" s="540"/>
      <c r="R759" s="540" t="s">
        <v>6075</v>
      </c>
      <c r="S759" s="1402"/>
      <c r="T759" s="545">
        <v>3847272.38</v>
      </c>
      <c r="U759" s="545">
        <v>4230326.1900000004</v>
      </c>
      <c r="V759" s="1484"/>
      <c r="W759" s="1484"/>
      <c r="X759" s="1484"/>
      <c r="Y759" s="545"/>
      <c r="Z759" s="545"/>
      <c r="AA759" s="540"/>
      <c r="AB759" s="540"/>
      <c r="AC759" s="540"/>
      <c r="AD759" s="540"/>
      <c r="AE759" s="540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</row>
    <row r="760" spans="1:45">
      <c r="A760" s="9"/>
      <c r="B760" s="9"/>
      <c r="C760" s="510">
        <v>43707</v>
      </c>
      <c r="D760" s="1382" t="s">
        <v>5412</v>
      </c>
      <c r="E760" s="506" t="s">
        <v>69</v>
      </c>
      <c r="F760" s="506" t="s">
        <v>70</v>
      </c>
      <c r="G760" s="507" t="s">
        <v>5413</v>
      </c>
      <c r="H760" s="506">
        <v>4</v>
      </c>
      <c r="I760" s="548" t="s">
        <v>5417</v>
      </c>
      <c r="J760" s="506"/>
      <c r="K760" s="506" t="s">
        <v>3187</v>
      </c>
      <c r="L760" s="506"/>
      <c r="M760" s="511">
        <v>1138769</v>
      </c>
      <c r="N760" s="506" t="s">
        <v>251</v>
      </c>
      <c r="O760" s="510">
        <v>43759</v>
      </c>
      <c r="P760" s="510">
        <v>43795</v>
      </c>
      <c r="Q760" s="506"/>
      <c r="R760" s="514" t="s">
        <v>304</v>
      </c>
      <c r="S760" s="548"/>
      <c r="T760" s="511"/>
      <c r="U760" s="511"/>
      <c r="V760" s="1470"/>
      <c r="W760" s="1470"/>
      <c r="X760" s="1470"/>
      <c r="Y760" s="511"/>
      <c r="Z760" s="511"/>
      <c r="AA760" s="506"/>
      <c r="AB760" s="510">
        <v>43829</v>
      </c>
      <c r="AC760" s="506" t="s">
        <v>6099</v>
      </c>
      <c r="AD760" s="506"/>
      <c r="AE760" s="506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</row>
    <row r="761" spans="1:45">
      <c r="A761" s="9"/>
      <c r="B761" s="9"/>
      <c r="C761" s="544">
        <v>43707</v>
      </c>
      <c r="D761" s="1357" t="s">
        <v>5412</v>
      </c>
      <c r="E761" s="540" t="s">
        <v>69</v>
      </c>
      <c r="F761" s="540" t="s">
        <v>70</v>
      </c>
      <c r="G761" s="541" t="s">
        <v>5413</v>
      </c>
      <c r="H761" s="540">
        <v>5</v>
      </c>
      <c r="I761" s="1402" t="s">
        <v>5418</v>
      </c>
      <c r="J761" s="590"/>
      <c r="K761" s="540" t="s">
        <v>3187</v>
      </c>
      <c r="L761" s="540"/>
      <c r="M761" s="545">
        <v>2377388</v>
      </c>
      <c r="N761" s="540" t="s">
        <v>251</v>
      </c>
      <c r="O761" s="544">
        <v>43759</v>
      </c>
      <c r="P761" s="544">
        <v>43795</v>
      </c>
      <c r="Q761" s="540"/>
      <c r="R761" s="540" t="s">
        <v>6075</v>
      </c>
      <c r="S761" s="1402"/>
      <c r="T761" s="545">
        <v>2365392.4</v>
      </c>
      <c r="U761" s="545">
        <v>2601931.64</v>
      </c>
      <c r="V761" s="1484"/>
      <c r="W761" s="1484"/>
      <c r="X761" s="1484"/>
      <c r="Y761" s="545"/>
      <c r="Z761" s="545"/>
      <c r="AA761" s="540"/>
      <c r="AB761" s="540"/>
      <c r="AC761" s="540"/>
      <c r="AD761" s="540"/>
      <c r="AE761" s="540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</row>
    <row r="762" spans="1:45">
      <c r="A762" s="9"/>
      <c r="B762" s="9"/>
      <c r="C762" s="544">
        <v>43707</v>
      </c>
      <c r="D762" s="1357" t="s">
        <v>5412</v>
      </c>
      <c r="E762" s="540" t="s">
        <v>69</v>
      </c>
      <c r="F762" s="540" t="s">
        <v>70</v>
      </c>
      <c r="G762" s="541" t="s">
        <v>5413</v>
      </c>
      <c r="H762" s="540">
        <v>6</v>
      </c>
      <c r="I762" s="1402" t="s">
        <v>5419</v>
      </c>
      <c r="J762" s="590"/>
      <c r="K762" s="540" t="s">
        <v>3187</v>
      </c>
      <c r="L762" s="540"/>
      <c r="M762" s="545">
        <v>2900177</v>
      </c>
      <c r="N762" s="540" t="s">
        <v>251</v>
      </c>
      <c r="O762" s="544">
        <v>43759</v>
      </c>
      <c r="P762" s="544">
        <v>43795</v>
      </c>
      <c r="Q762" s="540"/>
      <c r="R762" s="540" t="s">
        <v>6075</v>
      </c>
      <c r="S762" s="1402"/>
      <c r="T762" s="545">
        <v>2893071.36</v>
      </c>
      <c r="U762" s="545">
        <v>3182378.5</v>
      </c>
      <c r="V762" s="1484"/>
      <c r="W762" s="1484"/>
      <c r="X762" s="1484"/>
      <c r="Y762" s="545"/>
      <c r="Z762" s="545"/>
      <c r="AA762" s="540"/>
      <c r="AB762" s="540"/>
      <c r="AC762" s="540"/>
      <c r="AD762" s="540"/>
      <c r="AE762" s="540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</row>
    <row r="763" spans="1:45" ht="15.75" thickBot="1">
      <c r="A763" s="9"/>
      <c r="B763" s="9"/>
      <c r="C763" s="464">
        <v>43707</v>
      </c>
      <c r="D763" s="1372" t="s">
        <v>5412</v>
      </c>
      <c r="E763" s="406" t="s">
        <v>69</v>
      </c>
      <c r="F763" s="406" t="s">
        <v>70</v>
      </c>
      <c r="G763" s="462" t="s">
        <v>5413</v>
      </c>
      <c r="H763" s="406">
        <v>7</v>
      </c>
      <c r="I763" s="1425" t="s">
        <v>5420</v>
      </c>
      <c r="J763" s="1437"/>
      <c r="K763" s="406" t="s">
        <v>3187</v>
      </c>
      <c r="L763" s="406"/>
      <c r="M763" s="465">
        <v>4406890</v>
      </c>
      <c r="N763" s="406" t="s">
        <v>251</v>
      </c>
      <c r="O763" s="464">
        <v>43759</v>
      </c>
      <c r="P763" s="464">
        <v>43795</v>
      </c>
      <c r="Q763" s="406"/>
      <c r="R763" s="406" t="s">
        <v>6075</v>
      </c>
      <c r="S763" s="1425"/>
      <c r="T763" s="465">
        <v>4405134.5599999996</v>
      </c>
      <c r="U763" s="465">
        <v>4845648.0199999996</v>
      </c>
      <c r="V763" s="1490"/>
      <c r="W763" s="1490"/>
      <c r="X763" s="1490"/>
      <c r="Y763" s="465"/>
      <c r="Z763" s="465"/>
      <c r="AA763" s="406"/>
      <c r="AB763" s="406"/>
      <c r="AC763" s="406"/>
      <c r="AD763" s="406"/>
      <c r="AE763" s="406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</row>
    <row r="764" spans="1:45">
      <c r="A764" s="9"/>
      <c r="B764" s="9"/>
      <c r="C764" s="1766">
        <v>43710</v>
      </c>
      <c r="D764" s="1767" t="s">
        <v>5457</v>
      </c>
      <c r="E764" s="1768" t="s">
        <v>69</v>
      </c>
      <c r="F764" s="1768" t="s">
        <v>70</v>
      </c>
      <c r="G764" s="1769" t="s">
        <v>5456</v>
      </c>
      <c r="H764" s="1768">
        <v>1</v>
      </c>
      <c r="I764" s="1770" t="s">
        <v>5449</v>
      </c>
      <c r="J764" s="1768"/>
      <c r="K764" s="1768" t="s">
        <v>5458</v>
      </c>
      <c r="L764" s="1768"/>
      <c r="M764" s="1771">
        <v>2257006</v>
      </c>
      <c r="N764" s="1768" t="s">
        <v>251</v>
      </c>
      <c r="O764" s="1772">
        <v>43755</v>
      </c>
      <c r="P764" s="1772">
        <v>43840</v>
      </c>
      <c r="Q764" s="1768"/>
      <c r="R764" s="1768"/>
      <c r="S764" s="1770"/>
      <c r="T764" s="1771"/>
      <c r="U764" s="1771"/>
      <c r="V764" s="1773"/>
      <c r="W764" s="1773"/>
      <c r="X764" s="1773"/>
      <c r="Y764" s="1771"/>
      <c r="Z764" s="1771"/>
      <c r="AA764" s="1768"/>
      <c r="AB764" s="1768"/>
      <c r="AC764" s="1768"/>
      <c r="AD764" s="1768"/>
      <c r="AE764" s="1774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</row>
    <row r="765" spans="1:45">
      <c r="A765" s="9"/>
      <c r="B765" s="9"/>
      <c r="C765" s="1775">
        <v>43710</v>
      </c>
      <c r="D765" s="1538" t="s">
        <v>5457</v>
      </c>
      <c r="E765" s="590" t="s">
        <v>69</v>
      </c>
      <c r="F765" s="590" t="s">
        <v>70</v>
      </c>
      <c r="G765" s="591" t="s">
        <v>5456</v>
      </c>
      <c r="H765" s="590">
        <v>2</v>
      </c>
      <c r="I765" s="1428" t="s">
        <v>5450</v>
      </c>
      <c r="J765" s="590"/>
      <c r="K765" s="590" t="s">
        <v>5447</v>
      </c>
      <c r="L765" s="590"/>
      <c r="M765" s="595">
        <v>548404</v>
      </c>
      <c r="N765" s="590" t="s">
        <v>251</v>
      </c>
      <c r="O765" s="594">
        <v>43755</v>
      </c>
      <c r="P765" s="594">
        <v>43840</v>
      </c>
      <c r="Q765" s="590"/>
      <c r="R765" s="590"/>
      <c r="S765" s="1428"/>
      <c r="T765" s="595"/>
      <c r="U765" s="595"/>
      <c r="V765" s="1484"/>
      <c r="W765" s="1484"/>
      <c r="X765" s="1484"/>
      <c r="Y765" s="595"/>
      <c r="Z765" s="595"/>
      <c r="AA765" s="590"/>
      <c r="AB765" s="590"/>
      <c r="AC765" s="590"/>
      <c r="AD765" s="590"/>
      <c r="AE765" s="1776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</row>
    <row r="766" spans="1:45">
      <c r="A766" s="9"/>
      <c r="B766" s="9"/>
      <c r="C766" s="1775">
        <v>43710</v>
      </c>
      <c r="D766" s="1538" t="s">
        <v>5457</v>
      </c>
      <c r="E766" s="590" t="s">
        <v>69</v>
      </c>
      <c r="F766" s="590" t="s">
        <v>70</v>
      </c>
      <c r="G766" s="591" t="s">
        <v>5456</v>
      </c>
      <c r="H766" s="590">
        <v>3</v>
      </c>
      <c r="I766" s="1428" t="s">
        <v>5451</v>
      </c>
      <c r="J766" s="590"/>
      <c r="K766" s="590" t="s">
        <v>5447</v>
      </c>
      <c r="L766" s="590"/>
      <c r="M766" s="595">
        <v>6102514</v>
      </c>
      <c r="N766" s="590" t="s">
        <v>251</v>
      </c>
      <c r="O766" s="594">
        <v>43755</v>
      </c>
      <c r="P766" s="594">
        <v>43840</v>
      </c>
      <c r="Q766" s="590"/>
      <c r="R766" s="590"/>
      <c r="S766" s="1428"/>
      <c r="T766" s="595"/>
      <c r="U766" s="595"/>
      <c r="V766" s="1484"/>
      <c r="W766" s="1484"/>
      <c r="X766" s="1484"/>
      <c r="Y766" s="595"/>
      <c r="Z766" s="595"/>
      <c r="AA766" s="590"/>
      <c r="AB766" s="590"/>
      <c r="AC766" s="590"/>
      <c r="AD766" s="590"/>
      <c r="AE766" s="1776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</row>
    <row r="767" spans="1:45">
      <c r="A767" s="9"/>
      <c r="B767" s="9"/>
      <c r="C767" s="1787">
        <v>43710</v>
      </c>
      <c r="D767" s="1538" t="s">
        <v>5457</v>
      </c>
      <c r="E767" s="576" t="s">
        <v>69</v>
      </c>
      <c r="F767" s="576" t="s">
        <v>70</v>
      </c>
      <c r="G767" s="591" t="s">
        <v>5456</v>
      </c>
      <c r="H767" s="590">
        <v>4</v>
      </c>
      <c r="I767" s="1428" t="s">
        <v>5452</v>
      </c>
      <c r="J767" s="590"/>
      <c r="K767" s="590" t="s">
        <v>5458</v>
      </c>
      <c r="L767" s="590"/>
      <c r="M767" s="595">
        <v>11043079</v>
      </c>
      <c r="N767" s="590" t="s">
        <v>251</v>
      </c>
      <c r="O767" s="594">
        <v>43755</v>
      </c>
      <c r="P767" s="594">
        <v>43840</v>
      </c>
      <c r="Q767" s="590"/>
      <c r="R767" s="590"/>
      <c r="S767" s="1428"/>
      <c r="T767" s="595"/>
      <c r="U767" s="595"/>
      <c r="V767" s="1484"/>
      <c r="W767" s="1484"/>
      <c r="X767" s="1484"/>
      <c r="Y767" s="595"/>
      <c r="Z767" s="595"/>
      <c r="AA767" s="590"/>
      <c r="AB767" s="590"/>
      <c r="AC767" s="590"/>
      <c r="AD767" s="590"/>
      <c r="AE767" s="1776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</row>
    <row r="768" spans="1:45">
      <c r="A768" s="9"/>
      <c r="B768" s="9"/>
      <c r="C768" s="1775">
        <v>43710</v>
      </c>
      <c r="D768" s="1538" t="s">
        <v>5457</v>
      </c>
      <c r="E768" s="590" t="s">
        <v>69</v>
      </c>
      <c r="F768" s="590" t="s">
        <v>70</v>
      </c>
      <c r="G768" s="591" t="s">
        <v>5456</v>
      </c>
      <c r="H768" s="590">
        <v>5</v>
      </c>
      <c r="I768" s="1428" t="s">
        <v>5453</v>
      </c>
      <c r="J768" s="590"/>
      <c r="K768" s="590" t="s">
        <v>5447</v>
      </c>
      <c r="L768" s="590"/>
      <c r="M768" s="595">
        <v>469154</v>
      </c>
      <c r="N768" s="590" t="s">
        <v>251</v>
      </c>
      <c r="O768" s="594">
        <v>43755</v>
      </c>
      <c r="P768" s="594">
        <v>43840</v>
      </c>
      <c r="Q768" s="590"/>
      <c r="R768" s="590"/>
      <c r="S768" s="1428"/>
      <c r="T768" s="595"/>
      <c r="U768" s="595"/>
      <c r="V768" s="1484"/>
      <c r="W768" s="1484"/>
      <c r="X768" s="1484"/>
      <c r="Y768" s="595"/>
      <c r="Z768" s="595"/>
      <c r="AA768" s="590"/>
      <c r="AB768" s="590"/>
      <c r="AC768" s="590"/>
      <c r="AD768" s="590"/>
      <c r="AE768" s="1776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</row>
    <row r="769" spans="1:45">
      <c r="A769" s="9"/>
      <c r="B769" s="9"/>
      <c r="C769" s="1775">
        <v>43710</v>
      </c>
      <c r="D769" s="1538" t="s">
        <v>5457</v>
      </c>
      <c r="E769" s="590" t="s">
        <v>69</v>
      </c>
      <c r="F769" s="590" t="s">
        <v>70</v>
      </c>
      <c r="G769" s="591" t="s">
        <v>5456</v>
      </c>
      <c r="H769" s="590">
        <v>6</v>
      </c>
      <c r="I769" s="1428" t="s">
        <v>5454</v>
      </c>
      <c r="J769" s="590"/>
      <c r="K769" s="590" t="s">
        <v>5447</v>
      </c>
      <c r="L769" s="590"/>
      <c r="M769" s="595">
        <v>25724950</v>
      </c>
      <c r="N769" s="590" t="s">
        <v>251</v>
      </c>
      <c r="O769" s="594">
        <v>43755</v>
      </c>
      <c r="P769" s="594">
        <v>43840</v>
      </c>
      <c r="Q769" s="590"/>
      <c r="R769" s="590"/>
      <c r="S769" s="1428"/>
      <c r="T769" s="595"/>
      <c r="U769" s="595"/>
      <c r="V769" s="1484"/>
      <c r="W769" s="1484"/>
      <c r="X769" s="1484"/>
      <c r="Y769" s="595"/>
      <c r="Z769" s="595"/>
      <c r="AA769" s="590"/>
      <c r="AB769" s="590"/>
      <c r="AC769" s="590"/>
      <c r="AD769" s="590"/>
      <c r="AE769" s="1776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</row>
    <row r="770" spans="1:45" ht="15.75" thickBot="1">
      <c r="A770" s="9"/>
      <c r="B770" s="9"/>
      <c r="C770" s="1777">
        <v>43710</v>
      </c>
      <c r="D770" s="1778" t="s">
        <v>5457</v>
      </c>
      <c r="E770" s="1779" t="s">
        <v>69</v>
      </c>
      <c r="F770" s="1779" t="s">
        <v>70</v>
      </c>
      <c r="G770" s="1780" t="s">
        <v>5456</v>
      </c>
      <c r="H770" s="1781">
        <v>7</v>
      </c>
      <c r="I770" s="1782" t="s">
        <v>5455</v>
      </c>
      <c r="J770" s="1781"/>
      <c r="K770" s="1781" t="s">
        <v>5458</v>
      </c>
      <c r="L770" s="1781"/>
      <c r="M770" s="1783">
        <v>2452038</v>
      </c>
      <c r="N770" s="1781" t="s">
        <v>251</v>
      </c>
      <c r="O770" s="1784">
        <v>43755</v>
      </c>
      <c r="P770" s="1784">
        <v>43840</v>
      </c>
      <c r="Q770" s="1781"/>
      <c r="R770" s="1781"/>
      <c r="S770" s="1782"/>
      <c r="T770" s="1783"/>
      <c r="U770" s="1783"/>
      <c r="V770" s="1785"/>
      <c r="W770" s="1785"/>
      <c r="X770" s="1785"/>
      <c r="Y770" s="1783"/>
      <c r="Z770" s="1783"/>
      <c r="AA770" s="1781"/>
      <c r="AB770" s="1781"/>
      <c r="AC770" s="1781"/>
      <c r="AD770" s="1781"/>
      <c r="AE770" s="1786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</row>
    <row r="771" spans="1:45">
      <c r="A771" s="1693"/>
      <c r="B771" s="1694"/>
      <c r="C771" s="1695">
        <v>43710</v>
      </c>
      <c r="D771" s="1676" t="s">
        <v>5448</v>
      </c>
      <c r="E771" s="1677" t="s">
        <v>69</v>
      </c>
      <c r="F771" s="1677" t="s">
        <v>70</v>
      </c>
      <c r="G771" s="1678" t="s">
        <v>6231</v>
      </c>
      <c r="H771" s="1677">
        <v>1</v>
      </c>
      <c r="I771" s="1679" t="s">
        <v>5438</v>
      </c>
      <c r="J771" s="1677"/>
      <c r="K771" s="1680" t="s">
        <v>5447</v>
      </c>
      <c r="L771" s="1677"/>
      <c r="M771" s="1681">
        <v>1299600</v>
      </c>
      <c r="N771" s="1677" t="s">
        <v>251</v>
      </c>
      <c r="O771" s="1677"/>
      <c r="P771" s="1677"/>
      <c r="Q771" s="1677"/>
      <c r="R771" s="1677"/>
      <c r="S771" s="1679"/>
      <c r="T771" s="1681"/>
      <c r="U771" s="1681"/>
      <c r="V771" s="1682"/>
      <c r="W771" s="1682"/>
      <c r="X771" s="1682"/>
      <c r="Y771" s="1681"/>
      <c r="Z771" s="1681"/>
      <c r="AA771" s="1677"/>
      <c r="AB771" s="1677"/>
      <c r="AC771" s="1677"/>
      <c r="AD771" s="1677"/>
      <c r="AE771" s="1683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</row>
    <row r="772" spans="1:45">
      <c r="A772" s="1696"/>
      <c r="B772" s="1514"/>
      <c r="C772" s="1390">
        <v>43710</v>
      </c>
      <c r="D772" s="1578" t="s">
        <v>5448</v>
      </c>
      <c r="E772" s="530" t="s">
        <v>69</v>
      </c>
      <c r="F772" s="530" t="s">
        <v>70</v>
      </c>
      <c r="G772" s="1518" t="s">
        <v>6231</v>
      </c>
      <c r="H772" s="530">
        <v>2</v>
      </c>
      <c r="I772" s="1432" t="s">
        <v>5439</v>
      </c>
      <c r="J772" s="530"/>
      <c r="K772" s="1102" t="s">
        <v>5447</v>
      </c>
      <c r="L772" s="530"/>
      <c r="M772" s="533">
        <v>2043895</v>
      </c>
      <c r="N772" s="530" t="s">
        <v>251</v>
      </c>
      <c r="O772" s="530"/>
      <c r="P772" s="530"/>
      <c r="Q772" s="530"/>
      <c r="R772" s="530"/>
      <c r="S772" s="1432"/>
      <c r="T772" s="533"/>
      <c r="U772" s="533"/>
      <c r="V772" s="1487"/>
      <c r="W772" s="1487"/>
      <c r="X772" s="1487"/>
      <c r="Y772" s="533"/>
      <c r="Z772" s="533"/>
      <c r="AA772" s="530"/>
      <c r="AB772" s="530"/>
      <c r="AC772" s="530"/>
      <c r="AD772" s="530"/>
      <c r="AE772" s="1684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</row>
    <row r="773" spans="1:45">
      <c r="A773" s="1696"/>
      <c r="B773" s="1514"/>
      <c r="C773" s="1602">
        <v>43710</v>
      </c>
      <c r="D773" s="1578" t="s">
        <v>5448</v>
      </c>
      <c r="E773" s="817" t="s">
        <v>69</v>
      </c>
      <c r="F773" s="817" t="s">
        <v>70</v>
      </c>
      <c r="G773" s="1518" t="s">
        <v>6231</v>
      </c>
      <c r="H773" s="530">
        <v>3</v>
      </c>
      <c r="I773" s="1432" t="s">
        <v>5440</v>
      </c>
      <c r="J773" s="530"/>
      <c r="K773" s="1102" t="s">
        <v>5447</v>
      </c>
      <c r="L773" s="530"/>
      <c r="M773" s="533">
        <v>677539</v>
      </c>
      <c r="N773" s="530" t="s">
        <v>251</v>
      </c>
      <c r="O773" s="530"/>
      <c r="P773" s="530"/>
      <c r="Q773" s="530"/>
      <c r="R773" s="530"/>
      <c r="S773" s="1432"/>
      <c r="T773" s="533"/>
      <c r="U773" s="533"/>
      <c r="V773" s="1487"/>
      <c r="W773" s="1487"/>
      <c r="X773" s="1487"/>
      <c r="Y773" s="533"/>
      <c r="Z773" s="533"/>
      <c r="AA773" s="530"/>
      <c r="AB773" s="530"/>
      <c r="AC773" s="530"/>
      <c r="AD773" s="530"/>
      <c r="AE773" s="1684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</row>
    <row r="774" spans="1:45">
      <c r="A774" s="1696"/>
      <c r="B774" s="1514"/>
      <c r="C774" s="1390">
        <v>43710</v>
      </c>
      <c r="D774" s="1578" t="s">
        <v>5448</v>
      </c>
      <c r="E774" s="530" t="s">
        <v>69</v>
      </c>
      <c r="F774" s="530" t="s">
        <v>70</v>
      </c>
      <c r="G774" s="1518" t="s">
        <v>6231</v>
      </c>
      <c r="H774" s="530">
        <v>4</v>
      </c>
      <c r="I774" s="1432" t="s">
        <v>5441</v>
      </c>
      <c r="J774" s="530"/>
      <c r="K774" s="1102" t="s">
        <v>5447</v>
      </c>
      <c r="L774" s="530"/>
      <c r="M774" s="533">
        <v>8531817</v>
      </c>
      <c r="N774" s="530" t="s">
        <v>251</v>
      </c>
      <c r="O774" s="530"/>
      <c r="P774" s="530"/>
      <c r="Q774" s="530"/>
      <c r="R774" s="530"/>
      <c r="S774" s="1432"/>
      <c r="T774" s="533"/>
      <c r="U774" s="533"/>
      <c r="V774" s="1487"/>
      <c r="W774" s="1487"/>
      <c r="X774" s="1487"/>
      <c r="Y774" s="533"/>
      <c r="Z774" s="533"/>
      <c r="AA774" s="530"/>
      <c r="AB774" s="530"/>
      <c r="AC774" s="530"/>
      <c r="AD774" s="530"/>
      <c r="AE774" s="1684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</row>
    <row r="775" spans="1:45">
      <c r="A775" s="1696"/>
      <c r="B775" s="1514"/>
      <c r="C775" s="1390">
        <v>43710</v>
      </c>
      <c r="D775" s="1578" t="s">
        <v>5448</v>
      </c>
      <c r="E775" s="530" t="s">
        <v>69</v>
      </c>
      <c r="F775" s="530" t="s">
        <v>70</v>
      </c>
      <c r="G775" s="1518" t="s">
        <v>6231</v>
      </c>
      <c r="H775" s="530">
        <v>5</v>
      </c>
      <c r="I775" s="1432" t="s">
        <v>5442</v>
      </c>
      <c r="J775" s="530"/>
      <c r="K775" s="1102" t="s">
        <v>5447</v>
      </c>
      <c r="L775" s="530"/>
      <c r="M775" s="533">
        <v>3476529</v>
      </c>
      <c r="N775" s="530" t="s">
        <v>251</v>
      </c>
      <c r="O775" s="530"/>
      <c r="P775" s="530"/>
      <c r="Q775" s="530"/>
      <c r="R775" s="530"/>
      <c r="S775" s="1432"/>
      <c r="T775" s="533"/>
      <c r="U775" s="533"/>
      <c r="V775" s="1487"/>
      <c r="W775" s="1487"/>
      <c r="X775" s="1487"/>
      <c r="Y775" s="533"/>
      <c r="Z775" s="533"/>
      <c r="AA775" s="530"/>
      <c r="AB775" s="530"/>
      <c r="AC775" s="530"/>
      <c r="AD775" s="530"/>
      <c r="AE775" s="1684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</row>
    <row r="776" spans="1:45">
      <c r="A776" s="1696"/>
      <c r="B776" s="1514"/>
      <c r="C776" s="1602">
        <v>43710</v>
      </c>
      <c r="D776" s="1578" t="s">
        <v>5448</v>
      </c>
      <c r="E776" s="817" t="s">
        <v>69</v>
      </c>
      <c r="F776" s="817" t="s">
        <v>70</v>
      </c>
      <c r="G776" s="1518" t="s">
        <v>6231</v>
      </c>
      <c r="H776" s="530">
        <v>6</v>
      </c>
      <c r="I776" s="1432" t="s">
        <v>5443</v>
      </c>
      <c r="J776" s="530"/>
      <c r="K776" s="1102" t="s">
        <v>5447</v>
      </c>
      <c r="L776" s="530"/>
      <c r="M776" s="533">
        <v>910770</v>
      </c>
      <c r="N776" s="530" t="s">
        <v>251</v>
      </c>
      <c r="O776" s="530"/>
      <c r="P776" s="530"/>
      <c r="Q776" s="530"/>
      <c r="R776" s="530"/>
      <c r="S776" s="1432"/>
      <c r="T776" s="533"/>
      <c r="U776" s="533"/>
      <c r="V776" s="1487"/>
      <c r="W776" s="1487"/>
      <c r="X776" s="1487"/>
      <c r="Y776" s="533"/>
      <c r="Z776" s="533"/>
      <c r="AA776" s="530"/>
      <c r="AB776" s="530"/>
      <c r="AC776" s="530"/>
      <c r="AD776" s="530"/>
      <c r="AE776" s="1684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</row>
    <row r="777" spans="1:45">
      <c r="A777" s="1696"/>
      <c r="B777" s="1514"/>
      <c r="C777" s="1390">
        <v>43710</v>
      </c>
      <c r="D777" s="1578" t="s">
        <v>5448</v>
      </c>
      <c r="E777" s="530" t="s">
        <v>69</v>
      </c>
      <c r="F777" s="530" t="s">
        <v>70</v>
      </c>
      <c r="G777" s="1518" t="s">
        <v>6231</v>
      </c>
      <c r="H777" s="530">
        <v>7</v>
      </c>
      <c r="I777" s="1432" t="s">
        <v>5444</v>
      </c>
      <c r="J777" s="530"/>
      <c r="K777" s="1102" t="s">
        <v>5447</v>
      </c>
      <c r="L777" s="530"/>
      <c r="M777" s="533">
        <v>218849</v>
      </c>
      <c r="N777" s="530" t="s">
        <v>251</v>
      </c>
      <c r="O777" s="530"/>
      <c r="P777" s="530"/>
      <c r="Q777" s="530"/>
      <c r="R777" s="530"/>
      <c r="S777" s="1432"/>
      <c r="T777" s="533"/>
      <c r="U777" s="533"/>
      <c r="V777" s="1487"/>
      <c r="W777" s="1487"/>
      <c r="X777" s="1487"/>
      <c r="Y777" s="533"/>
      <c r="Z777" s="533"/>
      <c r="AA777" s="530"/>
      <c r="AB777" s="530"/>
      <c r="AC777" s="530"/>
      <c r="AD777" s="530"/>
      <c r="AE777" s="1684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</row>
    <row r="778" spans="1:45" ht="15.75" thickBot="1">
      <c r="A778" s="1697"/>
      <c r="B778" s="1698"/>
      <c r="C778" s="1699">
        <v>43710</v>
      </c>
      <c r="D778" s="1685" t="s">
        <v>5448</v>
      </c>
      <c r="E778" s="1687" t="s">
        <v>69</v>
      </c>
      <c r="F778" s="1687" t="s">
        <v>70</v>
      </c>
      <c r="G778" s="1686" t="s">
        <v>6231</v>
      </c>
      <c r="H778" s="1687">
        <v>8</v>
      </c>
      <c r="I778" s="1688" t="s">
        <v>5445</v>
      </c>
      <c r="J778" s="1687"/>
      <c r="K778" s="1692" t="s">
        <v>5447</v>
      </c>
      <c r="L778" s="1687"/>
      <c r="M778" s="1689">
        <v>1161870</v>
      </c>
      <c r="N778" s="1687" t="s">
        <v>251</v>
      </c>
      <c r="O778" s="1687"/>
      <c r="P778" s="1687"/>
      <c r="Q778" s="1687"/>
      <c r="R778" s="1687"/>
      <c r="S778" s="1688"/>
      <c r="T778" s="1689"/>
      <c r="U778" s="1689"/>
      <c r="V778" s="1690"/>
      <c r="W778" s="1690"/>
      <c r="X778" s="1690"/>
      <c r="Y778" s="1689"/>
      <c r="Z778" s="1689"/>
      <c r="AA778" s="1687"/>
      <c r="AB778" s="1687"/>
      <c r="AC778" s="1687"/>
      <c r="AD778" s="1687"/>
      <c r="AE778" s="1691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</row>
    <row r="779" spans="1:45">
      <c r="A779" s="9"/>
      <c r="B779" s="9"/>
      <c r="C779" s="1848">
        <v>43710</v>
      </c>
      <c r="D779" s="1849" t="s">
        <v>5431</v>
      </c>
      <c r="E779" s="1850" t="s">
        <v>69</v>
      </c>
      <c r="F779" s="1850" t="s">
        <v>70</v>
      </c>
      <c r="G779" s="1851" t="s">
        <v>5437</v>
      </c>
      <c r="H779" s="1850">
        <v>1</v>
      </c>
      <c r="I779" s="182" t="s">
        <v>5432</v>
      </c>
      <c r="J779" s="1850"/>
      <c r="K779" s="1850" t="s">
        <v>93</v>
      </c>
      <c r="L779" s="1850"/>
      <c r="M779" s="1852">
        <v>1447210</v>
      </c>
      <c r="N779" s="1850" t="s">
        <v>251</v>
      </c>
      <c r="O779" s="1853">
        <v>43756</v>
      </c>
      <c r="P779" s="1853">
        <v>43790</v>
      </c>
      <c r="Q779" s="1850"/>
      <c r="R779" s="1866" t="s">
        <v>304</v>
      </c>
      <c r="S779" s="182"/>
      <c r="T779" s="1852"/>
      <c r="U779" s="1852"/>
      <c r="V779" s="1854"/>
      <c r="W779" s="1854"/>
      <c r="X779" s="1854"/>
      <c r="Y779" s="1852"/>
      <c r="Z779" s="1852"/>
      <c r="AA779" s="1850"/>
      <c r="AB779" s="1853">
        <v>43840</v>
      </c>
      <c r="AC779" s="1850" t="s">
        <v>6241</v>
      </c>
      <c r="AD779" s="1850"/>
      <c r="AE779" s="1855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</row>
    <row r="780" spans="1:45">
      <c r="A780" s="9"/>
      <c r="B780" s="9"/>
      <c r="C780" s="1856">
        <v>43710</v>
      </c>
      <c r="D780" s="1382" t="s">
        <v>5431</v>
      </c>
      <c r="E780" s="466" t="s">
        <v>69</v>
      </c>
      <c r="F780" s="466" t="s">
        <v>70</v>
      </c>
      <c r="G780" s="507" t="s">
        <v>5437</v>
      </c>
      <c r="H780" s="506">
        <v>2</v>
      </c>
      <c r="I780" s="548" t="s">
        <v>5433</v>
      </c>
      <c r="J780" s="506"/>
      <c r="K780" s="506" t="s">
        <v>93</v>
      </c>
      <c r="L780" s="506"/>
      <c r="M780" s="511">
        <v>530908</v>
      </c>
      <c r="N780" s="506" t="s">
        <v>251</v>
      </c>
      <c r="O780" s="510">
        <v>43756</v>
      </c>
      <c r="P780" s="510">
        <v>43790</v>
      </c>
      <c r="Q780" s="506"/>
      <c r="R780" s="514" t="s">
        <v>304</v>
      </c>
      <c r="S780" s="548"/>
      <c r="T780" s="511"/>
      <c r="U780" s="511"/>
      <c r="V780" s="1470"/>
      <c r="W780" s="1470"/>
      <c r="X780" s="1470"/>
      <c r="Y780" s="511"/>
      <c r="Z780" s="511"/>
      <c r="AA780" s="506"/>
      <c r="AB780" s="510">
        <v>43840</v>
      </c>
      <c r="AC780" s="506" t="s">
        <v>6241</v>
      </c>
      <c r="AD780" s="506"/>
      <c r="AE780" s="1857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</row>
    <row r="781" spans="1:45">
      <c r="A781" s="9"/>
      <c r="B781" s="9"/>
      <c r="C781" s="1817">
        <v>43710</v>
      </c>
      <c r="D781" s="1357" t="s">
        <v>5431</v>
      </c>
      <c r="E781" s="540" t="s">
        <v>69</v>
      </c>
      <c r="F781" s="540" t="s">
        <v>70</v>
      </c>
      <c r="G781" s="541" t="s">
        <v>5437</v>
      </c>
      <c r="H781" s="540">
        <v>3</v>
      </c>
      <c r="I781" s="1402" t="s">
        <v>5434</v>
      </c>
      <c r="J781" s="590"/>
      <c r="K781" s="540" t="s">
        <v>93</v>
      </c>
      <c r="L781" s="540"/>
      <c r="M781" s="545">
        <v>196833</v>
      </c>
      <c r="N781" s="540" t="s">
        <v>251</v>
      </c>
      <c r="O781" s="544">
        <v>43756</v>
      </c>
      <c r="P781" s="544">
        <v>43790</v>
      </c>
      <c r="Q781" s="544">
        <v>43816</v>
      </c>
      <c r="R781" s="1402" t="s">
        <v>6067</v>
      </c>
      <c r="S781" s="1402"/>
      <c r="T781" s="545">
        <v>195963.12</v>
      </c>
      <c r="U781" s="545">
        <v>215559.43</v>
      </c>
      <c r="V781" s="1484"/>
      <c r="W781" s="1484"/>
      <c r="X781" s="1484"/>
      <c r="Y781" s="1385">
        <v>43818</v>
      </c>
      <c r="Z781" s="545" t="s">
        <v>6180</v>
      </c>
      <c r="AA781" s="540"/>
      <c r="AB781" s="540"/>
      <c r="AC781" s="540"/>
      <c r="AD781" s="540"/>
      <c r="AE781" s="1826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</row>
    <row r="782" spans="1:45">
      <c r="A782" s="9"/>
      <c r="B782" s="9"/>
      <c r="C782" s="1816">
        <v>43710</v>
      </c>
      <c r="D782" s="1357" t="s">
        <v>5431</v>
      </c>
      <c r="E782" s="423" t="s">
        <v>69</v>
      </c>
      <c r="F782" s="423" t="s">
        <v>70</v>
      </c>
      <c r="G782" s="541" t="s">
        <v>5437</v>
      </c>
      <c r="H782" s="540">
        <v>4</v>
      </c>
      <c r="I782" s="1402" t="s">
        <v>5435</v>
      </c>
      <c r="J782" s="590"/>
      <c r="K782" s="540" t="s">
        <v>93</v>
      </c>
      <c r="L782" s="540"/>
      <c r="M782" s="545">
        <v>6868497</v>
      </c>
      <c r="N782" s="540" t="s">
        <v>251</v>
      </c>
      <c r="O782" s="544">
        <v>43756</v>
      </c>
      <c r="P782" s="544">
        <v>43790</v>
      </c>
      <c r="Q782" s="544">
        <v>43816</v>
      </c>
      <c r="R782" s="540" t="s">
        <v>5774</v>
      </c>
      <c r="S782" s="1402"/>
      <c r="T782" s="545">
        <v>6806504</v>
      </c>
      <c r="U782" s="545">
        <v>7487154.4000000004</v>
      </c>
      <c r="V782" s="1484"/>
      <c r="W782" s="1484"/>
      <c r="X782" s="1484"/>
      <c r="Y782" s="1385">
        <v>43818</v>
      </c>
      <c r="Z782" s="545" t="s">
        <v>6181</v>
      </c>
      <c r="AA782" s="540"/>
      <c r="AB782" s="540"/>
      <c r="AC782" s="540"/>
      <c r="AD782" s="540"/>
      <c r="AE782" s="1826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</row>
    <row r="783" spans="1:45" ht="15.75" thickBot="1">
      <c r="A783" s="9"/>
      <c r="B783" s="9"/>
      <c r="C783" s="1858">
        <v>43710</v>
      </c>
      <c r="D783" s="1859" t="s">
        <v>5431</v>
      </c>
      <c r="E783" s="1860" t="s">
        <v>69</v>
      </c>
      <c r="F783" s="1860" t="s">
        <v>70</v>
      </c>
      <c r="G783" s="1861" t="s">
        <v>5437</v>
      </c>
      <c r="H783" s="1860">
        <v>5</v>
      </c>
      <c r="I783" s="188" t="s">
        <v>5436</v>
      </c>
      <c r="J783" s="1860"/>
      <c r="K783" s="1860" t="s">
        <v>93</v>
      </c>
      <c r="L783" s="1860"/>
      <c r="M783" s="1862">
        <v>84492</v>
      </c>
      <c r="N783" s="1860" t="s">
        <v>251</v>
      </c>
      <c r="O783" s="1863">
        <v>43756</v>
      </c>
      <c r="P783" s="1863">
        <v>43790</v>
      </c>
      <c r="Q783" s="1860"/>
      <c r="R783" s="1867" t="s">
        <v>304</v>
      </c>
      <c r="S783" s="188"/>
      <c r="T783" s="1862"/>
      <c r="U783" s="1862"/>
      <c r="V783" s="1864"/>
      <c r="W783" s="1864"/>
      <c r="X783" s="1864"/>
      <c r="Y783" s="1862"/>
      <c r="Z783" s="1862"/>
      <c r="AA783" s="1860"/>
      <c r="AB783" s="510">
        <v>43840</v>
      </c>
      <c r="AC783" s="506" t="s">
        <v>6241</v>
      </c>
      <c r="AD783" s="1860"/>
      <c r="AE783" s="1865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</row>
    <row r="784" spans="1:45">
      <c r="A784" s="9"/>
      <c r="B784" s="9"/>
      <c r="C784" s="1811">
        <v>43710</v>
      </c>
      <c r="D784" s="1812" t="s">
        <v>5426</v>
      </c>
      <c r="E784" s="1813" t="s">
        <v>69</v>
      </c>
      <c r="F784" s="1813" t="s">
        <v>70</v>
      </c>
      <c r="G784" s="1814" t="s">
        <v>5427</v>
      </c>
      <c r="H784" s="1813">
        <v>1</v>
      </c>
      <c r="I784" s="1815" t="s">
        <v>5428</v>
      </c>
      <c r="J784" s="1768"/>
      <c r="K784" s="1813" t="s">
        <v>68</v>
      </c>
      <c r="L784" s="1813"/>
      <c r="M784" s="1821">
        <v>20785905</v>
      </c>
      <c r="N784" s="1813" t="s">
        <v>251</v>
      </c>
      <c r="O784" s="1822">
        <v>43755</v>
      </c>
      <c r="P784" s="1822">
        <v>43798</v>
      </c>
      <c r="Q784" s="1813"/>
      <c r="R784" s="1813"/>
      <c r="S784" s="1815"/>
      <c r="T784" s="1821"/>
      <c r="U784" s="1821"/>
      <c r="V784" s="1773"/>
      <c r="W784" s="1773"/>
      <c r="X784" s="1773"/>
      <c r="Y784" s="1821"/>
      <c r="Z784" s="1821"/>
      <c r="AA784" s="1813"/>
      <c r="AB784" s="1813"/>
      <c r="AC784" s="1813"/>
      <c r="AD784" s="1813"/>
      <c r="AE784" s="1825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</row>
    <row r="785" spans="1:45">
      <c r="A785" s="9"/>
      <c r="B785" s="9"/>
      <c r="C785" s="1817">
        <v>43710</v>
      </c>
      <c r="D785" s="1364" t="s">
        <v>5426</v>
      </c>
      <c r="E785" s="540" t="s">
        <v>69</v>
      </c>
      <c r="F785" s="540" t="s">
        <v>70</v>
      </c>
      <c r="G785" s="541" t="s">
        <v>5427</v>
      </c>
      <c r="H785" s="540">
        <v>2</v>
      </c>
      <c r="I785" s="1402" t="s">
        <v>5429</v>
      </c>
      <c r="J785" s="590"/>
      <c r="K785" s="423" t="s">
        <v>68</v>
      </c>
      <c r="L785" s="540"/>
      <c r="M785" s="545">
        <v>20787500</v>
      </c>
      <c r="N785" s="540" t="s">
        <v>251</v>
      </c>
      <c r="O785" s="544">
        <v>43755</v>
      </c>
      <c r="P785" s="544">
        <v>43798</v>
      </c>
      <c r="Q785" s="540"/>
      <c r="R785" s="540"/>
      <c r="S785" s="1402"/>
      <c r="T785" s="545"/>
      <c r="U785" s="545"/>
      <c r="V785" s="1484"/>
      <c r="W785" s="1484"/>
      <c r="X785" s="1484"/>
      <c r="Y785" s="545"/>
      <c r="Z785" s="545"/>
      <c r="AA785" s="540"/>
      <c r="AB785" s="540"/>
      <c r="AC785" s="540"/>
      <c r="AD785" s="540"/>
      <c r="AE785" s="1826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</row>
    <row r="786" spans="1:45" ht="15.75" thickBot="1">
      <c r="A786" s="9"/>
      <c r="B786" s="9"/>
      <c r="C786" s="1838">
        <v>43710</v>
      </c>
      <c r="D786" s="1839" t="s">
        <v>5426</v>
      </c>
      <c r="E786" s="1840" t="s">
        <v>69</v>
      </c>
      <c r="F786" s="1840" t="s">
        <v>70</v>
      </c>
      <c r="G786" s="1819" t="s">
        <v>5427</v>
      </c>
      <c r="H786" s="1818">
        <v>3</v>
      </c>
      <c r="I786" s="1820" t="s">
        <v>5430</v>
      </c>
      <c r="J786" s="1781"/>
      <c r="K786" s="1840" t="s">
        <v>68</v>
      </c>
      <c r="L786" s="1818"/>
      <c r="M786" s="1823">
        <v>823621</v>
      </c>
      <c r="N786" s="1818" t="s">
        <v>251</v>
      </c>
      <c r="O786" s="1824">
        <v>43755</v>
      </c>
      <c r="P786" s="1824">
        <v>43798</v>
      </c>
      <c r="Q786" s="1818"/>
      <c r="R786" s="1818"/>
      <c r="S786" s="1820"/>
      <c r="T786" s="1823"/>
      <c r="U786" s="1823"/>
      <c r="V786" s="1785"/>
      <c r="W786" s="1785"/>
      <c r="X786" s="1785"/>
      <c r="Y786" s="1823"/>
      <c r="Z786" s="1823"/>
      <c r="AA786" s="1818"/>
      <c r="AB786" s="1818"/>
      <c r="AC786" s="1818"/>
      <c r="AD786" s="1818"/>
      <c r="AE786" s="1827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</row>
    <row r="787" spans="1:45">
      <c r="A787" s="9"/>
      <c r="B787" s="9"/>
      <c r="C787" s="594">
        <v>43712</v>
      </c>
      <c r="D787" s="1366" t="s">
        <v>5463</v>
      </c>
      <c r="E787" s="590" t="s">
        <v>2434</v>
      </c>
      <c r="F787" s="590" t="s">
        <v>219</v>
      </c>
      <c r="G787" s="591" t="s">
        <v>5464</v>
      </c>
      <c r="H787" s="590">
        <v>1</v>
      </c>
      <c r="I787" s="1428" t="s">
        <v>4306</v>
      </c>
      <c r="J787" s="590"/>
      <c r="K787" s="590" t="s">
        <v>642</v>
      </c>
      <c r="L787" s="590"/>
      <c r="M787" s="595">
        <v>3733400</v>
      </c>
      <c r="N787" s="590" t="s">
        <v>251</v>
      </c>
      <c r="O787" s="594">
        <v>43803</v>
      </c>
      <c r="P787" s="594">
        <v>43836</v>
      </c>
      <c r="Q787" s="590"/>
      <c r="R787" s="590"/>
      <c r="S787" s="1428"/>
      <c r="T787" s="595"/>
      <c r="U787" s="595"/>
      <c r="V787" s="1484"/>
      <c r="W787" s="1484"/>
      <c r="X787" s="1484"/>
      <c r="Y787" s="595"/>
      <c r="Z787" s="595"/>
      <c r="AA787" s="590"/>
      <c r="AB787" s="590"/>
      <c r="AC787" s="590"/>
      <c r="AD787" s="590"/>
      <c r="AE787" s="590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S787" s="9"/>
    </row>
    <row r="788" spans="1:45">
      <c r="A788" s="9"/>
      <c r="B788" s="9"/>
      <c r="C788" s="594">
        <v>43712</v>
      </c>
      <c r="D788" s="1366" t="s">
        <v>5463</v>
      </c>
      <c r="E788" s="590" t="s">
        <v>2434</v>
      </c>
      <c r="F788" s="590" t="s">
        <v>219</v>
      </c>
      <c r="G788" s="591" t="s">
        <v>5464</v>
      </c>
      <c r="H788" s="590">
        <v>2</v>
      </c>
      <c r="I788" s="1428" t="s">
        <v>4308</v>
      </c>
      <c r="J788" s="590"/>
      <c r="K788" s="590" t="s">
        <v>642</v>
      </c>
      <c r="L788" s="590"/>
      <c r="M788" s="595">
        <v>141890.1</v>
      </c>
      <c r="N788" s="590" t="s">
        <v>251</v>
      </c>
      <c r="O788" s="594">
        <v>43803</v>
      </c>
      <c r="P788" s="594">
        <v>43836</v>
      </c>
      <c r="Q788" s="590"/>
      <c r="R788" s="590"/>
      <c r="S788" s="1428"/>
      <c r="T788" s="595"/>
      <c r="U788" s="595"/>
      <c r="V788" s="1484"/>
      <c r="W788" s="1484"/>
      <c r="X788" s="1484"/>
      <c r="Y788" s="595"/>
      <c r="Z788" s="595"/>
      <c r="AA788" s="590"/>
      <c r="AB788" s="590"/>
      <c r="AC788" s="590"/>
      <c r="AD788" s="590"/>
      <c r="AE788" s="590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S788" s="9"/>
    </row>
    <row r="789" spans="1:45">
      <c r="A789" s="9"/>
      <c r="B789" s="9"/>
      <c r="C789" s="544">
        <v>43712</v>
      </c>
      <c r="D789" s="1357" t="s">
        <v>5466</v>
      </c>
      <c r="E789" s="540" t="s">
        <v>69</v>
      </c>
      <c r="F789" s="540" t="s">
        <v>70</v>
      </c>
      <c r="G789" s="541" t="s">
        <v>5465</v>
      </c>
      <c r="H789" s="540">
        <v>1</v>
      </c>
      <c r="I789" s="1402" t="s">
        <v>5467</v>
      </c>
      <c r="J789" s="590"/>
      <c r="K789" s="540" t="s">
        <v>72</v>
      </c>
      <c r="L789" s="540"/>
      <c r="M789" s="545">
        <v>19686840</v>
      </c>
      <c r="N789" s="540" t="s">
        <v>251</v>
      </c>
      <c r="O789" s="544">
        <v>43731</v>
      </c>
      <c r="P789" s="544">
        <v>43762</v>
      </c>
      <c r="Q789" s="544">
        <v>43781</v>
      </c>
      <c r="R789" s="540" t="s">
        <v>576</v>
      </c>
      <c r="S789" s="1402"/>
      <c r="T789" s="545">
        <v>19686799.440000001</v>
      </c>
      <c r="U789" s="545">
        <v>21655479.379999999</v>
      </c>
      <c r="V789" s="1484"/>
      <c r="W789" s="1484"/>
      <c r="X789" s="1484"/>
      <c r="Y789" s="1385">
        <v>43782</v>
      </c>
      <c r="Z789" s="545" t="s">
        <v>5997</v>
      </c>
      <c r="AA789" s="540"/>
      <c r="AB789" s="540"/>
      <c r="AC789" s="540"/>
      <c r="AD789" s="540"/>
      <c r="AE789" s="540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S789" s="9"/>
    </row>
    <row r="790" spans="1:45">
      <c r="A790" s="9"/>
      <c r="B790" s="9"/>
      <c r="C790" s="537">
        <v>43712</v>
      </c>
      <c r="D790" s="1373" t="s">
        <v>5468</v>
      </c>
      <c r="E790" s="491" t="s">
        <v>69</v>
      </c>
      <c r="F790" s="491" t="s">
        <v>70</v>
      </c>
      <c r="G790" s="571" t="s">
        <v>5605</v>
      </c>
      <c r="H790" s="491">
        <v>1</v>
      </c>
      <c r="I790" s="495" t="s">
        <v>5605</v>
      </c>
      <c r="J790" s="491"/>
      <c r="K790" s="491" t="s">
        <v>5469</v>
      </c>
      <c r="L790" s="491"/>
      <c r="M790" s="536">
        <v>1483941</v>
      </c>
      <c r="N790" s="491" t="s">
        <v>112</v>
      </c>
      <c r="O790" s="537">
        <v>43718</v>
      </c>
      <c r="P790" s="537">
        <v>43727</v>
      </c>
      <c r="Q790" s="537">
        <v>43741</v>
      </c>
      <c r="R790" s="491" t="s">
        <v>1319</v>
      </c>
      <c r="S790" s="495"/>
      <c r="T790" s="536">
        <v>1483940.64</v>
      </c>
      <c r="U790" s="536">
        <f>T790*1.1</f>
        <v>1632334.7039999999</v>
      </c>
      <c r="V790" s="1471"/>
      <c r="W790" s="1471"/>
      <c r="X790" s="1471"/>
      <c r="Y790" s="573">
        <v>43742</v>
      </c>
      <c r="Z790" s="536" t="s">
        <v>5786</v>
      </c>
      <c r="AA790" s="537">
        <v>43761</v>
      </c>
      <c r="AB790" s="537">
        <v>43763</v>
      </c>
      <c r="AC790" s="537">
        <v>44491</v>
      </c>
      <c r="AD790" s="491" t="s">
        <v>6603</v>
      </c>
      <c r="AE790" s="491">
        <v>2020</v>
      </c>
      <c r="AF790" s="355" t="s">
        <v>11373</v>
      </c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S790" s="9"/>
    </row>
    <row r="791" spans="1:45">
      <c r="A791" s="9"/>
      <c r="B791" s="9"/>
      <c r="C791" s="537">
        <v>43713</v>
      </c>
      <c r="D791" s="1373" t="s">
        <v>5473</v>
      </c>
      <c r="E791" s="491" t="s">
        <v>52</v>
      </c>
      <c r="F791" s="491" t="s">
        <v>3981</v>
      </c>
      <c r="G791" s="409" t="s">
        <v>6406</v>
      </c>
      <c r="H791" s="491"/>
      <c r="I791" s="495"/>
      <c r="J791" s="491"/>
      <c r="K791" s="491" t="s">
        <v>484</v>
      </c>
      <c r="L791" s="491"/>
      <c r="M791" s="536">
        <v>1000000</v>
      </c>
      <c r="N791" s="491" t="s">
        <v>112</v>
      </c>
      <c r="O791" s="537">
        <v>43727</v>
      </c>
      <c r="P791" s="537">
        <v>43739</v>
      </c>
      <c r="Q791" s="537">
        <v>43755</v>
      </c>
      <c r="R791" s="491" t="s">
        <v>3500</v>
      </c>
      <c r="S791" s="495"/>
      <c r="T791" s="536">
        <v>1900000</v>
      </c>
      <c r="U791" s="536">
        <v>2299000</v>
      </c>
      <c r="V791" s="1471"/>
      <c r="W791" s="1471"/>
      <c r="X791" s="1471"/>
      <c r="Y791" s="573">
        <v>43755</v>
      </c>
      <c r="Z791" s="536" t="s">
        <v>5834</v>
      </c>
      <c r="AA791" s="537">
        <v>43782</v>
      </c>
      <c r="AB791" s="537">
        <v>43783</v>
      </c>
      <c r="AC791" s="537">
        <f>AA791+120</f>
        <v>43902</v>
      </c>
      <c r="AD791" s="537">
        <v>44635</v>
      </c>
      <c r="AE791" s="1102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S791" s="9"/>
    </row>
    <row r="792" spans="1:45">
      <c r="A792" s="9"/>
      <c r="B792" s="9"/>
      <c r="C792" s="537">
        <v>43710</v>
      </c>
      <c r="D792" s="1373" t="s">
        <v>5475</v>
      </c>
      <c r="E792" s="491" t="s">
        <v>69</v>
      </c>
      <c r="F792" s="491" t="s">
        <v>70</v>
      </c>
      <c r="G792" s="571" t="s">
        <v>5476</v>
      </c>
      <c r="H792" s="491">
        <v>1</v>
      </c>
      <c r="I792" s="495" t="s">
        <v>5477</v>
      </c>
      <c r="J792" s="491"/>
      <c r="K792" s="491" t="s">
        <v>2296</v>
      </c>
      <c r="L792" s="491"/>
      <c r="M792" s="536">
        <v>281451.32</v>
      </c>
      <c r="N792" s="491" t="s">
        <v>112</v>
      </c>
      <c r="O792" s="537">
        <v>43718</v>
      </c>
      <c r="P792" s="537">
        <v>43725</v>
      </c>
      <c r="Q792" s="537">
        <v>43741</v>
      </c>
      <c r="R792" s="491" t="s">
        <v>1318</v>
      </c>
      <c r="S792" s="495"/>
      <c r="T792" s="536">
        <v>280965.8</v>
      </c>
      <c r="U792" s="536">
        <v>309062.38</v>
      </c>
      <c r="V792" s="1471"/>
      <c r="W792" s="1471"/>
      <c r="X792" s="1471"/>
      <c r="Y792" s="573">
        <v>43742</v>
      </c>
      <c r="Z792" s="536" t="s">
        <v>5779</v>
      </c>
      <c r="AA792" s="537">
        <v>43755</v>
      </c>
      <c r="AB792" s="537">
        <v>43770</v>
      </c>
      <c r="AC792" s="537">
        <v>44485</v>
      </c>
      <c r="AD792" s="537">
        <v>43915</v>
      </c>
      <c r="AE792" s="537">
        <v>44279</v>
      </c>
      <c r="AF792" s="1560">
        <v>44645</v>
      </c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S792" s="9"/>
    </row>
    <row r="793" spans="1:45">
      <c r="A793" s="9"/>
      <c r="B793" s="9"/>
      <c r="C793" s="537">
        <v>43710</v>
      </c>
      <c r="D793" s="1373" t="s">
        <v>5475</v>
      </c>
      <c r="E793" s="491" t="s">
        <v>69</v>
      </c>
      <c r="F793" s="491" t="s">
        <v>70</v>
      </c>
      <c r="G793" s="571" t="s">
        <v>5476</v>
      </c>
      <c r="H793" s="491">
        <v>2</v>
      </c>
      <c r="I793" s="495" t="s">
        <v>5478</v>
      </c>
      <c r="J793" s="491"/>
      <c r="K793" s="491" t="s">
        <v>2296</v>
      </c>
      <c r="L793" s="491"/>
      <c r="M793" s="536">
        <v>310234.06</v>
      </c>
      <c r="N793" s="491" t="s">
        <v>112</v>
      </c>
      <c r="O793" s="537">
        <v>43718</v>
      </c>
      <c r="P793" s="537">
        <v>43725</v>
      </c>
      <c r="Q793" s="537">
        <v>43741</v>
      </c>
      <c r="R793" s="491" t="s">
        <v>576</v>
      </c>
      <c r="S793" s="495"/>
      <c r="T793" s="536">
        <v>310202.88</v>
      </c>
      <c r="U793" s="536">
        <v>341223.17</v>
      </c>
      <c r="V793" s="1471"/>
      <c r="W793" s="1471"/>
      <c r="X793" s="1471"/>
      <c r="Y793" s="573">
        <v>43742</v>
      </c>
      <c r="Z793" s="536" t="s">
        <v>5780</v>
      </c>
      <c r="AA793" s="537">
        <v>43784</v>
      </c>
      <c r="AB793" s="537">
        <v>43788</v>
      </c>
      <c r="AC793" s="537">
        <v>44514</v>
      </c>
      <c r="AD793" s="537">
        <v>43915</v>
      </c>
      <c r="AE793" s="537">
        <v>44279</v>
      </c>
      <c r="AF793" s="1560">
        <v>44645</v>
      </c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S793" s="9"/>
    </row>
    <row r="794" spans="1:45">
      <c r="A794" s="9"/>
      <c r="B794" s="9"/>
      <c r="C794" s="537">
        <v>43710</v>
      </c>
      <c r="D794" s="1373" t="s">
        <v>5475</v>
      </c>
      <c r="E794" s="491" t="s">
        <v>69</v>
      </c>
      <c r="F794" s="491" t="s">
        <v>70</v>
      </c>
      <c r="G794" s="571" t="s">
        <v>5476</v>
      </c>
      <c r="H794" s="491">
        <v>3</v>
      </c>
      <c r="I794" s="495" t="s">
        <v>5479</v>
      </c>
      <c r="J794" s="491"/>
      <c r="K794" s="491" t="s">
        <v>2296</v>
      </c>
      <c r="L794" s="491"/>
      <c r="M794" s="536">
        <v>470333.4</v>
      </c>
      <c r="N794" s="491" t="s">
        <v>112</v>
      </c>
      <c r="O794" s="537">
        <v>43718</v>
      </c>
      <c r="P794" s="537">
        <v>43725</v>
      </c>
      <c r="Q794" s="537">
        <v>43741</v>
      </c>
      <c r="R794" s="491" t="s">
        <v>5774</v>
      </c>
      <c r="S794" s="495"/>
      <c r="T794" s="536">
        <v>397633.32</v>
      </c>
      <c r="U794" s="536">
        <v>437396.65</v>
      </c>
      <c r="V794" s="1471"/>
      <c r="W794" s="1471"/>
      <c r="X794" s="1471"/>
      <c r="Y794" s="573">
        <v>43742</v>
      </c>
      <c r="Z794" s="536" t="s">
        <v>5781</v>
      </c>
      <c r="AA794" s="537">
        <v>43755</v>
      </c>
      <c r="AB794" s="537">
        <v>43770</v>
      </c>
      <c r="AC794" s="537">
        <v>44485</v>
      </c>
      <c r="AD794" s="537">
        <v>43915</v>
      </c>
      <c r="AE794" s="537">
        <v>44279</v>
      </c>
      <c r="AF794" s="1560">
        <v>44645</v>
      </c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S794" s="9"/>
    </row>
    <row r="795" spans="1:45">
      <c r="A795" s="9"/>
      <c r="B795" s="9"/>
      <c r="C795" s="537">
        <v>43714</v>
      </c>
      <c r="D795" s="1373" t="s">
        <v>5482</v>
      </c>
      <c r="E795" s="491" t="s">
        <v>1032</v>
      </c>
      <c r="F795" s="491" t="s">
        <v>361</v>
      </c>
      <c r="G795" s="571" t="s">
        <v>5483</v>
      </c>
      <c r="H795" s="491"/>
      <c r="I795" s="495"/>
      <c r="J795" s="491"/>
      <c r="K795" s="491" t="s">
        <v>332</v>
      </c>
      <c r="L795" s="491"/>
      <c r="M795" s="536">
        <v>580000</v>
      </c>
      <c r="N795" s="491" t="s">
        <v>112</v>
      </c>
      <c r="O795" s="537">
        <v>43721</v>
      </c>
      <c r="P795" s="537">
        <v>43727</v>
      </c>
      <c r="Q795" s="537">
        <v>43734</v>
      </c>
      <c r="R795" s="491" t="s">
        <v>1859</v>
      </c>
      <c r="S795" s="495"/>
      <c r="T795" s="536">
        <v>626900</v>
      </c>
      <c r="U795" s="536">
        <f>T795*1.21</f>
        <v>758549</v>
      </c>
      <c r="V795" s="1471"/>
      <c r="W795" s="1471"/>
      <c r="X795" s="1471"/>
      <c r="Y795" s="573">
        <v>43734</v>
      </c>
      <c r="Z795" s="536" t="s">
        <v>5728</v>
      </c>
      <c r="AA795" s="537">
        <v>43759</v>
      </c>
      <c r="AB795" s="537">
        <v>43760</v>
      </c>
      <c r="AC795" s="537">
        <f>AA795+90</f>
        <v>43849</v>
      </c>
      <c r="AD795" s="537">
        <v>44046</v>
      </c>
      <c r="AE795" s="1102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S795" s="9"/>
    </row>
    <row r="796" spans="1:45">
      <c r="A796" s="9"/>
      <c r="B796" s="9"/>
      <c r="C796" s="544">
        <v>43717</v>
      </c>
      <c r="D796" s="1357" t="s">
        <v>5583</v>
      </c>
      <c r="E796" s="540" t="s">
        <v>2111</v>
      </c>
      <c r="F796" s="540" t="s">
        <v>4440</v>
      </c>
      <c r="G796" s="541" t="s">
        <v>5584</v>
      </c>
      <c r="H796" s="540"/>
      <c r="I796" s="1402"/>
      <c r="J796" s="590"/>
      <c r="K796" s="540" t="s">
        <v>2113</v>
      </c>
      <c r="L796" s="540"/>
      <c r="M796" s="545">
        <v>990000</v>
      </c>
      <c r="N796" s="540" t="s">
        <v>251</v>
      </c>
      <c r="O796" s="544">
        <v>43740</v>
      </c>
      <c r="P796" s="544">
        <v>43767</v>
      </c>
      <c r="Q796" s="544">
        <v>43787</v>
      </c>
      <c r="R796" s="540" t="s">
        <v>6017</v>
      </c>
      <c r="S796" s="1402"/>
      <c r="T796" s="545">
        <v>1209763</v>
      </c>
      <c r="U796" s="545">
        <f>T796*1.21</f>
        <v>1463813.23</v>
      </c>
      <c r="V796" s="1484"/>
      <c r="W796" s="1484"/>
      <c r="X796" s="1484"/>
      <c r="Y796" s="1385">
        <v>43787</v>
      </c>
      <c r="Z796" s="545" t="s">
        <v>6018</v>
      </c>
      <c r="AA796" s="540"/>
      <c r="AB796" s="540"/>
      <c r="AC796" s="540"/>
      <c r="AD796" s="540"/>
      <c r="AE796" s="540"/>
      <c r="AF796" s="390"/>
      <c r="AG796" s="390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S796" s="9"/>
    </row>
    <row r="797" spans="1:45">
      <c r="A797" s="9"/>
      <c r="B797" s="9"/>
      <c r="C797" s="537">
        <v>43718</v>
      </c>
      <c r="D797" s="1373" t="s">
        <v>5585</v>
      </c>
      <c r="E797" s="491" t="s">
        <v>4997</v>
      </c>
      <c r="F797" s="491" t="s">
        <v>167</v>
      </c>
      <c r="G797" s="571" t="s">
        <v>5586</v>
      </c>
      <c r="H797" s="491"/>
      <c r="I797" s="495"/>
      <c r="J797" s="491"/>
      <c r="K797" s="491" t="s">
        <v>48</v>
      </c>
      <c r="L797" s="491"/>
      <c r="M797" s="536">
        <v>350000</v>
      </c>
      <c r="N797" s="491" t="s">
        <v>112</v>
      </c>
      <c r="O797" s="537">
        <v>43724</v>
      </c>
      <c r="P797" s="537">
        <v>43732</v>
      </c>
      <c r="Q797" s="537">
        <v>43734</v>
      </c>
      <c r="R797" s="491" t="s">
        <v>5745</v>
      </c>
      <c r="S797" s="495"/>
      <c r="T797" s="536">
        <v>326999.83</v>
      </c>
      <c r="U797" s="536">
        <v>395669.79</v>
      </c>
      <c r="V797" s="1471"/>
      <c r="W797" s="1471"/>
      <c r="X797" s="1471"/>
      <c r="Y797" s="573">
        <v>43734</v>
      </c>
      <c r="Z797" s="536" t="s">
        <v>5746</v>
      </c>
      <c r="AA797" s="537">
        <v>43753</v>
      </c>
      <c r="AB797" s="537">
        <v>43759</v>
      </c>
      <c r="AC797" s="537">
        <f>AA797+35</f>
        <v>43788</v>
      </c>
      <c r="AD797" s="537">
        <v>44244</v>
      </c>
      <c r="AE797" s="1102"/>
      <c r="AF797" s="390"/>
      <c r="AG797" s="390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S797" s="9"/>
    </row>
    <row r="798" spans="1:45">
      <c r="A798" s="9"/>
      <c r="B798" s="9"/>
      <c r="C798" s="537">
        <v>43718</v>
      </c>
      <c r="D798" s="1373" t="s">
        <v>5587</v>
      </c>
      <c r="E798" s="491" t="s">
        <v>4997</v>
      </c>
      <c r="F798" s="491" t="s">
        <v>167</v>
      </c>
      <c r="G798" s="571" t="s">
        <v>2628</v>
      </c>
      <c r="H798" s="491"/>
      <c r="I798" s="495"/>
      <c r="J798" s="491"/>
      <c r="K798" s="491" t="s">
        <v>2629</v>
      </c>
      <c r="L798" s="491"/>
      <c r="M798" s="536">
        <v>600000</v>
      </c>
      <c r="N798" s="491" t="s">
        <v>112</v>
      </c>
      <c r="O798" s="537">
        <v>43739</v>
      </c>
      <c r="P798" s="537">
        <v>43748</v>
      </c>
      <c r="Q798" s="537">
        <v>43755</v>
      </c>
      <c r="R798" s="491" t="s">
        <v>5828</v>
      </c>
      <c r="S798" s="495"/>
      <c r="T798" s="536">
        <v>545847</v>
      </c>
      <c r="U798" s="536">
        <v>660475</v>
      </c>
      <c r="V798" s="1471"/>
      <c r="W798" s="1471"/>
      <c r="X798" s="1471"/>
      <c r="Y798" s="573">
        <v>43755</v>
      </c>
      <c r="Z798" s="536" t="s">
        <v>5838</v>
      </c>
      <c r="AA798" s="537">
        <v>43815</v>
      </c>
      <c r="AB798" s="537">
        <v>43818</v>
      </c>
      <c r="AC798" s="537">
        <v>43863</v>
      </c>
      <c r="AD798" s="537">
        <v>43997</v>
      </c>
      <c r="AE798" s="1102"/>
      <c r="AF798" s="390"/>
      <c r="AG798" s="390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S798" s="9"/>
    </row>
    <row r="799" spans="1:45">
      <c r="A799" s="9"/>
      <c r="B799" s="9"/>
      <c r="C799" s="506" t="s">
        <v>3585</v>
      </c>
      <c r="D799" s="1382" t="s">
        <v>5604</v>
      </c>
      <c r="E799" s="506" t="s">
        <v>2434</v>
      </c>
      <c r="F799" s="506" t="s">
        <v>57</v>
      </c>
      <c r="G799" s="507" t="s">
        <v>5808</v>
      </c>
      <c r="H799" s="506"/>
      <c r="I799" s="548"/>
      <c r="J799" s="506"/>
      <c r="K799" s="506" t="s">
        <v>642</v>
      </c>
      <c r="L799" s="506"/>
      <c r="M799" s="511">
        <v>1484500</v>
      </c>
      <c r="N799" s="506" t="s">
        <v>216</v>
      </c>
      <c r="O799" s="510">
        <v>43769</v>
      </c>
      <c r="P799" s="510">
        <v>43794</v>
      </c>
      <c r="Q799" s="506"/>
      <c r="R799" s="514" t="s">
        <v>2635</v>
      </c>
      <c r="S799" s="548"/>
      <c r="T799" s="511"/>
      <c r="U799" s="511"/>
      <c r="V799" s="1470"/>
      <c r="W799" s="1470"/>
      <c r="X799" s="1470"/>
      <c r="Y799" s="511"/>
      <c r="Z799" s="511"/>
      <c r="AA799" s="506"/>
      <c r="AB799" s="510">
        <v>43797</v>
      </c>
      <c r="AC799" s="506" t="s">
        <v>6040</v>
      </c>
      <c r="AD799" s="506"/>
      <c r="AE799" s="506"/>
      <c r="AF799" s="390"/>
      <c r="AG799" s="390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S799" s="9"/>
    </row>
    <row r="800" spans="1:45" ht="30.75" thickBot="1">
      <c r="A800" s="9"/>
      <c r="B800" s="9"/>
      <c r="C800" s="464">
        <v>43714</v>
      </c>
      <c r="D800" s="1372" t="s">
        <v>5606</v>
      </c>
      <c r="E800" s="406" t="s">
        <v>1700</v>
      </c>
      <c r="F800" s="406" t="s">
        <v>6206</v>
      </c>
      <c r="G800" s="462" t="s">
        <v>2119</v>
      </c>
      <c r="H800" s="406"/>
      <c r="I800" s="1425"/>
      <c r="J800" s="1437"/>
      <c r="K800" s="406" t="s">
        <v>462</v>
      </c>
      <c r="L800" s="406"/>
      <c r="M800" s="465">
        <v>1672092.56</v>
      </c>
      <c r="N800" s="406" t="s">
        <v>251</v>
      </c>
      <c r="O800" s="464">
        <v>43735</v>
      </c>
      <c r="P800" s="464">
        <v>43767</v>
      </c>
      <c r="Q800" s="464">
        <v>43796</v>
      </c>
      <c r="R800" s="406" t="s">
        <v>6051</v>
      </c>
      <c r="S800" s="1425"/>
      <c r="T800" s="465">
        <v>1515550</v>
      </c>
      <c r="U800" s="465">
        <v>1833815.5</v>
      </c>
      <c r="V800" s="1490"/>
      <c r="W800" s="1490"/>
      <c r="X800" s="1490"/>
      <c r="Y800" s="1809">
        <v>43797</v>
      </c>
      <c r="Z800" s="1829" t="s">
        <v>6052</v>
      </c>
      <c r="AA800" s="406"/>
      <c r="AB800" s="406"/>
      <c r="AC800" s="406"/>
      <c r="AD800" s="406"/>
      <c r="AE800" s="406"/>
      <c r="AF800" s="390"/>
      <c r="AG800" s="390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S800" s="9"/>
    </row>
    <row r="801" spans="1:45" ht="15.75" thickTop="1">
      <c r="A801" s="9"/>
      <c r="B801" s="9"/>
      <c r="C801" s="443">
        <v>43714</v>
      </c>
      <c r="D801" s="1415" t="s">
        <v>5607</v>
      </c>
      <c r="E801" s="439" t="s">
        <v>1700</v>
      </c>
      <c r="F801" s="439" t="s">
        <v>6206</v>
      </c>
      <c r="G801" s="440" t="s">
        <v>5608</v>
      </c>
      <c r="H801" s="439">
        <v>1</v>
      </c>
      <c r="I801" s="1431" t="s">
        <v>5608</v>
      </c>
      <c r="J801" s="453"/>
      <c r="K801" s="439" t="s">
        <v>1950</v>
      </c>
      <c r="L801" s="439"/>
      <c r="M801" s="444">
        <v>165495.85999999999</v>
      </c>
      <c r="N801" s="439" t="s">
        <v>251</v>
      </c>
      <c r="O801" s="443">
        <v>43735</v>
      </c>
      <c r="P801" s="443">
        <v>43768</v>
      </c>
      <c r="Q801" s="439"/>
      <c r="R801" s="538" t="s">
        <v>304</v>
      </c>
      <c r="S801" s="1431"/>
      <c r="T801" s="444"/>
      <c r="U801" s="444"/>
      <c r="V801" s="1474"/>
      <c r="W801" s="1474"/>
      <c r="X801" s="1474"/>
      <c r="Y801" s="444"/>
      <c r="Z801" s="444"/>
      <c r="AA801" s="439"/>
      <c r="AB801" s="443">
        <v>43774</v>
      </c>
      <c r="AC801" s="439" t="s">
        <v>5950</v>
      </c>
      <c r="AD801" s="439"/>
      <c r="AE801" s="439"/>
      <c r="AF801" s="390"/>
      <c r="AG801" s="390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S801" s="9"/>
    </row>
    <row r="802" spans="1:45" ht="30">
      <c r="A802" s="9"/>
      <c r="B802" s="9"/>
      <c r="C802" s="537">
        <v>43714</v>
      </c>
      <c r="D802" s="1373" t="s">
        <v>5607</v>
      </c>
      <c r="E802" s="491" t="s">
        <v>1700</v>
      </c>
      <c r="F802" s="491" t="s">
        <v>6206</v>
      </c>
      <c r="G802" s="571" t="s">
        <v>5608</v>
      </c>
      <c r="H802" s="491">
        <v>2</v>
      </c>
      <c r="I802" s="495" t="s">
        <v>5610</v>
      </c>
      <c r="J802" s="491"/>
      <c r="K802" s="491" t="s">
        <v>1950</v>
      </c>
      <c r="L802" s="491"/>
      <c r="M802" s="536">
        <v>197923.96</v>
      </c>
      <c r="N802" s="491" t="s">
        <v>251</v>
      </c>
      <c r="O802" s="537">
        <v>43735</v>
      </c>
      <c r="P802" s="537">
        <v>43768</v>
      </c>
      <c r="Q802" s="537">
        <v>43769</v>
      </c>
      <c r="R802" s="491" t="s">
        <v>383</v>
      </c>
      <c r="S802" s="495"/>
      <c r="T802" s="536">
        <v>206088</v>
      </c>
      <c r="U802" s="536">
        <v>249366.48</v>
      </c>
      <c r="V802" s="1471"/>
      <c r="W802" s="1471"/>
      <c r="X802" s="1471"/>
      <c r="Y802" s="573">
        <v>43769</v>
      </c>
      <c r="Z802" s="1375" t="s">
        <v>5938</v>
      </c>
      <c r="AA802" s="537">
        <v>43810</v>
      </c>
      <c r="AB802" s="537">
        <v>43811</v>
      </c>
      <c r="AC802" s="537">
        <f>AA802+56</f>
        <v>43866</v>
      </c>
      <c r="AD802" s="537">
        <v>43928</v>
      </c>
      <c r="AE802" s="1374" t="s">
        <v>1875</v>
      </c>
      <c r="AF802" s="390"/>
      <c r="AG802" s="390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S802" s="9"/>
    </row>
    <row r="803" spans="1:45" ht="30.75" thickBot="1">
      <c r="A803" s="9"/>
      <c r="B803" s="9"/>
      <c r="C803" s="1380">
        <v>43714</v>
      </c>
      <c r="D803" s="1377" t="s">
        <v>5607</v>
      </c>
      <c r="E803" s="1376" t="s">
        <v>1700</v>
      </c>
      <c r="F803" s="1376" t="s">
        <v>6206</v>
      </c>
      <c r="G803" s="1378" t="s">
        <v>5608</v>
      </c>
      <c r="H803" s="1376">
        <v>3</v>
      </c>
      <c r="I803" s="1421" t="s">
        <v>5609</v>
      </c>
      <c r="J803" s="1376"/>
      <c r="K803" s="1376" t="s">
        <v>1950</v>
      </c>
      <c r="L803" s="1376"/>
      <c r="M803" s="1379">
        <v>154571.9</v>
      </c>
      <c r="N803" s="1376" t="s">
        <v>251</v>
      </c>
      <c r="O803" s="1380">
        <v>43735</v>
      </c>
      <c r="P803" s="1380">
        <v>43768</v>
      </c>
      <c r="Q803" s="1380">
        <v>43769</v>
      </c>
      <c r="R803" s="1376" t="s">
        <v>383</v>
      </c>
      <c r="S803" s="1421"/>
      <c r="T803" s="1379">
        <v>162960</v>
      </c>
      <c r="U803" s="1379">
        <v>197181.6</v>
      </c>
      <c r="V803" s="1475"/>
      <c r="W803" s="1475"/>
      <c r="X803" s="1475"/>
      <c r="Y803" s="1388">
        <v>43769</v>
      </c>
      <c r="Z803" s="1389" t="s">
        <v>5937</v>
      </c>
      <c r="AA803" s="1380">
        <v>43810</v>
      </c>
      <c r="AB803" s="1380">
        <v>43811</v>
      </c>
      <c r="AC803" s="1380">
        <f>AA803+56</f>
        <v>43866</v>
      </c>
      <c r="AD803" s="1380">
        <v>43928</v>
      </c>
      <c r="AE803" s="1381" t="s">
        <v>1875</v>
      </c>
      <c r="AF803" s="390"/>
      <c r="AG803" s="390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S803" s="9"/>
    </row>
    <row r="804" spans="1:45" ht="15.75" thickTop="1">
      <c r="A804" s="9"/>
      <c r="B804" s="9"/>
      <c r="C804" s="428">
        <v>43714</v>
      </c>
      <c r="D804" s="1358" t="s">
        <v>5611</v>
      </c>
      <c r="E804" s="425" t="s">
        <v>1700</v>
      </c>
      <c r="F804" s="425" t="s">
        <v>6206</v>
      </c>
      <c r="G804" s="426" t="s">
        <v>5850</v>
      </c>
      <c r="H804" s="425">
        <v>1</v>
      </c>
      <c r="I804" s="1371" t="s">
        <v>5612</v>
      </c>
      <c r="J804" s="583"/>
      <c r="K804" s="425" t="s">
        <v>5614</v>
      </c>
      <c r="L804" s="425"/>
      <c r="M804" s="429">
        <v>941148.76</v>
      </c>
      <c r="N804" s="425" t="s">
        <v>251</v>
      </c>
      <c r="O804" s="428">
        <v>43735</v>
      </c>
      <c r="P804" s="428">
        <v>43801</v>
      </c>
      <c r="Q804" s="428">
        <v>43818</v>
      </c>
      <c r="R804" s="425" t="s">
        <v>6179</v>
      </c>
      <c r="S804" s="1371"/>
      <c r="T804" s="429">
        <v>649378.56000000006</v>
      </c>
      <c r="U804" s="429">
        <f>T804*1.21</f>
        <v>785748.05760000006</v>
      </c>
      <c r="V804" s="1483"/>
      <c r="W804" s="1483"/>
      <c r="X804" s="1483"/>
      <c r="Y804" s="1384">
        <v>43818</v>
      </c>
      <c r="Z804" s="429" t="s">
        <v>6178</v>
      </c>
      <c r="AA804" s="425"/>
      <c r="AB804" s="425"/>
      <c r="AC804" s="425"/>
      <c r="AD804" s="425"/>
      <c r="AE804" s="425"/>
      <c r="AF804" s="390"/>
      <c r="AG804" s="390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S804" s="9"/>
    </row>
    <row r="805" spans="1:45" ht="15.75" thickBot="1">
      <c r="A805" s="9"/>
      <c r="B805" s="9"/>
      <c r="C805" s="1363">
        <v>43714</v>
      </c>
      <c r="D805" s="1360" t="s">
        <v>5611</v>
      </c>
      <c r="E805" s="1355" t="s">
        <v>1700</v>
      </c>
      <c r="F805" s="1355" t="s">
        <v>6206</v>
      </c>
      <c r="G805" s="1361" t="s">
        <v>5850</v>
      </c>
      <c r="H805" s="1355">
        <v>2</v>
      </c>
      <c r="I805" s="1419" t="s">
        <v>5613</v>
      </c>
      <c r="J805" s="1356"/>
      <c r="K805" s="1355" t="s">
        <v>5614</v>
      </c>
      <c r="L805" s="1355"/>
      <c r="M805" s="1362">
        <v>182823.14</v>
      </c>
      <c r="N805" s="1355" t="s">
        <v>251</v>
      </c>
      <c r="O805" s="1363">
        <v>43735</v>
      </c>
      <c r="P805" s="1363">
        <v>43801</v>
      </c>
      <c r="Q805" s="1363">
        <v>43818</v>
      </c>
      <c r="R805" s="1355" t="s">
        <v>1513</v>
      </c>
      <c r="S805" s="1419"/>
      <c r="T805" s="1362">
        <v>119000</v>
      </c>
      <c r="U805" s="1362">
        <f>T805*1.21</f>
        <v>143990</v>
      </c>
      <c r="V805" s="1485"/>
      <c r="W805" s="1485"/>
      <c r="X805" s="1485"/>
      <c r="Y805" s="1512">
        <v>43818</v>
      </c>
      <c r="Z805" s="1362" t="s">
        <v>6195</v>
      </c>
      <c r="AA805" s="1355"/>
      <c r="AB805" s="1355"/>
      <c r="AC805" s="1355"/>
      <c r="AD805" s="1355"/>
      <c r="AE805" s="1355"/>
      <c r="AF805" s="390"/>
      <c r="AG805" s="390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S805" s="9"/>
    </row>
    <row r="806" spans="1:45" ht="30.75" thickTop="1">
      <c r="A806" s="9"/>
      <c r="B806" s="9"/>
      <c r="C806" s="840">
        <v>43721</v>
      </c>
      <c r="D806" s="1364" t="s">
        <v>5617</v>
      </c>
      <c r="E806" s="423" t="s">
        <v>52</v>
      </c>
      <c r="F806" s="423" t="s">
        <v>3089</v>
      </c>
      <c r="G806" s="837" t="s">
        <v>5618</v>
      </c>
      <c r="H806" s="423"/>
      <c r="I806" s="1422"/>
      <c r="J806" s="576"/>
      <c r="K806" s="423" t="s">
        <v>1580</v>
      </c>
      <c r="L806" s="423" t="s">
        <v>1581</v>
      </c>
      <c r="M806" s="841">
        <v>11500000</v>
      </c>
      <c r="N806" s="423" t="s">
        <v>251</v>
      </c>
      <c r="O806" s="840">
        <v>43740</v>
      </c>
      <c r="P806" s="840">
        <v>43775</v>
      </c>
      <c r="Q806" s="840">
        <v>43812</v>
      </c>
      <c r="R806" s="423" t="s">
        <v>6158</v>
      </c>
      <c r="S806" s="1422"/>
      <c r="T806" s="841">
        <v>11475709</v>
      </c>
      <c r="U806" s="841">
        <v>13885607.890000001</v>
      </c>
      <c r="V806" s="1489"/>
      <c r="W806" s="1489"/>
      <c r="X806" s="1489"/>
      <c r="Y806" s="1392">
        <v>43816</v>
      </c>
      <c r="Z806" s="1796" t="s">
        <v>6159</v>
      </c>
      <c r="AA806" s="423"/>
      <c r="AB806" s="423"/>
      <c r="AC806" s="423"/>
      <c r="AD806" s="423"/>
      <c r="AE806" s="423"/>
      <c r="AF806" s="390"/>
      <c r="AG806" s="390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S806" s="9"/>
    </row>
    <row r="807" spans="1:45">
      <c r="A807" s="9"/>
      <c r="B807" s="9"/>
      <c r="C807" s="1390">
        <v>43721</v>
      </c>
      <c r="D807" s="1359" t="s">
        <v>5619</v>
      </c>
      <c r="E807" s="530" t="s">
        <v>69</v>
      </c>
      <c r="F807" s="530" t="s">
        <v>70</v>
      </c>
      <c r="G807" s="1518" t="s">
        <v>5620</v>
      </c>
      <c r="H807" s="530"/>
      <c r="I807" s="1897" t="s">
        <v>6302</v>
      </c>
      <c r="J807" s="530"/>
      <c r="K807" s="1102" t="s">
        <v>3870</v>
      </c>
      <c r="L807" s="530"/>
      <c r="M807" s="533">
        <v>1440000</v>
      </c>
      <c r="N807" s="530" t="s">
        <v>112</v>
      </c>
      <c r="O807" s="530"/>
      <c r="P807" s="530"/>
      <c r="Q807" s="530"/>
      <c r="R807" s="530"/>
      <c r="S807" s="1432"/>
      <c r="T807" s="533"/>
      <c r="U807" s="533"/>
      <c r="V807" s="1487"/>
      <c r="W807" s="1487"/>
      <c r="X807" s="1487"/>
      <c r="Y807" s="533"/>
      <c r="Z807" s="533"/>
      <c r="AA807" s="530"/>
      <c r="AB807" s="530"/>
      <c r="AC807" s="530"/>
      <c r="AD807" s="530"/>
      <c r="AE807" s="530"/>
      <c r="AF807" s="390"/>
      <c r="AG807" s="390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S807" s="9"/>
    </row>
    <row r="808" spans="1:45" ht="30">
      <c r="A808" s="9"/>
      <c r="B808" s="9"/>
      <c r="C808" s="537">
        <v>43725</v>
      </c>
      <c r="D808" s="1373" t="s">
        <v>5629</v>
      </c>
      <c r="E808" s="491" t="s">
        <v>2434</v>
      </c>
      <c r="F808" s="491" t="s">
        <v>219</v>
      </c>
      <c r="G808" s="571" t="s">
        <v>5630</v>
      </c>
      <c r="H808" s="491"/>
      <c r="I808" s="495"/>
      <c r="J808" s="491"/>
      <c r="K808" s="491" t="s">
        <v>642</v>
      </c>
      <c r="L808" s="491"/>
      <c r="M808" s="536">
        <v>725000</v>
      </c>
      <c r="N808" s="491" t="s">
        <v>112</v>
      </c>
      <c r="O808" s="537">
        <v>43733</v>
      </c>
      <c r="P808" s="537">
        <v>43746</v>
      </c>
      <c r="Q808" s="537">
        <v>43767</v>
      </c>
      <c r="R808" s="495" t="s">
        <v>5908</v>
      </c>
      <c r="S808" s="495"/>
      <c r="T808" s="536">
        <v>630000</v>
      </c>
      <c r="U808" s="536">
        <v>762300</v>
      </c>
      <c r="V808" s="1471"/>
      <c r="W808" s="1471"/>
      <c r="X808" s="1471"/>
      <c r="Y808" s="573">
        <v>43768</v>
      </c>
      <c r="Z808" s="1375" t="s">
        <v>5918</v>
      </c>
      <c r="AA808" s="537">
        <v>43794</v>
      </c>
      <c r="AB808" s="537">
        <v>43801</v>
      </c>
      <c r="AC808" s="416">
        <v>44524</v>
      </c>
      <c r="AD808" s="416">
        <v>43930</v>
      </c>
      <c r="AE808" s="416">
        <v>44285</v>
      </c>
      <c r="AF808" s="1560">
        <v>44637</v>
      </c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S808" s="9"/>
    </row>
    <row r="809" spans="1:45" ht="15.75" thickBot="1">
      <c r="A809" s="9"/>
      <c r="B809" s="9"/>
      <c r="C809" s="464">
        <v>43714</v>
      </c>
      <c r="D809" s="1372" t="s">
        <v>5641</v>
      </c>
      <c r="E809" s="406" t="s">
        <v>2434</v>
      </c>
      <c r="F809" s="406" t="s">
        <v>219</v>
      </c>
      <c r="G809" s="462" t="s">
        <v>5480</v>
      </c>
      <c r="H809" s="406"/>
      <c r="I809" s="1425"/>
      <c r="J809" s="1437"/>
      <c r="K809" s="406" t="s">
        <v>642</v>
      </c>
      <c r="L809" s="406"/>
      <c r="M809" s="465">
        <v>285180</v>
      </c>
      <c r="N809" s="406" t="s">
        <v>112</v>
      </c>
      <c r="O809" s="464">
        <v>43732</v>
      </c>
      <c r="P809" s="464">
        <v>43742</v>
      </c>
      <c r="Q809" s="406"/>
      <c r="R809" s="406"/>
      <c r="S809" s="1425"/>
      <c r="T809" s="465"/>
      <c r="U809" s="465"/>
      <c r="V809" s="1490"/>
      <c r="W809" s="1490"/>
      <c r="X809" s="1490"/>
      <c r="Y809" s="465"/>
      <c r="Z809" s="465"/>
      <c r="AA809" s="406"/>
      <c r="AB809" s="406"/>
      <c r="AC809" s="7"/>
      <c r="AD809" s="1355"/>
      <c r="AE809" s="1355"/>
      <c r="AG809" s="390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S809" s="9"/>
    </row>
    <row r="810" spans="1:45" ht="15.75" thickTop="1">
      <c r="A810" s="9"/>
      <c r="B810" s="9"/>
      <c r="C810" s="824" t="s">
        <v>5665</v>
      </c>
      <c r="D810" s="1609" t="s">
        <v>5666</v>
      </c>
      <c r="E810" s="824" t="s">
        <v>58</v>
      </c>
      <c r="F810" s="824" t="s">
        <v>2684</v>
      </c>
      <c r="G810" s="825" t="s">
        <v>5667</v>
      </c>
      <c r="H810" s="824">
        <v>1</v>
      </c>
      <c r="I810" s="1895" t="s">
        <v>6289</v>
      </c>
      <c r="J810" s="824"/>
      <c r="K810" s="1393" t="s">
        <v>2665</v>
      </c>
      <c r="L810" s="824" t="s">
        <v>5672</v>
      </c>
      <c r="M810" s="828">
        <v>3245000</v>
      </c>
      <c r="N810" s="824" t="s">
        <v>251</v>
      </c>
      <c r="O810" s="824"/>
      <c r="P810" s="824"/>
      <c r="Q810" s="824"/>
      <c r="R810" s="824"/>
      <c r="S810" s="1565"/>
      <c r="T810" s="828"/>
      <c r="U810" s="828"/>
      <c r="V810" s="1486"/>
      <c r="W810" s="1486"/>
      <c r="X810" s="1486"/>
      <c r="Y810" s="828"/>
      <c r="Z810" s="828"/>
      <c r="AA810" s="824"/>
      <c r="AB810" s="824"/>
      <c r="AC810" s="824"/>
      <c r="AD810" s="824"/>
      <c r="AE810" s="824"/>
      <c r="AF810" s="390"/>
      <c r="AG810" s="390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S810" s="9"/>
    </row>
    <row r="811" spans="1:45" ht="15.75" thickBot="1">
      <c r="A811" s="9"/>
      <c r="B811" s="9"/>
      <c r="C811" s="1394" t="s">
        <v>5665</v>
      </c>
      <c r="D811" s="1610" t="s">
        <v>5666</v>
      </c>
      <c r="E811" s="1394" t="s">
        <v>58</v>
      </c>
      <c r="F811" s="1394" t="s">
        <v>2684</v>
      </c>
      <c r="G811" s="1566" t="s">
        <v>5667</v>
      </c>
      <c r="H811" s="1394">
        <v>2</v>
      </c>
      <c r="I811" s="1896" t="s">
        <v>6289</v>
      </c>
      <c r="J811" s="1394"/>
      <c r="K811" s="1395" t="s">
        <v>2665</v>
      </c>
      <c r="L811" s="1394" t="s">
        <v>5673</v>
      </c>
      <c r="M811" s="1568">
        <v>1730000</v>
      </c>
      <c r="N811" s="1394" t="s">
        <v>251</v>
      </c>
      <c r="O811" s="1394"/>
      <c r="P811" s="1394"/>
      <c r="Q811" s="1394"/>
      <c r="R811" s="1394"/>
      <c r="S811" s="1567"/>
      <c r="T811" s="1568"/>
      <c r="U811" s="1568"/>
      <c r="V811" s="1488"/>
      <c r="W811" s="1488"/>
      <c r="X811" s="1488"/>
      <c r="Y811" s="1568"/>
      <c r="Z811" s="1568"/>
      <c r="AA811" s="1394"/>
      <c r="AB811" s="1394"/>
      <c r="AC811" s="1394"/>
      <c r="AD811" s="1394"/>
      <c r="AE811" s="1394"/>
      <c r="AF811" s="390"/>
      <c r="AG811" s="390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S811" s="9"/>
    </row>
    <row r="812" spans="1:45" ht="15.75" thickTop="1">
      <c r="A812" s="9"/>
      <c r="B812" s="9"/>
      <c r="C812" s="470">
        <v>43733</v>
      </c>
      <c r="D812" s="1515" t="s">
        <v>5670</v>
      </c>
      <c r="E812" s="466" t="s">
        <v>58</v>
      </c>
      <c r="F812" s="466" t="s">
        <v>2684</v>
      </c>
      <c r="G812" s="467" t="s">
        <v>5671</v>
      </c>
      <c r="H812" s="466"/>
      <c r="I812" s="654"/>
      <c r="J812" s="576"/>
      <c r="K812" s="466" t="s">
        <v>80</v>
      </c>
      <c r="L812" s="466" t="s">
        <v>888</v>
      </c>
      <c r="M812" s="472">
        <v>1134000</v>
      </c>
      <c r="N812" s="466" t="s">
        <v>112</v>
      </c>
      <c r="O812" s="470">
        <v>43734</v>
      </c>
      <c r="P812" s="470">
        <v>43742</v>
      </c>
      <c r="Q812" s="466"/>
      <c r="R812" s="1171" t="s">
        <v>5790</v>
      </c>
      <c r="S812" s="654"/>
      <c r="T812" s="472"/>
      <c r="U812" s="472"/>
      <c r="V812" s="1489"/>
      <c r="W812" s="1489"/>
      <c r="X812" s="1489"/>
      <c r="Y812" s="472"/>
      <c r="Z812" s="472"/>
      <c r="AA812" s="466"/>
      <c r="AB812" s="470">
        <v>43742</v>
      </c>
      <c r="AC812" s="466"/>
      <c r="AD812" s="466"/>
      <c r="AE812" s="466"/>
      <c r="AF812" s="390"/>
      <c r="AG812" s="390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S812" s="9"/>
    </row>
    <row r="813" spans="1:45" ht="30">
      <c r="A813" s="9"/>
      <c r="B813" s="9"/>
      <c r="C813" s="544">
        <v>43733</v>
      </c>
      <c r="D813" s="1357" t="s">
        <v>5674</v>
      </c>
      <c r="E813" s="540" t="s">
        <v>58</v>
      </c>
      <c r="F813" s="540" t="s">
        <v>2684</v>
      </c>
      <c r="G813" s="541" t="s">
        <v>5675</v>
      </c>
      <c r="H813" s="540"/>
      <c r="I813" s="1402"/>
      <c r="J813" s="590"/>
      <c r="K813" s="540" t="s">
        <v>5676</v>
      </c>
      <c r="L813" s="540" t="s">
        <v>4229</v>
      </c>
      <c r="M813" s="545">
        <v>2670000</v>
      </c>
      <c r="N813" s="540" t="s">
        <v>216</v>
      </c>
      <c r="O813" s="544">
        <v>43745</v>
      </c>
      <c r="P813" s="544">
        <v>43763</v>
      </c>
      <c r="Q813" s="544">
        <v>43810</v>
      </c>
      <c r="R813" s="1402" t="s">
        <v>6111</v>
      </c>
      <c r="S813" s="1402"/>
      <c r="T813" s="545">
        <v>2668900</v>
      </c>
      <c r="U813" s="545">
        <v>3229369</v>
      </c>
      <c r="V813" s="1484"/>
      <c r="W813" s="1484"/>
      <c r="X813" s="1484"/>
      <c r="Y813" s="1385">
        <v>43811</v>
      </c>
      <c r="Z813" s="1386" t="s">
        <v>6123</v>
      </c>
      <c r="AA813" s="540"/>
      <c r="AB813" s="540"/>
      <c r="AC813" s="540"/>
      <c r="AD813" s="540"/>
      <c r="AE813" s="540"/>
      <c r="AF813" s="390"/>
      <c r="AG813" s="390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S813" s="9"/>
    </row>
    <row r="814" spans="1:45" ht="30">
      <c r="A814" s="9"/>
      <c r="B814" s="9"/>
      <c r="C814" s="537">
        <v>43733</v>
      </c>
      <c r="D814" s="1373" t="s">
        <v>5677</v>
      </c>
      <c r="E814" s="491" t="s">
        <v>58</v>
      </c>
      <c r="F814" s="491" t="s">
        <v>2684</v>
      </c>
      <c r="G814" s="571" t="s">
        <v>4235</v>
      </c>
      <c r="H814" s="491"/>
      <c r="I814" s="495"/>
      <c r="J814" s="491"/>
      <c r="K814" s="491" t="s">
        <v>5678</v>
      </c>
      <c r="L814" s="491" t="s">
        <v>4236</v>
      </c>
      <c r="M814" s="536">
        <v>305000</v>
      </c>
      <c r="N814" s="491" t="s">
        <v>112</v>
      </c>
      <c r="O814" s="537">
        <v>43740</v>
      </c>
      <c r="P814" s="537">
        <v>43753</v>
      </c>
      <c r="Q814" s="537">
        <v>43774</v>
      </c>
      <c r="R814" s="491" t="s">
        <v>5940</v>
      </c>
      <c r="S814" s="495"/>
      <c r="T814" s="536">
        <v>290770</v>
      </c>
      <c r="U814" s="536">
        <v>351831.7</v>
      </c>
      <c r="V814" s="1471"/>
      <c r="W814" s="1471"/>
      <c r="X814" s="1471"/>
      <c r="Y814" s="573">
        <v>43774</v>
      </c>
      <c r="Z814" s="1375" t="s">
        <v>5951</v>
      </c>
      <c r="AA814" s="537">
        <v>43802</v>
      </c>
      <c r="AB814" s="537">
        <v>43810</v>
      </c>
      <c r="AC814" s="537">
        <f>AA814+42</f>
        <v>43844</v>
      </c>
      <c r="AD814" s="537">
        <v>43920</v>
      </c>
      <c r="AE814" s="1374" t="s">
        <v>1875</v>
      </c>
      <c r="AF814" s="390"/>
      <c r="AG814" s="390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S814" s="9"/>
    </row>
    <row r="815" spans="1:45" ht="30">
      <c r="A815" s="9"/>
      <c r="B815" s="9"/>
      <c r="C815" s="537">
        <v>43733</v>
      </c>
      <c r="D815" s="1373" t="s">
        <v>5679</v>
      </c>
      <c r="E815" s="491" t="s">
        <v>58</v>
      </c>
      <c r="F815" s="491" t="s">
        <v>2684</v>
      </c>
      <c r="G815" s="571" t="s">
        <v>5680</v>
      </c>
      <c r="H815" s="491"/>
      <c r="I815" s="495"/>
      <c r="J815" s="491"/>
      <c r="K815" s="491" t="s">
        <v>5681</v>
      </c>
      <c r="L815" s="491" t="s">
        <v>4234</v>
      </c>
      <c r="M815" s="536">
        <v>1138000</v>
      </c>
      <c r="N815" s="491" t="s">
        <v>112</v>
      </c>
      <c r="O815" s="537">
        <v>43734</v>
      </c>
      <c r="P815" s="537">
        <v>43742</v>
      </c>
      <c r="Q815" s="537">
        <v>43768</v>
      </c>
      <c r="R815" s="491" t="s">
        <v>5890</v>
      </c>
      <c r="S815" s="495"/>
      <c r="T815" s="536">
        <v>906662</v>
      </c>
      <c r="U815" s="536">
        <v>1097061.02</v>
      </c>
      <c r="V815" s="1471"/>
      <c r="W815" s="1471"/>
      <c r="X815" s="1471"/>
      <c r="Y815" s="573">
        <v>43768</v>
      </c>
      <c r="Z815" s="1375" t="s">
        <v>5917</v>
      </c>
      <c r="AA815" s="537">
        <v>43794</v>
      </c>
      <c r="AB815" s="537">
        <v>43801</v>
      </c>
      <c r="AC815" s="537">
        <f>AA815+60</f>
        <v>43854</v>
      </c>
      <c r="AD815" s="537">
        <v>43900</v>
      </c>
      <c r="AE815" s="1374" t="s">
        <v>1875</v>
      </c>
      <c r="AF815" s="390"/>
      <c r="AG815" s="390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S815" s="9"/>
    </row>
    <row r="816" spans="1:45" ht="15.75" thickBot="1">
      <c r="A816" s="9"/>
      <c r="B816" s="9"/>
      <c r="C816" s="1617">
        <v>43731</v>
      </c>
      <c r="D816" s="1618" t="s">
        <v>5682</v>
      </c>
      <c r="E816" s="810" t="s">
        <v>2434</v>
      </c>
      <c r="F816" s="810" t="s">
        <v>219</v>
      </c>
      <c r="G816" t="s">
        <v>5683</v>
      </c>
      <c r="H816" s="810"/>
      <c r="I816" s="1908" t="s">
        <v>6426</v>
      </c>
      <c r="J816" s="810"/>
      <c r="K816" s="967" t="s">
        <v>3293</v>
      </c>
      <c r="L816" s="810"/>
      <c r="M816" s="814">
        <v>11160000</v>
      </c>
      <c r="N816" s="810" t="s">
        <v>251</v>
      </c>
      <c r="O816" s="810"/>
      <c r="P816" s="810"/>
      <c r="Q816" s="810"/>
      <c r="R816" s="810"/>
      <c r="S816" s="1619"/>
      <c r="T816" s="814"/>
      <c r="U816" s="814"/>
      <c r="V816" s="1620"/>
      <c r="W816" s="1620"/>
      <c r="X816" s="1620"/>
      <c r="Y816" s="814"/>
      <c r="Z816" s="814"/>
      <c r="AA816" s="810"/>
      <c r="AB816" s="810"/>
      <c r="AC816" s="810"/>
      <c r="AD816" s="810"/>
      <c r="AE816" s="810"/>
      <c r="AF816" s="390"/>
      <c r="AG816" s="390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S816" s="9"/>
    </row>
    <row r="817" spans="1:45" ht="15.75" thickTop="1">
      <c r="A817" s="9"/>
      <c r="B817" s="9"/>
      <c r="C817" s="428">
        <v>43731</v>
      </c>
      <c r="D817" s="1358" t="s">
        <v>5684</v>
      </c>
      <c r="E817" s="425" t="s">
        <v>69</v>
      </c>
      <c r="F817" s="425" t="s">
        <v>70</v>
      </c>
      <c r="G817" s="426" t="s">
        <v>5685</v>
      </c>
      <c r="H817" s="425">
        <v>1</v>
      </c>
      <c r="I817" s="1371" t="s">
        <v>5686</v>
      </c>
      <c r="J817" s="583"/>
      <c r="K817" s="425" t="s">
        <v>68</v>
      </c>
      <c r="L817" s="425"/>
      <c r="M817" s="429">
        <v>5455972</v>
      </c>
      <c r="N817" s="425" t="s">
        <v>251</v>
      </c>
      <c r="O817" s="428">
        <v>43768</v>
      </c>
      <c r="P817" s="428">
        <v>43801</v>
      </c>
      <c r="Q817" s="425"/>
      <c r="R817" s="425"/>
      <c r="S817" s="1371"/>
      <c r="T817" s="429"/>
      <c r="U817" s="429"/>
      <c r="V817" s="1483"/>
      <c r="W817" s="1483"/>
      <c r="X817" s="1483"/>
      <c r="Y817" s="429"/>
      <c r="Z817" s="429"/>
      <c r="AA817" s="425"/>
      <c r="AB817" s="425"/>
      <c r="AC817" s="425"/>
      <c r="AD817" s="425"/>
      <c r="AE817" s="425"/>
      <c r="AF817" s="390"/>
      <c r="AG817" s="390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S817" s="9"/>
    </row>
    <row r="818" spans="1:45">
      <c r="A818" s="9"/>
      <c r="B818" s="9"/>
      <c r="C818" s="544">
        <v>43731</v>
      </c>
      <c r="D818" s="1357" t="s">
        <v>5684</v>
      </c>
      <c r="E818" s="540" t="s">
        <v>69</v>
      </c>
      <c r="F818" s="540" t="s">
        <v>70</v>
      </c>
      <c r="G818" s="541" t="s">
        <v>5685</v>
      </c>
      <c r="H818" s="540">
        <v>2</v>
      </c>
      <c r="I818" s="1402" t="s">
        <v>5687</v>
      </c>
      <c r="J818" s="590"/>
      <c r="K818" s="540" t="s">
        <v>68</v>
      </c>
      <c r="L818" s="540"/>
      <c r="M818" s="545">
        <v>780222</v>
      </c>
      <c r="N818" s="540" t="s">
        <v>251</v>
      </c>
      <c r="O818" s="544">
        <v>43768</v>
      </c>
      <c r="P818" s="544">
        <v>43801</v>
      </c>
      <c r="Q818" s="540"/>
      <c r="R818" s="540"/>
      <c r="S818" s="1402"/>
      <c r="T818" s="545"/>
      <c r="U818" s="545"/>
      <c r="V818" s="1484"/>
      <c r="W818" s="1484"/>
      <c r="X818" s="1484"/>
      <c r="Y818" s="545"/>
      <c r="Z818" s="545"/>
      <c r="AA818" s="540"/>
      <c r="AB818" s="540"/>
      <c r="AC818" s="540"/>
      <c r="AD818" s="540"/>
      <c r="AE818" s="540"/>
      <c r="AF818" s="390"/>
      <c r="AG818" s="390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S818" s="9"/>
    </row>
    <row r="819" spans="1:45">
      <c r="A819" s="9"/>
      <c r="B819" s="9"/>
      <c r="C819" s="510">
        <v>43731</v>
      </c>
      <c r="D819" s="1382" t="s">
        <v>5684</v>
      </c>
      <c r="E819" s="506" t="s">
        <v>69</v>
      </c>
      <c r="F819" s="506" t="s">
        <v>70</v>
      </c>
      <c r="G819" s="507" t="s">
        <v>5685</v>
      </c>
      <c r="H819" s="506">
        <v>3</v>
      </c>
      <c r="I819" s="548" t="s">
        <v>5688</v>
      </c>
      <c r="J819" s="506"/>
      <c r="K819" s="506" t="s">
        <v>68</v>
      </c>
      <c r="L819" s="506"/>
      <c r="M819" s="511">
        <v>2461943</v>
      </c>
      <c r="N819" s="506" t="s">
        <v>251</v>
      </c>
      <c r="O819" s="510">
        <v>43768</v>
      </c>
      <c r="P819" s="510">
        <v>43801</v>
      </c>
      <c r="Q819" s="506"/>
      <c r="R819" s="514" t="s">
        <v>304</v>
      </c>
      <c r="S819" s="548"/>
      <c r="T819" s="511"/>
      <c r="U819" s="511"/>
      <c r="V819" s="1470"/>
      <c r="W819" s="1470"/>
      <c r="X819" s="1470"/>
      <c r="Y819" s="511"/>
      <c r="Z819" s="511"/>
      <c r="AA819" s="506"/>
      <c r="AB819" s="510">
        <v>43846</v>
      </c>
      <c r="AC819" s="506" t="s">
        <v>6233</v>
      </c>
      <c r="AD819" s="506"/>
      <c r="AE819" s="506"/>
      <c r="AF819" s="390"/>
      <c r="AG819" s="390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S819" s="9"/>
    </row>
    <row r="820" spans="1:45">
      <c r="A820" s="9"/>
      <c r="B820" s="9"/>
      <c r="C820" s="510">
        <v>43731</v>
      </c>
      <c r="D820" s="1382" t="s">
        <v>5684</v>
      </c>
      <c r="E820" s="506" t="s">
        <v>69</v>
      </c>
      <c r="F820" s="506" t="s">
        <v>70</v>
      </c>
      <c r="G820" s="507" t="s">
        <v>5685</v>
      </c>
      <c r="H820" s="506">
        <v>4</v>
      </c>
      <c r="I820" s="548" t="s">
        <v>5689</v>
      </c>
      <c r="J820" s="506"/>
      <c r="K820" s="506" t="s">
        <v>68</v>
      </c>
      <c r="L820" s="506"/>
      <c r="M820" s="511">
        <v>20852269</v>
      </c>
      <c r="N820" s="506" t="s">
        <v>251</v>
      </c>
      <c r="O820" s="510">
        <v>43768</v>
      </c>
      <c r="P820" s="510">
        <v>43801</v>
      </c>
      <c r="Q820" s="506"/>
      <c r="R820" s="514" t="s">
        <v>304</v>
      </c>
      <c r="S820" s="548"/>
      <c r="T820" s="511"/>
      <c r="U820" s="511"/>
      <c r="V820" s="1470"/>
      <c r="W820" s="1470"/>
      <c r="X820" s="1470"/>
      <c r="Y820" s="511"/>
      <c r="Z820" s="511"/>
      <c r="AA820" s="506"/>
      <c r="AB820" s="510">
        <v>43846</v>
      </c>
      <c r="AC820" s="506" t="s">
        <v>6233</v>
      </c>
      <c r="AD820" s="506"/>
      <c r="AE820" s="506"/>
      <c r="AF820" s="390"/>
      <c r="AG820" s="390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S820" s="9"/>
    </row>
    <row r="821" spans="1:45" ht="15.75" thickBot="1">
      <c r="A821" s="9"/>
      <c r="B821" s="9"/>
      <c r="C821" s="1363">
        <v>43731</v>
      </c>
      <c r="D821" s="1360" t="s">
        <v>5684</v>
      </c>
      <c r="E821" s="1355" t="s">
        <v>69</v>
      </c>
      <c r="F821" s="1355" t="s">
        <v>70</v>
      </c>
      <c r="G821" s="1361" t="s">
        <v>5685</v>
      </c>
      <c r="H821" s="1355">
        <v>5</v>
      </c>
      <c r="I821" s="1419" t="s">
        <v>5690</v>
      </c>
      <c r="J821" s="1356"/>
      <c r="K821" s="1355" t="s">
        <v>68</v>
      </c>
      <c r="L821" s="1355"/>
      <c r="M821" s="1362">
        <v>300491</v>
      </c>
      <c r="N821" s="1355" t="s">
        <v>251</v>
      </c>
      <c r="O821" s="1363">
        <v>43768</v>
      </c>
      <c r="P821" s="1363">
        <v>43801</v>
      </c>
      <c r="Q821" s="1355"/>
      <c r="R821" s="1355"/>
      <c r="S821" s="1419"/>
      <c r="T821" s="1362"/>
      <c r="U821" s="1362"/>
      <c r="V821" s="1485"/>
      <c r="W821" s="1485"/>
      <c r="X821" s="1485"/>
      <c r="Y821" s="1362"/>
      <c r="Z821" s="1362"/>
      <c r="AA821" s="1355"/>
      <c r="AB821" s="1355"/>
      <c r="AC821" s="1355"/>
      <c r="AD821" s="1355"/>
      <c r="AE821" s="1355"/>
      <c r="AF821" s="390"/>
      <c r="AG821" s="390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S821" s="9"/>
    </row>
    <row r="822" spans="1:45" ht="15.75" thickTop="1">
      <c r="A822" s="9"/>
      <c r="B822" s="9"/>
      <c r="C822" s="428">
        <v>43731</v>
      </c>
      <c r="D822" s="425" t="s">
        <v>5691</v>
      </c>
      <c r="E822" s="425" t="s">
        <v>69</v>
      </c>
      <c r="F822" s="425" t="s">
        <v>70</v>
      </c>
      <c r="G822" s="426" t="s">
        <v>5692</v>
      </c>
      <c r="H822" s="425">
        <v>1</v>
      </c>
      <c r="I822" s="1371" t="s">
        <v>5693</v>
      </c>
      <c r="J822" s="425"/>
      <c r="K822" s="425" t="s">
        <v>4273</v>
      </c>
      <c r="L822" s="425"/>
      <c r="M822" s="429">
        <v>21227976</v>
      </c>
      <c r="N822" s="425" t="s">
        <v>251</v>
      </c>
      <c r="O822" s="428">
        <v>43760</v>
      </c>
      <c r="P822" s="428">
        <v>43797</v>
      </c>
      <c r="Q822" s="425"/>
      <c r="R822" s="1371" t="s">
        <v>6067</v>
      </c>
      <c r="S822" s="1371"/>
      <c r="T822" s="429">
        <v>21226705.920000002</v>
      </c>
      <c r="U822" s="429">
        <v>23349376.510000002</v>
      </c>
      <c r="V822" s="1605"/>
      <c r="W822" s="1605"/>
      <c r="X822" s="1605"/>
      <c r="Y822" s="429"/>
      <c r="Z822" s="429"/>
      <c r="AA822" s="425"/>
      <c r="AB822" s="425"/>
      <c r="AC822" s="425"/>
      <c r="AD822" s="425"/>
      <c r="AE822" s="425"/>
      <c r="AF822" s="390"/>
      <c r="AG822" s="390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S822" s="9"/>
    </row>
    <row r="823" spans="1:45">
      <c r="A823" s="9"/>
      <c r="B823" s="9"/>
      <c r="C823" s="544">
        <v>43731</v>
      </c>
      <c r="D823" s="540" t="s">
        <v>5691</v>
      </c>
      <c r="E823" s="540" t="s">
        <v>69</v>
      </c>
      <c r="F823" s="540" t="s">
        <v>70</v>
      </c>
      <c r="G823" s="541" t="s">
        <v>5692</v>
      </c>
      <c r="H823" s="540">
        <v>2</v>
      </c>
      <c r="I823" s="1402" t="s">
        <v>5694</v>
      </c>
      <c r="J823" s="540"/>
      <c r="K823" s="540" t="s">
        <v>4273</v>
      </c>
      <c r="L823" s="540"/>
      <c r="M823" s="545">
        <v>1061705</v>
      </c>
      <c r="N823" s="540" t="s">
        <v>251</v>
      </c>
      <c r="O823" s="544">
        <v>43760</v>
      </c>
      <c r="P823" s="544">
        <v>43797</v>
      </c>
      <c r="Q823" s="540"/>
      <c r="R823" s="540" t="s">
        <v>6076</v>
      </c>
      <c r="S823" s="1402"/>
      <c r="T823" s="545">
        <v>1057645.1599999999</v>
      </c>
      <c r="U823" s="545">
        <v>1163409.68</v>
      </c>
      <c r="V823" s="1472"/>
      <c r="W823" s="1472"/>
      <c r="X823" s="1472"/>
      <c r="Y823" s="545"/>
      <c r="Z823" s="545"/>
      <c r="AA823" s="540"/>
      <c r="AB823" s="540"/>
      <c r="AC823" s="540"/>
      <c r="AD823" s="540"/>
      <c r="AE823" s="540"/>
      <c r="AF823" s="390"/>
      <c r="AG823" s="390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S823" s="9"/>
    </row>
    <row r="824" spans="1:45">
      <c r="A824" s="9"/>
      <c r="B824" s="9"/>
      <c r="C824" s="544">
        <v>43731</v>
      </c>
      <c r="D824" s="540" t="s">
        <v>5691</v>
      </c>
      <c r="E824" s="540" t="s">
        <v>69</v>
      </c>
      <c r="F824" s="540" t="s">
        <v>70</v>
      </c>
      <c r="G824" s="541" t="s">
        <v>5692</v>
      </c>
      <c r="H824" s="540">
        <v>3</v>
      </c>
      <c r="I824" s="1402" t="s">
        <v>5695</v>
      </c>
      <c r="J824" s="540"/>
      <c r="K824" s="540" t="s">
        <v>4273</v>
      </c>
      <c r="L824" s="540"/>
      <c r="M824" s="545">
        <v>65635</v>
      </c>
      <c r="N824" s="540" t="s">
        <v>251</v>
      </c>
      <c r="O824" s="544">
        <v>43760</v>
      </c>
      <c r="P824" s="544">
        <v>43797</v>
      </c>
      <c r="Q824" s="540"/>
      <c r="R824" s="540" t="s">
        <v>6076</v>
      </c>
      <c r="S824" s="1402"/>
      <c r="T824" s="545">
        <v>65363.72</v>
      </c>
      <c r="U824" s="545">
        <v>71900.09</v>
      </c>
      <c r="V824" s="1472"/>
      <c r="W824" s="1472"/>
      <c r="X824" s="1472"/>
      <c r="Y824" s="545"/>
      <c r="Z824" s="545"/>
      <c r="AA824" s="540"/>
      <c r="AB824" s="540"/>
      <c r="AC824" s="540"/>
      <c r="AD824" s="540"/>
      <c r="AE824" s="540"/>
      <c r="AF824" s="390"/>
      <c r="AG824" s="390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S824" s="9"/>
    </row>
    <row r="825" spans="1:45">
      <c r="A825" s="9"/>
      <c r="B825" s="9"/>
      <c r="C825" s="510">
        <v>43731</v>
      </c>
      <c r="D825" s="506" t="s">
        <v>5691</v>
      </c>
      <c r="E825" s="506" t="s">
        <v>69</v>
      </c>
      <c r="F825" s="506" t="s">
        <v>70</v>
      </c>
      <c r="G825" s="507" t="s">
        <v>5692</v>
      </c>
      <c r="H825" s="506">
        <v>4</v>
      </c>
      <c r="I825" s="548" t="s">
        <v>5829</v>
      </c>
      <c r="J825" s="506"/>
      <c r="K825" s="506" t="s">
        <v>4273</v>
      </c>
      <c r="L825" s="506"/>
      <c r="M825" s="511">
        <v>335356</v>
      </c>
      <c r="N825" s="506" t="s">
        <v>251</v>
      </c>
      <c r="O825" s="510">
        <v>43760</v>
      </c>
      <c r="P825" s="510">
        <v>43797</v>
      </c>
      <c r="Q825" s="506"/>
      <c r="R825" s="514" t="s">
        <v>304</v>
      </c>
      <c r="S825" s="548"/>
      <c r="T825" s="511"/>
      <c r="U825" s="511"/>
      <c r="V825" s="1470"/>
      <c r="W825" s="1470"/>
      <c r="X825" s="1470"/>
      <c r="Y825" s="511"/>
      <c r="Z825" s="511"/>
      <c r="AA825" s="506"/>
      <c r="AB825" s="510">
        <v>43833</v>
      </c>
      <c r="AC825" s="506" t="s">
        <v>6099</v>
      </c>
      <c r="AD825" s="506"/>
      <c r="AE825" s="506"/>
      <c r="AF825" s="390"/>
      <c r="AG825" s="390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S825" s="9"/>
    </row>
    <row r="826" spans="1:45" ht="15.75" thickBot="1">
      <c r="A826" s="9"/>
      <c r="B826" s="9"/>
      <c r="C826" s="1414">
        <v>43731</v>
      </c>
      <c r="D826" s="1410" t="s">
        <v>5691</v>
      </c>
      <c r="E826" s="1410" t="s">
        <v>69</v>
      </c>
      <c r="F826" s="1410" t="s">
        <v>70</v>
      </c>
      <c r="G826" s="1412" t="s">
        <v>5692</v>
      </c>
      <c r="H826" s="1410">
        <v>5</v>
      </c>
      <c r="I826" s="1430" t="s">
        <v>5830</v>
      </c>
      <c r="J826" s="1410"/>
      <c r="K826" s="1410" t="s">
        <v>4273</v>
      </c>
      <c r="L826" s="1410"/>
      <c r="M826" s="1413">
        <v>205618</v>
      </c>
      <c r="N826" s="1410" t="s">
        <v>251</v>
      </c>
      <c r="O826" s="1414">
        <v>43760</v>
      </c>
      <c r="P826" s="1414">
        <v>43797</v>
      </c>
      <c r="Q826" s="1410"/>
      <c r="R826" s="1740" t="s">
        <v>304</v>
      </c>
      <c r="S826" s="1430"/>
      <c r="T826" s="1413"/>
      <c r="U826" s="1413"/>
      <c r="V826" s="1479"/>
      <c r="W826" s="1479"/>
      <c r="X826" s="1479"/>
      <c r="Y826" s="1413"/>
      <c r="Z826" s="1413"/>
      <c r="AA826" s="1410"/>
      <c r="AB826" s="1414">
        <v>43833</v>
      </c>
      <c r="AC826" s="1410" t="s">
        <v>6099</v>
      </c>
      <c r="AD826" s="1410"/>
      <c r="AE826" s="1410"/>
      <c r="AF826" s="390"/>
      <c r="AG826" s="390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S826" s="9"/>
    </row>
    <row r="827" spans="1:45" ht="15.75" thickTop="1">
      <c r="A827" s="9"/>
      <c r="B827" s="9"/>
      <c r="C827" s="1602">
        <v>43732</v>
      </c>
      <c r="D827" s="1578" t="s">
        <v>5719</v>
      </c>
      <c r="E827" s="817" t="s">
        <v>1450</v>
      </c>
      <c r="F827" s="817" t="s">
        <v>1845</v>
      </c>
      <c r="G827" s="818" t="s">
        <v>5720</v>
      </c>
      <c r="H827" s="817"/>
      <c r="I827" s="1579"/>
      <c r="J827" s="817"/>
      <c r="K827" s="1513" t="s">
        <v>5721</v>
      </c>
      <c r="L827" s="817"/>
      <c r="M827" s="821">
        <v>800000</v>
      </c>
      <c r="N827" s="817" t="s">
        <v>112</v>
      </c>
      <c r="O827" s="817"/>
      <c r="P827" s="817"/>
      <c r="Q827" s="817"/>
      <c r="R827" s="817"/>
      <c r="S827" s="1579"/>
      <c r="T827" s="821"/>
      <c r="U827" s="821"/>
      <c r="V827" s="1564"/>
      <c r="W827" s="1564"/>
      <c r="X827" s="1564"/>
      <c r="Y827" s="821"/>
      <c r="Z827" s="821"/>
      <c r="AA827" s="817"/>
      <c r="AB827" s="817"/>
      <c r="AC827" s="817"/>
      <c r="AD827" s="817"/>
      <c r="AE827" s="817"/>
      <c r="AF827" s="390"/>
      <c r="AG827" s="390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S827" s="9"/>
    </row>
    <row r="828" spans="1:45" ht="15.75" thickBot="1">
      <c r="A828" s="9"/>
      <c r="B828" s="9"/>
      <c r="C828" s="498">
        <v>43733</v>
      </c>
      <c r="D828" s="1544" t="s">
        <v>5716</v>
      </c>
      <c r="E828" s="232" t="s">
        <v>1032</v>
      </c>
      <c r="F828" s="232" t="s">
        <v>361</v>
      </c>
      <c r="G828" s="274" t="s">
        <v>5717</v>
      </c>
      <c r="H828" s="232"/>
      <c r="I828" s="669"/>
      <c r="J828" s="232"/>
      <c r="K828" s="232" t="s">
        <v>5718</v>
      </c>
      <c r="L828" s="232"/>
      <c r="M828" s="499">
        <v>1000000</v>
      </c>
      <c r="N828" s="232" t="s">
        <v>112</v>
      </c>
      <c r="O828" s="498">
        <v>43739</v>
      </c>
      <c r="P828" s="498">
        <v>43749</v>
      </c>
      <c r="Q828" s="498">
        <v>43756</v>
      </c>
      <c r="R828" s="232" t="s">
        <v>342</v>
      </c>
      <c r="S828" s="669"/>
      <c r="T828" s="499">
        <v>930000</v>
      </c>
      <c r="U828" s="499">
        <v>1125300</v>
      </c>
      <c r="V828" s="1545"/>
      <c r="W828" s="1545"/>
      <c r="X828" s="1545"/>
      <c r="Y828" s="682">
        <v>43759</v>
      </c>
      <c r="Z828" s="499" t="s">
        <v>5859</v>
      </c>
      <c r="AA828" s="498">
        <v>43788</v>
      </c>
      <c r="AB828" s="498">
        <v>43791</v>
      </c>
      <c r="AC828" s="498">
        <f>AA828+70</f>
        <v>43858</v>
      </c>
      <c r="AD828" s="498">
        <v>43892</v>
      </c>
      <c r="AE828" s="1558"/>
      <c r="AF828" s="390"/>
      <c r="AG828" s="390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S828" s="9"/>
    </row>
    <row r="829" spans="1:45" ht="15.75" thickTop="1">
      <c r="A829" s="9"/>
      <c r="B829" s="9"/>
      <c r="C829" s="474">
        <v>43735</v>
      </c>
      <c r="D829" s="1383" t="s">
        <v>5749</v>
      </c>
      <c r="E829" s="453" t="s">
        <v>4997</v>
      </c>
      <c r="F829" s="453" t="s">
        <v>167</v>
      </c>
      <c r="G829" s="473" t="s">
        <v>5750</v>
      </c>
      <c r="H829" s="453">
        <v>1</v>
      </c>
      <c r="I829" s="1420" t="s">
        <v>5751</v>
      </c>
      <c r="J829" s="453"/>
      <c r="K829" s="453" t="s">
        <v>5752</v>
      </c>
      <c r="L829" s="453"/>
      <c r="M829" s="457">
        <v>1350000</v>
      </c>
      <c r="N829" s="453" t="s">
        <v>112</v>
      </c>
      <c r="O829" s="474">
        <v>43739</v>
      </c>
      <c r="P829" s="474">
        <v>43747</v>
      </c>
      <c r="Q829" s="474">
        <v>43755</v>
      </c>
      <c r="R829" s="453" t="s">
        <v>5822</v>
      </c>
      <c r="S829" s="1420"/>
      <c r="T829" s="457">
        <v>941441.02</v>
      </c>
      <c r="U829" s="457">
        <v>1139143.6299999999</v>
      </c>
      <c r="V829" s="1474"/>
      <c r="W829" s="1474"/>
      <c r="X829" s="1474"/>
      <c r="Y829" s="570">
        <v>43755</v>
      </c>
      <c r="Z829" s="457" t="s">
        <v>5832</v>
      </c>
      <c r="AA829" s="474">
        <v>43782</v>
      </c>
      <c r="AB829" s="474">
        <v>43783</v>
      </c>
      <c r="AC829" s="474">
        <f>AA829+41</f>
        <v>43823</v>
      </c>
      <c r="AD829" s="474">
        <v>43871</v>
      </c>
      <c r="AE829" s="1393"/>
      <c r="AF829" s="390"/>
      <c r="AG829" s="390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S829" s="9"/>
    </row>
    <row r="830" spans="1:45" ht="15.75" thickBot="1">
      <c r="A830" s="9"/>
      <c r="B830" s="9"/>
      <c r="C830" s="1380">
        <v>43735</v>
      </c>
      <c r="D830" s="1377" t="s">
        <v>5749</v>
      </c>
      <c r="E830" s="1376" t="s">
        <v>4997</v>
      </c>
      <c r="F830" s="1376" t="s">
        <v>167</v>
      </c>
      <c r="G830" s="1378" t="s">
        <v>5750</v>
      </c>
      <c r="H830" s="1376">
        <v>2</v>
      </c>
      <c r="I830" s="1421" t="s">
        <v>5753</v>
      </c>
      <c r="J830" s="1376"/>
      <c r="K830" s="1376" t="s">
        <v>5752</v>
      </c>
      <c r="L830" s="1376"/>
      <c r="M830" s="1379">
        <v>690000</v>
      </c>
      <c r="N830" s="1376" t="s">
        <v>112</v>
      </c>
      <c r="O830" s="1380">
        <v>43739</v>
      </c>
      <c r="P830" s="1380">
        <v>43747</v>
      </c>
      <c r="Q830" s="1380">
        <v>43755</v>
      </c>
      <c r="R830" s="1376" t="s">
        <v>5823</v>
      </c>
      <c r="S830" s="1421"/>
      <c r="T830" s="1379">
        <v>394177.04</v>
      </c>
      <c r="U830" s="1379">
        <v>476954.22</v>
      </c>
      <c r="V830" s="1475"/>
      <c r="W830" s="1475"/>
      <c r="X830" s="1475"/>
      <c r="Y830" s="1388">
        <v>43755</v>
      </c>
      <c r="Z830" s="1379" t="s">
        <v>5833</v>
      </c>
      <c r="AA830" s="1380">
        <v>43775</v>
      </c>
      <c r="AB830" s="1380">
        <v>43781</v>
      </c>
      <c r="AC830" s="1380">
        <f>AA830+40</f>
        <v>43815</v>
      </c>
      <c r="AD830" s="1380">
        <v>43878</v>
      </c>
      <c r="AE830" s="1395"/>
      <c r="AF830" s="390"/>
      <c r="AG830" s="390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S830" s="9"/>
    </row>
    <row r="831" spans="1:45" ht="30.75" thickTop="1">
      <c r="A831" s="9"/>
      <c r="B831" s="9"/>
      <c r="C831" s="474">
        <v>43739</v>
      </c>
      <c r="D831" s="453" t="s">
        <v>5758</v>
      </c>
      <c r="E831" s="453" t="s">
        <v>58</v>
      </c>
      <c r="F831" s="453" t="s">
        <v>2684</v>
      </c>
      <c r="G831" s="473" t="s">
        <v>5759</v>
      </c>
      <c r="H831" s="453"/>
      <c r="I831" s="1420"/>
      <c r="J831" s="453"/>
      <c r="K831" s="453" t="s">
        <v>5760</v>
      </c>
      <c r="L831" s="453" t="s">
        <v>5761</v>
      </c>
      <c r="M831" s="457">
        <v>1300000</v>
      </c>
      <c r="N831" s="453" t="s">
        <v>112</v>
      </c>
      <c r="O831" s="474">
        <v>43742</v>
      </c>
      <c r="P831" s="474">
        <v>43755</v>
      </c>
      <c r="Q831" s="474">
        <v>43781</v>
      </c>
      <c r="R831" s="453" t="s">
        <v>5320</v>
      </c>
      <c r="S831" s="1420"/>
      <c r="T831" s="457">
        <v>1293268</v>
      </c>
      <c r="U831" s="457">
        <v>1564854.28</v>
      </c>
      <c r="V831" s="1474"/>
      <c r="W831" s="1474"/>
      <c r="X831" s="1474"/>
      <c r="Y831" s="570">
        <v>43782</v>
      </c>
      <c r="Z831" s="1387" t="s">
        <v>5996</v>
      </c>
      <c r="AA831" s="474">
        <v>43805</v>
      </c>
      <c r="AB831" s="474">
        <v>43808</v>
      </c>
      <c r="AC831" s="474">
        <f>AA831+28</f>
        <v>43833</v>
      </c>
      <c r="AD831" s="474">
        <v>43892</v>
      </c>
      <c r="AE831" s="1391" t="s">
        <v>1875</v>
      </c>
      <c r="AF831" s="390"/>
      <c r="AG831" s="390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S831" s="9"/>
    </row>
    <row r="832" spans="1:45">
      <c r="A832" s="9"/>
      <c r="B832" s="9"/>
      <c r="C832" s="1602">
        <v>43739</v>
      </c>
      <c r="D832" s="1578" t="s">
        <v>5762</v>
      </c>
      <c r="E832" s="817" t="s">
        <v>58</v>
      </c>
      <c r="F832" s="817" t="s">
        <v>2684</v>
      </c>
      <c r="G832" s="1190" t="s">
        <v>6236</v>
      </c>
      <c r="H832" s="817"/>
      <c r="I832" s="1579"/>
      <c r="J832" s="817"/>
      <c r="K832" s="1513" t="s">
        <v>5764</v>
      </c>
      <c r="L832" s="817" t="s">
        <v>4247</v>
      </c>
      <c r="M832" s="821">
        <v>37230000</v>
      </c>
      <c r="N832" s="817" t="s">
        <v>251</v>
      </c>
      <c r="O832" s="817"/>
      <c r="P832" s="817"/>
      <c r="Q832" s="817"/>
      <c r="R832" s="817"/>
      <c r="S832" s="1579"/>
      <c r="T832" s="821"/>
      <c r="U832" s="821"/>
      <c r="V832" s="1564"/>
      <c r="W832" s="1564"/>
      <c r="X832" s="1564"/>
      <c r="Y832" s="821"/>
      <c r="Z832" s="821"/>
      <c r="AA832" s="817"/>
      <c r="AB832" s="817"/>
      <c r="AC832" s="817"/>
      <c r="AD832" s="817"/>
      <c r="AE832" s="817"/>
      <c r="AF832" s="390"/>
      <c r="AG832" s="390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S832" s="9"/>
    </row>
    <row r="833" spans="1:45">
      <c r="A833" s="9"/>
      <c r="B833" s="9"/>
      <c r="C833" s="594">
        <v>43739</v>
      </c>
      <c r="D833" s="1366" t="s">
        <v>5765</v>
      </c>
      <c r="E833" s="590" t="s">
        <v>2111</v>
      </c>
      <c r="F833" s="590" t="s">
        <v>4440</v>
      </c>
      <c r="G833" s="591" t="s">
        <v>5766</v>
      </c>
      <c r="H833" s="590"/>
      <c r="I833" s="1428"/>
      <c r="J833" s="590"/>
      <c r="K833" s="590" t="s">
        <v>2967</v>
      </c>
      <c r="L833" s="590"/>
      <c r="M833" s="595">
        <v>2735780</v>
      </c>
      <c r="N833" s="590" t="s">
        <v>216</v>
      </c>
      <c r="O833" s="594">
        <v>43811</v>
      </c>
      <c r="P833" s="594">
        <v>43846</v>
      </c>
      <c r="Q833" s="590"/>
      <c r="R833" s="590"/>
      <c r="S833" s="1428"/>
      <c r="T833" s="595"/>
      <c r="U833" s="595"/>
      <c r="V833" s="1484"/>
      <c r="W833" s="1484"/>
      <c r="X833" s="1484"/>
      <c r="Y833" s="595"/>
      <c r="Z833" s="595"/>
      <c r="AA833" s="590"/>
      <c r="AB833" s="590"/>
      <c r="AC833" s="590"/>
      <c r="AD833" s="590"/>
      <c r="AE833" s="590"/>
      <c r="AF833" s="390"/>
      <c r="AG833" s="390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S833" s="9"/>
    </row>
    <row r="834" spans="1:45">
      <c r="A834" s="9"/>
      <c r="B834" s="9"/>
      <c r="C834" s="594">
        <v>43763</v>
      </c>
      <c r="D834" s="1366" t="s">
        <v>5767</v>
      </c>
      <c r="E834" s="590" t="s">
        <v>14</v>
      </c>
      <c r="F834" s="590" t="s">
        <v>13</v>
      </c>
      <c r="G834" s="591" t="s">
        <v>5769</v>
      </c>
      <c r="H834" s="590"/>
      <c r="I834" s="1428"/>
      <c r="J834" s="590"/>
      <c r="K834" s="590" t="s">
        <v>2430</v>
      </c>
      <c r="L834" s="590" t="s">
        <v>5768</v>
      </c>
      <c r="M834" s="595">
        <v>3383400</v>
      </c>
      <c r="N834" s="590" t="s">
        <v>216</v>
      </c>
      <c r="O834" s="594">
        <v>43811</v>
      </c>
      <c r="P834" s="594">
        <v>43839</v>
      </c>
      <c r="Q834" s="590"/>
      <c r="R834" s="590"/>
      <c r="S834" s="1428"/>
      <c r="T834" s="595"/>
      <c r="U834" s="595"/>
      <c r="V834" s="1484"/>
      <c r="W834" s="1484"/>
      <c r="X834" s="1484"/>
      <c r="Y834" s="595"/>
      <c r="Z834" s="595"/>
      <c r="AA834" s="590"/>
      <c r="AB834" s="590"/>
      <c r="AC834" s="590"/>
      <c r="AD834" s="590"/>
      <c r="AE834" s="590"/>
      <c r="AF834" s="390"/>
      <c r="AG834" s="390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S834" s="9"/>
    </row>
    <row r="835" spans="1:45">
      <c r="A835" s="9"/>
      <c r="B835" s="9"/>
      <c r="C835" s="537">
        <v>43740</v>
      </c>
      <c r="D835" s="1373" t="s">
        <v>5771</v>
      </c>
      <c r="E835" s="491" t="s">
        <v>2250</v>
      </c>
      <c r="F835" s="491" t="s">
        <v>1416</v>
      </c>
      <c r="G835" s="571" t="s">
        <v>3365</v>
      </c>
      <c r="H835" s="491"/>
      <c r="I835" s="495"/>
      <c r="J835" s="491"/>
      <c r="K835" s="491" t="s">
        <v>1422</v>
      </c>
      <c r="L835" s="491"/>
      <c r="M835" s="536">
        <v>500000</v>
      </c>
      <c r="N835" s="491" t="s">
        <v>112</v>
      </c>
      <c r="O835" s="537">
        <v>43746</v>
      </c>
      <c r="P835" s="537">
        <v>43753</v>
      </c>
      <c r="Q835" s="537">
        <v>43760</v>
      </c>
      <c r="R835" s="491" t="s">
        <v>3381</v>
      </c>
      <c r="S835" s="495"/>
      <c r="T835" s="536">
        <f>U835/1.21</f>
        <v>479338.84297520661</v>
      </c>
      <c r="U835" s="536">
        <v>580000</v>
      </c>
      <c r="V835" s="1471"/>
      <c r="W835" s="1471"/>
      <c r="X835" s="1471"/>
      <c r="Y835" s="573">
        <v>43760</v>
      </c>
      <c r="Z835" s="536" t="s">
        <v>5889</v>
      </c>
      <c r="AA835" s="537">
        <v>43773</v>
      </c>
      <c r="AB835" s="537">
        <v>43773</v>
      </c>
      <c r="AC835" s="537">
        <v>43798</v>
      </c>
      <c r="AD835" s="537">
        <v>43843</v>
      </c>
      <c r="AE835" s="1102"/>
      <c r="AF835" s="390"/>
      <c r="AG835" s="390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S835" s="9"/>
    </row>
    <row r="836" spans="1:45">
      <c r="A836" s="9"/>
      <c r="B836" s="9"/>
      <c r="C836" s="1390">
        <v>43740</v>
      </c>
      <c r="D836" s="1359" t="s">
        <v>5772</v>
      </c>
      <c r="E836" s="530" t="s">
        <v>2434</v>
      </c>
      <c r="F836" s="530" t="s">
        <v>219</v>
      </c>
      <c r="G836" s="1518" t="s">
        <v>5773</v>
      </c>
      <c r="H836" s="530"/>
      <c r="I836" s="1894" t="s">
        <v>6288</v>
      </c>
      <c r="J836" s="530"/>
      <c r="K836" s="1102" t="s">
        <v>642</v>
      </c>
      <c r="L836" s="530"/>
      <c r="M836" s="533">
        <v>4382693</v>
      </c>
      <c r="N836" s="530" t="s">
        <v>251</v>
      </c>
      <c r="O836" s="530"/>
      <c r="P836" s="530"/>
      <c r="Q836" s="530"/>
      <c r="R836" s="530"/>
      <c r="S836" s="1432"/>
      <c r="T836" s="533"/>
      <c r="U836" s="533"/>
      <c r="V836" s="1487"/>
      <c r="W836" s="1487"/>
      <c r="X836" s="1487"/>
      <c r="Y836" s="533"/>
      <c r="Z836" s="533"/>
      <c r="AA836" s="530"/>
      <c r="AB836" s="530"/>
      <c r="AC836" s="530"/>
      <c r="AD836" s="530"/>
      <c r="AE836" s="530"/>
      <c r="AF836" s="390"/>
      <c r="AG836" s="390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S836" s="9"/>
    </row>
    <row r="837" spans="1:45">
      <c r="A837" s="9"/>
      <c r="B837" s="9"/>
      <c r="C837" s="1390">
        <v>43741</v>
      </c>
      <c r="D837" s="1359" t="s">
        <v>5775</v>
      </c>
      <c r="E837" s="530" t="s">
        <v>58</v>
      </c>
      <c r="F837" s="530" t="s">
        <v>2684</v>
      </c>
      <c r="G837" s="1518" t="s">
        <v>5776</v>
      </c>
      <c r="H837" s="530"/>
      <c r="I837" s="1432"/>
      <c r="J837" s="530"/>
      <c r="K837" s="1102" t="s">
        <v>2866</v>
      </c>
      <c r="L837" s="530" t="s">
        <v>5777</v>
      </c>
      <c r="M837" s="533">
        <v>1802893</v>
      </c>
      <c r="N837" s="530" t="s">
        <v>112</v>
      </c>
      <c r="O837" s="530"/>
      <c r="P837" s="530"/>
      <c r="Q837" s="530"/>
      <c r="R837" s="530"/>
      <c r="S837" s="1432"/>
      <c r="T837" s="533"/>
      <c r="U837" s="533"/>
      <c r="V837" s="1487"/>
      <c r="W837" s="1487"/>
      <c r="X837" s="1487"/>
      <c r="Y837" s="533"/>
      <c r="Z837" s="533"/>
      <c r="AA837" s="530"/>
      <c r="AB837" s="530"/>
      <c r="AC837" s="530"/>
      <c r="AD837" s="530"/>
      <c r="AE837" s="530"/>
      <c r="AF837" s="390"/>
      <c r="AG837" s="390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S837" s="9"/>
    </row>
    <row r="838" spans="1:45">
      <c r="A838" s="9"/>
      <c r="B838" s="9"/>
      <c r="C838" s="1390">
        <v>43742</v>
      </c>
      <c r="D838" s="1359" t="s">
        <v>5788</v>
      </c>
      <c r="E838" s="530" t="s">
        <v>58</v>
      </c>
      <c r="F838" s="530" t="s">
        <v>2684</v>
      </c>
      <c r="G838" s="1190" t="s">
        <v>5789</v>
      </c>
      <c r="H838" s="530"/>
      <c r="I838" s="1432"/>
      <c r="J838" s="530"/>
      <c r="K838" s="1102" t="s">
        <v>80</v>
      </c>
      <c r="L838" s="530" t="s">
        <v>888</v>
      </c>
      <c r="M838" s="533">
        <v>1134000</v>
      </c>
      <c r="N838" s="530" t="s">
        <v>112</v>
      </c>
      <c r="O838" s="530"/>
      <c r="P838" s="530"/>
      <c r="Q838" s="530"/>
      <c r="R838" s="530"/>
      <c r="S838" s="1432"/>
      <c r="T838" s="533"/>
      <c r="U838" s="533"/>
      <c r="V838" s="1487"/>
      <c r="W838" s="1487"/>
      <c r="X838" s="1487"/>
      <c r="Y838" s="533"/>
      <c r="Z838" s="533"/>
      <c r="AA838" s="530"/>
      <c r="AB838" s="530"/>
      <c r="AC838" s="530"/>
      <c r="AD838" s="530"/>
      <c r="AE838" s="530"/>
      <c r="AF838" s="390"/>
      <c r="AG838" s="390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S838" s="9"/>
    </row>
    <row r="839" spans="1:45">
      <c r="A839" s="9"/>
      <c r="B839" s="9"/>
      <c r="C839" s="1390">
        <v>43745</v>
      </c>
      <c r="D839" s="1359" t="s">
        <v>5793</v>
      </c>
      <c r="E839" s="530" t="s">
        <v>2434</v>
      </c>
      <c r="F839" s="530" t="s">
        <v>219</v>
      </c>
      <c r="G839" s="1518" t="s">
        <v>5794</v>
      </c>
      <c r="H839" s="530"/>
      <c r="I839" s="1894" t="s">
        <v>6269</v>
      </c>
      <c r="J839" s="530"/>
      <c r="K839" s="1102" t="s">
        <v>3271</v>
      </c>
      <c r="L839" s="530"/>
      <c r="M839" s="533">
        <v>900000</v>
      </c>
      <c r="N839" s="530" t="s">
        <v>251</v>
      </c>
      <c r="O839" s="530"/>
      <c r="P839" s="530"/>
      <c r="Q839" s="530"/>
      <c r="R839" s="530"/>
      <c r="S839" s="1432"/>
      <c r="T839" s="533"/>
      <c r="U839" s="533"/>
      <c r="V839" s="1487"/>
      <c r="W839" s="1487"/>
      <c r="X839" s="1487"/>
      <c r="Y839" s="533"/>
      <c r="Z839" s="533"/>
      <c r="AA839" s="530"/>
      <c r="AB839" s="530"/>
      <c r="AC839" s="530"/>
      <c r="AD839" s="530"/>
      <c r="AE839" s="530"/>
      <c r="AF839" s="390"/>
      <c r="AG839" s="390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S839" s="9"/>
    </row>
    <row r="840" spans="1:45">
      <c r="A840" s="9"/>
      <c r="B840" s="9"/>
      <c r="C840" s="1390">
        <v>43745</v>
      </c>
      <c r="D840" s="1359" t="s">
        <v>5796</v>
      </c>
      <c r="E840" s="530" t="s">
        <v>2111</v>
      </c>
      <c r="F840" s="530" t="s">
        <v>4440</v>
      </c>
      <c r="G840" s="1518" t="s">
        <v>5798</v>
      </c>
      <c r="H840" s="530"/>
      <c r="I840" s="1432"/>
      <c r="J840" s="530"/>
      <c r="K840" s="1102" t="s">
        <v>5797</v>
      </c>
      <c r="L840" s="530"/>
      <c r="M840" s="533">
        <v>13519000</v>
      </c>
      <c r="N840" s="530" t="s">
        <v>251</v>
      </c>
      <c r="O840" s="530"/>
      <c r="P840" s="530"/>
      <c r="Q840" s="530"/>
      <c r="R840" s="530"/>
      <c r="S840" s="1432"/>
      <c r="T840" s="533"/>
      <c r="U840" s="533"/>
      <c r="V840" s="1487"/>
      <c r="W840" s="1487"/>
      <c r="X840" s="1487"/>
      <c r="Y840" s="533"/>
      <c r="Z840" s="533"/>
      <c r="AA840" s="530"/>
      <c r="AB840" s="530"/>
      <c r="AC840" s="530"/>
      <c r="AD840" s="530"/>
      <c r="AE840" s="530"/>
      <c r="AF840" s="390"/>
      <c r="AG840" s="390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S840" s="9"/>
    </row>
    <row r="841" spans="1:45">
      <c r="A841" s="9"/>
      <c r="B841" s="9"/>
      <c r="C841" s="537">
        <v>43746</v>
      </c>
      <c r="D841" s="1373" t="s">
        <v>5806</v>
      </c>
      <c r="E841" s="491" t="s">
        <v>5807</v>
      </c>
      <c r="F841" s="491" t="s">
        <v>55</v>
      </c>
      <c r="G841" s="571" t="s">
        <v>718</v>
      </c>
      <c r="H841" s="491"/>
      <c r="I841" s="495"/>
      <c r="J841" s="491"/>
      <c r="K841" s="491" t="s">
        <v>3156</v>
      </c>
      <c r="L841" s="491"/>
      <c r="M841" s="536">
        <v>900000</v>
      </c>
      <c r="N841" s="491" t="s">
        <v>112</v>
      </c>
      <c r="O841" s="537">
        <v>43752</v>
      </c>
      <c r="P841" s="537">
        <v>43763</v>
      </c>
      <c r="Q841" s="537">
        <v>43798</v>
      </c>
      <c r="R841" s="491" t="s">
        <v>6035</v>
      </c>
      <c r="S841" s="495"/>
      <c r="T841" s="536">
        <v>753094</v>
      </c>
      <c r="U841" s="536">
        <f>T841*1.21</f>
        <v>911243.74</v>
      </c>
      <c r="V841" s="1471"/>
      <c r="W841" s="1471"/>
      <c r="X841" s="1471"/>
      <c r="Y841" s="573">
        <v>43798</v>
      </c>
      <c r="Z841" s="536" t="s">
        <v>6063</v>
      </c>
      <c r="AA841" s="537">
        <v>43810</v>
      </c>
      <c r="AB841" s="537">
        <v>43817</v>
      </c>
      <c r="AC841" s="537">
        <f>AA841+56</f>
        <v>43866</v>
      </c>
      <c r="AD841" s="537">
        <v>44244</v>
      </c>
      <c r="AE841" s="1102"/>
      <c r="AF841" s="390"/>
      <c r="AG841" s="390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S841" s="9"/>
    </row>
    <row r="842" spans="1:45">
      <c r="A842" s="9"/>
      <c r="B842" s="9"/>
      <c r="C842" s="544">
        <v>43753</v>
      </c>
      <c r="D842" s="1357" t="s">
        <v>5824</v>
      </c>
      <c r="E842" s="540" t="s">
        <v>1032</v>
      </c>
      <c r="F842" s="540" t="s">
        <v>361</v>
      </c>
      <c r="G842" s="541" t="s">
        <v>5825</v>
      </c>
      <c r="H842" s="540"/>
      <c r="I842" s="1402"/>
      <c r="J842" s="590"/>
      <c r="K842" s="540" t="s">
        <v>5826</v>
      </c>
      <c r="L842" s="540"/>
      <c r="M842" s="545">
        <v>4500000</v>
      </c>
      <c r="N842" s="540" t="s">
        <v>251</v>
      </c>
      <c r="O842" s="544">
        <v>43760</v>
      </c>
      <c r="P842" s="544">
        <v>43791</v>
      </c>
      <c r="Q842" s="544">
        <v>43802</v>
      </c>
      <c r="R842" s="540" t="s">
        <v>6070</v>
      </c>
      <c r="S842" s="1402"/>
      <c r="T842" s="545">
        <v>4266000</v>
      </c>
      <c r="U842" s="545">
        <f>T842*1.21</f>
        <v>5161860</v>
      </c>
      <c r="V842" s="1484"/>
      <c r="W842" s="1484"/>
      <c r="X842" s="1484"/>
      <c r="Y842" s="1385">
        <v>43803</v>
      </c>
      <c r="Z842" s="545" t="s">
        <v>6079</v>
      </c>
      <c r="AA842" s="540"/>
      <c r="AB842" s="540"/>
      <c r="AC842" s="540"/>
      <c r="AD842" s="540"/>
      <c r="AE842" s="540"/>
      <c r="AF842" s="390"/>
      <c r="AG842" s="390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S842" s="9"/>
    </row>
    <row r="843" spans="1:45">
      <c r="A843" s="9"/>
      <c r="B843" s="9"/>
      <c r="C843" s="510">
        <v>43754</v>
      </c>
      <c r="D843" s="1382" t="s">
        <v>5839</v>
      </c>
      <c r="E843" s="506" t="s">
        <v>58</v>
      </c>
      <c r="F843" s="506" t="s">
        <v>2684</v>
      </c>
      <c r="G843" s="507" t="s">
        <v>5840</v>
      </c>
      <c r="H843" s="506"/>
      <c r="I843" s="548"/>
      <c r="J843" s="506"/>
      <c r="K843" s="506" t="s">
        <v>1294</v>
      </c>
      <c r="L843" s="506" t="s">
        <v>5841</v>
      </c>
      <c r="M843" s="511">
        <v>1340000</v>
      </c>
      <c r="N843" s="506" t="s">
        <v>112</v>
      </c>
      <c r="O843" s="510">
        <v>43761</v>
      </c>
      <c r="P843" s="510">
        <v>43769</v>
      </c>
      <c r="Q843" s="506"/>
      <c r="R843" s="514" t="s">
        <v>4505</v>
      </c>
      <c r="S843" s="548"/>
      <c r="T843" s="511"/>
      <c r="U843" s="511"/>
      <c r="V843" s="1470"/>
      <c r="W843" s="1470"/>
      <c r="X843" s="1470"/>
      <c r="Y843" s="511"/>
      <c r="Z843" s="511"/>
      <c r="AA843" s="506"/>
      <c r="AB843" s="510">
        <v>43796</v>
      </c>
      <c r="AC843" s="506"/>
      <c r="AD843" s="506"/>
      <c r="AE843" s="506"/>
      <c r="AF843" s="390"/>
      <c r="AG843" s="390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S843" s="9"/>
    </row>
    <row r="844" spans="1:45">
      <c r="A844" s="9"/>
      <c r="B844" s="9"/>
      <c r="C844" s="544">
        <v>43755</v>
      </c>
      <c r="D844" s="1357" t="s">
        <v>5842</v>
      </c>
      <c r="E844" s="540" t="s">
        <v>58</v>
      </c>
      <c r="F844" s="540" t="s">
        <v>2684</v>
      </c>
      <c r="G844" s="541" t="s">
        <v>5843</v>
      </c>
      <c r="H844" s="540"/>
      <c r="I844" s="1402"/>
      <c r="J844" s="590"/>
      <c r="K844" s="540" t="s">
        <v>1294</v>
      </c>
      <c r="L844" s="540" t="s">
        <v>5844</v>
      </c>
      <c r="M844" s="545">
        <v>1415000</v>
      </c>
      <c r="N844" s="540" t="s">
        <v>112</v>
      </c>
      <c r="O844" s="544">
        <v>43787</v>
      </c>
      <c r="P844" s="544">
        <v>43795</v>
      </c>
      <c r="Q844" s="540"/>
      <c r="R844" s="540"/>
      <c r="S844" s="1402"/>
      <c r="T844" s="545"/>
      <c r="U844" s="545"/>
      <c r="V844" s="1484"/>
      <c r="W844" s="1484"/>
      <c r="X844" s="1484"/>
      <c r="Y844" s="545"/>
      <c r="Z844" s="545"/>
      <c r="AA844" s="540"/>
      <c r="AB844" s="540"/>
      <c r="AC844" s="540"/>
      <c r="AD844" s="540"/>
      <c r="AE844" s="540"/>
      <c r="AF844" s="390"/>
      <c r="AG844" s="390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S844" s="9"/>
    </row>
    <row r="845" spans="1:45" ht="45">
      <c r="A845" s="9"/>
      <c r="B845" s="9"/>
      <c r="C845" s="544">
        <v>43756</v>
      </c>
      <c r="D845" s="1357" t="s">
        <v>5861</v>
      </c>
      <c r="E845" s="540" t="s">
        <v>58</v>
      </c>
      <c r="F845" s="540" t="s">
        <v>55</v>
      </c>
      <c r="G845" s="541" t="s">
        <v>5862</v>
      </c>
      <c r="H845" s="540"/>
      <c r="I845" s="1402"/>
      <c r="J845" s="590"/>
      <c r="K845" s="540" t="s">
        <v>5863</v>
      </c>
      <c r="L845" s="540" t="s">
        <v>3615</v>
      </c>
      <c r="M845" s="545">
        <v>6323000</v>
      </c>
      <c r="N845" s="540" t="s">
        <v>251</v>
      </c>
      <c r="O845" s="544">
        <v>43761</v>
      </c>
      <c r="P845" s="544">
        <v>43794</v>
      </c>
      <c r="Q845" s="544">
        <v>43810</v>
      </c>
      <c r="R845" s="540" t="s">
        <v>6109</v>
      </c>
      <c r="S845" s="1402"/>
      <c r="T845" s="545">
        <v>6219800</v>
      </c>
      <c r="U845" s="545">
        <f>T845*1.21</f>
        <v>7525958</v>
      </c>
      <c r="V845" s="1484"/>
      <c r="W845" s="1484"/>
      <c r="X845" s="1484"/>
      <c r="Y845" s="1385">
        <v>43811</v>
      </c>
      <c r="Z845" s="1386" t="s">
        <v>6121</v>
      </c>
      <c r="AA845" s="540"/>
      <c r="AB845" s="540"/>
      <c r="AC845" s="540"/>
      <c r="AD845" s="540"/>
      <c r="AE845" s="540"/>
      <c r="AF845" s="390"/>
      <c r="AG845" s="390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S845" s="9"/>
    </row>
    <row r="846" spans="1:45">
      <c r="A846" s="9"/>
      <c r="B846" s="9"/>
      <c r="C846" s="544">
        <v>43759</v>
      </c>
      <c r="D846" s="1357" t="s">
        <v>5864</v>
      </c>
      <c r="E846" s="540" t="s">
        <v>14</v>
      </c>
      <c r="F846" s="540" t="s">
        <v>530</v>
      </c>
      <c r="G846" s="541" t="s">
        <v>5865</v>
      </c>
      <c r="H846" s="540"/>
      <c r="I846" s="1402"/>
      <c r="J846" s="590"/>
      <c r="K846" s="540" t="s">
        <v>39</v>
      </c>
      <c r="L846" s="540"/>
      <c r="M846" s="545">
        <v>1200000</v>
      </c>
      <c r="N846" s="540" t="s">
        <v>112</v>
      </c>
      <c r="O846" s="544">
        <v>43769</v>
      </c>
      <c r="P846" s="544">
        <v>43781</v>
      </c>
      <c r="Q846" s="544">
        <v>43797</v>
      </c>
      <c r="R846" s="540" t="s">
        <v>6047</v>
      </c>
      <c r="S846" s="1402"/>
      <c r="T846" s="545">
        <v>896560</v>
      </c>
      <c r="U846" s="545">
        <v>1084837.6000000001</v>
      </c>
      <c r="V846" s="1484"/>
      <c r="W846" s="1484"/>
      <c r="X846" s="1484"/>
      <c r="Y846" s="1385">
        <v>43798</v>
      </c>
      <c r="Z846" s="545" t="s">
        <v>6064</v>
      </c>
      <c r="AA846" s="540"/>
      <c r="AB846" s="540"/>
      <c r="AC846" s="540"/>
      <c r="AD846" s="540"/>
      <c r="AE846" s="540"/>
      <c r="AF846" s="390"/>
      <c r="AG846" s="390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S846" s="9"/>
    </row>
    <row r="847" spans="1:45">
      <c r="A847" s="9"/>
      <c r="B847" s="9"/>
      <c r="C847" s="537">
        <v>43759</v>
      </c>
      <c r="D847" s="1373" t="s">
        <v>5866</v>
      </c>
      <c r="E847" s="491" t="s">
        <v>4997</v>
      </c>
      <c r="F847" s="491" t="s">
        <v>167</v>
      </c>
      <c r="G847" s="409" t="s">
        <v>5867</v>
      </c>
      <c r="H847" s="491"/>
      <c r="I847" s="495"/>
      <c r="J847" s="491"/>
      <c r="K847" s="491" t="s">
        <v>48</v>
      </c>
      <c r="L847" s="491" t="s">
        <v>5868</v>
      </c>
      <c r="M847" s="536">
        <v>1980000</v>
      </c>
      <c r="N847" s="491" t="s">
        <v>112</v>
      </c>
      <c r="O847" s="537">
        <v>43770</v>
      </c>
      <c r="P847" s="537">
        <v>43781</v>
      </c>
      <c r="Q847" s="537">
        <v>43787</v>
      </c>
      <c r="R847" s="491" t="s">
        <v>5745</v>
      </c>
      <c r="S847" s="495"/>
      <c r="T847" s="536">
        <v>1546589.89</v>
      </c>
      <c r="U847" s="536">
        <f>T847*1.21</f>
        <v>1871373.7668999999</v>
      </c>
      <c r="V847" s="1471"/>
      <c r="W847" s="1471"/>
      <c r="X847" s="1471"/>
      <c r="Y847" s="573">
        <v>43787</v>
      </c>
      <c r="Z847" s="536" t="s">
        <v>6006</v>
      </c>
      <c r="AA847" s="537">
        <v>43795</v>
      </c>
      <c r="AB847" s="537">
        <v>43801</v>
      </c>
      <c r="AC847" s="537">
        <f>AA847+90</f>
        <v>43885</v>
      </c>
      <c r="AD847" s="537">
        <v>43976</v>
      </c>
      <c r="AE847" s="1102"/>
      <c r="AF847" s="390"/>
      <c r="AG847" s="390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S847" s="9"/>
    </row>
    <row r="848" spans="1:45">
      <c r="A848" s="9"/>
      <c r="B848" s="9"/>
      <c r="C848" s="544">
        <v>43759</v>
      </c>
      <c r="D848" s="1357" t="s">
        <v>5869</v>
      </c>
      <c r="E848" s="540" t="s">
        <v>2434</v>
      </c>
      <c r="F848" s="540" t="s">
        <v>219</v>
      </c>
      <c r="G848" s="541" t="s">
        <v>5873</v>
      </c>
      <c r="H848" s="540"/>
      <c r="I848" s="1402"/>
      <c r="J848" s="590"/>
      <c r="K848" s="540" t="s">
        <v>5870</v>
      </c>
      <c r="L848" s="540"/>
      <c r="M848" s="545">
        <v>882390</v>
      </c>
      <c r="N848" s="540" t="s">
        <v>112</v>
      </c>
      <c r="O848" s="544">
        <v>43776</v>
      </c>
      <c r="P848" s="544">
        <v>43789</v>
      </c>
      <c r="Q848" s="544">
        <v>43803</v>
      </c>
      <c r="R848" s="540" t="s">
        <v>993</v>
      </c>
      <c r="S848" s="1402"/>
      <c r="T848" s="545">
        <v>882363</v>
      </c>
      <c r="U848" s="545">
        <f>T848*1.21</f>
        <v>1067659.23</v>
      </c>
      <c r="V848" s="1484"/>
      <c r="W848" s="1484"/>
      <c r="X848" s="1484"/>
      <c r="Y848" s="1385">
        <v>43803</v>
      </c>
      <c r="Z848" s="545" t="s">
        <v>6078</v>
      </c>
      <c r="AA848" s="540"/>
      <c r="AB848" s="540"/>
      <c r="AC848" s="540"/>
      <c r="AD848" s="540"/>
      <c r="AE848" s="540"/>
      <c r="AF848" s="390"/>
      <c r="AG848" s="390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S848" s="9"/>
    </row>
    <row r="849" spans="1:45">
      <c r="A849" s="9"/>
      <c r="B849" s="9"/>
      <c r="C849" s="1390">
        <v>43759</v>
      </c>
      <c r="D849" s="1359" t="s">
        <v>5871</v>
      </c>
      <c r="E849" s="530" t="s">
        <v>2434</v>
      </c>
      <c r="F849" s="530" t="s">
        <v>219</v>
      </c>
      <c r="G849" s="1518" t="s">
        <v>5872</v>
      </c>
      <c r="H849" s="530"/>
      <c r="I849" s="1894" t="s">
        <v>6484</v>
      </c>
      <c r="J849" s="530"/>
      <c r="K849" s="1102" t="s">
        <v>642</v>
      </c>
      <c r="L849" s="530"/>
      <c r="M849" s="533">
        <v>2275355</v>
      </c>
      <c r="N849" s="530" t="s">
        <v>216</v>
      </c>
      <c r="O849" s="530"/>
      <c r="P849" s="530"/>
      <c r="Q849" s="530"/>
      <c r="R849" s="530"/>
      <c r="S849" s="1432"/>
      <c r="T849" s="533"/>
      <c r="U849" s="533"/>
      <c r="V849" s="1487"/>
      <c r="W849" s="1487"/>
      <c r="X849" s="1487"/>
      <c r="Y849" s="533"/>
      <c r="Z849" s="533"/>
      <c r="AA849" s="530"/>
      <c r="AB849" s="530"/>
      <c r="AC849" s="530"/>
      <c r="AD849" s="530"/>
      <c r="AE849" s="530"/>
      <c r="AF849" s="390"/>
      <c r="AG849" s="390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S849" s="9"/>
    </row>
    <row r="850" spans="1:45" ht="15.75" thickBot="1">
      <c r="A850" s="9"/>
      <c r="B850" s="9"/>
      <c r="C850" s="1871">
        <v>43760</v>
      </c>
      <c r="D850" s="1872" t="s">
        <v>5874</v>
      </c>
      <c r="E850" s="1437" t="s">
        <v>69</v>
      </c>
      <c r="F850" s="1437" t="s">
        <v>70</v>
      </c>
      <c r="G850" s="1702" t="s">
        <v>5891</v>
      </c>
      <c r="H850" s="1437">
        <v>1</v>
      </c>
      <c r="I850" s="1873" t="s">
        <v>5875</v>
      </c>
      <c r="J850" s="1437"/>
      <c r="K850" s="1437" t="s">
        <v>72</v>
      </c>
      <c r="L850" s="1437"/>
      <c r="M850" s="1874">
        <v>12595778</v>
      </c>
      <c r="N850" s="1437" t="s">
        <v>251</v>
      </c>
      <c r="O850" s="1871">
        <v>43822</v>
      </c>
      <c r="P850" s="1871">
        <v>43857</v>
      </c>
      <c r="Q850" s="1437"/>
      <c r="R850" s="1437"/>
      <c r="S850" s="1875"/>
      <c r="T850" s="1874"/>
      <c r="U850" s="1874"/>
      <c r="V850" s="1490"/>
      <c r="W850" s="1490"/>
      <c r="X850" s="1490"/>
      <c r="Y850" s="1874"/>
      <c r="Z850" s="1874"/>
      <c r="AA850" s="1437"/>
      <c r="AB850" s="1437"/>
      <c r="AC850" s="1437"/>
      <c r="AD850" s="1437"/>
      <c r="AE850" s="1437"/>
      <c r="AF850" s="390"/>
      <c r="AG850" s="390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S850" s="9"/>
    </row>
    <row r="851" spans="1:45" ht="15.75" thickTop="1">
      <c r="A851" s="9"/>
      <c r="B851" s="9"/>
      <c r="C851" s="587">
        <v>43760</v>
      </c>
      <c r="D851" s="1365" t="s">
        <v>5876</v>
      </c>
      <c r="E851" s="583" t="s">
        <v>69</v>
      </c>
      <c r="F851" s="583" t="s">
        <v>70</v>
      </c>
      <c r="G851" s="584" t="s">
        <v>5892</v>
      </c>
      <c r="H851" s="583">
        <v>1</v>
      </c>
      <c r="I851" s="584" t="s">
        <v>5877</v>
      </c>
      <c r="J851" s="583"/>
      <c r="K851" s="583" t="s">
        <v>4273</v>
      </c>
      <c r="L851" s="583"/>
      <c r="M851" s="588">
        <v>1397547</v>
      </c>
      <c r="N851" s="583" t="s">
        <v>251</v>
      </c>
      <c r="O851" s="587">
        <v>43782</v>
      </c>
      <c r="P851" s="587">
        <v>43822</v>
      </c>
      <c r="Q851" s="583"/>
      <c r="R851" s="583"/>
      <c r="S851" s="1427"/>
      <c r="T851" s="588"/>
      <c r="U851" s="588"/>
      <c r="V851" s="1483"/>
      <c r="W851" s="1483"/>
      <c r="X851" s="1483"/>
      <c r="Y851" s="588"/>
      <c r="Z851" s="588"/>
      <c r="AA851" s="583"/>
      <c r="AB851" s="583"/>
      <c r="AC851" s="583"/>
      <c r="AD851" s="583"/>
      <c r="AE851" s="583"/>
      <c r="AF851" s="390"/>
      <c r="AG851" s="390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S851" s="9"/>
    </row>
    <row r="852" spans="1:45">
      <c r="A852" s="9"/>
      <c r="B852" s="9"/>
      <c r="C852" s="594">
        <v>43760</v>
      </c>
      <c r="D852" s="1366" t="s">
        <v>5876</v>
      </c>
      <c r="E852" s="590" t="s">
        <v>69</v>
      </c>
      <c r="F852" s="590" t="s">
        <v>70</v>
      </c>
      <c r="G852" s="591" t="s">
        <v>5892</v>
      </c>
      <c r="H852" s="590">
        <v>2</v>
      </c>
      <c r="I852" s="591" t="s">
        <v>5878</v>
      </c>
      <c r="J852" s="590"/>
      <c r="K852" s="590" t="s">
        <v>4273</v>
      </c>
      <c r="L852" s="590"/>
      <c r="M852" s="595">
        <v>98913</v>
      </c>
      <c r="N852" s="590" t="s">
        <v>251</v>
      </c>
      <c r="O852" s="594">
        <v>43782</v>
      </c>
      <c r="P852" s="594">
        <v>43822</v>
      </c>
      <c r="Q852" s="590"/>
      <c r="R852" s="590"/>
      <c r="S852" s="1428"/>
      <c r="T852" s="595"/>
      <c r="U852" s="595"/>
      <c r="V852" s="1484"/>
      <c r="W852" s="1484"/>
      <c r="X852" s="1484"/>
      <c r="Y852" s="595"/>
      <c r="Z852" s="595"/>
      <c r="AA852" s="590"/>
      <c r="AB852" s="590"/>
      <c r="AC852" s="590"/>
      <c r="AD852" s="590"/>
      <c r="AE852" s="590"/>
      <c r="AF852" s="390"/>
      <c r="AG852" s="390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S852" s="9"/>
    </row>
    <row r="853" spans="1:45">
      <c r="A853" s="9"/>
      <c r="B853" s="9"/>
      <c r="C853" s="594">
        <v>43760</v>
      </c>
      <c r="D853" s="1366" t="s">
        <v>5876</v>
      </c>
      <c r="E853" s="590" t="s">
        <v>69</v>
      </c>
      <c r="F853" s="590" t="s">
        <v>70</v>
      </c>
      <c r="G853" s="591" t="s">
        <v>5892</v>
      </c>
      <c r="H853" s="590">
        <v>3</v>
      </c>
      <c r="I853" s="591" t="s">
        <v>5879</v>
      </c>
      <c r="J853" s="590"/>
      <c r="K853" s="590" t="s">
        <v>4273</v>
      </c>
      <c r="L853" s="590"/>
      <c r="M853" s="595">
        <v>286872</v>
      </c>
      <c r="N853" s="590" t="s">
        <v>251</v>
      </c>
      <c r="O853" s="594">
        <v>43782</v>
      </c>
      <c r="P853" s="594">
        <v>43822</v>
      </c>
      <c r="Q853" s="590"/>
      <c r="R853" s="590"/>
      <c r="S853" s="1428"/>
      <c r="T853" s="595"/>
      <c r="U853" s="595"/>
      <c r="V853" s="1484"/>
      <c r="W853" s="1484"/>
      <c r="X853" s="1484"/>
      <c r="Y853" s="595"/>
      <c r="Z853" s="595"/>
      <c r="AA853" s="590"/>
      <c r="AB853" s="590"/>
      <c r="AC853" s="590"/>
      <c r="AD853" s="590"/>
      <c r="AE853" s="590"/>
      <c r="AF853" s="390"/>
      <c r="AG853" s="390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S853" s="9"/>
    </row>
    <row r="854" spans="1:45">
      <c r="A854" s="9"/>
      <c r="B854" s="9"/>
      <c r="C854" s="594">
        <v>43760</v>
      </c>
      <c r="D854" s="1366" t="s">
        <v>5876</v>
      </c>
      <c r="E854" s="590" t="s">
        <v>69</v>
      </c>
      <c r="F854" s="590" t="s">
        <v>70</v>
      </c>
      <c r="G854" s="591" t="s">
        <v>5892</v>
      </c>
      <c r="H854" s="590">
        <v>4</v>
      </c>
      <c r="I854" s="591" t="s">
        <v>5880</v>
      </c>
      <c r="J854" s="590"/>
      <c r="K854" s="590" t="s">
        <v>4273</v>
      </c>
      <c r="L854" s="590"/>
      <c r="M854" s="595">
        <v>5219505</v>
      </c>
      <c r="N854" s="590" t="s">
        <v>251</v>
      </c>
      <c r="O854" s="594">
        <v>43782</v>
      </c>
      <c r="P854" s="594">
        <v>43822</v>
      </c>
      <c r="Q854" s="590"/>
      <c r="R854" s="590"/>
      <c r="S854" s="1428"/>
      <c r="T854" s="595"/>
      <c r="U854" s="595"/>
      <c r="V854" s="1484"/>
      <c r="W854" s="1484"/>
      <c r="X854" s="1484"/>
      <c r="Y854" s="595"/>
      <c r="Z854" s="595"/>
      <c r="AA854" s="590"/>
      <c r="AB854" s="590"/>
      <c r="AC854" s="590"/>
      <c r="AD854" s="590"/>
      <c r="AE854" s="590"/>
      <c r="AF854" s="390"/>
      <c r="AG854" s="390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S854" s="9"/>
    </row>
    <row r="855" spans="1:45" ht="15.75" thickBot="1">
      <c r="A855" s="9"/>
      <c r="B855" s="9"/>
      <c r="C855" s="1370">
        <v>43760</v>
      </c>
      <c r="D855" s="1367" t="s">
        <v>5876</v>
      </c>
      <c r="E855" s="1356" t="s">
        <v>69</v>
      </c>
      <c r="F855" s="1356" t="s">
        <v>70</v>
      </c>
      <c r="G855" s="1368" t="s">
        <v>5892</v>
      </c>
      <c r="H855" s="1356">
        <v>5</v>
      </c>
      <c r="I855" s="1368" t="s">
        <v>5881</v>
      </c>
      <c r="J855" s="1356"/>
      <c r="K855" s="1356" t="s">
        <v>4273</v>
      </c>
      <c r="L855" s="1356"/>
      <c r="M855" s="1369">
        <v>2622951</v>
      </c>
      <c r="N855" s="1356" t="s">
        <v>251</v>
      </c>
      <c r="O855" s="1370">
        <v>43782</v>
      </c>
      <c r="P855" s="1370">
        <v>43822</v>
      </c>
      <c r="Q855" s="1356"/>
      <c r="R855" s="1356"/>
      <c r="S855" s="1429"/>
      <c r="T855" s="1369"/>
      <c r="U855" s="1369"/>
      <c r="V855" s="1485"/>
      <c r="W855" s="1485"/>
      <c r="X855" s="1485"/>
      <c r="Y855" s="1369"/>
      <c r="Z855" s="1369"/>
      <c r="AA855" s="1356"/>
      <c r="AB855" s="1356"/>
      <c r="AC855" s="1356"/>
      <c r="AD855" s="1356"/>
      <c r="AE855" s="1356"/>
      <c r="AF855" s="390"/>
      <c r="AG855" s="390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S855" s="9"/>
    </row>
    <row r="856" spans="1:45" ht="15.75" thickTop="1">
      <c r="A856" s="9"/>
      <c r="B856" s="9"/>
      <c r="C856" s="587">
        <v>43760</v>
      </c>
      <c r="D856" s="1365" t="s">
        <v>5882</v>
      </c>
      <c r="E856" s="583" t="s">
        <v>69</v>
      </c>
      <c r="F856" s="583" t="s">
        <v>70</v>
      </c>
      <c r="G856" s="584" t="s">
        <v>5893</v>
      </c>
      <c r="H856" s="583">
        <v>1</v>
      </c>
      <c r="I856" s="584" t="s">
        <v>5883</v>
      </c>
      <c r="J856" s="583"/>
      <c r="K856" s="583" t="s">
        <v>93</v>
      </c>
      <c r="L856" s="583"/>
      <c r="M856" s="588">
        <v>8390223</v>
      </c>
      <c r="N856" s="583" t="s">
        <v>251</v>
      </c>
      <c r="O856" s="587">
        <v>43782</v>
      </c>
      <c r="P856" s="587">
        <v>43844</v>
      </c>
      <c r="Q856" s="583"/>
      <c r="R856" s="583"/>
      <c r="S856" s="1427"/>
      <c r="T856" s="588"/>
      <c r="U856" s="588"/>
      <c r="V856" s="1483"/>
      <c r="W856" s="1483"/>
      <c r="X856" s="1483"/>
      <c r="Y856" s="588"/>
      <c r="Z856" s="588"/>
      <c r="AA856" s="583"/>
      <c r="AB856" s="583"/>
      <c r="AC856" s="583"/>
      <c r="AD856" s="583"/>
      <c r="AE856" s="583"/>
      <c r="AF856" s="390"/>
      <c r="AG856" s="390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S856" s="9"/>
    </row>
    <row r="857" spans="1:45">
      <c r="A857" s="9"/>
      <c r="B857" s="9"/>
      <c r="C857" s="594">
        <v>43760</v>
      </c>
      <c r="D857" s="1366" t="s">
        <v>5882</v>
      </c>
      <c r="E857" s="590" t="s">
        <v>69</v>
      </c>
      <c r="F857" s="590" t="s">
        <v>70</v>
      </c>
      <c r="G857" s="591" t="s">
        <v>5893</v>
      </c>
      <c r="H857" s="590">
        <v>2</v>
      </c>
      <c r="I857" s="591" t="s">
        <v>5884</v>
      </c>
      <c r="J857" s="590"/>
      <c r="K857" s="590" t="s">
        <v>93</v>
      </c>
      <c r="L857" s="590"/>
      <c r="M857" s="595">
        <v>6654142</v>
      </c>
      <c r="N857" s="590" t="s">
        <v>251</v>
      </c>
      <c r="O857" s="594">
        <v>43782</v>
      </c>
      <c r="P857" s="594">
        <v>43844</v>
      </c>
      <c r="Q857" s="590"/>
      <c r="R857" s="590"/>
      <c r="S857" s="1428"/>
      <c r="T857" s="595"/>
      <c r="U857" s="595"/>
      <c r="V857" s="1484"/>
      <c r="W857" s="1484"/>
      <c r="X857" s="1484"/>
      <c r="Y857" s="595"/>
      <c r="Z857" s="595"/>
      <c r="AA857" s="590"/>
      <c r="AB857" s="590"/>
      <c r="AC857" s="590"/>
      <c r="AD857" s="590"/>
      <c r="AE857" s="590"/>
      <c r="AF857" s="390"/>
      <c r="AG857" s="390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S857" s="9"/>
    </row>
    <row r="858" spans="1:45">
      <c r="A858" s="9"/>
      <c r="B858" s="9"/>
      <c r="C858" s="594">
        <v>43760</v>
      </c>
      <c r="D858" s="1366" t="s">
        <v>5882</v>
      </c>
      <c r="E858" s="590" t="s">
        <v>69</v>
      </c>
      <c r="F858" s="590" t="s">
        <v>70</v>
      </c>
      <c r="G858" s="591" t="s">
        <v>5893</v>
      </c>
      <c r="H858" s="590">
        <v>3</v>
      </c>
      <c r="I858" s="591" t="s">
        <v>5885</v>
      </c>
      <c r="J858" s="590"/>
      <c r="K858" s="590" t="s">
        <v>93</v>
      </c>
      <c r="L858" s="590"/>
      <c r="M858" s="595">
        <v>4568564</v>
      </c>
      <c r="N858" s="590" t="s">
        <v>251</v>
      </c>
      <c r="O858" s="594">
        <v>43782</v>
      </c>
      <c r="P858" s="594">
        <v>43844</v>
      </c>
      <c r="Q858" s="590"/>
      <c r="R858" s="590"/>
      <c r="S858" s="1428"/>
      <c r="T858" s="595"/>
      <c r="U858" s="595"/>
      <c r="V858" s="1484"/>
      <c r="W858" s="1484"/>
      <c r="X858" s="1484"/>
      <c r="Y858" s="595"/>
      <c r="Z858" s="595"/>
      <c r="AA858" s="590"/>
      <c r="AB858" s="590"/>
      <c r="AC858" s="590"/>
      <c r="AD858" s="590"/>
      <c r="AE858" s="590"/>
      <c r="AF858" s="390"/>
      <c r="AG858" s="390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S858" s="9"/>
    </row>
    <row r="859" spans="1:45">
      <c r="A859" s="9"/>
      <c r="B859" s="9"/>
      <c r="C859" s="594">
        <v>43760</v>
      </c>
      <c r="D859" s="1366" t="s">
        <v>5882</v>
      </c>
      <c r="E859" s="590" t="s">
        <v>69</v>
      </c>
      <c r="F859" s="590" t="s">
        <v>70</v>
      </c>
      <c r="G859" s="591" t="s">
        <v>5893</v>
      </c>
      <c r="H859" s="590">
        <v>4</v>
      </c>
      <c r="I859" s="591" t="s">
        <v>5886</v>
      </c>
      <c r="J859" s="590"/>
      <c r="K859" s="590" t="s">
        <v>93</v>
      </c>
      <c r="L859" s="590"/>
      <c r="M859" s="595">
        <v>2736450</v>
      </c>
      <c r="N859" s="590" t="s">
        <v>251</v>
      </c>
      <c r="O859" s="594">
        <v>43782</v>
      </c>
      <c r="P859" s="594">
        <v>43844</v>
      </c>
      <c r="Q859" s="590"/>
      <c r="R859" s="590"/>
      <c r="S859" s="1428"/>
      <c r="T859" s="595"/>
      <c r="U859" s="595"/>
      <c r="V859" s="1484"/>
      <c r="W859" s="1484"/>
      <c r="X859" s="1484"/>
      <c r="Y859" s="595"/>
      <c r="Z859" s="595"/>
      <c r="AA859" s="590"/>
      <c r="AB859" s="590"/>
      <c r="AC859" s="590"/>
      <c r="AD859" s="590"/>
      <c r="AE859" s="590"/>
      <c r="AF859" s="390"/>
      <c r="AG859" s="390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S859" s="9"/>
    </row>
    <row r="860" spans="1:45">
      <c r="A860" s="9"/>
      <c r="B860" s="9"/>
      <c r="C860" s="594">
        <v>43760</v>
      </c>
      <c r="D860" s="1366" t="s">
        <v>5882</v>
      </c>
      <c r="E860" s="590" t="s">
        <v>69</v>
      </c>
      <c r="F860" s="590" t="s">
        <v>70</v>
      </c>
      <c r="G860" s="591" t="s">
        <v>5893</v>
      </c>
      <c r="H860" s="590">
        <v>5</v>
      </c>
      <c r="I860" s="591" t="s">
        <v>5887</v>
      </c>
      <c r="J860" s="590"/>
      <c r="K860" s="590" t="s">
        <v>93</v>
      </c>
      <c r="L860" s="590"/>
      <c r="M860" s="595">
        <v>1261016</v>
      </c>
      <c r="N860" s="590" t="s">
        <v>251</v>
      </c>
      <c r="O860" s="594">
        <v>43782</v>
      </c>
      <c r="P860" s="594">
        <v>43844</v>
      </c>
      <c r="Q860" s="590"/>
      <c r="R860" s="590"/>
      <c r="S860" s="1428"/>
      <c r="T860" s="595"/>
      <c r="U860" s="595"/>
      <c r="V860" s="1484"/>
      <c r="W860" s="1484"/>
      <c r="X860" s="1484"/>
      <c r="Y860" s="595"/>
      <c r="Z860" s="595"/>
      <c r="AA860" s="590"/>
      <c r="AB860" s="590"/>
      <c r="AC860" s="590"/>
      <c r="AD860" s="590"/>
      <c r="AE860" s="590"/>
      <c r="AF860" s="390"/>
      <c r="AG860" s="390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S860" s="9"/>
    </row>
    <row r="861" spans="1:45" ht="15.75" thickBot="1">
      <c r="A861" s="9"/>
      <c r="B861" s="9"/>
      <c r="C861" s="1370">
        <v>43760</v>
      </c>
      <c r="D861" s="1367" t="s">
        <v>5882</v>
      </c>
      <c r="E861" s="1356" t="s">
        <v>69</v>
      </c>
      <c r="F861" s="1356" t="s">
        <v>70</v>
      </c>
      <c r="G861" s="1368" t="s">
        <v>5893</v>
      </c>
      <c r="H861" s="1356">
        <v>6</v>
      </c>
      <c r="I861" s="1368" t="s">
        <v>5888</v>
      </c>
      <c r="J861" s="1356"/>
      <c r="K861" s="1356" t="s">
        <v>93</v>
      </c>
      <c r="L861" s="1356"/>
      <c r="M861" s="1369">
        <v>22859565</v>
      </c>
      <c r="N861" s="1356" t="s">
        <v>251</v>
      </c>
      <c r="O861" s="1370">
        <v>43782</v>
      </c>
      <c r="P861" s="1370">
        <v>43844</v>
      </c>
      <c r="Q861" s="1356"/>
      <c r="R861" s="1356"/>
      <c r="S861" s="1429"/>
      <c r="T861" s="1369"/>
      <c r="U861" s="1369"/>
      <c r="V861" s="1485"/>
      <c r="W861" s="1485"/>
      <c r="X861" s="1485"/>
      <c r="Y861" s="1369"/>
      <c r="Z861" s="1369"/>
      <c r="AA861" s="1356"/>
      <c r="AB861" s="1356"/>
      <c r="AC861" s="1356"/>
      <c r="AD861" s="1356"/>
      <c r="AE861" s="1356"/>
      <c r="AF861" s="390"/>
      <c r="AG861" s="390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S861" s="9"/>
    </row>
    <row r="862" spans="1:45" ht="15.75" thickTop="1">
      <c r="A862" s="9"/>
      <c r="B862" s="9"/>
      <c r="C862" s="840">
        <v>43760</v>
      </c>
      <c r="D862" s="1364" t="s">
        <v>5897</v>
      </c>
      <c r="E862" s="423" t="s">
        <v>52</v>
      </c>
      <c r="F862" s="423" t="s">
        <v>5894</v>
      </c>
      <c r="G862" s="837" t="s">
        <v>5896</v>
      </c>
      <c r="H862" s="423"/>
      <c r="I862" s="1422"/>
      <c r="J862" s="423"/>
      <c r="K862" s="425" t="s">
        <v>1438</v>
      </c>
      <c r="L862" s="423" t="s">
        <v>5895</v>
      </c>
      <c r="M862" s="841">
        <v>6500000</v>
      </c>
      <c r="N862" s="423" t="s">
        <v>216</v>
      </c>
      <c r="O862" s="840">
        <v>43768</v>
      </c>
      <c r="P862" s="840">
        <v>43784</v>
      </c>
      <c r="Q862" s="840">
        <v>43811</v>
      </c>
      <c r="R862" s="423" t="s">
        <v>707</v>
      </c>
      <c r="S862" s="1422"/>
      <c r="T862" s="841">
        <v>7382425</v>
      </c>
      <c r="U862" s="841">
        <v>8932734</v>
      </c>
      <c r="V862" s="1476"/>
      <c r="W862" s="1476"/>
      <c r="X862" s="1476"/>
      <c r="Y862" s="1392">
        <v>43811</v>
      </c>
      <c r="Z862" s="841" t="s">
        <v>6122</v>
      </c>
      <c r="AA862" s="423"/>
      <c r="AB862" s="423"/>
      <c r="AC862" s="423"/>
      <c r="AD862" s="423"/>
      <c r="AE862" s="423"/>
      <c r="AF862" s="390"/>
      <c r="AG862" s="390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S862" s="9"/>
    </row>
    <row r="863" spans="1:45" ht="17.25" customHeight="1">
      <c r="A863" s="9"/>
      <c r="B863" s="9"/>
      <c r="C863" s="510">
        <v>43761</v>
      </c>
      <c r="D863" s="1382" t="s">
        <v>5898</v>
      </c>
      <c r="E863" s="506" t="s">
        <v>4997</v>
      </c>
      <c r="F863" s="506" t="s">
        <v>167</v>
      </c>
      <c r="G863" s="507" t="s">
        <v>5899</v>
      </c>
      <c r="H863" s="506"/>
      <c r="I863" s="548"/>
      <c r="J863" s="506"/>
      <c r="K863" s="506" t="s">
        <v>1676</v>
      </c>
      <c r="L863" s="506"/>
      <c r="M863" s="511">
        <v>1350000</v>
      </c>
      <c r="N863" s="506" t="s">
        <v>112</v>
      </c>
      <c r="O863" s="510">
        <v>43770</v>
      </c>
      <c r="P863" s="510">
        <v>43787</v>
      </c>
      <c r="Q863" s="506"/>
      <c r="R863" s="514" t="s">
        <v>6008</v>
      </c>
      <c r="S863" s="548"/>
      <c r="T863" s="511"/>
      <c r="U863" s="511"/>
      <c r="V863" s="1470"/>
      <c r="W863" s="1470"/>
      <c r="X863" s="1470"/>
      <c r="Y863" s="511"/>
      <c r="Z863" s="511"/>
      <c r="AA863" s="506"/>
      <c r="AB863" s="510">
        <v>43788</v>
      </c>
      <c r="AC863" s="506"/>
      <c r="AD863" s="506"/>
      <c r="AE863" s="506"/>
      <c r="AF863" s="390"/>
      <c r="AG863" s="390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S863" s="9"/>
    </row>
    <row r="864" spans="1:45" ht="15.75" thickBot="1">
      <c r="A864" s="9"/>
      <c r="B864" s="9"/>
      <c r="C864" s="464">
        <v>43763</v>
      </c>
      <c r="D864" s="1372" t="s">
        <v>5911</v>
      </c>
      <c r="E864" s="406" t="s">
        <v>4997</v>
      </c>
      <c r="F864" s="406" t="s">
        <v>167</v>
      </c>
      <c r="G864" s="1536" t="s">
        <v>5912</v>
      </c>
      <c r="H864" s="406"/>
      <c r="I864" s="1425"/>
      <c r="J864" s="590"/>
      <c r="K864" s="406" t="s">
        <v>2166</v>
      </c>
      <c r="L864" s="406"/>
      <c r="M864" s="465">
        <v>500000</v>
      </c>
      <c r="N864" s="406" t="s">
        <v>112</v>
      </c>
      <c r="O864" s="464">
        <v>43770</v>
      </c>
      <c r="P864" s="464">
        <v>43781</v>
      </c>
      <c r="Q864" s="464">
        <v>43787</v>
      </c>
      <c r="R864" s="406" t="s">
        <v>2162</v>
      </c>
      <c r="S864" s="1425"/>
      <c r="T864" s="465">
        <v>469550</v>
      </c>
      <c r="U864" s="465">
        <f>T864*1.21</f>
        <v>568155.5</v>
      </c>
      <c r="V864" s="1484"/>
      <c r="W864" s="1484"/>
      <c r="X864" s="1484"/>
      <c r="Y864" s="1809">
        <v>43788</v>
      </c>
      <c r="Z864" s="465" t="s">
        <v>6012</v>
      </c>
      <c r="AA864" s="406"/>
      <c r="AB864" s="406"/>
      <c r="AC864" s="406"/>
      <c r="AD864" s="406"/>
      <c r="AE864" s="406"/>
      <c r="AF864" s="390"/>
      <c r="AG864" s="390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S864" s="9"/>
    </row>
    <row r="865" spans="1:45" ht="15.75" thickTop="1">
      <c r="A865" s="9"/>
      <c r="B865" s="9"/>
      <c r="C865" s="428">
        <v>43769</v>
      </c>
      <c r="D865" s="1358" t="s">
        <v>5920</v>
      </c>
      <c r="E865" s="425" t="s">
        <v>58</v>
      </c>
      <c r="F865" s="425" t="s">
        <v>2684</v>
      </c>
      <c r="G865" s="426" t="s">
        <v>5921</v>
      </c>
      <c r="H865" s="425">
        <v>1</v>
      </c>
      <c r="I865" s="1371" t="s">
        <v>5922</v>
      </c>
      <c r="J865" s="590"/>
      <c r="K865" s="425" t="s">
        <v>737</v>
      </c>
      <c r="L865" s="425" t="s">
        <v>4239</v>
      </c>
      <c r="M865" s="429">
        <v>245000</v>
      </c>
      <c r="N865" s="425" t="s">
        <v>112</v>
      </c>
      <c r="O865" s="428">
        <v>43787</v>
      </c>
      <c r="P865" s="428">
        <v>43796</v>
      </c>
      <c r="Q865" s="425"/>
      <c r="R865" s="425"/>
      <c r="S865" s="1371"/>
      <c r="T865" s="429"/>
      <c r="U865" s="429"/>
      <c r="V865" s="1484"/>
      <c r="W865" s="1484"/>
      <c r="X865" s="1484"/>
      <c r="Y865" s="429"/>
      <c r="Z865" s="429"/>
      <c r="AA865" s="425"/>
      <c r="AB865" s="425"/>
      <c r="AC865" s="425"/>
      <c r="AD865" s="425"/>
      <c r="AE865" s="425"/>
      <c r="AF865" s="390"/>
      <c r="AG865" s="390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S865" s="9"/>
    </row>
    <row r="866" spans="1:45" ht="15.75" thickBot="1">
      <c r="A866" s="9"/>
      <c r="B866" s="9"/>
      <c r="C866" s="1363">
        <v>43769</v>
      </c>
      <c r="D866" s="1360" t="s">
        <v>5920</v>
      </c>
      <c r="E866" s="1355" t="s">
        <v>58</v>
      </c>
      <c r="F866" s="1355" t="s">
        <v>2684</v>
      </c>
      <c r="G866" s="1361" t="s">
        <v>5921</v>
      </c>
      <c r="H866" s="1355">
        <v>2</v>
      </c>
      <c r="I866" s="1419" t="s">
        <v>5923</v>
      </c>
      <c r="J866" s="590"/>
      <c r="K866" s="1355" t="s">
        <v>737</v>
      </c>
      <c r="L866" s="1355" t="s">
        <v>5924</v>
      </c>
      <c r="M866" s="1362">
        <v>1750000</v>
      </c>
      <c r="N866" s="1355" t="s">
        <v>112</v>
      </c>
      <c r="O866" s="1363">
        <v>43787</v>
      </c>
      <c r="P866" s="1363">
        <v>43796</v>
      </c>
      <c r="Q866" s="1355"/>
      <c r="R866" s="1355"/>
      <c r="S866" s="1419"/>
      <c r="T866" s="1362"/>
      <c r="U866" s="1362"/>
      <c r="V866" s="1484"/>
      <c r="W866" s="1484"/>
      <c r="X866" s="1484"/>
      <c r="Y866" s="1362"/>
      <c r="Z866" s="1362"/>
      <c r="AA866" s="1355"/>
      <c r="AB866" s="1355"/>
      <c r="AC866" s="1355"/>
      <c r="AD866" s="1355"/>
      <c r="AE866" s="1355"/>
      <c r="AF866" s="390"/>
      <c r="AG866" s="390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S866" s="9"/>
    </row>
    <row r="867" spans="1:45" ht="15.75" thickTop="1">
      <c r="A867" s="9"/>
      <c r="B867" s="9"/>
      <c r="C867" s="1602">
        <v>43769</v>
      </c>
      <c r="D867" s="1578" t="s">
        <v>5936</v>
      </c>
      <c r="E867" s="817" t="s">
        <v>2111</v>
      </c>
      <c r="F867" s="817" t="s">
        <v>4440</v>
      </c>
      <c r="G867" s="818" t="s">
        <v>2966</v>
      </c>
      <c r="H867" s="817"/>
      <c r="I867" s="1579"/>
      <c r="J867" s="530"/>
      <c r="K867" s="1513" t="s">
        <v>2967</v>
      </c>
      <c r="L867" s="817"/>
      <c r="M867" s="821">
        <v>12231200</v>
      </c>
      <c r="N867" s="817" t="s">
        <v>251</v>
      </c>
      <c r="O867" s="817"/>
      <c r="P867" s="817"/>
      <c r="Q867" s="817"/>
      <c r="R867" s="817"/>
      <c r="S867" s="1579"/>
      <c r="T867" s="821"/>
      <c r="U867" s="821"/>
      <c r="V867" s="1487"/>
      <c r="W867" s="1487"/>
      <c r="X867" s="1487"/>
      <c r="Y867" s="821"/>
      <c r="Z867" s="821"/>
      <c r="AA867" s="817"/>
      <c r="AB867" s="817"/>
      <c r="AC867" s="817"/>
      <c r="AD867" s="817"/>
      <c r="AE867" s="817"/>
      <c r="AF867" s="390"/>
      <c r="AG867" s="390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S867" s="9"/>
    </row>
    <row r="868" spans="1:45">
      <c r="A868" s="9"/>
      <c r="B868" s="9"/>
      <c r="C868" s="510">
        <v>43770</v>
      </c>
      <c r="D868" s="1382" t="s">
        <v>5943</v>
      </c>
      <c r="E868" s="506" t="s">
        <v>58</v>
      </c>
      <c r="F868" s="506" t="s">
        <v>2684</v>
      </c>
      <c r="G868" s="507" t="s">
        <v>5941</v>
      </c>
      <c r="H868" s="506"/>
      <c r="I868" s="548"/>
      <c r="J868" s="590"/>
      <c r="K868" s="506" t="s">
        <v>421</v>
      </c>
      <c r="L868" s="506" t="s">
        <v>5942</v>
      </c>
      <c r="M868" s="511">
        <v>546400</v>
      </c>
      <c r="N868" s="506" t="s">
        <v>112</v>
      </c>
      <c r="O868" s="510">
        <v>43787</v>
      </c>
      <c r="P868" s="510">
        <v>43798</v>
      </c>
      <c r="Q868" s="506"/>
      <c r="R868" s="514" t="s">
        <v>4830</v>
      </c>
      <c r="S868" s="548"/>
      <c r="T868" s="511"/>
      <c r="U868" s="511"/>
      <c r="V868" s="1484"/>
      <c r="W868" s="1484"/>
      <c r="X868" s="1484"/>
      <c r="Y868" s="511"/>
      <c r="Z868" s="511"/>
      <c r="AA868" s="506"/>
      <c r="AB868" s="510">
        <v>43801</v>
      </c>
      <c r="AC868" s="506"/>
      <c r="AD868" s="506"/>
      <c r="AE868" s="506"/>
      <c r="AF868" s="390"/>
      <c r="AG868" s="390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S868" s="9"/>
    </row>
    <row r="869" spans="1:45">
      <c r="A869" s="9"/>
      <c r="B869" s="9"/>
      <c r="C869" s="594">
        <v>43770</v>
      </c>
      <c r="D869" s="1366" t="s">
        <v>5944</v>
      </c>
      <c r="E869" s="590" t="s">
        <v>1248</v>
      </c>
      <c r="F869" s="590" t="s">
        <v>1249</v>
      </c>
      <c r="G869" s="591" t="s">
        <v>5945</v>
      </c>
      <c r="H869" s="590"/>
      <c r="I869" s="1428"/>
      <c r="J869" s="590"/>
      <c r="K869" s="590" t="s">
        <v>1252</v>
      </c>
      <c r="L869" s="590"/>
      <c r="M869" s="595">
        <v>48800000</v>
      </c>
      <c r="N869" s="590" t="s">
        <v>251</v>
      </c>
      <c r="O869" s="594">
        <v>43803</v>
      </c>
      <c r="P869" s="594">
        <v>43837</v>
      </c>
      <c r="Q869" s="590"/>
      <c r="R869" s="590"/>
      <c r="S869" s="1428"/>
      <c r="T869" s="595"/>
      <c r="U869" s="595"/>
      <c r="V869" s="1484"/>
      <c r="W869" s="1484"/>
      <c r="X869" s="1484"/>
      <c r="Y869" s="595"/>
      <c r="Z869" s="595"/>
      <c r="AA869" s="590"/>
      <c r="AB869" s="590"/>
      <c r="AC869" s="590"/>
      <c r="AD869" s="590"/>
      <c r="AE869" s="590"/>
      <c r="AF869" s="390"/>
      <c r="AG869" s="390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S869" s="9"/>
    </row>
    <row r="870" spans="1:45">
      <c r="A870" s="9"/>
      <c r="B870" s="9"/>
      <c r="C870" s="594">
        <v>43773</v>
      </c>
      <c r="D870" s="1366" t="s">
        <v>5947</v>
      </c>
      <c r="E870" s="590" t="s">
        <v>2250</v>
      </c>
      <c r="F870" s="590" t="s">
        <v>5948</v>
      </c>
      <c r="G870" s="591" t="s">
        <v>6110</v>
      </c>
      <c r="H870" s="590"/>
      <c r="I870" s="1428"/>
      <c r="J870" s="590"/>
      <c r="K870" s="590" t="s">
        <v>2055</v>
      </c>
      <c r="L870" s="590"/>
      <c r="M870" s="595">
        <v>3390000</v>
      </c>
      <c r="N870" s="590" t="s">
        <v>216</v>
      </c>
      <c r="O870" s="594">
        <v>43816</v>
      </c>
      <c r="P870" s="594">
        <v>43840</v>
      </c>
      <c r="Q870" s="590"/>
      <c r="R870" s="590"/>
      <c r="S870" s="1428"/>
      <c r="T870" s="595"/>
      <c r="U870" s="595"/>
      <c r="V870" s="1484"/>
      <c r="W870" s="1484"/>
      <c r="X870" s="1484"/>
      <c r="Y870" s="595"/>
      <c r="Z870" s="595"/>
      <c r="AA870" s="590"/>
      <c r="AB870" s="590"/>
      <c r="AC870" s="590"/>
      <c r="AD870" s="590"/>
      <c r="AE870" s="590"/>
      <c r="AF870" s="390"/>
      <c r="AG870" s="390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S870" s="9"/>
    </row>
    <row r="871" spans="1:45">
      <c r="A871" s="9"/>
      <c r="B871" s="9"/>
      <c r="C871" s="544">
        <v>43776</v>
      </c>
      <c r="D871" s="1357" t="s">
        <v>5958</v>
      </c>
      <c r="E871" s="540" t="s">
        <v>14</v>
      </c>
      <c r="F871" s="540" t="s">
        <v>13</v>
      </c>
      <c r="G871" s="541" t="s">
        <v>5959</v>
      </c>
      <c r="H871" s="540"/>
      <c r="I871" s="1402"/>
      <c r="J871" s="590"/>
      <c r="K871" s="1402" t="s">
        <v>5960</v>
      </c>
      <c r="L871" s="540" t="s">
        <v>5961</v>
      </c>
      <c r="M871" s="545">
        <v>1490000</v>
      </c>
      <c r="N871" s="540" t="s">
        <v>112</v>
      </c>
      <c r="O871" s="544">
        <v>43791</v>
      </c>
      <c r="P871" s="544">
        <v>43808</v>
      </c>
      <c r="Q871" s="540"/>
      <c r="R871" s="540"/>
      <c r="S871" s="1402"/>
      <c r="T871" s="545"/>
      <c r="U871" s="545"/>
      <c r="V871" s="1484"/>
      <c r="W871" s="1484"/>
      <c r="X871" s="1484"/>
      <c r="Y871" s="545"/>
      <c r="Z871" s="545"/>
      <c r="AA871" s="540"/>
      <c r="AB871" s="540"/>
      <c r="AC871" s="540"/>
      <c r="AD871" s="540"/>
      <c r="AE871" s="540"/>
      <c r="AF871" s="390"/>
      <c r="AG871" s="390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S871" s="9"/>
    </row>
    <row r="872" spans="1:45">
      <c r="A872" s="9"/>
      <c r="B872" s="9"/>
      <c r="C872" s="544">
        <v>43776</v>
      </c>
      <c r="D872" s="1357" t="s">
        <v>5964</v>
      </c>
      <c r="E872" s="540" t="s">
        <v>58</v>
      </c>
      <c r="F872" s="540" t="s">
        <v>2684</v>
      </c>
      <c r="G872" s="541" t="s">
        <v>5965</v>
      </c>
      <c r="H872" s="540"/>
      <c r="I872" s="1402"/>
      <c r="J872" s="540"/>
      <c r="K872" s="540" t="s">
        <v>269</v>
      </c>
      <c r="L872" s="540" t="s">
        <v>5966</v>
      </c>
      <c r="M872" s="545">
        <v>521900</v>
      </c>
      <c r="N872" s="540" t="s">
        <v>112</v>
      </c>
      <c r="O872" s="544">
        <v>43787</v>
      </c>
      <c r="P872" s="544">
        <v>43797</v>
      </c>
      <c r="Q872" s="540"/>
      <c r="R872" s="540"/>
      <c r="S872" s="1402"/>
      <c r="T872" s="545"/>
      <c r="U872" s="545"/>
      <c r="V872" s="1472"/>
      <c r="W872" s="1472"/>
      <c r="X872" s="1472"/>
      <c r="Y872" s="545"/>
      <c r="Z872" s="545"/>
      <c r="AA872" s="540"/>
      <c r="AB872" s="540"/>
      <c r="AC872" s="540"/>
      <c r="AD872" s="540"/>
      <c r="AE872" s="540"/>
      <c r="AF872" s="390"/>
      <c r="AG872" s="390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S872" s="9"/>
    </row>
    <row r="873" spans="1:45">
      <c r="A873" s="9"/>
      <c r="B873" s="9"/>
      <c r="C873" s="544">
        <v>43770</v>
      </c>
      <c r="D873" s="1357" t="s">
        <v>5967</v>
      </c>
      <c r="E873" s="540" t="s">
        <v>2434</v>
      </c>
      <c r="F873" s="540" t="s">
        <v>219</v>
      </c>
      <c r="G873" s="541" t="s">
        <v>5968</v>
      </c>
      <c r="H873" s="540"/>
      <c r="I873" s="1402"/>
      <c r="J873" s="590"/>
      <c r="K873" s="540" t="s">
        <v>421</v>
      </c>
      <c r="L873" s="540"/>
      <c r="M873" s="545">
        <v>443280</v>
      </c>
      <c r="N873" s="540" t="s">
        <v>112</v>
      </c>
      <c r="O873" s="544">
        <v>43782</v>
      </c>
      <c r="P873" s="544">
        <v>43791</v>
      </c>
      <c r="Q873" s="544">
        <v>43815</v>
      </c>
      <c r="R873" s="540" t="s">
        <v>6119</v>
      </c>
      <c r="S873" s="1402"/>
      <c r="T873" s="545">
        <v>384604.8</v>
      </c>
      <c r="U873" s="545">
        <v>465371.81</v>
      </c>
      <c r="V873" s="1484"/>
      <c r="W873" s="1484"/>
      <c r="X873" s="1484"/>
      <c r="Y873" s="1385">
        <v>43815</v>
      </c>
      <c r="Z873" s="545" t="s">
        <v>6132</v>
      </c>
      <c r="AA873" s="540"/>
      <c r="AB873" s="540"/>
      <c r="AC873" s="540"/>
      <c r="AD873" s="540"/>
      <c r="AE873" s="540"/>
      <c r="AF873" s="390"/>
      <c r="AG873" s="390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S873" s="9"/>
    </row>
    <row r="874" spans="1:45" s="390" customFormat="1">
      <c r="C874" s="1843">
        <v>43819</v>
      </c>
      <c r="D874" s="1844" t="s">
        <v>6207</v>
      </c>
      <c r="E874" s="1552" t="s">
        <v>2020</v>
      </c>
      <c r="F874" s="1552" t="s">
        <v>6206</v>
      </c>
      <c r="G874" s="1845" t="s">
        <v>6208</v>
      </c>
      <c r="H874" s="1552"/>
      <c r="I874" s="1846"/>
      <c r="J874" s="1552"/>
      <c r="K874" s="1552" t="s">
        <v>6209</v>
      </c>
      <c r="L874" s="1552" t="s">
        <v>4244</v>
      </c>
      <c r="M874" s="1847">
        <v>23494497.559999999</v>
      </c>
      <c r="N874" s="1552" t="s">
        <v>251</v>
      </c>
      <c r="O874" s="1843"/>
      <c r="P874" s="1843"/>
      <c r="Q874" s="1843"/>
      <c r="R874" s="1552"/>
      <c r="S874" s="1846"/>
      <c r="T874" s="1847"/>
      <c r="U874" s="1847"/>
      <c r="V874" s="1800"/>
      <c r="W874" s="1800"/>
      <c r="X874" s="1800"/>
      <c r="Y874" s="1882"/>
      <c r="Z874" s="1847"/>
      <c r="AA874" s="1552"/>
      <c r="AB874" s="1552"/>
      <c r="AC874" s="1552"/>
      <c r="AD874" s="1552"/>
      <c r="AE874" s="1552"/>
      <c r="AR874" s="360"/>
    </row>
    <row r="875" spans="1:45">
      <c r="A875" s="9"/>
      <c r="B875" s="9"/>
      <c r="C875" s="537">
        <v>43780</v>
      </c>
      <c r="D875" s="1373" t="s">
        <v>5970</v>
      </c>
      <c r="E875" s="491" t="s">
        <v>5971</v>
      </c>
      <c r="F875" s="491" t="s">
        <v>5972</v>
      </c>
      <c r="G875" s="571" t="s">
        <v>5973</v>
      </c>
      <c r="H875" s="491"/>
      <c r="I875" s="495"/>
      <c r="J875" s="491"/>
      <c r="K875" s="491" t="s">
        <v>1658</v>
      </c>
      <c r="L875" s="491"/>
      <c r="M875" s="536">
        <v>260000</v>
      </c>
      <c r="N875" s="491" t="s">
        <v>112</v>
      </c>
      <c r="O875" s="537">
        <v>43783</v>
      </c>
      <c r="P875" s="537">
        <v>43789</v>
      </c>
      <c r="Q875" s="537">
        <v>43790</v>
      </c>
      <c r="R875" s="491" t="s">
        <v>6022</v>
      </c>
      <c r="S875" s="495"/>
      <c r="T875" s="536">
        <v>259992</v>
      </c>
      <c r="U875" s="536">
        <f>T875*1.21</f>
        <v>314590.32</v>
      </c>
      <c r="V875" s="1471"/>
      <c r="W875" s="1471"/>
      <c r="X875" s="1471"/>
      <c r="Y875" s="573">
        <v>43790</v>
      </c>
      <c r="Z875" s="536" t="s">
        <v>6023</v>
      </c>
      <c r="AA875" s="537">
        <v>43797</v>
      </c>
      <c r="AB875" s="537">
        <v>43803</v>
      </c>
      <c r="AC875" s="537">
        <v>43804</v>
      </c>
      <c r="AD875" s="537">
        <v>44244</v>
      </c>
      <c r="AE875" s="1102"/>
      <c r="AF875" s="390"/>
      <c r="AG875" s="390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S875" s="9"/>
    </row>
    <row r="876" spans="1:45">
      <c r="A876" s="9"/>
      <c r="B876" s="9"/>
      <c r="C876" s="594">
        <v>43781</v>
      </c>
      <c r="D876" s="1366" t="s">
        <v>5980</v>
      </c>
      <c r="E876" s="590" t="s">
        <v>69</v>
      </c>
      <c r="F876" s="590" t="s">
        <v>70</v>
      </c>
      <c r="G876" s="591" t="s">
        <v>5981</v>
      </c>
      <c r="H876" s="590"/>
      <c r="I876" s="591" t="s">
        <v>5981</v>
      </c>
      <c r="J876" s="590"/>
      <c r="K876" s="1428" t="s">
        <v>5982</v>
      </c>
      <c r="L876" s="590"/>
      <c r="M876" s="595">
        <v>6463919</v>
      </c>
      <c r="N876" s="590" t="s">
        <v>251</v>
      </c>
      <c r="O876" s="594">
        <v>43815</v>
      </c>
      <c r="P876" s="594">
        <v>43850</v>
      </c>
      <c r="Q876" s="590"/>
      <c r="R876" s="590"/>
      <c r="S876" s="1428"/>
      <c r="T876" s="595"/>
      <c r="U876" s="595"/>
      <c r="V876" s="1484"/>
      <c r="W876" s="1484"/>
      <c r="X876" s="1484"/>
      <c r="Y876" s="595"/>
      <c r="Z876" s="595"/>
      <c r="AA876" s="590"/>
      <c r="AB876" s="590"/>
      <c r="AC876" s="590"/>
      <c r="AD876" s="590"/>
      <c r="AE876" s="590"/>
      <c r="AF876" s="390"/>
      <c r="AG876" s="390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S876" s="9"/>
    </row>
    <row r="877" spans="1:45">
      <c r="A877" s="9"/>
      <c r="B877" s="9"/>
      <c r="C877" s="544">
        <v>43782</v>
      </c>
      <c r="D877" s="1357" t="s">
        <v>5994</v>
      </c>
      <c r="E877" s="540" t="s">
        <v>2434</v>
      </c>
      <c r="F877" s="540" t="s">
        <v>219</v>
      </c>
      <c r="G877" s="541" t="s">
        <v>5995</v>
      </c>
      <c r="H877" s="540">
        <v>1</v>
      </c>
      <c r="I877" s="1402" t="s">
        <v>6003</v>
      </c>
      <c r="J877" s="590"/>
      <c r="K877" s="540" t="s">
        <v>642</v>
      </c>
      <c r="L877" s="540"/>
      <c r="M877" s="545">
        <v>663353.72</v>
      </c>
      <c r="N877" s="540" t="s">
        <v>112</v>
      </c>
      <c r="O877" s="544">
        <v>43788</v>
      </c>
      <c r="P877" s="544">
        <v>43798</v>
      </c>
      <c r="Q877" s="544">
        <v>43809</v>
      </c>
      <c r="R877" s="540" t="s">
        <v>6074</v>
      </c>
      <c r="S877" s="1402"/>
      <c r="T877" s="545">
        <v>614920</v>
      </c>
      <c r="U877" s="545">
        <f>T877*1.21</f>
        <v>744053.2</v>
      </c>
      <c r="V877" s="1484"/>
      <c r="W877" s="1484"/>
      <c r="X877" s="1484"/>
      <c r="Y877" s="1385">
        <v>43810</v>
      </c>
      <c r="Z877" s="545" t="s">
        <v>6113</v>
      </c>
      <c r="AA877" s="540"/>
      <c r="AB877" s="540"/>
      <c r="AC877" s="540"/>
      <c r="AD877" s="540"/>
      <c r="AE877" s="540"/>
      <c r="AF877" s="390"/>
      <c r="AG877" s="390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S877" s="9"/>
    </row>
    <row r="878" spans="1:45">
      <c r="A878" s="9"/>
      <c r="B878" s="9"/>
      <c r="C878" s="544">
        <v>43782</v>
      </c>
      <c r="D878" s="1357" t="s">
        <v>5994</v>
      </c>
      <c r="E878" s="540" t="s">
        <v>2434</v>
      </c>
      <c r="F878" s="540" t="s">
        <v>219</v>
      </c>
      <c r="G878" s="541" t="s">
        <v>5995</v>
      </c>
      <c r="H878" s="540">
        <v>2</v>
      </c>
      <c r="I878" s="1402" t="s">
        <v>6004</v>
      </c>
      <c r="J878" s="590"/>
      <c r="K878" s="540" t="s">
        <v>642</v>
      </c>
      <c r="L878" s="540"/>
      <c r="M878" s="545">
        <v>332340.56</v>
      </c>
      <c r="N878" s="540" t="s">
        <v>112</v>
      </c>
      <c r="O878" s="544">
        <v>43788</v>
      </c>
      <c r="P878" s="544">
        <v>43798</v>
      </c>
      <c r="Q878" s="544">
        <v>43809</v>
      </c>
      <c r="R878" s="540" t="s">
        <v>659</v>
      </c>
      <c r="S878" s="1402"/>
      <c r="T878" s="545">
        <v>327954.8</v>
      </c>
      <c r="U878" s="545">
        <f>T878*1.21</f>
        <v>396825.30799999996</v>
      </c>
      <c r="V878" s="1484"/>
      <c r="W878" s="1484"/>
      <c r="X878" s="1484"/>
      <c r="Y878" s="1385">
        <v>43810</v>
      </c>
      <c r="Z878" s="545" t="s">
        <v>6114</v>
      </c>
      <c r="AA878" s="540"/>
      <c r="AB878" s="540"/>
      <c r="AC878" s="540"/>
      <c r="AD878" s="540"/>
      <c r="AE878" s="540"/>
      <c r="AF878" s="390"/>
      <c r="AG878" s="390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S878" s="9"/>
    </row>
    <row r="879" spans="1:45">
      <c r="A879" s="9"/>
      <c r="B879" s="9"/>
      <c r="C879" s="544" t="s">
        <v>3585</v>
      </c>
      <c r="D879" s="1357" t="s">
        <v>6019</v>
      </c>
      <c r="E879" s="540" t="s">
        <v>4997</v>
      </c>
      <c r="F879" s="540" t="s">
        <v>167</v>
      </c>
      <c r="G879" s="541" t="s">
        <v>6021</v>
      </c>
      <c r="H879" s="540"/>
      <c r="I879" s="1402"/>
      <c r="J879" s="1552"/>
      <c r="K879" s="540" t="s">
        <v>6020</v>
      </c>
      <c r="L879" s="540"/>
      <c r="M879" s="545">
        <v>1350000</v>
      </c>
      <c r="N879" s="540" t="s">
        <v>112</v>
      </c>
      <c r="O879" s="544">
        <v>43790</v>
      </c>
      <c r="P879" s="544">
        <v>43797</v>
      </c>
      <c r="Q879" s="544">
        <v>43803</v>
      </c>
      <c r="R879" s="540" t="s">
        <v>2032</v>
      </c>
      <c r="S879" s="1402"/>
      <c r="T879" s="545">
        <v>1452256.26</v>
      </c>
      <c r="U879" s="545">
        <f>T879*1.21</f>
        <v>1757230.0745999999</v>
      </c>
      <c r="V879" s="1800"/>
      <c r="W879" s="1800"/>
      <c r="X879" s="1800"/>
      <c r="Y879" s="1385">
        <v>43803</v>
      </c>
      <c r="Z879" s="545" t="s">
        <v>6077</v>
      </c>
      <c r="AA879" s="540"/>
      <c r="AB879" s="540"/>
      <c r="AC879" s="540"/>
      <c r="AD879" s="540"/>
      <c r="AE879" s="540"/>
      <c r="AF879" s="390"/>
      <c r="AG879" s="390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S879" s="9"/>
    </row>
    <row r="880" spans="1:45">
      <c r="A880" s="9"/>
      <c r="B880" s="9"/>
      <c r="C880" s="594">
        <v>43788</v>
      </c>
      <c r="D880" s="1366" t="s">
        <v>6009</v>
      </c>
      <c r="E880" s="590" t="s">
        <v>3678</v>
      </c>
      <c r="F880" s="590" t="s">
        <v>918</v>
      </c>
      <c r="G880" s="591" t="s">
        <v>6010</v>
      </c>
      <c r="H880" s="590"/>
      <c r="I880" s="1428"/>
      <c r="J880" s="590"/>
      <c r="K880" s="590" t="s">
        <v>1518</v>
      </c>
      <c r="L880" s="590"/>
      <c r="M880" s="595">
        <v>1800000</v>
      </c>
      <c r="N880" s="590" t="s">
        <v>112</v>
      </c>
      <c r="O880" s="594">
        <v>43815</v>
      </c>
      <c r="P880" s="594">
        <v>43837</v>
      </c>
      <c r="Q880" s="590"/>
      <c r="R880" s="590"/>
      <c r="S880" s="1428"/>
      <c r="T880" s="595"/>
      <c r="U880" s="595"/>
      <c r="V880" s="1484"/>
      <c r="W880" s="1484"/>
      <c r="X880" s="1484"/>
      <c r="Y880" s="595"/>
      <c r="Z880" s="595"/>
      <c r="AA880" s="590"/>
      <c r="AB880" s="590"/>
      <c r="AC880" s="590"/>
      <c r="AD880" s="590"/>
      <c r="AE880" s="590"/>
      <c r="AF880" s="390"/>
      <c r="AG880" s="390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S880" s="9"/>
    </row>
    <row r="881" spans="1:45">
      <c r="A881" s="9"/>
      <c r="B881" s="9"/>
      <c r="C881" s="1390">
        <v>43788</v>
      </c>
      <c r="D881" s="1359" t="s">
        <v>6011</v>
      </c>
      <c r="E881" s="530" t="s">
        <v>2434</v>
      </c>
      <c r="F881" s="530" t="s">
        <v>3204</v>
      </c>
      <c r="G881" s="1518" t="s">
        <v>6487</v>
      </c>
      <c r="H881" s="530"/>
      <c r="I881" s="1432"/>
      <c r="J881" s="530"/>
      <c r="K881" s="1102" t="s">
        <v>642</v>
      </c>
      <c r="L881" s="530"/>
      <c r="M881" s="533">
        <v>1340211</v>
      </c>
      <c r="N881" s="530" t="s">
        <v>112</v>
      </c>
      <c r="O881" s="530"/>
      <c r="P881" s="530"/>
      <c r="Q881" s="530"/>
      <c r="R881" s="530"/>
      <c r="S881" s="1432"/>
      <c r="T881" s="533"/>
      <c r="U881" s="533"/>
      <c r="V881" s="1487"/>
      <c r="W881" s="1487"/>
      <c r="X881" s="1487"/>
      <c r="Y881" s="533"/>
      <c r="Z881" s="533"/>
      <c r="AA881" s="530"/>
      <c r="AB881" s="530"/>
      <c r="AC881" s="530"/>
      <c r="AD881" s="530"/>
      <c r="AE881" s="530"/>
      <c r="AF881" s="390"/>
      <c r="AG881" s="390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S881" s="9"/>
    </row>
    <row r="882" spans="1:45">
      <c r="A882" s="9"/>
      <c r="B882" s="9"/>
      <c r="C882" s="544">
        <v>43791</v>
      </c>
      <c r="D882" s="1357" t="s">
        <v>6036</v>
      </c>
      <c r="E882" s="540" t="s">
        <v>14</v>
      </c>
      <c r="F882" s="540" t="s">
        <v>13</v>
      </c>
      <c r="G882" s="541" t="s">
        <v>6037</v>
      </c>
      <c r="H882" s="540"/>
      <c r="I882" s="1402"/>
      <c r="J882" s="540"/>
      <c r="K882" s="540" t="s">
        <v>5459</v>
      </c>
      <c r="L882" s="540"/>
      <c r="M882" s="545">
        <v>480000</v>
      </c>
      <c r="N882" s="540" t="s">
        <v>112</v>
      </c>
      <c r="O882" s="544">
        <v>43797</v>
      </c>
      <c r="P882" s="544">
        <v>43805</v>
      </c>
      <c r="Q882" s="544">
        <v>43811</v>
      </c>
      <c r="R882" s="540" t="s">
        <v>6089</v>
      </c>
      <c r="S882" s="1402"/>
      <c r="T882" s="545">
        <v>432000</v>
      </c>
      <c r="U882" s="545">
        <v>522720</v>
      </c>
      <c r="V882" s="1472"/>
      <c r="W882" s="1472"/>
      <c r="X882" s="1472"/>
      <c r="Y882" s="1385">
        <v>43812</v>
      </c>
      <c r="Z882" s="545" t="s">
        <v>6126</v>
      </c>
      <c r="AA882" s="540"/>
      <c r="AB882" s="540"/>
      <c r="AC882" s="540"/>
      <c r="AD882" s="540"/>
      <c r="AE882" s="540"/>
      <c r="AF882" s="390"/>
      <c r="AG882" s="390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S882" s="9"/>
    </row>
    <row r="883" spans="1:45">
      <c r="A883" s="9"/>
      <c r="B883" s="9"/>
      <c r="C883" s="544">
        <v>43791</v>
      </c>
      <c r="D883" s="1357" t="s">
        <v>6038</v>
      </c>
      <c r="E883" s="540" t="s">
        <v>4997</v>
      </c>
      <c r="F883" s="540" t="s">
        <v>167</v>
      </c>
      <c r="G883" s="541" t="s">
        <v>6039</v>
      </c>
      <c r="H883" s="540"/>
      <c r="I883" s="1402"/>
      <c r="J883" s="590"/>
      <c r="K883" s="540" t="s">
        <v>2166</v>
      </c>
      <c r="L883" s="540"/>
      <c r="M883" s="545">
        <v>300000</v>
      </c>
      <c r="N883" s="540" t="s">
        <v>112</v>
      </c>
      <c r="O883" s="544">
        <v>43804</v>
      </c>
      <c r="P883" s="544">
        <v>43812</v>
      </c>
      <c r="Q883" s="544">
        <v>43818</v>
      </c>
      <c r="R883" s="540" t="s">
        <v>3304</v>
      </c>
      <c r="S883" s="1402"/>
      <c r="T883" s="545">
        <v>288939</v>
      </c>
      <c r="U883" s="545">
        <v>349616.2</v>
      </c>
      <c r="V883" s="1484"/>
      <c r="W883" s="1484"/>
      <c r="X883" s="1484"/>
      <c r="Y883" s="1385">
        <v>43818</v>
      </c>
      <c r="Z883" s="545" t="s">
        <v>6177</v>
      </c>
      <c r="AA883" s="540"/>
      <c r="AB883" s="540"/>
      <c r="AC883" s="540"/>
      <c r="AD883" s="540"/>
      <c r="AE883" s="540"/>
      <c r="AF883" s="390"/>
      <c r="AG883" s="390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S883" s="9"/>
    </row>
    <row r="884" spans="1:45">
      <c r="A884" s="9"/>
      <c r="B884" s="9"/>
      <c r="C884" s="537">
        <v>43794</v>
      </c>
      <c r="D884" s="1373" t="s">
        <v>6041</v>
      </c>
      <c r="E884" s="491" t="s">
        <v>14</v>
      </c>
      <c r="F884" s="491" t="s">
        <v>13</v>
      </c>
      <c r="G884" s="571" t="s">
        <v>6042</v>
      </c>
      <c r="H884" s="491"/>
      <c r="I884" s="495"/>
      <c r="J884" s="491"/>
      <c r="K884" s="491" t="s">
        <v>6043</v>
      </c>
      <c r="L884" s="491"/>
      <c r="M884" s="536">
        <v>743900</v>
      </c>
      <c r="N884" s="491" t="s">
        <v>112</v>
      </c>
      <c r="O884" s="537">
        <v>43801</v>
      </c>
      <c r="P884" s="537">
        <v>43809</v>
      </c>
      <c r="Q884" s="537">
        <v>43812</v>
      </c>
      <c r="R884" s="491" t="s">
        <v>6120</v>
      </c>
      <c r="S884" s="495"/>
      <c r="T884" s="536">
        <v>703825</v>
      </c>
      <c r="U884" s="536">
        <v>851628.25</v>
      </c>
      <c r="V884" s="1471"/>
      <c r="W884" s="1471"/>
      <c r="X884" s="1471"/>
      <c r="Y884" s="573">
        <v>43812</v>
      </c>
      <c r="Z884" s="536" t="s">
        <v>6125</v>
      </c>
      <c r="AA884" s="537">
        <v>43822</v>
      </c>
      <c r="AB884" s="537">
        <v>43832</v>
      </c>
      <c r="AC884" s="537">
        <v>44187</v>
      </c>
      <c r="AD884" s="537">
        <v>44263</v>
      </c>
      <c r="AE884" s="1102"/>
      <c r="AF884" s="390"/>
      <c r="AG884" s="390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S884" s="9"/>
    </row>
    <row r="885" spans="1:45">
      <c r="A885" s="9"/>
      <c r="B885" s="9"/>
      <c r="C885" s="1390">
        <v>43796</v>
      </c>
      <c r="D885" s="1359" t="s">
        <v>6049</v>
      </c>
      <c r="E885" s="530" t="s">
        <v>52</v>
      </c>
      <c r="F885" s="530" t="s">
        <v>3089</v>
      </c>
      <c r="G885" s="1518" t="s">
        <v>6264</v>
      </c>
      <c r="H885" s="530"/>
      <c r="I885" s="1894" t="s">
        <v>6265</v>
      </c>
      <c r="J885" s="530"/>
      <c r="K885" s="1102" t="s">
        <v>332</v>
      </c>
      <c r="L885" s="530"/>
      <c r="M885" s="533">
        <v>2500000</v>
      </c>
      <c r="N885" s="530" t="s">
        <v>216</v>
      </c>
      <c r="O885" s="530"/>
      <c r="P885" s="530"/>
      <c r="Q885" s="530"/>
      <c r="R885" s="530"/>
      <c r="S885" s="1432"/>
      <c r="T885" s="533"/>
      <c r="U885" s="533"/>
      <c r="V885" s="1487"/>
      <c r="W885" s="1487"/>
      <c r="X885" s="1487"/>
      <c r="Y885" s="533"/>
      <c r="Z885" s="533"/>
      <c r="AA885" s="530"/>
      <c r="AB885" s="530"/>
      <c r="AC885" s="530"/>
      <c r="AD885" s="530"/>
      <c r="AE885" s="530"/>
      <c r="AF885" s="390"/>
      <c r="AG885" s="390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S885" s="9"/>
    </row>
    <row r="886" spans="1:45">
      <c r="A886" s="9"/>
      <c r="B886" s="9"/>
      <c r="C886" s="1390">
        <v>43795</v>
      </c>
      <c r="D886" s="1359" t="s">
        <v>6053</v>
      </c>
      <c r="E886" s="530" t="s">
        <v>69</v>
      </c>
      <c r="F886" s="530" t="s">
        <v>70</v>
      </c>
      <c r="G886" s="1518" t="s">
        <v>6225</v>
      </c>
      <c r="H886" s="530">
        <v>1</v>
      </c>
      <c r="I886" s="1432" t="s">
        <v>6226</v>
      </c>
      <c r="J886" s="530"/>
      <c r="K886" s="1102" t="s">
        <v>4277</v>
      </c>
      <c r="L886" s="530"/>
      <c r="M886" s="533">
        <v>47341396</v>
      </c>
      <c r="N886" s="530" t="s">
        <v>251</v>
      </c>
      <c r="O886" s="530"/>
      <c r="P886" s="530"/>
      <c r="Q886" s="530"/>
      <c r="R886" s="530"/>
      <c r="S886" s="1432"/>
      <c r="T886" s="533"/>
      <c r="U886" s="533"/>
      <c r="V886" s="1487"/>
      <c r="W886" s="1487"/>
      <c r="X886" s="1487"/>
      <c r="Y886" s="533"/>
      <c r="Z886" s="533"/>
      <c r="AA886" s="530"/>
      <c r="AB886" s="530"/>
      <c r="AC886" s="530"/>
      <c r="AD886" s="530"/>
      <c r="AE886" s="530"/>
      <c r="AF886" s="390"/>
      <c r="AG886" s="390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S886" s="9"/>
    </row>
    <row r="887" spans="1:45">
      <c r="A887" s="9"/>
      <c r="B887" s="9"/>
      <c r="C887" s="1390">
        <v>43795</v>
      </c>
      <c r="D887" s="1359" t="s">
        <v>6056</v>
      </c>
      <c r="E887" s="530" t="s">
        <v>69</v>
      </c>
      <c r="F887" s="530" t="s">
        <v>70</v>
      </c>
      <c r="G887" s="1518" t="s">
        <v>6227</v>
      </c>
      <c r="H887" s="530">
        <v>1</v>
      </c>
      <c r="I887" s="1432" t="s">
        <v>6228</v>
      </c>
      <c r="J887" s="530"/>
      <c r="K887" s="1102" t="s">
        <v>72</v>
      </c>
      <c r="L887" s="530"/>
      <c r="M887" s="533">
        <v>30769028</v>
      </c>
      <c r="N887" s="530" t="s">
        <v>251</v>
      </c>
      <c r="O887" s="530"/>
      <c r="P887" s="530"/>
      <c r="Q887" s="530"/>
      <c r="R887" s="530"/>
      <c r="S887" s="1432"/>
      <c r="T887" s="533"/>
      <c r="U887" s="533"/>
      <c r="V887" s="1487"/>
      <c r="W887" s="1487"/>
      <c r="X887" s="1487"/>
      <c r="Y887" s="533"/>
      <c r="Z887" s="533"/>
      <c r="AA887" s="530"/>
      <c r="AB887" s="530"/>
      <c r="AC887" s="530"/>
      <c r="AD887" s="530"/>
      <c r="AE887" s="530"/>
      <c r="AF887" s="390"/>
      <c r="AG887" s="390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S887" s="9"/>
    </row>
    <row r="888" spans="1:45">
      <c r="A888" s="9"/>
      <c r="B888" s="9"/>
      <c r="C888" s="1390">
        <v>43795</v>
      </c>
      <c r="D888" s="1359" t="s">
        <v>6059</v>
      </c>
      <c r="E888" s="530" t="s">
        <v>69</v>
      </c>
      <c r="F888" s="530" t="s">
        <v>70</v>
      </c>
      <c r="G888" s="1518" t="s">
        <v>6060</v>
      </c>
      <c r="H888" s="530">
        <v>1</v>
      </c>
      <c r="I888" s="1432" t="s">
        <v>6230</v>
      </c>
      <c r="J888" s="530"/>
      <c r="K888" s="1102" t="s">
        <v>3225</v>
      </c>
      <c r="L888" s="530"/>
      <c r="M888" s="533">
        <v>1210714</v>
      </c>
      <c r="N888" s="530" t="s">
        <v>112</v>
      </c>
      <c r="O888" s="530"/>
      <c r="P888" s="530"/>
      <c r="Q888" s="530"/>
      <c r="R888" s="530"/>
      <c r="S888" s="1432"/>
      <c r="T888" s="533"/>
      <c r="U888" s="533"/>
      <c r="V888" s="1487"/>
      <c r="W888" s="1487"/>
      <c r="X888" s="1487"/>
      <c r="Y888" s="533"/>
      <c r="Z888" s="533"/>
      <c r="AA888" s="530"/>
      <c r="AB888" s="530"/>
      <c r="AC888" s="530"/>
      <c r="AD888" s="530"/>
      <c r="AE888" s="530"/>
      <c r="AF888" s="390"/>
      <c r="AG888" s="390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S888" s="9"/>
    </row>
    <row r="889" spans="1:45">
      <c r="A889" s="9"/>
      <c r="B889" s="9"/>
      <c r="C889" s="1390">
        <v>43795</v>
      </c>
      <c r="D889" s="1359" t="s">
        <v>6059</v>
      </c>
      <c r="E889" s="530" t="s">
        <v>69</v>
      </c>
      <c r="F889" s="530" t="s">
        <v>70</v>
      </c>
      <c r="G889" s="1518" t="s">
        <v>6060</v>
      </c>
      <c r="H889" s="530">
        <v>2</v>
      </c>
      <c r="I889" s="1432" t="s">
        <v>6229</v>
      </c>
      <c r="J889" s="530"/>
      <c r="K889" s="1102" t="s">
        <v>3225</v>
      </c>
      <c r="L889" s="530"/>
      <c r="M889" s="533">
        <v>637924</v>
      </c>
      <c r="N889" s="530" t="s">
        <v>112</v>
      </c>
      <c r="O889" s="530"/>
      <c r="P889" s="530"/>
      <c r="Q889" s="530"/>
      <c r="R889" s="530"/>
      <c r="S889" s="1432"/>
      <c r="T889" s="533"/>
      <c r="U889" s="533"/>
      <c r="V889" s="1487"/>
      <c r="W889" s="1487"/>
      <c r="X889" s="1487"/>
      <c r="Y889" s="533"/>
      <c r="Z889" s="533"/>
      <c r="AA889" s="530"/>
      <c r="AB889" s="530"/>
      <c r="AC889" s="530"/>
      <c r="AD889" s="530"/>
      <c r="AE889" s="530"/>
      <c r="AF889" s="390"/>
      <c r="AG889" s="390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S889" s="9"/>
    </row>
    <row r="890" spans="1:45">
      <c r="A890" s="9"/>
      <c r="B890" s="9"/>
      <c r="C890" s="540" t="s">
        <v>3585</v>
      </c>
      <c r="D890" s="1357" t="s">
        <v>6065</v>
      </c>
      <c r="E890" s="540" t="s">
        <v>58</v>
      </c>
      <c r="F890" s="540" t="s">
        <v>2684</v>
      </c>
      <c r="G890" s="541" t="s">
        <v>6066</v>
      </c>
      <c r="H890" s="540"/>
      <c r="I890" s="1402"/>
      <c r="J890" s="590"/>
      <c r="K890" s="540" t="s">
        <v>1294</v>
      </c>
      <c r="L890" s="540"/>
      <c r="M890" s="545">
        <v>1340000</v>
      </c>
      <c r="N890" s="540" t="s">
        <v>112</v>
      </c>
      <c r="O890" s="544">
        <v>43803</v>
      </c>
      <c r="P890" s="544">
        <v>43812</v>
      </c>
      <c r="Q890" s="540"/>
      <c r="R890" s="540"/>
      <c r="S890" s="1402"/>
      <c r="T890" s="545"/>
      <c r="U890" s="545"/>
      <c r="V890" s="1484"/>
      <c r="W890" s="1484"/>
      <c r="X890" s="1484"/>
      <c r="Y890" s="545"/>
      <c r="Z890" s="545"/>
      <c r="AA890" s="540"/>
      <c r="AB890" s="540"/>
      <c r="AC890" s="540"/>
      <c r="AD890" s="540"/>
      <c r="AE890" s="540"/>
      <c r="AF890" s="390"/>
      <c r="AG890" s="390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S890" s="9"/>
    </row>
    <row r="891" spans="1:45">
      <c r="A891" s="9"/>
      <c r="B891" s="9"/>
      <c r="C891" s="1390">
        <v>43797</v>
      </c>
      <c r="D891" s="1359" t="s">
        <v>6068</v>
      </c>
      <c r="E891" s="530" t="s">
        <v>1032</v>
      </c>
      <c r="F891" s="530" t="s">
        <v>361</v>
      </c>
      <c r="G891" s="1518" t="s">
        <v>6488</v>
      </c>
      <c r="H891" s="530"/>
      <c r="I891" s="1894"/>
      <c r="J891" s="530"/>
      <c r="K891" s="1102" t="s">
        <v>1865</v>
      </c>
      <c r="L891" s="530"/>
      <c r="M891" s="533">
        <v>6500000</v>
      </c>
      <c r="N891" s="530" t="s">
        <v>251</v>
      </c>
      <c r="O891" s="530"/>
      <c r="P891" s="530"/>
      <c r="Q891" s="530"/>
      <c r="R891" s="530"/>
      <c r="S891" s="1432"/>
      <c r="T891" s="533"/>
      <c r="U891" s="533"/>
      <c r="V891" s="1487"/>
      <c r="W891" s="1487"/>
      <c r="X891" s="1487"/>
      <c r="Y891" s="533"/>
      <c r="Z891" s="533"/>
      <c r="AA891" s="530"/>
      <c r="AB891" s="530"/>
      <c r="AC891" s="530"/>
      <c r="AD891" s="530"/>
      <c r="AE891" s="530"/>
      <c r="AF891" s="390"/>
      <c r="AG891" s="390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S891" s="9"/>
    </row>
    <row r="892" spans="1:45">
      <c r="A892" s="9"/>
      <c r="B892" s="9"/>
      <c r="C892" s="540" t="s">
        <v>3585</v>
      </c>
      <c r="D892" s="1357" t="s">
        <v>6072</v>
      </c>
      <c r="E892" s="540" t="s">
        <v>58</v>
      </c>
      <c r="F892" s="540" t="s">
        <v>2684</v>
      </c>
      <c r="G892" s="541" t="s">
        <v>6073</v>
      </c>
      <c r="H892" s="540"/>
      <c r="I892" s="1402"/>
      <c r="J892" s="590"/>
      <c r="K892" s="540" t="s">
        <v>421</v>
      </c>
      <c r="L892" s="540"/>
      <c r="M892" s="545">
        <v>513000</v>
      </c>
      <c r="N892" s="540" t="s">
        <v>112</v>
      </c>
      <c r="O892" s="544">
        <v>43809</v>
      </c>
      <c r="P892" s="544">
        <v>43818</v>
      </c>
      <c r="Q892" s="540"/>
      <c r="R892" s="540"/>
      <c r="S892" s="1402"/>
      <c r="T892" s="545"/>
      <c r="U892" s="545"/>
      <c r="V892" s="1484"/>
      <c r="W892" s="1484"/>
      <c r="X892" s="1484"/>
      <c r="Y892" s="545"/>
      <c r="Z892" s="545"/>
      <c r="AA892" s="540"/>
      <c r="AB892" s="540"/>
      <c r="AC892" s="540"/>
      <c r="AD892" s="540"/>
      <c r="AE892" s="540"/>
      <c r="AF892" s="390"/>
      <c r="AG892" s="390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S892" s="9"/>
    </row>
    <row r="893" spans="1:45">
      <c r="A893" s="9"/>
      <c r="B893" s="9"/>
      <c r="C893" s="594">
        <v>43804</v>
      </c>
      <c r="D893" s="1366" t="s">
        <v>6081</v>
      </c>
      <c r="E893" s="590" t="s">
        <v>69</v>
      </c>
      <c r="F893" s="590" t="s">
        <v>70</v>
      </c>
      <c r="G893" s="591" t="s">
        <v>6082</v>
      </c>
      <c r="H893" s="590">
        <v>1</v>
      </c>
      <c r="I893" s="1428" t="s">
        <v>6083</v>
      </c>
      <c r="J893" s="590"/>
      <c r="K893" s="590" t="s">
        <v>93</v>
      </c>
      <c r="L893" s="590"/>
      <c r="M893" s="595">
        <v>5511956</v>
      </c>
      <c r="N893" s="590" t="s">
        <v>251</v>
      </c>
      <c r="O893" s="594">
        <v>43819</v>
      </c>
      <c r="P893" s="594">
        <v>43854</v>
      </c>
      <c r="Q893" s="590"/>
      <c r="R893" s="590"/>
      <c r="S893" s="1428"/>
      <c r="T893" s="595"/>
      <c r="U893" s="595"/>
      <c r="V893" s="1484"/>
      <c r="W893" s="1484"/>
      <c r="X893" s="1484"/>
      <c r="Y893" s="595"/>
      <c r="Z893" s="595"/>
      <c r="AA893" s="590"/>
      <c r="AB893" s="590"/>
      <c r="AC893" s="590"/>
      <c r="AD893" s="590"/>
      <c r="AE893" s="590"/>
      <c r="AF893" s="390"/>
      <c r="AG893" s="390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S893" s="9"/>
    </row>
    <row r="894" spans="1:45">
      <c r="A894" s="9"/>
      <c r="B894" s="9"/>
      <c r="C894" s="594">
        <v>43804</v>
      </c>
      <c r="D894" s="1366" t="s">
        <v>6081</v>
      </c>
      <c r="E894" s="590" t="s">
        <v>69</v>
      </c>
      <c r="F894" s="590" t="s">
        <v>70</v>
      </c>
      <c r="G894" s="591" t="s">
        <v>6082</v>
      </c>
      <c r="H894" s="590">
        <v>2</v>
      </c>
      <c r="I894" s="1428" t="s">
        <v>6084</v>
      </c>
      <c r="J894" s="590"/>
      <c r="K894" s="590" t="s">
        <v>93</v>
      </c>
      <c r="L894" s="590"/>
      <c r="M894" s="595">
        <v>11127273</v>
      </c>
      <c r="N894" s="590" t="s">
        <v>251</v>
      </c>
      <c r="O894" s="594">
        <v>43819</v>
      </c>
      <c r="P894" s="594">
        <v>43854</v>
      </c>
      <c r="Q894" s="590"/>
      <c r="R894" s="590"/>
      <c r="S894" s="1428"/>
      <c r="T894" s="595"/>
      <c r="U894" s="595"/>
      <c r="V894" s="1484"/>
      <c r="W894" s="1484"/>
      <c r="X894" s="1484"/>
      <c r="Y894" s="595"/>
      <c r="Z894" s="595"/>
      <c r="AA894" s="590"/>
      <c r="AB894" s="590"/>
      <c r="AC894" s="590"/>
      <c r="AD894" s="590"/>
      <c r="AE894" s="590"/>
      <c r="AF894" s="390"/>
      <c r="AG894" s="390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S894" s="9"/>
    </row>
    <row r="895" spans="1:45">
      <c r="A895" s="9"/>
      <c r="B895" s="9"/>
      <c r="C895" s="594">
        <v>43804</v>
      </c>
      <c r="D895" s="1366" t="s">
        <v>6081</v>
      </c>
      <c r="E895" s="590" t="s">
        <v>69</v>
      </c>
      <c r="F895" s="590" t="s">
        <v>70</v>
      </c>
      <c r="G895" s="591" t="s">
        <v>6082</v>
      </c>
      <c r="H895" s="590">
        <v>3</v>
      </c>
      <c r="I895" s="1428" t="s">
        <v>6085</v>
      </c>
      <c r="J895" s="590"/>
      <c r="K895" s="590" t="s">
        <v>93</v>
      </c>
      <c r="L895" s="590"/>
      <c r="M895" s="595">
        <v>95343903</v>
      </c>
      <c r="N895" s="590" t="s">
        <v>251</v>
      </c>
      <c r="O895" s="594">
        <v>43819</v>
      </c>
      <c r="P895" s="594">
        <v>43854</v>
      </c>
      <c r="Q895" s="590"/>
      <c r="R895" s="590"/>
      <c r="S895" s="1428"/>
      <c r="T895" s="595"/>
      <c r="U895" s="595"/>
      <c r="V895" s="1484"/>
      <c r="W895" s="1484"/>
      <c r="X895" s="1484"/>
      <c r="Y895" s="595"/>
      <c r="Z895" s="595"/>
      <c r="AA895" s="590"/>
      <c r="AB895" s="590"/>
      <c r="AC895" s="590"/>
      <c r="AD895" s="590"/>
      <c r="AE895" s="590"/>
      <c r="AF895" s="390"/>
      <c r="AG895" s="390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S895" s="9"/>
    </row>
    <row r="896" spans="1:45">
      <c r="A896" s="9"/>
      <c r="B896" s="9"/>
      <c r="C896" s="594">
        <v>43804</v>
      </c>
      <c r="D896" s="1366" t="s">
        <v>6081</v>
      </c>
      <c r="E896" s="590" t="s">
        <v>69</v>
      </c>
      <c r="F896" s="590" t="s">
        <v>70</v>
      </c>
      <c r="G896" s="591" t="s">
        <v>6082</v>
      </c>
      <c r="H896" s="590">
        <v>4</v>
      </c>
      <c r="I896" s="1428" t="s">
        <v>4887</v>
      </c>
      <c r="J896" s="590"/>
      <c r="K896" s="590" t="s">
        <v>93</v>
      </c>
      <c r="L896" s="590"/>
      <c r="M896" s="595">
        <v>5032508</v>
      </c>
      <c r="N896" s="590" t="s">
        <v>251</v>
      </c>
      <c r="O896" s="594">
        <v>43819</v>
      </c>
      <c r="P896" s="594">
        <v>43854</v>
      </c>
      <c r="Q896" s="590"/>
      <c r="R896" s="590"/>
      <c r="S896" s="1428"/>
      <c r="T896" s="595"/>
      <c r="U896" s="595"/>
      <c r="V896" s="1484"/>
      <c r="W896" s="1484"/>
      <c r="X896" s="1484"/>
      <c r="Y896" s="595"/>
      <c r="Z896" s="595"/>
      <c r="AA896" s="590"/>
      <c r="AB896" s="590"/>
      <c r="AC896" s="590"/>
      <c r="AD896" s="590"/>
      <c r="AE896" s="590"/>
      <c r="AF896" s="390"/>
      <c r="AG896" s="390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S896" s="9"/>
    </row>
    <row r="897" spans="1:45">
      <c r="A897" s="9"/>
      <c r="B897" s="9"/>
      <c r="C897" s="594">
        <v>43804</v>
      </c>
      <c r="D897" s="1366" t="s">
        <v>6081</v>
      </c>
      <c r="E897" s="590" t="s">
        <v>69</v>
      </c>
      <c r="F897" s="590" t="s">
        <v>70</v>
      </c>
      <c r="G897" s="591" t="s">
        <v>6082</v>
      </c>
      <c r="H897" s="590">
        <v>5</v>
      </c>
      <c r="I897" s="1428" t="s">
        <v>6086</v>
      </c>
      <c r="J897" s="590"/>
      <c r="K897" s="590" t="s">
        <v>93</v>
      </c>
      <c r="L897" s="590"/>
      <c r="M897" s="595">
        <v>704780</v>
      </c>
      <c r="N897" s="590" t="s">
        <v>251</v>
      </c>
      <c r="O897" s="594">
        <v>43819</v>
      </c>
      <c r="P897" s="594">
        <v>43854</v>
      </c>
      <c r="Q897" s="590"/>
      <c r="R897" s="590"/>
      <c r="S897" s="1428"/>
      <c r="T897" s="595"/>
      <c r="U897" s="595"/>
      <c r="V897" s="1484"/>
      <c r="W897" s="1484"/>
      <c r="X897" s="1484"/>
      <c r="Y897" s="595"/>
      <c r="Z897" s="595"/>
      <c r="AA897" s="590"/>
      <c r="AB897" s="590"/>
      <c r="AC897" s="590"/>
      <c r="AD897" s="590"/>
      <c r="AE897" s="590"/>
      <c r="AF897" s="390"/>
      <c r="AG897" s="390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S897" s="9"/>
    </row>
    <row r="898" spans="1:45">
      <c r="A898" s="9"/>
      <c r="B898" s="9"/>
      <c r="C898" s="594">
        <v>43804</v>
      </c>
      <c r="D898" s="1366" t="s">
        <v>6081</v>
      </c>
      <c r="E898" s="590" t="s">
        <v>69</v>
      </c>
      <c r="F898" s="590" t="s">
        <v>70</v>
      </c>
      <c r="G898" s="591" t="s">
        <v>6082</v>
      </c>
      <c r="H898" s="590">
        <v>6</v>
      </c>
      <c r="I898" s="1428" t="s">
        <v>6087</v>
      </c>
      <c r="J898" s="590"/>
      <c r="K898" s="590" t="s">
        <v>93</v>
      </c>
      <c r="L898" s="590"/>
      <c r="M898" s="595">
        <v>23556463</v>
      </c>
      <c r="N898" s="590" t="s">
        <v>251</v>
      </c>
      <c r="O898" s="594">
        <v>43819</v>
      </c>
      <c r="P898" s="594">
        <v>43854</v>
      </c>
      <c r="Q898" s="590"/>
      <c r="R898" s="590"/>
      <c r="S898" s="1428"/>
      <c r="T898" s="595"/>
      <c r="U898" s="595"/>
      <c r="V898" s="1484"/>
      <c r="W898" s="1484"/>
      <c r="X898" s="1484"/>
      <c r="Y898" s="595"/>
      <c r="Z898" s="595"/>
      <c r="AA898" s="590"/>
      <c r="AB898" s="590"/>
      <c r="AC898" s="590"/>
      <c r="AD898" s="590"/>
      <c r="AE898" s="590"/>
      <c r="AF898" s="390"/>
      <c r="AG898" s="390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S898" s="9"/>
    </row>
    <row r="899" spans="1:45">
      <c r="A899" s="9"/>
      <c r="B899" s="9"/>
      <c r="C899" s="1843" t="s">
        <v>3585</v>
      </c>
      <c r="D899" s="1844" t="s">
        <v>6156</v>
      </c>
      <c r="E899" s="1552" t="s">
        <v>1700</v>
      </c>
      <c r="F899" s="1552" t="s">
        <v>6206</v>
      </c>
      <c r="G899" s="1870" t="s">
        <v>6157</v>
      </c>
      <c r="H899" s="1552"/>
      <c r="I899" s="1846"/>
      <c r="J899" s="1552"/>
      <c r="K899" s="1552" t="s">
        <v>1950</v>
      </c>
      <c r="L899" s="1552"/>
      <c r="M899" s="1847">
        <v>165495.85999999999</v>
      </c>
      <c r="N899" s="1552" t="s">
        <v>112</v>
      </c>
      <c r="O899" s="1552"/>
      <c r="P899" s="1552"/>
      <c r="Q899" s="1552"/>
      <c r="R899" s="1552"/>
      <c r="S899" s="1846"/>
      <c r="T899" s="1847"/>
      <c r="U899" s="1847"/>
      <c r="V899" s="1800"/>
      <c r="W899" s="1800"/>
      <c r="X899" s="1800"/>
      <c r="Y899" s="1847"/>
      <c r="Z899" s="1847"/>
      <c r="AA899" s="1552"/>
      <c r="AB899" s="1552"/>
      <c r="AC899" s="1552"/>
      <c r="AD899" s="1552"/>
      <c r="AE899" s="1552"/>
      <c r="AF899" s="390"/>
      <c r="AG899" s="390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S899" s="9"/>
    </row>
    <row r="900" spans="1:45">
      <c r="A900" s="9"/>
      <c r="B900" s="9"/>
      <c r="C900" s="594">
        <v>43808</v>
      </c>
      <c r="D900" s="1366" t="s">
        <v>6100</v>
      </c>
      <c r="E900" s="590" t="s">
        <v>14</v>
      </c>
      <c r="F900" s="590" t="s">
        <v>13</v>
      </c>
      <c r="G900" s="591" t="s">
        <v>6101</v>
      </c>
      <c r="H900" s="590"/>
      <c r="I900" s="1428"/>
      <c r="J900" s="590"/>
      <c r="K900" s="590" t="s">
        <v>21</v>
      </c>
      <c r="L900" s="590"/>
      <c r="M900" s="595">
        <v>1001000</v>
      </c>
      <c r="N900" s="590" t="s">
        <v>112</v>
      </c>
      <c r="O900" s="594">
        <v>43818</v>
      </c>
      <c r="P900" s="594">
        <v>43837</v>
      </c>
      <c r="Q900" s="590"/>
      <c r="R900" s="590"/>
      <c r="S900" s="1428"/>
      <c r="T900" s="595"/>
      <c r="U900" s="595"/>
      <c r="V900" s="1484"/>
      <c r="W900" s="1484"/>
      <c r="X900" s="1484"/>
      <c r="Y900" s="595"/>
      <c r="Z900" s="595"/>
      <c r="AA900" s="590"/>
      <c r="AB900" s="590"/>
      <c r="AC900" s="590"/>
      <c r="AD900" s="590"/>
      <c r="AE900" s="590"/>
      <c r="AF900" s="390"/>
      <c r="AG900" s="390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S900" s="9"/>
    </row>
    <row r="901" spans="1:45">
      <c r="A901" s="9"/>
      <c r="B901" s="9"/>
      <c r="C901" s="594">
        <v>43808</v>
      </c>
      <c r="D901" s="1366" t="s">
        <v>6102</v>
      </c>
      <c r="E901" s="590" t="s">
        <v>69</v>
      </c>
      <c r="F901" s="590" t="s">
        <v>70</v>
      </c>
      <c r="G901" s="591" t="s">
        <v>6103</v>
      </c>
      <c r="H901" s="590">
        <v>1</v>
      </c>
      <c r="I901" s="1428" t="s">
        <v>6104</v>
      </c>
      <c r="J901" s="590"/>
      <c r="K901" s="590" t="s">
        <v>2173</v>
      </c>
      <c r="L901" s="590"/>
      <c r="M901" s="595">
        <v>2292556</v>
      </c>
      <c r="N901" s="590" t="s">
        <v>251</v>
      </c>
      <c r="O901" s="594">
        <v>43819</v>
      </c>
      <c r="P901" s="594">
        <v>43854</v>
      </c>
      <c r="Q901" s="590"/>
      <c r="R901" s="590"/>
      <c r="S901" s="1428"/>
      <c r="T901" s="595"/>
      <c r="U901" s="595"/>
      <c r="V901" s="1484"/>
      <c r="W901" s="1484"/>
      <c r="X901" s="1484"/>
      <c r="Y901" s="595"/>
      <c r="Z901" s="595"/>
      <c r="AA901" s="590"/>
      <c r="AB901" s="590"/>
      <c r="AC901" s="590"/>
      <c r="AD901" s="590"/>
      <c r="AE901" s="590"/>
      <c r="AF901" s="390"/>
      <c r="AG901" s="390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S901" s="9"/>
    </row>
    <row r="902" spans="1:45">
      <c r="A902" s="9"/>
      <c r="B902" s="9"/>
      <c r="C902" s="594">
        <v>43808</v>
      </c>
      <c r="D902" s="1366" t="s">
        <v>6102</v>
      </c>
      <c r="E902" s="590" t="s">
        <v>69</v>
      </c>
      <c r="F902" s="590" t="s">
        <v>70</v>
      </c>
      <c r="G902" s="591" t="s">
        <v>6103</v>
      </c>
      <c r="H902" s="590">
        <v>2</v>
      </c>
      <c r="I902" s="1428" t="s">
        <v>6105</v>
      </c>
      <c r="J902" s="590"/>
      <c r="K902" s="590" t="s">
        <v>2173</v>
      </c>
      <c r="L902" s="590"/>
      <c r="M902" s="595">
        <v>1293742</v>
      </c>
      <c r="N902" s="590" t="s">
        <v>251</v>
      </c>
      <c r="O902" s="594">
        <v>43819</v>
      </c>
      <c r="P902" s="594">
        <v>43854</v>
      </c>
      <c r="Q902" s="590"/>
      <c r="R902" s="590"/>
      <c r="S902" s="1428"/>
      <c r="T902" s="595"/>
      <c r="U902" s="595"/>
      <c r="V902" s="1484"/>
      <c r="W902" s="1484"/>
      <c r="X902" s="1484"/>
      <c r="Y902" s="595"/>
      <c r="Z902" s="595"/>
      <c r="AA902" s="590"/>
      <c r="AB902" s="590"/>
      <c r="AC902" s="590"/>
      <c r="AD902" s="590"/>
      <c r="AE902" s="590"/>
      <c r="AF902" s="390"/>
      <c r="AG902" s="390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S902" s="9"/>
    </row>
    <row r="903" spans="1:45">
      <c r="A903" s="9"/>
      <c r="B903" s="9"/>
      <c r="C903" s="594">
        <v>43808</v>
      </c>
      <c r="D903" s="1366" t="s">
        <v>6102</v>
      </c>
      <c r="E903" s="590" t="s">
        <v>69</v>
      </c>
      <c r="F903" s="590" t="s">
        <v>70</v>
      </c>
      <c r="G903" s="591" t="s">
        <v>6103</v>
      </c>
      <c r="H903" s="590">
        <v>3</v>
      </c>
      <c r="I903" s="1428" t="s">
        <v>6106</v>
      </c>
      <c r="J903" s="590"/>
      <c r="K903" s="590" t="s">
        <v>2173</v>
      </c>
      <c r="L903" s="590"/>
      <c r="M903" s="595">
        <v>33304068</v>
      </c>
      <c r="N903" s="590" t="s">
        <v>251</v>
      </c>
      <c r="O903" s="594">
        <v>43819</v>
      </c>
      <c r="P903" s="594">
        <v>43854</v>
      </c>
      <c r="Q903" s="590"/>
      <c r="R903" s="590"/>
      <c r="S903" s="1428"/>
      <c r="T903" s="595"/>
      <c r="U903" s="595"/>
      <c r="V903" s="1484"/>
      <c r="W903" s="1484"/>
      <c r="X903" s="1484"/>
      <c r="Y903" s="595"/>
      <c r="Z903" s="595"/>
      <c r="AA903" s="590"/>
      <c r="AB903" s="590"/>
      <c r="AC903" s="590"/>
      <c r="AD903" s="590"/>
      <c r="AE903" s="590"/>
      <c r="AF903" s="390"/>
      <c r="AG903" s="390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S903" s="9"/>
    </row>
    <row r="904" spans="1:45">
      <c r="A904" s="9"/>
      <c r="B904" s="9"/>
      <c r="C904" s="594">
        <v>43808</v>
      </c>
      <c r="D904" s="1366" t="s">
        <v>6102</v>
      </c>
      <c r="E904" s="590" t="s">
        <v>69</v>
      </c>
      <c r="F904" s="590" t="s">
        <v>70</v>
      </c>
      <c r="G904" s="591" t="s">
        <v>6103</v>
      </c>
      <c r="H904" s="590">
        <v>4</v>
      </c>
      <c r="I904" s="1428" t="s">
        <v>6107</v>
      </c>
      <c r="J904" s="590"/>
      <c r="K904" s="590" t="s">
        <v>2173</v>
      </c>
      <c r="L904" s="590"/>
      <c r="M904" s="595">
        <v>2244322</v>
      </c>
      <c r="N904" s="590" t="s">
        <v>251</v>
      </c>
      <c r="O904" s="594">
        <v>43819</v>
      </c>
      <c r="P904" s="594">
        <v>43854</v>
      </c>
      <c r="Q904" s="590"/>
      <c r="R904" s="590"/>
      <c r="S904" s="1428"/>
      <c r="T904" s="595"/>
      <c r="U904" s="595"/>
      <c r="V904" s="1484"/>
      <c r="W904" s="1484"/>
      <c r="X904" s="1484"/>
      <c r="Y904" s="595"/>
      <c r="Z904" s="595"/>
      <c r="AA904" s="590"/>
      <c r="AB904" s="590"/>
      <c r="AC904" s="590"/>
      <c r="AD904" s="590"/>
      <c r="AE904" s="590"/>
      <c r="AF904" s="390"/>
      <c r="AG904" s="390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S904" s="9"/>
    </row>
    <row r="905" spans="1:45">
      <c r="A905" s="9"/>
      <c r="B905" s="9"/>
      <c r="C905" s="594">
        <v>43808</v>
      </c>
      <c r="D905" s="1366" t="s">
        <v>6102</v>
      </c>
      <c r="E905" s="590" t="s">
        <v>69</v>
      </c>
      <c r="F905" s="590" t="s">
        <v>70</v>
      </c>
      <c r="G905" s="591" t="s">
        <v>6103</v>
      </c>
      <c r="H905" s="590">
        <v>5</v>
      </c>
      <c r="I905" s="1428" t="s">
        <v>6108</v>
      </c>
      <c r="J905" s="590"/>
      <c r="K905" s="590" t="s">
        <v>2173</v>
      </c>
      <c r="L905" s="590"/>
      <c r="M905" s="595">
        <v>5023286</v>
      </c>
      <c r="N905" s="590" t="s">
        <v>251</v>
      </c>
      <c r="O905" s="594">
        <v>43819</v>
      </c>
      <c r="P905" s="594">
        <v>43854</v>
      </c>
      <c r="Q905" s="590"/>
      <c r="R905" s="590"/>
      <c r="S905" s="1428"/>
      <c r="T905" s="595"/>
      <c r="U905" s="595"/>
      <c r="V905" s="1484"/>
      <c r="W905" s="1484"/>
      <c r="X905" s="1484"/>
      <c r="Y905" s="595"/>
      <c r="Z905" s="595"/>
      <c r="AA905" s="590"/>
      <c r="AB905" s="590"/>
      <c r="AC905" s="590"/>
      <c r="AD905" s="590"/>
      <c r="AE905" s="590"/>
      <c r="AF905" s="390"/>
      <c r="AG905" s="390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S905" s="9"/>
    </row>
    <row r="906" spans="1:45">
      <c r="A906" s="9"/>
      <c r="B906" s="9"/>
      <c r="C906" s="1390">
        <v>43810</v>
      </c>
      <c r="D906" s="1359" t="s">
        <v>6115</v>
      </c>
      <c r="E906" s="530" t="s">
        <v>1032</v>
      </c>
      <c r="F906" s="530" t="s">
        <v>361</v>
      </c>
      <c r="G906" s="1518" t="s">
        <v>6221</v>
      </c>
      <c r="H906" s="530"/>
      <c r="I906" s="1432"/>
      <c r="J906" s="530"/>
      <c r="K906" s="1102" t="s">
        <v>1438</v>
      </c>
      <c r="L906" s="530"/>
      <c r="M906" s="533">
        <v>16259000</v>
      </c>
      <c r="N906" s="530" t="s">
        <v>251</v>
      </c>
      <c r="O906" s="530"/>
      <c r="P906" s="530"/>
      <c r="Q906" s="530"/>
      <c r="R906" s="530"/>
      <c r="S906" s="1432"/>
      <c r="T906" s="533"/>
      <c r="U906" s="533"/>
      <c r="V906" s="1487"/>
      <c r="W906" s="1487"/>
      <c r="X906" s="1487"/>
      <c r="Y906" s="533"/>
      <c r="Z906" s="533"/>
      <c r="AA906" s="530"/>
      <c r="AB906" s="530"/>
      <c r="AC906" s="530"/>
      <c r="AD906" s="530"/>
      <c r="AE906" s="530"/>
      <c r="AF906" s="390"/>
      <c r="AG906" s="390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S906" s="9"/>
    </row>
    <row r="907" spans="1:45">
      <c r="A907" s="9"/>
      <c r="B907" s="9"/>
      <c r="C907" s="594">
        <v>43810</v>
      </c>
      <c r="D907" s="1366" t="s">
        <v>6133</v>
      </c>
      <c r="E907" s="590" t="s">
        <v>58</v>
      </c>
      <c r="F907" s="590" t="s">
        <v>2684</v>
      </c>
      <c r="G907" s="591" t="s">
        <v>6134</v>
      </c>
      <c r="H907" s="590"/>
      <c r="I907" s="1428"/>
      <c r="J907" s="590"/>
      <c r="K907" s="590" t="s">
        <v>421</v>
      </c>
      <c r="L907" s="590" t="s">
        <v>6135</v>
      </c>
      <c r="M907" s="595">
        <v>1633000</v>
      </c>
      <c r="N907" s="590" t="s">
        <v>112</v>
      </c>
      <c r="O907" s="594">
        <v>43818</v>
      </c>
      <c r="P907" s="594">
        <v>43837</v>
      </c>
      <c r="Q907" s="590"/>
      <c r="R907" s="590"/>
      <c r="S907" s="1428"/>
      <c r="T907" s="595"/>
      <c r="U907" s="595"/>
      <c r="V907" s="1484"/>
      <c r="W907" s="1484"/>
      <c r="X907" s="1484"/>
      <c r="Y907" s="595"/>
      <c r="Z907" s="595"/>
      <c r="AA907" s="590"/>
      <c r="AB907" s="590"/>
      <c r="AC907" s="590"/>
      <c r="AD907" s="590"/>
      <c r="AE907" s="590"/>
      <c r="AF907" s="390"/>
      <c r="AG907" s="390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S907" s="9"/>
    </row>
    <row r="908" spans="1:45">
      <c r="A908" s="9"/>
      <c r="B908" s="9"/>
      <c r="C908" s="1390">
        <v>43812</v>
      </c>
      <c r="D908" s="1359" t="s">
        <v>6136</v>
      </c>
      <c r="E908" s="530" t="s">
        <v>58</v>
      </c>
      <c r="F908" s="530" t="s">
        <v>2684</v>
      </c>
      <c r="G908" s="1518" t="s">
        <v>6137</v>
      </c>
      <c r="H908" s="530"/>
      <c r="I908" s="1432"/>
      <c r="J908" s="530"/>
      <c r="K908" s="1102" t="s">
        <v>6138</v>
      </c>
      <c r="L908" s="530" t="s">
        <v>6139</v>
      </c>
      <c r="M908" s="533">
        <v>785500</v>
      </c>
      <c r="N908" s="530" t="s">
        <v>112</v>
      </c>
      <c r="O908" s="530"/>
      <c r="P908" s="530"/>
      <c r="Q908" s="530"/>
      <c r="R908" s="530"/>
      <c r="S908" s="1432"/>
      <c r="T908" s="533"/>
      <c r="U908" s="533"/>
      <c r="V908" s="1487"/>
      <c r="W908" s="1487"/>
      <c r="X908" s="1487"/>
      <c r="Y908" s="533"/>
      <c r="Z908" s="533"/>
      <c r="AA908" s="530"/>
      <c r="AB908" s="530"/>
      <c r="AC908" s="530"/>
      <c r="AD908" s="530"/>
      <c r="AE908" s="530"/>
      <c r="AF908" s="390"/>
      <c r="AG908" s="390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S908" s="9"/>
    </row>
    <row r="909" spans="1:45">
      <c r="A909" s="9"/>
      <c r="B909" s="9"/>
      <c r="C909" s="1843">
        <v>43811</v>
      </c>
      <c r="D909" s="1844" t="s">
        <v>6141</v>
      </c>
      <c r="E909" s="1552" t="s">
        <v>58</v>
      </c>
      <c r="F909" s="1552" t="s">
        <v>2684</v>
      </c>
      <c r="G909" s="1845" t="s">
        <v>6142</v>
      </c>
      <c r="H909" s="1552"/>
      <c r="I909" s="1846"/>
      <c r="J909" s="1552"/>
      <c r="K909" s="1552" t="s">
        <v>421</v>
      </c>
      <c r="L909" s="1552" t="s">
        <v>6140</v>
      </c>
      <c r="M909" s="1847">
        <v>330000</v>
      </c>
      <c r="N909" s="1552" t="s">
        <v>112</v>
      </c>
      <c r="O909" s="1552"/>
      <c r="P909" s="1552"/>
      <c r="Q909" s="1552"/>
      <c r="R909" s="1552"/>
      <c r="S909" s="1846"/>
      <c r="T909" s="1847"/>
      <c r="U909" s="1847"/>
      <c r="V909" s="1800"/>
      <c r="W909" s="1800"/>
      <c r="X909" s="1800"/>
      <c r="Y909" s="1847"/>
      <c r="Z909" s="1847"/>
      <c r="AA909" s="1552"/>
      <c r="AB909" s="1552"/>
      <c r="AC909" s="1552"/>
      <c r="AD909" s="1552"/>
      <c r="AE909" s="1552"/>
      <c r="AF909" s="390"/>
      <c r="AG909" s="390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S909" s="9"/>
    </row>
    <row r="910" spans="1:45">
      <c r="A910" s="9"/>
      <c r="B910" s="9"/>
      <c r="C910" s="1390">
        <v>43810</v>
      </c>
      <c r="D910" s="1359" t="s">
        <v>6144</v>
      </c>
      <c r="E910" s="530" t="s">
        <v>58</v>
      </c>
      <c r="F910" s="530" t="s">
        <v>2684</v>
      </c>
      <c r="G910" s="1518" t="s">
        <v>6145</v>
      </c>
      <c r="H910" s="530"/>
      <c r="I910" s="1432"/>
      <c r="J910" s="530"/>
      <c r="K910" s="1102" t="s">
        <v>6143</v>
      </c>
      <c r="L910" s="530"/>
      <c r="M910" s="533">
        <v>1362000</v>
      </c>
      <c r="N910" s="530" t="s">
        <v>112</v>
      </c>
      <c r="O910" s="530"/>
      <c r="P910" s="530"/>
      <c r="Q910" s="530"/>
      <c r="R910" s="530"/>
      <c r="S910" s="1432"/>
      <c r="T910" s="533"/>
      <c r="U910" s="533"/>
      <c r="V910" s="1487"/>
      <c r="W910" s="1487"/>
      <c r="X910" s="1487"/>
      <c r="Y910" s="533"/>
      <c r="Z910" s="533"/>
      <c r="AA910" s="530"/>
      <c r="AB910" s="530"/>
      <c r="AC910" s="530"/>
      <c r="AD910" s="530"/>
      <c r="AE910" s="530"/>
      <c r="AF910" s="390"/>
      <c r="AG910" s="390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S910" s="9"/>
    </row>
    <row r="911" spans="1:45">
      <c r="A911" s="9"/>
      <c r="B911" s="9"/>
      <c r="C911" s="594">
        <v>43809</v>
      </c>
      <c r="D911" s="1366" t="s">
        <v>6146</v>
      </c>
      <c r="E911" s="590" t="s">
        <v>52</v>
      </c>
      <c r="F911" s="590" t="s">
        <v>3670</v>
      </c>
      <c r="G911" s="591" t="s">
        <v>6147</v>
      </c>
      <c r="H911" s="590"/>
      <c r="I911" s="1428"/>
      <c r="J911" s="590"/>
      <c r="K911" s="853" t="s">
        <v>3140</v>
      </c>
      <c r="L911" s="590"/>
      <c r="M911" s="595">
        <v>4500000</v>
      </c>
      <c r="N911" s="590" t="s">
        <v>112</v>
      </c>
      <c r="O911" s="594">
        <v>43829</v>
      </c>
      <c r="P911" s="594">
        <v>43844</v>
      </c>
      <c r="Q911" s="590"/>
      <c r="R911" s="590"/>
      <c r="S911" s="1428"/>
      <c r="T911" s="595"/>
      <c r="U911" s="595"/>
      <c r="V911" s="1484"/>
      <c r="W911" s="1484"/>
      <c r="X911" s="1484"/>
      <c r="Y911" s="595"/>
      <c r="Z911" s="595"/>
      <c r="AA911" s="590"/>
      <c r="AB911" s="590"/>
      <c r="AC911" s="590"/>
      <c r="AD911" s="590"/>
      <c r="AE911" s="590"/>
      <c r="AF911" s="390"/>
      <c r="AG911" s="390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S911" s="9"/>
    </row>
    <row r="912" spans="1:45">
      <c r="A912" s="9"/>
      <c r="B912" s="9"/>
      <c r="C912" s="1390">
        <v>43811</v>
      </c>
      <c r="D912" s="1359" t="s">
        <v>6150</v>
      </c>
      <c r="E912" s="530" t="s">
        <v>1032</v>
      </c>
      <c r="F912" s="530" t="s">
        <v>361</v>
      </c>
      <c r="G912" s="1518" t="s">
        <v>6151</v>
      </c>
      <c r="H912" s="530"/>
      <c r="I912" s="1432"/>
      <c r="J912" s="530"/>
      <c r="K912" s="1078" t="s">
        <v>6148</v>
      </c>
      <c r="L912" s="530" t="s">
        <v>6149</v>
      </c>
      <c r="M912" s="533">
        <v>538000</v>
      </c>
      <c r="N912" s="530" t="s">
        <v>112</v>
      </c>
      <c r="O912" s="530"/>
      <c r="P912" s="530"/>
      <c r="Q912" s="530"/>
      <c r="R912" s="530"/>
      <c r="S912" s="1432"/>
      <c r="T912" s="533"/>
      <c r="U912" s="533"/>
      <c r="V912" s="1487"/>
      <c r="W912" s="1487"/>
      <c r="X912" s="1487"/>
      <c r="Y912" s="533"/>
      <c r="Z912" s="533"/>
      <c r="AA912" s="530"/>
      <c r="AB912" s="530"/>
      <c r="AC912" s="530"/>
      <c r="AD912" s="530"/>
      <c r="AE912" s="530"/>
      <c r="AF912" s="390"/>
      <c r="AG912" s="390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S912" s="9"/>
    </row>
    <row r="913" spans="1:45">
      <c r="A913" s="9"/>
      <c r="B913" s="9"/>
      <c r="C913" s="1390">
        <v>43812</v>
      </c>
      <c r="D913" s="1359" t="s">
        <v>6153</v>
      </c>
      <c r="E913" s="530" t="s">
        <v>1032</v>
      </c>
      <c r="F913" s="530" t="s">
        <v>1033</v>
      </c>
      <c r="G913" s="1518" t="s">
        <v>6219</v>
      </c>
      <c r="H913" s="530"/>
      <c r="I913" s="1432"/>
      <c r="J913" s="530"/>
      <c r="K913" s="1078" t="s">
        <v>6152</v>
      </c>
      <c r="L913" s="530" t="s">
        <v>6155</v>
      </c>
      <c r="M913" s="533">
        <v>5990000</v>
      </c>
      <c r="N913" s="530" t="s">
        <v>112</v>
      </c>
      <c r="O913" s="530"/>
      <c r="P913" s="530"/>
      <c r="Q913" s="530"/>
      <c r="R913" s="530"/>
      <c r="S913" s="1432"/>
      <c r="T913" s="533"/>
      <c r="U913" s="533"/>
      <c r="V913" s="1487"/>
      <c r="W913" s="1487"/>
      <c r="X913" s="1487"/>
      <c r="Y913" s="533"/>
      <c r="Z913" s="533"/>
      <c r="AA913" s="530"/>
      <c r="AB913" s="530"/>
      <c r="AC913" s="530"/>
      <c r="AD913" s="530"/>
      <c r="AE913" s="530"/>
      <c r="AF913" s="390"/>
      <c r="AG913" s="390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S913" s="9"/>
    </row>
    <row r="914" spans="1:45">
      <c r="A914" s="9"/>
      <c r="B914" s="9"/>
      <c r="C914" s="594">
        <v>43816</v>
      </c>
      <c r="D914" s="1366" t="s">
        <v>6160</v>
      </c>
      <c r="E914" s="590" t="s">
        <v>14</v>
      </c>
      <c r="F914" s="590" t="s">
        <v>13</v>
      </c>
      <c r="G914" s="591" t="s">
        <v>6161</v>
      </c>
      <c r="H914" s="590"/>
      <c r="I914" s="1428"/>
      <c r="J914" s="590"/>
      <c r="K914" s="590" t="s">
        <v>2055</v>
      </c>
      <c r="L914" s="590"/>
      <c r="M914" s="595">
        <v>910800</v>
      </c>
      <c r="N914" s="590" t="s">
        <v>112</v>
      </c>
      <c r="O914" s="594">
        <v>43826</v>
      </c>
      <c r="P914" s="594">
        <v>43840</v>
      </c>
      <c r="Q914" s="590"/>
      <c r="R914" s="590"/>
      <c r="S914" s="1428"/>
      <c r="T914" s="595"/>
      <c r="U914" s="595"/>
      <c r="V914" s="1484"/>
      <c r="W914" s="1484"/>
      <c r="X914" s="1484"/>
      <c r="Y914" s="595"/>
      <c r="Z914" s="595"/>
      <c r="AA914" s="590"/>
      <c r="AB914" s="590"/>
      <c r="AC914" s="590"/>
      <c r="AD914" s="590"/>
      <c r="AE914" s="590"/>
      <c r="AF914" s="390"/>
      <c r="AG914" s="390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S914" s="9"/>
    </row>
    <row r="915" spans="1:45">
      <c r="A915" s="9"/>
      <c r="B915" s="9"/>
      <c r="C915" s="594">
        <v>43815</v>
      </c>
      <c r="D915" s="1366" t="s">
        <v>6169</v>
      </c>
      <c r="E915" s="590" t="s">
        <v>69</v>
      </c>
      <c r="F915" s="590" t="s">
        <v>70</v>
      </c>
      <c r="G915" s="591" t="s">
        <v>6162</v>
      </c>
      <c r="H915" s="590">
        <v>1</v>
      </c>
      <c r="I915" s="1428" t="s">
        <v>6163</v>
      </c>
      <c r="J915" s="590"/>
      <c r="K915" s="590" t="s">
        <v>93</v>
      </c>
      <c r="L915" s="590"/>
      <c r="M915" s="595">
        <v>9044345</v>
      </c>
      <c r="N915" s="590" t="s">
        <v>251</v>
      </c>
      <c r="O915" s="594">
        <v>43822</v>
      </c>
      <c r="P915" s="594">
        <v>43857</v>
      </c>
      <c r="Q915" s="590"/>
      <c r="R915" s="590"/>
      <c r="S915" s="1428"/>
      <c r="T915" s="595"/>
      <c r="U915" s="595"/>
      <c r="V915" s="1484"/>
      <c r="W915" s="1484"/>
      <c r="X915" s="1484"/>
      <c r="Y915" s="595"/>
      <c r="Z915" s="595"/>
      <c r="AA915" s="590"/>
      <c r="AB915" s="590"/>
      <c r="AC915" s="590"/>
      <c r="AD915" s="590"/>
      <c r="AE915" s="590"/>
      <c r="AF915" s="390"/>
      <c r="AG915" s="390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S915" s="9"/>
    </row>
    <row r="916" spans="1:45">
      <c r="A916" s="9"/>
      <c r="B916" s="9"/>
      <c r="C916" s="594">
        <v>43815</v>
      </c>
      <c r="D916" s="1366" t="s">
        <v>6169</v>
      </c>
      <c r="E916" s="590" t="s">
        <v>69</v>
      </c>
      <c r="F916" s="590" t="s">
        <v>70</v>
      </c>
      <c r="G916" s="591" t="s">
        <v>6162</v>
      </c>
      <c r="H916" s="590">
        <v>2</v>
      </c>
      <c r="I916" s="1428" t="s">
        <v>6164</v>
      </c>
      <c r="J916" s="590"/>
      <c r="K916" s="590" t="s">
        <v>93</v>
      </c>
      <c r="L916" s="590"/>
      <c r="M916" s="595">
        <v>48895034</v>
      </c>
      <c r="N916" s="590" t="s">
        <v>251</v>
      </c>
      <c r="O916" s="594">
        <v>43822</v>
      </c>
      <c r="P916" s="594">
        <v>43857</v>
      </c>
      <c r="Q916" s="590"/>
      <c r="R916" s="590"/>
      <c r="S916" s="1428"/>
      <c r="T916" s="595"/>
      <c r="U916" s="595"/>
      <c r="V916" s="1484"/>
      <c r="W916" s="1484"/>
      <c r="X916" s="1484"/>
      <c r="Y916" s="595"/>
      <c r="Z916" s="595"/>
      <c r="AA916" s="590"/>
      <c r="AB916" s="590"/>
      <c r="AC916" s="590"/>
      <c r="AD916" s="590"/>
      <c r="AE916" s="590"/>
      <c r="AF916" s="390"/>
      <c r="AG916" s="390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S916" s="9"/>
    </row>
    <row r="917" spans="1:45">
      <c r="A917" s="9"/>
      <c r="B917" s="9"/>
      <c r="C917" s="594">
        <v>43815</v>
      </c>
      <c r="D917" s="1366" t="s">
        <v>6169</v>
      </c>
      <c r="E917" s="590" t="s">
        <v>69</v>
      </c>
      <c r="F917" s="590" t="s">
        <v>70</v>
      </c>
      <c r="G917" s="591" t="s">
        <v>6162</v>
      </c>
      <c r="H917" s="590">
        <v>3</v>
      </c>
      <c r="I917" s="1428" t="s">
        <v>6165</v>
      </c>
      <c r="J917" s="590"/>
      <c r="K917" s="590" t="s">
        <v>93</v>
      </c>
      <c r="L917" s="590"/>
      <c r="M917" s="595">
        <v>15048787</v>
      </c>
      <c r="N917" s="590" t="s">
        <v>251</v>
      </c>
      <c r="O917" s="594">
        <v>43822</v>
      </c>
      <c r="P917" s="594">
        <v>43857</v>
      </c>
      <c r="Q917" s="590"/>
      <c r="R917" s="590"/>
      <c r="S917" s="1428"/>
      <c r="T917" s="595"/>
      <c r="U917" s="595"/>
      <c r="V917" s="1484"/>
      <c r="W917" s="1484"/>
      <c r="X917" s="1484"/>
      <c r="Y917" s="595"/>
      <c r="Z917" s="595"/>
      <c r="AA917" s="590"/>
      <c r="AB917" s="590"/>
      <c r="AC917" s="590"/>
      <c r="AD917" s="590"/>
      <c r="AE917" s="590"/>
      <c r="AF917" s="390"/>
      <c r="AG917" s="390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S917" s="9"/>
    </row>
    <row r="918" spans="1:45">
      <c r="A918" s="9"/>
      <c r="B918" s="9"/>
      <c r="C918" s="594">
        <v>43815</v>
      </c>
      <c r="D918" s="1366" t="s">
        <v>6169</v>
      </c>
      <c r="E918" s="590" t="s">
        <v>69</v>
      </c>
      <c r="F918" s="590" t="s">
        <v>70</v>
      </c>
      <c r="G918" s="591" t="s">
        <v>6162</v>
      </c>
      <c r="H918" s="590">
        <v>4</v>
      </c>
      <c r="I918" s="1428" t="s">
        <v>6166</v>
      </c>
      <c r="J918" s="590"/>
      <c r="K918" s="590" t="s">
        <v>93</v>
      </c>
      <c r="L918" s="590"/>
      <c r="M918" s="595">
        <v>26372808</v>
      </c>
      <c r="N918" s="590" t="s">
        <v>251</v>
      </c>
      <c r="O918" s="594">
        <v>43822</v>
      </c>
      <c r="P918" s="594">
        <v>43857</v>
      </c>
      <c r="Q918" s="590"/>
      <c r="R918" s="590"/>
      <c r="S918" s="1428"/>
      <c r="T918" s="595"/>
      <c r="U918" s="595"/>
      <c r="V918" s="1484"/>
      <c r="W918" s="1484"/>
      <c r="X918" s="1484"/>
      <c r="Y918" s="595"/>
      <c r="Z918" s="595"/>
      <c r="AA918" s="590"/>
      <c r="AB918" s="590"/>
      <c r="AC918" s="590"/>
      <c r="AD918" s="590"/>
      <c r="AE918" s="590"/>
      <c r="AF918" s="390"/>
      <c r="AG918" s="390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S918" s="9"/>
    </row>
    <row r="919" spans="1:45">
      <c r="A919" s="9"/>
      <c r="B919" s="9"/>
      <c r="C919" s="594">
        <v>43815</v>
      </c>
      <c r="D919" s="1366" t="s">
        <v>6169</v>
      </c>
      <c r="E919" s="590" t="s">
        <v>69</v>
      </c>
      <c r="F919" s="590" t="s">
        <v>70</v>
      </c>
      <c r="G919" s="591" t="s">
        <v>6162</v>
      </c>
      <c r="H919" s="590">
        <v>5</v>
      </c>
      <c r="I919" s="1428" t="s">
        <v>6167</v>
      </c>
      <c r="J919" s="590"/>
      <c r="K919" s="590" t="s">
        <v>93</v>
      </c>
      <c r="L919" s="590"/>
      <c r="M919" s="595">
        <v>2377087</v>
      </c>
      <c r="N919" s="590" t="s">
        <v>251</v>
      </c>
      <c r="O919" s="594">
        <v>43822</v>
      </c>
      <c r="P919" s="594">
        <v>43857</v>
      </c>
      <c r="Q919" s="590"/>
      <c r="R919" s="590"/>
      <c r="S919" s="1428"/>
      <c r="T919" s="595"/>
      <c r="U919" s="595"/>
      <c r="V919" s="1484"/>
      <c r="W919" s="1484"/>
      <c r="X919" s="1484"/>
      <c r="Y919" s="595"/>
      <c r="Z919" s="595"/>
      <c r="AA919" s="590"/>
      <c r="AB919" s="590"/>
      <c r="AC919" s="590"/>
      <c r="AD919" s="590"/>
      <c r="AE919" s="590"/>
      <c r="AF919" s="390"/>
      <c r="AG919" s="390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S919" s="9"/>
    </row>
    <row r="920" spans="1:45">
      <c r="A920" s="9"/>
      <c r="B920" s="9"/>
      <c r="C920" s="594">
        <v>43815</v>
      </c>
      <c r="D920" s="1366" t="s">
        <v>6169</v>
      </c>
      <c r="E920" s="590" t="s">
        <v>69</v>
      </c>
      <c r="F920" s="590" t="s">
        <v>70</v>
      </c>
      <c r="G920" s="591" t="s">
        <v>6162</v>
      </c>
      <c r="H920" s="590">
        <v>6</v>
      </c>
      <c r="I920" s="1428" t="s">
        <v>6168</v>
      </c>
      <c r="J920" s="590"/>
      <c r="K920" s="590" t="s">
        <v>93</v>
      </c>
      <c r="L920" s="590"/>
      <c r="M920" s="595">
        <v>304833</v>
      </c>
      <c r="N920" s="590" t="s">
        <v>251</v>
      </c>
      <c r="O920" s="594">
        <v>43822</v>
      </c>
      <c r="P920" s="594">
        <v>43857</v>
      </c>
      <c r="Q920" s="590"/>
      <c r="R920" s="590"/>
      <c r="S920" s="1428"/>
      <c r="T920" s="595"/>
      <c r="U920" s="595"/>
      <c r="V920" s="1484"/>
      <c r="W920" s="1484"/>
      <c r="X920" s="1484"/>
      <c r="Y920" s="595"/>
      <c r="Z920" s="595"/>
      <c r="AA920" s="590"/>
      <c r="AB920" s="590"/>
      <c r="AC920" s="590"/>
      <c r="AD920" s="590"/>
      <c r="AE920" s="590"/>
      <c r="AF920" s="390"/>
      <c r="AG920" s="390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S920" s="9"/>
    </row>
    <row r="921" spans="1:45">
      <c r="A921" s="9"/>
      <c r="B921" s="9"/>
      <c r="C921" s="594">
        <v>43815</v>
      </c>
      <c r="D921" s="1366" t="s">
        <v>6200</v>
      </c>
      <c r="E921" s="590" t="s">
        <v>2111</v>
      </c>
      <c r="F921" s="590" t="s">
        <v>4440</v>
      </c>
      <c r="G921" s="591" t="s">
        <v>3443</v>
      </c>
      <c r="H921" s="590"/>
      <c r="I921" s="1428"/>
      <c r="J921" s="590"/>
      <c r="K921" s="590" t="s">
        <v>2824</v>
      </c>
      <c r="L921" s="590"/>
      <c r="M921" s="595">
        <v>1993000</v>
      </c>
      <c r="N921" s="590" t="s">
        <v>112</v>
      </c>
      <c r="O921" s="594">
        <v>43829</v>
      </c>
      <c r="P921" s="594">
        <v>43840</v>
      </c>
      <c r="Q921" s="590"/>
      <c r="R921" s="590"/>
      <c r="S921" s="1428"/>
      <c r="T921" s="595"/>
      <c r="U921" s="595"/>
      <c r="V921" s="1484"/>
      <c r="W921" s="1484"/>
      <c r="X921" s="1484"/>
      <c r="Y921" s="595"/>
      <c r="Z921" s="595"/>
      <c r="AA921" s="590"/>
      <c r="AB921" s="590"/>
      <c r="AC921" s="590"/>
      <c r="AD921" s="590"/>
      <c r="AE921" s="590"/>
      <c r="AF921" s="390"/>
      <c r="AG921" s="390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S921" s="9"/>
    </row>
    <row r="922" spans="1:45">
      <c r="A922" s="9"/>
      <c r="B922" s="9"/>
      <c r="C922" s="1843">
        <v>43818</v>
      </c>
      <c r="D922" s="1844" t="s">
        <v>6174</v>
      </c>
      <c r="E922" s="1552" t="s">
        <v>2111</v>
      </c>
      <c r="F922" s="1552" t="s">
        <v>4440</v>
      </c>
      <c r="G922" s="1845" t="s">
        <v>6175</v>
      </c>
      <c r="H922" s="1552"/>
      <c r="I922" s="1846"/>
      <c r="J922" s="1552"/>
      <c r="K922" s="1552" t="s">
        <v>3495</v>
      </c>
      <c r="L922" s="1552"/>
      <c r="M922" s="1847">
        <v>900000</v>
      </c>
      <c r="N922" s="1552" t="s">
        <v>112</v>
      </c>
      <c r="O922" s="1552"/>
      <c r="P922" s="1552"/>
      <c r="Q922" s="1552"/>
      <c r="R922" s="1552"/>
      <c r="S922" s="1846"/>
      <c r="T922" s="1847"/>
      <c r="U922" s="1847"/>
      <c r="V922" s="1800"/>
      <c r="W922" s="1800"/>
      <c r="X922" s="1800"/>
      <c r="Y922" s="1847"/>
      <c r="Z922" s="1847"/>
      <c r="AA922" s="1552"/>
      <c r="AB922" s="1552"/>
      <c r="AC922" s="1552"/>
      <c r="AD922" s="1552"/>
      <c r="AE922" s="1552"/>
      <c r="AF922" s="390"/>
      <c r="AG922" s="390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S922" s="9"/>
    </row>
    <row r="923" spans="1:45">
      <c r="A923" s="9"/>
      <c r="B923" s="9"/>
      <c r="C923" s="530"/>
      <c r="D923" s="1359"/>
      <c r="E923" s="530"/>
      <c r="F923" s="530"/>
      <c r="G923" s="1518"/>
      <c r="H923" s="530"/>
      <c r="I923" s="1432"/>
      <c r="J923" s="530"/>
      <c r="K923" s="1102"/>
      <c r="L923" s="530"/>
      <c r="M923" s="533"/>
      <c r="N923" s="530"/>
      <c r="O923" s="530"/>
      <c r="P923" s="530"/>
      <c r="Q923" s="530"/>
      <c r="R923" s="530"/>
      <c r="S923" s="1432"/>
      <c r="T923" s="533"/>
      <c r="U923" s="533"/>
      <c r="V923" s="1487"/>
      <c r="W923" s="1487"/>
      <c r="X923" s="1487"/>
      <c r="Y923" s="533"/>
      <c r="Z923" s="533"/>
      <c r="AA923" s="530"/>
      <c r="AB923" s="530"/>
      <c r="AC923" s="530"/>
      <c r="AD923" s="530"/>
      <c r="AE923" s="530"/>
      <c r="AF923" s="390"/>
      <c r="AG923" s="390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S923" s="9"/>
    </row>
    <row r="924" spans="1:45">
      <c r="A924" s="9"/>
      <c r="B924" s="9"/>
      <c r="C924" s="530"/>
      <c r="D924" s="1359"/>
      <c r="E924" s="530"/>
      <c r="F924" s="530"/>
      <c r="G924" s="1518"/>
      <c r="H924" s="530"/>
      <c r="I924" s="1432"/>
      <c r="J924" s="530"/>
      <c r="K924" s="1102"/>
      <c r="L924" s="530"/>
      <c r="M924" s="533"/>
      <c r="N924" s="530"/>
      <c r="O924" s="530"/>
      <c r="P924" s="530"/>
      <c r="Q924" s="530"/>
      <c r="R924" s="530"/>
      <c r="S924" s="1432"/>
      <c r="T924" s="533"/>
      <c r="U924" s="533"/>
      <c r="V924" s="1487"/>
      <c r="W924" s="1487"/>
      <c r="X924" s="1487"/>
      <c r="Y924" s="533"/>
      <c r="Z924" s="533"/>
      <c r="AA924" s="530"/>
      <c r="AB924" s="530"/>
      <c r="AC924" s="530"/>
      <c r="AD924" s="530"/>
      <c r="AE924" s="530"/>
      <c r="AF924" s="390"/>
      <c r="AG924" s="390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S924" s="9"/>
    </row>
    <row r="925" spans="1:45">
      <c r="A925" s="9"/>
      <c r="B925" s="9"/>
      <c r="C925" s="530"/>
      <c r="D925" s="1359"/>
      <c r="E925" s="530"/>
      <c r="F925" s="530"/>
      <c r="G925" s="1518"/>
      <c r="H925" s="530"/>
      <c r="I925" s="1432"/>
      <c r="J925" s="530"/>
      <c r="K925" s="1102"/>
      <c r="L925" s="530"/>
      <c r="M925" s="533"/>
      <c r="N925" s="530"/>
      <c r="O925" s="530"/>
      <c r="P925" s="530"/>
      <c r="Q925" s="530"/>
      <c r="R925" s="530"/>
      <c r="S925" s="1432"/>
      <c r="T925" s="533"/>
      <c r="U925" s="533"/>
      <c r="V925" s="1487"/>
      <c r="W925" s="1487"/>
      <c r="X925" s="1487"/>
      <c r="Y925" s="533"/>
      <c r="Z925" s="533"/>
      <c r="AA925" s="530"/>
      <c r="AB925" s="530"/>
      <c r="AC925" s="530"/>
      <c r="AD925" s="530"/>
      <c r="AE925" s="530"/>
      <c r="AF925" s="390"/>
      <c r="AG925" s="390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S925" s="9"/>
    </row>
    <row r="926" spans="1:45">
      <c r="A926" s="9"/>
      <c r="B926" s="9"/>
      <c r="C926" s="530"/>
      <c r="D926" s="1359"/>
      <c r="E926" s="530"/>
      <c r="F926" s="530"/>
      <c r="G926" s="1518"/>
      <c r="H926" s="530"/>
      <c r="I926" s="1432"/>
      <c r="J926" s="530"/>
      <c r="K926" s="1102"/>
      <c r="L926" s="530"/>
      <c r="M926" s="533"/>
      <c r="N926" s="530"/>
      <c r="O926" s="530"/>
      <c r="P926" s="530"/>
      <c r="Q926" s="530"/>
      <c r="R926" s="530"/>
      <c r="S926" s="1432"/>
      <c r="T926" s="533"/>
      <c r="U926" s="533"/>
      <c r="V926" s="1487"/>
      <c r="W926" s="1487"/>
      <c r="X926" s="1487"/>
      <c r="Y926" s="533"/>
      <c r="Z926" s="533"/>
      <c r="AA926" s="530"/>
      <c r="AB926" s="530"/>
      <c r="AC926" s="530"/>
      <c r="AD926" s="530"/>
      <c r="AE926" s="530"/>
      <c r="AF926" s="390"/>
      <c r="AG926" s="390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S926" s="9"/>
    </row>
    <row r="927" spans="1:45">
      <c r="A927" s="9"/>
      <c r="B927" s="9"/>
      <c r="C927" s="530"/>
      <c r="D927" s="1359"/>
      <c r="E927" s="530"/>
      <c r="F927" s="530"/>
      <c r="G927" s="1518"/>
      <c r="H927" s="530"/>
      <c r="I927" s="1432"/>
      <c r="J927" s="530"/>
      <c r="K927" s="1102"/>
      <c r="L927" s="530"/>
      <c r="M927" s="533"/>
      <c r="N927" s="530"/>
      <c r="O927" s="530"/>
      <c r="P927" s="530"/>
      <c r="Q927" s="530"/>
      <c r="R927" s="530"/>
      <c r="S927" s="1432"/>
      <c r="T927" s="533"/>
      <c r="U927" s="533"/>
      <c r="V927" s="1487"/>
      <c r="W927" s="1487"/>
      <c r="X927" s="1487"/>
      <c r="Y927" s="533"/>
      <c r="Z927" s="533"/>
      <c r="AA927" s="530"/>
      <c r="AB927" s="530"/>
      <c r="AC927" s="530"/>
      <c r="AD927" s="530"/>
      <c r="AE927" s="530"/>
      <c r="AF927" s="390"/>
      <c r="AG927" s="390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S927" s="9"/>
    </row>
    <row r="928" spans="1:45">
      <c r="A928" s="9"/>
      <c r="B928" s="9"/>
      <c r="C928" s="530"/>
      <c r="D928" s="1359"/>
      <c r="E928" s="530"/>
      <c r="F928" s="530"/>
      <c r="G928" s="1518"/>
      <c r="H928" s="530"/>
      <c r="I928" s="1432"/>
      <c r="J928" s="530"/>
      <c r="K928" s="1102"/>
      <c r="L928" s="530"/>
      <c r="M928" s="533"/>
      <c r="N928" s="530"/>
      <c r="O928" s="530"/>
      <c r="P928" s="530"/>
      <c r="Q928" s="530"/>
      <c r="R928" s="530"/>
      <c r="S928" s="1432"/>
      <c r="T928" s="533"/>
      <c r="U928" s="533"/>
      <c r="V928" s="1487"/>
      <c r="W928" s="1487"/>
      <c r="X928" s="1487"/>
      <c r="Y928" s="533"/>
      <c r="Z928" s="533"/>
      <c r="AA928" s="530"/>
      <c r="AB928" s="530"/>
      <c r="AC928" s="530"/>
      <c r="AD928" s="530"/>
      <c r="AE928" s="530"/>
      <c r="AF928" s="390"/>
      <c r="AG928" s="390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S928" s="9"/>
    </row>
    <row r="929" spans="1:45">
      <c r="A929" s="9"/>
      <c r="B929" s="9"/>
      <c r="C929" s="530"/>
      <c r="D929" s="1359"/>
      <c r="E929" s="530"/>
      <c r="F929" s="530"/>
      <c r="G929" s="1518"/>
      <c r="H929" s="530"/>
      <c r="I929" s="1432"/>
      <c r="J929" s="530"/>
      <c r="K929" s="1102"/>
      <c r="L929" s="530"/>
      <c r="M929" s="533"/>
      <c r="N929" s="530"/>
      <c r="O929" s="530"/>
      <c r="P929" s="530"/>
      <c r="Q929" s="530"/>
      <c r="R929" s="530"/>
      <c r="S929" s="1432"/>
      <c r="T929" s="533"/>
      <c r="U929" s="533"/>
      <c r="V929" s="1487"/>
      <c r="W929" s="1487"/>
      <c r="X929" s="1487"/>
      <c r="Y929" s="533"/>
      <c r="Z929" s="533"/>
      <c r="AA929" s="530"/>
      <c r="AB929" s="530"/>
      <c r="AC929" s="530"/>
      <c r="AD929" s="530"/>
      <c r="AE929" s="530"/>
      <c r="AF929" s="390"/>
      <c r="AG929" s="390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S929" s="9"/>
    </row>
    <row r="930" spans="1:45">
      <c r="A930" s="9"/>
      <c r="B930" s="9"/>
      <c r="C930" s="530"/>
      <c r="D930" s="1359"/>
      <c r="E930" s="530"/>
      <c r="F930" s="530"/>
      <c r="G930" s="1518"/>
      <c r="H930" s="530"/>
      <c r="I930" s="1432"/>
      <c r="J930" s="530"/>
      <c r="K930" s="1102"/>
      <c r="L930" s="530"/>
      <c r="M930" s="533"/>
      <c r="N930" s="530"/>
      <c r="O930" s="530"/>
      <c r="P930" s="530"/>
      <c r="Q930" s="530"/>
      <c r="R930" s="530"/>
      <c r="S930" s="1432"/>
      <c r="T930" s="533"/>
      <c r="U930" s="533"/>
      <c r="V930" s="1487"/>
      <c r="W930" s="1487"/>
      <c r="X930" s="1487"/>
      <c r="Y930" s="533"/>
      <c r="Z930" s="533"/>
      <c r="AA930" s="530"/>
      <c r="AB930" s="530"/>
      <c r="AC930" s="530"/>
      <c r="AD930" s="530"/>
      <c r="AE930" s="530"/>
      <c r="AF930" s="390"/>
      <c r="AG930" s="390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S930" s="9"/>
    </row>
    <row r="931" spans="1:45">
      <c r="A931" s="9"/>
      <c r="B931" s="9"/>
      <c r="C931" s="530"/>
      <c r="D931" s="1359"/>
      <c r="E931" s="530"/>
      <c r="F931" s="530"/>
      <c r="G931" s="1518"/>
      <c r="H931" s="530"/>
      <c r="I931" s="1432"/>
      <c r="J931" s="530"/>
      <c r="K931" s="1102"/>
      <c r="L931" s="530"/>
      <c r="M931" s="533"/>
      <c r="N931" s="530"/>
      <c r="O931" s="530"/>
      <c r="P931" s="530"/>
      <c r="Q931" s="530"/>
      <c r="R931" s="530"/>
      <c r="S931" s="1432"/>
      <c r="T931" s="533"/>
      <c r="U931" s="533"/>
      <c r="V931" s="1487"/>
      <c r="W931" s="1487"/>
      <c r="X931" s="1487"/>
      <c r="Y931" s="533"/>
      <c r="Z931" s="533"/>
      <c r="AA931" s="530"/>
      <c r="AB931" s="530"/>
      <c r="AC931" s="530"/>
      <c r="AD931" s="530"/>
      <c r="AE931" s="530"/>
      <c r="AF931" s="390"/>
      <c r="AG931" s="390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S931" s="9"/>
    </row>
    <row r="932" spans="1:45">
      <c r="A932" s="9"/>
      <c r="B932" s="9"/>
      <c r="C932" s="530"/>
      <c r="D932" s="1359"/>
      <c r="E932" s="530"/>
      <c r="F932" s="530"/>
      <c r="G932" s="1518"/>
      <c r="H932" s="530"/>
      <c r="I932" s="1432"/>
      <c r="J932" s="530"/>
      <c r="K932" s="1102"/>
      <c r="L932" s="530"/>
      <c r="M932" s="533"/>
      <c r="N932" s="530"/>
      <c r="O932" s="530"/>
      <c r="P932" s="530"/>
      <c r="Q932" s="530"/>
      <c r="R932" s="530"/>
      <c r="S932" s="1432"/>
      <c r="T932" s="533"/>
      <c r="U932" s="533"/>
      <c r="V932" s="1487"/>
      <c r="W932" s="1487"/>
      <c r="X932" s="1487"/>
      <c r="Y932" s="533"/>
      <c r="Z932" s="533"/>
      <c r="AA932" s="530"/>
      <c r="AB932" s="530"/>
      <c r="AC932" s="530"/>
      <c r="AD932" s="530"/>
      <c r="AE932" s="530"/>
      <c r="AF932" s="390"/>
      <c r="AG932" s="390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S932" s="9"/>
    </row>
    <row r="933" spans="1:45">
      <c r="A933" s="9"/>
      <c r="B933" s="9"/>
      <c r="C933" s="530"/>
      <c r="D933" s="1359"/>
      <c r="E933" s="530"/>
      <c r="F933" s="530"/>
      <c r="G933" s="1518"/>
      <c r="H933" s="530"/>
      <c r="I933" s="1432"/>
      <c r="J933" s="530"/>
      <c r="K933" s="1102"/>
      <c r="L933" s="530"/>
      <c r="M933" s="533"/>
      <c r="N933" s="530"/>
      <c r="O933" s="530"/>
      <c r="P933" s="530"/>
      <c r="Q933" s="530"/>
      <c r="R933" s="530"/>
      <c r="S933" s="1432"/>
      <c r="T933" s="533"/>
      <c r="U933" s="533"/>
      <c r="V933" s="1487"/>
      <c r="W933" s="1487"/>
      <c r="X933" s="1487"/>
      <c r="Y933" s="533"/>
      <c r="Z933" s="533"/>
      <c r="AA933" s="530"/>
      <c r="AB933" s="530"/>
      <c r="AC933" s="530"/>
      <c r="AD933" s="530"/>
      <c r="AE933" s="530"/>
      <c r="AF933" s="390"/>
      <c r="AG933" s="390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S933" s="9"/>
    </row>
    <row r="934" spans="1:45">
      <c r="A934" s="9"/>
      <c r="B934" s="9"/>
      <c r="C934" s="530"/>
      <c r="D934" s="1359"/>
      <c r="E934" s="530"/>
      <c r="F934" s="530"/>
      <c r="G934" s="1518"/>
      <c r="H934" s="530"/>
      <c r="I934" s="1432"/>
      <c r="J934" s="530"/>
      <c r="K934" s="1102"/>
      <c r="L934" s="530"/>
      <c r="M934" s="533"/>
      <c r="N934" s="530"/>
      <c r="O934" s="530"/>
      <c r="P934" s="530"/>
      <c r="Q934" s="530"/>
      <c r="R934" s="530"/>
      <c r="S934" s="1432"/>
      <c r="T934" s="533"/>
      <c r="U934" s="533"/>
      <c r="V934" s="1487"/>
      <c r="W934" s="1487"/>
      <c r="X934" s="1487"/>
      <c r="Y934" s="533"/>
      <c r="Z934" s="533"/>
      <c r="AA934" s="530"/>
      <c r="AB934" s="530"/>
      <c r="AC934" s="530"/>
      <c r="AD934" s="530"/>
      <c r="AE934" s="530"/>
      <c r="AF934" s="390"/>
      <c r="AG934" s="390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S934" s="9"/>
    </row>
    <row r="935" spans="1:45">
      <c r="A935" s="9"/>
      <c r="B935" s="9"/>
      <c r="C935" s="530"/>
      <c r="D935" s="1359"/>
      <c r="E935" s="530"/>
      <c r="F935" s="530"/>
      <c r="G935" s="1518"/>
      <c r="H935" s="530"/>
      <c r="I935" s="1432"/>
      <c r="J935" s="530"/>
      <c r="K935" s="1102"/>
      <c r="L935" s="530"/>
      <c r="M935" s="533"/>
      <c r="N935" s="530"/>
      <c r="O935" s="530"/>
      <c r="P935" s="530"/>
      <c r="Q935" s="530"/>
      <c r="R935" s="530"/>
      <c r="S935" s="1432"/>
      <c r="T935" s="533"/>
      <c r="U935" s="533"/>
      <c r="V935" s="1487"/>
      <c r="W935" s="1487"/>
      <c r="X935" s="1487"/>
      <c r="Y935" s="533"/>
      <c r="Z935" s="533"/>
      <c r="AA935" s="530"/>
      <c r="AB935" s="530"/>
      <c r="AC935" s="530"/>
      <c r="AD935" s="530"/>
      <c r="AE935" s="530"/>
      <c r="AF935" s="390"/>
      <c r="AG935" s="390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S935" s="9"/>
    </row>
    <row r="936" spans="1:45">
      <c r="A936" s="9"/>
      <c r="B936" s="9"/>
      <c r="C936" s="530"/>
      <c r="D936" s="1359"/>
      <c r="E936" s="530"/>
      <c r="F936" s="530"/>
      <c r="G936" s="1518"/>
      <c r="H936" s="530"/>
      <c r="I936" s="1432"/>
      <c r="J936" s="530"/>
      <c r="K936" s="1102"/>
      <c r="L936" s="530"/>
      <c r="M936" s="533"/>
      <c r="N936" s="530"/>
      <c r="O936" s="530"/>
      <c r="P936" s="530"/>
      <c r="Q936" s="530"/>
      <c r="R936" s="530"/>
      <c r="S936" s="1432"/>
      <c r="T936" s="533"/>
      <c r="U936" s="533"/>
      <c r="V936" s="1487"/>
      <c r="W936" s="1487"/>
      <c r="X936" s="1487"/>
      <c r="Y936" s="533"/>
      <c r="Z936" s="533"/>
      <c r="AA936" s="530"/>
      <c r="AB936" s="530"/>
      <c r="AC936" s="530"/>
      <c r="AD936" s="530"/>
      <c r="AE936" s="530"/>
      <c r="AF936" s="390"/>
      <c r="AG936" s="390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S936" s="9"/>
    </row>
    <row r="937" spans="1:45">
      <c r="A937" s="9"/>
      <c r="B937" s="9"/>
      <c r="C937" s="530"/>
      <c r="D937" s="1359"/>
      <c r="E937" s="530"/>
      <c r="F937" s="530"/>
      <c r="G937" s="1518"/>
      <c r="H937" s="530"/>
      <c r="I937" s="1432"/>
      <c r="J937" s="530"/>
      <c r="K937" s="1102"/>
      <c r="L937" s="530"/>
      <c r="M937" s="533"/>
      <c r="N937" s="530"/>
      <c r="O937" s="530"/>
      <c r="P937" s="530"/>
      <c r="Q937" s="530"/>
      <c r="R937" s="530"/>
      <c r="S937" s="1432"/>
      <c r="T937" s="533"/>
      <c r="U937" s="533"/>
      <c r="V937" s="1487"/>
      <c r="W937" s="1487"/>
      <c r="X937" s="1487"/>
      <c r="Y937" s="533"/>
      <c r="Z937" s="533"/>
      <c r="AA937" s="530"/>
      <c r="AB937" s="530"/>
      <c r="AC937" s="530"/>
      <c r="AD937" s="530"/>
      <c r="AE937" s="530"/>
      <c r="AF937" s="390"/>
      <c r="AG937" s="390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S937" s="9"/>
    </row>
    <row r="938" spans="1:45">
      <c r="A938" s="9"/>
      <c r="B938" s="9"/>
      <c r="C938" s="530"/>
      <c r="D938" s="1359"/>
      <c r="E938" s="530"/>
      <c r="F938" s="530"/>
      <c r="G938" s="1518"/>
      <c r="H938" s="530"/>
      <c r="I938" s="1432"/>
      <c r="J938" s="530"/>
      <c r="K938" s="1102"/>
      <c r="L938" s="530"/>
      <c r="M938" s="533"/>
      <c r="N938" s="530"/>
      <c r="O938" s="530"/>
      <c r="P938" s="530"/>
      <c r="Q938" s="530"/>
      <c r="R938" s="530"/>
      <c r="S938" s="1432"/>
      <c r="T938" s="533"/>
      <c r="U938" s="533"/>
      <c r="V938" s="1487"/>
      <c r="W938" s="1487"/>
      <c r="X938" s="1487"/>
      <c r="Y938" s="533"/>
      <c r="Z938" s="533"/>
      <c r="AA938" s="530"/>
      <c r="AB938" s="530"/>
      <c r="AC938" s="530"/>
      <c r="AD938" s="530"/>
      <c r="AE938" s="530"/>
      <c r="AF938" s="390"/>
      <c r="AG938" s="390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S938" s="9"/>
    </row>
    <row r="939" spans="1:45">
      <c r="A939" s="9"/>
      <c r="B939" s="9"/>
      <c r="C939" s="530"/>
      <c r="D939" s="1359"/>
      <c r="E939" s="530"/>
      <c r="F939" s="530"/>
      <c r="G939" s="1518"/>
      <c r="H939" s="530"/>
      <c r="I939" s="1432"/>
      <c r="J939" s="530"/>
      <c r="K939" s="1102"/>
      <c r="L939" s="530"/>
      <c r="M939" s="533"/>
      <c r="N939" s="530"/>
      <c r="O939" s="530"/>
      <c r="P939" s="530"/>
      <c r="Q939" s="530"/>
      <c r="R939" s="530"/>
      <c r="S939" s="1432"/>
      <c r="T939" s="533"/>
      <c r="U939" s="533"/>
      <c r="V939" s="1487"/>
      <c r="W939" s="1487"/>
      <c r="X939" s="1487"/>
      <c r="Y939" s="533"/>
      <c r="Z939" s="533"/>
      <c r="AA939" s="530"/>
      <c r="AB939" s="530"/>
      <c r="AC939" s="530"/>
      <c r="AD939" s="530"/>
      <c r="AE939" s="530"/>
      <c r="AF939" s="390"/>
      <c r="AG939" s="390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S939" s="9"/>
    </row>
    <row r="940" spans="1:45">
      <c r="A940" s="9"/>
      <c r="B940" s="9"/>
      <c r="C940" s="530"/>
      <c r="D940" s="1359"/>
      <c r="E940" s="530"/>
      <c r="F940" s="530"/>
      <c r="G940" s="1518"/>
      <c r="H940" s="530"/>
      <c r="I940" s="1432"/>
      <c r="J940" s="530"/>
      <c r="K940" s="1102"/>
      <c r="L940" s="530"/>
      <c r="M940" s="533"/>
      <c r="N940" s="530"/>
      <c r="O940" s="530"/>
      <c r="P940" s="530"/>
      <c r="Q940" s="530"/>
      <c r="R940" s="530"/>
      <c r="S940" s="1432"/>
      <c r="T940" s="533"/>
      <c r="U940" s="533"/>
      <c r="V940" s="1487"/>
      <c r="W940" s="1487"/>
      <c r="X940" s="1487"/>
      <c r="Y940" s="533"/>
      <c r="Z940" s="533"/>
      <c r="AA940" s="530"/>
      <c r="AB940" s="530"/>
      <c r="AC940" s="530"/>
      <c r="AD940" s="530"/>
      <c r="AE940" s="530"/>
      <c r="AF940" s="390"/>
      <c r="AG940" s="390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S940" s="9"/>
    </row>
    <row r="941" spans="1:45">
      <c r="A941" s="9"/>
      <c r="B941" s="9"/>
      <c r="C941" s="530"/>
      <c r="D941" s="1359"/>
      <c r="E941" s="530"/>
      <c r="F941" s="530"/>
      <c r="G941" s="1518"/>
      <c r="H941" s="530"/>
      <c r="I941" s="1432"/>
      <c r="J941" s="530"/>
      <c r="K941" s="1102"/>
      <c r="L941" s="530"/>
      <c r="M941" s="533"/>
      <c r="N941" s="530"/>
      <c r="O941" s="530"/>
      <c r="P941" s="530"/>
      <c r="Q941" s="530"/>
      <c r="R941" s="530"/>
      <c r="S941" s="1432"/>
      <c r="T941" s="533"/>
      <c r="U941" s="533"/>
      <c r="V941" s="1487"/>
      <c r="W941" s="1487"/>
      <c r="X941" s="1487"/>
      <c r="Y941" s="533"/>
      <c r="Z941" s="533"/>
      <c r="AA941" s="530"/>
      <c r="AB941" s="530"/>
      <c r="AC941" s="530"/>
      <c r="AD941" s="530"/>
      <c r="AE941" s="530"/>
      <c r="AF941" s="390"/>
      <c r="AG941" s="390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S941" s="9"/>
    </row>
    <row r="942" spans="1:45">
      <c r="A942" s="9"/>
      <c r="B942" s="9"/>
      <c r="C942" s="530"/>
      <c r="D942" s="1359"/>
      <c r="E942" s="530"/>
      <c r="F942" s="530"/>
      <c r="G942" s="1518"/>
      <c r="H942" s="530"/>
      <c r="I942" s="1432"/>
      <c r="J942" s="530"/>
      <c r="K942" s="1102"/>
      <c r="L942" s="530"/>
      <c r="M942" s="533"/>
      <c r="N942" s="530"/>
      <c r="O942" s="530"/>
      <c r="P942" s="530"/>
      <c r="Q942" s="530"/>
      <c r="R942" s="530"/>
      <c r="S942" s="1432"/>
      <c r="T942" s="533"/>
      <c r="U942" s="533"/>
      <c r="V942" s="1487"/>
      <c r="W942" s="1487"/>
      <c r="X942" s="1487"/>
      <c r="Y942" s="533"/>
      <c r="Z942" s="533"/>
      <c r="AA942" s="530"/>
      <c r="AB942" s="530"/>
      <c r="AC942" s="530"/>
      <c r="AD942" s="530"/>
      <c r="AE942" s="530"/>
      <c r="AF942" s="390"/>
      <c r="AG942" s="390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S942" s="9"/>
    </row>
    <row r="943" spans="1:45">
      <c r="A943" s="9"/>
      <c r="B943" s="9"/>
      <c r="C943" s="530"/>
      <c r="D943" s="1359"/>
      <c r="E943" s="530"/>
      <c r="F943" s="530"/>
      <c r="G943" s="1518"/>
      <c r="H943" s="530"/>
      <c r="I943" s="1432"/>
      <c r="J943" s="530"/>
      <c r="K943" s="1102"/>
      <c r="L943" s="530"/>
      <c r="M943" s="533"/>
      <c r="N943" s="530"/>
      <c r="O943" s="530"/>
      <c r="P943" s="530"/>
      <c r="Q943" s="530"/>
      <c r="R943" s="530"/>
      <c r="S943" s="1432"/>
      <c r="T943" s="533"/>
      <c r="U943" s="533"/>
      <c r="V943" s="1487"/>
      <c r="W943" s="1487"/>
      <c r="X943" s="1487"/>
      <c r="Y943" s="533"/>
      <c r="Z943" s="533"/>
      <c r="AA943" s="530"/>
      <c r="AB943" s="530"/>
      <c r="AC943" s="530"/>
      <c r="AD943" s="530"/>
      <c r="AE943" s="530"/>
      <c r="AF943" s="390"/>
      <c r="AG943" s="390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S943" s="9"/>
    </row>
    <row r="944" spans="1:45">
      <c r="A944" s="9"/>
      <c r="B944" s="9"/>
      <c r="C944" s="530"/>
      <c r="D944" s="1359"/>
      <c r="E944" s="530"/>
      <c r="F944" s="530"/>
      <c r="G944" s="1518"/>
      <c r="H944" s="530"/>
      <c r="I944" s="1432"/>
      <c r="J944" s="530"/>
      <c r="K944" s="1102"/>
      <c r="L944" s="530"/>
      <c r="M944" s="533"/>
      <c r="N944" s="530"/>
      <c r="O944" s="530"/>
      <c r="P944" s="530"/>
      <c r="Q944" s="530"/>
      <c r="R944" s="530"/>
      <c r="S944" s="1432"/>
      <c r="T944" s="533"/>
      <c r="U944" s="533"/>
      <c r="V944" s="1487"/>
      <c r="W944" s="1487"/>
      <c r="X944" s="1487"/>
      <c r="Y944" s="533"/>
      <c r="Z944" s="533"/>
      <c r="AA944" s="530"/>
      <c r="AB944" s="530"/>
      <c r="AC944" s="530"/>
      <c r="AD944" s="530"/>
      <c r="AE944" s="530"/>
      <c r="AF944" s="390"/>
      <c r="AG944" s="390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S944" s="9"/>
    </row>
    <row r="945" spans="1:45">
      <c r="A945" s="9"/>
      <c r="B945" s="9"/>
      <c r="C945" s="530"/>
      <c r="D945" s="1359"/>
      <c r="E945" s="530"/>
      <c r="F945" s="530"/>
      <c r="G945" s="1518"/>
      <c r="H945" s="530"/>
      <c r="I945" s="1432"/>
      <c r="J945" s="530"/>
      <c r="K945" s="1102"/>
      <c r="L945" s="530"/>
      <c r="M945" s="533"/>
      <c r="N945" s="530"/>
      <c r="O945" s="530"/>
      <c r="P945" s="530"/>
      <c r="Q945" s="530"/>
      <c r="R945" s="530"/>
      <c r="S945" s="1432"/>
      <c r="T945" s="533"/>
      <c r="U945" s="533"/>
      <c r="V945" s="1487"/>
      <c r="W945" s="1487"/>
      <c r="X945" s="1487"/>
      <c r="Y945" s="533"/>
      <c r="Z945" s="533"/>
      <c r="AA945" s="530"/>
      <c r="AB945" s="530"/>
      <c r="AC945" s="530"/>
      <c r="AD945" s="530"/>
      <c r="AE945" s="530"/>
      <c r="AF945" s="390"/>
      <c r="AG945" s="390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S945" s="9"/>
    </row>
    <row r="946" spans="1:45">
      <c r="A946" s="9"/>
      <c r="B946" s="9"/>
      <c r="C946" s="530"/>
      <c r="D946" s="1359"/>
      <c r="E946" s="530"/>
      <c r="F946" s="530"/>
      <c r="G946" s="1518"/>
      <c r="H946" s="530"/>
      <c r="I946" s="1432"/>
      <c r="J946" s="530"/>
      <c r="K946" s="1102"/>
      <c r="L946" s="530"/>
      <c r="M946" s="533"/>
      <c r="N946" s="530"/>
      <c r="O946" s="530"/>
      <c r="P946" s="530"/>
      <c r="Q946" s="530"/>
      <c r="R946" s="530"/>
      <c r="S946" s="1432"/>
      <c r="T946" s="533"/>
      <c r="U946" s="533"/>
      <c r="V946" s="1487"/>
      <c r="W946" s="1487"/>
      <c r="X946" s="1487"/>
      <c r="Y946" s="533"/>
      <c r="Z946" s="533"/>
      <c r="AA946" s="530"/>
      <c r="AB946" s="530"/>
      <c r="AC946" s="530"/>
      <c r="AD946" s="530"/>
      <c r="AE946" s="530"/>
      <c r="AF946" s="390"/>
      <c r="AG946" s="390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S946" s="9"/>
    </row>
    <row r="947" spans="1:45">
      <c r="A947" s="9"/>
      <c r="B947" s="9"/>
      <c r="C947" s="530"/>
      <c r="D947" s="1359"/>
      <c r="E947" s="530"/>
      <c r="F947" s="530"/>
      <c r="G947" s="1518"/>
      <c r="H947" s="530"/>
      <c r="I947" s="1432"/>
      <c r="J947" s="530"/>
      <c r="K947" s="1102"/>
      <c r="L947" s="530"/>
      <c r="M947" s="533"/>
      <c r="N947" s="530"/>
      <c r="O947" s="530"/>
      <c r="P947" s="530"/>
      <c r="Q947" s="530"/>
      <c r="R947" s="530"/>
      <c r="S947" s="1432"/>
      <c r="T947" s="533"/>
      <c r="U947" s="533"/>
      <c r="V947" s="1487"/>
      <c r="W947" s="1487"/>
      <c r="X947" s="1487"/>
      <c r="Y947" s="533"/>
      <c r="Z947" s="533"/>
      <c r="AA947" s="530"/>
      <c r="AB947" s="530"/>
      <c r="AC947" s="530"/>
      <c r="AD947" s="530"/>
      <c r="AE947" s="530"/>
      <c r="AF947" s="390"/>
      <c r="AG947" s="390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S947" s="9"/>
    </row>
    <row r="948" spans="1:45">
      <c r="A948" s="9"/>
      <c r="B948" s="9"/>
      <c r="C948" s="530"/>
      <c r="D948" s="1359"/>
      <c r="E948" s="530"/>
      <c r="F948" s="530"/>
      <c r="G948" s="1518"/>
      <c r="H948" s="530"/>
      <c r="I948" s="1432"/>
      <c r="J948" s="530"/>
      <c r="K948" s="1102"/>
      <c r="L948" s="530"/>
      <c r="M948" s="533"/>
      <c r="N948" s="530"/>
      <c r="O948" s="530"/>
      <c r="P948" s="530"/>
      <c r="Q948" s="530"/>
      <c r="R948" s="530"/>
      <c r="S948" s="1432"/>
      <c r="T948" s="533"/>
      <c r="U948" s="533"/>
      <c r="V948" s="1487"/>
      <c r="W948" s="1487"/>
      <c r="X948" s="1487"/>
      <c r="Y948" s="533"/>
      <c r="Z948" s="533"/>
      <c r="AA948" s="530"/>
      <c r="AB948" s="530"/>
      <c r="AC948" s="530"/>
      <c r="AD948" s="530"/>
      <c r="AE948" s="530"/>
      <c r="AF948" s="390"/>
      <c r="AG948" s="390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</row>
    <row r="949" spans="1:45">
      <c r="A949" s="9"/>
      <c r="B949" s="9"/>
      <c r="C949" s="530"/>
      <c r="D949" s="1359"/>
      <c r="E949" s="530"/>
      <c r="F949" s="530"/>
      <c r="G949" s="1518"/>
      <c r="H949" s="530"/>
      <c r="I949" s="1432"/>
      <c r="J949" s="530"/>
      <c r="K949" s="1102"/>
      <c r="L949" s="530"/>
      <c r="M949" s="533"/>
      <c r="N949" s="530"/>
      <c r="O949" s="530"/>
      <c r="P949" s="530"/>
      <c r="Q949" s="530"/>
      <c r="R949" s="530"/>
      <c r="S949" s="1432"/>
      <c r="T949" s="533"/>
      <c r="U949" s="533"/>
      <c r="V949" s="1487"/>
      <c r="W949" s="1487"/>
      <c r="X949" s="1487"/>
      <c r="Y949" s="533"/>
      <c r="Z949" s="533"/>
      <c r="AA949" s="530"/>
      <c r="AB949" s="530"/>
      <c r="AC949" s="530"/>
      <c r="AD949" s="530"/>
      <c r="AE949" s="530"/>
      <c r="AF949" s="390"/>
      <c r="AG949" s="390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</row>
    <row r="950" spans="1:45">
      <c r="A950" s="9"/>
      <c r="B950" s="9"/>
      <c r="C950" s="530"/>
      <c r="D950" s="1359"/>
      <c r="E950" s="530"/>
      <c r="F950" s="530"/>
      <c r="G950" s="1518"/>
      <c r="H950" s="530"/>
      <c r="I950" s="1432"/>
      <c r="J950" s="530"/>
      <c r="K950" s="1102"/>
      <c r="L950" s="530"/>
      <c r="M950" s="533"/>
      <c r="N950" s="530"/>
      <c r="O950" s="530"/>
      <c r="P950" s="530"/>
      <c r="Q950" s="530"/>
      <c r="R950" s="530"/>
      <c r="S950" s="1432"/>
      <c r="T950" s="533"/>
      <c r="U950" s="533"/>
      <c r="V950" s="1487"/>
      <c r="W950" s="1487"/>
      <c r="X950" s="1487"/>
      <c r="Y950" s="533"/>
      <c r="Z950" s="533"/>
      <c r="AA950" s="530"/>
      <c r="AB950" s="530"/>
      <c r="AC950" s="530"/>
      <c r="AD950" s="530"/>
      <c r="AE950" s="530"/>
      <c r="AF950" s="390"/>
      <c r="AG950" s="390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</row>
    <row r="951" spans="1:45">
      <c r="A951" s="9"/>
      <c r="B951" s="9"/>
      <c r="C951" s="530"/>
      <c r="D951" s="1359"/>
      <c r="E951" s="530"/>
      <c r="F951" s="530"/>
      <c r="G951" s="1518"/>
      <c r="H951" s="530"/>
      <c r="I951" s="1432"/>
      <c r="J951" s="530"/>
      <c r="K951" s="1102"/>
      <c r="L951" s="530"/>
      <c r="M951" s="533"/>
      <c r="N951" s="530"/>
      <c r="O951" s="530"/>
      <c r="P951" s="530"/>
      <c r="Q951" s="530"/>
      <c r="R951" s="530"/>
      <c r="S951" s="1432"/>
      <c r="T951" s="533"/>
      <c r="U951" s="533"/>
      <c r="V951" s="1487"/>
      <c r="W951" s="1487"/>
      <c r="X951" s="1487"/>
      <c r="Y951" s="533"/>
      <c r="Z951" s="533"/>
      <c r="AA951" s="530"/>
      <c r="AB951" s="530"/>
      <c r="AC951" s="530"/>
      <c r="AD951" s="530"/>
      <c r="AE951" s="530"/>
      <c r="AF951" s="390"/>
      <c r="AG951" s="390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</row>
    <row r="952" spans="1:45">
      <c r="A952" s="9"/>
      <c r="B952" s="9"/>
      <c r="C952" s="530"/>
      <c r="D952" s="1359"/>
      <c r="E952" s="530"/>
      <c r="F952" s="530"/>
      <c r="G952" s="1518"/>
      <c r="H952" s="530"/>
      <c r="I952" s="1432"/>
      <c r="J952" s="530"/>
      <c r="K952" s="1102"/>
      <c r="L952" s="530"/>
      <c r="M952" s="533"/>
      <c r="N952" s="530"/>
      <c r="O952" s="530"/>
      <c r="P952" s="530"/>
      <c r="Q952" s="530"/>
      <c r="R952" s="530"/>
      <c r="S952" s="1432"/>
      <c r="T952" s="533"/>
      <c r="U952" s="533"/>
      <c r="V952" s="1487"/>
      <c r="W952" s="1487"/>
      <c r="X952" s="1487"/>
      <c r="Y952" s="533"/>
      <c r="Z952" s="533"/>
      <c r="AA952" s="530"/>
      <c r="AB952" s="530"/>
      <c r="AC952" s="530"/>
      <c r="AD952" s="530"/>
      <c r="AE952" s="530"/>
      <c r="AF952" s="390"/>
      <c r="AG952" s="390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</row>
    <row r="953" spans="1:45">
      <c r="A953" s="9"/>
      <c r="B953" s="9"/>
      <c r="C953" s="530"/>
      <c r="D953" s="1359"/>
      <c r="E953" s="530"/>
      <c r="F953" s="530"/>
      <c r="G953" s="1518"/>
      <c r="H953" s="530"/>
      <c r="I953" s="1432"/>
      <c r="J953" s="530"/>
      <c r="K953" s="1102"/>
      <c r="L953" s="530"/>
      <c r="M953" s="533"/>
      <c r="N953" s="530"/>
      <c r="O953" s="530"/>
      <c r="P953" s="530"/>
      <c r="Q953" s="530"/>
      <c r="R953" s="530"/>
      <c r="S953" s="1432"/>
      <c r="T953" s="533"/>
      <c r="U953" s="533"/>
      <c r="V953" s="1487"/>
      <c r="W953" s="1487"/>
      <c r="X953" s="1487"/>
      <c r="Y953" s="533"/>
      <c r="Z953" s="533"/>
      <c r="AA953" s="530"/>
      <c r="AB953" s="530"/>
      <c r="AC953" s="530"/>
      <c r="AD953" s="530"/>
      <c r="AE953" s="530"/>
      <c r="AF953" s="390"/>
      <c r="AG953" s="390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</row>
    <row r="954" spans="1:45">
      <c r="A954" s="9"/>
      <c r="B954" s="9"/>
      <c r="C954" s="530"/>
      <c r="D954" s="1359"/>
      <c r="E954" s="530"/>
      <c r="F954" s="530"/>
      <c r="G954" s="1518"/>
      <c r="H954" s="530"/>
      <c r="I954" s="1432"/>
      <c r="J954" s="530"/>
      <c r="K954" s="1102"/>
      <c r="L954" s="530"/>
      <c r="M954" s="533"/>
      <c r="N954" s="530"/>
      <c r="O954" s="530"/>
      <c r="P954" s="530"/>
      <c r="Q954" s="530"/>
      <c r="R954" s="530"/>
      <c r="S954" s="1432"/>
      <c r="T954" s="533"/>
      <c r="U954" s="533"/>
      <c r="V954" s="1487"/>
      <c r="W954" s="1487"/>
      <c r="X954" s="1487"/>
      <c r="Y954" s="533"/>
      <c r="Z954" s="533"/>
      <c r="AA954" s="530"/>
      <c r="AB954" s="530"/>
      <c r="AC954" s="530"/>
      <c r="AD954" s="530"/>
      <c r="AE954" s="530"/>
      <c r="AF954" s="390"/>
      <c r="AG954" s="390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</row>
    <row r="955" spans="1:45">
      <c r="A955" s="9"/>
      <c r="B955" s="9"/>
      <c r="C955" s="530"/>
      <c r="D955" s="1359"/>
      <c r="E955" s="530"/>
      <c r="F955" s="530"/>
      <c r="G955" s="1518"/>
      <c r="H955" s="530"/>
      <c r="I955" s="1432"/>
      <c r="J955" s="530"/>
      <c r="K955" s="1102"/>
      <c r="L955" s="530"/>
      <c r="M955" s="533"/>
      <c r="N955" s="530"/>
      <c r="O955" s="530"/>
      <c r="P955" s="530"/>
      <c r="Q955" s="530"/>
      <c r="R955" s="530"/>
      <c r="S955" s="1432"/>
      <c r="T955" s="533"/>
      <c r="U955" s="533"/>
      <c r="V955" s="1487"/>
      <c r="W955" s="1487"/>
      <c r="X955" s="1487"/>
      <c r="Y955" s="533"/>
      <c r="Z955" s="533"/>
      <c r="AA955" s="530"/>
      <c r="AB955" s="530"/>
      <c r="AC955" s="530"/>
      <c r="AD955" s="530"/>
      <c r="AE955" s="530"/>
      <c r="AF955" s="390"/>
      <c r="AG955" s="390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</row>
    <row r="956" spans="1:45">
      <c r="A956" s="9"/>
      <c r="B956" s="9"/>
      <c r="C956" s="530"/>
      <c r="D956" s="1359"/>
      <c r="E956" s="530"/>
      <c r="F956" s="530"/>
      <c r="G956" s="1518"/>
      <c r="H956" s="530"/>
      <c r="I956" s="1432"/>
      <c r="J956" s="530"/>
      <c r="K956" s="1102"/>
      <c r="L956" s="530"/>
      <c r="M956" s="533"/>
      <c r="N956" s="530"/>
      <c r="O956" s="530"/>
      <c r="P956" s="530"/>
      <c r="Q956" s="530"/>
      <c r="R956" s="530"/>
      <c r="S956" s="1432"/>
      <c r="T956" s="533"/>
      <c r="U956" s="533"/>
      <c r="V956" s="1487"/>
      <c r="W956" s="1487"/>
      <c r="X956" s="1487"/>
      <c r="Y956" s="533"/>
      <c r="Z956" s="533"/>
      <c r="AA956" s="530"/>
      <c r="AB956" s="530"/>
      <c r="AC956" s="530"/>
      <c r="AD956" s="530"/>
      <c r="AE956" s="530"/>
      <c r="AF956" s="390"/>
      <c r="AG956" s="390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</row>
    <row r="957" spans="1:45">
      <c r="A957" s="9"/>
      <c r="B957" s="9"/>
      <c r="C957" s="530"/>
      <c r="D957" s="1359"/>
      <c r="E957" s="530"/>
      <c r="F957" s="530"/>
      <c r="G957" s="1518"/>
      <c r="H957" s="530"/>
      <c r="I957" s="1432"/>
      <c r="J957" s="530"/>
      <c r="K957" s="1102"/>
      <c r="L957" s="530"/>
      <c r="M957" s="533"/>
      <c r="N957" s="530"/>
      <c r="O957" s="530"/>
      <c r="P957" s="530"/>
      <c r="Q957" s="530"/>
      <c r="R957" s="530"/>
      <c r="S957" s="1432"/>
      <c r="T957" s="533"/>
      <c r="U957" s="533"/>
      <c r="V957" s="1487"/>
      <c r="W957" s="1487"/>
      <c r="X957" s="1487"/>
      <c r="Y957" s="533"/>
      <c r="Z957" s="533"/>
      <c r="AA957" s="530"/>
      <c r="AB957" s="530"/>
      <c r="AC957" s="530"/>
      <c r="AD957" s="530"/>
      <c r="AE957" s="530"/>
      <c r="AF957" s="390"/>
      <c r="AG957" s="390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</row>
    <row r="958" spans="1:45">
      <c r="A958" s="9"/>
      <c r="B958" s="9"/>
      <c r="C958" s="530"/>
      <c r="D958" s="1359"/>
      <c r="E958" s="530"/>
      <c r="F958" s="530"/>
      <c r="G958" s="1518"/>
      <c r="H958" s="530"/>
      <c r="I958" s="1432"/>
      <c r="J958" s="530"/>
      <c r="K958" s="1102"/>
      <c r="L958" s="530"/>
      <c r="M958" s="533"/>
      <c r="N958" s="530"/>
      <c r="O958" s="530"/>
      <c r="P958" s="530"/>
      <c r="Q958" s="530"/>
      <c r="R958" s="530"/>
      <c r="S958" s="1432"/>
      <c r="T958" s="533"/>
      <c r="U958" s="533"/>
      <c r="V958" s="1487"/>
      <c r="W958" s="1487"/>
      <c r="X958" s="1487"/>
      <c r="Y958" s="533"/>
      <c r="Z958" s="533"/>
      <c r="AA958" s="530"/>
      <c r="AB958" s="530"/>
      <c r="AC958" s="530"/>
      <c r="AD958" s="530"/>
      <c r="AE958" s="530"/>
      <c r="AF958" s="390"/>
      <c r="AG958" s="390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</row>
    <row r="959" spans="1:45">
      <c r="A959" s="9"/>
      <c r="B959" s="9"/>
      <c r="C959" s="530"/>
      <c r="D959" s="1359"/>
      <c r="E959" s="530"/>
      <c r="F959" s="530"/>
      <c r="G959" s="1518"/>
      <c r="H959" s="530"/>
      <c r="I959" s="1432"/>
      <c r="J959" s="530"/>
      <c r="K959" s="1102"/>
      <c r="L959" s="530"/>
      <c r="M959" s="533"/>
      <c r="N959" s="530"/>
      <c r="O959" s="530"/>
      <c r="P959" s="530"/>
      <c r="Q959" s="530"/>
      <c r="R959" s="530"/>
      <c r="S959" s="1432"/>
      <c r="T959" s="533"/>
      <c r="U959" s="533"/>
      <c r="V959" s="1487"/>
      <c r="W959" s="1487"/>
      <c r="X959" s="1487"/>
      <c r="Y959" s="533"/>
      <c r="Z959" s="533"/>
      <c r="AA959" s="530"/>
      <c r="AB959" s="530"/>
      <c r="AC959" s="530"/>
      <c r="AD959" s="530"/>
      <c r="AE959" s="530"/>
      <c r="AF959" s="390"/>
      <c r="AG959" s="390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</row>
    <row r="960" spans="1:45">
      <c r="A960" s="9"/>
      <c r="B960" s="9"/>
      <c r="C960" s="530"/>
      <c r="D960" s="1359"/>
      <c r="E960" s="530"/>
      <c r="F960" s="530"/>
      <c r="G960" s="1518"/>
      <c r="H960" s="530"/>
      <c r="I960" s="1432"/>
      <c r="J960" s="530"/>
      <c r="K960" s="1102"/>
      <c r="L960" s="530"/>
      <c r="M960" s="533"/>
      <c r="N960" s="530"/>
      <c r="O960" s="530"/>
      <c r="P960" s="530"/>
      <c r="Q960" s="530"/>
      <c r="R960" s="530"/>
      <c r="S960" s="1432"/>
      <c r="T960" s="533"/>
      <c r="U960" s="533"/>
      <c r="V960" s="1487"/>
      <c r="W960" s="1487"/>
      <c r="X960" s="1487"/>
      <c r="Y960" s="533"/>
      <c r="Z960" s="533"/>
      <c r="AA960" s="530"/>
      <c r="AB960" s="530"/>
      <c r="AC960" s="530"/>
      <c r="AD960" s="530"/>
      <c r="AE960" s="530"/>
      <c r="AF960" s="390"/>
      <c r="AG960" s="390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</row>
    <row r="961" spans="1:45">
      <c r="A961" s="9"/>
      <c r="B961" s="9"/>
      <c r="C961" s="530"/>
      <c r="D961" s="1359"/>
      <c r="E961" s="530"/>
      <c r="F961" s="530"/>
      <c r="G961" s="1518"/>
      <c r="H961" s="530"/>
      <c r="I961" s="1432"/>
      <c r="J961" s="530"/>
      <c r="K961" s="1102"/>
      <c r="L961" s="530"/>
      <c r="M961" s="533"/>
      <c r="N961" s="530"/>
      <c r="O961" s="530"/>
      <c r="P961" s="530"/>
      <c r="Q961" s="530"/>
      <c r="R961" s="530"/>
      <c r="S961" s="1432"/>
      <c r="T961" s="533"/>
      <c r="U961" s="533"/>
      <c r="V961" s="1487"/>
      <c r="W961" s="1487"/>
      <c r="X961" s="1487"/>
      <c r="Y961" s="533"/>
      <c r="Z961" s="533"/>
      <c r="AA961" s="530"/>
      <c r="AB961" s="530"/>
      <c r="AC961" s="530"/>
      <c r="AD961" s="530"/>
      <c r="AE961" s="530"/>
      <c r="AF961" s="390"/>
      <c r="AG961" s="390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</row>
    <row r="962" spans="1:45">
      <c r="A962" s="9"/>
      <c r="B962" s="9"/>
      <c r="C962" s="530"/>
      <c r="D962" s="1359"/>
      <c r="E962" s="530"/>
      <c r="F962" s="530"/>
      <c r="G962" s="1518"/>
      <c r="H962" s="530"/>
      <c r="I962" s="1432"/>
      <c r="J962" s="530"/>
      <c r="K962" s="1102"/>
      <c r="L962" s="530"/>
      <c r="M962" s="533"/>
      <c r="N962" s="530"/>
      <c r="O962" s="530"/>
      <c r="P962" s="530"/>
      <c r="Q962" s="530"/>
      <c r="R962" s="530"/>
      <c r="S962" s="1432"/>
      <c r="T962" s="533"/>
      <c r="U962" s="533"/>
      <c r="V962" s="1487"/>
      <c r="W962" s="1487"/>
      <c r="X962" s="1487"/>
      <c r="Y962" s="533"/>
      <c r="Z962" s="533"/>
      <c r="AA962" s="530"/>
      <c r="AB962" s="530"/>
      <c r="AC962" s="530"/>
      <c r="AD962" s="530"/>
      <c r="AE962" s="530"/>
      <c r="AF962" s="390"/>
      <c r="AG962" s="390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</row>
    <row r="963" spans="1:45">
      <c r="A963" s="9"/>
      <c r="B963" s="9"/>
      <c r="C963" s="530"/>
      <c r="D963" s="1359"/>
      <c r="E963" s="530"/>
      <c r="F963" s="530"/>
      <c r="G963" s="1518"/>
      <c r="H963" s="530"/>
      <c r="I963" s="1432"/>
      <c r="J963" s="530"/>
      <c r="K963" s="1102"/>
      <c r="L963" s="530"/>
      <c r="M963" s="533"/>
      <c r="N963" s="530"/>
      <c r="O963" s="530"/>
      <c r="P963" s="530"/>
      <c r="Q963" s="530"/>
      <c r="R963" s="530"/>
      <c r="S963" s="1432"/>
      <c r="T963" s="533"/>
      <c r="U963" s="533"/>
      <c r="V963" s="1487"/>
      <c r="W963" s="1487"/>
      <c r="X963" s="1487"/>
      <c r="Y963" s="533"/>
      <c r="Z963" s="533"/>
      <c r="AA963" s="530"/>
      <c r="AB963" s="530"/>
      <c r="AC963" s="530"/>
      <c r="AD963" s="530"/>
      <c r="AE963" s="530"/>
      <c r="AF963" s="390"/>
      <c r="AG963" s="390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</row>
    <row r="964" spans="1:45">
      <c r="A964" s="9"/>
      <c r="B964" s="9"/>
      <c r="C964" s="530"/>
      <c r="D964" s="1359"/>
      <c r="E964" s="530"/>
      <c r="F964" s="530"/>
      <c r="G964" s="1518"/>
      <c r="H964" s="530"/>
      <c r="I964" s="1432"/>
      <c r="J964" s="530"/>
      <c r="K964" s="1102"/>
      <c r="L964" s="530"/>
      <c r="M964" s="533"/>
      <c r="N964" s="530"/>
      <c r="O964" s="530"/>
      <c r="P964" s="530"/>
      <c r="Q964" s="530"/>
      <c r="R964" s="530"/>
      <c r="S964" s="1432"/>
      <c r="T964" s="533"/>
      <c r="U964" s="533"/>
      <c r="V964" s="1487"/>
      <c r="W964" s="1487"/>
      <c r="X964" s="1487"/>
      <c r="Y964" s="533"/>
      <c r="Z964" s="533"/>
      <c r="AA964" s="530"/>
      <c r="AB964" s="530"/>
      <c r="AC964" s="530"/>
      <c r="AD964" s="530"/>
      <c r="AE964" s="530"/>
      <c r="AF964" s="390"/>
      <c r="AG964" s="390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</row>
    <row r="965" spans="1:45">
      <c r="A965" s="9"/>
      <c r="B965" s="9"/>
      <c r="C965" s="530"/>
      <c r="D965" s="1359"/>
      <c r="E965" s="530"/>
      <c r="F965" s="530"/>
      <c r="G965" s="1518"/>
      <c r="H965" s="530"/>
      <c r="I965" s="1432"/>
      <c r="J965" s="530"/>
      <c r="K965" s="1102"/>
      <c r="L965" s="530"/>
      <c r="M965" s="533"/>
      <c r="N965" s="530"/>
      <c r="O965" s="530"/>
      <c r="P965" s="530"/>
      <c r="Q965" s="530"/>
      <c r="R965" s="530"/>
      <c r="S965" s="1432"/>
      <c r="T965" s="533"/>
      <c r="U965" s="533"/>
      <c r="V965" s="1487"/>
      <c r="W965" s="1487"/>
      <c r="X965" s="1487"/>
      <c r="Y965" s="533"/>
      <c r="Z965" s="533"/>
      <c r="AA965" s="530"/>
      <c r="AB965" s="530"/>
      <c r="AC965" s="530"/>
      <c r="AD965" s="530"/>
      <c r="AE965" s="530"/>
      <c r="AF965" s="390"/>
      <c r="AG965" s="390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</row>
    <row r="966" spans="1:45">
      <c r="A966" s="9"/>
      <c r="B966" s="9"/>
      <c r="C966" s="530"/>
      <c r="D966" s="1359"/>
      <c r="E966" s="530"/>
      <c r="F966" s="530"/>
      <c r="G966" s="1518"/>
      <c r="H966" s="530"/>
      <c r="I966" s="1432"/>
      <c r="J966" s="530"/>
      <c r="K966" s="1102"/>
      <c r="L966" s="530"/>
      <c r="M966" s="533"/>
      <c r="N966" s="530"/>
      <c r="O966" s="530"/>
      <c r="P966" s="530"/>
      <c r="Q966" s="530"/>
      <c r="R966" s="530"/>
      <c r="S966" s="1432"/>
      <c r="T966" s="533"/>
      <c r="U966" s="533"/>
      <c r="V966" s="1487"/>
      <c r="W966" s="1487"/>
      <c r="X966" s="1487"/>
      <c r="Y966" s="533"/>
      <c r="Z966" s="533"/>
      <c r="AA966" s="530"/>
      <c r="AB966" s="530"/>
      <c r="AC966" s="530"/>
      <c r="AD966" s="530"/>
      <c r="AE966" s="530"/>
      <c r="AF966" s="390"/>
      <c r="AG966" s="390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</row>
    <row r="967" spans="1:45">
      <c r="A967" s="9"/>
      <c r="B967" s="9"/>
      <c r="C967" s="530"/>
      <c r="D967" s="1359"/>
      <c r="E967" s="530"/>
      <c r="F967" s="530"/>
      <c r="G967" s="1518"/>
      <c r="H967" s="530"/>
      <c r="I967" s="1432"/>
      <c r="J967" s="530"/>
      <c r="K967" s="1102"/>
      <c r="L967" s="530"/>
      <c r="M967" s="533"/>
      <c r="N967" s="530"/>
      <c r="O967" s="530"/>
      <c r="P967" s="530"/>
      <c r="Q967" s="530"/>
      <c r="R967" s="530"/>
      <c r="S967" s="1432"/>
      <c r="T967" s="533"/>
      <c r="U967" s="533"/>
      <c r="V967" s="1487"/>
      <c r="W967" s="1487"/>
      <c r="X967" s="1487"/>
      <c r="Y967" s="533"/>
      <c r="Z967" s="533"/>
      <c r="AA967" s="530"/>
      <c r="AB967" s="530"/>
      <c r="AC967" s="530"/>
      <c r="AD967" s="530"/>
      <c r="AE967" s="530"/>
      <c r="AF967" s="390"/>
      <c r="AG967" s="390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</row>
    <row r="968" spans="1:45">
      <c r="A968" s="9"/>
      <c r="B968" s="9"/>
      <c r="C968" s="530"/>
      <c r="D968" s="1359"/>
      <c r="E968" s="530"/>
      <c r="F968" s="530"/>
      <c r="G968" s="1518"/>
      <c r="H968" s="530"/>
      <c r="I968" s="1432"/>
      <c r="J968" s="530"/>
      <c r="K968" s="1102"/>
      <c r="L968" s="530"/>
      <c r="M968" s="533"/>
      <c r="N968" s="530"/>
      <c r="O968" s="530"/>
      <c r="P968" s="530"/>
      <c r="Q968" s="530"/>
      <c r="R968" s="530"/>
      <c r="S968" s="1432"/>
      <c r="T968" s="533"/>
      <c r="U968" s="533"/>
      <c r="V968" s="1487"/>
      <c r="W968" s="1487"/>
      <c r="X968" s="1487"/>
      <c r="Y968" s="533"/>
      <c r="Z968" s="533"/>
      <c r="AA968" s="530"/>
      <c r="AB968" s="530"/>
      <c r="AC968" s="530"/>
      <c r="AD968" s="530"/>
      <c r="AE968" s="530"/>
      <c r="AF968" s="390"/>
      <c r="AG968" s="390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</row>
    <row r="969" spans="1:45">
      <c r="A969" s="9"/>
      <c r="B969" s="9"/>
      <c r="C969" s="530"/>
      <c r="D969" s="1359"/>
      <c r="E969" s="530"/>
      <c r="F969" s="530"/>
      <c r="G969" s="1518"/>
      <c r="H969" s="530"/>
      <c r="I969" s="1432"/>
      <c r="J969" s="530"/>
      <c r="K969" s="1102"/>
      <c r="L969" s="530"/>
      <c r="M969" s="533"/>
      <c r="N969" s="530"/>
      <c r="O969" s="530"/>
      <c r="P969" s="530"/>
      <c r="Q969" s="530"/>
      <c r="R969" s="530"/>
      <c r="S969" s="1432"/>
      <c r="T969" s="533"/>
      <c r="U969" s="533"/>
      <c r="V969" s="1487"/>
      <c r="W969" s="1487"/>
      <c r="X969" s="1487"/>
      <c r="Y969" s="533"/>
      <c r="Z969" s="533"/>
      <c r="AA969" s="530"/>
      <c r="AB969" s="530"/>
      <c r="AC969" s="530"/>
      <c r="AD969" s="530"/>
      <c r="AE969" s="530"/>
      <c r="AF969" s="390"/>
      <c r="AG969" s="390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</row>
    <row r="970" spans="1:45">
      <c r="A970" s="9"/>
      <c r="B970" s="9"/>
      <c r="C970" s="530"/>
      <c r="D970" s="1359"/>
      <c r="E970" s="530"/>
      <c r="F970" s="530"/>
      <c r="G970" s="1518"/>
      <c r="H970" s="530"/>
      <c r="I970" s="1432"/>
      <c r="J970" s="530"/>
      <c r="K970" s="1102"/>
      <c r="L970" s="530"/>
      <c r="M970" s="533"/>
      <c r="N970" s="530"/>
      <c r="O970" s="530"/>
      <c r="P970" s="530"/>
      <c r="Q970" s="530"/>
      <c r="R970" s="530"/>
      <c r="S970" s="1432"/>
      <c r="T970" s="533"/>
      <c r="U970" s="533"/>
      <c r="V970" s="1487"/>
      <c r="W970" s="1487"/>
      <c r="X970" s="1487"/>
      <c r="Y970" s="533"/>
      <c r="Z970" s="533"/>
      <c r="AA970" s="530"/>
      <c r="AB970" s="530"/>
      <c r="AC970" s="530"/>
      <c r="AD970" s="530"/>
      <c r="AE970" s="530"/>
      <c r="AF970" s="390"/>
      <c r="AG970" s="390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</row>
    <row r="971" spans="1:45">
      <c r="A971" s="9"/>
      <c r="B971" s="9"/>
      <c r="C971" s="530"/>
      <c r="D971" s="1359"/>
      <c r="E971" s="530"/>
      <c r="F971" s="530"/>
      <c r="G971" s="1518"/>
      <c r="H971" s="530"/>
      <c r="I971" s="1432"/>
      <c r="J971" s="530"/>
      <c r="K971" s="1102"/>
      <c r="L971" s="530"/>
      <c r="M971" s="533"/>
      <c r="N971" s="530"/>
      <c r="O971" s="530"/>
      <c r="P971" s="530"/>
      <c r="Q971" s="530"/>
      <c r="R971" s="530"/>
      <c r="S971" s="1432"/>
      <c r="T971" s="533"/>
      <c r="U971" s="533"/>
      <c r="V971" s="1487"/>
      <c r="W971" s="1487"/>
      <c r="X971" s="1487"/>
      <c r="Y971" s="533"/>
      <c r="Z971" s="533"/>
      <c r="AA971" s="530"/>
      <c r="AB971" s="530"/>
      <c r="AC971" s="530"/>
      <c r="AD971" s="530"/>
      <c r="AE971" s="530"/>
      <c r="AF971" s="390"/>
      <c r="AG971" s="390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</row>
    <row r="972" spans="1:45">
      <c r="A972" s="9"/>
      <c r="B972" s="9"/>
      <c r="C972" s="530"/>
      <c r="D972" s="1359"/>
      <c r="E972" s="530"/>
      <c r="F972" s="530"/>
      <c r="G972" s="1518"/>
      <c r="H972" s="530"/>
      <c r="I972" s="1432"/>
      <c r="J972" s="530"/>
      <c r="K972" s="1102"/>
      <c r="L972" s="530"/>
      <c r="M972" s="533"/>
      <c r="N972" s="530"/>
      <c r="O972" s="530"/>
      <c r="P972" s="530"/>
      <c r="Q972" s="530"/>
      <c r="R972" s="530"/>
      <c r="S972" s="1432"/>
      <c r="T972" s="533"/>
      <c r="U972" s="533"/>
      <c r="V972" s="1487"/>
      <c r="W972" s="1487"/>
      <c r="X972" s="1487"/>
      <c r="Y972" s="533"/>
      <c r="Z972" s="533"/>
      <c r="AA972" s="530"/>
      <c r="AB972" s="530"/>
      <c r="AC972" s="530"/>
      <c r="AD972" s="530"/>
      <c r="AE972" s="530"/>
      <c r="AF972" s="390"/>
      <c r="AG972" s="390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</row>
    <row r="973" spans="1:45">
      <c r="A973" s="9"/>
      <c r="B973" s="9"/>
      <c r="C973" s="530"/>
      <c r="D973" s="1359"/>
      <c r="E973" s="530"/>
      <c r="F973" s="530"/>
      <c r="G973" s="1518"/>
      <c r="H973" s="530"/>
      <c r="I973" s="1432"/>
      <c r="J973" s="530"/>
      <c r="K973" s="1102"/>
      <c r="L973" s="530"/>
      <c r="M973" s="533"/>
      <c r="N973" s="530"/>
      <c r="O973" s="530"/>
      <c r="P973" s="530"/>
      <c r="Q973" s="530"/>
      <c r="R973" s="530"/>
      <c r="S973" s="1432"/>
      <c r="T973" s="533"/>
      <c r="U973" s="533"/>
      <c r="V973" s="1487"/>
      <c r="W973" s="1487"/>
      <c r="X973" s="1487"/>
      <c r="Y973" s="533"/>
      <c r="Z973" s="533"/>
      <c r="AA973" s="530"/>
      <c r="AB973" s="530"/>
      <c r="AC973" s="530"/>
      <c r="AD973" s="530"/>
      <c r="AE973" s="530"/>
      <c r="AF973" s="390"/>
      <c r="AG973" s="390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</row>
    <row r="974" spans="1:45">
      <c r="A974" s="9"/>
      <c r="B974" s="9"/>
      <c r="C974" s="530"/>
      <c r="D974" s="1359"/>
      <c r="E974" s="530"/>
      <c r="F974" s="530"/>
      <c r="G974" s="1518"/>
      <c r="H974" s="530"/>
      <c r="I974" s="1432"/>
      <c r="J974" s="530"/>
      <c r="K974" s="1102"/>
      <c r="L974" s="530"/>
      <c r="M974" s="533"/>
      <c r="N974" s="530"/>
      <c r="O974" s="530"/>
      <c r="P974" s="530"/>
      <c r="Q974" s="530"/>
      <c r="R974" s="530"/>
      <c r="S974" s="1432"/>
      <c r="T974" s="533"/>
      <c r="U974" s="533"/>
      <c r="V974" s="1487"/>
      <c r="W974" s="1487"/>
      <c r="X974" s="1487"/>
      <c r="Y974" s="533"/>
      <c r="Z974" s="533"/>
      <c r="AA974" s="530"/>
      <c r="AB974" s="530"/>
      <c r="AC974" s="530"/>
      <c r="AD974" s="530"/>
      <c r="AE974" s="530"/>
      <c r="AF974" s="390"/>
      <c r="AG974" s="390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</row>
    <row r="975" spans="1:45">
      <c r="A975" s="9"/>
      <c r="B975" s="9"/>
      <c r="C975" s="530"/>
      <c r="D975" s="1359"/>
      <c r="E975" s="530"/>
      <c r="F975" s="530"/>
      <c r="G975" s="1518"/>
      <c r="H975" s="530"/>
      <c r="I975" s="1432"/>
      <c r="J975" s="530"/>
      <c r="K975" s="1102"/>
      <c r="L975" s="530"/>
      <c r="M975" s="533"/>
      <c r="N975" s="530"/>
      <c r="O975" s="530"/>
      <c r="P975" s="530"/>
      <c r="Q975" s="530"/>
      <c r="R975" s="530"/>
      <c r="S975" s="1432"/>
      <c r="T975" s="533"/>
      <c r="U975" s="533"/>
      <c r="V975" s="1487"/>
      <c r="W975" s="1487"/>
      <c r="X975" s="1487"/>
      <c r="Y975" s="533"/>
      <c r="Z975" s="533"/>
      <c r="AA975" s="530"/>
      <c r="AB975" s="530"/>
      <c r="AC975" s="530"/>
      <c r="AD975" s="530"/>
      <c r="AE975" s="530"/>
      <c r="AF975" s="390"/>
      <c r="AG975" s="390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</row>
    <row r="976" spans="1:45">
      <c r="A976" s="9"/>
      <c r="B976" s="9"/>
      <c r="C976" s="530"/>
      <c r="D976" s="1359"/>
      <c r="E976" s="530"/>
      <c r="F976" s="530"/>
      <c r="G976" s="1518"/>
      <c r="H976" s="530"/>
      <c r="I976" s="1432"/>
      <c r="J976" s="530"/>
      <c r="K976" s="1102"/>
      <c r="L976" s="530"/>
      <c r="M976" s="533"/>
      <c r="N976" s="530"/>
      <c r="O976" s="530"/>
      <c r="P976" s="530"/>
      <c r="Q976" s="530"/>
      <c r="R976" s="530"/>
      <c r="S976" s="1432"/>
      <c r="T976" s="533"/>
      <c r="U976" s="533"/>
      <c r="V976" s="1487"/>
      <c r="W976" s="1487"/>
      <c r="X976" s="1487"/>
      <c r="Y976" s="533"/>
      <c r="Z976" s="533"/>
      <c r="AA976" s="530"/>
      <c r="AB976" s="530"/>
      <c r="AC976" s="530"/>
      <c r="AD976" s="530"/>
      <c r="AE976" s="530"/>
      <c r="AF976" s="390"/>
      <c r="AG976" s="390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</row>
    <row r="977" spans="1:45">
      <c r="A977" s="9"/>
      <c r="B977" s="9"/>
      <c r="C977" s="530"/>
      <c r="D977" s="1359"/>
      <c r="E977" s="530"/>
      <c r="F977" s="530"/>
      <c r="G977" s="1518"/>
      <c r="H977" s="530"/>
      <c r="I977" s="1432"/>
      <c r="J977" s="530"/>
      <c r="K977" s="1102"/>
      <c r="L977" s="530"/>
      <c r="M977" s="533"/>
      <c r="N977" s="530"/>
      <c r="O977" s="530"/>
      <c r="P977" s="530"/>
      <c r="Q977" s="530"/>
      <c r="R977" s="530"/>
      <c r="S977" s="1432"/>
      <c r="T977" s="533"/>
      <c r="U977" s="533"/>
      <c r="V977" s="1487"/>
      <c r="W977" s="1487"/>
      <c r="X977" s="1487"/>
      <c r="Y977" s="533"/>
      <c r="Z977" s="533"/>
      <c r="AA977" s="530"/>
      <c r="AB977" s="530"/>
      <c r="AC977" s="530"/>
      <c r="AD977" s="530"/>
      <c r="AE977" s="530"/>
      <c r="AF977" s="390"/>
      <c r="AG977" s="390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</row>
    <row r="978" spans="1:45">
      <c r="A978" s="9"/>
      <c r="B978" s="9"/>
      <c r="C978" s="530"/>
      <c r="D978" s="1359"/>
      <c r="E978" s="530"/>
      <c r="F978" s="530"/>
      <c r="G978" s="1518"/>
      <c r="H978" s="530"/>
      <c r="I978" s="1432"/>
      <c r="J978" s="530"/>
      <c r="K978" s="1102"/>
      <c r="L978" s="530"/>
      <c r="M978" s="533"/>
      <c r="N978" s="530"/>
      <c r="O978" s="530"/>
      <c r="P978" s="530"/>
      <c r="Q978" s="530"/>
      <c r="R978" s="530"/>
      <c r="S978" s="1432"/>
      <c r="T978" s="533"/>
      <c r="U978" s="533"/>
      <c r="V978" s="1487"/>
      <c r="W978" s="1487"/>
      <c r="X978" s="1487"/>
      <c r="Y978" s="533"/>
      <c r="Z978" s="533"/>
      <c r="AA978" s="530"/>
      <c r="AB978" s="530"/>
      <c r="AC978" s="530"/>
      <c r="AD978" s="530"/>
      <c r="AE978" s="530"/>
      <c r="AF978" s="390"/>
      <c r="AG978" s="390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</row>
    <row r="979" spans="1:45">
      <c r="A979" s="9"/>
      <c r="B979" s="9"/>
      <c r="C979" s="530"/>
      <c r="D979" s="1359"/>
      <c r="E979" s="530"/>
      <c r="F979" s="530"/>
      <c r="G979" s="1518"/>
      <c r="H979" s="530"/>
      <c r="I979" s="1432"/>
      <c r="J979" s="530"/>
      <c r="K979" s="1102"/>
      <c r="L979" s="530"/>
      <c r="M979" s="533"/>
      <c r="N979" s="530"/>
      <c r="O979" s="530"/>
      <c r="P979" s="530"/>
      <c r="Q979" s="530"/>
      <c r="R979" s="530"/>
      <c r="S979" s="1432"/>
      <c r="T979" s="533"/>
      <c r="U979" s="533"/>
      <c r="V979" s="1487"/>
      <c r="W979" s="1487"/>
      <c r="X979" s="1487"/>
      <c r="Y979" s="533"/>
      <c r="Z979" s="533"/>
      <c r="AA979" s="530"/>
      <c r="AB979" s="530"/>
      <c r="AC979" s="530"/>
      <c r="AD979" s="530"/>
      <c r="AE979" s="530"/>
      <c r="AF979" s="390"/>
      <c r="AG979" s="390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</row>
    <row r="980" spans="1:45">
      <c r="A980" s="9"/>
      <c r="B980" s="9"/>
      <c r="C980" s="530"/>
      <c r="D980" s="1359"/>
      <c r="E980" s="530"/>
      <c r="F980" s="530"/>
      <c r="G980" s="1518"/>
      <c r="H980" s="530"/>
      <c r="I980" s="1432"/>
      <c r="J980" s="530"/>
      <c r="K980" s="1102"/>
      <c r="L980" s="530"/>
      <c r="M980" s="533"/>
      <c r="N980" s="530"/>
      <c r="O980" s="530"/>
      <c r="P980" s="530"/>
      <c r="Q980" s="530"/>
      <c r="R980" s="530"/>
      <c r="S980" s="1432"/>
      <c r="T980" s="533"/>
      <c r="U980" s="533"/>
      <c r="V980" s="1487"/>
      <c r="W980" s="1487"/>
      <c r="X980" s="1487"/>
      <c r="Y980" s="533"/>
      <c r="Z980" s="533"/>
      <c r="AA980" s="530"/>
      <c r="AB980" s="530"/>
      <c r="AC980" s="530"/>
      <c r="AD980" s="530"/>
      <c r="AE980" s="530"/>
      <c r="AF980" s="390"/>
      <c r="AG980" s="390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</row>
    <row r="981" spans="1:45">
      <c r="A981" s="9"/>
      <c r="B981" s="9"/>
      <c r="C981" s="530"/>
      <c r="D981" s="1359"/>
      <c r="E981" s="530"/>
      <c r="F981" s="530"/>
      <c r="G981" s="1518"/>
      <c r="H981" s="530"/>
      <c r="I981" s="1432"/>
      <c r="J981" s="530"/>
      <c r="K981" s="1102"/>
      <c r="L981" s="530"/>
      <c r="M981" s="533"/>
      <c r="N981" s="530"/>
      <c r="O981" s="530"/>
      <c r="P981" s="530"/>
      <c r="Q981" s="530"/>
      <c r="R981" s="530"/>
      <c r="S981" s="1432"/>
      <c r="T981" s="533"/>
      <c r="U981" s="533"/>
      <c r="V981" s="1487"/>
      <c r="W981" s="1487"/>
      <c r="X981" s="1487"/>
      <c r="Y981" s="533"/>
      <c r="Z981" s="533"/>
      <c r="AA981" s="530"/>
      <c r="AB981" s="530"/>
      <c r="AC981" s="530"/>
      <c r="AD981" s="530"/>
      <c r="AE981" s="530"/>
      <c r="AF981" s="390"/>
      <c r="AG981" s="390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</row>
    <row r="982" spans="1:45">
      <c r="A982" s="9"/>
      <c r="B982" s="9"/>
      <c r="C982" s="530"/>
      <c r="D982" s="1359"/>
      <c r="E982" s="530"/>
      <c r="F982" s="530"/>
      <c r="G982" s="1518"/>
      <c r="H982" s="530"/>
      <c r="I982" s="1432"/>
      <c r="J982" s="530"/>
      <c r="K982" s="1102"/>
      <c r="L982" s="530"/>
      <c r="M982" s="533"/>
      <c r="N982" s="530"/>
      <c r="O982" s="530"/>
      <c r="P982" s="530"/>
      <c r="Q982" s="530"/>
      <c r="R982" s="530"/>
      <c r="S982" s="1432"/>
      <c r="T982" s="533"/>
      <c r="U982" s="533"/>
      <c r="V982" s="1487"/>
      <c r="W982" s="1487"/>
      <c r="X982" s="1487"/>
      <c r="Y982" s="533"/>
      <c r="Z982" s="533"/>
      <c r="AA982" s="530"/>
      <c r="AB982" s="530"/>
      <c r="AC982" s="530"/>
      <c r="AD982" s="530"/>
      <c r="AE982" s="530"/>
      <c r="AF982" s="390"/>
      <c r="AG982" s="390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</row>
    <row r="983" spans="1:45">
      <c r="A983" s="9"/>
      <c r="B983" s="9"/>
      <c r="C983" s="530"/>
      <c r="D983" s="1359"/>
      <c r="E983" s="530"/>
      <c r="F983" s="530"/>
      <c r="G983" s="1518"/>
      <c r="H983" s="530"/>
      <c r="I983" s="1432"/>
      <c r="J983" s="530"/>
      <c r="K983" s="1102"/>
      <c r="L983" s="530"/>
      <c r="M983" s="533"/>
      <c r="N983" s="530"/>
      <c r="O983" s="530"/>
      <c r="P983" s="530"/>
      <c r="Q983" s="530"/>
      <c r="R983" s="530"/>
      <c r="S983" s="1432"/>
      <c r="T983" s="533"/>
      <c r="U983" s="533"/>
      <c r="V983" s="1487"/>
      <c r="W983" s="1487"/>
      <c r="X983" s="1487"/>
      <c r="Y983" s="533"/>
      <c r="Z983" s="533"/>
      <c r="AA983" s="530"/>
      <c r="AB983" s="530"/>
      <c r="AC983" s="530"/>
      <c r="AD983" s="530"/>
      <c r="AE983" s="530"/>
      <c r="AF983" s="390"/>
      <c r="AG983" s="390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</row>
    <row r="984" spans="1:45">
      <c r="A984" s="9"/>
      <c r="B984" s="9"/>
      <c r="C984" s="530"/>
      <c r="D984" s="1359"/>
      <c r="E984" s="530"/>
      <c r="F984" s="530"/>
      <c r="G984" s="1518"/>
      <c r="H984" s="530"/>
      <c r="I984" s="1432"/>
      <c r="J984" s="530"/>
      <c r="K984" s="1102"/>
      <c r="L984" s="530"/>
      <c r="M984" s="533"/>
      <c r="N984" s="530"/>
      <c r="O984" s="530"/>
      <c r="P984" s="530"/>
      <c r="Q984" s="530"/>
      <c r="R984" s="530"/>
      <c r="S984" s="1432"/>
      <c r="T984" s="533"/>
      <c r="U984" s="533"/>
      <c r="V984" s="1487"/>
      <c r="W984" s="1487"/>
      <c r="X984" s="1487"/>
      <c r="Y984" s="533"/>
      <c r="Z984" s="533"/>
      <c r="AA984" s="530"/>
      <c r="AB984" s="530"/>
      <c r="AC984" s="530"/>
      <c r="AD984" s="530"/>
      <c r="AE984" s="530"/>
      <c r="AF984" s="390"/>
      <c r="AG984" s="390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</row>
    <row r="985" spans="1:45">
      <c r="A985" s="9"/>
      <c r="B985" s="9"/>
      <c r="C985" s="530"/>
      <c r="D985" s="1359"/>
      <c r="E985" s="530"/>
      <c r="F985" s="530"/>
      <c r="G985" s="1518"/>
      <c r="H985" s="530"/>
      <c r="I985" s="1432"/>
      <c r="J985" s="530"/>
      <c r="K985" s="1102"/>
      <c r="L985" s="530"/>
      <c r="M985" s="533"/>
      <c r="N985" s="530"/>
      <c r="O985" s="530"/>
      <c r="P985" s="530"/>
      <c r="Q985" s="530"/>
      <c r="R985" s="530"/>
      <c r="S985" s="1432"/>
      <c r="T985" s="533"/>
      <c r="U985" s="533"/>
      <c r="V985" s="1487"/>
      <c r="W985" s="1487"/>
      <c r="X985" s="1487"/>
      <c r="Y985" s="533"/>
      <c r="Z985" s="533"/>
      <c r="AA985" s="530"/>
      <c r="AB985" s="530"/>
      <c r="AC985" s="530"/>
      <c r="AD985" s="530"/>
      <c r="AE985" s="530"/>
      <c r="AF985" s="390"/>
      <c r="AG985" s="390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</row>
    <row r="986" spans="1:45">
      <c r="A986" s="9"/>
      <c r="B986" s="9"/>
      <c r="C986" s="530"/>
      <c r="D986" s="1359"/>
      <c r="E986" s="530"/>
      <c r="F986" s="530"/>
      <c r="G986" s="1518"/>
      <c r="H986" s="530"/>
      <c r="I986" s="1432"/>
      <c r="J986" s="530"/>
      <c r="K986" s="1102"/>
      <c r="L986" s="530"/>
      <c r="M986" s="533"/>
      <c r="N986" s="530"/>
      <c r="O986" s="530"/>
      <c r="P986" s="530"/>
      <c r="Q986" s="530"/>
      <c r="R986" s="530"/>
      <c r="S986" s="1432"/>
      <c r="T986" s="533"/>
      <c r="U986" s="533"/>
      <c r="V986" s="1487"/>
      <c r="W986" s="1487"/>
      <c r="X986" s="1487"/>
      <c r="Y986" s="533"/>
      <c r="Z986" s="533"/>
      <c r="AA986" s="530"/>
      <c r="AB986" s="530"/>
      <c r="AC986" s="530"/>
      <c r="AD986" s="530"/>
      <c r="AE986" s="530"/>
      <c r="AF986" s="390"/>
      <c r="AG986" s="390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</row>
    <row r="987" spans="1:45">
      <c r="A987" s="9"/>
      <c r="B987" s="9"/>
      <c r="C987" s="530"/>
      <c r="D987" s="1359"/>
      <c r="E987" s="530"/>
      <c r="F987" s="530"/>
      <c r="G987" s="1518"/>
      <c r="H987" s="530"/>
      <c r="I987" s="1432"/>
      <c r="J987" s="530"/>
      <c r="K987" s="1102"/>
      <c r="L987" s="530"/>
      <c r="M987" s="533"/>
      <c r="N987" s="530"/>
      <c r="O987" s="530"/>
      <c r="P987" s="530"/>
      <c r="Q987" s="530"/>
      <c r="R987" s="530"/>
      <c r="S987" s="1432"/>
      <c r="T987" s="533"/>
      <c r="U987" s="533"/>
      <c r="V987" s="1487"/>
      <c r="W987" s="1487"/>
      <c r="X987" s="1487"/>
      <c r="Y987" s="533"/>
      <c r="Z987" s="533"/>
      <c r="AA987" s="530"/>
      <c r="AB987" s="530"/>
      <c r="AC987" s="530"/>
      <c r="AD987" s="530"/>
      <c r="AE987" s="530"/>
      <c r="AF987" s="390"/>
      <c r="AG987" s="390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</row>
    <row r="988" spans="1:45">
      <c r="A988" s="9"/>
      <c r="B988" s="9"/>
      <c r="C988" s="530"/>
      <c r="D988" s="1359"/>
      <c r="E988" s="530"/>
      <c r="F988" s="530"/>
      <c r="G988" s="1518"/>
      <c r="H988" s="530"/>
      <c r="I988" s="1432"/>
      <c r="J988" s="530"/>
      <c r="K988" s="1102"/>
      <c r="L988" s="530"/>
      <c r="M988" s="533"/>
      <c r="N988" s="530"/>
      <c r="O988" s="530"/>
      <c r="P988" s="530"/>
      <c r="Q988" s="530"/>
      <c r="R988" s="530"/>
      <c r="S988" s="1432"/>
      <c r="T988" s="533"/>
      <c r="U988" s="533"/>
      <c r="V988" s="1487"/>
      <c r="W988" s="1487"/>
      <c r="X988" s="1487"/>
      <c r="Y988" s="533"/>
      <c r="Z988" s="533"/>
      <c r="AA988" s="530"/>
      <c r="AB988" s="530"/>
      <c r="AC988" s="530"/>
      <c r="AD988" s="530"/>
      <c r="AE988" s="530"/>
      <c r="AF988" s="390"/>
      <c r="AG988" s="390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</row>
    <row r="989" spans="1:45">
      <c r="A989" s="9"/>
      <c r="B989" s="9"/>
      <c r="C989" s="530"/>
      <c r="D989" s="1359"/>
      <c r="E989" s="530"/>
      <c r="F989" s="530"/>
      <c r="G989" s="1518"/>
      <c r="H989" s="530"/>
      <c r="I989" s="1432"/>
      <c r="J989" s="530"/>
      <c r="K989" s="1102"/>
      <c r="L989" s="530"/>
      <c r="M989" s="533"/>
      <c r="N989" s="530"/>
      <c r="O989" s="530"/>
      <c r="P989" s="530"/>
      <c r="Q989" s="530"/>
      <c r="R989" s="530"/>
      <c r="S989" s="1432"/>
      <c r="T989" s="533"/>
      <c r="U989" s="533"/>
      <c r="V989" s="1487"/>
      <c r="W989" s="1487"/>
      <c r="X989" s="1487"/>
      <c r="Y989" s="533"/>
      <c r="Z989" s="533"/>
      <c r="AA989" s="530"/>
      <c r="AB989" s="530"/>
      <c r="AC989" s="530"/>
      <c r="AD989" s="530"/>
      <c r="AE989" s="530"/>
      <c r="AF989" s="390"/>
      <c r="AG989" s="390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</row>
    <row r="990" spans="1:45">
      <c r="A990" s="9"/>
      <c r="B990" s="9"/>
      <c r="C990" s="530"/>
      <c r="D990" s="1359"/>
      <c r="E990" s="530"/>
      <c r="F990" s="530"/>
      <c r="G990" s="1518"/>
      <c r="H990" s="530"/>
      <c r="I990" s="1432"/>
      <c r="J990" s="530"/>
      <c r="K990" s="1102"/>
      <c r="L990" s="530"/>
      <c r="M990" s="533"/>
      <c r="N990" s="530"/>
      <c r="O990" s="530"/>
      <c r="P990" s="530"/>
      <c r="Q990" s="530"/>
      <c r="R990" s="530"/>
      <c r="S990" s="1432"/>
      <c r="T990" s="533"/>
      <c r="U990" s="533"/>
      <c r="V990" s="1487"/>
      <c r="W990" s="1487"/>
      <c r="X990" s="1487"/>
      <c r="Y990" s="533"/>
      <c r="Z990" s="533"/>
      <c r="AA990" s="530"/>
      <c r="AB990" s="530"/>
      <c r="AC990" s="530"/>
      <c r="AD990" s="530"/>
      <c r="AE990" s="530"/>
      <c r="AF990" s="390"/>
      <c r="AG990" s="390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</row>
    <row r="991" spans="1:45">
      <c r="A991" s="9"/>
      <c r="B991" s="9"/>
      <c r="C991" s="530"/>
      <c r="D991" s="1359"/>
      <c r="E991" s="530"/>
      <c r="F991" s="530"/>
      <c r="G991" s="1518"/>
      <c r="H991" s="530"/>
      <c r="I991" s="1432"/>
      <c r="J991" s="530"/>
      <c r="K991" s="1102"/>
      <c r="L991" s="530"/>
      <c r="M991" s="533"/>
      <c r="N991" s="530"/>
      <c r="O991" s="530"/>
      <c r="P991" s="530"/>
      <c r="Q991" s="530"/>
      <c r="R991" s="530"/>
      <c r="S991" s="1432"/>
      <c r="T991" s="533"/>
      <c r="U991" s="533"/>
      <c r="V991" s="1487"/>
      <c r="W991" s="1487"/>
      <c r="X991" s="1487"/>
      <c r="Y991" s="533"/>
      <c r="Z991" s="533"/>
      <c r="AA991" s="530"/>
      <c r="AB991" s="530"/>
      <c r="AC991" s="530"/>
      <c r="AD991" s="530"/>
      <c r="AE991" s="530"/>
      <c r="AF991" s="390"/>
      <c r="AG991" s="390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</row>
    <row r="992" spans="1:45">
      <c r="A992" s="9"/>
      <c r="B992" s="9"/>
      <c r="C992" s="530"/>
      <c r="D992" s="1359"/>
      <c r="E992" s="530"/>
      <c r="F992" s="530"/>
      <c r="G992" s="1518"/>
      <c r="H992" s="530"/>
      <c r="I992" s="1432"/>
      <c r="J992" s="530"/>
      <c r="K992" s="1102"/>
      <c r="L992" s="530"/>
      <c r="M992" s="533"/>
      <c r="N992" s="530"/>
      <c r="O992" s="530"/>
      <c r="P992" s="530"/>
      <c r="Q992" s="530"/>
      <c r="R992" s="530"/>
      <c r="S992" s="1432"/>
      <c r="T992" s="533"/>
      <c r="U992" s="533"/>
      <c r="V992" s="1487"/>
      <c r="W992" s="1487"/>
      <c r="X992" s="1487"/>
      <c r="Y992" s="533"/>
      <c r="Z992" s="533"/>
      <c r="AA992" s="530"/>
      <c r="AB992" s="530"/>
      <c r="AC992" s="530"/>
      <c r="AD992" s="530"/>
      <c r="AE992" s="530"/>
      <c r="AF992" s="390"/>
      <c r="AG992" s="390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</row>
    <row r="993" spans="1:45">
      <c r="A993" s="9"/>
      <c r="B993" s="9"/>
      <c r="C993" s="530"/>
      <c r="D993" s="1359"/>
      <c r="E993" s="530"/>
      <c r="F993" s="530"/>
      <c r="G993" s="1518"/>
      <c r="H993" s="530"/>
      <c r="I993" s="1432"/>
      <c r="J993" s="530"/>
      <c r="K993" s="1102"/>
      <c r="L993" s="530"/>
      <c r="M993" s="533"/>
      <c r="N993" s="530"/>
      <c r="O993" s="530"/>
      <c r="P993" s="530"/>
      <c r="Q993" s="530"/>
      <c r="R993" s="530"/>
      <c r="S993" s="1432"/>
      <c r="T993" s="533"/>
      <c r="U993" s="533"/>
      <c r="V993" s="1487"/>
      <c r="W993" s="1487"/>
      <c r="X993" s="1487"/>
      <c r="Y993" s="533"/>
      <c r="Z993" s="533"/>
      <c r="AA993" s="530"/>
      <c r="AB993" s="530"/>
      <c r="AC993" s="530"/>
      <c r="AD993" s="530"/>
      <c r="AE993" s="530"/>
      <c r="AF993" s="390"/>
      <c r="AG993" s="390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</row>
    <row r="994" spans="1:45">
      <c r="A994" s="9"/>
      <c r="B994" s="9"/>
      <c r="C994" s="530"/>
      <c r="D994" s="1359"/>
      <c r="E994" s="530"/>
      <c r="F994" s="530"/>
      <c r="G994" s="1518"/>
      <c r="H994" s="530"/>
      <c r="I994" s="1432"/>
      <c r="J994" s="530"/>
      <c r="K994" s="1102"/>
      <c r="L994" s="530"/>
      <c r="M994" s="533"/>
      <c r="N994" s="530"/>
      <c r="O994" s="530"/>
      <c r="P994" s="530"/>
      <c r="Q994" s="530"/>
      <c r="R994" s="530"/>
      <c r="S994" s="1432"/>
      <c r="T994" s="533"/>
      <c r="U994" s="533"/>
      <c r="V994" s="1487"/>
      <c r="W994" s="1487"/>
      <c r="X994" s="1487"/>
      <c r="Y994" s="533"/>
      <c r="Z994" s="533"/>
      <c r="AA994" s="530"/>
      <c r="AB994" s="530"/>
      <c r="AC994" s="530"/>
      <c r="AD994" s="530"/>
      <c r="AE994" s="530"/>
      <c r="AF994" s="390"/>
      <c r="AG994" s="390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</row>
    <row r="995" spans="1:45">
      <c r="A995" s="9"/>
      <c r="B995" s="9"/>
      <c r="C995" s="530"/>
      <c r="D995" s="1359"/>
      <c r="E995" s="530"/>
      <c r="F995" s="530"/>
      <c r="G995" s="1518"/>
      <c r="H995" s="530"/>
      <c r="I995" s="1432"/>
      <c r="J995" s="530"/>
      <c r="K995" s="1102"/>
      <c r="L995" s="530"/>
      <c r="M995" s="533"/>
      <c r="N995" s="530"/>
      <c r="O995" s="530"/>
      <c r="P995" s="530"/>
      <c r="Q995" s="530"/>
      <c r="R995" s="530"/>
      <c r="S995" s="1432"/>
      <c r="T995" s="533"/>
      <c r="U995" s="533"/>
      <c r="V995" s="1487"/>
      <c r="W995" s="1487"/>
      <c r="X995" s="1487"/>
      <c r="Y995" s="533"/>
      <c r="Z995" s="533"/>
      <c r="AA995" s="530"/>
      <c r="AB995" s="530"/>
      <c r="AC995" s="530"/>
      <c r="AD995" s="530"/>
      <c r="AE995" s="530"/>
      <c r="AF995" s="390"/>
      <c r="AG995" s="390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</row>
    <row r="996" spans="1:45">
      <c r="A996" s="9"/>
      <c r="B996" s="9"/>
      <c r="C996" s="530"/>
      <c r="D996" s="1359"/>
      <c r="E996" s="530"/>
      <c r="F996" s="530"/>
      <c r="G996" s="1518"/>
      <c r="H996" s="530"/>
      <c r="I996" s="1432"/>
      <c r="J996" s="530"/>
      <c r="K996" s="1102"/>
      <c r="L996" s="530"/>
      <c r="M996" s="533"/>
      <c r="N996" s="530"/>
      <c r="O996" s="530"/>
      <c r="P996" s="530"/>
      <c r="Q996" s="530"/>
      <c r="R996" s="530"/>
      <c r="S996" s="1432"/>
      <c r="T996" s="533"/>
      <c r="U996" s="533"/>
      <c r="V996" s="1487"/>
      <c r="W996" s="1487"/>
      <c r="X996" s="1487"/>
      <c r="Y996" s="533"/>
      <c r="Z996" s="533"/>
      <c r="AA996" s="530"/>
      <c r="AB996" s="530"/>
      <c r="AC996" s="530"/>
      <c r="AD996" s="530"/>
      <c r="AE996" s="530"/>
      <c r="AF996" s="390"/>
      <c r="AG996" s="390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</row>
    <row r="997" spans="1:45">
      <c r="A997" s="9"/>
      <c r="B997" s="9"/>
      <c r="C997" s="530"/>
      <c r="D997" s="1359"/>
      <c r="E997" s="530"/>
      <c r="F997" s="530"/>
      <c r="G997" s="1518"/>
      <c r="H997" s="530"/>
      <c r="I997" s="1432"/>
      <c r="J997" s="530"/>
      <c r="K997" s="1102"/>
      <c r="L997" s="530"/>
      <c r="M997" s="533"/>
      <c r="N997" s="530"/>
      <c r="O997" s="530"/>
      <c r="P997" s="530"/>
      <c r="Q997" s="530"/>
      <c r="R997" s="530"/>
      <c r="S997" s="1432"/>
      <c r="T997" s="533"/>
      <c r="U997" s="533"/>
      <c r="V997" s="1487"/>
      <c r="W997" s="1487"/>
      <c r="X997" s="1487"/>
      <c r="Y997" s="533"/>
      <c r="Z997" s="533"/>
      <c r="AA997" s="530"/>
      <c r="AB997" s="530"/>
      <c r="AC997" s="530"/>
      <c r="AD997" s="530"/>
      <c r="AE997" s="530"/>
      <c r="AF997" s="390"/>
      <c r="AG997" s="390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</row>
    <row r="998" spans="1:45">
      <c r="A998" s="9"/>
      <c r="B998" s="9"/>
      <c r="C998" s="530"/>
      <c r="D998" s="1359"/>
      <c r="E998" s="530"/>
      <c r="F998" s="530"/>
      <c r="G998" s="1518"/>
      <c r="H998" s="530"/>
      <c r="I998" s="1432"/>
      <c r="J998" s="530"/>
      <c r="K998" s="1102"/>
      <c r="L998" s="530"/>
      <c r="M998" s="533"/>
      <c r="N998" s="530"/>
      <c r="O998" s="530"/>
      <c r="P998" s="530"/>
      <c r="Q998" s="530"/>
      <c r="R998" s="530"/>
      <c r="S998" s="1432"/>
      <c r="T998" s="533"/>
      <c r="U998" s="533"/>
      <c r="V998" s="1487"/>
      <c r="W998" s="1487"/>
      <c r="X998" s="1487"/>
      <c r="Y998" s="533"/>
      <c r="Z998" s="533"/>
      <c r="AA998" s="530"/>
      <c r="AB998" s="530"/>
      <c r="AC998" s="530"/>
      <c r="AD998" s="530"/>
      <c r="AE998" s="530"/>
      <c r="AF998" s="390"/>
      <c r="AG998" s="390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</row>
    <row r="999" spans="1:45">
      <c r="A999" s="9"/>
      <c r="B999" s="9"/>
      <c r="C999" s="530"/>
      <c r="D999" s="1359"/>
      <c r="E999" s="530"/>
      <c r="F999" s="530"/>
      <c r="G999" s="1518"/>
      <c r="H999" s="530"/>
      <c r="I999" s="1432"/>
      <c r="J999" s="530"/>
      <c r="K999" s="1102"/>
      <c r="L999" s="530"/>
      <c r="M999" s="533"/>
      <c r="N999" s="530"/>
      <c r="O999" s="530"/>
      <c r="P999" s="530"/>
      <c r="Q999" s="530"/>
      <c r="R999" s="530"/>
      <c r="S999" s="1432"/>
      <c r="T999" s="533"/>
      <c r="U999" s="533"/>
      <c r="V999" s="1487"/>
      <c r="W999" s="1487"/>
      <c r="X999" s="1487"/>
      <c r="Y999" s="533"/>
      <c r="Z999" s="533"/>
      <c r="AA999" s="530"/>
      <c r="AB999" s="530"/>
      <c r="AC999" s="530"/>
      <c r="AD999" s="530"/>
      <c r="AE999" s="530"/>
      <c r="AF999" s="390"/>
      <c r="AG999" s="390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</row>
    <row r="1000" spans="1:45">
      <c r="A1000" s="9"/>
      <c r="B1000" s="9"/>
      <c r="C1000" s="530"/>
      <c r="D1000" s="1359"/>
      <c r="E1000" s="530"/>
      <c r="F1000" s="530"/>
      <c r="G1000" s="1518"/>
      <c r="H1000" s="530"/>
      <c r="I1000" s="1432"/>
      <c r="J1000" s="530"/>
      <c r="K1000" s="1102"/>
      <c r="L1000" s="530"/>
      <c r="M1000" s="533"/>
      <c r="N1000" s="530"/>
      <c r="O1000" s="530"/>
      <c r="P1000" s="530"/>
      <c r="Q1000" s="530"/>
      <c r="R1000" s="530"/>
      <c r="S1000" s="1432"/>
      <c r="T1000" s="533"/>
      <c r="U1000" s="533"/>
      <c r="V1000" s="1487"/>
      <c r="W1000" s="1487"/>
      <c r="X1000" s="1487"/>
      <c r="Y1000" s="533"/>
      <c r="Z1000" s="533"/>
      <c r="AA1000" s="530"/>
      <c r="AB1000" s="530"/>
      <c r="AC1000" s="530"/>
      <c r="AD1000" s="530"/>
      <c r="AE1000" s="530"/>
      <c r="AF1000" s="390"/>
      <c r="AG1000" s="390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</row>
    <row r="1001" spans="1:45">
      <c r="A1001" s="9"/>
      <c r="B1001" s="9"/>
      <c r="C1001" s="530"/>
      <c r="D1001" s="1359"/>
      <c r="E1001" s="530"/>
      <c r="F1001" s="530"/>
      <c r="G1001" s="1518"/>
      <c r="H1001" s="530"/>
      <c r="I1001" s="1432"/>
      <c r="J1001" s="530"/>
      <c r="K1001" s="1102"/>
      <c r="L1001" s="530"/>
      <c r="M1001" s="533"/>
      <c r="N1001" s="530"/>
      <c r="O1001" s="530"/>
      <c r="P1001" s="530"/>
      <c r="Q1001" s="530"/>
      <c r="R1001" s="530"/>
      <c r="S1001" s="1432"/>
      <c r="T1001" s="533"/>
      <c r="U1001" s="533"/>
      <c r="V1001" s="1487"/>
      <c r="W1001" s="1487"/>
      <c r="X1001" s="1487"/>
      <c r="Y1001" s="533"/>
      <c r="Z1001" s="533"/>
      <c r="AA1001" s="530"/>
      <c r="AB1001" s="530"/>
      <c r="AC1001" s="530"/>
      <c r="AD1001" s="530"/>
      <c r="AE1001" s="530"/>
      <c r="AF1001" s="390"/>
      <c r="AG1001" s="390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</row>
    <row r="1002" spans="1:45">
      <c r="A1002" s="9"/>
      <c r="B1002" s="9"/>
      <c r="C1002" s="530"/>
      <c r="D1002" s="1359"/>
      <c r="E1002" s="530"/>
      <c r="F1002" s="530"/>
      <c r="G1002" s="1518"/>
      <c r="H1002" s="530"/>
      <c r="I1002" s="1432"/>
      <c r="J1002" s="530"/>
      <c r="K1002" s="1102"/>
      <c r="L1002" s="530"/>
      <c r="M1002" s="533"/>
      <c r="N1002" s="530"/>
      <c r="O1002" s="530"/>
      <c r="P1002" s="530"/>
      <c r="Q1002" s="530"/>
      <c r="R1002" s="530"/>
      <c r="S1002" s="1432"/>
      <c r="T1002" s="533"/>
      <c r="U1002" s="533"/>
      <c r="V1002" s="1487"/>
      <c r="W1002" s="1487"/>
      <c r="X1002" s="1487"/>
      <c r="Y1002" s="533"/>
      <c r="Z1002" s="533"/>
      <c r="AA1002" s="530"/>
      <c r="AB1002" s="530"/>
      <c r="AC1002" s="530"/>
      <c r="AD1002" s="530"/>
      <c r="AE1002" s="530"/>
      <c r="AF1002" s="390"/>
      <c r="AG1002" s="390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</row>
    <row r="1003" spans="1:45">
      <c r="A1003" s="9"/>
      <c r="B1003" s="9"/>
      <c r="C1003" s="530"/>
      <c r="D1003" s="1359"/>
      <c r="E1003" s="530"/>
      <c r="F1003" s="530"/>
      <c r="G1003" s="1518"/>
      <c r="H1003" s="530"/>
      <c r="I1003" s="1432"/>
      <c r="J1003" s="530"/>
      <c r="K1003" s="1102"/>
      <c r="L1003" s="530"/>
      <c r="M1003" s="533"/>
      <c r="N1003" s="530"/>
      <c r="O1003" s="530"/>
      <c r="P1003" s="530"/>
      <c r="Q1003" s="530"/>
      <c r="R1003" s="530"/>
      <c r="S1003" s="1432"/>
      <c r="T1003" s="533"/>
      <c r="U1003" s="533"/>
      <c r="V1003" s="1487"/>
      <c r="W1003" s="1487"/>
      <c r="X1003" s="1487"/>
      <c r="Y1003" s="533"/>
      <c r="Z1003" s="533"/>
      <c r="AA1003" s="530"/>
      <c r="AB1003" s="530"/>
      <c r="AC1003" s="530"/>
      <c r="AD1003" s="530"/>
      <c r="AE1003" s="530"/>
      <c r="AF1003" s="390"/>
      <c r="AG1003" s="390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</row>
    <row r="1004" spans="1:45">
      <c r="A1004" s="9"/>
      <c r="B1004" s="9"/>
      <c r="C1004" s="530"/>
      <c r="D1004" s="1359"/>
      <c r="E1004" s="530"/>
      <c r="F1004" s="530"/>
      <c r="G1004" s="1518"/>
      <c r="H1004" s="530"/>
      <c r="I1004" s="1432"/>
      <c r="J1004" s="530"/>
      <c r="K1004" s="1102"/>
      <c r="L1004" s="530"/>
      <c r="M1004" s="533"/>
      <c r="N1004" s="530"/>
      <c r="O1004" s="530"/>
      <c r="P1004" s="530"/>
      <c r="Q1004" s="530"/>
      <c r="R1004" s="530"/>
      <c r="S1004" s="1432"/>
      <c r="T1004" s="533"/>
      <c r="U1004" s="533"/>
      <c r="V1004" s="1487"/>
      <c r="W1004" s="1487"/>
      <c r="X1004" s="1487"/>
      <c r="Y1004" s="533"/>
      <c r="Z1004" s="533"/>
      <c r="AA1004" s="530"/>
      <c r="AB1004" s="530"/>
      <c r="AC1004" s="530"/>
      <c r="AD1004" s="530"/>
      <c r="AE1004" s="530"/>
      <c r="AF1004" s="390"/>
      <c r="AG1004" s="390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</row>
    <row r="1005" spans="1:45">
      <c r="A1005" s="9"/>
      <c r="B1005" s="9"/>
      <c r="C1005" s="530"/>
      <c r="D1005" s="1359"/>
      <c r="E1005" s="530"/>
      <c r="F1005" s="530"/>
      <c r="G1005" s="1518"/>
      <c r="H1005" s="530"/>
      <c r="I1005" s="1432"/>
      <c r="J1005" s="530"/>
      <c r="K1005" s="1102"/>
      <c r="L1005" s="530"/>
      <c r="M1005" s="533"/>
      <c r="N1005" s="530"/>
      <c r="O1005" s="530"/>
      <c r="P1005" s="530"/>
      <c r="Q1005" s="530"/>
      <c r="R1005" s="530"/>
      <c r="S1005" s="1432"/>
      <c r="T1005" s="533"/>
      <c r="U1005" s="533"/>
      <c r="V1005" s="1487"/>
      <c r="W1005" s="1487"/>
      <c r="X1005" s="1487"/>
      <c r="Y1005" s="533"/>
      <c r="Z1005" s="533"/>
      <c r="AA1005" s="530"/>
      <c r="AB1005" s="530"/>
      <c r="AC1005" s="530"/>
      <c r="AD1005" s="530"/>
      <c r="AE1005" s="530"/>
      <c r="AF1005" s="390"/>
      <c r="AG1005" s="390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</row>
    <row r="1006" spans="1:45">
      <c r="A1006" s="9"/>
      <c r="B1006" s="9"/>
      <c r="C1006" s="530"/>
      <c r="D1006" s="1359"/>
      <c r="E1006" s="530"/>
      <c r="F1006" s="530"/>
      <c r="G1006" s="1518"/>
      <c r="H1006" s="530"/>
      <c r="I1006" s="1432"/>
      <c r="J1006" s="530"/>
      <c r="K1006" s="1102"/>
      <c r="L1006" s="530"/>
      <c r="M1006" s="533"/>
      <c r="N1006" s="530"/>
      <c r="O1006" s="530"/>
      <c r="P1006" s="530"/>
      <c r="Q1006" s="530"/>
      <c r="R1006" s="530"/>
      <c r="S1006" s="1432"/>
      <c r="T1006" s="533"/>
      <c r="U1006" s="533"/>
      <c r="V1006" s="1487"/>
      <c r="W1006" s="1487"/>
      <c r="X1006" s="1487"/>
      <c r="Y1006" s="533"/>
      <c r="Z1006" s="533"/>
      <c r="AA1006" s="530"/>
      <c r="AB1006" s="530"/>
      <c r="AC1006" s="530"/>
      <c r="AD1006" s="530"/>
      <c r="AE1006" s="530"/>
      <c r="AF1006" s="390"/>
      <c r="AG1006" s="390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</row>
    <row r="1007" spans="1:45">
      <c r="A1007" s="9"/>
      <c r="B1007" s="9"/>
      <c r="C1007" s="530"/>
      <c r="D1007" s="1359"/>
      <c r="E1007" s="530"/>
      <c r="F1007" s="530"/>
      <c r="G1007" s="1518"/>
      <c r="H1007" s="530"/>
      <c r="I1007" s="1432"/>
      <c r="J1007" s="530"/>
      <c r="K1007" s="1102"/>
      <c r="L1007" s="530"/>
      <c r="M1007" s="533"/>
      <c r="N1007" s="530"/>
      <c r="O1007" s="530"/>
      <c r="P1007" s="530"/>
      <c r="Q1007" s="530"/>
      <c r="R1007" s="530"/>
      <c r="S1007" s="1432"/>
      <c r="T1007" s="533"/>
      <c r="U1007" s="533"/>
      <c r="V1007" s="1487"/>
      <c r="W1007" s="1487"/>
      <c r="X1007" s="1487"/>
      <c r="Y1007" s="533"/>
      <c r="Z1007" s="533"/>
      <c r="AA1007" s="530"/>
      <c r="AB1007" s="530"/>
      <c r="AC1007" s="530"/>
      <c r="AD1007" s="530"/>
      <c r="AE1007" s="530"/>
      <c r="AF1007" s="390"/>
      <c r="AG1007" s="390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</row>
    <row r="1008" spans="1:45">
      <c r="A1008" s="9"/>
      <c r="B1008" s="9"/>
      <c r="C1008" s="530"/>
      <c r="D1008" s="1359"/>
      <c r="E1008" s="530"/>
      <c r="F1008" s="530"/>
      <c r="G1008" s="1518"/>
      <c r="H1008" s="530"/>
      <c r="I1008" s="1432"/>
      <c r="J1008" s="530"/>
      <c r="K1008" s="1102"/>
      <c r="L1008" s="530"/>
      <c r="M1008" s="533"/>
      <c r="N1008" s="530"/>
      <c r="O1008" s="530"/>
      <c r="P1008" s="530"/>
      <c r="Q1008" s="530"/>
      <c r="R1008" s="530"/>
      <c r="S1008" s="1432"/>
      <c r="T1008" s="533"/>
      <c r="U1008" s="533"/>
      <c r="V1008" s="1487"/>
      <c r="W1008" s="1487"/>
      <c r="X1008" s="1487"/>
      <c r="Y1008" s="533"/>
      <c r="Z1008" s="533"/>
      <c r="AA1008" s="530"/>
      <c r="AB1008" s="530"/>
      <c r="AC1008" s="530"/>
      <c r="AD1008" s="530"/>
      <c r="AE1008" s="530"/>
      <c r="AF1008" s="390"/>
      <c r="AG1008" s="390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</row>
    <row r="1009" spans="1:45">
      <c r="A1009" s="9"/>
      <c r="B1009" s="9"/>
      <c r="C1009" s="530"/>
      <c r="D1009" s="1359"/>
      <c r="E1009" s="530"/>
      <c r="F1009" s="530"/>
      <c r="G1009" s="1518"/>
      <c r="H1009" s="530"/>
      <c r="I1009" s="1432"/>
      <c r="J1009" s="530"/>
      <c r="K1009" s="1102"/>
      <c r="L1009" s="530"/>
      <c r="M1009" s="533"/>
      <c r="N1009" s="530"/>
      <c r="O1009" s="530"/>
      <c r="P1009" s="530"/>
      <c r="Q1009" s="530"/>
      <c r="R1009" s="530"/>
      <c r="S1009" s="1432"/>
      <c r="T1009" s="533"/>
      <c r="U1009" s="533"/>
      <c r="V1009" s="1487"/>
      <c r="W1009" s="1487"/>
      <c r="X1009" s="1487"/>
      <c r="Y1009" s="533"/>
      <c r="Z1009" s="533"/>
      <c r="AA1009" s="530"/>
      <c r="AB1009" s="530"/>
      <c r="AC1009" s="530"/>
      <c r="AD1009" s="530"/>
      <c r="AE1009" s="530"/>
      <c r="AF1009" s="390"/>
      <c r="AG1009" s="390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</row>
    <row r="1010" spans="1:45">
      <c r="A1010" s="9"/>
      <c r="B1010" s="9"/>
      <c r="C1010" s="530"/>
      <c r="D1010" s="1359"/>
      <c r="E1010" s="530"/>
      <c r="F1010" s="530"/>
      <c r="G1010" s="1518"/>
      <c r="H1010" s="530"/>
      <c r="I1010" s="1432"/>
      <c r="J1010" s="530"/>
      <c r="K1010" s="1102"/>
      <c r="L1010" s="530"/>
      <c r="M1010" s="533"/>
      <c r="N1010" s="530"/>
      <c r="O1010" s="530"/>
      <c r="P1010" s="530"/>
      <c r="Q1010" s="530"/>
      <c r="R1010" s="530"/>
      <c r="S1010" s="1432"/>
      <c r="T1010" s="533"/>
      <c r="U1010" s="533"/>
      <c r="V1010" s="1487"/>
      <c r="W1010" s="1487"/>
      <c r="X1010" s="1487"/>
      <c r="Y1010" s="533"/>
      <c r="Z1010" s="533"/>
      <c r="AA1010" s="530"/>
      <c r="AB1010" s="530"/>
      <c r="AC1010" s="530"/>
      <c r="AD1010" s="530"/>
      <c r="AE1010" s="530"/>
      <c r="AF1010" s="390"/>
      <c r="AG1010" s="390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</row>
    <row r="1011" spans="1:45">
      <c r="A1011" s="9"/>
      <c r="B1011" s="9"/>
      <c r="C1011" s="530"/>
      <c r="D1011" s="1359"/>
      <c r="E1011" s="530"/>
      <c r="F1011" s="530"/>
      <c r="G1011" s="1518"/>
      <c r="H1011" s="530"/>
      <c r="I1011" s="1432"/>
      <c r="J1011" s="530"/>
      <c r="K1011" s="1102"/>
      <c r="L1011" s="530"/>
      <c r="M1011" s="533"/>
      <c r="N1011" s="530"/>
      <c r="O1011" s="530"/>
      <c r="P1011" s="530"/>
      <c r="Q1011" s="530"/>
      <c r="R1011" s="530"/>
      <c r="S1011" s="1432"/>
      <c r="T1011" s="533"/>
      <c r="U1011" s="533"/>
      <c r="V1011" s="1487"/>
      <c r="W1011" s="1487"/>
      <c r="X1011" s="1487"/>
      <c r="Y1011" s="533"/>
      <c r="Z1011" s="533"/>
      <c r="AA1011" s="530"/>
      <c r="AB1011" s="530"/>
      <c r="AC1011" s="530"/>
      <c r="AD1011" s="530"/>
      <c r="AE1011" s="530"/>
      <c r="AF1011" s="390"/>
      <c r="AG1011" s="390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</row>
    <row r="1012" spans="1:45">
      <c r="A1012" s="9"/>
      <c r="B1012" s="9"/>
      <c r="C1012" s="530"/>
      <c r="D1012" s="1359"/>
      <c r="E1012" s="530"/>
      <c r="F1012" s="530"/>
      <c r="G1012" s="1518"/>
      <c r="H1012" s="530"/>
      <c r="I1012" s="1432"/>
      <c r="J1012" s="530"/>
      <c r="K1012" s="1102"/>
      <c r="L1012" s="530"/>
      <c r="M1012" s="533"/>
      <c r="N1012" s="530"/>
      <c r="O1012" s="530"/>
      <c r="P1012" s="530"/>
      <c r="Q1012" s="530"/>
      <c r="R1012" s="530"/>
      <c r="S1012" s="1432"/>
      <c r="T1012" s="533"/>
      <c r="U1012" s="533"/>
      <c r="V1012" s="1487"/>
      <c r="W1012" s="1487"/>
      <c r="X1012" s="1487"/>
      <c r="Y1012" s="533"/>
      <c r="Z1012" s="533"/>
      <c r="AA1012" s="530"/>
      <c r="AB1012" s="530"/>
      <c r="AC1012" s="530"/>
      <c r="AD1012" s="530"/>
      <c r="AE1012" s="530"/>
      <c r="AF1012" s="390"/>
      <c r="AG1012" s="390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</row>
    <row r="1013" spans="1:45">
      <c r="A1013" s="9"/>
      <c r="B1013" s="9"/>
      <c r="C1013" s="530"/>
      <c r="D1013" s="1359"/>
      <c r="E1013" s="530"/>
      <c r="F1013" s="530"/>
      <c r="G1013" s="1518"/>
      <c r="H1013" s="530"/>
      <c r="I1013" s="1432"/>
      <c r="J1013" s="530"/>
      <c r="K1013" s="1102"/>
      <c r="L1013" s="530"/>
      <c r="M1013" s="533"/>
      <c r="N1013" s="530"/>
      <c r="O1013" s="530"/>
      <c r="P1013" s="530"/>
      <c r="Q1013" s="530"/>
      <c r="R1013" s="530"/>
      <c r="S1013" s="1432"/>
      <c r="T1013" s="533"/>
      <c r="U1013" s="533"/>
      <c r="V1013" s="1487"/>
      <c r="W1013" s="1487"/>
      <c r="X1013" s="1487"/>
      <c r="Y1013" s="533"/>
      <c r="Z1013" s="533"/>
      <c r="AA1013" s="530"/>
      <c r="AB1013" s="530"/>
      <c r="AC1013" s="530"/>
      <c r="AD1013" s="530"/>
      <c r="AE1013" s="530"/>
      <c r="AF1013" s="390"/>
      <c r="AG1013" s="390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</row>
    <row r="1014" spans="1:45">
      <c r="A1014" s="9"/>
      <c r="B1014" s="9"/>
      <c r="C1014" s="530"/>
      <c r="D1014" s="1359"/>
      <c r="E1014" s="530"/>
      <c r="F1014" s="530"/>
      <c r="G1014" s="1518"/>
      <c r="H1014" s="530"/>
      <c r="I1014" s="1432"/>
      <c r="J1014" s="530"/>
      <c r="K1014" s="1102"/>
      <c r="L1014" s="530"/>
      <c r="M1014" s="533"/>
      <c r="N1014" s="530"/>
      <c r="O1014" s="530"/>
      <c r="P1014" s="530"/>
      <c r="Q1014" s="530"/>
      <c r="R1014" s="530"/>
      <c r="S1014" s="1432"/>
      <c r="T1014" s="533"/>
      <c r="U1014" s="533"/>
      <c r="V1014" s="1487"/>
      <c r="W1014" s="1487"/>
      <c r="X1014" s="1487"/>
      <c r="Y1014" s="533"/>
      <c r="Z1014" s="533"/>
      <c r="AA1014" s="530"/>
      <c r="AB1014" s="530"/>
      <c r="AC1014" s="530"/>
      <c r="AD1014" s="530"/>
      <c r="AE1014" s="530"/>
      <c r="AF1014" s="390"/>
      <c r="AG1014" s="390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</row>
    <row r="1015" spans="1:45">
      <c r="A1015" s="9"/>
      <c r="B1015" s="9"/>
      <c r="C1015" s="530"/>
      <c r="D1015" s="1359"/>
      <c r="E1015" s="530"/>
      <c r="F1015" s="530"/>
      <c r="G1015" s="1518"/>
      <c r="H1015" s="530"/>
      <c r="I1015" s="1432"/>
      <c r="J1015" s="530"/>
      <c r="K1015" s="1102"/>
      <c r="L1015" s="530"/>
      <c r="M1015" s="533"/>
      <c r="N1015" s="530"/>
      <c r="O1015" s="530"/>
      <c r="P1015" s="530"/>
      <c r="Q1015" s="530"/>
      <c r="R1015" s="530"/>
      <c r="S1015" s="1432"/>
      <c r="T1015" s="533"/>
      <c r="U1015" s="533"/>
      <c r="V1015" s="1487"/>
      <c r="W1015" s="1487"/>
      <c r="X1015" s="1487"/>
      <c r="Y1015" s="533"/>
      <c r="Z1015" s="533"/>
      <c r="AA1015" s="530"/>
      <c r="AB1015" s="530"/>
      <c r="AC1015" s="530"/>
      <c r="AD1015" s="530"/>
      <c r="AE1015" s="530"/>
      <c r="AF1015" s="390"/>
      <c r="AG1015" s="390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</row>
    <row r="1016" spans="1:45">
      <c r="A1016" s="9"/>
      <c r="B1016" s="9"/>
      <c r="C1016" s="530"/>
      <c r="D1016" s="1359"/>
      <c r="E1016" s="530"/>
      <c r="F1016" s="530"/>
      <c r="G1016" s="1518"/>
      <c r="H1016" s="530"/>
      <c r="I1016" s="1432"/>
      <c r="J1016" s="530"/>
      <c r="K1016" s="1102"/>
      <c r="L1016" s="530"/>
      <c r="M1016" s="533"/>
      <c r="N1016" s="530"/>
      <c r="O1016" s="530"/>
      <c r="P1016" s="530"/>
      <c r="Q1016" s="530"/>
      <c r="R1016" s="530"/>
      <c r="S1016" s="1432"/>
      <c r="T1016" s="533"/>
      <c r="U1016" s="533"/>
      <c r="V1016" s="1487"/>
      <c r="W1016" s="1487"/>
      <c r="X1016" s="1487"/>
      <c r="Y1016" s="533"/>
      <c r="Z1016" s="533"/>
      <c r="AA1016" s="530"/>
      <c r="AB1016" s="530"/>
      <c r="AC1016" s="530"/>
      <c r="AD1016" s="530"/>
      <c r="AE1016" s="530"/>
      <c r="AF1016" s="390"/>
      <c r="AG1016" s="390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</row>
    <row r="1017" spans="1:45">
      <c r="A1017" s="9"/>
      <c r="B1017" s="9"/>
      <c r="C1017" s="530"/>
      <c r="D1017" s="1359"/>
      <c r="E1017" s="530"/>
      <c r="F1017" s="530"/>
      <c r="G1017" s="1518"/>
      <c r="H1017" s="530"/>
      <c r="I1017" s="1432"/>
      <c r="J1017" s="530"/>
      <c r="K1017" s="1102"/>
      <c r="L1017" s="530"/>
      <c r="M1017" s="533"/>
      <c r="N1017" s="530"/>
      <c r="O1017" s="530"/>
      <c r="P1017" s="530"/>
      <c r="Q1017" s="530"/>
      <c r="R1017" s="530"/>
      <c r="S1017" s="1432"/>
      <c r="T1017" s="533"/>
      <c r="U1017" s="533"/>
      <c r="V1017" s="1487"/>
      <c r="W1017" s="1487"/>
      <c r="X1017" s="1487"/>
      <c r="Y1017" s="533"/>
      <c r="Z1017" s="533"/>
      <c r="AA1017" s="530"/>
      <c r="AB1017" s="530"/>
      <c r="AC1017" s="530"/>
      <c r="AD1017" s="530"/>
      <c r="AE1017" s="530"/>
      <c r="AF1017" s="390"/>
      <c r="AG1017" s="390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</row>
    <row r="1018" spans="1:45">
      <c r="A1018" s="9"/>
      <c r="B1018" s="9"/>
      <c r="C1018" s="530"/>
      <c r="D1018" s="1359"/>
      <c r="E1018" s="530"/>
      <c r="F1018" s="530"/>
      <c r="G1018" s="1518"/>
      <c r="H1018" s="530"/>
      <c r="I1018" s="1432"/>
      <c r="J1018" s="530"/>
      <c r="K1018" s="1102"/>
      <c r="L1018" s="530"/>
      <c r="M1018" s="533"/>
      <c r="N1018" s="530"/>
      <c r="O1018" s="530"/>
      <c r="P1018" s="530"/>
      <c r="Q1018" s="530"/>
      <c r="R1018" s="530"/>
      <c r="S1018" s="1432"/>
      <c r="T1018" s="533"/>
      <c r="U1018" s="533"/>
      <c r="V1018" s="1487"/>
      <c r="W1018" s="1487"/>
      <c r="X1018" s="1487"/>
      <c r="Y1018" s="533"/>
      <c r="Z1018" s="533"/>
      <c r="AA1018" s="530"/>
      <c r="AB1018" s="530"/>
      <c r="AC1018" s="530"/>
      <c r="AD1018" s="530"/>
      <c r="AE1018" s="530"/>
      <c r="AF1018" s="390"/>
      <c r="AG1018" s="390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</row>
    <row r="1019" spans="1:45">
      <c r="A1019" s="9"/>
      <c r="B1019" s="9"/>
      <c r="C1019" s="530"/>
      <c r="D1019" s="1359"/>
      <c r="E1019" s="530"/>
      <c r="F1019" s="530"/>
      <c r="G1019" s="1518"/>
      <c r="H1019" s="530"/>
      <c r="I1019" s="1432"/>
      <c r="J1019" s="530"/>
      <c r="K1019" s="1102"/>
      <c r="L1019" s="530"/>
      <c r="M1019" s="533"/>
      <c r="N1019" s="530"/>
      <c r="O1019" s="530"/>
      <c r="P1019" s="530"/>
      <c r="Q1019" s="530"/>
      <c r="R1019" s="530"/>
      <c r="S1019" s="1432"/>
      <c r="T1019" s="533"/>
      <c r="U1019" s="533"/>
      <c r="V1019" s="1487"/>
      <c r="W1019" s="1487"/>
      <c r="X1019" s="1487"/>
      <c r="Y1019" s="533"/>
      <c r="Z1019" s="533"/>
      <c r="AA1019" s="530"/>
      <c r="AB1019" s="530"/>
      <c r="AC1019" s="530"/>
      <c r="AD1019" s="530"/>
      <c r="AE1019" s="530"/>
      <c r="AF1019" s="390"/>
      <c r="AG1019" s="390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</row>
    <row r="1020" spans="1:45">
      <c r="A1020" s="9"/>
      <c r="B1020" s="9"/>
      <c r="C1020" s="530"/>
      <c r="D1020" s="1359"/>
      <c r="E1020" s="530"/>
      <c r="F1020" s="530"/>
      <c r="G1020" s="1518"/>
      <c r="H1020" s="530"/>
      <c r="I1020" s="1432"/>
      <c r="J1020" s="530"/>
      <c r="K1020" s="1102"/>
      <c r="L1020" s="530"/>
      <c r="M1020" s="533"/>
      <c r="N1020" s="530"/>
      <c r="O1020" s="530"/>
      <c r="P1020" s="530"/>
      <c r="Q1020" s="530"/>
      <c r="R1020" s="530"/>
      <c r="S1020" s="1432"/>
      <c r="T1020" s="533"/>
      <c r="U1020" s="533"/>
      <c r="V1020" s="1487"/>
      <c r="W1020" s="1487"/>
      <c r="X1020" s="1487"/>
      <c r="Y1020" s="533"/>
      <c r="Z1020" s="533"/>
      <c r="AA1020" s="530"/>
      <c r="AB1020" s="530"/>
      <c r="AC1020" s="530"/>
      <c r="AD1020" s="530"/>
      <c r="AE1020" s="530"/>
      <c r="AF1020" s="390"/>
      <c r="AG1020" s="390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</row>
    <row r="1021" spans="1:45">
      <c r="A1021" s="9"/>
      <c r="B1021" s="9"/>
      <c r="C1021" s="530"/>
      <c r="D1021" s="1359"/>
      <c r="E1021" s="530"/>
      <c r="F1021" s="530"/>
      <c r="G1021" s="1518"/>
      <c r="H1021" s="530"/>
      <c r="I1021" s="1432"/>
      <c r="J1021" s="530"/>
      <c r="K1021" s="1102"/>
      <c r="L1021" s="530"/>
      <c r="M1021" s="533"/>
      <c r="N1021" s="530"/>
      <c r="O1021" s="530"/>
      <c r="P1021" s="530"/>
      <c r="Q1021" s="530"/>
      <c r="R1021" s="530"/>
      <c r="S1021" s="1432"/>
      <c r="T1021" s="533"/>
      <c r="U1021" s="533"/>
      <c r="V1021" s="1487"/>
      <c r="W1021" s="1487"/>
      <c r="X1021" s="1487"/>
      <c r="Y1021" s="533"/>
      <c r="Z1021" s="533"/>
      <c r="AA1021" s="530"/>
      <c r="AB1021" s="530"/>
      <c r="AC1021" s="530"/>
      <c r="AD1021" s="530"/>
      <c r="AE1021" s="530"/>
      <c r="AF1021" s="390"/>
      <c r="AG1021" s="390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</row>
    <row r="1022" spans="1:45">
      <c r="A1022" s="9"/>
      <c r="B1022" s="9"/>
      <c r="C1022" s="530"/>
      <c r="D1022" s="1359"/>
      <c r="E1022" s="530"/>
      <c r="F1022" s="530"/>
      <c r="G1022" s="1518"/>
      <c r="H1022" s="530"/>
      <c r="I1022" s="1432"/>
      <c r="J1022" s="530"/>
      <c r="K1022" s="1102"/>
      <c r="L1022" s="530"/>
      <c r="M1022" s="533"/>
      <c r="N1022" s="530"/>
      <c r="O1022" s="530"/>
      <c r="P1022" s="530"/>
      <c r="Q1022" s="530"/>
      <c r="R1022" s="530"/>
      <c r="S1022" s="1432"/>
      <c r="T1022" s="533"/>
      <c r="U1022" s="533"/>
      <c r="V1022" s="1487"/>
      <c r="W1022" s="1487"/>
      <c r="X1022" s="1487"/>
      <c r="Y1022" s="533"/>
      <c r="Z1022" s="533"/>
      <c r="AA1022" s="530"/>
      <c r="AB1022" s="530"/>
      <c r="AC1022" s="530"/>
      <c r="AD1022" s="530"/>
      <c r="AE1022" s="530"/>
      <c r="AF1022" s="390"/>
      <c r="AG1022" s="390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</row>
    <row r="1023" spans="1:45">
      <c r="A1023" s="9"/>
      <c r="B1023" s="9"/>
      <c r="C1023" s="530"/>
      <c r="D1023" s="1359"/>
      <c r="E1023" s="530"/>
      <c r="F1023" s="530"/>
      <c r="G1023" s="1518"/>
      <c r="H1023" s="530"/>
      <c r="I1023" s="1432"/>
      <c r="J1023" s="530"/>
      <c r="K1023" s="1102"/>
      <c r="L1023" s="530"/>
      <c r="M1023" s="533"/>
      <c r="N1023" s="530"/>
      <c r="O1023" s="530"/>
      <c r="P1023" s="530"/>
      <c r="Q1023" s="530"/>
      <c r="R1023" s="530"/>
      <c r="S1023" s="1432"/>
      <c r="T1023" s="533"/>
      <c r="U1023" s="533"/>
      <c r="V1023" s="1487"/>
      <c r="W1023" s="1487"/>
      <c r="X1023" s="1487"/>
      <c r="Y1023" s="533"/>
      <c r="Z1023" s="533"/>
      <c r="AA1023" s="530"/>
      <c r="AB1023" s="530"/>
      <c r="AC1023" s="530"/>
      <c r="AD1023" s="530"/>
      <c r="AE1023" s="530"/>
      <c r="AF1023" s="390"/>
      <c r="AG1023" s="390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</row>
    <row r="1024" spans="1:45">
      <c r="A1024" s="9"/>
      <c r="B1024" s="9"/>
      <c r="C1024" s="530"/>
      <c r="D1024" s="1359"/>
      <c r="E1024" s="530"/>
      <c r="F1024" s="530"/>
      <c r="G1024" s="1518"/>
      <c r="H1024" s="530"/>
      <c r="I1024" s="1432"/>
      <c r="J1024" s="530"/>
      <c r="K1024" s="1102"/>
      <c r="L1024" s="530"/>
      <c r="M1024" s="533"/>
      <c r="N1024" s="530"/>
      <c r="O1024" s="530"/>
      <c r="P1024" s="530"/>
      <c r="Q1024" s="530"/>
      <c r="R1024" s="530"/>
      <c r="S1024" s="1432"/>
      <c r="T1024" s="533"/>
      <c r="U1024" s="533"/>
      <c r="V1024" s="1487"/>
      <c r="W1024" s="1487"/>
      <c r="X1024" s="1487"/>
      <c r="Y1024" s="533"/>
      <c r="Z1024" s="533"/>
      <c r="AA1024" s="530"/>
      <c r="AB1024" s="530"/>
      <c r="AC1024" s="530"/>
      <c r="AD1024" s="530"/>
      <c r="AE1024" s="530"/>
      <c r="AF1024" s="390"/>
      <c r="AG1024" s="390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</row>
    <row r="1025" spans="1:45">
      <c r="A1025" s="9"/>
      <c r="B1025" s="9"/>
      <c r="C1025" s="530"/>
      <c r="D1025" s="1359"/>
      <c r="E1025" s="530"/>
      <c r="F1025" s="530"/>
      <c r="G1025" s="1518"/>
      <c r="H1025" s="530"/>
      <c r="I1025" s="1432"/>
      <c r="J1025" s="530"/>
      <c r="K1025" s="1102"/>
      <c r="L1025" s="530"/>
      <c r="M1025" s="533"/>
      <c r="N1025" s="530"/>
      <c r="O1025" s="530"/>
      <c r="P1025" s="530"/>
      <c r="Q1025" s="530"/>
      <c r="R1025" s="530"/>
      <c r="S1025" s="1432"/>
      <c r="T1025" s="533"/>
      <c r="U1025" s="533"/>
      <c r="V1025" s="1487"/>
      <c r="W1025" s="1487"/>
      <c r="X1025" s="1487"/>
      <c r="Y1025" s="533"/>
      <c r="Z1025" s="533"/>
      <c r="AA1025" s="530"/>
      <c r="AB1025" s="530"/>
      <c r="AC1025" s="530"/>
      <c r="AD1025" s="530"/>
      <c r="AE1025" s="530"/>
      <c r="AF1025" s="390"/>
      <c r="AG1025" s="390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</row>
    <row r="1026" spans="1:45">
      <c r="A1026" s="9"/>
      <c r="B1026" s="9"/>
      <c r="C1026" s="530"/>
      <c r="D1026" s="1359"/>
      <c r="E1026" s="530"/>
      <c r="F1026" s="530"/>
      <c r="G1026" s="1518"/>
      <c r="H1026" s="530"/>
      <c r="I1026" s="1432"/>
      <c r="J1026" s="530"/>
      <c r="K1026" s="1102"/>
      <c r="L1026" s="530"/>
      <c r="M1026" s="533"/>
      <c r="N1026" s="530"/>
      <c r="O1026" s="530"/>
      <c r="P1026" s="530"/>
      <c r="Q1026" s="530"/>
      <c r="R1026" s="530"/>
      <c r="S1026" s="1432"/>
      <c r="T1026" s="533"/>
      <c r="U1026" s="533"/>
      <c r="V1026" s="1487"/>
      <c r="W1026" s="1487"/>
      <c r="X1026" s="1487"/>
      <c r="Y1026" s="533"/>
      <c r="Z1026" s="533"/>
      <c r="AA1026" s="530"/>
      <c r="AB1026" s="530"/>
      <c r="AC1026" s="530"/>
      <c r="AD1026" s="530"/>
      <c r="AE1026" s="530"/>
      <c r="AF1026" s="390"/>
      <c r="AG1026" s="390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</row>
    <row r="1027" spans="1:45">
      <c r="A1027" s="9"/>
      <c r="B1027" s="9"/>
      <c r="C1027" s="530"/>
      <c r="D1027" s="1359"/>
      <c r="E1027" s="530"/>
      <c r="F1027" s="530"/>
      <c r="G1027" s="1518"/>
      <c r="H1027" s="530"/>
      <c r="I1027" s="1432"/>
      <c r="J1027" s="530"/>
      <c r="K1027" s="1102"/>
      <c r="L1027" s="530"/>
      <c r="M1027" s="533"/>
      <c r="N1027" s="530"/>
      <c r="O1027" s="530"/>
      <c r="P1027" s="530"/>
      <c r="Q1027" s="530"/>
      <c r="R1027" s="530"/>
      <c r="S1027" s="1432"/>
      <c r="T1027" s="533"/>
      <c r="U1027" s="533"/>
      <c r="V1027" s="1487"/>
      <c r="W1027" s="1487"/>
      <c r="X1027" s="1487"/>
      <c r="Y1027" s="533"/>
      <c r="Z1027" s="533"/>
      <c r="AA1027" s="530"/>
      <c r="AB1027" s="530"/>
      <c r="AC1027" s="530"/>
      <c r="AD1027" s="530"/>
      <c r="AE1027" s="530"/>
      <c r="AF1027" s="390"/>
      <c r="AG1027" s="390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</row>
    <row r="1028" spans="1:45">
      <c r="A1028" s="9"/>
      <c r="B1028" s="9"/>
      <c r="C1028" s="530"/>
      <c r="D1028" s="1359"/>
      <c r="E1028" s="530"/>
      <c r="F1028" s="530"/>
      <c r="G1028" s="1518"/>
      <c r="H1028" s="530"/>
      <c r="I1028" s="1432"/>
      <c r="J1028" s="530"/>
      <c r="K1028" s="1102"/>
      <c r="L1028" s="530"/>
      <c r="M1028" s="533"/>
      <c r="N1028" s="530"/>
      <c r="O1028" s="530"/>
      <c r="P1028" s="530"/>
      <c r="Q1028" s="530"/>
      <c r="R1028" s="530"/>
      <c r="S1028" s="1432"/>
      <c r="T1028" s="533"/>
      <c r="U1028" s="533"/>
      <c r="V1028" s="1487"/>
      <c r="W1028" s="1487"/>
      <c r="X1028" s="1487"/>
      <c r="Y1028" s="533"/>
      <c r="Z1028" s="533"/>
      <c r="AA1028" s="530"/>
      <c r="AB1028" s="530"/>
      <c r="AC1028" s="530"/>
      <c r="AD1028" s="530"/>
      <c r="AE1028" s="530"/>
      <c r="AF1028" s="390"/>
      <c r="AG1028" s="390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</row>
    <row r="1029" spans="1:45">
      <c r="A1029" s="9"/>
      <c r="B1029" s="9"/>
      <c r="C1029" s="530"/>
      <c r="D1029" s="1359"/>
      <c r="E1029" s="530"/>
      <c r="F1029" s="530"/>
      <c r="G1029" s="1518"/>
      <c r="H1029" s="530"/>
      <c r="I1029" s="1432"/>
      <c r="J1029" s="530"/>
      <c r="K1029" s="1102"/>
      <c r="L1029" s="530"/>
      <c r="M1029" s="533"/>
      <c r="N1029" s="530"/>
      <c r="O1029" s="530"/>
      <c r="P1029" s="530"/>
      <c r="Q1029" s="530"/>
      <c r="R1029" s="530"/>
      <c r="S1029" s="1432"/>
      <c r="T1029" s="533"/>
      <c r="U1029" s="533"/>
      <c r="V1029" s="1487"/>
      <c r="W1029" s="1487"/>
      <c r="X1029" s="1487"/>
      <c r="Y1029" s="533"/>
      <c r="Z1029" s="533"/>
      <c r="AA1029" s="530"/>
      <c r="AB1029" s="530"/>
      <c r="AC1029" s="530"/>
      <c r="AD1029" s="530"/>
      <c r="AE1029" s="530"/>
      <c r="AF1029" s="390"/>
      <c r="AG1029" s="390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</row>
    <row r="1030" spans="1:45">
      <c r="A1030" s="9"/>
      <c r="B1030" s="9"/>
      <c r="C1030" s="530"/>
      <c r="D1030" s="1359"/>
      <c r="E1030" s="530"/>
      <c r="F1030" s="530"/>
      <c r="G1030" s="1518"/>
      <c r="H1030" s="530"/>
      <c r="I1030" s="1432"/>
      <c r="J1030" s="530"/>
      <c r="K1030" s="1102"/>
      <c r="L1030" s="530"/>
      <c r="M1030" s="533"/>
      <c r="N1030" s="530"/>
      <c r="O1030" s="530"/>
      <c r="P1030" s="530"/>
      <c r="Q1030" s="530"/>
      <c r="R1030" s="530"/>
      <c r="S1030" s="1432"/>
      <c r="T1030" s="533"/>
      <c r="U1030" s="533"/>
      <c r="V1030" s="1487"/>
      <c r="W1030" s="1487"/>
      <c r="X1030" s="1487"/>
      <c r="Y1030" s="533"/>
      <c r="Z1030" s="533"/>
      <c r="AA1030" s="530"/>
      <c r="AB1030" s="530"/>
      <c r="AC1030" s="530"/>
      <c r="AD1030" s="530"/>
      <c r="AE1030" s="530"/>
      <c r="AF1030" s="390"/>
      <c r="AG1030" s="390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</row>
    <row r="1031" spans="1:45">
      <c r="A1031" s="9"/>
      <c r="B1031" s="9"/>
      <c r="C1031" s="530"/>
      <c r="D1031" s="1359"/>
      <c r="E1031" s="530"/>
      <c r="F1031" s="530"/>
      <c r="G1031" s="1518"/>
      <c r="H1031" s="530"/>
      <c r="I1031" s="1432"/>
      <c r="J1031" s="530"/>
      <c r="K1031" s="1102"/>
      <c r="L1031" s="530"/>
      <c r="M1031" s="533"/>
      <c r="N1031" s="530"/>
      <c r="O1031" s="530"/>
      <c r="P1031" s="530"/>
      <c r="Q1031" s="530"/>
      <c r="R1031" s="530"/>
      <c r="S1031" s="1432"/>
      <c r="T1031" s="533"/>
      <c r="U1031" s="533"/>
      <c r="V1031" s="1487"/>
      <c r="W1031" s="1487"/>
      <c r="X1031" s="1487"/>
      <c r="Y1031" s="533"/>
      <c r="Z1031" s="533"/>
      <c r="AA1031" s="530"/>
      <c r="AB1031" s="530"/>
      <c r="AC1031" s="530"/>
      <c r="AD1031" s="530"/>
      <c r="AE1031" s="530"/>
      <c r="AF1031" s="390"/>
      <c r="AG1031" s="390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</row>
    <row r="1032" spans="1:45">
      <c r="A1032" s="9"/>
      <c r="B1032" s="9"/>
      <c r="C1032" s="530"/>
      <c r="D1032" s="1359"/>
      <c r="E1032" s="530"/>
      <c r="F1032" s="530"/>
      <c r="G1032" s="1518"/>
      <c r="H1032" s="530"/>
      <c r="I1032" s="1432"/>
      <c r="J1032" s="530"/>
      <c r="K1032" s="1102"/>
      <c r="L1032" s="530"/>
      <c r="M1032" s="533"/>
      <c r="N1032" s="530"/>
      <c r="O1032" s="530"/>
      <c r="P1032" s="530"/>
      <c r="Q1032" s="530"/>
      <c r="R1032" s="530"/>
      <c r="S1032" s="1432"/>
      <c r="T1032" s="533"/>
      <c r="U1032" s="533"/>
      <c r="V1032" s="1487"/>
      <c r="W1032" s="1487"/>
      <c r="X1032" s="1487"/>
      <c r="Y1032" s="533"/>
      <c r="Z1032" s="533"/>
      <c r="AA1032" s="530"/>
      <c r="AB1032" s="530"/>
      <c r="AC1032" s="530"/>
      <c r="AD1032" s="530"/>
      <c r="AE1032" s="530"/>
      <c r="AF1032" s="390"/>
      <c r="AG1032" s="390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</row>
    <row r="1033" spans="1:45">
      <c r="A1033" s="9"/>
      <c r="B1033" s="9"/>
      <c r="C1033" s="530"/>
      <c r="D1033" s="1359"/>
      <c r="E1033" s="530"/>
      <c r="F1033" s="530"/>
      <c r="G1033" s="1518"/>
      <c r="H1033" s="530"/>
      <c r="I1033" s="1432"/>
      <c r="J1033" s="530"/>
      <c r="K1033" s="1102"/>
      <c r="L1033" s="530"/>
      <c r="M1033" s="533"/>
      <c r="N1033" s="530"/>
      <c r="O1033" s="530"/>
      <c r="P1033" s="530"/>
      <c r="Q1033" s="530"/>
      <c r="R1033" s="530"/>
      <c r="S1033" s="1432"/>
      <c r="T1033" s="533"/>
      <c r="U1033" s="533"/>
      <c r="V1033" s="1487"/>
      <c r="W1033" s="1487"/>
      <c r="X1033" s="1487"/>
      <c r="Y1033" s="533"/>
      <c r="Z1033" s="533"/>
      <c r="AA1033" s="530"/>
      <c r="AB1033" s="530"/>
      <c r="AC1033" s="530"/>
      <c r="AD1033" s="530"/>
      <c r="AE1033" s="530"/>
      <c r="AF1033" s="390"/>
      <c r="AG1033" s="390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</row>
    <row r="1034" spans="1:45">
      <c r="A1034" s="9"/>
      <c r="B1034" s="9"/>
      <c r="C1034" s="530"/>
      <c r="D1034" s="1359"/>
      <c r="E1034" s="530"/>
      <c r="F1034" s="530"/>
      <c r="G1034" s="1518"/>
      <c r="H1034" s="530"/>
      <c r="I1034" s="1432"/>
      <c r="J1034" s="530"/>
      <c r="K1034" s="1102"/>
      <c r="L1034" s="530"/>
      <c r="M1034" s="533"/>
      <c r="N1034" s="530"/>
      <c r="O1034" s="530"/>
      <c r="P1034" s="530"/>
      <c r="Q1034" s="530"/>
      <c r="R1034" s="530"/>
      <c r="S1034" s="1432"/>
      <c r="T1034" s="533"/>
      <c r="U1034" s="533"/>
      <c r="V1034" s="1487"/>
      <c r="W1034" s="1487"/>
      <c r="X1034" s="1487"/>
      <c r="Y1034" s="533"/>
      <c r="Z1034" s="533"/>
      <c r="AA1034" s="530"/>
      <c r="AB1034" s="530"/>
      <c r="AC1034" s="530"/>
      <c r="AD1034" s="530"/>
      <c r="AE1034" s="530"/>
      <c r="AF1034" s="390"/>
      <c r="AG1034" s="390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</row>
    <row r="1035" spans="1:45">
      <c r="A1035" s="9"/>
      <c r="B1035" s="9"/>
      <c r="C1035" s="530"/>
      <c r="D1035" s="1359"/>
      <c r="E1035" s="530"/>
      <c r="F1035" s="530"/>
      <c r="G1035" s="1518"/>
      <c r="H1035" s="530"/>
      <c r="I1035" s="1432"/>
      <c r="J1035" s="530"/>
      <c r="K1035" s="1102"/>
      <c r="L1035" s="530"/>
      <c r="M1035" s="533"/>
      <c r="N1035" s="530"/>
      <c r="O1035" s="530"/>
      <c r="P1035" s="530"/>
      <c r="Q1035" s="530"/>
      <c r="R1035" s="530"/>
      <c r="S1035" s="1432"/>
      <c r="T1035" s="533"/>
      <c r="U1035" s="533"/>
      <c r="V1035" s="1487"/>
      <c r="W1035" s="1487"/>
      <c r="X1035" s="1487"/>
      <c r="Y1035" s="533"/>
      <c r="Z1035" s="533"/>
      <c r="AA1035" s="530"/>
      <c r="AB1035" s="530"/>
      <c r="AC1035" s="530"/>
      <c r="AD1035" s="530"/>
      <c r="AE1035" s="530"/>
      <c r="AF1035" s="390"/>
      <c r="AG1035" s="390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</row>
    <row r="1036" spans="1:45">
      <c r="A1036" s="9"/>
      <c r="B1036" s="9"/>
      <c r="C1036" s="530"/>
      <c r="D1036" s="1359"/>
      <c r="E1036" s="530"/>
      <c r="F1036" s="530"/>
      <c r="G1036" s="1518"/>
      <c r="H1036" s="530"/>
      <c r="I1036" s="1432"/>
      <c r="J1036" s="530"/>
      <c r="K1036" s="1102"/>
      <c r="L1036" s="530"/>
      <c r="M1036" s="533"/>
      <c r="N1036" s="530"/>
      <c r="O1036" s="530"/>
      <c r="P1036" s="530"/>
      <c r="Q1036" s="530"/>
      <c r="R1036" s="530"/>
      <c r="S1036" s="1432"/>
      <c r="T1036" s="533"/>
      <c r="U1036" s="533"/>
      <c r="V1036" s="1487"/>
      <c r="W1036" s="1487"/>
      <c r="X1036" s="1487"/>
      <c r="Y1036" s="533"/>
      <c r="Z1036" s="533"/>
      <c r="AA1036" s="530"/>
      <c r="AB1036" s="530"/>
      <c r="AC1036" s="530"/>
      <c r="AD1036" s="530"/>
      <c r="AE1036" s="530"/>
      <c r="AF1036" s="390"/>
      <c r="AG1036" s="390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</row>
    <row r="1037" spans="1:45">
      <c r="A1037" s="9"/>
      <c r="B1037" s="9"/>
      <c r="C1037" s="530"/>
      <c r="D1037" s="1359"/>
      <c r="E1037" s="530"/>
      <c r="F1037" s="530"/>
      <c r="G1037" s="1518"/>
      <c r="H1037" s="530"/>
      <c r="I1037" s="1432"/>
      <c r="J1037" s="530"/>
      <c r="K1037" s="1102"/>
      <c r="L1037" s="530"/>
      <c r="M1037" s="533"/>
      <c r="N1037" s="530"/>
      <c r="O1037" s="530"/>
      <c r="P1037" s="530"/>
      <c r="Q1037" s="530"/>
      <c r="R1037" s="530"/>
      <c r="S1037" s="1432"/>
      <c r="T1037" s="533"/>
      <c r="U1037" s="533"/>
      <c r="V1037" s="1487"/>
      <c r="W1037" s="1487"/>
      <c r="X1037" s="1487"/>
      <c r="Y1037" s="533"/>
      <c r="Z1037" s="533"/>
      <c r="AA1037" s="530"/>
      <c r="AB1037" s="530"/>
      <c r="AC1037" s="530"/>
      <c r="AD1037" s="530"/>
      <c r="AE1037" s="530"/>
      <c r="AF1037" s="390"/>
      <c r="AG1037" s="390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</row>
    <row r="1038" spans="1:45">
      <c r="A1038" s="9"/>
      <c r="B1038" s="9"/>
      <c r="C1038" s="530"/>
      <c r="D1038" s="1359"/>
      <c r="E1038" s="530"/>
      <c r="F1038" s="530"/>
      <c r="G1038" s="1518"/>
      <c r="H1038" s="530"/>
      <c r="I1038" s="1432"/>
      <c r="J1038" s="530"/>
      <c r="K1038" s="1102"/>
      <c r="L1038" s="530"/>
      <c r="M1038" s="533"/>
      <c r="N1038" s="530"/>
      <c r="O1038" s="530"/>
      <c r="P1038" s="530"/>
      <c r="Q1038" s="530"/>
      <c r="R1038" s="530"/>
      <c r="S1038" s="1432"/>
      <c r="T1038" s="533"/>
      <c r="U1038" s="533"/>
      <c r="V1038" s="1487"/>
      <c r="W1038" s="1487"/>
      <c r="X1038" s="1487"/>
      <c r="Y1038" s="533"/>
      <c r="Z1038" s="533"/>
      <c r="AA1038" s="530"/>
      <c r="AB1038" s="530"/>
      <c r="AC1038" s="530"/>
      <c r="AD1038" s="530"/>
      <c r="AE1038" s="530"/>
      <c r="AF1038" s="390"/>
      <c r="AG1038" s="390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</row>
    <row r="1039" spans="1:45">
      <c r="A1039" s="9"/>
      <c r="B1039" s="9"/>
      <c r="C1039" s="530"/>
      <c r="D1039" s="1359"/>
      <c r="E1039" s="530"/>
      <c r="F1039" s="530"/>
      <c r="G1039" s="1518"/>
      <c r="H1039" s="530"/>
      <c r="I1039" s="1432"/>
      <c r="J1039" s="530"/>
      <c r="K1039" s="1102"/>
      <c r="L1039" s="530"/>
      <c r="M1039" s="533"/>
      <c r="N1039" s="530"/>
      <c r="O1039" s="530"/>
      <c r="P1039" s="530"/>
      <c r="Q1039" s="530"/>
      <c r="R1039" s="530"/>
      <c r="S1039" s="1432"/>
      <c r="T1039" s="533"/>
      <c r="U1039" s="533"/>
      <c r="V1039" s="1487"/>
      <c r="W1039" s="1487"/>
      <c r="X1039" s="1487"/>
      <c r="Y1039" s="533"/>
      <c r="Z1039" s="533"/>
      <c r="AA1039" s="530"/>
      <c r="AB1039" s="530"/>
      <c r="AC1039" s="530"/>
      <c r="AD1039" s="530"/>
      <c r="AE1039" s="530"/>
      <c r="AF1039" s="390"/>
      <c r="AG1039" s="390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</row>
    <row r="1040" spans="1:45">
      <c r="A1040" s="9"/>
      <c r="B1040" s="9"/>
      <c r="C1040" s="530"/>
      <c r="D1040" s="1359"/>
      <c r="E1040" s="530"/>
      <c r="F1040" s="530"/>
      <c r="G1040" s="1518"/>
      <c r="H1040" s="530"/>
      <c r="I1040" s="1432"/>
      <c r="J1040" s="530"/>
      <c r="K1040" s="1102"/>
      <c r="L1040" s="530"/>
      <c r="M1040" s="533"/>
      <c r="N1040" s="530"/>
      <c r="O1040" s="530"/>
      <c r="P1040" s="530"/>
      <c r="Q1040" s="530"/>
      <c r="R1040" s="530"/>
      <c r="S1040" s="1432"/>
      <c r="T1040" s="533"/>
      <c r="U1040" s="533"/>
      <c r="V1040" s="1487"/>
      <c r="W1040" s="1487"/>
      <c r="X1040" s="1487"/>
      <c r="Y1040" s="533"/>
      <c r="Z1040" s="533"/>
      <c r="AA1040" s="530"/>
      <c r="AB1040" s="530"/>
      <c r="AC1040" s="530"/>
      <c r="AD1040" s="530"/>
      <c r="AE1040" s="530"/>
      <c r="AF1040" s="390"/>
      <c r="AG1040" s="390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</row>
    <row r="1041" spans="1:45">
      <c r="A1041" s="9"/>
      <c r="B1041" s="9"/>
      <c r="C1041" s="530"/>
      <c r="D1041" s="1359"/>
      <c r="E1041" s="530"/>
      <c r="F1041" s="530"/>
      <c r="G1041" s="1518"/>
      <c r="H1041" s="530"/>
      <c r="I1041" s="1432"/>
      <c r="J1041" s="530"/>
      <c r="K1041" s="1102"/>
      <c r="L1041" s="530"/>
      <c r="M1041" s="533"/>
      <c r="N1041" s="530"/>
      <c r="O1041" s="530"/>
      <c r="P1041" s="530"/>
      <c r="Q1041" s="530"/>
      <c r="R1041" s="530"/>
      <c r="S1041" s="1432"/>
      <c r="T1041" s="533"/>
      <c r="U1041" s="533"/>
      <c r="V1041" s="1487"/>
      <c r="W1041" s="1487"/>
      <c r="X1041" s="1487"/>
      <c r="Y1041" s="533"/>
      <c r="Z1041" s="533"/>
      <c r="AA1041" s="530"/>
      <c r="AB1041" s="530"/>
      <c r="AC1041" s="530"/>
      <c r="AD1041" s="530"/>
      <c r="AE1041" s="530"/>
      <c r="AF1041" s="390"/>
      <c r="AG1041" s="390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</row>
    <row r="1042" spans="1:45">
      <c r="A1042" s="9"/>
      <c r="B1042" s="9"/>
      <c r="C1042" s="530"/>
      <c r="D1042" s="1359"/>
      <c r="E1042" s="530"/>
      <c r="F1042" s="530"/>
      <c r="G1042" s="1518"/>
      <c r="H1042" s="530"/>
      <c r="I1042" s="1432"/>
      <c r="J1042" s="530"/>
      <c r="K1042" s="1102"/>
      <c r="L1042" s="530"/>
      <c r="M1042" s="533"/>
      <c r="N1042" s="530"/>
      <c r="O1042" s="530"/>
      <c r="P1042" s="530"/>
      <c r="Q1042" s="530"/>
      <c r="R1042" s="530"/>
      <c r="S1042" s="1432"/>
      <c r="T1042" s="533"/>
      <c r="U1042" s="533"/>
      <c r="V1042" s="1487"/>
      <c r="W1042" s="1487"/>
      <c r="X1042" s="1487"/>
      <c r="Y1042" s="533"/>
      <c r="Z1042" s="533"/>
      <c r="AA1042" s="530"/>
      <c r="AB1042" s="530"/>
      <c r="AC1042" s="530"/>
      <c r="AD1042" s="530"/>
      <c r="AE1042" s="530"/>
      <c r="AF1042" s="390"/>
      <c r="AG1042" s="390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</row>
    <row r="1043" spans="1:45">
      <c r="A1043" s="9"/>
      <c r="B1043" s="9"/>
      <c r="C1043" s="530"/>
      <c r="D1043" s="1359"/>
      <c r="E1043" s="530"/>
      <c r="F1043" s="530"/>
      <c r="G1043" s="1518"/>
      <c r="H1043" s="530"/>
      <c r="I1043" s="1432"/>
      <c r="J1043" s="530"/>
      <c r="K1043" s="1102"/>
      <c r="L1043" s="530"/>
      <c r="M1043" s="533"/>
      <c r="N1043" s="530"/>
      <c r="O1043" s="530"/>
      <c r="P1043" s="530"/>
      <c r="Q1043" s="530"/>
      <c r="R1043" s="530"/>
      <c r="S1043" s="1432"/>
      <c r="T1043" s="533"/>
      <c r="U1043" s="533"/>
      <c r="V1043" s="1487"/>
      <c r="W1043" s="1487"/>
      <c r="X1043" s="1487"/>
      <c r="Y1043" s="533"/>
      <c r="Z1043" s="533"/>
      <c r="AA1043" s="530"/>
      <c r="AB1043" s="530"/>
      <c r="AC1043" s="530"/>
      <c r="AD1043" s="530"/>
      <c r="AE1043" s="530"/>
      <c r="AF1043" s="390"/>
      <c r="AG1043" s="390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</row>
    <row r="1044" spans="1:45">
      <c r="A1044" s="9"/>
      <c r="B1044" s="9"/>
      <c r="C1044" s="530"/>
      <c r="D1044" s="1359"/>
      <c r="E1044" s="530"/>
      <c r="F1044" s="530"/>
      <c r="G1044" s="1518"/>
      <c r="H1044" s="530"/>
      <c r="I1044" s="1432"/>
      <c r="J1044" s="530"/>
      <c r="K1044" s="1102"/>
      <c r="L1044" s="530"/>
      <c r="M1044" s="533"/>
      <c r="N1044" s="530"/>
      <c r="O1044" s="530"/>
      <c r="P1044" s="530"/>
      <c r="Q1044" s="530"/>
      <c r="R1044" s="530"/>
      <c r="S1044" s="1432"/>
      <c r="T1044" s="533"/>
      <c r="U1044" s="533"/>
      <c r="V1044" s="1487"/>
      <c r="W1044" s="1487"/>
      <c r="X1044" s="1487"/>
      <c r="Y1044" s="533"/>
      <c r="Z1044" s="533"/>
      <c r="AA1044" s="530"/>
      <c r="AB1044" s="530"/>
      <c r="AC1044" s="530"/>
      <c r="AD1044" s="530"/>
      <c r="AE1044" s="530"/>
      <c r="AF1044" s="390"/>
      <c r="AG1044" s="390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</row>
    <row r="1045" spans="1:45">
      <c r="A1045" s="9"/>
      <c r="B1045" s="9"/>
      <c r="C1045" s="530"/>
      <c r="D1045" s="1359"/>
      <c r="E1045" s="530"/>
      <c r="F1045" s="530"/>
      <c r="G1045" s="1518"/>
      <c r="H1045" s="530"/>
      <c r="I1045" s="1432"/>
      <c r="J1045" s="530"/>
      <c r="K1045" s="1102"/>
      <c r="L1045" s="530"/>
      <c r="M1045" s="533"/>
      <c r="N1045" s="530"/>
      <c r="O1045" s="530"/>
      <c r="P1045" s="530"/>
      <c r="Q1045" s="530"/>
      <c r="R1045" s="530"/>
      <c r="S1045" s="1432"/>
      <c r="T1045" s="533"/>
      <c r="U1045" s="533"/>
      <c r="V1045" s="1487"/>
      <c r="W1045" s="1487"/>
      <c r="X1045" s="1487"/>
      <c r="Y1045" s="533"/>
      <c r="Z1045" s="533"/>
      <c r="AA1045" s="530"/>
      <c r="AB1045" s="530"/>
      <c r="AC1045" s="530"/>
      <c r="AD1045" s="530"/>
      <c r="AE1045" s="530"/>
      <c r="AF1045" s="390"/>
      <c r="AG1045" s="390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</row>
    <row r="1046" spans="1:45">
      <c r="A1046" s="9"/>
      <c r="B1046" s="9"/>
      <c r="C1046" s="530"/>
      <c r="D1046" s="1359"/>
      <c r="E1046" s="530"/>
      <c r="F1046" s="530"/>
      <c r="G1046" s="1518"/>
      <c r="H1046" s="530"/>
      <c r="I1046" s="1432"/>
      <c r="J1046" s="530"/>
      <c r="K1046" s="1102"/>
      <c r="L1046" s="530"/>
      <c r="M1046" s="533"/>
      <c r="N1046" s="530"/>
      <c r="O1046" s="530"/>
      <c r="P1046" s="530"/>
      <c r="Q1046" s="530"/>
      <c r="R1046" s="530"/>
      <c r="S1046" s="1432"/>
      <c r="T1046" s="533"/>
      <c r="U1046" s="533"/>
      <c r="V1046" s="1487"/>
      <c r="W1046" s="1487"/>
      <c r="X1046" s="1487"/>
      <c r="Y1046" s="533"/>
      <c r="Z1046" s="533"/>
      <c r="AA1046" s="530"/>
      <c r="AB1046" s="530"/>
      <c r="AC1046" s="530"/>
      <c r="AD1046" s="530"/>
      <c r="AE1046" s="530"/>
      <c r="AF1046" s="390"/>
      <c r="AG1046" s="390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</row>
    <row r="1047" spans="1:45">
      <c r="A1047" s="9"/>
      <c r="B1047" s="9"/>
      <c r="C1047" s="530"/>
      <c r="D1047" s="1359"/>
      <c r="E1047" s="530"/>
      <c r="F1047" s="530"/>
      <c r="G1047" s="1518"/>
      <c r="H1047" s="530"/>
      <c r="I1047" s="1432"/>
      <c r="J1047" s="530"/>
      <c r="K1047" s="1102"/>
      <c r="L1047" s="530"/>
      <c r="M1047" s="533"/>
      <c r="N1047" s="530"/>
      <c r="O1047" s="530"/>
      <c r="P1047" s="530"/>
      <c r="Q1047" s="530"/>
      <c r="R1047" s="530"/>
      <c r="S1047" s="1432"/>
      <c r="T1047" s="533"/>
      <c r="U1047" s="533"/>
      <c r="V1047" s="1487"/>
      <c r="W1047" s="1487"/>
      <c r="X1047" s="1487"/>
      <c r="Y1047" s="533"/>
      <c r="Z1047" s="533"/>
      <c r="AA1047" s="530"/>
      <c r="AB1047" s="530"/>
      <c r="AC1047" s="530"/>
      <c r="AD1047" s="530"/>
      <c r="AE1047" s="530"/>
      <c r="AF1047" s="390"/>
      <c r="AG1047" s="390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</row>
    <row r="1048" spans="1:45">
      <c r="A1048" s="9"/>
      <c r="B1048" s="9"/>
      <c r="C1048" s="530"/>
      <c r="D1048" s="1359"/>
      <c r="E1048" s="530"/>
      <c r="F1048" s="530"/>
      <c r="G1048" s="1518"/>
      <c r="H1048" s="530"/>
      <c r="I1048" s="1432"/>
      <c r="J1048" s="530"/>
      <c r="K1048" s="1102"/>
      <c r="L1048" s="530"/>
      <c r="M1048" s="533"/>
      <c r="N1048" s="530"/>
      <c r="O1048" s="530"/>
      <c r="P1048" s="530"/>
      <c r="Q1048" s="530"/>
      <c r="R1048" s="530"/>
      <c r="S1048" s="1432"/>
      <c r="T1048" s="533"/>
      <c r="U1048" s="533"/>
      <c r="V1048" s="1487"/>
      <c r="W1048" s="1487"/>
      <c r="X1048" s="1487"/>
      <c r="Y1048" s="533"/>
      <c r="Z1048" s="533"/>
      <c r="AA1048" s="530"/>
      <c r="AB1048" s="530"/>
      <c r="AC1048" s="530"/>
      <c r="AD1048" s="530"/>
      <c r="AE1048" s="530"/>
      <c r="AF1048" s="390"/>
      <c r="AG1048" s="390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</row>
    <row r="1049" spans="1:45">
      <c r="A1049" s="9"/>
      <c r="B1049" s="9"/>
      <c r="C1049" s="530"/>
      <c r="D1049" s="1359"/>
      <c r="E1049" s="530"/>
      <c r="F1049" s="530"/>
      <c r="G1049" s="1518"/>
      <c r="H1049" s="530"/>
      <c r="I1049" s="1432"/>
      <c r="J1049" s="530"/>
      <c r="K1049" s="1102"/>
      <c r="L1049" s="530"/>
      <c r="M1049" s="533"/>
      <c r="N1049" s="530"/>
      <c r="O1049" s="530"/>
      <c r="P1049" s="530"/>
      <c r="Q1049" s="530"/>
      <c r="R1049" s="530"/>
      <c r="S1049" s="1432"/>
      <c r="T1049" s="533"/>
      <c r="U1049" s="533"/>
      <c r="V1049" s="1487"/>
      <c r="W1049" s="1487"/>
      <c r="X1049" s="1487"/>
      <c r="Y1049" s="533"/>
      <c r="Z1049" s="533"/>
      <c r="AA1049" s="530"/>
      <c r="AB1049" s="530"/>
      <c r="AC1049" s="530"/>
      <c r="AD1049" s="530"/>
      <c r="AE1049" s="530"/>
      <c r="AF1049" s="390"/>
      <c r="AG1049" s="390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</row>
    <row r="1050" spans="1:45">
      <c r="A1050" s="9"/>
      <c r="B1050" s="9"/>
      <c r="C1050" s="530"/>
      <c r="D1050" s="1359"/>
      <c r="E1050" s="530"/>
      <c r="F1050" s="530"/>
      <c r="G1050" s="1518"/>
      <c r="H1050" s="530"/>
      <c r="I1050" s="1432"/>
      <c r="J1050" s="530"/>
      <c r="K1050" s="1102"/>
      <c r="L1050" s="530"/>
      <c r="M1050" s="533"/>
      <c r="N1050" s="530"/>
      <c r="O1050" s="530"/>
      <c r="P1050" s="530"/>
      <c r="Q1050" s="530"/>
      <c r="R1050" s="530"/>
      <c r="S1050" s="1432"/>
      <c r="T1050" s="533"/>
      <c r="U1050" s="533"/>
      <c r="V1050" s="1487"/>
      <c r="W1050" s="1487"/>
      <c r="X1050" s="1487"/>
      <c r="Y1050" s="533"/>
      <c r="Z1050" s="533"/>
      <c r="AA1050" s="530"/>
      <c r="AB1050" s="530"/>
      <c r="AC1050" s="530"/>
      <c r="AD1050" s="530"/>
      <c r="AE1050" s="530"/>
      <c r="AF1050" s="390"/>
      <c r="AG1050" s="390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</row>
    <row r="1051" spans="1:45">
      <c r="A1051" s="9"/>
      <c r="B1051" s="9"/>
      <c r="C1051" s="530"/>
      <c r="D1051" s="1359"/>
      <c r="E1051" s="530"/>
      <c r="F1051" s="530"/>
      <c r="G1051" s="1518"/>
      <c r="H1051" s="530"/>
      <c r="I1051" s="1432"/>
      <c r="J1051" s="530"/>
      <c r="K1051" s="1102"/>
      <c r="L1051" s="530"/>
      <c r="M1051" s="533"/>
      <c r="N1051" s="530"/>
      <c r="O1051" s="530"/>
      <c r="P1051" s="530"/>
      <c r="Q1051" s="530"/>
      <c r="R1051" s="530"/>
      <c r="S1051" s="1432"/>
      <c r="T1051" s="533"/>
      <c r="U1051" s="533"/>
      <c r="V1051" s="1487"/>
      <c r="W1051" s="1487"/>
      <c r="X1051" s="1487"/>
      <c r="Y1051" s="533"/>
      <c r="Z1051" s="533"/>
      <c r="AA1051" s="530"/>
      <c r="AB1051" s="530"/>
      <c r="AC1051" s="530"/>
      <c r="AD1051" s="530"/>
      <c r="AE1051" s="530"/>
      <c r="AF1051" s="390"/>
      <c r="AG1051" s="390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</row>
    <row r="1052" spans="1:45">
      <c r="A1052" s="9"/>
      <c r="B1052" s="9"/>
      <c r="C1052" s="530"/>
      <c r="D1052" s="1359"/>
      <c r="E1052" s="530"/>
      <c r="F1052" s="530"/>
      <c r="G1052" s="1518"/>
      <c r="H1052" s="530"/>
      <c r="I1052" s="1432"/>
      <c r="J1052" s="530"/>
      <c r="K1052" s="1102"/>
      <c r="L1052" s="530"/>
      <c r="M1052" s="533"/>
      <c r="N1052" s="530"/>
      <c r="O1052" s="530"/>
      <c r="P1052" s="530"/>
      <c r="Q1052" s="530"/>
      <c r="R1052" s="530"/>
      <c r="S1052" s="1432"/>
      <c r="T1052" s="533"/>
      <c r="U1052" s="533"/>
      <c r="V1052" s="1487"/>
      <c r="W1052" s="1487"/>
      <c r="X1052" s="1487"/>
      <c r="Y1052" s="533"/>
      <c r="Z1052" s="533"/>
      <c r="AA1052" s="530"/>
      <c r="AB1052" s="530"/>
      <c r="AC1052" s="530"/>
      <c r="AD1052" s="530"/>
      <c r="AE1052" s="530"/>
      <c r="AF1052" s="390"/>
      <c r="AG1052" s="390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</row>
    <row r="1053" spans="1:45">
      <c r="A1053" s="9"/>
      <c r="B1053" s="9"/>
      <c r="C1053" s="530"/>
      <c r="D1053" s="1359"/>
      <c r="E1053" s="530"/>
      <c r="F1053" s="530"/>
      <c r="G1053" s="1518"/>
      <c r="H1053" s="530"/>
      <c r="I1053" s="1432"/>
      <c r="J1053" s="530"/>
      <c r="K1053" s="1102"/>
      <c r="L1053" s="530"/>
      <c r="M1053" s="533"/>
      <c r="N1053" s="530"/>
      <c r="O1053" s="530"/>
      <c r="P1053" s="530"/>
      <c r="Q1053" s="530"/>
      <c r="R1053" s="530"/>
      <c r="S1053" s="1432"/>
      <c r="T1053" s="533"/>
      <c r="U1053" s="533"/>
      <c r="V1053" s="1487"/>
      <c r="W1053" s="1487"/>
      <c r="X1053" s="1487"/>
      <c r="Y1053" s="533"/>
      <c r="Z1053" s="533"/>
      <c r="AA1053" s="530"/>
      <c r="AB1053" s="530"/>
      <c r="AC1053" s="530"/>
      <c r="AD1053" s="530"/>
      <c r="AE1053" s="530"/>
      <c r="AF1053" s="390"/>
      <c r="AG1053" s="390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</row>
    <row r="1054" spans="1:45">
      <c r="A1054" s="9"/>
      <c r="B1054" s="9"/>
      <c r="C1054" s="530"/>
      <c r="D1054" s="1359"/>
      <c r="E1054" s="530"/>
      <c r="F1054" s="530"/>
      <c r="G1054" s="1518"/>
      <c r="H1054" s="530"/>
      <c r="I1054" s="1432"/>
      <c r="J1054" s="530"/>
      <c r="K1054" s="1102"/>
      <c r="L1054" s="530"/>
      <c r="M1054" s="533"/>
      <c r="N1054" s="530"/>
      <c r="O1054" s="530"/>
      <c r="P1054" s="530"/>
      <c r="Q1054" s="530"/>
      <c r="R1054" s="530"/>
      <c r="S1054" s="1432"/>
      <c r="T1054" s="533"/>
      <c r="U1054" s="533"/>
      <c r="V1054" s="1487"/>
      <c r="W1054" s="1487"/>
      <c r="X1054" s="1487"/>
      <c r="Y1054" s="533"/>
      <c r="Z1054" s="533"/>
      <c r="AA1054" s="530"/>
      <c r="AB1054" s="530"/>
      <c r="AC1054" s="530"/>
      <c r="AD1054" s="530"/>
      <c r="AE1054" s="530"/>
      <c r="AF1054" s="390"/>
      <c r="AG1054" s="390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</row>
    <row r="1055" spans="1:45">
      <c r="A1055" s="9"/>
      <c r="B1055" s="9"/>
      <c r="C1055" s="530"/>
      <c r="D1055" s="1359"/>
      <c r="E1055" s="530"/>
      <c r="F1055" s="530"/>
      <c r="G1055" s="1518"/>
      <c r="H1055" s="530"/>
      <c r="I1055" s="1432"/>
      <c r="J1055" s="530"/>
      <c r="K1055" s="1102"/>
      <c r="L1055" s="530"/>
      <c r="M1055" s="533"/>
      <c r="N1055" s="530"/>
      <c r="O1055" s="530"/>
      <c r="P1055" s="530"/>
      <c r="Q1055" s="530"/>
      <c r="R1055" s="530"/>
      <c r="S1055" s="1432"/>
      <c r="T1055" s="533"/>
      <c r="U1055" s="533"/>
      <c r="V1055" s="1487"/>
      <c r="W1055" s="1487"/>
      <c r="X1055" s="1487"/>
      <c r="Y1055" s="533"/>
      <c r="Z1055" s="533"/>
      <c r="AA1055" s="530"/>
      <c r="AB1055" s="530"/>
      <c r="AC1055" s="530"/>
      <c r="AD1055" s="530"/>
      <c r="AE1055" s="530"/>
      <c r="AF1055" s="390"/>
      <c r="AG1055" s="390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</row>
    <row r="1056" spans="1:45">
      <c r="A1056" s="9"/>
      <c r="B1056" s="9"/>
      <c r="C1056" s="530"/>
      <c r="D1056" s="1359"/>
      <c r="E1056" s="530"/>
      <c r="F1056" s="530"/>
      <c r="G1056" s="1518"/>
      <c r="H1056" s="530"/>
      <c r="I1056" s="1432"/>
      <c r="J1056" s="530"/>
      <c r="K1056" s="1102"/>
      <c r="L1056" s="530"/>
      <c r="M1056" s="533"/>
      <c r="N1056" s="530"/>
      <c r="O1056" s="530"/>
      <c r="P1056" s="530"/>
      <c r="Q1056" s="530"/>
      <c r="R1056" s="530"/>
      <c r="S1056" s="1432"/>
      <c r="T1056" s="533"/>
      <c r="U1056" s="533"/>
      <c r="V1056" s="1487"/>
      <c r="W1056" s="1487"/>
      <c r="X1056" s="1487"/>
      <c r="Y1056" s="533"/>
      <c r="Z1056" s="533"/>
      <c r="AA1056" s="530"/>
      <c r="AB1056" s="530"/>
      <c r="AC1056" s="530"/>
      <c r="AD1056" s="530"/>
      <c r="AE1056" s="530"/>
      <c r="AF1056" s="390"/>
      <c r="AG1056" s="390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</row>
    <row r="1057" spans="1:45">
      <c r="A1057" s="9"/>
      <c r="B1057" s="9"/>
      <c r="C1057" s="530"/>
      <c r="D1057" s="1359"/>
      <c r="E1057" s="530"/>
      <c r="F1057" s="530"/>
      <c r="G1057" s="1518"/>
      <c r="H1057" s="530"/>
      <c r="I1057" s="1432"/>
      <c r="J1057" s="530"/>
      <c r="K1057" s="1102"/>
      <c r="L1057" s="530"/>
      <c r="M1057" s="533"/>
      <c r="N1057" s="530"/>
      <c r="O1057" s="530"/>
      <c r="P1057" s="530"/>
      <c r="Q1057" s="530"/>
      <c r="R1057" s="530"/>
      <c r="S1057" s="1432"/>
      <c r="T1057" s="533"/>
      <c r="U1057" s="533"/>
      <c r="V1057" s="1487"/>
      <c r="W1057" s="1487"/>
      <c r="X1057" s="1487"/>
      <c r="Y1057" s="533"/>
      <c r="Z1057" s="533"/>
      <c r="AA1057" s="530"/>
      <c r="AB1057" s="530"/>
      <c r="AC1057" s="530"/>
      <c r="AD1057" s="530"/>
      <c r="AE1057" s="530"/>
      <c r="AF1057" s="390"/>
      <c r="AG1057" s="390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</row>
    <row r="1058" spans="1:45">
      <c r="A1058" s="9"/>
      <c r="B1058" s="9"/>
      <c r="C1058" s="530"/>
      <c r="D1058" s="1359"/>
      <c r="E1058" s="530"/>
      <c r="F1058" s="530"/>
      <c r="G1058" s="1518"/>
      <c r="H1058" s="530"/>
      <c r="I1058" s="1432"/>
      <c r="J1058" s="530"/>
      <c r="K1058" s="1102"/>
      <c r="L1058" s="530"/>
      <c r="M1058" s="533"/>
      <c r="N1058" s="530"/>
      <c r="O1058" s="530"/>
      <c r="P1058" s="530"/>
      <c r="Q1058" s="530"/>
      <c r="R1058" s="530"/>
      <c r="S1058" s="1432"/>
      <c r="T1058" s="533"/>
      <c r="U1058" s="533"/>
      <c r="V1058" s="1487"/>
      <c r="W1058" s="1487"/>
      <c r="X1058" s="1487"/>
      <c r="Y1058" s="533"/>
      <c r="Z1058" s="533"/>
      <c r="AA1058" s="530"/>
      <c r="AB1058" s="530"/>
      <c r="AC1058" s="530"/>
      <c r="AD1058" s="530"/>
      <c r="AE1058" s="530"/>
      <c r="AF1058" s="390"/>
      <c r="AG1058" s="390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</row>
    <row r="1059" spans="1:45">
      <c r="A1059" s="9"/>
      <c r="B1059" s="9"/>
      <c r="C1059" s="530"/>
      <c r="D1059" s="1359"/>
      <c r="E1059" s="530"/>
      <c r="F1059" s="530"/>
      <c r="G1059" s="1518"/>
      <c r="H1059" s="530"/>
      <c r="I1059" s="1432"/>
      <c r="J1059" s="530"/>
      <c r="K1059" s="1102"/>
      <c r="L1059" s="530"/>
      <c r="M1059" s="533"/>
      <c r="N1059" s="530"/>
      <c r="O1059" s="530"/>
      <c r="P1059" s="530"/>
      <c r="Q1059" s="530"/>
      <c r="R1059" s="530"/>
      <c r="S1059" s="1432"/>
      <c r="T1059" s="533"/>
      <c r="U1059" s="533"/>
      <c r="V1059" s="1487"/>
      <c r="W1059" s="1487"/>
      <c r="X1059" s="1487"/>
      <c r="Y1059" s="533"/>
      <c r="Z1059" s="533"/>
      <c r="AA1059" s="530"/>
      <c r="AB1059" s="530"/>
      <c r="AC1059" s="530"/>
      <c r="AD1059" s="530"/>
      <c r="AE1059" s="530"/>
      <c r="AF1059" s="390"/>
      <c r="AG1059" s="390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</row>
    <row r="1060" spans="1:45">
      <c r="A1060" s="9"/>
      <c r="B1060" s="9"/>
      <c r="C1060" s="530"/>
      <c r="D1060" s="1359"/>
      <c r="E1060" s="530"/>
      <c r="F1060" s="530"/>
      <c r="G1060" s="1518"/>
      <c r="H1060" s="530"/>
      <c r="I1060" s="1432"/>
      <c r="J1060" s="530"/>
      <c r="K1060" s="1102"/>
      <c r="L1060" s="530"/>
      <c r="M1060" s="533"/>
      <c r="N1060" s="530"/>
      <c r="O1060" s="530"/>
      <c r="P1060" s="530"/>
      <c r="Q1060" s="530"/>
      <c r="R1060" s="530"/>
      <c r="S1060" s="1432"/>
      <c r="T1060" s="533"/>
      <c r="U1060" s="533"/>
      <c r="V1060" s="1487"/>
      <c r="W1060" s="1487"/>
      <c r="X1060" s="1487"/>
      <c r="Y1060" s="533"/>
      <c r="Z1060" s="533"/>
      <c r="AA1060" s="530"/>
      <c r="AB1060" s="530"/>
      <c r="AC1060" s="530"/>
      <c r="AD1060" s="530"/>
      <c r="AE1060" s="530"/>
      <c r="AF1060" s="390"/>
      <c r="AG1060" s="390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</row>
    <row r="1061" spans="1:45">
      <c r="A1061" s="9"/>
      <c r="B1061" s="9"/>
      <c r="C1061" s="530"/>
      <c r="D1061" s="1359"/>
      <c r="E1061" s="530"/>
      <c r="F1061" s="530"/>
      <c r="G1061" s="1518"/>
      <c r="H1061" s="530"/>
      <c r="I1061" s="1432"/>
      <c r="J1061" s="530"/>
      <c r="K1061" s="1102"/>
      <c r="L1061" s="530"/>
      <c r="M1061" s="533"/>
      <c r="N1061" s="530"/>
      <c r="O1061" s="530"/>
      <c r="P1061" s="530"/>
      <c r="Q1061" s="530"/>
      <c r="R1061" s="530"/>
      <c r="S1061" s="1432"/>
      <c r="T1061" s="533"/>
      <c r="U1061" s="533"/>
      <c r="V1061" s="1487"/>
      <c r="W1061" s="1487"/>
      <c r="X1061" s="1487"/>
      <c r="Y1061" s="533"/>
      <c r="Z1061" s="533"/>
      <c r="AA1061" s="530"/>
      <c r="AB1061" s="530"/>
      <c r="AC1061" s="530"/>
      <c r="AD1061" s="530"/>
      <c r="AE1061" s="530"/>
      <c r="AF1061" s="390"/>
      <c r="AG1061" s="390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</row>
    <row r="1062" spans="1:45">
      <c r="A1062" s="9"/>
      <c r="B1062" s="9"/>
      <c r="C1062" s="530"/>
      <c r="D1062" s="1359"/>
      <c r="E1062" s="530"/>
      <c r="F1062" s="530"/>
      <c r="G1062" s="1518"/>
      <c r="H1062" s="530"/>
      <c r="I1062" s="1432"/>
      <c r="J1062" s="530"/>
      <c r="K1062" s="1102"/>
      <c r="L1062" s="530"/>
      <c r="M1062" s="533"/>
      <c r="N1062" s="530"/>
      <c r="O1062" s="530"/>
      <c r="P1062" s="530"/>
      <c r="Q1062" s="530"/>
      <c r="R1062" s="530"/>
      <c r="S1062" s="1432"/>
      <c r="T1062" s="533"/>
      <c r="U1062" s="533"/>
      <c r="V1062" s="1487"/>
      <c r="W1062" s="1487"/>
      <c r="X1062" s="1487"/>
      <c r="Y1062" s="533"/>
      <c r="Z1062" s="533"/>
      <c r="AA1062" s="530"/>
      <c r="AB1062" s="530"/>
      <c r="AC1062" s="530"/>
      <c r="AD1062" s="530"/>
      <c r="AE1062" s="530"/>
      <c r="AF1062" s="390"/>
      <c r="AG1062" s="390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</row>
    <row r="1063" spans="1:45">
      <c r="A1063" s="9"/>
      <c r="B1063" s="9"/>
      <c r="C1063" s="530"/>
      <c r="D1063" s="1359"/>
      <c r="E1063" s="530"/>
      <c r="F1063" s="530"/>
      <c r="G1063" s="1518"/>
      <c r="H1063" s="530"/>
      <c r="I1063" s="1432"/>
      <c r="J1063" s="530"/>
      <c r="K1063" s="1102"/>
      <c r="L1063" s="530"/>
      <c r="M1063" s="533"/>
      <c r="N1063" s="530"/>
      <c r="O1063" s="530"/>
      <c r="P1063" s="530"/>
      <c r="Q1063" s="530"/>
      <c r="R1063" s="530"/>
      <c r="S1063" s="1432"/>
      <c r="T1063" s="533"/>
      <c r="U1063" s="533"/>
      <c r="V1063" s="1487"/>
      <c r="W1063" s="1487"/>
      <c r="X1063" s="1487"/>
      <c r="Y1063" s="533"/>
      <c r="Z1063" s="533"/>
      <c r="AA1063" s="530"/>
      <c r="AB1063" s="530"/>
      <c r="AC1063" s="530"/>
      <c r="AD1063" s="530"/>
      <c r="AE1063" s="530"/>
      <c r="AF1063" s="390"/>
      <c r="AG1063" s="390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</row>
    <row r="1064" spans="1:45">
      <c r="A1064" s="9"/>
      <c r="B1064" s="9"/>
      <c r="C1064" s="530"/>
      <c r="D1064" s="1359"/>
      <c r="E1064" s="530"/>
      <c r="F1064" s="530"/>
      <c r="G1064" s="1518"/>
      <c r="H1064" s="530"/>
      <c r="I1064" s="1432"/>
      <c r="J1064" s="530"/>
      <c r="K1064" s="1102"/>
      <c r="L1064" s="530"/>
      <c r="M1064" s="533"/>
      <c r="N1064" s="530"/>
      <c r="O1064" s="530"/>
      <c r="P1064" s="530"/>
      <c r="Q1064" s="530"/>
      <c r="R1064" s="530"/>
      <c r="S1064" s="1432"/>
      <c r="T1064" s="533"/>
      <c r="U1064" s="533"/>
      <c r="V1064" s="1487"/>
      <c r="W1064" s="1487"/>
      <c r="X1064" s="1487"/>
      <c r="Y1064" s="533"/>
      <c r="Z1064" s="533"/>
      <c r="AA1064" s="530"/>
      <c r="AB1064" s="530"/>
      <c r="AC1064" s="530"/>
      <c r="AD1064" s="530"/>
      <c r="AE1064" s="530"/>
      <c r="AF1064" s="390"/>
      <c r="AG1064" s="390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</row>
    <row r="1065" spans="1:45">
      <c r="A1065" s="9"/>
      <c r="B1065" s="9"/>
      <c r="C1065" s="530"/>
      <c r="D1065" s="1359"/>
      <c r="E1065" s="530"/>
      <c r="F1065" s="530"/>
      <c r="G1065" s="1518"/>
      <c r="H1065" s="530"/>
      <c r="I1065" s="1432"/>
      <c r="J1065" s="530"/>
      <c r="K1065" s="1102"/>
      <c r="L1065" s="530"/>
      <c r="M1065" s="533"/>
      <c r="N1065" s="530"/>
      <c r="O1065" s="530"/>
      <c r="P1065" s="530"/>
      <c r="Q1065" s="530"/>
      <c r="R1065" s="530"/>
      <c r="S1065" s="1432"/>
      <c r="T1065" s="533"/>
      <c r="U1065" s="533"/>
      <c r="V1065" s="1487"/>
      <c r="W1065" s="1487"/>
      <c r="X1065" s="1487"/>
      <c r="Y1065" s="533"/>
      <c r="Z1065" s="533"/>
      <c r="AA1065" s="530"/>
      <c r="AB1065" s="530"/>
      <c r="AC1065" s="530"/>
      <c r="AD1065" s="530"/>
      <c r="AE1065" s="530"/>
      <c r="AF1065" s="390"/>
      <c r="AG1065" s="390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</row>
    <row r="1066" spans="1:45">
      <c r="A1066" s="9"/>
      <c r="B1066" s="9"/>
      <c r="C1066" s="530"/>
      <c r="D1066" s="1359"/>
      <c r="E1066" s="530"/>
      <c r="F1066" s="530"/>
      <c r="G1066" s="1518"/>
      <c r="H1066" s="530"/>
      <c r="I1066" s="1432"/>
      <c r="J1066" s="530"/>
      <c r="K1066" s="1102"/>
      <c r="L1066" s="530"/>
      <c r="M1066" s="533"/>
      <c r="N1066" s="530"/>
      <c r="O1066" s="530"/>
      <c r="P1066" s="530"/>
      <c r="Q1066" s="530"/>
      <c r="R1066" s="530"/>
      <c r="S1066" s="1432"/>
      <c r="T1066" s="533"/>
      <c r="U1066" s="533"/>
      <c r="V1066" s="1487"/>
      <c r="W1066" s="1487"/>
      <c r="X1066" s="1487"/>
      <c r="Y1066" s="533"/>
      <c r="Z1066" s="533"/>
      <c r="AA1066" s="530"/>
      <c r="AB1066" s="530"/>
      <c r="AC1066" s="530"/>
      <c r="AD1066" s="530"/>
      <c r="AE1066" s="530"/>
      <c r="AF1066" s="390"/>
      <c r="AG1066" s="390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</row>
    <row r="1067" spans="1:45">
      <c r="A1067" s="9"/>
      <c r="B1067" s="9"/>
      <c r="C1067" s="530"/>
      <c r="D1067" s="1359"/>
      <c r="E1067" s="530"/>
      <c r="F1067" s="530"/>
      <c r="G1067" s="1518"/>
      <c r="H1067" s="530"/>
      <c r="I1067" s="1432"/>
      <c r="J1067" s="530"/>
      <c r="K1067" s="1102"/>
      <c r="L1067" s="530"/>
      <c r="M1067" s="533"/>
      <c r="N1067" s="530"/>
      <c r="O1067" s="530"/>
      <c r="P1067" s="530"/>
      <c r="Q1067" s="530"/>
      <c r="R1067" s="530"/>
      <c r="S1067" s="1432"/>
      <c r="T1067" s="533"/>
      <c r="U1067" s="533"/>
      <c r="V1067" s="1487"/>
      <c r="W1067" s="1487"/>
      <c r="X1067" s="1487"/>
      <c r="Y1067" s="533"/>
      <c r="Z1067" s="533"/>
      <c r="AA1067" s="530"/>
      <c r="AB1067" s="530"/>
      <c r="AC1067" s="530"/>
      <c r="AD1067" s="530"/>
      <c r="AE1067" s="530"/>
      <c r="AF1067" s="390"/>
      <c r="AG1067" s="390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</row>
    <row r="1068" spans="1:45">
      <c r="A1068" s="9"/>
      <c r="B1068" s="9"/>
      <c r="C1068" s="530"/>
      <c r="D1068" s="1359"/>
      <c r="E1068" s="530"/>
      <c r="F1068" s="530"/>
      <c r="G1068" s="1518"/>
      <c r="H1068" s="530"/>
      <c r="I1068" s="1432"/>
      <c r="J1068" s="530"/>
      <c r="K1068" s="1102"/>
      <c r="L1068" s="530"/>
      <c r="M1068" s="533"/>
      <c r="N1068" s="530"/>
      <c r="O1068" s="530"/>
      <c r="P1068" s="530"/>
      <c r="Q1068" s="530"/>
      <c r="R1068" s="530"/>
      <c r="S1068" s="1432"/>
      <c r="T1068" s="533"/>
      <c r="U1068" s="533"/>
      <c r="V1068" s="1487"/>
      <c r="W1068" s="1487"/>
      <c r="X1068" s="1487"/>
      <c r="Y1068" s="533"/>
      <c r="Z1068" s="533"/>
      <c r="AA1068" s="530"/>
      <c r="AB1068" s="530"/>
      <c r="AC1068" s="530"/>
      <c r="AD1068" s="530"/>
      <c r="AE1068" s="530"/>
      <c r="AF1068" s="390"/>
      <c r="AG1068" s="390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</row>
    <row r="1069" spans="1:45">
      <c r="A1069" s="9"/>
      <c r="B1069" s="9"/>
      <c r="C1069" s="530"/>
      <c r="D1069" s="1359"/>
      <c r="E1069" s="530"/>
      <c r="F1069" s="530"/>
      <c r="G1069" s="1518"/>
      <c r="H1069" s="530"/>
      <c r="I1069" s="1432"/>
      <c r="J1069" s="530"/>
      <c r="K1069" s="1102"/>
      <c r="L1069" s="530"/>
      <c r="M1069" s="533"/>
      <c r="N1069" s="530"/>
      <c r="O1069" s="530"/>
      <c r="P1069" s="530"/>
      <c r="Q1069" s="530"/>
      <c r="R1069" s="530"/>
      <c r="S1069" s="1432"/>
      <c r="T1069" s="533"/>
      <c r="U1069" s="533"/>
      <c r="V1069" s="1487"/>
      <c r="W1069" s="1487"/>
      <c r="X1069" s="1487"/>
      <c r="Y1069" s="533"/>
      <c r="Z1069" s="533"/>
      <c r="AA1069" s="530"/>
      <c r="AB1069" s="530"/>
      <c r="AC1069" s="530"/>
      <c r="AD1069" s="530"/>
      <c r="AE1069" s="530"/>
      <c r="AF1069" s="390"/>
      <c r="AG1069" s="390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</row>
    <row r="1070" spans="1:45">
      <c r="A1070" s="9"/>
      <c r="B1070" s="9"/>
      <c r="C1070" s="530"/>
      <c r="D1070" s="1359"/>
      <c r="E1070" s="530"/>
      <c r="F1070" s="530"/>
      <c r="G1070" s="1518"/>
      <c r="H1070" s="530"/>
      <c r="I1070" s="1432"/>
      <c r="J1070" s="530"/>
      <c r="K1070" s="1102"/>
      <c r="L1070" s="530"/>
      <c r="M1070" s="533"/>
      <c r="N1070" s="530"/>
      <c r="O1070" s="530"/>
      <c r="P1070" s="530"/>
      <c r="Q1070" s="530"/>
      <c r="R1070" s="530"/>
      <c r="S1070" s="1432"/>
      <c r="T1070" s="533"/>
      <c r="U1070" s="533"/>
      <c r="V1070" s="1487"/>
      <c r="W1070" s="1487"/>
      <c r="X1070" s="1487"/>
      <c r="Y1070" s="533"/>
      <c r="Z1070" s="533"/>
      <c r="AA1070" s="530"/>
      <c r="AB1070" s="530"/>
      <c r="AC1070" s="530"/>
      <c r="AD1070" s="530"/>
      <c r="AE1070" s="530"/>
      <c r="AF1070" s="390"/>
      <c r="AG1070" s="390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</row>
    <row r="1071" spans="1:45">
      <c r="A1071" s="9"/>
      <c r="B1071" s="9"/>
      <c r="C1071" s="530"/>
      <c r="D1071" s="1359"/>
      <c r="E1071" s="530"/>
      <c r="F1071" s="530"/>
      <c r="G1071" s="1518"/>
      <c r="H1071" s="530"/>
      <c r="I1071" s="1432"/>
      <c r="J1071" s="530"/>
      <c r="K1071" s="1102"/>
      <c r="L1071" s="530"/>
      <c r="M1071" s="533"/>
      <c r="N1071" s="530"/>
      <c r="O1071" s="530"/>
      <c r="P1071" s="530"/>
      <c r="Q1071" s="530"/>
      <c r="R1071" s="530"/>
      <c r="S1071" s="1432"/>
      <c r="T1071" s="533"/>
      <c r="U1071" s="533"/>
      <c r="V1071" s="1487"/>
      <c r="W1071" s="1487"/>
      <c r="X1071" s="1487"/>
      <c r="Y1071" s="533"/>
      <c r="Z1071" s="533"/>
      <c r="AA1071" s="530"/>
      <c r="AB1071" s="530"/>
      <c r="AC1071" s="530"/>
      <c r="AD1071" s="530"/>
      <c r="AE1071" s="530"/>
      <c r="AF1071" s="390"/>
      <c r="AG1071" s="390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</row>
    <row r="1072" spans="1:45">
      <c r="A1072" s="9"/>
      <c r="B1072" s="9"/>
      <c r="C1072" s="530"/>
      <c r="D1072" s="1359"/>
      <c r="E1072" s="530"/>
      <c r="F1072" s="530"/>
      <c r="G1072" s="1518"/>
      <c r="H1072" s="530"/>
      <c r="I1072" s="1432"/>
      <c r="J1072" s="530"/>
      <c r="K1072" s="1102"/>
      <c r="L1072" s="530"/>
      <c r="M1072" s="533"/>
      <c r="N1072" s="530"/>
      <c r="O1072" s="530"/>
      <c r="P1072" s="530"/>
      <c r="Q1072" s="530"/>
      <c r="R1072" s="530"/>
      <c r="S1072" s="1432"/>
      <c r="T1072" s="533"/>
      <c r="U1072" s="533"/>
      <c r="V1072" s="1487"/>
      <c r="W1072" s="1487"/>
      <c r="X1072" s="1487"/>
      <c r="Y1072" s="533"/>
      <c r="Z1072" s="533"/>
      <c r="AA1072" s="530"/>
      <c r="AB1072" s="530"/>
      <c r="AC1072" s="530"/>
      <c r="AD1072" s="530"/>
      <c r="AE1072" s="530"/>
      <c r="AF1072" s="390"/>
      <c r="AG1072" s="390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</row>
    <row r="1073" spans="1:45">
      <c r="A1073" s="9"/>
      <c r="B1073" s="9"/>
      <c r="C1073" s="530"/>
      <c r="D1073" s="1359"/>
      <c r="E1073" s="530"/>
      <c r="F1073" s="530"/>
      <c r="G1073" s="1518"/>
      <c r="H1073" s="530"/>
      <c r="I1073" s="1432"/>
      <c r="J1073" s="530"/>
      <c r="K1073" s="1102"/>
      <c r="L1073" s="530"/>
      <c r="M1073" s="533"/>
      <c r="N1073" s="530"/>
      <c r="O1073" s="530"/>
      <c r="P1073" s="530"/>
      <c r="Q1073" s="530"/>
      <c r="R1073" s="530"/>
      <c r="S1073" s="1432"/>
      <c r="T1073" s="533"/>
      <c r="U1073" s="533"/>
      <c r="V1073" s="1487"/>
      <c r="W1073" s="1487"/>
      <c r="X1073" s="1487"/>
      <c r="Y1073" s="533"/>
      <c r="Z1073" s="533"/>
      <c r="AA1073" s="530"/>
      <c r="AB1073" s="530"/>
      <c r="AC1073" s="530"/>
      <c r="AD1073" s="530"/>
      <c r="AE1073" s="530"/>
      <c r="AF1073" s="390"/>
      <c r="AG1073" s="390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</row>
    <row r="1074" spans="1:45">
      <c r="A1074" s="9"/>
      <c r="B1074" s="9"/>
      <c r="C1074" s="530"/>
      <c r="D1074" s="1359"/>
      <c r="E1074" s="530"/>
      <c r="F1074" s="530"/>
      <c r="G1074" s="1518"/>
      <c r="H1074" s="530"/>
      <c r="I1074" s="1432"/>
      <c r="J1074" s="530"/>
      <c r="K1074" s="1102"/>
      <c r="L1074" s="530"/>
      <c r="M1074" s="533"/>
      <c r="N1074" s="530"/>
      <c r="O1074" s="530"/>
      <c r="P1074" s="530"/>
      <c r="Q1074" s="530"/>
      <c r="R1074" s="530"/>
      <c r="S1074" s="1432"/>
      <c r="T1074" s="533"/>
      <c r="U1074" s="533"/>
      <c r="V1074" s="1487"/>
      <c r="W1074" s="1487"/>
      <c r="X1074" s="1487"/>
      <c r="Y1074" s="533"/>
      <c r="Z1074" s="533"/>
      <c r="AA1074" s="530"/>
      <c r="AB1074" s="530"/>
      <c r="AC1074" s="530"/>
      <c r="AD1074" s="530"/>
      <c r="AE1074" s="530"/>
      <c r="AF1074" s="390"/>
      <c r="AG1074" s="390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</row>
    <row r="1075" spans="1:45">
      <c r="A1075" s="9"/>
      <c r="B1075" s="9"/>
      <c r="C1075" s="530"/>
      <c r="D1075" s="1359"/>
      <c r="E1075" s="530"/>
      <c r="F1075" s="530"/>
      <c r="G1075" s="1518"/>
      <c r="H1075" s="530"/>
      <c r="I1075" s="1432"/>
      <c r="J1075" s="530"/>
      <c r="K1075" s="1102"/>
      <c r="L1075" s="530"/>
      <c r="M1075" s="533"/>
      <c r="N1075" s="530"/>
      <c r="O1075" s="530"/>
      <c r="P1075" s="530"/>
      <c r="Q1075" s="530"/>
      <c r="R1075" s="530"/>
      <c r="S1075" s="1432"/>
      <c r="T1075" s="533"/>
      <c r="U1075" s="533"/>
      <c r="V1075" s="1487"/>
      <c r="W1075" s="1487"/>
      <c r="X1075" s="1487"/>
      <c r="Y1075" s="533"/>
      <c r="Z1075" s="533"/>
      <c r="AA1075" s="530"/>
      <c r="AB1075" s="530"/>
      <c r="AC1075" s="530"/>
      <c r="AD1075" s="530"/>
      <c r="AE1075" s="530"/>
      <c r="AF1075" s="390"/>
      <c r="AG1075" s="390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</row>
    <row r="1076" spans="1:45">
      <c r="A1076" s="9"/>
      <c r="B1076" s="9"/>
      <c r="C1076" s="530"/>
      <c r="D1076" s="1359"/>
      <c r="E1076" s="530"/>
      <c r="F1076" s="530"/>
      <c r="G1076" s="1518"/>
      <c r="H1076" s="530"/>
      <c r="I1076" s="1432"/>
      <c r="J1076" s="530"/>
      <c r="K1076" s="1102"/>
      <c r="L1076" s="530"/>
      <c r="M1076" s="533"/>
      <c r="N1076" s="530"/>
      <c r="O1076" s="530"/>
      <c r="P1076" s="530"/>
      <c r="Q1076" s="530"/>
      <c r="R1076" s="530"/>
      <c r="S1076" s="1432"/>
      <c r="T1076" s="533"/>
      <c r="U1076" s="533"/>
      <c r="V1076" s="1487"/>
      <c r="W1076" s="1487"/>
      <c r="X1076" s="1487"/>
      <c r="Y1076" s="533"/>
      <c r="Z1076" s="533"/>
      <c r="AA1076" s="530"/>
      <c r="AB1076" s="530"/>
      <c r="AC1076" s="530"/>
      <c r="AD1076" s="530"/>
      <c r="AE1076" s="530"/>
      <c r="AF1076" s="390"/>
      <c r="AG1076" s="390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</row>
    <row r="1077" spans="1:45">
      <c r="A1077" s="9"/>
      <c r="B1077" s="9"/>
      <c r="C1077" s="530"/>
      <c r="D1077" s="1359"/>
      <c r="E1077" s="530"/>
      <c r="F1077" s="530"/>
      <c r="G1077" s="1518"/>
      <c r="H1077" s="530"/>
      <c r="I1077" s="1432"/>
      <c r="J1077" s="530"/>
      <c r="K1077" s="1102"/>
      <c r="L1077" s="530"/>
      <c r="M1077" s="533"/>
      <c r="N1077" s="530"/>
      <c r="O1077" s="530"/>
      <c r="P1077" s="530"/>
      <c r="Q1077" s="530"/>
      <c r="R1077" s="530"/>
      <c r="S1077" s="1432"/>
      <c r="T1077" s="533"/>
      <c r="U1077" s="533"/>
      <c r="V1077" s="1487"/>
      <c r="W1077" s="1487"/>
      <c r="X1077" s="1487"/>
      <c r="Y1077" s="533"/>
      <c r="Z1077" s="533"/>
      <c r="AA1077" s="530"/>
      <c r="AB1077" s="530"/>
      <c r="AC1077" s="530"/>
      <c r="AD1077" s="530"/>
      <c r="AE1077" s="530"/>
      <c r="AF1077" s="390"/>
      <c r="AG1077" s="390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</row>
    <row r="1078" spans="1:45">
      <c r="A1078" s="9"/>
      <c r="B1078" s="9"/>
      <c r="C1078" s="530"/>
      <c r="D1078" s="1359"/>
      <c r="E1078" s="530"/>
      <c r="F1078" s="530"/>
      <c r="G1078" s="1518"/>
      <c r="H1078" s="530"/>
      <c r="I1078" s="1432"/>
      <c r="J1078" s="530"/>
      <c r="K1078" s="1102"/>
      <c r="L1078" s="530"/>
      <c r="M1078" s="533"/>
      <c r="N1078" s="530"/>
      <c r="O1078" s="530"/>
      <c r="P1078" s="530"/>
      <c r="Q1078" s="530"/>
      <c r="R1078" s="530"/>
      <c r="S1078" s="1432"/>
      <c r="T1078" s="533"/>
      <c r="U1078" s="533"/>
      <c r="V1078" s="1487"/>
      <c r="W1078" s="1487"/>
      <c r="X1078" s="1487"/>
      <c r="Y1078" s="533"/>
      <c r="Z1078" s="533"/>
      <c r="AA1078" s="530"/>
      <c r="AB1078" s="530"/>
      <c r="AC1078" s="530"/>
      <c r="AD1078" s="530"/>
      <c r="AE1078" s="530"/>
      <c r="AF1078" s="390"/>
      <c r="AG1078" s="390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</row>
    <row r="1079" spans="1:45">
      <c r="A1079" s="9"/>
      <c r="B1079" s="9"/>
      <c r="C1079" s="530"/>
      <c r="D1079" s="1359"/>
      <c r="E1079" s="530"/>
      <c r="F1079" s="530"/>
      <c r="G1079" s="1518"/>
      <c r="H1079" s="530"/>
      <c r="I1079" s="1432"/>
      <c r="J1079" s="530"/>
      <c r="K1079" s="1102"/>
      <c r="L1079" s="530"/>
      <c r="M1079" s="533"/>
      <c r="N1079" s="530"/>
      <c r="O1079" s="530"/>
      <c r="P1079" s="530"/>
      <c r="Q1079" s="530"/>
      <c r="R1079" s="530"/>
      <c r="S1079" s="1432"/>
      <c r="T1079" s="533"/>
      <c r="U1079" s="533"/>
      <c r="V1079" s="1487"/>
      <c r="W1079" s="1487"/>
      <c r="X1079" s="1487"/>
      <c r="Y1079" s="533"/>
      <c r="Z1079" s="533"/>
      <c r="AA1079" s="530"/>
      <c r="AB1079" s="530"/>
      <c r="AC1079" s="530"/>
      <c r="AD1079" s="530"/>
      <c r="AE1079" s="530"/>
      <c r="AF1079" s="390"/>
      <c r="AG1079" s="390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</row>
    <row r="1080" spans="1:45">
      <c r="A1080" s="9"/>
      <c r="B1080" s="9"/>
      <c r="C1080" s="530"/>
      <c r="D1080" s="1359"/>
      <c r="E1080" s="530"/>
      <c r="F1080" s="530"/>
      <c r="G1080" s="1518"/>
      <c r="H1080" s="530"/>
      <c r="I1080" s="1432"/>
      <c r="J1080" s="530"/>
      <c r="K1080" s="1102"/>
      <c r="L1080" s="530"/>
      <c r="M1080" s="533"/>
      <c r="N1080" s="530"/>
      <c r="O1080" s="530"/>
      <c r="P1080" s="530"/>
      <c r="Q1080" s="530"/>
      <c r="R1080" s="530"/>
      <c r="S1080" s="1432"/>
      <c r="T1080" s="533"/>
      <c r="U1080" s="533"/>
      <c r="V1080" s="1487"/>
      <c r="W1080" s="1487"/>
      <c r="X1080" s="1487"/>
      <c r="Y1080" s="533"/>
      <c r="Z1080" s="533"/>
      <c r="AA1080" s="530"/>
      <c r="AB1080" s="530"/>
      <c r="AC1080" s="530"/>
      <c r="AD1080" s="530"/>
      <c r="AE1080" s="530"/>
      <c r="AF1080" s="390"/>
      <c r="AG1080" s="390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</row>
    <row r="1081" spans="1:45">
      <c r="A1081" s="9"/>
      <c r="B1081" s="9"/>
      <c r="C1081" s="530"/>
      <c r="D1081" s="1359"/>
      <c r="E1081" s="530"/>
      <c r="F1081" s="530"/>
      <c r="G1081" s="1518"/>
      <c r="H1081" s="530"/>
      <c r="I1081" s="1432"/>
      <c r="J1081" s="530"/>
      <c r="K1081" s="1102"/>
      <c r="L1081" s="530"/>
      <c r="M1081" s="533"/>
      <c r="N1081" s="530"/>
      <c r="O1081" s="530"/>
      <c r="P1081" s="530"/>
      <c r="Q1081" s="530"/>
      <c r="R1081" s="530"/>
      <c r="S1081" s="1432"/>
      <c r="T1081" s="533"/>
      <c r="U1081" s="533"/>
      <c r="V1081" s="1487"/>
      <c r="W1081" s="1487"/>
      <c r="X1081" s="1487"/>
      <c r="Y1081" s="533"/>
      <c r="Z1081" s="533"/>
      <c r="AA1081" s="530"/>
      <c r="AB1081" s="530"/>
      <c r="AC1081" s="530"/>
      <c r="AD1081" s="530"/>
      <c r="AE1081" s="530"/>
      <c r="AF1081" s="390"/>
      <c r="AG1081" s="390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</row>
    <row r="1082" spans="1:45">
      <c r="A1082" s="9"/>
      <c r="B1082" s="9"/>
      <c r="C1082" s="530"/>
      <c r="D1082" s="1359"/>
      <c r="E1082" s="530"/>
      <c r="F1082" s="530"/>
      <c r="G1082" s="1518"/>
      <c r="H1082" s="530"/>
      <c r="I1082" s="1432"/>
      <c r="J1082" s="530"/>
      <c r="K1082" s="1102"/>
      <c r="L1082" s="530"/>
      <c r="M1082" s="533"/>
      <c r="N1082" s="530"/>
      <c r="O1082" s="530"/>
      <c r="P1082" s="530"/>
      <c r="Q1082" s="530"/>
      <c r="R1082" s="530"/>
      <c r="S1082" s="1432"/>
      <c r="T1082" s="533"/>
      <c r="U1082" s="533"/>
      <c r="V1082" s="1487"/>
      <c r="W1082" s="1487"/>
      <c r="X1082" s="1487"/>
      <c r="Y1082" s="533"/>
      <c r="Z1082" s="533"/>
      <c r="AA1082" s="530"/>
      <c r="AB1082" s="530"/>
      <c r="AC1082" s="530"/>
      <c r="AD1082" s="530"/>
      <c r="AE1082" s="530"/>
      <c r="AF1082" s="390"/>
      <c r="AG1082" s="390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</row>
    <row r="1083" spans="1:45">
      <c r="A1083" s="9"/>
      <c r="B1083" s="9"/>
      <c r="C1083" s="530"/>
      <c r="D1083" s="1359"/>
      <c r="E1083" s="530"/>
      <c r="F1083" s="530"/>
      <c r="G1083" s="1518"/>
      <c r="H1083" s="530"/>
      <c r="I1083" s="1432"/>
      <c r="J1083" s="530"/>
      <c r="K1083" s="1102"/>
      <c r="L1083" s="530"/>
      <c r="M1083" s="533"/>
      <c r="N1083" s="530"/>
      <c r="O1083" s="530"/>
      <c r="P1083" s="530"/>
      <c r="Q1083" s="530"/>
      <c r="R1083" s="530"/>
      <c r="S1083" s="1432"/>
      <c r="T1083" s="533"/>
      <c r="U1083" s="533"/>
      <c r="V1083" s="1487"/>
      <c r="W1083" s="1487"/>
      <c r="X1083" s="1487"/>
      <c r="Y1083" s="533"/>
      <c r="Z1083" s="533"/>
      <c r="AA1083" s="530"/>
      <c r="AB1083" s="530"/>
      <c r="AC1083" s="530"/>
      <c r="AD1083" s="530"/>
      <c r="AE1083" s="530"/>
      <c r="AF1083" s="390"/>
      <c r="AG1083" s="390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</row>
    <row r="1084" spans="1:45">
      <c r="A1084" s="9"/>
      <c r="B1084" s="9"/>
      <c r="C1084" s="530"/>
      <c r="D1084" s="1359"/>
      <c r="E1084" s="530"/>
      <c r="F1084" s="530"/>
      <c r="G1084" s="1518"/>
      <c r="H1084" s="530"/>
      <c r="I1084" s="1432"/>
      <c r="J1084" s="530"/>
      <c r="K1084" s="1102"/>
      <c r="L1084" s="530"/>
      <c r="M1084" s="533"/>
      <c r="N1084" s="530"/>
      <c r="O1084" s="530"/>
      <c r="P1084" s="530"/>
      <c r="Q1084" s="530"/>
      <c r="R1084" s="530"/>
      <c r="S1084" s="1432"/>
      <c r="T1084" s="533"/>
      <c r="U1084" s="533"/>
      <c r="V1084" s="1487"/>
      <c r="W1084" s="1487"/>
      <c r="X1084" s="1487"/>
      <c r="Y1084" s="533"/>
      <c r="Z1084" s="533"/>
      <c r="AA1084" s="530"/>
      <c r="AB1084" s="530"/>
      <c r="AC1084" s="530"/>
      <c r="AD1084" s="530"/>
      <c r="AE1084" s="530"/>
      <c r="AF1084" s="390"/>
      <c r="AG1084" s="390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</row>
    <row r="1085" spans="1:45">
      <c r="A1085" s="9"/>
      <c r="B1085" s="9"/>
      <c r="C1085" s="530"/>
      <c r="D1085" s="1359"/>
      <c r="E1085" s="530"/>
      <c r="F1085" s="530"/>
      <c r="G1085" s="1518"/>
      <c r="H1085" s="530"/>
      <c r="I1085" s="1432"/>
      <c r="J1085" s="530"/>
      <c r="K1085" s="1102"/>
      <c r="L1085" s="530"/>
      <c r="M1085" s="533"/>
      <c r="N1085" s="530"/>
      <c r="O1085" s="530"/>
      <c r="P1085" s="530"/>
      <c r="Q1085" s="530"/>
      <c r="R1085" s="530"/>
      <c r="S1085" s="1432"/>
      <c r="T1085" s="533"/>
      <c r="U1085" s="533"/>
      <c r="V1085" s="1487"/>
      <c r="W1085" s="1487"/>
      <c r="X1085" s="1487"/>
      <c r="Y1085" s="533"/>
      <c r="Z1085" s="533"/>
      <c r="AA1085" s="530"/>
      <c r="AB1085" s="530"/>
      <c r="AC1085" s="530"/>
      <c r="AD1085" s="530"/>
      <c r="AE1085" s="530"/>
      <c r="AF1085" s="390"/>
      <c r="AG1085" s="390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</row>
    <row r="1086" spans="1:45">
      <c r="A1086" s="9"/>
      <c r="B1086" s="9"/>
      <c r="C1086" s="530"/>
      <c r="D1086" s="1359"/>
      <c r="E1086" s="530"/>
      <c r="F1086" s="530"/>
      <c r="G1086" s="1518"/>
      <c r="H1086" s="530"/>
      <c r="I1086" s="1432"/>
      <c r="J1086" s="530"/>
      <c r="K1086" s="1102"/>
      <c r="L1086" s="530"/>
      <c r="M1086" s="533"/>
      <c r="N1086" s="530"/>
      <c r="O1086" s="530"/>
      <c r="P1086" s="530"/>
      <c r="Q1086" s="530"/>
      <c r="R1086" s="530"/>
      <c r="S1086" s="1432"/>
      <c r="T1086" s="533"/>
      <c r="U1086" s="533"/>
      <c r="V1086" s="1487"/>
      <c r="W1086" s="1487"/>
      <c r="X1086" s="1487"/>
      <c r="Y1086" s="533"/>
      <c r="Z1086" s="533"/>
      <c r="AA1086" s="530"/>
      <c r="AB1086" s="530"/>
      <c r="AC1086" s="530"/>
      <c r="AD1086" s="530"/>
      <c r="AE1086" s="530"/>
      <c r="AF1086" s="390"/>
      <c r="AG1086" s="390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</row>
    <row r="1087" spans="1:45">
      <c r="A1087" s="9"/>
      <c r="B1087" s="9"/>
      <c r="C1087" s="530"/>
      <c r="D1087" s="1359"/>
      <c r="E1087" s="530"/>
      <c r="F1087" s="530"/>
      <c r="G1087" s="1518"/>
      <c r="H1087" s="530"/>
      <c r="I1087" s="1432"/>
      <c r="J1087" s="530"/>
      <c r="K1087" s="1102"/>
      <c r="L1087" s="530"/>
      <c r="M1087" s="533"/>
      <c r="N1087" s="530"/>
      <c r="O1087" s="530"/>
      <c r="P1087" s="530"/>
      <c r="Q1087" s="530"/>
      <c r="R1087" s="530"/>
      <c r="S1087" s="1432"/>
      <c r="T1087" s="533"/>
      <c r="U1087" s="533"/>
      <c r="V1087" s="1487"/>
      <c r="W1087" s="1487"/>
      <c r="X1087" s="1487"/>
      <c r="Y1087" s="533"/>
      <c r="Z1087" s="533"/>
      <c r="AA1087" s="530"/>
      <c r="AB1087" s="530"/>
      <c r="AC1087" s="530"/>
      <c r="AD1087" s="530"/>
      <c r="AE1087" s="530"/>
      <c r="AF1087" s="390"/>
      <c r="AG1087" s="390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</row>
    <row r="1088" spans="1:45">
      <c r="A1088" s="9"/>
      <c r="B1088" s="9"/>
      <c r="C1088" s="530"/>
      <c r="D1088" s="1359"/>
      <c r="E1088" s="530"/>
      <c r="F1088" s="530"/>
      <c r="G1088" s="1518"/>
      <c r="H1088" s="530"/>
      <c r="I1088" s="1432"/>
      <c r="J1088" s="530"/>
      <c r="K1088" s="1102"/>
      <c r="L1088" s="530"/>
      <c r="M1088" s="533"/>
      <c r="N1088" s="530"/>
      <c r="O1088" s="530"/>
      <c r="P1088" s="530"/>
      <c r="Q1088" s="530"/>
      <c r="R1088" s="530"/>
      <c r="S1088" s="1432"/>
      <c r="T1088" s="533"/>
      <c r="U1088" s="533"/>
      <c r="V1088" s="1487"/>
      <c r="W1088" s="1487"/>
      <c r="X1088" s="1487"/>
      <c r="Y1088" s="533"/>
      <c r="Z1088" s="533"/>
      <c r="AA1088" s="530"/>
      <c r="AB1088" s="530"/>
      <c r="AC1088" s="530"/>
      <c r="AD1088" s="530"/>
      <c r="AE1088" s="530"/>
      <c r="AF1088" s="390"/>
      <c r="AG1088" s="390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</row>
    <row r="1089" spans="1:45">
      <c r="A1089" s="9"/>
      <c r="B1089" s="9"/>
      <c r="C1089" s="530"/>
      <c r="D1089" s="1359"/>
      <c r="E1089" s="530"/>
      <c r="F1089" s="530"/>
      <c r="G1089" s="1518"/>
      <c r="H1089" s="530"/>
      <c r="I1089" s="1432"/>
      <c r="J1089" s="530"/>
      <c r="K1089" s="1102"/>
      <c r="L1089" s="530"/>
      <c r="M1089" s="533"/>
      <c r="N1089" s="530"/>
      <c r="O1089" s="530"/>
      <c r="P1089" s="530"/>
      <c r="Q1089" s="530"/>
      <c r="R1089" s="530"/>
      <c r="S1089" s="1432"/>
      <c r="T1089" s="533"/>
      <c r="U1089" s="533"/>
      <c r="V1089" s="1487"/>
      <c r="W1089" s="1487"/>
      <c r="X1089" s="1487"/>
      <c r="Y1089" s="533"/>
      <c r="Z1089" s="533"/>
      <c r="AA1089" s="530"/>
      <c r="AB1089" s="530"/>
      <c r="AC1089" s="530"/>
      <c r="AD1089" s="530"/>
      <c r="AE1089" s="530"/>
      <c r="AF1089" s="390"/>
      <c r="AG1089" s="390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</row>
    <row r="1090" spans="1:45">
      <c r="A1090" s="9"/>
      <c r="B1090" s="9"/>
      <c r="C1090" s="530"/>
      <c r="D1090" s="1359"/>
      <c r="E1090" s="530"/>
      <c r="F1090" s="530"/>
      <c r="G1090" s="1518"/>
      <c r="H1090" s="530"/>
      <c r="I1090" s="1432"/>
      <c r="J1090" s="530"/>
      <c r="K1090" s="1102"/>
      <c r="L1090" s="530"/>
      <c r="M1090" s="533"/>
      <c r="N1090" s="530"/>
      <c r="O1090" s="530"/>
      <c r="P1090" s="530"/>
      <c r="Q1090" s="530"/>
      <c r="R1090" s="530"/>
      <c r="S1090" s="1432"/>
      <c r="T1090" s="533"/>
      <c r="U1090" s="533"/>
      <c r="V1090" s="1487"/>
      <c r="W1090" s="1487"/>
      <c r="X1090" s="1487"/>
      <c r="Y1090" s="533"/>
      <c r="Z1090" s="533"/>
      <c r="AA1090" s="530"/>
      <c r="AB1090" s="530"/>
      <c r="AC1090" s="530"/>
      <c r="AD1090" s="530"/>
      <c r="AE1090" s="530"/>
      <c r="AF1090" s="390"/>
      <c r="AG1090" s="390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</row>
    <row r="1091" spans="1:45">
      <c r="A1091" s="9"/>
      <c r="B1091" s="9"/>
      <c r="C1091" s="530"/>
      <c r="D1091" s="1359"/>
      <c r="E1091" s="530"/>
      <c r="F1091" s="530"/>
      <c r="G1091" s="1518"/>
      <c r="H1091" s="530"/>
      <c r="I1091" s="1432"/>
      <c r="J1091" s="530"/>
      <c r="K1091" s="1102"/>
      <c r="L1091" s="530"/>
      <c r="M1091" s="533"/>
      <c r="N1091" s="530"/>
      <c r="O1091" s="530"/>
      <c r="P1091" s="530"/>
      <c r="Q1091" s="530"/>
      <c r="R1091" s="530"/>
      <c r="S1091" s="1432"/>
      <c r="T1091" s="533"/>
      <c r="U1091" s="533"/>
      <c r="V1091" s="1487"/>
      <c r="W1091" s="1487"/>
      <c r="X1091" s="1487"/>
      <c r="Y1091" s="533"/>
      <c r="Z1091" s="533"/>
      <c r="AA1091" s="530"/>
      <c r="AB1091" s="530"/>
      <c r="AC1091" s="530"/>
      <c r="AD1091" s="530"/>
      <c r="AE1091" s="530"/>
      <c r="AF1091" s="390"/>
      <c r="AG1091" s="390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</row>
    <row r="1092" spans="1:45">
      <c r="A1092" s="9"/>
      <c r="B1092" s="9"/>
      <c r="C1092" s="530"/>
      <c r="D1092" s="1359"/>
      <c r="E1092" s="530"/>
      <c r="F1092" s="530"/>
      <c r="G1092" s="1518"/>
      <c r="H1092" s="530"/>
      <c r="I1092" s="1432"/>
      <c r="J1092" s="530"/>
      <c r="K1092" s="1102"/>
      <c r="L1092" s="530"/>
      <c r="M1092" s="533"/>
      <c r="N1092" s="530"/>
      <c r="O1092" s="530"/>
      <c r="P1092" s="530"/>
      <c r="Q1092" s="530"/>
      <c r="R1092" s="530"/>
      <c r="S1092" s="1432"/>
      <c r="T1092" s="533"/>
      <c r="U1092" s="533"/>
      <c r="V1092" s="1487"/>
      <c r="W1092" s="1487"/>
      <c r="X1092" s="1487"/>
      <c r="Y1092" s="533"/>
      <c r="Z1092" s="533"/>
      <c r="AA1092" s="530"/>
      <c r="AB1092" s="530"/>
      <c r="AC1092" s="530"/>
      <c r="AD1092" s="530"/>
      <c r="AE1092" s="530"/>
      <c r="AF1092" s="390"/>
      <c r="AG1092" s="390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</row>
    <row r="1093" spans="1:45">
      <c r="A1093" s="9"/>
      <c r="B1093" s="9"/>
      <c r="C1093" s="530"/>
      <c r="D1093" s="1359"/>
      <c r="E1093" s="530"/>
      <c r="F1093" s="530"/>
      <c r="G1093" s="1518"/>
      <c r="H1093" s="530"/>
      <c r="I1093" s="1432"/>
      <c r="J1093" s="530"/>
      <c r="K1093" s="1102"/>
      <c r="L1093" s="530"/>
      <c r="M1093" s="533"/>
      <c r="N1093" s="530"/>
      <c r="O1093" s="530"/>
      <c r="P1093" s="530"/>
      <c r="Q1093" s="530"/>
      <c r="R1093" s="530"/>
      <c r="S1093" s="1432"/>
      <c r="T1093" s="533"/>
      <c r="U1093" s="533"/>
      <c r="V1093" s="1487"/>
      <c r="W1093" s="1487"/>
      <c r="X1093" s="1487"/>
      <c r="Y1093" s="533"/>
      <c r="Z1093" s="533"/>
      <c r="AA1093" s="530"/>
      <c r="AB1093" s="530"/>
      <c r="AC1093" s="530"/>
      <c r="AD1093" s="530"/>
      <c r="AE1093" s="530"/>
      <c r="AF1093" s="390"/>
      <c r="AG1093" s="390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</row>
    <row r="1094" spans="1:45">
      <c r="A1094" s="9"/>
      <c r="B1094" s="9"/>
      <c r="C1094" s="530"/>
      <c r="D1094" s="1359"/>
      <c r="E1094" s="530"/>
      <c r="F1094" s="530"/>
      <c r="G1094" s="1518"/>
      <c r="H1094" s="530"/>
      <c r="I1094" s="1432"/>
      <c r="J1094" s="530"/>
      <c r="K1094" s="1102"/>
      <c r="L1094" s="530"/>
      <c r="M1094" s="533"/>
      <c r="N1094" s="530"/>
      <c r="O1094" s="530"/>
      <c r="P1094" s="530"/>
      <c r="Q1094" s="530"/>
      <c r="R1094" s="530"/>
      <c r="S1094" s="1432"/>
      <c r="T1094" s="533"/>
      <c r="U1094" s="533"/>
      <c r="V1094" s="1487"/>
      <c r="W1094" s="1487"/>
      <c r="X1094" s="1487"/>
      <c r="Y1094" s="533"/>
      <c r="Z1094" s="533"/>
      <c r="AA1094" s="530"/>
      <c r="AB1094" s="530"/>
      <c r="AC1094" s="530"/>
      <c r="AD1094" s="530"/>
      <c r="AE1094" s="530"/>
      <c r="AF1094" s="390"/>
      <c r="AG1094" s="390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</row>
    <row r="1095" spans="1:45">
      <c r="A1095" s="9"/>
      <c r="B1095" s="9"/>
      <c r="C1095" s="530"/>
      <c r="D1095" s="1359"/>
      <c r="E1095" s="530"/>
      <c r="F1095" s="530"/>
      <c r="G1095" s="1518"/>
      <c r="H1095" s="530"/>
      <c r="I1095" s="1432"/>
      <c r="J1095" s="530"/>
      <c r="K1095" s="1102"/>
      <c r="L1095" s="530"/>
      <c r="M1095" s="533"/>
      <c r="N1095" s="530"/>
      <c r="O1095" s="530"/>
      <c r="P1095" s="530"/>
      <c r="Q1095" s="530"/>
      <c r="R1095" s="530"/>
      <c r="S1095" s="1432"/>
      <c r="T1095" s="533"/>
      <c r="U1095" s="533"/>
      <c r="V1095" s="1487"/>
      <c r="W1095" s="1487"/>
      <c r="X1095" s="1487"/>
      <c r="Y1095" s="533"/>
      <c r="Z1095" s="533"/>
      <c r="AA1095" s="530"/>
      <c r="AB1095" s="530"/>
      <c r="AC1095" s="530"/>
      <c r="AD1095" s="530"/>
      <c r="AE1095" s="530"/>
      <c r="AF1095" s="390"/>
      <c r="AG1095" s="390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</row>
    <row r="1096" spans="1:45">
      <c r="A1096" s="9"/>
      <c r="B1096" s="9"/>
      <c r="C1096" s="530"/>
      <c r="D1096" s="1359"/>
      <c r="E1096" s="530"/>
      <c r="F1096" s="530"/>
      <c r="G1096" s="1518"/>
      <c r="H1096" s="530"/>
      <c r="I1096" s="1432"/>
      <c r="J1096" s="530"/>
      <c r="K1096" s="1102"/>
      <c r="L1096" s="530"/>
      <c r="M1096" s="533"/>
      <c r="N1096" s="530"/>
      <c r="O1096" s="530"/>
      <c r="P1096" s="530"/>
      <c r="Q1096" s="530"/>
      <c r="R1096" s="530"/>
      <c r="S1096" s="1432"/>
      <c r="T1096" s="533"/>
      <c r="U1096" s="533"/>
      <c r="V1096" s="1487"/>
      <c r="W1096" s="1487"/>
      <c r="X1096" s="1487"/>
      <c r="Y1096" s="533"/>
      <c r="Z1096" s="533"/>
      <c r="AA1096" s="530"/>
      <c r="AB1096" s="530"/>
      <c r="AC1096" s="530"/>
      <c r="AD1096" s="530"/>
      <c r="AE1096" s="530"/>
      <c r="AF1096" s="390"/>
      <c r="AG1096" s="390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</row>
    <row r="1097" spans="1:45">
      <c r="A1097" s="9"/>
      <c r="B1097" s="9"/>
      <c r="C1097" s="530"/>
      <c r="D1097" s="1359"/>
      <c r="E1097" s="530"/>
      <c r="F1097" s="530"/>
      <c r="G1097" s="1518"/>
      <c r="H1097" s="530"/>
      <c r="I1097" s="1432"/>
      <c r="J1097" s="530"/>
      <c r="K1097" s="1102"/>
      <c r="L1097" s="530"/>
      <c r="M1097" s="533"/>
      <c r="N1097" s="530"/>
      <c r="O1097" s="530"/>
      <c r="P1097" s="530"/>
      <c r="Q1097" s="530"/>
      <c r="R1097" s="530"/>
      <c r="S1097" s="1432"/>
      <c r="T1097" s="533"/>
      <c r="U1097" s="533"/>
      <c r="V1097" s="1487"/>
      <c r="W1097" s="1487"/>
      <c r="X1097" s="1487"/>
      <c r="Y1097" s="533"/>
      <c r="Z1097" s="533"/>
      <c r="AA1097" s="530"/>
      <c r="AB1097" s="530"/>
      <c r="AC1097" s="530"/>
      <c r="AD1097" s="530"/>
      <c r="AE1097" s="530"/>
      <c r="AF1097" s="390"/>
      <c r="AG1097" s="390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</row>
    <row r="1098" spans="1:45">
      <c r="A1098" s="9"/>
      <c r="B1098" s="9"/>
      <c r="C1098" s="530"/>
      <c r="D1098" s="1359"/>
      <c r="E1098" s="530"/>
      <c r="F1098" s="530"/>
      <c r="G1098" s="1518"/>
      <c r="H1098" s="530"/>
      <c r="I1098" s="1432"/>
      <c r="J1098" s="530"/>
      <c r="K1098" s="1102"/>
      <c r="L1098" s="530"/>
      <c r="M1098" s="533"/>
      <c r="N1098" s="530"/>
      <c r="O1098" s="530"/>
      <c r="P1098" s="530"/>
      <c r="Q1098" s="530"/>
      <c r="R1098" s="530"/>
      <c r="S1098" s="1432"/>
      <c r="T1098" s="533"/>
      <c r="U1098" s="533"/>
      <c r="V1098" s="1487"/>
      <c r="W1098" s="1487"/>
      <c r="X1098" s="1487"/>
      <c r="Y1098" s="533"/>
      <c r="Z1098" s="533"/>
      <c r="AA1098" s="530"/>
      <c r="AB1098" s="530"/>
      <c r="AC1098" s="530"/>
      <c r="AD1098" s="530"/>
      <c r="AE1098" s="530"/>
      <c r="AF1098" s="390"/>
      <c r="AG1098" s="390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</row>
    <row r="1099" spans="1:45">
      <c r="A1099" s="9"/>
      <c r="B1099" s="9"/>
      <c r="C1099" s="530"/>
      <c r="D1099" s="1359"/>
      <c r="E1099" s="530"/>
      <c r="F1099" s="530"/>
      <c r="G1099" s="1518"/>
      <c r="H1099" s="530"/>
      <c r="I1099" s="1432"/>
      <c r="J1099" s="530"/>
      <c r="K1099" s="1102"/>
      <c r="L1099" s="530"/>
      <c r="M1099" s="533"/>
      <c r="N1099" s="530"/>
      <c r="O1099" s="530"/>
      <c r="P1099" s="530"/>
      <c r="Q1099" s="530"/>
      <c r="R1099" s="530"/>
      <c r="S1099" s="1432"/>
      <c r="T1099" s="533"/>
      <c r="U1099" s="533"/>
      <c r="V1099" s="1487"/>
      <c r="W1099" s="1487"/>
      <c r="X1099" s="1487"/>
      <c r="Y1099" s="533"/>
      <c r="Z1099" s="533"/>
      <c r="AA1099" s="530"/>
      <c r="AB1099" s="530"/>
      <c r="AC1099" s="530"/>
      <c r="AD1099" s="530"/>
      <c r="AE1099" s="530"/>
      <c r="AF1099" s="390"/>
      <c r="AG1099" s="390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</row>
    <row r="1100" spans="1:45">
      <c r="A1100" s="9"/>
      <c r="B1100" s="9"/>
      <c r="C1100" s="530"/>
      <c r="D1100" s="1359"/>
      <c r="E1100" s="530"/>
      <c r="F1100" s="530"/>
      <c r="G1100" s="1518"/>
      <c r="H1100" s="530"/>
      <c r="I1100" s="1432"/>
      <c r="J1100" s="530"/>
      <c r="K1100" s="1102"/>
      <c r="L1100" s="530"/>
      <c r="M1100" s="533"/>
      <c r="N1100" s="530"/>
      <c r="O1100" s="530"/>
      <c r="P1100" s="530"/>
      <c r="Q1100" s="530"/>
      <c r="R1100" s="530"/>
      <c r="S1100" s="1432"/>
      <c r="T1100" s="533"/>
      <c r="U1100" s="533"/>
      <c r="V1100" s="1487"/>
      <c r="W1100" s="1487"/>
      <c r="X1100" s="1487"/>
      <c r="Y1100" s="533"/>
      <c r="Z1100" s="533"/>
      <c r="AA1100" s="530"/>
      <c r="AB1100" s="530"/>
      <c r="AC1100" s="530"/>
      <c r="AD1100" s="530"/>
      <c r="AE1100" s="530"/>
      <c r="AF1100" s="390"/>
      <c r="AG1100" s="390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</row>
    <row r="1101" spans="1:45">
      <c r="A1101" s="9"/>
      <c r="B1101" s="9"/>
      <c r="C1101" s="530"/>
      <c r="D1101" s="1359"/>
      <c r="E1101" s="530"/>
      <c r="F1101" s="530"/>
      <c r="G1101" s="1518"/>
      <c r="H1101" s="530"/>
      <c r="I1101" s="1432"/>
      <c r="J1101" s="530"/>
      <c r="K1101" s="1102"/>
      <c r="L1101" s="530"/>
      <c r="M1101" s="533"/>
      <c r="N1101" s="530"/>
      <c r="O1101" s="530"/>
      <c r="P1101" s="530"/>
      <c r="Q1101" s="530"/>
      <c r="R1101" s="530"/>
      <c r="S1101" s="1432"/>
      <c r="T1101" s="533"/>
      <c r="U1101" s="533"/>
      <c r="V1101" s="1487"/>
      <c r="W1101" s="1487"/>
      <c r="X1101" s="1487"/>
      <c r="Y1101" s="533"/>
      <c r="Z1101" s="533"/>
      <c r="AA1101" s="530"/>
      <c r="AB1101" s="530"/>
      <c r="AC1101" s="530"/>
      <c r="AD1101" s="530"/>
      <c r="AE1101" s="530"/>
      <c r="AF1101" s="390"/>
      <c r="AG1101" s="390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</row>
    <row r="1102" spans="1:45">
      <c r="A1102" s="9"/>
      <c r="B1102" s="9"/>
      <c r="C1102" s="530"/>
      <c r="D1102" s="1359"/>
      <c r="E1102" s="530"/>
      <c r="F1102" s="530"/>
      <c r="G1102" s="1518"/>
      <c r="H1102" s="530"/>
      <c r="I1102" s="1432"/>
      <c r="J1102" s="530"/>
      <c r="K1102" s="1102"/>
      <c r="L1102" s="530"/>
      <c r="M1102" s="533"/>
      <c r="N1102" s="530"/>
      <c r="O1102" s="530"/>
      <c r="P1102" s="530"/>
      <c r="Q1102" s="530"/>
      <c r="R1102" s="530"/>
      <c r="S1102" s="1432"/>
      <c r="T1102" s="533"/>
      <c r="U1102" s="533"/>
      <c r="V1102" s="1487"/>
      <c r="W1102" s="1487"/>
      <c r="X1102" s="1487"/>
      <c r="Y1102" s="533"/>
      <c r="Z1102" s="533"/>
      <c r="AA1102" s="530"/>
      <c r="AB1102" s="530"/>
      <c r="AC1102" s="530"/>
      <c r="AD1102" s="530"/>
      <c r="AE1102" s="530"/>
      <c r="AF1102" s="390"/>
      <c r="AG1102" s="390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</row>
    <row r="1103" spans="1:45">
      <c r="A1103" s="9"/>
      <c r="B1103" s="9"/>
      <c r="C1103" s="530"/>
      <c r="D1103" s="1359"/>
      <c r="E1103" s="530"/>
      <c r="F1103" s="530"/>
      <c r="G1103" s="1518"/>
      <c r="H1103" s="530"/>
      <c r="I1103" s="1432"/>
      <c r="J1103" s="530"/>
      <c r="K1103" s="1102"/>
      <c r="L1103" s="530"/>
      <c r="M1103" s="533"/>
      <c r="N1103" s="530"/>
      <c r="O1103" s="530"/>
      <c r="P1103" s="530"/>
      <c r="Q1103" s="530"/>
      <c r="R1103" s="530"/>
      <c r="S1103" s="1432"/>
      <c r="T1103" s="533"/>
      <c r="U1103" s="533"/>
      <c r="V1103" s="1487"/>
      <c r="W1103" s="1487"/>
      <c r="X1103" s="1487"/>
      <c r="Y1103" s="533"/>
      <c r="Z1103" s="533"/>
      <c r="AA1103" s="530"/>
      <c r="AB1103" s="530"/>
      <c r="AC1103" s="530"/>
      <c r="AD1103" s="530"/>
      <c r="AE1103" s="530"/>
      <c r="AF1103" s="390"/>
      <c r="AG1103" s="390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</row>
    <row r="1104" spans="1:45">
      <c r="A1104" s="9"/>
      <c r="B1104" s="9"/>
      <c r="C1104" s="530"/>
      <c r="D1104" s="1359"/>
      <c r="E1104" s="530"/>
      <c r="F1104" s="530"/>
      <c r="G1104" s="1518"/>
      <c r="H1104" s="530"/>
      <c r="I1104" s="1432"/>
      <c r="J1104" s="530"/>
      <c r="K1104" s="1102"/>
      <c r="L1104" s="530"/>
      <c r="M1104" s="533"/>
      <c r="N1104" s="530"/>
      <c r="O1104" s="530"/>
      <c r="P1104" s="530"/>
      <c r="Q1104" s="530"/>
      <c r="R1104" s="530"/>
      <c r="S1104" s="1432"/>
      <c r="T1104" s="533"/>
      <c r="U1104" s="533"/>
      <c r="V1104" s="1487"/>
      <c r="W1104" s="1487"/>
      <c r="X1104" s="1487"/>
      <c r="Y1104" s="533"/>
      <c r="Z1104" s="533"/>
      <c r="AA1104" s="530"/>
      <c r="AB1104" s="530"/>
      <c r="AC1104" s="530"/>
      <c r="AD1104" s="530"/>
      <c r="AE1104" s="530"/>
      <c r="AF1104" s="390"/>
      <c r="AG1104" s="390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</row>
    <row r="1105" spans="1:45">
      <c r="A1105" s="9"/>
      <c r="B1105" s="9"/>
      <c r="C1105" s="530"/>
      <c r="D1105" s="1359"/>
      <c r="E1105" s="530"/>
      <c r="F1105" s="530"/>
      <c r="G1105" s="1518"/>
      <c r="H1105" s="530"/>
      <c r="I1105" s="1432"/>
      <c r="J1105" s="530"/>
      <c r="K1105" s="1102"/>
      <c r="L1105" s="530"/>
      <c r="M1105" s="533"/>
      <c r="N1105" s="530"/>
      <c r="O1105" s="530"/>
      <c r="P1105" s="530"/>
      <c r="Q1105" s="530"/>
      <c r="R1105" s="530"/>
      <c r="S1105" s="1432"/>
      <c r="T1105" s="533"/>
      <c r="U1105" s="533"/>
      <c r="V1105" s="1487"/>
      <c r="W1105" s="1487"/>
      <c r="X1105" s="1487"/>
      <c r="Y1105" s="533"/>
      <c r="Z1105" s="533"/>
      <c r="AA1105" s="530"/>
      <c r="AB1105" s="530"/>
      <c r="AC1105" s="530"/>
      <c r="AD1105" s="530"/>
      <c r="AE1105" s="530"/>
      <c r="AF1105" s="390"/>
      <c r="AG1105" s="390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</row>
    <row r="1106" spans="1:45">
      <c r="A1106" s="9"/>
      <c r="B1106" s="9"/>
      <c r="C1106" s="530"/>
      <c r="D1106" s="1359"/>
      <c r="E1106" s="530"/>
      <c r="F1106" s="530"/>
      <c r="G1106" s="1518"/>
      <c r="H1106" s="530"/>
      <c r="I1106" s="1432"/>
      <c r="J1106" s="530"/>
      <c r="K1106" s="1102"/>
      <c r="L1106" s="530"/>
      <c r="M1106" s="533"/>
      <c r="N1106" s="530"/>
      <c r="O1106" s="530"/>
      <c r="P1106" s="530"/>
      <c r="Q1106" s="530"/>
      <c r="R1106" s="530"/>
      <c r="S1106" s="1432"/>
      <c r="T1106" s="533"/>
      <c r="U1106" s="533"/>
      <c r="V1106" s="1487"/>
      <c r="W1106" s="1487"/>
      <c r="X1106" s="1487"/>
      <c r="Y1106" s="533"/>
      <c r="Z1106" s="533"/>
      <c r="AA1106" s="530"/>
      <c r="AB1106" s="530"/>
      <c r="AC1106" s="530"/>
      <c r="AD1106" s="530"/>
      <c r="AE1106" s="530"/>
      <c r="AF1106" s="390"/>
      <c r="AG1106" s="390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</row>
    <row r="1107" spans="1:45">
      <c r="A1107" s="9"/>
      <c r="B1107" s="9"/>
      <c r="C1107" s="530"/>
      <c r="D1107" s="1359"/>
      <c r="E1107" s="530"/>
      <c r="F1107" s="530"/>
      <c r="G1107" s="1518"/>
      <c r="H1107" s="530"/>
      <c r="I1107" s="1432"/>
      <c r="J1107" s="530"/>
      <c r="K1107" s="1102"/>
      <c r="L1107" s="530"/>
      <c r="M1107" s="533"/>
      <c r="N1107" s="530"/>
      <c r="O1107" s="530"/>
      <c r="P1107" s="530"/>
      <c r="Q1107" s="530"/>
      <c r="R1107" s="530"/>
      <c r="S1107" s="1432"/>
      <c r="T1107" s="533"/>
      <c r="U1107" s="533"/>
      <c r="V1107" s="1487"/>
      <c r="W1107" s="1487"/>
      <c r="X1107" s="1487"/>
      <c r="Y1107" s="533"/>
      <c r="Z1107" s="533"/>
      <c r="AA1107" s="530"/>
      <c r="AB1107" s="530"/>
      <c r="AC1107" s="530"/>
      <c r="AD1107" s="530"/>
      <c r="AE1107" s="530"/>
      <c r="AF1107" s="390"/>
      <c r="AG1107" s="390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</row>
    <row r="1108" spans="1:45">
      <c r="A1108" s="9"/>
      <c r="B1108" s="9"/>
      <c r="C1108" s="530"/>
      <c r="D1108" s="1359"/>
      <c r="E1108" s="530"/>
      <c r="F1108" s="530"/>
      <c r="G1108" s="1518"/>
      <c r="H1108" s="530"/>
      <c r="I1108" s="1432"/>
      <c r="J1108" s="530"/>
      <c r="K1108" s="1102"/>
      <c r="L1108" s="530"/>
      <c r="M1108" s="533"/>
      <c r="N1108" s="530"/>
      <c r="O1108" s="530"/>
      <c r="P1108" s="530"/>
      <c r="Q1108" s="530"/>
      <c r="R1108" s="530"/>
      <c r="S1108" s="1432"/>
      <c r="T1108" s="533"/>
      <c r="U1108" s="533"/>
      <c r="V1108" s="1487"/>
      <c r="W1108" s="1487"/>
      <c r="X1108" s="1487"/>
      <c r="Y1108" s="533"/>
      <c r="Z1108" s="533"/>
      <c r="AA1108" s="530"/>
      <c r="AB1108" s="530"/>
      <c r="AC1108" s="530"/>
      <c r="AD1108" s="530"/>
      <c r="AE1108" s="530"/>
      <c r="AF1108" s="390"/>
      <c r="AG1108" s="390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</row>
    <row r="1109" spans="1:45">
      <c r="A1109" s="9"/>
      <c r="B1109" s="9"/>
      <c r="C1109" s="530"/>
      <c r="D1109" s="1359"/>
      <c r="E1109" s="530"/>
      <c r="F1109" s="530"/>
      <c r="G1109" s="1518"/>
      <c r="H1109" s="530"/>
      <c r="I1109" s="1432"/>
      <c r="J1109" s="530"/>
      <c r="K1109" s="1102"/>
      <c r="L1109" s="530"/>
      <c r="M1109" s="533"/>
      <c r="N1109" s="530"/>
      <c r="O1109" s="530"/>
      <c r="P1109" s="530"/>
      <c r="Q1109" s="530"/>
      <c r="R1109" s="530"/>
      <c r="S1109" s="1432"/>
      <c r="T1109" s="533"/>
      <c r="U1109" s="533"/>
      <c r="V1109" s="1487"/>
      <c r="W1109" s="1487"/>
      <c r="X1109" s="1487"/>
      <c r="Y1109" s="533"/>
      <c r="Z1109" s="533"/>
      <c r="AA1109" s="530"/>
      <c r="AB1109" s="530"/>
      <c r="AC1109" s="530"/>
      <c r="AD1109" s="530"/>
      <c r="AE1109" s="530"/>
      <c r="AF1109" s="390"/>
      <c r="AG1109" s="390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</row>
    <row r="1110" spans="1:45">
      <c r="A1110" s="9"/>
      <c r="B1110" s="9"/>
      <c r="C1110" s="530"/>
      <c r="D1110" s="1359"/>
      <c r="E1110" s="530"/>
      <c r="F1110" s="530"/>
      <c r="G1110" s="1518"/>
      <c r="H1110" s="530"/>
      <c r="I1110" s="1432"/>
      <c r="J1110" s="530"/>
      <c r="K1110" s="1102"/>
      <c r="L1110" s="530"/>
      <c r="M1110" s="533"/>
      <c r="N1110" s="530"/>
      <c r="O1110" s="530"/>
      <c r="P1110" s="530"/>
      <c r="Q1110" s="530"/>
      <c r="R1110" s="530"/>
      <c r="S1110" s="1432"/>
      <c r="T1110" s="533"/>
      <c r="U1110" s="533"/>
      <c r="V1110" s="1487"/>
      <c r="W1110" s="1487"/>
      <c r="X1110" s="1487"/>
      <c r="Y1110" s="533"/>
      <c r="Z1110" s="533"/>
      <c r="AA1110" s="530"/>
      <c r="AB1110" s="530"/>
      <c r="AC1110" s="530"/>
      <c r="AD1110" s="530"/>
      <c r="AE1110" s="530"/>
      <c r="AF1110" s="390"/>
      <c r="AG1110" s="390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</row>
    <row r="1111" spans="1:45">
      <c r="A1111" s="9"/>
      <c r="B1111" s="9"/>
      <c r="C1111" s="530"/>
      <c r="D1111" s="1359"/>
      <c r="E1111" s="530"/>
      <c r="F1111" s="530"/>
      <c r="G1111" s="1518"/>
      <c r="H1111" s="530"/>
      <c r="I1111" s="1432"/>
      <c r="J1111" s="530"/>
      <c r="K1111" s="1102"/>
      <c r="L1111" s="530"/>
      <c r="M1111" s="533"/>
      <c r="N1111" s="530"/>
      <c r="O1111" s="530"/>
      <c r="P1111" s="530"/>
      <c r="Q1111" s="530"/>
      <c r="R1111" s="530"/>
      <c r="S1111" s="1432"/>
      <c r="T1111" s="533"/>
      <c r="U1111" s="533"/>
      <c r="V1111" s="1487"/>
      <c r="W1111" s="1487"/>
      <c r="X1111" s="1487"/>
      <c r="Y1111" s="533"/>
      <c r="Z1111" s="533"/>
      <c r="AA1111" s="530"/>
      <c r="AB1111" s="530"/>
      <c r="AC1111" s="530"/>
      <c r="AD1111" s="530"/>
      <c r="AE1111" s="530"/>
      <c r="AF1111" s="390"/>
      <c r="AG1111" s="390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</row>
    <row r="1112" spans="1:45">
      <c r="A1112" s="9"/>
      <c r="B1112" s="9"/>
      <c r="C1112" s="530"/>
      <c r="D1112" s="1359"/>
      <c r="E1112" s="530"/>
      <c r="F1112" s="530"/>
      <c r="G1112" s="1518"/>
      <c r="H1112" s="530"/>
      <c r="I1112" s="1432"/>
      <c r="J1112" s="530"/>
      <c r="K1112" s="1102"/>
      <c r="L1112" s="530"/>
      <c r="M1112" s="533"/>
      <c r="N1112" s="530"/>
      <c r="O1112" s="530"/>
      <c r="P1112" s="530"/>
      <c r="Q1112" s="530"/>
      <c r="R1112" s="530"/>
      <c r="S1112" s="1432"/>
      <c r="T1112" s="533"/>
      <c r="U1112" s="533"/>
      <c r="V1112" s="1487"/>
      <c r="W1112" s="1487"/>
      <c r="X1112" s="1487"/>
      <c r="Y1112" s="533"/>
      <c r="Z1112" s="533"/>
      <c r="AA1112" s="530"/>
      <c r="AB1112" s="530"/>
      <c r="AC1112" s="530"/>
      <c r="AD1112" s="530"/>
      <c r="AE1112" s="530"/>
      <c r="AF1112" s="390"/>
      <c r="AG1112" s="390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</row>
    <row r="1113" spans="1:45">
      <c r="A1113" s="9"/>
      <c r="B1113" s="9"/>
      <c r="C1113" s="530"/>
      <c r="D1113" s="1359"/>
      <c r="E1113" s="530"/>
      <c r="F1113" s="530"/>
      <c r="G1113" s="1518"/>
      <c r="H1113" s="530"/>
      <c r="I1113" s="1432"/>
      <c r="J1113" s="530"/>
      <c r="K1113" s="1102"/>
      <c r="L1113" s="530"/>
      <c r="M1113" s="533"/>
      <c r="N1113" s="530"/>
      <c r="O1113" s="530"/>
      <c r="P1113" s="530"/>
      <c r="Q1113" s="530"/>
      <c r="R1113" s="530"/>
      <c r="S1113" s="1432"/>
      <c r="T1113" s="533"/>
      <c r="U1113" s="533"/>
      <c r="V1113" s="1487"/>
      <c r="W1113" s="1487"/>
      <c r="X1113" s="1487"/>
      <c r="Y1113" s="533"/>
      <c r="Z1113" s="533"/>
      <c r="AA1113" s="530"/>
      <c r="AB1113" s="530"/>
      <c r="AC1113" s="530"/>
      <c r="AD1113" s="530"/>
      <c r="AE1113" s="530"/>
      <c r="AF1113" s="390"/>
      <c r="AG1113" s="390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</row>
    <row r="1114" spans="1:45">
      <c r="A1114" s="9"/>
      <c r="B1114" s="9"/>
      <c r="C1114" s="530"/>
      <c r="D1114" s="1359"/>
      <c r="E1114" s="530"/>
      <c r="F1114" s="530"/>
      <c r="G1114" s="1518"/>
      <c r="H1114" s="530"/>
      <c r="I1114" s="1432"/>
      <c r="J1114" s="530"/>
      <c r="K1114" s="1102"/>
      <c r="L1114" s="530"/>
      <c r="M1114" s="533"/>
      <c r="N1114" s="530"/>
      <c r="O1114" s="530"/>
      <c r="P1114" s="530"/>
      <c r="Q1114" s="530"/>
      <c r="R1114" s="530"/>
      <c r="S1114" s="1432"/>
      <c r="T1114" s="533"/>
      <c r="U1114" s="533"/>
      <c r="V1114" s="1487"/>
      <c r="W1114" s="1487"/>
      <c r="X1114" s="1487"/>
      <c r="Y1114" s="533"/>
      <c r="Z1114" s="533"/>
      <c r="AA1114" s="530"/>
      <c r="AB1114" s="530"/>
      <c r="AC1114" s="530"/>
      <c r="AD1114" s="530"/>
      <c r="AE1114" s="530"/>
      <c r="AF1114" s="390"/>
      <c r="AG1114" s="390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</row>
    <row r="1115" spans="1:45">
      <c r="A1115" s="9"/>
      <c r="B1115" s="9"/>
      <c r="C1115" s="530"/>
      <c r="D1115" s="1359"/>
      <c r="E1115" s="530"/>
      <c r="F1115" s="530"/>
      <c r="G1115" s="1518"/>
      <c r="H1115" s="530"/>
      <c r="I1115" s="1432"/>
      <c r="J1115" s="530"/>
      <c r="K1115" s="1102"/>
      <c r="L1115" s="530"/>
      <c r="M1115" s="533"/>
      <c r="N1115" s="530"/>
      <c r="O1115" s="530"/>
      <c r="P1115" s="530"/>
      <c r="Q1115" s="530"/>
      <c r="R1115" s="530"/>
      <c r="S1115" s="1432"/>
      <c r="T1115" s="533"/>
      <c r="U1115" s="533"/>
      <c r="V1115" s="1487"/>
      <c r="W1115" s="1487"/>
      <c r="X1115" s="1487"/>
      <c r="Y1115" s="533"/>
      <c r="Z1115" s="533"/>
      <c r="AA1115" s="530"/>
      <c r="AB1115" s="530"/>
      <c r="AC1115" s="530"/>
      <c r="AD1115" s="530"/>
      <c r="AE1115" s="530"/>
      <c r="AF1115" s="390"/>
      <c r="AG1115" s="390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</row>
    <row r="1116" spans="1:45">
      <c r="A1116" s="9"/>
      <c r="B1116" s="9"/>
      <c r="C1116" s="530"/>
      <c r="D1116" s="1359"/>
      <c r="E1116" s="530"/>
      <c r="F1116" s="530"/>
      <c r="G1116" s="1518"/>
      <c r="H1116" s="530"/>
      <c r="I1116" s="1432"/>
      <c r="J1116" s="530"/>
      <c r="K1116" s="1102"/>
      <c r="L1116" s="530"/>
      <c r="M1116" s="533"/>
      <c r="N1116" s="530"/>
      <c r="O1116" s="530"/>
      <c r="P1116" s="530"/>
      <c r="Q1116" s="530"/>
      <c r="R1116" s="530"/>
      <c r="S1116" s="1432"/>
      <c r="T1116" s="533"/>
      <c r="U1116" s="533"/>
      <c r="V1116" s="1487"/>
      <c r="W1116" s="1487"/>
      <c r="X1116" s="1487"/>
      <c r="Y1116" s="533"/>
      <c r="Z1116" s="533"/>
      <c r="AA1116" s="530"/>
      <c r="AB1116" s="530"/>
      <c r="AC1116" s="530"/>
      <c r="AD1116" s="530"/>
      <c r="AE1116" s="530"/>
      <c r="AF1116" s="390"/>
      <c r="AG1116" s="390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</row>
    <row r="1117" spans="1:45">
      <c r="A1117" s="9"/>
      <c r="B1117" s="9"/>
      <c r="C1117" s="530"/>
      <c r="D1117" s="1359"/>
      <c r="E1117" s="530"/>
      <c r="F1117" s="530"/>
      <c r="G1117" s="1518"/>
      <c r="H1117" s="530"/>
      <c r="I1117" s="1432"/>
      <c r="J1117" s="530"/>
      <c r="K1117" s="1102"/>
      <c r="L1117" s="530"/>
      <c r="M1117" s="533"/>
      <c r="N1117" s="530"/>
      <c r="O1117" s="530"/>
      <c r="P1117" s="530"/>
      <c r="Q1117" s="530"/>
      <c r="R1117" s="530"/>
      <c r="S1117" s="1432"/>
      <c r="T1117" s="533"/>
      <c r="U1117" s="533"/>
      <c r="V1117" s="1487"/>
      <c r="W1117" s="1487"/>
      <c r="X1117" s="1487"/>
      <c r="Y1117" s="533"/>
      <c r="Z1117" s="533"/>
      <c r="AA1117" s="530"/>
      <c r="AB1117" s="530"/>
      <c r="AC1117" s="530"/>
      <c r="AD1117" s="530"/>
      <c r="AE1117" s="530"/>
      <c r="AF1117" s="390"/>
      <c r="AG1117" s="390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</row>
    <row r="1118" spans="1:45">
      <c r="A1118" s="9"/>
      <c r="B1118" s="9"/>
      <c r="C1118" s="530"/>
      <c r="D1118" s="1359"/>
      <c r="E1118" s="530"/>
      <c r="F1118" s="530"/>
      <c r="G1118" s="1518"/>
      <c r="H1118" s="530"/>
      <c r="I1118" s="1432"/>
      <c r="J1118" s="530"/>
      <c r="K1118" s="1102"/>
      <c r="L1118" s="530"/>
      <c r="M1118" s="533"/>
      <c r="N1118" s="530"/>
      <c r="O1118" s="530"/>
      <c r="P1118" s="530"/>
      <c r="Q1118" s="530"/>
      <c r="R1118" s="530"/>
      <c r="S1118" s="1432"/>
      <c r="T1118" s="533"/>
      <c r="U1118" s="533"/>
      <c r="V1118" s="1487"/>
      <c r="W1118" s="1487"/>
      <c r="X1118" s="1487"/>
      <c r="Y1118" s="533"/>
      <c r="Z1118" s="533"/>
      <c r="AA1118" s="530"/>
      <c r="AB1118" s="530"/>
      <c r="AC1118" s="530"/>
      <c r="AD1118" s="530"/>
      <c r="AE1118" s="530"/>
      <c r="AF1118" s="390"/>
      <c r="AG1118" s="390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</row>
    <row r="1119" spans="1:45">
      <c r="A1119" s="9"/>
      <c r="B1119" s="9"/>
      <c r="C1119" s="530"/>
      <c r="D1119" s="1359"/>
      <c r="E1119" s="530"/>
      <c r="F1119" s="530"/>
      <c r="G1119" s="1518"/>
      <c r="H1119" s="530"/>
      <c r="I1119" s="1432"/>
      <c r="J1119" s="530"/>
      <c r="K1119" s="1102"/>
      <c r="L1119" s="530"/>
      <c r="M1119" s="533"/>
      <c r="N1119" s="530"/>
      <c r="O1119" s="530"/>
      <c r="P1119" s="530"/>
      <c r="Q1119" s="530"/>
      <c r="R1119" s="530"/>
      <c r="S1119" s="1432"/>
      <c r="T1119" s="533"/>
      <c r="U1119" s="533"/>
      <c r="V1119" s="1487"/>
      <c r="W1119" s="1487"/>
      <c r="X1119" s="1487"/>
      <c r="Y1119" s="533"/>
      <c r="Z1119" s="533"/>
      <c r="AA1119" s="530"/>
      <c r="AB1119" s="530"/>
      <c r="AC1119" s="530"/>
      <c r="AD1119" s="530"/>
      <c r="AE1119" s="530"/>
      <c r="AF1119" s="390"/>
      <c r="AG1119" s="390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</row>
    <row r="1120" spans="1:45">
      <c r="A1120" s="9"/>
      <c r="B1120" s="9"/>
      <c r="C1120" s="530"/>
      <c r="D1120" s="1359"/>
      <c r="E1120" s="530"/>
      <c r="F1120" s="530"/>
      <c r="G1120" s="1518"/>
      <c r="H1120" s="530"/>
      <c r="I1120" s="1432"/>
      <c r="J1120" s="530"/>
      <c r="K1120" s="1102"/>
      <c r="L1120" s="530"/>
      <c r="M1120" s="533"/>
      <c r="N1120" s="530"/>
      <c r="O1120" s="530"/>
      <c r="P1120" s="530"/>
      <c r="Q1120" s="530"/>
      <c r="R1120" s="530"/>
      <c r="S1120" s="1432"/>
      <c r="T1120" s="533"/>
      <c r="U1120" s="533"/>
      <c r="V1120" s="1487"/>
      <c r="W1120" s="1487"/>
      <c r="X1120" s="1487"/>
      <c r="Y1120" s="533"/>
      <c r="Z1120" s="533"/>
      <c r="AA1120" s="530"/>
      <c r="AB1120" s="530"/>
      <c r="AC1120" s="530"/>
      <c r="AD1120" s="530"/>
      <c r="AE1120" s="530"/>
      <c r="AF1120" s="390"/>
      <c r="AG1120" s="390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</row>
    <row r="1121" spans="1:45">
      <c r="A1121" s="9"/>
      <c r="B1121" s="9"/>
      <c r="C1121" s="530"/>
      <c r="D1121" s="1359"/>
      <c r="E1121" s="530"/>
      <c r="F1121" s="530"/>
      <c r="G1121" s="1518"/>
      <c r="H1121" s="530"/>
      <c r="I1121" s="1432"/>
      <c r="J1121" s="530"/>
      <c r="K1121" s="1102"/>
      <c r="L1121" s="530"/>
      <c r="M1121" s="533"/>
      <c r="N1121" s="530"/>
      <c r="O1121" s="530"/>
      <c r="P1121" s="530"/>
      <c r="Q1121" s="530"/>
      <c r="R1121" s="530"/>
      <c r="S1121" s="1432"/>
      <c r="T1121" s="533"/>
      <c r="U1121" s="533"/>
      <c r="V1121" s="1487"/>
      <c r="W1121" s="1487"/>
      <c r="X1121" s="1487"/>
      <c r="Y1121" s="533"/>
      <c r="Z1121" s="533"/>
      <c r="AA1121" s="530"/>
      <c r="AB1121" s="530"/>
      <c r="AC1121" s="530"/>
      <c r="AD1121" s="530"/>
      <c r="AE1121" s="530"/>
      <c r="AF1121" s="390"/>
      <c r="AG1121" s="390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</row>
    <row r="1122" spans="1:45">
      <c r="A1122" s="9"/>
      <c r="B1122" s="9"/>
      <c r="C1122" s="530"/>
      <c r="D1122" s="1359"/>
      <c r="E1122" s="530"/>
      <c r="F1122" s="530"/>
      <c r="G1122" s="1518"/>
      <c r="H1122" s="530"/>
      <c r="I1122" s="1432"/>
      <c r="J1122" s="530"/>
      <c r="K1122" s="1102"/>
      <c r="L1122" s="530"/>
      <c r="M1122" s="533"/>
      <c r="N1122" s="530"/>
      <c r="O1122" s="530"/>
      <c r="P1122" s="530"/>
      <c r="Q1122" s="530"/>
      <c r="R1122" s="530"/>
      <c r="S1122" s="1432"/>
      <c r="T1122" s="533"/>
      <c r="U1122" s="533"/>
      <c r="V1122" s="1487"/>
      <c r="W1122" s="1487"/>
      <c r="X1122" s="1487"/>
      <c r="Y1122" s="533"/>
      <c r="Z1122" s="533"/>
      <c r="AA1122" s="530"/>
      <c r="AB1122" s="530"/>
      <c r="AC1122" s="530"/>
      <c r="AD1122" s="530"/>
      <c r="AE1122" s="530"/>
      <c r="AF1122" s="390"/>
      <c r="AG1122" s="390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</row>
    <row r="1123" spans="1:45">
      <c r="A1123" s="9"/>
      <c r="B1123" s="9"/>
      <c r="C1123" s="530"/>
      <c r="D1123" s="1359"/>
      <c r="E1123" s="530"/>
      <c r="F1123" s="530"/>
      <c r="G1123" s="1518"/>
      <c r="H1123" s="530"/>
      <c r="I1123" s="1432"/>
      <c r="J1123" s="530"/>
      <c r="K1123" s="1102"/>
      <c r="L1123" s="530"/>
      <c r="M1123" s="533"/>
      <c r="N1123" s="530"/>
      <c r="O1123" s="530"/>
      <c r="P1123" s="530"/>
      <c r="Q1123" s="530"/>
      <c r="R1123" s="530"/>
      <c r="S1123" s="1432"/>
      <c r="T1123" s="533"/>
      <c r="U1123" s="533"/>
      <c r="V1123" s="1487"/>
      <c r="W1123" s="1487"/>
      <c r="X1123" s="1487"/>
      <c r="Y1123" s="533"/>
      <c r="Z1123" s="533"/>
      <c r="AA1123" s="530"/>
      <c r="AB1123" s="530"/>
      <c r="AC1123" s="530"/>
      <c r="AD1123" s="530"/>
      <c r="AE1123" s="530"/>
      <c r="AF1123" s="390"/>
      <c r="AG1123" s="390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</row>
    <row r="1124" spans="1:45">
      <c r="A1124" s="9"/>
      <c r="B1124" s="9"/>
      <c r="C1124" s="530"/>
      <c r="D1124" s="1359"/>
      <c r="E1124" s="530"/>
      <c r="F1124" s="530"/>
      <c r="G1124" s="1518"/>
      <c r="H1124" s="530"/>
      <c r="I1124" s="1432"/>
      <c r="J1124" s="530"/>
      <c r="K1124" s="1102"/>
      <c r="L1124" s="530"/>
      <c r="M1124" s="533"/>
      <c r="N1124" s="530"/>
      <c r="O1124" s="530"/>
      <c r="P1124" s="530"/>
      <c r="Q1124" s="530"/>
      <c r="R1124" s="530"/>
      <c r="S1124" s="1432"/>
      <c r="T1124" s="533"/>
      <c r="U1124" s="533"/>
      <c r="V1124" s="1487"/>
      <c r="W1124" s="1487"/>
      <c r="X1124" s="1487"/>
      <c r="Y1124" s="533"/>
      <c r="Z1124" s="533"/>
      <c r="AA1124" s="530"/>
      <c r="AB1124" s="530"/>
      <c r="AC1124" s="530"/>
      <c r="AD1124" s="530"/>
      <c r="AE1124" s="530"/>
      <c r="AF1124" s="390"/>
      <c r="AG1124" s="390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</row>
    <row r="1125" spans="1:45">
      <c r="A1125" s="9"/>
      <c r="B1125" s="9"/>
      <c r="C1125" s="530"/>
      <c r="D1125" s="1359"/>
      <c r="E1125" s="530"/>
      <c r="F1125" s="530"/>
      <c r="G1125" s="1518"/>
      <c r="H1125" s="530"/>
      <c r="I1125" s="1432"/>
      <c r="J1125" s="530"/>
      <c r="K1125" s="1102"/>
      <c r="L1125" s="530"/>
      <c r="M1125" s="533"/>
      <c r="N1125" s="530"/>
      <c r="O1125" s="530"/>
      <c r="P1125" s="530"/>
      <c r="Q1125" s="530"/>
      <c r="R1125" s="530"/>
      <c r="S1125" s="1432"/>
      <c r="T1125" s="533"/>
      <c r="U1125" s="533"/>
      <c r="V1125" s="1487"/>
      <c r="W1125" s="1487"/>
      <c r="X1125" s="1487"/>
      <c r="Y1125" s="533"/>
      <c r="Z1125" s="533"/>
      <c r="AA1125" s="530"/>
      <c r="AB1125" s="530"/>
      <c r="AC1125" s="530"/>
      <c r="AD1125" s="530"/>
      <c r="AE1125" s="530"/>
      <c r="AF1125" s="390"/>
      <c r="AG1125" s="390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</row>
    <row r="1126" spans="1:45">
      <c r="A1126" s="9"/>
      <c r="B1126" s="9"/>
      <c r="C1126" s="530"/>
      <c r="D1126" s="1359"/>
      <c r="E1126" s="530"/>
      <c r="F1126" s="530"/>
      <c r="G1126" s="1518"/>
      <c r="H1126" s="530"/>
      <c r="I1126" s="1432"/>
      <c r="J1126" s="530"/>
      <c r="K1126" s="1102"/>
      <c r="L1126" s="530"/>
      <c r="M1126" s="533"/>
      <c r="N1126" s="530"/>
      <c r="O1126" s="530"/>
      <c r="P1126" s="530"/>
      <c r="Q1126" s="530"/>
      <c r="R1126" s="530"/>
      <c r="S1126" s="1432"/>
      <c r="T1126" s="533"/>
      <c r="U1126" s="533"/>
      <c r="V1126" s="1487"/>
      <c r="W1126" s="1487"/>
      <c r="X1126" s="1487"/>
      <c r="Y1126" s="533"/>
      <c r="Z1126" s="533"/>
      <c r="AA1126" s="530"/>
      <c r="AB1126" s="530"/>
      <c r="AC1126" s="530"/>
      <c r="AD1126" s="530"/>
      <c r="AE1126" s="530"/>
      <c r="AF1126" s="390"/>
      <c r="AG1126" s="390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</row>
    <row r="1127" spans="1:45">
      <c r="A1127" s="9"/>
      <c r="B1127" s="9"/>
      <c r="C1127" s="530"/>
      <c r="D1127" s="1359"/>
      <c r="E1127" s="530"/>
      <c r="F1127" s="530"/>
      <c r="G1127" s="1518"/>
      <c r="H1127" s="530"/>
      <c r="I1127" s="1432"/>
      <c r="J1127" s="530"/>
      <c r="K1127" s="1102"/>
      <c r="L1127" s="530"/>
      <c r="M1127" s="533"/>
      <c r="N1127" s="530"/>
      <c r="O1127" s="530"/>
      <c r="P1127" s="530"/>
      <c r="Q1127" s="530"/>
      <c r="R1127" s="530"/>
      <c r="S1127" s="1432"/>
      <c r="T1127" s="533"/>
      <c r="U1127" s="533"/>
      <c r="V1127" s="1487"/>
      <c r="W1127" s="1487"/>
      <c r="X1127" s="1487"/>
      <c r="Y1127" s="533"/>
      <c r="Z1127" s="533"/>
      <c r="AA1127" s="530"/>
      <c r="AB1127" s="530"/>
      <c r="AC1127" s="530"/>
      <c r="AD1127" s="530"/>
      <c r="AE1127" s="530"/>
      <c r="AF1127" s="390"/>
      <c r="AG1127" s="390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</row>
    <row r="1128" spans="1:45">
      <c r="A1128" s="9"/>
      <c r="B1128" s="9"/>
      <c r="C1128" s="530"/>
      <c r="D1128" s="1359"/>
      <c r="E1128" s="530"/>
      <c r="F1128" s="530"/>
      <c r="G1128" s="1518"/>
      <c r="H1128" s="530"/>
      <c r="I1128" s="1432"/>
      <c r="J1128" s="530"/>
      <c r="K1128" s="1102"/>
      <c r="L1128" s="530"/>
      <c r="M1128" s="533"/>
      <c r="N1128" s="530"/>
      <c r="O1128" s="530"/>
      <c r="P1128" s="530"/>
      <c r="Q1128" s="530"/>
      <c r="R1128" s="530"/>
      <c r="S1128" s="1432"/>
      <c r="T1128" s="533"/>
      <c r="U1128" s="533"/>
      <c r="V1128" s="1487"/>
      <c r="W1128" s="1487"/>
      <c r="X1128" s="1487"/>
      <c r="Y1128" s="533"/>
      <c r="Z1128" s="533"/>
      <c r="AA1128" s="530"/>
      <c r="AB1128" s="530"/>
      <c r="AC1128" s="530"/>
      <c r="AD1128" s="530"/>
      <c r="AE1128" s="530"/>
      <c r="AF1128" s="390"/>
      <c r="AG1128" s="390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</row>
    <row r="1129" spans="1:45">
      <c r="A1129" s="9"/>
      <c r="B1129" s="9"/>
      <c r="C1129" s="530"/>
      <c r="D1129" s="1359"/>
      <c r="E1129" s="530"/>
      <c r="F1129" s="530"/>
      <c r="G1129" s="1518"/>
      <c r="H1129" s="530"/>
      <c r="I1129" s="1432"/>
      <c r="J1129" s="530"/>
      <c r="K1129" s="1102"/>
      <c r="L1129" s="530"/>
      <c r="M1129" s="533"/>
      <c r="N1129" s="530"/>
      <c r="O1129" s="530"/>
      <c r="P1129" s="530"/>
      <c r="Q1129" s="530"/>
      <c r="R1129" s="530"/>
      <c r="S1129" s="1432"/>
      <c r="T1129" s="533"/>
      <c r="U1129" s="533"/>
      <c r="V1129" s="1487"/>
      <c r="W1129" s="1487"/>
      <c r="X1129" s="1487"/>
      <c r="Y1129" s="533"/>
      <c r="Z1129" s="533"/>
      <c r="AA1129" s="530"/>
      <c r="AB1129" s="530"/>
      <c r="AC1129" s="530"/>
      <c r="AD1129" s="530"/>
      <c r="AE1129" s="530"/>
      <c r="AF1129" s="390"/>
      <c r="AG1129" s="390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</row>
    <row r="1130" spans="1:45">
      <c r="A1130" s="9"/>
      <c r="B1130" s="9"/>
      <c r="C1130" s="530"/>
      <c r="D1130" s="1359"/>
      <c r="E1130" s="530"/>
      <c r="F1130" s="530"/>
      <c r="G1130" s="1518"/>
      <c r="H1130" s="530"/>
      <c r="I1130" s="1432"/>
      <c r="J1130" s="530"/>
      <c r="K1130" s="1102"/>
      <c r="L1130" s="530"/>
      <c r="M1130" s="533"/>
      <c r="N1130" s="530"/>
      <c r="O1130" s="530"/>
      <c r="P1130" s="530"/>
      <c r="Q1130" s="530"/>
      <c r="R1130" s="530"/>
      <c r="S1130" s="1432"/>
      <c r="T1130" s="533"/>
      <c r="U1130" s="533"/>
      <c r="V1130" s="1487"/>
      <c r="W1130" s="1487"/>
      <c r="X1130" s="1487"/>
      <c r="Y1130" s="533"/>
      <c r="Z1130" s="533"/>
      <c r="AA1130" s="530"/>
      <c r="AB1130" s="530"/>
      <c r="AC1130" s="530"/>
      <c r="AD1130" s="530"/>
      <c r="AE1130" s="530"/>
      <c r="AF1130" s="390"/>
      <c r="AG1130" s="390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</row>
    <row r="1131" spans="1:45">
      <c r="A1131" s="9"/>
      <c r="B1131" s="9"/>
      <c r="C1131" s="530"/>
      <c r="D1131" s="1359"/>
      <c r="E1131" s="530"/>
      <c r="F1131" s="530"/>
      <c r="G1131" s="1518"/>
      <c r="H1131" s="530"/>
      <c r="I1131" s="1432"/>
      <c r="J1131" s="530"/>
      <c r="K1131" s="1102"/>
      <c r="L1131" s="530"/>
      <c r="M1131" s="533"/>
      <c r="N1131" s="530"/>
      <c r="O1131" s="530"/>
      <c r="P1131" s="530"/>
      <c r="Q1131" s="530"/>
      <c r="R1131" s="530"/>
      <c r="S1131" s="1432"/>
      <c r="T1131" s="533"/>
      <c r="U1131" s="533"/>
      <c r="V1131" s="1487"/>
      <c r="W1131" s="1487"/>
      <c r="X1131" s="1487"/>
      <c r="Y1131" s="533"/>
      <c r="Z1131" s="533"/>
      <c r="AA1131" s="530"/>
      <c r="AB1131" s="530"/>
      <c r="AC1131" s="530"/>
      <c r="AD1131" s="530"/>
      <c r="AE1131" s="530"/>
      <c r="AF1131" s="390"/>
      <c r="AG1131" s="390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</row>
    <row r="1132" spans="1:45">
      <c r="A1132" s="9"/>
      <c r="B1132" s="9"/>
      <c r="C1132" s="530"/>
      <c r="D1132" s="1359"/>
      <c r="E1132" s="530"/>
      <c r="F1132" s="530"/>
      <c r="G1132" s="1518"/>
      <c r="H1132" s="530"/>
      <c r="I1132" s="1432"/>
      <c r="J1132" s="530"/>
      <c r="K1132" s="1102"/>
      <c r="L1132" s="530"/>
      <c r="M1132" s="533"/>
      <c r="N1132" s="530"/>
      <c r="O1132" s="530"/>
      <c r="P1132" s="530"/>
      <c r="Q1132" s="530"/>
      <c r="R1132" s="530"/>
      <c r="S1132" s="1432"/>
      <c r="T1132" s="533"/>
      <c r="U1132" s="533"/>
      <c r="V1132" s="1487"/>
      <c r="W1132" s="1487"/>
      <c r="X1132" s="1487"/>
      <c r="Y1132" s="533"/>
      <c r="Z1132" s="533"/>
      <c r="AA1132" s="530"/>
      <c r="AB1132" s="530"/>
      <c r="AC1132" s="530"/>
      <c r="AD1132" s="530"/>
      <c r="AE1132" s="530"/>
      <c r="AF1132" s="390"/>
      <c r="AG1132" s="390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</row>
    <row r="1133" spans="1:45">
      <c r="A1133" s="9"/>
      <c r="B1133" s="9"/>
      <c r="C1133" s="530"/>
      <c r="D1133" s="1359"/>
      <c r="E1133" s="530"/>
      <c r="F1133" s="530"/>
      <c r="G1133" s="1518"/>
      <c r="H1133" s="530"/>
      <c r="I1133" s="1432"/>
      <c r="J1133" s="530"/>
      <c r="K1133" s="1102"/>
      <c r="L1133" s="530"/>
      <c r="M1133" s="533"/>
      <c r="N1133" s="530"/>
      <c r="O1133" s="530"/>
      <c r="P1133" s="530"/>
      <c r="Q1133" s="530"/>
      <c r="R1133" s="530"/>
      <c r="S1133" s="1432"/>
      <c r="T1133" s="533"/>
      <c r="U1133" s="533"/>
      <c r="V1133" s="1487"/>
      <c r="W1133" s="1487"/>
      <c r="X1133" s="1487"/>
      <c r="Y1133" s="533"/>
      <c r="Z1133" s="533"/>
      <c r="AA1133" s="530"/>
      <c r="AB1133" s="530"/>
      <c r="AC1133" s="530"/>
      <c r="AD1133" s="530"/>
      <c r="AE1133" s="530"/>
      <c r="AF1133" s="390"/>
      <c r="AG1133" s="390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</row>
    <row r="1134" spans="1:45">
      <c r="A1134" s="9"/>
      <c r="B1134" s="9"/>
      <c r="C1134" s="530"/>
      <c r="D1134" s="1359"/>
      <c r="E1134" s="530"/>
      <c r="F1134" s="530"/>
      <c r="G1134" s="1518"/>
      <c r="H1134" s="530"/>
      <c r="I1134" s="1432"/>
      <c r="J1134" s="530"/>
      <c r="K1134" s="1102"/>
      <c r="L1134" s="530"/>
      <c r="M1134" s="533"/>
      <c r="N1134" s="530"/>
      <c r="O1134" s="530"/>
      <c r="P1134" s="530"/>
      <c r="Q1134" s="530"/>
      <c r="R1134" s="530"/>
      <c r="S1134" s="1432"/>
      <c r="T1134" s="533"/>
      <c r="U1134" s="533"/>
      <c r="V1134" s="1487"/>
      <c r="W1134" s="1487"/>
      <c r="X1134" s="1487"/>
      <c r="Y1134" s="533"/>
      <c r="Z1134" s="533"/>
      <c r="AA1134" s="530"/>
      <c r="AB1134" s="530"/>
      <c r="AC1134" s="530"/>
      <c r="AD1134" s="530"/>
      <c r="AE1134" s="530"/>
      <c r="AF1134" s="390"/>
      <c r="AG1134" s="390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</row>
    <row r="1135" spans="1:45">
      <c r="A1135" s="9"/>
      <c r="B1135" s="9"/>
      <c r="C1135" s="530"/>
      <c r="D1135" s="1359"/>
      <c r="E1135" s="530"/>
      <c r="F1135" s="530"/>
      <c r="G1135" s="1518"/>
      <c r="H1135" s="530"/>
      <c r="I1135" s="1432"/>
      <c r="J1135" s="530"/>
      <c r="K1135" s="1102"/>
      <c r="L1135" s="530"/>
      <c r="M1135" s="533"/>
      <c r="N1135" s="530"/>
      <c r="O1135" s="530"/>
      <c r="P1135" s="530"/>
      <c r="Q1135" s="530"/>
      <c r="R1135" s="530"/>
      <c r="S1135" s="1432"/>
      <c r="T1135" s="533"/>
      <c r="U1135" s="533"/>
      <c r="V1135" s="1487"/>
      <c r="W1135" s="1487"/>
      <c r="X1135" s="1487"/>
      <c r="Y1135" s="533"/>
      <c r="Z1135" s="533"/>
      <c r="AA1135" s="530"/>
      <c r="AB1135" s="530"/>
      <c r="AC1135" s="530"/>
      <c r="AD1135" s="530"/>
      <c r="AE1135" s="530"/>
      <c r="AF1135" s="390"/>
      <c r="AG1135" s="390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</row>
    <row r="1136" spans="1:45">
      <c r="A1136" s="9"/>
      <c r="B1136" s="9"/>
      <c r="C1136" s="530"/>
      <c r="D1136" s="1359"/>
      <c r="E1136" s="530"/>
      <c r="F1136" s="530"/>
      <c r="G1136" s="1518"/>
      <c r="H1136" s="530"/>
      <c r="I1136" s="1432"/>
      <c r="J1136" s="530"/>
      <c r="K1136" s="1102"/>
      <c r="L1136" s="530"/>
      <c r="M1136" s="533"/>
      <c r="N1136" s="530"/>
      <c r="O1136" s="530"/>
      <c r="P1136" s="530"/>
      <c r="Q1136" s="530"/>
      <c r="R1136" s="530"/>
      <c r="S1136" s="1432"/>
      <c r="T1136" s="533"/>
      <c r="U1136" s="533"/>
      <c r="V1136" s="1487"/>
      <c r="W1136" s="1487"/>
      <c r="X1136" s="1487"/>
      <c r="Y1136" s="533"/>
      <c r="Z1136" s="533"/>
      <c r="AA1136" s="530"/>
      <c r="AB1136" s="530"/>
      <c r="AC1136" s="530"/>
      <c r="AD1136" s="530"/>
      <c r="AE1136" s="530"/>
      <c r="AF1136" s="390"/>
      <c r="AG1136" s="390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</row>
    <row r="1137" spans="1:45">
      <c r="A1137" s="9"/>
      <c r="B1137" s="9"/>
      <c r="C1137" s="530"/>
      <c r="D1137" s="1359"/>
      <c r="E1137" s="530"/>
      <c r="F1137" s="530"/>
      <c r="G1137" s="1518"/>
      <c r="H1137" s="530"/>
      <c r="I1137" s="1432"/>
      <c r="J1137" s="530"/>
      <c r="K1137" s="1102"/>
      <c r="L1137" s="530"/>
      <c r="M1137" s="533"/>
      <c r="N1137" s="530"/>
      <c r="O1137" s="530"/>
      <c r="P1137" s="530"/>
      <c r="Q1137" s="530"/>
      <c r="R1137" s="530"/>
      <c r="S1137" s="1432"/>
      <c r="T1137" s="533"/>
      <c r="U1137" s="533"/>
      <c r="V1137" s="1487"/>
      <c r="W1137" s="1487"/>
      <c r="X1137" s="1487"/>
      <c r="Y1137" s="533"/>
      <c r="Z1137" s="533"/>
      <c r="AA1137" s="530"/>
      <c r="AB1137" s="530"/>
      <c r="AC1137" s="530"/>
      <c r="AD1137" s="530"/>
      <c r="AE1137" s="530"/>
      <c r="AF1137" s="390"/>
      <c r="AG1137" s="390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</row>
    <row r="1138" spans="1:45">
      <c r="A1138" s="9"/>
      <c r="B1138" s="9"/>
      <c r="C1138" s="530"/>
      <c r="D1138" s="1359"/>
      <c r="E1138" s="530"/>
      <c r="F1138" s="530"/>
      <c r="G1138" s="1518"/>
      <c r="H1138" s="530"/>
      <c r="I1138" s="1432"/>
      <c r="J1138" s="530"/>
      <c r="K1138" s="1102"/>
      <c r="L1138" s="530"/>
      <c r="M1138" s="533"/>
      <c r="N1138" s="530"/>
      <c r="O1138" s="530"/>
      <c r="P1138" s="530"/>
      <c r="Q1138" s="530"/>
      <c r="R1138" s="530"/>
      <c r="S1138" s="1432"/>
      <c r="T1138" s="533"/>
      <c r="U1138" s="533"/>
      <c r="V1138" s="1487"/>
      <c r="W1138" s="1487"/>
      <c r="X1138" s="1487"/>
      <c r="Y1138" s="533"/>
      <c r="Z1138" s="533"/>
      <c r="AA1138" s="530"/>
      <c r="AB1138" s="530"/>
      <c r="AC1138" s="530"/>
      <c r="AD1138" s="530"/>
      <c r="AE1138" s="530"/>
      <c r="AF1138" s="390"/>
      <c r="AG1138" s="390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</row>
    <row r="1139" spans="1:45">
      <c r="A1139" s="9"/>
      <c r="B1139" s="9"/>
      <c r="C1139" s="530"/>
      <c r="D1139" s="1359"/>
      <c r="E1139" s="530"/>
      <c r="F1139" s="530"/>
      <c r="G1139" s="1518"/>
      <c r="H1139" s="530"/>
      <c r="I1139" s="1432"/>
      <c r="J1139" s="530"/>
      <c r="K1139" s="1102"/>
      <c r="L1139" s="530"/>
      <c r="M1139" s="533"/>
      <c r="N1139" s="530"/>
      <c r="O1139" s="530"/>
      <c r="P1139" s="530"/>
      <c r="Q1139" s="530"/>
      <c r="R1139" s="530"/>
      <c r="S1139" s="1432"/>
      <c r="T1139" s="533"/>
      <c r="U1139" s="533"/>
      <c r="V1139" s="1487"/>
      <c r="W1139" s="1487"/>
      <c r="X1139" s="1487"/>
      <c r="Y1139" s="533"/>
      <c r="Z1139" s="533"/>
      <c r="AA1139" s="530"/>
      <c r="AB1139" s="530"/>
      <c r="AC1139" s="530"/>
      <c r="AD1139" s="530"/>
      <c r="AE1139" s="530"/>
      <c r="AF1139" s="390"/>
      <c r="AG1139" s="390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</row>
    <row r="1140" spans="1:45">
      <c r="A1140" s="9"/>
      <c r="B1140" s="9"/>
      <c r="C1140" s="530"/>
      <c r="D1140" s="1359"/>
      <c r="E1140" s="530"/>
      <c r="F1140" s="530"/>
      <c r="G1140" s="1518"/>
      <c r="H1140" s="530"/>
      <c r="I1140" s="1432"/>
      <c r="J1140" s="530"/>
      <c r="K1140" s="1102"/>
      <c r="L1140" s="530"/>
      <c r="M1140" s="533"/>
      <c r="N1140" s="530"/>
      <c r="O1140" s="530"/>
      <c r="P1140" s="530"/>
      <c r="Q1140" s="530"/>
      <c r="R1140" s="530"/>
      <c r="S1140" s="1432"/>
      <c r="T1140" s="533"/>
      <c r="U1140" s="533"/>
      <c r="V1140" s="1487"/>
      <c r="W1140" s="1487"/>
      <c r="X1140" s="1487"/>
      <c r="Y1140" s="533"/>
      <c r="Z1140" s="533"/>
      <c r="AA1140" s="530"/>
      <c r="AB1140" s="530"/>
      <c r="AC1140" s="530"/>
      <c r="AD1140" s="530"/>
      <c r="AE1140" s="530"/>
      <c r="AF1140" s="390"/>
      <c r="AG1140" s="390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</row>
    <row r="1141" spans="1:45">
      <c r="A1141" s="9"/>
      <c r="B1141" s="9"/>
      <c r="C1141" s="530"/>
      <c r="D1141" s="1359"/>
      <c r="E1141" s="530"/>
      <c r="F1141" s="530"/>
      <c r="G1141" s="1518"/>
      <c r="H1141" s="530"/>
      <c r="I1141" s="1432"/>
      <c r="J1141" s="530"/>
      <c r="K1141" s="1102"/>
      <c r="L1141" s="530"/>
      <c r="M1141" s="533"/>
      <c r="N1141" s="530"/>
      <c r="O1141" s="530"/>
      <c r="P1141" s="530"/>
      <c r="Q1141" s="530"/>
      <c r="R1141" s="530"/>
      <c r="S1141" s="1432"/>
      <c r="T1141" s="533"/>
      <c r="U1141" s="533"/>
      <c r="V1141" s="1487"/>
      <c r="W1141" s="1487"/>
      <c r="X1141" s="1487"/>
      <c r="Y1141" s="533"/>
      <c r="Z1141" s="533"/>
      <c r="AA1141" s="530"/>
      <c r="AB1141" s="530"/>
      <c r="AC1141" s="530"/>
      <c r="AD1141" s="530"/>
      <c r="AE1141" s="530"/>
      <c r="AF1141" s="390"/>
      <c r="AG1141" s="390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</row>
    <row r="1142" spans="1:45">
      <c r="A1142" s="9"/>
      <c r="B1142" s="9"/>
      <c r="C1142" s="530"/>
      <c r="D1142" s="1359"/>
      <c r="E1142" s="530"/>
      <c r="F1142" s="530"/>
      <c r="G1142" s="1518"/>
      <c r="H1142" s="530"/>
      <c r="I1142" s="1432"/>
      <c r="J1142" s="530"/>
      <c r="K1142" s="1102"/>
      <c r="L1142" s="530"/>
      <c r="M1142" s="533"/>
      <c r="N1142" s="530"/>
      <c r="O1142" s="530"/>
      <c r="P1142" s="530"/>
      <c r="Q1142" s="530"/>
      <c r="R1142" s="530"/>
      <c r="S1142" s="1432"/>
      <c r="T1142" s="533"/>
      <c r="U1142" s="533"/>
      <c r="V1142" s="1487"/>
      <c r="W1142" s="1487"/>
      <c r="X1142" s="1487"/>
      <c r="Y1142" s="533"/>
      <c r="Z1142" s="533"/>
      <c r="AA1142" s="530"/>
      <c r="AB1142" s="530"/>
      <c r="AC1142" s="530"/>
      <c r="AD1142" s="530"/>
      <c r="AE1142" s="530"/>
      <c r="AF1142" s="390"/>
      <c r="AG1142" s="390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</row>
    <row r="1143" spans="1:45">
      <c r="A1143" s="9"/>
      <c r="B1143" s="9"/>
      <c r="C1143" s="530"/>
      <c r="D1143" s="1359"/>
      <c r="E1143" s="530"/>
      <c r="F1143" s="530"/>
      <c r="G1143" s="1518"/>
      <c r="H1143" s="530"/>
      <c r="I1143" s="1432"/>
      <c r="J1143" s="530"/>
      <c r="K1143" s="1102"/>
      <c r="L1143" s="530"/>
      <c r="M1143" s="533"/>
      <c r="N1143" s="530"/>
      <c r="O1143" s="530"/>
      <c r="P1143" s="530"/>
      <c r="Q1143" s="530"/>
      <c r="R1143" s="530"/>
      <c r="S1143" s="1432"/>
      <c r="T1143" s="533"/>
      <c r="U1143" s="533"/>
      <c r="V1143" s="1487"/>
      <c r="W1143" s="1487"/>
      <c r="X1143" s="1487"/>
      <c r="Y1143" s="533"/>
      <c r="Z1143" s="533"/>
      <c r="AA1143" s="530"/>
      <c r="AB1143" s="530"/>
      <c r="AC1143" s="530"/>
      <c r="AD1143" s="530"/>
      <c r="AE1143" s="530"/>
      <c r="AF1143" s="390"/>
      <c r="AG1143" s="390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</row>
    <row r="1144" spans="1:45">
      <c r="A1144" s="9"/>
      <c r="B1144" s="9"/>
      <c r="C1144" s="530"/>
      <c r="D1144" s="1359"/>
      <c r="E1144" s="530"/>
      <c r="F1144" s="530"/>
      <c r="G1144" s="1518"/>
      <c r="H1144" s="530"/>
      <c r="I1144" s="1432"/>
      <c r="J1144" s="530"/>
      <c r="K1144" s="1102"/>
      <c r="L1144" s="530"/>
      <c r="M1144" s="533"/>
      <c r="N1144" s="530"/>
      <c r="O1144" s="530"/>
      <c r="P1144" s="530"/>
      <c r="Q1144" s="530"/>
      <c r="R1144" s="530"/>
      <c r="S1144" s="1432"/>
      <c r="T1144" s="533"/>
      <c r="U1144" s="533"/>
      <c r="V1144" s="1487"/>
      <c r="W1144" s="1487"/>
      <c r="X1144" s="1487"/>
      <c r="Y1144" s="533"/>
      <c r="Z1144" s="533"/>
      <c r="AA1144" s="530"/>
      <c r="AB1144" s="530"/>
      <c r="AC1144" s="530"/>
      <c r="AD1144" s="530"/>
      <c r="AE1144" s="530"/>
      <c r="AF1144" s="390"/>
      <c r="AG1144" s="390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</row>
    <row r="1145" spans="1:45">
      <c r="A1145" s="9"/>
      <c r="B1145" s="9"/>
      <c r="C1145" s="530"/>
      <c r="D1145" s="1359"/>
      <c r="E1145" s="530"/>
      <c r="F1145" s="530"/>
      <c r="G1145" s="1518"/>
      <c r="H1145" s="530"/>
      <c r="I1145" s="1432"/>
      <c r="J1145" s="530"/>
      <c r="K1145" s="1102"/>
      <c r="L1145" s="530"/>
      <c r="M1145" s="533"/>
      <c r="N1145" s="530"/>
      <c r="O1145" s="530"/>
      <c r="P1145" s="530"/>
      <c r="Q1145" s="530"/>
      <c r="R1145" s="530"/>
      <c r="S1145" s="1432"/>
      <c r="T1145" s="533"/>
      <c r="U1145" s="533"/>
      <c r="V1145" s="1487"/>
      <c r="W1145" s="1487"/>
      <c r="X1145" s="1487"/>
      <c r="Y1145" s="533"/>
      <c r="Z1145" s="533"/>
      <c r="AA1145" s="530"/>
      <c r="AB1145" s="530"/>
      <c r="AC1145" s="530"/>
      <c r="AD1145" s="530"/>
      <c r="AE1145" s="530"/>
      <c r="AF1145" s="390"/>
      <c r="AG1145" s="390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</row>
    <row r="1146" spans="1:45">
      <c r="A1146" s="9"/>
      <c r="B1146" s="9"/>
      <c r="C1146" s="530"/>
      <c r="D1146" s="1359"/>
      <c r="E1146" s="530"/>
      <c r="F1146" s="530"/>
      <c r="G1146" s="1518"/>
      <c r="H1146" s="530"/>
      <c r="I1146" s="1432"/>
      <c r="J1146" s="530"/>
      <c r="K1146" s="1102"/>
      <c r="L1146" s="530"/>
      <c r="M1146" s="533"/>
      <c r="N1146" s="530"/>
      <c r="O1146" s="530"/>
      <c r="P1146" s="530"/>
      <c r="Q1146" s="530"/>
      <c r="R1146" s="530"/>
      <c r="S1146" s="1432"/>
      <c r="T1146" s="533"/>
      <c r="U1146" s="533"/>
      <c r="V1146" s="1487"/>
      <c r="W1146" s="1487"/>
      <c r="X1146" s="1487"/>
      <c r="Y1146" s="533"/>
      <c r="Z1146" s="533"/>
      <c r="AA1146" s="530"/>
      <c r="AB1146" s="530"/>
      <c r="AC1146" s="530"/>
      <c r="AD1146" s="530"/>
      <c r="AE1146" s="530"/>
      <c r="AF1146" s="390"/>
      <c r="AG1146" s="390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</row>
    <row r="1147" spans="1:45">
      <c r="A1147" s="9"/>
      <c r="B1147" s="9"/>
      <c r="C1147" s="530"/>
      <c r="D1147" s="1359"/>
      <c r="E1147" s="530"/>
      <c r="F1147" s="530"/>
      <c r="G1147" s="1518"/>
      <c r="H1147" s="530"/>
      <c r="I1147" s="1432"/>
      <c r="J1147" s="530"/>
      <c r="K1147" s="1102"/>
      <c r="L1147" s="530"/>
      <c r="M1147" s="533"/>
      <c r="N1147" s="530"/>
      <c r="O1147" s="530"/>
      <c r="P1147" s="530"/>
      <c r="Q1147" s="530"/>
      <c r="R1147" s="530"/>
      <c r="S1147" s="1432"/>
      <c r="T1147" s="533"/>
      <c r="U1147" s="533"/>
      <c r="V1147" s="1487"/>
      <c r="W1147" s="1487"/>
      <c r="X1147" s="1487"/>
      <c r="Y1147" s="533"/>
      <c r="Z1147" s="533"/>
      <c r="AA1147" s="530"/>
      <c r="AB1147" s="530"/>
      <c r="AC1147" s="530"/>
      <c r="AD1147" s="530"/>
      <c r="AE1147" s="530"/>
      <c r="AF1147" s="390"/>
      <c r="AG1147" s="390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</row>
    <row r="1148" spans="1:45">
      <c r="A1148" s="9"/>
      <c r="B1148" s="9"/>
      <c r="C1148" s="530"/>
      <c r="D1148" s="1359"/>
      <c r="E1148" s="530"/>
      <c r="F1148" s="530"/>
      <c r="G1148" s="1518"/>
      <c r="H1148" s="530"/>
      <c r="I1148" s="1432"/>
      <c r="J1148" s="530"/>
      <c r="K1148" s="1102"/>
      <c r="L1148" s="530"/>
      <c r="M1148" s="533"/>
      <c r="N1148" s="530"/>
      <c r="O1148" s="530"/>
      <c r="P1148" s="530"/>
      <c r="Q1148" s="530"/>
      <c r="R1148" s="530"/>
      <c r="S1148" s="1432"/>
      <c r="T1148" s="533"/>
      <c r="U1148" s="533"/>
      <c r="V1148" s="1487"/>
      <c r="W1148" s="1487"/>
      <c r="X1148" s="1487"/>
      <c r="Y1148" s="533"/>
      <c r="Z1148" s="533"/>
      <c r="AA1148" s="530"/>
      <c r="AB1148" s="530"/>
      <c r="AC1148" s="530"/>
      <c r="AD1148" s="530"/>
      <c r="AE1148" s="530"/>
      <c r="AF1148" s="390"/>
      <c r="AG1148" s="390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</row>
    <row r="1149" spans="1:45">
      <c r="A1149" s="9"/>
      <c r="B1149" s="9"/>
      <c r="C1149" s="530"/>
      <c r="D1149" s="1359"/>
      <c r="E1149" s="530"/>
      <c r="F1149" s="530"/>
      <c r="G1149" s="1518"/>
      <c r="H1149" s="530"/>
      <c r="I1149" s="1432"/>
      <c r="J1149" s="530"/>
      <c r="K1149" s="1102"/>
      <c r="L1149" s="530"/>
      <c r="M1149" s="533"/>
      <c r="N1149" s="530"/>
      <c r="O1149" s="530"/>
      <c r="P1149" s="530"/>
      <c r="Q1149" s="530"/>
      <c r="R1149" s="530"/>
      <c r="S1149" s="1432"/>
      <c r="T1149" s="533"/>
      <c r="U1149" s="533"/>
      <c r="V1149" s="1487"/>
      <c r="W1149" s="1487"/>
      <c r="X1149" s="1487"/>
      <c r="Y1149" s="533"/>
      <c r="Z1149" s="533"/>
      <c r="AA1149" s="530"/>
      <c r="AB1149" s="530"/>
      <c r="AC1149" s="530"/>
      <c r="AD1149" s="530"/>
      <c r="AE1149" s="530"/>
      <c r="AF1149" s="390"/>
      <c r="AG1149" s="390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</row>
    <row r="1150" spans="1:45">
      <c r="A1150" s="9"/>
      <c r="B1150" s="9"/>
      <c r="C1150" s="530"/>
      <c r="D1150" s="1359"/>
      <c r="E1150" s="530"/>
      <c r="F1150" s="530"/>
      <c r="G1150" s="1518"/>
      <c r="H1150" s="530"/>
      <c r="I1150" s="1432"/>
      <c r="J1150" s="530"/>
      <c r="K1150" s="1102"/>
      <c r="L1150" s="530"/>
      <c r="M1150" s="533"/>
      <c r="N1150" s="530"/>
      <c r="O1150" s="530"/>
      <c r="P1150" s="530"/>
      <c r="Q1150" s="530"/>
      <c r="R1150" s="530"/>
      <c r="S1150" s="1432"/>
      <c r="T1150" s="533"/>
      <c r="U1150" s="533"/>
      <c r="V1150" s="1487"/>
      <c r="W1150" s="1487"/>
      <c r="X1150" s="1487"/>
      <c r="Y1150" s="533"/>
      <c r="Z1150" s="533"/>
      <c r="AA1150" s="530"/>
      <c r="AB1150" s="530"/>
      <c r="AC1150" s="530"/>
      <c r="AD1150" s="530"/>
      <c r="AE1150" s="530"/>
      <c r="AF1150" s="390"/>
      <c r="AG1150" s="390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</row>
    <row r="1151" spans="1:45">
      <c r="A1151" s="9"/>
      <c r="B1151" s="9"/>
      <c r="C1151" s="530"/>
      <c r="D1151" s="1359"/>
      <c r="E1151" s="530"/>
      <c r="F1151" s="530"/>
      <c r="G1151" s="1518"/>
      <c r="H1151" s="530"/>
      <c r="I1151" s="1432"/>
      <c r="J1151" s="530"/>
      <c r="K1151" s="1102"/>
      <c r="L1151" s="530"/>
      <c r="M1151" s="533"/>
      <c r="N1151" s="530"/>
      <c r="O1151" s="530"/>
      <c r="P1151" s="530"/>
      <c r="Q1151" s="530"/>
      <c r="R1151" s="530"/>
      <c r="S1151" s="1432"/>
      <c r="T1151" s="533"/>
      <c r="U1151" s="533"/>
      <c r="V1151" s="1487"/>
      <c r="W1151" s="1487"/>
      <c r="X1151" s="1487"/>
      <c r="Y1151" s="533"/>
      <c r="Z1151" s="533"/>
      <c r="AA1151" s="530"/>
      <c r="AB1151" s="530"/>
      <c r="AC1151" s="530"/>
      <c r="AD1151" s="530"/>
      <c r="AE1151" s="530"/>
      <c r="AF1151" s="390"/>
      <c r="AG1151" s="390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</row>
    <row r="1152" spans="1:45">
      <c r="A1152" s="9"/>
      <c r="B1152" s="9"/>
      <c r="C1152" s="530"/>
      <c r="D1152" s="1359"/>
      <c r="E1152" s="530"/>
      <c r="F1152" s="530"/>
      <c r="G1152" s="1518"/>
      <c r="H1152" s="530"/>
      <c r="I1152" s="1432"/>
      <c r="J1152" s="530"/>
      <c r="K1152" s="1102"/>
      <c r="L1152" s="530"/>
      <c r="M1152" s="533"/>
      <c r="N1152" s="530"/>
      <c r="O1152" s="530"/>
      <c r="P1152" s="530"/>
      <c r="Q1152" s="530"/>
      <c r="R1152" s="530"/>
      <c r="S1152" s="1432"/>
      <c r="T1152" s="533"/>
      <c r="U1152" s="533"/>
      <c r="V1152" s="1487"/>
      <c r="W1152" s="1487"/>
      <c r="X1152" s="1487"/>
      <c r="Y1152" s="533"/>
      <c r="Z1152" s="533"/>
      <c r="AA1152" s="530"/>
      <c r="AB1152" s="530"/>
      <c r="AC1152" s="530"/>
      <c r="AD1152" s="530"/>
      <c r="AE1152" s="530"/>
      <c r="AF1152" s="390"/>
      <c r="AG1152" s="390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</row>
    <row r="1153" spans="1:45">
      <c r="A1153" s="9"/>
      <c r="B1153" s="9"/>
      <c r="C1153" s="530"/>
      <c r="D1153" s="1359"/>
      <c r="E1153" s="530"/>
      <c r="F1153" s="530"/>
      <c r="G1153" s="1518"/>
      <c r="H1153" s="530"/>
      <c r="I1153" s="1432"/>
      <c r="J1153" s="530"/>
      <c r="K1153" s="1102"/>
      <c r="L1153" s="530"/>
      <c r="M1153" s="533"/>
      <c r="N1153" s="530"/>
      <c r="O1153" s="530"/>
      <c r="P1153" s="530"/>
      <c r="Q1153" s="530"/>
      <c r="R1153" s="530"/>
      <c r="S1153" s="1432"/>
      <c r="T1153" s="533"/>
      <c r="U1153" s="533"/>
      <c r="V1153" s="1487"/>
      <c r="W1153" s="1487"/>
      <c r="X1153" s="1487"/>
      <c r="Y1153" s="533"/>
      <c r="Z1153" s="533"/>
      <c r="AA1153" s="530"/>
      <c r="AB1153" s="530"/>
      <c r="AC1153" s="530"/>
      <c r="AD1153" s="530"/>
      <c r="AE1153" s="530"/>
      <c r="AF1153" s="390"/>
      <c r="AG1153" s="390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</row>
    <row r="1154" spans="1:45">
      <c r="A1154" s="9"/>
      <c r="B1154" s="9"/>
      <c r="C1154" s="530"/>
      <c r="D1154" s="1359"/>
      <c r="E1154" s="530"/>
      <c r="F1154" s="530"/>
      <c r="G1154" s="1518"/>
      <c r="H1154" s="530"/>
      <c r="I1154" s="1432"/>
      <c r="J1154" s="530"/>
      <c r="K1154" s="1102"/>
      <c r="L1154" s="530"/>
      <c r="M1154" s="533"/>
      <c r="N1154" s="530"/>
      <c r="O1154" s="530"/>
      <c r="P1154" s="530"/>
      <c r="Q1154" s="530"/>
      <c r="R1154" s="530"/>
      <c r="S1154" s="1432"/>
      <c r="T1154" s="533"/>
      <c r="U1154" s="533"/>
      <c r="V1154" s="1487"/>
      <c r="W1154" s="1487"/>
      <c r="X1154" s="1487"/>
      <c r="Y1154" s="533"/>
      <c r="Z1154" s="533"/>
      <c r="AA1154" s="530"/>
      <c r="AB1154" s="530"/>
      <c r="AC1154" s="530"/>
      <c r="AD1154" s="530"/>
      <c r="AE1154" s="530"/>
      <c r="AF1154" s="390"/>
      <c r="AG1154" s="390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</row>
    <row r="1155" spans="1:45">
      <c r="A1155" s="9"/>
      <c r="B1155" s="9"/>
      <c r="C1155" s="530"/>
      <c r="D1155" s="1359"/>
      <c r="E1155" s="530"/>
      <c r="F1155" s="530"/>
      <c r="G1155" s="1518"/>
      <c r="H1155" s="530"/>
      <c r="I1155" s="1432"/>
      <c r="J1155" s="530"/>
      <c r="K1155" s="1102"/>
      <c r="L1155" s="530"/>
      <c r="M1155" s="533"/>
      <c r="N1155" s="530"/>
      <c r="O1155" s="530"/>
      <c r="P1155" s="530"/>
      <c r="Q1155" s="530"/>
      <c r="R1155" s="530"/>
      <c r="S1155" s="1432"/>
      <c r="T1155" s="533"/>
      <c r="U1155" s="533"/>
      <c r="V1155" s="1487"/>
      <c r="W1155" s="1487"/>
      <c r="X1155" s="1487"/>
      <c r="Y1155" s="533"/>
      <c r="Z1155" s="533"/>
      <c r="AA1155" s="530"/>
      <c r="AB1155" s="530"/>
      <c r="AC1155" s="530"/>
      <c r="AD1155" s="530"/>
      <c r="AE1155" s="530"/>
      <c r="AF1155" s="390"/>
      <c r="AG1155" s="390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</row>
    <row r="1156" spans="1:45">
      <c r="A1156" s="9"/>
      <c r="B1156" s="9"/>
      <c r="C1156" s="530"/>
      <c r="D1156" s="1359"/>
      <c r="E1156" s="530"/>
      <c r="F1156" s="530"/>
      <c r="G1156" s="1518"/>
      <c r="H1156" s="530"/>
      <c r="I1156" s="1432"/>
      <c r="J1156" s="530"/>
      <c r="K1156" s="1102"/>
      <c r="L1156" s="530"/>
      <c r="M1156" s="533"/>
      <c r="N1156" s="530"/>
      <c r="O1156" s="530"/>
      <c r="P1156" s="530"/>
      <c r="Q1156" s="530"/>
      <c r="R1156" s="530"/>
      <c r="S1156" s="1432"/>
      <c r="T1156" s="533"/>
      <c r="U1156" s="533"/>
      <c r="V1156" s="1487"/>
      <c r="W1156" s="1487"/>
      <c r="X1156" s="1487"/>
      <c r="Y1156" s="533"/>
      <c r="Z1156" s="533"/>
      <c r="AA1156" s="530"/>
      <c r="AB1156" s="530"/>
      <c r="AC1156" s="530"/>
      <c r="AD1156" s="530"/>
      <c r="AE1156" s="530"/>
      <c r="AF1156" s="390"/>
      <c r="AG1156" s="390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</row>
    <row r="1157" spans="1:45">
      <c r="A1157" s="9"/>
      <c r="B1157" s="9"/>
      <c r="C1157" s="530"/>
      <c r="D1157" s="1359"/>
      <c r="E1157" s="530"/>
      <c r="F1157" s="530"/>
      <c r="G1157" s="1518"/>
      <c r="H1157" s="530"/>
      <c r="I1157" s="1432"/>
      <c r="J1157" s="530"/>
      <c r="K1157" s="1102"/>
      <c r="L1157" s="530"/>
      <c r="M1157" s="533"/>
      <c r="N1157" s="530"/>
      <c r="O1157" s="530"/>
      <c r="P1157" s="530"/>
      <c r="Q1157" s="530"/>
      <c r="R1157" s="530"/>
      <c r="S1157" s="1432"/>
      <c r="T1157" s="533"/>
      <c r="U1157" s="533"/>
      <c r="V1157" s="1487"/>
      <c r="W1157" s="1487"/>
      <c r="X1157" s="1487"/>
      <c r="Y1157" s="533"/>
      <c r="Z1157" s="533"/>
      <c r="AA1157" s="530"/>
      <c r="AB1157" s="530"/>
      <c r="AC1157" s="530"/>
      <c r="AD1157" s="530"/>
      <c r="AE1157" s="530"/>
      <c r="AF1157" s="390"/>
      <c r="AG1157" s="390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</row>
    <row r="1158" spans="1:45">
      <c r="A1158" s="9"/>
      <c r="B1158" s="9"/>
      <c r="C1158" s="530"/>
      <c r="D1158" s="1359"/>
      <c r="E1158" s="530"/>
      <c r="F1158" s="530"/>
      <c r="G1158" s="1518"/>
      <c r="H1158" s="530"/>
      <c r="I1158" s="1432"/>
      <c r="J1158" s="530"/>
      <c r="K1158" s="1102"/>
      <c r="L1158" s="530"/>
      <c r="M1158" s="533"/>
      <c r="N1158" s="530"/>
      <c r="O1158" s="530"/>
      <c r="P1158" s="530"/>
      <c r="Q1158" s="530"/>
      <c r="R1158" s="530"/>
      <c r="S1158" s="1432"/>
      <c r="T1158" s="533"/>
      <c r="U1158" s="533"/>
      <c r="V1158" s="1487"/>
      <c r="W1158" s="1487"/>
      <c r="X1158" s="1487"/>
      <c r="Y1158" s="533"/>
      <c r="Z1158" s="533"/>
      <c r="AA1158" s="530"/>
      <c r="AB1158" s="530"/>
      <c r="AC1158" s="530"/>
      <c r="AD1158" s="530"/>
      <c r="AE1158" s="530"/>
      <c r="AF1158" s="390"/>
      <c r="AG1158" s="390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</row>
    <row r="1159" spans="1:45">
      <c r="A1159" s="9"/>
      <c r="B1159" s="9"/>
      <c r="C1159" s="530"/>
      <c r="D1159" s="1359"/>
      <c r="E1159" s="530"/>
      <c r="F1159" s="530"/>
      <c r="G1159" s="1518"/>
      <c r="H1159" s="530"/>
      <c r="I1159" s="1432"/>
      <c r="J1159" s="530"/>
      <c r="K1159" s="1102"/>
      <c r="L1159" s="530"/>
      <c r="M1159" s="533"/>
      <c r="N1159" s="530"/>
      <c r="O1159" s="530"/>
      <c r="P1159" s="530"/>
      <c r="Q1159" s="530"/>
      <c r="R1159" s="530"/>
      <c r="S1159" s="1432"/>
      <c r="T1159" s="533"/>
      <c r="U1159" s="533"/>
      <c r="V1159" s="1487"/>
      <c r="W1159" s="1487"/>
      <c r="X1159" s="1487"/>
      <c r="Y1159" s="533"/>
      <c r="Z1159" s="533"/>
      <c r="AA1159" s="530"/>
      <c r="AB1159" s="530"/>
      <c r="AC1159" s="530"/>
      <c r="AD1159" s="530"/>
      <c r="AE1159" s="530"/>
      <c r="AF1159" s="390"/>
      <c r="AG1159" s="390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</row>
    <row r="1160" spans="1:45">
      <c r="A1160" s="9"/>
      <c r="B1160" s="9"/>
      <c r="C1160" s="530"/>
      <c r="D1160" s="1359"/>
      <c r="E1160" s="530"/>
      <c r="F1160" s="530"/>
      <c r="G1160" s="1518"/>
      <c r="H1160" s="530"/>
      <c r="I1160" s="1432"/>
      <c r="J1160" s="530"/>
      <c r="K1160" s="1102"/>
      <c r="L1160" s="530"/>
      <c r="M1160" s="533"/>
      <c r="N1160" s="530"/>
      <c r="O1160" s="530"/>
      <c r="P1160" s="530"/>
      <c r="Q1160" s="530"/>
      <c r="R1160" s="530"/>
      <c r="S1160" s="1432"/>
      <c r="T1160" s="533"/>
      <c r="U1160" s="533"/>
      <c r="V1160" s="1487"/>
      <c r="W1160" s="1487"/>
      <c r="X1160" s="1487"/>
      <c r="Y1160" s="533"/>
      <c r="Z1160" s="533"/>
      <c r="AA1160" s="530"/>
      <c r="AB1160" s="530"/>
      <c r="AC1160" s="530"/>
      <c r="AD1160" s="530"/>
      <c r="AE1160" s="530"/>
      <c r="AF1160" s="390"/>
      <c r="AG1160" s="390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</row>
    <row r="1161" spans="1:45">
      <c r="A1161" s="9"/>
      <c r="B1161" s="9"/>
      <c r="C1161" s="530"/>
      <c r="D1161" s="1359"/>
      <c r="E1161" s="530"/>
      <c r="F1161" s="530"/>
      <c r="G1161" s="1518"/>
      <c r="H1161" s="530"/>
      <c r="I1161" s="1432"/>
      <c r="J1161" s="530"/>
      <c r="K1161" s="1102"/>
      <c r="L1161" s="530"/>
      <c r="M1161" s="533"/>
      <c r="N1161" s="530"/>
      <c r="O1161" s="530"/>
      <c r="P1161" s="530"/>
      <c r="Q1161" s="530"/>
      <c r="R1161" s="530"/>
      <c r="S1161" s="1432"/>
      <c r="T1161" s="533"/>
      <c r="U1161" s="533"/>
      <c r="V1161" s="1487"/>
      <c r="W1161" s="1487"/>
      <c r="X1161" s="1487"/>
      <c r="Y1161" s="533"/>
      <c r="Z1161" s="533"/>
      <c r="AA1161" s="530"/>
      <c r="AB1161" s="530"/>
      <c r="AC1161" s="530"/>
      <c r="AD1161" s="530"/>
      <c r="AE1161" s="530"/>
      <c r="AF1161" s="390"/>
      <c r="AG1161" s="390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</row>
    <row r="1162" spans="1:45">
      <c r="A1162" s="9"/>
      <c r="B1162" s="9"/>
      <c r="C1162" s="530"/>
      <c r="D1162" s="1359"/>
      <c r="E1162" s="530"/>
      <c r="F1162" s="530"/>
      <c r="G1162" s="1518"/>
      <c r="H1162" s="530"/>
      <c r="I1162" s="1432"/>
      <c r="J1162" s="530"/>
      <c r="K1162" s="1102"/>
      <c r="L1162" s="530"/>
      <c r="M1162" s="533"/>
      <c r="N1162" s="530"/>
      <c r="O1162" s="530"/>
      <c r="P1162" s="530"/>
      <c r="Q1162" s="530"/>
      <c r="R1162" s="530"/>
      <c r="S1162" s="1432"/>
      <c r="T1162" s="533"/>
      <c r="U1162" s="533"/>
      <c r="V1162" s="1487"/>
      <c r="W1162" s="1487"/>
      <c r="X1162" s="1487"/>
      <c r="Y1162" s="533"/>
      <c r="Z1162" s="533"/>
      <c r="AA1162" s="530"/>
      <c r="AB1162" s="530"/>
      <c r="AC1162" s="530"/>
      <c r="AD1162" s="530"/>
      <c r="AE1162" s="530"/>
      <c r="AF1162" s="390"/>
      <c r="AG1162" s="390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</row>
    <row r="1163" spans="1:45">
      <c r="A1163" s="9"/>
      <c r="B1163" s="9"/>
      <c r="C1163" s="530"/>
      <c r="D1163" s="1359"/>
      <c r="E1163" s="530"/>
      <c r="F1163" s="530"/>
      <c r="G1163" s="1518"/>
      <c r="H1163" s="530"/>
      <c r="I1163" s="1432"/>
      <c r="J1163" s="530"/>
      <c r="K1163" s="1102"/>
      <c r="L1163" s="530"/>
      <c r="M1163" s="533"/>
      <c r="N1163" s="530"/>
      <c r="O1163" s="530"/>
      <c r="P1163" s="530"/>
      <c r="Q1163" s="530"/>
      <c r="R1163" s="530"/>
      <c r="S1163" s="1432"/>
      <c r="T1163" s="533"/>
      <c r="U1163" s="533"/>
      <c r="V1163" s="1487"/>
      <c r="W1163" s="1487"/>
      <c r="X1163" s="1487"/>
      <c r="Y1163" s="533"/>
      <c r="Z1163" s="533"/>
      <c r="AA1163" s="530"/>
      <c r="AB1163" s="530"/>
      <c r="AC1163" s="530"/>
      <c r="AD1163" s="530"/>
      <c r="AE1163" s="530"/>
      <c r="AF1163" s="390"/>
      <c r="AG1163" s="390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</row>
    <row r="1164" spans="1:45">
      <c r="A1164" s="9"/>
      <c r="B1164" s="9"/>
      <c r="C1164" s="530"/>
      <c r="D1164" s="1359"/>
      <c r="E1164" s="530"/>
      <c r="F1164" s="530"/>
      <c r="G1164" s="1518"/>
      <c r="H1164" s="530"/>
      <c r="I1164" s="1432"/>
      <c r="J1164" s="530"/>
      <c r="K1164" s="1102"/>
      <c r="L1164" s="530"/>
      <c r="M1164" s="533"/>
      <c r="N1164" s="530"/>
      <c r="O1164" s="530"/>
      <c r="P1164" s="530"/>
      <c r="Q1164" s="530"/>
      <c r="R1164" s="530"/>
      <c r="S1164" s="1432"/>
      <c r="T1164" s="533"/>
      <c r="U1164" s="533"/>
      <c r="V1164" s="1487"/>
      <c r="W1164" s="1487"/>
      <c r="X1164" s="1487"/>
      <c r="Y1164" s="533"/>
      <c r="Z1164" s="533"/>
      <c r="AA1164" s="530"/>
      <c r="AB1164" s="530"/>
      <c r="AC1164" s="530"/>
      <c r="AD1164" s="530"/>
      <c r="AE1164" s="530"/>
      <c r="AF1164" s="390"/>
      <c r="AG1164" s="390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</row>
    <row r="1165" spans="1:45">
      <c r="A1165" s="9"/>
      <c r="B1165" s="9"/>
      <c r="C1165" s="530"/>
      <c r="D1165" s="1359"/>
      <c r="E1165" s="530"/>
      <c r="F1165" s="530"/>
      <c r="G1165" s="1518"/>
      <c r="H1165" s="530"/>
      <c r="I1165" s="1432"/>
      <c r="J1165" s="530"/>
      <c r="K1165" s="1102"/>
      <c r="L1165" s="530"/>
      <c r="M1165" s="533"/>
      <c r="N1165" s="530"/>
      <c r="O1165" s="530"/>
      <c r="P1165" s="530"/>
      <c r="Q1165" s="530"/>
      <c r="R1165" s="530"/>
      <c r="S1165" s="1432"/>
      <c r="T1165" s="533"/>
      <c r="U1165" s="533"/>
      <c r="V1165" s="1487"/>
      <c r="W1165" s="1487"/>
      <c r="X1165" s="1487"/>
      <c r="Y1165" s="533"/>
      <c r="Z1165" s="533"/>
      <c r="AA1165" s="530"/>
      <c r="AB1165" s="530"/>
      <c r="AC1165" s="530"/>
      <c r="AD1165" s="530"/>
      <c r="AE1165" s="530"/>
      <c r="AF1165" s="390"/>
      <c r="AG1165" s="390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</row>
    <row r="1166" spans="1:45">
      <c r="A1166" s="9"/>
      <c r="B1166" s="9"/>
      <c r="C1166" s="530"/>
      <c r="D1166" s="1359"/>
      <c r="E1166" s="530"/>
      <c r="F1166" s="530"/>
      <c r="G1166" s="1518"/>
      <c r="H1166" s="530"/>
      <c r="I1166" s="1432"/>
      <c r="J1166" s="530"/>
      <c r="K1166" s="1102"/>
      <c r="L1166" s="530"/>
      <c r="M1166" s="533"/>
      <c r="N1166" s="530"/>
      <c r="O1166" s="530"/>
      <c r="P1166" s="530"/>
      <c r="Q1166" s="530"/>
      <c r="R1166" s="530"/>
      <c r="S1166" s="1432"/>
      <c r="T1166" s="533"/>
      <c r="U1166" s="533"/>
      <c r="V1166" s="1487"/>
      <c r="W1166" s="1487"/>
      <c r="X1166" s="1487"/>
      <c r="Y1166" s="533"/>
      <c r="Z1166" s="533"/>
      <c r="AA1166" s="530"/>
      <c r="AB1166" s="530"/>
      <c r="AC1166" s="530"/>
      <c r="AD1166" s="530"/>
      <c r="AE1166" s="530"/>
      <c r="AF1166" s="390"/>
      <c r="AG1166" s="390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</row>
    <row r="1167" spans="1:45">
      <c r="A1167" s="9"/>
      <c r="B1167" s="9"/>
      <c r="C1167" s="530"/>
      <c r="D1167" s="1359"/>
      <c r="E1167" s="530"/>
      <c r="F1167" s="530"/>
      <c r="G1167" s="1518"/>
      <c r="H1167" s="530"/>
      <c r="I1167" s="1432"/>
      <c r="J1167" s="530"/>
      <c r="K1167" s="1102"/>
      <c r="L1167" s="530"/>
      <c r="M1167" s="533"/>
      <c r="N1167" s="530"/>
      <c r="O1167" s="530"/>
      <c r="P1167" s="530"/>
      <c r="Q1167" s="530"/>
      <c r="R1167" s="530"/>
      <c r="S1167" s="1432"/>
      <c r="T1167" s="533"/>
      <c r="U1167" s="533"/>
      <c r="V1167" s="1487"/>
      <c r="W1167" s="1487"/>
      <c r="X1167" s="1487"/>
      <c r="Y1167" s="533"/>
      <c r="Z1167" s="533"/>
      <c r="AA1167" s="530"/>
      <c r="AB1167" s="530"/>
      <c r="AC1167" s="530"/>
      <c r="AD1167" s="530"/>
      <c r="AE1167" s="530"/>
      <c r="AF1167" s="390"/>
      <c r="AG1167" s="390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</row>
    <row r="1168" spans="1:45">
      <c r="A1168" s="9"/>
      <c r="B1168" s="9"/>
      <c r="C1168" s="530"/>
      <c r="D1168" s="1359"/>
      <c r="E1168" s="530"/>
      <c r="F1168" s="530"/>
      <c r="G1168" s="1518"/>
      <c r="H1168" s="530"/>
      <c r="I1168" s="1432"/>
      <c r="J1168" s="530"/>
      <c r="K1168" s="1102"/>
      <c r="L1168" s="530"/>
      <c r="M1168" s="533"/>
      <c r="N1168" s="530"/>
      <c r="O1168" s="530"/>
      <c r="P1168" s="530"/>
      <c r="Q1168" s="530"/>
      <c r="R1168" s="530"/>
      <c r="S1168" s="1432"/>
      <c r="T1168" s="533"/>
      <c r="U1168" s="533"/>
      <c r="V1168" s="1487"/>
      <c r="W1168" s="1487"/>
      <c r="X1168" s="1487"/>
      <c r="Y1168" s="533"/>
      <c r="Z1168" s="533"/>
      <c r="AA1168" s="530"/>
      <c r="AB1168" s="530"/>
      <c r="AC1168" s="530"/>
      <c r="AD1168" s="530"/>
      <c r="AE1168" s="530"/>
      <c r="AF1168" s="390"/>
      <c r="AG1168" s="390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</row>
    <row r="1169" spans="1:45">
      <c r="A1169" s="9"/>
      <c r="B1169" s="9"/>
      <c r="C1169" s="530"/>
      <c r="D1169" s="1359"/>
      <c r="E1169" s="530"/>
      <c r="F1169" s="530"/>
      <c r="G1169" s="1518"/>
      <c r="H1169" s="530"/>
      <c r="I1169" s="1432"/>
      <c r="J1169" s="530"/>
      <c r="K1169" s="1102"/>
      <c r="L1169" s="530"/>
      <c r="M1169" s="533"/>
      <c r="N1169" s="530"/>
      <c r="O1169" s="530"/>
      <c r="P1169" s="530"/>
      <c r="Q1169" s="530"/>
      <c r="R1169" s="530"/>
      <c r="S1169" s="1432"/>
      <c r="T1169" s="533"/>
      <c r="U1169" s="533"/>
      <c r="V1169" s="1487"/>
      <c r="W1169" s="1487"/>
      <c r="X1169" s="1487"/>
      <c r="Y1169" s="533"/>
      <c r="Z1169" s="533"/>
      <c r="AA1169" s="530"/>
      <c r="AB1169" s="530"/>
      <c r="AC1169" s="530"/>
      <c r="AD1169" s="530"/>
      <c r="AE1169" s="530"/>
      <c r="AF1169" s="390"/>
      <c r="AG1169" s="390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</row>
    <row r="1170" spans="1:45">
      <c r="A1170" s="9"/>
      <c r="B1170" s="9"/>
      <c r="C1170" s="530"/>
      <c r="D1170" s="1359"/>
      <c r="E1170" s="530"/>
      <c r="F1170" s="530"/>
      <c r="G1170" s="1518"/>
      <c r="H1170" s="530"/>
      <c r="I1170" s="1432"/>
      <c r="J1170" s="530"/>
      <c r="K1170" s="1102"/>
      <c r="L1170" s="530"/>
      <c r="M1170" s="533"/>
      <c r="N1170" s="530"/>
      <c r="O1170" s="530"/>
      <c r="P1170" s="530"/>
      <c r="Q1170" s="530"/>
      <c r="R1170" s="530"/>
      <c r="S1170" s="1432"/>
      <c r="T1170" s="533"/>
      <c r="U1170" s="533"/>
      <c r="V1170" s="1487"/>
      <c r="W1170" s="1487"/>
      <c r="X1170" s="1487"/>
      <c r="Y1170" s="533"/>
      <c r="Z1170" s="533"/>
      <c r="AA1170" s="530"/>
      <c r="AB1170" s="530"/>
      <c r="AC1170" s="530"/>
      <c r="AD1170" s="530"/>
      <c r="AE1170" s="530"/>
      <c r="AF1170" s="390"/>
      <c r="AG1170" s="390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</row>
    <row r="1171" spans="1:45">
      <c r="A1171" s="9"/>
      <c r="B1171" s="9"/>
      <c r="C1171" s="530"/>
      <c r="D1171" s="1359"/>
      <c r="E1171" s="530"/>
      <c r="F1171" s="530"/>
      <c r="G1171" s="1518"/>
      <c r="H1171" s="530"/>
      <c r="I1171" s="1432"/>
      <c r="J1171" s="530"/>
      <c r="K1171" s="1102"/>
      <c r="L1171" s="530"/>
      <c r="M1171" s="533"/>
      <c r="N1171" s="530"/>
      <c r="O1171" s="530"/>
      <c r="P1171" s="530"/>
      <c r="Q1171" s="530"/>
      <c r="R1171" s="530"/>
      <c r="S1171" s="1432"/>
      <c r="T1171" s="533"/>
      <c r="U1171" s="533"/>
      <c r="V1171" s="1487"/>
      <c r="W1171" s="1487"/>
      <c r="X1171" s="1487"/>
      <c r="Y1171" s="533"/>
      <c r="Z1171" s="533"/>
      <c r="AA1171" s="530"/>
      <c r="AB1171" s="530"/>
      <c r="AC1171" s="530"/>
      <c r="AD1171" s="530"/>
      <c r="AE1171" s="530"/>
      <c r="AF1171" s="390"/>
      <c r="AG1171" s="390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</row>
    <row r="1172" spans="1:45">
      <c r="A1172" s="9"/>
      <c r="B1172" s="9"/>
      <c r="C1172" s="530"/>
      <c r="D1172" s="1359"/>
      <c r="E1172" s="530"/>
      <c r="F1172" s="530"/>
      <c r="G1172" s="1518"/>
      <c r="H1172" s="530"/>
      <c r="I1172" s="1432"/>
      <c r="J1172" s="530"/>
      <c r="K1172" s="1102"/>
      <c r="L1172" s="530"/>
      <c r="M1172" s="533"/>
      <c r="N1172" s="530"/>
      <c r="O1172" s="530"/>
      <c r="P1172" s="530"/>
      <c r="Q1172" s="530"/>
      <c r="R1172" s="530"/>
      <c r="S1172" s="1432"/>
      <c r="T1172" s="533"/>
      <c r="U1172" s="533"/>
      <c r="V1172" s="1487"/>
      <c r="W1172" s="1487"/>
      <c r="X1172" s="1487"/>
      <c r="Y1172" s="533"/>
      <c r="Z1172" s="533"/>
      <c r="AA1172" s="530"/>
      <c r="AB1172" s="530"/>
      <c r="AC1172" s="530"/>
      <c r="AD1172" s="530"/>
      <c r="AE1172" s="530"/>
      <c r="AF1172" s="390"/>
      <c r="AG1172" s="390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</row>
    <row r="1173" spans="1:45">
      <c r="A1173" s="9"/>
      <c r="B1173" s="9"/>
      <c r="C1173" s="530"/>
      <c r="D1173" s="1359"/>
      <c r="E1173" s="530"/>
      <c r="F1173" s="530"/>
      <c r="G1173" s="1518"/>
      <c r="H1173" s="530"/>
      <c r="I1173" s="1432"/>
      <c r="J1173" s="530"/>
      <c r="K1173" s="1102"/>
      <c r="L1173" s="530"/>
      <c r="M1173" s="533"/>
      <c r="N1173" s="530"/>
      <c r="O1173" s="530"/>
      <c r="P1173" s="530"/>
      <c r="Q1173" s="530"/>
      <c r="R1173" s="530"/>
      <c r="S1173" s="1432"/>
      <c r="T1173" s="533"/>
      <c r="U1173" s="533"/>
      <c r="V1173" s="1487"/>
      <c r="W1173" s="1487"/>
      <c r="X1173" s="1487"/>
      <c r="Y1173" s="533"/>
      <c r="Z1173" s="533"/>
      <c r="AA1173" s="530"/>
      <c r="AB1173" s="530"/>
      <c r="AC1173" s="530"/>
      <c r="AD1173" s="530"/>
      <c r="AE1173" s="530"/>
      <c r="AF1173" s="390"/>
      <c r="AG1173" s="390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</row>
  </sheetData>
  <autoFilter ref="C8:AF922" xr:uid="{F98A8AF0-AD32-46BE-A870-14805CA04014}"/>
  <pageMargins left="0.19685039370078741" right="0.19685039370078741" top="0.78740157480314965" bottom="0.19685039370078741" header="0.31496062992125984" footer="0.31496062992125984"/>
  <pageSetup paperSize="9" scale="16" fitToHeight="5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S1271"/>
  <sheetViews>
    <sheetView topLeftCell="C1" zoomScale="90" zoomScaleNormal="90" workbookViewId="0">
      <pane xSplit="11" ySplit="8" topLeftCell="N9" activePane="bottomRight" state="frozen"/>
      <selection activeCell="C281" sqref="C2:C281"/>
      <selection pane="topRight" activeCell="C281" sqref="C2:C281"/>
      <selection pane="bottomLeft" activeCell="C281" sqref="C2:C281"/>
      <selection pane="bottomRight" activeCell="G284" sqref="G284"/>
    </sheetView>
  </sheetViews>
  <sheetFormatPr defaultColWidth="9.140625" defaultRowHeight="15"/>
  <cols>
    <col min="1" max="1" width="11.7109375" style="1440" hidden="1" customWidth="1"/>
    <col min="2" max="2" width="10" style="374" hidden="1" customWidth="1"/>
    <col min="3" max="3" width="12.140625" style="374" customWidth="1"/>
    <col min="4" max="4" width="16.28515625" style="374" customWidth="1"/>
    <col min="5" max="5" width="7.42578125" style="374" customWidth="1"/>
    <col min="6" max="6" width="13" style="374" customWidth="1"/>
    <col min="7" max="7" width="49.7109375" style="1944" customWidth="1"/>
    <col min="8" max="8" width="5.42578125" style="374" customWidth="1"/>
    <col min="9" max="9" width="63.7109375" style="1166" customWidth="1"/>
    <col min="10" max="10" width="19" style="374" hidden="1" customWidth="1"/>
    <col min="11" max="11" width="13.140625" style="374" customWidth="1"/>
    <col min="12" max="12" width="9.7109375" style="374" customWidth="1"/>
    <col min="13" max="13" width="20.7109375" style="371" customWidth="1"/>
    <col min="14" max="14" width="7.85546875" style="374" customWidth="1"/>
    <col min="15" max="16" width="13" style="374" customWidth="1"/>
    <col min="17" max="17" width="13.42578125" style="374" customWidth="1"/>
    <col min="18" max="18" width="26.42578125" style="1166" customWidth="1"/>
    <col min="19" max="19" width="25.28515625" style="374" customWidth="1"/>
    <col min="20" max="21" width="20.85546875" style="371" customWidth="1"/>
    <col min="22" max="22" width="21.28515625" style="1469" hidden="1" customWidth="1"/>
    <col min="23" max="23" width="18.28515625" style="1469" hidden="1" customWidth="1"/>
    <col min="24" max="24" width="20.28515625" style="1469" hidden="1" customWidth="1"/>
    <col min="25" max="25" width="13.85546875" style="371" customWidth="1"/>
    <col min="26" max="26" width="24.42578125" style="371" bestFit="1" customWidth="1"/>
    <col min="27" max="27" width="15.5703125" style="374" bestFit="1" customWidth="1"/>
    <col min="28" max="28" width="17.7109375" style="374" customWidth="1"/>
    <col min="29" max="29" width="18.7109375" style="374" customWidth="1"/>
    <col min="30" max="30" width="16.5703125" style="374" customWidth="1"/>
    <col min="31" max="31" width="17.7109375" style="374" customWidth="1"/>
    <col min="32" max="32" width="24.85546875" style="360" customWidth="1"/>
    <col min="33" max="33" width="21.42578125" style="360" customWidth="1"/>
    <col min="34" max="34" width="14.85546875" style="374" customWidth="1"/>
    <col min="35" max="35" width="15" style="374" customWidth="1"/>
    <col min="36" max="36" width="15.140625" style="374" customWidth="1"/>
    <col min="37" max="37" width="8.5703125" style="374" customWidth="1"/>
    <col min="38" max="38" width="13.5703125" style="374" bestFit="1" customWidth="1"/>
    <col min="39" max="44" width="9.140625" style="374"/>
    <col min="45" max="45" width="13.42578125" style="374" customWidth="1"/>
    <col min="46" max="16384" width="9.140625" style="1944"/>
  </cols>
  <sheetData>
    <row r="1" spans="1:33">
      <c r="E1" s="358"/>
      <c r="G1" s="491" t="s">
        <v>222</v>
      </c>
      <c r="L1" s="370"/>
    </row>
    <row r="2" spans="1:33">
      <c r="E2" s="359"/>
      <c r="G2" s="506" t="s">
        <v>223</v>
      </c>
      <c r="L2" s="370"/>
    </row>
    <row r="3" spans="1:33">
      <c r="E3" s="360"/>
      <c r="G3" s="540" t="s">
        <v>4837</v>
      </c>
      <c r="L3" s="370"/>
    </row>
    <row r="4" spans="1:33">
      <c r="E4" s="360"/>
      <c r="G4" s="590" t="s">
        <v>225</v>
      </c>
      <c r="L4" s="370"/>
    </row>
    <row r="5" spans="1:33">
      <c r="E5" s="360"/>
      <c r="G5" s="1552" t="s">
        <v>4709</v>
      </c>
      <c r="L5" s="370"/>
    </row>
    <row r="6" spans="1:33">
      <c r="E6" s="360"/>
      <c r="F6" s="796"/>
      <c r="G6" s="1102" t="s">
        <v>226</v>
      </c>
      <c r="H6" s="1351"/>
      <c r="I6" s="1418"/>
      <c r="J6" s="1351"/>
      <c r="L6" s="370"/>
    </row>
    <row r="7" spans="1:33">
      <c r="E7" s="360"/>
      <c r="F7" s="796"/>
      <c r="G7" s="1639" t="s">
        <v>5393</v>
      </c>
      <c r="H7" s="1351"/>
      <c r="I7" s="1418"/>
      <c r="J7" s="1351"/>
      <c r="L7" s="370"/>
    </row>
    <row r="8" spans="1:33" ht="75.75" thickBot="1">
      <c r="A8" s="1441" t="s">
        <v>3483</v>
      </c>
      <c r="B8" s="1350" t="s">
        <v>3496</v>
      </c>
      <c r="C8" s="2016" t="s">
        <v>3484</v>
      </c>
      <c r="D8" s="2016" t="s">
        <v>11</v>
      </c>
      <c r="E8" s="2016" t="s">
        <v>1164</v>
      </c>
      <c r="F8" s="2016" t="s">
        <v>0</v>
      </c>
      <c r="G8" s="1192" t="s">
        <v>1</v>
      </c>
      <c r="H8" s="1192" t="s">
        <v>3684</v>
      </c>
      <c r="I8" s="1527" t="s">
        <v>3489</v>
      </c>
      <c r="J8" s="2016" t="s">
        <v>3490</v>
      </c>
      <c r="K8" s="1192" t="s">
        <v>2</v>
      </c>
      <c r="L8" s="1193" t="s">
        <v>5</v>
      </c>
      <c r="M8" s="1194" t="s">
        <v>15</v>
      </c>
      <c r="N8" s="1192" t="s">
        <v>3</v>
      </c>
      <c r="O8" s="2016" t="s">
        <v>4</v>
      </c>
      <c r="P8" s="2016" t="s">
        <v>6</v>
      </c>
      <c r="Q8" s="2016" t="s">
        <v>3485</v>
      </c>
      <c r="R8" s="1706" t="s">
        <v>5486</v>
      </c>
      <c r="S8" s="2025" t="s">
        <v>5487</v>
      </c>
      <c r="T8" s="1194" t="s">
        <v>8</v>
      </c>
      <c r="U8" s="1194" t="s">
        <v>9</v>
      </c>
      <c r="V8" s="1528" t="s">
        <v>3491</v>
      </c>
      <c r="W8" s="1528" t="s">
        <v>3492</v>
      </c>
      <c r="X8" s="1528" t="s">
        <v>3493</v>
      </c>
      <c r="Y8" s="1194" t="s">
        <v>3486</v>
      </c>
      <c r="Z8" s="1194" t="s">
        <v>3487</v>
      </c>
      <c r="AA8" s="2016" t="s">
        <v>10</v>
      </c>
      <c r="AB8" s="2016" t="s">
        <v>334</v>
      </c>
      <c r="AC8" s="2016" t="s">
        <v>3488</v>
      </c>
      <c r="AD8" s="2532" t="s">
        <v>220</v>
      </c>
      <c r="AE8" s="2534">
        <v>2021</v>
      </c>
    </row>
    <row r="9" spans="1:33" ht="15.75" thickTop="1">
      <c r="A9" s="1460" t="s">
        <v>239</v>
      </c>
      <c r="B9" s="824" t="s">
        <v>239</v>
      </c>
      <c r="C9" s="443">
        <v>43501</v>
      </c>
      <c r="D9" s="1415" t="s">
        <v>3871</v>
      </c>
      <c r="E9" s="439" t="s">
        <v>2434</v>
      </c>
      <c r="F9" s="439" t="s">
        <v>57</v>
      </c>
      <c r="G9" s="440" t="s">
        <v>3872</v>
      </c>
      <c r="H9" s="439">
        <v>1</v>
      </c>
      <c r="I9" s="1431" t="s">
        <v>3873</v>
      </c>
      <c r="J9" s="439"/>
      <c r="K9" s="439" t="s">
        <v>3880</v>
      </c>
      <c r="L9" s="439"/>
      <c r="M9" s="444">
        <v>3971710</v>
      </c>
      <c r="N9" s="439" t="s">
        <v>251</v>
      </c>
      <c r="O9" s="443">
        <v>43553</v>
      </c>
      <c r="P9" s="443">
        <v>43654</v>
      </c>
      <c r="Q9" s="439"/>
      <c r="R9" s="1431"/>
      <c r="S9" s="439"/>
      <c r="T9" s="444"/>
      <c r="U9" s="444"/>
      <c r="V9" s="1481"/>
      <c r="W9" s="1481"/>
      <c r="X9" s="1481"/>
      <c r="Y9" s="444"/>
      <c r="Z9" s="444"/>
      <c r="AA9" s="439"/>
      <c r="AB9" s="443">
        <v>43970</v>
      </c>
      <c r="AC9" s="1431" t="s">
        <v>6760</v>
      </c>
      <c r="AD9" s="439"/>
      <c r="AE9" s="439"/>
      <c r="AF9" s="1438"/>
      <c r="AG9" s="374"/>
    </row>
    <row r="10" spans="1:33">
      <c r="A10" s="1461" t="s">
        <v>239</v>
      </c>
      <c r="B10" s="530" t="s">
        <v>239</v>
      </c>
      <c r="C10" s="510">
        <v>43501</v>
      </c>
      <c r="D10" s="1382" t="s">
        <v>3871</v>
      </c>
      <c r="E10" s="506" t="s">
        <v>2434</v>
      </c>
      <c r="F10" s="506" t="s">
        <v>57</v>
      </c>
      <c r="G10" s="507" t="s">
        <v>3872</v>
      </c>
      <c r="H10" s="506">
        <v>2</v>
      </c>
      <c r="I10" s="548" t="s">
        <v>3874</v>
      </c>
      <c r="J10" s="506"/>
      <c r="K10" s="506" t="s">
        <v>3880</v>
      </c>
      <c r="L10" s="506"/>
      <c r="M10" s="511">
        <v>8741040</v>
      </c>
      <c r="N10" s="506" t="s">
        <v>251</v>
      </c>
      <c r="O10" s="510">
        <v>43553</v>
      </c>
      <c r="P10" s="510">
        <v>43654</v>
      </c>
      <c r="Q10" s="506"/>
      <c r="R10" s="548"/>
      <c r="S10" s="506"/>
      <c r="T10" s="511"/>
      <c r="U10" s="511"/>
      <c r="V10" s="1470"/>
      <c r="W10" s="1470"/>
      <c r="X10" s="1470"/>
      <c r="Y10" s="511"/>
      <c r="Z10" s="511"/>
      <c r="AA10" s="506"/>
      <c r="AB10" s="510">
        <v>43970</v>
      </c>
      <c r="AC10" s="548" t="s">
        <v>6760</v>
      </c>
      <c r="AD10" s="506"/>
      <c r="AE10" s="506"/>
      <c r="AF10" s="796"/>
      <c r="AG10" s="374"/>
    </row>
    <row r="11" spans="1:33">
      <c r="A11" s="1461" t="s">
        <v>239</v>
      </c>
      <c r="B11" s="530" t="s">
        <v>239</v>
      </c>
      <c r="C11" s="510">
        <v>43501</v>
      </c>
      <c r="D11" s="1382" t="s">
        <v>3871</v>
      </c>
      <c r="E11" s="506" t="s">
        <v>2434</v>
      </c>
      <c r="F11" s="506" t="s">
        <v>57</v>
      </c>
      <c r="G11" s="507" t="s">
        <v>3872</v>
      </c>
      <c r="H11" s="506">
        <v>3</v>
      </c>
      <c r="I11" s="548" t="s">
        <v>3875</v>
      </c>
      <c r="J11" s="506"/>
      <c r="K11" s="506" t="s">
        <v>3880</v>
      </c>
      <c r="L11" s="506"/>
      <c r="M11" s="511">
        <v>29682900</v>
      </c>
      <c r="N11" s="506" t="s">
        <v>251</v>
      </c>
      <c r="O11" s="510">
        <v>43553</v>
      </c>
      <c r="P11" s="510">
        <v>43654</v>
      </c>
      <c r="Q11" s="506"/>
      <c r="R11" s="548"/>
      <c r="S11" s="506"/>
      <c r="T11" s="511"/>
      <c r="U11" s="511"/>
      <c r="V11" s="1470"/>
      <c r="W11" s="1470"/>
      <c r="X11" s="1470"/>
      <c r="Y11" s="511"/>
      <c r="Z11" s="511"/>
      <c r="AA11" s="506"/>
      <c r="AB11" s="510">
        <v>43970</v>
      </c>
      <c r="AC11" s="548" t="s">
        <v>6760</v>
      </c>
      <c r="AD11" s="506"/>
      <c r="AE11" s="506"/>
      <c r="AF11" s="796"/>
      <c r="AG11" s="374"/>
    </row>
    <row r="12" spans="1:33">
      <c r="A12" s="1461" t="s">
        <v>239</v>
      </c>
      <c r="B12" s="530" t="s">
        <v>239</v>
      </c>
      <c r="C12" s="510">
        <v>43501</v>
      </c>
      <c r="D12" s="1382" t="s">
        <v>3871</v>
      </c>
      <c r="E12" s="506" t="s">
        <v>2434</v>
      </c>
      <c r="F12" s="506" t="s">
        <v>57</v>
      </c>
      <c r="G12" s="507" t="s">
        <v>3872</v>
      </c>
      <c r="H12" s="506">
        <v>4</v>
      </c>
      <c r="I12" s="548" t="s">
        <v>3876</v>
      </c>
      <c r="J12" s="506"/>
      <c r="K12" s="506" t="s">
        <v>3880</v>
      </c>
      <c r="L12" s="506"/>
      <c r="M12" s="511">
        <v>16065920</v>
      </c>
      <c r="N12" s="506" t="s">
        <v>251</v>
      </c>
      <c r="O12" s="510">
        <v>43553</v>
      </c>
      <c r="P12" s="510">
        <v>43654</v>
      </c>
      <c r="Q12" s="506"/>
      <c r="R12" s="548"/>
      <c r="S12" s="506"/>
      <c r="T12" s="511"/>
      <c r="U12" s="511"/>
      <c r="V12" s="1470"/>
      <c r="W12" s="1470"/>
      <c r="X12" s="1470"/>
      <c r="Y12" s="511"/>
      <c r="Z12" s="511"/>
      <c r="AA12" s="506"/>
      <c r="AB12" s="510">
        <v>43887</v>
      </c>
      <c r="AC12" s="506" t="s">
        <v>6398</v>
      </c>
      <c r="AD12" s="506"/>
      <c r="AE12" s="506"/>
      <c r="AF12" s="1351"/>
      <c r="AG12" s="374"/>
    </row>
    <row r="13" spans="1:33">
      <c r="A13" s="1461" t="s">
        <v>239</v>
      </c>
      <c r="B13" s="530" t="s">
        <v>239</v>
      </c>
      <c r="C13" s="510">
        <v>43501</v>
      </c>
      <c r="D13" s="1382" t="s">
        <v>3871</v>
      </c>
      <c r="E13" s="506" t="s">
        <v>2434</v>
      </c>
      <c r="F13" s="506" t="s">
        <v>57</v>
      </c>
      <c r="G13" s="507" t="s">
        <v>3872</v>
      </c>
      <c r="H13" s="506">
        <v>5</v>
      </c>
      <c r="I13" s="548" t="s">
        <v>3877</v>
      </c>
      <c r="J13" s="506"/>
      <c r="K13" s="506" t="s">
        <v>3880</v>
      </c>
      <c r="L13" s="506"/>
      <c r="M13" s="511">
        <v>414690</v>
      </c>
      <c r="N13" s="506" t="s">
        <v>251</v>
      </c>
      <c r="O13" s="510">
        <v>43553</v>
      </c>
      <c r="P13" s="510">
        <v>43654</v>
      </c>
      <c r="Q13" s="506"/>
      <c r="R13" s="548"/>
      <c r="S13" s="506"/>
      <c r="T13" s="511"/>
      <c r="U13" s="511"/>
      <c r="V13" s="1470"/>
      <c r="W13" s="1470"/>
      <c r="X13" s="1470"/>
      <c r="Y13" s="511"/>
      <c r="Z13" s="511"/>
      <c r="AA13" s="506"/>
      <c r="AB13" s="510">
        <v>43970</v>
      </c>
      <c r="AC13" s="548" t="s">
        <v>6760</v>
      </c>
      <c r="AD13" s="506"/>
      <c r="AE13" s="506"/>
      <c r="AF13" s="796"/>
      <c r="AG13" s="374"/>
    </row>
    <row r="14" spans="1:33">
      <c r="A14" s="1461" t="s">
        <v>239</v>
      </c>
      <c r="B14" s="530" t="s">
        <v>239</v>
      </c>
      <c r="C14" s="510">
        <v>43501</v>
      </c>
      <c r="D14" s="1382" t="s">
        <v>3871</v>
      </c>
      <c r="E14" s="506" t="s">
        <v>2434</v>
      </c>
      <c r="F14" s="506" t="s">
        <v>57</v>
      </c>
      <c r="G14" s="507" t="s">
        <v>3872</v>
      </c>
      <c r="H14" s="506">
        <v>6</v>
      </c>
      <c r="I14" s="548" t="s">
        <v>3878</v>
      </c>
      <c r="J14" s="506"/>
      <c r="K14" s="506" t="s">
        <v>3880</v>
      </c>
      <c r="L14" s="506"/>
      <c r="M14" s="511">
        <v>2678400</v>
      </c>
      <c r="N14" s="506" t="s">
        <v>251</v>
      </c>
      <c r="O14" s="510">
        <v>43553</v>
      </c>
      <c r="P14" s="510">
        <v>43654</v>
      </c>
      <c r="Q14" s="506"/>
      <c r="R14" s="548"/>
      <c r="S14" s="506"/>
      <c r="T14" s="511"/>
      <c r="U14" s="511"/>
      <c r="V14" s="1470"/>
      <c r="W14" s="1470"/>
      <c r="X14" s="1470"/>
      <c r="Y14" s="511"/>
      <c r="Z14" s="511"/>
      <c r="AA14" s="506"/>
      <c r="AB14" s="510">
        <v>43970</v>
      </c>
      <c r="AC14" s="548" t="s">
        <v>6760</v>
      </c>
      <c r="AD14" s="506"/>
      <c r="AE14" s="506"/>
      <c r="AF14" s="796"/>
      <c r="AG14" s="374"/>
    </row>
    <row r="15" spans="1:33" ht="15.75" thickBot="1">
      <c r="A15" s="1462" t="s">
        <v>239</v>
      </c>
      <c r="B15" s="1394" t="s">
        <v>239</v>
      </c>
      <c r="C15" s="1414">
        <v>43501</v>
      </c>
      <c r="D15" s="1411" t="s">
        <v>3871</v>
      </c>
      <c r="E15" s="1410" t="s">
        <v>2434</v>
      </c>
      <c r="F15" s="1410" t="s">
        <v>57</v>
      </c>
      <c r="G15" s="1412" t="s">
        <v>3872</v>
      </c>
      <c r="H15" s="1410">
        <v>7</v>
      </c>
      <c r="I15" s="1430" t="s">
        <v>6652</v>
      </c>
      <c r="J15" s="1410"/>
      <c r="K15" s="1410" t="s">
        <v>3880</v>
      </c>
      <c r="L15" s="1410"/>
      <c r="M15" s="1413">
        <v>208800</v>
      </c>
      <c r="N15" s="1410" t="s">
        <v>251</v>
      </c>
      <c r="O15" s="1414">
        <v>43553</v>
      </c>
      <c r="P15" s="1414">
        <v>43654</v>
      </c>
      <c r="Q15" s="1410"/>
      <c r="R15" s="1430"/>
      <c r="S15" s="1410"/>
      <c r="T15" s="1413"/>
      <c r="U15" s="1413"/>
      <c r="V15" s="1479"/>
      <c r="W15" s="1479"/>
      <c r="X15" s="1479"/>
      <c r="Y15" s="1413"/>
      <c r="Z15" s="1413"/>
      <c r="AA15" s="1410"/>
      <c r="AB15" s="1414">
        <v>43970</v>
      </c>
      <c r="AC15" s="1430" t="s">
        <v>6760</v>
      </c>
      <c r="AD15" s="1410"/>
      <c r="AE15" s="1410"/>
      <c r="AF15" s="1439"/>
      <c r="AG15" s="374"/>
    </row>
    <row r="16" spans="1:33" ht="15.75" thickTop="1">
      <c r="A16" s="1461"/>
      <c r="B16" s="530"/>
      <c r="C16" s="537">
        <v>43564</v>
      </c>
      <c r="D16" s="1373" t="s">
        <v>4375</v>
      </c>
      <c r="E16" s="491" t="s">
        <v>69</v>
      </c>
      <c r="F16" s="491" t="s">
        <v>70</v>
      </c>
      <c r="G16" s="571" t="s">
        <v>4376</v>
      </c>
      <c r="H16" s="491">
        <v>2</v>
      </c>
      <c r="I16" s="495" t="s">
        <v>4379</v>
      </c>
      <c r="J16" s="491" t="s">
        <v>4380</v>
      </c>
      <c r="K16" s="491" t="s">
        <v>814</v>
      </c>
      <c r="L16" s="491"/>
      <c r="M16" s="536">
        <v>566785</v>
      </c>
      <c r="N16" s="491" t="s">
        <v>251</v>
      </c>
      <c r="O16" s="537">
        <v>43591</v>
      </c>
      <c r="P16" s="537">
        <v>43658</v>
      </c>
      <c r="Q16" s="537">
        <v>43781</v>
      </c>
      <c r="R16" s="495" t="s">
        <v>576</v>
      </c>
      <c r="S16" s="491"/>
      <c r="T16" s="536">
        <v>565770.1</v>
      </c>
      <c r="U16" s="536">
        <v>622347.11</v>
      </c>
      <c r="V16" s="1471"/>
      <c r="W16" s="1471"/>
      <c r="X16" s="1471"/>
      <c r="Y16" s="573">
        <v>43781</v>
      </c>
      <c r="Z16" s="536" t="s">
        <v>5985</v>
      </c>
      <c r="AA16" s="537">
        <v>43885</v>
      </c>
      <c r="AB16" s="537">
        <v>43895</v>
      </c>
      <c r="AC16" s="474">
        <v>44615</v>
      </c>
      <c r="AD16" s="537">
        <v>44279</v>
      </c>
      <c r="AE16" s="537">
        <v>44645</v>
      </c>
      <c r="AF16" s="388" t="s">
        <v>6477</v>
      </c>
      <c r="AG16" s="374"/>
    </row>
    <row r="17" spans="1:45">
      <c r="A17" s="1461"/>
      <c r="B17" s="530"/>
      <c r="C17" s="537">
        <v>43564</v>
      </c>
      <c r="D17" s="1373" t="s">
        <v>4375</v>
      </c>
      <c r="E17" s="491" t="s">
        <v>69</v>
      </c>
      <c r="F17" s="491" t="s">
        <v>70</v>
      </c>
      <c r="G17" s="571" t="s">
        <v>4376</v>
      </c>
      <c r="H17" s="491">
        <v>8</v>
      </c>
      <c r="I17" s="495" t="s">
        <v>4389</v>
      </c>
      <c r="J17" s="491" t="s">
        <v>4390</v>
      </c>
      <c r="K17" s="491" t="s">
        <v>814</v>
      </c>
      <c r="L17" s="491"/>
      <c r="M17" s="536">
        <v>230996</v>
      </c>
      <c r="N17" s="491" t="s">
        <v>251</v>
      </c>
      <c r="O17" s="537">
        <v>43591</v>
      </c>
      <c r="P17" s="537">
        <v>43658</v>
      </c>
      <c r="Q17" s="537">
        <v>43781</v>
      </c>
      <c r="R17" s="495" t="s">
        <v>1564</v>
      </c>
      <c r="S17" s="491"/>
      <c r="T17" s="536">
        <v>229270</v>
      </c>
      <c r="U17" s="536">
        <v>252197</v>
      </c>
      <c r="V17" s="1471"/>
      <c r="W17" s="1471"/>
      <c r="X17" s="1471"/>
      <c r="Y17" s="573">
        <v>43781</v>
      </c>
      <c r="Z17" s="536" t="s">
        <v>5986</v>
      </c>
      <c r="AA17" s="537">
        <v>43885</v>
      </c>
      <c r="AB17" s="537">
        <v>43895</v>
      </c>
      <c r="AC17" s="537">
        <v>44615</v>
      </c>
      <c r="AD17" s="537">
        <v>44279</v>
      </c>
      <c r="AE17" s="537">
        <v>44645</v>
      </c>
      <c r="AF17" s="388" t="s">
        <v>6477</v>
      </c>
      <c r="AG17" s="374"/>
    </row>
    <row r="18" spans="1:45">
      <c r="A18" s="1461"/>
      <c r="B18" s="530"/>
      <c r="C18" s="537">
        <v>43564</v>
      </c>
      <c r="D18" s="1373" t="s">
        <v>4375</v>
      </c>
      <c r="E18" s="491" t="s">
        <v>69</v>
      </c>
      <c r="F18" s="491" t="s">
        <v>70</v>
      </c>
      <c r="G18" s="571" t="s">
        <v>4376</v>
      </c>
      <c r="H18" s="491">
        <v>9</v>
      </c>
      <c r="I18" s="495" t="s">
        <v>4391</v>
      </c>
      <c r="J18" s="491" t="s">
        <v>4392</v>
      </c>
      <c r="K18" s="491" t="s">
        <v>814</v>
      </c>
      <c r="L18" s="491"/>
      <c r="M18" s="536">
        <v>1057697</v>
      </c>
      <c r="N18" s="491" t="s">
        <v>251</v>
      </c>
      <c r="O18" s="537">
        <v>43591</v>
      </c>
      <c r="P18" s="537">
        <v>43658</v>
      </c>
      <c r="Q18" s="537">
        <v>43781</v>
      </c>
      <c r="R18" s="495" t="s">
        <v>2548</v>
      </c>
      <c r="S18" s="491"/>
      <c r="T18" s="536">
        <v>1057608</v>
      </c>
      <c r="U18" s="536">
        <v>1163368</v>
      </c>
      <c r="V18" s="1471"/>
      <c r="W18" s="1471"/>
      <c r="X18" s="1471"/>
      <c r="Y18" s="573">
        <v>43781</v>
      </c>
      <c r="Z18" s="536" t="s">
        <v>5987</v>
      </c>
      <c r="AA18" s="537">
        <v>43885</v>
      </c>
      <c r="AB18" s="537">
        <v>43895</v>
      </c>
      <c r="AC18" s="537">
        <v>44615</v>
      </c>
      <c r="AD18" s="537">
        <v>44279</v>
      </c>
      <c r="AE18" s="537">
        <v>44645</v>
      </c>
      <c r="AF18" s="388" t="s">
        <v>6477</v>
      </c>
      <c r="AG18" s="374"/>
    </row>
    <row r="19" spans="1:45">
      <c r="A19" s="1461"/>
      <c r="B19" s="530"/>
      <c r="C19" s="537">
        <v>43564</v>
      </c>
      <c r="D19" s="1373" t="s">
        <v>4375</v>
      </c>
      <c r="E19" s="491" t="s">
        <v>69</v>
      </c>
      <c r="F19" s="491" t="s">
        <v>70</v>
      </c>
      <c r="G19" s="571" t="s">
        <v>4376</v>
      </c>
      <c r="H19" s="491">
        <v>10</v>
      </c>
      <c r="I19" s="495" t="s">
        <v>4393</v>
      </c>
      <c r="J19" s="491" t="s">
        <v>4394</v>
      </c>
      <c r="K19" s="491" t="s">
        <v>814</v>
      </c>
      <c r="L19" s="491"/>
      <c r="M19" s="536">
        <v>1855269</v>
      </c>
      <c r="N19" s="491" t="s">
        <v>251</v>
      </c>
      <c r="O19" s="537">
        <v>43591</v>
      </c>
      <c r="P19" s="537">
        <v>43658</v>
      </c>
      <c r="Q19" s="537">
        <v>43781</v>
      </c>
      <c r="R19" s="495" t="s">
        <v>5774</v>
      </c>
      <c r="S19" s="491"/>
      <c r="T19" s="536">
        <v>1833340.74</v>
      </c>
      <c r="U19" s="536">
        <v>2016674.81</v>
      </c>
      <c r="V19" s="1471"/>
      <c r="W19" s="1471"/>
      <c r="X19" s="1471"/>
      <c r="Y19" s="573">
        <v>43781</v>
      </c>
      <c r="Z19" s="536" t="s">
        <v>5988</v>
      </c>
      <c r="AA19" s="537">
        <v>43885</v>
      </c>
      <c r="AB19" s="537">
        <v>43895</v>
      </c>
      <c r="AC19" s="537">
        <v>44615</v>
      </c>
      <c r="AD19" s="537">
        <v>44279</v>
      </c>
      <c r="AE19" s="537">
        <v>44645</v>
      </c>
      <c r="AF19" s="388" t="s">
        <v>6477</v>
      </c>
      <c r="AG19" s="374"/>
    </row>
    <row r="20" spans="1:45">
      <c r="A20" s="1461"/>
      <c r="B20" s="530"/>
      <c r="C20" s="537">
        <v>43564</v>
      </c>
      <c r="D20" s="1373" t="s">
        <v>4375</v>
      </c>
      <c r="E20" s="491" t="s">
        <v>69</v>
      </c>
      <c r="F20" s="491" t="s">
        <v>70</v>
      </c>
      <c r="G20" s="571" t="s">
        <v>4376</v>
      </c>
      <c r="H20" s="491">
        <v>11</v>
      </c>
      <c r="I20" s="495" t="s">
        <v>4395</v>
      </c>
      <c r="J20" s="491" t="s">
        <v>4396</v>
      </c>
      <c r="K20" s="491" t="s">
        <v>814</v>
      </c>
      <c r="L20" s="491"/>
      <c r="M20" s="536">
        <v>151853</v>
      </c>
      <c r="N20" s="491" t="s">
        <v>251</v>
      </c>
      <c r="O20" s="537">
        <v>43591</v>
      </c>
      <c r="P20" s="537">
        <v>43658</v>
      </c>
      <c r="Q20" s="537">
        <v>43781</v>
      </c>
      <c r="R20" s="495" t="s">
        <v>2548</v>
      </c>
      <c r="S20" s="491"/>
      <c r="T20" s="536">
        <v>150348.79999999999</v>
      </c>
      <c r="U20" s="536">
        <v>165383.67999999999</v>
      </c>
      <c r="V20" s="1471"/>
      <c r="W20" s="1471"/>
      <c r="X20" s="1471"/>
      <c r="Y20" s="573">
        <v>43781</v>
      </c>
      <c r="Z20" s="536" t="s">
        <v>5989</v>
      </c>
      <c r="AA20" s="537">
        <v>43885</v>
      </c>
      <c r="AB20" s="537">
        <v>43895</v>
      </c>
      <c r="AC20" s="537">
        <v>44615</v>
      </c>
      <c r="AD20" s="537">
        <v>44279</v>
      </c>
      <c r="AE20" s="537">
        <v>44645</v>
      </c>
      <c r="AF20" s="388" t="s">
        <v>6477</v>
      </c>
      <c r="AG20" s="374" t="s">
        <v>11656</v>
      </c>
    </row>
    <row r="21" spans="1:45">
      <c r="A21" s="1461"/>
      <c r="B21" s="530"/>
      <c r="C21" s="537">
        <v>43564</v>
      </c>
      <c r="D21" s="1373" t="s">
        <v>4375</v>
      </c>
      <c r="E21" s="491" t="s">
        <v>69</v>
      </c>
      <c r="F21" s="491" t="s">
        <v>70</v>
      </c>
      <c r="G21" s="571" t="s">
        <v>4376</v>
      </c>
      <c r="H21" s="491">
        <v>12</v>
      </c>
      <c r="I21" s="495" t="s">
        <v>4397</v>
      </c>
      <c r="J21" s="491" t="s">
        <v>4398</v>
      </c>
      <c r="K21" s="491" t="s">
        <v>814</v>
      </c>
      <c r="L21" s="491"/>
      <c r="M21" s="536">
        <v>430818</v>
      </c>
      <c r="N21" s="491" t="s">
        <v>251</v>
      </c>
      <c r="O21" s="537">
        <v>43591</v>
      </c>
      <c r="P21" s="537">
        <v>43658</v>
      </c>
      <c r="Q21" s="537">
        <v>43781</v>
      </c>
      <c r="R21" s="495" t="s">
        <v>5774</v>
      </c>
      <c r="S21" s="491"/>
      <c r="T21" s="536">
        <v>258834.2</v>
      </c>
      <c r="U21" s="536">
        <v>284717.62</v>
      </c>
      <c r="V21" s="1471"/>
      <c r="W21" s="1471"/>
      <c r="X21" s="1471"/>
      <c r="Y21" s="573">
        <v>43781</v>
      </c>
      <c r="Z21" s="536" t="s">
        <v>5990</v>
      </c>
      <c r="AA21" s="537">
        <v>43885</v>
      </c>
      <c r="AB21" s="537">
        <v>43895</v>
      </c>
      <c r="AC21" s="537">
        <v>44615</v>
      </c>
      <c r="AD21" s="537">
        <v>44279</v>
      </c>
      <c r="AE21" s="537">
        <v>44645</v>
      </c>
      <c r="AF21" s="388" t="s">
        <v>6477</v>
      </c>
      <c r="AG21" s="374"/>
    </row>
    <row r="22" spans="1:45">
      <c r="A22" s="1461"/>
      <c r="B22" s="530"/>
      <c r="C22" s="537">
        <v>43564</v>
      </c>
      <c r="D22" s="1373" t="s">
        <v>4375</v>
      </c>
      <c r="E22" s="491" t="s">
        <v>69</v>
      </c>
      <c r="F22" s="491" t="s">
        <v>70</v>
      </c>
      <c r="G22" s="571" t="s">
        <v>4376</v>
      </c>
      <c r="H22" s="491">
        <v>13</v>
      </c>
      <c r="I22" s="495" t="s">
        <v>4399</v>
      </c>
      <c r="J22" s="491" t="s">
        <v>4400</v>
      </c>
      <c r="K22" s="491" t="s">
        <v>814</v>
      </c>
      <c r="L22" s="491"/>
      <c r="M22" s="536">
        <v>959749</v>
      </c>
      <c r="N22" s="491" t="s">
        <v>251</v>
      </c>
      <c r="O22" s="537">
        <v>43591</v>
      </c>
      <c r="P22" s="537">
        <v>43658</v>
      </c>
      <c r="Q22" s="537">
        <v>43781</v>
      </c>
      <c r="R22" s="495" t="s">
        <v>5640</v>
      </c>
      <c r="S22" s="491"/>
      <c r="T22" s="536">
        <v>942993.6</v>
      </c>
      <c r="U22" s="536">
        <v>1037292.96</v>
      </c>
      <c r="V22" s="1471"/>
      <c r="W22" s="1471"/>
      <c r="X22" s="1471"/>
      <c r="Y22" s="573">
        <v>43781</v>
      </c>
      <c r="Z22" s="536" t="s">
        <v>5991</v>
      </c>
      <c r="AA22" s="537">
        <v>43885</v>
      </c>
      <c r="AB22" s="537">
        <v>43895</v>
      </c>
      <c r="AC22" s="537">
        <v>44615</v>
      </c>
      <c r="AD22" s="537">
        <v>44279</v>
      </c>
      <c r="AE22" s="537">
        <v>44645</v>
      </c>
      <c r="AF22" s="388" t="s">
        <v>6477</v>
      </c>
      <c r="AG22" s="374"/>
    </row>
    <row r="23" spans="1:45" ht="15.75" thickBot="1">
      <c r="A23" s="1461"/>
      <c r="B23" s="530"/>
      <c r="C23" s="1380">
        <v>43564</v>
      </c>
      <c r="D23" s="1377" t="s">
        <v>4375</v>
      </c>
      <c r="E23" s="1376" t="s">
        <v>69</v>
      </c>
      <c r="F23" s="1376" t="s">
        <v>70</v>
      </c>
      <c r="G23" s="1378" t="s">
        <v>4376</v>
      </c>
      <c r="H23" s="1376">
        <v>15</v>
      </c>
      <c r="I23" s="1421" t="s">
        <v>4403</v>
      </c>
      <c r="J23" s="1376" t="s">
        <v>4404</v>
      </c>
      <c r="K23" s="1376" t="s">
        <v>814</v>
      </c>
      <c r="L23" s="1376"/>
      <c r="M23" s="1379">
        <v>164810</v>
      </c>
      <c r="N23" s="1376" t="s">
        <v>251</v>
      </c>
      <c r="O23" s="1380">
        <v>43591</v>
      </c>
      <c r="P23" s="1380">
        <v>43658</v>
      </c>
      <c r="Q23" s="1830">
        <v>43860</v>
      </c>
      <c r="R23" s="1834" t="s">
        <v>5774</v>
      </c>
      <c r="S23" s="2027"/>
      <c r="T23" s="1835">
        <v>164807.20000000001</v>
      </c>
      <c r="U23" s="1835">
        <f>T23*1.1</f>
        <v>181287.92000000004</v>
      </c>
      <c r="V23" s="1928"/>
      <c r="W23" s="1928"/>
      <c r="X23" s="1928"/>
      <c r="Y23" s="1837">
        <v>43861</v>
      </c>
      <c r="Z23" s="1835" t="s">
        <v>6343</v>
      </c>
      <c r="AA23" s="1830">
        <v>43892</v>
      </c>
      <c r="AB23" s="1830">
        <v>43895</v>
      </c>
      <c r="AC23" s="1830">
        <v>44621</v>
      </c>
      <c r="AD23" s="1830">
        <v>44279</v>
      </c>
      <c r="AE23" s="1380">
        <v>44645</v>
      </c>
      <c r="AF23" s="388" t="s">
        <v>6502</v>
      </c>
      <c r="AG23" s="374"/>
    </row>
    <row r="24" spans="1:45" ht="30.75" thickTop="1">
      <c r="C24" s="1998">
        <v>43579</v>
      </c>
      <c r="D24" s="1999" t="s">
        <v>4495</v>
      </c>
      <c r="E24" s="516" t="s">
        <v>2434</v>
      </c>
      <c r="F24" s="516" t="s">
        <v>219</v>
      </c>
      <c r="G24" s="2000" t="s">
        <v>4496</v>
      </c>
      <c r="H24" s="516">
        <v>1</v>
      </c>
      <c r="I24" s="2001" t="s">
        <v>4497</v>
      </c>
      <c r="J24" s="453"/>
      <c r="K24" s="516" t="s">
        <v>642</v>
      </c>
      <c r="L24" s="516"/>
      <c r="M24" s="2002">
        <v>31542000</v>
      </c>
      <c r="N24" s="516" t="s">
        <v>251</v>
      </c>
      <c r="O24" s="1998">
        <v>43628</v>
      </c>
      <c r="P24" s="1998">
        <v>43705</v>
      </c>
      <c r="Q24" s="1998">
        <v>43858</v>
      </c>
      <c r="R24" s="2001" t="s">
        <v>6362</v>
      </c>
      <c r="S24" s="516"/>
      <c r="T24" s="2002">
        <v>31192000</v>
      </c>
      <c r="U24" s="2002">
        <v>37742320</v>
      </c>
      <c r="V24" s="1474"/>
      <c r="W24" s="1474"/>
      <c r="X24" s="1474"/>
      <c r="Y24" s="2003">
        <v>43983</v>
      </c>
      <c r="Z24" s="2004" t="s">
        <v>6897</v>
      </c>
      <c r="AA24" s="1998">
        <v>44035</v>
      </c>
      <c r="AB24" s="1998">
        <v>44040</v>
      </c>
      <c r="AC24" s="1998">
        <v>46956</v>
      </c>
      <c r="AD24" s="1998">
        <v>44285</v>
      </c>
      <c r="AE24" s="1998">
        <v>44637</v>
      </c>
      <c r="AF24" s="388">
        <v>2022</v>
      </c>
      <c r="AG24" s="388">
        <v>2023</v>
      </c>
      <c r="AH24" s="388">
        <v>2024</v>
      </c>
      <c r="AI24" s="388">
        <v>2025</v>
      </c>
      <c r="AJ24" s="388">
        <v>2026</v>
      </c>
      <c r="AK24" s="388">
        <v>2027</v>
      </c>
      <c r="AL24" s="388" t="s">
        <v>7202</v>
      </c>
    </row>
    <row r="25" spans="1:45" ht="30.75" thickBot="1">
      <c r="C25" s="1830">
        <v>43579</v>
      </c>
      <c r="D25" s="1831" t="s">
        <v>4495</v>
      </c>
      <c r="E25" s="1832" t="s">
        <v>2434</v>
      </c>
      <c r="F25" s="1832" t="s">
        <v>219</v>
      </c>
      <c r="G25" s="1833" t="s">
        <v>4496</v>
      </c>
      <c r="H25" s="1832">
        <v>2</v>
      </c>
      <c r="I25" s="1834" t="s">
        <v>4498</v>
      </c>
      <c r="J25" s="1376"/>
      <c r="K25" s="1832" t="s">
        <v>642</v>
      </c>
      <c r="L25" s="1832"/>
      <c r="M25" s="1835">
        <v>19657800</v>
      </c>
      <c r="N25" s="1832" t="s">
        <v>251</v>
      </c>
      <c r="O25" s="1830">
        <v>43628</v>
      </c>
      <c r="P25" s="1830">
        <v>43705</v>
      </c>
      <c r="Q25" s="1830">
        <v>43742</v>
      </c>
      <c r="R25" s="1834" t="s">
        <v>4838</v>
      </c>
      <c r="S25" s="1832"/>
      <c r="T25" s="1835">
        <v>18450000</v>
      </c>
      <c r="U25" s="1835">
        <v>22324500</v>
      </c>
      <c r="V25" s="1475"/>
      <c r="W25" s="1475"/>
      <c r="X25" s="1475"/>
      <c r="Y25" s="1837">
        <v>43745</v>
      </c>
      <c r="Z25" s="1889" t="s">
        <v>5791</v>
      </c>
      <c r="AA25" s="1830">
        <v>43836</v>
      </c>
      <c r="AB25" s="1830">
        <v>43844</v>
      </c>
      <c r="AC25" s="1830">
        <v>46757</v>
      </c>
      <c r="AD25" s="1830">
        <v>44285</v>
      </c>
      <c r="AE25" s="1830">
        <v>44637</v>
      </c>
      <c r="AF25" s="388">
        <v>2022</v>
      </c>
      <c r="AG25" s="388">
        <v>2023</v>
      </c>
      <c r="AH25" s="388">
        <v>2024</v>
      </c>
      <c r="AI25" s="388">
        <v>2025</v>
      </c>
      <c r="AJ25" s="388">
        <v>2026</v>
      </c>
      <c r="AK25" s="388">
        <v>2027</v>
      </c>
      <c r="AL25" s="388" t="s">
        <v>6237</v>
      </c>
    </row>
    <row r="26" spans="1:45" s="1747" customFormat="1" ht="30.75" thickTop="1">
      <c r="A26" s="1931"/>
      <c r="B26" s="1746"/>
      <c r="C26" s="1557">
        <v>43584</v>
      </c>
      <c r="D26" s="1932" t="s">
        <v>4542</v>
      </c>
      <c r="E26" s="859" t="s">
        <v>2434</v>
      </c>
      <c r="F26" s="859" t="s">
        <v>219</v>
      </c>
      <c r="G26" s="1933" t="s">
        <v>4543</v>
      </c>
      <c r="H26" s="859"/>
      <c r="I26" s="1934" t="s">
        <v>6503</v>
      </c>
      <c r="J26" s="859"/>
      <c r="K26" s="859" t="s">
        <v>642</v>
      </c>
      <c r="L26" s="859"/>
      <c r="M26" s="1935">
        <v>57312000</v>
      </c>
      <c r="N26" s="859" t="s">
        <v>251</v>
      </c>
      <c r="O26" s="1557">
        <v>43620</v>
      </c>
      <c r="P26" s="1557">
        <v>43712</v>
      </c>
      <c r="Q26" s="1557">
        <v>43861</v>
      </c>
      <c r="R26" s="1936" t="s">
        <v>6362</v>
      </c>
      <c r="S26" s="859"/>
      <c r="T26" s="1935">
        <v>46048000</v>
      </c>
      <c r="U26" s="1935">
        <v>55718080</v>
      </c>
      <c r="V26" s="1937"/>
      <c r="W26" s="1937"/>
      <c r="X26" s="1937"/>
      <c r="Y26" s="1938">
        <v>43865</v>
      </c>
      <c r="Z26" s="1939" t="s">
        <v>6363</v>
      </c>
      <c r="AA26" s="859"/>
      <c r="AB26" s="1557">
        <v>43928</v>
      </c>
      <c r="AC26" s="1940" t="s">
        <v>6549</v>
      </c>
      <c r="AD26" s="1906" t="s">
        <v>6899</v>
      </c>
      <c r="AE26" s="859"/>
      <c r="AF26" s="6"/>
      <c r="AG26" s="6"/>
      <c r="AH26" s="6"/>
      <c r="AI26" s="6"/>
      <c r="AJ26" s="6"/>
      <c r="AK26" s="6"/>
      <c r="AL26" s="6"/>
      <c r="AM26" s="1746"/>
      <c r="AN26" s="1746"/>
      <c r="AO26" s="1746"/>
      <c r="AP26" s="1746"/>
      <c r="AQ26" s="1746"/>
      <c r="AR26" s="1746"/>
      <c r="AS26" s="1746"/>
    </row>
    <row r="27" spans="1:45">
      <c r="C27" s="537">
        <v>43602</v>
      </c>
      <c r="D27" s="491" t="s">
        <v>4573</v>
      </c>
      <c r="E27" s="491" t="s">
        <v>69</v>
      </c>
      <c r="F27" s="491" t="s">
        <v>70</v>
      </c>
      <c r="G27" s="571" t="s">
        <v>4574</v>
      </c>
      <c r="H27" s="491">
        <v>4</v>
      </c>
      <c r="I27" s="495" t="s">
        <v>4576</v>
      </c>
      <c r="J27" s="491" t="s">
        <v>4577</v>
      </c>
      <c r="K27" s="491" t="s">
        <v>814</v>
      </c>
      <c r="L27" s="491"/>
      <c r="M27" s="536">
        <v>135108</v>
      </c>
      <c r="N27" s="491" t="s">
        <v>251</v>
      </c>
      <c r="O27" s="537">
        <v>43609</v>
      </c>
      <c r="P27" s="537">
        <v>43657</v>
      </c>
      <c r="Q27" s="537">
        <v>43804</v>
      </c>
      <c r="R27" s="495" t="s">
        <v>576</v>
      </c>
      <c r="S27" s="491"/>
      <c r="T27" s="536">
        <v>134452.5</v>
      </c>
      <c r="U27" s="536">
        <f>T27*1.1</f>
        <v>147897.75</v>
      </c>
      <c r="V27" s="1471"/>
      <c r="W27" s="1471"/>
      <c r="X27" s="1471"/>
      <c r="Y27" s="573">
        <v>43805</v>
      </c>
      <c r="Z27" s="536" t="s">
        <v>6097</v>
      </c>
      <c r="AA27" s="537">
        <v>43854</v>
      </c>
      <c r="AB27" s="537">
        <v>43857</v>
      </c>
      <c r="AC27" s="537">
        <v>44584</v>
      </c>
      <c r="AD27" s="537">
        <v>44279</v>
      </c>
      <c r="AE27" s="537">
        <v>44645</v>
      </c>
      <c r="AF27" s="388" t="s">
        <v>6318</v>
      </c>
      <c r="AG27" s="374"/>
    </row>
    <row r="28" spans="1:45">
      <c r="C28" s="537">
        <v>43602</v>
      </c>
      <c r="D28" s="491" t="s">
        <v>4573</v>
      </c>
      <c r="E28" s="491" t="s">
        <v>69</v>
      </c>
      <c r="F28" s="491" t="s">
        <v>70</v>
      </c>
      <c r="G28" s="571" t="s">
        <v>4574</v>
      </c>
      <c r="H28" s="491">
        <v>5</v>
      </c>
      <c r="I28" s="495" t="s">
        <v>4367</v>
      </c>
      <c r="J28" s="491" t="s">
        <v>4368</v>
      </c>
      <c r="K28" s="491" t="s">
        <v>814</v>
      </c>
      <c r="L28" s="491"/>
      <c r="M28" s="536">
        <v>250029</v>
      </c>
      <c r="N28" s="491" t="s">
        <v>251</v>
      </c>
      <c r="O28" s="537">
        <v>43609</v>
      </c>
      <c r="P28" s="537">
        <v>43657</v>
      </c>
      <c r="Q28" s="537">
        <v>43755</v>
      </c>
      <c r="R28" s="495" t="s">
        <v>576</v>
      </c>
      <c r="S28" s="491"/>
      <c r="T28" s="536">
        <v>215896.32000000001</v>
      </c>
      <c r="U28" s="536">
        <v>237485.95</v>
      </c>
      <c r="V28" s="1471"/>
      <c r="W28" s="1471"/>
      <c r="X28" s="1471"/>
      <c r="Y28" s="573">
        <v>43756</v>
      </c>
      <c r="Z28" s="536" t="s">
        <v>5856</v>
      </c>
      <c r="AA28" s="537">
        <v>43836</v>
      </c>
      <c r="AB28" s="537">
        <v>43847</v>
      </c>
      <c r="AC28" s="537">
        <v>44566</v>
      </c>
      <c r="AD28" s="537">
        <v>44279</v>
      </c>
      <c r="AE28" s="537">
        <v>44645</v>
      </c>
      <c r="AF28" s="388" t="s">
        <v>6238</v>
      </c>
      <c r="AG28" s="374"/>
    </row>
    <row r="29" spans="1:45">
      <c r="C29" s="365">
        <v>43602</v>
      </c>
      <c r="D29" s="1397" t="s">
        <v>4628</v>
      </c>
      <c r="E29" s="3210" t="s">
        <v>69</v>
      </c>
      <c r="F29" s="3210" t="s">
        <v>70</v>
      </c>
      <c r="G29" s="175" t="s">
        <v>4578</v>
      </c>
      <c r="H29" s="3210">
        <v>1</v>
      </c>
      <c r="I29" s="3211" t="s">
        <v>4579</v>
      </c>
      <c r="J29" s="3210"/>
      <c r="K29" s="3210" t="s">
        <v>42</v>
      </c>
      <c r="L29" s="3210"/>
      <c r="M29" s="364">
        <v>7800</v>
      </c>
      <c r="N29" s="3210" t="s">
        <v>251</v>
      </c>
      <c r="O29" s="365">
        <v>43630</v>
      </c>
      <c r="P29" s="365">
        <v>43697</v>
      </c>
      <c r="Q29" s="365">
        <v>43816</v>
      </c>
      <c r="R29" s="3211" t="s">
        <v>5639</v>
      </c>
      <c r="S29" s="3210"/>
      <c r="T29" s="364">
        <v>7800</v>
      </c>
      <c r="U29" s="364">
        <v>9438</v>
      </c>
      <c r="V29" s="1473"/>
      <c r="W29" s="1473"/>
      <c r="X29" s="1473"/>
      <c r="Y29" s="681">
        <v>43818</v>
      </c>
      <c r="Z29" s="364" t="s">
        <v>6189</v>
      </c>
      <c r="AA29" s="365">
        <v>43880</v>
      </c>
      <c r="AB29" s="365">
        <v>43894</v>
      </c>
      <c r="AC29" s="365">
        <v>44245</v>
      </c>
      <c r="AD29" s="365">
        <v>44279</v>
      </c>
      <c r="AE29" s="365">
        <v>44645</v>
      </c>
      <c r="AF29" s="374"/>
      <c r="AG29" s="374"/>
    </row>
    <row r="30" spans="1:45">
      <c r="C30" s="537">
        <v>43602</v>
      </c>
      <c r="D30" s="1373" t="s">
        <v>4628</v>
      </c>
      <c r="E30" s="491" t="s">
        <v>69</v>
      </c>
      <c r="F30" s="491" t="s">
        <v>70</v>
      </c>
      <c r="G30" s="571" t="s">
        <v>4578</v>
      </c>
      <c r="H30" s="491">
        <v>3</v>
      </c>
      <c r="I30" s="495" t="s">
        <v>4581</v>
      </c>
      <c r="J30" s="491"/>
      <c r="K30" s="491" t="s">
        <v>42</v>
      </c>
      <c r="L30" s="491"/>
      <c r="M30" s="536">
        <v>519966</v>
      </c>
      <c r="N30" s="491" t="s">
        <v>251</v>
      </c>
      <c r="O30" s="537">
        <v>43630</v>
      </c>
      <c r="P30" s="365">
        <v>43697</v>
      </c>
      <c r="Q30" s="537">
        <v>43816</v>
      </c>
      <c r="R30" s="495" t="s">
        <v>3479</v>
      </c>
      <c r="S30" s="491"/>
      <c r="T30" s="536">
        <v>450000</v>
      </c>
      <c r="U30" s="536">
        <v>544500</v>
      </c>
      <c r="V30" s="1471"/>
      <c r="W30" s="1471"/>
      <c r="X30" s="1471"/>
      <c r="Y30" s="573">
        <v>43818</v>
      </c>
      <c r="Z30" s="536" t="s">
        <v>6190</v>
      </c>
      <c r="AA30" s="537">
        <v>43880</v>
      </c>
      <c r="AB30" s="537">
        <v>43894</v>
      </c>
      <c r="AC30" s="537">
        <v>44245</v>
      </c>
      <c r="AD30" s="537">
        <v>44279</v>
      </c>
      <c r="AE30" s="537">
        <v>44645</v>
      </c>
      <c r="AF30" s="374"/>
      <c r="AG30" s="374"/>
    </row>
    <row r="31" spans="1:45">
      <c r="C31" s="537">
        <v>43602</v>
      </c>
      <c r="D31" s="1373" t="s">
        <v>4628</v>
      </c>
      <c r="E31" s="491" t="s">
        <v>69</v>
      </c>
      <c r="F31" s="491" t="s">
        <v>70</v>
      </c>
      <c r="G31" s="571" t="s">
        <v>4578</v>
      </c>
      <c r="H31" s="491">
        <v>4</v>
      </c>
      <c r="I31" s="495" t="s">
        <v>4582</v>
      </c>
      <c r="J31" s="491"/>
      <c r="K31" s="491" t="s">
        <v>42</v>
      </c>
      <c r="L31" s="491"/>
      <c r="M31" s="536">
        <v>43451</v>
      </c>
      <c r="N31" s="491" t="s">
        <v>251</v>
      </c>
      <c r="O31" s="537">
        <v>43630</v>
      </c>
      <c r="P31" s="365">
        <v>43697</v>
      </c>
      <c r="Q31" s="537">
        <v>43816</v>
      </c>
      <c r="R31" s="495" t="s">
        <v>3479</v>
      </c>
      <c r="S31" s="491"/>
      <c r="T31" s="536">
        <v>43450</v>
      </c>
      <c r="U31" s="536">
        <v>52574.5</v>
      </c>
      <c r="V31" s="1471"/>
      <c r="W31" s="1471"/>
      <c r="X31" s="1471"/>
      <c r="Y31" s="573">
        <v>43818</v>
      </c>
      <c r="Z31" s="536" t="s">
        <v>6191</v>
      </c>
      <c r="AA31" s="537">
        <v>43880</v>
      </c>
      <c r="AB31" s="537">
        <v>43894</v>
      </c>
      <c r="AC31" s="537">
        <v>44245</v>
      </c>
      <c r="AD31" s="537">
        <v>44279</v>
      </c>
      <c r="AE31" s="537">
        <v>44645</v>
      </c>
      <c r="AF31" s="374"/>
      <c r="AG31" s="374"/>
    </row>
    <row r="32" spans="1:45">
      <c r="C32" s="537">
        <v>43602</v>
      </c>
      <c r="D32" s="1373" t="s">
        <v>4628</v>
      </c>
      <c r="E32" s="491" t="s">
        <v>69</v>
      </c>
      <c r="F32" s="491" t="s">
        <v>70</v>
      </c>
      <c r="G32" s="571" t="s">
        <v>4578</v>
      </c>
      <c r="H32" s="491">
        <v>5</v>
      </c>
      <c r="I32" s="495" t="s">
        <v>4583</v>
      </c>
      <c r="J32" s="491"/>
      <c r="K32" s="491" t="s">
        <v>42</v>
      </c>
      <c r="L32" s="491"/>
      <c r="M32" s="536">
        <v>9780</v>
      </c>
      <c r="N32" s="491" t="s">
        <v>251</v>
      </c>
      <c r="O32" s="537">
        <v>43630</v>
      </c>
      <c r="P32" s="365">
        <v>43697</v>
      </c>
      <c r="Q32" s="537">
        <v>43816</v>
      </c>
      <c r="R32" s="495" t="s">
        <v>3479</v>
      </c>
      <c r="S32" s="491"/>
      <c r="T32" s="536">
        <v>9780</v>
      </c>
      <c r="U32" s="536">
        <v>11833.8</v>
      </c>
      <c r="V32" s="1471"/>
      <c r="W32" s="1471"/>
      <c r="X32" s="1471"/>
      <c r="Y32" s="573">
        <v>43818</v>
      </c>
      <c r="Z32" s="536" t="s">
        <v>6192</v>
      </c>
      <c r="AA32" s="537">
        <v>43880</v>
      </c>
      <c r="AB32" s="537">
        <v>43894</v>
      </c>
      <c r="AC32" s="537">
        <v>44245</v>
      </c>
      <c r="AD32" s="537">
        <v>44279</v>
      </c>
      <c r="AE32" s="537">
        <v>44645</v>
      </c>
      <c r="AF32" s="374"/>
      <c r="AG32" s="374"/>
    </row>
    <row r="33" spans="3:33">
      <c r="C33" s="537">
        <v>43602</v>
      </c>
      <c r="D33" s="1373" t="s">
        <v>4628</v>
      </c>
      <c r="E33" s="491" t="s">
        <v>69</v>
      </c>
      <c r="F33" s="491" t="s">
        <v>70</v>
      </c>
      <c r="G33" s="571" t="s">
        <v>4578</v>
      </c>
      <c r="H33" s="491">
        <v>6</v>
      </c>
      <c r="I33" s="495" t="s">
        <v>4584</v>
      </c>
      <c r="J33" s="491"/>
      <c r="K33" s="491" t="s">
        <v>42</v>
      </c>
      <c r="L33" s="491"/>
      <c r="M33" s="536">
        <v>1853</v>
      </c>
      <c r="N33" s="491" t="s">
        <v>251</v>
      </c>
      <c r="O33" s="537">
        <v>43630</v>
      </c>
      <c r="P33" s="365">
        <v>43697</v>
      </c>
      <c r="Q33" s="537">
        <v>43816</v>
      </c>
      <c r="R33" s="495" t="s">
        <v>3479</v>
      </c>
      <c r="S33" s="491"/>
      <c r="T33" s="536">
        <v>1800</v>
      </c>
      <c r="U33" s="536">
        <v>2178</v>
      </c>
      <c r="V33" s="1471"/>
      <c r="W33" s="1471"/>
      <c r="X33" s="1471"/>
      <c r="Y33" s="573">
        <v>43818</v>
      </c>
      <c r="Z33" s="536" t="s">
        <v>6193</v>
      </c>
      <c r="AA33" s="537">
        <v>43880</v>
      </c>
      <c r="AB33" s="537">
        <v>43894</v>
      </c>
      <c r="AC33" s="537">
        <v>44245</v>
      </c>
      <c r="AD33" s="537">
        <v>44279</v>
      </c>
      <c r="AE33" s="537">
        <v>44645</v>
      </c>
      <c r="AF33" s="374"/>
      <c r="AG33" s="374"/>
    </row>
    <row r="34" spans="3:33">
      <c r="C34" s="537">
        <v>43602</v>
      </c>
      <c r="D34" s="1373" t="s">
        <v>4628</v>
      </c>
      <c r="E34" s="491" t="s">
        <v>69</v>
      </c>
      <c r="F34" s="491" t="s">
        <v>70</v>
      </c>
      <c r="G34" s="571" t="s">
        <v>4578</v>
      </c>
      <c r="H34" s="491">
        <v>7</v>
      </c>
      <c r="I34" s="495" t="s">
        <v>4585</v>
      </c>
      <c r="J34" s="491"/>
      <c r="K34" s="491" t="s">
        <v>42</v>
      </c>
      <c r="L34" s="491"/>
      <c r="M34" s="536">
        <v>225101</v>
      </c>
      <c r="N34" s="491" t="s">
        <v>251</v>
      </c>
      <c r="O34" s="537">
        <v>43630</v>
      </c>
      <c r="P34" s="365">
        <v>43697</v>
      </c>
      <c r="Q34" s="537">
        <v>43816</v>
      </c>
      <c r="R34" s="495" t="s">
        <v>5353</v>
      </c>
      <c r="S34" s="491"/>
      <c r="T34" s="536">
        <v>204400</v>
      </c>
      <c r="U34" s="536">
        <v>247324</v>
      </c>
      <c r="V34" s="1471"/>
      <c r="W34" s="1471"/>
      <c r="X34" s="1471"/>
      <c r="Y34" s="573">
        <v>43818</v>
      </c>
      <c r="Z34" s="536" t="s">
        <v>6194</v>
      </c>
      <c r="AA34" s="537">
        <v>43880</v>
      </c>
      <c r="AB34" s="537">
        <v>43894</v>
      </c>
      <c r="AC34" s="537">
        <v>44245</v>
      </c>
      <c r="AD34" s="537">
        <v>44279</v>
      </c>
      <c r="AE34" s="537">
        <v>44645</v>
      </c>
      <c r="AF34" s="374"/>
      <c r="AG34" s="374"/>
    </row>
    <row r="35" spans="3:33">
      <c r="C35" s="537">
        <v>43602</v>
      </c>
      <c r="D35" s="1373" t="s">
        <v>4628</v>
      </c>
      <c r="E35" s="491" t="s">
        <v>69</v>
      </c>
      <c r="F35" s="491" t="s">
        <v>70</v>
      </c>
      <c r="G35" s="571" t="s">
        <v>4578</v>
      </c>
      <c r="H35" s="491">
        <v>9</v>
      </c>
      <c r="I35" s="495" t="s">
        <v>4587</v>
      </c>
      <c r="J35" s="491"/>
      <c r="K35" s="491" t="s">
        <v>42</v>
      </c>
      <c r="L35" s="491"/>
      <c r="M35" s="536">
        <v>160200</v>
      </c>
      <c r="N35" s="491" t="s">
        <v>251</v>
      </c>
      <c r="O35" s="537">
        <v>43630</v>
      </c>
      <c r="P35" s="365">
        <v>43697</v>
      </c>
      <c r="Q35" s="537">
        <v>43816</v>
      </c>
      <c r="R35" s="495" t="s">
        <v>5804</v>
      </c>
      <c r="S35" s="491"/>
      <c r="T35" s="536">
        <v>160200</v>
      </c>
      <c r="U35" s="536">
        <v>193842</v>
      </c>
      <c r="V35" s="1471"/>
      <c r="W35" s="1471"/>
      <c r="X35" s="1471"/>
      <c r="Y35" s="573">
        <v>43818</v>
      </c>
      <c r="Z35" s="536" t="s">
        <v>6196</v>
      </c>
      <c r="AA35" s="537">
        <v>43880</v>
      </c>
      <c r="AB35" s="537">
        <v>43894</v>
      </c>
      <c r="AC35" s="537">
        <v>44245</v>
      </c>
      <c r="AD35" s="537">
        <v>44279</v>
      </c>
      <c r="AE35" s="537">
        <v>44645</v>
      </c>
      <c r="AF35" s="374"/>
      <c r="AG35" s="374"/>
    </row>
    <row r="36" spans="3:33">
      <c r="C36" s="537">
        <v>43602</v>
      </c>
      <c r="D36" s="1373" t="s">
        <v>4628</v>
      </c>
      <c r="E36" s="491" t="s">
        <v>69</v>
      </c>
      <c r="F36" s="491" t="s">
        <v>70</v>
      </c>
      <c r="G36" s="571" t="s">
        <v>4578</v>
      </c>
      <c r="H36" s="491">
        <v>10</v>
      </c>
      <c r="I36" s="495" t="s">
        <v>4588</v>
      </c>
      <c r="J36" s="491"/>
      <c r="K36" s="491" t="s">
        <v>42</v>
      </c>
      <c r="L36" s="491"/>
      <c r="M36" s="536">
        <v>8775</v>
      </c>
      <c r="N36" s="491" t="s">
        <v>251</v>
      </c>
      <c r="O36" s="537">
        <v>43630</v>
      </c>
      <c r="P36" s="365">
        <v>43697</v>
      </c>
      <c r="Q36" s="537">
        <v>43816</v>
      </c>
      <c r="R36" s="495" t="s">
        <v>2066</v>
      </c>
      <c r="S36" s="491"/>
      <c r="T36" s="536">
        <v>8750</v>
      </c>
      <c r="U36" s="536">
        <v>10587.5</v>
      </c>
      <c r="V36" s="1471"/>
      <c r="W36" s="1471"/>
      <c r="X36" s="1471"/>
      <c r="Y36" s="573">
        <v>43818</v>
      </c>
      <c r="Z36" s="536" t="s">
        <v>6197</v>
      </c>
      <c r="AA36" s="537">
        <v>43880</v>
      </c>
      <c r="AB36" s="537">
        <v>43894</v>
      </c>
      <c r="AC36" s="537">
        <v>44245</v>
      </c>
      <c r="AD36" s="537">
        <v>44279</v>
      </c>
      <c r="AE36" s="537">
        <v>44645</v>
      </c>
      <c r="AF36" s="374"/>
      <c r="AG36" s="374"/>
    </row>
    <row r="37" spans="3:33">
      <c r="C37" s="537">
        <v>43602</v>
      </c>
      <c r="D37" s="1373" t="s">
        <v>4628</v>
      </c>
      <c r="E37" s="491" t="s">
        <v>69</v>
      </c>
      <c r="F37" s="491" t="s">
        <v>70</v>
      </c>
      <c r="G37" s="571" t="s">
        <v>4578</v>
      </c>
      <c r="H37" s="491">
        <v>14</v>
      </c>
      <c r="I37" s="495" t="s">
        <v>4592</v>
      </c>
      <c r="J37" s="491"/>
      <c r="K37" s="491" t="s">
        <v>42</v>
      </c>
      <c r="L37" s="491"/>
      <c r="M37" s="536">
        <v>253762</v>
      </c>
      <c r="N37" s="491" t="s">
        <v>251</v>
      </c>
      <c r="O37" s="537">
        <v>43630</v>
      </c>
      <c r="P37" s="365">
        <v>43697</v>
      </c>
      <c r="Q37" s="537">
        <v>43816</v>
      </c>
      <c r="R37" s="495" t="s">
        <v>6117</v>
      </c>
      <c r="S37" s="491"/>
      <c r="T37" s="536">
        <v>242505.8</v>
      </c>
      <c r="U37" s="536">
        <v>293432.02</v>
      </c>
      <c r="V37" s="1471"/>
      <c r="W37" s="1471"/>
      <c r="X37" s="1471"/>
      <c r="Y37" s="573">
        <v>43818</v>
      </c>
      <c r="Z37" s="536" t="s">
        <v>6198</v>
      </c>
      <c r="AA37" s="537">
        <v>43880</v>
      </c>
      <c r="AB37" s="537">
        <v>43894</v>
      </c>
      <c r="AC37" s="537">
        <v>44245</v>
      </c>
      <c r="AD37" s="537">
        <v>44279</v>
      </c>
      <c r="AE37" s="537">
        <v>44645</v>
      </c>
      <c r="AF37" s="374"/>
      <c r="AG37" s="374"/>
    </row>
    <row r="38" spans="3:33" ht="15.75" thickBot="1">
      <c r="C38" s="537">
        <v>43602</v>
      </c>
      <c r="D38" s="1373" t="s">
        <v>4628</v>
      </c>
      <c r="E38" s="491" t="s">
        <v>69</v>
      </c>
      <c r="F38" s="491" t="s">
        <v>70</v>
      </c>
      <c r="G38" s="571" t="s">
        <v>4578</v>
      </c>
      <c r="H38" s="491">
        <v>15</v>
      </c>
      <c r="I38" s="495" t="s">
        <v>4593</v>
      </c>
      <c r="J38" s="491"/>
      <c r="K38" s="491" t="s">
        <v>42</v>
      </c>
      <c r="L38" s="491"/>
      <c r="M38" s="536">
        <v>1070340</v>
      </c>
      <c r="N38" s="491" t="s">
        <v>251</v>
      </c>
      <c r="O38" s="537">
        <v>43630</v>
      </c>
      <c r="P38" s="365">
        <v>43697</v>
      </c>
      <c r="Q38" s="537">
        <v>43816</v>
      </c>
      <c r="R38" s="495" t="s">
        <v>3107</v>
      </c>
      <c r="S38" s="491"/>
      <c r="T38" s="536">
        <v>1023157.5</v>
      </c>
      <c r="U38" s="536">
        <v>1238020.58</v>
      </c>
      <c r="V38" s="1471"/>
      <c r="W38" s="1471"/>
      <c r="X38" s="1471"/>
      <c r="Y38" s="573">
        <v>43818</v>
      </c>
      <c r="Z38" s="536" t="s">
        <v>6199</v>
      </c>
      <c r="AA38" s="537">
        <v>43880</v>
      </c>
      <c r="AB38" s="537">
        <v>43894</v>
      </c>
      <c r="AC38" s="537">
        <v>44245</v>
      </c>
      <c r="AD38" s="537">
        <v>44279</v>
      </c>
      <c r="AE38" s="537">
        <v>44645</v>
      </c>
      <c r="AF38" s="374"/>
      <c r="AG38" s="374"/>
    </row>
    <row r="39" spans="3:33" ht="15.75" thickTop="1">
      <c r="C39" s="474">
        <v>43602</v>
      </c>
      <c r="D39" s="453" t="s">
        <v>4636</v>
      </c>
      <c r="E39" s="453" t="s">
        <v>69</v>
      </c>
      <c r="F39" s="453" t="s">
        <v>70</v>
      </c>
      <c r="G39" s="473" t="s">
        <v>4617</v>
      </c>
      <c r="H39" s="453">
        <v>1</v>
      </c>
      <c r="I39" s="1420" t="s">
        <v>4640</v>
      </c>
      <c r="J39" s="453"/>
      <c r="K39" s="453" t="s">
        <v>42</v>
      </c>
      <c r="L39" s="453"/>
      <c r="M39" s="457">
        <v>2903053</v>
      </c>
      <c r="N39" s="453" t="s">
        <v>251</v>
      </c>
      <c r="O39" s="474">
        <v>43620</v>
      </c>
      <c r="P39" s="474">
        <v>43689</v>
      </c>
      <c r="Q39" s="474">
        <v>43818</v>
      </c>
      <c r="R39" s="1420" t="s">
        <v>5979</v>
      </c>
      <c r="S39" s="453"/>
      <c r="T39" s="457">
        <v>2903040</v>
      </c>
      <c r="U39" s="457">
        <v>3512678.3999999999</v>
      </c>
      <c r="V39" s="1474"/>
      <c r="W39" s="1474"/>
      <c r="X39" s="1474"/>
      <c r="Y39" s="570">
        <v>43819</v>
      </c>
      <c r="Z39" s="457" t="s">
        <v>6201</v>
      </c>
      <c r="AA39" s="474">
        <v>43886</v>
      </c>
      <c r="AB39" s="474">
        <v>43900</v>
      </c>
      <c r="AC39" s="474">
        <v>44251</v>
      </c>
      <c r="AD39" s="474">
        <v>44279</v>
      </c>
      <c r="AE39" s="474">
        <v>44645</v>
      </c>
      <c r="AF39" s="374"/>
      <c r="AG39" s="374"/>
    </row>
    <row r="40" spans="3:33">
      <c r="C40" s="537">
        <v>43602</v>
      </c>
      <c r="D40" s="491" t="s">
        <v>4636</v>
      </c>
      <c r="E40" s="491" t="s">
        <v>69</v>
      </c>
      <c r="F40" s="491" t="s">
        <v>70</v>
      </c>
      <c r="G40" s="571" t="s">
        <v>4617</v>
      </c>
      <c r="H40" s="491">
        <v>3</v>
      </c>
      <c r="I40" s="495" t="s">
        <v>4642</v>
      </c>
      <c r="J40" s="491"/>
      <c r="K40" s="491" t="s">
        <v>42</v>
      </c>
      <c r="L40" s="491"/>
      <c r="M40" s="536">
        <v>285400</v>
      </c>
      <c r="N40" s="491" t="s">
        <v>251</v>
      </c>
      <c r="O40" s="537">
        <v>43620</v>
      </c>
      <c r="P40" s="537">
        <v>43689</v>
      </c>
      <c r="Q40" s="537">
        <v>43818</v>
      </c>
      <c r="R40" s="495" t="s">
        <v>1319</v>
      </c>
      <c r="S40" s="491"/>
      <c r="T40" s="536">
        <v>285400</v>
      </c>
      <c r="U40" s="536">
        <v>345334</v>
      </c>
      <c r="V40" s="1471"/>
      <c r="W40" s="1471"/>
      <c r="X40" s="1471"/>
      <c r="Y40" s="573">
        <v>43819</v>
      </c>
      <c r="Z40" s="536" t="s">
        <v>6202</v>
      </c>
      <c r="AA40" s="537">
        <v>43886</v>
      </c>
      <c r="AB40" s="537">
        <v>43900</v>
      </c>
      <c r="AC40" s="537">
        <v>44251</v>
      </c>
      <c r="AD40" s="491" t="s">
        <v>8483</v>
      </c>
      <c r="AE40" s="537">
        <v>44645</v>
      </c>
      <c r="AF40" s="374"/>
      <c r="AG40" s="374"/>
    </row>
    <row r="41" spans="3:33">
      <c r="C41" s="537">
        <v>43602</v>
      </c>
      <c r="D41" s="491" t="s">
        <v>4636</v>
      </c>
      <c r="E41" s="491" t="s">
        <v>69</v>
      </c>
      <c r="F41" s="491" t="s">
        <v>70</v>
      </c>
      <c r="G41" s="571" t="s">
        <v>4617</v>
      </c>
      <c r="H41" s="491">
        <v>5</v>
      </c>
      <c r="I41" s="495" t="s">
        <v>4644</v>
      </c>
      <c r="J41" s="491"/>
      <c r="K41" s="491" t="s">
        <v>42</v>
      </c>
      <c r="L41" s="491"/>
      <c r="M41" s="536">
        <v>372050</v>
      </c>
      <c r="N41" s="491" t="s">
        <v>251</v>
      </c>
      <c r="O41" s="537">
        <v>43620</v>
      </c>
      <c r="P41" s="537">
        <v>43689</v>
      </c>
      <c r="Q41" s="537">
        <v>43818</v>
      </c>
      <c r="R41" s="495" t="s">
        <v>4857</v>
      </c>
      <c r="S41" s="491"/>
      <c r="T41" s="536">
        <v>237646.8</v>
      </c>
      <c r="U41" s="536">
        <v>287552.63</v>
      </c>
      <c r="V41" s="1471"/>
      <c r="W41" s="1471"/>
      <c r="X41" s="1471"/>
      <c r="Y41" s="573">
        <v>43819</v>
      </c>
      <c r="Z41" s="536" t="s">
        <v>6203</v>
      </c>
      <c r="AA41" s="537">
        <v>43886</v>
      </c>
      <c r="AB41" s="537">
        <v>43900</v>
      </c>
      <c r="AC41" s="537">
        <v>44251</v>
      </c>
      <c r="AD41" s="491" t="s">
        <v>8483</v>
      </c>
      <c r="AE41" s="537">
        <v>44645</v>
      </c>
      <c r="AF41" s="374"/>
      <c r="AG41" s="374"/>
    </row>
    <row r="42" spans="3:33">
      <c r="C42" s="537">
        <v>43602</v>
      </c>
      <c r="D42" s="491" t="s">
        <v>4636</v>
      </c>
      <c r="E42" s="491" t="s">
        <v>69</v>
      </c>
      <c r="F42" s="491" t="s">
        <v>70</v>
      </c>
      <c r="G42" s="571" t="s">
        <v>4617</v>
      </c>
      <c r="H42" s="491">
        <v>7</v>
      </c>
      <c r="I42" s="495" t="s">
        <v>4646</v>
      </c>
      <c r="J42" s="491"/>
      <c r="K42" s="491" t="s">
        <v>42</v>
      </c>
      <c r="L42" s="491"/>
      <c r="M42" s="536">
        <v>916955</v>
      </c>
      <c r="N42" s="491" t="s">
        <v>251</v>
      </c>
      <c r="O42" s="537">
        <v>43620</v>
      </c>
      <c r="P42" s="537">
        <v>43689</v>
      </c>
      <c r="Q42" s="537">
        <v>43818</v>
      </c>
      <c r="R42" s="495" t="s">
        <v>6117</v>
      </c>
      <c r="S42" s="491"/>
      <c r="T42" s="536">
        <v>906965.5</v>
      </c>
      <c r="U42" s="536">
        <v>1097428.26</v>
      </c>
      <c r="V42" s="1471"/>
      <c r="W42" s="1471"/>
      <c r="X42" s="1471"/>
      <c r="Y42" s="573">
        <v>43819</v>
      </c>
      <c r="Z42" s="536" t="s">
        <v>6204</v>
      </c>
      <c r="AA42" s="537">
        <v>43886</v>
      </c>
      <c r="AB42" s="537">
        <v>43900</v>
      </c>
      <c r="AC42" s="537">
        <v>44251</v>
      </c>
      <c r="AD42" s="537">
        <v>44279</v>
      </c>
      <c r="AE42" s="537">
        <v>44645</v>
      </c>
      <c r="AF42" s="374"/>
      <c r="AG42" s="374"/>
    </row>
    <row r="43" spans="3:33" ht="15.75" thickBot="1">
      <c r="C43" s="1380">
        <v>43602</v>
      </c>
      <c r="D43" s="1376" t="s">
        <v>4636</v>
      </c>
      <c r="E43" s="1376" t="s">
        <v>69</v>
      </c>
      <c r="F43" s="1376" t="s">
        <v>70</v>
      </c>
      <c r="G43" s="1378" t="s">
        <v>4617</v>
      </c>
      <c r="H43" s="1376">
        <v>8</v>
      </c>
      <c r="I43" s="1421" t="s">
        <v>4647</v>
      </c>
      <c r="J43" s="1376"/>
      <c r="K43" s="1376" t="s">
        <v>42</v>
      </c>
      <c r="L43" s="1376"/>
      <c r="M43" s="1379">
        <v>2769329</v>
      </c>
      <c r="N43" s="1376" t="s">
        <v>251</v>
      </c>
      <c r="O43" s="1380">
        <v>43620</v>
      </c>
      <c r="P43" s="1380">
        <v>43689</v>
      </c>
      <c r="Q43" s="1380">
        <v>43818</v>
      </c>
      <c r="R43" s="1421" t="s">
        <v>6173</v>
      </c>
      <c r="S43" s="1376"/>
      <c r="T43" s="1379">
        <v>2723403.66</v>
      </c>
      <c r="U43" s="1379">
        <v>3295318.43</v>
      </c>
      <c r="V43" s="1475"/>
      <c r="W43" s="1475"/>
      <c r="X43" s="1475"/>
      <c r="Y43" s="1388">
        <v>43819</v>
      </c>
      <c r="Z43" s="1379" t="s">
        <v>6205</v>
      </c>
      <c r="AA43" s="1380">
        <v>43886</v>
      </c>
      <c r="AB43" s="1380">
        <v>43900</v>
      </c>
      <c r="AC43" s="1380">
        <v>44251</v>
      </c>
      <c r="AD43" s="1380">
        <v>44279</v>
      </c>
      <c r="AE43" s="1380">
        <v>44645</v>
      </c>
      <c r="AF43" s="374"/>
      <c r="AG43" s="374"/>
    </row>
    <row r="44" spans="3:33" ht="15.75" thickTop="1">
      <c r="C44" s="474">
        <v>43602</v>
      </c>
      <c r="D44" s="453" t="s">
        <v>4638</v>
      </c>
      <c r="E44" s="453" t="s">
        <v>69</v>
      </c>
      <c r="F44" s="453" t="s">
        <v>70</v>
      </c>
      <c r="G44" s="473" t="s">
        <v>4665</v>
      </c>
      <c r="H44" s="453">
        <v>1</v>
      </c>
      <c r="I44" s="1420" t="s">
        <v>4650</v>
      </c>
      <c r="J44" s="453"/>
      <c r="K44" s="453" t="s">
        <v>42</v>
      </c>
      <c r="L44" s="453"/>
      <c r="M44" s="457">
        <v>182310</v>
      </c>
      <c r="N44" s="453" t="s">
        <v>251</v>
      </c>
      <c r="O44" s="474">
        <v>43621</v>
      </c>
      <c r="P44" s="474">
        <v>43706</v>
      </c>
      <c r="Q44" s="474">
        <v>43844</v>
      </c>
      <c r="R44" s="1420" t="s">
        <v>6518</v>
      </c>
      <c r="S44" s="453"/>
      <c r="T44" s="457">
        <v>182306.4</v>
      </c>
      <c r="U44" s="457">
        <v>220590.74</v>
      </c>
      <c r="V44" s="1474"/>
      <c r="W44" s="1474"/>
      <c r="X44" s="1474"/>
      <c r="Y44" s="570">
        <v>43845</v>
      </c>
      <c r="Z44" s="457" t="s">
        <v>6272</v>
      </c>
      <c r="AA44" s="474">
        <v>43887</v>
      </c>
      <c r="AB44" s="474">
        <v>43900</v>
      </c>
      <c r="AC44" s="474">
        <v>44252</v>
      </c>
      <c r="AD44" s="474">
        <v>44279</v>
      </c>
      <c r="AE44" s="474">
        <v>44645</v>
      </c>
      <c r="AF44" s="374"/>
      <c r="AG44" s="374"/>
    </row>
    <row r="45" spans="3:33">
      <c r="C45" s="537">
        <v>43602</v>
      </c>
      <c r="D45" s="491" t="s">
        <v>4638</v>
      </c>
      <c r="E45" s="491" t="s">
        <v>69</v>
      </c>
      <c r="F45" s="491" t="s">
        <v>70</v>
      </c>
      <c r="G45" s="571" t="s">
        <v>4665</v>
      </c>
      <c r="H45" s="491">
        <v>2</v>
      </c>
      <c r="I45" s="495" t="s">
        <v>4651</v>
      </c>
      <c r="J45" s="491"/>
      <c r="K45" s="491" t="s">
        <v>42</v>
      </c>
      <c r="L45" s="491"/>
      <c r="M45" s="536">
        <v>291206</v>
      </c>
      <c r="N45" s="491" t="s">
        <v>251</v>
      </c>
      <c r="O45" s="537">
        <v>43621</v>
      </c>
      <c r="P45" s="537">
        <v>43706</v>
      </c>
      <c r="Q45" s="537">
        <v>43844</v>
      </c>
      <c r="R45" s="495" t="s">
        <v>2066</v>
      </c>
      <c r="S45" s="491"/>
      <c r="T45" s="536">
        <v>280887</v>
      </c>
      <c r="U45" s="536">
        <v>339873.27</v>
      </c>
      <c r="V45" s="1471"/>
      <c r="W45" s="1471"/>
      <c r="X45" s="1471"/>
      <c r="Y45" s="573">
        <v>43845</v>
      </c>
      <c r="Z45" s="536" t="s">
        <v>6273</v>
      </c>
      <c r="AA45" s="537">
        <v>43887</v>
      </c>
      <c r="AB45" s="537">
        <v>43900</v>
      </c>
      <c r="AC45" s="537">
        <v>44252</v>
      </c>
      <c r="AD45" s="537">
        <v>44279</v>
      </c>
      <c r="AE45" s="537">
        <v>44645</v>
      </c>
      <c r="AF45" s="374"/>
      <c r="AG45" s="374"/>
    </row>
    <row r="46" spans="3:33">
      <c r="C46" s="537">
        <v>43602</v>
      </c>
      <c r="D46" s="491" t="s">
        <v>4638</v>
      </c>
      <c r="E46" s="491" t="s">
        <v>69</v>
      </c>
      <c r="F46" s="491" t="s">
        <v>70</v>
      </c>
      <c r="G46" s="571" t="s">
        <v>4665</v>
      </c>
      <c r="H46" s="491">
        <v>3</v>
      </c>
      <c r="I46" s="495" t="s">
        <v>4652</v>
      </c>
      <c r="J46" s="491"/>
      <c r="K46" s="491" t="s">
        <v>42</v>
      </c>
      <c r="L46" s="491"/>
      <c r="M46" s="536">
        <v>12360</v>
      </c>
      <c r="N46" s="491" t="s">
        <v>251</v>
      </c>
      <c r="O46" s="537">
        <v>43621</v>
      </c>
      <c r="P46" s="537">
        <v>43706</v>
      </c>
      <c r="Q46" s="537">
        <v>43844</v>
      </c>
      <c r="R46" s="495" t="s">
        <v>6242</v>
      </c>
      <c r="S46" s="491"/>
      <c r="T46" s="536">
        <v>12355</v>
      </c>
      <c r="U46" s="536">
        <v>14949.55</v>
      </c>
      <c r="V46" s="1471"/>
      <c r="W46" s="1471"/>
      <c r="X46" s="1471"/>
      <c r="Y46" s="573">
        <v>43845</v>
      </c>
      <c r="Z46" s="536" t="s">
        <v>6274</v>
      </c>
      <c r="AA46" s="537">
        <v>43887</v>
      </c>
      <c r="AB46" s="537">
        <v>43900</v>
      </c>
      <c r="AC46" s="537">
        <v>44252</v>
      </c>
      <c r="AD46" s="537">
        <v>44279</v>
      </c>
      <c r="AE46" s="537">
        <v>44645</v>
      </c>
      <c r="AF46" s="374"/>
      <c r="AG46" s="374"/>
    </row>
    <row r="47" spans="3:33">
      <c r="C47" s="537">
        <v>43602</v>
      </c>
      <c r="D47" s="491" t="s">
        <v>4638</v>
      </c>
      <c r="E47" s="491" t="s">
        <v>69</v>
      </c>
      <c r="F47" s="491" t="s">
        <v>70</v>
      </c>
      <c r="G47" s="571" t="s">
        <v>4665</v>
      </c>
      <c r="H47" s="491">
        <v>4</v>
      </c>
      <c r="I47" s="495" t="s">
        <v>4653</v>
      </c>
      <c r="J47" s="491"/>
      <c r="K47" s="491" t="s">
        <v>42</v>
      </c>
      <c r="L47" s="491"/>
      <c r="M47" s="536">
        <v>409529</v>
      </c>
      <c r="N47" s="491" t="s">
        <v>251</v>
      </c>
      <c r="O47" s="537">
        <v>43621</v>
      </c>
      <c r="P47" s="537">
        <v>43706</v>
      </c>
      <c r="Q47" s="537">
        <v>43844</v>
      </c>
      <c r="R47" s="495" t="s">
        <v>6131</v>
      </c>
      <c r="S47" s="491"/>
      <c r="T47" s="536">
        <v>377920</v>
      </c>
      <c r="U47" s="536">
        <v>457283.2</v>
      </c>
      <c r="V47" s="1471"/>
      <c r="W47" s="1471"/>
      <c r="X47" s="1471"/>
      <c r="Y47" s="573">
        <v>43845</v>
      </c>
      <c r="Z47" s="536" t="s">
        <v>6275</v>
      </c>
      <c r="AA47" s="537">
        <v>43887</v>
      </c>
      <c r="AB47" s="537">
        <v>43900</v>
      </c>
      <c r="AC47" s="537">
        <v>44252</v>
      </c>
      <c r="AD47" s="537">
        <v>44279</v>
      </c>
      <c r="AE47" s="537">
        <v>44645</v>
      </c>
      <c r="AF47" s="374"/>
      <c r="AG47" s="374"/>
    </row>
    <row r="48" spans="3:33">
      <c r="C48" s="537">
        <v>43602</v>
      </c>
      <c r="D48" s="491" t="s">
        <v>4638</v>
      </c>
      <c r="E48" s="491" t="s">
        <v>69</v>
      </c>
      <c r="F48" s="491" t="s">
        <v>70</v>
      </c>
      <c r="G48" s="571" t="s">
        <v>4665</v>
      </c>
      <c r="H48" s="491">
        <v>5</v>
      </c>
      <c r="I48" s="495" t="s">
        <v>4654</v>
      </c>
      <c r="J48" s="491"/>
      <c r="K48" s="491" t="s">
        <v>42</v>
      </c>
      <c r="L48" s="491"/>
      <c r="M48" s="536">
        <v>379509</v>
      </c>
      <c r="N48" s="491" t="s">
        <v>251</v>
      </c>
      <c r="O48" s="537">
        <v>43621</v>
      </c>
      <c r="P48" s="537">
        <v>43706</v>
      </c>
      <c r="Q48" s="537">
        <v>43844</v>
      </c>
      <c r="R48" s="495" t="s">
        <v>6243</v>
      </c>
      <c r="S48" s="491"/>
      <c r="T48" s="536">
        <v>354775.75</v>
      </c>
      <c r="U48" s="536">
        <v>429278.66</v>
      </c>
      <c r="V48" s="1471"/>
      <c r="W48" s="1471"/>
      <c r="X48" s="1471"/>
      <c r="Y48" s="573">
        <v>43845</v>
      </c>
      <c r="Z48" s="536" t="s">
        <v>6276</v>
      </c>
      <c r="AA48" s="537">
        <v>43887</v>
      </c>
      <c r="AB48" s="537">
        <v>43900</v>
      </c>
      <c r="AC48" s="537">
        <v>44252</v>
      </c>
      <c r="AD48" s="537">
        <v>44279</v>
      </c>
      <c r="AE48" s="537">
        <v>44645</v>
      </c>
      <c r="AF48" s="374"/>
      <c r="AG48" s="374"/>
    </row>
    <row r="49" spans="3:33">
      <c r="C49" s="537">
        <v>43602</v>
      </c>
      <c r="D49" s="491" t="s">
        <v>4638</v>
      </c>
      <c r="E49" s="491" t="s">
        <v>69</v>
      </c>
      <c r="F49" s="491" t="s">
        <v>70</v>
      </c>
      <c r="G49" s="571" t="s">
        <v>4665</v>
      </c>
      <c r="H49" s="491">
        <v>6</v>
      </c>
      <c r="I49" s="495" t="s">
        <v>4655</v>
      </c>
      <c r="J49" s="491"/>
      <c r="K49" s="491" t="s">
        <v>42</v>
      </c>
      <c r="L49" s="491"/>
      <c r="M49" s="536">
        <v>162467</v>
      </c>
      <c r="N49" s="491" t="s">
        <v>251</v>
      </c>
      <c r="O49" s="537">
        <v>43621</v>
      </c>
      <c r="P49" s="537">
        <v>43706</v>
      </c>
      <c r="Q49" s="537">
        <v>43844</v>
      </c>
      <c r="R49" s="495" t="s">
        <v>6173</v>
      </c>
      <c r="S49" s="491"/>
      <c r="T49" s="536">
        <v>159480.6</v>
      </c>
      <c r="U49" s="536">
        <v>192971.53</v>
      </c>
      <c r="V49" s="1471"/>
      <c r="W49" s="1471"/>
      <c r="X49" s="1471"/>
      <c r="Y49" s="573">
        <v>43845</v>
      </c>
      <c r="Z49" s="536" t="s">
        <v>6278</v>
      </c>
      <c r="AA49" s="537">
        <v>43887</v>
      </c>
      <c r="AB49" s="537">
        <v>43900</v>
      </c>
      <c r="AC49" s="537">
        <v>44252</v>
      </c>
      <c r="AD49" s="537">
        <v>44279</v>
      </c>
      <c r="AE49" s="537">
        <v>44645</v>
      </c>
      <c r="AF49" s="374"/>
      <c r="AG49" s="374"/>
    </row>
    <row r="50" spans="3:33">
      <c r="C50" s="537">
        <v>43602</v>
      </c>
      <c r="D50" s="491" t="s">
        <v>4638</v>
      </c>
      <c r="E50" s="491" t="s">
        <v>69</v>
      </c>
      <c r="F50" s="491" t="s">
        <v>70</v>
      </c>
      <c r="G50" s="571" t="s">
        <v>4665</v>
      </c>
      <c r="H50" s="491">
        <v>8</v>
      </c>
      <c r="I50" s="495" t="s">
        <v>4657</v>
      </c>
      <c r="J50" s="491"/>
      <c r="K50" s="491" t="s">
        <v>42</v>
      </c>
      <c r="L50" s="491"/>
      <c r="M50" s="536">
        <v>202652</v>
      </c>
      <c r="N50" s="491" t="s">
        <v>251</v>
      </c>
      <c r="O50" s="537">
        <v>43621</v>
      </c>
      <c r="P50" s="537">
        <v>43706</v>
      </c>
      <c r="Q50" s="537">
        <v>43844</v>
      </c>
      <c r="R50" s="495" t="s">
        <v>6244</v>
      </c>
      <c r="S50" s="491"/>
      <c r="T50" s="536">
        <v>193451</v>
      </c>
      <c r="U50" s="536">
        <v>234075.71</v>
      </c>
      <c r="V50" s="1471"/>
      <c r="W50" s="1471"/>
      <c r="X50" s="1471"/>
      <c r="Y50" s="573">
        <v>43845</v>
      </c>
      <c r="Z50" s="536" t="s">
        <v>6280</v>
      </c>
      <c r="AA50" s="537">
        <v>43887</v>
      </c>
      <c r="AB50" s="537">
        <v>43900</v>
      </c>
      <c r="AC50" s="537">
        <v>44252</v>
      </c>
      <c r="AD50" s="537">
        <v>44279</v>
      </c>
      <c r="AE50" s="537">
        <v>44645</v>
      </c>
      <c r="AF50" s="374"/>
      <c r="AG50" s="374"/>
    </row>
    <row r="51" spans="3:33">
      <c r="C51" s="537">
        <v>43602</v>
      </c>
      <c r="D51" s="491" t="s">
        <v>4638</v>
      </c>
      <c r="E51" s="491" t="s">
        <v>69</v>
      </c>
      <c r="F51" s="491" t="s">
        <v>70</v>
      </c>
      <c r="G51" s="571" t="s">
        <v>4665</v>
      </c>
      <c r="H51" s="491">
        <v>9</v>
      </c>
      <c r="I51" s="495" t="s">
        <v>4658</v>
      </c>
      <c r="J51" s="491"/>
      <c r="K51" s="491" t="s">
        <v>42</v>
      </c>
      <c r="L51" s="491"/>
      <c r="M51" s="536">
        <v>601611</v>
      </c>
      <c r="N51" s="491" t="s">
        <v>251</v>
      </c>
      <c r="O51" s="537">
        <v>43621</v>
      </c>
      <c r="P51" s="537">
        <v>43706</v>
      </c>
      <c r="Q51" s="537">
        <v>43844</v>
      </c>
      <c r="R51" s="495" t="s">
        <v>6242</v>
      </c>
      <c r="S51" s="491"/>
      <c r="T51" s="536">
        <v>600024</v>
      </c>
      <c r="U51" s="536">
        <v>726029.04</v>
      </c>
      <c r="V51" s="1471"/>
      <c r="W51" s="1471"/>
      <c r="X51" s="1471"/>
      <c r="Y51" s="573">
        <v>43845</v>
      </c>
      <c r="Z51" s="536" t="s">
        <v>6282</v>
      </c>
      <c r="AA51" s="537">
        <v>43887</v>
      </c>
      <c r="AB51" s="537">
        <v>43900</v>
      </c>
      <c r="AC51" s="537">
        <v>44252</v>
      </c>
      <c r="AD51" s="537" t="s">
        <v>8483</v>
      </c>
      <c r="AE51" s="537">
        <v>44645</v>
      </c>
      <c r="AF51" s="374"/>
      <c r="AG51" s="374"/>
    </row>
    <row r="52" spans="3:33">
      <c r="C52" s="537">
        <v>43602</v>
      </c>
      <c r="D52" s="491" t="s">
        <v>4638</v>
      </c>
      <c r="E52" s="491" t="s">
        <v>69</v>
      </c>
      <c r="F52" s="491" t="s">
        <v>70</v>
      </c>
      <c r="G52" s="571" t="s">
        <v>4665</v>
      </c>
      <c r="H52" s="491">
        <v>10</v>
      </c>
      <c r="I52" s="495" t="s">
        <v>4659</v>
      </c>
      <c r="J52" s="491"/>
      <c r="K52" s="491" t="s">
        <v>42</v>
      </c>
      <c r="L52" s="491"/>
      <c r="M52" s="536">
        <v>253696</v>
      </c>
      <c r="N52" s="491" t="s">
        <v>251</v>
      </c>
      <c r="O52" s="537">
        <v>43621</v>
      </c>
      <c r="P52" s="537">
        <v>43706</v>
      </c>
      <c r="Q52" s="537">
        <v>43844</v>
      </c>
      <c r="R52" s="495" t="s">
        <v>6173</v>
      </c>
      <c r="S52" s="491"/>
      <c r="T52" s="536">
        <v>253671.2</v>
      </c>
      <c r="U52" s="536">
        <v>306942.15000000002</v>
      </c>
      <c r="V52" s="1471"/>
      <c r="W52" s="1471"/>
      <c r="X52" s="1471"/>
      <c r="Y52" s="573">
        <v>43845</v>
      </c>
      <c r="Z52" s="536" t="s">
        <v>6283</v>
      </c>
      <c r="AA52" s="537">
        <v>43887</v>
      </c>
      <c r="AB52" s="537">
        <v>43900</v>
      </c>
      <c r="AC52" s="537">
        <v>44252</v>
      </c>
      <c r="AD52" s="537">
        <v>44279</v>
      </c>
      <c r="AE52" s="537">
        <v>44645</v>
      </c>
      <c r="AF52" s="374"/>
      <c r="AG52" s="374"/>
    </row>
    <row r="53" spans="3:33">
      <c r="C53" s="537">
        <v>43602</v>
      </c>
      <c r="D53" s="491" t="s">
        <v>4638</v>
      </c>
      <c r="E53" s="491" t="s">
        <v>69</v>
      </c>
      <c r="F53" s="491" t="s">
        <v>70</v>
      </c>
      <c r="G53" s="571" t="s">
        <v>4665</v>
      </c>
      <c r="H53" s="491">
        <v>11</v>
      </c>
      <c r="I53" s="495" t="s">
        <v>4660</v>
      </c>
      <c r="J53" s="491"/>
      <c r="K53" s="491" t="s">
        <v>42</v>
      </c>
      <c r="L53" s="491"/>
      <c r="M53" s="536">
        <v>434935</v>
      </c>
      <c r="N53" s="491" t="s">
        <v>251</v>
      </c>
      <c r="O53" s="537">
        <v>43621</v>
      </c>
      <c r="P53" s="537">
        <v>43706</v>
      </c>
      <c r="Q53" s="537">
        <v>43844</v>
      </c>
      <c r="R53" s="495" t="s">
        <v>5332</v>
      </c>
      <c r="S53" s="491"/>
      <c r="T53" s="536">
        <v>428961</v>
      </c>
      <c r="U53" s="536">
        <v>519042.81</v>
      </c>
      <c r="V53" s="1471"/>
      <c r="W53" s="1471"/>
      <c r="X53" s="1471"/>
      <c r="Y53" s="573">
        <v>43845</v>
      </c>
      <c r="Z53" s="536" t="s">
        <v>6284</v>
      </c>
      <c r="AA53" s="537">
        <v>43887</v>
      </c>
      <c r="AB53" s="537">
        <v>43900</v>
      </c>
      <c r="AC53" s="537">
        <v>44252</v>
      </c>
      <c r="AD53" s="537">
        <v>44279</v>
      </c>
      <c r="AE53" s="537">
        <v>44645</v>
      </c>
      <c r="AF53" s="374"/>
      <c r="AG53" s="374"/>
    </row>
    <row r="54" spans="3:33">
      <c r="C54" s="537">
        <v>43602</v>
      </c>
      <c r="D54" s="491" t="s">
        <v>4638</v>
      </c>
      <c r="E54" s="491" t="s">
        <v>69</v>
      </c>
      <c r="F54" s="491" t="s">
        <v>70</v>
      </c>
      <c r="G54" s="571" t="s">
        <v>4665</v>
      </c>
      <c r="H54" s="491">
        <v>12</v>
      </c>
      <c r="I54" s="495" t="s">
        <v>4661</v>
      </c>
      <c r="J54" s="491"/>
      <c r="K54" s="491" t="s">
        <v>42</v>
      </c>
      <c r="L54" s="491"/>
      <c r="M54" s="536">
        <v>918481</v>
      </c>
      <c r="N54" s="491" t="s">
        <v>251</v>
      </c>
      <c r="O54" s="537">
        <v>43621</v>
      </c>
      <c r="P54" s="537">
        <v>43706</v>
      </c>
      <c r="Q54" s="537">
        <v>43844</v>
      </c>
      <c r="R54" s="495" t="s">
        <v>4857</v>
      </c>
      <c r="S54" s="491"/>
      <c r="T54" s="536">
        <v>813050</v>
      </c>
      <c r="U54" s="536">
        <v>983790.5</v>
      </c>
      <c r="V54" s="1471"/>
      <c r="W54" s="1471"/>
      <c r="X54" s="1471"/>
      <c r="Y54" s="573">
        <v>43845</v>
      </c>
      <c r="Z54" s="536" t="s">
        <v>6285</v>
      </c>
      <c r="AA54" s="537">
        <v>43887</v>
      </c>
      <c r="AB54" s="537">
        <v>43900</v>
      </c>
      <c r="AC54" s="537">
        <v>44252</v>
      </c>
      <c r="AD54" s="537">
        <v>44279</v>
      </c>
      <c r="AE54" s="537">
        <v>44645</v>
      </c>
      <c r="AF54" s="374"/>
      <c r="AG54" s="374"/>
    </row>
    <row r="55" spans="3:33">
      <c r="C55" s="537">
        <v>43602</v>
      </c>
      <c r="D55" s="491" t="s">
        <v>4638</v>
      </c>
      <c r="E55" s="491" t="s">
        <v>69</v>
      </c>
      <c r="F55" s="491" t="s">
        <v>70</v>
      </c>
      <c r="G55" s="571" t="s">
        <v>4665</v>
      </c>
      <c r="H55" s="491">
        <v>13</v>
      </c>
      <c r="I55" s="495" t="s">
        <v>4662</v>
      </c>
      <c r="J55" s="491"/>
      <c r="K55" s="491" t="s">
        <v>42</v>
      </c>
      <c r="L55" s="491"/>
      <c r="M55" s="536">
        <v>320000</v>
      </c>
      <c r="N55" s="491" t="s">
        <v>251</v>
      </c>
      <c r="O55" s="537">
        <v>43621</v>
      </c>
      <c r="P55" s="537">
        <v>43706</v>
      </c>
      <c r="Q55" s="537">
        <v>43844</v>
      </c>
      <c r="R55" s="495" t="s">
        <v>6131</v>
      </c>
      <c r="S55" s="491"/>
      <c r="T55" s="536">
        <v>320000</v>
      </c>
      <c r="U55" s="536">
        <v>387200</v>
      </c>
      <c r="V55" s="1471"/>
      <c r="W55" s="1471"/>
      <c r="X55" s="1471"/>
      <c r="Y55" s="573">
        <v>43845</v>
      </c>
      <c r="Z55" s="536" t="s">
        <v>6286</v>
      </c>
      <c r="AA55" s="537">
        <v>43887</v>
      </c>
      <c r="AB55" s="537">
        <v>43900</v>
      </c>
      <c r="AC55" s="537">
        <v>44252</v>
      </c>
      <c r="AD55" s="537">
        <v>44279</v>
      </c>
      <c r="AE55" s="537">
        <v>44645</v>
      </c>
      <c r="AF55" s="374"/>
      <c r="AG55" s="374"/>
    </row>
    <row r="56" spans="3:33" ht="15.75" thickBot="1">
      <c r="C56" s="1380">
        <v>43602</v>
      </c>
      <c r="D56" s="1376" t="s">
        <v>4638</v>
      </c>
      <c r="E56" s="1376" t="s">
        <v>69</v>
      </c>
      <c r="F56" s="1376" t="s">
        <v>70</v>
      </c>
      <c r="G56" s="1378" t="s">
        <v>4665</v>
      </c>
      <c r="H56" s="1376">
        <v>14</v>
      </c>
      <c r="I56" s="1421" t="s">
        <v>4663</v>
      </c>
      <c r="J56" s="1376"/>
      <c r="K56" s="1376" t="s">
        <v>42</v>
      </c>
      <c r="L56" s="1376"/>
      <c r="M56" s="1379">
        <v>98615</v>
      </c>
      <c r="N56" s="1376" t="s">
        <v>251</v>
      </c>
      <c r="O56" s="1380">
        <v>43621</v>
      </c>
      <c r="P56" s="1380">
        <v>43706</v>
      </c>
      <c r="Q56" s="1380">
        <v>43844</v>
      </c>
      <c r="R56" s="1421" t="s">
        <v>5331</v>
      </c>
      <c r="S56" s="1376"/>
      <c r="T56" s="1379">
        <v>96305</v>
      </c>
      <c r="U56" s="1379">
        <v>116529.05</v>
      </c>
      <c r="V56" s="1475"/>
      <c r="W56" s="1475"/>
      <c r="X56" s="1475"/>
      <c r="Y56" s="1388">
        <v>43845</v>
      </c>
      <c r="Z56" s="1379" t="s">
        <v>6281</v>
      </c>
      <c r="AA56" s="1380">
        <v>43887</v>
      </c>
      <c r="AB56" s="1380">
        <v>43900</v>
      </c>
      <c r="AC56" s="1380">
        <v>44252</v>
      </c>
      <c r="AD56" s="1380">
        <v>44279</v>
      </c>
      <c r="AE56" s="1380">
        <v>44645</v>
      </c>
      <c r="AF56" s="374"/>
      <c r="AG56" s="374"/>
    </row>
    <row r="57" spans="3:33" ht="15.75" thickTop="1">
      <c r="C57" s="365">
        <v>43602</v>
      </c>
      <c r="D57" s="1397" t="s">
        <v>4633</v>
      </c>
      <c r="E57" s="3210" t="s">
        <v>69</v>
      </c>
      <c r="F57" s="3210" t="s">
        <v>70</v>
      </c>
      <c r="G57" s="175" t="s">
        <v>4614</v>
      </c>
      <c r="H57" s="3210">
        <v>1</v>
      </c>
      <c r="I57" s="3211" t="s">
        <v>4666</v>
      </c>
      <c r="J57" s="3210"/>
      <c r="K57" s="3210" t="s">
        <v>42</v>
      </c>
      <c r="L57" s="3210"/>
      <c r="M57" s="364">
        <v>401500</v>
      </c>
      <c r="N57" s="3210" t="s">
        <v>251</v>
      </c>
      <c r="O57" s="365">
        <v>43623</v>
      </c>
      <c r="P57" s="365">
        <v>43690</v>
      </c>
      <c r="Q57" s="365">
        <v>43816</v>
      </c>
      <c r="R57" s="3211" t="s">
        <v>6128</v>
      </c>
      <c r="S57" s="3210"/>
      <c r="T57" s="364">
        <v>252220</v>
      </c>
      <c r="U57" s="364">
        <v>305186.2</v>
      </c>
      <c r="V57" s="1473"/>
      <c r="W57" s="1473"/>
      <c r="X57" s="1473"/>
      <c r="Y57" s="681">
        <v>43818</v>
      </c>
      <c r="Z57" s="364" t="s">
        <v>6183</v>
      </c>
      <c r="AA57" s="365">
        <v>43886</v>
      </c>
      <c r="AB57" s="365">
        <v>43899</v>
      </c>
      <c r="AC57" s="365">
        <v>44251</v>
      </c>
      <c r="AD57" s="365">
        <v>44279</v>
      </c>
      <c r="AE57" s="365">
        <v>44645</v>
      </c>
      <c r="AF57" s="374"/>
      <c r="AG57" s="374"/>
    </row>
    <row r="58" spans="3:33">
      <c r="C58" s="537">
        <v>43602</v>
      </c>
      <c r="D58" s="1373" t="s">
        <v>4633</v>
      </c>
      <c r="E58" s="491" t="s">
        <v>69</v>
      </c>
      <c r="F58" s="491" t="s">
        <v>70</v>
      </c>
      <c r="G58" s="571" t="s">
        <v>4614</v>
      </c>
      <c r="H58" s="491">
        <v>2</v>
      </c>
      <c r="I58" s="495" t="s">
        <v>5491</v>
      </c>
      <c r="J58" s="491"/>
      <c r="K58" s="491" t="s">
        <v>42</v>
      </c>
      <c r="L58" s="491"/>
      <c r="M58" s="536">
        <v>3061174</v>
      </c>
      <c r="N58" s="491" t="s">
        <v>251</v>
      </c>
      <c r="O58" s="537">
        <v>43623</v>
      </c>
      <c r="P58" s="537">
        <v>43690</v>
      </c>
      <c r="Q58" s="537">
        <v>43816</v>
      </c>
      <c r="R58" s="495" t="s">
        <v>6129</v>
      </c>
      <c r="S58" s="491"/>
      <c r="T58" s="536">
        <v>3001319</v>
      </c>
      <c r="U58" s="536">
        <v>3631595.99</v>
      </c>
      <c r="V58" s="1471"/>
      <c r="W58" s="1471"/>
      <c r="X58" s="1471"/>
      <c r="Y58" s="573">
        <v>43818</v>
      </c>
      <c r="Z58" s="536" t="s">
        <v>6184</v>
      </c>
      <c r="AA58" s="537">
        <v>43886</v>
      </c>
      <c r="AB58" s="537">
        <v>43899</v>
      </c>
      <c r="AC58" s="537">
        <v>44251</v>
      </c>
      <c r="AD58" s="537">
        <v>44279</v>
      </c>
      <c r="AE58" s="537">
        <v>44645</v>
      </c>
      <c r="AF58" s="374"/>
      <c r="AG58" s="374"/>
    </row>
    <row r="59" spans="3:33">
      <c r="C59" s="537">
        <v>43602</v>
      </c>
      <c r="D59" s="1373" t="s">
        <v>4633</v>
      </c>
      <c r="E59" s="491" t="s">
        <v>69</v>
      </c>
      <c r="F59" s="491" t="s">
        <v>70</v>
      </c>
      <c r="G59" s="571" t="s">
        <v>4614</v>
      </c>
      <c r="H59" s="491">
        <v>5</v>
      </c>
      <c r="I59" s="495" t="s">
        <v>4667</v>
      </c>
      <c r="J59" s="491"/>
      <c r="K59" s="491" t="s">
        <v>42</v>
      </c>
      <c r="L59" s="491"/>
      <c r="M59" s="536">
        <v>159200</v>
      </c>
      <c r="N59" s="491" t="s">
        <v>251</v>
      </c>
      <c r="O59" s="537">
        <v>43623</v>
      </c>
      <c r="P59" s="537">
        <v>43690</v>
      </c>
      <c r="Q59" s="537">
        <v>43816</v>
      </c>
      <c r="R59" s="495" t="s">
        <v>5333</v>
      </c>
      <c r="S59" s="491"/>
      <c r="T59" s="536">
        <v>107440</v>
      </c>
      <c r="U59" s="536">
        <v>130002.4</v>
      </c>
      <c r="V59" s="1471"/>
      <c r="W59" s="1471"/>
      <c r="X59" s="1471"/>
      <c r="Y59" s="573">
        <v>43818</v>
      </c>
      <c r="Z59" s="536" t="s">
        <v>6185</v>
      </c>
      <c r="AA59" s="537">
        <v>43886</v>
      </c>
      <c r="AB59" s="537">
        <v>43899</v>
      </c>
      <c r="AC59" s="537">
        <v>44251</v>
      </c>
      <c r="AD59" s="491" t="s">
        <v>8483</v>
      </c>
      <c r="AE59" s="537">
        <v>44645</v>
      </c>
      <c r="AF59" s="374"/>
      <c r="AG59" s="374"/>
    </row>
    <row r="60" spans="3:33">
      <c r="C60" s="537">
        <v>43602</v>
      </c>
      <c r="D60" s="1373" t="s">
        <v>4633</v>
      </c>
      <c r="E60" s="491" t="s">
        <v>69</v>
      </c>
      <c r="F60" s="491" t="s">
        <v>70</v>
      </c>
      <c r="G60" s="571" t="s">
        <v>4614</v>
      </c>
      <c r="H60" s="491">
        <v>6</v>
      </c>
      <c r="I60" s="495" t="s">
        <v>4668</v>
      </c>
      <c r="J60" s="491"/>
      <c r="K60" s="491" t="s">
        <v>42</v>
      </c>
      <c r="L60" s="491"/>
      <c r="M60" s="536">
        <v>443295</v>
      </c>
      <c r="N60" s="491" t="s">
        <v>251</v>
      </c>
      <c r="O60" s="537">
        <v>43623</v>
      </c>
      <c r="P60" s="537">
        <v>43690</v>
      </c>
      <c r="Q60" s="537">
        <v>43816</v>
      </c>
      <c r="R60" s="495" t="s">
        <v>6130</v>
      </c>
      <c r="S60" s="491"/>
      <c r="T60" s="536">
        <v>443294</v>
      </c>
      <c r="U60" s="536">
        <v>509788.1</v>
      </c>
      <c r="V60" s="1471"/>
      <c r="W60" s="1471"/>
      <c r="X60" s="1471"/>
      <c r="Y60" s="573">
        <v>43818</v>
      </c>
      <c r="Z60" s="536" t="s">
        <v>6186</v>
      </c>
      <c r="AA60" s="537">
        <v>43886</v>
      </c>
      <c r="AB60" s="537">
        <v>43899</v>
      </c>
      <c r="AC60" s="537">
        <v>44251</v>
      </c>
      <c r="AD60" s="537">
        <v>44279</v>
      </c>
      <c r="AE60" s="537">
        <v>44645</v>
      </c>
      <c r="AF60" s="374"/>
      <c r="AG60" s="374"/>
    </row>
    <row r="61" spans="3:33">
      <c r="C61" s="510">
        <v>43602</v>
      </c>
      <c r="D61" s="1382" t="s">
        <v>4633</v>
      </c>
      <c r="E61" s="506" t="s">
        <v>69</v>
      </c>
      <c r="F61" s="506" t="s">
        <v>70</v>
      </c>
      <c r="G61" s="507" t="s">
        <v>4614</v>
      </c>
      <c r="H61" s="506">
        <v>7</v>
      </c>
      <c r="I61" s="548" t="s">
        <v>4669</v>
      </c>
      <c r="J61" s="506"/>
      <c r="K61" s="506" t="s">
        <v>42</v>
      </c>
      <c r="L61" s="506"/>
      <c r="M61" s="511">
        <v>138334</v>
      </c>
      <c r="N61" s="506" t="s">
        <v>251</v>
      </c>
      <c r="O61" s="510">
        <v>43623</v>
      </c>
      <c r="P61" s="510">
        <v>43690</v>
      </c>
      <c r="Q61" s="510"/>
      <c r="R61" s="736" t="s">
        <v>6326</v>
      </c>
      <c r="S61" s="506"/>
      <c r="T61" s="511"/>
      <c r="U61" s="511"/>
      <c r="V61" s="1470"/>
      <c r="W61" s="1470"/>
      <c r="X61" s="1470"/>
      <c r="Y61" s="1398">
        <v>43818</v>
      </c>
      <c r="Z61" s="511" t="s">
        <v>6187</v>
      </c>
      <c r="AA61" s="510"/>
      <c r="AB61" s="510">
        <v>43899</v>
      </c>
      <c r="AC61" s="506" t="s">
        <v>6470</v>
      </c>
      <c r="AD61" s="506"/>
      <c r="AE61" s="506"/>
      <c r="AF61" s="374"/>
      <c r="AG61" s="374"/>
    </row>
    <row r="62" spans="3:33">
      <c r="C62" s="537">
        <v>43602</v>
      </c>
      <c r="D62" s="1373" t="s">
        <v>4633</v>
      </c>
      <c r="E62" s="491" t="s">
        <v>69</v>
      </c>
      <c r="F62" s="491" t="s">
        <v>70</v>
      </c>
      <c r="G62" s="571" t="s">
        <v>4614</v>
      </c>
      <c r="H62" s="491">
        <v>9</v>
      </c>
      <c r="I62" s="495" t="s">
        <v>4671</v>
      </c>
      <c r="J62" s="491"/>
      <c r="K62" s="491" t="s">
        <v>42</v>
      </c>
      <c r="L62" s="491"/>
      <c r="M62" s="536">
        <v>630771</v>
      </c>
      <c r="N62" s="491" t="s">
        <v>251</v>
      </c>
      <c r="O62" s="537">
        <v>43623</v>
      </c>
      <c r="P62" s="537">
        <v>43690</v>
      </c>
      <c r="Q62" s="537">
        <v>43816</v>
      </c>
      <c r="R62" s="495" t="s">
        <v>6131</v>
      </c>
      <c r="S62" s="491"/>
      <c r="T62" s="536">
        <v>630740</v>
      </c>
      <c r="U62" s="536">
        <v>763195.4</v>
      </c>
      <c r="V62" s="1471"/>
      <c r="W62" s="1471"/>
      <c r="X62" s="1471"/>
      <c r="Y62" s="573">
        <v>43818</v>
      </c>
      <c r="Z62" s="536" t="s">
        <v>6188</v>
      </c>
      <c r="AA62" s="537">
        <v>43886</v>
      </c>
      <c r="AB62" s="537">
        <v>43899</v>
      </c>
      <c r="AC62" s="537">
        <v>44251</v>
      </c>
      <c r="AD62" s="537">
        <v>44279</v>
      </c>
      <c r="AE62" s="537">
        <v>44645</v>
      </c>
      <c r="AF62" s="374"/>
      <c r="AG62" s="374"/>
    </row>
    <row r="63" spans="3:33">
      <c r="C63" s="537">
        <v>43602</v>
      </c>
      <c r="D63" s="491" t="s">
        <v>4639</v>
      </c>
      <c r="E63" s="491" t="s">
        <v>69</v>
      </c>
      <c r="F63" s="491" t="s">
        <v>70</v>
      </c>
      <c r="G63" s="571" t="s">
        <v>4618</v>
      </c>
      <c r="H63" s="491">
        <v>3</v>
      </c>
      <c r="I63" s="495" t="s">
        <v>4621</v>
      </c>
      <c r="J63" s="491"/>
      <c r="K63" s="491" t="s">
        <v>42</v>
      </c>
      <c r="L63" s="491"/>
      <c r="M63" s="536">
        <v>1064078</v>
      </c>
      <c r="N63" s="491" t="s">
        <v>216</v>
      </c>
      <c r="O63" s="537">
        <v>43621</v>
      </c>
      <c r="P63" s="537">
        <v>43668</v>
      </c>
      <c r="Q63" s="537">
        <v>43768</v>
      </c>
      <c r="R63" s="495" t="s">
        <v>1319</v>
      </c>
      <c r="S63" s="491"/>
      <c r="T63" s="536">
        <v>1053324.42</v>
      </c>
      <c r="U63" s="536">
        <v>1274522.55</v>
      </c>
      <c r="V63" s="1471"/>
      <c r="W63" s="1471"/>
      <c r="X63" s="1471"/>
      <c r="Y63" s="573">
        <v>43769</v>
      </c>
      <c r="Z63" s="536" t="s">
        <v>5930</v>
      </c>
      <c r="AA63" s="537">
        <v>43850</v>
      </c>
      <c r="AB63" s="537">
        <v>43854</v>
      </c>
      <c r="AC63" s="537">
        <v>44215</v>
      </c>
      <c r="AD63" s="537">
        <v>44279</v>
      </c>
      <c r="AE63" s="537">
        <v>44645</v>
      </c>
      <c r="AF63" s="374"/>
      <c r="AG63" s="374"/>
    </row>
    <row r="64" spans="3:33">
      <c r="C64" s="537">
        <v>43602</v>
      </c>
      <c r="D64" s="491" t="s">
        <v>4639</v>
      </c>
      <c r="E64" s="491" t="s">
        <v>69</v>
      </c>
      <c r="F64" s="491" t="s">
        <v>70</v>
      </c>
      <c r="G64" s="571" t="s">
        <v>4618</v>
      </c>
      <c r="H64" s="491">
        <v>5</v>
      </c>
      <c r="I64" s="495" t="s">
        <v>4623</v>
      </c>
      <c r="J64" s="491"/>
      <c r="K64" s="491" t="s">
        <v>42</v>
      </c>
      <c r="L64" s="491"/>
      <c r="M64" s="536">
        <v>256728</v>
      </c>
      <c r="N64" s="491" t="s">
        <v>216</v>
      </c>
      <c r="O64" s="537">
        <v>43621</v>
      </c>
      <c r="P64" s="537">
        <v>43668</v>
      </c>
      <c r="Q64" s="537">
        <v>43768</v>
      </c>
      <c r="R64" s="495" t="s">
        <v>5353</v>
      </c>
      <c r="S64" s="491"/>
      <c r="T64" s="536">
        <v>256725</v>
      </c>
      <c r="U64" s="536">
        <v>310637.25</v>
      </c>
      <c r="V64" s="1471"/>
      <c r="W64" s="1471"/>
      <c r="X64" s="1471"/>
      <c r="Y64" s="573">
        <v>43769</v>
      </c>
      <c r="Z64" s="536" t="s">
        <v>5932</v>
      </c>
      <c r="AA64" s="537">
        <v>43850</v>
      </c>
      <c r="AB64" s="537">
        <v>43854</v>
      </c>
      <c r="AC64" s="537">
        <v>44215</v>
      </c>
      <c r="AD64" s="537">
        <v>44279</v>
      </c>
      <c r="AE64" s="537">
        <v>44645</v>
      </c>
      <c r="AF64" s="374"/>
      <c r="AG64" s="374"/>
    </row>
    <row r="65" spans="3:33" ht="15.75" thickBot="1">
      <c r="C65" s="1380">
        <v>43602</v>
      </c>
      <c r="D65" s="1376" t="s">
        <v>4639</v>
      </c>
      <c r="E65" s="1376" t="s">
        <v>69</v>
      </c>
      <c r="F65" s="1376" t="s">
        <v>70</v>
      </c>
      <c r="G65" s="1378" t="s">
        <v>4618</v>
      </c>
      <c r="H65" s="1376">
        <v>9</v>
      </c>
      <c r="I65" s="1421" t="s">
        <v>4627</v>
      </c>
      <c r="J65" s="1376"/>
      <c r="K65" s="1376" t="s">
        <v>42</v>
      </c>
      <c r="L65" s="1376"/>
      <c r="M65" s="1379">
        <v>91580</v>
      </c>
      <c r="N65" s="1376" t="s">
        <v>216</v>
      </c>
      <c r="O65" s="1380">
        <v>43621</v>
      </c>
      <c r="P65" s="1380">
        <v>43668</v>
      </c>
      <c r="Q65" s="1380">
        <v>43768</v>
      </c>
      <c r="R65" s="1421" t="s">
        <v>5903</v>
      </c>
      <c r="S65" s="1376"/>
      <c r="T65" s="1379">
        <v>91578</v>
      </c>
      <c r="U65" s="1379">
        <v>110809.38</v>
      </c>
      <c r="V65" s="1475"/>
      <c r="W65" s="1475"/>
      <c r="X65" s="1475"/>
      <c r="Y65" s="1388">
        <v>43769</v>
      </c>
      <c r="Z65" s="1379" t="s">
        <v>5935</v>
      </c>
      <c r="AA65" s="1380">
        <v>43859</v>
      </c>
      <c r="AB65" s="1380">
        <v>43868</v>
      </c>
      <c r="AC65" s="1380">
        <v>44224</v>
      </c>
      <c r="AD65" s="1380">
        <v>44279</v>
      </c>
      <c r="AE65" s="1380">
        <v>44645</v>
      </c>
      <c r="AF65" s="374"/>
      <c r="AG65" s="374"/>
    </row>
    <row r="66" spans="3:33" ht="15.75" thickTop="1">
      <c r="C66" s="537">
        <v>43609</v>
      </c>
      <c r="D66" s="491" t="s">
        <v>4771</v>
      </c>
      <c r="E66" s="491" t="s">
        <v>69</v>
      </c>
      <c r="F66" s="491" t="s">
        <v>70</v>
      </c>
      <c r="G66" s="571" t="s">
        <v>4772</v>
      </c>
      <c r="H66" s="491">
        <v>2</v>
      </c>
      <c r="I66" s="495" t="s">
        <v>4776</v>
      </c>
      <c r="J66" s="491"/>
      <c r="K66" s="491" t="s">
        <v>42</v>
      </c>
      <c r="L66" s="491"/>
      <c r="M66" s="536">
        <v>1636320</v>
      </c>
      <c r="N66" s="491" t="s">
        <v>251</v>
      </c>
      <c r="O66" s="537">
        <v>43647</v>
      </c>
      <c r="P66" s="537">
        <v>43711</v>
      </c>
      <c r="Q66" s="537">
        <v>43776</v>
      </c>
      <c r="R66" s="495" t="s">
        <v>5332</v>
      </c>
      <c r="S66" s="491"/>
      <c r="T66" s="536">
        <v>1390872</v>
      </c>
      <c r="U66" s="536">
        <v>1682955.12</v>
      </c>
      <c r="V66" s="1471"/>
      <c r="W66" s="1471"/>
      <c r="X66" s="1471"/>
      <c r="Y66" s="573">
        <v>43781</v>
      </c>
      <c r="Z66" s="536" t="s">
        <v>5974</v>
      </c>
      <c r="AA66" s="537">
        <v>43843</v>
      </c>
      <c r="AB66" s="537">
        <v>43850</v>
      </c>
      <c r="AC66" s="537">
        <v>44573</v>
      </c>
      <c r="AD66" s="537">
        <v>44279</v>
      </c>
      <c r="AE66" s="537" t="s">
        <v>11373</v>
      </c>
      <c r="AF66" s="1560">
        <v>44645</v>
      </c>
      <c r="AG66" s="374"/>
    </row>
    <row r="67" spans="3:33">
      <c r="C67" s="537">
        <v>43609</v>
      </c>
      <c r="D67" s="491" t="s">
        <v>4771</v>
      </c>
      <c r="E67" s="491" t="s">
        <v>69</v>
      </c>
      <c r="F67" s="491" t="s">
        <v>70</v>
      </c>
      <c r="G67" s="571" t="s">
        <v>4772</v>
      </c>
      <c r="H67" s="491">
        <v>4</v>
      </c>
      <c r="I67" s="495" t="s">
        <v>4778</v>
      </c>
      <c r="J67" s="491"/>
      <c r="K67" s="491" t="s">
        <v>42</v>
      </c>
      <c r="L67" s="491"/>
      <c r="M67" s="536">
        <v>1891521</v>
      </c>
      <c r="N67" s="491" t="s">
        <v>251</v>
      </c>
      <c r="O67" s="537">
        <v>43647</v>
      </c>
      <c r="P67" s="537">
        <v>43711</v>
      </c>
      <c r="Q67" s="537">
        <v>43776</v>
      </c>
      <c r="R67" s="495" t="s">
        <v>5900</v>
      </c>
      <c r="S67" s="491"/>
      <c r="T67" s="536">
        <v>1458000</v>
      </c>
      <c r="U67" s="536">
        <v>1764180</v>
      </c>
      <c r="V67" s="1471"/>
      <c r="W67" s="1471"/>
      <c r="X67" s="1471"/>
      <c r="Y67" s="573">
        <v>43781</v>
      </c>
      <c r="Z67" s="536" t="s">
        <v>5975</v>
      </c>
      <c r="AA67" s="537">
        <v>43843</v>
      </c>
      <c r="AB67" s="537">
        <v>43850</v>
      </c>
      <c r="AC67" s="537">
        <v>44573</v>
      </c>
      <c r="AD67" s="537">
        <v>44279</v>
      </c>
      <c r="AE67" s="537" t="s">
        <v>11373</v>
      </c>
      <c r="AF67" s="1560">
        <v>44645</v>
      </c>
      <c r="AG67" s="374"/>
    </row>
    <row r="68" spans="3:33" ht="15.75" thickBot="1">
      <c r="C68" s="1380">
        <v>43609</v>
      </c>
      <c r="D68" s="1376" t="s">
        <v>4771</v>
      </c>
      <c r="E68" s="1376" t="s">
        <v>69</v>
      </c>
      <c r="F68" s="1376" t="s">
        <v>70</v>
      </c>
      <c r="G68" s="1378" t="s">
        <v>4772</v>
      </c>
      <c r="H68" s="1376">
        <v>8</v>
      </c>
      <c r="I68" s="1421" t="s">
        <v>4782</v>
      </c>
      <c r="J68" s="1376"/>
      <c r="K68" s="1376" t="s">
        <v>42</v>
      </c>
      <c r="L68" s="1376"/>
      <c r="M68" s="1379">
        <v>2393323</v>
      </c>
      <c r="N68" s="1376" t="s">
        <v>251</v>
      </c>
      <c r="O68" s="1380">
        <v>43647</v>
      </c>
      <c r="P68" s="1380">
        <v>43711</v>
      </c>
      <c r="Q68" s="1380">
        <v>43776</v>
      </c>
      <c r="R68" s="1421" t="s">
        <v>5472</v>
      </c>
      <c r="S68" s="1376"/>
      <c r="T68" s="1379">
        <v>2367830</v>
      </c>
      <c r="U68" s="1379">
        <v>2865074.3</v>
      </c>
      <c r="V68" s="1475"/>
      <c r="W68" s="1475"/>
      <c r="X68" s="1475"/>
      <c r="Y68" s="1388">
        <v>43781</v>
      </c>
      <c r="Z68" s="1379" t="s">
        <v>5976</v>
      </c>
      <c r="AA68" s="1380">
        <v>43843</v>
      </c>
      <c r="AB68" s="1380">
        <v>43850</v>
      </c>
      <c r="AC68" s="1380">
        <v>44573</v>
      </c>
      <c r="AD68" s="1380">
        <v>44279</v>
      </c>
      <c r="AE68" s="1380" t="s">
        <v>11373</v>
      </c>
      <c r="AF68" s="1560">
        <v>44645</v>
      </c>
      <c r="AG68" s="374"/>
    </row>
    <row r="69" spans="3:33" ht="15.75" thickTop="1">
      <c r="C69" s="537">
        <v>43609</v>
      </c>
      <c r="D69" s="1373" t="s">
        <v>4773</v>
      </c>
      <c r="E69" s="491" t="s">
        <v>69</v>
      </c>
      <c r="F69" s="491" t="s">
        <v>70</v>
      </c>
      <c r="G69" s="571" t="s">
        <v>4783</v>
      </c>
      <c r="H69" s="491">
        <v>2</v>
      </c>
      <c r="I69" s="495" t="s">
        <v>4785</v>
      </c>
      <c r="J69" s="491"/>
      <c r="K69" s="491" t="s">
        <v>42</v>
      </c>
      <c r="L69" s="491"/>
      <c r="M69" s="536">
        <v>120719</v>
      </c>
      <c r="N69" s="491" t="s">
        <v>216</v>
      </c>
      <c r="O69" s="537">
        <v>43627</v>
      </c>
      <c r="P69" s="537">
        <v>43670</v>
      </c>
      <c r="Q69" s="537">
        <v>43788</v>
      </c>
      <c r="R69" s="495" t="s">
        <v>2066</v>
      </c>
      <c r="S69" s="491"/>
      <c r="T69" s="536">
        <v>120018</v>
      </c>
      <c r="U69" s="536">
        <v>145221.78</v>
      </c>
      <c r="V69" s="1471"/>
      <c r="W69" s="1471"/>
      <c r="X69" s="1471"/>
      <c r="Y69" s="573">
        <v>43791</v>
      </c>
      <c r="Z69" s="536" t="s">
        <v>6031</v>
      </c>
      <c r="AA69" s="537">
        <v>43850</v>
      </c>
      <c r="AB69" s="537">
        <v>43854</v>
      </c>
      <c r="AC69" s="537">
        <v>44215</v>
      </c>
      <c r="AD69" s="491" t="s">
        <v>8483</v>
      </c>
      <c r="AE69" s="537">
        <v>44645</v>
      </c>
      <c r="AF69" s="374"/>
      <c r="AG69" s="374"/>
    </row>
    <row r="70" spans="3:33">
      <c r="C70" s="537">
        <v>43609</v>
      </c>
      <c r="D70" s="1373" t="s">
        <v>4773</v>
      </c>
      <c r="E70" s="491" t="s">
        <v>69</v>
      </c>
      <c r="F70" s="491" t="s">
        <v>70</v>
      </c>
      <c r="G70" s="571" t="s">
        <v>4783</v>
      </c>
      <c r="H70" s="491">
        <v>3</v>
      </c>
      <c r="I70" s="495" t="s">
        <v>4786</v>
      </c>
      <c r="J70" s="491"/>
      <c r="K70" s="491" t="s">
        <v>42</v>
      </c>
      <c r="L70" s="491"/>
      <c r="M70" s="536">
        <v>106305</v>
      </c>
      <c r="N70" s="491" t="s">
        <v>216</v>
      </c>
      <c r="O70" s="537">
        <v>43627</v>
      </c>
      <c r="P70" s="537">
        <v>43670</v>
      </c>
      <c r="Q70" s="537">
        <v>43804</v>
      </c>
      <c r="R70" s="495" t="s">
        <v>5333</v>
      </c>
      <c r="S70" s="491"/>
      <c r="T70" s="536">
        <v>61860</v>
      </c>
      <c r="U70" s="536">
        <v>74850.600000000006</v>
      </c>
      <c r="V70" s="1471"/>
      <c r="W70" s="1471"/>
      <c r="X70" s="1471"/>
      <c r="Y70" s="573">
        <v>43805</v>
      </c>
      <c r="Z70" s="536" t="s">
        <v>6090</v>
      </c>
      <c r="AA70" s="537">
        <v>43874</v>
      </c>
      <c r="AB70" s="537">
        <v>43882</v>
      </c>
      <c r="AC70" s="537">
        <v>44239</v>
      </c>
      <c r="AD70" s="491" t="s">
        <v>8483</v>
      </c>
      <c r="AE70" s="537">
        <v>44645</v>
      </c>
      <c r="AF70" s="374"/>
      <c r="AG70" s="374"/>
    </row>
    <row r="71" spans="3:33">
      <c r="C71" s="537">
        <v>43609</v>
      </c>
      <c r="D71" s="1373" t="s">
        <v>4773</v>
      </c>
      <c r="E71" s="491" t="s">
        <v>69</v>
      </c>
      <c r="F71" s="491" t="s">
        <v>70</v>
      </c>
      <c r="G71" s="571" t="s">
        <v>4783</v>
      </c>
      <c r="H71" s="491">
        <v>4</v>
      </c>
      <c r="I71" s="495" t="s">
        <v>4787</v>
      </c>
      <c r="J71" s="491"/>
      <c r="K71" s="491" t="s">
        <v>42</v>
      </c>
      <c r="L71" s="491"/>
      <c r="M71" s="536">
        <v>278842</v>
      </c>
      <c r="N71" s="491" t="s">
        <v>216</v>
      </c>
      <c r="O71" s="537">
        <v>43627</v>
      </c>
      <c r="P71" s="537">
        <v>43670</v>
      </c>
      <c r="Q71" s="537">
        <v>43788</v>
      </c>
      <c r="R71" s="495" t="s">
        <v>5979</v>
      </c>
      <c r="S71" s="491"/>
      <c r="T71" s="536">
        <v>258489</v>
      </c>
      <c r="U71" s="536">
        <v>312771.69</v>
      </c>
      <c r="V71" s="1471"/>
      <c r="W71" s="1471"/>
      <c r="X71" s="1471"/>
      <c r="Y71" s="573">
        <v>43791</v>
      </c>
      <c r="Z71" s="536" t="s">
        <v>6032</v>
      </c>
      <c r="AA71" s="537">
        <v>43874</v>
      </c>
      <c r="AB71" s="537">
        <v>43882</v>
      </c>
      <c r="AC71" s="537">
        <v>44239</v>
      </c>
      <c r="AD71" s="537">
        <v>44279</v>
      </c>
      <c r="AE71" s="537">
        <v>44645</v>
      </c>
      <c r="AF71" s="374"/>
      <c r="AG71" s="374"/>
    </row>
    <row r="72" spans="3:33">
      <c r="C72" s="537">
        <v>43609</v>
      </c>
      <c r="D72" s="1373" t="s">
        <v>4773</v>
      </c>
      <c r="E72" s="491" t="s">
        <v>69</v>
      </c>
      <c r="F72" s="491" t="s">
        <v>70</v>
      </c>
      <c r="G72" s="571" t="s">
        <v>4783</v>
      </c>
      <c r="H72" s="491">
        <v>6</v>
      </c>
      <c r="I72" s="495" t="s">
        <v>4789</v>
      </c>
      <c r="J72" s="491"/>
      <c r="K72" s="491" t="s">
        <v>42</v>
      </c>
      <c r="L72" s="491"/>
      <c r="M72" s="536">
        <v>1095475</v>
      </c>
      <c r="N72" s="491" t="s">
        <v>216</v>
      </c>
      <c r="O72" s="537">
        <v>43627</v>
      </c>
      <c r="P72" s="537">
        <v>43670</v>
      </c>
      <c r="Q72" s="537">
        <v>43788</v>
      </c>
      <c r="R72" s="495" t="s">
        <v>5471</v>
      </c>
      <c r="S72" s="491"/>
      <c r="T72" s="536">
        <v>1052298.1000000001</v>
      </c>
      <c r="U72" s="536">
        <v>1273280.7</v>
      </c>
      <c r="V72" s="1471"/>
      <c r="W72" s="1471"/>
      <c r="X72" s="1471"/>
      <c r="Y72" s="573">
        <v>43791</v>
      </c>
      <c r="Z72" s="536" t="s">
        <v>6033</v>
      </c>
      <c r="AA72" s="537">
        <v>43874</v>
      </c>
      <c r="AB72" s="537">
        <v>43882</v>
      </c>
      <c r="AC72" s="537">
        <v>44239</v>
      </c>
      <c r="AD72" s="537">
        <v>44279</v>
      </c>
      <c r="AE72" s="537">
        <v>44645</v>
      </c>
      <c r="AF72" s="374"/>
      <c r="AG72" s="374"/>
    </row>
    <row r="73" spans="3:33" ht="15.75" thickBot="1">
      <c r="C73" s="416">
        <v>43609</v>
      </c>
      <c r="D73" s="1468" t="s">
        <v>4773</v>
      </c>
      <c r="E73" s="411" t="s">
        <v>69</v>
      </c>
      <c r="F73" s="411" t="s">
        <v>70</v>
      </c>
      <c r="G73" s="412" t="s">
        <v>4783</v>
      </c>
      <c r="H73" s="411">
        <v>8</v>
      </c>
      <c r="I73" s="630" t="s">
        <v>4791</v>
      </c>
      <c r="J73" s="411"/>
      <c r="K73" s="411" t="s">
        <v>42</v>
      </c>
      <c r="L73" s="411"/>
      <c r="M73" s="417">
        <v>222160</v>
      </c>
      <c r="N73" s="411" t="s">
        <v>216</v>
      </c>
      <c r="O73" s="416">
        <v>43627</v>
      </c>
      <c r="P73" s="416">
        <v>43670</v>
      </c>
      <c r="Q73" s="416">
        <v>43788</v>
      </c>
      <c r="R73" s="630" t="s">
        <v>1319</v>
      </c>
      <c r="S73" s="1376"/>
      <c r="T73" s="417">
        <v>133296</v>
      </c>
      <c r="U73" s="417">
        <v>161288.16</v>
      </c>
      <c r="V73" s="1480"/>
      <c r="W73" s="1480"/>
      <c r="X73" s="1480"/>
      <c r="Y73" s="513">
        <v>43791</v>
      </c>
      <c r="Z73" s="417" t="s">
        <v>6034</v>
      </c>
      <c r="AA73" s="416">
        <v>43874</v>
      </c>
      <c r="AB73" s="416">
        <v>43882</v>
      </c>
      <c r="AC73" s="416">
        <v>44239</v>
      </c>
      <c r="AD73" s="537">
        <v>44279</v>
      </c>
      <c r="AE73" s="416">
        <v>44645</v>
      </c>
      <c r="AF73" s="374"/>
      <c r="AG73" s="374"/>
    </row>
    <row r="74" spans="3:33" ht="15.75" thickTop="1">
      <c r="C74" s="537">
        <v>43609</v>
      </c>
      <c r="D74" s="491" t="s">
        <v>4774</v>
      </c>
      <c r="E74" s="491" t="s">
        <v>69</v>
      </c>
      <c r="F74" s="491" t="s">
        <v>70</v>
      </c>
      <c r="G74" s="571" t="s">
        <v>4792</v>
      </c>
      <c r="H74" s="491">
        <v>2</v>
      </c>
      <c r="I74" s="495" t="s">
        <v>4794</v>
      </c>
      <c r="J74" s="491"/>
      <c r="K74" s="491" t="s">
        <v>42</v>
      </c>
      <c r="L74" s="491"/>
      <c r="M74" s="536">
        <v>142941</v>
      </c>
      <c r="N74" s="491" t="s">
        <v>251</v>
      </c>
      <c r="O74" s="537">
        <v>43630</v>
      </c>
      <c r="P74" s="537">
        <v>43717</v>
      </c>
      <c r="Q74" s="537">
        <v>43788</v>
      </c>
      <c r="R74" s="495" t="s">
        <v>5901</v>
      </c>
      <c r="S74" s="491"/>
      <c r="T74" s="536">
        <v>142931.54</v>
      </c>
      <c r="U74" s="536">
        <v>172947.16</v>
      </c>
      <c r="V74" s="1471"/>
      <c r="W74" s="1471"/>
      <c r="X74" s="1471"/>
      <c r="Y74" s="573">
        <v>43791</v>
      </c>
      <c r="Z74" s="536" t="s">
        <v>6024</v>
      </c>
      <c r="AA74" s="537">
        <v>43850</v>
      </c>
      <c r="AB74" s="537">
        <v>43853</v>
      </c>
      <c r="AC74" s="537">
        <v>44215</v>
      </c>
      <c r="AD74" s="537">
        <v>44279</v>
      </c>
      <c r="AE74" s="537">
        <v>44645</v>
      </c>
      <c r="AF74" s="374"/>
      <c r="AG74" s="374"/>
    </row>
    <row r="75" spans="3:33">
      <c r="C75" s="537">
        <v>43609</v>
      </c>
      <c r="D75" s="491" t="s">
        <v>4774</v>
      </c>
      <c r="E75" s="491" t="s">
        <v>69</v>
      </c>
      <c r="F75" s="491" t="s">
        <v>70</v>
      </c>
      <c r="G75" s="571" t="s">
        <v>4792</v>
      </c>
      <c r="H75" s="491">
        <v>4</v>
      </c>
      <c r="I75" s="495" t="s">
        <v>4796</v>
      </c>
      <c r="J75" s="491"/>
      <c r="K75" s="491" t="s">
        <v>42</v>
      </c>
      <c r="L75" s="491"/>
      <c r="M75" s="536">
        <v>235929</v>
      </c>
      <c r="N75" s="491" t="s">
        <v>251</v>
      </c>
      <c r="O75" s="537">
        <v>43630</v>
      </c>
      <c r="P75" s="537">
        <v>43717</v>
      </c>
      <c r="Q75" s="537">
        <v>43788</v>
      </c>
      <c r="R75" s="495" t="s">
        <v>5949</v>
      </c>
      <c r="S75" s="491"/>
      <c r="T75" s="536">
        <v>235926</v>
      </c>
      <c r="U75" s="536">
        <v>285470.46000000002</v>
      </c>
      <c r="V75" s="1471"/>
      <c r="W75" s="1471"/>
      <c r="X75" s="1471"/>
      <c r="Y75" s="573">
        <v>43791</v>
      </c>
      <c r="Z75" s="536" t="s">
        <v>6025</v>
      </c>
      <c r="AA75" s="537">
        <v>43850</v>
      </c>
      <c r="AB75" s="537">
        <v>43853</v>
      </c>
      <c r="AC75" s="537">
        <v>44215</v>
      </c>
      <c r="AD75" s="491" t="s">
        <v>8483</v>
      </c>
      <c r="AE75" s="537">
        <v>44645</v>
      </c>
      <c r="AF75" s="374"/>
      <c r="AG75" s="374"/>
    </row>
    <row r="76" spans="3:33">
      <c r="C76" s="537">
        <v>43609</v>
      </c>
      <c r="D76" s="491" t="s">
        <v>4774</v>
      </c>
      <c r="E76" s="491" t="s">
        <v>69</v>
      </c>
      <c r="F76" s="491" t="s">
        <v>70</v>
      </c>
      <c r="G76" s="571" t="s">
        <v>4792</v>
      </c>
      <c r="H76" s="491">
        <v>5</v>
      </c>
      <c r="I76" s="495" t="s">
        <v>4797</v>
      </c>
      <c r="J76" s="491"/>
      <c r="K76" s="491" t="s">
        <v>42</v>
      </c>
      <c r="L76" s="491"/>
      <c r="M76" s="536">
        <v>74910</v>
      </c>
      <c r="N76" s="491" t="s">
        <v>251</v>
      </c>
      <c r="O76" s="537">
        <v>43630</v>
      </c>
      <c r="P76" s="537">
        <v>43717</v>
      </c>
      <c r="Q76" s="537">
        <v>43788</v>
      </c>
      <c r="R76" s="495" t="s">
        <v>2993</v>
      </c>
      <c r="S76" s="491"/>
      <c r="T76" s="536">
        <v>74700</v>
      </c>
      <c r="U76" s="536">
        <v>90387</v>
      </c>
      <c r="V76" s="1471"/>
      <c r="W76" s="1471"/>
      <c r="X76" s="1471"/>
      <c r="Y76" s="573">
        <v>43791</v>
      </c>
      <c r="Z76" s="536" t="s">
        <v>6026</v>
      </c>
      <c r="AA76" s="537">
        <v>43850</v>
      </c>
      <c r="AB76" s="537">
        <v>43853</v>
      </c>
      <c r="AC76" s="537">
        <v>44215</v>
      </c>
      <c r="AD76" s="491" t="s">
        <v>8483</v>
      </c>
      <c r="AE76" s="537">
        <v>44645</v>
      </c>
      <c r="AF76" s="374"/>
      <c r="AG76" s="374"/>
    </row>
    <row r="77" spans="3:33">
      <c r="C77" s="537">
        <v>43609</v>
      </c>
      <c r="D77" s="491" t="s">
        <v>4774</v>
      </c>
      <c r="E77" s="491" t="s">
        <v>69</v>
      </c>
      <c r="F77" s="491" t="s">
        <v>70</v>
      </c>
      <c r="G77" s="571" t="s">
        <v>4792</v>
      </c>
      <c r="H77" s="491">
        <v>6</v>
      </c>
      <c r="I77" s="495" t="s">
        <v>4798</v>
      </c>
      <c r="J77" s="491"/>
      <c r="K77" s="491" t="s">
        <v>42</v>
      </c>
      <c r="L77" s="491"/>
      <c r="M77" s="536">
        <v>796520</v>
      </c>
      <c r="N77" s="491" t="s">
        <v>251</v>
      </c>
      <c r="O77" s="537">
        <v>43630</v>
      </c>
      <c r="P77" s="537">
        <v>43717</v>
      </c>
      <c r="Q77" s="537">
        <v>43788</v>
      </c>
      <c r="R77" s="495" t="s">
        <v>5471</v>
      </c>
      <c r="S77" s="491"/>
      <c r="T77" s="536">
        <v>749113.9</v>
      </c>
      <c r="U77" s="536">
        <v>906427.82</v>
      </c>
      <c r="V77" s="1471"/>
      <c r="W77" s="1471"/>
      <c r="X77" s="1471"/>
      <c r="Y77" s="573">
        <v>43791</v>
      </c>
      <c r="Z77" s="536" t="s">
        <v>6027</v>
      </c>
      <c r="AA77" s="537">
        <v>43878</v>
      </c>
      <c r="AB77" s="537">
        <v>43880</v>
      </c>
      <c r="AC77" s="537">
        <v>44243</v>
      </c>
      <c r="AD77" s="1435">
        <v>44279</v>
      </c>
      <c r="AE77" s="537">
        <v>44645</v>
      </c>
      <c r="AF77" s="374"/>
      <c r="AG77" s="374"/>
    </row>
    <row r="78" spans="3:33">
      <c r="C78" s="537">
        <v>43609</v>
      </c>
      <c r="D78" s="491" t="s">
        <v>4774</v>
      </c>
      <c r="E78" s="491" t="s">
        <v>69</v>
      </c>
      <c r="F78" s="491" t="s">
        <v>70</v>
      </c>
      <c r="G78" s="571" t="s">
        <v>4792</v>
      </c>
      <c r="H78" s="491">
        <v>7</v>
      </c>
      <c r="I78" s="495" t="s">
        <v>4799</v>
      </c>
      <c r="J78" s="491"/>
      <c r="K78" s="491" t="s">
        <v>42</v>
      </c>
      <c r="L78" s="491"/>
      <c r="M78" s="536">
        <v>653040</v>
      </c>
      <c r="N78" s="491" t="s">
        <v>251</v>
      </c>
      <c r="O78" s="537">
        <v>43630</v>
      </c>
      <c r="P78" s="537">
        <v>43717</v>
      </c>
      <c r="Q78" s="537">
        <v>43788</v>
      </c>
      <c r="R78" s="495" t="s">
        <v>1319</v>
      </c>
      <c r="S78" s="491"/>
      <c r="T78" s="536">
        <v>653039.55000000005</v>
      </c>
      <c r="U78" s="536">
        <v>790177.86</v>
      </c>
      <c r="V78" s="1471"/>
      <c r="W78" s="1471"/>
      <c r="X78" s="1471"/>
      <c r="Y78" s="573">
        <v>43791</v>
      </c>
      <c r="Z78" s="536" t="s">
        <v>6028</v>
      </c>
      <c r="AA78" s="537">
        <v>43878</v>
      </c>
      <c r="AB78" s="537">
        <v>43880</v>
      </c>
      <c r="AC78" s="537">
        <v>44243</v>
      </c>
      <c r="AD78" s="1435">
        <v>44279</v>
      </c>
      <c r="AE78" s="537">
        <v>44645</v>
      </c>
      <c r="AF78" s="374"/>
      <c r="AG78" s="374"/>
    </row>
    <row r="79" spans="3:33">
      <c r="C79" s="537">
        <v>43609</v>
      </c>
      <c r="D79" s="491" t="s">
        <v>4774</v>
      </c>
      <c r="E79" s="491" t="s">
        <v>69</v>
      </c>
      <c r="F79" s="491" t="s">
        <v>70</v>
      </c>
      <c r="G79" s="571" t="s">
        <v>4792</v>
      </c>
      <c r="H79" s="491">
        <v>8</v>
      </c>
      <c r="I79" s="495" t="s">
        <v>4800</v>
      </c>
      <c r="J79" s="491"/>
      <c r="K79" s="491" t="s">
        <v>42</v>
      </c>
      <c r="L79" s="491"/>
      <c r="M79" s="536">
        <v>504800</v>
      </c>
      <c r="N79" s="491" t="s">
        <v>251</v>
      </c>
      <c r="O79" s="537">
        <v>43630</v>
      </c>
      <c r="P79" s="537">
        <v>43717</v>
      </c>
      <c r="Q79" s="537">
        <v>43788</v>
      </c>
      <c r="R79" s="495" t="s">
        <v>5983</v>
      </c>
      <c r="S79" s="491"/>
      <c r="T79" s="536">
        <v>479481</v>
      </c>
      <c r="U79" s="536">
        <v>580172.01</v>
      </c>
      <c r="V79" s="1471"/>
      <c r="W79" s="1471"/>
      <c r="X79" s="1471"/>
      <c r="Y79" s="573">
        <v>43791</v>
      </c>
      <c r="Z79" s="536" t="s">
        <v>6029</v>
      </c>
      <c r="AA79" s="537">
        <v>43850</v>
      </c>
      <c r="AB79" s="537">
        <v>43853</v>
      </c>
      <c r="AC79" s="537">
        <v>44215</v>
      </c>
      <c r="AD79" s="537">
        <v>44279</v>
      </c>
      <c r="AE79" s="537">
        <v>44645</v>
      </c>
      <c r="AF79" s="374"/>
      <c r="AG79" s="374"/>
    </row>
    <row r="80" spans="3:33" ht="15.75" thickBot="1">
      <c r="C80" s="1380">
        <v>43609</v>
      </c>
      <c r="D80" s="1376" t="s">
        <v>4774</v>
      </c>
      <c r="E80" s="1376" t="s">
        <v>69</v>
      </c>
      <c r="F80" s="1376" t="s">
        <v>70</v>
      </c>
      <c r="G80" s="1378" t="s">
        <v>4792</v>
      </c>
      <c r="H80" s="1376">
        <v>9</v>
      </c>
      <c r="I80" s="1421" t="s">
        <v>4801</v>
      </c>
      <c r="J80" s="1376"/>
      <c r="K80" s="1376" t="s">
        <v>42</v>
      </c>
      <c r="L80" s="1376"/>
      <c r="M80" s="1379">
        <v>742300</v>
      </c>
      <c r="N80" s="1376" t="s">
        <v>251</v>
      </c>
      <c r="O80" s="1380">
        <v>43630</v>
      </c>
      <c r="P80" s="1380">
        <v>43717</v>
      </c>
      <c r="Q80" s="1380">
        <v>43788</v>
      </c>
      <c r="R80" s="1421" t="s">
        <v>5984</v>
      </c>
      <c r="S80" s="1376"/>
      <c r="T80" s="1379">
        <v>741850</v>
      </c>
      <c r="U80" s="1379">
        <v>897638.5</v>
      </c>
      <c r="V80" s="1475"/>
      <c r="W80" s="1475"/>
      <c r="X80" s="1475"/>
      <c r="Y80" s="1388">
        <v>43791</v>
      </c>
      <c r="Z80" s="1379" t="s">
        <v>6030</v>
      </c>
      <c r="AA80" s="1380">
        <v>43878</v>
      </c>
      <c r="AB80" s="1380">
        <v>43880</v>
      </c>
      <c r="AC80" s="1380">
        <v>44243</v>
      </c>
      <c r="AD80" s="2164">
        <v>44279</v>
      </c>
      <c r="AE80" s="1380">
        <v>44645</v>
      </c>
      <c r="AF80" s="374"/>
      <c r="AG80" s="374"/>
    </row>
    <row r="81" spans="1:45" ht="30.75" thickTop="1">
      <c r="C81" s="537" t="s">
        <v>3585</v>
      </c>
      <c r="D81" s="1373" t="s">
        <v>4842</v>
      </c>
      <c r="E81" s="491" t="s">
        <v>1700</v>
      </c>
      <c r="F81" s="3210" t="s">
        <v>6206</v>
      </c>
      <c r="G81" s="175" t="s">
        <v>4847</v>
      </c>
      <c r="H81" s="3210"/>
      <c r="I81" s="3211"/>
      <c r="J81" s="3210"/>
      <c r="K81" s="3210" t="s">
        <v>780</v>
      </c>
      <c r="L81" s="3210" t="s">
        <v>4058</v>
      </c>
      <c r="M81" s="364">
        <v>101429.75</v>
      </c>
      <c r="N81" s="3210" t="s">
        <v>251</v>
      </c>
      <c r="O81" s="537">
        <v>43661</v>
      </c>
      <c r="P81" s="537">
        <v>43692</v>
      </c>
      <c r="Q81" s="537">
        <v>43784</v>
      </c>
      <c r="R81" s="495" t="s">
        <v>5461</v>
      </c>
      <c r="S81" s="491"/>
      <c r="T81" s="536">
        <v>93640</v>
      </c>
      <c r="U81" s="536">
        <f>T81*1.21</f>
        <v>113304.4</v>
      </c>
      <c r="V81" s="1471"/>
      <c r="W81" s="1471"/>
      <c r="X81" s="1471"/>
      <c r="Y81" s="573">
        <v>43787</v>
      </c>
      <c r="Z81" s="1375" t="s">
        <v>6005</v>
      </c>
      <c r="AA81" s="537">
        <v>43878</v>
      </c>
      <c r="AB81" s="537">
        <v>43879</v>
      </c>
      <c r="AC81" s="537">
        <f>AA81+28</f>
        <v>43906</v>
      </c>
      <c r="AD81" s="537">
        <v>43949</v>
      </c>
      <c r="AE81" s="1374" t="s">
        <v>1875</v>
      </c>
      <c r="AF81" s="374"/>
      <c r="AG81" s="374"/>
    </row>
    <row r="82" spans="1:45" ht="30">
      <c r="C82" s="537">
        <v>43640</v>
      </c>
      <c r="D82" s="1373" t="s">
        <v>4992</v>
      </c>
      <c r="E82" s="491" t="s">
        <v>69</v>
      </c>
      <c r="F82" s="491" t="s">
        <v>70</v>
      </c>
      <c r="G82" s="571" t="s">
        <v>4993</v>
      </c>
      <c r="H82" s="491"/>
      <c r="I82" s="495"/>
      <c r="J82" s="491"/>
      <c r="K82" s="491" t="s">
        <v>42</v>
      </c>
      <c r="L82" s="491"/>
      <c r="M82" s="536">
        <v>21944616</v>
      </c>
      <c r="N82" s="491" t="s">
        <v>251</v>
      </c>
      <c r="O82" s="537">
        <v>43713</v>
      </c>
      <c r="P82" s="537">
        <v>43755</v>
      </c>
      <c r="Q82" s="537">
        <v>43846</v>
      </c>
      <c r="R82" s="495" t="s">
        <v>2066</v>
      </c>
      <c r="S82" s="491"/>
      <c r="T82" s="536">
        <v>17151844.68</v>
      </c>
      <c r="U82" s="536">
        <v>19822392.530000001</v>
      </c>
      <c r="V82" s="1471"/>
      <c r="W82" s="1471"/>
      <c r="X82" s="1471"/>
      <c r="Y82" s="573">
        <v>43847</v>
      </c>
      <c r="Z82" s="1375" t="s">
        <v>6299</v>
      </c>
      <c r="AA82" s="537">
        <v>43901</v>
      </c>
      <c r="AB82" s="537">
        <v>43907</v>
      </c>
      <c r="AC82" s="537">
        <v>46091</v>
      </c>
      <c r="AD82" s="537">
        <v>44279</v>
      </c>
      <c r="AE82" s="537">
        <v>44645</v>
      </c>
      <c r="AF82" s="388">
        <v>2022</v>
      </c>
      <c r="AG82" s="388">
        <v>2023</v>
      </c>
      <c r="AH82" s="388">
        <v>2024</v>
      </c>
      <c r="AI82" s="388">
        <v>2025</v>
      </c>
      <c r="AJ82" s="388" t="s">
        <v>6778</v>
      </c>
    </row>
    <row r="83" spans="1:45" ht="15.75" thickBot="1">
      <c r="C83" s="537">
        <v>43640</v>
      </c>
      <c r="D83" s="1373" t="s">
        <v>4989</v>
      </c>
      <c r="E83" s="491" t="s">
        <v>69</v>
      </c>
      <c r="F83" s="491" t="s">
        <v>70</v>
      </c>
      <c r="G83" s="571" t="s">
        <v>4990</v>
      </c>
      <c r="H83" s="491">
        <v>1</v>
      </c>
      <c r="I83" s="495" t="s">
        <v>4991</v>
      </c>
      <c r="J83" s="491"/>
      <c r="K83" s="491" t="s">
        <v>93</v>
      </c>
      <c r="L83" s="491"/>
      <c r="M83" s="536">
        <v>11889360</v>
      </c>
      <c r="N83" s="491" t="s">
        <v>251</v>
      </c>
      <c r="O83" s="537">
        <v>43711</v>
      </c>
      <c r="P83" s="537">
        <v>43746</v>
      </c>
      <c r="Q83" s="537">
        <v>43781</v>
      </c>
      <c r="R83" s="495" t="s">
        <v>576</v>
      </c>
      <c r="S83" s="491"/>
      <c r="T83" s="536">
        <v>11889360</v>
      </c>
      <c r="U83" s="536">
        <v>13078296</v>
      </c>
      <c r="V83" s="1471"/>
      <c r="W83" s="1471"/>
      <c r="X83" s="1471"/>
      <c r="Y83" s="573">
        <v>43782</v>
      </c>
      <c r="Z83" s="536" t="s">
        <v>5999</v>
      </c>
      <c r="AA83" s="537">
        <v>43836</v>
      </c>
      <c r="AB83" s="537">
        <v>43839</v>
      </c>
      <c r="AC83" s="537">
        <v>44566</v>
      </c>
      <c r="AD83" s="537">
        <v>44279</v>
      </c>
      <c r="AE83" s="537">
        <v>44645</v>
      </c>
      <c r="AF83" s="388" t="s">
        <v>6238</v>
      </c>
      <c r="AG83" s="374" t="s">
        <v>11656</v>
      </c>
    </row>
    <row r="84" spans="1:45" ht="15.75" thickTop="1">
      <c r="C84" s="474">
        <v>43640</v>
      </c>
      <c r="D84" s="453" t="s">
        <v>4979</v>
      </c>
      <c r="E84" s="453" t="s">
        <v>69</v>
      </c>
      <c r="F84" s="453" t="s">
        <v>70</v>
      </c>
      <c r="G84" s="473" t="s">
        <v>4980</v>
      </c>
      <c r="H84" s="453">
        <v>1</v>
      </c>
      <c r="I84" s="1420" t="s">
        <v>4981</v>
      </c>
      <c r="J84" s="453"/>
      <c r="K84" s="453" t="s">
        <v>93</v>
      </c>
      <c r="L84" s="453"/>
      <c r="M84" s="457">
        <v>2304528</v>
      </c>
      <c r="N84" s="453" t="s">
        <v>251</v>
      </c>
      <c r="O84" s="474">
        <v>43679</v>
      </c>
      <c r="P84" s="474">
        <v>43728</v>
      </c>
      <c r="Q84" s="474">
        <v>43804</v>
      </c>
      <c r="R84" s="1420" t="s">
        <v>5774</v>
      </c>
      <c r="S84" s="453"/>
      <c r="T84" s="457">
        <v>2279198.2000000002</v>
      </c>
      <c r="U84" s="457">
        <v>2507118.02</v>
      </c>
      <c r="V84" s="1474"/>
      <c r="W84" s="1474"/>
      <c r="X84" s="1474"/>
      <c r="Y84" s="570">
        <v>43805</v>
      </c>
      <c r="Z84" s="457" t="s">
        <v>6091</v>
      </c>
      <c r="AA84" s="474">
        <v>43871</v>
      </c>
      <c r="AB84" s="474">
        <v>43888</v>
      </c>
      <c r="AC84" s="474">
        <v>44601</v>
      </c>
      <c r="AD84" s="474">
        <v>44279</v>
      </c>
      <c r="AE84" s="474">
        <v>44645</v>
      </c>
      <c r="AF84" s="388" t="s">
        <v>6400</v>
      </c>
      <c r="AG84" s="374"/>
    </row>
    <row r="85" spans="1:45">
      <c r="C85" s="510">
        <v>43640</v>
      </c>
      <c r="D85" s="506" t="s">
        <v>4979</v>
      </c>
      <c r="E85" s="506" t="s">
        <v>69</v>
      </c>
      <c r="F85" s="506" t="s">
        <v>70</v>
      </c>
      <c r="G85" s="507" t="s">
        <v>4980</v>
      </c>
      <c r="H85" s="506">
        <v>2</v>
      </c>
      <c r="I85" s="548" t="s">
        <v>4982</v>
      </c>
      <c r="J85" s="506"/>
      <c r="K85" s="506" t="s">
        <v>93</v>
      </c>
      <c r="L85" s="506"/>
      <c r="M85" s="511">
        <v>34875745</v>
      </c>
      <c r="N85" s="506" t="s">
        <v>251</v>
      </c>
      <c r="O85" s="510">
        <v>43679</v>
      </c>
      <c r="P85" s="510">
        <v>43728</v>
      </c>
      <c r="Q85" s="510">
        <v>43804</v>
      </c>
      <c r="R85" s="736" t="s">
        <v>6344</v>
      </c>
      <c r="S85" s="514"/>
      <c r="T85" s="511">
        <v>34875744.960000001</v>
      </c>
      <c r="U85" s="511">
        <v>38363319.460000001</v>
      </c>
      <c r="V85" s="1470"/>
      <c r="W85" s="1470"/>
      <c r="X85" s="1470"/>
      <c r="Y85" s="1398">
        <v>43805</v>
      </c>
      <c r="Z85" s="511" t="s">
        <v>6092</v>
      </c>
      <c r="AA85" s="506"/>
      <c r="AB85" s="510">
        <v>43888</v>
      </c>
      <c r="AC85" s="548" t="s">
        <v>6435</v>
      </c>
      <c r="AD85" s="506"/>
      <c r="AE85" s="506"/>
      <c r="AF85" s="374"/>
      <c r="AG85" s="374"/>
    </row>
    <row r="86" spans="1:45">
      <c r="C86" s="537">
        <v>43640</v>
      </c>
      <c r="D86" s="491" t="s">
        <v>4979</v>
      </c>
      <c r="E86" s="491" t="s">
        <v>69</v>
      </c>
      <c r="F86" s="491" t="s">
        <v>70</v>
      </c>
      <c r="G86" s="571" t="s">
        <v>4980</v>
      </c>
      <c r="H86" s="491">
        <v>3</v>
      </c>
      <c r="I86" s="495" t="s">
        <v>4983</v>
      </c>
      <c r="J86" s="491"/>
      <c r="K86" s="491" t="s">
        <v>93</v>
      </c>
      <c r="L86" s="491"/>
      <c r="M86" s="536">
        <v>4011058</v>
      </c>
      <c r="N86" s="491" t="s">
        <v>251</v>
      </c>
      <c r="O86" s="537">
        <v>43679</v>
      </c>
      <c r="P86" s="537">
        <v>43728</v>
      </c>
      <c r="Q86" s="537">
        <v>43804</v>
      </c>
      <c r="R86" s="495" t="s">
        <v>2518</v>
      </c>
      <c r="S86" s="491"/>
      <c r="T86" s="536">
        <v>4011000</v>
      </c>
      <c r="U86" s="536">
        <v>4412100</v>
      </c>
      <c r="V86" s="1471"/>
      <c r="W86" s="1471"/>
      <c r="X86" s="1471"/>
      <c r="Y86" s="573">
        <v>43805</v>
      </c>
      <c r="Z86" s="536" t="s">
        <v>6093</v>
      </c>
      <c r="AA86" s="537">
        <v>43871</v>
      </c>
      <c r="AB86" s="537">
        <v>43888</v>
      </c>
      <c r="AC86" s="537">
        <v>44601</v>
      </c>
      <c r="AD86" s="537" t="s">
        <v>8483</v>
      </c>
      <c r="AE86" s="491" t="s">
        <v>11373</v>
      </c>
      <c r="AF86" s="388" t="s">
        <v>6400</v>
      </c>
      <c r="AG86" s="374"/>
    </row>
    <row r="87" spans="1:45" ht="15.75" thickBot="1">
      <c r="C87" s="1380">
        <v>43640</v>
      </c>
      <c r="D87" s="1376" t="s">
        <v>4979</v>
      </c>
      <c r="E87" s="1376" t="s">
        <v>69</v>
      </c>
      <c r="F87" s="1376" t="s">
        <v>70</v>
      </c>
      <c r="G87" s="1378" t="s">
        <v>4980</v>
      </c>
      <c r="H87" s="1376">
        <v>5</v>
      </c>
      <c r="I87" s="1421" t="s">
        <v>4985</v>
      </c>
      <c r="J87" s="1376"/>
      <c r="K87" s="1376" t="s">
        <v>93</v>
      </c>
      <c r="L87" s="1376"/>
      <c r="M87" s="1379">
        <v>13562801</v>
      </c>
      <c r="N87" s="1376" t="s">
        <v>251</v>
      </c>
      <c r="O87" s="1380">
        <v>43679</v>
      </c>
      <c r="P87" s="1380">
        <v>43728</v>
      </c>
      <c r="Q87" s="1380">
        <v>43804</v>
      </c>
      <c r="R87" s="1421" t="s">
        <v>1318</v>
      </c>
      <c r="S87" s="1376"/>
      <c r="T87" s="1379">
        <v>11639164.960000001</v>
      </c>
      <c r="U87" s="1379">
        <v>12803081.460000001</v>
      </c>
      <c r="V87" s="1475"/>
      <c r="W87" s="1475"/>
      <c r="X87" s="1475"/>
      <c r="Y87" s="1388">
        <v>43805</v>
      </c>
      <c r="Z87" s="1379" t="s">
        <v>6094</v>
      </c>
      <c r="AA87" s="1380">
        <v>43871</v>
      </c>
      <c r="AB87" s="1380">
        <v>43888</v>
      </c>
      <c r="AC87" s="1380">
        <v>44601</v>
      </c>
      <c r="AD87" s="1380">
        <v>44279</v>
      </c>
      <c r="AE87" s="1380">
        <v>44645</v>
      </c>
      <c r="AF87" s="388" t="s">
        <v>6400</v>
      </c>
      <c r="AG87" s="374"/>
    </row>
    <row r="88" spans="1:45" ht="30.75" thickTop="1">
      <c r="A88" s="1944"/>
      <c r="B88" s="1944"/>
      <c r="C88" s="365">
        <v>43636</v>
      </c>
      <c r="D88" s="1397" t="s">
        <v>5016</v>
      </c>
      <c r="E88" s="3210" t="s">
        <v>58</v>
      </c>
      <c r="F88" s="3210" t="s">
        <v>2684</v>
      </c>
      <c r="G88" s="2517" t="s">
        <v>5017</v>
      </c>
      <c r="H88" s="3210"/>
      <c r="I88" s="3211"/>
      <c r="J88" s="3210"/>
      <c r="K88" s="3210" t="s">
        <v>462</v>
      </c>
      <c r="L88" s="3210"/>
      <c r="M88" s="364">
        <v>4530000</v>
      </c>
      <c r="N88" s="3210" t="s">
        <v>251</v>
      </c>
      <c r="O88" s="365">
        <v>43649</v>
      </c>
      <c r="P88" s="365">
        <v>43698</v>
      </c>
      <c r="Q88" s="365">
        <v>43760</v>
      </c>
      <c r="R88" s="3211" t="s">
        <v>5827</v>
      </c>
      <c r="S88" s="3210"/>
      <c r="T88" s="364">
        <v>4802142</v>
      </c>
      <c r="U88" s="364">
        <v>4802142</v>
      </c>
      <c r="V88" s="1473"/>
      <c r="W88" s="1473"/>
      <c r="X88" s="1473"/>
      <c r="Y88" s="681">
        <v>43762</v>
      </c>
      <c r="Z88" s="1417" t="s">
        <v>5909</v>
      </c>
      <c r="AA88" s="365">
        <v>43847</v>
      </c>
      <c r="AB88" s="365">
        <v>43851</v>
      </c>
      <c r="AC88" s="365">
        <f>AA88+56</f>
        <v>43903</v>
      </c>
      <c r="AD88" s="365">
        <v>43949</v>
      </c>
      <c r="AE88" s="451" t="s">
        <v>1875</v>
      </c>
      <c r="AF88" s="374"/>
      <c r="AG88" s="374"/>
      <c r="AJ88" s="1944"/>
      <c r="AK88" s="1944"/>
      <c r="AL88" s="1944"/>
      <c r="AM88" s="1944"/>
      <c r="AN88" s="1944"/>
      <c r="AO88" s="1944"/>
      <c r="AP88" s="1944"/>
      <c r="AQ88" s="1944"/>
      <c r="AR88" s="1944"/>
      <c r="AS88" s="1944"/>
    </row>
    <row r="89" spans="1:45" s="1747" customFormat="1" ht="30.75" thickBot="1">
      <c r="C89" s="1524">
        <v>43649</v>
      </c>
      <c r="D89" s="1945" t="s">
        <v>5061</v>
      </c>
      <c r="E89" s="919" t="s">
        <v>2644</v>
      </c>
      <c r="F89" s="919" t="s">
        <v>5062</v>
      </c>
      <c r="G89" s="1946" t="s">
        <v>5063</v>
      </c>
      <c r="H89" s="919"/>
      <c r="I89" s="1947"/>
      <c r="J89" s="919"/>
      <c r="K89" s="919" t="s">
        <v>2646</v>
      </c>
      <c r="L89" s="919"/>
      <c r="M89" s="1523">
        <v>8500000</v>
      </c>
      <c r="N89" s="919" t="s">
        <v>251</v>
      </c>
      <c r="O89" s="1524">
        <v>43713</v>
      </c>
      <c r="P89" s="1524">
        <v>43746</v>
      </c>
      <c r="Q89" s="1524">
        <v>43860</v>
      </c>
      <c r="R89" s="976" t="s">
        <v>6277</v>
      </c>
      <c r="S89" s="919"/>
      <c r="T89" s="1523">
        <v>8055900</v>
      </c>
      <c r="U89" s="1523">
        <v>9264285</v>
      </c>
      <c r="V89" s="1517"/>
      <c r="W89" s="1517"/>
      <c r="X89" s="1517"/>
      <c r="Y89" s="1532">
        <v>43860</v>
      </c>
      <c r="Z89" s="1549" t="s">
        <v>6334</v>
      </c>
      <c r="AA89" s="1524">
        <v>43903</v>
      </c>
      <c r="AB89" s="1524">
        <v>43906</v>
      </c>
      <c r="AC89" s="919" t="s">
        <v>4096</v>
      </c>
      <c r="AD89" s="1524">
        <v>44277</v>
      </c>
      <c r="AE89" s="1524">
        <v>44642</v>
      </c>
      <c r="AF89" s="1701">
        <v>2022</v>
      </c>
      <c r="AG89" s="1701">
        <v>2023</v>
      </c>
      <c r="AH89" s="1701">
        <v>2024</v>
      </c>
      <c r="AI89" s="1746"/>
    </row>
    <row r="90" spans="1:45" ht="15.75" thickTop="1">
      <c r="A90" s="1944"/>
      <c r="B90" s="1944"/>
      <c r="C90" s="474">
        <v>43669</v>
      </c>
      <c r="D90" s="1383" t="s">
        <v>5151</v>
      </c>
      <c r="E90" s="453" t="s">
        <v>69</v>
      </c>
      <c r="F90" s="453" t="s">
        <v>70</v>
      </c>
      <c r="G90" s="473" t="s">
        <v>5152</v>
      </c>
      <c r="H90" s="453">
        <v>1</v>
      </c>
      <c r="I90" s="1420" t="s">
        <v>4873</v>
      </c>
      <c r="J90" s="453"/>
      <c r="K90" s="453" t="s">
        <v>68</v>
      </c>
      <c r="L90" s="453"/>
      <c r="M90" s="457">
        <v>2143890</v>
      </c>
      <c r="N90" s="453" t="s">
        <v>251</v>
      </c>
      <c r="O90" s="474">
        <v>43678</v>
      </c>
      <c r="P90" s="474">
        <v>43796</v>
      </c>
      <c r="Q90" s="474">
        <v>43851</v>
      </c>
      <c r="R90" s="1420" t="s">
        <v>5774</v>
      </c>
      <c r="S90" s="453"/>
      <c r="T90" s="457">
        <v>2143890</v>
      </c>
      <c r="U90" s="457">
        <v>2358279</v>
      </c>
      <c r="V90" s="1474"/>
      <c r="W90" s="1474"/>
      <c r="X90" s="1474"/>
      <c r="Y90" s="570">
        <v>43853</v>
      </c>
      <c r="Z90" s="457" t="s">
        <v>6314</v>
      </c>
      <c r="AA90" s="474">
        <v>43910</v>
      </c>
      <c r="AB90" s="474">
        <v>43914</v>
      </c>
      <c r="AC90" s="474">
        <v>44639</v>
      </c>
      <c r="AD90" s="474">
        <v>44279</v>
      </c>
      <c r="AE90" s="474">
        <v>44645</v>
      </c>
      <c r="AF90" s="388" t="s">
        <v>6584</v>
      </c>
      <c r="AG90" s="374"/>
      <c r="AJ90" s="1944"/>
      <c r="AK90" s="1944"/>
      <c r="AL90" s="1944"/>
      <c r="AM90" s="1944"/>
      <c r="AN90" s="1944"/>
      <c r="AO90" s="1944"/>
      <c r="AP90" s="1944"/>
      <c r="AQ90" s="1944"/>
      <c r="AR90" s="1944"/>
      <c r="AS90" s="1944"/>
    </row>
    <row r="91" spans="1:45">
      <c r="A91" s="1944"/>
      <c r="B91" s="1944"/>
      <c r="C91" s="537">
        <v>43669</v>
      </c>
      <c r="D91" s="1373" t="s">
        <v>5151</v>
      </c>
      <c r="E91" s="491" t="s">
        <v>69</v>
      </c>
      <c r="F91" s="491" t="s">
        <v>70</v>
      </c>
      <c r="G91" s="571" t="s">
        <v>5152</v>
      </c>
      <c r="H91" s="491">
        <v>2</v>
      </c>
      <c r="I91" s="495" t="s">
        <v>4874</v>
      </c>
      <c r="J91" s="491"/>
      <c r="K91" s="491" t="s">
        <v>68</v>
      </c>
      <c r="L91" s="491"/>
      <c r="M91" s="536">
        <v>3103225</v>
      </c>
      <c r="N91" s="491" t="s">
        <v>251</v>
      </c>
      <c r="O91" s="537">
        <v>43678</v>
      </c>
      <c r="P91" s="537">
        <v>43796</v>
      </c>
      <c r="Q91" s="537">
        <v>43851</v>
      </c>
      <c r="R91" s="495" t="s">
        <v>7042</v>
      </c>
      <c r="S91" s="491"/>
      <c r="T91" s="536">
        <v>3153926.88</v>
      </c>
      <c r="U91" s="536">
        <v>3469319.57</v>
      </c>
      <c r="V91" s="1471"/>
      <c r="W91" s="1471"/>
      <c r="X91" s="1471"/>
      <c r="Y91" s="573">
        <v>43853</v>
      </c>
      <c r="Z91" s="536" t="s">
        <v>6315</v>
      </c>
      <c r="AA91" s="537">
        <v>43910</v>
      </c>
      <c r="AB91" s="537">
        <v>43914</v>
      </c>
      <c r="AC91" s="537">
        <v>44639</v>
      </c>
      <c r="AD91" s="537">
        <v>44279</v>
      </c>
      <c r="AE91" s="537">
        <v>44645</v>
      </c>
      <c r="AF91" s="388" t="s">
        <v>6584</v>
      </c>
      <c r="AG91" s="374"/>
      <c r="AJ91" s="1944"/>
      <c r="AK91" s="1944"/>
      <c r="AL91" s="1944"/>
      <c r="AM91" s="1944"/>
      <c r="AN91" s="1944"/>
      <c r="AO91" s="1944"/>
      <c r="AP91" s="1944"/>
      <c r="AQ91" s="1944"/>
      <c r="AR91" s="1944"/>
      <c r="AS91" s="1944"/>
    </row>
    <row r="92" spans="1:45">
      <c r="A92" s="1944"/>
      <c r="B92" s="1944"/>
      <c r="C92" s="498">
        <v>43672</v>
      </c>
      <c r="D92" s="1544" t="s">
        <v>5184</v>
      </c>
      <c r="E92" s="232" t="s">
        <v>69</v>
      </c>
      <c r="F92" s="232" t="s">
        <v>70</v>
      </c>
      <c r="G92" s="274" t="s">
        <v>5185</v>
      </c>
      <c r="H92" s="232">
        <v>1</v>
      </c>
      <c r="I92" s="669" t="s">
        <v>5186</v>
      </c>
      <c r="J92" s="232"/>
      <c r="K92" s="232" t="s">
        <v>72</v>
      </c>
      <c r="L92" s="232"/>
      <c r="M92" s="499">
        <v>33090783</v>
      </c>
      <c r="N92" s="232" t="s">
        <v>251</v>
      </c>
      <c r="O92" s="498">
        <v>43794</v>
      </c>
      <c r="P92" s="498">
        <v>43826</v>
      </c>
      <c r="Q92" s="498">
        <v>43879</v>
      </c>
      <c r="R92" s="669" t="s">
        <v>578</v>
      </c>
      <c r="S92" s="232"/>
      <c r="T92" s="499">
        <v>31779972.199999999</v>
      </c>
      <c r="U92" s="499">
        <v>34957969.420000002</v>
      </c>
      <c r="V92" s="1545"/>
      <c r="W92" s="1545"/>
      <c r="X92" s="1545"/>
      <c r="Y92" s="682">
        <v>43880</v>
      </c>
      <c r="Z92" s="499" t="s">
        <v>6430</v>
      </c>
      <c r="AA92" s="498">
        <v>43902</v>
      </c>
      <c r="AB92" s="498">
        <v>43937</v>
      </c>
      <c r="AC92" s="232" t="s">
        <v>6544</v>
      </c>
      <c r="AD92" s="498">
        <v>44279</v>
      </c>
      <c r="AE92" s="498" t="s">
        <v>11373</v>
      </c>
      <c r="AF92" s="388">
        <v>2022</v>
      </c>
      <c r="AG92" s="388">
        <v>2023</v>
      </c>
      <c r="AH92" s="388" t="s">
        <v>6545</v>
      </c>
      <c r="AJ92" s="1944"/>
      <c r="AK92" s="1944"/>
      <c r="AL92" s="1944"/>
      <c r="AM92" s="1944"/>
      <c r="AN92" s="1944"/>
      <c r="AO92" s="1944"/>
      <c r="AP92" s="1944"/>
      <c r="AQ92" s="1944"/>
      <c r="AR92" s="1944"/>
      <c r="AS92" s="1944"/>
    </row>
    <row r="93" spans="1:45">
      <c r="A93" s="1944"/>
      <c r="B93" s="1944"/>
      <c r="C93" s="1539">
        <v>43672</v>
      </c>
      <c r="D93" s="1540" t="s">
        <v>5187</v>
      </c>
      <c r="E93" s="185" t="s">
        <v>69</v>
      </c>
      <c r="F93" s="185" t="s">
        <v>70</v>
      </c>
      <c r="G93" s="282" t="s">
        <v>5188</v>
      </c>
      <c r="H93" s="185">
        <v>1</v>
      </c>
      <c r="I93" s="1541" t="s">
        <v>3744</v>
      </c>
      <c r="J93" s="185"/>
      <c r="K93" s="185" t="s">
        <v>3435</v>
      </c>
      <c r="L93" s="185"/>
      <c r="M93" s="1542">
        <v>73272200</v>
      </c>
      <c r="N93" s="185" t="s">
        <v>251</v>
      </c>
      <c r="O93" s="1539">
        <v>43719</v>
      </c>
      <c r="P93" s="1539">
        <v>43838</v>
      </c>
      <c r="Q93" s="185"/>
      <c r="R93" s="1541"/>
      <c r="S93" s="185"/>
      <c r="T93" s="1542"/>
      <c r="U93" s="1542"/>
      <c r="V93" s="1543"/>
      <c r="W93" s="1543"/>
      <c r="X93" s="1543"/>
      <c r="Y93" s="1542"/>
      <c r="Z93" s="1542"/>
      <c r="AA93" s="185"/>
      <c r="AB93" s="1539">
        <v>43937</v>
      </c>
      <c r="AC93" s="1541" t="s">
        <v>6604</v>
      </c>
      <c r="AD93" s="185"/>
      <c r="AE93" s="185"/>
      <c r="AF93" s="374"/>
      <c r="AG93" s="374"/>
      <c r="AJ93" s="1944"/>
      <c r="AK93" s="1944"/>
      <c r="AL93" s="1944"/>
      <c r="AM93" s="1944"/>
      <c r="AN93" s="1944"/>
      <c r="AO93" s="1944"/>
      <c r="AP93" s="1944"/>
      <c r="AQ93" s="1944"/>
      <c r="AR93" s="1944"/>
      <c r="AS93" s="1944"/>
    </row>
    <row r="94" spans="1:45" ht="15.75" thickBot="1">
      <c r="A94" s="1944"/>
      <c r="B94" s="1944"/>
      <c r="C94" s="1380">
        <v>43672</v>
      </c>
      <c r="D94" s="1377" t="s">
        <v>5189</v>
      </c>
      <c r="E94" s="1376" t="s">
        <v>69</v>
      </c>
      <c r="F94" s="1376" t="s">
        <v>70</v>
      </c>
      <c r="G94" s="1378" t="s">
        <v>5190</v>
      </c>
      <c r="H94" s="1376">
        <v>5</v>
      </c>
      <c r="I94" s="1421" t="s">
        <v>5195</v>
      </c>
      <c r="J94" s="1376"/>
      <c r="K94" s="1376" t="s">
        <v>816</v>
      </c>
      <c r="L94" s="1376"/>
      <c r="M94" s="1379">
        <v>24711846</v>
      </c>
      <c r="N94" s="1376" t="s">
        <v>251</v>
      </c>
      <c r="O94" s="1380">
        <v>43735</v>
      </c>
      <c r="P94" s="1380">
        <v>43768</v>
      </c>
      <c r="Q94" s="1380">
        <v>43816</v>
      </c>
      <c r="R94" s="1421" t="s">
        <v>2548</v>
      </c>
      <c r="S94" s="1376"/>
      <c r="T94" s="1379">
        <v>24687189.539999999</v>
      </c>
      <c r="U94" s="1379">
        <v>27155908.489999998</v>
      </c>
      <c r="V94" s="1475"/>
      <c r="W94" s="1475"/>
      <c r="X94" s="1475"/>
      <c r="Y94" s="1388">
        <v>43818</v>
      </c>
      <c r="Z94" s="1379" t="s">
        <v>6182</v>
      </c>
      <c r="AA94" s="1380">
        <v>43861</v>
      </c>
      <c r="AB94" s="1380">
        <v>43867</v>
      </c>
      <c r="AC94" s="1380">
        <v>44591</v>
      </c>
      <c r="AD94" s="1380">
        <v>44279</v>
      </c>
      <c r="AE94" s="1380">
        <v>44645</v>
      </c>
      <c r="AF94" s="1381" t="s">
        <v>6350</v>
      </c>
      <c r="AG94" s="374"/>
      <c r="AJ94" s="1944"/>
      <c r="AK94" s="1944"/>
      <c r="AL94" s="1944"/>
      <c r="AM94" s="1944"/>
      <c r="AN94" s="1944"/>
      <c r="AO94" s="1944"/>
      <c r="AP94" s="1944"/>
      <c r="AQ94" s="1944"/>
      <c r="AR94" s="1944"/>
      <c r="AS94" s="1944"/>
    </row>
    <row r="95" spans="1:45" ht="15.75" thickTop="1">
      <c r="A95" s="1944"/>
      <c r="B95" s="1944"/>
      <c r="C95" s="365">
        <v>43672</v>
      </c>
      <c r="D95" s="1397" t="s">
        <v>5196</v>
      </c>
      <c r="E95" s="3210" t="s">
        <v>69</v>
      </c>
      <c r="F95" s="3210" t="s">
        <v>70</v>
      </c>
      <c r="G95" s="175" t="s">
        <v>5197</v>
      </c>
      <c r="H95" s="3210">
        <v>1</v>
      </c>
      <c r="I95" s="3211" t="s">
        <v>5198</v>
      </c>
      <c r="J95" s="3210"/>
      <c r="K95" s="3210" t="s">
        <v>68</v>
      </c>
      <c r="L95" s="3210"/>
      <c r="M95" s="364">
        <v>27093272</v>
      </c>
      <c r="N95" s="3210" t="s">
        <v>251</v>
      </c>
      <c r="O95" s="365">
        <v>43794</v>
      </c>
      <c r="P95" s="365">
        <v>43854</v>
      </c>
      <c r="Q95" s="365">
        <v>43921</v>
      </c>
      <c r="R95" s="3211" t="s">
        <v>7042</v>
      </c>
      <c r="S95" s="3210"/>
      <c r="T95" s="364">
        <v>27093269.640000001</v>
      </c>
      <c r="U95" s="364">
        <v>29802596.600000001</v>
      </c>
      <c r="V95" s="1473"/>
      <c r="W95" s="1473"/>
      <c r="X95" s="1473"/>
      <c r="Y95" s="681">
        <v>43922</v>
      </c>
      <c r="Z95" s="364" t="s">
        <v>6617</v>
      </c>
      <c r="AA95" s="365">
        <v>43965</v>
      </c>
      <c r="AB95" s="365">
        <v>43994</v>
      </c>
      <c r="AC95" s="365">
        <v>45059</v>
      </c>
      <c r="AD95" s="365">
        <v>44279</v>
      </c>
      <c r="AE95" s="365">
        <v>44645</v>
      </c>
      <c r="AF95" s="388">
        <v>2022</v>
      </c>
      <c r="AG95" s="388" t="s">
        <v>6813</v>
      </c>
      <c r="AJ95" s="1944"/>
      <c r="AK95" s="1944"/>
      <c r="AL95" s="1944"/>
      <c r="AM95" s="1944"/>
      <c r="AN95" s="1944"/>
      <c r="AO95" s="1944"/>
      <c r="AP95" s="1944"/>
      <c r="AQ95" s="1944"/>
      <c r="AR95" s="1944"/>
      <c r="AS95" s="1944"/>
    </row>
    <row r="96" spans="1:45">
      <c r="A96" s="1944"/>
      <c r="B96" s="1944"/>
      <c r="C96" s="537">
        <v>43690</v>
      </c>
      <c r="D96" s="1373" t="s">
        <v>5240</v>
      </c>
      <c r="E96" s="491" t="s">
        <v>69</v>
      </c>
      <c r="F96" s="491" t="s">
        <v>70</v>
      </c>
      <c r="G96" s="571" t="s">
        <v>5241</v>
      </c>
      <c r="H96" s="491">
        <v>1</v>
      </c>
      <c r="I96" s="3211" t="s">
        <v>5242</v>
      </c>
      <c r="J96" s="491"/>
      <c r="K96" s="491" t="s">
        <v>5244</v>
      </c>
      <c r="L96" s="491"/>
      <c r="M96" s="536">
        <v>6432000</v>
      </c>
      <c r="N96" s="491" t="s">
        <v>251</v>
      </c>
      <c r="O96" s="537">
        <v>43724</v>
      </c>
      <c r="P96" s="537">
        <v>43756</v>
      </c>
      <c r="Q96" s="537">
        <v>43781</v>
      </c>
      <c r="R96" s="495" t="s">
        <v>576</v>
      </c>
      <c r="S96" s="491"/>
      <c r="T96" s="536">
        <v>5767106.8799999999</v>
      </c>
      <c r="U96" s="536">
        <v>6343817.5700000003</v>
      </c>
      <c r="V96" s="1471"/>
      <c r="W96" s="1471"/>
      <c r="X96" s="1471"/>
      <c r="Y96" s="573">
        <v>43782</v>
      </c>
      <c r="Z96" s="536" t="s">
        <v>5998</v>
      </c>
      <c r="AA96" s="537">
        <v>43839</v>
      </c>
      <c r="AB96" s="537">
        <v>43846</v>
      </c>
      <c r="AC96" s="537">
        <v>44569</v>
      </c>
      <c r="AD96" s="537">
        <v>44279</v>
      </c>
      <c r="AE96" s="537">
        <v>44645</v>
      </c>
      <c r="AF96" s="388" t="s">
        <v>6250</v>
      </c>
      <c r="AG96" s="374"/>
      <c r="AJ96" s="1944"/>
      <c r="AK96" s="1944"/>
      <c r="AL96" s="1944"/>
      <c r="AM96" s="1944"/>
      <c r="AN96" s="1944"/>
      <c r="AO96" s="1944"/>
      <c r="AP96" s="1944"/>
      <c r="AQ96" s="1944"/>
      <c r="AR96" s="1944"/>
      <c r="AS96" s="1944"/>
    </row>
    <row r="97" spans="1:45">
      <c r="A97" s="1944"/>
      <c r="B97" s="1944"/>
      <c r="C97" s="537">
        <v>43697</v>
      </c>
      <c r="D97" s="1373" t="s">
        <v>5289</v>
      </c>
      <c r="E97" s="491" t="s">
        <v>69</v>
      </c>
      <c r="F97" s="491" t="s">
        <v>70</v>
      </c>
      <c r="G97" s="571" t="s">
        <v>5290</v>
      </c>
      <c r="H97" s="491">
        <v>1</v>
      </c>
      <c r="I97" s="495" t="s">
        <v>5291</v>
      </c>
      <c r="J97" s="491"/>
      <c r="K97" s="491" t="s">
        <v>68</v>
      </c>
      <c r="L97" s="491"/>
      <c r="M97" s="536">
        <v>127016998</v>
      </c>
      <c r="N97" s="491" t="s">
        <v>251</v>
      </c>
      <c r="O97" s="537">
        <v>43796</v>
      </c>
      <c r="P97" s="537">
        <v>43836</v>
      </c>
      <c r="Q97" s="537">
        <v>43879</v>
      </c>
      <c r="R97" s="495" t="s">
        <v>7042</v>
      </c>
      <c r="S97" s="491"/>
      <c r="T97" s="536">
        <v>109012617.59999999</v>
      </c>
      <c r="U97" s="536">
        <v>119913879.36</v>
      </c>
      <c r="V97" s="1471"/>
      <c r="W97" s="1471"/>
      <c r="X97" s="1471"/>
      <c r="Y97" s="573">
        <v>43881</v>
      </c>
      <c r="Z97" s="536" t="s">
        <v>6440</v>
      </c>
      <c r="AA97" s="537">
        <v>43965</v>
      </c>
      <c r="AB97" s="537">
        <v>43987</v>
      </c>
      <c r="AC97" s="537">
        <v>45059</v>
      </c>
      <c r="AD97" s="537">
        <v>44279</v>
      </c>
      <c r="AE97" s="537">
        <v>44645</v>
      </c>
      <c r="AF97" s="388">
        <v>2022</v>
      </c>
      <c r="AG97" s="388" t="s">
        <v>6813</v>
      </c>
      <c r="AJ97" s="1944"/>
      <c r="AK97" s="1944"/>
      <c r="AL97" s="1944"/>
      <c r="AM97" s="1944"/>
      <c r="AN97" s="1944"/>
      <c r="AO97" s="1944"/>
      <c r="AP97" s="1944"/>
      <c r="AQ97" s="1944"/>
      <c r="AR97" s="1944"/>
      <c r="AS97" s="1944"/>
    </row>
    <row r="98" spans="1:45">
      <c r="A98" s="1944"/>
      <c r="B98" s="1944"/>
      <c r="C98" s="537">
        <v>43692</v>
      </c>
      <c r="D98" s="1373" t="s">
        <v>5301</v>
      </c>
      <c r="E98" s="491" t="s">
        <v>2434</v>
      </c>
      <c r="F98" s="491" t="s">
        <v>219</v>
      </c>
      <c r="G98" s="2517" t="s">
        <v>5302</v>
      </c>
      <c r="H98" s="491"/>
      <c r="I98" s="495"/>
      <c r="J98" s="491"/>
      <c r="K98" s="491" t="s">
        <v>4312</v>
      </c>
      <c r="L98" s="491"/>
      <c r="M98" s="536">
        <v>2384424</v>
      </c>
      <c r="N98" s="491" t="s">
        <v>216</v>
      </c>
      <c r="O98" s="537">
        <v>43768</v>
      </c>
      <c r="P98" s="537">
        <v>43789</v>
      </c>
      <c r="Q98" s="537">
        <v>43804</v>
      </c>
      <c r="R98" s="495" t="s">
        <v>6071</v>
      </c>
      <c r="S98" s="491"/>
      <c r="T98" s="536">
        <v>2346120</v>
      </c>
      <c r="U98" s="536">
        <v>2838805.2</v>
      </c>
      <c r="V98" s="1471"/>
      <c r="W98" s="1471"/>
      <c r="X98" s="1471"/>
      <c r="Y98" s="573">
        <v>43804</v>
      </c>
      <c r="Z98" s="536" t="s">
        <v>6088</v>
      </c>
      <c r="AA98" s="537">
        <v>43866</v>
      </c>
      <c r="AB98" s="537">
        <v>43868</v>
      </c>
      <c r="AC98" s="537">
        <v>44961</v>
      </c>
      <c r="AD98" s="1525">
        <v>44872</v>
      </c>
      <c r="AE98" s="1102"/>
      <c r="AJ98" s="1944"/>
      <c r="AK98" s="1944"/>
      <c r="AL98" s="1944"/>
      <c r="AM98" s="1944"/>
      <c r="AN98" s="1944"/>
      <c r="AO98" s="1944"/>
      <c r="AP98" s="1944"/>
      <c r="AQ98" s="1944"/>
      <c r="AR98" s="1944"/>
      <c r="AS98" s="1944"/>
    </row>
    <row r="99" spans="1:45" ht="15.75" thickBot="1">
      <c r="A99" s="1944"/>
      <c r="B99" s="1944"/>
      <c r="C99" s="643">
        <v>43697</v>
      </c>
      <c r="D99" s="1491" t="s">
        <v>5292</v>
      </c>
      <c r="E99" s="639" t="s">
        <v>69</v>
      </c>
      <c r="F99" s="639" t="s">
        <v>70</v>
      </c>
      <c r="G99" s="640" t="s">
        <v>5293</v>
      </c>
      <c r="H99" s="639">
        <v>1</v>
      </c>
      <c r="I99" s="1533" t="s">
        <v>5294</v>
      </c>
      <c r="J99" s="639"/>
      <c r="K99" s="639" t="s">
        <v>3438</v>
      </c>
      <c r="L99" s="639"/>
      <c r="M99" s="645">
        <v>9364240</v>
      </c>
      <c r="N99" s="639" t="s">
        <v>251</v>
      </c>
      <c r="O99" s="643">
        <v>43724</v>
      </c>
      <c r="P99" s="643">
        <v>43802</v>
      </c>
      <c r="Q99" s="639"/>
      <c r="R99" s="644" t="s">
        <v>6399</v>
      </c>
      <c r="S99" s="2019" t="s">
        <v>7276</v>
      </c>
      <c r="T99" s="645"/>
      <c r="U99" s="645"/>
      <c r="V99" s="1534"/>
      <c r="W99" s="1534"/>
      <c r="X99" s="1534"/>
      <c r="Y99" s="645"/>
      <c r="Z99" s="645"/>
      <c r="AA99" s="639"/>
      <c r="AB99" s="643">
        <v>43892</v>
      </c>
      <c r="AC99" s="639" t="s">
        <v>6493</v>
      </c>
      <c r="AD99" s="639"/>
      <c r="AE99" s="639"/>
      <c r="AF99" s="374"/>
      <c r="AG99" s="374"/>
      <c r="AJ99" s="1944"/>
      <c r="AK99" s="1944"/>
      <c r="AL99" s="1944"/>
      <c r="AM99" s="1944"/>
      <c r="AN99" s="1944"/>
      <c r="AO99" s="1944"/>
      <c r="AP99" s="1944"/>
      <c r="AQ99" s="1944"/>
      <c r="AR99" s="1944"/>
      <c r="AS99" s="1944"/>
    </row>
    <row r="100" spans="1:45" ht="15.75" thickTop="1">
      <c r="A100" s="1944"/>
      <c r="B100" s="1944"/>
      <c r="C100" s="474">
        <v>43697</v>
      </c>
      <c r="D100" s="1383" t="s">
        <v>5295</v>
      </c>
      <c r="E100" s="453" t="s">
        <v>69</v>
      </c>
      <c r="F100" s="453" t="s">
        <v>70</v>
      </c>
      <c r="G100" s="473" t="s">
        <v>5296</v>
      </c>
      <c r="H100" s="453">
        <v>1</v>
      </c>
      <c r="I100" s="1420" t="s">
        <v>5297</v>
      </c>
      <c r="J100" s="453"/>
      <c r="K100" s="453" t="s">
        <v>5300</v>
      </c>
      <c r="L100" s="453"/>
      <c r="M100" s="457">
        <v>1381855</v>
      </c>
      <c r="N100" s="453" t="s">
        <v>251</v>
      </c>
      <c r="O100" s="474">
        <v>43746</v>
      </c>
      <c r="P100" s="474">
        <v>43780</v>
      </c>
      <c r="Q100" s="474">
        <v>43804</v>
      </c>
      <c r="R100" s="1420" t="s">
        <v>576</v>
      </c>
      <c r="S100" s="453"/>
      <c r="T100" s="457">
        <v>1381846.8</v>
      </c>
      <c r="U100" s="457">
        <v>1520031.48</v>
      </c>
      <c r="V100" s="1474"/>
      <c r="W100" s="1474"/>
      <c r="X100" s="1474"/>
      <c r="Y100" s="570">
        <v>43805</v>
      </c>
      <c r="Z100" s="457" t="s">
        <v>6098</v>
      </c>
      <c r="AA100" s="474">
        <v>43880</v>
      </c>
      <c r="AB100" s="474">
        <v>43887</v>
      </c>
      <c r="AC100" s="474">
        <v>44610</v>
      </c>
      <c r="AD100" s="474">
        <v>44279</v>
      </c>
      <c r="AE100" s="474">
        <v>44645</v>
      </c>
      <c r="AF100" s="388" t="s">
        <v>6439</v>
      </c>
      <c r="AG100" s="374"/>
      <c r="AJ100" s="1944"/>
      <c r="AK100" s="1944"/>
      <c r="AL100" s="1944"/>
      <c r="AM100" s="1944"/>
      <c r="AN100" s="1944"/>
      <c r="AO100" s="1944"/>
      <c r="AP100" s="1944"/>
      <c r="AQ100" s="1944"/>
      <c r="AR100" s="1944"/>
      <c r="AS100" s="1944"/>
    </row>
    <row r="101" spans="1:45">
      <c r="A101" s="1944"/>
      <c r="B101" s="1944"/>
      <c r="C101" s="537">
        <v>43700</v>
      </c>
      <c r="D101" s="1373" t="s">
        <v>5358</v>
      </c>
      <c r="E101" s="491" t="s">
        <v>1032</v>
      </c>
      <c r="F101" s="491" t="s">
        <v>361</v>
      </c>
      <c r="G101" s="571" t="s">
        <v>5359</v>
      </c>
      <c r="H101" s="491"/>
      <c r="I101" s="495"/>
      <c r="J101" s="491"/>
      <c r="K101" s="491" t="s">
        <v>1049</v>
      </c>
      <c r="L101" s="491"/>
      <c r="M101" s="536">
        <v>2500000</v>
      </c>
      <c r="N101" s="491" t="s">
        <v>216</v>
      </c>
      <c r="O101" s="537">
        <v>43728</v>
      </c>
      <c r="P101" s="537">
        <v>43767</v>
      </c>
      <c r="Q101" s="537">
        <v>43802</v>
      </c>
      <c r="R101" s="495" t="s">
        <v>6069</v>
      </c>
      <c r="S101" s="491"/>
      <c r="T101" s="536">
        <v>3340900</v>
      </c>
      <c r="U101" s="536">
        <f>T101*1.21</f>
        <v>4042489</v>
      </c>
      <c r="V101" s="1471"/>
      <c r="W101" s="1471"/>
      <c r="X101" s="1471"/>
      <c r="Y101" s="573">
        <v>43803</v>
      </c>
      <c r="Z101" s="536" t="s">
        <v>6080</v>
      </c>
      <c r="AA101" s="537">
        <v>43845</v>
      </c>
      <c r="AB101" s="537">
        <v>43845</v>
      </c>
      <c r="AC101" s="537">
        <f>AA101+238</f>
        <v>44083</v>
      </c>
      <c r="AD101" s="537">
        <v>44175</v>
      </c>
      <c r="AE101" s="1102"/>
      <c r="AF101" s="374"/>
      <c r="AG101" s="374"/>
      <c r="AJ101" s="1944"/>
      <c r="AK101" s="1944"/>
      <c r="AL101" s="1944"/>
      <c r="AM101" s="1944"/>
      <c r="AN101" s="1944"/>
      <c r="AO101" s="1944"/>
      <c r="AP101" s="1944"/>
      <c r="AQ101" s="1944"/>
      <c r="AR101" s="1944"/>
      <c r="AS101" s="1944"/>
    </row>
    <row r="102" spans="1:45">
      <c r="A102" s="1944"/>
      <c r="B102" s="1944"/>
      <c r="C102" s="537">
        <v>43654</v>
      </c>
      <c r="D102" s="1373" t="s">
        <v>5367</v>
      </c>
      <c r="E102" s="491" t="s">
        <v>2250</v>
      </c>
      <c r="F102" s="491" t="s">
        <v>1416</v>
      </c>
      <c r="G102" s="571" t="s">
        <v>5368</v>
      </c>
      <c r="H102" s="491"/>
      <c r="I102" s="495"/>
      <c r="J102" s="491"/>
      <c r="K102" s="491" t="s">
        <v>5459</v>
      </c>
      <c r="L102" s="491"/>
      <c r="M102" s="536">
        <v>120000000</v>
      </c>
      <c r="N102" s="491" t="s">
        <v>251</v>
      </c>
      <c r="O102" s="537">
        <v>43797</v>
      </c>
      <c r="P102" s="537">
        <v>43833</v>
      </c>
      <c r="Q102" s="537">
        <v>43873</v>
      </c>
      <c r="R102" s="495" t="s">
        <v>6333</v>
      </c>
      <c r="S102" s="491"/>
      <c r="T102" s="536">
        <v>118200000</v>
      </c>
      <c r="U102" s="536">
        <v>118200000</v>
      </c>
      <c r="V102" s="1471"/>
      <c r="W102" s="1471"/>
      <c r="X102" s="1471"/>
      <c r="Y102" s="573">
        <v>43875</v>
      </c>
      <c r="Z102" s="536" t="s">
        <v>6410</v>
      </c>
      <c r="AA102" s="537">
        <v>43963</v>
      </c>
      <c r="AB102" s="537">
        <v>43965</v>
      </c>
      <c r="AC102" s="537" t="s">
        <v>4096</v>
      </c>
      <c r="AD102" s="537">
        <v>44277</v>
      </c>
      <c r="AE102" s="537">
        <v>44642</v>
      </c>
      <c r="AF102" s="388">
        <v>2022</v>
      </c>
      <c r="AG102" s="388">
        <v>2023</v>
      </c>
      <c r="AH102" s="388">
        <v>2024</v>
      </c>
      <c r="AI102" s="388" t="s">
        <v>4435</v>
      </c>
      <c r="AJ102" s="1944"/>
      <c r="AK102" s="1944"/>
      <c r="AL102" s="1944"/>
      <c r="AM102" s="1944"/>
      <c r="AN102" s="1944"/>
      <c r="AO102" s="1944"/>
      <c r="AP102" s="1944"/>
      <c r="AQ102" s="1944"/>
      <c r="AR102" s="1944"/>
      <c r="AS102" s="1944"/>
    </row>
    <row r="103" spans="1:45">
      <c r="A103" s="1944"/>
      <c r="B103" s="1944"/>
      <c r="C103" s="537">
        <v>43669</v>
      </c>
      <c r="D103" s="1373" t="s">
        <v>5369</v>
      </c>
      <c r="E103" s="491" t="s">
        <v>14</v>
      </c>
      <c r="F103" s="491" t="s">
        <v>13</v>
      </c>
      <c r="G103" s="571" t="s">
        <v>5787</v>
      </c>
      <c r="H103" s="491"/>
      <c r="I103" s="495"/>
      <c r="J103" s="491"/>
      <c r="K103" s="491" t="s">
        <v>2055</v>
      </c>
      <c r="L103" s="491"/>
      <c r="M103" s="536">
        <v>2587200</v>
      </c>
      <c r="N103" s="491" t="s">
        <v>216</v>
      </c>
      <c r="O103" s="537">
        <v>43762</v>
      </c>
      <c r="P103" s="537">
        <v>43789</v>
      </c>
      <c r="Q103" s="537">
        <v>43810</v>
      </c>
      <c r="R103" s="495" t="s">
        <v>6112</v>
      </c>
      <c r="S103" s="491"/>
      <c r="T103" s="536">
        <v>1987200</v>
      </c>
      <c r="U103" s="536">
        <v>2404512</v>
      </c>
      <c r="V103" s="1471"/>
      <c r="W103" s="1471"/>
      <c r="X103" s="1471"/>
      <c r="Y103" s="573">
        <v>43811</v>
      </c>
      <c r="Z103" s="536" t="s">
        <v>6124</v>
      </c>
      <c r="AA103" s="537">
        <v>43852</v>
      </c>
      <c r="AB103" s="537">
        <v>43852</v>
      </c>
      <c r="AC103" s="491" t="s">
        <v>4096</v>
      </c>
      <c r="AD103" s="1525">
        <v>44845</v>
      </c>
      <c r="AE103" s="1351"/>
      <c r="AH103" s="360"/>
      <c r="AI103" s="360"/>
      <c r="AJ103" s="1944"/>
      <c r="AK103" s="1944"/>
      <c r="AL103" s="1944"/>
      <c r="AM103" s="1944"/>
      <c r="AN103" s="1944"/>
      <c r="AO103" s="1944"/>
      <c r="AP103" s="1944"/>
      <c r="AQ103" s="1944"/>
      <c r="AR103" s="1944"/>
      <c r="AS103" s="1944"/>
    </row>
    <row r="104" spans="1:45" ht="30">
      <c r="A104" s="1944"/>
      <c r="B104" s="1944"/>
      <c r="C104" s="537">
        <v>43691</v>
      </c>
      <c r="D104" s="1373" t="s">
        <v>5372</v>
      </c>
      <c r="E104" s="491" t="s">
        <v>2434</v>
      </c>
      <c r="F104" s="491" t="s">
        <v>3204</v>
      </c>
      <c r="G104" s="715" t="s">
        <v>5373</v>
      </c>
      <c r="H104" s="491"/>
      <c r="I104" s="495"/>
      <c r="J104" s="491"/>
      <c r="K104" s="491" t="s">
        <v>642</v>
      </c>
      <c r="L104" s="491"/>
      <c r="M104" s="536">
        <v>3943140</v>
      </c>
      <c r="N104" s="491" t="s">
        <v>251</v>
      </c>
      <c r="O104" s="537">
        <v>43769</v>
      </c>
      <c r="P104" s="537">
        <v>43803</v>
      </c>
      <c r="Q104" s="537">
        <v>43816</v>
      </c>
      <c r="R104" s="495" t="s">
        <v>2754</v>
      </c>
      <c r="S104" s="491"/>
      <c r="T104" s="536">
        <v>3942981.82</v>
      </c>
      <c r="U104" s="536">
        <v>4771008</v>
      </c>
      <c r="V104" s="1471"/>
      <c r="W104" s="1471"/>
      <c r="X104" s="1471"/>
      <c r="Y104" s="573">
        <v>43818</v>
      </c>
      <c r="Z104" s="1375" t="s">
        <v>6170</v>
      </c>
      <c r="AA104" s="537">
        <v>43860</v>
      </c>
      <c r="AB104" s="537">
        <v>43861</v>
      </c>
      <c r="AC104" s="537">
        <v>44590</v>
      </c>
      <c r="AD104" s="537">
        <v>44285</v>
      </c>
      <c r="AE104" s="537">
        <v>44637</v>
      </c>
      <c r="AF104" s="1560">
        <v>44725</v>
      </c>
      <c r="AG104" s="374"/>
      <c r="AJ104" s="1944"/>
      <c r="AK104" s="1944"/>
      <c r="AL104" s="1944"/>
      <c r="AM104" s="1944"/>
      <c r="AN104" s="1944"/>
      <c r="AO104" s="1944"/>
      <c r="AP104" s="1944"/>
      <c r="AQ104" s="1944"/>
      <c r="AR104" s="1944"/>
      <c r="AS104" s="1944"/>
    </row>
    <row r="105" spans="1:45">
      <c r="A105" s="1944"/>
      <c r="B105" s="1944"/>
      <c r="C105" s="537">
        <v>43707</v>
      </c>
      <c r="D105" s="1373" t="s">
        <v>5402</v>
      </c>
      <c r="E105" s="491" t="s">
        <v>69</v>
      </c>
      <c r="F105" s="491" t="s">
        <v>70</v>
      </c>
      <c r="G105" s="571" t="s">
        <v>5404</v>
      </c>
      <c r="H105" s="491">
        <v>1</v>
      </c>
      <c r="I105" s="495" t="s">
        <v>3740</v>
      </c>
      <c r="J105" s="491"/>
      <c r="K105" s="491" t="s">
        <v>3237</v>
      </c>
      <c r="L105" s="491"/>
      <c r="M105" s="536">
        <v>8418067</v>
      </c>
      <c r="N105" s="491" t="s">
        <v>251</v>
      </c>
      <c r="O105" s="537">
        <v>43731</v>
      </c>
      <c r="P105" s="537">
        <v>43762</v>
      </c>
      <c r="Q105" s="537">
        <v>43804</v>
      </c>
      <c r="R105" s="495" t="s">
        <v>2548</v>
      </c>
      <c r="S105" s="491"/>
      <c r="T105" s="536">
        <v>8316786.4000000004</v>
      </c>
      <c r="U105" s="536">
        <v>9148465.0399999991</v>
      </c>
      <c r="V105" s="1471"/>
      <c r="W105" s="1471"/>
      <c r="X105" s="1471"/>
      <c r="Y105" s="573">
        <v>43805</v>
      </c>
      <c r="Z105" s="536" t="s">
        <v>6095</v>
      </c>
      <c r="AA105" s="537">
        <v>43844</v>
      </c>
      <c r="AB105" s="537">
        <v>43847</v>
      </c>
      <c r="AC105" s="537">
        <v>44574</v>
      </c>
      <c r="AD105" s="537">
        <v>44279</v>
      </c>
      <c r="AE105" s="537">
        <v>44645</v>
      </c>
      <c r="AF105" s="388" t="s">
        <v>6271</v>
      </c>
      <c r="AG105" s="374"/>
      <c r="AJ105" s="1944"/>
      <c r="AK105" s="1944"/>
      <c r="AL105" s="1944"/>
      <c r="AM105" s="1944"/>
      <c r="AN105" s="1944"/>
      <c r="AO105" s="1944"/>
      <c r="AP105" s="1944"/>
      <c r="AQ105" s="1944"/>
      <c r="AR105" s="1944"/>
      <c r="AS105" s="1944"/>
    </row>
    <row r="106" spans="1:45" ht="15.75" thickBot="1">
      <c r="A106" s="1944"/>
      <c r="B106" s="1944"/>
      <c r="C106" s="416">
        <v>43707</v>
      </c>
      <c r="D106" s="1468" t="s">
        <v>5403</v>
      </c>
      <c r="E106" s="411" t="s">
        <v>69</v>
      </c>
      <c r="F106" s="411" t="s">
        <v>70</v>
      </c>
      <c r="G106" s="412" t="s">
        <v>5405</v>
      </c>
      <c r="H106" s="411">
        <v>1</v>
      </c>
      <c r="I106" s="630" t="s">
        <v>5406</v>
      </c>
      <c r="J106" s="411"/>
      <c r="K106" s="411" t="s">
        <v>3436</v>
      </c>
      <c r="L106" s="411"/>
      <c r="M106" s="417">
        <v>28747836</v>
      </c>
      <c r="N106" s="411" t="s">
        <v>251</v>
      </c>
      <c r="O106" s="416">
        <v>43731</v>
      </c>
      <c r="P106" s="416">
        <v>43773</v>
      </c>
      <c r="Q106" s="416">
        <v>43804</v>
      </c>
      <c r="R106" s="630" t="s">
        <v>1407</v>
      </c>
      <c r="S106" s="411"/>
      <c r="T106" s="417">
        <v>28747836</v>
      </c>
      <c r="U106" s="417">
        <v>31622620</v>
      </c>
      <c r="V106" s="1480"/>
      <c r="W106" s="1480"/>
      <c r="X106" s="1480"/>
      <c r="Y106" s="513">
        <v>43805</v>
      </c>
      <c r="Z106" s="417" t="s">
        <v>6096</v>
      </c>
      <c r="AA106" s="416">
        <v>43844</v>
      </c>
      <c r="AB106" s="416">
        <v>43850</v>
      </c>
      <c r="AC106" s="416">
        <v>44574</v>
      </c>
      <c r="AD106" s="416">
        <v>44279</v>
      </c>
      <c r="AE106" s="416">
        <v>44645</v>
      </c>
      <c r="AF106" s="388" t="s">
        <v>6271</v>
      </c>
      <c r="AG106" s="374"/>
      <c r="AJ106" s="1944"/>
      <c r="AK106" s="1944"/>
      <c r="AL106" s="1944"/>
      <c r="AM106" s="1944"/>
      <c r="AN106" s="1944"/>
      <c r="AO106" s="1944"/>
      <c r="AP106" s="1944"/>
      <c r="AQ106" s="1944"/>
      <c r="AR106" s="1944"/>
      <c r="AS106" s="1944"/>
    </row>
    <row r="107" spans="1:45" ht="16.5" thickTop="1" thickBot="1">
      <c r="A107" s="1944"/>
      <c r="B107" s="1944"/>
      <c r="C107" s="474">
        <v>43707</v>
      </c>
      <c r="D107" s="1383" t="s">
        <v>5407</v>
      </c>
      <c r="E107" s="453" t="s">
        <v>69</v>
      </c>
      <c r="F107" s="453" t="s">
        <v>70</v>
      </c>
      <c r="G107" s="473" t="s">
        <v>5411</v>
      </c>
      <c r="H107" s="453">
        <v>1</v>
      </c>
      <c r="I107" s="1420" t="s">
        <v>5408</v>
      </c>
      <c r="J107" s="453"/>
      <c r="K107" s="453"/>
      <c r="L107" s="453"/>
      <c r="M107" s="457">
        <v>8023320</v>
      </c>
      <c r="N107" s="453" t="s">
        <v>251</v>
      </c>
      <c r="O107" s="474">
        <v>43746</v>
      </c>
      <c r="P107" s="474">
        <v>43816</v>
      </c>
      <c r="Q107" s="474">
        <v>43839</v>
      </c>
      <c r="R107" s="1420" t="s">
        <v>1407</v>
      </c>
      <c r="S107" s="453"/>
      <c r="T107" s="457">
        <v>8023182</v>
      </c>
      <c r="U107" s="457">
        <v>8825500.1999999993</v>
      </c>
      <c r="V107" s="1474"/>
      <c r="W107" s="1474"/>
      <c r="X107" s="1474"/>
      <c r="Y107" s="570">
        <v>43840</v>
      </c>
      <c r="Z107" s="457" t="s">
        <v>6252</v>
      </c>
      <c r="AA107" s="474">
        <v>43861</v>
      </c>
      <c r="AB107" s="474">
        <v>43868</v>
      </c>
      <c r="AC107" s="474">
        <v>44591</v>
      </c>
      <c r="AD107" s="474">
        <v>44279</v>
      </c>
      <c r="AE107" s="474">
        <v>44645</v>
      </c>
      <c r="AF107" s="388" t="s">
        <v>6350</v>
      </c>
      <c r="AG107" s="374"/>
      <c r="AJ107" s="1944"/>
      <c r="AK107" s="1944"/>
      <c r="AL107" s="1944"/>
      <c r="AM107" s="1944"/>
      <c r="AN107" s="1944"/>
      <c r="AO107" s="1944"/>
      <c r="AP107" s="1944"/>
      <c r="AQ107" s="1944"/>
      <c r="AR107" s="1944"/>
      <c r="AS107" s="1944"/>
    </row>
    <row r="108" spans="1:45" ht="15.75" thickTop="1">
      <c r="A108" s="1944"/>
      <c r="B108" s="1944"/>
      <c r="C108" s="474">
        <v>43707</v>
      </c>
      <c r="D108" s="1383" t="s">
        <v>5412</v>
      </c>
      <c r="E108" s="453" t="s">
        <v>69</v>
      </c>
      <c r="F108" s="453" t="s">
        <v>70</v>
      </c>
      <c r="G108" s="473" t="s">
        <v>5413</v>
      </c>
      <c r="H108" s="453">
        <v>1</v>
      </c>
      <c r="I108" s="1420" t="s">
        <v>5414</v>
      </c>
      <c r="J108" s="453"/>
      <c r="K108" s="453" t="s">
        <v>3187</v>
      </c>
      <c r="L108" s="453"/>
      <c r="M108" s="457">
        <v>1102110</v>
      </c>
      <c r="N108" s="453" t="s">
        <v>251</v>
      </c>
      <c r="O108" s="474">
        <v>43759</v>
      </c>
      <c r="P108" s="474">
        <v>43795</v>
      </c>
      <c r="Q108" s="474">
        <v>43839</v>
      </c>
      <c r="R108" s="1420" t="s">
        <v>2548</v>
      </c>
      <c r="S108" s="453"/>
      <c r="T108" s="457">
        <v>999670.34</v>
      </c>
      <c r="U108" s="457">
        <v>1099637.3700000001</v>
      </c>
      <c r="V108" s="1474"/>
      <c r="W108" s="1474"/>
      <c r="X108" s="1474"/>
      <c r="Y108" s="570">
        <v>43843</v>
      </c>
      <c r="Z108" s="457" t="s">
        <v>6253</v>
      </c>
      <c r="AA108" s="474">
        <v>43889</v>
      </c>
      <c r="AB108" s="474">
        <v>43902</v>
      </c>
      <c r="AC108" s="474">
        <v>44619</v>
      </c>
      <c r="AD108" s="474">
        <v>44279</v>
      </c>
      <c r="AE108" s="474">
        <v>44645</v>
      </c>
      <c r="AF108" s="388" t="s">
        <v>6779</v>
      </c>
      <c r="AG108" s="374"/>
      <c r="AJ108" s="1944"/>
      <c r="AK108" s="1944"/>
      <c r="AL108" s="1944"/>
      <c r="AM108" s="1944"/>
      <c r="AN108" s="1944"/>
      <c r="AO108" s="1944"/>
      <c r="AP108" s="1944"/>
      <c r="AQ108" s="1944"/>
      <c r="AR108" s="1944"/>
      <c r="AS108" s="1944"/>
    </row>
    <row r="109" spans="1:45">
      <c r="A109" s="1944"/>
      <c r="B109" s="1944"/>
      <c r="C109" s="537">
        <v>43707</v>
      </c>
      <c r="D109" s="1373" t="s">
        <v>5412</v>
      </c>
      <c r="E109" s="491" t="s">
        <v>69</v>
      </c>
      <c r="F109" s="491" t="s">
        <v>70</v>
      </c>
      <c r="G109" s="571" t="s">
        <v>5413</v>
      </c>
      <c r="H109" s="491">
        <v>2</v>
      </c>
      <c r="I109" s="495" t="s">
        <v>5415</v>
      </c>
      <c r="J109" s="491"/>
      <c r="K109" s="491" t="s">
        <v>3187</v>
      </c>
      <c r="L109" s="491"/>
      <c r="M109" s="536">
        <v>2613344</v>
      </c>
      <c r="N109" s="491" t="s">
        <v>251</v>
      </c>
      <c r="O109" s="537">
        <v>43759</v>
      </c>
      <c r="P109" s="537">
        <v>43795</v>
      </c>
      <c r="Q109" s="537">
        <v>43839</v>
      </c>
      <c r="R109" s="495" t="s">
        <v>2548</v>
      </c>
      <c r="S109" s="491"/>
      <c r="T109" s="536">
        <v>2607720.96</v>
      </c>
      <c r="U109" s="536">
        <v>2868493.06</v>
      </c>
      <c r="V109" s="1471"/>
      <c r="W109" s="1471"/>
      <c r="X109" s="1471"/>
      <c r="Y109" s="573">
        <v>43843</v>
      </c>
      <c r="Z109" s="536" t="s">
        <v>6254</v>
      </c>
      <c r="AA109" s="537">
        <v>43889</v>
      </c>
      <c r="AB109" s="537">
        <v>43902</v>
      </c>
      <c r="AC109" s="537">
        <v>44619</v>
      </c>
      <c r="AD109" s="537">
        <v>44279</v>
      </c>
      <c r="AE109" s="537">
        <v>44645</v>
      </c>
      <c r="AF109" s="388" t="s">
        <v>6779</v>
      </c>
      <c r="AG109" s="374" t="s">
        <v>11777</v>
      </c>
      <c r="AJ109" s="1944"/>
      <c r="AK109" s="1944"/>
      <c r="AL109" s="1944"/>
      <c r="AM109" s="1944"/>
      <c r="AN109" s="1944"/>
      <c r="AO109" s="1944"/>
      <c r="AP109" s="1944"/>
      <c r="AQ109" s="1944"/>
      <c r="AR109" s="1944"/>
      <c r="AS109" s="1944"/>
    </row>
    <row r="110" spans="1:45">
      <c r="A110" s="1944"/>
      <c r="B110" s="1944"/>
      <c r="C110" s="537">
        <v>43707</v>
      </c>
      <c r="D110" s="1373" t="s">
        <v>5412</v>
      </c>
      <c r="E110" s="491" t="s">
        <v>69</v>
      </c>
      <c r="F110" s="491" t="s">
        <v>70</v>
      </c>
      <c r="G110" s="571" t="s">
        <v>5413</v>
      </c>
      <c r="H110" s="491">
        <v>3</v>
      </c>
      <c r="I110" s="495" t="s">
        <v>5416</v>
      </c>
      <c r="J110" s="491"/>
      <c r="K110" s="491" t="s">
        <v>3187</v>
      </c>
      <c r="L110" s="491"/>
      <c r="M110" s="536">
        <v>3847274</v>
      </c>
      <c r="N110" s="491" t="s">
        <v>251</v>
      </c>
      <c r="O110" s="537">
        <v>43759</v>
      </c>
      <c r="P110" s="537">
        <v>43795</v>
      </c>
      <c r="Q110" s="537">
        <v>43839</v>
      </c>
      <c r="R110" s="495" t="s">
        <v>576</v>
      </c>
      <c r="S110" s="491"/>
      <c r="T110" s="536">
        <v>3847272.38</v>
      </c>
      <c r="U110" s="536">
        <v>4230326.1900000004</v>
      </c>
      <c r="V110" s="1471"/>
      <c r="W110" s="1471"/>
      <c r="X110" s="1471"/>
      <c r="Y110" s="573">
        <v>43843</v>
      </c>
      <c r="Z110" s="536" t="s">
        <v>6255</v>
      </c>
      <c r="AA110" s="537">
        <v>43971</v>
      </c>
      <c r="AB110" s="537">
        <v>43973</v>
      </c>
      <c r="AC110" s="537">
        <v>44700</v>
      </c>
      <c r="AD110" s="537">
        <v>44279</v>
      </c>
      <c r="AE110" s="537">
        <v>44645</v>
      </c>
      <c r="AF110" s="388" t="s">
        <v>6861</v>
      </c>
      <c r="AG110" s="374"/>
      <c r="AJ110" s="1944"/>
      <c r="AK110" s="1944"/>
      <c r="AL110" s="1944"/>
      <c r="AM110" s="1944"/>
      <c r="AN110" s="1944"/>
      <c r="AO110" s="1944"/>
      <c r="AP110" s="1944"/>
      <c r="AQ110" s="1944"/>
      <c r="AR110" s="1944"/>
      <c r="AS110" s="1944"/>
    </row>
    <row r="111" spans="1:45">
      <c r="A111" s="1944"/>
      <c r="B111" s="1944"/>
      <c r="C111" s="537">
        <v>43707</v>
      </c>
      <c r="D111" s="1373" t="s">
        <v>5412</v>
      </c>
      <c r="E111" s="491" t="s">
        <v>69</v>
      </c>
      <c r="F111" s="491" t="s">
        <v>70</v>
      </c>
      <c r="G111" s="571" t="s">
        <v>5413</v>
      </c>
      <c r="H111" s="491">
        <v>5</v>
      </c>
      <c r="I111" s="495" t="s">
        <v>5418</v>
      </c>
      <c r="J111" s="491"/>
      <c r="K111" s="491" t="s">
        <v>3187</v>
      </c>
      <c r="L111" s="491"/>
      <c r="M111" s="536">
        <v>2377388</v>
      </c>
      <c r="N111" s="491" t="s">
        <v>251</v>
      </c>
      <c r="O111" s="537">
        <v>43759</v>
      </c>
      <c r="P111" s="537">
        <v>43795</v>
      </c>
      <c r="Q111" s="537">
        <v>43839</v>
      </c>
      <c r="R111" s="495" t="s">
        <v>576</v>
      </c>
      <c r="S111" s="491"/>
      <c r="T111" s="536">
        <v>2365392.4</v>
      </c>
      <c r="U111" s="536">
        <v>2601931.64</v>
      </c>
      <c r="V111" s="1471"/>
      <c r="W111" s="1471"/>
      <c r="X111" s="1471"/>
      <c r="Y111" s="573">
        <v>43843</v>
      </c>
      <c r="Z111" s="536" t="s">
        <v>6256</v>
      </c>
      <c r="AA111" s="537">
        <v>43889</v>
      </c>
      <c r="AB111" s="537">
        <v>43902</v>
      </c>
      <c r="AC111" s="537">
        <v>44619</v>
      </c>
      <c r="AD111" s="537">
        <v>44279</v>
      </c>
      <c r="AE111" s="537">
        <v>44645</v>
      </c>
      <c r="AF111" s="388" t="s">
        <v>6779</v>
      </c>
      <c r="AG111" s="374" t="s">
        <v>11656</v>
      </c>
      <c r="AJ111" s="1944"/>
      <c r="AK111" s="1944"/>
      <c r="AL111" s="1944"/>
      <c r="AM111" s="1944"/>
      <c r="AN111" s="1944"/>
      <c r="AO111" s="1944"/>
      <c r="AP111" s="1944"/>
      <c r="AQ111" s="1944"/>
      <c r="AR111" s="1944"/>
      <c r="AS111" s="1944"/>
    </row>
    <row r="112" spans="1:45">
      <c r="A112" s="1944"/>
      <c r="B112" s="1944"/>
      <c r="C112" s="537">
        <v>43707</v>
      </c>
      <c r="D112" s="1373" t="s">
        <v>5412</v>
      </c>
      <c r="E112" s="491" t="s">
        <v>69</v>
      </c>
      <c r="F112" s="491" t="s">
        <v>70</v>
      </c>
      <c r="G112" s="571" t="s">
        <v>5413</v>
      </c>
      <c r="H112" s="491">
        <v>6</v>
      </c>
      <c r="I112" s="495" t="s">
        <v>5419</v>
      </c>
      <c r="J112" s="491"/>
      <c r="K112" s="491" t="s">
        <v>3187</v>
      </c>
      <c r="L112" s="491"/>
      <c r="M112" s="536">
        <v>2900177</v>
      </c>
      <c r="N112" s="491" t="s">
        <v>251</v>
      </c>
      <c r="O112" s="537">
        <v>43759</v>
      </c>
      <c r="P112" s="537">
        <v>43795</v>
      </c>
      <c r="Q112" s="537">
        <v>43839</v>
      </c>
      <c r="R112" s="495" t="s">
        <v>576</v>
      </c>
      <c r="S112" s="491"/>
      <c r="T112" s="536">
        <v>2893071.36</v>
      </c>
      <c r="U112" s="536">
        <v>3182378.5</v>
      </c>
      <c r="V112" s="1471"/>
      <c r="W112" s="1471"/>
      <c r="X112" s="1471"/>
      <c r="Y112" s="573">
        <v>43843</v>
      </c>
      <c r="Z112" s="536" t="s">
        <v>6257</v>
      </c>
      <c r="AA112" s="537">
        <v>43889</v>
      </c>
      <c r="AB112" s="537">
        <v>43902</v>
      </c>
      <c r="AC112" s="537">
        <v>44619</v>
      </c>
      <c r="AD112" s="537">
        <v>44279</v>
      </c>
      <c r="AE112" s="537">
        <v>44645</v>
      </c>
      <c r="AF112" s="388" t="s">
        <v>6779</v>
      </c>
      <c r="AG112" s="374" t="s">
        <v>11656</v>
      </c>
      <c r="AJ112" s="1944"/>
      <c r="AK112" s="1944"/>
      <c r="AL112" s="1944"/>
      <c r="AM112" s="1944"/>
      <c r="AN112" s="1944"/>
      <c r="AO112" s="1944"/>
      <c r="AP112" s="1944"/>
      <c r="AQ112" s="1944"/>
      <c r="AR112" s="1944"/>
      <c r="AS112" s="1944"/>
    </row>
    <row r="113" spans="1:45" ht="15.75" thickBot="1">
      <c r="A113" s="1944"/>
      <c r="B113" s="1944"/>
      <c r="C113" s="416">
        <v>43707</v>
      </c>
      <c r="D113" s="1468" t="s">
        <v>5412</v>
      </c>
      <c r="E113" s="411" t="s">
        <v>69</v>
      </c>
      <c r="F113" s="411" t="s">
        <v>70</v>
      </c>
      <c r="G113" s="412" t="s">
        <v>5413</v>
      </c>
      <c r="H113" s="411">
        <v>7</v>
      </c>
      <c r="I113" s="630" t="s">
        <v>5420</v>
      </c>
      <c r="J113" s="411"/>
      <c r="K113" s="411" t="s">
        <v>3187</v>
      </c>
      <c r="L113" s="411"/>
      <c r="M113" s="417">
        <v>4406890</v>
      </c>
      <c r="N113" s="411" t="s">
        <v>251</v>
      </c>
      <c r="O113" s="416">
        <v>43759</v>
      </c>
      <c r="P113" s="416">
        <v>43795</v>
      </c>
      <c r="Q113" s="416">
        <v>43839</v>
      </c>
      <c r="R113" s="630" t="s">
        <v>576</v>
      </c>
      <c r="S113" s="411"/>
      <c r="T113" s="417">
        <v>4405134.5599999996</v>
      </c>
      <c r="U113" s="417">
        <v>4845648.0199999996</v>
      </c>
      <c r="V113" s="1480"/>
      <c r="W113" s="1480"/>
      <c r="X113" s="1480"/>
      <c r="Y113" s="513">
        <v>43843</v>
      </c>
      <c r="Z113" s="417" t="s">
        <v>6258</v>
      </c>
      <c r="AA113" s="416">
        <v>43889</v>
      </c>
      <c r="AB113" s="416">
        <v>43902</v>
      </c>
      <c r="AC113" s="416">
        <v>44619</v>
      </c>
      <c r="AD113" s="416">
        <v>44279</v>
      </c>
      <c r="AE113" s="416">
        <v>44645</v>
      </c>
      <c r="AF113" s="388" t="s">
        <v>6779</v>
      </c>
      <c r="AG113" s="374"/>
      <c r="AJ113" s="1944"/>
      <c r="AK113" s="1944"/>
      <c r="AL113" s="1944"/>
      <c r="AM113" s="1944"/>
      <c r="AN113" s="1944"/>
      <c r="AO113" s="1944"/>
      <c r="AP113" s="1944"/>
      <c r="AQ113" s="1944"/>
      <c r="AR113" s="1944"/>
      <c r="AS113" s="1944"/>
    </row>
    <row r="114" spans="1:45">
      <c r="A114" s="1944"/>
      <c r="B114" s="1944"/>
      <c r="C114" s="1951">
        <v>43710</v>
      </c>
      <c r="D114" s="1952" t="s">
        <v>5457</v>
      </c>
      <c r="E114" s="1953" t="s">
        <v>69</v>
      </c>
      <c r="F114" s="1953" t="s">
        <v>70</v>
      </c>
      <c r="G114" s="334" t="s">
        <v>5456</v>
      </c>
      <c r="H114" s="1953">
        <v>1</v>
      </c>
      <c r="I114" s="249" t="s">
        <v>5449</v>
      </c>
      <c r="J114" s="1953"/>
      <c r="K114" s="1953" t="s">
        <v>5458</v>
      </c>
      <c r="L114" s="1953"/>
      <c r="M114" s="1954">
        <v>2257006</v>
      </c>
      <c r="N114" s="1953" t="s">
        <v>251</v>
      </c>
      <c r="O114" s="1950">
        <v>43755</v>
      </c>
      <c r="P114" s="1950">
        <v>43840</v>
      </c>
      <c r="Q114" s="1950">
        <v>43907</v>
      </c>
      <c r="R114" s="249" t="s">
        <v>576</v>
      </c>
      <c r="S114" s="1953"/>
      <c r="T114" s="1954">
        <v>2255428.7999999998</v>
      </c>
      <c r="U114" s="1954">
        <v>2480971.6800000002</v>
      </c>
      <c r="V114" s="1955"/>
      <c r="W114" s="1955"/>
      <c r="X114" s="1955"/>
      <c r="Y114" s="1956">
        <v>43909</v>
      </c>
      <c r="Z114" s="1954" t="s">
        <v>6566</v>
      </c>
      <c r="AA114" s="1950">
        <v>43957</v>
      </c>
      <c r="AB114" s="1950">
        <v>43962</v>
      </c>
      <c r="AC114" s="1950">
        <v>44686</v>
      </c>
      <c r="AD114" s="1950">
        <v>44279</v>
      </c>
      <c r="AE114" s="394">
        <v>44645</v>
      </c>
      <c r="AF114" s="388" t="s">
        <v>4562</v>
      </c>
      <c r="AG114" s="374"/>
      <c r="AJ114" s="1944"/>
      <c r="AK114" s="1944"/>
      <c r="AL114" s="1944"/>
      <c r="AM114" s="1944"/>
      <c r="AN114" s="1944"/>
      <c r="AO114" s="1944"/>
      <c r="AP114" s="1944"/>
      <c r="AQ114" s="1944"/>
      <c r="AR114" s="1944"/>
      <c r="AS114" s="1944"/>
    </row>
    <row r="115" spans="1:45">
      <c r="A115" s="1944"/>
      <c r="B115" s="1944"/>
      <c r="C115" s="1904">
        <v>43710</v>
      </c>
      <c r="D115" s="1397" t="s">
        <v>5457</v>
      </c>
      <c r="E115" s="491" t="s">
        <v>69</v>
      </c>
      <c r="F115" s="491" t="s">
        <v>70</v>
      </c>
      <c r="G115" s="571" t="s">
        <v>5456</v>
      </c>
      <c r="H115" s="491">
        <v>2</v>
      </c>
      <c r="I115" s="495" t="s">
        <v>5450</v>
      </c>
      <c r="J115" s="491"/>
      <c r="K115" s="491" t="s">
        <v>5447</v>
      </c>
      <c r="L115" s="491"/>
      <c r="M115" s="536">
        <v>548404</v>
      </c>
      <c r="N115" s="491" t="s">
        <v>251</v>
      </c>
      <c r="O115" s="537">
        <v>43755</v>
      </c>
      <c r="P115" s="537">
        <v>43840</v>
      </c>
      <c r="Q115" s="537">
        <v>43907</v>
      </c>
      <c r="R115" s="495" t="s">
        <v>576</v>
      </c>
      <c r="S115" s="491"/>
      <c r="T115" s="536">
        <v>547806.48</v>
      </c>
      <c r="U115" s="536">
        <v>602587.13</v>
      </c>
      <c r="V115" s="1471"/>
      <c r="W115" s="1471"/>
      <c r="X115" s="1471"/>
      <c r="Y115" s="573">
        <v>43909</v>
      </c>
      <c r="Z115" s="536" t="s">
        <v>6567</v>
      </c>
      <c r="AA115" s="537">
        <v>43948</v>
      </c>
      <c r="AB115" s="537">
        <v>43962</v>
      </c>
      <c r="AC115" s="537">
        <v>44677</v>
      </c>
      <c r="AD115" s="537">
        <v>44279</v>
      </c>
      <c r="AE115" s="391">
        <v>44645</v>
      </c>
      <c r="AF115" s="388" t="s">
        <v>6745</v>
      </c>
      <c r="AG115" s="374"/>
      <c r="AJ115" s="1944"/>
      <c r="AK115" s="1944"/>
      <c r="AL115" s="1944"/>
      <c r="AM115" s="1944"/>
      <c r="AN115" s="1944"/>
      <c r="AO115" s="1944"/>
      <c r="AP115" s="1944"/>
      <c r="AQ115" s="1944"/>
      <c r="AR115" s="1944"/>
      <c r="AS115" s="1944"/>
    </row>
    <row r="116" spans="1:45">
      <c r="A116" s="1944"/>
      <c r="B116" s="1944"/>
      <c r="C116" s="1904">
        <v>43710</v>
      </c>
      <c r="D116" s="1397" t="s">
        <v>5457</v>
      </c>
      <c r="E116" s="491" t="s">
        <v>69</v>
      </c>
      <c r="F116" s="491" t="s">
        <v>70</v>
      </c>
      <c r="G116" s="571" t="s">
        <v>5456</v>
      </c>
      <c r="H116" s="491">
        <v>3</v>
      </c>
      <c r="I116" s="495" t="s">
        <v>5451</v>
      </c>
      <c r="J116" s="491"/>
      <c r="K116" s="491" t="s">
        <v>5447</v>
      </c>
      <c r="L116" s="491"/>
      <c r="M116" s="536">
        <v>6102514</v>
      </c>
      <c r="N116" s="491" t="s">
        <v>251</v>
      </c>
      <c r="O116" s="537">
        <v>43755</v>
      </c>
      <c r="P116" s="537">
        <v>43840</v>
      </c>
      <c r="Q116" s="537">
        <v>43907</v>
      </c>
      <c r="R116" s="495" t="s">
        <v>1319</v>
      </c>
      <c r="S116" s="491"/>
      <c r="T116" s="536">
        <v>6102513.7999999998</v>
      </c>
      <c r="U116" s="536">
        <v>6712765.1799999997</v>
      </c>
      <c r="V116" s="1471"/>
      <c r="W116" s="1471"/>
      <c r="X116" s="1471"/>
      <c r="Y116" s="573">
        <v>43909</v>
      </c>
      <c r="Z116" s="536" t="s">
        <v>6568</v>
      </c>
      <c r="AA116" s="537">
        <v>43948</v>
      </c>
      <c r="AB116" s="537">
        <v>43962</v>
      </c>
      <c r="AC116" s="537">
        <v>44677</v>
      </c>
      <c r="AD116" s="537">
        <v>44279</v>
      </c>
      <c r="AE116" s="391">
        <v>44645</v>
      </c>
      <c r="AF116" s="388" t="s">
        <v>6745</v>
      </c>
      <c r="AG116" s="374"/>
      <c r="AJ116" s="1944"/>
      <c r="AK116" s="1944"/>
      <c r="AL116" s="1944"/>
      <c r="AM116" s="1944"/>
      <c r="AN116" s="1944"/>
      <c r="AO116" s="1944"/>
      <c r="AP116" s="1944"/>
      <c r="AQ116" s="1944"/>
      <c r="AR116" s="1944"/>
      <c r="AS116" s="1944"/>
    </row>
    <row r="117" spans="1:45">
      <c r="A117" s="1944"/>
      <c r="B117" s="1944"/>
      <c r="C117" s="1905">
        <v>43710</v>
      </c>
      <c r="D117" s="1397" t="s">
        <v>5457</v>
      </c>
      <c r="E117" s="2171" t="s">
        <v>69</v>
      </c>
      <c r="F117" s="2171" t="s">
        <v>70</v>
      </c>
      <c r="G117" s="571" t="s">
        <v>5456</v>
      </c>
      <c r="H117" s="491">
        <v>4</v>
      </c>
      <c r="I117" s="495" t="s">
        <v>5452</v>
      </c>
      <c r="J117" s="491"/>
      <c r="K117" s="491" t="s">
        <v>5458</v>
      </c>
      <c r="L117" s="491"/>
      <c r="M117" s="536">
        <v>11043079</v>
      </c>
      <c r="N117" s="491" t="s">
        <v>251</v>
      </c>
      <c r="O117" s="537">
        <v>43755</v>
      </c>
      <c r="P117" s="537">
        <v>43840</v>
      </c>
      <c r="Q117" s="537">
        <v>43907</v>
      </c>
      <c r="R117" s="495" t="s">
        <v>2548</v>
      </c>
      <c r="S117" s="491"/>
      <c r="T117" s="536">
        <v>11043079</v>
      </c>
      <c r="U117" s="536">
        <v>12147386.83</v>
      </c>
      <c r="V117" s="1471"/>
      <c r="W117" s="1471"/>
      <c r="X117" s="1471"/>
      <c r="Y117" s="573">
        <v>43909</v>
      </c>
      <c r="Z117" s="536" t="s">
        <v>6569</v>
      </c>
      <c r="AA117" s="537">
        <v>43948</v>
      </c>
      <c r="AB117" s="537">
        <v>43962</v>
      </c>
      <c r="AC117" s="537">
        <v>44677</v>
      </c>
      <c r="AD117" s="537">
        <v>44279</v>
      </c>
      <c r="AE117" s="391">
        <v>44645</v>
      </c>
      <c r="AF117" s="388" t="s">
        <v>6745</v>
      </c>
      <c r="AG117" s="374"/>
      <c r="AJ117" s="1944"/>
      <c r="AK117" s="1944"/>
      <c r="AL117" s="1944"/>
      <c r="AM117" s="1944"/>
      <c r="AN117" s="1944"/>
      <c r="AO117" s="1944"/>
      <c r="AP117" s="1944"/>
      <c r="AQ117" s="1944"/>
      <c r="AR117" s="1944"/>
      <c r="AS117" s="1944"/>
    </row>
    <row r="118" spans="1:45">
      <c r="A118" s="1944"/>
      <c r="B118" s="1944"/>
      <c r="C118" s="1904">
        <v>43710</v>
      </c>
      <c r="D118" s="1397" t="s">
        <v>5457</v>
      </c>
      <c r="E118" s="491" t="s">
        <v>69</v>
      </c>
      <c r="F118" s="491" t="s">
        <v>70</v>
      </c>
      <c r="G118" s="571" t="s">
        <v>5456</v>
      </c>
      <c r="H118" s="491">
        <v>5</v>
      </c>
      <c r="I118" s="495" t="s">
        <v>5453</v>
      </c>
      <c r="J118" s="491"/>
      <c r="K118" s="491" t="s">
        <v>5447</v>
      </c>
      <c r="L118" s="491"/>
      <c r="M118" s="536">
        <v>469154</v>
      </c>
      <c r="N118" s="491" t="s">
        <v>251</v>
      </c>
      <c r="O118" s="537">
        <v>43755</v>
      </c>
      <c r="P118" s="537">
        <v>43840</v>
      </c>
      <c r="Q118" s="537">
        <v>43907</v>
      </c>
      <c r="R118" s="495" t="s">
        <v>2548</v>
      </c>
      <c r="S118" s="491"/>
      <c r="T118" s="536">
        <v>469153</v>
      </c>
      <c r="U118" s="536">
        <v>516068.74</v>
      </c>
      <c r="V118" s="1471"/>
      <c r="W118" s="1471"/>
      <c r="X118" s="1471"/>
      <c r="Y118" s="573">
        <v>43909</v>
      </c>
      <c r="Z118" s="536" t="s">
        <v>6570</v>
      </c>
      <c r="AA118" s="537">
        <v>43957</v>
      </c>
      <c r="AB118" s="537">
        <v>43962</v>
      </c>
      <c r="AC118" s="537">
        <v>44686</v>
      </c>
      <c r="AD118" s="491" t="s">
        <v>8483</v>
      </c>
      <c r="AE118" s="392" t="s">
        <v>11373</v>
      </c>
      <c r="AF118" s="388" t="s">
        <v>4562</v>
      </c>
      <c r="AG118" s="374"/>
      <c r="AJ118" s="1944"/>
      <c r="AK118" s="1944"/>
      <c r="AL118" s="1944"/>
      <c r="AM118" s="1944"/>
      <c r="AN118" s="1944"/>
      <c r="AO118" s="1944"/>
      <c r="AP118" s="1944"/>
      <c r="AQ118" s="1944"/>
      <c r="AR118" s="1944"/>
      <c r="AS118" s="1944"/>
    </row>
    <row r="119" spans="1:45">
      <c r="A119" s="1944"/>
      <c r="B119" s="1944"/>
      <c r="C119" s="1904">
        <v>43710</v>
      </c>
      <c r="D119" s="1397" t="s">
        <v>5457</v>
      </c>
      <c r="E119" s="491" t="s">
        <v>69</v>
      </c>
      <c r="F119" s="491" t="s">
        <v>70</v>
      </c>
      <c r="G119" s="571" t="s">
        <v>5456</v>
      </c>
      <c r="H119" s="491">
        <v>6</v>
      </c>
      <c r="I119" s="495" t="s">
        <v>5454</v>
      </c>
      <c r="J119" s="491"/>
      <c r="K119" s="491" t="s">
        <v>5447</v>
      </c>
      <c r="L119" s="491"/>
      <c r="M119" s="536">
        <v>25724950</v>
      </c>
      <c r="N119" s="491" t="s">
        <v>251</v>
      </c>
      <c r="O119" s="537">
        <v>43755</v>
      </c>
      <c r="P119" s="537">
        <v>43840</v>
      </c>
      <c r="Q119" s="537">
        <v>43907</v>
      </c>
      <c r="R119" s="495" t="s">
        <v>576</v>
      </c>
      <c r="S119" s="491"/>
      <c r="T119" s="536">
        <v>25724949.039999999</v>
      </c>
      <c r="U119" s="536">
        <v>28297443.940000001</v>
      </c>
      <c r="V119" s="1471"/>
      <c r="W119" s="1471"/>
      <c r="X119" s="1471"/>
      <c r="Y119" s="573">
        <v>43909</v>
      </c>
      <c r="Z119" s="536" t="s">
        <v>6571</v>
      </c>
      <c r="AA119" s="537">
        <v>43957</v>
      </c>
      <c r="AB119" s="537">
        <v>43962</v>
      </c>
      <c r="AC119" s="537">
        <v>44686</v>
      </c>
      <c r="AD119" s="537">
        <v>44279</v>
      </c>
      <c r="AE119" s="391">
        <v>44645</v>
      </c>
      <c r="AF119" s="388" t="s">
        <v>4562</v>
      </c>
      <c r="AG119" s="374"/>
      <c r="AJ119" s="1944"/>
      <c r="AK119" s="1944"/>
      <c r="AL119" s="1944"/>
      <c r="AM119" s="1944"/>
      <c r="AN119" s="1944"/>
      <c r="AO119" s="1944"/>
      <c r="AP119" s="1944"/>
      <c r="AQ119" s="1944"/>
      <c r="AR119" s="1944"/>
      <c r="AS119" s="1944"/>
    </row>
    <row r="120" spans="1:45" ht="15.75" thickBot="1">
      <c r="A120" s="1944"/>
      <c r="B120" s="1944"/>
      <c r="C120" s="1957">
        <v>43710</v>
      </c>
      <c r="D120" s="1958" t="s">
        <v>5457</v>
      </c>
      <c r="E120" s="239" t="s">
        <v>69</v>
      </c>
      <c r="F120" s="239" t="s">
        <v>70</v>
      </c>
      <c r="G120" s="1959" t="s">
        <v>5456</v>
      </c>
      <c r="H120" s="1960">
        <v>7</v>
      </c>
      <c r="I120" s="231" t="s">
        <v>5455</v>
      </c>
      <c r="J120" s="1960"/>
      <c r="K120" s="1960" t="s">
        <v>5458</v>
      </c>
      <c r="L120" s="1960"/>
      <c r="M120" s="1961">
        <v>2452038</v>
      </c>
      <c r="N120" s="1960" t="s">
        <v>251</v>
      </c>
      <c r="O120" s="1949">
        <v>43755</v>
      </c>
      <c r="P120" s="1949">
        <v>43840</v>
      </c>
      <c r="Q120" s="1949">
        <v>43907</v>
      </c>
      <c r="R120" s="231" t="s">
        <v>6546</v>
      </c>
      <c r="S120" s="1960"/>
      <c r="T120" s="1961">
        <v>2452038</v>
      </c>
      <c r="U120" s="1961">
        <v>2697241.8</v>
      </c>
      <c r="V120" s="1962"/>
      <c r="W120" s="1962"/>
      <c r="X120" s="1962"/>
      <c r="Y120" s="1963">
        <v>43909</v>
      </c>
      <c r="Z120" s="1961" t="s">
        <v>6572</v>
      </c>
      <c r="AA120" s="1949">
        <v>43948</v>
      </c>
      <c r="AB120" s="1949">
        <v>43962</v>
      </c>
      <c r="AC120" s="1949">
        <v>44677</v>
      </c>
      <c r="AD120" s="1960" t="s">
        <v>8483</v>
      </c>
      <c r="AE120" s="393">
        <v>44645</v>
      </c>
      <c r="AF120" s="388" t="s">
        <v>6745</v>
      </c>
      <c r="AG120" s="374"/>
      <c r="AJ120" s="1944"/>
      <c r="AK120" s="1944"/>
      <c r="AL120" s="1944"/>
      <c r="AM120" s="1944"/>
      <c r="AN120" s="1944"/>
      <c r="AO120" s="1944"/>
      <c r="AP120" s="1944"/>
      <c r="AQ120" s="1944"/>
      <c r="AR120" s="1944"/>
      <c r="AS120" s="1944"/>
    </row>
    <row r="121" spans="1:45">
      <c r="A121" s="1944"/>
      <c r="B121" s="1944"/>
      <c r="C121" s="1904">
        <v>43710</v>
      </c>
      <c r="D121" s="1373" t="s">
        <v>5431</v>
      </c>
      <c r="E121" s="491" t="s">
        <v>69</v>
      </c>
      <c r="F121" s="491" t="s">
        <v>70</v>
      </c>
      <c r="G121" s="571" t="s">
        <v>5437</v>
      </c>
      <c r="H121" s="491">
        <v>3</v>
      </c>
      <c r="I121" s="495" t="s">
        <v>5434</v>
      </c>
      <c r="J121" s="491"/>
      <c r="K121" s="491" t="s">
        <v>93</v>
      </c>
      <c r="L121" s="491"/>
      <c r="M121" s="536">
        <v>196833</v>
      </c>
      <c r="N121" s="491" t="s">
        <v>251</v>
      </c>
      <c r="O121" s="537">
        <v>43756</v>
      </c>
      <c r="P121" s="537">
        <v>43790</v>
      </c>
      <c r="Q121" s="537">
        <v>43816</v>
      </c>
      <c r="R121" s="495" t="s">
        <v>2548</v>
      </c>
      <c r="S121" s="491"/>
      <c r="T121" s="536">
        <v>195963.12</v>
      </c>
      <c r="U121" s="536">
        <v>215559.43</v>
      </c>
      <c r="V121" s="1471"/>
      <c r="W121" s="1471"/>
      <c r="X121" s="1471"/>
      <c r="Y121" s="573">
        <v>43818</v>
      </c>
      <c r="Z121" s="536" t="s">
        <v>6180</v>
      </c>
      <c r="AA121" s="537">
        <v>43871</v>
      </c>
      <c r="AB121" s="537">
        <v>43879</v>
      </c>
      <c r="AC121" s="537">
        <v>44601</v>
      </c>
      <c r="AD121" s="537">
        <v>44279</v>
      </c>
      <c r="AE121" s="391">
        <v>44645</v>
      </c>
      <c r="AF121" s="388" t="s">
        <v>6400</v>
      </c>
      <c r="AG121" s="374" t="s">
        <v>11656</v>
      </c>
      <c r="AJ121" s="1944"/>
      <c r="AK121" s="1944"/>
      <c r="AL121" s="1944"/>
      <c r="AM121" s="1944"/>
      <c r="AN121" s="1944"/>
      <c r="AO121" s="1944"/>
      <c r="AP121" s="1944"/>
      <c r="AQ121" s="1944"/>
      <c r="AR121" s="1944"/>
      <c r="AS121" s="1944"/>
    </row>
    <row r="122" spans="1:45" ht="15.75" thickBot="1">
      <c r="A122" s="1944"/>
      <c r="B122" s="1944"/>
      <c r="C122" s="1905">
        <v>43710</v>
      </c>
      <c r="D122" s="1373" t="s">
        <v>5431</v>
      </c>
      <c r="E122" s="3210" t="s">
        <v>69</v>
      </c>
      <c r="F122" s="3210" t="s">
        <v>70</v>
      </c>
      <c r="G122" s="571" t="s">
        <v>5437</v>
      </c>
      <c r="H122" s="491">
        <v>4</v>
      </c>
      <c r="I122" s="495" t="s">
        <v>5435</v>
      </c>
      <c r="J122" s="491"/>
      <c r="K122" s="491" t="s">
        <v>93</v>
      </c>
      <c r="L122" s="491"/>
      <c r="M122" s="536">
        <v>6868497</v>
      </c>
      <c r="N122" s="491" t="s">
        <v>251</v>
      </c>
      <c r="O122" s="537">
        <v>43756</v>
      </c>
      <c r="P122" s="537">
        <v>43790</v>
      </c>
      <c r="Q122" s="537">
        <v>43816</v>
      </c>
      <c r="R122" s="495" t="s">
        <v>5774</v>
      </c>
      <c r="S122" s="491"/>
      <c r="T122" s="536">
        <v>6806504</v>
      </c>
      <c r="U122" s="536">
        <v>7487154.4000000004</v>
      </c>
      <c r="V122" s="1471"/>
      <c r="W122" s="1471"/>
      <c r="X122" s="1471"/>
      <c r="Y122" s="573">
        <v>43818</v>
      </c>
      <c r="Z122" s="536" t="s">
        <v>6181</v>
      </c>
      <c r="AA122" s="537">
        <v>43871</v>
      </c>
      <c r="AB122" s="537">
        <v>43879</v>
      </c>
      <c r="AC122" s="537">
        <v>44601</v>
      </c>
      <c r="AD122" s="537">
        <v>44279</v>
      </c>
      <c r="AE122" s="391">
        <v>44645</v>
      </c>
      <c r="AF122" s="388" t="s">
        <v>6400</v>
      </c>
      <c r="AG122" s="374"/>
      <c r="AJ122" s="1944"/>
      <c r="AK122" s="1944"/>
      <c r="AL122" s="1944"/>
      <c r="AM122" s="1944"/>
      <c r="AN122" s="1944"/>
      <c r="AO122" s="1944"/>
      <c r="AP122" s="1944"/>
      <c r="AQ122" s="1944"/>
      <c r="AR122" s="1944"/>
      <c r="AS122" s="1944"/>
    </row>
    <row r="123" spans="1:45">
      <c r="A123" s="1944"/>
      <c r="B123" s="1944"/>
      <c r="C123" s="1951">
        <v>43710</v>
      </c>
      <c r="D123" s="1952" t="s">
        <v>5426</v>
      </c>
      <c r="E123" s="1953" t="s">
        <v>69</v>
      </c>
      <c r="F123" s="1953" t="s">
        <v>70</v>
      </c>
      <c r="G123" s="334" t="s">
        <v>5427</v>
      </c>
      <c r="H123" s="1953">
        <v>1</v>
      </c>
      <c r="I123" s="249" t="s">
        <v>5428</v>
      </c>
      <c r="J123" s="1953"/>
      <c r="K123" s="1953" t="s">
        <v>68</v>
      </c>
      <c r="L123" s="1953"/>
      <c r="M123" s="1954">
        <v>20785905</v>
      </c>
      <c r="N123" s="1953" t="s">
        <v>251</v>
      </c>
      <c r="O123" s="1950">
        <v>43755</v>
      </c>
      <c r="P123" s="1950">
        <v>43798</v>
      </c>
      <c r="Q123" s="1950">
        <v>43860</v>
      </c>
      <c r="R123" s="249" t="s">
        <v>576</v>
      </c>
      <c r="S123" s="1953"/>
      <c r="T123" s="1954">
        <v>20785905</v>
      </c>
      <c r="U123" s="1954">
        <v>22864495.5</v>
      </c>
      <c r="V123" s="1955"/>
      <c r="W123" s="1955"/>
      <c r="X123" s="1955"/>
      <c r="Y123" s="1956">
        <v>43861</v>
      </c>
      <c r="Z123" s="1954" t="s">
        <v>6340</v>
      </c>
      <c r="AA123" s="1950">
        <v>43908</v>
      </c>
      <c r="AB123" s="1950">
        <v>43909</v>
      </c>
      <c r="AC123" s="1950">
        <v>44637</v>
      </c>
      <c r="AD123" s="1950">
        <v>44279</v>
      </c>
      <c r="AE123" s="394">
        <v>44645</v>
      </c>
      <c r="AF123" s="388" t="s">
        <v>6577</v>
      </c>
      <c r="AG123" s="374" t="s">
        <v>11656</v>
      </c>
      <c r="AJ123" s="1944"/>
      <c r="AK123" s="1944"/>
      <c r="AL123" s="1944"/>
      <c r="AM123" s="1944"/>
      <c r="AN123" s="1944"/>
      <c r="AO123" s="1944"/>
      <c r="AP123" s="1944"/>
      <c r="AQ123" s="1944"/>
      <c r="AR123" s="1944"/>
      <c r="AS123" s="1944"/>
    </row>
    <row r="124" spans="1:45">
      <c r="A124" s="1944"/>
      <c r="B124" s="1944"/>
      <c r="C124" s="1904">
        <v>43710</v>
      </c>
      <c r="D124" s="1397" t="s">
        <v>5426</v>
      </c>
      <c r="E124" s="491" t="s">
        <v>69</v>
      </c>
      <c r="F124" s="491" t="s">
        <v>70</v>
      </c>
      <c r="G124" s="571" t="s">
        <v>5427</v>
      </c>
      <c r="H124" s="491">
        <v>2</v>
      </c>
      <c r="I124" s="495" t="s">
        <v>5429</v>
      </c>
      <c r="J124" s="491"/>
      <c r="K124" s="3210" t="s">
        <v>68</v>
      </c>
      <c r="L124" s="491"/>
      <c r="M124" s="536">
        <v>20787500</v>
      </c>
      <c r="N124" s="491" t="s">
        <v>251</v>
      </c>
      <c r="O124" s="537">
        <v>43755</v>
      </c>
      <c r="P124" s="537">
        <v>43798</v>
      </c>
      <c r="Q124" s="537">
        <v>43860</v>
      </c>
      <c r="R124" s="495" t="s">
        <v>1407</v>
      </c>
      <c r="S124" s="491"/>
      <c r="T124" s="536">
        <v>20787114.149999999</v>
      </c>
      <c r="U124" s="536">
        <v>22865825.57</v>
      </c>
      <c r="V124" s="1471"/>
      <c r="W124" s="1471"/>
      <c r="X124" s="1471"/>
      <c r="Y124" s="573">
        <v>43861</v>
      </c>
      <c r="Z124" s="536" t="s">
        <v>6341</v>
      </c>
      <c r="AA124" s="537">
        <v>43908</v>
      </c>
      <c r="AB124" s="537">
        <v>43909</v>
      </c>
      <c r="AC124" s="537">
        <v>44637</v>
      </c>
      <c r="AD124" s="537">
        <v>44279</v>
      </c>
      <c r="AE124" s="391">
        <v>44645</v>
      </c>
      <c r="AF124" s="388" t="s">
        <v>6577</v>
      </c>
      <c r="AG124" s="374" t="s">
        <v>11656</v>
      </c>
      <c r="AJ124" s="1944"/>
      <c r="AK124" s="1944"/>
      <c r="AL124" s="1944"/>
      <c r="AM124" s="1944"/>
      <c r="AN124" s="1944"/>
      <c r="AO124" s="1944"/>
      <c r="AP124" s="1944"/>
      <c r="AQ124" s="1944"/>
      <c r="AR124" s="1944"/>
      <c r="AS124" s="1944"/>
    </row>
    <row r="125" spans="1:45" ht="15.75" thickBot="1">
      <c r="A125" s="1944"/>
      <c r="B125" s="1944"/>
      <c r="C125" s="1957">
        <v>43710</v>
      </c>
      <c r="D125" s="1958" t="s">
        <v>5426</v>
      </c>
      <c r="E125" s="239" t="s">
        <v>69</v>
      </c>
      <c r="F125" s="239" t="s">
        <v>70</v>
      </c>
      <c r="G125" s="1959" t="s">
        <v>5427</v>
      </c>
      <c r="H125" s="1960">
        <v>3</v>
      </c>
      <c r="I125" s="231" t="s">
        <v>5430</v>
      </c>
      <c r="J125" s="1960"/>
      <c r="K125" s="239" t="s">
        <v>68</v>
      </c>
      <c r="L125" s="1960"/>
      <c r="M125" s="1961">
        <v>823621</v>
      </c>
      <c r="N125" s="1960" t="s">
        <v>251</v>
      </c>
      <c r="O125" s="1949">
        <v>43755</v>
      </c>
      <c r="P125" s="1949">
        <v>43798</v>
      </c>
      <c r="Q125" s="1949">
        <v>43860</v>
      </c>
      <c r="R125" s="231" t="s">
        <v>1407</v>
      </c>
      <c r="S125" s="1960"/>
      <c r="T125" s="1961">
        <v>823600.2</v>
      </c>
      <c r="U125" s="1961">
        <v>905960.22</v>
      </c>
      <c r="V125" s="1962"/>
      <c r="W125" s="1962"/>
      <c r="X125" s="1962"/>
      <c r="Y125" s="1963">
        <v>43861</v>
      </c>
      <c r="Z125" s="1961" t="s">
        <v>6342</v>
      </c>
      <c r="AA125" s="1949">
        <v>43908</v>
      </c>
      <c r="AB125" s="1949">
        <v>43909</v>
      </c>
      <c r="AC125" s="1949">
        <v>44637</v>
      </c>
      <c r="AD125" s="1949">
        <v>44279</v>
      </c>
      <c r="AE125" s="393">
        <v>44645</v>
      </c>
      <c r="AF125" s="388" t="s">
        <v>6577</v>
      </c>
      <c r="AG125" s="374"/>
      <c r="AJ125" s="1944"/>
      <c r="AK125" s="1944"/>
      <c r="AL125" s="1944"/>
      <c r="AM125" s="1944"/>
      <c r="AN125" s="1944"/>
      <c r="AO125" s="1944"/>
      <c r="AP125" s="1944"/>
      <c r="AQ125" s="1944"/>
      <c r="AR125" s="1944"/>
      <c r="AS125" s="1944"/>
    </row>
    <row r="126" spans="1:45" ht="30">
      <c r="A126" s="1944"/>
      <c r="B126" s="1944"/>
      <c r="C126" s="537">
        <v>43712</v>
      </c>
      <c r="D126" s="1373" t="s">
        <v>5463</v>
      </c>
      <c r="E126" s="491" t="s">
        <v>2434</v>
      </c>
      <c r="F126" s="491" t="s">
        <v>219</v>
      </c>
      <c r="G126" s="571" t="s">
        <v>5464</v>
      </c>
      <c r="H126" s="491">
        <v>1</v>
      </c>
      <c r="I126" s="495" t="s">
        <v>4306</v>
      </c>
      <c r="J126" s="491"/>
      <c r="K126" s="491" t="s">
        <v>642</v>
      </c>
      <c r="L126" s="491"/>
      <c r="M126" s="536">
        <v>3733400</v>
      </c>
      <c r="N126" s="491" t="s">
        <v>251</v>
      </c>
      <c r="O126" s="537">
        <v>43803</v>
      </c>
      <c r="P126" s="537">
        <v>43836</v>
      </c>
      <c r="Q126" s="537">
        <v>43858</v>
      </c>
      <c r="R126" s="495" t="s">
        <v>6322</v>
      </c>
      <c r="S126" s="491"/>
      <c r="T126" s="536">
        <v>3733240</v>
      </c>
      <c r="U126" s="536">
        <v>4293226</v>
      </c>
      <c r="V126" s="1471"/>
      <c r="W126" s="1471"/>
      <c r="X126" s="1471"/>
      <c r="Y126" s="573">
        <v>43858</v>
      </c>
      <c r="Z126" s="1375" t="s">
        <v>6328</v>
      </c>
      <c r="AA126" s="537">
        <v>43885</v>
      </c>
      <c r="AB126" s="537">
        <v>43895</v>
      </c>
      <c r="AC126" s="537">
        <v>44615</v>
      </c>
      <c r="AD126" s="537">
        <v>44285</v>
      </c>
      <c r="AE126" s="537">
        <v>44637</v>
      </c>
      <c r="AF126" s="388" t="s">
        <v>6477</v>
      </c>
      <c r="AG126" s="374"/>
      <c r="AJ126" s="1944"/>
      <c r="AK126" s="1944"/>
      <c r="AL126" s="1944"/>
      <c r="AM126" s="1944"/>
      <c r="AN126" s="1944"/>
      <c r="AO126" s="1944"/>
      <c r="AP126" s="1944"/>
      <c r="AQ126" s="1944"/>
      <c r="AS126" s="1944"/>
    </row>
    <row r="127" spans="1:45" ht="30">
      <c r="A127" s="1944"/>
      <c r="B127" s="1944"/>
      <c r="C127" s="537">
        <v>43712</v>
      </c>
      <c r="D127" s="1373" t="s">
        <v>5463</v>
      </c>
      <c r="E127" s="491" t="s">
        <v>2434</v>
      </c>
      <c r="F127" s="491" t="s">
        <v>219</v>
      </c>
      <c r="G127" s="571" t="s">
        <v>5464</v>
      </c>
      <c r="H127" s="491">
        <v>2</v>
      </c>
      <c r="I127" s="495" t="s">
        <v>4308</v>
      </c>
      <c r="J127" s="491"/>
      <c r="K127" s="491" t="s">
        <v>642</v>
      </c>
      <c r="L127" s="491"/>
      <c r="M127" s="536">
        <v>141890.1</v>
      </c>
      <c r="N127" s="491" t="s">
        <v>251</v>
      </c>
      <c r="O127" s="537">
        <v>43803</v>
      </c>
      <c r="P127" s="537">
        <v>43836</v>
      </c>
      <c r="Q127" s="537">
        <v>43858</v>
      </c>
      <c r="R127" s="495" t="s">
        <v>6322</v>
      </c>
      <c r="S127" s="491"/>
      <c r="T127" s="536">
        <v>141890</v>
      </c>
      <c r="U127" s="536">
        <v>163173.5</v>
      </c>
      <c r="V127" s="1471"/>
      <c r="W127" s="1471"/>
      <c r="X127" s="1471"/>
      <c r="Y127" s="573">
        <v>43858</v>
      </c>
      <c r="Z127" s="1375" t="s">
        <v>6329</v>
      </c>
      <c r="AA127" s="537">
        <v>43885</v>
      </c>
      <c r="AB127" s="537">
        <v>43895</v>
      </c>
      <c r="AC127" s="537">
        <v>44615</v>
      </c>
      <c r="AD127" s="537">
        <v>44285</v>
      </c>
      <c r="AE127" s="537">
        <v>44637</v>
      </c>
      <c r="AF127" s="388" t="s">
        <v>6477</v>
      </c>
      <c r="AG127" s="374"/>
      <c r="AJ127" s="1944"/>
      <c r="AK127" s="1944"/>
      <c r="AL127" s="1944"/>
      <c r="AM127" s="1944"/>
      <c r="AN127" s="1944"/>
      <c r="AO127" s="1944"/>
      <c r="AP127" s="1944"/>
      <c r="AQ127" s="1944"/>
      <c r="AS127" s="1944"/>
    </row>
    <row r="128" spans="1:45">
      <c r="A128" s="1944"/>
      <c r="B128" s="1944"/>
      <c r="C128" s="537">
        <v>43712</v>
      </c>
      <c r="D128" s="1373" t="s">
        <v>5466</v>
      </c>
      <c r="E128" s="491" t="s">
        <v>69</v>
      </c>
      <c r="F128" s="491" t="s">
        <v>70</v>
      </c>
      <c r="G128" s="571" t="s">
        <v>5465</v>
      </c>
      <c r="H128" s="491">
        <v>1</v>
      </c>
      <c r="I128" s="495" t="s">
        <v>5467</v>
      </c>
      <c r="J128" s="491"/>
      <c r="K128" s="491" t="s">
        <v>72</v>
      </c>
      <c r="L128" s="491"/>
      <c r="M128" s="536">
        <v>19686840</v>
      </c>
      <c r="N128" s="491" t="s">
        <v>251</v>
      </c>
      <c r="O128" s="537">
        <v>43731</v>
      </c>
      <c r="P128" s="537">
        <v>43762</v>
      </c>
      <c r="Q128" s="537">
        <v>43781</v>
      </c>
      <c r="R128" s="495" t="s">
        <v>576</v>
      </c>
      <c r="S128" s="491"/>
      <c r="T128" s="536">
        <v>19686799.440000001</v>
      </c>
      <c r="U128" s="536">
        <v>21655479.379999999</v>
      </c>
      <c r="V128" s="1471"/>
      <c r="W128" s="1471"/>
      <c r="X128" s="1471"/>
      <c r="Y128" s="573">
        <v>43782</v>
      </c>
      <c r="Z128" s="536" t="s">
        <v>5997</v>
      </c>
      <c r="AA128" s="537">
        <v>43836</v>
      </c>
      <c r="AB128" s="537">
        <v>43840</v>
      </c>
      <c r="AC128" s="537">
        <v>44566</v>
      </c>
      <c r="AD128" s="537">
        <v>44279</v>
      </c>
      <c r="AE128" s="537">
        <v>44645</v>
      </c>
      <c r="AF128" s="388" t="s">
        <v>6238</v>
      </c>
      <c r="AG128" s="374" t="s">
        <v>11656</v>
      </c>
      <c r="AJ128" s="1944"/>
      <c r="AK128" s="1944"/>
      <c r="AL128" s="1944"/>
      <c r="AM128" s="1944"/>
      <c r="AN128" s="1944"/>
      <c r="AO128" s="1944"/>
      <c r="AP128" s="1944"/>
      <c r="AQ128" s="1944"/>
      <c r="AS128" s="1944"/>
    </row>
    <row r="129" spans="1:45">
      <c r="A129" s="1944"/>
      <c r="B129" s="1944"/>
      <c r="C129" s="537">
        <v>43717</v>
      </c>
      <c r="D129" s="1373" t="s">
        <v>5583</v>
      </c>
      <c r="E129" s="491" t="s">
        <v>2111</v>
      </c>
      <c r="F129" s="491" t="s">
        <v>4440</v>
      </c>
      <c r="G129" s="571" t="s">
        <v>5584</v>
      </c>
      <c r="H129" s="491"/>
      <c r="I129" s="495"/>
      <c r="J129" s="491"/>
      <c r="K129" s="491" t="s">
        <v>2113</v>
      </c>
      <c r="L129" s="491"/>
      <c r="M129" s="536">
        <v>990000</v>
      </c>
      <c r="N129" s="491" t="s">
        <v>251</v>
      </c>
      <c r="O129" s="537">
        <v>43740</v>
      </c>
      <c r="P129" s="537">
        <v>43767</v>
      </c>
      <c r="Q129" s="537">
        <v>43787</v>
      </c>
      <c r="R129" s="495" t="s">
        <v>6017</v>
      </c>
      <c r="S129" s="491"/>
      <c r="T129" s="536">
        <v>1209763</v>
      </c>
      <c r="U129" s="536">
        <f>T129*1.21</f>
        <v>1463813.23</v>
      </c>
      <c r="V129" s="1471"/>
      <c r="W129" s="1471"/>
      <c r="X129" s="1471"/>
      <c r="Y129" s="573">
        <v>43787</v>
      </c>
      <c r="Z129" s="536" t="s">
        <v>6018</v>
      </c>
      <c r="AA129" s="537">
        <v>43840</v>
      </c>
      <c r="AB129" s="537">
        <v>43844</v>
      </c>
      <c r="AC129" s="537">
        <f>AA129+106</f>
        <v>43946</v>
      </c>
      <c r="AD129" s="1525">
        <v>44235</v>
      </c>
      <c r="AE129" s="1102"/>
      <c r="AJ129" s="1944"/>
      <c r="AK129" s="1944"/>
      <c r="AL129" s="1944"/>
      <c r="AM129" s="1944"/>
      <c r="AN129" s="1944"/>
      <c r="AO129" s="1944"/>
      <c r="AP129" s="1944"/>
      <c r="AQ129" s="1944"/>
      <c r="AS129" s="1944"/>
    </row>
    <row r="130" spans="1:45" ht="30.75" thickBot="1">
      <c r="A130" s="1944"/>
      <c r="B130" s="1944"/>
      <c r="C130" s="416">
        <v>43714</v>
      </c>
      <c r="D130" s="1468" t="s">
        <v>5606</v>
      </c>
      <c r="E130" s="411" t="s">
        <v>1700</v>
      </c>
      <c r="F130" s="411" t="s">
        <v>6206</v>
      </c>
      <c r="G130" s="412" t="s">
        <v>2119</v>
      </c>
      <c r="H130" s="411"/>
      <c r="I130" s="630"/>
      <c r="J130" s="1437"/>
      <c r="K130" s="411" t="s">
        <v>462</v>
      </c>
      <c r="L130" s="411"/>
      <c r="M130" s="417">
        <v>1672092.56</v>
      </c>
      <c r="N130" s="411" t="s">
        <v>251</v>
      </c>
      <c r="O130" s="416">
        <v>43735</v>
      </c>
      <c r="P130" s="416">
        <v>43767</v>
      </c>
      <c r="Q130" s="416">
        <v>43796</v>
      </c>
      <c r="R130" s="630" t="s">
        <v>6051</v>
      </c>
      <c r="S130" s="411"/>
      <c r="T130" s="417">
        <v>1515550</v>
      </c>
      <c r="U130" s="417">
        <v>1833815.5</v>
      </c>
      <c r="V130" s="1490"/>
      <c r="W130" s="1490"/>
      <c r="X130" s="1490"/>
      <c r="Y130" s="513">
        <v>43797</v>
      </c>
      <c r="Z130" s="1553" t="s">
        <v>6052</v>
      </c>
      <c r="AA130" s="416">
        <v>43836</v>
      </c>
      <c r="AB130" s="416">
        <v>43840</v>
      </c>
      <c r="AC130" s="416">
        <f>AA130+42</f>
        <v>43878</v>
      </c>
      <c r="AD130" s="416">
        <v>44245</v>
      </c>
      <c r="AE130" s="422" t="s">
        <v>1875</v>
      </c>
      <c r="AJ130" s="1944"/>
      <c r="AK130" s="1944"/>
      <c r="AL130" s="1944"/>
      <c r="AM130" s="1944"/>
      <c r="AN130" s="1944"/>
      <c r="AO130" s="1944"/>
      <c r="AP130" s="1944"/>
      <c r="AQ130" s="1944"/>
      <c r="AS130" s="1944"/>
    </row>
    <row r="131" spans="1:45" ht="15.75" thickTop="1">
      <c r="A131" s="1944"/>
      <c r="B131" s="1944"/>
      <c r="C131" s="474">
        <v>43714</v>
      </c>
      <c r="D131" s="1383" t="s">
        <v>5611</v>
      </c>
      <c r="E131" s="453" t="s">
        <v>1700</v>
      </c>
      <c r="F131" s="453" t="s">
        <v>6206</v>
      </c>
      <c r="G131" s="473" t="s">
        <v>5850</v>
      </c>
      <c r="H131" s="453">
        <v>1</v>
      </c>
      <c r="I131" s="1420" t="s">
        <v>5612</v>
      </c>
      <c r="J131" s="453"/>
      <c r="K131" s="453" t="s">
        <v>5614</v>
      </c>
      <c r="L131" s="453"/>
      <c r="M131" s="457">
        <v>941148.76</v>
      </c>
      <c r="N131" s="453" t="s">
        <v>251</v>
      </c>
      <c r="O131" s="474">
        <v>43735</v>
      </c>
      <c r="P131" s="474">
        <v>43801</v>
      </c>
      <c r="Q131" s="474">
        <v>43818</v>
      </c>
      <c r="R131" s="1420" t="s">
        <v>6179</v>
      </c>
      <c r="S131" s="453"/>
      <c r="T131" s="457">
        <v>649378.56000000006</v>
      </c>
      <c r="U131" s="457">
        <f>T131*1.21</f>
        <v>785748.05760000006</v>
      </c>
      <c r="V131" s="1474"/>
      <c r="W131" s="1474"/>
      <c r="X131" s="1474"/>
      <c r="Y131" s="570">
        <v>43818</v>
      </c>
      <c r="Z131" s="457" t="s">
        <v>6178</v>
      </c>
      <c r="AA131" s="474">
        <v>43852</v>
      </c>
      <c r="AB131" s="474">
        <v>43854</v>
      </c>
      <c r="AC131" s="474">
        <f>AA131+84</f>
        <v>43936</v>
      </c>
      <c r="AD131" s="474">
        <v>43955</v>
      </c>
      <c r="AE131" s="1393"/>
      <c r="AJ131" s="1944"/>
      <c r="AK131" s="1944"/>
      <c r="AL131" s="1944"/>
      <c r="AM131" s="1944"/>
      <c r="AN131" s="1944"/>
      <c r="AO131" s="1944"/>
      <c r="AP131" s="1944"/>
      <c r="AQ131" s="1944"/>
      <c r="AS131" s="1944"/>
    </row>
    <row r="132" spans="1:45" ht="15.75" thickBot="1">
      <c r="A132" s="1944"/>
      <c r="B132" s="1944"/>
      <c r="C132" s="1380">
        <v>43714</v>
      </c>
      <c r="D132" s="1377" t="s">
        <v>5611</v>
      </c>
      <c r="E132" s="1376" t="s">
        <v>1700</v>
      </c>
      <c r="F132" s="1376" t="s">
        <v>6206</v>
      </c>
      <c r="G132" s="1378" t="s">
        <v>5850</v>
      </c>
      <c r="H132" s="1376">
        <v>2</v>
      </c>
      <c r="I132" s="1421" t="s">
        <v>5613</v>
      </c>
      <c r="J132" s="1376"/>
      <c r="K132" s="1376" t="s">
        <v>5614</v>
      </c>
      <c r="L132" s="1376"/>
      <c r="M132" s="1379">
        <v>182823.14</v>
      </c>
      <c r="N132" s="1376" t="s">
        <v>251</v>
      </c>
      <c r="O132" s="1380">
        <v>43735</v>
      </c>
      <c r="P132" s="1380">
        <v>43801</v>
      </c>
      <c r="Q132" s="1380">
        <v>43818</v>
      </c>
      <c r="R132" s="1421" t="s">
        <v>1513</v>
      </c>
      <c r="S132" s="1376"/>
      <c r="T132" s="1379">
        <v>119000</v>
      </c>
      <c r="U132" s="1379">
        <f>T132*1.21</f>
        <v>143990</v>
      </c>
      <c r="V132" s="1475"/>
      <c r="W132" s="1475"/>
      <c r="X132" s="1475"/>
      <c r="Y132" s="1388">
        <v>43818</v>
      </c>
      <c r="Z132" s="1379" t="s">
        <v>6195</v>
      </c>
      <c r="AA132" s="1380">
        <v>43852</v>
      </c>
      <c r="AB132" s="1380">
        <v>43854</v>
      </c>
      <c r="AC132" s="1380">
        <f>AA132+70</f>
        <v>43922</v>
      </c>
      <c r="AD132" s="1380">
        <v>43949</v>
      </c>
      <c r="AE132" s="1395"/>
      <c r="AJ132" s="1944"/>
      <c r="AK132" s="1944"/>
      <c r="AL132" s="1944"/>
      <c r="AM132" s="1944"/>
      <c r="AN132" s="1944"/>
      <c r="AO132" s="1944"/>
      <c r="AP132" s="1944"/>
      <c r="AQ132" s="1944"/>
      <c r="AS132" s="1944"/>
    </row>
    <row r="133" spans="1:45" ht="30.75" thickTop="1">
      <c r="A133" s="1944"/>
      <c r="B133" s="1944"/>
      <c r="C133" s="365">
        <v>43721</v>
      </c>
      <c r="D133" s="1397" t="s">
        <v>5617</v>
      </c>
      <c r="E133" s="3210" t="s">
        <v>52</v>
      </c>
      <c r="F133" s="3210" t="s">
        <v>3089</v>
      </c>
      <c r="G133" s="175" t="s">
        <v>5618</v>
      </c>
      <c r="H133" s="3210"/>
      <c r="I133" s="3211"/>
      <c r="J133" s="3210"/>
      <c r="K133" s="3210" t="s">
        <v>1580</v>
      </c>
      <c r="L133" s="3210" t="s">
        <v>1581</v>
      </c>
      <c r="M133" s="364">
        <v>11500000</v>
      </c>
      <c r="N133" s="3210" t="s">
        <v>251</v>
      </c>
      <c r="O133" s="365">
        <v>43740</v>
      </c>
      <c r="P133" s="365">
        <v>43775</v>
      </c>
      <c r="Q133" s="365">
        <v>43812</v>
      </c>
      <c r="R133" s="3211" t="s">
        <v>6158</v>
      </c>
      <c r="S133" s="3210"/>
      <c r="T133" s="364">
        <v>11475709</v>
      </c>
      <c r="U133" s="364">
        <v>13885607.890000001</v>
      </c>
      <c r="V133" s="1473"/>
      <c r="W133" s="1473"/>
      <c r="X133" s="1473"/>
      <c r="Y133" s="681">
        <v>43816</v>
      </c>
      <c r="Z133" s="1417" t="s">
        <v>6159</v>
      </c>
      <c r="AA133" s="365">
        <v>43865</v>
      </c>
      <c r="AB133" s="365">
        <v>43868</v>
      </c>
      <c r="AC133" s="365">
        <v>44196</v>
      </c>
      <c r="AD133" s="1551">
        <v>44872</v>
      </c>
      <c r="AE133" s="1513"/>
      <c r="AJ133" s="1944"/>
      <c r="AK133" s="1944"/>
      <c r="AL133" s="1944"/>
      <c r="AM133" s="1944"/>
      <c r="AN133" s="1944"/>
      <c r="AO133" s="1944"/>
      <c r="AP133" s="1944"/>
      <c r="AQ133" s="1944"/>
      <c r="AS133" s="1944"/>
    </row>
    <row r="134" spans="1:45" ht="30.75" thickBot="1">
      <c r="A134" s="1944"/>
      <c r="B134" s="1944"/>
      <c r="C134" s="416">
        <v>43714</v>
      </c>
      <c r="D134" s="1468" t="s">
        <v>5641</v>
      </c>
      <c r="E134" s="411" t="s">
        <v>2434</v>
      </c>
      <c r="F134" s="411" t="s">
        <v>219</v>
      </c>
      <c r="G134" s="412" t="s">
        <v>5480</v>
      </c>
      <c r="H134" s="411"/>
      <c r="I134" s="630"/>
      <c r="J134" s="411"/>
      <c r="K134" s="411" t="s">
        <v>642</v>
      </c>
      <c r="L134" s="411"/>
      <c r="M134" s="417">
        <v>285180</v>
      </c>
      <c r="N134" s="411" t="s">
        <v>112</v>
      </c>
      <c r="O134" s="416">
        <v>43732</v>
      </c>
      <c r="P134" s="416">
        <v>43742</v>
      </c>
      <c r="Q134" s="416">
        <v>43861</v>
      </c>
      <c r="R134" s="630" t="s">
        <v>3332</v>
      </c>
      <c r="S134" s="411"/>
      <c r="T134" s="417">
        <v>263012</v>
      </c>
      <c r="U134" s="417">
        <v>318244.52</v>
      </c>
      <c r="V134" s="1480"/>
      <c r="W134" s="1480"/>
      <c r="X134" s="1480"/>
      <c r="Y134" s="513">
        <v>43861</v>
      </c>
      <c r="Z134" s="1553" t="s">
        <v>6353</v>
      </c>
      <c r="AA134" s="416">
        <v>43887</v>
      </c>
      <c r="AB134" s="416">
        <v>43895</v>
      </c>
      <c r="AC134" s="2563">
        <v>44617</v>
      </c>
      <c r="AD134" s="1380">
        <v>44285</v>
      </c>
      <c r="AE134" s="1380">
        <v>44637</v>
      </c>
      <c r="AF134" s="388" t="s">
        <v>6494</v>
      </c>
      <c r="AJ134" s="1944"/>
      <c r="AK134" s="1944"/>
      <c r="AL134" s="1944"/>
      <c r="AM134" s="1944"/>
      <c r="AN134" s="1944"/>
      <c r="AO134" s="1944"/>
      <c r="AP134" s="1944"/>
      <c r="AQ134" s="1944"/>
      <c r="AS134" s="1944"/>
    </row>
    <row r="135" spans="1:45" ht="31.5" thickTop="1" thickBot="1">
      <c r="A135" s="1944"/>
      <c r="B135" s="1944"/>
      <c r="C135" s="537">
        <v>43733</v>
      </c>
      <c r="D135" s="1373" t="s">
        <v>5674</v>
      </c>
      <c r="E135" s="491" t="s">
        <v>58</v>
      </c>
      <c r="F135" s="491" t="s">
        <v>2684</v>
      </c>
      <c r="G135" s="571" t="s">
        <v>5675</v>
      </c>
      <c r="H135" s="491"/>
      <c r="I135" s="495"/>
      <c r="J135" s="491"/>
      <c r="K135" s="491" t="s">
        <v>5676</v>
      </c>
      <c r="L135" s="491" t="s">
        <v>4229</v>
      </c>
      <c r="M135" s="536">
        <v>2670000</v>
      </c>
      <c r="N135" s="491" t="s">
        <v>216</v>
      </c>
      <c r="O135" s="537">
        <v>43745</v>
      </c>
      <c r="P135" s="537">
        <v>43763</v>
      </c>
      <c r="Q135" s="537">
        <v>43810</v>
      </c>
      <c r="R135" s="495" t="s">
        <v>6111</v>
      </c>
      <c r="S135" s="491"/>
      <c r="T135" s="536">
        <v>2668900</v>
      </c>
      <c r="U135" s="536">
        <v>3229369</v>
      </c>
      <c r="V135" s="1471"/>
      <c r="W135" s="1471"/>
      <c r="X135" s="1471"/>
      <c r="Y135" s="573">
        <v>43811</v>
      </c>
      <c r="Z135" s="1375" t="s">
        <v>6123</v>
      </c>
      <c r="AA135" s="537">
        <v>43882</v>
      </c>
      <c r="AB135" s="537">
        <v>43892</v>
      </c>
      <c r="AC135" s="537">
        <f>AA135+14</f>
        <v>43896</v>
      </c>
      <c r="AD135" s="1525">
        <v>44424</v>
      </c>
      <c r="AE135" s="1374" t="s">
        <v>1875</v>
      </c>
      <c r="AJ135" s="1944"/>
      <c r="AK135" s="1944"/>
      <c r="AL135" s="1944"/>
      <c r="AM135" s="1944"/>
      <c r="AN135" s="1944"/>
      <c r="AO135" s="1944"/>
      <c r="AP135" s="1944"/>
      <c r="AQ135" s="1944"/>
      <c r="AS135" s="1944"/>
    </row>
    <row r="136" spans="1:45" ht="15.75" thickTop="1">
      <c r="A136" s="1944"/>
      <c r="B136" s="1944"/>
      <c r="C136" s="474">
        <v>43731</v>
      </c>
      <c r="D136" s="1383" t="s">
        <v>5684</v>
      </c>
      <c r="E136" s="453" t="s">
        <v>69</v>
      </c>
      <c r="F136" s="453" t="s">
        <v>70</v>
      </c>
      <c r="G136" s="473" t="s">
        <v>5685</v>
      </c>
      <c r="H136" s="453">
        <v>1</v>
      </c>
      <c r="I136" s="1420" t="s">
        <v>5686</v>
      </c>
      <c r="J136" s="453"/>
      <c r="K136" s="453" t="s">
        <v>68</v>
      </c>
      <c r="L136" s="453"/>
      <c r="M136" s="457">
        <v>5455972</v>
      </c>
      <c r="N136" s="453" t="s">
        <v>251</v>
      </c>
      <c r="O136" s="474">
        <v>43768</v>
      </c>
      <c r="P136" s="474">
        <v>43801</v>
      </c>
      <c r="Q136" s="474">
        <v>43851</v>
      </c>
      <c r="R136" s="1987" t="s">
        <v>7042</v>
      </c>
      <c r="S136" s="453"/>
      <c r="T136" s="457">
        <v>5455971.8399999999</v>
      </c>
      <c r="U136" s="457">
        <v>6001569.0199999996</v>
      </c>
      <c r="V136" s="1474"/>
      <c r="W136" s="1474"/>
      <c r="X136" s="1474"/>
      <c r="Y136" s="570">
        <v>43852</v>
      </c>
      <c r="Z136" s="457" t="s">
        <v>6311</v>
      </c>
      <c r="AA136" s="474">
        <v>43955</v>
      </c>
      <c r="AB136" s="474">
        <v>43957</v>
      </c>
      <c r="AC136" s="474">
        <v>44684</v>
      </c>
      <c r="AD136" s="474">
        <v>44279</v>
      </c>
      <c r="AE136" s="474">
        <v>44645</v>
      </c>
      <c r="AF136" s="388" t="s">
        <v>6773</v>
      </c>
      <c r="AJ136" s="1944"/>
      <c r="AK136" s="1944"/>
      <c r="AL136" s="1944"/>
      <c r="AM136" s="1944"/>
      <c r="AN136" s="1944"/>
      <c r="AO136" s="1944"/>
      <c r="AP136" s="1944"/>
      <c r="AQ136" s="1944"/>
      <c r="AS136" s="1944"/>
    </row>
    <row r="137" spans="1:45">
      <c r="A137" s="1944"/>
      <c r="B137" s="1944"/>
      <c r="C137" s="537">
        <v>43731</v>
      </c>
      <c r="D137" s="1373" t="s">
        <v>5684</v>
      </c>
      <c r="E137" s="491" t="s">
        <v>69</v>
      </c>
      <c r="F137" s="491" t="s">
        <v>70</v>
      </c>
      <c r="G137" s="571" t="s">
        <v>5685</v>
      </c>
      <c r="H137" s="491">
        <v>2</v>
      </c>
      <c r="I137" s="495" t="s">
        <v>5687</v>
      </c>
      <c r="J137" s="491"/>
      <c r="K137" s="491" t="s">
        <v>68</v>
      </c>
      <c r="L137" s="491"/>
      <c r="M137" s="536">
        <v>780222</v>
      </c>
      <c r="N137" s="491" t="s">
        <v>251</v>
      </c>
      <c r="O137" s="537">
        <v>43768</v>
      </c>
      <c r="P137" s="537">
        <v>43801</v>
      </c>
      <c r="Q137" s="537">
        <v>43851</v>
      </c>
      <c r="R137" s="495" t="s">
        <v>2548</v>
      </c>
      <c r="S137" s="491"/>
      <c r="T137" s="536">
        <v>780184</v>
      </c>
      <c r="U137" s="536">
        <v>858202.4</v>
      </c>
      <c r="V137" s="1471"/>
      <c r="W137" s="1471"/>
      <c r="X137" s="1471"/>
      <c r="Y137" s="573">
        <v>43852</v>
      </c>
      <c r="Z137" s="536" t="s">
        <v>6312</v>
      </c>
      <c r="AA137" s="537">
        <v>43944</v>
      </c>
      <c r="AB137" s="537">
        <v>43957</v>
      </c>
      <c r="AC137" s="537">
        <v>44673</v>
      </c>
      <c r="AD137" s="537">
        <v>44279</v>
      </c>
      <c r="AE137" s="537">
        <v>44645</v>
      </c>
      <c r="AF137" s="388" t="s">
        <v>6736</v>
      </c>
      <c r="AJ137" s="1944"/>
      <c r="AK137" s="1944"/>
      <c r="AL137" s="1944"/>
      <c r="AM137" s="1944"/>
      <c r="AN137" s="1944"/>
      <c r="AO137" s="1944"/>
      <c r="AP137" s="1944"/>
      <c r="AQ137" s="1944"/>
      <c r="AS137" s="1944"/>
    </row>
    <row r="138" spans="1:45" ht="15.75" thickBot="1">
      <c r="A138" s="1944"/>
      <c r="B138" s="1944"/>
      <c r="C138" s="1380">
        <v>43731</v>
      </c>
      <c r="D138" s="1377" t="s">
        <v>5684</v>
      </c>
      <c r="E138" s="1376" t="s">
        <v>69</v>
      </c>
      <c r="F138" s="1376" t="s">
        <v>70</v>
      </c>
      <c r="G138" s="1378" t="s">
        <v>5685</v>
      </c>
      <c r="H138" s="1376">
        <v>5</v>
      </c>
      <c r="I138" s="1421" t="s">
        <v>5690</v>
      </c>
      <c r="J138" s="1376"/>
      <c r="K138" s="1376" t="s">
        <v>68</v>
      </c>
      <c r="L138" s="1376"/>
      <c r="M138" s="1379">
        <v>300491</v>
      </c>
      <c r="N138" s="1376" t="s">
        <v>251</v>
      </c>
      <c r="O138" s="1380">
        <v>43768</v>
      </c>
      <c r="P138" s="1380">
        <v>43801</v>
      </c>
      <c r="Q138" s="1380">
        <v>43851</v>
      </c>
      <c r="R138" s="1421" t="s">
        <v>5774</v>
      </c>
      <c r="S138" s="1376"/>
      <c r="T138" s="1379">
        <v>196957.72</v>
      </c>
      <c r="U138" s="1379">
        <v>216653.49</v>
      </c>
      <c r="V138" s="1475"/>
      <c r="W138" s="1475"/>
      <c r="X138" s="1475"/>
      <c r="Y138" s="1388">
        <v>43852</v>
      </c>
      <c r="Z138" s="1379" t="s">
        <v>6313</v>
      </c>
      <c r="AA138" s="1380">
        <v>43944</v>
      </c>
      <c r="AB138" s="1380">
        <v>43957</v>
      </c>
      <c r="AC138" s="1380">
        <v>44673</v>
      </c>
      <c r="AD138" s="1380">
        <v>44279</v>
      </c>
      <c r="AE138" s="1380">
        <v>44645</v>
      </c>
      <c r="AF138" s="388" t="s">
        <v>6736</v>
      </c>
      <c r="AJ138" s="1944"/>
      <c r="AK138" s="1944"/>
      <c r="AL138" s="1944"/>
      <c r="AM138" s="1944"/>
      <c r="AN138" s="1944"/>
      <c r="AO138" s="1944"/>
      <c r="AP138" s="1944"/>
      <c r="AQ138" s="1944"/>
      <c r="AS138" s="1944"/>
    </row>
    <row r="139" spans="1:45" ht="15.75" thickTop="1">
      <c r="A139" s="1944"/>
      <c r="B139" s="1944"/>
      <c r="C139" s="474">
        <v>43731</v>
      </c>
      <c r="D139" s="453" t="s">
        <v>5691</v>
      </c>
      <c r="E139" s="453" t="s">
        <v>69</v>
      </c>
      <c r="F139" s="453" t="s">
        <v>70</v>
      </c>
      <c r="G139" s="473" t="s">
        <v>5692</v>
      </c>
      <c r="H139" s="453">
        <v>1</v>
      </c>
      <c r="I139" s="1420" t="s">
        <v>5693</v>
      </c>
      <c r="J139" s="453"/>
      <c r="K139" s="453" t="s">
        <v>4273</v>
      </c>
      <c r="L139" s="453"/>
      <c r="M139" s="457">
        <v>21227976</v>
      </c>
      <c r="N139" s="453" t="s">
        <v>251</v>
      </c>
      <c r="O139" s="474">
        <v>43760</v>
      </c>
      <c r="P139" s="474">
        <v>43797</v>
      </c>
      <c r="Q139" s="474">
        <v>43839</v>
      </c>
      <c r="R139" s="1420" t="s">
        <v>2548</v>
      </c>
      <c r="S139" s="453"/>
      <c r="T139" s="457">
        <v>21226705.920000002</v>
      </c>
      <c r="U139" s="457">
        <v>23349376.510000002</v>
      </c>
      <c r="V139" s="1474"/>
      <c r="W139" s="1474"/>
      <c r="X139" s="1474"/>
      <c r="Y139" s="570">
        <v>43840</v>
      </c>
      <c r="Z139" s="457" t="s">
        <v>6259</v>
      </c>
      <c r="AA139" s="474">
        <v>43871</v>
      </c>
      <c r="AB139" s="474">
        <v>43879</v>
      </c>
      <c r="AC139" s="474">
        <v>44601</v>
      </c>
      <c r="AD139" s="474">
        <v>44279</v>
      </c>
      <c r="AE139" s="474">
        <v>44645</v>
      </c>
      <c r="AF139" s="388" t="s">
        <v>6400</v>
      </c>
      <c r="AG139" s="360" t="s">
        <v>11656</v>
      </c>
      <c r="AJ139" s="1944"/>
      <c r="AK139" s="1944"/>
      <c r="AL139" s="1944"/>
      <c r="AM139" s="1944"/>
      <c r="AN139" s="1944"/>
      <c r="AO139" s="1944"/>
      <c r="AP139" s="1944"/>
      <c r="AQ139" s="1944"/>
      <c r="AS139" s="1944"/>
    </row>
    <row r="140" spans="1:45">
      <c r="A140" s="1944"/>
      <c r="B140" s="1944"/>
      <c r="C140" s="537">
        <v>43731</v>
      </c>
      <c r="D140" s="491" t="s">
        <v>5691</v>
      </c>
      <c r="E140" s="491" t="s">
        <v>69</v>
      </c>
      <c r="F140" s="491" t="s">
        <v>70</v>
      </c>
      <c r="G140" s="571" t="s">
        <v>5692</v>
      </c>
      <c r="H140" s="491">
        <v>2</v>
      </c>
      <c r="I140" s="495" t="s">
        <v>5694</v>
      </c>
      <c r="J140" s="491"/>
      <c r="K140" s="491" t="s">
        <v>4273</v>
      </c>
      <c r="L140" s="491"/>
      <c r="M140" s="536">
        <v>1061705</v>
      </c>
      <c r="N140" s="491" t="s">
        <v>251</v>
      </c>
      <c r="O140" s="537">
        <v>43760</v>
      </c>
      <c r="P140" s="537">
        <v>43797</v>
      </c>
      <c r="Q140" s="537">
        <v>43839</v>
      </c>
      <c r="R140" s="495" t="s">
        <v>5774</v>
      </c>
      <c r="S140" s="491"/>
      <c r="T140" s="536">
        <v>1057645.1599999999</v>
      </c>
      <c r="U140" s="536">
        <v>1163409.68</v>
      </c>
      <c r="V140" s="1471"/>
      <c r="W140" s="1471"/>
      <c r="X140" s="1471"/>
      <c r="Y140" s="573">
        <v>43840</v>
      </c>
      <c r="Z140" s="536" t="s">
        <v>6260</v>
      </c>
      <c r="AA140" s="537">
        <v>43871</v>
      </c>
      <c r="AB140" s="537">
        <v>43879</v>
      </c>
      <c r="AC140" s="537">
        <v>44601</v>
      </c>
      <c r="AD140" s="537">
        <v>44279</v>
      </c>
      <c r="AE140" s="537">
        <v>44645</v>
      </c>
      <c r="AF140" s="388" t="s">
        <v>6400</v>
      </c>
      <c r="AJ140" s="1944"/>
      <c r="AK140" s="1944"/>
      <c r="AL140" s="1944"/>
      <c r="AM140" s="1944"/>
      <c r="AN140" s="1944"/>
      <c r="AO140" s="1944"/>
      <c r="AP140" s="1944"/>
      <c r="AQ140" s="1944"/>
      <c r="AS140" s="1944"/>
    </row>
    <row r="141" spans="1:45">
      <c r="A141" s="1944"/>
      <c r="B141" s="1944"/>
      <c r="C141" s="537">
        <v>43731</v>
      </c>
      <c r="D141" s="491" t="s">
        <v>5691</v>
      </c>
      <c r="E141" s="491" t="s">
        <v>69</v>
      </c>
      <c r="F141" s="491" t="s">
        <v>70</v>
      </c>
      <c r="G141" s="571" t="s">
        <v>5692</v>
      </c>
      <c r="H141" s="491">
        <v>3</v>
      </c>
      <c r="I141" s="495" t="s">
        <v>5695</v>
      </c>
      <c r="J141" s="491"/>
      <c r="K141" s="491" t="s">
        <v>4273</v>
      </c>
      <c r="L141" s="491"/>
      <c r="M141" s="536">
        <v>65635</v>
      </c>
      <c r="N141" s="491" t="s">
        <v>251</v>
      </c>
      <c r="O141" s="537">
        <v>43760</v>
      </c>
      <c r="P141" s="537">
        <v>43797</v>
      </c>
      <c r="Q141" s="537">
        <v>43839</v>
      </c>
      <c r="R141" s="495" t="s">
        <v>5774</v>
      </c>
      <c r="S141" s="491"/>
      <c r="T141" s="536">
        <v>65363.72</v>
      </c>
      <c r="U141" s="536">
        <v>71900.09</v>
      </c>
      <c r="V141" s="1471"/>
      <c r="W141" s="1471"/>
      <c r="X141" s="1471"/>
      <c r="Y141" s="573">
        <v>43840</v>
      </c>
      <c r="Z141" s="536" t="s">
        <v>6261</v>
      </c>
      <c r="AA141" s="537">
        <v>43871</v>
      </c>
      <c r="AB141" s="537">
        <v>43879</v>
      </c>
      <c r="AC141" s="537">
        <v>44601</v>
      </c>
      <c r="AD141" s="537">
        <v>44279</v>
      </c>
      <c r="AE141" s="537">
        <v>44645</v>
      </c>
      <c r="AF141" s="388" t="s">
        <v>6400</v>
      </c>
      <c r="AJ141" s="1944"/>
      <c r="AK141" s="1944"/>
      <c r="AL141" s="1944"/>
      <c r="AM141" s="1944"/>
      <c r="AN141" s="1944"/>
      <c r="AO141" s="1944"/>
      <c r="AP141" s="1944"/>
      <c r="AQ141" s="1944"/>
      <c r="AS141" s="1944"/>
    </row>
    <row r="142" spans="1:45">
      <c r="A142" s="1944"/>
      <c r="B142" s="1944"/>
      <c r="C142" s="510">
        <v>43739</v>
      </c>
      <c r="D142" s="1382" t="s">
        <v>5765</v>
      </c>
      <c r="E142" s="506" t="s">
        <v>2111</v>
      </c>
      <c r="F142" s="506" t="s">
        <v>4440</v>
      </c>
      <c r="G142" s="507" t="s">
        <v>5766</v>
      </c>
      <c r="H142" s="506"/>
      <c r="I142" s="548"/>
      <c r="J142" s="506"/>
      <c r="K142" s="506" t="s">
        <v>2967</v>
      </c>
      <c r="L142" s="506"/>
      <c r="M142" s="511">
        <v>2735780</v>
      </c>
      <c r="N142" s="506" t="s">
        <v>216</v>
      </c>
      <c r="O142" s="510">
        <v>43811</v>
      </c>
      <c r="P142" s="510">
        <v>43867</v>
      </c>
      <c r="Q142" s="506"/>
      <c r="R142" s="736" t="s">
        <v>7077</v>
      </c>
      <c r="S142" s="506"/>
      <c r="T142" s="511"/>
      <c r="U142" s="511"/>
      <c r="V142" s="1470"/>
      <c r="W142" s="1470"/>
      <c r="X142" s="1470"/>
      <c r="Y142" s="511"/>
      <c r="Z142" s="511"/>
      <c r="AA142" s="506"/>
      <c r="AB142" s="510">
        <v>44022</v>
      </c>
      <c r="AC142" s="506"/>
      <c r="AD142" s="506"/>
      <c r="AE142" s="506"/>
      <c r="AJ142" s="1944"/>
      <c r="AK142" s="1944"/>
      <c r="AL142" s="1944"/>
      <c r="AM142" s="1944"/>
      <c r="AN142" s="1944"/>
      <c r="AO142" s="1944"/>
      <c r="AP142" s="1944"/>
      <c r="AQ142" s="1944"/>
      <c r="AS142" s="1944"/>
    </row>
    <row r="143" spans="1:45">
      <c r="A143" s="1944"/>
      <c r="B143" s="1944"/>
      <c r="C143" s="537">
        <v>43763</v>
      </c>
      <c r="D143" s="1373" t="s">
        <v>5767</v>
      </c>
      <c r="E143" s="491" t="s">
        <v>14</v>
      </c>
      <c r="F143" s="491" t="s">
        <v>13</v>
      </c>
      <c r="G143" s="571" t="s">
        <v>5769</v>
      </c>
      <c r="H143" s="491"/>
      <c r="I143" s="495"/>
      <c r="J143" s="491"/>
      <c r="K143" s="491" t="s">
        <v>2430</v>
      </c>
      <c r="L143" s="491" t="s">
        <v>5768</v>
      </c>
      <c r="M143" s="536">
        <v>3383400</v>
      </c>
      <c r="N143" s="491" t="s">
        <v>216</v>
      </c>
      <c r="O143" s="537">
        <v>43811</v>
      </c>
      <c r="P143" s="537">
        <v>43839</v>
      </c>
      <c r="Q143" s="537">
        <v>43857</v>
      </c>
      <c r="R143" s="495" t="s">
        <v>6319</v>
      </c>
      <c r="S143" s="491"/>
      <c r="T143" s="536">
        <v>2502010</v>
      </c>
      <c r="U143" s="536">
        <v>3027432.1</v>
      </c>
      <c r="V143" s="1471"/>
      <c r="W143" s="1471"/>
      <c r="X143" s="1471"/>
      <c r="Y143" s="573">
        <v>43857</v>
      </c>
      <c r="Z143" s="536" t="s">
        <v>6320</v>
      </c>
      <c r="AA143" s="537">
        <v>43895</v>
      </c>
      <c r="AB143" s="537">
        <v>43900</v>
      </c>
      <c r="AC143" s="537">
        <v>44259</v>
      </c>
      <c r="AD143" s="537">
        <v>44214</v>
      </c>
      <c r="AE143" s="1102"/>
      <c r="AJ143" s="1944"/>
      <c r="AK143" s="1944"/>
      <c r="AL143" s="1944"/>
      <c r="AM143" s="1944"/>
      <c r="AN143" s="1944"/>
      <c r="AO143" s="1944"/>
      <c r="AP143" s="1944"/>
      <c r="AQ143" s="1944"/>
      <c r="AS143" s="1944"/>
    </row>
    <row r="144" spans="1:45">
      <c r="A144" s="1944"/>
      <c r="B144" s="1944"/>
      <c r="C144" s="537">
        <v>43753</v>
      </c>
      <c r="D144" s="1373" t="s">
        <v>5824</v>
      </c>
      <c r="E144" s="491" t="s">
        <v>1032</v>
      </c>
      <c r="F144" s="491" t="s">
        <v>361</v>
      </c>
      <c r="G144" s="571" t="s">
        <v>5825</v>
      </c>
      <c r="H144" s="491"/>
      <c r="I144" s="495"/>
      <c r="J144" s="491"/>
      <c r="K144" s="491" t="s">
        <v>5826</v>
      </c>
      <c r="L144" s="491"/>
      <c r="M144" s="536">
        <v>4500000</v>
      </c>
      <c r="N144" s="491" t="s">
        <v>251</v>
      </c>
      <c r="O144" s="537">
        <v>43760</v>
      </c>
      <c r="P144" s="537">
        <v>43791</v>
      </c>
      <c r="Q144" s="537">
        <v>43802</v>
      </c>
      <c r="R144" s="495" t="s">
        <v>6070</v>
      </c>
      <c r="S144" s="491"/>
      <c r="T144" s="536">
        <v>4266000</v>
      </c>
      <c r="U144" s="536">
        <f>T144*1.21</f>
        <v>5161860</v>
      </c>
      <c r="V144" s="1471"/>
      <c r="W144" s="1471"/>
      <c r="X144" s="1471"/>
      <c r="Y144" s="573">
        <v>43803</v>
      </c>
      <c r="Z144" s="536" t="s">
        <v>6079</v>
      </c>
      <c r="AA144" s="537">
        <v>43850</v>
      </c>
      <c r="AB144" s="537">
        <v>43851</v>
      </c>
      <c r="AC144" s="537">
        <f>AA144+42</f>
        <v>43892</v>
      </c>
      <c r="AD144" s="537">
        <v>43962</v>
      </c>
      <c r="AE144" s="1102"/>
      <c r="AJ144" s="1944"/>
      <c r="AK144" s="1944"/>
      <c r="AL144" s="1944"/>
      <c r="AM144" s="1944"/>
      <c r="AN144" s="1944"/>
      <c r="AO144" s="1944"/>
      <c r="AP144" s="1944"/>
      <c r="AQ144" s="1944"/>
      <c r="AS144" s="1944"/>
    </row>
    <row r="145" spans="1:45" ht="30">
      <c r="A145" s="1944"/>
      <c r="B145" s="1944"/>
      <c r="C145" s="537">
        <v>43755</v>
      </c>
      <c r="D145" s="1373" t="s">
        <v>5842</v>
      </c>
      <c r="E145" s="491" t="s">
        <v>58</v>
      </c>
      <c r="F145" s="491" t="s">
        <v>2684</v>
      </c>
      <c r="G145" s="571" t="s">
        <v>5843</v>
      </c>
      <c r="H145" s="491"/>
      <c r="I145" s="495"/>
      <c r="J145" s="491"/>
      <c r="K145" s="491" t="s">
        <v>1294</v>
      </c>
      <c r="L145" s="491" t="s">
        <v>5844</v>
      </c>
      <c r="M145" s="536">
        <v>1415000</v>
      </c>
      <c r="N145" s="491" t="s">
        <v>112</v>
      </c>
      <c r="O145" s="537">
        <v>43787</v>
      </c>
      <c r="P145" s="537">
        <v>43795</v>
      </c>
      <c r="Q145" s="537">
        <v>43837</v>
      </c>
      <c r="R145" s="495" t="s">
        <v>6215</v>
      </c>
      <c r="S145" s="491"/>
      <c r="T145" s="536">
        <v>1413950</v>
      </c>
      <c r="U145" s="536">
        <f>T145*1.21</f>
        <v>1710879.5</v>
      </c>
      <c r="V145" s="1471"/>
      <c r="W145" s="1471"/>
      <c r="X145" s="1471"/>
      <c r="Y145" s="573">
        <v>43838</v>
      </c>
      <c r="Z145" s="1375" t="s">
        <v>6240</v>
      </c>
      <c r="AA145" s="537">
        <v>43872</v>
      </c>
      <c r="AB145" s="537">
        <v>43872</v>
      </c>
      <c r="AC145" s="537">
        <f>AA145+56</f>
        <v>43928</v>
      </c>
      <c r="AD145" s="537">
        <v>44004</v>
      </c>
      <c r="AE145" s="1374" t="s">
        <v>1875</v>
      </c>
      <c r="AJ145" s="1944"/>
      <c r="AK145" s="1944"/>
      <c r="AL145" s="1944"/>
      <c r="AM145" s="1944"/>
      <c r="AN145" s="1944"/>
      <c r="AO145" s="1944"/>
      <c r="AP145" s="1944"/>
      <c r="AQ145" s="1944"/>
      <c r="AS145" s="1944"/>
    </row>
    <row r="146" spans="1:45" ht="45">
      <c r="A146" s="1944"/>
      <c r="B146" s="1944"/>
      <c r="C146" s="537">
        <v>43756</v>
      </c>
      <c r="D146" s="1373" t="s">
        <v>5861</v>
      </c>
      <c r="E146" s="491" t="s">
        <v>58</v>
      </c>
      <c r="F146" s="491" t="s">
        <v>55</v>
      </c>
      <c r="G146" s="571" t="s">
        <v>5862</v>
      </c>
      <c r="H146" s="491"/>
      <c r="I146" s="495"/>
      <c r="J146" s="590"/>
      <c r="K146" s="491" t="s">
        <v>5863</v>
      </c>
      <c r="L146" s="491" t="s">
        <v>3615</v>
      </c>
      <c r="M146" s="536">
        <v>6323000</v>
      </c>
      <c r="N146" s="491" t="s">
        <v>251</v>
      </c>
      <c r="O146" s="537">
        <v>43761</v>
      </c>
      <c r="P146" s="537">
        <v>43794</v>
      </c>
      <c r="Q146" s="537">
        <v>43810</v>
      </c>
      <c r="R146" s="495" t="s">
        <v>6109</v>
      </c>
      <c r="S146" s="491"/>
      <c r="T146" s="536">
        <v>6219800</v>
      </c>
      <c r="U146" s="536">
        <f>T146*1.21</f>
        <v>7525958</v>
      </c>
      <c r="V146" s="1484"/>
      <c r="W146" s="1484"/>
      <c r="X146" s="1484"/>
      <c r="Y146" s="573">
        <v>43811</v>
      </c>
      <c r="Z146" s="1375" t="s">
        <v>6121</v>
      </c>
      <c r="AA146" s="537">
        <v>43859</v>
      </c>
      <c r="AB146" s="537">
        <v>43867</v>
      </c>
      <c r="AC146" s="1435" t="s">
        <v>6335</v>
      </c>
      <c r="AD146" s="537">
        <v>43976</v>
      </c>
      <c r="AE146" s="1996">
        <v>44851</v>
      </c>
      <c r="AJ146" s="1944"/>
      <c r="AK146" s="1944"/>
      <c r="AL146" s="1944"/>
      <c r="AM146" s="1944"/>
      <c r="AN146" s="1944"/>
      <c r="AO146" s="1944"/>
      <c r="AP146" s="1944"/>
      <c r="AQ146" s="1944"/>
      <c r="AS146" s="1944"/>
    </row>
    <row r="147" spans="1:45">
      <c r="A147" s="1944"/>
      <c r="B147" s="1944"/>
      <c r="C147" s="537">
        <v>43759</v>
      </c>
      <c r="D147" s="1373" t="s">
        <v>5864</v>
      </c>
      <c r="E147" s="491" t="s">
        <v>14</v>
      </c>
      <c r="F147" s="491" t="s">
        <v>530</v>
      </c>
      <c r="G147" s="571" t="s">
        <v>5865</v>
      </c>
      <c r="H147" s="491"/>
      <c r="I147" s="495"/>
      <c r="J147" s="491"/>
      <c r="K147" s="491" t="s">
        <v>39</v>
      </c>
      <c r="L147" s="491"/>
      <c r="M147" s="536">
        <v>1200000</v>
      </c>
      <c r="N147" s="491" t="s">
        <v>112</v>
      </c>
      <c r="O147" s="537">
        <v>43769</v>
      </c>
      <c r="P147" s="537">
        <v>43781</v>
      </c>
      <c r="Q147" s="537">
        <v>43797</v>
      </c>
      <c r="R147" s="495" t="s">
        <v>6047</v>
      </c>
      <c r="S147" s="491"/>
      <c r="T147" s="536">
        <v>896560</v>
      </c>
      <c r="U147" s="536">
        <v>1084837.6000000001</v>
      </c>
      <c r="V147" s="1471"/>
      <c r="W147" s="1471"/>
      <c r="X147" s="1471"/>
      <c r="Y147" s="573">
        <v>43798</v>
      </c>
      <c r="Z147" s="536" t="s">
        <v>6064</v>
      </c>
      <c r="AA147" s="537">
        <v>43850</v>
      </c>
      <c r="AB147" s="537">
        <v>43854</v>
      </c>
      <c r="AC147" s="491" t="s">
        <v>4096</v>
      </c>
      <c r="AD147" s="537">
        <v>44025</v>
      </c>
      <c r="AE147" s="1525">
        <v>44865</v>
      </c>
      <c r="AH147" s="360"/>
      <c r="AI147" s="360"/>
      <c r="AJ147" s="1944"/>
      <c r="AK147" s="1944"/>
      <c r="AL147" s="1944"/>
      <c r="AM147" s="1944"/>
      <c r="AN147" s="1944"/>
      <c r="AO147" s="1944"/>
      <c r="AP147" s="1944"/>
      <c r="AQ147" s="1944"/>
      <c r="AS147" s="1944"/>
    </row>
    <row r="148" spans="1:45">
      <c r="A148" s="1944"/>
      <c r="B148" s="1944"/>
      <c r="C148" s="537">
        <v>43759</v>
      </c>
      <c r="D148" s="1373" t="s">
        <v>5869</v>
      </c>
      <c r="E148" s="491" t="s">
        <v>2434</v>
      </c>
      <c r="F148" s="491" t="s">
        <v>219</v>
      </c>
      <c r="G148" s="571" t="s">
        <v>5873</v>
      </c>
      <c r="H148" s="491"/>
      <c r="I148" s="495"/>
      <c r="J148" s="491"/>
      <c r="K148" s="491" t="s">
        <v>5870</v>
      </c>
      <c r="L148" s="491"/>
      <c r="M148" s="536">
        <v>882390</v>
      </c>
      <c r="N148" s="491" t="s">
        <v>112</v>
      </c>
      <c r="O148" s="537">
        <v>43776</v>
      </c>
      <c r="P148" s="537">
        <v>43789</v>
      </c>
      <c r="Q148" s="537">
        <v>43803</v>
      </c>
      <c r="R148" s="495" t="s">
        <v>993</v>
      </c>
      <c r="S148" s="491"/>
      <c r="T148" s="536">
        <v>882363</v>
      </c>
      <c r="U148" s="536">
        <f>T148*1.21</f>
        <v>1067659.23</v>
      </c>
      <c r="V148" s="1471"/>
      <c r="W148" s="1471"/>
      <c r="X148" s="1471"/>
      <c r="Y148" s="573">
        <v>43803</v>
      </c>
      <c r="Z148" s="536" t="s">
        <v>6078</v>
      </c>
      <c r="AA148" s="537">
        <v>43836</v>
      </c>
      <c r="AB148" s="537">
        <v>43837</v>
      </c>
      <c r="AC148" s="537">
        <f>AA148+42</f>
        <v>43878</v>
      </c>
      <c r="AD148" s="537">
        <v>43935</v>
      </c>
      <c r="AE148" s="1102"/>
      <c r="AJ148" s="1944"/>
      <c r="AK148" s="1944"/>
      <c r="AL148" s="1944"/>
      <c r="AM148" s="1944"/>
      <c r="AN148" s="1944"/>
      <c r="AO148" s="1944"/>
      <c r="AP148" s="1944"/>
      <c r="AQ148" s="1944"/>
      <c r="AS148" s="1944"/>
    </row>
    <row r="149" spans="1:45" ht="15.75" thickBot="1">
      <c r="A149" s="1944"/>
      <c r="B149" s="1944"/>
      <c r="C149" s="416">
        <v>43760</v>
      </c>
      <c r="D149" s="1468" t="s">
        <v>5874</v>
      </c>
      <c r="E149" s="411" t="s">
        <v>69</v>
      </c>
      <c r="F149" s="411" t="s">
        <v>70</v>
      </c>
      <c r="G149" s="2517" t="s">
        <v>5891</v>
      </c>
      <c r="H149" s="411">
        <v>1</v>
      </c>
      <c r="I149" s="412" t="s">
        <v>5875</v>
      </c>
      <c r="J149" s="411"/>
      <c r="K149" s="411" t="s">
        <v>72</v>
      </c>
      <c r="L149" s="411"/>
      <c r="M149" s="417">
        <v>12595778</v>
      </c>
      <c r="N149" s="411" t="s">
        <v>251</v>
      </c>
      <c r="O149" s="416">
        <v>43822</v>
      </c>
      <c r="P149" s="416">
        <v>43887</v>
      </c>
      <c r="Q149" s="416">
        <v>43900</v>
      </c>
      <c r="R149" s="630" t="s">
        <v>1319</v>
      </c>
      <c r="S149" s="411"/>
      <c r="T149" s="417">
        <v>12595776</v>
      </c>
      <c r="U149" s="417">
        <f>T149*1.1</f>
        <v>13855353.600000001</v>
      </c>
      <c r="V149" s="1480"/>
      <c r="W149" s="1480"/>
      <c r="X149" s="1480"/>
      <c r="Y149" s="513">
        <v>43902</v>
      </c>
      <c r="Z149" s="417" t="s">
        <v>6543</v>
      </c>
      <c r="AA149" s="416">
        <v>43938</v>
      </c>
      <c r="AB149" s="416">
        <v>43948</v>
      </c>
      <c r="AC149" s="416">
        <v>44667</v>
      </c>
      <c r="AD149" s="416">
        <v>44279</v>
      </c>
      <c r="AE149" s="416">
        <v>44645</v>
      </c>
      <c r="AF149" s="388" t="s">
        <v>6704</v>
      </c>
      <c r="AJ149" s="1944"/>
      <c r="AK149" s="1944"/>
      <c r="AL149" s="1944"/>
      <c r="AM149" s="1944"/>
      <c r="AN149" s="1944"/>
      <c r="AO149" s="1944"/>
      <c r="AP149" s="1944"/>
      <c r="AQ149" s="1944"/>
      <c r="AS149" s="1944"/>
    </row>
    <row r="150" spans="1:45" ht="15.75" thickTop="1">
      <c r="A150" s="1944"/>
      <c r="B150" s="1944"/>
      <c r="C150" s="474">
        <v>43760</v>
      </c>
      <c r="D150" s="1383" t="s">
        <v>5876</v>
      </c>
      <c r="E150" s="453" t="s">
        <v>69</v>
      </c>
      <c r="F150" s="453" t="s">
        <v>70</v>
      </c>
      <c r="G150" s="473" t="s">
        <v>5892</v>
      </c>
      <c r="H150" s="453">
        <v>1</v>
      </c>
      <c r="I150" s="473" t="s">
        <v>5877</v>
      </c>
      <c r="J150" s="453"/>
      <c r="K150" s="453" t="s">
        <v>4273</v>
      </c>
      <c r="L150" s="453"/>
      <c r="M150" s="457">
        <v>1397547</v>
      </c>
      <c r="N150" s="453" t="s">
        <v>251</v>
      </c>
      <c r="O150" s="474">
        <v>43782</v>
      </c>
      <c r="P150" s="474">
        <v>43822</v>
      </c>
      <c r="Q150" s="474">
        <v>43879</v>
      </c>
      <c r="R150" s="1420" t="s">
        <v>2548</v>
      </c>
      <c r="S150" s="453"/>
      <c r="T150" s="457">
        <v>1386261.84</v>
      </c>
      <c r="U150" s="457">
        <v>1524888.02</v>
      </c>
      <c r="V150" s="1474"/>
      <c r="W150" s="1474"/>
      <c r="X150" s="1474"/>
      <c r="Y150" s="570">
        <v>43881</v>
      </c>
      <c r="Z150" s="457" t="s">
        <v>6441</v>
      </c>
      <c r="AA150" s="474">
        <v>43921</v>
      </c>
      <c r="AB150" s="474">
        <v>43928</v>
      </c>
      <c r="AC150" s="474">
        <v>44650</v>
      </c>
      <c r="AD150" s="474">
        <v>44279</v>
      </c>
      <c r="AE150" s="2007" t="s">
        <v>7285</v>
      </c>
      <c r="AF150" s="2006"/>
      <c r="AJ150" s="1944"/>
      <c r="AK150" s="1944"/>
      <c r="AL150" s="1944"/>
      <c r="AM150" s="1944"/>
      <c r="AN150" s="1944"/>
      <c r="AO150" s="1944"/>
      <c r="AP150" s="1944"/>
      <c r="AQ150" s="1944"/>
      <c r="AS150" s="1944"/>
    </row>
    <row r="151" spans="1:45">
      <c r="A151" s="1944"/>
      <c r="B151" s="1944"/>
      <c r="C151" s="510">
        <v>43760</v>
      </c>
      <c r="D151" s="1382" t="s">
        <v>5876</v>
      </c>
      <c r="E151" s="506" t="s">
        <v>69</v>
      </c>
      <c r="F151" s="506" t="s">
        <v>70</v>
      </c>
      <c r="G151" s="507" t="s">
        <v>5892</v>
      </c>
      <c r="H151" s="506">
        <v>2</v>
      </c>
      <c r="I151" s="507" t="s">
        <v>5878</v>
      </c>
      <c r="J151" s="506"/>
      <c r="K151" s="506" t="s">
        <v>4273</v>
      </c>
      <c r="L151" s="506"/>
      <c r="M151" s="511">
        <v>98913</v>
      </c>
      <c r="N151" s="506" t="s">
        <v>251</v>
      </c>
      <c r="O151" s="510">
        <v>43782</v>
      </c>
      <c r="P151" s="510">
        <v>43822</v>
      </c>
      <c r="Q151" s="506"/>
      <c r="R151" s="736" t="s">
        <v>304</v>
      </c>
      <c r="S151" s="506"/>
      <c r="T151" s="511"/>
      <c r="U151" s="511"/>
      <c r="V151" s="1470"/>
      <c r="W151" s="1470"/>
      <c r="X151" s="1470"/>
      <c r="Y151" s="511"/>
      <c r="Z151" s="511"/>
      <c r="AA151" s="506"/>
      <c r="AB151" s="510">
        <v>43900</v>
      </c>
      <c r="AC151" s="506" t="s">
        <v>6422</v>
      </c>
      <c r="AD151" s="506"/>
      <c r="AE151" s="506"/>
      <c r="AJ151" s="1944"/>
      <c r="AK151" s="1944"/>
      <c r="AL151" s="1944"/>
      <c r="AM151" s="1944"/>
      <c r="AN151" s="1944"/>
      <c r="AO151" s="1944"/>
      <c r="AP151" s="1944"/>
      <c r="AQ151" s="1944"/>
      <c r="AS151" s="1944"/>
    </row>
    <row r="152" spans="1:45">
      <c r="A152" s="1944"/>
      <c r="B152" s="1944"/>
      <c r="C152" s="510">
        <v>43760</v>
      </c>
      <c r="D152" s="1382" t="s">
        <v>5876</v>
      </c>
      <c r="E152" s="506" t="s">
        <v>69</v>
      </c>
      <c r="F152" s="506" t="s">
        <v>70</v>
      </c>
      <c r="G152" s="507" t="s">
        <v>5892</v>
      </c>
      <c r="H152" s="506">
        <v>3</v>
      </c>
      <c r="I152" s="507" t="s">
        <v>5879</v>
      </c>
      <c r="J152" s="506"/>
      <c r="K152" s="506" t="s">
        <v>4273</v>
      </c>
      <c r="L152" s="506"/>
      <c r="M152" s="511">
        <v>286872</v>
      </c>
      <c r="N152" s="506" t="s">
        <v>251</v>
      </c>
      <c r="O152" s="510">
        <v>43782</v>
      </c>
      <c r="P152" s="510">
        <v>43822</v>
      </c>
      <c r="Q152" s="506"/>
      <c r="R152" s="736" t="s">
        <v>304</v>
      </c>
      <c r="S152" s="506"/>
      <c r="T152" s="511"/>
      <c r="U152" s="511"/>
      <c r="V152" s="1470"/>
      <c r="W152" s="1470"/>
      <c r="X152" s="1470"/>
      <c r="Y152" s="511"/>
      <c r="Z152" s="511"/>
      <c r="AA152" s="506"/>
      <c r="AB152" s="510">
        <v>43900</v>
      </c>
      <c r="AC152" s="506" t="s">
        <v>6422</v>
      </c>
      <c r="AD152" s="506"/>
      <c r="AE152" s="506"/>
      <c r="AJ152" s="1944"/>
      <c r="AK152" s="1944"/>
      <c r="AL152" s="1944"/>
      <c r="AM152" s="1944"/>
      <c r="AN152" s="1944"/>
      <c r="AO152" s="1944"/>
      <c r="AP152" s="1944"/>
      <c r="AQ152" s="1944"/>
      <c r="AS152" s="1944"/>
    </row>
    <row r="153" spans="1:45">
      <c r="A153" s="1944"/>
      <c r="B153" s="1944"/>
      <c r="C153" s="537">
        <v>43760</v>
      </c>
      <c r="D153" s="1373" t="s">
        <v>5876</v>
      </c>
      <c r="E153" s="491" t="s">
        <v>69</v>
      </c>
      <c r="F153" s="491" t="s">
        <v>70</v>
      </c>
      <c r="G153" s="571" t="s">
        <v>5892</v>
      </c>
      <c r="H153" s="491">
        <v>4</v>
      </c>
      <c r="I153" s="571" t="s">
        <v>5880</v>
      </c>
      <c r="J153" s="491"/>
      <c r="K153" s="491" t="s">
        <v>4273</v>
      </c>
      <c r="L153" s="491"/>
      <c r="M153" s="536">
        <v>5219505</v>
      </c>
      <c r="N153" s="491" t="s">
        <v>251</v>
      </c>
      <c r="O153" s="537">
        <v>43782</v>
      </c>
      <c r="P153" s="537">
        <v>43822</v>
      </c>
      <c r="Q153" s="537">
        <v>43879</v>
      </c>
      <c r="R153" s="3211" t="s">
        <v>2548</v>
      </c>
      <c r="S153" s="491"/>
      <c r="T153" s="536">
        <v>5133281.32</v>
      </c>
      <c r="U153" s="536">
        <v>5646609.4500000002</v>
      </c>
      <c r="V153" s="1471"/>
      <c r="W153" s="1471"/>
      <c r="X153" s="1471"/>
      <c r="Y153" s="573">
        <v>43881</v>
      </c>
      <c r="Z153" s="536" t="s">
        <v>6442</v>
      </c>
      <c r="AA153" s="537">
        <v>43921</v>
      </c>
      <c r="AB153" s="537">
        <v>43928</v>
      </c>
      <c r="AC153" s="537">
        <v>44650</v>
      </c>
      <c r="AD153" s="537">
        <v>44279</v>
      </c>
      <c r="AE153" s="537">
        <v>44645</v>
      </c>
      <c r="AF153" s="388" t="s">
        <v>6607</v>
      </c>
      <c r="AJ153" s="1944"/>
      <c r="AK153" s="1944"/>
      <c r="AL153" s="1944"/>
      <c r="AM153" s="1944"/>
      <c r="AN153" s="1944"/>
      <c r="AO153" s="1944"/>
      <c r="AP153" s="1944"/>
      <c r="AQ153" s="1944"/>
      <c r="AS153" s="1944"/>
    </row>
    <row r="154" spans="1:45" ht="15.75" thickBot="1">
      <c r="A154" s="1944"/>
      <c r="B154" s="1944"/>
      <c r="C154" s="1380">
        <v>43760</v>
      </c>
      <c r="D154" s="1377" t="s">
        <v>5876</v>
      </c>
      <c r="E154" s="1376" t="s">
        <v>69</v>
      </c>
      <c r="F154" s="1376" t="s">
        <v>70</v>
      </c>
      <c r="G154" s="1378" t="s">
        <v>5892</v>
      </c>
      <c r="H154" s="1376">
        <v>5</v>
      </c>
      <c r="I154" s="1378" t="s">
        <v>5881</v>
      </c>
      <c r="J154" s="1376"/>
      <c r="K154" s="1376" t="s">
        <v>4273</v>
      </c>
      <c r="L154" s="1376"/>
      <c r="M154" s="1379">
        <v>2622951</v>
      </c>
      <c r="N154" s="1376" t="s">
        <v>251</v>
      </c>
      <c r="O154" s="1380">
        <v>43782</v>
      </c>
      <c r="P154" s="1380">
        <v>43822</v>
      </c>
      <c r="Q154" s="1380">
        <v>43879</v>
      </c>
      <c r="R154" s="1421" t="s">
        <v>576</v>
      </c>
      <c r="S154" s="1376"/>
      <c r="T154" s="1379">
        <v>2611675.3199999998</v>
      </c>
      <c r="U154" s="1379">
        <v>2872842.85</v>
      </c>
      <c r="V154" s="1475"/>
      <c r="W154" s="1475"/>
      <c r="X154" s="1475"/>
      <c r="Y154" s="1388">
        <v>43881</v>
      </c>
      <c r="Z154" s="1379" t="s">
        <v>6443</v>
      </c>
      <c r="AA154" s="1380">
        <v>43921</v>
      </c>
      <c r="AB154" s="1380">
        <v>43928</v>
      </c>
      <c r="AC154" s="1380">
        <v>44650</v>
      </c>
      <c r="AD154" s="1380">
        <v>44279</v>
      </c>
      <c r="AE154" s="1380">
        <v>44645</v>
      </c>
      <c r="AF154" s="388" t="s">
        <v>6607</v>
      </c>
      <c r="AJ154" s="1944"/>
      <c r="AK154" s="1944"/>
      <c r="AL154" s="1944"/>
      <c r="AM154" s="1944"/>
      <c r="AN154" s="1944"/>
      <c r="AO154" s="1944"/>
      <c r="AP154" s="1944"/>
      <c r="AQ154" s="1944"/>
      <c r="AS154" s="1944"/>
    </row>
    <row r="155" spans="1:45" ht="15.75" thickTop="1">
      <c r="A155" s="1944"/>
      <c r="B155" s="1944"/>
      <c r="C155" s="474">
        <v>43760</v>
      </c>
      <c r="D155" s="1383" t="s">
        <v>5882</v>
      </c>
      <c r="E155" s="453" t="s">
        <v>69</v>
      </c>
      <c r="F155" s="453" t="s">
        <v>70</v>
      </c>
      <c r="G155" s="473" t="s">
        <v>5893</v>
      </c>
      <c r="H155" s="453">
        <v>1</v>
      </c>
      <c r="I155" s="473" t="s">
        <v>5883</v>
      </c>
      <c r="J155" s="453"/>
      <c r="K155" s="453" t="s">
        <v>93</v>
      </c>
      <c r="L155" s="453"/>
      <c r="M155" s="457">
        <v>8390223</v>
      </c>
      <c r="N155" s="453" t="s">
        <v>251</v>
      </c>
      <c r="O155" s="474">
        <v>43782</v>
      </c>
      <c r="P155" s="474">
        <v>43844</v>
      </c>
      <c r="Q155" s="474">
        <v>43921</v>
      </c>
      <c r="R155" s="1420" t="s">
        <v>576</v>
      </c>
      <c r="S155" s="453"/>
      <c r="T155" s="457">
        <v>7377097.6399999997</v>
      </c>
      <c r="U155" s="457">
        <v>8114807.4000000004</v>
      </c>
      <c r="V155" s="1474"/>
      <c r="W155" s="1474"/>
      <c r="X155" s="1474"/>
      <c r="Y155" s="570">
        <v>43922</v>
      </c>
      <c r="Z155" s="457" t="s">
        <v>6626</v>
      </c>
      <c r="AA155" s="474">
        <v>43965</v>
      </c>
      <c r="AB155" s="474">
        <v>43978</v>
      </c>
      <c r="AC155" s="474">
        <v>44694</v>
      </c>
      <c r="AD155" s="474">
        <v>44279</v>
      </c>
      <c r="AE155" s="474">
        <v>44645</v>
      </c>
      <c r="AF155" s="388" t="s">
        <v>6812</v>
      </c>
      <c r="AJ155" s="1944"/>
      <c r="AK155" s="1944"/>
      <c r="AL155" s="1944"/>
      <c r="AM155" s="1944"/>
      <c r="AN155" s="1944"/>
      <c r="AO155" s="1944"/>
      <c r="AP155" s="1944"/>
      <c r="AQ155" s="1944"/>
      <c r="AS155" s="1944"/>
    </row>
    <row r="156" spans="1:45">
      <c r="A156" s="1944"/>
      <c r="B156" s="1944"/>
      <c r="C156" s="537">
        <v>43760</v>
      </c>
      <c r="D156" s="1373" t="s">
        <v>5882</v>
      </c>
      <c r="E156" s="491" t="s">
        <v>69</v>
      </c>
      <c r="F156" s="491" t="s">
        <v>70</v>
      </c>
      <c r="G156" s="571" t="s">
        <v>5893</v>
      </c>
      <c r="H156" s="491">
        <v>2</v>
      </c>
      <c r="I156" s="571" t="s">
        <v>5884</v>
      </c>
      <c r="J156" s="491"/>
      <c r="K156" s="491" t="s">
        <v>93</v>
      </c>
      <c r="L156" s="491"/>
      <c r="M156" s="536">
        <v>6654142</v>
      </c>
      <c r="N156" s="491" t="s">
        <v>251</v>
      </c>
      <c r="O156" s="537">
        <v>43782</v>
      </c>
      <c r="P156" s="537">
        <v>43844</v>
      </c>
      <c r="Q156" s="537">
        <v>43921</v>
      </c>
      <c r="R156" s="495" t="s">
        <v>576</v>
      </c>
      <c r="S156" s="491"/>
      <c r="T156" s="536">
        <v>6720852.96</v>
      </c>
      <c r="U156" s="536">
        <v>7392938.2599999998</v>
      </c>
      <c r="V156" s="1471"/>
      <c r="W156" s="1471"/>
      <c r="X156" s="1471"/>
      <c r="Y156" s="573">
        <v>43922</v>
      </c>
      <c r="Z156" s="536" t="s">
        <v>6627</v>
      </c>
      <c r="AA156" s="537">
        <v>43965</v>
      </c>
      <c r="AB156" s="537">
        <v>43978</v>
      </c>
      <c r="AC156" s="537">
        <v>44694</v>
      </c>
      <c r="AD156" s="537">
        <v>44279</v>
      </c>
      <c r="AE156" s="537">
        <v>44645</v>
      </c>
      <c r="AF156" s="388" t="s">
        <v>6812</v>
      </c>
      <c r="AJ156" s="1944"/>
      <c r="AK156" s="1944"/>
      <c r="AL156" s="1944"/>
      <c r="AM156" s="1944"/>
      <c r="AN156" s="1944"/>
      <c r="AO156" s="1944"/>
      <c r="AP156" s="1944"/>
      <c r="AQ156" s="1944"/>
      <c r="AS156" s="1944"/>
    </row>
    <row r="157" spans="1:45">
      <c r="A157" s="1944"/>
      <c r="B157" s="1944"/>
      <c r="C157" s="537">
        <v>43760</v>
      </c>
      <c r="D157" s="1373" t="s">
        <v>5882</v>
      </c>
      <c r="E157" s="491" t="s">
        <v>69</v>
      </c>
      <c r="F157" s="491" t="s">
        <v>70</v>
      </c>
      <c r="G157" s="571" t="s">
        <v>5893</v>
      </c>
      <c r="H157" s="491">
        <v>3</v>
      </c>
      <c r="I157" s="571" t="s">
        <v>5885</v>
      </c>
      <c r="J157" s="491"/>
      <c r="K157" s="491" t="s">
        <v>93</v>
      </c>
      <c r="L157" s="491"/>
      <c r="M157" s="536">
        <v>4568564</v>
      </c>
      <c r="N157" s="491" t="s">
        <v>251</v>
      </c>
      <c r="O157" s="537">
        <v>43782</v>
      </c>
      <c r="P157" s="537">
        <v>43844</v>
      </c>
      <c r="Q157" s="537">
        <v>43921</v>
      </c>
      <c r="R157" s="495" t="s">
        <v>6605</v>
      </c>
      <c r="S157" s="491"/>
      <c r="T157" s="536">
        <v>4568562.3899999997</v>
      </c>
      <c r="U157" s="536">
        <v>5025418.63</v>
      </c>
      <c r="V157" s="1471"/>
      <c r="W157" s="1471"/>
      <c r="X157" s="1471"/>
      <c r="Y157" s="573">
        <v>43922</v>
      </c>
      <c r="Z157" s="536" t="s">
        <v>6628</v>
      </c>
      <c r="AA157" s="537">
        <v>43990</v>
      </c>
      <c r="AB157" s="537">
        <v>43992</v>
      </c>
      <c r="AC157" s="537">
        <v>44719</v>
      </c>
      <c r="AD157" s="537">
        <v>44279</v>
      </c>
      <c r="AE157" s="537">
        <v>44645</v>
      </c>
      <c r="AF157" s="388" t="s">
        <v>6938</v>
      </c>
      <c r="AJ157" s="1944"/>
      <c r="AK157" s="1944"/>
      <c r="AL157" s="1944"/>
      <c r="AM157" s="1944"/>
      <c r="AN157" s="1944"/>
      <c r="AO157" s="1944"/>
      <c r="AP157" s="1944"/>
      <c r="AQ157" s="1944"/>
      <c r="AS157" s="1944"/>
    </row>
    <row r="158" spans="1:45">
      <c r="A158" s="1944"/>
      <c r="B158" s="1944"/>
      <c r="C158" s="537">
        <v>43760</v>
      </c>
      <c r="D158" s="1373" t="s">
        <v>5882</v>
      </c>
      <c r="E158" s="491" t="s">
        <v>69</v>
      </c>
      <c r="F158" s="491" t="s">
        <v>70</v>
      </c>
      <c r="G158" s="571" t="s">
        <v>5893</v>
      </c>
      <c r="H158" s="491">
        <v>4</v>
      </c>
      <c r="I158" s="571" t="s">
        <v>5886</v>
      </c>
      <c r="J158" s="491"/>
      <c r="K158" s="491" t="s">
        <v>93</v>
      </c>
      <c r="L158" s="491"/>
      <c r="M158" s="536">
        <v>2736450</v>
      </c>
      <c r="N158" s="491" t="s">
        <v>251</v>
      </c>
      <c r="O158" s="537">
        <v>43782</v>
      </c>
      <c r="P158" s="537">
        <v>43844</v>
      </c>
      <c r="Q158" s="537">
        <v>43921</v>
      </c>
      <c r="R158" s="495" t="s">
        <v>1319</v>
      </c>
      <c r="S158" s="491"/>
      <c r="T158" s="536">
        <v>2736450</v>
      </c>
      <c r="U158" s="536">
        <v>3010095</v>
      </c>
      <c r="V158" s="1471"/>
      <c r="W158" s="1471"/>
      <c r="X158" s="1471"/>
      <c r="Y158" s="573">
        <v>43922</v>
      </c>
      <c r="Z158" s="536" t="s">
        <v>6629</v>
      </c>
      <c r="AA158" s="537">
        <v>43965</v>
      </c>
      <c r="AB158" s="537">
        <v>43978</v>
      </c>
      <c r="AC158" s="537">
        <v>44694</v>
      </c>
      <c r="AD158" s="491" t="s">
        <v>8483</v>
      </c>
      <c r="AE158" s="537" t="s">
        <v>11373</v>
      </c>
      <c r="AF158" s="388" t="s">
        <v>6812</v>
      </c>
      <c r="AJ158" s="1944"/>
      <c r="AK158" s="1944"/>
      <c r="AL158" s="1944"/>
      <c r="AM158" s="1944"/>
      <c r="AN158" s="1944"/>
      <c r="AO158" s="1944"/>
      <c r="AP158" s="1944"/>
      <c r="AQ158" s="1944"/>
      <c r="AS158" s="1944"/>
    </row>
    <row r="159" spans="1:45">
      <c r="A159" s="1944"/>
      <c r="B159" s="1944"/>
      <c r="C159" s="537">
        <v>43760</v>
      </c>
      <c r="D159" s="1373" t="s">
        <v>5882</v>
      </c>
      <c r="E159" s="491" t="s">
        <v>69</v>
      </c>
      <c r="F159" s="491" t="s">
        <v>70</v>
      </c>
      <c r="G159" s="571" t="s">
        <v>5893</v>
      </c>
      <c r="H159" s="491">
        <v>5</v>
      </c>
      <c r="I159" s="571" t="s">
        <v>5887</v>
      </c>
      <c r="J159" s="491"/>
      <c r="K159" s="491" t="s">
        <v>93</v>
      </c>
      <c r="L159" s="491"/>
      <c r="M159" s="536">
        <v>1261016</v>
      </c>
      <c r="N159" s="491" t="s">
        <v>251</v>
      </c>
      <c r="O159" s="537">
        <v>43782</v>
      </c>
      <c r="P159" s="537">
        <v>43844</v>
      </c>
      <c r="Q159" s="537">
        <v>43921</v>
      </c>
      <c r="R159" s="495" t="s">
        <v>2548</v>
      </c>
      <c r="S159" s="491"/>
      <c r="T159" s="536">
        <v>1260998</v>
      </c>
      <c r="U159" s="536">
        <v>1387097.8</v>
      </c>
      <c r="V159" s="1471"/>
      <c r="W159" s="1471"/>
      <c r="X159" s="1471"/>
      <c r="Y159" s="573">
        <v>43922</v>
      </c>
      <c r="Z159" s="536" t="s">
        <v>6630</v>
      </c>
      <c r="AA159" s="537">
        <v>43965</v>
      </c>
      <c r="AB159" s="537">
        <v>43978</v>
      </c>
      <c r="AC159" s="537">
        <v>44694</v>
      </c>
      <c r="AD159" s="491" t="s">
        <v>8483</v>
      </c>
      <c r="AE159" s="537">
        <v>44645</v>
      </c>
      <c r="AF159" s="388" t="s">
        <v>6812</v>
      </c>
      <c r="AJ159" s="1944"/>
      <c r="AK159" s="1944"/>
      <c r="AL159" s="1944"/>
      <c r="AM159" s="1944"/>
      <c r="AN159" s="1944"/>
      <c r="AO159" s="1944"/>
      <c r="AP159" s="1944"/>
      <c r="AQ159" s="1944"/>
      <c r="AS159" s="1944"/>
    </row>
    <row r="160" spans="1:45" ht="15.75" thickBot="1">
      <c r="A160" s="1944"/>
      <c r="B160" s="1944"/>
      <c r="C160" s="1380">
        <v>43760</v>
      </c>
      <c r="D160" s="1377" t="s">
        <v>5882</v>
      </c>
      <c r="E160" s="1376" t="s">
        <v>69</v>
      </c>
      <c r="F160" s="1376" t="s">
        <v>70</v>
      </c>
      <c r="G160" s="1378" t="s">
        <v>5893</v>
      </c>
      <c r="H160" s="1376">
        <v>6</v>
      </c>
      <c r="I160" s="1378" t="s">
        <v>5888</v>
      </c>
      <c r="J160" s="1376"/>
      <c r="K160" s="1376" t="s">
        <v>93</v>
      </c>
      <c r="L160" s="1376"/>
      <c r="M160" s="1379">
        <v>22859565</v>
      </c>
      <c r="N160" s="1376" t="s">
        <v>251</v>
      </c>
      <c r="O160" s="1380">
        <v>43782</v>
      </c>
      <c r="P160" s="1380">
        <v>43844</v>
      </c>
      <c r="Q160" s="1380">
        <v>43921</v>
      </c>
      <c r="R160" s="1421" t="s">
        <v>576</v>
      </c>
      <c r="S160" s="1376"/>
      <c r="T160" s="1379">
        <v>22631621.52</v>
      </c>
      <c r="U160" s="1379">
        <v>24894783.670000002</v>
      </c>
      <c r="V160" s="1475"/>
      <c r="W160" s="1475"/>
      <c r="X160" s="1475"/>
      <c r="Y160" s="1388">
        <v>43922</v>
      </c>
      <c r="Z160" s="1379" t="s">
        <v>6631</v>
      </c>
      <c r="AA160" s="1380">
        <v>43965</v>
      </c>
      <c r="AB160" s="1380">
        <v>43978</v>
      </c>
      <c r="AC160" s="1380">
        <v>44694</v>
      </c>
      <c r="AD160" s="1380">
        <v>44279</v>
      </c>
      <c r="AE160" s="1380">
        <v>44645</v>
      </c>
      <c r="AF160" s="388" t="s">
        <v>6812</v>
      </c>
      <c r="AG160" s="360" t="s">
        <v>11656</v>
      </c>
      <c r="AJ160" s="1944"/>
      <c r="AK160" s="1944"/>
      <c r="AL160" s="1944"/>
      <c r="AM160" s="1944"/>
      <c r="AN160" s="1944"/>
      <c r="AO160" s="1944"/>
      <c r="AP160" s="1944"/>
      <c r="AQ160" s="1944"/>
      <c r="AS160" s="1944"/>
    </row>
    <row r="161" spans="1:45" ht="15.75" thickTop="1">
      <c r="A161" s="1944"/>
      <c r="B161" s="1944"/>
      <c r="C161" s="365">
        <v>43760</v>
      </c>
      <c r="D161" s="1397" t="s">
        <v>5897</v>
      </c>
      <c r="E161" s="3210" t="s">
        <v>52</v>
      </c>
      <c r="F161" s="3210" t="s">
        <v>5894</v>
      </c>
      <c r="G161" s="175" t="s">
        <v>5896</v>
      </c>
      <c r="H161" s="3210"/>
      <c r="I161" s="3211"/>
      <c r="J161" s="3210"/>
      <c r="K161" s="453" t="s">
        <v>1438</v>
      </c>
      <c r="L161" s="3210" t="s">
        <v>5895</v>
      </c>
      <c r="M161" s="364">
        <v>6500000</v>
      </c>
      <c r="N161" s="3210" t="s">
        <v>216</v>
      </c>
      <c r="O161" s="365">
        <v>43768</v>
      </c>
      <c r="P161" s="365">
        <v>43784</v>
      </c>
      <c r="Q161" s="365">
        <v>43811</v>
      </c>
      <c r="R161" s="3211" t="s">
        <v>707</v>
      </c>
      <c r="S161" s="3210"/>
      <c r="T161" s="364">
        <v>7382425</v>
      </c>
      <c r="U161" s="364">
        <v>8932734</v>
      </c>
      <c r="V161" s="1473"/>
      <c r="W161" s="1473"/>
      <c r="X161" s="1473"/>
      <c r="Y161" s="681">
        <v>43811</v>
      </c>
      <c r="Z161" s="364" t="s">
        <v>6122</v>
      </c>
      <c r="AA161" s="365">
        <v>43888</v>
      </c>
      <c r="AB161" s="365">
        <v>43892</v>
      </c>
      <c r="AC161" s="365">
        <f>AA161+125</f>
        <v>44013</v>
      </c>
      <c r="AD161" s="365">
        <v>44116</v>
      </c>
      <c r="AE161" s="1513"/>
      <c r="AJ161" s="1944"/>
      <c r="AK161" s="1944"/>
      <c r="AL161" s="1944"/>
      <c r="AM161" s="1944"/>
      <c r="AN161" s="1944"/>
      <c r="AO161" s="1944"/>
      <c r="AP161" s="1944"/>
      <c r="AQ161" s="1944"/>
      <c r="AS161" s="1944"/>
    </row>
    <row r="162" spans="1:45" ht="15.75" thickBot="1">
      <c r="A162" s="1944"/>
      <c r="B162" s="1944"/>
      <c r="C162" s="416">
        <v>43763</v>
      </c>
      <c r="D162" s="1468" t="s">
        <v>5911</v>
      </c>
      <c r="E162" s="411" t="s">
        <v>4997</v>
      </c>
      <c r="F162" s="411" t="s">
        <v>167</v>
      </c>
      <c r="G162" s="274" t="s">
        <v>5912</v>
      </c>
      <c r="H162" s="411"/>
      <c r="I162" s="630"/>
      <c r="J162" s="491"/>
      <c r="K162" s="411" t="s">
        <v>2166</v>
      </c>
      <c r="L162" s="411"/>
      <c r="M162" s="417">
        <v>500000</v>
      </c>
      <c r="N162" s="411" t="s">
        <v>112</v>
      </c>
      <c r="O162" s="416">
        <v>43770</v>
      </c>
      <c r="P162" s="416">
        <v>43781</v>
      </c>
      <c r="Q162" s="416">
        <v>43787</v>
      </c>
      <c r="R162" s="630" t="s">
        <v>2162</v>
      </c>
      <c r="S162" s="411"/>
      <c r="T162" s="417">
        <v>469550</v>
      </c>
      <c r="U162" s="417">
        <f>T162*1.21</f>
        <v>568155.5</v>
      </c>
      <c r="V162" s="1471"/>
      <c r="W162" s="1471"/>
      <c r="X162" s="1471"/>
      <c r="Y162" s="513">
        <v>43788</v>
      </c>
      <c r="Z162" s="417" t="s">
        <v>6012</v>
      </c>
      <c r="AA162" s="416">
        <v>43851</v>
      </c>
      <c r="AB162" s="416">
        <v>43854</v>
      </c>
      <c r="AC162" s="416">
        <f>AA162+70</f>
        <v>43921</v>
      </c>
      <c r="AD162" s="416">
        <v>43985</v>
      </c>
      <c r="AE162" s="967"/>
      <c r="AJ162" s="1944"/>
      <c r="AK162" s="1944"/>
      <c r="AL162" s="1944"/>
      <c r="AM162" s="1944"/>
      <c r="AN162" s="1944"/>
      <c r="AO162" s="1944"/>
      <c r="AP162" s="1944"/>
      <c r="AQ162" s="1944"/>
      <c r="AS162" s="1944"/>
    </row>
    <row r="163" spans="1:45" ht="30.75" thickTop="1">
      <c r="A163" s="1944"/>
      <c r="B163" s="1944"/>
      <c r="C163" s="474">
        <v>43769</v>
      </c>
      <c r="D163" s="1383" t="s">
        <v>5920</v>
      </c>
      <c r="E163" s="453" t="s">
        <v>58</v>
      </c>
      <c r="F163" s="453" t="s">
        <v>2684</v>
      </c>
      <c r="G163" s="473" t="s">
        <v>5921</v>
      </c>
      <c r="H163" s="453">
        <v>1</v>
      </c>
      <c r="I163" s="1420" t="s">
        <v>5922</v>
      </c>
      <c r="J163" s="491"/>
      <c r="K163" s="453" t="s">
        <v>737</v>
      </c>
      <c r="L163" s="453" t="s">
        <v>4239</v>
      </c>
      <c r="M163" s="457">
        <v>245000</v>
      </c>
      <c r="N163" s="453" t="s">
        <v>112</v>
      </c>
      <c r="O163" s="474">
        <v>43787</v>
      </c>
      <c r="P163" s="474">
        <v>43796</v>
      </c>
      <c r="Q163" s="474">
        <v>43846</v>
      </c>
      <c r="R163" s="1420" t="s">
        <v>6279</v>
      </c>
      <c r="S163" s="453"/>
      <c r="T163" s="457">
        <v>236000</v>
      </c>
      <c r="U163" s="457">
        <f>T163*1.21</f>
        <v>285560</v>
      </c>
      <c r="V163" s="1471"/>
      <c r="W163" s="1471"/>
      <c r="X163" s="1471"/>
      <c r="Y163" s="570">
        <v>43847</v>
      </c>
      <c r="Z163" s="1387" t="s">
        <v>6298</v>
      </c>
      <c r="AA163" s="474">
        <v>43874</v>
      </c>
      <c r="AB163" s="474">
        <v>43878</v>
      </c>
      <c r="AC163" s="474">
        <v>43876</v>
      </c>
      <c r="AD163" s="474">
        <v>43962</v>
      </c>
      <c r="AE163" s="1391" t="s">
        <v>1875</v>
      </c>
      <c r="AJ163" s="1944"/>
      <c r="AK163" s="1944"/>
      <c r="AL163" s="1944"/>
      <c r="AM163" s="1944"/>
      <c r="AN163" s="1944"/>
      <c r="AO163" s="1944"/>
      <c r="AP163" s="1944"/>
      <c r="AQ163" s="1944"/>
      <c r="AS163" s="1944"/>
    </row>
    <row r="164" spans="1:45" ht="15.75" thickBot="1">
      <c r="A164" s="1944"/>
      <c r="B164" s="1944"/>
      <c r="C164" s="1414">
        <v>43769</v>
      </c>
      <c r="D164" s="1411" t="s">
        <v>5920</v>
      </c>
      <c r="E164" s="1410" t="s">
        <v>58</v>
      </c>
      <c r="F164" s="1410" t="s">
        <v>2684</v>
      </c>
      <c r="G164" s="1412" t="s">
        <v>5921</v>
      </c>
      <c r="H164" s="1410">
        <v>2</v>
      </c>
      <c r="I164" s="1430" t="s">
        <v>5923</v>
      </c>
      <c r="J164" s="506"/>
      <c r="K164" s="1410" t="s">
        <v>737</v>
      </c>
      <c r="L164" s="1410" t="s">
        <v>5924</v>
      </c>
      <c r="M164" s="1413">
        <v>1750000</v>
      </c>
      <c r="N164" s="1410" t="s">
        <v>112</v>
      </c>
      <c r="O164" s="1414">
        <v>43787</v>
      </c>
      <c r="P164" s="1414">
        <v>43796</v>
      </c>
      <c r="Q164" s="1410"/>
      <c r="R164" s="1710" t="s">
        <v>2635</v>
      </c>
      <c r="S164" s="1929" t="s">
        <v>6292</v>
      </c>
      <c r="T164" s="1413"/>
      <c r="U164" s="1413"/>
      <c r="V164" s="1470"/>
      <c r="W164" s="1470"/>
      <c r="X164" s="1470"/>
      <c r="Y164" s="1413"/>
      <c r="Z164" s="1413"/>
      <c r="AA164" s="1410"/>
      <c r="AB164" s="1414">
        <v>43844</v>
      </c>
      <c r="AC164" s="1410"/>
      <c r="AD164" s="1410"/>
      <c r="AE164" s="1410"/>
      <c r="AJ164" s="1944"/>
      <c r="AK164" s="1944"/>
      <c r="AL164" s="1944"/>
      <c r="AM164" s="1944"/>
      <c r="AN164" s="1944"/>
      <c r="AO164" s="1944"/>
      <c r="AP164" s="1944"/>
      <c r="AQ164" s="1944"/>
      <c r="AS164" s="1944"/>
    </row>
    <row r="165" spans="1:45" ht="15.75" thickTop="1">
      <c r="A165" s="1944"/>
      <c r="B165" s="1944"/>
      <c r="C165" s="510">
        <v>43770</v>
      </c>
      <c r="D165" s="1382" t="s">
        <v>5944</v>
      </c>
      <c r="E165" s="506" t="s">
        <v>1248</v>
      </c>
      <c r="F165" s="506" t="s">
        <v>1249</v>
      </c>
      <c r="G165" s="507" t="s">
        <v>5945</v>
      </c>
      <c r="H165" s="506"/>
      <c r="I165" s="548"/>
      <c r="J165" s="506"/>
      <c r="K165" s="506" t="s">
        <v>1252</v>
      </c>
      <c r="L165" s="506"/>
      <c r="M165" s="511">
        <v>48800000</v>
      </c>
      <c r="N165" s="506" t="s">
        <v>251</v>
      </c>
      <c r="O165" s="510">
        <v>43803</v>
      </c>
      <c r="P165" s="510">
        <v>43837</v>
      </c>
      <c r="Q165" s="506"/>
      <c r="R165" s="548"/>
      <c r="S165" s="1978" t="s">
        <v>6471</v>
      </c>
      <c r="T165" s="511"/>
      <c r="U165" s="511"/>
      <c r="V165" s="1470"/>
      <c r="W165" s="1470"/>
      <c r="X165" s="1470"/>
      <c r="Y165" s="511"/>
      <c r="Z165" s="511"/>
      <c r="AA165" s="506"/>
      <c r="AB165" s="510">
        <v>43872</v>
      </c>
      <c r="AC165" s="506" t="s">
        <v>6398</v>
      </c>
      <c r="AD165" s="506"/>
      <c r="AE165" s="506"/>
      <c r="AJ165" s="1944"/>
      <c r="AK165" s="1944"/>
      <c r="AL165" s="1944"/>
      <c r="AM165" s="1944"/>
      <c r="AN165" s="1944"/>
      <c r="AO165" s="1944"/>
      <c r="AP165" s="1944"/>
      <c r="AQ165" s="1944"/>
      <c r="AS165" s="1944"/>
    </row>
    <row r="166" spans="1:45">
      <c r="A166" s="1944"/>
      <c r="B166" s="1944"/>
      <c r="C166" s="537">
        <v>43773</v>
      </c>
      <c r="D166" s="1373" t="s">
        <v>5947</v>
      </c>
      <c r="E166" s="491" t="s">
        <v>2250</v>
      </c>
      <c r="F166" s="491" t="s">
        <v>5948</v>
      </c>
      <c r="G166" s="571" t="s">
        <v>6110</v>
      </c>
      <c r="H166" s="491"/>
      <c r="I166" s="495"/>
      <c r="J166" s="491"/>
      <c r="K166" s="491" t="s">
        <v>2055</v>
      </c>
      <c r="L166" s="491"/>
      <c r="M166" s="536">
        <v>3390000</v>
      </c>
      <c r="N166" s="491" t="s">
        <v>216</v>
      </c>
      <c r="O166" s="537">
        <v>43816</v>
      </c>
      <c r="P166" s="537">
        <v>43843</v>
      </c>
      <c r="Q166" s="537">
        <v>43873</v>
      </c>
      <c r="R166" s="495" t="s">
        <v>6384</v>
      </c>
      <c r="S166" s="491"/>
      <c r="T166" s="536">
        <v>3384960</v>
      </c>
      <c r="U166" s="536">
        <v>4095801.6</v>
      </c>
      <c r="V166" s="1471"/>
      <c r="W166" s="1471"/>
      <c r="X166" s="1471"/>
      <c r="Y166" s="573">
        <v>43874</v>
      </c>
      <c r="Z166" s="536" t="s">
        <v>6407</v>
      </c>
      <c r="AA166" s="537">
        <v>43901</v>
      </c>
      <c r="AB166" s="537">
        <v>43902</v>
      </c>
      <c r="AC166" s="491" t="s">
        <v>4096</v>
      </c>
      <c r="AD166" s="537">
        <v>44277</v>
      </c>
      <c r="AE166" s="537">
        <v>44642</v>
      </c>
      <c r="AF166" s="388">
        <v>2022</v>
      </c>
      <c r="AG166" s="388">
        <v>2023</v>
      </c>
      <c r="AH166" s="388">
        <v>2024</v>
      </c>
      <c r="AI166" s="388" t="s">
        <v>4435</v>
      </c>
      <c r="AJ166" s="1944"/>
      <c r="AK166" s="1944"/>
      <c r="AL166" s="1944"/>
      <c r="AM166" s="1944"/>
      <c r="AN166" s="1944"/>
      <c r="AO166" s="1944"/>
      <c r="AP166" s="1944"/>
      <c r="AQ166" s="1944"/>
      <c r="AS166" s="1944"/>
    </row>
    <row r="167" spans="1:45" ht="30">
      <c r="A167" s="1944"/>
      <c r="B167" s="1944"/>
      <c r="C167" s="537">
        <v>43776</v>
      </c>
      <c r="D167" s="1373" t="s">
        <v>5958</v>
      </c>
      <c r="E167" s="491" t="s">
        <v>14</v>
      </c>
      <c r="F167" s="491" t="s">
        <v>13</v>
      </c>
      <c r="G167" s="571" t="s">
        <v>5959</v>
      </c>
      <c r="H167" s="491"/>
      <c r="I167" s="495"/>
      <c r="J167" s="491"/>
      <c r="K167" s="495" t="s">
        <v>5960</v>
      </c>
      <c r="L167" s="491" t="s">
        <v>5961</v>
      </c>
      <c r="M167" s="536">
        <v>1490000</v>
      </c>
      <c r="N167" s="491" t="s">
        <v>112</v>
      </c>
      <c r="O167" s="537">
        <v>43791</v>
      </c>
      <c r="P167" s="537">
        <v>43808</v>
      </c>
      <c r="Q167" s="537">
        <v>43857</v>
      </c>
      <c r="R167" s="495" t="s">
        <v>6317</v>
      </c>
      <c r="S167" s="491"/>
      <c r="T167" s="536">
        <v>872000</v>
      </c>
      <c r="U167" s="536">
        <f>T167*1.21</f>
        <v>1055120</v>
      </c>
      <c r="V167" s="1471"/>
      <c r="W167" s="1471"/>
      <c r="X167" s="1471"/>
      <c r="Y167" s="573">
        <v>43857</v>
      </c>
      <c r="Z167" s="1375" t="s">
        <v>6476</v>
      </c>
      <c r="AA167" s="537">
        <v>43885</v>
      </c>
      <c r="AB167" s="537">
        <v>43885</v>
      </c>
      <c r="AC167" s="537">
        <f>AA167+37</f>
        <v>43922</v>
      </c>
      <c r="AD167" s="537">
        <v>44175</v>
      </c>
      <c r="AE167" s="1525">
        <v>44865</v>
      </c>
      <c r="AJ167" s="1944"/>
      <c r="AK167" s="1944"/>
      <c r="AL167" s="1944"/>
      <c r="AM167" s="1944"/>
      <c r="AN167" s="1944"/>
      <c r="AO167" s="1944"/>
      <c r="AP167" s="1944"/>
      <c r="AQ167" s="1944"/>
      <c r="AS167" s="1944"/>
    </row>
    <row r="168" spans="1:45" ht="30">
      <c r="A168" s="1944"/>
      <c r="B168" s="1944"/>
      <c r="C168" s="537">
        <v>43776</v>
      </c>
      <c r="D168" s="1373" t="s">
        <v>5964</v>
      </c>
      <c r="E168" s="491" t="s">
        <v>58</v>
      </c>
      <c r="F168" s="491" t="s">
        <v>2684</v>
      </c>
      <c r="G168" s="571" t="s">
        <v>5965</v>
      </c>
      <c r="H168" s="491"/>
      <c r="I168" s="495"/>
      <c r="J168" s="491"/>
      <c r="K168" s="491" t="s">
        <v>269</v>
      </c>
      <c r="L168" s="491" t="s">
        <v>5966</v>
      </c>
      <c r="M168" s="536">
        <v>521900</v>
      </c>
      <c r="N168" s="491" t="s">
        <v>112</v>
      </c>
      <c r="O168" s="537">
        <v>43787</v>
      </c>
      <c r="P168" s="537">
        <v>43797</v>
      </c>
      <c r="Q168" s="537">
        <v>43837</v>
      </c>
      <c r="R168" s="495" t="s">
        <v>340</v>
      </c>
      <c r="S168" s="491"/>
      <c r="T168" s="536">
        <v>330992</v>
      </c>
      <c r="U168" s="536">
        <v>400500.32</v>
      </c>
      <c r="V168" s="1471"/>
      <c r="W168" s="1471"/>
      <c r="X168" s="1471"/>
      <c r="Y168" s="573">
        <v>43838</v>
      </c>
      <c r="Z168" s="1375" t="s">
        <v>6239</v>
      </c>
      <c r="AA168" s="537">
        <v>43874</v>
      </c>
      <c r="AB168" s="537">
        <v>43879</v>
      </c>
      <c r="AC168" s="537">
        <f>AA168+14</f>
        <v>43888</v>
      </c>
      <c r="AD168" s="537">
        <v>43941</v>
      </c>
      <c r="AE168" s="1374" t="s">
        <v>1875</v>
      </c>
      <c r="AJ168" s="1944"/>
      <c r="AK168" s="1944"/>
      <c r="AL168" s="1944"/>
      <c r="AM168" s="1944"/>
      <c r="AN168" s="1944"/>
      <c r="AO168" s="1944"/>
      <c r="AP168" s="1944"/>
      <c r="AQ168" s="1944"/>
      <c r="AS168" s="1944"/>
    </row>
    <row r="169" spans="1:45">
      <c r="A169" s="1944"/>
      <c r="B169" s="1944"/>
      <c r="C169" s="537">
        <v>43770</v>
      </c>
      <c r="D169" s="1373" t="s">
        <v>5967</v>
      </c>
      <c r="E169" s="491" t="s">
        <v>2434</v>
      </c>
      <c r="F169" s="491" t="s">
        <v>219</v>
      </c>
      <c r="G169" s="571" t="s">
        <v>5968</v>
      </c>
      <c r="H169" s="491"/>
      <c r="I169" s="495"/>
      <c r="J169" s="491"/>
      <c r="K169" s="491" t="s">
        <v>421</v>
      </c>
      <c r="L169" s="491"/>
      <c r="M169" s="536">
        <v>443280</v>
      </c>
      <c r="N169" s="491" t="s">
        <v>112</v>
      </c>
      <c r="O169" s="537">
        <v>43782</v>
      </c>
      <c r="P169" s="537">
        <v>43791</v>
      </c>
      <c r="Q169" s="537">
        <v>43815</v>
      </c>
      <c r="R169" s="495" t="s">
        <v>6119</v>
      </c>
      <c r="S169" s="491"/>
      <c r="T169" s="536">
        <v>384604.8</v>
      </c>
      <c r="U169" s="536">
        <v>465371.81</v>
      </c>
      <c r="V169" s="1471"/>
      <c r="W169" s="1471"/>
      <c r="X169" s="1471"/>
      <c r="Y169" s="573">
        <v>43815</v>
      </c>
      <c r="Z169" s="536" t="s">
        <v>6132</v>
      </c>
      <c r="AA169" s="537">
        <v>43854</v>
      </c>
      <c r="AB169" s="537">
        <v>43857</v>
      </c>
      <c r="AC169" s="537">
        <f>AA169+112</f>
        <v>43966</v>
      </c>
      <c r="AD169" s="537">
        <v>43949</v>
      </c>
      <c r="AE169" s="1102"/>
      <c r="AJ169" s="1944"/>
      <c r="AK169" s="1944"/>
      <c r="AL169" s="1944"/>
      <c r="AM169" s="1944"/>
      <c r="AN169" s="1944"/>
      <c r="AO169" s="1944"/>
      <c r="AP169" s="1944"/>
      <c r="AQ169" s="1944"/>
      <c r="AS169" s="1944"/>
    </row>
    <row r="170" spans="1:45">
      <c r="A170" s="1944"/>
      <c r="B170" s="1944"/>
      <c r="C170" s="510">
        <v>43819</v>
      </c>
      <c r="D170" s="1382" t="s">
        <v>6207</v>
      </c>
      <c r="E170" s="506" t="s">
        <v>2020</v>
      </c>
      <c r="F170" s="506" t="s">
        <v>6206</v>
      </c>
      <c r="G170" s="507" t="s">
        <v>6208</v>
      </c>
      <c r="H170" s="506"/>
      <c r="I170" s="548"/>
      <c r="J170" s="506"/>
      <c r="K170" s="506" t="s">
        <v>6209</v>
      </c>
      <c r="L170" s="506" t="s">
        <v>4244</v>
      </c>
      <c r="M170" s="511">
        <v>23494497.559999999</v>
      </c>
      <c r="N170" s="506" t="s">
        <v>251</v>
      </c>
      <c r="O170" s="510">
        <v>43832</v>
      </c>
      <c r="P170" s="510">
        <v>43871</v>
      </c>
      <c r="Q170" s="510"/>
      <c r="R170" s="736" t="s">
        <v>242</v>
      </c>
      <c r="S170" s="1985" t="s">
        <v>7489</v>
      </c>
      <c r="T170" s="511"/>
      <c r="U170" s="511"/>
      <c r="V170" s="1470"/>
      <c r="W170" s="1470"/>
      <c r="X170" s="1470"/>
      <c r="Y170" s="1398"/>
      <c r="Z170" s="511"/>
      <c r="AA170" s="506"/>
      <c r="AB170" s="510">
        <v>43914</v>
      </c>
      <c r="AC170" s="548" t="s">
        <v>6590</v>
      </c>
      <c r="AD170" s="506"/>
      <c r="AE170" s="506"/>
      <c r="AJ170" s="1944"/>
      <c r="AK170" s="1944"/>
      <c r="AL170" s="1944"/>
      <c r="AM170" s="1944"/>
      <c r="AN170" s="1944"/>
      <c r="AO170" s="1944"/>
      <c r="AP170" s="1944"/>
      <c r="AQ170" s="1944"/>
      <c r="AS170" s="1944"/>
    </row>
    <row r="171" spans="1:45" ht="30">
      <c r="A171" s="1944"/>
      <c r="B171" s="1944"/>
      <c r="C171" s="537">
        <v>43781</v>
      </c>
      <c r="D171" s="1373" t="s">
        <v>5980</v>
      </c>
      <c r="E171" s="491" t="s">
        <v>69</v>
      </c>
      <c r="F171" s="491" t="s">
        <v>70</v>
      </c>
      <c r="G171" s="571" t="s">
        <v>5981</v>
      </c>
      <c r="H171" s="491"/>
      <c r="I171" s="571" t="s">
        <v>5981</v>
      </c>
      <c r="J171" s="491"/>
      <c r="K171" s="495" t="s">
        <v>5982</v>
      </c>
      <c r="L171" s="491"/>
      <c r="M171" s="536">
        <v>6463919</v>
      </c>
      <c r="N171" s="491" t="s">
        <v>251</v>
      </c>
      <c r="O171" s="537">
        <v>43815</v>
      </c>
      <c r="P171" s="537">
        <v>43850</v>
      </c>
      <c r="Q171" s="537">
        <v>43900</v>
      </c>
      <c r="R171" s="495" t="s">
        <v>6242</v>
      </c>
      <c r="S171" s="491"/>
      <c r="T171" s="536">
        <v>5928756</v>
      </c>
      <c r="U171" s="536">
        <v>7173795</v>
      </c>
      <c r="V171" s="1471"/>
      <c r="W171" s="1471"/>
      <c r="X171" s="1471"/>
      <c r="Y171" s="573">
        <v>43902</v>
      </c>
      <c r="Z171" s="1375" t="s">
        <v>6541</v>
      </c>
      <c r="AA171" s="537">
        <v>43942</v>
      </c>
      <c r="AB171" s="537">
        <v>43948</v>
      </c>
      <c r="AC171" s="537">
        <v>46132</v>
      </c>
      <c r="AD171" s="537">
        <v>44279</v>
      </c>
      <c r="AE171" s="537">
        <v>44645</v>
      </c>
      <c r="AF171" s="388">
        <v>2022</v>
      </c>
      <c r="AG171" s="388">
        <v>2023</v>
      </c>
      <c r="AH171" s="388">
        <v>2024</v>
      </c>
      <c r="AI171" s="388">
        <v>2025</v>
      </c>
      <c r="AJ171" s="1257" t="s">
        <v>6726</v>
      </c>
      <c r="AK171" s="1944"/>
      <c r="AL171" s="1944"/>
      <c r="AM171" s="1944"/>
      <c r="AN171" s="1944"/>
      <c r="AO171" s="1944"/>
      <c r="AP171" s="1944"/>
      <c r="AQ171" s="1944"/>
      <c r="AS171" s="1944"/>
    </row>
    <row r="172" spans="1:45">
      <c r="A172" s="1944"/>
      <c r="B172" s="1944"/>
      <c r="C172" s="537">
        <v>43782</v>
      </c>
      <c r="D172" s="1373" t="s">
        <v>5994</v>
      </c>
      <c r="E172" s="491" t="s">
        <v>2434</v>
      </c>
      <c r="F172" s="491" t="s">
        <v>219</v>
      </c>
      <c r="G172" s="571" t="s">
        <v>5995</v>
      </c>
      <c r="H172" s="491">
        <v>1</v>
      </c>
      <c r="I172" s="495" t="s">
        <v>6003</v>
      </c>
      <c r="J172" s="491"/>
      <c r="K172" s="491" t="s">
        <v>642</v>
      </c>
      <c r="L172" s="491"/>
      <c r="M172" s="536">
        <v>663353.72</v>
      </c>
      <c r="N172" s="491" t="s">
        <v>112</v>
      </c>
      <c r="O172" s="537">
        <v>43788</v>
      </c>
      <c r="P172" s="537">
        <v>43798</v>
      </c>
      <c r="Q172" s="537">
        <v>43809</v>
      </c>
      <c r="R172" s="495" t="s">
        <v>6074</v>
      </c>
      <c r="S172" s="491"/>
      <c r="T172" s="536">
        <v>614920</v>
      </c>
      <c r="U172" s="536">
        <f>T172*1.21</f>
        <v>744053.2</v>
      </c>
      <c r="V172" s="1471"/>
      <c r="W172" s="1471"/>
      <c r="X172" s="1471"/>
      <c r="Y172" s="573">
        <v>43810</v>
      </c>
      <c r="Z172" s="536" t="s">
        <v>6113</v>
      </c>
      <c r="AA172" s="537">
        <v>43839</v>
      </c>
      <c r="AB172" s="537">
        <v>43843</v>
      </c>
      <c r="AC172" s="537">
        <v>44569</v>
      </c>
      <c r="AD172" s="537">
        <v>44662</v>
      </c>
      <c r="AE172" s="1102"/>
      <c r="AJ172" s="1944"/>
      <c r="AK172" s="1944"/>
      <c r="AL172" s="1944"/>
      <c r="AM172" s="1944"/>
      <c r="AN172" s="1944"/>
      <c r="AO172" s="1944"/>
      <c r="AP172" s="1944"/>
      <c r="AQ172" s="1944"/>
      <c r="AS172" s="1944"/>
    </row>
    <row r="173" spans="1:45">
      <c r="A173" s="1944"/>
      <c r="B173" s="1944"/>
      <c r="C173" s="537">
        <v>43782</v>
      </c>
      <c r="D173" s="1373" t="s">
        <v>5994</v>
      </c>
      <c r="E173" s="491" t="s">
        <v>2434</v>
      </c>
      <c r="F173" s="491" t="s">
        <v>219</v>
      </c>
      <c r="G173" s="571" t="s">
        <v>5995</v>
      </c>
      <c r="H173" s="491">
        <v>2</v>
      </c>
      <c r="I173" s="495" t="s">
        <v>6004</v>
      </c>
      <c r="J173" s="491"/>
      <c r="K173" s="491" t="s">
        <v>642</v>
      </c>
      <c r="L173" s="491"/>
      <c r="M173" s="536">
        <v>332340.56</v>
      </c>
      <c r="N173" s="491" t="s">
        <v>112</v>
      </c>
      <c r="O173" s="537">
        <v>43788</v>
      </c>
      <c r="P173" s="537">
        <v>43798</v>
      </c>
      <c r="Q173" s="537">
        <v>43809</v>
      </c>
      <c r="R173" s="495" t="s">
        <v>659</v>
      </c>
      <c r="S173" s="491"/>
      <c r="T173" s="536">
        <v>327954.8</v>
      </c>
      <c r="U173" s="536">
        <f>T173*1.21</f>
        <v>396825.30799999996</v>
      </c>
      <c r="V173" s="1471"/>
      <c r="W173" s="1471"/>
      <c r="X173" s="1471"/>
      <c r="Y173" s="573">
        <v>43810</v>
      </c>
      <c r="Z173" s="536" t="s">
        <v>6114</v>
      </c>
      <c r="AA173" s="537">
        <v>43850</v>
      </c>
      <c r="AB173" s="537">
        <v>43852</v>
      </c>
      <c r="AC173" s="537">
        <v>44580</v>
      </c>
      <c r="AD173" s="537">
        <v>44662</v>
      </c>
      <c r="AE173" s="1102"/>
      <c r="AJ173" s="1944"/>
      <c r="AK173" s="1944"/>
      <c r="AL173" s="1944"/>
      <c r="AM173" s="1944"/>
      <c r="AN173" s="1944"/>
      <c r="AO173" s="1944"/>
      <c r="AP173" s="1944"/>
      <c r="AQ173" s="1944"/>
      <c r="AS173" s="1944"/>
    </row>
    <row r="174" spans="1:45">
      <c r="A174" s="1944"/>
      <c r="B174" s="1944"/>
      <c r="C174" s="537" t="s">
        <v>3585</v>
      </c>
      <c r="D174" s="1373" t="s">
        <v>6019</v>
      </c>
      <c r="E174" s="491" t="s">
        <v>4997</v>
      </c>
      <c r="F174" s="491" t="s">
        <v>167</v>
      </c>
      <c r="G174" s="571" t="s">
        <v>6021</v>
      </c>
      <c r="H174" s="491"/>
      <c r="I174" s="495"/>
      <c r="J174" s="491"/>
      <c r="K174" s="491" t="s">
        <v>6020</v>
      </c>
      <c r="L174" s="491"/>
      <c r="M174" s="536">
        <v>1350000</v>
      </c>
      <c r="N174" s="491" t="s">
        <v>112</v>
      </c>
      <c r="O174" s="537">
        <v>43790</v>
      </c>
      <c r="P174" s="537">
        <v>43797</v>
      </c>
      <c r="Q174" s="537">
        <v>43803</v>
      </c>
      <c r="R174" s="495" t="s">
        <v>2032</v>
      </c>
      <c r="S174" s="491"/>
      <c r="T174" s="536">
        <v>1452256.26</v>
      </c>
      <c r="U174" s="536">
        <f>T174*1.21</f>
        <v>1757230.0745999999</v>
      </c>
      <c r="V174" s="1471"/>
      <c r="W174" s="1471"/>
      <c r="X174" s="1471"/>
      <c r="Y174" s="573">
        <v>43803</v>
      </c>
      <c r="Z174" s="536" t="s">
        <v>6077</v>
      </c>
      <c r="AA174" s="537">
        <v>43840</v>
      </c>
      <c r="AB174" s="537">
        <v>43844</v>
      </c>
      <c r="AC174" s="537">
        <f>AA174+70</f>
        <v>43910</v>
      </c>
      <c r="AD174" s="537">
        <v>44501</v>
      </c>
      <c r="AE174" s="1102"/>
      <c r="AJ174" s="1944"/>
      <c r="AK174" s="1944"/>
      <c r="AL174" s="1944"/>
      <c r="AM174" s="1944"/>
      <c r="AN174" s="1944"/>
      <c r="AO174" s="1944"/>
      <c r="AP174" s="1944"/>
      <c r="AQ174" s="1944"/>
      <c r="AS174" s="1944"/>
    </row>
    <row r="175" spans="1:45">
      <c r="A175" s="1944"/>
      <c r="B175" s="1944"/>
      <c r="C175" s="537">
        <v>43788</v>
      </c>
      <c r="D175" s="1373" t="s">
        <v>6009</v>
      </c>
      <c r="E175" s="491" t="s">
        <v>3678</v>
      </c>
      <c r="F175" s="491" t="s">
        <v>918</v>
      </c>
      <c r="G175" s="571" t="s">
        <v>6010</v>
      </c>
      <c r="H175" s="491"/>
      <c r="I175" s="495"/>
      <c r="J175" s="491"/>
      <c r="K175" s="491" t="s">
        <v>1518</v>
      </c>
      <c r="L175" s="491"/>
      <c r="M175" s="536">
        <v>1800000</v>
      </c>
      <c r="N175" s="491" t="s">
        <v>112</v>
      </c>
      <c r="O175" s="537">
        <v>43815</v>
      </c>
      <c r="P175" s="537">
        <v>43837</v>
      </c>
      <c r="Q175" s="537">
        <v>43847</v>
      </c>
      <c r="R175" s="495" t="s">
        <v>6242</v>
      </c>
      <c r="S175" s="491"/>
      <c r="T175" s="536">
        <v>1684048</v>
      </c>
      <c r="U175" s="536">
        <v>2037698.08</v>
      </c>
      <c r="V175" s="1471"/>
      <c r="W175" s="1471"/>
      <c r="X175" s="1471"/>
      <c r="Y175" s="573">
        <v>43847</v>
      </c>
      <c r="Z175" s="536" t="s">
        <v>6300</v>
      </c>
      <c r="AA175" s="537">
        <v>43886</v>
      </c>
      <c r="AB175" s="537">
        <v>43887</v>
      </c>
      <c r="AC175" s="537">
        <v>45712</v>
      </c>
      <c r="AD175" s="537">
        <v>44278</v>
      </c>
      <c r="AE175" s="537">
        <v>44644</v>
      </c>
      <c r="AF175" s="388">
        <v>2022</v>
      </c>
      <c r="AG175" s="388">
        <v>2023</v>
      </c>
      <c r="AH175" s="388">
        <v>2024</v>
      </c>
      <c r="AI175" s="388" t="s">
        <v>6481</v>
      </c>
      <c r="AJ175" s="1944"/>
      <c r="AK175" s="1944"/>
      <c r="AL175" s="1944"/>
      <c r="AM175" s="1944"/>
      <c r="AN175" s="1944"/>
      <c r="AO175" s="1944"/>
      <c r="AP175" s="1944"/>
      <c r="AQ175" s="1944"/>
      <c r="AS175" s="1944"/>
    </row>
    <row r="176" spans="1:45">
      <c r="A176" s="1944"/>
      <c r="B176" s="1944"/>
      <c r="C176" s="537">
        <v>43791</v>
      </c>
      <c r="D176" s="1373" t="s">
        <v>6036</v>
      </c>
      <c r="E176" s="491" t="s">
        <v>14</v>
      </c>
      <c r="F176" s="491" t="s">
        <v>13</v>
      </c>
      <c r="G176" s="571" t="s">
        <v>6037</v>
      </c>
      <c r="H176" s="491"/>
      <c r="I176" s="495"/>
      <c r="J176" s="491"/>
      <c r="K176" s="491" t="s">
        <v>5459</v>
      </c>
      <c r="L176" s="491"/>
      <c r="M176" s="536">
        <v>480000</v>
      </c>
      <c r="N176" s="491" t="s">
        <v>112</v>
      </c>
      <c r="O176" s="537">
        <v>43797</v>
      </c>
      <c r="P176" s="537">
        <v>43805</v>
      </c>
      <c r="Q176" s="537">
        <v>43811</v>
      </c>
      <c r="R176" s="495" t="s">
        <v>6089</v>
      </c>
      <c r="S176" s="491"/>
      <c r="T176" s="536">
        <v>432000</v>
      </c>
      <c r="U176" s="536">
        <v>522720</v>
      </c>
      <c r="V176" s="1471"/>
      <c r="W176" s="1471"/>
      <c r="X176" s="1471"/>
      <c r="Y176" s="573">
        <v>43812</v>
      </c>
      <c r="Z176" s="536" t="s">
        <v>6126</v>
      </c>
      <c r="AA176" s="537">
        <v>43844</v>
      </c>
      <c r="AB176" s="537">
        <v>43845</v>
      </c>
      <c r="AC176" s="491" t="s">
        <v>4096</v>
      </c>
      <c r="AD176" s="1525">
        <v>44865</v>
      </c>
      <c r="AE176" s="1102"/>
      <c r="AH176" s="360"/>
      <c r="AJ176" s="1944"/>
      <c r="AK176" s="1944"/>
      <c r="AL176" s="1944"/>
      <c r="AM176" s="1944"/>
      <c r="AN176" s="1944"/>
      <c r="AO176" s="1944"/>
      <c r="AP176" s="1944"/>
      <c r="AQ176" s="1944"/>
      <c r="AS176" s="1944"/>
    </row>
    <row r="177" spans="1:45">
      <c r="A177" s="1944"/>
      <c r="B177" s="1944"/>
      <c r="C177" s="537">
        <v>43791</v>
      </c>
      <c r="D177" s="1373" t="s">
        <v>6038</v>
      </c>
      <c r="E177" s="491" t="s">
        <v>4997</v>
      </c>
      <c r="F177" s="491" t="s">
        <v>167</v>
      </c>
      <c r="G177" s="571" t="s">
        <v>6039</v>
      </c>
      <c r="H177" s="491"/>
      <c r="I177" s="495"/>
      <c r="J177" s="491"/>
      <c r="K177" s="491" t="s">
        <v>2166</v>
      </c>
      <c r="L177" s="491"/>
      <c r="M177" s="536">
        <v>300000</v>
      </c>
      <c r="N177" s="491" t="s">
        <v>112</v>
      </c>
      <c r="O177" s="537">
        <v>43804</v>
      </c>
      <c r="P177" s="537">
        <v>43812</v>
      </c>
      <c r="Q177" s="537">
        <v>43818</v>
      </c>
      <c r="R177" s="495" t="s">
        <v>3304</v>
      </c>
      <c r="S177" s="491"/>
      <c r="T177" s="536">
        <v>288939</v>
      </c>
      <c r="U177" s="536">
        <v>349616.2</v>
      </c>
      <c r="V177" s="1471"/>
      <c r="W177" s="1471"/>
      <c r="X177" s="1471"/>
      <c r="Y177" s="573">
        <v>43818</v>
      </c>
      <c r="Z177" s="536" t="s">
        <v>6177</v>
      </c>
      <c r="AA177" s="537">
        <v>43850</v>
      </c>
      <c r="AB177" s="537">
        <v>43851</v>
      </c>
      <c r="AC177" s="537">
        <f>AA177+44</f>
        <v>43894</v>
      </c>
      <c r="AD177" s="537">
        <v>43969</v>
      </c>
      <c r="AE177" s="1102"/>
      <c r="AJ177" s="1944"/>
      <c r="AK177" s="1944"/>
      <c r="AL177" s="1944"/>
      <c r="AM177" s="1944"/>
      <c r="AN177" s="1944"/>
      <c r="AO177" s="1944"/>
      <c r="AP177" s="1944"/>
      <c r="AQ177" s="1944"/>
      <c r="AS177" s="1944"/>
    </row>
    <row r="178" spans="1:45" ht="30">
      <c r="A178" s="1944"/>
      <c r="B178" s="1944"/>
      <c r="C178" s="491" t="s">
        <v>3585</v>
      </c>
      <c r="D178" s="1373" t="s">
        <v>6065</v>
      </c>
      <c r="E178" s="491" t="s">
        <v>58</v>
      </c>
      <c r="F178" s="491" t="s">
        <v>2684</v>
      </c>
      <c r="G178" s="571" t="s">
        <v>6066</v>
      </c>
      <c r="H178" s="491"/>
      <c r="I178" s="495"/>
      <c r="J178" s="491"/>
      <c r="K178" s="491" t="s">
        <v>1294</v>
      </c>
      <c r="L178" s="491"/>
      <c r="M178" s="536">
        <v>1340000</v>
      </c>
      <c r="N178" s="491" t="s">
        <v>112</v>
      </c>
      <c r="O178" s="537">
        <v>43803</v>
      </c>
      <c r="P178" s="537">
        <v>43812</v>
      </c>
      <c r="Q178" s="537">
        <v>43839</v>
      </c>
      <c r="R178" s="495" t="s">
        <v>6217</v>
      </c>
      <c r="S178" s="491"/>
      <c r="T178" s="536">
        <v>1337309</v>
      </c>
      <c r="U178" s="536">
        <f>T178*1.21</f>
        <v>1618143.89</v>
      </c>
      <c r="V178" s="1471"/>
      <c r="W178" s="1471"/>
      <c r="X178" s="1471"/>
      <c r="Y178" s="573">
        <v>43839</v>
      </c>
      <c r="Z178" s="1375" t="s">
        <v>6249</v>
      </c>
      <c r="AA178" s="537">
        <v>43861</v>
      </c>
      <c r="AB178" s="537">
        <v>43866</v>
      </c>
      <c r="AC178" s="537">
        <f>AA178+56</f>
        <v>43917</v>
      </c>
      <c r="AD178" s="537">
        <v>44025</v>
      </c>
      <c r="AE178" s="1374" t="s">
        <v>1875</v>
      </c>
      <c r="AJ178" s="1944"/>
      <c r="AK178" s="1944"/>
      <c r="AL178" s="1944"/>
      <c r="AM178" s="1944"/>
      <c r="AN178" s="1944"/>
      <c r="AO178" s="1944"/>
      <c r="AP178" s="1944"/>
      <c r="AQ178" s="1944"/>
      <c r="AS178" s="1944"/>
    </row>
    <row r="179" spans="1:45" ht="30.75" thickBot="1">
      <c r="A179" s="1944"/>
      <c r="B179" s="1944"/>
      <c r="C179" s="411" t="s">
        <v>3585</v>
      </c>
      <c r="D179" s="1468" t="s">
        <v>6072</v>
      </c>
      <c r="E179" s="411" t="s">
        <v>9694</v>
      </c>
      <c r="F179" s="411" t="s">
        <v>2684</v>
      </c>
      <c r="G179" s="412" t="s">
        <v>6073</v>
      </c>
      <c r="H179" s="411"/>
      <c r="I179" s="630"/>
      <c r="J179" s="411"/>
      <c r="K179" s="411" t="s">
        <v>421</v>
      </c>
      <c r="L179" s="411"/>
      <c r="M179" s="417">
        <v>513000</v>
      </c>
      <c r="N179" s="411" t="s">
        <v>112</v>
      </c>
      <c r="O179" s="416">
        <v>43809</v>
      </c>
      <c r="P179" s="416">
        <v>43818</v>
      </c>
      <c r="Q179" s="416">
        <v>43878</v>
      </c>
      <c r="R179" s="630" t="s">
        <v>6820</v>
      </c>
      <c r="S179" s="411"/>
      <c r="T179" s="417">
        <v>495440</v>
      </c>
      <c r="U179" s="417">
        <v>599482.4</v>
      </c>
      <c r="V179" s="1480"/>
      <c r="W179" s="1480"/>
      <c r="X179" s="1480"/>
      <c r="Y179" s="513">
        <v>43878</v>
      </c>
      <c r="Z179" s="1553" t="s">
        <v>6417</v>
      </c>
      <c r="AA179" s="416">
        <v>43899</v>
      </c>
      <c r="AB179" s="416">
        <v>43900</v>
      </c>
      <c r="AC179" s="416">
        <f>AA179+14</f>
        <v>43913</v>
      </c>
      <c r="AD179" s="416">
        <v>43976</v>
      </c>
      <c r="AE179" s="422" t="s">
        <v>1875</v>
      </c>
      <c r="AJ179" s="1944"/>
      <c r="AK179" s="1944"/>
      <c r="AL179" s="1944"/>
      <c r="AM179" s="1944"/>
      <c r="AN179" s="1944"/>
      <c r="AO179" s="1944"/>
      <c r="AP179" s="1944"/>
      <c r="AQ179" s="1944"/>
      <c r="AS179" s="1944"/>
    </row>
    <row r="180" spans="1:45" ht="15.75" thickTop="1">
      <c r="A180" s="1944"/>
      <c r="B180" s="1944"/>
      <c r="C180" s="474">
        <v>43804</v>
      </c>
      <c r="D180" s="1383" t="s">
        <v>6081</v>
      </c>
      <c r="E180" s="453" t="s">
        <v>69</v>
      </c>
      <c r="F180" s="453" t="s">
        <v>70</v>
      </c>
      <c r="G180" s="473" t="s">
        <v>6082</v>
      </c>
      <c r="H180" s="453">
        <v>1</v>
      </c>
      <c r="I180" s="1420" t="s">
        <v>6083</v>
      </c>
      <c r="J180" s="453"/>
      <c r="K180" s="453" t="s">
        <v>93</v>
      </c>
      <c r="L180" s="453"/>
      <c r="M180" s="457">
        <v>5511956</v>
      </c>
      <c r="N180" s="453" t="s">
        <v>251</v>
      </c>
      <c r="O180" s="474">
        <v>43819</v>
      </c>
      <c r="P180" s="474">
        <v>43854</v>
      </c>
      <c r="Q180" s="474">
        <v>43879</v>
      </c>
      <c r="R180" s="1420" t="s">
        <v>2518</v>
      </c>
      <c r="S180" s="453"/>
      <c r="T180" s="457">
        <v>5511955.8600000003</v>
      </c>
      <c r="U180" s="457">
        <v>6063151.4500000002</v>
      </c>
      <c r="V180" s="1474"/>
      <c r="W180" s="1474"/>
      <c r="X180" s="1474"/>
      <c r="Y180" s="570">
        <v>43880</v>
      </c>
      <c r="Z180" s="457" t="s">
        <v>6431</v>
      </c>
      <c r="AA180" s="474">
        <v>43921</v>
      </c>
      <c r="AB180" s="474">
        <v>43928</v>
      </c>
      <c r="AC180" s="474">
        <v>44650</v>
      </c>
      <c r="AD180" s="474">
        <v>44279</v>
      </c>
      <c r="AE180" s="474">
        <v>44645</v>
      </c>
      <c r="AF180" s="388" t="s">
        <v>6607</v>
      </c>
      <c r="AJ180" s="1944"/>
      <c r="AK180" s="1944"/>
      <c r="AL180" s="1944"/>
      <c r="AM180" s="1944"/>
      <c r="AN180" s="1944"/>
      <c r="AO180" s="1944"/>
      <c r="AP180" s="1944"/>
      <c r="AQ180" s="1944"/>
      <c r="AS180" s="1944"/>
    </row>
    <row r="181" spans="1:45">
      <c r="A181" s="1944"/>
      <c r="B181" s="1944"/>
      <c r="C181" s="510">
        <v>43804</v>
      </c>
      <c r="D181" s="1382" t="s">
        <v>6081</v>
      </c>
      <c r="E181" s="506" t="s">
        <v>69</v>
      </c>
      <c r="F181" s="506" t="s">
        <v>70</v>
      </c>
      <c r="G181" s="507" t="s">
        <v>6082</v>
      </c>
      <c r="H181" s="506">
        <v>2</v>
      </c>
      <c r="I181" s="548" t="s">
        <v>6084</v>
      </c>
      <c r="J181" s="506"/>
      <c r="K181" s="506" t="s">
        <v>93</v>
      </c>
      <c r="L181" s="506"/>
      <c r="M181" s="511">
        <v>11127273</v>
      </c>
      <c r="N181" s="506" t="s">
        <v>251</v>
      </c>
      <c r="O181" s="510">
        <v>43819</v>
      </c>
      <c r="P181" s="510">
        <v>43854</v>
      </c>
      <c r="Q181" s="506"/>
      <c r="R181" s="736" t="s">
        <v>304</v>
      </c>
      <c r="S181" s="1985" t="s">
        <v>7498</v>
      </c>
      <c r="T181" s="511"/>
      <c r="U181" s="511"/>
      <c r="V181" s="1470"/>
      <c r="W181" s="1470"/>
      <c r="X181" s="1470"/>
      <c r="Y181" s="511"/>
      <c r="Z181" s="511"/>
      <c r="AA181" s="506"/>
      <c r="AB181" s="510">
        <v>43894</v>
      </c>
      <c r="AC181" s="506" t="s">
        <v>6397</v>
      </c>
      <c r="AD181" s="506"/>
      <c r="AE181" s="506"/>
      <c r="AJ181" s="1944"/>
      <c r="AK181" s="1944"/>
      <c r="AL181" s="1944"/>
      <c r="AM181" s="1944"/>
      <c r="AN181" s="1944"/>
      <c r="AO181" s="1944"/>
      <c r="AP181" s="1944"/>
      <c r="AQ181" s="1944"/>
      <c r="AS181" s="1944"/>
    </row>
    <row r="182" spans="1:45">
      <c r="A182" s="1944"/>
      <c r="B182" s="1944"/>
      <c r="C182" s="537">
        <v>43804</v>
      </c>
      <c r="D182" s="1373" t="s">
        <v>6081</v>
      </c>
      <c r="E182" s="491" t="s">
        <v>69</v>
      </c>
      <c r="F182" s="491" t="s">
        <v>70</v>
      </c>
      <c r="G182" s="571" t="s">
        <v>6082</v>
      </c>
      <c r="H182" s="491">
        <v>3</v>
      </c>
      <c r="I182" s="495" t="s">
        <v>6085</v>
      </c>
      <c r="J182" s="491"/>
      <c r="K182" s="491" t="s">
        <v>93</v>
      </c>
      <c r="L182" s="491"/>
      <c r="M182" s="536">
        <v>95343903</v>
      </c>
      <c r="N182" s="491" t="s">
        <v>251</v>
      </c>
      <c r="O182" s="537">
        <v>43819</v>
      </c>
      <c r="P182" s="537">
        <v>43854</v>
      </c>
      <c r="Q182" s="537">
        <v>43879</v>
      </c>
      <c r="R182" s="495" t="s">
        <v>1407</v>
      </c>
      <c r="S182" s="491"/>
      <c r="T182" s="536">
        <v>95343903</v>
      </c>
      <c r="U182" s="536">
        <v>104878293.3</v>
      </c>
      <c r="V182" s="1471"/>
      <c r="W182" s="1471"/>
      <c r="X182" s="1471"/>
      <c r="Y182" s="573">
        <v>43880</v>
      </c>
      <c r="Z182" s="536" t="s">
        <v>6432</v>
      </c>
      <c r="AA182" s="537">
        <v>43921</v>
      </c>
      <c r="AB182" s="537">
        <v>43928</v>
      </c>
      <c r="AC182" s="537">
        <v>44650</v>
      </c>
      <c r="AD182" s="537">
        <v>44279</v>
      </c>
      <c r="AE182" s="537">
        <v>44645</v>
      </c>
      <c r="AF182" s="388" t="s">
        <v>6607</v>
      </c>
      <c r="AG182" s="360" t="s">
        <v>11656</v>
      </c>
      <c r="AJ182" s="1944"/>
      <c r="AK182" s="1944"/>
      <c r="AL182" s="1944"/>
      <c r="AM182" s="1944"/>
      <c r="AN182" s="1944"/>
      <c r="AO182" s="1944"/>
      <c r="AP182" s="1944"/>
      <c r="AQ182" s="1944"/>
      <c r="AS182" s="1944"/>
    </row>
    <row r="183" spans="1:45">
      <c r="A183" s="1944"/>
      <c r="B183" s="1944"/>
      <c r="C183" s="510">
        <v>43804</v>
      </c>
      <c r="D183" s="1382" t="s">
        <v>6081</v>
      </c>
      <c r="E183" s="506" t="s">
        <v>69</v>
      </c>
      <c r="F183" s="506" t="s">
        <v>70</v>
      </c>
      <c r="G183" s="507" t="s">
        <v>6082</v>
      </c>
      <c r="H183" s="506">
        <v>4</v>
      </c>
      <c r="I183" s="548" t="s">
        <v>4887</v>
      </c>
      <c r="J183" s="506"/>
      <c r="K183" s="506" t="s">
        <v>93</v>
      </c>
      <c r="L183" s="506"/>
      <c r="M183" s="511">
        <v>5032508</v>
      </c>
      <c r="N183" s="506" t="s">
        <v>251</v>
      </c>
      <c r="O183" s="510">
        <v>43819</v>
      </c>
      <c r="P183" s="510">
        <v>43854</v>
      </c>
      <c r="Q183" s="506"/>
      <c r="R183" s="736" t="s">
        <v>304</v>
      </c>
      <c r="S183" s="1985" t="s">
        <v>7498</v>
      </c>
      <c r="T183" s="511"/>
      <c r="U183" s="511"/>
      <c r="V183" s="1470"/>
      <c r="W183" s="1470"/>
      <c r="X183" s="1470"/>
      <c r="Y183" s="511"/>
      <c r="Z183" s="511"/>
      <c r="AA183" s="506"/>
      <c r="AB183" s="510">
        <v>43894</v>
      </c>
      <c r="AC183" s="506" t="s">
        <v>6397</v>
      </c>
      <c r="AD183" s="506"/>
      <c r="AE183" s="506"/>
      <c r="AJ183" s="1944"/>
      <c r="AK183" s="1944"/>
      <c r="AL183" s="1944"/>
      <c r="AM183" s="1944"/>
      <c r="AN183" s="1944"/>
      <c r="AO183" s="1944"/>
      <c r="AP183" s="1944"/>
      <c r="AQ183" s="1944"/>
      <c r="AS183" s="1944"/>
    </row>
    <row r="184" spans="1:45">
      <c r="A184" s="1944"/>
      <c r="B184" s="1944"/>
      <c r="C184" s="537">
        <v>43804</v>
      </c>
      <c r="D184" s="1373" t="s">
        <v>6081</v>
      </c>
      <c r="E184" s="491" t="s">
        <v>69</v>
      </c>
      <c r="F184" s="491" t="s">
        <v>70</v>
      </c>
      <c r="G184" s="571" t="s">
        <v>6082</v>
      </c>
      <c r="H184" s="491">
        <v>5</v>
      </c>
      <c r="I184" s="495" t="s">
        <v>6086</v>
      </c>
      <c r="J184" s="491"/>
      <c r="K184" s="491" t="s">
        <v>93</v>
      </c>
      <c r="L184" s="491"/>
      <c r="M184" s="536">
        <v>704780</v>
      </c>
      <c r="N184" s="491" t="s">
        <v>251</v>
      </c>
      <c r="O184" s="537">
        <v>43819</v>
      </c>
      <c r="P184" s="537">
        <v>43854</v>
      </c>
      <c r="Q184" s="537">
        <v>43879</v>
      </c>
      <c r="R184" s="495" t="s">
        <v>576</v>
      </c>
      <c r="S184" s="491"/>
      <c r="T184" s="536">
        <v>704779.28</v>
      </c>
      <c r="U184" s="536">
        <v>775257.21</v>
      </c>
      <c r="V184" s="1471"/>
      <c r="W184" s="1471"/>
      <c r="X184" s="1471"/>
      <c r="Y184" s="573">
        <v>43880</v>
      </c>
      <c r="Z184" s="536" t="s">
        <v>6433</v>
      </c>
      <c r="AA184" s="537">
        <v>43921</v>
      </c>
      <c r="AB184" s="537">
        <v>43928</v>
      </c>
      <c r="AC184" s="537">
        <v>44650</v>
      </c>
      <c r="AD184" s="537">
        <v>44279</v>
      </c>
      <c r="AE184" s="537">
        <v>44645</v>
      </c>
      <c r="AF184" s="388" t="s">
        <v>6607</v>
      </c>
      <c r="AG184" s="360" t="s">
        <v>11656</v>
      </c>
      <c r="AJ184" s="1944"/>
      <c r="AK184" s="1944"/>
      <c r="AL184" s="1944"/>
      <c r="AM184" s="1944"/>
      <c r="AN184" s="1944"/>
      <c r="AO184" s="1944"/>
      <c r="AP184" s="1944"/>
      <c r="AQ184" s="1944"/>
      <c r="AS184" s="1944"/>
    </row>
    <row r="185" spans="1:45" ht="15.75" thickBot="1">
      <c r="A185" s="1944"/>
      <c r="B185" s="1944"/>
      <c r="C185" s="1380">
        <v>43804</v>
      </c>
      <c r="D185" s="1377" t="s">
        <v>6081</v>
      </c>
      <c r="E185" s="1376" t="s">
        <v>69</v>
      </c>
      <c r="F185" s="1376" t="s">
        <v>70</v>
      </c>
      <c r="G185" s="1378" t="s">
        <v>6082</v>
      </c>
      <c r="H185" s="1376">
        <v>6</v>
      </c>
      <c r="I185" s="1421" t="s">
        <v>6087</v>
      </c>
      <c r="J185" s="1376"/>
      <c r="K185" s="1376" t="s">
        <v>93</v>
      </c>
      <c r="L185" s="1376"/>
      <c r="M185" s="1379">
        <v>23556463</v>
      </c>
      <c r="N185" s="1376" t="s">
        <v>251</v>
      </c>
      <c r="O185" s="1380">
        <v>43819</v>
      </c>
      <c r="P185" s="1380">
        <v>43854</v>
      </c>
      <c r="Q185" s="1380">
        <v>43879</v>
      </c>
      <c r="R185" s="1421" t="s">
        <v>2548</v>
      </c>
      <c r="S185" s="1376"/>
      <c r="T185" s="1379">
        <v>23288929.039999999</v>
      </c>
      <c r="U185" s="1379">
        <v>25617821.940000001</v>
      </c>
      <c r="V185" s="1475"/>
      <c r="W185" s="1475"/>
      <c r="X185" s="1475"/>
      <c r="Y185" s="1388">
        <v>43880</v>
      </c>
      <c r="Z185" s="1379" t="s">
        <v>6434</v>
      </c>
      <c r="AA185" s="1380">
        <v>43921</v>
      </c>
      <c r="AB185" s="1380">
        <v>43928</v>
      </c>
      <c r="AC185" s="1380">
        <v>44650</v>
      </c>
      <c r="AD185" s="1380">
        <v>44279</v>
      </c>
      <c r="AE185" s="1380">
        <v>44645</v>
      </c>
      <c r="AF185" s="388" t="s">
        <v>6607</v>
      </c>
      <c r="AG185" s="360" t="s">
        <v>11656</v>
      </c>
      <c r="AJ185" s="1944"/>
      <c r="AK185" s="1944"/>
      <c r="AL185" s="1944"/>
      <c r="AM185" s="1944"/>
      <c r="AN185" s="1944"/>
      <c r="AO185" s="1944"/>
      <c r="AP185" s="1944"/>
      <c r="AQ185" s="1944"/>
      <c r="AS185" s="1944"/>
    </row>
    <row r="186" spans="1:45" ht="30.75" thickTop="1">
      <c r="A186" s="1944"/>
      <c r="B186" s="1944"/>
      <c r="C186" s="365" t="s">
        <v>3585</v>
      </c>
      <c r="D186" s="1397" t="s">
        <v>6156</v>
      </c>
      <c r="E186" s="3210" t="s">
        <v>1700</v>
      </c>
      <c r="F186" s="3210" t="s">
        <v>6206</v>
      </c>
      <c r="G186" s="2517" t="s">
        <v>6157</v>
      </c>
      <c r="H186" s="3210"/>
      <c r="I186" s="3211"/>
      <c r="J186" s="3210"/>
      <c r="K186" s="3210" t="s">
        <v>1950</v>
      </c>
      <c r="L186" s="3210"/>
      <c r="M186" s="364">
        <v>165495.85999999999</v>
      </c>
      <c r="N186" s="3210" t="s">
        <v>112</v>
      </c>
      <c r="O186" s="365">
        <v>43832</v>
      </c>
      <c r="P186" s="365">
        <v>43845</v>
      </c>
      <c r="Q186" s="365">
        <v>43851</v>
      </c>
      <c r="R186" s="3211" t="s">
        <v>6309</v>
      </c>
      <c r="S186" s="3210"/>
      <c r="T186" s="364">
        <v>215872</v>
      </c>
      <c r="U186" s="364">
        <v>261205.12</v>
      </c>
      <c r="V186" s="1473"/>
      <c r="W186" s="1473"/>
      <c r="X186" s="1473"/>
      <c r="Y186" s="681">
        <v>43852</v>
      </c>
      <c r="Z186" s="1417" t="s">
        <v>6310</v>
      </c>
      <c r="AA186" s="365">
        <v>43880</v>
      </c>
      <c r="AB186" s="365">
        <v>43881</v>
      </c>
      <c r="AC186" s="365">
        <f>AA186+42</f>
        <v>43922</v>
      </c>
      <c r="AD186" s="365">
        <v>43949</v>
      </c>
      <c r="AE186" s="451" t="s">
        <v>1875</v>
      </c>
      <c r="AJ186" s="1944"/>
      <c r="AK186" s="1944"/>
      <c r="AL186" s="1944"/>
      <c r="AM186" s="1944"/>
      <c r="AN186" s="1944"/>
      <c r="AO186" s="1944"/>
      <c r="AP186" s="1944"/>
      <c r="AQ186" s="1944"/>
      <c r="AS186" s="1944"/>
    </row>
    <row r="187" spans="1:45">
      <c r="A187" s="1944"/>
      <c r="B187" s="1944"/>
      <c r="C187" s="537">
        <v>43808</v>
      </c>
      <c r="D187" s="1373" t="s">
        <v>6100</v>
      </c>
      <c r="E187" s="491" t="s">
        <v>14</v>
      </c>
      <c r="F187" s="491" t="s">
        <v>13</v>
      </c>
      <c r="G187" s="571" t="s">
        <v>6101</v>
      </c>
      <c r="H187" s="491"/>
      <c r="I187" s="495"/>
      <c r="J187" s="491"/>
      <c r="K187" s="491" t="s">
        <v>21</v>
      </c>
      <c r="L187" s="491"/>
      <c r="M187" s="536">
        <v>1001000</v>
      </c>
      <c r="N187" s="491" t="s">
        <v>112</v>
      </c>
      <c r="O187" s="537">
        <v>43818</v>
      </c>
      <c r="P187" s="537">
        <v>43837</v>
      </c>
      <c r="Q187" s="537">
        <v>43847</v>
      </c>
      <c r="R187" s="495" t="s">
        <v>6120</v>
      </c>
      <c r="S187" s="491"/>
      <c r="T187" s="536">
        <v>866457</v>
      </c>
      <c r="U187" s="536">
        <v>1048412.97</v>
      </c>
      <c r="V187" s="1471"/>
      <c r="W187" s="1471"/>
      <c r="X187" s="1471"/>
      <c r="Y187" s="573">
        <v>43847</v>
      </c>
      <c r="Z187" s="536" t="s">
        <v>6301</v>
      </c>
      <c r="AA187" s="537">
        <v>43871</v>
      </c>
      <c r="AB187" s="537">
        <v>43872</v>
      </c>
      <c r="AC187" s="537">
        <v>44236</v>
      </c>
      <c r="AD187" s="537">
        <v>44200</v>
      </c>
      <c r="AE187" s="1102"/>
      <c r="AJ187" s="1944"/>
      <c r="AK187" s="1944"/>
      <c r="AL187" s="1944"/>
      <c r="AM187" s="1944"/>
      <c r="AN187" s="1944"/>
      <c r="AO187" s="1944"/>
      <c r="AP187" s="1944"/>
      <c r="AQ187" s="1944"/>
      <c r="AS187" s="1944"/>
    </row>
    <row r="188" spans="1:45">
      <c r="A188" s="1944"/>
      <c r="B188" s="1944"/>
      <c r="C188" s="510">
        <v>43808</v>
      </c>
      <c r="D188" s="1382" t="s">
        <v>6102</v>
      </c>
      <c r="E188" s="506" t="s">
        <v>69</v>
      </c>
      <c r="F188" s="506" t="s">
        <v>70</v>
      </c>
      <c r="G188" s="507" t="s">
        <v>6103</v>
      </c>
      <c r="H188" s="506">
        <v>1</v>
      </c>
      <c r="I188" s="548" t="s">
        <v>6104</v>
      </c>
      <c r="J188" s="590"/>
      <c r="K188" s="506" t="s">
        <v>2173</v>
      </c>
      <c r="L188" s="506"/>
      <c r="M188" s="511">
        <v>2292556</v>
      </c>
      <c r="N188" s="506" t="s">
        <v>251</v>
      </c>
      <c r="O188" s="510">
        <v>43819</v>
      </c>
      <c r="P188" s="510">
        <v>43899</v>
      </c>
      <c r="Q188" s="506"/>
      <c r="R188" s="736" t="s">
        <v>304</v>
      </c>
      <c r="S188" s="514" t="s">
        <v>7499</v>
      </c>
      <c r="T188" s="511"/>
      <c r="U188" s="511"/>
      <c r="V188" s="1484"/>
      <c r="W188" s="1484"/>
      <c r="X188" s="1484"/>
      <c r="Y188" s="511"/>
      <c r="Z188" s="511"/>
      <c r="AA188" s="506"/>
      <c r="AB188" s="510">
        <v>43921</v>
      </c>
      <c r="AC188" s="548"/>
      <c r="AD188" s="506"/>
      <c r="AE188" s="506"/>
      <c r="AJ188" s="1944"/>
      <c r="AK188" s="1944"/>
      <c r="AL188" s="1944"/>
      <c r="AM188" s="1944"/>
      <c r="AN188" s="1944"/>
      <c r="AO188" s="1944"/>
      <c r="AP188" s="1944"/>
      <c r="AQ188" s="1944"/>
      <c r="AS188" s="1944"/>
    </row>
    <row r="189" spans="1:45">
      <c r="A189" s="1944"/>
      <c r="B189" s="1944"/>
      <c r="C189" s="510">
        <v>43808</v>
      </c>
      <c r="D189" s="1382" t="s">
        <v>6102</v>
      </c>
      <c r="E189" s="506" t="s">
        <v>69</v>
      </c>
      <c r="F189" s="506" t="s">
        <v>70</v>
      </c>
      <c r="G189" s="507" t="s">
        <v>6103</v>
      </c>
      <c r="H189" s="506">
        <v>2</v>
      </c>
      <c r="I189" s="548" t="s">
        <v>6105</v>
      </c>
      <c r="J189" s="590"/>
      <c r="K189" s="506" t="s">
        <v>2173</v>
      </c>
      <c r="L189" s="506"/>
      <c r="M189" s="511">
        <v>1293742</v>
      </c>
      <c r="N189" s="506" t="s">
        <v>251</v>
      </c>
      <c r="O189" s="510">
        <v>43819</v>
      </c>
      <c r="P189" s="510">
        <v>43899</v>
      </c>
      <c r="Q189" s="506"/>
      <c r="R189" s="736" t="s">
        <v>304</v>
      </c>
      <c r="S189" s="1985" t="s">
        <v>7499</v>
      </c>
      <c r="T189" s="511"/>
      <c r="U189" s="511"/>
      <c r="V189" s="1484"/>
      <c r="W189" s="1484"/>
      <c r="X189" s="1484"/>
      <c r="Y189" s="511"/>
      <c r="Z189" s="511"/>
      <c r="AA189" s="506"/>
      <c r="AB189" s="510">
        <v>43921</v>
      </c>
      <c r="AC189" s="548"/>
      <c r="AD189" s="506"/>
      <c r="AE189" s="506"/>
      <c r="AJ189" s="1944"/>
      <c r="AK189" s="1944"/>
      <c r="AL189" s="1944"/>
      <c r="AM189" s="1944"/>
      <c r="AN189" s="1944"/>
      <c r="AO189" s="1944"/>
      <c r="AP189" s="1944"/>
      <c r="AQ189" s="1944"/>
      <c r="AS189" s="1944"/>
    </row>
    <row r="190" spans="1:45">
      <c r="A190" s="1944"/>
      <c r="B190" s="1944"/>
      <c r="C190" s="537">
        <v>43808</v>
      </c>
      <c r="D190" s="1373" t="s">
        <v>6102</v>
      </c>
      <c r="E190" s="491" t="s">
        <v>69</v>
      </c>
      <c r="F190" s="491" t="s">
        <v>70</v>
      </c>
      <c r="G190" s="571" t="s">
        <v>6103</v>
      </c>
      <c r="H190" s="491">
        <v>3</v>
      </c>
      <c r="I190" s="495" t="s">
        <v>6106</v>
      </c>
      <c r="J190" s="491"/>
      <c r="K190" s="491" t="s">
        <v>2173</v>
      </c>
      <c r="L190" s="491"/>
      <c r="M190" s="536">
        <v>33304068</v>
      </c>
      <c r="N190" s="491" t="s">
        <v>251</v>
      </c>
      <c r="O190" s="537">
        <v>43819</v>
      </c>
      <c r="P190" s="537">
        <v>43899</v>
      </c>
      <c r="Q190" s="537">
        <v>43941</v>
      </c>
      <c r="R190" s="1712" t="s">
        <v>2548</v>
      </c>
      <c r="S190" s="491"/>
      <c r="T190" s="536">
        <v>33302768.399999999</v>
      </c>
      <c r="U190" s="536">
        <v>36633045.240000002</v>
      </c>
      <c r="V190" s="1471"/>
      <c r="W190" s="1471"/>
      <c r="X190" s="1471"/>
      <c r="Y190" s="573">
        <v>43941</v>
      </c>
      <c r="Z190" s="536" t="s">
        <v>6712</v>
      </c>
      <c r="AA190" s="537">
        <v>43983</v>
      </c>
      <c r="AB190" s="537">
        <v>43987</v>
      </c>
      <c r="AC190" s="537">
        <v>44711</v>
      </c>
      <c r="AD190" s="537">
        <v>44279</v>
      </c>
      <c r="AE190" s="537">
        <v>44645</v>
      </c>
      <c r="AF190" s="388" t="s">
        <v>6917</v>
      </c>
      <c r="AG190" s="360" t="s">
        <v>11656</v>
      </c>
      <c r="AJ190" s="1944"/>
      <c r="AK190" s="1944"/>
      <c r="AL190" s="1944"/>
      <c r="AM190" s="1944"/>
      <c r="AN190" s="1944"/>
      <c r="AO190" s="1944"/>
      <c r="AP190" s="1944"/>
      <c r="AQ190" s="1944"/>
      <c r="AS190" s="1944"/>
    </row>
    <row r="191" spans="1:45">
      <c r="A191" s="1944"/>
      <c r="B191" s="1944"/>
      <c r="C191" s="537">
        <v>43808</v>
      </c>
      <c r="D191" s="1373" t="s">
        <v>6102</v>
      </c>
      <c r="E191" s="491" t="s">
        <v>69</v>
      </c>
      <c r="F191" s="491" t="s">
        <v>70</v>
      </c>
      <c r="G191" s="571" t="s">
        <v>6103</v>
      </c>
      <c r="H191" s="491">
        <v>4</v>
      </c>
      <c r="I191" s="495" t="s">
        <v>6107</v>
      </c>
      <c r="J191" s="491"/>
      <c r="K191" s="491" t="s">
        <v>2173</v>
      </c>
      <c r="L191" s="491"/>
      <c r="M191" s="536">
        <v>2244322</v>
      </c>
      <c r="N191" s="491" t="s">
        <v>251</v>
      </c>
      <c r="O191" s="537">
        <v>43819</v>
      </c>
      <c r="P191" s="537">
        <v>43899</v>
      </c>
      <c r="Q191" s="537">
        <v>43941</v>
      </c>
      <c r="R191" s="495" t="s">
        <v>576</v>
      </c>
      <c r="S191" s="491"/>
      <c r="T191" s="536">
        <v>2226791.2200000002</v>
      </c>
      <c r="U191" s="536">
        <v>2449470.34</v>
      </c>
      <c r="V191" s="1471"/>
      <c r="W191" s="1471"/>
      <c r="X191" s="1471"/>
      <c r="Y191" s="573">
        <v>43941</v>
      </c>
      <c r="Z191" s="536" t="s">
        <v>6713</v>
      </c>
      <c r="AA191" s="537">
        <v>43983</v>
      </c>
      <c r="AB191" s="537">
        <v>43987</v>
      </c>
      <c r="AC191" s="537">
        <v>44711</v>
      </c>
      <c r="AD191" s="537">
        <v>44279</v>
      </c>
      <c r="AE191" s="537">
        <v>44645</v>
      </c>
      <c r="AF191" s="388" t="s">
        <v>6917</v>
      </c>
      <c r="AJ191" s="1944"/>
      <c r="AK191" s="1944"/>
      <c r="AL191" s="1944"/>
      <c r="AM191" s="1944"/>
      <c r="AN191" s="1944"/>
      <c r="AO191" s="1944"/>
      <c r="AP191" s="1944"/>
      <c r="AQ191" s="1944"/>
      <c r="AS191" s="1944"/>
    </row>
    <row r="192" spans="1:45">
      <c r="A192" s="1944"/>
      <c r="B192" s="1944"/>
      <c r="C192" s="537">
        <v>43808</v>
      </c>
      <c r="D192" s="1373" t="s">
        <v>6102</v>
      </c>
      <c r="E192" s="491" t="s">
        <v>69</v>
      </c>
      <c r="F192" s="491" t="s">
        <v>70</v>
      </c>
      <c r="G192" s="571" t="s">
        <v>6103</v>
      </c>
      <c r="H192" s="491">
        <v>5</v>
      </c>
      <c r="I192" s="495" t="s">
        <v>6108</v>
      </c>
      <c r="J192" s="491"/>
      <c r="K192" s="491" t="s">
        <v>2173</v>
      </c>
      <c r="L192" s="491"/>
      <c r="M192" s="536">
        <v>5023286</v>
      </c>
      <c r="N192" s="491" t="s">
        <v>251</v>
      </c>
      <c r="O192" s="537">
        <v>43819</v>
      </c>
      <c r="P192" s="537">
        <v>43899</v>
      </c>
      <c r="Q192" s="537">
        <v>43941</v>
      </c>
      <c r="R192" s="495" t="s">
        <v>2548</v>
      </c>
      <c r="S192" s="491"/>
      <c r="T192" s="536">
        <v>2440587.7999999998</v>
      </c>
      <c r="U192" s="536">
        <v>2684646.58</v>
      </c>
      <c r="V192" s="1471"/>
      <c r="W192" s="1471"/>
      <c r="X192" s="1471"/>
      <c r="Y192" s="573">
        <v>43941</v>
      </c>
      <c r="Z192" s="536" t="s">
        <v>6714</v>
      </c>
      <c r="AA192" s="537">
        <v>43983</v>
      </c>
      <c r="AB192" s="537">
        <v>43987</v>
      </c>
      <c r="AC192" s="537">
        <v>44711</v>
      </c>
      <c r="AD192" s="537">
        <v>44279</v>
      </c>
      <c r="AE192" s="537">
        <v>44645</v>
      </c>
      <c r="AF192" s="388" t="s">
        <v>6917</v>
      </c>
      <c r="AJ192" s="1944"/>
      <c r="AK192" s="1944"/>
      <c r="AL192" s="1944"/>
      <c r="AM192" s="1944"/>
      <c r="AN192" s="1944"/>
      <c r="AO192" s="1944"/>
      <c r="AP192" s="1944"/>
      <c r="AQ192" s="1944"/>
      <c r="AS192" s="1944"/>
    </row>
    <row r="193" spans="1:45" ht="30">
      <c r="A193" s="1944"/>
      <c r="B193" s="1944"/>
      <c r="C193" s="537">
        <v>43810</v>
      </c>
      <c r="D193" s="1373" t="s">
        <v>6133</v>
      </c>
      <c r="E193" s="491" t="s">
        <v>58</v>
      </c>
      <c r="F193" s="491" t="s">
        <v>2684</v>
      </c>
      <c r="G193" s="571" t="s">
        <v>6134</v>
      </c>
      <c r="H193" s="491">
        <v>1</v>
      </c>
      <c r="I193" s="495" t="s">
        <v>6134</v>
      </c>
      <c r="J193" s="491"/>
      <c r="K193" s="491" t="s">
        <v>421</v>
      </c>
      <c r="L193" s="491" t="s">
        <v>6325</v>
      </c>
      <c r="M193" s="536">
        <v>1459000</v>
      </c>
      <c r="N193" s="491" t="s">
        <v>112</v>
      </c>
      <c r="O193" s="537">
        <v>43818</v>
      </c>
      <c r="P193" s="537">
        <v>43837</v>
      </c>
      <c r="Q193" s="537">
        <v>43861</v>
      </c>
      <c r="R193" s="495" t="s">
        <v>198</v>
      </c>
      <c r="S193" s="491"/>
      <c r="T193" s="536">
        <v>1459000</v>
      </c>
      <c r="U193" s="536">
        <v>1765390</v>
      </c>
      <c r="V193" s="1471"/>
      <c r="W193" s="1471"/>
      <c r="X193" s="1471"/>
      <c r="Y193" s="573">
        <v>43861</v>
      </c>
      <c r="Z193" s="1375" t="s">
        <v>6354</v>
      </c>
      <c r="AA193" s="537">
        <v>43882</v>
      </c>
      <c r="AB193" s="537">
        <v>43887</v>
      </c>
      <c r="AC193" s="2140">
        <v>43938</v>
      </c>
      <c r="AD193" s="537">
        <v>43955</v>
      </c>
      <c r="AE193" s="1374" t="s">
        <v>1875</v>
      </c>
      <c r="AJ193" s="1944"/>
      <c r="AK193" s="1944"/>
      <c r="AL193" s="1944"/>
      <c r="AM193" s="1944"/>
      <c r="AN193" s="1944"/>
      <c r="AO193" s="1944"/>
      <c r="AP193" s="1944"/>
      <c r="AQ193" s="1944"/>
      <c r="AS193" s="1944"/>
    </row>
    <row r="194" spans="1:45" ht="30">
      <c r="A194" s="1944"/>
      <c r="B194" s="1944"/>
      <c r="C194" s="537">
        <v>43810</v>
      </c>
      <c r="D194" s="1373" t="s">
        <v>6133</v>
      </c>
      <c r="E194" s="491" t="s">
        <v>58</v>
      </c>
      <c r="F194" s="491" t="s">
        <v>2684</v>
      </c>
      <c r="G194" s="571" t="s">
        <v>6134</v>
      </c>
      <c r="H194" s="491">
        <v>2</v>
      </c>
      <c r="I194" s="495" t="s">
        <v>420</v>
      </c>
      <c r="J194" s="491"/>
      <c r="K194" s="491" t="s">
        <v>421</v>
      </c>
      <c r="L194" s="491" t="s">
        <v>6324</v>
      </c>
      <c r="M194" s="536">
        <v>174000</v>
      </c>
      <c r="N194" s="491" t="s">
        <v>112</v>
      </c>
      <c r="O194" s="537">
        <v>43818</v>
      </c>
      <c r="P194" s="537">
        <v>43837</v>
      </c>
      <c r="Q194" s="537">
        <v>43861</v>
      </c>
      <c r="R194" s="495" t="s">
        <v>198</v>
      </c>
      <c r="S194" s="491"/>
      <c r="T194" s="536">
        <v>173999</v>
      </c>
      <c r="U194" s="536">
        <v>210538.79</v>
      </c>
      <c r="V194" s="1471"/>
      <c r="W194" s="1471"/>
      <c r="X194" s="1471"/>
      <c r="Y194" s="573">
        <v>43861</v>
      </c>
      <c r="Z194" s="1375" t="s">
        <v>6355</v>
      </c>
      <c r="AA194" s="537">
        <v>43882</v>
      </c>
      <c r="AB194" s="537">
        <v>43887</v>
      </c>
      <c r="AC194" s="2140">
        <v>43938</v>
      </c>
      <c r="AD194" s="537">
        <v>43955</v>
      </c>
      <c r="AE194" s="1374" t="s">
        <v>1875</v>
      </c>
      <c r="AJ194" s="1944"/>
      <c r="AK194" s="1944"/>
      <c r="AL194" s="1944"/>
      <c r="AM194" s="1944"/>
      <c r="AN194" s="1944"/>
      <c r="AO194" s="1944"/>
      <c r="AP194" s="1944"/>
      <c r="AQ194" s="1944"/>
      <c r="AS194" s="1944"/>
    </row>
    <row r="195" spans="1:45" ht="30">
      <c r="A195" s="1944"/>
      <c r="B195" s="1944"/>
      <c r="C195" s="537">
        <v>43812</v>
      </c>
      <c r="D195" s="1373" t="s">
        <v>6136</v>
      </c>
      <c r="E195" s="491" t="s">
        <v>9694</v>
      </c>
      <c r="F195" s="491" t="s">
        <v>2684</v>
      </c>
      <c r="G195" s="571" t="s">
        <v>6137</v>
      </c>
      <c r="H195" s="491"/>
      <c r="I195" s="495"/>
      <c r="J195" s="491"/>
      <c r="K195" s="491" t="s">
        <v>6138</v>
      </c>
      <c r="L195" s="491" t="s">
        <v>6139</v>
      </c>
      <c r="M195" s="536">
        <v>785500</v>
      </c>
      <c r="N195" s="491" t="s">
        <v>112</v>
      </c>
      <c r="O195" s="537">
        <v>43837</v>
      </c>
      <c r="P195" s="537">
        <v>43847</v>
      </c>
      <c r="Q195" s="537">
        <v>43868</v>
      </c>
      <c r="R195" s="495" t="s">
        <v>800</v>
      </c>
      <c r="S195" s="491"/>
      <c r="T195" s="536">
        <v>687484</v>
      </c>
      <c r="U195" s="536">
        <v>831855.64</v>
      </c>
      <c r="V195" s="1471"/>
      <c r="W195" s="1471"/>
      <c r="X195" s="1471"/>
      <c r="Y195" s="573">
        <v>43868</v>
      </c>
      <c r="Z195" s="1375" t="s">
        <v>6401</v>
      </c>
      <c r="AA195" s="537">
        <v>43910</v>
      </c>
      <c r="AB195" s="537">
        <v>43915</v>
      </c>
      <c r="AC195" s="537">
        <f>AA195+56</f>
        <v>43966</v>
      </c>
      <c r="AD195" s="537">
        <v>44245</v>
      </c>
      <c r="AE195" s="1374" t="s">
        <v>1875</v>
      </c>
      <c r="AJ195" s="1944"/>
      <c r="AK195" s="1944"/>
      <c r="AL195" s="1944"/>
      <c r="AM195" s="1944"/>
      <c r="AN195" s="1944"/>
      <c r="AO195" s="1944"/>
      <c r="AP195" s="1944"/>
      <c r="AQ195" s="1944"/>
      <c r="AS195" s="1944"/>
    </row>
    <row r="196" spans="1:45" ht="30">
      <c r="A196" s="1944"/>
      <c r="B196" s="1944"/>
      <c r="C196" s="537">
        <v>43811</v>
      </c>
      <c r="D196" s="1373" t="s">
        <v>6141</v>
      </c>
      <c r="E196" s="491" t="s">
        <v>58</v>
      </c>
      <c r="F196" s="491" t="s">
        <v>2684</v>
      </c>
      <c r="G196" s="571" t="s">
        <v>6142</v>
      </c>
      <c r="H196" s="491"/>
      <c r="I196" s="495"/>
      <c r="J196" s="491"/>
      <c r="K196" s="491" t="s">
        <v>421</v>
      </c>
      <c r="L196" s="491" t="s">
        <v>6140</v>
      </c>
      <c r="M196" s="536">
        <v>330000</v>
      </c>
      <c r="N196" s="491" t="s">
        <v>112</v>
      </c>
      <c r="O196" s="537">
        <v>43843</v>
      </c>
      <c r="P196" s="537">
        <v>43852</v>
      </c>
      <c r="Q196" s="537">
        <v>43878</v>
      </c>
      <c r="R196" s="495" t="s">
        <v>6396</v>
      </c>
      <c r="S196" s="491"/>
      <c r="T196" s="536">
        <v>329240</v>
      </c>
      <c r="U196" s="536">
        <v>398380.4</v>
      </c>
      <c r="V196" s="1471"/>
      <c r="W196" s="1471"/>
      <c r="X196" s="1471"/>
      <c r="Y196" s="573">
        <v>43878</v>
      </c>
      <c r="Z196" s="1375" t="s">
        <v>6418</v>
      </c>
      <c r="AA196" s="537">
        <v>43902</v>
      </c>
      <c r="AB196" s="537">
        <v>43903</v>
      </c>
      <c r="AC196" s="537">
        <f>AA196+56</f>
        <v>43958</v>
      </c>
      <c r="AD196" s="537">
        <v>44026</v>
      </c>
      <c r="AE196" s="1374" t="s">
        <v>1875</v>
      </c>
      <c r="AJ196" s="1944"/>
      <c r="AK196" s="1944"/>
      <c r="AL196" s="1944"/>
      <c r="AM196" s="1944"/>
      <c r="AN196" s="1944"/>
      <c r="AO196" s="1944"/>
      <c r="AP196" s="1944"/>
      <c r="AQ196" s="1944"/>
      <c r="AS196" s="1944"/>
    </row>
    <row r="197" spans="1:45">
      <c r="A197" s="1944"/>
      <c r="B197" s="1944"/>
      <c r="C197" s="537">
        <v>43809</v>
      </c>
      <c r="D197" s="1373" t="s">
        <v>6146</v>
      </c>
      <c r="E197" s="491" t="s">
        <v>52</v>
      </c>
      <c r="F197" s="491" t="s">
        <v>3670</v>
      </c>
      <c r="G197" s="571" t="s">
        <v>6147</v>
      </c>
      <c r="H197" s="491"/>
      <c r="I197" s="495"/>
      <c r="J197" s="491"/>
      <c r="K197" s="491" t="s">
        <v>3140</v>
      </c>
      <c r="L197" s="491"/>
      <c r="M197" s="536">
        <v>4500000</v>
      </c>
      <c r="N197" s="491" t="s">
        <v>112</v>
      </c>
      <c r="O197" s="537">
        <v>43829</v>
      </c>
      <c r="P197" s="537">
        <v>43852</v>
      </c>
      <c r="Q197" s="537">
        <v>43861</v>
      </c>
      <c r="R197" s="495" t="s">
        <v>6332</v>
      </c>
      <c r="S197" s="491"/>
      <c r="T197" s="536">
        <v>2649966.48</v>
      </c>
      <c r="U197" s="536">
        <v>3206459.44</v>
      </c>
      <c r="V197" s="1471"/>
      <c r="W197" s="1471"/>
      <c r="X197" s="1471"/>
      <c r="Y197" s="573">
        <v>43861</v>
      </c>
      <c r="Z197" s="536" t="s">
        <v>6356</v>
      </c>
      <c r="AA197" s="537">
        <v>43886</v>
      </c>
      <c r="AB197" s="537">
        <v>43886</v>
      </c>
      <c r="AC197" s="537">
        <f>AA197+80</f>
        <v>43966</v>
      </c>
      <c r="AD197" s="537">
        <v>44095</v>
      </c>
      <c r="AE197" s="1102"/>
      <c r="AJ197" s="1944"/>
      <c r="AK197" s="1944"/>
      <c r="AL197" s="1944"/>
      <c r="AM197" s="1944"/>
      <c r="AN197" s="1944"/>
      <c r="AO197" s="1944"/>
      <c r="AP197" s="1944"/>
      <c r="AQ197" s="1944"/>
      <c r="AS197" s="1944"/>
    </row>
    <row r="198" spans="1:45">
      <c r="A198" s="1944"/>
      <c r="B198" s="1944"/>
      <c r="C198" s="510">
        <v>43816</v>
      </c>
      <c r="D198" s="1382" t="s">
        <v>6160</v>
      </c>
      <c r="E198" s="506" t="s">
        <v>14</v>
      </c>
      <c r="F198" s="506" t="s">
        <v>13</v>
      </c>
      <c r="G198" s="507" t="s">
        <v>6161</v>
      </c>
      <c r="H198" s="506"/>
      <c r="I198" s="548"/>
      <c r="J198" s="506"/>
      <c r="K198" s="506" t="s">
        <v>2055</v>
      </c>
      <c r="L198" s="506"/>
      <c r="M198" s="511">
        <v>910800</v>
      </c>
      <c r="N198" s="506" t="s">
        <v>112</v>
      </c>
      <c r="O198" s="510">
        <v>43826</v>
      </c>
      <c r="P198" s="510">
        <v>43840</v>
      </c>
      <c r="Q198" s="506"/>
      <c r="R198" s="736" t="s">
        <v>6293</v>
      </c>
      <c r="S198" s="506"/>
      <c r="T198" s="511"/>
      <c r="U198" s="511"/>
      <c r="V198" s="1470"/>
      <c r="W198" s="1470"/>
      <c r="X198" s="1470"/>
      <c r="Y198" s="511"/>
      <c r="Z198" s="511"/>
      <c r="AA198" s="506"/>
      <c r="AB198" s="510">
        <v>43847</v>
      </c>
      <c r="AC198" s="506"/>
      <c r="AD198" s="506"/>
      <c r="AE198" s="506"/>
      <c r="AJ198" s="1944"/>
      <c r="AK198" s="1944"/>
      <c r="AL198" s="1944"/>
      <c r="AM198" s="1944"/>
      <c r="AN198" s="1944"/>
      <c r="AO198" s="1944"/>
      <c r="AP198" s="1944"/>
      <c r="AQ198" s="1944"/>
      <c r="AS198" s="1944"/>
    </row>
    <row r="199" spans="1:45">
      <c r="A199" s="1944"/>
      <c r="B199" s="1944"/>
      <c r="C199" s="510">
        <v>43815</v>
      </c>
      <c r="D199" s="1382" t="s">
        <v>6169</v>
      </c>
      <c r="E199" s="506" t="s">
        <v>69</v>
      </c>
      <c r="F199" s="506" t="s">
        <v>70</v>
      </c>
      <c r="G199" s="507" t="s">
        <v>6162</v>
      </c>
      <c r="H199" s="506">
        <v>1</v>
      </c>
      <c r="I199" s="548" t="s">
        <v>6163</v>
      </c>
      <c r="J199" s="506"/>
      <c r="K199" s="506" t="s">
        <v>93</v>
      </c>
      <c r="L199" s="506"/>
      <c r="M199" s="511">
        <v>9044345</v>
      </c>
      <c r="N199" s="506" t="s">
        <v>251</v>
      </c>
      <c r="O199" s="510">
        <v>43822</v>
      </c>
      <c r="P199" s="510">
        <v>43887</v>
      </c>
      <c r="Q199" s="506"/>
      <c r="R199" s="548"/>
      <c r="S199" s="1985" t="s">
        <v>7498</v>
      </c>
      <c r="T199" s="511"/>
      <c r="U199" s="511"/>
      <c r="V199" s="1470"/>
      <c r="W199" s="1470"/>
      <c r="X199" s="1470"/>
      <c r="Y199" s="511"/>
      <c r="Z199" s="511"/>
      <c r="AA199" s="506"/>
      <c r="AB199" s="510">
        <v>43907</v>
      </c>
      <c r="AC199" s="506" t="s">
        <v>6565</v>
      </c>
      <c r="AD199" s="506"/>
      <c r="AE199" s="506"/>
      <c r="AJ199" s="1944"/>
      <c r="AK199" s="1944"/>
      <c r="AL199" s="1944"/>
      <c r="AM199" s="1944"/>
      <c r="AN199" s="1944"/>
      <c r="AO199" s="1944"/>
      <c r="AP199" s="1944"/>
      <c r="AQ199" s="1944"/>
      <c r="AS199" s="1944"/>
    </row>
    <row r="200" spans="1:45">
      <c r="A200" s="1944"/>
      <c r="B200" s="1944"/>
      <c r="C200" s="537">
        <v>43815</v>
      </c>
      <c r="D200" s="1373" t="s">
        <v>6169</v>
      </c>
      <c r="E200" s="491" t="s">
        <v>69</v>
      </c>
      <c r="F200" s="491" t="s">
        <v>70</v>
      </c>
      <c r="G200" s="571" t="s">
        <v>6162</v>
      </c>
      <c r="H200" s="491">
        <v>2</v>
      </c>
      <c r="I200" s="495" t="s">
        <v>6164</v>
      </c>
      <c r="J200" s="491"/>
      <c r="K200" s="491" t="s">
        <v>93</v>
      </c>
      <c r="L200" s="491"/>
      <c r="M200" s="536">
        <v>48895034</v>
      </c>
      <c r="N200" s="491" t="s">
        <v>251</v>
      </c>
      <c r="O200" s="537">
        <v>43822</v>
      </c>
      <c r="P200" s="537">
        <v>43887</v>
      </c>
      <c r="Q200" s="537">
        <v>43921</v>
      </c>
      <c r="R200" s="495" t="s">
        <v>2548</v>
      </c>
      <c r="S200" s="491"/>
      <c r="T200" s="536">
        <v>48895033.399999999</v>
      </c>
      <c r="U200" s="536">
        <v>53784536.740000002</v>
      </c>
      <c r="V200" s="1471"/>
      <c r="W200" s="1471"/>
      <c r="X200" s="1471"/>
      <c r="Y200" s="573">
        <v>43922</v>
      </c>
      <c r="Z200" s="536" t="s">
        <v>6618</v>
      </c>
      <c r="AA200" s="537">
        <v>43948</v>
      </c>
      <c r="AB200" s="537">
        <v>43962</v>
      </c>
      <c r="AC200" s="537">
        <v>44677</v>
      </c>
      <c r="AD200" s="537">
        <v>44279</v>
      </c>
      <c r="AE200" s="537">
        <v>44645</v>
      </c>
      <c r="AF200" s="388" t="s">
        <v>6745</v>
      </c>
      <c r="AJ200" s="1944"/>
      <c r="AK200" s="1944"/>
      <c r="AL200" s="1944"/>
      <c r="AM200" s="1944"/>
      <c r="AN200" s="1944"/>
      <c r="AO200" s="1944"/>
      <c r="AP200" s="1944"/>
      <c r="AQ200" s="1944"/>
      <c r="AS200" s="1944"/>
    </row>
    <row r="201" spans="1:45">
      <c r="A201" s="1944"/>
      <c r="B201" s="1944"/>
      <c r="C201" s="537">
        <v>43815</v>
      </c>
      <c r="D201" s="1373" t="s">
        <v>6169</v>
      </c>
      <c r="E201" s="491" t="s">
        <v>69</v>
      </c>
      <c r="F201" s="491" t="s">
        <v>70</v>
      </c>
      <c r="G201" s="571" t="s">
        <v>6162</v>
      </c>
      <c r="H201" s="491">
        <v>3</v>
      </c>
      <c r="I201" s="495" t="s">
        <v>6165</v>
      </c>
      <c r="J201" s="491"/>
      <c r="K201" s="491" t="s">
        <v>93</v>
      </c>
      <c r="L201" s="491"/>
      <c r="M201" s="536">
        <v>15048787</v>
      </c>
      <c r="N201" s="491" t="s">
        <v>251</v>
      </c>
      <c r="O201" s="537">
        <v>43822</v>
      </c>
      <c r="P201" s="537">
        <v>43887</v>
      </c>
      <c r="Q201" s="537">
        <v>43921</v>
      </c>
      <c r="R201" s="495" t="s">
        <v>2518</v>
      </c>
      <c r="S201" s="491"/>
      <c r="T201" s="536">
        <v>15048786.9</v>
      </c>
      <c r="U201" s="536">
        <f>T201*1.1</f>
        <v>16553665.590000002</v>
      </c>
      <c r="V201" s="1471"/>
      <c r="W201" s="1471"/>
      <c r="X201" s="1471"/>
      <c r="Y201" s="573">
        <v>43922</v>
      </c>
      <c r="Z201" s="536" t="s">
        <v>6619</v>
      </c>
      <c r="AA201" s="537">
        <v>43948</v>
      </c>
      <c r="AB201" s="537">
        <v>43962</v>
      </c>
      <c r="AC201" s="537">
        <v>44677</v>
      </c>
      <c r="AD201" s="537">
        <v>44279</v>
      </c>
      <c r="AE201" s="537">
        <v>44645</v>
      </c>
      <c r="AF201" s="388" t="s">
        <v>6745</v>
      </c>
      <c r="AJ201" s="1944"/>
      <c r="AK201" s="1944"/>
      <c r="AL201" s="1944"/>
      <c r="AM201" s="1944"/>
      <c r="AN201" s="1944"/>
      <c r="AO201" s="1944"/>
      <c r="AP201" s="1944"/>
      <c r="AQ201" s="1944"/>
      <c r="AS201" s="1944"/>
    </row>
    <row r="202" spans="1:45">
      <c r="A202" s="1944"/>
      <c r="B202" s="1944"/>
      <c r="C202" s="537">
        <v>43815</v>
      </c>
      <c r="D202" s="1373" t="s">
        <v>6169</v>
      </c>
      <c r="E202" s="491" t="s">
        <v>69</v>
      </c>
      <c r="F202" s="491" t="s">
        <v>70</v>
      </c>
      <c r="G202" s="571" t="s">
        <v>6162</v>
      </c>
      <c r="H202" s="491">
        <v>4</v>
      </c>
      <c r="I202" s="495" t="s">
        <v>6166</v>
      </c>
      <c r="J202" s="491"/>
      <c r="K202" s="491" t="s">
        <v>93</v>
      </c>
      <c r="L202" s="491"/>
      <c r="M202" s="536">
        <v>26372808</v>
      </c>
      <c r="N202" s="491" t="s">
        <v>251</v>
      </c>
      <c r="O202" s="537">
        <v>43822</v>
      </c>
      <c r="P202" s="537">
        <v>43887</v>
      </c>
      <c r="Q202" s="537">
        <v>43921</v>
      </c>
      <c r="R202" s="495" t="s">
        <v>2548</v>
      </c>
      <c r="S202" s="491"/>
      <c r="T202" s="536">
        <v>23843105.48</v>
      </c>
      <c r="U202" s="536">
        <f>T202*1.1</f>
        <v>26227416.028000001</v>
      </c>
      <c r="V202" s="1471"/>
      <c r="W202" s="1471"/>
      <c r="X202" s="1471"/>
      <c r="Y202" s="573">
        <v>43922</v>
      </c>
      <c r="Z202" s="536" t="s">
        <v>6620</v>
      </c>
      <c r="AA202" s="537">
        <v>43948</v>
      </c>
      <c r="AB202" s="537">
        <v>43962</v>
      </c>
      <c r="AC202" s="537">
        <v>44677</v>
      </c>
      <c r="AD202" s="537">
        <v>44279</v>
      </c>
      <c r="AE202" s="537">
        <v>44645</v>
      </c>
      <c r="AF202" s="388" t="s">
        <v>6745</v>
      </c>
      <c r="AJ202" s="1944"/>
      <c r="AK202" s="1944"/>
      <c r="AL202" s="1944"/>
      <c r="AM202" s="1944"/>
      <c r="AN202" s="1944"/>
      <c r="AO202" s="1944"/>
      <c r="AP202" s="1944"/>
      <c r="AQ202" s="1944"/>
      <c r="AS202" s="1944"/>
    </row>
    <row r="203" spans="1:45">
      <c r="A203" s="1944"/>
      <c r="B203" s="1944"/>
      <c r="C203" s="537">
        <v>43815</v>
      </c>
      <c r="D203" s="1373" t="s">
        <v>6169</v>
      </c>
      <c r="E203" s="491" t="s">
        <v>69</v>
      </c>
      <c r="F203" s="491" t="s">
        <v>70</v>
      </c>
      <c r="G203" s="571" t="s">
        <v>6162</v>
      </c>
      <c r="H203" s="491">
        <v>5</v>
      </c>
      <c r="I203" s="495" t="s">
        <v>6167</v>
      </c>
      <c r="J203" s="491"/>
      <c r="K203" s="491" t="s">
        <v>93</v>
      </c>
      <c r="L203" s="491"/>
      <c r="M203" s="536">
        <v>2377087</v>
      </c>
      <c r="N203" s="491" t="s">
        <v>251</v>
      </c>
      <c r="O203" s="537">
        <v>43822</v>
      </c>
      <c r="P203" s="537">
        <v>43887</v>
      </c>
      <c r="Q203" s="537">
        <v>43921</v>
      </c>
      <c r="R203" s="495" t="s">
        <v>576</v>
      </c>
      <c r="S203" s="491"/>
      <c r="T203" s="536">
        <v>2377086.4</v>
      </c>
      <c r="U203" s="536">
        <f>T203*1.1</f>
        <v>2614795.04</v>
      </c>
      <c r="V203" s="1471"/>
      <c r="W203" s="1471"/>
      <c r="X203" s="1471"/>
      <c r="Y203" s="573">
        <v>43922</v>
      </c>
      <c r="Z203" s="536" t="s">
        <v>6621</v>
      </c>
      <c r="AA203" s="537">
        <v>43957</v>
      </c>
      <c r="AB203" s="537">
        <v>43962</v>
      </c>
      <c r="AC203" s="537">
        <v>44686</v>
      </c>
      <c r="AD203" s="537">
        <v>44279</v>
      </c>
      <c r="AE203" s="537">
        <v>44645</v>
      </c>
      <c r="AF203" s="388" t="s">
        <v>4562</v>
      </c>
      <c r="AJ203" s="1944"/>
      <c r="AK203" s="1944"/>
      <c r="AL203" s="1944"/>
      <c r="AM203" s="1944"/>
      <c r="AN203" s="1944"/>
      <c r="AO203" s="1944"/>
      <c r="AP203" s="1944"/>
      <c r="AQ203" s="1944"/>
      <c r="AS203" s="1944"/>
    </row>
    <row r="204" spans="1:45">
      <c r="A204" s="1944"/>
      <c r="B204" s="1944"/>
      <c r="C204" s="537">
        <v>43815</v>
      </c>
      <c r="D204" s="1373" t="s">
        <v>6169</v>
      </c>
      <c r="E204" s="491" t="s">
        <v>69</v>
      </c>
      <c r="F204" s="491" t="s">
        <v>70</v>
      </c>
      <c r="G204" s="571" t="s">
        <v>6162</v>
      </c>
      <c r="H204" s="491">
        <v>6</v>
      </c>
      <c r="I204" s="495" t="s">
        <v>6168</v>
      </c>
      <c r="J204" s="491"/>
      <c r="K204" s="491" t="s">
        <v>93</v>
      </c>
      <c r="L204" s="491"/>
      <c r="M204" s="536">
        <v>304833</v>
      </c>
      <c r="N204" s="491" t="s">
        <v>251</v>
      </c>
      <c r="O204" s="537">
        <v>43822</v>
      </c>
      <c r="P204" s="537">
        <v>43887</v>
      </c>
      <c r="Q204" s="537">
        <v>43921</v>
      </c>
      <c r="R204" s="495" t="s">
        <v>2548</v>
      </c>
      <c r="S204" s="491"/>
      <c r="T204" s="536">
        <v>304832.48</v>
      </c>
      <c r="U204" s="536">
        <f>T204*1.1</f>
        <v>335315.728</v>
      </c>
      <c r="V204" s="1471"/>
      <c r="W204" s="1471"/>
      <c r="X204" s="1471"/>
      <c r="Y204" s="573">
        <v>43922</v>
      </c>
      <c r="Z204" s="536" t="s">
        <v>6622</v>
      </c>
      <c r="AA204" s="537">
        <v>43948</v>
      </c>
      <c r="AB204" s="537">
        <v>43962</v>
      </c>
      <c r="AC204" s="537">
        <v>44677</v>
      </c>
      <c r="AD204" s="491" t="s">
        <v>8483</v>
      </c>
      <c r="AE204" s="537">
        <v>44645</v>
      </c>
      <c r="AF204" s="388" t="s">
        <v>6745</v>
      </c>
      <c r="AJ204" s="1944"/>
      <c r="AK204" s="1944"/>
      <c r="AL204" s="1944"/>
      <c r="AM204" s="1944"/>
      <c r="AN204" s="1944"/>
      <c r="AO204" s="1944"/>
      <c r="AP204" s="1944"/>
      <c r="AQ204" s="1944"/>
      <c r="AS204" s="1944"/>
    </row>
    <row r="205" spans="1:45">
      <c r="A205" s="1944"/>
      <c r="B205" s="1944"/>
      <c r="C205" s="510">
        <v>43815</v>
      </c>
      <c r="D205" s="1382" t="s">
        <v>6200</v>
      </c>
      <c r="E205" s="506" t="s">
        <v>2111</v>
      </c>
      <c r="F205" s="506" t="s">
        <v>4440</v>
      </c>
      <c r="G205" s="507" t="s">
        <v>3443</v>
      </c>
      <c r="H205" s="506"/>
      <c r="I205" s="548"/>
      <c r="J205" s="506"/>
      <c r="K205" s="506" t="s">
        <v>2824</v>
      </c>
      <c r="L205" s="506"/>
      <c r="M205" s="511">
        <v>1993000</v>
      </c>
      <c r="N205" s="506" t="s">
        <v>112</v>
      </c>
      <c r="O205" s="510">
        <v>43829</v>
      </c>
      <c r="P205" s="510">
        <v>43847</v>
      </c>
      <c r="Q205" s="506"/>
      <c r="R205" s="736" t="s">
        <v>6421</v>
      </c>
      <c r="S205" s="506"/>
      <c r="T205" s="1902" t="s">
        <v>6483</v>
      </c>
      <c r="U205" s="511"/>
      <c r="V205" s="1470"/>
      <c r="W205" s="1470"/>
      <c r="X205" s="1470"/>
      <c r="Y205" s="511"/>
      <c r="Z205" s="511"/>
      <c r="AA205" s="506"/>
      <c r="AB205" s="510">
        <v>43879</v>
      </c>
      <c r="AC205" s="506"/>
      <c r="AD205" s="506"/>
      <c r="AE205" s="506"/>
      <c r="AJ205" s="1944"/>
      <c r="AK205" s="1944"/>
      <c r="AL205" s="1944"/>
      <c r="AM205" s="1944"/>
      <c r="AN205" s="1944"/>
      <c r="AO205" s="1944"/>
      <c r="AP205" s="1944"/>
      <c r="AQ205" s="1944"/>
      <c r="AS205" s="1944"/>
    </row>
    <row r="206" spans="1:45" ht="15.75" thickBot="1">
      <c r="A206" s="1944"/>
      <c r="B206" s="1944"/>
      <c r="C206" s="1910">
        <v>43818</v>
      </c>
      <c r="D206" s="1911" t="s">
        <v>6174</v>
      </c>
      <c r="E206" s="1912" t="s">
        <v>2111</v>
      </c>
      <c r="F206" s="1912" t="s">
        <v>4440</v>
      </c>
      <c r="G206" s="1913" t="s">
        <v>6175</v>
      </c>
      <c r="H206" s="1912"/>
      <c r="I206" s="1914"/>
      <c r="J206" s="1912"/>
      <c r="K206" s="1912" t="s">
        <v>3495</v>
      </c>
      <c r="L206" s="1912"/>
      <c r="M206" s="1915">
        <v>900000</v>
      </c>
      <c r="N206" s="1912" t="s">
        <v>112</v>
      </c>
      <c r="O206" s="1910">
        <v>43836</v>
      </c>
      <c r="P206" s="1910">
        <v>43847</v>
      </c>
      <c r="Q206" s="1912"/>
      <c r="R206" s="1942" t="s">
        <v>4505</v>
      </c>
      <c r="S206" s="2013" t="s">
        <v>6525</v>
      </c>
      <c r="T206" s="1915"/>
      <c r="U206" s="1915"/>
      <c r="V206" s="1916"/>
      <c r="W206" s="1916"/>
      <c r="X206" s="1916"/>
      <c r="Y206" s="1915"/>
      <c r="Z206" s="1915"/>
      <c r="AA206" s="1912"/>
      <c r="AB206" s="1910">
        <v>43893</v>
      </c>
      <c r="AC206" s="1912"/>
      <c r="AD206" s="1912"/>
      <c r="AE206" s="1912"/>
      <c r="AF206" s="1898"/>
      <c r="AG206" s="1898"/>
      <c r="AH206" s="1899"/>
      <c r="AJ206" s="1944"/>
      <c r="AK206" s="1944"/>
      <c r="AL206" s="1944"/>
      <c r="AM206" s="1944"/>
      <c r="AN206" s="1944"/>
      <c r="AO206" s="1944"/>
      <c r="AP206" s="1944"/>
      <c r="AQ206" s="1944"/>
      <c r="AS206" s="1944"/>
    </row>
    <row r="207" spans="1:45" ht="30.75" thickTop="1">
      <c r="A207" s="1944"/>
      <c r="B207" s="1944"/>
      <c r="C207" s="3210" t="s">
        <v>239</v>
      </c>
      <c r="D207" s="1397" t="s">
        <v>6212</v>
      </c>
      <c r="E207" s="3210" t="s">
        <v>6213</v>
      </c>
      <c r="F207" s="3210" t="s">
        <v>1753</v>
      </c>
      <c r="G207" s="2049" t="s">
        <v>6351</v>
      </c>
      <c r="H207" s="3210"/>
      <c r="I207" s="3211"/>
      <c r="J207" s="3210"/>
      <c r="K207" s="3210" t="s">
        <v>1623</v>
      </c>
      <c r="L207" s="3210"/>
      <c r="M207" s="364">
        <v>61617189.939999998</v>
      </c>
      <c r="N207" s="3210" t="s">
        <v>251</v>
      </c>
      <c r="O207" s="365">
        <v>43913</v>
      </c>
      <c r="P207" s="365">
        <v>44019</v>
      </c>
      <c r="Q207" s="365">
        <v>44084</v>
      </c>
      <c r="R207" s="3211" t="s">
        <v>1990</v>
      </c>
      <c r="S207" s="3210"/>
      <c r="T207" s="364">
        <v>57080000</v>
      </c>
      <c r="U207" s="364">
        <v>69066800</v>
      </c>
      <c r="V207" s="1473"/>
      <c r="W207" s="1473"/>
      <c r="X207" s="1473"/>
      <c r="Y207" s="681">
        <v>44085</v>
      </c>
      <c r="Z207" s="1417" t="s">
        <v>7576</v>
      </c>
      <c r="AA207" s="365">
        <v>44161</v>
      </c>
      <c r="AB207" s="365">
        <v>44162</v>
      </c>
      <c r="AC207" s="365">
        <v>44859</v>
      </c>
      <c r="AD207" s="1551">
        <v>45216</v>
      </c>
      <c r="AE207" s="1513"/>
      <c r="AJ207" s="1944"/>
      <c r="AK207" s="1944"/>
      <c r="AL207" s="1944"/>
      <c r="AM207" s="1944"/>
      <c r="AN207" s="1944"/>
      <c r="AO207" s="1944"/>
      <c r="AP207" s="1944"/>
      <c r="AQ207" s="1944"/>
      <c r="AS207" s="1944"/>
    </row>
    <row r="208" spans="1:45">
      <c r="A208" s="1944"/>
      <c r="B208" s="1944"/>
      <c r="C208" s="506" t="s">
        <v>239</v>
      </c>
      <c r="D208" s="1382" t="s">
        <v>6214</v>
      </c>
      <c r="E208" s="506" t="s">
        <v>6213</v>
      </c>
      <c r="F208" s="506" t="s">
        <v>1753</v>
      </c>
      <c r="G208" s="507" t="s">
        <v>6352</v>
      </c>
      <c r="H208" s="506"/>
      <c r="I208" s="548"/>
      <c r="J208" s="506"/>
      <c r="K208" s="506" t="s">
        <v>4269</v>
      </c>
      <c r="L208" s="506"/>
      <c r="M208" s="511">
        <v>22706798.350000001</v>
      </c>
      <c r="N208" s="506" t="s">
        <v>251</v>
      </c>
      <c r="O208" s="510">
        <v>43913</v>
      </c>
      <c r="P208" s="510">
        <v>43962</v>
      </c>
      <c r="Q208" s="506"/>
      <c r="R208" s="548"/>
      <c r="S208" s="1985" t="s">
        <v>7412</v>
      </c>
      <c r="T208" s="511"/>
      <c r="U208" s="511"/>
      <c r="V208" s="1470"/>
      <c r="W208" s="1470"/>
      <c r="X208" s="1470"/>
      <c r="Y208" s="511"/>
      <c r="Z208" s="511"/>
      <c r="AA208" s="506"/>
      <c r="AB208" s="510">
        <v>44029</v>
      </c>
      <c r="AC208" s="548" t="s">
        <v>7086</v>
      </c>
      <c r="AD208" s="506"/>
      <c r="AE208" s="506"/>
      <c r="AJ208" s="1944"/>
      <c r="AK208" s="1944"/>
      <c r="AL208" s="1944"/>
      <c r="AM208" s="1944"/>
      <c r="AN208" s="1944"/>
      <c r="AO208" s="1944"/>
      <c r="AP208" s="1944"/>
      <c r="AQ208" s="1944"/>
      <c r="AS208" s="1944"/>
    </row>
    <row r="209" spans="1:45">
      <c r="A209" s="1944"/>
      <c r="B209" s="1944"/>
      <c r="C209" s="510">
        <v>43812</v>
      </c>
      <c r="D209" s="1382" t="s">
        <v>6218</v>
      </c>
      <c r="E209" s="506" t="s">
        <v>1032</v>
      </c>
      <c r="F209" s="506" t="s">
        <v>1033</v>
      </c>
      <c r="G209" s="507" t="s">
        <v>6154</v>
      </c>
      <c r="H209" s="506"/>
      <c r="I209" s="548"/>
      <c r="J209" s="506"/>
      <c r="K209" s="506" t="s">
        <v>6152</v>
      </c>
      <c r="L209" s="506" t="s">
        <v>6155</v>
      </c>
      <c r="M209" s="511">
        <v>5990000</v>
      </c>
      <c r="N209" s="506" t="s">
        <v>112</v>
      </c>
      <c r="O209" s="510">
        <v>43840</v>
      </c>
      <c r="P209" s="510">
        <v>43853</v>
      </c>
      <c r="Q209" s="510">
        <v>43872</v>
      </c>
      <c r="R209" s="736" t="s">
        <v>7457</v>
      </c>
      <c r="S209" s="3215" t="s">
        <v>7456</v>
      </c>
      <c r="T209" s="511"/>
      <c r="U209" s="511"/>
      <c r="V209" s="1470"/>
      <c r="W209" s="1470"/>
      <c r="X209" s="1470"/>
      <c r="Y209" s="1398">
        <v>43873</v>
      </c>
      <c r="Z209" s="511" t="s">
        <v>6402</v>
      </c>
      <c r="AA209" s="506"/>
      <c r="AB209" s="510">
        <v>43987</v>
      </c>
      <c r="AC209" s="506"/>
      <c r="AD209" s="506"/>
      <c r="AE209" s="506"/>
      <c r="AJ209" s="1944"/>
      <c r="AK209" s="1944"/>
      <c r="AL209" s="1944"/>
      <c r="AM209" s="1944"/>
      <c r="AN209" s="1944"/>
      <c r="AO209" s="1944"/>
      <c r="AP209" s="1944"/>
      <c r="AQ209" s="1944"/>
      <c r="AS209" s="1944"/>
    </row>
    <row r="210" spans="1:45">
      <c r="A210" s="1944"/>
      <c r="B210" s="1944"/>
      <c r="C210" s="537">
        <v>43812</v>
      </c>
      <c r="D210" s="1373" t="s">
        <v>6220</v>
      </c>
      <c r="E210" s="491" t="s">
        <v>1032</v>
      </c>
      <c r="F210" s="491" t="s">
        <v>361</v>
      </c>
      <c r="G210" s="571" t="s">
        <v>6116</v>
      </c>
      <c r="H210" s="491"/>
      <c r="I210" s="495"/>
      <c r="J210" s="491"/>
      <c r="K210" s="491" t="s">
        <v>1438</v>
      </c>
      <c r="L210" s="491"/>
      <c r="M210" s="536">
        <v>16259000</v>
      </c>
      <c r="N210" s="491" t="s">
        <v>216</v>
      </c>
      <c r="O210" s="537">
        <v>43852</v>
      </c>
      <c r="P210" s="537">
        <v>43872</v>
      </c>
      <c r="Q210" s="537">
        <v>43881</v>
      </c>
      <c r="R210" s="495" t="s">
        <v>707</v>
      </c>
      <c r="S210" s="491"/>
      <c r="T210" s="536">
        <v>17080713.219999999</v>
      </c>
      <c r="U210" s="536">
        <v>20667663</v>
      </c>
      <c r="V210" s="1471"/>
      <c r="W210" s="1471"/>
      <c r="X210" s="1471"/>
      <c r="Y210" s="573">
        <v>43881</v>
      </c>
      <c r="Z210" s="536" t="s">
        <v>6444</v>
      </c>
      <c r="AA210" s="537">
        <v>43914</v>
      </c>
      <c r="AB210" s="537">
        <v>43917</v>
      </c>
      <c r="AC210" s="537">
        <v>43982</v>
      </c>
      <c r="AD210" s="537">
        <v>44245</v>
      </c>
      <c r="AE210" s="1102"/>
      <c r="AJ210" s="1944"/>
      <c r="AK210" s="1944"/>
      <c r="AL210" s="1944"/>
      <c r="AM210" s="1944"/>
      <c r="AN210" s="1944"/>
      <c r="AO210" s="1944"/>
      <c r="AP210" s="1944"/>
      <c r="AQ210" s="1944"/>
      <c r="AS210" s="1944"/>
    </row>
    <row r="211" spans="1:45">
      <c r="A211" s="1944"/>
      <c r="B211" s="1944"/>
      <c r="C211" s="510">
        <v>43795</v>
      </c>
      <c r="D211" s="1382" t="s">
        <v>6222</v>
      </c>
      <c r="E211" s="506" t="s">
        <v>69</v>
      </c>
      <c r="F211" s="506" t="s">
        <v>70</v>
      </c>
      <c r="G211" s="507" t="s">
        <v>6057</v>
      </c>
      <c r="H211" s="506">
        <v>1</v>
      </c>
      <c r="I211" s="548" t="s">
        <v>6058</v>
      </c>
      <c r="J211" s="506"/>
      <c r="K211" s="506" t="s">
        <v>72</v>
      </c>
      <c r="L211" s="506"/>
      <c r="M211" s="511">
        <v>61538056</v>
      </c>
      <c r="N211" s="506" t="s">
        <v>251</v>
      </c>
      <c r="O211" s="510">
        <v>43859</v>
      </c>
      <c r="P211" s="510">
        <v>43935</v>
      </c>
      <c r="Q211" s="506"/>
      <c r="R211" s="1986" t="s">
        <v>304</v>
      </c>
      <c r="S211" s="1985" t="s">
        <v>7500</v>
      </c>
      <c r="T211" s="511"/>
      <c r="U211" s="511"/>
      <c r="V211" s="1470"/>
      <c r="W211" s="1470"/>
      <c r="X211" s="1470"/>
      <c r="Y211" s="511"/>
      <c r="Z211" s="511"/>
      <c r="AA211" s="506"/>
      <c r="AB211" s="510">
        <v>43938</v>
      </c>
      <c r="AC211" s="548" t="s">
        <v>6703</v>
      </c>
      <c r="AD211" s="506"/>
      <c r="AE211" s="506"/>
      <c r="AJ211" s="1944"/>
      <c r="AK211" s="1944"/>
      <c r="AL211" s="1944"/>
      <c r="AM211" s="1944"/>
      <c r="AN211" s="1944"/>
      <c r="AO211" s="1944"/>
      <c r="AP211" s="1944"/>
      <c r="AQ211" s="1944"/>
      <c r="AS211" s="1944"/>
    </row>
    <row r="212" spans="1:45">
      <c r="A212" s="1944"/>
      <c r="B212" s="1944"/>
      <c r="C212" s="537">
        <v>43795</v>
      </c>
      <c r="D212" s="1373" t="s">
        <v>6223</v>
      </c>
      <c r="E212" s="491" t="s">
        <v>69</v>
      </c>
      <c r="F212" s="491" t="s">
        <v>70</v>
      </c>
      <c r="G212" s="571" t="s">
        <v>6054</v>
      </c>
      <c r="H212" s="491">
        <v>1</v>
      </c>
      <c r="I212" s="495" t="s">
        <v>6055</v>
      </c>
      <c r="J212" s="491"/>
      <c r="K212" s="491" t="s">
        <v>4277</v>
      </c>
      <c r="L212" s="491"/>
      <c r="M212" s="536">
        <v>47341396</v>
      </c>
      <c r="N212" s="491" t="s">
        <v>251</v>
      </c>
      <c r="O212" s="537">
        <v>43861</v>
      </c>
      <c r="P212" s="537">
        <v>43896</v>
      </c>
      <c r="Q212" s="537">
        <v>43921</v>
      </c>
      <c r="R212" s="495" t="s">
        <v>576</v>
      </c>
      <c r="S212" s="491"/>
      <c r="T212" s="536">
        <v>47341395.380000003</v>
      </c>
      <c r="U212" s="536">
        <f>T212*1.1</f>
        <v>52075534.918000005</v>
      </c>
      <c r="V212" s="1471"/>
      <c r="W212" s="1471"/>
      <c r="X212" s="1471"/>
      <c r="Y212" s="573">
        <v>43922</v>
      </c>
      <c r="Z212" s="536" t="s">
        <v>6616</v>
      </c>
      <c r="AA212" s="537">
        <v>43957</v>
      </c>
      <c r="AB212" s="537">
        <v>43976</v>
      </c>
      <c r="AC212" s="537">
        <v>44686</v>
      </c>
      <c r="AD212" s="537">
        <v>44220</v>
      </c>
      <c r="AE212" s="537">
        <v>44645</v>
      </c>
      <c r="AF212" s="388" t="s">
        <v>4562</v>
      </c>
      <c r="AG212" s="360" t="s">
        <v>11656</v>
      </c>
      <c r="AJ212" s="1944"/>
      <c r="AK212" s="1944"/>
      <c r="AL212" s="1944"/>
      <c r="AM212" s="1944"/>
      <c r="AN212" s="1944"/>
      <c r="AO212" s="1944"/>
      <c r="AP212" s="1944"/>
      <c r="AQ212" s="1944"/>
      <c r="AS212" s="1944"/>
    </row>
    <row r="213" spans="1:45">
      <c r="A213" s="1944"/>
      <c r="B213" s="1944"/>
      <c r="C213" s="537">
        <v>43795</v>
      </c>
      <c r="D213" s="1373" t="s">
        <v>6224</v>
      </c>
      <c r="E213" s="491" t="s">
        <v>69</v>
      </c>
      <c r="F213" s="491" t="s">
        <v>70</v>
      </c>
      <c r="G213" s="571" t="s">
        <v>6060</v>
      </c>
      <c r="H213" s="491">
        <v>1</v>
      </c>
      <c r="I213" s="495" t="s">
        <v>6061</v>
      </c>
      <c r="J213" s="491"/>
      <c r="K213" s="491" t="s">
        <v>3225</v>
      </c>
      <c r="L213" s="491"/>
      <c r="M213" s="536">
        <v>1210714</v>
      </c>
      <c r="N213" s="491" t="s">
        <v>112</v>
      </c>
      <c r="O213" s="537">
        <v>43879</v>
      </c>
      <c r="P213" s="537">
        <v>43889</v>
      </c>
      <c r="Q213" s="537">
        <v>43921</v>
      </c>
      <c r="R213" s="630" t="s">
        <v>7042</v>
      </c>
      <c r="S213" s="491"/>
      <c r="T213" s="536">
        <v>1210712.3999999999</v>
      </c>
      <c r="U213" s="536">
        <v>1331783.8</v>
      </c>
      <c r="V213" s="1471"/>
      <c r="W213" s="1471"/>
      <c r="X213" s="1471"/>
      <c r="Y213" s="573">
        <v>43923</v>
      </c>
      <c r="Z213" s="536" t="s">
        <v>6642</v>
      </c>
      <c r="AA213" s="537">
        <v>43965</v>
      </c>
      <c r="AB213" s="537">
        <v>43969</v>
      </c>
      <c r="AC213" s="537">
        <v>44694</v>
      </c>
      <c r="AD213" s="537">
        <v>44279</v>
      </c>
      <c r="AE213" s="537">
        <v>44645</v>
      </c>
      <c r="AF213" s="388" t="s">
        <v>6814</v>
      </c>
      <c r="AJ213" s="1944"/>
      <c r="AK213" s="1944"/>
      <c r="AL213" s="1944"/>
      <c r="AM213" s="1944"/>
      <c r="AN213" s="1944"/>
      <c r="AO213" s="1944"/>
      <c r="AP213" s="1944"/>
      <c r="AQ213" s="1944"/>
      <c r="AS213" s="1944"/>
    </row>
    <row r="214" spans="1:45" ht="15.75" thickBot="1">
      <c r="A214" s="1944"/>
      <c r="B214" s="1944"/>
      <c r="C214" s="537">
        <v>43795</v>
      </c>
      <c r="D214" s="1373" t="s">
        <v>6224</v>
      </c>
      <c r="E214" s="491" t="s">
        <v>69</v>
      </c>
      <c r="F214" s="491" t="s">
        <v>70</v>
      </c>
      <c r="G214" s="571" t="s">
        <v>6060</v>
      </c>
      <c r="H214" s="491">
        <v>2</v>
      </c>
      <c r="I214" s="495" t="s">
        <v>6062</v>
      </c>
      <c r="J214" s="491"/>
      <c r="K214" s="491" t="s">
        <v>3225</v>
      </c>
      <c r="L214" s="491"/>
      <c r="M214" s="536">
        <v>637924</v>
      </c>
      <c r="N214" s="491" t="s">
        <v>112</v>
      </c>
      <c r="O214" s="537">
        <v>43879</v>
      </c>
      <c r="P214" s="537">
        <v>43889</v>
      </c>
      <c r="Q214" s="537">
        <v>43921</v>
      </c>
      <c r="R214" s="231" t="s">
        <v>2548</v>
      </c>
      <c r="S214" s="491"/>
      <c r="T214" s="536">
        <v>632793.19999999995</v>
      </c>
      <c r="U214" s="536">
        <v>696072.52</v>
      </c>
      <c r="V214" s="1471"/>
      <c r="W214" s="1471"/>
      <c r="X214" s="1471"/>
      <c r="Y214" s="573">
        <v>43923</v>
      </c>
      <c r="Z214" s="536" t="s">
        <v>6643</v>
      </c>
      <c r="AA214" s="537">
        <v>43965</v>
      </c>
      <c r="AB214" s="537">
        <v>43969</v>
      </c>
      <c r="AC214" s="537">
        <v>44694</v>
      </c>
      <c r="AD214" s="537">
        <v>44279</v>
      </c>
      <c r="AE214" s="537">
        <v>44645</v>
      </c>
      <c r="AF214" s="388" t="s">
        <v>6814</v>
      </c>
      <c r="AJ214" s="1944"/>
      <c r="AK214" s="1944"/>
      <c r="AL214" s="1944"/>
      <c r="AM214" s="1944"/>
      <c r="AN214" s="1944"/>
      <c r="AO214" s="1944"/>
      <c r="AP214" s="1944"/>
      <c r="AQ214" s="1944"/>
      <c r="AS214" s="1944"/>
    </row>
    <row r="215" spans="1:45">
      <c r="A215" s="1944"/>
      <c r="B215" s="1944"/>
      <c r="C215" s="1950">
        <v>43710</v>
      </c>
      <c r="D215" s="1952" t="s">
        <v>6232</v>
      </c>
      <c r="E215" s="1953" t="s">
        <v>69</v>
      </c>
      <c r="F215" s="1953" t="s">
        <v>70</v>
      </c>
      <c r="G215" s="334" t="s">
        <v>5446</v>
      </c>
      <c r="H215" s="1953">
        <v>1</v>
      </c>
      <c r="I215" s="249" t="s">
        <v>5438</v>
      </c>
      <c r="J215" s="1953"/>
      <c r="K215" s="1953" t="s">
        <v>5447</v>
      </c>
      <c r="L215" s="1953"/>
      <c r="M215" s="1954">
        <v>1299600</v>
      </c>
      <c r="N215" s="1953" t="s">
        <v>251</v>
      </c>
      <c r="O215" s="1950">
        <v>43886</v>
      </c>
      <c r="P215" s="1950">
        <v>43949</v>
      </c>
      <c r="Q215" s="1950">
        <v>43978</v>
      </c>
      <c r="R215" s="249" t="s">
        <v>1646</v>
      </c>
      <c r="S215" s="1953"/>
      <c r="T215" s="1954">
        <v>1029078</v>
      </c>
      <c r="U215" s="1954">
        <v>1131985.8</v>
      </c>
      <c r="V215" s="1955"/>
      <c r="W215" s="1955"/>
      <c r="X215" s="1955"/>
      <c r="Y215" s="1956">
        <v>43979</v>
      </c>
      <c r="Z215" s="1954" t="s">
        <v>6891</v>
      </c>
      <c r="AA215" s="1950">
        <v>44013</v>
      </c>
      <c r="AB215" s="1950">
        <v>44025</v>
      </c>
      <c r="AC215" s="1950">
        <v>44742</v>
      </c>
      <c r="AD215" s="1950">
        <v>44279</v>
      </c>
      <c r="AE215" s="394">
        <v>44645</v>
      </c>
      <c r="AF215" s="388" t="s">
        <v>7103</v>
      </c>
      <c r="AJ215" s="1944"/>
      <c r="AK215" s="1944"/>
      <c r="AL215" s="1944"/>
      <c r="AM215" s="1944"/>
      <c r="AN215" s="1944"/>
      <c r="AO215" s="1944"/>
      <c r="AP215" s="1944"/>
      <c r="AQ215" s="1944"/>
      <c r="AS215" s="1944"/>
    </row>
    <row r="216" spans="1:45">
      <c r="A216" s="1944"/>
      <c r="B216" s="1944"/>
      <c r="C216" s="510">
        <v>43710</v>
      </c>
      <c r="D216" s="1515" t="s">
        <v>6232</v>
      </c>
      <c r="E216" s="506" t="s">
        <v>69</v>
      </c>
      <c r="F216" s="506" t="s">
        <v>70</v>
      </c>
      <c r="G216" s="507" t="s">
        <v>5446</v>
      </c>
      <c r="H216" s="506">
        <v>2</v>
      </c>
      <c r="I216" s="548" t="s">
        <v>5439</v>
      </c>
      <c r="J216" s="506"/>
      <c r="K216" s="506" t="s">
        <v>5447</v>
      </c>
      <c r="L216" s="506"/>
      <c r="M216" s="511">
        <v>2043895</v>
      </c>
      <c r="N216" s="506" t="s">
        <v>251</v>
      </c>
      <c r="O216" s="510">
        <v>43886</v>
      </c>
      <c r="P216" s="510">
        <v>43949</v>
      </c>
      <c r="Q216" s="506"/>
      <c r="R216" s="548"/>
      <c r="S216" s="506"/>
      <c r="T216" s="511"/>
      <c r="U216" s="511"/>
      <c r="V216" s="1470"/>
      <c r="W216" s="1470"/>
      <c r="X216" s="1470"/>
      <c r="Y216" s="511"/>
      <c r="Z216" s="511"/>
      <c r="AA216" s="506"/>
      <c r="AB216" s="510">
        <v>43969</v>
      </c>
      <c r="AC216" s="548" t="s">
        <v>6780</v>
      </c>
      <c r="AD216" s="506"/>
      <c r="AE216" s="1857"/>
      <c r="AJ216" s="1944"/>
      <c r="AK216" s="1944"/>
      <c r="AL216" s="1944"/>
      <c r="AM216" s="1944"/>
      <c r="AN216" s="1944"/>
      <c r="AO216" s="1944"/>
      <c r="AP216" s="1944"/>
      <c r="AQ216" s="1944"/>
      <c r="AS216" s="1944"/>
    </row>
    <row r="217" spans="1:45">
      <c r="A217" s="1944"/>
      <c r="B217" s="1944"/>
      <c r="C217" s="365">
        <v>43710</v>
      </c>
      <c r="D217" s="1397" t="s">
        <v>6232</v>
      </c>
      <c r="E217" s="3210" t="s">
        <v>69</v>
      </c>
      <c r="F217" s="3210" t="s">
        <v>70</v>
      </c>
      <c r="G217" s="571" t="s">
        <v>5446</v>
      </c>
      <c r="H217" s="491">
        <v>3</v>
      </c>
      <c r="I217" s="495" t="s">
        <v>5440</v>
      </c>
      <c r="J217" s="491"/>
      <c r="K217" s="491" t="s">
        <v>5447</v>
      </c>
      <c r="L217" s="491"/>
      <c r="M217" s="536">
        <v>677539</v>
      </c>
      <c r="N217" s="491" t="s">
        <v>251</v>
      </c>
      <c r="O217" s="537">
        <v>43886</v>
      </c>
      <c r="P217" s="537">
        <v>43949</v>
      </c>
      <c r="Q217" s="537">
        <v>43978</v>
      </c>
      <c r="R217" s="495" t="s">
        <v>1564</v>
      </c>
      <c r="S217" s="491"/>
      <c r="T217" s="536">
        <v>480627.6</v>
      </c>
      <c r="U217" s="536">
        <v>528690.36</v>
      </c>
      <c r="V217" s="1471"/>
      <c r="W217" s="1471"/>
      <c r="X217" s="1471"/>
      <c r="Y217" s="573">
        <v>43979</v>
      </c>
      <c r="Z217" s="536" t="s">
        <v>6892</v>
      </c>
      <c r="AA217" s="537">
        <v>44013</v>
      </c>
      <c r="AB217" s="537">
        <v>44025</v>
      </c>
      <c r="AC217" s="537">
        <v>44742</v>
      </c>
      <c r="AD217" s="537">
        <v>44279</v>
      </c>
      <c r="AE217" s="391">
        <v>44645</v>
      </c>
      <c r="AF217" s="388" t="s">
        <v>7103</v>
      </c>
      <c r="AJ217" s="1944"/>
      <c r="AK217" s="1944"/>
      <c r="AL217" s="1944"/>
      <c r="AM217" s="1944"/>
      <c r="AN217" s="1944"/>
      <c r="AO217" s="1944"/>
      <c r="AP217" s="1944"/>
      <c r="AQ217" s="1944"/>
      <c r="AS217" s="1944"/>
    </row>
    <row r="218" spans="1:45">
      <c r="A218" s="1944"/>
      <c r="B218" s="1944"/>
      <c r="C218" s="537">
        <v>43710</v>
      </c>
      <c r="D218" s="1397" t="s">
        <v>6232</v>
      </c>
      <c r="E218" s="491" t="s">
        <v>69</v>
      </c>
      <c r="F218" s="491" t="s">
        <v>70</v>
      </c>
      <c r="G218" s="571" t="s">
        <v>5446</v>
      </c>
      <c r="H218" s="491">
        <v>4</v>
      </c>
      <c r="I218" s="495" t="s">
        <v>5441</v>
      </c>
      <c r="J218" s="491"/>
      <c r="K218" s="491" t="s">
        <v>5447</v>
      </c>
      <c r="L218" s="491"/>
      <c r="M218" s="536">
        <v>8531817</v>
      </c>
      <c r="N218" s="491" t="s">
        <v>251</v>
      </c>
      <c r="O218" s="537">
        <v>43886</v>
      </c>
      <c r="P218" s="537">
        <v>43949</v>
      </c>
      <c r="Q218" s="537">
        <v>43978</v>
      </c>
      <c r="R218" s="495" t="s">
        <v>2548</v>
      </c>
      <c r="S218" s="491"/>
      <c r="T218" s="536">
        <v>8530960.8200000003</v>
      </c>
      <c r="U218" s="536">
        <v>9384056.9000000004</v>
      </c>
      <c r="V218" s="1471"/>
      <c r="W218" s="1471"/>
      <c r="X218" s="1471"/>
      <c r="Y218" s="573">
        <v>43979</v>
      </c>
      <c r="Z218" s="536" t="s">
        <v>6893</v>
      </c>
      <c r="AA218" s="537">
        <v>44033</v>
      </c>
      <c r="AB218" s="537">
        <v>44043</v>
      </c>
      <c r="AC218" s="537">
        <v>44762</v>
      </c>
      <c r="AD218" s="537">
        <v>44279</v>
      </c>
      <c r="AE218" s="391">
        <v>44645</v>
      </c>
      <c r="AF218" s="388" t="s">
        <v>7189</v>
      </c>
      <c r="AJ218" s="1944"/>
      <c r="AK218" s="1944"/>
      <c r="AL218" s="1944"/>
      <c r="AM218" s="1944"/>
      <c r="AN218" s="1944"/>
      <c r="AO218" s="1944"/>
      <c r="AP218" s="1944"/>
      <c r="AQ218" s="1944"/>
      <c r="AS218" s="1944"/>
    </row>
    <row r="219" spans="1:45">
      <c r="A219" s="1944"/>
      <c r="B219" s="1944"/>
      <c r="C219" s="537">
        <v>43710</v>
      </c>
      <c r="D219" s="1397" t="s">
        <v>6232</v>
      </c>
      <c r="E219" s="491" t="s">
        <v>69</v>
      </c>
      <c r="F219" s="491" t="s">
        <v>70</v>
      </c>
      <c r="G219" s="571" t="s">
        <v>5446</v>
      </c>
      <c r="H219" s="491">
        <v>5</v>
      </c>
      <c r="I219" s="495" t="s">
        <v>5442</v>
      </c>
      <c r="J219" s="491"/>
      <c r="K219" s="491" t="s">
        <v>5447</v>
      </c>
      <c r="L219" s="491"/>
      <c r="M219" s="536">
        <v>3476529</v>
      </c>
      <c r="N219" s="491" t="s">
        <v>251</v>
      </c>
      <c r="O219" s="537">
        <v>43886</v>
      </c>
      <c r="P219" s="537">
        <v>43949</v>
      </c>
      <c r="Q219" s="537">
        <v>43978</v>
      </c>
      <c r="R219" s="495" t="s">
        <v>7042</v>
      </c>
      <c r="S219" s="491"/>
      <c r="T219" s="536">
        <v>3476527.3</v>
      </c>
      <c r="U219" s="536">
        <v>3824180.03</v>
      </c>
      <c r="V219" s="1471"/>
      <c r="W219" s="1471"/>
      <c r="X219" s="1471"/>
      <c r="Y219" s="573">
        <v>43979</v>
      </c>
      <c r="Z219" s="536" t="s">
        <v>6894</v>
      </c>
      <c r="AA219" s="537">
        <v>44019</v>
      </c>
      <c r="AB219" s="537">
        <v>44025</v>
      </c>
      <c r="AC219" s="537">
        <v>44748</v>
      </c>
      <c r="AD219" s="537">
        <v>44279</v>
      </c>
      <c r="AE219" s="391">
        <v>44645</v>
      </c>
      <c r="AF219" s="388" t="s">
        <v>7123</v>
      </c>
      <c r="AJ219" s="1944"/>
      <c r="AK219" s="1944"/>
      <c r="AL219" s="1944"/>
      <c r="AM219" s="1944"/>
      <c r="AN219" s="1944"/>
      <c r="AO219" s="1944"/>
      <c r="AP219" s="1944"/>
      <c r="AQ219" s="1944"/>
      <c r="AS219" s="1944"/>
    </row>
    <row r="220" spans="1:45">
      <c r="A220" s="1944"/>
      <c r="B220" s="1944"/>
      <c r="C220" s="470">
        <v>43710</v>
      </c>
      <c r="D220" s="1515" t="s">
        <v>6232</v>
      </c>
      <c r="E220" s="466" t="s">
        <v>69</v>
      </c>
      <c r="F220" s="466" t="s">
        <v>70</v>
      </c>
      <c r="G220" s="507" t="s">
        <v>5446</v>
      </c>
      <c r="H220" s="506">
        <v>6</v>
      </c>
      <c r="I220" s="548" t="s">
        <v>5443</v>
      </c>
      <c r="J220" s="506"/>
      <c r="K220" s="506" t="s">
        <v>5447</v>
      </c>
      <c r="L220" s="506"/>
      <c r="M220" s="511">
        <v>910770</v>
      </c>
      <c r="N220" s="506" t="s">
        <v>251</v>
      </c>
      <c r="O220" s="510">
        <v>43886</v>
      </c>
      <c r="P220" s="510">
        <v>43949</v>
      </c>
      <c r="Q220" s="506"/>
      <c r="R220" s="548"/>
      <c r="S220" s="506"/>
      <c r="T220" s="511"/>
      <c r="U220" s="511"/>
      <c r="V220" s="1470"/>
      <c r="W220" s="1470"/>
      <c r="X220" s="1470"/>
      <c r="Y220" s="511"/>
      <c r="Z220" s="511"/>
      <c r="AA220" s="506"/>
      <c r="AB220" s="510">
        <v>43969</v>
      </c>
      <c r="AC220" s="548" t="s">
        <v>6780</v>
      </c>
      <c r="AD220" s="506"/>
      <c r="AE220" s="1857"/>
      <c r="AJ220" s="1944"/>
      <c r="AK220" s="1944"/>
      <c r="AL220" s="1944"/>
      <c r="AM220" s="1944"/>
      <c r="AN220" s="1944"/>
      <c r="AO220" s="1944"/>
      <c r="AP220" s="1944"/>
      <c r="AQ220" s="1944"/>
      <c r="AS220" s="1944"/>
    </row>
    <row r="221" spans="1:45">
      <c r="A221" s="1944"/>
      <c r="B221" s="1944"/>
      <c r="C221" s="537">
        <v>43710</v>
      </c>
      <c r="D221" s="1397" t="s">
        <v>6232</v>
      </c>
      <c r="E221" s="491" t="s">
        <v>69</v>
      </c>
      <c r="F221" s="491" t="s">
        <v>70</v>
      </c>
      <c r="G221" s="571" t="s">
        <v>5446</v>
      </c>
      <c r="H221" s="491">
        <v>7</v>
      </c>
      <c r="I221" s="495" t="s">
        <v>5444</v>
      </c>
      <c r="J221" s="491"/>
      <c r="K221" s="491" t="s">
        <v>5447</v>
      </c>
      <c r="L221" s="491"/>
      <c r="M221" s="536">
        <v>218849</v>
      </c>
      <c r="N221" s="491" t="s">
        <v>251</v>
      </c>
      <c r="O221" s="537">
        <v>43886</v>
      </c>
      <c r="P221" s="537">
        <v>43949</v>
      </c>
      <c r="Q221" s="537">
        <v>43978</v>
      </c>
      <c r="R221" s="495" t="s">
        <v>2548</v>
      </c>
      <c r="S221" s="491"/>
      <c r="T221" s="536">
        <v>32477.439999999999</v>
      </c>
      <c r="U221" s="536">
        <v>35725.18</v>
      </c>
      <c r="V221" s="1471"/>
      <c r="W221" s="1471"/>
      <c r="X221" s="1471"/>
      <c r="Y221" s="573">
        <v>43979</v>
      </c>
      <c r="Z221" s="536" t="s">
        <v>6895</v>
      </c>
      <c r="AA221" s="537">
        <v>44013</v>
      </c>
      <c r="AB221" s="537">
        <v>44025</v>
      </c>
      <c r="AC221" s="537">
        <v>44742</v>
      </c>
      <c r="AD221" s="537">
        <v>44279</v>
      </c>
      <c r="AE221" s="391">
        <v>44645</v>
      </c>
      <c r="AF221" s="388" t="s">
        <v>7103</v>
      </c>
      <c r="AJ221" s="1944"/>
      <c r="AK221" s="1944"/>
      <c r="AL221" s="1944"/>
      <c r="AM221" s="1944"/>
      <c r="AN221" s="1944"/>
      <c r="AO221" s="1944"/>
      <c r="AP221" s="1944"/>
      <c r="AQ221" s="1944"/>
      <c r="AS221" s="1944"/>
    </row>
    <row r="222" spans="1:45" ht="45">
      <c r="A222" s="1944"/>
      <c r="B222" s="1944"/>
      <c r="C222" s="365">
        <v>43739</v>
      </c>
      <c r="D222" s="1397" t="s">
        <v>6234</v>
      </c>
      <c r="E222" s="3210" t="s">
        <v>58</v>
      </c>
      <c r="F222" s="3210" t="s">
        <v>2684</v>
      </c>
      <c r="G222" s="2517" t="s">
        <v>5763</v>
      </c>
      <c r="H222" s="3210"/>
      <c r="I222" s="3211"/>
      <c r="J222" s="3210"/>
      <c r="K222" s="3210" t="s">
        <v>5764</v>
      </c>
      <c r="L222" s="3210" t="s">
        <v>4247</v>
      </c>
      <c r="M222" s="364">
        <v>37230000</v>
      </c>
      <c r="N222" s="3210" t="s">
        <v>251</v>
      </c>
      <c r="O222" s="365">
        <v>43839</v>
      </c>
      <c r="P222" s="365">
        <v>43894</v>
      </c>
      <c r="Q222" s="365">
        <v>43906</v>
      </c>
      <c r="R222" s="3211" t="s">
        <v>5167</v>
      </c>
      <c r="S222" s="3210"/>
      <c r="T222" s="364">
        <v>27555000</v>
      </c>
      <c r="U222" s="364">
        <v>33341550</v>
      </c>
      <c r="V222" s="1473"/>
      <c r="W222" s="1473"/>
      <c r="X222" s="1473"/>
      <c r="Y222" s="681">
        <v>43906</v>
      </c>
      <c r="Z222" s="1417" t="s">
        <v>6552</v>
      </c>
      <c r="AA222" s="365">
        <v>43941</v>
      </c>
      <c r="AB222" s="365">
        <v>43943</v>
      </c>
      <c r="AC222" s="365">
        <f>AA222+126</f>
        <v>44067</v>
      </c>
      <c r="AD222" s="937">
        <v>44144</v>
      </c>
      <c r="AE222" s="1977" t="s">
        <v>6711</v>
      </c>
      <c r="AF222" s="388" t="s">
        <v>6710</v>
      </c>
      <c r="AJ222" s="1944"/>
      <c r="AK222" s="1944"/>
      <c r="AL222" s="1944"/>
      <c r="AM222" s="1944"/>
      <c r="AN222" s="1944"/>
      <c r="AO222" s="1944"/>
      <c r="AP222" s="1944"/>
      <c r="AQ222" s="1944"/>
      <c r="AS222" s="1944"/>
    </row>
    <row r="223" spans="1:45">
      <c r="A223" s="1944"/>
      <c r="B223" s="1944"/>
      <c r="C223" s="537">
        <v>43833</v>
      </c>
      <c r="D223" s="1373" t="s">
        <v>6245</v>
      </c>
      <c r="E223" s="491" t="s">
        <v>2712</v>
      </c>
      <c r="F223" s="491" t="s">
        <v>2731</v>
      </c>
      <c r="G223" s="571" t="s">
        <v>6262</v>
      </c>
      <c r="H223" s="491"/>
      <c r="I223" s="495"/>
      <c r="J223" s="491"/>
      <c r="K223" s="491" t="s">
        <v>6246</v>
      </c>
      <c r="L223" s="491"/>
      <c r="M223" s="536">
        <v>250000</v>
      </c>
      <c r="N223" s="491" t="s">
        <v>112</v>
      </c>
      <c r="O223" s="537">
        <v>43844</v>
      </c>
      <c r="P223" s="537">
        <v>43853</v>
      </c>
      <c r="Q223" s="537">
        <v>43857</v>
      </c>
      <c r="R223" s="495" t="s">
        <v>6316</v>
      </c>
      <c r="S223" s="491"/>
      <c r="T223" s="536">
        <v>219132.23</v>
      </c>
      <c r="U223" s="536">
        <v>265150</v>
      </c>
      <c r="V223" s="1471"/>
      <c r="W223" s="1471"/>
      <c r="X223" s="1471"/>
      <c r="Y223" s="573">
        <v>43857</v>
      </c>
      <c r="Z223" s="536" t="s">
        <v>6321</v>
      </c>
      <c r="AA223" s="537">
        <v>43885</v>
      </c>
      <c r="AB223" s="537">
        <v>43886</v>
      </c>
      <c r="AC223" s="537">
        <v>43896</v>
      </c>
      <c r="AD223" s="537">
        <v>43941</v>
      </c>
      <c r="AE223" s="1102"/>
      <c r="AJ223" s="1944"/>
      <c r="AK223" s="1944"/>
      <c r="AL223" s="1944"/>
      <c r="AM223" s="1944"/>
      <c r="AN223" s="1944"/>
      <c r="AO223" s="1944"/>
      <c r="AP223" s="1944"/>
      <c r="AQ223" s="1944"/>
      <c r="AS223" s="1944"/>
    </row>
    <row r="224" spans="1:45">
      <c r="A224" s="1944"/>
      <c r="B224" s="1944"/>
      <c r="C224" s="540" t="s">
        <v>239</v>
      </c>
      <c r="D224" s="1357" t="s">
        <v>6247</v>
      </c>
      <c r="E224" s="540" t="s">
        <v>69</v>
      </c>
      <c r="F224" s="540" t="s">
        <v>70</v>
      </c>
      <c r="G224" s="541" t="s">
        <v>6248</v>
      </c>
      <c r="H224" s="540"/>
      <c r="I224" s="1402"/>
      <c r="J224" s="590"/>
      <c r="K224" s="540" t="s">
        <v>42</v>
      </c>
      <c r="L224" s="540"/>
      <c r="M224" s="545">
        <v>150000000</v>
      </c>
      <c r="N224" s="540" t="s">
        <v>251</v>
      </c>
      <c r="O224" s="544">
        <v>43861</v>
      </c>
      <c r="P224" s="544">
        <v>43943</v>
      </c>
      <c r="Q224" s="540"/>
      <c r="R224" s="1402"/>
      <c r="S224" s="540"/>
      <c r="T224" s="545"/>
      <c r="U224" s="545"/>
      <c r="V224" s="1484"/>
      <c r="W224" s="1484"/>
      <c r="X224" s="1484"/>
      <c r="Y224" s="545"/>
      <c r="Z224" s="545"/>
      <c r="AA224" s="540"/>
      <c r="AB224" s="540"/>
      <c r="AC224" s="540"/>
      <c r="AD224" s="540"/>
      <c r="AE224" s="540"/>
      <c r="AJ224" s="1944"/>
      <c r="AK224" s="1944"/>
      <c r="AL224" s="1944"/>
      <c r="AM224" s="1944"/>
      <c r="AN224" s="1944"/>
      <c r="AO224" s="1944"/>
      <c r="AP224" s="1944"/>
      <c r="AQ224" s="1944"/>
      <c r="AS224" s="1944"/>
    </row>
    <row r="225" spans="1:45">
      <c r="A225" s="1944"/>
      <c r="B225" s="1944"/>
      <c r="C225" s="537">
        <v>43796</v>
      </c>
      <c r="D225" s="1373" t="s">
        <v>6263</v>
      </c>
      <c r="E225" s="491" t="s">
        <v>52</v>
      </c>
      <c r="F225" s="491" t="s">
        <v>3089</v>
      </c>
      <c r="G225" s="571" t="s">
        <v>6050</v>
      </c>
      <c r="H225" s="491"/>
      <c r="I225" s="495"/>
      <c r="J225" s="491"/>
      <c r="K225" s="491" t="s">
        <v>332</v>
      </c>
      <c r="L225" s="491"/>
      <c r="M225" s="536">
        <v>2500000</v>
      </c>
      <c r="N225" s="491" t="s">
        <v>216</v>
      </c>
      <c r="O225" s="537">
        <v>43845</v>
      </c>
      <c r="P225" s="537">
        <v>43866</v>
      </c>
      <c r="Q225" s="537">
        <v>43928</v>
      </c>
      <c r="R225" s="495" t="s">
        <v>1388</v>
      </c>
      <c r="S225" s="491"/>
      <c r="T225" s="536">
        <v>1950000</v>
      </c>
      <c r="U225" s="536">
        <v>2359500</v>
      </c>
      <c r="V225" s="1471"/>
      <c r="W225" s="1471"/>
      <c r="X225" s="1471"/>
      <c r="Y225" s="573">
        <v>43929</v>
      </c>
      <c r="Z225" s="923" t="s">
        <v>6680</v>
      </c>
      <c r="AA225" s="537">
        <v>43973</v>
      </c>
      <c r="AB225" s="537">
        <v>43978</v>
      </c>
      <c r="AC225" s="537">
        <f>AA225+120</f>
        <v>44093</v>
      </c>
      <c r="AD225" s="537">
        <v>44753</v>
      </c>
      <c r="AE225" s="1102"/>
      <c r="AJ225" s="1944"/>
      <c r="AK225" s="1944"/>
      <c r="AL225" s="1944"/>
      <c r="AM225" s="1944"/>
      <c r="AN225" s="1944"/>
      <c r="AO225" s="1944"/>
      <c r="AP225" s="1944"/>
      <c r="AQ225" s="1944"/>
      <c r="AS225" s="1944"/>
    </row>
    <row r="226" spans="1:45">
      <c r="A226" s="1944"/>
      <c r="B226" s="1944"/>
      <c r="C226" s="510">
        <v>43843</v>
      </c>
      <c r="D226" s="1382" t="s">
        <v>6266</v>
      </c>
      <c r="E226" s="506" t="s">
        <v>14</v>
      </c>
      <c r="F226" s="506" t="s">
        <v>13</v>
      </c>
      <c r="G226" s="507" t="s">
        <v>6267</v>
      </c>
      <c r="H226" s="506"/>
      <c r="I226" s="548"/>
      <c r="J226" s="506"/>
      <c r="K226" s="506" t="s">
        <v>4268</v>
      </c>
      <c r="L226" s="506"/>
      <c r="M226" s="511">
        <v>900000</v>
      </c>
      <c r="N226" s="506" t="s">
        <v>112</v>
      </c>
      <c r="O226" s="510">
        <v>43845</v>
      </c>
      <c r="P226" s="510">
        <v>43852</v>
      </c>
      <c r="Q226" s="506"/>
      <c r="R226" s="1906" t="s">
        <v>6472</v>
      </c>
      <c r="S226" s="1985" t="s">
        <v>6473</v>
      </c>
      <c r="T226" s="865"/>
      <c r="U226" s="1902" t="s">
        <v>6330</v>
      </c>
      <c r="V226" s="1470"/>
      <c r="W226" s="1470"/>
      <c r="X226" s="1470"/>
      <c r="Y226" s="511"/>
      <c r="Z226" s="511"/>
      <c r="AA226" s="506"/>
      <c r="AB226" s="510">
        <v>43858</v>
      </c>
      <c r="AC226" s="506"/>
      <c r="AD226" s="506"/>
      <c r="AE226" s="506"/>
      <c r="AJ226" s="1944"/>
      <c r="AK226" s="1944"/>
      <c r="AL226" s="1944"/>
      <c r="AM226" s="1944"/>
      <c r="AN226" s="1944"/>
      <c r="AO226" s="1944"/>
      <c r="AP226" s="1944"/>
      <c r="AQ226" s="1944"/>
      <c r="AS226" s="1944"/>
    </row>
    <row r="227" spans="1:45" s="390" customFormat="1">
      <c r="C227" s="537">
        <v>43745</v>
      </c>
      <c r="D227" s="1373" t="s">
        <v>6269</v>
      </c>
      <c r="E227" s="491" t="s">
        <v>2434</v>
      </c>
      <c r="F227" s="491" t="s">
        <v>219</v>
      </c>
      <c r="G227" s="571" t="s">
        <v>5794</v>
      </c>
      <c r="H227" s="491"/>
      <c r="I227" s="495"/>
      <c r="J227" s="491" t="s">
        <v>3271</v>
      </c>
      <c r="K227" s="491" t="s">
        <v>3271</v>
      </c>
      <c r="L227" s="536"/>
      <c r="M227" s="536">
        <v>900000</v>
      </c>
      <c r="N227" s="491" t="s">
        <v>112</v>
      </c>
      <c r="O227" s="537">
        <v>43851</v>
      </c>
      <c r="P227" s="537">
        <v>43861</v>
      </c>
      <c r="Q227" s="537">
        <v>43901</v>
      </c>
      <c r="R227" s="495" t="s">
        <v>6179</v>
      </c>
      <c r="S227" s="491"/>
      <c r="T227" s="536">
        <v>641717.05000000005</v>
      </c>
      <c r="U227" s="536">
        <v>776477.63</v>
      </c>
      <c r="V227" s="1471"/>
      <c r="W227" s="1471"/>
      <c r="X227" s="1471"/>
      <c r="Y227" s="573">
        <v>43902</v>
      </c>
      <c r="Z227" s="536" t="s">
        <v>6542</v>
      </c>
      <c r="AA227" s="537">
        <v>43916</v>
      </c>
      <c r="AB227" s="537">
        <v>43917</v>
      </c>
      <c r="AC227" s="537">
        <f>AA227+84</f>
        <v>44000</v>
      </c>
      <c r="AD227" s="537">
        <v>44074</v>
      </c>
      <c r="AE227" s="1102"/>
      <c r="AF227" s="360"/>
      <c r="AG227" s="360"/>
      <c r="AH227" s="360"/>
      <c r="AI227" s="360"/>
      <c r="AR227" s="360"/>
    </row>
    <row r="228" spans="1:45">
      <c r="A228" s="1944"/>
      <c r="B228" s="1944"/>
      <c r="C228" s="537">
        <v>43840</v>
      </c>
      <c r="D228" s="1373" t="s">
        <v>6268</v>
      </c>
      <c r="E228" s="491" t="s">
        <v>2434</v>
      </c>
      <c r="F228" s="491" t="s">
        <v>219</v>
      </c>
      <c r="G228" s="571" t="s">
        <v>6270</v>
      </c>
      <c r="H228" s="491"/>
      <c r="I228" s="495"/>
      <c r="J228" s="491"/>
      <c r="K228" s="491" t="s">
        <v>642</v>
      </c>
      <c r="L228" s="536"/>
      <c r="M228" s="536">
        <v>7960000</v>
      </c>
      <c r="N228" s="491" t="s">
        <v>251</v>
      </c>
      <c r="O228" s="537">
        <v>43879</v>
      </c>
      <c r="P228" s="537">
        <v>43910</v>
      </c>
      <c r="Q228" s="537">
        <v>43921</v>
      </c>
      <c r="R228" s="495" t="s">
        <v>459</v>
      </c>
      <c r="S228" s="491"/>
      <c r="T228" s="536">
        <v>7941600</v>
      </c>
      <c r="U228" s="536">
        <v>9609336</v>
      </c>
      <c r="V228" s="1471"/>
      <c r="W228" s="1471"/>
      <c r="X228" s="1471"/>
      <c r="Y228" s="573">
        <v>43923</v>
      </c>
      <c r="Z228" s="536" t="s">
        <v>6644</v>
      </c>
      <c r="AA228" s="537">
        <v>44006</v>
      </c>
      <c r="AB228" s="537">
        <v>44007</v>
      </c>
      <c r="AC228" s="537">
        <v>44735</v>
      </c>
      <c r="AD228" s="537">
        <v>44285</v>
      </c>
      <c r="AE228" s="537">
        <v>44637</v>
      </c>
      <c r="AF228" s="388" t="s">
        <v>4976</v>
      </c>
      <c r="AJ228" s="1944"/>
      <c r="AK228" s="1944"/>
      <c r="AL228" s="1944"/>
      <c r="AM228" s="1944"/>
      <c r="AN228" s="1944"/>
      <c r="AO228" s="1944"/>
      <c r="AP228" s="1944"/>
      <c r="AQ228" s="1944"/>
      <c r="AS228" s="1944"/>
    </row>
    <row r="229" spans="1:45" ht="15.75" thickBot="1">
      <c r="A229" s="1944"/>
      <c r="B229" s="1944"/>
      <c r="C229" s="464">
        <v>43740</v>
      </c>
      <c r="D229" s="1372" t="s">
        <v>6288</v>
      </c>
      <c r="E229" s="406" t="s">
        <v>2434</v>
      </c>
      <c r="F229" s="406" t="s">
        <v>219</v>
      </c>
      <c r="G229" s="462" t="s">
        <v>5773</v>
      </c>
      <c r="H229" s="406"/>
      <c r="I229" s="1425"/>
      <c r="J229" s="1437"/>
      <c r="K229" s="406" t="s">
        <v>642</v>
      </c>
      <c r="L229" s="406"/>
      <c r="M229" s="465">
        <v>4382693</v>
      </c>
      <c r="N229" s="406" t="s">
        <v>251</v>
      </c>
      <c r="O229" s="464">
        <v>43941</v>
      </c>
      <c r="P229" s="464">
        <v>43990</v>
      </c>
      <c r="Q229" s="406"/>
      <c r="R229" s="1425"/>
      <c r="S229" s="406"/>
      <c r="T229" s="465"/>
      <c r="U229" s="465"/>
      <c r="V229" s="1490"/>
      <c r="W229" s="1490"/>
      <c r="X229" s="1490"/>
      <c r="Y229" s="465"/>
      <c r="Z229" s="465"/>
      <c r="AA229" s="406"/>
      <c r="AB229" s="406"/>
      <c r="AC229" s="406"/>
      <c r="AD229" s="406"/>
      <c r="AE229" s="406"/>
      <c r="AJ229" s="1944"/>
      <c r="AK229" s="1944"/>
      <c r="AL229" s="1944"/>
      <c r="AM229" s="1944"/>
      <c r="AN229" s="1944"/>
      <c r="AO229" s="1944"/>
      <c r="AP229" s="1944"/>
      <c r="AQ229" s="1944"/>
      <c r="AS229" s="1944"/>
    </row>
    <row r="230" spans="1:45" ht="30.75" thickTop="1">
      <c r="A230" s="1944"/>
      <c r="B230" s="1944"/>
      <c r="C230" s="474">
        <v>43819</v>
      </c>
      <c r="D230" s="1383" t="s">
        <v>6289</v>
      </c>
      <c r="E230" s="453" t="s">
        <v>9694</v>
      </c>
      <c r="F230" s="453" t="s">
        <v>2684</v>
      </c>
      <c r="G230" s="473" t="s">
        <v>5667</v>
      </c>
      <c r="H230" s="453">
        <v>1</v>
      </c>
      <c r="I230" s="1420" t="s">
        <v>5668</v>
      </c>
      <c r="J230" s="453"/>
      <c r="K230" s="453" t="s">
        <v>2665</v>
      </c>
      <c r="L230" s="453" t="s">
        <v>5672</v>
      </c>
      <c r="M230" s="457">
        <v>3245000</v>
      </c>
      <c r="N230" s="453" t="s">
        <v>251</v>
      </c>
      <c r="O230" s="474">
        <v>43859</v>
      </c>
      <c r="P230" s="474">
        <v>43902</v>
      </c>
      <c r="Q230" s="474">
        <v>43971</v>
      </c>
      <c r="R230" s="1420" t="s">
        <v>2780</v>
      </c>
      <c r="S230" s="453"/>
      <c r="T230" s="457">
        <v>2861903</v>
      </c>
      <c r="U230" s="457">
        <v>3462902.63</v>
      </c>
      <c r="V230" s="1474"/>
      <c r="W230" s="1474"/>
      <c r="X230" s="1474"/>
      <c r="Y230" s="570">
        <v>43971</v>
      </c>
      <c r="Z230" s="1387" t="s">
        <v>6858</v>
      </c>
      <c r="AA230" s="474">
        <v>44013</v>
      </c>
      <c r="AB230" s="474">
        <v>44025</v>
      </c>
      <c r="AC230" s="474">
        <f>AA230+28</f>
        <v>44041</v>
      </c>
      <c r="AD230" s="474">
        <v>44116</v>
      </c>
      <c r="AE230" s="1391" t="s">
        <v>1875</v>
      </c>
      <c r="AJ230" s="1944"/>
      <c r="AK230" s="1944"/>
      <c r="AL230" s="1944"/>
      <c r="AM230" s="1944"/>
      <c r="AN230" s="1944"/>
      <c r="AO230" s="1944"/>
      <c r="AP230" s="1944"/>
      <c r="AQ230" s="1944"/>
      <c r="AS230" s="1944"/>
    </row>
    <row r="231" spans="1:45" ht="15.75" thickBot="1">
      <c r="A231" s="1944"/>
      <c r="B231" s="1944"/>
      <c r="C231" s="1414">
        <v>43819</v>
      </c>
      <c r="D231" s="1411" t="s">
        <v>6289</v>
      </c>
      <c r="E231" s="1410" t="s">
        <v>58</v>
      </c>
      <c r="F231" s="1410" t="s">
        <v>2684</v>
      </c>
      <c r="G231" s="1412" t="s">
        <v>5667</v>
      </c>
      <c r="H231" s="1410">
        <v>2</v>
      </c>
      <c r="I231" s="1430" t="s">
        <v>5669</v>
      </c>
      <c r="J231" s="1410"/>
      <c r="K231" s="1410" t="s">
        <v>2665</v>
      </c>
      <c r="L231" s="1410" t="s">
        <v>5673</v>
      </c>
      <c r="M231" s="1413">
        <v>1730000</v>
      </c>
      <c r="N231" s="1410" t="s">
        <v>251</v>
      </c>
      <c r="O231" s="1414">
        <v>43859</v>
      </c>
      <c r="P231" s="1414">
        <v>43902</v>
      </c>
      <c r="Q231" s="1410"/>
      <c r="R231" s="1710" t="s">
        <v>304</v>
      </c>
      <c r="S231" s="1929" t="s">
        <v>7219</v>
      </c>
      <c r="T231" s="1413"/>
      <c r="U231" s="1413"/>
      <c r="V231" s="1479"/>
      <c r="W231" s="1479"/>
      <c r="X231" s="1479"/>
      <c r="Y231" s="1413"/>
      <c r="Z231" s="1413"/>
      <c r="AA231" s="1410"/>
      <c r="AB231" s="1414">
        <v>43917</v>
      </c>
      <c r="AC231" s="1430" t="s">
        <v>6600</v>
      </c>
      <c r="AD231" s="1410"/>
      <c r="AE231" s="1410"/>
      <c r="AJ231" s="1944"/>
      <c r="AK231" s="1944"/>
      <c r="AL231" s="1944"/>
      <c r="AM231" s="1944"/>
      <c r="AN231" s="1944"/>
      <c r="AO231" s="1944"/>
      <c r="AP231" s="1944"/>
      <c r="AQ231" s="1944"/>
      <c r="AS231" s="1944"/>
    </row>
    <row r="232" spans="1:45" ht="30.75" thickTop="1">
      <c r="A232" s="1944"/>
      <c r="B232" s="1944"/>
      <c r="C232" s="3210" t="s">
        <v>3585</v>
      </c>
      <c r="D232" s="1397" t="s">
        <v>6290</v>
      </c>
      <c r="E232" s="3210" t="s">
        <v>58</v>
      </c>
      <c r="F232" s="3210" t="s">
        <v>2684</v>
      </c>
      <c r="G232" s="175" t="s">
        <v>6291</v>
      </c>
      <c r="H232" s="3210"/>
      <c r="I232" s="3211"/>
      <c r="J232" s="3210"/>
      <c r="K232" s="3210" t="s">
        <v>737</v>
      </c>
      <c r="L232" s="3210" t="s">
        <v>5924</v>
      </c>
      <c r="M232" s="364">
        <v>1750000</v>
      </c>
      <c r="N232" s="3210" t="s">
        <v>112</v>
      </c>
      <c r="O232" s="365">
        <v>43850</v>
      </c>
      <c r="P232" s="365">
        <v>43858</v>
      </c>
      <c r="Q232" s="365">
        <v>43878</v>
      </c>
      <c r="R232" s="3211" t="s">
        <v>1728</v>
      </c>
      <c r="S232" s="3210"/>
      <c r="T232" s="364">
        <v>1749999</v>
      </c>
      <c r="U232" s="364">
        <v>2117498.79</v>
      </c>
      <c r="V232" s="1473"/>
      <c r="W232" s="1473"/>
      <c r="X232" s="1473"/>
      <c r="Y232" s="681">
        <v>43878</v>
      </c>
      <c r="Z232" s="1417" t="s">
        <v>6416</v>
      </c>
      <c r="AA232" s="365">
        <v>43899</v>
      </c>
      <c r="AB232" s="365">
        <v>43900</v>
      </c>
      <c r="AC232" s="365">
        <f>AA232+30</f>
        <v>43929</v>
      </c>
      <c r="AD232" s="365">
        <v>43983</v>
      </c>
      <c r="AE232" s="451" t="s">
        <v>1875</v>
      </c>
      <c r="AJ232" s="1944"/>
      <c r="AK232" s="1944"/>
      <c r="AL232" s="1944"/>
      <c r="AM232" s="1944"/>
      <c r="AN232" s="1944"/>
      <c r="AO232" s="1944"/>
      <c r="AP232" s="1944"/>
      <c r="AQ232" s="1944"/>
      <c r="AR232" s="1944"/>
      <c r="AS232" s="1944"/>
    </row>
    <row r="233" spans="1:45" ht="60">
      <c r="A233" s="1944"/>
      <c r="B233" s="1944"/>
      <c r="C233" s="540" t="s">
        <v>3585</v>
      </c>
      <c r="D233" s="1357" t="s">
        <v>6294</v>
      </c>
      <c r="E233" s="540" t="s">
        <v>58</v>
      </c>
      <c r="F233" s="540" t="s">
        <v>4969</v>
      </c>
      <c r="G233" s="1948" t="s">
        <v>6296</v>
      </c>
      <c r="H233" s="540"/>
      <c r="I233" s="1402"/>
      <c r="J233" s="540"/>
      <c r="K233" s="1562" t="s">
        <v>6295</v>
      </c>
      <c r="L233" s="540" t="s">
        <v>6297</v>
      </c>
      <c r="M233" s="545">
        <v>431388000</v>
      </c>
      <c r="N233" s="540" t="s">
        <v>251</v>
      </c>
      <c r="O233" s="544">
        <v>43895</v>
      </c>
      <c r="P233" s="544">
        <v>43930</v>
      </c>
      <c r="Q233" s="544">
        <v>43990</v>
      </c>
      <c r="R233" s="1402" t="s">
        <v>4483</v>
      </c>
      <c r="S233" s="540"/>
      <c r="T233" s="545">
        <v>415080820</v>
      </c>
      <c r="U233" s="545">
        <f>T233*1.21</f>
        <v>502247792.19999999</v>
      </c>
      <c r="V233" s="1472"/>
      <c r="W233" s="1472"/>
      <c r="X233" s="1472"/>
      <c r="Y233" s="1385">
        <v>43991</v>
      </c>
      <c r="Z233" s="1386" t="s">
        <v>6937</v>
      </c>
      <c r="AA233" s="540"/>
      <c r="AB233" s="540"/>
      <c r="AC233" s="540"/>
      <c r="AD233" s="540"/>
      <c r="AE233" s="540"/>
      <c r="AJ233" s="1944"/>
      <c r="AK233" s="1944"/>
      <c r="AL233" s="1944"/>
      <c r="AM233" s="1944"/>
      <c r="AN233" s="1944"/>
      <c r="AO233" s="1944"/>
      <c r="AP233" s="1944"/>
      <c r="AQ233" s="1944"/>
      <c r="AR233" s="1944"/>
      <c r="AS233" s="1944"/>
    </row>
    <row r="234" spans="1:45" ht="30">
      <c r="A234" s="1944"/>
      <c r="B234" s="1944"/>
      <c r="C234" s="537">
        <v>43721</v>
      </c>
      <c r="D234" s="1373" t="s">
        <v>6302</v>
      </c>
      <c r="E234" s="491" t="s">
        <v>69</v>
      </c>
      <c r="F234" s="491" t="s">
        <v>70</v>
      </c>
      <c r="G234" s="571" t="s">
        <v>5620</v>
      </c>
      <c r="H234" s="491"/>
      <c r="I234" s="495"/>
      <c r="J234" s="491"/>
      <c r="K234" s="491" t="s">
        <v>3870</v>
      </c>
      <c r="L234" s="491"/>
      <c r="M234" s="536">
        <v>1440000</v>
      </c>
      <c r="N234" s="491" t="s">
        <v>112</v>
      </c>
      <c r="O234" s="537">
        <v>43880</v>
      </c>
      <c r="P234" s="537">
        <v>43889</v>
      </c>
      <c r="Q234" s="537">
        <v>43906</v>
      </c>
      <c r="R234" s="495" t="s">
        <v>6242</v>
      </c>
      <c r="S234" s="491"/>
      <c r="T234" s="536">
        <v>1440000</v>
      </c>
      <c r="U234" s="536">
        <v>1742400</v>
      </c>
      <c r="V234" s="1471"/>
      <c r="W234" s="1471"/>
      <c r="X234" s="1471"/>
      <c r="Y234" s="573">
        <v>43906</v>
      </c>
      <c r="Z234" s="1375" t="s">
        <v>6550</v>
      </c>
      <c r="AA234" s="537">
        <v>43942</v>
      </c>
      <c r="AB234" s="537">
        <v>43945</v>
      </c>
      <c r="AC234" s="537">
        <v>46132</v>
      </c>
      <c r="AD234" s="537">
        <v>44279</v>
      </c>
      <c r="AE234" s="537">
        <v>44645</v>
      </c>
      <c r="AF234" s="388">
        <v>2022</v>
      </c>
      <c r="AG234" s="388">
        <v>2023</v>
      </c>
      <c r="AH234" s="388">
        <v>2024</v>
      </c>
      <c r="AI234" s="388">
        <v>2025</v>
      </c>
      <c r="AJ234" s="1257" t="s">
        <v>6726</v>
      </c>
      <c r="AK234" s="1944"/>
      <c r="AL234" s="1944"/>
      <c r="AM234" s="1944"/>
      <c r="AN234" s="1944"/>
      <c r="AO234" s="1944"/>
      <c r="AP234" s="1944"/>
      <c r="AQ234" s="1944"/>
      <c r="AR234" s="1944"/>
      <c r="AS234" s="1944"/>
    </row>
    <row r="235" spans="1:45">
      <c r="A235" s="1944"/>
      <c r="B235" s="1944"/>
      <c r="C235" s="537">
        <v>43797</v>
      </c>
      <c r="D235" s="1373" t="s">
        <v>6304</v>
      </c>
      <c r="E235" s="491" t="s">
        <v>1032</v>
      </c>
      <c r="F235" s="491" t="s">
        <v>361</v>
      </c>
      <c r="G235" s="571" t="s">
        <v>6305</v>
      </c>
      <c r="H235" s="491"/>
      <c r="I235" s="495"/>
      <c r="J235" s="491" t="s">
        <v>1865</v>
      </c>
      <c r="K235" s="491" t="s">
        <v>1865</v>
      </c>
      <c r="L235" s="536"/>
      <c r="M235" s="536">
        <v>6500000</v>
      </c>
      <c r="N235" s="491" t="s">
        <v>251</v>
      </c>
      <c r="O235" s="537">
        <v>43859</v>
      </c>
      <c r="P235" s="537">
        <v>43907</v>
      </c>
      <c r="Q235" s="537">
        <v>43937</v>
      </c>
      <c r="R235" s="495" t="s">
        <v>288</v>
      </c>
      <c r="S235" s="536"/>
      <c r="T235" s="536">
        <f>524327*4</f>
        <v>2097308</v>
      </c>
      <c r="U235" s="536">
        <f>634435*4</f>
        <v>2537740</v>
      </c>
      <c r="V235" s="536"/>
      <c r="W235" s="491"/>
      <c r="X235" s="491"/>
      <c r="Y235" s="537">
        <v>43937</v>
      </c>
      <c r="Z235" s="491" t="s">
        <v>6701</v>
      </c>
      <c r="AA235" s="537">
        <v>43965</v>
      </c>
      <c r="AB235" s="537">
        <v>43969</v>
      </c>
      <c r="AC235" s="537">
        <v>45425</v>
      </c>
      <c r="AD235" s="537">
        <v>44278</v>
      </c>
      <c r="AE235" s="537">
        <v>44643</v>
      </c>
      <c r="AF235" s="388">
        <v>2022</v>
      </c>
      <c r="AG235" s="388">
        <v>2023</v>
      </c>
      <c r="AH235" s="388" t="s">
        <v>6811</v>
      </c>
      <c r="AJ235" s="1944"/>
      <c r="AK235" s="1944"/>
      <c r="AL235" s="1944"/>
      <c r="AM235" s="1944"/>
      <c r="AN235" s="1944"/>
      <c r="AO235" s="1944"/>
      <c r="AP235" s="1944"/>
      <c r="AQ235" s="1944"/>
      <c r="AR235" s="1944"/>
      <c r="AS235" s="1944"/>
    </row>
    <row r="236" spans="1:45" ht="45">
      <c r="A236" s="1944"/>
      <c r="B236" s="1944"/>
      <c r="C236" s="537">
        <v>43840</v>
      </c>
      <c r="D236" s="1373" t="s">
        <v>6306</v>
      </c>
      <c r="E236" s="491" t="s">
        <v>58</v>
      </c>
      <c r="F236" s="491" t="s">
        <v>2684</v>
      </c>
      <c r="G236" s="571" t="s">
        <v>6307</v>
      </c>
      <c r="H236" s="491"/>
      <c r="I236" s="495"/>
      <c r="J236" s="491"/>
      <c r="K236" s="491" t="s">
        <v>2094</v>
      </c>
      <c r="L236" s="491" t="s">
        <v>6308</v>
      </c>
      <c r="M236" s="536">
        <v>1520000</v>
      </c>
      <c r="N236" s="491" t="s">
        <v>112</v>
      </c>
      <c r="O236" s="537">
        <v>43872</v>
      </c>
      <c r="P236" s="537">
        <v>43882</v>
      </c>
      <c r="Q236" s="537">
        <v>43906</v>
      </c>
      <c r="R236" s="495" t="s">
        <v>3479</v>
      </c>
      <c r="S236" s="491"/>
      <c r="T236" s="536">
        <v>1469320</v>
      </c>
      <c r="U236" s="536">
        <v>1777877.2</v>
      </c>
      <c r="V236" s="1471"/>
      <c r="W236" s="1471"/>
      <c r="X236" s="1471"/>
      <c r="Y236" s="573">
        <v>43906</v>
      </c>
      <c r="Z236" s="1375" t="s">
        <v>6551</v>
      </c>
      <c r="AA236" s="537">
        <v>43929</v>
      </c>
      <c r="AB236" s="537">
        <v>43936</v>
      </c>
      <c r="AC236" s="537">
        <f>AA236+30</f>
        <v>43959</v>
      </c>
      <c r="AD236" s="537">
        <v>44011</v>
      </c>
      <c r="AE236" s="1909" t="s">
        <v>6331</v>
      </c>
      <c r="AJ236" s="1944"/>
      <c r="AK236" s="1944"/>
      <c r="AL236" s="1944"/>
      <c r="AM236" s="1944"/>
      <c r="AN236" s="1944"/>
      <c r="AO236" s="1944"/>
      <c r="AP236" s="1944"/>
      <c r="AQ236" s="1944"/>
      <c r="AR236" s="1944"/>
      <c r="AS236" s="1944"/>
    </row>
    <row r="237" spans="1:45">
      <c r="A237" s="1944"/>
      <c r="B237" s="1944"/>
      <c r="C237" s="537" t="s">
        <v>3585</v>
      </c>
      <c r="D237" s="1373" t="s">
        <v>6323</v>
      </c>
      <c r="E237" s="491" t="s">
        <v>14</v>
      </c>
      <c r="F237" s="491" t="s">
        <v>13</v>
      </c>
      <c r="G237" s="571" t="s">
        <v>6267</v>
      </c>
      <c r="H237" s="491"/>
      <c r="I237" s="495"/>
      <c r="J237" s="491"/>
      <c r="K237" s="491" t="s">
        <v>4268</v>
      </c>
      <c r="L237" s="491"/>
      <c r="M237" s="536">
        <v>1230000</v>
      </c>
      <c r="N237" s="491" t="s">
        <v>112</v>
      </c>
      <c r="O237" s="537">
        <v>43859</v>
      </c>
      <c r="P237" s="537">
        <v>43866</v>
      </c>
      <c r="Q237" s="537">
        <v>43866</v>
      </c>
      <c r="R237" s="495" t="s">
        <v>6089</v>
      </c>
      <c r="S237" s="491"/>
      <c r="T237" s="536">
        <v>1230091</v>
      </c>
      <c r="U237" s="536">
        <f>T237*1.21</f>
        <v>1488410.1099999999</v>
      </c>
      <c r="V237" s="1471"/>
      <c r="W237" s="1471"/>
      <c r="X237" s="1471"/>
      <c r="Y237" s="573">
        <v>43866</v>
      </c>
      <c r="Z237" s="536" t="s">
        <v>6383</v>
      </c>
      <c r="AA237" s="537">
        <v>43875</v>
      </c>
      <c r="AB237" s="537">
        <v>43875</v>
      </c>
      <c r="AC237" s="537">
        <v>44242</v>
      </c>
      <c r="AD237" s="537">
        <v>43941</v>
      </c>
      <c r="AE237" s="1102"/>
      <c r="AJ237" s="1944"/>
      <c r="AK237" s="1944"/>
      <c r="AL237" s="1944"/>
      <c r="AM237" s="1944"/>
      <c r="AN237" s="1944"/>
      <c r="AO237" s="1944"/>
      <c r="AP237" s="1944"/>
      <c r="AQ237" s="1944"/>
      <c r="AR237" s="1944"/>
      <c r="AS237" s="1944"/>
    </row>
    <row r="238" spans="1:45" ht="30">
      <c r="A238" s="1944"/>
      <c r="B238" s="1944"/>
      <c r="C238" s="537">
        <v>43857</v>
      </c>
      <c r="D238" s="1373" t="s">
        <v>6327</v>
      </c>
      <c r="E238" s="491" t="s">
        <v>58</v>
      </c>
      <c r="F238" s="491" t="s">
        <v>2684</v>
      </c>
      <c r="G238" s="571" t="s">
        <v>6391</v>
      </c>
      <c r="H238" s="491">
        <v>1</v>
      </c>
      <c r="I238" s="495" t="s">
        <v>6754</v>
      </c>
      <c r="J238" s="590"/>
      <c r="K238" s="491" t="s">
        <v>462</v>
      </c>
      <c r="L238" s="491" t="s">
        <v>4223</v>
      </c>
      <c r="M238" s="536">
        <v>2223853</v>
      </c>
      <c r="N238" s="491" t="s">
        <v>251</v>
      </c>
      <c r="O238" s="537">
        <v>43866</v>
      </c>
      <c r="P238" s="537">
        <v>43899</v>
      </c>
      <c r="Q238" s="537">
        <v>43951</v>
      </c>
      <c r="R238" s="495" t="s">
        <v>5914</v>
      </c>
      <c r="S238" s="491"/>
      <c r="T238" s="536">
        <v>1999899.64</v>
      </c>
      <c r="U238" s="536">
        <f>T238*1.21</f>
        <v>2419878.5644</v>
      </c>
      <c r="V238" s="1484"/>
      <c r="W238" s="1484"/>
      <c r="X238" s="1484"/>
      <c r="Y238" s="573">
        <v>43951</v>
      </c>
      <c r="Z238" s="1375" t="s">
        <v>6764</v>
      </c>
      <c r="AA238" s="537">
        <v>43976</v>
      </c>
      <c r="AB238" s="537">
        <v>43983</v>
      </c>
      <c r="AC238" s="537">
        <v>44032</v>
      </c>
      <c r="AD238" s="416">
        <v>44082</v>
      </c>
      <c r="AE238" s="422" t="s">
        <v>1875</v>
      </c>
      <c r="AJ238" s="1944"/>
      <c r="AK238" s="1944"/>
      <c r="AL238" s="1944"/>
      <c r="AM238" s="1944"/>
      <c r="AN238" s="1944"/>
      <c r="AO238" s="1944"/>
      <c r="AP238" s="1944"/>
      <c r="AQ238" s="1944"/>
      <c r="AR238" s="1944"/>
      <c r="AS238" s="1944"/>
    </row>
    <row r="239" spans="1:45" ht="30">
      <c r="A239" s="1944"/>
      <c r="B239" s="1944"/>
      <c r="C239" s="537">
        <v>43857</v>
      </c>
      <c r="D239" s="1373" t="s">
        <v>6327</v>
      </c>
      <c r="E239" s="491" t="s">
        <v>58</v>
      </c>
      <c r="F239" s="491" t="s">
        <v>2684</v>
      </c>
      <c r="G239" s="571" t="s">
        <v>6391</v>
      </c>
      <c r="H239" s="411">
        <v>2</v>
      </c>
      <c r="I239" s="630" t="s">
        <v>6755</v>
      </c>
      <c r="J239" s="411"/>
      <c r="K239" s="491" t="s">
        <v>462</v>
      </c>
      <c r="L239" s="411" t="s">
        <v>6758</v>
      </c>
      <c r="M239" s="417">
        <v>441223</v>
      </c>
      <c r="N239" s="491" t="s">
        <v>251</v>
      </c>
      <c r="O239" s="537">
        <v>43866</v>
      </c>
      <c r="P239" s="537">
        <v>43899</v>
      </c>
      <c r="Q239" s="416">
        <v>44028</v>
      </c>
      <c r="R239" s="630" t="s">
        <v>5913</v>
      </c>
      <c r="S239" s="411"/>
      <c r="T239" s="417">
        <v>436100</v>
      </c>
      <c r="U239" s="417">
        <f>T239*1.21</f>
        <v>527681</v>
      </c>
      <c r="V239" s="1480"/>
      <c r="W239" s="1480"/>
      <c r="X239" s="1480"/>
      <c r="Y239" s="513">
        <v>44029</v>
      </c>
      <c r="Z239" s="1553" t="s">
        <v>7172</v>
      </c>
      <c r="AA239" s="416">
        <v>44050</v>
      </c>
      <c r="AB239" s="416">
        <v>44055</v>
      </c>
      <c r="AC239" s="416">
        <f>AA239+56</f>
        <v>44106</v>
      </c>
      <c r="AD239" s="416">
        <v>44165</v>
      </c>
      <c r="AE239" s="422" t="s">
        <v>1875</v>
      </c>
      <c r="AJ239" s="1944"/>
      <c r="AK239" s="1944"/>
      <c r="AL239" s="1944"/>
      <c r="AM239" s="1944"/>
      <c r="AN239" s="1944"/>
      <c r="AO239" s="1944"/>
      <c r="AP239" s="1944"/>
      <c r="AQ239" s="1944"/>
      <c r="AR239" s="1944"/>
      <c r="AS239" s="1944"/>
    </row>
    <row r="240" spans="1:45" ht="30">
      <c r="A240" s="1944"/>
      <c r="B240" s="1944"/>
      <c r="C240" s="537">
        <v>43857</v>
      </c>
      <c r="D240" s="1373" t="s">
        <v>6327</v>
      </c>
      <c r="E240" s="491" t="s">
        <v>58</v>
      </c>
      <c r="F240" s="491" t="s">
        <v>2684</v>
      </c>
      <c r="G240" s="571" t="s">
        <v>6391</v>
      </c>
      <c r="H240" s="411">
        <v>3</v>
      </c>
      <c r="I240" s="630" t="s">
        <v>5086</v>
      </c>
      <c r="J240" s="1437"/>
      <c r="K240" s="491" t="s">
        <v>462</v>
      </c>
      <c r="L240" s="411" t="s">
        <v>4228</v>
      </c>
      <c r="M240" s="417">
        <v>168198</v>
      </c>
      <c r="N240" s="491" t="s">
        <v>251</v>
      </c>
      <c r="O240" s="537">
        <v>43866</v>
      </c>
      <c r="P240" s="537">
        <v>43899</v>
      </c>
      <c r="Q240" s="416">
        <v>43951</v>
      </c>
      <c r="R240" s="630" t="s">
        <v>6756</v>
      </c>
      <c r="S240" s="411"/>
      <c r="T240" s="417">
        <v>168114</v>
      </c>
      <c r="U240" s="417">
        <f>T240*1.21</f>
        <v>203417.94</v>
      </c>
      <c r="V240" s="1490"/>
      <c r="W240" s="1490"/>
      <c r="X240" s="1490"/>
      <c r="Y240" s="513">
        <v>43951</v>
      </c>
      <c r="Z240" s="1553" t="s">
        <v>6765</v>
      </c>
      <c r="AA240" s="416">
        <v>43976</v>
      </c>
      <c r="AB240" s="416">
        <v>43983</v>
      </c>
      <c r="AC240" s="416">
        <f>AA240+5</f>
        <v>43981</v>
      </c>
      <c r="AD240" s="416">
        <v>44089</v>
      </c>
      <c r="AE240" s="422" t="s">
        <v>1875</v>
      </c>
      <c r="AJ240" s="1944"/>
      <c r="AK240" s="1944"/>
      <c r="AL240" s="1944"/>
      <c r="AM240" s="1944"/>
      <c r="AN240" s="1944"/>
      <c r="AO240" s="1944"/>
      <c r="AP240" s="1944"/>
      <c r="AQ240" s="1944"/>
      <c r="AR240" s="1944"/>
      <c r="AS240" s="1944"/>
    </row>
    <row r="241" spans="1:45" ht="30">
      <c r="A241" s="1944"/>
      <c r="B241" s="1944"/>
      <c r="C241" s="537">
        <v>43857</v>
      </c>
      <c r="D241" s="1373" t="s">
        <v>6327</v>
      </c>
      <c r="E241" s="491" t="s">
        <v>58</v>
      </c>
      <c r="F241" s="491" t="s">
        <v>2684</v>
      </c>
      <c r="G241" s="571" t="s">
        <v>6391</v>
      </c>
      <c r="H241" s="411">
        <v>4</v>
      </c>
      <c r="I241" s="630" t="s">
        <v>7586</v>
      </c>
      <c r="J241" s="1437"/>
      <c r="K241" s="491" t="s">
        <v>462</v>
      </c>
      <c r="L241" s="411" t="s">
        <v>6757</v>
      </c>
      <c r="M241" s="417">
        <v>120100</v>
      </c>
      <c r="N241" s="491" t="s">
        <v>251</v>
      </c>
      <c r="O241" s="537">
        <v>43866</v>
      </c>
      <c r="P241" s="537">
        <v>43899</v>
      </c>
      <c r="Q241" s="416">
        <v>43951</v>
      </c>
      <c r="R241" s="630" t="s">
        <v>5913</v>
      </c>
      <c r="S241" s="411"/>
      <c r="T241" s="417">
        <v>120100</v>
      </c>
      <c r="U241" s="417">
        <f>T241*1.21</f>
        <v>145321</v>
      </c>
      <c r="V241" s="1490"/>
      <c r="W241" s="1490"/>
      <c r="X241" s="1490"/>
      <c r="Y241" s="513">
        <v>43951</v>
      </c>
      <c r="Z241" s="1553" t="s">
        <v>6766</v>
      </c>
      <c r="AA241" s="416">
        <v>43976</v>
      </c>
      <c r="AB241" s="416">
        <v>43983</v>
      </c>
      <c r="AC241" s="416">
        <f>AA241+56</f>
        <v>44032</v>
      </c>
      <c r="AD241" s="416">
        <v>44089</v>
      </c>
      <c r="AE241" s="422" t="s">
        <v>1875</v>
      </c>
      <c r="AJ241" s="1944"/>
      <c r="AK241" s="1944"/>
      <c r="AL241" s="1944"/>
      <c r="AM241" s="1944"/>
      <c r="AN241" s="1944"/>
      <c r="AO241" s="1944"/>
      <c r="AP241" s="1944"/>
      <c r="AQ241" s="1944"/>
      <c r="AR241" s="1944"/>
      <c r="AS241" s="1944"/>
    </row>
    <row r="242" spans="1:45">
      <c r="A242" s="1944"/>
      <c r="B242" s="1944"/>
      <c r="C242" s="416">
        <v>43857</v>
      </c>
      <c r="D242" s="1468" t="s">
        <v>6346</v>
      </c>
      <c r="E242" s="411" t="s">
        <v>52</v>
      </c>
      <c r="F242" s="411" t="s">
        <v>5894</v>
      </c>
      <c r="G242" s="571" t="s">
        <v>6347</v>
      </c>
      <c r="H242" s="411"/>
      <c r="I242" s="630"/>
      <c r="J242" s="411"/>
      <c r="K242" s="491" t="s">
        <v>6348</v>
      </c>
      <c r="L242" s="411" t="s">
        <v>6349</v>
      </c>
      <c r="M242" s="417">
        <v>4150000</v>
      </c>
      <c r="N242" s="411" t="s">
        <v>112</v>
      </c>
      <c r="O242" s="416">
        <v>43866</v>
      </c>
      <c r="P242" s="416">
        <v>43879</v>
      </c>
      <c r="Q242" s="416">
        <v>43881</v>
      </c>
      <c r="R242" s="630" t="s">
        <v>6438</v>
      </c>
      <c r="S242" s="411"/>
      <c r="T242" s="417">
        <v>4191066.48</v>
      </c>
      <c r="U242" s="417">
        <v>5071190.4400000004</v>
      </c>
      <c r="V242" s="1480"/>
      <c r="W242" s="1480"/>
      <c r="X242" s="1480"/>
      <c r="Y242" s="513">
        <v>43881</v>
      </c>
      <c r="Z242" s="417" t="s">
        <v>6445</v>
      </c>
      <c r="AA242" s="416">
        <v>43909</v>
      </c>
      <c r="AB242" s="416">
        <v>43909</v>
      </c>
      <c r="AC242" s="416">
        <f>AA242+63</f>
        <v>43972</v>
      </c>
      <c r="AD242" s="1548">
        <v>44245</v>
      </c>
      <c r="AE242" s="967"/>
      <c r="AJ242" s="1944"/>
      <c r="AK242" s="1944"/>
      <c r="AL242" s="1944"/>
      <c r="AM242" s="1944"/>
      <c r="AN242" s="1944"/>
      <c r="AO242" s="1944"/>
      <c r="AP242" s="1944"/>
      <c r="AQ242" s="1944"/>
      <c r="AR242" s="1944"/>
      <c r="AS242" s="1944"/>
    </row>
    <row r="243" spans="1:45" ht="15.75" thickBot="1">
      <c r="A243" s="1944"/>
      <c r="B243" s="1944"/>
      <c r="C243" s="416">
        <v>43858</v>
      </c>
      <c r="D243" s="1468" t="s">
        <v>6336</v>
      </c>
      <c r="E243" s="411" t="s">
        <v>69</v>
      </c>
      <c r="F243" s="411" t="s">
        <v>70</v>
      </c>
      <c r="G243" s="412" t="s">
        <v>6337</v>
      </c>
      <c r="H243" s="411"/>
      <c r="I243" s="630"/>
      <c r="J243" s="411"/>
      <c r="K243" s="411" t="s">
        <v>42</v>
      </c>
      <c r="L243" s="411"/>
      <c r="M243" s="417">
        <v>2264700</v>
      </c>
      <c r="N243" s="411" t="s">
        <v>216</v>
      </c>
      <c r="O243" s="416">
        <v>43873</v>
      </c>
      <c r="P243" s="416">
        <v>43899</v>
      </c>
      <c r="Q243" s="416">
        <v>43921</v>
      </c>
      <c r="R243" s="630" t="s">
        <v>4857</v>
      </c>
      <c r="S243" s="411"/>
      <c r="T243" s="417">
        <v>2264700</v>
      </c>
      <c r="U243" s="417">
        <v>2740287</v>
      </c>
      <c r="V243" s="1480"/>
      <c r="W243" s="1480"/>
      <c r="X243" s="1480"/>
      <c r="Y243" s="513">
        <v>43922</v>
      </c>
      <c r="Z243" s="417" t="s">
        <v>6623</v>
      </c>
      <c r="AA243" s="416">
        <v>43948</v>
      </c>
      <c r="AB243" s="416">
        <v>43958</v>
      </c>
      <c r="AC243" s="416">
        <v>45042</v>
      </c>
      <c r="AD243" s="618">
        <v>44279</v>
      </c>
      <c r="AE243" s="618">
        <v>44645</v>
      </c>
      <c r="AF243" s="1701">
        <v>2022</v>
      </c>
      <c r="AG243" s="1701" t="s">
        <v>6743</v>
      </c>
      <c r="AJ243" s="1944"/>
      <c r="AK243" s="1944"/>
      <c r="AL243" s="1944"/>
      <c r="AM243" s="1944"/>
      <c r="AN243" s="1944"/>
      <c r="AO243" s="1944"/>
      <c r="AP243" s="1944"/>
      <c r="AQ243" s="1944"/>
      <c r="AR243" s="1944"/>
      <c r="AS243" s="1944"/>
    </row>
    <row r="244" spans="1:45" ht="30.75" thickTop="1">
      <c r="A244" s="1944"/>
      <c r="B244" s="1944"/>
      <c r="C244" s="474">
        <v>43860</v>
      </c>
      <c r="D244" s="1383" t="s">
        <v>6338</v>
      </c>
      <c r="E244" s="453" t="s">
        <v>2434</v>
      </c>
      <c r="F244" s="453" t="s">
        <v>751</v>
      </c>
      <c r="G244" s="1997" t="s">
        <v>6339</v>
      </c>
      <c r="H244" s="453">
        <v>1</v>
      </c>
      <c r="I244" s="1997" t="s">
        <v>6414</v>
      </c>
      <c r="J244" s="453"/>
      <c r="K244" s="453" t="s">
        <v>2844</v>
      </c>
      <c r="L244" s="453"/>
      <c r="M244" s="457">
        <v>64526050</v>
      </c>
      <c r="N244" s="453" t="s">
        <v>251</v>
      </c>
      <c r="O244" s="474">
        <v>43879</v>
      </c>
      <c r="P244" s="474">
        <v>43948</v>
      </c>
      <c r="Q244" s="474">
        <v>43962</v>
      </c>
      <c r="R244" s="1420" t="s">
        <v>2754</v>
      </c>
      <c r="S244" s="453"/>
      <c r="T244" s="457">
        <v>64515000</v>
      </c>
      <c r="U244" s="457">
        <v>74192250</v>
      </c>
      <c r="V244" s="1474"/>
      <c r="W244" s="1474"/>
      <c r="X244" s="1474"/>
      <c r="Y244" s="570">
        <v>43962</v>
      </c>
      <c r="Z244" s="1387" t="s">
        <v>6799</v>
      </c>
      <c r="AA244" s="474">
        <v>44033</v>
      </c>
      <c r="AB244" s="474">
        <v>44040</v>
      </c>
      <c r="AC244" s="474">
        <v>44762</v>
      </c>
      <c r="AD244" s="474">
        <v>44285</v>
      </c>
      <c r="AE244" s="474">
        <v>44637</v>
      </c>
      <c r="AF244" s="388" t="s">
        <v>7189</v>
      </c>
      <c r="AG244" s="360" t="s">
        <v>11656</v>
      </c>
      <c r="AJ244" s="1944"/>
      <c r="AK244" s="1944"/>
      <c r="AL244" s="1944"/>
      <c r="AM244" s="1944"/>
      <c r="AN244" s="1944"/>
      <c r="AO244" s="1944"/>
      <c r="AP244" s="1944"/>
      <c r="AQ244" s="1944"/>
      <c r="AR244" s="1944"/>
      <c r="AS244" s="1944"/>
    </row>
    <row r="245" spans="1:45" ht="30">
      <c r="A245" s="1944"/>
      <c r="B245" s="1944"/>
      <c r="C245" s="510">
        <v>43860</v>
      </c>
      <c r="D245" s="1382" t="s">
        <v>6338</v>
      </c>
      <c r="E245" s="506" t="s">
        <v>2434</v>
      </c>
      <c r="F245" s="506" t="s">
        <v>751</v>
      </c>
      <c r="G245" s="1408" t="s">
        <v>6339</v>
      </c>
      <c r="H245" s="506">
        <v>2</v>
      </c>
      <c r="I245" s="1408" t="s">
        <v>6415</v>
      </c>
      <c r="J245" s="506"/>
      <c r="K245" s="506" t="s">
        <v>2844</v>
      </c>
      <c r="L245" s="506"/>
      <c r="M245" s="511">
        <v>88400000</v>
      </c>
      <c r="N245" s="506" t="s">
        <v>251</v>
      </c>
      <c r="O245" s="510">
        <v>43879</v>
      </c>
      <c r="P245" s="510">
        <v>43948</v>
      </c>
      <c r="Q245" s="506"/>
      <c r="R245" s="736" t="s">
        <v>2635</v>
      </c>
      <c r="S245" s="506"/>
      <c r="T245" s="511"/>
      <c r="U245" s="511"/>
      <c r="V245" s="1470"/>
      <c r="W245" s="1470"/>
      <c r="X245" s="1470"/>
      <c r="Y245" s="511"/>
      <c r="Z245" s="511"/>
      <c r="AA245" s="506"/>
      <c r="AB245" s="510">
        <v>43999</v>
      </c>
      <c r="AC245" s="506" t="s">
        <v>6865</v>
      </c>
      <c r="AD245" s="506"/>
      <c r="AE245" s="506"/>
      <c r="AJ245" s="1944"/>
      <c r="AK245" s="1944"/>
      <c r="AL245" s="1944"/>
      <c r="AM245" s="1944"/>
      <c r="AN245" s="1944"/>
      <c r="AO245" s="1944"/>
      <c r="AP245" s="1944"/>
      <c r="AQ245" s="1944"/>
      <c r="AR245" s="1944"/>
      <c r="AS245" s="1944"/>
    </row>
    <row r="246" spans="1:45" ht="30.75" thickBot="1">
      <c r="A246" s="1944"/>
      <c r="B246" s="1944"/>
      <c r="C246" s="1380">
        <v>43860</v>
      </c>
      <c r="D246" s="1377" t="s">
        <v>6338</v>
      </c>
      <c r="E246" s="1376" t="s">
        <v>2434</v>
      </c>
      <c r="F246" s="1376" t="s">
        <v>751</v>
      </c>
      <c r="G246" s="2005" t="s">
        <v>6339</v>
      </c>
      <c r="H246" s="1376">
        <v>3</v>
      </c>
      <c r="I246" s="2005" t="s">
        <v>6345</v>
      </c>
      <c r="J246" s="1376"/>
      <c r="K246" s="1376" t="s">
        <v>2844</v>
      </c>
      <c r="L246" s="1376"/>
      <c r="M246" s="1379">
        <v>90146710</v>
      </c>
      <c r="N246" s="1376" t="s">
        <v>251</v>
      </c>
      <c r="O246" s="1380">
        <v>43879</v>
      </c>
      <c r="P246" s="1380">
        <v>43948</v>
      </c>
      <c r="Q246" s="1380">
        <v>43962</v>
      </c>
      <c r="R246" s="1421" t="s">
        <v>6763</v>
      </c>
      <c r="S246" s="1376"/>
      <c r="T246" s="1379">
        <v>89167500</v>
      </c>
      <c r="U246" s="1379">
        <v>102542625</v>
      </c>
      <c r="V246" s="1475"/>
      <c r="W246" s="1475"/>
      <c r="X246" s="1475"/>
      <c r="Y246" s="1388">
        <v>43962</v>
      </c>
      <c r="Z246" s="1389" t="s">
        <v>6800</v>
      </c>
      <c r="AA246" s="1380">
        <v>44036</v>
      </c>
      <c r="AB246" s="1380">
        <v>44040</v>
      </c>
      <c r="AC246" s="1380">
        <v>44765</v>
      </c>
      <c r="AD246" s="1380">
        <v>44285</v>
      </c>
      <c r="AE246" s="1380">
        <v>44637</v>
      </c>
      <c r="AF246" s="388" t="s">
        <v>7205</v>
      </c>
      <c r="AG246" s="360" t="s">
        <v>12358</v>
      </c>
      <c r="AJ246" s="1944"/>
      <c r="AK246" s="1944"/>
      <c r="AL246" s="1944"/>
      <c r="AM246" s="1944"/>
      <c r="AN246" s="1944"/>
      <c r="AO246" s="1944"/>
      <c r="AP246" s="1944"/>
      <c r="AQ246" s="1944"/>
      <c r="AR246" s="1944"/>
      <c r="AS246" s="1944"/>
    </row>
    <row r="247" spans="1:45" ht="30.75" thickTop="1">
      <c r="A247" s="1944"/>
      <c r="B247" s="1944"/>
      <c r="C247" s="365" t="s">
        <v>3585</v>
      </c>
      <c r="D247" s="1397" t="s">
        <v>6357</v>
      </c>
      <c r="E247" s="3210" t="s">
        <v>1248</v>
      </c>
      <c r="F247" s="3210" t="s">
        <v>1249</v>
      </c>
      <c r="G247" s="175" t="s">
        <v>5945</v>
      </c>
      <c r="H247" s="3210"/>
      <c r="I247" s="3211"/>
      <c r="J247" s="3210"/>
      <c r="K247" s="3210" t="s">
        <v>1252</v>
      </c>
      <c r="L247" s="3210"/>
      <c r="M247" s="364">
        <v>49777600</v>
      </c>
      <c r="N247" s="3210" t="s">
        <v>251</v>
      </c>
      <c r="O247" s="365">
        <v>43875</v>
      </c>
      <c r="P247" s="365">
        <v>43906</v>
      </c>
      <c r="Q247" s="365">
        <v>43910</v>
      </c>
      <c r="R247" s="3211" t="s">
        <v>1561</v>
      </c>
      <c r="S247" s="3210"/>
      <c r="T247" s="364">
        <v>48468720</v>
      </c>
      <c r="U247" s="364">
        <v>48468720</v>
      </c>
      <c r="V247" s="1473"/>
      <c r="W247" s="1473"/>
      <c r="X247" s="1473"/>
      <c r="Y247" s="681">
        <v>43914</v>
      </c>
      <c r="Z247" s="1417" t="s">
        <v>6591</v>
      </c>
      <c r="AA247" s="365">
        <v>43949</v>
      </c>
      <c r="AB247" s="365">
        <v>43951</v>
      </c>
      <c r="AC247" s="3210" t="s">
        <v>4096</v>
      </c>
      <c r="AD247" s="1551">
        <v>44844</v>
      </c>
      <c r="AE247" s="1513"/>
      <c r="AJ247" s="1944"/>
      <c r="AK247" s="1944"/>
      <c r="AL247" s="1944"/>
      <c r="AM247" s="1944"/>
      <c r="AN247" s="1944"/>
      <c r="AO247" s="1944"/>
      <c r="AP247" s="1944"/>
      <c r="AQ247" s="1944"/>
      <c r="AR247" s="1944"/>
      <c r="AS247" s="1944"/>
    </row>
    <row r="248" spans="1:45">
      <c r="A248" s="1944"/>
      <c r="B248" s="1944"/>
      <c r="C248" s="365">
        <v>43859</v>
      </c>
      <c r="D248" s="1397" t="s">
        <v>6358</v>
      </c>
      <c r="E248" s="3210" t="s">
        <v>52</v>
      </c>
      <c r="F248" s="3210" t="s">
        <v>6359</v>
      </c>
      <c r="G248" s="175" t="s">
        <v>6360</v>
      </c>
      <c r="H248" s="3210"/>
      <c r="I248" s="3211"/>
      <c r="J248" s="3210"/>
      <c r="K248" s="3210" t="s">
        <v>6361</v>
      </c>
      <c r="L248" s="3210"/>
      <c r="M248" s="364">
        <v>17015000</v>
      </c>
      <c r="N248" s="3210" t="s">
        <v>216</v>
      </c>
      <c r="O248" s="365">
        <v>43871</v>
      </c>
      <c r="P248" s="365">
        <v>43893</v>
      </c>
      <c r="Q248" s="365">
        <v>43937</v>
      </c>
      <c r="R248" s="3211" t="s">
        <v>6698</v>
      </c>
      <c r="S248" s="3210"/>
      <c r="T248" s="364">
        <v>14399897.57</v>
      </c>
      <c r="U248" s="364">
        <v>17423876.059999999</v>
      </c>
      <c r="V248" s="1473"/>
      <c r="W248" s="1473"/>
      <c r="X248" s="1473"/>
      <c r="Y248" s="681">
        <v>43937</v>
      </c>
      <c r="Z248" s="364" t="s">
        <v>6699</v>
      </c>
      <c r="AA248" s="365">
        <v>43970</v>
      </c>
      <c r="AB248" s="365">
        <v>43973</v>
      </c>
      <c r="AC248" s="365">
        <f>AA248+153</f>
        <v>44123</v>
      </c>
      <c r="AD248" s="365">
        <v>44207</v>
      </c>
      <c r="AE248" s="1513"/>
      <c r="AJ248" s="1944"/>
      <c r="AK248" s="1944"/>
      <c r="AL248" s="1944"/>
      <c r="AM248" s="1944"/>
      <c r="AN248" s="1944"/>
      <c r="AO248" s="1944"/>
      <c r="AP248" s="1944"/>
      <c r="AQ248" s="1944"/>
      <c r="AR248" s="1944"/>
      <c r="AS248" s="1944"/>
    </row>
    <row r="249" spans="1:45">
      <c r="A249" s="1944"/>
      <c r="B249" s="1944"/>
      <c r="C249" s="470">
        <v>43854</v>
      </c>
      <c r="D249" s="1515" t="s">
        <v>6364</v>
      </c>
      <c r="E249" s="466" t="s">
        <v>2111</v>
      </c>
      <c r="F249" s="466" t="s">
        <v>4440</v>
      </c>
      <c r="G249" s="467" t="s">
        <v>6365</v>
      </c>
      <c r="H249" s="466"/>
      <c r="I249" s="654"/>
      <c r="J249" s="466"/>
      <c r="K249" s="466" t="s">
        <v>4205</v>
      </c>
      <c r="L249" s="466"/>
      <c r="M249" s="472">
        <v>1240000</v>
      </c>
      <c r="N249" s="466" t="s">
        <v>112</v>
      </c>
      <c r="O249" s="470">
        <v>43873</v>
      </c>
      <c r="P249" s="470">
        <v>43882</v>
      </c>
      <c r="Q249" s="466"/>
      <c r="R249" s="654"/>
      <c r="S249" s="466"/>
      <c r="T249" s="472"/>
      <c r="U249" s="472"/>
      <c r="V249" s="1516"/>
      <c r="W249" s="1516"/>
      <c r="X249" s="1516"/>
      <c r="Y249" s="472"/>
      <c r="Z249" s="472"/>
      <c r="AA249" s="466"/>
      <c r="AB249" s="470">
        <v>43910</v>
      </c>
      <c r="AC249" s="466"/>
      <c r="AD249" s="466"/>
      <c r="AE249" s="466"/>
      <c r="AJ249" s="1944"/>
      <c r="AK249" s="1944"/>
      <c r="AL249" s="1944"/>
      <c r="AM249" s="1944"/>
      <c r="AN249" s="1944"/>
      <c r="AO249" s="1944"/>
      <c r="AP249" s="1944"/>
      <c r="AQ249" s="1944"/>
      <c r="AR249" s="1944"/>
      <c r="AS249" s="1944"/>
    </row>
    <row r="250" spans="1:45" ht="30">
      <c r="A250" s="1944"/>
      <c r="B250" s="1944"/>
      <c r="C250" s="365">
        <v>43857</v>
      </c>
      <c r="D250" s="1397" t="s">
        <v>6366</v>
      </c>
      <c r="E250" s="3210" t="s">
        <v>58</v>
      </c>
      <c r="F250" s="3210" t="s">
        <v>2684</v>
      </c>
      <c r="G250" s="175" t="s">
        <v>6367</v>
      </c>
      <c r="H250" s="3210"/>
      <c r="I250" s="3211"/>
      <c r="J250" s="3210"/>
      <c r="K250" s="3210" t="s">
        <v>778</v>
      </c>
      <c r="L250" s="3210" t="s">
        <v>6368</v>
      </c>
      <c r="M250" s="364">
        <v>6230000</v>
      </c>
      <c r="N250" s="3210" t="s">
        <v>251</v>
      </c>
      <c r="O250" s="365">
        <v>43888</v>
      </c>
      <c r="P250" s="365">
        <v>43936</v>
      </c>
      <c r="Q250" s="365">
        <v>43986</v>
      </c>
      <c r="R250" s="3211" t="s">
        <v>6876</v>
      </c>
      <c r="S250" s="3210"/>
      <c r="T250" s="364">
        <v>4916530</v>
      </c>
      <c r="U250" s="364">
        <f>T250*1.21</f>
        <v>5949001.2999999998</v>
      </c>
      <c r="V250" s="1473"/>
      <c r="W250" s="1473"/>
      <c r="X250" s="1473"/>
      <c r="Y250" s="681">
        <v>43986</v>
      </c>
      <c r="Z250" s="1417" t="s">
        <v>6929</v>
      </c>
      <c r="AA250" s="365">
        <v>44019</v>
      </c>
      <c r="AB250" s="365">
        <v>44026</v>
      </c>
      <c r="AC250" s="365">
        <f>AA250+56</f>
        <v>44075</v>
      </c>
      <c r="AD250" s="365">
        <v>44327</v>
      </c>
      <c r="AE250" s="451" t="s">
        <v>1875</v>
      </c>
      <c r="AJ250" s="1944"/>
      <c r="AK250" s="1944"/>
      <c r="AL250" s="1944"/>
      <c r="AM250" s="1944"/>
      <c r="AN250" s="1944"/>
      <c r="AO250" s="1944"/>
      <c r="AP250" s="1944"/>
      <c r="AQ250" s="1944"/>
      <c r="AR250" s="1944"/>
      <c r="AS250" s="1944"/>
    </row>
    <row r="251" spans="1:45" ht="15.75" thickBot="1">
      <c r="A251" s="1944"/>
      <c r="B251" s="1944"/>
      <c r="C251" s="498">
        <v>43858</v>
      </c>
      <c r="D251" s="1544" t="s">
        <v>6369</v>
      </c>
      <c r="E251" s="232" t="s">
        <v>2111</v>
      </c>
      <c r="F251" s="232" t="s">
        <v>4440</v>
      </c>
      <c r="G251" s="274" t="s">
        <v>6370</v>
      </c>
      <c r="H251" s="232"/>
      <c r="I251" s="669"/>
      <c r="J251" s="232"/>
      <c r="K251" s="232" t="s">
        <v>2113</v>
      </c>
      <c r="L251" s="232"/>
      <c r="M251" s="499">
        <v>1895000</v>
      </c>
      <c r="N251" s="232" t="s">
        <v>251</v>
      </c>
      <c r="O251" s="498">
        <v>43871</v>
      </c>
      <c r="P251" s="498">
        <v>43902</v>
      </c>
      <c r="Q251" s="498">
        <v>43921</v>
      </c>
      <c r="R251" s="669" t="s">
        <v>6625</v>
      </c>
      <c r="S251" s="232"/>
      <c r="T251" s="499">
        <v>1424910.2</v>
      </c>
      <c r="U251" s="499">
        <v>1724141.34</v>
      </c>
      <c r="V251" s="1545"/>
      <c r="W251" s="1545"/>
      <c r="X251" s="1545"/>
      <c r="Y251" s="682">
        <v>43922</v>
      </c>
      <c r="Z251" s="499" t="s">
        <v>6624</v>
      </c>
      <c r="AA251" s="498">
        <v>43962</v>
      </c>
      <c r="AB251" s="498">
        <v>43963</v>
      </c>
      <c r="AC251" s="498">
        <f>AA251+40</f>
        <v>44002</v>
      </c>
      <c r="AD251" s="498">
        <v>44082</v>
      </c>
      <c r="AE251" s="1558"/>
      <c r="AJ251" s="1944"/>
      <c r="AK251" s="1944"/>
      <c r="AL251" s="1944"/>
      <c r="AM251" s="1944"/>
      <c r="AN251" s="1944"/>
      <c r="AO251" s="1944"/>
      <c r="AP251" s="1944"/>
      <c r="AQ251" s="1944"/>
      <c r="AR251" s="1944"/>
      <c r="AS251" s="1944"/>
    </row>
    <row r="252" spans="1:45" ht="15.75" thickTop="1">
      <c r="A252" s="1944"/>
      <c r="B252" s="1944"/>
      <c r="C252" s="474">
        <v>43865</v>
      </c>
      <c r="D252" s="1383" t="s">
        <v>6371</v>
      </c>
      <c r="E252" s="453" t="s">
        <v>69</v>
      </c>
      <c r="F252" s="453" t="s">
        <v>70</v>
      </c>
      <c r="G252" s="473" t="s">
        <v>6373</v>
      </c>
      <c r="H252" s="453">
        <v>1</v>
      </c>
      <c r="I252" s="1420" t="s">
        <v>6375</v>
      </c>
      <c r="J252" s="453"/>
      <c r="K252" s="453" t="s">
        <v>72</v>
      </c>
      <c r="L252" s="453"/>
      <c r="M252" s="457">
        <v>22860645</v>
      </c>
      <c r="N252" s="453" t="s">
        <v>251</v>
      </c>
      <c r="O252" s="474">
        <v>43881</v>
      </c>
      <c r="P252" s="474">
        <v>43914</v>
      </c>
      <c r="Q252" s="474">
        <v>43965</v>
      </c>
      <c r="R252" s="1420" t="s">
        <v>6805</v>
      </c>
      <c r="S252" s="453"/>
      <c r="T252" s="457">
        <v>22860644.629999999</v>
      </c>
      <c r="U252" s="457">
        <v>25146709.09</v>
      </c>
      <c r="V252" s="1474"/>
      <c r="W252" s="1474"/>
      <c r="X252" s="1474"/>
      <c r="Y252" s="570">
        <v>43966</v>
      </c>
      <c r="Z252" s="457" t="s">
        <v>6816</v>
      </c>
      <c r="AA252" s="474">
        <v>43983</v>
      </c>
      <c r="AB252" s="474">
        <v>43987</v>
      </c>
      <c r="AC252" s="474">
        <v>44711</v>
      </c>
      <c r="AD252" s="474">
        <v>44220</v>
      </c>
      <c r="AE252" s="474">
        <v>44645</v>
      </c>
      <c r="AF252" s="388" t="s">
        <v>6917</v>
      </c>
      <c r="AJ252" s="1944"/>
      <c r="AK252" s="1944"/>
      <c r="AL252" s="1944"/>
      <c r="AM252" s="1944"/>
      <c r="AN252" s="1944"/>
      <c r="AO252" s="1944"/>
      <c r="AP252" s="1944"/>
      <c r="AQ252" s="1944"/>
      <c r="AR252" s="1944"/>
      <c r="AS252" s="1944"/>
    </row>
    <row r="253" spans="1:45">
      <c r="A253" s="1944"/>
      <c r="B253" s="1944"/>
      <c r="C253" s="365">
        <v>43865</v>
      </c>
      <c r="D253" s="1397" t="s">
        <v>6371</v>
      </c>
      <c r="E253" s="3210" t="s">
        <v>69</v>
      </c>
      <c r="F253" s="3210" t="s">
        <v>70</v>
      </c>
      <c r="G253" s="175" t="s">
        <v>6373</v>
      </c>
      <c r="H253" s="3210">
        <v>2</v>
      </c>
      <c r="I253" s="3211" t="s">
        <v>6376</v>
      </c>
      <c r="J253" s="3210"/>
      <c r="K253" s="3210" t="s">
        <v>72</v>
      </c>
      <c r="L253" s="3210"/>
      <c r="M253" s="364">
        <v>3355445</v>
      </c>
      <c r="N253" s="3210" t="s">
        <v>251</v>
      </c>
      <c r="O253" s="365">
        <v>43881</v>
      </c>
      <c r="P253" s="365">
        <v>43914</v>
      </c>
      <c r="Q253" s="365">
        <v>43965</v>
      </c>
      <c r="R253" s="3211" t="s">
        <v>1318</v>
      </c>
      <c r="S253" s="3210"/>
      <c r="T253" s="364">
        <v>3355444.7</v>
      </c>
      <c r="U253" s="364">
        <v>3690989.17</v>
      </c>
      <c r="V253" s="1473"/>
      <c r="W253" s="1473"/>
      <c r="X253" s="1473"/>
      <c r="Y253" s="681">
        <v>43966</v>
      </c>
      <c r="Z253" s="364" t="s">
        <v>6817</v>
      </c>
      <c r="AA253" s="365">
        <v>43983</v>
      </c>
      <c r="AB253" s="365">
        <v>43987</v>
      </c>
      <c r="AC253" s="365">
        <v>44711</v>
      </c>
      <c r="AD253" s="365">
        <v>44220</v>
      </c>
      <c r="AE253" s="365">
        <v>44645</v>
      </c>
      <c r="AF253" s="388" t="s">
        <v>6917</v>
      </c>
      <c r="AJ253" s="1944"/>
      <c r="AK253" s="1944"/>
      <c r="AL253" s="1944"/>
      <c r="AM253" s="1944"/>
      <c r="AN253" s="1944"/>
      <c r="AO253" s="1944"/>
      <c r="AP253" s="1944"/>
      <c r="AQ253" s="1944"/>
      <c r="AR253" s="1944"/>
      <c r="AS253" s="1944"/>
    </row>
    <row r="254" spans="1:45">
      <c r="A254" s="1944"/>
      <c r="B254" s="1944"/>
      <c r="C254" s="365">
        <v>43865</v>
      </c>
      <c r="D254" s="1397" t="s">
        <v>6371</v>
      </c>
      <c r="E254" s="3210" t="s">
        <v>69</v>
      </c>
      <c r="F254" s="3210" t="s">
        <v>70</v>
      </c>
      <c r="G254" s="175" t="s">
        <v>6373</v>
      </c>
      <c r="H254" s="3210">
        <v>3</v>
      </c>
      <c r="I254" s="3211" t="s">
        <v>6377</v>
      </c>
      <c r="J254" s="3210"/>
      <c r="K254" s="3210" t="s">
        <v>72</v>
      </c>
      <c r="L254" s="3210"/>
      <c r="M254" s="364">
        <v>9600000</v>
      </c>
      <c r="N254" s="3210" t="s">
        <v>251</v>
      </c>
      <c r="O254" s="365">
        <v>43881</v>
      </c>
      <c r="P254" s="365">
        <v>43914</v>
      </c>
      <c r="Q254" s="365">
        <v>43965</v>
      </c>
      <c r="R254" s="3211" t="s">
        <v>1319</v>
      </c>
      <c r="S254" s="3210"/>
      <c r="T254" s="364">
        <v>9600000</v>
      </c>
      <c r="U254" s="364">
        <v>10560000</v>
      </c>
      <c r="V254" s="1473"/>
      <c r="W254" s="1473"/>
      <c r="X254" s="1473"/>
      <c r="Y254" s="681">
        <v>43966</v>
      </c>
      <c r="Z254" s="364" t="s">
        <v>6818</v>
      </c>
      <c r="AA254" s="365">
        <v>43983</v>
      </c>
      <c r="AB254" s="365">
        <v>43987</v>
      </c>
      <c r="AC254" s="365">
        <v>44711</v>
      </c>
      <c r="AD254" s="365">
        <v>44220</v>
      </c>
      <c r="AE254" s="365">
        <v>44645</v>
      </c>
      <c r="AF254" s="388" t="s">
        <v>6917</v>
      </c>
      <c r="AJ254" s="1944"/>
      <c r="AK254" s="1944"/>
      <c r="AL254" s="1944"/>
      <c r="AM254" s="1944"/>
      <c r="AN254" s="1944"/>
      <c r="AO254" s="1944"/>
      <c r="AP254" s="1944"/>
      <c r="AQ254" s="1944"/>
      <c r="AR254" s="1944"/>
      <c r="AS254" s="1944"/>
    </row>
    <row r="255" spans="1:45" ht="15.75" thickBot="1">
      <c r="A255" s="1944"/>
      <c r="B255" s="1944"/>
      <c r="C255" s="675">
        <v>43865</v>
      </c>
      <c r="D255" s="1982" t="s">
        <v>6371</v>
      </c>
      <c r="E255" s="517" t="s">
        <v>69</v>
      </c>
      <c r="F255" s="517" t="s">
        <v>70</v>
      </c>
      <c r="G255" s="672" t="s">
        <v>6373</v>
      </c>
      <c r="H255" s="517">
        <v>4</v>
      </c>
      <c r="I255" s="1983" t="s">
        <v>6378</v>
      </c>
      <c r="J255" s="517"/>
      <c r="K255" s="517" t="s">
        <v>72</v>
      </c>
      <c r="L255" s="517"/>
      <c r="M255" s="676">
        <v>2263277</v>
      </c>
      <c r="N255" s="517" t="s">
        <v>251</v>
      </c>
      <c r="O255" s="675">
        <v>43881</v>
      </c>
      <c r="P255" s="675">
        <v>43914</v>
      </c>
      <c r="Q255" s="675">
        <v>43965</v>
      </c>
      <c r="R255" s="1983" t="s">
        <v>1319</v>
      </c>
      <c r="S255" s="517"/>
      <c r="T255" s="676">
        <v>2263276.7999999998</v>
      </c>
      <c r="U255" s="676">
        <v>2489604.48</v>
      </c>
      <c r="V255" s="1984"/>
      <c r="W255" s="1984"/>
      <c r="X255" s="1984"/>
      <c r="Y255" s="683">
        <v>43966</v>
      </c>
      <c r="Z255" s="676" t="s">
        <v>6819</v>
      </c>
      <c r="AA255" s="675">
        <v>43983</v>
      </c>
      <c r="AB255" s="675">
        <v>43987</v>
      </c>
      <c r="AC255" s="675">
        <v>44711</v>
      </c>
      <c r="AD255" s="675">
        <v>44220</v>
      </c>
      <c r="AE255" s="675">
        <v>44645</v>
      </c>
      <c r="AF255" s="388" t="s">
        <v>6917</v>
      </c>
      <c r="AJ255" s="1944"/>
      <c r="AK255" s="1944"/>
      <c r="AL255" s="1944"/>
      <c r="AM255" s="1944"/>
      <c r="AN255" s="1944"/>
      <c r="AO255" s="1944"/>
      <c r="AP255" s="1944"/>
      <c r="AQ255" s="1944"/>
      <c r="AR255" s="1944"/>
      <c r="AS255" s="1944"/>
    </row>
    <row r="256" spans="1:45" ht="15.75" thickTop="1">
      <c r="A256" s="1944"/>
      <c r="B256" s="1944"/>
      <c r="C256" s="443">
        <v>43865</v>
      </c>
      <c r="D256" s="1415" t="s">
        <v>6372</v>
      </c>
      <c r="E256" s="439" t="s">
        <v>69</v>
      </c>
      <c r="F256" s="439" t="s">
        <v>70</v>
      </c>
      <c r="G256" s="440" t="s">
        <v>6374</v>
      </c>
      <c r="H256" s="439">
        <v>1</v>
      </c>
      <c r="I256" s="1431" t="s">
        <v>6379</v>
      </c>
      <c r="J256" s="439"/>
      <c r="K256" s="439" t="s">
        <v>72</v>
      </c>
      <c r="L256" s="439"/>
      <c r="M256" s="444">
        <v>25172233</v>
      </c>
      <c r="N256" s="439" t="s">
        <v>251</v>
      </c>
      <c r="O256" s="443">
        <v>43886</v>
      </c>
      <c r="P256" s="443">
        <v>43920</v>
      </c>
      <c r="Q256" s="439"/>
      <c r="R256" s="1431"/>
      <c r="S256" s="2015" t="s">
        <v>7498</v>
      </c>
      <c r="T256" s="444"/>
      <c r="U256" s="444"/>
      <c r="V256" s="1481"/>
      <c r="W256" s="1481"/>
      <c r="X256" s="1481"/>
      <c r="Y256" s="444"/>
      <c r="Z256" s="444"/>
      <c r="AA256" s="439"/>
      <c r="AB256" s="443">
        <v>43941</v>
      </c>
      <c r="AC256" s="1431" t="s">
        <v>6703</v>
      </c>
      <c r="AD256" s="439"/>
      <c r="AE256" s="439"/>
      <c r="AJ256" s="1944"/>
      <c r="AK256" s="1944"/>
      <c r="AL256" s="1944"/>
      <c r="AM256" s="1944"/>
      <c r="AN256" s="1944"/>
      <c r="AO256" s="1944"/>
      <c r="AP256" s="1944"/>
      <c r="AQ256" s="1944"/>
      <c r="AR256" s="1944"/>
      <c r="AS256" s="1944"/>
    </row>
    <row r="257" spans="1:45">
      <c r="A257" s="1944"/>
      <c r="B257" s="1944"/>
      <c r="C257" s="470">
        <v>43865</v>
      </c>
      <c r="D257" s="1515" t="s">
        <v>6372</v>
      </c>
      <c r="E257" s="466" t="s">
        <v>69</v>
      </c>
      <c r="F257" s="466" t="s">
        <v>70</v>
      </c>
      <c r="G257" s="467" t="s">
        <v>6374</v>
      </c>
      <c r="H257" s="466">
        <v>2</v>
      </c>
      <c r="I257" s="654" t="s">
        <v>6380</v>
      </c>
      <c r="J257" s="466"/>
      <c r="K257" s="466" t="s">
        <v>72</v>
      </c>
      <c r="L257" s="466"/>
      <c r="M257" s="472">
        <v>3576096</v>
      </c>
      <c r="N257" s="466" t="s">
        <v>251</v>
      </c>
      <c r="O257" s="470">
        <v>43886</v>
      </c>
      <c r="P257" s="470">
        <v>43920</v>
      </c>
      <c r="Q257" s="466"/>
      <c r="R257" s="654"/>
      <c r="S257" s="2014" t="s">
        <v>7501</v>
      </c>
      <c r="T257" s="472"/>
      <c r="U257" s="472"/>
      <c r="V257" s="1516"/>
      <c r="W257" s="1516"/>
      <c r="X257" s="1516"/>
      <c r="Y257" s="472"/>
      <c r="Z257" s="472"/>
      <c r="AA257" s="466"/>
      <c r="AB257" s="470">
        <v>43941</v>
      </c>
      <c r="AC257" s="654" t="s">
        <v>6703</v>
      </c>
      <c r="AD257" s="466"/>
      <c r="AE257" s="466"/>
      <c r="AJ257" s="1944"/>
      <c r="AK257" s="1944"/>
      <c r="AL257" s="1944"/>
      <c r="AM257" s="1944"/>
      <c r="AN257" s="1944"/>
      <c r="AO257" s="1944"/>
      <c r="AP257" s="1944"/>
      <c r="AQ257" s="1944"/>
      <c r="AR257" s="1944"/>
      <c r="AS257" s="1944"/>
    </row>
    <row r="258" spans="1:45">
      <c r="A258" s="1944"/>
      <c r="B258" s="1944"/>
      <c r="C258" s="365">
        <v>43865</v>
      </c>
      <c r="D258" s="1397" t="s">
        <v>6372</v>
      </c>
      <c r="E258" s="3210" t="s">
        <v>69</v>
      </c>
      <c r="F258" s="3210" t="s">
        <v>70</v>
      </c>
      <c r="G258" s="175" t="s">
        <v>6374</v>
      </c>
      <c r="H258" s="3210">
        <v>3</v>
      </c>
      <c r="I258" s="3211" t="s">
        <v>6381</v>
      </c>
      <c r="J258" s="3210"/>
      <c r="K258" s="3210" t="s">
        <v>72</v>
      </c>
      <c r="L258" s="3210"/>
      <c r="M258" s="364">
        <v>11846739</v>
      </c>
      <c r="N258" s="3210" t="s">
        <v>251</v>
      </c>
      <c r="O258" s="365">
        <v>43886</v>
      </c>
      <c r="P258" s="365">
        <v>43920</v>
      </c>
      <c r="Q258" s="365">
        <v>43950</v>
      </c>
      <c r="R258" s="3211" t="s">
        <v>1407</v>
      </c>
      <c r="S258" s="3210"/>
      <c r="T258" s="364">
        <v>11846737.880000001</v>
      </c>
      <c r="U258" s="364">
        <v>13031411.67</v>
      </c>
      <c r="V258" s="1473"/>
      <c r="W258" s="1473"/>
      <c r="X258" s="1473"/>
      <c r="Y258" s="681">
        <v>43950</v>
      </c>
      <c r="Z258" s="364" t="s">
        <v>6761</v>
      </c>
      <c r="AA258" s="365">
        <v>43976</v>
      </c>
      <c r="AB258" s="365">
        <v>43984</v>
      </c>
      <c r="AC258" s="365">
        <v>44705</v>
      </c>
      <c r="AD258" s="365">
        <v>44279</v>
      </c>
      <c r="AE258" s="365">
        <v>44645</v>
      </c>
      <c r="AF258" s="388" t="s">
        <v>6875</v>
      </c>
      <c r="AJ258" s="1944"/>
      <c r="AK258" s="1944"/>
      <c r="AL258" s="1944"/>
      <c r="AM258" s="1944"/>
      <c r="AN258" s="1944"/>
      <c r="AO258" s="1944"/>
      <c r="AP258" s="1944"/>
      <c r="AQ258" s="1944"/>
      <c r="AR258" s="1944"/>
      <c r="AS258" s="1944"/>
    </row>
    <row r="259" spans="1:45" ht="15.75" thickBot="1">
      <c r="A259" s="1944"/>
      <c r="B259" s="1944"/>
      <c r="C259" s="675">
        <v>43865</v>
      </c>
      <c r="D259" s="1982" t="s">
        <v>6372</v>
      </c>
      <c r="E259" s="517" t="s">
        <v>69</v>
      </c>
      <c r="F259" s="517" t="s">
        <v>70</v>
      </c>
      <c r="G259" s="672" t="s">
        <v>6374</v>
      </c>
      <c r="H259" s="517">
        <v>4</v>
      </c>
      <c r="I259" s="1983" t="s">
        <v>6382</v>
      </c>
      <c r="J259" s="517"/>
      <c r="K259" s="517" t="s">
        <v>72</v>
      </c>
      <c r="L259" s="517"/>
      <c r="M259" s="676">
        <v>2531559</v>
      </c>
      <c r="N259" s="517" t="s">
        <v>251</v>
      </c>
      <c r="O259" s="675">
        <v>43886</v>
      </c>
      <c r="P259" s="675">
        <v>43920</v>
      </c>
      <c r="Q259" s="675">
        <v>43950</v>
      </c>
      <c r="R259" s="1983" t="s">
        <v>1319</v>
      </c>
      <c r="S259" s="517"/>
      <c r="T259" s="676">
        <v>1516195.3</v>
      </c>
      <c r="U259" s="676">
        <v>1667814.83</v>
      </c>
      <c r="V259" s="1984"/>
      <c r="W259" s="1984"/>
      <c r="X259" s="1984"/>
      <c r="Y259" s="683">
        <v>43950</v>
      </c>
      <c r="Z259" s="676" t="s">
        <v>6762</v>
      </c>
      <c r="AA259" s="675">
        <v>43976</v>
      </c>
      <c r="AB259" s="675">
        <v>43984</v>
      </c>
      <c r="AC259" s="675">
        <v>44705</v>
      </c>
      <c r="AD259" s="675">
        <v>44279</v>
      </c>
      <c r="AE259" s="675">
        <v>44645</v>
      </c>
      <c r="AF259" s="388" t="s">
        <v>6875</v>
      </c>
      <c r="AJ259" s="1944"/>
      <c r="AK259" s="1944"/>
      <c r="AL259" s="1944"/>
      <c r="AM259" s="1944"/>
      <c r="AN259" s="1944"/>
      <c r="AO259" s="1944"/>
      <c r="AP259" s="1944"/>
      <c r="AQ259" s="1944"/>
      <c r="AR259" s="1944"/>
      <c r="AS259" s="1944"/>
    </row>
    <row r="260" spans="1:45" ht="15.75" thickTop="1">
      <c r="A260" s="1944"/>
      <c r="B260" s="1944"/>
      <c r="C260" s="365">
        <v>43866</v>
      </c>
      <c r="D260" s="1397" t="s">
        <v>6385</v>
      </c>
      <c r="E260" s="3210" t="s">
        <v>4997</v>
      </c>
      <c r="F260" s="3210" t="s">
        <v>167</v>
      </c>
      <c r="G260" s="175" t="s">
        <v>6386</v>
      </c>
      <c r="H260" s="3210"/>
      <c r="I260" s="3211"/>
      <c r="J260" s="3210"/>
      <c r="K260" s="3210" t="s">
        <v>5023</v>
      </c>
      <c r="L260" s="3210"/>
      <c r="M260" s="364">
        <v>1200000</v>
      </c>
      <c r="N260" s="3210" t="s">
        <v>112</v>
      </c>
      <c r="O260" s="365">
        <v>43871</v>
      </c>
      <c r="P260" s="365">
        <v>43881</v>
      </c>
      <c r="Q260" s="365">
        <v>43893</v>
      </c>
      <c r="R260" s="3211" t="s">
        <v>2032</v>
      </c>
      <c r="S260" s="3210"/>
      <c r="T260" s="364">
        <v>1094345</v>
      </c>
      <c r="U260" s="364">
        <v>1324157.45</v>
      </c>
      <c r="V260" s="1473"/>
      <c r="W260" s="1473"/>
      <c r="X260" s="1473"/>
      <c r="Y260" s="681">
        <v>43893</v>
      </c>
      <c r="Z260" s="364" t="s">
        <v>6501</v>
      </c>
      <c r="AA260" s="365">
        <v>43921</v>
      </c>
      <c r="AB260" s="365">
        <v>43921</v>
      </c>
      <c r="AC260" s="365">
        <v>44041</v>
      </c>
      <c r="AD260" s="365">
        <v>44109</v>
      </c>
      <c r="AE260" s="1513"/>
      <c r="AJ260" s="1944"/>
      <c r="AK260" s="1944"/>
      <c r="AL260" s="1944"/>
      <c r="AM260" s="1944"/>
      <c r="AN260" s="1944"/>
      <c r="AO260" s="1944"/>
      <c r="AP260" s="1944"/>
      <c r="AQ260" s="1944"/>
      <c r="AR260" s="1944"/>
      <c r="AS260" s="1944"/>
    </row>
    <row r="261" spans="1:45">
      <c r="A261" s="1944"/>
      <c r="B261" s="1944"/>
      <c r="C261" s="470">
        <v>43866</v>
      </c>
      <c r="D261" s="1515" t="s">
        <v>6387</v>
      </c>
      <c r="E261" s="466" t="s">
        <v>4997</v>
      </c>
      <c r="F261" s="466" t="s">
        <v>167</v>
      </c>
      <c r="G261" s="467" t="s">
        <v>6388</v>
      </c>
      <c r="H261" s="466"/>
      <c r="I261" s="654"/>
      <c r="J261" s="466"/>
      <c r="K261" s="466" t="s">
        <v>1676</v>
      </c>
      <c r="L261" s="466"/>
      <c r="M261" s="472">
        <v>400000</v>
      </c>
      <c r="N261" s="466" t="s">
        <v>112</v>
      </c>
      <c r="O261" s="470">
        <v>43896</v>
      </c>
      <c r="P261" s="470">
        <v>43908</v>
      </c>
      <c r="Q261" s="466"/>
      <c r="R261" s="471" t="s">
        <v>6588</v>
      </c>
      <c r="S261" s="466"/>
      <c r="T261" s="472"/>
      <c r="U261" s="472"/>
      <c r="V261" s="1516"/>
      <c r="W261" s="1516"/>
      <c r="X261" s="1516"/>
      <c r="Y261" s="472"/>
      <c r="Z261" s="472"/>
      <c r="AA261" s="466"/>
      <c r="AB261" s="470">
        <v>43914</v>
      </c>
      <c r="AC261" s="466"/>
      <c r="AD261" s="466"/>
      <c r="AE261" s="466"/>
      <c r="AJ261" s="1944"/>
      <c r="AK261" s="1944"/>
      <c r="AL261" s="1944"/>
      <c r="AM261" s="1944"/>
      <c r="AN261" s="1944"/>
      <c r="AO261" s="1944"/>
      <c r="AP261" s="1944"/>
      <c r="AQ261" s="1944"/>
      <c r="AR261" s="1944"/>
      <c r="AS261" s="1944"/>
    </row>
    <row r="262" spans="1:45">
      <c r="A262" s="1944"/>
      <c r="B262" s="1944"/>
      <c r="C262" s="365">
        <v>43866</v>
      </c>
      <c r="D262" s="1397" t="s">
        <v>6389</v>
      </c>
      <c r="E262" s="3210" t="s">
        <v>4997</v>
      </c>
      <c r="F262" s="3210" t="s">
        <v>167</v>
      </c>
      <c r="G262" s="175" t="s">
        <v>6390</v>
      </c>
      <c r="H262" s="3210"/>
      <c r="I262" s="495"/>
      <c r="J262" s="3210"/>
      <c r="K262" s="3210" t="s">
        <v>1676</v>
      </c>
      <c r="L262" s="3210"/>
      <c r="M262" s="364">
        <v>990000</v>
      </c>
      <c r="N262" s="3210" t="s">
        <v>112</v>
      </c>
      <c r="O262" s="365">
        <v>43879</v>
      </c>
      <c r="P262" s="365">
        <v>43888</v>
      </c>
      <c r="Q262" s="365">
        <v>43895</v>
      </c>
      <c r="R262" s="3211" t="s">
        <v>2032</v>
      </c>
      <c r="S262" s="3210"/>
      <c r="T262" s="364">
        <v>877411.85</v>
      </c>
      <c r="U262" s="364">
        <v>1061668.3400000001</v>
      </c>
      <c r="V262" s="1473"/>
      <c r="W262" s="1473"/>
      <c r="X262" s="1473"/>
      <c r="Y262" s="681">
        <v>43896</v>
      </c>
      <c r="Z262" s="364" t="s">
        <v>6511</v>
      </c>
      <c r="AA262" s="365">
        <v>43927</v>
      </c>
      <c r="AB262" s="365">
        <v>43927</v>
      </c>
      <c r="AC262" s="365">
        <v>44076</v>
      </c>
      <c r="AD262" s="365">
        <v>44158</v>
      </c>
      <c r="AE262" s="1513"/>
      <c r="AJ262" s="1944"/>
      <c r="AK262" s="1944"/>
      <c r="AL262" s="1944"/>
      <c r="AM262" s="1944"/>
      <c r="AN262" s="1944"/>
      <c r="AO262" s="1944"/>
      <c r="AP262" s="1944"/>
      <c r="AQ262" s="1944"/>
      <c r="AR262" s="1944"/>
      <c r="AS262" s="1944"/>
    </row>
    <row r="263" spans="1:45">
      <c r="A263" s="1944"/>
      <c r="B263" s="1944"/>
      <c r="C263" s="470">
        <v>43857</v>
      </c>
      <c r="D263" s="1515" t="s">
        <v>6427</v>
      </c>
      <c r="E263" s="466" t="s">
        <v>2111</v>
      </c>
      <c r="F263" s="466" t="s">
        <v>4440</v>
      </c>
      <c r="G263" s="467" t="s">
        <v>6428</v>
      </c>
      <c r="H263" s="466"/>
      <c r="I263" s="548"/>
      <c r="J263" s="466"/>
      <c r="K263" s="466" t="s">
        <v>6429</v>
      </c>
      <c r="L263" s="466"/>
      <c r="M263" s="472">
        <v>674000</v>
      </c>
      <c r="N263" s="466" t="s">
        <v>112</v>
      </c>
      <c r="O263" s="470">
        <v>43881</v>
      </c>
      <c r="P263" s="470">
        <v>43889</v>
      </c>
      <c r="Q263" s="466"/>
      <c r="R263" s="471" t="s">
        <v>242</v>
      </c>
      <c r="S263" s="2014" t="s">
        <v>7490</v>
      </c>
      <c r="T263" s="472"/>
      <c r="U263" s="472"/>
      <c r="V263" s="1516"/>
      <c r="W263" s="1516"/>
      <c r="X263" s="1516"/>
      <c r="Y263" s="472"/>
      <c r="Z263" s="472"/>
      <c r="AA263" s="466"/>
      <c r="AB263" s="470">
        <v>43903</v>
      </c>
      <c r="AC263" s="466"/>
      <c r="AD263" s="466"/>
      <c r="AE263" s="466"/>
      <c r="AJ263" s="1944"/>
      <c r="AK263" s="1944"/>
      <c r="AL263" s="1944"/>
      <c r="AM263" s="1944"/>
      <c r="AN263" s="1944"/>
      <c r="AO263" s="1944"/>
      <c r="AP263" s="1944"/>
      <c r="AQ263" s="1944"/>
      <c r="AR263" s="1944"/>
      <c r="AS263" s="1944"/>
    </row>
    <row r="264" spans="1:45">
      <c r="A264" s="1944"/>
      <c r="B264" s="1944"/>
      <c r="C264" s="537">
        <v>43857</v>
      </c>
      <c r="D264" s="491" t="s">
        <v>6392</v>
      </c>
      <c r="E264" s="491" t="s">
        <v>2265</v>
      </c>
      <c r="F264" s="491" t="s">
        <v>230</v>
      </c>
      <c r="G264" s="571" t="s">
        <v>6393</v>
      </c>
      <c r="H264" s="491">
        <v>1</v>
      </c>
      <c r="I264" s="1979" t="s">
        <v>6395</v>
      </c>
      <c r="J264" s="3210"/>
      <c r="K264" s="491" t="s">
        <v>6394</v>
      </c>
      <c r="L264" s="491"/>
      <c r="M264" s="536">
        <v>7000000</v>
      </c>
      <c r="N264" s="491" t="s">
        <v>251</v>
      </c>
      <c r="O264" s="537">
        <v>43872</v>
      </c>
      <c r="P264" s="537">
        <v>43906</v>
      </c>
      <c r="Q264" s="537">
        <v>43916</v>
      </c>
      <c r="R264" s="495" t="s">
        <v>2360</v>
      </c>
      <c r="S264" s="491"/>
      <c r="T264" s="536">
        <v>6895095</v>
      </c>
      <c r="U264" s="536">
        <v>8343064.9500000002</v>
      </c>
      <c r="V264" s="1473"/>
      <c r="W264" s="1473"/>
      <c r="X264" s="1473"/>
      <c r="Y264" s="573">
        <v>43916</v>
      </c>
      <c r="Z264" s="536" t="s">
        <v>6594</v>
      </c>
      <c r="AA264" s="537">
        <v>43962</v>
      </c>
      <c r="AB264" s="537">
        <v>43963</v>
      </c>
      <c r="AC264" s="537">
        <v>45291</v>
      </c>
      <c r="AD264" s="537">
        <v>44278</v>
      </c>
      <c r="AE264" s="537">
        <v>44643</v>
      </c>
      <c r="AF264" s="388">
        <v>2022</v>
      </c>
      <c r="AG264" s="388">
        <v>2023</v>
      </c>
      <c r="AJ264" s="1944"/>
      <c r="AK264" s="1944"/>
      <c r="AL264" s="1944"/>
      <c r="AM264" s="1944"/>
      <c r="AN264" s="1944"/>
      <c r="AO264" s="1944"/>
      <c r="AP264" s="1944"/>
      <c r="AQ264" s="1944"/>
      <c r="AR264" s="1944"/>
      <c r="AS264" s="1944"/>
    </row>
    <row r="265" spans="1:45">
      <c r="A265" s="1944"/>
      <c r="B265" s="1944"/>
      <c r="C265" s="365">
        <v>43857</v>
      </c>
      <c r="D265" s="1397" t="s">
        <v>6392</v>
      </c>
      <c r="E265" s="3210" t="s">
        <v>2265</v>
      </c>
      <c r="F265" s="3210" t="s">
        <v>230</v>
      </c>
      <c r="G265" s="175" t="s">
        <v>6393</v>
      </c>
      <c r="H265" s="3210">
        <v>2</v>
      </c>
      <c r="I265" s="1979" t="s">
        <v>3847</v>
      </c>
      <c r="J265" s="3210"/>
      <c r="K265" s="3210" t="s">
        <v>6394</v>
      </c>
      <c r="L265" s="3210"/>
      <c r="M265" s="364">
        <v>3500000</v>
      </c>
      <c r="N265" s="3210" t="s">
        <v>251</v>
      </c>
      <c r="O265" s="365">
        <v>43872</v>
      </c>
      <c r="P265" s="365">
        <v>43906</v>
      </c>
      <c r="Q265" s="365">
        <v>43916</v>
      </c>
      <c r="R265" s="3211" t="s">
        <v>2360</v>
      </c>
      <c r="S265" s="3210"/>
      <c r="T265" s="364">
        <v>3367420</v>
      </c>
      <c r="U265" s="364">
        <v>4074578.2</v>
      </c>
      <c r="V265" s="1473"/>
      <c r="W265" s="1473"/>
      <c r="X265" s="1473"/>
      <c r="Y265" s="681">
        <v>43916</v>
      </c>
      <c r="Z265" s="364" t="s">
        <v>6595</v>
      </c>
      <c r="AA265" s="365">
        <v>43962</v>
      </c>
      <c r="AB265" s="365">
        <v>43963</v>
      </c>
      <c r="AC265" s="365">
        <v>45291</v>
      </c>
      <c r="AD265" s="365">
        <v>44278</v>
      </c>
      <c r="AE265" s="365">
        <v>44643</v>
      </c>
      <c r="AF265" s="388">
        <v>2022</v>
      </c>
      <c r="AG265" s="388">
        <v>2023</v>
      </c>
      <c r="AJ265" s="1944"/>
      <c r="AK265" s="1944"/>
      <c r="AL265" s="1944"/>
      <c r="AM265" s="1944"/>
      <c r="AN265" s="1944"/>
      <c r="AO265" s="1944"/>
      <c r="AP265" s="1944"/>
      <c r="AQ265" s="1944"/>
      <c r="AR265" s="1944"/>
      <c r="AS265" s="1944"/>
    </row>
    <row r="266" spans="1:45">
      <c r="A266" s="1944"/>
      <c r="B266" s="1944"/>
      <c r="C266" s="365">
        <v>43872</v>
      </c>
      <c r="D266" s="1397" t="s">
        <v>6403</v>
      </c>
      <c r="E266" s="3210" t="s">
        <v>52</v>
      </c>
      <c r="F266" s="3210" t="s">
        <v>3089</v>
      </c>
      <c r="G266" s="175" t="s">
        <v>6404</v>
      </c>
      <c r="H266" s="3210"/>
      <c r="I266" s="3211"/>
      <c r="J266" s="3210"/>
      <c r="K266" s="3210" t="s">
        <v>1676</v>
      </c>
      <c r="L266" s="3210" t="s">
        <v>6405</v>
      </c>
      <c r="M266" s="364">
        <v>5000000</v>
      </c>
      <c r="N266" s="3210" t="s">
        <v>112</v>
      </c>
      <c r="O266" s="365">
        <v>43879</v>
      </c>
      <c r="P266" s="365">
        <v>43889</v>
      </c>
      <c r="Q266" s="365">
        <v>43895</v>
      </c>
      <c r="R266" s="3211" t="s">
        <v>707</v>
      </c>
      <c r="S266" s="3210"/>
      <c r="T266" s="364">
        <v>5850027.46</v>
      </c>
      <c r="U266" s="364">
        <v>7078533.2300000004</v>
      </c>
      <c r="V266" s="1473"/>
      <c r="W266" s="1473"/>
      <c r="X266" s="1473"/>
      <c r="Y266" s="681">
        <v>43896</v>
      </c>
      <c r="Z266" s="364" t="s">
        <v>6512</v>
      </c>
      <c r="AA266" s="365">
        <v>43965</v>
      </c>
      <c r="AB266" s="365">
        <v>43966</v>
      </c>
      <c r="AC266" s="365">
        <f>AA266+120</f>
        <v>44085</v>
      </c>
      <c r="AD266" s="365">
        <v>44645</v>
      </c>
      <c r="AE266" s="1513"/>
      <c r="AJ266" s="1944"/>
      <c r="AK266" s="1944"/>
      <c r="AL266" s="1944"/>
      <c r="AM266" s="1944"/>
      <c r="AN266" s="1944"/>
      <c r="AO266" s="1944"/>
      <c r="AP266" s="1944"/>
      <c r="AQ266" s="1944"/>
      <c r="AR266" s="1944"/>
      <c r="AS266" s="1944"/>
    </row>
    <row r="267" spans="1:45" ht="45">
      <c r="A267" s="1944"/>
      <c r="B267" s="1944"/>
      <c r="C267" s="470" t="s">
        <v>3585</v>
      </c>
      <c r="D267" s="1515" t="s">
        <v>6408</v>
      </c>
      <c r="E267" s="466" t="s">
        <v>58</v>
      </c>
      <c r="F267" s="466" t="s">
        <v>2684</v>
      </c>
      <c r="G267" s="467" t="s">
        <v>6409</v>
      </c>
      <c r="H267" s="466"/>
      <c r="I267" s="654"/>
      <c r="J267" s="576"/>
      <c r="K267" s="466" t="s">
        <v>77</v>
      </c>
      <c r="L267" s="466" t="s">
        <v>3029</v>
      </c>
      <c r="M267" s="472">
        <v>5000000</v>
      </c>
      <c r="N267" s="466" t="s">
        <v>251</v>
      </c>
      <c r="O267" s="470">
        <v>43978</v>
      </c>
      <c r="P267" s="470">
        <v>44012</v>
      </c>
      <c r="Q267" s="470">
        <v>44021</v>
      </c>
      <c r="R267" s="654" t="s">
        <v>5320</v>
      </c>
      <c r="S267" s="466"/>
      <c r="T267" s="472">
        <v>5751218</v>
      </c>
      <c r="U267" s="472">
        <v>6958973.7800000003</v>
      </c>
      <c r="V267" s="1489"/>
      <c r="W267" s="1489"/>
      <c r="X267" s="1489"/>
      <c r="Y267" s="1547">
        <v>44022</v>
      </c>
      <c r="Z267" s="1611" t="s">
        <v>7122</v>
      </c>
      <c r="AA267" s="466"/>
      <c r="AB267" s="470">
        <v>44060</v>
      </c>
      <c r="AC267" s="654" t="s">
        <v>7249</v>
      </c>
      <c r="AD267" s="466"/>
      <c r="AE267" s="466"/>
      <c r="AJ267" s="1944"/>
      <c r="AK267" s="1944"/>
      <c r="AL267" s="1944"/>
      <c r="AM267" s="1944"/>
      <c r="AN267" s="1944"/>
      <c r="AO267" s="1944"/>
      <c r="AP267" s="1944"/>
      <c r="AQ267" s="1944"/>
      <c r="AR267" s="1944"/>
      <c r="AS267" s="1944"/>
    </row>
    <row r="268" spans="1:45">
      <c r="A268" s="1944"/>
      <c r="B268" s="1944"/>
      <c r="C268" s="470" t="s">
        <v>3585</v>
      </c>
      <c r="D268" s="1515" t="s">
        <v>6480</v>
      </c>
      <c r="E268" s="466" t="s">
        <v>2111</v>
      </c>
      <c r="F268" s="466" t="s">
        <v>4440</v>
      </c>
      <c r="G268" s="467" t="s">
        <v>3443</v>
      </c>
      <c r="H268" s="466"/>
      <c r="I268" s="654"/>
      <c r="J268" s="466"/>
      <c r="K268" s="466" t="s">
        <v>2824</v>
      </c>
      <c r="L268" s="466"/>
      <c r="M268" s="472">
        <v>1500000</v>
      </c>
      <c r="N268" s="466" t="s">
        <v>112</v>
      </c>
      <c r="O268" s="470">
        <v>43887</v>
      </c>
      <c r="P268" s="470">
        <v>43900</v>
      </c>
      <c r="Q268" s="466"/>
      <c r="R268" s="654"/>
      <c r="S268" s="466"/>
      <c r="T268" s="472"/>
      <c r="U268" s="472"/>
      <c r="V268" s="1516"/>
      <c r="W268" s="1516"/>
      <c r="X268" s="1516"/>
      <c r="Y268" s="472"/>
      <c r="Z268" s="472"/>
      <c r="AA268" s="466"/>
      <c r="AB268" s="470">
        <v>43927</v>
      </c>
      <c r="AC268" s="466"/>
      <c r="AD268" s="466"/>
      <c r="AE268" s="466"/>
      <c r="AJ268" s="1944"/>
      <c r="AK268" s="1944"/>
      <c r="AL268" s="1944"/>
      <c r="AM268" s="1944"/>
      <c r="AN268" s="1944"/>
      <c r="AO268" s="1944"/>
      <c r="AP268" s="1944"/>
      <c r="AQ268" s="1944"/>
      <c r="AR268" s="1944"/>
      <c r="AS268" s="1944"/>
    </row>
    <row r="269" spans="1:45">
      <c r="A269" s="1944"/>
      <c r="B269" s="1944"/>
      <c r="C269" s="365">
        <v>43878</v>
      </c>
      <c r="D269" s="1397" t="s">
        <v>6412</v>
      </c>
      <c r="E269" s="3210" t="s">
        <v>1032</v>
      </c>
      <c r="F269" s="3210" t="s">
        <v>361</v>
      </c>
      <c r="G269" s="175" t="s">
        <v>6413</v>
      </c>
      <c r="H269" s="3210"/>
      <c r="I269" s="3211"/>
      <c r="J269" s="3210"/>
      <c r="K269" s="3210" t="s">
        <v>806</v>
      </c>
      <c r="L269" s="3210"/>
      <c r="M269" s="364">
        <v>14600000</v>
      </c>
      <c r="N269" s="3210" t="s">
        <v>251</v>
      </c>
      <c r="O269" s="365">
        <v>43887</v>
      </c>
      <c r="P269" s="365">
        <v>43928</v>
      </c>
      <c r="Q269" s="365">
        <v>43944</v>
      </c>
      <c r="R269" s="3211" t="s">
        <v>5005</v>
      </c>
      <c r="S269" s="3210"/>
      <c r="T269" s="364">
        <v>10445328.949999999</v>
      </c>
      <c r="U269" s="364">
        <f>T269*1.21</f>
        <v>12638848.029499998</v>
      </c>
      <c r="V269" s="1473"/>
      <c r="W269" s="1473"/>
      <c r="X269" s="1473"/>
      <c r="Y269" s="681">
        <v>43944</v>
      </c>
      <c r="Z269" s="364" t="s">
        <v>6733</v>
      </c>
      <c r="AA269" s="365">
        <v>43965</v>
      </c>
      <c r="AB269" s="365">
        <v>43966</v>
      </c>
      <c r="AC269" s="3210" t="s">
        <v>7770</v>
      </c>
      <c r="AD269" s="365">
        <v>44292</v>
      </c>
      <c r="AE269" s="1513"/>
      <c r="AJ269" s="1944"/>
      <c r="AK269" s="1944"/>
      <c r="AL269" s="1944"/>
      <c r="AM269" s="1944"/>
      <c r="AN269" s="1944"/>
      <c r="AO269" s="1944"/>
      <c r="AP269" s="1944"/>
      <c r="AQ269" s="1944"/>
      <c r="AR269" s="1944"/>
      <c r="AS269" s="1944"/>
    </row>
    <row r="270" spans="1:45">
      <c r="A270" s="1944"/>
      <c r="B270" s="1944"/>
      <c r="C270" s="365">
        <v>43878</v>
      </c>
      <c r="D270" s="1397" t="s">
        <v>6419</v>
      </c>
      <c r="E270" s="3210" t="s">
        <v>4997</v>
      </c>
      <c r="F270" s="3210" t="s">
        <v>167</v>
      </c>
      <c r="G270" s="175" t="s">
        <v>6420</v>
      </c>
      <c r="H270" s="3210"/>
      <c r="I270" s="3211"/>
      <c r="J270" s="3210"/>
      <c r="K270" s="3210" t="s">
        <v>1676</v>
      </c>
      <c r="L270" s="3210"/>
      <c r="M270" s="364">
        <v>400000</v>
      </c>
      <c r="N270" s="3210" t="s">
        <v>112</v>
      </c>
      <c r="O270" s="365">
        <v>43885</v>
      </c>
      <c r="P270" s="365">
        <v>43893</v>
      </c>
      <c r="Q270" s="365">
        <v>43895</v>
      </c>
      <c r="R270" s="3211" t="s">
        <v>2032</v>
      </c>
      <c r="S270" s="3210"/>
      <c r="T270" s="364">
        <v>439971.61</v>
      </c>
      <c r="U270" s="364">
        <v>532365.65</v>
      </c>
      <c r="V270" s="1473"/>
      <c r="W270" s="1473"/>
      <c r="X270" s="1473"/>
      <c r="Y270" s="681">
        <v>43896</v>
      </c>
      <c r="Z270" s="364" t="s">
        <v>6513</v>
      </c>
      <c r="AA270" s="365">
        <v>43921</v>
      </c>
      <c r="AB270" s="365">
        <v>43921</v>
      </c>
      <c r="AC270" s="365">
        <v>43965</v>
      </c>
      <c r="AD270" s="365">
        <v>44123</v>
      </c>
      <c r="AE270" s="1513"/>
      <c r="AJ270" s="1944"/>
      <c r="AK270" s="1944"/>
      <c r="AL270" s="1944"/>
      <c r="AM270" s="1944"/>
      <c r="AN270" s="1944"/>
      <c r="AO270" s="1944"/>
      <c r="AP270" s="1944"/>
      <c r="AQ270" s="1944"/>
      <c r="AR270" s="1944"/>
      <c r="AS270" s="1944"/>
    </row>
    <row r="271" spans="1:45">
      <c r="A271" s="1944"/>
      <c r="B271" s="1944"/>
      <c r="C271" s="365">
        <v>43880</v>
      </c>
      <c r="D271" s="1397" t="s">
        <v>6423</v>
      </c>
      <c r="E271" s="3210" t="s">
        <v>52</v>
      </c>
      <c r="F271" s="3210" t="s">
        <v>6359</v>
      </c>
      <c r="G271" s="175" t="s">
        <v>6425</v>
      </c>
      <c r="H271" s="3210"/>
      <c r="I271" s="3211"/>
      <c r="J271" s="3210"/>
      <c r="K271" s="3210" t="s">
        <v>6424</v>
      </c>
      <c r="L271" s="3210" t="s">
        <v>6573</v>
      </c>
      <c r="M271" s="364">
        <v>17213115</v>
      </c>
      <c r="N271" s="3210" t="s">
        <v>216</v>
      </c>
      <c r="O271" s="365">
        <v>43886</v>
      </c>
      <c r="P271" s="365">
        <v>43906</v>
      </c>
      <c r="Q271" s="365">
        <v>43936</v>
      </c>
      <c r="R271" s="3211" t="s">
        <v>6690</v>
      </c>
      <c r="S271" s="3210"/>
      <c r="T271" s="364">
        <v>15958865.68</v>
      </c>
      <c r="U271" s="364">
        <v>19310227.469999999</v>
      </c>
      <c r="V271" s="1473"/>
      <c r="W271" s="1473"/>
      <c r="X271" s="1473"/>
      <c r="Y271" s="681">
        <v>43936</v>
      </c>
      <c r="Z271" s="364" t="s">
        <v>6691</v>
      </c>
      <c r="AA271" s="365">
        <v>43965</v>
      </c>
      <c r="AB271" s="365">
        <v>43969</v>
      </c>
      <c r="AC271" s="365">
        <f>AA271+183</f>
        <v>44148</v>
      </c>
      <c r="AD271" s="365">
        <v>44645</v>
      </c>
      <c r="AE271" s="1513"/>
      <c r="AJ271" s="1944"/>
      <c r="AK271" s="1944"/>
      <c r="AL271" s="1944"/>
      <c r="AM271" s="1944"/>
      <c r="AN271" s="1944"/>
      <c r="AO271" s="1944"/>
      <c r="AP271" s="1944"/>
      <c r="AQ271" s="1944"/>
      <c r="AR271" s="1944"/>
      <c r="AS271" s="1944"/>
    </row>
    <row r="272" spans="1:45">
      <c r="A272" s="1944"/>
      <c r="B272" s="1944"/>
      <c r="C272" s="365">
        <v>43731</v>
      </c>
      <c r="D272" s="1397" t="s">
        <v>6426</v>
      </c>
      <c r="E272" s="3210" t="s">
        <v>2434</v>
      </c>
      <c r="F272" s="3210" t="s">
        <v>219</v>
      </c>
      <c r="G272" s="175" t="s">
        <v>5683</v>
      </c>
      <c r="H272" s="3210"/>
      <c r="I272" s="3211"/>
      <c r="J272" s="3210"/>
      <c r="K272" s="3210" t="s">
        <v>3293</v>
      </c>
      <c r="L272" s="3210"/>
      <c r="M272" s="364">
        <v>11160000</v>
      </c>
      <c r="N272" s="3210" t="s">
        <v>251</v>
      </c>
      <c r="O272" s="365">
        <v>44033</v>
      </c>
      <c r="P272" s="365">
        <v>44064</v>
      </c>
      <c r="Q272" s="365">
        <v>44109</v>
      </c>
      <c r="R272" s="3211" t="s">
        <v>6128</v>
      </c>
      <c r="S272" s="3210"/>
      <c r="T272" s="364">
        <v>10626240</v>
      </c>
      <c r="U272" s="364">
        <v>12865440</v>
      </c>
      <c r="V272" s="1473"/>
      <c r="W272" s="1473"/>
      <c r="X272" s="1473"/>
      <c r="Y272" s="681">
        <v>44109</v>
      </c>
      <c r="Z272" s="364" t="s">
        <v>7711</v>
      </c>
      <c r="AA272" s="365">
        <v>44131</v>
      </c>
      <c r="AB272" s="365">
        <v>44151</v>
      </c>
      <c r="AC272" s="365">
        <v>45225</v>
      </c>
      <c r="AD272" s="365">
        <v>44285</v>
      </c>
      <c r="AE272" s="365">
        <v>44637</v>
      </c>
      <c r="AF272" s="388">
        <v>2022</v>
      </c>
      <c r="AG272" s="388" t="s">
        <v>7834</v>
      </c>
      <c r="AJ272" s="1944"/>
      <c r="AK272" s="1944"/>
      <c r="AL272" s="1944"/>
      <c r="AM272" s="1944"/>
      <c r="AN272" s="1944"/>
      <c r="AO272" s="1944"/>
      <c r="AP272" s="1944"/>
      <c r="AQ272" s="1944"/>
      <c r="AR272" s="1944"/>
      <c r="AS272" s="1944"/>
    </row>
    <row r="273" spans="1:45" ht="30.75" thickBot="1">
      <c r="A273" s="1944"/>
      <c r="B273" s="1944"/>
      <c r="C273" s="899">
        <v>43956</v>
      </c>
      <c r="D273" s="1544" t="s">
        <v>6436</v>
      </c>
      <c r="E273" s="232" t="s">
        <v>9694</v>
      </c>
      <c r="F273" s="232" t="s">
        <v>2684</v>
      </c>
      <c r="G273" s="274" t="s">
        <v>6437</v>
      </c>
      <c r="H273" s="232"/>
      <c r="I273" s="669"/>
      <c r="J273" s="232"/>
      <c r="K273" s="232" t="s">
        <v>77</v>
      </c>
      <c r="L273" s="232" t="s">
        <v>4246</v>
      </c>
      <c r="M273" s="499">
        <v>8514000</v>
      </c>
      <c r="N273" s="232" t="s">
        <v>251</v>
      </c>
      <c r="O273" s="498">
        <v>43958</v>
      </c>
      <c r="P273" s="498">
        <v>44020</v>
      </c>
      <c r="Q273" s="498">
        <v>44032</v>
      </c>
      <c r="R273" s="669" t="s">
        <v>7161</v>
      </c>
      <c r="S273" s="232"/>
      <c r="T273" s="499">
        <v>11496500</v>
      </c>
      <c r="U273" s="499">
        <v>13910765</v>
      </c>
      <c r="V273" s="1545"/>
      <c r="W273" s="1545"/>
      <c r="X273" s="1545"/>
      <c r="Y273" s="682">
        <v>44032</v>
      </c>
      <c r="Z273" s="1752" t="s">
        <v>7180</v>
      </c>
      <c r="AA273" s="498">
        <v>44054</v>
      </c>
      <c r="AB273" s="498">
        <v>44055</v>
      </c>
      <c r="AC273" s="498">
        <f>AA273+56</f>
        <v>44110</v>
      </c>
      <c r="AD273" s="498">
        <v>44175</v>
      </c>
      <c r="AE273" s="1546" t="s">
        <v>1875</v>
      </c>
      <c r="AJ273" s="1944"/>
      <c r="AK273" s="1944"/>
      <c r="AL273" s="1944"/>
      <c r="AM273" s="1944"/>
      <c r="AN273" s="1944"/>
      <c r="AO273" s="1944"/>
      <c r="AP273" s="1944"/>
      <c r="AQ273" s="1944"/>
      <c r="AR273" s="1944"/>
      <c r="AS273" s="1944"/>
    </row>
    <row r="274" spans="1:45" ht="15.75" thickTop="1">
      <c r="A274" s="1944"/>
      <c r="B274" s="1944"/>
      <c r="C274" s="474">
        <v>43881</v>
      </c>
      <c r="D274" s="1383" t="s">
        <v>6446</v>
      </c>
      <c r="E274" s="453" t="s">
        <v>69</v>
      </c>
      <c r="F274" s="453" t="s">
        <v>70</v>
      </c>
      <c r="G274" s="473" t="s">
        <v>6450</v>
      </c>
      <c r="H274" s="453">
        <v>1</v>
      </c>
      <c r="I274" s="1420" t="s">
        <v>6447</v>
      </c>
      <c r="J274" s="453" t="s">
        <v>6451</v>
      </c>
      <c r="K274" s="453" t="s">
        <v>68</v>
      </c>
      <c r="L274" s="453"/>
      <c r="M274" s="457">
        <v>912366</v>
      </c>
      <c r="N274" s="453" t="s">
        <v>251</v>
      </c>
      <c r="O274" s="474">
        <v>43887</v>
      </c>
      <c r="P274" s="474">
        <v>43963</v>
      </c>
      <c r="Q274" s="474">
        <v>43999</v>
      </c>
      <c r="R274" s="1420" t="s">
        <v>2548</v>
      </c>
      <c r="S274" s="453"/>
      <c r="T274" s="457">
        <v>912366</v>
      </c>
      <c r="U274" s="457">
        <v>1003602.6</v>
      </c>
      <c r="V274" s="1474"/>
      <c r="W274" s="1474"/>
      <c r="X274" s="1474"/>
      <c r="Y274" s="570">
        <v>43999</v>
      </c>
      <c r="Z274" s="457" t="s">
        <v>6984</v>
      </c>
      <c r="AA274" s="474">
        <v>44032</v>
      </c>
      <c r="AB274" s="474">
        <v>44043</v>
      </c>
      <c r="AC274" s="474">
        <v>45143</v>
      </c>
      <c r="AD274" s="474">
        <v>44279</v>
      </c>
      <c r="AE274" s="474">
        <v>44645</v>
      </c>
      <c r="AF274" s="388">
        <v>2022</v>
      </c>
      <c r="AG274" s="1529" t="s">
        <v>7182</v>
      </c>
      <c r="AH274" s="1166" t="s">
        <v>7183</v>
      </c>
      <c r="AJ274" s="1944"/>
      <c r="AK274" s="1944"/>
      <c r="AL274" s="1944"/>
      <c r="AM274" s="1944"/>
      <c r="AN274" s="1944"/>
      <c r="AO274" s="1944"/>
      <c r="AP274" s="1944"/>
      <c r="AQ274" s="1944"/>
      <c r="AR274" s="1944"/>
      <c r="AS274" s="1944"/>
    </row>
    <row r="275" spans="1:45">
      <c r="A275" s="1944"/>
      <c r="B275" s="1944"/>
      <c r="C275" s="510">
        <v>43881</v>
      </c>
      <c r="D275" s="1515" t="s">
        <v>6446</v>
      </c>
      <c r="E275" s="506" t="s">
        <v>69</v>
      </c>
      <c r="F275" s="506" t="s">
        <v>70</v>
      </c>
      <c r="G275" s="467" t="s">
        <v>6450</v>
      </c>
      <c r="H275" s="506">
        <v>2</v>
      </c>
      <c r="I275" s="548" t="s">
        <v>6448</v>
      </c>
      <c r="J275" s="506" t="s">
        <v>6452</v>
      </c>
      <c r="K275" s="466" t="s">
        <v>68</v>
      </c>
      <c r="L275" s="506"/>
      <c r="M275" s="511">
        <v>1155943</v>
      </c>
      <c r="N275" s="506" t="s">
        <v>251</v>
      </c>
      <c r="O275" s="510">
        <v>43887</v>
      </c>
      <c r="P275" s="510">
        <v>43963</v>
      </c>
      <c r="Q275" s="506"/>
      <c r="R275" s="736" t="s">
        <v>304</v>
      </c>
      <c r="S275" s="506"/>
      <c r="T275" s="511"/>
      <c r="U275" s="511"/>
      <c r="V275" s="1470"/>
      <c r="W275" s="1470"/>
      <c r="X275" s="1470"/>
      <c r="Y275" s="511"/>
      <c r="Z275" s="511"/>
      <c r="AA275" s="506"/>
      <c r="AB275" s="510">
        <v>43985</v>
      </c>
      <c r="AC275" s="506" t="s">
        <v>6864</v>
      </c>
      <c r="AD275" s="506"/>
      <c r="AE275" s="506"/>
      <c r="AJ275" s="1944"/>
      <c r="AK275" s="1944"/>
      <c r="AL275" s="1944"/>
      <c r="AM275" s="1944"/>
      <c r="AN275" s="1944"/>
      <c r="AO275" s="1944"/>
      <c r="AP275" s="1944"/>
      <c r="AQ275" s="1944"/>
      <c r="AR275" s="1944"/>
      <c r="AS275" s="1944"/>
    </row>
    <row r="276" spans="1:45" ht="15.75" thickBot="1">
      <c r="A276" s="1944"/>
      <c r="B276" s="1944"/>
      <c r="C276" s="675">
        <v>43881</v>
      </c>
      <c r="D276" s="1982" t="s">
        <v>6446</v>
      </c>
      <c r="E276" s="517" t="s">
        <v>69</v>
      </c>
      <c r="F276" s="517" t="s">
        <v>70</v>
      </c>
      <c r="G276" s="672" t="s">
        <v>6450</v>
      </c>
      <c r="H276" s="1376">
        <v>3</v>
      </c>
      <c r="I276" s="1421" t="s">
        <v>6449</v>
      </c>
      <c r="J276" s="1376" t="s">
        <v>6453</v>
      </c>
      <c r="K276" s="517" t="s">
        <v>68</v>
      </c>
      <c r="L276" s="1376"/>
      <c r="M276" s="1379">
        <v>2890296</v>
      </c>
      <c r="N276" s="1376" t="s">
        <v>251</v>
      </c>
      <c r="O276" s="1380">
        <v>43887</v>
      </c>
      <c r="P276" s="1380">
        <v>43963</v>
      </c>
      <c r="Q276" s="1380">
        <v>43999</v>
      </c>
      <c r="R276" s="1421" t="s">
        <v>5774</v>
      </c>
      <c r="S276" s="1376"/>
      <c r="T276" s="1379">
        <v>2764543.92</v>
      </c>
      <c r="U276" s="1379">
        <v>3040998.31</v>
      </c>
      <c r="V276" s="1475"/>
      <c r="W276" s="1475"/>
      <c r="X276" s="1475"/>
      <c r="Y276" s="1388">
        <v>43999</v>
      </c>
      <c r="Z276" s="1379" t="s">
        <v>6985</v>
      </c>
      <c r="AA276" s="1380">
        <v>44032</v>
      </c>
      <c r="AB276" s="1380">
        <v>44043</v>
      </c>
      <c r="AC276" s="1380">
        <v>45126</v>
      </c>
      <c r="AD276" s="416">
        <v>44279</v>
      </c>
      <c r="AE276" s="416">
        <v>44645</v>
      </c>
      <c r="AF276" s="388">
        <v>2022</v>
      </c>
      <c r="AG276" s="388" t="s">
        <v>7181</v>
      </c>
      <c r="AJ276" s="1944"/>
      <c r="AK276" s="1944"/>
      <c r="AL276" s="1944"/>
      <c r="AM276" s="1944"/>
      <c r="AN276" s="1944"/>
      <c r="AO276" s="1944"/>
      <c r="AP276" s="1944"/>
      <c r="AQ276" s="1944"/>
      <c r="AR276" s="1944"/>
      <c r="AS276" s="1944"/>
    </row>
    <row r="277" spans="1:45" ht="15.75" thickTop="1">
      <c r="A277" s="1944"/>
      <c r="B277" s="1944"/>
      <c r="C277" s="474">
        <v>43881</v>
      </c>
      <c r="D277" s="1383" t="s">
        <v>6454</v>
      </c>
      <c r="E277" s="453" t="s">
        <v>69</v>
      </c>
      <c r="F277" s="453" t="s">
        <v>70</v>
      </c>
      <c r="G277" s="473" t="s">
        <v>6469</v>
      </c>
      <c r="H277" s="453">
        <v>1</v>
      </c>
      <c r="I277" s="1420" t="s">
        <v>6455</v>
      </c>
      <c r="J277" s="453" t="s">
        <v>6462</v>
      </c>
      <c r="K277" s="453" t="s">
        <v>68</v>
      </c>
      <c r="L277" s="453"/>
      <c r="M277" s="457">
        <v>8575115</v>
      </c>
      <c r="N277" s="453" t="s">
        <v>251</v>
      </c>
      <c r="O277" s="474">
        <v>43886</v>
      </c>
      <c r="P277" s="474">
        <v>43962</v>
      </c>
      <c r="Q277" s="474">
        <v>43999</v>
      </c>
      <c r="R277" s="1420" t="s">
        <v>2548</v>
      </c>
      <c r="S277" s="453"/>
      <c r="T277" s="457">
        <v>8519745.7200000007</v>
      </c>
      <c r="U277" s="457">
        <v>9371720.2899999991</v>
      </c>
      <c r="V277" s="1474"/>
      <c r="W277" s="1474"/>
      <c r="X277" s="1474"/>
      <c r="Y277" s="570">
        <v>43999</v>
      </c>
      <c r="Z277" s="457" t="s">
        <v>6986</v>
      </c>
      <c r="AA277" s="474">
        <v>44036</v>
      </c>
      <c r="AB277" s="474">
        <v>44047</v>
      </c>
      <c r="AC277" s="474">
        <v>45130</v>
      </c>
      <c r="AD277" s="474">
        <v>44279</v>
      </c>
      <c r="AE277" s="474">
        <v>44645</v>
      </c>
      <c r="AF277" s="1391">
        <v>2022</v>
      </c>
      <c r="AG277" s="1391" t="s">
        <v>7206</v>
      </c>
      <c r="AH277" s="1166" t="s">
        <v>12691</v>
      </c>
      <c r="AJ277" s="1944"/>
      <c r="AK277" s="1944"/>
      <c r="AL277" s="1944"/>
      <c r="AM277" s="1944"/>
      <c r="AN277" s="1944"/>
      <c r="AO277" s="1944"/>
      <c r="AP277" s="1944"/>
      <c r="AQ277" s="1944"/>
      <c r="AR277" s="1944"/>
      <c r="AS277" s="1944"/>
    </row>
    <row r="278" spans="1:45">
      <c r="A278" s="1944"/>
      <c r="B278" s="1944"/>
      <c r="C278" s="365">
        <v>43881</v>
      </c>
      <c r="D278" s="1397" t="s">
        <v>6454</v>
      </c>
      <c r="E278" s="3210" t="s">
        <v>69</v>
      </c>
      <c r="F278" s="3210" t="s">
        <v>70</v>
      </c>
      <c r="G278" s="571" t="s">
        <v>6469</v>
      </c>
      <c r="H278" s="491">
        <v>2</v>
      </c>
      <c r="I278" s="495" t="s">
        <v>6456</v>
      </c>
      <c r="J278" s="491" t="s">
        <v>6463</v>
      </c>
      <c r="K278" s="3210" t="s">
        <v>68</v>
      </c>
      <c r="L278" s="491"/>
      <c r="M278" s="536">
        <v>3587029</v>
      </c>
      <c r="N278" s="491" t="s">
        <v>251</v>
      </c>
      <c r="O278" s="537">
        <v>43886</v>
      </c>
      <c r="P278" s="537">
        <v>43962</v>
      </c>
      <c r="Q278" s="537">
        <v>43999</v>
      </c>
      <c r="R278" s="495" t="s">
        <v>2548</v>
      </c>
      <c r="S278" s="491"/>
      <c r="T278" s="536">
        <v>3538087.5</v>
      </c>
      <c r="U278" s="536">
        <v>3891896.25</v>
      </c>
      <c r="V278" s="1471"/>
      <c r="W278" s="1471"/>
      <c r="X278" s="1471"/>
      <c r="Y278" s="573">
        <v>43999</v>
      </c>
      <c r="Z278" s="536" t="s">
        <v>6987</v>
      </c>
      <c r="AA278" s="537">
        <v>44036</v>
      </c>
      <c r="AB278" s="537">
        <v>44047</v>
      </c>
      <c r="AC278" s="537">
        <v>45130</v>
      </c>
      <c r="AD278" s="537">
        <v>44279</v>
      </c>
      <c r="AE278" s="537">
        <v>44645</v>
      </c>
      <c r="AF278" s="1374">
        <v>2022</v>
      </c>
      <c r="AG278" s="1374" t="s">
        <v>7206</v>
      </c>
      <c r="AJ278" s="1944"/>
      <c r="AK278" s="1944"/>
      <c r="AL278" s="1944"/>
      <c r="AM278" s="1944"/>
      <c r="AN278" s="1944"/>
      <c r="AO278" s="1944"/>
      <c r="AP278" s="1944"/>
      <c r="AQ278" s="1944"/>
      <c r="AR278" s="1944"/>
      <c r="AS278" s="1944"/>
    </row>
    <row r="279" spans="1:45">
      <c r="A279" s="1944"/>
      <c r="B279" s="1944"/>
      <c r="C279" s="365">
        <v>43881</v>
      </c>
      <c r="D279" s="1397" t="s">
        <v>6454</v>
      </c>
      <c r="E279" s="3210" t="s">
        <v>69</v>
      </c>
      <c r="F279" s="3210" t="s">
        <v>70</v>
      </c>
      <c r="G279" s="571" t="s">
        <v>6469</v>
      </c>
      <c r="H279" s="491">
        <v>3</v>
      </c>
      <c r="I279" s="495" t="s">
        <v>6457</v>
      </c>
      <c r="J279" s="491" t="s">
        <v>6464</v>
      </c>
      <c r="K279" s="491" t="s">
        <v>68</v>
      </c>
      <c r="L279" s="491"/>
      <c r="M279" s="536">
        <v>51849797</v>
      </c>
      <c r="N279" s="491" t="s">
        <v>251</v>
      </c>
      <c r="O279" s="537">
        <v>43886</v>
      </c>
      <c r="P279" s="537">
        <v>43962</v>
      </c>
      <c r="Q279" s="537">
        <v>43999</v>
      </c>
      <c r="R279" s="495" t="s">
        <v>1318</v>
      </c>
      <c r="S279" s="491"/>
      <c r="T279" s="536">
        <v>51821830.5</v>
      </c>
      <c r="U279" s="536">
        <v>57004013.549999997</v>
      </c>
      <c r="V279" s="1471"/>
      <c r="W279" s="1471"/>
      <c r="X279" s="1471"/>
      <c r="Y279" s="573">
        <v>43999</v>
      </c>
      <c r="Z279" s="536" t="s">
        <v>6988</v>
      </c>
      <c r="AA279" s="537">
        <v>44036</v>
      </c>
      <c r="AB279" s="537">
        <v>44047</v>
      </c>
      <c r="AC279" s="537">
        <v>45130</v>
      </c>
      <c r="AD279" s="537">
        <v>44279</v>
      </c>
      <c r="AE279" s="537">
        <v>44645</v>
      </c>
      <c r="AF279" s="1374">
        <v>2022</v>
      </c>
      <c r="AG279" s="1374" t="s">
        <v>7206</v>
      </c>
      <c r="AJ279" s="1944"/>
      <c r="AK279" s="1944"/>
      <c r="AL279" s="1944"/>
      <c r="AM279" s="1944"/>
      <c r="AN279" s="1944"/>
      <c r="AO279" s="1944"/>
      <c r="AP279" s="1944"/>
      <c r="AQ279" s="1944"/>
      <c r="AR279" s="1944"/>
      <c r="AS279" s="1944"/>
    </row>
    <row r="280" spans="1:45">
      <c r="A280" s="1944"/>
      <c r="B280" s="1944"/>
      <c r="C280" s="365">
        <v>43881</v>
      </c>
      <c r="D280" s="1397" t="s">
        <v>6454</v>
      </c>
      <c r="E280" s="3210" t="s">
        <v>69</v>
      </c>
      <c r="F280" s="3210" t="s">
        <v>70</v>
      </c>
      <c r="G280" s="571" t="s">
        <v>6469</v>
      </c>
      <c r="H280" s="491">
        <v>4</v>
      </c>
      <c r="I280" s="495" t="s">
        <v>6458</v>
      </c>
      <c r="J280" s="491" t="s">
        <v>6465</v>
      </c>
      <c r="K280" s="3210" t="s">
        <v>68</v>
      </c>
      <c r="L280" s="491"/>
      <c r="M280" s="536">
        <v>627942</v>
      </c>
      <c r="N280" s="491" t="s">
        <v>251</v>
      </c>
      <c r="O280" s="537">
        <v>43886</v>
      </c>
      <c r="P280" s="537">
        <v>43962</v>
      </c>
      <c r="Q280" s="537">
        <v>43999</v>
      </c>
      <c r="R280" s="495" t="s">
        <v>2548</v>
      </c>
      <c r="S280" s="491"/>
      <c r="T280" s="536">
        <v>619900.59</v>
      </c>
      <c r="U280" s="536">
        <v>681890.65</v>
      </c>
      <c r="V280" s="1471"/>
      <c r="W280" s="1471"/>
      <c r="X280" s="1471"/>
      <c r="Y280" s="573">
        <v>43999</v>
      </c>
      <c r="Z280" s="536" t="s">
        <v>6989</v>
      </c>
      <c r="AA280" s="537">
        <v>44036</v>
      </c>
      <c r="AB280" s="537">
        <v>44047</v>
      </c>
      <c r="AC280" s="537">
        <v>45130</v>
      </c>
      <c r="AD280" s="491" t="s">
        <v>8483</v>
      </c>
      <c r="AE280" s="537">
        <v>44645</v>
      </c>
      <c r="AF280" s="1374">
        <v>2022</v>
      </c>
      <c r="AG280" s="1374" t="s">
        <v>7206</v>
      </c>
      <c r="AJ280" s="1944"/>
      <c r="AK280" s="1944"/>
      <c r="AL280" s="1944"/>
      <c r="AM280" s="1944"/>
      <c r="AN280" s="1944"/>
      <c r="AO280" s="1944"/>
      <c r="AP280" s="1944"/>
      <c r="AQ280" s="1944"/>
      <c r="AR280" s="1944"/>
      <c r="AS280" s="1944"/>
    </row>
    <row r="281" spans="1:45">
      <c r="A281" s="1944"/>
      <c r="B281" s="1944"/>
      <c r="C281" s="365">
        <v>43881</v>
      </c>
      <c r="D281" s="1397" t="s">
        <v>6454</v>
      </c>
      <c r="E281" s="3210" t="s">
        <v>69</v>
      </c>
      <c r="F281" s="3210" t="s">
        <v>70</v>
      </c>
      <c r="G281" s="571" t="s">
        <v>6469</v>
      </c>
      <c r="H281" s="491">
        <v>5</v>
      </c>
      <c r="I281" s="495" t="s">
        <v>6459</v>
      </c>
      <c r="J281" s="491" t="s">
        <v>6466</v>
      </c>
      <c r="K281" s="491" t="s">
        <v>68</v>
      </c>
      <c r="L281" s="491"/>
      <c r="M281" s="536">
        <v>158286063</v>
      </c>
      <c r="N281" s="491" t="s">
        <v>251</v>
      </c>
      <c r="O281" s="537">
        <v>43886</v>
      </c>
      <c r="P281" s="537">
        <v>43962</v>
      </c>
      <c r="Q281" s="537">
        <v>43999</v>
      </c>
      <c r="R281" s="495" t="s">
        <v>576</v>
      </c>
      <c r="S281" s="491"/>
      <c r="T281" s="536">
        <v>158286062.88</v>
      </c>
      <c r="U281" s="536">
        <v>174114669.16999999</v>
      </c>
      <c r="V281" s="1471"/>
      <c r="W281" s="1471"/>
      <c r="X281" s="1471"/>
      <c r="Y281" s="573">
        <v>43999</v>
      </c>
      <c r="Z281" s="536" t="s">
        <v>6990</v>
      </c>
      <c r="AA281" s="537">
        <v>44036</v>
      </c>
      <c r="AB281" s="537">
        <v>44047</v>
      </c>
      <c r="AC281" s="537">
        <v>45130</v>
      </c>
      <c r="AD281" s="537">
        <v>44279</v>
      </c>
      <c r="AE281" s="537">
        <v>44645</v>
      </c>
      <c r="AF281" s="1374">
        <v>2022</v>
      </c>
      <c r="AG281" s="1374" t="s">
        <v>7206</v>
      </c>
      <c r="AJ281" s="1944"/>
      <c r="AK281" s="1944"/>
      <c r="AL281" s="1944"/>
      <c r="AM281" s="1944"/>
      <c r="AN281" s="1944"/>
      <c r="AO281" s="1944"/>
      <c r="AP281" s="1944"/>
      <c r="AQ281" s="1944"/>
      <c r="AR281" s="1944"/>
      <c r="AS281" s="1944"/>
    </row>
    <row r="282" spans="1:45">
      <c r="A282" s="1944"/>
      <c r="B282" s="1944"/>
      <c r="C282" s="365">
        <v>43881</v>
      </c>
      <c r="D282" s="1397" t="s">
        <v>6454</v>
      </c>
      <c r="E282" s="3210" t="s">
        <v>69</v>
      </c>
      <c r="F282" s="3210" t="s">
        <v>70</v>
      </c>
      <c r="G282" s="571" t="s">
        <v>6469</v>
      </c>
      <c r="H282" s="491">
        <v>6</v>
      </c>
      <c r="I282" s="495" t="s">
        <v>6460</v>
      </c>
      <c r="J282" s="491" t="s">
        <v>6467</v>
      </c>
      <c r="K282" s="3210" t="s">
        <v>68</v>
      </c>
      <c r="L282" s="491"/>
      <c r="M282" s="536">
        <v>7622914</v>
      </c>
      <c r="N282" s="491" t="s">
        <v>251</v>
      </c>
      <c r="O282" s="537">
        <v>43886</v>
      </c>
      <c r="P282" s="537">
        <v>43962</v>
      </c>
      <c r="Q282" s="537">
        <v>43999</v>
      </c>
      <c r="R282" s="495" t="s">
        <v>6969</v>
      </c>
      <c r="S282" s="491"/>
      <c r="T282" s="536">
        <v>7622913.5999999996</v>
      </c>
      <c r="U282" s="536">
        <v>8385204.96</v>
      </c>
      <c r="V282" s="1471"/>
      <c r="W282" s="1471"/>
      <c r="X282" s="1471"/>
      <c r="Y282" s="573">
        <v>43999</v>
      </c>
      <c r="Z282" s="536" t="s">
        <v>6991</v>
      </c>
      <c r="AA282" s="537">
        <v>44040</v>
      </c>
      <c r="AB282" s="537">
        <v>44047</v>
      </c>
      <c r="AC282" s="537">
        <v>45134</v>
      </c>
      <c r="AD282" s="537">
        <v>44279</v>
      </c>
      <c r="AE282" s="537">
        <v>44645</v>
      </c>
      <c r="AF282" s="1374">
        <v>2022</v>
      </c>
      <c r="AG282" s="1374" t="s">
        <v>7244</v>
      </c>
      <c r="AJ282" s="1944"/>
      <c r="AK282" s="1944"/>
      <c r="AL282" s="1944"/>
      <c r="AM282" s="1944"/>
      <c r="AN282" s="1944"/>
      <c r="AO282" s="1944"/>
      <c r="AP282" s="1944"/>
      <c r="AQ282" s="1944"/>
      <c r="AR282" s="1944"/>
      <c r="AS282" s="1944"/>
    </row>
    <row r="283" spans="1:45" ht="15.75" thickBot="1">
      <c r="A283" s="1944"/>
      <c r="B283" s="1944"/>
      <c r="C283" s="675">
        <v>43881</v>
      </c>
      <c r="D283" s="1982" t="s">
        <v>6454</v>
      </c>
      <c r="E283" s="517" t="s">
        <v>69</v>
      </c>
      <c r="F283" s="517" t="s">
        <v>70</v>
      </c>
      <c r="G283" s="1378" t="s">
        <v>6469</v>
      </c>
      <c r="H283" s="1376">
        <v>7</v>
      </c>
      <c r="I283" s="1421" t="s">
        <v>6461</v>
      </c>
      <c r="J283" s="1376" t="s">
        <v>6468</v>
      </c>
      <c r="K283" s="1376" t="s">
        <v>68</v>
      </c>
      <c r="L283" s="1376"/>
      <c r="M283" s="1379">
        <v>54746422</v>
      </c>
      <c r="N283" s="1376" t="s">
        <v>251</v>
      </c>
      <c r="O283" s="1380">
        <v>43886</v>
      </c>
      <c r="P283" s="1380">
        <v>43962</v>
      </c>
      <c r="Q283" s="1380">
        <v>43999</v>
      </c>
      <c r="R283" s="1421" t="s">
        <v>576</v>
      </c>
      <c r="S283" s="1376"/>
      <c r="T283" s="1379">
        <v>54746420.609999999</v>
      </c>
      <c r="U283" s="1379">
        <v>60221062.670000002</v>
      </c>
      <c r="V283" s="1475"/>
      <c r="W283" s="1475"/>
      <c r="X283" s="1475"/>
      <c r="Y283" s="1388">
        <v>43999</v>
      </c>
      <c r="Z283" s="1379" t="s">
        <v>6992</v>
      </c>
      <c r="AA283" s="1380">
        <v>44036</v>
      </c>
      <c r="AB283" s="1380">
        <v>44047</v>
      </c>
      <c r="AC283" s="1380">
        <v>45130</v>
      </c>
      <c r="AD283" s="1380">
        <v>44279</v>
      </c>
      <c r="AE283" s="1380">
        <v>44645</v>
      </c>
      <c r="AF283" s="1381">
        <v>2022</v>
      </c>
      <c r="AG283" s="1381" t="s">
        <v>7206</v>
      </c>
      <c r="AJ283" s="1944"/>
      <c r="AK283" s="1944"/>
      <c r="AL283" s="1944"/>
      <c r="AM283" s="1944"/>
      <c r="AN283" s="1944"/>
      <c r="AO283" s="1944"/>
      <c r="AP283" s="1944"/>
      <c r="AQ283" s="1944"/>
      <c r="AR283" s="1944"/>
      <c r="AS283" s="1944"/>
    </row>
    <row r="284" spans="1:45" ht="15.75" thickTop="1">
      <c r="A284" s="1944"/>
      <c r="B284" s="1944"/>
      <c r="C284" s="365">
        <v>43881</v>
      </c>
      <c r="D284" s="1397" t="s">
        <v>6474</v>
      </c>
      <c r="E284" s="3210" t="s">
        <v>52</v>
      </c>
      <c r="F284" s="3210" t="s">
        <v>3981</v>
      </c>
      <c r="G284" s="175" t="s">
        <v>6475</v>
      </c>
      <c r="H284" s="3210"/>
      <c r="I284" s="3211"/>
      <c r="J284" s="3210"/>
      <c r="K284" s="453" t="s">
        <v>1676</v>
      </c>
      <c r="L284" s="3210" t="s">
        <v>2505</v>
      </c>
      <c r="M284" s="364">
        <v>72000000</v>
      </c>
      <c r="N284" s="3210" t="s">
        <v>251</v>
      </c>
      <c r="O284" s="365">
        <v>43938</v>
      </c>
      <c r="P284" s="365">
        <v>44013</v>
      </c>
      <c r="Q284" s="365">
        <v>44034</v>
      </c>
      <c r="R284" s="3211" t="s">
        <v>7187</v>
      </c>
      <c r="S284" s="3210"/>
      <c r="T284" s="364">
        <v>53986406.109999999</v>
      </c>
      <c r="U284" s="364">
        <f>T284*1.21</f>
        <v>65323551.393100001</v>
      </c>
      <c r="V284" s="1473"/>
      <c r="W284" s="1473"/>
      <c r="X284" s="1473"/>
      <c r="Y284" s="681">
        <v>44034</v>
      </c>
      <c r="Z284" s="364" t="s">
        <v>7198</v>
      </c>
      <c r="AA284" s="365">
        <v>44055</v>
      </c>
      <c r="AB284" s="365">
        <v>44060</v>
      </c>
      <c r="AC284" s="365">
        <v>44500</v>
      </c>
      <c r="AD284" s="1551">
        <v>44606</v>
      </c>
      <c r="AE284" s="1513"/>
      <c r="AJ284" s="1944"/>
      <c r="AK284" s="1944"/>
      <c r="AL284" s="1944"/>
      <c r="AM284" s="1944"/>
      <c r="AN284" s="1944"/>
      <c r="AO284" s="1944"/>
      <c r="AP284" s="1944"/>
      <c r="AQ284" s="1944"/>
      <c r="AR284" s="1944"/>
      <c r="AS284" s="1944"/>
    </row>
    <row r="285" spans="1:45">
      <c r="A285" s="1944"/>
      <c r="B285" s="1944"/>
      <c r="C285" s="510">
        <v>43769</v>
      </c>
      <c r="D285" s="1382" t="s">
        <v>6478</v>
      </c>
      <c r="E285" s="506" t="s">
        <v>2111</v>
      </c>
      <c r="F285" s="506" t="s">
        <v>4440</v>
      </c>
      <c r="G285" s="507" t="s">
        <v>6479</v>
      </c>
      <c r="H285" s="506"/>
      <c r="I285" s="548"/>
      <c r="J285" s="506"/>
      <c r="K285" s="506" t="s">
        <v>2967</v>
      </c>
      <c r="L285" s="506"/>
      <c r="M285" s="511">
        <v>12231200</v>
      </c>
      <c r="N285" s="506" t="s">
        <v>251</v>
      </c>
      <c r="O285" s="510">
        <v>43899</v>
      </c>
      <c r="P285" s="510">
        <v>43930</v>
      </c>
      <c r="Q285" s="506"/>
      <c r="R285" s="736" t="s">
        <v>6589</v>
      </c>
      <c r="S285" s="506"/>
      <c r="T285" s="511"/>
      <c r="U285" s="511"/>
      <c r="V285" s="1470"/>
      <c r="W285" s="1470"/>
      <c r="X285" s="1470"/>
      <c r="Y285" s="511"/>
      <c r="Z285" s="511"/>
      <c r="AA285" s="506"/>
      <c r="AB285" s="510">
        <v>43920</v>
      </c>
      <c r="AC285" s="548" t="s">
        <v>6600</v>
      </c>
      <c r="AD285" s="506"/>
      <c r="AE285" s="506"/>
      <c r="AJ285" s="1944"/>
      <c r="AK285" s="1944"/>
      <c r="AL285" s="1944"/>
      <c r="AM285" s="1944"/>
      <c r="AN285" s="1944"/>
      <c r="AO285" s="1944"/>
      <c r="AP285" s="1944"/>
      <c r="AQ285" s="1944"/>
      <c r="AR285" s="1944"/>
      <c r="AS285" s="1944"/>
    </row>
    <row r="286" spans="1:45">
      <c r="A286" s="1944"/>
      <c r="B286" s="1944"/>
      <c r="C286" s="537">
        <v>43886</v>
      </c>
      <c r="D286" s="1373" t="s">
        <v>6482</v>
      </c>
      <c r="E286" s="491" t="s">
        <v>14</v>
      </c>
      <c r="F286" s="491" t="s">
        <v>13</v>
      </c>
      <c r="G286" s="571" t="s">
        <v>2321</v>
      </c>
      <c r="H286" s="491"/>
      <c r="I286" s="495"/>
      <c r="J286" s="491"/>
      <c r="K286" s="491" t="s">
        <v>26</v>
      </c>
      <c r="L286" s="491"/>
      <c r="M286" s="536">
        <v>458140</v>
      </c>
      <c r="N286" s="491" t="s">
        <v>112</v>
      </c>
      <c r="O286" s="537">
        <v>43888</v>
      </c>
      <c r="P286" s="537">
        <v>43901</v>
      </c>
      <c r="Q286" s="537">
        <v>43917</v>
      </c>
      <c r="R286" s="495" t="s">
        <v>6319</v>
      </c>
      <c r="S286" s="491"/>
      <c r="T286" s="536">
        <v>441681</v>
      </c>
      <c r="U286" s="536">
        <v>534434.01</v>
      </c>
      <c r="V286" s="1471"/>
      <c r="W286" s="1471"/>
      <c r="X286" s="1471"/>
      <c r="Y286" s="573">
        <v>43917</v>
      </c>
      <c r="Z286" s="536" t="s">
        <v>6599</v>
      </c>
      <c r="AA286" s="537">
        <v>43938</v>
      </c>
      <c r="AB286" s="537">
        <v>43948</v>
      </c>
      <c r="AC286" s="537">
        <v>44302</v>
      </c>
      <c r="AD286" s="537">
        <v>44011</v>
      </c>
      <c r="AE286" s="1102"/>
      <c r="AJ286" s="1944"/>
      <c r="AK286" s="1944"/>
      <c r="AL286" s="1944"/>
      <c r="AM286" s="1944"/>
      <c r="AN286" s="1944"/>
      <c r="AO286" s="1944"/>
      <c r="AP286" s="1944"/>
      <c r="AQ286" s="1944"/>
      <c r="AR286" s="1944"/>
      <c r="AS286" s="1944"/>
    </row>
    <row r="287" spans="1:45">
      <c r="A287" s="1944"/>
      <c r="B287" s="1944"/>
      <c r="C287" s="510">
        <v>43759</v>
      </c>
      <c r="D287" s="1382" t="s">
        <v>6484</v>
      </c>
      <c r="E287" s="506" t="s">
        <v>2434</v>
      </c>
      <c r="F287" s="506" t="s">
        <v>219</v>
      </c>
      <c r="G287" s="507" t="s">
        <v>5872</v>
      </c>
      <c r="H287" s="506">
        <v>1</v>
      </c>
      <c r="I287" s="507" t="s">
        <v>6608</v>
      </c>
      <c r="J287" s="506"/>
      <c r="K287" s="506" t="s">
        <v>642</v>
      </c>
      <c r="L287" s="506"/>
      <c r="M287" s="511">
        <v>19419.04</v>
      </c>
      <c r="N287" s="506" t="s">
        <v>216</v>
      </c>
      <c r="O287" s="510">
        <v>43903</v>
      </c>
      <c r="P287" s="510">
        <v>43922</v>
      </c>
      <c r="Q287" s="506"/>
      <c r="R287" s="736" t="s">
        <v>2635</v>
      </c>
      <c r="S287" s="506"/>
      <c r="T287" s="511"/>
      <c r="U287" s="511"/>
      <c r="V287" s="1470"/>
      <c r="W287" s="1470"/>
      <c r="X287" s="1470"/>
      <c r="Y287" s="511"/>
      <c r="Z287" s="511"/>
      <c r="AA287" s="506"/>
      <c r="AB287" s="510">
        <v>43956</v>
      </c>
      <c r="AC287" s="548" t="s">
        <v>6760</v>
      </c>
      <c r="AD287" s="506"/>
      <c r="AE287" s="506"/>
      <c r="AJ287" s="1944"/>
      <c r="AK287" s="1944"/>
      <c r="AL287" s="1944"/>
      <c r="AM287" s="1944"/>
      <c r="AN287" s="1944"/>
      <c r="AO287" s="1944"/>
      <c r="AP287" s="1944"/>
      <c r="AQ287" s="1944"/>
      <c r="AR287" s="1944"/>
      <c r="AS287" s="1944"/>
    </row>
    <row r="288" spans="1:45">
      <c r="A288" s="1944"/>
      <c r="B288" s="1944"/>
      <c r="C288" s="537">
        <v>43759</v>
      </c>
      <c r="D288" s="1373" t="s">
        <v>6484</v>
      </c>
      <c r="E288" s="491" t="s">
        <v>2434</v>
      </c>
      <c r="F288" s="491" t="s">
        <v>219</v>
      </c>
      <c r="G288" s="571" t="s">
        <v>5872</v>
      </c>
      <c r="H288" s="491">
        <v>2</v>
      </c>
      <c r="I288" s="571" t="s">
        <v>6609</v>
      </c>
      <c r="J288" s="491"/>
      <c r="K288" s="491" t="s">
        <v>642</v>
      </c>
      <c r="L288" s="491"/>
      <c r="M288" s="536">
        <v>2052176</v>
      </c>
      <c r="N288" s="491" t="s">
        <v>216</v>
      </c>
      <c r="O288" s="537">
        <v>43903</v>
      </c>
      <c r="P288" s="537">
        <v>43922</v>
      </c>
      <c r="Q288" s="537">
        <v>43941</v>
      </c>
      <c r="R288" s="495" t="s">
        <v>637</v>
      </c>
      <c r="S288" s="491"/>
      <c r="T288" s="536">
        <v>2052176</v>
      </c>
      <c r="U288" s="536">
        <v>2483132.96</v>
      </c>
      <c r="V288" s="1471"/>
      <c r="W288" s="1471"/>
      <c r="X288" s="1471"/>
      <c r="Y288" s="573">
        <v>43941</v>
      </c>
      <c r="Z288" s="536" t="s">
        <v>6715</v>
      </c>
      <c r="AA288" s="537">
        <v>43950</v>
      </c>
      <c r="AB288" s="537">
        <v>43956</v>
      </c>
      <c r="AC288" s="537">
        <v>45410</v>
      </c>
      <c r="AD288" s="537">
        <v>44285</v>
      </c>
      <c r="AE288" s="537">
        <v>44641</v>
      </c>
      <c r="AF288" s="388">
        <v>2022</v>
      </c>
      <c r="AG288" s="388">
        <v>2023</v>
      </c>
      <c r="AH288" s="388" t="s">
        <v>6767</v>
      </c>
      <c r="AJ288" s="1944"/>
      <c r="AK288" s="1944"/>
      <c r="AL288" s="1944"/>
      <c r="AM288" s="1944"/>
      <c r="AN288" s="1944"/>
      <c r="AO288" s="1944"/>
      <c r="AP288" s="1944"/>
      <c r="AQ288" s="1944"/>
      <c r="AR288" s="1944"/>
      <c r="AS288" s="1944"/>
    </row>
    <row r="289" spans="1:45">
      <c r="A289" s="1944"/>
      <c r="B289" s="1944"/>
      <c r="C289" s="510">
        <v>43759</v>
      </c>
      <c r="D289" s="1382" t="s">
        <v>6484</v>
      </c>
      <c r="E289" s="506" t="s">
        <v>2434</v>
      </c>
      <c r="F289" s="506" t="s">
        <v>219</v>
      </c>
      <c r="G289" s="507" t="s">
        <v>5872</v>
      </c>
      <c r="H289" s="506">
        <v>3</v>
      </c>
      <c r="I289" s="507" t="s">
        <v>6610</v>
      </c>
      <c r="J289" s="506"/>
      <c r="K289" s="506" t="s">
        <v>642</v>
      </c>
      <c r="L289" s="506"/>
      <c r="M289" s="511">
        <v>29520</v>
      </c>
      <c r="N289" s="506" t="s">
        <v>216</v>
      </c>
      <c r="O289" s="510">
        <v>43903</v>
      </c>
      <c r="P289" s="510">
        <v>43922</v>
      </c>
      <c r="Q289" s="506"/>
      <c r="R289" s="736" t="s">
        <v>304</v>
      </c>
      <c r="S289" s="506"/>
      <c r="T289" s="511"/>
      <c r="U289" s="511"/>
      <c r="V289" s="1470"/>
      <c r="W289" s="1470"/>
      <c r="X289" s="1470"/>
      <c r="Y289" s="511"/>
      <c r="Z289" s="511"/>
      <c r="AA289" s="506"/>
      <c r="AB289" s="510">
        <v>43956</v>
      </c>
      <c r="AC289" s="548" t="s">
        <v>6682</v>
      </c>
      <c r="AD289" s="506"/>
      <c r="AE289" s="506"/>
      <c r="AJ289" s="1944"/>
      <c r="AK289" s="1944"/>
      <c r="AL289" s="1944"/>
      <c r="AM289" s="1944"/>
      <c r="AN289" s="1944"/>
      <c r="AO289" s="1944"/>
      <c r="AP289" s="1944"/>
      <c r="AQ289" s="1944"/>
      <c r="AR289" s="1944"/>
      <c r="AS289" s="1944"/>
    </row>
    <row r="290" spans="1:45">
      <c r="A290" s="1944"/>
      <c r="B290" s="1944"/>
      <c r="C290" s="510">
        <v>43759</v>
      </c>
      <c r="D290" s="1382" t="s">
        <v>6484</v>
      </c>
      <c r="E290" s="506" t="s">
        <v>2434</v>
      </c>
      <c r="F290" s="506" t="s">
        <v>219</v>
      </c>
      <c r="G290" s="507" t="s">
        <v>5872</v>
      </c>
      <c r="H290" s="506">
        <v>4</v>
      </c>
      <c r="I290" s="507" t="s">
        <v>6611</v>
      </c>
      <c r="J290" s="506"/>
      <c r="K290" s="506" t="s">
        <v>642</v>
      </c>
      <c r="L290" s="506"/>
      <c r="M290" s="511">
        <v>174240</v>
      </c>
      <c r="N290" s="506" t="s">
        <v>216</v>
      </c>
      <c r="O290" s="510">
        <v>43903</v>
      </c>
      <c r="P290" s="510">
        <v>43922</v>
      </c>
      <c r="Q290" s="506"/>
      <c r="R290" s="736" t="s">
        <v>304</v>
      </c>
      <c r="S290" s="506"/>
      <c r="T290" s="511"/>
      <c r="U290" s="511"/>
      <c r="V290" s="1470"/>
      <c r="W290" s="1470"/>
      <c r="X290" s="1470"/>
      <c r="Y290" s="511"/>
      <c r="Z290" s="511"/>
      <c r="AA290" s="506"/>
      <c r="AB290" s="510">
        <v>43956</v>
      </c>
      <c r="AC290" s="548" t="s">
        <v>6682</v>
      </c>
      <c r="AD290" s="506"/>
      <c r="AE290" s="506"/>
      <c r="AJ290" s="1944"/>
      <c r="AK290" s="1944"/>
      <c r="AL290" s="1944"/>
      <c r="AM290" s="1944"/>
      <c r="AN290" s="1944"/>
      <c r="AO290" s="1944"/>
      <c r="AP290" s="1944"/>
      <c r="AQ290" s="1944"/>
      <c r="AR290" s="1944"/>
      <c r="AS290" s="1944"/>
    </row>
    <row r="291" spans="1:45" ht="30">
      <c r="A291" s="1944"/>
      <c r="B291" s="1944"/>
      <c r="C291" s="537">
        <v>43788</v>
      </c>
      <c r="D291" s="1373" t="s">
        <v>6485</v>
      </c>
      <c r="E291" s="491" t="s">
        <v>2434</v>
      </c>
      <c r="F291" s="491" t="s">
        <v>3204</v>
      </c>
      <c r="G291" s="571" t="s">
        <v>6486</v>
      </c>
      <c r="H291" s="491"/>
      <c r="I291" s="495"/>
      <c r="J291" s="491"/>
      <c r="K291" s="491" t="s">
        <v>642</v>
      </c>
      <c r="L291" s="491"/>
      <c r="M291" s="536">
        <v>1340211</v>
      </c>
      <c r="N291" s="491" t="s">
        <v>112</v>
      </c>
      <c r="O291" s="537">
        <v>43895</v>
      </c>
      <c r="P291" s="537">
        <v>43908</v>
      </c>
      <c r="Q291" s="537">
        <v>43971</v>
      </c>
      <c r="R291" s="495" t="s">
        <v>6833</v>
      </c>
      <c r="S291" s="491"/>
      <c r="T291" s="536">
        <v>1547581.1</v>
      </c>
      <c r="U291" s="536">
        <v>1779730.9</v>
      </c>
      <c r="V291" s="1471"/>
      <c r="W291" s="1471"/>
      <c r="X291" s="1471"/>
      <c r="Y291" s="573">
        <v>43972</v>
      </c>
      <c r="Z291" s="1375" t="s">
        <v>6862</v>
      </c>
      <c r="AA291" s="537">
        <v>44011</v>
      </c>
      <c r="AB291" s="537">
        <v>44013</v>
      </c>
      <c r="AC291" s="537">
        <v>45105</v>
      </c>
      <c r="AD291" s="537">
        <v>44285</v>
      </c>
      <c r="AE291" s="537">
        <v>44641</v>
      </c>
      <c r="AF291" s="388">
        <v>2022</v>
      </c>
      <c r="AG291" s="388" t="s">
        <v>7078</v>
      </c>
      <c r="AJ291" s="1944"/>
      <c r="AK291" s="1944"/>
      <c r="AL291" s="1944"/>
      <c r="AM291" s="1944"/>
      <c r="AN291" s="1944"/>
      <c r="AO291" s="1944"/>
      <c r="AP291" s="1944"/>
      <c r="AQ291" s="1944"/>
      <c r="AR291" s="1944"/>
      <c r="AS291" s="1944"/>
    </row>
    <row r="292" spans="1:45">
      <c r="A292" s="1944"/>
      <c r="B292" s="1944"/>
      <c r="C292" s="510">
        <v>43867</v>
      </c>
      <c r="D292" s="1382" t="s">
        <v>6489</v>
      </c>
      <c r="E292" s="506" t="s">
        <v>2111</v>
      </c>
      <c r="F292" s="506" t="s">
        <v>4440</v>
      </c>
      <c r="G292" s="507" t="s">
        <v>6490</v>
      </c>
      <c r="H292" s="506"/>
      <c r="I292" s="548"/>
      <c r="J292" s="506"/>
      <c r="K292" s="506" t="s">
        <v>2967</v>
      </c>
      <c r="L292" s="506"/>
      <c r="M292" s="511">
        <v>13313200</v>
      </c>
      <c r="N292" s="506" t="s">
        <v>251</v>
      </c>
      <c r="O292" s="510">
        <v>43895</v>
      </c>
      <c r="P292" s="510">
        <v>43941</v>
      </c>
      <c r="Q292" s="506"/>
      <c r="R292" s="736" t="s">
        <v>6589</v>
      </c>
      <c r="S292" s="506"/>
      <c r="T292" s="511"/>
      <c r="U292" s="511"/>
      <c r="V292" s="1470"/>
      <c r="W292" s="1470"/>
      <c r="X292" s="1470"/>
      <c r="Y292" s="511"/>
      <c r="Z292" s="511"/>
      <c r="AA292" s="506"/>
      <c r="AB292" s="510">
        <v>43916</v>
      </c>
      <c r="AC292" s="548" t="s">
        <v>6601</v>
      </c>
      <c r="AD292" s="506"/>
      <c r="AE292" s="506"/>
      <c r="AJ292" s="1944"/>
      <c r="AK292" s="1944"/>
      <c r="AL292" s="1944"/>
      <c r="AM292" s="1944"/>
      <c r="AN292" s="1944"/>
      <c r="AO292" s="1944"/>
      <c r="AP292" s="1944"/>
      <c r="AQ292" s="1944"/>
      <c r="AR292" s="1944"/>
      <c r="AS292" s="1944"/>
    </row>
    <row r="293" spans="1:45">
      <c r="A293" s="1944"/>
      <c r="B293" s="1944"/>
      <c r="C293" s="537">
        <v>43888</v>
      </c>
      <c r="D293" s="1373" t="s">
        <v>6491</v>
      </c>
      <c r="E293" s="491" t="s">
        <v>2434</v>
      </c>
      <c r="F293" s="491" t="s">
        <v>219</v>
      </c>
      <c r="G293" s="571" t="s">
        <v>6492</v>
      </c>
      <c r="H293" s="491"/>
      <c r="I293" s="495"/>
      <c r="J293" s="491"/>
      <c r="K293" s="491" t="s">
        <v>3271</v>
      </c>
      <c r="L293" s="491"/>
      <c r="M293" s="536">
        <v>930000</v>
      </c>
      <c r="N293" s="491" t="s">
        <v>112</v>
      </c>
      <c r="O293" s="537">
        <v>43894</v>
      </c>
      <c r="P293" s="537">
        <v>43906</v>
      </c>
      <c r="Q293" s="537">
        <v>43916</v>
      </c>
      <c r="R293" s="495" t="s">
        <v>6592</v>
      </c>
      <c r="S293" s="491"/>
      <c r="T293" s="536">
        <v>750000</v>
      </c>
      <c r="U293" s="536">
        <v>907500</v>
      </c>
      <c r="V293" s="1471"/>
      <c r="W293" s="1471"/>
      <c r="X293" s="1471"/>
      <c r="Y293" s="573">
        <v>43917</v>
      </c>
      <c r="Z293" s="536" t="s">
        <v>6596</v>
      </c>
      <c r="AA293" s="537">
        <v>43942</v>
      </c>
      <c r="AB293" s="537">
        <v>43945</v>
      </c>
      <c r="AC293" s="537">
        <f>AA293+42</f>
        <v>43984</v>
      </c>
      <c r="AD293" s="537">
        <v>44245</v>
      </c>
      <c r="AE293" s="1102"/>
      <c r="AJ293" s="1944"/>
      <c r="AK293" s="1944"/>
      <c r="AL293" s="1944"/>
      <c r="AM293" s="1944"/>
      <c r="AN293" s="1944"/>
      <c r="AO293" s="1944"/>
      <c r="AP293" s="1944"/>
      <c r="AQ293" s="1944"/>
      <c r="AR293" s="1944"/>
      <c r="AS293" s="1944"/>
    </row>
    <row r="294" spans="1:45">
      <c r="A294" s="1944"/>
      <c r="B294" s="1944"/>
      <c r="C294" s="510">
        <v>43889</v>
      </c>
      <c r="D294" s="1382" t="s">
        <v>6495</v>
      </c>
      <c r="E294" s="506" t="s">
        <v>2434</v>
      </c>
      <c r="F294" s="506" t="s">
        <v>219</v>
      </c>
      <c r="G294" s="507" t="s">
        <v>6500</v>
      </c>
      <c r="H294" s="506"/>
      <c r="I294" s="548"/>
      <c r="J294" s="506"/>
      <c r="K294" s="506" t="s">
        <v>3013</v>
      </c>
      <c r="L294" s="506"/>
      <c r="M294" s="511">
        <v>1500000</v>
      </c>
      <c r="N294" s="506" t="s">
        <v>112</v>
      </c>
      <c r="O294" s="510">
        <v>43894</v>
      </c>
      <c r="P294" s="510">
        <v>43906</v>
      </c>
      <c r="Q294" s="510">
        <v>43909</v>
      </c>
      <c r="R294" s="548" t="s">
        <v>4838</v>
      </c>
      <c r="S294" s="1985" t="s">
        <v>6923</v>
      </c>
      <c r="T294" s="511">
        <v>1320000</v>
      </c>
      <c r="U294" s="511">
        <v>1597200</v>
      </c>
      <c r="V294" s="1470"/>
      <c r="W294" s="1470"/>
      <c r="X294" s="1470"/>
      <c r="Y294" s="1398">
        <v>43909</v>
      </c>
      <c r="Z294" s="511" t="s">
        <v>6581</v>
      </c>
      <c r="AA294" s="506"/>
      <c r="AB294" s="510">
        <v>43958</v>
      </c>
      <c r="AC294" s="506"/>
      <c r="AD294" s="506"/>
      <c r="AE294" s="506"/>
      <c r="AJ294" s="1944"/>
      <c r="AK294" s="1944"/>
      <c r="AL294" s="1944"/>
      <c r="AM294" s="1944"/>
      <c r="AN294" s="1944"/>
      <c r="AO294" s="1944"/>
      <c r="AP294" s="1944"/>
      <c r="AQ294" s="1944"/>
      <c r="AR294" s="1944"/>
      <c r="AS294" s="1944"/>
    </row>
    <row r="295" spans="1:45">
      <c r="A295" s="1944"/>
      <c r="B295" s="1944"/>
      <c r="C295" s="537">
        <v>43892</v>
      </c>
      <c r="D295" s="1373" t="s">
        <v>6496</v>
      </c>
      <c r="E295" s="491" t="s">
        <v>1032</v>
      </c>
      <c r="F295" s="491" t="s">
        <v>361</v>
      </c>
      <c r="G295" s="571" t="s">
        <v>6497</v>
      </c>
      <c r="H295" s="491"/>
      <c r="I295" s="495"/>
      <c r="J295" s="491"/>
      <c r="K295" s="491" t="s">
        <v>2238</v>
      </c>
      <c r="L295" s="537" t="s">
        <v>2239</v>
      </c>
      <c r="M295" s="536">
        <v>1000000</v>
      </c>
      <c r="N295" s="491" t="s">
        <v>112</v>
      </c>
      <c r="O295" s="537">
        <v>43913</v>
      </c>
      <c r="P295" s="537">
        <v>43922</v>
      </c>
      <c r="Q295" s="537">
        <v>43929</v>
      </c>
      <c r="R295" s="495" t="s">
        <v>5745</v>
      </c>
      <c r="S295" s="491"/>
      <c r="T295" s="536">
        <v>945994</v>
      </c>
      <c r="U295" s="536">
        <v>1144653</v>
      </c>
      <c r="V295" s="1471"/>
      <c r="W295" s="1471"/>
      <c r="X295" s="1471"/>
      <c r="Y295" s="573">
        <v>43929</v>
      </c>
      <c r="Z295" s="536" t="s">
        <v>6681</v>
      </c>
      <c r="AA295" s="537">
        <v>43980</v>
      </c>
      <c r="AB295" s="537">
        <v>43986</v>
      </c>
      <c r="AC295" s="491"/>
      <c r="AD295" s="1525">
        <v>44347</v>
      </c>
      <c r="AE295" s="1102"/>
      <c r="AJ295" s="1944"/>
      <c r="AK295" s="1944"/>
      <c r="AL295" s="1944"/>
      <c r="AM295" s="1944"/>
      <c r="AN295" s="1944"/>
      <c r="AO295" s="1944"/>
      <c r="AP295" s="1944"/>
      <c r="AQ295" s="1944"/>
      <c r="AR295" s="1944"/>
      <c r="AS295" s="1944"/>
    </row>
    <row r="296" spans="1:45" ht="30">
      <c r="A296" s="1944"/>
      <c r="B296" s="1944"/>
      <c r="C296" s="537">
        <v>43873</v>
      </c>
      <c r="D296" s="1373" t="s">
        <v>6498</v>
      </c>
      <c r="E296" s="491" t="s">
        <v>2434</v>
      </c>
      <c r="F296" s="491" t="s">
        <v>3204</v>
      </c>
      <c r="G296" s="571" t="s">
        <v>6499</v>
      </c>
      <c r="H296" s="491">
        <v>1</v>
      </c>
      <c r="I296" s="495" t="s">
        <v>6521</v>
      </c>
      <c r="J296" s="491"/>
      <c r="K296" s="491" t="s">
        <v>642</v>
      </c>
      <c r="L296" s="491"/>
      <c r="M296" s="536">
        <v>816000</v>
      </c>
      <c r="N296" s="491" t="s">
        <v>112</v>
      </c>
      <c r="O296" s="537">
        <v>43903</v>
      </c>
      <c r="P296" s="537">
        <v>43915</v>
      </c>
      <c r="Q296" s="537">
        <v>43917</v>
      </c>
      <c r="R296" s="495" t="s">
        <v>1433</v>
      </c>
      <c r="S296" s="491"/>
      <c r="T296" s="536">
        <v>815750</v>
      </c>
      <c r="U296" s="536">
        <v>987060</v>
      </c>
      <c r="V296" s="1471"/>
      <c r="W296" s="1471"/>
      <c r="X296" s="1471"/>
      <c r="Y296" s="573">
        <v>43920</v>
      </c>
      <c r="Z296" s="1375" t="s">
        <v>6602</v>
      </c>
      <c r="AA296" s="537">
        <v>43948</v>
      </c>
      <c r="AB296" s="537">
        <v>43951</v>
      </c>
      <c r="AC296" s="537">
        <v>44677</v>
      </c>
      <c r="AD296" s="537">
        <v>44285</v>
      </c>
      <c r="AE296" s="537">
        <v>44641</v>
      </c>
      <c r="AF296" s="388" t="s">
        <v>6744</v>
      </c>
      <c r="AJ296" s="1944"/>
      <c r="AK296" s="1944"/>
      <c r="AL296" s="1944"/>
      <c r="AM296" s="1944"/>
      <c r="AN296" s="1944"/>
      <c r="AO296" s="1944"/>
      <c r="AP296" s="1944"/>
      <c r="AQ296" s="1944"/>
      <c r="AR296" s="1944"/>
      <c r="AS296" s="1944"/>
    </row>
    <row r="297" spans="1:45">
      <c r="A297" s="1944"/>
      <c r="B297" s="1944"/>
      <c r="C297" s="510">
        <v>43873</v>
      </c>
      <c r="D297" s="1382" t="s">
        <v>6498</v>
      </c>
      <c r="E297" s="506" t="s">
        <v>2434</v>
      </c>
      <c r="F297" s="506" t="s">
        <v>3204</v>
      </c>
      <c r="G297" s="507" t="s">
        <v>6499</v>
      </c>
      <c r="H297" s="506">
        <v>2</v>
      </c>
      <c r="I297" s="548" t="s">
        <v>6522</v>
      </c>
      <c r="J297" s="590"/>
      <c r="K297" s="639" t="s">
        <v>642</v>
      </c>
      <c r="L297" s="506"/>
      <c r="M297" s="511">
        <v>572740</v>
      </c>
      <c r="N297" s="506" t="s">
        <v>112</v>
      </c>
      <c r="O297" s="510">
        <v>43903</v>
      </c>
      <c r="P297" s="510">
        <v>43915</v>
      </c>
      <c r="Q297" s="506"/>
      <c r="R297" s="736" t="s">
        <v>6593</v>
      </c>
      <c r="S297" s="1978" t="s">
        <v>7377</v>
      </c>
      <c r="T297" s="511"/>
      <c r="U297" s="511"/>
      <c r="V297" s="1484"/>
      <c r="W297" s="1484"/>
      <c r="X297" s="1484"/>
      <c r="Y297" s="511"/>
      <c r="Z297" s="511"/>
      <c r="AA297" s="506"/>
      <c r="AB297" s="510">
        <v>43920</v>
      </c>
      <c r="AC297" s="506"/>
      <c r="AD297" s="506"/>
      <c r="AE297" s="506"/>
      <c r="AJ297" s="1944"/>
      <c r="AK297" s="1944"/>
      <c r="AL297" s="1944"/>
      <c r="AM297" s="1944"/>
      <c r="AN297" s="1944"/>
      <c r="AO297" s="1944"/>
      <c r="AP297" s="1944"/>
      <c r="AQ297" s="1944"/>
      <c r="AR297" s="1944"/>
      <c r="AS297" s="1944"/>
    </row>
    <row r="298" spans="1:45">
      <c r="A298" s="1944"/>
      <c r="B298" s="1944"/>
      <c r="C298" s="510"/>
      <c r="D298" s="1382" t="s">
        <v>6686</v>
      </c>
      <c r="E298" s="506" t="s">
        <v>69</v>
      </c>
      <c r="F298" s="506" t="s">
        <v>70</v>
      </c>
      <c r="G298" s="507" t="s">
        <v>4274</v>
      </c>
      <c r="H298" s="506">
        <v>1</v>
      </c>
      <c r="I298" s="548" t="s">
        <v>6867</v>
      </c>
      <c r="J298" s="506"/>
      <c r="K298" s="506" t="s">
        <v>42</v>
      </c>
      <c r="L298" s="506"/>
      <c r="M298" s="511">
        <v>1416288</v>
      </c>
      <c r="N298" s="506" t="s">
        <v>216</v>
      </c>
      <c r="O298" s="510">
        <v>43938</v>
      </c>
      <c r="P298" s="510">
        <v>43976</v>
      </c>
      <c r="Q298" s="506"/>
      <c r="R298" s="736" t="s">
        <v>2635</v>
      </c>
      <c r="S298" s="761"/>
      <c r="T298" s="511"/>
      <c r="U298" s="511"/>
      <c r="V298" s="1470"/>
      <c r="W298" s="1470"/>
      <c r="X298" s="1470"/>
      <c r="Y298" s="511"/>
      <c r="Z298" s="511"/>
      <c r="AA298" s="506"/>
      <c r="AB298" s="510">
        <v>44008</v>
      </c>
      <c r="AC298" s="506" t="s">
        <v>7076</v>
      </c>
      <c r="AD298" s="506"/>
      <c r="AE298" s="506"/>
      <c r="AJ298" s="1944"/>
      <c r="AK298" s="1944"/>
      <c r="AL298" s="1944"/>
      <c r="AM298" s="1944"/>
      <c r="AN298" s="1944"/>
      <c r="AO298" s="1944"/>
      <c r="AP298" s="1944"/>
      <c r="AQ298" s="1944"/>
      <c r="AR298" s="1944"/>
      <c r="AS298" s="1944"/>
    </row>
    <row r="299" spans="1:45">
      <c r="A299" s="1944"/>
      <c r="B299" s="1944"/>
      <c r="C299" s="510"/>
      <c r="D299" s="1382" t="s">
        <v>6686</v>
      </c>
      <c r="E299" s="506" t="s">
        <v>69</v>
      </c>
      <c r="F299" s="506" t="s">
        <v>70</v>
      </c>
      <c r="G299" s="507" t="s">
        <v>4274</v>
      </c>
      <c r="H299" s="506">
        <v>2</v>
      </c>
      <c r="I299" s="548" t="s">
        <v>6866</v>
      </c>
      <c r="J299" s="506"/>
      <c r="K299" s="506" t="s">
        <v>42</v>
      </c>
      <c r="L299" s="506"/>
      <c r="M299" s="511">
        <v>614544</v>
      </c>
      <c r="N299" s="506" t="s">
        <v>216</v>
      </c>
      <c r="O299" s="510">
        <v>43938</v>
      </c>
      <c r="P299" s="510">
        <v>43976</v>
      </c>
      <c r="Q299" s="506"/>
      <c r="R299" s="736" t="s">
        <v>304</v>
      </c>
      <c r="S299" s="761"/>
      <c r="T299" s="511"/>
      <c r="U299" s="511"/>
      <c r="V299" s="1470"/>
      <c r="W299" s="1470"/>
      <c r="X299" s="1470"/>
      <c r="Y299" s="511"/>
      <c r="Z299" s="511"/>
      <c r="AA299" s="506"/>
      <c r="AB299" s="510">
        <v>43980</v>
      </c>
      <c r="AC299" s="506" t="s">
        <v>6881</v>
      </c>
      <c r="AD299" s="506"/>
      <c r="AE299" s="506"/>
      <c r="AJ299" s="1944"/>
      <c r="AK299" s="1944"/>
      <c r="AL299" s="1944"/>
      <c r="AM299" s="1944"/>
      <c r="AN299" s="1944"/>
      <c r="AO299" s="1944"/>
      <c r="AP299" s="1944"/>
      <c r="AQ299" s="1944"/>
      <c r="AR299" s="1944"/>
      <c r="AS299" s="1944"/>
    </row>
    <row r="300" spans="1:45">
      <c r="A300" s="1944"/>
      <c r="B300" s="1944"/>
      <c r="C300" s="537">
        <v>43894</v>
      </c>
      <c r="D300" s="1373" t="s">
        <v>6504</v>
      </c>
      <c r="E300" s="491" t="s">
        <v>1032</v>
      </c>
      <c r="F300" s="491" t="s">
        <v>361</v>
      </c>
      <c r="G300" s="571" t="s">
        <v>6505</v>
      </c>
      <c r="H300" s="491"/>
      <c r="I300" s="495"/>
      <c r="J300" s="491"/>
      <c r="K300" s="491" t="s">
        <v>6506</v>
      </c>
      <c r="L300" s="491"/>
      <c r="M300" s="536">
        <v>850000</v>
      </c>
      <c r="N300" s="491" t="s">
        <v>112</v>
      </c>
      <c r="O300" s="537">
        <v>43903</v>
      </c>
      <c r="P300" s="537">
        <v>43914</v>
      </c>
      <c r="Q300" s="537">
        <v>43930</v>
      </c>
      <c r="R300" s="495" t="s">
        <v>6654</v>
      </c>
      <c r="S300" s="491"/>
      <c r="T300" s="536">
        <v>675906</v>
      </c>
      <c r="U300" s="536">
        <v>817846.26</v>
      </c>
      <c r="V300" s="1471"/>
      <c r="W300" s="1471"/>
      <c r="X300" s="1471"/>
      <c r="Y300" s="573">
        <v>43930</v>
      </c>
      <c r="Z300" s="536" t="s">
        <v>6685</v>
      </c>
      <c r="AA300" s="537">
        <v>43965</v>
      </c>
      <c r="AB300" s="537">
        <v>43966</v>
      </c>
      <c r="AC300" s="537">
        <f>AA300+42</f>
        <v>44007</v>
      </c>
      <c r="AD300" s="537">
        <v>44245</v>
      </c>
      <c r="AE300" s="1102"/>
      <c r="AJ300" s="1944"/>
      <c r="AK300" s="1944"/>
      <c r="AL300" s="1944"/>
      <c r="AM300" s="1944"/>
      <c r="AN300" s="1944"/>
      <c r="AO300" s="1944"/>
      <c r="AP300" s="1944"/>
      <c r="AQ300" s="1944"/>
      <c r="AR300" s="1944"/>
      <c r="AS300" s="1944"/>
    </row>
    <row r="301" spans="1:45">
      <c r="A301" s="1944"/>
      <c r="B301" s="1944"/>
      <c r="C301" s="510">
        <v>43895</v>
      </c>
      <c r="D301" s="1382" t="s">
        <v>6508</v>
      </c>
      <c r="E301" s="506" t="s">
        <v>289</v>
      </c>
      <c r="F301" s="506" t="s">
        <v>6509</v>
      </c>
      <c r="G301" s="3212" t="s">
        <v>6510</v>
      </c>
      <c r="H301" s="506"/>
      <c r="I301" s="548"/>
      <c r="J301" s="506"/>
      <c r="K301" s="506" t="s">
        <v>6148</v>
      </c>
      <c r="L301" s="506" t="s">
        <v>6149</v>
      </c>
      <c r="M301" s="511">
        <v>538000</v>
      </c>
      <c r="N301" s="506" t="s">
        <v>112</v>
      </c>
      <c r="O301" s="510">
        <v>43903</v>
      </c>
      <c r="P301" s="510">
        <v>43916</v>
      </c>
      <c r="Q301" s="506"/>
      <c r="R301" s="736" t="s">
        <v>304</v>
      </c>
      <c r="S301" s="1985" t="s">
        <v>6694</v>
      </c>
      <c r="T301" s="511"/>
      <c r="U301" s="511"/>
      <c r="V301" s="1470"/>
      <c r="W301" s="1470"/>
      <c r="X301" s="1470"/>
      <c r="Y301" s="511"/>
      <c r="Z301" s="511"/>
      <c r="AA301" s="506"/>
      <c r="AB301" s="510">
        <v>43916</v>
      </c>
      <c r="AC301" s="506"/>
      <c r="AD301" s="506"/>
      <c r="AE301" s="506"/>
      <c r="AJ301" s="1944"/>
      <c r="AK301" s="1944"/>
      <c r="AL301" s="1944"/>
      <c r="AM301" s="1944"/>
      <c r="AN301" s="1944"/>
      <c r="AO301" s="1944"/>
      <c r="AP301" s="1944"/>
      <c r="AQ301" s="1944"/>
      <c r="AR301" s="1944"/>
      <c r="AS301" s="1944"/>
    </row>
    <row r="302" spans="1:45">
      <c r="A302" s="1944"/>
      <c r="B302" s="1944"/>
      <c r="C302" s="537">
        <v>43894</v>
      </c>
      <c r="D302" s="1373" t="s">
        <v>6514</v>
      </c>
      <c r="E302" s="491" t="s">
        <v>52</v>
      </c>
      <c r="F302" s="491" t="s">
        <v>3670</v>
      </c>
      <c r="G302" s="571" t="s">
        <v>6515</v>
      </c>
      <c r="H302" s="491"/>
      <c r="I302" s="495"/>
      <c r="J302" s="491"/>
      <c r="K302" s="491" t="s">
        <v>33</v>
      </c>
      <c r="L302" s="491"/>
      <c r="M302" s="536">
        <v>1500000</v>
      </c>
      <c r="N302" s="491" t="s">
        <v>112</v>
      </c>
      <c r="O302" s="537">
        <v>43901</v>
      </c>
      <c r="P302" s="537">
        <v>43910</v>
      </c>
      <c r="Q302" s="537">
        <v>43941</v>
      </c>
      <c r="R302" s="495" t="s">
        <v>3503</v>
      </c>
      <c r="S302" s="491"/>
      <c r="T302" s="536">
        <v>1293497.8700000001</v>
      </c>
      <c r="U302" s="536">
        <f>T302*1.21</f>
        <v>1565132.4227</v>
      </c>
      <c r="V302" s="1471"/>
      <c r="W302" s="1471"/>
      <c r="X302" s="1471"/>
      <c r="Y302" s="573">
        <v>43942</v>
      </c>
      <c r="Z302" s="536" t="s">
        <v>6722</v>
      </c>
      <c r="AA302" s="537">
        <v>43964</v>
      </c>
      <c r="AB302" s="537">
        <v>43966</v>
      </c>
      <c r="AC302" s="537">
        <f>AA302+53</f>
        <v>44017</v>
      </c>
      <c r="AD302" s="537">
        <v>44104</v>
      </c>
      <c r="AE302" s="1102"/>
      <c r="AJ302" s="1944"/>
      <c r="AK302" s="1944"/>
      <c r="AL302" s="1944"/>
      <c r="AM302" s="1944"/>
      <c r="AN302" s="1944"/>
      <c r="AO302" s="1944"/>
      <c r="AP302" s="1944"/>
      <c r="AQ302" s="1944"/>
      <c r="AR302" s="1944"/>
      <c r="AS302" s="1944"/>
    </row>
    <row r="303" spans="1:45">
      <c r="A303" s="1944"/>
      <c r="B303" s="1944"/>
      <c r="C303" s="537">
        <v>43895</v>
      </c>
      <c r="D303" s="1373" t="s">
        <v>6516</v>
      </c>
      <c r="E303" s="491" t="s">
        <v>52</v>
      </c>
      <c r="F303" s="491" t="s">
        <v>3981</v>
      </c>
      <c r="G303" s="571" t="s">
        <v>6507</v>
      </c>
      <c r="H303" s="491"/>
      <c r="I303" s="495"/>
      <c r="J303" s="491"/>
      <c r="K303" s="491" t="s">
        <v>33</v>
      </c>
      <c r="L303" s="491" t="s">
        <v>6517</v>
      </c>
      <c r="M303" s="536">
        <v>1700000</v>
      </c>
      <c r="N303" s="491" t="s">
        <v>112</v>
      </c>
      <c r="O303" s="537">
        <v>43903</v>
      </c>
      <c r="P303" s="537">
        <v>43914</v>
      </c>
      <c r="Q303" s="537">
        <v>43938</v>
      </c>
      <c r="R303" s="495" t="s">
        <v>707</v>
      </c>
      <c r="S303" s="491"/>
      <c r="T303" s="536">
        <v>2303782.92</v>
      </c>
      <c r="U303" s="536">
        <v>2787577.33</v>
      </c>
      <c r="V303" s="1471"/>
      <c r="W303" s="1471"/>
      <c r="X303" s="1471"/>
      <c r="Y303" s="573">
        <v>43938</v>
      </c>
      <c r="Z303" s="536" t="s">
        <v>6705</v>
      </c>
      <c r="AA303" s="537">
        <v>43965</v>
      </c>
      <c r="AB303" s="537">
        <v>43966</v>
      </c>
      <c r="AC303" s="537">
        <f>AA303+66</f>
        <v>44031</v>
      </c>
      <c r="AD303" s="537">
        <v>44137</v>
      </c>
      <c r="AE303" s="1102"/>
      <c r="AJ303" s="1944"/>
      <c r="AK303" s="1944"/>
      <c r="AL303" s="1944"/>
      <c r="AM303" s="1944"/>
      <c r="AN303" s="1944"/>
      <c r="AO303" s="1944"/>
      <c r="AP303" s="1944"/>
      <c r="AQ303" s="1944"/>
      <c r="AR303" s="1944"/>
      <c r="AS303" s="1944"/>
    </row>
    <row r="304" spans="1:45">
      <c r="A304" s="1944"/>
      <c r="B304" s="1944"/>
      <c r="C304" s="510">
        <v>43900</v>
      </c>
      <c r="D304" s="1382" t="s">
        <v>6519</v>
      </c>
      <c r="E304" s="506" t="s">
        <v>4997</v>
      </c>
      <c r="F304" s="506" t="s">
        <v>167</v>
      </c>
      <c r="G304" s="507" t="s">
        <v>6520</v>
      </c>
      <c r="H304" s="506"/>
      <c r="I304" s="548"/>
      <c r="J304" s="590"/>
      <c r="K304" s="506" t="s">
        <v>1676</v>
      </c>
      <c r="L304" s="506"/>
      <c r="M304" s="511">
        <v>300000</v>
      </c>
      <c r="N304" s="506" t="s">
        <v>112</v>
      </c>
      <c r="O304" s="510">
        <v>43909</v>
      </c>
      <c r="P304" s="510">
        <v>43927</v>
      </c>
      <c r="Q304" s="506"/>
      <c r="R304" s="736" t="s">
        <v>6700</v>
      </c>
      <c r="S304" s="506"/>
      <c r="T304" s="511"/>
      <c r="U304" s="511"/>
      <c r="V304" s="1484"/>
      <c r="W304" s="1484"/>
      <c r="X304" s="1484"/>
      <c r="Y304" s="511"/>
      <c r="Z304" s="511"/>
      <c r="AA304" s="506"/>
      <c r="AB304" s="510">
        <v>43937</v>
      </c>
      <c r="AC304" s="510"/>
      <c r="AD304" s="506"/>
      <c r="AE304" s="1102"/>
      <c r="AJ304" s="1944"/>
      <c r="AK304" s="1944"/>
      <c r="AL304" s="1944"/>
      <c r="AM304" s="1944"/>
      <c r="AN304" s="1944"/>
      <c r="AO304" s="1944"/>
      <c r="AP304" s="1944"/>
      <c r="AQ304" s="1944"/>
      <c r="AR304" s="1944"/>
      <c r="AS304" s="1944"/>
    </row>
    <row r="305" spans="1:45" ht="15.75" thickBot="1">
      <c r="A305" s="1944"/>
      <c r="B305" s="1944"/>
      <c r="C305" s="416" t="s">
        <v>3585</v>
      </c>
      <c r="D305" s="1468" t="s">
        <v>6523</v>
      </c>
      <c r="E305" s="411" t="s">
        <v>2111</v>
      </c>
      <c r="F305" s="411" t="s">
        <v>4440</v>
      </c>
      <c r="G305" s="412" t="s">
        <v>6524</v>
      </c>
      <c r="H305" s="411"/>
      <c r="I305" s="630"/>
      <c r="J305" s="411"/>
      <c r="K305" s="411" t="s">
        <v>3495</v>
      </c>
      <c r="L305" s="411"/>
      <c r="M305" s="417">
        <v>900000</v>
      </c>
      <c r="N305" s="411" t="s">
        <v>112</v>
      </c>
      <c r="O305" s="416">
        <v>43914</v>
      </c>
      <c r="P305" s="416">
        <v>43924</v>
      </c>
      <c r="Q305" s="416">
        <v>43944</v>
      </c>
      <c r="R305" s="630" t="s">
        <v>3864</v>
      </c>
      <c r="S305" s="411"/>
      <c r="T305" s="417">
        <v>839520</v>
      </c>
      <c r="U305" s="417">
        <f>T305*1.21</f>
        <v>1015819.2</v>
      </c>
      <c r="V305" s="1480"/>
      <c r="W305" s="1480"/>
      <c r="X305" s="1480"/>
      <c r="Y305" s="513">
        <v>43944</v>
      </c>
      <c r="Z305" s="417" t="s">
        <v>6735</v>
      </c>
      <c r="AA305" s="416">
        <v>43973</v>
      </c>
      <c r="AB305" s="416">
        <v>43976</v>
      </c>
      <c r="AC305" s="416">
        <v>44337</v>
      </c>
      <c r="AD305" s="416">
        <v>44277</v>
      </c>
      <c r="AE305" s="416">
        <v>44643</v>
      </c>
      <c r="AJ305" s="1944"/>
      <c r="AK305" s="1944"/>
      <c r="AL305" s="1944"/>
      <c r="AM305" s="1944"/>
      <c r="AN305" s="1944"/>
      <c r="AO305" s="1944"/>
      <c r="AP305" s="1944"/>
      <c r="AQ305" s="1944"/>
      <c r="AR305" s="1944"/>
      <c r="AS305" s="1944"/>
    </row>
    <row r="306" spans="1:45" ht="15.75" thickTop="1">
      <c r="A306" s="1944"/>
      <c r="B306" s="1944"/>
      <c r="C306" s="1988">
        <v>43899</v>
      </c>
      <c r="D306" s="439" t="s">
        <v>6526</v>
      </c>
      <c r="E306" s="439" t="s">
        <v>2434</v>
      </c>
      <c r="F306" s="439" t="s">
        <v>751</v>
      </c>
      <c r="G306" s="440" t="s">
        <v>6527</v>
      </c>
      <c r="H306" s="439">
        <v>1</v>
      </c>
      <c r="I306" s="2052" t="s">
        <v>6528</v>
      </c>
      <c r="J306" s="583"/>
      <c r="K306" s="439" t="s">
        <v>6815</v>
      </c>
      <c r="L306" s="439"/>
      <c r="M306" s="444">
        <v>2762500</v>
      </c>
      <c r="N306" s="439" t="s">
        <v>251</v>
      </c>
      <c r="O306" s="443">
        <v>43971</v>
      </c>
      <c r="P306" s="443">
        <v>44007</v>
      </c>
      <c r="Q306" s="439"/>
      <c r="R306" s="753" t="s">
        <v>304</v>
      </c>
      <c r="S306" s="2072" t="s">
        <v>8023</v>
      </c>
      <c r="T306" s="444"/>
      <c r="U306" s="444"/>
      <c r="V306" s="1483"/>
      <c r="W306" s="1483"/>
      <c r="X306" s="1483"/>
      <c r="Y306" s="444"/>
      <c r="Z306" s="444"/>
      <c r="AA306" s="439"/>
      <c r="AB306" s="443">
        <v>44029</v>
      </c>
      <c r="AC306" s="443" t="s">
        <v>7086</v>
      </c>
      <c r="AD306" s="439"/>
      <c r="AE306" s="439"/>
      <c r="AJ306" s="1944"/>
      <c r="AK306" s="1944"/>
      <c r="AL306" s="1944"/>
      <c r="AM306" s="1944"/>
      <c r="AN306" s="1944"/>
      <c r="AO306" s="1944"/>
      <c r="AP306" s="1944"/>
      <c r="AQ306" s="1944"/>
      <c r="AR306" s="1944"/>
      <c r="AS306" s="1944"/>
    </row>
    <row r="307" spans="1:45" ht="30">
      <c r="A307" s="1944"/>
      <c r="B307" s="1944"/>
      <c r="C307" s="1736">
        <v>43899</v>
      </c>
      <c r="D307" s="491" t="s">
        <v>6526</v>
      </c>
      <c r="E307" s="491" t="s">
        <v>2434</v>
      </c>
      <c r="F307" s="491" t="s">
        <v>751</v>
      </c>
      <c r="G307" s="571" t="s">
        <v>6527</v>
      </c>
      <c r="H307" s="491">
        <v>2</v>
      </c>
      <c r="I307" s="2034" t="s">
        <v>6529</v>
      </c>
      <c r="J307" s="491"/>
      <c r="K307" s="491" t="s">
        <v>6815</v>
      </c>
      <c r="L307" s="491"/>
      <c r="M307" s="536">
        <v>264000</v>
      </c>
      <c r="N307" s="491" t="s">
        <v>251</v>
      </c>
      <c r="O307" s="537">
        <v>43971</v>
      </c>
      <c r="P307" s="537">
        <v>44007</v>
      </c>
      <c r="Q307" s="537">
        <v>44095</v>
      </c>
      <c r="R307" s="495" t="s">
        <v>7255</v>
      </c>
      <c r="S307" s="491"/>
      <c r="T307" s="536">
        <v>256000</v>
      </c>
      <c r="U307" s="536">
        <f>T307*1.21</f>
        <v>309760</v>
      </c>
      <c r="V307" s="1471"/>
      <c r="W307" s="1471"/>
      <c r="X307" s="1471"/>
      <c r="Y307" s="573">
        <v>44095</v>
      </c>
      <c r="Z307" s="1375" t="s">
        <v>7634</v>
      </c>
      <c r="AA307" s="537">
        <v>44131</v>
      </c>
      <c r="AB307" s="537">
        <v>44141</v>
      </c>
      <c r="AC307" s="537">
        <v>44860</v>
      </c>
      <c r="AD307" s="491" t="s">
        <v>8483</v>
      </c>
      <c r="AE307" s="537">
        <v>44641</v>
      </c>
      <c r="AF307" s="388" t="s">
        <v>7835</v>
      </c>
      <c r="AJ307" s="1944"/>
      <c r="AK307" s="1944"/>
      <c r="AL307" s="1944"/>
      <c r="AM307" s="1944"/>
      <c r="AN307" s="1944"/>
      <c r="AO307" s="1944"/>
      <c r="AP307" s="1944"/>
      <c r="AQ307" s="1944"/>
      <c r="AR307" s="1944"/>
      <c r="AS307" s="1944"/>
    </row>
    <row r="308" spans="1:45">
      <c r="A308" s="1944"/>
      <c r="B308" s="1944"/>
      <c r="C308" s="1989">
        <v>43899</v>
      </c>
      <c r="D308" s="506" t="s">
        <v>6526</v>
      </c>
      <c r="E308" s="506" t="s">
        <v>2434</v>
      </c>
      <c r="F308" s="506" t="s">
        <v>751</v>
      </c>
      <c r="G308" s="507" t="s">
        <v>6527</v>
      </c>
      <c r="H308" s="506">
        <v>3</v>
      </c>
      <c r="I308" s="2053" t="s">
        <v>6530</v>
      </c>
      <c r="J308" s="506"/>
      <c r="K308" s="506" t="s">
        <v>3890</v>
      </c>
      <c r="L308" s="506"/>
      <c r="M308" s="511">
        <v>264000</v>
      </c>
      <c r="N308" s="506" t="s">
        <v>251</v>
      </c>
      <c r="O308" s="510">
        <v>43971</v>
      </c>
      <c r="P308" s="510">
        <v>44007</v>
      </c>
      <c r="Q308" s="506"/>
      <c r="R308" s="548"/>
      <c r="S308" s="2073" t="s">
        <v>8023</v>
      </c>
      <c r="T308" s="511"/>
      <c r="U308" s="511"/>
      <c r="V308" s="1470"/>
      <c r="W308" s="1470"/>
      <c r="X308" s="1470"/>
      <c r="Y308" s="511"/>
      <c r="Z308" s="511"/>
      <c r="AA308" s="506"/>
      <c r="AB308" s="510">
        <v>44089</v>
      </c>
      <c r="AC308" s="2010" t="s">
        <v>7452</v>
      </c>
      <c r="AD308" s="506"/>
      <c r="AE308" s="506"/>
      <c r="AJ308" s="1944"/>
      <c r="AK308" s="1944"/>
      <c r="AL308" s="1944"/>
      <c r="AM308" s="1944"/>
      <c r="AN308" s="1944"/>
      <c r="AO308" s="1944"/>
      <c r="AP308" s="1944"/>
      <c r="AQ308" s="1944"/>
      <c r="AR308" s="1944"/>
      <c r="AS308" s="1944"/>
    </row>
    <row r="309" spans="1:45" ht="30">
      <c r="A309" s="1944"/>
      <c r="B309" s="1944"/>
      <c r="C309" s="1989">
        <v>43899</v>
      </c>
      <c r="D309" s="506" t="s">
        <v>6526</v>
      </c>
      <c r="E309" s="506" t="s">
        <v>2434</v>
      </c>
      <c r="F309" s="506" t="s">
        <v>751</v>
      </c>
      <c r="G309" s="507" t="s">
        <v>6527</v>
      </c>
      <c r="H309" s="506">
        <v>4</v>
      </c>
      <c r="I309" s="2053" t="s">
        <v>6531</v>
      </c>
      <c r="J309" s="590"/>
      <c r="K309" s="506" t="s">
        <v>3890</v>
      </c>
      <c r="L309" s="506"/>
      <c r="M309" s="511">
        <v>4290000</v>
      </c>
      <c r="N309" s="506" t="s">
        <v>251</v>
      </c>
      <c r="O309" s="510">
        <v>43971</v>
      </c>
      <c r="P309" s="510">
        <v>44007</v>
      </c>
      <c r="Q309" s="506"/>
      <c r="R309" s="736" t="s">
        <v>304</v>
      </c>
      <c r="S309" s="2073" t="s">
        <v>8023</v>
      </c>
      <c r="T309" s="511"/>
      <c r="U309" s="511"/>
      <c r="V309" s="1484"/>
      <c r="W309" s="1484"/>
      <c r="X309" s="1484"/>
      <c r="Y309" s="511"/>
      <c r="Z309" s="511"/>
      <c r="AA309" s="506"/>
      <c r="AB309" s="510">
        <v>44029</v>
      </c>
      <c r="AC309" s="510" t="s">
        <v>7086</v>
      </c>
      <c r="AD309" s="506"/>
      <c r="AE309" s="506"/>
      <c r="AJ309" s="1944"/>
      <c r="AK309" s="1944"/>
      <c r="AL309" s="1944"/>
      <c r="AM309" s="1944"/>
      <c r="AN309" s="1944"/>
      <c r="AO309" s="1944"/>
      <c r="AP309" s="1944"/>
      <c r="AQ309" s="1944"/>
      <c r="AR309" s="1944"/>
      <c r="AS309" s="1944"/>
    </row>
    <row r="310" spans="1:45" ht="30">
      <c r="A310" s="1944"/>
      <c r="B310" s="1944"/>
      <c r="C310" s="1736">
        <v>43899</v>
      </c>
      <c r="D310" s="491" t="s">
        <v>6526</v>
      </c>
      <c r="E310" s="491" t="s">
        <v>2434</v>
      </c>
      <c r="F310" s="491" t="s">
        <v>751</v>
      </c>
      <c r="G310" s="571" t="s">
        <v>6527</v>
      </c>
      <c r="H310" s="491">
        <v>5</v>
      </c>
      <c r="I310" s="2033" t="s">
        <v>6540</v>
      </c>
      <c r="J310" s="491"/>
      <c r="K310" s="491" t="s">
        <v>6815</v>
      </c>
      <c r="L310" s="491"/>
      <c r="M310" s="536">
        <v>2760000</v>
      </c>
      <c r="N310" s="491" t="s">
        <v>251</v>
      </c>
      <c r="O310" s="537">
        <v>43971</v>
      </c>
      <c r="P310" s="537">
        <v>44007</v>
      </c>
      <c r="Q310" s="537">
        <v>44095</v>
      </c>
      <c r="R310" s="495" t="s">
        <v>7573</v>
      </c>
      <c r="S310" s="491"/>
      <c r="T310" s="536">
        <v>2760000</v>
      </c>
      <c r="U310" s="536">
        <f>T310*1.21</f>
        <v>3339600</v>
      </c>
      <c r="V310" s="1471"/>
      <c r="W310" s="1471"/>
      <c r="X310" s="1471"/>
      <c r="Y310" s="573">
        <v>44095</v>
      </c>
      <c r="Z310" s="1375" t="s">
        <v>7635</v>
      </c>
      <c r="AA310" s="537">
        <v>44134</v>
      </c>
      <c r="AB310" s="537">
        <v>44141</v>
      </c>
      <c r="AC310" s="537">
        <v>44863</v>
      </c>
      <c r="AD310" s="537">
        <v>44285</v>
      </c>
      <c r="AE310" s="537">
        <v>44641</v>
      </c>
      <c r="AF310" s="388" t="s">
        <v>7842</v>
      </c>
      <c r="AJ310" s="1944"/>
      <c r="AK310" s="1944"/>
      <c r="AL310" s="1944"/>
      <c r="AM310" s="1944"/>
      <c r="AN310" s="1944"/>
      <c r="AO310" s="1944"/>
      <c r="AP310" s="1944"/>
      <c r="AQ310" s="1944"/>
      <c r="AR310" s="1944"/>
      <c r="AS310" s="1944"/>
    </row>
    <row r="311" spans="1:45" ht="34.5" customHeight="1">
      <c r="A311" s="1944"/>
      <c r="B311" s="1944"/>
      <c r="C311" s="1736">
        <v>43899</v>
      </c>
      <c r="D311" s="491" t="s">
        <v>6526</v>
      </c>
      <c r="E311" s="491" t="s">
        <v>2434</v>
      </c>
      <c r="F311" s="491" t="s">
        <v>751</v>
      </c>
      <c r="G311" s="571" t="s">
        <v>6527</v>
      </c>
      <c r="H311" s="491">
        <v>6</v>
      </c>
      <c r="I311" s="2033" t="s">
        <v>3791</v>
      </c>
      <c r="J311" s="491"/>
      <c r="K311" s="491" t="s">
        <v>6815</v>
      </c>
      <c r="L311" s="491"/>
      <c r="M311" s="536">
        <v>1740000</v>
      </c>
      <c r="N311" s="491" t="s">
        <v>251</v>
      </c>
      <c r="O311" s="537">
        <v>43971</v>
      </c>
      <c r="P311" s="537">
        <v>44007</v>
      </c>
      <c r="Q311" s="537">
        <v>44095</v>
      </c>
      <c r="R311" s="495" t="s">
        <v>7255</v>
      </c>
      <c r="S311" s="491"/>
      <c r="T311" s="536">
        <v>1734000</v>
      </c>
      <c r="U311" s="536">
        <f>T311*1.21</f>
        <v>2098140</v>
      </c>
      <c r="V311" s="1471"/>
      <c r="W311" s="1471"/>
      <c r="X311" s="1471"/>
      <c r="Y311" s="573">
        <v>44095</v>
      </c>
      <c r="Z311" s="1375" t="s">
        <v>7636</v>
      </c>
      <c r="AA311" s="537">
        <v>44131</v>
      </c>
      <c r="AB311" s="537">
        <v>44141</v>
      </c>
      <c r="AC311" s="537">
        <v>44860</v>
      </c>
      <c r="AD311" s="491" t="s">
        <v>8483</v>
      </c>
      <c r="AE311" s="537">
        <v>44641</v>
      </c>
      <c r="AF311" s="388" t="s">
        <v>7835</v>
      </c>
      <c r="AJ311" s="1944"/>
      <c r="AK311" s="1944"/>
      <c r="AL311" s="1944"/>
      <c r="AM311" s="1944"/>
      <c r="AN311" s="1944"/>
      <c r="AO311" s="1944"/>
      <c r="AP311" s="1944"/>
      <c r="AQ311" s="1944"/>
      <c r="AR311" s="1944"/>
      <c r="AS311" s="1944"/>
    </row>
    <row r="312" spans="1:45">
      <c r="A312" s="1944"/>
      <c r="B312" s="1944"/>
      <c r="C312" s="1989">
        <v>43899</v>
      </c>
      <c r="D312" s="506" t="s">
        <v>6526</v>
      </c>
      <c r="E312" s="506" t="s">
        <v>2434</v>
      </c>
      <c r="F312" s="506" t="s">
        <v>751</v>
      </c>
      <c r="G312" s="507" t="s">
        <v>6527</v>
      </c>
      <c r="H312" s="506">
        <v>7</v>
      </c>
      <c r="I312" s="507" t="s">
        <v>6532</v>
      </c>
      <c r="J312" s="590"/>
      <c r="K312" s="506" t="s">
        <v>6815</v>
      </c>
      <c r="L312" s="506"/>
      <c r="M312" s="511">
        <v>1326500</v>
      </c>
      <c r="N312" s="506" t="s">
        <v>251</v>
      </c>
      <c r="O312" s="510">
        <v>43971</v>
      </c>
      <c r="P312" s="510">
        <v>44007</v>
      </c>
      <c r="Q312" s="506"/>
      <c r="R312" s="736" t="s">
        <v>304</v>
      </c>
      <c r="S312" s="2073" t="s">
        <v>8023</v>
      </c>
      <c r="T312" s="511"/>
      <c r="U312" s="511"/>
      <c r="V312" s="1484"/>
      <c r="W312" s="1484"/>
      <c r="X312" s="1484"/>
      <c r="Y312" s="511"/>
      <c r="Z312" s="511"/>
      <c r="AA312" s="506"/>
      <c r="AB312" s="510">
        <v>44029</v>
      </c>
      <c r="AC312" s="510" t="s">
        <v>7086</v>
      </c>
      <c r="AD312" s="506"/>
      <c r="AE312" s="506"/>
      <c r="AJ312" s="1944"/>
      <c r="AK312" s="1944"/>
      <c r="AL312" s="1944"/>
      <c r="AM312" s="1944"/>
      <c r="AN312" s="1944"/>
      <c r="AO312" s="1944"/>
      <c r="AP312" s="1944"/>
      <c r="AQ312" s="1944"/>
      <c r="AR312" s="1944"/>
      <c r="AS312" s="1944"/>
    </row>
    <row r="313" spans="1:45" ht="30">
      <c r="A313" s="1944"/>
      <c r="B313" s="1944"/>
      <c r="C313" s="1736">
        <v>43899</v>
      </c>
      <c r="D313" s="491" t="s">
        <v>6526</v>
      </c>
      <c r="E313" s="491" t="s">
        <v>2434</v>
      </c>
      <c r="F313" s="491" t="s">
        <v>751</v>
      </c>
      <c r="G313" s="571" t="s">
        <v>6527</v>
      </c>
      <c r="H313" s="491">
        <v>8</v>
      </c>
      <c r="I313" s="715" t="s">
        <v>6533</v>
      </c>
      <c r="J313" s="491"/>
      <c r="K313" s="491" t="s">
        <v>2639</v>
      </c>
      <c r="L313" s="491"/>
      <c r="M313" s="536">
        <v>3160000</v>
      </c>
      <c r="N313" s="491" t="s">
        <v>251</v>
      </c>
      <c r="O313" s="537">
        <v>43971</v>
      </c>
      <c r="P313" s="537">
        <v>44007</v>
      </c>
      <c r="Q313" s="537">
        <v>44095</v>
      </c>
      <c r="R313" s="495" t="s">
        <v>5908</v>
      </c>
      <c r="S313" s="491"/>
      <c r="T313" s="536">
        <v>3160000</v>
      </c>
      <c r="U313" s="536">
        <f>T313*1.21</f>
        <v>3823600</v>
      </c>
      <c r="V313" s="1471"/>
      <c r="W313" s="1471"/>
      <c r="X313" s="1471"/>
      <c r="Y313" s="573">
        <v>44095</v>
      </c>
      <c r="Z313" s="1375" t="s">
        <v>7637</v>
      </c>
      <c r="AA313" s="537">
        <v>44131</v>
      </c>
      <c r="AB313" s="537">
        <v>44141</v>
      </c>
      <c r="AC313" s="537">
        <v>44860</v>
      </c>
      <c r="AD313" s="537">
        <v>44285</v>
      </c>
      <c r="AE313" s="537">
        <v>44641</v>
      </c>
      <c r="AF313" s="388" t="s">
        <v>7835</v>
      </c>
      <c r="AJ313" s="1944"/>
      <c r="AK313" s="1944"/>
      <c r="AL313" s="1944"/>
      <c r="AM313" s="1944"/>
      <c r="AN313" s="1944"/>
      <c r="AO313" s="1944"/>
      <c r="AP313" s="1944"/>
      <c r="AQ313" s="1944"/>
      <c r="AR313" s="1944"/>
      <c r="AS313" s="1944"/>
    </row>
    <row r="314" spans="1:45" ht="30">
      <c r="A314" s="1944"/>
      <c r="B314" s="1944"/>
      <c r="C314" s="1736">
        <v>43899</v>
      </c>
      <c r="D314" s="491" t="s">
        <v>6526</v>
      </c>
      <c r="E314" s="491" t="s">
        <v>2434</v>
      </c>
      <c r="F314" s="491" t="s">
        <v>751</v>
      </c>
      <c r="G314" s="571" t="s">
        <v>6527</v>
      </c>
      <c r="H314" s="491">
        <v>9</v>
      </c>
      <c r="I314" s="715" t="s">
        <v>6534</v>
      </c>
      <c r="J314" s="491"/>
      <c r="K314" s="491" t="s">
        <v>2639</v>
      </c>
      <c r="L314" s="491"/>
      <c r="M314" s="536">
        <v>5530000</v>
      </c>
      <c r="N314" s="491" t="s">
        <v>251</v>
      </c>
      <c r="O314" s="537">
        <v>43971</v>
      </c>
      <c r="P314" s="537">
        <v>44007</v>
      </c>
      <c r="Q314" s="537">
        <v>44095</v>
      </c>
      <c r="R314" s="495" t="s">
        <v>5908</v>
      </c>
      <c r="S314" s="491"/>
      <c r="T314" s="536">
        <v>5530000</v>
      </c>
      <c r="U314" s="536">
        <f>T314*1.21</f>
        <v>6691300</v>
      </c>
      <c r="V314" s="1471"/>
      <c r="W314" s="1471"/>
      <c r="X314" s="1471"/>
      <c r="Y314" s="573">
        <v>44095</v>
      </c>
      <c r="Z314" s="1375" t="s">
        <v>7638</v>
      </c>
      <c r="AA314" s="537">
        <v>44131</v>
      </c>
      <c r="AB314" s="537">
        <v>44141</v>
      </c>
      <c r="AC314" s="537">
        <v>44860</v>
      </c>
      <c r="AD314" s="491" t="s">
        <v>8483</v>
      </c>
      <c r="AE314" s="537">
        <v>44641</v>
      </c>
      <c r="AF314" s="388" t="s">
        <v>7835</v>
      </c>
      <c r="AJ314" s="1944"/>
      <c r="AK314" s="1944"/>
      <c r="AL314" s="1944"/>
      <c r="AM314" s="1944"/>
      <c r="AN314" s="1944"/>
      <c r="AO314" s="1944"/>
      <c r="AP314" s="1944"/>
      <c r="AQ314" s="1944"/>
      <c r="AR314" s="1944"/>
      <c r="AS314" s="1944"/>
    </row>
    <row r="315" spans="1:45" ht="30">
      <c r="A315" s="1944"/>
      <c r="B315" s="1944"/>
      <c r="C315" s="1736">
        <v>43899</v>
      </c>
      <c r="D315" s="491" t="s">
        <v>6526</v>
      </c>
      <c r="E315" s="491" t="s">
        <v>2434</v>
      </c>
      <c r="F315" s="491" t="s">
        <v>751</v>
      </c>
      <c r="G315" s="571" t="s">
        <v>6527</v>
      </c>
      <c r="H315" s="491">
        <v>10</v>
      </c>
      <c r="I315" s="715" t="s">
        <v>6535</v>
      </c>
      <c r="J315" s="491"/>
      <c r="K315" s="491" t="s">
        <v>2639</v>
      </c>
      <c r="L315" s="491"/>
      <c r="M315" s="536">
        <v>588200</v>
      </c>
      <c r="N315" s="491" t="s">
        <v>251</v>
      </c>
      <c r="O315" s="537">
        <v>43971</v>
      </c>
      <c r="P315" s="537">
        <v>44007</v>
      </c>
      <c r="Q315" s="537">
        <v>44095</v>
      </c>
      <c r="R315" s="495" t="s">
        <v>7574</v>
      </c>
      <c r="S315" s="491"/>
      <c r="T315" s="536">
        <v>588200</v>
      </c>
      <c r="U315" s="536">
        <f>T315*1.21</f>
        <v>711722</v>
      </c>
      <c r="V315" s="1471"/>
      <c r="W315" s="1471"/>
      <c r="X315" s="1471"/>
      <c r="Y315" s="573">
        <v>44095</v>
      </c>
      <c r="Z315" s="1375" t="s">
        <v>7639</v>
      </c>
      <c r="AA315" s="537">
        <v>44137</v>
      </c>
      <c r="AB315" s="537">
        <v>44141</v>
      </c>
      <c r="AC315" s="537">
        <v>44866</v>
      </c>
      <c r="AD315" s="537">
        <v>44285</v>
      </c>
      <c r="AE315" s="537">
        <v>44641</v>
      </c>
      <c r="AF315" s="388" t="s">
        <v>7854</v>
      </c>
      <c r="AJ315" s="1944"/>
      <c r="AK315" s="1944"/>
      <c r="AL315" s="1944"/>
      <c r="AM315" s="1944"/>
      <c r="AN315" s="1944"/>
      <c r="AO315" s="1944"/>
      <c r="AP315" s="1944"/>
      <c r="AQ315" s="1944"/>
      <c r="AR315" s="1944"/>
      <c r="AS315" s="1944"/>
    </row>
    <row r="316" spans="1:45" ht="30">
      <c r="A316" s="1944"/>
      <c r="B316" s="1944"/>
      <c r="C316" s="1736">
        <v>43899</v>
      </c>
      <c r="D316" s="491" t="s">
        <v>6526</v>
      </c>
      <c r="E316" s="491" t="s">
        <v>2434</v>
      </c>
      <c r="F316" s="491" t="s">
        <v>751</v>
      </c>
      <c r="G316" s="571" t="s">
        <v>6527</v>
      </c>
      <c r="H316" s="491">
        <v>11</v>
      </c>
      <c r="I316" s="571" t="s">
        <v>6536</v>
      </c>
      <c r="J316" s="491"/>
      <c r="K316" s="491" t="s">
        <v>2639</v>
      </c>
      <c r="L316" s="491"/>
      <c r="M316" s="536">
        <v>1727850</v>
      </c>
      <c r="N316" s="491" t="s">
        <v>251</v>
      </c>
      <c r="O316" s="537">
        <v>43971</v>
      </c>
      <c r="P316" s="537">
        <v>44007</v>
      </c>
      <c r="Q316" s="537">
        <v>44095</v>
      </c>
      <c r="R316" s="495" t="s">
        <v>993</v>
      </c>
      <c r="S316" s="491"/>
      <c r="T316" s="536">
        <v>1680000</v>
      </c>
      <c r="U316" s="536">
        <f>T316*1.21</f>
        <v>2032800</v>
      </c>
      <c r="V316" s="1471"/>
      <c r="W316" s="1471"/>
      <c r="X316" s="1471"/>
      <c r="Y316" s="573">
        <v>44095</v>
      </c>
      <c r="Z316" s="1375" t="s">
        <v>7640</v>
      </c>
      <c r="AA316" s="537">
        <v>44134</v>
      </c>
      <c r="AB316" s="537">
        <v>44141</v>
      </c>
      <c r="AC316" s="537">
        <v>44863</v>
      </c>
      <c r="AD316" s="537">
        <v>44285</v>
      </c>
      <c r="AE316" s="537">
        <v>44641</v>
      </c>
      <c r="AF316" s="388" t="s">
        <v>7842</v>
      </c>
      <c r="AJ316" s="1944"/>
      <c r="AK316" s="1944"/>
      <c r="AL316" s="1944"/>
      <c r="AM316" s="1944"/>
      <c r="AN316" s="1944"/>
      <c r="AO316" s="1944"/>
      <c r="AP316" s="1944"/>
      <c r="AQ316" s="1944"/>
      <c r="AR316" s="1944"/>
      <c r="AS316" s="1944"/>
    </row>
    <row r="317" spans="1:45" ht="30">
      <c r="A317" s="1944"/>
      <c r="B317" s="1944"/>
      <c r="C317" s="1736">
        <v>43899</v>
      </c>
      <c r="D317" s="491" t="s">
        <v>6526</v>
      </c>
      <c r="E317" s="491" t="s">
        <v>2434</v>
      </c>
      <c r="F317" s="491" t="s">
        <v>751</v>
      </c>
      <c r="G317" s="571" t="s">
        <v>6527</v>
      </c>
      <c r="H317" s="491">
        <v>12</v>
      </c>
      <c r="I317" s="715" t="s">
        <v>6537</v>
      </c>
      <c r="J317" s="491"/>
      <c r="K317" s="491" t="s">
        <v>3890</v>
      </c>
      <c r="L317" s="491"/>
      <c r="M317" s="536">
        <v>3500000</v>
      </c>
      <c r="N317" s="491" t="s">
        <v>251</v>
      </c>
      <c r="O317" s="537">
        <v>43971</v>
      </c>
      <c r="P317" s="537">
        <v>44007</v>
      </c>
      <c r="Q317" s="537">
        <v>44095</v>
      </c>
      <c r="R317" s="495" t="s">
        <v>1433</v>
      </c>
      <c r="S317" s="491"/>
      <c r="T317" s="536">
        <v>2520000</v>
      </c>
      <c r="U317" s="536">
        <f>T317*1.21</f>
        <v>3049200</v>
      </c>
      <c r="V317" s="1471"/>
      <c r="W317" s="1471"/>
      <c r="X317" s="1471"/>
      <c r="Y317" s="573">
        <v>44095</v>
      </c>
      <c r="Z317" s="1375" t="s">
        <v>7641</v>
      </c>
      <c r="AA317" s="537">
        <v>44131</v>
      </c>
      <c r="AB317" s="537">
        <v>44141</v>
      </c>
      <c r="AC317" s="537">
        <v>44860</v>
      </c>
      <c r="AD317" s="537">
        <v>44285</v>
      </c>
      <c r="AE317" s="537">
        <v>44641</v>
      </c>
      <c r="AF317" s="388" t="s">
        <v>7835</v>
      </c>
      <c r="AJ317" s="1944"/>
      <c r="AK317" s="1944"/>
      <c r="AL317" s="1944"/>
      <c r="AM317" s="1944"/>
      <c r="AN317" s="1944"/>
      <c r="AO317" s="1944"/>
      <c r="AP317" s="1944"/>
      <c r="AQ317" s="1944"/>
      <c r="AR317" s="1944"/>
      <c r="AS317" s="1944"/>
    </row>
    <row r="318" spans="1:45">
      <c r="A318" s="1944"/>
      <c r="B318" s="1944"/>
      <c r="C318" s="1989">
        <v>43899</v>
      </c>
      <c r="D318" s="506" t="s">
        <v>6526</v>
      </c>
      <c r="E318" s="506" t="s">
        <v>2434</v>
      </c>
      <c r="F318" s="506" t="s">
        <v>751</v>
      </c>
      <c r="G318" s="507" t="s">
        <v>6527</v>
      </c>
      <c r="H318" s="506">
        <v>13</v>
      </c>
      <c r="I318" s="507" t="s">
        <v>6538</v>
      </c>
      <c r="J318" s="506"/>
      <c r="K318" s="506" t="s">
        <v>3890</v>
      </c>
      <c r="L318" s="506"/>
      <c r="M318" s="511">
        <v>875000</v>
      </c>
      <c r="N318" s="506" t="s">
        <v>251</v>
      </c>
      <c r="O318" s="510">
        <v>43971</v>
      </c>
      <c r="P318" s="510">
        <v>44007</v>
      </c>
      <c r="Q318" s="506"/>
      <c r="R318" s="548"/>
      <c r="S318" s="2073" t="s">
        <v>8023</v>
      </c>
      <c r="T318" s="511"/>
      <c r="U318" s="511"/>
      <c r="V318" s="1470"/>
      <c r="W318" s="1470"/>
      <c r="X318" s="1470"/>
      <c r="Y318" s="511"/>
      <c r="Z318" s="511"/>
      <c r="AA318" s="506"/>
      <c r="AB318" s="510">
        <v>44089</v>
      </c>
      <c r="AC318" s="2010" t="s">
        <v>7452</v>
      </c>
      <c r="AD318" s="506"/>
      <c r="AE318" s="506"/>
      <c r="AJ318" s="1944"/>
      <c r="AK318" s="1944"/>
      <c r="AL318" s="1944"/>
      <c r="AM318" s="1944"/>
      <c r="AN318" s="1944"/>
      <c r="AO318" s="1944"/>
      <c r="AP318" s="1944"/>
      <c r="AQ318" s="1944"/>
      <c r="AR318" s="1944"/>
      <c r="AS318" s="1944"/>
    </row>
    <row r="319" spans="1:45" ht="15.75" thickBot="1">
      <c r="A319" s="1944"/>
      <c r="B319" s="1944"/>
      <c r="C319" s="1703">
        <v>43899</v>
      </c>
      <c r="D319" s="1410" t="s">
        <v>6526</v>
      </c>
      <c r="E319" s="1410" t="s">
        <v>2434</v>
      </c>
      <c r="F319" s="1410" t="s">
        <v>751</v>
      </c>
      <c r="G319" s="1412" t="s">
        <v>6527</v>
      </c>
      <c r="H319" s="1410">
        <v>14</v>
      </c>
      <c r="I319" s="1412" t="s">
        <v>6539</v>
      </c>
      <c r="J319" s="1410"/>
      <c r="K319" s="1410" t="s">
        <v>3890</v>
      </c>
      <c r="L319" s="1410"/>
      <c r="M319" s="1413">
        <v>1008000</v>
      </c>
      <c r="N319" s="1410" t="s">
        <v>251</v>
      </c>
      <c r="O319" s="1414">
        <v>43971</v>
      </c>
      <c r="P319" s="1414">
        <v>44007</v>
      </c>
      <c r="Q319" s="1410"/>
      <c r="R319" s="1710" t="s">
        <v>7088</v>
      </c>
      <c r="S319" s="2074" t="s">
        <v>8023</v>
      </c>
      <c r="T319" s="1413"/>
      <c r="U319" s="1413"/>
      <c r="V319" s="1479"/>
      <c r="W319" s="1479"/>
      <c r="X319" s="1479"/>
      <c r="Y319" s="1413"/>
      <c r="Z319" s="1413"/>
      <c r="AA319" s="1410"/>
      <c r="AB319" s="1414">
        <v>44029</v>
      </c>
      <c r="AC319" s="1414" t="s">
        <v>7087</v>
      </c>
      <c r="AD319" s="1410"/>
      <c r="AE319" s="1410"/>
      <c r="AJ319" s="1944"/>
      <c r="AK319" s="1944"/>
      <c r="AL319" s="1944"/>
      <c r="AM319" s="1944"/>
      <c r="AN319" s="1944"/>
      <c r="AO319" s="1944"/>
      <c r="AP319" s="1944"/>
      <c r="AQ319" s="1944"/>
      <c r="AR319" s="1944"/>
      <c r="AS319" s="1944"/>
    </row>
    <row r="320" spans="1:45" ht="15.75" thickTop="1">
      <c r="A320" s="1944"/>
      <c r="B320" s="1944"/>
      <c r="C320" s="365" t="s">
        <v>3585</v>
      </c>
      <c r="D320" s="1397" t="s">
        <v>6547</v>
      </c>
      <c r="E320" s="3210" t="s">
        <v>2111</v>
      </c>
      <c r="F320" s="3210" t="s">
        <v>4440</v>
      </c>
      <c r="G320" s="175" t="s">
        <v>6548</v>
      </c>
      <c r="H320" s="3210"/>
      <c r="I320" s="3211"/>
      <c r="J320" s="3210"/>
      <c r="K320" s="3210" t="s">
        <v>6429</v>
      </c>
      <c r="L320" s="3210"/>
      <c r="M320" s="364">
        <v>670000</v>
      </c>
      <c r="N320" s="3210" t="s">
        <v>112</v>
      </c>
      <c r="O320" s="365">
        <v>43908</v>
      </c>
      <c r="P320" s="365">
        <v>43917</v>
      </c>
      <c r="Q320" s="365">
        <v>43928</v>
      </c>
      <c r="R320" s="3211" t="s">
        <v>6641</v>
      </c>
      <c r="S320" s="3210"/>
      <c r="T320" s="364">
        <v>669741.85</v>
      </c>
      <c r="U320" s="364">
        <v>810387.64</v>
      </c>
      <c r="V320" s="1473"/>
      <c r="W320" s="1473"/>
      <c r="X320" s="1473"/>
      <c r="Y320" s="681">
        <v>43929</v>
      </c>
      <c r="Z320" s="364" t="s">
        <v>6679</v>
      </c>
      <c r="AA320" s="365">
        <v>43962</v>
      </c>
      <c r="AB320" s="365">
        <v>43964</v>
      </c>
      <c r="AC320" s="365">
        <v>44326</v>
      </c>
      <c r="AD320" s="365">
        <v>44277</v>
      </c>
      <c r="AE320" s="365">
        <v>44643</v>
      </c>
      <c r="AJ320" s="1944"/>
      <c r="AK320" s="1944"/>
      <c r="AL320" s="1944"/>
      <c r="AM320" s="1944"/>
      <c r="AN320" s="1944"/>
      <c r="AO320" s="1944"/>
      <c r="AP320" s="1944"/>
      <c r="AQ320" s="1944"/>
      <c r="AR320" s="1944"/>
      <c r="AS320" s="1944"/>
    </row>
    <row r="321" spans="1:45">
      <c r="A321" s="1944"/>
      <c r="B321" s="1944"/>
      <c r="C321" s="510">
        <v>43901</v>
      </c>
      <c r="D321" s="1382" t="s">
        <v>6554</v>
      </c>
      <c r="E321" s="506" t="s">
        <v>2712</v>
      </c>
      <c r="F321" s="506" t="s">
        <v>2731</v>
      </c>
      <c r="G321" s="507" t="s">
        <v>6553</v>
      </c>
      <c r="H321" s="506"/>
      <c r="I321" s="548"/>
      <c r="J321" s="506"/>
      <c r="K321" s="506" t="s">
        <v>6555</v>
      </c>
      <c r="L321" s="506"/>
      <c r="M321" s="511">
        <v>500000</v>
      </c>
      <c r="N321" s="506" t="s">
        <v>112</v>
      </c>
      <c r="O321" s="510">
        <v>43923</v>
      </c>
      <c r="P321" s="510">
        <v>43936</v>
      </c>
      <c r="Q321" s="506"/>
      <c r="R321" s="548"/>
      <c r="S321" s="514" t="s">
        <v>7491</v>
      </c>
      <c r="T321" s="511"/>
      <c r="U321" s="511"/>
      <c r="V321" s="1470"/>
      <c r="W321" s="1470"/>
      <c r="X321" s="1470"/>
      <c r="Y321" s="511"/>
      <c r="Z321" s="511"/>
      <c r="AA321" s="506"/>
      <c r="AB321" s="510">
        <v>43984</v>
      </c>
      <c r="AC321" s="510"/>
      <c r="AD321" s="506"/>
      <c r="AE321" s="506"/>
      <c r="AJ321" s="1944"/>
      <c r="AK321" s="1944"/>
      <c r="AL321" s="1944"/>
      <c r="AM321" s="1944"/>
      <c r="AN321" s="1944"/>
      <c r="AO321" s="1944"/>
      <c r="AP321" s="1944"/>
      <c r="AQ321" s="1944"/>
      <c r="AR321" s="1944"/>
      <c r="AS321" s="1944"/>
    </row>
    <row r="322" spans="1:45">
      <c r="A322" s="1944"/>
      <c r="B322" s="1944"/>
      <c r="C322" s="510">
        <v>43901</v>
      </c>
      <c r="D322" s="1382" t="s">
        <v>6557</v>
      </c>
      <c r="E322" s="506" t="s">
        <v>2712</v>
      </c>
      <c r="F322" s="506" t="s">
        <v>2731</v>
      </c>
      <c r="G322" s="507" t="s">
        <v>6556</v>
      </c>
      <c r="H322" s="506"/>
      <c r="I322" s="548"/>
      <c r="J322" s="506"/>
      <c r="K322" s="506" t="s">
        <v>6555</v>
      </c>
      <c r="L322" s="506"/>
      <c r="M322" s="511">
        <v>800000</v>
      </c>
      <c r="N322" s="506" t="s">
        <v>112</v>
      </c>
      <c r="O322" s="510">
        <v>43923</v>
      </c>
      <c r="P322" s="510">
        <v>43936</v>
      </c>
      <c r="Q322" s="506"/>
      <c r="R322" s="548"/>
      <c r="S322" s="506"/>
      <c r="T322" s="511"/>
      <c r="U322" s="511"/>
      <c r="V322" s="1470"/>
      <c r="W322" s="1470"/>
      <c r="X322" s="1470"/>
      <c r="Y322" s="511"/>
      <c r="Z322" s="511"/>
      <c r="AA322" s="506"/>
      <c r="AB322" s="510">
        <v>43984</v>
      </c>
      <c r="AC322" s="510"/>
      <c r="AD322" s="506"/>
      <c r="AE322" s="506"/>
      <c r="AJ322" s="1944"/>
      <c r="AK322" s="1944"/>
      <c r="AL322" s="1944"/>
      <c r="AM322" s="1944"/>
      <c r="AN322" s="1944"/>
      <c r="AO322" s="1944"/>
      <c r="AP322" s="1944"/>
      <c r="AQ322" s="1944"/>
      <c r="AR322" s="1944"/>
      <c r="AS322" s="1944"/>
    </row>
    <row r="323" spans="1:45">
      <c r="A323" s="1944"/>
      <c r="B323" s="1944"/>
      <c r="C323" s="510">
        <v>43901</v>
      </c>
      <c r="D323" s="1382" t="s">
        <v>6558</v>
      </c>
      <c r="E323" s="506" t="s">
        <v>2712</v>
      </c>
      <c r="F323" s="506" t="s">
        <v>2731</v>
      </c>
      <c r="G323" s="507" t="s">
        <v>6559</v>
      </c>
      <c r="H323" s="506"/>
      <c r="I323" s="548"/>
      <c r="J323" s="506"/>
      <c r="K323" s="506" t="s">
        <v>6555</v>
      </c>
      <c r="L323" s="506"/>
      <c r="M323" s="511">
        <v>600000</v>
      </c>
      <c r="N323" s="506" t="s">
        <v>112</v>
      </c>
      <c r="O323" s="510">
        <v>43924</v>
      </c>
      <c r="P323" s="510">
        <v>43936</v>
      </c>
      <c r="Q323" s="506"/>
      <c r="R323" s="548"/>
      <c r="S323" s="514" t="s">
        <v>7492</v>
      </c>
      <c r="T323" s="511"/>
      <c r="U323" s="511"/>
      <c r="V323" s="1470"/>
      <c r="W323" s="1470"/>
      <c r="X323" s="1470"/>
      <c r="Y323" s="511"/>
      <c r="Z323" s="511"/>
      <c r="AA323" s="506"/>
      <c r="AB323" s="510">
        <v>43984</v>
      </c>
      <c r="AC323" s="510"/>
      <c r="AD323" s="506"/>
      <c r="AE323" s="506"/>
      <c r="AJ323" s="1944"/>
      <c r="AK323" s="1944"/>
      <c r="AL323" s="1944"/>
      <c r="AM323" s="1944"/>
      <c r="AN323" s="1944"/>
      <c r="AO323" s="1944"/>
      <c r="AP323" s="1944"/>
      <c r="AQ323" s="1944"/>
      <c r="AR323" s="1944"/>
      <c r="AS323" s="1944"/>
    </row>
    <row r="324" spans="1:45">
      <c r="A324" s="1944"/>
      <c r="B324" s="1944"/>
      <c r="C324" s="510">
        <v>43906</v>
      </c>
      <c r="D324" s="1382" t="s">
        <v>6560</v>
      </c>
      <c r="E324" s="506" t="s">
        <v>6561</v>
      </c>
      <c r="F324" s="506" t="s">
        <v>4864</v>
      </c>
      <c r="G324" s="507" t="s">
        <v>6562</v>
      </c>
      <c r="H324" s="506"/>
      <c r="I324" s="548"/>
      <c r="J324" s="506"/>
      <c r="K324" s="506" t="s">
        <v>4867</v>
      </c>
      <c r="L324" s="506" t="s">
        <v>4866</v>
      </c>
      <c r="M324" s="511">
        <v>2480000</v>
      </c>
      <c r="N324" s="506" t="s">
        <v>112</v>
      </c>
      <c r="O324" s="510">
        <v>43913</v>
      </c>
      <c r="P324" s="510">
        <v>43927</v>
      </c>
      <c r="Q324" s="510">
        <v>43943</v>
      </c>
      <c r="R324" s="736" t="s">
        <v>4964</v>
      </c>
      <c r="S324" s="1985" t="s">
        <v>7493</v>
      </c>
      <c r="T324" s="511">
        <v>2442000</v>
      </c>
      <c r="U324" s="511">
        <v>2954820</v>
      </c>
      <c r="V324" s="1470"/>
      <c r="W324" s="1470"/>
      <c r="X324" s="1470"/>
      <c r="Y324" s="1398">
        <v>43943</v>
      </c>
      <c r="Z324" s="511" t="s">
        <v>6727</v>
      </c>
      <c r="AA324" s="506"/>
      <c r="AB324" s="510">
        <v>43991</v>
      </c>
      <c r="AC324" s="510"/>
      <c r="AD324" s="506"/>
      <c r="AE324" s="506"/>
      <c r="AJ324" s="1944"/>
      <c r="AK324" s="1944"/>
      <c r="AL324" s="1944"/>
      <c r="AM324" s="1944"/>
      <c r="AN324" s="1944"/>
      <c r="AO324" s="1944"/>
      <c r="AP324" s="1944"/>
      <c r="AQ324" s="1944"/>
      <c r="AR324" s="1944"/>
      <c r="AS324" s="1944"/>
    </row>
    <row r="325" spans="1:45">
      <c r="A325" s="1944"/>
      <c r="B325" s="1944"/>
      <c r="C325" s="537">
        <v>43899</v>
      </c>
      <c r="D325" s="1373" t="s">
        <v>6563</v>
      </c>
      <c r="E325" s="491" t="s">
        <v>58</v>
      </c>
      <c r="F325" s="491" t="s">
        <v>2684</v>
      </c>
      <c r="G325" s="571" t="s">
        <v>6575</v>
      </c>
      <c r="H325" s="491"/>
      <c r="I325" s="495"/>
      <c r="J325" s="491"/>
      <c r="K325" s="491" t="s">
        <v>2060</v>
      </c>
      <c r="L325" s="491" t="s">
        <v>6564</v>
      </c>
      <c r="M325" s="536">
        <v>495000</v>
      </c>
      <c r="N325" s="491" t="s">
        <v>112</v>
      </c>
      <c r="O325" s="537">
        <v>43910</v>
      </c>
      <c r="P325" s="537">
        <v>43920</v>
      </c>
      <c r="Q325" s="537">
        <v>43937</v>
      </c>
      <c r="R325" s="495" t="s">
        <v>6687</v>
      </c>
      <c r="S325" s="491"/>
      <c r="T325" s="536">
        <v>495000</v>
      </c>
      <c r="U325" s="536">
        <f>T325*1.21</f>
        <v>598950</v>
      </c>
      <c r="V325" s="1471"/>
      <c r="W325" s="1471"/>
      <c r="X325" s="1471"/>
      <c r="Y325" s="573">
        <v>43937</v>
      </c>
      <c r="Z325" s="536" t="s">
        <v>6696</v>
      </c>
      <c r="AA325" s="537">
        <v>43956</v>
      </c>
      <c r="AB325" s="537">
        <v>43958</v>
      </c>
      <c r="AC325" s="537">
        <f>AA325+42</f>
        <v>43998</v>
      </c>
      <c r="AD325" s="537">
        <v>44067</v>
      </c>
      <c r="AE325" s="1102"/>
      <c r="AJ325" s="1944"/>
      <c r="AK325" s="1944"/>
      <c r="AL325" s="1944"/>
      <c r="AM325" s="1944"/>
      <c r="AN325" s="1944"/>
      <c r="AO325" s="1944"/>
      <c r="AP325" s="1944"/>
      <c r="AQ325" s="1944"/>
      <c r="AR325" s="1944"/>
      <c r="AS325" s="1944"/>
    </row>
    <row r="326" spans="1:45" ht="30">
      <c r="A326" s="1944"/>
      <c r="B326" s="1944"/>
      <c r="C326" s="537">
        <v>43900</v>
      </c>
      <c r="D326" s="1373" t="s">
        <v>6574</v>
      </c>
      <c r="E326" s="491" t="s">
        <v>14</v>
      </c>
      <c r="F326" s="491" t="s">
        <v>13</v>
      </c>
      <c r="G326" s="571" t="s">
        <v>6576</v>
      </c>
      <c r="H326" s="491"/>
      <c r="I326" s="495"/>
      <c r="J326" s="491"/>
      <c r="K326" s="491" t="s">
        <v>765</v>
      </c>
      <c r="L326" s="491"/>
      <c r="M326" s="536">
        <v>1173600</v>
      </c>
      <c r="N326" s="491" t="s">
        <v>112</v>
      </c>
      <c r="O326" s="537">
        <v>43914</v>
      </c>
      <c r="P326" s="537">
        <v>43924</v>
      </c>
      <c r="Q326" s="537">
        <v>43929</v>
      </c>
      <c r="R326" s="495" t="s">
        <v>6688</v>
      </c>
      <c r="S326" s="491"/>
      <c r="T326" s="536">
        <v>1173600</v>
      </c>
      <c r="U326" s="536">
        <f>T326*1.21</f>
        <v>1420056</v>
      </c>
      <c r="V326" s="1471"/>
      <c r="W326" s="1471"/>
      <c r="X326" s="1471"/>
      <c r="Y326" s="573">
        <v>43935</v>
      </c>
      <c r="Z326" s="1375" t="s">
        <v>6689</v>
      </c>
      <c r="AA326" s="537">
        <v>43973</v>
      </c>
      <c r="AB326" s="537">
        <v>43978</v>
      </c>
      <c r="AC326" s="537">
        <v>44702</v>
      </c>
      <c r="AD326" s="1525">
        <v>44844</v>
      </c>
      <c r="AE326" s="1102"/>
      <c r="AJ326" s="1944"/>
      <c r="AK326" s="1944"/>
      <c r="AL326" s="1944"/>
      <c r="AM326" s="1944"/>
      <c r="AN326" s="1944"/>
      <c r="AO326" s="1944"/>
      <c r="AP326" s="1944"/>
      <c r="AQ326" s="1944"/>
      <c r="AR326" s="1944"/>
      <c r="AS326" s="1944"/>
    </row>
    <row r="327" spans="1:45">
      <c r="A327" s="1944"/>
      <c r="B327" s="1563"/>
      <c r="C327" s="537">
        <v>43908</v>
      </c>
      <c r="D327" s="1373" t="s">
        <v>6578</v>
      </c>
      <c r="E327" s="491" t="s">
        <v>2111</v>
      </c>
      <c r="F327" s="491" t="s">
        <v>4440</v>
      </c>
      <c r="G327" s="571" t="s">
        <v>6579</v>
      </c>
      <c r="H327" s="491"/>
      <c r="I327" s="495"/>
      <c r="J327" s="491"/>
      <c r="K327" s="491" t="s">
        <v>6580</v>
      </c>
      <c r="L327" s="491"/>
      <c r="M327" s="536">
        <v>1840000</v>
      </c>
      <c r="N327" s="491" t="s">
        <v>112</v>
      </c>
      <c r="O327" s="537">
        <v>43914</v>
      </c>
      <c r="P327" s="537">
        <v>43923</v>
      </c>
      <c r="Q327" s="537">
        <v>43935</v>
      </c>
      <c r="R327" s="495" t="s">
        <v>6653</v>
      </c>
      <c r="S327" s="491"/>
      <c r="T327" s="536">
        <v>1887121</v>
      </c>
      <c r="U327" s="536">
        <v>2283416.41</v>
      </c>
      <c r="V327" s="1471"/>
      <c r="W327" s="1471"/>
      <c r="X327" s="1471"/>
      <c r="Y327" s="573">
        <v>43936</v>
      </c>
      <c r="Z327" s="536" t="s">
        <v>6692</v>
      </c>
      <c r="AA327" s="537">
        <v>43962</v>
      </c>
      <c r="AB327" s="537">
        <v>43964</v>
      </c>
      <c r="AC327" s="537">
        <f>AA327+14</f>
        <v>43976</v>
      </c>
      <c r="AD327" s="537">
        <v>44123</v>
      </c>
      <c r="AE327" s="1102"/>
      <c r="AJ327" s="1944"/>
      <c r="AK327" s="1944"/>
      <c r="AL327" s="1944"/>
      <c r="AM327" s="1944"/>
      <c r="AN327" s="1944"/>
      <c r="AO327" s="1944"/>
      <c r="AP327" s="1944"/>
      <c r="AQ327" s="1944"/>
      <c r="AR327" s="1944"/>
      <c r="AS327" s="1944"/>
    </row>
    <row r="328" spans="1:45" ht="30">
      <c r="A328" s="1944"/>
      <c r="B328" s="1944"/>
      <c r="C328" s="537">
        <v>43909</v>
      </c>
      <c r="D328" s="1373" t="s">
        <v>6582</v>
      </c>
      <c r="E328" s="491" t="s">
        <v>14</v>
      </c>
      <c r="F328" s="491" t="s">
        <v>13</v>
      </c>
      <c r="G328" s="1563" t="s">
        <v>6583</v>
      </c>
      <c r="H328" s="491"/>
      <c r="I328" s="495"/>
      <c r="J328" s="491"/>
      <c r="K328" s="491" t="s">
        <v>39</v>
      </c>
      <c r="L328" s="491"/>
      <c r="M328" s="536">
        <v>45180000</v>
      </c>
      <c r="N328" s="491" t="s">
        <v>251</v>
      </c>
      <c r="O328" s="537">
        <v>43921</v>
      </c>
      <c r="P328" s="537">
        <v>43955</v>
      </c>
      <c r="Q328" s="537">
        <v>43957</v>
      </c>
      <c r="R328" s="495" t="s">
        <v>6772</v>
      </c>
      <c r="S328" s="491"/>
      <c r="T328" s="536">
        <v>36891845</v>
      </c>
      <c r="U328" s="536">
        <v>44639132.450000003</v>
      </c>
      <c r="V328" s="1471"/>
      <c r="W328" s="1471"/>
      <c r="X328" s="1471"/>
      <c r="Y328" s="573">
        <v>43957</v>
      </c>
      <c r="Z328" s="1375" t="s">
        <v>6777</v>
      </c>
      <c r="AA328" s="537">
        <v>43977</v>
      </c>
      <c r="AB328" s="537">
        <v>43980</v>
      </c>
      <c r="AC328" s="537">
        <v>45077</v>
      </c>
      <c r="AD328" s="1525">
        <v>44865</v>
      </c>
      <c r="AE328" s="1102"/>
      <c r="AJ328" s="1944"/>
      <c r="AK328" s="1944"/>
      <c r="AL328" s="1944"/>
      <c r="AM328" s="1944"/>
      <c r="AN328" s="1944"/>
      <c r="AO328" s="1944"/>
      <c r="AP328" s="1944"/>
      <c r="AQ328" s="1944"/>
      <c r="AR328" s="1944"/>
      <c r="AS328" s="1944"/>
    </row>
    <row r="329" spans="1:45">
      <c r="A329" s="1944"/>
      <c r="B329" s="1944"/>
      <c r="C329" s="537">
        <v>43915</v>
      </c>
      <c r="D329" s="1373" t="s">
        <v>6597</v>
      </c>
      <c r="E329" s="491" t="s">
        <v>14</v>
      </c>
      <c r="F329" s="491" t="s">
        <v>13</v>
      </c>
      <c r="G329" s="571" t="s">
        <v>6598</v>
      </c>
      <c r="H329" s="491"/>
      <c r="I329" s="495"/>
      <c r="J329" s="491"/>
      <c r="K329" s="491" t="s">
        <v>775</v>
      </c>
      <c r="L329" s="491"/>
      <c r="M329" s="536">
        <v>613636</v>
      </c>
      <c r="N329" s="491" t="s">
        <v>112</v>
      </c>
      <c r="O329" s="537">
        <v>43921</v>
      </c>
      <c r="P329" s="537">
        <v>43930</v>
      </c>
      <c r="Q329" s="537">
        <v>43937</v>
      </c>
      <c r="R329" s="495" t="s">
        <v>3915</v>
      </c>
      <c r="S329" s="491"/>
      <c r="T329" s="536">
        <v>647500</v>
      </c>
      <c r="U329" s="536">
        <v>783475</v>
      </c>
      <c r="V329" s="1471"/>
      <c r="W329" s="1471"/>
      <c r="X329" s="1471"/>
      <c r="Y329" s="573">
        <v>43937</v>
      </c>
      <c r="Z329" s="536" t="s">
        <v>6697</v>
      </c>
      <c r="AA329" s="537">
        <v>43948</v>
      </c>
      <c r="AB329" s="537">
        <v>43949</v>
      </c>
      <c r="AC329" s="537">
        <v>44312</v>
      </c>
      <c r="AD329" s="537">
        <v>44277</v>
      </c>
      <c r="AE329" s="537">
        <v>44643</v>
      </c>
      <c r="AJ329" s="1944"/>
      <c r="AK329" s="1944"/>
      <c r="AL329" s="1944"/>
      <c r="AM329" s="1944"/>
      <c r="AN329" s="1944"/>
      <c r="AO329" s="1944"/>
      <c r="AP329" s="1944"/>
      <c r="AQ329" s="1944"/>
      <c r="AR329" s="1944"/>
      <c r="AS329" s="1944"/>
    </row>
    <row r="330" spans="1:45" ht="30.75" thickBot="1">
      <c r="A330" s="1944"/>
      <c r="B330" s="1944"/>
      <c r="C330" s="416" t="s">
        <v>3585</v>
      </c>
      <c r="D330" s="1468" t="s">
        <v>6606</v>
      </c>
      <c r="E330" s="411" t="s">
        <v>2434</v>
      </c>
      <c r="F330" s="411" t="s">
        <v>3204</v>
      </c>
      <c r="G330" s="412" t="s">
        <v>6522</v>
      </c>
      <c r="H330" s="411"/>
      <c r="I330" s="630"/>
      <c r="J330" s="411"/>
      <c r="K330" s="411" t="s">
        <v>642</v>
      </c>
      <c r="L330" s="411"/>
      <c r="M330" s="417">
        <v>572740</v>
      </c>
      <c r="N330" s="411" t="s">
        <v>112</v>
      </c>
      <c r="O330" s="416">
        <v>43927</v>
      </c>
      <c r="P330" s="416">
        <v>43936</v>
      </c>
      <c r="Q330" s="416">
        <v>43942</v>
      </c>
      <c r="R330" s="630" t="s">
        <v>6695</v>
      </c>
      <c r="S330" s="411"/>
      <c r="T330" s="417">
        <v>560000</v>
      </c>
      <c r="U330" s="417">
        <v>677600</v>
      </c>
      <c r="V330" s="1480"/>
      <c r="W330" s="1480"/>
      <c r="X330" s="1480"/>
      <c r="Y330" s="513">
        <v>43942</v>
      </c>
      <c r="Z330" s="1553" t="s">
        <v>6723</v>
      </c>
      <c r="AA330" s="416">
        <v>43964</v>
      </c>
      <c r="AB330" s="416">
        <v>43966</v>
      </c>
      <c r="AC330" s="416">
        <v>44693</v>
      </c>
      <c r="AD330" s="416">
        <v>44285</v>
      </c>
      <c r="AE330" s="416">
        <v>44641</v>
      </c>
      <c r="AF330" s="388" t="s">
        <v>6810</v>
      </c>
      <c r="AJ330" s="1944"/>
      <c r="AK330" s="1944"/>
      <c r="AL330" s="1944"/>
      <c r="AM330" s="1944"/>
      <c r="AN330" s="1944"/>
      <c r="AO330" s="1944"/>
      <c r="AP330" s="1944"/>
      <c r="AQ330" s="1944"/>
      <c r="AR330" s="1944"/>
      <c r="AS330" s="1944"/>
    </row>
    <row r="331" spans="1:45" ht="15.75" thickTop="1">
      <c r="A331" s="1944"/>
      <c r="B331" s="1944"/>
      <c r="C331" s="474">
        <v>43921</v>
      </c>
      <c r="D331" s="1383" t="s">
        <v>6612</v>
      </c>
      <c r="E331" s="453" t="s">
        <v>69</v>
      </c>
      <c r="F331" s="453" t="s">
        <v>70</v>
      </c>
      <c r="G331" s="473" t="s">
        <v>6615</v>
      </c>
      <c r="H331" s="453">
        <v>1</v>
      </c>
      <c r="I331" s="1420" t="s">
        <v>6632</v>
      </c>
      <c r="J331" s="453"/>
      <c r="K331" s="453" t="s">
        <v>2418</v>
      </c>
      <c r="L331" s="453"/>
      <c r="M331" s="457">
        <v>14033580</v>
      </c>
      <c r="N331" s="453" t="s">
        <v>251</v>
      </c>
      <c r="O331" s="474">
        <v>43924</v>
      </c>
      <c r="P331" s="474">
        <v>43971</v>
      </c>
      <c r="Q331" s="474">
        <v>43999</v>
      </c>
      <c r="R331" s="1420" t="s">
        <v>6924</v>
      </c>
      <c r="S331" s="453"/>
      <c r="T331" s="457">
        <v>14033580</v>
      </c>
      <c r="U331" s="457">
        <v>15436938</v>
      </c>
      <c r="V331" s="1474"/>
      <c r="W331" s="1474"/>
      <c r="X331" s="1474"/>
      <c r="Y331" s="570">
        <v>43999</v>
      </c>
      <c r="Z331" s="457" t="s">
        <v>6993</v>
      </c>
      <c r="AA331" s="474">
        <v>44033</v>
      </c>
      <c r="AB331" s="474">
        <v>44043</v>
      </c>
      <c r="AC331" s="474">
        <v>45127</v>
      </c>
      <c r="AD331" s="3210" t="s">
        <v>8483</v>
      </c>
      <c r="AE331" s="474">
        <v>44645</v>
      </c>
      <c r="AF331" s="1391">
        <v>2022</v>
      </c>
      <c r="AG331" s="1391" t="s">
        <v>7188</v>
      </c>
      <c r="AJ331" s="1944"/>
      <c r="AK331" s="1944"/>
      <c r="AL331" s="1944"/>
      <c r="AM331" s="1944"/>
      <c r="AN331" s="1944"/>
      <c r="AO331" s="1944"/>
      <c r="AP331" s="1944"/>
      <c r="AQ331" s="1944"/>
      <c r="AR331" s="1944"/>
      <c r="AS331" s="1944"/>
    </row>
    <row r="332" spans="1:45">
      <c r="A332" s="1944"/>
      <c r="B332" s="1944"/>
      <c r="C332" s="537">
        <v>43921</v>
      </c>
      <c r="D332" s="1373" t="s">
        <v>6612</v>
      </c>
      <c r="E332" s="491" t="s">
        <v>69</v>
      </c>
      <c r="F332" s="491" t="s">
        <v>70</v>
      </c>
      <c r="G332" s="571" t="s">
        <v>6615</v>
      </c>
      <c r="H332" s="491">
        <v>2</v>
      </c>
      <c r="I332" s="495" t="s">
        <v>6633</v>
      </c>
      <c r="J332" s="491"/>
      <c r="K332" s="491" t="s">
        <v>2418</v>
      </c>
      <c r="L332" s="491"/>
      <c r="M332" s="536">
        <v>17968824</v>
      </c>
      <c r="N332" s="491" t="s">
        <v>251</v>
      </c>
      <c r="O332" s="537">
        <v>43924</v>
      </c>
      <c r="P332" s="537">
        <v>43971</v>
      </c>
      <c r="Q332" s="537">
        <v>43999</v>
      </c>
      <c r="R332" s="495" t="s">
        <v>6925</v>
      </c>
      <c r="S332" s="491"/>
      <c r="T332" s="536">
        <v>16125300</v>
      </c>
      <c r="U332" s="536">
        <v>17737830</v>
      </c>
      <c r="V332" s="1471"/>
      <c r="W332" s="1471"/>
      <c r="X332" s="1471"/>
      <c r="Y332" s="573">
        <v>43999</v>
      </c>
      <c r="Z332" s="536" t="s">
        <v>6994</v>
      </c>
      <c r="AA332" s="537">
        <v>44033</v>
      </c>
      <c r="AB332" s="537">
        <v>44043</v>
      </c>
      <c r="AC332" s="537">
        <v>45127</v>
      </c>
      <c r="AD332" s="537">
        <v>44279</v>
      </c>
      <c r="AE332" s="537">
        <v>44645</v>
      </c>
      <c r="AF332" s="1374">
        <v>2022</v>
      </c>
      <c r="AG332" s="1374" t="s">
        <v>7188</v>
      </c>
      <c r="AJ332" s="1944"/>
      <c r="AK332" s="1944"/>
      <c r="AL332" s="1944"/>
      <c r="AM332" s="1944"/>
      <c r="AN332" s="1944"/>
      <c r="AO332" s="1944"/>
      <c r="AP332" s="1944"/>
      <c r="AQ332" s="1944"/>
      <c r="AR332" s="1944"/>
      <c r="AS332" s="1944"/>
    </row>
    <row r="333" spans="1:45" ht="15.75" thickBot="1">
      <c r="A333" s="1944"/>
      <c r="B333" s="1944"/>
      <c r="C333" s="1380">
        <v>43921</v>
      </c>
      <c r="D333" s="1377" t="s">
        <v>6612</v>
      </c>
      <c r="E333" s="1376" t="s">
        <v>69</v>
      </c>
      <c r="F333" s="1376" t="s">
        <v>70</v>
      </c>
      <c r="G333" s="1378" t="s">
        <v>6615</v>
      </c>
      <c r="H333" s="1376">
        <v>3</v>
      </c>
      <c r="I333" s="1421" t="s">
        <v>6634</v>
      </c>
      <c r="J333" s="1376"/>
      <c r="K333" s="1376" t="s">
        <v>2418</v>
      </c>
      <c r="L333" s="1376"/>
      <c r="M333" s="1379">
        <v>4649832</v>
      </c>
      <c r="N333" s="1376" t="s">
        <v>251</v>
      </c>
      <c r="O333" s="1380">
        <v>43924</v>
      </c>
      <c r="P333" s="1380">
        <v>43971</v>
      </c>
      <c r="Q333" s="1380">
        <v>43999</v>
      </c>
      <c r="R333" s="1421" t="s">
        <v>2548</v>
      </c>
      <c r="S333" s="1376"/>
      <c r="T333" s="1379">
        <v>4173724.8</v>
      </c>
      <c r="U333" s="1379">
        <v>4591097.28</v>
      </c>
      <c r="V333" s="1475"/>
      <c r="W333" s="1475"/>
      <c r="X333" s="1475"/>
      <c r="Y333" s="1388">
        <v>43999</v>
      </c>
      <c r="Z333" s="1379" t="s">
        <v>6995</v>
      </c>
      <c r="AA333" s="1380">
        <v>44033</v>
      </c>
      <c r="AB333" s="1380">
        <v>44043</v>
      </c>
      <c r="AC333" s="1380">
        <v>45127</v>
      </c>
      <c r="AD333" s="1380">
        <v>44279</v>
      </c>
      <c r="AE333" s="1380">
        <v>44645</v>
      </c>
      <c r="AF333" s="1381">
        <v>2022</v>
      </c>
      <c r="AG333" s="1381" t="s">
        <v>7188</v>
      </c>
      <c r="AJ333" s="1944"/>
      <c r="AK333" s="1944"/>
      <c r="AL333" s="1944"/>
      <c r="AM333" s="1944"/>
      <c r="AN333" s="1944"/>
      <c r="AO333" s="1944"/>
      <c r="AP333" s="1944"/>
      <c r="AQ333" s="1944"/>
      <c r="AR333" s="1944"/>
      <c r="AS333" s="1944"/>
    </row>
    <row r="334" spans="1:45" ht="15.75" thickTop="1">
      <c r="A334" s="1944"/>
      <c r="B334" s="1944"/>
      <c r="C334" s="474">
        <v>43921</v>
      </c>
      <c r="D334" s="1383" t="s">
        <v>6613</v>
      </c>
      <c r="E334" s="453" t="s">
        <v>69</v>
      </c>
      <c r="F334" s="453" t="s">
        <v>70</v>
      </c>
      <c r="G334" s="473" t="s">
        <v>6614</v>
      </c>
      <c r="H334" s="453">
        <v>1</v>
      </c>
      <c r="I334" s="1420" t="s">
        <v>6635</v>
      </c>
      <c r="J334" s="453"/>
      <c r="K334" s="453" t="s">
        <v>2418</v>
      </c>
      <c r="L334" s="453"/>
      <c r="M334" s="457">
        <v>334412</v>
      </c>
      <c r="N334" s="453" t="s">
        <v>251</v>
      </c>
      <c r="O334" s="474">
        <v>43927</v>
      </c>
      <c r="P334" s="474">
        <v>43979</v>
      </c>
      <c r="Q334" s="474">
        <v>44068</v>
      </c>
      <c r="R334" s="1420" t="s">
        <v>6924</v>
      </c>
      <c r="S334" s="453"/>
      <c r="T334" s="457">
        <v>334411.2</v>
      </c>
      <c r="U334" s="457">
        <v>367852.32</v>
      </c>
      <c r="V334" s="1474"/>
      <c r="W334" s="1474"/>
      <c r="X334" s="1474"/>
      <c r="Y334" s="570">
        <v>44068</v>
      </c>
      <c r="Z334" s="457" t="s">
        <v>7430</v>
      </c>
      <c r="AA334" s="474">
        <v>44103</v>
      </c>
      <c r="AB334" s="474">
        <v>44106</v>
      </c>
      <c r="AC334" s="474">
        <v>45197</v>
      </c>
      <c r="AD334" s="3210" t="s">
        <v>8483</v>
      </c>
      <c r="AE334" s="365">
        <v>44645</v>
      </c>
      <c r="AF334" s="388">
        <v>2022</v>
      </c>
      <c r="AG334" s="388" t="s">
        <v>7669</v>
      </c>
      <c r="AJ334" s="1944"/>
      <c r="AK334" s="1944"/>
      <c r="AL334" s="1944"/>
      <c r="AM334" s="1944"/>
      <c r="AN334" s="1944"/>
      <c r="AO334" s="1944"/>
      <c r="AP334" s="1944"/>
      <c r="AQ334" s="1944"/>
      <c r="AR334" s="1944"/>
      <c r="AS334" s="1944"/>
    </row>
    <row r="335" spans="1:45">
      <c r="A335" s="1944"/>
      <c r="B335" s="1944"/>
      <c r="C335" s="537">
        <v>43921</v>
      </c>
      <c r="D335" s="1373" t="s">
        <v>6613</v>
      </c>
      <c r="E335" s="491" t="s">
        <v>69</v>
      </c>
      <c r="F335" s="491" t="s">
        <v>70</v>
      </c>
      <c r="G335" s="571" t="s">
        <v>6614</v>
      </c>
      <c r="H335" s="491">
        <v>2</v>
      </c>
      <c r="I335" s="495" t="s">
        <v>6636</v>
      </c>
      <c r="J335" s="491"/>
      <c r="K335" s="491" t="s">
        <v>2418</v>
      </c>
      <c r="L335" s="491"/>
      <c r="M335" s="536">
        <v>2257169</v>
      </c>
      <c r="N335" s="491" t="s">
        <v>251</v>
      </c>
      <c r="O335" s="537">
        <v>43927</v>
      </c>
      <c r="P335" s="537">
        <v>43979</v>
      </c>
      <c r="Q335" s="537">
        <v>44068</v>
      </c>
      <c r="R335" s="495" t="s">
        <v>6924</v>
      </c>
      <c r="S335" s="491"/>
      <c r="T335" s="536">
        <v>2257168.2000000002</v>
      </c>
      <c r="U335" s="536">
        <v>2482885.02</v>
      </c>
      <c r="V335" s="1471"/>
      <c r="W335" s="1471"/>
      <c r="X335" s="1471"/>
      <c r="Y335" s="573">
        <v>44068</v>
      </c>
      <c r="Z335" s="536" t="s">
        <v>7431</v>
      </c>
      <c r="AA335" s="537">
        <v>44103</v>
      </c>
      <c r="AB335" s="537">
        <v>44106</v>
      </c>
      <c r="AC335" s="537">
        <v>45197</v>
      </c>
      <c r="AD335" s="537">
        <v>44279</v>
      </c>
      <c r="AE335" s="537">
        <v>44645</v>
      </c>
      <c r="AF335" s="388">
        <v>2022</v>
      </c>
      <c r="AG335" s="388" t="s">
        <v>7669</v>
      </c>
      <c r="AJ335" s="1944"/>
      <c r="AK335" s="1944"/>
      <c r="AL335" s="1944"/>
      <c r="AM335" s="1944"/>
      <c r="AN335" s="1944"/>
      <c r="AO335" s="1944"/>
      <c r="AP335" s="1944"/>
      <c r="AQ335" s="1944"/>
      <c r="AR335" s="1944"/>
      <c r="AS335" s="1944"/>
    </row>
    <row r="336" spans="1:45">
      <c r="A336" s="1944"/>
      <c r="B336" s="1944"/>
      <c r="C336" s="537">
        <v>43921</v>
      </c>
      <c r="D336" s="1373" t="s">
        <v>6613</v>
      </c>
      <c r="E336" s="491" t="s">
        <v>69</v>
      </c>
      <c r="F336" s="491" t="s">
        <v>70</v>
      </c>
      <c r="G336" s="571" t="s">
        <v>6614</v>
      </c>
      <c r="H336" s="491">
        <v>3</v>
      </c>
      <c r="I336" s="495" t="s">
        <v>6637</v>
      </c>
      <c r="J336" s="491"/>
      <c r="K336" s="491" t="s">
        <v>2418</v>
      </c>
      <c r="L336" s="491"/>
      <c r="M336" s="536">
        <v>1278426</v>
      </c>
      <c r="N336" s="491" t="s">
        <v>251</v>
      </c>
      <c r="O336" s="537">
        <v>43927</v>
      </c>
      <c r="P336" s="537">
        <v>43979</v>
      </c>
      <c r="Q336" s="537">
        <v>44068</v>
      </c>
      <c r="R336" s="495" t="s">
        <v>2548</v>
      </c>
      <c r="S336" s="491"/>
      <c r="T336" s="536">
        <v>1278425.7</v>
      </c>
      <c r="U336" s="536">
        <v>1406268.27</v>
      </c>
      <c r="V336" s="1471"/>
      <c r="W336" s="1471"/>
      <c r="X336" s="1471"/>
      <c r="Y336" s="573">
        <v>44068</v>
      </c>
      <c r="Z336" s="536" t="s">
        <v>7432</v>
      </c>
      <c r="AA336" s="537">
        <v>44096</v>
      </c>
      <c r="AB336" s="537">
        <v>44106</v>
      </c>
      <c r="AC336" s="537">
        <v>45190</v>
      </c>
      <c r="AD336" s="491" t="s">
        <v>8483</v>
      </c>
      <c r="AE336" s="537">
        <v>44645</v>
      </c>
      <c r="AF336" s="388">
        <v>2022</v>
      </c>
      <c r="AG336" s="388" t="s">
        <v>7656</v>
      </c>
      <c r="AJ336" s="1944"/>
      <c r="AK336" s="1944"/>
      <c r="AL336" s="1944"/>
      <c r="AM336" s="1944"/>
      <c r="AN336" s="1944"/>
      <c r="AO336" s="1944"/>
      <c r="AP336" s="1944"/>
      <c r="AQ336" s="1944"/>
      <c r="AR336" s="1944"/>
      <c r="AS336" s="1944"/>
    </row>
    <row r="337" spans="1:45">
      <c r="A337" s="1944"/>
      <c r="B337" s="1944"/>
      <c r="C337" s="537">
        <v>43921</v>
      </c>
      <c r="D337" s="1373" t="s">
        <v>6613</v>
      </c>
      <c r="E337" s="491" t="s">
        <v>69</v>
      </c>
      <c r="F337" s="491" t="s">
        <v>70</v>
      </c>
      <c r="G337" s="571" t="s">
        <v>6614</v>
      </c>
      <c r="H337" s="491">
        <v>4</v>
      </c>
      <c r="I337" s="495" t="s">
        <v>6638</v>
      </c>
      <c r="J337" s="491"/>
      <c r="K337" s="491" t="s">
        <v>2418</v>
      </c>
      <c r="L337" s="491"/>
      <c r="M337" s="536">
        <v>279030</v>
      </c>
      <c r="N337" s="491" t="s">
        <v>251</v>
      </c>
      <c r="O337" s="537">
        <v>43927</v>
      </c>
      <c r="P337" s="537">
        <v>43979</v>
      </c>
      <c r="Q337" s="537">
        <v>44068</v>
      </c>
      <c r="R337" s="495" t="s">
        <v>6924</v>
      </c>
      <c r="S337" s="491"/>
      <c r="T337" s="536">
        <v>275370</v>
      </c>
      <c r="U337" s="536">
        <v>302907</v>
      </c>
      <c r="V337" s="1471"/>
      <c r="W337" s="1471"/>
      <c r="X337" s="1471"/>
      <c r="Y337" s="573">
        <v>44068</v>
      </c>
      <c r="Z337" s="536" t="s">
        <v>7433</v>
      </c>
      <c r="AA337" s="537">
        <v>44103</v>
      </c>
      <c r="AB337" s="537">
        <v>44106</v>
      </c>
      <c r="AC337" s="537">
        <v>45197</v>
      </c>
      <c r="AD337" s="491" t="s">
        <v>8483</v>
      </c>
      <c r="AE337" s="537" t="s">
        <v>11373</v>
      </c>
      <c r="AF337" s="388">
        <v>2022</v>
      </c>
      <c r="AG337" s="388" t="s">
        <v>7669</v>
      </c>
      <c r="AJ337" s="1944"/>
      <c r="AK337" s="1944"/>
      <c r="AL337" s="1944"/>
      <c r="AM337" s="1944"/>
      <c r="AN337" s="1944"/>
      <c r="AO337" s="1944"/>
      <c r="AP337" s="1944"/>
      <c r="AQ337" s="1944"/>
      <c r="AR337" s="1944"/>
      <c r="AS337" s="1944"/>
    </row>
    <row r="338" spans="1:45" ht="15.75" thickBot="1">
      <c r="A338" s="1944"/>
      <c r="B338" s="1944"/>
      <c r="C338" s="1414">
        <v>43921</v>
      </c>
      <c r="D338" s="1411" t="s">
        <v>6613</v>
      </c>
      <c r="E338" s="1410" t="s">
        <v>69</v>
      </c>
      <c r="F338" s="1410" t="s">
        <v>70</v>
      </c>
      <c r="G338" s="1412" t="s">
        <v>6614</v>
      </c>
      <c r="H338" s="1410">
        <v>5</v>
      </c>
      <c r="I338" s="1430" t="s">
        <v>6639</v>
      </c>
      <c r="J338" s="1410"/>
      <c r="K338" s="1410" t="s">
        <v>2418</v>
      </c>
      <c r="L338" s="1410"/>
      <c r="M338" s="1413">
        <v>8223689</v>
      </c>
      <c r="N338" s="1410" t="s">
        <v>251</v>
      </c>
      <c r="O338" s="1414">
        <v>43927</v>
      </c>
      <c r="P338" s="1414">
        <v>43979</v>
      </c>
      <c r="Q338" s="1410"/>
      <c r="R338" s="1710" t="s">
        <v>3477</v>
      </c>
      <c r="S338" s="1410"/>
      <c r="T338" s="1413"/>
      <c r="U338" s="1413"/>
      <c r="V338" s="1479"/>
      <c r="W338" s="1479"/>
      <c r="X338" s="1479"/>
      <c r="Y338" s="1413"/>
      <c r="Z338" s="1413"/>
      <c r="AA338" s="1410"/>
      <c r="AB338" s="1414">
        <v>44040</v>
      </c>
      <c r="AC338" s="1414" t="s">
        <v>7101</v>
      </c>
      <c r="AD338" s="639"/>
      <c r="AE338" s="639"/>
      <c r="AF338" s="360" t="s">
        <v>6640</v>
      </c>
      <c r="AJ338" s="1944"/>
      <c r="AK338" s="1944"/>
      <c r="AL338" s="1944"/>
      <c r="AM338" s="1944"/>
      <c r="AN338" s="1944"/>
      <c r="AO338" s="1944"/>
      <c r="AP338" s="1944"/>
      <c r="AQ338" s="1944"/>
      <c r="AR338" s="1944"/>
      <c r="AS338" s="1944"/>
    </row>
    <row r="339" spans="1:45" ht="15.75" thickTop="1">
      <c r="A339" s="1944"/>
      <c r="B339" s="1944"/>
      <c r="C339" s="474">
        <v>43921</v>
      </c>
      <c r="D339" s="1383" t="s">
        <v>6645</v>
      </c>
      <c r="E339" s="453" t="s">
        <v>69</v>
      </c>
      <c r="F339" s="453" t="s">
        <v>70</v>
      </c>
      <c r="G339" s="473" t="s">
        <v>6646</v>
      </c>
      <c r="H339" s="453">
        <v>1</v>
      </c>
      <c r="I339" s="1420" t="s">
        <v>6655</v>
      </c>
      <c r="J339" s="453" t="s">
        <v>6659</v>
      </c>
      <c r="K339" s="453" t="s">
        <v>68</v>
      </c>
      <c r="L339" s="453"/>
      <c r="M339" s="457">
        <v>3200000</v>
      </c>
      <c r="N339" s="453" t="s">
        <v>251</v>
      </c>
      <c r="O339" s="474">
        <v>43930</v>
      </c>
      <c r="P339" s="474">
        <v>43965</v>
      </c>
      <c r="Q339" s="474">
        <v>43999</v>
      </c>
      <c r="R339" s="1420" t="s">
        <v>576</v>
      </c>
      <c r="S339" s="453"/>
      <c r="T339" s="457">
        <v>3199999.44</v>
      </c>
      <c r="U339" s="457">
        <v>3519999.38</v>
      </c>
      <c r="V339" s="1474"/>
      <c r="W339" s="1474"/>
      <c r="X339" s="1474"/>
      <c r="Y339" s="570">
        <v>43999</v>
      </c>
      <c r="Z339" s="457" t="s">
        <v>7019</v>
      </c>
      <c r="AA339" s="474">
        <v>44033</v>
      </c>
      <c r="AB339" s="474">
        <v>44041</v>
      </c>
      <c r="AC339" s="474">
        <v>45127</v>
      </c>
      <c r="AD339" s="474">
        <v>44279</v>
      </c>
      <c r="AE339" s="474">
        <v>44645</v>
      </c>
      <c r="AF339" s="1391">
        <v>2022</v>
      </c>
      <c r="AG339" s="1391" t="s">
        <v>7188</v>
      </c>
      <c r="AJ339" s="1944"/>
      <c r="AK339" s="1944"/>
      <c r="AL339" s="1944"/>
      <c r="AM339" s="1944"/>
      <c r="AN339" s="1944"/>
      <c r="AO339" s="1944"/>
      <c r="AP339" s="1944"/>
      <c r="AQ339" s="1944"/>
      <c r="AR339" s="1944"/>
      <c r="AS339" s="1944"/>
    </row>
    <row r="340" spans="1:45">
      <c r="A340" s="1944"/>
      <c r="B340" s="1944"/>
      <c r="C340" s="365">
        <v>43921</v>
      </c>
      <c r="D340" s="1397" t="s">
        <v>6645</v>
      </c>
      <c r="E340" s="3210" t="s">
        <v>69</v>
      </c>
      <c r="F340" s="3210" t="s">
        <v>70</v>
      </c>
      <c r="G340" s="175" t="s">
        <v>6646</v>
      </c>
      <c r="H340" s="3210">
        <v>2</v>
      </c>
      <c r="I340" s="3211" t="s">
        <v>4875</v>
      </c>
      <c r="J340" s="3210" t="s">
        <v>6660</v>
      </c>
      <c r="K340" s="3210" t="s">
        <v>68</v>
      </c>
      <c r="L340" s="3210"/>
      <c r="M340" s="364">
        <v>4936084</v>
      </c>
      <c r="N340" s="3210" t="s">
        <v>251</v>
      </c>
      <c r="O340" s="365">
        <v>43930</v>
      </c>
      <c r="P340" s="365">
        <v>43965</v>
      </c>
      <c r="Q340" s="365">
        <v>43999</v>
      </c>
      <c r="R340" s="3211" t="s">
        <v>6982</v>
      </c>
      <c r="S340" s="3210"/>
      <c r="T340" s="364">
        <v>4936083.3</v>
      </c>
      <c r="U340" s="364">
        <v>5429691.6299999999</v>
      </c>
      <c r="V340" s="1473"/>
      <c r="W340" s="1473"/>
      <c r="X340" s="1473"/>
      <c r="Y340" s="681">
        <v>43999</v>
      </c>
      <c r="Z340" s="364" t="s">
        <v>7020</v>
      </c>
      <c r="AA340" s="365">
        <v>44033</v>
      </c>
      <c r="AB340" s="365">
        <v>44041</v>
      </c>
      <c r="AC340" s="365">
        <v>45127</v>
      </c>
      <c r="AD340" s="537">
        <v>44279</v>
      </c>
      <c r="AE340" s="537">
        <v>44645</v>
      </c>
      <c r="AF340" s="1374">
        <v>2022</v>
      </c>
      <c r="AG340" s="1374" t="s">
        <v>7188</v>
      </c>
      <c r="AJ340" s="1944"/>
      <c r="AK340" s="1944"/>
      <c r="AL340" s="1944"/>
      <c r="AM340" s="1944"/>
      <c r="AN340" s="1944"/>
      <c r="AO340" s="1944"/>
      <c r="AP340" s="1944"/>
      <c r="AQ340" s="1944"/>
      <c r="AR340" s="1944"/>
      <c r="AS340" s="1944"/>
    </row>
    <row r="341" spans="1:45">
      <c r="A341" s="1944"/>
      <c r="B341" s="1944"/>
      <c r="C341" s="365">
        <v>43921</v>
      </c>
      <c r="D341" s="1397" t="s">
        <v>6645</v>
      </c>
      <c r="E341" s="3210" t="s">
        <v>69</v>
      </c>
      <c r="F341" s="3210" t="s">
        <v>70</v>
      </c>
      <c r="G341" s="175" t="s">
        <v>6646</v>
      </c>
      <c r="H341" s="3210">
        <v>3</v>
      </c>
      <c r="I341" s="3211" t="s">
        <v>6656</v>
      </c>
      <c r="J341" s="3210" t="s">
        <v>6661</v>
      </c>
      <c r="K341" s="3210" t="s">
        <v>68</v>
      </c>
      <c r="L341" s="3210"/>
      <c r="M341" s="364">
        <v>1991146</v>
      </c>
      <c r="N341" s="3210" t="s">
        <v>251</v>
      </c>
      <c r="O341" s="365">
        <v>43930</v>
      </c>
      <c r="P341" s="365">
        <v>43965</v>
      </c>
      <c r="Q341" s="365">
        <v>43999</v>
      </c>
      <c r="R341" s="3211" t="s">
        <v>576</v>
      </c>
      <c r="S341" s="3210"/>
      <c r="T341" s="364">
        <v>1979937.27</v>
      </c>
      <c r="U341" s="364">
        <v>2177931</v>
      </c>
      <c r="V341" s="1473"/>
      <c r="W341" s="1473"/>
      <c r="X341" s="1473"/>
      <c r="Y341" s="681">
        <v>43999</v>
      </c>
      <c r="Z341" s="364" t="s">
        <v>7021</v>
      </c>
      <c r="AA341" s="365">
        <v>44033</v>
      </c>
      <c r="AB341" s="365">
        <v>44041</v>
      </c>
      <c r="AC341" s="365">
        <v>45127</v>
      </c>
      <c r="AD341" s="537">
        <v>44279</v>
      </c>
      <c r="AE341" s="537">
        <v>44645</v>
      </c>
      <c r="AF341" s="1374">
        <v>2022</v>
      </c>
      <c r="AG341" s="1374" t="s">
        <v>7188</v>
      </c>
      <c r="AJ341" s="1944"/>
      <c r="AK341" s="1944"/>
      <c r="AL341" s="1944"/>
      <c r="AM341" s="1944"/>
      <c r="AN341" s="1944"/>
      <c r="AO341" s="1944"/>
      <c r="AP341" s="1944"/>
      <c r="AQ341" s="1944"/>
      <c r="AR341" s="1944"/>
      <c r="AS341" s="1944"/>
    </row>
    <row r="342" spans="1:45">
      <c r="A342" s="1944"/>
      <c r="B342" s="1944"/>
      <c r="C342" s="365">
        <v>43921</v>
      </c>
      <c r="D342" s="1397" t="s">
        <v>6645</v>
      </c>
      <c r="E342" s="3210" t="s">
        <v>69</v>
      </c>
      <c r="F342" s="3210" t="s">
        <v>70</v>
      </c>
      <c r="G342" s="175" t="s">
        <v>6646</v>
      </c>
      <c r="H342" s="3210">
        <v>4</v>
      </c>
      <c r="I342" s="3211" t="s">
        <v>6657</v>
      </c>
      <c r="J342" s="3210" t="s">
        <v>6662</v>
      </c>
      <c r="K342" s="3210" t="s">
        <v>68</v>
      </c>
      <c r="L342" s="3210"/>
      <c r="M342" s="364">
        <v>26912563</v>
      </c>
      <c r="N342" s="3210" t="s">
        <v>251</v>
      </c>
      <c r="O342" s="365">
        <v>43930</v>
      </c>
      <c r="P342" s="365">
        <v>43965</v>
      </c>
      <c r="Q342" s="365">
        <v>43999</v>
      </c>
      <c r="R342" s="3211" t="s">
        <v>576</v>
      </c>
      <c r="S342" s="3210"/>
      <c r="T342" s="364">
        <v>26912561.82</v>
      </c>
      <c r="U342" s="364">
        <v>29603818</v>
      </c>
      <c r="V342" s="1473"/>
      <c r="W342" s="1473"/>
      <c r="X342" s="1473"/>
      <c r="Y342" s="681">
        <v>43999</v>
      </c>
      <c r="Z342" s="364" t="s">
        <v>7022</v>
      </c>
      <c r="AA342" s="365">
        <v>44033</v>
      </c>
      <c r="AB342" s="365">
        <v>44041</v>
      </c>
      <c r="AC342" s="365">
        <v>45127</v>
      </c>
      <c r="AD342" s="537">
        <v>44279</v>
      </c>
      <c r="AE342" s="537">
        <v>44645</v>
      </c>
      <c r="AF342" s="1374">
        <v>2022</v>
      </c>
      <c r="AG342" s="1374" t="s">
        <v>7188</v>
      </c>
      <c r="AJ342" s="1944"/>
      <c r="AK342" s="1944"/>
      <c r="AL342" s="1944"/>
      <c r="AM342" s="1944"/>
      <c r="AN342" s="1944"/>
      <c r="AO342" s="1944"/>
      <c r="AP342" s="1944"/>
      <c r="AQ342" s="1944"/>
      <c r="AR342" s="1944"/>
      <c r="AS342" s="1944"/>
    </row>
    <row r="343" spans="1:45">
      <c r="A343" s="1944"/>
      <c r="B343" s="1944"/>
      <c r="C343" s="365">
        <v>43921</v>
      </c>
      <c r="D343" s="1397" t="s">
        <v>6645</v>
      </c>
      <c r="E343" s="3210" t="s">
        <v>69</v>
      </c>
      <c r="F343" s="3210" t="s">
        <v>70</v>
      </c>
      <c r="G343" s="175" t="s">
        <v>6646</v>
      </c>
      <c r="H343" s="3210">
        <v>5</v>
      </c>
      <c r="I343" s="3211" t="s">
        <v>6379</v>
      </c>
      <c r="J343" s="3210" t="s">
        <v>6663</v>
      </c>
      <c r="K343" s="3210" t="s">
        <v>72</v>
      </c>
      <c r="L343" s="3210"/>
      <c r="M343" s="364">
        <v>36817368</v>
      </c>
      <c r="N343" s="3210" t="s">
        <v>251</v>
      </c>
      <c r="O343" s="365">
        <v>43930</v>
      </c>
      <c r="P343" s="365">
        <v>43965</v>
      </c>
      <c r="Q343" s="365">
        <v>43999</v>
      </c>
      <c r="R343" s="3211" t="s">
        <v>2405</v>
      </c>
      <c r="S343" s="3210"/>
      <c r="T343" s="364">
        <v>36817333.350000001</v>
      </c>
      <c r="U343" s="364">
        <v>40499066.689999998</v>
      </c>
      <c r="V343" s="1473"/>
      <c r="W343" s="1473"/>
      <c r="X343" s="1473"/>
      <c r="Y343" s="681">
        <v>43999</v>
      </c>
      <c r="Z343" s="364" t="s">
        <v>7023</v>
      </c>
      <c r="AA343" s="365">
        <v>44033</v>
      </c>
      <c r="AB343" s="365">
        <v>44041</v>
      </c>
      <c r="AC343" s="365">
        <v>45127</v>
      </c>
      <c r="AD343" s="537">
        <v>44279</v>
      </c>
      <c r="AE343" s="537">
        <v>44645</v>
      </c>
      <c r="AF343" s="1374">
        <v>2022</v>
      </c>
      <c r="AG343" s="1374" t="s">
        <v>7188</v>
      </c>
      <c r="AJ343" s="1944"/>
      <c r="AK343" s="1944"/>
      <c r="AL343" s="1944"/>
      <c r="AM343" s="1944"/>
      <c r="AN343" s="1944"/>
      <c r="AO343" s="1944"/>
      <c r="AP343" s="1944"/>
      <c r="AQ343" s="1944"/>
      <c r="AR343" s="1944"/>
      <c r="AS343" s="1944"/>
    </row>
    <row r="344" spans="1:45" ht="15.75" thickBot="1">
      <c r="A344" s="1944"/>
      <c r="B344" s="1944"/>
      <c r="C344" s="675">
        <v>43921</v>
      </c>
      <c r="D344" s="1982" t="s">
        <v>6645</v>
      </c>
      <c r="E344" s="517" t="s">
        <v>69</v>
      </c>
      <c r="F344" s="517" t="s">
        <v>70</v>
      </c>
      <c r="G344" s="672" t="s">
        <v>6646</v>
      </c>
      <c r="H344" s="517">
        <v>6</v>
      </c>
      <c r="I344" s="1983" t="s">
        <v>6658</v>
      </c>
      <c r="J344" s="517" t="s">
        <v>6664</v>
      </c>
      <c r="K344" s="517" t="s">
        <v>68</v>
      </c>
      <c r="L344" s="517"/>
      <c r="M344" s="676">
        <v>9788229</v>
      </c>
      <c r="N344" s="517" t="s">
        <v>251</v>
      </c>
      <c r="O344" s="675">
        <v>43930</v>
      </c>
      <c r="P344" s="675">
        <v>43965</v>
      </c>
      <c r="Q344" s="675">
        <v>43999</v>
      </c>
      <c r="R344" s="1983" t="s">
        <v>576</v>
      </c>
      <c r="S344" s="517"/>
      <c r="T344" s="676">
        <v>9788229</v>
      </c>
      <c r="U344" s="676">
        <v>10767051.9</v>
      </c>
      <c r="V344" s="1984"/>
      <c r="W344" s="1984"/>
      <c r="X344" s="1984"/>
      <c r="Y344" s="683">
        <v>43999</v>
      </c>
      <c r="Z344" s="676" t="s">
        <v>7024</v>
      </c>
      <c r="AA344" s="675">
        <v>44033</v>
      </c>
      <c r="AB344" s="675">
        <v>44041</v>
      </c>
      <c r="AC344" s="675">
        <v>45127</v>
      </c>
      <c r="AD344" s="1380">
        <v>44279</v>
      </c>
      <c r="AE344" s="1380">
        <v>44645</v>
      </c>
      <c r="AF344" s="1381">
        <v>2022</v>
      </c>
      <c r="AG344" s="1381" t="s">
        <v>7188</v>
      </c>
      <c r="AJ344" s="1944"/>
      <c r="AK344" s="1944"/>
      <c r="AL344" s="1944"/>
      <c r="AM344" s="1944"/>
      <c r="AN344" s="1944"/>
      <c r="AO344" s="1944"/>
      <c r="AP344" s="1944"/>
      <c r="AQ344" s="1944"/>
      <c r="AR344" s="1944"/>
      <c r="AS344" s="1944"/>
    </row>
    <row r="345" spans="1:45" ht="15.75" thickTop="1">
      <c r="A345" s="1944"/>
      <c r="B345" s="1944"/>
      <c r="C345" s="365">
        <v>43921</v>
      </c>
      <c r="D345" s="1397" t="s">
        <v>6648</v>
      </c>
      <c r="E345" s="3210" t="s">
        <v>69</v>
      </c>
      <c r="F345" s="3210" t="s">
        <v>70</v>
      </c>
      <c r="G345" s="175" t="s">
        <v>6647</v>
      </c>
      <c r="H345" s="3210">
        <v>1</v>
      </c>
      <c r="I345" s="3211" t="s">
        <v>6665</v>
      </c>
      <c r="J345" s="3210" t="s">
        <v>6669</v>
      </c>
      <c r="K345" s="3210" t="s">
        <v>68</v>
      </c>
      <c r="L345" s="3210"/>
      <c r="M345" s="364">
        <v>26086745</v>
      </c>
      <c r="N345" s="3210" t="s">
        <v>251</v>
      </c>
      <c r="O345" s="365">
        <v>43938</v>
      </c>
      <c r="P345" s="365">
        <v>44020</v>
      </c>
      <c r="Q345" s="365">
        <v>44060</v>
      </c>
      <c r="R345" s="3211" t="s">
        <v>2548</v>
      </c>
      <c r="S345" s="3210"/>
      <c r="T345" s="364">
        <v>25575264</v>
      </c>
      <c r="U345" s="364">
        <v>28132790.399999999</v>
      </c>
      <c r="V345" s="1473"/>
      <c r="W345" s="1473"/>
      <c r="X345" s="1473"/>
      <c r="Y345" s="681">
        <v>44060</v>
      </c>
      <c r="Z345" s="364" t="s">
        <v>7351</v>
      </c>
      <c r="AA345" s="365">
        <v>44085</v>
      </c>
      <c r="AB345" s="365">
        <v>44090</v>
      </c>
      <c r="AC345" s="365">
        <v>45179</v>
      </c>
      <c r="AD345" s="365">
        <v>44279</v>
      </c>
      <c r="AE345" s="365">
        <v>44645</v>
      </c>
      <c r="AF345" s="388">
        <v>2022</v>
      </c>
      <c r="AG345" s="388" t="s">
        <v>7575</v>
      </c>
      <c r="AJ345" s="1944"/>
      <c r="AK345" s="1944"/>
      <c r="AL345" s="1944"/>
      <c r="AM345" s="1944"/>
      <c r="AN345" s="1944"/>
      <c r="AO345" s="1944"/>
      <c r="AP345" s="1944"/>
      <c r="AQ345" s="1944"/>
      <c r="AR345" s="1944"/>
      <c r="AS345" s="1944"/>
    </row>
    <row r="346" spans="1:45">
      <c r="A346" s="1944"/>
      <c r="B346" s="1944"/>
      <c r="C346" s="537">
        <v>43921</v>
      </c>
      <c r="D346" s="1373" t="s">
        <v>6648</v>
      </c>
      <c r="E346" s="491" t="s">
        <v>69</v>
      </c>
      <c r="F346" s="491" t="s">
        <v>70</v>
      </c>
      <c r="G346" s="571" t="s">
        <v>6647</v>
      </c>
      <c r="H346" s="491">
        <v>2</v>
      </c>
      <c r="I346" s="495" t="s">
        <v>6666</v>
      </c>
      <c r="J346" s="491" t="s">
        <v>6670</v>
      </c>
      <c r="K346" s="491" t="s">
        <v>68</v>
      </c>
      <c r="L346" s="491"/>
      <c r="M346" s="536">
        <v>7634625</v>
      </c>
      <c r="N346" s="491" t="s">
        <v>251</v>
      </c>
      <c r="O346" s="537">
        <v>43938</v>
      </c>
      <c r="P346" s="537">
        <v>44020</v>
      </c>
      <c r="Q346" s="537">
        <v>44060</v>
      </c>
      <c r="R346" s="495" t="s">
        <v>576</v>
      </c>
      <c r="S346" s="491"/>
      <c r="T346" s="536">
        <v>7847409.7800000003</v>
      </c>
      <c r="U346" s="536">
        <v>8632150.7599999998</v>
      </c>
      <c r="V346" s="1471"/>
      <c r="W346" s="1471"/>
      <c r="X346" s="1471"/>
      <c r="Y346" s="573">
        <v>44060</v>
      </c>
      <c r="Z346" s="536" t="s">
        <v>7352</v>
      </c>
      <c r="AA346" s="537">
        <v>44085</v>
      </c>
      <c r="AB346" s="537">
        <v>44090</v>
      </c>
      <c r="AC346" s="537">
        <v>45179</v>
      </c>
      <c r="AD346" s="537">
        <v>44279</v>
      </c>
      <c r="AE346" s="537">
        <v>44645</v>
      </c>
      <c r="AF346" s="388">
        <v>2022</v>
      </c>
      <c r="AG346" s="388" t="s">
        <v>7575</v>
      </c>
      <c r="AJ346" s="1944"/>
      <c r="AK346" s="1944"/>
      <c r="AL346" s="1944"/>
      <c r="AM346" s="1944"/>
      <c r="AN346" s="1944"/>
      <c r="AO346" s="1944"/>
      <c r="AP346" s="1944"/>
      <c r="AQ346" s="1944"/>
      <c r="AR346" s="1944"/>
      <c r="AS346" s="1944"/>
    </row>
    <row r="347" spans="1:45">
      <c r="A347" s="1944"/>
      <c r="B347" s="1944"/>
      <c r="C347" s="537">
        <v>43921</v>
      </c>
      <c r="D347" s="1373" t="s">
        <v>6648</v>
      </c>
      <c r="E347" s="491" t="s">
        <v>69</v>
      </c>
      <c r="F347" s="491" t="s">
        <v>70</v>
      </c>
      <c r="G347" s="571" t="s">
        <v>6647</v>
      </c>
      <c r="H347" s="491">
        <v>3</v>
      </c>
      <c r="I347" s="495" t="s">
        <v>6667</v>
      </c>
      <c r="J347" s="491" t="s">
        <v>6671</v>
      </c>
      <c r="K347" s="491" t="s">
        <v>68</v>
      </c>
      <c r="L347" s="491"/>
      <c r="M347" s="536">
        <v>12200996</v>
      </c>
      <c r="N347" s="491" t="s">
        <v>251</v>
      </c>
      <c r="O347" s="537">
        <v>43938</v>
      </c>
      <c r="P347" s="537">
        <v>44020</v>
      </c>
      <c r="Q347" s="537">
        <v>44060</v>
      </c>
      <c r="R347" s="495" t="s">
        <v>2405</v>
      </c>
      <c r="S347" s="491"/>
      <c r="T347" s="536">
        <v>12200995.439999999</v>
      </c>
      <c r="U347" s="536">
        <v>13421094.98</v>
      </c>
      <c r="V347" s="1471"/>
      <c r="W347" s="1471"/>
      <c r="X347" s="1471"/>
      <c r="Y347" s="573">
        <v>44060</v>
      </c>
      <c r="Z347" s="536" t="s">
        <v>7353</v>
      </c>
      <c r="AA347" s="537">
        <v>44085</v>
      </c>
      <c r="AB347" s="537">
        <v>44090</v>
      </c>
      <c r="AC347" s="537">
        <v>45179</v>
      </c>
      <c r="AD347" s="537">
        <v>44279</v>
      </c>
      <c r="AE347" s="537">
        <v>44645</v>
      </c>
      <c r="AF347" s="388">
        <v>2022</v>
      </c>
      <c r="AG347" s="388" t="s">
        <v>7575</v>
      </c>
      <c r="AJ347" s="1944"/>
      <c r="AK347" s="1944"/>
      <c r="AL347" s="1944"/>
      <c r="AM347" s="1944"/>
      <c r="AN347" s="1944"/>
      <c r="AO347" s="1944"/>
      <c r="AP347" s="1944"/>
      <c r="AQ347" s="1944"/>
      <c r="AR347" s="1944"/>
      <c r="AS347" s="1944"/>
    </row>
    <row r="348" spans="1:45" ht="15.75" thickBot="1">
      <c r="A348" s="1944"/>
      <c r="B348" s="1944"/>
      <c r="C348" s="643">
        <v>43921</v>
      </c>
      <c r="D348" s="1491" t="s">
        <v>6648</v>
      </c>
      <c r="E348" s="639" t="s">
        <v>69</v>
      </c>
      <c r="F348" s="639" t="s">
        <v>70</v>
      </c>
      <c r="G348" s="640" t="s">
        <v>6647</v>
      </c>
      <c r="H348" s="639">
        <v>4</v>
      </c>
      <c r="I348" s="1533" t="s">
        <v>6668</v>
      </c>
      <c r="J348" s="639" t="s">
        <v>6672</v>
      </c>
      <c r="K348" s="639" t="s">
        <v>68</v>
      </c>
      <c r="L348" s="639"/>
      <c r="M348" s="645">
        <v>21367800</v>
      </c>
      <c r="N348" s="639" t="s">
        <v>251</v>
      </c>
      <c r="O348" s="643">
        <v>43938</v>
      </c>
      <c r="P348" s="643">
        <v>44020</v>
      </c>
      <c r="Q348" s="639"/>
      <c r="R348" s="1533"/>
      <c r="S348" s="639"/>
      <c r="T348" s="645"/>
      <c r="U348" s="645"/>
      <c r="V348" s="1534"/>
      <c r="W348" s="1534"/>
      <c r="X348" s="1534"/>
      <c r="Y348" s="645"/>
      <c r="Z348" s="645"/>
      <c r="AA348" s="639"/>
      <c r="AB348" s="643">
        <v>44078</v>
      </c>
      <c r="AC348" s="2008" t="s">
        <v>7314</v>
      </c>
      <c r="AD348" s="639"/>
      <c r="AE348" s="639"/>
      <c r="AJ348" s="1944"/>
      <c r="AK348" s="1944"/>
      <c r="AL348" s="1944"/>
      <c r="AM348" s="1944"/>
      <c r="AN348" s="1944"/>
      <c r="AO348" s="1944"/>
      <c r="AP348" s="1944"/>
      <c r="AQ348" s="1944"/>
      <c r="AR348" s="1944"/>
      <c r="AS348" s="1944"/>
    </row>
    <row r="349" spans="1:45" ht="15.75" thickTop="1">
      <c r="A349" s="1944"/>
      <c r="B349" s="1944"/>
      <c r="C349" s="474">
        <v>43921</v>
      </c>
      <c r="D349" s="1383" t="s">
        <v>6650</v>
      </c>
      <c r="E349" s="453" t="s">
        <v>69</v>
      </c>
      <c r="F349" s="453" t="s">
        <v>70</v>
      </c>
      <c r="G349" s="473" t="s">
        <v>6649</v>
      </c>
      <c r="H349" s="453">
        <v>1</v>
      </c>
      <c r="I349" s="1420" t="s">
        <v>6673</v>
      </c>
      <c r="J349" s="453" t="s">
        <v>6674</v>
      </c>
      <c r="K349" s="453" t="s">
        <v>3438</v>
      </c>
      <c r="L349" s="453"/>
      <c r="M349" s="457">
        <v>5831517</v>
      </c>
      <c r="N349" s="453" t="s">
        <v>251</v>
      </c>
      <c r="O349" s="474">
        <v>43945</v>
      </c>
      <c r="P349" s="474">
        <v>43980</v>
      </c>
      <c r="Q349" s="474">
        <v>43999</v>
      </c>
      <c r="R349" s="1420" t="s">
        <v>6981</v>
      </c>
      <c r="S349" s="453"/>
      <c r="T349" s="457">
        <v>5831516.4800000004</v>
      </c>
      <c r="U349" s="457">
        <v>6414668.1299999999</v>
      </c>
      <c r="V349" s="1474"/>
      <c r="W349" s="1474"/>
      <c r="X349" s="1474"/>
      <c r="Y349" s="570">
        <v>43999</v>
      </c>
      <c r="Z349" s="457" t="s">
        <v>7025</v>
      </c>
      <c r="AA349" s="474">
        <v>44057</v>
      </c>
      <c r="AB349" s="474">
        <v>44060</v>
      </c>
      <c r="AC349" s="474">
        <v>45517</v>
      </c>
      <c r="AD349" s="474">
        <v>44279</v>
      </c>
      <c r="AE349" s="474">
        <v>44645</v>
      </c>
      <c r="AF349" s="1374">
        <v>2022</v>
      </c>
      <c r="AG349" s="1374">
        <v>2023</v>
      </c>
      <c r="AH349" s="1374" t="s">
        <v>7341</v>
      </c>
      <c r="AJ349" s="1944"/>
      <c r="AK349" s="1944"/>
      <c r="AL349" s="1944"/>
      <c r="AM349" s="1944"/>
      <c r="AN349" s="1944"/>
      <c r="AO349" s="1944"/>
      <c r="AP349" s="1944"/>
      <c r="AQ349" s="1944"/>
      <c r="AR349" s="1944"/>
      <c r="AS349" s="1944"/>
    </row>
    <row r="350" spans="1:45">
      <c r="A350" s="1944"/>
      <c r="B350" s="1944"/>
      <c r="C350" s="510">
        <v>43921</v>
      </c>
      <c r="D350" s="1382" t="s">
        <v>6650</v>
      </c>
      <c r="E350" s="506" t="s">
        <v>69</v>
      </c>
      <c r="F350" s="506" t="s">
        <v>70</v>
      </c>
      <c r="G350" s="507" t="s">
        <v>6649</v>
      </c>
      <c r="H350" s="506">
        <v>2</v>
      </c>
      <c r="I350" s="548" t="s">
        <v>6675</v>
      </c>
      <c r="J350" s="506" t="s">
        <v>3779</v>
      </c>
      <c r="K350" s="506" t="s">
        <v>3438</v>
      </c>
      <c r="L350" s="506"/>
      <c r="M350" s="511">
        <v>21517045</v>
      </c>
      <c r="N350" s="506" t="s">
        <v>251</v>
      </c>
      <c r="O350" s="510">
        <v>43945</v>
      </c>
      <c r="P350" s="510">
        <v>43980</v>
      </c>
      <c r="Q350" s="506"/>
      <c r="R350" s="736" t="s">
        <v>304</v>
      </c>
      <c r="S350" s="506"/>
      <c r="T350" s="511"/>
      <c r="U350" s="511"/>
      <c r="V350" s="1470"/>
      <c r="W350" s="1470"/>
      <c r="X350" s="1470"/>
      <c r="Y350" s="511"/>
      <c r="Z350" s="511"/>
      <c r="AA350" s="506"/>
      <c r="AB350" s="510">
        <v>43999</v>
      </c>
      <c r="AC350" s="510" t="s">
        <v>7029</v>
      </c>
      <c r="AD350" s="506"/>
      <c r="AE350" s="506"/>
      <c r="AJ350" s="1944"/>
      <c r="AK350" s="1944"/>
      <c r="AL350" s="1944"/>
      <c r="AM350" s="1944"/>
      <c r="AN350" s="1944"/>
      <c r="AO350" s="1944"/>
      <c r="AP350" s="1944"/>
      <c r="AQ350" s="1944"/>
      <c r="AR350" s="1944"/>
      <c r="AS350" s="1944"/>
    </row>
    <row r="351" spans="1:45" ht="15.75" thickBot="1">
      <c r="A351" s="1944"/>
      <c r="B351" s="1944"/>
      <c r="C351" s="1380">
        <v>43921</v>
      </c>
      <c r="D351" s="1377" t="s">
        <v>6650</v>
      </c>
      <c r="E351" s="1376" t="s">
        <v>69</v>
      </c>
      <c r="F351" s="1376" t="s">
        <v>70</v>
      </c>
      <c r="G351" s="1378" t="s">
        <v>6649</v>
      </c>
      <c r="H351" s="1376">
        <v>3</v>
      </c>
      <c r="I351" s="1421" t="s">
        <v>6676</v>
      </c>
      <c r="J351" s="1376" t="s">
        <v>6677</v>
      </c>
      <c r="K351" s="1376" t="s">
        <v>3438</v>
      </c>
      <c r="L351" s="1376"/>
      <c r="M351" s="1379">
        <v>64077000</v>
      </c>
      <c r="N351" s="1376" t="s">
        <v>251</v>
      </c>
      <c r="O351" s="1380">
        <v>43945</v>
      </c>
      <c r="P351" s="1380">
        <v>43980</v>
      </c>
      <c r="Q351" s="1380">
        <v>43999</v>
      </c>
      <c r="R351" s="1421" t="s">
        <v>6981</v>
      </c>
      <c r="S351" s="1376"/>
      <c r="T351" s="1379">
        <v>64076999.840000004</v>
      </c>
      <c r="U351" s="1379">
        <v>70484699.819999993</v>
      </c>
      <c r="V351" s="1475"/>
      <c r="W351" s="1475"/>
      <c r="X351" s="1475"/>
      <c r="Y351" s="1388">
        <v>43999</v>
      </c>
      <c r="Z351" s="1379" t="s">
        <v>7026</v>
      </c>
      <c r="AA351" s="1380">
        <v>44057</v>
      </c>
      <c r="AB351" s="1380">
        <v>44060</v>
      </c>
      <c r="AC351" s="1380">
        <v>45517</v>
      </c>
      <c r="AD351" s="1380">
        <v>44279</v>
      </c>
      <c r="AE351" s="1380">
        <v>44645</v>
      </c>
      <c r="AF351" s="1374">
        <v>2022</v>
      </c>
      <c r="AG351" s="1374">
        <v>2023</v>
      </c>
      <c r="AH351" s="1374" t="s">
        <v>7341</v>
      </c>
      <c r="AJ351" s="1944"/>
      <c r="AK351" s="1944"/>
      <c r="AL351" s="1944"/>
      <c r="AM351" s="1944"/>
      <c r="AN351" s="1944"/>
      <c r="AO351" s="1944"/>
      <c r="AP351" s="1944"/>
      <c r="AQ351" s="1944"/>
      <c r="AR351" s="1944"/>
      <c r="AS351" s="1944"/>
    </row>
    <row r="352" spans="1:45" ht="15.75" thickTop="1">
      <c r="A352" s="1944"/>
      <c r="B352" s="1944"/>
      <c r="C352" s="470">
        <v>43929</v>
      </c>
      <c r="D352" s="1515" t="s">
        <v>6683</v>
      </c>
      <c r="E352" s="466" t="s">
        <v>2712</v>
      </c>
      <c r="F352" s="466" t="s">
        <v>2731</v>
      </c>
      <c r="G352" s="467" t="s">
        <v>6684</v>
      </c>
      <c r="H352" s="466"/>
      <c r="I352" s="654"/>
      <c r="J352" s="466"/>
      <c r="K352" s="466" t="s">
        <v>6555</v>
      </c>
      <c r="L352" s="466"/>
      <c r="M352" s="472">
        <v>250000</v>
      </c>
      <c r="N352" s="466" t="s">
        <v>112</v>
      </c>
      <c r="O352" s="470">
        <v>43937</v>
      </c>
      <c r="P352" s="470">
        <v>43949</v>
      </c>
      <c r="Q352" s="466"/>
      <c r="R352" s="471" t="s">
        <v>6759</v>
      </c>
      <c r="S352" s="466"/>
      <c r="T352" s="472"/>
      <c r="U352" s="472"/>
      <c r="V352" s="1516"/>
      <c r="W352" s="1516"/>
      <c r="X352" s="1516"/>
      <c r="Y352" s="472"/>
      <c r="Z352" s="472"/>
      <c r="AA352" s="466"/>
      <c r="AB352" s="470">
        <v>43951</v>
      </c>
      <c r="AC352" s="470"/>
      <c r="AD352" s="466"/>
      <c r="AE352" s="466"/>
      <c r="AJ352" s="1944"/>
      <c r="AK352" s="1944"/>
      <c r="AL352" s="1944"/>
      <c r="AM352" s="1944"/>
      <c r="AN352" s="1944"/>
      <c r="AO352" s="1944"/>
      <c r="AP352" s="1944"/>
      <c r="AQ352" s="1944"/>
      <c r="AR352" s="1944"/>
      <c r="AS352" s="1944"/>
    </row>
    <row r="353" spans="1:45">
      <c r="A353" s="1944"/>
      <c r="B353" s="1944"/>
      <c r="C353" s="537">
        <v>43936</v>
      </c>
      <c r="D353" s="1373" t="s">
        <v>6693</v>
      </c>
      <c r="E353" s="491" t="s">
        <v>289</v>
      </c>
      <c r="F353" s="491" t="s">
        <v>6509</v>
      </c>
      <c r="G353" s="571" t="s">
        <v>6702</v>
      </c>
      <c r="H353" s="491"/>
      <c r="I353" s="495"/>
      <c r="J353" s="491"/>
      <c r="K353" s="491" t="s">
        <v>6148</v>
      </c>
      <c r="L353" s="491" t="s">
        <v>6149</v>
      </c>
      <c r="M353" s="536">
        <v>538000</v>
      </c>
      <c r="N353" s="491" t="s">
        <v>112</v>
      </c>
      <c r="O353" s="537">
        <v>43943</v>
      </c>
      <c r="P353" s="537">
        <v>43951</v>
      </c>
      <c r="Q353" s="537">
        <v>43963</v>
      </c>
      <c r="R353" s="495" t="s">
        <v>6786</v>
      </c>
      <c r="S353" s="491"/>
      <c r="T353" s="536">
        <v>579000</v>
      </c>
      <c r="U353" s="536">
        <v>700590</v>
      </c>
      <c r="V353" s="1471"/>
      <c r="W353" s="1471"/>
      <c r="X353" s="1471"/>
      <c r="Y353" s="573">
        <v>43963</v>
      </c>
      <c r="Z353" s="536" t="s">
        <v>6808</v>
      </c>
      <c r="AA353" s="537">
        <v>43980</v>
      </c>
      <c r="AB353" s="537">
        <v>43986</v>
      </c>
      <c r="AC353" s="537">
        <f>AA353+150</f>
        <v>44130</v>
      </c>
      <c r="AD353" s="537">
        <v>44165</v>
      </c>
      <c r="AE353" s="1102"/>
      <c r="AJ353" s="1944"/>
      <c r="AK353" s="1944"/>
      <c r="AL353" s="1944"/>
      <c r="AM353" s="1944"/>
      <c r="AN353" s="1944"/>
      <c r="AO353" s="1944"/>
      <c r="AP353" s="1944"/>
      <c r="AQ353" s="1944"/>
      <c r="AR353" s="1944"/>
      <c r="AS353" s="1944"/>
    </row>
    <row r="354" spans="1:45">
      <c r="A354" s="1944"/>
      <c r="B354" s="1944"/>
      <c r="C354" s="510">
        <v>43938</v>
      </c>
      <c r="D354" s="1382" t="s">
        <v>6716</v>
      </c>
      <c r="E354" s="506" t="s">
        <v>58</v>
      </c>
      <c r="F354" s="506" t="s">
        <v>918</v>
      </c>
      <c r="G354" s="507" t="s">
        <v>6718</v>
      </c>
      <c r="H354" s="506"/>
      <c r="I354" s="548"/>
      <c r="J354" s="590"/>
      <c r="K354" s="506" t="s">
        <v>77</v>
      </c>
      <c r="L354" s="506" t="s">
        <v>6997</v>
      </c>
      <c r="M354" s="511">
        <v>820000</v>
      </c>
      <c r="N354" s="506" t="s">
        <v>112</v>
      </c>
      <c r="O354" s="510">
        <v>44000</v>
      </c>
      <c r="P354" s="510">
        <v>44013</v>
      </c>
      <c r="Q354" s="506"/>
      <c r="R354" s="736" t="s">
        <v>4505</v>
      </c>
      <c r="S354" s="1985" t="s">
        <v>7134</v>
      </c>
      <c r="T354" s="511"/>
      <c r="U354" s="511"/>
      <c r="V354" s="1484"/>
      <c r="W354" s="1484"/>
      <c r="X354" s="1484"/>
      <c r="Y354" s="511"/>
      <c r="Z354" s="511"/>
      <c r="AA354" s="506"/>
      <c r="AB354" s="510">
        <v>44026</v>
      </c>
      <c r="AC354" s="510"/>
      <c r="AD354" s="506"/>
      <c r="AE354" s="506"/>
      <c r="AJ354" s="1944"/>
      <c r="AK354" s="1944"/>
      <c r="AL354" s="1944"/>
      <c r="AM354" s="1944"/>
      <c r="AN354" s="1944"/>
      <c r="AO354" s="1944"/>
      <c r="AP354" s="1944"/>
      <c r="AQ354" s="1944"/>
      <c r="AR354" s="1944"/>
      <c r="AS354" s="1944"/>
    </row>
    <row r="355" spans="1:45" ht="30">
      <c r="A355" s="1944"/>
      <c r="B355" s="1944"/>
      <c r="C355" s="537">
        <v>43938</v>
      </c>
      <c r="D355" s="1373" t="s">
        <v>6717</v>
      </c>
      <c r="E355" s="491" t="s">
        <v>58</v>
      </c>
      <c r="F355" s="491" t="s">
        <v>918</v>
      </c>
      <c r="G355" s="571" t="s">
        <v>6719</v>
      </c>
      <c r="H355" s="491"/>
      <c r="I355" s="495"/>
      <c r="J355" s="491"/>
      <c r="K355" s="491" t="s">
        <v>77</v>
      </c>
      <c r="L355" s="491" t="s">
        <v>7016</v>
      </c>
      <c r="M355" s="536">
        <v>1500000</v>
      </c>
      <c r="N355" s="491" t="s">
        <v>112</v>
      </c>
      <c r="O355" s="537">
        <v>44000</v>
      </c>
      <c r="P355" s="537">
        <v>44013</v>
      </c>
      <c r="Q355" s="537">
        <v>44034</v>
      </c>
      <c r="R355" s="495" t="s">
        <v>7136</v>
      </c>
      <c r="S355" s="491"/>
      <c r="T355" s="536">
        <v>1460000</v>
      </c>
      <c r="U355" s="536">
        <v>1766600</v>
      </c>
      <c r="V355" s="1471"/>
      <c r="W355" s="1471"/>
      <c r="X355" s="1471"/>
      <c r="Y355" s="573">
        <v>44035</v>
      </c>
      <c r="Z355" s="1375" t="s">
        <v>7199</v>
      </c>
      <c r="AA355" s="537">
        <v>44062</v>
      </c>
      <c r="AB355" s="537">
        <v>44067</v>
      </c>
      <c r="AC355" s="537">
        <f>AA355+30</f>
        <v>44092</v>
      </c>
      <c r="AD355" s="537">
        <v>44193</v>
      </c>
      <c r="AE355" s="1374" t="s">
        <v>1875</v>
      </c>
      <c r="AJ355" s="1944"/>
      <c r="AK355" s="1944"/>
      <c r="AL355" s="1944"/>
      <c r="AM355" s="1944"/>
      <c r="AN355" s="1944"/>
      <c r="AO355" s="1944"/>
      <c r="AP355" s="1944"/>
      <c r="AQ355" s="1944"/>
      <c r="AR355" s="1944"/>
      <c r="AS355" s="1944"/>
    </row>
    <row r="356" spans="1:45">
      <c r="A356" s="1944"/>
      <c r="B356" s="1944"/>
      <c r="C356" s="537">
        <v>43937</v>
      </c>
      <c r="D356" s="1373" t="s">
        <v>6706</v>
      </c>
      <c r="E356" s="491" t="s">
        <v>14</v>
      </c>
      <c r="F356" s="491" t="s">
        <v>6707</v>
      </c>
      <c r="G356" s="571" t="s">
        <v>6708</v>
      </c>
      <c r="H356" s="491"/>
      <c r="I356" s="495"/>
      <c r="J356" s="491"/>
      <c r="K356" s="491" t="s">
        <v>1226</v>
      </c>
      <c r="L356" s="491" t="s">
        <v>6709</v>
      </c>
      <c r="M356" s="536">
        <v>4603306</v>
      </c>
      <c r="N356" s="491" t="s">
        <v>6651</v>
      </c>
      <c r="O356" s="537">
        <v>43941</v>
      </c>
      <c r="P356" s="537">
        <v>43942</v>
      </c>
      <c r="Q356" s="537">
        <v>43944</v>
      </c>
      <c r="R356" s="495" t="s">
        <v>333</v>
      </c>
      <c r="S356" s="491"/>
      <c r="T356" s="536">
        <v>4569000</v>
      </c>
      <c r="U356" s="536">
        <v>5528490</v>
      </c>
      <c r="V356" s="1471"/>
      <c r="W356" s="1471"/>
      <c r="X356" s="1471"/>
      <c r="Y356" s="573">
        <v>43944</v>
      </c>
      <c r="Z356" s="536" t="s">
        <v>6734</v>
      </c>
      <c r="AA356" s="537">
        <v>43949</v>
      </c>
      <c r="AB356" s="537">
        <v>43950</v>
      </c>
      <c r="AC356" s="537">
        <f>AA356+21</f>
        <v>43970</v>
      </c>
      <c r="AD356" s="537">
        <v>44032</v>
      </c>
      <c r="AE356" s="1102"/>
      <c r="AJ356" s="1944"/>
      <c r="AK356" s="1944"/>
      <c r="AL356" s="1944"/>
      <c r="AM356" s="1944"/>
      <c r="AN356" s="1944"/>
      <c r="AO356" s="1944"/>
      <c r="AP356" s="1944"/>
      <c r="AQ356" s="1944"/>
      <c r="AR356" s="1944"/>
      <c r="AS356" s="1944"/>
    </row>
    <row r="357" spans="1:45">
      <c r="A357" s="1944"/>
      <c r="B357" s="1944"/>
      <c r="C357" s="537">
        <v>43938</v>
      </c>
      <c r="D357" s="1373" t="s">
        <v>6732</v>
      </c>
      <c r="E357" s="491" t="s">
        <v>2434</v>
      </c>
      <c r="F357" s="491" t="s">
        <v>219</v>
      </c>
      <c r="G357" s="571" t="s">
        <v>3968</v>
      </c>
      <c r="H357" s="491"/>
      <c r="I357" s="495"/>
      <c r="J357" s="491"/>
      <c r="K357" s="491" t="s">
        <v>642</v>
      </c>
      <c r="L357" s="491"/>
      <c r="M357" s="536">
        <v>1588800</v>
      </c>
      <c r="N357" s="491" t="s">
        <v>112</v>
      </c>
      <c r="O357" s="537">
        <v>43945</v>
      </c>
      <c r="P357" s="537">
        <v>43956</v>
      </c>
      <c r="Q357" s="537">
        <v>43978</v>
      </c>
      <c r="R357" s="495" t="s">
        <v>6787</v>
      </c>
      <c r="S357" s="491"/>
      <c r="T357" s="536">
        <v>1588800</v>
      </c>
      <c r="U357" s="536">
        <v>1922440</v>
      </c>
      <c r="V357" s="1471"/>
      <c r="W357" s="1471"/>
      <c r="X357" s="1471"/>
      <c r="Y357" s="573">
        <v>43978</v>
      </c>
      <c r="Z357" s="536" t="s">
        <v>6880</v>
      </c>
      <c r="AA357" s="537">
        <v>44006</v>
      </c>
      <c r="AB357" s="537">
        <v>44007</v>
      </c>
      <c r="AC357" s="537" t="s">
        <v>4096</v>
      </c>
      <c r="AD357" s="537">
        <v>44285</v>
      </c>
      <c r="AE357" s="537">
        <v>44641</v>
      </c>
      <c r="AF357" s="388">
        <v>2022</v>
      </c>
      <c r="AG357" s="388">
        <v>2023</v>
      </c>
      <c r="AH357" s="388">
        <v>2024</v>
      </c>
      <c r="AI357" s="388" t="s">
        <v>4435</v>
      </c>
      <c r="AJ357" s="1944"/>
      <c r="AK357" s="1944"/>
      <c r="AL357" s="1944"/>
      <c r="AM357" s="1944"/>
      <c r="AN357" s="1944"/>
      <c r="AO357" s="1944"/>
      <c r="AP357" s="1944"/>
      <c r="AQ357" s="1944"/>
      <c r="AR357" s="1944"/>
      <c r="AS357" s="1944"/>
    </row>
    <row r="358" spans="1:45">
      <c r="A358" s="1944"/>
      <c r="B358" s="1944"/>
      <c r="C358" s="510">
        <v>43937</v>
      </c>
      <c r="D358" s="1382" t="s">
        <v>6720</v>
      </c>
      <c r="E358" s="506" t="s">
        <v>2712</v>
      </c>
      <c r="F358" s="506" t="s">
        <v>2731</v>
      </c>
      <c r="G358" s="507" t="s">
        <v>6721</v>
      </c>
      <c r="H358" s="506"/>
      <c r="I358" s="548"/>
      <c r="J358" s="506"/>
      <c r="K358" s="506" t="s">
        <v>6731</v>
      </c>
      <c r="L358" s="506"/>
      <c r="M358" s="511">
        <v>1000000</v>
      </c>
      <c r="N358" s="506" t="s">
        <v>112</v>
      </c>
      <c r="O358" s="510">
        <v>43964</v>
      </c>
      <c r="P358" s="510">
        <v>43976</v>
      </c>
      <c r="Q358" s="506"/>
      <c r="R358" s="736" t="s">
        <v>6971</v>
      </c>
      <c r="S358" s="1985" t="s">
        <v>7494</v>
      </c>
      <c r="T358" s="511"/>
      <c r="U358" s="511"/>
      <c r="V358" s="1470"/>
      <c r="W358" s="1470"/>
      <c r="X358" s="1470"/>
      <c r="Y358" s="511"/>
      <c r="Z358" s="511"/>
      <c r="AA358" s="506"/>
      <c r="AB358" s="510">
        <v>43994</v>
      </c>
      <c r="AC358" s="510"/>
      <c r="AD358" s="506"/>
      <c r="AE358" s="506"/>
      <c r="AJ358" s="1944"/>
      <c r="AK358" s="1944"/>
      <c r="AL358" s="1944"/>
      <c r="AM358" s="1944"/>
      <c r="AN358" s="1944"/>
      <c r="AO358" s="1944"/>
      <c r="AP358" s="1944"/>
      <c r="AQ358" s="1944"/>
      <c r="AR358" s="1944"/>
      <c r="AS358" s="1944"/>
    </row>
    <row r="359" spans="1:45" ht="30">
      <c r="A359" s="1944"/>
      <c r="B359" s="1944"/>
      <c r="C359" s="1524">
        <v>43943</v>
      </c>
      <c r="D359" s="1945" t="s">
        <v>6724</v>
      </c>
      <c r="E359" s="919" t="s">
        <v>9694</v>
      </c>
      <c r="F359" s="919" t="s">
        <v>2684</v>
      </c>
      <c r="G359" s="1946" t="s">
        <v>5941</v>
      </c>
      <c r="H359" s="919"/>
      <c r="I359" s="976"/>
      <c r="J359" s="919"/>
      <c r="K359" s="919" t="s">
        <v>421</v>
      </c>
      <c r="L359" s="919" t="s">
        <v>6725</v>
      </c>
      <c r="M359" s="1523">
        <v>445000</v>
      </c>
      <c r="N359" s="919" t="s">
        <v>112</v>
      </c>
      <c r="O359" s="1524">
        <v>43949</v>
      </c>
      <c r="P359" s="1524">
        <v>43958</v>
      </c>
      <c r="Q359" s="1524">
        <v>43972</v>
      </c>
      <c r="R359" s="976" t="s">
        <v>6820</v>
      </c>
      <c r="S359" s="919"/>
      <c r="T359" s="1523">
        <v>468440</v>
      </c>
      <c r="U359" s="1523">
        <v>566812.4</v>
      </c>
      <c r="V359" s="1517"/>
      <c r="W359" s="1517"/>
      <c r="X359" s="1517"/>
      <c r="Y359" s="1532">
        <v>43972</v>
      </c>
      <c r="Z359" s="1549" t="s">
        <v>6863</v>
      </c>
      <c r="AA359" s="1524">
        <v>44004</v>
      </c>
      <c r="AB359" s="537">
        <v>44006</v>
      </c>
      <c r="AC359" s="537">
        <f>AA359+84</f>
        <v>44088</v>
      </c>
      <c r="AD359" s="537">
        <v>44151</v>
      </c>
      <c r="AE359" s="1374" t="s">
        <v>1875</v>
      </c>
      <c r="AJ359" s="1944"/>
      <c r="AK359" s="1944"/>
      <c r="AL359" s="1944"/>
      <c r="AM359" s="1944"/>
      <c r="AN359" s="1944"/>
      <c r="AO359" s="1944"/>
      <c r="AP359" s="1944"/>
      <c r="AQ359" s="1944"/>
      <c r="AR359" s="1944"/>
      <c r="AS359" s="1944"/>
    </row>
    <row r="360" spans="1:45">
      <c r="A360" s="1944"/>
      <c r="B360" s="1944"/>
      <c r="C360" s="537">
        <v>43943</v>
      </c>
      <c r="D360" s="1373" t="s">
        <v>6728</v>
      </c>
      <c r="E360" s="491" t="s">
        <v>58</v>
      </c>
      <c r="F360" s="491" t="s">
        <v>2684</v>
      </c>
      <c r="G360" s="2517" t="s">
        <v>6729</v>
      </c>
      <c r="H360" s="491"/>
      <c r="I360" s="495"/>
      <c r="J360" s="491"/>
      <c r="K360" s="491" t="s">
        <v>77</v>
      </c>
      <c r="L360" s="491" t="s">
        <v>6730</v>
      </c>
      <c r="M360" s="536">
        <v>413223</v>
      </c>
      <c r="N360" s="491" t="s">
        <v>112</v>
      </c>
      <c r="O360" s="537">
        <v>43955</v>
      </c>
      <c r="P360" s="537">
        <v>43965</v>
      </c>
      <c r="Q360" s="537">
        <v>44004</v>
      </c>
      <c r="R360" s="495" t="s">
        <v>5890</v>
      </c>
      <c r="S360" s="491"/>
      <c r="T360" s="536">
        <v>411300</v>
      </c>
      <c r="U360" s="536">
        <v>497673</v>
      </c>
      <c r="V360" s="1471"/>
      <c r="W360" s="1471"/>
      <c r="X360" s="1471"/>
      <c r="Y360" s="573">
        <v>44004</v>
      </c>
      <c r="Z360" s="536" t="s">
        <v>7054</v>
      </c>
      <c r="AA360" s="537">
        <v>44029</v>
      </c>
      <c r="AB360" s="537">
        <v>44033</v>
      </c>
      <c r="AC360" s="537">
        <f>AA360+63</f>
        <v>44092</v>
      </c>
      <c r="AD360" s="537">
        <v>44109</v>
      </c>
      <c r="AE360" s="1102"/>
      <c r="AJ360" s="1944"/>
      <c r="AK360" s="1944"/>
      <c r="AL360" s="1944"/>
      <c r="AM360" s="1944"/>
      <c r="AN360" s="1944"/>
      <c r="AO360" s="1944"/>
      <c r="AP360" s="1944"/>
      <c r="AQ360" s="1944"/>
      <c r="AR360" s="1944"/>
      <c r="AS360" s="1944"/>
    </row>
    <row r="361" spans="1:45">
      <c r="A361" s="1944"/>
      <c r="B361" s="1944"/>
      <c r="C361" s="537">
        <v>43944</v>
      </c>
      <c r="D361" s="1373" t="s">
        <v>6737</v>
      </c>
      <c r="E361" s="491" t="s">
        <v>58</v>
      </c>
      <c r="F361" s="491" t="s">
        <v>2684</v>
      </c>
      <c r="G361" s="571" t="s">
        <v>6738</v>
      </c>
      <c r="H361" s="491"/>
      <c r="I361" s="495"/>
      <c r="J361" s="491"/>
      <c r="K361" s="491" t="s">
        <v>765</v>
      </c>
      <c r="L361" s="491" t="s">
        <v>4240</v>
      </c>
      <c r="M361" s="536">
        <v>656000</v>
      </c>
      <c r="N361" s="491" t="s">
        <v>112</v>
      </c>
      <c r="O361" s="537">
        <v>43971</v>
      </c>
      <c r="P361" s="537">
        <v>43980</v>
      </c>
      <c r="Q361" s="537">
        <v>43992</v>
      </c>
      <c r="R361" s="495" t="s">
        <v>796</v>
      </c>
      <c r="S361" s="491"/>
      <c r="T361" s="536">
        <v>710640</v>
      </c>
      <c r="U361" s="536">
        <v>859874.4</v>
      </c>
      <c r="V361" s="1471"/>
      <c r="W361" s="1471"/>
      <c r="X361" s="1471"/>
      <c r="Y361" s="573">
        <v>43992</v>
      </c>
      <c r="Z361" s="536" t="s">
        <v>6950</v>
      </c>
      <c r="AA361" s="537">
        <v>44019</v>
      </c>
      <c r="AB361" s="537">
        <v>44026</v>
      </c>
      <c r="AC361" s="537" t="s">
        <v>4096</v>
      </c>
      <c r="AD361" s="537">
        <v>44123</v>
      </c>
      <c r="AE361" s="1374" t="s">
        <v>1875</v>
      </c>
      <c r="AJ361" s="1944"/>
      <c r="AK361" s="1944"/>
      <c r="AL361" s="1944"/>
      <c r="AM361" s="1944"/>
      <c r="AN361" s="1944"/>
      <c r="AO361" s="1944"/>
      <c r="AP361" s="1944"/>
      <c r="AQ361" s="1944"/>
      <c r="AR361" s="1944"/>
      <c r="AS361" s="1944"/>
    </row>
    <row r="362" spans="1:45">
      <c r="A362" s="1944"/>
      <c r="B362" s="1944"/>
      <c r="C362" s="537">
        <v>43945</v>
      </c>
      <c r="D362" s="1373" t="s">
        <v>6739</v>
      </c>
      <c r="E362" s="491" t="s">
        <v>52</v>
      </c>
      <c r="F362" s="491" t="s">
        <v>5894</v>
      </c>
      <c r="G362" s="571" t="s">
        <v>6740</v>
      </c>
      <c r="H362" s="491"/>
      <c r="I362" s="495"/>
      <c r="J362" s="491"/>
      <c r="K362" s="491" t="s">
        <v>33</v>
      </c>
      <c r="L362" s="491" t="s">
        <v>7467</v>
      </c>
      <c r="M362" s="536">
        <v>5000000</v>
      </c>
      <c r="N362" s="491" t="s">
        <v>112</v>
      </c>
      <c r="O362" s="537">
        <v>43955</v>
      </c>
      <c r="P362" s="537">
        <v>43971</v>
      </c>
      <c r="Q362" s="537">
        <v>43992</v>
      </c>
      <c r="R362" s="495" t="s">
        <v>3503</v>
      </c>
      <c r="S362" s="491"/>
      <c r="T362" s="536">
        <v>5475931.1200000001</v>
      </c>
      <c r="U362" s="536">
        <v>6625876.6600000001</v>
      </c>
      <c r="V362" s="1471"/>
      <c r="W362" s="1471"/>
      <c r="X362" s="1471"/>
      <c r="Y362" s="573">
        <v>43992</v>
      </c>
      <c r="Z362" s="536" t="s">
        <v>6948</v>
      </c>
      <c r="AA362" s="537">
        <v>44020</v>
      </c>
      <c r="AB362" s="537">
        <v>44026</v>
      </c>
      <c r="AC362" s="537">
        <f>AA362+120</f>
        <v>44140</v>
      </c>
      <c r="AD362" s="537">
        <v>44242</v>
      </c>
      <c r="AE362" s="1102"/>
      <c r="AJ362" s="1944"/>
      <c r="AK362" s="1944"/>
      <c r="AL362" s="1944"/>
      <c r="AM362" s="1944"/>
      <c r="AN362" s="1944"/>
      <c r="AO362" s="1944"/>
      <c r="AP362" s="1944"/>
      <c r="AQ362" s="1944"/>
      <c r="AR362" s="1944"/>
      <c r="AS362" s="1944"/>
    </row>
    <row r="363" spans="1:45">
      <c r="A363" s="1944"/>
      <c r="B363" s="1944"/>
      <c r="C363" s="510">
        <v>43944</v>
      </c>
      <c r="D363" s="1382" t="s">
        <v>6741</v>
      </c>
      <c r="E363" s="506" t="s">
        <v>58</v>
      </c>
      <c r="F363" s="506" t="s">
        <v>55</v>
      </c>
      <c r="G363" s="507" t="s">
        <v>6742</v>
      </c>
      <c r="H363" s="506"/>
      <c r="I363" s="548"/>
      <c r="J363" s="506"/>
      <c r="K363" s="506" t="s">
        <v>1950</v>
      </c>
      <c r="L363" s="506"/>
      <c r="M363" s="511">
        <v>700000</v>
      </c>
      <c r="N363" s="506" t="s">
        <v>112</v>
      </c>
      <c r="O363" s="510">
        <v>43958</v>
      </c>
      <c r="P363" s="510">
        <v>43970</v>
      </c>
      <c r="Q363" s="506"/>
      <c r="R363" s="736" t="s">
        <v>6844</v>
      </c>
      <c r="S363" s="1978" t="s">
        <v>7378</v>
      </c>
      <c r="T363" s="511"/>
      <c r="U363" s="511"/>
      <c r="V363" s="1470"/>
      <c r="W363" s="1470"/>
      <c r="X363" s="1470"/>
      <c r="Y363" s="511"/>
      <c r="Z363" s="511"/>
      <c r="AA363" s="506"/>
      <c r="AB363" s="510">
        <v>43971</v>
      </c>
      <c r="AC363" s="510"/>
      <c r="AD363" s="506"/>
      <c r="AE363" s="506"/>
      <c r="AJ363" s="1944"/>
      <c r="AK363" s="1944"/>
      <c r="AL363" s="1944"/>
      <c r="AM363" s="1944"/>
      <c r="AN363" s="1944"/>
      <c r="AO363" s="1944"/>
      <c r="AP363" s="1944"/>
      <c r="AQ363" s="1944"/>
      <c r="AR363" s="1944"/>
      <c r="AS363" s="1944"/>
    </row>
    <row r="364" spans="1:45" s="390" customFormat="1">
      <c r="C364" s="537">
        <v>43976</v>
      </c>
      <c r="D364" s="1373" t="s">
        <v>6868</v>
      </c>
      <c r="E364" s="491" t="s">
        <v>1844</v>
      </c>
      <c r="F364" s="491" t="s">
        <v>1845</v>
      </c>
      <c r="G364" s="571" t="s">
        <v>6869</v>
      </c>
      <c r="H364" s="491"/>
      <c r="I364" s="495"/>
      <c r="J364" s="491"/>
      <c r="K364" s="491" t="s">
        <v>6870</v>
      </c>
      <c r="L364" s="491"/>
      <c r="M364" s="536">
        <v>270000</v>
      </c>
      <c r="N364" s="491" t="s">
        <v>112</v>
      </c>
      <c r="O364" s="537">
        <v>43990</v>
      </c>
      <c r="P364" s="537">
        <v>44000</v>
      </c>
      <c r="Q364" s="537">
        <v>44012</v>
      </c>
      <c r="R364" s="1712" t="s">
        <v>333</v>
      </c>
      <c r="S364" s="1978"/>
      <c r="T364" s="536">
        <v>305567</v>
      </c>
      <c r="U364" s="536">
        <v>369736</v>
      </c>
      <c r="V364" s="1471"/>
      <c r="W364" s="1471"/>
      <c r="X364" s="1471"/>
      <c r="Y364" s="573">
        <v>44012</v>
      </c>
      <c r="Z364" s="536" t="s">
        <v>7125</v>
      </c>
      <c r="AA364" s="537">
        <v>44028</v>
      </c>
      <c r="AB364" s="537">
        <v>44035</v>
      </c>
      <c r="AC364" s="537">
        <v>44074</v>
      </c>
      <c r="AD364" s="537">
        <v>44179</v>
      </c>
      <c r="AE364" s="1102"/>
      <c r="AF364" s="360"/>
      <c r="AG364" s="360"/>
      <c r="AH364" s="360"/>
      <c r="AI364" s="360"/>
    </row>
    <row r="365" spans="1:45" ht="30">
      <c r="A365" s="1944"/>
      <c r="B365" s="1944"/>
      <c r="C365" s="537">
        <v>43873</v>
      </c>
      <c r="D365" s="1373" t="s">
        <v>6746</v>
      </c>
      <c r="E365" s="491" t="s">
        <v>2434</v>
      </c>
      <c r="F365" s="491" t="s">
        <v>3204</v>
      </c>
      <c r="G365" s="571" t="s">
        <v>6747</v>
      </c>
      <c r="H365" s="491">
        <v>1</v>
      </c>
      <c r="I365" s="495" t="s">
        <v>6748</v>
      </c>
      <c r="J365" s="491"/>
      <c r="K365" s="491" t="s">
        <v>6749</v>
      </c>
      <c r="L365" s="491"/>
      <c r="M365" s="536">
        <v>14446280</v>
      </c>
      <c r="N365" s="491" t="s">
        <v>251</v>
      </c>
      <c r="O365" s="537">
        <v>43991</v>
      </c>
      <c r="P365" s="537">
        <v>44039</v>
      </c>
      <c r="Q365" s="537">
        <v>44055</v>
      </c>
      <c r="R365" s="495" t="s">
        <v>2754</v>
      </c>
      <c r="S365" s="491"/>
      <c r="T365" s="536">
        <v>14446280</v>
      </c>
      <c r="U365" s="536">
        <v>17480000</v>
      </c>
      <c r="V365" s="1471"/>
      <c r="W365" s="1471"/>
      <c r="X365" s="1471"/>
      <c r="Y365" s="573">
        <v>44055</v>
      </c>
      <c r="Z365" s="1375" t="s">
        <v>7325</v>
      </c>
      <c r="AA365" s="537">
        <v>44075</v>
      </c>
      <c r="AB365" s="537">
        <v>44077</v>
      </c>
      <c r="AC365" s="537">
        <v>44804</v>
      </c>
      <c r="AD365" s="537">
        <v>44285</v>
      </c>
      <c r="AE365" s="537">
        <v>44641</v>
      </c>
      <c r="AF365" s="388" t="s">
        <v>7508</v>
      </c>
      <c r="AJ365" s="1944"/>
      <c r="AK365" s="1944"/>
      <c r="AL365" s="1944"/>
      <c r="AM365" s="1944"/>
      <c r="AN365" s="1944"/>
      <c r="AO365" s="1944"/>
      <c r="AP365" s="1944"/>
      <c r="AQ365" s="1944"/>
      <c r="AR365" s="1944"/>
      <c r="AS365" s="1944"/>
    </row>
    <row r="366" spans="1:45" ht="30">
      <c r="A366" s="1944"/>
      <c r="B366" s="1944"/>
      <c r="C366" s="537">
        <v>43873</v>
      </c>
      <c r="D366" s="1373" t="s">
        <v>6746</v>
      </c>
      <c r="E366" s="491" t="s">
        <v>2434</v>
      </c>
      <c r="F366" s="491" t="s">
        <v>3204</v>
      </c>
      <c r="G366" s="571" t="s">
        <v>6747</v>
      </c>
      <c r="H366" s="491">
        <v>2</v>
      </c>
      <c r="I366" s="495" t="s">
        <v>6750</v>
      </c>
      <c r="J366" s="491"/>
      <c r="K366" s="491" t="s">
        <v>6749</v>
      </c>
      <c r="L366" s="491"/>
      <c r="M366" s="536">
        <v>1454546</v>
      </c>
      <c r="N366" s="491" t="s">
        <v>251</v>
      </c>
      <c r="O366" s="537">
        <v>43991</v>
      </c>
      <c r="P366" s="537">
        <v>44039</v>
      </c>
      <c r="Q366" s="537">
        <v>44055</v>
      </c>
      <c r="R366" s="495" t="s">
        <v>2754</v>
      </c>
      <c r="S366" s="491"/>
      <c r="T366" s="536">
        <v>1454545.45</v>
      </c>
      <c r="U366" s="536">
        <v>1760000</v>
      </c>
      <c r="V366" s="1471"/>
      <c r="W366" s="1471"/>
      <c r="X366" s="1471"/>
      <c r="Y366" s="573">
        <v>44055</v>
      </c>
      <c r="Z366" s="1375" t="s">
        <v>7326</v>
      </c>
      <c r="AA366" s="537">
        <v>44075</v>
      </c>
      <c r="AB366" s="537">
        <v>44077</v>
      </c>
      <c r="AC366" s="537">
        <v>44804</v>
      </c>
      <c r="AD366" s="537">
        <v>44285</v>
      </c>
      <c r="AE366" s="537">
        <v>44641</v>
      </c>
      <c r="AF366" s="388" t="s">
        <v>7508</v>
      </c>
      <c r="AJ366" s="1944"/>
      <c r="AK366" s="1944"/>
      <c r="AL366" s="1944"/>
      <c r="AM366" s="1944"/>
      <c r="AN366" s="1944"/>
      <c r="AO366" s="1944"/>
      <c r="AP366" s="1944"/>
      <c r="AQ366" s="1944"/>
      <c r="AR366" s="1944"/>
      <c r="AS366" s="1944"/>
    </row>
    <row r="367" spans="1:45">
      <c r="A367" s="1944"/>
      <c r="B367" s="1944"/>
      <c r="C367" s="537">
        <v>43948</v>
      </c>
      <c r="D367" s="1373" t="s">
        <v>6751</v>
      </c>
      <c r="E367" s="491" t="s">
        <v>14</v>
      </c>
      <c r="F367" s="491" t="s">
        <v>1753</v>
      </c>
      <c r="G367" s="571" t="s">
        <v>6752</v>
      </c>
      <c r="H367" s="491"/>
      <c r="I367" s="495"/>
      <c r="J367" s="491"/>
      <c r="K367" s="491" t="s">
        <v>4269</v>
      </c>
      <c r="L367" s="491" t="s">
        <v>6753</v>
      </c>
      <c r="M367" s="536">
        <v>5500000</v>
      </c>
      <c r="N367" s="491" t="s">
        <v>251</v>
      </c>
      <c r="O367" s="537">
        <v>43951</v>
      </c>
      <c r="P367" s="537">
        <v>43969</v>
      </c>
      <c r="Q367" s="537">
        <v>43971</v>
      </c>
      <c r="R367" s="495" t="s">
        <v>333</v>
      </c>
      <c r="S367" s="491"/>
      <c r="T367" s="536">
        <v>5493988.2699999996</v>
      </c>
      <c r="U367" s="536">
        <v>6647728.8099999996</v>
      </c>
      <c r="V367" s="1471"/>
      <c r="W367" s="1471"/>
      <c r="X367" s="1471"/>
      <c r="Y367" s="573">
        <v>43971</v>
      </c>
      <c r="Z367" s="536" t="s">
        <v>6859</v>
      </c>
      <c r="AA367" s="537">
        <v>43994</v>
      </c>
      <c r="AB367" s="537">
        <v>43998</v>
      </c>
      <c r="AC367" s="537">
        <f>AA367+40</f>
        <v>44034</v>
      </c>
      <c r="AD367" s="537">
        <v>44116</v>
      </c>
      <c r="AE367" s="1102"/>
      <c r="AJ367" s="1944"/>
      <c r="AK367" s="1944"/>
      <c r="AL367" s="1944"/>
      <c r="AM367" s="1944"/>
      <c r="AN367" s="1944"/>
      <c r="AO367" s="1944"/>
      <c r="AP367" s="1944"/>
      <c r="AQ367" s="1944"/>
      <c r="AR367" s="1944"/>
      <c r="AS367" s="1944"/>
    </row>
    <row r="368" spans="1:45" ht="30">
      <c r="A368" s="1944"/>
      <c r="B368" s="1944"/>
      <c r="C368" s="537">
        <v>43948</v>
      </c>
      <c r="D368" s="1373" t="s">
        <v>6768</v>
      </c>
      <c r="E368" s="491" t="s">
        <v>2434</v>
      </c>
      <c r="F368" s="491" t="s">
        <v>3204</v>
      </c>
      <c r="G368" s="571" t="s">
        <v>6769</v>
      </c>
      <c r="H368" s="491"/>
      <c r="I368" s="495"/>
      <c r="J368" s="491"/>
      <c r="K368" s="491" t="s">
        <v>642</v>
      </c>
      <c r="L368" s="491"/>
      <c r="M368" s="536">
        <v>862920</v>
      </c>
      <c r="N368" s="491" t="s">
        <v>112</v>
      </c>
      <c r="O368" s="537">
        <v>43964</v>
      </c>
      <c r="P368" s="537">
        <v>43977</v>
      </c>
      <c r="Q368" s="537">
        <v>44000</v>
      </c>
      <c r="R368" s="495" t="s">
        <v>1433</v>
      </c>
      <c r="S368" s="491"/>
      <c r="T368" s="536">
        <v>1075320</v>
      </c>
      <c r="U368" s="536">
        <v>1301137.2</v>
      </c>
      <c r="V368" s="1471"/>
      <c r="W368" s="1471"/>
      <c r="X368" s="1471"/>
      <c r="Y368" s="573">
        <v>44000</v>
      </c>
      <c r="Z368" s="1375" t="s">
        <v>7043</v>
      </c>
      <c r="AA368" s="537">
        <v>44029</v>
      </c>
      <c r="AB368" s="537">
        <v>44033</v>
      </c>
      <c r="AC368" s="537">
        <v>44758</v>
      </c>
      <c r="AD368" s="537">
        <v>44285</v>
      </c>
      <c r="AE368" s="537">
        <v>44641</v>
      </c>
      <c r="AF368" s="388" t="s">
        <v>7178</v>
      </c>
      <c r="AJ368" s="1944"/>
      <c r="AK368" s="1944"/>
      <c r="AL368" s="1944"/>
      <c r="AM368" s="1944"/>
      <c r="AN368" s="1944"/>
      <c r="AO368" s="1944"/>
      <c r="AP368" s="1944"/>
      <c r="AQ368" s="1944"/>
      <c r="AR368" s="1944"/>
      <c r="AS368" s="1944"/>
    </row>
    <row r="369" spans="1:45">
      <c r="A369" s="1944"/>
      <c r="B369" s="1944"/>
      <c r="C369" s="537">
        <v>43941</v>
      </c>
      <c r="D369" s="1373" t="s">
        <v>6770</v>
      </c>
      <c r="E369" s="491" t="s">
        <v>1032</v>
      </c>
      <c r="F369" s="491" t="s">
        <v>361</v>
      </c>
      <c r="G369" s="571" t="s">
        <v>6771</v>
      </c>
      <c r="H369" s="491"/>
      <c r="I369" s="495"/>
      <c r="J369" s="491"/>
      <c r="K369" s="491" t="s">
        <v>4287</v>
      </c>
      <c r="L369" s="491"/>
      <c r="M369" s="536">
        <v>6000000</v>
      </c>
      <c r="N369" s="491" t="s">
        <v>251</v>
      </c>
      <c r="O369" s="537">
        <v>43964</v>
      </c>
      <c r="P369" s="537">
        <v>43999</v>
      </c>
      <c r="Q369" s="537">
        <v>44007</v>
      </c>
      <c r="R369" s="495" t="s">
        <v>7066</v>
      </c>
      <c r="S369" s="491"/>
      <c r="T369" s="536">
        <v>4959300</v>
      </c>
      <c r="U369" s="536">
        <v>6000753</v>
      </c>
      <c r="V369" s="1471"/>
      <c r="W369" s="1471"/>
      <c r="X369" s="1471"/>
      <c r="Y369" s="573">
        <v>44007</v>
      </c>
      <c r="Z369" s="536" t="s">
        <v>7073</v>
      </c>
      <c r="AA369" s="537">
        <v>44060</v>
      </c>
      <c r="AB369" s="537">
        <v>44069</v>
      </c>
      <c r="AC369" s="537">
        <v>45520</v>
      </c>
      <c r="AD369" s="537">
        <v>44278</v>
      </c>
      <c r="AE369" s="537">
        <v>44643</v>
      </c>
      <c r="AF369" s="388">
        <v>2022</v>
      </c>
      <c r="AG369" s="388">
        <v>2023</v>
      </c>
      <c r="AH369" s="388" t="s">
        <v>7346</v>
      </c>
      <c r="AJ369" s="1944"/>
      <c r="AK369" s="1944"/>
      <c r="AL369" s="1944"/>
      <c r="AM369" s="1944"/>
      <c r="AN369" s="1944"/>
      <c r="AO369" s="1944"/>
      <c r="AP369" s="1944"/>
      <c r="AQ369" s="1944"/>
      <c r="AR369" s="1944"/>
      <c r="AS369" s="1944"/>
    </row>
    <row r="370" spans="1:45">
      <c r="A370" s="1944"/>
      <c r="B370" s="1944"/>
      <c r="C370" s="537">
        <v>43955</v>
      </c>
      <c r="D370" s="1373" t="s">
        <v>6774</v>
      </c>
      <c r="E370" s="491" t="s">
        <v>289</v>
      </c>
      <c r="F370" s="491" t="s">
        <v>6509</v>
      </c>
      <c r="G370" s="2517" t="s">
        <v>4843</v>
      </c>
      <c r="H370" s="491"/>
      <c r="I370" s="495"/>
      <c r="J370" s="491"/>
      <c r="K370" s="491" t="s">
        <v>662</v>
      </c>
      <c r="L370" s="491"/>
      <c r="M370" s="536">
        <v>400000</v>
      </c>
      <c r="N370" s="491" t="s">
        <v>112</v>
      </c>
      <c r="O370" s="537">
        <v>43965</v>
      </c>
      <c r="P370" s="537">
        <v>43979</v>
      </c>
      <c r="Q370" s="537">
        <v>43984</v>
      </c>
      <c r="R370" s="495" t="s">
        <v>6898</v>
      </c>
      <c r="S370" s="491"/>
      <c r="T370" s="536">
        <v>426300</v>
      </c>
      <c r="U370" s="536">
        <v>515823</v>
      </c>
      <c r="V370" s="1471"/>
      <c r="W370" s="1471"/>
      <c r="X370" s="1471"/>
      <c r="Y370" s="573">
        <v>43984</v>
      </c>
      <c r="Z370" s="536" t="s">
        <v>6918</v>
      </c>
      <c r="AA370" s="537">
        <v>44019</v>
      </c>
      <c r="AB370" s="537">
        <v>44026</v>
      </c>
      <c r="AC370" s="537">
        <v>44748</v>
      </c>
      <c r="AD370" s="1525">
        <v>44698</v>
      </c>
      <c r="AE370" s="1351"/>
      <c r="AJ370" s="1944"/>
      <c r="AK370" s="1944"/>
      <c r="AL370" s="1944"/>
      <c r="AM370" s="1944"/>
      <c r="AN370" s="1944"/>
      <c r="AO370" s="1944"/>
      <c r="AP370" s="1944"/>
      <c r="AQ370" s="1944"/>
      <c r="AR370" s="1944"/>
      <c r="AS370" s="1944"/>
    </row>
    <row r="371" spans="1:45">
      <c r="A371" s="1944"/>
      <c r="B371" s="1944"/>
      <c r="C371" s="510">
        <v>43951</v>
      </c>
      <c r="D371" s="1382" t="s">
        <v>6775</v>
      </c>
      <c r="E371" s="506" t="s">
        <v>14</v>
      </c>
      <c r="F371" s="506" t="s">
        <v>13</v>
      </c>
      <c r="G371" s="507" t="s">
        <v>6776</v>
      </c>
      <c r="H371" s="506"/>
      <c r="I371" s="548"/>
      <c r="J371" s="590"/>
      <c r="K371" s="506" t="s">
        <v>2055</v>
      </c>
      <c r="L371" s="506" t="s">
        <v>3566</v>
      </c>
      <c r="M371" s="511">
        <v>945000</v>
      </c>
      <c r="N371" s="506" t="s">
        <v>112</v>
      </c>
      <c r="O371" s="510">
        <v>43978</v>
      </c>
      <c r="P371" s="510">
        <v>43993</v>
      </c>
      <c r="Q371" s="506"/>
      <c r="R371" s="736" t="s">
        <v>7038</v>
      </c>
      <c r="S371" s="1978" t="s">
        <v>7379</v>
      </c>
      <c r="T371" s="511"/>
      <c r="U371" s="511"/>
      <c r="V371" s="1484"/>
      <c r="W371" s="1484"/>
      <c r="X371" s="1484"/>
      <c r="Y371" s="511"/>
      <c r="Z371" s="511"/>
      <c r="AA371" s="506"/>
      <c r="AB371" s="510">
        <v>44000</v>
      </c>
      <c r="AC371" s="506"/>
      <c r="AD371" s="506"/>
      <c r="AE371" s="506"/>
      <c r="AJ371" s="1944"/>
      <c r="AK371" s="1944"/>
      <c r="AL371" s="1944"/>
      <c r="AM371" s="1944"/>
      <c r="AN371" s="1944"/>
      <c r="AO371" s="1944"/>
      <c r="AP371" s="1944"/>
      <c r="AQ371" s="1944"/>
      <c r="AR371" s="1944"/>
      <c r="AS371" s="1944"/>
    </row>
    <row r="372" spans="1:45" ht="30">
      <c r="A372" s="1944"/>
      <c r="B372" s="1944"/>
      <c r="C372" s="537" t="s">
        <v>3585</v>
      </c>
      <c r="D372" s="1373" t="s">
        <v>6781</v>
      </c>
      <c r="E372" s="491" t="s">
        <v>2020</v>
      </c>
      <c r="F372" s="491" t="s">
        <v>6206</v>
      </c>
      <c r="G372" s="571" t="s">
        <v>6782</v>
      </c>
      <c r="H372" s="491"/>
      <c r="I372" s="495"/>
      <c r="J372" s="491"/>
      <c r="K372" s="491" t="s">
        <v>6209</v>
      </c>
      <c r="L372" s="491" t="s">
        <v>4244</v>
      </c>
      <c r="M372" s="536">
        <v>23494497.559999999</v>
      </c>
      <c r="N372" s="491" t="s">
        <v>251</v>
      </c>
      <c r="O372" s="537">
        <v>43986</v>
      </c>
      <c r="P372" s="537">
        <v>44019</v>
      </c>
      <c r="Q372" s="537">
        <v>44035</v>
      </c>
      <c r="R372" s="495" t="s">
        <v>2780</v>
      </c>
      <c r="S372" s="491"/>
      <c r="T372" s="536">
        <v>12133448</v>
      </c>
      <c r="U372" s="536">
        <f>T372*1.21</f>
        <v>14681472.08</v>
      </c>
      <c r="V372" s="1471"/>
      <c r="W372" s="1471"/>
      <c r="X372" s="1471"/>
      <c r="Y372" s="573">
        <v>44035</v>
      </c>
      <c r="Z372" s="1375" t="s">
        <v>7200</v>
      </c>
      <c r="AA372" s="537">
        <v>44057</v>
      </c>
      <c r="AB372" s="537">
        <v>44057</v>
      </c>
      <c r="AC372" s="537">
        <v>44148</v>
      </c>
      <c r="AD372" s="537">
        <v>44200</v>
      </c>
      <c r="AE372" s="1374" t="s">
        <v>1875</v>
      </c>
      <c r="AJ372" s="1944"/>
      <c r="AK372" s="1944"/>
      <c r="AL372" s="1944"/>
      <c r="AM372" s="1944"/>
      <c r="AN372" s="1944"/>
      <c r="AO372" s="1944"/>
      <c r="AP372" s="1944"/>
      <c r="AQ372" s="1944"/>
      <c r="AR372" s="1944"/>
      <c r="AS372" s="1944"/>
    </row>
    <row r="373" spans="1:45" ht="30.75" thickBot="1">
      <c r="A373" s="1944"/>
      <c r="B373" s="1944"/>
      <c r="C373" s="416">
        <v>43950</v>
      </c>
      <c r="D373" s="1468" t="s">
        <v>6783</v>
      </c>
      <c r="E373" s="411" t="s">
        <v>58</v>
      </c>
      <c r="F373" s="411" t="s">
        <v>2684</v>
      </c>
      <c r="G373" s="412" t="s">
        <v>6784</v>
      </c>
      <c r="H373" s="411"/>
      <c r="I373" s="630"/>
      <c r="J373" s="411"/>
      <c r="K373" s="411" t="s">
        <v>1950</v>
      </c>
      <c r="L373" s="411" t="s">
        <v>6785</v>
      </c>
      <c r="M373" s="417">
        <v>489000</v>
      </c>
      <c r="N373" s="411" t="s">
        <v>112</v>
      </c>
      <c r="O373" s="416">
        <v>43963</v>
      </c>
      <c r="P373" s="416">
        <v>43973</v>
      </c>
      <c r="Q373" s="416">
        <v>43979</v>
      </c>
      <c r="R373" s="630" t="s">
        <v>1888</v>
      </c>
      <c r="S373" s="411"/>
      <c r="T373" s="417">
        <v>480200</v>
      </c>
      <c r="U373" s="417">
        <v>581042</v>
      </c>
      <c r="V373" s="1480"/>
      <c r="W373" s="1480"/>
      <c r="X373" s="1480"/>
      <c r="Y373" s="513">
        <v>43980</v>
      </c>
      <c r="Z373" s="1553" t="s">
        <v>6896</v>
      </c>
      <c r="AA373" s="416">
        <v>43990</v>
      </c>
      <c r="AB373" s="416">
        <v>43991</v>
      </c>
      <c r="AC373" s="416">
        <f>AA373+42</f>
        <v>44032</v>
      </c>
      <c r="AD373" s="416">
        <v>44060</v>
      </c>
      <c r="AE373" s="422" t="s">
        <v>1875</v>
      </c>
      <c r="AJ373" s="1944"/>
      <c r="AK373" s="1944"/>
      <c r="AL373" s="1944"/>
      <c r="AM373" s="1944"/>
      <c r="AN373" s="1944"/>
      <c r="AO373" s="1944"/>
      <c r="AP373" s="1944"/>
      <c r="AQ373" s="1944"/>
      <c r="AR373" s="1944"/>
      <c r="AS373" s="1944"/>
    </row>
    <row r="374" spans="1:45" ht="15.75" thickTop="1">
      <c r="A374" s="1944"/>
      <c r="B374" s="1944"/>
      <c r="C374" s="443">
        <v>43956</v>
      </c>
      <c r="D374" s="1415" t="s">
        <v>6788</v>
      </c>
      <c r="E374" s="439" t="s">
        <v>69</v>
      </c>
      <c r="F374" s="439" t="s">
        <v>70</v>
      </c>
      <c r="G374" s="440" t="s">
        <v>6809</v>
      </c>
      <c r="H374" s="439">
        <v>1</v>
      </c>
      <c r="I374" s="1431" t="s">
        <v>6104</v>
      </c>
      <c r="J374" s="439"/>
      <c r="K374" s="439" t="s">
        <v>3435</v>
      </c>
      <c r="L374" s="439"/>
      <c r="M374" s="444">
        <v>3127212</v>
      </c>
      <c r="N374" s="439" t="s">
        <v>251</v>
      </c>
      <c r="O374" s="443">
        <v>43966</v>
      </c>
      <c r="P374" s="443">
        <v>44056</v>
      </c>
      <c r="Q374" s="439"/>
      <c r="R374" s="753" t="s">
        <v>304</v>
      </c>
      <c r="S374" s="538" t="s">
        <v>7389</v>
      </c>
      <c r="T374" s="444"/>
      <c r="U374" s="444"/>
      <c r="V374" s="1481"/>
      <c r="W374" s="1481"/>
      <c r="X374" s="1481"/>
      <c r="Y374" s="444"/>
      <c r="Z374" s="444"/>
      <c r="AA374" s="439"/>
      <c r="AB374" s="443">
        <v>44062</v>
      </c>
      <c r="AC374" s="1431" t="s">
        <v>7373</v>
      </c>
      <c r="AD374" s="439"/>
      <c r="AE374" s="439"/>
      <c r="AJ374" s="1944"/>
      <c r="AK374" s="1944"/>
      <c r="AL374" s="1944"/>
      <c r="AM374" s="1944"/>
      <c r="AN374" s="1944"/>
      <c r="AO374" s="1944"/>
      <c r="AP374" s="1944"/>
      <c r="AQ374" s="1944"/>
      <c r="AR374" s="1944"/>
      <c r="AS374" s="1944"/>
    </row>
    <row r="375" spans="1:45">
      <c r="A375" s="1944"/>
      <c r="B375" s="1944"/>
      <c r="C375" s="537">
        <v>43956</v>
      </c>
      <c r="D375" s="1373" t="s">
        <v>6788</v>
      </c>
      <c r="E375" s="491" t="s">
        <v>69</v>
      </c>
      <c r="F375" s="491" t="s">
        <v>70</v>
      </c>
      <c r="G375" s="571" t="s">
        <v>6809</v>
      </c>
      <c r="H375" s="491">
        <v>2</v>
      </c>
      <c r="I375" s="495" t="s">
        <v>6789</v>
      </c>
      <c r="J375" s="491"/>
      <c r="K375" s="491" t="s">
        <v>3435</v>
      </c>
      <c r="L375" s="491"/>
      <c r="M375" s="536">
        <v>11918478</v>
      </c>
      <c r="N375" s="491" t="s">
        <v>251</v>
      </c>
      <c r="O375" s="537">
        <v>43966</v>
      </c>
      <c r="P375" s="537">
        <v>44056</v>
      </c>
      <c r="Q375" s="537">
        <v>44111</v>
      </c>
      <c r="R375" s="495" t="s">
        <v>2548</v>
      </c>
      <c r="S375" s="491"/>
      <c r="T375" s="536">
        <v>11805472.5</v>
      </c>
      <c r="U375" s="536">
        <v>12986019.75</v>
      </c>
      <c r="V375" s="1471"/>
      <c r="W375" s="1471"/>
      <c r="X375" s="1471"/>
      <c r="Y375" s="573">
        <v>44111</v>
      </c>
      <c r="Z375" s="536" t="s">
        <v>7725</v>
      </c>
      <c r="AA375" s="537">
        <v>44139</v>
      </c>
      <c r="AB375" s="537">
        <v>44154</v>
      </c>
      <c r="AC375" s="537">
        <v>45233</v>
      </c>
      <c r="AD375" s="537">
        <v>44279</v>
      </c>
      <c r="AE375" s="537">
        <v>44645</v>
      </c>
      <c r="AF375" s="388">
        <v>2022</v>
      </c>
      <c r="AG375" s="388" t="s">
        <v>7864</v>
      </c>
      <c r="AJ375" s="1944"/>
      <c r="AK375" s="1944"/>
      <c r="AL375" s="1944"/>
      <c r="AM375" s="1944"/>
      <c r="AN375" s="1944"/>
      <c r="AO375" s="1944"/>
      <c r="AP375" s="1944"/>
      <c r="AQ375" s="1944"/>
      <c r="AR375" s="1944"/>
      <c r="AS375" s="1944"/>
    </row>
    <row r="376" spans="1:45">
      <c r="A376" s="1944"/>
      <c r="B376" s="1944"/>
      <c r="C376" s="510">
        <v>43956</v>
      </c>
      <c r="D376" s="1382" t="s">
        <v>6788</v>
      </c>
      <c r="E376" s="506" t="s">
        <v>69</v>
      </c>
      <c r="F376" s="506" t="s">
        <v>70</v>
      </c>
      <c r="G376" s="507" t="s">
        <v>6809</v>
      </c>
      <c r="H376" s="506">
        <v>3</v>
      </c>
      <c r="I376" s="548" t="s">
        <v>6790</v>
      </c>
      <c r="J376" s="506"/>
      <c r="K376" s="506" t="s">
        <v>3435</v>
      </c>
      <c r="L376" s="506"/>
      <c r="M376" s="511">
        <v>8792088</v>
      </c>
      <c r="N376" s="506" t="s">
        <v>251</v>
      </c>
      <c r="O376" s="510">
        <v>43966</v>
      </c>
      <c r="P376" s="510">
        <v>44056</v>
      </c>
      <c r="Q376" s="506"/>
      <c r="R376" s="736" t="s">
        <v>7334</v>
      </c>
      <c r="S376" s="514" t="s">
        <v>7389</v>
      </c>
      <c r="T376" s="511"/>
      <c r="U376" s="511"/>
      <c r="V376" s="1470"/>
      <c r="W376" s="1470"/>
      <c r="X376" s="1470"/>
      <c r="Y376" s="511"/>
      <c r="Z376" s="511"/>
      <c r="AA376" s="506"/>
      <c r="AB376" s="510">
        <v>44062</v>
      </c>
      <c r="AC376" s="548" t="s">
        <v>7373</v>
      </c>
      <c r="AD376" s="506"/>
      <c r="AE376" s="506"/>
      <c r="AJ376" s="1944"/>
      <c r="AK376" s="1944"/>
      <c r="AL376" s="1944"/>
      <c r="AM376" s="1944"/>
      <c r="AN376" s="1944"/>
      <c r="AO376" s="1944"/>
      <c r="AP376" s="1944"/>
      <c r="AQ376" s="1944"/>
      <c r="AR376" s="1944"/>
      <c r="AS376" s="1944"/>
    </row>
    <row r="377" spans="1:45">
      <c r="A377" s="1944"/>
      <c r="B377" s="1944"/>
      <c r="C377" s="537">
        <v>43956</v>
      </c>
      <c r="D377" s="1373" t="s">
        <v>6788</v>
      </c>
      <c r="E377" s="491" t="s">
        <v>69</v>
      </c>
      <c r="F377" s="491" t="s">
        <v>70</v>
      </c>
      <c r="G377" s="571" t="s">
        <v>6809</v>
      </c>
      <c r="H377" s="491">
        <v>4</v>
      </c>
      <c r="I377" s="495" t="s">
        <v>6791</v>
      </c>
      <c r="J377" s="491"/>
      <c r="K377" s="491" t="s">
        <v>3435</v>
      </c>
      <c r="L377" s="491"/>
      <c r="M377" s="536">
        <v>6916307</v>
      </c>
      <c r="N377" s="491" t="s">
        <v>251</v>
      </c>
      <c r="O377" s="537">
        <v>43966</v>
      </c>
      <c r="P377" s="537">
        <v>44056</v>
      </c>
      <c r="Q377" s="537">
        <v>44111</v>
      </c>
      <c r="R377" s="495" t="s">
        <v>6605</v>
      </c>
      <c r="S377" s="491"/>
      <c r="T377" s="536">
        <v>6916305.7800000003</v>
      </c>
      <c r="U377" s="536">
        <v>7607936.3600000003</v>
      </c>
      <c r="V377" s="1471"/>
      <c r="W377" s="1471"/>
      <c r="X377" s="1471"/>
      <c r="Y377" s="573">
        <v>44111</v>
      </c>
      <c r="Z377" s="536" t="s">
        <v>7726</v>
      </c>
      <c r="AA377" s="537">
        <v>44148</v>
      </c>
      <c r="AB377" s="537">
        <v>44154</v>
      </c>
      <c r="AC377" s="537">
        <v>45242</v>
      </c>
      <c r="AD377" s="537">
        <v>44279</v>
      </c>
      <c r="AE377" s="537">
        <v>44645</v>
      </c>
      <c r="AF377" s="388">
        <v>2022</v>
      </c>
      <c r="AG377" s="388" t="s">
        <v>7918</v>
      </c>
      <c r="AJ377" s="1944"/>
      <c r="AK377" s="1944"/>
      <c r="AL377" s="1944"/>
      <c r="AM377" s="1944"/>
      <c r="AN377" s="1944"/>
      <c r="AO377" s="1944"/>
      <c r="AP377" s="1944"/>
      <c r="AQ377" s="1944"/>
      <c r="AR377" s="1944"/>
      <c r="AS377" s="1944"/>
    </row>
    <row r="378" spans="1:45" ht="15.75" thickBot="1">
      <c r="A378" s="1944"/>
      <c r="B378" s="1944"/>
      <c r="C378" s="1380">
        <v>43956</v>
      </c>
      <c r="D378" s="1377" t="s">
        <v>6788</v>
      </c>
      <c r="E378" s="1376" t="s">
        <v>69</v>
      </c>
      <c r="F378" s="1376" t="s">
        <v>70</v>
      </c>
      <c r="G378" s="1378" t="s">
        <v>6809</v>
      </c>
      <c r="H378" s="1376">
        <v>5</v>
      </c>
      <c r="I378" s="1421" t="s">
        <v>6105</v>
      </c>
      <c r="J378" s="1376"/>
      <c r="K378" s="1376" t="s">
        <v>3435</v>
      </c>
      <c r="L378" s="1376"/>
      <c r="M378" s="1379">
        <v>1899087</v>
      </c>
      <c r="N378" s="1376" t="s">
        <v>251</v>
      </c>
      <c r="O378" s="1380">
        <v>43966</v>
      </c>
      <c r="P378" s="1380">
        <v>44056</v>
      </c>
      <c r="Q378" s="1380">
        <v>44111</v>
      </c>
      <c r="R378" s="1421" t="s">
        <v>576</v>
      </c>
      <c r="S378" s="1376"/>
      <c r="T378" s="1379">
        <v>1582576.2</v>
      </c>
      <c r="U378" s="1379">
        <v>1740833.82</v>
      </c>
      <c r="V378" s="1475"/>
      <c r="W378" s="1475"/>
      <c r="X378" s="1475"/>
      <c r="Y378" s="1388">
        <v>44111</v>
      </c>
      <c r="Z378" s="1379" t="s">
        <v>7727</v>
      </c>
      <c r="AA378" s="1380">
        <v>44139</v>
      </c>
      <c r="AB378" s="1380">
        <v>44154</v>
      </c>
      <c r="AC378" s="1380">
        <v>45233</v>
      </c>
      <c r="AD378" s="416">
        <v>44279</v>
      </c>
      <c r="AE378" s="416">
        <v>44645</v>
      </c>
      <c r="AF378" s="388">
        <v>2022</v>
      </c>
      <c r="AG378" s="388" t="s">
        <v>7864</v>
      </c>
      <c r="AJ378" s="1944"/>
      <c r="AK378" s="1944"/>
      <c r="AL378" s="1944"/>
      <c r="AM378" s="1944"/>
      <c r="AN378" s="1944"/>
      <c r="AO378" s="1944"/>
      <c r="AP378" s="1944"/>
      <c r="AQ378" s="1944"/>
      <c r="AR378" s="1944"/>
      <c r="AS378" s="1944"/>
    </row>
    <row r="379" spans="1:45" ht="15.75" thickTop="1">
      <c r="A379" s="1944"/>
      <c r="B379" s="1944"/>
      <c r="C379" s="474">
        <v>43956</v>
      </c>
      <c r="D379" s="1383" t="s">
        <v>6798</v>
      </c>
      <c r="E379" s="453" t="s">
        <v>69</v>
      </c>
      <c r="F379" s="453" t="s">
        <v>70</v>
      </c>
      <c r="G379" s="473" t="s">
        <v>6797</v>
      </c>
      <c r="H379" s="453">
        <v>1</v>
      </c>
      <c r="I379" s="1420" t="s">
        <v>6792</v>
      </c>
      <c r="J379" s="453"/>
      <c r="K379" s="453" t="s">
        <v>2418</v>
      </c>
      <c r="L379" s="453"/>
      <c r="M379" s="457">
        <v>2141062</v>
      </c>
      <c r="N379" s="453" t="s">
        <v>251</v>
      </c>
      <c r="O379" s="474">
        <v>43966</v>
      </c>
      <c r="P379" s="474">
        <v>44001</v>
      </c>
      <c r="Q379" s="474">
        <v>44021</v>
      </c>
      <c r="R379" s="1420" t="s">
        <v>7130</v>
      </c>
      <c r="S379" s="453"/>
      <c r="T379" s="457">
        <v>2123053.5</v>
      </c>
      <c r="U379" s="457">
        <v>2335358.85</v>
      </c>
      <c r="V379" s="1474"/>
      <c r="W379" s="1474"/>
      <c r="X379" s="1474"/>
      <c r="Y379" s="570">
        <v>44025</v>
      </c>
      <c r="Z379" s="457" t="s">
        <v>7126</v>
      </c>
      <c r="AA379" s="474">
        <v>44070</v>
      </c>
      <c r="AB379" s="474">
        <v>44077</v>
      </c>
      <c r="AC379" s="474">
        <v>45164</v>
      </c>
      <c r="AD379" s="537">
        <v>44279</v>
      </c>
      <c r="AE379" s="537">
        <v>44645</v>
      </c>
      <c r="AF379" s="1374">
        <v>2022</v>
      </c>
      <c r="AG379" s="1374" t="s">
        <v>7458</v>
      </c>
      <c r="AJ379" s="1944"/>
      <c r="AK379" s="1944"/>
      <c r="AL379" s="1944"/>
      <c r="AM379" s="1944"/>
      <c r="AN379" s="1944"/>
      <c r="AO379" s="1944"/>
      <c r="AP379" s="1944"/>
      <c r="AQ379" s="1944"/>
      <c r="AR379" s="1944"/>
      <c r="AS379" s="1944"/>
    </row>
    <row r="380" spans="1:45">
      <c r="A380" s="1944"/>
      <c r="B380" s="1944"/>
      <c r="C380" s="510">
        <v>43956</v>
      </c>
      <c r="D380" s="1382" t="s">
        <v>6798</v>
      </c>
      <c r="E380" s="506" t="s">
        <v>69</v>
      </c>
      <c r="F380" s="506" t="s">
        <v>70</v>
      </c>
      <c r="G380" s="507" t="s">
        <v>6797</v>
      </c>
      <c r="H380" s="506">
        <v>2</v>
      </c>
      <c r="I380" s="548" t="s">
        <v>6793</v>
      </c>
      <c r="J380" s="506"/>
      <c r="K380" s="506" t="s">
        <v>2418</v>
      </c>
      <c r="L380" s="506"/>
      <c r="M380" s="511">
        <v>597993</v>
      </c>
      <c r="N380" s="506" t="s">
        <v>251</v>
      </c>
      <c r="O380" s="510">
        <v>43966</v>
      </c>
      <c r="P380" s="510">
        <v>44001</v>
      </c>
      <c r="Q380" s="506"/>
      <c r="R380" s="736" t="s">
        <v>3477</v>
      </c>
      <c r="S380" s="506"/>
      <c r="T380" s="511"/>
      <c r="U380" s="511"/>
      <c r="V380" s="1470"/>
      <c r="W380" s="1470"/>
      <c r="X380" s="1470"/>
      <c r="Y380" s="511"/>
      <c r="Z380" s="511"/>
      <c r="AA380" s="506"/>
      <c r="AB380" s="510">
        <v>44040</v>
      </c>
      <c r="AC380" s="506" t="s">
        <v>7101</v>
      </c>
      <c r="AD380" s="506"/>
      <c r="AE380" s="506"/>
      <c r="AF380" s="1102"/>
      <c r="AG380" s="1102"/>
      <c r="AJ380" s="1944"/>
      <c r="AK380" s="1944"/>
      <c r="AL380" s="1944"/>
      <c r="AM380" s="1944"/>
      <c r="AN380" s="1944"/>
      <c r="AO380" s="1944"/>
      <c r="AP380" s="1944"/>
      <c r="AQ380" s="1944"/>
      <c r="AR380" s="1944"/>
      <c r="AS380" s="1944"/>
    </row>
    <row r="381" spans="1:45">
      <c r="A381" s="1944"/>
      <c r="B381" s="1944"/>
      <c r="C381" s="537">
        <v>43956</v>
      </c>
      <c r="D381" s="1373" t="s">
        <v>6798</v>
      </c>
      <c r="E381" s="491" t="s">
        <v>69</v>
      </c>
      <c r="F381" s="491" t="s">
        <v>70</v>
      </c>
      <c r="G381" s="571" t="s">
        <v>6797</v>
      </c>
      <c r="H381" s="491">
        <v>3</v>
      </c>
      <c r="I381" s="495" t="s">
        <v>6794</v>
      </c>
      <c r="J381" s="491"/>
      <c r="K381" s="491" t="s">
        <v>2418</v>
      </c>
      <c r="L381" s="491"/>
      <c r="M381" s="536">
        <v>3276624</v>
      </c>
      <c r="N381" s="491" t="s">
        <v>251</v>
      </c>
      <c r="O381" s="537">
        <v>43966</v>
      </c>
      <c r="P381" s="537">
        <v>44001</v>
      </c>
      <c r="Q381" s="537">
        <v>44021</v>
      </c>
      <c r="R381" s="495" t="s">
        <v>1319</v>
      </c>
      <c r="S381" s="491"/>
      <c r="T381" s="536">
        <v>3276624</v>
      </c>
      <c r="U381" s="536">
        <v>3604286.4</v>
      </c>
      <c r="V381" s="1471"/>
      <c r="W381" s="1471"/>
      <c r="X381" s="1471"/>
      <c r="Y381" s="573">
        <v>44025</v>
      </c>
      <c r="Z381" s="536" t="s">
        <v>7127</v>
      </c>
      <c r="AA381" s="537">
        <v>44060</v>
      </c>
      <c r="AB381" s="537">
        <v>44077</v>
      </c>
      <c r="AC381" s="537">
        <v>45154</v>
      </c>
      <c r="AD381" s="537">
        <v>44279</v>
      </c>
      <c r="AE381" s="537">
        <v>44645</v>
      </c>
      <c r="AF381" s="1374">
        <v>2022</v>
      </c>
      <c r="AG381" s="1374" t="s">
        <v>7356</v>
      </c>
      <c r="AJ381" s="1944"/>
      <c r="AK381" s="1944"/>
      <c r="AL381" s="1944"/>
      <c r="AM381" s="1944"/>
      <c r="AN381" s="1944"/>
      <c r="AO381" s="1944"/>
      <c r="AP381" s="1944"/>
      <c r="AQ381" s="1944"/>
      <c r="AR381" s="1944"/>
      <c r="AS381" s="1944"/>
    </row>
    <row r="382" spans="1:45">
      <c r="A382" s="1944"/>
      <c r="B382" s="1944"/>
      <c r="C382" s="537">
        <v>43956</v>
      </c>
      <c r="D382" s="1373" t="s">
        <v>6798</v>
      </c>
      <c r="E382" s="491" t="s">
        <v>69</v>
      </c>
      <c r="F382" s="491" t="s">
        <v>70</v>
      </c>
      <c r="G382" s="571" t="s">
        <v>6797</v>
      </c>
      <c r="H382" s="491">
        <v>4</v>
      </c>
      <c r="I382" s="495" t="s">
        <v>6795</v>
      </c>
      <c r="J382" s="491"/>
      <c r="K382" s="491" t="s">
        <v>2418</v>
      </c>
      <c r="L382" s="491"/>
      <c r="M382" s="536">
        <v>4799667</v>
      </c>
      <c r="N382" s="491" t="s">
        <v>251</v>
      </c>
      <c r="O382" s="537">
        <v>43966</v>
      </c>
      <c r="P382" s="537">
        <v>44001</v>
      </c>
      <c r="Q382" s="537">
        <v>44021</v>
      </c>
      <c r="R382" s="495" t="s">
        <v>576</v>
      </c>
      <c r="S382" s="491"/>
      <c r="T382" s="536">
        <v>4799665.3499999996</v>
      </c>
      <c r="U382" s="536">
        <v>5279631.8899999997</v>
      </c>
      <c r="V382" s="1471"/>
      <c r="W382" s="1471"/>
      <c r="X382" s="1471"/>
      <c r="Y382" s="573">
        <v>44025</v>
      </c>
      <c r="Z382" s="536" t="s">
        <v>7128</v>
      </c>
      <c r="AA382" s="537">
        <v>44057</v>
      </c>
      <c r="AB382" s="537">
        <v>44077</v>
      </c>
      <c r="AC382" s="537">
        <v>45151</v>
      </c>
      <c r="AD382" s="537">
        <v>44279</v>
      </c>
      <c r="AE382" s="537">
        <v>44645</v>
      </c>
      <c r="AF382" s="1374">
        <v>2022</v>
      </c>
      <c r="AG382" s="1374" t="s">
        <v>7342</v>
      </c>
      <c r="AJ382" s="1944"/>
      <c r="AK382" s="1944"/>
      <c r="AL382" s="1944"/>
      <c r="AM382" s="1944"/>
      <c r="AN382" s="1944"/>
      <c r="AO382" s="1944"/>
      <c r="AP382" s="1944"/>
      <c r="AQ382" s="1944"/>
      <c r="AR382" s="1944"/>
      <c r="AS382" s="1944"/>
    </row>
    <row r="383" spans="1:45" ht="15.75" thickBot="1">
      <c r="A383" s="1944"/>
      <c r="B383" s="1944"/>
      <c r="C383" s="1380">
        <v>43956</v>
      </c>
      <c r="D383" s="1377" t="s">
        <v>6798</v>
      </c>
      <c r="E383" s="1376" t="s">
        <v>69</v>
      </c>
      <c r="F383" s="1376" t="s">
        <v>70</v>
      </c>
      <c r="G383" s="1378" t="s">
        <v>6797</v>
      </c>
      <c r="H383" s="1376">
        <v>5</v>
      </c>
      <c r="I383" s="1421" t="s">
        <v>6796</v>
      </c>
      <c r="J383" s="1376"/>
      <c r="K383" s="1376" t="s">
        <v>2418</v>
      </c>
      <c r="L383" s="1376"/>
      <c r="M383" s="1379">
        <v>4223469</v>
      </c>
      <c r="N383" s="1376" t="s">
        <v>251</v>
      </c>
      <c r="O383" s="1380">
        <v>43966</v>
      </c>
      <c r="P383" s="1380">
        <v>44001</v>
      </c>
      <c r="Q383" s="1380">
        <v>44021</v>
      </c>
      <c r="R383" s="1421" t="s">
        <v>2548</v>
      </c>
      <c r="S383" s="1376"/>
      <c r="T383" s="1379">
        <v>4223467.29</v>
      </c>
      <c r="U383" s="1379">
        <v>4645814.0199999996</v>
      </c>
      <c r="V383" s="1475"/>
      <c r="W383" s="1475"/>
      <c r="X383" s="1475"/>
      <c r="Y383" s="1388">
        <v>44025</v>
      </c>
      <c r="Z383" s="1379" t="s">
        <v>7129</v>
      </c>
      <c r="AA383" s="1380">
        <v>44055</v>
      </c>
      <c r="AB383" s="1380">
        <v>44077</v>
      </c>
      <c r="AC383" s="1380">
        <v>45149</v>
      </c>
      <c r="AD383" s="537">
        <v>44279</v>
      </c>
      <c r="AE383" s="491" t="s">
        <v>11373</v>
      </c>
      <c r="AF383" s="1374">
        <v>2022</v>
      </c>
      <c r="AG383" s="1374" t="s">
        <v>7329</v>
      </c>
      <c r="AJ383" s="1944"/>
      <c r="AK383" s="1944"/>
      <c r="AL383" s="1944"/>
      <c r="AM383" s="1944"/>
      <c r="AN383" s="1944"/>
      <c r="AO383" s="1944"/>
      <c r="AP383" s="1944"/>
      <c r="AQ383" s="1944"/>
      <c r="AR383" s="1944"/>
      <c r="AS383" s="1944"/>
    </row>
    <row r="384" spans="1:45" ht="30.75" thickTop="1">
      <c r="A384" s="1944"/>
      <c r="B384" s="1944"/>
      <c r="C384" s="365">
        <v>43958</v>
      </c>
      <c r="D384" s="1397" t="s">
        <v>6801</v>
      </c>
      <c r="E384" s="3210" t="s">
        <v>3678</v>
      </c>
      <c r="F384" s="3210" t="s">
        <v>918</v>
      </c>
      <c r="G384" s="175" t="s">
        <v>6802</v>
      </c>
      <c r="H384" s="3210"/>
      <c r="I384" s="3211"/>
      <c r="J384" s="3210"/>
      <c r="K384" s="453" t="s">
        <v>2023</v>
      </c>
      <c r="L384" s="3210"/>
      <c r="M384" s="364">
        <v>810000</v>
      </c>
      <c r="N384" s="3210" t="s">
        <v>112</v>
      </c>
      <c r="O384" s="365">
        <v>43979</v>
      </c>
      <c r="P384" s="365">
        <v>43991</v>
      </c>
      <c r="Q384" s="365">
        <v>43997</v>
      </c>
      <c r="R384" s="3211" t="s">
        <v>342</v>
      </c>
      <c r="S384" s="3210"/>
      <c r="T384" s="364">
        <v>477112</v>
      </c>
      <c r="U384" s="364">
        <f>T384*1.21</f>
        <v>577305.52</v>
      </c>
      <c r="V384" s="1473"/>
      <c r="W384" s="1473"/>
      <c r="X384" s="1473"/>
      <c r="Y384" s="681">
        <v>43997</v>
      </c>
      <c r="Z384" s="1417" t="s">
        <v>6983</v>
      </c>
      <c r="AA384" s="365">
        <v>44013</v>
      </c>
      <c r="AB384" s="365">
        <v>44014</v>
      </c>
      <c r="AC384" s="365">
        <f>AA384+56</f>
        <v>44069</v>
      </c>
      <c r="AD384" s="365">
        <v>44137</v>
      </c>
      <c r="AE384" s="451" t="s">
        <v>1875</v>
      </c>
      <c r="AJ384" s="1944"/>
      <c r="AK384" s="1944"/>
      <c r="AL384" s="1944"/>
      <c r="AM384" s="1944"/>
      <c r="AN384" s="1944"/>
      <c r="AO384" s="1944"/>
      <c r="AP384" s="1944"/>
      <c r="AQ384" s="1944"/>
      <c r="AR384" s="1944"/>
      <c r="AS384" s="1944"/>
    </row>
    <row r="385" spans="1:45" ht="30">
      <c r="A385" s="1944"/>
      <c r="B385" s="1944"/>
      <c r="C385" s="537">
        <v>43951</v>
      </c>
      <c r="D385" s="1373" t="s">
        <v>6803</v>
      </c>
      <c r="E385" s="491" t="s">
        <v>1032</v>
      </c>
      <c r="F385" s="491" t="s">
        <v>361</v>
      </c>
      <c r="G385" s="571" t="s">
        <v>6804</v>
      </c>
      <c r="H385" s="491"/>
      <c r="I385" s="495"/>
      <c r="J385" s="491"/>
      <c r="K385" s="491" t="s">
        <v>1950</v>
      </c>
      <c r="L385" s="491"/>
      <c r="M385" s="536">
        <v>4800000</v>
      </c>
      <c r="N385" s="491" t="s">
        <v>251</v>
      </c>
      <c r="O385" s="537">
        <v>44008</v>
      </c>
      <c r="P385" s="537">
        <v>44043</v>
      </c>
      <c r="Q385" s="537">
        <v>44069</v>
      </c>
      <c r="R385" s="495" t="s">
        <v>342</v>
      </c>
      <c r="S385" s="491"/>
      <c r="T385" s="536">
        <v>2918210</v>
      </c>
      <c r="U385" s="536">
        <f>T385*1.21</f>
        <v>3531034.1</v>
      </c>
      <c r="V385" s="1471"/>
      <c r="W385" s="1471"/>
      <c r="X385" s="1471"/>
      <c r="Y385" s="573">
        <v>44069</v>
      </c>
      <c r="Z385" s="1375" t="s">
        <v>7447</v>
      </c>
      <c r="AA385" s="537">
        <v>44179</v>
      </c>
      <c r="AB385" s="537">
        <v>44186</v>
      </c>
      <c r="AC385" s="491">
        <v>2021</v>
      </c>
      <c r="AD385" s="1525">
        <v>44642</v>
      </c>
      <c r="AE385" s="451" t="s">
        <v>1875</v>
      </c>
      <c r="AJ385" s="1944"/>
      <c r="AK385" s="1944"/>
      <c r="AL385" s="1944"/>
      <c r="AM385" s="1944"/>
      <c r="AN385" s="1944"/>
      <c r="AO385" s="1944"/>
      <c r="AP385" s="1944"/>
      <c r="AQ385" s="1944"/>
      <c r="AR385" s="1944"/>
      <c r="AS385" s="1944"/>
    </row>
    <row r="386" spans="1:45">
      <c r="A386" s="1944"/>
      <c r="B386" s="1944"/>
      <c r="C386" s="537">
        <v>43963</v>
      </c>
      <c r="D386" s="1373" t="s">
        <v>6806</v>
      </c>
      <c r="E386" s="491" t="s">
        <v>58</v>
      </c>
      <c r="F386" s="491" t="s">
        <v>55</v>
      </c>
      <c r="G386" s="571" t="s">
        <v>718</v>
      </c>
      <c r="H386" s="491"/>
      <c r="I386" s="495"/>
      <c r="J386" s="491"/>
      <c r="K386" s="491" t="s">
        <v>6807</v>
      </c>
      <c r="L386" s="491"/>
      <c r="M386" s="536">
        <v>1000000</v>
      </c>
      <c r="N386" s="491" t="s">
        <v>112</v>
      </c>
      <c r="O386" s="537">
        <v>43966</v>
      </c>
      <c r="P386" s="537">
        <v>43977</v>
      </c>
      <c r="Q386" s="537">
        <v>43994</v>
      </c>
      <c r="R386" s="495" t="s">
        <v>2285</v>
      </c>
      <c r="S386" s="491"/>
      <c r="T386" s="536">
        <v>1050323</v>
      </c>
      <c r="U386" s="536">
        <v>1270890.83</v>
      </c>
      <c r="V386" s="1471"/>
      <c r="W386" s="1471"/>
      <c r="X386" s="1471"/>
      <c r="Y386" s="573">
        <v>43994</v>
      </c>
      <c r="Z386" s="536" t="s">
        <v>6970</v>
      </c>
      <c r="AA386" s="537">
        <v>44014</v>
      </c>
      <c r="AB386" s="537">
        <v>44026</v>
      </c>
      <c r="AC386" s="537">
        <f>AA386+56</f>
        <v>44070</v>
      </c>
      <c r="AD386" s="537">
        <v>44643</v>
      </c>
      <c r="AE386" s="1102"/>
      <c r="AJ386" s="1944"/>
      <c r="AK386" s="1944"/>
      <c r="AL386" s="1944"/>
      <c r="AM386" s="1944"/>
      <c r="AN386" s="1944"/>
      <c r="AO386" s="1944"/>
      <c r="AP386" s="1944"/>
      <c r="AQ386" s="1944"/>
      <c r="AR386" s="1944"/>
      <c r="AS386" s="1944"/>
    </row>
    <row r="387" spans="1:45">
      <c r="A387" s="1944"/>
      <c r="B387" s="1944"/>
      <c r="C387" s="537">
        <v>43962</v>
      </c>
      <c r="D387" s="1373" t="s">
        <v>6821</v>
      </c>
      <c r="E387" s="491" t="s">
        <v>69</v>
      </c>
      <c r="F387" s="491" t="s">
        <v>70</v>
      </c>
      <c r="G387" s="571" t="s">
        <v>6822</v>
      </c>
      <c r="H387" s="491"/>
      <c r="I387" s="495"/>
      <c r="J387" s="491"/>
      <c r="K387" s="491" t="s">
        <v>2302</v>
      </c>
      <c r="L387" s="491"/>
      <c r="M387" s="536">
        <v>66386351</v>
      </c>
      <c r="N387" s="491" t="s">
        <v>251</v>
      </c>
      <c r="O387" s="537">
        <v>44000</v>
      </c>
      <c r="P387" s="537">
        <v>44056</v>
      </c>
      <c r="Q387" s="537">
        <v>44084</v>
      </c>
      <c r="R387" s="495" t="s">
        <v>2534</v>
      </c>
      <c r="S387" s="491"/>
      <c r="T387" s="536">
        <v>66386350.719999999</v>
      </c>
      <c r="U387" s="536">
        <v>73024985.790000007</v>
      </c>
      <c r="V387" s="1471"/>
      <c r="W387" s="1471"/>
      <c r="X387" s="1471"/>
      <c r="Y387" s="573">
        <v>44084</v>
      </c>
      <c r="Z387" s="536" t="s">
        <v>7561</v>
      </c>
      <c r="AA387" s="537">
        <v>44120</v>
      </c>
      <c r="AB387" s="537">
        <v>44151</v>
      </c>
      <c r="AC387" s="537">
        <v>45580</v>
      </c>
      <c r="AD387" s="537">
        <v>44279</v>
      </c>
      <c r="AE387" s="537">
        <v>44645</v>
      </c>
      <c r="AF387" s="388">
        <v>2022</v>
      </c>
      <c r="AG387" s="388">
        <v>2023</v>
      </c>
      <c r="AH387" s="388" t="s">
        <v>7771</v>
      </c>
      <c r="AJ387" s="1944"/>
      <c r="AK387" s="1944"/>
      <c r="AL387" s="1944"/>
      <c r="AM387" s="1944"/>
      <c r="AN387" s="1944"/>
      <c r="AO387" s="1944"/>
      <c r="AP387" s="1944"/>
      <c r="AQ387" s="1944"/>
      <c r="AR387" s="1944"/>
      <c r="AS387" s="1944"/>
    </row>
    <row r="388" spans="1:45" ht="15.75" thickBot="1">
      <c r="A388" s="1944"/>
      <c r="B388" s="1944"/>
      <c r="C388" s="416">
        <v>43962</v>
      </c>
      <c r="D388" s="1468" t="s">
        <v>6823</v>
      </c>
      <c r="E388" s="411" t="s">
        <v>69</v>
      </c>
      <c r="F388" s="411" t="s">
        <v>70</v>
      </c>
      <c r="G388" s="412" t="s">
        <v>6824</v>
      </c>
      <c r="H388" s="411"/>
      <c r="I388" s="630"/>
      <c r="J388" s="411"/>
      <c r="K388" s="411" t="s">
        <v>72</v>
      </c>
      <c r="L388" s="411"/>
      <c r="M388" s="417">
        <v>87098147</v>
      </c>
      <c r="N388" s="411" t="s">
        <v>251</v>
      </c>
      <c r="O388" s="416">
        <v>44004</v>
      </c>
      <c r="P388" s="416">
        <v>44039</v>
      </c>
      <c r="Q388" s="416">
        <v>44049</v>
      </c>
      <c r="R388" s="630" t="s">
        <v>578</v>
      </c>
      <c r="S388" s="411"/>
      <c r="T388" s="417">
        <v>87098146.290000007</v>
      </c>
      <c r="U388" s="417">
        <v>95807960.920000002</v>
      </c>
      <c r="V388" s="1480"/>
      <c r="W388" s="1480"/>
      <c r="X388" s="1480"/>
      <c r="Y388" s="513">
        <v>44049</v>
      </c>
      <c r="Z388" s="417" t="s">
        <v>7280</v>
      </c>
      <c r="AA388" s="416">
        <v>44085</v>
      </c>
      <c r="AB388" s="416">
        <v>44112</v>
      </c>
      <c r="AC388" s="416">
        <v>45179</v>
      </c>
      <c r="AD388" s="416">
        <v>44279</v>
      </c>
      <c r="AE388" s="416">
        <v>44645</v>
      </c>
      <c r="AF388" s="388">
        <v>2022</v>
      </c>
      <c r="AG388" s="388" t="s">
        <v>7575</v>
      </c>
      <c r="AJ388" s="1944"/>
      <c r="AK388" s="1944"/>
      <c r="AL388" s="1944"/>
      <c r="AM388" s="1944"/>
      <c r="AN388" s="1944"/>
      <c r="AO388" s="1944"/>
      <c r="AP388" s="1944"/>
      <c r="AQ388" s="1944"/>
      <c r="AR388" s="1944"/>
      <c r="AS388" s="1944"/>
    </row>
    <row r="389" spans="1:45" ht="45.75" thickTop="1">
      <c r="A389" s="1944"/>
      <c r="B389" s="1944"/>
      <c r="C389" s="474">
        <v>43966</v>
      </c>
      <c r="D389" s="1383" t="s">
        <v>6825</v>
      </c>
      <c r="E389" s="453" t="s">
        <v>2434</v>
      </c>
      <c r="F389" s="453" t="s">
        <v>751</v>
      </c>
      <c r="G389" s="473" t="s">
        <v>6826</v>
      </c>
      <c r="H389" s="453">
        <v>1</v>
      </c>
      <c r="I389" s="1997" t="s">
        <v>6832</v>
      </c>
      <c r="J389" s="453"/>
      <c r="K389" s="453" t="s">
        <v>6827</v>
      </c>
      <c r="L389" s="453"/>
      <c r="M389" s="457">
        <v>45869095</v>
      </c>
      <c r="N389" s="453" t="s">
        <v>251</v>
      </c>
      <c r="O389" s="474">
        <v>43976</v>
      </c>
      <c r="P389" s="474">
        <v>44011</v>
      </c>
      <c r="Q389" s="474">
        <v>44040</v>
      </c>
      <c r="R389" s="1420" t="s">
        <v>2974</v>
      </c>
      <c r="S389" s="453"/>
      <c r="T389" s="457">
        <v>45869095</v>
      </c>
      <c r="U389" s="457">
        <v>52749459.25</v>
      </c>
      <c r="V389" s="1474"/>
      <c r="W389" s="1474"/>
      <c r="X389" s="1474"/>
      <c r="Y389" s="570">
        <v>44042</v>
      </c>
      <c r="Z389" s="1387" t="s">
        <v>7238</v>
      </c>
      <c r="AA389" s="474">
        <v>44097</v>
      </c>
      <c r="AB389" s="474">
        <v>44104</v>
      </c>
      <c r="AC389" s="474">
        <v>45191</v>
      </c>
      <c r="AD389" s="474">
        <v>44285</v>
      </c>
      <c r="AE389" s="474">
        <v>44641</v>
      </c>
      <c r="AF389" s="388">
        <v>2022</v>
      </c>
      <c r="AG389" s="388" t="s">
        <v>7666</v>
      </c>
      <c r="AJ389" s="1944"/>
      <c r="AK389" s="1944"/>
      <c r="AL389" s="1944"/>
      <c r="AM389" s="1944"/>
      <c r="AN389" s="1944"/>
      <c r="AO389" s="1944"/>
      <c r="AP389" s="1944"/>
      <c r="AQ389" s="1944"/>
      <c r="AR389" s="1944"/>
      <c r="AS389" s="1944"/>
    </row>
    <row r="390" spans="1:45" ht="45">
      <c r="A390" s="1944"/>
      <c r="B390" s="1944"/>
      <c r="C390" s="537">
        <v>43966</v>
      </c>
      <c r="D390" s="1373" t="s">
        <v>6825</v>
      </c>
      <c r="E390" s="491" t="s">
        <v>2434</v>
      </c>
      <c r="F390" s="491" t="s">
        <v>751</v>
      </c>
      <c r="G390" s="571" t="s">
        <v>6826</v>
      </c>
      <c r="H390" s="491">
        <v>2</v>
      </c>
      <c r="I390" s="1979" t="s">
        <v>6831</v>
      </c>
      <c r="J390" s="491"/>
      <c r="K390" s="491" t="s">
        <v>6827</v>
      </c>
      <c r="L390" s="491"/>
      <c r="M390" s="536">
        <v>9626321</v>
      </c>
      <c r="N390" s="491" t="s">
        <v>251</v>
      </c>
      <c r="O390" s="537">
        <v>43976</v>
      </c>
      <c r="P390" s="537">
        <v>44011</v>
      </c>
      <c r="Q390" s="537">
        <v>44040</v>
      </c>
      <c r="R390" s="495" t="s">
        <v>7080</v>
      </c>
      <c r="S390" s="491"/>
      <c r="T390" s="536">
        <v>9624913.0399999991</v>
      </c>
      <c r="U390" s="536">
        <v>11068650</v>
      </c>
      <c r="V390" s="1471"/>
      <c r="W390" s="1471"/>
      <c r="X390" s="1471"/>
      <c r="Y390" s="573">
        <v>44042</v>
      </c>
      <c r="Z390" s="1375" t="s">
        <v>7239</v>
      </c>
      <c r="AA390" s="537">
        <v>44097</v>
      </c>
      <c r="AB390" s="537">
        <v>44104</v>
      </c>
      <c r="AC390" s="537">
        <v>45191</v>
      </c>
      <c r="AD390" s="537">
        <v>44285</v>
      </c>
      <c r="AE390" s="537">
        <v>44641</v>
      </c>
      <c r="AF390" s="388">
        <v>2022</v>
      </c>
      <c r="AG390" s="388" t="s">
        <v>7666</v>
      </c>
      <c r="AJ390" s="1944"/>
      <c r="AK390" s="1944"/>
      <c r="AL390" s="1944"/>
      <c r="AM390" s="1944"/>
      <c r="AN390" s="1944"/>
      <c r="AO390" s="1944"/>
      <c r="AP390" s="1944"/>
      <c r="AQ390" s="1944"/>
      <c r="AR390" s="1944"/>
      <c r="AS390" s="1944"/>
    </row>
    <row r="391" spans="1:45" ht="45">
      <c r="A391" s="1944"/>
      <c r="B391" s="1944"/>
      <c r="C391" s="510">
        <v>43966</v>
      </c>
      <c r="D391" s="1382" t="s">
        <v>6825</v>
      </c>
      <c r="E391" s="506" t="s">
        <v>2434</v>
      </c>
      <c r="F391" s="506" t="s">
        <v>751</v>
      </c>
      <c r="G391" s="507" t="s">
        <v>6826</v>
      </c>
      <c r="H391" s="506">
        <v>3</v>
      </c>
      <c r="I391" s="1408" t="s">
        <v>6830</v>
      </c>
      <c r="J391" s="506"/>
      <c r="K391" s="506" t="s">
        <v>6827</v>
      </c>
      <c r="L391" s="506"/>
      <c r="M391" s="511">
        <v>3103825</v>
      </c>
      <c r="N391" s="506" t="s">
        <v>251</v>
      </c>
      <c r="O391" s="510">
        <v>43976</v>
      </c>
      <c r="P391" s="510">
        <v>44011</v>
      </c>
      <c r="Q391" s="510"/>
      <c r="R391" s="736" t="s">
        <v>7221</v>
      </c>
      <c r="S391" s="2009" t="s">
        <v>8024</v>
      </c>
      <c r="T391" s="511"/>
      <c r="U391" s="511"/>
      <c r="V391" s="1470"/>
      <c r="W391" s="1470"/>
      <c r="X391" s="1470"/>
      <c r="Y391" s="511"/>
      <c r="Z391" s="511"/>
      <c r="AA391" s="506"/>
      <c r="AB391" s="510">
        <v>44089</v>
      </c>
      <c r="AC391" s="548" t="s">
        <v>7373</v>
      </c>
      <c r="AD391" s="506"/>
      <c r="AE391" s="506"/>
      <c r="AJ391" s="1944"/>
      <c r="AK391" s="1944"/>
      <c r="AL391" s="1944"/>
      <c r="AM391" s="1944"/>
      <c r="AN391" s="1944"/>
      <c r="AO391" s="1944"/>
      <c r="AP391" s="1944"/>
      <c r="AQ391" s="1944"/>
      <c r="AR391" s="1944"/>
      <c r="AS391" s="1944"/>
    </row>
    <row r="392" spans="1:45" ht="45">
      <c r="A392" s="1944"/>
      <c r="B392" s="1944"/>
      <c r="C392" s="537">
        <v>43966</v>
      </c>
      <c r="D392" s="1373" t="s">
        <v>6825</v>
      </c>
      <c r="E392" s="491" t="s">
        <v>2434</v>
      </c>
      <c r="F392" s="491" t="s">
        <v>751</v>
      </c>
      <c r="G392" s="571" t="s">
        <v>6826</v>
      </c>
      <c r="H392" s="491">
        <v>4</v>
      </c>
      <c r="I392" s="1979" t="s">
        <v>6829</v>
      </c>
      <c r="J392" s="491"/>
      <c r="K392" s="491" t="s">
        <v>6827</v>
      </c>
      <c r="L392" s="491"/>
      <c r="M392" s="536">
        <v>7238400</v>
      </c>
      <c r="N392" s="491" t="s">
        <v>251</v>
      </c>
      <c r="O392" s="537">
        <v>43976</v>
      </c>
      <c r="P392" s="537">
        <v>44011</v>
      </c>
      <c r="Q392" s="537">
        <v>44040</v>
      </c>
      <c r="R392" s="495" t="s">
        <v>2777</v>
      </c>
      <c r="S392" s="491"/>
      <c r="T392" s="536">
        <v>7238400</v>
      </c>
      <c r="U392" s="536">
        <v>8324160</v>
      </c>
      <c r="V392" s="1471"/>
      <c r="W392" s="1471"/>
      <c r="X392" s="1471"/>
      <c r="Y392" s="573">
        <v>44042</v>
      </c>
      <c r="Z392" s="1375" t="s">
        <v>7240</v>
      </c>
      <c r="AA392" s="537">
        <v>44097</v>
      </c>
      <c r="AB392" s="537">
        <v>44104</v>
      </c>
      <c r="AC392" s="537">
        <v>45191</v>
      </c>
      <c r="AD392" s="537">
        <v>44285</v>
      </c>
      <c r="AE392" s="537">
        <v>44641</v>
      </c>
      <c r="AF392" s="388">
        <v>2022</v>
      </c>
      <c r="AG392" s="388" t="s">
        <v>7666</v>
      </c>
      <c r="AJ392" s="1944"/>
      <c r="AK392" s="1944"/>
      <c r="AL392" s="1944"/>
      <c r="AM392" s="1944"/>
      <c r="AN392" s="1944"/>
      <c r="AO392" s="1944"/>
      <c r="AP392" s="1944"/>
      <c r="AQ392" s="1944"/>
      <c r="AR392" s="1944"/>
      <c r="AS392" s="1944"/>
    </row>
    <row r="393" spans="1:45" ht="45.75" thickBot="1">
      <c r="A393" s="1944"/>
      <c r="B393" s="1944"/>
      <c r="C393" s="1380">
        <v>43966</v>
      </c>
      <c r="D393" s="1377" t="s">
        <v>6825</v>
      </c>
      <c r="E393" s="1376" t="s">
        <v>2434</v>
      </c>
      <c r="F393" s="1376" t="s">
        <v>751</v>
      </c>
      <c r="G393" s="1378" t="s">
        <v>6826</v>
      </c>
      <c r="H393" s="1376">
        <v>5</v>
      </c>
      <c r="I393" s="2005" t="s">
        <v>6828</v>
      </c>
      <c r="J393" s="1376"/>
      <c r="K393" s="1376" t="s">
        <v>6827</v>
      </c>
      <c r="L393" s="1376"/>
      <c r="M393" s="1379">
        <v>8525000</v>
      </c>
      <c r="N393" s="1376" t="s">
        <v>251</v>
      </c>
      <c r="O393" s="1380">
        <v>43976</v>
      </c>
      <c r="P393" s="1380">
        <v>44011</v>
      </c>
      <c r="Q393" s="1380">
        <v>44040</v>
      </c>
      <c r="R393" s="1421" t="s">
        <v>1433</v>
      </c>
      <c r="S393" s="1376"/>
      <c r="T393" s="1379">
        <v>8525000</v>
      </c>
      <c r="U393" s="1379">
        <v>9803750</v>
      </c>
      <c r="V393" s="1475"/>
      <c r="W393" s="1475"/>
      <c r="X393" s="1475"/>
      <c r="Y393" s="1388">
        <v>44042</v>
      </c>
      <c r="Z393" s="1389" t="s">
        <v>7241</v>
      </c>
      <c r="AA393" s="1380">
        <v>44097</v>
      </c>
      <c r="AB393" s="1380">
        <v>44104</v>
      </c>
      <c r="AC393" s="1380">
        <v>45191</v>
      </c>
      <c r="AD393" s="1380">
        <v>44285</v>
      </c>
      <c r="AE393" s="1380">
        <v>44641</v>
      </c>
      <c r="AF393" s="388">
        <v>2022</v>
      </c>
      <c r="AG393" s="388" t="s">
        <v>7666</v>
      </c>
      <c r="AJ393" s="1944"/>
      <c r="AK393" s="1944"/>
      <c r="AL393" s="1944"/>
      <c r="AM393" s="1944"/>
      <c r="AN393" s="1944"/>
      <c r="AO393" s="1944"/>
      <c r="AP393" s="1944"/>
      <c r="AQ393" s="1944"/>
      <c r="AR393" s="1944"/>
      <c r="AS393" s="1944"/>
    </row>
    <row r="394" spans="1:45" ht="15.75" thickTop="1">
      <c r="A394" s="1944"/>
      <c r="B394" s="1944"/>
      <c r="C394" s="470">
        <v>43969</v>
      </c>
      <c r="D394" s="1515" t="s">
        <v>6834</v>
      </c>
      <c r="E394" s="466" t="s">
        <v>14</v>
      </c>
      <c r="F394" s="466" t="s">
        <v>13</v>
      </c>
      <c r="G394" s="467" t="s">
        <v>6835</v>
      </c>
      <c r="H394" s="466"/>
      <c r="I394" s="654"/>
      <c r="J394" s="466"/>
      <c r="K394" s="466" t="s">
        <v>6836</v>
      </c>
      <c r="L394" s="466"/>
      <c r="M394" s="472">
        <v>430000</v>
      </c>
      <c r="N394" s="466" t="s">
        <v>112</v>
      </c>
      <c r="O394" s="470">
        <v>43987</v>
      </c>
      <c r="P394" s="470">
        <v>44001</v>
      </c>
      <c r="Q394" s="466"/>
      <c r="R394" s="471" t="s">
        <v>242</v>
      </c>
      <c r="S394" s="466"/>
      <c r="T394" s="472"/>
      <c r="U394" s="472"/>
      <c r="V394" s="1516"/>
      <c r="W394" s="1516"/>
      <c r="X394" s="1516"/>
      <c r="Y394" s="472"/>
      <c r="Z394" s="472"/>
      <c r="AA394" s="466"/>
      <c r="AB394" s="470">
        <v>44034</v>
      </c>
      <c r="AC394" s="466"/>
      <c r="AD394" s="466"/>
      <c r="AE394" s="466"/>
      <c r="AJ394" s="1944"/>
      <c r="AK394" s="1944"/>
      <c r="AL394" s="1944"/>
      <c r="AM394" s="1944"/>
      <c r="AN394" s="1944"/>
      <c r="AO394" s="1944"/>
      <c r="AP394" s="1944"/>
      <c r="AQ394" s="1944"/>
      <c r="AR394" s="1944"/>
      <c r="AS394" s="1944"/>
    </row>
    <row r="395" spans="1:45" ht="15.75" thickBot="1">
      <c r="A395" s="1944"/>
      <c r="B395" s="1944"/>
      <c r="C395" s="416">
        <v>43970</v>
      </c>
      <c r="D395" s="1468" t="s">
        <v>6837</v>
      </c>
      <c r="E395" s="411" t="s">
        <v>2434</v>
      </c>
      <c r="F395" s="411" t="s">
        <v>219</v>
      </c>
      <c r="G395" s="412" t="s">
        <v>6838</v>
      </c>
      <c r="H395" s="411"/>
      <c r="I395" s="630"/>
      <c r="J395" s="411"/>
      <c r="K395" s="411" t="s">
        <v>642</v>
      </c>
      <c r="L395" s="411"/>
      <c r="M395" s="417">
        <v>1500000</v>
      </c>
      <c r="N395" s="411" t="s">
        <v>112</v>
      </c>
      <c r="O395" s="416">
        <v>43977</v>
      </c>
      <c r="P395" s="416">
        <v>43991</v>
      </c>
      <c r="Q395" s="416">
        <v>44011</v>
      </c>
      <c r="R395" s="630" t="s">
        <v>1564</v>
      </c>
      <c r="S395" s="411"/>
      <c r="T395" s="417">
        <v>1377000</v>
      </c>
      <c r="U395" s="417">
        <v>1666170</v>
      </c>
      <c r="V395" s="1480"/>
      <c r="W395" s="1480"/>
      <c r="X395" s="1480"/>
      <c r="Y395" s="513">
        <v>44011</v>
      </c>
      <c r="Z395" s="417" t="s">
        <v>7079</v>
      </c>
      <c r="AA395" s="416">
        <v>44049</v>
      </c>
      <c r="AB395" s="416">
        <v>44056</v>
      </c>
      <c r="AC395" s="416">
        <v>45143</v>
      </c>
      <c r="AD395" s="416">
        <v>44285</v>
      </c>
      <c r="AE395" s="416">
        <v>44641</v>
      </c>
      <c r="AF395" s="388">
        <v>2022</v>
      </c>
      <c r="AG395" s="388" t="s">
        <v>7182</v>
      </c>
      <c r="AJ395" s="1944"/>
      <c r="AK395" s="1944"/>
      <c r="AL395" s="1944"/>
      <c r="AM395" s="1944"/>
      <c r="AN395" s="1944"/>
      <c r="AO395" s="1944"/>
      <c r="AP395" s="1944"/>
      <c r="AQ395" s="1944"/>
      <c r="AR395" s="1944"/>
      <c r="AS395" s="1944"/>
    </row>
    <row r="396" spans="1:45" ht="15.75" thickTop="1">
      <c r="A396" s="1944"/>
      <c r="B396" s="1944"/>
      <c r="C396" s="474">
        <v>43936</v>
      </c>
      <c r="D396" s="453" t="s">
        <v>6839</v>
      </c>
      <c r="E396" s="453" t="s">
        <v>289</v>
      </c>
      <c r="F396" s="453" t="s">
        <v>6509</v>
      </c>
      <c r="G396" s="473" t="s">
        <v>6840</v>
      </c>
      <c r="H396" s="453">
        <v>1</v>
      </c>
      <c r="I396" s="1420" t="s">
        <v>6842</v>
      </c>
      <c r="J396" s="453"/>
      <c r="K396" s="1420" t="s">
        <v>6841</v>
      </c>
      <c r="L396" s="453"/>
      <c r="M396" s="457">
        <v>5200000</v>
      </c>
      <c r="N396" s="453" t="s">
        <v>251</v>
      </c>
      <c r="O396" s="474">
        <v>44028</v>
      </c>
      <c r="P396" s="474">
        <v>44062</v>
      </c>
      <c r="Q396" s="474">
        <v>44098</v>
      </c>
      <c r="R396" s="1420" t="s">
        <v>6013</v>
      </c>
      <c r="S396" s="453"/>
      <c r="T396" s="457">
        <v>5200000</v>
      </c>
      <c r="U396" s="457" t="s">
        <v>2404</v>
      </c>
      <c r="V396" s="1474"/>
      <c r="W396" s="1474"/>
      <c r="X396" s="1474"/>
      <c r="Y396" s="570">
        <v>44104</v>
      </c>
      <c r="Z396" s="457" t="s">
        <v>7670</v>
      </c>
      <c r="AA396" s="474">
        <v>44155</v>
      </c>
      <c r="AB396" s="474">
        <v>44168</v>
      </c>
      <c r="AC396" s="474">
        <v>45615</v>
      </c>
      <c r="AD396" s="453" t="s">
        <v>8483</v>
      </c>
      <c r="AE396" s="474">
        <v>44643</v>
      </c>
      <c r="AF396" s="388">
        <v>2022</v>
      </c>
      <c r="AG396" s="388">
        <v>2023</v>
      </c>
      <c r="AH396" s="388" t="s">
        <v>7930</v>
      </c>
      <c r="AJ396" s="1944"/>
      <c r="AK396" s="1944"/>
      <c r="AL396" s="1944"/>
      <c r="AM396" s="1944"/>
      <c r="AN396" s="1944"/>
      <c r="AO396" s="1944"/>
      <c r="AP396" s="1944"/>
      <c r="AQ396" s="1944"/>
      <c r="AR396" s="1944"/>
      <c r="AS396" s="1944"/>
    </row>
    <row r="397" spans="1:45">
      <c r="A397" s="1944"/>
      <c r="B397" s="1944"/>
      <c r="C397" s="537">
        <v>43936</v>
      </c>
      <c r="D397" s="491" t="s">
        <v>6839</v>
      </c>
      <c r="E397" s="491" t="s">
        <v>289</v>
      </c>
      <c r="F397" s="491" t="s">
        <v>6509</v>
      </c>
      <c r="G397" s="571" t="s">
        <v>6840</v>
      </c>
      <c r="H397" s="491">
        <v>2</v>
      </c>
      <c r="I397" s="495" t="s">
        <v>6843</v>
      </c>
      <c r="J397" s="491"/>
      <c r="K397" s="495" t="s">
        <v>6841</v>
      </c>
      <c r="L397" s="491"/>
      <c r="M397" s="536">
        <v>2000000</v>
      </c>
      <c r="N397" s="491" t="s">
        <v>251</v>
      </c>
      <c r="O397" s="537">
        <v>44028</v>
      </c>
      <c r="P397" s="537">
        <v>44062</v>
      </c>
      <c r="Q397" s="537">
        <v>44098</v>
      </c>
      <c r="R397" s="495" t="s">
        <v>665</v>
      </c>
      <c r="S397" s="491"/>
      <c r="T397" s="536">
        <v>2000000</v>
      </c>
      <c r="U397" s="536" t="s">
        <v>2404</v>
      </c>
      <c r="V397" s="1471"/>
      <c r="W397" s="1471"/>
      <c r="X397" s="1471"/>
      <c r="Y397" s="573">
        <v>44104</v>
      </c>
      <c r="Z397" s="536" t="s">
        <v>7671</v>
      </c>
      <c r="AA397" s="537">
        <v>44167</v>
      </c>
      <c r="AB397" s="537">
        <v>44168</v>
      </c>
      <c r="AC397" s="537">
        <v>45627</v>
      </c>
      <c r="AD397" s="491" t="s">
        <v>8483</v>
      </c>
      <c r="AE397" s="537">
        <v>44643</v>
      </c>
      <c r="AF397" s="388">
        <v>2022</v>
      </c>
      <c r="AG397" s="388">
        <v>2023</v>
      </c>
      <c r="AH397" s="388" t="s">
        <v>8007</v>
      </c>
      <c r="AJ397" s="1944"/>
      <c r="AK397" s="1944"/>
      <c r="AL397" s="1944"/>
      <c r="AM397" s="1944"/>
      <c r="AN397" s="1944"/>
      <c r="AO397" s="1944"/>
      <c r="AP397" s="1944"/>
      <c r="AQ397" s="1944"/>
      <c r="AR397" s="1944"/>
      <c r="AS397" s="1944"/>
    </row>
    <row r="398" spans="1:45">
      <c r="A398" s="1944"/>
      <c r="B398" s="1944"/>
      <c r="C398" s="537">
        <v>43936</v>
      </c>
      <c r="D398" s="491" t="s">
        <v>6839</v>
      </c>
      <c r="E398" s="491" t="s">
        <v>289</v>
      </c>
      <c r="F398" s="491" t="s">
        <v>6509</v>
      </c>
      <c r="G398" s="571" t="s">
        <v>6840</v>
      </c>
      <c r="H398" s="491">
        <v>3</v>
      </c>
      <c r="I398" s="495" t="s">
        <v>7141</v>
      </c>
      <c r="J398" s="491"/>
      <c r="K398" s="495" t="s">
        <v>6841</v>
      </c>
      <c r="L398" s="491"/>
      <c r="M398" s="536">
        <v>1300000</v>
      </c>
      <c r="N398" s="491" t="s">
        <v>251</v>
      </c>
      <c r="O398" s="537">
        <v>44028</v>
      </c>
      <c r="P398" s="537">
        <v>44062</v>
      </c>
      <c r="Q398" s="537">
        <v>44098</v>
      </c>
      <c r="R398" s="495" t="s">
        <v>665</v>
      </c>
      <c r="S398" s="491"/>
      <c r="T398" s="536">
        <v>1300000</v>
      </c>
      <c r="U398" s="536" t="s">
        <v>2404</v>
      </c>
      <c r="V398" s="1471"/>
      <c r="W398" s="1471"/>
      <c r="X398" s="1471"/>
      <c r="Y398" s="573">
        <v>44104</v>
      </c>
      <c r="Z398" s="536" t="s">
        <v>7672</v>
      </c>
      <c r="AA398" s="537">
        <v>44167</v>
      </c>
      <c r="AB398" s="537">
        <v>44168</v>
      </c>
      <c r="AC398" s="537">
        <v>45627</v>
      </c>
      <c r="AD398" s="491" t="s">
        <v>8483</v>
      </c>
      <c r="AE398" s="537">
        <v>44643</v>
      </c>
      <c r="AF398" s="388">
        <v>2022</v>
      </c>
      <c r="AG398" s="388">
        <v>2023</v>
      </c>
      <c r="AH398" s="388" t="s">
        <v>8007</v>
      </c>
      <c r="AJ398" s="1944"/>
      <c r="AK398" s="1944"/>
      <c r="AL398" s="1944"/>
      <c r="AM398" s="1944"/>
      <c r="AN398" s="1944"/>
      <c r="AO398" s="1944"/>
      <c r="AP398" s="1944"/>
      <c r="AQ398" s="1944"/>
      <c r="AR398" s="1944"/>
      <c r="AS398" s="1944"/>
    </row>
    <row r="399" spans="1:45" ht="15.75" thickBot="1">
      <c r="A399" s="1944"/>
      <c r="B399" s="1944"/>
      <c r="C399" s="537">
        <v>43936</v>
      </c>
      <c r="D399" s="491" t="s">
        <v>6839</v>
      </c>
      <c r="E399" s="491" t="s">
        <v>289</v>
      </c>
      <c r="F399" s="491" t="s">
        <v>6509</v>
      </c>
      <c r="G399" s="571" t="s">
        <v>6840</v>
      </c>
      <c r="H399" s="1376">
        <v>4</v>
      </c>
      <c r="I399" s="1421" t="s">
        <v>7142</v>
      </c>
      <c r="J399" s="1376"/>
      <c r="K399" s="1421" t="s">
        <v>6841</v>
      </c>
      <c r="L399" s="1376"/>
      <c r="M399" s="1379">
        <v>200000</v>
      </c>
      <c r="N399" s="1376" t="s">
        <v>251</v>
      </c>
      <c r="O399" s="1380">
        <v>44028</v>
      </c>
      <c r="P399" s="1380">
        <v>44062</v>
      </c>
      <c r="Q399" s="1380">
        <v>44098</v>
      </c>
      <c r="R399" s="1421" t="s">
        <v>665</v>
      </c>
      <c r="S399" s="1376"/>
      <c r="T399" s="1379">
        <v>200000</v>
      </c>
      <c r="U399" s="1379" t="s">
        <v>2404</v>
      </c>
      <c r="V399" s="1475"/>
      <c r="W399" s="1475"/>
      <c r="X399" s="1475"/>
      <c r="Y399" s="1388">
        <v>44104</v>
      </c>
      <c r="Z399" s="1379" t="s">
        <v>7673</v>
      </c>
      <c r="AA399" s="1380">
        <v>44167</v>
      </c>
      <c r="AB399" s="1380">
        <v>44168</v>
      </c>
      <c r="AC399" s="1380">
        <v>45627</v>
      </c>
      <c r="AD399" s="1376" t="s">
        <v>8483</v>
      </c>
      <c r="AE399" s="1380">
        <v>44643</v>
      </c>
      <c r="AF399" s="388">
        <v>2022</v>
      </c>
      <c r="AG399" s="388">
        <v>2023</v>
      </c>
      <c r="AH399" s="388" t="s">
        <v>8007</v>
      </c>
      <c r="AJ399" s="1944"/>
      <c r="AK399" s="1944"/>
      <c r="AL399" s="1944"/>
      <c r="AM399" s="1944"/>
      <c r="AN399" s="1944"/>
      <c r="AO399" s="1944"/>
      <c r="AP399" s="1944"/>
      <c r="AQ399" s="1944"/>
      <c r="AR399" s="1944"/>
      <c r="AS399" s="1944"/>
    </row>
    <row r="400" spans="1:45" ht="16.5" thickTop="1" thickBot="1">
      <c r="A400" s="1944"/>
      <c r="B400" s="1944"/>
      <c r="C400" s="232" t="s">
        <v>3585</v>
      </c>
      <c r="D400" s="1544" t="s">
        <v>6845</v>
      </c>
      <c r="E400" s="232" t="s">
        <v>58</v>
      </c>
      <c r="F400" s="232" t="s">
        <v>55</v>
      </c>
      <c r="G400" s="274" t="s">
        <v>6846</v>
      </c>
      <c r="H400" s="232"/>
      <c r="I400" s="669"/>
      <c r="J400" s="232"/>
      <c r="K400" s="232" t="s">
        <v>275</v>
      </c>
      <c r="L400" s="232"/>
      <c r="M400" s="499">
        <v>700000</v>
      </c>
      <c r="N400" s="232" t="s">
        <v>112</v>
      </c>
      <c r="O400" s="498">
        <v>43976</v>
      </c>
      <c r="P400" s="498">
        <v>43984</v>
      </c>
      <c r="Q400" s="498">
        <v>43992</v>
      </c>
      <c r="R400" s="669" t="s">
        <v>342</v>
      </c>
      <c r="S400" s="232"/>
      <c r="T400" s="499">
        <v>692875</v>
      </c>
      <c r="U400" s="499">
        <v>838378.75</v>
      </c>
      <c r="V400" s="1545"/>
      <c r="W400" s="1545"/>
      <c r="X400" s="1545"/>
      <c r="Y400" s="682">
        <v>43993</v>
      </c>
      <c r="Z400" s="499" t="s">
        <v>6949</v>
      </c>
      <c r="AA400" s="498">
        <v>44033</v>
      </c>
      <c r="AB400" s="498">
        <v>44039</v>
      </c>
      <c r="AC400" s="498">
        <f>AA400+28</f>
        <v>44061</v>
      </c>
      <c r="AD400" s="498">
        <v>44130</v>
      </c>
      <c r="AE400" s="1558"/>
      <c r="AJ400" s="1944"/>
      <c r="AK400" s="1944"/>
      <c r="AL400" s="1944"/>
      <c r="AM400" s="1944"/>
      <c r="AN400" s="1944"/>
      <c r="AO400" s="1944"/>
      <c r="AP400" s="1944"/>
      <c r="AQ400" s="1944"/>
      <c r="AR400" s="1944"/>
      <c r="AS400" s="1944"/>
    </row>
    <row r="401" spans="1:45" ht="45.75" thickTop="1">
      <c r="A401" s="1944"/>
      <c r="B401" s="1944"/>
      <c r="C401" s="1735">
        <v>43966</v>
      </c>
      <c r="D401" s="1383" t="s">
        <v>6847</v>
      </c>
      <c r="E401" s="453" t="s">
        <v>2434</v>
      </c>
      <c r="F401" s="453" t="s">
        <v>751</v>
      </c>
      <c r="G401" s="1997" t="s">
        <v>6848</v>
      </c>
      <c r="H401" s="453">
        <v>1</v>
      </c>
      <c r="I401" s="1420" t="s">
        <v>6849</v>
      </c>
      <c r="J401" s="453"/>
      <c r="K401" s="453" t="s">
        <v>786</v>
      </c>
      <c r="L401" s="453"/>
      <c r="M401" s="457">
        <v>250080000</v>
      </c>
      <c r="N401" s="453" t="s">
        <v>251</v>
      </c>
      <c r="O401" s="474">
        <v>43978</v>
      </c>
      <c r="P401" s="474">
        <v>44013</v>
      </c>
      <c r="Q401" s="474">
        <v>44053</v>
      </c>
      <c r="R401" s="1420" t="s">
        <v>2974</v>
      </c>
      <c r="S401" s="453"/>
      <c r="T401" s="457">
        <v>250080000</v>
      </c>
      <c r="U401" s="457">
        <v>287592000</v>
      </c>
      <c r="V401" s="1474"/>
      <c r="W401" s="1474"/>
      <c r="X401" s="1474"/>
      <c r="Y401" s="570">
        <v>44053</v>
      </c>
      <c r="Z401" s="1387" t="s">
        <v>7322</v>
      </c>
      <c r="AA401" s="474">
        <v>44090</v>
      </c>
      <c r="AB401" s="474">
        <v>44103</v>
      </c>
      <c r="AC401" s="474">
        <v>45184</v>
      </c>
      <c r="AD401" s="474">
        <v>44285</v>
      </c>
      <c r="AE401" s="575">
        <v>44641</v>
      </c>
      <c r="AF401" s="388">
        <v>2022</v>
      </c>
      <c r="AG401" s="388" t="s">
        <v>7593</v>
      </c>
      <c r="AH401" s="360"/>
      <c r="AJ401" s="1944"/>
      <c r="AK401" s="1944"/>
      <c r="AL401" s="1944"/>
      <c r="AM401" s="1944"/>
      <c r="AN401" s="1944"/>
      <c r="AO401" s="1944"/>
      <c r="AP401" s="1944"/>
      <c r="AQ401" s="1944"/>
      <c r="AR401" s="1944"/>
      <c r="AS401" s="1944"/>
    </row>
    <row r="402" spans="1:45" ht="45">
      <c r="A402" s="1944"/>
      <c r="B402" s="1944"/>
      <c r="C402" s="1736">
        <v>43966</v>
      </c>
      <c r="D402" s="1373" t="s">
        <v>6847</v>
      </c>
      <c r="E402" s="491" t="s">
        <v>2434</v>
      </c>
      <c r="F402" s="491" t="s">
        <v>751</v>
      </c>
      <c r="G402" s="1979" t="s">
        <v>6848</v>
      </c>
      <c r="H402" s="491">
        <v>2</v>
      </c>
      <c r="I402" s="495" t="s">
        <v>6850</v>
      </c>
      <c r="J402" s="491"/>
      <c r="K402" s="491" t="s">
        <v>786</v>
      </c>
      <c r="L402" s="491"/>
      <c r="M402" s="536">
        <v>56950000</v>
      </c>
      <c r="N402" s="491" t="s">
        <v>251</v>
      </c>
      <c r="O402" s="537">
        <v>43978</v>
      </c>
      <c r="P402" s="537">
        <v>44013</v>
      </c>
      <c r="Q402" s="537">
        <v>44053</v>
      </c>
      <c r="R402" s="495" t="s">
        <v>2754</v>
      </c>
      <c r="S402" s="491"/>
      <c r="T402" s="536">
        <v>56923000</v>
      </c>
      <c r="U402" s="536">
        <v>65461450</v>
      </c>
      <c r="V402" s="1471"/>
      <c r="W402" s="1471"/>
      <c r="X402" s="1471"/>
      <c r="Y402" s="573">
        <v>44053</v>
      </c>
      <c r="Z402" s="1375" t="s">
        <v>7323</v>
      </c>
      <c r="AA402" s="537">
        <v>44090</v>
      </c>
      <c r="AB402" s="537">
        <v>44103</v>
      </c>
      <c r="AC402" s="537">
        <v>45184</v>
      </c>
      <c r="AD402" s="537">
        <v>44285</v>
      </c>
      <c r="AE402" s="852">
        <v>44641</v>
      </c>
      <c r="AF402" s="388">
        <v>2022</v>
      </c>
      <c r="AG402" s="388" t="s">
        <v>7593</v>
      </c>
      <c r="AH402" s="360"/>
      <c r="AJ402" s="1944"/>
      <c r="AK402" s="1944"/>
      <c r="AL402" s="1944"/>
      <c r="AM402" s="1944"/>
      <c r="AN402" s="1944"/>
      <c r="AO402" s="1944"/>
      <c r="AP402" s="1944"/>
      <c r="AQ402" s="1944"/>
      <c r="AR402" s="1944"/>
      <c r="AS402" s="1944"/>
    </row>
    <row r="403" spans="1:45" ht="30">
      <c r="A403" s="1944"/>
      <c r="B403" s="1944"/>
      <c r="C403" s="1989">
        <v>43966</v>
      </c>
      <c r="D403" s="1382" t="s">
        <v>6847</v>
      </c>
      <c r="E403" s="506" t="s">
        <v>2434</v>
      </c>
      <c r="F403" s="506" t="s">
        <v>751</v>
      </c>
      <c r="G403" s="1408" t="s">
        <v>6848</v>
      </c>
      <c r="H403" s="506">
        <v>3</v>
      </c>
      <c r="I403" s="548" t="s">
        <v>6851</v>
      </c>
      <c r="J403" s="506"/>
      <c r="K403" s="506" t="s">
        <v>786</v>
      </c>
      <c r="L403" s="506"/>
      <c r="M403" s="511">
        <v>25040000</v>
      </c>
      <c r="N403" s="506" t="s">
        <v>251</v>
      </c>
      <c r="O403" s="510">
        <v>43978</v>
      </c>
      <c r="P403" s="510">
        <v>44013</v>
      </c>
      <c r="Q403" s="510"/>
      <c r="R403" s="548"/>
      <c r="S403" s="2009" t="s">
        <v>8025</v>
      </c>
      <c r="T403" s="511"/>
      <c r="U403" s="511"/>
      <c r="V403" s="1470"/>
      <c r="W403" s="1470"/>
      <c r="X403" s="1470"/>
      <c r="Y403" s="511"/>
      <c r="Z403" s="511"/>
      <c r="AA403" s="506"/>
      <c r="AB403" s="510">
        <v>44103</v>
      </c>
      <c r="AC403" s="2010" t="s">
        <v>7518</v>
      </c>
      <c r="AD403" s="506"/>
      <c r="AE403" s="521"/>
      <c r="AH403" s="360"/>
      <c r="AJ403" s="1944"/>
      <c r="AK403" s="1944"/>
      <c r="AL403" s="1944"/>
      <c r="AM403" s="1944"/>
      <c r="AN403" s="1944"/>
      <c r="AO403" s="1944"/>
      <c r="AP403" s="1944"/>
      <c r="AQ403" s="1944"/>
      <c r="AR403" s="1944"/>
      <c r="AS403" s="1944"/>
    </row>
    <row r="404" spans="1:45" ht="45.75" thickBot="1">
      <c r="A404" s="1944"/>
      <c r="B404" s="1944"/>
      <c r="C404" s="1737">
        <v>43966</v>
      </c>
      <c r="D404" s="1377" t="s">
        <v>6847</v>
      </c>
      <c r="E404" s="1376" t="s">
        <v>2434</v>
      </c>
      <c r="F404" s="1376" t="s">
        <v>751</v>
      </c>
      <c r="G404" s="2005" t="s">
        <v>6848</v>
      </c>
      <c r="H404" s="1376">
        <v>4</v>
      </c>
      <c r="I404" s="1421" t="s">
        <v>6852</v>
      </c>
      <c r="J404" s="1376"/>
      <c r="K404" s="1376" t="s">
        <v>786</v>
      </c>
      <c r="L404" s="1376"/>
      <c r="M404" s="1379">
        <v>72497500</v>
      </c>
      <c r="N404" s="1376" t="s">
        <v>251</v>
      </c>
      <c r="O404" s="1380">
        <v>43978</v>
      </c>
      <c r="P404" s="1380">
        <v>44013</v>
      </c>
      <c r="Q404" s="1380">
        <v>44053</v>
      </c>
      <c r="R404" s="1421" t="s">
        <v>7201</v>
      </c>
      <c r="S404" s="1376"/>
      <c r="T404" s="1379">
        <v>72497500</v>
      </c>
      <c r="U404" s="1379">
        <v>83396125</v>
      </c>
      <c r="V404" s="1475"/>
      <c r="W404" s="1475"/>
      <c r="X404" s="1475"/>
      <c r="Y404" s="1388">
        <v>44053</v>
      </c>
      <c r="Z404" s="1389" t="s">
        <v>7324</v>
      </c>
      <c r="AA404" s="1380">
        <v>44090</v>
      </c>
      <c r="AB404" s="1380">
        <v>44103</v>
      </c>
      <c r="AC404" s="1380">
        <v>45184</v>
      </c>
      <c r="AD404" s="1380" t="s">
        <v>8483</v>
      </c>
      <c r="AE404" s="1530">
        <v>44641</v>
      </c>
      <c r="AF404" s="388">
        <v>2022</v>
      </c>
      <c r="AG404" s="388" t="s">
        <v>7593</v>
      </c>
      <c r="AH404" s="360"/>
      <c r="AJ404" s="1944"/>
      <c r="AK404" s="1944"/>
      <c r="AL404" s="1944"/>
      <c r="AM404" s="1944"/>
      <c r="AN404" s="1944"/>
      <c r="AO404" s="1944"/>
      <c r="AP404" s="1944"/>
      <c r="AQ404" s="1944"/>
      <c r="AR404" s="1944"/>
      <c r="AS404" s="1944"/>
    </row>
    <row r="405" spans="1:45" ht="45.75" thickTop="1">
      <c r="A405" s="1944"/>
      <c r="B405" s="1944"/>
      <c r="C405" s="474">
        <v>43972</v>
      </c>
      <c r="D405" s="1383" t="s">
        <v>6853</v>
      </c>
      <c r="E405" s="453" t="s">
        <v>4314</v>
      </c>
      <c r="F405" s="453" t="s">
        <v>6860</v>
      </c>
      <c r="G405" s="473" t="s">
        <v>6854</v>
      </c>
      <c r="H405" s="453">
        <v>1</v>
      </c>
      <c r="I405" s="1420" t="s">
        <v>6856</v>
      </c>
      <c r="J405" s="453"/>
      <c r="K405" s="1420" t="s">
        <v>6855</v>
      </c>
      <c r="L405" s="453"/>
      <c r="M405" s="457">
        <v>16530527</v>
      </c>
      <c r="N405" s="453" t="s">
        <v>251</v>
      </c>
      <c r="O405" s="474">
        <v>44000</v>
      </c>
      <c r="P405" s="474">
        <v>44061</v>
      </c>
      <c r="Q405" s="474">
        <v>44124</v>
      </c>
      <c r="R405" s="1420" t="s">
        <v>5354</v>
      </c>
      <c r="S405" s="453"/>
      <c r="T405" s="457">
        <v>15004968.720000001</v>
      </c>
      <c r="U405" s="457">
        <v>18156012.149999999</v>
      </c>
      <c r="V405" s="1474"/>
      <c r="W405" s="1474"/>
      <c r="X405" s="1474"/>
      <c r="Y405" s="570">
        <v>44124</v>
      </c>
      <c r="Z405" s="1387" t="s">
        <v>7797</v>
      </c>
      <c r="AA405" s="474">
        <v>44151</v>
      </c>
      <c r="AB405" s="474">
        <v>44159</v>
      </c>
      <c r="AC405" s="2043" t="s">
        <v>7931</v>
      </c>
      <c r="AD405" s="453" t="s">
        <v>8483</v>
      </c>
      <c r="AE405" s="474">
        <v>44645</v>
      </c>
      <c r="AF405" s="388">
        <v>2022</v>
      </c>
      <c r="AG405" s="388">
        <v>2023</v>
      </c>
      <c r="AH405" s="388" t="s">
        <v>4435</v>
      </c>
      <c r="AJ405" s="1944"/>
      <c r="AK405" s="1944"/>
      <c r="AL405" s="1944"/>
      <c r="AM405" s="1944"/>
      <c r="AN405" s="1944"/>
      <c r="AO405" s="1944"/>
      <c r="AP405" s="1944"/>
      <c r="AQ405" s="1944"/>
      <c r="AR405" s="1944"/>
      <c r="AS405" s="1944"/>
    </row>
    <row r="406" spans="1:45" ht="45.75" thickBot="1">
      <c r="A406" s="1944"/>
      <c r="B406" s="1944"/>
      <c r="C406" s="1380">
        <v>43972</v>
      </c>
      <c r="D406" s="1377" t="s">
        <v>6853</v>
      </c>
      <c r="E406" s="1376" t="s">
        <v>4314</v>
      </c>
      <c r="F406" s="1376" t="s">
        <v>6860</v>
      </c>
      <c r="G406" s="1378" t="s">
        <v>6854</v>
      </c>
      <c r="H406" s="1376">
        <v>2</v>
      </c>
      <c r="I406" s="1421" t="s">
        <v>6857</v>
      </c>
      <c r="J406" s="1376"/>
      <c r="K406" s="1983" t="s">
        <v>6855</v>
      </c>
      <c r="L406" s="1376"/>
      <c r="M406" s="1379">
        <v>3020564</v>
      </c>
      <c r="N406" s="1376" t="s">
        <v>251</v>
      </c>
      <c r="O406" s="1380">
        <v>44000</v>
      </c>
      <c r="P406" s="1380">
        <v>44061</v>
      </c>
      <c r="Q406" s="1380">
        <v>44124</v>
      </c>
      <c r="R406" s="1421" t="s">
        <v>5354</v>
      </c>
      <c r="S406" s="1376"/>
      <c r="T406" s="1379">
        <v>3272935.64</v>
      </c>
      <c r="U406" s="1379">
        <v>3960252.12</v>
      </c>
      <c r="V406" s="1475"/>
      <c r="W406" s="1475"/>
      <c r="X406" s="1475"/>
      <c r="Y406" s="1388">
        <v>44124</v>
      </c>
      <c r="Z406" s="1389" t="s">
        <v>7798</v>
      </c>
      <c r="AA406" s="1380">
        <v>44151</v>
      </c>
      <c r="AB406" s="1380">
        <v>44159</v>
      </c>
      <c r="AC406" s="2029" t="s">
        <v>7931</v>
      </c>
      <c r="AD406" s="1376" t="s">
        <v>8483</v>
      </c>
      <c r="AE406" s="1380">
        <v>44645</v>
      </c>
      <c r="AF406" s="388">
        <v>2022</v>
      </c>
      <c r="AG406" s="388">
        <v>2023</v>
      </c>
      <c r="AH406" s="388" t="s">
        <v>4435</v>
      </c>
      <c r="AJ406" s="1944"/>
      <c r="AK406" s="1944"/>
      <c r="AL406" s="1944"/>
      <c r="AM406" s="1944"/>
      <c r="AN406" s="1944"/>
      <c r="AO406" s="1944"/>
      <c r="AP406" s="1944"/>
      <c r="AQ406" s="1944"/>
      <c r="AR406" s="1944"/>
      <c r="AS406" s="1944"/>
    </row>
    <row r="407" spans="1:45" ht="15.75" thickTop="1">
      <c r="A407" s="1944"/>
      <c r="B407" s="1944"/>
      <c r="C407" s="470">
        <v>43966</v>
      </c>
      <c r="D407" s="1515" t="s">
        <v>6871</v>
      </c>
      <c r="E407" s="466" t="s">
        <v>4997</v>
      </c>
      <c r="F407" s="466" t="s">
        <v>167</v>
      </c>
      <c r="G407" s="467" t="s">
        <v>6872</v>
      </c>
      <c r="H407" s="466"/>
      <c r="I407" s="654"/>
      <c r="J407" s="466"/>
      <c r="K407" s="466" t="s">
        <v>5752</v>
      </c>
      <c r="L407" s="466"/>
      <c r="M407" s="472">
        <v>450000</v>
      </c>
      <c r="N407" s="466" t="s">
        <v>112</v>
      </c>
      <c r="O407" s="470">
        <v>43980</v>
      </c>
      <c r="P407" s="470">
        <v>43991</v>
      </c>
      <c r="Q407" s="466"/>
      <c r="R407" s="471" t="s">
        <v>6930</v>
      </c>
      <c r="S407" s="466"/>
      <c r="T407" s="472"/>
      <c r="U407" s="472"/>
      <c r="V407" s="1516"/>
      <c r="W407" s="1516"/>
      <c r="X407" s="1516"/>
      <c r="Y407" s="472"/>
      <c r="Z407" s="472"/>
      <c r="AA407" s="466"/>
      <c r="AB407" s="470">
        <v>43986</v>
      </c>
      <c r="AC407" s="466"/>
      <c r="AD407" s="466"/>
      <c r="AE407" s="466"/>
      <c r="AJ407" s="1944"/>
      <c r="AK407" s="1944"/>
      <c r="AL407" s="1944"/>
      <c r="AM407" s="1944"/>
      <c r="AN407" s="1944"/>
      <c r="AO407" s="1944"/>
      <c r="AP407" s="1944"/>
      <c r="AQ407" s="1944"/>
      <c r="AR407" s="1944"/>
      <c r="AS407" s="1944"/>
    </row>
    <row r="408" spans="1:45" ht="30">
      <c r="A408" s="1944"/>
      <c r="B408" s="1944"/>
      <c r="C408" s="537">
        <v>43966</v>
      </c>
      <c r="D408" s="1373" t="s">
        <v>6873</v>
      </c>
      <c r="E408" s="491" t="s">
        <v>58</v>
      </c>
      <c r="F408" s="491" t="s">
        <v>2684</v>
      </c>
      <c r="G408" s="571" t="s">
        <v>6877</v>
      </c>
      <c r="H408" s="491"/>
      <c r="I408" s="495"/>
      <c r="J408" s="540"/>
      <c r="K408" s="491" t="s">
        <v>6874</v>
      </c>
      <c r="L408" s="491"/>
      <c r="M408" s="536">
        <v>63500000</v>
      </c>
      <c r="N408" s="491" t="s">
        <v>251</v>
      </c>
      <c r="O408" s="537">
        <v>44053</v>
      </c>
      <c r="P408" s="537">
        <v>44109</v>
      </c>
      <c r="Q408" s="537">
        <v>44145</v>
      </c>
      <c r="R408" s="495" t="s">
        <v>3107</v>
      </c>
      <c r="S408" s="491"/>
      <c r="T408" s="536">
        <v>58153200</v>
      </c>
      <c r="U408" s="536">
        <v>70365372</v>
      </c>
      <c r="V408" s="1472"/>
      <c r="W408" s="1472"/>
      <c r="X408" s="1472"/>
      <c r="Y408" s="573">
        <v>44145</v>
      </c>
      <c r="Z408" s="1375" t="s">
        <v>7869</v>
      </c>
      <c r="AA408" s="537">
        <v>44188</v>
      </c>
      <c r="AB408" s="537">
        <v>44201</v>
      </c>
      <c r="AC408" s="495" t="s">
        <v>8096</v>
      </c>
      <c r="AD408" s="537">
        <v>44519</v>
      </c>
      <c r="AE408" s="1374" t="s">
        <v>1875</v>
      </c>
      <c r="AJ408" s="1944"/>
      <c r="AK408" s="1944"/>
      <c r="AL408" s="1944"/>
      <c r="AM408" s="1944"/>
      <c r="AN408" s="1944"/>
      <c r="AO408" s="1944"/>
      <c r="AP408" s="1944"/>
      <c r="AQ408" s="1944"/>
      <c r="AR408" s="1944"/>
      <c r="AS408" s="1944"/>
    </row>
    <row r="409" spans="1:45" ht="45">
      <c r="A409" s="1944"/>
      <c r="B409" s="1944"/>
      <c r="C409" s="416">
        <v>43969</v>
      </c>
      <c r="D409" s="1468" t="s">
        <v>6960</v>
      </c>
      <c r="E409" s="411" t="s">
        <v>2434</v>
      </c>
      <c r="F409" s="411" t="s">
        <v>219</v>
      </c>
      <c r="G409" s="412" t="s">
        <v>3012</v>
      </c>
      <c r="H409" s="411"/>
      <c r="I409" s="630"/>
      <c r="J409" s="411"/>
      <c r="K409" s="411" t="s">
        <v>642</v>
      </c>
      <c r="L409" s="411"/>
      <c r="M409" s="417">
        <v>6344402</v>
      </c>
      <c r="N409" s="411" t="s">
        <v>251</v>
      </c>
      <c r="O409" s="416">
        <v>43997</v>
      </c>
      <c r="P409" s="416">
        <v>44029</v>
      </c>
      <c r="Q409" s="416">
        <v>44047</v>
      </c>
      <c r="R409" s="630" t="s">
        <v>7252</v>
      </c>
      <c r="S409" s="411"/>
      <c r="T409" s="417">
        <v>6518986.4000000004</v>
      </c>
      <c r="U409" s="417">
        <v>7887972.0800000001</v>
      </c>
      <c r="V409" s="1480"/>
      <c r="W409" s="1480"/>
      <c r="X409" s="1480"/>
      <c r="Y409" s="513">
        <v>44047</v>
      </c>
      <c r="Z409" s="1553" t="s">
        <v>7251</v>
      </c>
      <c r="AA409" s="416">
        <v>44103</v>
      </c>
      <c r="AB409" s="416">
        <v>44106</v>
      </c>
      <c r="AC409" s="411" t="s">
        <v>4096</v>
      </c>
      <c r="AD409" s="416">
        <v>44285</v>
      </c>
      <c r="AE409" s="416">
        <v>44641</v>
      </c>
      <c r="AF409" s="388">
        <v>2022</v>
      </c>
      <c r="AG409" s="388">
        <v>2023</v>
      </c>
      <c r="AH409" s="388" t="s">
        <v>4435</v>
      </c>
      <c r="AJ409" s="1944"/>
      <c r="AK409" s="1944"/>
      <c r="AL409" s="1944"/>
      <c r="AM409" s="1944"/>
      <c r="AN409" s="1944"/>
      <c r="AO409" s="1944"/>
      <c r="AP409" s="1944"/>
      <c r="AQ409" s="1944"/>
      <c r="AR409" s="1944"/>
      <c r="AS409" s="1944"/>
    </row>
    <row r="410" spans="1:45" ht="15.75" thickBot="1">
      <c r="A410" s="1944"/>
      <c r="B410" s="1944"/>
      <c r="C410" s="643">
        <v>43971</v>
      </c>
      <c r="D410" s="1491" t="s">
        <v>6878</v>
      </c>
      <c r="E410" s="639" t="s">
        <v>2434</v>
      </c>
      <c r="F410" s="639" t="s">
        <v>219</v>
      </c>
      <c r="G410" s="640" t="s">
        <v>6879</v>
      </c>
      <c r="H410" s="639"/>
      <c r="I410" s="1533"/>
      <c r="J410" s="639"/>
      <c r="K410" s="639" t="s">
        <v>642</v>
      </c>
      <c r="L410" s="639"/>
      <c r="M410" s="645">
        <v>1493100</v>
      </c>
      <c r="N410" s="639" t="s">
        <v>112</v>
      </c>
      <c r="O410" s="643">
        <v>43984</v>
      </c>
      <c r="P410" s="643">
        <v>43993</v>
      </c>
      <c r="Q410" s="639"/>
      <c r="R410" s="644" t="s">
        <v>304</v>
      </c>
      <c r="S410" s="2019" t="s">
        <v>7495</v>
      </c>
      <c r="T410" s="645"/>
      <c r="U410" s="645"/>
      <c r="V410" s="1534"/>
      <c r="W410" s="1534"/>
      <c r="X410" s="1534"/>
      <c r="Y410" s="645"/>
      <c r="Z410" s="645"/>
      <c r="AA410" s="639"/>
      <c r="AB410" s="643">
        <v>43993</v>
      </c>
      <c r="AC410" s="639"/>
      <c r="AD410" s="639"/>
      <c r="AE410" s="639"/>
      <c r="AJ410" s="1944"/>
      <c r="AK410" s="1944"/>
      <c r="AL410" s="1944"/>
      <c r="AM410" s="1944"/>
      <c r="AN410" s="1944"/>
      <c r="AO410" s="1944"/>
      <c r="AP410" s="1944"/>
      <c r="AQ410" s="1944"/>
      <c r="AR410" s="1944"/>
      <c r="AS410" s="1944"/>
    </row>
    <row r="411" spans="1:45" ht="30.75" thickTop="1">
      <c r="A411" s="1944"/>
      <c r="B411" s="1944"/>
      <c r="C411" s="474">
        <v>43957</v>
      </c>
      <c r="D411" s="1383" t="s">
        <v>6882</v>
      </c>
      <c r="E411" s="453" t="s">
        <v>2434</v>
      </c>
      <c r="F411" s="453" t="s">
        <v>751</v>
      </c>
      <c r="G411" s="473" t="s">
        <v>6883</v>
      </c>
      <c r="H411" s="453">
        <v>1</v>
      </c>
      <c r="I411" s="1420" t="s">
        <v>6885</v>
      </c>
      <c r="J411" s="453"/>
      <c r="K411" s="453" t="s">
        <v>6884</v>
      </c>
      <c r="L411" s="453"/>
      <c r="M411" s="457">
        <v>26880000</v>
      </c>
      <c r="N411" s="453" t="s">
        <v>251</v>
      </c>
      <c r="O411" s="474">
        <v>44000</v>
      </c>
      <c r="P411" s="474">
        <v>44047</v>
      </c>
      <c r="Q411" s="474">
        <v>44116</v>
      </c>
      <c r="R411" s="1420" t="s">
        <v>2974</v>
      </c>
      <c r="S411" s="453"/>
      <c r="T411" s="457">
        <v>26880000</v>
      </c>
      <c r="U411" s="457">
        <f t="shared" ref="U411:U416" si="0">T411*1.15</f>
        <v>30911999.999999996</v>
      </c>
      <c r="V411" s="1474"/>
      <c r="W411" s="1474"/>
      <c r="X411" s="1474"/>
      <c r="Y411" s="570">
        <v>44116</v>
      </c>
      <c r="Z411" s="1387" t="s">
        <v>7746</v>
      </c>
      <c r="AA411" s="474">
        <v>44148</v>
      </c>
      <c r="AB411" s="474">
        <v>44167</v>
      </c>
      <c r="AC411" s="474">
        <v>45242</v>
      </c>
      <c r="AD411" s="474">
        <v>44285</v>
      </c>
      <c r="AE411" s="474">
        <v>44641</v>
      </c>
      <c r="AF411" s="1391">
        <v>2022</v>
      </c>
      <c r="AG411" s="1391" t="s">
        <v>7918</v>
      </c>
      <c r="AJ411" s="1944"/>
      <c r="AK411" s="1944"/>
      <c r="AL411" s="1944"/>
      <c r="AM411" s="1944"/>
      <c r="AN411" s="1944"/>
      <c r="AO411" s="1944"/>
      <c r="AP411" s="1944"/>
      <c r="AQ411" s="1944"/>
      <c r="AR411" s="1944"/>
      <c r="AS411" s="1944"/>
    </row>
    <row r="412" spans="1:45" ht="30">
      <c r="A412" s="1944"/>
      <c r="B412" s="1944"/>
      <c r="C412" s="537">
        <v>43957</v>
      </c>
      <c r="D412" s="1373" t="s">
        <v>6882</v>
      </c>
      <c r="E412" s="491" t="s">
        <v>2434</v>
      </c>
      <c r="F412" s="491" t="s">
        <v>751</v>
      </c>
      <c r="G412" s="571" t="s">
        <v>6883</v>
      </c>
      <c r="H412" s="491">
        <v>2</v>
      </c>
      <c r="I412" s="495" t="s">
        <v>6886</v>
      </c>
      <c r="J412" s="491"/>
      <c r="K412" s="491" t="s">
        <v>6884</v>
      </c>
      <c r="L412" s="491"/>
      <c r="M412" s="536">
        <v>14520000</v>
      </c>
      <c r="N412" s="491" t="s">
        <v>251</v>
      </c>
      <c r="O412" s="537">
        <v>44000</v>
      </c>
      <c r="P412" s="537">
        <v>44047</v>
      </c>
      <c r="Q412" s="537">
        <v>44116</v>
      </c>
      <c r="R412" s="495" t="s">
        <v>7201</v>
      </c>
      <c r="S412" s="491"/>
      <c r="T412" s="536">
        <v>14520000</v>
      </c>
      <c r="U412" s="536">
        <f t="shared" si="0"/>
        <v>16697999.999999998</v>
      </c>
      <c r="V412" s="1471"/>
      <c r="W412" s="1471"/>
      <c r="X412" s="1471"/>
      <c r="Y412" s="573">
        <v>44116</v>
      </c>
      <c r="Z412" s="1375" t="s">
        <v>7747</v>
      </c>
      <c r="AA412" s="537">
        <v>44148</v>
      </c>
      <c r="AB412" s="537">
        <v>44167</v>
      </c>
      <c r="AC412" s="537">
        <v>45242</v>
      </c>
      <c r="AD412" s="491" t="s">
        <v>8483</v>
      </c>
      <c r="AE412" s="537">
        <v>44641</v>
      </c>
      <c r="AF412" s="1374">
        <v>2022</v>
      </c>
      <c r="AG412" s="1374" t="s">
        <v>7918</v>
      </c>
      <c r="AJ412" s="1944"/>
      <c r="AK412" s="1944"/>
      <c r="AL412" s="1944"/>
      <c r="AM412" s="1944"/>
      <c r="AN412" s="1944"/>
      <c r="AO412" s="1944"/>
      <c r="AP412" s="1944"/>
      <c r="AQ412" s="1944"/>
      <c r="AR412" s="1944"/>
      <c r="AS412" s="1944"/>
    </row>
    <row r="413" spans="1:45" ht="30">
      <c r="A413" s="1944"/>
      <c r="B413" s="1944"/>
      <c r="C413" s="537">
        <v>43957</v>
      </c>
      <c r="D413" s="1373" t="s">
        <v>6882</v>
      </c>
      <c r="E413" s="491" t="s">
        <v>2434</v>
      </c>
      <c r="F413" s="491" t="s">
        <v>751</v>
      </c>
      <c r="G413" s="571" t="s">
        <v>6883</v>
      </c>
      <c r="H413" s="491">
        <v>3</v>
      </c>
      <c r="I413" s="495" t="s">
        <v>6887</v>
      </c>
      <c r="J413" s="491"/>
      <c r="K413" s="491" t="s">
        <v>6884</v>
      </c>
      <c r="L413" s="491"/>
      <c r="M413" s="536">
        <v>6525000</v>
      </c>
      <c r="N413" s="491" t="s">
        <v>251</v>
      </c>
      <c r="O413" s="537">
        <v>44000</v>
      </c>
      <c r="P413" s="537">
        <v>44047</v>
      </c>
      <c r="Q413" s="537">
        <v>44116</v>
      </c>
      <c r="R413" s="495" t="s">
        <v>7391</v>
      </c>
      <c r="S413" s="491"/>
      <c r="T413" s="536">
        <v>6525000</v>
      </c>
      <c r="U413" s="536">
        <f t="shared" si="0"/>
        <v>7503749.9999999991</v>
      </c>
      <c r="V413" s="1471"/>
      <c r="W413" s="1471"/>
      <c r="X413" s="1471"/>
      <c r="Y413" s="573">
        <v>44116</v>
      </c>
      <c r="Z413" s="1375" t="s">
        <v>7748</v>
      </c>
      <c r="AA413" s="537">
        <v>44148</v>
      </c>
      <c r="AB413" s="537">
        <v>44167</v>
      </c>
      <c r="AC413" s="537">
        <v>45242</v>
      </c>
      <c r="AD413" s="537">
        <v>44285</v>
      </c>
      <c r="AE413" s="537">
        <v>44641</v>
      </c>
      <c r="AF413" s="1374">
        <v>2022</v>
      </c>
      <c r="AG413" s="1374" t="s">
        <v>7918</v>
      </c>
      <c r="AJ413" s="1944"/>
      <c r="AK413" s="1944"/>
      <c r="AL413" s="1944"/>
      <c r="AM413" s="1944"/>
      <c r="AN413" s="1944"/>
      <c r="AO413" s="1944"/>
      <c r="AP413" s="1944"/>
      <c r="AQ413" s="1944"/>
      <c r="AR413" s="1944"/>
      <c r="AS413" s="1944"/>
    </row>
    <row r="414" spans="1:45" ht="30">
      <c r="A414" s="1944"/>
      <c r="B414" s="1944"/>
      <c r="C414" s="537">
        <v>43957</v>
      </c>
      <c r="D414" s="1373" t="s">
        <v>6882</v>
      </c>
      <c r="E414" s="491" t="s">
        <v>2434</v>
      </c>
      <c r="F414" s="491" t="s">
        <v>751</v>
      </c>
      <c r="G414" s="571" t="s">
        <v>6883</v>
      </c>
      <c r="H414" s="491">
        <v>4</v>
      </c>
      <c r="I414" s="495" t="s">
        <v>6888</v>
      </c>
      <c r="J414" s="491"/>
      <c r="K414" s="491" t="s">
        <v>6884</v>
      </c>
      <c r="L414" s="491"/>
      <c r="M414" s="536">
        <v>7260000</v>
      </c>
      <c r="N414" s="491" t="s">
        <v>251</v>
      </c>
      <c r="O414" s="537">
        <v>44000</v>
      </c>
      <c r="P414" s="537">
        <v>44047</v>
      </c>
      <c r="Q414" s="537">
        <v>44116</v>
      </c>
      <c r="R414" s="495" t="s">
        <v>7255</v>
      </c>
      <c r="S414" s="491"/>
      <c r="T414" s="536">
        <v>7260000</v>
      </c>
      <c r="U414" s="536">
        <f t="shared" si="0"/>
        <v>8348999.9999999991</v>
      </c>
      <c r="V414" s="1471"/>
      <c r="W414" s="1471"/>
      <c r="X414" s="1471"/>
      <c r="Y414" s="573">
        <v>44116</v>
      </c>
      <c r="Z414" s="1375" t="s">
        <v>7749</v>
      </c>
      <c r="AA414" s="537">
        <v>44160</v>
      </c>
      <c r="AB414" s="537">
        <v>44167</v>
      </c>
      <c r="AC414" s="537">
        <v>45254</v>
      </c>
      <c r="AD414" s="491" t="s">
        <v>8483</v>
      </c>
      <c r="AE414" s="537">
        <v>44641</v>
      </c>
      <c r="AF414" s="1374">
        <v>2022</v>
      </c>
      <c r="AG414" s="1374" t="s">
        <v>7975</v>
      </c>
      <c r="AJ414" s="1944"/>
      <c r="AK414" s="1944"/>
      <c r="AL414" s="1944"/>
      <c r="AM414" s="1944"/>
      <c r="AN414" s="1944"/>
      <c r="AO414" s="1944"/>
      <c r="AP414" s="1944"/>
      <c r="AQ414" s="1944"/>
      <c r="AR414" s="1944"/>
      <c r="AS414" s="1944"/>
    </row>
    <row r="415" spans="1:45" ht="30">
      <c r="A415" s="1944"/>
      <c r="B415" s="1944"/>
      <c r="C415" s="537">
        <v>43957</v>
      </c>
      <c r="D415" s="1373" t="s">
        <v>6882</v>
      </c>
      <c r="E415" s="491" t="s">
        <v>2434</v>
      </c>
      <c r="F415" s="491" t="s">
        <v>751</v>
      </c>
      <c r="G415" s="571" t="s">
        <v>6883</v>
      </c>
      <c r="H415" s="491">
        <v>5</v>
      </c>
      <c r="I415" s="495" t="s">
        <v>6889</v>
      </c>
      <c r="J415" s="491"/>
      <c r="K415" s="491" t="s">
        <v>6884</v>
      </c>
      <c r="L415" s="491"/>
      <c r="M415" s="536">
        <v>2730000</v>
      </c>
      <c r="N415" s="491" t="s">
        <v>251</v>
      </c>
      <c r="O415" s="537">
        <v>44000</v>
      </c>
      <c r="P415" s="537">
        <v>44047</v>
      </c>
      <c r="Q415" s="537">
        <v>44116</v>
      </c>
      <c r="R415" s="495" t="s">
        <v>2973</v>
      </c>
      <c r="S415" s="491"/>
      <c r="T415" s="536">
        <v>2724000</v>
      </c>
      <c r="U415" s="536">
        <f t="shared" si="0"/>
        <v>3132599.9999999995</v>
      </c>
      <c r="V415" s="1471"/>
      <c r="W415" s="1471"/>
      <c r="X415" s="1471"/>
      <c r="Y415" s="573">
        <v>44116</v>
      </c>
      <c r="Z415" s="1375" t="s">
        <v>7750</v>
      </c>
      <c r="AA415" s="537">
        <v>44155</v>
      </c>
      <c r="AB415" s="537">
        <v>44167</v>
      </c>
      <c r="AC415" s="537">
        <v>45249</v>
      </c>
      <c r="AD415" s="537">
        <v>44285</v>
      </c>
      <c r="AE415" s="537">
        <v>44641</v>
      </c>
      <c r="AF415" s="1374">
        <v>2022</v>
      </c>
      <c r="AG415" s="1374" t="s">
        <v>7932</v>
      </c>
      <c r="AJ415" s="1944"/>
      <c r="AK415" s="1944"/>
      <c r="AL415" s="1944"/>
      <c r="AM415" s="1944"/>
      <c r="AN415" s="1944"/>
      <c r="AO415" s="1944"/>
      <c r="AP415" s="1944"/>
      <c r="AQ415" s="1944"/>
      <c r="AR415" s="1944"/>
      <c r="AS415" s="1944"/>
    </row>
    <row r="416" spans="1:45" ht="30.75" thickBot="1">
      <c r="A416" s="1944"/>
      <c r="B416" s="1944"/>
      <c r="C416" s="1380">
        <v>43957</v>
      </c>
      <c r="D416" s="1377" t="s">
        <v>6882</v>
      </c>
      <c r="E416" s="1376" t="s">
        <v>2434</v>
      </c>
      <c r="F416" s="1376" t="s">
        <v>751</v>
      </c>
      <c r="G416" s="1378" t="s">
        <v>6883</v>
      </c>
      <c r="H416" s="1376">
        <v>6</v>
      </c>
      <c r="I416" s="1421" t="s">
        <v>6890</v>
      </c>
      <c r="J416" s="1376"/>
      <c r="K416" s="1376" t="s">
        <v>6884</v>
      </c>
      <c r="L416" s="1376"/>
      <c r="M416" s="1379">
        <v>2340000</v>
      </c>
      <c r="N416" s="1376" t="s">
        <v>251</v>
      </c>
      <c r="O416" s="1380">
        <v>44000</v>
      </c>
      <c r="P416" s="1380">
        <v>44047</v>
      </c>
      <c r="Q416" s="1380">
        <v>44116</v>
      </c>
      <c r="R416" s="1421" t="s">
        <v>2974</v>
      </c>
      <c r="S416" s="1376"/>
      <c r="T416" s="1379">
        <v>1580000</v>
      </c>
      <c r="U416" s="1379">
        <f t="shared" si="0"/>
        <v>1816999.9999999998</v>
      </c>
      <c r="V416" s="1475"/>
      <c r="W416" s="1475"/>
      <c r="X416" s="1475"/>
      <c r="Y416" s="1388">
        <v>44116</v>
      </c>
      <c r="Z416" s="1389" t="s">
        <v>7751</v>
      </c>
      <c r="AA416" s="1380">
        <v>44148</v>
      </c>
      <c r="AB416" s="1380">
        <v>44167</v>
      </c>
      <c r="AC416" s="1380">
        <v>45242</v>
      </c>
      <c r="AD416" s="1376" t="s">
        <v>8483</v>
      </c>
      <c r="AE416" s="1376" t="s">
        <v>11373</v>
      </c>
      <c r="AF416" s="1381">
        <v>2022</v>
      </c>
      <c r="AG416" s="1381" t="s">
        <v>7918</v>
      </c>
      <c r="AJ416" s="1944"/>
      <c r="AK416" s="1944"/>
      <c r="AL416" s="1944"/>
      <c r="AM416" s="1944"/>
      <c r="AN416" s="1944"/>
      <c r="AO416" s="1944"/>
      <c r="AP416" s="1944"/>
      <c r="AQ416" s="1944"/>
      <c r="AR416" s="1944"/>
      <c r="AS416" s="1944"/>
    </row>
    <row r="417" spans="1:45" ht="15.75" thickTop="1">
      <c r="A417" s="1944"/>
      <c r="B417" s="1944"/>
      <c r="C417" s="474">
        <v>44061</v>
      </c>
      <c r="D417" s="453" t="s">
        <v>7381</v>
      </c>
      <c r="E417" s="453" t="s">
        <v>69</v>
      </c>
      <c r="F417" s="453" t="s">
        <v>70</v>
      </c>
      <c r="G417" s="473" t="s">
        <v>7382</v>
      </c>
      <c r="H417" s="453">
        <v>1</v>
      </c>
      <c r="I417" s="1420" t="s">
        <v>7383</v>
      </c>
      <c r="J417" s="453"/>
      <c r="K417" s="453" t="s">
        <v>93</v>
      </c>
      <c r="L417" s="453"/>
      <c r="M417" s="457">
        <v>594360</v>
      </c>
      <c r="N417" s="453" t="s">
        <v>251</v>
      </c>
      <c r="O417" s="474">
        <v>44063</v>
      </c>
      <c r="P417" s="474">
        <v>44096</v>
      </c>
      <c r="Q417" s="474">
        <v>44131</v>
      </c>
      <c r="R417" s="1420" t="s">
        <v>7316</v>
      </c>
      <c r="S417" s="453"/>
      <c r="T417" s="457">
        <v>371280</v>
      </c>
      <c r="U417" s="457">
        <v>408408</v>
      </c>
      <c r="V417" s="1474"/>
      <c r="W417" s="1474"/>
      <c r="X417" s="1474"/>
      <c r="Y417" s="570">
        <v>44131</v>
      </c>
      <c r="Z417" s="457" t="s">
        <v>7818</v>
      </c>
      <c r="AA417" s="474">
        <v>44155</v>
      </c>
      <c r="AB417" s="474">
        <v>44162</v>
      </c>
      <c r="AC417" s="474">
        <v>45249</v>
      </c>
      <c r="AD417" s="453" t="s">
        <v>8483</v>
      </c>
      <c r="AE417" s="474">
        <v>44645</v>
      </c>
      <c r="AF417" s="1391">
        <v>2022</v>
      </c>
      <c r="AG417" s="1391" t="s">
        <v>7932</v>
      </c>
      <c r="AJ417" s="1944"/>
      <c r="AK417" s="1944"/>
      <c r="AL417" s="1944"/>
      <c r="AM417" s="1944"/>
      <c r="AN417" s="1944"/>
      <c r="AO417" s="1944"/>
      <c r="AP417" s="1944"/>
      <c r="AQ417" s="1944"/>
      <c r="AR417" s="1944"/>
      <c r="AS417" s="1944"/>
    </row>
    <row r="418" spans="1:45">
      <c r="A418" s="1944"/>
      <c r="B418" s="1944"/>
      <c r="C418" s="537">
        <v>44061</v>
      </c>
      <c r="D418" s="491" t="s">
        <v>7381</v>
      </c>
      <c r="E418" s="491" t="s">
        <v>69</v>
      </c>
      <c r="F418" s="491" t="s">
        <v>70</v>
      </c>
      <c r="G418" s="571" t="s">
        <v>7382</v>
      </c>
      <c r="H418" s="491">
        <v>2</v>
      </c>
      <c r="I418" s="495" t="s">
        <v>7384</v>
      </c>
      <c r="J418" s="491"/>
      <c r="K418" s="491" t="s">
        <v>93</v>
      </c>
      <c r="L418" s="491"/>
      <c r="M418" s="536">
        <v>3133507</v>
      </c>
      <c r="N418" s="491" t="s">
        <v>251</v>
      </c>
      <c r="O418" s="537">
        <v>44063</v>
      </c>
      <c r="P418" s="537">
        <v>44096</v>
      </c>
      <c r="Q418" s="537">
        <v>44131</v>
      </c>
      <c r="R418" s="495" t="s">
        <v>1646</v>
      </c>
      <c r="S418" s="491"/>
      <c r="T418" s="536">
        <v>3115092.24</v>
      </c>
      <c r="U418" s="536">
        <v>3426601.46</v>
      </c>
      <c r="V418" s="1471"/>
      <c r="W418" s="1471"/>
      <c r="X418" s="1471"/>
      <c r="Y418" s="573">
        <v>44131</v>
      </c>
      <c r="Z418" s="536" t="s">
        <v>7819</v>
      </c>
      <c r="AA418" s="537">
        <v>44155</v>
      </c>
      <c r="AB418" s="537">
        <v>44162</v>
      </c>
      <c r="AC418" s="537">
        <v>45249</v>
      </c>
      <c r="AD418" s="537">
        <v>44279</v>
      </c>
      <c r="AE418" s="537">
        <v>44645</v>
      </c>
      <c r="AF418" s="1374">
        <v>2022</v>
      </c>
      <c r="AG418" s="1374" t="s">
        <v>7932</v>
      </c>
      <c r="AJ418" s="1944"/>
      <c r="AK418" s="1944"/>
      <c r="AL418" s="1944"/>
      <c r="AM418" s="1944"/>
      <c r="AN418" s="1944"/>
      <c r="AO418" s="1944"/>
      <c r="AP418" s="1944"/>
      <c r="AQ418" s="1944"/>
      <c r="AR418" s="1944"/>
      <c r="AS418" s="1944"/>
    </row>
    <row r="419" spans="1:45" ht="15.75" thickBot="1">
      <c r="A419" s="1944"/>
      <c r="B419" s="1944"/>
      <c r="C419" s="1380">
        <v>44061</v>
      </c>
      <c r="D419" s="1376" t="s">
        <v>7381</v>
      </c>
      <c r="E419" s="1376" t="s">
        <v>69</v>
      </c>
      <c r="F419" s="1376" t="s">
        <v>70</v>
      </c>
      <c r="G419" s="1378" t="s">
        <v>7382</v>
      </c>
      <c r="H419" s="1376">
        <v>3</v>
      </c>
      <c r="I419" s="1421" t="s">
        <v>7385</v>
      </c>
      <c r="J419" s="1376"/>
      <c r="K419" s="1376" t="s">
        <v>93</v>
      </c>
      <c r="L419" s="1376"/>
      <c r="M419" s="1379">
        <v>3224802</v>
      </c>
      <c r="N419" s="1376" t="s">
        <v>251</v>
      </c>
      <c r="O419" s="1380">
        <v>44063</v>
      </c>
      <c r="P419" s="1380">
        <v>44096</v>
      </c>
      <c r="Q419" s="1380">
        <v>44131</v>
      </c>
      <c r="R419" s="1421" t="s">
        <v>7316</v>
      </c>
      <c r="S419" s="1376"/>
      <c r="T419" s="1379">
        <v>3224804.67</v>
      </c>
      <c r="U419" s="1379">
        <v>3547281.84</v>
      </c>
      <c r="V419" s="1475"/>
      <c r="W419" s="1475"/>
      <c r="X419" s="1475"/>
      <c r="Y419" s="1388">
        <v>44131</v>
      </c>
      <c r="Z419" s="1379" t="s">
        <v>7820</v>
      </c>
      <c r="AA419" s="1380">
        <v>44155</v>
      </c>
      <c r="AB419" s="1380">
        <v>44162</v>
      </c>
      <c r="AC419" s="1380">
        <v>45249</v>
      </c>
      <c r="AD419" s="1380">
        <v>44279</v>
      </c>
      <c r="AE419" s="1380">
        <v>44645</v>
      </c>
      <c r="AF419" s="1374">
        <v>2022</v>
      </c>
      <c r="AG419" s="1374" t="s">
        <v>7932</v>
      </c>
      <c r="AJ419" s="1944"/>
      <c r="AK419" s="1944"/>
      <c r="AL419" s="1944"/>
      <c r="AM419" s="1944"/>
      <c r="AN419" s="1944"/>
      <c r="AO419" s="1944"/>
      <c r="AP419" s="1944"/>
      <c r="AQ419" s="1944"/>
      <c r="AR419" s="1944"/>
      <c r="AS419" s="1944"/>
    </row>
    <row r="420" spans="1:45" ht="15.75" thickTop="1">
      <c r="A420" s="1944"/>
      <c r="B420" s="1944"/>
      <c r="C420" s="474">
        <v>43980</v>
      </c>
      <c r="D420" s="1383" t="s">
        <v>6900</v>
      </c>
      <c r="E420" s="453" t="s">
        <v>69</v>
      </c>
      <c r="F420" s="453" t="s">
        <v>70</v>
      </c>
      <c r="G420" s="473" t="s">
        <v>6901</v>
      </c>
      <c r="H420" s="453">
        <v>1</v>
      </c>
      <c r="I420" s="1420" t="s">
        <v>6902</v>
      </c>
      <c r="J420" s="453"/>
      <c r="K420" s="453" t="s">
        <v>72</v>
      </c>
      <c r="L420" s="453"/>
      <c r="M420" s="457">
        <v>2725193</v>
      </c>
      <c r="N420" s="453" t="s">
        <v>251</v>
      </c>
      <c r="O420" s="474">
        <v>43997</v>
      </c>
      <c r="P420" s="474">
        <v>44032</v>
      </c>
      <c r="Q420" s="474">
        <v>44049</v>
      </c>
      <c r="R420" s="1420" t="s">
        <v>2548</v>
      </c>
      <c r="S420" s="453"/>
      <c r="T420" s="457">
        <v>2725192.8</v>
      </c>
      <c r="U420" s="457">
        <v>2997712.08</v>
      </c>
      <c r="V420" s="1474"/>
      <c r="W420" s="1474"/>
      <c r="X420" s="1474"/>
      <c r="Y420" s="570">
        <v>44049</v>
      </c>
      <c r="Z420" s="457" t="s">
        <v>7283</v>
      </c>
      <c r="AA420" s="474">
        <v>44097</v>
      </c>
      <c r="AB420" s="474">
        <v>44109</v>
      </c>
      <c r="AC420" s="474">
        <v>45191</v>
      </c>
      <c r="AD420" s="365">
        <v>44279</v>
      </c>
      <c r="AE420" s="365">
        <v>44645</v>
      </c>
      <c r="AF420" s="1374">
        <v>2022</v>
      </c>
      <c r="AG420" s="1374" t="s">
        <v>7666</v>
      </c>
      <c r="AJ420" s="1944"/>
      <c r="AK420" s="1944"/>
      <c r="AL420" s="1944"/>
      <c r="AM420" s="1944"/>
      <c r="AN420" s="1944"/>
      <c r="AO420" s="1944"/>
      <c r="AP420" s="1944"/>
      <c r="AQ420" s="1944"/>
      <c r="AR420" s="1944"/>
      <c r="AS420" s="1944"/>
    </row>
    <row r="421" spans="1:45" ht="15.75" thickBot="1">
      <c r="A421" s="1944"/>
      <c r="B421" s="1944"/>
      <c r="C421" s="1380">
        <v>43980</v>
      </c>
      <c r="D421" s="1377" t="s">
        <v>6900</v>
      </c>
      <c r="E421" s="1376" t="s">
        <v>69</v>
      </c>
      <c r="F421" s="1376" t="s">
        <v>70</v>
      </c>
      <c r="G421" s="1378" t="s">
        <v>6901</v>
      </c>
      <c r="H421" s="1376">
        <v>2</v>
      </c>
      <c r="I421" s="1421" t="s">
        <v>6903</v>
      </c>
      <c r="J421" s="1376"/>
      <c r="K421" s="1376" t="s">
        <v>72</v>
      </c>
      <c r="L421" s="1376"/>
      <c r="M421" s="1379">
        <v>4395618</v>
      </c>
      <c r="N421" s="1376" t="s">
        <v>251</v>
      </c>
      <c r="O421" s="1380">
        <v>43997</v>
      </c>
      <c r="P421" s="1380">
        <v>44032</v>
      </c>
      <c r="Q421" s="1380">
        <v>44049</v>
      </c>
      <c r="R421" s="1421" t="s">
        <v>6805</v>
      </c>
      <c r="S421" s="1376"/>
      <c r="T421" s="1379">
        <v>4395618</v>
      </c>
      <c r="U421" s="1379">
        <v>4835179.8</v>
      </c>
      <c r="V421" s="1475"/>
      <c r="W421" s="1475"/>
      <c r="X421" s="1475"/>
      <c r="Y421" s="1388">
        <v>44049</v>
      </c>
      <c r="Z421" s="1379" t="s">
        <v>7284</v>
      </c>
      <c r="AA421" s="1380">
        <v>44096</v>
      </c>
      <c r="AB421" s="1380">
        <v>44109</v>
      </c>
      <c r="AC421" s="1380">
        <v>45190</v>
      </c>
      <c r="AD421" s="1376" t="s">
        <v>8483</v>
      </c>
      <c r="AE421" s="1380" t="s">
        <v>11373</v>
      </c>
      <c r="AF421" s="1374">
        <v>2022</v>
      </c>
      <c r="AG421" s="1374" t="s">
        <v>7656</v>
      </c>
      <c r="AJ421" s="1944"/>
      <c r="AK421" s="1944"/>
      <c r="AL421" s="1944"/>
      <c r="AM421" s="1944"/>
      <c r="AN421" s="1944"/>
      <c r="AO421" s="1944"/>
      <c r="AP421" s="1944"/>
      <c r="AQ421" s="1944"/>
      <c r="AR421" s="1944"/>
      <c r="AS421" s="1944"/>
    </row>
    <row r="422" spans="1:45" ht="15.75" thickTop="1">
      <c r="A422" s="1944"/>
      <c r="B422" s="1944"/>
      <c r="C422" s="365">
        <v>43980</v>
      </c>
      <c r="D422" s="1397" t="s">
        <v>6904</v>
      </c>
      <c r="E422" s="3210" t="s">
        <v>69</v>
      </c>
      <c r="F422" s="3210" t="s">
        <v>70</v>
      </c>
      <c r="G422" s="175" t="s">
        <v>6905</v>
      </c>
      <c r="H422" s="3210">
        <v>1</v>
      </c>
      <c r="I422" s="3211" t="s">
        <v>6906</v>
      </c>
      <c r="J422" s="3210"/>
      <c r="K422" s="3210" t="s">
        <v>2418</v>
      </c>
      <c r="L422" s="3210"/>
      <c r="M422" s="364">
        <v>17564332.5</v>
      </c>
      <c r="N422" s="3210" t="s">
        <v>251</v>
      </c>
      <c r="O422" s="365">
        <v>43994</v>
      </c>
      <c r="P422" s="365">
        <v>44026</v>
      </c>
      <c r="Q422" s="365">
        <v>44069</v>
      </c>
      <c r="R422" s="3211" t="s">
        <v>2548</v>
      </c>
      <c r="S422" s="3210"/>
      <c r="T422" s="364">
        <v>16646602.5</v>
      </c>
      <c r="U422" s="364">
        <v>18311262.75</v>
      </c>
      <c r="V422" s="1473"/>
      <c r="W422" s="1473"/>
      <c r="X422" s="1473"/>
      <c r="Y422" s="681">
        <v>44069</v>
      </c>
      <c r="Z422" s="364" t="s">
        <v>7440</v>
      </c>
      <c r="AA422" s="537">
        <v>44096</v>
      </c>
      <c r="AB422" s="537">
        <v>44104</v>
      </c>
      <c r="AC422" s="537">
        <v>45190</v>
      </c>
      <c r="AD422" s="491" t="s">
        <v>8483</v>
      </c>
      <c r="AE422" s="537">
        <v>44645</v>
      </c>
      <c r="AF422" s="1374">
        <v>2022</v>
      </c>
      <c r="AG422" s="1374" t="s">
        <v>7656</v>
      </c>
      <c r="AJ422" s="1944"/>
      <c r="AK422" s="1944"/>
      <c r="AL422" s="1944"/>
      <c r="AM422" s="1944"/>
      <c r="AN422" s="1944"/>
      <c r="AO422" s="1944"/>
      <c r="AP422" s="1944"/>
      <c r="AQ422" s="1944"/>
      <c r="AR422" s="1944"/>
      <c r="AS422" s="1944"/>
    </row>
    <row r="423" spans="1:45">
      <c r="A423" s="1944"/>
      <c r="B423" s="1944"/>
      <c r="C423" s="537">
        <v>43980</v>
      </c>
      <c r="D423" s="1373" t="s">
        <v>6904</v>
      </c>
      <c r="E423" s="491" t="s">
        <v>69</v>
      </c>
      <c r="F423" s="491" t="s">
        <v>70</v>
      </c>
      <c r="G423" s="571" t="s">
        <v>6905</v>
      </c>
      <c r="H423" s="491">
        <v>2</v>
      </c>
      <c r="I423" s="495" t="s">
        <v>6907</v>
      </c>
      <c r="J423" s="491"/>
      <c r="K423" s="491" t="s">
        <v>2418</v>
      </c>
      <c r="L423" s="491"/>
      <c r="M423" s="536">
        <v>30240000</v>
      </c>
      <c r="N423" s="491" t="s">
        <v>251</v>
      </c>
      <c r="O423" s="537">
        <v>43994</v>
      </c>
      <c r="P423" s="537">
        <v>44026</v>
      </c>
      <c r="Q423" s="537">
        <v>44069</v>
      </c>
      <c r="R423" s="495" t="s">
        <v>5774</v>
      </c>
      <c r="S423" s="491"/>
      <c r="T423" s="536">
        <v>29887120</v>
      </c>
      <c r="U423" s="536">
        <v>32864832</v>
      </c>
      <c r="V423" s="1471"/>
      <c r="W423" s="1471"/>
      <c r="X423" s="1471"/>
      <c r="Y423" s="573">
        <v>44069</v>
      </c>
      <c r="Z423" s="536" t="s">
        <v>7441</v>
      </c>
      <c r="AA423" s="537">
        <v>44085</v>
      </c>
      <c r="AB423" s="537">
        <v>44104</v>
      </c>
      <c r="AC423" s="537">
        <v>45179</v>
      </c>
      <c r="AD423" s="491" t="s">
        <v>8483</v>
      </c>
      <c r="AE423" s="537">
        <v>44645</v>
      </c>
      <c r="AF423" s="1374">
        <v>2022</v>
      </c>
      <c r="AG423" s="1374" t="s">
        <v>7575</v>
      </c>
      <c r="AJ423" s="1944"/>
      <c r="AK423" s="1944"/>
      <c r="AL423" s="1944"/>
      <c r="AM423" s="1944"/>
      <c r="AN423" s="1944"/>
      <c r="AO423" s="1944"/>
      <c r="AP423" s="1944"/>
      <c r="AQ423" s="1944"/>
      <c r="AR423" s="1944"/>
      <c r="AS423" s="1944"/>
    </row>
    <row r="424" spans="1:45" ht="15.75" thickBot="1">
      <c r="A424" s="1944"/>
      <c r="B424" s="1944"/>
      <c r="C424" s="416">
        <v>43980</v>
      </c>
      <c r="D424" s="1468" t="s">
        <v>6904</v>
      </c>
      <c r="E424" s="411" t="s">
        <v>69</v>
      </c>
      <c r="F424" s="411" t="s">
        <v>70</v>
      </c>
      <c r="G424" s="412" t="s">
        <v>6905</v>
      </c>
      <c r="H424" s="411">
        <v>3</v>
      </c>
      <c r="I424" s="630" t="s">
        <v>6908</v>
      </c>
      <c r="J424" s="411"/>
      <c r="K424" s="411" t="s">
        <v>2418</v>
      </c>
      <c r="L424" s="411"/>
      <c r="M424" s="417">
        <v>5040000</v>
      </c>
      <c r="N424" s="411" t="s">
        <v>251</v>
      </c>
      <c r="O424" s="416">
        <v>43994</v>
      </c>
      <c r="P424" s="416">
        <v>44026</v>
      </c>
      <c r="Q424" s="416">
        <v>44069</v>
      </c>
      <c r="R424" s="630" t="s">
        <v>5774</v>
      </c>
      <c r="S424" s="411"/>
      <c r="T424" s="417">
        <v>4979520</v>
      </c>
      <c r="U424" s="417">
        <v>5477472</v>
      </c>
      <c r="V424" s="1480"/>
      <c r="W424" s="1480"/>
      <c r="X424" s="1480"/>
      <c r="Y424" s="513">
        <v>44069</v>
      </c>
      <c r="Z424" s="417" t="s">
        <v>7442</v>
      </c>
      <c r="AA424" s="416">
        <v>44085</v>
      </c>
      <c r="AB424" s="416">
        <v>44104</v>
      </c>
      <c r="AC424" s="416">
        <v>45179</v>
      </c>
      <c r="AD424" s="411" t="s">
        <v>8483</v>
      </c>
      <c r="AE424" s="416">
        <v>44645</v>
      </c>
      <c r="AF424" s="1374">
        <v>2022</v>
      </c>
      <c r="AG424" s="1374" t="s">
        <v>7575</v>
      </c>
      <c r="AJ424" s="1944"/>
      <c r="AK424" s="1944"/>
      <c r="AL424" s="1944"/>
      <c r="AM424" s="1944"/>
      <c r="AN424" s="1944"/>
      <c r="AO424" s="1944"/>
      <c r="AP424" s="1944"/>
      <c r="AQ424" s="1944"/>
      <c r="AR424" s="1944"/>
      <c r="AS424" s="1944"/>
    </row>
    <row r="425" spans="1:45" ht="15.75" thickTop="1">
      <c r="A425" s="1944"/>
      <c r="B425" s="1944"/>
      <c r="C425" s="474">
        <v>43980</v>
      </c>
      <c r="D425" s="1383" t="s">
        <v>6909</v>
      </c>
      <c r="E425" s="453" t="s">
        <v>69</v>
      </c>
      <c r="F425" s="453" t="s">
        <v>70</v>
      </c>
      <c r="G425" s="473" t="s">
        <v>6910</v>
      </c>
      <c r="H425" s="453">
        <v>1</v>
      </c>
      <c r="I425" s="1420" t="s">
        <v>6911</v>
      </c>
      <c r="J425" s="453"/>
      <c r="K425" s="453" t="s">
        <v>2418</v>
      </c>
      <c r="L425" s="453"/>
      <c r="M425" s="457">
        <v>2838938</v>
      </c>
      <c r="N425" s="453" t="s">
        <v>251</v>
      </c>
      <c r="O425" s="474">
        <v>44001</v>
      </c>
      <c r="P425" s="474">
        <v>44035</v>
      </c>
      <c r="Q425" s="474">
        <v>44061</v>
      </c>
      <c r="R425" s="1420" t="s">
        <v>2548</v>
      </c>
      <c r="S425" s="453"/>
      <c r="T425" s="457">
        <v>2811375</v>
      </c>
      <c r="U425" s="457">
        <v>3092512.5</v>
      </c>
      <c r="V425" s="1474"/>
      <c r="W425" s="1474"/>
      <c r="X425" s="1474"/>
      <c r="Y425" s="570">
        <v>44061</v>
      </c>
      <c r="Z425" s="457" t="s">
        <v>7357</v>
      </c>
      <c r="AA425" s="474">
        <v>44096</v>
      </c>
      <c r="AB425" s="474">
        <v>44099</v>
      </c>
      <c r="AC425" s="474">
        <v>45190</v>
      </c>
      <c r="AD425" s="474">
        <v>44279</v>
      </c>
      <c r="AE425" s="474">
        <v>44645</v>
      </c>
      <c r="AF425" s="1374">
        <v>2022</v>
      </c>
      <c r="AG425" s="1374" t="s">
        <v>7656</v>
      </c>
      <c r="AJ425" s="1944"/>
      <c r="AK425" s="1944"/>
      <c r="AL425" s="1944"/>
      <c r="AM425" s="1944"/>
      <c r="AN425" s="1944"/>
      <c r="AO425" s="1944"/>
      <c r="AP425" s="1944"/>
      <c r="AQ425" s="1944"/>
      <c r="AR425" s="1944"/>
      <c r="AS425" s="1944"/>
    </row>
    <row r="426" spans="1:45">
      <c r="A426" s="1944"/>
      <c r="B426" s="1944"/>
      <c r="C426" s="537">
        <v>43980</v>
      </c>
      <c r="D426" s="1373" t="s">
        <v>6909</v>
      </c>
      <c r="E426" s="491" t="s">
        <v>69</v>
      </c>
      <c r="F426" s="491" t="s">
        <v>70</v>
      </c>
      <c r="G426" s="571" t="s">
        <v>6910</v>
      </c>
      <c r="H426" s="491">
        <v>2</v>
      </c>
      <c r="I426" s="495" t="s">
        <v>6912</v>
      </c>
      <c r="J426" s="491"/>
      <c r="K426" s="491" t="s">
        <v>2418</v>
      </c>
      <c r="L426" s="491"/>
      <c r="M426" s="536">
        <v>12399645</v>
      </c>
      <c r="N426" s="491" t="s">
        <v>251</v>
      </c>
      <c r="O426" s="537">
        <v>44001</v>
      </c>
      <c r="P426" s="537">
        <v>44035</v>
      </c>
      <c r="Q426" s="537">
        <v>44061</v>
      </c>
      <c r="R426" s="495" t="s">
        <v>7327</v>
      </c>
      <c r="S426" s="491"/>
      <c r="T426" s="536">
        <v>12057256.5</v>
      </c>
      <c r="U426" s="536">
        <v>13262982.15</v>
      </c>
      <c r="V426" s="1471"/>
      <c r="W426" s="1471"/>
      <c r="X426" s="1471"/>
      <c r="Y426" s="573">
        <v>44061</v>
      </c>
      <c r="Z426" s="536" t="s">
        <v>7358</v>
      </c>
      <c r="AA426" s="537">
        <v>44085</v>
      </c>
      <c r="AB426" s="537">
        <v>44099</v>
      </c>
      <c r="AC426" s="537">
        <v>45179</v>
      </c>
      <c r="AD426" s="537">
        <v>44279</v>
      </c>
      <c r="AE426" s="537">
        <v>44645</v>
      </c>
      <c r="AF426" s="1374">
        <v>2022</v>
      </c>
      <c r="AG426" s="1374" t="s">
        <v>7575</v>
      </c>
      <c r="AJ426" s="1944"/>
      <c r="AK426" s="1944"/>
      <c r="AL426" s="1944"/>
      <c r="AM426" s="1944"/>
      <c r="AN426" s="1944"/>
      <c r="AO426" s="1944"/>
      <c r="AP426" s="1944"/>
      <c r="AQ426" s="1944"/>
      <c r="AR426" s="1944"/>
      <c r="AS426" s="1944"/>
    </row>
    <row r="427" spans="1:45">
      <c r="A427" s="1944"/>
      <c r="B427" s="1944"/>
      <c r="C427" s="537">
        <v>43980</v>
      </c>
      <c r="D427" s="1373" t="s">
        <v>6909</v>
      </c>
      <c r="E427" s="491" t="s">
        <v>69</v>
      </c>
      <c r="F427" s="491" t="s">
        <v>70</v>
      </c>
      <c r="G427" s="571" t="s">
        <v>6910</v>
      </c>
      <c r="H427" s="491">
        <v>3</v>
      </c>
      <c r="I427" s="495" t="s">
        <v>6913</v>
      </c>
      <c r="J427" s="491"/>
      <c r="K427" s="491" t="s">
        <v>2418</v>
      </c>
      <c r="L427" s="491"/>
      <c r="M427" s="536">
        <v>339249</v>
      </c>
      <c r="N427" s="491" t="s">
        <v>251</v>
      </c>
      <c r="O427" s="537">
        <v>44001</v>
      </c>
      <c r="P427" s="537">
        <v>44035</v>
      </c>
      <c r="Q427" s="537">
        <v>44061</v>
      </c>
      <c r="R427" s="495" t="s">
        <v>2548</v>
      </c>
      <c r="S427" s="491"/>
      <c r="T427" s="536">
        <v>338916</v>
      </c>
      <c r="U427" s="536">
        <v>372807.6</v>
      </c>
      <c r="V427" s="1471"/>
      <c r="W427" s="1471"/>
      <c r="X427" s="1471"/>
      <c r="Y427" s="573">
        <v>44061</v>
      </c>
      <c r="Z427" s="536" t="s">
        <v>7359</v>
      </c>
      <c r="AA427" s="537">
        <v>44096</v>
      </c>
      <c r="AB427" s="537">
        <v>44099</v>
      </c>
      <c r="AC427" s="537">
        <v>45190</v>
      </c>
      <c r="AD427" s="537">
        <v>44279</v>
      </c>
      <c r="AE427" s="537">
        <v>44645</v>
      </c>
      <c r="AF427" s="1374">
        <v>2022</v>
      </c>
      <c r="AG427" s="1374" t="s">
        <v>7656</v>
      </c>
      <c r="AJ427" s="1944"/>
      <c r="AK427" s="1944"/>
      <c r="AL427" s="1944"/>
      <c r="AM427" s="1944"/>
      <c r="AN427" s="1944"/>
      <c r="AO427" s="1944"/>
      <c r="AP427" s="1944"/>
      <c r="AQ427" s="1944"/>
      <c r="AR427" s="1944"/>
      <c r="AS427" s="1944"/>
    </row>
    <row r="428" spans="1:45">
      <c r="A428" s="1944"/>
      <c r="B428" s="1944"/>
      <c r="C428" s="537">
        <v>43980</v>
      </c>
      <c r="D428" s="1373" t="s">
        <v>6909</v>
      </c>
      <c r="E428" s="491" t="s">
        <v>69</v>
      </c>
      <c r="F428" s="491" t="s">
        <v>70</v>
      </c>
      <c r="G428" s="571" t="s">
        <v>6910</v>
      </c>
      <c r="H428" s="491">
        <v>4</v>
      </c>
      <c r="I428" s="495" t="s">
        <v>6914</v>
      </c>
      <c r="J428" s="491"/>
      <c r="K428" s="491" t="s">
        <v>2418</v>
      </c>
      <c r="L428" s="491"/>
      <c r="M428" s="536">
        <v>1484453</v>
      </c>
      <c r="N428" s="491" t="s">
        <v>251</v>
      </c>
      <c r="O428" s="537">
        <v>44001</v>
      </c>
      <c r="P428" s="537">
        <v>44035</v>
      </c>
      <c r="Q428" s="537">
        <v>44061</v>
      </c>
      <c r="R428" s="495" t="s">
        <v>5774</v>
      </c>
      <c r="S428" s="491"/>
      <c r="T428" s="536">
        <v>1444950</v>
      </c>
      <c r="U428" s="536">
        <v>1589445</v>
      </c>
      <c r="V428" s="1471"/>
      <c r="W428" s="1471"/>
      <c r="X428" s="1471"/>
      <c r="Y428" s="573">
        <v>44061</v>
      </c>
      <c r="Z428" s="536" t="s">
        <v>7360</v>
      </c>
      <c r="AA428" s="537">
        <v>44085</v>
      </c>
      <c r="AB428" s="537">
        <v>44099</v>
      </c>
      <c r="AC428" s="537">
        <v>45179</v>
      </c>
      <c r="AD428" s="537">
        <v>44279</v>
      </c>
      <c r="AE428" s="537">
        <v>44645</v>
      </c>
      <c r="AF428" s="1374">
        <v>2022</v>
      </c>
      <c r="AG428" s="1374" t="s">
        <v>7575</v>
      </c>
      <c r="AJ428" s="1944"/>
      <c r="AK428" s="1944"/>
      <c r="AL428" s="1944"/>
      <c r="AM428" s="1944"/>
      <c r="AN428" s="1944"/>
      <c r="AO428" s="1944"/>
      <c r="AP428" s="1944"/>
      <c r="AQ428" s="1944"/>
      <c r="AR428" s="1944"/>
      <c r="AS428" s="1944"/>
    </row>
    <row r="429" spans="1:45">
      <c r="A429" s="1944"/>
      <c r="B429" s="1944"/>
      <c r="C429" s="537">
        <v>43980</v>
      </c>
      <c r="D429" s="1373" t="s">
        <v>6909</v>
      </c>
      <c r="E429" s="491" t="s">
        <v>69</v>
      </c>
      <c r="F429" s="491" t="s">
        <v>70</v>
      </c>
      <c r="G429" s="571" t="s">
        <v>6910</v>
      </c>
      <c r="H429" s="491">
        <v>5</v>
      </c>
      <c r="I429" s="495" t="s">
        <v>6915</v>
      </c>
      <c r="J429" s="491"/>
      <c r="K429" s="491" t="s">
        <v>2418</v>
      </c>
      <c r="L429" s="491"/>
      <c r="M429" s="536">
        <v>6326727</v>
      </c>
      <c r="N429" s="491" t="s">
        <v>251</v>
      </c>
      <c r="O429" s="537">
        <v>44001</v>
      </c>
      <c r="P429" s="537">
        <v>44035</v>
      </c>
      <c r="Q429" s="537">
        <v>44061</v>
      </c>
      <c r="R429" s="495" t="s">
        <v>576</v>
      </c>
      <c r="S429" s="491"/>
      <c r="T429" s="536">
        <v>6326726.9400000004</v>
      </c>
      <c r="U429" s="536">
        <v>6959399.6299999999</v>
      </c>
      <c r="V429" s="1471"/>
      <c r="W429" s="1471"/>
      <c r="X429" s="1471"/>
      <c r="Y429" s="573">
        <v>44061</v>
      </c>
      <c r="Z429" s="536" t="s">
        <v>7361</v>
      </c>
      <c r="AA429" s="537">
        <v>44085</v>
      </c>
      <c r="AB429" s="537">
        <v>44099</v>
      </c>
      <c r="AC429" s="537">
        <v>45179</v>
      </c>
      <c r="AD429" s="537">
        <v>44279</v>
      </c>
      <c r="AE429" s="537">
        <v>44645</v>
      </c>
      <c r="AF429" s="1374">
        <v>2022</v>
      </c>
      <c r="AG429" s="1374" t="s">
        <v>7575</v>
      </c>
      <c r="AJ429" s="1944"/>
      <c r="AK429" s="1944"/>
      <c r="AL429" s="1944"/>
      <c r="AM429" s="1944"/>
      <c r="AN429" s="1944"/>
      <c r="AO429" s="1944"/>
      <c r="AP429" s="1944"/>
      <c r="AQ429" s="1944"/>
      <c r="AR429" s="1944"/>
      <c r="AS429" s="1944"/>
    </row>
    <row r="430" spans="1:45" ht="15.75" thickBot="1">
      <c r="A430" s="1944"/>
      <c r="B430" s="1944"/>
      <c r="C430" s="1380">
        <v>43980</v>
      </c>
      <c r="D430" s="1377" t="s">
        <v>6909</v>
      </c>
      <c r="E430" s="1376" t="s">
        <v>69</v>
      </c>
      <c r="F430" s="1376" t="s">
        <v>70</v>
      </c>
      <c r="G430" s="1378" t="s">
        <v>6910</v>
      </c>
      <c r="H430" s="1376">
        <v>6</v>
      </c>
      <c r="I430" s="1421" t="s">
        <v>6916</v>
      </c>
      <c r="J430" s="1376"/>
      <c r="K430" s="1376" t="s">
        <v>2418</v>
      </c>
      <c r="L430" s="1376"/>
      <c r="M430" s="1379">
        <v>3093238</v>
      </c>
      <c r="N430" s="1376" t="s">
        <v>251</v>
      </c>
      <c r="O430" s="1380">
        <v>44001</v>
      </c>
      <c r="P430" s="1380">
        <v>44035</v>
      </c>
      <c r="Q430" s="1380">
        <v>44061</v>
      </c>
      <c r="R430" s="1421" t="s">
        <v>7327</v>
      </c>
      <c r="S430" s="1376"/>
      <c r="T430" s="1379">
        <v>3093236.88</v>
      </c>
      <c r="U430" s="1379">
        <v>3402560.57</v>
      </c>
      <c r="V430" s="1475"/>
      <c r="W430" s="1475"/>
      <c r="X430" s="1475"/>
      <c r="Y430" s="1388">
        <v>44061</v>
      </c>
      <c r="Z430" s="1379" t="s">
        <v>7362</v>
      </c>
      <c r="AA430" s="1380">
        <v>44085</v>
      </c>
      <c r="AB430" s="1380">
        <v>44099</v>
      </c>
      <c r="AC430" s="1380">
        <v>45179</v>
      </c>
      <c r="AD430" s="1380">
        <v>44279</v>
      </c>
      <c r="AE430" s="1380">
        <v>44645</v>
      </c>
      <c r="AF430" s="1374">
        <v>2022</v>
      </c>
      <c r="AG430" s="1374" t="s">
        <v>7575</v>
      </c>
      <c r="AJ430" s="1944"/>
      <c r="AK430" s="1944"/>
      <c r="AL430" s="1944"/>
      <c r="AM430" s="1944"/>
      <c r="AN430" s="1944"/>
      <c r="AO430" s="1944"/>
      <c r="AP430" s="1944"/>
      <c r="AQ430" s="1944"/>
      <c r="AR430" s="1944"/>
      <c r="AS430" s="1944"/>
    </row>
    <row r="431" spans="1:45" ht="15.75" thickTop="1">
      <c r="A431" s="1944"/>
      <c r="B431" s="1944"/>
      <c r="C431" s="365">
        <v>43978</v>
      </c>
      <c r="D431" s="1397" t="s">
        <v>6919</v>
      </c>
      <c r="E431" s="3210" t="s">
        <v>4997</v>
      </c>
      <c r="F431" s="3210" t="s">
        <v>167</v>
      </c>
      <c r="G431" s="2517" t="s">
        <v>6920</v>
      </c>
      <c r="H431" s="3210"/>
      <c r="I431" s="3211"/>
      <c r="J431" s="3210"/>
      <c r="K431" s="3210" t="s">
        <v>2279</v>
      </c>
      <c r="L431" s="3210"/>
      <c r="M431" s="364">
        <v>500000</v>
      </c>
      <c r="N431" s="3210" t="s">
        <v>112</v>
      </c>
      <c r="O431" s="365">
        <v>43990</v>
      </c>
      <c r="P431" s="365">
        <v>44001</v>
      </c>
      <c r="Q431" s="365">
        <v>44007</v>
      </c>
      <c r="R431" s="3211" t="s">
        <v>2162</v>
      </c>
      <c r="S431" s="3210"/>
      <c r="T431" s="364">
        <v>499720.33</v>
      </c>
      <c r="U431" s="364">
        <v>604661.6</v>
      </c>
      <c r="V431" s="1473"/>
      <c r="W431" s="1473"/>
      <c r="X431" s="1473"/>
      <c r="Y431" s="681">
        <v>44007</v>
      </c>
      <c r="Z431" s="364" t="s">
        <v>7074</v>
      </c>
      <c r="AA431" s="365">
        <v>44020</v>
      </c>
      <c r="AB431" s="365">
        <v>44026</v>
      </c>
      <c r="AC431" s="365">
        <v>44082</v>
      </c>
      <c r="AD431" s="365">
        <v>44095</v>
      </c>
      <c r="AE431" s="1513"/>
      <c r="AJ431" s="1944"/>
      <c r="AK431" s="1944"/>
      <c r="AL431" s="1944"/>
      <c r="AM431" s="1944"/>
      <c r="AN431" s="1944"/>
      <c r="AO431" s="1944"/>
      <c r="AP431" s="1944"/>
      <c r="AQ431" s="1944"/>
      <c r="AR431" s="1944"/>
      <c r="AS431" s="1944"/>
    </row>
    <row r="432" spans="1:45">
      <c r="A432" s="1944"/>
      <c r="B432" s="1944"/>
      <c r="C432" s="510">
        <v>43978</v>
      </c>
      <c r="D432" s="1382" t="s">
        <v>6921</v>
      </c>
      <c r="E432" s="506" t="s">
        <v>2434</v>
      </c>
      <c r="F432" s="506" t="s">
        <v>219</v>
      </c>
      <c r="G432" s="507" t="s">
        <v>6922</v>
      </c>
      <c r="H432" s="506"/>
      <c r="I432" s="548"/>
      <c r="J432" s="506"/>
      <c r="K432" s="506" t="s">
        <v>642</v>
      </c>
      <c r="L432" s="506"/>
      <c r="M432" s="511">
        <v>1669448</v>
      </c>
      <c r="N432" s="506" t="s">
        <v>112</v>
      </c>
      <c r="O432" s="510">
        <v>43992</v>
      </c>
      <c r="P432" s="510">
        <v>44005</v>
      </c>
      <c r="Q432" s="506"/>
      <c r="R432" s="736" t="s">
        <v>6996</v>
      </c>
      <c r="S432" s="1985" t="s">
        <v>7507</v>
      </c>
      <c r="T432" s="511"/>
      <c r="U432" s="511"/>
      <c r="V432" s="1470"/>
      <c r="W432" s="1470"/>
      <c r="X432" s="1470"/>
      <c r="Y432" s="511"/>
      <c r="Z432" s="511"/>
      <c r="AA432" s="506"/>
      <c r="AB432" s="510">
        <v>43997</v>
      </c>
      <c r="AC432" s="506"/>
      <c r="AD432" s="506"/>
      <c r="AE432" s="506"/>
      <c r="AJ432" s="1944"/>
      <c r="AK432" s="1944"/>
      <c r="AL432" s="1944"/>
      <c r="AM432" s="1944"/>
      <c r="AN432" s="1944"/>
      <c r="AO432" s="1944"/>
      <c r="AP432" s="1944"/>
      <c r="AQ432" s="1944"/>
      <c r="AR432" s="1944"/>
      <c r="AS432" s="1944"/>
    </row>
    <row r="433" spans="1:45" ht="15.75" thickBot="1">
      <c r="A433" s="1944"/>
      <c r="B433" s="1944"/>
      <c r="C433" s="416">
        <v>43984</v>
      </c>
      <c r="D433" s="1468" t="s">
        <v>6926</v>
      </c>
      <c r="E433" s="411" t="s">
        <v>14</v>
      </c>
      <c r="F433" s="411" t="s">
        <v>13</v>
      </c>
      <c r="G433" s="412" t="s">
        <v>6927</v>
      </c>
      <c r="H433" s="411"/>
      <c r="I433" s="630"/>
      <c r="J433" s="411"/>
      <c r="K433" s="411" t="s">
        <v>6928</v>
      </c>
      <c r="L433" s="411"/>
      <c r="M433" s="417">
        <v>330000</v>
      </c>
      <c r="N433" s="411" t="s">
        <v>112</v>
      </c>
      <c r="O433" s="416">
        <v>43993</v>
      </c>
      <c r="P433" s="416">
        <v>44005</v>
      </c>
      <c r="Q433" s="416">
        <v>44008</v>
      </c>
      <c r="R433" s="630" t="s">
        <v>2286</v>
      </c>
      <c r="S433" s="411"/>
      <c r="T433" s="417">
        <v>258000</v>
      </c>
      <c r="U433" s="417">
        <v>312180</v>
      </c>
      <c r="V433" s="1480"/>
      <c r="W433" s="1480"/>
      <c r="X433" s="1480"/>
      <c r="Y433" s="513">
        <v>44008</v>
      </c>
      <c r="Z433" s="417" t="s">
        <v>7075</v>
      </c>
      <c r="AA433" s="416">
        <v>44032</v>
      </c>
      <c r="AB433" s="416">
        <v>44033</v>
      </c>
      <c r="AC433" s="416">
        <f>AA433+30</f>
        <v>44062</v>
      </c>
      <c r="AD433" s="416">
        <v>44137</v>
      </c>
      <c r="AE433" s="967"/>
      <c r="AJ433" s="1944"/>
      <c r="AK433" s="1944"/>
      <c r="AL433" s="1944"/>
      <c r="AM433" s="1944"/>
      <c r="AN433" s="1944"/>
      <c r="AO433" s="1944"/>
      <c r="AP433" s="1944"/>
      <c r="AQ433" s="1944"/>
      <c r="AR433" s="1944"/>
      <c r="AS433" s="1944"/>
    </row>
    <row r="434" spans="1:45" ht="15.75" thickTop="1">
      <c r="A434" s="1944"/>
      <c r="B434" s="1944"/>
      <c r="C434" s="443">
        <v>43986</v>
      </c>
      <c r="D434" s="1415" t="s">
        <v>6931</v>
      </c>
      <c r="E434" s="439" t="s">
        <v>58</v>
      </c>
      <c r="F434" s="439" t="s">
        <v>2684</v>
      </c>
      <c r="G434" s="440" t="s">
        <v>6932</v>
      </c>
      <c r="H434" s="439">
        <v>1</v>
      </c>
      <c r="I434" s="1431" t="s">
        <v>6933</v>
      </c>
      <c r="J434" s="439"/>
      <c r="K434" s="439" t="s">
        <v>6138</v>
      </c>
      <c r="L434" s="443" t="s">
        <v>6936</v>
      </c>
      <c r="M434" s="444">
        <v>385000</v>
      </c>
      <c r="N434" s="439" t="s">
        <v>112</v>
      </c>
      <c r="O434" s="443">
        <v>43997</v>
      </c>
      <c r="P434" s="443">
        <v>44012</v>
      </c>
      <c r="Q434" s="439"/>
      <c r="R434" s="753" t="s">
        <v>520</v>
      </c>
      <c r="S434" s="538" t="s">
        <v>7450</v>
      </c>
      <c r="T434" s="444"/>
      <c r="U434" s="444"/>
      <c r="V434" s="1481"/>
      <c r="W434" s="1481"/>
      <c r="X434" s="1481"/>
      <c r="Y434" s="444"/>
      <c r="Z434" s="444"/>
      <c r="AA434" s="439"/>
      <c r="AB434" s="443">
        <v>44056</v>
      </c>
      <c r="AC434" s="439"/>
      <c r="AD434" s="439"/>
      <c r="AE434" s="439"/>
      <c r="AJ434" s="1944"/>
      <c r="AK434" s="1944"/>
      <c r="AL434" s="1944"/>
      <c r="AM434" s="1944"/>
      <c r="AN434" s="1944"/>
      <c r="AO434" s="1944"/>
      <c r="AP434" s="1944"/>
      <c r="AQ434" s="1944"/>
      <c r="AR434" s="1944"/>
      <c r="AS434" s="1944"/>
    </row>
    <row r="435" spans="1:45" ht="15.75" thickBot="1">
      <c r="A435" s="1944"/>
      <c r="B435" s="1944"/>
      <c r="C435" s="1414">
        <v>43986</v>
      </c>
      <c r="D435" s="1411" t="s">
        <v>6931</v>
      </c>
      <c r="E435" s="1410" t="s">
        <v>58</v>
      </c>
      <c r="F435" s="1410" t="s">
        <v>2684</v>
      </c>
      <c r="G435" s="1412" t="s">
        <v>6932</v>
      </c>
      <c r="H435" s="1410">
        <v>2</v>
      </c>
      <c r="I435" s="1430" t="s">
        <v>6934</v>
      </c>
      <c r="J435" s="1410"/>
      <c r="K435" s="1410" t="s">
        <v>6138</v>
      </c>
      <c r="L435" s="1410" t="s">
        <v>6935</v>
      </c>
      <c r="M435" s="1413">
        <v>1610000</v>
      </c>
      <c r="N435" s="1410" t="s">
        <v>112</v>
      </c>
      <c r="O435" s="1414">
        <v>43997</v>
      </c>
      <c r="P435" s="1414">
        <v>44012</v>
      </c>
      <c r="Q435" s="1410"/>
      <c r="R435" s="1710" t="s">
        <v>242</v>
      </c>
      <c r="S435" s="2035" t="s">
        <v>7450</v>
      </c>
      <c r="T435" s="1413"/>
      <c r="U435" s="1413"/>
      <c r="V435" s="1479"/>
      <c r="W435" s="1479"/>
      <c r="X435" s="1479"/>
      <c r="Y435" s="1413"/>
      <c r="Z435" s="1413"/>
      <c r="AA435" s="1410"/>
      <c r="AB435" s="1414">
        <v>44056</v>
      </c>
      <c r="AC435" s="1410"/>
      <c r="AD435" s="1410"/>
      <c r="AE435" s="1410"/>
      <c r="AJ435" s="1944"/>
      <c r="AK435" s="1944"/>
      <c r="AL435" s="1944"/>
      <c r="AM435" s="1944"/>
      <c r="AN435" s="1944"/>
      <c r="AO435" s="1944"/>
      <c r="AP435" s="1944"/>
      <c r="AQ435" s="1944"/>
      <c r="AR435" s="1944"/>
      <c r="AS435" s="1944"/>
    </row>
    <row r="436" spans="1:45" ht="15.75" thickTop="1">
      <c r="A436" s="1944"/>
      <c r="B436" s="1944"/>
      <c r="C436" s="470">
        <v>43990</v>
      </c>
      <c r="D436" s="1515" t="s">
        <v>6939</v>
      </c>
      <c r="E436" s="466" t="s">
        <v>14</v>
      </c>
      <c r="F436" s="466" t="s">
        <v>13</v>
      </c>
      <c r="G436" s="3212" t="s">
        <v>6940</v>
      </c>
      <c r="H436" s="466"/>
      <c r="I436" s="654"/>
      <c r="J436" s="576"/>
      <c r="K436" s="466" t="s">
        <v>2055</v>
      </c>
      <c r="L436" s="466"/>
      <c r="M436" s="472">
        <v>1682752</v>
      </c>
      <c r="N436" s="466" t="s">
        <v>112</v>
      </c>
      <c r="O436" s="470">
        <v>43998</v>
      </c>
      <c r="P436" s="470">
        <v>44007</v>
      </c>
      <c r="Q436" s="466"/>
      <c r="R436" s="471" t="s">
        <v>304</v>
      </c>
      <c r="S436" s="2014" t="s">
        <v>7497</v>
      </c>
      <c r="T436" s="472"/>
      <c r="U436" s="472"/>
      <c r="V436" s="1489"/>
      <c r="W436" s="1489"/>
      <c r="X436" s="1489"/>
      <c r="Y436" s="472"/>
      <c r="Z436" s="472"/>
      <c r="AA436" s="466"/>
      <c r="AB436" s="470">
        <v>44008</v>
      </c>
      <c r="AC436" s="466"/>
      <c r="AD436" s="466"/>
      <c r="AE436" s="466"/>
      <c r="AJ436" s="1944"/>
      <c r="AK436" s="1944"/>
      <c r="AL436" s="1944"/>
      <c r="AM436" s="1944"/>
      <c r="AN436" s="1944"/>
      <c r="AO436" s="1944"/>
      <c r="AP436" s="1944"/>
      <c r="AQ436" s="1944"/>
      <c r="AR436" s="1944"/>
      <c r="AS436" s="1944"/>
    </row>
    <row r="437" spans="1:45">
      <c r="A437" s="1944"/>
      <c r="B437" s="1944"/>
      <c r="C437" s="510">
        <v>43991</v>
      </c>
      <c r="D437" s="1382" t="s">
        <v>6941</v>
      </c>
      <c r="E437" s="506" t="s">
        <v>2434</v>
      </c>
      <c r="F437" s="506" t="s">
        <v>219</v>
      </c>
      <c r="G437" s="507" t="s">
        <v>6942</v>
      </c>
      <c r="H437" s="506"/>
      <c r="I437" s="548"/>
      <c r="J437" s="506"/>
      <c r="K437" s="506" t="s">
        <v>642</v>
      </c>
      <c r="L437" s="506"/>
      <c r="M437" s="511">
        <v>672000</v>
      </c>
      <c r="N437" s="506" t="s">
        <v>112</v>
      </c>
      <c r="O437" s="510">
        <v>44050</v>
      </c>
      <c r="P437" s="510">
        <v>44069</v>
      </c>
      <c r="Q437" s="506"/>
      <c r="R437" s="736" t="s">
        <v>7449</v>
      </c>
      <c r="S437" s="1985" t="s">
        <v>7496</v>
      </c>
      <c r="T437" s="511"/>
      <c r="U437" s="511"/>
      <c r="V437" s="1470"/>
      <c r="W437" s="1470"/>
      <c r="X437" s="1470"/>
      <c r="Y437" s="511"/>
      <c r="Z437" s="511"/>
      <c r="AA437" s="3216"/>
      <c r="AB437" s="510">
        <v>44070</v>
      </c>
      <c r="AC437" s="506"/>
      <c r="AD437" s="506"/>
      <c r="AE437" s="506"/>
      <c r="AJ437" s="1944"/>
      <c r="AK437" s="1944"/>
      <c r="AL437" s="1944"/>
      <c r="AM437" s="1944"/>
      <c r="AN437" s="1944"/>
      <c r="AO437" s="1944"/>
      <c r="AP437" s="1944"/>
      <c r="AQ437" s="1944"/>
      <c r="AR437" s="1944"/>
      <c r="AS437" s="1944"/>
    </row>
    <row r="438" spans="1:45">
      <c r="A438" s="1944"/>
      <c r="B438" s="1944"/>
      <c r="C438" s="491" t="s">
        <v>3585</v>
      </c>
      <c r="D438" s="1373" t="s">
        <v>6943</v>
      </c>
      <c r="E438" s="491" t="s">
        <v>6561</v>
      </c>
      <c r="F438" s="491" t="s">
        <v>4864</v>
      </c>
      <c r="G438" s="571" t="s">
        <v>6944</v>
      </c>
      <c r="H438" s="491"/>
      <c r="I438" s="495"/>
      <c r="J438" s="491"/>
      <c r="K438" s="491" t="s">
        <v>4867</v>
      </c>
      <c r="L438" s="491" t="s">
        <v>4866</v>
      </c>
      <c r="M438" s="536">
        <v>3000000</v>
      </c>
      <c r="N438" s="491" t="s">
        <v>112</v>
      </c>
      <c r="O438" s="537">
        <v>44000</v>
      </c>
      <c r="P438" s="537">
        <v>44012</v>
      </c>
      <c r="Q438" s="537">
        <v>44032</v>
      </c>
      <c r="R438" s="495" t="s">
        <v>7145</v>
      </c>
      <c r="S438" s="491"/>
      <c r="T438" s="536">
        <v>3022009.08</v>
      </c>
      <c r="U438" s="536">
        <v>3656630.99</v>
      </c>
      <c r="V438" s="1471"/>
      <c r="W438" s="1471"/>
      <c r="X438" s="1471"/>
      <c r="Y438" s="573">
        <v>44032</v>
      </c>
      <c r="Z438" s="536" t="s">
        <v>7179</v>
      </c>
      <c r="AA438" s="537">
        <v>44078</v>
      </c>
      <c r="AB438" s="537">
        <v>44082</v>
      </c>
      <c r="AC438" s="537">
        <f>AA438+140</f>
        <v>44218</v>
      </c>
      <c r="AD438" s="537">
        <v>44277</v>
      </c>
      <c r="AE438" s="1102"/>
      <c r="AJ438" s="1944"/>
      <c r="AK438" s="1944"/>
      <c r="AL438" s="1944"/>
      <c r="AM438" s="1944"/>
      <c r="AN438" s="1944"/>
      <c r="AO438" s="1944"/>
      <c r="AP438" s="1944"/>
      <c r="AQ438" s="1944"/>
      <c r="AR438" s="1944"/>
      <c r="AS438" s="1944"/>
    </row>
    <row r="439" spans="1:45" ht="30.75" thickBot="1">
      <c r="A439" s="1944"/>
      <c r="B439" s="1944"/>
      <c r="C439" s="411" t="s">
        <v>3585</v>
      </c>
      <c r="D439" s="1468" t="s">
        <v>6945</v>
      </c>
      <c r="E439" s="411" t="s">
        <v>9694</v>
      </c>
      <c r="F439" s="411" t="s">
        <v>2684</v>
      </c>
      <c r="G439" s="412" t="s">
        <v>6946</v>
      </c>
      <c r="H439" s="411"/>
      <c r="I439" s="630"/>
      <c r="J439" s="411"/>
      <c r="K439" s="411" t="s">
        <v>2665</v>
      </c>
      <c r="L439" s="411" t="s">
        <v>6947</v>
      </c>
      <c r="M439" s="417">
        <v>1730000</v>
      </c>
      <c r="N439" s="411" t="s">
        <v>251</v>
      </c>
      <c r="O439" s="416">
        <v>44000</v>
      </c>
      <c r="P439" s="416">
        <v>44032</v>
      </c>
      <c r="Q439" s="416">
        <v>44097</v>
      </c>
      <c r="R439" s="630" t="s">
        <v>2780</v>
      </c>
      <c r="S439" s="411"/>
      <c r="T439" s="417">
        <v>1705433</v>
      </c>
      <c r="U439" s="417">
        <v>2063573.92</v>
      </c>
      <c r="V439" s="1480"/>
      <c r="W439" s="1480"/>
      <c r="X439" s="1480"/>
      <c r="Y439" s="513">
        <v>44097</v>
      </c>
      <c r="Z439" s="1553" t="s">
        <v>7662</v>
      </c>
      <c r="AA439" s="416">
        <v>44130</v>
      </c>
      <c r="AB439" s="416">
        <v>44137</v>
      </c>
      <c r="AC439" s="416">
        <f>AA439+42</f>
        <v>44172</v>
      </c>
      <c r="AD439" s="416">
        <v>44224</v>
      </c>
      <c r="AE439" s="422" t="s">
        <v>1875</v>
      </c>
      <c r="AJ439" s="1944"/>
      <c r="AK439" s="1944"/>
      <c r="AL439" s="1944"/>
      <c r="AM439" s="1944"/>
      <c r="AN439" s="1944"/>
      <c r="AO439" s="1944"/>
      <c r="AP439" s="1944"/>
      <c r="AQ439" s="1944"/>
      <c r="AR439" s="1944"/>
      <c r="AS439" s="1944"/>
    </row>
    <row r="440" spans="1:45" ht="30.75" thickTop="1">
      <c r="A440" s="1944"/>
      <c r="B440" s="1944"/>
      <c r="C440" s="474">
        <v>43983</v>
      </c>
      <c r="D440" s="1383" t="s">
        <v>6952</v>
      </c>
      <c r="E440" s="453" t="s">
        <v>2434</v>
      </c>
      <c r="F440" s="453" t="s">
        <v>219</v>
      </c>
      <c r="G440" s="473" t="s">
        <v>6951</v>
      </c>
      <c r="H440" s="453">
        <v>1</v>
      </c>
      <c r="I440" s="1420" t="s">
        <v>6953</v>
      </c>
      <c r="J440" s="453"/>
      <c r="K440" s="453" t="s">
        <v>3013</v>
      </c>
      <c r="L440" s="453"/>
      <c r="M440" s="457">
        <v>1377288</v>
      </c>
      <c r="N440" s="453" t="s">
        <v>251</v>
      </c>
      <c r="O440" s="474">
        <v>44004</v>
      </c>
      <c r="P440" s="474">
        <v>44049</v>
      </c>
      <c r="Q440" s="474">
        <v>44084</v>
      </c>
      <c r="R440" s="1420" t="s">
        <v>7296</v>
      </c>
      <c r="S440" s="453"/>
      <c r="T440" s="457">
        <v>1548000</v>
      </c>
      <c r="U440" s="457">
        <f>T440*1.15</f>
        <v>1780199.9999999998</v>
      </c>
      <c r="V440" s="1474"/>
      <c r="W440" s="1474"/>
      <c r="X440" s="1474"/>
      <c r="Y440" s="570">
        <v>44084</v>
      </c>
      <c r="Z440" s="1387" t="s">
        <v>7564</v>
      </c>
      <c r="AA440" s="474">
        <v>44105</v>
      </c>
      <c r="AB440" s="474">
        <v>44110</v>
      </c>
      <c r="AC440" s="474">
        <v>44834</v>
      </c>
      <c r="AD440" s="453" t="s">
        <v>8483</v>
      </c>
      <c r="AE440" s="453" t="s">
        <v>11373</v>
      </c>
      <c r="AF440" s="388" t="s">
        <v>7667</v>
      </c>
      <c r="AJ440" s="1944"/>
      <c r="AK440" s="1944"/>
      <c r="AL440" s="1944"/>
      <c r="AM440" s="1944"/>
      <c r="AN440" s="1944"/>
      <c r="AO440" s="1944"/>
      <c r="AP440" s="1944"/>
      <c r="AQ440" s="1944"/>
      <c r="AR440" s="1944"/>
      <c r="AS440" s="1944"/>
    </row>
    <row r="441" spans="1:45" ht="30">
      <c r="A441" s="1944"/>
      <c r="B441" s="1944"/>
      <c r="C441" s="537">
        <v>43983</v>
      </c>
      <c r="D441" s="1373" t="s">
        <v>6952</v>
      </c>
      <c r="E441" s="491" t="s">
        <v>2434</v>
      </c>
      <c r="F441" s="491" t="s">
        <v>219</v>
      </c>
      <c r="G441" s="571" t="s">
        <v>6951</v>
      </c>
      <c r="H441" s="491">
        <v>2</v>
      </c>
      <c r="I441" s="495" t="s">
        <v>6954</v>
      </c>
      <c r="J441" s="491"/>
      <c r="K441" s="491" t="s">
        <v>3013</v>
      </c>
      <c r="L441" s="491"/>
      <c r="M441" s="536">
        <v>2250090</v>
      </c>
      <c r="N441" s="491" t="s">
        <v>251</v>
      </c>
      <c r="O441" s="537">
        <v>44004</v>
      </c>
      <c r="P441" s="537">
        <v>44049</v>
      </c>
      <c r="Q441" s="537">
        <v>44084</v>
      </c>
      <c r="R441" s="495" t="s">
        <v>7296</v>
      </c>
      <c r="S441" s="491"/>
      <c r="T441" s="536">
        <v>3151000</v>
      </c>
      <c r="U441" s="536">
        <f>T441*1.15</f>
        <v>3623649.9999999995</v>
      </c>
      <c r="V441" s="1471"/>
      <c r="W441" s="1471"/>
      <c r="X441" s="1471"/>
      <c r="Y441" s="573">
        <v>44084</v>
      </c>
      <c r="Z441" s="1375" t="s">
        <v>7565</v>
      </c>
      <c r="AA441" s="537">
        <v>44105</v>
      </c>
      <c r="AB441" s="537">
        <v>44110</v>
      </c>
      <c r="AC441" s="537">
        <v>44834</v>
      </c>
      <c r="AD441" s="537">
        <v>44285</v>
      </c>
      <c r="AE441" s="537">
        <v>44641</v>
      </c>
      <c r="AF441" s="388" t="s">
        <v>7667</v>
      </c>
      <c r="AJ441" s="1944"/>
      <c r="AK441" s="1944"/>
      <c r="AL441" s="1944"/>
      <c r="AM441" s="1944"/>
      <c r="AN441" s="1944"/>
      <c r="AO441" s="1944"/>
      <c r="AP441" s="1944"/>
      <c r="AQ441" s="1944"/>
      <c r="AR441" s="1944"/>
      <c r="AS441" s="1944"/>
    </row>
    <row r="442" spans="1:45" ht="30">
      <c r="A442" s="1944"/>
      <c r="B442" s="1944"/>
      <c r="C442" s="537">
        <v>43983</v>
      </c>
      <c r="D442" s="1373" t="s">
        <v>6952</v>
      </c>
      <c r="E442" s="491" t="s">
        <v>2434</v>
      </c>
      <c r="F442" s="491" t="s">
        <v>219</v>
      </c>
      <c r="G442" s="571" t="s">
        <v>6951</v>
      </c>
      <c r="H442" s="491">
        <v>3</v>
      </c>
      <c r="I442" s="2028" t="s">
        <v>6956</v>
      </c>
      <c r="J442" s="491"/>
      <c r="K442" s="491" t="s">
        <v>3013</v>
      </c>
      <c r="L442" s="491"/>
      <c r="M442" s="536">
        <v>5588250</v>
      </c>
      <c r="N442" s="491" t="s">
        <v>251</v>
      </c>
      <c r="O442" s="537">
        <v>44004</v>
      </c>
      <c r="P442" s="537">
        <v>44049</v>
      </c>
      <c r="Q442" s="537">
        <v>44084</v>
      </c>
      <c r="R442" s="495" t="s">
        <v>7296</v>
      </c>
      <c r="S442" s="491"/>
      <c r="T442" s="536">
        <v>6798000</v>
      </c>
      <c r="U442" s="536">
        <f>T442*1.15</f>
        <v>7817699.9999999991</v>
      </c>
      <c r="V442" s="1471"/>
      <c r="W442" s="1471"/>
      <c r="X442" s="1471"/>
      <c r="Y442" s="573">
        <v>44084</v>
      </c>
      <c r="Z442" s="1375" t="s">
        <v>7566</v>
      </c>
      <c r="AA442" s="537">
        <v>44105</v>
      </c>
      <c r="AB442" s="537">
        <v>44110</v>
      </c>
      <c r="AC442" s="537">
        <v>44834</v>
      </c>
      <c r="AD442" s="537">
        <v>44285</v>
      </c>
      <c r="AE442" s="537">
        <v>44641</v>
      </c>
      <c r="AF442" s="388" t="s">
        <v>7667</v>
      </c>
      <c r="AJ442" s="1944"/>
      <c r="AK442" s="1944"/>
      <c r="AL442" s="1944"/>
      <c r="AM442" s="1944"/>
      <c r="AN442" s="1944"/>
      <c r="AO442" s="1944"/>
      <c r="AP442" s="1944"/>
      <c r="AQ442" s="1944"/>
      <c r="AR442" s="1944"/>
      <c r="AS442" s="1944"/>
    </row>
    <row r="443" spans="1:45" ht="30">
      <c r="A443" s="1944"/>
      <c r="B443" s="1944"/>
      <c r="C443" s="537">
        <v>43983</v>
      </c>
      <c r="D443" s="1373" t="s">
        <v>6952</v>
      </c>
      <c r="E443" s="491" t="s">
        <v>2434</v>
      </c>
      <c r="F443" s="491" t="s">
        <v>219</v>
      </c>
      <c r="G443" s="571" t="s">
        <v>6951</v>
      </c>
      <c r="H443" s="491">
        <v>4</v>
      </c>
      <c r="I443" s="495" t="s">
        <v>6955</v>
      </c>
      <c r="J443" s="491"/>
      <c r="K443" s="491" t="s">
        <v>3013</v>
      </c>
      <c r="L443" s="491"/>
      <c r="M443" s="536">
        <v>320000</v>
      </c>
      <c r="N443" s="491" t="s">
        <v>251</v>
      </c>
      <c r="O443" s="537">
        <v>44004</v>
      </c>
      <c r="P443" s="537">
        <v>44049</v>
      </c>
      <c r="Q443" s="537">
        <v>44084</v>
      </c>
      <c r="R443" s="495" t="s">
        <v>7296</v>
      </c>
      <c r="S443" s="491"/>
      <c r="T443" s="536">
        <v>254000</v>
      </c>
      <c r="U443" s="536">
        <f>T443*1.15</f>
        <v>292100</v>
      </c>
      <c r="V443" s="1471"/>
      <c r="W443" s="1471"/>
      <c r="X443" s="1471"/>
      <c r="Y443" s="573">
        <v>44084</v>
      </c>
      <c r="Z443" s="1375" t="s">
        <v>7567</v>
      </c>
      <c r="AA443" s="537">
        <v>44105</v>
      </c>
      <c r="AB443" s="537">
        <v>44110</v>
      </c>
      <c r="AC443" s="537">
        <v>44834</v>
      </c>
      <c r="AD443" s="491" t="s">
        <v>8483</v>
      </c>
      <c r="AE443" s="537">
        <v>44641</v>
      </c>
      <c r="AF443" s="388" t="s">
        <v>7667</v>
      </c>
      <c r="AJ443" s="1944"/>
      <c r="AK443" s="1944"/>
      <c r="AL443" s="1944"/>
      <c r="AM443" s="1944"/>
      <c r="AN443" s="1944"/>
      <c r="AO443" s="1944"/>
      <c r="AP443" s="1944"/>
      <c r="AQ443" s="1944"/>
      <c r="AR443" s="1944"/>
      <c r="AS443" s="1944"/>
    </row>
    <row r="444" spans="1:45" ht="30.75" thickBot="1">
      <c r="A444" s="1944"/>
      <c r="B444" s="1944"/>
      <c r="C444" s="1380">
        <v>43983</v>
      </c>
      <c r="D444" s="1377" t="s">
        <v>6952</v>
      </c>
      <c r="E444" s="1376" t="s">
        <v>2434</v>
      </c>
      <c r="F444" s="1376" t="s">
        <v>219</v>
      </c>
      <c r="G444" s="1378" t="s">
        <v>6951</v>
      </c>
      <c r="H444" s="1376">
        <v>5</v>
      </c>
      <c r="I444" s="2029" t="s">
        <v>6957</v>
      </c>
      <c r="J444" s="1376"/>
      <c r="K444" s="1376" t="s">
        <v>3013</v>
      </c>
      <c r="L444" s="1376"/>
      <c r="M444" s="1379">
        <v>1367416</v>
      </c>
      <c r="N444" s="1376" t="s">
        <v>251</v>
      </c>
      <c r="O444" s="1380">
        <v>44004</v>
      </c>
      <c r="P444" s="1380">
        <v>44049</v>
      </c>
      <c r="Q444" s="1380">
        <v>44084</v>
      </c>
      <c r="R444" s="1421" t="s">
        <v>7296</v>
      </c>
      <c r="S444" s="1376"/>
      <c r="T444" s="1379">
        <v>3028400</v>
      </c>
      <c r="U444" s="1379">
        <f>T444*1.15</f>
        <v>3482659.9999999995</v>
      </c>
      <c r="V444" s="1475"/>
      <c r="W444" s="1475"/>
      <c r="X444" s="1475"/>
      <c r="Y444" s="1388">
        <v>44084</v>
      </c>
      <c r="Z444" s="1389" t="s">
        <v>7568</v>
      </c>
      <c r="AA444" s="1380">
        <v>44105</v>
      </c>
      <c r="AB444" s="1380">
        <v>44110</v>
      </c>
      <c r="AC444" s="1380">
        <v>44834</v>
      </c>
      <c r="AD444" s="1380">
        <v>44285</v>
      </c>
      <c r="AE444" s="1380">
        <v>44641</v>
      </c>
      <c r="AF444" s="388" t="s">
        <v>7667</v>
      </c>
      <c r="AJ444" s="1944"/>
      <c r="AK444" s="1944"/>
      <c r="AL444" s="1944"/>
      <c r="AM444" s="1944"/>
      <c r="AN444" s="1944"/>
      <c r="AO444" s="1944"/>
      <c r="AP444" s="1944"/>
      <c r="AQ444" s="1944"/>
      <c r="AR444" s="1944"/>
      <c r="AS444" s="1944"/>
    </row>
    <row r="445" spans="1:45" ht="16.5" thickTop="1" thickBot="1">
      <c r="A445" s="1944"/>
      <c r="B445" s="1944"/>
      <c r="C445" s="498">
        <v>43992</v>
      </c>
      <c r="D445" s="1544" t="s">
        <v>6958</v>
      </c>
      <c r="E445" s="232" t="s">
        <v>1032</v>
      </c>
      <c r="F445" s="232" t="s">
        <v>1033</v>
      </c>
      <c r="G445" s="274" t="s">
        <v>6959</v>
      </c>
      <c r="H445" s="232"/>
      <c r="I445" s="669"/>
      <c r="J445" s="232"/>
      <c r="K445" s="232" t="s">
        <v>6152</v>
      </c>
      <c r="L445" s="2011" t="s">
        <v>7465</v>
      </c>
      <c r="M445" s="499">
        <v>2900000</v>
      </c>
      <c r="N445" s="232" t="s">
        <v>112</v>
      </c>
      <c r="O445" s="498">
        <v>44001</v>
      </c>
      <c r="P445" s="498">
        <v>44014</v>
      </c>
      <c r="Q445" s="498">
        <v>44026</v>
      </c>
      <c r="R445" s="669" t="s">
        <v>1092</v>
      </c>
      <c r="S445" s="232"/>
      <c r="T445" s="499">
        <v>1967359.4</v>
      </c>
      <c r="U445" s="499">
        <v>2380504.87</v>
      </c>
      <c r="V445" s="1545"/>
      <c r="W445" s="1545"/>
      <c r="X445" s="1545"/>
      <c r="Y445" s="682">
        <v>44026</v>
      </c>
      <c r="Z445" s="499" t="s">
        <v>7135</v>
      </c>
      <c r="AA445" s="498">
        <v>44050</v>
      </c>
      <c r="AB445" s="498">
        <v>44054</v>
      </c>
      <c r="AC445" s="498">
        <f>AA445+105</f>
        <v>44155</v>
      </c>
      <c r="AD445" s="498">
        <v>44643</v>
      </c>
      <c r="AE445" s="1558"/>
      <c r="AJ445" s="1944"/>
      <c r="AK445" s="1944"/>
      <c r="AL445" s="1944"/>
      <c r="AM445" s="1944"/>
      <c r="AN445" s="1944"/>
      <c r="AO445" s="1944"/>
      <c r="AP445" s="1944"/>
      <c r="AQ445" s="1944"/>
      <c r="AR445" s="1944"/>
      <c r="AS445" s="1944"/>
    </row>
    <row r="446" spans="1:45" ht="30.75" thickTop="1">
      <c r="A446" s="1944"/>
      <c r="B446" s="1944"/>
      <c r="C446" s="474">
        <v>43993</v>
      </c>
      <c r="D446" s="1383" t="s">
        <v>6961</v>
      </c>
      <c r="E446" s="453" t="s">
        <v>2434</v>
      </c>
      <c r="F446" s="453" t="s">
        <v>751</v>
      </c>
      <c r="G446" s="1997" t="s">
        <v>6968</v>
      </c>
      <c r="H446" s="453">
        <v>1</v>
      </c>
      <c r="I446" s="2000" t="s">
        <v>6962</v>
      </c>
      <c r="J446" s="453"/>
      <c r="K446" s="453" t="s">
        <v>2844</v>
      </c>
      <c r="L446" s="453"/>
      <c r="M446" s="457">
        <v>1350000</v>
      </c>
      <c r="N446" s="453" t="s">
        <v>251</v>
      </c>
      <c r="O446" s="474">
        <v>44057</v>
      </c>
      <c r="P446" s="474">
        <v>44106</v>
      </c>
      <c r="Q446" s="474">
        <v>44120</v>
      </c>
      <c r="R446" s="1420" t="s">
        <v>2754</v>
      </c>
      <c r="S446" s="453"/>
      <c r="T446" s="457">
        <v>1350000</v>
      </c>
      <c r="U446" s="457">
        <v>1552500</v>
      </c>
      <c r="V446" s="1474"/>
      <c r="W446" s="1474"/>
      <c r="X446" s="1474"/>
      <c r="Y446" s="570">
        <v>44120</v>
      </c>
      <c r="Z446" s="1387" t="s">
        <v>7758</v>
      </c>
      <c r="AA446" s="474">
        <v>44146</v>
      </c>
      <c r="AB446" s="474">
        <v>44159</v>
      </c>
      <c r="AC446" s="474">
        <v>45240</v>
      </c>
      <c r="AD446" s="474">
        <v>44285</v>
      </c>
      <c r="AE446" s="453" t="s">
        <v>11373</v>
      </c>
      <c r="AF446" s="1391">
        <v>2022</v>
      </c>
      <c r="AG446" s="1391" t="s">
        <v>7905</v>
      </c>
      <c r="AJ446" s="1944"/>
      <c r="AK446" s="1944"/>
      <c r="AL446" s="1944"/>
      <c r="AM446" s="1944"/>
      <c r="AN446" s="1944"/>
      <c r="AO446" s="1944"/>
      <c r="AP446" s="1944"/>
      <c r="AQ446" s="1944"/>
      <c r="AR446" s="1944"/>
      <c r="AS446" s="1944"/>
    </row>
    <row r="447" spans="1:45" ht="30">
      <c r="A447" s="1944"/>
      <c r="B447" s="1944"/>
      <c r="C447" s="537">
        <v>43993</v>
      </c>
      <c r="D447" s="1373" t="s">
        <v>6961</v>
      </c>
      <c r="E447" s="491" t="s">
        <v>2434</v>
      </c>
      <c r="F447" s="491" t="s">
        <v>751</v>
      </c>
      <c r="G447" s="1979" t="s">
        <v>6968</v>
      </c>
      <c r="H447" s="491">
        <v>2</v>
      </c>
      <c r="I447" s="1946" t="s">
        <v>3799</v>
      </c>
      <c r="J447" s="491"/>
      <c r="K447" s="491" t="s">
        <v>2844</v>
      </c>
      <c r="L447" s="491"/>
      <c r="M447" s="536">
        <v>225650</v>
      </c>
      <c r="N447" s="491" t="s">
        <v>251</v>
      </c>
      <c r="O447" s="537">
        <v>44057</v>
      </c>
      <c r="P447" s="537">
        <v>44106</v>
      </c>
      <c r="Q447" s="537">
        <v>44120</v>
      </c>
      <c r="R447" s="495" t="s">
        <v>7573</v>
      </c>
      <c r="S447" s="491"/>
      <c r="T447" s="536">
        <v>225650</v>
      </c>
      <c r="U447" s="536">
        <v>259497.5</v>
      </c>
      <c r="V447" s="1471"/>
      <c r="W447" s="1471"/>
      <c r="X447" s="1471"/>
      <c r="Y447" s="573">
        <v>44120</v>
      </c>
      <c r="Z447" s="1375" t="s">
        <v>7759</v>
      </c>
      <c r="AA447" s="537">
        <v>44151</v>
      </c>
      <c r="AB447" s="537">
        <v>44159</v>
      </c>
      <c r="AC447" s="537">
        <v>45245</v>
      </c>
      <c r="AD447" s="491" t="s">
        <v>8483</v>
      </c>
      <c r="AE447" s="537">
        <v>44641</v>
      </c>
      <c r="AF447" s="1374">
        <v>2022</v>
      </c>
      <c r="AG447" s="1374" t="s">
        <v>7929</v>
      </c>
      <c r="AJ447" s="1944"/>
      <c r="AK447" s="1944"/>
      <c r="AL447" s="1944"/>
      <c r="AM447" s="1944"/>
      <c r="AN447" s="1944"/>
      <c r="AO447" s="1944"/>
      <c r="AP447" s="1944"/>
      <c r="AQ447" s="1944"/>
      <c r="AR447" s="1944"/>
      <c r="AS447" s="1944"/>
    </row>
    <row r="448" spans="1:45" ht="30">
      <c r="A448" s="1944"/>
      <c r="B448" s="1944"/>
      <c r="C448" s="537">
        <v>43993</v>
      </c>
      <c r="D448" s="1373" t="s">
        <v>6961</v>
      </c>
      <c r="E448" s="491" t="s">
        <v>2434</v>
      </c>
      <c r="F448" s="491" t="s">
        <v>751</v>
      </c>
      <c r="G448" s="1979" t="s">
        <v>6968</v>
      </c>
      <c r="H448" s="491">
        <v>3</v>
      </c>
      <c r="I448" s="1946" t="s">
        <v>3800</v>
      </c>
      <c r="J448" s="491"/>
      <c r="K448" s="491" t="s">
        <v>2844</v>
      </c>
      <c r="L448" s="491"/>
      <c r="M448" s="536">
        <v>580000</v>
      </c>
      <c r="N448" s="491" t="s">
        <v>251</v>
      </c>
      <c r="O448" s="537">
        <v>44057</v>
      </c>
      <c r="P448" s="537">
        <v>44106</v>
      </c>
      <c r="Q448" s="537">
        <v>44120</v>
      </c>
      <c r="R448" s="495" t="s">
        <v>2754</v>
      </c>
      <c r="S448" s="491"/>
      <c r="T448" s="536">
        <v>580000</v>
      </c>
      <c r="U448" s="536">
        <v>667000</v>
      </c>
      <c r="V448" s="1471"/>
      <c r="W448" s="1471"/>
      <c r="X448" s="1471"/>
      <c r="Y448" s="573">
        <v>44120</v>
      </c>
      <c r="Z448" s="1375" t="s">
        <v>7760</v>
      </c>
      <c r="AA448" s="537">
        <v>44146</v>
      </c>
      <c r="AB448" s="537">
        <v>44159</v>
      </c>
      <c r="AC448" s="537">
        <v>45240</v>
      </c>
      <c r="AD448" s="491" t="s">
        <v>8483</v>
      </c>
      <c r="AE448" s="537">
        <v>44641</v>
      </c>
      <c r="AF448" s="1374">
        <v>2022</v>
      </c>
      <c r="AG448" s="1374" t="s">
        <v>7905</v>
      </c>
      <c r="AJ448" s="1944"/>
      <c r="AK448" s="1944"/>
      <c r="AL448" s="1944"/>
      <c r="AM448" s="1944"/>
      <c r="AN448" s="1944"/>
      <c r="AO448" s="1944"/>
      <c r="AP448" s="1944"/>
      <c r="AQ448" s="1944"/>
      <c r="AR448" s="1944"/>
      <c r="AS448" s="1944"/>
    </row>
    <row r="449" spans="1:45" ht="30">
      <c r="A449" s="1944"/>
      <c r="B449" s="1944"/>
      <c r="C449" s="537">
        <v>43993</v>
      </c>
      <c r="D449" s="1373" t="s">
        <v>6961</v>
      </c>
      <c r="E449" s="491" t="s">
        <v>2434</v>
      </c>
      <c r="F449" s="491" t="s">
        <v>751</v>
      </c>
      <c r="G449" s="1979" t="s">
        <v>6968</v>
      </c>
      <c r="H449" s="491">
        <v>4</v>
      </c>
      <c r="I449" s="1946" t="s">
        <v>3801</v>
      </c>
      <c r="J449" s="491"/>
      <c r="K449" s="491" t="s">
        <v>2844</v>
      </c>
      <c r="L449" s="491"/>
      <c r="M449" s="536">
        <v>15840000</v>
      </c>
      <c r="N449" s="491" t="s">
        <v>251</v>
      </c>
      <c r="O449" s="537">
        <v>44057</v>
      </c>
      <c r="P449" s="537">
        <v>44106</v>
      </c>
      <c r="Q449" s="537">
        <v>44120</v>
      </c>
      <c r="R449" s="495" t="s">
        <v>2754</v>
      </c>
      <c r="S449" s="491"/>
      <c r="T449" s="536">
        <v>15840000</v>
      </c>
      <c r="U449" s="536">
        <v>18216000</v>
      </c>
      <c r="V449" s="1471"/>
      <c r="W449" s="1471"/>
      <c r="X449" s="1471"/>
      <c r="Y449" s="573">
        <v>44120</v>
      </c>
      <c r="Z449" s="1375" t="s">
        <v>7761</v>
      </c>
      <c r="AA449" s="537">
        <v>44146</v>
      </c>
      <c r="AB449" s="537">
        <v>44159</v>
      </c>
      <c r="AC449" s="537">
        <v>45240</v>
      </c>
      <c r="AD449" s="537">
        <v>44285</v>
      </c>
      <c r="AE449" s="537">
        <v>44641</v>
      </c>
      <c r="AF449" s="1374">
        <v>2022</v>
      </c>
      <c r="AG449" s="1374" t="s">
        <v>7905</v>
      </c>
      <c r="AJ449" s="1944"/>
      <c r="AK449" s="1944"/>
      <c r="AL449" s="1944"/>
      <c r="AM449" s="1944"/>
      <c r="AN449" s="1944"/>
      <c r="AO449" s="1944"/>
      <c r="AP449" s="1944"/>
      <c r="AQ449" s="1944"/>
      <c r="AR449" s="1944"/>
      <c r="AS449" s="1944"/>
    </row>
    <row r="450" spans="1:45" ht="30">
      <c r="A450" s="1944"/>
      <c r="B450" s="1944"/>
      <c r="C450" s="537">
        <v>43993</v>
      </c>
      <c r="D450" s="1373" t="s">
        <v>6961</v>
      </c>
      <c r="E450" s="491" t="s">
        <v>2434</v>
      </c>
      <c r="F450" s="491" t="s">
        <v>751</v>
      </c>
      <c r="G450" s="1979" t="s">
        <v>6968</v>
      </c>
      <c r="H450" s="491">
        <v>5</v>
      </c>
      <c r="I450" s="1946" t="s">
        <v>6963</v>
      </c>
      <c r="J450" s="491"/>
      <c r="K450" s="491" t="s">
        <v>2844</v>
      </c>
      <c r="L450" s="491"/>
      <c r="M450" s="536">
        <v>2542500</v>
      </c>
      <c r="N450" s="491" t="s">
        <v>251</v>
      </c>
      <c r="O450" s="537">
        <v>44057</v>
      </c>
      <c r="P450" s="537">
        <v>44106</v>
      </c>
      <c r="Q450" s="537">
        <v>44120</v>
      </c>
      <c r="R450" s="495" t="s">
        <v>6763</v>
      </c>
      <c r="S450" s="491"/>
      <c r="T450" s="536">
        <v>2922750</v>
      </c>
      <c r="U450" s="536">
        <v>3361162.5</v>
      </c>
      <c r="V450" s="1471"/>
      <c r="W450" s="1471"/>
      <c r="X450" s="1471"/>
      <c r="Y450" s="573">
        <v>44120</v>
      </c>
      <c r="Z450" s="1375" t="s">
        <v>7762</v>
      </c>
      <c r="AA450" s="537">
        <v>44146</v>
      </c>
      <c r="AB450" s="537">
        <v>44159</v>
      </c>
      <c r="AC450" s="537">
        <v>45240</v>
      </c>
      <c r="AD450" s="537">
        <v>44285</v>
      </c>
      <c r="AE450" s="537">
        <v>44641</v>
      </c>
      <c r="AF450" s="1374">
        <v>2022</v>
      </c>
      <c r="AG450" s="1374" t="s">
        <v>7905</v>
      </c>
      <c r="AJ450" s="1944"/>
      <c r="AK450" s="1944"/>
      <c r="AL450" s="1944"/>
      <c r="AM450" s="1944"/>
      <c r="AN450" s="1944"/>
      <c r="AO450" s="1944"/>
      <c r="AP450" s="1944"/>
      <c r="AQ450" s="1944"/>
      <c r="AR450" s="1944"/>
      <c r="AS450" s="1944"/>
    </row>
    <row r="451" spans="1:45" ht="30">
      <c r="A451" s="1944"/>
      <c r="B451" s="1944"/>
      <c r="C451" s="537">
        <v>43993</v>
      </c>
      <c r="D451" s="1373" t="s">
        <v>6961</v>
      </c>
      <c r="E451" s="491" t="s">
        <v>2434</v>
      </c>
      <c r="F451" s="491" t="s">
        <v>751</v>
      </c>
      <c r="G451" s="1979" t="s">
        <v>6968</v>
      </c>
      <c r="H451" s="491">
        <v>6</v>
      </c>
      <c r="I451" s="1946" t="s">
        <v>6964</v>
      </c>
      <c r="J451" s="491"/>
      <c r="K451" s="491" t="s">
        <v>2844</v>
      </c>
      <c r="L451" s="491"/>
      <c r="M451" s="536">
        <v>3584000</v>
      </c>
      <c r="N451" s="491" t="s">
        <v>251</v>
      </c>
      <c r="O451" s="537">
        <v>44057</v>
      </c>
      <c r="P451" s="537">
        <v>44106</v>
      </c>
      <c r="Q451" s="537">
        <v>44120</v>
      </c>
      <c r="R451" s="495" t="s">
        <v>6763</v>
      </c>
      <c r="S451" s="491"/>
      <c r="T451" s="536">
        <v>3584000</v>
      </c>
      <c r="U451" s="536">
        <v>4121600</v>
      </c>
      <c r="V451" s="1471"/>
      <c r="W451" s="1471"/>
      <c r="X451" s="1471"/>
      <c r="Y451" s="573">
        <v>44120</v>
      </c>
      <c r="Z451" s="1375" t="s">
        <v>7763</v>
      </c>
      <c r="AA451" s="537">
        <v>44146</v>
      </c>
      <c r="AB451" s="537">
        <v>44159</v>
      </c>
      <c r="AC451" s="537">
        <v>45240</v>
      </c>
      <c r="AD451" s="537">
        <v>44285</v>
      </c>
      <c r="AE451" s="537">
        <v>44641</v>
      </c>
      <c r="AF451" s="1374">
        <v>2022</v>
      </c>
      <c r="AG451" s="1374" t="s">
        <v>7905</v>
      </c>
      <c r="AJ451" s="1944"/>
      <c r="AK451" s="1944"/>
      <c r="AL451" s="1944"/>
      <c r="AM451" s="1944"/>
      <c r="AN451" s="1944"/>
      <c r="AO451" s="1944"/>
      <c r="AP451" s="1944"/>
      <c r="AQ451" s="1944"/>
      <c r="AR451" s="1944"/>
      <c r="AS451" s="1944"/>
    </row>
    <row r="452" spans="1:45" ht="30">
      <c r="A452" s="1944"/>
      <c r="B452" s="1944"/>
      <c r="C452" s="537">
        <v>43993</v>
      </c>
      <c r="D452" s="1373" t="s">
        <v>6961</v>
      </c>
      <c r="E452" s="491" t="s">
        <v>2434</v>
      </c>
      <c r="F452" s="491" t="s">
        <v>751</v>
      </c>
      <c r="G452" s="1979" t="s">
        <v>6968</v>
      </c>
      <c r="H452" s="491">
        <v>7</v>
      </c>
      <c r="I452" s="1946" t="s">
        <v>3803</v>
      </c>
      <c r="J452" s="491"/>
      <c r="K452" s="491" t="s">
        <v>2844</v>
      </c>
      <c r="L452" s="491"/>
      <c r="M452" s="536">
        <v>1540000</v>
      </c>
      <c r="N452" s="491" t="s">
        <v>251</v>
      </c>
      <c r="O452" s="537">
        <v>44057</v>
      </c>
      <c r="P452" s="537">
        <v>44106</v>
      </c>
      <c r="Q452" s="537">
        <v>44120</v>
      </c>
      <c r="R452" s="495" t="s">
        <v>2754</v>
      </c>
      <c r="S452" s="491"/>
      <c r="T452" s="536">
        <v>1540000</v>
      </c>
      <c r="U452" s="536">
        <v>1771000</v>
      </c>
      <c r="V452" s="1471"/>
      <c r="W452" s="1471"/>
      <c r="X452" s="1471"/>
      <c r="Y452" s="573">
        <v>44120</v>
      </c>
      <c r="Z452" s="1549" t="s">
        <v>7764</v>
      </c>
      <c r="AA452" s="537">
        <v>44146</v>
      </c>
      <c r="AB452" s="537">
        <v>44159</v>
      </c>
      <c r="AC452" s="537">
        <v>45240</v>
      </c>
      <c r="AD452" s="537">
        <v>44285</v>
      </c>
      <c r="AE452" s="537">
        <v>44641</v>
      </c>
      <c r="AF452" s="1374">
        <v>2022</v>
      </c>
      <c r="AG452" s="1374" t="s">
        <v>7905</v>
      </c>
      <c r="AJ452" s="1944"/>
      <c r="AK452" s="1944"/>
      <c r="AL452" s="1944"/>
      <c r="AM452" s="1944"/>
      <c r="AN452" s="1944"/>
      <c r="AO452" s="1944"/>
      <c r="AP452" s="1944"/>
      <c r="AQ452" s="1944"/>
      <c r="AR452" s="1944"/>
      <c r="AS452" s="1944"/>
    </row>
    <row r="453" spans="1:45" ht="30">
      <c r="A453" s="1944"/>
      <c r="B453" s="1944"/>
      <c r="C453" s="537">
        <v>43993</v>
      </c>
      <c r="D453" s="1373" t="s">
        <v>6961</v>
      </c>
      <c r="E453" s="491" t="s">
        <v>2434</v>
      </c>
      <c r="F453" s="491" t="s">
        <v>751</v>
      </c>
      <c r="G453" s="1979" t="s">
        <v>6968</v>
      </c>
      <c r="H453" s="491">
        <v>8</v>
      </c>
      <c r="I453" s="1946" t="s">
        <v>6965</v>
      </c>
      <c r="J453" s="491"/>
      <c r="K453" s="491" t="s">
        <v>2844</v>
      </c>
      <c r="L453" s="491"/>
      <c r="M453" s="536">
        <v>824400</v>
      </c>
      <c r="N453" s="491" t="s">
        <v>251</v>
      </c>
      <c r="O453" s="537">
        <v>44057</v>
      </c>
      <c r="P453" s="537">
        <v>44106</v>
      </c>
      <c r="Q453" s="537">
        <v>44120</v>
      </c>
      <c r="R453" s="495" t="s">
        <v>6763</v>
      </c>
      <c r="S453" s="491"/>
      <c r="T453" s="536">
        <v>824400</v>
      </c>
      <c r="U453" s="536">
        <v>948060</v>
      </c>
      <c r="V453" s="1471"/>
      <c r="W453" s="1471"/>
      <c r="X453" s="1471"/>
      <c r="Y453" s="573">
        <v>44120</v>
      </c>
      <c r="Z453" s="1549" t="s">
        <v>7765</v>
      </c>
      <c r="AA453" s="537">
        <v>44146</v>
      </c>
      <c r="AB453" s="537">
        <v>44159</v>
      </c>
      <c r="AC453" s="537">
        <v>45240</v>
      </c>
      <c r="AD453" s="537">
        <v>44285</v>
      </c>
      <c r="AE453" s="537">
        <v>44641</v>
      </c>
      <c r="AF453" s="1374">
        <v>2022</v>
      </c>
      <c r="AG453" s="1374" t="s">
        <v>7905</v>
      </c>
      <c r="AJ453" s="1944"/>
      <c r="AK453" s="1944"/>
      <c r="AL453" s="1944"/>
      <c r="AM453" s="1944"/>
      <c r="AN453" s="1944"/>
      <c r="AO453" s="1944"/>
      <c r="AP453" s="1944"/>
      <c r="AQ453" s="1944"/>
      <c r="AR453" s="1944"/>
      <c r="AS453" s="1944"/>
    </row>
    <row r="454" spans="1:45" ht="30">
      <c r="A454" s="1944"/>
      <c r="B454" s="1944"/>
      <c r="C454" s="537">
        <v>43993</v>
      </c>
      <c r="D454" s="1373" t="s">
        <v>6961</v>
      </c>
      <c r="E454" s="491" t="s">
        <v>2434</v>
      </c>
      <c r="F454" s="491" t="s">
        <v>751</v>
      </c>
      <c r="G454" s="1979" t="s">
        <v>6968</v>
      </c>
      <c r="H454" s="491">
        <v>9</v>
      </c>
      <c r="I454" s="1946" t="s">
        <v>6966</v>
      </c>
      <c r="J454" s="491"/>
      <c r="K454" s="491" t="s">
        <v>2844</v>
      </c>
      <c r="L454" s="491"/>
      <c r="M454" s="536">
        <v>1018650</v>
      </c>
      <c r="N454" s="491" t="s">
        <v>251</v>
      </c>
      <c r="O454" s="537">
        <v>44057</v>
      </c>
      <c r="P454" s="537">
        <v>44106</v>
      </c>
      <c r="Q454" s="537">
        <v>44120</v>
      </c>
      <c r="R454" s="495" t="s">
        <v>6763</v>
      </c>
      <c r="S454" s="491"/>
      <c r="T454" s="536">
        <v>1018650</v>
      </c>
      <c r="U454" s="536">
        <v>1171447.5</v>
      </c>
      <c r="V454" s="1471"/>
      <c r="W454" s="1471"/>
      <c r="X454" s="1471"/>
      <c r="Y454" s="573">
        <v>44120</v>
      </c>
      <c r="Z454" s="1549" t="s">
        <v>7766</v>
      </c>
      <c r="AA454" s="537">
        <v>44146</v>
      </c>
      <c r="AB454" s="537">
        <v>44159</v>
      </c>
      <c r="AC454" s="537">
        <v>45240</v>
      </c>
      <c r="AD454" s="537">
        <v>44285</v>
      </c>
      <c r="AE454" s="537">
        <v>44641</v>
      </c>
      <c r="AF454" s="1374">
        <v>2022</v>
      </c>
      <c r="AG454" s="1374" t="s">
        <v>7905</v>
      </c>
      <c r="AJ454" s="1944"/>
      <c r="AK454" s="1944"/>
      <c r="AL454" s="1944"/>
      <c r="AM454" s="1944"/>
      <c r="AN454" s="1944"/>
      <c r="AO454" s="1944"/>
      <c r="AP454" s="1944"/>
      <c r="AQ454" s="1944"/>
      <c r="AR454" s="1944"/>
      <c r="AS454" s="1944"/>
    </row>
    <row r="455" spans="1:45" ht="30.75" thickBot="1">
      <c r="A455" s="1944"/>
      <c r="B455" s="1944"/>
      <c r="C455" s="1380">
        <v>43993</v>
      </c>
      <c r="D455" s="1377" t="s">
        <v>6961</v>
      </c>
      <c r="E455" s="1376" t="s">
        <v>2434</v>
      </c>
      <c r="F455" s="1376" t="s">
        <v>751</v>
      </c>
      <c r="G455" s="2005" t="s">
        <v>6968</v>
      </c>
      <c r="H455" s="1376">
        <v>10</v>
      </c>
      <c r="I455" s="1833" t="s">
        <v>6967</v>
      </c>
      <c r="J455" s="1376"/>
      <c r="K455" s="1376" t="s">
        <v>2844</v>
      </c>
      <c r="L455" s="1376"/>
      <c r="M455" s="1379">
        <v>2592000</v>
      </c>
      <c r="N455" s="1376" t="s">
        <v>251</v>
      </c>
      <c r="O455" s="1380">
        <v>44057</v>
      </c>
      <c r="P455" s="1380">
        <v>44106</v>
      </c>
      <c r="Q455" s="1380">
        <v>44120</v>
      </c>
      <c r="R455" s="1421" t="s">
        <v>6763</v>
      </c>
      <c r="S455" s="1376"/>
      <c r="T455" s="1379">
        <v>2592000</v>
      </c>
      <c r="U455" s="1379">
        <v>2980800</v>
      </c>
      <c r="V455" s="1475"/>
      <c r="W455" s="1475"/>
      <c r="X455" s="1475"/>
      <c r="Y455" s="1388">
        <v>44120</v>
      </c>
      <c r="Z455" s="1889" t="s">
        <v>7767</v>
      </c>
      <c r="AA455" s="1380">
        <v>44146</v>
      </c>
      <c r="AB455" s="1380">
        <v>44159</v>
      </c>
      <c r="AC455" s="1380">
        <v>45240</v>
      </c>
      <c r="AD455" s="1380">
        <v>44285</v>
      </c>
      <c r="AE455" s="1380">
        <v>44641</v>
      </c>
      <c r="AF455" s="1381">
        <v>2022</v>
      </c>
      <c r="AG455" s="1381" t="s">
        <v>7905</v>
      </c>
      <c r="AJ455" s="1944"/>
      <c r="AK455" s="1944"/>
      <c r="AL455" s="1944"/>
      <c r="AM455" s="1944"/>
      <c r="AN455" s="1944"/>
      <c r="AO455" s="1944"/>
      <c r="AP455" s="1944"/>
      <c r="AQ455" s="1944"/>
      <c r="AR455" s="1944"/>
      <c r="AS455" s="1944"/>
    </row>
    <row r="456" spans="1:45" ht="15.75" thickTop="1">
      <c r="A456" s="1944"/>
      <c r="B456" s="1944"/>
      <c r="C456" s="3210" t="s">
        <v>3585</v>
      </c>
      <c r="D456" s="1397" t="s">
        <v>6972</v>
      </c>
      <c r="E456" s="3210" t="s">
        <v>2434</v>
      </c>
      <c r="F456" s="3210" t="s">
        <v>219</v>
      </c>
      <c r="G456" s="175" t="s">
        <v>6973</v>
      </c>
      <c r="H456" s="3210"/>
      <c r="I456" s="3211"/>
      <c r="J456" s="3210"/>
      <c r="K456" s="3210" t="s">
        <v>642</v>
      </c>
      <c r="L456" s="3210"/>
      <c r="M456" s="364">
        <v>1493100</v>
      </c>
      <c r="N456" s="3210" t="s">
        <v>112</v>
      </c>
      <c r="O456" s="365">
        <v>44013</v>
      </c>
      <c r="P456" s="365">
        <v>44022</v>
      </c>
      <c r="Q456" s="365">
        <v>44047</v>
      </c>
      <c r="R456" s="3211" t="s">
        <v>7190</v>
      </c>
      <c r="S456" s="3210"/>
      <c r="T456" s="364">
        <v>1650972.4</v>
      </c>
      <c r="U456" s="364">
        <v>1997646</v>
      </c>
      <c r="V456" s="1473"/>
      <c r="W456" s="1473"/>
      <c r="X456" s="1473"/>
      <c r="Y456" s="681">
        <v>44047</v>
      </c>
      <c r="Z456" s="364" t="s">
        <v>7250</v>
      </c>
      <c r="AA456" s="365">
        <v>44090</v>
      </c>
      <c r="AB456" s="365">
        <v>44097</v>
      </c>
      <c r="AC456" s="365">
        <v>44819</v>
      </c>
      <c r="AD456" s="365">
        <v>44285</v>
      </c>
      <c r="AE456" s="365">
        <v>44641</v>
      </c>
      <c r="AF456" s="388" t="s">
        <v>7594</v>
      </c>
      <c r="AJ456" s="1944"/>
      <c r="AK456" s="1944"/>
      <c r="AL456" s="1944"/>
      <c r="AM456" s="1944"/>
      <c r="AN456" s="1944"/>
      <c r="AO456" s="1944"/>
      <c r="AP456" s="1944"/>
      <c r="AQ456" s="1944"/>
      <c r="AR456" s="1944"/>
      <c r="AS456" s="1944"/>
    </row>
    <row r="457" spans="1:45">
      <c r="A457" s="1944"/>
      <c r="B457" s="1944"/>
      <c r="C457" s="537">
        <v>43994</v>
      </c>
      <c r="D457" s="1373" t="s">
        <v>6974</v>
      </c>
      <c r="E457" s="491" t="s">
        <v>6975</v>
      </c>
      <c r="F457" s="491" t="s">
        <v>6976</v>
      </c>
      <c r="G457" s="571" t="s">
        <v>6980</v>
      </c>
      <c r="H457" s="491">
        <v>1</v>
      </c>
      <c r="I457" s="495" t="s">
        <v>6977</v>
      </c>
      <c r="J457" s="491"/>
      <c r="K457" s="491" t="s">
        <v>6978</v>
      </c>
      <c r="L457" s="491"/>
      <c r="M457" s="536">
        <v>429752</v>
      </c>
      <c r="N457" s="491" t="s">
        <v>112</v>
      </c>
      <c r="O457" s="537">
        <v>44001</v>
      </c>
      <c r="P457" s="537">
        <v>44012</v>
      </c>
      <c r="Q457" s="537">
        <v>44032</v>
      </c>
      <c r="R457" s="495" t="s">
        <v>7173</v>
      </c>
      <c r="S457" s="491"/>
      <c r="T457" s="536">
        <v>341000</v>
      </c>
      <c r="U457" s="536">
        <f>T457*1.21</f>
        <v>412610</v>
      </c>
      <c r="V457" s="1471"/>
      <c r="W457" s="1471"/>
      <c r="X457" s="1471"/>
      <c r="Y457" s="573">
        <v>44032</v>
      </c>
      <c r="Z457" s="536" t="s">
        <v>7176</v>
      </c>
      <c r="AA457" s="537">
        <v>44034</v>
      </c>
      <c r="AB457" s="537">
        <v>44035</v>
      </c>
      <c r="AC457" s="537">
        <v>44196</v>
      </c>
      <c r="AD457" s="537">
        <v>44193</v>
      </c>
      <c r="AE457" s="1102"/>
      <c r="AJ457" s="1944"/>
      <c r="AK457" s="1944"/>
      <c r="AL457" s="1944"/>
      <c r="AM457" s="1944"/>
      <c r="AN457" s="1944"/>
      <c r="AO457" s="1944"/>
      <c r="AP457" s="1944"/>
      <c r="AQ457" s="1944"/>
      <c r="AR457" s="1944"/>
      <c r="AS457" s="1944"/>
    </row>
    <row r="458" spans="1:45">
      <c r="A458" s="1944"/>
      <c r="B458" s="1944"/>
      <c r="C458" s="537">
        <v>43994</v>
      </c>
      <c r="D458" s="1373" t="s">
        <v>6974</v>
      </c>
      <c r="E458" s="491" t="s">
        <v>6975</v>
      </c>
      <c r="F458" s="491" t="s">
        <v>6976</v>
      </c>
      <c r="G458" s="571" t="s">
        <v>6980</v>
      </c>
      <c r="H458" s="491">
        <v>2</v>
      </c>
      <c r="I458" s="495" t="s">
        <v>6979</v>
      </c>
      <c r="J458" s="491"/>
      <c r="K458" s="491" t="s">
        <v>6978</v>
      </c>
      <c r="L458" s="491"/>
      <c r="M458" s="536">
        <v>107438</v>
      </c>
      <c r="N458" s="491" t="s">
        <v>112</v>
      </c>
      <c r="O458" s="537">
        <v>44001</v>
      </c>
      <c r="P458" s="537">
        <v>44012</v>
      </c>
      <c r="Q458" s="537">
        <v>44032</v>
      </c>
      <c r="R458" s="495" t="s">
        <v>7174</v>
      </c>
      <c r="S458" s="491"/>
      <c r="T458" s="536">
        <v>80000</v>
      </c>
      <c r="U458" s="536">
        <f>T458*1.21</f>
        <v>96800</v>
      </c>
      <c r="V458" s="1471"/>
      <c r="W458" s="1471"/>
      <c r="X458" s="1471"/>
      <c r="Y458" s="573">
        <v>44032</v>
      </c>
      <c r="Z458" s="536" t="s">
        <v>7177</v>
      </c>
      <c r="AA458" s="537">
        <v>44034</v>
      </c>
      <c r="AB458" s="537">
        <v>44035</v>
      </c>
      <c r="AC458" s="537">
        <v>44196</v>
      </c>
      <c r="AD458" s="537">
        <v>44193</v>
      </c>
      <c r="AE458" s="1102"/>
      <c r="AJ458" s="1944"/>
      <c r="AK458" s="1944"/>
      <c r="AL458" s="1944"/>
      <c r="AM458" s="1944"/>
      <c r="AN458" s="1944"/>
      <c r="AO458" s="1944"/>
      <c r="AP458" s="1944"/>
      <c r="AQ458" s="1944"/>
      <c r="AR458" s="1944"/>
      <c r="AS458" s="1944"/>
    </row>
    <row r="459" spans="1:45" ht="30">
      <c r="A459" s="1944"/>
      <c r="B459" s="1944"/>
      <c r="C459" s="416">
        <v>43991</v>
      </c>
      <c r="D459" s="1468" t="s">
        <v>7027</v>
      </c>
      <c r="E459" s="411" t="s">
        <v>58</v>
      </c>
      <c r="F459" s="411" t="s">
        <v>918</v>
      </c>
      <c r="G459" s="412" t="s">
        <v>7028</v>
      </c>
      <c r="H459" s="411"/>
      <c r="I459" s="630"/>
      <c r="J459" s="411"/>
      <c r="K459" s="491" t="s">
        <v>77</v>
      </c>
      <c r="L459" s="411"/>
      <c r="M459" s="417">
        <v>4000000</v>
      </c>
      <c r="N459" s="411" t="s">
        <v>251</v>
      </c>
      <c r="O459" s="416">
        <v>44008</v>
      </c>
      <c r="P459" s="416">
        <v>44041</v>
      </c>
      <c r="Q459" s="416">
        <v>44088</v>
      </c>
      <c r="R459" s="630" t="s">
        <v>5726</v>
      </c>
      <c r="S459" s="411"/>
      <c r="T459" s="417">
        <v>3599990</v>
      </c>
      <c r="U459" s="417">
        <v>4355987.9000000004</v>
      </c>
      <c r="V459" s="1480"/>
      <c r="W459" s="1480"/>
      <c r="X459" s="1480"/>
      <c r="Y459" s="513">
        <v>44088</v>
      </c>
      <c r="Z459" s="1553" t="s">
        <v>7578</v>
      </c>
      <c r="AA459" s="416">
        <v>44118</v>
      </c>
      <c r="AB459" s="416">
        <v>44126</v>
      </c>
      <c r="AC459" s="416">
        <f>AA459+70</f>
        <v>44188</v>
      </c>
      <c r="AD459" s="416">
        <v>44224</v>
      </c>
      <c r="AE459" s="422" t="s">
        <v>7753</v>
      </c>
      <c r="AJ459" s="1944"/>
      <c r="AK459" s="1944"/>
      <c r="AL459" s="1944"/>
      <c r="AM459" s="1944"/>
      <c r="AN459" s="1944"/>
      <c r="AO459" s="1944"/>
      <c r="AP459" s="1944"/>
      <c r="AQ459" s="1944"/>
      <c r="AR459" s="1944"/>
      <c r="AS459" s="1944"/>
    </row>
    <row r="460" spans="1:45" ht="15.75" thickBot="1">
      <c r="A460" s="1944"/>
      <c r="B460" s="1944"/>
      <c r="C460" s="416">
        <v>43997</v>
      </c>
      <c r="D460" s="1468" t="s">
        <v>6998</v>
      </c>
      <c r="E460" s="411" t="s">
        <v>69</v>
      </c>
      <c r="F460" s="411" t="s">
        <v>70</v>
      </c>
      <c r="G460" s="412" t="s">
        <v>6999</v>
      </c>
      <c r="H460" s="411"/>
      <c r="I460" s="630"/>
      <c r="J460" s="411"/>
      <c r="K460" s="411" t="s">
        <v>1431</v>
      </c>
      <c r="L460" s="411"/>
      <c r="M460" s="417">
        <v>1496880</v>
      </c>
      <c r="N460" s="411" t="s">
        <v>112</v>
      </c>
      <c r="O460" s="416">
        <v>44019</v>
      </c>
      <c r="P460" s="416">
        <v>44029</v>
      </c>
      <c r="Q460" s="416">
        <v>44047</v>
      </c>
      <c r="R460" s="630" t="s">
        <v>585</v>
      </c>
      <c r="S460" s="411"/>
      <c r="T460" s="417">
        <v>1496880</v>
      </c>
      <c r="U460" s="417">
        <v>1721412</v>
      </c>
      <c r="V460" s="1480"/>
      <c r="W460" s="1480"/>
      <c r="X460" s="1480"/>
      <c r="Y460" s="513">
        <v>44047</v>
      </c>
      <c r="Z460" s="417" t="s">
        <v>7253</v>
      </c>
      <c r="AA460" s="416">
        <v>44085</v>
      </c>
      <c r="AB460" s="416">
        <v>44090</v>
      </c>
      <c r="AC460" s="416">
        <v>45179</v>
      </c>
      <c r="AD460" s="411" t="s">
        <v>8483</v>
      </c>
      <c r="AE460" s="422">
        <v>2021</v>
      </c>
      <c r="AF460" s="388">
        <v>2022</v>
      </c>
      <c r="AG460" s="388" t="s">
        <v>7575</v>
      </c>
      <c r="AJ460" s="1944"/>
      <c r="AK460" s="1944"/>
      <c r="AL460" s="1944"/>
      <c r="AM460" s="1944"/>
      <c r="AN460" s="1944"/>
      <c r="AO460" s="1944"/>
      <c r="AP460" s="1944"/>
      <c r="AQ460" s="1944"/>
      <c r="AR460" s="1944"/>
      <c r="AS460" s="1944"/>
    </row>
    <row r="461" spans="1:45" ht="15.75" thickTop="1">
      <c r="A461" s="1944"/>
      <c r="B461" s="1944"/>
      <c r="C461" s="443">
        <v>43997</v>
      </c>
      <c r="D461" s="1415" t="s">
        <v>7001</v>
      </c>
      <c r="E461" s="439" t="s">
        <v>69</v>
      </c>
      <c r="F461" s="439" t="s">
        <v>70</v>
      </c>
      <c r="G461" s="440" t="s">
        <v>7002</v>
      </c>
      <c r="H461" s="439">
        <v>1</v>
      </c>
      <c r="I461" s="1431" t="s">
        <v>7003</v>
      </c>
      <c r="J461" s="439"/>
      <c r="K461" s="439" t="s">
        <v>1147</v>
      </c>
      <c r="L461" s="439"/>
      <c r="M461" s="444">
        <v>3312000</v>
      </c>
      <c r="N461" s="439" t="s">
        <v>251</v>
      </c>
      <c r="O461" s="443">
        <v>44000</v>
      </c>
      <c r="P461" s="443">
        <v>44032</v>
      </c>
      <c r="Q461" s="439"/>
      <c r="R461" s="753" t="s">
        <v>3477</v>
      </c>
      <c r="S461" s="2015" t="s">
        <v>7340</v>
      </c>
      <c r="T461" s="444"/>
      <c r="U461" s="444"/>
      <c r="V461" s="1481"/>
      <c r="W461" s="1481"/>
      <c r="X461" s="1481"/>
      <c r="Y461" s="444"/>
      <c r="Z461" s="444"/>
      <c r="AA461" s="439"/>
      <c r="AB461" s="443">
        <v>44025</v>
      </c>
      <c r="AC461" s="439" t="s">
        <v>7100</v>
      </c>
      <c r="AD461" s="439"/>
      <c r="AE461" s="439"/>
      <c r="AJ461" s="1944"/>
      <c r="AK461" s="1944"/>
      <c r="AL461" s="1944"/>
      <c r="AM461" s="1944"/>
      <c r="AN461" s="1944"/>
      <c r="AO461" s="1944"/>
      <c r="AP461" s="1944"/>
      <c r="AQ461" s="1944"/>
      <c r="AR461" s="1944"/>
      <c r="AS461" s="1944"/>
    </row>
    <row r="462" spans="1:45">
      <c r="A462" s="1944"/>
      <c r="B462" s="1944"/>
      <c r="C462" s="510">
        <v>43997</v>
      </c>
      <c r="D462" s="1382" t="s">
        <v>7001</v>
      </c>
      <c r="E462" s="506" t="s">
        <v>69</v>
      </c>
      <c r="F462" s="506" t="s">
        <v>70</v>
      </c>
      <c r="G462" s="507" t="s">
        <v>7002</v>
      </c>
      <c r="H462" s="506">
        <v>2</v>
      </c>
      <c r="I462" s="548" t="s">
        <v>7004</v>
      </c>
      <c r="J462" s="506"/>
      <c r="K462" s="506" t="s">
        <v>1147</v>
      </c>
      <c r="L462" s="506"/>
      <c r="M462" s="511">
        <v>7564413</v>
      </c>
      <c r="N462" s="506" t="s">
        <v>251</v>
      </c>
      <c r="O462" s="510">
        <v>44000</v>
      </c>
      <c r="P462" s="510">
        <v>44032</v>
      </c>
      <c r="Q462" s="506"/>
      <c r="R462" s="736" t="s">
        <v>3477</v>
      </c>
      <c r="S462" s="514" t="s">
        <v>7340</v>
      </c>
      <c r="T462" s="511"/>
      <c r="U462" s="511"/>
      <c r="V462" s="1470"/>
      <c r="W462" s="1470"/>
      <c r="X462" s="1470"/>
      <c r="Y462" s="511"/>
      <c r="Z462" s="511"/>
      <c r="AA462" s="506"/>
      <c r="AB462" s="510">
        <v>44025</v>
      </c>
      <c r="AC462" s="506" t="s">
        <v>7100</v>
      </c>
      <c r="AD462" s="506"/>
      <c r="AE462" s="506"/>
      <c r="AJ462" s="1944"/>
      <c r="AK462" s="1944"/>
      <c r="AL462" s="1944"/>
      <c r="AM462" s="1944"/>
      <c r="AN462" s="1944"/>
      <c r="AO462" s="1944"/>
      <c r="AP462" s="1944"/>
      <c r="AQ462" s="1944"/>
      <c r="AR462" s="1944"/>
      <c r="AS462" s="1944"/>
    </row>
    <row r="463" spans="1:45" ht="15.75" thickBot="1">
      <c r="A463" s="1944"/>
      <c r="B463" s="1944"/>
      <c r="C463" s="1414">
        <v>43997</v>
      </c>
      <c r="D463" s="1411" t="s">
        <v>7001</v>
      </c>
      <c r="E463" s="1410" t="s">
        <v>69</v>
      </c>
      <c r="F463" s="1410" t="s">
        <v>70</v>
      </c>
      <c r="G463" s="1412" t="s">
        <v>7002</v>
      </c>
      <c r="H463" s="1410">
        <v>3</v>
      </c>
      <c r="I463" s="1430" t="s">
        <v>7005</v>
      </c>
      <c r="J463" s="1410"/>
      <c r="K463" s="1410" t="s">
        <v>1147</v>
      </c>
      <c r="L463" s="1410"/>
      <c r="M463" s="1413">
        <v>9316800</v>
      </c>
      <c r="N463" s="1410" t="s">
        <v>251</v>
      </c>
      <c r="O463" s="1414">
        <v>44000</v>
      </c>
      <c r="P463" s="1414">
        <v>44032</v>
      </c>
      <c r="Q463" s="1410"/>
      <c r="R463" s="1710" t="s">
        <v>3477</v>
      </c>
      <c r="S463" s="2035" t="s">
        <v>7340</v>
      </c>
      <c r="T463" s="1413"/>
      <c r="U463" s="1413"/>
      <c r="V463" s="1479"/>
      <c r="W463" s="1479"/>
      <c r="X463" s="1479"/>
      <c r="Y463" s="1413"/>
      <c r="Z463" s="1413"/>
      <c r="AA463" s="1410"/>
      <c r="AB463" s="1414">
        <v>44025</v>
      </c>
      <c r="AC463" s="1410" t="s">
        <v>7100</v>
      </c>
      <c r="AD463" s="1410"/>
      <c r="AE463" s="1410"/>
      <c r="AJ463" s="1944"/>
      <c r="AK463" s="1944"/>
      <c r="AL463" s="1944"/>
      <c r="AM463" s="1944"/>
      <c r="AN463" s="1944"/>
      <c r="AO463" s="1944"/>
      <c r="AP463" s="1944"/>
      <c r="AQ463" s="1944"/>
      <c r="AR463" s="1944"/>
      <c r="AS463" s="1944"/>
    </row>
    <row r="464" spans="1:45" ht="15.75" thickTop="1">
      <c r="A464" s="1944"/>
      <c r="B464" s="1944"/>
      <c r="C464" s="365">
        <v>43997</v>
      </c>
      <c r="D464" s="1397" t="s">
        <v>7006</v>
      </c>
      <c r="E464" s="3210" t="s">
        <v>69</v>
      </c>
      <c r="F464" s="3210" t="s">
        <v>70</v>
      </c>
      <c r="G464" s="175" t="s">
        <v>7007</v>
      </c>
      <c r="H464" s="3210">
        <v>1</v>
      </c>
      <c r="I464" s="3211" t="s">
        <v>7008</v>
      </c>
      <c r="J464" s="3210"/>
      <c r="K464" s="3210" t="s">
        <v>3225</v>
      </c>
      <c r="L464" s="3210"/>
      <c r="M464" s="364">
        <v>1173750</v>
      </c>
      <c r="N464" s="3210" t="s">
        <v>251</v>
      </c>
      <c r="O464" s="365">
        <v>44004</v>
      </c>
      <c r="P464" s="365">
        <v>44039</v>
      </c>
      <c r="Q464" s="365">
        <v>44069</v>
      </c>
      <c r="R464" s="3211" t="s">
        <v>576</v>
      </c>
      <c r="S464" s="3210"/>
      <c r="T464" s="364">
        <v>1173750</v>
      </c>
      <c r="U464" s="364">
        <v>1291125</v>
      </c>
      <c r="V464" s="1473"/>
      <c r="W464" s="1473"/>
      <c r="X464" s="1473"/>
      <c r="Y464" s="681">
        <v>44069</v>
      </c>
      <c r="Z464" s="364" t="s">
        <v>7443</v>
      </c>
      <c r="AA464" s="365">
        <v>44085</v>
      </c>
      <c r="AB464" s="365">
        <v>44092</v>
      </c>
      <c r="AC464" s="365">
        <v>45179</v>
      </c>
      <c r="AD464" s="365">
        <v>44279</v>
      </c>
      <c r="AE464" s="365">
        <v>44645</v>
      </c>
      <c r="AF464" s="388">
        <v>2022</v>
      </c>
      <c r="AG464" s="388" t="s">
        <v>7575</v>
      </c>
      <c r="AJ464" s="1944"/>
      <c r="AK464" s="1944"/>
      <c r="AL464" s="1944"/>
      <c r="AM464" s="1944"/>
      <c r="AN464" s="1944"/>
      <c r="AO464" s="1944"/>
      <c r="AP464" s="1944"/>
      <c r="AQ464" s="1944"/>
      <c r="AR464" s="1944"/>
      <c r="AS464" s="1944"/>
    </row>
    <row r="465" spans="1:45">
      <c r="A465" s="1944"/>
      <c r="B465" s="1944"/>
      <c r="C465" s="537">
        <v>43997</v>
      </c>
      <c r="D465" s="1373" t="s">
        <v>7006</v>
      </c>
      <c r="E465" s="491" t="s">
        <v>69</v>
      </c>
      <c r="F465" s="491" t="s">
        <v>70</v>
      </c>
      <c r="G465" s="571" t="s">
        <v>7007</v>
      </c>
      <c r="H465" s="491">
        <v>2</v>
      </c>
      <c r="I465" s="495" t="s">
        <v>7009</v>
      </c>
      <c r="J465" s="491"/>
      <c r="K465" s="491" t="s">
        <v>3225</v>
      </c>
      <c r="L465" s="491"/>
      <c r="M465" s="536">
        <v>11337300</v>
      </c>
      <c r="N465" s="491" t="s">
        <v>251</v>
      </c>
      <c r="O465" s="537">
        <v>44004</v>
      </c>
      <c r="P465" s="537">
        <v>44039</v>
      </c>
      <c r="Q465" s="537">
        <v>44069</v>
      </c>
      <c r="R465" s="495" t="s">
        <v>576</v>
      </c>
      <c r="S465" s="491"/>
      <c r="T465" s="536">
        <v>11337300</v>
      </c>
      <c r="U465" s="536">
        <v>12471030</v>
      </c>
      <c r="V465" s="1471"/>
      <c r="W465" s="1471"/>
      <c r="X465" s="1471"/>
      <c r="Y465" s="573">
        <v>44069</v>
      </c>
      <c r="Z465" s="536" t="s">
        <v>7444</v>
      </c>
      <c r="AA465" s="537">
        <v>44085</v>
      </c>
      <c r="AB465" s="537">
        <v>44092</v>
      </c>
      <c r="AC465" s="537">
        <v>45179</v>
      </c>
      <c r="AD465" s="537">
        <v>44279</v>
      </c>
      <c r="AE465" s="537">
        <v>44645</v>
      </c>
      <c r="AF465" s="388">
        <v>2022</v>
      </c>
      <c r="AG465" s="388" t="s">
        <v>7575</v>
      </c>
      <c r="AJ465" s="1944"/>
      <c r="AK465" s="1944"/>
      <c r="AL465" s="1944"/>
      <c r="AM465" s="1944"/>
      <c r="AN465" s="1944"/>
      <c r="AO465" s="1944"/>
      <c r="AP465" s="1944"/>
      <c r="AQ465" s="1944"/>
      <c r="AR465" s="1944"/>
      <c r="AS465" s="1944"/>
    </row>
    <row r="466" spans="1:45" ht="15.75" thickBot="1">
      <c r="A466" s="1944"/>
      <c r="B466" s="1944"/>
      <c r="C466" s="416">
        <v>43997</v>
      </c>
      <c r="D466" s="1468" t="s">
        <v>7006</v>
      </c>
      <c r="E466" s="411" t="s">
        <v>69</v>
      </c>
      <c r="F466" s="411" t="s">
        <v>70</v>
      </c>
      <c r="G466" s="412" t="s">
        <v>7007</v>
      </c>
      <c r="H466" s="411">
        <v>3</v>
      </c>
      <c r="I466" s="630" t="s">
        <v>7010</v>
      </c>
      <c r="J466" s="411"/>
      <c r="K466" s="411" t="s">
        <v>3225</v>
      </c>
      <c r="L466" s="411"/>
      <c r="M466" s="417">
        <v>11203762</v>
      </c>
      <c r="N466" s="411" t="s">
        <v>251</v>
      </c>
      <c r="O466" s="416">
        <v>44004</v>
      </c>
      <c r="P466" s="416">
        <v>44039</v>
      </c>
      <c r="Q466" s="416">
        <v>44069</v>
      </c>
      <c r="R466" s="630" t="s">
        <v>5774</v>
      </c>
      <c r="S466" s="411"/>
      <c r="T466" s="417">
        <v>11158418.1</v>
      </c>
      <c r="U466" s="417">
        <v>12274259.91</v>
      </c>
      <c r="V466" s="1480"/>
      <c r="W466" s="1480"/>
      <c r="X466" s="1480"/>
      <c r="Y466" s="513">
        <v>44069</v>
      </c>
      <c r="Z466" s="417" t="s">
        <v>7445</v>
      </c>
      <c r="AA466" s="416">
        <v>44085</v>
      </c>
      <c r="AB466" s="416">
        <v>44092</v>
      </c>
      <c r="AC466" s="416">
        <v>45179</v>
      </c>
      <c r="AD466" s="416">
        <v>44279</v>
      </c>
      <c r="AE466" s="416">
        <v>44645</v>
      </c>
      <c r="AF466" s="388">
        <v>2022</v>
      </c>
      <c r="AG466" s="388" t="s">
        <v>7575</v>
      </c>
      <c r="AJ466" s="1944"/>
      <c r="AK466" s="1944"/>
      <c r="AL466" s="1944"/>
      <c r="AM466" s="1944"/>
      <c r="AN466" s="1944"/>
      <c r="AO466" s="1944"/>
      <c r="AP466" s="1944"/>
      <c r="AQ466" s="1944"/>
      <c r="AR466" s="1944"/>
      <c r="AS466" s="1944"/>
    </row>
    <row r="467" spans="1:45" ht="15.75" thickTop="1">
      <c r="A467" s="1944"/>
      <c r="B467" s="1944"/>
      <c r="C467" s="474">
        <v>43997</v>
      </c>
      <c r="D467" s="1383" t="s">
        <v>7000</v>
      </c>
      <c r="E467" s="453" t="s">
        <v>69</v>
      </c>
      <c r="F467" s="453" t="s">
        <v>70</v>
      </c>
      <c r="G467" s="473" t="s">
        <v>7011</v>
      </c>
      <c r="H467" s="453">
        <v>1</v>
      </c>
      <c r="I467" s="1420" t="s">
        <v>7012</v>
      </c>
      <c r="J467" s="453"/>
      <c r="K467" s="453" t="s">
        <v>72</v>
      </c>
      <c r="L467" s="453"/>
      <c r="M467" s="457">
        <v>482160</v>
      </c>
      <c r="N467" s="453" t="s">
        <v>251</v>
      </c>
      <c r="O467" s="474">
        <v>44000</v>
      </c>
      <c r="P467" s="474">
        <v>44035</v>
      </c>
      <c r="Q467" s="474">
        <v>44060</v>
      </c>
      <c r="R467" s="1420" t="s">
        <v>2548</v>
      </c>
      <c r="S467" s="453"/>
      <c r="T467" s="457">
        <v>482160</v>
      </c>
      <c r="U467" s="457">
        <v>530376</v>
      </c>
      <c r="V467" s="1474"/>
      <c r="W467" s="1474"/>
      <c r="X467" s="1474"/>
      <c r="Y467" s="570">
        <v>44060</v>
      </c>
      <c r="Z467" s="457" t="s">
        <v>7347</v>
      </c>
      <c r="AA467" s="537">
        <v>44096</v>
      </c>
      <c r="AB467" s="537">
        <v>44097</v>
      </c>
      <c r="AC467" s="537">
        <v>45190</v>
      </c>
      <c r="AD467" s="537">
        <v>44279</v>
      </c>
      <c r="AE467" s="537">
        <v>44645</v>
      </c>
      <c r="AF467" s="388">
        <v>2022</v>
      </c>
      <c r="AG467" s="388" t="s">
        <v>7656</v>
      </c>
      <c r="AJ467" s="1944"/>
      <c r="AK467" s="1944"/>
      <c r="AL467" s="1944"/>
      <c r="AM467" s="1944"/>
      <c r="AN467" s="1944"/>
      <c r="AO467" s="1944"/>
      <c r="AP467" s="1944"/>
      <c r="AQ467" s="1944"/>
      <c r="AR467" s="1944"/>
      <c r="AS467" s="1944"/>
    </row>
    <row r="468" spans="1:45">
      <c r="A468" s="1944"/>
      <c r="B468" s="1944"/>
      <c r="C468" s="537">
        <v>43997</v>
      </c>
      <c r="D468" s="1373" t="s">
        <v>7000</v>
      </c>
      <c r="E468" s="491" t="s">
        <v>69</v>
      </c>
      <c r="F468" s="491" t="s">
        <v>70</v>
      </c>
      <c r="G468" s="571" t="s">
        <v>7011</v>
      </c>
      <c r="H468" s="491">
        <v>2</v>
      </c>
      <c r="I468" s="495" t="s">
        <v>7013</v>
      </c>
      <c r="J468" s="491"/>
      <c r="K468" s="491" t="s">
        <v>72</v>
      </c>
      <c r="L468" s="491"/>
      <c r="M468" s="536">
        <v>6790108</v>
      </c>
      <c r="N468" s="491" t="s">
        <v>251</v>
      </c>
      <c r="O468" s="537">
        <v>44000</v>
      </c>
      <c r="P468" s="537">
        <v>44035</v>
      </c>
      <c r="Q468" s="537">
        <v>44060</v>
      </c>
      <c r="R468" s="495" t="s">
        <v>7316</v>
      </c>
      <c r="S468" s="491"/>
      <c r="T468" s="536">
        <v>6532122.1500000004</v>
      </c>
      <c r="U468" s="536">
        <v>7185334.3700000001</v>
      </c>
      <c r="V468" s="1471"/>
      <c r="W468" s="1471"/>
      <c r="X468" s="1471"/>
      <c r="Y468" s="573">
        <v>44060</v>
      </c>
      <c r="Z468" s="536" t="s">
        <v>7348</v>
      </c>
      <c r="AA468" s="537">
        <v>44085</v>
      </c>
      <c r="AB468" s="537">
        <v>44097</v>
      </c>
      <c r="AC468" s="537">
        <v>45179</v>
      </c>
      <c r="AD468" s="537">
        <v>44279</v>
      </c>
      <c r="AE468" s="537">
        <v>44645</v>
      </c>
      <c r="AF468" s="388">
        <v>2022</v>
      </c>
      <c r="AG468" s="388" t="s">
        <v>7575</v>
      </c>
      <c r="AJ468" s="1944"/>
      <c r="AK468" s="1944"/>
      <c r="AL468" s="1944"/>
      <c r="AM468" s="1944"/>
      <c r="AN468" s="1944"/>
      <c r="AO468" s="1944"/>
      <c r="AP468" s="1944"/>
      <c r="AQ468" s="1944"/>
      <c r="AR468" s="1944"/>
      <c r="AS468" s="1944"/>
    </row>
    <row r="469" spans="1:45">
      <c r="A469" s="1944"/>
      <c r="B469" s="1944"/>
      <c r="C469" s="537">
        <v>43997</v>
      </c>
      <c r="D469" s="1373" t="s">
        <v>7000</v>
      </c>
      <c r="E469" s="491" t="s">
        <v>69</v>
      </c>
      <c r="F469" s="491" t="s">
        <v>70</v>
      </c>
      <c r="G469" s="571" t="s">
        <v>7011</v>
      </c>
      <c r="H469" s="491">
        <v>3</v>
      </c>
      <c r="I469" s="495" t="s">
        <v>7014</v>
      </c>
      <c r="J469" s="491"/>
      <c r="K469" s="491" t="s">
        <v>72</v>
      </c>
      <c r="L469" s="491"/>
      <c r="M469" s="536">
        <v>1036906</v>
      </c>
      <c r="N469" s="491" t="s">
        <v>251</v>
      </c>
      <c r="O469" s="537">
        <v>44000</v>
      </c>
      <c r="P469" s="537">
        <v>44035</v>
      </c>
      <c r="Q469" s="537">
        <v>44060</v>
      </c>
      <c r="R469" s="495" t="s">
        <v>576</v>
      </c>
      <c r="S469" s="491"/>
      <c r="T469" s="536">
        <v>936032.7</v>
      </c>
      <c r="U469" s="536">
        <v>1029635.97</v>
      </c>
      <c r="V469" s="1471"/>
      <c r="W469" s="1471"/>
      <c r="X469" s="1471"/>
      <c r="Y469" s="573">
        <v>44060</v>
      </c>
      <c r="Z469" s="536" t="s">
        <v>7349</v>
      </c>
      <c r="AA469" s="537">
        <v>44085</v>
      </c>
      <c r="AB469" s="537">
        <v>44097</v>
      </c>
      <c r="AC469" s="537">
        <v>45179</v>
      </c>
      <c r="AD469" s="537">
        <v>44279</v>
      </c>
      <c r="AE469" s="537">
        <v>44645</v>
      </c>
      <c r="AF469" s="388">
        <v>2022</v>
      </c>
      <c r="AG469" s="388" t="s">
        <v>7575</v>
      </c>
      <c r="AJ469" s="1944"/>
      <c r="AK469" s="1944"/>
      <c r="AL469" s="1944"/>
      <c r="AM469" s="1944"/>
      <c r="AN469" s="1944"/>
      <c r="AO469" s="1944"/>
      <c r="AP469" s="1944"/>
      <c r="AQ469" s="1944"/>
      <c r="AR469" s="1944"/>
      <c r="AS469" s="1944"/>
    </row>
    <row r="470" spans="1:45" ht="15.75" thickBot="1">
      <c r="A470" s="1944"/>
      <c r="B470" s="1944"/>
      <c r="C470" s="1380">
        <v>43997</v>
      </c>
      <c r="D470" s="1377" t="s">
        <v>7000</v>
      </c>
      <c r="E470" s="1376" t="s">
        <v>69</v>
      </c>
      <c r="F470" s="1376" t="s">
        <v>70</v>
      </c>
      <c r="G470" s="1378" t="s">
        <v>7011</v>
      </c>
      <c r="H470" s="1376">
        <v>4</v>
      </c>
      <c r="I470" s="1421" t="s">
        <v>7015</v>
      </c>
      <c r="J470" s="1376"/>
      <c r="K470" s="1376" t="s">
        <v>72</v>
      </c>
      <c r="L470" s="1376"/>
      <c r="M470" s="1379">
        <v>2368248</v>
      </c>
      <c r="N470" s="1376" t="s">
        <v>251</v>
      </c>
      <c r="O470" s="1380">
        <v>44000</v>
      </c>
      <c r="P470" s="1380">
        <v>44035</v>
      </c>
      <c r="Q470" s="1380">
        <v>44060</v>
      </c>
      <c r="R470" s="1421" t="s">
        <v>576</v>
      </c>
      <c r="S470" s="1376"/>
      <c r="T470" s="1379">
        <v>1742463.48</v>
      </c>
      <c r="U470" s="1379">
        <v>1916709.83</v>
      </c>
      <c r="V470" s="1475"/>
      <c r="W470" s="1475"/>
      <c r="X470" s="1475"/>
      <c r="Y470" s="1388">
        <v>44060</v>
      </c>
      <c r="Z470" s="1379" t="s">
        <v>7350</v>
      </c>
      <c r="AA470" s="1380">
        <v>44085</v>
      </c>
      <c r="AB470" s="1380">
        <v>44097</v>
      </c>
      <c r="AC470" s="1380">
        <v>45179</v>
      </c>
      <c r="AD470" s="1380">
        <v>44279</v>
      </c>
      <c r="AE470" s="1380">
        <v>44645</v>
      </c>
      <c r="AF470" s="388">
        <v>2022</v>
      </c>
      <c r="AG470" s="388" t="s">
        <v>7575</v>
      </c>
      <c r="AJ470" s="1944"/>
      <c r="AK470" s="1944"/>
      <c r="AL470" s="1944"/>
      <c r="AM470" s="1944"/>
      <c r="AN470" s="1944"/>
      <c r="AO470" s="1944"/>
      <c r="AP470" s="1944"/>
      <c r="AQ470" s="1944"/>
      <c r="AR470" s="1944"/>
      <c r="AS470" s="1944"/>
    </row>
    <row r="471" spans="1:45" ht="30.75" thickTop="1">
      <c r="A471" s="1944"/>
      <c r="B471" s="1944"/>
      <c r="C471" s="365">
        <v>43992</v>
      </c>
      <c r="D471" s="1397" t="s">
        <v>7017</v>
      </c>
      <c r="E471" s="3210" t="s">
        <v>2434</v>
      </c>
      <c r="F471" s="3210" t="s">
        <v>219</v>
      </c>
      <c r="G471" s="175" t="s">
        <v>7030</v>
      </c>
      <c r="H471" s="3210"/>
      <c r="I471" s="3211"/>
      <c r="J471" s="3210"/>
      <c r="K471" s="3210" t="s">
        <v>642</v>
      </c>
      <c r="L471" s="3210"/>
      <c r="M471" s="364">
        <v>727625</v>
      </c>
      <c r="N471" s="3210" t="s">
        <v>112</v>
      </c>
      <c r="O471" s="365">
        <v>44000</v>
      </c>
      <c r="P471" s="365">
        <v>44012</v>
      </c>
      <c r="Q471" s="365">
        <v>44027</v>
      </c>
      <c r="R471" s="3211" t="s">
        <v>6322</v>
      </c>
      <c r="S471" s="3210"/>
      <c r="T471" s="364">
        <v>727625</v>
      </c>
      <c r="U471" s="364">
        <v>880426.7</v>
      </c>
      <c r="V471" s="1473"/>
      <c r="W471" s="1473"/>
      <c r="X471" s="1473"/>
      <c r="Y471" s="681">
        <v>44027</v>
      </c>
      <c r="Z471" s="1417" t="s">
        <v>7163</v>
      </c>
      <c r="AA471" s="365">
        <v>44040</v>
      </c>
      <c r="AB471" s="365">
        <v>44049</v>
      </c>
      <c r="AC471" s="365">
        <v>44769</v>
      </c>
      <c r="AD471" s="365">
        <v>44285</v>
      </c>
      <c r="AE471" s="365">
        <v>44641</v>
      </c>
      <c r="AF471" s="388" t="s">
        <v>7245</v>
      </c>
      <c r="AJ471" s="1944"/>
      <c r="AK471" s="1944"/>
      <c r="AL471" s="1944"/>
      <c r="AM471" s="1944"/>
      <c r="AN471" s="1944"/>
      <c r="AO471" s="1944"/>
      <c r="AP471" s="1944"/>
      <c r="AQ471" s="1944"/>
      <c r="AR471" s="1944"/>
      <c r="AS471" s="1944"/>
    </row>
    <row r="472" spans="1:45" ht="30.75" thickBot="1">
      <c r="A472" s="1944"/>
      <c r="B472" s="1944"/>
      <c r="C472" s="416">
        <v>43992</v>
      </c>
      <c r="D472" s="1468" t="s">
        <v>7018</v>
      </c>
      <c r="E472" s="411" t="s">
        <v>2434</v>
      </c>
      <c r="F472" s="411" t="s">
        <v>219</v>
      </c>
      <c r="G472" s="412" t="s">
        <v>7031</v>
      </c>
      <c r="H472" s="411"/>
      <c r="I472" s="630"/>
      <c r="J472" s="411"/>
      <c r="K472" s="411" t="s">
        <v>642</v>
      </c>
      <c r="L472" s="411"/>
      <c r="M472" s="417">
        <v>523490</v>
      </c>
      <c r="N472" s="411" t="s">
        <v>112</v>
      </c>
      <c r="O472" s="416">
        <v>44000</v>
      </c>
      <c r="P472" s="416">
        <v>44015</v>
      </c>
      <c r="Q472" s="416">
        <v>44027</v>
      </c>
      <c r="R472" s="630" t="s">
        <v>6322</v>
      </c>
      <c r="S472" s="411"/>
      <c r="T472" s="417">
        <v>531880.56000000006</v>
      </c>
      <c r="U472" s="417">
        <v>643575.48</v>
      </c>
      <c r="V472" s="1480"/>
      <c r="W472" s="1480"/>
      <c r="X472" s="1480"/>
      <c r="Y472" s="513">
        <v>44027</v>
      </c>
      <c r="Z472" s="1553" t="s">
        <v>7164</v>
      </c>
      <c r="AA472" s="416">
        <v>44040</v>
      </c>
      <c r="AB472" s="416">
        <v>44049</v>
      </c>
      <c r="AC472" s="416">
        <v>44769</v>
      </c>
      <c r="AD472" s="416">
        <v>44285</v>
      </c>
      <c r="AE472" s="416">
        <v>44641</v>
      </c>
      <c r="AF472" s="388" t="s">
        <v>7245</v>
      </c>
      <c r="AJ472" s="1944"/>
      <c r="AK472" s="1944"/>
      <c r="AL472" s="1944"/>
      <c r="AM472" s="1944"/>
      <c r="AN472" s="1944"/>
      <c r="AO472" s="1944"/>
      <c r="AP472" s="1944"/>
      <c r="AQ472" s="1944"/>
      <c r="AR472" s="1944"/>
      <c r="AS472" s="1944"/>
    </row>
    <row r="473" spans="1:45" ht="15.75" thickTop="1">
      <c r="A473" s="1944"/>
      <c r="B473" s="1944"/>
      <c r="C473" s="474">
        <v>43999</v>
      </c>
      <c r="D473" s="1383" t="s">
        <v>7032</v>
      </c>
      <c r="E473" s="453" t="s">
        <v>69</v>
      </c>
      <c r="F473" s="453" t="s">
        <v>70</v>
      </c>
      <c r="G473" s="473" t="s">
        <v>7033</v>
      </c>
      <c r="H473" s="453">
        <v>1</v>
      </c>
      <c r="I473" s="1420" t="s">
        <v>7034</v>
      </c>
      <c r="J473" s="453"/>
      <c r="K473" s="453" t="s">
        <v>2255</v>
      </c>
      <c r="L473" s="453"/>
      <c r="M473" s="457">
        <v>2095601</v>
      </c>
      <c r="N473" s="453" t="s">
        <v>251</v>
      </c>
      <c r="O473" s="474">
        <v>44004</v>
      </c>
      <c r="P473" s="474">
        <v>44060</v>
      </c>
      <c r="Q473" s="474">
        <v>44090</v>
      </c>
      <c r="R473" s="1420" t="s">
        <v>7327</v>
      </c>
      <c r="S473" s="453"/>
      <c r="T473" s="457">
        <v>2110980</v>
      </c>
      <c r="U473" s="457">
        <v>2322078</v>
      </c>
      <c r="V473" s="1474"/>
      <c r="W473" s="1474"/>
      <c r="X473" s="1474"/>
      <c r="Y473" s="570">
        <v>44090</v>
      </c>
      <c r="Z473" s="457" t="s">
        <v>7595</v>
      </c>
      <c r="AA473" s="474">
        <v>44112</v>
      </c>
      <c r="AB473" s="474">
        <v>44117</v>
      </c>
      <c r="AC473" s="474">
        <v>45206</v>
      </c>
      <c r="AD473" s="474">
        <v>44279</v>
      </c>
      <c r="AE473" s="474">
        <v>44645</v>
      </c>
      <c r="AF473" s="388">
        <v>2022</v>
      </c>
      <c r="AG473" s="388" t="s">
        <v>7733</v>
      </c>
      <c r="AJ473" s="1944"/>
      <c r="AK473" s="1944"/>
      <c r="AL473" s="1944"/>
      <c r="AM473" s="1944"/>
      <c r="AN473" s="1944"/>
      <c r="AO473" s="1944"/>
      <c r="AP473" s="1944"/>
      <c r="AQ473" s="1944"/>
      <c r="AR473" s="1944"/>
      <c r="AS473" s="1944"/>
    </row>
    <row r="474" spans="1:45">
      <c r="A474" s="1944"/>
      <c r="B474" s="1944"/>
      <c r="C474" s="510">
        <v>43999</v>
      </c>
      <c r="D474" s="1382" t="s">
        <v>7032</v>
      </c>
      <c r="E474" s="506" t="s">
        <v>69</v>
      </c>
      <c r="F474" s="506" t="s">
        <v>70</v>
      </c>
      <c r="G474" s="507" t="s">
        <v>7033</v>
      </c>
      <c r="H474" s="506">
        <v>2</v>
      </c>
      <c r="I474" s="548" t="s">
        <v>7035</v>
      </c>
      <c r="J474" s="506"/>
      <c r="K474" s="506" t="s">
        <v>2255</v>
      </c>
      <c r="L474" s="506"/>
      <c r="M474" s="511">
        <v>4764264</v>
      </c>
      <c r="N474" s="506" t="s">
        <v>251</v>
      </c>
      <c r="O474" s="510">
        <v>44004</v>
      </c>
      <c r="P474" s="510">
        <v>44060</v>
      </c>
      <c r="Q474" s="506"/>
      <c r="R474" s="736" t="s">
        <v>304</v>
      </c>
      <c r="S474" s="514" t="s">
        <v>7390</v>
      </c>
      <c r="T474" s="511"/>
      <c r="U474" s="511"/>
      <c r="V474" s="1470"/>
      <c r="W474" s="1470"/>
      <c r="X474" s="1470"/>
      <c r="Y474" s="511"/>
      <c r="Z474" s="511"/>
      <c r="AA474" s="506"/>
      <c r="AB474" s="510">
        <v>44062</v>
      </c>
      <c r="AC474" s="2010"/>
      <c r="AD474" s="506"/>
      <c r="AE474" s="506"/>
      <c r="AJ474" s="1944"/>
      <c r="AK474" s="1944"/>
      <c r="AL474" s="1944"/>
      <c r="AM474" s="1944"/>
      <c r="AN474" s="1944"/>
      <c r="AO474" s="1944"/>
      <c r="AP474" s="1944"/>
      <c r="AQ474" s="1944"/>
      <c r="AR474" s="1944"/>
      <c r="AS474" s="1944"/>
    </row>
    <row r="475" spans="1:45">
      <c r="A475" s="1944"/>
      <c r="B475" s="1944"/>
      <c r="C475" s="537">
        <v>43999</v>
      </c>
      <c r="D475" s="1373" t="s">
        <v>7032</v>
      </c>
      <c r="E475" s="491" t="s">
        <v>69</v>
      </c>
      <c r="F475" s="491" t="s">
        <v>70</v>
      </c>
      <c r="G475" s="571" t="s">
        <v>7033</v>
      </c>
      <c r="H475" s="491">
        <v>3</v>
      </c>
      <c r="I475" s="495" t="s">
        <v>7036</v>
      </c>
      <c r="J475" s="491"/>
      <c r="K475" s="491" t="s">
        <v>2255</v>
      </c>
      <c r="L475" s="491"/>
      <c r="M475" s="536">
        <v>7763383</v>
      </c>
      <c r="N475" s="491" t="s">
        <v>251</v>
      </c>
      <c r="O475" s="537">
        <v>44004</v>
      </c>
      <c r="P475" s="537">
        <v>44060</v>
      </c>
      <c r="Q475" s="537">
        <v>44090</v>
      </c>
      <c r="R475" s="495" t="s">
        <v>7130</v>
      </c>
      <c r="S475" s="491"/>
      <c r="T475" s="536">
        <v>7763381.4900000002</v>
      </c>
      <c r="U475" s="536">
        <v>8539719.6400000006</v>
      </c>
      <c r="V475" s="1471"/>
      <c r="W475" s="1471"/>
      <c r="X475" s="1471"/>
      <c r="Y475" s="573">
        <v>44090</v>
      </c>
      <c r="Z475" s="536" t="s">
        <v>7596</v>
      </c>
      <c r="AA475" s="537">
        <v>44112</v>
      </c>
      <c r="AB475" s="537">
        <v>44117</v>
      </c>
      <c r="AC475" s="537">
        <v>45206</v>
      </c>
      <c r="AD475" s="537">
        <v>44279</v>
      </c>
      <c r="AE475" s="537">
        <v>44645</v>
      </c>
      <c r="AF475" s="388">
        <v>2022</v>
      </c>
      <c r="AG475" s="388" t="s">
        <v>7733</v>
      </c>
      <c r="AJ475" s="1944"/>
      <c r="AK475" s="1944"/>
      <c r="AL475" s="1944"/>
      <c r="AM475" s="1944"/>
      <c r="AN475" s="1944"/>
      <c r="AO475" s="1944"/>
      <c r="AP475" s="1944"/>
      <c r="AQ475" s="1944"/>
      <c r="AR475" s="1944"/>
      <c r="AS475" s="1944"/>
    </row>
    <row r="476" spans="1:45" ht="15.75" thickBot="1">
      <c r="A476" s="1944"/>
      <c r="B476" s="1944"/>
      <c r="C476" s="1380">
        <v>43999</v>
      </c>
      <c r="D476" s="1377" t="s">
        <v>7032</v>
      </c>
      <c r="E476" s="1376" t="s">
        <v>69</v>
      </c>
      <c r="F476" s="1376" t="s">
        <v>70</v>
      </c>
      <c r="G476" s="1378" t="s">
        <v>7033</v>
      </c>
      <c r="H476" s="1376">
        <v>4</v>
      </c>
      <c r="I476" s="1421" t="s">
        <v>7037</v>
      </c>
      <c r="J476" s="1376"/>
      <c r="K476" s="1376" t="s">
        <v>2255</v>
      </c>
      <c r="L476" s="1376"/>
      <c r="M476" s="1379">
        <v>11793000</v>
      </c>
      <c r="N476" s="1376" t="s">
        <v>251</v>
      </c>
      <c r="O476" s="1380">
        <v>44004</v>
      </c>
      <c r="P476" s="1380">
        <v>44060</v>
      </c>
      <c r="Q476" s="1380">
        <v>44090</v>
      </c>
      <c r="R476" s="1421" t="s">
        <v>7327</v>
      </c>
      <c r="S476" s="1376"/>
      <c r="T476" s="1379">
        <v>11793000</v>
      </c>
      <c r="U476" s="1379">
        <v>12972300</v>
      </c>
      <c r="V476" s="1475"/>
      <c r="W476" s="1475"/>
      <c r="X476" s="1475"/>
      <c r="Y476" s="1388">
        <v>44090</v>
      </c>
      <c r="Z476" s="1379" t="s">
        <v>7597</v>
      </c>
      <c r="AA476" s="1380">
        <v>44112</v>
      </c>
      <c r="AB476" s="1380">
        <v>44117</v>
      </c>
      <c r="AC476" s="1380">
        <v>45206</v>
      </c>
      <c r="AD476" s="1380">
        <v>44279</v>
      </c>
      <c r="AE476" s="1380">
        <v>44645</v>
      </c>
      <c r="AF476" s="388">
        <v>2022</v>
      </c>
      <c r="AG476" s="388" t="s">
        <v>7733</v>
      </c>
      <c r="AJ476" s="1944"/>
      <c r="AK476" s="1944"/>
      <c r="AL476" s="1944"/>
      <c r="AM476" s="1944"/>
      <c r="AN476" s="1944"/>
      <c r="AO476" s="1944"/>
      <c r="AP476" s="1944"/>
      <c r="AQ476" s="1944"/>
      <c r="AR476" s="1944"/>
      <c r="AS476" s="1944"/>
    </row>
    <row r="477" spans="1:45" ht="30.75" thickTop="1">
      <c r="A477" s="1944"/>
      <c r="B477" s="1944"/>
      <c r="C477" s="365">
        <v>43991</v>
      </c>
      <c r="D477" s="1397" t="s">
        <v>7039</v>
      </c>
      <c r="E477" s="3210" t="s">
        <v>58</v>
      </c>
      <c r="F477" s="3210" t="s">
        <v>2684</v>
      </c>
      <c r="G477" s="175" t="s">
        <v>7040</v>
      </c>
      <c r="H477" s="3210"/>
      <c r="I477" s="3211"/>
      <c r="J477" s="3210"/>
      <c r="K477" s="3210" t="s">
        <v>1294</v>
      </c>
      <c r="L477" s="3210" t="s">
        <v>7041</v>
      </c>
      <c r="M477" s="364">
        <v>282000</v>
      </c>
      <c r="N477" s="3210" t="s">
        <v>112</v>
      </c>
      <c r="O477" s="365">
        <v>44008</v>
      </c>
      <c r="P477" s="365">
        <v>44019</v>
      </c>
      <c r="Q477" s="365">
        <v>44034</v>
      </c>
      <c r="R477" s="3211" t="s">
        <v>637</v>
      </c>
      <c r="S477" s="3210"/>
      <c r="T477" s="364">
        <v>281996</v>
      </c>
      <c r="U477" s="364">
        <v>341215.16</v>
      </c>
      <c r="V477" s="1473"/>
      <c r="W477" s="1473"/>
      <c r="X477" s="1473"/>
      <c r="Y477" s="681">
        <v>44034</v>
      </c>
      <c r="Z477" s="1417" t="s">
        <v>7197</v>
      </c>
      <c r="AA477" s="365">
        <v>44053</v>
      </c>
      <c r="AB477" s="365">
        <v>44056</v>
      </c>
      <c r="AC477" s="365">
        <f>AA477+60</f>
        <v>44113</v>
      </c>
      <c r="AD477" s="365">
        <v>44151</v>
      </c>
      <c r="AE477" s="451" t="s">
        <v>1875</v>
      </c>
      <c r="AJ477" s="1944"/>
      <c r="AK477" s="1944"/>
      <c r="AL477" s="1944"/>
      <c r="AM477" s="1944"/>
      <c r="AN477" s="1944"/>
      <c r="AO477" s="1944"/>
      <c r="AP477" s="1944"/>
      <c r="AQ477" s="1944"/>
      <c r="AR477" s="1944"/>
      <c r="AS477" s="1944"/>
    </row>
    <row r="478" spans="1:45">
      <c r="A478" s="1944"/>
      <c r="B478" s="1944"/>
      <c r="C478" s="537">
        <v>44001</v>
      </c>
      <c r="D478" s="1373" t="s">
        <v>7044</v>
      </c>
      <c r="E478" s="491" t="s">
        <v>69</v>
      </c>
      <c r="F478" s="491" t="s">
        <v>70</v>
      </c>
      <c r="G478" s="2517" t="s">
        <v>7045</v>
      </c>
      <c r="H478" s="491"/>
      <c r="I478" s="495"/>
      <c r="J478" s="491"/>
      <c r="K478" s="491" t="s">
        <v>7046</v>
      </c>
      <c r="L478" s="491"/>
      <c r="M478" s="536">
        <v>7530000</v>
      </c>
      <c r="N478" s="491" t="s">
        <v>251</v>
      </c>
      <c r="O478" s="537">
        <v>44006</v>
      </c>
      <c r="P478" s="537">
        <v>44043</v>
      </c>
      <c r="Q478" s="537">
        <v>44055</v>
      </c>
      <c r="R478" s="495" t="s">
        <v>7315</v>
      </c>
      <c r="S478" s="491"/>
      <c r="T478" s="536">
        <v>7488400</v>
      </c>
      <c r="U478" s="536">
        <v>9060964</v>
      </c>
      <c r="V478" s="1471"/>
      <c r="W478" s="1471"/>
      <c r="X478" s="1471"/>
      <c r="Y478" s="573">
        <v>44056</v>
      </c>
      <c r="Z478" s="536" t="s">
        <v>7330</v>
      </c>
      <c r="AA478" s="537">
        <v>44083</v>
      </c>
      <c r="AB478" s="537">
        <v>44085</v>
      </c>
      <c r="AC478" s="537">
        <v>44205</v>
      </c>
      <c r="AD478" s="537" t="s">
        <v>7131</v>
      </c>
      <c r="AE478" s="1102"/>
      <c r="AJ478" s="1944"/>
      <c r="AK478" s="1944"/>
      <c r="AL478" s="1944"/>
      <c r="AM478" s="1944"/>
      <c r="AN478" s="1944"/>
      <c r="AO478" s="1944"/>
      <c r="AP478" s="1944"/>
      <c r="AQ478" s="1944"/>
      <c r="AR478" s="1944"/>
      <c r="AS478" s="1944"/>
    </row>
    <row r="479" spans="1:45">
      <c r="A479" s="1944"/>
      <c r="B479" s="1944"/>
      <c r="C479" s="491" t="s">
        <v>3585</v>
      </c>
      <c r="D479" s="1373" t="s">
        <v>7047</v>
      </c>
      <c r="E479" s="491" t="s">
        <v>7048</v>
      </c>
      <c r="F479" s="491" t="s">
        <v>13</v>
      </c>
      <c r="G479" s="571" t="s">
        <v>7049</v>
      </c>
      <c r="H479" s="491"/>
      <c r="I479" s="495"/>
      <c r="J479" s="491"/>
      <c r="K479" s="491" t="s">
        <v>2055</v>
      </c>
      <c r="L479" s="491" t="s">
        <v>3566</v>
      </c>
      <c r="M479" s="536">
        <v>945000</v>
      </c>
      <c r="N479" s="491" t="s">
        <v>112</v>
      </c>
      <c r="O479" s="537">
        <v>44001</v>
      </c>
      <c r="P479" s="537">
        <v>44008</v>
      </c>
      <c r="Q479" s="537">
        <v>44013</v>
      </c>
      <c r="R479" s="495" t="s">
        <v>7089</v>
      </c>
      <c r="S479" s="491"/>
      <c r="T479" s="536">
        <v>943200</v>
      </c>
      <c r="U479" s="536">
        <v>1141272</v>
      </c>
      <c r="V479" s="1471"/>
      <c r="W479" s="1471"/>
      <c r="X479" s="1471"/>
      <c r="Y479" s="573">
        <v>44013</v>
      </c>
      <c r="Z479" s="536" t="s">
        <v>7124</v>
      </c>
      <c r="AA479" s="537">
        <v>44032</v>
      </c>
      <c r="AB479" s="537">
        <v>44035</v>
      </c>
      <c r="AC479" s="491" t="s">
        <v>4096</v>
      </c>
      <c r="AD479" s="537">
        <v>44335</v>
      </c>
      <c r="AE479" s="1525">
        <v>44865</v>
      </c>
      <c r="AJ479" s="1944"/>
      <c r="AK479" s="1944"/>
      <c r="AL479" s="1944"/>
      <c r="AM479" s="1944"/>
      <c r="AN479" s="1944"/>
      <c r="AO479" s="1944"/>
      <c r="AP479" s="1944"/>
      <c r="AQ479" s="1944"/>
      <c r="AR479" s="1944"/>
      <c r="AS479" s="1944"/>
    </row>
    <row r="480" spans="1:45" ht="30">
      <c r="A480" s="1944"/>
      <c r="B480" s="1944"/>
      <c r="C480" s="537">
        <v>44000</v>
      </c>
      <c r="D480" s="1373" t="s">
        <v>7050</v>
      </c>
      <c r="E480" s="491" t="s">
        <v>58</v>
      </c>
      <c r="F480" s="491" t="s">
        <v>2684</v>
      </c>
      <c r="G480" s="2517" t="s">
        <v>7051</v>
      </c>
      <c r="H480" s="491">
        <v>1</v>
      </c>
      <c r="I480" s="495" t="s">
        <v>6145</v>
      </c>
      <c r="J480" s="491"/>
      <c r="K480" s="491" t="s">
        <v>6143</v>
      </c>
      <c r="L480" s="491" t="s">
        <v>4252</v>
      </c>
      <c r="M480" s="536">
        <v>360579</v>
      </c>
      <c r="N480" s="491" t="s">
        <v>112</v>
      </c>
      <c r="O480" s="537">
        <v>44008</v>
      </c>
      <c r="P480" s="537">
        <v>44020</v>
      </c>
      <c r="Q480" s="537">
        <v>44046</v>
      </c>
      <c r="R480" s="495" t="s">
        <v>120</v>
      </c>
      <c r="S480" s="491"/>
      <c r="T480" s="536">
        <v>365300</v>
      </c>
      <c r="U480" s="536">
        <v>442013</v>
      </c>
      <c r="V480" s="1471"/>
      <c r="W480" s="1471"/>
      <c r="X480" s="1471"/>
      <c r="Y480" s="573">
        <v>44046</v>
      </c>
      <c r="Z480" s="1375" t="s">
        <v>7242</v>
      </c>
      <c r="AA480" s="537">
        <v>44078</v>
      </c>
      <c r="AB480" s="537">
        <v>44082</v>
      </c>
      <c r="AC480" s="537">
        <f>AA480+35</f>
        <v>44113</v>
      </c>
      <c r="AD480" s="537">
        <v>44214</v>
      </c>
      <c r="AE480" s="1374" t="s">
        <v>1875</v>
      </c>
      <c r="AJ480" s="1944"/>
      <c r="AK480" s="1944"/>
      <c r="AL480" s="1944"/>
      <c r="AM480" s="1944"/>
      <c r="AN480" s="1944"/>
      <c r="AO480" s="1944"/>
      <c r="AP480" s="1944"/>
      <c r="AQ480" s="1944"/>
      <c r="AR480" s="1944"/>
      <c r="AS480" s="1944"/>
    </row>
    <row r="481" spans="1:45" ht="30">
      <c r="A481" s="1944"/>
      <c r="B481" s="1944"/>
      <c r="C481" s="537">
        <v>44000</v>
      </c>
      <c r="D481" s="1373" t="s">
        <v>7050</v>
      </c>
      <c r="E481" s="491" t="s">
        <v>58</v>
      </c>
      <c r="F481" s="491" t="s">
        <v>2684</v>
      </c>
      <c r="G481" s="571" t="s">
        <v>7051</v>
      </c>
      <c r="H481" s="491">
        <v>2</v>
      </c>
      <c r="I481" s="495" t="s">
        <v>7052</v>
      </c>
      <c r="J481" s="491"/>
      <c r="K481" s="491" t="s">
        <v>6143</v>
      </c>
      <c r="L481" s="491" t="s">
        <v>7053</v>
      </c>
      <c r="M481" s="536">
        <v>575454</v>
      </c>
      <c r="N481" s="491" t="s">
        <v>112</v>
      </c>
      <c r="O481" s="537">
        <v>44008</v>
      </c>
      <c r="P481" s="537">
        <v>44020</v>
      </c>
      <c r="Q481" s="537">
        <v>44046</v>
      </c>
      <c r="R481" s="495" t="s">
        <v>120</v>
      </c>
      <c r="S481" s="491"/>
      <c r="T481" s="536">
        <v>542400</v>
      </c>
      <c r="U481" s="536">
        <v>656304</v>
      </c>
      <c r="V481" s="1471"/>
      <c r="W481" s="1471"/>
      <c r="X481" s="1471"/>
      <c r="Y481" s="573">
        <v>44046</v>
      </c>
      <c r="Z481" s="1375" t="s">
        <v>7243</v>
      </c>
      <c r="AA481" s="537">
        <v>44078</v>
      </c>
      <c r="AB481" s="537">
        <v>44082</v>
      </c>
      <c r="AC481" s="537">
        <f>AA481+35</f>
        <v>44113</v>
      </c>
      <c r="AD481" s="537">
        <v>44214</v>
      </c>
      <c r="AE481" s="1374" t="s">
        <v>1875</v>
      </c>
      <c r="AJ481" s="1944"/>
      <c r="AK481" s="1944"/>
      <c r="AL481" s="1944"/>
      <c r="AM481" s="1944"/>
      <c r="AN481" s="1944"/>
      <c r="AO481" s="1944"/>
      <c r="AP481" s="1944"/>
      <c r="AQ481" s="1944"/>
      <c r="AR481" s="1944"/>
      <c r="AS481" s="1944"/>
    </row>
    <row r="482" spans="1:45">
      <c r="A482" s="1944"/>
      <c r="B482" s="1944"/>
      <c r="C482" s="537">
        <v>43985</v>
      </c>
      <c r="D482" s="1373" t="s">
        <v>7055</v>
      </c>
      <c r="E482" s="491" t="s">
        <v>2434</v>
      </c>
      <c r="F482" s="491" t="s">
        <v>219</v>
      </c>
      <c r="G482" s="571" t="s">
        <v>7056</v>
      </c>
      <c r="H482" s="491">
        <v>1</v>
      </c>
      <c r="I482" s="571" t="s">
        <v>7277</v>
      </c>
      <c r="J482" s="491"/>
      <c r="K482" s="491" t="s">
        <v>642</v>
      </c>
      <c r="L482" s="491"/>
      <c r="M482" s="536">
        <v>5049102</v>
      </c>
      <c r="N482" s="491" t="s">
        <v>251</v>
      </c>
      <c r="O482" s="537">
        <v>44006</v>
      </c>
      <c r="P482" s="537">
        <v>44041</v>
      </c>
      <c r="Q482" s="537">
        <v>44078</v>
      </c>
      <c r="R482" s="495" t="s">
        <v>6071</v>
      </c>
      <c r="S482" s="491"/>
      <c r="T482" s="536">
        <v>5049102</v>
      </c>
      <c r="U482" s="536">
        <v>6109413.4199999999</v>
      </c>
      <c r="V482" s="1471"/>
      <c r="W482" s="1471"/>
      <c r="X482" s="1471"/>
      <c r="Y482" s="573">
        <v>44078</v>
      </c>
      <c r="Z482" s="536" t="s">
        <v>7538</v>
      </c>
      <c r="AA482" s="537">
        <v>44116</v>
      </c>
      <c r="AB482" s="537">
        <v>44124</v>
      </c>
      <c r="AC482" s="491" t="s">
        <v>4096</v>
      </c>
      <c r="AD482" s="537">
        <v>44285</v>
      </c>
      <c r="AE482" s="537">
        <v>44641</v>
      </c>
      <c r="AF482" s="388">
        <v>2022</v>
      </c>
      <c r="AG482" s="388">
        <v>2023</v>
      </c>
      <c r="AH482" s="388">
        <v>2024</v>
      </c>
      <c r="AJ482" s="1944"/>
      <c r="AK482" s="1944"/>
      <c r="AL482" s="1944"/>
      <c r="AM482" s="1944"/>
      <c r="AN482" s="1944"/>
      <c r="AO482" s="1944"/>
      <c r="AP482" s="1944"/>
      <c r="AQ482" s="1944"/>
      <c r="AR482" s="1944"/>
      <c r="AS482" s="1944"/>
    </row>
    <row r="483" spans="1:45">
      <c r="A483" s="1944"/>
      <c r="B483" s="1944"/>
      <c r="C483" s="537">
        <v>43985</v>
      </c>
      <c r="D483" s="1373" t="s">
        <v>7055</v>
      </c>
      <c r="E483" s="491" t="s">
        <v>2434</v>
      </c>
      <c r="F483" s="491" t="s">
        <v>219</v>
      </c>
      <c r="G483" s="571" t="s">
        <v>7278</v>
      </c>
      <c r="H483" s="491">
        <v>2</v>
      </c>
      <c r="I483" s="571" t="s">
        <v>7279</v>
      </c>
      <c r="J483" s="491"/>
      <c r="K483" s="491" t="s">
        <v>642</v>
      </c>
      <c r="L483" s="491"/>
      <c r="M483" s="536">
        <v>3986590.4</v>
      </c>
      <c r="N483" s="491" t="s">
        <v>251</v>
      </c>
      <c r="O483" s="537">
        <v>44006</v>
      </c>
      <c r="P483" s="537">
        <v>44041</v>
      </c>
      <c r="Q483" s="537">
        <v>44078</v>
      </c>
      <c r="R483" s="495" t="s">
        <v>3502</v>
      </c>
      <c r="S483" s="491"/>
      <c r="T483" s="536">
        <v>3986590.4</v>
      </c>
      <c r="U483" s="536">
        <v>4823774.38</v>
      </c>
      <c r="V483" s="1471"/>
      <c r="W483" s="1471"/>
      <c r="X483" s="1471"/>
      <c r="Y483" s="573">
        <v>44078</v>
      </c>
      <c r="Z483" s="536" t="s">
        <v>7539</v>
      </c>
      <c r="AA483" s="537">
        <v>44116</v>
      </c>
      <c r="AB483" s="537">
        <v>44124</v>
      </c>
      <c r="AC483" s="491" t="s">
        <v>4096</v>
      </c>
      <c r="AD483" s="537">
        <v>44285</v>
      </c>
      <c r="AE483" s="537">
        <v>44641</v>
      </c>
      <c r="AF483" s="388">
        <v>2022</v>
      </c>
      <c r="AG483" s="388">
        <v>2023</v>
      </c>
      <c r="AH483" s="388">
        <v>2024</v>
      </c>
      <c r="AJ483" s="1944"/>
      <c r="AK483" s="1944"/>
      <c r="AL483" s="1944"/>
      <c r="AM483" s="1944"/>
      <c r="AN483" s="1944"/>
      <c r="AO483" s="1944"/>
      <c r="AP483" s="1944"/>
      <c r="AQ483" s="1944"/>
      <c r="AR483" s="1944"/>
      <c r="AS483" s="1944"/>
    </row>
    <row r="484" spans="1:45">
      <c r="A484" s="1944"/>
      <c r="B484" s="1944"/>
      <c r="C484" s="510">
        <v>43948</v>
      </c>
      <c r="D484" s="1382" t="s">
        <v>7057</v>
      </c>
      <c r="E484" s="506" t="s">
        <v>2434</v>
      </c>
      <c r="F484" s="506" t="s">
        <v>3204</v>
      </c>
      <c r="G484" s="507" t="s">
        <v>7058</v>
      </c>
      <c r="H484" s="506"/>
      <c r="I484" s="548"/>
      <c r="J484" s="506"/>
      <c r="K484" s="506" t="s">
        <v>642</v>
      </c>
      <c r="L484" s="506"/>
      <c r="M484" s="511">
        <v>4140720</v>
      </c>
      <c r="N484" s="506" t="s">
        <v>251</v>
      </c>
      <c r="O484" s="510">
        <v>44013</v>
      </c>
      <c r="P484" s="510">
        <v>44046</v>
      </c>
      <c r="Q484" s="506"/>
      <c r="R484" s="548"/>
      <c r="S484" s="506"/>
      <c r="T484" s="511"/>
      <c r="U484" s="511"/>
      <c r="V484" s="1470"/>
      <c r="W484" s="1470"/>
      <c r="X484" s="1470"/>
      <c r="Y484" s="511"/>
      <c r="Z484" s="511"/>
      <c r="AA484" s="506"/>
      <c r="AB484" s="510">
        <v>44081</v>
      </c>
      <c r="AC484" s="548" t="s">
        <v>7417</v>
      </c>
      <c r="AD484" s="506"/>
      <c r="AE484" s="506"/>
      <c r="AJ484" s="1944"/>
      <c r="AK484" s="1944"/>
      <c r="AL484" s="1944"/>
      <c r="AM484" s="1944"/>
      <c r="AN484" s="1944"/>
      <c r="AO484" s="1944"/>
      <c r="AP484" s="1944"/>
      <c r="AQ484" s="1944"/>
      <c r="AR484" s="1944"/>
      <c r="AS484" s="1944"/>
    </row>
    <row r="485" spans="1:45">
      <c r="A485" s="1944"/>
      <c r="B485" s="1944"/>
      <c r="C485" s="510">
        <v>44000</v>
      </c>
      <c r="D485" s="1382" t="s">
        <v>7059</v>
      </c>
      <c r="E485" s="506" t="s">
        <v>58</v>
      </c>
      <c r="F485" s="506" t="s">
        <v>2684</v>
      </c>
      <c r="G485" s="507" t="s">
        <v>7060</v>
      </c>
      <c r="H485" s="506"/>
      <c r="I485" s="548"/>
      <c r="J485" s="590"/>
      <c r="K485" s="506" t="s">
        <v>77</v>
      </c>
      <c r="L485" s="506" t="s">
        <v>4253</v>
      </c>
      <c r="M485" s="511">
        <v>3542148</v>
      </c>
      <c r="N485" s="506" t="s">
        <v>216</v>
      </c>
      <c r="O485" s="510">
        <v>44067</v>
      </c>
      <c r="P485" s="510">
        <v>44084</v>
      </c>
      <c r="Q485" s="506"/>
      <c r="R485" s="736" t="s">
        <v>304</v>
      </c>
      <c r="S485" s="2009" t="s">
        <v>7631</v>
      </c>
      <c r="T485" s="511"/>
      <c r="U485" s="511"/>
      <c r="V485" s="1484"/>
      <c r="W485" s="1484"/>
      <c r="X485" s="1484"/>
      <c r="Y485" s="511"/>
      <c r="Z485" s="511"/>
      <c r="AA485" s="506"/>
      <c r="AB485" s="510">
        <v>44089</v>
      </c>
      <c r="AC485" s="506" t="s">
        <v>7589</v>
      </c>
      <c r="AD485" s="506"/>
      <c r="AE485" s="506"/>
      <c r="AJ485" s="1944"/>
      <c r="AK485" s="1944"/>
      <c r="AL485" s="1944"/>
      <c r="AM485" s="1944"/>
      <c r="AN485" s="1944"/>
      <c r="AO485" s="1944"/>
      <c r="AP485" s="1944"/>
      <c r="AQ485" s="1944"/>
      <c r="AR485" s="1944"/>
      <c r="AS485" s="1944"/>
    </row>
    <row r="486" spans="1:45">
      <c r="A486" s="1944"/>
      <c r="B486" s="1944"/>
      <c r="C486" s="537">
        <v>44001</v>
      </c>
      <c r="D486" s="1373" t="s">
        <v>7062</v>
      </c>
      <c r="E486" s="491" t="s">
        <v>52</v>
      </c>
      <c r="F486" s="491" t="s">
        <v>3089</v>
      </c>
      <c r="G486" s="2517" t="s">
        <v>7061</v>
      </c>
      <c r="H486" s="491"/>
      <c r="I486" s="495"/>
      <c r="J486" s="491"/>
      <c r="K486" s="491" t="s">
        <v>1438</v>
      </c>
      <c r="L486" s="491" t="s">
        <v>7063</v>
      </c>
      <c r="M486" s="536">
        <v>63474626</v>
      </c>
      <c r="N486" s="491" t="s">
        <v>251</v>
      </c>
      <c r="O486" s="537">
        <v>44008</v>
      </c>
      <c r="P486" s="537">
        <v>44068</v>
      </c>
      <c r="Q486" s="537">
        <v>44078</v>
      </c>
      <c r="R486" s="495" t="s">
        <v>2626</v>
      </c>
      <c r="S486" s="491"/>
      <c r="T486" s="536">
        <v>47301965.979999997</v>
      </c>
      <c r="U486" s="536">
        <v>57235378.840000004</v>
      </c>
      <c r="V486" s="1471"/>
      <c r="W486" s="1471"/>
      <c r="X486" s="1471"/>
      <c r="Y486" s="573">
        <v>44078</v>
      </c>
      <c r="Z486" s="536" t="s">
        <v>7537</v>
      </c>
      <c r="AA486" s="537">
        <v>44099</v>
      </c>
      <c r="AB486" s="537">
        <v>44105</v>
      </c>
      <c r="AC486" s="537">
        <v>44466</v>
      </c>
      <c r="AD486" s="1525">
        <v>44606</v>
      </c>
      <c r="AE486" s="1102"/>
      <c r="AJ486" s="1944"/>
      <c r="AK486" s="1944"/>
      <c r="AL486" s="1944"/>
      <c r="AM486" s="1944"/>
      <c r="AN486" s="1944"/>
      <c r="AO486" s="1944"/>
      <c r="AP486" s="1944"/>
      <c r="AQ486" s="1944"/>
      <c r="AR486" s="1944"/>
      <c r="AS486" s="1944"/>
    </row>
    <row r="487" spans="1:45" ht="30">
      <c r="A487" s="1944"/>
      <c r="B487" s="1944"/>
      <c r="C487" s="537">
        <v>44000</v>
      </c>
      <c r="D487" s="1373" t="s">
        <v>7064</v>
      </c>
      <c r="E487" s="491" t="s">
        <v>58</v>
      </c>
      <c r="F487" s="491" t="s">
        <v>2684</v>
      </c>
      <c r="G487" s="571" t="s">
        <v>5776</v>
      </c>
      <c r="H487" s="491"/>
      <c r="I487" s="495"/>
      <c r="J487" s="491"/>
      <c r="K487" s="491" t="s">
        <v>7065</v>
      </c>
      <c r="L487" s="491" t="s">
        <v>5777</v>
      </c>
      <c r="M487" s="536">
        <v>1031736</v>
      </c>
      <c r="N487" s="491" t="s">
        <v>112</v>
      </c>
      <c r="O487" s="537">
        <v>44014</v>
      </c>
      <c r="P487" s="537">
        <v>44027</v>
      </c>
      <c r="Q487" s="537">
        <v>44039</v>
      </c>
      <c r="R487" s="495" t="s">
        <v>2780</v>
      </c>
      <c r="S487" s="491"/>
      <c r="T487" s="536">
        <v>1031500</v>
      </c>
      <c r="U487" s="536">
        <v>1248115</v>
      </c>
      <c r="V487" s="1471"/>
      <c r="W487" s="1471"/>
      <c r="X487" s="1471"/>
      <c r="Y487" s="573">
        <v>44039</v>
      </c>
      <c r="Z487" s="1375" t="s">
        <v>7207</v>
      </c>
      <c r="AA487" s="537">
        <v>44060</v>
      </c>
      <c r="AB487" s="537">
        <v>44067</v>
      </c>
      <c r="AC487" s="537">
        <f>AA487+42</f>
        <v>44102</v>
      </c>
      <c r="AD487" s="537">
        <v>44158</v>
      </c>
      <c r="AE487" s="1374" t="s">
        <v>1875</v>
      </c>
      <c r="AJ487" s="1944"/>
      <c r="AK487" s="1944"/>
      <c r="AL487" s="1944"/>
      <c r="AM487" s="1944"/>
      <c r="AN487" s="1944"/>
      <c r="AO487" s="1944"/>
      <c r="AP487" s="1944"/>
      <c r="AQ487" s="1944"/>
      <c r="AR487" s="1944"/>
      <c r="AS487" s="1944"/>
    </row>
    <row r="488" spans="1:45" ht="30">
      <c r="A488" s="1944"/>
      <c r="B488" s="1944"/>
      <c r="C488" s="537">
        <v>44005</v>
      </c>
      <c r="D488" s="1373" t="s">
        <v>7067</v>
      </c>
      <c r="E488" s="491" t="s">
        <v>9694</v>
      </c>
      <c r="F488" s="491" t="s">
        <v>2684</v>
      </c>
      <c r="G488" s="571" t="s">
        <v>7068</v>
      </c>
      <c r="H488" s="491"/>
      <c r="I488" s="495"/>
      <c r="J488" s="491"/>
      <c r="K488" s="491" t="s">
        <v>7069</v>
      </c>
      <c r="L488" s="491" t="s">
        <v>7070</v>
      </c>
      <c r="M488" s="536">
        <v>2314049</v>
      </c>
      <c r="N488" s="491" t="s">
        <v>216</v>
      </c>
      <c r="O488" s="537">
        <v>44028</v>
      </c>
      <c r="P488" s="537">
        <v>44048</v>
      </c>
      <c r="Q488" s="537">
        <v>44084</v>
      </c>
      <c r="R488" s="495" t="s">
        <v>7252</v>
      </c>
      <c r="S488" s="491"/>
      <c r="T488" s="536">
        <v>2314030.58</v>
      </c>
      <c r="U488" s="536">
        <v>2799977</v>
      </c>
      <c r="V488" s="1471"/>
      <c r="W488" s="1471"/>
      <c r="X488" s="1471"/>
      <c r="Y488" s="573">
        <v>44084</v>
      </c>
      <c r="Z488" s="1375" t="s">
        <v>7569</v>
      </c>
      <c r="AA488" s="537">
        <v>44126</v>
      </c>
      <c r="AB488" s="537">
        <v>44133</v>
      </c>
      <c r="AC488" s="537">
        <f>AA488+112</f>
        <v>44238</v>
      </c>
      <c r="AD488" s="537">
        <v>44207</v>
      </c>
      <c r="AE488" s="1374" t="s">
        <v>1875</v>
      </c>
      <c r="AJ488" s="1944"/>
      <c r="AK488" s="1944"/>
      <c r="AL488" s="1944"/>
      <c r="AM488" s="1944"/>
      <c r="AN488" s="1944"/>
      <c r="AO488" s="1944"/>
      <c r="AP488" s="1944"/>
      <c r="AQ488" s="1944"/>
      <c r="AR488" s="1944"/>
      <c r="AS488" s="1944"/>
    </row>
    <row r="489" spans="1:45">
      <c r="A489" s="1944"/>
      <c r="B489" s="1944"/>
      <c r="C489" s="510">
        <v>44006</v>
      </c>
      <c r="D489" s="1382" t="s">
        <v>7121</v>
      </c>
      <c r="E489" s="506" t="s">
        <v>2434</v>
      </c>
      <c r="F489" s="506" t="s">
        <v>219</v>
      </c>
      <c r="G489" s="507" t="s">
        <v>3136</v>
      </c>
      <c r="H489" s="506"/>
      <c r="I489" s="548"/>
      <c r="J489" s="506"/>
      <c r="K489" s="506" t="s">
        <v>642</v>
      </c>
      <c r="L489" s="506"/>
      <c r="M489" s="511">
        <v>2160160</v>
      </c>
      <c r="N489" s="506" t="s">
        <v>216</v>
      </c>
      <c r="O489" s="510">
        <v>44014</v>
      </c>
      <c r="P489" s="510">
        <v>44034</v>
      </c>
      <c r="Q489" s="506"/>
      <c r="R489" s="736" t="s">
        <v>304</v>
      </c>
      <c r="S489" s="1985" t="s">
        <v>7196</v>
      </c>
      <c r="T489" s="511"/>
      <c r="U489" s="511"/>
      <c r="V489" s="1470"/>
      <c r="W489" s="1470"/>
      <c r="X489" s="1470"/>
      <c r="Y489" s="511"/>
      <c r="Z489" s="511"/>
      <c r="AA489" s="506"/>
      <c r="AB489" s="510">
        <v>44036</v>
      </c>
      <c r="AC489" s="548" t="s">
        <v>7191</v>
      </c>
      <c r="AD489" s="506"/>
      <c r="AE489" s="506"/>
      <c r="AJ489" s="1944"/>
      <c r="AK489" s="1944"/>
      <c r="AL489" s="1944"/>
      <c r="AM489" s="1944"/>
      <c r="AN489" s="1944"/>
      <c r="AO489" s="1944"/>
      <c r="AP489" s="1944"/>
      <c r="AQ489" s="1944"/>
      <c r="AR489" s="1944"/>
      <c r="AS489" s="1944"/>
    </row>
    <row r="490" spans="1:45">
      <c r="A490" s="1944"/>
      <c r="B490" s="1944"/>
      <c r="C490" s="491" t="s">
        <v>3585</v>
      </c>
      <c r="D490" s="1373" t="s">
        <v>7071</v>
      </c>
      <c r="E490" s="491" t="s">
        <v>14</v>
      </c>
      <c r="F490" s="491" t="s">
        <v>13</v>
      </c>
      <c r="G490" s="571" t="s">
        <v>7072</v>
      </c>
      <c r="H490" s="491"/>
      <c r="I490" s="495"/>
      <c r="J490" s="491"/>
      <c r="K490" s="491" t="s">
        <v>2055</v>
      </c>
      <c r="L490" s="491"/>
      <c r="M490" s="536">
        <v>1682752</v>
      </c>
      <c r="N490" s="491" t="s">
        <v>112</v>
      </c>
      <c r="O490" s="537">
        <v>44011</v>
      </c>
      <c r="P490" s="537">
        <v>44026</v>
      </c>
      <c r="Q490" s="537">
        <v>44032</v>
      </c>
      <c r="R490" s="495" t="s">
        <v>7162</v>
      </c>
      <c r="S490" s="491"/>
      <c r="T490" s="536">
        <v>1682750</v>
      </c>
      <c r="U490" s="536">
        <v>2036127.5</v>
      </c>
      <c r="V490" s="1471"/>
      <c r="W490" s="1471"/>
      <c r="X490" s="1471"/>
      <c r="Y490" s="573">
        <v>44032</v>
      </c>
      <c r="Z490" s="536" t="s">
        <v>7175</v>
      </c>
      <c r="AA490" s="537">
        <v>44056</v>
      </c>
      <c r="AB490" s="537">
        <v>44060</v>
      </c>
      <c r="AC490" s="537">
        <v>45881</v>
      </c>
      <c r="AD490" s="1525">
        <v>44473</v>
      </c>
      <c r="AE490" s="1102"/>
      <c r="AJ490" s="1944"/>
      <c r="AK490" s="1944"/>
      <c r="AL490" s="1944"/>
      <c r="AM490" s="1944"/>
      <c r="AN490" s="1944"/>
      <c r="AO490" s="1944"/>
      <c r="AP490" s="1944"/>
      <c r="AQ490" s="1944"/>
      <c r="AR490" s="1944"/>
      <c r="AS490" s="1944"/>
    </row>
    <row r="491" spans="1:45" ht="30">
      <c r="A491" s="1944"/>
      <c r="B491" s="1944"/>
      <c r="C491" s="537">
        <v>44005</v>
      </c>
      <c r="D491" s="1373" t="s">
        <v>7081</v>
      </c>
      <c r="E491" s="491" t="s">
        <v>58</v>
      </c>
      <c r="F491" s="491" t="s">
        <v>2684</v>
      </c>
      <c r="G491" s="571" t="s">
        <v>7082</v>
      </c>
      <c r="H491" s="491"/>
      <c r="I491" s="495"/>
      <c r="J491" s="491"/>
      <c r="K491" s="491" t="s">
        <v>480</v>
      </c>
      <c r="L491" s="491" t="s">
        <v>7083</v>
      </c>
      <c r="M491" s="536">
        <v>1825537</v>
      </c>
      <c r="N491" s="491" t="s">
        <v>112</v>
      </c>
      <c r="O491" s="537">
        <v>44014</v>
      </c>
      <c r="P491" s="537">
        <v>44033</v>
      </c>
      <c r="Q491" s="537">
        <v>44048</v>
      </c>
      <c r="R491" s="495" t="s">
        <v>7246</v>
      </c>
      <c r="S491" s="491"/>
      <c r="T491" s="536">
        <v>1644610</v>
      </c>
      <c r="U491" s="536">
        <v>1989978.1</v>
      </c>
      <c r="V491" s="1471"/>
      <c r="W491" s="1471"/>
      <c r="X491" s="1471"/>
      <c r="Y491" s="573">
        <v>44048</v>
      </c>
      <c r="Z491" s="1375" t="s">
        <v>7254</v>
      </c>
      <c r="AA491" s="537">
        <v>44068</v>
      </c>
      <c r="AB491" s="537">
        <v>44071</v>
      </c>
      <c r="AC491" s="537">
        <f>AA491+56</f>
        <v>44124</v>
      </c>
      <c r="AD491" s="537">
        <v>44179</v>
      </c>
      <c r="AE491" s="1374" t="s">
        <v>1875</v>
      </c>
      <c r="AJ491" s="1944"/>
      <c r="AK491" s="1944"/>
      <c r="AL491" s="1944"/>
      <c r="AM491" s="1944"/>
      <c r="AN491" s="1944"/>
      <c r="AO491" s="1944"/>
      <c r="AP491" s="1944"/>
      <c r="AQ491" s="1944"/>
      <c r="AR491" s="1944"/>
      <c r="AS491" s="1944"/>
    </row>
    <row r="492" spans="1:45">
      <c r="A492" s="1944"/>
      <c r="B492" s="1944"/>
      <c r="C492" s="510">
        <v>44011</v>
      </c>
      <c r="D492" s="1382" t="s">
        <v>7084</v>
      </c>
      <c r="E492" s="506" t="s">
        <v>2434</v>
      </c>
      <c r="F492" s="506" t="s">
        <v>751</v>
      </c>
      <c r="G492" s="507" t="s">
        <v>7085</v>
      </c>
      <c r="H492" s="506"/>
      <c r="I492" s="548"/>
      <c r="J492" s="590"/>
      <c r="K492" s="506" t="s">
        <v>3890</v>
      </c>
      <c r="L492" s="506"/>
      <c r="M492" s="511">
        <v>175414549</v>
      </c>
      <c r="N492" s="506" t="s">
        <v>251</v>
      </c>
      <c r="O492" s="510">
        <v>44026</v>
      </c>
      <c r="P492" s="510">
        <v>44069</v>
      </c>
      <c r="Q492" s="506"/>
      <c r="R492" s="736" t="s">
        <v>242</v>
      </c>
      <c r="S492" s="514" t="s">
        <v>7448</v>
      </c>
      <c r="T492" s="511"/>
      <c r="U492" s="511"/>
      <c r="V492" s="1484"/>
      <c r="W492" s="1484"/>
      <c r="X492" s="1484"/>
      <c r="Y492" s="511"/>
      <c r="Z492" s="511"/>
      <c r="AA492" s="506"/>
      <c r="AB492" s="510">
        <v>44089</v>
      </c>
      <c r="AC492" s="548" t="s">
        <v>7480</v>
      </c>
      <c r="AD492" s="506"/>
      <c r="AE492" s="506"/>
      <c r="AJ492" s="1944"/>
      <c r="AK492" s="1944"/>
      <c r="AL492" s="1944"/>
      <c r="AM492" s="1944"/>
      <c r="AN492" s="1944"/>
      <c r="AO492" s="1944"/>
      <c r="AP492" s="1944"/>
      <c r="AQ492" s="1944"/>
      <c r="AR492" s="1944"/>
      <c r="AS492" s="1944"/>
    </row>
    <row r="493" spans="1:45" ht="30">
      <c r="A493" s="1944"/>
      <c r="B493" s="1944"/>
      <c r="C493" s="537">
        <v>43978</v>
      </c>
      <c r="D493" s="491" t="s">
        <v>7090</v>
      </c>
      <c r="E493" s="491" t="s">
        <v>2434</v>
      </c>
      <c r="F493" s="491" t="s">
        <v>3204</v>
      </c>
      <c r="G493" s="571" t="s">
        <v>7091</v>
      </c>
      <c r="H493" s="491"/>
      <c r="I493" s="495"/>
      <c r="J493" s="491"/>
      <c r="K493" s="491" t="s">
        <v>7092</v>
      </c>
      <c r="L493" s="491"/>
      <c r="M493" s="536">
        <v>7128000</v>
      </c>
      <c r="N493" s="491" t="s">
        <v>251</v>
      </c>
      <c r="O493" s="537">
        <v>44034</v>
      </c>
      <c r="P493" s="537">
        <v>44067</v>
      </c>
      <c r="Q493" s="537">
        <v>44077</v>
      </c>
      <c r="R493" s="495" t="s">
        <v>2974</v>
      </c>
      <c r="S493" s="491"/>
      <c r="T493" s="536">
        <v>7128000</v>
      </c>
      <c r="U493" s="536">
        <v>8197200</v>
      </c>
      <c r="V493" s="1471"/>
      <c r="W493" s="1471"/>
      <c r="X493" s="1471"/>
      <c r="Y493" s="573">
        <v>44077</v>
      </c>
      <c r="Z493" s="1375" t="s">
        <v>7524</v>
      </c>
      <c r="AA493" s="537">
        <v>44103</v>
      </c>
      <c r="AB493" s="537">
        <v>44104</v>
      </c>
      <c r="AC493" s="537">
        <v>45197</v>
      </c>
      <c r="AD493" s="537">
        <v>44285</v>
      </c>
      <c r="AE493" s="537">
        <v>44641</v>
      </c>
      <c r="AF493" s="388">
        <v>2022</v>
      </c>
      <c r="AG493" s="388" t="s">
        <v>7669</v>
      </c>
      <c r="AJ493" s="1944"/>
      <c r="AK493" s="1944"/>
      <c r="AL493" s="1944"/>
      <c r="AM493" s="1944"/>
      <c r="AN493" s="1944"/>
      <c r="AO493" s="1944"/>
      <c r="AP493" s="1944"/>
      <c r="AQ493" s="1944"/>
      <c r="AR493" s="1944"/>
      <c r="AS493" s="1944"/>
    </row>
    <row r="494" spans="1:45" ht="30">
      <c r="A494" s="1944"/>
      <c r="B494" s="1944"/>
      <c r="C494" s="537">
        <v>44011</v>
      </c>
      <c r="D494" s="491" t="s">
        <v>7104</v>
      </c>
      <c r="E494" s="491" t="s">
        <v>58</v>
      </c>
      <c r="F494" s="491" t="s">
        <v>2684</v>
      </c>
      <c r="G494" s="571" t="s">
        <v>7105</v>
      </c>
      <c r="H494" s="491"/>
      <c r="I494" s="495"/>
      <c r="J494" s="491"/>
      <c r="K494" s="491" t="s">
        <v>1950</v>
      </c>
      <c r="L494" s="491" t="s">
        <v>7106</v>
      </c>
      <c r="M494" s="536">
        <v>343347</v>
      </c>
      <c r="N494" s="491" t="s">
        <v>112</v>
      </c>
      <c r="O494" s="537">
        <v>44027</v>
      </c>
      <c r="P494" s="537">
        <v>44040</v>
      </c>
      <c r="Q494" s="537">
        <v>44074</v>
      </c>
      <c r="R494" s="495" t="s">
        <v>1155</v>
      </c>
      <c r="S494" s="491"/>
      <c r="T494" s="536">
        <v>258900</v>
      </c>
      <c r="U494" s="536">
        <v>313269</v>
      </c>
      <c r="V494" s="1471"/>
      <c r="W494" s="1471"/>
      <c r="X494" s="1471"/>
      <c r="Y494" s="573">
        <v>44075</v>
      </c>
      <c r="Z494" s="1375" t="s">
        <v>7481</v>
      </c>
      <c r="AA494" s="537">
        <v>44095</v>
      </c>
      <c r="AB494" s="537">
        <v>44098</v>
      </c>
      <c r="AC494" s="537">
        <f>AA494+63</f>
        <v>44158</v>
      </c>
      <c r="AD494" s="537">
        <v>44207</v>
      </c>
      <c r="AE494" s="1374" t="s">
        <v>1875</v>
      </c>
      <c r="AJ494" s="1944"/>
      <c r="AK494" s="1944"/>
      <c r="AL494" s="1944"/>
      <c r="AM494" s="1944"/>
      <c r="AN494" s="1944"/>
      <c r="AO494" s="1944"/>
      <c r="AP494" s="1944"/>
      <c r="AQ494" s="1944"/>
      <c r="AR494" s="1944"/>
      <c r="AS494" s="1944"/>
    </row>
    <row r="495" spans="1:45">
      <c r="A495" s="1944"/>
      <c r="B495" s="1944"/>
      <c r="C495" s="510">
        <v>44005</v>
      </c>
      <c r="D495" s="506" t="s">
        <v>7107</v>
      </c>
      <c r="E495" s="506" t="s">
        <v>58</v>
      </c>
      <c r="F495" s="506" t="s">
        <v>2684</v>
      </c>
      <c r="G495" s="507" t="s">
        <v>7108</v>
      </c>
      <c r="H495" s="506"/>
      <c r="I495" s="548"/>
      <c r="J495" s="506"/>
      <c r="K495" s="506" t="s">
        <v>4272</v>
      </c>
      <c r="L495" s="506" t="s">
        <v>7109</v>
      </c>
      <c r="M495" s="511">
        <v>1092000</v>
      </c>
      <c r="N495" s="506" t="s">
        <v>112</v>
      </c>
      <c r="O495" s="510">
        <v>44039</v>
      </c>
      <c r="P495" s="510">
        <v>44048</v>
      </c>
      <c r="Q495" s="506"/>
      <c r="R495" s="736" t="s">
        <v>7418</v>
      </c>
      <c r="S495" s="506"/>
      <c r="T495" s="511"/>
      <c r="U495" s="511"/>
      <c r="V495" s="1470"/>
      <c r="W495" s="1470"/>
      <c r="X495" s="1470"/>
      <c r="Y495" s="511"/>
      <c r="Z495" s="511"/>
      <c r="AA495" s="506"/>
      <c r="AB495" s="510">
        <v>44049</v>
      </c>
      <c r="AC495" s="506"/>
      <c r="AD495" s="506"/>
      <c r="AE495" s="506"/>
      <c r="AJ495" s="1944"/>
      <c r="AK495" s="1944"/>
      <c r="AL495" s="1944"/>
      <c r="AM495" s="1944"/>
      <c r="AN495" s="1944"/>
      <c r="AO495" s="1944"/>
      <c r="AP495" s="1944"/>
      <c r="AQ495" s="1944"/>
      <c r="AR495" s="1944"/>
      <c r="AS495" s="1944"/>
    </row>
    <row r="496" spans="1:45" ht="30">
      <c r="A496" s="1944"/>
      <c r="B496" s="1944"/>
      <c r="C496" s="537">
        <v>44012</v>
      </c>
      <c r="D496" s="491" t="s">
        <v>7110</v>
      </c>
      <c r="E496" s="491" t="s">
        <v>58</v>
      </c>
      <c r="F496" s="491" t="s">
        <v>2684</v>
      </c>
      <c r="G496" s="571" t="s">
        <v>7111</v>
      </c>
      <c r="H496" s="491"/>
      <c r="I496" s="495"/>
      <c r="J496" s="491"/>
      <c r="K496" s="491" t="s">
        <v>4704</v>
      </c>
      <c r="L496" s="491" t="s">
        <v>7112</v>
      </c>
      <c r="M496" s="536">
        <v>506280</v>
      </c>
      <c r="N496" s="491" t="s">
        <v>112</v>
      </c>
      <c r="O496" s="537">
        <v>44039</v>
      </c>
      <c r="P496" s="537">
        <v>44049</v>
      </c>
      <c r="Q496" s="537">
        <v>44075</v>
      </c>
      <c r="R496" s="495" t="s">
        <v>4326</v>
      </c>
      <c r="S496" s="491"/>
      <c r="T496" s="536">
        <v>484640</v>
      </c>
      <c r="U496" s="536">
        <v>586414</v>
      </c>
      <c r="V496" s="1471"/>
      <c r="W496" s="1471"/>
      <c r="X496" s="1471"/>
      <c r="Y496" s="573">
        <v>44075</v>
      </c>
      <c r="Z496" s="1375" t="s">
        <v>7488</v>
      </c>
      <c r="AA496" s="537">
        <v>44109</v>
      </c>
      <c r="AB496" s="537">
        <v>44111</v>
      </c>
      <c r="AC496" s="537">
        <f>AA496+28</f>
        <v>44137</v>
      </c>
      <c r="AD496" s="537">
        <v>44175</v>
      </c>
      <c r="AE496" s="1374" t="s">
        <v>1875</v>
      </c>
      <c r="AJ496" s="1944"/>
      <c r="AK496" s="1944"/>
      <c r="AL496" s="1944"/>
      <c r="AM496" s="1944"/>
      <c r="AN496" s="1944"/>
      <c r="AO496" s="1944"/>
      <c r="AP496" s="1944"/>
      <c r="AQ496" s="1944"/>
      <c r="AR496" s="1944"/>
      <c r="AS496" s="1944"/>
    </row>
    <row r="497" spans="1:45">
      <c r="A497" s="1944"/>
      <c r="B497" s="1944"/>
      <c r="C497" s="537">
        <v>44012</v>
      </c>
      <c r="D497" s="491" t="s">
        <v>7113</v>
      </c>
      <c r="E497" s="491" t="s">
        <v>4997</v>
      </c>
      <c r="F497" s="491" t="s">
        <v>167</v>
      </c>
      <c r="G497" s="571" t="s">
        <v>7114</v>
      </c>
      <c r="H497" s="491"/>
      <c r="I497" s="495"/>
      <c r="J497" s="491"/>
      <c r="K497" s="491" t="s">
        <v>1049</v>
      </c>
      <c r="L497" s="491"/>
      <c r="M497" s="536">
        <v>1200000</v>
      </c>
      <c r="N497" s="491" t="s">
        <v>112</v>
      </c>
      <c r="O497" s="537">
        <v>44026</v>
      </c>
      <c r="P497" s="537">
        <v>44039</v>
      </c>
      <c r="Q497" s="537">
        <v>44055</v>
      </c>
      <c r="R497" s="495" t="s">
        <v>7267</v>
      </c>
      <c r="S497" s="491"/>
      <c r="T497" s="536">
        <v>1174840</v>
      </c>
      <c r="U497" s="536">
        <v>1421556.4</v>
      </c>
      <c r="V497" s="1471"/>
      <c r="W497" s="1471"/>
      <c r="X497" s="1471"/>
      <c r="Y497" s="573">
        <v>44056</v>
      </c>
      <c r="Z497" s="536" t="s">
        <v>7328</v>
      </c>
      <c r="AA497" s="537">
        <v>44077</v>
      </c>
      <c r="AB497" s="537">
        <v>44078</v>
      </c>
      <c r="AC497" s="537">
        <v>44926</v>
      </c>
      <c r="AD497" s="1525">
        <v>44872</v>
      </c>
      <c r="AE497" s="1102"/>
      <c r="AJ497" s="1944"/>
      <c r="AK497" s="1944"/>
      <c r="AL497" s="1944"/>
      <c r="AM497" s="1944"/>
      <c r="AN497" s="1944"/>
      <c r="AO497" s="1944"/>
      <c r="AP497" s="1944"/>
      <c r="AQ497" s="1944"/>
      <c r="AR497" s="1944"/>
      <c r="AS497" s="1944"/>
    </row>
    <row r="498" spans="1:45">
      <c r="A498" s="1944"/>
      <c r="B498" s="1944"/>
      <c r="C498" s="510">
        <v>44012</v>
      </c>
      <c r="D498" s="506" t="s">
        <v>7093</v>
      </c>
      <c r="E498" s="506" t="s">
        <v>69</v>
      </c>
      <c r="F498" s="506" t="s">
        <v>70</v>
      </c>
      <c r="G498" s="507" t="s">
        <v>7094</v>
      </c>
      <c r="H498" s="506">
        <v>1</v>
      </c>
      <c r="I498" s="548" t="s">
        <v>7098</v>
      </c>
      <c r="J498" s="506"/>
      <c r="K498" s="506" t="s">
        <v>7097</v>
      </c>
      <c r="L498" s="506"/>
      <c r="M498" s="511">
        <v>9211449</v>
      </c>
      <c r="N498" s="506" t="s">
        <v>251</v>
      </c>
      <c r="O498" s="510">
        <v>44025</v>
      </c>
      <c r="P498" s="510">
        <v>44060</v>
      </c>
      <c r="Q498" s="506"/>
      <c r="R498" s="736" t="s">
        <v>7335</v>
      </c>
      <c r="S498" s="506"/>
      <c r="T498" s="511"/>
      <c r="U498" s="511"/>
      <c r="V498" s="1470"/>
      <c r="W498" s="1470"/>
      <c r="X498" s="1470"/>
      <c r="Y498" s="511"/>
      <c r="Z498" s="511"/>
      <c r="AA498" s="506"/>
      <c r="AB498" s="510">
        <v>44139</v>
      </c>
      <c r="AC498" s="506" t="s">
        <v>7738</v>
      </c>
      <c r="AD498" s="506"/>
      <c r="AE498" s="506"/>
      <c r="AJ498" s="1944"/>
      <c r="AK498" s="1944"/>
      <c r="AL498" s="1944"/>
      <c r="AM498" s="1944"/>
      <c r="AN498" s="1944"/>
      <c r="AO498" s="1944"/>
      <c r="AP498" s="1944"/>
      <c r="AQ498" s="1944"/>
      <c r="AR498" s="1944"/>
      <c r="AS498" s="1944"/>
    </row>
    <row r="499" spans="1:45">
      <c r="A499" s="1944"/>
      <c r="B499" s="1944"/>
      <c r="C499" s="537">
        <v>44012</v>
      </c>
      <c r="D499" s="491" t="s">
        <v>7093</v>
      </c>
      <c r="E499" s="491" t="s">
        <v>69</v>
      </c>
      <c r="F499" s="491" t="s">
        <v>70</v>
      </c>
      <c r="G499" s="571" t="s">
        <v>7094</v>
      </c>
      <c r="H499" s="491">
        <v>2</v>
      </c>
      <c r="I499" s="495" t="s">
        <v>7099</v>
      </c>
      <c r="J499" s="491"/>
      <c r="K499" s="491" t="s">
        <v>7097</v>
      </c>
      <c r="L499" s="491"/>
      <c r="M499" s="536">
        <v>713124</v>
      </c>
      <c r="N499" s="491" t="s">
        <v>251</v>
      </c>
      <c r="O499" s="537">
        <v>44025</v>
      </c>
      <c r="P499" s="537">
        <v>44060</v>
      </c>
      <c r="Q499" s="537">
        <v>44116</v>
      </c>
      <c r="R499" s="495" t="s">
        <v>576</v>
      </c>
      <c r="S499" s="491"/>
      <c r="T499" s="536">
        <v>705431.77</v>
      </c>
      <c r="U499" s="536">
        <v>811246.54</v>
      </c>
      <c r="V499" s="1471"/>
      <c r="W499" s="1471"/>
      <c r="X499" s="1471"/>
      <c r="Y499" s="573">
        <v>44116</v>
      </c>
      <c r="Z499" s="536" t="s">
        <v>7743</v>
      </c>
      <c r="AA499" s="537">
        <v>44146</v>
      </c>
      <c r="AB499" s="537">
        <v>44151</v>
      </c>
      <c r="AC499" s="537">
        <v>45240</v>
      </c>
      <c r="AD499" s="537">
        <v>44279</v>
      </c>
      <c r="AE499" s="537">
        <v>44650</v>
      </c>
      <c r="AF499" s="388">
        <v>2022</v>
      </c>
      <c r="AG499" s="388" t="s">
        <v>7905</v>
      </c>
      <c r="AJ499" s="1944"/>
      <c r="AK499" s="1944"/>
      <c r="AL499" s="1944"/>
      <c r="AM499" s="1944"/>
      <c r="AN499" s="1944"/>
      <c r="AO499" s="1944"/>
      <c r="AP499" s="1944"/>
      <c r="AQ499" s="1944"/>
      <c r="AR499" s="1944"/>
      <c r="AS499" s="1944"/>
    </row>
    <row r="500" spans="1:45">
      <c r="A500" s="1944"/>
      <c r="B500" s="1944"/>
      <c r="C500" s="510">
        <v>44012</v>
      </c>
      <c r="D500" s="506" t="s">
        <v>7095</v>
      </c>
      <c r="E500" s="506" t="s">
        <v>69</v>
      </c>
      <c r="F500" s="506" t="s">
        <v>70</v>
      </c>
      <c r="G500" s="507" t="s">
        <v>7096</v>
      </c>
      <c r="H500" s="506">
        <v>1</v>
      </c>
      <c r="I500" s="548" t="s">
        <v>7160</v>
      </c>
      <c r="J500" s="506"/>
      <c r="K500" s="506" t="s">
        <v>7097</v>
      </c>
      <c r="L500" s="506"/>
      <c r="M500" s="511">
        <v>1347950</v>
      </c>
      <c r="N500" s="506" t="s">
        <v>251</v>
      </c>
      <c r="O500" s="510">
        <v>44033</v>
      </c>
      <c r="P500" s="510">
        <v>44064</v>
      </c>
      <c r="Q500" s="506"/>
      <c r="R500" s="736" t="s">
        <v>7335</v>
      </c>
      <c r="S500" s="1985" t="s">
        <v>7343</v>
      </c>
      <c r="T500" s="511"/>
      <c r="U500" s="511"/>
      <c r="V500" s="1470"/>
      <c r="W500" s="1470"/>
      <c r="X500" s="1470"/>
      <c r="Y500" s="511"/>
      <c r="Z500" s="511"/>
      <c r="AA500" s="506"/>
      <c r="AB500" s="510">
        <v>44057</v>
      </c>
      <c r="AC500" s="548" t="s">
        <v>7339</v>
      </c>
      <c r="AD500" s="506"/>
      <c r="AE500" s="506"/>
      <c r="AJ500" s="1944"/>
      <c r="AK500" s="1944"/>
      <c r="AL500" s="1944"/>
      <c r="AM500" s="1944"/>
      <c r="AN500" s="1944"/>
      <c r="AO500" s="1944"/>
      <c r="AP500" s="1944"/>
      <c r="AQ500" s="1944"/>
      <c r="AR500" s="1944"/>
      <c r="AS500" s="1944"/>
    </row>
    <row r="501" spans="1:45">
      <c r="A501" s="1944"/>
      <c r="B501" s="1944"/>
      <c r="C501" s="510">
        <v>44012</v>
      </c>
      <c r="D501" s="1382" t="s">
        <v>7095</v>
      </c>
      <c r="E501" s="506" t="s">
        <v>69</v>
      </c>
      <c r="F501" s="506" t="s">
        <v>70</v>
      </c>
      <c r="G501" s="507" t="s">
        <v>7096</v>
      </c>
      <c r="H501" s="506">
        <v>2</v>
      </c>
      <c r="I501" s="548" t="s">
        <v>7160</v>
      </c>
      <c r="J501" s="506"/>
      <c r="K501" s="506" t="s">
        <v>7097</v>
      </c>
      <c r="L501" s="506"/>
      <c r="M501" s="511">
        <v>3589383</v>
      </c>
      <c r="N501" s="506" t="s">
        <v>251</v>
      </c>
      <c r="O501" s="510">
        <v>44033</v>
      </c>
      <c r="P501" s="510">
        <v>44064</v>
      </c>
      <c r="Q501" s="506"/>
      <c r="R501" s="736" t="s">
        <v>7335</v>
      </c>
      <c r="S501" s="1985" t="s">
        <v>7343</v>
      </c>
      <c r="T501" s="511"/>
      <c r="U501" s="511"/>
      <c r="V501" s="1470"/>
      <c r="W501" s="1470"/>
      <c r="X501" s="1470"/>
      <c r="Y501" s="511"/>
      <c r="Z501" s="511"/>
      <c r="AA501" s="506"/>
      <c r="AB501" s="510">
        <v>44057</v>
      </c>
      <c r="AC501" s="548" t="s">
        <v>7339</v>
      </c>
      <c r="AD501" s="506"/>
      <c r="AE501" s="506"/>
      <c r="AJ501" s="1944"/>
      <c r="AK501" s="1944"/>
      <c r="AL501" s="1944"/>
      <c r="AM501" s="1944"/>
      <c r="AN501" s="1944"/>
      <c r="AO501" s="1944"/>
      <c r="AP501" s="1944"/>
      <c r="AQ501" s="1944"/>
      <c r="AR501" s="1944"/>
      <c r="AS501" s="1944"/>
    </row>
    <row r="502" spans="1:45">
      <c r="A502" s="1944"/>
      <c r="B502" s="1944"/>
      <c r="C502" s="537">
        <v>44021</v>
      </c>
      <c r="D502" s="1373" t="s">
        <v>7115</v>
      </c>
      <c r="E502" s="491" t="s">
        <v>14</v>
      </c>
      <c r="F502" s="491" t="s">
        <v>1753</v>
      </c>
      <c r="G502" s="571" t="s">
        <v>7116</v>
      </c>
      <c r="H502" s="491"/>
      <c r="I502" s="495"/>
      <c r="J502" s="491"/>
      <c r="K502" s="491" t="s">
        <v>2055</v>
      </c>
      <c r="L502" s="491"/>
      <c r="M502" s="536">
        <v>603305</v>
      </c>
      <c r="N502" s="491" t="s">
        <v>112</v>
      </c>
      <c r="O502" s="537">
        <v>44021</v>
      </c>
      <c r="P502" s="537">
        <v>44028</v>
      </c>
      <c r="Q502" s="537">
        <v>44028</v>
      </c>
      <c r="R502" s="495" t="s">
        <v>7165</v>
      </c>
      <c r="S502" s="491"/>
      <c r="T502" s="536">
        <v>569000</v>
      </c>
      <c r="U502" s="536">
        <v>688490</v>
      </c>
      <c r="V502" s="1471"/>
      <c r="W502" s="1471"/>
      <c r="X502" s="1471"/>
      <c r="Y502" s="573">
        <v>44028</v>
      </c>
      <c r="Z502" s="536" t="s">
        <v>7171</v>
      </c>
      <c r="AA502" s="537">
        <v>44043</v>
      </c>
      <c r="AB502" s="537">
        <v>44047</v>
      </c>
      <c r="AC502" s="537">
        <v>45142</v>
      </c>
      <c r="AD502" s="537">
        <v>44116</v>
      </c>
      <c r="AE502" s="1102"/>
      <c r="AJ502" s="1944"/>
      <c r="AK502" s="1944"/>
      <c r="AL502" s="1944"/>
      <c r="AM502" s="1944"/>
      <c r="AN502" s="1944"/>
      <c r="AO502" s="1944"/>
      <c r="AP502" s="1944"/>
      <c r="AQ502" s="1944"/>
      <c r="AR502" s="1944"/>
      <c r="AS502" s="1944"/>
    </row>
    <row r="503" spans="1:45" ht="30">
      <c r="A503" s="1944"/>
      <c r="B503" s="1944"/>
      <c r="C503" s="537">
        <v>44021</v>
      </c>
      <c r="D503" s="1373" t="s">
        <v>7117</v>
      </c>
      <c r="E503" s="491" t="s">
        <v>58</v>
      </c>
      <c r="F503" s="491" t="s">
        <v>2684</v>
      </c>
      <c r="G503" s="571" t="s">
        <v>7118</v>
      </c>
      <c r="H503" s="491"/>
      <c r="I503" s="495"/>
      <c r="J503" s="491"/>
      <c r="K503" s="491" t="s">
        <v>7120</v>
      </c>
      <c r="L503" s="491" t="s">
        <v>7119</v>
      </c>
      <c r="M503" s="536">
        <v>1028973</v>
      </c>
      <c r="N503" s="491" t="s">
        <v>112</v>
      </c>
      <c r="O503" s="537">
        <v>44022</v>
      </c>
      <c r="P503" s="537">
        <v>44032</v>
      </c>
      <c r="Q503" s="537">
        <v>44050</v>
      </c>
      <c r="R503" s="548" t="s">
        <v>7682</v>
      </c>
      <c r="S503" s="1985" t="s">
        <v>7681</v>
      </c>
      <c r="T503" s="536">
        <v>1041473</v>
      </c>
      <c r="U503" s="536">
        <v>1041473</v>
      </c>
      <c r="V503" s="1471"/>
      <c r="W503" s="1471"/>
      <c r="X503" s="1471"/>
      <c r="Y503" s="573">
        <v>44050</v>
      </c>
      <c r="Z503" s="1375" t="s">
        <v>7297</v>
      </c>
      <c r="AA503" s="537">
        <v>44068</v>
      </c>
      <c r="AB503" s="537">
        <v>44069</v>
      </c>
      <c r="AC503" s="537">
        <f>AA503+28</f>
        <v>44096</v>
      </c>
      <c r="AD503" s="2018" t="s">
        <v>7644</v>
      </c>
      <c r="AE503" s="590"/>
      <c r="AJ503" s="1944"/>
      <c r="AK503" s="1944"/>
      <c r="AL503" s="1944"/>
      <c r="AM503" s="1944"/>
      <c r="AN503" s="1944"/>
      <c r="AO503" s="1944"/>
      <c r="AP503" s="1944"/>
      <c r="AQ503" s="1944"/>
      <c r="AR503" s="1944"/>
      <c r="AS503" s="1944"/>
    </row>
    <row r="504" spans="1:45" ht="30">
      <c r="A504" s="1944"/>
      <c r="B504" s="1944"/>
      <c r="C504" s="491" t="s">
        <v>3585</v>
      </c>
      <c r="D504" s="1373" t="s">
        <v>7132</v>
      </c>
      <c r="E504" s="491" t="s">
        <v>58</v>
      </c>
      <c r="F504" s="491" t="s">
        <v>918</v>
      </c>
      <c r="G504" s="571" t="s">
        <v>7133</v>
      </c>
      <c r="H504" s="491"/>
      <c r="I504" s="495"/>
      <c r="J504" s="491"/>
      <c r="K504" s="491" t="s">
        <v>77</v>
      </c>
      <c r="L504" s="491" t="s">
        <v>6997</v>
      </c>
      <c r="M504" s="536">
        <v>830000</v>
      </c>
      <c r="N504" s="491" t="s">
        <v>112</v>
      </c>
      <c r="O504" s="537">
        <v>44027</v>
      </c>
      <c r="P504" s="537">
        <v>44035</v>
      </c>
      <c r="Q504" s="537">
        <v>44040</v>
      </c>
      <c r="R504" s="495" t="s">
        <v>7210</v>
      </c>
      <c r="S504" s="491"/>
      <c r="T504" s="536">
        <v>795300</v>
      </c>
      <c r="U504" s="536">
        <v>962313</v>
      </c>
      <c r="V504" s="1471"/>
      <c r="W504" s="1471"/>
      <c r="X504" s="1471"/>
      <c r="Y504" s="573">
        <v>44040</v>
      </c>
      <c r="Z504" s="1375" t="s">
        <v>7211</v>
      </c>
      <c r="AA504" s="537">
        <v>44054</v>
      </c>
      <c r="AB504" s="537">
        <v>44060</v>
      </c>
      <c r="AC504" s="537">
        <f>AA504+60</f>
        <v>44114</v>
      </c>
      <c r="AD504" s="537">
        <v>44130</v>
      </c>
      <c r="AE504" s="1374" t="s">
        <v>1875</v>
      </c>
      <c r="AJ504" s="1944"/>
      <c r="AK504" s="1944"/>
      <c r="AL504" s="1944"/>
      <c r="AM504" s="1944"/>
      <c r="AN504" s="1944"/>
      <c r="AO504" s="1944"/>
      <c r="AP504" s="1944"/>
      <c r="AQ504" s="1944"/>
      <c r="AR504" s="1944"/>
      <c r="AS504" s="1944"/>
    </row>
    <row r="505" spans="1:45" ht="30">
      <c r="A505" s="1944"/>
      <c r="B505" s="1944"/>
      <c r="C505" s="537">
        <v>44019</v>
      </c>
      <c r="D505" s="1373" t="s">
        <v>7137</v>
      </c>
      <c r="E505" s="491" t="s">
        <v>58</v>
      </c>
      <c r="F505" s="491" t="s">
        <v>2684</v>
      </c>
      <c r="G505" s="571" t="s">
        <v>7138</v>
      </c>
      <c r="H505" s="491"/>
      <c r="I505" s="495"/>
      <c r="J505" s="491"/>
      <c r="K505" s="491" t="s">
        <v>7139</v>
      </c>
      <c r="L505" s="491" t="s">
        <v>7140</v>
      </c>
      <c r="M505" s="536">
        <v>1314049</v>
      </c>
      <c r="N505" s="491" t="s">
        <v>112</v>
      </c>
      <c r="O505" s="537">
        <v>44034</v>
      </c>
      <c r="P505" s="537">
        <v>44043</v>
      </c>
      <c r="Q505" s="537">
        <v>44070</v>
      </c>
      <c r="R505" s="495" t="s">
        <v>5332</v>
      </c>
      <c r="S505" s="491"/>
      <c r="T505" s="536">
        <v>1396700</v>
      </c>
      <c r="U505" s="536">
        <v>1690007</v>
      </c>
      <c r="V505" s="1471"/>
      <c r="W505" s="1471"/>
      <c r="X505" s="1471"/>
      <c r="Y505" s="573">
        <v>44070</v>
      </c>
      <c r="Z505" s="1375" t="s">
        <v>7460</v>
      </c>
      <c r="AA505" s="537">
        <v>44099</v>
      </c>
      <c r="AB505" s="537">
        <v>44105</v>
      </c>
      <c r="AC505" s="537">
        <f>AA505+70</f>
        <v>44169</v>
      </c>
      <c r="AD505" s="537">
        <v>44193</v>
      </c>
      <c r="AE505" s="1374" t="s">
        <v>1875</v>
      </c>
      <c r="AJ505" s="1944"/>
      <c r="AK505" s="1944"/>
      <c r="AL505" s="1944"/>
      <c r="AM505" s="1944"/>
      <c r="AN505" s="1944"/>
      <c r="AO505" s="1944"/>
      <c r="AP505" s="1944"/>
      <c r="AQ505" s="1944"/>
      <c r="AR505" s="1944"/>
      <c r="AS505" s="1944"/>
    </row>
    <row r="506" spans="1:45" ht="30.75" thickBot="1">
      <c r="A506" s="1944"/>
      <c r="B506" s="1944"/>
      <c r="C506" s="416">
        <v>44019</v>
      </c>
      <c r="D506" s="1468" t="s">
        <v>7143</v>
      </c>
      <c r="E506" s="411" t="s">
        <v>58</v>
      </c>
      <c r="F506" s="411" t="s">
        <v>2684</v>
      </c>
      <c r="G506" s="412" t="s">
        <v>7144</v>
      </c>
      <c r="H506" s="411"/>
      <c r="I506" s="630"/>
      <c r="J506" s="411"/>
      <c r="K506" s="411" t="s">
        <v>1159</v>
      </c>
      <c r="L506" s="416" t="s">
        <v>7170</v>
      </c>
      <c r="M506" s="417">
        <v>3845000</v>
      </c>
      <c r="N506" s="411" t="s">
        <v>251</v>
      </c>
      <c r="O506" s="416">
        <v>44053</v>
      </c>
      <c r="P506" s="416">
        <v>44085</v>
      </c>
      <c r="Q506" s="416">
        <v>44104</v>
      </c>
      <c r="R506" s="630" t="s">
        <v>7315</v>
      </c>
      <c r="S506" s="411"/>
      <c r="T506" s="417">
        <v>3825965</v>
      </c>
      <c r="U506" s="417">
        <v>4629417.6500000004</v>
      </c>
      <c r="V506" s="1480"/>
      <c r="W506" s="1480"/>
      <c r="X506" s="1480"/>
      <c r="Y506" s="513">
        <v>44104</v>
      </c>
      <c r="Z506" s="1553" t="s">
        <v>7676</v>
      </c>
      <c r="AA506" s="416">
        <v>44133</v>
      </c>
      <c r="AB506" s="416">
        <v>44141</v>
      </c>
      <c r="AC506" s="416">
        <f>AA506+56</f>
        <v>44189</v>
      </c>
      <c r="AD506" s="416">
        <v>44245</v>
      </c>
      <c r="AE506" s="422" t="s">
        <v>1875</v>
      </c>
      <c r="AJ506" s="1944"/>
      <c r="AK506" s="1944"/>
      <c r="AL506" s="1944"/>
      <c r="AM506" s="1944"/>
      <c r="AN506" s="1944"/>
      <c r="AO506" s="1944"/>
      <c r="AP506" s="1944"/>
      <c r="AQ506" s="1944"/>
      <c r="AR506" s="1944"/>
      <c r="AS506" s="1944"/>
    </row>
    <row r="507" spans="1:45" ht="15.75" thickTop="1">
      <c r="A507" s="1944"/>
      <c r="B507" s="1944"/>
      <c r="C507" s="443">
        <v>44025</v>
      </c>
      <c r="D507" s="1415" t="s">
        <v>7146</v>
      </c>
      <c r="E507" s="439" t="s">
        <v>2434</v>
      </c>
      <c r="F507" s="439" t="s">
        <v>3204</v>
      </c>
      <c r="G507" s="440" t="s">
        <v>3510</v>
      </c>
      <c r="H507" s="439">
        <v>1</v>
      </c>
      <c r="I507" s="1431" t="s">
        <v>7147</v>
      </c>
      <c r="J507" s="439"/>
      <c r="K507" s="1888" t="s">
        <v>2951</v>
      </c>
      <c r="L507" s="439"/>
      <c r="M507" s="444">
        <v>274000</v>
      </c>
      <c r="N507" s="439" t="s">
        <v>251</v>
      </c>
      <c r="O507" s="443">
        <v>44061</v>
      </c>
      <c r="P507" s="443">
        <v>44120</v>
      </c>
      <c r="Q507" s="439"/>
      <c r="R507" s="753" t="s">
        <v>2635</v>
      </c>
      <c r="S507" s="2173" t="s">
        <v>8546</v>
      </c>
      <c r="T507" s="444"/>
      <c r="U507" s="444"/>
      <c r="V507" s="1481"/>
      <c r="W507" s="1481"/>
      <c r="X507" s="1481"/>
      <c r="Y507" s="444"/>
      <c r="Z507" s="444"/>
      <c r="AA507" s="439"/>
      <c r="AB507" s="443">
        <v>44180</v>
      </c>
      <c r="AC507" s="1431" t="s">
        <v>8063</v>
      </c>
      <c r="AD507" s="439"/>
      <c r="AE507" s="439"/>
      <c r="AJ507" s="1944"/>
      <c r="AK507" s="1944"/>
      <c r="AL507" s="1944"/>
      <c r="AM507" s="1944"/>
      <c r="AN507" s="1944"/>
      <c r="AO507" s="1944"/>
      <c r="AP507" s="1944"/>
      <c r="AQ507" s="1944"/>
      <c r="AR507" s="1944"/>
      <c r="AS507" s="1944"/>
    </row>
    <row r="508" spans="1:45" ht="45">
      <c r="A508" s="1944"/>
      <c r="B508" s="1944"/>
      <c r="C508" s="544">
        <v>44025</v>
      </c>
      <c r="D508" s="1357" t="s">
        <v>7146</v>
      </c>
      <c r="E508" s="540" t="s">
        <v>2434</v>
      </c>
      <c r="F508" s="540" t="s">
        <v>3204</v>
      </c>
      <c r="G508" s="541" t="s">
        <v>3510</v>
      </c>
      <c r="H508" s="540">
        <v>2</v>
      </c>
      <c r="I508" s="1402" t="s">
        <v>7148</v>
      </c>
      <c r="J508" s="590"/>
      <c r="K508" s="540" t="s">
        <v>2951</v>
      </c>
      <c r="L508" s="540"/>
      <c r="M508" s="545">
        <v>274000</v>
      </c>
      <c r="N508" s="540" t="s">
        <v>251</v>
      </c>
      <c r="O508" s="544">
        <v>44061</v>
      </c>
      <c r="P508" s="544">
        <v>44120</v>
      </c>
      <c r="Q508" s="544">
        <v>44179</v>
      </c>
      <c r="R508" s="1402" t="s">
        <v>7136</v>
      </c>
      <c r="S508" s="540"/>
      <c r="T508" s="545">
        <v>272250</v>
      </c>
      <c r="U508" s="545">
        <v>313087.5</v>
      </c>
      <c r="V508" s="1484"/>
      <c r="W508" s="1484"/>
      <c r="X508" s="1484"/>
      <c r="Y508" s="1385">
        <v>44180</v>
      </c>
      <c r="Z508" s="1386" t="s">
        <v>8057</v>
      </c>
      <c r="AA508" s="540"/>
      <c r="AB508" s="540"/>
      <c r="AC508" s="540"/>
      <c r="AD508" s="540"/>
      <c r="AE508" s="540"/>
      <c r="AJ508" s="1944"/>
      <c r="AK508" s="1944"/>
      <c r="AL508" s="1944"/>
      <c r="AM508" s="1944"/>
      <c r="AN508" s="1944"/>
      <c r="AO508" s="1944"/>
      <c r="AP508" s="1944"/>
      <c r="AQ508" s="1944"/>
      <c r="AR508" s="1944"/>
      <c r="AS508" s="1944"/>
    </row>
    <row r="509" spans="1:45" ht="45">
      <c r="A509" s="1944"/>
      <c r="B509" s="1944"/>
      <c r="C509" s="544">
        <v>44025</v>
      </c>
      <c r="D509" s="1357" t="s">
        <v>7146</v>
      </c>
      <c r="E509" s="540" t="s">
        <v>2434</v>
      </c>
      <c r="F509" s="540" t="s">
        <v>3204</v>
      </c>
      <c r="G509" s="541" t="s">
        <v>3510</v>
      </c>
      <c r="H509" s="540">
        <v>3</v>
      </c>
      <c r="I509" s="1402" t="s">
        <v>7149</v>
      </c>
      <c r="J509" s="590"/>
      <c r="K509" s="540" t="s">
        <v>2951</v>
      </c>
      <c r="L509" s="540"/>
      <c r="M509" s="545">
        <v>5400000</v>
      </c>
      <c r="N509" s="540" t="s">
        <v>251</v>
      </c>
      <c r="O509" s="544">
        <v>44061</v>
      </c>
      <c r="P509" s="544">
        <v>44120</v>
      </c>
      <c r="Q509" s="544">
        <v>44179</v>
      </c>
      <c r="R509" s="1402" t="s">
        <v>3191</v>
      </c>
      <c r="S509" s="540"/>
      <c r="T509" s="545">
        <v>5400000</v>
      </c>
      <c r="U509" s="545">
        <v>6210000</v>
      </c>
      <c r="V509" s="1484"/>
      <c r="W509" s="1484"/>
      <c r="X509" s="1484"/>
      <c r="Y509" s="1385">
        <v>44180</v>
      </c>
      <c r="Z509" s="1386" t="s">
        <v>8056</v>
      </c>
      <c r="AA509" s="540"/>
      <c r="AB509" s="540"/>
      <c r="AC509" s="540"/>
      <c r="AD509" s="540"/>
      <c r="AE509" s="540"/>
      <c r="AJ509" s="1944"/>
      <c r="AK509" s="1944"/>
      <c r="AL509" s="1944"/>
      <c r="AM509" s="1944"/>
      <c r="AN509" s="1944"/>
      <c r="AO509" s="1944"/>
      <c r="AP509" s="1944"/>
      <c r="AQ509" s="1944"/>
      <c r="AR509" s="1944"/>
      <c r="AS509" s="1944"/>
    </row>
    <row r="510" spans="1:45" ht="45">
      <c r="A510" s="1944"/>
      <c r="B510" s="1944"/>
      <c r="C510" s="544">
        <v>44025</v>
      </c>
      <c r="D510" s="1357" t="s">
        <v>7146</v>
      </c>
      <c r="E510" s="540" t="s">
        <v>2434</v>
      </c>
      <c r="F510" s="540" t="s">
        <v>3204</v>
      </c>
      <c r="G510" s="541" t="s">
        <v>3510</v>
      </c>
      <c r="H510" s="540">
        <v>4</v>
      </c>
      <c r="I510" s="1402" t="s">
        <v>7150</v>
      </c>
      <c r="J510" s="590"/>
      <c r="K510" s="540" t="s">
        <v>2951</v>
      </c>
      <c r="L510" s="540"/>
      <c r="M510" s="545">
        <v>964000</v>
      </c>
      <c r="N510" s="540" t="s">
        <v>251</v>
      </c>
      <c r="O510" s="544">
        <v>44061</v>
      </c>
      <c r="P510" s="544">
        <v>44120</v>
      </c>
      <c r="Q510" s="544">
        <v>44179</v>
      </c>
      <c r="R510" s="1402" t="s">
        <v>7136</v>
      </c>
      <c r="S510" s="540"/>
      <c r="T510" s="545">
        <v>565680</v>
      </c>
      <c r="U510" s="545">
        <v>650532</v>
      </c>
      <c r="V510" s="1484"/>
      <c r="W510" s="1484"/>
      <c r="X510" s="1484"/>
      <c r="Y510" s="1385">
        <v>44180</v>
      </c>
      <c r="Z510" s="1386" t="s">
        <v>8058</v>
      </c>
      <c r="AA510" s="540"/>
      <c r="AB510" s="540"/>
      <c r="AC510" s="540"/>
      <c r="AD510" s="540"/>
      <c r="AE510" s="540"/>
      <c r="AJ510" s="1944"/>
      <c r="AK510" s="1944"/>
      <c r="AL510" s="1944"/>
      <c r="AM510" s="1944"/>
      <c r="AN510" s="1944"/>
      <c r="AO510" s="1944"/>
      <c r="AP510" s="1944"/>
      <c r="AQ510" s="1944"/>
      <c r="AR510" s="1944"/>
      <c r="AS510" s="1944"/>
    </row>
    <row r="511" spans="1:45" ht="45">
      <c r="A511" s="1944"/>
      <c r="B511" s="1944"/>
      <c r="C511" s="544">
        <v>44025</v>
      </c>
      <c r="D511" s="1357" t="s">
        <v>7146</v>
      </c>
      <c r="E511" s="540" t="s">
        <v>2434</v>
      </c>
      <c r="F511" s="540" t="s">
        <v>3204</v>
      </c>
      <c r="G511" s="541" t="s">
        <v>3510</v>
      </c>
      <c r="H511" s="540">
        <v>5</v>
      </c>
      <c r="I511" s="1402" t="s">
        <v>7151</v>
      </c>
      <c r="J511" s="590"/>
      <c r="K511" s="540" t="s">
        <v>2951</v>
      </c>
      <c r="L511" s="540"/>
      <c r="M511" s="545">
        <v>995000</v>
      </c>
      <c r="N511" s="540" t="s">
        <v>251</v>
      </c>
      <c r="O511" s="544">
        <v>44061</v>
      </c>
      <c r="P511" s="544">
        <v>44120</v>
      </c>
      <c r="Q511" s="544">
        <v>44179</v>
      </c>
      <c r="R511" s="2051" t="s">
        <v>3191</v>
      </c>
      <c r="S511" s="540"/>
      <c r="T511" s="2050">
        <v>995000</v>
      </c>
      <c r="U511" s="2050">
        <v>1144250</v>
      </c>
      <c r="V511" s="1484"/>
      <c r="W511" s="1484"/>
      <c r="X511" s="1484"/>
      <c r="Y511" s="1385">
        <v>44180</v>
      </c>
      <c r="Z511" s="1386" t="s">
        <v>8059</v>
      </c>
      <c r="AA511" s="540"/>
      <c r="AB511" s="540"/>
      <c r="AC511" s="1402" t="s">
        <v>7984</v>
      </c>
      <c r="AD511" s="540"/>
      <c r="AE511" s="540"/>
      <c r="AJ511" s="1944"/>
      <c r="AK511" s="1944"/>
      <c r="AL511" s="1944"/>
      <c r="AM511" s="1944"/>
      <c r="AN511" s="1944"/>
      <c r="AO511" s="1944"/>
      <c r="AP511" s="1944"/>
      <c r="AQ511" s="1944"/>
      <c r="AR511" s="1944"/>
      <c r="AS511" s="1944"/>
    </row>
    <row r="512" spans="1:45" ht="45">
      <c r="A512" s="1944"/>
      <c r="B512" s="1944"/>
      <c r="C512" s="544">
        <v>44025</v>
      </c>
      <c r="D512" s="1357" t="s">
        <v>7146</v>
      </c>
      <c r="E512" s="540" t="s">
        <v>2434</v>
      </c>
      <c r="F512" s="540" t="s">
        <v>3204</v>
      </c>
      <c r="G512" s="541" t="s">
        <v>3510</v>
      </c>
      <c r="H512" s="540">
        <v>6</v>
      </c>
      <c r="I512" s="1402" t="s">
        <v>7152</v>
      </c>
      <c r="J512" s="590"/>
      <c r="K512" s="540" t="s">
        <v>2951</v>
      </c>
      <c r="L512" s="540"/>
      <c r="M512" s="545">
        <v>2820000</v>
      </c>
      <c r="N512" s="540" t="s">
        <v>251</v>
      </c>
      <c r="O512" s="544">
        <v>44061</v>
      </c>
      <c r="P512" s="544">
        <v>44120</v>
      </c>
      <c r="Q512" s="544">
        <v>44179</v>
      </c>
      <c r="R512" s="1402" t="s">
        <v>3191</v>
      </c>
      <c r="S512" s="540"/>
      <c r="T512" s="545">
        <v>2820000</v>
      </c>
      <c r="U512" s="545">
        <v>3243000</v>
      </c>
      <c r="V512" s="1484"/>
      <c r="W512" s="1484"/>
      <c r="X512" s="1484"/>
      <c r="Y512" s="1385">
        <v>44180</v>
      </c>
      <c r="Z512" s="1386" t="s">
        <v>8060</v>
      </c>
      <c r="AA512" s="540"/>
      <c r="AB512" s="540"/>
      <c r="AC512" s="540"/>
      <c r="AD512" s="540"/>
      <c r="AE512" s="540"/>
      <c r="AJ512" s="1944"/>
      <c r="AK512" s="1944"/>
      <c r="AL512" s="1944"/>
      <c r="AM512" s="1944"/>
      <c r="AN512" s="1944"/>
      <c r="AO512" s="1944"/>
      <c r="AP512" s="1944"/>
      <c r="AQ512" s="1944"/>
      <c r="AR512" s="1944"/>
      <c r="AS512" s="1944"/>
    </row>
    <row r="513" spans="1:45" ht="45">
      <c r="A513" s="1944"/>
      <c r="B513" s="1944"/>
      <c r="C513" s="544">
        <v>44025</v>
      </c>
      <c r="D513" s="1357" t="s">
        <v>7146</v>
      </c>
      <c r="E513" s="540" t="s">
        <v>2434</v>
      </c>
      <c r="F513" s="540" t="s">
        <v>3204</v>
      </c>
      <c r="G513" s="541" t="s">
        <v>3510</v>
      </c>
      <c r="H513" s="540">
        <v>7</v>
      </c>
      <c r="I513" s="1402" t="s">
        <v>7153</v>
      </c>
      <c r="J513" s="590"/>
      <c r="K513" s="540" t="s">
        <v>2951</v>
      </c>
      <c r="L513" s="540"/>
      <c r="M513" s="545">
        <v>1365043</v>
      </c>
      <c r="N513" s="540" t="s">
        <v>251</v>
      </c>
      <c r="O513" s="544">
        <v>44061</v>
      </c>
      <c r="P513" s="544">
        <v>44120</v>
      </c>
      <c r="Q513" s="544">
        <v>44179</v>
      </c>
      <c r="R513" s="1402" t="s">
        <v>3191</v>
      </c>
      <c r="S513" s="540"/>
      <c r="T513" s="545">
        <v>1365000</v>
      </c>
      <c r="U513" s="545">
        <v>1569750</v>
      </c>
      <c r="V513" s="1484"/>
      <c r="W513" s="1484"/>
      <c r="X513" s="1484"/>
      <c r="Y513" s="1385">
        <v>44180</v>
      </c>
      <c r="Z513" s="1386" t="s">
        <v>8061</v>
      </c>
      <c r="AA513" s="540"/>
      <c r="AB513" s="540"/>
      <c r="AC513" s="540"/>
      <c r="AD513" s="540"/>
      <c r="AE513" s="540"/>
      <c r="AJ513" s="1944"/>
      <c r="AK513" s="1944"/>
      <c r="AL513" s="1944"/>
      <c r="AM513" s="1944"/>
      <c r="AN513" s="1944"/>
      <c r="AO513" s="1944"/>
      <c r="AP513" s="1944"/>
      <c r="AQ513" s="1944"/>
      <c r="AR513" s="1944"/>
      <c r="AS513" s="1944"/>
    </row>
    <row r="514" spans="1:45" ht="45">
      <c r="A514" s="1944"/>
      <c r="B514" s="1944"/>
      <c r="C514" s="544">
        <v>44025</v>
      </c>
      <c r="D514" s="1357" t="s">
        <v>7146</v>
      </c>
      <c r="E514" s="540" t="s">
        <v>2434</v>
      </c>
      <c r="F514" s="540" t="s">
        <v>3204</v>
      </c>
      <c r="G514" s="541" t="s">
        <v>3510</v>
      </c>
      <c r="H514" s="540">
        <v>8</v>
      </c>
      <c r="I514" s="1402" t="s">
        <v>7154</v>
      </c>
      <c r="J514" s="590"/>
      <c r="K514" s="540" t="s">
        <v>2951</v>
      </c>
      <c r="L514" s="540"/>
      <c r="M514" s="545">
        <v>7630000</v>
      </c>
      <c r="N514" s="540" t="s">
        <v>251</v>
      </c>
      <c r="O514" s="544">
        <v>44061</v>
      </c>
      <c r="P514" s="544">
        <v>44120</v>
      </c>
      <c r="Q514" s="544">
        <v>44179</v>
      </c>
      <c r="R514" s="1402" t="s">
        <v>3191</v>
      </c>
      <c r="S514" s="540"/>
      <c r="T514" s="545">
        <v>7630000</v>
      </c>
      <c r="U514" s="545">
        <v>8774500</v>
      </c>
      <c r="V514" s="1484"/>
      <c r="W514" s="1484"/>
      <c r="X514" s="1484"/>
      <c r="Y514" s="1385">
        <v>44180</v>
      </c>
      <c r="Z514" s="1386" t="s">
        <v>8062</v>
      </c>
      <c r="AA514" s="540"/>
      <c r="AB514" s="540"/>
      <c r="AC514" s="540"/>
      <c r="AD514" s="540"/>
      <c r="AE514" s="540"/>
      <c r="AJ514" s="1944"/>
      <c r="AK514" s="1944"/>
      <c r="AL514" s="1944"/>
      <c r="AM514" s="1944"/>
      <c r="AN514" s="1944"/>
      <c r="AO514" s="1944"/>
      <c r="AP514" s="1944"/>
      <c r="AQ514" s="1944"/>
      <c r="AR514" s="1944"/>
      <c r="AS514" s="1944"/>
    </row>
    <row r="515" spans="1:45" ht="45">
      <c r="A515" s="1944"/>
      <c r="B515" s="1944"/>
      <c r="C515" s="544">
        <v>44025</v>
      </c>
      <c r="D515" s="1357" t="s">
        <v>7146</v>
      </c>
      <c r="E515" s="540" t="s">
        <v>2434</v>
      </c>
      <c r="F515" s="540" t="s">
        <v>3204</v>
      </c>
      <c r="G515" s="541" t="s">
        <v>3510</v>
      </c>
      <c r="H515" s="540">
        <v>9</v>
      </c>
      <c r="I515" s="1402" t="s">
        <v>7155</v>
      </c>
      <c r="J515" s="590"/>
      <c r="K515" s="540" t="s">
        <v>2951</v>
      </c>
      <c r="L515" s="540"/>
      <c r="M515" s="545">
        <v>1800000</v>
      </c>
      <c r="N515" s="540" t="s">
        <v>251</v>
      </c>
      <c r="O515" s="544">
        <v>44061</v>
      </c>
      <c r="P515" s="544">
        <v>44120</v>
      </c>
      <c r="Q515" s="544">
        <v>44179</v>
      </c>
      <c r="R515" s="1402" t="s">
        <v>3191</v>
      </c>
      <c r="S515" s="540"/>
      <c r="T515" s="545">
        <v>1720000</v>
      </c>
      <c r="U515" s="545">
        <v>1978000</v>
      </c>
      <c r="V515" s="1484"/>
      <c r="W515" s="1484"/>
      <c r="X515" s="1484"/>
      <c r="Y515" s="1385">
        <v>44180</v>
      </c>
      <c r="Z515" s="1386" t="s">
        <v>8064</v>
      </c>
      <c r="AA515" s="540"/>
      <c r="AB515" s="540"/>
      <c r="AC515" s="540"/>
      <c r="AD515" s="540"/>
      <c r="AE515" s="540"/>
      <c r="AJ515" s="1944"/>
      <c r="AK515" s="1944"/>
      <c r="AL515" s="1944"/>
      <c r="AM515" s="1944"/>
      <c r="AN515" s="1944"/>
      <c r="AO515" s="1944"/>
      <c r="AP515" s="1944"/>
      <c r="AQ515" s="1944"/>
      <c r="AR515" s="1944"/>
      <c r="AS515" s="1944"/>
    </row>
    <row r="516" spans="1:45" ht="45">
      <c r="A516" s="1944"/>
      <c r="B516" s="1944"/>
      <c r="C516" s="544">
        <v>44025</v>
      </c>
      <c r="D516" s="1357" t="s">
        <v>7146</v>
      </c>
      <c r="E516" s="540" t="s">
        <v>2434</v>
      </c>
      <c r="F516" s="540" t="s">
        <v>3204</v>
      </c>
      <c r="G516" s="541" t="s">
        <v>3510</v>
      </c>
      <c r="H516" s="540">
        <v>10</v>
      </c>
      <c r="I516" s="1402" t="s">
        <v>7156</v>
      </c>
      <c r="J516" s="590"/>
      <c r="K516" s="540" t="s">
        <v>2951</v>
      </c>
      <c r="L516" s="540"/>
      <c r="M516" s="545">
        <v>3460000</v>
      </c>
      <c r="N516" s="540" t="s">
        <v>251</v>
      </c>
      <c r="O516" s="544">
        <v>44061</v>
      </c>
      <c r="P516" s="544">
        <v>44120</v>
      </c>
      <c r="Q516" s="544">
        <v>44179</v>
      </c>
      <c r="R516" s="1402" t="s">
        <v>7136</v>
      </c>
      <c r="S516" s="540"/>
      <c r="T516" s="545">
        <v>2900000</v>
      </c>
      <c r="U516" s="545">
        <v>3335000</v>
      </c>
      <c r="V516" s="1484"/>
      <c r="W516" s="1484"/>
      <c r="X516" s="1484"/>
      <c r="Y516" s="1385">
        <v>44181</v>
      </c>
      <c r="Z516" s="1386" t="s">
        <v>8065</v>
      </c>
      <c r="AA516" s="540"/>
      <c r="AB516" s="540"/>
      <c r="AC516" s="540"/>
      <c r="AD516" s="540"/>
      <c r="AE516" s="540"/>
      <c r="AJ516" s="1944"/>
      <c r="AK516" s="1944"/>
      <c r="AL516" s="1944"/>
      <c r="AM516" s="1944"/>
      <c r="AN516" s="1944"/>
      <c r="AO516" s="1944"/>
      <c r="AP516" s="1944"/>
      <c r="AQ516" s="1944"/>
      <c r="AR516" s="1944"/>
      <c r="AS516" s="1944"/>
    </row>
    <row r="517" spans="1:45" ht="45">
      <c r="A517" s="1944"/>
      <c r="B517" s="1944"/>
      <c r="C517" s="544">
        <v>44025</v>
      </c>
      <c r="D517" s="1357" t="s">
        <v>7146</v>
      </c>
      <c r="E517" s="540" t="s">
        <v>2434</v>
      </c>
      <c r="F517" s="540" t="s">
        <v>3204</v>
      </c>
      <c r="G517" s="541" t="s">
        <v>3510</v>
      </c>
      <c r="H517" s="540">
        <v>11</v>
      </c>
      <c r="I517" s="1402" t="s">
        <v>7157</v>
      </c>
      <c r="J517" s="590"/>
      <c r="K517" s="540" t="s">
        <v>2951</v>
      </c>
      <c r="L517" s="540"/>
      <c r="M517" s="545">
        <v>2778000</v>
      </c>
      <c r="N517" s="540" t="s">
        <v>251</v>
      </c>
      <c r="O517" s="544">
        <v>44061</v>
      </c>
      <c r="P517" s="544">
        <v>44120</v>
      </c>
      <c r="Q517" s="544">
        <v>44179</v>
      </c>
      <c r="R517" s="1402" t="s">
        <v>3191</v>
      </c>
      <c r="S517" s="540"/>
      <c r="T517" s="545">
        <v>2640000</v>
      </c>
      <c r="U517" s="545">
        <v>3036000</v>
      </c>
      <c r="V517" s="1484"/>
      <c r="W517" s="1484"/>
      <c r="X517" s="1484"/>
      <c r="Y517" s="1385">
        <v>44181</v>
      </c>
      <c r="Z517" s="1386" t="s">
        <v>8066</v>
      </c>
      <c r="AA517" s="540"/>
      <c r="AB517" s="540"/>
      <c r="AC517" s="540"/>
      <c r="AD517" s="540"/>
      <c r="AE517" s="540"/>
      <c r="AJ517" s="1944"/>
      <c r="AK517" s="1944"/>
      <c r="AL517" s="1944"/>
      <c r="AM517" s="1944"/>
      <c r="AN517" s="1944"/>
      <c r="AO517" s="1944"/>
      <c r="AP517" s="1944"/>
      <c r="AQ517" s="1944"/>
      <c r="AR517" s="1944"/>
      <c r="AS517" s="1944"/>
    </row>
    <row r="518" spans="1:45" ht="45">
      <c r="A518" s="1944"/>
      <c r="B518" s="1944"/>
      <c r="C518" s="544">
        <v>44025</v>
      </c>
      <c r="D518" s="1357" t="s">
        <v>7146</v>
      </c>
      <c r="E518" s="540" t="s">
        <v>2434</v>
      </c>
      <c r="F518" s="540" t="s">
        <v>3204</v>
      </c>
      <c r="G518" s="541" t="s">
        <v>3510</v>
      </c>
      <c r="H518" s="540">
        <v>12</v>
      </c>
      <c r="I518" s="1402" t="s">
        <v>7158</v>
      </c>
      <c r="J518" s="590"/>
      <c r="K518" s="540" t="s">
        <v>2951</v>
      </c>
      <c r="L518" s="540"/>
      <c r="M518" s="545">
        <v>2260000</v>
      </c>
      <c r="N518" s="540" t="s">
        <v>251</v>
      </c>
      <c r="O518" s="544">
        <v>44061</v>
      </c>
      <c r="P518" s="544">
        <v>44120</v>
      </c>
      <c r="Q518" s="544">
        <v>44179</v>
      </c>
      <c r="R518" s="1402" t="s">
        <v>7136</v>
      </c>
      <c r="S518" s="540"/>
      <c r="T518" s="545">
        <v>2260000</v>
      </c>
      <c r="U518" s="545">
        <v>2651800</v>
      </c>
      <c r="V518" s="1484"/>
      <c r="W518" s="1484"/>
      <c r="X518" s="1484"/>
      <c r="Y518" s="1385">
        <v>44181</v>
      </c>
      <c r="Z518" s="1386" t="s">
        <v>8067</v>
      </c>
      <c r="AA518" s="540"/>
      <c r="AB518" s="540"/>
      <c r="AC518" s="540"/>
      <c r="AD518" s="540"/>
      <c r="AE518" s="540"/>
      <c r="AJ518" s="1944"/>
      <c r="AK518" s="1944"/>
      <c r="AL518" s="1944"/>
      <c r="AM518" s="1944"/>
      <c r="AN518" s="1944"/>
      <c r="AO518" s="1944"/>
      <c r="AP518" s="1944"/>
      <c r="AQ518" s="1944"/>
      <c r="AR518" s="1944"/>
      <c r="AS518" s="1944"/>
    </row>
    <row r="519" spans="1:45" ht="45.75" thickBot="1">
      <c r="A519" s="1944"/>
      <c r="B519" s="1944"/>
      <c r="C519" s="1363">
        <v>44025</v>
      </c>
      <c r="D519" s="1360" t="s">
        <v>7146</v>
      </c>
      <c r="E519" s="1355" t="s">
        <v>2434</v>
      </c>
      <c r="F519" s="1355" t="s">
        <v>3204</v>
      </c>
      <c r="G519" s="1361" t="s">
        <v>3510</v>
      </c>
      <c r="H519" s="1355">
        <v>13</v>
      </c>
      <c r="I519" s="1419" t="s">
        <v>7159</v>
      </c>
      <c r="J519" s="1356"/>
      <c r="K519" s="1355" t="s">
        <v>2951</v>
      </c>
      <c r="L519" s="1355"/>
      <c r="M519" s="1362">
        <v>2070000</v>
      </c>
      <c r="N519" s="1355" t="s">
        <v>251</v>
      </c>
      <c r="O519" s="1363">
        <v>44061</v>
      </c>
      <c r="P519" s="1363">
        <v>44120</v>
      </c>
      <c r="Q519" s="1363">
        <v>44179</v>
      </c>
      <c r="R519" s="1419" t="s">
        <v>7945</v>
      </c>
      <c r="S519" s="1355"/>
      <c r="T519" s="1362">
        <v>2070000</v>
      </c>
      <c r="U519" s="1362">
        <v>2380500</v>
      </c>
      <c r="V519" s="1485"/>
      <c r="W519" s="1485"/>
      <c r="X519" s="1485"/>
      <c r="Y519" s="1512">
        <v>44181</v>
      </c>
      <c r="Z519" s="2032" t="s">
        <v>8068</v>
      </c>
      <c r="AA519" s="1355"/>
      <c r="AB519" s="1355"/>
      <c r="AC519" s="1355"/>
      <c r="AD519" s="1355"/>
      <c r="AE519" s="1355"/>
      <c r="AJ519" s="1944"/>
      <c r="AK519" s="1944"/>
      <c r="AL519" s="1944"/>
      <c r="AM519" s="1944"/>
      <c r="AN519" s="1944"/>
      <c r="AO519" s="1944"/>
      <c r="AP519" s="1944"/>
      <c r="AQ519" s="1944"/>
      <c r="AR519" s="1944"/>
      <c r="AS519" s="1944"/>
    </row>
    <row r="520" spans="1:45" ht="30.75" thickTop="1">
      <c r="A520" s="1944"/>
      <c r="B520" s="1944"/>
      <c r="C520" s="365">
        <v>44019</v>
      </c>
      <c r="D520" s="1397" t="s">
        <v>7166</v>
      </c>
      <c r="E520" s="3210" t="s">
        <v>58</v>
      </c>
      <c r="F520" s="3210" t="s">
        <v>2684</v>
      </c>
      <c r="G520" s="175" t="s">
        <v>7167</v>
      </c>
      <c r="H520" s="3210"/>
      <c r="I520" s="3211"/>
      <c r="J520" s="3210"/>
      <c r="K520" s="3210" t="s">
        <v>7168</v>
      </c>
      <c r="L520" s="365" t="s">
        <v>7169</v>
      </c>
      <c r="M520" s="364">
        <v>431000</v>
      </c>
      <c r="N520" s="3210" t="s">
        <v>112</v>
      </c>
      <c r="O520" s="365">
        <v>44036</v>
      </c>
      <c r="P520" s="365">
        <v>44049</v>
      </c>
      <c r="Q520" s="365">
        <v>44084</v>
      </c>
      <c r="R520" s="3211" t="s">
        <v>7540</v>
      </c>
      <c r="S520" s="3210"/>
      <c r="T520" s="364">
        <v>431200</v>
      </c>
      <c r="U520" s="364">
        <v>521752</v>
      </c>
      <c r="V520" s="1473"/>
      <c r="W520" s="1473"/>
      <c r="X520" s="1473"/>
      <c r="Y520" s="681">
        <v>44084</v>
      </c>
      <c r="Z520" s="1417" t="s">
        <v>7562</v>
      </c>
      <c r="AA520" s="365">
        <v>44113</v>
      </c>
      <c r="AB520" s="365">
        <v>44116</v>
      </c>
      <c r="AC520" s="365">
        <f>AA520+56</f>
        <v>44169</v>
      </c>
      <c r="AD520" s="365">
        <v>44193</v>
      </c>
      <c r="AE520" s="451" t="s">
        <v>1875</v>
      </c>
      <c r="AJ520" s="1944"/>
      <c r="AK520" s="1944"/>
      <c r="AL520" s="1944"/>
      <c r="AM520" s="1944"/>
      <c r="AN520" s="1944"/>
      <c r="AO520" s="1944"/>
      <c r="AP520" s="1944"/>
      <c r="AQ520" s="1944"/>
      <c r="AR520" s="1944"/>
      <c r="AS520" s="1944"/>
    </row>
    <row r="521" spans="1:45" ht="30">
      <c r="A521" s="1944"/>
      <c r="B521" s="1944"/>
      <c r="C521" s="537">
        <v>44019</v>
      </c>
      <c r="D521" s="1373" t="s">
        <v>7184</v>
      </c>
      <c r="E521" s="491" t="s">
        <v>58</v>
      </c>
      <c r="F521" s="491" t="s">
        <v>2684</v>
      </c>
      <c r="G521" s="571" t="s">
        <v>7185</v>
      </c>
      <c r="H521" s="491"/>
      <c r="I521" s="495"/>
      <c r="J521" s="491"/>
      <c r="K521" s="491" t="s">
        <v>2144</v>
      </c>
      <c r="L521" s="491" t="s">
        <v>7186</v>
      </c>
      <c r="M521" s="536">
        <v>2294481</v>
      </c>
      <c r="N521" s="491" t="s">
        <v>216</v>
      </c>
      <c r="O521" s="537">
        <v>44036</v>
      </c>
      <c r="P521" s="537">
        <v>44055</v>
      </c>
      <c r="Q521" s="537">
        <v>44069</v>
      </c>
      <c r="R521" s="495" t="s">
        <v>2780</v>
      </c>
      <c r="S521" s="491"/>
      <c r="T521" s="536">
        <v>2294351</v>
      </c>
      <c r="U521" s="536">
        <v>2776164.71</v>
      </c>
      <c r="V521" s="1471"/>
      <c r="W521" s="1471"/>
      <c r="X521" s="1471"/>
      <c r="Y521" s="573">
        <v>44069</v>
      </c>
      <c r="Z521" s="1375" t="s">
        <v>7454</v>
      </c>
      <c r="AA521" s="537">
        <v>44091</v>
      </c>
      <c r="AB521" s="537">
        <v>44095</v>
      </c>
      <c r="AC521" s="537">
        <f>AA521+56</f>
        <v>44147</v>
      </c>
      <c r="AD521" s="537">
        <v>44193</v>
      </c>
      <c r="AE521" s="1374" t="s">
        <v>1875</v>
      </c>
      <c r="AJ521" s="1944"/>
      <c r="AK521" s="1944"/>
      <c r="AL521" s="1944"/>
      <c r="AM521" s="1944"/>
      <c r="AN521" s="1944"/>
      <c r="AO521" s="1944"/>
      <c r="AP521" s="1944"/>
      <c r="AQ521" s="1944"/>
      <c r="AR521" s="1944"/>
      <c r="AS521" s="1944"/>
    </row>
    <row r="522" spans="1:45">
      <c r="A522" s="1944"/>
      <c r="B522" s="1944"/>
      <c r="C522" s="537">
        <v>44029</v>
      </c>
      <c r="D522" s="1373" t="s">
        <v>7192</v>
      </c>
      <c r="E522" s="491" t="s">
        <v>2111</v>
      </c>
      <c r="F522" s="491" t="s">
        <v>4440</v>
      </c>
      <c r="G522" s="571" t="s">
        <v>7193</v>
      </c>
      <c r="H522" s="491"/>
      <c r="I522" s="495"/>
      <c r="J522" s="491"/>
      <c r="K522" s="491" t="s">
        <v>2113</v>
      </c>
      <c r="L522" s="491"/>
      <c r="M522" s="536">
        <v>490000</v>
      </c>
      <c r="N522" s="491" t="s">
        <v>112</v>
      </c>
      <c r="O522" s="537">
        <v>44039</v>
      </c>
      <c r="P522" s="537">
        <v>44048</v>
      </c>
      <c r="Q522" s="537">
        <v>44050</v>
      </c>
      <c r="R522" s="495" t="s">
        <v>7302</v>
      </c>
      <c r="S522" s="491"/>
      <c r="T522" s="536">
        <v>439164</v>
      </c>
      <c r="U522" s="536">
        <f>T522*1.21</f>
        <v>531388.43999999994</v>
      </c>
      <c r="V522" s="1471"/>
      <c r="W522" s="1471"/>
      <c r="X522" s="1471"/>
      <c r="Y522" s="573">
        <v>44050</v>
      </c>
      <c r="Z522" s="536" t="s">
        <v>7303</v>
      </c>
      <c r="AA522" s="537">
        <v>44078</v>
      </c>
      <c r="AB522" s="537">
        <v>44082</v>
      </c>
      <c r="AC522" s="537">
        <f>AA522+84</f>
        <v>44162</v>
      </c>
      <c r="AD522" s="537">
        <v>44179</v>
      </c>
      <c r="AE522" s="1102"/>
      <c r="AJ522" s="1944"/>
      <c r="AK522" s="1944"/>
      <c r="AL522" s="1944"/>
      <c r="AM522" s="1944"/>
      <c r="AN522" s="1944"/>
      <c r="AO522" s="1944"/>
      <c r="AP522" s="1944"/>
      <c r="AQ522" s="1944"/>
      <c r="AR522" s="1944"/>
      <c r="AS522" s="1944"/>
    </row>
    <row r="523" spans="1:45">
      <c r="A523" s="1944"/>
      <c r="B523" s="1944"/>
      <c r="C523" s="491" t="s">
        <v>3585</v>
      </c>
      <c r="D523" s="1373" t="s">
        <v>7194</v>
      </c>
      <c r="E523" s="491" t="s">
        <v>2434</v>
      </c>
      <c r="F523" s="491" t="s">
        <v>219</v>
      </c>
      <c r="G523" s="571" t="s">
        <v>7195</v>
      </c>
      <c r="H523" s="491"/>
      <c r="I523" s="495"/>
      <c r="J523" s="491"/>
      <c r="K523" s="491" t="s">
        <v>642</v>
      </c>
      <c r="L523" s="491"/>
      <c r="M523" s="536">
        <v>2160160</v>
      </c>
      <c r="N523" s="491" t="s">
        <v>216</v>
      </c>
      <c r="O523" s="537">
        <v>44046</v>
      </c>
      <c r="P523" s="537">
        <v>44062</v>
      </c>
      <c r="Q523" s="537">
        <v>44085</v>
      </c>
      <c r="R523" s="495" t="s">
        <v>459</v>
      </c>
      <c r="S523" s="491"/>
      <c r="T523" s="536">
        <v>2166400</v>
      </c>
      <c r="U523" s="536">
        <v>2621344</v>
      </c>
      <c r="V523" s="1471"/>
      <c r="W523" s="1471"/>
      <c r="X523" s="1471"/>
      <c r="Y523" s="573">
        <v>44085</v>
      </c>
      <c r="Z523" s="536" t="s">
        <v>7577</v>
      </c>
      <c r="AA523" s="537">
        <v>44146</v>
      </c>
      <c r="AB523" s="537">
        <v>44154</v>
      </c>
      <c r="AC523" s="491" t="s">
        <v>4096</v>
      </c>
      <c r="AD523" s="491" t="s">
        <v>8483</v>
      </c>
      <c r="AE523" s="537">
        <v>44641</v>
      </c>
      <c r="AF523" s="388">
        <v>2022</v>
      </c>
      <c r="AG523" s="388">
        <v>2023</v>
      </c>
      <c r="AH523" s="388" t="s">
        <v>4435</v>
      </c>
      <c r="AJ523" s="1944"/>
      <c r="AK523" s="1944"/>
      <c r="AL523" s="1944"/>
      <c r="AM523" s="1944"/>
      <c r="AN523" s="1944"/>
      <c r="AO523" s="1944"/>
      <c r="AP523" s="1944"/>
      <c r="AQ523" s="1944"/>
      <c r="AR523" s="1944"/>
      <c r="AS523" s="1944"/>
    </row>
    <row r="524" spans="1:45">
      <c r="A524" s="1944"/>
      <c r="B524" s="1944"/>
      <c r="C524" s="537">
        <v>44034</v>
      </c>
      <c r="D524" s="1373" t="s">
        <v>7203</v>
      </c>
      <c r="E524" s="491" t="s">
        <v>14</v>
      </c>
      <c r="F524" s="491" t="s">
        <v>13</v>
      </c>
      <c r="G524" s="571" t="s">
        <v>7204</v>
      </c>
      <c r="H524" s="491"/>
      <c r="I524" s="495"/>
      <c r="J524" s="491"/>
      <c r="K524" s="491" t="s">
        <v>2055</v>
      </c>
      <c r="L524" s="491"/>
      <c r="M524" s="536">
        <v>740000</v>
      </c>
      <c r="N524" s="491" t="s">
        <v>112</v>
      </c>
      <c r="O524" s="537">
        <v>44047</v>
      </c>
      <c r="P524" s="537">
        <v>44056</v>
      </c>
      <c r="Q524" s="537">
        <v>44062</v>
      </c>
      <c r="R524" s="495" t="s">
        <v>7355</v>
      </c>
      <c r="S524" s="491"/>
      <c r="T524" s="536">
        <v>599141.86</v>
      </c>
      <c r="U524" s="536">
        <v>724961.65</v>
      </c>
      <c r="V524" s="1471"/>
      <c r="W524" s="1471"/>
      <c r="X524" s="1471"/>
      <c r="Y524" s="573">
        <v>44062</v>
      </c>
      <c r="Z524" s="536" t="s">
        <v>7376</v>
      </c>
      <c r="AA524" s="537">
        <v>44074</v>
      </c>
      <c r="AB524" s="537">
        <v>44075</v>
      </c>
      <c r="AC524" s="491" t="s">
        <v>4096</v>
      </c>
      <c r="AD524" s="537">
        <v>44175</v>
      </c>
      <c r="AE524" s="1525">
        <v>44630</v>
      </c>
      <c r="AJ524" s="1944"/>
      <c r="AK524" s="1944"/>
      <c r="AL524" s="1944"/>
      <c r="AM524" s="1944"/>
      <c r="AN524" s="1944"/>
      <c r="AO524" s="1944"/>
      <c r="AP524" s="1944"/>
      <c r="AQ524" s="1944"/>
      <c r="AR524" s="1944"/>
      <c r="AS524" s="1944"/>
    </row>
    <row r="525" spans="1:45">
      <c r="A525" s="1944"/>
      <c r="B525" s="1944"/>
      <c r="C525" s="537">
        <v>44035</v>
      </c>
      <c r="D525" s="1373" t="s">
        <v>7208</v>
      </c>
      <c r="E525" s="491" t="s">
        <v>1032</v>
      </c>
      <c r="F525" s="491" t="s">
        <v>1033</v>
      </c>
      <c r="G525" s="571" t="s">
        <v>7209</v>
      </c>
      <c r="H525" s="491"/>
      <c r="I525" s="495"/>
      <c r="J525" s="491"/>
      <c r="K525" s="491" t="s">
        <v>3343</v>
      </c>
      <c r="L525" s="491"/>
      <c r="M525" s="536">
        <v>510000</v>
      </c>
      <c r="N525" s="491" t="s">
        <v>112</v>
      </c>
      <c r="O525" s="537">
        <v>44040</v>
      </c>
      <c r="P525" s="537">
        <v>44054</v>
      </c>
      <c r="Q525" s="537">
        <v>44060</v>
      </c>
      <c r="R525" s="495" t="s">
        <v>3377</v>
      </c>
      <c r="S525" s="491"/>
      <c r="T525" s="536">
        <v>499925</v>
      </c>
      <c r="U525" s="536">
        <v>604909.25</v>
      </c>
      <c r="V525" s="1471"/>
      <c r="W525" s="1471"/>
      <c r="X525" s="1471"/>
      <c r="Y525" s="573">
        <v>44060</v>
      </c>
      <c r="Z525" s="536" t="s">
        <v>7354</v>
      </c>
      <c r="AA525" s="537">
        <v>44077</v>
      </c>
      <c r="AB525" s="537">
        <v>44078</v>
      </c>
      <c r="AC525" s="537">
        <f>AA525+42</f>
        <v>44119</v>
      </c>
      <c r="AD525" s="537">
        <v>44165</v>
      </c>
      <c r="AE525" s="1102"/>
      <c r="AJ525" s="1944"/>
      <c r="AK525" s="1944"/>
      <c r="AL525" s="1944"/>
      <c r="AM525" s="1944"/>
      <c r="AN525" s="1944"/>
      <c r="AO525" s="1944"/>
      <c r="AP525" s="1944"/>
      <c r="AQ525" s="1944"/>
      <c r="AR525" s="1944"/>
      <c r="AS525" s="1944"/>
    </row>
    <row r="526" spans="1:45">
      <c r="A526" s="1944"/>
      <c r="B526" s="1944"/>
      <c r="C526" s="537">
        <v>44040</v>
      </c>
      <c r="D526" s="1373" t="s">
        <v>7212</v>
      </c>
      <c r="E526" s="491" t="s">
        <v>14</v>
      </c>
      <c r="F526" s="491" t="s">
        <v>13</v>
      </c>
      <c r="G526" s="571" t="s">
        <v>7213</v>
      </c>
      <c r="H526" s="491"/>
      <c r="I526" s="495"/>
      <c r="J526" s="491"/>
      <c r="K526" s="491" t="s">
        <v>29</v>
      </c>
      <c r="L526" s="491" t="s">
        <v>7220</v>
      </c>
      <c r="M526" s="536">
        <v>478500</v>
      </c>
      <c r="N526" s="491" t="s">
        <v>112</v>
      </c>
      <c r="O526" s="537">
        <v>44053</v>
      </c>
      <c r="P526" s="537">
        <v>44067</v>
      </c>
      <c r="Q526" s="537">
        <v>44070</v>
      </c>
      <c r="R526" s="495" t="s">
        <v>7439</v>
      </c>
      <c r="S526" s="491"/>
      <c r="T526" s="536">
        <v>536800</v>
      </c>
      <c r="U526" s="536">
        <v>649528</v>
      </c>
      <c r="V526" s="1471"/>
      <c r="W526" s="1471"/>
      <c r="X526" s="1471"/>
      <c r="Y526" s="573">
        <v>44070</v>
      </c>
      <c r="Z526" s="536" t="s">
        <v>7459</v>
      </c>
      <c r="AA526" s="537">
        <v>44084</v>
      </c>
      <c r="AB526" s="537">
        <v>44085</v>
      </c>
      <c r="AC526" s="537">
        <v>44448</v>
      </c>
      <c r="AD526" s="537">
        <v>44643</v>
      </c>
      <c r="AE526" s="1102"/>
      <c r="AJ526" s="1944"/>
      <c r="AK526" s="1944"/>
      <c r="AL526" s="1944"/>
      <c r="AM526" s="1944"/>
      <c r="AN526" s="1944"/>
      <c r="AO526" s="1944"/>
      <c r="AP526" s="1944"/>
      <c r="AQ526" s="1944"/>
      <c r="AR526" s="1944"/>
      <c r="AS526" s="1944"/>
    </row>
    <row r="527" spans="1:45">
      <c r="A527" s="1944"/>
      <c r="B527" s="1944"/>
      <c r="C527" s="537">
        <v>44041</v>
      </c>
      <c r="D527" s="1373" t="s">
        <v>7214</v>
      </c>
      <c r="E527" s="491" t="s">
        <v>52</v>
      </c>
      <c r="F527" s="491" t="s">
        <v>3089</v>
      </c>
      <c r="G527" s="571" t="s">
        <v>7215</v>
      </c>
      <c r="H527" s="491"/>
      <c r="I527" s="495"/>
      <c r="J527" s="491"/>
      <c r="K527" s="491" t="s">
        <v>1676</v>
      </c>
      <c r="L527" s="491"/>
      <c r="M527" s="536">
        <v>2710341</v>
      </c>
      <c r="N527" s="491" t="s">
        <v>112</v>
      </c>
      <c r="O527" s="537">
        <v>44043</v>
      </c>
      <c r="P527" s="537">
        <v>44053</v>
      </c>
      <c r="Q527" s="537">
        <v>44062</v>
      </c>
      <c r="R527" s="495" t="s">
        <v>2626</v>
      </c>
      <c r="S527" s="491"/>
      <c r="T527" s="536">
        <v>2285427.7799999998</v>
      </c>
      <c r="U527" s="536">
        <v>2765367.61</v>
      </c>
      <c r="V527" s="1471"/>
      <c r="W527" s="1471"/>
      <c r="X527" s="1471"/>
      <c r="Y527" s="573">
        <v>44062</v>
      </c>
      <c r="Z527" s="536" t="s">
        <v>7380</v>
      </c>
      <c r="AA527" s="537">
        <v>44099</v>
      </c>
      <c r="AB527" s="537">
        <v>44104</v>
      </c>
      <c r="AC527" s="537">
        <v>44119</v>
      </c>
      <c r="AD527" s="537">
        <v>44235</v>
      </c>
      <c r="AE527" s="1102"/>
      <c r="AJ527" s="1944"/>
      <c r="AK527" s="1944"/>
      <c r="AL527" s="1944"/>
      <c r="AM527" s="1944"/>
      <c r="AN527" s="1944"/>
      <c r="AO527" s="1944"/>
      <c r="AP527" s="1944"/>
      <c r="AQ527" s="1944"/>
      <c r="AR527" s="1944"/>
      <c r="AS527" s="1944"/>
    </row>
    <row r="528" spans="1:45" ht="30">
      <c r="A528" s="1944"/>
      <c r="B528" s="1944"/>
      <c r="C528" s="537">
        <v>44040</v>
      </c>
      <c r="D528" s="1373" t="s">
        <v>7216</v>
      </c>
      <c r="E528" s="491" t="s">
        <v>9694</v>
      </c>
      <c r="F528" s="491" t="s">
        <v>2684</v>
      </c>
      <c r="G528" s="571" t="s">
        <v>7217</v>
      </c>
      <c r="H528" s="491"/>
      <c r="I528" s="495"/>
      <c r="J528" s="491"/>
      <c r="K528" s="491" t="s">
        <v>421</v>
      </c>
      <c r="L528" s="491" t="s">
        <v>7218</v>
      </c>
      <c r="M528" s="536">
        <v>1046580</v>
      </c>
      <c r="N528" s="491" t="s">
        <v>112</v>
      </c>
      <c r="O528" s="537">
        <v>44048</v>
      </c>
      <c r="P528" s="537">
        <v>44061</v>
      </c>
      <c r="Q528" s="537">
        <v>44097</v>
      </c>
      <c r="R528" s="495" t="s">
        <v>5890</v>
      </c>
      <c r="S528" s="491"/>
      <c r="T528" s="536">
        <v>1053240</v>
      </c>
      <c r="U528" s="536">
        <v>1274420.3999999999</v>
      </c>
      <c r="V528" s="1471"/>
      <c r="W528" s="1471"/>
      <c r="X528" s="1471"/>
      <c r="Y528" s="573">
        <v>44097</v>
      </c>
      <c r="Z528" s="1375" t="s">
        <v>7657</v>
      </c>
      <c r="AA528" s="537">
        <v>44117</v>
      </c>
      <c r="AB528" s="537">
        <v>44118</v>
      </c>
      <c r="AC528" s="537">
        <f>AA528+50</f>
        <v>44167</v>
      </c>
      <c r="AD528" s="537">
        <v>44200</v>
      </c>
      <c r="AE528" s="1374" t="s">
        <v>1875</v>
      </c>
      <c r="AJ528" s="1944"/>
      <c r="AK528" s="1944"/>
      <c r="AL528" s="1944"/>
      <c r="AM528" s="1944"/>
      <c r="AN528" s="1944"/>
      <c r="AO528" s="1944"/>
      <c r="AP528" s="1944"/>
      <c r="AQ528" s="1944"/>
      <c r="AR528" s="1944"/>
      <c r="AS528" s="1944"/>
    </row>
    <row r="529" spans="1:45" ht="15.75" thickBot="1">
      <c r="A529" s="1944"/>
      <c r="B529" s="1944"/>
      <c r="C529" s="416">
        <v>44043</v>
      </c>
      <c r="D529" s="1468" t="s">
        <v>7222</v>
      </c>
      <c r="E529" s="411" t="s">
        <v>69</v>
      </c>
      <c r="F529" s="411" t="s">
        <v>70</v>
      </c>
      <c r="G529" s="412" t="s">
        <v>7223</v>
      </c>
      <c r="H529" s="411"/>
      <c r="I529" s="630"/>
      <c r="J529" s="411"/>
      <c r="K529" s="411" t="s">
        <v>7224</v>
      </c>
      <c r="L529" s="411"/>
      <c r="M529" s="417">
        <v>167450</v>
      </c>
      <c r="N529" s="411" t="s">
        <v>112</v>
      </c>
      <c r="O529" s="416">
        <v>44050</v>
      </c>
      <c r="P529" s="416">
        <v>44063</v>
      </c>
      <c r="Q529" s="416">
        <v>44067</v>
      </c>
      <c r="R529" s="630" t="s">
        <v>7316</v>
      </c>
      <c r="S529" s="411"/>
      <c r="T529" s="417">
        <v>157630</v>
      </c>
      <c r="U529" s="417">
        <v>190732.3</v>
      </c>
      <c r="V529" s="1480"/>
      <c r="W529" s="1480"/>
      <c r="X529" s="1480"/>
      <c r="Y529" s="513">
        <v>44067</v>
      </c>
      <c r="Z529" s="417" t="s">
        <v>7426</v>
      </c>
      <c r="AA529" s="416">
        <v>44085</v>
      </c>
      <c r="AB529" s="416">
        <v>44089</v>
      </c>
      <c r="AC529" s="416">
        <v>44096</v>
      </c>
      <c r="AD529" s="416">
        <v>44278</v>
      </c>
      <c r="AE529" s="967"/>
      <c r="AJ529" s="1944"/>
      <c r="AK529" s="1944"/>
      <c r="AL529" s="1944"/>
      <c r="AM529" s="1944"/>
      <c r="AN529" s="1944"/>
      <c r="AO529" s="1944"/>
      <c r="AP529" s="1944"/>
      <c r="AQ529" s="1944"/>
      <c r="AR529" s="1944"/>
      <c r="AS529" s="1944"/>
    </row>
    <row r="530" spans="1:45">
      <c r="A530" s="1944"/>
      <c r="B530" s="1944"/>
      <c r="C530" s="1950">
        <v>44043</v>
      </c>
      <c r="D530" s="1952" t="s">
        <v>7230</v>
      </c>
      <c r="E530" s="1953" t="s">
        <v>69</v>
      </c>
      <c r="F530" s="1953" t="s">
        <v>70</v>
      </c>
      <c r="G530" s="334" t="s">
        <v>7231</v>
      </c>
      <c r="H530" s="1953">
        <v>1</v>
      </c>
      <c r="I530" s="249" t="s">
        <v>7232</v>
      </c>
      <c r="J530" s="1953"/>
      <c r="K530" s="1953" t="s">
        <v>7224</v>
      </c>
      <c r="L530" s="1953"/>
      <c r="M530" s="1954">
        <v>250395</v>
      </c>
      <c r="N530" s="1953" t="s">
        <v>112</v>
      </c>
      <c r="O530" s="1950">
        <v>44050</v>
      </c>
      <c r="P530" s="1950">
        <v>44062</v>
      </c>
      <c r="Q530" s="1950">
        <v>44063</v>
      </c>
      <c r="R530" s="249" t="s">
        <v>993</v>
      </c>
      <c r="S530" s="1953"/>
      <c r="T530" s="1954">
        <v>249476</v>
      </c>
      <c r="U530" s="1954">
        <v>301865.96000000002</v>
      </c>
      <c r="V530" s="1955"/>
      <c r="W530" s="1955"/>
      <c r="X530" s="1955"/>
      <c r="Y530" s="1956">
        <v>44063</v>
      </c>
      <c r="Z530" s="1954" t="s">
        <v>7402</v>
      </c>
      <c r="AA530" s="1950">
        <v>44097</v>
      </c>
      <c r="AB530" s="1950">
        <v>44098</v>
      </c>
      <c r="AC530" s="1950">
        <v>44106</v>
      </c>
      <c r="AD530" s="1950">
        <v>44179</v>
      </c>
      <c r="AE530" s="1680"/>
      <c r="AJ530" s="1944"/>
      <c r="AK530" s="1944"/>
      <c r="AL530" s="1944"/>
      <c r="AM530" s="1944"/>
      <c r="AN530" s="1944"/>
      <c r="AO530" s="1944"/>
      <c r="AP530" s="1944"/>
      <c r="AQ530" s="1944"/>
      <c r="AR530" s="1944"/>
      <c r="AS530" s="1944"/>
    </row>
    <row r="531" spans="1:45">
      <c r="A531" s="1944"/>
      <c r="B531" s="1944"/>
      <c r="C531" s="537">
        <v>44043</v>
      </c>
      <c r="D531" s="1373" t="s">
        <v>7230</v>
      </c>
      <c r="E531" s="491" t="s">
        <v>69</v>
      </c>
      <c r="F531" s="491" t="s">
        <v>70</v>
      </c>
      <c r="G531" s="571" t="s">
        <v>7231</v>
      </c>
      <c r="H531" s="491">
        <v>2</v>
      </c>
      <c r="I531" s="495" t="s">
        <v>7233</v>
      </c>
      <c r="J531" s="491"/>
      <c r="K531" s="491" t="s">
        <v>7224</v>
      </c>
      <c r="L531" s="491"/>
      <c r="M531" s="536">
        <v>361887</v>
      </c>
      <c r="N531" s="491" t="s">
        <v>112</v>
      </c>
      <c r="O531" s="537">
        <v>44050</v>
      </c>
      <c r="P531" s="537">
        <v>44062</v>
      </c>
      <c r="Q531" s="537">
        <v>44063</v>
      </c>
      <c r="R531" s="495" t="s">
        <v>7408</v>
      </c>
      <c r="S531" s="491"/>
      <c r="T531" s="536">
        <v>361582.1</v>
      </c>
      <c r="U531" s="536">
        <v>437514.34</v>
      </c>
      <c r="V531" s="1471"/>
      <c r="W531" s="1471"/>
      <c r="X531" s="1471"/>
      <c r="Y531" s="573">
        <v>44063</v>
      </c>
      <c r="Z531" s="536" t="s">
        <v>7403</v>
      </c>
      <c r="AA531" s="537">
        <v>44084</v>
      </c>
      <c r="AB531" s="537">
        <v>44089</v>
      </c>
      <c r="AC531" s="537">
        <f>AA531+5</f>
        <v>44089</v>
      </c>
      <c r="AD531" s="537">
        <v>44175</v>
      </c>
      <c r="AE531" s="1102"/>
      <c r="AJ531" s="1944"/>
      <c r="AK531" s="1944"/>
      <c r="AL531" s="1944"/>
      <c r="AM531" s="1944"/>
      <c r="AN531" s="1944"/>
      <c r="AO531" s="1944"/>
      <c r="AP531" s="1944"/>
      <c r="AQ531" s="1944"/>
      <c r="AR531" s="1944"/>
      <c r="AS531" s="1944"/>
    </row>
    <row r="532" spans="1:45">
      <c r="A532" s="1944"/>
      <c r="B532" s="1944"/>
      <c r="C532" s="537">
        <v>44043</v>
      </c>
      <c r="D532" s="1373" t="s">
        <v>7230</v>
      </c>
      <c r="E532" s="491" t="s">
        <v>69</v>
      </c>
      <c r="F532" s="491" t="s">
        <v>70</v>
      </c>
      <c r="G532" s="571" t="s">
        <v>7231</v>
      </c>
      <c r="H532" s="491">
        <v>3</v>
      </c>
      <c r="I532" s="495" t="s">
        <v>7234</v>
      </c>
      <c r="J532" s="491"/>
      <c r="K532" s="491" t="s">
        <v>7224</v>
      </c>
      <c r="L532" s="491"/>
      <c r="M532" s="536">
        <v>62370</v>
      </c>
      <c r="N532" s="491" t="s">
        <v>112</v>
      </c>
      <c r="O532" s="537">
        <v>44050</v>
      </c>
      <c r="P532" s="537">
        <v>44062</v>
      </c>
      <c r="Q532" s="537">
        <v>44063</v>
      </c>
      <c r="R532" s="495" t="s">
        <v>431</v>
      </c>
      <c r="S532" s="491"/>
      <c r="T532" s="536">
        <v>62080</v>
      </c>
      <c r="U532" s="536">
        <v>75116.800000000003</v>
      </c>
      <c r="V532" s="1471"/>
      <c r="W532" s="1471"/>
      <c r="X532" s="1471"/>
      <c r="Y532" s="573">
        <v>44063</v>
      </c>
      <c r="Z532" s="536" t="s">
        <v>7404</v>
      </c>
      <c r="AA532" s="537">
        <v>44097</v>
      </c>
      <c r="AB532" s="537">
        <v>44098</v>
      </c>
      <c r="AC532" s="537">
        <v>44106</v>
      </c>
      <c r="AD532" s="537">
        <v>44179</v>
      </c>
      <c r="AE532" s="1102"/>
      <c r="AJ532" s="1944"/>
      <c r="AK532" s="1944"/>
      <c r="AL532" s="1944"/>
      <c r="AM532" s="1944"/>
      <c r="AN532" s="1944"/>
      <c r="AO532" s="1944"/>
      <c r="AP532" s="1944"/>
      <c r="AQ532" s="1944"/>
      <c r="AR532" s="1944"/>
      <c r="AS532" s="1944"/>
    </row>
    <row r="533" spans="1:45">
      <c r="A533" s="1944"/>
      <c r="B533" s="1944"/>
      <c r="C533" s="537">
        <v>44043</v>
      </c>
      <c r="D533" s="1373" t="s">
        <v>7230</v>
      </c>
      <c r="E533" s="491" t="s">
        <v>69</v>
      </c>
      <c r="F533" s="491" t="s">
        <v>70</v>
      </c>
      <c r="G533" s="571" t="s">
        <v>7231</v>
      </c>
      <c r="H533" s="491">
        <v>4</v>
      </c>
      <c r="I533" s="495" t="s">
        <v>7235</v>
      </c>
      <c r="J533" s="491"/>
      <c r="K533" s="491" t="s">
        <v>7224</v>
      </c>
      <c r="L533" s="491"/>
      <c r="M533" s="536">
        <v>214787</v>
      </c>
      <c r="N533" s="491" t="s">
        <v>112</v>
      </c>
      <c r="O533" s="537">
        <v>44050</v>
      </c>
      <c r="P533" s="537">
        <v>44062</v>
      </c>
      <c r="Q533" s="537">
        <v>44063</v>
      </c>
      <c r="R533" s="495" t="s">
        <v>7409</v>
      </c>
      <c r="S533" s="491"/>
      <c r="T533" s="536">
        <v>214596.9</v>
      </c>
      <c r="U533" s="536">
        <v>259662.25</v>
      </c>
      <c r="V533" s="1471"/>
      <c r="W533" s="1471"/>
      <c r="X533" s="1471"/>
      <c r="Y533" s="573">
        <v>44063</v>
      </c>
      <c r="Z533" s="536" t="s">
        <v>7405</v>
      </c>
      <c r="AA533" s="537">
        <v>44089</v>
      </c>
      <c r="AB533" s="537">
        <v>44090</v>
      </c>
      <c r="AC533" s="537">
        <v>44097</v>
      </c>
      <c r="AD533" s="537">
        <v>44165</v>
      </c>
      <c r="AE533" s="1102"/>
      <c r="AJ533" s="1944"/>
      <c r="AK533" s="1944"/>
      <c r="AL533" s="1944"/>
      <c r="AM533" s="1944"/>
      <c r="AN533" s="1944"/>
      <c r="AO533" s="1944"/>
      <c r="AP533" s="1944"/>
      <c r="AQ533" s="1944"/>
      <c r="AR533" s="1944"/>
      <c r="AS533" s="1944"/>
    </row>
    <row r="534" spans="1:45">
      <c r="A534" s="1944"/>
      <c r="B534" s="1944"/>
      <c r="C534" s="537">
        <v>44043</v>
      </c>
      <c r="D534" s="1373" t="s">
        <v>7230</v>
      </c>
      <c r="E534" s="491" t="s">
        <v>69</v>
      </c>
      <c r="F534" s="491" t="s">
        <v>70</v>
      </c>
      <c r="G534" s="571" t="s">
        <v>7231</v>
      </c>
      <c r="H534" s="491">
        <v>5</v>
      </c>
      <c r="I534" s="495" t="s">
        <v>7236</v>
      </c>
      <c r="J534" s="491"/>
      <c r="K534" s="491" t="s">
        <v>7224</v>
      </c>
      <c r="L534" s="491"/>
      <c r="M534" s="536">
        <v>63719</v>
      </c>
      <c r="N534" s="491" t="s">
        <v>112</v>
      </c>
      <c r="O534" s="537">
        <v>44050</v>
      </c>
      <c r="P534" s="537">
        <v>44062</v>
      </c>
      <c r="Q534" s="537">
        <v>44063</v>
      </c>
      <c r="R534" s="495" t="s">
        <v>431</v>
      </c>
      <c r="S534" s="491"/>
      <c r="T534" s="536">
        <v>63228</v>
      </c>
      <c r="U534" s="536">
        <v>76505.88</v>
      </c>
      <c r="V534" s="1471"/>
      <c r="W534" s="1471"/>
      <c r="X534" s="1471"/>
      <c r="Y534" s="573">
        <v>44063</v>
      </c>
      <c r="Z534" s="536" t="s">
        <v>7406</v>
      </c>
      <c r="AA534" s="537">
        <v>44097</v>
      </c>
      <c r="AB534" s="537">
        <v>44098</v>
      </c>
      <c r="AC534" s="537">
        <v>44106</v>
      </c>
      <c r="AD534" s="537">
        <v>44179</v>
      </c>
      <c r="AE534" s="1102"/>
      <c r="AJ534" s="1944"/>
      <c r="AK534" s="1944"/>
      <c r="AL534" s="1944"/>
      <c r="AM534" s="1944"/>
      <c r="AN534" s="1944"/>
      <c r="AO534" s="1944"/>
      <c r="AP534" s="1944"/>
      <c r="AQ534" s="1944"/>
      <c r="AR534" s="1944"/>
      <c r="AS534" s="1944"/>
    </row>
    <row r="535" spans="1:45" ht="15.75" thickBot="1">
      <c r="A535" s="1944"/>
      <c r="B535" s="1944"/>
      <c r="C535" s="1949">
        <v>44043</v>
      </c>
      <c r="D535" s="2021" t="s">
        <v>7230</v>
      </c>
      <c r="E535" s="1960" t="s">
        <v>69</v>
      </c>
      <c r="F535" s="1960" t="s">
        <v>70</v>
      </c>
      <c r="G535" s="1959" t="s">
        <v>7231</v>
      </c>
      <c r="H535" s="1960">
        <v>6</v>
      </c>
      <c r="I535" s="231" t="s">
        <v>7237</v>
      </c>
      <c r="J535" s="1960"/>
      <c r="K535" s="1960" t="s">
        <v>7224</v>
      </c>
      <c r="L535" s="1960"/>
      <c r="M535" s="1961">
        <v>12073</v>
      </c>
      <c r="N535" s="1960" t="s">
        <v>112</v>
      </c>
      <c r="O535" s="1949">
        <v>44050</v>
      </c>
      <c r="P535" s="1949">
        <v>44062</v>
      </c>
      <c r="Q535" s="1949">
        <v>44063</v>
      </c>
      <c r="R535" s="231" t="s">
        <v>431</v>
      </c>
      <c r="S535" s="1960"/>
      <c r="T535" s="1961">
        <v>11983</v>
      </c>
      <c r="U535" s="1961">
        <v>14499.43</v>
      </c>
      <c r="V535" s="1962"/>
      <c r="W535" s="1962"/>
      <c r="X535" s="1962"/>
      <c r="Y535" s="1963">
        <v>44063</v>
      </c>
      <c r="Z535" s="1961" t="s">
        <v>7407</v>
      </c>
      <c r="AA535" s="1949">
        <v>44097</v>
      </c>
      <c r="AB535" s="1949">
        <v>44098</v>
      </c>
      <c r="AC535" s="1949">
        <v>44106</v>
      </c>
      <c r="AD535" s="1949">
        <v>44179</v>
      </c>
      <c r="AE535" s="1692"/>
      <c r="AJ535" s="1944"/>
      <c r="AK535" s="1944"/>
      <c r="AL535" s="1944"/>
      <c r="AM535" s="1944"/>
      <c r="AN535" s="1944"/>
      <c r="AO535" s="1944"/>
      <c r="AP535" s="1944"/>
      <c r="AQ535" s="1944"/>
      <c r="AR535" s="1944"/>
      <c r="AS535" s="1944"/>
    </row>
    <row r="536" spans="1:45">
      <c r="A536" s="1944"/>
      <c r="B536" s="1944"/>
      <c r="C536" s="1950">
        <v>44043</v>
      </c>
      <c r="D536" s="1952" t="s">
        <v>7225</v>
      </c>
      <c r="E536" s="1953" t="s">
        <v>69</v>
      </c>
      <c r="F536" s="1953" t="s">
        <v>70</v>
      </c>
      <c r="G536" s="334" t="s">
        <v>7226</v>
      </c>
      <c r="H536" s="1953">
        <v>1</v>
      </c>
      <c r="I536" s="249" t="s">
        <v>7268</v>
      </c>
      <c r="J536" s="1953"/>
      <c r="K536" s="1953" t="s">
        <v>7224</v>
      </c>
      <c r="L536" s="1953"/>
      <c r="M536" s="1954">
        <v>107405</v>
      </c>
      <c r="N536" s="1953" t="s">
        <v>112</v>
      </c>
      <c r="O536" s="1950">
        <v>44050</v>
      </c>
      <c r="P536" s="1950">
        <v>44064</v>
      </c>
      <c r="Q536" s="1950">
        <v>44082</v>
      </c>
      <c r="R536" s="249" t="s">
        <v>7316</v>
      </c>
      <c r="S536" s="1953"/>
      <c r="T536" s="1954">
        <v>104900</v>
      </c>
      <c r="U536" s="1954">
        <v>126929</v>
      </c>
      <c r="V536" s="1955"/>
      <c r="W536" s="1955"/>
      <c r="X536" s="1955"/>
      <c r="Y536" s="1956">
        <v>44082</v>
      </c>
      <c r="Z536" s="1954" t="s">
        <v>7545</v>
      </c>
      <c r="AA536" s="1950">
        <v>44095</v>
      </c>
      <c r="AB536" s="1950">
        <v>44098</v>
      </c>
      <c r="AC536" s="1950">
        <v>44103</v>
      </c>
      <c r="AD536" s="1950">
        <v>44278</v>
      </c>
      <c r="AE536" s="1680"/>
      <c r="AJ536" s="1944"/>
      <c r="AK536" s="1944"/>
      <c r="AL536" s="1944"/>
      <c r="AM536" s="1944"/>
      <c r="AN536" s="1944"/>
      <c r="AO536" s="1944"/>
      <c r="AP536" s="1944"/>
      <c r="AQ536" s="1944"/>
      <c r="AR536" s="1944"/>
      <c r="AS536" s="1944"/>
    </row>
    <row r="537" spans="1:45">
      <c r="A537" s="1944"/>
      <c r="B537" s="1944"/>
      <c r="C537" s="537">
        <v>44043</v>
      </c>
      <c r="D537" s="1373" t="s">
        <v>7225</v>
      </c>
      <c r="E537" s="491" t="s">
        <v>69</v>
      </c>
      <c r="F537" s="491" t="s">
        <v>70</v>
      </c>
      <c r="G537" s="571" t="s">
        <v>7226</v>
      </c>
      <c r="H537" s="491">
        <v>2</v>
      </c>
      <c r="I537" s="495" t="s">
        <v>7227</v>
      </c>
      <c r="J537" s="491"/>
      <c r="K537" s="491" t="s">
        <v>7224</v>
      </c>
      <c r="L537" s="491"/>
      <c r="M537" s="536">
        <v>196901</v>
      </c>
      <c r="N537" s="491" t="s">
        <v>112</v>
      </c>
      <c r="O537" s="537">
        <v>44050</v>
      </c>
      <c r="P537" s="537">
        <v>44064</v>
      </c>
      <c r="Q537" s="537">
        <v>44089</v>
      </c>
      <c r="R537" s="495" t="s">
        <v>7316</v>
      </c>
      <c r="S537" s="491" t="s">
        <v>7588</v>
      </c>
      <c r="T537" s="536">
        <v>167220</v>
      </c>
      <c r="U537" s="536">
        <f>T537*1.21</f>
        <v>202336.19999999998</v>
      </c>
      <c r="V537" s="1471"/>
      <c r="W537" s="1471"/>
      <c r="X537" s="1471"/>
      <c r="Y537" s="573">
        <v>44089</v>
      </c>
      <c r="Z537" s="536" t="s">
        <v>7587</v>
      </c>
      <c r="AA537" s="537">
        <v>44103</v>
      </c>
      <c r="AB537" s="537">
        <v>44106</v>
      </c>
      <c r="AC537" s="537">
        <v>44111</v>
      </c>
      <c r="AD537" s="537">
        <v>44278</v>
      </c>
      <c r="AE537" s="1102"/>
      <c r="AJ537" s="1944"/>
      <c r="AK537" s="1944"/>
      <c r="AL537" s="1944"/>
      <c r="AM537" s="1944"/>
      <c r="AN537" s="1944"/>
      <c r="AO537" s="1944"/>
      <c r="AP537" s="1944"/>
      <c r="AQ537" s="1944"/>
      <c r="AR537" s="1944"/>
      <c r="AS537" s="1944"/>
    </row>
    <row r="538" spans="1:45">
      <c r="A538" s="1944"/>
      <c r="B538" s="1944"/>
      <c r="C538" s="537">
        <v>44043</v>
      </c>
      <c r="D538" s="1373" t="s">
        <v>7225</v>
      </c>
      <c r="E538" s="491" t="s">
        <v>69</v>
      </c>
      <c r="F538" s="491" t="s">
        <v>70</v>
      </c>
      <c r="G538" s="571" t="s">
        <v>7226</v>
      </c>
      <c r="H538" s="491">
        <v>3</v>
      </c>
      <c r="I538" s="495" t="s">
        <v>7228</v>
      </c>
      <c r="J538" s="491"/>
      <c r="K538" s="491" t="s">
        <v>7224</v>
      </c>
      <c r="L538" s="491"/>
      <c r="M538" s="536">
        <v>100000</v>
      </c>
      <c r="N538" s="491" t="s">
        <v>112</v>
      </c>
      <c r="O538" s="537">
        <v>44050</v>
      </c>
      <c r="P538" s="537">
        <v>44064</v>
      </c>
      <c r="Q538" s="537">
        <v>44082</v>
      </c>
      <c r="R538" s="495" t="s">
        <v>7316</v>
      </c>
      <c r="S538" s="491" t="s">
        <v>7611</v>
      </c>
      <c r="T538" s="536">
        <v>98400</v>
      </c>
      <c r="U538" s="536">
        <f>T538*1.21</f>
        <v>119064</v>
      </c>
      <c r="V538" s="1471"/>
      <c r="W538" s="1471"/>
      <c r="X538" s="1471"/>
      <c r="Y538" s="573">
        <v>44091</v>
      </c>
      <c r="Z538" s="536" t="s">
        <v>7675</v>
      </c>
      <c r="AA538" s="537">
        <v>44109</v>
      </c>
      <c r="AB538" s="537">
        <v>44111</v>
      </c>
      <c r="AC538" s="537">
        <v>44118</v>
      </c>
      <c r="AD538" s="537">
        <v>44245</v>
      </c>
      <c r="AE538" s="1102"/>
      <c r="AJ538" s="1944"/>
      <c r="AK538" s="1944"/>
      <c r="AL538" s="1944"/>
      <c r="AM538" s="1944"/>
      <c r="AN538" s="1944"/>
      <c r="AO538" s="1944"/>
      <c r="AP538" s="1944"/>
      <c r="AQ538" s="1944"/>
      <c r="AR538" s="1944"/>
      <c r="AS538" s="1944"/>
    </row>
    <row r="539" spans="1:45" ht="15.75" thickBot="1">
      <c r="A539" s="1944"/>
      <c r="B539" s="1944"/>
      <c r="C539" s="1949">
        <v>44043</v>
      </c>
      <c r="D539" s="2021" t="s">
        <v>7225</v>
      </c>
      <c r="E539" s="1960" t="s">
        <v>69</v>
      </c>
      <c r="F539" s="1960" t="s">
        <v>70</v>
      </c>
      <c r="G539" s="1959" t="s">
        <v>7226</v>
      </c>
      <c r="H539" s="1960">
        <v>4</v>
      </c>
      <c r="I539" s="231" t="s">
        <v>7229</v>
      </c>
      <c r="J539" s="1960"/>
      <c r="K539" s="1960" t="s">
        <v>7224</v>
      </c>
      <c r="L539" s="1960"/>
      <c r="M539" s="1961">
        <v>19598</v>
      </c>
      <c r="N539" s="1960" t="s">
        <v>112</v>
      </c>
      <c r="O539" s="1949">
        <v>44050</v>
      </c>
      <c r="P539" s="1949">
        <v>44064</v>
      </c>
      <c r="Q539" s="1949">
        <v>44082</v>
      </c>
      <c r="R539" s="231" t="s">
        <v>7316</v>
      </c>
      <c r="S539" s="1960"/>
      <c r="T539" s="1961">
        <v>17380</v>
      </c>
      <c r="U539" s="1961">
        <v>21029.8</v>
      </c>
      <c r="V539" s="1962"/>
      <c r="W539" s="1962"/>
      <c r="X539" s="1962"/>
      <c r="Y539" s="1963">
        <v>44082</v>
      </c>
      <c r="Z539" s="1961" t="s">
        <v>7546</v>
      </c>
      <c r="AA539" s="1949">
        <v>44095</v>
      </c>
      <c r="AB539" s="1949">
        <v>44098</v>
      </c>
      <c r="AC539" s="1949">
        <v>44103</v>
      </c>
      <c r="AD539" s="1949">
        <v>44278</v>
      </c>
      <c r="AE539" s="1692"/>
      <c r="AJ539" s="1944"/>
      <c r="AK539" s="1944"/>
      <c r="AL539" s="1944"/>
      <c r="AM539" s="1944"/>
      <c r="AN539" s="1944"/>
      <c r="AO539" s="1944"/>
      <c r="AP539" s="1944"/>
      <c r="AQ539" s="1944"/>
      <c r="AR539" s="1944"/>
      <c r="AS539" s="1944"/>
    </row>
    <row r="540" spans="1:45">
      <c r="A540" s="1944"/>
      <c r="B540" s="1944"/>
      <c r="C540" s="365">
        <v>44043</v>
      </c>
      <c r="D540" s="1397" t="s">
        <v>7247</v>
      </c>
      <c r="E540" s="3210" t="s">
        <v>2111</v>
      </c>
      <c r="F540" s="3210" t="s">
        <v>4440</v>
      </c>
      <c r="G540" s="175" t="s">
        <v>7248</v>
      </c>
      <c r="H540" s="3210"/>
      <c r="I540" s="3211"/>
      <c r="J540" s="3210"/>
      <c r="K540" s="3210" t="s">
        <v>2824</v>
      </c>
      <c r="L540" s="3210"/>
      <c r="M540" s="364">
        <v>810000</v>
      </c>
      <c r="N540" s="3210" t="s">
        <v>112</v>
      </c>
      <c r="O540" s="365">
        <v>44053</v>
      </c>
      <c r="P540" s="365">
        <v>44069</v>
      </c>
      <c r="Q540" s="365">
        <v>44096</v>
      </c>
      <c r="R540" s="3211" t="s">
        <v>7316</v>
      </c>
      <c r="S540" s="3210"/>
      <c r="T540" s="364">
        <v>825471</v>
      </c>
      <c r="U540" s="364">
        <v>998819.91</v>
      </c>
      <c r="V540" s="1473"/>
      <c r="W540" s="1473"/>
      <c r="X540" s="1473"/>
      <c r="Y540" s="681">
        <v>44096</v>
      </c>
      <c r="Z540" s="364" t="s">
        <v>7643</v>
      </c>
      <c r="AA540" s="365">
        <v>44112</v>
      </c>
      <c r="AB540" s="365">
        <v>44117</v>
      </c>
      <c r="AC540" s="365">
        <v>44841</v>
      </c>
      <c r="AD540" s="365">
        <v>44644</v>
      </c>
      <c r="AE540" s="451" t="s">
        <v>11432</v>
      </c>
      <c r="AJ540" s="1944"/>
      <c r="AK540" s="1944"/>
      <c r="AL540" s="1944"/>
      <c r="AM540" s="1944"/>
      <c r="AN540" s="1944"/>
      <c r="AO540" s="1944"/>
      <c r="AP540" s="1944"/>
      <c r="AQ540" s="1944"/>
      <c r="AR540" s="1944"/>
      <c r="AS540" s="1944"/>
    </row>
    <row r="541" spans="1:45">
      <c r="A541" s="1944"/>
      <c r="B541" s="1944"/>
      <c r="C541" s="537">
        <v>44057</v>
      </c>
      <c r="D541" s="1373" t="s">
        <v>7256</v>
      </c>
      <c r="E541" s="491" t="s">
        <v>4997</v>
      </c>
      <c r="F541" s="491" t="s">
        <v>167</v>
      </c>
      <c r="G541" s="2517" t="s">
        <v>7257</v>
      </c>
      <c r="H541" s="491"/>
      <c r="I541" s="495"/>
      <c r="J541" s="491"/>
      <c r="K541" s="491" t="s">
        <v>1813</v>
      </c>
      <c r="L541" s="491"/>
      <c r="M541" s="536">
        <v>1200000</v>
      </c>
      <c r="N541" s="491" t="s">
        <v>112</v>
      </c>
      <c r="O541" s="537">
        <v>44062</v>
      </c>
      <c r="P541" s="537">
        <v>44071</v>
      </c>
      <c r="Q541" s="537">
        <v>44077</v>
      </c>
      <c r="R541" s="495" t="s">
        <v>3285</v>
      </c>
      <c r="S541" s="491"/>
      <c r="T541" s="536">
        <v>1287690</v>
      </c>
      <c r="U541" s="536">
        <v>1558104.9</v>
      </c>
      <c r="V541" s="1471"/>
      <c r="W541" s="1471"/>
      <c r="X541" s="1471"/>
      <c r="Y541" s="573">
        <v>44077</v>
      </c>
      <c r="Z541" s="536" t="s">
        <v>7523</v>
      </c>
      <c r="AA541" s="537">
        <v>44099</v>
      </c>
      <c r="AB541" s="537">
        <v>44099</v>
      </c>
      <c r="AC541" s="537">
        <v>44834</v>
      </c>
      <c r="AD541" s="537">
        <v>44278</v>
      </c>
      <c r="AE541" s="537">
        <v>44643</v>
      </c>
      <c r="AF541" s="388" t="s">
        <v>7667</v>
      </c>
      <c r="AJ541" s="1944"/>
      <c r="AK541" s="1944"/>
      <c r="AL541" s="1944"/>
      <c r="AM541" s="1944"/>
      <c r="AN541" s="1944"/>
      <c r="AO541" s="1944"/>
      <c r="AP541" s="1944"/>
      <c r="AQ541" s="1944"/>
      <c r="AR541" s="1944"/>
      <c r="AS541" s="1944"/>
    </row>
    <row r="542" spans="1:45">
      <c r="A542" s="1944"/>
      <c r="B542" s="1944"/>
      <c r="C542" s="537">
        <v>44057</v>
      </c>
      <c r="D542" s="1373" t="s">
        <v>7258</v>
      </c>
      <c r="E542" s="491" t="s">
        <v>4997</v>
      </c>
      <c r="F542" s="491" t="s">
        <v>167</v>
      </c>
      <c r="G542" s="571" t="s">
        <v>7609</v>
      </c>
      <c r="H542" s="491"/>
      <c r="I542" s="495"/>
      <c r="J542" s="491"/>
      <c r="K542" s="491" t="s">
        <v>5752</v>
      </c>
      <c r="L542" s="491"/>
      <c r="M542" s="536">
        <v>1745000</v>
      </c>
      <c r="N542" s="491" t="s">
        <v>112</v>
      </c>
      <c r="O542" s="537">
        <v>44062</v>
      </c>
      <c r="P542" s="537">
        <v>44084</v>
      </c>
      <c r="Q542" s="537">
        <v>44091</v>
      </c>
      <c r="R542" s="495" t="s">
        <v>7610</v>
      </c>
      <c r="S542" s="491"/>
      <c r="T542" s="536">
        <v>1786375.48</v>
      </c>
      <c r="U542" s="536">
        <v>2161514.33</v>
      </c>
      <c r="V542" s="1471"/>
      <c r="W542" s="1471"/>
      <c r="X542" s="1471"/>
      <c r="Y542" s="573">
        <v>44092</v>
      </c>
      <c r="Z542" s="536" t="s">
        <v>7614</v>
      </c>
      <c r="AA542" s="537">
        <v>44120</v>
      </c>
      <c r="AB542" s="537">
        <v>44120</v>
      </c>
      <c r="AC542" s="537">
        <f>AA542+68</f>
        <v>44188</v>
      </c>
      <c r="AD542" s="537">
        <v>44245</v>
      </c>
      <c r="AE542" s="1102"/>
      <c r="AJ542" s="1944"/>
      <c r="AK542" s="1944"/>
      <c r="AL542" s="1944"/>
      <c r="AM542" s="1944"/>
      <c r="AN542" s="1944"/>
      <c r="AO542" s="1944"/>
      <c r="AP542" s="1944"/>
      <c r="AQ542" s="1944"/>
      <c r="AR542" s="1944"/>
      <c r="AS542" s="1944"/>
    </row>
    <row r="543" spans="1:45">
      <c r="A543" s="1944"/>
      <c r="B543" s="1944"/>
      <c r="C543" s="537">
        <v>44050</v>
      </c>
      <c r="D543" s="1373" t="s">
        <v>7259</v>
      </c>
      <c r="E543" s="491" t="s">
        <v>4997</v>
      </c>
      <c r="F543" s="491" t="s">
        <v>167</v>
      </c>
      <c r="G543" s="571" t="s">
        <v>7260</v>
      </c>
      <c r="H543" s="491"/>
      <c r="I543" s="495"/>
      <c r="J543" s="491"/>
      <c r="K543" s="491" t="s">
        <v>1255</v>
      </c>
      <c r="L543" s="491"/>
      <c r="M543" s="536">
        <v>310000</v>
      </c>
      <c r="N543" s="491" t="s">
        <v>112</v>
      </c>
      <c r="O543" s="537">
        <v>44061</v>
      </c>
      <c r="P543" s="537">
        <v>44071</v>
      </c>
      <c r="Q543" s="537">
        <v>44082</v>
      </c>
      <c r="R543" s="495" t="s">
        <v>2626</v>
      </c>
      <c r="S543" s="491"/>
      <c r="T543" s="536">
        <v>260746.36</v>
      </c>
      <c r="U543" s="536">
        <v>315503.09999999998</v>
      </c>
      <c r="V543" s="1471"/>
      <c r="W543" s="1471"/>
      <c r="X543" s="1471"/>
      <c r="Y543" s="573">
        <v>44082</v>
      </c>
      <c r="Z543" s="536" t="s">
        <v>7543</v>
      </c>
      <c r="AA543" s="537">
        <v>44110</v>
      </c>
      <c r="AB543" s="537">
        <v>44112</v>
      </c>
      <c r="AC543" s="537">
        <f>AA543+68</f>
        <v>44178</v>
      </c>
      <c r="AD543" s="537">
        <v>44235</v>
      </c>
      <c r="AE543" s="1102"/>
      <c r="AJ543" s="1944"/>
      <c r="AK543" s="1944"/>
      <c r="AL543" s="1944"/>
      <c r="AM543" s="1944"/>
      <c r="AN543" s="1944"/>
      <c r="AO543" s="1944"/>
      <c r="AP543" s="1944"/>
      <c r="AQ543" s="1944"/>
      <c r="AR543" s="1944"/>
      <c r="AS543" s="1944"/>
    </row>
    <row r="544" spans="1:45">
      <c r="A544" s="1944"/>
      <c r="B544" s="1944"/>
      <c r="C544" s="510">
        <v>44050</v>
      </c>
      <c r="D544" s="1382" t="s">
        <v>7261</v>
      </c>
      <c r="E544" s="506" t="s">
        <v>4997</v>
      </c>
      <c r="F544" s="506" t="s">
        <v>167</v>
      </c>
      <c r="G544" s="507" t="s">
        <v>7262</v>
      </c>
      <c r="H544" s="506"/>
      <c r="I544" s="548"/>
      <c r="J544" s="590"/>
      <c r="K544" s="506" t="s">
        <v>7263</v>
      </c>
      <c r="L544" s="506"/>
      <c r="M544" s="511">
        <v>1700000</v>
      </c>
      <c r="N544" s="506" t="s">
        <v>112</v>
      </c>
      <c r="O544" s="510">
        <v>44061</v>
      </c>
      <c r="P544" s="510">
        <v>44075</v>
      </c>
      <c r="Q544" s="506"/>
      <c r="R544" s="736" t="s">
        <v>304</v>
      </c>
      <c r="S544" s="506"/>
      <c r="T544" s="511"/>
      <c r="U544" s="511"/>
      <c r="V544" s="1484"/>
      <c r="W544" s="1484"/>
      <c r="X544" s="1484"/>
      <c r="Y544" s="511"/>
      <c r="Z544" s="511"/>
      <c r="AA544" s="506"/>
      <c r="AB544" s="510">
        <v>44075</v>
      </c>
      <c r="AC544" s="506"/>
      <c r="AD544" s="506"/>
      <c r="AE544" s="506"/>
      <c r="AJ544" s="1944"/>
      <c r="AK544" s="1944"/>
      <c r="AL544" s="1944"/>
      <c r="AM544" s="1944"/>
      <c r="AN544" s="1944"/>
      <c r="AO544" s="1944"/>
      <c r="AP544" s="1944"/>
      <c r="AQ544" s="1944"/>
      <c r="AR544" s="1944"/>
      <c r="AS544" s="1944"/>
    </row>
    <row r="545" spans="1:45">
      <c r="A545" s="1944"/>
      <c r="B545" s="1944"/>
      <c r="C545" s="537">
        <v>44048</v>
      </c>
      <c r="D545" s="1373" t="s">
        <v>7264</v>
      </c>
      <c r="E545" s="491" t="s">
        <v>2111</v>
      </c>
      <c r="F545" s="491" t="s">
        <v>4440</v>
      </c>
      <c r="G545" s="2517" t="s">
        <v>7265</v>
      </c>
      <c r="H545" s="491"/>
      <c r="I545" s="495"/>
      <c r="J545" s="491"/>
      <c r="K545" s="491" t="s">
        <v>7266</v>
      </c>
      <c r="L545" s="491"/>
      <c r="M545" s="536">
        <v>1620000</v>
      </c>
      <c r="N545" s="491" t="s">
        <v>112</v>
      </c>
      <c r="O545" s="537">
        <v>44053</v>
      </c>
      <c r="P545" s="537">
        <v>44057</v>
      </c>
      <c r="Q545" s="537">
        <v>44074</v>
      </c>
      <c r="R545" s="495" t="s">
        <v>659</v>
      </c>
      <c r="S545" s="491"/>
      <c r="T545" s="536">
        <v>1431000</v>
      </c>
      <c r="U545" s="536">
        <v>1731600</v>
      </c>
      <c r="V545" s="1471"/>
      <c r="W545" s="1471"/>
      <c r="X545" s="1471"/>
      <c r="Y545" s="573">
        <v>44074</v>
      </c>
      <c r="Z545" s="536" t="s">
        <v>7478</v>
      </c>
      <c r="AA545" s="537">
        <v>44088</v>
      </c>
      <c r="AB545" s="537">
        <v>44089</v>
      </c>
      <c r="AC545" s="537">
        <v>44452</v>
      </c>
      <c r="AD545" s="537">
        <v>44643</v>
      </c>
      <c r="AE545" s="1102"/>
      <c r="AJ545" s="1944"/>
      <c r="AK545" s="1944"/>
      <c r="AL545" s="1944"/>
      <c r="AM545" s="1944"/>
      <c r="AN545" s="1944"/>
      <c r="AO545" s="1944"/>
      <c r="AP545" s="1944"/>
      <c r="AQ545" s="1944"/>
      <c r="AR545" s="1944"/>
      <c r="AS545" s="1944"/>
    </row>
    <row r="546" spans="1:45" ht="45">
      <c r="A546" s="1944"/>
      <c r="B546" s="1944"/>
      <c r="C546" s="537">
        <v>44042</v>
      </c>
      <c r="D546" s="1373" t="s">
        <v>7269</v>
      </c>
      <c r="E546" s="491" t="s">
        <v>58</v>
      </c>
      <c r="F546" s="491" t="s">
        <v>2684</v>
      </c>
      <c r="G546" s="571" t="s">
        <v>7270</v>
      </c>
      <c r="H546" s="491"/>
      <c r="I546" s="495"/>
      <c r="J546" s="491"/>
      <c r="K546" s="491" t="s">
        <v>2990</v>
      </c>
      <c r="L546" s="491" t="s">
        <v>7271</v>
      </c>
      <c r="M546" s="536">
        <v>1835025</v>
      </c>
      <c r="N546" s="491" t="s">
        <v>112</v>
      </c>
      <c r="O546" s="537">
        <v>44050</v>
      </c>
      <c r="P546" s="537">
        <v>44061</v>
      </c>
      <c r="Q546" s="537">
        <v>44083</v>
      </c>
      <c r="R546" s="495" t="s">
        <v>5983</v>
      </c>
      <c r="S546" s="491"/>
      <c r="T546" s="536">
        <v>1442300</v>
      </c>
      <c r="U546" s="536">
        <v>1745183</v>
      </c>
      <c r="V546" s="1471"/>
      <c r="W546" s="1471"/>
      <c r="X546" s="1471"/>
      <c r="Y546" s="573">
        <v>44084</v>
      </c>
      <c r="Z546" s="1375" t="s">
        <v>7560</v>
      </c>
      <c r="AA546" s="537">
        <v>44110</v>
      </c>
      <c r="AB546" s="537">
        <v>44112</v>
      </c>
      <c r="AC546" s="537">
        <f>AA546+42</f>
        <v>44152</v>
      </c>
      <c r="AD546" s="537">
        <v>44245</v>
      </c>
      <c r="AE546" s="1374" t="s">
        <v>6118</v>
      </c>
      <c r="AJ546" s="1944"/>
      <c r="AK546" s="1944"/>
      <c r="AL546" s="1944"/>
      <c r="AM546" s="1944"/>
      <c r="AN546" s="1944"/>
      <c r="AO546" s="1944"/>
      <c r="AP546" s="1944"/>
      <c r="AQ546" s="1944"/>
      <c r="AR546" s="1944"/>
      <c r="AS546" s="1944"/>
    </row>
    <row r="547" spans="1:45" ht="15.75" thickBot="1">
      <c r="A547" s="1944"/>
      <c r="B547" s="1944"/>
      <c r="C547" s="416">
        <v>44049</v>
      </c>
      <c r="D547" s="1468" t="s">
        <v>7272</v>
      </c>
      <c r="E547" s="411" t="s">
        <v>69</v>
      </c>
      <c r="F547" s="411" t="s">
        <v>70</v>
      </c>
      <c r="G547" s="412" t="s">
        <v>7273</v>
      </c>
      <c r="H547" s="411">
        <v>1</v>
      </c>
      <c r="I547" s="630" t="s">
        <v>5294</v>
      </c>
      <c r="J547" s="411"/>
      <c r="K547" s="411" t="s">
        <v>3438</v>
      </c>
      <c r="L547" s="411"/>
      <c r="M547" s="417">
        <v>21558475</v>
      </c>
      <c r="N547" s="411" t="s">
        <v>251</v>
      </c>
      <c r="O547" s="416">
        <v>44054</v>
      </c>
      <c r="P547" s="416">
        <v>44089</v>
      </c>
      <c r="Q547" s="416">
        <v>44111</v>
      </c>
      <c r="R547" s="630" t="s">
        <v>6981</v>
      </c>
      <c r="S547" s="411"/>
      <c r="T547" s="417">
        <v>21558474</v>
      </c>
      <c r="U547" s="417">
        <v>23714321.399999999</v>
      </c>
      <c r="V547" s="1480"/>
      <c r="W547" s="1480"/>
      <c r="X547" s="1480"/>
      <c r="Y547" s="513">
        <v>44112</v>
      </c>
      <c r="Z547" s="417" t="s">
        <v>7731</v>
      </c>
      <c r="AA547" s="416">
        <v>44134</v>
      </c>
      <c r="AB547" s="416">
        <v>44138</v>
      </c>
      <c r="AC547" s="416">
        <v>45594</v>
      </c>
      <c r="AD547" s="416">
        <v>44278</v>
      </c>
      <c r="AE547" s="416">
        <v>44645</v>
      </c>
      <c r="AF547" s="388">
        <v>2022</v>
      </c>
      <c r="AG547" s="388">
        <v>2023</v>
      </c>
      <c r="AH547" s="388" t="s">
        <v>7841</v>
      </c>
      <c r="AJ547" s="1944"/>
      <c r="AK547" s="1944"/>
      <c r="AL547" s="1944"/>
      <c r="AM547" s="1944"/>
      <c r="AN547" s="1944"/>
      <c r="AO547" s="1944"/>
      <c r="AP547" s="1944"/>
      <c r="AQ547" s="1944"/>
      <c r="AR547" s="1944"/>
      <c r="AS547" s="1944"/>
    </row>
    <row r="548" spans="1:45" ht="16.5" thickTop="1" thickBot="1">
      <c r="A548" s="1944"/>
      <c r="B548" s="1944"/>
      <c r="C548" s="474">
        <v>44049</v>
      </c>
      <c r="D548" s="1383" t="s">
        <v>7274</v>
      </c>
      <c r="E548" s="453" t="s">
        <v>69</v>
      </c>
      <c r="F548" s="453" t="s">
        <v>70</v>
      </c>
      <c r="G548" s="473" t="s">
        <v>7275</v>
      </c>
      <c r="H548" s="453">
        <v>1</v>
      </c>
      <c r="I548" s="1420" t="s">
        <v>7003</v>
      </c>
      <c r="J548" s="453"/>
      <c r="K548" s="453" t="s">
        <v>1147</v>
      </c>
      <c r="L548" s="453"/>
      <c r="M548" s="457">
        <v>7314000</v>
      </c>
      <c r="N548" s="453" t="s">
        <v>251</v>
      </c>
      <c r="O548" s="474">
        <v>44050</v>
      </c>
      <c r="P548" s="474">
        <v>44084</v>
      </c>
      <c r="Q548" s="474">
        <v>44097</v>
      </c>
      <c r="R548" s="1420" t="s">
        <v>576</v>
      </c>
      <c r="S548" s="453"/>
      <c r="T548" s="457">
        <v>6835224.5</v>
      </c>
      <c r="U548" s="457">
        <v>7518746.9500000002</v>
      </c>
      <c r="V548" s="1474"/>
      <c r="W548" s="1474"/>
      <c r="X548" s="1474"/>
      <c r="Y548" s="570">
        <v>44097</v>
      </c>
      <c r="Z548" s="457" t="s">
        <v>7660</v>
      </c>
      <c r="AA548" s="474">
        <v>44139</v>
      </c>
      <c r="AB548" s="474">
        <v>44144</v>
      </c>
      <c r="AC548" s="474">
        <v>45233</v>
      </c>
      <c r="AD548" s="474">
        <v>44278</v>
      </c>
      <c r="AE548" s="1380">
        <v>44645</v>
      </c>
      <c r="AF548" s="388">
        <v>2022</v>
      </c>
      <c r="AG548" s="388" t="s">
        <v>7864</v>
      </c>
      <c r="AJ548" s="1944"/>
      <c r="AK548" s="1944"/>
      <c r="AL548" s="1944"/>
      <c r="AM548" s="1944"/>
      <c r="AN548" s="1944"/>
      <c r="AO548" s="1944"/>
      <c r="AP548" s="1944"/>
      <c r="AQ548" s="1944"/>
      <c r="AR548" s="1944"/>
      <c r="AS548" s="1944"/>
    </row>
    <row r="549" spans="1:45" ht="15.75" thickTop="1">
      <c r="A549" s="1944"/>
      <c r="B549" s="1944"/>
      <c r="C549" s="510">
        <v>44049</v>
      </c>
      <c r="D549" s="1382" t="s">
        <v>7274</v>
      </c>
      <c r="E549" s="506" t="s">
        <v>69</v>
      </c>
      <c r="F549" s="506" t="s">
        <v>70</v>
      </c>
      <c r="G549" s="507" t="s">
        <v>7275</v>
      </c>
      <c r="H549" s="506">
        <v>2</v>
      </c>
      <c r="I549" s="548" t="s">
        <v>7004</v>
      </c>
      <c r="J549" s="506"/>
      <c r="K549" s="506" t="s">
        <v>1147</v>
      </c>
      <c r="L549" s="506"/>
      <c r="M549" s="511">
        <v>3604311</v>
      </c>
      <c r="N549" s="506" t="s">
        <v>251</v>
      </c>
      <c r="O549" s="510">
        <v>44050</v>
      </c>
      <c r="P549" s="510">
        <v>44084</v>
      </c>
      <c r="Q549" s="506"/>
      <c r="R549" s="736" t="s">
        <v>2635</v>
      </c>
      <c r="S549" s="506"/>
      <c r="T549" s="511"/>
      <c r="U549" s="511"/>
      <c r="V549" s="1470"/>
      <c r="W549" s="1470"/>
      <c r="X549" s="1470"/>
      <c r="Y549" s="511"/>
      <c r="Z549" s="511"/>
      <c r="AA549" s="506"/>
      <c r="AB549" s="510">
        <v>44130</v>
      </c>
      <c r="AC549" s="548" t="s">
        <v>7679</v>
      </c>
      <c r="AD549" s="506"/>
      <c r="AE549" s="506"/>
      <c r="AJ549" s="1944"/>
      <c r="AK549" s="1944"/>
      <c r="AL549" s="1944"/>
      <c r="AM549" s="1944"/>
      <c r="AN549" s="1944"/>
      <c r="AO549" s="1944"/>
      <c r="AP549" s="1944"/>
      <c r="AQ549" s="1944"/>
      <c r="AR549" s="1944"/>
      <c r="AS549" s="1944"/>
    </row>
    <row r="550" spans="1:45" ht="15.75" thickBot="1">
      <c r="A550" s="1944"/>
      <c r="B550" s="1944"/>
      <c r="C550" s="1380">
        <v>44049</v>
      </c>
      <c r="D550" s="1377" t="s">
        <v>7274</v>
      </c>
      <c r="E550" s="1376" t="s">
        <v>69</v>
      </c>
      <c r="F550" s="1376" t="s">
        <v>70</v>
      </c>
      <c r="G550" s="1378" t="s">
        <v>7275</v>
      </c>
      <c r="H550" s="1376">
        <v>3</v>
      </c>
      <c r="I550" s="1421" t="s">
        <v>7005</v>
      </c>
      <c r="J550" s="1376"/>
      <c r="K550" s="1376" t="s">
        <v>1147</v>
      </c>
      <c r="L550" s="1376"/>
      <c r="M550" s="1379">
        <v>9316800</v>
      </c>
      <c r="N550" s="1376" t="s">
        <v>251</v>
      </c>
      <c r="O550" s="1380">
        <v>44050</v>
      </c>
      <c r="P550" s="1380">
        <v>44084</v>
      </c>
      <c r="Q550" s="1380">
        <v>44097</v>
      </c>
      <c r="R550" s="1421" t="s">
        <v>2548</v>
      </c>
      <c r="S550" s="1376"/>
      <c r="T550" s="1379">
        <v>9225000</v>
      </c>
      <c r="U550" s="1379">
        <v>10147500</v>
      </c>
      <c r="V550" s="1475"/>
      <c r="W550" s="1475"/>
      <c r="X550" s="1475"/>
      <c r="Y550" s="1388">
        <v>44097</v>
      </c>
      <c r="Z550" s="1379" t="s">
        <v>7661</v>
      </c>
      <c r="AA550" s="1380">
        <v>44124</v>
      </c>
      <c r="AB550" s="1380">
        <v>44130</v>
      </c>
      <c r="AC550" s="1380">
        <v>45218</v>
      </c>
      <c r="AD550" s="1380">
        <v>44278</v>
      </c>
      <c r="AE550" s="1380">
        <v>44645</v>
      </c>
      <c r="AF550" s="388">
        <v>2022</v>
      </c>
      <c r="AG550" s="388" t="s">
        <v>7799</v>
      </c>
      <c r="AJ550" s="1944"/>
      <c r="AK550" s="1944"/>
      <c r="AL550" s="1944"/>
      <c r="AM550" s="1944"/>
      <c r="AN550" s="1944"/>
      <c r="AO550" s="1944"/>
      <c r="AP550" s="1944"/>
      <c r="AQ550" s="1944"/>
      <c r="AR550" s="1944"/>
      <c r="AS550" s="1944"/>
    </row>
    <row r="551" spans="1:45" ht="15.75" thickTop="1">
      <c r="A551" s="1944"/>
      <c r="B551" s="1944"/>
      <c r="C551" s="365">
        <v>44048</v>
      </c>
      <c r="D551" s="1397" t="s">
        <v>7281</v>
      </c>
      <c r="E551" s="3210" t="s">
        <v>2111</v>
      </c>
      <c r="F551" s="3210" t="s">
        <v>4440</v>
      </c>
      <c r="G551" s="2517" t="s">
        <v>7282</v>
      </c>
      <c r="H551" s="3210"/>
      <c r="I551" s="3211"/>
      <c r="J551" s="3210"/>
      <c r="K551" s="3210" t="s">
        <v>642</v>
      </c>
      <c r="L551" s="3210"/>
      <c r="M551" s="364">
        <v>1800000</v>
      </c>
      <c r="N551" s="3210" t="s">
        <v>112</v>
      </c>
      <c r="O551" s="365">
        <v>44053</v>
      </c>
      <c r="P551" s="365">
        <v>44060</v>
      </c>
      <c r="Q551" s="365">
        <v>44074</v>
      </c>
      <c r="R551" s="3211" t="s">
        <v>7468</v>
      </c>
      <c r="S551" s="3210"/>
      <c r="T551" s="364">
        <v>1102500</v>
      </c>
      <c r="U551" s="364">
        <v>1334025</v>
      </c>
      <c r="V551" s="1473"/>
      <c r="W551" s="1473"/>
      <c r="X551" s="1473"/>
      <c r="Y551" s="681">
        <v>44074</v>
      </c>
      <c r="Z551" s="364" t="s">
        <v>7479</v>
      </c>
      <c r="AA551" s="365">
        <v>44085</v>
      </c>
      <c r="AB551" s="365">
        <v>44088</v>
      </c>
      <c r="AC551" s="365">
        <v>44449</v>
      </c>
      <c r="AD551" s="365">
        <v>44643</v>
      </c>
      <c r="AE551" s="1513"/>
      <c r="AJ551" s="1944"/>
      <c r="AK551" s="1944"/>
      <c r="AL551" s="1944"/>
      <c r="AM551" s="1944"/>
      <c r="AN551" s="1944"/>
      <c r="AO551" s="1944"/>
      <c r="AP551" s="1944"/>
      <c r="AQ551" s="1944"/>
      <c r="AR551" s="1944"/>
      <c r="AS551" s="1944"/>
    </row>
    <row r="552" spans="1:45" ht="15.75" thickBot="1">
      <c r="A552" s="1944"/>
      <c r="B552" s="1944"/>
      <c r="C552" s="416">
        <v>44050</v>
      </c>
      <c r="D552" s="1468" t="s">
        <v>7286</v>
      </c>
      <c r="E552" s="411" t="s">
        <v>2111</v>
      </c>
      <c r="F552" s="411" t="s">
        <v>4440</v>
      </c>
      <c r="G552" s="412" t="s">
        <v>7287</v>
      </c>
      <c r="H552" s="411"/>
      <c r="I552" s="630"/>
      <c r="J552" s="411"/>
      <c r="K552" s="411" t="s">
        <v>7288</v>
      </c>
      <c r="L552" s="411"/>
      <c r="M552" s="417">
        <v>1440000</v>
      </c>
      <c r="N552" s="411" t="s">
        <v>112</v>
      </c>
      <c r="O552" s="416">
        <v>44054</v>
      </c>
      <c r="P552" s="416">
        <v>44061</v>
      </c>
      <c r="Q552" s="416">
        <v>44069</v>
      </c>
      <c r="R552" s="630" t="s">
        <v>7425</v>
      </c>
      <c r="S552" s="411"/>
      <c r="T552" s="417">
        <v>991200</v>
      </c>
      <c r="U552" s="417">
        <v>1199352</v>
      </c>
      <c r="V552" s="1480"/>
      <c r="W552" s="1480"/>
      <c r="X552" s="1480"/>
      <c r="Y552" s="513">
        <v>44069</v>
      </c>
      <c r="Z552" s="417" t="s">
        <v>7446</v>
      </c>
      <c r="AA552" s="416">
        <v>44085</v>
      </c>
      <c r="AB552" s="416">
        <v>44089</v>
      </c>
      <c r="AC552" s="416">
        <v>44449</v>
      </c>
      <c r="AD552" s="416">
        <v>44285</v>
      </c>
      <c r="AE552" s="416">
        <v>44641</v>
      </c>
      <c r="AJ552" s="1944"/>
      <c r="AK552" s="1944"/>
      <c r="AL552" s="1944"/>
      <c r="AM552" s="1944"/>
      <c r="AN552" s="1944"/>
      <c r="AO552" s="1944"/>
      <c r="AP552" s="1944"/>
      <c r="AQ552" s="1944"/>
      <c r="AR552" s="1944"/>
      <c r="AS552" s="1944"/>
    </row>
    <row r="553" spans="1:45" ht="30.75" thickTop="1">
      <c r="A553" s="1944"/>
      <c r="B553" s="1944"/>
      <c r="C553" s="474">
        <v>44033</v>
      </c>
      <c r="D553" s="1383" t="s">
        <v>7289</v>
      </c>
      <c r="E553" s="453" t="s">
        <v>2434</v>
      </c>
      <c r="F553" s="453" t="s">
        <v>3204</v>
      </c>
      <c r="G553" s="473" t="s">
        <v>7291</v>
      </c>
      <c r="H553" s="453">
        <v>1</v>
      </c>
      <c r="I553" s="1420" t="s">
        <v>8034</v>
      </c>
      <c r="J553" s="453"/>
      <c r="K553" s="453" t="s">
        <v>7293</v>
      </c>
      <c r="L553" s="453"/>
      <c r="M553" s="457">
        <v>988250</v>
      </c>
      <c r="N553" s="453" t="s">
        <v>251</v>
      </c>
      <c r="O553" s="474">
        <v>44069</v>
      </c>
      <c r="P553" s="474">
        <v>44116</v>
      </c>
      <c r="Q553" s="474">
        <v>44131</v>
      </c>
      <c r="R553" s="1420" t="s">
        <v>7136</v>
      </c>
      <c r="S553" s="453"/>
      <c r="T553" s="457">
        <v>988250</v>
      </c>
      <c r="U553" s="457">
        <v>1195782.5</v>
      </c>
      <c r="V553" s="1474"/>
      <c r="W553" s="1474"/>
      <c r="X553" s="1474"/>
      <c r="Y553" s="570">
        <v>44131</v>
      </c>
      <c r="Z553" s="1387" t="s">
        <v>7827</v>
      </c>
      <c r="AA553" s="474">
        <v>44173</v>
      </c>
      <c r="AB553" s="474">
        <v>44180</v>
      </c>
      <c r="AC553" s="474">
        <v>44902</v>
      </c>
      <c r="AD553" s="474">
        <v>44285</v>
      </c>
      <c r="AE553" s="474">
        <v>44641</v>
      </c>
      <c r="AF553" s="388" t="s">
        <v>8033</v>
      </c>
      <c r="AJ553" s="1944"/>
      <c r="AK553" s="1944"/>
      <c r="AL553" s="1944"/>
      <c r="AM553" s="1944"/>
      <c r="AN553" s="1944"/>
      <c r="AO553" s="1944"/>
      <c r="AP553" s="1944"/>
      <c r="AQ553" s="1944"/>
      <c r="AR553" s="1944"/>
      <c r="AS553" s="1944"/>
    </row>
    <row r="554" spans="1:45" ht="30">
      <c r="A554" s="1944"/>
      <c r="B554" s="1944"/>
      <c r="C554" s="537">
        <v>44033</v>
      </c>
      <c r="D554" s="1373" t="s">
        <v>7289</v>
      </c>
      <c r="E554" s="491" t="s">
        <v>2434</v>
      </c>
      <c r="F554" s="491" t="s">
        <v>3204</v>
      </c>
      <c r="G554" s="571" t="s">
        <v>7291</v>
      </c>
      <c r="H554" s="491">
        <v>2</v>
      </c>
      <c r="I554" s="495" t="s">
        <v>7808</v>
      </c>
      <c r="J554" s="491"/>
      <c r="K554" s="491" t="s">
        <v>7293</v>
      </c>
      <c r="L554" s="491"/>
      <c r="M554" s="536">
        <v>3600000</v>
      </c>
      <c r="N554" s="491" t="s">
        <v>251</v>
      </c>
      <c r="O554" s="537">
        <v>44069</v>
      </c>
      <c r="P554" s="537">
        <v>44116</v>
      </c>
      <c r="Q554" s="537">
        <v>44131</v>
      </c>
      <c r="R554" s="495" t="s">
        <v>7136</v>
      </c>
      <c r="S554" s="491"/>
      <c r="T554" s="536">
        <v>3600000</v>
      </c>
      <c r="U554" s="536">
        <v>4356000</v>
      </c>
      <c r="V554" s="1471"/>
      <c r="W554" s="1471"/>
      <c r="X554" s="1471"/>
      <c r="Y554" s="573">
        <v>44131</v>
      </c>
      <c r="Z554" s="1375" t="s">
        <v>7828</v>
      </c>
      <c r="AA554" s="537">
        <v>44173</v>
      </c>
      <c r="AB554" s="537">
        <v>44180</v>
      </c>
      <c r="AC554" s="537">
        <v>44902</v>
      </c>
      <c r="AD554" s="537">
        <v>44285</v>
      </c>
      <c r="AE554" s="537">
        <v>44641</v>
      </c>
      <c r="AF554" s="388" t="s">
        <v>8033</v>
      </c>
      <c r="AJ554" s="1944"/>
      <c r="AK554" s="1944"/>
      <c r="AL554" s="1944"/>
      <c r="AM554" s="1944"/>
      <c r="AN554" s="1944"/>
      <c r="AO554" s="1944"/>
      <c r="AP554" s="1944"/>
      <c r="AQ554" s="1944"/>
      <c r="AR554" s="1944"/>
      <c r="AS554" s="1944"/>
    </row>
    <row r="555" spans="1:45" ht="30.75" thickBot="1">
      <c r="A555" s="1944"/>
      <c r="B555" s="1944"/>
      <c r="C555" s="1380">
        <v>44033</v>
      </c>
      <c r="D555" s="1377" t="s">
        <v>7289</v>
      </c>
      <c r="E555" s="1376" t="s">
        <v>2434</v>
      </c>
      <c r="F555" s="1376" t="s">
        <v>3204</v>
      </c>
      <c r="G555" s="1378" t="s">
        <v>7291</v>
      </c>
      <c r="H555" s="1376">
        <v>3</v>
      </c>
      <c r="I555" s="1421" t="s">
        <v>7427</v>
      </c>
      <c r="J555" s="1376"/>
      <c r="K555" s="1376" t="s">
        <v>7293</v>
      </c>
      <c r="L555" s="1376"/>
      <c r="M555" s="1379">
        <v>3088000</v>
      </c>
      <c r="N555" s="1376" t="s">
        <v>251</v>
      </c>
      <c r="O555" s="1380">
        <v>44069</v>
      </c>
      <c r="P555" s="1380">
        <v>44116</v>
      </c>
      <c r="Q555" s="1380">
        <v>44131</v>
      </c>
      <c r="R555" s="1421" t="s">
        <v>7136</v>
      </c>
      <c r="S555" s="1376"/>
      <c r="T555" s="1379">
        <v>3088000</v>
      </c>
      <c r="U555" s="1379">
        <v>3736480</v>
      </c>
      <c r="V555" s="1475"/>
      <c r="W555" s="1475"/>
      <c r="X555" s="1475"/>
      <c r="Y555" s="1388">
        <v>44131</v>
      </c>
      <c r="Z555" s="1389" t="s">
        <v>7829</v>
      </c>
      <c r="AA555" s="1380">
        <v>44173</v>
      </c>
      <c r="AB555" s="1380">
        <v>44180</v>
      </c>
      <c r="AC555" s="1380">
        <v>44902</v>
      </c>
      <c r="AD555" s="416">
        <v>44285</v>
      </c>
      <c r="AE555" s="416">
        <v>44641</v>
      </c>
      <c r="AF555" s="388" t="s">
        <v>8033</v>
      </c>
      <c r="AJ555" s="1944"/>
      <c r="AK555" s="1944"/>
      <c r="AL555" s="1944"/>
      <c r="AM555" s="1944"/>
      <c r="AN555" s="1944"/>
      <c r="AO555" s="1944"/>
      <c r="AP555" s="1944"/>
      <c r="AQ555" s="1944"/>
      <c r="AR555" s="1944"/>
      <c r="AS555" s="1944"/>
    </row>
    <row r="556" spans="1:45" ht="30.75" thickTop="1">
      <c r="A556" s="1944"/>
      <c r="B556" s="1944"/>
      <c r="C556" s="474">
        <v>44033</v>
      </c>
      <c r="D556" s="1383" t="s">
        <v>7294</v>
      </c>
      <c r="E556" s="453" t="s">
        <v>2434</v>
      </c>
      <c r="F556" s="453" t="s">
        <v>3204</v>
      </c>
      <c r="G556" s="473" t="s">
        <v>7295</v>
      </c>
      <c r="H556" s="453">
        <v>1</v>
      </c>
      <c r="I556" s="1420" t="s">
        <v>7290</v>
      </c>
      <c r="J556" s="453"/>
      <c r="K556" s="453" t="s">
        <v>7293</v>
      </c>
      <c r="L556" s="453"/>
      <c r="M556" s="457">
        <v>565000</v>
      </c>
      <c r="N556" s="453" t="s">
        <v>251</v>
      </c>
      <c r="O556" s="474">
        <v>44070</v>
      </c>
      <c r="P556" s="474">
        <v>44116</v>
      </c>
      <c r="Q556" s="474">
        <v>44131</v>
      </c>
      <c r="R556" s="1420" t="s">
        <v>6592</v>
      </c>
      <c r="S556" s="453"/>
      <c r="T556" s="457">
        <v>565000</v>
      </c>
      <c r="U556" s="457">
        <v>683650</v>
      </c>
      <c r="V556" s="1474"/>
      <c r="W556" s="1474"/>
      <c r="X556" s="1474"/>
      <c r="Y556" s="570">
        <v>44131</v>
      </c>
      <c r="Z556" s="1387" t="s">
        <v>7830</v>
      </c>
      <c r="AA556" s="474">
        <v>44160</v>
      </c>
      <c r="AB556" s="474">
        <v>44165</v>
      </c>
      <c r="AC556" s="474">
        <v>44889</v>
      </c>
      <c r="AD556" s="453" t="s">
        <v>8483</v>
      </c>
      <c r="AE556" s="474">
        <v>44641</v>
      </c>
      <c r="AF556" s="1391" t="s">
        <v>7944</v>
      </c>
      <c r="AJ556" s="1944"/>
      <c r="AK556" s="1944"/>
      <c r="AL556" s="1944"/>
      <c r="AM556" s="1944"/>
      <c r="AN556" s="1944"/>
      <c r="AO556" s="1944"/>
      <c r="AP556" s="1944"/>
      <c r="AQ556" s="1944"/>
      <c r="AR556" s="1944"/>
      <c r="AS556" s="1944"/>
    </row>
    <row r="557" spans="1:45" ht="30">
      <c r="A557" s="1944"/>
      <c r="B557" s="1944"/>
      <c r="C557" s="537">
        <v>44033</v>
      </c>
      <c r="D557" s="1373" t="s">
        <v>7294</v>
      </c>
      <c r="E557" s="491" t="s">
        <v>2434</v>
      </c>
      <c r="F557" s="491" t="s">
        <v>3204</v>
      </c>
      <c r="G557" s="571" t="s">
        <v>7295</v>
      </c>
      <c r="H557" s="491">
        <v>2</v>
      </c>
      <c r="I557" s="495" t="s">
        <v>7808</v>
      </c>
      <c r="J557" s="491"/>
      <c r="K557" s="491" t="s">
        <v>7293</v>
      </c>
      <c r="L557" s="491"/>
      <c r="M557" s="536">
        <v>1928335</v>
      </c>
      <c r="N557" s="491" t="s">
        <v>251</v>
      </c>
      <c r="O557" s="537">
        <v>44070</v>
      </c>
      <c r="P557" s="537">
        <v>44116</v>
      </c>
      <c r="Q557" s="537">
        <v>44131</v>
      </c>
      <c r="R557" s="495" t="s">
        <v>6592</v>
      </c>
      <c r="S557" s="491"/>
      <c r="T557" s="536">
        <v>1928335</v>
      </c>
      <c r="U557" s="536">
        <v>2333285.35</v>
      </c>
      <c r="V557" s="1471"/>
      <c r="W557" s="1471"/>
      <c r="X557" s="1471"/>
      <c r="Y557" s="573">
        <v>44131</v>
      </c>
      <c r="Z557" s="1375" t="s">
        <v>7831</v>
      </c>
      <c r="AA557" s="537">
        <v>44160</v>
      </c>
      <c r="AB557" s="537">
        <v>44165</v>
      </c>
      <c r="AC557" s="537">
        <v>44889</v>
      </c>
      <c r="AD557" s="537">
        <v>44285</v>
      </c>
      <c r="AE557" s="537">
        <v>44641</v>
      </c>
      <c r="AF557" s="1374" t="s">
        <v>7944</v>
      </c>
      <c r="AJ557" s="1944"/>
      <c r="AK557" s="1944"/>
      <c r="AL557" s="1944"/>
      <c r="AM557" s="1944"/>
      <c r="AN557" s="1944"/>
      <c r="AO557" s="1944"/>
      <c r="AP557" s="1944"/>
      <c r="AQ557" s="1944"/>
      <c r="AR557" s="1944"/>
      <c r="AS557" s="1944"/>
    </row>
    <row r="558" spans="1:45" ht="30.75" thickBot="1">
      <c r="A558" s="1944"/>
      <c r="B558" s="1944"/>
      <c r="C558" s="1380">
        <v>44033</v>
      </c>
      <c r="D558" s="1377" t="s">
        <v>7294</v>
      </c>
      <c r="E558" s="1376" t="s">
        <v>2434</v>
      </c>
      <c r="F558" s="1376" t="s">
        <v>3204</v>
      </c>
      <c r="G558" s="1378" t="s">
        <v>7295</v>
      </c>
      <c r="H558" s="1376">
        <v>3</v>
      </c>
      <c r="I558" s="1421" t="s">
        <v>7292</v>
      </c>
      <c r="J558" s="1376"/>
      <c r="K558" s="1376" t="s">
        <v>7293</v>
      </c>
      <c r="L558" s="1376"/>
      <c r="M558" s="1379">
        <v>1560000</v>
      </c>
      <c r="N558" s="1376" t="s">
        <v>251</v>
      </c>
      <c r="O558" s="1380">
        <v>44070</v>
      </c>
      <c r="P558" s="1380">
        <v>44116</v>
      </c>
      <c r="Q558" s="1380">
        <v>44131</v>
      </c>
      <c r="R558" s="1421" t="s">
        <v>6592</v>
      </c>
      <c r="S558" s="1376"/>
      <c r="T558" s="1379">
        <v>1560000</v>
      </c>
      <c r="U558" s="1379">
        <v>1887600</v>
      </c>
      <c r="V558" s="1475"/>
      <c r="W558" s="1475"/>
      <c r="X558" s="1475"/>
      <c r="Y558" s="1388">
        <v>44131</v>
      </c>
      <c r="Z558" s="1389" t="s">
        <v>7832</v>
      </c>
      <c r="AA558" s="1380">
        <v>44160</v>
      </c>
      <c r="AB558" s="1380">
        <v>44165</v>
      </c>
      <c r="AC558" s="1380">
        <v>44889</v>
      </c>
      <c r="AD558" s="1376" t="s">
        <v>8483</v>
      </c>
      <c r="AE558" s="1380">
        <v>44641</v>
      </c>
      <c r="AF558" s="1381" t="s">
        <v>7944</v>
      </c>
      <c r="AJ558" s="1944"/>
      <c r="AK558" s="1944"/>
      <c r="AL558" s="1944"/>
      <c r="AM558" s="1944"/>
      <c r="AN558" s="1944"/>
      <c r="AO558" s="1944"/>
      <c r="AP558" s="1944"/>
      <c r="AQ558" s="1944"/>
      <c r="AR558" s="1944"/>
      <c r="AS558" s="1944"/>
    </row>
    <row r="559" spans="1:45" ht="15.75" thickTop="1">
      <c r="A559" s="1944"/>
      <c r="B559" s="1944"/>
      <c r="C559" s="470">
        <v>44049</v>
      </c>
      <c r="D559" s="1515" t="s">
        <v>7298</v>
      </c>
      <c r="E559" s="466" t="s">
        <v>6561</v>
      </c>
      <c r="F559" s="466" t="s">
        <v>4864</v>
      </c>
      <c r="G559" s="467" t="s">
        <v>7299</v>
      </c>
      <c r="H559" s="466"/>
      <c r="I559" s="654"/>
      <c r="J559" s="466"/>
      <c r="K559" s="466" t="s">
        <v>250</v>
      </c>
      <c r="L559" s="466"/>
      <c r="M559" s="472">
        <v>1560000</v>
      </c>
      <c r="N559" s="466" t="s">
        <v>112</v>
      </c>
      <c r="O559" s="470">
        <v>44060</v>
      </c>
      <c r="P559" s="470">
        <v>44075</v>
      </c>
      <c r="Q559" s="466"/>
      <c r="R559" s="471" t="s">
        <v>7521</v>
      </c>
      <c r="S559" s="466"/>
      <c r="T559" s="472"/>
      <c r="U559" s="472"/>
      <c r="V559" s="1516"/>
      <c r="W559" s="1516"/>
      <c r="X559" s="1516"/>
      <c r="Y559" s="472"/>
      <c r="Z559" s="472"/>
      <c r="AA559" s="466"/>
      <c r="AB559" s="470">
        <v>44077</v>
      </c>
      <c r="AC559" s="466"/>
      <c r="AD559" s="466"/>
      <c r="AE559" s="466"/>
      <c r="AJ559" s="1944"/>
      <c r="AK559" s="1944"/>
      <c r="AL559" s="1944"/>
      <c r="AM559" s="1944"/>
      <c r="AN559" s="1944"/>
      <c r="AO559" s="1944"/>
      <c r="AP559" s="1944"/>
      <c r="AQ559" s="1944"/>
      <c r="AR559" s="1944"/>
      <c r="AS559" s="1944"/>
    </row>
    <row r="560" spans="1:45" ht="15.75" thickBot="1">
      <c r="A560" s="1944"/>
      <c r="B560" s="1944"/>
      <c r="C560" s="416">
        <v>44050</v>
      </c>
      <c r="D560" s="1468" t="s">
        <v>7300</v>
      </c>
      <c r="E560" s="411" t="s">
        <v>2111</v>
      </c>
      <c r="F560" s="411" t="s">
        <v>4440</v>
      </c>
      <c r="G560" s="412" t="s">
        <v>7301</v>
      </c>
      <c r="H560" s="411"/>
      <c r="I560" s="630"/>
      <c r="J560" s="411"/>
      <c r="K560" s="411" t="s">
        <v>7288</v>
      </c>
      <c r="L560" s="411"/>
      <c r="M560" s="417">
        <v>400000</v>
      </c>
      <c r="N560" s="411" t="s">
        <v>112</v>
      </c>
      <c r="O560" s="416">
        <v>44054</v>
      </c>
      <c r="P560" s="416">
        <v>44061</v>
      </c>
      <c r="Q560" s="416">
        <v>44069</v>
      </c>
      <c r="R560" s="630" t="s">
        <v>7425</v>
      </c>
      <c r="S560" s="411"/>
      <c r="T560" s="417">
        <v>330550</v>
      </c>
      <c r="U560" s="417">
        <v>399965.5</v>
      </c>
      <c r="V560" s="1480"/>
      <c r="W560" s="1480"/>
      <c r="X560" s="1480"/>
      <c r="Y560" s="513">
        <v>44069</v>
      </c>
      <c r="Z560" s="417" t="s">
        <v>7451</v>
      </c>
      <c r="AA560" s="416">
        <v>44085</v>
      </c>
      <c r="AB560" s="416">
        <v>44089</v>
      </c>
      <c r="AC560" s="416">
        <v>44449</v>
      </c>
      <c r="AD560" s="416">
        <v>44285</v>
      </c>
      <c r="AE560" s="967"/>
      <c r="AJ560" s="1944"/>
      <c r="AK560" s="1944"/>
      <c r="AL560" s="1944"/>
      <c r="AM560" s="1944"/>
      <c r="AN560" s="1944"/>
      <c r="AO560" s="1944"/>
      <c r="AP560" s="1944"/>
      <c r="AQ560" s="1944"/>
      <c r="AR560" s="1944"/>
      <c r="AS560" s="1944"/>
    </row>
    <row r="561" spans="1:45" ht="15.75" thickTop="1">
      <c r="A561" s="1944"/>
      <c r="B561" s="1944"/>
      <c r="C561" s="443">
        <v>44050</v>
      </c>
      <c r="D561" s="1415" t="s">
        <v>7304</v>
      </c>
      <c r="E561" s="439" t="s">
        <v>69</v>
      </c>
      <c r="F561" s="439" t="s">
        <v>70</v>
      </c>
      <c r="G561" s="440" t="s">
        <v>7305</v>
      </c>
      <c r="H561" s="439">
        <v>1</v>
      </c>
      <c r="I561" s="1431" t="s">
        <v>7306</v>
      </c>
      <c r="J561" s="439"/>
      <c r="K561" s="439" t="s">
        <v>3435</v>
      </c>
      <c r="L561" s="439"/>
      <c r="M561" s="444">
        <v>13114622</v>
      </c>
      <c r="N561" s="439" t="s">
        <v>251</v>
      </c>
      <c r="O561" s="443">
        <v>44054</v>
      </c>
      <c r="P561" s="443">
        <v>44089</v>
      </c>
      <c r="Q561" s="443"/>
      <c r="R561" s="753" t="s">
        <v>4964</v>
      </c>
      <c r="S561" s="439"/>
      <c r="T561" s="444"/>
      <c r="U561" s="444"/>
      <c r="V561" s="1481"/>
      <c r="W561" s="1481"/>
      <c r="X561" s="1481"/>
      <c r="Y561" s="444"/>
      <c r="Z561" s="444"/>
      <c r="AA561" s="439"/>
      <c r="AB561" s="443">
        <v>44133</v>
      </c>
      <c r="AC561" s="1431" t="s">
        <v>7689</v>
      </c>
      <c r="AD561" s="439"/>
      <c r="AE561" s="439"/>
      <c r="AJ561" s="1944"/>
      <c r="AK561" s="1944"/>
      <c r="AL561" s="1944"/>
      <c r="AM561" s="1944"/>
      <c r="AN561" s="1944"/>
      <c r="AO561" s="1944"/>
      <c r="AP561" s="1944"/>
      <c r="AQ561" s="1944"/>
      <c r="AR561" s="1944"/>
      <c r="AS561" s="1944"/>
    </row>
    <row r="562" spans="1:45">
      <c r="A562" s="1944"/>
      <c r="B562" s="1944"/>
      <c r="C562" s="537">
        <v>44050</v>
      </c>
      <c r="D562" s="1373" t="s">
        <v>7304</v>
      </c>
      <c r="E562" s="491" t="s">
        <v>69</v>
      </c>
      <c r="F562" s="491" t="s">
        <v>70</v>
      </c>
      <c r="G562" s="571" t="s">
        <v>7305</v>
      </c>
      <c r="H562" s="491">
        <v>2</v>
      </c>
      <c r="I562" s="495" t="s">
        <v>7307</v>
      </c>
      <c r="J562" s="491"/>
      <c r="K562" s="491" t="s">
        <v>3435</v>
      </c>
      <c r="L562" s="491"/>
      <c r="M562" s="536">
        <v>2298259</v>
      </c>
      <c r="N562" s="491" t="s">
        <v>251</v>
      </c>
      <c r="O562" s="537">
        <v>44054</v>
      </c>
      <c r="P562" s="537">
        <v>44089</v>
      </c>
      <c r="Q562" s="537">
        <v>44105</v>
      </c>
      <c r="R562" s="495" t="s">
        <v>2548</v>
      </c>
      <c r="S562" s="491"/>
      <c r="T562" s="536">
        <v>2296032.81</v>
      </c>
      <c r="U562" s="536">
        <v>2525636.09</v>
      </c>
      <c r="V562" s="1471"/>
      <c r="W562" s="1471"/>
      <c r="X562" s="1471"/>
      <c r="Y562" s="573">
        <v>44105</v>
      </c>
      <c r="Z562" s="536" t="s">
        <v>7684</v>
      </c>
      <c r="AA562" s="537">
        <v>44137</v>
      </c>
      <c r="AB562" s="537">
        <v>44140</v>
      </c>
      <c r="AC562" s="537">
        <v>45231</v>
      </c>
      <c r="AD562" s="537">
        <v>44278</v>
      </c>
      <c r="AE562" s="537">
        <v>44645</v>
      </c>
      <c r="AF562" s="388">
        <v>2022</v>
      </c>
      <c r="AG562" s="388" t="s">
        <v>7856</v>
      </c>
      <c r="AJ562" s="1944"/>
      <c r="AK562" s="1944"/>
      <c r="AL562" s="1944"/>
      <c r="AM562" s="1944"/>
      <c r="AN562" s="1944"/>
      <c r="AO562" s="1944"/>
      <c r="AP562" s="1944"/>
      <c r="AQ562" s="1944"/>
      <c r="AR562" s="1944"/>
      <c r="AS562" s="1944"/>
    </row>
    <row r="563" spans="1:45" ht="15.75" thickBot="1">
      <c r="A563" s="1944"/>
      <c r="B563" s="1944"/>
      <c r="C563" s="1414">
        <v>44050</v>
      </c>
      <c r="D563" s="1411" t="s">
        <v>7304</v>
      </c>
      <c r="E563" s="1410" t="s">
        <v>69</v>
      </c>
      <c r="F563" s="1410" t="s">
        <v>70</v>
      </c>
      <c r="G563" s="1412" t="s">
        <v>7305</v>
      </c>
      <c r="H563" s="1410">
        <v>3</v>
      </c>
      <c r="I563" s="1430" t="s">
        <v>7308</v>
      </c>
      <c r="J563" s="1356"/>
      <c r="K563" s="1410" t="s">
        <v>3435</v>
      </c>
      <c r="L563" s="1410"/>
      <c r="M563" s="1413">
        <v>32395073</v>
      </c>
      <c r="N563" s="1410" t="s">
        <v>251</v>
      </c>
      <c r="O563" s="1414">
        <v>44054</v>
      </c>
      <c r="P563" s="1414">
        <v>44089</v>
      </c>
      <c r="Q563" s="1410"/>
      <c r="R563" s="1710" t="s">
        <v>304</v>
      </c>
      <c r="S563" s="1410"/>
      <c r="T563" s="1413"/>
      <c r="U563" s="1413"/>
      <c r="V563" s="1485"/>
      <c r="W563" s="1485"/>
      <c r="X563" s="1485"/>
      <c r="Y563" s="1413"/>
      <c r="Z563" s="1413"/>
      <c r="AA563" s="1410"/>
      <c r="AB563" s="1414">
        <v>44133</v>
      </c>
      <c r="AC563" s="1430" t="s">
        <v>7689</v>
      </c>
      <c r="AD563" s="1410"/>
      <c r="AE563" s="1410"/>
      <c r="AJ563" s="1944"/>
      <c r="AK563" s="1944"/>
      <c r="AL563" s="1944"/>
      <c r="AM563" s="1944"/>
      <c r="AN563" s="1944"/>
      <c r="AO563" s="1944"/>
      <c r="AP563" s="1944"/>
      <c r="AQ563" s="1944"/>
      <c r="AR563" s="1944"/>
      <c r="AS563" s="1944"/>
    </row>
    <row r="564" spans="1:45" ht="15.75" thickTop="1">
      <c r="A564" s="1944"/>
      <c r="B564" s="1944"/>
      <c r="C564" s="443">
        <v>44050</v>
      </c>
      <c r="D564" s="1415" t="s">
        <v>7312</v>
      </c>
      <c r="E564" s="439" t="s">
        <v>69</v>
      </c>
      <c r="F564" s="439" t="s">
        <v>70</v>
      </c>
      <c r="G564" s="440" t="s">
        <v>7313</v>
      </c>
      <c r="H564" s="439">
        <v>1</v>
      </c>
      <c r="I564" s="1431" t="s">
        <v>7309</v>
      </c>
      <c r="J564" s="439"/>
      <c r="K564" s="439" t="s">
        <v>7097</v>
      </c>
      <c r="L564" s="439"/>
      <c r="M564" s="444">
        <v>16631778</v>
      </c>
      <c r="N564" s="439" t="s">
        <v>251</v>
      </c>
      <c r="O564" s="443">
        <v>44057</v>
      </c>
      <c r="P564" s="443">
        <v>44091</v>
      </c>
      <c r="Q564" s="439"/>
      <c r="R564" s="753" t="s">
        <v>7542</v>
      </c>
      <c r="S564" s="439"/>
      <c r="T564" s="444"/>
      <c r="U564" s="444"/>
      <c r="V564" s="1481"/>
      <c r="W564" s="1481"/>
      <c r="X564" s="1481"/>
      <c r="Y564" s="444"/>
      <c r="Z564" s="444"/>
      <c r="AA564" s="439"/>
      <c r="AB564" s="443">
        <v>44081</v>
      </c>
      <c r="AC564" s="439" t="s">
        <v>7541</v>
      </c>
      <c r="AD564" s="439"/>
      <c r="AE564" s="439"/>
      <c r="AJ564" s="1944"/>
      <c r="AK564" s="1944"/>
      <c r="AL564" s="1944"/>
      <c r="AM564" s="1944"/>
      <c r="AN564" s="1944"/>
      <c r="AO564" s="1944"/>
      <c r="AP564" s="1944"/>
      <c r="AQ564" s="1944"/>
      <c r="AR564" s="1944"/>
      <c r="AS564" s="1944"/>
    </row>
    <row r="565" spans="1:45">
      <c r="A565" s="1944"/>
      <c r="B565" s="1944"/>
      <c r="C565" s="544">
        <v>44050</v>
      </c>
      <c r="D565" s="1357" t="s">
        <v>7312</v>
      </c>
      <c r="E565" s="540" t="s">
        <v>69</v>
      </c>
      <c r="F565" s="540" t="s">
        <v>70</v>
      </c>
      <c r="G565" s="541" t="s">
        <v>7313</v>
      </c>
      <c r="H565" s="540">
        <v>2</v>
      </c>
      <c r="I565" s="1402" t="s">
        <v>7160</v>
      </c>
      <c r="J565" s="590"/>
      <c r="K565" s="540" t="s">
        <v>7097</v>
      </c>
      <c r="L565" s="540"/>
      <c r="M565" s="545">
        <v>4474683</v>
      </c>
      <c r="N565" s="540" t="s">
        <v>251</v>
      </c>
      <c r="O565" s="544">
        <v>44057</v>
      </c>
      <c r="P565" s="544">
        <v>44091</v>
      </c>
      <c r="Q565" s="544">
        <v>44182</v>
      </c>
      <c r="R565" s="1402" t="s">
        <v>5774</v>
      </c>
      <c r="S565" s="540"/>
      <c r="T565" s="545">
        <v>4452801.9000000004</v>
      </c>
      <c r="U565" s="545">
        <v>4898082.09</v>
      </c>
      <c r="V565" s="1484"/>
      <c r="W565" s="1484"/>
      <c r="X565" s="1484"/>
      <c r="Y565" s="1385">
        <v>44183</v>
      </c>
      <c r="Z565" s="545" t="s">
        <v>8083</v>
      </c>
      <c r="AA565" s="540"/>
      <c r="AB565" s="540"/>
      <c r="AC565" s="540"/>
      <c r="AD565" s="540"/>
      <c r="AE565" s="540"/>
      <c r="AJ565" s="1944"/>
      <c r="AK565" s="1944"/>
      <c r="AL565" s="1944"/>
      <c r="AM565" s="1944"/>
      <c r="AN565" s="1944"/>
      <c r="AO565" s="1944"/>
      <c r="AP565" s="1944"/>
      <c r="AQ565" s="1944"/>
      <c r="AR565" s="1944"/>
      <c r="AS565" s="1944"/>
    </row>
    <row r="566" spans="1:45">
      <c r="A566" s="1944"/>
      <c r="B566" s="1944"/>
      <c r="C566" s="544">
        <v>44050</v>
      </c>
      <c r="D566" s="1357" t="s">
        <v>7312</v>
      </c>
      <c r="E566" s="540" t="s">
        <v>69</v>
      </c>
      <c r="F566" s="540" t="s">
        <v>70</v>
      </c>
      <c r="G566" s="541" t="s">
        <v>7313</v>
      </c>
      <c r="H566" s="540">
        <v>3</v>
      </c>
      <c r="I566" s="1402" t="s">
        <v>7310</v>
      </c>
      <c r="J566" s="590"/>
      <c r="K566" s="540" t="s">
        <v>7097</v>
      </c>
      <c r="L566" s="540"/>
      <c r="M566" s="545">
        <v>1138770</v>
      </c>
      <c r="N566" s="540" t="s">
        <v>251</v>
      </c>
      <c r="O566" s="544">
        <v>44057</v>
      </c>
      <c r="P566" s="544">
        <v>44091</v>
      </c>
      <c r="Q566" s="544">
        <v>44182</v>
      </c>
      <c r="R566" s="1402" t="s">
        <v>5774</v>
      </c>
      <c r="S566" s="540"/>
      <c r="T566" s="545">
        <v>940666.44</v>
      </c>
      <c r="U566" s="545">
        <v>1034733.08</v>
      </c>
      <c r="V566" s="1484"/>
      <c r="W566" s="1484"/>
      <c r="X566" s="1484"/>
      <c r="Y566" s="1385">
        <v>44183</v>
      </c>
      <c r="Z566" s="545" t="s">
        <v>8084</v>
      </c>
      <c r="AA566" s="540"/>
      <c r="AB566" s="540"/>
      <c r="AC566" s="540"/>
      <c r="AD566" s="540"/>
      <c r="AE566" s="540"/>
      <c r="AJ566" s="1944"/>
      <c r="AK566" s="1944"/>
      <c r="AL566" s="1944"/>
      <c r="AM566" s="1944"/>
      <c r="AN566" s="1944"/>
      <c r="AO566" s="1944"/>
      <c r="AP566" s="1944"/>
      <c r="AQ566" s="1944"/>
      <c r="AR566" s="1944"/>
      <c r="AS566" s="1944"/>
    </row>
    <row r="567" spans="1:45" ht="15.75" thickBot="1">
      <c r="A567" s="1944"/>
      <c r="B567" s="1944"/>
      <c r="C567" s="1363">
        <v>44050</v>
      </c>
      <c r="D567" s="1360" t="s">
        <v>7312</v>
      </c>
      <c r="E567" s="1355" t="s">
        <v>69</v>
      </c>
      <c r="F567" s="1355" t="s">
        <v>70</v>
      </c>
      <c r="G567" s="1361" t="s">
        <v>7313</v>
      </c>
      <c r="H567" s="1355">
        <v>4</v>
      </c>
      <c r="I567" s="1419" t="s">
        <v>7311</v>
      </c>
      <c r="J567" s="1356"/>
      <c r="K567" s="1355" t="s">
        <v>7097</v>
      </c>
      <c r="L567" s="1355"/>
      <c r="M567" s="1362">
        <v>933372</v>
      </c>
      <c r="N567" s="1355" t="s">
        <v>251</v>
      </c>
      <c r="O567" s="1363">
        <v>44057</v>
      </c>
      <c r="P567" s="1363">
        <v>44091</v>
      </c>
      <c r="Q567" s="1363">
        <v>44174</v>
      </c>
      <c r="R567" s="1419" t="s">
        <v>1564</v>
      </c>
      <c r="S567" s="1355"/>
      <c r="T567" s="1362">
        <v>933314.4</v>
      </c>
      <c r="U567" s="1362">
        <v>1026645.84</v>
      </c>
      <c r="V567" s="1485"/>
      <c r="W567" s="1485"/>
      <c r="X567" s="1485"/>
      <c r="Y567" s="1512">
        <v>44174</v>
      </c>
      <c r="Z567" s="1362" t="s">
        <v>8027</v>
      </c>
      <c r="AA567" s="1355"/>
      <c r="AB567" s="1355"/>
      <c r="AC567" s="1355"/>
      <c r="AD567" s="1355"/>
      <c r="AE567" s="1355"/>
      <c r="AJ567" s="1944"/>
      <c r="AK567" s="1944"/>
      <c r="AL567" s="1944"/>
      <c r="AM567" s="1944"/>
      <c r="AN567" s="1944"/>
      <c r="AO567" s="1944"/>
      <c r="AP567" s="1944"/>
      <c r="AQ567" s="1944"/>
      <c r="AR567" s="1944"/>
      <c r="AS567" s="1944"/>
    </row>
    <row r="568" spans="1:45" ht="15.75" thickTop="1">
      <c r="A568" s="1944"/>
      <c r="B568" s="1944"/>
      <c r="C568" s="365">
        <v>44049</v>
      </c>
      <c r="D568" s="1397" t="s">
        <v>7317</v>
      </c>
      <c r="E568" s="3210" t="s">
        <v>6561</v>
      </c>
      <c r="F568" s="3210" t="s">
        <v>4864</v>
      </c>
      <c r="G568" s="2517" t="s">
        <v>7318</v>
      </c>
      <c r="H568" s="3210"/>
      <c r="I568" s="3211"/>
      <c r="J568" s="3210"/>
      <c r="K568" s="3210" t="s">
        <v>7319</v>
      </c>
      <c r="L568" s="3210"/>
      <c r="M568" s="364">
        <v>2390000</v>
      </c>
      <c r="N568" s="3210" t="s">
        <v>112</v>
      </c>
      <c r="O568" s="365">
        <v>44069</v>
      </c>
      <c r="P568" s="365">
        <v>44082</v>
      </c>
      <c r="Q568" s="365">
        <v>44091</v>
      </c>
      <c r="R568" s="3211" t="s">
        <v>2162</v>
      </c>
      <c r="S568" s="3210"/>
      <c r="T568" s="364">
        <v>2049100</v>
      </c>
      <c r="U568" s="364">
        <f>T568*1.21</f>
        <v>2479411</v>
      </c>
      <c r="V568" s="1473"/>
      <c r="W568" s="1473"/>
      <c r="X568" s="1473"/>
      <c r="Y568" s="681">
        <v>44092</v>
      </c>
      <c r="Z568" s="364" t="s">
        <v>7615</v>
      </c>
      <c r="AA568" s="365">
        <v>44120</v>
      </c>
      <c r="AB568" s="365">
        <v>44120</v>
      </c>
      <c r="AC568" s="365">
        <f>AA568+60</f>
        <v>44180</v>
      </c>
      <c r="AD568" s="365">
        <v>44245</v>
      </c>
      <c r="AE568" s="1513"/>
      <c r="AJ568" s="1944"/>
      <c r="AK568" s="1944"/>
      <c r="AL568" s="1944"/>
      <c r="AM568" s="1944"/>
      <c r="AN568" s="1944"/>
      <c r="AO568" s="1944"/>
      <c r="AP568" s="1944"/>
      <c r="AQ568" s="1944"/>
      <c r="AR568" s="1944"/>
      <c r="AS568" s="1944"/>
    </row>
    <row r="569" spans="1:45" ht="30">
      <c r="A569" s="1944"/>
      <c r="B569" s="1944"/>
      <c r="C569" s="537">
        <v>44050</v>
      </c>
      <c r="D569" s="1373" t="s">
        <v>7320</v>
      </c>
      <c r="E569" s="491" t="s">
        <v>9694</v>
      </c>
      <c r="F569" s="491" t="s">
        <v>2684</v>
      </c>
      <c r="G569" s="571" t="s">
        <v>5174</v>
      </c>
      <c r="H569" s="491"/>
      <c r="I569" s="495"/>
      <c r="J569" s="491"/>
      <c r="K569" s="491" t="s">
        <v>86</v>
      </c>
      <c r="L569" s="491" t="s">
        <v>7321</v>
      </c>
      <c r="M569" s="536">
        <v>320096</v>
      </c>
      <c r="N569" s="491" t="s">
        <v>112</v>
      </c>
      <c r="O569" s="537">
        <v>44060</v>
      </c>
      <c r="P569" s="537">
        <v>44069</v>
      </c>
      <c r="Q569" s="537">
        <v>44077</v>
      </c>
      <c r="R569" s="495" t="s">
        <v>5726</v>
      </c>
      <c r="S569" s="491"/>
      <c r="T569" s="536">
        <v>320096</v>
      </c>
      <c r="U569" s="536">
        <v>387316.16</v>
      </c>
      <c r="V569" s="1471"/>
      <c r="W569" s="1471"/>
      <c r="X569" s="1471"/>
      <c r="Y569" s="573">
        <v>44077</v>
      </c>
      <c r="Z569" s="1375" t="s">
        <v>7522</v>
      </c>
      <c r="AA569" s="537">
        <v>44104</v>
      </c>
      <c r="AB569" s="537">
        <v>44106</v>
      </c>
      <c r="AC569" s="537">
        <f>AA569+42</f>
        <v>44146</v>
      </c>
      <c r="AD569" s="537">
        <v>44179</v>
      </c>
      <c r="AE569" s="1374" t="s">
        <v>1875</v>
      </c>
      <c r="AJ569" s="1944"/>
      <c r="AK569" s="1944"/>
      <c r="AL569" s="1944"/>
      <c r="AM569" s="1944"/>
      <c r="AN569" s="1944"/>
      <c r="AO569" s="1944"/>
      <c r="AP569" s="1944"/>
      <c r="AQ569" s="1944"/>
      <c r="AR569" s="1944"/>
      <c r="AS569" s="1944"/>
    </row>
    <row r="570" spans="1:45">
      <c r="A570" s="1944"/>
      <c r="B570" s="1944"/>
      <c r="C570" s="537">
        <v>44054</v>
      </c>
      <c r="D570" s="491" t="s">
        <v>7331</v>
      </c>
      <c r="E570" s="491" t="s">
        <v>52</v>
      </c>
      <c r="F570" s="491" t="s">
        <v>2588</v>
      </c>
      <c r="G570" s="2517" t="s">
        <v>7332</v>
      </c>
      <c r="H570" s="491"/>
      <c r="I570" s="495"/>
      <c r="J570" s="590"/>
      <c r="K570" s="491" t="s">
        <v>1708</v>
      </c>
      <c r="L570" s="491" t="s">
        <v>7333</v>
      </c>
      <c r="M570" s="536">
        <v>5000000</v>
      </c>
      <c r="N570" s="491" t="s">
        <v>251</v>
      </c>
      <c r="O570" s="537">
        <v>44057</v>
      </c>
      <c r="P570" s="537">
        <v>44092</v>
      </c>
      <c r="Q570" s="537">
        <v>44104</v>
      </c>
      <c r="R570" s="495" t="s">
        <v>3503</v>
      </c>
      <c r="S570" s="491"/>
      <c r="T570" s="536">
        <v>4317000</v>
      </c>
      <c r="U570" s="536">
        <v>5223570</v>
      </c>
      <c r="V570" s="1484"/>
      <c r="W570" s="1484"/>
      <c r="X570" s="1484"/>
      <c r="Y570" s="573">
        <v>44105</v>
      </c>
      <c r="Z570" s="536" t="s">
        <v>7683</v>
      </c>
      <c r="AA570" s="537">
        <v>44186</v>
      </c>
      <c r="AB570" s="537">
        <v>44196</v>
      </c>
      <c r="AC570" s="537">
        <f>AA570+150</f>
        <v>44336</v>
      </c>
      <c r="AD570" s="1525">
        <v>44845</v>
      </c>
      <c r="AE570" s="1102"/>
      <c r="AJ570" s="1944"/>
      <c r="AK570" s="1944"/>
      <c r="AL570" s="1944"/>
      <c r="AM570" s="1944"/>
      <c r="AN570" s="1944"/>
      <c r="AO570" s="1944"/>
      <c r="AP570" s="1944"/>
      <c r="AQ570" s="1944"/>
      <c r="AR570" s="1944"/>
      <c r="AS570" s="1944"/>
    </row>
    <row r="571" spans="1:45" ht="15.75" thickBot="1">
      <c r="A571" s="1944"/>
      <c r="B571" s="1944"/>
      <c r="C571" s="416">
        <v>44050</v>
      </c>
      <c r="D571" s="411" t="s">
        <v>7336</v>
      </c>
      <c r="E571" s="411" t="s">
        <v>58</v>
      </c>
      <c r="F571" s="411" t="s">
        <v>2684</v>
      </c>
      <c r="G571" s="412" t="s">
        <v>7337</v>
      </c>
      <c r="H571" s="411"/>
      <c r="I571" s="630"/>
      <c r="J571" s="411"/>
      <c r="K571" s="411" t="s">
        <v>77</v>
      </c>
      <c r="L571" s="411" t="s">
        <v>7338</v>
      </c>
      <c r="M571" s="417">
        <v>740496</v>
      </c>
      <c r="N571" s="411" t="s">
        <v>112</v>
      </c>
      <c r="O571" s="416">
        <v>44062</v>
      </c>
      <c r="P571" s="416">
        <v>44071</v>
      </c>
      <c r="Q571" s="416">
        <v>44097</v>
      </c>
      <c r="R571" s="630" t="s">
        <v>1433</v>
      </c>
      <c r="S571" s="411"/>
      <c r="T571" s="417">
        <v>740495</v>
      </c>
      <c r="U571" s="417">
        <v>895998.95</v>
      </c>
      <c r="V571" s="1480"/>
      <c r="W571" s="1480"/>
      <c r="X571" s="1480"/>
      <c r="Y571" s="513">
        <v>44097</v>
      </c>
      <c r="Z571" s="417" t="s">
        <v>7658</v>
      </c>
      <c r="AA571" s="416">
        <v>44133</v>
      </c>
      <c r="AB571" s="416">
        <v>44138</v>
      </c>
      <c r="AC571" s="416">
        <f>AA571+49</f>
        <v>44182</v>
      </c>
      <c r="AD571" s="416">
        <v>44298</v>
      </c>
      <c r="AE571" s="967"/>
      <c r="AJ571" s="1944"/>
      <c r="AK571" s="1944"/>
      <c r="AL571" s="1944"/>
      <c r="AM571" s="1944"/>
      <c r="AN571" s="1944"/>
      <c r="AO571" s="1944"/>
      <c r="AP571" s="1944"/>
      <c r="AQ571" s="1944"/>
      <c r="AR571" s="1944"/>
      <c r="AS571" s="1944"/>
    </row>
    <row r="572" spans="1:45" ht="15.75" thickTop="1">
      <c r="A572" s="1944"/>
      <c r="B572" s="1944"/>
      <c r="C572" s="453" t="s">
        <v>3585</v>
      </c>
      <c r="D572" s="453" t="s">
        <v>7344</v>
      </c>
      <c r="E572" s="453" t="s">
        <v>69</v>
      </c>
      <c r="F572" s="453" t="s">
        <v>70</v>
      </c>
      <c r="G572" s="473" t="s">
        <v>7345</v>
      </c>
      <c r="H572" s="453">
        <v>1</v>
      </c>
      <c r="I572" s="1420" t="s">
        <v>7160</v>
      </c>
      <c r="J572" s="453"/>
      <c r="K572" s="453" t="s">
        <v>7097</v>
      </c>
      <c r="L572" s="453"/>
      <c r="M572" s="457">
        <v>1347950</v>
      </c>
      <c r="N572" s="453" t="s">
        <v>251</v>
      </c>
      <c r="O572" s="474">
        <v>44061</v>
      </c>
      <c r="P572" s="474">
        <v>44096</v>
      </c>
      <c r="Q572" s="474">
        <v>44133</v>
      </c>
      <c r="R572" s="1420" t="s">
        <v>576</v>
      </c>
      <c r="S572" s="453"/>
      <c r="T572" s="457">
        <v>822850.75</v>
      </c>
      <c r="U572" s="457">
        <v>946278.36</v>
      </c>
      <c r="V572" s="1474"/>
      <c r="W572" s="1474"/>
      <c r="X572" s="1474"/>
      <c r="Y572" s="570">
        <v>44133</v>
      </c>
      <c r="Z572" s="457" t="s">
        <v>7843</v>
      </c>
      <c r="AA572" s="474">
        <v>44172</v>
      </c>
      <c r="AB572" s="474">
        <v>44174</v>
      </c>
      <c r="AC572" s="474">
        <v>45266</v>
      </c>
      <c r="AD572" s="474">
        <v>44278</v>
      </c>
      <c r="AE572" s="474">
        <v>44650</v>
      </c>
      <c r="AF572" s="1391">
        <v>2022</v>
      </c>
      <c r="AG572" s="1391" t="s">
        <v>8022</v>
      </c>
      <c r="AJ572" s="1944"/>
      <c r="AK572" s="1944"/>
      <c r="AL572" s="1944"/>
      <c r="AM572" s="1944"/>
      <c r="AN572" s="1944"/>
      <c r="AO572" s="1944"/>
      <c r="AP572" s="1944"/>
      <c r="AQ572" s="1944"/>
      <c r="AR572" s="1944"/>
      <c r="AS572" s="1944"/>
    </row>
    <row r="573" spans="1:45" ht="15.75" thickBot="1">
      <c r="A573" s="1944"/>
      <c r="B573" s="1944"/>
      <c r="C573" s="1376" t="s">
        <v>3585</v>
      </c>
      <c r="D573" s="1376" t="s">
        <v>7344</v>
      </c>
      <c r="E573" s="1376" t="s">
        <v>69</v>
      </c>
      <c r="F573" s="1376" t="s">
        <v>70</v>
      </c>
      <c r="G573" s="1378" t="s">
        <v>7345</v>
      </c>
      <c r="H573" s="1376">
        <v>2</v>
      </c>
      <c r="I573" s="1421" t="s">
        <v>7310</v>
      </c>
      <c r="J573" s="1376"/>
      <c r="K573" s="1376" t="s">
        <v>7097</v>
      </c>
      <c r="L573" s="1376"/>
      <c r="M573" s="1379">
        <v>3589383</v>
      </c>
      <c r="N573" s="1376" t="s">
        <v>251</v>
      </c>
      <c r="O573" s="1380">
        <v>44061</v>
      </c>
      <c r="P573" s="1380">
        <v>44096</v>
      </c>
      <c r="Q573" s="1380">
        <v>44133</v>
      </c>
      <c r="R573" s="1421" t="s">
        <v>576</v>
      </c>
      <c r="S573" s="1376"/>
      <c r="T573" s="1379">
        <v>3532990.39</v>
      </c>
      <c r="U573" s="1379">
        <v>4062938.95</v>
      </c>
      <c r="V573" s="1475"/>
      <c r="W573" s="1475"/>
      <c r="X573" s="1475"/>
      <c r="Y573" s="1388">
        <v>44133</v>
      </c>
      <c r="Z573" s="1379" t="s">
        <v>7844</v>
      </c>
      <c r="AA573" s="1380">
        <v>44172</v>
      </c>
      <c r="AB573" s="1380">
        <v>44174</v>
      </c>
      <c r="AC573" s="1380">
        <v>45266</v>
      </c>
      <c r="AD573" s="1380">
        <v>44278</v>
      </c>
      <c r="AE573" s="1380">
        <v>44650</v>
      </c>
      <c r="AF573" s="1381">
        <v>2022</v>
      </c>
      <c r="AG573" s="1381" t="s">
        <v>8022</v>
      </c>
      <c r="AJ573" s="1944"/>
      <c r="AK573" s="1944"/>
      <c r="AL573" s="1944"/>
      <c r="AM573" s="1944"/>
      <c r="AN573" s="1944"/>
      <c r="AO573" s="1944"/>
      <c r="AP573" s="1944"/>
      <c r="AQ573" s="1944"/>
      <c r="AR573" s="1944"/>
      <c r="AS573" s="1944"/>
    </row>
    <row r="574" spans="1:45" ht="15.75" thickTop="1">
      <c r="A574" s="1944"/>
      <c r="B574" s="1944"/>
      <c r="C574" s="470">
        <v>44057</v>
      </c>
      <c r="D574" s="466" t="s">
        <v>7363</v>
      </c>
      <c r="E574" s="466" t="s">
        <v>2434</v>
      </c>
      <c r="F574" s="466" t="s">
        <v>219</v>
      </c>
      <c r="G574" s="467" t="s">
        <v>7364</v>
      </c>
      <c r="H574" s="466"/>
      <c r="I574" s="654"/>
      <c r="J574" s="576"/>
      <c r="K574" s="466" t="s">
        <v>1006</v>
      </c>
      <c r="L574" s="466"/>
      <c r="M574" s="472">
        <v>1425000</v>
      </c>
      <c r="N574" s="466" t="s">
        <v>112</v>
      </c>
      <c r="O574" s="470">
        <v>44067</v>
      </c>
      <c r="P574" s="470">
        <v>44077</v>
      </c>
      <c r="Q574" s="466"/>
      <c r="R574" s="471" t="s">
        <v>304</v>
      </c>
      <c r="S574" s="466"/>
      <c r="T574" s="472"/>
      <c r="U574" s="472"/>
      <c r="V574" s="1489"/>
      <c r="W574" s="1489"/>
      <c r="X574" s="1489"/>
      <c r="Y574" s="472"/>
      <c r="Z574" s="472"/>
      <c r="AA574" s="466"/>
      <c r="AB574" s="470">
        <v>44077</v>
      </c>
      <c r="AC574" s="466"/>
      <c r="AD574" s="466"/>
      <c r="AE574" s="466"/>
      <c r="AJ574" s="1944"/>
      <c r="AK574" s="1944"/>
      <c r="AL574" s="1944"/>
      <c r="AM574" s="1944"/>
      <c r="AN574" s="1944"/>
      <c r="AO574" s="1944"/>
      <c r="AP574" s="1944"/>
      <c r="AQ574" s="1944"/>
      <c r="AR574" s="1944"/>
      <c r="AS574" s="1944"/>
    </row>
    <row r="575" spans="1:45" ht="30">
      <c r="A575" s="1944"/>
      <c r="B575" s="1944"/>
      <c r="C575" s="537">
        <v>44053</v>
      </c>
      <c r="D575" s="491" t="s">
        <v>7365</v>
      </c>
      <c r="E575" s="491" t="s">
        <v>9694</v>
      </c>
      <c r="F575" s="491" t="s">
        <v>2684</v>
      </c>
      <c r="G575" s="571" t="s">
        <v>7366</v>
      </c>
      <c r="H575" s="491"/>
      <c r="I575" s="495"/>
      <c r="J575" s="491"/>
      <c r="K575" s="491" t="s">
        <v>77</v>
      </c>
      <c r="L575" s="491" t="s">
        <v>7367</v>
      </c>
      <c r="M575" s="536">
        <v>661157</v>
      </c>
      <c r="N575" s="491" t="s">
        <v>112</v>
      </c>
      <c r="O575" s="537">
        <v>44067</v>
      </c>
      <c r="P575" s="537">
        <v>44077</v>
      </c>
      <c r="Q575" s="537">
        <v>44099</v>
      </c>
      <c r="R575" s="495" t="s">
        <v>4315</v>
      </c>
      <c r="S575" s="491"/>
      <c r="T575" s="536">
        <v>476008</v>
      </c>
      <c r="U575" s="536">
        <f>T575*1.21</f>
        <v>575969.67999999993</v>
      </c>
      <c r="V575" s="1471"/>
      <c r="W575" s="1471"/>
      <c r="X575" s="1471"/>
      <c r="Y575" s="573">
        <v>44099</v>
      </c>
      <c r="Z575" s="1375" t="s">
        <v>7665</v>
      </c>
      <c r="AA575" s="537">
        <v>44137</v>
      </c>
      <c r="AB575" s="537">
        <v>44140</v>
      </c>
      <c r="AC575" s="537">
        <f>AA575+42</f>
        <v>44179</v>
      </c>
      <c r="AD575" s="537">
        <v>44235</v>
      </c>
      <c r="AE575" s="1374" t="s">
        <v>1875</v>
      </c>
      <c r="AJ575" s="1944"/>
      <c r="AK575" s="1944"/>
      <c r="AL575" s="1944"/>
      <c r="AM575" s="1944"/>
      <c r="AN575" s="1944"/>
      <c r="AO575" s="1944"/>
      <c r="AP575" s="1944"/>
      <c r="AQ575" s="1944"/>
      <c r="AR575" s="1944"/>
      <c r="AS575" s="1944"/>
    </row>
    <row r="576" spans="1:45">
      <c r="A576" s="1944"/>
      <c r="B576" s="1944"/>
      <c r="C576" s="510">
        <v>44060</v>
      </c>
      <c r="D576" s="506" t="s">
        <v>7368</v>
      </c>
      <c r="E576" s="506" t="s">
        <v>58</v>
      </c>
      <c r="F576" s="506" t="s">
        <v>7369</v>
      </c>
      <c r="G576" s="507" t="s">
        <v>7370</v>
      </c>
      <c r="H576" s="506"/>
      <c r="I576" s="548"/>
      <c r="J576" s="506"/>
      <c r="K576" s="506" t="s">
        <v>1159</v>
      </c>
      <c r="L576" s="506" t="s">
        <v>4204</v>
      </c>
      <c r="M576" s="511">
        <v>26210000</v>
      </c>
      <c r="N576" s="506" t="s">
        <v>251</v>
      </c>
      <c r="O576" s="510">
        <v>44063</v>
      </c>
      <c r="P576" s="510">
        <v>44116</v>
      </c>
      <c r="Q576" s="506"/>
      <c r="R576" s="736" t="s">
        <v>4505</v>
      </c>
      <c r="S576" s="506"/>
      <c r="T576" s="511"/>
      <c r="U576" s="511"/>
      <c r="V576" s="1470"/>
      <c r="W576" s="1470"/>
      <c r="X576" s="1470"/>
      <c r="Y576" s="511"/>
      <c r="Z576" s="511"/>
      <c r="AA576" s="506"/>
      <c r="AB576" s="510">
        <v>44155</v>
      </c>
      <c r="AC576" s="736" t="s">
        <v>7855</v>
      </c>
      <c r="AD576" s="506"/>
      <c r="AE576" s="506"/>
      <c r="AJ576" s="1944"/>
      <c r="AK576" s="1944"/>
      <c r="AL576" s="1944"/>
      <c r="AM576" s="1944"/>
      <c r="AN576" s="1944"/>
      <c r="AO576" s="1944"/>
      <c r="AP576" s="1944"/>
      <c r="AQ576" s="1944"/>
      <c r="AR576" s="1944"/>
      <c r="AS576" s="1944"/>
    </row>
    <row r="577" spans="1:45" ht="30">
      <c r="A577" s="1944"/>
      <c r="B577" s="1944"/>
      <c r="C577" s="537">
        <v>44060</v>
      </c>
      <c r="D577" s="491" t="s">
        <v>7371</v>
      </c>
      <c r="E577" s="491" t="s">
        <v>58</v>
      </c>
      <c r="F577" s="491" t="s">
        <v>2684</v>
      </c>
      <c r="G577" s="571" t="s">
        <v>7372</v>
      </c>
      <c r="H577" s="491">
        <v>1</v>
      </c>
      <c r="I577" s="495" t="s">
        <v>3848</v>
      </c>
      <c r="J577" s="491"/>
      <c r="K577" s="491" t="s">
        <v>1924</v>
      </c>
      <c r="L577" s="491" t="s">
        <v>7511</v>
      </c>
      <c r="M577" s="536">
        <v>801934</v>
      </c>
      <c r="N577" s="491" t="s">
        <v>112</v>
      </c>
      <c r="O577" s="537">
        <v>44064</v>
      </c>
      <c r="P577" s="537">
        <v>44076</v>
      </c>
      <c r="Q577" s="537">
        <v>44096</v>
      </c>
      <c r="R577" s="495" t="s">
        <v>7642</v>
      </c>
      <c r="S577" s="491"/>
      <c r="T577" s="536">
        <v>972850</v>
      </c>
      <c r="U577" s="536">
        <v>1177148.5</v>
      </c>
      <c r="V577" s="1471"/>
      <c r="W577" s="1471"/>
      <c r="X577" s="1471"/>
      <c r="Y577" s="573">
        <v>44097</v>
      </c>
      <c r="Z577" s="1375" t="s">
        <v>7648</v>
      </c>
      <c r="AA577" s="537">
        <v>44118</v>
      </c>
      <c r="AB577" s="537">
        <v>44119</v>
      </c>
      <c r="AC577" s="537">
        <f>AA577+56</f>
        <v>44174</v>
      </c>
      <c r="AD577" s="537">
        <v>44235</v>
      </c>
      <c r="AE577" s="1374" t="s">
        <v>1875</v>
      </c>
      <c r="AJ577" s="1944"/>
      <c r="AK577" s="1944"/>
      <c r="AL577" s="1944"/>
      <c r="AM577" s="1944"/>
      <c r="AN577" s="1944"/>
      <c r="AO577" s="1944"/>
      <c r="AP577" s="1944"/>
      <c r="AQ577" s="1944"/>
      <c r="AR577" s="1944"/>
      <c r="AS577" s="1944"/>
    </row>
    <row r="578" spans="1:45" ht="30">
      <c r="A578" s="1944"/>
      <c r="B578" s="1944"/>
      <c r="C578" s="537">
        <v>44060</v>
      </c>
      <c r="D578" s="491" t="s">
        <v>7371</v>
      </c>
      <c r="E578" s="491" t="s">
        <v>58</v>
      </c>
      <c r="F578" s="491" t="s">
        <v>2684</v>
      </c>
      <c r="G578" s="571" t="s">
        <v>7372</v>
      </c>
      <c r="H578" s="491">
        <v>2</v>
      </c>
      <c r="I578" s="495" t="s">
        <v>7510</v>
      </c>
      <c r="J578" s="491"/>
      <c r="K578" s="491" t="s">
        <v>1924</v>
      </c>
      <c r="L578" s="491" t="s">
        <v>7512</v>
      </c>
      <c r="M578" s="417">
        <v>546116</v>
      </c>
      <c r="N578" s="491" t="s">
        <v>112</v>
      </c>
      <c r="O578" s="537">
        <v>44064</v>
      </c>
      <c r="P578" s="537">
        <v>44076</v>
      </c>
      <c r="Q578" s="416">
        <v>44096</v>
      </c>
      <c r="R578" s="630" t="s">
        <v>7642</v>
      </c>
      <c r="S578" s="411"/>
      <c r="T578" s="417">
        <v>508800</v>
      </c>
      <c r="U578" s="417">
        <v>615648</v>
      </c>
      <c r="V578" s="1480"/>
      <c r="W578" s="1480"/>
      <c r="X578" s="1480"/>
      <c r="Y578" s="513">
        <v>44097</v>
      </c>
      <c r="Z578" s="1375" t="s">
        <v>7649</v>
      </c>
      <c r="AA578" s="416">
        <v>44118</v>
      </c>
      <c r="AB578" s="416">
        <v>44119</v>
      </c>
      <c r="AC578" s="416">
        <f>AA578+56</f>
        <v>44174</v>
      </c>
      <c r="AD578" s="416">
        <v>44193</v>
      </c>
      <c r="AE578" s="422" t="s">
        <v>1875</v>
      </c>
      <c r="AJ578" s="1944"/>
      <c r="AK578" s="1944"/>
      <c r="AL578" s="1944"/>
      <c r="AM578" s="1944"/>
      <c r="AN578" s="1944"/>
      <c r="AO578" s="1944"/>
      <c r="AP578" s="1944"/>
      <c r="AQ578" s="1944"/>
      <c r="AR578" s="1944"/>
      <c r="AS578" s="1944"/>
    </row>
    <row r="579" spans="1:45" ht="15.75" thickBot="1">
      <c r="A579" s="1944"/>
      <c r="B579" s="1944"/>
      <c r="C579" s="464">
        <v>44057</v>
      </c>
      <c r="D579" s="406" t="s">
        <v>7374</v>
      </c>
      <c r="E579" s="406" t="s">
        <v>52</v>
      </c>
      <c r="F579" s="406" t="s">
        <v>2588</v>
      </c>
      <c r="G579" s="462" t="s">
        <v>7438</v>
      </c>
      <c r="H579" s="406"/>
      <c r="I579" s="1425"/>
      <c r="J579" s="1437"/>
      <c r="K579" s="406" t="s">
        <v>484</v>
      </c>
      <c r="L579" s="406" t="s">
        <v>7375</v>
      </c>
      <c r="M579" s="465">
        <v>62500000</v>
      </c>
      <c r="N579" s="406" t="s">
        <v>251</v>
      </c>
      <c r="O579" s="464">
        <v>44147</v>
      </c>
      <c r="P579" s="464">
        <v>44179</v>
      </c>
      <c r="Q579" s="406"/>
      <c r="R579" s="1425"/>
      <c r="S579" s="406"/>
      <c r="T579" s="465"/>
      <c r="U579" s="465"/>
      <c r="V579" s="1490"/>
      <c r="W579" s="1490"/>
      <c r="X579" s="1490"/>
      <c r="Y579" s="465"/>
      <c r="Z579" s="465"/>
      <c r="AA579" s="406"/>
      <c r="AB579" s="406"/>
      <c r="AC579" s="406"/>
      <c r="AD579" s="406"/>
      <c r="AE579" s="406"/>
      <c r="AJ579" s="1944"/>
      <c r="AK579" s="1944"/>
      <c r="AL579" s="1944"/>
      <c r="AM579" s="1944"/>
      <c r="AN579" s="1944"/>
      <c r="AO579" s="1944"/>
      <c r="AP579" s="1944"/>
      <c r="AQ579" s="1944"/>
      <c r="AR579" s="1944"/>
      <c r="AS579" s="1944"/>
    </row>
    <row r="580" spans="1:45" ht="15.75" thickTop="1">
      <c r="A580" s="1944"/>
      <c r="B580" s="1944"/>
      <c r="C580" s="474">
        <v>44061</v>
      </c>
      <c r="D580" s="453" t="s">
        <v>7386</v>
      </c>
      <c r="E580" s="453" t="s">
        <v>69</v>
      </c>
      <c r="F580" s="453" t="s">
        <v>70</v>
      </c>
      <c r="G580" s="473" t="s">
        <v>7421</v>
      </c>
      <c r="H580" s="453">
        <v>1</v>
      </c>
      <c r="I580" s="1420" t="s">
        <v>7387</v>
      </c>
      <c r="J580" s="453"/>
      <c r="K580" s="453" t="s">
        <v>4275</v>
      </c>
      <c r="L580" s="453"/>
      <c r="M580" s="457">
        <v>16043040</v>
      </c>
      <c r="N580" s="453" t="s">
        <v>251</v>
      </c>
      <c r="O580" s="474">
        <v>44069</v>
      </c>
      <c r="P580" s="474">
        <v>44099</v>
      </c>
      <c r="Q580" s="474">
        <v>44124</v>
      </c>
      <c r="R580" s="1420" t="s">
        <v>578</v>
      </c>
      <c r="S580" s="453"/>
      <c r="T580" s="457">
        <v>16043040</v>
      </c>
      <c r="U580" s="457">
        <v>17647344</v>
      </c>
      <c r="V580" s="1474"/>
      <c r="W580" s="1474"/>
      <c r="X580" s="1474"/>
      <c r="Y580" s="570">
        <v>44124</v>
      </c>
      <c r="Z580" s="457" t="s">
        <v>7795</v>
      </c>
      <c r="AA580" s="474">
        <v>44151</v>
      </c>
      <c r="AB580" s="474">
        <v>44158</v>
      </c>
      <c r="AC580" s="474">
        <v>45245</v>
      </c>
      <c r="AD580" s="474">
        <v>44278</v>
      </c>
      <c r="AE580" s="474">
        <v>44645</v>
      </c>
      <c r="AF580" s="388">
        <v>2022</v>
      </c>
      <c r="AG580" s="388" t="s">
        <v>7929</v>
      </c>
      <c r="AJ580" s="1944"/>
      <c r="AK580" s="1944"/>
      <c r="AL580" s="1944"/>
      <c r="AM580" s="1944"/>
      <c r="AN580" s="1944"/>
      <c r="AO580" s="1944"/>
      <c r="AP580" s="1944"/>
      <c r="AQ580" s="1944"/>
      <c r="AR580" s="1944"/>
      <c r="AS580" s="1944"/>
    </row>
    <row r="581" spans="1:45" ht="15.75" thickBot="1">
      <c r="A581" s="1944"/>
      <c r="B581" s="1944"/>
      <c r="C581" s="1380">
        <v>44061</v>
      </c>
      <c r="D581" s="1376" t="s">
        <v>7386</v>
      </c>
      <c r="E581" s="1376" t="s">
        <v>69</v>
      </c>
      <c r="F581" s="1376" t="s">
        <v>70</v>
      </c>
      <c r="G581" s="1378" t="s">
        <v>7421</v>
      </c>
      <c r="H581" s="1376">
        <v>2</v>
      </c>
      <c r="I581" s="1421" t="s">
        <v>7388</v>
      </c>
      <c r="J581" s="1376"/>
      <c r="K581" s="1376" t="s">
        <v>4275</v>
      </c>
      <c r="L581" s="1376"/>
      <c r="M581" s="1379">
        <v>10405041</v>
      </c>
      <c r="N581" s="1376" t="s">
        <v>251</v>
      </c>
      <c r="O581" s="1380">
        <v>44069</v>
      </c>
      <c r="P581" s="1380">
        <v>44099</v>
      </c>
      <c r="Q581" s="1380">
        <v>44124</v>
      </c>
      <c r="R581" s="1421" t="s">
        <v>5566</v>
      </c>
      <c r="S581" s="1376"/>
      <c r="T581" s="1379">
        <v>10405040.1</v>
      </c>
      <c r="U581" s="1379">
        <v>11445544.109999999</v>
      </c>
      <c r="V581" s="1475"/>
      <c r="W581" s="1475"/>
      <c r="X581" s="1475"/>
      <c r="Y581" s="1388">
        <v>44124</v>
      </c>
      <c r="Z581" s="1379" t="s">
        <v>7796</v>
      </c>
      <c r="AA581" s="1380">
        <v>44148</v>
      </c>
      <c r="AB581" s="1380">
        <v>44158</v>
      </c>
      <c r="AC581" s="1380">
        <v>45242</v>
      </c>
      <c r="AD581" s="1380">
        <v>44278</v>
      </c>
      <c r="AE581" s="1380">
        <v>44645</v>
      </c>
      <c r="AF581" s="388">
        <v>2022</v>
      </c>
      <c r="AG581" s="388" t="s">
        <v>7918</v>
      </c>
      <c r="AJ581" s="1944"/>
      <c r="AK581" s="1944"/>
      <c r="AL581" s="1944"/>
      <c r="AM581" s="1944"/>
      <c r="AN581" s="1944"/>
      <c r="AO581" s="1944"/>
      <c r="AP581" s="1944"/>
      <c r="AQ581" s="1944"/>
      <c r="AR581" s="1944"/>
      <c r="AS581" s="1944"/>
    </row>
    <row r="582" spans="1:45" ht="15.75" thickTop="1">
      <c r="C582" s="365">
        <v>44060</v>
      </c>
      <c r="D582" s="3210" t="s">
        <v>7392</v>
      </c>
      <c r="E582" s="3210" t="s">
        <v>1032</v>
      </c>
      <c r="F582" s="3210" t="s">
        <v>361</v>
      </c>
      <c r="G582" s="2517" t="s">
        <v>7393</v>
      </c>
      <c r="H582" s="3210"/>
      <c r="I582" s="3211"/>
      <c r="J582" s="3210"/>
      <c r="K582" s="3210" t="s">
        <v>7394</v>
      </c>
      <c r="L582" s="3210"/>
      <c r="M582" s="364">
        <v>700000</v>
      </c>
      <c r="N582" s="3210" t="s">
        <v>112</v>
      </c>
      <c r="O582" s="365">
        <v>44068</v>
      </c>
      <c r="P582" s="365">
        <v>44085</v>
      </c>
      <c r="Q582" s="365">
        <v>44091</v>
      </c>
      <c r="R582" s="3211" t="s">
        <v>342</v>
      </c>
      <c r="S582" s="3210"/>
      <c r="T582" s="364">
        <v>562000</v>
      </c>
      <c r="U582" s="364">
        <v>680020</v>
      </c>
      <c r="V582" s="1473"/>
      <c r="W582" s="1473"/>
      <c r="X582" s="1473"/>
      <c r="Y582" s="681">
        <v>44092</v>
      </c>
      <c r="Z582" s="364" t="s">
        <v>7616</v>
      </c>
      <c r="AA582" s="365">
        <v>44120</v>
      </c>
      <c r="AB582" s="365">
        <v>44120</v>
      </c>
      <c r="AC582" s="365">
        <f>AA582+42</f>
        <v>44162</v>
      </c>
      <c r="AD582" s="365">
        <v>44228</v>
      </c>
      <c r="AE582" s="1513"/>
    </row>
    <row r="583" spans="1:45">
      <c r="C583" s="537">
        <v>44057</v>
      </c>
      <c r="D583" s="491" t="s">
        <v>7395</v>
      </c>
      <c r="E583" s="491" t="s">
        <v>1844</v>
      </c>
      <c r="F583" s="491" t="s">
        <v>1845</v>
      </c>
      <c r="G583" s="571" t="s">
        <v>7396</v>
      </c>
      <c r="H583" s="491"/>
      <c r="I583" s="495"/>
      <c r="J583" s="491"/>
      <c r="K583" s="491" t="s">
        <v>7397</v>
      </c>
      <c r="L583" s="491"/>
      <c r="M583" s="536">
        <v>400000</v>
      </c>
      <c r="N583" s="491" t="s">
        <v>112</v>
      </c>
      <c r="O583" s="537">
        <v>44081</v>
      </c>
      <c r="P583" s="537">
        <v>44089</v>
      </c>
      <c r="Q583" s="537">
        <v>44105</v>
      </c>
      <c r="R583" s="495" t="s">
        <v>7668</v>
      </c>
      <c r="S583" s="491"/>
      <c r="T583" s="536">
        <v>271740</v>
      </c>
      <c r="U583" s="536">
        <v>328805.40000000002</v>
      </c>
      <c r="V583" s="1471"/>
      <c r="W583" s="1471"/>
      <c r="X583" s="1471"/>
      <c r="Y583" s="573">
        <v>44105</v>
      </c>
      <c r="Z583" s="536" t="s">
        <v>7687</v>
      </c>
      <c r="AA583" s="537">
        <v>44118</v>
      </c>
      <c r="AB583" s="537">
        <v>44119</v>
      </c>
      <c r="AC583" s="537">
        <v>45230</v>
      </c>
      <c r="AD583" s="1525">
        <v>44844</v>
      </c>
      <c r="AE583" s="1102"/>
    </row>
    <row r="584" spans="1:45">
      <c r="C584" s="510">
        <v>44062</v>
      </c>
      <c r="D584" s="506" t="s">
        <v>7398</v>
      </c>
      <c r="E584" s="506" t="s">
        <v>2712</v>
      </c>
      <c r="F584" s="506" t="s">
        <v>2731</v>
      </c>
      <c r="G584" s="507" t="s">
        <v>7399</v>
      </c>
      <c r="H584" s="506"/>
      <c r="I584" s="548"/>
      <c r="J584" s="506"/>
      <c r="K584" s="506" t="s">
        <v>6555</v>
      </c>
      <c r="L584" s="506"/>
      <c r="M584" s="511">
        <v>500000</v>
      </c>
      <c r="N584" s="506" t="s">
        <v>112</v>
      </c>
      <c r="O584" s="510">
        <v>44068</v>
      </c>
      <c r="P584" s="510">
        <v>44077</v>
      </c>
      <c r="Q584" s="506"/>
      <c r="R584" s="736" t="s">
        <v>7520</v>
      </c>
      <c r="S584" s="506"/>
      <c r="T584" s="511"/>
      <c r="U584" s="511"/>
      <c r="V584" s="1470"/>
      <c r="W584" s="1470"/>
      <c r="X584" s="1470"/>
      <c r="Y584" s="511"/>
      <c r="Z584" s="511"/>
      <c r="AA584" s="506"/>
      <c r="AB584" s="510">
        <v>44076</v>
      </c>
      <c r="AC584" s="506"/>
      <c r="AD584" s="506"/>
      <c r="AE584" s="506"/>
    </row>
    <row r="585" spans="1:45">
      <c r="C585" s="510">
        <v>44062</v>
      </c>
      <c r="D585" s="506" t="s">
        <v>7400</v>
      </c>
      <c r="E585" s="506" t="s">
        <v>2712</v>
      </c>
      <c r="F585" s="506" t="s">
        <v>2731</v>
      </c>
      <c r="G585" s="507" t="s">
        <v>7401</v>
      </c>
      <c r="H585" s="506"/>
      <c r="I585" s="548"/>
      <c r="J585" s="506"/>
      <c r="K585" s="506" t="s">
        <v>6555</v>
      </c>
      <c r="L585" s="506"/>
      <c r="M585" s="511">
        <v>680000</v>
      </c>
      <c r="N585" s="506" t="s">
        <v>112</v>
      </c>
      <c r="O585" s="510">
        <v>44068</v>
      </c>
      <c r="P585" s="510">
        <v>44077</v>
      </c>
      <c r="Q585" s="510">
        <v>44089</v>
      </c>
      <c r="R585" s="736" t="s">
        <v>7674</v>
      </c>
      <c r="S585" s="506"/>
      <c r="T585" s="511">
        <v>704421</v>
      </c>
      <c r="U585" s="511">
        <v>790300</v>
      </c>
      <c r="V585" s="1470"/>
      <c r="W585" s="1470"/>
      <c r="X585" s="1470"/>
      <c r="Y585" s="1398">
        <v>44089</v>
      </c>
      <c r="Z585" s="511" t="s">
        <v>7585</v>
      </c>
      <c r="AA585" s="506"/>
      <c r="AB585" s="510">
        <v>44103</v>
      </c>
      <c r="AC585" s="506"/>
      <c r="AD585" s="506"/>
      <c r="AE585" s="506"/>
    </row>
    <row r="586" spans="1:45" ht="30.75" thickBot="1">
      <c r="C586" s="411" t="s">
        <v>3585</v>
      </c>
      <c r="D586" s="411" t="s">
        <v>7410</v>
      </c>
      <c r="E586" s="411" t="s">
        <v>6213</v>
      </c>
      <c r="F586" s="411" t="s">
        <v>1753</v>
      </c>
      <c r="G586" s="412" t="s">
        <v>7411</v>
      </c>
      <c r="H586" s="411"/>
      <c r="I586" s="630"/>
      <c r="J586" s="1437"/>
      <c r="K586" s="411" t="s">
        <v>4269</v>
      </c>
      <c r="L586" s="411"/>
      <c r="M586" s="417">
        <v>22706798</v>
      </c>
      <c r="N586" s="411" t="s">
        <v>251</v>
      </c>
      <c r="O586" s="416">
        <v>44091</v>
      </c>
      <c r="P586" s="416">
        <v>44123</v>
      </c>
      <c r="Q586" s="416">
        <v>44140</v>
      </c>
      <c r="R586" s="630" t="s">
        <v>7836</v>
      </c>
      <c r="S586" s="411"/>
      <c r="T586" s="417">
        <v>22632179</v>
      </c>
      <c r="U586" s="417">
        <v>27384936.59</v>
      </c>
      <c r="V586" s="1490"/>
      <c r="W586" s="1490"/>
      <c r="X586" s="1490"/>
      <c r="Y586" s="513">
        <v>44140</v>
      </c>
      <c r="Z586" s="1553" t="s">
        <v>7862</v>
      </c>
      <c r="AA586" s="416">
        <v>44183</v>
      </c>
      <c r="AB586" s="416">
        <v>44193</v>
      </c>
      <c r="AC586" s="612">
        <f>AA586+90</f>
        <v>44273</v>
      </c>
      <c r="AD586" s="416">
        <v>44292</v>
      </c>
      <c r="AE586" s="1548">
        <v>44865</v>
      </c>
    </row>
    <row r="587" spans="1:45" ht="15.75" thickTop="1">
      <c r="C587" s="439" t="s">
        <v>3585</v>
      </c>
      <c r="D587" s="439" t="s">
        <v>7413</v>
      </c>
      <c r="E587" s="439" t="s">
        <v>58</v>
      </c>
      <c r="F587" s="439" t="s">
        <v>2684</v>
      </c>
      <c r="G587" s="2026" t="s">
        <v>7414</v>
      </c>
      <c r="H587" s="439">
        <v>1</v>
      </c>
      <c r="I587" s="1431" t="s">
        <v>6933</v>
      </c>
      <c r="J587" s="583"/>
      <c r="K587" s="439" t="s">
        <v>730</v>
      </c>
      <c r="L587" s="439" t="s">
        <v>7416</v>
      </c>
      <c r="M587" s="444">
        <v>278000</v>
      </c>
      <c r="N587" s="439" t="s">
        <v>112</v>
      </c>
      <c r="O587" s="443">
        <v>44067</v>
      </c>
      <c r="P587" s="443">
        <v>44078</v>
      </c>
      <c r="Q587" s="439"/>
      <c r="R587" s="753" t="s">
        <v>4505</v>
      </c>
      <c r="S587" s="538" t="s">
        <v>7926</v>
      </c>
      <c r="T587" s="444"/>
      <c r="U587" s="444"/>
      <c r="V587" s="1483"/>
      <c r="W587" s="1483"/>
      <c r="X587" s="1483"/>
      <c r="Y587" s="444"/>
      <c r="Z587" s="444"/>
      <c r="AA587" s="439"/>
      <c r="AB587" s="443">
        <v>44104</v>
      </c>
      <c r="AC587" s="439"/>
      <c r="AD587" s="439"/>
      <c r="AE587" s="439"/>
    </row>
    <row r="588" spans="1:45" ht="30.75" thickBot="1">
      <c r="C588" s="1376" t="s">
        <v>3585</v>
      </c>
      <c r="D588" s="1376" t="s">
        <v>7413</v>
      </c>
      <c r="E588" s="1376" t="s">
        <v>58</v>
      </c>
      <c r="F588" s="1376" t="s">
        <v>2684</v>
      </c>
      <c r="G588" s="1378" t="s">
        <v>7414</v>
      </c>
      <c r="H588" s="1376">
        <v>2</v>
      </c>
      <c r="I588" s="1421" t="s">
        <v>6934</v>
      </c>
      <c r="J588" s="1376"/>
      <c r="K588" s="1376" t="s">
        <v>730</v>
      </c>
      <c r="L588" s="1376" t="s">
        <v>7415</v>
      </c>
      <c r="M588" s="1379">
        <v>1709000</v>
      </c>
      <c r="N588" s="1376" t="s">
        <v>112</v>
      </c>
      <c r="O588" s="1380">
        <v>44067</v>
      </c>
      <c r="P588" s="1380">
        <v>44078</v>
      </c>
      <c r="Q588" s="1380">
        <v>44155</v>
      </c>
      <c r="R588" s="1421" t="s">
        <v>800</v>
      </c>
      <c r="S588" s="1376"/>
      <c r="T588" s="1379">
        <v>1407731</v>
      </c>
      <c r="U588" s="1379">
        <v>1703354.51</v>
      </c>
      <c r="V588" s="1475"/>
      <c r="W588" s="1475"/>
      <c r="X588" s="1475"/>
      <c r="Y588" s="1388">
        <v>44155</v>
      </c>
      <c r="Z588" s="1389" t="s">
        <v>7927</v>
      </c>
      <c r="AA588" s="1380">
        <v>44182</v>
      </c>
      <c r="AB588" s="1380">
        <v>44187</v>
      </c>
      <c r="AC588" s="1380">
        <f>AA588+28</f>
        <v>44210</v>
      </c>
      <c r="AD588" s="1380">
        <v>44277</v>
      </c>
      <c r="AE588" s="1381" t="s">
        <v>1875</v>
      </c>
    </row>
    <row r="589" spans="1:45" ht="45.75" thickTop="1">
      <c r="C589" s="3210" t="s">
        <v>3585</v>
      </c>
      <c r="D589" s="3210" t="s">
        <v>7419</v>
      </c>
      <c r="E589" s="3210" t="s">
        <v>58</v>
      </c>
      <c r="F589" s="3210" t="s">
        <v>2684</v>
      </c>
      <c r="G589" s="175" t="s">
        <v>7420</v>
      </c>
      <c r="H589" s="3210"/>
      <c r="I589" s="3211"/>
      <c r="J589" s="3210"/>
      <c r="K589" s="3210" t="s">
        <v>4272</v>
      </c>
      <c r="L589" s="3210" t="s">
        <v>7109</v>
      </c>
      <c r="M589" s="364">
        <v>1053000</v>
      </c>
      <c r="N589" s="3210" t="s">
        <v>112</v>
      </c>
      <c r="O589" s="365">
        <v>44069</v>
      </c>
      <c r="P589" s="365">
        <v>44078</v>
      </c>
      <c r="Q589" s="365">
        <v>44097</v>
      </c>
      <c r="R589" s="3211" t="s">
        <v>5901</v>
      </c>
      <c r="S589" s="3210"/>
      <c r="T589" s="364">
        <v>1049838.48</v>
      </c>
      <c r="U589" s="364">
        <v>1270304.56</v>
      </c>
      <c r="V589" s="1473"/>
      <c r="W589" s="1473"/>
      <c r="X589" s="1473"/>
      <c r="Y589" s="681">
        <v>44097</v>
      </c>
      <c r="Z589" s="1417" t="s">
        <v>7663</v>
      </c>
      <c r="AA589" s="365">
        <v>44119</v>
      </c>
      <c r="AB589" s="365">
        <v>44120</v>
      </c>
      <c r="AC589" s="365">
        <f>AA589+42</f>
        <v>44161</v>
      </c>
      <c r="AD589" s="365">
        <v>44200</v>
      </c>
      <c r="AE589" s="451" t="s">
        <v>4137</v>
      </c>
    </row>
    <row r="590" spans="1:45" ht="30">
      <c r="C590" s="537">
        <v>44063</v>
      </c>
      <c r="D590" s="491" t="s">
        <v>7422</v>
      </c>
      <c r="E590" s="491" t="s">
        <v>58</v>
      </c>
      <c r="F590" s="491" t="s">
        <v>55</v>
      </c>
      <c r="G590" s="571" t="s">
        <v>7423</v>
      </c>
      <c r="H590" s="491"/>
      <c r="I590" s="495"/>
      <c r="J590" s="491"/>
      <c r="K590" s="491" t="s">
        <v>753</v>
      </c>
      <c r="L590" s="491" t="s">
        <v>7424</v>
      </c>
      <c r="M590" s="536">
        <v>1400000</v>
      </c>
      <c r="N590" s="491" t="s">
        <v>112</v>
      </c>
      <c r="O590" s="537">
        <v>44069</v>
      </c>
      <c r="P590" s="537">
        <v>44081</v>
      </c>
      <c r="Q590" s="537">
        <v>44097</v>
      </c>
      <c r="R590" s="495" t="s">
        <v>3079</v>
      </c>
      <c r="S590" s="491"/>
      <c r="T590" s="536">
        <v>1421682</v>
      </c>
      <c r="U590" s="536">
        <v>1720235.22</v>
      </c>
      <c r="V590" s="1471"/>
      <c r="W590" s="1471"/>
      <c r="X590" s="1471"/>
      <c r="Y590" s="573">
        <v>44097</v>
      </c>
      <c r="Z590" s="1375" t="s">
        <v>7664</v>
      </c>
      <c r="AA590" s="537">
        <v>44133</v>
      </c>
      <c r="AB590" s="537">
        <v>44138</v>
      </c>
      <c r="AC590" s="537">
        <f>AA590+56</f>
        <v>44189</v>
      </c>
      <c r="AD590" s="537">
        <v>44270</v>
      </c>
      <c r="AE590" s="1374" t="s">
        <v>1875</v>
      </c>
    </row>
    <row r="591" spans="1:45" ht="30">
      <c r="C591" s="537">
        <v>44062</v>
      </c>
      <c r="D591" s="491" t="s">
        <v>7428</v>
      </c>
      <c r="E591" s="491" t="s">
        <v>69</v>
      </c>
      <c r="F591" s="491" t="s">
        <v>70</v>
      </c>
      <c r="G591" s="571" t="s">
        <v>7429</v>
      </c>
      <c r="H591" s="571"/>
      <c r="I591" s="495"/>
      <c r="J591" s="491"/>
      <c r="K591" s="491" t="s">
        <v>1616</v>
      </c>
      <c r="L591" s="491"/>
      <c r="M591" s="536">
        <v>3800000</v>
      </c>
      <c r="N591" s="491" t="s">
        <v>251</v>
      </c>
      <c r="O591" s="537">
        <v>44085</v>
      </c>
      <c r="P591" s="537">
        <v>44125</v>
      </c>
      <c r="Q591" s="537">
        <v>44148</v>
      </c>
      <c r="R591" s="495" t="s">
        <v>7316</v>
      </c>
      <c r="S591" s="491"/>
      <c r="T591" s="536">
        <v>3444614.88</v>
      </c>
      <c r="U591" s="536">
        <v>4167984</v>
      </c>
      <c r="V591" s="1471"/>
      <c r="W591" s="1471"/>
      <c r="X591" s="1471"/>
      <c r="Y591" s="573">
        <v>44148</v>
      </c>
      <c r="Z591" s="1375" t="s">
        <v>7907</v>
      </c>
      <c r="AA591" s="537">
        <v>44180</v>
      </c>
      <c r="AB591" s="537">
        <v>44183</v>
      </c>
      <c r="AC591" s="537">
        <v>45640</v>
      </c>
      <c r="AD591" s="491" t="s">
        <v>8483</v>
      </c>
      <c r="AE591" s="491" t="s">
        <v>11373</v>
      </c>
      <c r="AF591" s="388">
        <v>2022</v>
      </c>
      <c r="AG591" s="388">
        <v>2023</v>
      </c>
      <c r="AH591" s="388" t="s">
        <v>8040</v>
      </c>
    </row>
    <row r="592" spans="1:45">
      <c r="C592" s="537">
        <v>44067</v>
      </c>
      <c r="D592" s="491" t="s">
        <v>7434</v>
      </c>
      <c r="E592" s="491" t="s">
        <v>1032</v>
      </c>
      <c r="F592" s="491" t="s">
        <v>361</v>
      </c>
      <c r="G592" s="571" t="s">
        <v>7435</v>
      </c>
      <c r="H592" s="491"/>
      <c r="I592" s="495"/>
      <c r="J592" s="491"/>
      <c r="K592" s="491" t="s">
        <v>5826</v>
      </c>
      <c r="L592" s="491"/>
      <c r="M592" s="536">
        <v>1950000</v>
      </c>
      <c r="N592" s="491" t="s">
        <v>112</v>
      </c>
      <c r="O592" s="537">
        <v>44077</v>
      </c>
      <c r="P592" s="537">
        <v>44089</v>
      </c>
      <c r="Q592" s="537">
        <v>44109</v>
      </c>
      <c r="R592" s="495" t="s">
        <v>1365</v>
      </c>
      <c r="S592" s="491"/>
      <c r="T592" s="536">
        <v>1182531</v>
      </c>
      <c r="U592" s="536">
        <v>1430863</v>
      </c>
      <c r="V592" s="1471"/>
      <c r="W592" s="1471"/>
      <c r="X592" s="1471"/>
      <c r="Y592" s="573">
        <v>44109</v>
      </c>
      <c r="Z592" s="536" t="s">
        <v>7710</v>
      </c>
      <c r="AA592" s="537">
        <v>44137</v>
      </c>
      <c r="AB592" s="537">
        <v>44138</v>
      </c>
      <c r="AC592" s="537">
        <f>AA592+42</f>
        <v>44179</v>
      </c>
      <c r="AD592" s="537">
        <v>44643</v>
      </c>
      <c r="AE592" s="1102"/>
    </row>
    <row r="593" spans="3:34">
      <c r="C593" s="537">
        <v>44048</v>
      </c>
      <c r="D593" s="491" t="s">
        <v>7436</v>
      </c>
      <c r="E593" s="491" t="s">
        <v>1032</v>
      </c>
      <c r="F593" s="491" t="s">
        <v>361</v>
      </c>
      <c r="G593" s="571" t="s">
        <v>7437</v>
      </c>
      <c r="H593" s="491"/>
      <c r="I593" s="495"/>
      <c r="J593" s="491"/>
      <c r="K593" s="491" t="s">
        <v>896</v>
      </c>
      <c r="L593" s="491"/>
      <c r="M593" s="536">
        <v>2400000</v>
      </c>
      <c r="N593" s="491" t="s">
        <v>216</v>
      </c>
      <c r="O593" s="537">
        <v>44077</v>
      </c>
      <c r="P593" s="537">
        <v>44098</v>
      </c>
      <c r="Q593" s="537">
        <v>44109</v>
      </c>
      <c r="R593" s="495" t="s">
        <v>7706</v>
      </c>
      <c r="S593" s="491"/>
      <c r="T593" s="536">
        <v>3386236.52</v>
      </c>
      <c r="U593" s="536">
        <v>4097346.19</v>
      </c>
      <c r="V593" s="1471"/>
      <c r="W593" s="1471"/>
      <c r="X593" s="1471"/>
      <c r="Y593" s="573">
        <v>44110</v>
      </c>
      <c r="Z593" s="536" t="s">
        <v>7716</v>
      </c>
      <c r="AA593" s="537">
        <v>44160</v>
      </c>
      <c r="AB593" s="537">
        <v>44166</v>
      </c>
      <c r="AC593" s="537">
        <v>45620</v>
      </c>
      <c r="AD593" s="491" t="s">
        <v>892</v>
      </c>
      <c r="AE593" s="537">
        <v>44643</v>
      </c>
      <c r="AF593" s="388">
        <v>2022</v>
      </c>
      <c r="AG593" s="388">
        <v>2023</v>
      </c>
      <c r="AH593" s="388" t="s">
        <v>7965</v>
      </c>
    </row>
    <row r="594" spans="3:34">
      <c r="C594" s="537">
        <v>44063</v>
      </c>
      <c r="D594" s="491" t="s">
        <v>7453</v>
      </c>
      <c r="E594" s="491" t="s">
        <v>14</v>
      </c>
      <c r="F594" s="491" t="s">
        <v>1753</v>
      </c>
      <c r="G594" s="571" t="s">
        <v>3361</v>
      </c>
      <c r="H594" s="491"/>
      <c r="I594" s="495"/>
      <c r="J594" s="491"/>
      <c r="K594" s="491" t="s">
        <v>3362</v>
      </c>
      <c r="L594" s="2030" t="s">
        <v>7466</v>
      </c>
      <c r="M594" s="536">
        <v>561984</v>
      </c>
      <c r="N594" s="491" t="s">
        <v>112</v>
      </c>
      <c r="O594" s="537">
        <v>44074</v>
      </c>
      <c r="P594" s="537">
        <v>44082</v>
      </c>
      <c r="Q594" s="537">
        <v>44084</v>
      </c>
      <c r="R594" s="495" t="s">
        <v>7544</v>
      </c>
      <c r="S594" s="491"/>
      <c r="T594" s="536">
        <v>532460</v>
      </c>
      <c r="U594" s="536">
        <v>644276.6</v>
      </c>
      <c r="V594" s="1471"/>
      <c r="W594" s="1471"/>
      <c r="X594" s="1471"/>
      <c r="Y594" s="573">
        <v>44084</v>
      </c>
      <c r="Z594" s="536" t="s">
        <v>7563</v>
      </c>
      <c r="AA594" s="537">
        <v>44109</v>
      </c>
      <c r="AB594" s="537">
        <v>44110</v>
      </c>
      <c r="AC594" s="537">
        <f>AA594+40</f>
        <v>44149</v>
      </c>
      <c r="AD594" s="537">
        <v>44235</v>
      </c>
      <c r="AE594" s="1102"/>
    </row>
    <row r="595" spans="3:34">
      <c r="C595" s="544">
        <v>44068</v>
      </c>
      <c r="D595" s="540" t="s">
        <v>7455</v>
      </c>
      <c r="E595" s="540" t="s">
        <v>1032</v>
      </c>
      <c r="F595" s="540" t="s">
        <v>1033</v>
      </c>
      <c r="G595" s="541" t="s">
        <v>7461</v>
      </c>
      <c r="H595" s="540"/>
      <c r="I595" s="1402"/>
      <c r="J595" s="590"/>
      <c r="K595" s="540" t="s">
        <v>6152</v>
      </c>
      <c r="L595" s="540" t="s">
        <v>6155</v>
      </c>
      <c r="M595" s="545">
        <v>8650000</v>
      </c>
      <c r="N595" s="540" t="s">
        <v>216</v>
      </c>
      <c r="O595" s="544">
        <v>44089</v>
      </c>
      <c r="P595" s="544">
        <v>44112</v>
      </c>
      <c r="Q595" s="544">
        <v>44147</v>
      </c>
      <c r="R595" s="1402" t="s">
        <v>7863</v>
      </c>
      <c r="S595" s="540"/>
      <c r="T595" s="545">
        <v>8127838.2699999996</v>
      </c>
      <c r="U595" s="545">
        <v>9834684.3100000005</v>
      </c>
      <c r="V595" s="1484"/>
      <c r="W595" s="1484"/>
      <c r="X595" s="1484"/>
      <c r="Y595" s="1385">
        <v>44148</v>
      </c>
      <c r="Z595" s="545" t="s">
        <v>7906</v>
      </c>
      <c r="AA595" s="540"/>
      <c r="AB595" s="540"/>
      <c r="AC595" s="540"/>
      <c r="AD595" s="540"/>
      <c r="AE595" s="540"/>
    </row>
    <row r="596" spans="3:34">
      <c r="C596" s="544">
        <v>44069</v>
      </c>
      <c r="D596" s="540" t="s">
        <v>7462</v>
      </c>
      <c r="E596" s="540" t="s">
        <v>52</v>
      </c>
      <c r="F596" s="540" t="s">
        <v>2588</v>
      </c>
      <c r="G596" s="541" t="s">
        <v>7463</v>
      </c>
      <c r="H596" s="540"/>
      <c r="I596" s="1402"/>
      <c r="J596" s="590"/>
      <c r="K596" s="540" t="s">
        <v>484</v>
      </c>
      <c r="L596" s="540" t="s">
        <v>7464</v>
      </c>
      <c r="M596" s="545">
        <v>40000000</v>
      </c>
      <c r="N596" s="540" t="s">
        <v>251</v>
      </c>
      <c r="O596" s="544">
        <v>44078</v>
      </c>
      <c r="P596" s="544">
        <v>44137</v>
      </c>
      <c r="Q596" s="544">
        <v>44174</v>
      </c>
      <c r="R596" s="1402" t="s">
        <v>8029</v>
      </c>
      <c r="S596" s="540"/>
      <c r="T596" s="545">
        <v>28988500</v>
      </c>
      <c r="U596" s="545">
        <f>T596*1.21</f>
        <v>35076085</v>
      </c>
      <c r="V596" s="1484"/>
      <c r="W596" s="1484"/>
      <c r="X596" s="1484"/>
      <c r="Y596" s="1385">
        <v>44174</v>
      </c>
      <c r="Z596" s="545" t="s">
        <v>8028</v>
      </c>
      <c r="AA596" s="540"/>
      <c r="AB596" s="540"/>
      <c r="AC596" s="540"/>
      <c r="AD596" s="540"/>
      <c r="AE596" s="540"/>
    </row>
    <row r="597" spans="3:34">
      <c r="C597" s="510">
        <v>44070</v>
      </c>
      <c r="D597" s="506" t="s">
        <v>7469</v>
      </c>
      <c r="E597" s="506" t="s">
        <v>1032</v>
      </c>
      <c r="F597" s="506" t="s">
        <v>361</v>
      </c>
      <c r="G597" s="507" t="s">
        <v>7470</v>
      </c>
      <c r="H597" s="506"/>
      <c r="I597" s="548"/>
      <c r="J597" s="506"/>
      <c r="K597" s="506" t="s">
        <v>5826</v>
      </c>
      <c r="L597" s="506"/>
      <c r="M597" s="511">
        <v>5000000</v>
      </c>
      <c r="N597" s="506" t="s">
        <v>251</v>
      </c>
      <c r="O597" s="510">
        <v>44098</v>
      </c>
      <c r="P597" s="510">
        <v>44180</v>
      </c>
      <c r="Q597" s="506"/>
      <c r="R597" s="736" t="s">
        <v>8008</v>
      </c>
      <c r="S597" s="506"/>
      <c r="T597" s="511"/>
      <c r="U597" s="511"/>
      <c r="V597" s="1470"/>
      <c r="W597" s="1470"/>
      <c r="X597" s="1470"/>
      <c r="Y597" s="511"/>
      <c r="Z597" s="511"/>
      <c r="AA597" s="506"/>
      <c r="AB597" s="510">
        <v>44175</v>
      </c>
      <c r="AC597" s="548" t="s">
        <v>8019</v>
      </c>
      <c r="AD597" s="506"/>
      <c r="AE597" s="506"/>
    </row>
    <row r="598" spans="3:34" ht="30">
      <c r="C598" s="491" t="s">
        <v>3585</v>
      </c>
      <c r="D598" s="491" t="s">
        <v>7471</v>
      </c>
      <c r="E598" s="491" t="s">
        <v>2434</v>
      </c>
      <c r="F598" s="491" t="s">
        <v>219</v>
      </c>
      <c r="G598" s="571" t="s">
        <v>7472</v>
      </c>
      <c r="H598" s="491"/>
      <c r="I598" s="495"/>
      <c r="J598" s="491"/>
      <c r="K598" s="491" t="s">
        <v>642</v>
      </c>
      <c r="L598" s="491"/>
      <c r="M598" s="536">
        <v>672000</v>
      </c>
      <c r="N598" s="491" t="s">
        <v>112</v>
      </c>
      <c r="O598" s="537">
        <v>44075</v>
      </c>
      <c r="P598" s="537">
        <v>44085</v>
      </c>
      <c r="Q598" s="537">
        <v>44111</v>
      </c>
      <c r="R598" s="495" t="s">
        <v>7680</v>
      </c>
      <c r="S598" s="491"/>
      <c r="T598" s="536">
        <v>744000</v>
      </c>
      <c r="U598" s="536">
        <f>T598*1.21</f>
        <v>900240</v>
      </c>
      <c r="V598" s="1471"/>
      <c r="W598" s="1471"/>
      <c r="X598" s="1471"/>
      <c r="Y598" s="573">
        <v>44111</v>
      </c>
      <c r="Z598" s="1375" t="s">
        <v>7732</v>
      </c>
      <c r="AA598" s="537">
        <v>44137</v>
      </c>
      <c r="AB598" s="537">
        <v>44139</v>
      </c>
      <c r="AC598" s="491" t="s">
        <v>4096</v>
      </c>
      <c r="AD598" s="537">
        <v>44285</v>
      </c>
      <c r="AE598" s="491" t="s">
        <v>11373</v>
      </c>
      <c r="AF598" s="388">
        <v>2022</v>
      </c>
      <c r="AG598" s="388">
        <v>2023</v>
      </c>
      <c r="AH598" s="388" t="s">
        <v>4435</v>
      </c>
    </row>
    <row r="599" spans="3:34">
      <c r="C599" s="537">
        <v>44070</v>
      </c>
      <c r="D599" s="491" t="s">
        <v>7474</v>
      </c>
      <c r="E599" s="491" t="s">
        <v>4997</v>
      </c>
      <c r="F599" s="491" t="s">
        <v>7475</v>
      </c>
      <c r="G599" s="571" t="s">
        <v>7473</v>
      </c>
      <c r="H599" s="491"/>
      <c r="I599" s="495"/>
      <c r="J599" s="491"/>
      <c r="K599" s="491" t="s">
        <v>1676</v>
      </c>
      <c r="L599" s="491"/>
      <c r="M599" s="536">
        <v>500000</v>
      </c>
      <c r="N599" s="491" t="s">
        <v>112</v>
      </c>
      <c r="O599" s="537">
        <v>44077</v>
      </c>
      <c r="P599" s="537">
        <v>44096</v>
      </c>
      <c r="Q599" s="537">
        <v>44105</v>
      </c>
      <c r="R599" s="495" t="s">
        <v>2677</v>
      </c>
      <c r="S599" s="491"/>
      <c r="T599" s="536">
        <v>298353.28999999998</v>
      </c>
      <c r="U599" s="536">
        <v>361007.48</v>
      </c>
      <c r="V599" s="1471"/>
      <c r="W599" s="1471"/>
      <c r="X599" s="1471"/>
      <c r="Y599" s="573">
        <v>44105</v>
      </c>
      <c r="Z599" s="536" t="s">
        <v>7688</v>
      </c>
      <c r="AA599" s="537">
        <v>44131</v>
      </c>
      <c r="AB599" s="537">
        <v>44131</v>
      </c>
      <c r="AC599" s="537">
        <f>AA599+42</f>
        <v>44173</v>
      </c>
      <c r="AD599" s="537">
        <v>44245</v>
      </c>
      <c r="AE599" s="1102"/>
    </row>
    <row r="600" spans="3:34">
      <c r="C600" s="537">
        <v>44070</v>
      </c>
      <c r="D600" s="491" t="s">
        <v>7476</v>
      </c>
      <c r="E600" s="491" t="s">
        <v>4997</v>
      </c>
      <c r="F600" s="491" t="s">
        <v>7475</v>
      </c>
      <c r="G600" s="571" t="s">
        <v>7477</v>
      </c>
      <c r="H600" s="491"/>
      <c r="I600" s="495"/>
      <c r="J600" s="491"/>
      <c r="K600" s="491" t="s">
        <v>1676</v>
      </c>
      <c r="L600" s="491"/>
      <c r="M600" s="536">
        <v>400000</v>
      </c>
      <c r="N600" s="491" t="s">
        <v>112</v>
      </c>
      <c r="O600" s="537">
        <v>44077</v>
      </c>
      <c r="P600" s="537">
        <v>44089</v>
      </c>
      <c r="Q600" s="537">
        <v>44126</v>
      </c>
      <c r="R600" s="495" t="s">
        <v>409</v>
      </c>
      <c r="S600" s="491"/>
      <c r="T600" s="536">
        <v>445113</v>
      </c>
      <c r="U600" s="536">
        <v>538587</v>
      </c>
      <c r="V600" s="1471"/>
      <c r="W600" s="1471"/>
      <c r="X600" s="1471"/>
      <c r="Y600" s="573">
        <v>44126</v>
      </c>
      <c r="Z600" s="536" t="s">
        <v>7809</v>
      </c>
      <c r="AA600" s="537">
        <v>44145</v>
      </c>
      <c r="AB600" s="537">
        <v>44147</v>
      </c>
      <c r="AC600" s="537">
        <f>AA600+44</f>
        <v>44189</v>
      </c>
      <c r="AD600" s="537">
        <v>44228</v>
      </c>
      <c r="AE600" s="1102"/>
    </row>
    <row r="601" spans="3:34">
      <c r="C601" s="544">
        <v>44075</v>
      </c>
      <c r="D601" s="540" t="s">
        <v>7482</v>
      </c>
      <c r="E601" s="540" t="s">
        <v>52</v>
      </c>
      <c r="F601" s="540" t="s">
        <v>2588</v>
      </c>
      <c r="G601" s="541" t="s">
        <v>7483</v>
      </c>
      <c r="H601" s="540"/>
      <c r="I601" s="1402"/>
      <c r="J601" s="590"/>
      <c r="K601" s="540" t="s">
        <v>484</v>
      </c>
      <c r="L601" s="540" t="s">
        <v>7484</v>
      </c>
      <c r="M601" s="545">
        <v>40000000</v>
      </c>
      <c r="N601" s="540" t="s">
        <v>251</v>
      </c>
      <c r="O601" s="544">
        <v>44081</v>
      </c>
      <c r="P601" s="544">
        <v>44141</v>
      </c>
      <c r="Q601" s="540"/>
      <c r="R601" s="1402"/>
      <c r="S601" s="540"/>
      <c r="T601" s="545"/>
      <c r="U601" s="545"/>
      <c r="V601" s="1484"/>
      <c r="W601" s="1484"/>
      <c r="X601" s="1484"/>
      <c r="Y601" s="545"/>
      <c r="Z601" s="545"/>
      <c r="AA601" s="540"/>
      <c r="AB601" s="540"/>
      <c r="AC601" s="540"/>
      <c r="AD601" s="540"/>
      <c r="AE601" s="540"/>
    </row>
    <row r="602" spans="3:34">
      <c r="C602" s="594">
        <v>44075</v>
      </c>
      <c r="D602" s="590" t="s">
        <v>7485</v>
      </c>
      <c r="E602" s="590" t="s">
        <v>58</v>
      </c>
      <c r="F602" s="590" t="s">
        <v>2684</v>
      </c>
      <c r="G602" s="591" t="s">
        <v>7486</v>
      </c>
      <c r="H602" s="590"/>
      <c r="I602" s="1428"/>
      <c r="J602" s="590"/>
      <c r="K602" s="590" t="s">
        <v>301</v>
      </c>
      <c r="L602" s="590" t="s">
        <v>7487</v>
      </c>
      <c r="M602" s="595">
        <v>100000000</v>
      </c>
      <c r="N602" s="590" t="s">
        <v>251</v>
      </c>
      <c r="O602" s="594">
        <v>44182</v>
      </c>
      <c r="P602" s="594">
        <v>44215</v>
      </c>
      <c r="Q602" s="590"/>
      <c r="R602" s="1428"/>
      <c r="S602" s="590"/>
      <c r="T602" s="595"/>
      <c r="U602" s="595"/>
      <c r="V602" s="1484"/>
      <c r="W602" s="1484"/>
      <c r="X602" s="1484"/>
      <c r="Y602" s="595"/>
      <c r="Z602" s="595"/>
      <c r="AA602" s="590"/>
      <c r="AB602" s="590"/>
      <c r="AC602" s="590"/>
      <c r="AD602" s="590"/>
      <c r="AE602" s="590"/>
    </row>
    <row r="603" spans="3:34">
      <c r="C603" s="537">
        <v>44071</v>
      </c>
      <c r="D603" s="491" t="s">
        <v>7502</v>
      </c>
      <c r="E603" s="491" t="s">
        <v>52</v>
      </c>
      <c r="F603" s="491" t="s">
        <v>7503</v>
      </c>
      <c r="G603" s="571" t="s">
        <v>7504</v>
      </c>
      <c r="H603" s="491"/>
      <c r="I603" s="495"/>
      <c r="J603" s="491"/>
      <c r="K603" s="491" t="s">
        <v>484</v>
      </c>
      <c r="L603" s="537" t="s">
        <v>7509</v>
      </c>
      <c r="M603" s="536">
        <v>600000</v>
      </c>
      <c r="N603" s="491" t="s">
        <v>112</v>
      </c>
      <c r="O603" s="537">
        <v>44077</v>
      </c>
      <c r="P603" s="537">
        <v>44091</v>
      </c>
      <c r="Q603" s="537">
        <v>44092</v>
      </c>
      <c r="R603" s="495" t="s">
        <v>7622</v>
      </c>
      <c r="S603" s="491"/>
      <c r="T603" s="536">
        <v>790000</v>
      </c>
      <c r="U603" s="536">
        <v>955900</v>
      </c>
      <c r="V603" s="1471"/>
      <c r="W603" s="1471"/>
      <c r="X603" s="1471"/>
      <c r="Y603" s="573">
        <v>44095</v>
      </c>
      <c r="Z603" s="536" t="s">
        <v>7630</v>
      </c>
      <c r="AA603" s="537">
        <v>44127</v>
      </c>
      <c r="AB603" s="537">
        <v>44130</v>
      </c>
      <c r="AC603" s="537">
        <f>AA603+120</f>
        <v>44247</v>
      </c>
      <c r="AD603" s="537">
        <v>44585</v>
      </c>
      <c r="AE603" s="1102"/>
    </row>
    <row r="604" spans="3:34">
      <c r="C604" s="491" t="s">
        <v>3585</v>
      </c>
      <c r="D604" s="491" t="s">
        <v>7505</v>
      </c>
      <c r="E604" s="491" t="s">
        <v>2434</v>
      </c>
      <c r="F604" s="491" t="s">
        <v>219</v>
      </c>
      <c r="G604" s="571" t="s">
        <v>7506</v>
      </c>
      <c r="H604" s="491">
        <v>1</v>
      </c>
      <c r="I604" s="495" t="s">
        <v>7556</v>
      </c>
      <c r="J604" s="491"/>
      <c r="K604" s="491" t="s">
        <v>642</v>
      </c>
      <c r="L604" s="491"/>
      <c r="M604" s="536">
        <v>1226400</v>
      </c>
      <c r="N604" s="491" t="s">
        <v>216</v>
      </c>
      <c r="O604" s="537">
        <v>44085</v>
      </c>
      <c r="P604" s="537">
        <v>44104</v>
      </c>
      <c r="Q604" s="537">
        <v>44133</v>
      </c>
      <c r="R604" s="495" t="s">
        <v>5726</v>
      </c>
      <c r="S604" s="491"/>
      <c r="T604" s="536">
        <v>1224000</v>
      </c>
      <c r="U604" s="536">
        <v>1481040</v>
      </c>
      <c r="V604" s="1471"/>
      <c r="W604" s="1471"/>
      <c r="X604" s="1471"/>
      <c r="Y604" s="573">
        <v>44133</v>
      </c>
      <c r="Z604" s="536" t="s">
        <v>7840</v>
      </c>
      <c r="AA604" s="537">
        <v>44160</v>
      </c>
      <c r="AB604" s="537">
        <v>44168</v>
      </c>
      <c r="AC604" s="491" t="s">
        <v>4096</v>
      </c>
      <c r="AD604" s="491" t="s">
        <v>8483</v>
      </c>
      <c r="AE604" s="537">
        <v>44641</v>
      </c>
      <c r="AF604" s="388">
        <v>2022</v>
      </c>
      <c r="AG604" s="388">
        <v>2023</v>
      </c>
      <c r="AH604" s="388" t="s">
        <v>4435</v>
      </c>
    </row>
    <row r="605" spans="3:34">
      <c r="C605" s="506" t="s">
        <v>3585</v>
      </c>
      <c r="D605" s="506" t="s">
        <v>7505</v>
      </c>
      <c r="E605" s="506" t="s">
        <v>2434</v>
      </c>
      <c r="F605" s="506" t="s">
        <v>219</v>
      </c>
      <c r="G605" s="507" t="s">
        <v>7506</v>
      </c>
      <c r="H605" s="506">
        <v>2</v>
      </c>
      <c r="I605" s="548" t="s">
        <v>7557</v>
      </c>
      <c r="J605" s="506"/>
      <c r="K605" s="506" t="s">
        <v>642</v>
      </c>
      <c r="L605" s="506"/>
      <c r="M605" s="511">
        <v>2116000</v>
      </c>
      <c r="N605" s="506" t="s">
        <v>216</v>
      </c>
      <c r="O605" s="510">
        <v>44085</v>
      </c>
      <c r="P605" s="510">
        <v>44104</v>
      </c>
      <c r="Q605" s="506"/>
      <c r="R605" s="736" t="s">
        <v>2635</v>
      </c>
      <c r="S605" s="506"/>
      <c r="T605" s="511"/>
      <c r="U605" s="511"/>
      <c r="V605" s="1470"/>
      <c r="W605" s="1470"/>
      <c r="X605" s="1470"/>
      <c r="Y605" s="511"/>
      <c r="Z605" s="511"/>
      <c r="AA605" s="506"/>
      <c r="AB605" s="510">
        <v>44168</v>
      </c>
      <c r="AC605" s="506" t="s">
        <v>7902</v>
      </c>
      <c r="AD605" s="506"/>
      <c r="AE605" s="506"/>
    </row>
    <row r="606" spans="3:34">
      <c r="C606" s="510">
        <v>44071</v>
      </c>
      <c r="D606" s="506" t="s">
        <v>7513</v>
      </c>
      <c r="E606" s="506" t="s">
        <v>69</v>
      </c>
      <c r="F606" s="506" t="s">
        <v>70</v>
      </c>
      <c r="G606" s="507" t="s">
        <v>7516</v>
      </c>
      <c r="H606" s="506"/>
      <c r="I606" s="548"/>
      <c r="J606" s="506"/>
      <c r="K606" s="506" t="s">
        <v>42</v>
      </c>
      <c r="L606" s="506"/>
      <c r="M606" s="511">
        <v>1996800</v>
      </c>
      <c r="N606" s="506" t="s">
        <v>112</v>
      </c>
      <c r="O606" s="510">
        <v>44076</v>
      </c>
      <c r="P606" s="510">
        <v>44083</v>
      </c>
      <c r="Q606" s="506"/>
      <c r="R606" s="548"/>
      <c r="S606" s="506"/>
      <c r="T606" s="511"/>
      <c r="U606" s="511"/>
      <c r="V606" s="1470"/>
      <c r="W606" s="1470"/>
      <c r="X606" s="1470"/>
      <c r="Y606" s="511"/>
      <c r="Z606" s="511"/>
      <c r="AA606" s="506"/>
      <c r="AB606" s="510">
        <v>44088</v>
      </c>
      <c r="AC606" s="506"/>
      <c r="AD606" s="506"/>
      <c r="AE606" s="506"/>
    </row>
    <row r="607" spans="3:34">
      <c r="C607" s="510">
        <v>44071</v>
      </c>
      <c r="D607" s="506" t="s">
        <v>7514</v>
      </c>
      <c r="E607" s="506" t="s">
        <v>69</v>
      </c>
      <c r="F607" s="506" t="s">
        <v>70</v>
      </c>
      <c r="G607" s="507" t="s">
        <v>7517</v>
      </c>
      <c r="H607" s="506"/>
      <c r="I607" s="548"/>
      <c r="J607" s="506"/>
      <c r="K607" s="506" t="s">
        <v>42</v>
      </c>
      <c r="L607" s="506"/>
      <c r="M607" s="511">
        <v>1800000</v>
      </c>
      <c r="N607" s="506" t="s">
        <v>112</v>
      </c>
      <c r="O607" s="510">
        <v>44077</v>
      </c>
      <c r="P607" s="510">
        <v>44083</v>
      </c>
      <c r="Q607" s="506"/>
      <c r="R607" s="736" t="s">
        <v>2635</v>
      </c>
      <c r="S607" s="506"/>
      <c r="T607" s="511"/>
      <c r="U607" s="511"/>
      <c r="V607" s="1470"/>
      <c r="W607" s="1470"/>
      <c r="X607" s="1470"/>
      <c r="Y607" s="511"/>
      <c r="Z607" s="511"/>
      <c r="AA607" s="506"/>
      <c r="AB607" s="510">
        <v>44083</v>
      </c>
      <c r="AC607" s="506"/>
      <c r="AD607" s="506"/>
      <c r="AE607" s="506"/>
    </row>
    <row r="608" spans="3:34" ht="15.75" thickBot="1">
      <c r="C608" s="643">
        <v>44071</v>
      </c>
      <c r="D608" s="639" t="s">
        <v>7515</v>
      </c>
      <c r="E608" s="639" t="s">
        <v>69</v>
      </c>
      <c r="F608" s="639" t="s">
        <v>70</v>
      </c>
      <c r="G608" s="640" t="s">
        <v>7519</v>
      </c>
      <c r="H608" s="639"/>
      <c r="I608" s="1533"/>
      <c r="J608" s="1437"/>
      <c r="K608" s="639" t="s">
        <v>42</v>
      </c>
      <c r="L608" s="639"/>
      <c r="M608" s="645">
        <v>1800000</v>
      </c>
      <c r="N608" s="639" t="s">
        <v>112</v>
      </c>
      <c r="O608" s="643">
        <v>44077</v>
      </c>
      <c r="P608" s="643">
        <v>44083</v>
      </c>
      <c r="Q608" s="639"/>
      <c r="R608" s="644" t="s">
        <v>304</v>
      </c>
      <c r="S608" s="639"/>
      <c r="T608" s="645"/>
      <c r="U608" s="645"/>
      <c r="V608" s="1490"/>
      <c r="W608" s="1490"/>
      <c r="X608" s="1490"/>
      <c r="Y608" s="645"/>
      <c r="Z608" s="645"/>
      <c r="AA608" s="639"/>
      <c r="AB608" s="643">
        <v>44083</v>
      </c>
      <c r="AC608" s="639"/>
      <c r="AD608" s="639"/>
      <c r="AE608" s="639"/>
    </row>
    <row r="609" spans="3:35" ht="15.75" thickTop="1">
      <c r="C609" s="443">
        <v>44049</v>
      </c>
      <c r="D609" s="439" t="s">
        <v>7580</v>
      </c>
      <c r="E609" s="439" t="s">
        <v>2434</v>
      </c>
      <c r="F609" s="439" t="s">
        <v>3204</v>
      </c>
      <c r="G609" s="440" t="s">
        <v>7581</v>
      </c>
      <c r="H609" s="439">
        <v>1</v>
      </c>
      <c r="I609" s="1431" t="s">
        <v>7582</v>
      </c>
      <c r="J609" s="439"/>
      <c r="K609" s="439" t="s">
        <v>3013</v>
      </c>
      <c r="L609" s="439"/>
      <c r="M609" s="444">
        <v>4660000</v>
      </c>
      <c r="N609" s="439" t="s">
        <v>251</v>
      </c>
      <c r="O609" s="443">
        <v>44085</v>
      </c>
      <c r="P609" s="443">
        <v>44151</v>
      </c>
      <c r="Q609" s="439"/>
      <c r="R609" s="753"/>
      <c r="S609" s="439"/>
      <c r="T609" s="444"/>
      <c r="U609" s="444"/>
      <c r="V609" s="1481"/>
      <c r="W609" s="1481"/>
      <c r="X609" s="1481"/>
      <c r="Y609" s="444"/>
      <c r="Z609" s="444"/>
      <c r="AA609" s="439"/>
      <c r="AB609" s="443">
        <v>44176</v>
      </c>
      <c r="AC609" s="439" t="s">
        <v>8019</v>
      </c>
      <c r="AD609" s="439"/>
      <c r="AE609" s="439"/>
    </row>
    <row r="610" spans="3:35">
      <c r="C610" s="510">
        <v>44049</v>
      </c>
      <c r="D610" s="506" t="s">
        <v>7580</v>
      </c>
      <c r="E610" s="506" t="s">
        <v>2434</v>
      </c>
      <c r="F610" s="506" t="s">
        <v>3204</v>
      </c>
      <c r="G610" s="507" t="s">
        <v>7581</v>
      </c>
      <c r="H610" s="506">
        <v>2</v>
      </c>
      <c r="I610" s="548" t="s">
        <v>7583</v>
      </c>
      <c r="J610" s="506"/>
      <c r="K610" s="506" t="s">
        <v>3013</v>
      </c>
      <c r="L610" s="506"/>
      <c r="M610" s="511">
        <v>972210</v>
      </c>
      <c r="N610" s="506" t="s">
        <v>251</v>
      </c>
      <c r="O610" s="510">
        <v>44085</v>
      </c>
      <c r="P610" s="510">
        <v>44151</v>
      </c>
      <c r="Q610" s="506"/>
      <c r="R610" s="736"/>
      <c r="S610" s="506"/>
      <c r="T610" s="511"/>
      <c r="U610" s="511"/>
      <c r="V610" s="1470"/>
      <c r="W610" s="1470"/>
      <c r="X610" s="1470"/>
      <c r="Y610" s="511"/>
      <c r="Z610" s="511"/>
      <c r="AA610" s="506"/>
      <c r="AB610" s="510">
        <v>44176</v>
      </c>
      <c r="AC610" s="506" t="s">
        <v>8019</v>
      </c>
      <c r="AD610" s="506"/>
      <c r="AE610" s="506"/>
    </row>
    <row r="611" spans="3:35" ht="15.75" thickBot="1">
      <c r="C611" s="1414">
        <v>44049</v>
      </c>
      <c r="D611" s="1410" t="s">
        <v>7580</v>
      </c>
      <c r="E611" s="1410" t="s">
        <v>2434</v>
      </c>
      <c r="F611" s="1410" t="s">
        <v>3204</v>
      </c>
      <c r="G611" s="1412" t="s">
        <v>7581</v>
      </c>
      <c r="H611" s="1410">
        <v>3</v>
      </c>
      <c r="I611" s="1430" t="s">
        <v>7584</v>
      </c>
      <c r="J611" s="1410"/>
      <c r="K611" s="1410" t="s">
        <v>3013</v>
      </c>
      <c r="L611" s="1410"/>
      <c r="M611" s="1413">
        <v>132090</v>
      </c>
      <c r="N611" s="1410" t="s">
        <v>251</v>
      </c>
      <c r="O611" s="1414">
        <v>44085</v>
      </c>
      <c r="P611" s="1414">
        <v>44151</v>
      </c>
      <c r="Q611" s="1410"/>
      <c r="R611" s="1710"/>
      <c r="S611" s="1410"/>
      <c r="T611" s="1413"/>
      <c r="U611" s="1413"/>
      <c r="V611" s="1479"/>
      <c r="W611" s="1479"/>
      <c r="X611" s="1479"/>
      <c r="Y611" s="1413"/>
      <c r="Z611" s="1413"/>
      <c r="AA611" s="1410"/>
      <c r="AB611" s="1414">
        <v>44176</v>
      </c>
      <c r="AC611" s="1410" t="s">
        <v>8019</v>
      </c>
      <c r="AD611" s="1410"/>
      <c r="AE611" s="1410"/>
    </row>
    <row r="612" spans="3:35" ht="15.75" thickTop="1">
      <c r="C612" s="428">
        <v>44078</v>
      </c>
      <c r="D612" s="425" t="s">
        <v>7529</v>
      </c>
      <c r="E612" s="425" t="s">
        <v>69</v>
      </c>
      <c r="F612" s="425" t="s">
        <v>70</v>
      </c>
      <c r="G612" s="426" t="s">
        <v>7528</v>
      </c>
      <c r="H612" s="425">
        <v>1</v>
      </c>
      <c r="I612" s="1371" t="s">
        <v>7525</v>
      </c>
      <c r="J612" s="583"/>
      <c r="K612" s="425" t="s">
        <v>2255</v>
      </c>
      <c r="L612" s="425"/>
      <c r="M612" s="429">
        <v>17281625</v>
      </c>
      <c r="N612" s="425" t="s">
        <v>251</v>
      </c>
      <c r="O612" s="428">
        <v>44081</v>
      </c>
      <c r="P612" s="428">
        <v>44151</v>
      </c>
      <c r="Q612" s="428">
        <v>44183</v>
      </c>
      <c r="R612" s="1371" t="s">
        <v>7327</v>
      </c>
      <c r="S612" s="425"/>
      <c r="T612" s="429">
        <v>17281625</v>
      </c>
      <c r="U612" s="429">
        <v>19009787.5</v>
      </c>
      <c r="V612" s="1483"/>
      <c r="W612" s="1483"/>
      <c r="X612" s="1483"/>
      <c r="Y612" s="1384">
        <v>44183</v>
      </c>
      <c r="Z612" s="429" t="s">
        <v>8085</v>
      </c>
      <c r="AA612" s="425"/>
      <c r="AB612" s="425"/>
      <c r="AC612" s="425"/>
      <c r="AD612" s="425"/>
      <c r="AE612" s="425"/>
    </row>
    <row r="613" spans="3:35">
      <c r="C613" s="544">
        <v>44078</v>
      </c>
      <c r="D613" s="540" t="s">
        <v>7529</v>
      </c>
      <c r="E613" s="540" t="s">
        <v>69</v>
      </c>
      <c r="F613" s="540" t="s">
        <v>70</v>
      </c>
      <c r="G613" s="541" t="s">
        <v>7528</v>
      </c>
      <c r="H613" s="540">
        <v>2</v>
      </c>
      <c r="I613" s="1402" t="s">
        <v>7526</v>
      </c>
      <c r="J613" s="590"/>
      <c r="K613" s="540" t="s">
        <v>2255</v>
      </c>
      <c r="L613" s="540"/>
      <c r="M613" s="545">
        <v>1223550</v>
      </c>
      <c r="N613" s="540" t="s">
        <v>251</v>
      </c>
      <c r="O613" s="544">
        <v>44081</v>
      </c>
      <c r="P613" s="544">
        <v>44151</v>
      </c>
      <c r="Q613" s="544">
        <v>44183</v>
      </c>
      <c r="R613" s="1402" t="s">
        <v>7327</v>
      </c>
      <c r="S613" s="540"/>
      <c r="T613" s="545">
        <v>1223550</v>
      </c>
      <c r="U613" s="545">
        <v>1345905</v>
      </c>
      <c r="V613" s="1484"/>
      <c r="W613" s="1484"/>
      <c r="X613" s="1484"/>
      <c r="Y613" s="1385">
        <v>44183</v>
      </c>
      <c r="Z613" s="545" t="s">
        <v>8086</v>
      </c>
      <c r="AA613" s="540"/>
      <c r="AB613" s="540"/>
      <c r="AC613" s="540"/>
      <c r="AD613" s="540"/>
      <c r="AE613" s="540"/>
    </row>
    <row r="614" spans="3:35" ht="15.75" thickBot="1">
      <c r="C614" s="1363">
        <v>44078</v>
      </c>
      <c r="D614" s="1355" t="s">
        <v>7529</v>
      </c>
      <c r="E614" s="1355" t="s">
        <v>69</v>
      </c>
      <c r="F614" s="1355" t="s">
        <v>70</v>
      </c>
      <c r="G614" s="1361" t="s">
        <v>7528</v>
      </c>
      <c r="H614" s="1355">
        <v>3</v>
      </c>
      <c r="I614" s="1419" t="s">
        <v>7527</v>
      </c>
      <c r="J614" s="1356"/>
      <c r="K614" s="1355" t="s">
        <v>2255</v>
      </c>
      <c r="L614" s="1355"/>
      <c r="M614" s="1362">
        <v>98897533</v>
      </c>
      <c r="N614" s="1355" t="s">
        <v>251</v>
      </c>
      <c r="O614" s="1363">
        <v>44081</v>
      </c>
      <c r="P614" s="1363">
        <v>44151</v>
      </c>
      <c r="Q614" s="1363">
        <v>44183</v>
      </c>
      <c r="R614" s="1419" t="s">
        <v>8035</v>
      </c>
      <c r="S614" s="1355"/>
      <c r="T614" s="1362">
        <v>98897532.5</v>
      </c>
      <c r="U614" s="1362">
        <v>108787285.75</v>
      </c>
      <c r="V614" s="1485"/>
      <c r="W614" s="1485"/>
      <c r="X614" s="1485"/>
      <c r="Y614" s="1512">
        <v>44183</v>
      </c>
      <c r="Z614" s="1362" t="s">
        <v>8087</v>
      </c>
      <c r="AA614" s="1355"/>
      <c r="AB614" s="1355"/>
      <c r="AC614" s="1355"/>
      <c r="AD614" s="1355"/>
      <c r="AE614" s="1355"/>
    </row>
    <row r="615" spans="3:35" ht="15.75" thickTop="1">
      <c r="C615" s="428">
        <v>44078</v>
      </c>
      <c r="D615" s="425" t="s">
        <v>7530</v>
      </c>
      <c r="E615" s="425" t="s">
        <v>69</v>
      </c>
      <c r="F615" s="425" t="s">
        <v>70</v>
      </c>
      <c r="G615" s="426" t="s">
        <v>7531</v>
      </c>
      <c r="H615" s="425">
        <v>1</v>
      </c>
      <c r="I615" s="1371" t="s">
        <v>7532</v>
      </c>
      <c r="J615" s="583"/>
      <c r="K615" s="425" t="s">
        <v>68</v>
      </c>
      <c r="L615" s="425"/>
      <c r="M615" s="429">
        <v>26177675</v>
      </c>
      <c r="N615" s="425" t="s">
        <v>251</v>
      </c>
      <c r="O615" s="428">
        <v>44084</v>
      </c>
      <c r="P615" s="428">
        <v>44118</v>
      </c>
      <c r="Q615" s="428">
        <v>44160</v>
      </c>
      <c r="R615" s="1371" t="s">
        <v>576</v>
      </c>
      <c r="S615" s="425"/>
      <c r="T615" s="429">
        <v>25744379.5</v>
      </c>
      <c r="U615" s="429">
        <v>28318817.449999999</v>
      </c>
      <c r="V615" s="1483"/>
      <c r="W615" s="1483"/>
      <c r="X615" s="1483"/>
      <c r="Y615" s="1384">
        <v>44161</v>
      </c>
      <c r="Z615" s="429" t="s">
        <v>7962</v>
      </c>
      <c r="AA615" s="425"/>
      <c r="AB615" s="425"/>
      <c r="AC615" s="425"/>
      <c r="AD615" s="425"/>
      <c r="AE615" s="425"/>
    </row>
    <row r="616" spans="3:35">
      <c r="C616" s="537">
        <v>44078</v>
      </c>
      <c r="D616" s="491" t="s">
        <v>7530</v>
      </c>
      <c r="E616" s="491" t="s">
        <v>69</v>
      </c>
      <c r="F616" s="491" t="s">
        <v>70</v>
      </c>
      <c r="G616" s="571" t="s">
        <v>7531</v>
      </c>
      <c r="H616" s="491">
        <v>2</v>
      </c>
      <c r="I616" s="495" t="s">
        <v>7533</v>
      </c>
      <c r="J616" s="590"/>
      <c r="K616" s="491" t="s">
        <v>68</v>
      </c>
      <c r="L616" s="491"/>
      <c r="M616" s="536">
        <v>3165978</v>
      </c>
      <c r="N616" s="491" t="s">
        <v>251</v>
      </c>
      <c r="O616" s="537">
        <v>44084</v>
      </c>
      <c r="P616" s="537">
        <v>44118</v>
      </c>
      <c r="Q616" s="537">
        <v>44160</v>
      </c>
      <c r="R616" s="495" t="s">
        <v>2405</v>
      </c>
      <c r="S616" s="491"/>
      <c r="T616" s="536">
        <v>3165978</v>
      </c>
      <c r="U616" s="536">
        <v>3482575.8</v>
      </c>
      <c r="V616" s="1484"/>
      <c r="W616" s="1484"/>
      <c r="X616" s="1484"/>
      <c r="Y616" s="573">
        <v>44161</v>
      </c>
      <c r="Z616" s="536" t="s">
        <v>7963</v>
      </c>
      <c r="AA616" s="537">
        <v>44183</v>
      </c>
      <c r="AB616" s="537">
        <v>44211</v>
      </c>
      <c r="AC616" s="537">
        <v>46008</v>
      </c>
      <c r="AD616" s="491" t="s">
        <v>8483</v>
      </c>
      <c r="AE616" s="537">
        <v>44645</v>
      </c>
      <c r="AF616" s="388">
        <v>2022</v>
      </c>
      <c r="AG616" s="388">
        <v>2023</v>
      </c>
      <c r="AH616" s="388">
        <v>2024</v>
      </c>
      <c r="AI616" s="388" t="s">
        <v>8093</v>
      </c>
    </row>
    <row r="617" spans="3:35" ht="15.75" thickBot="1">
      <c r="C617" s="1380">
        <v>44078</v>
      </c>
      <c r="D617" s="1376" t="s">
        <v>7530</v>
      </c>
      <c r="E617" s="1376" t="s">
        <v>69</v>
      </c>
      <c r="F617" s="1376" t="s">
        <v>70</v>
      </c>
      <c r="G617" s="1378" t="s">
        <v>7531</v>
      </c>
      <c r="H617" s="1376">
        <v>3</v>
      </c>
      <c r="I617" s="1421" t="s">
        <v>7534</v>
      </c>
      <c r="J617" s="1356"/>
      <c r="K617" s="1376" t="s">
        <v>68</v>
      </c>
      <c r="L617" s="1376"/>
      <c r="M617" s="1379">
        <v>24741000</v>
      </c>
      <c r="N617" s="1376" t="s">
        <v>251</v>
      </c>
      <c r="O617" s="1380">
        <v>44084</v>
      </c>
      <c r="P617" s="1380">
        <v>44118</v>
      </c>
      <c r="Q617" s="1380">
        <v>44160</v>
      </c>
      <c r="R617" s="1421" t="s">
        <v>2097</v>
      </c>
      <c r="S617" s="1376"/>
      <c r="T617" s="1379">
        <v>19105550</v>
      </c>
      <c r="U617" s="1379">
        <v>21016105</v>
      </c>
      <c r="V617" s="1485"/>
      <c r="W617" s="1485"/>
      <c r="X617" s="1485"/>
      <c r="Y617" s="1388">
        <v>44161</v>
      </c>
      <c r="Z617" s="1379" t="s">
        <v>7964</v>
      </c>
      <c r="AA617" s="1380">
        <v>44183</v>
      </c>
      <c r="AB617" s="1380">
        <v>44211</v>
      </c>
      <c r="AC617" s="1380">
        <v>46008</v>
      </c>
      <c r="AD617" s="1376" t="s">
        <v>8483</v>
      </c>
      <c r="AE617" s="1380">
        <v>44645</v>
      </c>
      <c r="AF617" s="388">
        <v>2022</v>
      </c>
      <c r="AG617" s="388">
        <v>2023</v>
      </c>
      <c r="AH617" s="388">
        <v>2024</v>
      </c>
      <c r="AI617" s="388" t="s">
        <v>8093</v>
      </c>
    </row>
    <row r="618" spans="3:35" ht="15.75" thickTop="1">
      <c r="C618" s="580">
        <v>44078</v>
      </c>
      <c r="D618" s="576" t="s">
        <v>7535</v>
      </c>
      <c r="E618" s="576" t="s">
        <v>69</v>
      </c>
      <c r="F618" s="576" t="s">
        <v>70</v>
      </c>
      <c r="G618" s="577" t="s">
        <v>7536</v>
      </c>
      <c r="H618" s="576"/>
      <c r="I618" s="1828"/>
      <c r="J618" s="576"/>
      <c r="K618" s="576" t="s">
        <v>68</v>
      </c>
      <c r="L618" s="576"/>
      <c r="M618" s="581">
        <v>8423486</v>
      </c>
      <c r="N618" s="576" t="s">
        <v>251</v>
      </c>
      <c r="O618" s="580">
        <v>44162</v>
      </c>
      <c r="P618" s="580">
        <v>44211</v>
      </c>
      <c r="Q618" s="576"/>
      <c r="R618" s="1828"/>
      <c r="S618" s="576"/>
      <c r="T618" s="581"/>
      <c r="U618" s="581"/>
      <c r="V618" s="1489"/>
      <c r="W618" s="1489"/>
      <c r="X618" s="1489"/>
      <c r="Y618" s="581"/>
      <c r="Z618" s="581"/>
      <c r="AA618" s="576"/>
      <c r="AB618" s="576"/>
      <c r="AC618" s="576"/>
      <c r="AD618" s="576"/>
      <c r="AE618" s="576"/>
    </row>
    <row r="619" spans="3:35" ht="30.75" thickBot="1">
      <c r="C619" s="416">
        <v>44077</v>
      </c>
      <c r="D619" s="411" t="s">
        <v>7547</v>
      </c>
      <c r="E619" s="411" t="s">
        <v>14</v>
      </c>
      <c r="F619" s="411" t="s">
        <v>1753</v>
      </c>
      <c r="G619" s="412" t="s">
        <v>7548</v>
      </c>
      <c r="H619" s="411"/>
      <c r="I619" s="630"/>
      <c r="J619" s="411"/>
      <c r="K619" s="411" t="s">
        <v>2214</v>
      </c>
      <c r="L619" s="411" t="s">
        <v>6709</v>
      </c>
      <c r="M619" s="417">
        <v>2533000</v>
      </c>
      <c r="N619" s="411" t="s">
        <v>216</v>
      </c>
      <c r="O619" s="416">
        <v>44092</v>
      </c>
      <c r="P619" s="416">
        <v>44120</v>
      </c>
      <c r="Q619" s="416">
        <v>44138</v>
      </c>
      <c r="R619" s="630" t="s">
        <v>7848</v>
      </c>
      <c r="S619" s="411"/>
      <c r="T619" s="417">
        <v>2985000</v>
      </c>
      <c r="U619" s="417">
        <f>T619*1.21</f>
        <v>3611850</v>
      </c>
      <c r="V619" s="1480"/>
      <c r="W619" s="1480"/>
      <c r="X619" s="1480"/>
      <c r="Y619" s="513">
        <v>44141</v>
      </c>
      <c r="Z619" s="1553" t="s">
        <v>7865</v>
      </c>
      <c r="AA619" s="416">
        <v>44165</v>
      </c>
      <c r="AB619" s="416">
        <v>44168</v>
      </c>
      <c r="AC619" s="416">
        <f>AA619+60</f>
        <v>44225</v>
      </c>
      <c r="AD619" s="1548">
        <v>44865</v>
      </c>
      <c r="AE619" s="1926" t="s">
        <v>7979</v>
      </c>
    </row>
    <row r="620" spans="3:35" ht="15.75" thickTop="1">
      <c r="C620" s="428">
        <v>44082</v>
      </c>
      <c r="D620" s="425" t="s">
        <v>7549</v>
      </c>
      <c r="E620" s="425" t="s">
        <v>69</v>
      </c>
      <c r="F620" s="425" t="s">
        <v>70</v>
      </c>
      <c r="G620" s="426" t="s">
        <v>7550</v>
      </c>
      <c r="H620" s="425">
        <v>1</v>
      </c>
      <c r="I620" s="1371" t="s">
        <v>7551</v>
      </c>
      <c r="J620" s="425"/>
      <c r="K620" s="425" t="s">
        <v>72</v>
      </c>
      <c r="L620" s="425"/>
      <c r="M620" s="429">
        <v>15458000</v>
      </c>
      <c r="N620" s="425" t="s">
        <v>251</v>
      </c>
      <c r="O620" s="428">
        <v>44091</v>
      </c>
      <c r="P620" s="428">
        <v>44123</v>
      </c>
      <c r="Q620" s="428">
        <v>44166</v>
      </c>
      <c r="R620" s="2036" t="s">
        <v>2548</v>
      </c>
      <c r="S620" s="425"/>
      <c r="T620" s="429">
        <v>15457754.07</v>
      </c>
      <c r="U620" s="429">
        <v>17003529.48</v>
      </c>
      <c r="V620" s="1605"/>
      <c r="W620" s="1605"/>
      <c r="X620" s="1605"/>
      <c r="Y620" s="1384">
        <v>44166</v>
      </c>
      <c r="Z620" s="429" t="s">
        <v>7980</v>
      </c>
      <c r="AA620" s="425"/>
      <c r="AB620" s="425"/>
      <c r="AC620" s="425"/>
      <c r="AD620" s="425"/>
      <c r="AE620" s="425"/>
    </row>
    <row r="621" spans="3:35">
      <c r="C621" s="510">
        <v>44082</v>
      </c>
      <c r="D621" s="506" t="s">
        <v>7549</v>
      </c>
      <c r="E621" s="506" t="s">
        <v>69</v>
      </c>
      <c r="F621" s="506" t="s">
        <v>70</v>
      </c>
      <c r="G621" s="507" t="s">
        <v>7550</v>
      </c>
      <c r="H621" s="506">
        <v>2</v>
      </c>
      <c r="I621" s="548" t="s">
        <v>7552</v>
      </c>
      <c r="J621" s="506"/>
      <c r="K621" s="506" t="s">
        <v>72</v>
      </c>
      <c r="L621" s="506"/>
      <c r="M621" s="511">
        <v>1692418</v>
      </c>
      <c r="N621" s="506" t="s">
        <v>251</v>
      </c>
      <c r="O621" s="510">
        <v>44091</v>
      </c>
      <c r="P621" s="510">
        <v>44123</v>
      </c>
      <c r="Q621" s="506"/>
      <c r="R621" s="736" t="s">
        <v>4505</v>
      </c>
      <c r="S621" s="506"/>
      <c r="T621" s="511"/>
      <c r="U621" s="511"/>
      <c r="V621" s="1470"/>
      <c r="W621" s="1470"/>
      <c r="X621" s="1470"/>
      <c r="Y621" s="511"/>
      <c r="Z621" s="511"/>
      <c r="AA621" s="506"/>
      <c r="AB621" s="510">
        <v>44165</v>
      </c>
      <c r="AC621" s="548" t="s">
        <v>7969</v>
      </c>
      <c r="AD621" s="506"/>
      <c r="AE621" s="506"/>
    </row>
    <row r="622" spans="3:35" ht="15.75" thickBot="1">
      <c r="C622" s="1414">
        <v>44082</v>
      </c>
      <c r="D622" s="1410" t="s">
        <v>7549</v>
      </c>
      <c r="E622" s="1410" t="s">
        <v>69</v>
      </c>
      <c r="F622" s="1410" t="s">
        <v>70</v>
      </c>
      <c r="G622" s="1412" t="s">
        <v>7550</v>
      </c>
      <c r="H622" s="1410">
        <v>3</v>
      </c>
      <c r="I622" s="1430" t="s">
        <v>7553</v>
      </c>
      <c r="J622" s="1410"/>
      <c r="K622" s="1410" t="s">
        <v>72</v>
      </c>
      <c r="L622" s="1410"/>
      <c r="M622" s="1413">
        <v>4999322</v>
      </c>
      <c r="N622" s="1410" t="s">
        <v>251</v>
      </c>
      <c r="O622" s="1414">
        <v>44091</v>
      </c>
      <c r="P622" s="1414">
        <v>44123</v>
      </c>
      <c r="Q622" s="1410"/>
      <c r="R622" s="1710" t="s">
        <v>304</v>
      </c>
      <c r="S622" s="1410"/>
      <c r="T622" s="1413"/>
      <c r="U622" s="1413"/>
      <c r="V622" s="1479"/>
      <c r="W622" s="1479"/>
      <c r="X622" s="1479"/>
      <c r="Y622" s="1413"/>
      <c r="Z622" s="1413"/>
      <c r="AA622" s="1410"/>
      <c r="AB622" s="1414">
        <v>44165</v>
      </c>
      <c r="AC622" s="1410" t="s">
        <v>7969</v>
      </c>
      <c r="AD622" s="1410"/>
      <c r="AE622" s="1410"/>
    </row>
    <row r="623" spans="3:35" ht="15.75" thickTop="1">
      <c r="C623" s="580">
        <v>44078</v>
      </c>
      <c r="D623" s="576" t="s">
        <v>7554</v>
      </c>
      <c r="E623" s="576" t="s">
        <v>14</v>
      </c>
      <c r="F623" s="576" t="s">
        <v>13</v>
      </c>
      <c r="G623" s="577" t="s">
        <v>7555</v>
      </c>
      <c r="H623" s="576"/>
      <c r="I623" s="1828"/>
      <c r="J623" s="576"/>
      <c r="K623" s="576" t="s">
        <v>2869</v>
      </c>
      <c r="L623" s="576"/>
      <c r="M623" s="581">
        <v>4960000</v>
      </c>
      <c r="N623" s="576" t="s">
        <v>251</v>
      </c>
      <c r="O623" s="580">
        <v>44113</v>
      </c>
      <c r="P623" s="580">
        <v>44209</v>
      </c>
      <c r="Q623" s="576"/>
      <c r="R623" s="1828"/>
      <c r="S623" s="576"/>
      <c r="T623" s="581"/>
      <c r="U623" s="581"/>
      <c r="V623" s="1489"/>
      <c r="W623" s="1489"/>
      <c r="X623" s="1489"/>
      <c r="Y623" s="581"/>
      <c r="Z623" s="581"/>
      <c r="AA623" s="576"/>
      <c r="AB623" s="576"/>
      <c r="AC623" s="576"/>
      <c r="AD623" s="576"/>
      <c r="AE623" s="576"/>
    </row>
    <row r="624" spans="3:35">
      <c r="C624" s="537">
        <v>44081</v>
      </c>
      <c r="D624" s="491" t="s">
        <v>7558</v>
      </c>
      <c r="E624" s="491" t="s">
        <v>1032</v>
      </c>
      <c r="F624" s="491" t="s">
        <v>361</v>
      </c>
      <c r="G624" s="571" t="s">
        <v>7559</v>
      </c>
      <c r="H624" s="491"/>
      <c r="I624" s="495"/>
      <c r="J624" s="491"/>
      <c r="K624" s="491" t="s">
        <v>3024</v>
      </c>
      <c r="L624" s="491"/>
      <c r="M624" s="536">
        <v>2700000</v>
      </c>
      <c r="N624" s="491" t="s">
        <v>251</v>
      </c>
      <c r="O624" s="537">
        <v>44098</v>
      </c>
      <c r="P624" s="537">
        <v>44131</v>
      </c>
      <c r="Q624" s="537">
        <v>44148</v>
      </c>
      <c r="R624" s="495" t="s">
        <v>1365</v>
      </c>
      <c r="S624" s="491"/>
      <c r="T624" s="536">
        <v>1830310</v>
      </c>
      <c r="U624" s="536">
        <v>2214675</v>
      </c>
      <c r="V624" s="1471"/>
      <c r="W624" s="1471"/>
      <c r="X624" s="1471"/>
      <c r="Y624" s="573">
        <v>44148</v>
      </c>
      <c r="Z624" s="536" t="s">
        <v>7908</v>
      </c>
      <c r="AA624" s="537">
        <v>44195</v>
      </c>
      <c r="AB624" s="537">
        <v>44203</v>
      </c>
      <c r="AC624" s="537">
        <f>AA624+56</f>
        <v>44251</v>
      </c>
      <c r="AD624" s="537">
        <v>44278</v>
      </c>
      <c r="AE624" s="1102"/>
    </row>
    <row r="625" spans="3:31">
      <c r="C625" s="537">
        <v>44085</v>
      </c>
      <c r="D625" s="491" t="s">
        <v>7579</v>
      </c>
      <c r="E625" s="491" t="s">
        <v>69</v>
      </c>
      <c r="F625" s="491" t="s">
        <v>70</v>
      </c>
      <c r="G625" s="571" t="s">
        <v>7570</v>
      </c>
      <c r="H625" s="491"/>
      <c r="I625" s="495"/>
      <c r="J625" s="491"/>
      <c r="K625" s="491" t="s">
        <v>42</v>
      </c>
      <c r="L625" s="491"/>
      <c r="M625" s="536">
        <v>1999920</v>
      </c>
      <c r="N625" s="491" t="s">
        <v>112</v>
      </c>
      <c r="O625" s="537">
        <v>44085</v>
      </c>
      <c r="P625" s="537">
        <v>44092</v>
      </c>
      <c r="Q625" s="537">
        <v>44151</v>
      </c>
      <c r="R625" s="495" t="s">
        <v>3479</v>
      </c>
      <c r="S625" s="491"/>
      <c r="T625" s="536">
        <v>1141192.8</v>
      </c>
      <c r="U625" s="536">
        <v>1381206.29</v>
      </c>
      <c r="V625" s="1471"/>
      <c r="W625" s="1471"/>
      <c r="X625" s="1471"/>
      <c r="Y625" s="573">
        <v>44151</v>
      </c>
      <c r="Z625" s="536" t="s">
        <v>7913</v>
      </c>
      <c r="AA625" s="537">
        <v>44172</v>
      </c>
      <c r="AB625" s="537">
        <v>44174</v>
      </c>
      <c r="AC625" s="537">
        <f>AA625+14</f>
        <v>44186</v>
      </c>
      <c r="AD625" s="537">
        <v>44643</v>
      </c>
      <c r="AE625" s="1102"/>
    </row>
    <row r="626" spans="3:31">
      <c r="C626" s="510">
        <v>44085</v>
      </c>
      <c r="D626" s="506" t="s">
        <v>7571</v>
      </c>
      <c r="E626" s="506" t="s">
        <v>69</v>
      </c>
      <c r="F626" s="506" t="s">
        <v>70</v>
      </c>
      <c r="G626" s="507" t="s">
        <v>7572</v>
      </c>
      <c r="H626" s="506"/>
      <c r="I626" s="548"/>
      <c r="J626" s="506"/>
      <c r="K626" s="506" t="s">
        <v>42</v>
      </c>
      <c r="L626" s="506"/>
      <c r="M626" s="511">
        <v>1999360</v>
      </c>
      <c r="N626" s="506" t="s">
        <v>112</v>
      </c>
      <c r="O626" s="510">
        <v>44090</v>
      </c>
      <c r="P626" s="510">
        <v>44098</v>
      </c>
      <c r="Q626" s="506"/>
      <c r="R626" s="736" t="s">
        <v>4505</v>
      </c>
      <c r="S626" s="506"/>
      <c r="T626" s="511"/>
      <c r="U626" s="511"/>
      <c r="V626" s="1470"/>
      <c r="W626" s="1470"/>
      <c r="X626" s="1470"/>
      <c r="Y626" s="511"/>
      <c r="Z626" s="511"/>
      <c r="AA626" s="506"/>
      <c r="AB626" s="510">
        <v>44141</v>
      </c>
      <c r="AC626" s="506"/>
      <c r="AD626" s="506"/>
      <c r="AE626" s="506"/>
    </row>
    <row r="627" spans="3:31">
      <c r="C627" s="544">
        <v>44089</v>
      </c>
      <c r="D627" s="540" t="s">
        <v>7591</v>
      </c>
      <c r="E627" s="540" t="s">
        <v>14</v>
      </c>
      <c r="F627" s="540" t="s">
        <v>13</v>
      </c>
      <c r="G627" s="541" t="s">
        <v>7592</v>
      </c>
      <c r="H627" s="540"/>
      <c r="I627" s="1402"/>
      <c r="J627" s="590"/>
      <c r="K627" s="540" t="s">
        <v>773</v>
      </c>
      <c r="L627" s="540"/>
      <c r="M627" s="545">
        <v>7319250</v>
      </c>
      <c r="N627" s="540" t="s">
        <v>251</v>
      </c>
      <c r="O627" s="544">
        <v>44096</v>
      </c>
      <c r="P627" s="544">
        <v>44165</v>
      </c>
      <c r="Q627" s="540"/>
      <c r="R627" s="1402"/>
      <c r="S627" s="540"/>
      <c r="T627" s="545"/>
      <c r="U627" s="545"/>
      <c r="V627" s="1484"/>
      <c r="W627" s="1484"/>
      <c r="X627" s="1484"/>
      <c r="Y627" s="545"/>
      <c r="Z627" s="545"/>
      <c r="AA627" s="540"/>
      <c r="AB627" s="540"/>
      <c r="AC627" s="540"/>
      <c r="AD627" s="540"/>
      <c r="AE627" s="540"/>
    </row>
    <row r="628" spans="3:31">
      <c r="C628" s="544">
        <v>44081</v>
      </c>
      <c r="D628" s="540" t="s">
        <v>7590</v>
      </c>
      <c r="E628" s="540" t="s">
        <v>1032</v>
      </c>
      <c r="F628" s="540" t="s">
        <v>361</v>
      </c>
      <c r="G628" s="541" t="s">
        <v>7702</v>
      </c>
      <c r="H628" s="540"/>
      <c r="I628" s="1402"/>
      <c r="J628" s="590"/>
      <c r="K628" s="540" t="s">
        <v>4262</v>
      </c>
      <c r="L628" s="540"/>
      <c r="M628" s="545">
        <v>3500000</v>
      </c>
      <c r="N628" s="540" t="s">
        <v>251</v>
      </c>
      <c r="O628" s="544">
        <v>44110</v>
      </c>
      <c r="P628" s="544">
        <v>44173</v>
      </c>
      <c r="Q628" s="540"/>
      <c r="R628" s="1402" t="s">
        <v>288</v>
      </c>
      <c r="S628" s="540"/>
      <c r="T628" s="545">
        <v>2790000</v>
      </c>
      <c r="U628" s="545">
        <v>3375900</v>
      </c>
      <c r="V628" s="1484"/>
      <c r="W628" s="1484"/>
      <c r="X628" s="1484"/>
      <c r="Y628" s="545"/>
      <c r="Z628" s="545"/>
      <c r="AA628" s="540"/>
      <c r="AB628" s="540"/>
      <c r="AC628" s="540"/>
      <c r="AD628" s="540"/>
      <c r="AE628" s="540"/>
    </row>
    <row r="629" spans="3:31" ht="15.75" thickBot="1">
      <c r="C629" s="416">
        <v>44090</v>
      </c>
      <c r="D629" s="411" t="s">
        <v>7606</v>
      </c>
      <c r="E629" s="411" t="s">
        <v>1032</v>
      </c>
      <c r="F629" s="411" t="s">
        <v>1033</v>
      </c>
      <c r="G629" s="412" t="s">
        <v>7607</v>
      </c>
      <c r="H629" s="411"/>
      <c r="I629" s="630"/>
      <c r="J629" s="411"/>
      <c r="K629" s="411" t="s">
        <v>7608</v>
      </c>
      <c r="L629" s="411"/>
      <c r="M629" s="417">
        <v>3228000</v>
      </c>
      <c r="N629" s="411" t="s">
        <v>112</v>
      </c>
      <c r="O629" s="416">
        <v>44095</v>
      </c>
      <c r="P629" s="416">
        <v>44104</v>
      </c>
      <c r="Q629" s="416">
        <v>44109</v>
      </c>
      <c r="R629" s="630" t="s">
        <v>7816</v>
      </c>
      <c r="S629" s="411"/>
      <c r="T629" s="417">
        <v>2997859</v>
      </c>
      <c r="U629" s="417">
        <v>3627409.39</v>
      </c>
      <c r="V629" s="1480"/>
      <c r="W629" s="1480"/>
      <c r="X629" s="1480"/>
      <c r="Y629" s="513">
        <v>44109</v>
      </c>
      <c r="Z629" s="417" t="s">
        <v>7707</v>
      </c>
      <c r="AA629" s="416">
        <v>44127</v>
      </c>
      <c r="AB629" s="416">
        <v>44130</v>
      </c>
      <c r="AC629" s="416">
        <f>AA629+70</f>
        <v>44197</v>
      </c>
      <c r="AD629" s="416">
        <v>44571</v>
      </c>
      <c r="AE629" s="967"/>
    </row>
    <row r="630" spans="3:31" ht="15.75" thickTop="1">
      <c r="C630" s="428">
        <v>44090</v>
      </c>
      <c r="D630" s="425" t="s">
        <v>7598</v>
      </c>
      <c r="E630" s="425" t="s">
        <v>69</v>
      </c>
      <c r="F630" s="425" t="s">
        <v>70</v>
      </c>
      <c r="G630" s="426" t="s">
        <v>7599</v>
      </c>
      <c r="H630" s="425">
        <v>1</v>
      </c>
      <c r="I630" s="1371" t="s">
        <v>7600</v>
      </c>
      <c r="J630" s="583"/>
      <c r="K630" s="425" t="s">
        <v>68</v>
      </c>
      <c r="L630" s="425"/>
      <c r="M630" s="429">
        <v>39747523</v>
      </c>
      <c r="N630" s="425" t="s">
        <v>251</v>
      </c>
      <c r="O630" s="428">
        <v>44096</v>
      </c>
      <c r="P630" s="428">
        <v>44130</v>
      </c>
      <c r="Q630" s="428">
        <v>44167</v>
      </c>
      <c r="R630" s="1371" t="s">
        <v>2548</v>
      </c>
      <c r="S630" s="425"/>
      <c r="T630" s="429">
        <v>39747521.100000001</v>
      </c>
      <c r="U630" s="429">
        <v>43722273.210000001</v>
      </c>
      <c r="V630" s="1483"/>
      <c r="W630" s="1483"/>
      <c r="X630" s="1483"/>
      <c r="Y630" s="1384">
        <v>44167</v>
      </c>
      <c r="Z630" s="429" t="s">
        <v>7991</v>
      </c>
      <c r="AA630" s="425"/>
      <c r="AB630" s="425"/>
      <c r="AC630" s="425"/>
      <c r="AD630" s="425"/>
      <c r="AE630" s="425"/>
    </row>
    <row r="631" spans="3:31">
      <c r="C631" s="544">
        <v>44090</v>
      </c>
      <c r="D631" s="540" t="s">
        <v>7598</v>
      </c>
      <c r="E631" s="540" t="s">
        <v>69</v>
      </c>
      <c r="F631" s="540" t="s">
        <v>70</v>
      </c>
      <c r="G631" s="541" t="s">
        <v>7599</v>
      </c>
      <c r="H631" s="540">
        <v>2</v>
      </c>
      <c r="I631" s="1402" t="s">
        <v>7601</v>
      </c>
      <c r="J631" s="590"/>
      <c r="K631" s="540" t="s">
        <v>68</v>
      </c>
      <c r="L631" s="540"/>
      <c r="M631" s="545">
        <v>2834659</v>
      </c>
      <c r="N631" s="540" t="s">
        <v>251</v>
      </c>
      <c r="O631" s="544">
        <v>44096</v>
      </c>
      <c r="P631" s="544">
        <v>44130</v>
      </c>
      <c r="Q631" s="544">
        <v>44167</v>
      </c>
      <c r="R631" s="1402" t="s">
        <v>2548</v>
      </c>
      <c r="S631" s="540"/>
      <c r="T631" s="545">
        <v>2834657.1</v>
      </c>
      <c r="U631" s="545">
        <v>3118122.81</v>
      </c>
      <c r="V631" s="1484"/>
      <c r="W631" s="1484"/>
      <c r="X631" s="1484"/>
      <c r="Y631" s="1385">
        <v>44167</v>
      </c>
      <c r="Z631" s="545" t="s">
        <v>7992</v>
      </c>
      <c r="AA631" s="540"/>
      <c r="AB631" s="540"/>
      <c r="AC631" s="540"/>
      <c r="AD631" s="540"/>
      <c r="AE631" s="540"/>
    </row>
    <row r="632" spans="3:31">
      <c r="C632" s="544">
        <v>44090</v>
      </c>
      <c r="D632" s="540" t="s">
        <v>7598</v>
      </c>
      <c r="E632" s="540" t="s">
        <v>69</v>
      </c>
      <c r="F632" s="540" t="s">
        <v>70</v>
      </c>
      <c r="G632" s="541" t="s">
        <v>7599</v>
      </c>
      <c r="H632" s="540">
        <v>3</v>
      </c>
      <c r="I632" s="1402" t="s">
        <v>7602</v>
      </c>
      <c r="J632" s="590"/>
      <c r="K632" s="540" t="s">
        <v>68</v>
      </c>
      <c r="L632" s="540"/>
      <c r="M632" s="545">
        <v>3091238</v>
      </c>
      <c r="N632" s="540" t="s">
        <v>251</v>
      </c>
      <c r="O632" s="544">
        <v>44096</v>
      </c>
      <c r="P632" s="544">
        <v>44130</v>
      </c>
      <c r="Q632" s="544">
        <v>44167</v>
      </c>
      <c r="R632" s="1402" t="s">
        <v>2548</v>
      </c>
      <c r="S632" s="540"/>
      <c r="T632" s="545">
        <v>3058371.85</v>
      </c>
      <c r="U632" s="545">
        <v>3364209.04</v>
      </c>
      <c r="V632" s="1484"/>
      <c r="W632" s="1484"/>
      <c r="X632" s="1484"/>
      <c r="Y632" s="1385">
        <v>44167</v>
      </c>
      <c r="Z632" s="545" t="s">
        <v>7993</v>
      </c>
      <c r="AA632" s="540"/>
      <c r="AB632" s="540"/>
      <c r="AC632" s="540"/>
      <c r="AD632" s="540"/>
      <c r="AE632" s="540"/>
    </row>
    <row r="633" spans="3:31">
      <c r="C633" s="544">
        <v>44090</v>
      </c>
      <c r="D633" s="540" t="s">
        <v>7598</v>
      </c>
      <c r="E633" s="540" t="s">
        <v>69</v>
      </c>
      <c r="F633" s="540" t="s">
        <v>70</v>
      </c>
      <c r="G633" s="541" t="s">
        <v>7599</v>
      </c>
      <c r="H633" s="540">
        <v>4</v>
      </c>
      <c r="I633" s="1402" t="s">
        <v>7603</v>
      </c>
      <c r="J633" s="590"/>
      <c r="K633" s="540" t="s">
        <v>68</v>
      </c>
      <c r="L633" s="540"/>
      <c r="M633" s="545">
        <v>4157967</v>
      </c>
      <c r="N633" s="540" t="s">
        <v>251</v>
      </c>
      <c r="O633" s="544">
        <v>44096</v>
      </c>
      <c r="P633" s="544">
        <v>44130</v>
      </c>
      <c r="Q633" s="544">
        <v>44167</v>
      </c>
      <c r="R633" s="1402" t="s">
        <v>2548</v>
      </c>
      <c r="S633" s="540"/>
      <c r="T633" s="545">
        <v>3978802.5</v>
      </c>
      <c r="U633" s="545">
        <v>4376682.75</v>
      </c>
      <c r="V633" s="1484"/>
      <c r="W633" s="1484"/>
      <c r="X633" s="1484"/>
      <c r="Y633" s="1385">
        <v>44167</v>
      </c>
      <c r="Z633" s="545" t="s">
        <v>7994</v>
      </c>
      <c r="AA633" s="540"/>
      <c r="AB633" s="540"/>
      <c r="AC633" s="540"/>
      <c r="AD633" s="540"/>
      <c r="AE633" s="540"/>
    </row>
    <row r="634" spans="3:31">
      <c r="C634" s="544">
        <v>44090</v>
      </c>
      <c r="D634" s="540" t="s">
        <v>7598</v>
      </c>
      <c r="E634" s="540" t="s">
        <v>69</v>
      </c>
      <c r="F634" s="540" t="s">
        <v>70</v>
      </c>
      <c r="G634" s="541" t="s">
        <v>7599</v>
      </c>
      <c r="H634" s="540">
        <v>5</v>
      </c>
      <c r="I634" s="1402" t="s">
        <v>7604</v>
      </c>
      <c r="J634" s="590"/>
      <c r="K634" s="540" t="s">
        <v>68</v>
      </c>
      <c r="L634" s="540"/>
      <c r="M634" s="545">
        <v>1749662</v>
      </c>
      <c r="N634" s="540" t="s">
        <v>251</v>
      </c>
      <c r="O634" s="544">
        <v>44096</v>
      </c>
      <c r="P634" s="544">
        <v>44130</v>
      </c>
      <c r="Q634" s="544">
        <v>44167</v>
      </c>
      <c r="R634" s="1402" t="s">
        <v>2548</v>
      </c>
      <c r="S634" s="540"/>
      <c r="T634" s="545">
        <v>1745639.1</v>
      </c>
      <c r="U634" s="545">
        <v>1920203.01</v>
      </c>
      <c r="V634" s="1484"/>
      <c r="W634" s="1484"/>
      <c r="X634" s="1484"/>
      <c r="Y634" s="1385">
        <v>44167</v>
      </c>
      <c r="Z634" s="545" t="s">
        <v>7995</v>
      </c>
      <c r="AA634" s="540"/>
      <c r="AB634" s="540"/>
      <c r="AC634" s="540"/>
      <c r="AD634" s="540"/>
      <c r="AE634" s="540"/>
    </row>
    <row r="635" spans="3:31" ht="15.75" thickBot="1">
      <c r="C635" s="1363">
        <v>44090</v>
      </c>
      <c r="D635" s="1355" t="s">
        <v>7598</v>
      </c>
      <c r="E635" s="1355" t="s">
        <v>69</v>
      </c>
      <c r="F635" s="1355" t="s">
        <v>70</v>
      </c>
      <c r="G635" s="1361" t="s">
        <v>7599</v>
      </c>
      <c r="H635" s="1355">
        <v>6</v>
      </c>
      <c r="I635" s="1419" t="s">
        <v>7605</v>
      </c>
      <c r="J635" s="1356"/>
      <c r="K635" s="1355" t="s">
        <v>68</v>
      </c>
      <c r="L635" s="1355"/>
      <c r="M635" s="1362">
        <v>4479566</v>
      </c>
      <c r="N635" s="1355" t="s">
        <v>251</v>
      </c>
      <c r="O635" s="1363">
        <v>44096</v>
      </c>
      <c r="P635" s="1363">
        <v>44130</v>
      </c>
      <c r="Q635" s="1363">
        <v>44167</v>
      </c>
      <c r="R635" s="1419" t="s">
        <v>576</v>
      </c>
      <c r="S635" s="1355"/>
      <c r="T635" s="1362">
        <v>4479563.8</v>
      </c>
      <c r="U635" s="1362">
        <v>4927520.18</v>
      </c>
      <c r="V635" s="1485"/>
      <c r="W635" s="1485"/>
      <c r="X635" s="1485"/>
      <c r="Y635" s="1512">
        <v>44167</v>
      </c>
      <c r="Z635" s="1362" t="s">
        <v>7996</v>
      </c>
      <c r="AA635" s="1355"/>
      <c r="AB635" s="1355"/>
      <c r="AC635" s="1355"/>
      <c r="AD635" s="1355"/>
      <c r="AE635" s="1355"/>
    </row>
    <row r="636" spans="3:31" ht="15.75" thickTop="1">
      <c r="C636" s="840">
        <v>44082</v>
      </c>
      <c r="D636" s="423" t="s">
        <v>7612</v>
      </c>
      <c r="E636" s="423" t="s">
        <v>3678</v>
      </c>
      <c r="F636" s="423" t="s">
        <v>918</v>
      </c>
      <c r="G636" s="837" t="s">
        <v>7613</v>
      </c>
      <c r="H636" s="423"/>
      <c r="I636" s="1422"/>
      <c r="J636" s="576"/>
      <c r="K636" s="423" t="s">
        <v>1518</v>
      </c>
      <c r="L636" s="423"/>
      <c r="M636" s="841">
        <v>3000000</v>
      </c>
      <c r="N636" s="423" t="s">
        <v>216</v>
      </c>
      <c r="O636" s="840">
        <v>44096</v>
      </c>
      <c r="P636" s="840">
        <v>44118</v>
      </c>
      <c r="Q636" s="840">
        <v>44145</v>
      </c>
      <c r="R636" s="1422" t="s">
        <v>2524</v>
      </c>
      <c r="S636" s="423"/>
      <c r="T636" s="841">
        <v>368940</v>
      </c>
      <c r="U636" s="841">
        <v>446417.4</v>
      </c>
      <c r="V636" s="1489"/>
      <c r="W636" s="1489"/>
      <c r="X636" s="1489"/>
      <c r="Y636" s="1392">
        <v>44146</v>
      </c>
      <c r="Z636" s="841" t="s">
        <v>7871</v>
      </c>
      <c r="AA636" s="423"/>
      <c r="AB636" s="423"/>
      <c r="AC636" s="423"/>
      <c r="AD636" s="423"/>
      <c r="AE636" s="423"/>
    </row>
    <row r="637" spans="3:31">
      <c r="C637" s="540" t="s">
        <v>3585</v>
      </c>
      <c r="D637" s="540" t="s">
        <v>7617</v>
      </c>
      <c r="E637" s="540" t="s">
        <v>58</v>
      </c>
      <c r="F637" s="540" t="s">
        <v>2684</v>
      </c>
      <c r="G637" s="541" t="s">
        <v>7618</v>
      </c>
      <c r="H637" s="540"/>
      <c r="I637" s="1402"/>
      <c r="J637" s="590"/>
      <c r="K637" s="540" t="s">
        <v>7619</v>
      </c>
      <c r="L637" s="540" t="s">
        <v>4253</v>
      </c>
      <c r="M637" s="545">
        <v>3542148</v>
      </c>
      <c r="N637" s="540" t="s">
        <v>216</v>
      </c>
      <c r="O637" s="544">
        <v>44096</v>
      </c>
      <c r="P637" s="544">
        <v>44119</v>
      </c>
      <c r="Q637" s="540"/>
      <c r="R637" s="1402"/>
      <c r="S637" s="540"/>
      <c r="T637" s="545"/>
      <c r="U637" s="545"/>
      <c r="V637" s="1484"/>
      <c r="W637" s="1484"/>
      <c r="X637" s="1484"/>
      <c r="Y637" s="545"/>
      <c r="Z637" s="545"/>
      <c r="AA637" s="540"/>
      <c r="AB637" s="540"/>
      <c r="AC637" s="540"/>
      <c r="AD637" s="540"/>
      <c r="AE637" s="540"/>
    </row>
    <row r="638" spans="3:31">
      <c r="C638" s="537">
        <v>44092</v>
      </c>
      <c r="D638" s="491" t="s">
        <v>7620</v>
      </c>
      <c r="E638" s="491" t="s">
        <v>1032</v>
      </c>
      <c r="F638" s="491" t="s">
        <v>361</v>
      </c>
      <c r="G638" s="2536" t="s">
        <v>7621</v>
      </c>
      <c r="H638" s="491"/>
      <c r="I638" s="495"/>
      <c r="J638" s="491"/>
      <c r="K638" s="491" t="s">
        <v>1676</v>
      </c>
      <c r="L638" s="491"/>
      <c r="M638" s="536">
        <v>1950000</v>
      </c>
      <c r="N638" s="491" t="s">
        <v>112</v>
      </c>
      <c r="O638" s="537">
        <v>44096</v>
      </c>
      <c r="P638" s="537">
        <v>44110</v>
      </c>
      <c r="Q638" s="537">
        <v>44138</v>
      </c>
      <c r="R638" s="495" t="s">
        <v>409</v>
      </c>
      <c r="S638" s="491"/>
      <c r="T638" s="536">
        <v>1801972</v>
      </c>
      <c r="U638" s="536">
        <v>2180386</v>
      </c>
      <c r="V638" s="1471"/>
      <c r="W638" s="1471"/>
      <c r="X638" s="1471"/>
      <c r="Y638" s="573">
        <v>44139</v>
      </c>
      <c r="Z638" s="536" t="s">
        <v>7860</v>
      </c>
      <c r="AA638" s="537">
        <v>44160</v>
      </c>
      <c r="AB638" s="537">
        <v>44166</v>
      </c>
      <c r="AC638" s="537">
        <f>AA638+74</f>
        <v>44234</v>
      </c>
      <c r="AD638" s="537">
        <v>44263</v>
      </c>
      <c r="AE638" s="1102"/>
    </row>
    <row r="639" spans="3:31">
      <c r="C639" s="537">
        <v>44092</v>
      </c>
      <c r="D639" s="491" t="s">
        <v>7623</v>
      </c>
      <c r="E639" s="491" t="s">
        <v>1032</v>
      </c>
      <c r="F639" s="491" t="s">
        <v>1033</v>
      </c>
      <c r="G639" s="571" t="s">
        <v>7624</v>
      </c>
      <c r="H639" s="491"/>
      <c r="I639" s="495"/>
      <c r="J639" s="491"/>
      <c r="K639" s="491" t="s">
        <v>7625</v>
      </c>
      <c r="L639" s="491"/>
      <c r="M639" s="536">
        <v>2500000</v>
      </c>
      <c r="N639" s="491" t="s">
        <v>112</v>
      </c>
      <c r="O639" s="537">
        <v>44096</v>
      </c>
      <c r="P639" s="537">
        <v>44110</v>
      </c>
      <c r="Q639" s="537">
        <v>44138</v>
      </c>
      <c r="R639" s="495" t="s">
        <v>7826</v>
      </c>
      <c r="S639" s="491"/>
      <c r="T639" s="536">
        <v>2365930</v>
      </c>
      <c r="U639" s="536">
        <v>2862775.3</v>
      </c>
      <c r="V639" s="1471"/>
      <c r="W639" s="1471"/>
      <c r="X639" s="1471"/>
      <c r="Y639" s="573">
        <v>44138</v>
      </c>
      <c r="Z639" s="536" t="s">
        <v>7853</v>
      </c>
      <c r="AA639" s="537">
        <v>44167</v>
      </c>
      <c r="AB639" s="537">
        <v>44169</v>
      </c>
      <c r="AC639" s="537">
        <f>AA639+56</f>
        <v>44223</v>
      </c>
      <c r="AD639" s="537">
        <v>44256</v>
      </c>
      <c r="AE639" s="1102"/>
    </row>
    <row r="640" spans="3:31" ht="45">
      <c r="C640" s="544">
        <v>44088</v>
      </c>
      <c r="D640" s="540" t="s">
        <v>7626</v>
      </c>
      <c r="E640" s="540" t="s">
        <v>1032</v>
      </c>
      <c r="F640" s="540" t="s">
        <v>361</v>
      </c>
      <c r="G640" s="541" t="s">
        <v>7627</v>
      </c>
      <c r="H640" s="540"/>
      <c r="I640" s="1402"/>
      <c r="J640" s="590"/>
      <c r="K640" s="540" t="s">
        <v>1950</v>
      </c>
      <c r="L640" s="540"/>
      <c r="M640" s="545">
        <v>5800000</v>
      </c>
      <c r="N640" s="540" t="s">
        <v>251</v>
      </c>
      <c r="O640" s="544">
        <v>44111</v>
      </c>
      <c r="P640" s="544">
        <v>44153</v>
      </c>
      <c r="Q640" s="544">
        <v>44165</v>
      </c>
      <c r="R640" s="1402" t="s">
        <v>342</v>
      </c>
      <c r="S640" s="540"/>
      <c r="T640" s="545">
        <v>5085998</v>
      </c>
      <c r="U640" s="545">
        <v>6154057.5800000001</v>
      </c>
      <c r="V640" s="1484"/>
      <c r="W640" s="1484"/>
      <c r="X640" s="1484"/>
      <c r="Y640" s="1385">
        <v>44165</v>
      </c>
      <c r="Z640" s="1386" t="s">
        <v>7977</v>
      </c>
      <c r="AA640" s="540"/>
      <c r="AB640" s="540"/>
      <c r="AC640" s="540"/>
      <c r="AD640" s="540"/>
      <c r="AE640" s="540"/>
    </row>
    <row r="641" spans="1:45">
      <c r="C641" s="544">
        <v>44085</v>
      </c>
      <c r="D641" s="540" t="s">
        <v>7628</v>
      </c>
      <c r="E641" s="540" t="s">
        <v>52</v>
      </c>
      <c r="F641" s="540" t="s">
        <v>5894</v>
      </c>
      <c r="G641" s="541" t="s">
        <v>7629</v>
      </c>
      <c r="H641" s="540"/>
      <c r="I641" s="1402"/>
      <c r="J641" s="590"/>
      <c r="K641" s="540" t="s">
        <v>33</v>
      </c>
      <c r="L641" s="540" t="s">
        <v>5143</v>
      </c>
      <c r="M641" s="545">
        <v>60000000</v>
      </c>
      <c r="N641" s="540" t="s">
        <v>251</v>
      </c>
      <c r="O641" s="544">
        <v>44097</v>
      </c>
      <c r="P641" s="544">
        <v>44134</v>
      </c>
      <c r="Q641" s="544">
        <v>44158</v>
      </c>
      <c r="R641" s="1402" t="s">
        <v>2626</v>
      </c>
      <c r="S641" s="540"/>
      <c r="T641" s="545">
        <v>59460506.189999998</v>
      </c>
      <c r="U641" s="545">
        <v>71947212.489999995</v>
      </c>
      <c r="V641" s="1484"/>
      <c r="W641" s="1484"/>
      <c r="X641" s="1484"/>
      <c r="Y641" s="1385">
        <v>44158</v>
      </c>
      <c r="Z641" s="545" t="s">
        <v>7934</v>
      </c>
      <c r="AA641" s="540"/>
      <c r="AB641" s="540"/>
      <c r="AC641" s="540"/>
      <c r="AD641" s="540"/>
      <c r="AE641" s="540"/>
    </row>
    <row r="642" spans="1:45">
      <c r="C642" s="510">
        <v>44095</v>
      </c>
      <c r="D642" s="506" t="s">
        <v>7632</v>
      </c>
      <c r="E642" s="506" t="s">
        <v>1032</v>
      </c>
      <c r="F642" s="506" t="s">
        <v>361</v>
      </c>
      <c r="G642" s="507" t="s">
        <v>7633</v>
      </c>
      <c r="H642" s="506"/>
      <c r="I642" s="548"/>
      <c r="J642" s="506"/>
      <c r="K642" s="506" t="s">
        <v>5752</v>
      </c>
      <c r="L642" s="506"/>
      <c r="M642" s="511">
        <v>350000</v>
      </c>
      <c r="N642" s="506" t="s">
        <v>112</v>
      </c>
      <c r="O642" s="510">
        <v>44097</v>
      </c>
      <c r="P642" s="510">
        <v>44111</v>
      </c>
      <c r="Q642" s="506"/>
      <c r="R642" s="736" t="s">
        <v>304</v>
      </c>
      <c r="S642" s="2009" t="s">
        <v>7839</v>
      </c>
      <c r="T642" s="511"/>
      <c r="U642" s="511"/>
      <c r="V642" s="1470"/>
      <c r="W642" s="1470"/>
      <c r="X642" s="1470"/>
      <c r="Y642" s="511"/>
      <c r="Z642" s="511"/>
      <c r="AA642" s="506"/>
      <c r="AB642" s="510">
        <v>44111</v>
      </c>
      <c r="AC642" s="506"/>
      <c r="AD642" s="506"/>
      <c r="AE642" s="506"/>
    </row>
    <row r="643" spans="1:45" ht="15.75" thickBot="1">
      <c r="C643" s="411" t="s">
        <v>3585</v>
      </c>
      <c r="D643" s="411" t="s">
        <v>7645</v>
      </c>
      <c r="E643" s="411" t="s">
        <v>58</v>
      </c>
      <c r="F643" s="411" t="s">
        <v>2684</v>
      </c>
      <c r="G643" s="412" t="s">
        <v>7646</v>
      </c>
      <c r="H643" s="411"/>
      <c r="I643" s="630"/>
      <c r="J643" s="411"/>
      <c r="K643" s="411" t="s">
        <v>261</v>
      </c>
      <c r="L643" s="411" t="s">
        <v>7647</v>
      </c>
      <c r="M643" s="417">
        <v>1028973</v>
      </c>
      <c r="N643" s="411" t="s">
        <v>112</v>
      </c>
      <c r="O643" s="416">
        <v>44099</v>
      </c>
      <c r="P643" s="416">
        <v>44112</v>
      </c>
      <c r="Q643" s="416">
        <v>44117</v>
      </c>
      <c r="R643" s="630" t="s">
        <v>338</v>
      </c>
      <c r="S643" s="411"/>
      <c r="T643" s="417">
        <v>895199.29</v>
      </c>
      <c r="U643" s="417">
        <v>1083191.1399999999</v>
      </c>
      <c r="V643" s="1480"/>
      <c r="W643" s="1480"/>
      <c r="X643" s="1480"/>
      <c r="Y643" s="513">
        <v>44117</v>
      </c>
      <c r="Z643" s="417" t="s">
        <v>7752</v>
      </c>
      <c r="AA643" s="416">
        <v>44141</v>
      </c>
      <c r="AB643" s="416">
        <v>44146</v>
      </c>
      <c r="AC643" s="416">
        <f>AA643+42</f>
        <v>44183</v>
      </c>
      <c r="AD643" s="416">
        <v>44235</v>
      </c>
      <c r="AE643" s="967"/>
    </row>
    <row r="644" spans="1:45" ht="45.75" thickTop="1">
      <c r="C644" s="428">
        <v>44095</v>
      </c>
      <c r="D644" s="425" t="s">
        <v>7650</v>
      </c>
      <c r="E644" s="425" t="s">
        <v>2434</v>
      </c>
      <c r="F644" s="425" t="s">
        <v>751</v>
      </c>
      <c r="G644" s="426" t="s">
        <v>7651</v>
      </c>
      <c r="H644" s="425">
        <v>1</v>
      </c>
      <c r="I644" s="2037" t="s">
        <v>7652</v>
      </c>
      <c r="J644" s="583"/>
      <c r="K644" s="425" t="s">
        <v>2866</v>
      </c>
      <c r="L644" s="425"/>
      <c r="M644" s="429">
        <v>13712000</v>
      </c>
      <c r="N644" s="425" t="s">
        <v>251</v>
      </c>
      <c r="O644" s="428">
        <v>44113</v>
      </c>
      <c r="P644" s="428">
        <v>44146</v>
      </c>
      <c r="Q644" s="428">
        <v>44166</v>
      </c>
      <c r="R644" s="1371" t="s">
        <v>7928</v>
      </c>
      <c r="S644" s="425"/>
      <c r="T644" s="429">
        <v>13692775.68</v>
      </c>
      <c r="U644" s="429">
        <v>15806771.359999999</v>
      </c>
      <c r="V644" s="1483"/>
      <c r="W644" s="1483"/>
      <c r="X644" s="1483"/>
      <c r="Y644" s="1384">
        <v>44167</v>
      </c>
      <c r="Z644" s="2031" t="s">
        <v>7985</v>
      </c>
      <c r="AA644" s="425"/>
      <c r="AB644" s="425"/>
      <c r="AC644" s="425"/>
      <c r="AD644" s="425"/>
      <c r="AE644" s="425"/>
      <c r="AF644" s="1393"/>
      <c r="AG644" s="2022"/>
    </row>
    <row r="645" spans="1:45" ht="32.25" customHeight="1">
      <c r="C645" s="544">
        <v>44095</v>
      </c>
      <c r="D645" s="540" t="s">
        <v>7650</v>
      </c>
      <c r="E645" s="540" t="s">
        <v>2434</v>
      </c>
      <c r="F645" s="540" t="s">
        <v>751</v>
      </c>
      <c r="G645" s="541" t="s">
        <v>7651</v>
      </c>
      <c r="H645" s="540">
        <v>2</v>
      </c>
      <c r="I645" s="2038" t="s">
        <v>7653</v>
      </c>
      <c r="J645" s="590"/>
      <c r="K645" s="540" t="s">
        <v>2866</v>
      </c>
      <c r="L645" s="540"/>
      <c r="M645" s="545">
        <v>82786000</v>
      </c>
      <c r="N645" s="540" t="s">
        <v>251</v>
      </c>
      <c r="O645" s="544">
        <v>44113</v>
      </c>
      <c r="P645" s="544">
        <v>44146</v>
      </c>
      <c r="Q645" s="544">
        <v>44166</v>
      </c>
      <c r="R645" s="1402" t="s">
        <v>7928</v>
      </c>
      <c r="S645" s="540"/>
      <c r="T645" s="545">
        <v>81157914.239999995</v>
      </c>
      <c r="U645" s="545">
        <v>93603937.439999998</v>
      </c>
      <c r="V645" s="1484"/>
      <c r="W645" s="1484"/>
      <c r="X645" s="1484"/>
      <c r="Y645" s="1385">
        <v>44167</v>
      </c>
      <c r="Z645" s="1386" t="s">
        <v>7989</v>
      </c>
      <c r="AA645" s="540"/>
      <c r="AB645" s="540"/>
      <c r="AC645" s="540"/>
      <c r="AD645" s="540"/>
      <c r="AE645" s="540"/>
      <c r="AF645" s="1102"/>
      <c r="AG645" s="2023"/>
    </row>
    <row r="646" spans="1:45" ht="30">
      <c r="C646" s="544">
        <v>44095</v>
      </c>
      <c r="D646" s="540" t="s">
        <v>7650</v>
      </c>
      <c r="E646" s="540" t="s">
        <v>2434</v>
      </c>
      <c r="F646" s="540" t="s">
        <v>751</v>
      </c>
      <c r="G646" s="541" t="s">
        <v>7651</v>
      </c>
      <c r="H646" s="540">
        <v>3</v>
      </c>
      <c r="I646" s="2038" t="s">
        <v>7654</v>
      </c>
      <c r="J646" s="590"/>
      <c r="K646" s="540" t="s">
        <v>2866</v>
      </c>
      <c r="L646" s="540"/>
      <c r="M646" s="545">
        <v>38800000</v>
      </c>
      <c r="N646" s="540" t="s">
        <v>251</v>
      </c>
      <c r="O646" s="544">
        <v>44113</v>
      </c>
      <c r="P646" s="544">
        <v>44146</v>
      </c>
      <c r="Q646" s="544">
        <v>44166</v>
      </c>
      <c r="R646" s="1402" t="s">
        <v>7928</v>
      </c>
      <c r="S646" s="540"/>
      <c r="T646" s="545">
        <v>38794688</v>
      </c>
      <c r="U646" s="545">
        <v>44793519</v>
      </c>
      <c r="V646" s="1484"/>
      <c r="W646" s="1484"/>
      <c r="X646" s="1484"/>
      <c r="Y646" s="1385">
        <v>44167</v>
      </c>
      <c r="Z646" s="1386" t="s">
        <v>7986</v>
      </c>
      <c r="AA646" s="540"/>
      <c r="AB646" s="540"/>
      <c r="AC646" s="540"/>
      <c r="AD646" s="540"/>
      <c r="AE646" s="540"/>
      <c r="AF646" s="1102"/>
      <c r="AG646" s="2023"/>
    </row>
    <row r="647" spans="1:45" ht="30">
      <c r="C647" s="544">
        <v>44095</v>
      </c>
      <c r="D647" s="540" t="s">
        <v>7650</v>
      </c>
      <c r="E647" s="540" t="s">
        <v>2434</v>
      </c>
      <c r="F647" s="540" t="s">
        <v>751</v>
      </c>
      <c r="G647" s="541" t="s">
        <v>7651</v>
      </c>
      <c r="H647" s="540">
        <v>4</v>
      </c>
      <c r="I647" s="2038" t="s">
        <v>7655</v>
      </c>
      <c r="J647" s="590"/>
      <c r="K647" s="540" t="s">
        <v>2866</v>
      </c>
      <c r="L647" s="540"/>
      <c r="M647" s="545">
        <v>7344000</v>
      </c>
      <c r="N647" s="540" t="s">
        <v>251</v>
      </c>
      <c r="O647" s="544">
        <v>44113</v>
      </c>
      <c r="P647" s="544">
        <v>44146</v>
      </c>
      <c r="Q647" s="544">
        <v>44166</v>
      </c>
      <c r="R647" s="1402" t="s">
        <v>7928</v>
      </c>
      <c r="S647" s="540"/>
      <c r="T647" s="545">
        <v>7340860.9199999999</v>
      </c>
      <c r="U647" s="545">
        <v>8458339.5600000005</v>
      </c>
      <c r="V647" s="1484"/>
      <c r="W647" s="1484"/>
      <c r="X647" s="1484"/>
      <c r="Y647" s="1385">
        <v>44167</v>
      </c>
      <c r="Z647" s="1386" t="s">
        <v>7987</v>
      </c>
      <c r="AA647" s="540"/>
      <c r="AB647" s="540"/>
      <c r="AC647" s="540"/>
      <c r="AD647" s="540"/>
      <c r="AE647" s="540"/>
      <c r="AF647" s="1102"/>
      <c r="AG647" s="2023"/>
    </row>
    <row r="648" spans="1:45" ht="30.75" thickBot="1">
      <c r="C648" s="1363">
        <v>44095</v>
      </c>
      <c r="D648" s="1355" t="s">
        <v>7650</v>
      </c>
      <c r="E648" s="1355" t="s">
        <v>2434</v>
      </c>
      <c r="F648" s="1355" t="s">
        <v>751</v>
      </c>
      <c r="G648" s="1361" t="s">
        <v>7651</v>
      </c>
      <c r="H648" s="1355">
        <v>5</v>
      </c>
      <c r="I648" s="2039" t="s">
        <v>3797</v>
      </c>
      <c r="J648" s="1356"/>
      <c r="K648" s="1355" t="s">
        <v>2866</v>
      </c>
      <c r="L648" s="1355"/>
      <c r="M648" s="1362">
        <v>11816000</v>
      </c>
      <c r="N648" s="1355" t="s">
        <v>251</v>
      </c>
      <c r="O648" s="1363">
        <v>44113</v>
      </c>
      <c r="P648" s="1363">
        <v>44146</v>
      </c>
      <c r="Q648" s="1363">
        <v>44166</v>
      </c>
      <c r="R648" s="1419" t="s">
        <v>7928</v>
      </c>
      <c r="S648" s="1355"/>
      <c r="T648" s="1362">
        <v>11805145.800000001</v>
      </c>
      <c r="U648" s="1362">
        <v>13631965.199999999</v>
      </c>
      <c r="V648" s="1485"/>
      <c r="W648" s="1485"/>
      <c r="X648" s="1485"/>
      <c r="Y648" s="1512">
        <v>44167</v>
      </c>
      <c r="Z648" s="2032" t="s">
        <v>7988</v>
      </c>
      <c r="AA648" s="1355"/>
      <c r="AB648" s="1355"/>
      <c r="AC648" s="1355"/>
      <c r="AD648" s="1355"/>
      <c r="AE648" s="1355"/>
      <c r="AF648" s="1395"/>
      <c r="AG648" s="2024"/>
    </row>
    <row r="649" spans="1:45" ht="15.75" thickTop="1">
      <c r="C649" s="470">
        <v>44098</v>
      </c>
      <c r="D649" s="466" t="s">
        <v>7659</v>
      </c>
      <c r="E649" s="466" t="s">
        <v>69</v>
      </c>
      <c r="F649" s="466" t="s">
        <v>70</v>
      </c>
      <c r="G649" s="467" t="s">
        <v>7817</v>
      </c>
      <c r="H649" s="466"/>
      <c r="I649" s="654"/>
      <c r="J649" s="466"/>
      <c r="K649" s="466" t="s">
        <v>42</v>
      </c>
      <c r="L649" s="466"/>
      <c r="M649" s="472">
        <v>15400000</v>
      </c>
      <c r="N649" s="466" t="s">
        <v>251</v>
      </c>
      <c r="O649" s="470">
        <v>44127</v>
      </c>
      <c r="P649" s="470">
        <v>44160</v>
      </c>
      <c r="Q649" s="466"/>
      <c r="R649" s="471" t="s">
        <v>4505</v>
      </c>
      <c r="S649" s="2075" t="s">
        <v>8032</v>
      </c>
      <c r="T649" s="472"/>
      <c r="U649" s="472"/>
      <c r="V649" s="1516"/>
      <c r="W649" s="1516"/>
      <c r="X649" s="1516"/>
      <c r="Y649" s="472"/>
      <c r="Z649" s="472"/>
      <c r="AA649" s="466"/>
      <c r="AB649" s="470">
        <v>44166</v>
      </c>
      <c r="AC649" s="654" t="s">
        <v>7981</v>
      </c>
      <c r="AD649" s="466"/>
      <c r="AE649" s="466"/>
    </row>
    <row r="650" spans="1:45">
      <c r="C650" s="537">
        <v>44088</v>
      </c>
      <c r="D650" s="491" t="s">
        <v>7677</v>
      </c>
      <c r="E650" s="491" t="s">
        <v>1032</v>
      </c>
      <c r="F650" s="491" t="s">
        <v>361</v>
      </c>
      <c r="G650" s="571" t="s">
        <v>7678</v>
      </c>
      <c r="H650" s="491"/>
      <c r="I650" s="495"/>
      <c r="J650" s="491"/>
      <c r="K650" s="491" t="s">
        <v>1765</v>
      </c>
      <c r="L650" s="491"/>
      <c r="M650" s="536">
        <v>450000</v>
      </c>
      <c r="N650" s="491" t="s">
        <v>112</v>
      </c>
      <c r="O650" s="537">
        <v>44106</v>
      </c>
      <c r="P650" s="537">
        <v>44117</v>
      </c>
      <c r="Q650" s="537">
        <v>44127</v>
      </c>
      <c r="R650" s="495" t="s">
        <v>342</v>
      </c>
      <c r="S650" s="491"/>
      <c r="T650" s="536">
        <v>400222</v>
      </c>
      <c r="U650" s="536">
        <v>484268.62</v>
      </c>
      <c r="V650" s="1471"/>
      <c r="W650" s="1471"/>
      <c r="X650" s="1471"/>
      <c r="Y650" s="573">
        <v>44127</v>
      </c>
      <c r="Z650" s="536" t="s">
        <v>7814</v>
      </c>
      <c r="AA650" s="537">
        <v>44160</v>
      </c>
      <c r="AB650" s="537">
        <v>44166</v>
      </c>
      <c r="AC650" s="537">
        <f>AA650+56</f>
        <v>44216</v>
      </c>
      <c r="AD650" s="537">
        <v>44256</v>
      </c>
      <c r="AE650" s="1102"/>
    </row>
    <row r="651" spans="1:45">
      <c r="C651" s="537">
        <v>44103</v>
      </c>
      <c r="D651" s="491" t="s">
        <v>7685</v>
      </c>
      <c r="E651" s="491" t="s">
        <v>52</v>
      </c>
      <c r="F651" s="491" t="s">
        <v>7503</v>
      </c>
      <c r="G651" s="571" t="s">
        <v>7686</v>
      </c>
      <c r="H651" s="491"/>
      <c r="I651" s="495"/>
      <c r="J651" s="491"/>
      <c r="K651" s="491" t="s">
        <v>33</v>
      </c>
      <c r="L651" s="491" t="s">
        <v>7698</v>
      </c>
      <c r="M651" s="536">
        <v>550000</v>
      </c>
      <c r="N651" s="491" t="s">
        <v>112</v>
      </c>
      <c r="O651" s="537">
        <v>44106</v>
      </c>
      <c r="P651" s="537">
        <v>44113</v>
      </c>
      <c r="Q651" s="537">
        <v>44116</v>
      </c>
      <c r="R651" s="495" t="s">
        <v>3503</v>
      </c>
      <c r="S651" s="491"/>
      <c r="T651" s="536">
        <v>502010</v>
      </c>
      <c r="U651" s="536">
        <v>607432.1</v>
      </c>
      <c r="V651" s="1471"/>
      <c r="W651" s="1471"/>
      <c r="X651" s="1471"/>
      <c r="Y651" s="573">
        <v>44116</v>
      </c>
      <c r="Z651" s="536" t="s">
        <v>7744</v>
      </c>
      <c r="AA651" s="537">
        <v>44145</v>
      </c>
      <c r="AB651" s="537">
        <v>44147</v>
      </c>
      <c r="AC651" s="537">
        <f>AA651+30</f>
        <v>44175</v>
      </c>
      <c r="AD651" s="537">
        <v>44270</v>
      </c>
      <c r="AE651" s="1102"/>
    </row>
    <row r="652" spans="1:45" s="390" customFormat="1">
      <c r="A652" s="2042"/>
      <c r="B652" s="360"/>
      <c r="C652" s="510" t="s">
        <v>3585</v>
      </c>
      <c r="D652" s="506" t="s">
        <v>7924</v>
      </c>
      <c r="E652" s="506" t="s">
        <v>58</v>
      </c>
      <c r="F652" s="506" t="s">
        <v>2684</v>
      </c>
      <c r="G652" s="507" t="s">
        <v>7925</v>
      </c>
      <c r="H652" s="506"/>
      <c r="I652" s="548"/>
      <c r="J652" s="506"/>
      <c r="K652" s="506" t="s">
        <v>730</v>
      </c>
      <c r="L652" s="506"/>
      <c r="M652" s="511">
        <v>278000</v>
      </c>
      <c r="N652" s="506" t="s">
        <v>112</v>
      </c>
      <c r="O652" s="510">
        <v>44159</v>
      </c>
      <c r="P652" s="510">
        <v>44172</v>
      </c>
      <c r="Q652" s="510"/>
      <c r="R652" s="548"/>
      <c r="S652" s="506"/>
      <c r="T652" s="511"/>
      <c r="U652" s="511"/>
      <c r="V652" s="1470"/>
      <c r="W652" s="1470"/>
      <c r="X652" s="1470"/>
      <c r="Y652" s="1398"/>
      <c r="Z652" s="511"/>
      <c r="AA652" s="510"/>
      <c r="AB652" s="510">
        <v>44183</v>
      </c>
      <c r="AC652" s="510"/>
      <c r="AD652" s="506"/>
      <c r="AE652" s="506"/>
      <c r="AF652" s="360"/>
      <c r="AG652" s="360"/>
      <c r="AH652" s="360"/>
      <c r="AI652" s="360"/>
      <c r="AJ652" s="360"/>
      <c r="AK652" s="360"/>
      <c r="AL652" s="360"/>
      <c r="AM652" s="360"/>
      <c r="AN652" s="360"/>
      <c r="AO652" s="360"/>
      <c r="AP652" s="360"/>
      <c r="AQ652" s="360"/>
      <c r="AR652" s="360"/>
      <c r="AS652" s="360"/>
    </row>
    <row r="653" spans="1:45">
      <c r="C653" s="544">
        <v>44105</v>
      </c>
      <c r="D653" s="540" t="s">
        <v>7690</v>
      </c>
      <c r="E653" s="540" t="s">
        <v>69</v>
      </c>
      <c r="F653" s="540" t="s">
        <v>70</v>
      </c>
      <c r="G653" s="541" t="s">
        <v>7694</v>
      </c>
      <c r="H653" s="540">
        <v>1</v>
      </c>
      <c r="I653" s="1402" t="s">
        <v>7691</v>
      </c>
      <c r="J653" s="590"/>
      <c r="K653" s="540" t="s">
        <v>3187</v>
      </c>
      <c r="L653" s="540"/>
      <c r="M653" s="545">
        <v>27930766</v>
      </c>
      <c r="N653" s="540" t="s">
        <v>251</v>
      </c>
      <c r="O653" s="544">
        <v>44161</v>
      </c>
      <c r="P653" s="544">
        <v>44193</v>
      </c>
      <c r="Q653" s="540"/>
      <c r="R653" s="1402"/>
      <c r="S653" s="540"/>
      <c r="T653" s="545"/>
      <c r="U653" s="545"/>
      <c r="V653" s="1484"/>
      <c r="W653" s="1484"/>
      <c r="X653" s="1484"/>
      <c r="Y653" s="545"/>
      <c r="Z653" s="545"/>
      <c r="AA653" s="540"/>
      <c r="AB653" s="540"/>
      <c r="AC653" s="540"/>
      <c r="AD653" s="540"/>
      <c r="AE653" s="540"/>
    </row>
    <row r="654" spans="1:45">
      <c r="C654" s="594">
        <v>44105</v>
      </c>
      <c r="D654" s="590" t="s">
        <v>7692</v>
      </c>
      <c r="E654" s="590" t="s">
        <v>69</v>
      </c>
      <c r="F654" s="590" t="s">
        <v>70</v>
      </c>
      <c r="G654" s="591" t="s">
        <v>7705</v>
      </c>
      <c r="H654" s="590">
        <v>1</v>
      </c>
      <c r="I654" s="1428" t="s">
        <v>7693</v>
      </c>
      <c r="J654" s="590"/>
      <c r="K654" s="590" t="s">
        <v>72</v>
      </c>
      <c r="L654" s="590"/>
      <c r="M654" s="595">
        <v>77771612</v>
      </c>
      <c r="N654" s="590" t="s">
        <v>251</v>
      </c>
      <c r="O654" s="594">
        <v>44159</v>
      </c>
      <c r="P654" s="594">
        <v>44221</v>
      </c>
      <c r="Q654" s="590"/>
      <c r="R654" s="1428"/>
      <c r="S654" s="590"/>
      <c r="T654" s="595"/>
      <c r="U654" s="595"/>
      <c r="V654" s="1484"/>
      <c r="W654" s="1484"/>
      <c r="X654" s="1484"/>
      <c r="Y654" s="595"/>
      <c r="Z654" s="595"/>
      <c r="AA654" s="590"/>
      <c r="AB654" s="590"/>
      <c r="AC654" s="590"/>
      <c r="AD654" s="590"/>
      <c r="AE654" s="590"/>
    </row>
    <row r="655" spans="1:45">
      <c r="C655" s="537">
        <v>44105</v>
      </c>
      <c r="D655" s="491" t="s">
        <v>7695</v>
      </c>
      <c r="E655" s="491" t="s">
        <v>2111</v>
      </c>
      <c r="F655" s="491" t="s">
        <v>4440</v>
      </c>
      <c r="G655" s="571" t="s">
        <v>7696</v>
      </c>
      <c r="H655" s="491"/>
      <c r="I655" s="495"/>
      <c r="J655" s="491"/>
      <c r="K655" s="491" t="s">
        <v>7697</v>
      </c>
      <c r="L655" s="491"/>
      <c r="M655" s="536">
        <v>1300000</v>
      </c>
      <c r="N655" s="491" t="s">
        <v>112</v>
      </c>
      <c r="O655" s="537">
        <v>44106</v>
      </c>
      <c r="P655" s="537">
        <v>44112</v>
      </c>
      <c r="Q655" s="537">
        <v>44116</v>
      </c>
      <c r="R655" s="495" t="s">
        <v>7739</v>
      </c>
      <c r="S655" s="491"/>
      <c r="T655" s="536">
        <v>1300000</v>
      </c>
      <c r="U655" s="536">
        <v>1573000</v>
      </c>
      <c r="V655" s="1471"/>
      <c r="W655" s="1471"/>
      <c r="X655" s="1471"/>
      <c r="Y655" s="573">
        <v>44116</v>
      </c>
      <c r="Z655" s="536" t="s">
        <v>7745</v>
      </c>
      <c r="AA655" s="537">
        <v>44137</v>
      </c>
      <c r="AB655" s="537">
        <v>44138</v>
      </c>
      <c r="AC655" s="537">
        <v>44144</v>
      </c>
      <c r="AD655" s="537">
        <v>44245</v>
      </c>
      <c r="AE655" s="1102"/>
    </row>
    <row r="656" spans="1:45">
      <c r="C656" s="510">
        <v>43983</v>
      </c>
      <c r="D656" s="506" t="s">
        <v>7699</v>
      </c>
      <c r="E656" s="506" t="s">
        <v>6561</v>
      </c>
      <c r="F656" s="506" t="s">
        <v>4864</v>
      </c>
      <c r="G656" s="507" t="s">
        <v>7700</v>
      </c>
      <c r="H656" s="506"/>
      <c r="I656" s="548"/>
      <c r="J656" s="506"/>
      <c r="K656" s="506" t="s">
        <v>7701</v>
      </c>
      <c r="L656" s="506"/>
      <c r="M656" s="511">
        <v>1050000</v>
      </c>
      <c r="N656" s="506" t="s">
        <v>112</v>
      </c>
      <c r="O656" s="510">
        <v>44162</v>
      </c>
      <c r="P656" s="510">
        <v>44175</v>
      </c>
      <c r="Q656" s="506"/>
      <c r="R656" s="736" t="s">
        <v>304</v>
      </c>
      <c r="S656" s="506"/>
      <c r="T656" s="511"/>
      <c r="U656" s="511"/>
      <c r="V656" s="1470"/>
      <c r="W656" s="1470"/>
      <c r="X656" s="1470"/>
      <c r="Y656" s="511"/>
      <c r="Z656" s="511"/>
      <c r="AA656" s="506"/>
      <c r="AB656" s="506"/>
      <c r="AC656" s="506"/>
      <c r="AD656" s="506"/>
      <c r="AE656" s="506"/>
    </row>
    <row r="657" spans="3:31">
      <c r="C657" s="537">
        <v>44098</v>
      </c>
      <c r="D657" s="491" t="s">
        <v>7703</v>
      </c>
      <c r="E657" s="491" t="s">
        <v>1032</v>
      </c>
      <c r="F657" s="491" t="s">
        <v>361</v>
      </c>
      <c r="G657" s="571" t="s">
        <v>7704</v>
      </c>
      <c r="H657" s="491"/>
      <c r="I657" s="495"/>
      <c r="J657" s="491"/>
      <c r="K657" s="491" t="s">
        <v>5826</v>
      </c>
      <c r="L657" s="491"/>
      <c r="M657" s="536">
        <v>3000000</v>
      </c>
      <c r="N657" s="491" t="s">
        <v>251</v>
      </c>
      <c r="O657" s="537">
        <v>44117</v>
      </c>
      <c r="P657" s="537">
        <v>44153</v>
      </c>
      <c r="Q657" s="537">
        <v>44182</v>
      </c>
      <c r="R657" s="495" t="s">
        <v>1365</v>
      </c>
      <c r="S657" s="491"/>
      <c r="T657" s="536">
        <v>1683818</v>
      </c>
      <c r="U657" s="536">
        <v>2037420</v>
      </c>
      <c r="V657" s="1471"/>
      <c r="W657" s="1471"/>
      <c r="X657" s="1471"/>
      <c r="Y657" s="573">
        <v>44182</v>
      </c>
      <c r="Z657" s="536" t="s">
        <v>8075</v>
      </c>
      <c r="AA657" s="537">
        <v>44195</v>
      </c>
      <c r="AB657" s="537">
        <v>44203</v>
      </c>
      <c r="AC657" s="537">
        <f>AA657+42</f>
        <v>44237</v>
      </c>
      <c r="AD657" s="537">
        <v>44643</v>
      </c>
      <c r="AE657" s="1102"/>
    </row>
    <row r="658" spans="3:31">
      <c r="C658" s="537">
        <v>44106</v>
      </c>
      <c r="D658" s="491" t="s">
        <v>7708</v>
      </c>
      <c r="E658" s="491" t="s">
        <v>1032</v>
      </c>
      <c r="F658" s="491" t="s">
        <v>1033</v>
      </c>
      <c r="G658" s="571" t="s">
        <v>7709</v>
      </c>
      <c r="H658" s="491"/>
      <c r="I658" s="495"/>
      <c r="J658" s="491"/>
      <c r="K658" s="491" t="s">
        <v>7608</v>
      </c>
      <c r="L658" s="491"/>
      <c r="M658" s="536">
        <v>3900000</v>
      </c>
      <c r="N658" s="491" t="s">
        <v>112</v>
      </c>
      <c r="O658" s="537">
        <v>44110</v>
      </c>
      <c r="P658" s="537">
        <v>44124</v>
      </c>
      <c r="Q658" s="537">
        <v>44127</v>
      </c>
      <c r="R658" s="495" t="s">
        <v>7800</v>
      </c>
      <c r="S658" s="491"/>
      <c r="T658" s="536">
        <v>3061779</v>
      </c>
      <c r="U658" s="536">
        <v>3704753</v>
      </c>
      <c r="V658" s="1471"/>
      <c r="W658" s="1471"/>
      <c r="X658" s="1471"/>
      <c r="Y658" s="573">
        <v>44127</v>
      </c>
      <c r="Z658" s="536" t="s">
        <v>7815</v>
      </c>
      <c r="AA658" s="537">
        <v>44167</v>
      </c>
      <c r="AB658" s="537">
        <v>44172</v>
      </c>
      <c r="AC658" s="537">
        <f>AA658+42</f>
        <v>44209</v>
      </c>
      <c r="AD658" s="537">
        <v>44256</v>
      </c>
      <c r="AE658" s="1102"/>
    </row>
    <row r="659" spans="3:31">
      <c r="C659" s="510">
        <v>44106</v>
      </c>
      <c r="D659" s="506" t="s">
        <v>7712</v>
      </c>
      <c r="E659" s="506" t="s">
        <v>58</v>
      </c>
      <c r="F659" s="506" t="s">
        <v>2684</v>
      </c>
      <c r="G659" s="507" t="s">
        <v>7713</v>
      </c>
      <c r="H659" s="506"/>
      <c r="I659" s="548"/>
      <c r="J659" s="506"/>
      <c r="K659" s="506" t="s">
        <v>7715</v>
      </c>
      <c r="L659" s="506" t="s">
        <v>7714</v>
      </c>
      <c r="M659" s="511">
        <v>320000</v>
      </c>
      <c r="N659" s="506" t="s">
        <v>112</v>
      </c>
      <c r="O659" s="510">
        <v>44113</v>
      </c>
      <c r="P659" s="510">
        <v>44126</v>
      </c>
      <c r="Q659" s="506"/>
      <c r="R659" s="736" t="s">
        <v>8073</v>
      </c>
      <c r="S659" s="506"/>
      <c r="T659" s="511"/>
      <c r="U659" s="511"/>
      <c r="V659" s="1470"/>
      <c r="W659" s="1470"/>
      <c r="X659" s="1470"/>
      <c r="Y659" s="511"/>
      <c r="Z659" s="511"/>
      <c r="AA659" s="506"/>
      <c r="AB659" s="510">
        <v>44182</v>
      </c>
      <c r="AC659" s="506"/>
      <c r="AD659" s="506"/>
      <c r="AE659" s="506"/>
    </row>
    <row r="660" spans="3:31">
      <c r="C660" s="544">
        <v>44103</v>
      </c>
      <c r="D660" s="540" t="s">
        <v>7717</v>
      </c>
      <c r="E660" s="540" t="s">
        <v>7718</v>
      </c>
      <c r="F660" s="540" t="s">
        <v>6707</v>
      </c>
      <c r="G660" s="541" t="s">
        <v>7719</v>
      </c>
      <c r="H660" s="540"/>
      <c r="I660" s="1402"/>
      <c r="J660" s="590"/>
      <c r="K660" s="540" t="s">
        <v>7720</v>
      </c>
      <c r="L660" s="540"/>
      <c r="M660" s="545">
        <v>1500000</v>
      </c>
      <c r="N660" s="540" t="s">
        <v>112</v>
      </c>
      <c r="O660" s="544">
        <v>44155</v>
      </c>
      <c r="P660" s="544">
        <v>44172</v>
      </c>
      <c r="Q660" s="544">
        <v>44182</v>
      </c>
      <c r="R660" s="1402" t="s">
        <v>8018</v>
      </c>
      <c r="S660" s="540"/>
      <c r="T660" s="545">
        <v>990000</v>
      </c>
      <c r="U660" s="545">
        <v>1197900</v>
      </c>
      <c r="V660" s="1484"/>
      <c r="W660" s="1484"/>
      <c r="X660" s="1484"/>
      <c r="Y660" s="1385">
        <v>44182</v>
      </c>
      <c r="Z660" s="545" t="s">
        <v>8077</v>
      </c>
      <c r="AA660" s="540"/>
      <c r="AB660" s="540"/>
      <c r="AC660" s="540"/>
      <c r="AD660" s="540"/>
      <c r="AE660" s="540"/>
    </row>
    <row r="661" spans="3:31">
      <c r="C661" s="537">
        <v>44109</v>
      </c>
      <c r="D661" s="491" t="s">
        <v>7721</v>
      </c>
      <c r="E661" s="491" t="s">
        <v>14</v>
      </c>
      <c r="F661" s="491" t="s">
        <v>1753</v>
      </c>
      <c r="G661" s="571" t="s">
        <v>7722</v>
      </c>
      <c r="H661" s="491"/>
      <c r="I661" s="495"/>
      <c r="J661" s="491"/>
      <c r="K661" s="491" t="s">
        <v>545</v>
      </c>
      <c r="L661" s="491"/>
      <c r="M661" s="536">
        <v>814049</v>
      </c>
      <c r="N661" s="491" t="s">
        <v>112</v>
      </c>
      <c r="O661" s="537">
        <v>44117</v>
      </c>
      <c r="P661" s="537">
        <v>44124</v>
      </c>
      <c r="Q661" s="537">
        <v>44125</v>
      </c>
      <c r="R661" s="495" t="s">
        <v>333</v>
      </c>
      <c r="S661" s="491"/>
      <c r="T661" s="536">
        <v>791473</v>
      </c>
      <c r="U661" s="536">
        <v>957682.33</v>
      </c>
      <c r="V661" s="1471"/>
      <c r="W661" s="1471"/>
      <c r="X661" s="1471"/>
      <c r="Y661" s="573">
        <v>44125</v>
      </c>
      <c r="Z661" s="536" t="s">
        <v>7802</v>
      </c>
      <c r="AA661" s="537">
        <v>44141</v>
      </c>
      <c r="AB661" s="537">
        <v>44145</v>
      </c>
      <c r="AC661" s="537">
        <v>45260</v>
      </c>
      <c r="AD661" s="537">
        <v>44207</v>
      </c>
      <c r="AE661" s="1102"/>
    </row>
    <row r="662" spans="3:31" ht="30">
      <c r="C662" s="537">
        <v>44110</v>
      </c>
      <c r="D662" s="491" t="s">
        <v>7723</v>
      </c>
      <c r="E662" s="491" t="s">
        <v>58</v>
      </c>
      <c r="F662" s="491" t="s">
        <v>55</v>
      </c>
      <c r="G662" s="571" t="s">
        <v>7724</v>
      </c>
      <c r="H662" s="491"/>
      <c r="I662" s="495"/>
      <c r="J662" s="491"/>
      <c r="K662" s="491" t="s">
        <v>753</v>
      </c>
      <c r="L662" s="491"/>
      <c r="M662" s="536">
        <v>1560000</v>
      </c>
      <c r="N662" s="491" t="s">
        <v>112</v>
      </c>
      <c r="O662" s="537">
        <v>44111</v>
      </c>
      <c r="P662" s="537">
        <v>44113</v>
      </c>
      <c r="Q662" s="537">
        <v>44124</v>
      </c>
      <c r="R662" s="495" t="s">
        <v>5472</v>
      </c>
      <c r="S662" s="491"/>
      <c r="T662" s="536">
        <v>1638000</v>
      </c>
      <c r="U662" s="536">
        <v>1981980</v>
      </c>
      <c r="V662" s="1471"/>
      <c r="W662" s="1471"/>
      <c r="X662" s="1471"/>
      <c r="Y662" s="573">
        <v>44124</v>
      </c>
      <c r="Z662" s="1375" t="s">
        <v>7801</v>
      </c>
      <c r="AA662" s="537">
        <v>44160</v>
      </c>
      <c r="AB662" s="537">
        <v>44165</v>
      </c>
      <c r="AC662" s="537">
        <f>AA662+21</f>
        <v>44181</v>
      </c>
      <c r="AD662" s="537">
        <v>44643</v>
      </c>
      <c r="AE662" s="1374" t="s">
        <v>1875</v>
      </c>
    </row>
    <row r="663" spans="3:31">
      <c r="C663" s="537">
        <v>44098</v>
      </c>
      <c r="D663" s="491" t="s">
        <v>7728</v>
      </c>
      <c r="E663" s="491" t="s">
        <v>1032</v>
      </c>
      <c r="F663" s="491" t="s">
        <v>361</v>
      </c>
      <c r="G663" s="571" t="s">
        <v>7729</v>
      </c>
      <c r="H663" s="491"/>
      <c r="I663" s="495"/>
      <c r="J663" s="491"/>
      <c r="K663" s="491" t="s">
        <v>7730</v>
      </c>
      <c r="L663" s="491"/>
      <c r="M663" s="536">
        <v>3500000</v>
      </c>
      <c r="N663" s="491" t="s">
        <v>112</v>
      </c>
      <c r="O663" s="537">
        <v>44123</v>
      </c>
      <c r="P663" s="537">
        <v>44134</v>
      </c>
      <c r="Q663" s="537">
        <v>44139</v>
      </c>
      <c r="R663" s="495" t="s">
        <v>333</v>
      </c>
      <c r="S663" s="491"/>
      <c r="T663" s="536">
        <v>2513797.41</v>
      </c>
      <c r="U663" s="536">
        <v>3041694.87</v>
      </c>
      <c r="V663" s="1471"/>
      <c r="W663" s="1471"/>
      <c r="X663" s="1471"/>
      <c r="Y663" s="573">
        <v>44139</v>
      </c>
      <c r="Z663" s="536" t="s">
        <v>7861</v>
      </c>
      <c r="AA663" s="537">
        <v>44165</v>
      </c>
      <c r="AB663" s="537">
        <v>44168</v>
      </c>
      <c r="AC663" s="537">
        <f>AA663+56</f>
        <v>44221</v>
      </c>
      <c r="AD663" s="537">
        <v>44242</v>
      </c>
      <c r="AE663" s="1102"/>
    </row>
    <row r="664" spans="3:31" ht="30">
      <c r="C664" s="537">
        <v>44112</v>
      </c>
      <c r="D664" s="491" t="s">
        <v>7734</v>
      </c>
      <c r="E664" s="491" t="s">
        <v>58</v>
      </c>
      <c r="F664" s="491" t="s">
        <v>2684</v>
      </c>
      <c r="G664" s="571" t="s">
        <v>7735</v>
      </c>
      <c r="H664" s="491"/>
      <c r="I664" s="495"/>
      <c r="J664" s="491"/>
      <c r="K664" s="491" t="s">
        <v>7736</v>
      </c>
      <c r="L664" s="491" t="s">
        <v>7737</v>
      </c>
      <c r="M664" s="536">
        <v>930000</v>
      </c>
      <c r="N664" s="491" t="s">
        <v>112</v>
      </c>
      <c r="O664" s="537">
        <v>44119</v>
      </c>
      <c r="P664" s="537">
        <v>44127</v>
      </c>
      <c r="Q664" s="537">
        <v>44165</v>
      </c>
      <c r="R664" s="495" t="s">
        <v>7970</v>
      </c>
      <c r="S664" s="491"/>
      <c r="T664" s="536">
        <v>534600</v>
      </c>
      <c r="U664" s="536">
        <v>646866</v>
      </c>
      <c r="V664" s="1471"/>
      <c r="W664" s="1471"/>
      <c r="X664" s="1471"/>
      <c r="Y664" s="573">
        <v>44165</v>
      </c>
      <c r="Z664" s="1375" t="s">
        <v>7976</v>
      </c>
      <c r="AA664" s="537">
        <v>44193</v>
      </c>
      <c r="AB664" s="537">
        <v>44201</v>
      </c>
      <c r="AC664" s="537">
        <f>AA664+70</f>
        <v>44263</v>
      </c>
      <c r="AD664" s="537">
        <v>44321</v>
      </c>
      <c r="AE664" s="1374" t="s">
        <v>1875</v>
      </c>
    </row>
    <row r="665" spans="3:31">
      <c r="C665" s="544">
        <v>44088</v>
      </c>
      <c r="D665" s="540" t="s">
        <v>7740</v>
      </c>
      <c r="E665" s="540" t="s">
        <v>1032</v>
      </c>
      <c r="F665" s="540" t="s">
        <v>361</v>
      </c>
      <c r="G665" s="541" t="s">
        <v>7741</v>
      </c>
      <c r="H665" s="540"/>
      <c r="I665" s="1402"/>
      <c r="J665" s="590"/>
      <c r="K665" s="540" t="s">
        <v>1049</v>
      </c>
      <c r="L665" s="540"/>
      <c r="M665" s="545">
        <v>5160000</v>
      </c>
      <c r="N665" s="540" t="s">
        <v>251</v>
      </c>
      <c r="O665" s="544">
        <v>44123</v>
      </c>
      <c r="P665" s="544">
        <v>44167</v>
      </c>
      <c r="Q665" s="544"/>
      <c r="R665" s="1402" t="s">
        <v>7990</v>
      </c>
      <c r="S665" s="540"/>
      <c r="T665" s="545">
        <v>4379500</v>
      </c>
      <c r="U665" s="545">
        <f>T665*1.21</f>
        <v>5299195</v>
      </c>
      <c r="V665" s="1484"/>
      <c r="W665" s="1484"/>
      <c r="X665" s="1484"/>
      <c r="Y665" s="545"/>
      <c r="Z665" s="545"/>
      <c r="AA665" s="540"/>
      <c r="AB665" s="540"/>
      <c r="AC665" s="540"/>
      <c r="AD665" s="540"/>
      <c r="AE665" s="540"/>
    </row>
    <row r="666" spans="3:31">
      <c r="C666" s="537">
        <v>44111</v>
      </c>
      <c r="D666" s="491" t="s">
        <v>7754</v>
      </c>
      <c r="E666" s="491" t="s">
        <v>1032</v>
      </c>
      <c r="F666" s="491" t="s">
        <v>361</v>
      </c>
      <c r="G666" s="571" t="s">
        <v>7755</v>
      </c>
      <c r="H666" s="491"/>
      <c r="I666" s="495"/>
      <c r="J666" s="491"/>
      <c r="K666" s="491" t="s">
        <v>5826</v>
      </c>
      <c r="L666" s="491"/>
      <c r="M666" s="536">
        <v>5600000</v>
      </c>
      <c r="N666" s="491" t="s">
        <v>251</v>
      </c>
      <c r="O666" s="537">
        <v>44127</v>
      </c>
      <c r="P666" s="537">
        <v>44162</v>
      </c>
      <c r="Q666" s="537">
        <v>44182</v>
      </c>
      <c r="R666" s="495" t="s">
        <v>1365</v>
      </c>
      <c r="S666" s="491"/>
      <c r="T666" s="536">
        <v>4143832</v>
      </c>
      <c r="U666" s="536">
        <v>5014037</v>
      </c>
      <c r="V666" s="1471"/>
      <c r="W666" s="1471"/>
      <c r="X666" s="1471"/>
      <c r="Y666" s="573">
        <v>44182</v>
      </c>
      <c r="Z666" s="536" t="s">
        <v>8076</v>
      </c>
      <c r="AA666" s="537">
        <v>44195</v>
      </c>
      <c r="AB666" s="537">
        <v>44202</v>
      </c>
      <c r="AC666" s="537">
        <f>AA666+42</f>
        <v>44237</v>
      </c>
      <c r="AD666" s="537">
        <v>44278</v>
      </c>
      <c r="AE666" s="1102"/>
    </row>
    <row r="667" spans="3:31">
      <c r="C667" s="544">
        <v>44120</v>
      </c>
      <c r="D667" s="540" t="s">
        <v>7756</v>
      </c>
      <c r="E667" s="540" t="s">
        <v>4997</v>
      </c>
      <c r="F667" s="540" t="s">
        <v>7475</v>
      </c>
      <c r="G667" s="541" t="s">
        <v>7757</v>
      </c>
      <c r="H667" s="540"/>
      <c r="I667" s="1402"/>
      <c r="J667" s="590"/>
      <c r="K667" s="540" t="s">
        <v>7263</v>
      </c>
      <c r="L667" s="540"/>
      <c r="M667" s="545">
        <v>2700000</v>
      </c>
      <c r="N667" s="540" t="s">
        <v>112</v>
      </c>
      <c r="O667" s="544">
        <v>44127</v>
      </c>
      <c r="P667" s="544">
        <v>44138</v>
      </c>
      <c r="Q667" s="544">
        <v>44158</v>
      </c>
      <c r="R667" s="1402" t="s">
        <v>7921</v>
      </c>
      <c r="S667" s="540"/>
      <c r="T667" s="545">
        <v>1925459.74</v>
      </c>
      <c r="U667" s="545">
        <v>2329806.29</v>
      </c>
      <c r="V667" s="1484"/>
      <c r="W667" s="1484"/>
      <c r="X667" s="1484"/>
      <c r="Y667" s="1385">
        <v>44158</v>
      </c>
      <c r="Z667" s="545" t="s">
        <v>7933</v>
      </c>
      <c r="AA667" s="540"/>
      <c r="AB667" s="540"/>
      <c r="AC667" s="540"/>
      <c r="AD667" s="540"/>
      <c r="AE667" s="540"/>
    </row>
    <row r="668" spans="3:31">
      <c r="C668" s="510">
        <v>44112</v>
      </c>
      <c r="D668" s="506" t="s">
        <v>7768</v>
      </c>
      <c r="E668" s="506" t="s">
        <v>58</v>
      </c>
      <c r="F668" s="506" t="s">
        <v>2684</v>
      </c>
      <c r="G668" s="507" t="s">
        <v>7769</v>
      </c>
      <c r="H668" s="506"/>
      <c r="I668" s="548"/>
      <c r="J668" s="590"/>
      <c r="K668" s="506" t="s">
        <v>2990</v>
      </c>
      <c r="L668" s="506"/>
      <c r="M668" s="511">
        <v>284000</v>
      </c>
      <c r="N668" s="506" t="s">
        <v>112</v>
      </c>
      <c r="O668" s="510">
        <v>44125</v>
      </c>
      <c r="P668" s="510">
        <v>44134</v>
      </c>
      <c r="Q668" s="506"/>
      <c r="R668" s="736" t="s">
        <v>304</v>
      </c>
      <c r="S668" s="506"/>
      <c r="T668" s="511"/>
      <c r="U668" s="511"/>
      <c r="V668" s="1484"/>
      <c r="W668" s="1484"/>
      <c r="X668" s="1484"/>
      <c r="Y668" s="511"/>
      <c r="Z668" s="511"/>
      <c r="AA668" s="506"/>
      <c r="AB668" s="510">
        <v>44134</v>
      </c>
      <c r="AC668" s="510"/>
      <c r="AD668" s="506"/>
      <c r="AE668" s="506"/>
    </row>
    <row r="669" spans="3:31">
      <c r="C669" s="594">
        <v>44165</v>
      </c>
      <c r="D669" s="590" t="s">
        <v>7774</v>
      </c>
      <c r="E669" s="590" t="s">
        <v>58</v>
      </c>
      <c r="F669" s="590" t="s">
        <v>2684</v>
      </c>
      <c r="G669" s="591" t="s">
        <v>7772</v>
      </c>
      <c r="H669" s="590"/>
      <c r="I669" s="1428"/>
      <c r="J669" s="590"/>
      <c r="K669" s="590" t="s">
        <v>1159</v>
      </c>
      <c r="L669" s="590" t="s">
        <v>7773</v>
      </c>
      <c r="M669" s="595">
        <v>1282000</v>
      </c>
      <c r="N669" s="590" t="s">
        <v>112</v>
      </c>
      <c r="O669" s="594">
        <v>44167</v>
      </c>
      <c r="P669" s="594">
        <v>44183</v>
      </c>
      <c r="Q669" s="590"/>
      <c r="R669" s="1428"/>
      <c r="S669" s="590"/>
      <c r="T669" s="595"/>
      <c r="U669" s="595"/>
      <c r="V669" s="1484"/>
      <c r="W669" s="1484"/>
      <c r="X669" s="1484"/>
      <c r="Y669" s="595"/>
      <c r="Z669" s="595"/>
      <c r="AA669" s="590"/>
      <c r="AB669" s="590"/>
      <c r="AC669" s="590"/>
      <c r="AD669" s="590"/>
      <c r="AE669" s="590"/>
    </row>
    <row r="670" spans="3:31">
      <c r="C670" s="544">
        <v>44158</v>
      </c>
      <c r="D670" s="540" t="s">
        <v>7775</v>
      </c>
      <c r="E670" s="540" t="s">
        <v>58</v>
      </c>
      <c r="F670" s="540" t="s">
        <v>2684</v>
      </c>
      <c r="G670" s="541" t="s">
        <v>7777</v>
      </c>
      <c r="H670" s="540"/>
      <c r="I670" s="1402"/>
      <c r="J670" s="590"/>
      <c r="K670" s="540" t="s">
        <v>1159</v>
      </c>
      <c r="L670" s="540" t="s">
        <v>7780</v>
      </c>
      <c r="M670" s="545">
        <v>330000</v>
      </c>
      <c r="N670" s="540" t="s">
        <v>112</v>
      </c>
      <c r="O670" s="544">
        <v>44160</v>
      </c>
      <c r="P670" s="544">
        <v>44174</v>
      </c>
      <c r="Q670" s="540"/>
      <c r="R670" s="1402"/>
      <c r="S670" s="540"/>
      <c r="T670" s="545"/>
      <c r="U670" s="545"/>
      <c r="V670" s="1484"/>
      <c r="W670" s="1484"/>
      <c r="X670" s="1484"/>
      <c r="Y670" s="545"/>
      <c r="Z670" s="545"/>
      <c r="AA670" s="540"/>
      <c r="AB670" s="540"/>
      <c r="AC670" s="540"/>
      <c r="AD670" s="540"/>
      <c r="AE670" s="540"/>
    </row>
    <row r="671" spans="3:31" ht="15.75" thickBot="1">
      <c r="C671" s="464">
        <v>44161</v>
      </c>
      <c r="D671" s="406" t="s">
        <v>7776</v>
      </c>
      <c r="E671" s="406" t="s">
        <v>58</v>
      </c>
      <c r="F671" s="406" t="s">
        <v>2684</v>
      </c>
      <c r="G671" s="462" t="s">
        <v>7778</v>
      </c>
      <c r="H671" s="406"/>
      <c r="I671" s="1425"/>
      <c r="J671" s="1437"/>
      <c r="K671" s="406" t="s">
        <v>7065</v>
      </c>
      <c r="L671" s="406" t="s">
        <v>7779</v>
      </c>
      <c r="M671" s="465">
        <v>727000</v>
      </c>
      <c r="N671" s="406" t="s">
        <v>112</v>
      </c>
      <c r="O671" s="464">
        <v>44166</v>
      </c>
      <c r="P671" s="464">
        <v>44176</v>
      </c>
      <c r="Q671" s="406"/>
      <c r="R671" s="1425"/>
      <c r="S671" s="406"/>
      <c r="T671" s="465"/>
      <c r="U671" s="465"/>
      <c r="V671" s="1490"/>
      <c r="W671" s="1490"/>
      <c r="X671" s="1490"/>
      <c r="Y671" s="465"/>
      <c r="Z671" s="465"/>
      <c r="AA671" s="406"/>
      <c r="AB671" s="406"/>
      <c r="AC671" s="406"/>
      <c r="AD671" s="406"/>
      <c r="AE671" s="406"/>
    </row>
    <row r="672" spans="3:31" ht="15.75" thickTop="1">
      <c r="C672" s="428">
        <v>44123</v>
      </c>
      <c r="D672" s="425" t="s">
        <v>7781</v>
      </c>
      <c r="E672" s="425" t="s">
        <v>69</v>
      </c>
      <c r="F672" s="425" t="s">
        <v>70</v>
      </c>
      <c r="G672" s="426" t="s">
        <v>7783</v>
      </c>
      <c r="H672" s="425">
        <v>1</v>
      </c>
      <c r="I672" s="1371" t="s">
        <v>7784</v>
      </c>
      <c r="J672" s="583"/>
      <c r="K672" s="425" t="s">
        <v>7790</v>
      </c>
      <c r="L672" s="425"/>
      <c r="M672" s="429">
        <v>3271950</v>
      </c>
      <c r="N672" s="425" t="s">
        <v>251</v>
      </c>
      <c r="O672" s="428">
        <v>44127</v>
      </c>
      <c r="P672" s="428">
        <v>44188</v>
      </c>
      <c r="Q672" s="425"/>
      <c r="R672" s="1371"/>
      <c r="S672" s="425"/>
      <c r="T672" s="429"/>
      <c r="U672" s="429"/>
      <c r="V672" s="1483"/>
      <c r="W672" s="1483"/>
      <c r="X672" s="1483"/>
      <c r="Y672" s="429"/>
      <c r="Z672" s="429"/>
      <c r="AA672" s="425"/>
      <c r="AB672" s="425"/>
      <c r="AC672" s="425"/>
      <c r="AD672" s="425"/>
      <c r="AE672" s="425"/>
    </row>
    <row r="673" spans="3:31">
      <c r="C673" s="544">
        <v>44123</v>
      </c>
      <c r="D673" s="540" t="s">
        <v>7781</v>
      </c>
      <c r="E673" s="540" t="s">
        <v>69</v>
      </c>
      <c r="F673" s="540" t="s">
        <v>70</v>
      </c>
      <c r="G673" s="541" t="s">
        <v>7783</v>
      </c>
      <c r="H673" s="540">
        <v>2</v>
      </c>
      <c r="I673" s="1402" t="s">
        <v>7785</v>
      </c>
      <c r="J673" s="590"/>
      <c r="K673" s="540" t="s">
        <v>7790</v>
      </c>
      <c r="L673" s="540"/>
      <c r="M673" s="545">
        <v>1306500</v>
      </c>
      <c r="N673" s="540" t="s">
        <v>251</v>
      </c>
      <c r="O673" s="544">
        <v>44127</v>
      </c>
      <c r="P673" s="544">
        <v>44188</v>
      </c>
      <c r="Q673" s="540"/>
      <c r="R673" s="1402"/>
      <c r="S673" s="540"/>
      <c r="T673" s="545"/>
      <c r="U673" s="545"/>
      <c r="V673" s="1484"/>
      <c r="W673" s="1484"/>
      <c r="X673" s="1484"/>
      <c r="Y673" s="545"/>
      <c r="Z673" s="545"/>
      <c r="AA673" s="540"/>
      <c r="AB673" s="540"/>
      <c r="AC673" s="540"/>
      <c r="AD673" s="540"/>
      <c r="AE673" s="540"/>
    </row>
    <row r="674" spans="3:31">
      <c r="C674" s="544">
        <v>44123</v>
      </c>
      <c r="D674" s="540" t="s">
        <v>7781</v>
      </c>
      <c r="E674" s="540" t="s">
        <v>69</v>
      </c>
      <c r="F674" s="540" t="s">
        <v>70</v>
      </c>
      <c r="G674" s="541" t="s">
        <v>7783</v>
      </c>
      <c r="H674" s="540">
        <v>3</v>
      </c>
      <c r="I674" s="1402" t="s">
        <v>7786</v>
      </c>
      <c r="J674" s="590"/>
      <c r="K674" s="540" t="s">
        <v>7790</v>
      </c>
      <c r="L674" s="540"/>
      <c r="M674" s="545">
        <v>1129930</v>
      </c>
      <c r="N674" s="540" t="s">
        <v>251</v>
      </c>
      <c r="O674" s="544">
        <v>44127</v>
      </c>
      <c r="P674" s="544">
        <v>44188</v>
      </c>
      <c r="Q674" s="540"/>
      <c r="R674" s="1402"/>
      <c r="S674" s="540"/>
      <c r="T674" s="545"/>
      <c r="U674" s="545"/>
      <c r="V674" s="1484"/>
      <c r="W674" s="1484"/>
      <c r="X674" s="1484"/>
      <c r="Y674" s="545"/>
      <c r="Z674" s="545"/>
      <c r="AA674" s="540"/>
      <c r="AB674" s="540"/>
      <c r="AC674" s="540"/>
      <c r="AD674" s="540"/>
      <c r="AE674" s="540"/>
    </row>
    <row r="675" spans="3:31">
      <c r="C675" s="544">
        <v>44123</v>
      </c>
      <c r="D675" s="540" t="s">
        <v>7781</v>
      </c>
      <c r="E675" s="540" t="s">
        <v>69</v>
      </c>
      <c r="F675" s="540" t="s">
        <v>70</v>
      </c>
      <c r="G675" s="541" t="s">
        <v>7783</v>
      </c>
      <c r="H675" s="540">
        <v>4</v>
      </c>
      <c r="I675" s="1402" t="s">
        <v>7787</v>
      </c>
      <c r="J675" s="590"/>
      <c r="K675" s="540" t="s">
        <v>7790</v>
      </c>
      <c r="L675" s="540"/>
      <c r="M675" s="545">
        <v>1966708</v>
      </c>
      <c r="N675" s="540" t="s">
        <v>251</v>
      </c>
      <c r="O675" s="544">
        <v>44127</v>
      </c>
      <c r="P675" s="544">
        <v>44188</v>
      </c>
      <c r="Q675" s="540"/>
      <c r="R675" s="1402"/>
      <c r="S675" s="540"/>
      <c r="T675" s="545"/>
      <c r="U675" s="545"/>
      <c r="V675" s="1484"/>
      <c r="W675" s="1484"/>
      <c r="X675" s="1484"/>
      <c r="Y675" s="545"/>
      <c r="Z675" s="545"/>
      <c r="AA675" s="540"/>
      <c r="AB675" s="540"/>
      <c r="AC675" s="540"/>
      <c r="AD675" s="540"/>
      <c r="AE675" s="540"/>
    </row>
    <row r="676" spans="3:31">
      <c r="C676" s="544">
        <v>44123</v>
      </c>
      <c r="D676" s="540" t="s">
        <v>7781</v>
      </c>
      <c r="E676" s="540" t="s">
        <v>69</v>
      </c>
      <c r="F676" s="540" t="s">
        <v>70</v>
      </c>
      <c r="G676" s="541" t="s">
        <v>7783</v>
      </c>
      <c r="H676" s="540">
        <v>5</v>
      </c>
      <c r="I676" s="1402" t="s">
        <v>7788</v>
      </c>
      <c r="J676" s="590"/>
      <c r="K676" s="540" t="s">
        <v>7790</v>
      </c>
      <c r="L676" s="540"/>
      <c r="M676" s="545">
        <v>10607165</v>
      </c>
      <c r="N676" s="540" t="s">
        <v>251</v>
      </c>
      <c r="O676" s="544">
        <v>44127</v>
      </c>
      <c r="P676" s="544">
        <v>44188</v>
      </c>
      <c r="Q676" s="540"/>
      <c r="R676" s="1402"/>
      <c r="S676" s="540"/>
      <c r="T676" s="545"/>
      <c r="U676" s="545"/>
      <c r="V676" s="1484"/>
      <c r="W676" s="1484"/>
      <c r="X676" s="1484"/>
      <c r="Y676" s="545"/>
      <c r="Z676" s="545"/>
      <c r="AA676" s="540"/>
      <c r="AB676" s="540"/>
      <c r="AC676" s="540"/>
      <c r="AD676" s="540"/>
      <c r="AE676" s="540"/>
    </row>
    <row r="677" spans="3:31" ht="15.75" thickBot="1">
      <c r="C677" s="1363">
        <v>44123</v>
      </c>
      <c r="D677" s="1355" t="s">
        <v>7781</v>
      </c>
      <c r="E677" s="1355" t="s">
        <v>69</v>
      </c>
      <c r="F677" s="1355" t="s">
        <v>70</v>
      </c>
      <c r="G677" s="1361" t="s">
        <v>7783</v>
      </c>
      <c r="H677" s="1355">
        <v>6</v>
      </c>
      <c r="I677" s="1419" t="s">
        <v>7789</v>
      </c>
      <c r="J677" s="1356"/>
      <c r="K677" s="1355" t="s">
        <v>7790</v>
      </c>
      <c r="L677" s="1355"/>
      <c r="M677" s="1362">
        <v>339465</v>
      </c>
      <c r="N677" s="1355" t="s">
        <v>251</v>
      </c>
      <c r="O677" s="1363">
        <v>44127</v>
      </c>
      <c r="P677" s="1363">
        <v>44188</v>
      </c>
      <c r="Q677" s="1355"/>
      <c r="R677" s="1419"/>
      <c r="S677" s="1355"/>
      <c r="T677" s="1362"/>
      <c r="U677" s="1362"/>
      <c r="V677" s="1485"/>
      <c r="W677" s="1485"/>
      <c r="X677" s="1485"/>
      <c r="Y677" s="1362"/>
      <c r="Z677" s="1362"/>
      <c r="AA677" s="1355"/>
      <c r="AB677" s="1355"/>
      <c r="AC677" s="1355"/>
      <c r="AD677" s="1355"/>
      <c r="AE677" s="1355"/>
    </row>
    <row r="678" spans="3:31" ht="15.75" thickTop="1">
      <c r="C678" s="428">
        <v>44123</v>
      </c>
      <c r="D678" s="425" t="s">
        <v>7782</v>
      </c>
      <c r="E678" s="425" t="s">
        <v>69</v>
      </c>
      <c r="F678" s="425" t="s">
        <v>70</v>
      </c>
      <c r="G678" s="426" t="s">
        <v>7791</v>
      </c>
      <c r="H678" s="425">
        <v>1</v>
      </c>
      <c r="I678" s="1371" t="s">
        <v>7813</v>
      </c>
      <c r="J678" s="583"/>
      <c r="K678" s="425" t="s">
        <v>7792</v>
      </c>
      <c r="L678" s="425"/>
      <c r="M678" s="429">
        <v>125530696</v>
      </c>
      <c r="N678" s="425" t="s">
        <v>251</v>
      </c>
      <c r="O678" s="428">
        <v>44127</v>
      </c>
      <c r="P678" s="428">
        <v>44193</v>
      </c>
      <c r="Q678" s="425"/>
      <c r="R678" s="1371"/>
      <c r="S678" s="425"/>
      <c r="T678" s="429"/>
      <c r="U678" s="429"/>
      <c r="V678" s="1483"/>
      <c r="W678" s="1483"/>
      <c r="X678" s="1483"/>
      <c r="Y678" s="429"/>
      <c r="Z678" s="429"/>
      <c r="AA678" s="425"/>
      <c r="AB678" s="425"/>
      <c r="AC678" s="425"/>
      <c r="AD678" s="425"/>
      <c r="AE678" s="425"/>
    </row>
    <row r="679" spans="3:31" ht="15.75" thickBot="1">
      <c r="C679" s="1363">
        <v>44123</v>
      </c>
      <c r="D679" s="1355" t="s">
        <v>7782</v>
      </c>
      <c r="E679" s="1355" t="s">
        <v>69</v>
      </c>
      <c r="F679" s="1355" t="s">
        <v>70</v>
      </c>
      <c r="G679" s="1361" t="s">
        <v>7791</v>
      </c>
      <c r="H679" s="1355">
        <v>2</v>
      </c>
      <c r="I679" s="1419" t="s">
        <v>7308</v>
      </c>
      <c r="J679" s="1356"/>
      <c r="K679" s="1355" t="s">
        <v>7792</v>
      </c>
      <c r="L679" s="1355"/>
      <c r="M679" s="1362">
        <v>32395073</v>
      </c>
      <c r="N679" s="1355" t="s">
        <v>251</v>
      </c>
      <c r="O679" s="1363">
        <v>44127</v>
      </c>
      <c r="P679" s="1363">
        <v>44193</v>
      </c>
      <c r="Q679" s="1355"/>
      <c r="R679" s="1419"/>
      <c r="S679" s="1355"/>
      <c r="T679" s="1362"/>
      <c r="U679" s="1362"/>
      <c r="V679" s="1485"/>
      <c r="W679" s="1485"/>
      <c r="X679" s="1485"/>
      <c r="Y679" s="1362"/>
      <c r="Z679" s="1362"/>
      <c r="AA679" s="1355"/>
      <c r="AB679" s="1355"/>
      <c r="AC679" s="1355"/>
      <c r="AD679" s="1355"/>
      <c r="AE679" s="1355"/>
    </row>
    <row r="680" spans="3:31" ht="15.75" thickTop="1">
      <c r="C680" s="365">
        <v>44124</v>
      </c>
      <c r="D680" s="3210" t="s">
        <v>7793</v>
      </c>
      <c r="E680" s="3210" t="s">
        <v>2434</v>
      </c>
      <c r="F680" s="3210" t="s">
        <v>219</v>
      </c>
      <c r="G680" s="175" t="s">
        <v>7794</v>
      </c>
      <c r="H680" s="3210"/>
      <c r="I680" s="3211"/>
      <c r="J680" s="3210"/>
      <c r="K680" s="3210" t="s">
        <v>642</v>
      </c>
      <c r="L680" s="3210"/>
      <c r="M680" s="364">
        <v>1999006</v>
      </c>
      <c r="N680" s="3210" t="s">
        <v>112</v>
      </c>
      <c r="O680" s="365">
        <v>44124</v>
      </c>
      <c r="P680" s="365">
        <v>44130</v>
      </c>
      <c r="Q680" s="365">
        <v>44133</v>
      </c>
      <c r="R680" s="3211" t="s">
        <v>2285</v>
      </c>
      <c r="S680" s="3210"/>
      <c r="T680" s="364">
        <v>1999006</v>
      </c>
      <c r="U680" s="364">
        <v>2418797.2599999998</v>
      </c>
      <c r="V680" s="1473"/>
      <c r="W680" s="1473"/>
      <c r="X680" s="1473"/>
      <c r="Y680" s="681">
        <v>44133</v>
      </c>
      <c r="Z680" s="364" t="s">
        <v>7833</v>
      </c>
      <c r="AA680" s="365">
        <v>44151</v>
      </c>
      <c r="AB680" s="365">
        <v>44158</v>
      </c>
      <c r="AC680" s="365">
        <v>44166</v>
      </c>
      <c r="AD680" s="365">
        <v>44193</v>
      </c>
      <c r="AE680" s="1513"/>
    </row>
    <row r="681" spans="3:31">
      <c r="C681" s="544">
        <v>44117</v>
      </c>
      <c r="D681" s="540" t="s">
        <v>7803</v>
      </c>
      <c r="E681" s="540" t="s">
        <v>58</v>
      </c>
      <c r="F681" s="540" t="s">
        <v>2684</v>
      </c>
      <c r="G681" s="541" t="s">
        <v>7804</v>
      </c>
      <c r="H681" s="540"/>
      <c r="I681" s="1402"/>
      <c r="J681" s="590"/>
      <c r="K681" s="540" t="s">
        <v>2990</v>
      </c>
      <c r="L681" s="540"/>
      <c r="M681" s="545">
        <v>2010000</v>
      </c>
      <c r="N681" s="540" t="s">
        <v>216</v>
      </c>
      <c r="O681" s="544">
        <v>44134</v>
      </c>
      <c r="P681" s="544">
        <v>44153</v>
      </c>
      <c r="Q681" s="540"/>
      <c r="R681" s="1402"/>
      <c r="S681" s="540"/>
      <c r="T681" s="545"/>
      <c r="U681" s="545"/>
      <c r="V681" s="1484"/>
      <c r="W681" s="1484"/>
      <c r="X681" s="1484"/>
      <c r="Y681" s="545"/>
      <c r="Z681" s="545"/>
      <c r="AA681" s="540"/>
      <c r="AB681" s="540"/>
      <c r="AC681" s="540"/>
      <c r="AD681" s="540"/>
      <c r="AE681" s="540"/>
    </row>
    <row r="682" spans="3:31">
      <c r="C682" s="537">
        <v>44125</v>
      </c>
      <c r="D682" s="491" t="s">
        <v>7807</v>
      </c>
      <c r="E682" s="491" t="s">
        <v>1032</v>
      </c>
      <c r="F682" s="491" t="s">
        <v>1033</v>
      </c>
      <c r="G682" s="2536" t="s">
        <v>7805</v>
      </c>
      <c r="H682" s="491"/>
      <c r="I682" s="495"/>
      <c r="J682" s="491"/>
      <c r="K682" s="491" t="s">
        <v>7806</v>
      </c>
      <c r="L682" s="491"/>
      <c r="M682" s="536">
        <v>1100000</v>
      </c>
      <c r="N682" s="491" t="s">
        <v>112</v>
      </c>
      <c r="O682" s="537">
        <v>44127</v>
      </c>
      <c r="P682" s="537">
        <v>44145</v>
      </c>
      <c r="Q682" s="537">
        <v>44153</v>
      </c>
      <c r="R682" s="495" t="s">
        <v>7903</v>
      </c>
      <c r="S682" s="491"/>
      <c r="T682" s="536">
        <v>1024800</v>
      </c>
      <c r="U682" s="536">
        <f>T682*1.21</f>
        <v>1240008</v>
      </c>
      <c r="V682" s="1471"/>
      <c r="W682" s="1471"/>
      <c r="X682" s="1471"/>
      <c r="Y682" s="573">
        <v>44153</v>
      </c>
      <c r="Z682" s="536" t="s">
        <v>7919</v>
      </c>
      <c r="AA682" s="537">
        <v>44172</v>
      </c>
      <c r="AB682" s="537">
        <v>44174</v>
      </c>
      <c r="AC682" s="537">
        <f>AA682+70</f>
        <v>44242</v>
      </c>
      <c r="AD682" s="537">
        <v>44643</v>
      </c>
      <c r="AE682" s="1102"/>
    </row>
    <row r="683" spans="3:31">
      <c r="C683" s="544">
        <v>44117</v>
      </c>
      <c r="D683" s="540" t="s">
        <v>7810</v>
      </c>
      <c r="E683" s="540" t="s">
        <v>52</v>
      </c>
      <c r="F683" s="540" t="s">
        <v>5894</v>
      </c>
      <c r="G683" s="541" t="s">
        <v>7811</v>
      </c>
      <c r="H683" s="540"/>
      <c r="I683" s="1402"/>
      <c r="J683" s="590"/>
      <c r="K683" s="540" t="s">
        <v>1676</v>
      </c>
      <c r="L683" s="540" t="s">
        <v>7812</v>
      </c>
      <c r="M683" s="545">
        <v>40000000</v>
      </c>
      <c r="N683" s="540" t="s">
        <v>216</v>
      </c>
      <c r="O683" s="544">
        <v>44141</v>
      </c>
      <c r="P683" s="544">
        <v>44167</v>
      </c>
      <c r="Q683" s="544">
        <v>44183</v>
      </c>
      <c r="R683" s="1402" t="s">
        <v>2626</v>
      </c>
      <c r="S683" s="540"/>
      <c r="T683" s="545">
        <v>39893319.039999999</v>
      </c>
      <c r="U683" s="545">
        <f>T683*1.21</f>
        <v>48270916.038399994</v>
      </c>
      <c r="V683" s="1484"/>
      <c r="W683" s="1484"/>
      <c r="X683" s="1484"/>
      <c r="Y683" s="1385">
        <v>44183</v>
      </c>
      <c r="Z683" s="545" t="s">
        <v>8090</v>
      </c>
      <c r="AA683" s="540"/>
      <c r="AB683" s="540"/>
      <c r="AC683" s="540"/>
      <c r="AD683" s="540"/>
      <c r="AE683" s="540"/>
    </row>
    <row r="684" spans="3:31">
      <c r="C684" s="537">
        <v>44131</v>
      </c>
      <c r="D684" s="491" t="s">
        <v>7821</v>
      </c>
      <c r="E684" s="491" t="s">
        <v>2434</v>
      </c>
      <c r="F684" s="491" t="s">
        <v>219</v>
      </c>
      <c r="G684" s="2536" t="s">
        <v>7822</v>
      </c>
      <c r="H684" s="491"/>
      <c r="I684" s="495"/>
      <c r="J684" s="491"/>
      <c r="K684" s="491" t="s">
        <v>316</v>
      </c>
      <c r="L684" s="491"/>
      <c r="M684" s="536">
        <v>802000</v>
      </c>
      <c r="N684" s="491" t="s">
        <v>112</v>
      </c>
      <c r="O684" s="537">
        <v>44131</v>
      </c>
      <c r="P684" s="537">
        <v>44138</v>
      </c>
      <c r="Q684" s="537">
        <v>44138</v>
      </c>
      <c r="R684" s="495" t="s">
        <v>7851</v>
      </c>
      <c r="S684" s="491"/>
      <c r="T684" s="536">
        <v>800120</v>
      </c>
      <c r="U684" s="536">
        <v>968145.2</v>
      </c>
      <c r="V684" s="1471"/>
      <c r="W684" s="1471"/>
      <c r="X684" s="1471"/>
      <c r="Y684" s="573">
        <v>44138</v>
      </c>
      <c r="Z684" s="536" t="s">
        <v>7852</v>
      </c>
      <c r="AA684" s="537">
        <v>44155</v>
      </c>
      <c r="AB684" s="537">
        <v>44160</v>
      </c>
      <c r="AC684" s="537">
        <v>44169</v>
      </c>
      <c r="AD684" s="537">
        <v>44396</v>
      </c>
      <c r="AE684" s="1102"/>
    </row>
    <row r="685" spans="3:31">
      <c r="C685" s="594">
        <v>44120</v>
      </c>
      <c r="D685" s="590" t="s">
        <v>7823</v>
      </c>
      <c r="E685" s="590" t="s">
        <v>52</v>
      </c>
      <c r="F685" s="590" t="s">
        <v>3089</v>
      </c>
      <c r="G685" s="591" t="s">
        <v>7824</v>
      </c>
      <c r="H685" s="590"/>
      <c r="I685" s="1428"/>
      <c r="J685" s="1552"/>
      <c r="K685" s="590" t="s">
        <v>33</v>
      </c>
      <c r="L685" s="590" t="s">
        <v>7825</v>
      </c>
      <c r="M685" s="595">
        <v>106000000</v>
      </c>
      <c r="N685" s="590" t="s">
        <v>251</v>
      </c>
      <c r="O685" s="594">
        <v>44137</v>
      </c>
      <c r="P685" s="594">
        <v>44207</v>
      </c>
      <c r="Q685" s="590"/>
      <c r="R685" s="1428"/>
      <c r="S685" s="590"/>
      <c r="T685" s="595"/>
      <c r="U685" s="595"/>
      <c r="V685" s="1800"/>
      <c r="W685" s="1800"/>
      <c r="X685" s="1800"/>
      <c r="Y685" s="595"/>
      <c r="Z685" s="595"/>
      <c r="AA685" s="590"/>
      <c r="AB685" s="590"/>
      <c r="AC685" s="590"/>
      <c r="AD685" s="590"/>
      <c r="AE685" s="590"/>
    </row>
    <row r="686" spans="3:31">
      <c r="C686" s="540" t="s">
        <v>3585</v>
      </c>
      <c r="D686" s="540" t="s">
        <v>7837</v>
      </c>
      <c r="E686" s="540" t="s">
        <v>1032</v>
      </c>
      <c r="F686" s="540" t="s">
        <v>361</v>
      </c>
      <c r="G686" s="541" t="s">
        <v>7838</v>
      </c>
      <c r="H686" s="540"/>
      <c r="I686" s="1402"/>
      <c r="J686" s="590"/>
      <c r="K686" s="540" t="s">
        <v>5752</v>
      </c>
      <c r="L686" s="540"/>
      <c r="M686" s="545">
        <v>476720</v>
      </c>
      <c r="N686" s="540" t="s">
        <v>112</v>
      </c>
      <c r="O686" s="544">
        <v>44139</v>
      </c>
      <c r="P686" s="544">
        <v>44148</v>
      </c>
      <c r="Q686" s="544">
        <v>44153</v>
      </c>
      <c r="R686" s="1402" t="s">
        <v>7915</v>
      </c>
      <c r="S686" s="540"/>
      <c r="T686" s="545">
        <v>506218.61</v>
      </c>
      <c r="U686" s="545">
        <v>612524.52</v>
      </c>
      <c r="V686" s="1484"/>
      <c r="W686" s="1484"/>
      <c r="X686" s="1484"/>
      <c r="Y686" s="1385">
        <v>44153</v>
      </c>
      <c r="Z686" s="545" t="s">
        <v>7920</v>
      </c>
      <c r="AA686" s="540"/>
      <c r="AB686" s="540"/>
      <c r="AC686" s="540"/>
      <c r="AD686" s="540"/>
      <c r="AE686" s="540"/>
    </row>
    <row r="687" spans="3:31">
      <c r="C687" s="537">
        <v>44134</v>
      </c>
      <c r="D687" s="491" t="s">
        <v>7845</v>
      </c>
      <c r="E687" s="491" t="s">
        <v>14</v>
      </c>
      <c r="F687" s="491" t="s">
        <v>1753</v>
      </c>
      <c r="G687" s="571" t="s">
        <v>7846</v>
      </c>
      <c r="H687" s="491"/>
      <c r="I687" s="495"/>
      <c r="J687" s="491"/>
      <c r="K687" s="491" t="s">
        <v>7847</v>
      </c>
      <c r="L687" s="491" t="s">
        <v>6709</v>
      </c>
      <c r="M687" s="536">
        <v>1350000</v>
      </c>
      <c r="N687" s="491" t="s">
        <v>112</v>
      </c>
      <c r="O687" s="537">
        <v>44138</v>
      </c>
      <c r="P687" s="537">
        <v>44148</v>
      </c>
      <c r="Q687" s="537">
        <v>44151</v>
      </c>
      <c r="R687" s="495" t="s">
        <v>7912</v>
      </c>
      <c r="S687" s="491"/>
      <c r="T687" s="536">
        <v>1057500</v>
      </c>
      <c r="U687" s="536">
        <v>1279575</v>
      </c>
      <c r="V687" s="1471"/>
      <c r="W687" s="1471"/>
      <c r="X687" s="1471"/>
      <c r="Y687" s="573">
        <v>44151</v>
      </c>
      <c r="Z687" s="536" t="s">
        <v>7917</v>
      </c>
      <c r="AA687" s="537">
        <v>44169</v>
      </c>
      <c r="AB687" s="537">
        <v>44179</v>
      </c>
      <c r="AC687" s="537">
        <f>AA687+30</f>
        <v>44199</v>
      </c>
      <c r="AD687" s="537">
        <v>44242</v>
      </c>
      <c r="AE687" s="1102"/>
    </row>
    <row r="688" spans="3:31">
      <c r="C688" s="594">
        <v>44133</v>
      </c>
      <c r="D688" s="590" t="s">
        <v>7849</v>
      </c>
      <c r="E688" s="590" t="s">
        <v>2434</v>
      </c>
      <c r="F688" s="590" t="s">
        <v>219</v>
      </c>
      <c r="G688" s="591" t="s">
        <v>7850</v>
      </c>
      <c r="H688" s="590">
        <v>1</v>
      </c>
      <c r="I688" s="1428" t="s">
        <v>8000</v>
      </c>
      <c r="J688" s="590"/>
      <c r="K688" s="590" t="s">
        <v>3271</v>
      </c>
      <c r="L688" s="590"/>
      <c r="M688" s="595">
        <v>816000</v>
      </c>
      <c r="N688" s="590" t="s">
        <v>251</v>
      </c>
      <c r="O688" s="594">
        <v>44144</v>
      </c>
      <c r="P688" s="594">
        <v>44200</v>
      </c>
      <c r="Q688" s="590"/>
      <c r="R688" s="1428"/>
      <c r="S688" s="590"/>
      <c r="T688" s="595"/>
      <c r="U688" s="595"/>
      <c r="V688" s="1484"/>
      <c r="W688" s="1484"/>
      <c r="X688" s="1484"/>
      <c r="Y688" s="595"/>
      <c r="Z688" s="595"/>
      <c r="AA688" s="590"/>
      <c r="AB688" s="590"/>
      <c r="AC688" s="590"/>
      <c r="AD688" s="590"/>
      <c r="AE688" s="590"/>
    </row>
    <row r="689" spans="3:31">
      <c r="C689" s="594">
        <v>44133</v>
      </c>
      <c r="D689" s="590" t="s">
        <v>7849</v>
      </c>
      <c r="E689" s="590" t="s">
        <v>2434</v>
      </c>
      <c r="F689" s="590" t="s">
        <v>219</v>
      </c>
      <c r="G689" s="591" t="s">
        <v>7850</v>
      </c>
      <c r="H689" s="590">
        <v>2</v>
      </c>
      <c r="I689" s="1428" t="s">
        <v>8001</v>
      </c>
      <c r="J689" s="590"/>
      <c r="K689" s="590" t="s">
        <v>3271</v>
      </c>
      <c r="L689" s="590"/>
      <c r="M689" s="595">
        <v>3659405</v>
      </c>
      <c r="N689" s="590" t="s">
        <v>251</v>
      </c>
      <c r="O689" s="594">
        <v>44144</v>
      </c>
      <c r="P689" s="594">
        <v>44200</v>
      </c>
      <c r="Q689" s="590"/>
      <c r="R689" s="1428"/>
      <c r="S689" s="590"/>
      <c r="T689" s="595"/>
      <c r="U689" s="595"/>
      <c r="V689" s="1484"/>
      <c r="W689" s="1484"/>
      <c r="X689" s="1484"/>
      <c r="Y689" s="595"/>
      <c r="Z689" s="595"/>
      <c r="AA689" s="590"/>
      <c r="AB689" s="590"/>
      <c r="AC689" s="590"/>
      <c r="AD689" s="590"/>
      <c r="AE689" s="590"/>
    </row>
    <row r="690" spans="3:31">
      <c r="C690" s="594">
        <v>44133</v>
      </c>
      <c r="D690" s="590" t="s">
        <v>7849</v>
      </c>
      <c r="E690" s="590" t="s">
        <v>2434</v>
      </c>
      <c r="F690" s="590" t="s">
        <v>219</v>
      </c>
      <c r="G690" s="591" t="s">
        <v>7850</v>
      </c>
      <c r="H690" s="590">
        <v>3</v>
      </c>
      <c r="I690" s="1428" t="s">
        <v>8006</v>
      </c>
      <c r="J690" s="590"/>
      <c r="K690" s="590" t="s">
        <v>3271</v>
      </c>
      <c r="L690" s="590"/>
      <c r="M690" s="595">
        <v>26000</v>
      </c>
      <c r="N690" s="590" t="s">
        <v>251</v>
      </c>
      <c r="O690" s="594">
        <v>44144</v>
      </c>
      <c r="P690" s="594">
        <v>44200</v>
      </c>
      <c r="Q690" s="590"/>
      <c r="R690" s="1428"/>
      <c r="S690" s="590"/>
      <c r="T690" s="595"/>
      <c r="U690" s="595"/>
      <c r="V690" s="1484"/>
      <c r="W690" s="1484"/>
      <c r="X690" s="1484"/>
      <c r="Y690" s="595"/>
      <c r="Z690" s="595"/>
      <c r="AA690" s="590"/>
      <c r="AB690" s="590"/>
      <c r="AC690" s="590"/>
      <c r="AD690" s="590"/>
      <c r="AE690" s="590"/>
    </row>
    <row r="691" spans="3:31">
      <c r="C691" s="594">
        <v>44133</v>
      </c>
      <c r="D691" s="590" t="s">
        <v>7849</v>
      </c>
      <c r="E691" s="590" t="s">
        <v>2434</v>
      </c>
      <c r="F691" s="590" t="s">
        <v>219</v>
      </c>
      <c r="G691" s="591" t="s">
        <v>7850</v>
      </c>
      <c r="H691" s="590">
        <v>4</v>
      </c>
      <c r="I691" s="1428" t="s">
        <v>8005</v>
      </c>
      <c r="J691" s="590"/>
      <c r="K691" s="590" t="s">
        <v>3271</v>
      </c>
      <c r="L691" s="590"/>
      <c r="M691" s="595">
        <v>72000</v>
      </c>
      <c r="N691" s="590" t="s">
        <v>251</v>
      </c>
      <c r="O691" s="594">
        <v>44144</v>
      </c>
      <c r="P691" s="594">
        <v>44200</v>
      </c>
      <c r="Q691" s="590"/>
      <c r="R691" s="1428"/>
      <c r="S691" s="590"/>
      <c r="T691" s="595"/>
      <c r="U691" s="595"/>
      <c r="V691" s="1484"/>
      <c r="W691" s="1484"/>
      <c r="X691" s="1484"/>
      <c r="Y691" s="595"/>
      <c r="Z691" s="595"/>
      <c r="AA691" s="590"/>
      <c r="AB691" s="590"/>
      <c r="AC691" s="590"/>
      <c r="AD691" s="590"/>
      <c r="AE691" s="590"/>
    </row>
    <row r="692" spans="3:31">
      <c r="C692" s="594">
        <v>44133</v>
      </c>
      <c r="D692" s="590" t="s">
        <v>7849</v>
      </c>
      <c r="E692" s="590" t="s">
        <v>2434</v>
      </c>
      <c r="F692" s="590" t="s">
        <v>219</v>
      </c>
      <c r="G692" s="591" t="s">
        <v>7850</v>
      </c>
      <c r="H692" s="590">
        <v>5</v>
      </c>
      <c r="I692" s="1428" t="s">
        <v>8004</v>
      </c>
      <c r="J692" s="590"/>
      <c r="K692" s="590" t="s">
        <v>3271</v>
      </c>
      <c r="L692" s="590"/>
      <c r="M692" s="595">
        <v>105000</v>
      </c>
      <c r="N692" s="590" t="s">
        <v>251</v>
      </c>
      <c r="O692" s="594">
        <v>44144</v>
      </c>
      <c r="P692" s="594">
        <v>44200</v>
      </c>
      <c r="Q692" s="590"/>
      <c r="R692" s="1428"/>
      <c r="S692" s="590"/>
      <c r="T692" s="595"/>
      <c r="U692" s="595"/>
      <c r="V692" s="1484"/>
      <c r="W692" s="1484"/>
      <c r="X692" s="1484"/>
      <c r="Y692" s="595"/>
      <c r="Z692" s="595"/>
      <c r="AA692" s="590"/>
      <c r="AB692" s="590"/>
      <c r="AC692" s="590"/>
      <c r="AD692" s="590"/>
      <c r="AE692" s="590"/>
    </row>
    <row r="693" spans="3:31">
      <c r="C693" s="594">
        <v>44133</v>
      </c>
      <c r="D693" s="590" t="s">
        <v>7849</v>
      </c>
      <c r="E693" s="590" t="s">
        <v>2434</v>
      </c>
      <c r="F693" s="590" t="s">
        <v>219</v>
      </c>
      <c r="G693" s="591" t="s">
        <v>7850</v>
      </c>
      <c r="H693" s="590">
        <v>6</v>
      </c>
      <c r="I693" s="1428" t="s">
        <v>8003</v>
      </c>
      <c r="J693" s="590"/>
      <c r="K693" s="590" t="s">
        <v>3271</v>
      </c>
      <c r="L693" s="590"/>
      <c r="M693" s="595">
        <v>337000</v>
      </c>
      <c r="N693" s="590" t="s">
        <v>251</v>
      </c>
      <c r="O693" s="594">
        <v>44144</v>
      </c>
      <c r="P693" s="594">
        <v>44200</v>
      </c>
      <c r="Q693" s="590"/>
      <c r="R693" s="1428"/>
      <c r="S693" s="590"/>
      <c r="T693" s="595"/>
      <c r="U693" s="595"/>
      <c r="V693" s="1484"/>
      <c r="W693" s="1484"/>
      <c r="X693" s="1484"/>
      <c r="Y693" s="595"/>
      <c r="Z693" s="595"/>
      <c r="AA693" s="590"/>
      <c r="AB693" s="590"/>
      <c r="AC693" s="590"/>
      <c r="AD693" s="590"/>
      <c r="AE693" s="590"/>
    </row>
    <row r="694" spans="3:31">
      <c r="C694" s="594">
        <v>44133</v>
      </c>
      <c r="D694" s="590" t="s">
        <v>7849</v>
      </c>
      <c r="E694" s="590" t="s">
        <v>2434</v>
      </c>
      <c r="F694" s="590" t="s">
        <v>219</v>
      </c>
      <c r="G694" s="591" t="s">
        <v>7850</v>
      </c>
      <c r="H694" s="590">
        <v>7</v>
      </c>
      <c r="I694" s="1428" t="s">
        <v>8002</v>
      </c>
      <c r="J694" s="590"/>
      <c r="K694" s="590" t="s">
        <v>3271</v>
      </c>
      <c r="L694" s="590"/>
      <c r="M694" s="595">
        <v>330000</v>
      </c>
      <c r="N694" s="590" t="s">
        <v>251</v>
      </c>
      <c r="O694" s="594">
        <v>44144</v>
      </c>
      <c r="P694" s="594">
        <v>44200</v>
      </c>
      <c r="Q694" s="590"/>
      <c r="R694" s="1428"/>
      <c r="S694" s="590"/>
      <c r="T694" s="595"/>
      <c r="U694" s="595"/>
      <c r="V694" s="1484"/>
      <c r="W694" s="1484"/>
      <c r="X694" s="1484"/>
      <c r="Y694" s="595"/>
      <c r="Z694" s="595"/>
      <c r="AA694" s="590"/>
      <c r="AB694" s="590"/>
      <c r="AC694" s="590"/>
      <c r="AD694" s="590"/>
      <c r="AE694" s="590"/>
    </row>
    <row r="695" spans="3:31" ht="15.75" thickBot="1">
      <c r="C695" s="464">
        <v>44131</v>
      </c>
      <c r="D695" s="406" t="s">
        <v>7857</v>
      </c>
      <c r="E695" s="406" t="s">
        <v>14</v>
      </c>
      <c r="F695" s="406" t="s">
        <v>1753</v>
      </c>
      <c r="G695" s="462" t="s">
        <v>7858</v>
      </c>
      <c r="H695" s="406"/>
      <c r="I695" s="1425"/>
      <c r="J695" s="1437"/>
      <c r="K695" s="406" t="s">
        <v>566</v>
      </c>
      <c r="L695" s="406" t="s">
        <v>7859</v>
      </c>
      <c r="M695" s="465">
        <v>1035000</v>
      </c>
      <c r="N695" s="406" t="s">
        <v>251</v>
      </c>
      <c r="O695" s="464">
        <v>44148</v>
      </c>
      <c r="P695" s="464">
        <v>44196</v>
      </c>
      <c r="Q695" s="406"/>
      <c r="R695" s="1425"/>
      <c r="S695" s="406"/>
      <c r="T695" s="465"/>
      <c r="U695" s="465"/>
      <c r="V695" s="1490"/>
      <c r="W695" s="1490"/>
      <c r="X695" s="1490"/>
      <c r="Y695" s="465"/>
      <c r="Z695" s="465"/>
      <c r="AA695" s="406"/>
      <c r="AB695" s="406"/>
      <c r="AC695" s="406"/>
      <c r="AD695" s="406"/>
      <c r="AE695" s="406"/>
    </row>
    <row r="696" spans="3:31" ht="15.75" thickTop="1">
      <c r="C696" s="1917">
        <v>44168</v>
      </c>
      <c r="D696" s="1393" t="s">
        <v>7866</v>
      </c>
      <c r="E696" s="1393" t="s">
        <v>58</v>
      </c>
      <c r="F696" s="1393" t="s">
        <v>2684</v>
      </c>
      <c r="G696" s="1918" t="s">
        <v>8127</v>
      </c>
      <c r="H696" s="1393">
        <v>1</v>
      </c>
      <c r="I696" s="1919" t="s">
        <v>8011</v>
      </c>
      <c r="J696" s="1393"/>
      <c r="K696" s="1393" t="s">
        <v>7868</v>
      </c>
      <c r="L696" s="1393" t="s">
        <v>4256</v>
      </c>
      <c r="M696" s="1920">
        <v>124000</v>
      </c>
      <c r="N696" s="1393" t="s">
        <v>112</v>
      </c>
      <c r="O696" s="1393"/>
      <c r="P696" s="1393"/>
      <c r="Q696" s="1393"/>
      <c r="R696" s="1919"/>
      <c r="S696" s="1393"/>
      <c r="T696" s="1920"/>
      <c r="U696" s="1920"/>
      <c r="V696" s="2113"/>
      <c r="W696" s="2113"/>
      <c r="X696" s="2113"/>
      <c r="Y696" s="1920"/>
      <c r="Z696" s="1920"/>
      <c r="AA696" s="1393"/>
      <c r="AB696" s="1393"/>
      <c r="AC696" s="1393"/>
      <c r="AD696" s="1393"/>
      <c r="AE696" s="1393"/>
    </row>
    <row r="697" spans="3:31">
      <c r="C697" s="1890">
        <v>44168</v>
      </c>
      <c r="D697" s="1102" t="s">
        <v>7866</v>
      </c>
      <c r="E697" s="1102" t="s">
        <v>58</v>
      </c>
      <c r="F697" s="1102" t="s">
        <v>2684</v>
      </c>
      <c r="G697" s="1891" t="s">
        <v>8128</v>
      </c>
      <c r="H697" s="1102">
        <v>2</v>
      </c>
      <c r="I697" s="1901" t="s">
        <v>8012</v>
      </c>
      <c r="J697" s="1102"/>
      <c r="K697" s="1102" t="s">
        <v>7868</v>
      </c>
      <c r="L697" s="1102" t="s">
        <v>4255</v>
      </c>
      <c r="M697" s="1921">
        <v>132000</v>
      </c>
      <c r="N697" s="1102" t="s">
        <v>112</v>
      </c>
      <c r="O697" s="1102"/>
      <c r="P697" s="1102"/>
      <c r="Q697" s="1102"/>
      <c r="R697" s="1901"/>
      <c r="S697" s="1102"/>
      <c r="T697" s="1921"/>
      <c r="U697" s="1921"/>
      <c r="V697" s="2114"/>
      <c r="W697" s="2114"/>
      <c r="X697" s="2114"/>
      <c r="Y697" s="1921"/>
      <c r="Z697" s="1921"/>
      <c r="AA697" s="1102"/>
      <c r="AB697" s="1102"/>
      <c r="AC697" s="1102"/>
      <c r="AD697" s="1102"/>
      <c r="AE697" s="1102"/>
    </row>
    <row r="698" spans="3:31">
      <c r="C698" s="1890">
        <v>44168</v>
      </c>
      <c r="D698" s="1102" t="s">
        <v>7866</v>
      </c>
      <c r="E698" s="1102" t="s">
        <v>58</v>
      </c>
      <c r="F698" s="1102" t="s">
        <v>2684</v>
      </c>
      <c r="G698" s="1891" t="s">
        <v>8127</v>
      </c>
      <c r="H698" s="1102">
        <v>3</v>
      </c>
      <c r="I698" s="1901" t="s">
        <v>8013</v>
      </c>
      <c r="J698" s="1102"/>
      <c r="K698" s="1102" t="s">
        <v>7868</v>
      </c>
      <c r="L698" s="1102" t="s">
        <v>4254</v>
      </c>
      <c r="M698" s="1921">
        <v>157000</v>
      </c>
      <c r="N698" s="1102" t="s">
        <v>112</v>
      </c>
      <c r="O698" s="1102"/>
      <c r="P698" s="1102"/>
      <c r="Q698" s="1102"/>
      <c r="R698" s="1901"/>
      <c r="S698" s="1102"/>
      <c r="T698" s="1921"/>
      <c r="U698" s="1921"/>
      <c r="V698" s="2114"/>
      <c r="W698" s="2114"/>
      <c r="X698" s="2114"/>
      <c r="Y698" s="1921"/>
      <c r="Z698" s="1921"/>
      <c r="AA698" s="1102"/>
      <c r="AB698" s="1102"/>
      <c r="AC698" s="1102"/>
      <c r="AD698" s="1102"/>
      <c r="AE698" s="1102"/>
    </row>
    <row r="699" spans="3:31">
      <c r="C699" s="1890">
        <v>44168</v>
      </c>
      <c r="D699" s="1102" t="s">
        <v>7866</v>
      </c>
      <c r="E699" s="1102" t="s">
        <v>58</v>
      </c>
      <c r="F699" s="1102" t="s">
        <v>2684</v>
      </c>
      <c r="G699" s="1891" t="s">
        <v>8127</v>
      </c>
      <c r="H699" s="1102">
        <v>4</v>
      </c>
      <c r="I699" s="1901" t="s">
        <v>8014</v>
      </c>
      <c r="J699" s="1102"/>
      <c r="K699" s="1102" t="s">
        <v>7868</v>
      </c>
      <c r="L699" s="1102" t="s">
        <v>8017</v>
      </c>
      <c r="M699" s="1921">
        <v>82000</v>
      </c>
      <c r="N699" s="1102" t="s">
        <v>112</v>
      </c>
      <c r="O699" s="1102"/>
      <c r="P699" s="1102"/>
      <c r="Q699" s="1102"/>
      <c r="R699" s="1901"/>
      <c r="S699" s="1102"/>
      <c r="T699" s="1921"/>
      <c r="U699" s="1921"/>
      <c r="V699" s="2114"/>
      <c r="W699" s="2114"/>
      <c r="X699" s="2114"/>
      <c r="Y699" s="1921"/>
      <c r="Z699" s="1921"/>
      <c r="AA699" s="1102"/>
      <c r="AB699" s="1102"/>
      <c r="AC699" s="1102"/>
      <c r="AD699" s="1102"/>
      <c r="AE699" s="1102"/>
    </row>
    <row r="700" spans="3:31" ht="15.75" thickBot="1">
      <c r="C700" s="1922">
        <v>44168</v>
      </c>
      <c r="D700" s="1395" t="s">
        <v>7866</v>
      </c>
      <c r="E700" s="1395" t="s">
        <v>58</v>
      </c>
      <c r="F700" s="1395" t="s">
        <v>2684</v>
      </c>
      <c r="G700" s="1923" t="s">
        <v>8128</v>
      </c>
      <c r="H700" s="1395">
        <v>5</v>
      </c>
      <c r="I700" s="1924" t="s">
        <v>8015</v>
      </c>
      <c r="J700" s="1395"/>
      <c r="K700" s="1395" t="s">
        <v>7868</v>
      </c>
      <c r="L700" s="1395" t="s">
        <v>8016</v>
      </c>
      <c r="M700" s="1925">
        <v>74000</v>
      </c>
      <c r="N700" s="1395" t="s">
        <v>112</v>
      </c>
      <c r="O700" s="1395"/>
      <c r="P700" s="1395"/>
      <c r="Q700" s="1395"/>
      <c r="R700" s="1924"/>
      <c r="S700" s="1395"/>
      <c r="T700" s="1925"/>
      <c r="U700" s="1925"/>
      <c r="V700" s="2115"/>
      <c r="W700" s="2115"/>
      <c r="X700" s="2115"/>
      <c r="Y700" s="1925"/>
      <c r="Z700" s="1925"/>
      <c r="AA700" s="1395"/>
      <c r="AB700" s="1395"/>
      <c r="AC700" s="1395"/>
      <c r="AD700" s="1395"/>
      <c r="AE700" s="1395"/>
    </row>
    <row r="701" spans="3:31" ht="15.75" thickTop="1">
      <c r="C701" s="840">
        <v>44146</v>
      </c>
      <c r="D701" s="423" t="s">
        <v>7872</v>
      </c>
      <c r="E701" s="423" t="s">
        <v>14</v>
      </c>
      <c r="F701" s="423" t="s">
        <v>13</v>
      </c>
      <c r="G701" s="837" t="s">
        <v>7873</v>
      </c>
      <c r="H701" s="423"/>
      <c r="I701" s="1422"/>
      <c r="J701" s="576"/>
      <c r="K701" s="423" t="s">
        <v>959</v>
      </c>
      <c r="L701" s="423"/>
      <c r="M701" s="841">
        <v>813800</v>
      </c>
      <c r="N701" s="423" t="s">
        <v>112</v>
      </c>
      <c r="O701" s="840">
        <v>44151</v>
      </c>
      <c r="P701" s="840">
        <v>44167</v>
      </c>
      <c r="Q701" s="840">
        <v>44186</v>
      </c>
      <c r="R701" s="1422" t="s">
        <v>8089</v>
      </c>
      <c r="S701" s="423"/>
      <c r="T701" s="841">
        <v>796847.4</v>
      </c>
      <c r="U701" s="841">
        <v>964185.35</v>
      </c>
      <c r="V701" s="1489"/>
      <c r="W701" s="1489"/>
      <c r="X701" s="1489"/>
      <c r="Y701" s="1392">
        <v>44186</v>
      </c>
      <c r="Z701" s="841" t="s">
        <v>8094</v>
      </c>
      <c r="AA701" s="423"/>
      <c r="AB701" s="423"/>
      <c r="AC701" s="423"/>
      <c r="AD701" s="423"/>
      <c r="AE701" s="423"/>
    </row>
    <row r="702" spans="3:31" ht="15.75" thickBot="1">
      <c r="C702" s="416">
        <v>44146</v>
      </c>
      <c r="D702" s="411" t="s">
        <v>7939</v>
      </c>
      <c r="E702" s="411" t="s">
        <v>6561</v>
      </c>
      <c r="F702" s="411" t="s">
        <v>4864</v>
      </c>
      <c r="G702" s="2536" t="s">
        <v>7874</v>
      </c>
      <c r="H702" s="411"/>
      <c r="I702" s="630"/>
      <c r="J702" s="1437"/>
      <c r="K702" s="411" t="s">
        <v>2278</v>
      </c>
      <c r="L702" s="411"/>
      <c r="M702" s="417">
        <v>400000</v>
      </c>
      <c r="N702" s="411" t="s">
        <v>112</v>
      </c>
      <c r="O702" s="416">
        <v>44151</v>
      </c>
      <c r="P702" s="416">
        <v>44162</v>
      </c>
      <c r="Q702" s="416">
        <v>44165</v>
      </c>
      <c r="R702" s="630" t="s">
        <v>5904</v>
      </c>
      <c r="S702" s="411"/>
      <c r="T702" s="417">
        <f>100*5145</f>
        <v>514500</v>
      </c>
      <c r="U702" s="417">
        <f>T702*1.21</f>
        <v>622545</v>
      </c>
      <c r="V702" s="1490"/>
      <c r="W702" s="1490"/>
      <c r="X702" s="1490"/>
      <c r="Y702" s="513">
        <v>44165</v>
      </c>
      <c r="Z702" s="417" t="s">
        <v>7978</v>
      </c>
      <c r="AA702" s="416">
        <v>44186</v>
      </c>
      <c r="AB702" s="416">
        <v>44187</v>
      </c>
      <c r="AC702" s="416">
        <v>47211</v>
      </c>
      <c r="AD702" s="1548">
        <v>44872</v>
      </c>
      <c r="AE702" s="967"/>
    </row>
    <row r="703" spans="3:31" ht="15.75" thickTop="1">
      <c r="C703" s="587">
        <v>44147</v>
      </c>
      <c r="D703" s="583" t="s">
        <v>7875</v>
      </c>
      <c r="E703" s="583" t="s">
        <v>69</v>
      </c>
      <c r="F703" s="583" t="s">
        <v>70</v>
      </c>
      <c r="G703" s="584" t="s">
        <v>7876</v>
      </c>
      <c r="H703" s="583">
        <v>1</v>
      </c>
      <c r="I703" s="1427" t="s">
        <v>7877</v>
      </c>
      <c r="J703" s="2045"/>
      <c r="K703" s="583" t="s">
        <v>93</v>
      </c>
      <c r="L703" s="583"/>
      <c r="M703" s="588">
        <v>1887318</v>
      </c>
      <c r="N703" s="583" t="s">
        <v>251</v>
      </c>
      <c r="O703" s="587">
        <v>44193</v>
      </c>
      <c r="P703" s="587">
        <v>44225</v>
      </c>
      <c r="Q703" s="583"/>
      <c r="R703" s="1427"/>
      <c r="S703" s="583"/>
      <c r="T703" s="588"/>
      <c r="U703" s="588"/>
      <c r="V703" s="2048"/>
      <c r="W703" s="2048"/>
      <c r="X703" s="2048"/>
      <c r="Y703" s="588"/>
      <c r="Z703" s="588"/>
      <c r="AA703" s="583"/>
      <c r="AB703" s="583"/>
      <c r="AC703" s="583"/>
      <c r="AD703" s="583"/>
      <c r="AE703" s="583"/>
    </row>
    <row r="704" spans="3:31">
      <c r="C704" s="2084">
        <v>44147</v>
      </c>
      <c r="D704" s="2085" t="s">
        <v>7875</v>
      </c>
      <c r="E704" s="2085" t="s">
        <v>69</v>
      </c>
      <c r="F704" s="2085" t="s">
        <v>70</v>
      </c>
      <c r="G704" s="2086" t="s">
        <v>7876</v>
      </c>
      <c r="H704" s="2085">
        <v>2</v>
      </c>
      <c r="I704" s="2087" t="s">
        <v>7878</v>
      </c>
      <c r="J704" s="2079"/>
      <c r="K704" s="2085" t="s">
        <v>93</v>
      </c>
      <c r="L704" s="2085"/>
      <c r="M704" s="2092">
        <v>3638257</v>
      </c>
      <c r="N704" s="2085" t="s">
        <v>251</v>
      </c>
      <c r="O704" s="2084">
        <v>44193</v>
      </c>
      <c r="P704" s="2084">
        <v>44225</v>
      </c>
      <c r="Q704" s="2085"/>
      <c r="R704" s="2087"/>
      <c r="S704" s="2085"/>
      <c r="T704" s="2092"/>
      <c r="U704" s="2092"/>
      <c r="V704" s="2080"/>
      <c r="W704" s="2080"/>
      <c r="X704" s="2080"/>
      <c r="Y704" s="2092"/>
      <c r="Z704" s="2092"/>
      <c r="AA704" s="2085"/>
      <c r="AB704" s="2085"/>
      <c r="AC704" s="2085"/>
      <c r="AD704" s="2085"/>
      <c r="AE704" s="2085"/>
    </row>
    <row r="705" spans="3:33">
      <c r="C705" s="2084">
        <v>44147</v>
      </c>
      <c r="D705" s="2085" t="s">
        <v>7875</v>
      </c>
      <c r="E705" s="2085" t="s">
        <v>69</v>
      </c>
      <c r="F705" s="2085" t="s">
        <v>70</v>
      </c>
      <c r="G705" s="2086" t="s">
        <v>7876</v>
      </c>
      <c r="H705" s="2085">
        <v>3</v>
      </c>
      <c r="I705" s="2087" t="s">
        <v>7879</v>
      </c>
      <c r="J705" s="2079"/>
      <c r="K705" s="2085" t="s">
        <v>93</v>
      </c>
      <c r="L705" s="2085"/>
      <c r="M705" s="2092">
        <v>3777877</v>
      </c>
      <c r="N705" s="2085" t="s">
        <v>251</v>
      </c>
      <c r="O705" s="2084">
        <v>44193</v>
      </c>
      <c r="P705" s="2084">
        <v>44225</v>
      </c>
      <c r="Q705" s="2085"/>
      <c r="R705" s="2087"/>
      <c r="S705" s="2085"/>
      <c r="T705" s="2092"/>
      <c r="U705" s="2092"/>
      <c r="V705" s="2080"/>
      <c r="W705" s="2080"/>
      <c r="X705" s="2080"/>
      <c r="Y705" s="2092"/>
      <c r="Z705" s="2092"/>
      <c r="AA705" s="2085"/>
      <c r="AB705" s="2085"/>
      <c r="AC705" s="2085"/>
      <c r="AD705" s="2085"/>
      <c r="AE705" s="2085"/>
    </row>
    <row r="706" spans="3:33">
      <c r="C706" s="2084">
        <v>44147</v>
      </c>
      <c r="D706" s="2085" t="s">
        <v>7875</v>
      </c>
      <c r="E706" s="2085" t="s">
        <v>69</v>
      </c>
      <c r="F706" s="2085" t="s">
        <v>70</v>
      </c>
      <c r="G706" s="2086" t="s">
        <v>7876</v>
      </c>
      <c r="H706" s="2085">
        <v>4</v>
      </c>
      <c r="I706" s="2087" t="s">
        <v>7880</v>
      </c>
      <c r="J706" s="2079"/>
      <c r="K706" s="2085" t="s">
        <v>93</v>
      </c>
      <c r="L706" s="2085"/>
      <c r="M706" s="2092">
        <v>1920000</v>
      </c>
      <c r="N706" s="2085" t="s">
        <v>251</v>
      </c>
      <c r="O706" s="2084">
        <v>44193</v>
      </c>
      <c r="P706" s="2084">
        <v>44225</v>
      </c>
      <c r="Q706" s="2085"/>
      <c r="R706" s="2087"/>
      <c r="S706" s="2085"/>
      <c r="T706" s="2092"/>
      <c r="U706" s="2092"/>
      <c r="V706" s="2080"/>
      <c r="W706" s="2080"/>
      <c r="X706" s="2080"/>
      <c r="Y706" s="2092"/>
      <c r="Z706" s="2092"/>
      <c r="AA706" s="2085"/>
      <c r="AB706" s="2085"/>
      <c r="AC706" s="2085"/>
      <c r="AD706" s="2085"/>
      <c r="AE706" s="2085"/>
    </row>
    <row r="707" spans="3:33">
      <c r="C707" s="2084">
        <v>44147</v>
      </c>
      <c r="D707" s="2085" t="s">
        <v>7875</v>
      </c>
      <c r="E707" s="2085" t="s">
        <v>69</v>
      </c>
      <c r="F707" s="2085" t="s">
        <v>70</v>
      </c>
      <c r="G707" s="2086" t="s">
        <v>7876</v>
      </c>
      <c r="H707" s="2085">
        <v>5</v>
      </c>
      <c r="I707" s="2087" t="s">
        <v>7881</v>
      </c>
      <c r="J707" s="2079"/>
      <c r="K707" s="2085" t="s">
        <v>93</v>
      </c>
      <c r="L707" s="2085"/>
      <c r="M707" s="2092">
        <v>1622291</v>
      </c>
      <c r="N707" s="2085" t="s">
        <v>251</v>
      </c>
      <c r="O707" s="2084">
        <v>44193</v>
      </c>
      <c r="P707" s="2084">
        <v>44225</v>
      </c>
      <c r="Q707" s="2085"/>
      <c r="R707" s="2087"/>
      <c r="S707" s="2085"/>
      <c r="T707" s="2092"/>
      <c r="U707" s="2092"/>
      <c r="V707" s="2080"/>
      <c r="W707" s="2080"/>
      <c r="X707" s="2080"/>
      <c r="Y707" s="2092"/>
      <c r="Z707" s="2092"/>
      <c r="AA707" s="2085"/>
      <c r="AB707" s="2085"/>
      <c r="AC707" s="2085"/>
      <c r="AD707" s="2085"/>
      <c r="AE707" s="2085"/>
    </row>
    <row r="708" spans="3:33" ht="15.75" thickBot="1">
      <c r="C708" s="2088">
        <v>44147</v>
      </c>
      <c r="D708" s="2089" t="s">
        <v>7875</v>
      </c>
      <c r="E708" s="2089" t="s">
        <v>69</v>
      </c>
      <c r="F708" s="2089" t="s">
        <v>70</v>
      </c>
      <c r="G708" s="2090" t="s">
        <v>7876</v>
      </c>
      <c r="H708" s="2089">
        <v>6</v>
      </c>
      <c r="I708" s="2091" t="s">
        <v>7882</v>
      </c>
      <c r="J708" s="2081"/>
      <c r="K708" s="2089" t="s">
        <v>93</v>
      </c>
      <c r="L708" s="2089"/>
      <c r="M708" s="2093">
        <v>2338034</v>
      </c>
      <c r="N708" s="2089" t="s">
        <v>251</v>
      </c>
      <c r="O708" s="2088">
        <v>44193</v>
      </c>
      <c r="P708" s="2088">
        <v>44225</v>
      </c>
      <c r="Q708" s="2089"/>
      <c r="R708" s="2091"/>
      <c r="S708" s="2089"/>
      <c r="T708" s="2093"/>
      <c r="U708" s="2093"/>
      <c r="V708" s="2082"/>
      <c r="W708" s="2082"/>
      <c r="X708" s="2082"/>
      <c r="Y708" s="2093"/>
      <c r="Z708" s="2093"/>
      <c r="AA708" s="2089"/>
      <c r="AB708" s="2089"/>
      <c r="AC708" s="2089"/>
      <c r="AD708" s="2089"/>
      <c r="AE708" s="2089"/>
    </row>
    <row r="709" spans="3:33" ht="15.75" thickTop="1">
      <c r="C709" s="580">
        <v>44147</v>
      </c>
      <c r="D709" s="576" t="s">
        <v>7883</v>
      </c>
      <c r="E709" s="576" t="s">
        <v>69</v>
      </c>
      <c r="F709" s="576" t="s">
        <v>70</v>
      </c>
      <c r="G709" s="577" t="s">
        <v>7884</v>
      </c>
      <c r="H709" s="576">
        <v>1</v>
      </c>
      <c r="I709" s="1828" t="s">
        <v>7885</v>
      </c>
      <c r="J709" s="576"/>
      <c r="K709" s="576" t="s">
        <v>814</v>
      </c>
      <c r="L709" s="576"/>
      <c r="M709" s="581">
        <v>2465378</v>
      </c>
      <c r="N709" s="576" t="s">
        <v>251</v>
      </c>
      <c r="O709" s="580">
        <v>44169</v>
      </c>
      <c r="P709" s="580">
        <v>44202</v>
      </c>
      <c r="Q709" s="576"/>
      <c r="R709" s="1828"/>
      <c r="S709" s="576"/>
      <c r="T709" s="581"/>
      <c r="U709" s="581"/>
      <c r="V709" s="1489"/>
      <c r="W709" s="1489"/>
      <c r="X709" s="1489"/>
      <c r="Y709" s="581"/>
      <c r="Z709" s="581"/>
      <c r="AA709" s="576"/>
      <c r="AB709" s="576"/>
      <c r="AC709" s="576"/>
      <c r="AD709" s="576"/>
      <c r="AE709" s="576"/>
    </row>
    <row r="710" spans="3:33">
      <c r="C710" s="594">
        <v>44147</v>
      </c>
      <c r="D710" s="590" t="s">
        <v>7883</v>
      </c>
      <c r="E710" s="590" t="s">
        <v>69</v>
      </c>
      <c r="F710" s="590" t="s">
        <v>70</v>
      </c>
      <c r="G710" s="591" t="s">
        <v>7884</v>
      </c>
      <c r="H710" s="590">
        <v>2</v>
      </c>
      <c r="I710" s="1428" t="s">
        <v>7886</v>
      </c>
      <c r="J710" s="590"/>
      <c r="K710" s="590" t="s">
        <v>814</v>
      </c>
      <c r="L710" s="590"/>
      <c r="M710" s="595">
        <v>7121640</v>
      </c>
      <c r="N710" s="590" t="s">
        <v>251</v>
      </c>
      <c r="O710" s="594">
        <v>44169</v>
      </c>
      <c r="P710" s="594">
        <v>44202</v>
      </c>
      <c r="Q710" s="590"/>
      <c r="R710" s="1428"/>
      <c r="S710" s="590"/>
      <c r="T710" s="595"/>
      <c r="U710" s="595"/>
      <c r="V710" s="1484"/>
      <c r="W710" s="1484"/>
      <c r="X710" s="1484"/>
      <c r="Y710" s="595"/>
      <c r="Z710" s="595"/>
      <c r="AA710" s="590"/>
      <c r="AB710" s="590"/>
      <c r="AC710" s="590"/>
      <c r="AD710" s="590"/>
      <c r="AE710" s="590"/>
    </row>
    <row r="711" spans="3:33">
      <c r="C711" s="594">
        <v>44147</v>
      </c>
      <c r="D711" s="590" t="s">
        <v>7883</v>
      </c>
      <c r="E711" s="590" t="s">
        <v>69</v>
      </c>
      <c r="F711" s="590" t="s">
        <v>70</v>
      </c>
      <c r="G711" s="591" t="s">
        <v>7884</v>
      </c>
      <c r="H711" s="590">
        <v>3</v>
      </c>
      <c r="I711" s="1428" t="s">
        <v>7887</v>
      </c>
      <c r="J711" s="590"/>
      <c r="K711" s="590" t="s">
        <v>814</v>
      </c>
      <c r="L711" s="590"/>
      <c r="M711" s="595">
        <v>2157101</v>
      </c>
      <c r="N711" s="590" t="s">
        <v>251</v>
      </c>
      <c r="O711" s="594">
        <v>44169</v>
      </c>
      <c r="P711" s="594">
        <v>44202</v>
      </c>
      <c r="Q711" s="590"/>
      <c r="R711" s="1428"/>
      <c r="S711" s="590"/>
      <c r="T711" s="595"/>
      <c r="U711" s="595"/>
      <c r="V711" s="1484"/>
      <c r="W711" s="1484"/>
      <c r="X711" s="1484"/>
      <c r="Y711" s="595"/>
      <c r="Z711" s="595"/>
      <c r="AA711" s="590"/>
      <c r="AB711" s="590"/>
      <c r="AC711" s="590"/>
      <c r="AD711" s="590"/>
      <c r="AE711" s="590"/>
    </row>
    <row r="712" spans="3:33">
      <c r="C712" s="510">
        <v>44147</v>
      </c>
      <c r="D712" s="506" t="s">
        <v>7883</v>
      </c>
      <c r="E712" s="506" t="s">
        <v>69</v>
      </c>
      <c r="F712" s="506" t="s">
        <v>70</v>
      </c>
      <c r="G712" s="507" t="s">
        <v>7884</v>
      </c>
      <c r="H712" s="506">
        <v>4</v>
      </c>
      <c r="I712" s="548" t="s">
        <v>7888</v>
      </c>
      <c r="J712" s="590"/>
      <c r="K712" s="506" t="s">
        <v>814</v>
      </c>
      <c r="L712" s="506"/>
      <c r="M712" s="511">
        <v>4292816</v>
      </c>
      <c r="N712" s="506" t="s">
        <v>251</v>
      </c>
      <c r="O712" s="510">
        <v>44169</v>
      </c>
      <c r="P712" s="510">
        <v>44202</v>
      </c>
      <c r="Q712" s="506"/>
      <c r="R712" s="736" t="s">
        <v>8092</v>
      </c>
      <c r="S712" s="506"/>
      <c r="T712" s="511"/>
      <c r="U712" s="511"/>
      <c r="V712" s="1484"/>
      <c r="W712" s="1484"/>
      <c r="X712" s="1484"/>
      <c r="Y712" s="511"/>
      <c r="Z712" s="511"/>
      <c r="AA712" s="506"/>
      <c r="AB712" s="510">
        <v>44210</v>
      </c>
      <c r="AC712" s="506" t="s">
        <v>8098</v>
      </c>
      <c r="AD712" s="506"/>
      <c r="AE712" s="506"/>
    </row>
    <row r="713" spans="3:33">
      <c r="C713" s="594">
        <v>44147</v>
      </c>
      <c r="D713" s="590" t="s">
        <v>7883</v>
      </c>
      <c r="E713" s="590" t="s">
        <v>69</v>
      </c>
      <c r="F713" s="590" t="s">
        <v>70</v>
      </c>
      <c r="G713" s="591" t="s">
        <v>7884</v>
      </c>
      <c r="H713" s="590">
        <v>5</v>
      </c>
      <c r="I713" s="1428" t="s">
        <v>7889</v>
      </c>
      <c r="J713" s="590"/>
      <c r="K713" s="590" t="s">
        <v>814</v>
      </c>
      <c r="L713" s="590"/>
      <c r="M713" s="595">
        <v>1789080</v>
      </c>
      <c r="N713" s="590" t="s">
        <v>251</v>
      </c>
      <c r="O713" s="594">
        <v>44169</v>
      </c>
      <c r="P713" s="594">
        <v>44202</v>
      </c>
      <c r="Q713" s="590"/>
      <c r="R713" s="1428"/>
      <c r="S713" s="590"/>
      <c r="T713" s="595"/>
      <c r="U713" s="595"/>
      <c r="V713" s="1484"/>
      <c r="W713" s="1484"/>
      <c r="X713" s="1484"/>
      <c r="Y713" s="595"/>
      <c r="Z713" s="595"/>
      <c r="AA713" s="590"/>
      <c r="AB713" s="590"/>
      <c r="AC713" s="590"/>
      <c r="AD713" s="590"/>
      <c r="AE713" s="590"/>
    </row>
    <row r="714" spans="3:33">
      <c r="C714" s="594">
        <v>44147</v>
      </c>
      <c r="D714" s="590" t="s">
        <v>7883</v>
      </c>
      <c r="E714" s="590" t="s">
        <v>69</v>
      </c>
      <c r="F714" s="590" t="s">
        <v>70</v>
      </c>
      <c r="G714" s="591" t="s">
        <v>7884</v>
      </c>
      <c r="H714" s="590">
        <v>6</v>
      </c>
      <c r="I714" s="1428" t="s">
        <v>7890</v>
      </c>
      <c r="J714" s="590"/>
      <c r="K714" s="590" t="s">
        <v>814</v>
      </c>
      <c r="L714" s="590"/>
      <c r="M714" s="595">
        <v>1317252</v>
      </c>
      <c r="N714" s="590" t="s">
        <v>251</v>
      </c>
      <c r="O714" s="594">
        <v>44169</v>
      </c>
      <c r="P714" s="594">
        <v>44202</v>
      </c>
      <c r="Q714" s="590"/>
      <c r="R714" s="1428"/>
      <c r="S714" s="590"/>
      <c r="T714" s="595"/>
      <c r="U714" s="595"/>
      <c r="V714" s="1484"/>
      <c r="W714" s="1484"/>
      <c r="X714" s="1484"/>
      <c r="Y714" s="595"/>
      <c r="Z714" s="595"/>
      <c r="AA714" s="590"/>
      <c r="AB714" s="590"/>
      <c r="AC714" s="590"/>
      <c r="AD714" s="590"/>
      <c r="AE714" s="590"/>
    </row>
    <row r="715" spans="3:33">
      <c r="C715" s="594">
        <v>44147</v>
      </c>
      <c r="D715" s="590" t="s">
        <v>7883</v>
      </c>
      <c r="E715" s="590" t="s">
        <v>69</v>
      </c>
      <c r="F715" s="590" t="s">
        <v>70</v>
      </c>
      <c r="G715" s="591" t="s">
        <v>7884</v>
      </c>
      <c r="H715" s="590">
        <v>7</v>
      </c>
      <c r="I715" s="1428" t="s">
        <v>7891</v>
      </c>
      <c r="J715" s="590"/>
      <c r="K715" s="590" t="s">
        <v>814</v>
      </c>
      <c r="L715" s="590"/>
      <c r="M715" s="595">
        <v>5475600</v>
      </c>
      <c r="N715" s="590" t="s">
        <v>251</v>
      </c>
      <c r="O715" s="594">
        <v>44169</v>
      </c>
      <c r="P715" s="594">
        <v>44202</v>
      </c>
      <c r="Q715" s="590"/>
      <c r="R715" s="1428"/>
      <c r="S715" s="590"/>
      <c r="T715" s="595"/>
      <c r="U715" s="595"/>
      <c r="V715" s="1484"/>
      <c r="W715" s="1484"/>
      <c r="X715" s="1484"/>
      <c r="Y715" s="595"/>
      <c r="Z715" s="595"/>
      <c r="AA715" s="590"/>
      <c r="AB715" s="590"/>
      <c r="AC715" s="590"/>
      <c r="AD715" s="590"/>
      <c r="AE715" s="590"/>
    </row>
    <row r="716" spans="3:33" ht="15.75" thickBot="1">
      <c r="C716" s="643">
        <v>44147</v>
      </c>
      <c r="D716" s="639" t="s">
        <v>7883</v>
      </c>
      <c r="E716" s="639" t="s">
        <v>69</v>
      </c>
      <c r="F716" s="639" t="s">
        <v>70</v>
      </c>
      <c r="G716" s="640" t="s">
        <v>7884</v>
      </c>
      <c r="H716" s="639">
        <v>8</v>
      </c>
      <c r="I716" s="1533" t="s">
        <v>7892</v>
      </c>
      <c r="J716" s="1437"/>
      <c r="K716" s="639" t="s">
        <v>814</v>
      </c>
      <c r="L716" s="639"/>
      <c r="M716" s="645">
        <v>927765</v>
      </c>
      <c r="N716" s="639" t="s">
        <v>251</v>
      </c>
      <c r="O716" s="643">
        <v>44169</v>
      </c>
      <c r="P716" s="643">
        <v>44202</v>
      </c>
      <c r="Q716" s="639"/>
      <c r="R716" s="644" t="s">
        <v>8092</v>
      </c>
      <c r="S716" s="639"/>
      <c r="T716" s="645"/>
      <c r="U716" s="645"/>
      <c r="V716" s="1490"/>
      <c r="W716" s="1490"/>
      <c r="X716" s="1490"/>
      <c r="Y716" s="645"/>
      <c r="Z716" s="645"/>
      <c r="AA716" s="639"/>
      <c r="AB716" s="643">
        <v>44210</v>
      </c>
      <c r="AC716" s="639" t="s">
        <v>8091</v>
      </c>
      <c r="AD716" s="639"/>
      <c r="AE716" s="639"/>
    </row>
    <row r="717" spans="3:33" ht="15.75" thickTop="1">
      <c r="C717" s="587">
        <v>44147</v>
      </c>
      <c r="D717" s="583" t="s">
        <v>7893</v>
      </c>
      <c r="E717" s="583" t="s">
        <v>69</v>
      </c>
      <c r="F717" s="583" t="s">
        <v>70</v>
      </c>
      <c r="G717" s="584" t="s">
        <v>7894</v>
      </c>
      <c r="H717" s="583">
        <v>1</v>
      </c>
      <c r="I717" s="1427" t="s">
        <v>7895</v>
      </c>
      <c r="J717" s="583"/>
      <c r="K717" s="583" t="s">
        <v>3438</v>
      </c>
      <c r="L717" s="583"/>
      <c r="M717" s="588">
        <v>1551621</v>
      </c>
      <c r="N717" s="583" t="s">
        <v>251</v>
      </c>
      <c r="O717" s="587">
        <v>44169</v>
      </c>
      <c r="P717" s="587">
        <v>44202</v>
      </c>
      <c r="Q717" s="583"/>
      <c r="R717" s="1427"/>
      <c r="S717" s="583"/>
      <c r="T717" s="588"/>
      <c r="U717" s="588"/>
      <c r="V717" s="1483"/>
      <c r="W717" s="1483"/>
      <c r="X717" s="1483"/>
      <c r="Y717" s="588"/>
      <c r="Z717" s="588"/>
      <c r="AA717" s="583"/>
      <c r="AB717" s="583"/>
      <c r="AC717" s="583"/>
      <c r="AD717" s="583"/>
      <c r="AE717" s="583"/>
      <c r="AF717" s="2040"/>
      <c r="AG717" s="2040"/>
    </row>
    <row r="718" spans="3:33">
      <c r="C718" s="594">
        <v>44147</v>
      </c>
      <c r="D718" s="590" t="s">
        <v>7893</v>
      </c>
      <c r="E718" s="590" t="s">
        <v>69</v>
      </c>
      <c r="F718" s="590" t="s">
        <v>70</v>
      </c>
      <c r="G718" s="591" t="s">
        <v>7894</v>
      </c>
      <c r="H718" s="590">
        <v>2</v>
      </c>
      <c r="I718" s="1428" t="s">
        <v>7896</v>
      </c>
      <c r="J718" s="590"/>
      <c r="K718" s="590" t="s">
        <v>3438</v>
      </c>
      <c r="L718" s="590"/>
      <c r="M718" s="595">
        <v>419556</v>
      </c>
      <c r="N718" s="590" t="s">
        <v>251</v>
      </c>
      <c r="O718" s="594">
        <v>44169</v>
      </c>
      <c r="P718" s="594">
        <v>44202</v>
      </c>
      <c r="Q718" s="590"/>
      <c r="R718" s="1428"/>
      <c r="S718" s="590"/>
      <c r="T718" s="595"/>
      <c r="U718" s="595"/>
      <c r="V718" s="1484"/>
      <c r="W718" s="1484"/>
      <c r="X718" s="1484"/>
      <c r="Y718" s="595"/>
      <c r="Z718" s="595"/>
      <c r="AA718" s="590"/>
      <c r="AB718" s="590"/>
      <c r="AC718" s="590"/>
      <c r="AD718" s="590"/>
      <c r="AE718" s="590"/>
      <c r="AF718" s="1351"/>
      <c r="AG718" s="1351"/>
    </row>
    <row r="719" spans="3:33">
      <c r="C719" s="594">
        <v>44147</v>
      </c>
      <c r="D719" s="590" t="s">
        <v>7893</v>
      </c>
      <c r="E719" s="590" t="s">
        <v>69</v>
      </c>
      <c r="F719" s="590" t="s">
        <v>70</v>
      </c>
      <c r="G719" s="591" t="s">
        <v>7894</v>
      </c>
      <c r="H719" s="590">
        <v>3</v>
      </c>
      <c r="I719" s="1428" t="s">
        <v>7897</v>
      </c>
      <c r="J719" s="590"/>
      <c r="K719" s="590" t="s">
        <v>3438</v>
      </c>
      <c r="L719" s="590"/>
      <c r="M719" s="595">
        <v>1811917</v>
      </c>
      <c r="N719" s="590" t="s">
        <v>251</v>
      </c>
      <c r="O719" s="594">
        <v>44169</v>
      </c>
      <c r="P719" s="594">
        <v>44202</v>
      </c>
      <c r="Q719" s="590"/>
      <c r="R719" s="1428"/>
      <c r="S719" s="590"/>
      <c r="T719" s="595"/>
      <c r="U719" s="595"/>
      <c r="V719" s="1484"/>
      <c r="W719" s="1484"/>
      <c r="X719" s="1484"/>
      <c r="Y719" s="595"/>
      <c r="Z719" s="595"/>
      <c r="AA719" s="590"/>
      <c r="AB719" s="590"/>
      <c r="AC719" s="590"/>
      <c r="AD719" s="590"/>
      <c r="AE719" s="590"/>
      <c r="AF719" s="1351"/>
      <c r="AG719" s="1351"/>
    </row>
    <row r="720" spans="3:33">
      <c r="C720" s="594">
        <v>44147</v>
      </c>
      <c r="D720" s="590" t="s">
        <v>7893</v>
      </c>
      <c r="E720" s="590" t="s">
        <v>69</v>
      </c>
      <c r="F720" s="590" t="s">
        <v>70</v>
      </c>
      <c r="G720" s="591" t="s">
        <v>7894</v>
      </c>
      <c r="H720" s="590">
        <v>4</v>
      </c>
      <c r="I720" s="1428" t="s">
        <v>7898</v>
      </c>
      <c r="J720" s="590"/>
      <c r="K720" s="590" t="s">
        <v>3438</v>
      </c>
      <c r="L720" s="590"/>
      <c r="M720" s="595">
        <v>7429475</v>
      </c>
      <c r="N720" s="590" t="s">
        <v>251</v>
      </c>
      <c r="O720" s="594">
        <v>44169</v>
      </c>
      <c r="P720" s="594">
        <v>44202</v>
      </c>
      <c r="Q720" s="590"/>
      <c r="R720" s="1428"/>
      <c r="S720" s="590"/>
      <c r="T720" s="595"/>
      <c r="U720" s="595"/>
      <c r="V720" s="1484"/>
      <c r="W720" s="1484"/>
      <c r="X720" s="1484"/>
      <c r="Y720" s="595"/>
      <c r="Z720" s="595"/>
      <c r="AA720" s="590"/>
      <c r="AB720" s="590"/>
      <c r="AC720" s="590"/>
      <c r="AD720" s="590"/>
      <c r="AE720" s="590"/>
      <c r="AF720" s="1351"/>
      <c r="AG720" s="1351"/>
    </row>
    <row r="721" spans="3:33">
      <c r="C721" s="594">
        <v>44147</v>
      </c>
      <c r="D721" s="590" t="s">
        <v>7893</v>
      </c>
      <c r="E721" s="590" t="s">
        <v>69</v>
      </c>
      <c r="F721" s="590" t="s">
        <v>70</v>
      </c>
      <c r="G721" s="591" t="s">
        <v>7894</v>
      </c>
      <c r="H721" s="590">
        <v>5</v>
      </c>
      <c r="I721" s="1428" t="s">
        <v>7899</v>
      </c>
      <c r="J721" s="590"/>
      <c r="K721" s="590" t="s">
        <v>3438</v>
      </c>
      <c r="L721" s="590"/>
      <c r="M721" s="595">
        <v>4344271</v>
      </c>
      <c r="N721" s="590" t="s">
        <v>251</v>
      </c>
      <c r="O721" s="594">
        <v>44169</v>
      </c>
      <c r="P721" s="594">
        <v>44202</v>
      </c>
      <c r="Q721" s="590"/>
      <c r="R721" s="1428"/>
      <c r="S721" s="590"/>
      <c r="T721" s="595"/>
      <c r="U721" s="595"/>
      <c r="V721" s="1484"/>
      <c r="W721" s="1484"/>
      <c r="X721" s="1484"/>
      <c r="Y721" s="595"/>
      <c r="Z721" s="595"/>
      <c r="AA721" s="590"/>
      <c r="AB721" s="590"/>
      <c r="AC721" s="590"/>
      <c r="AD721" s="590"/>
      <c r="AE721" s="590"/>
      <c r="AF721" s="1351"/>
      <c r="AG721" s="1351"/>
    </row>
    <row r="722" spans="3:33">
      <c r="C722" s="594">
        <v>44147</v>
      </c>
      <c r="D722" s="590" t="s">
        <v>7893</v>
      </c>
      <c r="E722" s="590" t="s">
        <v>69</v>
      </c>
      <c r="F722" s="590" t="s">
        <v>70</v>
      </c>
      <c r="G722" s="591" t="s">
        <v>7894</v>
      </c>
      <c r="H722" s="590">
        <v>6</v>
      </c>
      <c r="I722" s="1428" t="s">
        <v>7900</v>
      </c>
      <c r="J722" s="590"/>
      <c r="K722" s="590" t="s">
        <v>3438</v>
      </c>
      <c r="L722" s="590"/>
      <c r="M722" s="595">
        <v>2837161</v>
      </c>
      <c r="N722" s="590" t="s">
        <v>251</v>
      </c>
      <c r="O722" s="594">
        <v>44169</v>
      </c>
      <c r="P722" s="594">
        <v>44202</v>
      </c>
      <c r="Q722" s="590"/>
      <c r="R722" s="1428"/>
      <c r="S722" s="590"/>
      <c r="T722" s="595"/>
      <c r="U722" s="595"/>
      <c r="V722" s="1484"/>
      <c r="W722" s="1484"/>
      <c r="X722" s="1484"/>
      <c r="Y722" s="595"/>
      <c r="Z722" s="595"/>
      <c r="AA722" s="590"/>
      <c r="AB722" s="590"/>
      <c r="AC722" s="590"/>
      <c r="AD722" s="590"/>
      <c r="AE722" s="590"/>
      <c r="AF722" s="1351"/>
      <c r="AG722" s="1351"/>
    </row>
    <row r="723" spans="3:33" ht="15.75" thickBot="1">
      <c r="C723" s="1370">
        <v>44147</v>
      </c>
      <c r="D723" s="1356" t="s">
        <v>7893</v>
      </c>
      <c r="E723" s="1356" t="s">
        <v>69</v>
      </c>
      <c r="F723" s="1356" t="s">
        <v>70</v>
      </c>
      <c r="G723" s="1368" t="s">
        <v>7894</v>
      </c>
      <c r="H723" s="1356">
        <v>7</v>
      </c>
      <c r="I723" s="1429" t="s">
        <v>7901</v>
      </c>
      <c r="J723" s="1356"/>
      <c r="K723" s="1356" t="s">
        <v>3438</v>
      </c>
      <c r="L723" s="1356"/>
      <c r="M723" s="1369">
        <v>2236892</v>
      </c>
      <c r="N723" s="1356" t="s">
        <v>251</v>
      </c>
      <c r="O723" s="1370">
        <v>44169</v>
      </c>
      <c r="P723" s="1370">
        <v>44202</v>
      </c>
      <c r="Q723" s="1356"/>
      <c r="R723" s="1429"/>
      <c r="S723" s="1356"/>
      <c r="T723" s="1369"/>
      <c r="U723" s="1369"/>
      <c r="V723" s="1485"/>
      <c r="W723" s="1485"/>
      <c r="X723" s="1485"/>
      <c r="Y723" s="1369"/>
      <c r="Z723" s="1369"/>
      <c r="AA723" s="1356"/>
      <c r="AB723" s="1356"/>
      <c r="AC723" s="1356"/>
      <c r="AD723" s="1356"/>
      <c r="AE723" s="1356"/>
      <c r="AF723" s="2041"/>
      <c r="AG723" s="2041"/>
    </row>
    <row r="724" spans="3:33" ht="15.75" thickTop="1">
      <c r="C724" s="510">
        <v>44138</v>
      </c>
      <c r="D724" s="506" t="s">
        <v>7904</v>
      </c>
      <c r="E724" s="506" t="s">
        <v>1032</v>
      </c>
      <c r="F724" s="506" t="s">
        <v>361</v>
      </c>
      <c r="G724" s="507" t="s">
        <v>7870</v>
      </c>
      <c r="H724" s="506"/>
      <c r="I724" s="548"/>
      <c r="J724" s="590"/>
      <c r="K724" s="506" t="s">
        <v>8287</v>
      </c>
      <c r="L724" s="506"/>
      <c r="M724" s="511">
        <v>3000000</v>
      </c>
      <c r="N724" s="506" t="s">
        <v>251</v>
      </c>
      <c r="O724" s="510">
        <v>44161</v>
      </c>
      <c r="P724" s="510">
        <v>44193</v>
      </c>
      <c r="Q724" s="506"/>
      <c r="R724" s="736" t="s">
        <v>304</v>
      </c>
      <c r="S724" s="506"/>
      <c r="T724" s="511"/>
      <c r="U724" s="511"/>
      <c r="V724" s="1484"/>
      <c r="W724" s="1484"/>
      <c r="X724" s="1484"/>
      <c r="Y724" s="511"/>
      <c r="Z724" s="511"/>
      <c r="AA724" s="506"/>
      <c r="AB724" s="510">
        <v>44194</v>
      </c>
      <c r="AC724" s="506"/>
      <c r="AD724" s="506"/>
      <c r="AE724" s="506"/>
    </row>
    <row r="725" spans="3:33">
      <c r="C725" s="423" t="s">
        <v>3585</v>
      </c>
      <c r="D725" s="423" t="s">
        <v>7909</v>
      </c>
      <c r="E725" s="423" t="s">
        <v>2434</v>
      </c>
      <c r="F725" s="423" t="s">
        <v>219</v>
      </c>
      <c r="G725" s="837" t="s">
        <v>7557</v>
      </c>
      <c r="H725" s="423"/>
      <c r="I725" s="1422"/>
      <c r="J725" s="576"/>
      <c r="K725" s="423" t="s">
        <v>642</v>
      </c>
      <c r="L725" s="423"/>
      <c r="M725" s="841">
        <v>2116000</v>
      </c>
      <c r="N725" s="423" t="s">
        <v>216</v>
      </c>
      <c r="O725" s="840">
        <v>44158</v>
      </c>
      <c r="P725" s="840">
        <v>44174</v>
      </c>
      <c r="Q725" s="423"/>
      <c r="R725" s="1422" t="s">
        <v>2400</v>
      </c>
      <c r="S725" s="423"/>
      <c r="T725" s="841">
        <v>2115360</v>
      </c>
      <c r="U725" s="841">
        <v>2559585.6</v>
      </c>
      <c r="V725" s="1489"/>
      <c r="W725" s="1489"/>
      <c r="X725" s="1489"/>
      <c r="Y725" s="841"/>
      <c r="Z725" s="841"/>
      <c r="AA725" s="423"/>
      <c r="AB725" s="423"/>
      <c r="AC725" s="423"/>
      <c r="AD725" s="423"/>
      <c r="AE725" s="423"/>
    </row>
    <row r="726" spans="3:33">
      <c r="C726" s="544">
        <v>44151</v>
      </c>
      <c r="D726" s="540" t="s">
        <v>7910</v>
      </c>
      <c r="E726" s="540" t="s">
        <v>6561</v>
      </c>
      <c r="F726" s="540" t="s">
        <v>4864</v>
      </c>
      <c r="G726" s="541" t="s">
        <v>7911</v>
      </c>
      <c r="H726" s="540"/>
      <c r="I726" s="1402"/>
      <c r="J726" s="590"/>
      <c r="K726" s="540" t="s">
        <v>7319</v>
      </c>
      <c r="L726" s="540"/>
      <c r="M726" s="545">
        <v>1350000</v>
      </c>
      <c r="N726" s="540" t="s">
        <v>112</v>
      </c>
      <c r="O726" s="544">
        <v>44158</v>
      </c>
      <c r="P726" s="544">
        <v>44168</v>
      </c>
      <c r="Q726" s="544">
        <v>44181</v>
      </c>
      <c r="R726" s="1402" t="s">
        <v>8039</v>
      </c>
      <c r="S726" s="540"/>
      <c r="T726" s="545">
        <v>458568</v>
      </c>
      <c r="U726" s="545">
        <v>554868</v>
      </c>
      <c r="V726" s="1484"/>
      <c r="W726" s="1484"/>
      <c r="X726" s="1484"/>
      <c r="Y726" s="1385">
        <v>44181</v>
      </c>
      <c r="Z726" s="545" t="s">
        <v>8071</v>
      </c>
      <c r="AA726" s="540"/>
      <c r="AB726" s="540"/>
      <c r="AC726" s="540"/>
      <c r="AD726" s="540"/>
      <c r="AE726" s="540"/>
    </row>
    <row r="727" spans="3:33">
      <c r="C727" s="544">
        <v>44148</v>
      </c>
      <c r="D727" s="540" t="s">
        <v>8072</v>
      </c>
      <c r="E727" s="540" t="s">
        <v>1032</v>
      </c>
      <c r="F727" s="540" t="s">
        <v>361</v>
      </c>
      <c r="G727" s="541" t="s">
        <v>7916</v>
      </c>
      <c r="H727" s="540"/>
      <c r="I727" s="1402"/>
      <c r="J727" s="590"/>
      <c r="K727" s="540" t="s">
        <v>809</v>
      </c>
      <c r="L727" s="540" t="s">
        <v>7914</v>
      </c>
      <c r="M727" s="545">
        <v>720000</v>
      </c>
      <c r="N727" s="540" t="s">
        <v>112</v>
      </c>
      <c r="O727" s="544">
        <v>44158</v>
      </c>
      <c r="P727" s="544">
        <v>44168</v>
      </c>
      <c r="Q727" s="544">
        <v>44173</v>
      </c>
      <c r="R727" s="1402" t="s">
        <v>923</v>
      </c>
      <c r="S727" s="540"/>
      <c r="T727" s="545">
        <v>662355</v>
      </c>
      <c r="U727" s="545">
        <v>801449</v>
      </c>
      <c r="V727" s="1484"/>
      <c r="W727" s="1484"/>
      <c r="X727" s="1484"/>
      <c r="Y727" s="1385">
        <v>44174</v>
      </c>
      <c r="Z727" s="545" t="s">
        <v>8026</v>
      </c>
      <c r="AA727" s="540"/>
      <c r="AB727" s="540"/>
      <c r="AC727" s="540"/>
      <c r="AD727" s="540"/>
      <c r="AE727" s="540"/>
    </row>
    <row r="728" spans="3:33" ht="15.75" thickBot="1">
      <c r="C728" s="406" t="s">
        <v>3585</v>
      </c>
      <c r="D728" s="406" t="s">
        <v>7922</v>
      </c>
      <c r="E728" s="406" t="s">
        <v>58</v>
      </c>
      <c r="F728" s="406" t="s">
        <v>7369</v>
      </c>
      <c r="G728" s="462" t="s">
        <v>7923</v>
      </c>
      <c r="H728" s="406"/>
      <c r="I728" s="1425"/>
      <c r="J728" s="1437"/>
      <c r="K728" s="406" t="s">
        <v>1159</v>
      </c>
      <c r="L728" s="406"/>
      <c r="M728" s="465">
        <v>10100000</v>
      </c>
      <c r="N728" s="406" t="s">
        <v>251</v>
      </c>
      <c r="O728" s="464">
        <v>44159</v>
      </c>
      <c r="P728" s="464">
        <v>44193</v>
      </c>
      <c r="Q728" s="406"/>
      <c r="R728" s="1425"/>
      <c r="S728" s="406"/>
      <c r="T728" s="465"/>
      <c r="U728" s="465"/>
      <c r="V728" s="1490"/>
      <c r="W728" s="1490"/>
      <c r="X728" s="1490"/>
      <c r="Y728" s="465"/>
      <c r="Z728" s="465"/>
      <c r="AA728" s="406"/>
      <c r="AB728" s="406"/>
      <c r="AC728" s="406"/>
      <c r="AD728" s="406"/>
      <c r="AE728" s="406"/>
    </row>
    <row r="729" spans="3:33" ht="15.75" thickTop="1">
      <c r="C729" s="2044">
        <v>44155</v>
      </c>
      <c r="D729" s="2045" t="s">
        <v>7935</v>
      </c>
      <c r="E729" s="2045" t="s">
        <v>69</v>
      </c>
      <c r="F729" s="2045" t="s">
        <v>70</v>
      </c>
      <c r="G729" s="2046" t="s">
        <v>8097</v>
      </c>
      <c r="H729" s="2045">
        <v>1</v>
      </c>
      <c r="I729" s="2007" t="s">
        <v>7936</v>
      </c>
      <c r="J729" s="2045"/>
      <c r="K729" s="2045" t="s">
        <v>7938</v>
      </c>
      <c r="L729" s="2045"/>
      <c r="M729" s="2047">
        <v>1082451</v>
      </c>
      <c r="N729" s="2045" t="s">
        <v>251</v>
      </c>
      <c r="O729" s="2045"/>
      <c r="P729" s="2045"/>
      <c r="Q729" s="2045"/>
      <c r="R729" s="2007"/>
      <c r="S729" s="2045"/>
      <c r="T729" s="2047"/>
      <c r="U729" s="2047"/>
      <c r="V729" s="2048"/>
      <c r="W729" s="2048"/>
      <c r="X729" s="2048"/>
      <c r="Y729" s="2047"/>
      <c r="Z729" s="2047"/>
      <c r="AA729" s="2045"/>
      <c r="AB729" s="2045"/>
      <c r="AC729" s="2045"/>
      <c r="AD729" s="2045"/>
      <c r="AE729" s="2045"/>
      <c r="AF729" s="1393"/>
      <c r="AG729" s="1393"/>
    </row>
    <row r="730" spans="3:33">
      <c r="C730" s="1843">
        <v>44155</v>
      </c>
      <c r="D730" s="1552" t="s">
        <v>7935</v>
      </c>
      <c r="E730" s="1552" t="s">
        <v>69</v>
      </c>
      <c r="F730" s="1552" t="s">
        <v>70</v>
      </c>
      <c r="G730" s="1845" t="s">
        <v>8097</v>
      </c>
      <c r="H730" s="1552">
        <v>2</v>
      </c>
      <c r="I730" s="1846" t="s">
        <v>7937</v>
      </c>
      <c r="J730" s="1552"/>
      <c r="K730" s="1552" t="s">
        <v>7938</v>
      </c>
      <c r="L730" s="1552"/>
      <c r="M730" s="1847">
        <v>7967688</v>
      </c>
      <c r="N730" s="1552" t="s">
        <v>251</v>
      </c>
      <c r="O730" s="1552"/>
      <c r="P730" s="1552"/>
      <c r="Q730" s="1552"/>
      <c r="R730" s="1846"/>
      <c r="S730" s="1552"/>
      <c r="T730" s="1847"/>
      <c r="U730" s="1847"/>
      <c r="V730" s="1800"/>
      <c r="W730" s="1800"/>
      <c r="X730" s="1800"/>
      <c r="Y730" s="1847"/>
      <c r="Z730" s="1847"/>
      <c r="AA730" s="1552"/>
      <c r="AB730" s="1552"/>
      <c r="AC730" s="1552"/>
      <c r="AD730" s="1552"/>
      <c r="AE730" s="1552"/>
      <c r="AF730" s="1102"/>
      <c r="AG730" s="1102"/>
    </row>
    <row r="731" spans="3:33">
      <c r="C731" s="580">
        <v>44159</v>
      </c>
      <c r="D731" s="576" t="s">
        <v>7940</v>
      </c>
      <c r="E731" s="576" t="s">
        <v>2434</v>
      </c>
      <c r="F731" s="576" t="s">
        <v>3204</v>
      </c>
      <c r="G731" s="577" t="s">
        <v>7941</v>
      </c>
      <c r="H731" s="576"/>
      <c r="I731" s="1828"/>
      <c r="J731" s="576"/>
      <c r="K731" s="576" t="s">
        <v>642</v>
      </c>
      <c r="L731" s="576"/>
      <c r="M731" s="581">
        <v>5785125</v>
      </c>
      <c r="N731" s="576" t="s">
        <v>251</v>
      </c>
      <c r="O731" s="580">
        <v>44168</v>
      </c>
      <c r="P731" s="580">
        <v>44201</v>
      </c>
      <c r="Q731" s="576"/>
      <c r="R731" s="1828"/>
      <c r="S731" s="576"/>
      <c r="T731" s="581"/>
      <c r="U731" s="581"/>
      <c r="V731" s="1489"/>
      <c r="W731" s="1489"/>
      <c r="X731" s="1489"/>
      <c r="Y731" s="581"/>
      <c r="Z731" s="581"/>
      <c r="AA731" s="576"/>
      <c r="AB731" s="576"/>
      <c r="AC731" s="576"/>
      <c r="AD731" s="576"/>
      <c r="AE731" s="576"/>
    </row>
    <row r="732" spans="3:33">
      <c r="C732" s="594">
        <v>44155</v>
      </c>
      <c r="D732" s="590" t="s">
        <v>7942</v>
      </c>
      <c r="E732" s="590" t="s">
        <v>2434</v>
      </c>
      <c r="F732" s="590" t="s">
        <v>219</v>
      </c>
      <c r="G732" s="591" t="s">
        <v>7943</v>
      </c>
      <c r="H732" s="590"/>
      <c r="I732" s="1428"/>
      <c r="J732" s="590"/>
      <c r="K732" s="590" t="s">
        <v>642</v>
      </c>
      <c r="L732" s="590"/>
      <c r="M732" s="595">
        <v>19019100</v>
      </c>
      <c r="N732" s="590" t="s">
        <v>251</v>
      </c>
      <c r="O732" s="594">
        <v>44173</v>
      </c>
      <c r="P732" s="594">
        <v>44207</v>
      </c>
      <c r="Q732" s="590"/>
      <c r="R732" s="1428"/>
      <c r="S732" s="590"/>
      <c r="T732" s="595"/>
      <c r="U732" s="595"/>
      <c r="V732" s="1484"/>
      <c r="W732" s="1484"/>
      <c r="X732" s="1484"/>
      <c r="Y732" s="595"/>
      <c r="Z732" s="595"/>
      <c r="AA732" s="590"/>
      <c r="AB732" s="590"/>
      <c r="AC732" s="590"/>
      <c r="AD732" s="590"/>
      <c r="AE732" s="590"/>
    </row>
    <row r="733" spans="3:33" ht="15.75" thickBot="1">
      <c r="C733" s="464">
        <v>44159</v>
      </c>
      <c r="D733" s="406" t="s">
        <v>7946</v>
      </c>
      <c r="E733" s="406" t="s">
        <v>4997</v>
      </c>
      <c r="F733" s="406" t="s">
        <v>7475</v>
      </c>
      <c r="G733" s="3214" t="s">
        <v>7947</v>
      </c>
      <c r="H733" s="406"/>
      <c r="I733" s="1425"/>
      <c r="J733" s="1437"/>
      <c r="K733" s="406" t="s">
        <v>7319</v>
      </c>
      <c r="L733" s="406"/>
      <c r="M733" s="465">
        <v>850000</v>
      </c>
      <c r="N733" s="406" t="s">
        <v>112</v>
      </c>
      <c r="O733" s="464">
        <v>44166</v>
      </c>
      <c r="P733" s="464">
        <v>44176</v>
      </c>
      <c r="Q733" s="464">
        <v>44187</v>
      </c>
      <c r="R733" s="1425" t="s">
        <v>8088</v>
      </c>
      <c r="S733" s="406"/>
      <c r="T733" s="465">
        <v>584523</v>
      </c>
      <c r="U733" s="465">
        <v>707272.83</v>
      </c>
      <c r="V733" s="1490"/>
      <c r="W733" s="1490"/>
      <c r="X733" s="1490"/>
      <c r="Y733" s="1809">
        <v>44187</v>
      </c>
      <c r="Z733" s="465" t="s">
        <v>8095</v>
      </c>
      <c r="AA733" s="406"/>
      <c r="AB733" s="406"/>
      <c r="AC733" s="406"/>
      <c r="AD733" s="406"/>
      <c r="AE733" s="406"/>
    </row>
    <row r="734" spans="3:33" ht="15.75" thickTop="1">
      <c r="C734" s="587">
        <v>44161</v>
      </c>
      <c r="D734" s="583" t="s">
        <v>7948</v>
      </c>
      <c r="E734" s="583" t="s">
        <v>69</v>
      </c>
      <c r="F734" s="583" t="s">
        <v>70</v>
      </c>
      <c r="G734" s="584" t="s">
        <v>7961</v>
      </c>
      <c r="H734" s="583">
        <v>1</v>
      </c>
      <c r="I734" s="1427" t="s">
        <v>7957</v>
      </c>
      <c r="J734" s="583"/>
      <c r="K734" s="583" t="s">
        <v>7956</v>
      </c>
      <c r="L734" s="583"/>
      <c r="M734" s="588">
        <v>1012484</v>
      </c>
      <c r="N734" s="583" t="s">
        <v>251</v>
      </c>
      <c r="O734" s="587">
        <v>44172</v>
      </c>
      <c r="P734" s="587">
        <v>44204</v>
      </c>
      <c r="Q734" s="583"/>
      <c r="R734" s="1427"/>
      <c r="S734" s="583"/>
      <c r="T734" s="588"/>
      <c r="U734" s="588"/>
      <c r="V734" s="1483"/>
      <c r="W734" s="1483"/>
      <c r="X734" s="1483"/>
      <c r="Y734" s="588"/>
      <c r="Z734" s="588"/>
      <c r="AA734" s="583"/>
      <c r="AB734" s="583"/>
      <c r="AC734" s="583"/>
      <c r="AD734" s="583"/>
      <c r="AE734" s="583"/>
      <c r="AF734" s="1393"/>
      <c r="AG734" s="1393"/>
    </row>
    <row r="735" spans="3:33">
      <c r="C735" s="594">
        <v>44161</v>
      </c>
      <c r="D735" s="590" t="s">
        <v>7948</v>
      </c>
      <c r="E735" s="590" t="s">
        <v>69</v>
      </c>
      <c r="F735" s="590" t="s">
        <v>70</v>
      </c>
      <c r="G735" s="591" t="s">
        <v>7961</v>
      </c>
      <c r="H735" s="590">
        <v>2</v>
      </c>
      <c r="I735" s="1428" t="s">
        <v>7958</v>
      </c>
      <c r="J735" s="590"/>
      <c r="K735" s="590" t="s">
        <v>7956</v>
      </c>
      <c r="L735" s="590"/>
      <c r="M735" s="595">
        <v>292383</v>
      </c>
      <c r="N735" s="590" t="s">
        <v>251</v>
      </c>
      <c r="O735" s="594">
        <v>44172</v>
      </c>
      <c r="P735" s="594">
        <v>44204</v>
      </c>
      <c r="Q735" s="590"/>
      <c r="R735" s="1428"/>
      <c r="S735" s="590"/>
      <c r="T735" s="595"/>
      <c r="U735" s="595"/>
      <c r="V735" s="1484"/>
      <c r="W735" s="1484"/>
      <c r="X735" s="1484"/>
      <c r="Y735" s="595"/>
      <c r="Z735" s="595"/>
      <c r="AA735" s="590"/>
      <c r="AB735" s="590"/>
      <c r="AC735" s="590"/>
      <c r="AD735" s="590"/>
      <c r="AE735" s="590"/>
      <c r="AF735" s="1102"/>
      <c r="AG735" s="1102"/>
    </row>
    <row r="736" spans="3:33">
      <c r="C736" s="594">
        <v>44161</v>
      </c>
      <c r="D736" s="590" t="s">
        <v>7948</v>
      </c>
      <c r="E736" s="590" t="s">
        <v>69</v>
      </c>
      <c r="F736" s="590" t="s">
        <v>70</v>
      </c>
      <c r="G736" s="591" t="s">
        <v>7961</v>
      </c>
      <c r="H736" s="590">
        <v>3</v>
      </c>
      <c r="I736" s="1428" t="s">
        <v>7959</v>
      </c>
      <c r="J736" s="590"/>
      <c r="K736" s="590" t="s">
        <v>7956</v>
      </c>
      <c r="L736" s="590"/>
      <c r="M736" s="595">
        <v>7136766</v>
      </c>
      <c r="N736" s="590" t="s">
        <v>251</v>
      </c>
      <c r="O736" s="594">
        <v>44172</v>
      </c>
      <c r="P736" s="594">
        <v>44204</v>
      </c>
      <c r="Q736" s="590"/>
      <c r="R736" s="1428"/>
      <c r="S736" s="590"/>
      <c r="T736" s="595"/>
      <c r="U736" s="595"/>
      <c r="V736" s="1484"/>
      <c r="W736" s="1484"/>
      <c r="X736" s="1484"/>
      <c r="Y736" s="595"/>
      <c r="Z736" s="595"/>
      <c r="AA736" s="590"/>
      <c r="AB736" s="590"/>
      <c r="AC736" s="590"/>
      <c r="AD736" s="590"/>
      <c r="AE736" s="590"/>
      <c r="AF736" s="1102"/>
      <c r="AG736" s="1102"/>
    </row>
    <row r="737" spans="3:33" ht="15.75" thickBot="1">
      <c r="C737" s="1370">
        <v>44161</v>
      </c>
      <c r="D737" s="1356" t="s">
        <v>7948</v>
      </c>
      <c r="E737" s="1356" t="s">
        <v>69</v>
      </c>
      <c r="F737" s="1356" t="s">
        <v>70</v>
      </c>
      <c r="G737" s="1368" t="s">
        <v>7961</v>
      </c>
      <c r="H737" s="1356">
        <v>4</v>
      </c>
      <c r="I737" s="1429" t="s">
        <v>7960</v>
      </c>
      <c r="J737" s="1356"/>
      <c r="K737" s="1356" t="s">
        <v>7956</v>
      </c>
      <c r="L737" s="1356"/>
      <c r="M737" s="1369">
        <v>2915317</v>
      </c>
      <c r="N737" s="1356" t="s">
        <v>251</v>
      </c>
      <c r="O737" s="1370">
        <v>44172</v>
      </c>
      <c r="P737" s="1370">
        <v>44204</v>
      </c>
      <c r="Q737" s="1356"/>
      <c r="R737" s="1429"/>
      <c r="S737" s="1356"/>
      <c r="T737" s="1369"/>
      <c r="U737" s="1369"/>
      <c r="V737" s="1485"/>
      <c r="W737" s="1485"/>
      <c r="X737" s="1485"/>
      <c r="Y737" s="1369"/>
      <c r="Z737" s="1369"/>
      <c r="AA737" s="1356"/>
      <c r="AB737" s="1356"/>
      <c r="AC737" s="1356"/>
      <c r="AD737" s="1356"/>
      <c r="AE737" s="1356"/>
      <c r="AF737" s="1395"/>
      <c r="AG737" s="1395"/>
    </row>
    <row r="738" spans="3:33" ht="15.75" thickTop="1">
      <c r="C738" s="587">
        <v>44161</v>
      </c>
      <c r="D738" s="583" t="s">
        <v>7949</v>
      </c>
      <c r="E738" s="583" t="s">
        <v>69</v>
      </c>
      <c r="F738" s="583" t="s">
        <v>70</v>
      </c>
      <c r="G738" s="584" t="s">
        <v>7950</v>
      </c>
      <c r="H738" s="583">
        <v>1</v>
      </c>
      <c r="I738" s="1427" t="s">
        <v>7951</v>
      </c>
      <c r="J738" s="583"/>
      <c r="K738" s="583" t="s">
        <v>3438</v>
      </c>
      <c r="L738" s="583"/>
      <c r="M738" s="588">
        <v>1519736</v>
      </c>
      <c r="N738" s="583" t="s">
        <v>251</v>
      </c>
      <c r="O738" s="587">
        <v>44173</v>
      </c>
      <c r="P738" s="587">
        <v>44222</v>
      </c>
      <c r="Q738" s="583"/>
      <c r="R738" s="1427"/>
      <c r="S738" s="583"/>
      <c r="T738" s="588"/>
      <c r="U738" s="588"/>
      <c r="V738" s="1483"/>
      <c r="W738" s="1483"/>
      <c r="X738" s="1483"/>
      <c r="Y738" s="588"/>
      <c r="Z738" s="588"/>
      <c r="AA738" s="583"/>
      <c r="AB738" s="583"/>
      <c r="AC738" s="583"/>
      <c r="AD738" s="583"/>
      <c r="AE738" s="583"/>
      <c r="AF738" s="1393"/>
      <c r="AG738" s="1393"/>
    </row>
    <row r="739" spans="3:33">
      <c r="C739" s="594">
        <v>44161</v>
      </c>
      <c r="D739" s="590" t="s">
        <v>7949</v>
      </c>
      <c r="E739" s="590" t="s">
        <v>69</v>
      </c>
      <c r="F739" s="590" t="s">
        <v>70</v>
      </c>
      <c r="G739" s="591" t="s">
        <v>7950</v>
      </c>
      <c r="H739" s="590">
        <v>2</v>
      </c>
      <c r="I739" s="1428" t="s">
        <v>7952</v>
      </c>
      <c r="J739" s="590"/>
      <c r="K739" s="590" t="s">
        <v>3438</v>
      </c>
      <c r="L739" s="590"/>
      <c r="M739" s="595">
        <v>961257</v>
      </c>
      <c r="N739" s="590" t="s">
        <v>251</v>
      </c>
      <c r="O739" s="594">
        <v>44173</v>
      </c>
      <c r="P739" s="594">
        <v>44222</v>
      </c>
      <c r="Q739" s="590"/>
      <c r="R739" s="1428"/>
      <c r="S739" s="590"/>
      <c r="T739" s="595"/>
      <c r="U739" s="595"/>
      <c r="V739" s="1484"/>
      <c r="W739" s="1484"/>
      <c r="X739" s="1484"/>
      <c r="Y739" s="595"/>
      <c r="Z739" s="595"/>
      <c r="AA739" s="590"/>
      <c r="AB739" s="590"/>
      <c r="AC739" s="590"/>
      <c r="AD739" s="590"/>
      <c r="AE739" s="590"/>
      <c r="AF739" s="1102"/>
      <c r="AG739" s="1102"/>
    </row>
    <row r="740" spans="3:33">
      <c r="C740" s="594">
        <v>44161</v>
      </c>
      <c r="D740" s="590" t="s">
        <v>7949</v>
      </c>
      <c r="E740" s="590" t="s">
        <v>69</v>
      </c>
      <c r="F740" s="590" t="s">
        <v>70</v>
      </c>
      <c r="G740" s="591" t="s">
        <v>7950</v>
      </c>
      <c r="H740" s="590">
        <v>3</v>
      </c>
      <c r="I740" s="1428" t="s">
        <v>7953</v>
      </c>
      <c r="J740" s="590"/>
      <c r="K740" s="590" t="s">
        <v>3438</v>
      </c>
      <c r="L740" s="590"/>
      <c r="M740" s="595">
        <v>758692</v>
      </c>
      <c r="N740" s="590" t="s">
        <v>251</v>
      </c>
      <c r="O740" s="594">
        <v>44173</v>
      </c>
      <c r="P740" s="594">
        <v>44222</v>
      </c>
      <c r="Q740" s="590"/>
      <c r="R740" s="1428"/>
      <c r="S740" s="590"/>
      <c r="T740" s="595"/>
      <c r="U740" s="595"/>
      <c r="V740" s="1484"/>
      <c r="W740" s="1484"/>
      <c r="X740" s="1484"/>
      <c r="Y740" s="595"/>
      <c r="Z740" s="595"/>
      <c r="AA740" s="590"/>
      <c r="AB740" s="590"/>
      <c r="AC740" s="590"/>
      <c r="AD740" s="590"/>
      <c r="AE740" s="590"/>
      <c r="AF740" s="1102"/>
      <c r="AG740" s="1102"/>
    </row>
    <row r="741" spans="3:33">
      <c r="C741" s="594">
        <v>44161</v>
      </c>
      <c r="D741" s="590" t="s">
        <v>7949</v>
      </c>
      <c r="E741" s="590" t="s">
        <v>69</v>
      </c>
      <c r="F741" s="590" t="s">
        <v>70</v>
      </c>
      <c r="G741" s="591" t="s">
        <v>7950</v>
      </c>
      <c r="H741" s="590">
        <v>4</v>
      </c>
      <c r="I741" s="1428" t="s">
        <v>7954</v>
      </c>
      <c r="J741" s="590"/>
      <c r="K741" s="590" t="s">
        <v>3438</v>
      </c>
      <c r="L741" s="590"/>
      <c r="M741" s="595">
        <v>325365</v>
      </c>
      <c r="N741" s="590" t="s">
        <v>251</v>
      </c>
      <c r="O741" s="594">
        <v>44173</v>
      </c>
      <c r="P741" s="594">
        <v>44222</v>
      </c>
      <c r="Q741" s="590"/>
      <c r="R741" s="1428"/>
      <c r="S741" s="590"/>
      <c r="T741" s="595"/>
      <c r="U741" s="595"/>
      <c r="V741" s="1484"/>
      <c r="W741" s="1484"/>
      <c r="X741" s="1484"/>
      <c r="Y741" s="595"/>
      <c r="Z741" s="595"/>
      <c r="AA741" s="590"/>
      <c r="AB741" s="590"/>
      <c r="AC741" s="590"/>
      <c r="AD741" s="590"/>
      <c r="AE741" s="590"/>
      <c r="AF741" s="1102"/>
      <c r="AG741" s="1102"/>
    </row>
    <row r="742" spans="3:33" ht="15.75" thickBot="1">
      <c r="C742" s="1370">
        <v>44161</v>
      </c>
      <c r="D742" s="1356" t="s">
        <v>7949</v>
      </c>
      <c r="E742" s="1356" t="s">
        <v>69</v>
      </c>
      <c r="F742" s="1356" t="s">
        <v>70</v>
      </c>
      <c r="G742" s="1368" t="s">
        <v>7950</v>
      </c>
      <c r="H742" s="1356">
        <v>5</v>
      </c>
      <c r="I742" s="1429" t="s">
        <v>7955</v>
      </c>
      <c r="J742" s="1356"/>
      <c r="K742" s="1356" t="s">
        <v>3438</v>
      </c>
      <c r="L742" s="1356"/>
      <c r="M742" s="1369">
        <v>3438683</v>
      </c>
      <c r="N742" s="1356" t="s">
        <v>251</v>
      </c>
      <c r="O742" s="1370">
        <v>44173</v>
      </c>
      <c r="P742" s="1370">
        <v>44222</v>
      </c>
      <c r="Q742" s="1356"/>
      <c r="R742" s="1429"/>
      <c r="S742" s="1356"/>
      <c r="T742" s="1369"/>
      <c r="U742" s="1369"/>
      <c r="V742" s="1485"/>
      <c r="W742" s="1485"/>
      <c r="X742" s="1485"/>
      <c r="Y742" s="1369"/>
      <c r="Z742" s="1369"/>
      <c r="AA742" s="1356"/>
      <c r="AB742" s="1356"/>
      <c r="AC742" s="1356"/>
      <c r="AD742" s="1356"/>
      <c r="AE742" s="1356"/>
      <c r="AF742" s="1395"/>
      <c r="AG742" s="1395"/>
    </row>
    <row r="743" spans="3:33" ht="15.75" thickTop="1">
      <c r="C743" s="840">
        <v>44162</v>
      </c>
      <c r="D743" s="423" t="s">
        <v>7967</v>
      </c>
      <c r="E743" s="423" t="s">
        <v>52</v>
      </c>
      <c r="F743" s="423" t="s">
        <v>5894</v>
      </c>
      <c r="G743" s="837" t="s">
        <v>7968</v>
      </c>
      <c r="H743" s="423"/>
      <c r="I743" s="1422"/>
      <c r="J743" s="576"/>
      <c r="K743" s="423" t="s">
        <v>7966</v>
      </c>
      <c r="L743" s="423"/>
      <c r="M743" s="841">
        <v>3500000</v>
      </c>
      <c r="N743" s="423" t="s">
        <v>112</v>
      </c>
      <c r="O743" s="840">
        <v>44167</v>
      </c>
      <c r="P743" s="840">
        <v>44180</v>
      </c>
      <c r="Q743" s="840">
        <v>44182</v>
      </c>
      <c r="R743" s="1422" t="s">
        <v>3377</v>
      </c>
      <c r="S743" s="423"/>
      <c r="T743" s="841">
        <v>2697075.57</v>
      </c>
      <c r="U743" s="841">
        <v>3263461.44</v>
      </c>
      <c r="V743" s="1489"/>
      <c r="W743" s="1489"/>
      <c r="X743" s="1489"/>
      <c r="Y743" s="1392">
        <v>44182</v>
      </c>
      <c r="Z743" s="841" t="s">
        <v>8078</v>
      </c>
      <c r="AA743" s="423"/>
      <c r="AB743" s="423"/>
      <c r="AC743" s="423"/>
      <c r="AD743" s="423"/>
      <c r="AE743" s="423"/>
    </row>
    <row r="744" spans="3:33">
      <c r="C744" s="594">
        <v>44162</v>
      </c>
      <c r="D744" s="590" t="s">
        <v>7971</v>
      </c>
      <c r="E744" s="590" t="s">
        <v>69</v>
      </c>
      <c r="F744" s="590" t="s">
        <v>70</v>
      </c>
      <c r="G744" s="591" t="s">
        <v>7972</v>
      </c>
      <c r="H744" s="590">
        <v>1</v>
      </c>
      <c r="I744" s="1428" t="s">
        <v>7973</v>
      </c>
      <c r="J744" s="590"/>
      <c r="K744" s="590" t="s">
        <v>815</v>
      </c>
      <c r="L744" s="590"/>
      <c r="M744" s="595">
        <v>5019815</v>
      </c>
      <c r="N744" s="590" t="s">
        <v>251</v>
      </c>
      <c r="O744" s="594">
        <v>44172</v>
      </c>
      <c r="P744" s="594">
        <v>44204</v>
      </c>
      <c r="Q744" s="590"/>
      <c r="R744" s="1428"/>
      <c r="S744" s="590"/>
      <c r="T744" s="595"/>
      <c r="U744" s="595"/>
      <c r="V744" s="1484"/>
      <c r="W744" s="1484"/>
      <c r="X744" s="1484"/>
      <c r="Y744" s="595"/>
      <c r="Z744" s="595"/>
      <c r="AA744" s="590"/>
      <c r="AB744" s="590"/>
      <c r="AC744" s="590"/>
      <c r="AD744" s="590"/>
      <c r="AE744" s="590"/>
    </row>
    <row r="745" spans="3:33">
      <c r="C745" s="594">
        <v>44162</v>
      </c>
      <c r="D745" s="590" t="s">
        <v>7971</v>
      </c>
      <c r="E745" s="590" t="s">
        <v>69</v>
      </c>
      <c r="F745" s="590" t="s">
        <v>70</v>
      </c>
      <c r="G745" s="591" t="s">
        <v>7972</v>
      </c>
      <c r="H745" s="590">
        <v>2</v>
      </c>
      <c r="I745" s="1428" t="s">
        <v>7974</v>
      </c>
      <c r="J745" s="590"/>
      <c r="K745" s="590" t="s">
        <v>815</v>
      </c>
      <c r="L745" s="590"/>
      <c r="M745" s="595">
        <v>3706073</v>
      </c>
      <c r="N745" s="590" t="s">
        <v>251</v>
      </c>
      <c r="O745" s="594">
        <v>44172</v>
      </c>
      <c r="P745" s="594">
        <v>44204</v>
      </c>
      <c r="Q745" s="590"/>
      <c r="R745" s="1428"/>
      <c r="S745" s="590"/>
      <c r="T745" s="595"/>
      <c r="U745" s="595"/>
      <c r="V745" s="1484"/>
      <c r="W745" s="1484"/>
      <c r="X745" s="1484"/>
      <c r="Y745" s="595"/>
      <c r="Z745" s="595"/>
      <c r="AA745" s="590"/>
      <c r="AB745" s="590"/>
      <c r="AC745" s="590"/>
      <c r="AD745" s="590"/>
      <c r="AE745" s="590"/>
    </row>
    <row r="746" spans="3:33">
      <c r="C746" s="530" t="s">
        <v>3585</v>
      </c>
      <c r="D746" s="530" t="s">
        <v>7982</v>
      </c>
      <c r="E746" s="530" t="s">
        <v>2434</v>
      </c>
      <c r="F746" s="530" t="s">
        <v>751</v>
      </c>
      <c r="G746" s="1518" t="s">
        <v>7983</v>
      </c>
      <c r="H746" s="530"/>
      <c r="I746" s="1894" t="s">
        <v>8182</v>
      </c>
      <c r="J746" s="530"/>
      <c r="K746" s="530" t="s">
        <v>3890</v>
      </c>
      <c r="L746" s="530"/>
      <c r="M746" s="533">
        <v>185325240</v>
      </c>
      <c r="N746" s="530" t="s">
        <v>251</v>
      </c>
      <c r="O746" s="530"/>
      <c r="P746" s="530"/>
      <c r="Q746" s="530"/>
      <c r="R746" s="1432"/>
      <c r="S746" s="530"/>
      <c r="T746" s="533"/>
      <c r="U746" s="533"/>
      <c r="V746" s="1487"/>
      <c r="W746" s="1487"/>
      <c r="X746" s="1487"/>
      <c r="Y746" s="533"/>
      <c r="Z746" s="533"/>
      <c r="AA746" s="530"/>
      <c r="AB746" s="530"/>
      <c r="AC746" s="530"/>
      <c r="AD746" s="530"/>
      <c r="AE746" s="530"/>
    </row>
    <row r="747" spans="3:33">
      <c r="C747" s="590" t="s">
        <v>3585</v>
      </c>
      <c r="D747" s="590" t="s">
        <v>7997</v>
      </c>
      <c r="E747" s="590" t="s">
        <v>2434</v>
      </c>
      <c r="F747" s="590" t="s">
        <v>751</v>
      </c>
      <c r="G747" s="3213" t="s">
        <v>6830</v>
      </c>
      <c r="H747" s="590"/>
      <c r="I747" s="1428"/>
      <c r="J747" s="590"/>
      <c r="K747" s="590" t="s">
        <v>1880</v>
      </c>
      <c r="L747" s="590"/>
      <c r="M747" s="595">
        <v>3103825</v>
      </c>
      <c r="N747" s="590" t="s">
        <v>251</v>
      </c>
      <c r="O747" s="594">
        <v>44180</v>
      </c>
      <c r="P747" s="594">
        <v>44214</v>
      </c>
      <c r="Q747" s="590"/>
      <c r="R747" s="1428"/>
      <c r="S747" s="590"/>
      <c r="T747" s="595"/>
      <c r="U747" s="595"/>
      <c r="V747" s="1484"/>
      <c r="W747" s="1484"/>
      <c r="X747" s="1484"/>
      <c r="Y747" s="595"/>
      <c r="Z747" s="595"/>
      <c r="AA747" s="590"/>
      <c r="AB747" s="590"/>
      <c r="AC747" s="590"/>
      <c r="AD747" s="590"/>
      <c r="AE747" s="590"/>
    </row>
    <row r="748" spans="3:33" ht="15.75" thickBot="1">
      <c r="C748" s="1437" t="s">
        <v>3585</v>
      </c>
      <c r="D748" s="1437" t="s">
        <v>7998</v>
      </c>
      <c r="E748" s="1437" t="s">
        <v>2434</v>
      </c>
      <c r="F748" s="1437" t="s">
        <v>751</v>
      </c>
      <c r="G748" s="1873" t="s">
        <v>7999</v>
      </c>
      <c r="H748" s="1437"/>
      <c r="I748" s="1875"/>
      <c r="J748" s="590"/>
      <c r="K748" s="1437" t="s">
        <v>786</v>
      </c>
      <c r="L748" s="1437"/>
      <c r="M748" s="1874">
        <v>25040000</v>
      </c>
      <c r="N748" s="1437" t="s">
        <v>251</v>
      </c>
      <c r="O748" s="1871">
        <v>44181</v>
      </c>
      <c r="P748" s="1871">
        <v>44224</v>
      </c>
      <c r="Q748" s="1437"/>
      <c r="R748" s="1875"/>
      <c r="S748" s="1437"/>
      <c r="T748" s="1874"/>
      <c r="U748" s="1874"/>
      <c r="V748" s="1484"/>
      <c r="W748" s="1484"/>
      <c r="X748" s="1484"/>
      <c r="Y748" s="1874"/>
      <c r="Z748" s="1874"/>
      <c r="AA748" s="1437"/>
      <c r="AB748" s="1437"/>
      <c r="AC748" s="1437"/>
      <c r="AD748" s="1437"/>
      <c r="AE748" s="1437"/>
    </row>
    <row r="749" spans="3:33" ht="15.75" thickTop="1">
      <c r="C749" s="583" t="s">
        <v>3585</v>
      </c>
      <c r="D749" s="583" t="s">
        <v>8009</v>
      </c>
      <c r="E749" s="583" t="s">
        <v>2434</v>
      </c>
      <c r="F749" s="583" t="s">
        <v>751</v>
      </c>
      <c r="G749" s="584" t="s">
        <v>8010</v>
      </c>
      <c r="H749" s="583">
        <v>1</v>
      </c>
      <c r="I749" s="1427" t="s">
        <v>6528</v>
      </c>
      <c r="J749" s="1366"/>
      <c r="K749" s="583" t="s">
        <v>6815</v>
      </c>
      <c r="L749" s="583"/>
      <c r="M749" s="588">
        <v>2762500</v>
      </c>
      <c r="N749" s="583" t="s">
        <v>251</v>
      </c>
      <c r="O749" s="587">
        <v>44175</v>
      </c>
      <c r="P749" s="587">
        <v>44207</v>
      </c>
      <c r="Q749" s="583"/>
      <c r="R749" s="1427"/>
      <c r="S749" s="583"/>
      <c r="T749" s="588"/>
      <c r="U749" s="588"/>
      <c r="V749" s="2054"/>
      <c r="W749" s="1484"/>
      <c r="X749" s="1484"/>
      <c r="Y749" s="588"/>
      <c r="Z749" s="588"/>
      <c r="AA749" s="583"/>
      <c r="AB749" s="583"/>
      <c r="AC749" s="583"/>
      <c r="AD749" s="583"/>
      <c r="AE749" s="583"/>
      <c r="AF749" s="1393"/>
    </row>
    <row r="750" spans="3:33">
      <c r="C750" s="590" t="s">
        <v>3585</v>
      </c>
      <c r="D750" s="590" t="s">
        <v>8009</v>
      </c>
      <c r="E750" s="590" t="s">
        <v>2434</v>
      </c>
      <c r="F750" s="590" t="s">
        <v>751</v>
      </c>
      <c r="G750" s="591" t="s">
        <v>8010</v>
      </c>
      <c r="H750" s="590">
        <v>2</v>
      </c>
      <c r="I750" s="1428" t="s">
        <v>6530</v>
      </c>
      <c r="J750" s="1366"/>
      <c r="K750" s="590" t="s">
        <v>3890</v>
      </c>
      <c r="L750" s="590"/>
      <c r="M750" s="595">
        <v>264000</v>
      </c>
      <c r="N750" s="590" t="s">
        <v>251</v>
      </c>
      <c r="O750" s="594">
        <v>44175</v>
      </c>
      <c r="P750" s="594">
        <v>44207</v>
      </c>
      <c r="Q750" s="590"/>
      <c r="R750" s="1428"/>
      <c r="S750" s="590"/>
      <c r="T750" s="595"/>
      <c r="U750" s="595"/>
      <c r="V750" s="2054"/>
      <c r="W750" s="1484"/>
      <c r="X750" s="1484"/>
      <c r="Y750" s="595"/>
      <c r="Z750" s="595"/>
      <c r="AA750" s="590"/>
      <c r="AB750" s="590"/>
      <c r="AC750" s="590"/>
      <c r="AD750" s="590"/>
      <c r="AE750" s="590"/>
      <c r="AF750" s="1102"/>
    </row>
    <row r="751" spans="3:33" ht="30">
      <c r="C751" s="590" t="s">
        <v>3585</v>
      </c>
      <c r="D751" s="590" t="s">
        <v>8009</v>
      </c>
      <c r="E751" s="590" t="s">
        <v>2434</v>
      </c>
      <c r="F751" s="590" t="s">
        <v>751</v>
      </c>
      <c r="G751" s="591" t="s">
        <v>8010</v>
      </c>
      <c r="H751" s="590">
        <v>3</v>
      </c>
      <c r="I751" s="2055" t="s">
        <v>6531</v>
      </c>
      <c r="J751" s="1366"/>
      <c r="K751" s="590" t="s">
        <v>3890</v>
      </c>
      <c r="L751" s="590"/>
      <c r="M751" s="595">
        <v>4290000</v>
      </c>
      <c r="N751" s="590" t="s">
        <v>251</v>
      </c>
      <c r="O751" s="594">
        <v>44175</v>
      </c>
      <c r="P751" s="594">
        <v>44207</v>
      </c>
      <c r="Q751" s="590"/>
      <c r="R751" s="1428"/>
      <c r="S751" s="590"/>
      <c r="T751" s="595"/>
      <c r="U751" s="595"/>
      <c r="V751" s="2054"/>
      <c r="W751" s="1484"/>
      <c r="X751" s="1484"/>
      <c r="Y751" s="595"/>
      <c r="Z751" s="595"/>
      <c r="AA751" s="590"/>
      <c r="AB751" s="590"/>
      <c r="AC751" s="590"/>
      <c r="AD751" s="590"/>
      <c r="AE751" s="590"/>
      <c r="AF751" s="1102"/>
    </row>
    <row r="752" spans="3:33">
      <c r="C752" s="590" t="s">
        <v>3585</v>
      </c>
      <c r="D752" s="590" t="s">
        <v>8009</v>
      </c>
      <c r="E752" s="590" t="s">
        <v>2434</v>
      </c>
      <c r="F752" s="590" t="s">
        <v>751</v>
      </c>
      <c r="G752" s="591" t="s">
        <v>8010</v>
      </c>
      <c r="H752" s="590">
        <v>4</v>
      </c>
      <c r="I752" s="1428" t="s">
        <v>6532</v>
      </c>
      <c r="J752" s="1366"/>
      <c r="K752" s="590" t="s">
        <v>6815</v>
      </c>
      <c r="L752" s="590"/>
      <c r="M752" s="595">
        <v>1326500</v>
      </c>
      <c r="N752" s="590" t="s">
        <v>251</v>
      </c>
      <c r="O752" s="594">
        <v>44175</v>
      </c>
      <c r="P752" s="594">
        <v>44207</v>
      </c>
      <c r="Q752" s="590"/>
      <c r="R752" s="1428"/>
      <c r="S752" s="590"/>
      <c r="T752" s="595"/>
      <c r="U752" s="595"/>
      <c r="V752" s="2054"/>
      <c r="W752" s="1484"/>
      <c r="X752" s="1484"/>
      <c r="Y752" s="595"/>
      <c r="Z752" s="595"/>
      <c r="AA752" s="590"/>
      <c r="AB752" s="590"/>
      <c r="AC752" s="590"/>
      <c r="AD752" s="590"/>
      <c r="AE752" s="590"/>
      <c r="AF752" s="1102"/>
    </row>
    <row r="753" spans="3:32">
      <c r="C753" s="590" t="s">
        <v>3585</v>
      </c>
      <c r="D753" s="590" t="s">
        <v>8009</v>
      </c>
      <c r="E753" s="590" t="s">
        <v>2434</v>
      </c>
      <c r="F753" s="590" t="s">
        <v>751</v>
      </c>
      <c r="G753" s="591" t="s">
        <v>8010</v>
      </c>
      <c r="H753" s="590">
        <v>5</v>
      </c>
      <c r="I753" s="1428" t="s">
        <v>8020</v>
      </c>
      <c r="J753" s="1366"/>
      <c r="K753" s="590" t="s">
        <v>3890</v>
      </c>
      <c r="L753" s="590"/>
      <c r="M753" s="595">
        <v>875000</v>
      </c>
      <c r="N753" s="590" t="s">
        <v>251</v>
      </c>
      <c r="O753" s="594">
        <v>44175</v>
      </c>
      <c r="P753" s="594">
        <v>44207</v>
      </c>
      <c r="Q753" s="590"/>
      <c r="R753" s="1428"/>
      <c r="S753" s="590"/>
      <c r="T753" s="595"/>
      <c r="U753" s="595"/>
      <c r="V753" s="2054"/>
      <c r="W753" s="1484"/>
      <c r="X753" s="1484"/>
      <c r="Y753" s="595"/>
      <c r="Z753" s="595"/>
      <c r="AA753" s="590"/>
      <c r="AB753" s="590"/>
      <c r="AC753" s="590"/>
      <c r="AD753" s="590"/>
      <c r="AE753" s="590"/>
      <c r="AF753" s="1102"/>
    </row>
    <row r="754" spans="3:32" ht="15.75" thickBot="1">
      <c r="C754" s="1356" t="s">
        <v>3585</v>
      </c>
      <c r="D754" s="1356" t="s">
        <v>8009</v>
      </c>
      <c r="E754" s="1356" t="s">
        <v>2434</v>
      </c>
      <c r="F754" s="1356" t="s">
        <v>751</v>
      </c>
      <c r="G754" s="1368" t="s">
        <v>8010</v>
      </c>
      <c r="H754" s="1356">
        <v>6</v>
      </c>
      <c r="I754" s="1429" t="s">
        <v>8021</v>
      </c>
      <c r="J754" s="1366"/>
      <c r="K754" s="1356" t="s">
        <v>3890</v>
      </c>
      <c r="L754" s="1356"/>
      <c r="M754" s="1369">
        <v>1008000</v>
      </c>
      <c r="N754" s="1356" t="s">
        <v>251</v>
      </c>
      <c r="O754" s="1370">
        <v>44175</v>
      </c>
      <c r="P754" s="1370">
        <v>44207</v>
      </c>
      <c r="Q754" s="1356"/>
      <c r="R754" s="1429"/>
      <c r="S754" s="1356"/>
      <c r="T754" s="1369"/>
      <c r="U754" s="1369"/>
      <c r="V754" s="2054"/>
      <c r="W754" s="1484"/>
      <c r="X754" s="1484"/>
      <c r="Y754" s="1369"/>
      <c r="Z754" s="1369"/>
      <c r="AA754" s="1356"/>
      <c r="AB754" s="1356"/>
      <c r="AC754" s="1356"/>
      <c r="AD754" s="1356"/>
      <c r="AE754" s="1356"/>
      <c r="AF754" s="1395"/>
    </row>
    <row r="755" spans="3:32" ht="15.75" thickTop="1">
      <c r="C755" s="580">
        <v>44174</v>
      </c>
      <c r="D755" s="576" t="s">
        <v>8030</v>
      </c>
      <c r="E755" s="576" t="s">
        <v>69</v>
      </c>
      <c r="F755" s="576" t="s">
        <v>70</v>
      </c>
      <c r="G755" s="577" t="s">
        <v>8031</v>
      </c>
      <c r="H755" s="576"/>
      <c r="I755" s="1828"/>
      <c r="J755" s="590"/>
      <c r="K755" s="576" t="s">
        <v>42</v>
      </c>
      <c r="L755" s="576"/>
      <c r="M755" s="581">
        <v>15250000</v>
      </c>
      <c r="N755" s="576" t="s">
        <v>251</v>
      </c>
      <c r="O755" s="580">
        <v>44181</v>
      </c>
      <c r="P755" s="580">
        <v>44214</v>
      </c>
      <c r="Q755" s="576"/>
      <c r="R755" s="1828"/>
      <c r="S755" s="576"/>
      <c r="T755" s="581"/>
      <c r="U755" s="581"/>
      <c r="V755" s="1484"/>
      <c r="W755" s="1484"/>
      <c r="X755" s="1484"/>
      <c r="Y755" s="581"/>
      <c r="Z755" s="581"/>
      <c r="AA755" s="576"/>
      <c r="AB755" s="576"/>
      <c r="AC755" s="576"/>
      <c r="AD755" s="576"/>
      <c r="AE755" s="576"/>
    </row>
    <row r="756" spans="3:32" ht="15.75" thickBot="1">
      <c r="C756" s="1871">
        <v>44166</v>
      </c>
      <c r="D756" s="1437" t="s">
        <v>8036</v>
      </c>
      <c r="E756" s="1437" t="s">
        <v>52</v>
      </c>
      <c r="F756" s="1437" t="s">
        <v>2588</v>
      </c>
      <c r="G756" s="1873" t="s">
        <v>8037</v>
      </c>
      <c r="H756" s="1437"/>
      <c r="I756" s="1875"/>
      <c r="J756" s="2076"/>
      <c r="K756" s="1437" t="s">
        <v>484</v>
      </c>
      <c r="L756" s="1437" t="s">
        <v>8038</v>
      </c>
      <c r="M756" s="1874">
        <v>15000000</v>
      </c>
      <c r="N756" s="1437" t="s">
        <v>251</v>
      </c>
      <c r="O756" s="1871">
        <v>44183</v>
      </c>
      <c r="P756" s="1871">
        <v>44216</v>
      </c>
      <c r="Q756" s="1437"/>
      <c r="R756" s="1875"/>
      <c r="S756" s="1437"/>
      <c r="T756" s="1874"/>
      <c r="U756" s="1874"/>
      <c r="V756" s="2077"/>
      <c r="W756" s="2077"/>
      <c r="X756" s="2077"/>
      <c r="Y756" s="1874"/>
      <c r="Z756" s="1874"/>
      <c r="AA756" s="1437"/>
      <c r="AB756" s="1437"/>
      <c r="AC756" s="1437"/>
      <c r="AD756" s="1437"/>
      <c r="AE756" s="1437"/>
    </row>
    <row r="757" spans="3:32" ht="15.75" thickTop="1">
      <c r="C757" s="587">
        <v>44180</v>
      </c>
      <c r="D757" s="583" t="s">
        <v>8048</v>
      </c>
      <c r="E757" s="583" t="s">
        <v>69</v>
      </c>
      <c r="F757" s="583" t="s">
        <v>70</v>
      </c>
      <c r="G757" s="584" t="s">
        <v>8049</v>
      </c>
      <c r="H757" s="583">
        <v>1</v>
      </c>
      <c r="I757" s="1427" t="s">
        <v>8041</v>
      </c>
      <c r="J757" s="824"/>
      <c r="K757" s="583" t="s">
        <v>8050</v>
      </c>
      <c r="L757" s="583"/>
      <c r="M757" s="588">
        <v>1879678</v>
      </c>
      <c r="N757" s="583" t="s">
        <v>251</v>
      </c>
      <c r="O757" s="587">
        <v>44183</v>
      </c>
      <c r="P757" s="587">
        <v>44216</v>
      </c>
      <c r="Q757" s="583"/>
      <c r="R757" s="1427"/>
      <c r="S757" s="583"/>
      <c r="T757" s="588"/>
      <c r="U757" s="588"/>
      <c r="V757" s="1486"/>
      <c r="W757" s="1486"/>
      <c r="X757" s="1486"/>
      <c r="Y757" s="588"/>
      <c r="Z757" s="588"/>
      <c r="AA757" s="583"/>
      <c r="AB757" s="583"/>
      <c r="AC757" s="583"/>
      <c r="AD757" s="583"/>
      <c r="AE757" s="583"/>
    </row>
    <row r="758" spans="3:32">
      <c r="C758" s="594">
        <v>44180</v>
      </c>
      <c r="D758" s="590" t="s">
        <v>8048</v>
      </c>
      <c r="E758" s="590" t="s">
        <v>69</v>
      </c>
      <c r="F758" s="590" t="s">
        <v>70</v>
      </c>
      <c r="G758" s="591" t="s">
        <v>8049</v>
      </c>
      <c r="H758" s="590">
        <v>2</v>
      </c>
      <c r="I758" s="1428" t="s">
        <v>8042</v>
      </c>
      <c r="J758" s="530"/>
      <c r="K758" s="590" t="s">
        <v>8050</v>
      </c>
      <c r="L758" s="590"/>
      <c r="M758" s="595">
        <v>3048116</v>
      </c>
      <c r="N758" s="590" t="s">
        <v>251</v>
      </c>
      <c r="O758" s="594">
        <v>44183</v>
      </c>
      <c r="P758" s="594">
        <v>44216</v>
      </c>
      <c r="Q758" s="590"/>
      <c r="R758" s="1428"/>
      <c r="S758" s="590"/>
      <c r="T758" s="595"/>
      <c r="U758" s="595"/>
      <c r="V758" s="1487"/>
      <c r="W758" s="1487"/>
      <c r="X758" s="1487"/>
      <c r="Y758" s="595"/>
      <c r="Z758" s="595"/>
      <c r="AA758" s="590"/>
      <c r="AB758" s="590"/>
      <c r="AC758" s="590"/>
      <c r="AD758" s="590"/>
      <c r="AE758" s="590"/>
    </row>
    <row r="759" spans="3:32">
      <c r="C759" s="594">
        <v>44180</v>
      </c>
      <c r="D759" s="590" t="s">
        <v>8048</v>
      </c>
      <c r="E759" s="590" t="s">
        <v>69</v>
      </c>
      <c r="F759" s="590" t="s">
        <v>70</v>
      </c>
      <c r="G759" s="591" t="s">
        <v>8049</v>
      </c>
      <c r="H759" s="590">
        <v>3</v>
      </c>
      <c r="I759" s="1428" t="s">
        <v>8043</v>
      </c>
      <c r="J759" s="530"/>
      <c r="K759" s="590" t="s">
        <v>8050</v>
      </c>
      <c r="L759" s="590"/>
      <c r="M759" s="595">
        <v>596452</v>
      </c>
      <c r="N759" s="590" t="s">
        <v>251</v>
      </c>
      <c r="O759" s="594">
        <v>44183</v>
      </c>
      <c r="P759" s="594">
        <v>44216</v>
      </c>
      <c r="Q759" s="590"/>
      <c r="R759" s="1428"/>
      <c r="S759" s="590"/>
      <c r="T759" s="595"/>
      <c r="U759" s="595"/>
      <c r="V759" s="1487"/>
      <c r="W759" s="1487"/>
      <c r="X759" s="1487"/>
      <c r="Y759" s="595"/>
      <c r="Z759" s="595"/>
      <c r="AA759" s="590"/>
      <c r="AB759" s="590"/>
      <c r="AC759" s="590"/>
      <c r="AD759" s="590"/>
      <c r="AE759" s="590"/>
    </row>
    <row r="760" spans="3:32">
      <c r="C760" s="594">
        <v>44180</v>
      </c>
      <c r="D760" s="590" t="s">
        <v>8048</v>
      </c>
      <c r="E760" s="590" t="s">
        <v>69</v>
      </c>
      <c r="F760" s="590" t="s">
        <v>70</v>
      </c>
      <c r="G760" s="591" t="s">
        <v>8049</v>
      </c>
      <c r="H760" s="590">
        <v>4</v>
      </c>
      <c r="I760" s="1428" t="s">
        <v>8044</v>
      </c>
      <c r="J760" s="530"/>
      <c r="K760" s="590" t="s">
        <v>8050</v>
      </c>
      <c r="L760" s="590"/>
      <c r="M760" s="595">
        <v>2702846</v>
      </c>
      <c r="N760" s="590" t="s">
        <v>251</v>
      </c>
      <c r="O760" s="594">
        <v>44183</v>
      </c>
      <c r="P760" s="594">
        <v>44216</v>
      </c>
      <c r="Q760" s="590"/>
      <c r="R760" s="1428"/>
      <c r="S760" s="590"/>
      <c r="T760" s="595"/>
      <c r="U760" s="595"/>
      <c r="V760" s="1487"/>
      <c r="W760" s="1487"/>
      <c r="X760" s="1487"/>
      <c r="Y760" s="595"/>
      <c r="Z760" s="595"/>
      <c r="AA760" s="590"/>
      <c r="AB760" s="590"/>
      <c r="AC760" s="590"/>
      <c r="AD760" s="590"/>
      <c r="AE760" s="590"/>
    </row>
    <row r="761" spans="3:32">
      <c r="C761" s="594">
        <v>44180</v>
      </c>
      <c r="D761" s="590" t="s">
        <v>8048</v>
      </c>
      <c r="E761" s="590" t="s">
        <v>69</v>
      </c>
      <c r="F761" s="590" t="s">
        <v>70</v>
      </c>
      <c r="G761" s="591" t="s">
        <v>8049</v>
      </c>
      <c r="H761" s="590">
        <v>5</v>
      </c>
      <c r="I761" s="1428" t="s">
        <v>8045</v>
      </c>
      <c r="J761" s="530"/>
      <c r="K761" s="590" t="s">
        <v>8050</v>
      </c>
      <c r="L761" s="590"/>
      <c r="M761" s="595">
        <v>705451</v>
      </c>
      <c r="N761" s="590" t="s">
        <v>251</v>
      </c>
      <c r="O761" s="594">
        <v>44183</v>
      </c>
      <c r="P761" s="594">
        <v>44216</v>
      </c>
      <c r="Q761" s="590"/>
      <c r="R761" s="1428"/>
      <c r="S761" s="590"/>
      <c r="T761" s="595"/>
      <c r="U761" s="595"/>
      <c r="V761" s="1487"/>
      <c r="W761" s="1487"/>
      <c r="X761" s="1487"/>
      <c r="Y761" s="595"/>
      <c r="Z761" s="595"/>
      <c r="AA761" s="590"/>
      <c r="AB761" s="590"/>
      <c r="AC761" s="590"/>
      <c r="AD761" s="590"/>
      <c r="AE761" s="590"/>
    </row>
    <row r="762" spans="3:32">
      <c r="C762" s="594">
        <v>44180</v>
      </c>
      <c r="D762" s="590" t="s">
        <v>8048</v>
      </c>
      <c r="E762" s="590" t="s">
        <v>69</v>
      </c>
      <c r="F762" s="590" t="s">
        <v>70</v>
      </c>
      <c r="G762" s="591" t="s">
        <v>8049</v>
      </c>
      <c r="H762" s="590">
        <v>6</v>
      </c>
      <c r="I762" s="1428" t="s">
        <v>8046</v>
      </c>
      <c r="J762" s="530"/>
      <c r="K762" s="590" t="s">
        <v>8050</v>
      </c>
      <c r="L762" s="590"/>
      <c r="M762" s="595">
        <v>691921</v>
      </c>
      <c r="N762" s="590" t="s">
        <v>251</v>
      </c>
      <c r="O762" s="594">
        <v>44183</v>
      </c>
      <c r="P762" s="594">
        <v>44216</v>
      </c>
      <c r="Q762" s="590"/>
      <c r="R762" s="1428"/>
      <c r="S762" s="590"/>
      <c r="T762" s="595"/>
      <c r="U762" s="595"/>
      <c r="V762" s="1487"/>
      <c r="W762" s="1487"/>
      <c r="X762" s="1487"/>
      <c r="Y762" s="595"/>
      <c r="Z762" s="595"/>
      <c r="AA762" s="590"/>
      <c r="AB762" s="590"/>
      <c r="AC762" s="590"/>
      <c r="AD762" s="590"/>
      <c r="AE762" s="590"/>
    </row>
    <row r="763" spans="3:32" ht="15.75" thickBot="1">
      <c r="C763" s="1370">
        <v>44180</v>
      </c>
      <c r="D763" s="1356" t="s">
        <v>8048</v>
      </c>
      <c r="E763" s="1356" t="s">
        <v>69</v>
      </c>
      <c r="F763" s="1356" t="s">
        <v>70</v>
      </c>
      <c r="G763" s="1368" t="s">
        <v>8049</v>
      </c>
      <c r="H763" s="1356">
        <v>7</v>
      </c>
      <c r="I763" s="1429" t="s">
        <v>8047</v>
      </c>
      <c r="J763" s="1394"/>
      <c r="K763" s="1356" t="s">
        <v>8050</v>
      </c>
      <c r="L763" s="1356"/>
      <c r="M763" s="1369">
        <v>755060</v>
      </c>
      <c r="N763" s="1356" t="s">
        <v>251</v>
      </c>
      <c r="O763" s="1370">
        <v>44183</v>
      </c>
      <c r="P763" s="1370">
        <v>44216</v>
      </c>
      <c r="Q763" s="1356"/>
      <c r="R763" s="1429"/>
      <c r="S763" s="1356"/>
      <c r="T763" s="1369"/>
      <c r="U763" s="1369"/>
      <c r="V763" s="1488"/>
      <c r="W763" s="1488"/>
      <c r="X763" s="1488"/>
      <c r="Y763" s="1369"/>
      <c r="Z763" s="1369"/>
      <c r="AA763" s="1356"/>
      <c r="AB763" s="1356"/>
      <c r="AC763" s="1356"/>
      <c r="AD763" s="1356"/>
      <c r="AE763" s="1356"/>
    </row>
    <row r="764" spans="3:32" ht="15.75" thickTop="1">
      <c r="C764" s="587">
        <v>44180</v>
      </c>
      <c r="D764" s="583" t="s">
        <v>8051</v>
      </c>
      <c r="E764" s="583" t="s">
        <v>69</v>
      </c>
      <c r="F764" s="583" t="s">
        <v>70</v>
      </c>
      <c r="G764" s="584" t="s">
        <v>8055</v>
      </c>
      <c r="H764" s="583">
        <v>1</v>
      </c>
      <c r="I764" s="1427" t="s">
        <v>8052</v>
      </c>
      <c r="J764" s="2045"/>
      <c r="K764" s="583" t="s">
        <v>816</v>
      </c>
      <c r="L764" s="583"/>
      <c r="M764" s="588">
        <v>1228500</v>
      </c>
      <c r="N764" s="583" t="s">
        <v>251</v>
      </c>
      <c r="O764" s="587">
        <v>44183</v>
      </c>
      <c r="P764" s="587">
        <v>44217</v>
      </c>
      <c r="Q764" s="583"/>
      <c r="R764" s="1427"/>
      <c r="S764" s="583"/>
      <c r="T764" s="588"/>
      <c r="U764" s="588"/>
      <c r="V764" s="2048"/>
      <c r="W764" s="2048"/>
      <c r="X764" s="2048"/>
      <c r="Y764" s="588"/>
      <c r="Z764" s="588"/>
      <c r="AA764" s="583"/>
      <c r="AB764" s="583"/>
      <c r="AC764" s="583"/>
      <c r="AD764" s="583"/>
      <c r="AE764" s="583"/>
    </row>
    <row r="765" spans="3:32">
      <c r="C765" s="2084">
        <v>44180</v>
      </c>
      <c r="D765" s="2085" t="s">
        <v>8051</v>
      </c>
      <c r="E765" s="2085" t="s">
        <v>69</v>
      </c>
      <c r="F765" s="2085" t="s">
        <v>70</v>
      </c>
      <c r="G765" s="2086" t="s">
        <v>8055</v>
      </c>
      <c r="H765" s="2085">
        <v>2</v>
      </c>
      <c r="I765" s="2087" t="s">
        <v>8074</v>
      </c>
      <c r="J765" s="2079"/>
      <c r="K765" s="2085" t="s">
        <v>816</v>
      </c>
      <c r="L765" s="2085"/>
      <c r="M765" s="2092">
        <v>2403469</v>
      </c>
      <c r="N765" s="2085" t="s">
        <v>251</v>
      </c>
      <c r="O765" s="2084">
        <v>44183</v>
      </c>
      <c r="P765" s="2084">
        <v>44217</v>
      </c>
      <c r="Q765" s="2085"/>
      <c r="R765" s="2087"/>
      <c r="S765" s="2085"/>
      <c r="T765" s="2092"/>
      <c r="U765" s="2092"/>
      <c r="V765" s="2080"/>
      <c r="W765" s="2080"/>
      <c r="X765" s="2080"/>
      <c r="Y765" s="2092"/>
      <c r="Z765" s="2092"/>
      <c r="AA765" s="2085"/>
      <c r="AB765" s="2085"/>
      <c r="AC765" s="2085"/>
      <c r="AD765" s="2085"/>
      <c r="AE765" s="2085"/>
    </row>
    <row r="766" spans="3:32">
      <c r="C766" s="2084">
        <v>44180</v>
      </c>
      <c r="D766" s="2085" t="s">
        <v>8051</v>
      </c>
      <c r="E766" s="2085" t="s">
        <v>69</v>
      </c>
      <c r="F766" s="2085" t="s">
        <v>70</v>
      </c>
      <c r="G766" s="2086" t="s">
        <v>8055</v>
      </c>
      <c r="H766" s="2085">
        <v>3</v>
      </c>
      <c r="I766" s="2087" t="s">
        <v>8053</v>
      </c>
      <c r="J766" s="2079"/>
      <c r="K766" s="2085" t="s">
        <v>816</v>
      </c>
      <c r="L766" s="2085"/>
      <c r="M766" s="2092">
        <v>700714</v>
      </c>
      <c r="N766" s="2085" t="s">
        <v>251</v>
      </c>
      <c r="O766" s="2084">
        <v>44183</v>
      </c>
      <c r="P766" s="2084">
        <v>44217</v>
      </c>
      <c r="Q766" s="2085"/>
      <c r="R766" s="2087"/>
      <c r="S766" s="2085"/>
      <c r="T766" s="2092"/>
      <c r="U766" s="2092"/>
      <c r="V766" s="2080"/>
      <c r="W766" s="2080"/>
      <c r="X766" s="2080"/>
      <c r="Y766" s="2092"/>
      <c r="Z766" s="2092"/>
      <c r="AA766" s="2085"/>
      <c r="AB766" s="2085"/>
      <c r="AC766" s="2085"/>
      <c r="AD766" s="2085"/>
      <c r="AE766" s="2085"/>
    </row>
    <row r="767" spans="3:32" ht="15.75" thickBot="1">
      <c r="C767" s="2088">
        <v>44180</v>
      </c>
      <c r="D767" s="2089" t="s">
        <v>8051</v>
      </c>
      <c r="E767" s="2089" t="s">
        <v>69</v>
      </c>
      <c r="F767" s="2089" t="s">
        <v>70</v>
      </c>
      <c r="G767" s="2090" t="s">
        <v>8055</v>
      </c>
      <c r="H767" s="2089">
        <v>4</v>
      </c>
      <c r="I767" s="2091" t="s">
        <v>8054</v>
      </c>
      <c r="J767" s="2081"/>
      <c r="K767" s="2089" t="s">
        <v>816</v>
      </c>
      <c r="L767" s="2089"/>
      <c r="M767" s="2093">
        <v>3508066</v>
      </c>
      <c r="N767" s="2089" t="s">
        <v>251</v>
      </c>
      <c r="O767" s="2088">
        <v>44183</v>
      </c>
      <c r="P767" s="2088">
        <v>44217</v>
      </c>
      <c r="Q767" s="2089"/>
      <c r="R767" s="2091"/>
      <c r="S767" s="2089"/>
      <c r="T767" s="2093"/>
      <c r="U767" s="2093"/>
      <c r="V767" s="2082"/>
      <c r="W767" s="2082"/>
      <c r="X767" s="2082"/>
      <c r="Y767" s="2093"/>
      <c r="Z767" s="2093"/>
      <c r="AA767" s="2089"/>
      <c r="AB767" s="2089"/>
      <c r="AC767" s="2089"/>
      <c r="AD767" s="2089"/>
      <c r="AE767" s="2089"/>
    </row>
    <row r="768" spans="3:32" ht="15.75" thickTop="1">
      <c r="C768" s="580">
        <v>44180</v>
      </c>
      <c r="D768" s="576" t="s">
        <v>8069</v>
      </c>
      <c r="E768" s="576" t="s">
        <v>2111</v>
      </c>
      <c r="F768" s="576" t="s">
        <v>4440</v>
      </c>
      <c r="G768" s="577" t="s">
        <v>8070</v>
      </c>
      <c r="H768" s="576"/>
      <c r="I768" s="1828"/>
      <c r="J768" s="576"/>
      <c r="K768" s="576" t="s">
        <v>2113</v>
      </c>
      <c r="L768" s="576"/>
      <c r="M768" s="581">
        <v>2200000</v>
      </c>
      <c r="N768" s="576" t="s">
        <v>216</v>
      </c>
      <c r="O768" s="580">
        <v>44182</v>
      </c>
      <c r="P768" s="580">
        <v>44211</v>
      </c>
      <c r="Q768" s="576"/>
      <c r="R768" s="1828"/>
      <c r="S768" s="576"/>
      <c r="T768" s="581"/>
      <c r="U768" s="581"/>
      <c r="V768" s="1489"/>
      <c r="W768" s="1489"/>
      <c r="X768" s="1489"/>
      <c r="Y768" s="581"/>
      <c r="Z768" s="581"/>
      <c r="AA768" s="576"/>
      <c r="AB768" s="576"/>
      <c r="AC768" s="576"/>
      <c r="AD768" s="576"/>
      <c r="AE768" s="576"/>
    </row>
    <row r="769" spans="3:31">
      <c r="C769" s="510" t="s">
        <v>3585</v>
      </c>
      <c r="D769" s="506" t="s">
        <v>8079</v>
      </c>
      <c r="E769" s="506" t="s">
        <v>58</v>
      </c>
      <c r="F769" s="506" t="s">
        <v>2684</v>
      </c>
      <c r="G769" s="507" t="s">
        <v>8080</v>
      </c>
      <c r="H769" s="506"/>
      <c r="I769" s="548"/>
      <c r="J769" s="506"/>
      <c r="K769" s="506" t="s">
        <v>62</v>
      </c>
      <c r="L769" s="506" t="s">
        <v>8081</v>
      </c>
      <c r="M769" s="511">
        <v>320000</v>
      </c>
      <c r="N769" s="506" t="s">
        <v>112</v>
      </c>
      <c r="O769" s="510">
        <v>44186</v>
      </c>
      <c r="P769" s="510">
        <v>44204</v>
      </c>
      <c r="Q769" s="506"/>
      <c r="R769" s="736" t="s">
        <v>8099</v>
      </c>
      <c r="S769" s="761" t="s">
        <v>8100</v>
      </c>
      <c r="T769" s="511"/>
      <c r="U769" s="511"/>
      <c r="V769" s="1470"/>
      <c r="W769" s="1470"/>
      <c r="X769" s="1470"/>
      <c r="Y769" s="511"/>
      <c r="Z769" s="511"/>
      <c r="AA769" s="506"/>
      <c r="AB769" s="510">
        <v>44194</v>
      </c>
      <c r="AC769" s="506"/>
      <c r="AD769" s="506"/>
      <c r="AE769" s="506"/>
    </row>
    <row r="770" spans="3:31">
      <c r="C770" s="594">
        <v>44182</v>
      </c>
      <c r="D770" s="590" t="s">
        <v>8082</v>
      </c>
      <c r="E770" s="590" t="s">
        <v>2434</v>
      </c>
      <c r="F770" s="590" t="s">
        <v>219</v>
      </c>
      <c r="G770" s="591" t="s">
        <v>7364</v>
      </c>
      <c r="H770" s="590"/>
      <c r="I770" s="1428"/>
      <c r="J770" s="530"/>
      <c r="K770" s="590" t="s">
        <v>1006</v>
      </c>
      <c r="L770" s="590"/>
      <c r="M770" s="595">
        <v>30000000</v>
      </c>
      <c r="N770" s="590" t="s">
        <v>251</v>
      </c>
      <c r="O770" s="594">
        <v>44183</v>
      </c>
      <c r="P770" s="594">
        <v>44215</v>
      </c>
      <c r="Q770" s="590"/>
      <c r="R770" s="1428"/>
      <c r="S770" s="590"/>
      <c r="T770" s="595"/>
      <c r="U770" s="595"/>
      <c r="V770" s="1487"/>
      <c r="W770" s="1487"/>
      <c r="X770" s="1487"/>
      <c r="Y770" s="595"/>
      <c r="Z770" s="595"/>
      <c r="AA770" s="590"/>
      <c r="AB770" s="590"/>
      <c r="AC770" s="590"/>
      <c r="AD770" s="590"/>
      <c r="AE770" s="590"/>
    </row>
    <row r="771" spans="3:31">
      <c r="C771" s="590" t="s">
        <v>3585</v>
      </c>
      <c r="D771" s="590" t="s">
        <v>8101</v>
      </c>
      <c r="E771" s="590" t="s">
        <v>58</v>
      </c>
      <c r="F771" s="590" t="s">
        <v>2684</v>
      </c>
      <c r="G771" s="591" t="s">
        <v>8102</v>
      </c>
      <c r="H771" s="590"/>
      <c r="I771" s="1428"/>
      <c r="J771" s="590"/>
      <c r="K771" s="590" t="s">
        <v>62</v>
      </c>
      <c r="L771" s="590" t="s">
        <v>8081</v>
      </c>
      <c r="M771" s="595">
        <v>320000</v>
      </c>
      <c r="N771" s="590" t="s">
        <v>112</v>
      </c>
      <c r="O771" s="594">
        <v>44196</v>
      </c>
      <c r="P771" s="594">
        <v>44208</v>
      </c>
      <c r="Q771" s="590"/>
      <c r="R771" s="1428"/>
      <c r="S771" s="590"/>
      <c r="T771" s="595"/>
      <c r="U771" s="595"/>
      <c r="V771" s="1484"/>
      <c r="W771" s="1484"/>
      <c r="X771" s="1484"/>
      <c r="Y771" s="595"/>
      <c r="Z771" s="595"/>
      <c r="AA771" s="590"/>
      <c r="AB771" s="590"/>
      <c r="AC771" s="590"/>
      <c r="AD771" s="590"/>
      <c r="AE771" s="590"/>
    </row>
    <row r="772" spans="3:31">
      <c r="C772" s="530"/>
      <c r="D772" s="530"/>
      <c r="E772" s="530"/>
      <c r="F772" s="530"/>
      <c r="G772" s="1518"/>
      <c r="H772" s="530"/>
      <c r="I772" s="1432"/>
      <c r="J772" s="530"/>
      <c r="K772" s="530"/>
      <c r="L772" s="530"/>
      <c r="M772" s="533"/>
      <c r="N772" s="530"/>
      <c r="O772" s="530"/>
      <c r="P772" s="530"/>
      <c r="Q772" s="530"/>
      <c r="R772" s="1432"/>
      <c r="S772" s="530"/>
      <c r="T772" s="533"/>
      <c r="U772" s="533"/>
      <c r="V772" s="1487"/>
      <c r="W772" s="1487"/>
      <c r="X772" s="1487"/>
      <c r="Y772" s="533"/>
      <c r="Z772" s="533"/>
      <c r="AA772" s="530"/>
      <c r="AB772" s="530"/>
      <c r="AC772" s="530"/>
      <c r="AD772" s="530"/>
      <c r="AE772" s="530"/>
    </row>
    <row r="773" spans="3:31">
      <c r="C773" s="530"/>
      <c r="D773" s="530"/>
      <c r="E773" s="530"/>
      <c r="F773" s="530"/>
      <c r="G773" s="1518"/>
      <c r="H773" s="530"/>
      <c r="I773" s="1432"/>
      <c r="J773" s="530"/>
      <c r="K773" s="530"/>
      <c r="L773" s="530"/>
      <c r="M773" s="533"/>
      <c r="N773" s="530"/>
      <c r="O773" s="530"/>
      <c r="P773" s="530"/>
      <c r="Q773" s="530"/>
      <c r="R773" s="1432"/>
      <c r="S773" s="530"/>
      <c r="T773" s="533"/>
      <c r="U773" s="533"/>
      <c r="V773" s="1487"/>
      <c r="W773" s="1487"/>
      <c r="X773" s="1487"/>
      <c r="Y773" s="533"/>
      <c r="Z773" s="533"/>
      <c r="AA773" s="530"/>
      <c r="AB773" s="530"/>
      <c r="AC773" s="530"/>
      <c r="AD773" s="530"/>
      <c r="AE773" s="530"/>
    </row>
    <row r="774" spans="3:31">
      <c r="C774" s="530"/>
      <c r="D774" s="530"/>
      <c r="E774" s="530"/>
      <c r="F774" s="530"/>
      <c r="G774" s="1518"/>
      <c r="H774" s="530"/>
      <c r="I774" s="1432"/>
      <c r="J774" s="530"/>
      <c r="K774" s="530"/>
      <c r="L774" s="530"/>
      <c r="M774" s="533"/>
      <c r="N774" s="530"/>
      <c r="O774" s="530"/>
      <c r="P774" s="530"/>
      <c r="Q774" s="530"/>
      <c r="R774" s="1432"/>
      <c r="S774" s="530"/>
      <c r="T774" s="533"/>
      <c r="U774" s="533"/>
      <c r="V774" s="1487"/>
      <c r="W774" s="1487"/>
      <c r="X774" s="1487"/>
      <c r="Y774" s="533"/>
      <c r="Z774" s="533"/>
      <c r="AA774" s="530"/>
      <c r="AB774" s="530"/>
      <c r="AC774" s="530"/>
      <c r="AD774" s="530"/>
      <c r="AE774" s="530"/>
    </row>
    <row r="775" spans="3:31">
      <c r="C775" s="530"/>
      <c r="D775" s="530"/>
      <c r="E775" s="530"/>
      <c r="F775" s="530"/>
      <c r="G775" s="1518"/>
      <c r="H775" s="530"/>
      <c r="I775" s="1432"/>
      <c r="J775" s="530"/>
      <c r="K775" s="530"/>
      <c r="L775" s="530"/>
      <c r="M775" s="533"/>
      <c r="N775" s="530"/>
      <c r="O775" s="530"/>
      <c r="P775" s="530"/>
      <c r="Q775" s="530"/>
      <c r="R775" s="1432"/>
      <c r="S775" s="530"/>
      <c r="T775" s="533"/>
      <c r="U775" s="533"/>
      <c r="V775" s="1487"/>
      <c r="W775" s="1487"/>
      <c r="X775" s="1487"/>
      <c r="Y775" s="533"/>
      <c r="Z775" s="533"/>
      <c r="AA775" s="530"/>
      <c r="AB775" s="530"/>
      <c r="AC775" s="530"/>
      <c r="AD775" s="530"/>
      <c r="AE775" s="530"/>
    </row>
    <row r="776" spans="3:31">
      <c r="C776" s="530"/>
      <c r="D776" s="530"/>
      <c r="E776" s="530"/>
      <c r="F776" s="530"/>
      <c r="G776" s="1518"/>
      <c r="H776" s="530"/>
      <c r="I776" s="1432"/>
      <c r="J776" s="530"/>
      <c r="K776" s="530"/>
      <c r="L776" s="530"/>
      <c r="M776" s="533"/>
      <c r="N776" s="530"/>
      <c r="O776" s="530"/>
      <c r="P776" s="530"/>
      <c r="Q776" s="530"/>
      <c r="R776" s="1432"/>
      <c r="S776" s="530"/>
      <c r="T776" s="533"/>
      <c r="U776" s="533"/>
      <c r="V776" s="1487"/>
      <c r="W776" s="1487"/>
      <c r="X776" s="1487"/>
      <c r="Y776" s="533"/>
      <c r="Z776" s="533"/>
      <c r="AA776" s="530"/>
      <c r="AB776" s="530"/>
      <c r="AC776" s="530"/>
      <c r="AD776" s="530"/>
      <c r="AE776" s="530"/>
    </row>
    <row r="777" spans="3:31">
      <c r="C777" s="530"/>
      <c r="D777" s="530"/>
      <c r="E777" s="530"/>
      <c r="F777" s="530"/>
      <c r="G777" s="1518"/>
      <c r="H777" s="530"/>
      <c r="I777" s="1432"/>
      <c r="J777" s="530"/>
      <c r="K777" s="530"/>
      <c r="L777" s="530"/>
      <c r="M777" s="533"/>
      <c r="N777" s="530"/>
      <c r="O777" s="530"/>
      <c r="P777" s="530"/>
      <c r="Q777" s="530"/>
      <c r="R777" s="1432"/>
      <c r="S777" s="530"/>
      <c r="T777" s="533"/>
      <c r="U777" s="533"/>
      <c r="V777" s="1487"/>
      <c r="W777" s="1487"/>
      <c r="X777" s="1487"/>
      <c r="Y777" s="533"/>
      <c r="Z777" s="533"/>
      <c r="AA777" s="530"/>
      <c r="AB777" s="530"/>
      <c r="AC777" s="530"/>
      <c r="AD777" s="530"/>
      <c r="AE777" s="530"/>
    </row>
    <row r="778" spans="3:31">
      <c r="C778" s="530"/>
      <c r="D778" s="530"/>
      <c r="E778" s="530"/>
      <c r="F778" s="530"/>
      <c r="G778" s="1518"/>
      <c r="H778" s="530"/>
      <c r="I778" s="1432"/>
      <c r="J778" s="530"/>
      <c r="K778" s="530"/>
      <c r="L778" s="530"/>
      <c r="M778" s="533"/>
      <c r="N778" s="530"/>
      <c r="O778" s="530"/>
      <c r="P778" s="530"/>
      <c r="Q778" s="530"/>
      <c r="R778" s="1432"/>
      <c r="S778" s="530"/>
      <c r="T778" s="533"/>
      <c r="U778" s="533"/>
      <c r="V778" s="1487"/>
      <c r="W778" s="1487"/>
      <c r="X778" s="1487"/>
      <c r="Y778" s="533"/>
      <c r="Z778" s="533"/>
      <c r="AA778" s="530"/>
      <c r="AB778" s="530"/>
      <c r="AC778" s="530"/>
      <c r="AD778" s="530"/>
      <c r="AE778" s="530"/>
    </row>
    <row r="779" spans="3:31">
      <c r="C779" s="530"/>
      <c r="D779" s="530"/>
      <c r="E779" s="530"/>
      <c r="F779" s="530"/>
      <c r="G779" s="1518"/>
      <c r="H779" s="530"/>
      <c r="I779" s="1432"/>
      <c r="J779" s="530"/>
      <c r="K779" s="530"/>
      <c r="L779" s="530"/>
      <c r="M779" s="533"/>
      <c r="N779" s="530"/>
      <c r="O779" s="530"/>
      <c r="P779" s="530"/>
      <c r="Q779" s="530"/>
      <c r="R779" s="1432"/>
      <c r="S779" s="530"/>
      <c r="T779" s="533"/>
      <c r="U779" s="533"/>
      <c r="V779" s="1487"/>
      <c r="W779" s="1487"/>
      <c r="X779" s="1487"/>
      <c r="Y779" s="533"/>
      <c r="Z779" s="533"/>
      <c r="AA779" s="530"/>
      <c r="AB779" s="530"/>
      <c r="AC779" s="530"/>
      <c r="AD779" s="530"/>
      <c r="AE779" s="530"/>
    </row>
    <row r="780" spans="3:31">
      <c r="C780" s="530"/>
      <c r="D780" s="530"/>
      <c r="E780" s="530"/>
      <c r="F780" s="530"/>
      <c r="G780" s="1518"/>
      <c r="H780" s="530"/>
      <c r="I780" s="1432"/>
      <c r="J780" s="530"/>
      <c r="K780" s="530"/>
      <c r="L780" s="530"/>
      <c r="M780" s="533"/>
      <c r="N780" s="530"/>
      <c r="O780" s="530"/>
      <c r="P780" s="530"/>
      <c r="Q780" s="530"/>
      <c r="R780" s="1432"/>
      <c r="S780" s="530"/>
      <c r="T780" s="533"/>
      <c r="U780" s="533"/>
      <c r="V780" s="1487"/>
      <c r="W780" s="1487"/>
      <c r="X780" s="1487"/>
      <c r="Y780" s="533"/>
      <c r="Z780" s="533"/>
      <c r="AA780" s="530"/>
      <c r="AB780" s="530"/>
      <c r="AC780" s="530"/>
      <c r="AD780" s="530"/>
      <c r="AE780" s="530"/>
    </row>
    <row r="781" spans="3:31">
      <c r="C781" s="530"/>
      <c r="D781" s="530"/>
      <c r="E781" s="530"/>
      <c r="F781" s="530"/>
      <c r="G781" s="1518"/>
      <c r="H781" s="530"/>
      <c r="I781" s="1432"/>
      <c r="J781" s="530"/>
      <c r="K781" s="530"/>
      <c r="L781" s="530"/>
      <c r="M781" s="533"/>
      <c r="N781" s="530"/>
      <c r="O781" s="530"/>
      <c r="P781" s="530"/>
      <c r="Q781" s="530"/>
      <c r="R781" s="1432"/>
      <c r="S781" s="530"/>
      <c r="T781" s="533"/>
      <c r="U781" s="533"/>
      <c r="V781" s="1487"/>
      <c r="W781" s="1487"/>
      <c r="X781" s="1487"/>
      <c r="Y781" s="533"/>
      <c r="Z781" s="533"/>
      <c r="AA781" s="530"/>
      <c r="AB781" s="530"/>
      <c r="AC781" s="530"/>
      <c r="AD781" s="530"/>
      <c r="AE781" s="530"/>
    </row>
    <row r="782" spans="3:31">
      <c r="C782" s="530"/>
      <c r="D782" s="530"/>
      <c r="E782" s="530"/>
      <c r="F782" s="530"/>
      <c r="G782" s="1518"/>
      <c r="H782" s="530"/>
      <c r="I782" s="1432"/>
      <c r="J782" s="530"/>
      <c r="K782" s="530"/>
      <c r="L782" s="530"/>
      <c r="M782" s="533"/>
      <c r="N782" s="530"/>
      <c r="O782" s="530"/>
      <c r="P782" s="530"/>
      <c r="Q782" s="530"/>
      <c r="R782" s="1432"/>
      <c r="S782" s="530"/>
      <c r="T782" s="533"/>
      <c r="U782" s="533"/>
      <c r="V782" s="1487"/>
      <c r="W782" s="1487"/>
      <c r="X782" s="1487"/>
      <c r="Y782" s="533"/>
      <c r="Z782" s="533"/>
      <c r="AA782" s="530"/>
      <c r="AB782" s="530"/>
      <c r="AC782" s="530"/>
      <c r="AD782" s="530"/>
      <c r="AE782" s="530"/>
    </row>
    <row r="783" spans="3:31">
      <c r="C783" s="530"/>
      <c r="D783" s="530"/>
      <c r="E783" s="530"/>
      <c r="F783" s="530"/>
      <c r="G783" s="1518"/>
      <c r="H783" s="530"/>
      <c r="I783" s="1432"/>
      <c r="J783" s="530"/>
      <c r="K783" s="530"/>
      <c r="L783" s="530"/>
      <c r="M783" s="533"/>
      <c r="N783" s="530"/>
      <c r="O783" s="530"/>
      <c r="P783" s="530"/>
      <c r="Q783" s="530"/>
      <c r="R783" s="1432"/>
      <c r="S783" s="530"/>
      <c r="T783" s="533"/>
      <c r="U783" s="533"/>
      <c r="V783" s="1487"/>
      <c r="W783" s="1487"/>
      <c r="X783" s="1487"/>
      <c r="Y783" s="533"/>
      <c r="Z783" s="533"/>
      <c r="AA783" s="530"/>
      <c r="AB783" s="530"/>
      <c r="AC783" s="530"/>
      <c r="AD783" s="530"/>
      <c r="AE783" s="530"/>
    </row>
    <row r="784" spans="3:31">
      <c r="C784" s="530"/>
      <c r="D784" s="530"/>
      <c r="E784" s="530"/>
      <c r="F784" s="530"/>
      <c r="G784" s="1518"/>
      <c r="H784" s="530"/>
      <c r="I784" s="1432"/>
      <c r="J784" s="530"/>
      <c r="K784" s="530"/>
      <c r="L784" s="530"/>
      <c r="M784" s="533"/>
      <c r="N784" s="530"/>
      <c r="O784" s="530"/>
      <c r="P784" s="530"/>
      <c r="Q784" s="530"/>
      <c r="R784" s="1432"/>
      <c r="S784" s="530"/>
      <c r="T784" s="533"/>
      <c r="U784" s="533"/>
      <c r="V784" s="1487"/>
      <c r="W784" s="1487"/>
      <c r="X784" s="1487"/>
      <c r="Y784" s="533"/>
      <c r="Z784" s="533"/>
      <c r="AA784" s="530"/>
      <c r="AB784" s="530"/>
      <c r="AC784" s="530"/>
      <c r="AD784" s="530"/>
      <c r="AE784" s="530"/>
    </row>
    <row r="785" spans="3:31">
      <c r="C785" s="530"/>
      <c r="D785" s="530"/>
      <c r="E785" s="530"/>
      <c r="F785" s="530"/>
      <c r="G785" s="1518"/>
      <c r="H785" s="530"/>
      <c r="I785" s="1432"/>
      <c r="J785" s="530"/>
      <c r="K785" s="530"/>
      <c r="L785" s="530"/>
      <c r="M785" s="533"/>
      <c r="N785" s="530"/>
      <c r="O785" s="530"/>
      <c r="P785" s="530"/>
      <c r="Q785" s="530"/>
      <c r="R785" s="1432"/>
      <c r="S785" s="530"/>
      <c r="T785" s="533"/>
      <c r="U785" s="533"/>
      <c r="V785" s="1487"/>
      <c r="W785" s="1487"/>
      <c r="X785" s="1487"/>
      <c r="Y785" s="533"/>
      <c r="Z785" s="533"/>
      <c r="AA785" s="530"/>
      <c r="AB785" s="530"/>
      <c r="AC785" s="530"/>
      <c r="AD785" s="530"/>
      <c r="AE785" s="530"/>
    </row>
    <row r="786" spans="3:31">
      <c r="C786" s="530"/>
      <c r="D786" s="530"/>
      <c r="E786" s="530"/>
      <c r="F786" s="530"/>
      <c r="G786" s="1518"/>
      <c r="H786" s="530"/>
      <c r="I786" s="1432"/>
      <c r="J786" s="530"/>
      <c r="K786" s="530"/>
      <c r="L786" s="530"/>
      <c r="M786" s="533"/>
      <c r="N786" s="530"/>
      <c r="O786" s="530"/>
      <c r="P786" s="530"/>
      <c r="Q786" s="530"/>
      <c r="R786" s="1432"/>
      <c r="S786" s="530"/>
      <c r="T786" s="533"/>
      <c r="U786" s="533"/>
      <c r="V786" s="1487"/>
      <c r="W786" s="1487"/>
      <c r="X786" s="1487"/>
      <c r="Y786" s="533"/>
      <c r="Z786" s="533"/>
      <c r="AA786" s="530"/>
      <c r="AB786" s="530"/>
      <c r="AC786" s="530"/>
      <c r="AD786" s="530"/>
      <c r="AE786" s="530"/>
    </row>
    <row r="787" spans="3:31">
      <c r="C787" s="530"/>
      <c r="D787" s="530"/>
      <c r="E787" s="530"/>
      <c r="F787" s="530"/>
      <c r="G787" s="1518"/>
      <c r="H787" s="530"/>
      <c r="I787" s="1432"/>
      <c r="J787" s="530"/>
      <c r="K787" s="530"/>
      <c r="L787" s="530"/>
      <c r="M787" s="533"/>
      <c r="N787" s="530"/>
      <c r="O787" s="530"/>
      <c r="P787" s="530"/>
      <c r="Q787" s="530"/>
      <c r="R787" s="1432"/>
      <c r="S787" s="530"/>
      <c r="T787" s="533"/>
      <c r="U787" s="533"/>
      <c r="V787" s="1487"/>
      <c r="W787" s="1487"/>
      <c r="X787" s="1487"/>
      <c r="Y787" s="533"/>
      <c r="Z787" s="533"/>
      <c r="AA787" s="530"/>
      <c r="AB787" s="530"/>
      <c r="AC787" s="530"/>
      <c r="AD787" s="530"/>
      <c r="AE787" s="530"/>
    </row>
    <row r="788" spans="3:31">
      <c r="C788" s="530"/>
      <c r="D788" s="530"/>
      <c r="E788" s="530"/>
      <c r="F788" s="530"/>
      <c r="G788" s="1518"/>
      <c r="H788" s="530"/>
      <c r="I788" s="1432"/>
      <c r="J788" s="530"/>
      <c r="K788" s="530"/>
      <c r="L788" s="530"/>
      <c r="M788" s="533"/>
      <c r="N788" s="530"/>
      <c r="O788" s="530"/>
      <c r="P788" s="530"/>
      <c r="Q788" s="530"/>
      <c r="R788" s="1432"/>
      <c r="S788" s="530"/>
      <c r="T788" s="533"/>
      <c r="U788" s="533"/>
      <c r="V788" s="1487"/>
      <c r="W788" s="1487"/>
      <c r="X788" s="1487"/>
      <c r="Y788" s="533"/>
      <c r="Z788" s="533"/>
      <c r="AA788" s="530"/>
      <c r="AB788" s="530"/>
      <c r="AC788" s="530"/>
      <c r="AD788" s="530"/>
      <c r="AE788" s="530"/>
    </row>
    <row r="789" spans="3:31">
      <c r="C789" s="530"/>
      <c r="D789" s="530"/>
      <c r="E789" s="530"/>
      <c r="F789" s="530"/>
      <c r="G789" s="1518"/>
      <c r="H789" s="530"/>
      <c r="I789" s="1432"/>
      <c r="J789" s="530"/>
      <c r="K789" s="530"/>
      <c r="L789" s="530"/>
      <c r="M789" s="533"/>
      <c r="N789" s="530"/>
      <c r="O789" s="530"/>
      <c r="P789" s="530"/>
      <c r="Q789" s="530"/>
      <c r="R789" s="1432"/>
      <c r="S789" s="530"/>
      <c r="T789" s="533"/>
      <c r="U789" s="533"/>
      <c r="V789" s="1487"/>
      <c r="W789" s="1487"/>
      <c r="X789" s="1487"/>
      <c r="Y789" s="533"/>
      <c r="Z789" s="533"/>
      <c r="AA789" s="530"/>
      <c r="AB789" s="530"/>
      <c r="AC789" s="530"/>
      <c r="AD789" s="530"/>
      <c r="AE789" s="530"/>
    </row>
    <row r="790" spans="3:31">
      <c r="C790" s="530"/>
      <c r="D790" s="530"/>
      <c r="E790" s="530"/>
      <c r="F790" s="530"/>
      <c r="G790" s="1518"/>
      <c r="H790" s="530"/>
      <c r="I790" s="1432"/>
      <c r="J790" s="530"/>
      <c r="K790" s="530"/>
      <c r="L790" s="530"/>
      <c r="M790" s="533"/>
      <c r="N790" s="530"/>
      <c r="O790" s="530"/>
      <c r="P790" s="530"/>
      <c r="Q790" s="530"/>
      <c r="R790" s="1432"/>
      <c r="S790" s="530"/>
      <c r="T790" s="533"/>
      <c r="U790" s="533"/>
      <c r="V790" s="1487"/>
      <c r="W790" s="1487"/>
      <c r="X790" s="1487"/>
      <c r="Y790" s="533"/>
      <c r="Z790" s="533"/>
      <c r="AA790" s="530"/>
      <c r="AB790" s="530"/>
      <c r="AC790" s="530"/>
      <c r="AD790" s="530"/>
      <c r="AE790" s="530"/>
    </row>
    <row r="791" spans="3:31">
      <c r="C791" s="530"/>
      <c r="D791" s="530"/>
      <c r="E791" s="530"/>
      <c r="F791" s="530"/>
      <c r="G791" s="1518"/>
      <c r="H791" s="530"/>
      <c r="I791" s="1432"/>
      <c r="J791" s="530"/>
      <c r="K791" s="530"/>
      <c r="L791" s="530"/>
      <c r="M791" s="533"/>
      <c r="N791" s="530"/>
      <c r="O791" s="530"/>
      <c r="P791" s="530"/>
      <c r="Q791" s="530"/>
      <c r="R791" s="1432"/>
      <c r="S791" s="530"/>
      <c r="T791" s="533"/>
      <c r="U791" s="533"/>
      <c r="V791" s="1487"/>
      <c r="W791" s="1487"/>
      <c r="X791" s="1487"/>
      <c r="Y791" s="533"/>
      <c r="Z791" s="533"/>
      <c r="AA791" s="530"/>
      <c r="AB791" s="530"/>
      <c r="AC791" s="530"/>
      <c r="AD791" s="530"/>
      <c r="AE791" s="530"/>
    </row>
    <row r="792" spans="3:31">
      <c r="C792" s="530"/>
      <c r="D792" s="530"/>
      <c r="E792" s="530"/>
      <c r="F792" s="530"/>
      <c r="G792" s="1518"/>
      <c r="H792" s="530"/>
      <c r="I792" s="1432"/>
      <c r="J792" s="530"/>
      <c r="K792" s="530"/>
      <c r="L792" s="530"/>
      <c r="M792" s="533"/>
      <c r="N792" s="530"/>
      <c r="O792" s="530"/>
      <c r="P792" s="530"/>
      <c r="Q792" s="530"/>
      <c r="R792" s="1432"/>
      <c r="S792" s="530"/>
      <c r="T792" s="533"/>
      <c r="U792" s="533"/>
      <c r="V792" s="1487"/>
      <c r="W792" s="1487"/>
      <c r="X792" s="1487"/>
      <c r="Y792" s="533"/>
      <c r="Z792" s="533"/>
      <c r="AA792" s="530"/>
      <c r="AB792" s="530"/>
      <c r="AC792" s="530"/>
      <c r="AD792" s="530"/>
      <c r="AE792" s="530"/>
    </row>
    <row r="793" spans="3:31">
      <c r="C793" s="530"/>
      <c r="D793" s="530"/>
      <c r="E793" s="530"/>
      <c r="F793" s="530"/>
      <c r="G793" s="1518"/>
      <c r="H793" s="530"/>
      <c r="I793" s="1432"/>
      <c r="J793" s="530"/>
      <c r="K793" s="530"/>
      <c r="L793" s="530"/>
      <c r="M793" s="533"/>
      <c r="N793" s="530"/>
      <c r="O793" s="530"/>
      <c r="P793" s="530"/>
      <c r="Q793" s="530"/>
      <c r="R793" s="1432"/>
      <c r="S793" s="530"/>
      <c r="T793" s="533"/>
      <c r="U793" s="533"/>
      <c r="V793" s="1487"/>
      <c r="W793" s="1487"/>
      <c r="X793" s="1487"/>
      <c r="Y793" s="533"/>
      <c r="Z793" s="533"/>
      <c r="AA793" s="530"/>
      <c r="AB793" s="530"/>
      <c r="AC793" s="530"/>
      <c r="AD793" s="530"/>
      <c r="AE793" s="530"/>
    </row>
    <row r="794" spans="3:31">
      <c r="C794" s="530"/>
      <c r="D794" s="530"/>
      <c r="E794" s="530"/>
      <c r="F794" s="530"/>
      <c r="G794" s="1518"/>
      <c r="H794" s="530"/>
      <c r="I794" s="1432"/>
      <c r="J794" s="530"/>
      <c r="K794" s="530"/>
      <c r="L794" s="530"/>
      <c r="M794" s="533"/>
      <c r="N794" s="530"/>
      <c r="O794" s="530"/>
      <c r="P794" s="530"/>
      <c r="Q794" s="530"/>
      <c r="R794" s="1432"/>
      <c r="S794" s="530"/>
      <c r="T794" s="533"/>
      <c r="U794" s="533"/>
      <c r="V794" s="1487"/>
      <c r="W794" s="1487"/>
      <c r="X794" s="1487"/>
      <c r="Y794" s="533"/>
      <c r="Z794" s="533"/>
      <c r="AA794" s="530"/>
      <c r="AB794" s="530"/>
      <c r="AC794" s="530"/>
      <c r="AD794" s="530"/>
      <c r="AE794" s="530"/>
    </row>
    <row r="795" spans="3:31">
      <c r="C795" s="530"/>
      <c r="D795" s="530"/>
      <c r="E795" s="530"/>
      <c r="F795" s="530"/>
      <c r="G795" s="1518"/>
      <c r="H795" s="530"/>
      <c r="I795" s="1432"/>
      <c r="J795" s="530"/>
      <c r="K795" s="530"/>
      <c r="L795" s="530"/>
      <c r="M795" s="533"/>
      <c r="N795" s="530"/>
      <c r="O795" s="530"/>
      <c r="P795" s="530"/>
      <c r="Q795" s="530"/>
      <c r="R795" s="1432"/>
      <c r="S795" s="530"/>
      <c r="T795" s="533"/>
      <c r="U795" s="533"/>
      <c r="V795" s="1487"/>
      <c r="W795" s="1487"/>
      <c r="X795" s="1487"/>
      <c r="Y795" s="533"/>
      <c r="Z795" s="533"/>
      <c r="AA795" s="530"/>
      <c r="AB795" s="530"/>
      <c r="AC795" s="530"/>
      <c r="AD795" s="530"/>
      <c r="AE795" s="530"/>
    </row>
    <row r="796" spans="3:31">
      <c r="C796" s="530"/>
      <c r="D796" s="530"/>
      <c r="E796" s="530"/>
      <c r="F796" s="530"/>
      <c r="G796" s="1518"/>
      <c r="H796" s="530"/>
      <c r="I796" s="1432"/>
      <c r="J796" s="530"/>
      <c r="K796" s="530"/>
      <c r="L796" s="530"/>
      <c r="M796" s="533"/>
      <c r="N796" s="530"/>
      <c r="O796" s="530"/>
      <c r="P796" s="530"/>
      <c r="Q796" s="530"/>
      <c r="R796" s="1432"/>
      <c r="S796" s="530"/>
      <c r="T796" s="533"/>
      <c r="U796" s="533"/>
      <c r="V796" s="1487"/>
      <c r="W796" s="1487"/>
      <c r="X796" s="1487"/>
      <c r="Y796" s="533"/>
      <c r="Z796" s="533"/>
      <c r="AA796" s="530"/>
      <c r="AB796" s="530"/>
      <c r="AC796" s="530"/>
      <c r="AD796" s="530"/>
      <c r="AE796" s="530"/>
    </row>
    <row r="797" spans="3:31">
      <c r="C797" s="530"/>
      <c r="D797" s="530"/>
      <c r="E797" s="530"/>
      <c r="F797" s="530"/>
      <c r="G797" s="1518"/>
      <c r="H797" s="530"/>
      <c r="I797" s="1432"/>
      <c r="J797" s="530"/>
      <c r="K797" s="530"/>
      <c r="L797" s="530"/>
      <c r="M797" s="533"/>
      <c r="N797" s="530"/>
      <c r="O797" s="530"/>
      <c r="P797" s="530"/>
      <c r="Q797" s="530"/>
      <c r="R797" s="1432"/>
      <c r="S797" s="530"/>
      <c r="T797" s="533"/>
      <c r="U797" s="533"/>
      <c r="V797" s="1487"/>
      <c r="W797" s="1487"/>
      <c r="X797" s="1487"/>
      <c r="Y797" s="533"/>
      <c r="Z797" s="533"/>
      <c r="AA797" s="530"/>
      <c r="AB797" s="530"/>
      <c r="AC797" s="530"/>
      <c r="AD797" s="530"/>
      <c r="AE797" s="530"/>
    </row>
    <row r="798" spans="3:31">
      <c r="C798" s="530"/>
      <c r="D798" s="530"/>
      <c r="E798" s="530"/>
      <c r="F798" s="530"/>
      <c r="G798" s="1518"/>
      <c r="H798" s="530"/>
      <c r="I798" s="1432"/>
      <c r="J798" s="530"/>
      <c r="K798" s="530"/>
      <c r="L798" s="530"/>
      <c r="M798" s="533"/>
      <c r="N798" s="530"/>
      <c r="O798" s="530"/>
      <c r="P798" s="530"/>
      <c r="Q798" s="530"/>
      <c r="R798" s="1432"/>
      <c r="S798" s="530"/>
      <c r="T798" s="533"/>
      <c r="U798" s="533"/>
      <c r="V798" s="1487"/>
      <c r="W798" s="1487"/>
      <c r="X798" s="1487"/>
      <c r="Y798" s="533"/>
      <c r="Z798" s="533"/>
      <c r="AA798" s="530"/>
      <c r="AB798" s="530"/>
      <c r="AC798" s="530"/>
      <c r="AD798" s="530"/>
      <c r="AE798" s="530"/>
    </row>
    <row r="799" spans="3:31">
      <c r="C799" s="530"/>
      <c r="D799" s="530"/>
      <c r="E799" s="530"/>
      <c r="F799" s="530"/>
      <c r="G799" s="1518"/>
      <c r="H799" s="530"/>
      <c r="I799" s="1432"/>
      <c r="J799" s="530"/>
      <c r="K799" s="530"/>
      <c r="L799" s="530"/>
      <c r="M799" s="533"/>
      <c r="N799" s="530"/>
      <c r="O799" s="530"/>
      <c r="P799" s="530"/>
      <c r="Q799" s="530"/>
      <c r="R799" s="1432"/>
      <c r="S799" s="530"/>
      <c r="T799" s="533"/>
      <c r="U799" s="533"/>
      <c r="V799" s="1487"/>
      <c r="W799" s="1487"/>
      <c r="X799" s="1487"/>
      <c r="Y799" s="533"/>
      <c r="Z799" s="533"/>
      <c r="AA799" s="530"/>
      <c r="AB799" s="530"/>
      <c r="AC799" s="530"/>
      <c r="AD799" s="530"/>
      <c r="AE799" s="530"/>
    </row>
    <row r="800" spans="3:31">
      <c r="C800" s="530"/>
      <c r="D800" s="530"/>
      <c r="E800" s="530"/>
      <c r="F800" s="530"/>
      <c r="G800" s="1518"/>
      <c r="H800" s="530"/>
      <c r="I800" s="1432"/>
      <c r="J800" s="530"/>
      <c r="K800" s="530"/>
      <c r="L800" s="530"/>
      <c r="M800" s="533"/>
      <c r="N800" s="530"/>
      <c r="O800" s="530"/>
      <c r="P800" s="530"/>
      <c r="Q800" s="530"/>
      <c r="R800" s="1432"/>
      <c r="S800" s="530"/>
      <c r="T800" s="533"/>
      <c r="U800" s="533"/>
      <c r="V800" s="1487"/>
      <c r="W800" s="1487"/>
      <c r="X800" s="1487"/>
      <c r="Y800" s="533"/>
      <c r="Z800" s="533"/>
      <c r="AA800" s="530"/>
      <c r="AB800" s="530"/>
      <c r="AC800" s="530"/>
      <c r="AD800" s="530"/>
      <c r="AE800" s="530"/>
    </row>
    <row r="801" spans="3:31">
      <c r="C801" s="530"/>
      <c r="D801" s="530"/>
      <c r="E801" s="530"/>
      <c r="F801" s="530"/>
      <c r="G801" s="1518"/>
      <c r="H801" s="530"/>
      <c r="I801" s="1432"/>
      <c r="J801" s="530"/>
      <c r="K801" s="530"/>
      <c r="L801" s="530"/>
      <c r="M801" s="533"/>
      <c r="N801" s="530"/>
      <c r="O801" s="530"/>
      <c r="P801" s="530"/>
      <c r="Q801" s="530"/>
      <c r="R801" s="1432"/>
      <c r="S801" s="530"/>
      <c r="T801" s="533"/>
      <c r="U801" s="533"/>
      <c r="V801" s="1487"/>
      <c r="W801" s="1487"/>
      <c r="X801" s="1487"/>
      <c r="Y801" s="533"/>
      <c r="Z801" s="533"/>
      <c r="AA801" s="530"/>
      <c r="AB801" s="530"/>
      <c r="AC801" s="530"/>
      <c r="AD801" s="530"/>
      <c r="AE801" s="530"/>
    </row>
    <row r="802" spans="3:31">
      <c r="C802" s="530"/>
      <c r="D802" s="530"/>
      <c r="E802" s="530"/>
      <c r="F802" s="530"/>
      <c r="G802" s="1518"/>
      <c r="H802" s="530"/>
      <c r="I802" s="1432"/>
      <c r="J802" s="530"/>
      <c r="K802" s="530"/>
      <c r="L802" s="530"/>
      <c r="M802" s="533"/>
      <c r="N802" s="530"/>
      <c r="O802" s="530"/>
      <c r="P802" s="530"/>
      <c r="Q802" s="530"/>
      <c r="R802" s="1432"/>
      <c r="S802" s="530"/>
      <c r="T802" s="533"/>
      <c r="U802" s="533"/>
      <c r="V802" s="1487"/>
      <c r="W802" s="1487"/>
      <c r="X802" s="1487"/>
      <c r="Y802" s="533"/>
      <c r="Z802" s="533"/>
      <c r="AA802" s="530"/>
      <c r="AB802" s="530"/>
      <c r="AC802" s="530"/>
      <c r="AD802" s="530"/>
      <c r="AE802" s="530"/>
    </row>
    <row r="803" spans="3:31">
      <c r="C803" s="530"/>
      <c r="D803" s="530"/>
      <c r="E803" s="530"/>
      <c r="F803" s="530"/>
      <c r="G803" s="1518"/>
      <c r="H803" s="530"/>
      <c r="I803" s="1432"/>
      <c r="J803" s="530"/>
      <c r="K803" s="530"/>
      <c r="L803" s="530"/>
      <c r="M803" s="533"/>
      <c r="N803" s="530"/>
      <c r="O803" s="530"/>
      <c r="P803" s="530"/>
      <c r="Q803" s="530"/>
      <c r="R803" s="1432"/>
      <c r="S803" s="530"/>
      <c r="T803" s="533"/>
      <c r="U803" s="533"/>
      <c r="V803" s="1487"/>
      <c r="W803" s="1487"/>
      <c r="X803" s="1487"/>
      <c r="Y803" s="533"/>
      <c r="Z803" s="533"/>
      <c r="AA803" s="530"/>
      <c r="AB803" s="530"/>
      <c r="AC803" s="530"/>
      <c r="AD803" s="530"/>
      <c r="AE803" s="530"/>
    </row>
    <row r="804" spans="3:31">
      <c r="C804" s="530"/>
      <c r="D804" s="530"/>
      <c r="E804" s="530"/>
      <c r="F804" s="530"/>
      <c r="G804" s="1518"/>
      <c r="H804" s="530"/>
      <c r="I804" s="1432"/>
      <c r="J804" s="530"/>
      <c r="K804" s="530"/>
      <c r="L804" s="530"/>
      <c r="M804" s="533"/>
      <c r="N804" s="530"/>
      <c r="O804" s="530"/>
      <c r="P804" s="530"/>
      <c r="Q804" s="530"/>
      <c r="R804" s="1432"/>
      <c r="S804" s="530"/>
      <c r="T804" s="533"/>
      <c r="U804" s="533"/>
      <c r="V804" s="1487"/>
      <c r="W804" s="1487"/>
      <c r="X804" s="1487"/>
      <c r="Y804" s="533"/>
      <c r="Z804" s="533"/>
      <c r="AA804" s="530"/>
      <c r="AB804" s="530"/>
      <c r="AC804" s="530"/>
      <c r="AD804" s="530"/>
      <c r="AE804" s="530"/>
    </row>
    <row r="805" spans="3:31">
      <c r="C805" s="530"/>
      <c r="D805" s="530"/>
      <c r="E805" s="530"/>
      <c r="F805" s="530"/>
      <c r="G805" s="1518"/>
      <c r="H805" s="530"/>
      <c r="I805" s="1432"/>
      <c r="J805" s="530"/>
      <c r="K805" s="530"/>
      <c r="L805" s="530"/>
      <c r="M805" s="533"/>
      <c r="N805" s="530"/>
      <c r="O805" s="530"/>
      <c r="P805" s="530"/>
      <c r="Q805" s="530"/>
      <c r="R805" s="1432"/>
      <c r="S805" s="530"/>
      <c r="T805" s="533"/>
      <c r="U805" s="533"/>
      <c r="V805" s="1487"/>
      <c r="W805" s="1487"/>
      <c r="X805" s="1487"/>
      <c r="Y805" s="533"/>
      <c r="Z805" s="533"/>
      <c r="AA805" s="530"/>
      <c r="AB805" s="530"/>
      <c r="AC805" s="530"/>
      <c r="AD805" s="530"/>
      <c r="AE805" s="530"/>
    </row>
    <row r="806" spans="3:31">
      <c r="C806" s="530"/>
      <c r="D806" s="530"/>
      <c r="E806" s="530"/>
      <c r="F806" s="530"/>
      <c r="G806" s="1518"/>
      <c r="H806" s="530"/>
      <c r="I806" s="1432"/>
      <c r="J806" s="530"/>
      <c r="K806" s="530"/>
      <c r="L806" s="530"/>
      <c r="M806" s="533"/>
      <c r="N806" s="530"/>
      <c r="O806" s="530"/>
      <c r="P806" s="530"/>
      <c r="Q806" s="530"/>
      <c r="R806" s="1432"/>
      <c r="S806" s="530"/>
      <c r="T806" s="533"/>
      <c r="U806" s="533"/>
      <c r="V806" s="1487"/>
      <c r="W806" s="1487"/>
      <c r="X806" s="1487"/>
      <c r="Y806" s="533"/>
      <c r="Z806" s="533"/>
      <c r="AA806" s="530"/>
      <c r="AB806" s="530"/>
      <c r="AC806" s="530"/>
      <c r="AD806" s="530"/>
      <c r="AE806" s="530"/>
    </row>
    <row r="807" spans="3:31">
      <c r="C807" s="530"/>
      <c r="D807" s="530"/>
      <c r="E807" s="530"/>
      <c r="F807" s="530"/>
      <c r="G807" s="1518"/>
      <c r="H807" s="530"/>
      <c r="I807" s="1432"/>
      <c r="J807" s="530"/>
      <c r="K807" s="530"/>
      <c r="L807" s="530"/>
      <c r="M807" s="533"/>
      <c r="N807" s="530"/>
      <c r="O807" s="530"/>
      <c r="P807" s="530"/>
      <c r="Q807" s="530"/>
      <c r="R807" s="1432"/>
      <c r="S807" s="530"/>
      <c r="T807" s="533"/>
      <c r="U807" s="533"/>
      <c r="V807" s="1487"/>
      <c r="W807" s="1487"/>
      <c r="X807" s="1487"/>
      <c r="Y807" s="533"/>
      <c r="Z807" s="533"/>
      <c r="AA807" s="530"/>
      <c r="AB807" s="530"/>
      <c r="AC807" s="530"/>
      <c r="AD807" s="530"/>
      <c r="AE807" s="530"/>
    </row>
    <row r="808" spans="3:31">
      <c r="C808" s="530"/>
      <c r="D808" s="530"/>
      <c r="E808" s="530"/>
      <c r="F808" s="530"/>
      <c r="G808" s="1518"/>
      <c r="H808" s="530"/>
      <c r="I808" s="1432"/>
      <c r="J808" s="530"/>
      <c r="K808" s="530"/>
      <c r="L808" s="530"/>
      <c r="M808" s="533"/>
      <c r="N808" s="530"/>
      <c r="O808" s="530"/>
      <c r="P808" s="530"/>
      <c r="Q808" s="530"/>
      <c r="R808" s="1432"/>
      <c r="S808" s="530"/>
      <c r="T808" s="533"/>
      <c r="U808" s="533"/>
      <c r="V808" s="1487"/>
      <c r="W808" s="1487"/>
      <c r="X808" s="1487"/>
      <c r="Y808" s="533"/>
      <c r="Z808" s="533"/>
      <c r="AA808" s="530"/>
      <c r="AB808" s="530"/>
      <c r="AC808" s="530"/>
      <c r="AD808" s="530"/>
      <c r="AE808" s="530"/>
    </row>
    <row r="809" spans="3:31">
      <c r="C809" s="530"/>
      <c r="D809" s="530"/>
      <c r="E809" s="530"/>
      <c r="F809" s="530"/>
      <c r="G809" s="1518"/>
      <c r="H809" s="530"/>
      <c r="I809" s="1432"/>
      <c r="J809" s="530"/>
      <c r="K809" s="530"/>
      <c r="L809" s="530"/>
      <c r="M809" s="533"/>
      <c r="N809" s="530"/>
      <c r="O809" s="530"/>
      <c r="P809" s="530"/>
      <c r="Q809" s="530"/>
      <c r="R809" s="1432"/>
      <c r="S809" s="530"/>
      <c r="T809" s="533"/>
      <c r="U809" s="533"/>
      <c r="V809" s="1487"/>
      <c r="W809" s="1487"/>
      <c r="X809" s="1487"/>
      <c r="Y809" s="533"/>
      <c r="Z809" s="533"/>
      <c r="AA809" s="530"/>
      <c r="AB809" s="530"/>
      <c r="AC809" s="530"/>
      <c r="AD809" s="530"/>
      <c r="AE809" s="530"/>
    </row>
    <row r="810" spans="3:31">
      <c r="C810" s="530"/>
      <c r="D810" s="530"/>
      <c r="E810" s="530"/>
      <c r="F810" s="530"/>
      <c r="G810" s="1518"/>
      <c r="H810" s="530"/>
      <c r="I810" s="1432"/>
      <c r="J810" s="530"/>
      <c r="K810" s="530"/>
      <c r="L810" s="530"/>
      <c r="M810" s="533"/>
      <c r="N810" s="530"/>
      <c r="O810" s="530"/>
      <c r="P810" s="530"/>
      <c r="Q810" s="530"/>
      <c r="R810" s="1432"/>
      <c r="S810" s="530"/>
      <c r="T810" s="533"/>
      <c r="U810" s="533"/>
      <c r="V810" s="1487"/>
      <c r="W810" s="1487"/>
      <c r="X810" s="1487"/>
      <c r="Y810" s="533"/>
      <c r="Z810" s="533"/>
      <c r="AA810" s="530"/>
      <c r="AB810" s="530"/>
      <c r="AC810" s="530"/>
      <c r="AD810" s="530"/>
      <c r="AE810" s="530"/>
    </row>
    <row r="811" spans="3:31">
      <c r="C811" s="530"/>
      <c r="D811" s="530"/>
      <c r="E811" s="530"/>
      <c r="F811" s="530"/>
      <c r="G811" s="1518"/>
      <c r="H811" s="530"/>
      <c r="I811" s="1432"/>
      <c r="J811" s="530"/>
      <c r="K811" s="530"/>
      <c r="L811" s="530"/>
      <c r="M811" s="533"/>
      <c r="N811" s="530"/>
      <c r="O811" s="530"/>
      <c r="P811" s="530"/>
      <c r="Q811" s="530"/>
      <c r="R811" s="1432"/>
      <c r="S811" s="530"/>
      <c r="T811" s="533"/>
      <c r="U811" s="533"/>
      <c r="V811" s="1487"/>
      <c r="W811" s="1487"/>
      <c r="X811" s="1487"/>
      <c r="Y811" s="533"/>
      <c r="Z811" s="533"/>
      <c r="AA811" s="530"/>
      <c r="AB811" s="530"/>
      <c r="AC811" s="530"/>
      <c r="AD811" s="530"/>
      <c r="AE811" s="530"/>
    </row>
    <row r="812" spans="3:31">
      <c r="C812" s="530"/>
      <c r="D812" s="530"/>
      <c r="E812" s="530"/>
      <c r="F812" s="530"/>
      <c r="G812" s="1518"/>
      <c r="H812" s="530"/>
      <c r="I812" s="1432"/>
      <c r="J812" s="530"/>
      <c r="K812" s="530"/>
      <c r="L812" s="530"/>
      <c r="M812" s="533"/>
      <c r="N812" s="530"/>
      <c r="O812" s="530"/>
      <c r="P812" s="530"/>
      <c r="Q812" s="530"/>
      <c r="R812" s="1432"/>
      <c r="S812" s="530"/>
      <c r="T812" s="533"/>
      <c r="U812" s="533"/>
      <c r="V812" s="1487"/>
      <c r="W812" s="1487"/>
      <c r="X812" s="1487"/>
      <c r="Y812" s="533"/>
      <c r="Z812" s="533"/>
      <c r="AA812" s="530"/>
      <c r="AB812" s="530"/>
      <c r="AC812" s="530"/>
      <c r="AD812" s="530"/>
      <c r="AE812" s="530"/>
    </row>
    <row r="813" spans="3:31">
      <c r="C813" s="530"/>
      <c r="D813" s="530"/>
      <c r="E813" s="530"/>
      <c r="F813" s="530"/>
      <c r="G813" s="1518"/>
      <c r="H813" s="530"/>
      <c r="I813" s="1432"/>
      <c r="J813" s="530"/>
      <c r="K813" s="530"/>
      <c r="L813" s="530"/>
      <c r="M813" s="533"/>
      <c r="N813" s="530"/>
      <c r="O813" s="530"/>
      <c r="P813" s="530"/>
      <c r="Q813" s="530"/>
      <c r="R813" s="1432"/>
      <c r="S813" s="530"/>
      <c r="T813" s="533"/>
      <c r="U813" s="533"/>
      <c r="V813" s="1487"/>
      <c r="W813" s="1487"/>
      <c r="X813" s="1487"/>
      <c r="Y813" s="533"/>
      <c r="Z813" s="533"/>
      <c r="AA813" s="530"/>
      <c r="AB813" s="530"/>
      <c r="AC813" s="530"/>
      <c r="AD813" s="530"/>
      <c r="AE813" s="530"/>
    </row>
    <row r="814" spans="3:31">
      <c r="C814" s="530"/>
      <c r="D814" s="530"/>
      <c r="E814" s="530"/>
      <c r="F814" s="530"/>
      <c r="G814" s="1518"/>
      <c r="H814" s="530"/>
      <c r="I814" s="1432"/>
      <c r="J814" s="530"/>
      <c r="K814" s="530"/>
      <c r="L814" s="530"/>
      <c r="M814" s="533"/>
      <c r="N814" s="530"/>
      <c r="O814" s="530"/>
      <c r="P814" s="530"/>
      <c r="Q814" s="530"/>
      <c r="R814" s="1432"/>
      <c r="S814" s="530"/>
      <c r="T814" s="533"/>
      <c r="U814" s="533"/>
      <c r="V814" s="1487"/>
      <c r="W814" s="1487"/>
      <c r="X814" s="1487"/>
      <c r="Y814" s="533"/>
      <c r="Z814" s="533"/>
      <c r="AA814" s="530"/>
      <c r="AB814" s="530"/>
      <c r="AC814" s="530"/>
      <c r="AD814" s="530"/>
      <c r="AE814" s="530"/>
    </row>
    <row r="815" spans="3:31">
      <c r="C815" s="530"/>
      <c r="D815" s="530"/>
      <c r="E815" s="530"/>
      <c r="F815" s="530"/>
      <c r="G815" s="1518"/>
      <c r="H815" s="530"/>
      <c r="I815" s="1432"/>
      <c r="J815" s="530"/>
      <c r="K815" s="530"/>
      <c r="L815" s="530"/>
      <c r="M815" s="533"/>
      <c r="N815" s="530"/>
      <c r="O815" s="530"/>
      <c r="P815" s="530"/>
      <c r="Q815" s="530"/>
      <c r="R815" s="1432"/>
      <c r="S815" s="530"/>
      <c r="T815" s="533"/>
      <c r="U815" s="533"/>
      <c r="V815" s="1487"/>
      <c r="W815" s="1487"/>
      <c r="X815" s="1487"/>
      <c r="Y815" s="533"/>
      <c r="Z815" s="533"/>
      <c r="AA815" s="530"/>
      <c r="AB815" s="530"/>
      <c r="AC815" s="530"/>
      <c r="AD815" s="530"/>
      <c r="AE815" s="530"/>
    </row>
    <row r="816" spans="3:31">
      <c r="C816" s="530"/>
      <c r="D816" s="530"/>
      <c r="E816" s="530"/>
      <c r="F816" s="530"/>
      <c r="G816" s="1518"/>
      <c r="H816" s="530"/>
      <c r="I816" s="1432"/>
      <c r="J816" s="530"/>
      <c r="K816" s="530"/>
      <c r="L816" s="530"/>
      <c r="M816" s="533"/>
      <c r="N816" s="530"/>
      <c r="O816" s="530"/>
      <c r="P816" s="530"/>
      <c r="Q816" s="530"/>
      <c r="R816" s="1432"/>
      <c r="S816" s="530"/>
      <c r="T816" s="533"/>
      <c r="U816" s="533"/>
      <c r="V816" s="1487"/>
      <c r="W816" s="1487"/>
      <c r="X816" s="1487"/>
      <c r="Y816" s="533"/>
      <c r="Z816" s="533"/>
      <c r="AA816" s="530"/>
      <c r="AB816" s="530"/>
      <c r="AC816" s="530"/>
      <c r="AD816" s="530"/>
      <c r="AE816" s="530"/>
    </row>
    <row r="817" spans="3:31">
      <c r="C817" s="530"/>
      <c r="D817" s="530"/>
      <c r="E817" s="530"/>
      <c r="F817" s="530"/>
      <c r="G817" s="1518"/>
      <c r="H817" s="530"/>
      <c r="I817" s="1432"/>
      <c r="J817" s="530"/>
      <c r="K817" s="530"/>
      <c r="L817" s="530"/>
      <c r="M817" s="533"/>
      <c r="N817" s="530"/>
      <c r="O817" s="530"/>
      <c r="P817" s="530"/>
      <c r="Q817" s="530"/>
      <c r="R817" s="1432"/>
      <c r="S817" s="530"/>
      <c r="T817" s="533"/>
      <c r="U817" s="533"/>
      <c r="V817" s="1487"/>
      <c r="W817" s="1487"/>
      <c r="X817" s="1487"/>
      <c r="Y817" s="533"/>
      <c r="Z817" s="533"/>
      <c r="AA817" s="530"/>
      <c r="AB817" s="530"/>
      <c r="AC817" s="530"/>
      <c r="AD817" s="530"/>
      <c r="AE817" s="530"/>
    </row>
    <row r="818" spans="3:31">
      <c r="C818" s="530"/>
      <c r="D818" s="530"/>
      <c r="E818" s="530"/>
      <c r="F818" s="530"/>
      <c r="G818" s="1518"/>
      <c r="H818" s="530"/>
      <c r="I818" s="1432"/>
      <c r="J818" s="530"/>
      <c r="K818" s="530"/>
      <c r="L818" s="530"/>
      <c r="M818" s="533"/>
      <c r="N818" s="530"/>
      <c r="O818" s="530"/>
      <c r="P818" s="530"/>
      <c r="Q818" s="530"/>
      <c r="R818" s="1432"/>
      <c r="S818" s="530"/>
      <c r="T818" s="533"/>
      <c r="U818" s="533"/>
      <c r="V818" s="1487"/>
      <c r="W818" s="1487"/>
      <c r="X818" s="1487"/>
      <c r="Y818" s="533"/>
      <c r="Z818" s="533"/>
      <c r="AA818" s="530"/>
      <c r="AB818" s="530"/>
      <c r="AC818" s="530"/>
      <c r="AD818" s="530"/>
      <c r="AE818" s="530"/>
    </row>
    <row r="819" spans="3:31">
      <c r="C819" s="530"/>
      <c r="D819" s="530"/>
      <c r="E819" s="530"/>
      <c r="F819" s="530"/>
      <c r="G819" s="1518"/>
      <c r="H819" s="530"/>
      <c r="I819" s="1432"/>
      <c r="J819" s="530"/>
      <c r="K819" s="530"/>
      <c r="L819" s="530"/>
      <c r="M819" s="533"/>
      <c r="N819" s="530"/>
      <c r="O819" s="530"/>
      <c r="P819" s="530"/>
      <c r="Q819" s="530"/>
      <c r="R819" s="1432"/>
      <c r="S819" s="530"/>
      <c r="T819" s="533"/>
      <c r="U819" s="533"/>
      <c r="V819" s="1487"/>
      <c r="W819" s="1487"/>
      <c r="X819" s="1487"/>
      <c r="Y819" s="533"/>
      <c r="Z819" s="533"/>
      <c r="AA819" s="530"/>
      <c r="AB819" s="530"/>
      <c r="AC819" s="530"/>
      <c r="AD819" s="530"/>
      <c r="AE819" s="530"/>
    </row>
    <row r="820" spans="3:31">
      <c r="C820" s="530"/>
      <c r="D820" s="530"/>
      <c r="E820" s="530"/>
      <c r="F820" s="530"/>
      <c r="G820" s="1518"/>
      <c r="H820" s="530"/>
      <c r="I820" s="1432"/>
      <c r="J820" s="530"/>
      <c r="K820" s="530"/>
      <c r="L820" s="530"/>
      <c r="M820" s="533"/>
      <c r="N820" s="530"/>
      <c r="O820" s="530"/>
      <c r="P820" s="530"/>
      <c r="Q820" s="530"/>
      <c r="R820" s="1432"/>
      <c r="S820" s="530"/>
      <c r="T820" s="533"/>
      <c r="U820" s="533"/>
      <c r="V820" s="1487"/>
      <c r="W820" s="1487"/>
      <c r="X820" s="1487"/>
      <c r="Y820" s="533"/>
      <c r="Z820" s="533"/>
      <c r="AA820" s="530"/>
      <c r="AB820" s="530"/>
      <c r="AC820" s="530"/>
      <c r="AD820" s="530"/>
      <c r="AE820" s="530"/>
    </row>
    <row r="821" spans="3:31">
      <c r="C821" s="530"/>
      <c r="D821" s="530"/>
      <c r="E821" s="530"/>
      <c r="F821" s="530"/>
      <c r="G821" s="1518"/>
      <c r="H821" s="530"/>
      <c r="I821" s="1432"/>
      <c r="J821" s="530"/>
      <c r="K821" s="530"/>
      <c r="L821" s="530"/>
      <c r="M821" s="533"/>
      <c r="N821" s="530"/>
      <c r="O821" s="530"/>
      <c r="P821" s="530"/>
      <c r="Q821" s="530"/>
      <c r="R821" s="1432"/>
      <c r="S821" s="530"/>
      <c r="T821" s="533"/>
      <c r="U821" s="533"/>
      <c r="V821" s="1487"/>
      <c r="W821" s="1487"/>
      <c r="X821" s="1487"/>
      <c r="Y821" s="533"/>
      <c r="Z821" s="533"/>
      <c r="AA821" s="530"/>
      <c r="AB821" s="530"/>
      <c r="AC821" s="530"/>
      <c r="AD821" s="530"/>
      <c r="AE821" s="530"/>
    </row>
    <row r="822" spans="3:31">
      <c r="C822" s="530"/>
      <c r="D822" s="530"/>
      <c r="E822" s="530"/>
      <c r="F822" s="530"/>
      <c r="G822" s="1518"/>
      <c r="H822" s="530"/>
      <c r="I822" s="1432"/>
      <c r="J822" s="530"/>
      <c r="K822" s="530"/>
      <c r="L822" s="530"/>
      <c r="M822" s="533"/>
      <c r="N822" s="530"/>
      <c r="O822" s="530"/>
      <c r="P822" s="530"/>
      <c r="Q822" s="530"/>
      <c r="R822" s="1432"/>
      <c r="S822" s="530"/>
      <c r="T822" s="533"/>
      <c r="U822" s="533"/>
      <c r="V822" s="1487"/>
      <c r="W822" s="1487"/>
      <c r="X822" s="1487"/>
      <c r="Y822" s="533"/>
      <c r="Z822" s="533"/>
      <c r="AA822" s="530"/>
      <c r="AB822" s="530"/>
      <c r="AC822" s="530"/>
      <c r="AD822" s="530"/>
      <c r="AE822" s="530"/>
    </row>
    <row r="823" spans="3:31">
      <c r="C823" s="530"/>
      <c r="D823" s="530"/>
      <c r="E823" s="530"/>
      <c r="F823" s="530"/>
      <c r="G823" s="1518"/>
      <c r="H823" s="530"/>
      <c r="I823" s="1432"/>
      <c r="J823" s="530"/>
      <c r="K823" s="530"/>
      <c r="L823" s="530"/>
      <c r="M823" s="533"/>
      <c r="N823" s="530"/>
      <c r="O823" s="530"/>
      <c r="P823" s="530"/>
      <c r="Q823" s="530"/>
      <c r="R823" s="1432"/>
      <c r="S823" s="530"/>
      <c r="T823" s="533"/>
      <c r="U823" s="533"/>
      <c r="V823" s="1487"/>
      <c r="W823" s="1487"/>
      <c r="X823" s="1487"/>
      <c r="Y823" s="533"/>
      <c r="Z823" s="533"/>
      <c r="AA823" s="530"/>
      <c r="AB823" s="530"/>
      <c r="AC823" s="530"/>
      <c r="AD823" s="530"/>
      <c r="AE823" s="530"/>
    </row>
    <row r="824" spans="3:31">
      <c r="C824" s="530"/>
      <c r="D824" s="530"/>
      <c r="E824" s="530"/>
      <c r="F824" s="530"/>
      <c r="G824" s="1518"/>
      <c r="H824" s="530"/>
      <c r="I824" s="1432"/>
      <c r="J824" s="530"/>
      <c r="K824" s="530"/>
      <c r="L824" s="530"/>
      <c r="M824" s="533"/>
      <c r="N824" s="530"/>
      <c r="O824" s="530"/>
      <c r="P824" s="530"/>
      <c r="Q824" s="530"/>
      <c r="R824" s="1432"/>
      <c r="S824" s="530"/>
      <c r="T824" s="533"/>
      <c r="U824" s="533"/>
      <c r="V824" s="1487"/>
      <c r="W824" s="1487"/>
      <c r="X824" s="1487"/>
      <c r="Y824" s="533"/>
      <c r="Z824" s="533"/>
      <c r="AA824" s="530"/>
      <c r="AB824" s="530"/>
      <c r="AC824" s="530"/>
      <c r="AD824" s="530"/>
      <c r="AE824" s="530"/>
    </row>
    <row r="825" spans="3:31">
      <c r="C825" s="530"/>
      <c r="D825" s="530"/>
      <c r="E825" s="530"/>
      <c r="F825" s="530"/>
      <c r="G825" s="1518"/>
      <c r="H825" s="530"/>
      <c r="I825" s="1432"/>
      <c r="J825" s="530"/>
      <c r="K825" s="530"/>
      <c r="L825" s="530"/>
      <c r="M825" s="533"/>
      <c r="N825" s="530"/>
      <c r="O825" s="530"/>
      <c r="P825" s="530"/>
      <c r="Q825" s="530"/>
      <c r="R825" s="1432"/>
      <c r="S825" s="530"/>
      <c r="T825" s="533"/>
      <c r="U825" s="533"/>
      <c r="V825" s="1487"/>
      <c r="W825" s="1487"/>
      <c r="X825" s="1487"/>
      <c r="Y825" s="533"/>
      <c r="Z825" s="533"/>
      <c r="AA825" s="530"/>
      <c r="AB825" s="530"/>
      <c r="AC825" s="530"/>
      <c r="AD825" s="530"/>
      <c r="AE825" s="530"/>
    </row>
    <row r="826" spans="3:31">
      <c r="C826" s="530"/>
      <c r="D826" s="530"/>
      <c r="E826" s="530"/>
      <c r="F826" s="530"/>
      <c r="G826" s="1518"/>
      <c r="H826" s="530"/>
      <c r="I826" s="1432"/>
      <c r="J826" s="530"/>
      <c r="K826" s="530"/>
      <c r="L826" s="530"/>
      <c r="M826" s="533"/>
      <c r="N826" s="530"/>
      <c r="O826" s="530"/>
      <c r="P826" s="530"/>
      <c r="Q826" s="530"/>
      <c r="R826" s="1432"/>
      <c r="S826" s="530"/>
      <c r="T826" s="533"/>
      <c r="U826" s="533"/>
      <c r="V826" s="1487"/>
      <c r="W826" s="1487"/>
      <c r="X826" s="1487"/>
      <c r="Y826" s="533"/>
      <c r="Z826" s="533"/>
      <c r="AA826" s="530"/>
      <c r="AB826" s="530"/>
      <c r="AC826" s="530"/>
      <c r="AD826" s="530"/>
      <c r="AE826" s="530"/>
    </row>
    <row r="827" spans="3:31">
      <c r="C827" s="530"/>
      <c r="D827" s="530"/>
      <c r="E827" s="530"/>
      <c r="F827" s="530"/>
      <c r="G827" s="1518"/>
      <c r="H827" s="530"/>
      <c r="I827" s="1432"/>
      <c r="J827" s="530"/>
      <c r="K827" s="530"/>
      <c r="L827" s="530"/>
      <c r="M827" s="533"/>
      <c r="N827" s="530"/>
      <c r="O827" s="530"/>
      <c r="P827" s="530"/>
      <c r="Q827" s="530"/>
      <c r="R827" s="1432"/>
      <c r="S827" s="530"/>
      <c r="T827" s="533"/>
      <c r="U827" s="533"/>
      <c r="V827" s="1487"/>
      <c r="W827" s="1487"/>
      <c r="X827" s="1487"/>
      <c r="Y827" s="533"/>
      <c r="Z827" s="533"/>
      <c r="AA827" s="530"/>
      <c r="AB827" s="530"/>
      <c r="AC827" s="530"/>
      <c r="AD827" s="530"/>
      <c r="AE827" s="530"/>
    </row>
    <row r="828" spans="3:31">
      <c r="C828" s="530"/>
      <c r="D828" s="530"/>
      <c r="E828" s="530"/>
      <c r="F828" s="530"/>
      <c r="G828" s="1518"/>
      <c r="H828" s="530"/>
      <c r="I828" s="1432"/>
      <c r="J828" s="530"/>
      <c r="K828" s="530"/>
      <c r="L828" s="530"/>
      <c r="M828" s="533"/>
      <c r="N828" s="530"/>
      <c r="O828" s="530"/>
      <c r="P828" s="530"/>
      <c r="Q828" s="530"/>
      <c r="R828" s="1432"/>
      <c r="S828" s="530"/>
      <c r="T828" s="533"/>
      <c r="U828" s="533"/>
      <c r="V828" s="1487"/>
      <c r="W828" s="1487"/>
      <c r="X828" s="1487"/>
      <c r="Y828" s="533"/>
      <c r="Z828" s="533"/>
      <c r="AA828" s="530"/>
      <c r="AB828" s="530"/>
      <c r="AC828" s="530"/>
      <c r="AD828" s="530"/>
      <c r="AE828" s="530"/>
    </row>
    <row r="829" spans="3:31">
      <c r="C829" s="530"/>
      <c r="D829" s="530"/>
      <c r="E829" s="530"/>
      <c r="F829" s="530"/>
      <c r="G829" s="1518"/>
      <c r="H829" s="530"/>
      <c r="I829" s="1432"/>
      <c r="J829" s="530"/>
      <c r="K829" s="530"/>
      <c r="L829" s="530"/>
      <c r="M829" s="533"/>
      <c r="N829" s="530"/>
      <c r="O829" s="530"/>
      <c r="P829" s="530"/>
      <c r="Q829" s="530"/>
      <c r="R829" s="1432"/>
      <c r="S829" s="530"/>
      <c r="T829" s="533"/>
      <c r="U829" s="533"/>
      <c r="V829" s="1487"/>
      <c r="W829" s="1487"/>
      <c r="X829" s="1487"/>
      <c r="Y829" s="533"/>
      <c r="Z829" s="533"/>
      <c r="AA829" s="530"/>
      <c r="AB829" s="530"/>
      <c r="AC829" s="530"/>
      <c r="AD829" s="530"/>
      <c r="AE829" s="530"/>
    </row>
    <row r="830" spans="3:31">
      <c r="C830" s="530"/>
      <c r="D830" s="530"/>
      <c r="E830" s="530"/>
      <c r="F830" s="530"/>
      <c r="G830" s="1518"/>
      <c r="H830" s="530"/>
      <c r="I830" s="1432"/>
      <c r="J830" s="530"/>
      <c r="K830" s="530"/>
      <c r="L830" s="530"/>
      <c r="M830" s="533"/>
      <c r="N830" s="530"/>
      <c r="O830" s="530"/>
      <c r="P830" s="530"/>
      <c r="Q830" s="530"/>
      <c r="R830" s="1432"/>
      <c r="S830" s="530"/>
      <c r="T830" s="533"/>
      <c r="U830" s="533"/>
      <c r="V830" s="1487"/>
      <c r="W830" s="1487"/>
      <c r="X830" s="1487"/>
      <c r="Y830" s="533"/>
      <c r="Z830" s="533"/>
      <c r="AA830" s="530"/>
      <c r="AB830" s="530"/>
      <c r="AC830" s="530"/>
      <c r="AD830" s="530"/>
      <c r="AE830" s="530"/>
    </row>
    <row r="831" spans="3:31">
      <c r="C831" s="530"/>
      <c r="D831" s="530"/>
      <c r="E831" s="530"/>
      <c r="F831" s="530"/>
      <c r="G831" s="1518"/>
      <c r="H831" s="530"/>
      <c r="I831" s="1432"/>
      <c r="J831" s="530"/>
      <c r="K831" s="530"/>
      <c r="L831" s="530"/>
      <c r="M831" s="533"/>
      <c r="N831" s="530"/>
      <c r="O831" s="530"/>
      <c r="P831" s="530"/>
      <c r="Q831" s="530"/>
      <c r="R831" s="1432"/>
      <c r="S831" s="530"/>
      <c r="T831" s="533"/>
      <c r="U831" s="533"/>
      <c r="V831" s="1487"/>
      <c r="W831" s="1487"/>
      <c r="X831" s="1487"/>
      <c r="Y831" s="533"/>
      <c r="Z831" s="533"/>
      <c r="AA831" s="530"/>
      <c r="AB831" s="530"/>
      <c r="AC831" s="530"/>
      <c r="AD831" s="530"/>
      <c r="AE831" s="530"/>
    </row>
    <row r="832" spans="3:31">
      <c r="C832" s="530"/>
      <c r="D832" s="530"/>
      <c r="E832" s="530"/>
      <c r="F832" s="530"/>
      <c r="G832" s="1518"/>
      <c r="H832" s="530"/>
      <c r="I832" s="1432"/>
      <c r="J832" s="530"/>
      <c r="K832" s="530"/>
      <c r="L832" s="530"/>
      <c r="M832" s="533"/>
      <c r="N832" s="530"/>
      <c r="O832" s="530"/>
      <c r="P832" s="530"/>
      <c r="Q832" s="530"/>
      <c r="R832" s="1432"/>
      <c r="S832" s="530"/>
      <c r="T832" s="533"/>
      <c r="U832" s="533"/>
      <c r="V832" s="1487"/>
      <c r="W832" s="1487"/>
      <c r="X832" s="1487"/>
      <c r="Y832" s="533"/>
      <c r="Z832" s="533"/>
      <c r="AA832" s="530"/>
      <c r="AB832" s="530"/>
      <c r="AC832" s="530"/>
      <c r="AD832" s="530"/>
      <c r="AE832" s="530"/>
    </row>
    <row r="833" spans="3:31">
      <c r="C833" s="530"/>
      <c r="D833" s="530"/>
      <c r="E833" s="530"/>
      <c r="F833" s="530"/>
      <c r="G833" s="1518"/>
      <c r="H833" s="530"/>
      <c r="I833" s="1432"/>
      <c r="J833" s="530"/>
      <c r="K833" s="530"/>
      <c r="L833" s="530"/>
      <c r="M833" s="533"/>
      <c r="N833" s="530"/>
      <c r="O833" s="530"/>
      <c r="P833" s="530"/>
      <c r="Q833" s="530"/>
      <c r="R833" s="1432"/>
      <c r="S833" s="530"/>
      <c r="T833" s="533"/>
      <c r="U833" s="533"/>
      <c r="V833" s="1487"/>
      <c r="W833" s="1487"/>
      <c r="X833" s="1487"/>
      <c r="Y833" s="533"/>
      <c r="Z833" s="533"/>
      <c r="AA833" s="530"/>
      <c r="AB833" s="530"/>
      <c r="AC833" s="530"/>
      <c r="AD833" s="530"/>
      <c r="AE833" s="530"/>
    </row>
    <row r="834" spans="3:31">
      <c r="C834" s="530"/>
      <c r="D834" s="530"/>
      <c r="E834" s="530"/>
      <c r="F834" s="530"/>
      <c r="G834" s="1518"/>
      <c r="H834" s="530"/>
      <c r="I834" s="1432"/>
      <c r="J834" s="530"/>
      <c r="K834" s="530"/>
      <c r="L834" s="530"/>
      <c r="M834" s="533"/>
      <c r="N834" s="530"/>
      <c r="O834" s="530"/>
      <c r="P834" s="530"/>
      <c r="Q834" s="530"/>
      <c r="R834" s="1432"/>
      <c r="S834" s="530"/>
      <c r="T834" s="533"/>
      <c r="U834" s="533"/>
      <c r="V834" s="1487"/>
      <c r="W834" s="1487"/>
      <c r="X834" s="1487"/>
      <c r="Y834" s="533"/>
      <c r="Z834" s="533"/>
      <c r="AA834" s="530"/>
      <c r="AB834" s="530"/>
      <c r="AC834" s="530"/>
      <c r="AD834" s="530"/>
      <c r="AE834" s="530"/>
    </row>
    <row r="835" spans="3:31">
      <c r="C835" s="530"/>
      <c r="D835" s="530"/>
      <c r="E835" s="530"/>
      <c r="F835" s="530"/>
      <c r="G835" s="1518"/>
      <c r="H835" s="530"/>
      <c r="I835" s="1432"/>
      <c r="J835" s="530"/>
      <c r="K835" s="530"/>
      <c r="L835" s="530"/>
      <c r="M835" s="533"/>
      <c r="N835" s="530"/>
      <c r="O835" s="530"/>
      <c r="P835" s="530"/>
      <c r="Q835" s="530"/>
      <c r="R835" s="1432"/>
      <c r="S835" s="530"/>
      <c r="T835" s="533"/>
      <c r="U835" s="533"/>
      <c r="V835" s="1487"/>
      <c r="W835" s="1487"/>
      <c r="X835" s="1487"/>
      <c r="Y835" s="533"/>
      <c r="Z835" s="533"/>
      <c r="AA835" s="530"/>
      <c r="AB835" s="530"/>
      <c r="AC835" s="530"/>
      <c r="AD835" s="530"/>
      <c r="AE835" s="530"/>
    </row>
    <row r="836" spans="3:31">
      <c r="C836" s="530"/>
      <c r="D836" s="530"/>
      <c r="E836" s="530"/>
      <c r="F836" s="530"/>
      <c r="G836" s="1518"/>
      <c r="H836" s="530"/>
      <c r="I836" s="1432"/>
      <c r="J836" s="530"/>
      <c r="K836" s="530"/>
      <c r="L836" s="530"/>
      <c r="M836" s="533"/>
      <c r="N836" s="530"/>
      <c r="O836" s="530"/>
      <c r="P836" s="530"/>
      <c r="Q836" s="530"/>
      <c r="R836" s="1432"/>
      <c r="S836" s="530"/>
      <c r="T836" s="533"/>
      <c r="U836" s="533"/>
      <c r="V836" s="1487"/>
      <c r="W836" s="1487"/>
      <c r="X836" s="1487"/>
      <c r="Y836" s="533"/>
      <c r="Z836" s="533"/>
      <c r="AA836" s="530"/>
      <c r="AB836" s="530"/>
      <c r="AC836" s="530"/>
      <c r="AD836" s="530"/>
      <c r="AE836" s="530"/>
    </row>
    <row r="837" spans="3:31">
      <c r="C837" s="530"/>
      <c r="D837" s="530"/>
      <c r="E837" s="530"/>
      <c r="F837" s="530"/>
      <c r="G837" s="1518"/>
      <c r="H837" s="530"/>
      <c r="I837" s="1432"/>
      <c r="J837" s="530"/>
      <c r="K837" s="530"/>
      <c r="L837" s="530"/>
      <c r="M837" s="533"/>
      <c r="N837" s="530"/>
      <c r="O837" s="530"/>
      <c r="P837" s="530"/>
      <c r="Q837" s="530"/>
      <c r="R837" s="1432"/>
      <c r="S837" s="530"/>
      <c r="T837" s="533"/>
      <c r="U837" s="533"/>
      <c r="V837" s="1487"/>
      <c r="W837" s="1487"/>
      <c r="X837" s="1487"/>
      <c r="Y837" s="533"/>
      <c r="Z837" s="533"/>
      <c r="AA837" s="530"/>
      <c r="AB837" s="530"/>
      <c r="AC837" s="530"/>
      <c r="AD837" s="530"/>
      <c r="AE837" s="530"/>
    </row>
    <row r="838" spans="3:31">
      <c r="C838" s="530"/>
      <c r="D838" s="530"/>
      <c r="E838" s="530"/>
      <c r="F838" s="530"/>
      <c r="G838" s="1518"/>
      <c r="H838" s="530"/>
      <c r="I838" s="1432"/>
      <c r="J838" s="530"/>
      <c r="K838" s="530"/>
      <c r="L838" s="530"/>
      <c r="M838" s="533"/>
      <c r="N838" s="530"/>
      <c r="O838" s="530"/>
      <c r="P838" s="530"/>
      <c r="Q838" s="530"/>
      <c r="R838" s="1432"/>
      <c r="S838" s="530"/>
      <c r="T838" s="533"/>
      <c r="U838" s="533"/>
      <c r="V838" s="1487"/>
      <c r="W838" s="1487"/>
      <c r="X838" s="1487"/>
      <c r="Y838" s="533"/>
      <c r="Z838" s="533"/>
      <c r="AA838" s="530"/>
      <c r="AB838" s="530"/>
      <c r="AC838" s="530"/>
      <c r="AD838" s="530"/>
      <c r="AE838" s="530"/>
    </row>
    <row r="839" spans="3:31">
      <c r="C839" s="530"/>
      <c r="D839" s="530"/>
      <c r="E839" s="530"/>
      <c r="F839" s="530"/>
      <c r="G839" s="1518"/>
      <c r="H839" s="530"/>
      <c r="I839" s="1432"/>
      <c r="J839" s="530"/>
      <c r="K839" s="530"/>
      <c r="L839" s="530"/>
      <c r="M839" s="533"/>
      <c r="N839" s="530"/>
      <c r="O839" s="530"/>
      <c r="P839" s="530"/>
      <c r="Q839" s="530"/>
      <c r="R839" s="1432"/>
      <c r="S839" s="530"/>
      <c r="T839" s="533"/>
      <c r="U839" s="533"/>
      <c r="V839" s="1487"/>
      <c r="W839" s="1487"/>
      <c r="X839" s="1487"/>
      <c r="Y839" s="533"/>
      <c r="Z839" s="533"/>
      <c r="AA839" s="530"/>
      <c r="AB839" s="530"/>
      <c r="AC839" s="530"/>
      <c r="AD839" s="530"/>
      <c r="AE839" s="530"/>
    </row>
    <row r="840" spans="3:31">
      <c r="C840" s="530"/>
      <c r="D840" s="530"/>
      <c r="E840" s="530"/>
      <c r="F840" s="530"/>
      <c r="G840" s="1518"/>
      <c r="H840" s="530"/>
      <c r="I840" s="1432"/>
      <c r="J840" s="530"/>
      <c r="K840" s="530"/>
      <c r="L840" s="530"/>
      <c r="M840" s="533"/>
      <c r="N840" s="530"/>
      <c r="O840" s="530"/>
      <c r="P840" s="530"/>
      <c r="Q840" s="530"/>
      <c r="R840" s="1432"/>
      <c r="S840" s="530"/>
      <c r="T840" s="533"/>
      <c r="U840" s="533"/>
      <c r="V840" s="1487"/>
      <c r="W840" s="1487"/>
      <c r="X840" s="1487"/>
      <c r="Y840" s="533"/>
      <c r="Z840" s="533"/>
      <c r="AA840" s="530"/>
      <c r="AB840" s="530"/>
      <c r="AC840" s="530"/>
      <c r="AD840" s="530"/>
      <c r="AE840" s="530"/>
    </row>
    <row r="841" spans="3:31">
      <c r="C841" s="530"/>
      <c r="D841" s="530"/>
      <c r="E841" s="530"/>
      <c r="F841" s="530"/>
      <c r="G841" s="1518"/>
      <c r="H841" s="530"/>
      <c r="I841" s="1432"/>
      <c r="J841" s="530"/>
      <c r="K841" s="530"/>
      <c r="L841" s="530"/>
      <c r="M841" s="533"/>
      <c r="N841" s="530"/>
      <c r="O841" s="530"/>
      <c r="P841" s="530"/>
      <c r="Q841" s="530"/>
      <c r="R841" s="1432"/>
      <c r="S841" s="530"/>
      <c r="T841" s="533"/>
      <c r="U841" s="533"/>
      <c r="V841" s="1487"/>
      <c r="W841" s="1487"/>
      <c r="X841" s="1487"/>
      <c r="Y841" s="533"/>
      <c r="Z841" s="533"/>
      <c r="AA841" s="530"/>
      <c r="AB841" s="530"/>
      <c r="AC841" s="530"/>
      <c r="AD841" s="530"/>
      <c r="AE841" s="530"/>
    </row>
    <row r="842" spans="3:31">
      <c r="C842" s="530"/>
      <c r="D842" s="530"/>
      <c r="E842" s="530"/>
      <c r="F842" s="530"/>
      <c r="G842" s="1518"/>
      <c r="H842" s="530"/>
      <c r="I842" s="1432"/>
      <c r="J842" s="530"/>
      <c r="K842" s="530"/>
      <c r="L842" s="530"/>
      <c r="M842" s="533"/>
      <c r="N842" s="530"/>
      <c r="O842" s="530"/>
      <c r="P842" s="530"/>
      <c r="Q842" s="530"/>
      <c r="R842" s="1432"/>
      <c r="S842" s="530"/>
      <c r="T842" s="533"/>
      <c r="U842" s="533"/>
      <c r="V842" s="1487"/>
      <c r="W842" s="1487"/>
      <c r="X842" s="1487"/>
      <c r="Y842" s="533"/>
      <c r="Z842" s="533"/>
      <c r="AA842" s="530"/>
      <c r="AB842" s="530"/>
      <c r="AC842" s="530"/>
      <c r="AD842" s="530"/>
      <c r="AE842" s="530"/>
    </row>
    <row r="843" spans="3:31">
      <c r="C843" s="530"/>
      <c r="D843" s="530"/>
      <c r="E843" s="530"/>
      <c r="F843" s="530"/>
      <c r="G843" s="1518"/>
      <c r="H843" s="530"/>
      <c r="I843" s="1432"/>
      <c r="J843" s="530"/>
      <c r="K843" s="530"/>
      <c r="L843" s="530"/>
      <c r="M843" s="533"/>
      <c r="N843" s="530"/>
      <c r="O843" s="530"/>
      <c r="P843" s="530"/>
      <c r="Q843" s="530"/>
      <c r="R843" s="1432"/>
      <c r="S843" s="530"/>
      <c r="T843" s="533"/>
      <c r="U843" s="533"/>
      <c r="V843" s="1487"/>
      <c r="W843" s="1487"/>
      <c r="X843" s="1487"/>
      <c r="Y843" s="533"/>
      <c r="Z843" s="533"/>
      <c r="AA843" s="530"/>
      <c r="AB843" s="530"/>
      <c r="AC843" s="530"/>
      <c r="AD843" s="530"/>
      <c r="AE843" s="530"/>
    </row>
    <row r="844" spans="3:31">
      <c r="C844" s="530"/>
      <c r="D844" s="530"/>
      <c r="E844" s="530"/>
      <c r="F844" s="530"/>
      <c r="G844" s="1518"/>
      <c r="H844" s="530"/>
      <c r="I844" s="1432"/>
      <c r="J844" s="530"/>
      <c r="K844" s="530"/>
      <c r="L844" s="530"/>
      <c r="M844" s="533"/>
      <c r="N844" s="530"/>
      <c r="O844" s="530"/>
      <c r="P844" s="530"/>
      <c r="Q844" s="530"/>
      <c r="R844" s="1432"/>
      <c r="S844" s="530"/>
      <c r="T844" s="533"/>
      <c r="U844" s="533"/>
      <c r="V844" s="1487"/>
      <c r="W844" s="1487"/>
      <c r="X844" s="1487"/>
      <c r="Y844" s="533"/>
      <c r="Z844" s="533"/>
      <c r="AA844" s="530"/>
      <c r="AB844" s="530"/>
      <c r="AC844" s="530"/>
      <c r="AD844" s="530"/>
      <c r="AE844" s="530"/>
    </row>
    <row r="845" spans="3:31">
      <c r="C845" s="530"/>
      <c r="D845" s="530"/>
      <c r="E845" s="530"/>
      <c r="F845" s="530"/>
      <c r="G845" s="1518"/>
      <c r="H845" s="530"/>
      <c r="I845" s="1432"/>
      <c r="J845" s="530"/>
      <c r="K845" s="530"/>
      <c r="L845" s="530"/>
      <c r="M845" s="533"/>
      <c r="N845" s="530"/>
      <c r="O845" s="530"/>
      <c r="P845" s="530"/>
      <c r="Q845" s="530"/>
      <c r="R845" s="1432"/>
      <c r="S845" s="530"/>
      <c r="T845" s="533"/>
      <c r="U845" s="533"/>
      <c r="V845" s="1487"/>
      <c r="W845" s="1487"/>
      <c r="X845" s="1487"/>
      <c r="Y845" s="533"/>
      <c r="Z845" s="533"/>
      <c r="AA845" s="530"/>
      <c r="AB845" s="530"/>
      <c r="AC845" s="530"/>
      <c r="AD845" s="530"/>
      <c r="AE845" s="530"/>
    </row>
    <row r="846" spans="3:31">
      <c r="C846" s="530"/>
      <c r="D846" s="530"/>
      <c r="E846" s="530"/>
      <c r="F846" s="530"/>
      <c r="G846" s="1518"/>
      <c r="H846" s="530"/>
      <c r="I846" s="1432"/>
      <c r="J846" s="530"/>
      <c r="K846" s="530"/>
      <c r="L846" s="530"/>
      <c r="M846" s="533"/>
      <c r="N846" s="530"/>
      <c r="O846" s="530"/>
      <c r="P846" s="530"/>
      <c r="Q846" s="530"/>
      <c r="R846" s="1432"/>
      <c r="S846" s="530"/>
      <c r="T846" s="533"/>
      <c r="U846" s="533"/>
      <c r="V846" s="1487"/>
      <c r="W846" s="1487"/>
      <c r="X846" s="1487"/>
      <c r="Y846" s="533"/>
      <c r="Z846" s="533"/>
      <c r="AA846" s="530"/>
      <c r="AB846" s="530"/>
      <c r="AC846" s="530"/>
      <c r="AD846" s="530"/>
      <c r="AE846" s="530"/>
    </row>
    <row r="847" spans="3:31">
      <c r="C847" s="530"/>
      <c r="D847" s="530"/>
      <c r="E847" s="530"/>
      <c r="F847" s="530"/>
      <c r="G847" s="1518"/>
      <c r="H847" s="530"/>
      <c r="I847" s="1432"/>
      <c r="J847" s="530"/>
      <c r="K847" s="530"/>
      <c r="L847" s="530"/>
      <c r="M847" s="533"/>
      <c r="N847" s="530"/>
      <c r="O847" s="530"/>
      <c r="P847" s="530"/>
      <c r="Q847" s="530"/>
      <c r="R847" s="1432"/>
      <c r="S847" s="530"/>
      <c r="T847" s="533"/>
      <c r="U847" s="533"/>
      <c r="V847" s="1487"/>
      <c r="W847" s="1487"/>
      <c r="X847" s="1487"/>
      <c r="Y847" s="533"/>
      <c r="Z847" s="533"/>
      <c r="AA847" s="530"/>
      <c r="AB847" s="530"/>
      <c r="AC847" s="530"/>
      <c r="AD847" s="530"/>
      <c r="AE847" s="530"/>
    </row>
    <row r="848" spans="3:31">
      <c r="C848" s="530"/>
      <c r="D848" s="530"/>
      <c r="E848" s="530"/>
      <c r="F848" s="530"/>
      <c r="G848" s="1518"/>
      <c r="H848" s="530"/>
      <c r="I848" s="1432"/>
      <c r="J848" s="530"/>
      <c r="K848" s="530"/>
      <c r="L848" s="530"/>
      <c r="M848" s="533"/>
      <c r="N848" s="530"/>
      <c r="O848" s="530"/>
      <c r="P848" s="530"/>
      <c r="Q848" s="530"/>
      <c r="R848" s="1432"/>
      <c r="S848" s="530"/>
      <c r="T848" s="533"/>
      <c r="U848" s="533"/>
      <c r="V848" s="1487"/>
      <c r="W848" s="1487"/>
      <c r="X848" s="1487"/>
      <c r="Y848" s="533"/>
      <c r="Z848" s="533"/>
      <c r="AA848" s="530"/>
      <c r="AB848" s="530"/>
      <c r="AC848" s="530"/>
      <c r="AD848" s="530"/>
      <c r="AE848" s="530"/>
    </row>
    <row r="849" spans="3:31">
      <c r="C849" s="530"/>
      <c r="D849" s="530"/>
      <c r="E849" s="530"/>
      <c r="F849" s="530"/>
      <c r="G849" s="1518"/>
      <c r="H849" s="530"/>
      <c r="I849" s="1432"/>
      <c r="J849" s="530"/>
      <c r="K849" s="530"/>
      <c r="L849" s="530"/>
      <c r="M849" s="533"/>
      <c r="N849" s="530"/>
      <c r="O849" s="530"/>
      <c r="P849" s="530"/>
      <c r="Q849" s="530"/>
      <c r="R849" s="1432"/>
      <c r="S849" s="530"/>
      <c r="T849" s="533"/>
      <c r="U849" s="533"/>
      <c r="V849" s="1487"/>
      <c r="W849" s="1487"/>
      <c r="X849" s="1487"/>
      <c r="Y849" s="533"/>
      <c r="Z849" s="533"/>
      <c r="AA849" s="530"/>
      <c r="AB849" s="530"/>
      <c r="AC849" s="530"/>
      <c r="AD849" s="530"/>
      <c r="AE849" s="530"/>
    </row>
    <row r="850" spans="3:31">
      <c r="C850" s="530"/>
      <c r="D850" s="530"/>
      <c r="E850" s="530"/>
      <c r="F850" s="530"/>
      <c r="G850" s="1518"/>
      <c r="H850" s="530"/>
      <c r="I850" s="1432"/>
      <c r="J850" s="530"/>
      <c r="K850" s="530"/>
      <c r="L850" s="530"/>
      <c r="M850" s="533"/>
      <c r="N850" s="530"/>
      <c r="O850" s="530"/>
      <c r="P850" s="530"/>
      <c r="Q850" s="530"/>
      <c r="R850" s="1432"/>
      <c r="S850" s="530"/>
      <c r="T850" s="533"/>
      <c r="U850" s="533"/>
      <c r="V850" s="1487"/>
      <c r="W850" s="1487"/>
      <c r="X850" s="1487"/>
      <c r="Y850" s="533"/>
      <c r="Z850" s="533"/>
      <c r="AA850" s="530"/>
      <c r="AB850" s="530"/>
      <c r="AC850" s="530"/>
      <c r="AD850" s="530"/>
      <c r="AE850" s="530"/>
    </row>
    <row r="851" spans="3:31">
      <c r="C851" s="530"/>
      <c r="D851" s="530"/>
      <c r="E851" s="530"/>
      <c r="F851" s="530"/>
      <c r="G851" s="1518"/>
      <c r="H851" s="530"/>
      <c r="I851" s="1432"/>
      <c r="J851" s="530"/>
      <c r="K851" s="530"/>
      <c r="L851" s="530"/>
      <c r="M851" s="533"/>
      <c r="N851" s="530"/>
      <c r="O851" s="530"/>
      <c r="P851" s="530"/>
      <c r="Q851" s="530"/>
      <c r="R851" s="1432"/>
      <c r="S851" s="530"/>
      <c r="T851" s="533"/>
      <c r="U851" s="533"/>
      <c r="V851" s="1487"/>
      <c r="W851" s="1487"/>
      <c r="X851" s="1487"/>
      <c r="Y851" s="533"/>
      <c r="Z851" s="533"/>
      <c r="AA851" s="530"/>
      <c r="AB851" s="530"/>
      <c r="AC851" s="530"/>
      <c r="AD851" s="530"/>
      <c r="AE851" s="530"/>
    </row>
    <row r="852" spans="3:31">
      <c r="C852" s="530"/>
      <c r="D852" s="530"/>
      <c r="E852" s="530"/>
      <c r="F852" s="530"/>
      <c r="G852" s="1518"/>
      <c r="H852" s="530"/>
      <c r="I852" s="1432"/>
      <c r="J852" s="530"/>
      <c r="K852" s="530"/>
      <c r="L852" s="530"/>
      <c r="M852" s="533"/>
      <c r="N852" s="530"/>
      <c r="O852" s="530"/>
      <c r="P852" s="530"/>
      <c r="Q852" s="530"/>
      <c r="R852" s="1432"/>
      <c r="S852" s="530"/>
      <c r="T852" s="533"/>
      <c r="U852" s="533"/>
      <c r="V852" s="1487"/>
      <c r="W852" s="1487"/>
      <c r="X852" s="1487"/>
      <c r="Y852" s="533"/>
      <c r="Z852" s="533"/>
      <c r="AA852" s="530"/>
      <c r="AB852" s="530"/>
      <c r="AC852" s="530"/>
      <c r="AD852" s="530"/>
      <c r="AE852" s="530"/>
    </row>
    <row r="853" spans="3:31">
      <c r="C853" s="530"/>
      <c r="D853" s="530"/>
      <c r="E853" s="530"/>
      <c r="F853" s="530"/>
      <c r="G853" s="1518"/>
      <c r="H853" s="530"/>
      <c r="I853" s="1432"/>
      <c r="J853" s="530"/>
      <c r="K853" s="530"/>
      <c r="L853" s="530"/>
      <c r="M853" s="533"/>
      <c r="N853" s="530"/>
      <c r="O853" s="530"/>
      <c r="P853" s="530"/>
      <c r="Q853" s="530"/>
      <c r="R853" s="1432"/>
      <c r="S853" s="530"/>
      <c r="T853" s="533"/>
      <c r="U853" s="533"/>
      <c r="V853" s="1487"/>
      <c r="W853" s="1487"/>
      <c r="X853" s="1487"/>
      <c r="Y853" s="533"/>
      <c r="Z853" s="533"/>
      <c r="AA853" s="530"/>
      <c r="AB853" s="530"/>
      <c r="AC853" s="530"/>
      <c r="AD853" s="530"/>
      <c r="AE853" s="530"/>
    </row>
    <row r="854" spans="3:31">
      <c r="C854" s="530"/>
      <c r="D854" s="530"/>
      <c r="E854" s="530"/>
      <c r="F854" s="530"/>
      <c r="G854" s="1518"/>
      <c r="H854" s="530"/>
      <c r="I854" s="1432"/>
      <c r="J854" s="530"/>
      <c r="K854" s="530"/>
      <c r="L854" s="530"/>
      <c r="M854" s="533"/>
      <c r="N854" s="530"/>
      <c r="O854" s="530"/>
      <c r="P854" s="530"/>
      <c r="Q854" s="530"/>
      <c r="R854" s="1432"/>
      <c r="S854" s="530"/>
      <c r="T854" s="533"/>
      <c r="U854" s="533"/>
      <c r="V854" s="1487"/>
      <c r="W854" s="1487"/>
      <c r="X854" s="1487"/>
      <c r="Y854" s="533"/>
      <c r="Z854" s="533"/>
      <c r="AA854" s="530"/>
      <c r="AB854" s="530"/>
      <c r="AC854" s="530"/>
      <c r="AD854" s="530"/>
      <c r="AE854" s="530"/>
    </row>
    <row r="855" spans="3:31">
      <c r="C855" s="530"/>
      <c r="D855" s="530"/>
      <c r="E855" s="530"/>
      <c r="F855" s="530"/>
      <c r="G855" s="1518"/>
      <c r="H855" s="530"/>
      <c r="I855" s="1432"/>
      <c r="J855" s="530"/>
      <c r="K855" s="530"/>
      <c r="L855" s="530"/>
      <c r="M855" s="533"/>
      <c r="N855" s="530"/>
      <c r="O855" s="530"/>
      <c r="P855" s="530"/>
      <c r="Q855" s="530"/>
      <c r="R855" s="1432"/>
      <c r="S855" s="530"/>
      <c r="T855" s="533"/>
      <c r="U855" s="533"/>
      <c r="V855" s="1487"/>
      <c r="W855" s="1487"/>
      <c r="X855" s="1487"/>
      <c r="Y855" s="533"/>
      <c r="Z855" s="533"/>
      <c r="AA855" s="530"/>
      <c r="AB855" s="530"/>
      <c r="AC855" s="530"/>
      <c r="AD855" s="530"/>
      <c r="AE855" s="530"/>
    </row>
    <row r="856" spans="3:31">
      <c r="C856" s="530"/>
      <c r="D856" s="530"/>
      <c r="E856" s="530"/>
      <c r="F856" s="530"/>
      <c r="G856" s="1518"/>
      <c r="H856" s="530"/>
      <c r="I856" s="1432"/>
      <c r="J856" s="530"/>
      <c r="K856" s="530"/>
      <c r="L856" s="530"/>
      <c r="M856" s="533"/>
      <c r="N856" s="530"/>
      <c r="O856" s="530"/>
      <c r="P856" s="530"/>
      <c r="Q856" s="530"/>
      <c r="R856" s="1432"/>
      <c r="S856" s="530"/>
      <c r="T856" s="533"/>
      <c r="U856" s="533"/>
      <c r="V856" s="1487"/>
      <c r="W856" s="1487"/>
      <c r="X856" s="1487"/>
      <c r="Y856" s="533"/>
      <c r="Z856" s="533"/>
      <c r="AA856" s="530"/>
      <c r="AB856" s="530"/>
      <c r="AC856" s="530"/>
      <c r="AD856" s="530"/>
      <c r="AE856" s="530"/>
    </row>
    <row r="857" spans="3:31">
      <c r="C857" s="530"/>
      <c r="D857" s="530"/>
      <c r="E857" s="530"/>
      <c r="F857" s="530"/>
      <c r="G857" s="1518"/>
      <c r="H857" s="530"/>
      <c r="I857" s="1432"/>
      <c r="J857" s="530"/>
      <c r="K857" s="530"/>
      <c r="L857" s="530"/>
      <c r="M857" s="533"/>
      <c r="N857" s="530"/>
      <c r="O857" s="530"/>
      <c r="P857" s="530"/>
      <c r="Q857" s="530"/>
      <c r="R857" s="1432"/>
      <c r="S857" s="530"/>
      <c r="T857" s="533"/>
      <c r="U857" s="533"/>
      <c r="V857" s="1487"/>
      <c r="W857" s="1487"/>
      <c r="X857" s="1487"/>
      <c r="Y857" s="533"/>
      <c r="Z857" s="533"/>
      <c r="AA857" s="530"/>
      <c r="AB857" s="530"/>
      <c r="AC857" s="530"/>
      <c r="AD857" s="530"/>
      <c r="AE857" s="530"/>
    </row>
    <row r="858" spans="3:31">
      <c r="C858" s="530"/>
      <c r="D858" s="530"/>
      <c r="E858" s="530"/>
      <c r="F858" s="530"/>
      <c r="G858" s="1518"/>
      <c r="H858" s="530"/>
      <c r="I858" s="1432"/>
      <c r="J858" s="530"/>
      <c r="K858" s="530"/>
      <c r="L858" s="530"/>
      <c r="M858" s="533"/>
      <c r="N858" s="530"/>
      <c r="O858" s="530"/>
      <c r="P858" s="530"/>
      <c r="Q858" s="530"/>
      <c r="R858" s="1432"/>
      <c r="S858" s="530"/>
      <c r="T858" s="533"/>
      <c r="U858" s="533"/>
      <c r="V858" s="1487"/>
      <c r="W858" s="1487"/>
      <c r="X858" s="1487"/>
      <c r="Y858" s="533"/>
      <c r="Z858" s="533"/>
      <c r="AA858" s="530"/>
      <c r="AB858" s="530"/>
      <c r="AC858" s="530"/>
      <c r="AD858" s="530"/>
      <c r="AE858" s="530"/>
    </row>
    <row r="859" spans="3:31">
      <c r="C859" s="530"/>
      <c r="D859" s="530"/>
      <c r="E859" s="530"/>
      <c r="F859" s="530"/>
      <c r="G859" s="1518"/>
      <c r="H859" s="530"/>
      <c r="I859" s="1432"/>
      <c r="J859" s="530"/>
      <c r="K859" s="530"/>
      <c r="L859" s="530"/>
      <c r="M859" s="533"/>
      <c r="N859" s="530"/>
      <c r="O859" s="530"/>
      <c r="P859" s="530"/>
      <c r="Q859" s="530"/>
      <c r="R859" s="1432"/>
      <c r="S859" s="530"/>
      <c r="T859" s="533"/>
      <c r="U859" s="533"/>
      <c r="V859" s="1487"/>
      <c r="W859" s="1487"/>
      <c r="X859" s="1487"/>
      <c r="Y859" s="533"/>
      <c r="Z859" s="533"/>
      <c r="AA859" s="530"/>
      <c r="AB859" s="530"/>
      <c r="AC859" s="530"/>
      <c r="AD859" s="530"/>
      <c r="AE859" s="530"/>
    </row>
    <row r="860" spans="3:31">
      <c r="C860" s="530"/>
      <c r="D860" s="530"/>
      <c r="E860" s="530"/>
      <c r="F860" s="530"/>
      <c r="G860" s="1518"/>
      <c r="H860" s="530"/>
      <c r="I860" s="1432"/>
      <c r="J860" s="530"/>
      <c r="K860" s="530"/>
      <c r="L860" s="530"/>
      <c r="M860" s="533"/>
      <c r="N860" s="530"/>
      <c r="O860" s="530"/>
      <c r="P860" s="530"/>
      <c r="Q860" s="530"/>
      <c r="R860" s="1432"/>
      <c r="S860" s="530"/>
      <c r="T860" s="533"/>
      <c r="U860" s="533"/>
      <c r="V860" s="1487"/>
      <c r="W860" s="1487"/>
      <c r="X860" s="1487"/>
      <c r="Y860" s="533"/>
      <c r="Z860" s="533"/>
      <c r="AA860" s="530"/>
      <c r="AB860" s="530"/>
      <c r="AC860" s="530"/>
      <c r="AD860" s="530"/>
      <c r="AE860" s="530"/>
    </row>
    <row r="861" spans="3:31">
      <c r="C861" s="530"/>
      <c r="D861" s="530"/>
      <c r="E861" s="530"/>
      <c r="F861" s="530"/>
      <c r="G861" s="1518"/>
      <c r="H861" s="530"/>
      <c r="I861" s="1432"/>
      <c r="J861" s="530"/>
      <c r="K861" s="530"/>
      <c r="L861" s="530"/>
      <c r="M861" s="533"/>
      <c r="N861" s="530"/>
      <c r="O861" s="530"/>
      <c r="P861" s="530"/>
      <c r="Q861" s="530"/>
      <c r="R861" s="1432"/>
      <c r="S861" s="530"/>
      <c r="T861" s="533"/>
      <c r="U861" s="533"/>
      <c r="V861" s="1487"/>
      <c r="W861" s="1487"/>
      <c r="X861" s="1487"/>
      <c r="Y861" s="533"/>
      <c r="Z861" s="533"/>
      <c r="AA861" s="530"/>
      <c r="AB861" s="530"/>
      <c r="AC861" s="530"/>
      <c r="AD861" s="530"/>
      <c r="AE861" s="530"/>
    </row>
    <row r="862" spans="3:31">
      <c r="C862" s="530"/>
      <c r="D862" s="530"/>
      <c r="E862" s="530"/>
      <c r="F862" s="530"/>
      <c r="G862" s="1518"/>
      <c r="H862" s="530"/>
      <c r="I862" s="1432"/>
      <c r="J862" s="530"/>
      <c r="K862" s="530"/>
      <c r="L862" s="530"/>
      <c r="M862" s="533"/>
      <c r="N862" s="530"/>
      <c r="O862" s="530"/>
      <c r="P862" s="530"/>
      <c r="Q862" s="530"/>
      <c r="R862" s="1432"/>
      <c r="S862" s="530"/>
      <c r="T862" s="533"/>
      <c r="U862" s="533"/>
      <c r="V862" s="1487"/>
      <c r="W862" s="1487"/>
      <c r="X862" s="1487"/>
      <c r="Y862" s="533"/>
      <c r="Z862" s="533"/>
      <c r="AA862" s="530"/>
      <c r="AB862" s="530"/>
      <c r="AC862" s="530"/>
      <c r="AD862" s="530"/>
      <c r="AE862" s="530"/>
    </row>
    <row r="863" spans="3:31">
      <c r="C863" s="530"/>
      <c r="D863" s="530"/>
      <c r="E863" s="530"/>
      <c r="F863" s="530"/>
      <c r="G863" s="1518"/>
      <c r="H863" s="530"/>
      <c r="I863" s="1432"/>
      <c r="J863" s="530"/>
      <c r="K863" s="530"/>
      <c r="L863" s="530"/>
      <c r="M863" s="533"/>
      <c r="N863" s="530"/>
      <c r="O863" s="530"/>
      <c r="P863" s="530"/>
      <c r="Q863" s="530"/>
      <c r="R863" s="1432"/>
      <c r="S863" s="530"/>
      <c r="T863" s="533"/>
      <c r="U863" s="533"/>
      <c r="V863" s="1487"/>
      <c r="W863" s="1487"/>
      <c r="X863" s="1487"/>
      <c r="Y863" s="533"/>
      <c r="Z863" s="533"/>
      <c r="AA863" s="530"/>
      <c r="AB863" s="530"/>
      <c r="AC863" s="530"/>
      <c r="AD863" s="530"/>
      <c r="AE863" s="530"/>
    </row>
    <row r="864" spans="3:31">
      <c r="C864" s="530"/>
      <c r="D864" s="530"/>
      <c r="E864" s="530"/>
      <c r="F864" s="530"/>
      <c r="G864" s="1518"/>
      <c r="H864" s="530"/>
      <c r="I864" s="1432"/>
      <c r="J864" s="530"/>
      <c r="K864" s="530"/>
      <c r="L864" s="530"/>
      <c r="M864" s="533"/>
      <c r="N864" s="530"/>
      <c r="O864" s="530"/>
      <c r="P864" s="530"/>
      <c r="Q864" s="530"/>
      <c r="R864" s="1432"/>
      <c r="S864" s="530"/>
      <c r="T864" s="533"/>
      <c r="U864" s="533"/>
      <c r="V864" s="1487"/>
      <c r="W864" s="1487"/>
      <c r="X864" s="1487"/>
      <c r="Y864" s="533"/>
      <c r="Z864" s="533"/>
      <c r="AA864" s="530"/>
      <c r="AB864" s="530"/>
      <c r="AC864" s="530"/>
      <c r="AD864" s="530"/>
      <c r="AE864" s="530"/>
    </row>
    <row r="865" spans="3:31">
      <c r="C865" s="530"/>
      <c r="D865" s="530"/>
      <c r="E865" s="530"/>
      <c r="F865" s="530"/>
      <c r="G865" s="1518"/>
      <c r="H865" s="530"/>
      <c r="I865" s="1432"/>
      <c r="J865" s="530"/>
      <c r="K865" s="530"/>
      <c r="L865" s="530"/>
      <c r="M865" s="533"/>
      <c r="N865" s="530"/>
      <c r="O865" s="530"/>
      <c r="P865" s="530"/>
      <c r="Q865" s="530"/>
      <c r="R865" s="1432"/>
      <c r="S865" s="530"/>
      <c r="T865" s="533"/>
      <c r="U865" s="533"/>
      <c r="V865" s="1487"/>
      <c r="W865" s="1487"/>
      <c r="X865" s="1487"/>
      <c r="Y865" s="533"/>
      <c r="Z865" s="533"/>
      <c r="AA865" s="530"/>
      <c r="AB865" s="530"/>
      <c r="AC865" s="530"/>
      <c r="AD865" s="530"/>
      <c r="AE865" s="530"/>
    </row>
    <row r="866" spans="3:31">
      <c r="C866" s="530"/>
      <c r="D866" s="530"/>
      <c r="E866" s="530"/>
      <c r="F866" s="530"/>
      <c r="G866" s="1518"/>
      <c r="H866" s="530"/>
      <c r="I866" s="1432"/>
      <c r="J866" s="530"/>
      <c r="K866" s="530"/>
      <c r="L866" s="530"/>
      <c r="M866" s="533"/>
      <c r="N866" s="530"/>
      <c r="O866" s="530"/>
      <c r="P866" s="530"/>
      <c r="Q866" s="530"/>
      <c r="R866" s="1432"/>
      <c r="S866" s="530"/>
      <c r="T866" s="533"/>
      <c r="U866" s="533"/>
      <c r="V866" s="1487"/>
      <c r="W866" s="1487"/>
      <c r="X866" s="1487"/>
      <c r="Y866" s="533"/>
      <c r="Z866" s="533"/>
      <c r="AA866" s="530"/>
      <c r="AB866" s="530"/>
      <c r="AC866" s="530"/>
      <c r="AD866" s="530"/>
      <c r="AE866" s="530"/>
    </row>
    <row r="867" spans="3:31">
      <c r="C867" s="530"/>
      <c r="D867" s="530"/>
      <c r="E867" s="530"/>
      <c r="F867" s="530"/>
      <c r="G867" s="1518"/>
      <c r="H867" s="530"/>
      <c r="I867" s="1432"/>
      <c r="J867" s="530"/>
      <c r="K867" s="530"/>
      <c r="L867" s="530"/>
      <c r="M867" s="533"/>
      <c r="N867" s="530"/>
      <c r="O867" s="530"/>
      <c r="P867" s="530"/>
      <c r="Q867" s="530"/>
      <c r="R867" s="1432"/>
      <c r="S867" s="530"/>
      <c r="T867" s="533"/>
      <c r="U867" s="533"/>
      <c r="V867" s="1487"/>
      <c r="W867" s="1487"/>
      <c r="X867" s="1487"/>
      <c r="Y867" s="533"/>
      <c r="Z867" s="533"/>
      <c r="AA867" s="530"/>
      <c r="AB867" s="530"/>
      <c r="AC867" s="530"/>
      <c r="AD867" s="530"/>
      <c r="AE867" s="530"/>
    </row>
    <row r="868" spans="3:31">
      <c r="C868" s="530"/>
      <c r="D868" s="530"/>
      <c r="E868" s="530"/>
      <c r="F868" s="530"/>
      <c r="G868" s="1518"/>
      <c r="H868" s="530"/>
      <c r="I868" s="1432"/>
      <c r="J868" s="530"/>
      <c r="K868" s="530"/>
      <c r="L868" s="530"/>
      <c r="M868" s="533"/>
      <c r="N868" s="530"/>
      <c r="O868" s="530"/>
      <c r="P868" s="530"/>
      <c r="Q868" s="530"/>
      <c r="R868" s="1432"/>
      <c r="S868" s="530"/>
      <c r="T868" s="533"/>
      <c r="U868" s="533"/>
      <c r="V868" s="1487"/>
      <c r="W868" s="1487"/>
      <c r="X868" s="1487"/>
      <c r="Y868" s="533"/>
      <c r="Z868" s="533"/>
      <c r="AA868" s="530"/>
      <c r="AB868" s="530"/>
      <c r="AC868" s="530"/>
      <c r="AD868" s="530"/>
      <c r="AE868" s="530"/>
    </row>
    <row r="869" spans="3:31">
      <c r="C869" s="530"/>
      <c r="D869" s="530"/>
      <c r="E869" s="530"/>
      <c r="F869" s="530"/>
      <c r="G869" s="1518"/>
      <c r="H869" s="530"/>
      <c r="I869" s="1432"/>
      <c r="J869" s="530"/>
      <c r="K869" s="530"/>
      <c r="L869" s="530"/>
      <c r="M869" s="533"/>
      <c r="N869" s="530"/>
      <c r="O869" s="530"/>
      <c r="P869" s="530"/>
      <c r="Q869" s="530"/>
      <c r="R869" s="1432"/>
      <c r="S869" s="530"/>
      <c r="T869" s="533"/>
      <c r="U869" s="533"/>
      <c r="V869" s="1487"/>
      <c r="W869" s="1487"/>
      <c r="X869" s="1487"/>
      <c r="Y869" s="533"/>
      <c r="Z869" s="533"/>
      <c r="AA869" s="530"/>
      <c r="AB869" s="530"/>
      <c r="AC869" s="530"/>
      <c r="AD869" s="530"/>
      <c r="AE869" s="530"/>
    </row>
    <row r="870" spans="3:31">
      <c r="C870" s="530"/>
      <c r="D870" s="530"/>
      <c r="E870" s="530"/>
      <c r="F870" s="530"/>
      <c r="G870" s="1518"/>
      <c r="H870" s="530"/>
      <c r="I870" s="1432"/>
      <c r="J870" s="530"/>
      <c r="K870" s="530"/>
      <c r="L870" s="530"/>
      <c r="M870" s="533"/>
      <c r="N870" s="530"/>
      <c r="O870" s="530"/>
      <c r="P870" s="530"/>
      <c r="Q870" s="530"/>
      <c r="R870" s="1432"/>
      <c r="S870" s="530"/>
      <c r="T870" s="533"/>
      <c r="U870" s="533"/>
      <c r="V870" s="1487"/>
      <c r="W870" s="1487"/>
      <c r="X870" s="1487"/>
      <c r="Y870" s="533"/>
      <c r="Z870" s="533"/>
      <c r="AA870" s="530"/>
      <c r="AB870" s="530"/>
      <c r="AC870" s="530"/>
      <c r="AD870" s="530"/>
      <c r="AE870" s="530"/>
    </row>
    <row r="871" spans="3:31">
      <c r="C871" s="530"/>
      <c r="D871" s="530"/>
      <c r="E871" s="530"/>
      <c r="F871" s="530"/>
      <c r="G871" s="1518"/>
      <c r="H871" s="530"/>
      <c r="I871" s="1432"/>
      <c r="J871" s="530"/>
      <c r="K871" s="530"/>
      <c r="L871" s="530"/>
      <c r="M871" s="533"/>
      <c r="N871" s="530"/>
      <c r="O871" s="530"/>
      <c r="P871" s="530"/>
      <c r="Q871" s="530"/>
      <c r="R871" s="1432"/>
      <c r="S871" s="530"/>
      <c r="T871" s="533"/>
      <c r="U871" s="533"/>
      <c r="V871" s="1487"/>
      <c r="W871" s="1487"/>
      <c r="X871" s="1487"/>
      <c r="Y871" s="533"/>
      <c r="Z871" s="533"/>
      <c r="AA871" s="530"/>
      <c r="AB871" s="530"/>
      <c r="AC871" s="530"/>
      <c r="AD871" s="530"/>
      <c r="AE871" s="530"/>
    </row>
    <row r="872" spans="3:31">
      <c r="C872" s="530"/>
      <c r="D872" s="530"/>
      <c r="E872" s="530"/>
      <c r="F872" s="530"/>
      <c r="G872" s="1518"/>
      <c r="H872" s="530"/>
      <c r="I872" s="1432"/>
      <c r="J872" s="530"/>
      <c r="K872" s="530"/>
      <c r="L872" s="530"/>
      <c r="M872" s="533"/>
      <c r="N872" s="530"/>
      <c r="O872" s="530"/>
      <c r="P872" s="530"/>
      <c r="Q872" s="530"/>
      <c r="R872" s="1432"/>
      <c r="S872" s="530"/>
      <c r="T872" s="533"/>
      <c r="U872" s="533"/>
      <c r="V872" s="1487"/>
      <c r="W872" s="1487"/>
      <c r="X872" s="1487"/>
      <c r="Y872" s="533"/>
      <c r="Z872" s="533"/>
      <c r="AA872" s="530"/>
      <c r="AB872" s="530"/>
      <c r="AC872" s="530"/>
      <c r="AD872" s="530"/>
      <c r="AE872" s="530"/>
    </row>
    <row r="873" spans="3:31">
      <c r="C873" s="530"/>
      <c r="D873" s="530"/>
      <c r="E873" s="530"/>
      <c r="F873" s="530"/>
      <c r="G873" s="1518"/>
      <c r="H873" s="530"/>
      <c r="I873" s="1432"/>
      <c r="J873" s="530"/>
      <c r="K873" s="530"/>
      <c r="L873" s="530"/>
      <c r="M873" s="533"/>
      <c r="N873" s="530"/>
      <c r="O873" s="530"/>
      <c r="P873" s="530"/>
      <c r="Q873" s="530"/>
      <c r="R873" s="1432"/>
      <c r="S873" s="530"/>
      <c r="T873" s="533"/>
      <c r="U873" s="533"/>
      <c r="V873" s="1487"/>
      <c r="W873" s="1487"/>
      <c r="X873" s="1487"/>
      <c r="Y873" s="533"/>
      <c r="Z873" s="533"/>
      <c r="AA873" s="530"/>
      <c r="AB873" s="530"/>
      <c r="AC873" s="530"/>
      <c r="AD873" s="530"/>
      <c r="AE873" s="530"/>
    </row>
    <row r="874" spans="3:31">
      <c r="C874" s="530"/>
      <c r="D874" s="530"/>
      <c r="E874" s="530"/>
      <c r="F874" s="530"/>
      <c r="G874" s="1518"/>
      <c r="H874" s="530"/>
      <c r="I874" s="1432"/>
      <c r="J874" s="530"/>
      <c r="K874" s="530"/>
      <c r="L874" s="530"/>
      <c r="M874" s="533"/>
      <c r="N874" s="530"/>
      <c r="O874" s="530"/>
      <c r="P874" s="530"/>
      <c r="Q874" s="530"/>
      <c r="R874" s="1432"/>
      <c r="S874" s="530"/>
      <c r="T874" s="533"/>
      <c r="U874" s="533"/>
      <c r="V874" s="1487"/>
      <c r="W874" s="1487"/>
      <c r="X874" s="1487"/>
      <c r="Y874" s="533"/>
      <c r="Z874" s="533"/>
      <c r="AA874" s="530"/>
      <c r="AB874" s="530"/>
      <c r="AC874" s="530"/>
      <c r="AD874" s="530"/>
      <c r="AE874" s="530"/>
    </row>
    <row r="875" spans="3:31">
      <c r="C875" s="530"/>
      <c r="D875" s="530"/>
      <c r="E875" s="530"/>
      <c r="F875" s="530"/>
      <c r="G875" s="1518"/>
      <c r="H875" s="530"/>
      <c r="I875" s="1432"/>
      <c r="J875" s="530"/>
      <c r="K875" s="530"/>
      <c r="L875" s="530"/>
      <c r="M875" s="533"/>
      <c r="N875" s="530"/>
      <c r="O875" s="530"/>
      <c r="P875" s="530"/>
      <c r="Q875" s="530"/>
      <c r="R875" s="1432"/>
      <c r="S875" s="530"/>
      <c r="T875" s="533"/>
      <c r="U875" s="533"/>
      <c r="V875" s="1487"/>
      <c r="W875" s="1487"/>
      <c r="X875" s="1487"/>
      <c r="Y875" s="533"/>
      <c r="Z875" s="533"/>
      <c r="AA875" s="530"/>
      <c r="AB875" s="530"/>
      <c r="AC875" s="530"/>
      <c r="AD875" s="530"/>
      <c r="AE875" s="530"/>
    </row>
    <row r="876" spans="3:31">
      <c r="C876" s="530"/>
      <c r="D876" s="530"/>
      <c r="E876" s="530"/>
      <c r="F876" s="530"/>
      <c r="G876" s="1518"/>
      <c r="H876" s="530"/>
      <c r="I876" s="1432"/>
      <c r="J876" s="530"/>
      <c r="K876" s="530"/>
      <c r="L876" s="530"/>
      <c r="M876" s="533"/>
      <c r="N876" s="530"/>
      <c r="O876" s="530"/>
      <c r="P876" s="530"/>
      <c r="Q876" s="530"/>
      <c r="R876" s="1432"/>
      <c r="S876" s="530"/>
      <c r="T876" s="533"/>
      <c r="U876" s="533"/>
      <c r="V876" s="1487"/>
      <c r="W876" s="1487"/>
      <c r="X876" s="1487"/>
      <c r="Y876" s="533"/>
      <c r="Z876" s="533"/>
      <c r="AA876" s="530"/>
      <c r="AB876" s="530"/>
      <c r="AC876" s="530"/>
      <c r="AD876" s="530"/>
      <c r="AE876" s="530"/>
    </row>
    <row r="877" spans="3:31">
      <c r="C877" s="530"/>
      <c r="D877" s="530"/>
      <c r="E877" s="530"/>
      <c r="F877" s="530"/>
      <c r="G877" s="1518"/>
      <c r="H877" s="530"/>
      <c r="I877" s="1432"/>
      <c r="J877" s="530"/>
      <c r="K877" s="530"/>
      <c r="L877" s="530"/>
      <c r="M877" s="533"/>
      <c r="N877" s="530"/>
      <c r="O877" s="530"/>
      <c r="P877" s="530"/>
      <c r="Q877" s="530"/>
      <c r="R877" s="1432"/>
      <c r="S877" s="530"/>
      <c r="T877" s="533"/>
      <c r="U877" s="533"/>
      <c r="V877" s="1487"/>
      <c r="W877" s="1487"/>
      <c r="X877" s="1487"/>
      <c r="Y877" s="533"/>
      <c r="Z877" s="533"/>
      <c r="AA877" s="530"/>
      <c r="AB877" s="530"/>
      <c r="AC877" s="530"/>
      <c r="AD877" s="530"/>
      <c r="AE877" s="530"/>
    </row>
    <row r="878" spans="3:31">
      <c r="C878" s="530"/>
      <c r="D878" s="530"/>
      <c r="E878" s="530"/>
      <c r="F878" s="530"/>
      <c r="G878" s="1518"/>
      <c r="H878" s="530"/>
      <c r="I878" s="1432"/>
      <c r="J878" s="530"/>
      <c r="K878" s="530"/>
      <c r="L878" s="530"/>
      <c r="M878" s="533"/>
      <c r="N878" s="530"/>
      <c r="O878" s="530"/>
      <c r="P878" s="530"/>
      <c r="Q878" s="530"/>
      <c r="R878" s="1432"/>
      <c r="S878" s="530"/>
      <c r="T878" s="533"/>
      <c r="U878" s="533"/>
      <c r="V878" s="1487"/>
      <c r="W878" s="1487"/>
      <c r="X878" s="1487"/>
      <c r="Y878" s="533"/>
      <c r="Z878" s="533"/>
      <c r="AA878" s="530"/>
      <c r="AB878" s="530"/>
      <c r="AC878" s="530"/>
      <c r="AD878" s="530"/>
      <c r="AE878" s="530"/>
    </row>
    <row r="879" spans="3:31">
      <c r="C879" s="530"/>
      <c r="D879" s="530"/>
      <c r="E879" s="530"/>
      <c r="F879" s="530"/>
      <c r="G879" s="1518"/>
      <c r="H879" s="530"/>
      <c r="I879" s="1432"/>
      <c r="J879" s="530"/>
      <c r="K879" s="530"/>
      <c r="L879" s="530"/>
      <c r="M879" s="533"/>
      <c r="N879" s="530"/>
      <c r="O879" s="530"/>
      <c r="P879" s="530"/>
      <c r="Q879" s="530"/>
      <c r="R879" s="1432"/>
      <c r="S879" s="530"/>
      <c r="T879" s="533"/>
      <c r="U879" s="533"/>
      <c r="V879" s="1487"/>
      <c r="W879" s="1487"/>
      <c r="X879" s="1487"/>
      <c r="Y879" s="533"/>
      <c r="Z879" s="533"/>
      <c r="AA879" s="530"/>
      <c r="AB879" s="530"/>
      <c r="AC879" s="530"/>
      <c r="AD879" s="530"/>
      <c r="AE879" s="530"/>
    </row>
    <row r="880" spans="3:31">
      <c r="C880" s="530"/>
      <c r="D880" s="530"/>
      <c r="E880" s="530"/>
      <c r="F880" s="530"/>
      <c r="G880" s="1518"/>
      <c r="H880" s="530"/>
      <c r="I880" s="1432"/>
      <c r="J880" s="530"/>
      <c r="K880" s="530"/>
      <c r="L880" s="530"/>
      <c r="M880" s="533"/>
      <c r="N880" s="530"/>
      <c r="O880" s="530"/>
      <c r="P880" s="530"/>
      <c r="Q880" s="530"/>
      <c r="R880" s="1432"/>
      <c r="S880" s="530"/>
      <c r="T880" s="533"/>
      <c r="U880" s="533"/>
      <c r="V880" s="1487"/>
      <c r="W880" s="1487"/>
      <c r="X880" s="1487"/>
      <c r="Y880" s="533"/>
      <c r="Z880" s="533"/>
      <c r="AA880" s="530"/>
      <c r="AB880" s="530"/>
      <c r="AC880" s="530"/>
      <c r="AD880" s="530"/>
      <c r="AE880" s="530"/>
    </row>
    <row r="881" spans="3:31">
      <c r="C881" s="530"/>
      <c r="D881" s="530"/>
      <c r="E881" s="530"/>
      <c r="F881" s="530"/>
      <c r="G881" s="1518"/>
      <c r="H881" s="530"/>
      <c r="I881" s="1432"/>
      <c r="J881" s="530"/>
      <c r="K881" s="530"/>
      <c r="L881" s="530"/>
      <c r="M881" s="533"/>
      <c r="N881" s="530"/>
      <c r="O881" s="530"/>
      <c r="P881" s="530"/>
      <c r="Q881" s="530"/>
      <c r="R881" s="1432"/>
      <c r="S881" s="530"/>
      <c r="T881" s="533"/>
      <c r="U881" s="533"/>
      <c r="V881" s="1487"/>
      <c r="W881" s="1487"/>
      <c r="X881" s="1487"/>
      <c r="Y881" s="533"/>
      <c r="Z881" s="533"/>
      <c r="AA881" s="530"/>
      <c r="AB881" s="530"/>
      <c r="AC881" s="530"/>
      <c r="AD881" s="530"/>
      <c r="AE881" s="530"/>
    </row>
    <row r="882" spans="3:31">
      <c r="C882" s="530"/>
      <c r="D882" s="530"/>
      <c r="E882" s="530"/>
      <c r="F882" s="530"/>
      <c r="G882" s="1518"/>
      <c r="H882" s="530"/>
      <c r="I882" s="1432"/>
      <c r="J882" s="530"/>
      <c r="K882" s="530"/>
      <c r="L882" s="530"/>
      <c r="M882" s="533"/>
      <c r="N882" s="530"/>
      <c r="O882" s="530"/>
      <c r="P882" s="530"/>
      <c r="Q882" s="530"/>
      <c r="R882" s="1432"/>
      <c r="S882" s="530"/>
      <c r="T882" s="533"/>
      <c r="U882" s="533"/>
      <c r="V882" s="1487"/>
      <c r="W882" s="1487"/>
      <c r="X882" s="1487"/>
      <c r="Y882" s="533"/>
      <c r="Z882" s="533"/>
      <c r="AA882" s="530"/>
      <c r="AB882" s="530"/>
      <c r="AC882" s="530"/>
      <c r="AD882" s="530"/>
      <c r="AE882" s="530"/>
    </row>
    <row r="883" spans="3:31">
      <c r="C883" s="530"/>
      <c r="D883" s="530"/>
      <c r="E883" s="530"/>
      <c r="F883" s="530"/>
      <c r="G883" s="1518"/>
      <c r="H883" s="530"/>
      <c r="I883" s="1432"/>
      <c r="J883" s="530"/>
      <c r="K883" s="530"/>
      <c r="L883" s="530"/>
      <c r="M883" s="533"/>
      <c r="N883" s="530"/>
      <c r="O883" s="530"/>
      <c r="P883" s="530"/>
      <c r="Q883" s="530"/>
      <c r="R883" s="1432"/>
      <c r="S883" s="530"/>
      <c r="T883" s="533"/>
      <c r="U883" s="533"/>
      <c r="V883" s="1487"/>
      <c r="W883" s="1487"/>
      <c r="X883" s="1487"/>
      <c r="Y883" s="533"/>
      <c r="Z883" s="533"/>
      <c r="AA883" s="530"/>
      <c r="AB883" s="530"/>
      <c r="AC883" s="530"/>
      <c r="AD883" s="530"/>
      <c r="AE883" s="530"/>
    </row>
    <row r="884" spans="3:31">
      <c r="C884" s="530"/>
      <c r="D884" s="530"/>
      <c r="E884" s="530"/>
      <c r="F884" s="530"/>
      <c r="G884" s="1518"/>
      <c r="H884" s="530"/>
      <c r="I884" s="1432"/>
      <c r="J884" s="530"/>
      <c r="K884" s="530"/>
      <c r="L884" s="530"/>
      <c r="M884" s="533"/>
      <c r="N884" s="530"/>
      <c r="O884" s="530"/>
      <c r="P884" s="530"/>
      <c r="Q884" s="530"/>
      <c r="R884" s="1432"/>
      <c r="S884" s="530"/>
      <c r="T884" s="533"/>
      <c r="U884" s="533"/>
      <c r="V884" s="1487"/>
      <c r="W884" s="1487"/>
      <c r="X884" s="1487"/>
      <c r="Y884" s="533"/>
      <c r="Z884" s="533"/>
      <c r="AA884" s="530"/>
      <c r="AB884" s="530"/>
      <c r="AC884" s="530"/>
      <c r="AD884" s="530"/>
      <c r="AE884" s="530"/>
    </row>
    <row r="885" spans="3:31">
      <c r="C885" s="530"/>
      <c r="D885" s="530"/>
      <c r="E885" s="530"/>
      <c r="F885" s="530"/>
      <c r="G885" s="1518"/>
      <c r="H885" s="530"/>
      <c r="I885" s="1432"/>
      <c r="J885" s="530"/>
      <c r="K885" s="530"/>
      <c r="L885" s="530"/>
      <c r="M885" s="533"/>
      <c r="N885" s="530"/>
      <c r="O885" s="530"/>
      <c r="P885" s="530"/>
      <c r="Q885" s="530"/>
      <c r="R885" s="1432"/>
      <c r="S885" s="530"/>
      <c r="T885" s="533"/>
      <c r="U885" s="533"/>
      <c r="V885" s="1487"/>
      <c r="W885" s="1487"/>
      <c r="X885" s="1487"/>
      <c r="Y885" s="533"/>
      <c r="Z885" s="533"/>
      <c r="AA885" s="530"/>
      <c r="AB885" s="530"/>
      <c r="AC885" s="530"/>
      <c r="AD885" s="530"/>
      <c r="AE885" s="530"/>
    </row>
    <row r="886" spans="3:31">
      <c r="C886" s="530"/>
      <c r="D886" s="530"/>
      <c r="E886" s="530"/>
      <c r="F886" s="530"/>
      <c r="G886" s="1518"/>
      <c r="H886" s="530"/>
      <c r="I886" s="1432"/>
      <c r="J886" s="530"/>
      <c r="K886" s="530"/>
      <c r="L886" s="530"/>
      <c r="M886" s="533"/>
      <c r="N886" s="530"/>
      <c r="O886" s="530"/>
      <c r="P886" s="530"/>
      <c r="Q886" s="530"/>
      <c r="R886" s="1432"/>
      <c r="S886" s="530"/>
      <c r="T886" s="533"/>
      <c r="U886" s="533"/>
      <c r="V886" s="1487"/>
      <c r="W886" s="1487"/>
      <c r="X886" s="1487"/>
      <c r="Y886" s="533"/>
      <c r="Z886" s="533"/>
      <c r="AA886" s="530"/>
      <c r="AB886" s="530"/>
      <c r="AC886" s="530"/>
      <c r="AD886" s="530"/>
      <c r="AE886" s="530"/>
    </row>
    <row r="887" spans="3:31">
      <c r="C887" s="530"/>
      <c r="D887" s="530"/>
      <c r="E887" s="530"/>
      <c r="F887" s="530"/>
      <c r="G887" s="1518"/>
      <c r="H887" s="530"/>
      <c r="I887" s="1432"/>
      <c r="J887" s="530"/>
      <c r="K887" s="530"/>
      <c r="L887" s="530"/>
      <c r="M887" s="533"/>
      <c r="N887" s="530"/>
      <c r="O887" s="530"/>
      <c r="P887" s="530"/>
      <c r="Q887" s="530"/>
      <c r="R887" s="1432"/>
      <c r="S887" s="530"/>
      <c r="T887" s="533"/>
      <c r="U887" s="533"/>
      <c r="V887" s="1487"/>
      <c r="W887" s="1487"/>
      <c r="X887" s="1487"/>
      <c r="Y887" s="533"/>
      <c r="Z887" s="533"/>
      <c r="AA887" s="530"/>
      <c r="AB887" s="530"/>
      <c r="AC887" s="530"/>
      <c r="AD887" s="530"/>
      <c r="AE887" s="530"/>
    </row>
    <row r="888" spans="3:31">
      <c r="C888" s="530"/>
      <c r="D888" s="530"/>
      <c r="E888" s="530"/>
      <c r="F888" s="530"/>
      <c r="G888" s="1518"/>
      <c r="H888" s="530"/>
      <c r="I888" s="1432"/>
      <c r="J888" s="530"/>
      <c r="K888" s="530"/>
      <c r="L888" s="530"/>
      <c r="M888" s="533"/>
      <c r="N888" s="530"/>
      <c r="O888" s="530"/>
      <c r="P888" s="530"/>
      <c r="Q888" s="530"/>
      <c r="R888" s="1432"/>
      <c r="S888" s="530"/>
      <c r="T888" s="533"/>
      <c r="U888" s="533"/>
      <c r="V888" s="1487"/>
      <c r="W888" s="1487"/>
      <c r="X888" s="1487"/>
      <c r="Y888" s="533"/>
      <c r="Z888" s="533"/>
      <c r="AA888" s="530"/>
      <c r="AB888" s="530"/>
      <c r="AC888" s="530"/>
      <c r="AD888" s="530"/>
      <c r="AE888" s="530"/>
    </row>
    <row r="889" spans="3:31">
      <c r="C889" s="530"/>
      <c r="D889" s="530"/>
      <c r="E889" s="530"/>
      <c r="F889" s="530"/>
      <c r="G889" s="1518"/>
      <c r="H889" s="530"/>
      <c r="I889" s="1432"/>
      <c r="J889" s="530"/>
      <c r="K889" s="530"/>
      <c r="L889" s="530"/>
      <c r="M889" s="533"/>
      <c r="N889" s="530"/>
      <c r="O889" s="530"/>
      <c r="P889" s="530"/>
      <c r="Q889" s="530"/>
      <c r="R889" s="1432"/>
      <c r="S889" s="530"/>
      <c r="T889" s="533"/>
      <c r="U889" s="533"/>
      <c r="V889" s="1487"/>
      <c r="W889" s="1487"/>
      <c r="X889" s="1487"/>
      <c r="Y889" s="533"/>
      <c r="Z889" s="533"/>
      <c r="AA889" s="530"/>
      <c r="AB889" s="530"/>
      <c r="AC889" s="530"/>
      <c r="AD889" s="530"/>
      <c r="AE889" s="530"/>
    </row>
    <row r="890" spans="3:31">
      <c r="C890" s="530"/>
      <c r="D890" s="530"/>
      <c r="E890" s="530"/>
      <c r="F890" s="530"/>
      <c r="G890" s="1518"/>
      <c r="H890" s="530"/>
      <c r="I890" s="1432"/>
      <c r="J890" s="530"/>
      <c r="K890" s="530"/>
      <c r="L890" s="530"/>
      <c r="M890" s="533"/>
      <c r="N890" s="530"/>
      <c r="O890" s="530"/>
      <c r="P890" s="530"/>
      <c r="Q890" s="530"/>
      <c r="R890" s="1432"/>
      <c r="S890" s="530"/>
      <c r="T890" s="533"/>
      <c r="U890" s="533"/>
      <c r="V890" s="1487"/>
      <c r="W890" s="1487"/>
      <c r="X890" s="1487"/>
      <c r="Y890" s="533"/>
      <c r="Z890" s="533"/>
      <c r="AA890" s="530"/>
      <c r="AB890" s="530"/>
      <c r="AC890" s="530"/>
      <c r="AD890" s="530"/>
      <c r="AE890" s="530"/>
    </row>
    <row r="891" spans="3:31">
      <c r="C891" s="530"/>
      <c r="D891" s="530"/>
      <c r="E891" s="530"/>
      <c r="F891" s="530"/>
      <c r="G891" s="1518"/>
      <c r="H891" s="530"/>
      <c r="I891" s="1432"/>
      <c r="J891" s="530"/>
      <c r="K891" s="530"/>
      <c r="L891" s="530"/>
      <c r="M891" s="533"/>
      <c r="N891" s="530"/>
      <c r="O891" s="530"/>
      <c r="P891" s="530"/>
      <c r="Q891" s="530"/>
      <c r="R891" s="1432"/>
      <c r="S891" s="530"/>
      <c r="T891" s="533"/>
      <c r="U891" s="533"/>
      <c r="V891" s="1487"/>
      <c r="W891" s="1487"/>
      <c r="X891" s="1487"/>
      <c r="Y891" s="533"/>
      <c r="Z891" s="533"/>
      <c r="AA891" s="530"/>
      <c r="AB891" s="530"/>
      <c r="AC891" s="530"/>
      <c r="AD891" s="530"/>
      <c r="AE891" s="530"/>
    </row>
    <row r="892" spans="3:31">
      <c r="C892" s="530"/>
      <c r="D892" s="530"/>
      <c r="E892" s="530"/>
      <c r="F892" s="530"/>
      <c r="G892" s="1518"/>
      <c r="H892" s="530"/>
      <c r="I892" s="1432"/>
      <c r="J892" s="530"/>
      <c r="K892" s="530"/>
      <c r="L892" s="530"/>
      <c r="M892" s="533"/>
      <c r="N892" s="530"/>
      <c r="O892" s="530"/>
      <c r="P892" s="530"/>
      <c r="Q892" s="530"/>
      <c r="R892" s="1432"/>
      <c r="S892" s="530"/>
      <c r="T892" s="533"/>
      <c r="U892" s="533"/>
      <c r="V892" s="1487"/>
      <c r="W892" s="1487"/>
      <c r="X892" s="1487"/>
      <c r="Y892" s="533"/>
      <c r="Z892" s="533"/>
      <c r="AA892" s="530"/>
      <c r="AB892" s="530"/>
      <c r="AC892" s="530"/>
      <c r="AD892" s="530"/>
      <c r="AE892" s="530"/>
    </row>
    <row r="893" spans="3:31">
      <c r="C893" s="530"/>
      <c r="D893" s="530"/>
      <c r="E893" s="530"/>
      <c r="F893" s="530"/>
      <c r="G893" s="1518"/>
      <c r="H893" s="530"/>
      <c r="I893" s="1432"/>
      <c r="J893" s="530"/>
      <c r="K893" s="530"/>
      <c r="L893" s="530"/>
      <c r="M893" s="533"/>
      <c r="N893" s="530"/>
      <c r="O893" s="530"/>
      <c r="P893" s="530"/>
      <c r="Q893" s="530"/>
      <c r="R893" s="1432"/>
      <c r="S893" s="530"/>
      <c r="T893" s="533"/>
      <c r="U893" s="533"/>
      <c r="V893" s="1487"/>
      <c r="W893" s="1487"/>
      <c r="X893" s="1487"/>
      <c r="Y893" s="533"/>
      <c r="Z893" s="533"/>
      <c r="AA893" s="530"/>
      <c r="AB893" s="530"/>
      <c r="AC893" s="530"/>
      <c r="AD893" s="530"/>
      <c r="AE893" s="530"/>
    </row>
    <row r="894" spans="3:31">
      <c r="C894" s="530"/>
      <c r="D894" s="530"/>
      <c r="E894" s="530"/>
      <c r="F894" s="530"/>
      <c r="G894" s="1518"/>
      <c r="H894" s="530"/>
      <c r="I894" s="1432"/>
      <c r="J894" s="530"/>
      <c r="K894" s="530"/>
      <c r="L894" s="530"/>
      <c r="M894" s="533"/>
      <c r="N894" s="530"/>
      <c r="O894" s="530"/>
      <c r="P894" s="530"/>
      <c r="Q894" s="530"/>
      <c r="R894" s="1432"/>
      <c r="S894" s="530"/>
      <c r="T894" s="533"/>
      <c r="U894" s="533"/>
      <c r="V894" s="1487"/>
      <c r="W894" s="1487"/>
      <c r="X894" s="1487"/>
      <c r="Y894" s="533"/>
      <c r="Z894" s="533"/>
      <c r="AA894" s="530"/>
      <c r="AB894" s="530"/>
      <c r="AC894" s="530"/>
      <c r="AD894" s="530"/>
      <c r="AE894" s="530"/>
    </row>
    <row r="895" spans="3:31">
      <c r="C895" s="530"/>
      <c r="D895" s="530"/>
      <c r="E895" s="530"/>
      <c r="F895" s="530"/>
      <c r="G895" s="1518"/>
      <c r="H895" s="530"/>
      <c r="I895" s="1432"/>
      <c r="J895" s="530"/>
      <c r="K895" s="530"/>
      <c r="L895" s="530"/>
      <c r="M895" s="533"/>
      <c r="N895" s="530"/>
      <c r="O895" s="530"/>
      <c r="P895" s="530"/>
      <c r="Q895" s="530"/>
      <c r="R895" s="1432"/>
      <c r="S895" s="530"/>
      <c r="T895" s="533"/>
      <c r="U895" s="533"/>
      <c r="V895" s="1487"/>
      <c r="W895" s="1487"/>
      <c r="X895" s="1487"/>
      <c r="Y895" s="533"/>
      <c r="Z895" s="533"/>
      <c r="AA895" s="530"/>
      <c r="AB895" s="530"/>
      <c r="AC895" s="530"/>
      <c r="AD895" s="530"/>
      <c r="AE895" s="530"/>
    </row>
    <row r="896" spans="3:31">
      <c r="C896" s="530"/>
      <c r="D896" s="530"/>
      <c r="E896" s="530"/>
      <c r="F896" s="530"/>
      <c r="G896" s="1518"/>
      <c r="H896" s="530"/>
      <c r="I896" s="1432"/>
      <c r="J896" s="530"/>
      <c r="K896" s="530"/>
      <c r="L896" s="530"/>
      <c r="M896" s="533"/>
      <c r="N896" s="530"/>
      <c r="O896" s="530"/>
      <c r="P896" s="530"/>
      <c r="Q896" s="530"/>
      <c r="R896" s="1432"/>
      <c r="S896" s="530"/>
      <c r="T896" s="533"/>
      <c r="U896" s="533"/>
      <c r="V896" s="1487"/>
      <c r="W896" s="1487"/>
      <c r="X896" s="1487"/>
      <c r="Y896" s="533"/>
      <c r="Z896" s="533"/>
      <c r="AA896" s="530"/>
      <c r="AB896" s="530"/>
      <c r="AC896" s="530"/>
      <c r="AD896" s="530"/>
      <c r="AE896" s="530"/>
    </row>
    <row r="897" spans="3:31">
      <c r="C897" s="530"/>
      <c r="D897" s="530"/>
      <c r="E897" s="530"/>
      <c r="F897" s="530"/>
      <c r="G897" s="1518"/>
      <c r="H897" s="530"/>
      <c r="I897" s="1432"/>
      <c r="J897" s="530"/>
      <c r="K897" s="530"/>
      <c r="L897" s="530"/>
      <c r="M897" s="533"/>
      <c r="N897" s="530"/>
      <c r="O897" s="530"/>
      <c r="P897" s="530"/>
      <c r="Q897" s="530"/>
      <c r="R897" s="1432"/>
      <c r="S897" s="530"/>
      <c r="T897" s="533"/>
      <c r="U897" s="533"/>
      <c r="V897" s="1487"/>
      <c r="W897" s="1487"/>
      <c r="X897" s="1487"/>
      <c r="Y897" s="533"/>
      <c r="Z897" s="533"/>
      <c r="AA897" s="530"/>
      <c r="AB897" s="530"/>
      <c r="AC897" s="530"/>
      <c r="AD897" s="530"/>
      <c r="AE897" s="530"/>
    </row>
    <row r="898" spans="3:31">
      <c r="C898" s="530"/>
      <c r="D898" s="530"/>
      <c r="E898" s="530"/>
      <c r="F898" s="530"/>
      <c r="G898" s="1518"/>
      <c r="H898" s="530"/>
      <c r="I898" s="1432"/>
      <c r="J898" s="530"/>
      <c r="K898" s="530"/>
      <c r="L898" s="530"/>
      <c r="M898" s="533"/>
      <c r="N898" s="530"/>
      <c r="O898" s="530"/>
      <c r="P898" s="530"/>
      <c r="Q898" s="530"/>
      <c r="R898" s="1432"/>
      <c r="S898" s="530"/>
      <c r="T898" s="533"/>
      <c r="U898" s="533"/>
      <c r="V898" s="1487"/>
      <c r="W898" s="1487"/>
      <c r="X898" s="1487"/>
      <c r="Y898" s="533"/>
      <c r="Z898" s="533"/>
      <c r="AA898" s="530"/>
      <c r="AB898" s="530"/>
      <c r="AC898" s="530"/>
      <c r="AD898" s="530"/>
      <c r="AE898" s="530"/>
    </row>
    <row r="899" spans="3:31">
      <c r="C899" s="530"/>
      <c r="D899" s="530"/>
      <c r="E899" s="530"/>
      <c r="F899" s="530"/>
      <c r="G899" s="1518"/>
      <c r="H899" s="530"/>
      <c r="I899" s="1432"/>
      <c r="J899" s="530"/>
      <c r="K899" s="530"/>
      <c r="L899" s="530"/>
      <c r="M899" s="533"/>
      <c r="N899" s="530"/>
      <c r="O899" s="530"/>
      <c r="P899" s="530"/>
      <c r="Q899" s="530"/>
      <c r="R899" s="1432"/>
      <c r="S899" s="530"/>
      <c r="T899" s="533"/>
      <c r="U899" s="533"/>
      <c r="V899" s="1487"/>
      <c r="W899" s="1487"/>
      <c r="X899" s="1487"/>
      <c r="Y899" s="533"/>
      <c r="Z899" s="533"/>
      <c r="AA899" s="530"/>
      <c r="AB899" s="530"/>
      <c r="AC899" s="530"/>
      <c r="AD899" s="530"/>
      <c r="AE899" s="530"/>
    </row>
    <row r="900" spans="3:31">
      <c r="C900" s="530"/>
      <c r="D900" s="530"/>
      <c r="E900" s="530"/>
      <c r="F900" s="530"/>
      <c r="G900" s="1518"/>
      <c r="H900" s="530"/>
      <c r="I900" s="1432"/>
      <c r="J900" s="530"/>
      <c r="K900" s="530"/>
      <c r="L900" s="530"/>
      <c r="M900" s="533"/>
      <c r="N900" s="530"/>
      <c r="O900" s="530"/>
      <c r="P900" s="530"/>
      <c r="Q900" s="530"/>
      <c r="R900" s="1432"/>
      <c r="S900" s="530"/>
      <c r="T900" s="533"/>
      <c r="U900" s="533"/>
      <c r="V900" s="1487"/>
      <c r="W900" s="1487"/>
      <c r="X900" s="1487"/>
      <c r="Y900" s="533"/>
      <c r="Z900" s="533"/>
      <c r="AA900" s="530"/>
      <c r="AB900" s="530"/>
      <c r="AC900" s="530"/>
      <c r="AD900" s="530"/>
      <c r="AE900" s="530"/>
    </row>
    <row r="901" spans="3:31">
      <c r="C901" s="530"/>
      <c r="D901" s="530"/>
      <c r="E901" s="530"/>
      <c r="F901" s="530"/>
      <c r="G901" s="1518"/>
      <c r="H901" s="530"/>
      <c r="I901" s="1432"/>
      <c r="J901" s="530"/>
      <c r="K901" s="530"/>
      <c r="L901" s="530"/>
      <c r="M901" s="533"/>
      <c r="N901" s="530"/>
      <c r="O901" s="530"/>
      <c r="P901" s="530"/>
      <c r="Q901" s="530"/>
      <c r="R901" s="1432"/>
      <c r="S901" s="530"/>
      <c r="T901" s="533"/>
      <c r="U901" s="533"/>
      <c r="V901" s="1487"/>
      <c r="W901" s="1487"/>
      <c r="X901" s="1487"/>
      <c r="Y901" s="533"/>
      <c r="Z901" s="533"/>
      <c r="AA901" s="530"/>
      <c r="AB901" s="530"/>
      <c r="AC901" s="530"/>
      <c r="AD901" s="530"/>
      <c r="AE901" s="530"/>
    </row>
    <row r="902" spans="3:31">
      <c r="C902" s="530"/>
      <c r="D902" s="530"/>
      <c r="E902" s="530"/>
      <c r="F902" s="530"/>
      <c r="G902" s="1518"/>
      <c r="H902" s="530"/>
      <c r="I902" s="1432"/>
      <c r="J902" s="530"/>
      <c r="K902" s="530"/>
      <c r="L902" s="530"/>
      <c r="M902" s="533"/>
      <c r="N902" s="530"/>
      <c r="O902" s="530"/>
      <c r="P902" s="530"/>
      <c r="Q902" s="530"/>
      <c r="R902" s="1432"/>
      <c r="S902" s="530"/>
      <c r="T902" s="533"/>
      <c r="U902" s="533"/>
      <c r="V902" s="1487"/>
      <c r="W902" s="1487"/>
      <c r="X902" s="1487"/>
      <c r="Y902" s="533"/>
      <c r="Z902" s="533"/>
      <c r="AA902" s="530"/>
      <c r="AB902" s="530"/>
      <c r="AC902" s="530"/>
      <c r="AD902" s="530"/>
      <c r="AE902" s="530"/>
    </row>
    <row r="903" spans="3:31">
      <c r="C903" s="530"/>
      <c r="D903" s="530"/>
      <c r="E903" s="530"/>
      <c r="F903" s="530"/>
      <c r="G903" s="1518"/>
      <c r="H903" s="530"/>
      <c r="I903" s="1432"/>
      <c r="J903" s="530"/>
      <c r="K903" s="530"/>
      <c r="L903" s="530"/>
      <c r="M903" s="533"/>
      <c r="N903" s="530"/>
      <c r="O903" s="530"/>
      <c r="P903" s="530"/>
      <c r="Q903" s="530"/>
      <c r="R903" s="1432"/>
      <c r="S903" s="530"/>
      <c r="T903" s="533"/>
      <c r="U903" s="533"/>
      <c r="V903" s="1487"/>
      <c r="W903" s="1487"/>
      <c r="X903" s="1487"/>
      <c r="Y903" s="533"/>
      <c r="Z903" s="533"/>
      <c r="AA903" s="530"/>
      <c r="AB903" s="530"/>
      <c r="AC903" s="530"/>
      <c r="AD903" s="530"/>
      <c r="AE903" s="530"/>
    </row>
    <row r="904" spans="3:31">
      <c r="C904" s="530"/>
      <c r="D904" s="530"/>
      <c r="E904" s="530"/>
      <c r="F904" s="530"/>
      <c r="G904" s="1518"/>
      <c r="H904" s="530"/>
      <c r="I904" s="1432"/>
      <c r="J904" s="530"/>
      <c r="K904" s="530"/>
      <c r="L904" s="530"/>
      <c r="M904" s="533"/>
      <c r="N904" s="530"/>
      <c r="O904" s="530"/>
      <c r="P904" s="530"/>
      <c r="Q904" s="530"/>
      <c r="R904" s="1432"/>
      <c r="S904" s="530"/>
      <c r="T904" s="533"/>
      <c r="U904" s="533"/>
      <c r="V904" s="1487"/>
      <c r="W904" s="1487"/>
      <c r="X904" s="1487"/>
      <c r="Y904" s="533"/>
      <c r="Z904" s="533"/>
      <c r="AA904" s="530"/>
      <c r="AB904" s="530"/>
      <c r="AC904" s="530"/>
      <c r="AD904" s="530"/>
      <c r="AE904" s="530"/>
    </row>
    <row r="905" spans="3:31">
      <c r="C905" s="530"/>
      <c r="D905" s="530"/>
      <c r="E905" s="530"/>
      <c r="F905" s="530"/>
      <c r="G905" s="1518"/>
      <c r="H905" s="530"/>
      <c r="I905" s="1432"/>
      <c r="J905" s="530"/>
      <c r="K905" s="530"/>
      <c r="L905" s="530"/>
      <c r="M905" s="533"/>
      <c r="N905" s="530"/>
      <c r="O905" s="530"/>
      <c r="P905" s="530"/>
      <c r="Q905" s="530"/>
      <c r="R905" s="1432"/>
      <c r="S905" s="530"/>
      <c r="T905" s="533"/>
      <c r="U905" s="533"/>
      <c r="V905" s="1487"/>
      <c r="W905" s="1487"/>
      <c r="X905" s="1487"/>
      <c r="Y905" s="533"/>
      <c r="Z905" s="533"/>
      <c r="AA905" s="530"/>
      <c r="AB905" s="530"/>
      <c r="AC905" s="530"/>
      <c r="AD905" s="530"/>
      <c r="AE905" s="530"/>
    </row>
    <row r="906" spans="3:31">
      <c r="C906" s="530"/>
      <c r="D906" s="530"/>
      <c r="E906" s="530"/>
      <c r="F906" s="530"/>
      <c r="G906" s="1518"/>
      <c r="H906" s="530"/>
      <c r="I906" s="1432"/>
      <c r="J906" s="530"/>
      <c r="K906" s="530"/>
      <c r="L906" s="530"/>
      <c r="M906" s="533"/>
      <c r="N906" s="530"/>
      <c r="O906" s="530"/>
      <c r="P906" s="530"/>
      <c r="Q906" s="530"/>
      <c r="R906" s="1432"/>
      <c r="S906" s="530"/>
      <c r="T906" s="533"/>
      <c r="U906" s="533"/>
      <c r="V906" s="1487"/>
      <c r="W906" s="1487"/>
      <c r="X906" s="1487"/>
      <c r="Y906" s="533"/>
      <c r="Z906" s="533"/>
      <c r="AA906" s="530"/>
      <c r="AB906" s="530"/>
      <c r="AC906" s="530"/>
      <c r="AD906" s="530"/>
      <c r="AE906" s="530"/>
    </row>
    <row r="907" spans="3:31">
      <c r="C907" s="530"/>
      <c r="D907" s="530"/>
      <c r="E907" s="530"/>
      <c r="F907" s="530"/>
      <c r="G907" s="1518"/>
      <c r="H907" s="530"/>
      <c r="I907" s="1432"/>
      <c r="J907" s="530"/>
      <c r="K907" s="530"/>
      <c r="L907" s="530"/>
      <c r="M907" s="533"/>
      <c r="N907" s="530"/>
      <c r="O907" s="530"/>
      <c r="P907" s="530"/>
      <c r="Q907" s="530"/>
      <c r="R907" s="1432"/>
      <c r="S907" s="530"/>
      <c r="T907" s="533"/>
      <c r="U907" s="533"/>
      <c r="V907" s="1487"/>
      <c r="W907" s="1487"/>
      <c r="X907" s="1487"/>
      <c r="Y907" s="533"/>
      <c r="Z907" s="533"/>
      <c r="AA907" s="530"/>
      <c r="AB907" s="530"/>
      <c r="AC907" s="530"/>
      <c r="AD907" s="530"/>
      <c r="AE907" s="530"/>
    </row>
    <row r="908" spans="3:31">
      <c r="C908" s="530"/>
      <c r="D908" s="530"/>
      <c r="E908" s="530"/>
      <c r="F908" s="530"/>
      <c r="G908" s="1518"/>
      <c r="H908" s="530"/>
      <c r="I908" s="1432"/>
      <c r="J908" s="530"/>
      <c r="K908" s="530"/>
      <c r="L908" s="530"/>
      <c r="M908" s="533"/>
      <c r="N908" s="530"/>
      <c r="O908" s="530"/>
      <c r="P908" s="530"/>
      <c r="Q908" s="530"/>
      <c r="R908" s="1432"/>
      <c r="S908" s="530"/>
      <c r="T908" s="533"/>
      <c r="U908" s="533"/>
      <c r="V908" s="1487"/>
      <c r="W908" s="1487"/>
      <c r="X908" s="1487"/>
      <c r="Y908" s="533"/>
      <c r="Z908" s="533"/>
      <c r="AA908" s="530"/>
      <c r="AB908" s="530"/>
      <c r="AC908" s="530"/>
      <c r="AD908" s="530"/>
      <c r="AE908" s="530"/>
    </row>
    <row r="909" spans="3:31">
      <c r="C909" s="530"/>
      <c r="D909" s="530"/>
      <c r="E909" s="530"/>
      <c r="F909" s="530"/>
      <c r="G909" s="1518"/>
      <c r="H909" s="530"/>
      <c r="I909" s="1432"/>
      <c r="J909" s="530"/>
      <c r="K909" s="530"/>
      <c r="L909" s="530"/>
      <c r="M909" s="533"/>
      <c r="N909" s="530"/>
      <c r="O909" s="530"/>
      <c r="P909" s="530"/>
      <c r="Q909" s="530"/>
      <c r="R909" s="1432"/>
      <c r="S909" s="530"/>
      <c r="T909" s="533"/>
      <c r="U909" s="533"/>
      <c r="V909" s="1487"/>
      <c r="W909" s="1487"/>
      <c r="X909" s="1487"/>
      <c r="Y909" s="533"/>
      <c r="Z909" s="533"/>
      <c r="AA909" s="530"/>
      <c r="AB909" s="530"/>
      <c r="AC909" s="530"/>
      <c r="AD909" s="530"/>
      <c r="AE909" s="530"/>
    </row>
    <row r="910" spans="3:31">
      <c r="C910" s="530"/>
      <c r="D910" s="530"/>
      <c r="E910" s="530"/>
      <c r="F910" s="530"/>
      <c r="G910" s="1518"/>
      <c r="H910" s="530"/>
      <c r="I910" s="1432"/>
      <c r="J910" s="530"/>
      <c r="K910" s="530"/>
      <c r="L910" s="530"/>
      <c r="M910" s="533"/>
      <c r="N910" s="530"/>
      <c r="O910" s="530"/>
      <c r="P910" s="530"/>
      <c r="Q910" s="530"/>
      <c r="R910" s="1432"/>
      <c r="S910" s="530"/>
      <c r="T910" s="533"/>
      <c r="U910" s="533"/>
      <c r="V910" s="1487"/>
      <c r="W910" s="1487"/>
      <c r="X910" s="1487"/>
      <c r="Y910" s="533"/>
      <c r="Z910" s="533"/>
      <c r="AA910" s="530"/>
      <c r="AB910" s="530"/>
      <c r="AC910" s="530"/>
      <c r="AD910" s="530"/>
      <c r="AE910" s="530"/>
    </row>
    <row r="911" spans="3:31">
      <c r="C911" s="530"/>
      <c r="D911" s="530"/>
      <c r="E911" s="530"/>
      <c r="F911" s="530"/>
      <c r="G911" s="1518"/>
      <c r="H911" s="530"/>
      <c r="I911" s="1432"/>
      <c r="J911" s="530"/>
      <c r="K911" s="530"/>
      <c r="L911" s="530"/>
      <c r="M911" s="533"/>
      <c r="N911" s="530"/>
      <c r="O911" s="530"/>
      <c r="P911" s="530"/>
      <c r="Q911" s="530"/>
      <c r="R911" s="1432"/>
      <c r="S911" s="530"/>
      <c r="T911" s="533"/>
      <c r="U911" s="533"/>
      <c r="V911" s="1487"/>
      <c r="W911" s="1487"/>
      <c r="X911" s="1487"/>
      <c r="Y911" s="533"/>
      <c r="Z911" s="533"/>
      <c r="AA911" s="530"/>
      <c r="AB911" s="530"/>
      <c r="AC911" s="530"/>
      <c r="AD911" s="530"/>
      <c r="AE911" s="530"/>
    </row>
    <row r="912" spans="3:31">
      <c r="C912" s="530"/>
      <c r="D912" s="530"/>
      <c r="E912" s="530"/>
      <c r="F912" s="530"/>
      <c r="G912" s="1518"/>
      <c r="H912" s="530"/>
      <c r="I912" s="1432"/>
      <c r="J912" s="530"/>
      <c r="K912" s="530"/>
      <c r="L912" s="530"/>
      <c r="M912" s="533"/>
      <c r="N912" s="530"/>
      <c r="O912" s="530"/>
      <c r="P912" s="530"/>
      <c r="Q912" s="530"/>
      <c r="R912" s="1432"/>
      <c r="S912" s="530"/>
      <c r="T912" s="533"/>
      <c r="U912" s="533"/>
      <c r="V912" s="1487"/>
      <c r="W912" s="1487"/>
      <c r="X912" s="1487"/>
      <c r="Y912" s="533"/>
      <c r="Z912" s="533"/>
      <c r="AA912" s="530"/>
      <c r="AB912" s="530"/>
      <c r="AC912" s="530"/>
      <c r="AD912" s="530"/>
      <c r="AE912" s="530"/>
    </row>
    <row r="913" spans="3:31">
      <c r="C913" s="530"/>
      <c r="D913" s="530"/>
      <c r="E913" s="530"/>
      <c r="F913" s="530"/>
      <c r="G913" s="1518"/>
      <c r="H913" s="530"/>
      <c r="I913" s="1432"/>
      <c r="J913" s="530"/>
      <c r="K913" s="530"/>
      <c r="L913" s="530"/>
      <c r="M913" s="533"/>
      <c r="N913" s="530"/>
      <c r="O913" s="530"/>
      <c r="P913" s="530"/>
      <c r="Q913" s="530"/>
      <c r="R913" s="1432"/>
      <c r="S913" s="530"/>
      <c r="T913" s="533"/>
      <c r="U913" s="533"/>
      <c r="V913" s="1487"/>
      <c r="W913" s="1487"/>
      <c r="X913" s="1487"/>
      <c r="Y913" s="533"/>
      <c r="Z913" s="533"/>
      <c r="AA913" s="530"/>
      <c r="AB913" s="530"/>
      <c r="AC913" s="530"/>
      <c r="AD913" s="530"/>
      <c r="AE913" s="530"/>
    </row>
    <row r="914" spans="3:31">
      <c r="C914" s="530"/>
      <c r="D914" s="530"/>
      <c r="E914" s="530"/>
      <c r="F914" s="530"/>
      <c r="G914" s="1518"/>
      <c r="H914" s="530"/>
      <c r="I914" s="1432"/>
      <c r="J914" s="530"/>
      <c r="K914" s="530"/>
      <c r="L914" s="530"/>
      <c r="M914" s="533"/>
      <c r="N914" s="530"/>
      <c r="O914" s="530"/>
      <c r="P914" s="530"/>
      <c r="Q914" s="530"/>
      <c r="R914" s="1432"/>
      <c r="S914" s="530"/>
      <c r="T914" s="533"/>
      <c r="U914" s="533"/>
      <c r="V914" s="1487"/>
      <c r="W914" s="1487"/>
      <c r="X914" s="1487"/>
      <c r="Y914" s="533"/>
      <c r="Z914" s="533"/>
      <c r="AA914" s="530"/>
      <c r="AB914" s="530"/>
      <c r="AC914" s="530"/>
      <c r="AD914" s="530"/>
      <c r="AE914" s="530"/>
    </row>
    <row r="915" spans="3:31">
      <c r="C915" s="530"/>
      <c r="D915" s="530"/>
      <c r="E915" s="530"/>
      <c r="F915" s="530"/>
      <c r="G915" s="1518"/>
      <c r="H915" s="530"/>
      <c r="I915" s="1432"/>
      <c r="J915" s="530"/>
      <c r="K915" s="530"/>
      <c r="L915" s="530"/>
      <c r="M915" s="533"/>
      <c r="N915" s="530"/>
      <c r="O915" s="530"/>
      <c r="P915" s="530"/>
      <c r="Q915" s="530"/>
      <c r="R915" s="1432"/>
      <c r="S915" s="530"/>
      <c r="T915" s="533"/>
      <c r="U915" s="533"/>
      <c r="V915" s="1487"/>
      <c r="W915" s="1487"/>
      <c r="X915" s="1487"/>
      <c r="Y915" s="533"/>
      <c r="Z915" s="533"/>
      <c r="AA915" s="530"/>
      <c r="AB915" s="530"/>
      <c r="AC915" s="530"/>
      <c r="AD915" s="530"/>
      <c r="AE915" s="530"/>
    </row>
    <row r="916" spans="3:31">
      <c r="C916" s="530"/>
      <c r="D916" s="530"/>
      <c r="E916" s="530"/>
      <c r="F916" s="530"/>
      <c r="G916" s="1518"/>
      <c r="H916" s="530"/>
      <c r="I916" s="1432"/>
      <c r="J916" s="530"/>
      <c r="K916" s="530"/>
      <c r="L916" s="530"/>
      <c r="M916" s="533"/>
      <c r="N916" s="530"/>
      <c r="O916" s="530"/>
      <c r="P916" s="530"/>
      <c r="Q916" s="530"/>
      <c r="R916" s="1432"/>
      <c r="S916" s="530"/>
      <c r="T916" s="533"/>
      <c r="U916" s="533"/>
      <c r="V916" s="1487"/>
      <c r="W916" s="1487"/>
      <c r="X916" s="1487"/>
      <c r="Y916" s="533"/>
      <c r="Z916" s="533"/>
      <c r="AA916" s="530"/>
      <c r="AB916" s="530"/>
      <c r="AC916" s="530"/>
      <c r="AD916" s="530"/>
      <c r="AE916" s="530"/>
    </row>
    <row r="917" spans="3:31">
      <c r="C917" s="530"/>
      <c r="D917" s="530"/>
      <c r="E917" s="530"/>
      <c r="F917" s="530"/>
      <c r="G917" s="1518"/>
      <c r="H917" s="530"/>
      <c r="I917" s="1432"/>
      <c r="J917" s="530"/>
      <c r="K917" s="530"/>
      <c r="L917" s="530"/>
      <c r="M917" s="533"/>
      <c r="N917" s="530"/>
      <c r="O917" s="530"/>
      <c r="P917" s="530"/>
      <c r="Q917" s="530"/>
      <c r="R917" s="1432"/>
      <c r="S917" s="530"/>
      <c r="T917" s="533"/>
      <c r="U917" s="533"/>
      <c r="V917" s="1487"/>
      <c r="W917" s="1487"/>
      <c r="X917" s="1487"/>
      <c r="Y917" s="533"/>
      <c r="Z917" s="533"/>
      <c r="AA917" s="530"/>
      <c r="AB917" s="530"/>
      <c r="AC917" s="530"/>
      <c r="AD917" s="530"/>
      <c r="AE917" s="530"/>
    </row>
    <row r="918" spans="3:31">
      <c r="C918" s="530"/>
      <c r="D918" s="530"/>
      <c r="E918" s="530"/>
      <c r="F918" s="530"/>
      <c r="G918" s="1518"/>
      <c r="H918" s="530"/>
      <c r="I918" s="1432"/>
      <c r="J918" s="530"/>
      <c r="K918" s="530"/>
      <c r="L918" s="530"/>
      <c r="M918" s="533"/>
      <c r="N918" s="530"/>
      <c r="O918" s="530"/>
      <c r="P918" s="530"/>
      <c r="Q918" s="530"/>
      <c r="R918" s="1432"/>
      <c r="S918" s="530"/>
      <c r="T918" s="533"/>
      <c r="U918" s="533"/>
      <c r="V918" s="1487"/>
      <c r="W918" s="1487"/>
      <c r="X918" s="1487"/>
      <c r="Y918" s="533"/>
      <c r="Z918" s="533"/>
      <c r="AA918" s="530"/>
      <c r="AB918" s="530"/>
      <c r="AC918" s="530"/>
      <c r="AD918" s="530"/>
      <c r="AE918" s="530"/>
    </row>
    <row r="919" spans="3:31">
      <c r="C919" s="530"/>
      <c r="D919" s="530"/>
      <c r="E919" s="530"/>
      <c r="F919" s="530"/>
      <c r="G919" s="1518"/>
      <c r="H919" s="530"/>
      <c r="I919" s="1432"/>
      <c r="J919" s="530"/>
      <c r="K919" s="530"/>
      <c r="L919" s="530"/>
      <c r="M919" s="533"/>
      <c r="N919" s="530"/>
      <c r="O919" s="530"/>
      <c r="P919" s="530"/>
      <c r="Q919" s="530"/>
      <c r="R919" s="1432"/>
      <c r="S919" s="530"/>
      <c r="T919" s="533"/>
      <c r="U919" s="533"/>
      <c r="V919" s="1487"/>
      <c r="W919" s="1487"/>
      <c r="X919" s="1487"/>
      <c r="Y919" s="533"/>
      <c r="Z919" s="533"/>
      <c r="AA919" s="530"/>
      <c r="AB919" s="530"/>
      <c r="AC919" s="530"/>
      <c r="AD919" s="530"/>
      <c r="AE919" s="530"/>
    </row>
    <row r="920" spans="3:31">
      <c r="C920" s="530"/>
      <c r="D920" s="530"/>
      <c r="E920" s="530"/>
      <c r="F920" s="530"/>
      <c r="G920" s="1518"/>
      <c r="H920" s="530"/>
      <c r="I920" s="1432"/>
      <c r="J920" s="530"/>
      <c r="K920" s="530"/>
      <c r="L920" s="530"/>
      <c r="M920" s="533"/>
      <c r="N920" s="530"/>
      <c r="O920" s="530"/>
      <c r="P920" s="530"/>
      <c r="Q920" s="530"/>
      <c r="R920" s="1432"/>
      <c r="S920" s="530"/>
      <c r="T920" s="533"/>
      <c r="U920" s="533"/>
      <c r="V920" s="1487"/>
      <c r="W920" s="1487"/>
      <c r="X920" s="1487"/>
      <c r="Y920" s="533"/>
      <c r="Z920" s="533"/>
      <c r="AA920" s="530"/>
      <c r="AB920" s="530"/>
      <c r="AC920" s="530"/>
      <c r="AD920" s="530"/>
      <c r="AE920" s="530"/>
    </row>
    <row r="921" spans="3:31">
      <c r="C921" s="530"/>
      <c r="D921" s="530"/>
      <c r="E921" s="530"/>
      <c r="F921" s="530"/>
      <c r="G921" s="1518"/>
      <c r="H921" s="530"/>
      <c r="I921" s="1432"/>
      <c r="J921" s="530"/>
      <c r="K921" s="530"/>
      <c r="L921" s="530"/>
      <c r="M921" s="533"/>
      <c r="N921" s="530"/>
      <c r="O921" s="530"/>
      <c r="P921" s="530"/>
      <c r="Q921" s="530"/>
      <c r="R921" s="1432"/>
      <c r="S921" s="530"/>
      <c r="T921" s="533"/>
      <c r="U921" s="533"/>
      <c r="V921" s="1487"/>
      <c r="W921" s="1487"/>
      <c r="X921" s="1487"/>
      <c r="Y921" s="533"/>
      <c r="Z921" s="533"/>
      <c r="AA921" s="530"/>
      <c r="AB921" s="530"/>
      <c r="AC921" s="530"/>
      <c r="AD921" s="530"/>
      <c r="AE921" s="530"/>
    </row>
    <row r="922" spans="3:31">
      <c r="C922" s="530"/>
      <c r="D922" s="530"/>
      <c r="E922" s="530"/>
      <c r="F922" s="530"/>
      <c r="G922" s="1518"/>
      <c r="H922" s="530"/>
      <c r="I922" s="1432"/>
      <c r="J922" s="530"/>
      <c r="K922" s="530"/>
      <c r="L922" s="530"/>
      <c r="M922" s="533"/>
      <c r="N922" s="530"/>
      <c r="O922" s="530"/>
      <c r="P922" s="530"/>
      <c r="Q922" s="530"/>
      <c r="R922" s="1432"/>
      <c r="S922" s="530"/>
      <c r="T922" s="533"/>
      <c r="U922" s="533"/>
      <c r="V922" s="1487"/>
      <c r="W922" s="1487"/>
      <c r="X922" s="1487"/>
      <c r="Y922" s="533"/>
      <c r="Z922" s="533"/>
      <c r="AA922" s="530"/>
      <c r="AB922" s="530"/>
      <c r="AC922" s="530"/>
      <c r="AD922" s="530"/>
      <c r="AE922" s="530"/>
    </row>
    <row r="923" spans="3:31">
      <c r="C923" s="530"/>
      <c r="D923" s="530"/>
      <c r="E923" s="530"/>
      <c r="F923" s="530"/>
      <c r="G923" s="1518"/>
      <c r="H923" s="530"/>
      <c r="I923" s="1432"/>
      <c r="J923" s="530"/>
      <c r="K923" s="530"/>
      <c r="L923" s="530"/>
      <c r="M923" s="533"/>
      <c r="N923" s="530"/>
      <c r="O923" s="530"/>
      <c r="P923" s="530"/>
      <c r="Q923" s="530"/>
      <c r="R923" s="1432"/>
      <c r="S923" s="530"/>
      <c r="T923" s="533"/>
      <c r="U923" s="533"/>
      <c r="V923" s="1487"/>
      <c r="W923" s="1487"/>
      <c r="X923" s="1487"/>
      <c r="Y923" s="533"/>
      <c r="Z923" s="533"/>
      <c r="AA923" s="530"/>
      <c r="AB923" s="530"/>
      <c r="AC923" s="530"/>
      <c r="AD923" s="530"/>
      <c r="AE923" s="530"/>
    </row>
    <row r="924" spans="3:31">
      <c r="C924" s="530"/>
      <c r="D924" s="530"/>
      <c r="E924" s="530"/>
      <c r="F924" s="530"/>
      <c r="G924" s="1518"/>
      <c r="H924" s="530"/>
      <c r="I924" s="1432"/>
      <c r="J924" s="530"/>
      <c r="K924" s="530"/>
      <c r="L924" s="530"/>
      <c r="M924" s="533"/>
      <c r="N924" s="530"/>
      <c r="O924" s="530"/>
      <c r="P924" s="530"/>
      <c r="Q924" s="530"/>
      <c r="R924" s="1432"/>
      <c r="S924" s="530"/>
      <c r="T924" s="533"/>
      <c r="U924" s="533"/>
      <c r="V924" s="1487"/>
      <c r="W924" s="1487"/>
      <c r="X924" s="1487"/>
      <c r="Y924" s="533"/>
      <c r="Z924" s="533"/>
      <c r="AA924" s="530"/>
      <c r="AB924" s="530"/>
      <c r="AC924" s="530"/>
      <c r="AD924" s="530"/>
      <c r="AE924" s="530"/>
    </row>
    <row r="925" spans="3:31">
      <c r="C925" s="530"/>
      <c r="D925" s="530"/>
      <c r="E925" s="530"/>
      <c r="F925" s="530"/>
      <c r="G925" s="1518"/>
      <c r="H925" s="530"/>
      <c r="I925" s="1432"/>
      <c r="J925" s="530"/>
      <c r="K925" s="530"/>
      <c r="L925" s="530"/>
      <c r="M925" s="533"/>
      <c r="N925" s="530"/>
      <c r="O925" s="530"/>
      <c r="P925" s="530"/>
      <c r="Q925" s="530"/>
      <c r="R925" s="1432"/>
      <c r="S925" s="530"/>
      <c r="T925" s="533"/>
      <c r="U925" s="533"/>
      <c r="V925" s="1487"/>
      <c r="W925" s="1487"/>
      <c r="X925" s="1487"/>
      <c r="Y925" s="533"/>
      <c r="Z925" s="533"/>
      <c r="AA925" s="530"/>
      <c r="AB925" s="530"/>
      <c r="AC925" s="530"/>
      <c r="AD925" s="530"/>
      <c r="AE925" s="530"/>
    </row>
    <row r="926" spans="3:31">
      <c r="C926" s="530"/>
      <c r="D926" s="530"/>
      <c r="E926" s="530"/>
      <c r="F926" s="530"/>
      <c r="G926" s="1518"/>
      <c r="H926" s="530"/>
      <c r="I926" s="1432"/>
      <c r="J926" s="530"/>
      <c r="K926" s="530"/>
      <c r="L926" s="530"/>
      <c r="M926" s="533"/>
      <c r="N926" s="530"/>
      <c r="O926" s="530"/>
      <c r="P926" s="530"/>
      <c r="Q926" s="530"/>
      <c r="R926" s="1432"/>
      <c r="S926" s="530"/>
      <c r="T926" s="533"/>
      <c r="U926" s="533"/>
      <c r="V926" s="1487"/>
      <c r="W926" s="1487"/>
      <c r="X926" s="1487"/>
      <c r="Y926" s="533"/>
      <c r="Z926" s="533"/>
      <c r="AA926" s="530"/>
      <c r="AB926" s="530"/>
      <c r="AC926" s="530"/>
      <c r="AD926" s="530"/>
      <c r="AE926" s="530"/>
    </row>
    <row r="927" spans="3:31">
      <c r="C927" s="530"/>
      <c r="D927" s="530"/>
      <c r="E927" s="530"/>
      <c r="F927" s="530"/>
      <c r="G927" s="1518"/>
      <c r="H927" s="530"/>
      <c r="I927" s="1432"/>
      <c r="J927" s="530"/>
      <c r="K927" s="530"/>
      <c r="L927" s="530"/>
      <c r="M927" s="533"/>
      <c r="N927" s="530"/>
      <c r="O927" s="530"/>
      <c r="P927" s="530"/>
      <c r="Q927" s="530"/>
      <c r="R927" s="1432"/>
      <c r="S927" s="530"/>
      <c r="T927" s="533"/>
      <c r="U927" s="533"/>
      <c r="V927" s="1487"/>
      <c r="W927" s="1487"/>
      <c r="X927" s="1487"/>
      <c r="Y927" s="533"/>
      <c r="Z927" s="533"/>
      <c r="AA927" s="530"/>
      <c r="AB927" s="530"/>
      <c r="AC927" s="530"/>
      <c r="AD927" s="530"/>
      <c r="AE927" s="530"/>
    </row>
    <row r="928" spans="3:31">
      <c r="C928" s="530"/>
      <c r="D928" s="530"/>
      <c r="E928" s="530"/>
      <c r="F928" s="530"/>
      <c r="G928" s="1518"/>
      <c r="H928" s="530"/>
      <c r="I928" s="1432"/>
      <c r="J928" s="530"/>
      <c r="K928" s="530"/>
      <c r="L928" s="530"/>
      <c r="M928" s="533"/>
      <c r="N928" s="530"/>
      <c r="O928" s="530"/>
      <c r="P928" s="530"/>
      <c r="Q928" s="530"/>
      <c r="R928" s="1432"/>
      <c r="S928" s="530"/>
      <c r="T928" s="533"/>
      <c r="U928" s="533"/>
      <c r="V928" s="1487"/>
      <c r="W928" s="1487"/>
      <c r="X928" s="1487"/>
      <c r="Y928" s="533"/>
      <c r="Z928" s="533"/>
      <c r="AA928" s="530"/>
      <c r="AB928" s="530"/>
      <c r="AC928" s="530"/>
      <c r="AD928" s="530"/>
      <c r="AE928" s="530"/>
    </row>
    <row r="929" spans="3:31">
      <c r="C929" s="530"/>
      <c r="D929" s="530"/>
      <c r="E929" s="530"/>
      <c r="F929" s="530"/>
      <c r="G929" s="1518"/>
      <c r="H929" s="530"/>
      <c r="I929" s="1432"/>
      <c r="J929" s="530"/>
      <c r="K929" s="530"/>
      <c r="L929" s="530"/>
      <c r="M929" s="533"/>
      <c r="N929" s="530"/>
      <c r="O929" s="530"/>
      <c r="P929" s="530"/>
      <c r="Q929" s="530"/>
      <c r="R929" s="1432"/>
      <c r="S929" s="530"/>
      <c r="T929" s="533"/>
      <c r="U929" s="533"/>
      <c r="V929" s="1487"/>
      <c r="W929" s="1487"/>
      <c r="X929" s="1487"/>
      <c r="Y929" s="533"/>
      <c r="Z929" s="533"/>
      <c r="AA929" s="530"/>
      <c r="AB929" s="530"/>
      <c r="AC929" s="530"/>
      <c r="AD929" s="530"/>
      <c r="AE929" s="530"/>
    </row>
    <row r="930" spans="3:31">
      <c r="C930" s="530"/>
      <c r="D930" s="530"/>
      <c r="E930" s="530"/>
      <c r="F930" s="530"/>
      <c r="G930" s="1518"/>
      <c r="H930" s="530"/>
      <c r="I930" s="1432"/>
      <c r="J930" s="530"/>
      <c r="K930" s="530"/>
      <c r="L930" s="530"/>
      <c r="M930" s="533"/>
      <c r="N930" s="530"/>
      <c r="O930" s="530"/>
      <c r="P930" s="530"/>
      <c r="Q930" s="530"/>
      <c r="R930" s="1432"/>
      <c r="S930" s="530"/>
      <c r="T930" s="533"/>
      <c r="U930" s="533"/>
      <c r="V930" s="1487"/>
      <c r="W930" s="1487"/>
      <c r="X930" s="1487"/>
      <c r="Y930" s="533"/>
      <c r="Z930" s="533"/>
      <c r="AA930" s="530"/>
      <c r="AB930" s="530"/>
      <c r="AC930" s="530"/>
      <c r="AD930" s="530"/>
      <c r="AE930" s="530"/>
    </row>
    <row r="931" spans="3:31">
      <c r="C931" s="530"/>
      <c r="D931" s="530"/>
      <c r="E931" s="530"/>
      <c r="F931" s="530"/>
      <c r="G931" s="1518"/>
      <c r="H931" s="530"/>
      <c r="I931" s="1432"/>
      <c r="J931" s="530"/>
      <c r="K931" s="530"/>
      <c r="L931" s="530"/>
      <c r="M931" s="533"/>
      <c r="N931" s="530"/>
      <c r="O931" s="530"/>
      <c r="P931" s="530"/>
      <c r="Q931" s="530"/>
      <c r="R931" s="1432"/>
      <c r="S931" s="530"/>
      <c r="T931" s="533"/>
      <c r="U931" s="533"/>
      <c r="V931" s="1487"/>
      <c r="W931" s="1487"/>
      <c r="X931" s="1487"/>
      <c r="Y931" s="533"/>
      <c r="Z931" s="533"/>
      <c r="AA931" s="530"/>
      <c r="AB931" s="530"/>
      <c r="AC931" s="530"/>
      <c r="AD931" s="530"/>
      <c r="AE931" s="530"/>
    </row>
    <row r="932" spans="3:31">
      <c r="C932" s="530"/>
      <c r="D932" s="530"/>
      <c r="E932" s="530"/>
      <c r="F932" s="530"/>
      <c r="G932" s="1518"/>
      <c r="H932" s="530"/>
      <c r="I932" s="1432"/>
      <c r="J932" s="530"/>
      <c r="K932" s="530"/>
      <c r="L932" s="530"/>
      <c r="M932" s="533"/>
      <c r="N932" s="530"/>
      <c r="O932" s="530"/>
      <c r="P932" s="530"/>
      <c r="Q932" s="530"/>
      <c r="R932" s="1432"/>
      <c r="S932" s="530"/>
      <c r="T932" s="533"/>
      <c r="U932" s="533"/>
      <c r="V932" s="1487"/>
      <c r="W932" s="1487"/>
      <c r="X932" s="1487"/>
      <c r="Y932" s="533"/>
      <c r="Z932" s="533"/>
      <c r="AA932" s="530"/>
      <c r="AB932" s="530"/>
      <c r="AC932" s="530"/>
      <c r="AD932" s="530"/>
      <c r="AE932" s="530"/>
    </row>
    <row r="933" spans="3:31">
      <c r="C933" s="530"/>
      <c r="D933" s="530"/>
      <c r="E933" s="530"/>
      <c r="F933" s="530"/>
      <c r="G933" s="1518"/>
      <c r="H933" s="530"/>
      <c r="I933" s="1432"/>
      <c r="J933" s="530"/>
      <c r="K933" s="530"/>
      <c r="L933" s="530"/>
      <c r="M933" s="533"/>
      <c r="N933" s="530"/>
      <c r="O933" s="530"/>
      <c r="P933" s="530"/>
      <c r="Q933" s="530"/>
      <c r="R933" s="1432"/>
      <c r="S933" s="530"/>
      <c r="T933" s="533"/>
      <c r="U933" s="533"/>
      <c r="V933" s="1487"/>
      <c r="W933" s="1487"/>
      <c r="X933" s="1487"/>
      <c r="Y933" s="533"/>
      <c r="Z933" s="533"/>
      <c r="AA933" s="530"/>
      <c r="AB933" s="530"/>
      <c r="AC933" s="530"/>
      <c r="AD933" s="530"/>
      <c r="AE933" s="530"/>
    </row>
    <row r="934" spans="3:31">
      <c r="C934" s="530"/>
      <c r="D934" s="530"/>
      <c r="E934" s="530"/>
      <c r="F934" s="530"/>
      <c r="G934" s="1518"/>
      <c r="H934" s="530"/>
      <c r="I934" s="1432"/>
      <c r="J934" s="530"/>
      <c r="K934" s="530"/>
      <c r="L934" s="530"/>
      <c r="M934" s="533"/>
      <c r="N934" s="530"/>
      <c r="O934" s="530"/>
      <c r="P934" s="530"/>
      <c r="Q934" s="530"/>
      <c r="R934" s="1432"/>
      <c r="S934" s="530"/>
      <c r="T934" s="533"/>
      <c r="U934" s="533"/>
      <c r="V934" s="1487"/>
      <c r="W934" s="1487"/>
      <c r="X934" s="1487"/>
      <c r="Y934" s="533"/>
      <c r="Z934" s="533"/>
      <c r="AA934" s="530"/>
      <c r="AB934" s="530"/>
      <c r="AC934" s="530"/>
      <c r="AD934" s="530"/>
      <c r="AE934" s="530"/>
    </row>
    <row r="935" spans="3:31">
      <c r="C935" s="530"/>
      <c r="D935" s="530"/>
      <c r="E935" s="530"/>
      <c r="F935" s="530"/>
      <c r="G935" s="1518"/>
      <c r="H935" s="530"/>
      <c r="I935" s="1432"/>
      <c r="J935" s="530"/>
      <c r="K935" s="530"/>
      <c r="L935" s="530"/>
      <c r="M935" s="533"/>
      <c r="N935" s="530"/>
      <c r="O935" s="530"/>
      <c r="P935" s="530"/>
      <c r="Q935" s="530"/>
      <c r="R935" s="1432"/>
      <c r="S935" s="530"/>
      <c r="T935" s="533"/>
      <c r="U935" s="533"/>
      <c r="V935" s="1487"/>
      <c r="W935" s="1487"/>
      <c r="X935" s="1487"/>
      <c r="Y935" s="533"/>
      <c r="Z935" s="533"/>
      <c r="AA935" s="530"/>
      <c r="AB935" s="530"/>
      <c r="AC935" s="530"/>
      <c r="AD935" s="530"/>
      <c r="AE935" s="530"/>
    </row>
    <row r="936" spans="3:31">
      <c r="C936" s="530"/>
      <c r="D936" s="530"/>
      <c r="E936" s="530"/>
      <c r="F936" s="530"/>
      <c r="G936" s="1518"/>
      <c r="H936" s="530"/>
      <c r="I936" s="1432"/>
      <c r="J936" s="530"/>
      <c r="K936" s="530"/>
      <c r="L936" s="530"/>
      <c r="M936" s="533"/>
      <c r="N936" s="530"/>
      <c r="O936" s="530"/>
      <c r="P936" s="530"/>
      <c r="Q936" s="530"/>
      <c r="R936" s="1432"/>
      <c r="S936" s="530"/>
      <c r="T936" s="533"/>
      <c r="U936" s="533"/>
      <c r="V936" s="1487"/>
      <c r="W936" s="1487"/>
      <c r="X936" s="1487"/>
      <c r="Y936" s="533"/>
      <c r="Z936" s="533"/>
      <c r="AA936" s="530"/>
      <c r="AB936" s="530"/>
      <c r="AC936" s="530"/>
      <c r="AD936" s="530"/>
      <c r="AE936" s="530"/>
    </row>
    <row r="937" spans="3:31">
      <c r="C937" s="530"/>
      <c r="D937" s="530"/>
      <c r="E937" s="530"/>
      <c r="F937" s="530"/>
      <c r="G937" s="1518"/>
      <c r="H937" s="530"/>
      <c r="I937" s="1432"/>
      <c r="J937" s="530"/>
      <c r="K937" s="530"/>
      <c r="L937" s="530"/>
      <c r="M937" s="533"/>
      <c r="N937" s="530"/>
      <c r="O937" s="530"/>
      <c r="P937" s="530"/>
      <c r="Q937" s="530"/>
      <c r="R937" s="1432"/>
      <c r="S937" s="530"/>
      <c r="T937" s="533"/>
      <c r="U937" s="533"/>
      <c r="V937" s="1487"/>
      <c r="W937" s="1487"/>
      <c r="X937" s="1487"/>
      <c r="Y937" s="533"/>
      <c r="Z937" s="533"/>
      <c r="AA937" s="530"/>
      <c r="AB937" s="530"/>
      <c r="AC937" s="530"/>
      <c r="AD937" s="530"/>
      <c r="AE937" s="530"/>
    </row>
    <row r="938" spans="3:31">
      <c r="C938" s="530"/>
      <c r="D938" s="530"/>
      <c r="E938" s="530"/>
      <c r="F938" s="530"/>
      <c r="G938" s="1518"/>
      <c r="H938" s="530"/>
      <c r="I938" s="1432"/>
      <c r="J938" s="530"/>
      <c r="K938" s="530"/>
      <c r="L938" s="530"/>
      <c r="M938" s="533"/>
      <c r="N938" s="530"/>
      <c r="O938" s="530"/>
      <c r="P938" s="530"/>
      <c r="Q938" s="530"/>
      <c r="R938" s="1432"/>
      <c r="S938" s="530"/>
      <c r="T938" s="533"/>
      <c r="U938" s="533"/>
      <c r="V938" s="1487"/>
      <c r="W938" s="1487"/>
      <c r="X938" s="1487"/>
      <c r="Y938" s="533"/>
      <c r="Z938" s="533"/>
      <c r="AA938" s="530"/>
      <c r="AB938" s="530"/>
      <c r="AC938" s="530"/>
      <c r="AD938" s="530"/>
      <c r="AE938" s="530"/>
    </row>
    <row r="939" spans="3:31">
      <c r="C939" s="530"/>
      <c r="D939" s="530"/>
      <c r="E939" s="530"/>
      <c r="F939" s="530"/>
      <c r="G939" s="1518"/>
      <c r="H939" s="530"/>
      <c r="I939" s="1432"/>
      <c r="J939" s="530"/>
      <c r="K939" s="530"/>
      <c r="L939" s="530"/>
      <c r="M939" s="533"/>
      <c r="N939" s="530"/>
      <c r="O939" s="530"/>
      <c r="P939" s="530"/>
      <c r="Q939" s="530"/>
      <c r="R939" s="1432"/>
      <c r="S939" s="530"/>
      <c r="T939" s="533"/>
      <c r="U939" s="533"/>
      <c r="V939" s="1487"/>
      <c r="W939" s="1487"/>
      <c r="X939" s="1487"/>
      <c r="Y939" s="533"/>
      <c r="Z939" s="533"/>
      <c r="AA939" s="530"/>
      <c r="AB939" s="530"/>
      <c r="AC939" s="530"/>
      <c r="AD939" s="530"/>
      <c r="AE939" s="530"/>
    </row>
    <row r="940" spans="3:31">
      <c r="C940" s="530"/>
      <c r="D940" s="530"/>
      <c r="E940" s="530"/>
      <c r="F940" s="530"/>
      <c r="G940" s="1518"/>
      <c r="H940" s="530"/>
      <c r="I940" s="1432"/>
      <c r="J940" s="530"/>
      <c r="K940" s="530"/>
      <c r="L940" s="530"/>
      <c r="M940" s="533"/>
      <c r="N940" s="530"/>
      <c r="O940" s="530"/>
      <c r="P940" s="530"/>
      <c r="Q940" s="530"/>
      <c r="R940" s="1432"/>
      <c r="S940" s="530"/>
      <c r="T940" s="533"/>
      <c r="U940" s="533"/>
      <c r="V940" s="1487"/>
      <c r="W940" s="1487"/>
      <c r="X940" s="1487"/>
      <c r="Y940" s="533"/>
      <c r="Z940" s="533"/>
      <c r="AA940" s="530"/>
      <c r="AB940" s="530"/>
      <c r="AC940" s="530"/>
      <c r="AD940" s="530"/>
      <c r="AE940" s="530"/>
    </row>
    <row r="941" spans="3:31">
      <c r="C941" s="530"/>
      <c r="D941" s="530"/>
      <c r="E941" s="530"/>
      <c r="F941" s="530"/>
      <c r="G941" s="1518"/>
      <c r="H941" s="530"/>
      <c r="I941" s="1432"/>
      <c r="J941" s="530"/>
      <c r="K941" s="530"/>
      <c r="L941" s="530"/>
      <c r="M941" s="533"/>
      <c r="N941" s="530"/>
      <c r="O941" s="530"/>
      <c r="P941" s="530"/>
      <c r="Q941" s="530"/>
      <c r="R941" s="1432"/>
      <c r="S941" s="530"/>
      <c r="T941" s="533"/>
      <c r="U941" s="533"/>
      <c r="V941" s="1487"/>
      <c r="W941" s="1487"/>
      <c r="X941" s="1487"/>
      <c r="Y941" s="533"/>
      <c r="Z941" s="533"/>
      <c r="AA941" s="530"/>
      <c r="AB941" s="530"/>
      <c r="AC941" s="530"/>
      <c r="AD941" s="530"/>
      <c r="AE941" s="530"/>
    </row>
    <row r="942" spans="3:31">
      <c r="C942" s="530"/>
      <c r="D942" s="530"/>
      <c r="E942" s="530"/>
      <c r="F942" s="530"/>
      <c r="G942" s="1518"/>
      <c r="H942" s="530"/>
      <c r="I942" s="1432"/>
      <c r="J942" s="530"/>
      <c r="K942" s="530"/>
      <c r="L942" s="530"/>
      <c r="M942" s="533"/>
      <c r="N942" s="530"/>
      <c r="O942" s="530"/>
      <c r="P942" s="530"/>
      <c r="Q942" s="530"/>
      <c r="R942" s="1432"/>
      <c r="S942" s="530"/>
      <c r="T942" s="533"/>
      <c r="U942" s="533"/>
      <c r="V942" s="1487"/>
      <c r="W942" s="1487"/>
      <c r="X942" s="1487"/>
      <c r="Y942" s="533"/>
      <c r="Z942" s="533"/>
      <c r="AA942" s="530"/>
      <c r="AB942" s="530"/>
      <c r="AC942" s="530"/>
      <c r="AD942" s="530"/>
      <c r="AE942" s="530"/>
    </row>
    <row r="943" spans="3:31">
      <c r="C943" s="530"/>
      <c r="D943" s="530"/>
      <c r="E943" s="530"/>
      <c r="F943" s="530"/>
      <c r="G943" s="1518"/>
      <c r="H943" s="530"/>
      <c r="I943" s="1432"/>
      <c r="J943" s="530"/>
      <c r="K943" s="530"/>
      <c r="L943" s="530"/>
      <c r="M943" s="533"/>
      <c r="N943" s="530"/>
      <c r="O943" s="530"/>
      <c r="P943" s="530"/>
      <c r="Q943" s="530"/>
      <c r="R943" s="1432"/>
      <c r="S943" s="530"/>
      <c r="T943" s="533"/>
      <c r="U943" s="533"/>
      <c r="V943" s="1487"/>
      <c r="W943" s="1487"/>
      <c r="X943" s="1487"/>
      <c r="Y943" s="533"/>
      <c r="Z943" s="533"/>
      <c r="AA943" s="530"/>
      <c r="AB943" s="530"/>
      <c r="AC943" s="530"/>
      <c r="AD943" s="530"/>
      <c r="AE943" s="530"/>
    </row>
    <row r="944" spans="3:31">
      <c r="C944" s="530"/>
      <c r="D944" s="530"/>
      <c r="E944" s="530"/>
      <c r="F944" s="530"/>
      <c r="G944" s="1518"/>
      <c r="H944" s="530"/>
      <c r="I944" s="1432"/>
      <c r="J944" s="530"/>
      <c r="K944" s="530"/>
      <c r="L944" s="530"/>
      <c r="M944" s="533"/>
      <c r="N944" s="530"/>
      <c r="O944" s="530"/>
      <c r="P944" s="530"/>
      <c r="Q944" s="530"/>
      <c r="R944" s="1432"/>
      <c r="S944" s="530"/>
      <c r="T944" s="533"/>
      <c r="U944" s="533"/>
      <c r="V944" s="1487"/>
      <c r="W944" s="1487"/>
      <c r="X944" s="1487"/>
      <c r="Y944" s="533"/>
      <c r="Z944" s="533"/>
      <c r="AA944" s="530"/>
      <c r="AB944" s="530"/>
      <c r="AC944" s="530"/>
      <c r="AD944" s="530"/>
      <c r="AE944" s="530"/>
    </row>
    <row r="945" spans="3:31">
      <c r="C945" s="530"/>
      <c r="D945" s="530"/>
      <c r="E945" s="530"/>
      <c r="F945" s="530"/>
      <c r="G945" s="1518"/>
      <c r="H945" s="530"/>
      <c r="I945" s="1432"/>
      <c r="J945" s="530"/>
      <c r="K945" s="530"/>
      <c r="L945" s="530"/>
      <c r="M945" s="533"/>
      <c r="N945" s="530"/>
      <c r="O945" s="530"/>
      <c r="P945" s="530"/>
      <c r="Q945" s="530"/>
      <c r="R945" s="1432"/>
      <c r="S945" s="530"/>
      <c r="T945" s="533"/>
      <c r="U945" s="533"/>
      <c r="V945" s="1487"/>
      <c r="W945" s="1487"/>
      <c r="X945" s="1487"/>
      <c r="Y945" s="533"/>
      <c r="Z945" s="533"/>
      <c r="AA945" s="530"/>
      <c r="AB945" s="530"/>
      <c r="AC945" s="530"/>
      <c r="AD945" s="530"/>
      <c r="AE945" s="530"/>
    </row>
    <row r="946" spans="3:31">
      <c r="C946" s="530"/>
      <c r="D946" s="530"/>
      <c r="E946" s="530"/>
      <c r="F946" s="530"/>
      <c r="G946" s="1518"/>
      <c r="H946" s="530"/>
      <c r="I946" s="1432"/>
      <c r="J946" s="530"/>
      <c r="K946" s="530"/>
      <c r="L946" s="530"/>
      <c r="M946" s="533"/>
      <c r="N946" s="530"/>
      <c r="O946" s="530"/>
      <c r="P946" s="530"/>
      <c r="Q946" s="530"/>
      <c r="R946" s="1432"/>
      <c r="S946" s="530"/>
      <c r="T946" s="533"/>
      <c r="U946" s="533"/>
      <c r="V946" s="1487"/>
      <c r="W946" s="1487"/>
      <c r="X946" s="1487"/>
      <c r="Y946" s="533"/>
      <c r="Z946" s="533"/>
      <c r="AA946" s="530"/>
      <c r="AB946" s="530"/>
      <c r="AC946" s="530"/>
      <c r="AD946" s="530"/>
      <c r="AE946" s="530"/>
    </row>
    <row r="947" spans="3:31">
      <c r="C947" s="530"/>
      <c r="D947" s="530"/>
      <c r="E947" s="530"/>
      <c r="F947" s="530"/>
      <c r="G947" s="1518"/>
      <c r="H947" s="530"/>
      <c r="I947" s="1432"/>
      <c r="J947" s="530"/>
      <c r="K947" s="530"/>
      <c r="L947" s="530"/>
      <c r="M947" s="533"/>
      <c r="N947" s="530"/>
      <c r="O947" s="530"/>
      <c r="P947" s="530"/>
      <c r="Q947" s="530"/>
      <c r="R947" s="1432"/>
      <c r="S947" s="530"/>
      <c r="T947" s="533"/>
      <c r="U947" s="533"/>
      <c r="V947" s="1487"/>
      <c r="W947" s="1487"/>
      <c r="X947" s="1487"/>
      <c r="Y947" s="533"/>
      <c r="Z947" s="533"/>
      <c r="AA947" s="530"/>
      <c r="AB947" s="530"/>
      <c r="AC947" s="530"/>
      <c r="AD947" s="530"/>
      <c r="AE947" s="530"/>
    </row>
    <row r="948" spans="3:31">
      <c r="C948" s="530"/>
      <c r="D948" s="530"/>
      <c r="E948" s="530"/>
      <c r="F948" s="530"/>
      <c r="G948" s="1518"/>
      <c r="H948" s="530"/>
      <c r="I948" s="1432"/>
      <c r="J948" s="530"/>
      <c r="K948" s="530"/>
      <c r="L948" s="530"/>
      <c r="M948" s="533"/>
      <c r="N948" s="530"/>
      <c r="O948" s="530"/>
      <c r="P948" s="530"/>
      <c r="Q948" s="530"/>
      <c r="R948" s="1432"/>
      <c r="S948" s="530"/>
      <c r="T948" s="533"/>
      <c r="U948" s="533"/>
      <c r="V948" s="1487"/>
      <c r="W948" s="1487"/>
      <c r="X948" s="1487"/>
      <c r="Y948" s="533"/>
      <c r="Z948" s="533"/>
      <c r="AA948" s="530"/>
      <c r="AB948" s="530"/>
      <c r="AC948" s="530"/>
      <c r="AD948" s="530"/>
      <c r="AE948" s="530"/>
    </row>
    <row r="949" spans="3:31">
      <c r="C949" s="530"/>
      <c r="D949" s="530"/>
      <c r="E949" s="530"/>
      <c r="F949" s="530"/>
      <c r="G949" s="1518"/>
      <c r="H949" s="530"/>
      <c r="I949" s="1432"/>
      <c r="J949" s="530"/>
      <c r="K949" s="530"/>
      <c r="L949" s="530"/>
      <c r="M949" s="533"/>
      <c r="N949" s="530"/>
      <c r="O949" s="530"/>
      <c r="P949" s="530"/>
      <c r="Q949" s="530"/>
      <c r="R949" s="1432"/>
      <c r="S949" s="530"/>
      <c r="T949" s="533"/>
      <c r="U949" s="533"/>
      <c r="V949" s="1487"/>
      <c r="W949" s="1487"/>
      <c r="X949" s="1487"/>
      <c r="Y949" s="533"/>
      <c r="Z949" s="533"/>
      <c r="AA949" s="530"/>
      <c r="AB949" s="530"/>
      <c r="AC949" s="530"/>
      <c r="AD949" s="530"/>
      <c r="AE949" s="530"/>
    </row>
    <row r="950" spans="3:31">
      <c r="C950" s="530"/>
      <c r="D950" s="530"/>
      <c r="E950" s="530"/>
      <c r="F950" s="530"/>
      <c r="G950" s="1518"/>
      <c r="H950" s="530"/>
      <c r="I950" s="1432"/>
      <c r="J950" s="530"/>
      <c r="K950" s="530"/>
      <c r="L950" s="530"/>
      <c r="M950" s="533"/>
      <c r="N950" s="530"/>
      <c r="O950" s="530"/>
      <c r="P950" s="530"/>
      <c r="Q950" s="530"/>
      <c r="R950" s="1432"/>
      <c r="S950" s="530"/>
      <c r="T950" s="533"/>
      <c r="U950" s="533"/>
      <c r="V950" s="1487"/>
      <c r="W950" s="1487"/>
      <c r="X950" s="1487"/>
      <c r="Y950" s="533"/>
      <c r="Z950" s="533"/>
      <c r="AA950" s="530"/>
      <c r="AB950" s="530"/>
      <c r="AC950" s="530"/>
      <c r="AD950" s="530"/>
      <c r="AE950" s="530"/>
    </row>
    <row r="951" spans="3:31">
      <c r="C951" s="530"/>
      <c r="D951" s="530"/>
      <c r="E951" s="530"/>
      <c r="F951" s="530"/>
      <c r="G951" s="1518"/>
      <c r="H951" s="530"/>
      <c r="I951" s="1432"/>
      <c r="J951" s="530"/>
      <c r="K951" s="530"/>
      <c r="L951" s="530"/>
      <c r="M951" s="533"/>
      <c r="N951" s="530"/>
      <c r="O951" s="530"/>
      <c r="P951" s="530"/>
      <c r="Q951" s="530"/>
      <c r="R951" s="1432"/>
      <c r="S951" s="530"/>
      <c r="T951" s="533"/>
      <c r="U951" s="533"/>
      <c r="V951" s="1487"/>
      <c r="W951" s="1487"/>
      <c r="X951" s="1487"/>
      <c r="Y951" s="533"/>
      <c r="Z951" s="533"/>
      <c r="AA951" s="530"/>
      <c r="AB951" s="530"/>
      <c r="AC951" s="530"/>
      <c r="AD951" s="530"/>
      <c r="AE951" s="530"/>
    </row>
    <row r="952" spans="3:31">
      <c r="C952" s="530"/>
      <c r="D952" s="530"/>
      <c r="E952" s="530"/>
      <c r="F952" s="530"/>
      <c r="G952" s="1518"/>
      <c r="H952" s="530"/>
      <c r="I952" s="1432"/>
      <c r="J952" s="530"/>
      <c r="K952" s="530"/>
      <c r="L952" s="530"/>
      <c r="M952" s="533"/>
      <c r="N952" s="530"/>
      <c r="O952" s="530"/>
      <c r="P952" s="530"/>
      <c r="Q952" s="530"/>
      <c r="R952" s="1432"/>
      <c r="S952" s="530"/>
      <c r="T952" s="533"/>
      <c r="U952" s="533"/>
      <c r="V952" s="1487"/>
      <c r="W952" s="1487"/>
      <c r="X952" s="1487"/>
      <c r="Y952" s="533"/>
      <c r="Z952" s="533"/>
      <c r="AA952" s="530"/>
      <c r="AB952" s="530"/>
      <c r="AC952" s="530"/>
      <c r="AD952" s="530"/>
      <c r="AE952" s="530"/>
    </row>
    <row r="953" spans="3:31">
      <c r="C953" s="530"/>
      <c r="D953" s="530"/>
      <c r="E953" s="530"/>
      <c r="F953" s="530"/>
      <c r="G953" s="1518"/>
      <c r="H953" s="530"/>
      <c r="I953" s="1432"/>
      <c r="J953" s="530"/>
      <c r="K953" s="530"/>
      <c r="L953" s="530"/>
      <c r="M953" s="533"/>
      <c r="N953" s="530"/>
      <c r="O953" s="530"/>
      <c r="P953" s="530"/>
      <c r="Q953" s="530"/>
      <c r="R953" s="1432"/>
      <c r="S953" s="530"/>
      <c r="T953" s="533"/>
      <c r="U953" s="533"/>
      <c r="V953" s="1487"/>
      <c r="W953" s="1487"/>
      <c r="X953" s="1487"/>
      <c r="Y953" s="533"/>
      <c r="Z953" s="533"/>
      <c r="AA953" s="530"/>
      <c r="AB953" s="530"/>
      <c r="AC953" s="530"/>
      <c r="AD953" s="530"/>
      <c r="AE953" s="530"/>
    </row>
    <row r="954" spans="3:31">
      <c r="C954" s="530"/>
      <c r="D954" s="530"/>
      <c r="E954" s="530"/>
      <c r="F954" s="530"/>
      <c r="G954" s="1518"/>
      <c r="H954" s="530"/>
      <c r="I954" s="1432"/>
      <c r="J954" s="530"/>
      <c r="K954" s="530"/>
      <c r="L954" s="530"/>
      <c r="M954" s="533"/>
      <c r="N954" s="530"/>
      <c r="O954" s="530"/>
      <c r="P954" s="530"/>
      <c r="Q954" s="530"/>
      <c r="R954" s="1432"/>
      <c r="S954" s="530"/>
      <c r="T954" s="533"/>
      <c r="U954" s="533"/>
      <c r="V954" s="1487"/>
      <c r="W954" s="1487"/>
      <c r="X954" s="1487"/>
      <c r="Y954" s="533"/>
      <c r="Z954" s="533"/>
      <c r="AA954" s="530"/>
      <c r="AB954" s="530"/>
      <c r="AC954" s="530"/>
      <c r="AD954" s="530"/>
      <c r="AE954" s="530"/>
    </row>
    <row r="955" spans="3:31">
      <c r="C955" s="530"/>
      <c r="D955" s="530"/>
      <c r="E955" s="530"/>
      <c r="F955" s="530"/>
      <c r="G955" s="1518"/>
      <c r="H955" s="530"/>
      <c r="I955" s="1432"/>
      <c r="J955" s="530"/>
      <c r="K955" s="530"/>
      <c r="L955" s="530"/>
      <c r="M955" s="533"/>
      <c r="N955" s="530"/>
      <c r="O955" s="530"/>
      <c r="P955" s="530"/>
      <c r="Q955" s="530"/>
      <c r="R955" s="1432"/>
      <c r="S955" s="530"/>
      <c r="T955" s="533"/>
      <c r="U955" s="533"/>
      <c r="V955" s="1487"/>
      <c r="W955" s="1487"/>
      <c r="X955" s="1487"/>
      <c r="Y955" s="533"/>
      <c r="Z955" s="533"/>
      <c r="AA955" s="530"/>
      <c r="AB955" s="530"/>
      <c r="AC955" s="530"/>
      <c r="AD955" s="530"/>
      <c r="AE955" s="530"/>
    </row>
    <row r="956" spans="3:31">
      <c r="C956" s="530"/>
      <c r="D956" s="530"/>
      <c r="E956" s="530"/>
      <c r="F956" s="530"/>
      <c r="G956" s="1518"/>
      <c r="H956" s="530"/>
      <c r="I956" s="1432"/>
      <c r="J956" s="530"/>
      <c r="K956" s="530"/>
      <c r="L956" s="530"/>
      <c r="M956" s="533"/>
      <c r="N956" s="530"/>
      <c r="O956" s="530"/>
      <c r="P956" s="530"/>
      <c r="Q956" s="530"/>
      <c r="R956" s="1432"/>
      <c r="S956" s="530"/>
      <c r="T956" s="533"/>
      <c r="U956" s="533"/>
      <c r="V956" s="1487"/>
      <c r="W956" s="1487"/>
      <c r="X956" s="1487"/>
      <c r="Y956" s="533"/>
      <c r="Z956" s="533"/>
      <c r="AA956" s="530"/>
      <c r="AB956" s="530"/>
      <c r="AC956" s="530"/>
      <c r="AD956" s="530"/>
      <c r="AE956" s="530"/>
    </row>
    <row r="957" spans="3:31">
      <c r="C957" s="530"/>
      <c r="D957" s="530"/>
      <c r="E957" s="530"/>
      <c r="F957" s="530"/>
      <c r="G957" s="1518"/>
      <c r="H957" s="530"/>
      <c r="I957" s="1432"/>
      <c r="J957" s="530"/>
      <c r="K957" s="530"/>
      <c r="L957" s="530"/>
      <c r="M957" s="533"/>
      <c r="N957" s="530"/>
      <c r="O957" s="530"/>
      <c r="P957" s="530"/>
      <c r="Q957" s="530"/>
      <c r="R957" s="1432"/>
      <c r="S957" s="530"/>
      <c r="T957" s="533"/>
      <c r="U957" s="533"/>
      <c r="V957" s="1487"/>
      <c r="W957" s="1487"/>
      <c r="X957" s="1487"/>
      <c r="Y957" s="533"/>
      <c r="Z957" s="533"/>
      <c r="AA957" s="530"/>
      <c r="AB957" s="530"/>
      <c r="AC957" s="530"/>
      <c r="AD957" s="530"/>
      <c r="AE957" s="530"/>
    </row>
    <row r="958" spans="3:31">
      <c r="C958" s="530"/>
      <c r="D958" s="530"/>
      <c r="E958" s="530"/>
      <c r="F958" s="530"/>
      <c r="G958" s="1518"/>
      <c r="H958" s="530"/>
      <c r="I958" s="1432"/>
      <c r="J958" s="530"/>
      <c r="K958" s="530"/>
      <c r="L958" s="530"/>
      <c r="M958" s="533"/>
      <c r="N958" s="530"/>
      <c r="O958" s="530"/>
      <c r="P958" s="530"/>
      <c r="Q958" s="530"/>
      <c r="R958" s="1432"/>
      <c r="S958" s="530"/>
      <c r="T958" s="533"/>
      <c r="U958" s="533"/>
      <c r="V958" s="1487"/>
      <c r="W958" s="1487"/>
      <c r="X958" s="1487"/>
      <c r="Y958" s="533"/>
      <c r="Z958" s="533"/>
      <c r="AA958" s="530"/>
      <c r="AB958" s="530"/>
      <c r="AC958" s="530"/>
      <c r="AD958" s="530"/>
      <c r="AE958" s="530"/>
    </row>
    <row r="959" spans="3:31">
      <c r="C959" s="530"/>
      <c r="D959" s="530"/>
      <c r="E959" s="530"/>
      <c r="F959" s="530"/>
      <c r="G959" s="1518"/>
      <c r="H959" s="530"/>
      <c r="I959" s="1432"/>
      <c r="J959" s="530"/>
      <c r="K959" s="530"/>
      <c r="L959" s="530"/>
      <c r="M959" s="533"/>
      <c r="N959" s="530"/>
      <c r="O959" s="530"/>
      <c r="P959" s="530"/>
      <c r="Q959" s="530"/>
      <c r="R959" s="1432"/>
      <c r="S959" s="530"/>
      <c r="T959" s="533"/>
      <c r="U959" s="533"/>
      <c r="V959" s="1487"/>
      <c r="W959" s="1487"/>
      <c r="X959" s="1487"/>
      <c r="Y959" s="533"/>
      <c r="Z959" s="533"/>
      <c r="AA959" s="530"/>
      <c r="AB959" s="530"/>
      <c r="AC959" s="530"/>
      <c r="AD959" s="530"/>
      <c r="AE959" s="530"/>
    </row>
    <row r="960" spans="3:31">
      <c r="C960" s="530"/>
      <c r="D960" s="530"/>
      <c r="E960" s="530"/>
      <c r="F960" s="530"/>
      <c r="G960" s="1518"/>
      <c r="H960" s="530"/>
      <c r="I960" s="1432"/>
      <c r="J960" s="530"/>
      <c r="K960" s="530"/>
      <c r="L960" s="530"/>
      <c r="M960" s="533"/>
      <c r="N960" s="530"/>
      <c r="O960" s="530"/>
      <c r="P960" s="530"/>
      <c r="Q960" s="530"/>
      <c r="R960" s="1432"/>
      <c r="S960" s="530"/>
      <c r="T960" s="533"/>
      <c r="U960" s="533"/>
      <c r="V960" s="1487"/>
      <c r="W960" s="1487"/>
      <c r="X960" s="1487"/>
      <c r="Y960" s="533"/>
      <c r="Z960" s="533"/>
      <c r="AA960" s="530"/>
      <c r="AB960" s="530"/>
      <c r="AC960" s="530"/>
      <c r="AD960" s="530"/>
      <c r="AE960" s="530"/>
    </row>
    <row r="961" spans="3:31">
      <c r="C961" s="530"/>
      <c r="D961" s="530"/>
      <c r="E961" s="530"/>
      <c r="F961" s="530"/>
      <c r="G961" s="1518"/>
      <c r="H961" s="530"/>
      <c r="I961" s="1432"/>
      <c r="J961" s="530"/>
      <c r="K961" s="530"/>
      <c r="L961" s="530"/>
      <c r="M961" s="533"/>
      <c r="N961" s="530"/>
      <c r="O961" s="530"/>
      <c r="P961" s="530"/>
      <c r="Q961" s="530"/>
      <c r="R961" s="1432"/>
      <c r="S961" s="530"/>
      <c r="T961" s="533"/>
      <c r="U961" s="533"/>
      <c r="V961" s="1487"/>
      <c r="W961" s="1487"/>
      <c r="X961" s="1487"/>
      <c r="Y961" s="533"/>
      <c r="Z961" s="533"/>
      <c r="AA961" s="530"/>
      <c r="AB961" s="530"/>
      <c r="AC961" s="530"/>
      <c r="AD961" s="530"/>
      <c r="AE961" s="530"/>
    </row>
    <row r="962" spans="3:31">
      <c r="C962" s="530"/>
      <c r="D962" s="530"/>
      <c r="E962" s="530"/>
      <c r="F962" s="530"/>
      <c r="G962" s="1518"/>
      <c r="H962" s="530"/>
      <c r="I962" s="1432"/>
      <c r="J962" s="530"/>
      <c r="K962" s="530"/>
      <c r="L962" s="530"/>
      <c r="M962" s="533"/>
      <c r="N962" s="530"/>
      <c r="O962" s="530"/>
      <c r="P962" s="530"/>
      <c r="Q962" s="530"/>
      <c r="R962" s="1432"/>
      <c r="S962" s="530"/>
      <c r="T962" s="533"/>
      <c r="U962" s="533"/>
      <c r="V962" s="1487"/>
      <c r="W962" s="1487"/>
      <c r="X962" s="1487"/>
      <c r="Y962" s="533"/>
      <c r="Z962" s="533"/>
      <c r="AA962" s="530"/>
      <c r="AB962" s="530"/>
      <c r="AC962" s="530"/>
      <c r="AD962" s="530"/>
      <c r="AE962" s="530"/>
    </row>
    <row r="963" spans="3:31">
      <c r="C963" s="530"/>
      <c r="D963" s="530"/>
      <c r="E963" s="530"/>
      <c r="F963" s="530"/>
      <c r="G963" s="1518"/>
      <c r="H963" s="530"/>
      <c r="I963" s="1432"/>
      <c r="J963" s="530"/>
      <c r="K963" s="530"/>
      <c r="L963" s="530"/>
      <c r="M963" s="533"/>
      <c r="N963" s="530"/>
      <c r="O963" s="530"/>
      <c r="P963" s="530"/>
      <c r="Q963" s="530"/>
      <c r="R963" s="1432"/>
      <c r="S963" s="530"/>
      <c r="T963" s="533"/>
      <c r="U963" s="533"/>
      <c r="V963" s="1487"/>
      <c r="W963" s="1487"/>
      <c r="X963" s="1487"/>
      <c r="Y963" s="533"/>
      <c r="Z963" s="533"/>
      <c r="AA963" s="530"/>
      <c r="AB963" s="530"/>
      <c r="AC963" s="530"/>
      <c r="AD963" s="530"/>
      <c r="AE963" s="530"/>
    </row>
    <row r="964" spans="3:31">
      <c r="C964" s="530"/>
      <c r="D964" s="530"/>
      <c r="E964" s="530"/>
      <c r="F964" s="530"/>
      <c r="G964" s="1518"/>
      <c r="H964" s="530"/>
      <c r="I964" s="1432"/>
      <c r="J964" s="530"/>
      <c r="K964" s="530"/>
      <c r="L964" s="530"/>
      <c r="M964" s="533"/>
      <c r="N964" s="530"/>
      <c r="O964" s="530"/>
      <c r="P964" s="530"/>
      <c r="Q964" s="530"/>
      <c r="R964" s="1432"/>
      <c r="S964" s="530"/>
      <c r="T964" s="533"/>
      <c r="U964" s="533"/>
      <c r="V964" s="1487"/>
      <c r="W964" s="1487"/>
      <c r="X964" s="1487"/>
      <c r="Y964" s="533"/>
      <c r="Z964" s="533"/>
      <c r="AA964" s="530"/>
      <c r="AB964" s="530"/>
      <c r="AC964" s="530"/>
      <c r="AD964" s="530"/>
      <c r="AE964" s="530"/>
    </row>
    <row r="965" spans="3:31">
      <c r="C965" s="530"/>
      <c r="D965" s="530"/>
      <c r="E965" s="530"/>
      <c r="F965" s="530"/>
      <c r="G965" s="1518"/>
      <c r="H965" s="530"/>
      <c r="I965" s="1432"/>
      <c r="J965" s="530"/>
      <c r="K965" s="530"/>
      <c r="L965" s="530"/>
      <c r="M965" s="533"/>
      <c r="N965" s="530"/>
      <c r="O965" s="530"/>
      <c r="P965" s="530"/>
      <c r="Q965" s="530"/>
      <c r="R965" s="1432"/>
      <c r="S965" s="530"/>
      <c r="T965" s="533"/>
      <c r="U965" s="533"/>
      <c r="V965" s="1487"/>
      <c r="W965" s="1487"/>
      <c r="X965" s="1487"/>
      <c r="Y965" s="533"/>
      <c r="Z965" s="533"/>
      <c r="AA965" s="530"/>
      <c r="AB965" s="530"/>
      <c r="AC965" s="530"/>
      <c r="AD965" s="530"/>
      <c r="AE965" s="530"/>
    </row>
    <row r="966" spans="3:31">
      <c r="C966" s="530"/>
      <c r="D966" s="530"/>
      <c r="E966" s="530"/>
      <c r="F966" s="530"/>
      <c r="G966" s="1518"/>
      <c r="H966" s="530"/>
      <c r="I966" s="1432"/>
      <c r="J966" s="530"/>
      <c r="K966" s="530"/>
      <c r="L966" s="530"/>
      <c r="M966" s="533"/>
      <c r="N966" s="530"/>
      <c r="O966" s="530"/>
      <c r="P966" s="530"/>
      <c r="Q966" s="530"/>
      <c r="R966" s="1432"/>
      <c r="S966" s="530"/>
      <c r="T966" s="533"/>
      <c r="U966" s="533"/>
      <c r="V966" s="1487"/>
      <c r="W966" s="1487"/>
      <c r="X966" s="1487"/>
      <c r="Y966" s="533"/>
      <c r="Z966" s="533"/>
      <c r="AA966" s="530"/>
      <c r="AB966" s="530"/>
      <c r="AC966" s="530"/>
      <c r="AD966" s="530"/>
      <c r="AE966" s="530"/>
    </row>
    <row r="967" spans="3:31">
      <c r="C967" s="530"/>
      <c r="D967" s="530"/>
      <c r="E967" s="530"/>
      <c r="F967" s="530"/>
      <c r="G967" s="1518"/>
      <c r="H967" s="530"/>
      <c r="I967" s="1432"/>
      <c r="J967" s="530"/>
      <c r="K967" s="530"/>
      <c r="L967" s="530"/>
      <c r="M967" s="533"/>
      <c r="N967" s="530"/>
      <c r="O967" s="530"/>
      <c r="P967" s="530"/>
      <c r="Q967" s="530"/>
      <c r="R967" s="1432"/>
      <c r="S967" s="530"/>
      <c r="T967" s="533"/>
      <c r="U967" s="533"/>
      <c r="V967" s="1487"/>
      <c r="W967" s="1487"/>
      <c r="X967" s="1487"/>
      <c r="Y967" s="533"/>
      <c r="Z967" s="533"/>
      <c r="AA967" s="530"/>
      <c r="AB967" s="530"/>
      <c r="AC967" s="530"/>
      <c r="AD967" s="530"/>
      <c r="AE967" s="530"/>
    </row>
    <row r="968" spans="3:31">
      <c r="C968" s="530"/>
      <c r="D968" s="530"/>
      <c r="E968" s="530"/>
      <c r="F968" s="530"/>
      <c r="G968" s="1518"/>
      <c r="H968" s="530"/>
      <c r="I968" s="1432"/>
      <c r="J968" s="530"/>
      <c r="K968" s="530"/>
      <c r="L968" s="530"/>
      <c r="M968" s="533"/>
      <c r="N968" s="530"/>
      <c r="O968" s="530"/>
      <c r="P968" s="530"/>
      <c r="Q968" s="530"/>
      <c r="R968" s="1432"/>
      <c r="S968" s="530"/>
      <c r="T968" s="533"/>
      <c r="U968" s="533"/>
      <c r="V968" s="1487"/>
      <c r="W968" s="1487"/>
      <c r="X968" s="1487"/>
      <c r="Y968" s="533"/>
      <c r="Z968" s="533"/>
      <c r="AA968" s="530"/>
      <c r="AB968" s="530"/>
      <c r="AC968" s="530"/>
      <c r="AD968" s="530"/>
      <c r="AE968" s="530"/>
    </row>
    <row r="969" spans="3:31">
      <c r="C969" s="530"/>
      <c r="D969" s="530"/>
      <c r="E969" s="530"/>
      <c r="F969" s="530"/>
      <c r="G969" s="1518"/>
      <c r="H969" s="530"/>
      <c r="I969" s="1432"/>
      <c r="J969" s="530"/>
      <c r="K969" s="530"/>
      <c r="L969" s="530"/>
      <c r="M969" s="533"/>
      <c r="N969" s="530"/>
      <c r="O969" s="530"/>
      <c r="P969" s="530"/>
      <c r="Q969" s="530"/>
      <c r="R969" s="1432"/>
      <c r="S969" s="530"/>
      <c r="T969" s="533"/>
      <c r="U969" s="533"/>
      <c r="V969" s="1487"/>
      <c r="W969" s="1487"/>
      <c r="X969" s="1487"/>
      <c r="Y969" s="533"/>
      <c r="Z969" s="533"/>
      <c r="AA969" s="530"/>
      <c r="AB969" s="530"/>
      <c r="AC969" s="530"/>
      <c r="AD969" s="530"/>
      <c r="AE969" s="530"/>
    </row>
    <row r="970" spans="3:31">
      <c r="C970" s="530"/>
      <c r="D970" s="530"/>
      <c r="E970" s="530"/>
      <c r="F970" s="530"/>
      <c r="G970" s="1518"/>
      <c r="H970" s="530"/>
      <c r="I970" s="1432"/>
      <c r="J970" s="530"/>
      <c r="K970" s="530"/>
      <c r="L970" s="530"/>
      <c r="M970" s="533"/>
      <c r="N970" s="530"/>
      <c r="O970" s="530"/>
      <c r="P970" s="530"/>
      <c r="Q970" s="530"/>
      <c r="R970" s="1432"/>
      <c r="S970" s="530"/>
      <c r="T970" s="533"/>
      <c r="U970" s="533"/>
      <c r="V970" s="1487"/>
      <c r="W970" s="1487"/>
      <c r="X970" s="1487"/>
      <c r="Y970" s="533"/>
      <c r="Z970" s="533"/>
      <c r="AA970" s="530"/>
      <c r="AB970" s="530"/>
      <c r="AC970" s="530"/>
      <c r="AD970" s="530"/>
      <c r="AE970" s="530"/>
    </row>
    <row r="971" spans="3:31">
      <c r="C971" s="530"/>
      <c r="D971" s="530"/>
      <c r="E971" s="530"/>
      <c r="F971" s="530"/>
      <c r="G971" s="1518"/>
      <c r="H971" s="530"/>
      <c r="I971" s="1432"/>
      <c r="J971" s="530"/>
      <c r="K971" s="530"/>
      <c r="L971" s="530"/>
      <c r="M971" s="533"/>
      <c r="N971" s="530"/>
      <c r="O971" s="530"/>
      <c r="P971" s="530"/>
      <c r="Q971" s="530"/>
      <c r="R971" s="1432"/>
      <c r="S971" s="530"/>
      <c r="T971" s="533"/>
      <c r="U971" s="533"/>
      <c r="V971" s="1487"/>
      <c r="W971" s="1487"/>
      <c r="X971" s="1487"/>
      <c r="Y971" s="533"/>
      <c r="Z971" s="533"/>
      <c r="AA971" s="530"/>
      <c r="AB971" s="530"/>
      <c r="AC971" s="530"/>
      <c r="AD971" s="530"/>
      <c r="AE971" s="530"/>
    </row>
    <row r="972" spans="3:31">
      <c r="C972" s="530"/>
      <c r="D972" s="530"/>
      <c r="E972" s="530"/>
      <c r="F972" s="530"/>
      <c r="G972" s="1518"/>
      <c r="H972" s="530"/>
      <c r="I972" s="1432"/>
      <c r="J972" s="530"/>
      <c r="K972" s="530"/>
      <c r="L972" s="530"/>
      <c r="M972" s="533"/>
      <c r="N972" s="530"/>
      <c r="O972" s="530"/>
      <c r="P972" s="530"/>
      <c r="Q972" s="530"/>
      <c r="R972" s="1432"/>
      <c r="S972" s="530"/>
      <c r="T972" s="533"/>
      <c r="U972" s="533"/>
      <c r="V972" s="1487"/>
      <c r="W972" s="1487"/>
      <c r="X972" s="1487"/>
      <c r="Y972" s="533"/>
      <c r="Z972" s="533"/>
      <c r="AA972" s="530"/>
      <c r="AB972" s="530"/>
      <c r="AC972" s="530"/>
      <c r="AD972" s="530"/>
      <c r="AE972" s="530"/>
    </row>
    <row r="973" spans="3:31">
      <c r="C973" s="530"/>
      <c r="D973" s="530"/>
      <c r="E973" s="530"/>
      <c r="F973" s="530"/>
      <c r="G973" s="1518"/>
      <c r="H973" s="530"/>
      <c r="I973" s="1432"/>
      <c r="J973" s="530"/>
      <c r="K973" s="530"/>
      <c r="L973" s="530"/>
      <c r="M973" s="533"/>
      <c r="N973" s="530"/>
      <c r="O973" s="530"/>
      <c r="P973" s="530"/>
      <c r="Q973" s="530"/>
      <c r="R973" s="1432"/>
      <c r="S973" s="530"/>
      <c r="T973" s="533"/>
      <c r="U973" s="533"/>
      <c r="V973" s="1487"/>
      <c r="W973" s="1487"/>
      <c r="X973" s="1487"/>
      <c r="Y973" s="533"/>
      <c r="Z973" s="533"/>
      <c r="AA973" s="530"/>
      <c r="AB973" s="530"/>
      <c r="AC973" s="530"/>
      <c r="AD973" s="530"/>
      <c r="AE973" s="530"/>
    </row>
    <row r="974" spans="3:31">
      <c r="C974" s="530"/>
      <c r="D974" s="530"/>
      <c r="E974" s="530"/>
      <c r="F974" s="530"/>
      <c r="G974" s="1518"/>
      <c r="H974" s="530"/>
      <c r="I974" s="1432"/>
      <c r="J974" s="530"/>
      <c r="K974" s="530"/>
      <c r="L974" s="530"/>
      <c r="M974" s="533"/>
      <c r="N974" s="530"/>
      <c r="O974" s="530"/>
      <c r="P974" s="530"/>
      <c r="Q974" s="530"/>
      <c r="R974" s="1432"/>
      <c r="S974" s="530"/>
      <c r="T974" s="533"/>
      <c r="U974" s="533"/>
      <c r="V974" s="1487"/>
      <c r="W974" s="1487"/>
      <c r="X974" s="1487"/>
      <c r="Y974" s="533"/>
      <c r="Z974" s="533"/>
      <c r="AA974" s="530"/>
      <c r="AB974" s="530"/>
      <c r="AC974" s="530"/>
      <c r="AD974" s="530"/>
      <c r="AE974" s="530"/>
    </row>
    <row r="975" spans="3:31">
      <c r="C975" s="530"/>
      <c r="D975" s="530"/>
      <c r="E975" s="530"/>
      <c r="F975" s="530"/>
      <c r="G975" s="1518"/>
      <c r="H975" s="530"/>
      <c r="I975" s="1432"/>
      <c r="J975" s="530"/>
      <c r="K975" s="530"/>
      <c r="L975" s="530"/>
      <c r="M975" s="533"/>
      <c r="N975" s="530"/>
      <c r="O975" s="530"/>
      <c r="P975" s="530"/>
      <c r="Q975" s="530"/>
      <c r="R975" s="1432"/>
      <c r="S975" s="530"/>
      <c r="T975" s="533"/>
      <c r="U975" s="533"/>
      <c r="V975" s="1487"/>
      <c r="W975" s="1487"/>
      <c r="X975" s="1487"/>
      <c r="Y975" s="533"/>
      <c r="Z975" s="533"/>
      <c r="AA975" s="530"/>
      <c r="AB975" s="530"/>
      <c r="AC975" s="530"/>
      <c r="AD975" s="530"/>
      <c r="AE975" s="530"/>
    </row>
    <row r="976" spans="3:31">
      <c r="C976" s="530"/>
      <c r="D976" s="530"/>
      <c r="E976" s="530"/>
      <c r="F976" s="530"/>
      <c r="G976" s="1518"/>
      <c r="H976" s="530"/>
      <c r="I976" s="1432"/>
      <c r="J976" s="530"/>
      <c r="K976" s="530"/>
      <c r="L976" s="530"/>
      <c r="M976" s="533"/>
      <c r="N976" s="530"/>
      <c r="O976" s="530"/>
      <c r="P976" s="530"/>
      <c r="Q976" s="530"/>
      <c r="R976" s="1432"/>
      <c r="S976" s="530"/>
      <c r="T976" s="533"/>
      <c r="U976" s="533"/>
      <c r="V976" s="1487"/>
      <c r="W976" s="1487"/>
      <c r="X976" s="1487"/>
      <c r="Y976" s="533"/>
      <c r="Z976" s="533"/>
      <c r="AA976" s="530"/>
      <c r="AB976" s="530"/>
      <c r="AC976" s="530"/>
      <c r="AD976" s="530"/>
      <c r="AE976" s="530"/>
    </row>
    <row r="977" spans="3:31">
      <c r="C977" s="530"/>
      <c r="D977" s="530"/>
      <c r="E977" s="530"/>
      <c r="F977" s="530"/>
      <c r="G977" s="1518"/>
      <c r="H977" s="530"/>
      <c r="I977" s="1432"/>
      <c r="J977" s="530"/>
      <c r="K977" s="530"/>
      <c r="L977" s="530"/>
      <c r="M977" s="533"/>
      <c r="N977" s="530"/>
      <c r="O977" s="530"/>
      <c r="P977" s="530"/>
      <c r="Q977" s="530"/>
      <c r="R977" s="1432"/>
      <c r="S977" s="530"/>
      <c r="T977" s="533"/>
      <c r="U977" s="533"/>
      <c r="V977" s="1487"/>
      <c r="W977" s="1487"/>
      <c r="X977" s="1487"/>
      <c r="Y977" s="533"/>
      <c r="Z977" s="533"/>
      <c r="AA977" s="530"/>
      <c r="AB977" s="530"/>
      <c r="AC977" s="530"/>
      <c r="AD977" s="530"/>
      <c r="AE977" s="530"/>
    </row>
    <row r="978" spans="3:31">
      <c r="C978" s="530"/>
      <c r="D978" s="530"/>
      <c r="E978" s="530"/>
      <c r="F978" s="530"/>
      <c r="G978" s="1518"/>
      <c r="H978" s="530"/>
      <c r="I978" s="1432"/>
      <c r="J978" s="530"/>
      <c r="K978" s="530"/>
      <c r="L978" s="530"/>
      <c r="M978" s="533"/>
      <c r="N978" s="530"/>
      <c r="O978" s="530"/>
      <c r="P978" s="530"/>
      <c r="Q978" s="530"/>
      <c r="R978" s="1432"/>
      <c r="S978" s="530"/>
      <c r="T978" s="533"/>
      <c r="U978" s="533"/>
      <c r="V978" s="1487"/>
      <c r="W978" s="1487"/>
      <c r="X978" s="1487"/>
      <c r="Y978" s="533"/>
      <c r="Z978" s="533"/>
      <c r="AA978" s="530"/>
      <c r="AB978" s="530"/>
      <c r="AC978" s="530"/>
      <c r="AD978" s="530"/>
      <c r="AE978" s="530"/>
    </row>
    <row r="979" spans="3:31">
      <c r="C979" s="530"/>
      <c r="D979" s="530"/>
      <c r="E979" s="530"/>
      <c r="F979" s="530"/>
      <c r="G979" s="1518"/>
      <c r="H979" s="530"/>
      <c r="I979" s="1432"/>
      <c r="J979" s="530"/>
      <c r="K979" s="530"/>
      <c r="L979" s="530"/>
      <c r="M979" s="533"/>
      <c r="N979" s="530"/>
      <c r="O979" s="530"/>
      <c r="P979" s="530"/>
      <c r="Q979" s="530"/>
      <c r="R979" s="1432"/>
      <c r="S979" s="530"/>
      <c r="T979" s="533"/>
      <c r="U979" s="533"/>
      <c r="V979" s="1487"/>
      <c r="W979" s="1487"/>
      <c r="X979" s="1487"/>
      <c r="Y979" s="533"/>
      <c r="Z979" s="533"/>
      <c r="AA979" s="530"/>
      <c r="AB979" s="530"/>
      <c r="AC979" s="530"/>
      <c r="AD979" s="530"/>
      <c r="AE979" s="530"/>
    </row>
    <row r="980" spans="3:31">
      <c r="C980" s="530"/>
      <c r="D980" s="530"/>
      <c r="E980" s="530"/>
      <c r="F980" s="530"/>
      <c r="G980" s="1518"/>
      <c r="H980" s="530"/>
      <c r="I980" s="1432"/>
      <c r="J980" s="530"/>
      <c r="K980" s="530"/>
      <c r="L980" s="530"/>
      <c r="M980" s="533"/>
      <c r="N980" s="530"/>
      <c r="O980" s="530"/>
      <c r="P980" s="530"/>
      <c r="Q980" s="530"/>
      <c r="R980" s="1432"/>
      <c r="S980" s="530"/>
      <c r="T980" s="533"/>
      <c r="U980" s="533"/>
      <c r="V980" s="1487"/>
      <c r="W980" s="1487"/>
      <c r="X980" s="1487"/>
      <c r="Y980" s="533"/>
      <c r="Z980" s="533"/>
      <c r="AA980" s="530"/>
      <c r="AB980" s="530"/>
      <c r="AC980" s="530"/>
      <c r="AD980" s="530"/>
      <c r="AE980" s="530"/>
    </row>
    <row r="981" spans="3:31">
      <c r="C981" s="530"/>
      <c r="D981" s="530"/>
      <c r="E981" s="530"/>
      <c r="F981" s="530"/>
      <c r="G981" s="1518"/>
      <c r="H981" s="530"/>
      <c r="I981" s="1432"/>
      <c r="J981" s="530"/>
      <c r="K981" s="530"/>
      <c r="L981" s="530"/>
      <c r="M981" s="533"/>
      <c r="N981" s="530"/>
      <c r="O981" s="530"/>
      <c r="P981" s="530"/>
      <c r="Q981" s="530"/>
      <c r="R981" s="1432"/>
      <c r="S981" s="530"/>
      <c r="T981" s="533"/>
      <c r="U981" s="533"/>
      <c r="V981" s="1487"/>
      <c r="W981" s="1487"/>
      <c r="X981" s="1487"/>
      <c r="Y981" s="533"/>
      <c r="Z981" s="533"/>
      <c r="AA981" s="530"/>
      <c r="AB981" s="530"/>
      <c r="AC981" s="530"/>
      <c r="AD981" s="530"/>
      <c r="AE981" s="530"/>
    </row>
    <row r="982" spans="3:31">
      <c r="C982" s="530"/>
      <c r="D982" s="530"/>
      <c r="E982" s="530"/>
      <c r="F982" s="530"/>
      <c r="G982" s="1518"/>
      <c r="H982" s="530"/>
      <c r="I982" s="1432"/>
      <c r="J982" s="530"/>
      <c r="K982" s="530"/>
      <c r="L982" s="530"/>
      <c r="M982" s="533"/>
      <c r="N982" s="530"/>
      <c r="O982" s="530"/>
      <c r="P982" s="530"/>
      <c r="Q982" s="530"/>
      <c r="R982" s="1432"/>
      <c r="S982" s="530"/>
      <c r="T982" s="533"/>
      <c r="U982" s="533"/>
      <c r="V982" s="1487"/>
      <c r="W982" s="1487"/>
      <c r="X982" s="1487"/>
      <c r="Y982" s="533"/>
      <c r="Z982" s="533"/>
      <c r="AA982" s="530"/>
      <c r="AB982" s="530"/>
      <c r="AC982" s="530"/>
      <c r="AD982" s="530"/>
      <c r="AE982" s="530"/>
    </row>
    <row r="983" spans="3:31">
      <c r="C983" s="530"/>
      <c r="D983" s="530"/>
      <c r="E983" s="530"/>
      <c r="F983" s="530"/>
      <c r="G983" s="1518"/>
      <c r="H983" s="530"/>
      <c r="I983" s="1432"/>
      <c r="J983" s="530"/>
      <c r="K983" s="530"/>
      <c r="L983" s="530"/>
      <c r="M983" s="533"/>
      <c r="N983" s="530"/>
      <c r="O983" s="530"/>
      <c r="P983" s="530"/>
      <c r="Q983" s="530"/>
      <c r="R983" s="1432"/>
      <c r="S983" s="530"/>
      <c r="T983" s="533"/>
      <c r="U983" s="533"/>
      <c r="V983" s="1487"/>
      <c r="W983" s="1487"/>
      <c r="X983" s="1487"/>
      <c r="Y983" s="533"/>
      <c r="Z983" s="533"/>
      <c r="AA983" s="530"/>
      <c r="AB983" s="530"/>
      <c r="AC983" s="530"/>
      <c r="AD983" s="530"/>
      <c r="AE983" s="530"/>
    </row>
    <row r="984" spans="3:31">
      <c r="C984" s="530"/>
      <c r="D984" s="530"/>
      <c r="E984" s="530"/>
      <c r="F984" s="530"/>
      <c r="G984" s="1518"/>
      <c r="H984" s="530"/>
      <c r="I984" s="1432"/>
      <c r="J984" s="530"/>
      <c r="K984" s="530"/>
      <c r="L984" s="530"/>
      <c r="M984" s="533"/>
      <c r="N984" s="530"/>
      <c r="O984" s="530"/>
      <c r="P984" s="530"/>
      <c r="Q984" s="530"/>
      <c r="R984" s="1432"/>
      <c r="S984" s="530"/>
      <c r="T984" s="533"/>
      <c r="U984" s="533"/>
      <c r="V984" s="1487"/>
      <c r="W984" s="1487"/>
      <c r="X984" s="1487"/>
      <c r="Y984" s="533"/>
      <c r="Z984" s="533"/>
      <c r="AA984" s="530"/>
      <c r="AB984" s="530"/>
      <c r="AC984" s="530"/>
      <c r="AD984" s="530"/>
      <c r="AE984" s="530"/>
    </row>
    <row r="985" spans="3:31">
      <c r="C985" s="530"/>
      <c r="D985" s="530"/>
      <c r="E985" s="530"/>
      <c r="F985" s="530"/>
      <c r="G985" s="1518"/>
      <c r="H985" s="530"/>
      <c r="I985" s="1432"/>
      <c r="J985" s="530"/>
      <c r="K985" s="530"/>
      <c r="L985" s="530"/>
      <c r="M985" s="533"/>
      <c r="N985" s="530"/>
      <c r="O985" s="530"/>
      <c r="P985" s="530"/>
      <c r="Q985" s="530"/>
      <c r="R985" s="1432"/>
      <c r="S985" s="530"/>
      <c r="T985" s="533"/>
      <c r="U985" s="533"/>
      <c r="V985" s="1487"/>
      <c r="W985" s="1487"/>
      <c r="X985" s="1487"/>
      <c r="Y985" s="533"/>
      <c r="Z985" s="533"/>
      <c r="AA985" s="530"/>
      <c r="AB985" s="530"/>
      <c r="AC985" s="530"/>
      <c r="AD985" s="530"/>
      <c r="AE985" s="530"/>
    </row>
    <row r="986" spans="3:31">
      <c r="C986" s="530"/>
      <c r="D986" s="530"/>
      <c r="E986" s="530"/>
      <c r="F986" s="530"/>
      <c r="G986" s="1518"/>
      <c r="H986" s="530"/>
      <c r="I986" s="1432"/>
      <c r="J986" s="530"/>
      <c r="K986" s="530"/>
      <c r="L986" s="530"/>
      <c r="M986" s="533"/>
      <c r="N986" s="530"/>
      <c r="O986" s="530"/>
      <c r="P986" s="530"/>
      <c r="Q986" s="530"/>
      <c r="R986" s="1432"/>
      <c r="S986" s="530"/>
      <c r="T986" s="533"/>
      <c r="U986" s="533"/>
      <c r="V986" s="1487"/>
      <c r="W986" s="1487"/>
      <c r="X986" s="1487"/>
      <c r="Y986" s="533"/>
      <c r="Z986" s="533"/>
      <c r="AA986" s="530"/>
      <c r="AB986" s="530"/>
      <c r="AC986" s="530"/>
      <c r="AD986" s="530"/>
      <c r="AE986" s="530"/>
    </row>
    <row r="987" spans="3:31">
      <c r="C987" s="530"/>
      <c r="D987" s="530"/>
      <c r="E987" s="530"/>
      <c r="F987" s="530"/>
      <c r="G987" s="1518"/>
      <c r="H987" s="530"/>
      <c r="I987" s="1432"/>
      <c r="J987" s="530"/>
      <c r="K987" s="530"/>
      <c r="L987" s="530"/>
      <c r="M987" s="533"/>
      <c r="N987" s="530"/>
      <c r="O987" s="530"/>
      <c r="P987" s="530"/>
      <c r="Q987" s="530"/>
      <c r="R987" s="1432"/>
      <c r="S987" s="530"/>
      <c r="T987" s="533"/>
      <c r="U987" s="533"/>
      <c r="V987" s="1487"/>
      <c r="W987" s="1487"/>
      <c r="X987" s="1487"/>
      <c r="Y987" s="533"/>
      <c r="Z987" s="533"/>
      <c r="AA987" s="530"/>
      <c r="AB987" s="530"/>
      <c r="AC987" s="530"/>
      <c r="AD987" s="530"/>
      <c r="AE987" s="530"/>
    </row>
    <row r="988" spans="3:31">
      <c r="C988" s="530"/>
      <c r="D988" s="530"/>
      <c r="E988" s="530"/>
      <c r="F988" s="530"/>
      <c r="G988" s="1518"/>
      <c r="H988" s="530"/>
      <c r="I988" s="1432"/>
      <c r="J988" s="530"/>
      <c r="K988" s="530"/>
      <c r="L988" s="530"/>
      <c r="M988" s="533"/>
      <c r="N988" s="530"/>
      <c r="O988" s="530"/>
      <c r="P988" s="530"/>
      <c r="Q988" s="530"/>
      <c r="R988" s="1432"/>
      <c r="S988" s="530"/>
      <c r="T988" s="533"/>
      <c r="U988" s="533"/>
      <c r="V988" s="1487"/>
      <c r="W988" s="1487"/>
      <c r="X988" s="1487"/>
      <c r="Y988" s="533"/>
      <c r="Z988" s="533"/>
      <c r="AA988" s="530"/>
      <c r="AB988" s="530"/>
      <c r="AC988" s="530"/>
      <c r="AD988" s="530"/>
      <c r="AE988" s="530"/>
    </row>
    <row r="989" spans="3:31">
      <c r="C989" s="530"/>
      <c r="D989" s="530"/>
      <c r="E989" s="530"/>
      <c r="F989" s="530"/>
      <c r="G989" s="1518"/>
      <c r="H989" s="530"/>
      <c r="I989" s="1432"/>
      <c r="J989" s="530"/>
      <c r="K989" s="530"/>
      <c r="L989" s="530"/>
      <c r="M989" s="533"/>
      <c r="N989" s="530"/>
      <c r="O989" s="530"/>
      <c r="P989" s="530"/>
      <c r="Q989" s="530"/>
      <c r="R989" s="1432"/>
      <c r="S989" s="530"/>
      <c r="T989" s="533"/>
      <c r="U989" s="533"/>
      <c r="V989" s="1487"/>
      <c r="W989" s="1487"/>
      <c r="X989" s="1487"/>
      <c r="Y989" s="533"/>
      <c r="Z989" s="533"/>
      <c r="AA989" s="530"/>
      <c r="AB989" s="530"/>
      <c r="AC989" s="530"/>
      <c r="AD989" s="530"/>
      <c r="AE989" s="530"/>
    </row>
    <row r="990" spans="3:31">
      <c r="C990" s="530"/>
      <c r="D990" s="530"/>
      <c r="E990" s="530"/>
      <c r="F990" s="530"/>
      <c r="G990" s="1518"/>
      <c r="H990" s="530"/>
      <c r="I990" s="1432"/>
      <c r="J990" s="530"/>
      <c r="K990" s="530"/>
      <c r="L990" s="530"/>
      <c r="M990" s="533"/>
      <c r="N990" s="530"/>
      <c r="O990" s="530"/>
      <c r="P990" s="530"/>
      <c r="Q990" s="530"/>
      <c r="R990" s="1432"/>
      <c r="S990" s="530"/>
      <c r="T990" s="533"/>
      <c r="U990" s="533"/>
      <c r="V990" s="1487"/>
      <c r="W990" s="1487"/>
      <c r="X990" s="1487"/>
      <c r="Y990" s="533"/>
      <c r="Z990" s="533"/>
      <c r="AA990" s="530"/>
      <c r="AB990" s="530"/>
      <c r="AC990" s="530"/>
      <c r="AD990" s="530"/>
      <c r="AE990" s="530"/>
    </row>
    <row r="991" spans="3:31">
      <c r="C991" s="530"/>
      <c r="D991" s="530"/>
      <c r="E991" s="530"/>
      <c r="F991" s="530"/>
      <c r="G991" s="1518"/>
      <c r="H991" s="530"/>
      <c r="I991" s="1432"/>
      <c r="J991" s="530"/>
      <c r="K991" s="530"/>
      <c r="L991" s="530"/>
      <c r="M991" s="533"/>
      <c r="N991" s="530"/>
      <c r="O991" s="530"/>
      <c r="P991" s="530"/>
      <c r="Q991" s="530"/>
      <c r="R991" s="1432"/>
      <c r="S991" s="530"/>
      <c r="T991" s="533"/>
      <c r="U991" s="533"/>
      <c r="V991" s="1487"/>
      <c r="W991" s="1487"/>
      <c r="X991" s="1487"/>
      <c r="Y991" s="533"/>
      <c r="Z991" s="533"/>
      <c r="AA991" s="530"/>
      <c r="AB991" s="530"/>
      <c r="AC991" s="530"/>
      <c r="AD991" s="530"/>
      <c r="AE991" s="530"/>
    </row>
    <row r="992" spans="3:31">
      <c r="C992" s="530"/>
      <c r="D992" s="530"/>
      <c r="E992" s="530"/>
      <c r="F992" s="530"/>
      <c r="G992" s="1518"/>
      <c r="H992" s="530"/>
      <c r="I992" s="1432"/>
      <c r="J992" s="530"/>
      <c r="K992" s="530"/>
      <c r="L992" s="530"/>
      <c r="M992" s="533"/>
      <c r="N992" s="530"/>
      <c r="O992" s="530"/>
      <c r="P992" s="530"/>
      <c r="Q992" s="530"/>
      <c r="R992" s="1432"/>
      <c r="S992" s="530"/>
      <c r="T992" s="533"/>
      <c r="U992" s="533"/>
      <c r="V992" s="1487"/>
      <c r="W992" s="1487"/>
      <c r="X992" s="1487"/>
      <c r="Y992" s="533"/>
      <c r="Z992" s="533"/>
      <c r="AA992" s="530"/>
      <c r="AB992" s="530"/>
      <c r="AC992" s="530"/>
      <c r="AD992" s="530"/>
      <c r="AE992" s="530"/>
    </row>
    <row r="993" spans="3:31">
      <c r="C993" s="530"/>
      <c r="D993" s="530"/>
      <c r="E993" s="530"/>
      <c r="F993" s="530"/>
      <c r="G993" s="1518"/>
      <c r="H993" s="530"/>
      <c r="I993" s="1432"/>
      <c r="J993" s="530"/>
      <c r="K993" s="530"/>
      <c r="L993" s="530"/>
      <c r="M993" s="533"/>
      <c r="N993" s="530"/>
      <c r="O993" s="530"/>
      <c r="P993" s="530"/>
      <c r="Q993" s="530"/>
      <c r="R993" s="1432"/>
      <c r="S993" s="530"/>
      <c r="T993" s="533"/>
      <c r="U993" s="533"/>
      <c r="V993" s="1487"/>
      <c r="W993" s="1487"/>
      <c r="X993" s="1487"/>
      <c r="Y993" s="533"/>
      <c r="Z993" s="533"/>
      <c r="AA993" s="530"/>
      <c r="AB993" s="530"/>
      <c r="AC993" s="530"/>
      <c r="AD993" s="530"/>
      <c r="AE993" s="530"/>
    </row>
    <row r="994" spans="3:31">
      <c r="C994" s="530"/>
      <c r="D994" s="530"/>
      <c r="E994" s="530"/>
      <c r="F994" s="530"/>
      <c r="G994" s="1518"/>
      <c r="H994" s="530"/>
      <c r="I994" s="1432"/>
      <c r="J994" s="530"/>
      <c r="K994" s="530"/>
      <c r="L994" s="530"/>
      <c r="M994" s="533"/>
      <c r="N994" s="530"/>
      <c r="O994" s="530"/>
      <c r="P994" s="530"/>
      <c r="Q994" s="530"/>
      <c r="R994" s="1432"/>
      <c r="S994" s="530"/>
      <c r="T994" s="533"/>
      <c r="U994" s="533"/>
      <c r="V994" s="1487"/>
      <c r="W994" s="1487"/>
      <c r="X994" s="1487"/>
      <c r="Y994" s="533"/>
      <c r="Z994" s="533"/>
      <c r="AA994" s="530"/>
      <c r="AB994" s="530"/>
      <c r="AC994" s="530"/>
      <c r="AD994" s="530"/>
      <c r="AE994" s="530"/>
    </row>
    <row r="995" spans="3:31">
      <c r="C995" s="530"/>
      <c r="D995" s="530"/>
      <c r="E995" s="530"/>
      <c r="F995" s="530"/>
      <c r="G995" s="1518"/>
      <c r="H995" s="530"/>
      <c r="I995" s="1432"/>
      <c r="J995" s="530"/>
      <c r="K995" s="530"/>
      <c r="L995" s="530"/>
      <c r="M995" s="533"/>
      <c r="N995" s="530"/>
      <c r="O995" s="530"/>
      <c r="P995" s="530"/>
      <c r="Q995" s="530"/>
      <c r="R995" s="1432"/>
      <c r="S995" s="530"/>
      <c r="T995" s="533"/>
      <c r="U995" s="533"/>
      <c r="V995" s="1487"/>
      <c r="W995" s="1487"/>
      <c r="X995" s="1487"/>
      <c r="Y995" s="533"/>
      <c r="Z995" s="533"/>
      <c r="AA995" s="530"/>
      <c r="AB995" s="530"/>
      <c r="AC995" s="530"/>
      <c r="AD995" s="530"/>
      <c r="AE995" s="530"/>
    </row>
    <row r="996" spans="3:31">
      <c r="C996" s="530"/>
      <c r="D996" s="530"/>
      <c r="E996" s="530"/>
      <c r="F996" s="530"/>
      <c r="G996" s="1518"/>
      <c r="H996" s="530"/>
      <c r="I996" s="1432"/>
      <c r="J996" s="530"/>
      <c r="K996" s="530"/>
      <c r="L996" s="530"/>
      <c r="M996" s="533"/>
      <c r="N996" s="530"/>
      <c r="O996" s="530"/>
      <c r="P996" s="530"/>
      <c r="Q996" s="530"/>
      <c r="R996" s="1432"/>
      <c r="S996" s="530"/>
      <c r="T996" s="533"/>
      <c r="U996" s="533"/>
      <c r="V996" s="1487"/>
      <c r="W996" s="1487"/>
      <c r="X996" s="1487"/>
      <c r="Y996" s="533"/>
      <c r="Z996" s="533"/>
      <c r="AA996" s="530"/>
      <c r="AB996" s="530"/>
      <c r="AC996" s="530"/>
      <c r="AD996" s="530"/>
      <c r="AE996" s="530"/>
    </row>
    <row r="997" spans="3:31">
      <c r="C997" s="530"/>
      <c r="D997" s="530"/>
      <c r="E997" s="530"/>
      <c r="F997" s="530"/>
      <c r="G997" s="1518"/>
      <c r="H997" s="530"/>
      <c r="I997" s="1432"/>
      <c r="J997" s="530"/>
      <c r="K997" s="530"/>
      <c r="L997" s="530"/>
      <c r="M997" s="533"/>
      <c r="N997" s="530"/>
      <c r="O997" s="530"/>
      <c r="P997" s="530"/>
      <c r="Q997" s="530"/>
      <c r="R997" s="1432"/>
      <c r="S997" s="530"/>
      <c r="T997" s="533"/>
      <c r="U997" s="533"/>
      <c r="V997" s="1487"/>
      <c r="W997" s="1487"/>
      <c r="X997" s="1487"/>
      <c r="Y997" s="533"/>
      <c r="Z997" s="533"/>
      <c r="AA997" s="530"/>
      <c r="AB997" s="530"/>
      <c r="AC997" s="530"/>
      <c r="AD997" s="530"/>
      <c r="AE997" s="530"/>
    </row>
    <row r="998" spans="3:31">
      <c r="C998" s="530"/>
      <c r="D998" s="530"/>
      <c r="E998" s="530"/>
      <c r="F998" s="530"/>
      <c r="G998" s="1518"/>
      <c r="H998" s="530"/>
      <c r="I998" s="1432"/>
      <c r="J998" s="530"/>
      <c r="K998" s="530"/>
      <c r="L998" s="530"/>
      <c r="M998" s="533"/>
      <c r="N998" s="530"/>
      <c r="O998" s="530"/>
      <c r="P998" s="530"/>
      <c r="Q998" s="530"/>
      <c r="R998" s="1432"/>
      <c r="S998" s="530"/>
      <c r="T998" s="533"/>
      <c r="U998" s="533"/>
      <c r="V998" s="1487"/>
      <c r="W998" s="1487"/>
      <c r="X998" s="1487"/>
      <c r="Y998" s="533"/>
      <c r="Z998" s="533"/>
      <c r="AA998" s="530"/>
      <c r="AB998" s="530"/>
      <c r="AC998" s="530"/>
      <c r="AD998" s="530"/>
      <c r="AE998" s="530"/>
    </row>
    <row r="999" spans="3:31">
      <c r="C999" s="530"/>
      <c r="D999" s="530"/>
      <c r="E999" s="530"/>
      <c r="F999" s="530"/>
      <c r="G999" s="1518"/>
      <c r="H999" s="530"/>
      <c r="I999" s="1432"/>
      <c r="J999" s="530"/>
      <c r="K999" s="530"/>
      <c r="L999" s="530"/>
      <c r="M999" s="533"/>
      <c r="N999" s="530"/>
      <c r="O999" s="530"/>
      <c r="P999" s="530"/>
      <c r="Q999" s="530"/>
      <c r="R999" s="1432"/>
      <c r="S999" s="530"/>
      <c r="T999" s="533"/>
      <c r="U999" s="533"/>
      <c r="V999" s="1487"/>
      <c r="W999" s="1487"/>
      <c r="X999" s="1487"/>
      <c r="Y999" s="533"/>
      <c r="Z999" s="533"/>
      <c r="AA999" s="530"/>
      <c r="AB999" s="530"/>
      <c r="AC999" s="530"/>
      <c r="AD999" s="530"/>
      <c r="AE999" s="530"/>
    </row>
    <row r="1000" spans="3:31">
      <c r="C1000" s="530"/>
      <c r="D1000" s="530"/>
      <c r="E1000" s="530"/>
      <c r="F1000" s="530"/>
      <c r="G1000" s="1518"/>
      <c r="H1000" s="530"/>
      <c r="I1000" s="1432"/>
      <c r="J1000" s="530"/>
      <c r="K1000" s="530"/>
      <c r="L1000" s="530"/>
      <c r="M1000" s="533"/>
      <c r="N1000" s="530"/>
      <c r="O1000" s="530"/>
      <c r="P1000" s="530"/>
      <c r="Q1000" s="530"/>
      <c r="R1000" s="1432"/>
      <c r="S1000" s="530"/>
      <c r="T1000" s="533"/>
      <c r="U1000" s="533"/>
      <c r="V1000" s="1487"/>
      <c r="W1000" s="1487"/>
      <c r="X1000" s="1487"/>
      <c r="Y1000" s="533"/>
      <c r="Z1000" s="533"/>
      <c r="AA1000" s="530"/>
      <c r="AB1000" s="530"/>
      <c r="AC1000" s="530"/>
      <c r="AD1000" s="530"/>
      <c r="AE1000" s="530"/>
    </row>
    <row r="1001" spans="3:31">
      <c r="C1001" s="530"/>
      <c r="D1001" s="530"/>
      <c r="E1001" s="530"/>
      <c r="F1001" s="530"/>
      <c r="G1001" s="1518"/>
      <c r="H1001" s="530"/>
      <c r="I1001" s="1432"/>
      <c r="J1001" s="530"/>
      <c r="K1001" s="530"/>
      <c r="L1001" s="530"/>
      <c r="M1001" s="533"/>
      <c r="N1001" s="530"/>
      <c r="O1001" s="530"/>
      <c r="P1001" s="530"/>
      <c r="Q1001" s="530"/>
      <c r="R1001" s="1432"/>
      <c r="S1001" s="530"/>
      <c r="T1001" s="533"/>
      <c r="U1001" s="533"/>
      <c r="V1001" s="1487"/>
      <c r="W1001" s="1487"/>
      <c r="X1001" s="1487"/>
      <c r="Y1001" s="533"/>
      <c r="Z1001" s="533"/>
      <c r="AA1001" s="530"/>
      <c r="AB1001" s="530"/>
      <c r="AC1001" s="530"/>
      <c r="AD1001" s="530"/>
      <c r="AE1001" s="530"/>
    </row>
    <row r="1002" spans="3:31">
      <c r="C1002" s="530"/>
      <c r="D1002" s="530"/>
      <c r="E1002" s="530"/>
      <c r="F1002" s="530"/>
      <c r="G1002" s="1518"/>
      <c r="H1002" s="530"/>
      <c r="I1002" s="1432"/>
      <c r="J1002" s="530"/>
      <c r="K1002" s="530"/>
      <c r="L1002" s="530"/>
      <c r="M1002" s="533"/>
      <c r="N1002" s="530"/>
      <c r="O1002" s="530"/>
      <c r="P1002" s="530"/>
      <c r="Q1002" s="530"/>
      <c r="R1002" s="1432"/>
      <c r="S1002" s="530"/>
      <c r="T1002" s="533"/>
      <c r="U1002" s="533"/>
      <c r="V1002" s="1487"/>
      <c r="W1002" s="1487"/>
      <c r="X1002" s="1487"/>
      <c r="Y1002" s="533"/>
      <c r="Z1002" s="533"/>
      <c r="AA1002" s="530"/>
      <c r="AB1002" s="530"/>
      <c r="AC1002" s="530"/>
      <c r="AD1002" s="530"/>
      <c r="AE1002" s="530"/>
    </row>
    <row r="1003" spans="3:31">
      <c r="C1003" s="530"/>
      <c r="D1003" s="530"/>
      <c r="E1003" s="530"/>
      <c r="F1003" s="530"/>
      <c r="G1003" s="1518"/>
      <c r="H1003" s="530"/>
      <c r="I1003" s="1432"/>
      <c r="J1003" s="530"/>
      <c r="K1003" s="530"/>
      <c r="L1003" s="530"/>
      <c r="M1003" s="533"/>
      <c r="N1003" s="530"/>
      <c r="O1003" s="530"/>
      <c r="P1003" s="530"/>
      <c r="Q1003" s="530"/>
      <c r="R1003" s="1432"/>
      <c r="S1003" s="530"/>
      <c r="T1003" s="533"/>
      <c r="U1003" s="533"/>
      <c r="V1003" s="1487"/>
      <c r="W1003" s="1487"/>
      <c r="X1003" s="1487"/>
      <c r="Y1003" s="533"/>
      <c r="Z1003" s="533"/>
      <c r="AA1003" s="530"/>
      <c r="AB1003" s="530"/>
      <c r="AC1003" s="530"/>
      <c r="AD1003" s="530"/>
      <c r="AE1003" s="530"/>
    </row>
    <row r="1004" spans="3:31">
      <c r="C1004" s="530"/>
      <c r="D1004" s="530"/>
      <c r="E1004" s="530"/>
      <c r="F1004" s="530"/>
      <c r="G1004" s="1518"/>
      <c r="H1004" s="530"/>
      <c r="I1004" s="1432"/>
      <c r="J1004" s="530"/>
      <c r="K1004" s="530"/>
      <c r="L1004" s="530"/>
      <c r="M1004" s="533"/>
      <c r="N1004" s="530"/>
      <c r="O1004" s="530"/>
      <c r="P1004" s="530"/>
      <c r="Q1004" s="530"/>
      <c r="R1004" s="1432"/>
      <c r="S1004" s="530"/>
      <c r="T1004" s="533"/>
      <c r="U1004" s="533"/>
      <c r="V1004" s="1487"/>
      <c r="W1004" s="1487"/>
      <c r="X1004" s="1487"/>
      <c r="Y1004" s="533"/>
      <c r="Z1004" s="533"/>
      <c r="AA1004" s="530"/>
      <c r="AB1004" s="530"/>
      <c r="AC1004" s="530"/>
      <c r="AD1004" s="530"/>
      <c r="AE1004" s="530"/>
    </row>
    <row r="1005" spans="3:31">
      <c r="C1005" s="530"/>
      <c r="D1005" s="530"/>
      <c r="E1005" s="530"/>
      <c r="F1005" s="530"/>
      <c r="G1005" s="1518"/>
      <c r="H1005" s="530"/>
      <c r="I1005" s="1432"/>
      <c r="J1005" s="530"/>
      <c r="K1005" s="530"/>
      <c r="L1005" s="530"/>
      <c r="M1005" s="533"/>
      <c r="N1005" s="530"/>
      <c r="O1005" s="530"/>
      <c r="P1005" s="530"/>
      <c r="Q1005" s="530"/>
      <c r="R1005" s="1432"/>
      <c r="S1005" s="530"/>
      <c r="T1005" s="533"/>
      <c r="U1005" s="533"/>
      <c r="V1005" s="1487"/>
      <c r="W1005" s="1487"/>
      <c r="X1005" s="1487"/>
      <c r="Y1005" s="533"/>
      <c r="Z1005" s="533"/>
      <c r="AA1005" s="530"/>
      <c r="AB1005" s="530"/>
      <c r="AC1005" s="530"/>
      <c r="AD1005" s="530"/>
      <c r="AE1005" s="530"/>
    </row>
    <row r="1006" spans="3:31">
      <c r="C1006" s="530"/>
      <c r="D1006" s="530"/>
      <c r="E1006" s="530"/>
      <c r="F1006" s="530"/>
      <c r="G1006" s="1518"/>
      <c r="H1006" s="530"/>
      <c r="I1006" s="1432"/>
      <c r="J1006" s="530"/>
      <c r="K1006" s="530"/>
      <c r="L1006" s="530"/>
      <c r="M1006" s="533"/>
      <c r="N1006" s="530"/>
      <c r="O1006" s="530"/>
      <c r="P1006" s="530"/>
      <c r="Q1006" s="530"/>
      <c r="R1006" s="1432"/>
      <c r="S1006" s="530"/>
      <c r="T1006" s="533"/>
      <c r="U1006" s="533"/>
      <c r="V1006" s="1487"/>
      <c r="W1006" s="1487"/>
      <c r="X1006" s="1487"/>
      <c r="Y1006" s="533"/>
      <c r="Z1006" s="533"/>
      <c r="AA1006" s="530"/>
      <c r="AB1006" s="530"/>
      <c r="AC1006" s="530"/>
      <c r="AD1006" s="530"/>
      <c r="AE1006" s="530"/>
    </row>
    <row r="1007" spans="3:31">
      <c r="C1007" s="530"/>
      <c r="D1007" s="530"/>
      <c r="E1007" s="530"/>
      <c r="F1007" s="530"/>
      <c r="G1007" s="1518"/>
      <c r="H1007" s="530"/>
      <c r="I1007" s="1432"/>
      <c r="J1007" s="530"/>
      <c r="K1007" s="530"/>
      <c r="L1007" s="530"/>
      <c r="M1007" s="533"/>
      <c r="N1007" s="530"/>
      <c r="O1007" s="530"/>
      <c r="P1007" s="530"/>
      <c r="Q1007" s="530"/>
      <c r="R1007" s="1432"/>
      <c r="S1007" s="530"/>
      <c r="T1007" s="533"/>
      <c r="U1007" s="533"/>
      <c r="V1007" s="1487"/>
      <c r="W1007" s="1487"/>
      <c r="X1007" s="1487"/>
      <c r="Y1007" s="533"/>
      <c r="Z1007" s="533"/>
      <c r="AA1007" s="530"/>
      <c r="AB1007" s="530"/>
      <c r="AC1007" s="530"/>
      <c r="AD1007" s="530"/>
      <c r="AE1007" s="530"/>
    </row>
    <row r="1008" spans="3:31">
      <c r="C1008" s="530"/>
      <c r="D1008" s="530"/>
      <c r="E1008" s="530"/>
      <c r="F1008" s="530"/>
      <c r="G1008" s="1518"/>
      <c r="H1008" s="530"/>
      <c r="I1008" s="1432"/>
      <c r="J1008" s="530"/>
      <c r="K1008" s="530"/>
      <c r="L1008" s="530"/>
      <c r="M1008" s="533"/>
      <c r="N1008" s="530"/>
      <c r="O1008" s="530"/>
      <c r="P1008" s="530"/>
      <c r="Q1008" s="530"/>
      <c r="R1008" s="1432"/>
      <c r="S1008" s="530"/>
      <c r="T1008" s="533"/>
      <c r="U1008" s="533"/>
      <c r="V1008" s="1487"/>
      <c r="W1008" s="1487"/>
      <c r="X1008" s="1487"/>
      <c r="Y1008" s="533"/>
      <c r="Z1008" s="533"/>
      <c r="AA1008" s="530"/>
      <c r="AB1008" s="530"/>
      <c r="AC1008" s="530"/>
      <c r="AD1008" s="530"/>
      <c r="AE1008" s="530"/>
    </row>
    <row r="1009" spans="3:31">
      <c r="C1009" s="530"/>
      <c r="D1009" s="530"/>
      <c r="E1009" s="530"/>
      <c r="F1009" s="530"/>
      <c r="G1009" s="1518"/>
      <c r="H1009" s="530"/>
      <c r="I1009" s="1432"/>
      <c r="J1009" s="530"/>
      <c r="K1009" s="530"/>
      <c r="L1009" s="530"/>
      <c r="M1009" s="533"/>
      <c r="N1009" s="530"/>
      <c r="O1009" s="530"/>
      <c r="P1009" s="530"/>
      <c r="Q1009" s="530"/>
      <c r="R1009" s="1432"/>
      <c r="S1009" s="530"/>
      <c r="T1009" s="533"/>
      <c r="U1009" s="533"/>
      <c r="V1009" s="1487"/>
      <c r="W1009" s="1487"/>
      <c r="X1009" s="1487"/>
      <c r="Y1009" s="533"/>
      <c r="Z1009" s="533"/>
      <c r="AA1009" s="530"/>
      <c r="AB1009" s="530"/>
      <c r="AC1009" s="530"/>
      <c r="AD1009" s="530"/>
      <c r="AE1009" s="530"/>
    </row>
    <row r="1010" spans="3:31">
      <c r="C1010" s="530"/>
      <c r="D1010" s="530"/>
      <c r="E1010" s="530"/>
      <c r="F1010" s="530"/>
      <c r="G1010" s="1518"/>
      <c r="H1010" s="530"/>
      <c r="I1010" s="1432"/>
      <c r="J1010" s="530"/>
      <c r="K1010" s="530"/>
      <c r="L1010" s="530"/>
      <c r="M1010" s="533"/>
      <c r="N1010" s="530"/>
      <c r="O1010" s="530"/>
      <c r="P1010" s="530"/>
      <c r="Q1010" s="530"/>
      <c r="R1010" s="1432"/>
      <c r="S1010" s="530"/>
      <c r="T1010" s="533"/>
      <c r="U1010" s="533"/>
      <c r="V1010" s="1487"/>
      <c r="W1010" s="1487"/>
      <c r="X1010" s="1487"/>
      <c r="Y1010" s="533"/>
      <c r="Z1010" s="533"/>
      <c r="AA1010" s="530"/>
      <c r="AB1010" s="530"/>
      <c r="AC1010" s="530"/>
      <c r="AD1010" s="530"/>
      <c r="AE1010" s="530"/>
    </row>
    <row r="1011" spans="3:31">
      <c r="C1011" s="530"/>
      <c r="D1011" s="530"/>
      <c r="E1011" s="530"/>
      <c r="F1011" s="530"/>
      <c r="G1011" s="1518"/>
      <c r="H1011" s="530"/>
      <c r="I1011" s="1432"/>
      <c r="J1011" s="530"/>
      <c r="K1011" s="530"/>
      <c r="L1011" s="530"/>
      <c r="M1011" s="533"/>
      <c r="N1011" s="530"/>
      <c r="O1011" s="530"/>
      <c r="P1011" s="530"/>
      <c r="Q1011" s="530"/>
      <c r="R1011" s="1432"/>
      <c r="S1011" s="530"/>
      <c r="T1011" s="533"/>
      <c r="U1011" s="533"/>
      <c r="V1011" s="1487"/>
      <c r="W1011" s="1487"/>
      <c r="X1011" s="1487"/>
      <c r="Y1011" s="533"/>
      <c r="Z1011" s="533"/>
      <c r="AA1011" s="530"/>
      <c r="AB1011" s="530"/>
      <c r="AC1011" s="530"/>
      <c r="AD1011" s="530"/>
      <c r="AE1011" s="530"/>
    </row>
    <row r="1012" spans="3:31">
      <c r="C1012" s="530"/>
      <c r="D1012" s="530"/>
      <c r="E1012" s="530"/>
      <c r="F1012" s="530"/>
      <c r="G1012" s="1518"/>
      <c r="H1012" s="530"/>
      <c r="I1012" s="1432"/>
      <c r="J1012" s="530"/>
      <c r="K1012" s="530"/>
      <c r="L1012" s="530"/>
      <c r="M1012" s="533"/>
      <c r="N1012" s="530"/>
      <c r="O1012" s="530"/>
      <c r="P1012" s="530"/>
      <c r="Q1012" s="530"/>
      <c r="R1012" s="1432"/>
      <c r="S1012" s="530"/>
      <c r="T1012" s="533"/>
      <c r="U1012" s="533"/>
      <c r="V1012" s="1487"/>
      <c r="W1012" s="1487"/>
      <c r="X1012" s="1487"/>
      <c r="Y1012" s="533"/>
      <c r="Z1012" s="533"/>
      <c r="AA1012" s="530"/>
      <c r="AB1012" s="530"/>
      <c r="AC1012" s="530"/>
      <c r="AD1012" s="530"/>
      <c r="AE1012" s="530"/>
    </row>
    <row r="1013" spans="3:31">
      <c r="C1013" s="530"/>
      <c r="D1013" s="530"/>
      <c r="E1013" s="530"/>
      <c r="F1013" s="530"/>
      <c r="G1013" s="1518"/>
      <c r="H1013" s="530"/>
      <c r="I1013" s="1432"/>
      <c r="J1013" s="530"/>
      <c r="K1013" s="530"/>
      <c r="L1013" s="530"/>
      <c r="M1013" s="533"/>
      <c r="N1013" s="530"/>
      <c r="O1013" s="530"/>
      <c r="P1013" s="530"/>
      <c r="Q1013" s="530"/>
      <c r="R1013" s="1432"/>
      <c r="S1013" s="530"/>
      <c r="T1013" s="533"/>
      <c r="U1013" s="533"/>
      <c r="V1013" s="1487"/>
      <c r="W1013" s="1487"/>
      <c r="X1013" s="1487"/>
      <c r="Y1013" s="533"/>
      <c r="Z1013" s="533"/>
      <c r="AA1013" s="530"/>
      <c r="AB1013" s="530"/>
      <c r="AC1013" s="530"/>
      <c r="AD1013" s="530"/>
      <c r="AE1013" s="530"/>
    </row>
    <row r="1014" spans="3:31">
      <c r="C1014" s="530"/>
      <c r="D1014" s="530"/>
      <c r="E1014" s="530"/>
      <c r="F1014" s="530"/>
      <c r="G1014" s="1518"/>
      <c r="H1014" s="530"/>
      <c r="I1014" s="1432"/>
      <c r="J1014" s="530"/>
      <c r="K1014" s="530"/>
      <c r="L1014" s="530"/>
      <c r="M1014" s="533"/>
      <c r="N1014" s="530"/>
      <c r="O1014" s="530"/>
      <c r="P1014" s="530"/>
      <c r="Q1014" s="530"/>
      <c r="R1014" s="1432"/>
      <c r="S1014" s="530"/>
      <c r="T1014" s="533"/>
      <c r="U1014" s="533"/>
      <c r="V1014" s="1487"/>
      <c r="W1014" s="1487"/>
      <c r="X1014" s="1487"/>
      <c r="Y1014" s="533"/>
      <c r="Z1014" s="533"/>
      <c r="AA1014" s="530"/>
      <c r="AB1014" s="530"/>
      <c r="AC1014" s="530"/>
      <c r="AD1014" s="530"/>
      <c r="AE1014" s="530"/>
    </row>
    <row r="1015" spans="3:31">
      <c r="C1015" s="530"/>
      <c r="D1015" s="530"/>
      <c r="E1015" s="530"/>
      <c r="F1015" s="530"/>
      <c r="G1015" s="1518"/>
      <c r="H1015" s="530"/>
      <c r="I1015" s="1432"/>
      <c r="J1015" s="530"/>
      <c r="K1015" s="530"/>
      <c r="L1015" s="530"/>
      <c r="M1015" s="533"/>
      <c r="N1015" s="530"/>
      <c r="O1015" s="530"/>
      <c r="P1015" s="530"/>
      <c r="Q1015" s="530"/>
      <c r="R1015" s="1432"/>
      <c r="S1015" s="530"/>
      <c r="T1015" s="533"/>
      <c r="U1015" s="533"/>
      <c r="V1015" s="1487"/>
      <c r="W1015" s="1487"/>
      <c r="X1015" s="1487"/>
      <c r="Y1015" s="533"/>
      <c r="Z1015" s="533"/>
      <c r="AA1015" s="530"/>
      <c r="AB1015" s="530"/>
      <c r="AC1015" s="530"/>
      <c r="AD1015" s="530"/>
      <c r="AE1015" s="530"/>
    </row>
    <row r="1016" spans="3:31">
      <c r="C1016" s="530"/>
      <c r="D1016" s="530"/>
      <c r="E1016" s="530"/>
      <c r="F1016" s="530"/>
      <c r="G1016" s="1518"/>
      <c r="H1016" s="530"/>
      <c r="I1016" s="1432"/>
      <c r="J1016" s="530"/>
      <c r="K1016" s="530"/>
      <c r="L1016" s="530"/>
      <c r="M1016" s="533"/>
      <c r="N1016" s="530"/>
      <c r="O1016" s="530"/>
      <c r="P1016" s="530"/>
      <c r="Q1016" s="530"/>
      <c r="R1016" s="1432"/>
      <c r="S1016" s="530"/>
      <c r="T1016" s="533"/>
      <c r="U1016" s="533"/>
      <c r="V1016" s="1487"/>
      <c r="W1016" s="1487"/>
      <c r="X1016" s="1487"/>
      <c r="Y1016" s="533"/>
      <c r="Z1016" s="533"/>
      <c r="AA1016" s="530"/>
      <c r="AB1016" s="530"/>
      <c r="AC1016" s="530"/>
      <c r="AD1016" s="530"/>
      <c r="AE1016" s="530"/>
    </row>
    <row r="1017" spans="3:31">
      <c r="C1017" s="530"/>
      <c r="D1017" s="530"/>
      <c r="E1017" s="530"/>
      <c r="F1017" s="530"/>
      <c r="G1017" s="1518"/>
      <c r="H1017" s="530"/>
      <c r="I1017" s="1432"/>
      <c r="J1017" s="530"/>
      <c r="K1017" s="530"/>
      <c r="L1017" s="530"/>
      <c r="M1017" s="533"/>
      <c r="N1017" s="530"/>
      <c r="O1017" s="530"/>
      <c r="P1017" s="530"/>
      <c r="Q1017" s="530"/>
      <c r="R1017" s="1432"/>
      <c r="S1017" s="530"/>
      <c r="T1017" s="533"/>
      <c r="U1017" s="533"/>
      <c r="V1017" s="1487"/>
      <c r="W1017" s="1487"/>
      <c r="X1017" s="1487"/>
      <c r="Y1017" s="533"/>
      <c r="Z1017" s="533"/>
      <c r="AA1017" s="530"/>
      <c r="AB1017" s="530"/>
      <c r="AC1017" s="530"/>
      <c r="AD1017" s="530"/>
      <c r="AE1017" s="530"/>
    </row>
    <row r="1018" spans="3:31">
      <c r="C1018" s="530"/>
      <c r="D1018" s="530"/>
      <c r="E1018" s="530"/>
      <c r="F1018" s="530"/>
      <c r="G1018" s="1518"/>
      <c r="H1018" s="530"/>
      <c r="I1018" s="1432"/>
      <c r="J1018" s="530"/>
      <c r="K1018" s="530"/>
      <c r="L1018" s="530"/>
      <c r="M1018" s="533"/>
      <c r="N1018" s="530"/>
      <c r="O1018" s="530"/>
      <c r="P1018" s="530"/>
      <c r="Q1018" s="530"/>
      <c r="R1018" s="1432"/>
      <c r="S1018" s="530"/>
      <c r="T1018" s="533"/>
      <c r="U1018" s="533"/>
      <c r="V1018" s="1487"/>
      <c r="W1018" s="1487"/>
      <c r="X1018" s="1487"/>
      <c r="Y1018" s="533"/>
      <c r="Z1018" s="533"/>
      <c r="AA1018" s="530"/>
      <c r="AB1018" s="530"/>
      <c r="AC1018" s="530"/>
      <c r="AD1018" s="530"/>
      <c r="AE1018" s="530"/>
    </row>
    <row r="1019" spans="3:31">
      <c r="C1019" s="530"/>
      <c r="D1019" s="530"/>
      <c r="E1019" s="530"/>
      <c r="F1019" s="530"/>
      <c r="G1019" s="1518"/>
      <c r="H1019" s="530"/>
      <c r="I1019" s="1432"/>
      <c r="J1019" s="530"/>
      <c r="K1019" s="530"/>
      <c r="L1019" s="530"/>
      <c r="M1019" s="533"/>
      <c r="N1019" s="530"/>
      <c r="O1019" s="530"/>
      <c r="P1019" s="530"/>
      <c r="Q1019" s="530"/>
      <c r="R1019" s="1432"/>
      <c r="S1019" s="530"/>
      <c r="T1019" s="533"/>
      <c r="U1019" s="533"/>
      <c r="V1019" s="1487"/>
      <c r="W1019" s="1487"/>
      <c r="X1019" s="1487"/>
      <c r="Y1019" s="533"/>
      <c r="Z1019" s="533"/>
      <c r="AA1019" s="530"/>
      <c r="AB1019" s="530"/>
      <c r="AC1019" s="530"/>
      <c r="AD1019" s="530"/>
      <c r="AE1019" s="530"/>
    </row>
    <row r="1020" spans="3:31">
      <c r="C1020" s="530"/>
      <c r="D1020" s="530"/>
      <c r="E1020" s="530"/>
      <c r="F1020" s="530"/>
      <c r="G1020" s="1518"/>
      <c r="H1020" s="530"/>
      <c r="I1020" s="1432"/>
      <c r="J1020" s="530"/>
      <c r="K1020" s="530"/>
      <c r="L1020" s="530"/>
      <c r="M1020" s="533"/>
      <c r="N1020" s="530"/>
      <c r="O1020" s="530"/>
      <c r="P1020" s="530"/>
      <c r="Q1020" s="530"/>
      <c r="R1020" s="1432"/>
      <c r="S1020" s="530"/>
      <c r="T1020" s="533"/>
      <c r="U1020" s="533"/>
      <c r="V1020" s="1487"/>
      <c r="W1020" s="1487"/>
      <c r="X1020" s="1487"/>
      <c r="Y1020" s="533"/>
      <c r="Z1020" s="533"/>
      <c r="AA1020" s="530"/>
      <c r="AB1020" s="530"/>
      <c r="AC1020" s="530"/>
      <c r="AD1020" s="530"/>
      <c r="AE1020" s="530"/>
    </row>
    <row r="1021" spans="3:31">
      <c r="C1021" s="530"/>
      <c r="D1021" s="530"/>
      <c r="E1021" s="530"/>
      <c r="F1021" s="530"/>
      <c r="G1021" s="1518"/>
      <c r="H1021" s="530"/>
      <c r="I1021" s="1432"/>
      <c r="J1021" s="530"/>
      <c r="K1021" s="530"/>
      <c r="L1021" s="530"/>
      <c r="M1021" s="533"/>
      <c r="N1021" s="530"/>
      <c r="O1021" s="530"/>
      <c r="P1021" s="530"/>
      <c r="Q1021" s="530"/>
      <c r="R1021" s="1432"/>
      <c r="S1021" s="530"/>
      <c r="T1021" s="533"/>
      <c r="U1021" s="533"/>
      <c r="V1021" s="1487"/>
      <c r="W1021" s="1487"/>
      <c r="X1021" s="1487"/>
      <c r="Y1021" s="533"/>
      <c r="Z1021" s="533"/>
      <c r="AA1021" s="530"/>
      <c r="AB1021" s="530"/>
      <c r="AC1021" s="530"/>
      <c r="AD1021" s="530"/>
      <c r="AE1021" s="530"/>
    </row>
    <row r="1022" spans="3:31">
      <c r="C1022" s="530"/>
      <c r="D1022" s="530"/>
      <c r="E1022" s="530"/>
      <c r="F1022" s="530"/>
      <c r="G1022" s="1518"/>
      <c r="H1022" s="530"/>
      <c r="I1022" s="1432"/>
      <c r="J1022" s="530"/>
      <c r="K1022" s="530"/>
      <c r="L1022" s="530"/>
      <c r="M1022" s="533"/>
      <c r="N1022" s="530"/>
      <c r="O1022" s="530"/>
      <c r="P1022" s="530"/>
      <c r="Q1022" s="530"/>
      <c r="R1022" s="1432"/>
      <c r="S1022" s="530"/>
      <c r="T1022" s="533"/>
      <c r="U1022" s="533"/>
      <c r="V1022" s="1487"/>
      <c r="W1022" s="1487"/>
      <c r="X1022" s="1487"/>
      <c r="Y1022" s="533"/>
      <c r="Z1022" s="533"/>
      <c r="AA1022" s="530"/>
      <c r="AB1022" s="530"/>
      <c r="AC1022" s="530"/>
      <c r="AD1022" s="530"/>
      <c r="AE1022" s="530"/>
    </row>
    <row r="1023" spans="3:31">
      <c r="C1023" s="530"/>
      <c r="D1023" s="530"/>
      <c r="E1023" s="530"/>
      <c r="F1023" s="530"/>
      <c r="G1023" s="1518"/>
      <c r="H1023" s="530"/>
      <c r="I1023" s="1432"/>
      <c r="J1023" s="530"/>
      <c r="K1023" s="530"/>
      <c r="L1023" s="530"/>
      <c r="M1023" s="533"/>
      <c r="N1023" s="530"/>
      <c r="O1023" s="530"/>
      <c r="P1023" s="530"/>
      <c r="Q1023" s="530"/>
      <c r="R1023" s="1432"/>
      <c r="S1023" s="530"/>
      <c r="T1023" s="533"/>
      <c r="U1023" s="533"/>
      <c r="V1023" s="1487"/>
      <c r="W1023" s="1487"/>
      <c r="X1023" s="1487"/>
      <c r="Y1023" s="533"/>
      <c r="Z1023" s="533"/>
      <c r="AA1023" s="530"/>
      <c r="AB1023" s="530"/>
      <c r="AC1023" s="530"/>
      <c r="AD1023" s="530"/>
      <c r="AE1023" s="530"/>
    </row>
    <row r="1024" spans="3:31">
      <c r="C1024" s="530"/>
      <c r="D1024" s="530"/>
      <c r="E1024" s="530"/>
      <c r="F1024" s="530"/>
      <c r="G1024" s="1518"/>
      <c r="H1024" s="530"/>
      <c r="I1024" s="1432"/>
      <c r="J1024" s="530"/>
      <c r="K1024" s="530"/>
      <c r="L1024" s="530"/>
      <c r="M1024" s="533"/>
      <c r="N1024" s="530"/>
      <c r="O1024" s="530"/>
      <c r="P1024" s="530"/>
      <c r="Q1024" s="530"/>
      <c r="R1024" s="1432"/>
      <c r="S1024" s="530"/>
      <c r="T1024" s="533"/>
      <c r="U1024" s="533"/>
      <c r="V1024" s="1487"/>
      <c r="W1024" s="1487"/>
      <c r="X1024" s="1487"/>
      <c r="Y1024" s="533"/>
      <c r="Z1024" s="533"/>
      <c r="AA1024" s="530"/>
      <c r="AB1024" s="530"/>
      <c r="AC1024" s="530"/>
      <c r="AD1024" s="530"/>
      <c r="AE1024" s="530"/>
    </row>
    <row r="1025" spans="3:31">
      <c r="C1025" s="530"/>
      <c r="D1025" s="530"/>
      <c r="E1025" s="530"/>
      <c r="F1025" s="530"/>
      <c r="G1025" s="1518"/>
      <c r="H1025" s="530"/>
      <c r="I1025" s="1432"/>
      <c r="J1025" s="530"/>
      <c r="K1025" s="530"/>
      <c r="L1025" s="530"/>
      <c r="M1025" s="533"/>
      <c r="N1025" s="530"/>
      <c r="O1025" s="530"/>
      <c r="P1025" s="530"/>
      <c r="Q1025" s="530"/>
      <c r="R1025" s="1432"/>
      <c r="S1025" s="530"/>
      <c r="T1025" s="533"/>
      <c r="U1025" s="533"/>
      <c r="V1025" s="1487"/>
      <c r="W1025" s="1487"/>
      <c r="X1025" s="1487"/>
      <c r="Y1025" s="533"/>
      <c r="Z1025" s="533"/>
      <c r="AA1025" s="530"/>
      <c r="AB1025" s="530"/>
      <c r="AC1025" s="530"/>
      <c r="AD1025" s="530"/>
      <c r="AE1025" s="530"/>
    </row>
    <row r="1026" spans="3:31">
      <c r="C1026" s="530"/>
      <c r="D1026" s="530"/>
      <c r="E1026" s="530"/>
      <c r="F1026" s="530"/>
      <c r="G1026" s="1518"/>
      <c r="H1026" s="530"/>
      <c r="I1026" s="1432"/>
      <c r="J1026" s="530"/>
      <c r="K1026" s="530"/>
      <c r="L1026" s="530"/>
      <c r="M1026" s="533"/>
      <c r="N1026" s="530"/>
      <c r="O1026" s="530"/>
      <c r="P1026" s="530"/>
      <c r="Q1026" s="530"/>
      <c r="R1026" s="1432"/>
      <c r="S1026" s="530"/>
      <c r="T1026" s="533"/>
      <c r="U1026" s="533"/>
      <c r="V1026" s="1487"/>
      <c r="W1026" s="1487"/>
      <c r="X1026" s="1487"/>
      <c r="Y1026" s="533"/>
      <c r="Z1026" s="533"/>
      <c r="AA1026" s="530"/>
      <c r="AB1026" s="530"/>
      <c r="AC1026" s="530"/>
      <c r="AD1026" s="530"/>
      <c r="AE1026" s="530"/>
    </row>
    <row r="1027" spans="3:31">
      <c r="C1027" s="530"/>
      <c r="D1027" s="530"/>
      <c r="E1027" s="530"/>
      <c r="F1027" s="530"/>
      <c r="G1027" s="1518"/>
      <c r="H1027" s="530"/>
      <c r="I1027" s="1432"/>
      <c r="J1027" s="530"/>
      <c r="K1027" s="530"/>
      <c r="L1027" s="530"/>
      <c r="M1027" s="533"/>
      <c r="N1027" s="530"/>
      <c r="O1027" s="530"/>
      <c r="P1027" s="530"/>
      <c r="Q1027" s="530"/>
      <c r="R1027" s="1432"/>
      <c r="S1027" s="530"/>
      <c r="T1027" s="533"/>
      <c r="U1027" s="533"/>
      <c r="V1027" s="1487"/>
      <c r="W1027" s="1487"/>
      <c r="X1027" s="1487"/>
      <c r="Y1027" s="533"/>
      <c r="Z1027" s="533"/>
      <c r="AA1027" s="530"/>
      <c r="AB1027" s="530"/>
      <c r="AC1027" s="530"/>
      <c r="AD1027" s="530"/>
      <c r="AE1027" s="530"/>
    </row>
    <row r="1028" spans="3:31">
      <c r="C1028" s="530"/>
      <c r="D1028" s="530"/>
      <c r="E1028" s="530"/>
      <c r="F1028" s="530"/>
      <c r="G1028" s="1518"/>
      <c r="H1028" s="530"/>
      <c r="I1028" s="1432"/>
      <c r="J1028" s="530"/>
      <c r="K1028" s="530"/>
      <c r="L1028" s="530"/>
      <c r="M1028" s="533"/>
      <c r="N1028" s="530"/>
      <c r="O1028" s="530"/>
      <c r="P1028" s="530"/>
      <c r="Q1028" s="530"/>
      <c r="R1028" s="1432"/>
      <c r="S1028" s="530"/>
      <c r="T1028" s="533"/>
      <c r="U1028" s="533"/>
      <c r="V1028" s="1487"/>
      <c r="W1028" s="1487"/>
      <c r="X1028" s="1487"/>
      <c r="Y1028" s="533"/>
      <c r="Z1028" s="533"/>
      <c r="AA1028" s="530"/>
      <c r="AB1028" s="530"/>
      <c r="AC1028" s="530"/>
      <c r="AD1028" s="530"/>
      <c r="AE1028" s="530"/>
    </row>
    <row r="1029" spans="3:31">
      <c r="C1029" s="530"/>
      <c r="D1029" s="530"/>
      <c r="E1029" s="530"/>
      <c r="F1029" s="530"/>
      <c r="G1029" s="1518"/>
      <c r="H1029" s="530"/>
      <c r="I1029" s="1432"/>
      <c r="J1029" s="530"/>
      <c r="K1029" s="530"/>
      <c r="L1029" s="530"/>
      <c r="M1029" s="533"/>
      <c r="N1029" s="530"/>
      <c r="O1029" s="530"/>
      <c r="P1029" s="530"/>
      <c r="Q1029" s="530"/>
      <c r="R1029" s="1432"/>
      <c r="S1029" s="530"/>
      <c r="T1029" s="533"/>
      <c r="U1029" s="533"/>
      <c r="V1029" s="1487"/>
      <c r="W1029" s="1487"/>
      <c r="X1029" s="1487"/>
      <c r="Y1029" s="533"/>
      <c r="Z1029" s="533"/>
      <c r="AA1029" s="530"/>
      <c r="AB1029" s="530"/>
      <c r="AC1029" s="530"/>
      <c r="AD1029" s="530"/>
      <c r="AE1029" s="530"/>
    </row>
    <row r="1030" spans="3:31">
      <c r="C1030" s="530"/>
      <c r="D1030" s="530"/>
      <c r="E1030" s="530"/>
      <c r="F1030" s="530"/>
      <c r="G1030" s="1518"/>
      <c r="H1030" s="530"/>
      <c r="I1030" s="1432"/>
      <c r="J1030" s="530"/>
      <c r="K1030" s="530"/>
      <c r="L1030" s="530"/>
      <c r="M1030" s="533"/>
      <c r="N1030" s="530"/>
      <c r="O1030" s="530"/>
      <c r="P1030" s="530"/>
      <c r="Q1030" s="530"/>
      <c r="R1030" s="1432"/>
      <c r="S1030" s="530"/>
      <c r="T1030" s="533"/>
      <c r="U1030" s="533"/>
      <c r="V1030" s="1487"/>
      <c r="W1030" s="1487"/>
      <c r="X1030" s="1487"/>
      <c r="Y1030" s="533"/>
      <c r="Z1030" s="533"/>
      <c r="AA1030" s="530"/>
      <c r="AB1030" s="530"/>
      <c r="AC1030" s="530"/>
      <c r="AD1030" s="530"/>
      <c r="AE1030" s="530"/>
    </row>
    <row r="1031" spans="3:31">
      <c r="C1031" s="530"/>
      <c r="D1031" s="530"/>
      <c r="E1031" s="530"/>
      <c r="F1031" s="530"/>
      <c r="G1031" s="1518"/>
      <c r="H1031" s="530"/>
      <c r="I1031" s="1432"/>
      <c r="J1031" s="530"/>
      <c r="K1031" s="530"/>
      <c r="L1031" s="530"/>
      <c r="M1031" s="533"/>
      <c r="N1031" s="530"/>
      <c r="O1031" s="530"/>
      <c r="P1031" s="530"/>
      <c r="Q1031" s="530"/>
      <c r="R1031" s="1432"/>
      <c r="S1031" s="530"/>
      <c r="T1031" s="533"/>
      <c r="U1031" s="533"/>
      <c r="V1031" s="1487"/>
      <c r="W1031" s="1487"/>
      <c r="X1031" s="1487"/>
      <c r="Y1031" s="533"/>
      <c r="Z1031" s="533"/>
      <c r="AA1031" s="530"/>
      <c r="AB1031" s="530"/>
      <c r="AC1031" s="530"/>
      <c r="AD1031" s="530"/>
      <c r="AE1031" s="530"/>
    </row>
    <row r="1032" spans="3:31">
      <c r="C1032" s="530"/>
      <c r="D1032" s="530"/>
      <c r="E1032" s="530"/>
      <c r="F1032" s="530"/>
      <c r="G1032" s="1518"/>
      <c r="H1032" s="530"/>
      <c r="I1032" s="1432"/>
      <c r="J1032" s="530"/>
      <c r="K1032" s="530"/>
      <c r="L1032" s="530"/>
      <c r="M1032" s="533"/>
      <c r="N1032" s="530"/>
      <c r="O1032" s="530"/>
      <c r="P1032" s="530"/>
      <c r="Q1032" s="530"/>
      <c r="R1032" s="1432"/>
      <c r="S1032" s="530"/>
      <c r="T1032" s="533"/>
      <c r="U1032" s="533"/>
      <c r="V1032" s="1487"/>
      <c r="W1032" s="1487"/>
      <c r="X1032" s="1487"/>
      <c r="Y1032" s="533"/>
      <c r="Z1032" s="533"/>
      <c r="AA1032" s="530"/>
      <c r="AB1032" s="530"/>
      <c r="AC1032" s="530"/>
      <c r="AD1032" s="530"/>
      <c r="AE1032" s="530"/>
    </row>
    <row r="1033" spans="3:31">
      <c r="C1033" s="530"/>
      <c r="D1033" s="530"/>
      <c r="E1033" s="530"/>
      <c r="F1033" s="530"/>
      <c r="G1033" s="1518"/>
      <c r="H1033" s="530"/>
      <c r="I1033" s="1432"/>
      <c r="J1033" s="530"/>
      <c r="K1033" s="530"/>
      <c r="L1033" s="530"/>
      <c r="M1033" s="533"/>
      <c r="N1033" s="530"/>
      <c r="O1033" s="530"/>
      <c r="P1033" s="530"/>
      <c r="Q1033" s="530"/>
      <c r="R1033" s="1432"/>
      <c r="S1033" s="530"/>
      <c r="T1033" s="533"/>
      <c r="U1033" s="533"/>
      <c r="V1033" s="1487"/>
      <c r="W1033" s="1487"/>
      <c r="X1033" s="1487"/>
      <c r="Y1033" s="533"/>
      <c r="Z1033" s="533"/>
      <c r="AA1033" s="530"/>
      <c r="AB1033" s="530"/>
      <c r="AC1033" s="530"/>
      <c r="AD1033" s="530"/>
      <c r="AE1033" s="530"/>
    </row>
    <row r="1034" spans="3:31">
      <c r="C1034" s="530"/>
      <c r="D1034" s="530"/>
      <c r="E1034" s="530"/>
      <c r="F1034" s="530"/>
      <c r="G1034" s="1518"/>
      <c r="H1034" s="530"/>
      <c r="I1034" s="1432"/>
      <c r="J1034" s="530"/>
      <c r="K1034" s="530"/>
      <c r="L1034" s="530"/>
      <c r="M1034" s="533"/>
      <c r="N1034" s="530"/>
      <c r="O1034" s="530"/>
      <c r="P1034" s="530"/>
      <c r="Q1034" s="530"/>
      <c r="R1034" s="1432"/>
      <c r="S1034" s="530"/>
      <c r="T1034" s="533"/>
      <c r="U1034" s="533"/>
      <c r="V1034" s="1487"/>
      <c r="W1034" s="1487"/>
      <c r="X1034" s="1487"/>
      <c r="Y1034" s="533"/>
      <c r="Z1034" s="533"/>
      <c r="AA1034" s="530"/>
      <c r="AB1034" s="530"/>
      <c r="AC1034" s="530"/>
      <c r="AD1034" s="530"/>
      <c r="AE1034" s="530"/>
    </row>
    <row r="1035" spans="3:31">
      <c r="C1035" s="530"/>
      <c r="D1035" s="530"/>
      <c r="E1035" s="530"/>
      <c r="F1035" s="530"/>
      <c r="G1035" s="1518"/>
      <c r="H1035" s="530"/>
      <c r="I1035" s="1432"/>
      <c r="J1035" s="530"/>
      <c r="K1035" s="530"/>
      <c r="L1035" s="530"/>
      <c r="M1035" s="533"/>
      <c r="N1035" s="530"/>
      <c r="O1035" s="530"/>
      <c r="P1035" s="530"/>
      <c r="Q1035" s="530"/>
      <c r="R1035" s="1432"/>
      <c r="S1035" s="530"/>
      <c r="T1035" s="533"/>
      <c r="U1035" s="533"/>
      <c r="V1035" s="1487"/>
      <c r="W1035" s="1487"/>
      <c r="X1035" s="1487"/>
      <c r="Y1035" s="533"/>
      <c r="Z1035" s="533"/>
      <c r="AA1035" s="530"/>
      <c r="AB1035" s="530"/>
      <c r="AC1035" s="530"/>
      <c r="AD1035" s="530"/>
      <c r="AE1035" s="530"/>
    </row>
    <row r="1036" spans="3:31">
      <c r="C1036" s="530"/>
      <c r="D1036" s="530"/>
      <c r="E1036" s="530"/>
      <c r="F1036" s="530"/>
      <c r="G1036" s="1518"/>
      <c r="H1036" s="530"/>
      <c r="I1036" s="1432"/>
      <c r="J1036" s="530"/>
      <c r="K1036" s="530"/>
      <c r="L1036" s="530"/>
      <c r="M1036" s="533"/>
      <c r="N1036" s="530"/>
      <c r="O1036" s="530"/>
      <c r="P1036" s="530"/>
      <c r="Q1036" s="530"/>
      <c r="R1036" s="1432"/>
      <c r="S1036" s="530"/>
      <c r="T1036" s="533"/>
      <c r="U1036" s="533"/>
      <c r="V1036" s="1487"/>
      <c r="W1036" s="1487"/>
      <c r="X1036" s="1487"/>
      <c r="Y1036" s="533"/>
      <c r="Z1036" s="533"/>
      <c r="AA1036" s="530"/>
      <c r="AB1036" s="530"/>
      <c r="AC1036" s="530"/>
      <c r="AD1036" s="530"/>
      <c r="AE1036" s="530"/>
    </row>
    <row r="1037" spans="3:31">
      <c r="C1037" s="530"/>
      <c r="D1037" s="530"/>
      <c r="E1037" s="530"/>
      <c r="F1037" s="530"/>
      <c r="G1037" s="1518"/>
      <c r="H1037" s="530"/>
      <c r="I1037" s="1432"/>
      <c r="J1037" s="530"/>
      <c r="K1037" s="530"/>
      <c r="L1037" s="530"/>
      <c r="M1037" s="533"/>
      <c r="N1037" s="530"/>
      <c r="O1037" s="530"/>
      <c r="P1037" s="530"/>
      <c r="Q1037" s="530"/>
      <c r="R1037" s="1432"/>
      <c r="S1037" s="530"/>
      <c r="T1037" s="533"/>
      <c r="U1037" s="533"/>
      <c r="V1037" s="1487"/>
      <c r="W1037" s="1487"/>
      <c r="X1037" s="1487"/>
      <c r="Y1037" s="533"/>
      <c r="Z1037" s="533"/>
      <c r="AA1037" s="530"/>
      <c r="AB1037" s="530"/>
      <c r="AC1037" s="530"/>
      <c r="AD1037" s="530"/>
      <c r="AE1037" s="530"/>
    </row>
    <row r="1038" spans="3:31">
      <c r="C1038" s="530"/>
      <c r="D1038" s="530"/>
      <c r="E1038" s="530"/>
      <c r="F1038" s="530"/>
      <c r="G1038" s="1518"/>
      <c r="H1038" s="530"/>
      <c r="I1038" s="1432"/>
      <c r="J1038" s="530"/>
      <c r="K1038" s="530"/>
      <c r="L1038" s="530"/>
      <c r="M1038" s="533"/>
      <c r="N1038" s="530"/>
      <c r="O1038" s="530"/>
      <c r="P1038" s="530"/>
      <c r="Q1038" s="530"/>
      <c r="R1038" s="1432"/>
      <c r="S1038" s="530"/>
      <c r="T1038" s="533"/>
      <c r="U1038" s="533"/>
      <c r="V1038" s="1487"/>
      <c r="W1038" s="1487"/>
      <c r="X1038" s="1487"/>
      <c r="Y1038" s="533"/>
      <c r="Z1038" s="533"/>
      <c r="AA1038" s="530"/>
      <c r="AB1038" s="530"/>
      <c r="AC1038" s="530"/>
      <c r="AD1038" s="530"/>
      <c r="AE1038" s="530"/>
    </row>
    <row r="1039" spans="3:31">
      <c r="C1039" s="530"/>
      <c r="D1039" s="530"/>
      <c r="E1039" s="530"/>
      <c r="F1039" s="530"/>
      <c r="G1039" s="1518"/>
      <c r="H1039" s="530"/>
      <c r="I1039" s="1432"/>
      <c r="J1039" s="530"/>
      <c r="K1039" s="530"/>
      <c r="L1039" s="530"/>
      <c r="M1039" s="533"/>
      <c r="N1039" s="530"/>
      <c r="O1039" s="530"/>
      <c r="P1039" s="530"/>
      <c r="Q1039" s="530"/>
      <c r="R1039" s="1432"/>
      <c r="S1039" s="530"/>
      <c r="T1039" s="533"/>
      <c r="U1039" s="533"/>
      <c r="V1039" s="1487"/>
      <c r="W1039" s="1487"/>
      <c r="X1039" s="1487"/>
      <c r="Y1039" s="533"/>
      <c r="Z1039" s="533"/>
      <c r="AA1039" s="530"/>
      <c r="AB1039" s="530"/>
      <c r="AC1039" s="530"/>
      <c r="AD1039" s="530"/>
      <c r="AE1039" s="530"/>
    </row>
    <row r="1040" spans="3:31">
      <c r="C1040" s="530"/>
      <c r="D1040" s="530"/>
      <c r="E1040" s="530"/>
      <c r="F1040" s="530"/>
      <c r="G1040" s="1518"/>
      <c r="H1040" s="530"/>
      <c r="I1040" s="1432"/>
      <c r="J1040" s="530"/>
      <c r="K1040" s="530"/>
      <c r="L1040" s="530"/>
      <c r="M1040" s="533"/>
      <c r="N1040" s="530"/>
      <c r="O1040" s="530"/>
      <c r="P1040" s="530"/>
      <c r="Q1040" s="530"/>
      <c r="R1040" s="1432"/>
      <c r="S1040" s="530"/>
      <c r="T1040" s="533"/>
      <c r="U1040" s="533"/>
      <c r="V1040" s="1487"/>
      <c r="W1040" s="1487"/>
      <c r="X1040" s="1487"/>
      <c r="Y1040" s="533"/>
      <c r="Z1040" s="533"/>
      <c r="AA1040" s="530"/>
      <c r="AB1040" s="530"/>
      <c r="AC1040" s="530"/>
      <c r="AD1040" s="530"/>
      <c r="AE1040" s="530"/>
    </row>
    <row r="1041" spans="3:31">
      <c r="C1041" s="530"/>
      <c r="D1041" s="530"/>
      <c r="E1041" s="530"/>
      <c r="F1041" s="530"/>
      <c r="G1041" s="1518"/>
      <c r="H1041" s="530"/>
      <c r="I1041" s="1432"/>
      <c r="J1041" s="530"/>
      <c r="K1041" s="530"/>
      <c r="L1041" s="530"/>
      <c r="M1041" s="533"/>
      <c r="N1041" s="530"/>
      <c r="O1041" s="530"/>
      <c r="P1041" s="530"/>
      <c r="Q1041" s="530"/>
      <c r="R1041" s="1432"/>
      <c r="S1041" s="530"/>
      <c r="T1041" s="533"/>
      <c r="U1041" s="533"/>
      <c r="V1041" s="1487"/>
      <c r="W1041" s="1487"/>
      <c r="X1041" s="1487"/>
      <c r="Y1041" s="533"/>
      <c r="Z1041" s="533"/>
      <c r="AA1041" s="530"/>
      <c r="AB1041" s="530"/>
      <c r="AC1041" s="530"/>
      <c r="AD1041" s="530"/>
      <c r="AE1041" s="530"/>
    </row>
    <row r="1042" spans="3:31">
      <c r="C1042" s="530"/>
      <c r="D1042" s="530"/>
      <c r="E1042" s="530"/>
      <c r="F1042" s="530"/>
      <c r="G1042" s="1518"/>
      <c r="H1042" s="530"/>
      <c r="I1042" s="1432"/>
      <c r="J1042" s="530"/>
      <c r="K1042" s="530"/>
      <c r="L1042" s="530"/>
      <c r="M1042" s="533"/>
      <c r="N1042" s="530"/>
      <c r="O1042" s="530"/>
      <c r="P1042" s="530"/>
      <c r="Q1042" s="530"/>
      <c r="R1042" s="1432"/>
      <c r="S1042" s="530"/>
      <c r="T1042" s="533"/>
      <c r="U1042" s="533"/>
      <c r="V1042" s="1487"/>
      <c r="W1042" s="1487"/>
      <c r="X1042" s="1487"/>
      <c r="Y1042" s="533"/>
      <c r="Z1042" s="533"/>
      <c r="AA1042" s="530"/>
      <c r="AB1042" s="530"/>
      <c r="AC1042" s="530"/>
      <c r="AD1042" s="530"/>
      <c r="AE1042" s="530"/>
    </row>
    <row r="1043" spans="3:31">
      <c r="C1043" s="530"/>
      <c r="D1043" s="530"/>
      <c r="E1043" s="530"/>
      <c r="F1043" s="530"/>
      <c r="G1043" s="1518"/>
      <c r="H1043" s="530"/>
      <c r="I1043" s="1432"/>
      <c r="J1043" s="530"/>
      <c r="K1043" s="530"/>
      <c r="L1043" s="530"/>
      <c r="M1043" s="533"/>
      <c r="N1043" s="530"/>
      <c r="O1043" s="530"/>
      <c r="P1043" s="530"/>
      <c r="Q1043" s="530"/>
      <c r="R1043" s="1432"/>
      <c r="S1043" s="530"/>
      <c r="T1043" s="533"/>
      <c r="U1043" s="533"/>
      <c r="V1043" s="1487"/>
      <c r="W1043" s="1487"/>
      <c r="X1043" s="1487"/>
      <c r="Y1043" s="533"/>
      <c r="Z1043" s="533"/>
      <c r="AA1043" s="530"/>
      <c r="AB1043" s="530"/>
      <c r="AC1043" s="530"/>
      <c r="AD1043" s="530"/>
      <c r="AE1043" s="530"/>
    </row>
    <row r="1044" spans="3:31">
      <c r="C1044" s="530"/>
      <c r="D1044" s="530"/>
      <c r="E1044" s="530"/>
      <c r="F1044" s="530"/>
      <c r="G1044" s="1518"/>
      <c r="H1044" s="530"/>
      <c r="I1044" s="1432"/>
      <c r="J1044" s="530"/>
      <c r="K1044" s="530"/>
      <c r="L1044" s="530"/>
      <c r="M1044" s="533"/>
      <c r="N1044" s="530"/>
      <c r="O1044" s="530"/>
      <c r="P1044" s="530"/>
      <c r="Q1044" s="530"/>
      <c r="R1044" s="1432"/>
      <c r="S1044" s="530"/>
      <c r="T1044" s="533"/>
      <c r="U1044" s="533"/>
      <c r="V1044" s="1487"/>
      <c r="W1044" s="1487"/>
      <c r="X1044" s="1487"/>
      <c r="Y1044" s="533"/>
      <c r="Z1044" s="533"/>
      <c r="AA1044" s="530"/>
      <c r="AB1044" s="530"/>
      <c r="AC1044" s="530"/>
      <c r="AD1044" s="530"/>
      <c r="AE1044" s="530"/>
    </row>
    <row r="1045" spans="3:31">
      <c r="C1045" s="530"/>
      <c r="D1045" s="530"/>
      <c r="E1045" s="530"/>
      <c r="F1045" s="530"/>
      <c r="G1045" s="1518"/>
      <c r="H1045" s="530"/>
      <c r="I1045" s="1432"/>
      <c r="J1045" s="530"/>
      <c r="K1045" s="530"/>
      <c r="L1045" s="530"/>
      <c r="M1045" s="533"/>
      <c r="N1045" s="530"/>
      <c r="O1045" s="530"/>
      <c r="P1045" s="530"/>
      <c r="Q1045" s="530"/>
      <c r="R1045" s="1432"/>
      <c r="S1045" s="530"/>
      <c r="T1045" s="533"/>
      <c r="U1045" s="533"/>
      <c r="V1045" s="1487"/>
      <c r="W1045" s="1487"/>
      <c r="X1045" s="1487"/>
      <c r="Y1045" s="533"/>
      <c r="Z1045" s="533"/>
      <c r="AA1045" s="530"/>
      <c r="AB1045" s="530"/>
      <c r="AC1045" s="530"/>
      <c r="AD1045" s="530"/>
      <c r="AE1045" s="530"/>
    </row>
    <row r="1046" spans="3:31">
      <c r="C1046" s="530"/>
      <c r="D1046" s="530"/>
      <c r="E1046" s="530"/>
      <c r="F1046" s="530"/>
      <c r="G1046" s="1518"/>
      <c r="H1046" s="530"/>
      <c r="I1046" s="1432"/>
      <c r="J1046" s="530"/>
      <c r="K1046" s="530"/>
      <c r="L1046" s="530"/>
      <c r="M1046" s="533"/>
      <c r="N1046" s="530"/>
      <c r="O1046" s="530"/>
      <c r="P1046" s="530"/>
      <c r="Q1046" s="530"/>
      <c r="R1046" s="1432"/>
      <c r="S1046" s="530"/>
      <c r="T1046" s="533"/>
      <c r="U1046" s="533"/>
      <c r="V1046" s="1487"/>
      <c r="W1046" s="1487"/>
      <c r="X1046" s="1487"/>
      <c r="Y1046" s="533"/>
      <c r="Z1046" s="533"/>
      <c r="AA1046" s="530"/>
      <c r="AB1046" s="530"/>
      <c r="AC1046" s="530"/>
      <c r="AD1046" s="530"/>
      <c r="AE1046" s="530"/>
    </row>
    <row r="1047" spans="3:31">
      <c r="C1047" s="530"/>
      <c r="D1047" s="530"/>
      <c r="E1047" s="530"/>
      <c r="F1047" s="530"/>
      <c r="G1047" s="1518"/>
      <c r="H1047" s="530"/>
      <c r="I1047" s="1432"/>
      <c r="J1047" s="530"/>
      <c r="K1047" s="530"/>
      <c r="L1047" s="530"/>
      <c r="M1047" s="533"/>
      <c r="N1047" s="530"/>
      <c r="O1047" s="530"/>
      <c r="P1047" s="530"/>
      <c r="Q1047" s="530"/>
      <c r="R1047" s="1432"/>
      <c r="S1047" s="530"/>
      <c r="T1047" s="533"/>
      <c r="U1047" s="533"/>
      <c r="V1047" s="1487"/>
      <c r="W1047" s="1487"/>
      <c r="X1047" s="1487"/>
      <c r="Y1047" s="533"/>
      <c r="Z1047" s="533"/>
      <c r="AA1047" s="530"/>
      <c r="AB1047" s="530"/>
      <c r="AC1047" s="530"/>
      <c r="AD1047" s="530"/>
      <c r="AE1047" s="530"/>
    </row>
    <row r="1048" spans="3:31">
      <c r="C1048" s="530"/>
      <c r="D1048" s="530"/>
      <c r="E1048" s="530"/>
      <c r="F1048" s="530"/>
      <c r="G1048" s="1518"/>
      <c r="H1048" s="530"/>
      <c r="I1048" s="1432"/>
      <c r="J1048" s="530"/>
      <c r="K1048" s="530"/>
      <c r="L1048" s="530"/>
      <c r="M1048" s="533"/>
      <c r="N1048" s="530"/>
      <c r="O1048" s="530"/>
      <c r="P1048" s="530"/>
      <c r="Q1048" s="530"/>
      <c r="R1048" s="1432"/>
      <c r="S1048" s="530"/>
      <c r="T1048" s="533"/>
      <c r="U1048" s="533"/>
      <c r="V1048" s="1487"/>
      <c r="W1048" s="1487"/>
      <c r="X1048" s="1487"/>
      <c r="Y1048" s="533"/>
      <c r="Z1048" s="533"/>
      <c r="AA1048" s="530"/>
      <c r="AB1048" s="530"/>
      <c r="AC1048" s="530"/>
      <c r="AD1048" s="530"/>
      <c r="AE1048" s="530"/>
    </row>
    <row r="1049" spans="3:31">
      <c r="C1049" s="530"/>
      <c r="D1049" s="530"/>
      <c r="E1049" s="530"/>
      <c r="F1049" s="530"/>
      <c r="G1049" s="1518"/>
      <c r="H1049" s="530"/>
      <c r="I1049" s="1432"/>
      <c r="J1049" s="530"/>
      <c r="K1049" s="530"/>
      <c r="L1049" s="530"/>
      <c r="M1049" s="533"/>
      <c r="N1049" s="530"/>
      <c r="O1049" s="530"/>
      <c r="P1049" s="530"/>
      <c r="Q1049" s="530"/>
      <c r="R1049" s="1432"/>
      <c r="S1049" s="530"/>
      <c r="T1049" s="533"/>
      <c r="U1049" s="533"/>
      <c r="V1049" s="1487"/>
      <c r="W1049" s="1487"/>
      <c r="X1049" s="1487"/>
      <c r="Y1049" s="533"/>
      <c r="Z1049" s="533"/>
      <c r="AA1049" s="530"/>
      <c r="AB1049" s="530"/>
      <c r="AC1049" s="530"/>
      <c r="AD1049" s="530"/>
      <c r="AE1049" s="530"/>
    </row>
    <row r="1050" spans="3:31">
      <c r="C1050" s="530"/>
      <c r="D1050" s="530"/>
      <c r="E1050" s="530"/>
      <c r="F1050" s="530"/>
      <c r="G1050" s="1518"/>
      <c r="H1050" s="530"/>
      <c r="I1050" s="1432"/>
      <c r="J1050" s="530"/>
      <c r="K1050" s="530"/>
      <c r="L1050" s="530"/>
      <c r="M1050" s="533"/>
      <c r="N1050" s="530"/>
      <c r="O1050" s="530"/>
      <c r="P1050" s="530"/>
      <c r="Q1050" s="530"/>
      <c r="R1050" s="1432"/>
      <c r="S1050" s="530"/>
      <c r="T1050" s="533"/>
      <c r="U1050" s="533"/>
      <c r="V1050" s="1487"/>
      <c r="W1050" s="1487"/>
      <c r="X1050" s="1487"/>
      <c r="Y1050" s="533"/>
      <c r="Z1050" s="533"/>
      <c r="AA1050" s="530"/>
      <c r="AB1050" s="530"/>
      <c r="AC1050" s="530"/>
      <c r="AD1050" s="530"/>
      <c r="AE1050" s="530"/>
    </row>
    <row r="1051" spans="3:31">
      <c r="C1051" s="530"/>
      <c r="D1051" s="530"/>
      <c r="E1051" s="530"/>
      <c r="F1051" s="530"/>
      <c r="G1051" s="1518"/>
      <c r="H1051" s="530"/>
      <c r="I1051" s="1432"/>
      <c r="J1051" s="530"/>
      <c r="K1051" s="530"/>
      <c r="L1051" s="530"/>
      <c r="M1051" s="533"/>
      <c r="N1051" s="530"/>
      <c r="O1051" s="530"/>
      <c r="P1051" s="530"/>
      <c r="Q1051" s="530"/>
      <c r="R1051" s="1432"/>
      <c r="S1051" s="530"/>
      <c r="T1051" s="533"/>
      <c r="U1051" s="533"/>
      <c r="V1051" s="1487"/>
      <c r="W1051" s="1487"/>
      <c r="X1051" s="1487"/>
      <c r="Y1051" s="533"/>
      <c r="Z1051" s="533"/>
      <c r="AA1051" s="530"/>
      <c r="AB1051" s="530"/>
      <c r="AC1051" s="530"/>
      <c r="AD1051" s="530"/>
      <c r="AE1051" s="530"/>
    </row>
    <row r="1052" spans="3:31">
      <c r="C1052" s="530"/>
      <c r="D1052" s="530"/>
      <c r="E1052" s="530"/>
      <c r="F1052" s="530"/>
      <c r="G1052" s="1518"/>
      <c r="H1052" s="530"/>
      <c r="I1052" s="1432"/>
      <c r="J1052" s="530"/>
      <c r="K1052" s="530"/>
      <c r="L1052" s="530"/>
      <c r="M1052" s="533"/>
      <c r="N1052" s="530"/>
      <c r="O1052" s="530"/>
      <c r="P1052" s="530"/>
      <c r="Q1052" s="530"/>
      <c r="R1052" s="1432"/>
      <c r="S1052" s="530"/>
      <c r="T1052" s="533"/>
      <c r="U1052" s="533"/>
      <c r="V1052" s="1487"/>
      <c r="W1052" s="1487"/>
      <c r="X1052" s="1487"/>
      <c r="Y1052" s="533"/>
      <c r="Z1052" s="533"/>
      <c r="AA1052" s="530"/>
      <c r="AB1052" s="530"/>
      <c r="AC1052" s="530"/>
      <c r="AD1052" s="530"/>
      <c r="AE1052" s="530"/>
    </row>
    <row r="1053" spans="3:31">
      <c r="C1053" s="530"/>
      <c r="D1053" s="530"/>
      <c r="E1053" s="530"/>
      <c r="F1053" s="530"/>
      <c r="G1053" s="1518"/>
      <c r="H1053" s="530"/>
      <c r="I1053" s="1432"/>
      <c r="J1053" s="530"/>
      <c r="K1053" s="530"/>
      <c r="L1053" s="530"/>
      <c r="M1053" s="533"/>
      <c r="N1053" s="530"/>
      <c r="O1053" s="530"/>
      <c r="P1053" s="530"/>
      <c r="Q1053" s="530"/>
      <c r="R1053" s="1432"/>
      <c r="S1053" s="530"/>
      <c r="T1053" s="533"/>
      <c r="U1053" s="533"/>
      <c r="V1053" s="1487"/>
      <c r="W1053" s="1487"/>
      <c r="X1053" s="1487"/>
      <c r="Y1053" s="533"/>
      <c r="Z1053" s="533"/>
      <c r="AA1053" s="530"/>
      <c r="AB1053" s="530"/>
      <c r="AC1053" s="530"/>
      <c r="AD1053" s="530"/>
      <c r="AE1053" s="530"/>
    </row>
    <row r="1054" spans="3:31">
      <c r="C1054" s="530"/>
      <c r="D1054" s="530"/>
      <c r="E1054" s="530"/>
      <c r="F1054" s="530"/>
      <c r="G1054" s="1518"/>
      <c r="H1054" s="530"/>
      <c r="I1054" s="1432"/>
      <c r="J1054" s="530"/>
      <c r="K1054" s="530"/>
      <c r="L1054" s="530"/>
      <c r="M1054" s="533"/>
      <c r="N1054" s="530"/>
      <c r="O1054" s="530"/>
      <c r="P1054" s="530"/>
      <c r="Q1054" s="530"/>
      <c r="R1054" s="1432"/>
      <c r="S1054" s="530"/>
      <c r="T1054" s="533"/>
      <c r="U1054" s="533"/>
      <c r="V1054" s="1487"/>
      <c r="W1054" s="1487"/>
      <c r="X1054" s="1487"/>
      <c r="Y1054" s="533"/>
      <c r="Z1054" s="533"/>
      <c r="AA1054" s="530"/>
      <c r="AB1054" s="530"/>
      <c r="AC1054" s="530"/>
      <c r="AD1054" s="530"/>
      <c r="AE1054" s="530"/>
    </row>
    <row r="1055" spans="3:31">
      <c r="C1055" s="530"/>
      <c r="D1055" s="530"/>
      <c r="E1055" s="530"/>
      <c r="F1055" s="530"/>
      <c r="G1055" s="1518"/>
      <c r="H1055" s="530"/>
      <c r="I1055" s="1432"/>
      <c r="J1055" s="530"/>
      <c r="K1055" s="530"/>
      <c r="L1055" s="530"/>
      <c r="M1055" s="533"/>
      <c r="N1055" s="530"/>
      <c r="O1055" s="530"/>
      <c r="P1055" s="530"/>
      <c r="Q1055" s="530"/>
      <c r="R1055" s="1432"/>
      <c r="S1055" s="530"/>
      <c r="T1055" s="533"/>
      <c r="U1055" s="533"/>
      <c r="V1055" s="1487"/>
      <c r="W1055" s="1487"/>
      <c r="X1055" s="1487"/>
      <c r="Y1055" s="533"/>
      <c r="Z1055" s="533"/>
      <c r="AA1055" s="530"/>
      <c r="AB1055" s="530"/>
      <c r="AC1055" s="530"/>
      <c r="AD1055" s="530"/>
      <c r="AE1055" s="530"/>
    </row>
    <row r="1056" spans="3:31">
      <c r="C1056" s="530"/>
      <c r="D1056" s="530"/>
      <c r="E1056" s="530"/>
      <c r="F1056" s="530"/>
      <c r="G1056" s="1518"/>
      <c r="H1056" s="530"/>
      <c r="I1056" s="1432"/>
      <c r="J1056" s="530"/>
      <c r="K1056" s="530"/>
      <c r="L1056" s="530"/>
      <c r="M1056" s="533"/>
      <c r="N1056" s="530"/>
      <c r="O1056" s="530"/>
      <c r="P1056" s="530"/>
      <c r="Q1056" s="530"/>
      <c r="R1056" s="1432"/>
      <c r="S1056" s="530"/>
      <c r="T1056" s="533"/>
      <c r="U1056" s="533"/>
      <c r="V1056" s="1487"/>
      <c r="W1056" s="1487"/>
      <c r="X1056" s="1487"/>
      <c r="Y1056" s="533"/>
      <c r="Z1056" s="533"/>
      <c r="AA1056" s="530"/>
      <c r="AB1056" s="530"/>
      <c r="AC1056" s="530"/>
      <c r="AD1056" s="530"/>
      <c r="AE1056" s="530"/>
    </row>
    <row r="1057" spans="3:31">
      <c r="C1057" s="530"/>
      <c r="D1057" s="530"/>
      <c r="E1057" s="530"/>
      <c r="F1057" s="530"/>
      <c r="G1057" s="1518"/>
      <c r="H1057" s="530"/>
      <c r="I1057" s="1432"/>
      <c r="J1057" s="530"/>
      <c r="K1057" s="530"/>
      <c r="L1057" s="530"/>
      <c r="M1057" s="533"/>
      <c r="N1057" s="530"/>
      <c r="O1057" s="530"/>
      <c r="P1057" s="530"/>
      <c r="Q1057" s="530"/>
      <c r="R1057" s="1432"/>
      <c r="S1057" s="530"/>
      <c r="T1057" s="533"/>
      <c r="U1057" s="533"/>
      <c r="V1057" s="1487"/>
      <c r="W1057" s="1487"/>
      <c r="X1057" s="1487"/>
      <c r="Y1057" s="533"/>
      <c r="Z1057" s="533"/>
      <c r="AA1057" s="530"/>
      <c r="AB1057" s="530"/>
      <c r="AC1057" s="530"/>
      <c r="AD1057" s="530"/>
      <c r="AE1057" s="530"/>
    </row>
    <row r="1058" spans="3:31">
      <c r="C1058" s="530"/>
      <c r="D1058" s="530"/>
      <c r="E1058" s="530"/>
      <c r="F1058" s="530"/>
      <c r="G1058" s="1518"/>
      <c r="H1058" s="530"/>
      <c r="I1058" s="1432"/>
      <c r="J1058" s="530"/>
      <c r="K1058" s="530"/>
      <c r="L1058" s="530"/>
      <c r="M1058" s="533"/>
      <c r="N1058" s="530"/>
      <c r="O1058" s="530"/>
      <c r="P1058" s="530"/>
      <c r="Q1058" s="530"/>
      <c r="R1058" s="1432"/>
      <c r="S1058" s="530"/>
      <c r="T1058" s="533"/>
      <c r="U1058" s="533"/>
      <c r="V1058" s="1487"/>
      <c r="W1058" s="1487"/>
      <c r="X1058" s="1487"/>
      <c r="Y1058" s="533"/>
      <c r="Z1058" s="533"/>
      <c r="AA1058" s="530"/>
      <c r="AB1058" s="530"/>
      <c r="AC1058" s="530"/>
      <c r="AD1058" s="530"/>
      <c r="AE1058" s="530"/>
    </row>
    <row r="1059" spans="3:31">
      <c r="C1059" s="530"/>
      <c r="D1059" s="530"/>
      <c r="E1059" s="530"/>
      <c r="F1059" s="530"/>
      <c r="G1059" s="1518"/>
      <c r="H1059" s="530"/>
      <c r="I1059" s="1432"/>
      <c r="J1059" s="530"/>
      <c r="K1059" s="530"/>
      <c r="L1059" s="530"/>
      <c r="M1059" s="533"/>
      <c r="N1059" s="530"/>
      <c r="O1059" s="530"/>
      <c r="P1059" s="530"/>
      <c r="Q1059" s="530"/>
      <c r="R1059" s="1432"/>
      <c r="S1059" s="530"/>
      <c r="T1059" s="533"/>
      <c r="U1059" s="533"/>
      <c r="V1059" s="1487"/>
      <c r="W1059" s="1487"/>
      <c r="X1059" s="1487"/>
      <c r="Y1059" s="533"/>
      <c r="Z1059" s="533"/>
      <c r="AA1059" s="530"/>
      <c r="AB1059" s="530"/>
      <c r="AC1059" s="530"/>
      <c r="AD1059" s="530"/>
      <c r="AE1059" s="530"/>
    </row>
    <row r="1060" spans="3:31">
      <c r="C1060" s="530"/>
      <c r="D1060" s="530"/>
      <c r="E1060" s="530"/>
      <c r="F1060" s="530"/>
      <c r="G1060" s="1518"/>
      <c r="H1060" s="530"/>
      <c r="I1060" s="1432"/>
      <c r="J1060" s="530"/>
      <c r="K1060" s="530"/>
      <c r="L1060" s="530"/>
      <c r="M1060" s="533"/>
      <c r="N1060" s="530"/>
      <c r="O1060" s="530"/>
      <c r="P1060" s="530"/>
      <c r="Q1060" s="530"/>
      <c r="R1060" s="1432"/>
      <c r="S1060" s="530"/>
      <c r="T1060" s="533"/>
      <c r="U1060" s="533"/>
      <c r="V1060" s="1487"/>
      <c r="W1060" s="1487"/>
      <c r="X1060" s="1487"/>
      <c r="Y1060" s="533"/>
      <c r="Z1060" s="533"/>
      <c r="AA1060" s="530"/>
      <c r="AB1060" s="530"/>
      <c r="AC1060" s="530"/>
      <c r="AD1060" s="530"/>
      <c r="AE1060" s="530"/>
    </row>
    <row r="1061" spans="3:31">
      <c r="C1061" s="530"/>
      <c r="D1061" s="530"/>
      <c r="E1061" s="530"/>
      <c r="F1061" s="530"/>
      <c r="G1061" s="1518"/>
      <c r="H1061" s="530"/>
      <c r="I1061" s="1432"/>
      <c r="J1061" s="530"/>
      <c r="K1061" s="530"/>
      <c r="L1061" s="530"/>
      <c r="M1061" s="533"/>
      <c r="N1061" s="530"/>
      <c r="O1061" s="530"/>
      <c r="P1061" s="530"/>
      <c r="Q1061" s="530"/>
      <c r="R1061" s="1432"/>
      <c r="S1061" s="530"/>
      <c r="T1061" s="533"/>
      <c r="U1061" s="533"/>
      <c r="V1061" s="1487"/>
      <c r="W1061" s="1487"/>
      <c r="X1061" s="1487"/>
      <c r="Y1061" s="533"/>
      <c r="Z1061" s="533"/>
      <c r="AA1061" s="530"/>
      <c r="AB1061" s="530"/>
      <c r="AC1061" s="530"/>
      <c r="AD1061" s="530"/>
      <c r="AE1061" s="530"/>
    </row>
    <row r="1062" spans="3:31">
      <c r="C1062" s="530"/>
      <c r="D1062" s="530"/>
      <c r="E1062" s="530"/>
      <c r="F1062" s="530"/>
      <c r="G1062" s="1518"/>
      <c r="H1062" s="530"/>
      <c r="I1062" s="1432"/>
      <c r="J1062" s="530"/>
      <c r="K1062" s="530"/>
      <c r="L1062" s="530"/>
      <c r="M1062" s="533"/>
      <c r="N1062" s="530"/>
      <c r="O1062" s="530"/>
      <c r="P1062" s="530"/>
      <c r="Q1062" s="530"/>
      <c r="R1062" s="1432"/>
      <c r="S1062" s="530"/>
      <c r="T1062" s="533"/>
      <c r="U1062" s="533"/>
      <c r="V1062" s="1487"/>
      <c r="W1062" s="1487"/>
      <c r="X1062" s="1487"/>
      <c r="Y1062" s="533"/>
      <c r="Z1062" s="533"/>
      <c r="AA1062" s="530"/>
      <c r="AB1062" s="530"/>
      <c r="AC1062" s="530"/>
      <c r="AD1062" s="530"/>
      <c r="AE1062" s="530"/>
    </row>
    <row r="1063" spans="3:31">
      <c r="C1063" s="530"/>
      <c r="D1063" s="530"/>
      <c r="E1063" s="530"/>
      <c r="F1063" s="530"/>
      <c r="G1063" s="1518"/>
      <c r="H1063" s="530"/>
      <c r="I1063" s="1432"/>
      <c r="J1063" s="530"/>
      <c r="K1063" s="530"/>
      <c r="L1063" s="530"/>
      <c r="M1063" s="533"/>
      <c r="N1063" s="530"/>
      <c r="O1063" s="530"/>
      <c r="P1063" s="530"/>
      <c r="Q1063" s="530"/>
      <c r="R1063" s="1432"/>
      <c r="S1063" s="530"/>
      <c r="T1063" s="533"/>
      <c r="U1063" s="533"/>
      <c r="V1063" s="1487"/>
      <c r="W1063" s="1487"/>
      <c r="X1063" s="1487"/>
      <c r="Y1063" s="533"/>
      <c r="Z1063" s="533"/>
      <c r="AA1063" s="530"/>
      <c r="AB1063" s="530"/>
      <c r="AC1063" s="530"/>
      <c r="AD1063" s="530"/>
      <c r="AE1063" s="530"/>
    </row>
    <row r="1064" spans="3:31">
      <c r="C1064" s="530"/>
      <c r="D1064" s="530"/>
      <c r="E1064" s="530"/>
      <c r="F1064" s="530"/>
      <c r="G1064" s="1518"/>
      <c r="H1064" s="530"/>
      <c r="I1064" s="1432"/>
      <c r="J1064" s="530"/>
      <c r="K1064" s="530"/>
      <c r="L1064" s="530"/>
      <c r="M1064" s="533"/>
      <c r="N1064" s="530"/>
      <c r="O1064" s="530"/>
      <c r="P1064" s="530"/>
      <c r="Q1064" s="530"/>
      <c r="R1064" s="1432"/>
      <c r="S1064" s="530"/>
      <c r="T1064" s="533"/>
      <c r="U1064" s="533"/>
      <c r="V1064" s="1487"/>
      <c r="W1064" s="1487"/>
      <c r="X1064" s="1487"/>
      <c r="Y1064" s="533"/>
      <c r="Z1064" s="533"/>
      <c r="AA1064" s="530"/>
      <c r="AB1064" s="530"/>
      <c r="AC1064" s="530"/>
      <c r="AD1064" s="530"/>
      <c r="AE1064" s="530"/>
    </row>
    <row r="1065" spans="3:31">
      <c r="C1065" s="530"/>
      <c r="D1065" s="530"/>
      <c r="E1065" s="530"/>
      <c r="F1065" s="530"/>
      <c r="G1065" s="1518"/>
      <c r="H1065" s="530"/>
      <c r="I1065" s="1432"/>
      <c r="J1065" s="530"/>
      <c r="K1065" s="530"/>
      <c r="L1065" s="530"/>
      <c r="M1065" s="533"/>
      <c r="N1065" s="530"/>
      <c r="O1065" s="530"/>
      <c r="P1065" s="530"/>
      <c r="Q1065" s="530"/>
      <c r="R1065" s="1432"/>
      <c r="S1065" s="530"/>
      <c r="T1065" s="533"/>
      <c r="U1065" s="533"/>
      <c r="V1065" s="1487"/>
      <c r="W1065" s="1487"/>
      <c r="X1065" s="1487"/>
      <c r="Y1065" s="533"/>
      <c r="Z1065" s="533"/>
      <c r="AA1065" s="530"/>
      <c r="AB1065" s="530"/>
      <c r="AC1065" s="530"/>
      <c r="AD1065" s="530"/>
      <c r="AE1065" s="530"/>
    </row>
    <row r="1066" spans="3:31">
      <c r="C1066" s="530"/>
      <c r="D1066" s="530"/>
      <c r="E1066" s="530"/>
      <c r="F1066" s="530"/>
      <c r="G1066" s="1518"/>
      <c r="H1066" s="530"/>
      <c r="I1066" s="1432"/>
      <c r="J1066" s="530"/>
      <c r="K1066" s="530"/>
      <c r="L1066" s="530"/>
      <c r="M1066" s="533"/>
      <c r="N1066" s="530"/>
      <c r="O1066" s="530"/>
      <c r="P1066" s="530"/>
      <c r="Q1066" s="530"/>
      <c r="R1066" s="1432"/>
      <c r="S1066" s="530"/>
      <c r="T1066" s="533"/>
      <c r="U1066" s="533"/>
      <c r="V1066" s="1487"/>
      <c r="W1066" s="1487"/>
      <c r="X1066" s="1487"/>
      <c r="Y1066" s="533"/>
      <c r="Z1066" s="533"/>
      <c r="AA1066" s="530"/>
      <c r="AB1066" s="530"/>
      <c r="AC1066" s="530"/>
      <c r="AD1066" s="530"/>
      <c r="AE1066" s="530"/>
    </row>
    <row r="1067" spans="3:31">
      <c r="C1067" s="530"/>
      <c r="D1067" s="530"/>
      <c r="E1067" s="530"/>
      <c r="F1067" s="530"/>
      <c r="G1067" s="1518"/>
      <c r="H1067" s="530"/>
      <c r="I1067" s="1432"/>
      <c r="J1067" s="530"/>
      <c r="K1067" s="530"/>
      <c r="L1067" s="530"/>
      <c r="M1067" s="533"/>
      <c r="N1067" s="530"/>
      <c r="O1067" s="530"/>
      <c r="P1067" s="530"/>
      <c r="Q1067" s="530"/>
      <c r="R1067" s="1432"/>
      <c r="S1067" s="530"/>
      <c r="T1067" s="533"/>
      <c r="U1067" s="533"/>
      <c r="V1067" s="1487"/>
      <c r="W1067" s="1487"/>
      <c r="X1067" s="1487"/>
      <c r="Y1067" s="533"/>
      <c r="Z1067" s="533"/>
      <c r="AA1067" s="530"/>
      <c r="AB1067" s="530"/>
      <c r="AC1067" s="530"/>
      <c r="AD1067" s="530"/>
      <c r="AE1067" s="530"/>
    </row>
    <row r="1068" spans="3:31">
      <c r="C1068" s="530"/>
      <c r="D1068" s="530"/>
      <c r="E1068" s="530"/>
      <c r="F1068" s="530"/>
      <c r="G1068" s="1518"/>
      <c r="H1068" s="530"/>
      <c r="I1068" s="1432"/>
      <c r="J1068" s="530"/>
      <c r="K1068" s="530"/>
      <c r="L1068" s="530"/>
      <c r="M1068" s="533"/>
      <c r="N1068" s="530"/>
      <c r="O1068" s="530"/>
      <c r="P1068" s="530"/>
      <c r="Q1068" s="530"/>
      <c r="R1068" s="1432"/>
      <c r="S1068" s="530"/>
      <c r="T1068" s="533"/>
      <c r="U1068" s="533"/>
      <c r="V1068" s="1487"/>
      <c r="W1068" s="1487"/>
      <c r="X1068" s="1487"/>
      <c r="Y1068" s="533"/>
      <c r="Z1068" s="533"/>
      <c r="AA1068" s="530"/>
      <c r="AB1068" s="530"/>
      <c r="AC1068" s="530"/>
      <c r="AD1068" s="530"/>
      <c r="AE1068" s="530"/>
    </row>
    <row r="1069" spans="3:31">
      <c r="C1069" s="530"/>
      <c r="D1069" s="530"/>
      <c r="E1069" s="530"/>
      <c r="F1069" s="530"/>
      <c r="G1069" s="1518"/>
      <c r="H1069" s="530"/>
      <c r="I1069" s="1432"/>
      <c r="J1069" s="530"/>
      <c r="K1069" s="530"/>
      <c r="L1069" s="530"/>
      <c r="M1069" s="533"/>
      <c r="N1069" s="530"/>
      <c r="O1069" s="530"/>
      <c r="P1069" s="530"/>
      <c r="Q1069" s="530"/>
      <c r="R1069" s="1432"/>
      <c r="S1069" s="530"/>
      <c r="T1069" s="533"/>
      <c r="U1069" s="533"/>
      <c r="V1069" s="1487"/>
      <c r="W1069" s="1487"/>
      <c r="X1069" s="1487"/>
      <c r="Y1069" s="533"/>
      <c r="Z1069" s="533"/>
      <c r="AA1069" s="530"/>
      <c r="AB1069" s="530"/>
      <c r="AC1069" s="530"/>
      <c r="AD1069" s="530"/>
      <c r="AE1069" s="530"/>
    </row>
    <row r="1070" spans="3:31">
      <c r="C1070" s="530"/>
      <c r="D1070" s="530"/>
      <c r="E1070" s="530"/>
      <c r="F1070" s="530"/>
      <c r="G1070" s="1518"/>
      <c r="H1070" s="530"/>
      <c r="I1070" s="1432"/>
      <c r="J1070" s="530"/>
      <c r="K1070" s="530"/>
      <c r="L1070" s="530"/>
      <c r="M1070" s="533"/>
      <c r="N1070" s="530"/>
      <c r="O1070" s="530"/>
      <c r="P1070" s="530"/>
      <c r="Q1070" s="530"/>
      <c r="R1070" s="1432"/>
      <c r="S1070" s="530"/>
      <c r="T1070" s="533"/>
      <c r="U1070" s="533"/>
      <c r="V1070" s="1487"/>
      <c r="W1070" s="1487"/>
      <c r="X1070" s="1487"/>
      <c r="Y1070" s="533"/>
      <c r="Z1070" s="533"/>
      <c r="AA1070" s="530"/>
      <c r="AB1070" s="530"/>
      <c r="AC1070" s="530"/>
      <c r="AD1070" s="530"/>
      <c r="AE1070" s="530"/>
    </row>
    <row r="1071" spans="3:31">
      <c r="C1071" s="530"/>
      <c r="D1071" s="530"/>
      <c r="E1071" s="530"/>
      <c r="F1071" s="530"/>
      <c r="G1071" s="1518"/>
      <c r="H1071" s="530"/>
      <c r="I1071" s="1432"/>
      <c r="J1071" s="530"/>
      <c r="K1071" s="530"/>
      <c r="L1071" s="530"/>
      <c r="M1071" s="533"/>
      <c r="N1071" s="530"/>
      <c r="O1071" s="530"/>
      <c r="P1071" s="530"/>
      <c r="Q1071" s="530"/>
      <c r="R1071" s="1432"/>
      <c r="S1071" s="530"/>
      <c r="T1071" s="533"/>
      <c r="U1071" s="533"/>
      <c r="V1071" s="1487"/>
      <c r="W1071" s="1487"/>
      <c r="X1071" s="1487"/>
      <c r="Y1071" s="533"/>
      <c r="Z1071" s="533"/>
      <c r="AA1071" s="530"/>
      <c r="AB1071" s="530"/>
      <c r="AC1071" s="530"/>
      <c r="AD1071" s="530"/>
      <c r="AE1071" s="530"/>
    </row>
    <row r="1072" spans="3:31">
      <c r="C1072" s="530"/>
      <c r="D1072" s="530"/>
      <c r="E1072" s="530"/>
      <c r="F1072" s="530"/>
      <c r="G1072" s="1518"/>
      <c r="H1072" s="530"/>
      <c r="I1072" s="1432"/>
      <c r="J1072" s="530"/>
      <c r="K1072" s="530"/>
      <c r="L1072" s="530"/>
      <c r="M1072" s="533"/>
      <c r="N1072" s="530"/>
      <c r="O1072" s="530"/>
      <c r="P1072" s="530"/>
      <c r="Q1072" s="530"/>
      <c r="R1072" s="1432"/>
      <c r="S1072" s="530"/>
      <c r="T1072" s="533"/>
      <c r="U1072" s="533"/>
      <c r="V1072" s="1487"/>
      <c r="W1072" s="1487"/>
      <c r="X1072" s="1487"/>
      <c r="Y1072" s="533"/>
      <c r="Z1072" s="533"/>
      <c r="AA1072" s="530"/>
      <c r="AB1072" s="530"/>
      <c r="AC1072" s="530"/>
      <c r="AD1072" s="530"/>
      <c r="AE1072" s="530"/>
    </row>
    <row r="1073" spans="3:31">
      <c r="C1073" s="530"/>
      <c r="D1073" s="530"/>
      <c r="E1073" s="530"/>
      <c r="F1073" s="530"/>
      <c r="G1073" s="1518"/>
      <c r="H1073" s="530"/>
      <c r="I1073" s="1432"/>
      <c r="J1073" s="530"/>
      <c r="K1073" s="530"/>
      <c r="L1073" s="530"/>
      <c r="M1073" s="533"/>
      <c r="N1073" s="530"/>
      <c r="O1073" s="530"/>
      <c r="P1073" s="530"/>
      <c r="Q1073" s="530"/>
      <c r="R1073" s="1432"/>
      <c r="S1073" s="530"/>
      <c r="T1073" s="533"/>
      <c r="U1073" s="533"/>
      <c r="V1073" s="1487"/>
      <c r="W1073" s="1487"/>
      <c r="X1073" s="1487"/>
      <c r="Y1073" s="533"/>
      <c r="Z1073" s="533"/>
      <c r="AA1073" s="530"/>
      <c r="AB1073" s="530"/>
      <c r="AC1073" s="530"/>
      <c r="AD1073" s="530"/>
      <c r="AE1073" s="530"/>
    </row>
    <row r="1074" spans="3:31">
      <c r="C1074" s="530"/>
      <c r="D1074" s="530"/>
      <c r="E1074" s="530"/>
      <c r="F1074" s="530"/>
      <c r="G1074" s="1518"/>
      <c r="H1074" s="530"/>
      <c r="I1074" s="1432"/>
      <c r="J1074" s="530"/>
      <c r="K1074" s="530"/>
      <c r="L1074" s="530"/>
      <c r="M1074" s="533"/>
      <c r="N1074" s="530"/>
      <c r="O1074" s="530"/>
      <c r="P1074" s="530"/>
      <c r="Q1074" s="530"/>
      <c r="R1074" s="1432"/>
      <c r="S1074" s="530"/>
      <c r="T1074" s="533"/>
      <c r="U1074" s="533"/>
      <c r="V1074" s="1487"/>
      <c r="W1074" s="1487"/>
      <c r="X1074" s="1487"/>
      <c r="Y1074" s="533"/>
      <c r="Z1074" s="533"/>
      <c r="AA1074" s="530"/>
      <c r="AB1074" s="530"/>
      <c r="AC1074" s="530"/>
      <c r="AD1074" s="530"/>
      <c r="AE1074" s="530"/>
    </row>
    <row r="1075" spans="3:31">
      <c r="C1075" s="530"/>
      <c r="D1075" s="530"/>
      <c r="E1075" s="530"/>
      <c r="F1075" s="530"/>
      <c r="G1075" s="1518"/>
      <c r="H1075" s="530"/>
      <c r="I1075" s="1432"/>
      <c r="J1075" s="530"/>
      <c r="K1075" s="530"/>
      <c r="L1075" s="530"/>
      <c r="M1075" s="533"/>
      <c r="N1075" s="530"/>
      <c r="O1075" s="530"/>
      <c r="P1075" s="530"/>
      <c r="Q1075" s="530"/>
      <c r="R1075" s="1432"/>
      <c r="S1075" s="530"/>
      <c r="T1075" s="533"/>
      <c r="U1075" s="533"/>
      <c r="V1075" s="1487"/>
      <c r="W1075" s="1487"/>
      <c r="X1075" s="1487"/>
      <c r="Y1075" s="533"/>
      <c r="Z1075" s="533"/>
      <c r="AA1075" s="530"/>
      <c r="AB1075" s="530"/>
      <c r="AC1075" s="530"/>
      <c r="AD1075" s="530"/>
      <c r="AE1075" s="530"/>
    </row>
    <row r="1076" spans="3:31">
      <c r="C1076" s="530"/>
      <c r="D1076" s="530"/>
      <c r="E1076" s="530"/>
      <c r="F1076" s="530"/>
      <c r="G1076" s="1518"/>
      <c r="H1076" s="530"/>
      <c r="I1076" s="1432"/>
      <c r="J1076" s="530"/>
      <c r="K1076" s="530"/>
      <c r="L1076" s="530"/>
      <c r="M1076" s="533"/>
      <c r="N1076" s="530"/>
      <c r="O1076" s="530"/>
      <c r="P1076" s="530"/>
      <c r="Q1076" s="530"/>
      <c r="R1076" s="1432"/>
      <c r="S1076" s="530"/>
      <c r="T1076" s="533"/>
      <c r="U1076" s="533"/>
      <c r="V1076" s="1487"/>
      <c r="W1076" s="1487"/>
      <c r="X1076" s="1487"/>
      <c r="Y1076" s="533"/>
      <c r="Z1076" s="533"/>
      <c r="AA1076" s="530"/>
      <c r="AB1076" s="530"/>
      <c r="AC1076" s="530"/>
      <c r="AD1076" s="530"/>
      <c r="AE1076" s="530"/>
    </row>
    <row r="1077" spans="3:31">
      <c r="C1077" s="530"/>
      <c r="D1077" s="530"/>
      <c r="E1077" s="530"/>
      <c r="F1077" s="530"/>
      <c r="G1077" s="1518"/>
      <c r="H1077" s="530"/>
      <c r="I1077" s="1432"/>
      <c r="J1077" s="530"/>
      <c r="K1077" s="530"/>
      <c r="L1077" s="530"/>
      <c r="M1077" s="533"/>
      <c r="N1077" s="530"/>
      <c r="O1077" s="530"/>
      <c r="P1077" s="530"/>
      <c r="Q1077" s="530"/>
      <c r="R1077" s="1432"/>
      <c r="S1077" s="530"/>
      <c r="T1077" s="533"/>
      <c r="U1077" s="533"/>
      <c r="V1077" s="1487"/>
      <c r="W1077" s="1487"/>
      <c r="X1077" s="1487"/>
      <c r="Y1077" s="533"/>
      <c r="Z1077" s="533"/>
      <c r="AA1077" s="530"/>
      <c r="AB1077" s="530"/>
      <c r="AC1077" s="530"/>
      <c r="AD1077" s="530"/>
      <c r="AE1077" s="530"/>
    </row>
    <row r="1078" spans="3:31">
      <c r="C1078" s="530"/>
      <c r="D1078" s="530"/>
      <c r="E1078" s="530"/>
      <c r="F1078" s="530"/>
      <c r="G1078" s="1518"/>
      <c r="H1078" s="530"/>
      <c r="I1078" s="1432"/>
      <c r="J1078" s="530"/>
      <c r="K1078" s="530"/>
      <c r="L1078" s="530"/>
      <c r="M1078" s="533"/>
      <c r="N1078" s="530"/>
      <c r="O1078" s="530"/>
      <c r="P1078" s="530"/>
      <c r="Q1078" s="530"/>
      <c r="R1078" s="1432"/>
      <c r="S1078" s="530"/>
      <c r="T1078" s="533"/>
      <c r="U1078" s="533"/>
      <c r="V1078" s="1487"/>
      <c r="W1078" s="1487"/>
      <c r="X1078" s="1487"/>
      <c r="Y1078" s="533"/>
      <c r="Z1078" s="533"/>
      <c r="AA1078" s="530"/>
      <c r="AB1078" s="530"/>
      <c r="AC1078" s="530"/>
      <c r="AD1078" s="530"/>
      <c r="AE1078" s="530"/>
    </row>
    <row r="1079" spans="3:31">
      <c r="C1079" s="530"/>
      <c r="D1079" s="530"/>
      <c r="E1079" s="530"/>
      <c r="F1079" s="530"/>
      <c r="G1079" s="1518"/>
      <c r="H1079" s="530"/>
      <c r="I1079" s="1432"/>
      <c r="J1079" s="530"/>
      <c r="K1079" s="530"/>
      <c r="L1079" s="530"/>
      <c r="M1079" s="533"/>
      <c r="N1079" s="530"/>
      <c r="O1079" s="530"/>
      <c r="P1079" s="530"/>
      <c r="Q1079" s="530"/>
      <c r="R1079" s="1432"/>
      <c r="S1079" s="530"/>
      <c r="T1079" s="533"/>
      <c r="U1079" s="533"/>
      <c r="V1079" s="1487"/>
      <c r="W1079" s="1487"/>
      <c r="X1079" s="1487"/>
      <c r="Y1079" s="533"/>
      <c r="Z1079" s="533"/>
      <c r="AA1079" s="530"/>
      <c r="AB1079" s="530"/>
      <c r="AC1079" s="530"/>
      <c r="AD1079" s="530"/>
      <c r="AE1079" s="530"/>
    </row>
    <row r="1080" spans="3:31">
      <c r="C1080" s="530"/>
      <c r="D1080" s="530"/>
      <c r="E1080" s="530"/>
      <c r="F1080" s="530"/>
      <c r="G1080" s="1518"/>
      <c r="H1080" s="530"/>
      <c r="I1080" s="1432"/>
      <c r="J1080" s="530"/>
      <c r="K1080" s="530"/>
      <c r="L1080" s="530"/>
      <c r="M1080" s="533"/>
      <c r="N1080" s="530"/>
      <c r="O1080" s="530"/>
      <c r="P1080" s="530"/>
      <c r="Q1080" s="530"/>
      <c r="R1080" s="1432"/>
      <c r="S1080" s="530"/>
      <c r="T1080" s="533"/>
      <c r="U1080" s="533"/>
      <c r="V1080" s="1487"/>
      <c r="W1080" s="1487"/>
      <c r="X1080" s="1487"/>
      <c r="Y1080" s="533"/>
      <c r="Z1080" s="533"/>
      <c r="AA1080" s="530"/>
      <c r="AB1080" s="530"/>
      <c r="AC1080" s="530"/>
      <c r="AD1080" s="530"/>
      <c r="AE1080" s="530"/>
    </row>
    <row r="1081" spans="3:31">
      <c r="C1081" s="530"/>
      <c r="D1081" s="530"/>
      <c r="E1081" s="530"/>
      <c r="F1081" s="530"/>
      <c r="G1081" s="1518"/>
      <c r="H1081" s="530"/>
      <c r="I1081" s="1432"/>
      <c r="J1081" s="530"/>
      <c r="K1081" s="530"/>
      <c r="L1081" s="530"/>
      <c r="M1081" s="533"/>
      <c r="N1081" s="530"/>
      <c r="O1081" s="530"/>
      <c r="P1081" s="530"/>
      <c r="Q1081" s="530"/>
      <c r="R1081" s="1432"/>
      <c r="S1081" s="530"/>
      <c r="T1081" s="533"/>
      <c r="U1081" s="533"/>
      <c r="V1081" s="1487"/>
      <c r="W1081" s="1487"/>
      <c r="X1081" s="1487"/>
      <c r="Y1081" s="533"/>
      <c r="Z1081" s="533"/>
      <c r="AA1081" s="530"/>
      <c r="AB1081" s="530"/>
      <c r="AC1081" s="530"/>
      <c r="AD1081" s="530"/>
      <c r="AE1081" s="530"/>
    </row>
    <row r="1082" spans="3:31">
      <c r="C1082" s="530"/>
      <c r="D1082" s="530"/>
      <c r="E1082" s="530"/>
      <c r="F1082" s="530"/>
      <c r="G1082" s="1518"/>
      <c r="H1082" s="530"/>
      <c r="I1082" s="1432"/>
      <c r="J1082" s="530"/>
      <c r="K1082" s="530"/>
      <c r="L1082" s="530"/>
      <c r="M1082" s="533"/>
      <c r="N1082" s="530"/>
      <c r="O1082" s="530"/>
      <c r="P1082" s="530"/>
      <c r="Q1082" s="530"/>
      <c r="R1082" s="1432"/>
      <c r="S1082" s="530"/>
      <c r="T1082" s="533"/>
      <c r="U1082" s="533"/>
      <c r="V1082" s="1487"/>
      <c r="W1082" s="1487"/>
      <c r="X1082" s="1487"/>
      <c r="Y1082" s="533"/>
      <c r="Z1082" s="533"/>
      <c r="AA1082" s="530"/>
      <c r="AB1082" s="530"/>
      <c r="AC1082" s="530"/>
      <c r="AD1082" s="530"/>
      <c r="AE1082" s="530"/>
    </row>
    <row r="1083" spans="3:31">
      <c r="C1083" s="530"/>
      <c r="D1083" s="530"/>
      <c r="E1083" s="530"/>
      <c r="F1083" s="530"/>
      <c r="G1083" s="1518"/>
      <c r="H1083" s="530"/>
      <c r="I1083" s="1432"/>
      <c r="J1083" s="530"/>
      <c r="K1083" s="530"/>
      <c r="L1083" s="530"/>
      <c r="M1083" s="533"/>
      <c r="N1083" s="530"/>
      <c r="O1083" s="530"/>
      <c r="P1083" s="530"/>
      <c r="Q1083" s="530"/>
      <c r="R1083" s="1432"/>
      <c r="S1083" s="530"/>
      <c r="T1083" s="533"/>
      <c r="U1083" s="533"/>
      <c r="V1083" s="1487"/>
      <c r="W1083" s="1487"/>
      <c r="X1083" s="1487"/>
      <c r="Y1083" s="533"/>
      <c r="Z1083" s="533"/>
      <c r="AA1083" s="530"/>
      <c r="AB1083" s="530"/>
      <c r="AC1083" s="530"/>
      <c r="AD1083" s="530"/>
      <c r="AE1083" s="530"/>
    </row>
    <row r="1084" spans="3:31">
      <c r="C1084" s="530"/>
      <c r="D1084" s="530"/>
      <c r="E1084" s="530"/>
      <c r="F1084" s="530"/>
      <c r="G1084" s="1518"/>
      <c r="H1084" s="530"/>
      <c r="I1084" s="1432"/>
      <c r="J1084" s="530"/>
      <c r="K1084" s="530"/>
      <c r="L1084" s="530"/>
      <c r="M1084" s="533"/>
      <c r="N1084" s="530"/>
      <c r="O1084" s="530"/>
      <c r="P1084" s="530"/>
      <c r="Q1084" s="530"/>
      <c r="R1084" s="1432"/>
      <c r="S1084" s="530"/>
      <c r="T1084" s="533"/>
      <c r="U1084" s="533"/>
      <c r="V1084" s="1487"/>
      <c r="W1084" s="1487"/>
      <c r="X1084" s="1487"/>
      <c r="Y1084" s="533"/>
      <c r="Z1084" s="533"/>
      <c r="AA1084" s="530"/>
      <c r="AB1084" s="530"/>
      <c r="AC1084" s="530"/>
      <c r="AD1084" s="530"/>
      <c r="AE1084" s="530"/>
    </row>
    <row r="1085" spans="3:31">
      <c r="C1085" s="530"/>
      <c r="D1085" s="530"/>
      <c r="E1085" s="530"/>
      <c r="F1085" s="530"/>
      <c r="G1085" s="1518"/>
      <c r="H1085" s="530"/>
      <c r="I1085" s="1432"/>
      <c r="J1085" s="530"/>
      <c r="K1085" s="530"/>
      <c r="L1085" s="530"/>
      <c r="M1085" s="533"/>
      <c r="N1085" s="530"/>
      <c r="O1085" s="530"/>
      <c r="P1085" s="530"/>
      <c r="Q1085" s="530"/>
      <c r="R1085" s="1432"/>
      <c r="S1085" s="530"/>
      <c r="T1085" s="533"/>
      <c r="U1085" s="533"/>
      <c r="V1085" s="1487"/>
      <c r="W1085" s="1487"/>
      <c r="X1085" s="1487"/>
      <c r="Y1085" s="533"/>
      <c r="Z1085" s="533"/>
      <c r="AA1085" s="530"/>
      <c r="AB1085" s="530"/>
      <c r="AC1085" s="530"/>
      <c r="AD1085" s="530"/>
      <c r="AE1085" s="530"/>
    </row>
    <row r="1086" spans="3:31">
      <c r="C1086" s="530"/>
      <c r="D1086" s="530"/>
      <c r="E1086" s="530"/>
      <c r="F1086" s="530"/>
      <c r="G1086" s="1518"/>
      <c r="H1086" s="530"/>
      <c r="I1086" s="1432"/>
      <c r="J1086" s="530"/>
      <c r="K1086" s="530"/>
      <c r="L1086" s="530"/>
      <c r="M1086" s="533"/>
      <c r="N1086" s="530"/>
      <c r="O1086" s="530"/>
      <c r="P1086" s="530"/>
      <c r="Q1086" s="530"/>
      <c r="R1086" s="1432"/>
      <c r="S1086" s="530"/>
      <c r="T1086" s="533"/>
      <c r="U1086" s="533"/>
      <c r="V1086" s="1487"/>
      <c r="W1086" s="1487"/>
      <c r="X1086" s="1487"/>
      <c r="Y1086" s="533"/>
      <c r="Z1086" s="533"/>
      <c r="AA1086" s="530"/>
      <c r="AB1086" s="530"/>
      <c r="AC1086" s="530"/>
      <c r="AD1086" s="530"/>
      <c r="AE1086" s="530"/>
    </row>
    <row r="1087" spans="3:31">
      <c r="C1087" s="530"/>
      <c r="D1087" s="530"/>
      <c r="E1087" s="530"/>
      <c r="F1087" s="530"/>
      <c r="G1087" s="1518"/>
      <c r="H1087" s="530"/>
      <c r="I1087" s="1432"/>
      <c r="J1087" s="530"/>
      <c r="K1087" s="530"/>
      <c r="L1087" s="530"/>
      <c r="M1087" s="533"/>
      <c r="N1087" s="530"/>
      <c r="O1087" s="530"/>
      <c r="P1087" s="530"/>
      <c r="Q1087" s="530"/>
      <c r="R1087" s="1432"/>
      <c r="S1087" s="530"/>
      <c r="T1087" s="533"/>
      <c r="U1087" s="533"/>
      <c r="V1087" s="1487"/>
      <c r="W1087" s="1487"/>
      <c r="X1087" s="1487"/>
      <c r="Y1087" s="533"/>
      <c r="Z1087" s="533"/>
      <c r="AA1087" s="530"/>
      <c r="AB1087" s="530"/>
      <c r="AC1087" s="530"/>
      <c r="AD1087" s="530"/>
      <c r="AE1087" s="530"/>
    </row>
    <row r="1088" spans="3:31">
      <c r="C1088" s="530"/>
      <c r="D1088" s="530"/>
      <c r="E1088" s="530"/>
      <c r="F1088" s="530"/>
      <c r="G1088" s="1518"/>
      <c r="H1088" s="530"/>
      <c r="I1088" s="1432"/>
      <c r="J1088" s="530"/>
      <c r="K1088" s="530"/>
      <c r="L1088" s="530"/>
      <c r="M1088" s="533"/>
      <c r="N1088" s="530"/>
      <c r="O1088" s="530"/>
      <c r="P1088" s="530"/>
      <c r="Q1088" s="530"/>
      <c r="R1088" s="1432"/>
      <c r="S1088" s="530"/>
      <c r="T1088" s="533"/>
      <c r="U1088" s="533"/>
      <c r="V1088" s="1487"/>
      <c r="W1088" s="1487"/>
      <c r="X1088" s="1487"/>
      <c r="Y1088" s="533"/>
      <c r="Z1088" s="533"/>
      <c r="AA1088" s="530"/>
      <c r="AB1088" s="530"/>
      <c r="AC1088" s="530"/>
      <c r="AD1088" s="530"/>
      <c r="AE1088" s="530"/>
    </row>
    <row r="1089" spans="3:31">
      <c r="C1089" s="530"/>
      <c r="D1089" s="530"/>
      <c r="E1089" s="530"/>
      <c r="F1089" s="530"/>
      <c r="G1089" s="1518"/>
      <c r="H1089" s="530"/>
      <c r="I1089" s="1432"/>
      <c r="J1089" s="530"/>
      <c r="K1089" s="530"/>
      <c r="L1089" s="530"/>
      <c r="M1089" s="533"/>
      <c r="N1089" s="530"/>
      <c r="O1089" s="530"/>
      <c r="P1089" s="530"/>
      <c r="Q1089" s="530"/>
      <c r="R1089" s="1432"/>
      <c r="S1089" s="530"/>
      <c r="T1089" s="533"/>
      <c r="U1089" s="533"/>
      <c r="V1089" s="1487"/>
      <c r="W1089" s="1487"/>
      <c r="X1089" s="1487"/>
      <c r="Y1089" s="533"/>
      <c r="Z1089" s="533"/>
      <c r="AA1089" s="530"/>
      <c r="AB1089" s="530"/>
      <c r="AC1089" s="530"/>
      <c r="AD1089" s="530"/>
      <c r="AE1089" s="530"/>
    </row>
    <row r="1090" spans="3:31">
      <c r="C1090" s="530"/>
      <c r="D1090" s="530"/>
      <c r="E1090" s="530"/>
      <c r="F1090" s="530"/>
      <c r="G1090" s="1518"/>
      <c r="H1090" s="530"/>
      <c r="I1090" s="1432"/>
      <c r="J1090" s="530"/>
      <c r="K1090" s="530"/>
      <c r="L1090" s="530"/>
      <c r="M1090" s="533"/>
      <c r="N1090" s="530"/>
      <c r="O1090" s="530"/>
      <c r="P1090" s="530"/>
      <c r="Q1090" s="530"/>
      <c r="R1090" s="1432"/>
      <c r="S1090" s="530"/>
      <c r="T1090" s="533"/>
      <c r="U1090" s="533"/>
      <c r="V1090" s="1487"/>
      <c r="W1090" s="1487"/>
      <c r="X1090" s="1487"/>
      <c r="Y1090" s="533"/>
      <c r="Z1090" s="533"/>
      <c r="AA1090" s="530"/>
      <c r="AB1090" s="530"/>
      <c r="AC1090" s="530"/>
      <c r="AD1090" s="530"/>
      <c r="AE1090" s="530"/>
    </row>
    <row r="1091" spans="3:31">
      <c r="C1091" s="530"/>
      <c r="D1091" s="530"/>
      <c r="E1091" s="530"/>
      <c r="F1091" s="530"/>
      <c r="G1091" s="1518"/>
      <c r="H1091" s="530"/>
      <c r="I1091" s="1432"/>
      <c r="J1091" s="530"/>
      <c r="K1091" s="530"/>
      <c r="L1091" s="530"/>
      <c r="M1091" s="533"/>
      <c r="N1091" s="530"/>
      <c r="O1091" s="530"/>
      <c r="P1091" s="530"/>
      <c r="Q1091" s="530"/>
      <c r="R1091" s="1432"/>
      <c r="S1091" s="530"/>
      <c r="T1091" s="533"/>
      <c r="U1091" s="533"/>
      <c r="V1091" s="1487"/>
      <c r="W1091" s="1487"/>
      <c r="X1091" s="1487"/>
      <c r="Y1091" s="533"/>
      <c r="Z1091" s="533"/>
      <c r="AA1091" s="530"/>
      <c r="AB1091" s="530"/>
      <c r="AC1091" s="530"/>
      <c r="AD1091" s="530"/>
      <c r="AE1091" s="530"/>
    </row>
    <row r="1092" spans="3:31">
      <c r="C1092" s="530"/>
      <c r="D1092" s="530"/>
      <c r="E1092" s="530"/>
      <c r="F1092" s="530"/>
      <c r="G1092" s="1518"/>
      <c r="H1092" s="530"/>
      <c r="I1092" s="1432"/>
      <c r="J1092" s="530"/>
      <c r="K1092" s="530"/>
      <c r="L1092" s="530"/>
      <c r="M1092" s="533"/>
      <c r="N1092" s="530"/>
      <c r="O1092" s="530"/>
      <c r="P1092" s="530"/>
      <c r="Q1092" s="530"/>
      <c r="R1092" s="1432"/>
      <c r="S1092" s="530"/>
      <c r="T1092" s="533"/>
      <c r="U1092" s="533"/>
      <c r="V1092" s="1487"/>
      <c r="W1092" s="1487"/>
      <c r="X1092" s="1487"/>
      <c r="Y1092" s="533"/>
      <c r="Z1092" s="533"/>
      <c r="AA1092" s="530"/>
      <c r="AB1092" s="530"/>
      <c r="AC1092" s="530"/>
      <c r="AD1092" s="530"/>
      <c r="AE1092" s="530"/>
    </row>
    <row r="1093" spans="3:31">
      <c r="C1093" s="530"/>
      <c r="D1093" s="530"/>
      <c r="E1093" s="530"/>
      <c r="F1093" s="530"/>
      <c r="G1093" s="1518"/>
      <c r="H1093" s="530"/>
      <c r="I1093" s="1432"/>
      <c r="J1093" s="530"/>
      <c r="K1093" s="530"/>
      <c r="L1093" s="530"/>
      <c r="M1093" s="533"/>
      <c r="N1093" s="530"/>
      <c r="O1093" s="530"/>
      <c r="P1093" s="530"/>
      <c r="Q1093" s="530"/>
      <c r="R1093" s="1432"/>
      <c r="S1093" s="530"/>
      <c r="T1093" s="533"/>
      <c r="U1093" s="533"/>
      <c r="V1093" s="1487"/>
      <c r="W1093" s="1487"/>
      <c r="X1093" s="1487"/>
      <c r="Y1093" s="533"/>
      <c r="Z1093" s="533"/>
      <c r="AA1093" s="530"/>
      <c r="AB1093" s="530"/>
      <c r="AC1093" s="530"/>
      <c r="AD1093" s="530"/>
      <c r="AE1093" s="530"/>
    </row>
    <row r="1094" spans="3:31">
      <c r="C1094" s="530"/>
      <c r="D1094" s="530"/>
      <c r="E1094" s="530"/>
      <c r="F1094" s="530"/>
      <c r="G1094" s="1518"/>
      <c r="H1094" s="530"/>
      <c r="I1094" s="1432"/>
      <c r="J1094" s="530"/>
      <c r="K1094" s="530"/>
      <c r="L1094" s="530"/>
      <c r="M1094" s="533"/>
      <c r="N1094" s="530"/>
      <c r="O1094" s="530"/>
      <c r="P1094" s="530"/>
      <c r="Q1094" s="530"/>
      <c r="R1094" s="1432"/>
      <c r="S1094" s="530"/>
      <c r="T1094" s="533"/>
      <c r="U1094" s="533"/>
      <c r="V1094" s="1487"/>
      <c r="W1094" s="1487"/>
      <c r="X1094" s="1487"/>
      <c r="Y1094" s="533"/>
      <c r="Z1094" s="533"/>
      <c r="AA1094" s="530"/>
      <c r="AB1094" s="530"/>
      <c r="AC1094" s="530"/>
      <c r="AD1094" s="530"/>
      <c r="AE1094" s="530"/>
    </row>
    <row r="1095" spans="3:31">
      <c r="C1095" s="530"/>
      <c r="D1095" s="530"/>
      <c r="E1095" s="530"/>
      <c r="F1095" s="530"/>
      <c r="G1095" s="1518"/>
      <c r="H1095" s="530"/>
      <c r="I1095" s="1432"/>
      <c r="J1095" s="530"/>
      <c r="K1095" s="530"/>
      <c r="L1095" s="530"/>
      <c r="M1095" s="533"/>
      <c r="N1095" s="530"/>
      <c r="O1095" s="530"/>
      <c r="P1095" s="530"/>
      <c r="Q1095" s="530"/>
      <c r="R1095" s="1432"/>
      <c r="S1095" s="530"/>
      <c r="T1095" s="533"/>
      <c r="U1095" s="533"/>
      <c r="V1095" s="1487"/>
      <c r="W1095" s="1487"/>
      <c r="X1095" s="1487"/>
      <c r="Y1095" s="533"/>
      <c r="Z1095" s="533"/>
      <c r="AA1095" s="530"/>
      <c r="AB1095" s="530"/>
      <c r="AC1095" s="530"/>
      <c r="AD1095" s="530"/>
      <c r="AE1095" s="530"/>
    </row>
    <row r="1096" spans="3:31">
      <c r="C1096" s="530"/>
      <c r="D1096" s="530"/>
      <c r="E1096" s="530"/>
      <c r="F1096" s="530"/>
      <c r="G1096" s="1518"/>
      <c r="H1096" s="530"/>
      <c r="I1096" s="1432"/>
      <c r="J1096" s="530"/>
      <c r="K1096" s="530"/>
      <c r="L1096" s="530"/>
      <c r="M1096" s="533"/>
      <c r="N1096" s="530"/>
      <c r="O1096" s="530"/>
      <c r="P1096" s="530"/>
      <c r="Q1096" s="530"/>
      <c r="R1096" s="1432"/>
      <c r="S1096" s="530"/>
      <c r="T1096" s="533"/>
      <c r="U1096" s="533"/>
      <c r="V1096" s="1487"/>
      <c r="W1096" s="1487"/>
      <c r="X1096" s="1487"/>
      <c r="Y1096" s="533"/>
      <c r="Z1096" s="533"/>
      <c r="AA1096" s="530"/>
      <c r="AB1096" s="530"/>
      <c r="AC1096" s="530"/>
      <c r="AD1096" s="530"/>
      <c r="AE1096" s="530"/>
    </row>
    <row r="1097" spans="3:31">
      <c r="C1097" s="530"/>
      <c r="D1097" s="530"/>
      <c r="E1097" s="530"/>
      <c r="F1097" s="530"/>
      <c r="G1097" s="1518"/>
      <c r="H1097" s="530"/>
      <c r="I1097" s="1432"/>
      <c r="J1097" s="530"/>
      <c r="K1097" s="530"/>
      <c r="L1097" s="530"/>
      <c r="M1097" s="533"/>
      <c r="N1097" s="530"/>
      <c r="O1097" s="530"/>
      <c r="P1097" s="530"/>
      <c r="Q1097" s="530"/>
      <c r="R1097" s="1432"/>
      <c r="S1097" s="530"/>
      <c r="T1097" s="533"/>
      <c r="U1097" s="533"/>
      <c r="V1097" s="1487"/>
      <c r="W1097" s="1487"/>
      <c r="X1097" s="1487"/>
      <c r="Y1097" s="533"/>
      <c r="Z1097" s="533"/>
      <c r="AA1097" s="530"/>
      <c r="AB1097" s="530"/>
      <c r="AC1097" s="530"/>
      <c r="AD1097" s="530"/>
      <c r="AE1097" s="530"/>
    </row>
    <row r="1098" spans="3:31">
      <c r="C1098" s="530"/>
      <c r="D1098" s="530"/>
      <c r="E1098" s="530"/>
      <c r="F1098" s="530"/>
      <c r="G1098" s="1518"/>
      <c r="H1098" s="530"/>
      <c r="I1098" s="1432"/>
      <c r="J1098" s="530"/>
      <c r="K1098" s="530"/>
      <c r="L1098" s="530"/>
      <c r="M1098" s="533"/>
      <c r="N1098" s="530"/>
      <c r="O1098" s="530"/>
      <c r="P1098" s="530"/>
      <c r="Q1098" s="530"/>
      <c r="R1098" s="1432"/>
      <c r="S1098" s="530"/>
      <c r="T1098" s="533"/>
      <c r="U1098" s="533"/>
      <c r="V1098" s="1487"/>
      <c r="W1098" s="1487"/>
      <c r="X1098" s="1487"/>
      <c r="Y1098" s="533"/>
      <c r="Z1098" s="533"/>
      <c r="AA1098" s="530"/>
      <c r="AB1098" s="530"/>
      <c r="AC1098" s="530"/>
      <c r="AD1098" s="530"/>
      <c r="AE1098" s="530"/>
    </row>
    <row r="1099" spans="3:31">
      <c r="C1099" s="530"/>
      <c r="D1099" s="530"/>
      <c r="E1099" s="530"/>
      <c r="F1099" s="530"/>
      <c r="G1099" s="1518"/>
      <c r="H1099" s="530"/>
      <c r="I1099" s="1432"/>
      <c r="J1099" s="530"/>
      <c r="K1099" s="530"/>
      <c r="L1099" s="530"/>
      <c r="M1099" s="533"/>
      <c r="N1099" s="530"/>
      <c r="O1099" s="530"/>
      <c r="P1099" s="530"/>
      <c r="Q1099" s="530"/>
      <c r="R1099" s="1432"/>
      <c r="S1099" s="530"/>
      <c r="T1099" s="533"/>
      <c r="U1099" s="533"/>
      <c r="V1099" s="1487"/>
      <c r="W1099" s="1487"/>
      <c r="X1099" s="1487"/>
      <c r="Y1099" s="533"/>
      <c r="Z1099" s="533"/>
      <c r="AA1099" s="530"/>
      <c r="AB1099" s="530"/>
      <c r="AC1099" s="530"/>
      <c r="AD1099" s="530"/>
      <c r="AE1099" s="530"/>
    </row>
    <row r="1100" spans="3:31">
      <c r="C1100" s="530"/>
      <c r="D1100" s="530"/>
      <c r="E1100" s="530"/>
      <c r="F1100" s="530"/>
      <c r="G1100" s="1518"/>
      <c r="H1100" s="530"/>
      <c r="I1100" s="1432"/>
      <c r="J1100" s="530"/>
      <c r="K1100" s="530"/>
      <c r="L1100" s="530"/>
      <c r="M1100" s="533"/>
      <c r="N1100" s="530"/>
      <c r="O1100" s="530"/>
      <c r="P1100" s="530"/>
      <c r="Q1100" s="530"/>
      <c r="R1100" s="1432"/>
      <c r="S1100" s="530"/>
      <c r="T1100" s="533"/>
      <c r="U1100" s="533"/>
      <c r="V1100" s="1487"/>
      <c r="W1100" s="1487"/>
      <c r="X1100" s="1487"/>
      <c r="Y1100" s="533"/>
      <c r="Z1100" s="533"/>
      <c r="AA1100" s="530"/>
      <c r="AB1100" s="530"/>
      <c r="AC1100" s="530"/>
      <c r="AD1100" s="530"/>
      <c r="AE1100" s="530"/>
    </row>
    <row r="1101" spans="3:31">
      <c r="C1101" s="530"/>
      <c r="D1101" s="530"/>
      <c r="E1101" s="530"/>
      <c r="F1101" s="530"/>
      <c r="G1101" s="1518"/>
      <c r="H1101" s="530"/>
      <c r="I1101" s="1432"/>
      <c r="J1101" s="530"/>
      <c r="K1101" s="530"/>
      <c r="L1101" s="530"/>
      <c r="M1101" s="533"/>
      <c r="N1101" s="530"/>
      <c r="O1101" s="530"/>
      <c r="P1101" s="530"/>
      <c r="Q1101" s="530"/>
      <c r="R1101" s="1432"/>
      <c r="S1101" s="530"/>
      <c r="T1101" s="533"/>
      <c r="U1101" s="533"/>
      <c r="V1101" s="1487"/>
      <c r="W1101" s="1487"/>
      <c r="X1101" s="1487"/>
      <c r="Y1101" s="533"/>
      <c r="Z1101" s="533"/>
      <c r="AA1101" s="530"/>
      <c r="AB1101" s="530"/>
      <c r="AC1101" s="530"/>
      <c r="AD1101" s="530"/>
      <c r="AE1101" s="530"/>
    </row>
    <row r="1102" spans="3:31">
      <c r="C1102" s="530"/>
      <c r="D1102" s="530"/>
      <c r="E1102" s="530"/>
      <c r="F1102" s="530"/>
      <c r="G1102" s="1518"/>
      <c r="H1102" s="530"/>
      <c r="I1102" s="1432"/>
      <c r="J1102" s="530"/>
      <c r="K1102" s="530"/>
      <c r="L1102" s="530"/>
      <c r="M1102" s="533"/>
      <c r="N1102" s="530"/>
      <c r="O1102" s="530"/>
      <c r="P1102" s="530"/>
      <c r="Q1102" s="530"/>
      <c r="R1102" s="1432"/>
      <c r="S1102" s="530"/>
      <c r="T1102" s="533"/>
      <c r="U1102" s="533"/>
      <c r="V1102" s="1487"/>
      <c r="W1102" s="1487"/>
      <c r="X1102" s="1487"/>
      <c r="Y1102" s="533"/>
      <c r="Z1102" s="533"/>
      <c r="AA1102" s="530"/>
      <c r="AB1102" s="530"/>
      <c r="AC1102" s="530"/>
      <c r="AD1102" s="530"/>
      <c r="AE1102" s="530"/>
    </row>
    <row r="1103" spans="3:31">
      <c r="C1103" s="530"/>
      <c r="D1103" s="530"/>
      <c r="E1103" s="530"/>
      <c r="F1103" s="530"/>
      <c r="G1103" s="1518"/>
      <c r="H1103" s="530"/>
      <c r="I1103" s="1432"/>
      <c r="J1103" s="530"/>
      <c r="K1103" s="530"/>
      <c r="L1103" s="530"/>
      <c r="M1103" s="533"/>
      <c r="N1103" s="530"/>
      <c r="O1103" s="530"/>
      <c r="P1103" s="530"/>
      <c r="Q1103" s="530"/>
      <c r="R1103" s="1432"/>
      <c r="S1103" s="530"/>
      <c r="T1103" s="533"/>
      <c r="U1103" s="533"/>
      <c r="V1103" s="1487"/>
      <c r="W1103" s="1487"/>
      <c r="X1103" s="1487"/>
      <c r="Y1103" s="533"/>
      <c r="Z1103" s="533"/>
      <c r="AA1103" s="530"/>
      <c r="AB1103" s="530"/>
      <c r="AC1103" s="530"/>
      <c r="AD1103" s="530"/>
      <c r="AE1103" s="530"/>
    </row>
    <row r="1104" spans="3:31">
      <c r="C1104" s="530"/>
      <c r="D1104" s="530"/>
      <c r="E1104" s="530"/>
      <c r="F1104" s="530"/>
      <c r="G1104" s="1518"/>
      <c r="H1104" s="530"/>
      <c r="I1104" s="1432"/>
      <c r="J1104" s="530"/>
      <c r="K1104" s="530"/>
      <c r="L1104" s="530"/>
      <c r="M1104" s="533"/>
      <c r="N1104" s="530"/>
      <c r="O1104" s="530"/>
      <c r="P1104" s="530"/>
      <c r="Q1104" s="530"/>
      <c r="R1104" s="1432"/>
      <c r="S1104" s="530"/>
      <c r="T1104" s="533"/>
      <c r="U1104" s="533"/>
      <c r="V1104" s="1487"/>
      <c r="W1104" s="1487"/>
      <c r="X1104" s="1487"/>
      <c r="Y1104" s="533"/>
      <c r="Z1104" s="533"/>
      <c r="AA1104" s="530"/>
      <c r="AB1104" s="530"/>
      <c r="AC1104" s="530"/>
      <c r="AD1104" s="530"/>
      <c r="AE1104" s="530"/>
    </row>
    <row r="1105" spans="3:31">
      <c r="C1105" s="530"/>
      <c r="D1105" s="530"/>
      <c r="E1105" s="530"/>
      <c r="F1105" s="530"/>
      <c r="G1105" s="1518"/>
      <c r="H1105" s="530"/>
      <c r="I1105" s="1432"/>
      <c r="J1105" s="530"/>
      <c r="K1105" s="530"/>
      <c r="L1105" s="530"/>
      <c r="M1105" s="533"/>
      <c r="N1105" s="530"/>
      <c r="O1105" s="530"/>
      <c r="P1105" s="530"/>
      <c r="Q1105" s="530"/>
      <c r="R1105" s="1432"/>
      <c r="S1105" s="530"/>
      <c r="T1105" s="533"/>
      <c r="U1105" s="533"/>
      <c r="V1105" s="1487"/>
      <c r="W1105" s="1487"/>
      <c r="X1105" s="1487"/>
      <c r="Y1105" s="533"/>
      <c r="Z1105" s="533"/>
      <c r="AA1105" s="530"/>
      <c r="AB1105" s="530"/>
      <c r="AC1105" s="530"/>
      <c r="AD1105" s="530"/>
      <c r="AE1105" s="530"/>
    </row>
    <row r="1106" spans="3:31">
      <c r="C1106" s="530"/>
      <c r="D1106" s="530"/>
      <c r="E1106" s="530"/>
      <c r="F1106" s="530"/>
      <c r="G1106" s="1518"/>
      <c r="H1106" s="530"/>
      <c r="I1106" s="1432"/>
      <c r="J1106" s="530"/>
      <c r="K1106" s="530"/>
      <c r="L1106" s="530"/>
      <c r="M1106" s="533"/>
      <c r="N1106" s="530"/>
      <c r="O1106" s="530"/>
      <c r="P1106" s="530"/>
      <c r="Q1106" s="530"/>
      <c r="R1106" s="1432"/>
      <c r="S1106" s="530"/>
      <c r="T1106" s="533"/>
      <c r="U1106" s="533"/>
      <c r="V1106" s="1487"/>
      <c r="W1106" s="1487"/>
      <c r="X1106" s="1487"/>
      <c r="Y1106" s="533"/>
      <c r="Z1106" s="533"/>
      <c r="AA1106" s="530"/>
      <c r="AB1106" s="530"/>
      <c r="AC1106" s="530"/>
      <c r="AD1106" s="530"/>
      <c r="AE1106" s="530"/>
    </row>
    <row r="1107" spans="3:31">
      <c r="C1107" s="530"/>
      <c r="D1107" s="530"/>
      <c r="E1107" s="530"/>
      <c r="F1107" s="530"/>
      <c r="G1107" s="1518"/>
      <c r="H1107" s="530"/>
      <c r="I1107" s="1432"/>
      <c r="J1107" s="530"/>
      <c r="K1107" s="530"/>
      <c r="L1107" s="530"/>
      <c r="M1107" s="533"/>
      <c r="N1107" s="530"/>
      <c r="O1107" s="530"/>
      <c r="P1107" s="530"/>
      <c r="Q1107" s="530"/>
      <c r="R1107" s="1432"/>
      <c r="S1107" s="530"/>
      <c r="T1107" s="533"/>
      <c r="U1107" s="533"/>
      <c r="V1107" s="1487"/>
      <c r="W1107" s="1487"/>
      <c r="X1107" s="1487"/>
      <c r="Y1107" s="533"/>
      <c r="Z1107" s="533"/>
      <c r="AA1107" s="530"/>
      <c r="AB1107" s="530"/>
      <c r="AC1107" s="530"/>
      <c r="AD1107" s="530"/>
      <c r="AE1107" s="530"/>
    </row>
    <row r="1108" spans="3:31">
      <c r="C1108" s="530"/>
      <c r="D1108" s="530"/>
      <c r="E1108" s="530"/>
      <c r="F1108" s="530"/>
      <c r="G1108" s="1518"/>
      <c r="H1108" s="530"/>
      <c r="I1108" s="1432"/>
      <c r="J1108" s="530"/>
      <c r="K1108" s="530"/>
      <c r="L1108" s="530"/>
      <c r="M1108" s="533"/>
      <c r="N1108" s="530"/>
      <c r="O1108" s="530"/>
      <c r="P1108" s="530"/>
      <c r="Q1108" s="530"/>
      <c r="R1108" s="1432"/>
      <c r="S1108" s="530"/>
      <c r="T1108" s="533"/>
      <c r="U1108" s="533"/>
      <c r="V1108" s="1487"/>
      <c r="W1108" s="1487"/>
      <c r="X1108" s="1487"/>
      <c r="Y1108" s="533"/>
      <c r="Z1108" s="533"/>
      <c r="AA1108" s="530"/>
      <c r="AB1108" s="530"/>
      <c r="AC1108" s="530"/>
      <c r="AD1108" s="530"/>
      <c r="AE1108" s="530"/>
    </row>
    <row r="1109" spans="3:31">
      <c r="C1109" s="530"/>
      <c r="D1109" s="530"/>
      <c r="E1109" s="530"/>
      <c r="F1109" s="530"/>
      <c r="G1109" s="1518"/>
      <c r="H1109" s="530"/>
      <c r="I1109" s="1432"/>
      <c r="J1109" s="530"/>
      <c r="K1109" s="530"/>
      <c r="L1109" s="530"/>
      <c r="M1109" s="533"/>
      <c r="N1109" s="530"/>
      <c r="O1109" s="530"/>
      <c r="P1109" s="530"/>
      <c r="Q1109" s="530"/>
      <c r="R1109" s="1432"/>
      <c r="S1109" s="530"/>
      <c r="T1109" s="533"/>
      <c r="U1109" s="533"/>
      <c r="V1109" s="1487"/>
      <c r="W1109" s="1487"/>
      <c r="X1109" s="1487"/>
      <c r="Y1109" s="533"/>
      <c r="Z1109" s="533"/>
      <c r="AA1109" s="530"/>
      <c r="AB1109" s="530"/>
      <c r="AC1109" s="530"/>
      <c r="AD1109" s="530"/>
      <c r="AE1109" s="530"/>
    </row>
    <row r="1110" spans="3:31">
      <c r="C1110" s="530"/>
      <c r="D1110" s="530"/>
      <c r="E1110" s="530"/>
      <c r="F1110" s="530"/>
      <c r="G1110" s="1518"/>
      <c r="H1110" s="530"/>
      <c r="I1110" s="1432"/>
      <c r="J1110" s="530"/>
      <c r="K1110" s="530"/>
      <c r="L1110" s="530"/>
      <c r="M1110" s="533"/>
      <c r="N1110" s="530"/>
      <c r="O1110" s="530"/>
      <c r="P1110" s="530"/>
      <c r="Q1110" s="530"/>
      <c r="R1110" s="1432"/>
      <c r="S1110" s="530"/>
      <c r="T1110" s="533"/>
      <c r="U1110" s="533"/>
      <c r="V1110" s="1487"/>
      <c r="W1110" s="1487"/>
      <c r="X1110" s="1487"/>
      <c r="Y1110" s="533"/>
      <c r="Z1110" s="533"/>
      <c r="AA1110" s="530"/>
      <c r="AB1110" s="530"/>
      <c r="AC1110" s="530"/>
      <c r="AD1110" s="530"/>
      <c r="AE1110" s="530"/>
    </row>
    <row r="1111" spans="3:31">
      <c r="C1111" s="530"/>
      <c r="D1111" s="530"/>
      <c r="E1111" s="530"/>
      <c r="F1111" s="530"/>
      <c r="G1111" s="1518"/>
      <c r="H1111" s="530"/>
      <c r="I1111" s="1432"/>
      <c r="J1111" s="530"/>
      <c r="K1111" s="530"/>
      <c r="L1111" s="530"/>
      <c r="M1111" s="533"/>
      <c r="N1111" s="530"/>
      <c r="O1111" s="530"/>
      <c r="P1111" s="530"/>
      <c r="Q1111" s="530"/>
      <c r="R1111" s="1432"/>
      <c r="S1111" s="530"/>
      <c r="T1111" s="533"/>
      <c r="U1111" s="533"/>
      <c r="V1111" s="1487"/>
      <c r="W1111" s="1487"/>
      <c r="X1111" s="1487"/>
      <c r="Y1111" s="533"/>
      <c r="Z1111" s="533"/>
      <c r="AA1111" s="530"/>
      <c r="AB1111" s="530"/>
      <c r="AC1111" s="530"/>
      <c r="AD1111" s="530"/>
      <c r="AE1111" s="530"/>
    </row>
    <row r="1112" spans="3:31">
      <c r="C1112" s="530"/>
      <c r="D1112" s="530"/>
      <c r="E1112" s="530"/>
      <c r="F1112" s="530"/>
      <c r="G1112" s="1518"/>
      <c r="H1112" s="530"/>
      <c r="I1112" s="1432"/>
      <c r="J1112" s="530"/>
      <c r="K1112" s="530"/>
      <c r="L1112" s="530"/>
      <c r="M1112" s="533"/>
      <c r="N1112" s="530"/>
      <c r="O1112" s="530"/>
      <c r="P1112" s="530"/>
      <c r="Q1112" s="530"/>
      <c r="R1112" s="1432"/>
      <c r="S1112" s="530"/>
      <c r="T1112" s="533"/>
      <c r="U1112" s="533"/>
      <c r="V1112" s="1487"/>
      <c r="W1112" s="1487"/>
      <c r="X1112" s="1487"/>
      <c r="Y1112" s="533"/>
      <c r="Z1112" s="533"/>
      <c r="AA1112" s="530"/>
      <c r="AB1112" s="530"/>
      <c r="AC1112" s="530"/>
      <c r="AD1112" s="530"/>
      <c r="AE1112" s="530"/>
    </row>
    <row r="1113" spans="3:31">
      <c r="C1113" s="530"/>
      <c r="D1113" s="530"/>
      <c r="E1113" s="530"/>
      <c r="F1113" s="530"/>
      <c r="G1113" s="1518"/>
      <c r="H1113" s="530"/>
      <c r="I1113" s="1432"/>
      <c r="J1113" s="530"/>
      <c r="K1113" s="530"/>
      <c r="L1113" s="530"/>
      <c r="M1113" s="533"/>
      <c r="N1113" s="530"/>
      <c r="O1113" s="530"/>
      <c r="P1113" s="530"/>
      <c r="Q1113" s="530"/>
      <c r="R1113" s="1432"/>
      <c r="S1113" s="530"/>
      <c r="T1113" s="533"/>
      <c r="U1113" s="533"/>
      <c r="V1113" s="1487"/>
      <c r="W1113" s="1487"/>
      <c r="X1113" s="1487"/>
      <c r="Y1113" s="533"/>
      <c r="Z1113" s="533"/>
      <c r="AA1113" s="530"/>
      <c r="AB1113" s="530"/>
      <c r="AC1113" s="530"/>
      <c r="AD1113" s="530"/>
      <c r="AE1113" s="530"/>
    </row>
    <row r="1114" spans="3:31">
      <c r="C1114" s="530"/>
      <c r="D1114" s="530"/>
      <c r="E1114" s="530"/>
      <c r="F1114" s="530"/>
      <c r="G1114" s="1518"/>
      <c r="H1114" s="530"/>
      <c r="I1114" s="1432"/>
      <c r="J1114" s="530"/>
      <c r="K1114" s="530"/>
      <c r="L1114" s="530"/>
      <c r="M1114" s="533"/>
      <c r="N1114" s="530"/>
      <c r="O1114" s="530"/>
      <c r="P1114" s="530"/>
      <c r="Q1114" s="530"/>
      <c r="R1114" s="1432"/>
      <c r="S1114" s="530"/>
      <c r="T1114" s="533"/>
      <c r="U1114" s="533"/>
      <c r="V1114" s="1487"/>
      <c r="W1114" s="1487"/>
      <c r="X1114" s="1487"/>
      <c r="Y1114" s="533"/>
      <c r="Z1114" s="533"/>
      <c r="AA1114" s="530"/>
      <c r="AB1114" s="530"/>
      <c r="AC1114" s="530"/>
      <c r="AD1114" s="530"/>
      <c r="AE1114" s="530"/>
    </row>
    <row r="1115" spans="3:31">
      <c r="C1115" s="530"/>
      <c r="D1115" s="530"/>
      <c r="E1115" s="530"/>
      <c r="F1115" s="530"/>
      <c r="G1115" s="1518"/>
      <c r="H1115" s="530"/>
      <c r="I1115" s="1432"/>
      <c r="J1115" s="530"/>
      <c r="K1115" s="530"/>
      <c r="L1115" s="530"/>
      <c r="M1115" s="533"/>
      <c r="N1115" s="530"/>
      <c r="O1115" s="530"/>
      <c r="P1115" s="530"/>
      <c r="Q1115" s="530"/>
      <c r="R1115" s="1432"/>
      <c r="S1115" s="530"/>
      <c r="T1115" s="533"/>
      <c r="U1115" s="533"/>
      <c r="V1115" s="1487"/>
      <c r="W1115" s="1487"/>
      <c r="X1115" s="1487"/>
      <c r="Y1115" s="533"/>
      <c r="Z1115" s="533"/>
      <c r="AA1115" s="530"/>
      <c r="AB1115" s="530"/>
      <c r="AC1115" s="530"/>
      <c r="AD1115" s="530"/>
      <c r="AE1115" s="530"/>
    </row>
    <row r="1116" spans="3:31">
      <c r="C1116" s="530"/>
      <c r="D1116" s="530"/>
      <c r="E1116" s="530"/>
      <c r="F1116" s="530"/>
      <c r="G1116" s="1518"/>
      <c r="H1116" s="530"/>
      <c r="I1116" s="1432"/>
      <c r="J1116" s="530"/>
      <c r="K1116" s="530"/>
      <c r="L1116" s="530"/>
      <c r="M1116" s="533"/>
      <c r="N1116" s="530"/>
      <c r="O1116" s="530"/>
      <c r="P1116" s="530"/>
      <c r="Q1116" s="530"/>
      <c r="R1116" s="1432"/>
      <c r="S1116" s="530"/>
      <c r="T1116" s="533"/>
      <c r="U1116" s="533"/>
      <c r="V1116" s="1487"/>
      <c r="W1116" s="1487"/>
      <c r="X1116" s="1487"/>
      <c r="Y1116" s="533"/>
      <c r="Z1116" s="533"/>
      <c r="AA1116" s="530"/>
      <c r="AB1116" s="530"/>
      <c r="AC1116" s="530"/>
      <c r="AD1116" s="530"/>
      <c r="AE1116" s="530"/>
    </row>
    <row r="1117" spans="3:31">
      <c r="C1117" s="530"/>
      <c r="D1117" s="530"/>
      <c r="E1117" s="530"/>
      <c r="F1117" s="530"/>
      <c r="G1117" s="1518"/>
      <c r="H1117" s="530"/>
      <c r="I1117" s="1432"/>
      <c r="J1117" s="530"/>
      <c r="K1117" s="530"/>
      <c r="L1117" s="530"/>
      <c r="M1117" s="533"/>
      <c r="N1117" s="530"/>
      <c r="O1117" s="530"/>
      <c r="P1117" s="530"/>
      <c r="Q1117" s="530"/>
      <c r="R1117" s="1432"/>
      <c r="S1117" s="530"/>
      <c r="T1117" s="533"/>
      <c r="U1117" s="533"/>
      <c r="V1117" s="1487"/>
      <c r="W1117" s="1487"/>
      <c r="X1117" s="1487"/>
      <c r="Y1117" s="533"/>
      <c r="Z1117" s="533"/>
      <c r="AA1117" s="530"/>
      <c r="AB1117" s="530"/>
      <c r="AC1117" s="530"/>
      <c r="AD1117" s="530"/>
      <c r="AE1117" s="530"/>
    </row>
    <row r="1118" spans="3:31">
      <c r="C1118" s="530"/>
      <c r="D1118" s="530"/>
      <c r="E1118" s="530"/>
      <c r="F1118" s="530"/>
      <c r="G1118" s="1518"/>
      <c r="H1118" s="530"/>
      <c r="I1118" s="1432"/>
      <c r="J1118" s="530"/>
      <c r="K1118" s="530"/>
      <c r="L1118" s="530"/>
      <c r="M1118" s="533"/>
      <c r="N1118" s="530"/>
      <c r="O1118" s="530"/>
      <c r="P1118" s="530"/>
      <c r="Q1118" s="530"/>
      <c r="R1118" s="1432"/>
      <c r="S1118" s="530"/>
      <c r="T1118" s="533"/>
      <c r="U1118" s="533"/>
      <c r="V1118" s="1487"/>
      <c r="W1118" s="1487"/>
      <c r="X1118" s="1487"/>
      <c r="Y1118" s="533"/>
      <c r="Z1118" s="533"/>
      <c r="AA1118" s="530"/>
      <c r="AB1118" s="530"/>
      <c r="AC1118" s="530"/>
      <c r="AD1118" s="530"/>
      <c r="AE1118" s="530"/>
    </row>
    <row r="1119" spans="3:31">
      <c r="C1119" s="530"/>
      <c r="D1119" s="530"/>
      <c r="E1119" s="530"/>
      <c r="F1119" s="530"/>
      <c r="G1119" s="1518"/>
      <c r="H1119" s="530"/>
      <c r="I1119" s="1432"/>
      <c r="J1119" s="530"/>
      <c r="K1119" s="530"/>
      <c r="L1119" s="530"/>
      <c r="M1119" s="533"/>
      <c r="N1119" s="530"/>
      <c r="O1119" s="530"/>
      <c r="P1119" s="530"/>
      <c r="Q1119" s="530"/>
      <c r="R1119" s="1432"/>
      <c r="S1119" s="530"/>
      <c r="T1119" s="533"/>
      <c r="U1119" s="533"/>
      <c r="V1119" s="1487"/>
      <c r="W1119" s="1487"/>
      <c r="X1119" s="1487"/>
      <c r="Y1119" s="533"/>
      <c r="Z1119" s="533"/>
      <c r="AA1119" s="530"/>
      <c r="AB1119" s="530"/>
      <c r="AC1119" s="530"/>
      <c r="AD1119" s="530"/>
      <c r="AE1119" s="530"/>
    </row>
    <row r="1120" spans="3:31">
      <c r="C1120" s="530"/>
      <c r="D1120" s="530"/>
      <c r="E1120" s="530"/>
      <c r="F1120" s="530"/>
      <c r="G1120" s="1518"/>
      <c r="H1120" s="530"/>
      <c r="I1120" s="1432"/>
      <c r="J1120" s="530"/>
      <c r="K1120" s="530"/>
      <c r="L1120" s="530"/>
      <c r="M1120" s="533"/>
      <c r="N1120" s="530"/>
      <c r="O1120" s="530"/>
      <c r="P1120" s="530"/>
      <c r="Q1120" s="530"/>
      <c r="R1120" s="1432"/>
      <c r="S1120" s="530"/>
      <c r="T1120" s="533"/>
      <c r="U1120" s="533"/>
      <c r="V1120" s="1487"/>
      <c r="W1120" s="1487"/>
      <c r="X1120" s="1487"/>
      <c r="Y1120" s="533"/>
      <c r="Z1120" s="533"/>
      <c r="AA1120" s="530"/>
      <c r="AB1120" s="530"/>
      <c r="AC1120" s="530"/>
      <c r="AD1120" s="530"/>
      <c r="AE1120" s="530"/>
    </row>
    <row r="1121" spans="3:31">
      <c r="C1121" s="530"/>
      <c r="D1121" s="530"/>
      <c r="E1121" s="530"/>
      <c r="F1121" s="530"/>
      <c r="G1121" s="1518"/>
      <c r="H1121" s="530"/>
      <c r="I1121" s="1432"/>
      <c r="J1121" s="530"/>
      <c r="K1121" s="530"/>
      <c r="L1121" s="530"/>
      <c r="M1121" s="533"/>
      <c r="N1121" s="530"/>
      <c r="O1121" s="530"/>
      <c r="P1121" s="530"/>
      <c r="Q1121" s="530"/>
      <c r="R1121" s="1432"/>
      <c r="S1121" s="530"/>
      <c r="T1121" s="533"/>
      <c r="U1121" s="533"/>
      <c r="V1121" s="1487"/>
      <c r="W1121" s="1487"/>
      <c r="X1121" s="1487"/>
      <c r="Y1121" s="533"/>
      <c r="Z1121" s="533"/>
      <c r="AA1121" s="530"/>
      <c r="AB1121" s="530"/>
      <c r="AC1121" s="530"/>
      <c r="AD1121" s="530"/>
      <c r="AE1121" s="530"/>
    </row>
    <row r="1122" spans="3:31">
      <c r="C1122" s="530"/>
      <c r="D1122" s="530"/>
      <c r="E1122" s="530"/>
      <c r="F1122" s="530"/>
      <c r="G1122" s="1518"/>
      <c r="H1122" s="530"/>
      <c r="I1122" s="1432"/>
      <c r="J1122" s="530"/>
      <c r="K1122" s="530"/>
      <c r="L1122" s="530"/>
      <c r="M1122" s="533"/>
      <c r="N1122" s="530"/>
      <c r="O1122" s="530"/>
      <c r="P1122" s="530"/>
      <c r="Q1122" s="530"/>
      <c r="R1122" s="1432"/>
      <c r="S1122" s="530"/>
      <c r="T1122" s="533"/>
      <c r="U1122" s="533"/>
      <c r="V1122" s="1487"/>
      <c r="W1122" s="1487"/>
      <c r="X1122" s="1487"/>
      <c r="Y1122" s="533"/>
      <c r="Z1122" s="533"/>
      <c r="AA1122" s="530"/>
      <c r="AB1122" s="530"/>
      <c r="AC1122" s="530"/>
      <c r="AD1122" s="530"/>
      <c r="AE1122" s="530"/>
    </row>
    <row r="1123" spans="3:31">
      <c r="C1123" s="530"/>
      <c r="D1123" s="530"/>
      <c r="E1123" s="530"/>
      <c r="F1123" s="530"/>
      <c r="G1123" s="1518"/>
      <c r="H1123" s="530"/>
      <c r="I1123" s="1432"/>
      <c r="J1123" s="530"/>
      <c r="K1123" s="530"/>
      <c r="L1123" s="530"/>
      <c r="M1123" s="533"/>
      <c r="N1123" s="530"/>
      <c r="O1123" s="530"/>
      <c r="P1123" s="530"/>
      <c r="Q1123" s="530"/>
      <c r="R1123" s="1432"/>
      <c r="S1123" s="530"/>
      <c r="T1123" s="533"/>
      <c r="U1123" s="533"/>
      <c r="V1123" s="1487"/>
      <c r="W1123" s="1487"/>
      <c r="X1123" s="1487"/>
      <c r="Y1123" s="533"/>
      <c r="Z1123" s="533"/>
      <c r="AA1123" s="530"/>
      <c r="AB1123" s="530"/>
      <c r="AC1123" s="530"/>
      <c r="AD1123" s="530"/>
      <c r="AE1123" s="530"/>
    </row>
    <row r="1124" spans="3:31">
      <c r="C1124" s="530"/>
      <c r="D1124" s="530"/>
      <c r="E1124" s="530"/>
      <c r="F1124" s="530"/>
      <c r="G1124" s="1518"/>
      <c r="H1124" s="530"/>
      <c r="I1124" s="1432"/>
      <c r="J1124" s="530"/>
      <c r="K1124" s="530"/>
      <c r="L1124" s="530"/>
      <c r="M1124" s="533"/>
      <c r="N1124" s="530"/>
      <c r="O1124" s="530"/>
      <c r="P1124" s="530"/>
      <c r="Q1124" s="530"/>
      <c r="R1124" s="1432"/>
      <c r="S1124" s="530"/>
      <c r="T1124" s="533"/>
      <c r="U1124" s="533"/>
      <c r="V1124" s="1487"/>
      <c r="W1124" s="1487"/>
      <c r="X1124" s="1487"/>
      <c r="Y1124" s="533"/>
      <c r="Z1124" s="533"/>
      <c r="AA1124" s="530"/>
      <c r="AB1124" s="530"/>
      <c r="AC1124" s="530"/>
      <c r="AD1124" s="530"/>
      <c r="AE1124" s="530"/>
    </row>
    <row r="1125" spans="3:31">
      <c r="C1125" s="530"/>
      <c r="D1125" s="530"/>
      <c r="E1125" s="530"/>
      <c r="F1125" s="530"/>
      <c r="G1125" s="1518"/>
      <c r="H1125" s="530"/>
      <c r="I1125" s="1432"/>
      <c r="J1125" s="530"/>
      <c r="K1125" s="530"/>
      <c r="L1125" s="530"/>
      <c r="M1125" s="533"/>
      <c r="N1125" s="530"/>
      <c r="O1125" s="530"/>
      <c r="P1125" s="530"/>
      <c r="Q1125" s="530"/>
      <c r="R1125" s="1432"/>
      <c r="S1125" s="530"/>
      <c r="T1125" s="533"/>
      <c r="U1125" s="533"/>
      <c r="V1125" s="1487"/>
      <c r="W1125" s="1487"/>
      <c r="X1125" s="1487"/>
      <c r="Y1125" s="533"/>
      <c r="Z1125" s="533"/>
      <c r="AA1125" s="530"/>
      <c r="AB1125" s="530"/>
      <c r="AC1125" s="530"/>
      <c r="AD1125" s="530"/>
      <c r="AE1125" s="530"/>
    </row>
    <row r="1126" spans="3:31">
      <c r="C1126" s="530"/>
      <c r="D1126" s="530"/>
      <c r="E1126" s="530"/>
      <c r="F1126" s="530"/>
      <c r="G1126" s="1518"/>
      <c r="H1126" s="530"/>
      <c r="I1126" s="1432"/>
      <c r="J1126" s="530"/>
      <c r="K1126" s="530"/>
      <c r="L1126" s="530"/>
      <c r="M1126" s="533"/>
      <c r="N1126" s="530"/>
      <c r="O1126" s="530"/>
      <c r="P1126" s="530"/>
      <c r="Q1126" s="530"/>
      <c r="R1126" s="1432"/>
      <c r="S1126" s="530"/>
      <c r="T1126" s="533"/>
      <c r="U1126" s="533"/>
      <c r="V1126" s="1487"/>
      <c r="W1126" s="1487"/>
      <c r="X1126" s="1487"/>
      <c r="Y1126" s="533"/>
      <c r="Z1126" s="533"/>
      <c r="AA1126" s="530"/>
      <c r="AB1126" s="530"/>
      <c r="AC1126" s="530"/>
      <c r="AD1126" s="530"/>
      <c r="AE1126" s="530"/>
    </row>
    <row r="1127" spans="3:31">
      <c r="C1127" s="530"/>
      <c r="D1127" s="530"/>
      <c r="E1127" s="530"/>
      <c r="F1127" s="530"/>
      <c r="G1127" s="1518"/>
      <c r="H1127" s="530"/>
      <c r="I1127" s="1432"/>
      <c r="J1127" s="530"/>
      <c r="K1127" s="530"/>
      <c r="L1127" s="530"/>
      <c r="M1127" s="533"/>
      <c r="N1127" s="530"/>
      <c r="O1127" s="530"/>
      <c r="P1127" s="530"/>
      <c r="Q1127" s="530"/>
      <c r="R1127" s="1432"/>
      <c r="S1127" s="530"/>
      <c r="T1127" s="533"/>
      <c r="U1127" s="533"/>
      <c r="V1127" s="1487"/>
      <c r="W1127" s="1487"/>
      <c r="X1127" s="1487"/>
      <c r="Y1127" s="533"/>
      <c r="Z1127" s="533"/>
      <c r="AA1127" s="530"/>
      <c r="AB1127" s="530"/>
      <c r="AC1127" s="530"/>
      <c r="AD1127" s="530"/>
      <c r="AE1127" s="530"/>
    </row>
    <row r="1128" spans="3:31">
      <c r="C1128" s="530"/>
      <c r="D1128" s="530"/>
      <c r="E1128" s="530"/>
      <c r="F1128" s="530"/>
      <c r="G1128" s="1518"/>
      <c r="H1128" s="530"/>
      <c r="I1128" s="1432"/>
      <c r="J1128" s="530"/>
      <c r="K1128" s="530"/>
      <c r="L1128" s="530"/>
      <c r="M1128" s="533"/>
      <c r="N1128" s="530"/>
      <c r="O1128" s="530"/>
      <c r="P1128" s="530"/>
      <c r="Q1128" s="530"/>
      <c r="R1128" s="1432"/>
      <c r="S1128" s="530"/>
      <c r="T1128" s="533"/>
      <c r="U1128" s="533"/>
      <c r="V1128" s="1487"/>
      <c r="W1128" s="1487"/>
      <c r="X1128" s="1487"/>
      <c r="Y1128" s="533"/>
      <c r="Z1128" s="533"/>
      <c r="AA1128" s="530"/>
      <c r="AB1128" s="530"/>
      <c r="AC1128" s="530"/>
      <c r="AD1128" s="530"/>
      <c r="AE1128" s="530"/>
    </row>
    <row r="1129" spans="3:31">
      <c r="C1129" s="530"/>
      <c r="D1129" s="530"/>
      <c r="E1129" s="530"/>
      <c r="F1129" s="530"/>
      <c r="G1129" s="1518"/>
      <c r="H1129" s="530"/>
      <c r="I1129" s="1432"/>
      <c r="J1129" s="530"/>
      <c r="K1129" s="530"/>
      <c r="L1129" s="530"/>
      <c r="M1129" s="533"/>
      <c r="N1129" s="530"/>
      <c r="O1129" s="530"/>
      <c r="P1129" s="530"/>
      <c r="Q1129" s="530"/>
      <c r="R1129" s="1432"/>
      <c r="S1129" s="530"/>
      <c r="T1129" s="533"/>
      <c r="U1129" s="533"/>
      <c r="V1129" s="1487"/>
      <c r="W1129" s="1487"/>
      <c r="X1129" s="1487"/>
      <c r="Y1129" s="533"/>
      <c r="Z1129" s="533"/>
      <c r="AA1129" s="530"/>
      <c r="AB1129" s="530"/>
      <c r="AC1129" s="530"/>
      <c r="AD1129" s="530"/>
      <c r="AE1129" s="530"/>
    </row>
    <row r="1130" spans="3:31">
      <c r="C1130" s="530"/>
      <c r="D1130" s="530"/>
      <c r="E1130" s="530"/>
      <c r="F1130" s="530"/>
      <c r="G1130" s="1518"/>
      <c r="H1130" s="530"/>
      <c r="I1130" s="1432"/>
      <c r="J1130" s="530"/>
      <c r="K1130" s="530"/>
      <c r="L1130" s="530"/>
      <c r="M1130" s="533"/>
      <c r="N1130" s="530"/>
      <c r="O1130" s="530"/>
      <c r="P1130" s="530"/>
      <c r="Q1130" s="530"/>
      <c r="R1130" s="1432"/>
      <c r="S1130" s="530"/>
      <c r="T1130" s="533"/>
      <c r="U1130" s="533"/>
      <c r="V1130" s="1487"/>
      <c r="W1130" s="1487"/>
      <c r="X1130" s="1487"/>
      <c r="Y1130" s="533"/>
      <c r="Z1130" s="533"/>
      <c r="AA1130" s="530"/>
      <c r="AB1130" s="530"/>
      <c r="AC1130" s="530"/>
      <c r="AD1130" s="530"/>
      <c r="AE1130" s="530"/>
    </row>
    <row r="1131" spans="3:31">
      <c r="C1131" s="530"/>
      <c r="D1131" s="530"/>
      <c r="E1131" s="530"/>
      <c r="F1131" s="530"/>
      <c r="G1131" s="1518"/>
      <c r="H1131" s="530"/>
      <c r="I1131" s="1432"/>
      <c r="J1131" s="530"/>
      <c r="K1131" s="530"/>
      <c r="L1131" s="530"/>
      <c r="M1131" s="533"/>
      <c r="N1131" s="530"/>
      <c r="O1131" s="530"/>
      <c r="P1131" s="530"/>
      <c r="Q1131" s="530"/>
      <c r="R1131" s="1432"/>
      <c r="S1131" s="530"/>
      <c r="T1131" s="533"/>
      <c r="U1131" s="533"/>
      <c r="V1131" s="1487"/>
      <c r="W1131" s="1487"/>
      <c r="X1131" s="1487"/>
      <c r="Y1131" s="533"/>
      <c r="Z1131" s="533"/>
      <c r="AA1131" s="530"/>
      <c r="AB1131" s="530"/>
      <c r="AC1131" s="530"/>
      <c r="AD1131" s="530"/>
      <c r="AE1131" s="530"/>
    </row>
    <row r="1132" spans="3:31">
      <c r="C1132" s="530"/>
      <c r="D1132" s="530"/>
      <c r="E1132" s="530"/>
      <c r="F1132" s="530"/>
      <c r="G1132" s="1518"/>
      <c r="H1132" s="530"/>
      <c r="I1132" s="1432"/>
      <c r="J1132" s="530"/>
      <c r="K1132" s="530"/>
      <c r="L1132" s="530"/>
      <c r="M1132" s="533"/>
      <c r="N1132" s="530"/>
      <c r="O1132" s="530"/>
      <c r="P1132" s="530"/>
      <c r="Q1132" s="530"/>
      <c r="R1132" s="1432"/>
      <c r="S1132" s="530"/>
      <c r="T1132" s="533"/>
      <c r="U1132" s="533"/>
      <c r="V1132" s="1487"/>
      <c r="W1132" s="1487"/>
      <c r="X1132" s="1487"/>
      <c r="Y1132" s="533"/>
      <c r="Z1132" s="533"/>
      <c r="AA1132" s="530"/>
      <c r="AB1132" s="530"/>
      <c r="AC1132" s="530"/>
      <c r="AD1132" s="530"/>
      <c r="AE1132" s="530"/>
    </row>
    <row r="1133" spans="3:31">
      <c r="C1133" s="530"/>
      <c r="D1133" s="530"/>
      <c r="E1133" s="530"/>
      <c r="F1133" s="530"/>
      <c r="G1133" s="1518"/>
      <c r="H1133" s="530"/>
      <c r="I1133" s="1432"/>
      <c r="J1133" s="530"/>
      <c r="K1133" s="530"/>
      <c r="L1133" s="530"/>
      <c r="M1133" s="533"/>
      <c r="N1133" s="530"/>
      <c r="O1133" s="530"/>
      <c r="P1133" s="530"/>
      <c r="Q1133" s="530"/>
      <c r="R1133" s="1432"/>
      <c r="S1133" s="530"/>
      <c r="T1133" s="533"/>
      <c r="U1133" s="533"/>
      <c r="V1133" s="1487"/>
      <c r="W1133" s="1487"/>
      <c r="X1133" s="1487"/>
      <c r="Y1133" s="533"/>
      <c r="Z1133" s="533"/>
      <c r="AA1133" s="530"/>
      <c r="AB1133" s="530"/>
      <c r="AC1133" s="530"/>
      <c r="AD1133" s="530"/>
      <c r="AE1133" s="530"/>
    </row>
    <row r="1134" spans="3:31">
      <c r="C1134" s="530"/>
      <c r="D1134" s="530"/>
      <c r="E1134" s="530"/>
      <c r="F1134" s="530"/>
      <c r="G1134" s="1518"/>
      <c r="H1134" s="530"/>
      <c r="I1134" s="1432"/>
      <c r="J1134" s="530"/>
      <c r="K1134" s="530"/>
      <c r="L1134" s="530"/>
      <c r="M1134" s="533"/>
      <c r="N1134" s="530"/>
      <c r="O1134" s="530"/>
      <c r="P1134" s="530"/>
      <c r="Q1134" s="530"/>
      <c r="R1134" s="1432"/>
      <c r="S1134" s="530"/>
      <c r="T1134" s="533"/>
      <c r="U1134" s="533"/>
      <c r="V1134" s="1487"/>
      <c r="W1134" s="1487"/>
      <c r="X1134" s="1487"/>
      <c r="Y1134" s="533"/>
      <c r="Z1134" s="533"/>
      <c r="AA1134" s="530"/>
      <c r="AB1134" s="530"/>
      <c r="AC1134" s="530"/>
      <c r="AD1134" s="530"/>
      <c r="AE1134" s="530"/>
    </row>
    <row r="1135" spans="3:31">
      <c r="C1135" s="530"/>
      <c r="D1135" s="530"/>
      <c r="E1135" s="530"/>
      <c r="F1135" s="530"/>
      <c r="G1135" s="1518"/>
      <c r="H1135" s="530"/>
      <c r="I1135" s="1432"/>
      <c r="J1135" s="530"/>
      <c r="K1135" s="530"/>
      <c r="L1135" s="530"/>
      <c r="M1135" s="533"/>
      <c r="N1135" s="530"/>
      <c r="O1135" s="530"/>
      <c r="P1135" s="530"/>
      <c r="Q1135" s="530"/>
      <c r="R1135" s="1432"/>
      <c r="S1135" s="530"/>
      <c r="T1135" s="533"/>
      <c r="U1135" s="533"/>
      <c r="V1135" s="1487"/>
      <c r="W1135" s="1487"/>
      <c r="X1135" s="1487"/>
      <c r="Y1135" s="533"/>
      <c r="Z1135" s="533"/>
      <c r="AA1135" s="530"/>
      <c r="AB1135" s="530"/>
      <c r="AC1135" s="530"/>
      <c r="AD1135" s="530"/>
      <c r="AE1135" s="530"/>
    </row>
    <row r="1136" spans="3:31">
      <c r="C1136" s="530"/>
      <c r="D1136" s="530"/>
      <c r="E1136" s="530"/>
      <c r="F1136" s="530"/>
      <c r="G1136" s="1518"/>
      <c r="H1136" s="530"/>
      <c r="I1136" s="1432"/>
      <c r="J1136" s="530"/>
      <c r="K1136" s="530"/>
      <c r="L1136" s="530"/>
      <c r="M1136" s="533"/>
      <c r="N1136" s="530"/>
      <c r="O1136" s="530"/>
      <c r="P1136" s="530"/>
      <c r="Q1136" s="530"/>
      <c r="R1136" s="1432"/>
      <c r="S1136" s="530"/>
      <c r="T1136" s="533"/>
      <c r="U1136" s="533"/>
      <c r="V1136" s="1487"/>
      <c r="W1136" s="1487"/>
      <c r="X1136" s="1487"/>
      <c r="Y1136" s="533"/>
      <c r="Z1136" s="533"/>
      <c r="AA1136" s="530"/>
      <c r="AB1136" s="530"/>
      <c r="AC1136" s="530"/>
      <c r="AD1136" s="530"/>
      <c r="AE1136" s="530"/>
    </row>
    <row r="1137" spans="3:31">
      <c r="C1137" s="530"/>
      <c r="D1137" s="530"/>
      <c r="E1137" s="530"/>
      <c r="F1137" s="530"/>
      <c r="G1137" s="1518"/>
      <c r="H1137" s="530"/>
      <c r="I1137" s="1432"/>
      <c r="J1137" s="530"/>
      <c r="K1137" s="530"/>
      <c r="L1137" s="530"/>
      <c r="M1137" s="533"/>
      <c r="N1137" s="530"/>
      <c r="O1137" s="530"/>
      <c r="P1137" s="530"/>
      <c r="Q1137" s="530"/>
      <c r="R1137" s="1432"/>
      <c r="S1137" s="530"/>
      <c r="T1137" s="533"/>
      <c r="U1137" s="533"/>
      <c r="V1137" s="1487"/>
      <c r="W1137" s="1487"/>
      <c r="X1137" s="1487"/>
      <c r="Y1137" s="533"/>
      <c r="Z1137" s="533"/>
      <c r="AA1137" s="530"/>
      <c r="AB1137" s="530"/>
      <c r="AC1137" s="530"/>
      <c r="AD1137" s="530"/>
      <c r="AE1137" s="530"/>
    </row>
    <row r="1138" spans="3:31">
      <c r="C1138" s="530"/>
      <c r="D1138" s="530"/>
      <c r="E1138" s="530"/>
      <c r="F1138" s="530"/>
      <c r="G1138" s="1518"/>
      <c r="H1138" s="530"/>
      <c r="I1138" s="1432"/>
      <c r="J1138" s="530"/>
      <c r="K1138" s="530"/>
      <c r="L1138" s="530"/>
      <c r="M1138" s="533"/>
      <c r="N1138" s="530"/>
      <c r="O1138" s="530"/>
      <c r="P1138" s="530"/>
      <c r="Q1138" s="530"/>
      <c r="R1138" s="1432"/>
      <c r="S1138" s="530"/>
      <c r="T1138" s="533"/>
      <c r="U1138" s="533"/>
      <c r="V1138" s="1487"/>
      <c r="W1138" s="1487"/>
      <c r="X1138" s="1487"/>
      <c r="Y1138" s="533"/>
      <c r="Z1138" s="533"/>
      <c r="AA1138" s="530"/>
      <c r="AB1138" s="530"/>
      <c r="AC1138" s="530"/>
      <c r="AD1138" s="530"/>
      <c r="AE1138" s="530"/>
    </row>
    <row r="1139" spans="3:31">
      <c r="C1139" s="530"/>
      <c r="D1139" s="530"/>
      <c r="E1139" s="530"/>
      <c r="F1139" s="530"/>
      <c r="G1139" s="1518"/>
      <c r="H1139" s="530"/>
      <c r="I1139" s="1432"/>
      <c r="J1139" s="530"/>
      <c r="K1139" s="530"/>
      <c r="L1139" s="530"/>
      <c r="M1139" s="533"/>
      <c r="N1139" s="530"/>
      <c r="O1139" s="530"/>
      <c r="P1139" s="530"/>
      <c r="Q1139" s="530"/>
      <c r="R1139" s="1432"/>
      <c r="S1139" s="530"/>
      <c r="T1139" s="533"/>
      <c r="U1139" s="533"/>
      <c r="V1139" s="1487"/>
      <c r="W1139" s="1487"/>
      <c r="X1139" s="1487"/>
      <c r="Y1139" s="533"/>
      <c r="Z1139" s="533"/>
      <c r="AA1139" s="530"/>
      <c r="AB1139" s="530"/>
      <c r="AC1139" s="530"/>
      <c r="AD1139" s="530"/>
      <c r="AE1139" s="530"/>
    </row>
    <row r="1140" spans="3:31">
      <c r="C1140" s="530"/>
      <c r="D1140" s="530"/>
      <c r="E1140" s="530"/>
      <c r="F1140" s="530"/>
      <c r="G1140" s="1518"/>
      <c r="H1140" s="530"/>
      <c r="I1140" s="1432"/>
      <c r="J1140" s="530"/>
      <c r="K1140" s="530"/>
      <c r="L1140" s="530"/>
      <c r="M1140" s="533"/>
      <c r="N1140" s="530"/>
      <c r="O1140" s="530"/>
      <c r="P1140" s="530"/>
      <c r="Q1140" s="530"/>
      <c r="R1140" s="1432"/>
      <c r="S1140" s="530"/>
      <c r="T1140" s="533"/>
      <c r="U1140" s="533"/>
      <c r="V1140" s="1487"/>
      <c r="W1140" s="1487"/>
      <c r="X1140" s="1487"/>
      <c r="Y1140" s="533"/>
      <c r="Z1140" s="533"/>
      <c r="AA1140" s="530"/>
      <c r="AB1140" s="530"/>
      <c r="AC1140" s="530"/>
      <c r="AD1140" s="530"/>
      <c r="AE1140" s="530"/>
    </row>
    <row r="1141" spans="3:31">
      <c r="C1141" s="530"/>
      <c r="D1141" s="530"/>
      <c r="E1141" s="530"/>
      <c r="F1141" s="530"/>
      <c r="G1141" s="1518"/>
      <c r="H1141" s="530"/>
      <c r="I1141" s="1432"/>
      <c r="J1141" s="530"/>
      <c r="K1141" s="530"/>
      <c r="L1141" s="530"/>
      <c r="M1141" s="533"/>
      <c r="N1141" s="530"/>
      <c r="O1141" s="530"/>
      <c r="P1141" s="530"/>
      <c r="Q1141" s="530"/>
      <c r="R1141" s="1432"/>
      <c r="S1141" s="530"/>
      <c r="T1141" s="533"/>
      <c r="U1141" s="533"/>
      <c r="V1141" s="1487"/>
      <c r="W1141" s="1487"/>
      <c r="X1141" s="1487"/>
      <c r="Y1141" s="533"/>
      <c r="Z1141" s="533"/>
      <c r="AA1141" s="530"/>
      <c r="AB1141" s="530"/>
      <c r="AC1141" s="530"/>
      <c r="AD1141" s="530"/>
      <c r="AE1141" s="530"/>
    </row>
    <row r="1142" spans="3:31">
      <c r="C1142" s="530"/>
      <c r="D1142" s="530"/>
      <c r="E1142" s="530"/>
      <c r="F1142" s="530"/>
      <c r="G1142" s="1518"/>
      <c r="H1142" s="530"/>
      <c r="I1142" s="1432"/>
      <c r="J1142" s="530"/>
      <c r="K1142" s="530"/>
      <c r="L1142" s="530"/>
      <c r="M1142" s="533"/>
      <c r="N1142" s="530"/>
      <c r="O1142" s="530"/>
      <c r="P1142" s="530"/>
      <c r="Q1142" s="530"/>
      <c r="R1142" s="1432"/>
      <c r="S1142" s="530"/>
      <c r="T1142" s="533"/>
      <c r="U1142" s="533"/>
      <c r="V1142" s="1487"/>
      <c r="W1142" s="1487"/>
      <c r="X1142" s="1487"/>
      <c r="Y1142" s="533"/>
      <c r="Z1142" s="533"/>
      <c r="AA1142" s="530"/>
      <c r="AB1142" s="530"/>
      <c r="AC1142" s="530"/>
      <c r="AD1142" s="530"/>
      <c r="AE1142" s="530"/>
    </row>
    <row r="1143" spans="3:31">
      <c r="C1143" s="530"/>
      <c r="D1143" s="530"/>
      <c r="E1143" s="530"/>
      <c r="F1143" s="530"/>
      <c r="G1143" s="1518"/>
      <c r="H1143" s="530"/>
      <c r="I1143" s="1432"/>
      <c r="J1143" s="530"/>
      <c r="K1143" s="530"/>
      <c r="L1143" s="530"/>
      <c r="M1143" s="533"/>
      <c r="N1143" s="530"/>
      <c r="O1143" s="530"/>
      <c r="P1143" s="530"/>
      <c r="Q1143" s="530"/>
      <c r="R1143" s="1432"/>
      <c r="S1143" s="530"/>
      <c r="T1143" s="533"/>
      <c r="U1143" s="533"/>
      <c r="V1143" s="1487"/>
      <c r="W1143" s="1487"/>
      <c r="X1143" s="1487"/>
      <c r="Y1143" s="533"/>
      <c r="Z1143" s="533"/>
      <c r="AA1143" s="530"/>
      <c r="AB1143" s="530"/>
      <c r="AC1143" s="530"/>
      <c r="AD1143" s="530"/>
      <c r="AE1143" s="530"/>
    </row>
    <row r="1144" spans="3:31">
      <c r="C1144" s="530"/>
      <c r="D1144" s="530"/>
      <c r="E1144" s="530"/>
      <c r="F1144" s="530"/>
      <c r="G1144" s="1518"/>
      <c r="H1144" s="530"/>
      <c r="I1144" s="1432"/>
      <c r="J1144" s="530"/>
      <c r="K1144" s="530"/>
      <c r="L1144" s="530"/>
      <c r="M1144" s="533"/>
      <c r="N1144" s="530"/>
      <c r="O1144" s="530"/>
      <c r="P1144" s="530"/>
      <c r="Q1144" s="530"/>
      <c r="R1144" s="1432"/>
      <c r="S1144" s="530"/>
      <c r="T1144" s="533"/>
      <c r="U1144" s="533"/>
      <c r="V1144" s="1487"/>
      <c r="W1144" s="1487"/>
      <c r="X1144" s="1487"/>
      <c r="Y1144" s="533"/>
      <c r="Z1144" s="533"/>
      <c r="AA1144" s="530"/>
      <c r="AB1144" s="530"/>
      <c r="AC1144" s="530"/>
      <c r="AD1144" s="530"/>
      <c r="AE1144" s="530"/>
    </row>
    <row r="1145" spans="3:31">
      <c r="C1145" s="530"/>
      <c r="D1145" s="530"/>
      <c r="E1145" s="530"/>
      <c r="F1145" s="530"/>
      <c r="G1145" s="1518"/>
      <c r="H1145" s="530"/>
      <c r="I1145" s="1432"/>
      <c r="J1145" s="530"/>
      <c r="K1145" s="530"/>
      <c r="L1145" s="530"/>
      <c r="M1145" s="533"/>
      <c r="N1145" s="530"/>
      <c r="O1145" s="530"/>
      <c r="P1145" s="530"/>
      <c r="Q1145" s="530"/>
      <c r="R1145" s="1432"/>
      <c r="S1145" s="530"/>
      <c r="T1145" s="533"/>
      <c r="U1145" s="533"/>
      <c r="V1145" s="1487"/>
      <c r="W1145" s="1487"/>
      <c r="X1145" s="1487"/>
      <c r="Y1145" s="533"/>
      <c r="Z1145" s="533"/>
      <c r="AA1145" s="530"/>
      <c r="AB1145" s="530"/>
      <c r="AC1145" s="530"/>
      <c r="AD1145" s="530"/>
      <c r="AE1145" s="530"/>
    </row>
    <row r="1146" spans="3:31">
      <c r="C1146" s="530"/>
      <c r="D1146" s="530"/>
      <c r="E1146" s="530"/>
      <c r="F1146" s="530"/>
      <c r="G1146" s="1518"/>
      <c r="H1146" s="530"/>
      <c r="I1146" s="1432"/>
      <c r="J1146" s="530"/>
      <c r="K1146" s="530"/>
      <c r="L1146" s="530"/>
      <c r="M1146" s="533"/>
      <c r="N1146" s="530"/>
      <c r="O1146" s="530"/>
      <c r="P1146" s="530"/>
      <c r="Q1146" s="530"/>
      <c r="R1146" s="1432"/>
      <c r="S1146" s="530"/>
      <c r="T1146" s="533"/>
      <c r="U1146" s="533"/>
      <c r="V1146" s="1487"/>
      <c r="W1146" s="1487"/>
      <c r="X1146" s="1487"/>
      <c r="Y1146" s="533"/>
      <c r="Z1146" s="533"/>
      <c r="AA1146" s="530"/>
      <c r="AB1146" s="530"/>
      <c r="AC1146" s="530"/>
      <c r="AD1146" s="530"/>
      <c r="AE1146" s="530"/>
    </row>
    <row r="1147" spans="3:31">
      <c r="C1147" s="530"/>
      <c r="D1147" s="530"/>
      <c r="E1147" s="530"/>
      <c r="F1147" s="530"/>
      <c r="G1147" s="1518"/>
      <c r="H1147" s="530"/>
      <c r="I1147" s="1432"/>
      <c r="J1147" s="530"/>
      <c r="K1147" s="530"/>
      <c r="L1147" s="530"/>
      <c r="M1147" s="533"/>
      <c r="N1147" s="530"/>
      <c r="O1147" s="530"/>
      <c r="P1147" s="530"/>
      <c r="Q1147" s="530"/>
      <c r="R1147" s="1432"/>
      <c r="S1147" s="530"/>
      <c r="T1147" s="533"/>
      <c r="U1147" s="533"/>
      <c r="V1147" s="1487"/>
      <c r="W1147" s="1487"/>
      <c r="X1147" s="1487"/>
      <c r="Y1147" s="533"/>
      <c r="Z1147" s="533"/>
      <c r="AA1147" s="530"/>
      <c r="AB1147" s="530"/>
      <c r="AC1147" s="530"/>
      <c r="AD1147" s="530"/>
      <c r="AE1147" s="530"/>
    </row>
    <row r="1148" spans="3:31">
      <c r="C1148" s="530"/>
      <c r="D1148" s="530"/>
      <c r="E1148" s="530"/>
      <c r="F1148" s="530"/>
      <c r="G1148" s="1518"/>
      <c r="H1148" s="530"/>
      <c r="I1148" s="1432"/>
      <c r="J1148" s="530"/>
      <c r="K1148" s="530"/>
      <c r="L1148" s="530"/>
      <c r="M1148" s="533"/>
      <c r="N1148" s="530"/>
      <c r="O1148" s="530"/>
      <c r="P1148" s="530"/>
      <c r="Q1148" s="530"/>
      <c r="R1148" s="1432"/>
      <c r="S1148" s="530"/>
      <c r="T1148" s="533"/>
      <c r="U1148" s="533"/>
      <c r="V1148" s="1487"/>
      <c r="W1148" s="1487"/>
      <c r="X1148" s="1487"/>
      <c r="Y1148" s="533"/>
      <c r="Z1148" s="533"/>
      <c r="AA1148" s="530"/>
      <c r="AB1148" s="530"/>
      <c r="AC1148" s="530"/>
      <c r="AD1148" s="530"/>
      <c r="AE1148" s="530"/>
    </row>
    <row r="1149" spans="3:31">
      <c r="C1149" s="530"/>
      <c r="D1149" s="530"/>
      <c r="E1149" s="530"/>
      <c r="F1149" s="530"/>
      <c r="G1149" s="1518"/>
      <c r="H1149" s="530"/>
      <c r="I1149" s="1432"/>
      <c r="J1149" s="530"/>
      <c r="K1149" s="530"/>
      <c r="L1149" s="530"/>
      <c r="M1149" s="533"/>
      <c r="N1149" s="530"/>
      <c r="O1149" s="530"/>
      <c r="P1149" s="530"/>
      <c r="Q1149" s="530"/>
      <c r="R1149" s="1432"/>
      <c r="S1149" s="530"/>
      <c r="T1149" s="533"/>
      <c r="U1149" s="533"/>
      <c r="V1149" s="1487"/>
      <c r="W1149" s="1487"/>
      <c r="X1149" s="1487"/>
      <c r="Y1149" s="533"/>
      <c r="Z1149" s="533"/>
      <c r="AA1149" s="530"/>
      <c r="AB1149" s="530"/>
      <c r="AC1149" s="530"/>
      <c r="AD1149" s="530"/>
      <c r="AE1149" s="530"/>
    </row>
    <row r="1150" spans="3:31">
      <c r="C1150" s="530"/>
      <c r="D1150" s="530"/>
      <c r="E1150" s="530"/>
      <c r="F1150" s="530"/>
      <c r="G1150" s="1518"/>
      <c r="H1150" s="530"/>
      <c r="I1150" s="1432"/>
      <c r="J1150" s="530"/>
      <c r="K1150" s="530"/>
      <c r="L1150" s="530"/>
      <c r="M1150" s="533"/>
      <c r="N1150" s="530"/>
      <c r="O1150" s="530"/>
      <c r="P1150" s="530"/>
      <c r="Q1150" s="530"/>
      <c r="R1150" s="1432"/>
      <c r="S1150" s="530"/>
      <c r="T1150" s="533"/>
      <c r="U1150" s="533"/>
      <c r="V1150" s="1487"/>
      <c r="W1150" s="1487"/>
      <c r="X1150" s="1487"/>
      <c r="Y1150" s="533"/>
      <c r="Z1150" s="533"/>
      <c r="AA1150" s="530"/>
      <c r="AB1150" s="530"/>
      <c r="AC1150" s="530"/>
      <c r="AD1150" s="530"/>
      <c r="AE1150" s="530"/>
    </row>
    <row r="1151" spans="3:31">
      <c r="C1151" s="530"/>
      <c r="D1151" s="530"/>
      <c r="E1151" s="530"/>
      <c r="F1151" s="530"/>
      <c r="G1151" s="1518"/>
      <c r="H1151" s="530"/>
      <c r="I1151" s="1432"/>
      <c r="J1151" s="530"/>
      <c r="K1151" s="530"/>
      <c r="L1151" s="530"/>
      <c r="M1151" s="533"/>
      <c r="N1151" s="530"/>
      <c r="O1151" s="530"/>
      <c r="P1151" s="530"/>
      <c r="Q1151" s="530"/>
      <c r="R1151" s="1432"/>
      <c r="S1151" s="530"/>
      <c r="T1151" s="533"/>
      <c r="U1151" s="533"/>
      <c r="V1151" s="1487"/>
      <c r="W1151" s="1487"/>
      <c r="X1151" s="1487"/>
      <c r="Y1151" s="533"/>
      <c r="Z1151" s="533"/>
      <c r="AA1151" s="530"/>
      <c r="AB1151" s="530"/>
      <c r="AC1151" s="530"/>
      <c r="AD1151" s="530"/>
      <c r="AE1151" s="530"/>
    </row>
    <row r="1152" spans="3:31">
      <c r="C1152" s="530"/>
      <c r="D1152" s="530"/>
      <c r="E1152" s="530"/>
      <c r="F1152" s="530"/>
      <c r="G1152" s="1518"/>
      <c r="H1152" s="530"/>
      <c r="I1152" s="1432"/>
      <c r="J1152" s="530"/>
      <c r="K1152" s="530"/>
      <c r="L1152" s="530"/>
      <c r="M1152" s="533"/>
      <c r="N1152" s="530"/>
      <c r="O1152" s="530"/>
      <c r="P1152" s="530"/>
      <c r="Q1152" s="530"/>
      <c r="R1152" s="1432"/>
      <c r="S1152" s="530"/>
      <c r="T1152" s="533"/>
      <c r="U1152" s="533"/>
      <c r="V1152" s="1487"/>
      <c r="W1152" s="1487"/>
      <c r="X1152" s="1487"/>
      <c r="Y1152" s="533"/>
      <c r="Z1152" s="533"/>
      <c r="AA1152" s="530"/>
      <c r="AB1152" s="530"/>
      <c r="AC1152" s="530"/>
      <c r="AD1152" s="530"/>
      <c r="AE1152" s="530"/>
    </row>
    <row r="1153" spans="3:31">
      <c r="C1153" s="530"/>
      <c r="D1153" s="530"/>
      <c r="E1153" s="530"/>
      <c r="F1153" s="530"/>
      <c r="G1153" s="1518"/>
      <c r="H1153" s="530"/>
      <c r="I1153" s="1432"/>
      <c r="J1153" s="530"/>
      <c r="K1153" s="530"/>
      <c r="L1153" s="530"/>
      <c r="M1153" s="533"/>
      <c r="N1153" s="530"/>
      <c r="O1153" s="530"/>
      <c r="P1153" s="530"/>
      <c r="Q1153" s="530"/>
      <c r="R1153" s="1432"/>
      <c r="S1153" s="530"/>
      <c r="T1153" s="533"/>
      <c r="U1153" s="533"/>
      <c r="V1153" s="1487"/>
      <c r="W1153" s="1487"/>
      <c r="X1153" s="1487"/>
      <c r="Y1153" s="533"/>
      <c r="Z1153" s="533"/>
      <c r="AA1153" s="530"/>
      <c r="AB1153" s="530"/>
      <c r="AC1153" s="530"/>
      <c r="AD1153" s="530"/>
      <c r="AE1153" s="530"/>
    </row>
    <row r="1154" spans="3:31">
      <c r="C1154" s="530"/>
      <c r="D1154" s="530"/>
      <c r="E1154" s="530"/>
      <c r="F1154" s="530"/>
      <c r="G1154" s="1518"/>
      <c r="H1154" s="530"/>
      <c r="I1154" s="1432"/>
      <c r="J1154" s="530"/>
      <c r="K1154" s="530"/>
      <c r="L1154" s="530"/>
      <c r="M1154" s="533"/>
      <c r="N1154" s="530"/>
      <c r="O1154" s="530"/>
      <c r="P1154" s="530"/>
      <c r="Q1154" s="530"/>
      <c r="R1154" s="1432"/>
      <c r="S1154" s="530"/>
      <c r="T1154" s="533"/>
      <c r="U1154" s="533"/>
      <c r="V1154" s="1487"/>
      <c r="W1154" s="1487"/>
      <c r="X1154" s="1487"/>
      <c r="Y1154" s="533"/>
      <c r="Z1154" s="533"/>
      <c r="AA1154" s="530"/>
      <c r="AB1154" s="530"/>
      <c r="AC1154" s="530"/>
      <c r="AD1154" s="530"/>
      <c r="AE1154" s="530"/>
    </row>
    <row r="1155" spans="3:31">
      <c r="C1155" s="530"/>
      <c r="D1155" s="530"/>
      <c r="E1155" s="530"/>
      <c r="F1155" s="530"/>
      <c r="G1155" s="1518"/>
      <c r="H1155" s="530"/>
      <c r="I1155" s="1432"/>
      <c r="J1155" s="530"/>
      <c r="K1155" s="530"/>
      <c r="L1155" s="530"/>
      <c r="M1155" s="533"/>
      <c r="N1155" s="530"/>
      <c r="O1155" s="530"/>
      <c r="P1155" s="530"/>
      <c r="Q1155" s="530"/>
      <c r="R1155" s="1432"/>
      <c r="S1155" s="530"/>
      <c r="T1155" s="533"/>
      <c r="U1155" s="533"/>
      <c r="V1155" s="1487"/>
      <c r="W1155" s="1487"/>
      <c r="X1155" s="1487"/>
      <c r="Y1155" s="533"/>
      <c r="Z1155" s="533"/>
      <c r="AA1155" s="530"/>
      <c r="AB1155" s="530"/>
      <c r="AC1155" s="530"/>
      <c r="AD1155" s="530"/>
      <c r="AE1155" s="530"/>
    </row>
    <row r="1156" spans="3:31">
      <c r="C1156" s="530"/>
      <c r="D1156" s="530"/>
      <c r="E1156" s="530"/>
      <c r="F1156" s="530"/>
      <c r="G1156" s="1518"/>
      <c r="H1156" s="530"/>
      <c r="I1156" s="1432"/>
      <c r="J1156" s="530"/>
      <c r="K1156" s="530"/>
      <c r="L1156" s="530"/>
      <c r="M1156" s="533"/>
      <c r="N1156" s="530"/>
      <c r="O1156" s="530"/>
      <c r="P1156" s="530"/>
      <c r="Q1156" s="530"/>
      <c r="R1156" s="1432"/>
      <c r="S1156" s="530"/>
      <c r="T1156" s="533"/>
      <c r="U1156" s="533"/>
      <c r="V1156" s="1487"/>
      <c r="W1156" s="1487"/>
      <c r="X1156" s="1487"/>
      <c r="Y1156" s="533"/>
      <c r="Z1156" s="533"/>
      <c r="AA1156" s="530"/>
      <c r="AB1156" s="530"/>
      <c r="AC1156" s="530"/>
      <c r="AD1156" s="530"/>
      <c r="AE1156" s="530"/>
    </row>
    <row r="1157" spans="3:31">
      <c r="C1157" s="530"/>
      <c r="D1157" s="530"/>
      <c r="E1157" s="530"/>
      <c r="F1157" s="530"/>
      <c r="G1157" s="1518"/>
      <c r="H1157" s="530"/>
      <c r="I1157" s="1432"/>
      <c r="J1157" s="530"/>
      <c r="K1157" s="530"/>
      <c r="L1157" s="530"/>
      <c r="M1157" s="533"/>
      <c r="N1157" s="530"/>
      <c r="O1157" s="530"/>
      <c r="P1157" s="530"/>
      <c r="Q1157" s="530"/>
      <c r="R1157" s="1432"/>
      <c r="S1157" s="530"/>
      <c r="T1157" s="533"/>
      <c r="U1157" s="533"/>
      <c r="V1157" s="1487"/>
      <c r="W1157" s="1487"/>
      <c r="X1157" s="1487"/>
      <c r="Y1157" s="533"/>
      <c r="Z1157" s="533"/>
      <c r="AA1157" s="530"/>
      <c r="AB1157" s="530"/>
      <c r="AC1157" s="530"/>
      <c r="AD1157" s="530"/>
      <c r="AE1157" s="530"/>
    </row>
    <row r="1158" spans="3:31">
      <c r="C1158" s="530"/>
      <c r="D1158" s="530"/>
      <c r="E1158" s="530"/>
      <c r="F1158" s="530"/>
      <c r="G1158" s="1518"/>
      <c r="H1158" s="530"/>
      <c r="I1158" s="1432"/>
      <c r="J1158" s="530"/>
      <c r="K1158" s="530"/>
      <c r="L1158" s="530"/>
      <c r="M1158" s="533"/>
      <c r="N1158" s="530"/>
      <c r="O1158" s="530"/>
      <c r="P1158" s="530"/>
      <c r="Q1158" s="530"/>
      <c r="R1158" s="1432"/>
      <c r="S1158" s="530"/>
      <c r="T1158" s="533"/>
      <c r="U1158" s="533"/>
      <c r="V1158" s="1487"/>
      <c r="W1158" s="1487"/>
      <c r="X1158" s="1487"/>
      <c r="Y1158" s="533"/>
      <c r="Z1158" s="533"/>
      <c r="AA1158" s="530"/>
      <c r="AB1158" s="530"/>
      <c r="AC1158" s="530"/>
      <c r="AD1158" s="530"/>
      <c r="AE1158" s="530"/>
    </row>
    <row r="1159" spans="3:31">
      <c r="C1159" s="530"/>
      <c r="D1159" s="530"/>
      <c r="E1159" s="530"/>
      <c r="F1159" s="530"/>
      <c r="G1159" s="1518"/>
      <c r="H1159" s="530"/>
      <c r="I1159" s="1432"/>
      <c r="J1159" s="530"/>
      <c r="K1159" s="530"/>
      <c r="L1159" s="530"/>
      <c r="M1159" s="533"/>
      <c r="N1159" s="530"/>
      <c r="O1159" s="530"/>
      <c r="P1159" s="530"/>
      <c r="Q1159" s="530"/>
      <c r="R1159" s="1432"/>
      <c r="S1159" s="530"/>
      <c r="T1159" s="533"/>
      <c r="U1159" s="533"/>
      <c r="V1159" s="1487"/>
      <c r="W1159" s="1487"/>
      <c r="X1159" s="1487"/>
      <c r="Y1159" s="533"/>
      <c r="Z1159" s="533"/>
      <c r="AA1159" s="530"/>
      <c r="AB1159" s="530"/>
      <c r="AC1159" s="530"/>
      <c r="AD1159" s="530"/>
      <c r="AE1159" s="530"/>
    </row>
    <row r="1160" spans="3:31">
      <c r="C1160" s="530"/>
      <c r="D1160" s="530"/>
      <c r="E1160" s="530"/>
      <c r="F1160" s="530"/>
      <c r="G1160" s="1518"/>
      <c r="H1160" s="530"/>
      <c r="I1160" s="1432"/>
      <c r="J1160" s="530"/>
      <c r="K1160" s="530"/>
      <c r="L1160" s="530"/>
      <c r="M1160" s="533"/>
      <c r="N1160" s="530"/>
      <c r="O1160" s="530"/>
      <c r="P1160" s="530"/>
      <c r="Q1160" s="530"/>
      <c r="R1160" s="1432"/>
      <c r="S1160" s="530"/>
      <c r="T1160" s="533"/>
      <c r="U1160" s="533"/>
      <c r="V1160" s="1487"/>
      <c r="W1160" s="1487"/>
      <c r="X1160" s="1487"/>
      <c r="Y1160" s="533"/>
      <c r="Z1160" s="533"/>
      <c r="AA1160" s="530"/>
      <c r="AB1160" s="530"/>
      <c r="AC1160" s="530"/>
      <c r="AD1160" s="530"/>
      <c r="AE1160" s="530"/>
    </row>
    <row r="1161" spans="3:31">
      <c r="C1161" s="530"/>
      <c r="D1161" s="530"/>
      <c r="E1161" s="530"/>
      <c r="F1161" s="530"/>
      <c r="G1161" s="1518"/>
      <c r="H1161" s="530"/>
      <c r="I1161" s="1432"/>
      <c r="J1161" s="530"/>
      <c r="K1161" s="530"/>
      <c r="L1161" s="530"/>
      <c r="M1161" s="533"/>
      <c r="N1161" s="530"/>
      <c r="O1161" s="530"/>
      <c r="P1161" s="530"/>
      <c r="Q1161" s="530"/>
      <c r="R1161" s="1432"/>
      <c r="S1161" s="530"/>
      <c r="T1161" s="533"/>
      <c r="U1161" s="533"/>
      <c r="V1161" s="1487"/>
      <c r="W1161" s="1487"/>
      <c r="X1161" s="1487"/>
      <c r="Y1161" s="533"/>
      <c r="Z1161" s="533"/>
      <c r="AA1161" s="530"/>
      <c r="AB1161" s="530"/>
      <c r="AC1161" s="530"/>
      <c r="AD1161" s="530"/>
      <c r="AE1161" s="530"/>
    </row>
    <row r="1162" spans="3:31">
      <c r="C1162" s="530"/>
      <c r="D1162" s="530"/>
      <c r="E1162" s="530"/>
      <c r="F1162" s="530"/>
      <c r="G1162" s="1518"/>
      <c r="H1162" s="530"/>
      <c r="I1162" s="1432"/>
      <c r="J1162" s="530"/>
      <c r="K1162" s="530"/>
      <c r="L1162" s="530"/>
      <c r="M1162" s="533"/>
      <c r="N1162" s="530"/>
      <c r="O1162" s="530"/>
      <c r="P1162" s="530"/>
      <c r="Q1162" s="530"/>
      <c r="R1162" s="1432"/>
      <c r="S1162" s="530"/>
      <c r="T1162" s="533"/>
      <c r="U1162" s="533"/>
      <c r="V1162" s="1487"/>
      <c r="W1162" s="1487"/>
      <c r="X1162" s="1487"/>
      <c r="Y1162" s="533"/>
      <c r="Z1162" s="533"/>
      <c r="AA1162" s="530"/>
      <c r="AB1162" s="530"/>
      <c r="AC1162" s="530"/>
      <c r="AD1162" s="530"/>
      <c r="AE1162" s="530"/>
    </row>
    <row r="1163" spans="3:31">
      <c r="C1163" s="530"/>
      <c r="D1163" s="530"/>
      <c r="E1163" s="530"/>
      <c r="F1163" s="530"/>
      <c r="G1163" s="1518"/>
      <c r="H1163" s="530"/>
      <c r="I1163" s="1432"/>
      <c r="J1163" s="530"/>
      <c r="K1163" s="530"/>
      <c r="L1163" s="530"/>
      <c r="M1163" s="533"/>
      <c r="N1163" s="530"/>
      <c r="O1163" s="530"/>
      <c r="P1163" s="530"/>
      <c r="Q1163" s="530"/>
      <c r="R1163" s="1432"/>
      <c r="S1163" s="530"/>
      <c r="T1163" s="533"/>
      <c r="U1163" s="533"/>
      <c r="V1163" s="1487"/>
      <c r="W1163" s="1487"/>
      <c r="X1163" s="1487"/>
      <c r="Y1163" s="533"/>
      <c r="Z1163" s="533"/>
      <c r="AA1163" s="530"/>
      <c r="AB1163" s="530"/>
      <c r="AC1163" s="530"/>
      <c r="AD1163" s="530"/>
      <c r="AE1163" s="530"/>
    </row>
    <row r="1164" spans="3:31">
      <c r="C1164" s="530"/>
      <c r="D1164" s="530"/>
      <c r="E1164" s="530"/>
      <c r="F1164" s="530"/>
      <c r="G1164" s="1518"/>
      <c r="H1164" s="530"/>
      <c r="I1164" s="1432"/>
      <c r="J1164" s="530"/>
      <c r="K1164" s="530"/>
      <c r="L1164" s="530"/>
      <c r="M1164" s="533"/>
      <c r="N1164" s="530"/>
      <c r="O1164" s="530"/>
      <c r="P1164" s="530"/>
      <c r="Q1164" s="530"/>
      <c r="R1164" s="1432"/>
      <c r="S1164" s="530"/>
      <c r="T1164" s="533"/>
      <c r="U1164" s="533"/>
      <c r="V1164" s="1487"/>
      <c r="W1164" s="1487"/>
      <c r="X1164" s="1487"/>
      <c r="Y1164" s="533"/>
      <c r="Z1164" s="533"/>
      <c r="AA1164" s="530"/>
      <c r="AB1164" s="530"/>
      <c r="AC1164" s="530"/>
      <c r="AD1164" s="530"/>
      <c r="AE1164" s="530"/>
    </row>
    <row r="1165" spans="3:31">
      <c r="C1165" s="530"/>
      <c r="D1165" s="530"/>
      <c r="E1165" s="530"/>
      <c r="F1165" s="530"/>
      <c r="G1165" s="1518"/>
      <c r="H1165" s="530"/>
      <c r="I1165" s="1432"/>
      <c r="J1165" s="530"/>
      <c r="K1165" s="530"/>
      <c r="L1165" s="530"/>
      <c r="M1165" s="533"/>
      <c r="N1165" s="530"/>
      <c r="O1165" s="530"/>
      <c r="P1165" s="530"/>
      <c r="Q1165" s="530"/>
      <c r="R1165" s="1432"/>
      <c r="S1165" s="530"/>
      <c r="T1165" s="533"/>
      <c r="U1165" s="533"/>
      <c r="V1165" s="1487"/>
      <c r="W1165" s="1487"/>
      <c r="X1165" s="1487"/>
      <c r="Y1165" s="533"/>
      <c r="Z1165" s="533"/>
      <c r="AA1165" s="530"/>
      <c r="AB1165" s="530"/>
      <c r="AC1165" s="530"/>
      <c r="AD1165" s="530"/>
      <c r="AE1165" s="530"/>
    </row>
    <row r="1166" spans="3:31">
      <c r="C1166" s="530"/>
      <c r="D1166" s="530"/>
      <c r="E1166" s="530"/>
      <c r="F1166" s="530"/>
      <c r="G1166" s="1518"/>
      <c r="H1166" s="530"/>
      <c r="I1166" s="1432"/>
      <c r="J1166" s="530"/>
      <c r="K1166" s="530"/>
      <c r="L1166" s="530"/>
      <c r="M1166" s="533"/>
      <c r="N1166" s="530"/>
      <c r="O1166" s="530"/>
      <c r="P1166" s="530"/>
      <c r="Q1166" s="530"/>
      <c r="R1166" s="1432"/>
      <c r="S1166" s="530"/>
      <c r="T1166" s="533"/>
      <c r="U1166" s="533"/>
      <c r="V1166" s="1487"/>
      <c r="W1166" s="1487"/>
      <c r="X1166" s="1487"/>
      <c r="Y1166" s="533"/>
      <c r="Z1166" s="533"/>
      <c r="AA1166" s="530"/>
      <c r="AB1166" s="530"/>
      <c r="AC1166" s="530"/>
      <c r="AD1166" s="530"/>
      <c r="AE1166" s="530"/>
    </row>
    <row r="1167" spans="3:31">
      <c r="C1167" s="530"/>
      <c r="D1167" s="530"/>
      <c r="E1167" s="530"/>
      <c r="F1167" s="530"/>
      <c r="G1167" s="1518"/>
      <c r="H1167" s="530"/>
      <c r="I1167" s="1432"/>
      <c r="J1167" s="530"/>
      <c r="K1167" s="530"/>
      <c r="L1167" s="530"/>
      <c r="M1167" s="533"/>
      <c r="N1167" s="530"/>
      <c r="O1167" s="530"/>
      <c r="P1167" s="530"/>
      <c r="Q1167" s="530"/>
      <c r="R1167" s="1432"/>
      <c r="S1167" s="530"/>
      <c r="T1167" s="533"/>
      <c r="U1167" s="533"/>
      <c r="V1167" s="1487"/>
      <c r="W1167" s="1487"/>
      <c r="X1167" s="1487"/>
      <c r="Y1167" s="533"/>
      <c r="Z1167" s="533"/>
      <c r="AA1167" s="530"/>
      <c r="AB1167" s="530"/>
      <c r="AC1167" s="530"/>
      <c r="AD1167" s="530"/>
      <c r="AE1167" s="530"/>
    </row>
    <row r="1168" spans="3:31">
      <c r="C1168" s="530"/>
      <c r="D1168" s="530"/>
      <c r="E1168" s="530"/>
      <c r="F1168" s="530"/>
      <c r="G1168" s="1518"/>
      <c r="H1168" s="530"/>
      <c r="I1168" s="1432"/>
      <c r="J1168" s="530"/>
      <c r="K1168" s="530"/>
      <c r="L1168" s="530"/>
      <c r="M1168" s="533"/>
      <c r="N1168" s="530"/>
      <c r="O1168" s="530"/>
      <c r="P1168" s="530"/>
      <c r="Q1168" s="530"/>
      <c r="R1168" s="1432"/>
      <c r="S1168" s="530"/>
      <c r="T1168" s="533"/>
      <c r="U1168" s="533"/>
      <c r="V1168" s="1487"/>
      <c r="W1168" s="1487"/>
      <c r="X1168" s="1487"/>
      <c r="Y1168" s="533"/>
      <c r="Z1168" s="533"/>
      <c r="AA1168" s="530"/>
      <c r="AB1168" s="530"/>
      <c r="AC1168" s="530"/>
      <c r="AD1168" s="530"/>
      <c r="AE1168" s="530"/>
    </row>
    <row r="1169" spans="3:31">
      <c r="C1169" s="530"/>
      <c r="D1169" s="530"/>
      <c r="E1169" s="530"/>
      <c r="F1169" s="530"/>
      <c r="G1169" s="1518"/>
      <c r="H1169" s="530"/>
      <c r="I1169" s="1432"/>
      <c r="J1169" s="530"/>
      <c r="K1169" s="530"/>
      <c r="L1169" s="530"/>
      <c r="M1169" s="533"/>
      <c r="N1169" s="530"/>
      <c r="O1169" s="530"/>
      <c r="P1169" s="530"/>
      <c r="Q1169" s="530"/>
      <c r="R1169" s="1432"/>
      <c r="S1169" s="530"/>
      <c r="T1169" s="533"/>
      <c r="U1169" s="533"/>
      <c r="V1169" s="1487"/>
      <c r="W1169" s="1487"/>
      <c r="X1169" s="1487"/>
      <c r="Y1169" s="533"/>
      <c r="Z1169" s="533"/>
      <c r="AA1169" s="530"/>
      <c r="AB1169" s="530"/>
      <c r="AC1169" s="530"/>
      <c r="AD1169" s="530"/>
      <c r="AE1169" s="530"/>
    </row>
    <row r="1170" spans="3:31">
      <c r="C1170" s="530"/>
      <c r="D1170" s="530"/>
      <c r="E1170" s="530"/>
      <c r="F1170" s="530"/>
      <c r="G1170" s="1518"/>
      <c r="H1170" s="530"/>
      <c r="I1170" s="1432"/>
      <c r="J1170" s="530"/>
      <c r="K1170" s="530"/>
      <c r="L1170" s="530"/>
      <c r="M1170" s="533"/>
      <c r="N1170" s="530"/>
      <c r="O1170" s="530"/>
      <c r="P1170" s="530"/>
      <c r="Q1170" s="530"/>
      <c r="R1170" s="1432"/>
      <c r="S1170" s="530"/>
      <c r="T1170" s="533"/>
      <c r="U1170" s="533"/>
      <c r="V1170" s="1487"/>
      <c r="W1170" s="1487"/>
      <c r="X1170" s="1487"/>
      <c r="Y1170" s="533"/>
      <c r="Z1170" s="533"/>
      <c r="AA1170" s="530"/>
      <c r="AB1170" s="530"/>
      <c r="AC1170" s="530"/>
      <c r="AD1170" s="530"/>
      <c r="AE1170" s="530"/>
    </row>
    <row r="1171" spans="3:31">
      <c r="C1171" s="530"/>
      <c r="D1171" s="530"/>
      <c r="E1171" s="530"/>
      <c r="F1171" s="530"/>
      <c r="G1171" s="1518"/>
      <c r="H1171" s="530"/>
      <c r="I1171" s="1432"/>
      <c r="J1171" s="530"/>
      <c r="K1171" s="530"/>
      <c r="L1171" s="530"/>
      <c r="M1171" s="533"/>
      <c r="N1171" s="530"/>
      <c r="O1171" s="530"/>
      <c r="P1171" s="530"/>
      <c r="Q1171" s="530"/>
      <c r="R1171" s="1432"/>
      <c r="S1171" s="530"/>
      <c r="T1171" s="533"/>
      <c r="U1171" s="533"/>
      <c r="V1171" s="1487"/>
      <c r="W1171" s="1487"/>
      <c r="X1171" s="1487"/>
      <c r="Y1171" s="533"/>
      <c r="Z1171" s="533"/>
      <c r="AA1171" s="530"/>
      <c r="AB1171" s="530"/>
      <c r="AC1171" s="530"/>
      <c r="AD1171" s="530"/>
      <c r="AE1171" s="530"/>
    </row>
    <row r="1172" spans="3:31">
      <c r="C1172" s="530"/>
      <c r="D1172" s="530"/>
      <c r="E1172" s="530"/>
      <c r="F1172" s="530"/>
      <c r="G1172" s="1518"/>
      <c r="H1172" s="530"/>
      <c r="I1172" s="1432"/>
      <c r="J1172" s="530"/>
      <c r="K1172" s="530"/>
      <c r="L1172" s="530"/>
      <c r="M1172" s="533"/>
      <c r="N1172" s="530"/>
      <c r="O1172" s="530"/>
      <c r="P1172" s="530"/>
      <c r="Q1172" s="530"/>
      <c r="R1172" s="1432"/>
      <c r="S1172" s="530"/>
      <c r="T1172" s="533"/>
      <c r="U1172" s="533"/>
      <c r="V1172" s="1487"/>
      <c r="W1172" s="1487"/>
      <c r="X1172" s="1487"/>
      <c r="Y1172" s="533"/>
      <c r="Z1172" s="533"/>
      <c r="AA1172" s="530"/>
      <c r="AB1172" s="530"/>
      <c r="AC1172" s="530"/>
      <c r="AD1172" s="530"/>
      <c r="AE1172" s="530"/>
    </row>
    <row r="1173" spans="3:31">
      <c r="C1173" s="530"/>
      <c r="D1173" s="530"/>
      <c r="E1173" s="530"/>
      <c r="F1173" s="530"/>
      <c r="G1173" s="1518"/>
      <c r="H1173" s="530"/>
      <c r="I1173" s="1432"/>
      <c r="J1173" s="530"/>
      <c r="K1173" s="530"/>
      <c r="L1173" s="530"/>
      <c r="M1173" s="533"/>
      <c r="N1173" s="530"/>
      <c r="O1173" s="530"/>
      <c r="P1173" s="530"/>
      <c r="Q1173" s="530"/>
      <c r="R1173" s="1432"/>
      <c r="S1173" s="530"/>
      <c r="T1173" s="533"/>
      <c r="U1173" s="533"/>
      <c r="V1173" s="1487"/>
      <c r="W1173" s="1487"/>
      <c r="X1173" s="1487"/>
      <c r="Y1173" s="533"/>
      <c r="Z1173" s="533"/>
      <c r="AA1173" s="530"/>
      <c r="AB1173" s="530"/>
      <c r="AC1173" s="530"/>
      <c r="AD1173" s="530"/>
      <c r="AE1173" s="530"/>
    </row>
    <row r="1174" spans="3:31">
      <c r="C1174" s="530"/>
      <c r="D1174" s="530"/>
      <c r="E1174" s="530"/>
      <c r="F1174" s="530"/>
      <c r="G1174" s="1518"/>
      <c r="H1174" s="530"/>
      <c r="I1174" s="1432"/>
      <c r="J1174" s="530"/>
      <c r="K1174" s="530"/>
      <c r="L1174" s="530"/>
      <c r="M1174" s="533"/>
      <c r="N1174" s="530"/>
      <c r="O1174" s="530"/>
      <c r="P1174" s="530"/>
      <c r="Q1174" s="530"/>
      <c r="R1174" s="1432"/>
      <c r="S1174" s="530"/>
      <c r="T1174" s="533"/>
      <c r="U1174" s="533"/>
      <c r="V1174" s="1487"/>
      <c r="W1174" s="1487"/>
      <c r="X1174" s="1487"/>
      <c r="Y1174" s="533"/>
      <c r="Z1174" s="533"/>
      <c r="AA1174" s="530"/>
      <c r="AB1174" s="530"/>
      <c r="AC1174" s="530"/>
      <c r="AD1174" s="530"/>
      <c r="AE1174" s="530"/>
    </row>
    <row r="1175" spans="3:31">
      <c r="C1175" s="530"/>
      <c r="D1175" s="530"/>
      <c r="E1175" s="530"/>
      <c r="F1175" s="530"/>
      <c r="G1175" s="1518"/>
      <c r="H1175" s="530"/>
      <c r="I1175" s="1432"/>
      <c r="J1175" s="530"/>
      <c r="K1175" s="530"/>
      <c r="L1175" s="530"/>
      <c r="M1175" s="533"/>
      <c r="N1175" s="530"/>
      <c r="O1175" s="530"/>
      <c r="P1175" s="530"/>
      <c r="Q1175" s="530"/>
      <c r="R1175" s="1432"/>
      <c r="S1175" s="530"/>
      <c r="T1175" s="533"/>
      <c r="U1175" s="533"/>
      <c r="V1175" s="1487"/>
      <c r="W1175" s="1487"/>
      <c r="X1175" s="1487"/>
      <c r="Y1175" s="533"/>
      <c r="Z1175" s="533"/>
      <c r="AA1175" s="530"/>
      <c r="AB1175" s="530"/>
      <c r="AC1175" s="530"/>
      <c r="AD1175" s="530"/>
      <c r="AE1175" s="530"/>
    </row>
    <row r="1176" spans="3:31">
      <c r="C1176" s="530"/>
      <c r="D1176" s="530"/>
      <c r="E1176" s="530"/>
      <c r="F1176" s="530"/>
      <c r="G1176" s="1518"/>
      <c r="H1176" s="530"/>
      <c r="I1176" s="1432"/>
      <c r="J1176" s="530"/>
      <c r="K1176" s="530"/>
      <c r="L1176" s="530"/>
      <c r="M1176" s="533"/>
      <c r="N1176" s="530"/>
      <c r="O1176" s="530"/>
      <c r="P1176" s="530"/>
      <c r="Q1176" s="530"/>
      <c r="R1176" s="1432"/>
      <c r="S1176" s="530"/>
      <c r="T1176" s="533"/>
      <c r="U1176" s="533"/>
      <c r="V1176" s="1487"/>
      <c r="W1176" s="1487"/>
      <c r="X1176" s="1487"/>
      <c r="Y1176" s="533"/>
      <c r="Z1176" s="533"/>
      <c r="AA1176" s="530"/>
      <c r="AB1176" s="530"/>
      <c r="AC1176" s="530"/>
      <c r="AD1176" s="530"/>
      <c r="AE1176" s="530"/>
    </row>
    <row r="1177" spans="3:31">
      <c r="C1177" s="530"/>
      <c r="D1177" s="530"/>
      <c r="E1177" s="530"/>
      <c r="F1177" s="530"/>
      <c r="G1177" s="1518"/>
      <c r="H1177" s="530"/>
      <c r="I1177" s="1432"/>
      <c r="J1177" s="530"/>
      <c r="K1177" s="530"/>
      <c r="L1177" s="530"/>
      <c r="M1177" s="533"/>
      <c r="N1177" s="530"/>
      <c r="O1177" s="530"/>
      <c r="P1177" s="530"/>
      <c r="Q1177" s="530"/>
      <c r="R1177" s="1432"/>
      <c r="S1177" s="530"/>
      <c r="T1177" s="533"/>
      <c r="U1177" s="533"/>
      <c r="V1177" s="1487"/>
      <c r="W1177" s="1487"/>
      <c r="X1177" s="1487"/>
      <c r="Y1177" s="533"/>
      <c r="Z1177" s="533"/>
      <c r="AA1177" s="530"/>
      <c r="AB1177" s="530"/>
      <c r="AC1177" s="530"/>
      <c r="AD1177" s="530"/>
      <c r="AE1177" s="530"/>
    </row>
    <row r="1178" spans="3:31">
      <c r="C1178" s="530"/>
      <c r="D1178" s="530"/>
      <c r="E1178" s="530"/>
      <c r="F1178" s="530"/>
      <c r="G1178" s="1518"/>
      <c r="H1178" s="530"/>
      <c r="I1178" s="1432"/>
      <c r="J1178" s="530"/>
      <c r="K1178" s="530"/>
      <c r="L1178" s="530"/>
      <c r="M1178" s="533"/>
      <c r="N1178" s="530"/>
      <c r="O1178" s="530"/>
      <c r="P1178" s="530"/>
      <c r="Q1178" s="530"/>
      <c r="R1178" s="1432"/>
      <c r="S1178" s="530"/>
      <c r="T1178" s="533"/>
      <c r="U1178" s="533"/>
      <c r="V1178" s="1487"/>
      <c r="W1178" s="1487"/>
      <c r="X1178" s="1487"/>
      <c r="Y1178" s="533"/>
      <c r="Z1178" s="533"/>
      <c r="AA1178" s="530"/>
      <c r="AB1178" s="530"/>
      <c r="AC1178" s="530"/>
      <c r="AD1178" s="530"/>
      <c r="AE1178" s="530"/>
    </row>
    <row r="1179" spans="3:31">
      <c r="C1179" s="530"/>
      <c r="D1179" s="530"/>
      <c r="E1179" s="530"/>
      <c r="F1179" s="530"/>
      <c r="G1179" s="1518"/>
      <c r="H1179" s="530"/>
      <c r="I1179" s="1432"/>
      <c r="J1179" s="530"/>
      <c r="K1179" s="530"/>
      <c r="L1179" s="530"/>
      <c r="M1179" s="533"/>
      <c r="N1179" s="530"/>
      <c r="O1179" s="530"/>
      <c r="P1179" s="530"/>
      <c r="Q1179" s="530"/>
      <c r="R1179" s="1432"/>
      <c r="S1179" s="530"/>
      <c r="T1179" s="533"/>
      <c r="U1179" s="533"/>
      <c r="V1179" s="1487"/>
      <c r="W1179" s="1487"/>
      <c r="X1179" s="1487"/>
      <c r="Y1179" s="533"/>
      <c r="Z1179" s="533"/>
      <c r="AA1179" s="530"/>
      <c r="AB1179" s="530"/>
      <c r="AC1179" s="530"/>
      <c r="AD1179" s="530"/>
      <c r="AE1179" s="530"/>
    </row>
    <row r="1180" spans="3:31">
      <c r="C1180" s="530"/>
      <c r="D1180" s="530"/>
      <c r="E1180" s="530"/>
      <c r="F1180" s="530"/>
      <c r="G1180" s="1518"/>
      <c r="H1180" s="530"/>
      <c r="I1180" s="1432"/>
      <c r="J1180" s="530"/>
      <c r="K1180" s="530"/>
      <c r="L1180" s="530"/>
      <c r="M1180" s="533"/>
      <c r="N1180" s="530"/>
      <c r="O1180" s="530"/>
      <c r="P1180" s="530"/>
      <c r="Q1180" s="530"/>
      <c r="R1180" s="1432"/>
      <c r="S1180" s="530"/>
      <c r="T1180" s="533"/>
      <c r="U1180" s="533"/>
      <c r="V1180" s="1487"/>
      <c r="W1180" s="1487"/>
      <c r="X1180" s="1487"/>
      <c r="Y1180" s="533"/>
      <c r="Z1180" s="533"/>
      <c r="AA1180" s="530"/>
      <c r="AB1180" s="530"/>
      <c r="AC1180" s="530"/>
      <c r="AD1180" s="530"/>
      <c r="AE1180" s="530"/>
    </row>
    <row r="1181" spans="3:31">
      <c r="C1181" s="530"/>
      <c r="D1181" s="530"/>
      <c r="E1181" s="530"/>
      <c r="F1181" s="530"/>
      <c r="G1181" s="1518"/>
      <c r="H1181" s="530"/>
      <c r="I1181" s="1432"/>
      <c r="J1181" s="530"/>
      <c r="K1181" s="530"/>
      <c r="L1181" s="530"/>
      <c r="M1181" s="533"/>
      <c r="N1181" s="530"/>
      <c r="O1181" s="530"/>
      <c r="P1181" s="530"/>
      <c r="Q1181" s="530"/>
      <c r="R1181" s="1432"/>
      <c r="S1181" s="530"/>
      <c r="T1181" s="533"/>
      <c r="U1181" s="533"/>
      <c r="V1181" s="1487"/>
      <c r="W1181" s="1487"/>
      <c r="X1181" s="1487"/>
      <c r="Y1181" s="533"/>
      <c r="Z1181" s="533"/>
      <c r="AA1181" s="530"/>
      <c r="AB1181" s="530"/>
      <c r="AC1181" s="530"/>
      <c r="AD1181" s="530"/>
      <c r="AE1181" s="530"/>
    </row>
    <row r="1182" spans="3:31">
      <c r="C1182" s="530"/>
      <c r="D1182" s="530"/>
      <c r="E1182" s="530"/>
      <c r="F1182" s="530"/>
      <c r="G1182" s="1518"/>
      <c r="H1182" s="530"/>
      <c r="I1182" s="1432"/>
      <c r="J1182" s="530"/>
      <c r="K1182" s="530"/>
      <c r="L1182" s="530"/>
      <c r="M1182" s="533"/>
      <c r="N1182" s="530"/>
      <c r="O1182" s="530"/>
      <c r="P1182" s="530"/>
      <c r="Q1182" s="530"/>
      <c r="R1182" s="1432"/>
      <c r="S1182" s="530"/>
      <c r="T1182" s="533"/>
      <c r="U1182" s="533"/>
      <c r="V1182" s="1487"/>
      <c r="W1182" s="1487"/>
      <c r="X1182" s="1487"/>
      <c r="Y1182" s="533"/>
      <c r="Z1182" s="533"/>
      <c r="AA1182" s="530"/>
      <c r="AB1182" s="530"/>
      <c r="AC1182" s="530"/>
      <c r="AD1182" s="530"/>
      <c r="AE1182" s="530"/>
    </row>
    <row r="1183" spans="3:31">
      <c r="C1183" s="530"/>
      <c r="D1183" s="530"/>
      <c r="E1183" s="530"/>
      <c r="F1183" s="530"/>
      <c r="G1183" s="1518"/>
      <c r="H1183" s="530"/>
      <c r="I1183" s="1432"/>
      <c r="J1183" s="530"/>
      <c r="K1183" s="530"/>
      <c r="L1183" s="530"/>
      <c r="M1183" s="533"/>
      <c r="N1183" s="530"/>
      <c r="O1183" s="530"/>
      <c r="P1183" s="530"/>
      <c r="Q1183" s="530"/>
      <c r="R1183" s="1432"/>
      <c r="S1183" s="530"/>
      <c r="T1183" s="533"/>
      <c r="U1183" s="533"/>
      <c r="V1183" s="1487"/>
      <c r="W1183" s="1487"/>
      <c r="X1183" s="1487"/>
      <c r="Y1183" s="533"/>
      <c r="Z1183" s="533"/>
      <c r="AA1183" s="530"/>
      <c r="AB1183" s="530"/>
      <c r="AC1183" s="530"/>
      <c r="AD1183" s="530"/>
      <c r="AE1183" s="530"/>
    </row>
    <row r="1184" spans="3:31">
      <c r="C1184" s="530"/>
      <c r="D1184" s="530"/>
      <c r="E1184" s="530"/>
      <c r="F1184" s="530"/>
      <c r="G1184" s="1518"/>
      <c r="H1184" s="530"/>
      <c r="I1184" s="1432"/>
      <c r="J1184" s="530"/>
      <c r="K1184" s="530"/>
      <c r="L1184" s="530"/>
      <c r="M1184" s="533"/>
      <c r="N1184" s="530"/>
      <c r="O1184" s="530"/>
      <c r="P1184" s="530"/>
      <c r="Q1184" s="530"/>
      <c r="R1184" s="1432"/>
      <c r="S1184" s="530"/>
      <c r="T1184" s="533"/>
      <c r="U1184" s="533"/>
      <c r="V1184" s="1487"/>
      <c r="W1184" s="1487"/>
      <c r="X1184" s="1487"/>
      <c r="Y1184" s="533"/>
      <c r="Z1184" s="533"/>
      <c r="AA1184" s="530"/>
      <c r="AB1184" s="530"/>
      <c r="AC1184" s="530"/>
      <c r="AD1184" s="530"/>
      <c r="AE1184" s="530"/>
    </row>
    <row r="1185" spans="3:31">
      <c r="C1185" s="530"/>
      <c r="D1185" s="530"/>
      <c r="E1185" s="530"/>
      <c r="F1185" s="530"/>
      <c r="G1185" s="1518"/>
      <c r="H1185" s="530"/>
      <c r="I1185" s="1432"/>
      <c r="J1185" s="530"/>
      <c r="K1185" s="530"/>
      <c r="L1185" s="530"/>
      <c r="M1185" s="533"/>
      <c r="N1185" s="530"/>
      <c r="O1185" s="530"/>
      <c r="P1185" s="530"/>
      <c r="Q1185" s="530"/>
      <c r="R1185" s="1432"/>
      <c r="S1185" s="530"/>
      <c r="T1185" s="533"/>
      <c r="U1185" s="533"/>
      <c r="V1185" s="1487"/>
      <c r="W1185" s="1487"/>
      <c r="X1185" s="1487"/>
      <c r="Y1185" s="533"/>
      <c r="Z1185" s="533"/>
      <c r="AA1185" s="530"/>
      <c r="AB1185" s="530"/>
      <c r="AC1185" s="530"/>
      <c r="AD1185" s="530"/>
      <c r="AE1185" s="530"/>
    </row>
    <row r="1186" spans="3:31">
      <c r="C1186" s="530"/>
      <c r="D1186" s="530"/>
      <c r="E1186" s="530"/>
      <c r="F1186" s="530"/>
      <c r="G1186" s="1518"/>
      <c r="H1186" s="530"/>
      <c r="I1186" s="1432"/>
      <c r="J1186" s="530"/>
      <c r="K1186" s="530"/>
      <c r="L1186" s="530"/>
      <c r="M1186" s="533"/>
      <c r="N1186" s="530"/>
      <c r="O1186" s="530"/>
      <c r="P1186" s="530"/>
      <c r="Q1186" s="530"/>
      <c r="R1186" s="1432"/>
      <c r="S1186" s="530"/>
      <c r="T1186" s="533"/>
      <c r="U1186" s="533"/>
      <c r="V1186" s="1487"/>
      <c r="W1186" s="1487"/>
      <c r="X1186" s="1487"/>
      <c r="Y1186" s="533"/>
      <c r="Z1186" s="533"/>
      <c r="AA1186" s="530"/>
      <c r="AB1186" s="530"/>
      <c r="AC1186" s="530"/>
      <c r="AD1186" s="530"/>
      <c r="AE1186" s="530"/>
    </row>
    <row r="1187" spans="3:31">
      <c r="C1187" s="530"/>
      <c r="D1187" s="530"/>
      <c r="E1187" s="530"/>
      <c r="F1187" s="530"/>
      <c r="G1187" s="1518"/>
      <c r="H1187" s="530"/>
      <c r="I1187" s="1432"/>
      <c r="J1187" s="530"/>
      <c r="K1187" s="530"/>
      <c r="L1187" s="530"/>
      <c r="M1187" s="533"/>
      <c r="N1187" s="530"/>
      <c r="O1187" s="530"/>
      <c r="P1187" s="530"/>
      <c r="Q1187" s="530"/>
      <c r="R1187" s="1432"/>
      <c r="S1187" s="530"/>
      <c r="T1187" s="533"/>
      <c r="U1187" s="533"/>
      <c r="V1187" s="1487"/>
      <c r="W1187" s="1487"/>
      <c r="X1187" s="1487"/>
      <c r="Y1187" s="533"/>
      <c r="Z1187" s="533"/>
      <c r="AA1187" s="530"/>
      <c r="AB1187" s="530"/>
      <c r="AC1187" s="530"/>
      <c r="AD1187" s="530"/>
      <c r="AE1187" s="530"/>
    </row>
    <row r="1188" spans="3:31">
      <c r="C1188" s="530"/>
      <c r="D1188" s="530"/>
      <c r="E1188" s="530"/>
      <c r="F1188" s="530"/>
      <c r="G1188" s="1518"/>
      <c r="H1188" s="530"/>
      <c r="I1188" s="1432"/>
      <c r="J1188" s="530"/>
      <c r="K1188" s="530"/>
      <c r="L1188" s="530"/>
      <c r="M1188" s="533"/>
      <c r="N1188" s="530"/>
      <c r="O1188" s="530"/>
      <c r="P1188" s="530"/>
      <c r="Q1188" s="530"/>
      <c r="R1188" s="1432"/>
      <c r="S1188" s="530"/>
      <c r="T1188" s="533"/>
      <c r="U1188" s="533"/>
      <c r="V1188" s="1487"/>
      <c r="W1188" s="1487"/>
      <c r="X1188" s="1487"/>
      <c r="Y1188" s="533"/>
      <c r="Z1188" s="533"/>
      <c r="AA1188" s="530"/>
      <c r="AB1188" s="530"/>
      <c r="AC1188" s="530"/>
      <c r="AD1188" s="530"/>
      <c r="AE1188" s="530"/>
    </row>
    <row r="1189" spans="3:31">
      <c r="C1189" s="530"/>
      <c r="D1189" s="530"/>
      <c r="E1189" s="530"/>
      <c r="F1189" s="530"/>
      <c r="G1189" s="1518"/>
      <c r="H1189" s="530"/>
      <c r="I1189" s="1432"/>
      <c r="J1189" s="530"/>
      <c r="K1189" s="530"/>
      <c r="L1189" s="530"/>
      <c r="M1189" s="533"/>
      <c r="N1189" s="530"/>
      <c r="O1189" s="530"/>
      <c r="P1189" s="530"/>
      <c r="Q1189" s="530"/>
      <c r="R1189" s="1432"/>
      <c r="S1189" s="530"/>
      <c r="T1189" s="533"/>
      <c r="U1189" s="533"/>
      <c r="V1189" s="1487"/>
      <c r="W1189" s="1487"/>
      <c r="X1189" s="1487"/>
      <c r="Y1189" s="533"/>
      <c r="Z1189" s="533"/>
      <c r="AA1189" s="530"/>
      <c r="AB1189" s="530"/>
      <c r="AC1189" s="530"/>
      <c r="AD1189" s="530"/>
      <c r="AE1189" s="530"/>
    </row>
    <row r="1190" spans="3:31">
      <c r="C1190" s="530"/>
      <c r="D1190" s="530"/>
      <c r="E1190" s="530"/>
      <c r="F1190" s="530"/>
      <c r="G1190" s="1518"/>
      <c r="H1190" s="530"/>
      <c r="I1190" s="1432"/>
      <c r="J1190" s="530"/>
      <c r="K1190" s="530"/>
      <c r="L1190" s="530"/>
      <c r="M1190" s="533"/>
      <c r="N1190" s="530"/>
      <c r="O1190" s="530"/>
      <c r="P1190" s="530"/>
      <c r="Q1190" s="530"/>
      <c r="R1190" s="1432"/>
      <c r="S1190" s="530"/>
      <c r="T1190" s="533"/>
      <c r="U1190" s="533"/>
      <c r="V1190" s="1487"/>
      <c r="W1190" s="1487"/>
      <c r="X1190" s="1487"/>
      <c r="Y1190" s="533"/>
      <c r="Z1190" s="533"/>
      <c r="AA1190" s="530"/>
      <c r="AB1190" s="530"/>
      <c r="AC1190" s="530"/>
      <c r="AD1190" s="530"/>
      <c r="AE1190" s="530"/>
    </row>
    <row r="1191" spans="3:31">
      <c r="C1191" s="530"/>
      <c r="D1191" s="530"/>
      <c r="E1191" s="530"/>
      <c r="F1191" s="530"/>
      <c r="G1191" s="1518"/>
      <c r="H1191" s="530"/>
      <c r="I1191" s="1432"/>
      <c r="J1191" s="530"/>
      <c r="K1191" s="530"/>
      <c r="L1191" s="530"/>
      <c r="M1191" s="533"/>
      <c r="N1191" s="530"/>
      <c r="O1191" s="530"/>
      <c r="P1191" s="530"/>
      <c r="Q1191" s="530"/>
      <c r="R1191" s="1432"/>
      <c r="S1191" s="530"/>
      <c r="T1191" s="533"/>
      <c r="U1191" s="533"/>
      <c r="V1191" s="1487"/>
      <c r="W1191" s="1487"/>
      <c r="X1191" s="1487"/>
      <c r="Y1191" s="533"/>
      <c r="Z1191" s="533"/>
      <c r="AA1191" s="530"/>
      <c r="AB1191" s="530"/>
      <c r="AC1191" s="530"/>
      <c r="AD1191" s="530"/>
      <c r="AE1191" s="530"/>
    </row>
    <row r="1192" spans="3:31">
      <c r="C1192" s="530"/>
      <c r="D1192" s="530"/>
      <c r="E1192" s="530"/>
      <c r="F1192" s="530"/>
      <c r="G1192" s="1518"/>
      <c r="H1192" s="530"/>
      <c r="I1192" s="1432"/>
      <c r="J1192" s="530"/>
      <c r="K1192" s="530"/>
      <c r="L1192" s="530"/>
      <c r="M1192" s="533"/>
      <c r="N1192" s="530"/>
      <c r="O1192" s="530"/>
      <c r="P1192" s="530"/>
      <c r="Q1192" s="530"/>
      <c r="R1192" s="1432"/>
      <c r="S1192" s="530"/>
      <c r="T1192" s="533"/>
      <c r="U1192" s="533"/>
      <c r="V1192" s="1487"/>
      <c r="W1192" s="1487"/>
      <c r="X1192" s="1487"/>
      <c r="Y1192" s="533"/>
      <c r="Z1192" s="533"/>
      <c r="AA1192" s="530"/>
      <c r="AB1192" s="530"/>
      <c r="AC1192" s="530"/>
      <c r="AD1192" s="530"/>
      <c r="AE1192" s="530"/>
    </row>
    <row r="1193" spans="3:31">
      <c r="C1193" s="530"/>
      <c r="D1193" s="530"/>
      <c r="E1193" s="530"/>
      <c r="F1193" s="530"/>
      <c r="G1193" s="1518"/>
      <c r="H1193" s="530"/>
      <c r="I1193" s="1432"/>
      <c r="J1193" s="530"/>
      <c r="K1193" s="530"/>
      <c r="L1193" s="530"/>
      <c r="M1193" s="533"/>
      <c r="N1193" s="530"/>
      <c r="O1193" s="530"/>
      <c r="P1193" s="530"/>
      <c r="Q1193" s="530"/>
      <c r="R1193" s="1432"/>
      <c r="S1193" s="530"/>
      <c r="T1193" s="533"/>
      <c r="U1193" s="533"/>
      <c r="V1193" s="1487"/>
      <c r="W1193" s="1487"/>
      <c r="X1193" s="1487"/>
      <c r="Y1193" s="533"/>
      <c r="Z1193" s="533"/>
      <c r="AA1193" s="530"/>
      <c r="AB1193" s="530"/>
      <c r="AC1193" s="530"/>
      <c r="AD1193" s="530"/>
      <c r="AE1193" s="530"/>
    </row>
    <row r="1194" spans="3:31">
      <c r="C1194" s="530"/>
      <c r="D1194" s="530"/>
      <c r="E1194" s="530"/>
      <c r="F1194" s="530"/>
      <c r="G1194" s="1518"/>
      <c r="H1194" s="530"/>
      <c r="I1194" s="1432"/>
      <c r="J1194" s="530"/>
      <c r="K1194" s="530"/>
      <c r="L1194" s="530"/>
      <c r="M1194" s="533"/>
      <c r="N1194" s="530"/>
      <c r="O1194" s="530"/>
      <c r="P1194" s="530"/>
      <c r="Q1194" s="530"/>
      <c r="R1194" s="1432"/>
      <c r="S1194" s="530"/>
      <c r="T1194" s="533"/>
      <c r="U1194" s="533"/>
      <c r="V1194" s="1487"/>
      <c r="W1194" s="1487"/>
      <c r="X1194" s="1487"/>
      <c r="Y1194" s="533"/>
      <c r="Z1194" s="533"/>
      <c r="AA1194" s="530"/>
      <c r="AB1194" s="530"/>
      <c r="AC1194" s="530"/>
      <c r="AD1194" s="530"/>
      <c r="AE1194" s="530"/>
    </row>
    <row r="1195" spans="3:31">
      <c r="C1195" s="530"/>
      <c r="D1195" s="530"/>
      <c r="E1195" s="530"/>
      <c r="F1195" s="530"/>
      <c r="G1195" s="1518"/>
      <c r="H1195" s="530"/>
      <c r="I1195" s="1432"/>
      <c r="J1195" s="530"/>
      <c r="K1195" s="530"/>
      <c r="L1195" s="530"/>
      <c r="M1195" s="533"/>
      <c r="N1195" s="530"/>
      <c r="O1195" s="530"/>
      <c r="P1195" s="530"/>
      <c r="Q1195" s="530"/>
      <c r="R1195" s="1432"/>
      <c r="S1195" s="530"/>
      <c r="T1195" s="533"/>
      <c r="U1195" s="533"/>
      <c r="V1195" s="1487"/>
      <c r="W1195" s="1487"/>
      <c r="X1195" s="1487"/>
      <c r="Y1195" s="533"/>
      <c r="Z1195" s="533"/>
      <c r="AA1195" s="530"/>
      <c r="AB1195" s="530"/>
      <c r="AC1195" s="530"/>
      <c r="AD1195" s="530"/>
      <c r="AE1195" s="530"/>
    </row>
    <row r="1196" spans="3:31">
      <c r="C1196" s="530"/>
      <c r="D1196" s="530"/>
      <c r="E1196" s="530"/>
      <c r="F1196" s="530"/>
      <c r="G1196" s="1518"/>
      <c r="H1196" s="530"/>
      <c r="I1196" s="1432"/>
      <c r="J1196" s="530"/>
      <c r="K1196" s="530"/>
      <c r="L1196" s="530"/>
      <c r="M1196" s="533"/>
      <c r="N1196" s="530"/>
      <c r="O1196" s="530"/>
      <c r="P1196" s="530"/>
      <c r="Q1196" s="530"/>
      <c r="R1196" s="1432"/>
      <c r="S1196" s="530"/>
      <c r="T1196" s="533"/>
      <c r="U1196" s="533"/>
      <c r="V1196" s="1487"/>
      <c r="W1196" s="1487"/>
      <c r="X1196" s="1487"/>
      <c r="Y1196" s="533"/>
      <c r="Z1196" s="533"/>
      <c r="AA1196" s="530"/>
      <c r="AB1196" s="530"/>
      <c r="AC1196" s="530"/>
      <c r="AD1196" s="530"/>
      <c r="AE1196" s="530"/>
    </row>
    <row r="1197" spans="3:31">
      <c r="C1197" s="530"/>
      <c r="D1197" s="530"/>
      <c r="E1197" s="530"/>
      <c r="F1197" s="530"/>
      <c r="G1197" s="1518"/>
      <c r="H1197" s="530"/>
      <c r="I1197" s="1432"/>
      <c r="J1197" s="530"/>
      <c r="K1197" s="530"/>
      <c r="L1197" s="530"/>
      <c r="M1197" s="533"/>
      <c r="N1197" s="530"/>
      <c r="O1197" s="530"/>
      <c r="P1197" s="530"/>
      <c r="Q1197" s="530"/>
      <c r="R1197" s="1432"/>
      <c r="S1197" s="530"/>
      <c r="T1197" s="533"/>
      <c r="U1197" s="533"/>
      <c r="V1197" s="1487"/>
      <c r="W1197" s="1487"/>
      <c r="X1197" s="1487"/>
      <c r="Y1197" s="533"/>
      <c r="Z1197" s="533"/>
      <c r="AA1197" s="530"/>
      <c r="AB1197" s="530"/>
      <c r="AC1197" s="530"/>
      <c r="AD1197" s="530"/>
      <c r="AE1197" s="530"/>
    </row>
    <row r="1198" spans="3:31">
      <c r="C1198" s="530"/>
      <c r="D1198" s="530"/>
      <c r="E1198" s="530"/>
      <c r="F1198" s="530"/>
      <c r="G1198" s="1518"/>
      <c r="H1198" s="530"/>
      <c r="I1198" s="1432"/>
      <c r="J1198" s="530"/>
      <c r="K1198" s="530"/>
      <c r="L1198" s="530"/>
      <c r="M1198" s="533"/>
      <c r="N1198" s="530"/>
      <c r="O1198" s="530"/>
      <c r="P1198" s="530"/>
      <c r="Q1198" s="530"/>
      <c r="R1198" s="1432"/>
      <c r="S1198" s="530"/>
      <c r="T1198" s="533"/>
      <c r="U1198" s="533"/>
      <c r="V1198" s="1487"/>
      <c r="W1198" s="1487"/>
      <c r="X1198" s="1487"/>
      <c r="Y1198" s="533"/>
      <c r="Z1198" s="533"/>
      <c r="AA1198" s="530"/>
      <c r="AB1198" s="530"/>
      <c r="AC1198" s="530"/>
      <c r="AD1198" s="530"/>
      <c r="AE1198" s="530"/>
    </row>
    <row r="1199" spans="3:31">
      <c r="C1199" s="530"/>
      <c r="D1199" s="530"/>
      <c r="E1199" s="530"/>
      <c r="F1199" s="530"/>
      <c r="G1199" s="1518"/>
      <c r="H1199" s="530"/>
      <c r="I1199" s="1432"/>
      <c r="J1199" s="530"/>
      <c r="K1199" s="530"/>
      <c r="L1199" s="530"/>
      <c r="M1199" s="533"/>
      <c r="N1199" s="530"/>
      <c r="O1199" s="530"/>
      <c r="P1199" s="530"/>
      <c r="Q1199" s="530"/>
      <c r="R1199" s="1432"/>
      <c r="S1199" s="530"/>
      <c r="T1199" s="533"/>
      <c r="U1199" s="533"/>
      <c r="V1199" s="1487"/>
      <c r="W1199" s="1487"/>
      <c r="X1199" s="1487"/>
      <c r="Y1199" s="533"/>
      <c r="Z1199" s="533"/>
      <c r="AA1199" s="530"/>
      <c r="AB1199" s="530"/>
      <c r="AC1199" s="530"/>
      <c r="AD1199" s="530"/>
      <c r="AE1199" s="530"/>
    </row>
    <row r="1200" spans="3:31">
      <c r="C1200" s="530"/>
      <c r="D1200" s="530"/>
      <c r="E1200" s="530"/>
      <c r="F1200" s="530"/>
      <c r="G1200" s="1518"/>
      <c r="H1200" s="530"/>
      <c r="I1200" s="1432"/>
      <c r="J1200" s="530"/>
      <c r="K1200" s="530"/>
      <c r="L1200" s="530"/>
      <c r="M1200" s="533"/>
      <c r="N1200" s="530"/>
      <c r="O1200" s="530"/>
      <c r="P1200" s="530"/>
      <c r="Q1200" s="530"/>
      <c r="R1200" s="1432"/>
      <c r="S1200" s="530"/>
      <c r="T1200" s="533"/>
      <c r="U1200" s="533"/>
      <c r="V1200" s="1487"/>
      <c r="W1200" s="1487"/>
      <c r="X1200" s="1487"/>
      <c r="Y1200" s="533"/>
      <c r="Z1200" s="533"/>
      <c r="AA1200" s="530"/>
      <c r="AB1200" s="530"/>
      <c r="AC1200" s="530"/>
      <c r="AD1200" s="530"/>
      <c r="AE1200" s="530"/>
    </row>
    <row r="1201" spans="3:31">
      <c r="C1201" s="530"/>
      <c r="D1201" s="530"/>
      <c r="E1201" s="530"/>
      <c r="F1201" s="530"/>
      <c r="G1201" s="1518"/>
      <c r="H1201" s="530"/>
      <c r="I1201" s="1432"/>
      <c r="J1201" s="530"/>
      <c r="K1201" s="530"/>
      <c r="L1201" s="530"/>
      <c r="M1201" s="533"/>
      <c r="N1201" s="530"/>
      <c r="O1201" s="530"/>
      <c r="P1201" s="530"/>
      <c r="Q1201" s="530"/>
      <c r="R1201" s="1432"/>
      <c r="S1201" s="530"/>
      <c r="T1201" s="533"/>
      <c r="U1201" s="533"/>
      <c r="V1201" s="1487"/>
      <c r="W1201" s="1487"/>
      <c r="X1201" s="1487"/>
      <c r="Y1201" s="533"/>
      <c r="Z1201" s="533"/>
      <c r="AA1201" s="530"/>
      <c r="AB1201" s="530"/>
      <c r="AC1201" s="530"/>
      <c r="AD1201" s="530"/>
      <c r="AE1201" s="530"/>
    </row>
    <row r="1202" spans="3:31">
      <c r="C1202" s="530"/>
      <c r="D1202" s="530"/>
      <c r="E1202" s="530"/>
      <c r="F1202" s="530"/>
      <c r="G1202" s="1518"/>
      <c r="H1202" s="530"/>
      <c r="I1202" s="1432"/>
      <c r="J1202" s="530"/>
      <c r="K1202" s="530"/>
      <c r="L1202" s="530"/>
      <c r="M1202" s="533"/>
      <c r="N1202" s="530"/>
      <c r="O1202" s="530"/>
      <c r="P1202" s="530"/>
      <c r="Q1202" s="530"/>
      <c r="R1202" s="1432"/>
      <c r="S1202" s="530"/>
      <c r="T1202" s="533"/>
      <c r="U1202" s="533"/>
      <c r="V1202" s="1487"/>
      <c r="W1202" s="1487"/>
      <c r="X1202" s="1487"/>
      <c r="Y1202" s="533"/>
      <c r="Z1202" s="533"/>
      <c r="AA1202" s="530"/>
      <c r="AB1202" s="530"/>
      <c r="AC1202" s="530"/>
      <c r="AD1202" s="530"/>
      <c r="AE1202" s="530"/>
    </row>
    <row r="1203" spans="3:31">
      <c r="C1203" s="530"/>
      <c r="D1203" s="530"/>
      <c r="E1203" s="530"/>
      <c r="F1203" s="530"/>
      <c r="G1203" s="1518"/>
      <c r="H1203" s="530"/>
      <c r="I1203" s="1432"/>
      <c r="J1203" s="530"/>
      <c r="K1203" s="530"/>
      <c r="L1203" s="530"/>
      <c r="M1203" s="533"/>
      <c r="N1203" s="530"/>
      <c r="O1203" s="530"/>
      <c r="P1203" s="530"/>
      <c r="Q1203" s="530"/>
      <c r="R1203" s="1432"/>
      <c r="S1203" s="530"/>
      <c r="T1203" s="533"/>
      <c r="U1203" s="533"/>
      <c r="V1203" s="1487"/>
      <c r="W1203" s="1487"/>
      <c r="X1203" s="1487"/>
      <c r="Y1203" s="533"/>
      <c r="Z1203" s="533"/>
      <c r="AA1203" s="530"/>
      <c r="AB1203" s="530"/>
      <c r="AC1203" s="530"/>
      <c r="AD1203" s="530"/>
      <c r="AE1203" s="530"/>
    </row>
    <row r="1204" spans="3:31">
      <c r="C1204" s="530"/>
      <c r="D1204" s="530"/>
      <c r="E1204" s="530"/>
      <c r="F1204" s="530"/>
      <c r="G1204" s="1518"/>
      <c r="H1204" s="530"/>
      <c r="I1204" s="1432"/>
      <c r="J1204" s="530"/>
      <c r="K1204" s="530"/>
      <c r="L1204" s="530"/>
      <c r="M1204" s="533"/>
      <c r="N1204" s="530"/>
      <c r="O1204" s="530"/>
      <c r="P1204" s="530"/>
      <c r="Q1204" s="530"/>
      <c r="R1204" s="1432"/>
      <c r="S1204" s="530"/>
      <c r="T1204" s="533"/>
      <c r="U1204" s="533"/>
      <c r="V1204" s="1487"/>
      <c r="W1204" s="1487"/>
      <c r="X1204" s="1487"/>
      <c r="Y1204" s="533"/>
      <c r="Z1204" s="533"/>
      <c r="AA1204" s="530"/>
      <c r="AB1204" s="530"/>
      <c r="AC1204" s="530"/>
      <c r="AD1204" s="530"/>
      <c r="AE1204" s="530"/>
    </row>
    <row r="1205" spans="3:31">
      <c r="C1205" s="530"/>
      <c r="D1205" s="530"/>
      <c r="E1205" s="530"/>
      <c r="F1205" s="530"/>
      <c r="G1205" s="1518"/>
      <c r="H1205" s="530"/>
      <c r="I1205" s="1432"/>
      <c r="J1205" s="530"/>
      <c r="K1205" s="530"/>
      <c r="L1205" s="530"/>
      <c r="M1205" s="533"/>
      <c r="N1205" s="530"/>
      <c r="O1205" s="530"/>
      <c r="P1205" s="530"/>
      <c r="Q1205" s="530"/>
      <c r="R1205" s="1432"/>
      <c r="S1205" s="530"/>
      <c r="T1205" s="533"/>
      <c r="U1205" s="533"/>
      <c r="V1205" s="1487"/>
      <c r="W1205" s="1487"/>
      <c r="X1205" s="1487"/>
      <c r="Y1205" s="533"/>
      <c r="Z1205" s="533"/>
      <c r="AA1205" s="530"/>
      <c r="AB1205" s="530"/>
      <c r="AC1205" s="530"/>
      <c r="AD1205" s="530"/>
      <c r="AE1205" s="530"/>
    </row>
    <row r="1206" spans="3:31">
      <c r="C1206" s="530"/>
      <c r="D1206" s="530"/>
      <c r="E1206" s="530"/>
      <c r="F1206" s="530"/>
      <c r="G1206" s="1518"/>
      <c r="H1206" s="530"/>
      <c r="I1206" s="1432"/>
      <c r="J1206" s="530"/>
      <c r="K1206" s="530"/>
      <c r="L1206" s="530"/>
      <c r="M1206" s="533"/>
      <c r="N1206" s="530"/>
      <c r="O1206" s="530"/>
      <c r="P1206" s="530"/>
      <c r="Q1206" s="530"/>
      <c r="R1206" s="1432"/>
      <c r="S1206" s="530"/>
      <c r="T1206" s="533"/>
      <c r="U1206" s="533"/>
      <c r="V1206" s="1487"/>
      <c r="W1206" s="1487"/>
      <c r="X1206" s="1487"/>
      <c r="Y1206" s="533"/>
      <c r="Z1206" s="533"/>
      <c r="AA1206" s="530"/>
      <c r="AB1206" s="530"/>
      <c r="AC1206" s="530"/>
      <c r="AD1206" s="530"/>
      <c r="AE1206" s="530"/>
    </row>
    <row r="1207" spans="3:31">
      <c r="C1207" s="530"/>
      <c r="D1207" s="530"/>
      <c r="E1207" s="530"/>
      <c r="F1207" s="530"/>
      <c r="G1207" s="1518"/>
      <c r="H1207" s="530"/>
      <c r="I1207" s="1432"/>
      <c r="J1207" s="530"/>
      <c r="K1207" s="530"/>
      <c r="L1207" s="530"/>
      <c r="M1207" s="533"/>
      <c r="N1207" s="530"/>
      <c r="O1207" s="530"/>
      <c r="P1207" s="530"/>
      <c r="Q1207" s="530"/>
      <c r="R1207" s="1432"/>
      <c r="S1207" s="530"/>
      <c r="T1207" s="533"/>
      <c r="U1207" s="533"/>
      <c r="V1207" s="1487"/>
      <c r="W1207" s="1487"/>
      <c r="X1207" s="1487"/>
      <c r="Y1207" s="533"/>
      <c r="Z1207" s="533"/>
      <c r="AA1207" s="530"/>
      <c r="AB1207" s="530"/>
      <c r="AC1207" s="530"/>
      <c r="AD1207" s="530"/>
      <c r="AE1207" s="530"/>
    </row>
    <row r="1208" spans="3:31">
      <c r="C1208" s="530"/>
      <c r="D1208" s="530"/>
      <c r="E1208" s="530"/>
      <c r="F1208" s="530"/>
      <c r="G1208" s="1518"/>
      <c r="H1208" s="530"/>
      <c r="I1208" s="1432"/>
      <c r="J1208" s="530"/>
      <c r="K1208" s="530"/>
      <c r="L1208" s="530"/>
      <c r="M1208" s="533"/>
      <c r="N1208" s="530"/>
      <c r="O1208" s="530"/>
      <c r="P1208" s="530"/>
      <c r="Q1208" s="530"/>
      <c r="R1208" s="1432"/>
      <c r="S1208" s="530"/>
      <c r="T1208" s="533"/>
      <c r="U1208" s="533"/>
      <c r="V1208" s="1487"/>
      <c r="W1208" s="1487"/>
      <c r="X1208" s="1487"/>
      <c r="Y1208" s="533"/>
      <c r="Z1208" s="533"/>
      <c r="AA1208" s="530"/>
      <c r="AB1208" s="530"/>
      <c r="AC1208" s="530"/>
      <c r="AD1208" s="530"/>
      <c r="AE1208" s="530"/>
    </row>
    <row r="1209" spans="3:31">
      <c r="C1209" s="530"/>
      <c r="D1209" s="530"/>
      <c r="E1209" s="530"/>
      <c r="F1209" s="530"/>
      <c r="G1209" s="1518"/>
      <c r="H1209" s="530"/>
      <c r="I1209" s="1432"/>
      <c r="J1209" s="530"/>
      <c r="K1209" s="530"/>
      <c r="L1209" s="530"/>
      <c r="M1209" s="533"/>
      <c r="N1209" s="530"/>
      <c r="O1209" s="530"/>
      <c r="P1209" s="530"/>
      <c r="Q1209" s="530"/>
      <c r="R1209" s="1432"/>
      <c r="S1209" s="530"/>
      <c r="T1209" s="533"/>
      <c r="U1209" s="533"/>
      <c r="V1209" s="1487"/>
      <c r="W1209" s="1487"/>
      <c r="X1209" s="1487"/>
      <c r="Y1209" s="533"/>
      <c r="Z1209" s="533"/>
      <c r="AA1209" s="530"/>
      <c r="AB1209" s="530"/>
      <c r="AC1209" s="530"/>
      <c r="AD1209" s="530"/>
      <c r="AE1209" s="530"/>
    </row>
    <row r="1210" spans="3:31">
      <c r="C1210" s="530"/>
      <c r="D1210" s="530"/>
      <c r="E1210" s="530"/>
      <c r="F1210" s="530"/>
      <c r="G1210" s="1518"/>
      <c r="H1210" s="530"/>
      <c r="I1210" s="1432"/>
      <c r="J1210" s="530"/>
      <c r="K1210" s="530"/>
      <c r="L1210" s="530"/>
      <c r="M1210" s="533"/>
      <c r="N1210" s="530"/>
      <c r="O1210" s="530"/>
      <c r="P1210" s="530"/>
      <c r="Q1210" s="530"/>
      <c r="R1210" s="1432"/>
      <c r="S1210" s="530"/>
      <c r="T1210" s="533"/>
      <c r="U1210" s="533"/>
      <c r="V1210" s="1487"/>
      <c r="W1210" s="1487"/>
      <c r="X1210" s="1487"/>
      <c r="Y1210" s="533"/>
      <c r="Z1210" s="533"/>
      <c r="AA1210" s="530"/>
      <c r="AB1210" s="530"/>
      <c r="AC1210" s="530"/>
      <c r="AD1210" s="530"/>
      <c r="AE1210" s="530"/>
    </row>
    <row r="1211" spans="3:31">
      <c r="C1211" s="530"/>
      <c r="D1211" s="530"/>
      <c r="E1211" s="530"/>
      <c r="F1211" s="530"/>
      <c r="G1211" s="1518"/>
      <c r="H1211" s="530"/>
      <c r="I1211" s="1432"/>
      <c r="J1211" s="530"/>
      <c r="K1211" s="530"/>
      <c r="L1211" s="530"/>
      <c r="M1211" s="533"/>
      <c r="N1211" s="530"/>
      <c r="O1211" s="530"/>
      <c r="P1211" s="530"/>
      <c r="Q1211" s="530"/>
      <c r="R1211" s="1432"/>
      <c r="S1211" s="530"/>
      <c r="T1211" s="533"/>
      <c r="U1211" s="533"/>
      <c r="V1211" s="1487"/>
      <c r="W1211" s="1487"/>
      <c r="X1211" s="1487"/>
      <c r="Y1211" s="533"/>
      <c r="Z1211" s="533"/>
      <c r="AA1211" s="530"/>
      <c r="AB1211" s="530"/>
      <c r="AC1211" s="530"/>
      <c r="AD1211" s="530"/>
      <c r="AE1211" s="530"/>
    </row>
    <row r="1212" spans="3:31">
      <c r="C1212" s="530"/>
      <c r="D1212" s="530"/>
      <c r="E1212" s="530"/>
      <c r="F1212" s="530"/>
      <c r="G1212" s="1518"/>
      <c r="H1212" s="530"/>
      <c r="I1212" s="1432"/>
      <c r="J1212" s="530"/>
      <c r="K1212" s="530"/>
      <c r="L1212" s="530"/>
      <c r="M1212" s="533"/>
      <c r="N1212" s="530"/>
      <c r="O1212" s="530"/>
      <c r="P1212" s="530"/>
      <c r="Q1212" s="530"/>
      <c r="R1212" s="1432"/>
      <c r="S1212" s="530"/>
      <c r="T1212" s="533"/>
      <c r="U1212" s="533"/>
      <c r="V1212" s="1487"/>
      <c r="W1212" s="1487"/>
      <c r="X1212" s="1487"/>
      <c r="Y1212" s="533"/>
      <c r="Z1212" s="533"/>
      <c r="AA1212" s="530"/>
      <c r="AB1212" s="530"/>
      <c r="AC1212" s="530"/>
      <c r="AD1212" s="530"/>
      <c r="AE1212" s="530"/>
    </row>
    <row r="1213" spans="3:31">
      <c r="C1213" s="530"/>
      <c r="D1213" s="530"/>
      <c r="E1213" s="530"/>
      <c r="F1213" s="530"/>
      <c r="G1213" s="1518"/>
      <c r="H1213" s="530"/>
      <c r="I1213" s="1432"/>
      <c r="J1213" s="530"/>
      <c r="K1213" s="530"/>
      <c r="L1213" s="530"/>
      <c r="M1213" s="533"/>
      <c r="N1213" s="530"/>
      <c r="O1213" s="530"/>
      <c r="P1213" s="530"/>
      <c r="Q1213" s="530"/>
      <c r="R1213" s="1432"/>
      <c r="S1213" s="530"/>
      <c r="T1213" s="533"/>
      <c r="U1213" s="533"/>
      <c r="V1213" s="1487"/>
      <c r="W1213" s="1487"/>
      <c r="X1213" s="1487"/>
      <c r="Y1213" s="533"/>
      <c r="Z1213" s="533"/>
      <c r="AA1213" s="530"/>
      <c r="AB1213" s="530"/>
      <c r="AC1213" s="530"/>
      <c r="AD1213" s="530"/>
      <c r="AE1213" s="530"/>
    </row>
    <row r="1214" spans="3:31">
      <c r="C1214" s="530"/>
      <c r="D1214" s="530"/>
      <c r="E1214" s="530"/>
      <c r="F1214" s="530"/>
      <c r="G1214" s="1518"/>
      <c r="H1214" s="530"/>
      <c r="I1214" s="1432"/>
      <c r="J1214" s="530"/>
      <c r="K1214" s="530"/>
      <c r="L1214" s="530"/>
      <c r="M1214" s="533"/>
      <c r="N1214" s="530"/>
      <c r="O1214" s="530"/>
      <c r="P1214" s="530"/>
      <c r="Q1214" s="530"/>
      <c r="R1214" s="1432"/>
      <c r="S1214" s="530"/>
      <c r="T1214" s="533"/>
      <c r="U1214" s="533"/>
      <c r="V1214" s="1487"/>
      <c r="W1214" s="1487"/>
      <c r="X1214" s="1487"/>
      <c r="Y1214" s="533"/>
      <c r="Z1214" s="533"/>
      <c r="AA1214" s="530"/>
      <c r="AB1214" s="530"/>
      <c r="AC1214" s="530"/>
      <c r="AD1214" s="530"/>
      <c r="AE1214" s="530"/>
    </row>
    <row r="1215" spans="3:31">
      <c r="C1215" s="530"/>
      <c r="D1215" s="530"/>
      <c r="E1215" s="530"/>
      <c r="F1215" s="530"/>
      <c r="G1215" s="1518"/>
      <c r="H1215" s="530"/>
      <c r="I1215" s="1432"/>
      <c r="J1215" s="530"/>
      <c r="K1215" s="530"/>
      <c r="L1215" s="530"/>
      <c r="M1215" s="533"/>
      <c r="N1215" s="530"/>
      <c r="O1215" s="530"/>
      <c r="P1215" s="530"/>
      <c r="Q1215" s="530"/>
      <c r="R1215" s="1432"/>
      <c r="S1215" s="530"/>
      <c r="T1215" s="533"/>
      <c r="U1215" s="533"/>
      <c r="V1215" s="1487"/>
      <c r="W1215" s="1487"/>
      <c r="X1215" s="1487"/>
      <c r="Y1215" s="533"/>
      <c r="Z1215" s="533"/>
      <c r="AA1215" s="530"/>
      <c r="AB1215" s="530"/>
      <c r="AC1215" s="530"/>
      <c r="AD1215" s="530"/>
      <c r="AE1215" s="530"/>
    </row>
    <row r="1216" spans="3:31">
      <c r="C1216" s="530"/>
      <c r="D1216" s="530"/>
      <c r="E1216" s="530"/>
      <c r="F1216" s="530"/>
      <c r="G1216" s="1518"/>
      <c r="H1216" s="530"/>
      <c r="I1216" s="1432"/>
      <c r="J1216" s="530"/>
      <c r="K1216" s="530"/>
      <c r="L1216" s="530"/>
      <c r="M1216" s="533"/>
      <c r="N1216" s="530"/>
      <c r="O1216" s="530"/>
      <c r="P1216" s="530"/>
      <c r="Q1216" s="530"/>
      <c r="R1216" s="1432"/>
      <c r="S1216" s="530"/>
      <c r="T1216" s="533"/>
      <c r="U1216" s="533"/>
      <c r="V1216" s="1487"/>
      <c r="W1216" s="1487"/>
      <c r="X1216" s="1487"/>
      <c r="Y1216" s="533"/>
      <c r="Z1216" s="533"/>
      <c r="AA1216" s="530"/>
      <c r="AB1216" s="530"/>
      <c r="AC1216" s="530"/>
      <c r="AD1216" s="530"/>
      <c r="AE1216" s="530"/>
    </row>
    <row r="1217" spans="3:31">
      <c r="C1217" s="530"/>
      <c r="D1217" s="530"/>
      <c r="E1217" s="530"/>
      <c r="F1217" s="530"/>
      <c r="G1217" s="1518"/>
      <c r="H1217" s="530"/>
      <c r="I1217" s="1432"/>
      <c r="J1217" s="530"/>
      <c r="K1217" s="530"/>
      <c r="L1217" s="530"/>
      <c r="M1217" s="533"/>
      <c r="N1217" s="530"/>
      <c r="O1217" s="530"/>
      <c r="P1217" s="530"/>
      <c r="Q1217" s="530"/>
      <c r="R1217" s="1432"/>
      <c r="S1217" s="530"/>
      <c r="T1217" s="533"/>
      <c r="U1217" s="533"/>
      <c r="V1217" s="1487"/>
      <c r="W1217" s="1487"/>
      <c r="X1217" s="1487"/>
      <c r="Y1217" s="533"/>
      <c r="Z1217" s="533"/>
      <c r="AA1217" s="530"/>
      <c r="AB1217" s="530"/>
      <c r="AC1217" s="530"/>
      <c r="AD1217" s="530"/>
      <c r="AE1217" s="530"/>
    </row>
    <row r="1218" spans="3:31">
      <c r="C1218" s="530"/>
      <c r="D1218" s="530"/>
      <c r="E1218" s="530"/>
      <c r="F1218" s="530"/>
      <c r="G1218" s="1518"/>
      <c r="H1218" s="530"/>
      <c r="I1218" s="1432"/>
      <c r="J1218" s="530"/>
      <c r="K1218" s="530"/>
      <c r="L1218" s="530"/>
      <c r="M1218" s="533"/>
      <c r="N1218" s="530"/>
      <c r="O1218" s="530"/>
      <c r="P1218" s="530"/>
      <c r="Q1218" s="530"/>
      <c r="R1218" s="1432"/>
      <c r="S1218" s="530"/>
      <c r="T1218" s="533"/>
      <c r="U1218" s="533"/>
      <c r="V1218" s="1487"/>
      <c r="W1218" s="1487"/>
      <c r="X1218" s="1487"/>
      <c r="Y1218" s="533"/>
      <c r="Z1218" s="533"/>
      <c r="AA1218" s="530"/>
      <c r="AB1218" s="530"/>
      <c r="AC1218" s="530"/>
      <c r="AD1218" s="530"/>
      <c r="AE1218" s="530"/>
    </row>
    <row r="1219" spans="3:31">
      <c r="C1219" s="530"/>
      <c r="D1219" s="530"/>
      <c r="E1219" s="530"/>
      <c r="F1219" s="530"/>
      <c r="G1219" s="1518"/>
      <c r="H1219" s="530"/>
      <c r="I1219" s="1432"/>
      <c r="J1219" s="530"/>
      <c r="K1219" s="530"/>
      <c r="L1219" s="530"/>
      <c r="M1219" s="533"/>
      <c r="N1219" s="530"/>
      <c r="O1219" s="530"/>
      <c r="P1219" s="530"/>
      <c r="Q1219" s="530"/>
      <c r="R1219" s="1432"/>
      <c r="S1219" s="530"/>
      <c r="T1219" s="533"/>
      <c r="U1219" s="533"/>
      <c r="V1219" s="1487"/>
      <c r="W1219" s="1487"/>
      <c r="X1219" s="1487"/>
      <c r="Y1219" s="533"/>
      <c r="Z1219" s="533"/>
      <c r="AA1219" s="530"/>
      <c r="AB1219" s="530"/>
      <c r="AC1219" s="530"/>
      <c r="AD1219" s="530"/>
      <c r="AE1219" s="530"/>
    </row>
    <row r="1220" spans="3:31">
      <c r="C1220" s="530"/>
      <c r="D1220" s="530"/>
      <c r="E1220" s="530"/>
      <c r="F1220" s="530"/>
      <c r="G1220" s="1518"/>
      <c r="H1220" s="530"/>
      <c r="I1220" s="1432"/>
      <c r="J1220" s="530"/>
      <c r="K1220" s="530"/>
      <c r="L1220" s="530"/>
      <c r="M1220" s="533"/>
      <c r="N1220" s="530"/>
      <c r="O1220" s="530"/>
      <c r="P1220" s="530"/>
      <c r="Q1220" s="530"/>
      <c r="R1220" s="1432"/>
      <c r="S1220" s="530"/>
      <c r="T1220" s="533"/>
      <c r="U1220" s="533"/>
      <c r="V1220" s="1487"/>
      <c r="W1220" s="1487"/>
      <c r="X1220" s="1487"/>
      <c r="Y1220" s="533"/>
      <c r="Z1220" s="533"/>
      <c r="AA1220" s="530"/>
      <c r="AB1220" s="530"/>
      <c r="AC1220" s="530"/>
      <c r="AD1220" s="530"/>
      <c r="AE1220" s="530"/>
    </row>
    <row r="1221" spans="3:31">
      <c r="C1221" s="530"/>
      <c r="D1221" s="530"/>
      <c r="E1221" s="530"/>
      <c r="F1221" s="530"/>
      <c r="G1221" s="1518"/>
      <c r="H1221" s="530"/>
      <c r="I1221" s="1432"/>
      <c r="J1221" s="530"/>
      <c r="K1221" s="530"/>
      <c r="L1221" s="530"/>
      <c r="M1221" s="533"/>
      <c r="N1221" s="530"/>
      <c r="O1221" s="530"/>
      <c r="P1221" s="530"/>
      <c r="Q1221" s="530"/>
      <c r="R1221" s="1432"/>
      <c r="S1221" s="530"/>
      <c r="T1221" s="533"/>
      <c r="U1221" s="533"/>
      <c r="V1221" s="1487"/>
      <c r="W1221" s="1487"/>
      <c r="X1221" s="1487"/>
      <c r="Y1221" s="533"/>
      <c r="Z1221" s="533"/>
      <c r="AA1221" s="530"/>
      <c r="AB1221" s="530"/>
      <c r="AC1221" s="530"/>
      <c r="AD1221" s="530"/>
      <c r="AE1221" s="530"/>
    </row>
    <row r="1222" spans="3:31">
      <c r="C1222" s="530"/>
      <c r="D1222" s="530"/>
      <c r="E1222" s="530"/>
      <c r="F1222" s="530"/>
      <c r="G1222" s="1518"/>
      <c r="H1222" s="530"/>
      <c r="I1222" s="1432"/>
      <c r="J1222" s="530"/>
      <c r="K1222" s="530"/>
      <c r="L1222" s="530"/>
      <c r="M1222" s="533"/>
      <c r="N1222" s="530"/>
      <c r="O1222" s="530"/>
      <c r="P1222" s="530"/>
      <c r="Q1222" s="530"/>
      <c r="R1222" s="1432"/>
      <c r="S1222" s="530"/>
      <c r="T1222" s="533"/>
      <c r="U1222" s="533"/>
      <c r="V1222" s="1487"/>
      <c r="W1222" s="1487"/>
      <c r="X1222" s="1487"/>
      <c r="Y1222" s="533"/>
      <c r="Z1222" s="533"/>
      <c r="AA1222" s="530"/>
      <c r="AB1222" s="530"/>
      <c r="AC1222" s="530"/>
      <c r="AD1222" s="530"/>
      <c r="AE1222" s="530"/>
    </row>
    <row r="1223" spans="3:31">
      <c r="C1223" s="530"/>
      <c r="D1223" s="530"/>
      <c r="E1223" s="530"/>
      <c r="F1223" s="530"/>
      <c r="G1223" s="1518"/>
      <c r="H1223" s="530"/>
      <c r="I1223" s="1432"/>
      <c r="J1223" s="530"/>
      <c r="K1223" s="530"/>
      <c r="L1223" s="530"/>
      <c r="M1223" s="533"/>
      <c r="N1223" s="530"/>
      <c r="O1223" s="530"/>
      <c r="P1223" s="530"/>
      <c r="Q1223" s="530"/>
      <c r="R1223" s="1432"/>
      <c r="S1223" s="530"/>
      <c r="T1223" s="533"/>
      <c r="U1223" s="533"/>
      <c r="V1223" s="1487"/>
      <c r="W1223" s="1487"/>
      <c r="X1223" s="1487"/>
      <c r="Y1223" s="533"/>
      <c r="Z1223" s="533"/>
      <c r="AA1223" s="530"/>
      <c r="AB1223" s="530"/>
      <c r="AC1223" s="530"/>
      <c r="AD1223" s="530"/>
      <c r="AE1223" s="530"/>
    </row>
    <row r="1224" spans="3:31">
      <c r="C1224" s="530"/>
      <c r="D1224" s="530"/>
      <c r="E1224" s="530"/>
      <c r="F1224" s="530"/>
      <c r="G1224" s="1518"/>
      <c r="H1224" s="530"/>
      <c r="I1224" s="1432"/>
      <c r="J1224" s="530"/>
      <c r="K1224" s="530"/>
      <c r="L1224" s="530"/>
      <c r="M1224" s="533"/>
      <c r="N1224" s="530"/>
      <c r="O1224" s="530"/>
      <c r="P1224" s="530"/>
      <c r="Q1224" s="530"/>
      <c r="R1224" s="1432"/>
      <c r="S1224" s="530"/>
      <c r="T1224" s="533"/>
      <c r="U1224" s="533"/>
      <c r="V1224" s="1487"/>
      <c r="W1224" s="1487"/>
      <c r="X1224" s="1487"/>
      <c r="Y1224" s="533"/>
      <c r="Z1224" s="533"/>
      <c r="AA1224" s="530"/>
      <c r="AB1224" s="530"/>
      <c r="AC1224" s="530"/>
      <c r="AD1224" s="530"/>
      <c r="AE1224" s="530"/>
    </row>
    <row r="1225" spans="3:31">
      <c r="C1225" s="530"/>
      <c r="D1225" s="530"/>
      <c r="E1225" s="530"/>
      <c r="F1225" s="530"/>
      <c r="G1225" s="1518"/>
      <c r="H1225" s="530"/>
      <c r="I1225" s="1432"/>
      <c r="J1225" s="530"/>
      <c r="K1225" s="530"/>
      <c r="L1225" s="530"/>
      <c r="M1225" s="533"/>
      <c r="N1225" s="530"/>
      <c r="O1225" s="530"/>
      <c r="P1225" s="530"/>
      <c r="Q1225" s="530"/>
      <c r="R1225" s="1432"/>
      <c r="S1225" s="530"/>
      <c r="T1225" s="533"/>
      <c r="U1225" s="533"/>
      <c r="V1225" s="1487"/>
      <c r="W1225" s="1487"/>
      <c r="X1225" s="1487"/>
      <c r="Y1225" s="533"/>
      <c r="Z1225" s="533"/>
      <c r="AA1225" s="530"/>
      <c r="AB1225" s="530"/>
      <c r="AC1225" s="530"/>
      <c r="AD1225" s="530"/>
      <c r="AE1225" s="530"/>
    </row>
    <row r="1226" spans="3:31">
      <c r="C1226" s="530"/>
      <c r="D1226" s="530"/>
      <c r="E1226" s="530"/>
      <c r="F1226" s="530"/>
      <c r="G1226" s="1518"/>
      <c r="H1226" s="530"/>
      <c r="I1226" s="1432"/>
      <c r="J1226" s="530"/>
      <c r="K1226" s="530"/>
      <c r="L1226" s="530"/>
      <c r="M1226" s="533"/>
      <c r="N1226" s="530"/>
      <c r="O1226" s="530"/>
      <c r="P1226" s="530"/>
      <c r="Q1226" s="530"/>
      <c r="R1226" s="1432"/>
      <c r="S1226" s="530"/>
      <c r="T1226" s="533"/>
      <c r="U1226" s="533"/>
      <c r="V1226" s="1487"/>
      <c r="W1226" s="1487"/>
      <c r="X1226" s="1487"/>
      <c r="Y1226" s="533"/>
      <c r="Z1226" s="533"/>
      <c r="AA1226" s="530"/>
      <c r="AB1226" s="530"/>
      <c r="AC1226" s="530"/>
      <c r="AD1226" s="530"/>
      <c r="AE1226" s="530"/>
    </row>
    <row r="1227" spans="3:31">
      <c r="C1227" s="530"/>
      <c r="D1227" s="530"/>
      <c r="E1227" s="530"/>
      <c r="F1227" s="530"/>
      <c r="G1227" s="1518"/>
      <c r="H1227" s="530"/>
      <c r="I1227" s="1432"/>
      <c r="J1227" s="530"/>
      <c r="K1227" s="530"/>
      <c r="L1227" s="530"/>
      <c r="M1227" s="533"/>
      <c r="N1227" s="530"/>
      <c r="O1227" s="530"/>
      <c r="P1227" s="530"/>
      <c r="Q1227" s="530"/>
      <c r="R1227" s="1432"/>
      <c r="S1227" s="530"/>
      <c r="T1227" s="533"/>
      <c r="U1227" s="533"/>
      <c r="V1227" s="1487"/>
      <c r="W1227" s="1487"/>
      <c r="X1227" s="1487"/>
      <c r="Y1227" s="533"/>
      <c r="Z1227" s="533"/>
      <c r="AA1227" s="530"/>
      <c r="AB1227" s="530"/>
      <c r="AC1227" s="530"/>
      <c r="AD1227" s="530"/>
      <c r="AE1227" s="530"/>
    </row>
    <row r="1228" spans="3:31">
      <c r="C1228" s="530"/>
      <c r="D1228" s="530"/>
      <c r="E1228" s="530"/>
      <c r="F1228" s="530"/>
      <c r="G1228" s="1518"/>
      <c r="H1228" s="530"/>
      <c r="I1228" s="1432"/>
      <c r="J1228" s="530"/>
      <c r="K1228" s="530"/>
      <c r="L1228" s="530"/>
      <c r="M1228" s="533"/>
      <c r="N1228" s="530"/>
      <c r="O1228" s="530"/>
      <c r="P1228" s="530"/>
      <c r="Q1228" s="530"/>
      <c r="R1228" s="1432"/>
      <c r="S1228" s="530"/>
      <c r="T1228" s="533"/>
      <c r="U1228" s="533"/>
      <c r="V1228" s="1487"/>
      <c r="W1228" s="1487"/>
      <c r="X1228" s="1487"/>
      <c r="Y1228" s="533"/>
      <c r="Z1228" s="533"/>
      <c r="AA1228" s="530"/>
      <c r="AB1228" s="530"/>
      <c r="AC1228" s="530"/>
      <c r="AD1228" s="530"/>
      <c r="AE1228" s="530"/>
    </row>
    <row r="1229" spans="3:31">
      <c r="C1229" s="530"/>
      <c r="D1229" s="530"/>
      <c r="E1229" s="530"/>
      <c r="F1229" s="530"/>
      <c r="G1229" s="1518"/>
      <c r="H1229" s="530"/>
      <c r="I1229" s="1432"/>
      <c r="J1229" s="530"/>
      <c r="K1229" s="530"/>
      <c r="L1229" s="530"/>
      <c r="M1229" s="533"/>
      <c r="N1229" s="530"/>
      <c r="O1229" s="530"/>
      <c r="P1229" s="530"/>
      <c r="Q1229" s="530"/>
      <c r="R1229" s="1432"/>
      <c r="S1229" s="530"/>
      <c r="T1229" s="533"/>
      <c r="U1229" s="533"/>
      <c r="V1229" s="1487"/>
      <c r="W1229" s="1487"/>
      <c r="X1229" s="1487"/>
      <c r="Y1229" s="533"/>
      <c r="Z1229" s="533"/>
      <c r="AA1229" s="530"/>
      <c r="AB1229" s="530"/>
      <c r="AC1229" s="530"/>
      <c r="AD1229" s="530"/>
      <c r="AE1229" s="530"/>
    </row>
    <row r="1230" spans="3:31">
      <c r="C1230" s="530"/>
      <c r="D1230" s="530"/>
      <c r="E1230" s="530"/>
      <c r="F1230" s="530"/>
      <c r="G1230" s="1518"/>
      <c r="H1230" s="530"/>
      <c r="I1230" s="1432"/>
      <c r="J1230" s="530"/>
      <c r="K1230" s="530"/>
      <c r="L1230" s="530"/>
      <c r="M1230" s="533"/>
      <c r="N1230" s="530"/>
      <c r="O1230" s="530"/>
      <c r="P1230" s="530"/>
      <c r="Q1230" s="530"/>
      <c r="R1230" s="1432"/>
      <c r="S1230" s="530"/>
      <c r="T1230" s="533"/>
      <c r="U1230" s="533"/>
      <c r="V1230" s="1487"/>
      <c r="W1230" s="1487"/>
      <c r="X1230" s="1487"/>
      <c r="Y1230" s="533"/>
      <c r="Z1230" s="533"/>
      <c r="AA1230" s="530"/>
      <c r="AB1230" s="530"/>
      <c r="AC1230" s="530"/>
      <c r="AD1230" s="530"/>
      <c r="AE1230" s="530"/>
    </row>
    <row r="1231" spans="3:31">
      <c r="C1231" s="530"/>
      <c r="D1231" s="530"/>
      <c r="E1231" s="530"/>
      <c r="F1231" s="530"/>
      <c r="G1231" s="1518"/>
      <c r="H1231" s="530"/>
      <c r="I1231" s="1432"/>
      <c r="J1231" s="530"/>
      <c r="K1231" s="530"/>
      <c r="L1231" s="530"/>
      <c r="M1231" s="533"/>
      <c r="N1231" s="530"/>
      <c r="O1231" s="530"/>
      <c r="P1231" s="530"/>
      <c r="Q1231" s="530"/>
      <c r="R1231" s="1432"/>
      <c r="S1231" s="530"/>
      <c r="T1231" s="533"/>
      <c r="U1231" s="533"/>
      <c r="V1231" s="1487"/>
      <c r="W1231" s="1487"/>
      <c r="X1231" s="1487"/>
      <c r="Y1231" s="533"/>
      <c r="Z1231" s="533"/>
      <c r="AA1231" s="530"/>
      <c r="AB1231" s="530"/>
      <c r="AC1231" s="530"/>
      <c r="AD1231" s="530"/>
      <c r="AE1231" s="530"/>
    </row>
    <row r="1232" spans="3:31">
      <c r="C1232" s="530"/>
      <c r="D1232" s="530"/>
      <c r="E1232" s="530"/>
      <c r="F1232" s="530"/>
      <c r="G1232" s="1518"/>
      <c r="H1232" s="530"/>
      <c r="I1232" s="1432"/>
      <c r="J1232" s="530"/>
      <c r="K1232" s="530"/>
      <c r="L1232" s="530"/>
      <c r="M1232" s="533"/>
      <c r="N1232" s="530"/>
      <c r="O1232" s="530"/>
      <c r="P1232" s="530"/>
      <c r="Q1232" s="530"/>
      <c r="R1232" s="1432"/>
      <c r="S1232" s="530"/>
      <c r="T1232" s="533"/>
      <c r="U1232" s="533"/>
      <c r="V1232" s="1487"/>
      <c r="W1232" s="1487"/>
      <c r="X1232" s="1487"/>
      <c r="Y1232" s="533"/>
      <c r="Z1232" s="533"/>
      <c r="AA1232" s="530"/>
      <c r="AB1232" s="530"/>
      <c r="AC1232" s="530"/>
      <c r="AD1232" s="530"/>
      <c r="AE1232" s="530"/>
    </row>
    <row r="1233" spans="3:31">
      <c r="C1233" s="530"/>
      <c r="D1233" s="530"/>
      <c r="E1233" s="530"/>
      <c r="F1233" s="530"/>
      <c r="G1233" s="1518"/>
      <c r="H1233" s="530"/>
      <c r="I1233" s="1432"/>
      <c r="J1233" s="530"/>
      <c r="K1233" s="530"/>
      <c r="L1233" s="530"/>
      <c r="M1233" s="533"/>
      <c r="N1233" s="530"/>
      <c r="O1233" s="530"/>
      <c r="P1233" s="530"/>
      <c r="Q1233" s="530"/>
      <c r="R1233" s="1432"/>
      <c r="S1233" s="530"/>
      <c r="T1233" s="533"/>
      <c r="U1233" s="533"/>
      <c r="V1233" s="1487"/>
      <c r="W1233" s="1487"/>
      <c r="X1233" s="1487"/>
      <c r="Y1233" s="533"/>
      <c r="Z1233" s="533"/>
      <c r="AA1233" s="530"/>
      <c r="AB1233" s="530"/>
      <c r="AC1233" s="530"/>
      <c r="AD1233" s="530"/>
      <c r="AE1233" s="530"/>
    </row>
    <row r="1234" spans="3:31">
      <c r="C1234" s="530"/>
      <c r="D1234" s="530"/>
      <c r="E1234" s="530"/>
      <c r="F1234" s="530"/>
      <c r="G1234" s="1518"/>
      <c r="H1234" s="530"/>
      <c r="I1234" s="1432"/>
      <c r="J1234" s="530"/>
      <c r="K1234" s="530"/>
      <c r="L1234" s="530"/>
      <c r="M1234" s="533"/>
      <c r="N1234" s="530"/>
      <c r="O1234" s="530"/>
      <c r="P1234" s="530"/>
      <c r="Q1234" s="530"/>
      <c r="R1234" s="1432"/>
      <c r="S1234" s="530"/>
      <c r="T1234" s="533"/>
      <c r="U1234" s="533"/>
      <c r="V1234" s="1487"/>
      <c r="W1234" s="1487"/>
      <c r="X1234" s="1487"/>
      <c r="Y1234" s="533"/>
      <c r="Z1234" s="533"/>
      <c r="AA1234" s="530"/>
      <c r="AB1234" s="530"/>
      <c r="AC1234" s="530"/>
      <c r="AD1234" s="530"/>
      <c r="AE1234" s="530"/>
    </row>
    <row r="1235" spans="3:31">
      <c r="C1235" s="530"/>
      <c r="D1235" s="530"/>
      <c r="E1235" s="530"/>
      <c r="F1235" s="530"/>
      <c r="G1235" s="1518"/>
      <c r="H1235" s="530"/>
      <c r="I1235" s="1432"/>
      <c r="J1235" s="530"/>
      <c r="K1235" s="530"/>
      <c r="L1235" s="530"/>
      <c r="M1235" s="533"/>
      <c r="N1235" s="530"/>
      <c r="O1235" s="530"/>
      <c r="P1235" s="530"/>
      <c r="Q1235" s="530"/>
      <c r="R1235" s="1432"/>
      <c r="S1235" s="530"/>
      <c r="T1235" s="533"/>
      <c r="U1235" s="533"/>
      <c r="V1235" s="1487"/>
      <c r="W1235" s="1487"/>
      <c r="X1235" s="1487"/>
      <c r="Y1235" s="533"/>
      <c r="Z1235" s="533"/>
      <c r="AA1235" s="530"/>
      <c r="AB1235" s="530"/>
      <c r="AC1235" s="530"/>
      <c r="AD1235" s="530"/>
      <c r="AE1235" s="530"/>
    </row>
    <row r="1236" spans="3:31">
      <c r="C1236" s="530"/>
      <c r="D1236" s="530"/>
      <c r="E1236" s="530"/>
      <c r="F1236" s="530"/>
      <c r="G1236" s="1518"/>
      <c r="H1236" s="530"/>
      <c r="I1236" s="1432"/>
      <c r="J1236" s="530"/>
      <c r="K1236" s="530"/>
      <c r="L1236" s="530"/>
      <c r="M1236" s="533"/>
      <c r="N1236" s="530"/>
      <c r="O1236" s="530"/>
      <c r="P1236" s="530"/>
      <c r="Q1236" s="530"/>
      <c r="R1236" s="1432"/>
      <c r="S1236" s="530"/>
      <c r="T1236" s="533"/>
      <c r="U1236" s="533"/>
      <c r="V1236" s="1487"/>
      <c r="W1236" s="1487"/>
      <c r="X1236" s="1487"/>
      <c r="Y1236" s="533"/>
      <c r="Z1236" s="533"/>
      <c r="AA1236" s="530"/>
      <c r="AB1236" s="530"/>
      <c r="AC1236" s="530"/>
      <c r="AD1236" s="530"/>
      <c r="AE1236" s="530"/>
    </row>
    <row r="1237" spans="3:31">
      <c r="C1237" s="530"/>
      <c r="D1237" s="530"/>
      <c r="E1237" s="530"/>
      <c r="F1237" s="530"/>
      <c r="G1237" s="1518"/>
      <c r="H1237" s="530"/>
      <c r="I1237" s="1432"/>
      <c r="J1237" s="530"/>
      <c r="K1237" s="530"/>
      <c r="L1237" s="530"/>
      <c r="M1237" s="533"/>
      <c r="N1237" s="530"/>
      <c r="O1237" s="530"/>
      <c r="P1237" s="530"/>
      <c r="Q1237" s="530"/>
      <c r="R1237" s="1432"/>
      <c r="S1237" s="530"/>
      <c r="T1237" s="533"/>
      <c r="U1237" s="533"/>
      <c r="V1237" s="1487"/>
      <c r="W1237" s="1487"/>
      <c r="X1237" s="1487"/>
      <c r="Y1237" s="533"/>
      <c r="Z1237" s="533"/>
      <c r="AA1237" s="530"/>
      <c r="AB1237" s="530"/>
      <c r="AC1237" s="530"/>
      <c r="AD1237" s="530"/>
      <c r="AE1237" s="530"/>
    </row>
    <row r="1238" spans="3:31">
      <c r="C1238" s="530"/>
      <c r="D1238" s="530"/>
      <c r="E1238" s="530"/>
      <c r="F1238" s="530"/>
      <c r="G1238" s="1518"/>
      <c r="H1238" s="530"/>
      <c r="I1238" s="1432"/>
      <c r="J1238" s="530"/>
      <c r="K1238" s="530"/>
      <c r="L1238" s="530"/>
      <c r="M1238" s="533"/>
      <c r="N1238" s="530"/>
      <c r="O1238" s="530"/>
      <c r="P1238" s="530"/>
      <c r="Q1238" s="530"/>
      <c r="R1238" s="1432"/>
      <c r="S1238" s="530"/>
      <c r="T1238" s="533"/>
      <c r="U1238" s="533"/>
      <c r="V1238" s="1487"/>
      <c r="W1238" s="1487"/>
      <c r="X1238" s="1487"/>
      <c r="Y1238" s="533"/>
      <c r="Z1238" s="533"/>
      <c r="AA1238" s="530"/>
      <c r="AB1238" s="530"/>
      <c r="AC1238" s="530"/>
      <c r="AD1238" s="530"/>
      <c r="AE1238" s="530"/>
    </row>
    <row r="1239" spans="3:31">
      <c r="C1239" s="530"/>
      <c r="D1239" s="530"/>
      <c r="E1239" s="530"/>
      <c r="F1239" s="530"/>
      <c r="G1239" s="1518"/>
      <c r="H1239" s="530"/>
      <c r="I1239" s="1432"/>
      <c r="J1239" s="530"/>
      <c r="K1239" s="530"/>
      <c r="L1239" s="530"/>
      <c r="M1239" s="533"/>
      <c r="N1239" s="530"/>
      <c r="O1239" s="530"/>
      <c r="P1239" s="530"/>
      <c r="Q1239" s="530"/>
      <c r="R1239" s="1432"/>
      <c r="S1239" s="530"/>
      <c r="T1239" s="533"/>
      <c r="U1239" s="533"/>
      <c r="V1239" s="1487"/>
      <c r="W1239" s="1487"/>
      <c r="X1239" s="1487"/>
      <c r="Y1239" s="533"/>
      <c r="Z1239" s="533"/>
      <c r="AA1239" s="530"/>
      <c r="AB1239" s="530"/>
      <c r="AC1239" s="530"/>
      <c r="AD1239" s="530"/>
      <c r="AE1239" s="530"/>
    </row>
    <row r="1240" spans="3:31">
      <c r="C1240" s="530"/>
      <c r="D1240" s="530"/>
      <c r="E1240" s="530"/>
      <c r="F1240" s="530"/>
      <c r="G1240" s="1518"/>
      <c r="H1240" s="530"/>
      <c r="I1240" s="1432"/>
      <c r="J1240" s="530"/>
      <c r="K1240" s="530"/>
      <c r="L1240" s="530"/>
      <c r="M1240" s="533"/>
      <c r="N1240" s="530"/>
      <c r="O1240" s="530"/>
      <c r="P1240" s="530"/>
      <c r="Q1240" s="530"/>
      <c r="R1240" s="1432"/>
      <c r="S1240" s="530"/>
      <c r="T1240" s="533"/>
      <c r="U1240" s="533"/>
      <c r="V1240" s="1487"/>
      <c r="W1240" s="1487"/>
      <c r="X1240" s="1487"/>
      <c r="Y1240" s="533"/>
      <c r="Z1240" s="533"/>
      <c r="AA1240" s="530"/>
      <c r="AB1240" s="530"/>
      <c r="AC1240" s="530"/>
      <c r="AD1240" s="530"/>
      <c r="AE1240" s="530"/>
    </row>
    <row r="1241" spans="3:31">
      <c r="C1241" s="530"/>
      <c r="D1241" s="530"/>
      <c r="E1241" s="530"/>
      <c r="F1241" s="530"/>
      <c r="G1241" s="1518"/>
      <c r="H1241" s="530"/>
      <c r="I1241" s="1432"/>
      <c r="J1241" s="530"/>
      <c r="K1241" s="530"/>
      <c r="L1241" s="530"/>
      <c r="M1241" s="533"/>
      <c r="N1241" s="530"/>
      <c r="O1241" s="530"/>
      <c r="P1241" s="530"/>
      <c r="Q1241" s="530"/>
      <c r="R1241" s="1432"/>
      <c r="S1241" s="530"/>
      <c r="T1241" s="533"/>
      <c r="U1241" s="533"/>
      <c r="V1241" s="1487"/>
      <c r="W1241" s="1487"/>
      <c r="X1241" s="1487"/>
      <c r="Y1241" s="533"/>
      <c r="Z1241" s="533"/>
      <c r="AA1241" s="530"/>
      <c r="AB1241" s="530"/>
      <c r="AC1241" s="530"/>
      <c r="AD1241" s="530"/>
      <c r="AE1241" s="530"/>
    </row>
    <row r="1242" spans="3:31">
      <c r="C1242" s="530"/>
      <c r="D1242" s="530"/>
      <c r="E1242" s="530"/>
      <c r="F1242" s="530"/>
      <c r="G1242" s="1518"/>
      <c r="H1242" s="530"/>
      <c r="I1242" s="1432"/>
      <c r="J1242" s="530"/>
      <c r="K1242" s="530"/>
      <c r="L1242" s="530"/>
      <c r="M1242" s="533"/>
      <c r="N1242" s="530"/>
      <c r="O1242" s="530"/>
      <c r="P1242" s="530"/>
      <c r="Q1242" s="530"/>
      <c r="R1242" s="1432"/>
      <c r="S1242" s="530"/>
      <c r="T1242" s="533"/>
      <c r="U1242" s="533"/>
      <c r="V1242" s="1487"/>
      <c r="W1242" s="1487"/>
      <c r="X1242" s="1487"/>
      <c r="Y1242" s="533"/>
      <c r="Z1242" s="533"/>
      <c r="AA1242" s="530"/>
      <c r="AB1242" s="530"/>
      <c r="AC1242" s="530"/>
      <c r="AD1242" s="530"/>
      <c r="AE1242" s="530"/>
    </row>
    <row r="1243" spans="3:31">
      <c r="C1243" s="530"/>
      <c r="D1243" s="530"/>
      <c r="E1243" s="530"/>
      <c r="F1243" s="530"/>
      <c r="G1243" s="1518"/>
      <c r="H1243" s="530"/>
      <c r="I1243" s="1432"/>
      <c r="J1243" s="530"/>
      <c r="K1243" s="530"/>
      <c r="L1243" s="530"/>
      <c r="M1243" s="533"/>
      <c r="N1243" s="530"/>
      <c r="O1243" s="530"/>
      <c r="P1243" s="530"/>
      <c r="Q1243" s="530"/>
      <c r="R1243" s="1432"/>
      <c r="S1243" s="530"/>
      <c r="T1243" s="533"/>
      <c r="U1243" s="533"/>
      <c r="V1243" s="1487"/>
      <c r="W1243" s="1487"/>
      <c r="X1243" s="1487"/>
      <c r="Y1243" s="533"/>
      <c r="Z1243" s="533"/>
      <c r="AA1243" s="530"/>
      <c r="AB1243" s="530"/>
      <c r="AC1243" s="530"/>
      <c r="AD1243" s="530"/>
      <c r="AE1243" s="530"/>
    </row>
    <row r="1244" spans="3:31">
      <c r="C1244" s="530"/>
      <c r="D1244" s="530"/>
      <c r="E1244" s="530"/>
      <c r="F1244" s="530"/>
      <c r="G1244" s="1518"/>
      <c r="H1244" s="530"/>
      <c r="I1244" s="1432"/>
      <c r="J1244" s="530"/>
      <c r="K1244" s="530"/>
      <c r="L1244" s="530"/>
      <c r="M1244" s="533"/>
      <c r="N1244" s="530"/>
      <c r="O1244" s="530"/>
      <c r="P1244" s="530"/>
      <c r="Q1244" s="530"/>
      <c r="R1244" s="1432"/>
      <c r="S1244" s="530"/>
      <c r="T1244" s="533"/>
      <c r="U1244" s="533"/>
      <c r="V1244" s="1487"/>
      <c r="W1244" s="1487"/>
      <c r="X1244" s="1487"/>
      <c r="Y1244" s="533"/>
      <c r="Z1244" s="533"/>
      <c r="AA1244" s="530"/>
      <c r="AB1244" s="530"/>
      <c r="AC1244" s="530"/>
      <c r="AD1244" s="530"/>
      <c r="AE1244" s="530"/>
    </row>
    <row r="1245" spans="3:31">
      <c r="C1245" s="530"/>
      <c r="D1245" s="530"/>
      <c r="E1245" s="530"/>
      <c r="F1245" s="530"/>
      <c r="G1245" s="1518"/>
      <c r="H1245" s="530"/>
      <c r="I1245" s="1432"/>
      <c r="J1245" s="530"/>
      <c r="K1245" s="530"/>
      <c r="L1245" s="530"/>
      <c r="M1245" s="533"/>
      <c r="N1245" s="530"/>
      <c r="O1245" s="530"/>
      <c r="P1245" s="530"/>
      <c r="Q1245" s="530"/>
      <c r="R1245" s="1432"/>
      <c r="S1245" s="530"/>
      <c r="T1245" s="533"/>
      <c r="U1245" s="533"/>
      <c r="V1245" s="1487"/>
      <c r="W1245" s="1487"/>
      <c r="X1245" s="1487"/>
      <c r="Y1245" s="533"/>
      <c r="Z1245" s="533"/>
      <c r="AA1245" s="530"/>
      <c r="AB1245" s="530"/>
      <c r="AC1245" s="530"/>
      <c r="AD1245" s="530"/>
      <c r="AE1245" s="530"/>
    </row>
    <row r="1246" spans="3:31">
      <c r="C1246" s="530"/>
      <c r="D1246" s="530"/>
      <c r="E1246" s="530"/>
      <c r="F1246" s="530"/>
      <c r="G1246" s="1518"/>
      <c r="H1246" s="530"/>
      <c r="I1246" s="1432"/>
      <c r="J1246" s="530"/>
      <c r="K1246" s="530"/>
      <c r="L1246" s="530"/>
      <c r="M1246" s="533"/>
      <c r="N1246" s="530"/>
      <c r="O1246" s="530"/>
      <c r="P1246" s="530"/>
      <c r="Q1246" s="530"/>
      <c r="R1246" s="1432"/>
      <c r="S1246" s="530"/>
      <c r="T1246" s="533"/>
      <c r="U1246" s="533"/>
      <c r="V1246" s="1487"/>
      <c r="W1246" s="1487"/>
      <c r="X1246" s="1487"/>
      <c r="Y1246" s="533"/>
      <c r="Z1246" s="533"/>
      <c r="AA1246" s="530"/>
      <c r="AB1246" s="530"/>
      <c r="AC1246" s="530"/>
      <c r="AD1246" s="530"/>
      <c r="AE1246" s="530"/>
    </row>
    <row r="1247" spans="3:31">
      <c r="C1247" s="530"/>
      <c r="D1247" s="530"/>
      <c r="E1247" s="530"/>
      <c r="F1247" s="530"/>
      <c r="G1247" s="1518"/>
      <c r="H1247" s="530"/>
      <c r="I1247" s="1432"/>
      <c r="J1247" s="530"/>
      <c r="K1247" s="530"/>
      <c r="L1247" s="530"/>
      <c r="M1247" s="533"/>
      <c r="N1247" s="530"/>
      <c r="O1247" s="530"/>
      <c r="P1247" s="530"/>
      <c r="Q1247" s="530"/>
      <c r="R1247" s="1432"/>
      <c r="S1247" s="530"/>
      <c r="T1247" s="533"/>
      <c r="U1247" s="533"/>
      <c r="V1247" s="1487"/>
      <c r="W1247" s="1487"/>
      <c r="X1247" s="1487"/>
      <c r="Y1247" s="533"/>
      <c r="Z1247" s="533"/>
      <c r="AA1247" s="530"/>
      <c r="AB1247" s="530"/>
      <c r="AC1247" s="530"/>
      <c r="AD1247" s="530"/>
      <c r="AE1247" s="530"/>
    </row>
    <row r="1248" spans="3:31">
      <c r="C1248" s="530"/>
      <c r="D1248" s="530"/>
      <c r="E1248" s="530"/>
      <c r="F1248" s="530"/>
      <c r="G1248" s="1518"/>
      <c r="H1248" s="530"/>
      <c r="I1248" s="1432"/>
      <c r="J1248" s="530"/>
      <c r="K1248" s="530"/>
      <c r="L1248" s="530"/>
      <c r="M1248" s="533"/>
      <c r="N1248" s="530"/>
      <c r="O1248" s="530"/>
      <c r="P1248" s="530"/>
      <c r="Q1248" s="530"/>
      <c r="R1248" s="1432"/>
      <c r="S1248" s="530"/>
      <c r="T1248" s="533"/>
      <c r="U1248" s="533"/>
      <c r="V1248" s="1487"/>
      <c r="W1248" s="1487"/>
      <c r="X1248" s="1487"/>
      <c r="Y1248" s="533"/>
      <c r="Z1248" s="533"/>
      <c r="AA1248" s="530"/>
      <c r="AB1248" s="530"/>
      <c r="AC1248" s="530"/>
      <c r="AD1248" s="530"/>
      <c r="AE1248" s="530"/>
    </row>
    <row r="1249" spans="3:31">
      <c r="C1249" s="530"/>
      <c r="D1249" s="530"/>
      <c r="E1249" s="530"/>
      <c r="F1249" s="530"/>
      <c r="G1249" s="1518"/>
      <c r="H1249" s="530"/>
      <c r="I1249" s="1432"/>
      <c r="J1249" s="530"/>
      <c r="K1249" s="530"/>
      <c r="L1249" s="530"/>
      <c r="M1249" s="533"/>
      <c r="N1249" s="530"/>
      <c r="O1249" s="530"/>
      <c r="P1249" s="530"/>
      <c r="Q1249" s="530"/>
      <c r="R1249" s="1432"/>
      <c r="S1249" s="530"/>
      <c r="T1249" s="533"/>
      <c r="U1249" s="533"/>
      <c r="V1249" s="1487"/>
      <c r="W1249" s="1487"/>
      <c r="X1249" s="1487"/>
      <c r="Y1249" s="533"/>
      <c r="Z1249" s="533"/>
      <c r="AA1249" s="530"/>
      <c r="AB1249" s="530"/>
      <c r="AC1249" s="530"/>
      <c r="AD1249" s="530"/>
      <c r="AE1249" s="530"/>
    </row>
    <row r="1250" spans="3:31">
      <c r="C1250" s="530"/>
      <c r="D1250" s="530"/>
      <c r="E1250" s="530"/>
      <c r="F1250" s="530"/>
      <c r="G1250" s="1518"/>
      <c r="H1250" s="530"/>
      <c r="I1250" s="1432"/>
      <c r="J1250" s="530"/>
      <c r="K1250" s="530"/>
      <c r="L1250" s="530"/>
      <c r="M1250" s="533"/>
      <c r="N1250" s="530"/>
      <c r="O1250" s="530"/>
      <c r="P1250" s="530"/>
      <c r="Q1250" s="530"/>
      <c r="R1250" s="1432"/>
      <c r="S1250" s="530"/>
      <c r="T1250" s="533"/>
      <c r="U1250" s="533"/>
      <c r="V1250" s="1487"/>
      <c r="W1250" s="1487"/>
      <c r="X1250" s="1487"/>
      <c r="Y1250" s="533"/>
      <c r="Z1250" s="533"/>
      <c r="AA1250" s="530"/>
      <c r="AB1250" s="530"/>
      <c r="AC1250" s="530"/>
      <c r="AD1250" s="530"/>
      <c r="AE1250" s="530"/>
    </row>
    <row r="1251" spans="3:31">
      <c r="C1251" s="530"/>
      <c r="D1251" s="530"/>
      <c r="E1251" s="530"/>
      <c r="F1251" s="530"/>
      <c r="G1251" s="1518"/>
      <c r="H1251" s="530"/>
      <c r="I1251" s="1432"/>
      <c r="J1251" s="530"/>
      <c r="K1251" s="530"/>
      <c r="L1251" s="530"/>
      <c r="M1251" s="533"/>
      <c r="N1251" s="530"/>
      <c r="O1251" s="530"/>
      <c r="P1251" s="530"/>
      <c r="Q1251" s="530"/>
      <c r="R1251" s="1432"/>
      <c r="S1251" s="530"/>
      <c r="T1251" s="533"/>
      <c r="U1251" s="533"/>
      <c r="V1251" s="1487"/>
      <c r="W1251" s="1487"/>
      <c r="X1251" s="1487"/>
      <c r="Y1251" s="533"/>
      <c r="Z1251" s="533"/>
      <c r="AA1251" s="530"/>
      <c r="AB1251" s="530"/>
      <c r="AC1251" s="530"/>
      <c r="AD1251" s="530"/>
      <c r="AE1251" s="530"/>
    </row>
    <row r="1252" spans="3:31">
      <c r="C1252" s="530"/>
      <c r="D1252" s="530"/>
      <c r="E1252" s="530"/>
      <c r="F1252" s="530"/>
      <c r="G1252" s="1518"/>
      <c r="H1252" s="530"/>
      <c r="I1252" s="1432"/>
      <c r="J1252" s="530"/>
      <c r="K1252" s="530"/>
      <c r="L1252" s="530"/>
      <c r="M1252" s="533"/>
      <c r="N1252" s="530"/>
      <c r="O1252" s="530"/>
      <c r="P1252" s="530"/>
      <c r="Q1252" s="530"/>
      <c r="R1252" s="1432"/>
      <c r="S1252" s="530"/>
      <c r="T1252" s="533"/>
      <c r="U1252" s="533"/>
      <c r="V1252" s="1487"/>
      <c r="W1252" s="1487"/>
      <c r="X1252" s="1487"/>
      <c r="Y1252" s="533"/>
      <c r="Z1252" s="533"/>
      <c r="AA1252" s="530"/>
      <c r="AB1252" s="530"/>
      <c r="AC1252" s="530"/>
      <c r="AD1252" s="530"/>
      <c r="AE1252" s="530"/>
    </row>
    <row r="1253" spans="3:31">
      <c r="C1253" s="530"/>
      <c r="D1253" s="530"/>
      <c r="E1253" s="530"/>
      <c r="F1253" s="530"/>
      <c r="G1253" s="1518"/>
      <c r="H1253" s="530"/>
      <c r="I1253" s="1432"/>
      <c r="J1253" s="530"/>
      <c r="K1253" s="530"/>
      <c r="L1253" s="530"/>
      <c r="M1253" s="533"/>
      <c r="N1253" s="530"/>
      <c r="O1253" s="530"/>
      <c r="P1253" s="530"/>
      <c r="Q1253" s="530"/>
      <c r="R1253" s="1432"/>
      <c r="S1253" s="530"/>
      <c r="T1253" s="533"/>
      <c r="U1253" s="533"/>
      <c r="V1253" s="1487"/>
      <c r="W1253" s="1487"/>
      <c r="X1253" s="1487"/>
      <c r="Y1253" s="533"/>
      <c r="Z1253" s="533"/>
      <c r="AA1253" s="530"/>
      <c r="AB1253" s="530"/>
      <c r="AC1253" s="530"/>
      <c r="AD1253" s="530"/>
      <c r="AE1253" s="530"/>
    </row>
    <row r="1254" spans="3:31">
      <c r="C1254" s="530"/>
      <c r="D1254" s="530"/>
      <c r="E1254" s="530"/>
      <c r="F1254" s="530"/>
      <c r="G1254" s="1518"/>
      <c r="H1254" s="530"/>
      <c r="I1254" s="1432"/>
      <c r="J1254" s="530"/>
      <c r="K1254" s="530"/>
      <c r="L1254" s="530"/>
      <c r="M1254" s="533"/>
      <c r="N1254" s="530"/>
      <c r="O1254" s="530"/>
      <c r="P1254" s="530"/>
      <c r="Q1254" s="530"/>
      <c r="R1254" s="1432"/>
      <c r="S1254" s="530"/>
      <c r="T1254" s="533"/>
      <c r="U1254" s="533"/>
      <c r="V1254" s="1487"/>
      <c r="W1254" s="1487"/>
      <c r="X1254" s="1487"/>
      <c r="Y1254" s="533"/>
      <c r="Z1254" s="533"/>
      <c r="AA1254" s="530"/>
      <c r="AB1254" s="530"/>
      <c r="AC1254" s="530"/>
      <c r="AD1254" s="530"/>
      <c r="AE1254" s="530"/>
    </row>
    <row r="1255" spans="3:31">
      <c r="C1255" s="530"/>
      <c r="D1255" s="530"/>
      <c r="E1255" s="530"/>
      <c r="F1255" s="530"/>
      <c r="G1255" s="1518"/>
      <c r="H1255" s="530"/>
      <c r="I1255" s="1432"/>
      <c r="J1255" s="530"/>
      <c r="K1255" s="530"/>
      <c r="L1255" s="530"/>
      <c r="M1255" s="533"/>
      <c r="N1255" s="530"/>
      <c r="O1255" s="530"/>
      <c r="P1255" s="530"/>
      <c r="Q1255" s="530"/>
      <c r="R1255" s="1432"/>
      <c r="S1255" s="530"/>
      <c r="T1255" s="533"/>
      <c r="U1255" s="533"/>
      <c r="V1255" s="1487"/>
      <c r="W1255" s="1487"/>
      <c r="X1255" s="1487"/>
      <c r="Y1255" s="533"/>
      <c r="Z1255" s="533"/>
      <c r="AA1255" s="530"/>
      <c r="AB1255" s="530"/>
      <c r="AC1255" s="530"/>
      <c r="AD1255" s="530"/>
      <c r="AE1255" s="530"/>
    </row>
    <row r="1256" spans="3:31">
      <c r="C1256" s="530"/>
      <c r="D1256" s="530"/>
      <c r="E1256" s="530"/>
      <c r="F1256" s="530"/>
      <c r="G1256" s="1518"/>
      <c r="H1256" s="530"/>
      <c r="I1256" s="1432"/>
      <c r="J1256" s="530"/>
      <c r="K1256" s="530"/>
      <c r="L1256" s="530"/>
      <c r="M1256" s="533"/>
      <c r="N1256" s="530"/>
      <c r="O1256" s="530"/>
      <c r="P1256" s="530"/>
      <c r="Q1256" s="530"/>
      <c r="R1256" s="1432"/>
      <c r="S1256" s="530"/>
      <c r="T1256" s="533"/>
      <c r="U1256" s="533"/>
      <c r="V1256" s="1487"/>
      <c r="W1256" s="1487"/>
      <c r="X1256" s="1487"/>
      <c r="Y1256" s="533"/>
      <c r="Z1256" s="533"/>
      <c r="AA1256" s="530"/>
      <c r="AB1256" s="530"/>
      <c r="AC1256" s="530"/>
      <c r="AD1256" s="530"/>
      <c r="AE1256" s="530"/>
    </row>
    <row r="1257" spans="3:31">
      <c r="C1257" s="530"/>
      <c r="D1257" s="530"/>
      <c r="E1257" s="530"/>
      <c r="F1257" s="530"/>
      <c r="G1257" s="1518"/>
      <c r="H1257" s="530"/>
      <c r="I1257" s="1432"/>
      <c r="J1257" s="530"/>
      <c r="K1257" s="530"/>
      <c r="L1257" s="530"/>
      <c r="M1257" s="533"/>
      <c r="N1257" s="530"/>
      <c r="O1257" s="530"/>
      <c r="P1257" s="530"/>
      <c r="Q1257" s="530"/>
      <c r="R1257" s="1432"/>
      <c r="S1257" s="530"/>
      <c r="T1257" s="533"/>
      <c r="U1257" s="533"/>
      <c r="V1257" s="1487"/>
      <c r="W1257" s="1487"/>
      <c r="X1257" s="1487"/>
      <c r="Y1257" s="533"/>
      <c r="Z1257" s="533"/>
      <c r="AA1257" s="530"/>
      <c r="AB1257" s="530"/>
      <c r="AC1257" s="530"/>
      <c r="AD1257" s="530"/>
      <c r="AE1257" s="530"/>
    </row>
    <row r="1258" spans="3:31">
      <c r="C1258" s="530"/>
      <c r="D1258" s="530"/>
      <c r="E1258" s="530"/>
      <c r="F1258" s="530"/>
      <c r="G1258" s="1518"/>
      <c r="H1258" s="530"/>
      <c r="I1258" s="1432"/>
      <c r="J1258" s="530"/>
      <c r="K1258" s="530"/>
      <c r="L1258" s="530"/>
      <c r="M1258" s="533"/>
      <c r="N1258" s="530"/>
      <c r="O1258" s="530"/>
      <c r="P1258" s="530"/>
      <c r="Q1258" s="530"/>
      <c r="R1258" s="1432"/>
      <c r="S1258" s="530"/>
      <c r="T1258" s="533"/>
      <c r="U1258" s="533"/>
      <c r="V1258" s="1487"/>
      <c r="W1258" s="1487"/>
      <c r="X1258" s="1487"/>
      <c r="Y1258" s="533"/>
      <c r="Z1258" s="533"/>
      <c r="AA1258" s="530"/>
      <c r="AB1258" s="530"/>
      <c r="AC1258" s="530"/>
      <c r="AD1258" s="530"/>
      <c r="AE1258" s="530"/>
    </row>
    <row r="1259" spans="3:31">
      <c r="C1259" s="530"/>
      <c r="D1259" s="530"/>
      <c r="E1259" s="530"/>
      <c r="F1259" s="530"/>
      <c r="G1259" s="1518"/>
      <c r="H1259" s="530"/>
      <c r="I1259" s="1432"/>
      <c r="J1259" s="530"/>
      <c r="K1259" s="530"/>
      <c r="L1259" s="530"/>
      <c r="M1259" s="533"/>
      <c r="N1259" s="530"/>
      <c r="O1259" s="530"/>
      <c r="P1259" s="530"/>
      <c r="Q1259" s="530"/>
      <c r="R1259" s="1432"/>
      <c r="S1259" s="530"/>
      <c r="T1259" s="533"/>
      <c r="U1259" s="533"/>
      <c r="V1259" s="1487"/>
      <c r="W1259" s="1487"/>
      <c r="X1259" s="1487"/>
      <c r="Y1259" s="533"/>
      <c r="Z1259" s="533"/>
      <c r="AA1259" s="530"/>
      <c r="AB1259" s="530"/>
      <c r="AC1259" s="530"/>
      <c r="AD1259" s="530"/>
      <c r="AE1259" s="530"/>
    </row>
    <row r="1260" spans="3:31">
      <c r="C1260" s="530"/>
      <c r="D1260" s="530"/>
      <c r="E1260" s="530"/>
      <c r="F1260" s="530"/>
      <c r="G1260" s="1518"/>
      <c r="H1260" s="530"/>
      <c r="I1260" s="1432"/>
      <c r="J1260" s="530"/>
      <c r="K1260" s="530"/>
      <c r="L1260" s="530"/>
      <c r="M1260" s="533"/>
      <c r="N1260" s="530"/>
      <c r="O1260" s="530"/>
      <c r="P1260" s="530"/>
      <c r="Q1260" s="530"/>
      <c r="R1260" s="1432"/>
      <c r="S1260" s="530"/>
      <c r="T1260" s="533"/>
      <c r="U1260" s="533"/>
      <c r="V1260" s="1487"/>
      <c r="W1260" s="1487"/>
      <c r="X1260" s="1487"/>
      <c r="Y1260" s="533"/>
      <c r="Z1260" s="533"/>
      <c r="AA1260" s="530"/>
      <c r="AB1260" s="530"/>
      <c r="AC1260" s="530"/>
      <c r="AD1260" s="530"/>
      <c r="AE1260" s="530"/>
    </row>
    <row r="1261" spans="3:31">
      <c r="C1261" s="530"/>
      <c r="D1261" s="530"/>
      <c r="E1261" s="530"/>
      <c r="F1261" s="530"/>
      <c r="G1261" s="1518"/>
      <c r="H1261" s="530"/>
      <c r="I1261" s="1432"/>
      <c r="J1261" s="530"/>
      <c r="K1261" s="530"/>
      <c r="L1261" s="530"/>
      <c r="M1261" s="533"/>
      <c r="N1261" s="530"/>
      <c r="O1261" s="530"/>
      <c r="P1261" s="530"/>
      <c r="Q1261" s="530"/>
      <c r="R1261" s="1432"/>
      <c r="S1261" s="530"/>
      <c r="T1261" s="533"/>
      <c r="U1261" s="533"/>
      <c r="V1261" s="1487"/>
      <c r="W1261" s="1487"/>
      <c r="X1261" s="1487"/>
      <c r="Y1261" s="533"/>
      <c r="Z1261" s="533"/>
      <c r="AA1261" s="530"/>
      <c r="AB1261" s="530"/>
      <c r="AC1261" s="530"/>
      <c r="AD1261" s="530"/>
      <c r="AE1261" s="530"/>
    </row>
    <row r="1262" spans="3:31">
      <c r="C1262" s="530"/>
      <c r="D1262" s="530"/>
      <c r="E1262" s="530"/>
      <c r="F1262" s="530"/>
      <c r="G1262" s="1518"/>
      <c r="H1262" s="530"/>
      <c r="I1262" s="1432"/>
      <c r="J1262" s="530"/>
      <c r="K1262" s="530"/>
      <c r="L1262" s="530"/>
      <c r="M1262" s="533"/>
      <c r="N1262" s="530"/>
      <c r="O1262" s="530"/>
      <c r="P1262" s="530"/>
      <c r="Q1262" s="530"/>
      <c r="R1262" s="1432"/>
      <c r="S1262" s="530"/>
      <c r="T1262" s="533"/>
      <c r="U1262" s="533"/>
      <c r="V1262" s="1487"/>
      <c r="W1262" s="1487"/>
      <c r="X1262" s="1487"/>
      <c r="Y1262" s="533"/>
      <c r="Z1262" s="533"/>
      <c r="AA1262" s="530"/>
      <c r="AB1262" s="530"/>
      <c r="AC1262" s="530"/>
      <c r="AD1262" s="530"/>
      <c r="AE1262" s="530"/>
    </row>
    <row r="1263" spans="3:31">
      <c r="C1263" s="530"/>
      <c r="D1263" s="530"/>
      <c r="E1263" s="530"/>
      <c r="F1263" s="530"/>
      <c r="G1263" s="1518"/>
      <c r="H1263" s="530"/>
      <c r="I1263" s="1432"/>
      <c r="J1263" s="530"/>
      <c r="K1263" s="530"/>
      <c r="L1263" s="530"/>
      <c r="M1263" s="533"/>
      <c r="N1263" s="530"/>
      <c r="O1263" s="530"/>
      <c r="P1263" s="530"/>
      <c r="Q1263" s="530"/>
      <c r="R1263" s="1432"/>
      <c r="S1263" s="530"/>
      <c r="T1263" s="533"/>
      <c r="U1263" s="533"/>
      <c r="V1263" s="1487"/>
      <c r="W1263" s="1487"/>
      <c r="X1263" s="1487"/>
      <c r="Y1263" s="533"/>
      <c r="Z1263" s="533"/>
      <c r="AA1263" s="530"/>
      <c r="AB1263" s="530"/>
      <c r="AC1263" s="530"/>
      <c r="AD1263" s="530"/>
      <c r="AE1263" s="530"/>
    </row>
    <row r="1264" spans="3:31">
      <c r="C1264" s="530"/>
      <c r="D1264" s="530"/>
      <c r="E1264" s="530"/>
      <c r="F1264" s="530"/>
      <c r="G1264" s="1518"/>
      <c r="H1264" s="530"/>
      <c r="I1264" s="1432"/>
      <c r="J1264" s="530"/>
      <c r="K1264" s="530"/>
      <c r="L1264" s="530"/>
      <c r="M1264" s="533"/>
      <c r="N1264" s="530"/>
      <c r="O1264" s="530"/>
      <c r="P1264" s="530"/>
      <c r="Q1264" s="530"/>
      <c r="R1264" s="1432"/>
      <c r="S1264" s="530"/>
      <c r="T1264" s="533"/>
      <c r="U1264" s="533"/>
      <c r="V1264" s="1487"/>
      <c r="W1264" s="1487"/>
      <c r="X1264" s="1487"/>
      <c r="Y1264" s="533"/>
      <c r="Z1264" s="533"/>
      <c r="AA1264" s="530"/>
      <c r="AB1264" s="530"/>
      <c r="AC1264" s="530"/>
      <c r="AD1264" s="530"/>
      <c r="AE1264" s="530"/>
    </row>
    <row r="1265" spans="3:31">
      <c r="C1265" s="530"/>
      <c r="D1265" s="530"/>
      <c r="E1265" s="530"/>
      <c r="F1265" s="530"/>
      <c r="G1265" s="1518"/>
      <c r="H1265" s="530"/>
      <c r="I1265" s="1432"/>
      <c r="J1265" s="530"/>
      <c r="K1265" s="530"/>
      <c r="L1265" s="530"/>
      <c r="M1265" s="533"/>
      <c r="N1265" s="530"/>
      <c r="O1265" s="530"/>
      <c r="P1265" s="530"/>
      <c r="Q1265" s="530"/>
      <c r="R1265" s="1432"/>
      <c r="S1265" s="530"/>
      <c r="T1265" s="533"/>
      <c r="U1265" s="533"/>
      <c r="V1265" s="1487"/>
      <c r="W1265" s="1487"/>
      <c r="X1265" s="1487"/>
      <c r="Y1265" s="533"/>
      <c r="Z1265" s="533"/>
      <c r="AA1265" s="530"/>
      <c r="AB1265" s="530"/>
      <c r="AC1265" s="530"/>
      <c r="AD1265" s="530"/>
      <c r="AE1265" s="530"/>
    </row>
    <row r="1266" spans="3:31">
      <c r="C1266" s="530"/>
      <c r="D1266" s="530"/>
      <c r="E1266" s="530"/>
      <c r="F1266" s="530"/>
      <c r="G1266" s="1518"/>
      <c r="H1266" s="530"/>
      <c r="I1266" s="1432"/>
      <c r="J1266" s="530"/>
      <c r="K1266" s="530"/>
      <c r="L1266" s="530"/>
      <c r="M1266" s="533"/>
      <c r="N1266" s="530"/>
      <c r="O1266" s="530"/>
      <c r="P1266" s="530"/>
      <c r="Q1266" s="530"/>
      <c r="R1266" s="1432"/>
      <c r="S1266" s="530"/>
      <c r="T1266" s="533"/>
      <c r="U1266" s="533"/>
      <c r="V1266" s="1487"/>
      <c r="W1266" s="1487"/>
      <c r="X1266" s="1487"/>
      <c r="Y1266" s="533"/>
      <c r="Z1266" s="533"/>
      <c r="AA1266" s="530"/>
      <c r="AB1266" s="530"/>
      <c r="AC1266" s="530"/>
      <c r="AD1266" s="530"/>
      <c r="AE1266" s="530"/>
    </row>
    <row r="1267" spans="3:31">
      <c r="C1267" s="530"/>
      <c r="D1267" s="530"/>
      <c r="E1267" s="530"/>
      <c r="F1267" s="530"/>
      <c r="G1267" s="1518"/>
      <c r="H1267" s="530"/>
      <c r="I1267" s="1432"/>
      <c r="J1267" s="530"/>
      <c r="K1267" s="530"/>
      <c r="L1267" s="530"/>
      <c r="M1267" s="533"/>
      <c r="N1267" s="530"/>
      <c r="O1267" s="530"/>
      <c r="P1267" s="530"/>
      <c r="Q1267" s="530"/>
      <c r="R1267" s="1432"/>
      <c r="S1267" s="530"/>
      <c r="T1267" s="533"/>
      <c r="U1267" s="533"/>
      <c r="V1267" s="1487"/>
      <c r="W1267" s="1487"/>
      <c r="X1267" s="1487"/>
      <c r="Y1267" s="533"/>
      <c r="Z1267" s="533"/>
      <c r="AA1267" s="530"/>
      <c r="AB1267" s="530"/>
      <c r="AC1267" s="530"/>
      <c r="AD1267" s="530"/>
      <c r="AE1267" s="530"/>
    </row>
    <row r="1268" spans="3:31">
      <c r="C1268" s="530"/>
      <c r="D1268" s="530"/>
      <c r="E1268" s="530"/>
      <c r="F1268" s="530"/>
      <c r="G1268" s="1518"/>
      <c r="H1268" s="530"/>
      <c r="I1268" s="1432"/>
      <c r="J1268" s="530"/>
      <c r="K1268" s="530"/>
      <c r="L1268" s="530"/>
      <c r="M1268" s="533"/>
      <c r="N1268" s="530"/>
      <c r="O1268" s="530"/>
      <c r="P1268" s="530"/>
      <c r="Q1268" s="530"/>
      <c r="R1268" s="1432"/>
      <c r="S1268" s="530"/>
      <c r="T1268" s="533"/>
      <c r="U1268" s="533"/>
      <c r="V1268" s="1487"/>
      <c r="W1268" s="1487"/>
      <c r="X1268" s="1487"/>
      <c r="Y1268" s="533"/>
      <c r="Z1268" s="533"/>
      <c r="AA1268" s="530"/>
      <c r="AB1268" s="530"/>
      <c r="AC1268" s="530"/>
      <c r="AD1268" s="530"/>
      <c r="AE1268" s="530"/>
    </row>
    <row r="1269" spans="3:31">
      <c r="C1269" s="530"/>
      <c r="D1269" s="530"/>
      <c r="E1269" s="530"/>
      <c r="F1269" s="530"/>
      <c r="G1269" s="1518"/>
      <c r="H1269" s="530"/>
      <c r="I1269" s="1432"/>
      <c r="J1269" s="530"/>
      <c r="K1269" s="530"/>
      <c r="L1269" s="530"/>
      <c r="M1269" s="533"/>
      <c r="N1269" s="530"/>
      <c r="O1269" s="530"/>
      <c r="P1269" s="530"/>
      <c r="Q1269" s="530"/>
      <c r="R1269" s="1432"/>
      <c r="S1269" s="530"/>
      <c r="T1269" s="533"/>
      <c r="U1269" s="533"/>
      <c r="V1269" s="1487"/>
      <c r="W1269" s="1487"/>
      <c r="X1269" s="1487"/>
      <c r="Y1269" s="533"/>
      <c r="Z1269" s="533"/>
      <c r="AA1269" s="530"/>
      <c r="AB1269" s="530"/>
      <c r="AC1269" s="530"/>
      <c r="AD1269" s="530"/>
      <c r="AE1269" s="530"/>
    </row>
    <row r="1270" spans="3:31">
      <c r="C1270" s="530"/>
      <c r="D1270" s="530"/>
      <c r="E1270" s="530"/>
      <c r="F1270" s="530"/>
      <c r="G1270" s="1518"/>
      <c r="H1270" s="530"/>
      <c r="I1270" s="1432"/>
      <c r="J1270" s="530"/>
      <c r="K1270" s="530"/>
      <c r="L1270" s="530"/>
      <c r="M1270" s="533"/>
      <c r="N1270" s="530"/>
      <c r="O1270" s="530"/>
      <c r="P1270" s="530"/>
      <c r="Q1270" s="530"/>
      <c r="R1270" s="1432"/>
      <c r="S1270" s="530"/>
      <c r="T1270" s="533"/>
      <c r="U1270" s="533"/>
      <c r="V1270" s="1487"/>
      <c r="W1270" s="1487"/>
      <c r="X1270" s="1487"/>
      <c r="Y1270" s="533"/>
      <c r="Z1270" s="533"/>
      <c r="AA1270" s="530"/>
      <c r="AB1270" s="530"/>
      <c r="AC1270" s="530"/>
      <c r="AD1270" s="530"/>
      <c r="AE1270" s="530"/>
    </row>
    <row r="1271" spans="3:31">
      <c r="C1271" s="530"/>
      <c r="D1271" s="530"/>
      <c r="E1271" s="530"/>
      <c r="F1271" s="530"/>
      <c r="G1271" s="1518"/>
      <c r="H1271" s="530"/>
      <c r="I1271" s="1432"/>
      <c r="J1271" s="530"/>
      <c r="K1271" s="530"/>
      <c r="L1271" s="530"/>
      <c r="M1271" s="533"/>
      <c r="N1271" s="530"/>
      <c r="O1271" s="530"/>
      <c r="P1271" s="530"/>
      <c r="Q1271" s="530"/>
      <c r="R1271" s="1432"/>
      <c r="S1271" s="530"/>
      <c r="T1271" s="533"/>
      <c r="U1271" s="533"/>
      <c r="V1271" s="1487"/>
      <c r="W1271" s="1487"/>
      <c r="X1271" s="1487"/>
      <c r="Y1271" s="533"/>
      <c r="Z1271" s="533"/>
      <c r="AA1271" s="530"/>
      <c r="AB1271" s="530"/>
      <c r="AC1271" s="530"/>
      <c r="AD1271" s="530"/>
      <c r="AE1271" s="530"/>
    </row>
  </sheetData>
  <autoFilter ref="C8:AE771" xr:uid="{1AEFBA1D-5210-40E3-8D80-5C110F7255CC}"/>
  <pageMargins left="0.19685039370078741" right="0.19685039370078741" top="0.78740157480314965" bottom="0.78740157480314965" header="0.31496062992125984" footer="0.31496062992125984"/>
  <pageSetup paperSize="9" scale="53" fitToWidth="3" fitToHeight="2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/>
  <dimension ref="A1:F118"/>
  <sheetViews>
    <sheetView workbookViewId="0">
      <selection activeCell="D6" sqref="D6"/>
    </sheetView>
  </sheetViews>
  <sheetFormatPr defaultColWidth="9.140625" defaultRowHeight="15"/>
  <cols>
    <col min="1" max="1" width="19" style="9" bestFit="1" customWidth="1"/>
    <col min="2" max="2" width="12.140625" style="9" bestFit="1" customWidth="1"/>
    <col min="3" max="3" width="7.5703125" style="374" bestFit="1" customWidth="1"/>
    <col min="4" max="4" width="17.5703125" style="1167" bestFit="1" customWidth="1"/>
    <col min="5" max="5" width="17.5703125" style="1167" customWidth="1"/>
    <col min="6" max="6" width="28" style="11" bestFit="1" customWidth="1"/>
    <col min="7" max="16384" width="9.140625" style="9"/>
  </cols>
  <sheetData>
    <row r="1" spans="1:6">
      <c r="A1" s="1165" t="s">
        <v>10</v>
      </c>
      <c r="B1" s="1944" t="s">
        <v>2502</v>
      </c>
    </row>
    <row r="3" spans="1:6">
      <c r="A3" s="1944"/>
      <c r="B3" s="1165" t="s">
        <v>742</v>
      </c>
      <c r="D3" s="374"/>
      <c r="E3" s="374"/>
      <c r="F3"/>
    </row>
    <row r="4" spans="1:6" s="807" customFormat="1" ht="75">
      <c r="A4" s="806" t="s">
        <v>739</v>
      </c>
      <c r="B4" s="500" t="s">
        <v>1191</v>
      </c>
      <c r="C4" s="500" t="s">
        <v>744</v>
      </c>
      <c r="D4" s="500" t="s">
        <v>1428</v>
      </c>
      <c r="E4" s="500" t="s">
        <v>743</v>
      </c>
      <c r="F4"/>
    </row>
    <row r="5" spans="1:6">
      <c r="A5" s="1166" t="s">
        <v>251</v>
      </c>
      <c r="B5" s="1164">
        <v>307</v>
      </c>
      <c r="C5" s="1195">
        <v>153</v>
      </c>
      <c r="D5" s="1197">
        <v>2761058542.0523992</v>
      </c>
      <c r="E5" s="1196">
        <v>2249317309.5099993</v>
      </c>
      <c r="F5"/>
    </row>
    <row r="6" spans="1:6">
      <c r="A6" s="1166" t="s">
        <v>112</v>
      </c>
      <c r="B6" s="1164">
        <v>146</v>
      </c>
      <c r="C6" s="1195">
        <v>104</v>
      </c>
      <c r="D6" s="1197">
        <v>125286528</v>
      </c>
      <c r="E6" s="1196">
        <v>91928635.608677685</v>
      </c>
      <c r="F6"/>
    </row>
    <row r="7" spans="1:6">
      <c r="A7" s="1166" t="s">
        <v>216</v>
      </c>
      <c r="B7" s="1164">
        <v>42</v>
      </c>
      <c r="C7" s="1195">
        <v>26</v>
      </c>
      <c r="D7" s="1197">
        <v>123684625</v>
      </c>
      <c r="E7" s="1196">
        <v>87597211.659999996</v>
      </c>
      <c r="F7"/>
    </row>
    <row r="8" spans="1:6">
      <c r="A8" s="1166" t="s">
        <v>9690</v>
      </c>
      <c r="B8" s="1164"/>
      <c r="C8" s="1195"/>
      <c r="D8" s="1197"/>
      <c r="E8" s="1196"/>
      <c r="F8"/>
    </row>
    <row r="9" spans="1:6">
      <c r="A9" s="1166" t="s">
        <v>740</v>
      </c>
      <c r="B9" s="1164">
        <v>495</v>
      </c>
      <c r="C9" s="1195">
        <v>283</v>
      </c>
      <c r="D9" s="1197">
        <v>3010029695.0523992</v>
      </c>
      <c r="E9" s="1196">
        <v>2428843156.778677</v>
      </c>
      <c r="F9"/>
    </row>
    <row r="10" spans="1:6">
      <c r="A10"/>
      <c r="B10"/>
      <c r="C10"/>
      <c r="D10"/>
      <c r="E10"/>
    </row>
    <row r="11" spans="1:6">
      <c r="A11"/>
      <c r="B11"/>
      <c r="C11"/>
      <c r="D11"/>
      <c r="E11"/>
    </row>
    <row r="12" spans="1:6">
      <c r="A12"/>
      <c r="B12"/>
      <c r="C12"/>
      <c r="D12"/>
      <c r="E12"/>
    </row>
    <row r="13" spans="1:6">
      <c r="A13"/>
      <c r="B13"/>
      <c r="C13"/>
      <c r="D13"/>
      <c r="E13"/>
    </row>
    <row r="14" spans="1:6">
      <c r="A14"/>
      <c r="B14"/>
      <c r="C14"/>
      <c r="D14"/>
      <c r="E14"/>
    </row>
    <row r="15" spans="1:6">
      <c r="A15"/>
      <c r="B15"/>
      <c r="C15"/>
      <c r="D15"/>
      <c r="E15"/>
    </row>
    <row r="16" spans="1:6">
      <c r="A16"/>
      <c r="B16"/>
      <c r="C16"/>
      <c r="D16"/>
      <c r="E16"/>
    </row>
    <row r="17" spans="1:5">
      <c r="A17"/>
      <c r="B17"/>
      <c r="C17"/>
      <c r="D17"/>
      <c r="E17"/>
    </row>
    <row r="18" spans="1:5">
      <c r="A18"/>
      <c r="B18"/>
      <c r="C18"/>
      <c r="D18"/>
      <c r="E18"/>
    </row>
    <row r="19" spans="1:5">
      <c r="A19"/>
      <c r="B19"/>
      <c r="C19"/>
      <c r="D19"/>
      <c r="E19"/>
    </row>
    <row r="20" spans="1:5">
      <c r="A20"/>
      <c r="B20"/>
      <c r="C20"/>
      <c r="D20"/>
      <c r="E20"/>
    </row>
    <row r="21" spans="1:5">
      <c r="A21"/>
      <c r="B21"/>
      <c r="C21"/>
      <c r="D21"/>
      <c r="E21"/>
    </row>
    <row r="22" spans="1:5">
      <c r="A22"/>
      <c r="B22"/>
      <c r="C22"/>
      <c r="D22"/>
      <c r="E22"/>
    </row>
    <row r="23" spans="1:5">
      <c r="A23"/>
      <c r="B23"/>
      <c r="C23"/>
      <c r="D23"/>
      <c r="E23"/>
    </row>
    <row r="24" spans="1:5">
      <c r="A24"/>
      <c r="B24"/>
      <c r="C24"/>
      <c r="D24"/>
      <c r="E24"/>
    </row>
    <row r="25" spans="1:5">
      <c r="A25"/>
      <c r="B25"/>
      <c r="C25"/>
      <c r="D25"/>
      <c r="E25"/>
    </row>
    <row r="26" spans="1:5">
      <c r="A26"/>
      <c r="B26"/>
      <c r="C26"/>
      <c r="D26"/>
      <c r="E26"/>
    </row>
    <row r="27" spans="1:5">
      <c r="A27"/>
      <c r="B27"/>
      <c r="C27"/>
      <c r="D27"/>
      <c r="E27"/>
    </row>
    <row r="28" spans="1:5">
      <c r="A28"/>
      <c r="B28"/>
      <c r="C28"/>
      <c r="D28"/>
      <c r="E28"/>
    </row>
    <row r="29" spans="1:5">
      <c r="A29"/>
      <c r="B29"/>
      <c r="C29"/>
      <c r="D29"/>
      <c r="E29"/>
    </row>
    <row r="30" spans="1:5">
      <c r="A30"/>
      <c r="B30"/>
      <c r="C30"/>
      <c r="D30"/>
      <c r="E30"/>
    </row>
    <row r="31" spans="1:5">
      <c r="A31"/>
      <c r="B31"/>
      <c r="C31"/>
      <c r="D31"/>
      <c r="E31"/>
    </row>
    <row r="32" spans="1:5">
      <c r="A32"/>
      <c r="B32"/>
      <c r="C32"/>
      <c r="D32"/>
      <c r="E32"/>
    </row>
    <row r="33" spans="1:5">
      <c r="A33"/>
      <c r="B33"/>
      <c r="C33"/>
      <c r="D33"/>
      <c r="E33"/>
    </row>
    <row r="34" spans="1:5">
      <c r="A34"/>
      <c r="B34"/>
      <c r="C34"/>
      <c r="D34"/>
      <c r="E34"/>
    </row>
    <row r="35" spans="1:5">
      <c r="A35"/>
      <c r="B35"/>
      <c r="C35"/>
      <c r="D35"/>
      <c r="E35"/>
    </row>
    <row r="36" spans="1:5">
      <c r="A36"/>
      <c r="B36"/>
      <c r="C36"/>
      <c r="D36"/>
      <c r="E36"/>
    </row>
    <row r="37" spans="1:5">
      <c r="A37"/>
      <c r="B37"/>
      <c r="C37"/>
      <c r="D37"/>
      <c r="E37"/>
    </row>
    <row r="38" spans="1:5">
      <c r="A38"/>
      <c r="B38"/>
      <c r="C38"/>
      <c r="D38"/>
      <c r="E38"/>
    </row>
    <row r="39" spans="1:5">
      <c r="A39"/>
      <c r="B39"/>
      <c r="C39"/>
      <c r="D39"/>
      <c r="E39"/>
    </row>
    <row r="40" spans="1:5">
      <c r="A40"/>
      <c r="B40"/>
      <c r="C40"/>
      <c r="D40"/>
      <c r="E40"/>
    </row>
    <row r="41" spans="1:5">
      <c r="A41"/>
      <c r="B41"/>
      <c r="C41"/>
      <c r="D41"/>
      <c r="E41"/>
    </row>
    <row r="42" spans="1:5">
      <c r="A42"/>
      <c r="B42"/>
      <c r="C42"/>
      <c r="D42"/>
      <c r="E42"/>
    </row>
    <row r="43" spans="1:5">
      <c r="A43"/>
      <c r="B43"/>
      <c r="C43"/>
      <c r="D43"/>
      <c r="E43"/>
    </row>
    <row r="44" spans="1:5">
      <c r="A44"/>
      <c r="B44"/>
      <c r="C44"/>
      <c r="D44"/>
      <c r="E44"/>
    </row>
    <row r="45" spans="1:5">
      <c r="A45"/>
      <c r="B45"/>
      <c r="C45"/>
      <c r="D45"/>
      <c r="E45"/>
    </row>
    <row r="46" spans="1:5">
      <c r="A46"/>
      <c r="B46"/>
      <c r="C46"/>
      <c r="D46"/>
      <c r="E46"/>
    </row>
    <row r="47" spans="1:5">
      <c r="A47"/>
      <c r="B47"/>
      <c r="C47"/>
      <c r="D47"/>
      <c r="E47"/>
    </row>
    <row r="48" spans="1:5">
      <c r="A48"/>
      <c r="B48"/>
      <c r="C48"/>
      <c r="D48"/>
      <c r="E48"/>
    </row>
    <row r="49" spans="1:5">
      <c r="A49"/>
      <c r="B49"/>
      <c r="C49"/>
      <c r="D49"/>
      <c r="E49"/>
    </row>
    <row r="50" spans="1:5">
      <c r="A50"/>
      <c r="B50"/>
      <c r="C50"/>
      <c r="D50"/>
      <c r="E50"/>
    </row>
    <row r="51" spans="1:5">
      <c r="A51"/>
      <c r="B51"/>
      <c r="C51"/>
      <c r="D51"/>
      <c r="E51"/>
    </row>
    <row r="52" spans="1:5">
      <c r="A52"/>
      <c r="B52"/>
      <c r="C52"/>
      <c r="D52"/>
      <c r="E52"/>
    </row>
    <row r="53" spans="1:5">
      <c r="A53"/>
      <c r="B53"/>
      <c r="C53"/>
      <c r="D53"/>
      <c r="E53"/>
    </row>
    <row r="54" spans="1:5">
      <c r="A54"/>
      <c r="B54"/>
      <c r="C54"/>
      <c r="D54"/>
      <c r="E54"/>
    </row>
    <row r="55" spans="1:5">
      <c r="A55"/>
      <c r="B55"/>
      <c r="C55"/>
      <c r="D55"/>
      <c r="E55"/>
    </row>
    <row r="56" spans="1:5">
      <c r="A56"/>
      <c r="B56"/>
      <c r="C56"/>
      <c r="D56"/>
      <c r="E56"/>
    </row>
    <row r="57" spans="1:5">
      <c r="A57"/>
      <c r="B57"/>
      <c r="C57"/>
      <c r="D57"/>
      <c r="E57"/>
    </row>
    <row r="58" spans="1:5">
      <c r="A58"/>
      <c r="B58"/>
      <c r="C58"/>
      <c r="D58"/>
      <c r="E58"/>
    </row>
    <row r="59" spans="1:5">
      <c r="A59"/>
      <c r="B59"/>
      <c r="C59"/>
      <c r="D59"/>
      <c r="E59"/>
    </row>
    <row r="60" spans="1:5">
      <c r="A60"/>
      <c r="B60"/>
      <c r="C60"/>
      <c r="D60"/>
      <c r="E60"/>
    </row>
    <row r="61" spans="1:5">
      <c r="A61"/>
      <c r="B61"/>
      <c r="C61"/>
      <c r="D61"/>
      <c r="E61"/>
    </row>
    <row r="62" spans="1:5">
      <c r="A62"/>
      <c r="B62"/>
      <c r="C62"/>
      <c r="D62"/>
      <c r="E62"/>
    </row>
    <row r="63" spans="1:5">
      <c r="A63"/>
      <c r="B63"/>
      <c r="C63"/>
      <c r="D63"/>
      <c r="E63"/>
    </row>
    <row r="64" spans="1:5">
      <c r="A64"/>
      <c r="B64"/>
      <c r="C64"/>
      <c r="D64"/>
      <c r="E64"/>
    </row>
    <row r="65" spans="1:5">
      <c r="A65"/>
      <c r="B65"/>
      <c r="C65"/>
      <c r="D65"/>
      <c r="E65"/>
    </row>
    <row r="66" spans="1:5">
      <c r="A66"/>
      <c r="B66"/>
      <c r="C66"/>
      <c r="D66"/>
      <c r="E66"/>
    </row>
    <row r="67" spans="1:5">
      <c r="A67"/>
      <c r="B67"/>
      <c r="C67"/>
      <c r="D67"/>
      <c r="E67"/>
    </row>
    <row r="68" spans="1:5">
      <c r="A68"/>
      <c r="B68"/>
      <c r="C68"/>
      <c r="D68"/>
      <c r="E68"/>
    </row>
    <row r="69" spans="1:5">
      <c r="A69"/>
      <c r="B69"/>
      <c r="C69"/>
      <c r="D69"/>
      <c r="E69"/>
    </row>
    <row r="70" spans="1:5">
      <c r="A70"/>
      <c r="B70"/>
      <c r="C70"/>
      <c r="D70"/>
      <c r="E70"/>
    </row>
    <row r="71" spans="1:5">
      <c r="A71"/>
      <c r="B71"/>
      <c r="C71"/>
      <c r="D71"/>
      <c r="E71"/>
    </row>
    <row r="72" spans="1:5">
      <c r="A72"/>
      <c r="B72"/>
      <c r="C72"/>
      <c r="D72"/>
      <c r="E72"/>
    </row>
    <row r="73" spans="1:5">
      <c r="A73"/>
      <c r="B73"/>
      <c r="C73"/>
      <c r="D73"/>
      <c r="E73"/>
    </row>
    <row r="74" spans="1:5">
      <c r="A74"/>
      <c r="B74"/>
      <c r="C74"/>
      <c r="D74"/>
      <c r="E74"/>
    </row>
    <row r="75" spans="1:5">
      <c r="A75"/>
      <c r="B75"/>
      <c r="C75"/>
      <c r="D75"/>
      <c r="E75"/>
    </row>
    <row r="76" spans="1:5">
      <c r="A76"/>
      <c r="B76"/>
      <c r="C76"/>
      <c r="D76"/>
      <c r="E76"/>
    </row>
    <row r="77" spans="1:5">
      <c r="A77"/>
      <c r="B77"/>
      <c r="C77"/>
      <c r="D77"/>
      <c r="E77"/>
    </row>
    <row r="78" spans="1:5">
      <c r="A78"/>
      <c r="B78"/>
      <c r="C78"/>
      <c r="D78"/>
      <c r="E78"/>
    </row>
    <row r="79" spans="1:5">
      <c r="A79"/>
      <c r="B79"/>
      <c r="C79"/>
      <c r="D79"/>
      <c r="E79"/>
    </row>
    <row r="80" spans="1:5">
      <c r="A80"/>
      <c r="B80"/>
      <c r="C80"/>
      <c r="D80"/>
      <c r="E80"/>
    </row>
    <row r="81" spans="1:5">
      <c r="A81"/>
      <c r="B81"/>
      <c r="C81"/>
      <c r="D81"/>
      <c r="E81"/>
    </row>
    <row r="82" spans="1:5">
      <c r="A82"/>
      <c r="B82"/>
      <c r="C82"/>
      <c r="D82"/>
      <c r="E82"/>
    </row>
    <row r="83" spans="1:5">
      <c r="A83"/>
      <c r="B83"/>
      <c r="C83"/>
      <c r="D83"/>
      <c r="E83"/>
    </row>
    <row r="84" spans="1:5">
      <c r="A84"/>
      <c r="B84"/>
      <c r="C84"/>
      <c r="D84"/>
      <c r="E84"/>
    </row>
    <row r="85" spans="1:5">
      <c r="A85"/>
      <c r="B85"/>
      <c r="C85"/>
      <c r="D85"/>
      <c r="E85"/>
    </row>
    <row r="86" spans="1:5">
      <c r="A86"/>
      <c r="B86"/>
      <c r="C86"/>
      <c r="D86"/>
      <c r="E86"/>
    </row>
    <row r="87" spans="1:5">
      <c r="A87"/>
      <c r="B87"/>
      <c r="C87"/>
      <c r="D87"/>
      <c r="E87"/>
    </row>
    <row r="88" spans="1:5">
      <c r="A88"/>
      <c r="B88"/>
      <c r="C88"/>
      <c r="D88"/>
      <c r="E88"/>
    </row>
    <row r="89" spans="1:5">
      <c r="A89"/>
      <c r="B89"/>
      <c r="C89"/>
      <c r="D89"/>
      <c r="E89"/>
    </row>
    <row r="90" spans="1:5">
      <c r="A90"/>
      <c r="B90"/>
      <c r="C90"/>
      <c r="D90"/>
      <c r="E90"/>
    </row>
    <row r="91" spans="1:5">
      <c r="A91"/>
      <c r="B91"/>
      <c r="C91"/>
      <c r="D91"/>
      <c r="E91"/>
    </row>
    <row r="92" spans="1:5">
      <c r="A92"/>
      <c r="B92"/>
      <c r="C92"/>
      <c r="D92"/>
      <c r="E92"/>
    </row>
    <row r="93" spans="1:5">
      <c r="A93"/>
      <c r="B93"/>
      <c r="C93"/>
      <c r="D93"/>
      <c r="E93"/>
    </row>
    <row r="94" spans="1:5">
      <c r="A94"/>
      <c r="B94"/>
      <c r="C94"/>
      <c r="D94"/>
      <c r="E94"/>
    </row>
    <row r="95" spans="1:5">
      <c r="A95"/>
      <c r="B95"/>
      <c r="C95"/>
      <c r="D95"/>
      <c r="E95"/>
    </row>
    <row r="96" spans="1:5">
      <c r="A96"/>
      <c r="B96"/>
      <c r="C96"/>
      <c r="D96"/>
      <c r="E96"/>
    </row>
    <row r="97" spans="1:5">
      <c r="A97"/>
      <c r="B97"/>
      <c r="C97"/>
      <c r="D97"/>
      <c r="E97"/>
    </row>
    <row r="98" spans="1:5">
      <c r="A98"/>
      <c r="B98"/>
      <c r="C98"/>
      <c r="D98"/>
      <c r="E98"/>
    </row>
    <row r="99" spans="1:5">
      <c r="A99"/>
      <c r="B99"/>
      <c r="C99"/>
      <c r="D99"/>
      <c r="E99"/>
    </row>
    <row r="100" spans="1:5">
      <c r="A100"/>
      <c r="B100"/>
      <c r="C100"/>
      <c r="D100"/>
      <c r="E100"/>
    </row>
    <row r="101" spans="1:5">
      <c r="A101"/>
      <c r="B101"/>
      <c r="C101"/>
      <c r="D101"/>
      <c r="E101"/>
    </row>
    <row r="102" spans="1:5">
      <c r="A102"/>
      <c r="B102"/>
      <c r="C102"/>
      <c r="D102"/>
      <c r="E102"/>
    </row>
    <row r="103" spans="1:5">
      <c r="A103"/>
      <c r="B103"/>
      <c r="C103"/>
      <c r="D103"/>
      <c r="E103"/>
    </row>
    <row r="104" spans="1:5">
      <c r="A104"/>
      <c r="B104"/>
      <c r="C104"/>
      <c r="D104"/>
      <c r="E104"/>
    </row>
    <row r="105" spans="1:5">
      <c r="A105"/>
      <c r="B105"/>
      <c r="C105"/>
      <c r="D105"/>
      <c r="E105"/>
    </row>
    <row r="106" spans="1:5">
      <c r="A106"/>
      <c r="B106"/>
      <c r="C106"/>
      <c r="D106"/>
      <c r="E106"/>
    </row>
    <row r="107" spans="1:5">
      <c r="A107"/>
      <c r="B107"/>
      <c r="C107"/>
      <c r="D107"/>
      <c r="E107"/>
    </row>
    <row r="108" spans="1:5">
      <c r="A108"/>
      <c r="B108"/>
      <c r="C108"/>
      <c r="D108"/>
      <c r="E108"/>
    </row>
    <row r="109" spans="1:5">
      <c r="A109"/>
      <c r="B109"/>
      <c r="C109"/>
      <c r="D109"/>
      <c r="E109"/>
    </row>
    <row r="110" spans="1:5">
      <c r="A110"/>
      <c r="B110"/>
      <c r="C110"/>
      <c r="D110"/>
      <c r="E110"/>
    </row>
    <row r="111" spans="1:5">
      <c r="A111"/>
      <c r="B111"/>
      <c r="C111"/>
      <c r="D111"/>
      <c r="E111"/>
    </row>
    <row r="112" spans="1:5">
      <c r="A112"/>
      <c r="B112"/>
      <c r="C112"/>
      <c r="D112"/>
      <c r="E112"/>
    </row>
    <row r="113" spans="1:5">
      <c r="A113"/>
      <c r="B113"/>
      <c r="C113"/>
      <c r="D113"/>
      <c r="E113"/>
    </row>
    <row r="114" spans="1:5">
      <c r="A114"/>
      <c r="B114"/>
      <c r="C114"/>
      <c r="D114"/>
      <c r="E114"/>
    </row>
    <row r="115" spans="1:5">
      <c r="A115"/>
      <c r="B115"/>
      <c r="C115"/>
      <c r="D115"/>
      <c r="E115"/>
    </row>
    <row r="116" spans="1:5">
      <c r="A116"/>
      <c r="B116"/>
      <c r="C116"/>
      <c r="D116"/>
      <c r="E116"/>
    </row>
    <row r="117" spans="1:5">
      <c r="A117"/>
      <c r="B117"/>
      <c r="C117"/>
      <c r="D117"/>
      <c r="E117"/>
    </row>
    <row r="118" spans="1:5">
      <c r="A118"/>
      <c r="B118"/>
      <c r="C118"/>
      <c r="D118"/>
      <c r="E118"/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2"/>
  <dimension ref="A1:D138"/>
  <sheetViews>
    <sheetView workbookViewId="0">
      <selection activeCell="C6" sqref="C6"/>
    </sheetView>
  </sheetViews>
  <sheetFormatPr defaultRowHeight="15"/>
  <cols>
    <col min="1" max="1" width="19" bestFit="1" customWidth="1"/>
    <col min="2" max="2" width="41.28515625" style="555" bestFit="1" customWidth="1"/>
    <col min="3" max="3" width="28.28515625" style="555" bestFit="1" customWidth="1"/>
    <col min="4" max="4" width="16.42578125" style="1134" bestFit="1" customWidth="1"/>
  </cols>
  <sheetData>
    <row r="1" spans="1:3">
      <c r="A1" s="2861" t="s">
        <v>10</v>
      </c>
      <c r="B1" s="1215" t="s">
        <v>745</v>
      </c>
    </row>
    <row r="3" spans="1:3">
      <c r="B3" s="1216" t="s">
        <v>742</v>
      </c>
      <c r="C3" s="1215"/>
    </row>
    <row r="4" spans="1:3">
      <c r="A4" s="2861" t="s">
        <v>739</v>
      </c>
      <c r="B4" s="1215" t="s">
        <v>741</v>
      </c>
      <c r="C4" s="1215" t="s">
        <v>743</v>
      </c>
    </row>
    <row r="5" spans="1:3">
      <c r="A5" s="2862" t="s">
        <v>251</v>
      </c>
      <c r="B5" s="1215">
        <v>1557680346.0923986</v>
      </c>
      <c r="C5" s="1215">
        <v>1523964455.4899993</v>
      </c>
    </row>
    <row r="6" spans="1:3">
      <c r="A6" s="2862" t="s">
        <v>112</v>
      </c>
      <c r="B6" s="1215">
        <v>86776999</v>
      </c>
      <c r="C6" s="1215">
        <v>80533404.958677679</v>
      </c>
    </row>
    <row r="7" spans="1:3">
      <c r="A7" s="2862" t="s">
        <v>216</v>
      </c>
      <c r="B7" s="1215">
        <v>76523075</v>
      </c>
      <c r="C7" s="1215">
        <v>61115187.659999996</v>
      </c>
    </row>
    <row r="8" spans="1:3">
      <c r="A8" s="2862" t="s">
        <v>740</v>
      </c>
      <c r="B8" s="1215">
        <v>1720980420.0923986</v>
      </c>
      <c r="C8" s="1215">
        <v>1665613048.1086771</v>
      </c>
    </row>
    <row r="9" spans="1:3">
      <c r="B9"/>
      <c r="C9"/>
    </row>
    <row r="10" spans="1:3">
      <c r="B10"/>
      <c r="C10"/>
    </row>
    <row r="11" spans="1:3">
      <c r="B11"/>
      <c r="C11"/>
    </row>
    <row r="12" spans="1:3">
      <c r="B12"/>
      <c r="C12"/>
    </row>
    <row r="13" spans="1:3">
      <c r="B13"/>
      <c r="C13"/>
    </row>
    <row r="14" spans="1:3">
      <c r="B14"/>
      <c r="C14"/>
    </row>
    <row r="15" spans="1:3">
      <c r="B15"/>
      <c r="C15"/>
    </row>
    <row r="16" spans="1:3">
      <c r="B16"/>
      <c r="C16"/>
    </row>
    <row r="17" spans="2:3">
      <c r="B17"/>
      <c r="C17"/>
    </row>
    <row r="18" spans="2:3">
      <c r="B18"/>
      <c r="C18"/>
    </row>
    <row r="19" spans="2:3">
      <c r="B19"/>
      <c r="C19"/>
    </row>
    <row r="20" spans="2:3">
      <c r="B20"/>
      <c r="C20"/>
    </row>
    <row r="21" spans="2:3">
      <c r="B21"/>
      <c r="C21"/>
    </row>
    <row r="22" spans="2:3">
      <c r="B22"/>
      <c r="C22"/>
    </row>
    <row r="23" spans="2:3">
      <c r="B23"/>
      <c r="C23"/>
    </row>
    <row r="24" spans="2:3">
      <c r="B24"/>
      <c r="C24"/>
    </row>
    <row r="25" spans="2:3">
      <c r="B25"/>
      <c r="C25"/>
    </row>
    <row r="26" spans="2:3">
      <c r="B26"/>
      <c r="C26"/>
    </row>
    <row r="27" spans="2:3">
      <c r="B27"/>
      <c r="C27"/>
    </row>
    <row r="28" spans="2:3">
      <c r="B28"/>
      <c r="C28"/>
    </row>
    <row r="29" spans="2:3">
      <c r="B29"/>
      <c r="C29"/>
    </row>
    <row r="30" spans="2:3">
      <c r="B30"/>
      <c r="C30"/>
    </row>
    <row r="31" spans="2:3">
      <c r="B31"/>
      <c r="C31"/>
    </row>
    <row r="32" spans="2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E131"/>
  <sheetViews>
    <sheetView workbookViewId="0">
      <selection activeCell="A8" sqref="A6:A9"/>
    </sheetView>
  </sheetViews>
  <sheetFormatPr defaultRowHeight="15"/>
  <cols>
    <col min="1" max="1" width="19" bestFit="1" customWidth="1"/>
    <col min="2" max="2" width="12.140625" bestFit="1" customWidth="1"/>
    <col min="3" max="3" width="7.5703125" bestFit="1" customWidth="1"/>
    <col min="4" max="4" width="17.5703125" style="373" bestFit="1" customWidth="1"/>
    <col min="5" max="5" width="17.5703125" style="373" customWidth="1"/>
  </cols>
  <sheetData>
    <row r="2" spans="1:5">
      <c r="A2" s="2861" t="s">
        <v>10</v>
      </c>
      <c r="B2" s="2860" t="s">
        <v>2502</v>
      </c>
    </row>
    <row r="3" spans="1:5" s="500" customFormat="1">
      <c r="A3"/>
      <c r="B3"/>
      <c r="C3"/>
      <c r="D3"/>
      <c r="E3"/>
    </row>
    <row r="4" spans="1:5" s="500" customFormat="1">
      <c r="B4" s="1352" t="s">
        <v>742</v>
      </c>
    </row>
    <row r="5" spans="1:5" ht="75">
      <c r="A5" s="1352" t="s">
        <v>739</v>
      </c>
      <c r="B5" s="500" t="s">
        <v>1191</v>
      </c>
      <c r="C5" s="500" t="s">
        <v>744</v>
      </c>
      <c r="D5" s="500" t="s">
        <v>1428</v>
      </c>
      <c r="E5" s="500" t="s">
        <v>743</v>
      </c>
    </row>
    <row r="6" spans="1:5">
      <c r="A6" s="2862" t="s">
        <v>251</v>
      </c>
      <c r="B6" s="805">
        <v>603</v>
      </c>
      <c r="C6" s="805">
        <v>279</v>
      </c>
      <c r="D6" s="2864">
        <v>4283603623.3800006</v>
      </c>
      <c r="E6" s="2864">
        <v>1890466774.8300006</v>
      </c>
    </row>
    <row r="7" spans="1:5">
      <c r="A7" s="2862" t="s">
        <v>112</v>
      </c>
      <c r="B7" s="805">
        <v>248</v>
      </c>
      <c r="C7" s="805">
        <v>165</v>
      </c>
      <c r="D7" s="2864">
        <v>222573912.72000003</v>
      </c>
      <c r="E7" s="2864">
        <v>150175081.69297519</v>
      </c>
    </row>
    <row r="8" spans="1:5">
      <c r="A8" s="2862" t="s">
        <v>216</v>
      </c>
      <c r="B8" s="805">
        <v>63</v>
      </c>
      <c r="C8" s="805">
        <v>32</v>
      </c>
      <c r="D8" s="2864">
        <v>113423120.0607</v>
      </c>
      <c r="E8" s="2864">
        <v>76640935.780000001</v>
      </c>
    </row>
    <row r="9" spans="1:5">
      <c r="A9" s="2862" t="s">
        <v>9690</v>
      </c>
      <c r="B9" s="805"/>
      <c r="C9" s="805"/>
      <c r="D9" s="2864"/>
      <c r="E9" s="2864"/>
    </row>
    <row r="10" spans="1:5">
      <c r="A10" s="2862" t="s">
        <v>740</v>
      </c>
      <c r="B10" s="805">
        <v>914</v>
      </c>
      <c r="C10" s="805">
        <v>476</v>
      </c>
      <c r="D10" s="2864">
        <v>4619600656.1607008</v>
      </c>
      <c r="E10" s="2864">
        <v>2117282792.3029768</v>
      </c>
    </row>
    <row r="11" spans="1:5">
      <c r="D11"/>
      <c r="E11"/>
    </row>
    <row r="12" spans="1:5">
      <c r="D12"/>
      <c r="E12"/>
    </row>
    <row r="13" spans="1:5">
      <c r="D13"/>
      <c r="E13"/>
    </row>
    <row r="14" spans="1:5">
      <c r="D14"/>
      <c r="E14"/>
    </row>
    <row r="15" spans="1:5">
      <c r="D15"/>
      <c r="E15"/>
    </row>
    <row r="16" spans="1:5">
      <c r="D16"/>
      <c r="E16"/>
    </row>
    <row r="17" spans="4:5">
      <c r="D17"/>
      <c r="E17"/>
    </row>
    <row r="18" spans="4:5">
      <c r="D18"/>
      <c r="E18"/>
    </row>
    <row r="19" spans="4:5">
      <c r="D19"/>
      <c r="E19"/>
    </row>
    <row r="20" spans="4:5">
      <c r="D20"/>
      <c r="E20"/>
    </row>
    <row r="21" spans="4:5">
      <c r="D21"/>
      <c r="E21"/>
    </row>
    <row r="22" spans="4:5">
      <c r="D22"/>
      <c r="E22"/>
    </row>
    <row r="23" spans="4:5">
      <c r="D23"/>
      <c r="E23"/>
    </row>
    <row r="24" spans="4:5">
      <c r="D24"/>
      <c r="E24"/>
    </row>
    <row r="25" spans="4:5">
      <c r="D25"/>
      <c r="E25"/>
    </row>
    <row r="26" spans="4:5">
      <c r="D26"/>
      <c r="E26"/>
    </row>
    <row r="27" spans="4:5">
      <c r="D27"/>
      <c r="E27"/>
    </row>
    <row r="28" spans="4:5">
      <c r="D28"/>
      <c r="E28"/>
    </row>
    <row r="29" spans="4:5">
      <c r="D29"/>
      <c r="E29"/>
    </row>
    <row r="30" spans="4:5">
      <c r="D30"/>
      <c r="E30"/>
    </row>
    <row r="31" spans="4:5">
      <c r="D31"/>
      <c r="E31"/>
    </row>
    <row r="32" spans="4:5">
      <c r="D32"/>
      <c r="E32"/>
    </row>
    <row r="33" spans="4:5">
      <c r="D33"/>
      <c r="E33"/>
    </row>
    <row r="34" spans="4:5">
      <c r="D34"/>
      <c r="E34"/>
    </row>
    <row r="35" spans="4:5">
      <c r="D35"/>
      <c r="E35"/>
    </row>
    <row r="36" spans="4:5">
      <c r="D36"/>
      <c r="E36"/>
    </row>
    <row r="37" spans="4:5">
      <c r="D37"/>
      <c r="E37"/>
    </row>
    <row r="38" spans="4:5">
      <c r="D38"/>
      <c r="E38"/>
    </row>
    <row r="39" spans="4:5">
      <c r="D39"/>
      <c r="E39"/>
    </row>
    <row r="40" spans="4:5">
      <c r="D40"/>
      <c r="E40"/>
    </row>
    <row r="41" spans="4:5">
      <c r="D41"/>
      <c r="E41"/>
    </row>
    <row r="42" spans="4:5">
      <c r="D42"/>
      <c r="E42"/>
    </row>
    <row r="43" spans="4:5">
      <c r="D43"/>
      <c r="E43"/>
    </row>
    <row r="44" spans="4:5">
      <c r="D44"/>
      <c r="E44"/>
    </row>
    <row r="45" spans="4:5">
      <c r="D45"/>
      <c r="E45"/>
    </row>
    <row r="46" spans="4:5">
      <c r="D46"/>
      <c r="E46"/>
    </row>
    <row r="47" spans="4:5">
      <c r="D47"/>
      <c r="E47"/>
    </row>
    <row r="48" spans="4:5">
      <c r="D48"/>
      <c r="E48"/>
    </row>
    <row r="49" spans="4:5">
      <c r="D49"/>
      <c r="E49"/>
    </row>
    <row r="50" spans="4:5">
      <c r="D50"/>
      <c r="E50"/>
    </row>
    <row r="51" spans="4:5">
      <c r="D51"/>
      <c r="E51"/>
    </row>
    <row r="52" spans="4:5">
      <c r="D52"/>
      <c r="E52"/>
    </row>
    <row r="53" spans="4:5">
      <c r="D53"/>
      <c r="E53"/>
    </row>
    <row r="54" spans="4:5">
      <c r="D54"/>
      <c r="E54"/>
    </row>
    <row r="55" spans="4:5">
      <c r="D55"/>
      <c r="E55"/>
    </row>
    <row r="56" spans="4:5">
      <c r="D56"/>
      <c r="E56"/>
    </row>
    <row r="57" spans="4:5">
      <c r="D57"/>
      <c r="E57"/>
    </row>
    <row r="58" spans="4:5">
      <c r="D58"/>
      <c r="E58"/>
    </row>
    <row r="59" spans="4:5">
      <c r="D59"/>
      <c r="E59"/>
    </row>
    <row r="60" spans="4:5">
      <c r="D60"/>
      <c r="E60"/>
    </row>
    <row r="61" spans="4:5">
      <c r="D61"/>
      <c r="E61"/>
    </row>
    <row r="62" spans="4:5">
      <c r="D62"/>
      <c r="E62"/>
    </row>
    <row r="63" spans="4:5">
      <c r="D63"/>
      <c r="E63"/>
    </row>
    <row r="64" spans="4:5">
      <c r="D64"/>
      <c r="E64"/>
    </row>
    <row r="65" spans="4:5">
      <c r="D65"/>
      <c r="E65"/>
    </row>
    <row r="66" spans="4:5">
      <c r="D66"/>
      <c r="E66"/>
    </row>
    <row r="67" spans="4:5">
      <c r="D67"/>
      <c r="E67"/>
    </row>
    <row r="68" spans="4:5">
      <c r="D68"/>
      <c r="E68"/>
    </row>
    <row r="69" spans="4:5">
      <c r="D69"/>
      <c r="E69"/>
    </row>
    <row r="70" spans="4:5">
      <c r="D70"/>
      <c r="E70"/>
    </row>
    <row r="71" spans="4:5">
      <c r="D71"/>
      <c r="E71"/>
    </row>
    <row r="72" spans="4:5">
      <c r="D72"/>
      <c r="E72"/>
    </row>
    <row r="73" spans="4:5">
      <c r="D73"/>
      <c r="E73"/>
    </row>
    <row r="74" spans="4:5">
      <c r="D74"/>
      <c r="E74"/>
    </row>
    <row r="75" spans="4:5">
      <c r="D75"/>
      <c r="E75"/>
    </row>
    <row r="76" spans="4:5">
      <c r="D76"/>
      <c r="E76"/>
    </row>
    <row r="77" spans="4:5">
      <c r="D77"/>
      <c r="E77"/>
    </row>
    <row r="78" spans="4:5">
      <c r="D78"/>
      <c r="E78"/>
    </row>
    <row r="79" spans="4:5">
      <c r="D79"/>
      <c r="E79"/>
    </row>
    <row r="80" spans="4:5">
      <c r="D80"/>
      <c r="E80"/>
    </row>
    <row r="81" spans="4:5">
      <c r="D81"/>
      <c r="E81"/>
    </row>
    <row r="82" spans="4:5">
      <c r="D82"/>
      <c r="E82"/>
    </row>
    <row r="83" spans="4:5">
      <c r="D83"/>
      <c r="E83"/>
    </row>
    <row r="84" spans="4:5">
      <c r="D84"/>
      <c r="E84"/>
    </row>
    <row r="85" spans="4:5">
      <c r="D85"/>
      <c r="E85"/>
    </row>
    <row r="86" spans="4:5">
      <c r="D86"/>
      <c r="E86"/>
    </row>
    <row r="87" spans="4:5">
      <c r="D87"/>
      <c r="E87"/>
    </row>
    <row r="88" spans="4:5">
      <c r="D88"/>
      <c r="E88"/>
    </row>
    <row r="89" spans="4:5">
      <c r="D89"/>
      <c r="E89"/>
    </row>
    <row r="90" spans="4:5">
      <c r="D90"/>
      <c r="E90"/>
    </row>
    <row r="91" spans="4:5">
      <c r="D91"/>
      <c r="E91"/>
    </row>
    <row r="92" spans="4:5">
      <c r="D92"/>
      <c r="E92"/>
    </row>
    <row r="93" spans="4:5">
      <c r="D93"/>
      <c r="E93"/>
    </row>
    <row r="94" spans="4:5">
      <c r="D94"/>
      <c r="E94"/>
    </row>
    <row r="95" spans="4:5">
      <c r="D95"/>
      <c r="E95"/>
    </row>
    <row r="96" spans="4:5">
      <c r="D96"/>
      <c r="E96"/>
    </row>
    <row r="97" spans="4:5">
      <c r="D97"/>
      <c r="E97"/>
    </row>
    <row r="98" spans="4:5">
      <c r="D98"/>
      <c r="E98"/>
    </row>
    <row r="99" spans="4:5">
      <c r="D99"/>
      <c r="E99"/>
    </row>
    <row r="100" spans="4:5">
      <c r="D100"/>
      <c r="E100"/>
    </row>
    <row r="101" spans="4:5">
      <c r="D101"/>
      <c r="E101"/>
    </row>
    <row r="102" spans="4:5">
      <c r="D102"/>
      <c r="E102"/>
    </row>
    <row r="103" spans="4:5">
      <c r="D103"/>
      <c r="E103"/>
    </row>
    <row r="104" spans="4:5">
      <c r="D104"/>
      <c r="E104"/>
    </row>
    <row r="105" spans="4:5">
      <c r="D105"/>
      <c r="E105"/>
    </row>
    <row r="106" spans="4:5">
      <c r="D106"/>
      <c r="E106"/>
    </row>
    <row r="107" spans="4:5">
      <c r="D107"/>
      <c r="E107"/>
    </row>
    <row r="108" spans="4:5">
      <c r="D108"/>
      <c r="E108"/>
    </row>
    <row r="109" spans="4:5">
      <c r="D109"/>
      <c r="E109"/>
    </row>
    <row r="110" spans="4:5">
      <c r="D110"/>
      <c r="E110"/>
    </row>
    <row r="111" spans="4:5">
      <c r="D111"/>
      <c r="E111"/>
    </row>
    <row r="112" spans="4:5">
      <c r="D112"/>
      <c r="E112"/>
    </row>
    <row r="113" spans="4:5">
      <c r="D113"/>
      <c r="E113"/>
    </row>
    <row r="114" spans="4:5">
      <c r="D114"/>
      <c r="E114"/>
    </row>
    <row r="115" spans="4:5">
      <c r="D115"/>
      <c r="E115"/>
    </row>
    <row r="116" spans="4:5">
      <c r="D116"/>
      <c r="E116"/>
    </row>
    <row r="117" spans="4:5">
      <c r="D117"/>
      <c r="E117"/>
    </row>
    <row r="118" spans="4:5">
      <c r="D118"/>
      <c r="E118"/>
    </row>
    <row r="119" spans="4:5">
      <c r="D119"/>
      <c r="E119"/>
    </row>
    <row r="120" spans="4:5">
      <c r="D120"/>
      <c r="E120"/>
    </row>
    <row r="121" spans="4:5">
      <c r="D121"/>
      <c r="E121"/>
    </row>
    <row r="122" spans="4:5">
      <c r="D122"/>
      <c r="E122"/>
    </row>
    <row r="123" spans="4:5">
      <c r="D123"/>
      <c r="E123"/>
    </row>
    <row r="124" spans="4:5">
      <c r="D124"/>
      <c r="E124"/>
    </row>
    <row r="125" spans="4:5">
      <c r="D125"/>
      <c r="E125"/>
    </row>
    <row r="126" spans="4:5">
      <c r="D126"/>
      <c r="E126"/>
    </row>
    <row r="127" spans="4:5">
      <c r="D127"/>
      <c r="E127"/>
    </row>
    <row r="128" spans="4:5">
      <c r="D128"/>
      <c r="E128"/>
    </row>
    <row r="129" spans="4:5">
      <c r="D129"/>
      <c r="E129"/>
    </row>
    <row r="130" spans="4:5">
      <c r="D130"/>
      <c r="E130"/>
    </row>
    <row r="131" spans="4:5">
      <c r="D131"/>
      <c r="E131"/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162"/>
  <sheetViews>
    <sheetView workbookViewId="0">
      <selection activeCell="E33" sqref="E33"/>
    </sheetView>
  </sheetViews>
  <sheetFormatPr defaultRowHeight="15"/>
  <cols>
    <col min="1" max="1" width="19" bestFit="1" customWidth="1"/>
    <col min="2" max="2" width="41.28515625" style="555" bestFit="1" customWidth="1"/>
    <col min="3" max="3" width="28.28515625" style="555" bestFit="1" customWidth="1"/>
  </cols>
  <sheetData>
    <row r="1" spans="1:3">
      <c r="A1" s="2861" t="s">
        <v>10</v>
      </c>
      <c r="B1" s="1215" t="s">
        <v>745</v>
      </c>
    </row>
    <row r="3" spans="1:3">
      <c r="B3" s="1216" t="s">
        <v>742</v>
      </c>
      <c r="C3" s="1215"/>
    </row>
    <row r="4" spans="1:3">
      <c r="A4" s="2861" t="s">
        <v>739</v>
      </c>
      <c r="B4" s="1215" t="s">
        <v>741</v>
      </c>
      <c r="C4" s="1215" t="s">
        <v>743</v>
      </c>
    </row>
    <row r="5" spans="1:3">
      <c r="A5" s="2862" t="s">
        <v>251</v>
      </c>
      <c r="B5" s="1215">
        <v>1646154431.7600002</v>
      </c>
      <c r="C5" s="1215">
        <v>1588124699.5300004</v>
      </c>
    </row>
    <row r="6" spans="1:3">
      <c r="A6" s="2862" t="s">
        <v>112</v>
      </c>
      <c r="B6" s="1215">
        <v>142813495.68000001</v>
      </c>
      <c r="C6" s="1215">
        <v>142174629.83297518</v>
      </c>
    </row>
    <row r="7" spans="1:3">
      <c r="A7" s="2862" t="s">
        <v>216</v>
      </c>
      <c r="B7" s="1215">
        <v>61676286</v>
      </c>
      <c r="C7" s="1215">
        <v>55887802.259999998</v>
      </c>
    </row>
    <row r="8" spans="1:3">
      <c r="A8" s="2862" t="s">
        <v>740</v>
      </c>
      <c r="B8" s="1215">
        <v>1850644213.4400003</v>
      </c>
      <c r="C8" s="1215">
        <v>1786187131.6229756</v>
      </c>
    </row>
    <row r="9" spans="1:3">
      <c r="B9"/>
      <c r="C9"/>
    </row>
    <row r="10" spans="1:3">
      <c r="B10"/>
      <c r="C10"/>
    </row>
    <row r="11" spans="1:3">
      <c r="B11"/>
      <c r="C11"/>
    </row>
    <row r="12" spans="1:3">
      <c r="B12"/>
      <c r="C12"/>
    </row>
    <row r="13" spans="1:3">
      <c r="B13"/>
      <c r="C13"/>
    </row>
    <row r="14" spans="1:3">
      <c r="B14"/>
      <c r="C14"/>
    </row>
    <row r="15" spans="1:3">
      <c r="B15"/>
      <c r="C15"/>
    </row>
    <row r="16" spans="1:3">
      <c r="B16"/>
      <c r="C16"/>
    </row>
    <row r="17" spans="2:3">
      <c r="B17"/>
      <c r="C17"/>
    </row>
    <row r="18" spans="2:3">
      <c r="B18"/>
      <c r="C18"/>
    </row>
    <row r="19" spans="2:3">
      <c r="B19"/>
      <c r="C19"/>
    </row>
    <row r="20" spans="2:3">
      <c r="B20"/>
      <c r="C20"/>
    </row>
    <row r="21" spans="2:3">
      <c r="B21"/>
      <c r="C21"/>
    </row>
    <row r="22" spans="2:3">
      <c r="B22"/>
      <c r="C22"/>
    </row>
    <row r="23" spans="2:3">
      <c r="B23"/>
      <c r="C23"/>
    </row>
    <row r="24" spans="2:3">
      <c r="B24"/>
      <c r="C24"/>
    </row>
    <row r="25" spans="2:3">
      <c r="B25"/>
      <c r="C25"/>
    </row>
    <row r="26" spans="2:3">
      <c r="B26"/>
      <c r="C26"/>
    </row>
    <row r="27" spans="2:3">
      <c r="B27"/>
      <c r="C27"/>
    </row>
    <row r="28" spans="2:3">
      <c r="B28"/>
      <c r="C28"/>
    </row>
    <row r="29" spans="2:3">
      <c r="B29"/>
      <c r="C29"/>
    </row>
    <row r="30" spans="2:3">
      <c r="B30"/>
      <c r="C30"/>
    </row>
    <row r="31" spans="2:3">
      <c r="B31"/>
      <c r="C31"/>
    </row>
    <row r="32" spans="2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39"/>
  <sheetViews>
    <sheetView workbookViewId="0">
      <selection activeCell="C33" sqref="C33"/>
    </sheetView>
  </sheetViews>
  <sheetFormatPr defaultColWidth="9.140625" defaultRowHeight="15"/>
  <cols>
    <col min="1" max="1" width="23.5703125" style="374" customWidth="1"/>
    <col min="2" max="3" width="10.42578125" style="374" customWidth="1"/>
    <col min="4" max="5" width="13.5703125" style="374" customWidth="1"/>
    <col min="6" max="6" width="4" style="374" customWidth="1"/>
    <col min="7" max="7" width="23.5703125" style="374" customWidth="1"/>
    <col min="8" max="9" width="10.42578125" style="374" customWidth="1"/>
    <col min="10" max="11" width="13.5703125" style="374" customWidth="1"/>
    <col min="12" max="12" width="3.85546875" style="374" customWidth="1"/>
    <col min="13" max="13" width="23.5703125" style="374" customWidth="1"/>
    <col min="14" max="15" width="10.42578125" style="374" customWidth="1"/>
    <col min="16" max="17" width="13.5703125" style="374" customWidth="1"/>
    <col min="18" max="16384" width="9.140625" style="374"/>
  </cols>
  <sheetData>
    <row r="1" spans="1:17" ht="19.5" thickBot="1">
      <c r="A1" s="3453" t="s">
        <v>5107</v>
      </c>
      <c r="B1" s="3453"/>
      <c r="C1" s="3453"/>
      <c r="D1" s="3453"/>
      <c r="E1" s="3453"/>
      <c r="G1" s="3453" t="s">
        <v>1700</v>
      </c>
      <c r="H1" s="3453"/>
      <c r="I1" s="3453"/>
      <c r="J1" s="3453"/>
      <c r="K1" s="3453"/>
      <c r="M1" s="3453" t="s">
        <v>5108</v>
      </c>
      <c r="N1" s="3453"/>
      <c r="O1" s="3453"/>
      <c r="P1" s="3453"/>
      <c r="Q1" s="3453"/>
    </row>
    <row r="2" spans="1:17" s="1583" customFormat="1" ht="45.75" thickTop="1">
      <c r="A2" s="1580"/>
      <c r="B2" s="1581" t="s">
        <v>4310</v>
      </c>
      <c r="C2" s="1581" t="s">
        <v>5109</v>
      </c>
      <c r="D2" s="1581" t="s">
        <v>5110</v>
      </c>
      <c r="E2" s="1582" t="s">
        <v>112</v>
      </c>
      <c r="G2" s="1580"/>
      <c r="H2" s="1581" t="s">
        <v>4310</v>
      </c>
      <c r="I2" s="1581" t="s">
        <v>5109</v>
      </c>
      <c r="J2" s="1581" t="s">
        <v>5110</v>
      </c>
      <c r="K2" s="1582" t="s">
        <v>112</v>
      </c>
      <c r="M2" s="1580"/>
      <c r="N2" s="1581" t="s">
        <v>4310</v>
      </c>
      <c r="O2" s="1581" t="s">
        <v>5109</v>
      </c>
      <c r="P2" s="1581" t="s">
        <v>5110</v>
      </c>
      <c r="Q2" s="1582" t="s">
        <v>112</v>
      </c>
    </row>
    <row r="3" spans="1:17">
      <c r="A3" s="1022" t="s">
        <v>5111</v>
      </c>
      <c r="B3" s="767">
        <v>288</v>
      </c>
      <c r="C3" s="767">
        <v>269</v>
      </c>
      <c r="D3" s="767">
        <v>18</v>
      </c>
      <c r="E3" s="1021">
        <v>1</v>
      </c>
      <c r="G3" s="1022" t="s">
        <v>5111</v>
      </c>
      <c r="H3" s="767">
        <v>38</v>
      </c>
      <c r="I3" s="767">
        <v>38</v>
      </c>
      <c r="J3" s="1584"/>
      <c r="K3" s="1585"/>
      <c r="M3" s="1022" t="s">
        <v>5111</v>
      </c>
      <c r="N3" s="767">
        <v>53</v>
      </c>
      <c r="O3" s="767">
        <v>12</v>
      </c>
      <c r="P3" s="767">
        <v>2</v>
      </c>
      <c r="Q3" s="1021">
        <v>39</v>
      </c>
    </row>
    <row r="4" spans="1:17">
      <c r="A4" s="1586" t="s">
        <v>5112</v>
      </c>
      <c r="B4" s="491">
        <v>55</v>
      </c>
      <c r="C4" s="491">
        <v>54</v>
      </c>
      <c r="D4" s="1587"/>
      <c r="E4" s="502">
        <v>1</v>
      </c>
      <c r="G4" s="1586" t="s">
        <v>5112</v>
      </c>
      <c r="H4" s="491">
        <v>18</v>
      </c>
      <c r="I4" s="491">
        <v>18</v>
      </c>
      <c r="J4" s="1587"/>
      <c r="K4" s="1588"/>
      <c r="M4" s="1586" t="s">
        <v>5112</v>
      </c>
      <c r="N4" s="491">
        <v>22</v>
      </c>
      <c r="O4" s="491">
        <v>6</v>
      </c>
      <c r="P4" s="491">
        <v>1</v>
      </c>
      <c r="Q4" s="502">
        <v>15</v>
      </c>
    </row>
    <row r="5" spans="1:17">
      <c r="A5" s="1589" t="s">
        <v>5113</v>
      </c>
      <c r="B5" s="506">
        <v>23</v>
      </c>
      <c r="C5" s="506">
        <v>21</v>
      </c>
      <c r="D5" s="506">
        <v>2</v>
      </c>
      <c r="E5" s="1590"/>
      <c r="G5" s="1589" t="s">
        <v>5113</v>
      </c>
      <c r="H5" s="506">
        <v>10</v>
      </c>
      <c r="I5" s="506">
        <v>10</v>
      </c>
      <c r="J5" s="1591"/>
      <c r="K5" s="1590"/>
      <c r="M5" s="1589" t="s">
        <v>5113</v>
      </c>
      <c r="N5" s="506">
        <v>9</v>
      </c>
      <c r="O5" s="506">
        <v>2</v>
      </c>
      <c r="P5" s="506">
        <v>1</v>
      </c>
      <c r="Q5" s="521">
        <v>6</v>
      </c>
    </row>
    <row r="6" spans="1:17">
      <c r="A6" s="1592" t="s">
        <v>5114</v>
      </c>
      <c r="B6" s="590">
        <v>180</v>
      </c>
      <c r="C6" s="590">
        <v>165</v>
      </c>
      <c r="D6" s="590">
        <v>15</v>
      </c>
      <c r="E6" s="1593"/>
      <c r="G6" s="1592" t="s">
        <v>5114</v>
      </c>
      <c r="H6" s="590">
        <v>5</v>
      </c>
      <c r="I6" s="590">
        <v>5</v>
      </c>
      <c r="J6" s="1594"/>
      <c r="K6" s="1593"/>
      <c r="M6" s="1592" t="s">
        <v>5114</v>
      </c>
      <c r="N6" s="590">
        <v>7</v>
      </c>
      <c r="O6" s="590">
        <v>1</v>
      </c>
      <c r="P6" s="1594"/>
      <c r="Q6" s="764">
        <v>6</v>
      </c>
    </row>
    <row r="7" spans="1:17" ht="45">
      <c r="A7" s="1595" t="s">
        <v>5115</v>
      </c>
      <c r="B7" s="540">
        <v>16</v>
      </c>
      <c r="C7" s="540">
        <v>16</v>
      </c>
      <c r="D7" s="1596"/>
      <c r="E7" s="1597"/>
      <c r="G7" s="1595" t="s">
        <v>5115</v>
      </c>
      <c r="H7" s="540">
        <v>3</v>
      </c>
      <c r="I7" s="540">
        <v>3</v>
      </c>
      <c r="J7" s="1596"/>
      <c r="K7" s="1597"/>
      <c r="M7" s="1595" t="s">
        <v>5115</v>
      </c>
      <c r="N7" s="540">
        <v>9</v>
      </c>
      <c r="O7" s="540">
        <v>1</v>
      </c>
      <c r="P7" s="1596"/>
      <c r="Q7" s="763">
        <v>8</v>
      </c>
    </row>
    <row r="8" spans="1:17" ht="15.75" thickBot="1">
      <c r="A8" s="1598" t="s">
        <v>5116</v>
      </c>
      <c r="B8" s="1394">
        <v>14</v>
      </c>
      <c r="C8" s="1394">
        <v>13</v>
      </c>
      <c r="D8" s="1394">
        <v>1</v>
      </c>
      <c r="E8" s="1599"/>
      <c r="G8" s="1598" t="s">
        <v>5116</v>
      </c>
      <c r="H8" s="1394">
        <v>2</v>
      </c>
      <c r="I8" s="1394">
        <v>2</v>
      </c>
      <c r="J8" s="1600"/>
      <c r="K8" s="1599"/>
      <c r="M8" s="1598" t="s">
        <v>5116</v>
      </c>
      <c r="N8" s="1394">
        <v>6</v>
      </c>
      <c r="O8" s="1394">
        <v>2</v>
      </c>
      <c r="P8" s="1600"/>
      <c r="Q8" s="1601">
        <v>4</v>
      </c>
    </row>
    <row r="9" spans="1:17" ht="15.75" thickTop="1"/>
    <row r="11" spans="1:17" ht="19.5" thickBot="1">
      <c r="A11" s="3453" t="s">
        <v>5117</v>
      </c>
      <c r="B11" s="3453"/>
      <c r="C11" s="3453"/>
      <c r="D11" s="3453"/>
      <c r="E11" s="3453"/>
      <c r="G11" s="3453" t="s">
        <v>5118</v>
      </c>
      <c r="H11" s="3453"/>
      <c r="I11" s="3453"/>
      <c r="J11" s="3453"/>
      <c r="K11" s="3453"/>
      <c r="M11" s="3453" t="s">
        <v>5119</v>
      </c>
      <c r="N11" s="3453"/>
      <c r="O11" s="3453"/>
      <c r="P11" s="3453"/>
      <c r="Q11" s="3453"/>
    </row>
    <row r="12" spans="1:17" ht="45.75" thickTop="1">
      <c r="A12" s="1580"/>
      <c r="B12" s="1581" t="s">
        <v>4310</v>
      </c>
      <c r="C12" s="1581" t="s">
        <v>5109</v>
      </c>
      <c r="D12" s="1581" t="s">
        <v>5110</v>
      </c>
      <c r="E12" s="1582" t="s">
        <v>112</v>
      </c>
      <c r="G12" s="1580"/>
      <c r="H12" s="1581" t="s">
        <v>4310</v>
      </c>
      <c r="I12" s="1581" t="s">
        <v>5109</v>
      </c>
      <c r="J12" s="1581" t="s">
        <v>5110</v>
      </c>
      <c r="K12" s="1582" t="s">
        <v>112</v>
      </c>
      <c r="M12" s="1580"/>
      <c r="N12" s="1581" t="s">
        <v>4310</v>
      </c>
      <c r="O12" s="1581" t="s">
        <v>5109</v>
      </c>
      <c r="P12" s="1581" t="s">
        <v>5110</v>
      </c>
      <c r="Q12" s="1582" t="s">
        <v>112</v>
      </c>
    </row>
    <row r="13" spans="1:17">
      <c r="A13" s="1022" t="s">
        <v>5111</v>
      </c>
      <c r="B13" s="767">
        <v>184</v>
      </c>
      <c r="C13" s="767">
        <v>118</v>
      </c>
      <c r="D13" s="767">
        <v>19</v>
      </c>
      <c r="E13" s="1021">
        <v>47</v>
      </c>
      <c r="G13" s="1022" t="s">
        <v>5111</v>
      </c>
      <c r="H13" s="767">
        <v>16</v>
      </c>
      <c r="I13" s="767">
        <v>2</v>
      </c>
      <c r="J13" s="767">
        <v>1</v>
      </c>
      <c r="K13" s="1021">
        <v>13</v>
      </c>
      <c r="M13" s="1022" t="s">
        <v>5111</v>
      </c>
      <c r="N13" s="767">
        <v>11</v>
      </c>
      <c r="O13" s="767">
        <v>2</v>
      </c>
      <c r="P13" s="767">
        <v>3</v>
      </c>
      <c r="Q13" s="1021">
        <v>6</v>
      </c>
    </row>
    <row r="14" spans="1:17">
      <c r="A14" s="1586" t="s">
        <v>5112</v>
      </c>
      <c r="B14" s="491">
        <v>69</v>
      </c>
      <c r="C14" s="491">
        <v>46</v>
      </c>
      <c r="D14" s="491">
        <v>5</v>
      </c>
      <c r="E14" s="502">
        <v>18</v>
      </c>
      <c r="G14" s="1586" t="s">
        <v>5112</v>
      </c>
      <c r="H14" s="491">
        <v>12</v>
      </c>
      <c r="I14" s="491">
        <v>1</v>
      </c>
      <c r="J14" s="491">
        <v>1</v>
      </c>
      <c r="K14" s="502">
        <v>10</v>
      </c>
      <c r="M14" s="1586" t="s">
        <v>5112</v>
      </c>
      <c r="N14" s="491">
        <v>10</v>
      </c>
      <c r="O14" s="491">
        <v>1</v>
      </c>
      <c r="P14" s="491">
        <v>3</v>
      </c>
      <c r="Q14" s="502">
        <v>6</v>
      </c>
    </row>
    <row r="15" spans="1:17">
      <c r="A15" s="1589" t="s">
        <v>5113</v>
      </c>
      <c r="B15" s="506">
        <v>28</v>
      </c>
      <c r="C15" s="506">
        <v>15</v>
      </c>
      <c r="D15" s="506">
        <v>3</v>
      </c>
      <c r="E15" s="521">
        <v>10</v>
      </c>
      <c r="G15" s="1589" t="s">
        <v>5113</v>
      </c>
      <c r="H15" s="506">
        <v>2</v>
      </c>
      <c r="I15" s="1591"/>
      <c r="J15" s="1591"/>
      <c r="K15" s="521">
        <v>2</v>
      </c>
      <c r="M15" s="1589" t="s">
        <v>5113</v>
      </c>
      <c r="N15" s="1591"/>
      <c r="O15" s="1591"/>
      <c r="P15" s="1591"/>
      <c r="Q15" s="1590"/>
    </row>
    <row r="16" spans="1:17">
      <c r="A16" s="1592" t="s">
        <v>5114</v>
      </c>
      <c r="B16" s="590">
        <v>21</v>
      </c>
      <c r="C16" s="590">
        <v>18</v>
      </c>
      <c r="D16" s="1594"/>
      <c r="E16" s="764">
        <v>3</v>
      </c>
      <c r="G16" s="1592" t="s">
        <v>5114</v>
      </c>
      <c r="H16" s="1594"/>
      <c r="I16" s="1594"/>
      <c r="J16" s="1594"/>
      <c r="K16" s="1593"/>
      <c r="M16" s="1592" t="s">
        <v>5114</v>
      </c>
      <c r="N16" s="1594"/>
      <c r="O16" s="1594"/>
      <c r="P16" s="1594"/>
      <c r="Q16" s="1593"/>
    </row>
    <row r="17" spans="1:17" ht="45">
      <c r="A17" s="1595" t="s">
        <v>5115</v>
      </c>
      <c r="B17" s="540">
        <v>66</v>
      </c>
      <c r="C17" s="540">
        <v>39</v>
      </c>
      <c r="D17" s="540">
        <v>11</v>
      </c>
      <c r="E17" s="763">
        <v>16</v>
      </c>
      <c r="G17" s="1595" t="s">
        <v>5115</v>
      </c>
      <c r="H17" s="540">
        <v>1</v>
      </c>
      <c r="I17" s="1596"/>
      <c r="J17" s="1596"/>
      <c r="K17" s="763">
        <v>1</v>
      </c>
      <c r="M17" s="1595" t="s">
        <v>5115</v>
      </c>
      <c r="N17" s="1596"/>
      <c r="O17" s="1596"/>
      <c r="P17" s="1596"/>
      <c r="Q17" s="1597"/>
    </row>
    <row r="18" spans="1:17" ht="15.75" thickBot="1">
      <c r="A18" s="1598" t="s">
        <v>5116</v>
      </c>
      <c r="B18" s="1600"/>
      <c r="C18" s="1600"/>
      <c r="D18" s="1600"/>
      <c r="E18" s="1599"/>
      <c r="G18" s="1598" t="s">
        <v>5116</v>
      </c>
      <c r="H18" s="1394">
        <v>1</v>
      </c>
      <c r="I18" s="1394">
        <v>1</v>
      </c>
      <c r="J18" s="1600"/>
      <c r="K18" s="1599"/>
      <c r="M18" s="1598" t="s">
        <v>5116</v>
      </c>
      <c r="N18" s="1394">
        <v>1</v>
      </c>
      <c r="O18" s="1394">
        <v>1</v>
      </c>
      <c r="P18" s="1600"/>
      <c r="Q18" s="1599"/>
    </row>
    <row r="19" spans="1:17" ht="15.75" thickTop="1"/>
    <row r="21" spans="1:17" ht="19.5" thickBot="1">
      <c r="A21" s="3453" t="s">
        <v>5120</v>
      </c>
      <c r="B21" s="3453"/>
      <c r="C21" s="3453"/>
      <c r="D21" s="3453"/>
      <c r="E21" s="3453"/>
      <c r="G21" s="3453" t="s">
        <v>5121</v>
      </c>
      <c r="H21" s="3453"/>
      <c r="I21" s="3453"/>
      <c r="J21" s="3453"/>
      <c r="K21" s="3453"/>
      <c r="M21" s="3453" t="s">
        <v>5122</v>
      </c>
      <c r="N21" s="3453"/>
      <c r="O21" s="3453"/>
      <c r="P21" s="3453"/>
      <c r="Q21" s="3453"/>
    </row>
    <row r="22" spans="1:17" ht="45.75" thickTop="1">
      <c r="A22" s="1580"/>
      <c r="B22" s="1581" t="s">
        <v>4310</v>
      </c>
      <c r="C22" s="1581" t="s">
        <v>5109</v>
      </c>
      <c r="D22" s="1581" t="s">
        <v>5110</v>
      </c>
      <c r="E22" s="1582" t="s">
        <v>112</v>
      </c>
      <c r="G22" s="1580"/>
      <c r="H22" s="1581" t="s">
        <v>4310</v>
      </c>
      <c r="I22" s="1581" t="s">
        <v>5109</v>
      </c>
      <c r="J22" s="1581" t="s">
        <v>5110</v>
      </c>
      <c r="K22" s="1582" t="s">
        <v>112</v>
      </c>
      <c r="M22" s="1580"/>
      <c r="N22" s="1581" t="s">
        <v>4310</v>
      </c>
      <c r="O22" s="1581" t="s">
        <v>5109</v>
      </c>
      <c r="P22" s="1581" t="s">
        <v>5110</v>
      </c>
      <c r="Q22" s="1582" t="s">
        <v>112</v>
      </c>
    </row>
    <row r="23" spans="1:17">
      <c r="A23" s="1022" t="s">
        <v>5111</v>
      </c>
      <c r="B23" s="767">
        <v>8</v>
      </c>
      <c r="C23" s="767">
        <v>5</v>
      </c>
      <c r="D23" s="1584"/>
      <c r="E23" s="1021">
        <v>3</v>
      </c>
      <c r="G23" s="1022" t="s">
        <v>5111</v>
      </c>
      <c r="H23" s="767">
        <v>21</v>
      </c>
      <c r="I23" s="767">
        <v>4</v>
      </c>
      <c r="J23" s="767">
        <v>1</v>
      </c>
      <c r="K23" s="1021">
        <v>16</v>
      </c>
      <c r="M23" s="1022" t="s">
        <v>5111</v>
      </c>
      <c r="N23" s="767">
        <v>11</v>
      </c>
      <c r="O23" s="1584"/>
      <c r="P23" s="1584"/>
      <c r="Q23" s="1021">
        <v>11</v>
      </c>
    </row>
    <row r="24" spans="1:17">
      <c r="A24" s="1586" t="s">
        <v>5112</v>
      </c>
      <c r="B24" s="491">
        <v>5</v>
      </c>
      <c r="C24" s="491">
        <v>2</v>
      </c>
      <c r="D24" s="1587"/>
      <c r="E24" s="502">
        <v>3</v>
      </c>
      <c r="G24" s="1586" t="s">
        <v>5112</v>
      </c>
      <c r="H24" s="491">
        <v>10</v>
      </c>
      <c r="I24" s="491">
        <v>1</v>
      </c>
      <c r="J24" s="491">
        <v>1</v>
      </c>
      <c r="K24" s="502">
        <v>8</v>
      </c>
      <c r="M24" s="1586" t="s">
        <v>5112</v>
      </c>
      <c r="N24" s="491">
        <v>5</v>
      </c>
      <c r="O24" s="1587"/>
      <c r="P24" s="1587"/>
      <c r="Q24" s="502">
        <v>5</v>
      </c>
    </row>
    <row r="25" spans="1:17">
      <c r="A25" s="1589" t="s">
        <v>5113</v>
      </c>
      <c r="B25" s="506">
        <v>1</v>
      </c>
      <c r="C25" s="506">
        <v>1</v>
      </c>
      <c r="D25" s="1591"/>
      <c r="E25" s="1590"/>
      <c r="G25" s="1589" t="s">
        <v>5113</v>
      </c>
      <c r="H25" s="506">
        <v>4</v>
      </c>
      <c r="I25" s="506">
        <v>1</v>
      </c>
      <c r="J25" s="1591"/>
      <c r="K25" s="521">
        <v>3</v>
      </c>
      <c r="M25" s="1589" t="s">
        <v>5113</v>
      </c>
      <c r="N25" s="506">
        <v>2</v>
      </c>
      <c r="O25" s="1591"/>
      <c r="P25" s="1591"/>
      <c r="Q25" s="521">
        <v>2</v>
      </c>
    </row>
    <row r="26" spans="1:17">
      <c r="A26" s="1592" t="s">
        <v>5114</v>
      </c>
      <c r="B26" s="1594"/>
      <c r="C26" s="1594"/>
      <c r="D26" s="1594"/>
      <c r="E26" s="1593"/>
      <c r="G26" s="1592" t="s">
        <v>5114</v>
      </c>
      <c r="H26" s="590">
        <v>4</v>
      </c>
      <c r="I26" s="590">
        <v>1</v>
      </c>
      <c r="J26" s="1594"/>
      <c r="K26" s="764">
        <v>3</v>
      </c>
      <c r="M26" s="1592" t="s">
        <v>5114</v>
      </c>
      <c r="N26" s="590">
        <v>1</v>
      </c>
      <c r="O26" s="1594"/>
      <c r="P26" s="1594"/>
      <c r="Q26" s="764">
        <v>1</v>
      </c>
    </row>
    <row r="27" spans="1:17" ht="45">
      <c r="A27" s="1595" t="s">
        <v>5115</v>
      </c>
      <c r="B27" s="540">
        <v>2</v>
      </c>
      <c r="C27" s="540">
        <v>2</v>
      </c>
      <c r="D27" s="1596"/>
      <c r="E27" s="1597"/>
      <c r="G27" s="1595" t="s">
        <v>5115</v>
      </c>
      <c r="H27" s="540">
        <v>2</v>
      </c>
      <c r="I27" s="540">
        <v>1</v>
      </c>
      <c r="J27" s="1596"/>
      <c r="K27" s="763">
        <v>1</v>
      </c>
      <c r="M27" s="1595" t="s">
        <v>5115</v>
      </c>
      <c r="N27" s="1596"/>
      <c r="O27" s="1596"/>
      <c r="P27" s="1596"/>
      <c r="Q27" s="1597"/>
    </row>
    <row r="28" spans="1:17" ht="15.75" thickBot="1">
      <c r="A28" s="1598" t="s">
        <v>5116</v>
      </c>
      <c r="B28" s="1600"/>
      <c r="C28" s="1600"/>
      <c r="D28" s="1600"/>
      <c r="E28" s="1599"/>
      <c r="G28" s="1598" t="s">
        <v>5116</v>
      </c>
      <c r="H28" s="1394">
        <v>1</v>
      </c>
      <c r="I28" s="1600"/>
      <c r="J28" s="1600"/>
      <c r="K28" s="1601">
        <v>1</v>
      </c>
      <c r="M28" s="1598" t="s">
        <v>5116</v>
      </c>
      <c r="N28" s="1394">
        <v>3</v>
      </c>
      <c r="O28" s="1600"/>
      <c r="P28" s="1600"/>
      <c r="Q28" s="1601">
        <v>3</v>
      </c>
    </row>
    <row r="29" spans="1:17" ht="15.75" thickTop="1"/>
    <row r="31" spans="1:17" ht="19.5" thickBot="1">
      <c r="A31" s="3453" t="s">
        <v>3678</v>
      </c>
      <c r="B31" s="3453"/>
      <c r="C31" s="3453"/>
      <c r="D31" s="3453"/>
      <c r="E31" s="3453"/>
      <c r="G31" s="3453" t="s">
        <v>5123</v>
      </c>
      <c r="H31" s="3453"/>
      <c r="I31" s="3453"/>
      <c r="J31" s="3453"/>
      <c r="K31" s="3453"/>
      <c r="M31" s="3453" t="s">
        <v>5124</v>
      </c>
      <c r="N31" s="3453"/>
      <c r="O31" s="3453"/>
      <c r="P31" s="3453"/>
      <c r="Q31" s="3453"/>
    </row>
    <row r="32" spans="1:17" ht="45.75" thickTop="1">
      <c r="A32" s="1580"/>
      <c r="B32" s="1581" t="s">
        <v>4310</v>
      </c>
      <c r="C32" s="1581" t="s">
        <v>5109</v>
      </c>
      <c r="D32" s="1581" t="s">
        <v>5110</v>
      </c>
      <c r="E32" s="1582" t="s">
        <v>112</v>
      </c>
      <c r="G32" s="1580"/>
      <c r="H32" s="1581" t="s">
        <v>4310</v>
      </c>
      <c r="I32" s="1581" t="s">
        <v>5109</v>
      </c>
      <c r="J32" s="1581" t="s">
        <v>5110</v>
      </c>
      <c r="K32" s="1582" t="s">
        <v>112</v>
      </c>
      <c r="M32" s="1580"/>
      <c r="N32" s="1581" t="s">
        <v>4310</v>
      </c>
      <c r="O32" s="1581" t="s">
        <v>5109</v>
      </c>
      <c r="P32" s="1581" t="s">
        <v>5110</v>
      </c>
      <c r="Q32" s="1582" t="s">
        <v>112</v>
      </c>
    </row>
    <row r="33" spans="1:17">
      <c r="A33" s="1022" t="s">
        <v>5111</v>
      </c>
      <c r="B33" s="767">
        <v>12</v>
      </c>
      <c r="C33" s="767">
        <v>5</v>
      </c>
      <c r="D33" s="1584"/>
      <c r="E33" s="1021">
        <v>7</v>
      </c>
      <c r="G33" s="1022" t="s">
        <v>5111</v>
      </c>
      <c r="H33" s="767">
        <v>15</v>
      </c>
      <c r="I33" s="767">
        <v>5</v>
      </c>
      <c r="J33" s="767">
        <v>4</v>
      </c>
      <c r="K33" s="1021">
        <v>6</v>
      </c>
      <c r="M33" s="1022" t="s">
        <v>5111</v>
      </c>
      <c r="N33" s="767">
        <v>657</v>
      </c>
      <c r="O33" s="767">
        <v>460</v>
      </c>
      <c r="P33" s="767">
        <v>48</v>
      </c>
      <c r="Q33" s="1021">
        <v>149</v>
      </c>
    </row>
    <row r="34" spans="1:17">
      <c r="A34" s="1586" t="s">
        <v>5112</v>
      </c>
      <c r="B34" s="491">
        <v>4</v>
      </c>
      <c r="C34" s="491">
        <v>2</v>
      </c>
      <c r="D34" s="1587"/>
      <c r="E34" s="502">
        <v>2</v>
      </c>
      <c r="G34" s="1586" t="s">
        <v>5112</v>
      </c>
      <c r="H34" s="491">
        <v>4</v>
      </c>
      <c r="I34" s="1587"/>
      <c r="J34" s="491">
        <v>2</v>
      </c>
      <c r="K34" s="502">
        <v>2</v>
      </c>
      <c r="M34" s="1586" t="s">
        <v>5112</v>
      </c>
      <c r="N34" s="491">
        <v>214</v>
      </c>
      <c r="O34" s="491">
        <v>131</v>
      </c>
      <c r="P34" s="491">
        <v>13</v>
      </c>
      <c r="Q34" s="502">
        <v>70</v>
      </c>
    </row>
    <row r="35" spans="1:17">
      <c r="A35" s="1589" t="s">
        <v>5113</v>
      </c>
      <c r="B35" s="506">
        <v>3</v>
      </c>
      <c r="C35" s="506"/>
      <c r="D35" s="1591"/>
      <c r="E35" s="521">
        <v>3</v>
      </c>
      <c r="G35" s="1589" t="s">
        <v>5113</v>
      </c>
      <c r="H35" s="506">
        <v>6</v>
      </c>
      <c r="I35" s="506">
        <v>2</v>
      </c>
      <c r="J35" s="506">
        <v>2</v>
      </c>
      <c r="K35" s="521">
        <v>2</v>
      </c>
      <c r="M35" s="1589" t="s">
        <v>5113</v>
      </c>
      <c r="N35" s="506">
        <v>88</v>
      </c>
      <c r="O35" s="506">
        <v>52</v>
      </c>
      <c r="P35" s="506">
        <v>8</v>
      </c>
      <c r="Q35" s="521">
        <v>28</v>
      </c>
    </row>
    <row r="36" spans="1:17">
      <c r="A36" s="1592" t="s">
        <v>5114</v>
      </c>
      <c r="B36" s="590">
        <v>1</v>
      </c>
      <c r="C36" s="590">
        <v>1</v>
      </c>
      <c r="D36" s="1594"/>
      <c r="E36" s="764"/>
      <c r="G36" s="1592" t="s">
        <v>5114</v>
      </c>
      <c r="H36" s="590">
        <v>2</v>
      </c>
      <c r="I36" s="590">
        <v>2</v>
      </c>
      <c r="J36" s="1594"/>
      <c r="K36" s="1593"/>
      <c r="M36" s="1592" t="s">
        <v>5114</v>
      </c>
      <c r="N36" s="590">
        <v>202</v>
      </c>
      <c r="O36" s="590">
        <v>178</v>
      </c>
      <c r="P36" s="590">
        <v>15</v>
      </c>
      <c r="Q36" s="764">
        <v>9</v>
      </c>
    </row>
    <row r="37" spans="1:17" ht="45">
      <c r="A37" s="1595" t="s">
        <v>5115</v>
      </c>
      <c r="B37" s="540">
        <v>4</v>
      </c>
      <c r="C37" s="540">
        <v>2</v>
      </c>
      <c r="D37" s="1596"/>
      <c r="E37" s="763">
        <v>2</v>
      </c>
      <c r="G37" s="1595" t="s">
        <v>5115</v>
      </c>
      <c r="H37" s="540">
        <v>2</v>
      </c>
      <c r="I37" s="1596"/>
      <c r="J37" s="1596"/>
      <c r="K37" s="763">
        <v>2</v>
      </c>
      <c r="M37" s="1595" t="s">
        <v>5115</v>
      </c>
      <c r="N37" s="540">
        <v>124</v>
      </c>
      <c r="O37" s="540">
        <v>79</v>
      </c>
      <c r="P37" s="540">
        <v>11</v>
      </c>
      <c r="Q37" s="763">
        <v>34</v>
      </c>
    </row>
    <row r="38" spans="1:17" ht="15.75" thickBot="1">
      <c r="A38" s="1598" t="s">
        <v>5116</v>
      </c>
      <c r="B38" s="1600"/>
      <c r="C38" s="1600"/>
      <c r="D38" s="1600"/>
      <c r="E38" s="1599"/>
      <c r="G38" s="1598" t="s">
        <v>5116</v>
      </c>
      <c r="H38" s="1394">
        <v>1</v>
      </c>
      <c r="I38" s="1394">
        <v>1</v>
      </c>
      <c r="J38" s="1600"/>
      <c r="K38" s="1599"/>
      <c r="M38" s="1598" t="s">
        <v>5116</v>
      </c>
      <c r="N38" s="1394">
        <v>29</v>
      </c>
      <c r="O38" s="1394">
        <v>20</v>
      </c>
      <c r="P38" s="1394">
        <v>1</v>
      </c>
      <c r="Q38" s="1601">
        <v>8</v>
      </c>
    </row>
    <row r="39" spans="1:17" ht="15.75" thickTop="1"/>
  </sheetData>
  <mergeCells count="12">
    <mergeCell ref="A1:E1"/>
    <mergeCell ref="G1:K1"/>
    <mergeCell ref="M1:Q1"/>
    <mergeCell ref="A11:E11"/>
    <mergeCell ref="G11:K11"/>
    <mergeCell ref="M11:Q11"/>
    <mergeCell ref="A21:E21"/>
    <mergeCell ref="G21:K21"/>
    <mergeCell ref="M21:Q21"/>
    <mergeCell ref="A31:E31"/>
    <mergeCell ref="G31:K31"/>
    <mergeCell ref="M31:Q31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202"/>
  <sheetViews>
    <sheetView workbookViewId="0">
      <selection activeCell="E32" sqref="E32"/>
    </sheetView>
  </sheetViews>
  <sheetFormatPr defaultRowHeight="15"/>
  <cols>
    <col min="1" max="1" width="19" style="2860" bestFit="1" customWidth="1"/>
    <col min="2" max="2" width="12.140625" style="2860" bestFit="1" customWidth="1"/>
    <col min="3" max="3" width="7.5703125" style="2860" bestFit="1" customWidth="1"/>
    <col min="4" max="4" width="17.5703125" style="2864" bestFit="1" customWidth="1"/>
    <col min="5" max="5" width="15" style="2864" customWidth="1"/>
    <col min="6" max="16384" width="9.140625" style="2860"/>
  </cols>
  <sheetData>
    <row r="1" spans="1:5">
      <c r="A1" s="2057" t="s">
        <v>10</v>
      </c>
      <c r="B1" s="2863" t="s">
        <v>2502</v>
      </c>
    </row>
    <row r="3" spans="1:5">
      <c r="A3" s="2863"/>
      <c r="B3" s="2057" t="s">
        <v>742</v>
      </c>
      <c r="C3" s="2863"/>
      <c r="D3" s="2863"/>
      <c r="E3" s="2863"/>
    </row>
    <row r="4" spans="1:5" s="500" customFormat="1" ht="75">
      <c r="A4" s="2078" t="s">
        <v>739</v>
      </c>
      <c r="B4" s="2798" t="s">
        <v>1191</v>
      </c>
      <c r="C4" s="2798" t="s">
        <v>744</v>
      </c>
      <c r="D4" s="2798" t="s">
        <v>1428</v>
      </c>
      <c r="E4" s="2798" t="s">
        <v>6216</v>
      </c>
    </row>
    <row r="5" spans="1:5">
      <c r="A5" s="2058" t="s">
        <v>251</v>
      </c>
      <c r="B5" s="2059">
        <v>501</v>
      </c>
      <c r="C5" s="2059">
        <v>307</v>
      </c>
      <c r="D5" s="2754">
        <v>6711124015.6199989</v>
      </c>
      <c r="E5" s="2754">
        <v>13510172</v>
      </c>
    </row>
    <row r="6" spans="1:5">
      <c r="A6" s="2058" t="s">
        <v>112</v>
      </c>
      <c r="B6" s="2059">
        <v>218</v>
      </c>
      <c r="C6" s="2059">
        <v>153</v>
      </c>
      <c r="D6" s="2754">
        <v>230042927.13999999</v>
      </c>
      <c r="E6" s="2754">
        <v>6736743</v>
      </c>
    </row>
    <row r="7" spans="1:5">
      <c r="A7" s="2058" t="s">
        <v>216</v>
      </c>
      <c r="B7" s="2059">
        <v>43</v>
      </c>
      <c r="C7" s="2059">
        <v>27</v>
      </c>
      <c r="D7" s="2754">
        <v>171209239.04000002</v>
      </c>
      <c r="E7" s="2754">
        <v>1186602</v>
      </c>
    </row>
    <row r="8" spans="1:5">
      <c r="A8" s="2058" t="s">
        <v>9690</v>
      </c>
      <c r="B8" s="2059"/>
      <c r="C8" s="2059"/>
      <c r="D8" s="2754"/>
      <c r="E8" s="2754"/>
    </row>
    <row r="9" spans="1:5">
      <c r="A9" s="2058" t="s">
        <v>6651</v>
      </c>
      <c r="B9" s="2059">
        <v>1</v>
      </c>
      <c r="C9" s="2059">
        <v>1</v>
      </c>
      <c r="D9" s="2754">
        <v>4603306</v>
      </c>
      <c r="E9" s="2754">
        <v>43949</v>
      </c>
    </row>
    <row r="10" spans="1:5">
      <c r="A10" s="2058" t="s">
        <v>740</v>
      </c>
      <c r="B10" s="2059">
        <v>763</v>
      </c>
      <c r="C10" s="2059">
        <v>488</v>
      </c>
      <c r="D10" s="2754">
        <v>7116979487.7999992</v>
      </c>
      <c r="E10" s="2754">
        <v>21477466</v>
      </c>
    </row>
    <row r="11" spans="1:5">
      <c r="D11" s="2860"/>
      <c r="E11" s="2860"/>
    </row>
    <row r="12" spans="1:5">
      <c r="D12" s="2860"/>
      <c r="E12" s="2860"/>
    </row>
    <row r="13" spans="1:5">
      <c r="D13" s="2860"/>
      <c r="E13" s="2860"/>
    </row>
    <row r="14" spans="1:5">
      <c r="D14" s="2860"/>
      <c r="E14" s="2860"/>
    </row>
    <row r="15" spans="1:5">
      <c r="D15" s="2860"/>
      <c r="E15" s="2860"/>
    </row>
    <row r="16" spans="1:5">
      <c r="D16" s="2860"/>
      <c r="E16" s="2860"/>
    </row>
    <row r="17" spans="4:5">
      <c r="D17" s="2860"/>
      <c r="E17" s="2860"/>
    </row>
    <row r="18" spans="4:5">
      <c r="D18" s="2860"/>
      <c r="E18" s="2860"/>
    </row>
    <row r="19" spans="4:5">
      <c r="D19" s="2860"/>
      <c r="E19" s="2860"/>
    </row>
    <row r="20" spans="4:5">
      <c r="D20" s="2860"/>
      <c r="E20" s="2860"/>
    </row>
    <row r="21" spans="4:5">
      <c r="D21" s="2860"/>
      <c r="E21" s="2860"/>
    </row>
    <row r="22" spans="4:5">
      <c r="D22" s="2860"/>
      <c r="E22" s="2860"/>
    </row>
    <row r="23" spans="4:5">
      <c r="D23" s="2860"/>
      <c r="E23" s="2860"/>
    </row>
    <row r="24" spans="4:5">
      <c r="D24" s="2860"/>
      <c r="E24" s="2860"/>
    </row>
    <row r="25" spans="4:5">
      <c r="D25" s="2860"/>
      <c r="E25" s="2860"/>
    </row>
    <row r="26" spans="4:5">
      <c r="D26" s="2860"/>
      <c r="E26" s="2860"/>
    </row>
    <row r="27" spans="4:5">
      <c r="D27" s="2860"/>
      <c r="E27" s="2860"/>
    </row>
    <row r="28" spans="4:5">
      <c r="D28" s="2860"/>
      <c r="E28" s="2860"/>
    </row>
    <row r="29" spans="4:5">
      <c r="D29" s="2860"/>
      <c r="E29" s="2860"/>
    </row>
    <row r="30" spans="4:5">
      <c r="D30" s="2860"/>
      <c r="E30" s="2860"/>
    </row>
    <row r="31" spans="4:5">
      <c r="D31" s="2860"/>
      <c r="E31" s="2860"/>
    </row>
    <row r="32" spans="4:5">
      <c r="D32" s="2860"/>
      <c r="E32" s="2860"/>
    </row>
    <row r="33" spans="4:5">
      <c r="D33" s="2860"/>
      <c r="E33" s="2860"/>
    </row>
    <row r="34" spans="4:5">
      <c r="D34" s="2860"/>
      <c r="E34" s="2860"/>
    </row>
    <row r="35" spans="4:5">
      <c r="D35" s="2860"/>
      <c r="E35" s="2860"/>
    </row>
    <row r="36" spans="4:5">
      <c r="D36" s="2860"/>
      <c r="E36" s="2860"/>
    </row>
    <row r="37" spans="4:5">
      <c r="D37" s="2860"/>
      <c r="E37" s="2860"/>
    </row>
    <row r="38" spans="4:5">
      <c r="D38" s="2860"/>
      <c r="E38" s="2860"/>
    </row>
    <row r="39" spans="4:5">
      <c r="D39" s="2860"/>
      <c r="E39" s="2860"/>
    </row>
    <row r="40" spans="4:5">
      <c r="D40" s="2860"/>
      <c r="E40" s="2860"/>
    </row>
    <row r="41" spans="4:5">
      <c r="D41" s="2860"/>
      <c r="E41" s="2860"/>
    </row>
    <row r="42" spans="4:5">
      <c r="D42" s="2860"/>
      <c r="E42" s="2860"/>
    </row>
    <row r="43" spans="4:5">
      <c r="D43" s="2860"/>
      <c r="E43" s="2860"/>
    </row>
    <row r="44" spans="4:5">
      <c r="D44" s="2860"/>
      <c r="E44" s="2860"/>
    </row>
    <row r="45" spans="4:5">
      <c r="D45" s="2860"/>
      <c r="E45" s="2860"/>
    </row>
    <row r="46" spans="4:5">
      <c r="D46" s="2860"/>
      <c r="E46" s="2860"/>
    </row>
    <row r="47" spans="4:5">
      <c r="D47" s="2860"/>
      <c r="E47" s="2860"/>
    </row>
    <row r="48" spans="4:5">
      <c r="D48" s="2860"/>
      <c r="E48" s="2860"/>
    </row>
    <row r="49" spans="4:5">
      <c r="D49" s="2860"/>
      <c r="E49" s="2860"/>
    </row>
    <row r="50" spans="4:5">
      <c r="D50" s="2860"/>
      <c r="E50" s="2860"/>
    </row>
    <row r="51" spans="4:5">
      <c r="D51" s="2860"/>
      <c r="E51" s="2860"/>
    </row>
    <row r="52" spans="4:5">
      <c r="D52" s="2860"/>
      <c r="E52" s="2860"/>
    </row>
    <row r="53" spans="4:5">
      <c r="D53" s="2860"/>
      <c r="E53" s="2860"/>
    </row>
    <row r="54" spans="4:5">
      <c r="D54" s="2860"/>
      <c r="E54" s="2860"/>
    </row>
    <row r="55" spans="4:5">
      <c r="D55" s="2860"/>
      <c r="E55" s="2860"/>
    </row>
    <row r="56" spans="4:5">
      <c r="D56" s="2860"/>
      <c r="E56" s="2860"/>
    </row>
    <row r="57" spans="4:5">
      <c r="D57" s="2860"/>
      <c r="E57" s="2860"/>
    </row>
    <row r="58" spans="4:5">
      <c r="D58" s="2860"/>
      <c r="E58" s="2860"/>
    </row>
    <row r="59" spans="4:5">
      <c r="D59" s="2860"/>
      <c r="E59" s="2860"/>
    </row>
    <row r="60" spans="4:5">
      <c r="D60" s="2860"/>
      <c r="E60" s="2860"/>
    </row>
    <row r="61" spans="4:5">
      <c r="D61" s="2860"/>
      <c r="E61" s="2860"/>
    </row>
    <row r="62" spans="4:5">
      <c r="D62" s="2860"/>
      <c r="E62" s="2860"/>
    </row>
    <row r="63" spans="4:5">
      <c r="D63" s="2860"/>
      <c r="E63" s="2860"/>
    </row>
    <row r="64" spans="4:5">
      <c r="D64" s="2860"/>
      <c r="E64" s="2860"/>
    </row>
    <row r="65" spans="4:5">
      <c r="D65" s="2860"/>
      <c r="E65" s="2860"/>
    </row>
    <row r="66" spans="4:5">
      <c r="D66" s="2860"/>
      <c r="E66" s="2860"/>
    </row>
    <row r="67" spans="4:5">
      <c r="D67" s="2860"/>
      <c r="E67" s="2860"/>
    </row>
    <row r="68" spans="4:5">
      <c r="D68" s="2860"/>
      <c r="E68" s="2860"/>
    </row>
    <row r="69" spans="4:5">
      <c r="D69" s="2860"/>
      <c r="E69" s="2860"/>
    </row>
    <row r="70" spans="4:5">
      <c r="D70" s="2860"/>
      <c r="E70" s="2860"/>
    </row>
    <row r="71" spans="4:5">
      <c r="D71" s="2860"/>
      <c r="E71" s="2860"/>
    </row>
    <row r="72" spans="4:5">
      <c r="D72" s="2860"/>
      <c r="E72" s="2860"/>
    </row>
    <row r="73" spans="4:5">
      <c r="D73" s="2860"/>
      <c r="E73" s="2860"/>
    </row>
    <row r="74" spans="4:5">
      <c r="D74" s="2860"/>
      <c r="E74" s="2860"/>
    </row>
    <row r="75" spans="4:5">
      <c r="D75" s="2860"/>
      <c r="E75" s="2860"/>
    </row>
    <row r="76" spans="4:5">
      <c r="D76" s="2860"/>
      <c r="E76" s="2860"/>
    </row>
    <row r="77" spans="4:5">
      <c r="D77" s="2860"/>
      <c r="E77" s="2860"/>
    </row>
    <row r="78" spans="4:5">
      <c r="D78" s="2860"/>
      <c r="E78" s="2860"/>
    </row>
    <row r="79" spans="4:5">
      <c r="D79" s="2860"/>
      <c r="E79" s="2860"/>
    </row>
    <row r="80" spans="4:5">
      <c r="D80" s="2860"/>
      <c r="E80" s="2860"/>
    </row>
    <row r="81" spans="4:5">
      <c r="D81" s="2860"/>
      <c r="E81" s="2860"/>
    </row>
    <row r="82" spans="4:5">
      <c r="D82" s="2860"/>
      <c r="E82" s="2860"/>
    </row>
    <row r="83" spans="4:5">
      <c r="D83" s="2860"/>
      <c r="E83" s="2860"/>
    </row>
    <row r="84" spans="4:5">
      <c r="D84" s="2860"/>
      <c r="E84" s="2860"/>
    </row>
    <row r="85" spans="4:5">
      <c r="D85" s="2860"/>
      <c r="E85" s="2860"/>
    </row>
    <row r="86" spans="4:5">
      <c r="D86" s="2860"/>
      <c r="E86" s="2860"/>
    </row>
    <row r="87" spans="4:5">
      <c r="D87" s="2860"/>
      <c r="E87" s="2860"/>
    </row>
    <row r="88" spans="4:5">
      <c r="D88" s="2860"/>
      <c r="E88" s="2860"/>
    </row>
    <row r="89" spans="4:5">
      <c r="D89" s="2860"/>
      <c r="E89" s="2860"/>
    </row>
    <row r="90" spans="4:5">
      <c r="D90" s="2860"/>
      <c r="E90" s="2860"/>
    </row>
    <row r="91" spans="4:5">
      <c r="D91" s="2860"/>
      <c r="E91" s="2860"/>
    </row>
    <row r="92" spans="4:5">
      <c r="D92" s="2860"/>
      <c r="E92" s="2860"/>
    </row>
    <row r="93" spans="4:5">
      <c r="D93" s="2860"/>
      <c r="E93" s="2860"/>
    </row>
    <row r="94" spans="4:5">
      <c r="D94" s="2860"/>
      <c r="E94" s="2860"/>
    </row>
    <row r="95" spans="4:5">
      <c r="D95" s="2860"/>
      <c r="E95" s="2860"/>
    </row>
    <row r="96" spans="4:5">
      <c r="D96" s="2860"/>
      <c r="E96" s="2860"/>
    </row>
    <row r="97" spans="4:5">
      <c r="D97" s="2860"/>
      <c r="E97" s="2860"/>
    </row>
    <row r="98" spans="4:5">
      <c r="D98" s="2860"/>
      <c r="E98" s="2860"/>
    </row>
    <row r="99" spans="4:5">
      <c r="D99" s="2860"/>
      <c r="E99" s="2860"/>
    </row>
    <row r="100" spans="4:5">
      <c r="D100" s="2860"/>
      <c r="E100" s="2860"/>
    </row>
    <row r="101" spans="4:5">
      <c r="D101" s="2860"/>
      <c r="E101" s="2860"/>
    </row>
    <row r="102" spans="4:5">
      <c r="D102" s="2860"/>
      <c r="E102" s="2860"/>
    </row>
    <row r="103" spans="4:5">
      <c r="D103" s="2860"/>
      <c r="E103" s="2860"/>
    </row>
    <row r="104" spans="4:5">
      <c r="D104" s="2860"/>
      <c r="E104" s="2860"/>
    </row>
    <row r="105" spans="4:5">
      <c r="D105" s="2860"/>
      <c r="E105" s="2860"/>
    </row>
    <row r="106" spans="4:5">
      <c r="D106" s="2860"/>
      <c r="E106" s="2860"/>
    </row>
    <row r="107" spans="4:5">
      <c r="D107" s="2860"/>
      <c r="E107" s="2860"/>
    </row>
    <row r="108" spans="4:5">
      <c r="D108" s="2860"/>
      <c r="E108" s="2860"/>
    </row>
    <row r="109" spans="4:5">
      <c r="D109" s="2860"/>
      <c r="E109" s="2860"/>
    </row>
    <row r="110" spans="4:5">
      <c r="D110" s="2860"/>
      <c r="E110" s="2860"/>
    </row>
    <row r="111" spans="4:5">
      <c r="D111" s="2860"/>
      <c r="E111" s="2860"/>
    </row>
    <row r="112" spans="4:5">
      <c r="D112" s="2860"/>
      <c r="E112" s="2860"/>
    </row>
    <row r="113" spans="4:5">
      <c r="D113" s="2860"/>
      <c r="E113" s="2860"/>
    </row>
    <row r="114" spans="4:5">
      <c r="D114" s="2860"/>
      <c r="E114" s="2860"/>
    </row>
    <row r="115" spans="4:5">
      <c r="D115" s="2860"/>
      <c r="E115" s="2860"/>
    </row>
    <row r="116" spans="4:5">
      <c r="D116" s="2860"/>
      <c r="E116" s="2860"/>
    </row>
    <row r="117" spans="4:5">
      <c r="D117" s="2860"/>
      <c r="E117" s="2860"/>
    </row>
    <row r="118" spans="4:5">
      <c r="D118" s="2860"/>
      <c r="E118" s="2860"/>
    </row>
    <row r="119" spans="4:5">
      <c r="D119" s="2860"/>
      <c r="E119" s="2860"/>
    </row>
    <row r="120" spans="4:5">
      <c r="D120" s="2860"/>
      <c r="E120" s="2860"/>
    </row>
    <row r="121" spans="4:5">
      <c r="D121" s="2860"/>
      <c r="E121" s="2860"/>
    </row>
    <row r="122" spans="4:5">
      <c r="D122" s="2860"/>
      <c r="E122" s="2860"/>
    </row>
    <row r="123" spans="4:5">
      <c r="D123" s="2860"/>
      <c r="E123" s="2860"/>
    </row>
    <row r="124" spans="4:5">
      <c r="D124" s="2860"/>
      <c r="E124" s="2860"/>
    </row>
    <row r="125" spans="4:5">
      <c r="D125" s="2860"/>
      <c r="E125" s="2860"/>
    </row>
    <row r="126" spans="4:5">
      <c r="D126" s="2860"/>
      <c r="E126" s="2860"/>
    </row>
    <row r="127" spans="4:5">
      <c r="D127" s="2860"/>
      <c r="E127" s="2860"/>
    </row>
    <row r="128" spans="4:5">
      <c r="D128" s="2860"/>
      <c r="E128" s="2860"/>
    </row>
    <row r="129" spans="4:5">
      <c r="D129" s="2860"/>
      <c r="E129" s="2860"/>
    </row>
    <row r="130" spans="4:5">
      <c r="D130" s="2860"/>
      <c r="E130" s="2860"/>
    </row>
    <row r="131" spans="4:5">
      <c r="D131" s="2860"/>
      <c r="E131" s="2860"/>
    </row>
    <row r="132" spans="4:5">
      <c r="D132" s="2860"/>
      <c r="E132" s="2860"/>
    </row>
    <row r="133" spans="4:5">
      <c r="D133" s="2860"/>
      <c r="E133" s="2860"/>
    </row>
    <row r="134" spans="4:5">
      <c r="D134" s="2860"/>
      <c r="E134" s="2860"/>
    </row>
    <row r="135" spans="4:5">
      <c r="D135" s="2860"/>
      <c r="E135" s="2860"/>
    </row>
    <row r="136" spans="4:5">
      <c r="D136" s="2860"/>
      <c r="E136" s="2860"/>
    </row>
    <row r="137" spans="4:5">
      <c r="D137" s="2860"/>
      <c r="E137" s="2860"/>
    </row>
    <row r="138" spans="4:5">
      <c r="D138" s="2860"/>
      <c r="E138" s="2860"/>
    </row>
    <row r="139" spans="4:5">
      <c r="D139" s="2860"/>
      <c r="E139" s="2860"/>
    </row>
    <row r="140" spans="4:5">
      <c r="D140" s="2860"/>
      <c r="E140" s="2860"/>
    </row>
    <row r="141" spans="4:5">
      <c r="D141" s="2860"/>
      <c r="E141" s="2860"/>
    </row>
    <row r="142" spans="4:5">
      <c r="D142" s="2860"/>
      <c r="E142" s="2860"/>
    </row>
    <row r="143" spans="4:5">
      <c r="D143" s="2860"/>
      <c r="E143" s="2860"/>
    </row>
    <row r="144" spans="4:5">
      <c r="D144" s="2860"/>
      <c r="E144" s="2860"/>
    </row>
    <row r="145" spans="4:5">
      <c r="D145" s="2860"/>
      <c r="E145" s="2860"/>
    </row>
    <row r="146" spans="4:5">
      <c r="D146" s="2860"/>
      <c r="E146" s="2860"/>
    </row>
    <row r="147" spans="4:5">
      <c r="D147" s="2860"/>
      <c r="E147" s="2860"/>
    </row>
    <row r="148" spans="4:5">
      <c r="D148" s="2860"/>
      <c r="E148" s="2860"/>
    </row>
    <row r="149" spans="4:5">
      <c r="D149" s="2860"/>
      <c r="E149" s="2860"/>
    </row>
    <row r="150" spans="4:5">
      <c r="D150" s="2860"/>
      <c r="E150" s="2860"/>
    </row>
    <row r="151" spans="4:5">
      <c r="D151" s="2860"/>
      <c r="E151" s="2860"/>
    </row>
    <row r="152" spans="4:5">
      <c r="D152" s="2860"/>
      <c r="E152" s="2860"/>
    </row>
    <row r="153" spans="4:5">
      <c r="D153" s="2860"/>
      <c r="E153" s="2860"/>
    </row>
    <row r="154" spans="4:5">
      <c r="D154" s="2860"/>
      <c r="E154" s="2860"/>
    </row>
    <row r="155" spans="4:5">
      <c r="D155" s="2860"/>
      <c r="E155" s="2860"/>
    </row>
    <row r="156" spans="4:5">
      <c r="D156" s="2860"/>
      <c r="E156" s="2860"/>
    </row>
    <row r="157" spans="4:5">
      <c r="D157" s="2860"/>
      <c r="E157" s="2860"/>
    </row>
    <row r="158" spans="4:5">
      <c r="D158" s="2860"/>
      <c r="E158" s="2860"/>
    </row>
    <row r="159" spans="4:5">
      <c r="D159" s="2860"/>
      <c r="E159" s="2860"/>
    </row>
    <row r="160" spans="4:5">
      <c r="D160" s="2860"/>
      <c r="E160" s="2860"/>
    </row>
    <row r="161" spans="4:5">
      <c r="D161" s="2860"/>
      <c r="E161" s="2860"/>
    </row>
    <row r="162" spans="4:5">
      <c r="D162" s="2860"/>
      <c r="E162" s="2860"/>
    </row>
    <row r="163" spans="4:5">
      <c r="D163" s="2860"/>
      <c r="E163" s="2860"/>
    </row>
    <row r="164" spans="4:5">
      <c r="D164" s="2860"/>
      <c r="E164" s="2860"/>
    </row>
    <row r="165" spans="4:5">
      <c r="D165" s="2860"/>
      <c r="E165" s="2860"/>
    </row>
    <row r="166" spans="4:5">
      <c r="D166" s="2860"/>
      <c r="E166" s="2860"/>
    </row>
    <row r="167" spans="4:5">
      <c r="D167" s="2860"/>
      <c r="E167" s="2860"/>
    </row>
    <row r="168" spans="4:5">
      <c r="D168" s="2860"/>
      <c r="E168" s="2860"/>
    </row>
    <row r="169" spans="4:5">
      <c r="D169" s="2860"/>
      <c r="E169" s="2860"/>
    </row>
    <row r="170" spans="4:5">
      <c r="D170" s="2860"/>
      <c r="E170" s="2860"/>
    </row>
    <row r="171" spans="4:5">
      <c r="D171" s="2860"/>
      <c r="E171" s="2860"/>
    </row>
    <row r="172" spans="4:5">
      <c r="D172" s="2860"/>
      <c r="E172" s="2860"/>
    </row>
    <row r="173" spans="4:5">
      <c r="D173" s="2860"/>
      <c r="E173" s="2860"/>
    </row>
    <row r="174" spans="4:5">
      <c r="D174" s="2860"/>
      <c r="E174" s="2860"/>
    </row>
    <row r="175" spans="4:5">
      <c r="D175" s="2860"/>
      <c r="E175" s="2860"/>
    </row>
    <row r="176" spans="4:5">
      <c r="D176" s="2860"/>
      <c r="E176" s="2860"/>
    </row>
    <row r="177" spans="4:5">
      <c r="D177" s="2860"/>
      <c r="E177" s="2860"/>
    </row>
    <row r="178" spans="4:5">
      <c r="D178" s="2860"/>
      <c r="E178" s="2860"/>
    </row>
    <row r="179" spans="4:5">
      <c r="D179" s="2860"/>
      <c r="E179" s="2860"/>
    </row>
    <row r="180" spans="4:5">
      <c r="D180" s="2860"/>
      <c r="E180" s="2860"/>
    </row>
    <row r="181" spans="4:5">
      <c r="D181" s="2860"/>
      <c r="E181" s="2860"/>
    </row>
    <row r="182" spans="4:5">
      <c r="D182" s="2860"/>
      <c r="E182" s="2860"/>
    </row>
    <row r="183" spans="4:5">
      <c r="D183" s="2860"/>
      <c r="E183" s="2860"/>
    </row>
    <row r="184" spans="4:5">
      <c r="D184" s="2860"/>
      <c r="E184" s="2860"/>
    </row>
    <row r="185" spans="4:5">
      <c r="D185" s="2860"/>
      <c r="E185" s="2860"/>
    </row>
    <row r="186" spans="4:5">
      <c r="D186" s="2860"/>
      <c r="E186" s="2860"/>
    </row>
    <row r="187" spans="4:5">
      <c r="D187" s="2860"/>
      <c r="E187" s="2860"/>
    </row>
    <row r="188" spans="4:5">
      <c r="D188" s="2860"/>
      <c r="E188" s="2860"/>
    </row>
    <row r="189" spans="4:5">
      <c r="D189" s="2860"/>
      <c r="E189" s="2860"/>
    </row>
    <row r="190" spans="4:5">
      <c r="D190" s="2860"/>
      <c r="E190" s="2860"/>
    </row>
    <row r="191" spans="4:5">
      <c r="D191" s="2860"/>
      <c r="E191" s="2860"/>
    </row>
    <row r="192" spans="4:5">
      <c r="D192" s="2860"/>
      <c r="E192" s="2860"/>
    </row>
    <row r="193" spans="4:5">
      <c r="D193" s="2860"/>
      <c r="E193" s="2860"/>
    </row>
    <row r="194" spans="4:5">
      <c r="D194" s="2860"/>
      <c r="E194" s="2860"/>
    </row>
    <row r="195" spans="4:5">
      <c r="D195" s="2860"/>
      <c r="E195" s="2860"/>
    </row>
    <row r="196" spans="4:5">
      <c r="D196" s="2860"/>
      <c r="E196" s="2860"/>
    </row>
    <row r="197" spans="4:5">
      <c r="D197" s="2860"/>
      <c r="E197" s="2860"/>
    </row>
    <row r="198" spans="4:5">
      <c r="D198" s="2860"/>
      <c r="E198" s="2860"/>
    </row>
    <row r="199" spans="4:5">
      <c r="D199" s="2860"/>
      <c r="E199" s="2860"/>
    </row>
    <row r="200" spans="4:5">
      <c r="D200" s="2860"/>
      <c r="E200" s="2860"/>
    </row>
    <row r="201" spans="4:5">
      <c r="D201" s="2860"/>
      <c r="E201" s="2860"/>
    </row>
    <row r="202" spans="4:5">
      <c r="D202" s="2860"/>
      <c r="E202" s="2860"/>
    </row>
  </sheetData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10"/>
  <sheetViews>
    <sheetView workbookViewId="0"/>
  </sheetViews>
  <sheetFormatPr defaultRowHeight="15"/>
  <cols>
    <col min="1" max="1" width="19" bestFit="1" customWidth="1"/>
    <col min="2" max="2" width="12.140625" bestFit="1" customWidth="1"/>
    <col min="3" max="3" width="7.5703125" bestFit="1" customWidth="1"/>
    <col min="4" max="4" width="19" bestFit="1" customWidth="1"/>
    <col min="5" max="5" width="16.42578125" bestFit="1" customWidth="1"/>
  </cols>
  <sheetData>
    <row r="1" spans="1:5">
      <c r="A1" s="2861" t="s">
        <v>10</v>
      </c>
      <c r="B1" s="2860" t="s">
        <v>2502</v>
      </c>
    </row>
    <row r="3" spans="1:5">
      <c r="B3" s="2861" t="s">
        <v>742</v>
      </c>
    </row>
    <row r="4" spans="1:5" ht="75">
      <c r="A4" s="2057" t="s">
        <v>739</v>
      </c>
      <c r="B4" s="2798" t="s">
        <v>1191</v>
      </c>
      <c r="C4" s="2798" t="s">
        <v>744</v>
      </c>
      <c r="D4" s="2798" t="s">
        <v>1428</v>
      </c>
      <c r="E4" s="2798" t="s">
        <v>6216</v>
      </c>
    </row>
    <row r="5" spans="1:5">
      <c r="A5" s="2058" t="s">
        <v>251</v>
      </c>
      <c r="B5" s="2059">
        <v>504</v>
      </c>
      <c r="C5" s="2059">
        <v>258</v>
      </c>
      <c r="D5" s="2060">
        <v>6974920479.999999</v>
      </c>
      <c r="E5" s="2060">
        <v>11446617</v>
      </c>
    </row>
    <row r="6" spans="1:5">
      <c r="A6" s="2058" t="s">
        <v>112</v>
      </c>
      <c r="B6" s="2059">
        <v>286</v>
      </c>
      <c r="C6" s="2059">
        <v>183</v>
      </c>
      <c r="D6" s="2060">
        <v>226287791.37</v>
      </c>
      <c r="E6" s="2060">
        <v>8127669</v>
      </c>
    </row>
    <row r="7" spans="1:5">
      <c r="A7" s="2058" t="s">
        <v>216</v>
      </c>
      <c r="B7" s="2059">
        <v>77</v>
      </c>
      <c r="C7" s="2059">
        <v>48</v>
      </c>
      <c r="D7" s="2060">
        <v>385488771</v>
      </c>
      <c r="E7" s="2060">
        <v>2131184</v>
      </c>
    </row>
    <row r="8" spans="1:5">
      <c r="A8" s="2058" t="s">
        <v>9690</v>
      </c>
      <c r="B8" s="2059"/>
      <c r="C8" s="2059"/>
      <c r="D8" s="2060"/>
      <c r="E8" s="2060"/>
    </row>
    <row r="9" spans="1:5">
      <c r="A9" s="2058" t="s">
        <v>645</v>
      </c>
      <c r="B9" s="2059">
        <v>1</v>
      </c>
      <c r="C9" s="2059"/>
      <c r="D9" s="2060">
        <v>32332000</v>
      </c>
      <c r="E9" s="2060"/>
    </row>
    <row r="10" spans="1:5">
      <c r="A10" s="2058" t="s">
        <v>740</v>
      </c>
      <c r="B10" s="2059">
        <v>868</v>
      </c>
      <c r="C10" s="2059">
        <v>489</v>
      </c>
      <c r="D10" s="2060">
        <v>7619029042.3699999</v>
      </c>
      <c r="E10" s="2060">
        <v>21705470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E65B8-A756-44AB-8FB9-2AC896DC7164}">
  <dimension ref="A1:M18"/>
  <sheetViews>
    <sheetView zoomScale="90" zoomScaleNormal="90" workbookViewId="0">
      <selection activeCell="J4" sqref="J4"/>
    </sheetView>
  </sheetViews>
  <sheetFormatPr defaultRowHeight="15"/>
  <cols>
    <col min="1" max="1" width="12.28515625" customWidth="1"/>
    <col min="2" max="2" width="16" customWidth="1"/>
    <col min="3" max="3" width="16" style="2860" customWidth="1"/>
    <col min="4" max="4" width="10.85546875" customWidth="1"/>
    <col min="5" max="5" width="20.140625" bestFit="1" customWidth="1"/>
    <col min="6" max="7" width="18.85546875" bestFit="1" customWidth="1"/>
    <col min="8" max="8" width="19.28515625" customWidth="1"/>
    <col min="9" max="10" width="16.5703125" bestFit="1" customWidth="1"/>
    <col min="11" max="11" width="9" bestFit="1" customWidth="1"/>
    <col min="12" max="12" width="13.28515625" customWidth="1"/>
    <col min="13" max="13" width="19.28515625" customWidth="1"/>
  </cols>
  <sheetData>
    <row r="1" spans="1:13" ht="29.25" thickTop="1">
      <c r="A1" s="3436">
        <v>2022</v>
      </c>
      <c r="B1" s="3437"/>
      <c r="C1" s="3437"/>
      <c r="D1" s="3437"/>
      <c r="E1" s="3437"/>
      <c r="F1" s="3437"/>
      <c r="G1" s="3437"/>
      <c r="H1" s="3437"/>
      <c r="I1" s="3437"/>
      <c r="J1" s="3437"/>
      <c r="K1" s="3437"/>
      <c r="L1" s="3437"/>
      <c r="M1" s="3438"/>
    </row>
    <row r="2" spans="1:13" ht="100.5" customHeight="1">
      <c r="A2" s="2061" t="s">
        <v>9095</v>
      </c>
      <c r="B2" s="2062" t="s">
        <v>2033</v>
      </c>
      <c r="C2" s="2062" t="s">
        <v>16396</v>
      </c>
      <c r="D2" s="2062" t="s">
        <v>1495</v>
      </c>
      <c r="E2" s="2063" t="s">
        <v>2616</v>
      </c>
      <c r="F2" s="2063" t="s">
        <v>3018</v>
      </c>
      <c r="G2" s="2063" t="s">
        <v>2617</v>
      </c>
      <c r="H2" s="2063" t="s">
        <v>3326</v>
      </c>
      <c r="I2" s="2064" t="s">
        <v>3327</v>
      </c>
      <c r="J2" s="2064" t="s">
        <v>5969</v>
      </c>
      <c r="K2" s="2064"/>
      <c r="L2" s="2064"/>
      <c r="M2" s="2065"/>
    </row>
    <row r="3" spans="1:13">
      <c r="A3" s="2066" t="s">
        <v>251</v>
      </c>
      <c r="B3" s="2067">
        <v>289</v>
      </c>
      <c r="C3" s="2067">
        <v>570</v>
      </c>
      <c r="D3" s="2067">
        <v>330</v>
      </c>
      <c r="E3" s="2068">
        <v>8025904708.4099998</v>
      </c>
      <c r="F3" s="2068">
        <v>4252480707.0799999</v>
      </c>
      <c r="G3" s="2068">
        <v>4142301169.8000002</v>
      </c>
      <c r="H3" s="2068">
        <f>F3-G3</f>
        <v>110179537.27999973</v>
      </c>
      <c r="I3" s="2069">
        <f>100-(G3/F3*100)</f>
        <v>2.5909473756473744</v>
      </c>
      <c r="J3" s="2069">
        <f>D3/C3*100</f>
        <v>57.894736842105267</v>
      </c>
      <c r="K3" s="2067"/>
      <c r="L3" s="2067"/>
      <c r="M3" s="2070"/>
    </row>
    <row r="4" spans="1:13">
      <c r="A4" s="2066" t="s">
        <v>112</v>
      </c>
      <c r="B4" s="2067">
        <v>183</v>
      </c>
      <c r="C4" s="2067">
        <v>207</v>
      </c>
      <c r="D4" s="2067">
        <v>159</v>
      </c>
      <c r="E4" s="2068">
        <v>170826201.40000001</v>
      </c>
      <c r="F4" s="2068">
        <v>124752529</v>
      </c>
      <c r="G4" s="2068">
        <v>119530345.56999999</v>
      </c>
      <c r="H4" s="2068">
        <f>F4-G4</f>
        <v>5222183.4300000072</v>
      </c>
      <c r="I4" s="2069">
        <f t="shared" ref="I4:I8" si="0">100-(G4/F4*100)</f>
        <v>4.1860341203984746</v>
      </c>
      <c r="J4" s="2069">
        <f t="shared" ref="J4:J7" si="1">D4/C4*100</f>
        <v>76.811594202898547</v>
      </c>
      <c r="K4" s="2067"/>
      <c r="L4" s="2067"/>
      <c r="M4" s="2070"/>
    </row>
    <row r="5" spans="1:13">
      <c r="A5" s="2066" t="s">
        <v>216</v>
      </c>
      <c r="B5" s="2067">
        <v>40</v>
      </c>
      <c r="C5" s="2067">
        <v>65</v>
      </c>
      <c r="D5" s="2067"/>
      <c r="E5" s="2068"/>
      <c r="F5" s="2068"/>
      <c r="G5" s="2068"/>
      <c r="H5" s="2068">
        <f>F5-G5</f>
        <v>0</v>
      </c>
      <c r="I5" s="2069" t="e">
        <f t="shared" si="0"/>
        <v>#DIV/0!</v>
      </c>
      <c r="J5" s="2069">
        <f t="shared" si="1"/>
        <v>0</v>
      </c>
      <c r="K5" s="2067"/>
      <c r="L5" s="2067"/>
      <c r="M5" s="2070"/>
    </row>
    <row r="6" spans="1:13">
      <c r="A6" s="1968" t="s">
        <v>645</v>
      </c>
      <c r="B6" s="1969">
        <v>1</v>
      </c>
      <c r="C6" s="1969">
        <v>1</v>
      </c>
      <c r="D6" s="1969"/>
      <c r="E6" s="2427"/>
      <c r="F6" s="2427"/>
      <c r="G6" s="2427"/>
      <c r="H6" s="2427">
        <f>F6-G6</f>
        <v>0</v>
      </c>
      <c r="I6" s="1972" t="e">
        <f t="shared" si="0"/>
        <v>#DIV/0!</v>
      </c>
      <c r="J6" s="2069">
        <f t="shared" si="1"/>
        <v>0</v>
      </c>
      <c r="K6" s="1969"/>
      <c r="L6" s="1969"/>
      <c r="M6" s="2428"/>
    </row>
    <row r="7" spans="1:13">
      <c r="A7" s="1968" t="s">
        <v>235</v>
      </c>
      <c r="B7" s="1969">
        <v>1</v>
      </c>
      <c r="C7" s="1969">
        <v>1</v>
      </c>
      <c r="D7" s="1969"/>
      <c r="E7" s="2427"/>
      <c r="F7" s="2427"/>
      <c r="G7" s="2427"/>
      <c r="H7" s="2427">
        <f>F7-G7</f>
        <v>0</v>
      </c>
      <c r="I7" s="1972" t="e">
        <f t="shared" si="0"/>
        <v>#DIV/0!</v>
      </c>
      <c r="J7" s="2069">
        <f t="shared" si="1"/>
        <v>0</v>
      </c>
      <c r="K7" s="1969"/>
      <c r="L7" s="1969"/>
      <c r="M7" s="2428"/>
    </row>
    <row r="8" spans="1:13" ht="15.75" thickBot="1">
      <c r="A8" s="2071" t="s">
        <v>740</v>
      </c>
      <c r="B8" s="2096">
        <f>SUM(B3:B7)</f>
        <v>514</v>
      </c>
      <c r="C8" s="2096">
        <f>SUM(C3:C7)</f>
        <v>844</v>
      </c>
      <c r="D8" s="2096">
        <f t="shared" ref="D8:H8" si="2">SUM(D3:D7)</f>
        <v>489</v>
      </c>
      <c r="E8" s="2097">
        <f t="shared" si="2"/>
        <v>8196730909.8099995</v>
      </c>
      <c r="F8" s="2097">
        <f t="shared" si="2"/>
        <v>4377233236.0799999</v>
      </c>
      <c r="G8" s="2097">
        <f t="shared" si="2"/>
        <v>4261831515.3700004</v>
      </c>
      <c r="H8" s="2097">
        <f t="shared" si="2"/>
        <v>115401720.70999974</v>
      </c>
      <c r="I8" s="2098">
        <f t="shared" si="0"/>
        <v>2.636407851397621</v>
      </c>
      <c r="J8" s="2098">
        <f t="shared" ref="J8" si="3">D8/B8*100</f>
        <v>95.136186770428012</v>
      </c>
      <c r="K8" s="2096"/>
      <c r="L8" s="2096"/>
      <c r="M8" s="2099"/>
    </row>
    <row r="9" spans="1:13" ht="16.5" thickTop="1" thickBot="1">
      <c r="A9" s="1229"/>
      <c r="B9" s="3"/>
      <c r="C9" s="3"/>
      <c r="D9" s="3"/>
      <c r="E9" s="1226"/>
      <c r="F9" s="1226"/>
      <c r="G9" s="1226"/>
      <c r="H9" s="1229"/>
      <c r="I9" s="1227"/>
      <c r="J9" s="1229"/>
      <c r="K9" s="3"/>
      <c r="L9" s="3"/>
      <c r="M9" s="3"/>
    </row>
    <row r="10" spans="1:13" ht="29.25" thickTop="1">
      <c r="A10" s="3436">
        <v>2023</v>
      </c>
      <c r="B10" s="3437"/>
      <c r="C10" s="3437"/>
      <c r="D10" s="3437"/>
      <c r="E10" s="3437"/>
      <c r="F10" s="3437"/>
      <c r="G10" s="3437"/>
      <c r="H10" s="3437"/>
      <c r="I10" s="3437"/>
      <c r="J10" s="3437"/>
      <c r="K10" s="3437"/>
      <c r="L10" s="3437"/>
      <c r="M10" s="3438"/>
    </row>
    <row r="11" spans="1:13" ht="99" customHeight="1">
      <c r="A11" s="2061" t="s">
        <v>9095</v>
      </c>
      <c r="B11" s="2062" t="s">
        <v>2033</v>
      </c>
      <c r="C11" s="2062"/>
      <c r="D11" s="2062" t="s">
        <v>1495</v>
      </c>
      <c r="E11" s="2063" t="s">
        <v>2616</v>
      </c>
      <c r="F11" s="2063" t="s">
        <v>3018</v>
      </c>
      <c r="G11" s="2063" t="s">
        <v>2617</v>
      </c>
      <c r="H11" s="2063" t="s">
        <v>3326</v>
      </c>
      <c r="I11" s="2064" t="s">
        <v>3327</v>
      </c>
      <c r="J11" s="2064" t="s">
        <v>5969</v>
      </c>
      <c r="K11" s="2064" t="s">
        <v>2620</v>
      </c>
      <c r="L11" s="2064" t="s">
        <v>2621</v>
      </c>
      <c r="M11" s="2065" t="s">
        <v>10543</v>
      </c>
    </row>
    <row r="12" spans="1:13">
      <c r="A12" s="2066" t="s">
        <v>251</v>
      </c>
      <c r="B12" s="2952">
        <f>GETPIVOTDATA("Počet z Předpokládaná hodnota VZ bez DPH",'Přehled 2023'!$A$3,"Druh VZ","OŘ")</f>
        <v>618</v>
      </c>
      <c r="C12" s="2952"/>
      <c r="D12" s="2952">
        <f>GETPIVOTDATA("Počet z Smlouva podepsána",'Přehled 2023'!$A$3,"Druh VZ","OŘ")</f>
        <v>470</v>
      </c>
      <c r="E12" s="2953">
        <f>GETPIVOTDATA("Součet z Předpokládaná hodnota VZ bez DPH",'Přehled 2023'!$A$3,"Druh VZ","OŘ")</f>
        <v>11909867122.950001</v>
      </c>
      <c r="F12" s="2953">
        <f>GETPIVOTDATA("Součet z Předpokládaná hodnota VZ bez DPH",'Úspory 2023'!$A$3,"Druh VZ","OŘ")</f>
        <v>6843806867.5500002</v>
      </c>
      <c r="G12" s="2953">
        <f>GETPIVOTDATA("Součet z Vítězná cena bez DPH",'Úspory 2023'!$A$3,"Druh VZ","OŘ")</f>
        <v>6343671068.3400002</v>
      </c>
      <c r="H12" s="2953">
        <f>F12-G12</f>
        <v>500135799.21000004</v>
      </c>
      <c r="I12" s="2954">
        <f>100-(G12/F12*100)</f>
        <v>7.3078596297245042</v>
      </c>
      <c r="J12" s="2954">
        <f t="shared" ref="J12:J17" si="4">D12/B12*100</f>
        <v>76.051779935275079</v>
      </c>
      <c r="K12" s="2952">
        <f>B12-B3</f>
        <v>329</v>
      </c>
      <c r="L12" s="2952">
        <f t="shared" ref="L12:L16" si="5">D12-D3</f>
        <v>140</v>
      </c>
      <c r="M12" s="2955">
        <f>G12-G3</f>
        <v>2201369898.54</v>
      </c>
    </row>
    <row r="13" spans="1:13">
      <c r="A13" s="2066" t="s">
        <v>112</v>
      </c>
      <c r="B13" s="2952">
        <f>GETPIVOTDATA("Počet z Předpokládaná hodnota VZ bez DPH",'Přehled 2023'!$A$3,"Druh VZ","VZMR")</f>
        <v>235</v>
      </c>
      <c r="C13" s="2952"/>
      <c r="D13" s="2952">
        <f>GETPIVOTDATA("Počet z Smlouva podepsána",'Přehled 2023'!$A$3,"Druh VZ","VZMR")</f>
        <v>212</v>
      </c>
      <c r="E13" s="2953">
        <f>GETPIVOTDATA("Součet z Předpokládaná hodnota VZ bez DPH",'Přehled 2023'!$A$3,"Druh VZ","VZMR")</f>
        <v>216583954.41</v>
      </c>
      <c r="F13" s="2953">
        <f>GETPIVOTDATA("Součet z Předpokládaná hodnota VZ bez DPH",'Úspory 2023'!$A$3,"Druh VZ","VZMR")</f>
        <v>196899316.41</v>
      </c>
      <c r="G13" s="2953">
        <f>GETPIVOTDATA("Součet z Vítězná cena bez DPH",'Úspory 2023'!$A$3,"Druh VZ","VZMR")</f>
        <v>178481165.09999999</v>
      </c>
      <c r="H13" s="2953">
        <f>F13-G13</f>
        <v>18418151.310000002</v>
      </c>
      <c r="I13" s="2954">
        <f t="shared" ref="I13:I17" si="6">100-(G13/F13*100)</f>
        <v>9.354096116640747</v>
      </c>
      <c r="J13" s="2954">
        <f t="shared" si="4"/>
        <v>90.212765957446805</v>
      </c>
      <c r="K13" s="2952">
        <f>B13-B4</f>
        <v>52</v>
      </c>
      <c r="L13" s="2952">
        <f t="shared" si="5"/>
        <v>53</v>
      </c>
      <c r="M13" s="2955">
        <f>G13-G4</f>
        <v>58950819.530000001</v>
      </c>
    </row>
    <row r="14" spans="1:13">
      <c r="A14" s="2066" t="s">
        <v>216</v>
      </c>
      <c r="B14" s="2952">
        <f>GETPIVOTDATA("Počet z Předpokládaná hodnota VZ bez DPH",'Přehled 2023'!$A$3,"Druh VZ","ZPŘ")</f>
        <v>58</v>
      </c>
      <c r="C14" s="2952"/>
      <c r="D14" s="2952">
        <f>GETPIVOTDATA("Počet z Smlouva podepsána",'Přehled 2023'!$A$3,"Druh VZ","ZPŘ")</f>
        <v>48</v>
      </c>
      <c r="E14" s="2953">
        <f>GETPIVOTDATA("Součet z Předpokládaná hodnota VZ bez DPH",'Přehled 2023'!$A$3,"Druh VZ","ZPŘ")</f>
        <v>206329311</v>
      </c>
      <c r="F14" s="2953">
        <f>GETPIVOTDATA("Součet z Předpokládaná hodnota VZ bez DPH",'Úspory 2023'!$A$3,"Druh VZ","ZPŘ")</f>
        <v>189562706</v>
      </c>
      <c r="G14" s="2953">
        <f>GETPIVOTDATA("Součet z Vítězná cena bez DPH",'Úspory 2023'!$A$3,"Druh VZ","ZPŘ")</f>
        <v>149696666.44999996</v>
      </c>
      <c r="H14" s="2953">
        <f>F14-G14</f>
        <v>39866039.550000042</v>
      </c>
      <c r="I14" s="2954">
        <f t="shared" si="6"/>
        <v>21.030528837249264</v>
      </c>
      <c r="J14" s="2954">
        <f t="shared" si="4"/>
        <v>82.758620689655174</v>
      </c>
      <c r="K14" s="2952">
        <f>B14-B5</f>
        <v>18</v>
      </c>
      <c r="L14" s="2952">
        <f t="shared" si="5"/>
        <v>48</v>
      </c>
      <c r="M14" s="2955">
        <f>G14-G5</f>
        <v>149696666.44999996</v>
      </c>
    </row>
    <row r="15" spans="1:13">
      <c r="A15" s="1968" t="s">
        <v>645</v>
      </c>
      <c r="B15" s="2956"/>
      <c r="C15" s="2956"/>
      <c r="D15" s="2956"/>
      <c r="E15" s="2957"/>
      <c r="F15" s="2957"/>
      <c r="G15" s="2957"/>
      <c r="H15" s="2957">
        <f>F15-G15</f>
        <v>0</v>
      </c>
      <c r="I15" s="2958" t="e">
        <f t="shared" si="6"/>
        <v>#DIV/0!</v>
      </c>
      <c r="J15" s="2958" t="e">
        <f t="shared" si="4"/>
        <v>#DIV/0!</v>
      </c>
      <c r="K15" s="2956">
        <f>B15-B6</f>
        <v>-1</v>
      </c>
      <c r="L15" s="2956">
        <f t="shared" si="5"/>
        <v>0</v>
      </c>
      <c r="M15" s="2959">
        <f>G15-G6</f>
        <v>0</v>
      </c>
    </row>
    <row r="16" spans="1:13">
      <c r="A16" s="1968" t="s">
        <v>235</v>
      </c>
      <c r="B16" s="2956"/>
      <c r="C16" s="2956"/>
      <c r="D16" s="2956"/>
      <c r="E16" s="2957"/>
      <c r="F16" s="2957"/>
      <c r="G16" s="2957"/>
      <c r="H16" s="2957">
        <f>F16-G16</f>
        <v>0</v>
      </c>
      <c r="I16" s="2958" t="e">
        <f t="shared" si="6"/>
        <v>#DIV/0!</v>
      </c>
      <c r="J16" s="2958" t="e">
        <f t="shared" si="4"/>
        <v>#DIV/0!</v>
      </c>
      <c r="K16" s="2956">
        <f>B16-B7</f>
        <v>-1</v>
      </c>
      <c r="L16" s="2956">
        <f t="shared" si="5"/>
        <v>0</v>
      </c>
      <c r="M16" s="2959">
        <f>G16-G7</f>
        <v>0</v>
      </c>
    </row>
    <row r="17" spans="1:13" ht="15.75" thickBot="1">
      <c r="A17" s="2071" t="s">
        <v>740</v>
      </c>
      <c r="B17" s="2096">
        <f t="shared" ref="B17:H17" si="7">SUM(B12:B16)</f>
        <v>911</v>
      </c>
      <c r="C17" s="2096"/>
      <c r="D17" s="2096">
        <f t="shared" si="7"/>
        <v>730</v>
      </c>
      <c r="E17" s="2097">
        <f t="shared" si="7"/>
        <v>12332780388.360001</v>
      </c>
      <c r="F17" s="2097">
        <f t="shared" si="7"/>
        <v>7230268889.96</v>
      </c>
      <c r="G17" s="2097">
        <f t="shared" si="7"/>
        <v>6671848899.8900003</v>
      </c>
      <c r="H17" s="2097">
        <f t="shared" si="7"/>
        <v>558419990.07000005</v>
      </c>
      <c r="I17" s="2098">
        <f t="shared" si="6"/>
        <v>7.7233640763405873</v>
      </c>
      <c r="J17" s="2098">
        <f t="shared" si="4"/>
        <v>80.131723380900112</v>
      </c>
      <c r="K17" s="2096">
        <f>SUM(K12:K16)</f>
        <v>397</v>
      </c>
      <c r="L17" s="2096">
        <f>SUM(L12:L16)</f>
        <v>241</v>
      </c>
      <c r="M17" s="2099">
        <f>SUM(M12:M16)</f>
        <v>2410017384.52</v>
      </c>
    </row>
    <row r="18" spans="1:13" ht="15.75" thickTop="1"/>
  </sheetData>
  <mergeCells count="2">
    <mergeCell ref="A1:M1"/>
    <mergeCell ref="A10:M10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107"/>
  <sheetViews>
    <sheetView workbookViewId="0">
      <selection activeCell="I34" sqref="I34"/>
    </sheetView>
  </sheetViews>
  <sheetFormatPr defaultRowHeight="15"/>
  <cols>
    <col min="1" max="1" width="19" style="2860" bestFit="1" customWidth="1"/>
    <col min="2" max="2" width="41.28515625" style="2864" bestFit="1" customWidth="1"/>
    <col min="3" max="3" width="28.28515625" style="2864" bestFit="1" customWidth="1"/>
    <col min="4" max="16384" width="9.140625" style="2860"/>
  </cols>
  <sheetData>
    <row r="1" spans="1:3">
      <c r="A1" s="2861" t="s">
        <v>10</v>
      </c>
      <c r="B1" s="2864" t="s">
        <v>745</v>
      </c>
    </row>
    <row r="3" spans="1:3">
      <c r="A3"/>
      <c r="B3" s="1217" t="s">
        <v>742</v>
      </c>
    </row>
    <row r="4" spans="1:3">
      <c r="A4" s="2861" t="s">
        <v>739</v>
      </c>
      <c r="B4" s="2864" t="s">
        <v>741</v>
      </c>
      <c r="C4" s="2864" t="s">
        <v>743</v>
      </c>
    </row>
    <row r="5" spans="1:3">
      <c r="A5" s="2862" t="s">
        <v>251</v>
      </c>
      <c r="B5" s="2864">
        <v>3525254994.71</v>
      </c>
      <c r="C5" s="2864">
        <v>3378810833.3299994</v>
      </c>
    </row>
    <row r="6" spans="1:3">
      <c r="A6" s="2862" t="s">
        <v>112</v>
      </c>
      <c r="B6" s="2864">
        <v>161815407.13999999</v>
      </c>
      <c r="C6" s="2864">
        <v>150148009.99999997</v>
      </c>
    </row>
    <row r="7" spans="1:3">
      <c r="A7" s="2862" t="s">
        <v>216</v>
      </c>
      <c r="B7" s="2864">
        <v>96882992</v>
      </c>
      <c r="C7" s="2864">
        <v>94716474.089999989</v>
      </c>
    </row>
    <row r="8" spans="1:3">
      <c r="A8" s="2862" t="s">
        <v>6651</v>
      </c>
      <c r="B8" s="2864">
        <v>4603306</v>
      </c>
      <c r="C8" s="2864">
        <v>4569000</v>
      </c>
    </row>
    <row r="9" spans="1:3">
      <c r="A9" s="2862" t="s">
        <v>740</v>
      </c>
      <c r="B9" s="2864">
        <v>3788556699.8499999</v>
      </c>
      <c r="C9" s="2864">
        <v>3628244317.4199996</v>
      </c>
    </row>
    <row r="10" spans="1:3">
      <c r="B10" s="2860"/>
      <c r="C10" s="2860"/>
    </row>
    <row r="11" spans="1:3">
      <c r="B11" s="2860"/>
      <c r="C11" s="2860"/>
    </row>
    <row r="12" spans="1:3">
      <c r="B12" s="2860"/>
      <c r="C12" s="2860"/>
    </row>
    <row r="13" spans="1:3">
      <c r="B13" s="2860"/>
      <c r="C13" s="2860"/>
    </row>
    <row r="14" spans="1:3">
      <c r="B14" s="2860"/>
      <c r="C14" s="2860"/>
    </row>
    <row r="15" spans="1:3">
      <c r="B15" s="2860"/>
      <c r="C15" s="2860"/>
    </row>
    <row r="16" spans="1:3">
      <c r="B16" s="2860"/>
      <c r="C16" s="2860"/>
    </row>
    <row r="17" spans="2:3">
      <c r="B17" s="2860"/>
      <c r="C17" s="2860"/>
    </row>
    <row r="18" spans="2:3">
      <c r="B18" s="2860"/>
      <c r="C18" s="2860"/>
    </row>
    <row r="19" spans="2:3">
      <c r="B19" s="2860"/>
      <c r="C19" s="2860"/>
    </row>
    <row r="20" spans="2:3">
      <c r="B20" s="2860"/>
      <c r="C20" s="2860"/>
    </row>
    <row r="21" spans="2:3">
      <c r="B21" s="2860"/>
      <c r="C21" s="2860"/>
    </row>
    <row r="22" spans="2:3">
      <c r="B22" s="2860"/>
      <c r="C22" s="2860"/>
    </row>
    <row r="23" spans="2:3">
      <c r="B23" s="2860"/>
      <c r="C23" s="2860"/>
    </row>
    <row r="24" spans="2:3">
      <c r="B24" s="2860"/>
      <c r="C24" s="2860"/>
    </row>
    <row r="25" spans="2:3">
      <c r="B25" s="2860"/>
      <c r="C25" s="2860"/>
    </row>
    <row r="26" spans="2:3">
      <c r="B26" s="2860"/>
      <c r="C26" s="2860"/>
    </row>
    <row r="27" spans="2:3">
      <c r="B27" s="2860"/>
      <c r="C27" s="2860"/>
    </row>
    <row r="28" spans="2:3">
      <c r="B28" s="2860"/>
      <c r="C28" s="2860"/>
    </row>
    <row r="29" spans="2:3">
      <c r="B29" s="2860"/>
      <c r="C29" s="2860"/>
    </row>
    <row r="30" spans="2:3">
      <c r="B30" s="2860"/>
      <c r="C30" s="2860"/>
    </row>
    <row r="31" spans="2:3">
      <c r="B31" s="2860"/>
      <c r="C31" s="2860"/>
    </row>
    <row r="32" spans="2:3">
      <c r="B32" s="2860"/>
      <c r="C32" s="2860"/>
    </row>
    <row r="33" spans="2:3">
      <c r="B33" s="2860"/>
      <c r="C33" s="2860"/>
    </row>
    <row r="34" spans="2:3">
      <c r="B34" s="2860"/>
      <c r="C34" s="2860"/>
    </row>
    <row r="35" spans="2:3">
      <c r="B35" s="2860"/>
      <c r="C35" s="2860"/>
    </row>
    <row r="36" spans="2:3">
      <c r="B36" s="2860"/>
      <c r="C36" s="2860"/>
    </row>
    <row r="37" spans="2:3">
      <c r="B37" s="2860"/>
      <c r="C37" s="2860"/>
    </row>
    <row r="38" spans="2:3">
      <c r="B38" s="2860"/>
      <c r="C38" s="2860"/>
    </row>
    <row r="39" spans="2:3">
      <c r="B39" s="2860"/>
      <c r="C39" s="2860"/>
    </row>
    <row r="40" spans="2:3">
      <c r="B40" s="2860"/>
      <c r="C40" s="2860"/>
    </row>
    <row r="41" spans="2:3">
      <c r="B41" s="2860"/>
      <c r="C41" s="2860"/>
    </row>
    <row r="42" spans="2:3">
      <c r="B42" s="2860"/>
      <c r="C42" s="2860"/>
    </row>
    <row r="43" spans="2:3">
      <c r="B43" s="2860"/>
      <c r="C43" s="2860"/>
    </row>
    <row r="44" spans="2:3">
      <c r="B44" s="2860"/>
      <c r="C44" s="2860"/>
    </row>
    <row r="45" spans="2:3">
      <c r="B45" s="2860"/>
      <c r="C45" s="2860"/>
    </row>
    <row r="46" spans="2:3">
      <c r="B46" s="2860"/>
      <c r="C46" s="2860"/>
    </row>
    <row r="47" spans="2:3">
      <c r="B47" s="2860"/>
      <c r="C47" s="2860"/>
    </row>
    <row r="48" spans="2:3">
      <c r="B48" s="2860"/>
      <c r="C48" s="2860"/>
    </row>
    <row r="49" spans="2:3">
      <c r="B49" s="2860"/>
      <c r="C49" s="2860"/>
    </row>
    <row r="50" spans="2:3">
      <c r="B50" s="2860"/>
      <c r="C50" s="2860"/>
    </row>
    <row r="51" spans="2:3">
      <c r="B51" s="2860"/>
      <c r="C51" s="2860"/>
    </row>
    <row r="52" spans="2:3">
      <c r="B52" s="2860"/>
      <c r="C52" s="2860"/>
    </row>
    <row r="53" spans="2:3">
      <c r="B53" s="2860"/>
      <c r="C53" s="2860"/>
    </row>
    <row r="54" spans="2:3">
      <c r="B54" s="2860"/>
      <c r="C54" s="2860"/>
    </row>
    <row r="55" spans="2:3">
      <c r="B55" s="2860"/>
      <c r="C55" s="2860"/>
    </row>
    <row r="56" spans="2:3">
      <c r="B56" s="2860"/>
      <c r="C56" s="2860"/>
    </row>
    <row r="57" spans="2:3">
      <c r="B57" s="2860"/>
      <c r="C57" s="2860"/>
    </row>
    <row r="58" spans="2:3">
      <c r="B58" s="2860"/>
      <c r="C58" s="2860"/>
    </row>
    <row r="59" spans="2:3">
      <c r="B59" s="2860"/>
      <c r="C59" s="2860"/>
    </row>
    <row r="60" spans="2:3">
      <c r="B60" s="2860"/>
      <c r="C60" s="2860"/>
    </row>
    <row r="61" spans="2:3">
      <c r="B61" s="2860"/>
      <c r="C61" s="2860"/>
    </row>
    <row r="62" spans="2:3">
      <c r="B62" s="2860"/>
      <c r="C62" s="2860"/>
    </row>
    <row r="63" spans="2:3">
      <c r="B63" s="2860"/>
      <c r="C63" s="2860"/>
    </row>
    <row r="64" spans="2:3">
      <c r="B64" s="2860"/>
      <c r="C64" s="2860"/>
    </row>
    <row r="65" spans="2:3">
      <c r="B65" s="2860"/>
      <c r="C65" s="2860"/>
    </row>
    <row r="66" spans="2:3">
      <c r="B66" s="2860"/>
      <c r="C66" s="2860"/>
    </row>
    <row r="67" spans="2:3">
      <c r="B67" s="2860"/>
      <c r="C67" s="2860"/>
    </row>
    <row r="68" spans="2:3">
      <c r="B68" s="2860"/>
      <c r="C68" s="2860"/>
    </row>
    <row r="69" spans="2:3">
      <c r="B69" s="2860"/>
      <c r="C69" s="2860"/>
    </row>
    <row r="70" spans="2:3">
      <c r="B70" s="2860"/>
      <c r="C70" s="2860"/>
    </row>
    <row r="71" spans="2:3">
      <c r="B71" s="2860"/>
      <c r="C71" s="2860"/>
    </row>
    <row r="72" spans="2:3">
      <c r="B72" s="2860"/>
      <c r="C72" s="2860"/>
    </row>
    <row r="73" spans="2:3">
      <c r="B73" s="2860"/>
      <c r="C73" s="2860"/>
    </row>
    <row r="74" spans="2:3">
      <c r="B74" s="2860"/>
      <c r="C74" s="2860"/>
    </row>
    <row r="75" spans="2:3">
      <c r="B75" s="2860"/>
      <c r="C75" s="2860"/>
    </row>
    <row r="76" spans="2:3">
      <c r="B76" s="2860"/>
      <c r="C76" s="2860"/>
    </row>
    <row r="77" spans="2:3">
      <c r="B77" s="2860"/>
      <c r="C77" s="2860"/>
    </row>
    <row r="78" spans="2:3">
      <c r="B78" s="2860"/>
      <c r="C78" s="2860"/>
    </row>
    <row r="79" spans="2:3">
      <c r="B79" s="2860"/>
      <c r="C79" s="2860"/>
    </row>
    <row r="80" spans="2:3">
      <c r="B80" s="2860"/>
      <c r="C80" s="2860"/>
    </row>
    <row r="81" spans="2:3">
      <c r="B81" s="2860"/>
      <c r="C81" s="2860"/>
    </row>
    <row r="82" spans="2:3">
      <c r="B82" s="2860"/>
      <c r="C82" s="2860"/>
    </row>
    <row r="83" spans="2:3">
      <c r="B83" s="2860"/>
      <c r="C83" s="2860"/>
    </row>
    <row r="84" spans="2:3">
      <c r="B84" s="2860"/>
      <c r="C84" s="2860"/>
    </row>
    <row r="85" spans="2:3">
      <c r="B85" s="2860"/>
      <c r="C85" s="2860"/>
    </row>
    <row r="86" spans="2:3">
      <c r="B86" s="2860"/>
      <c r="C86" s="2860"/>
    </row>
    <row r="87" spans="2:3">
      <c r="B87" s="2860"/>
      <c r="C87" s="2860"/>
    </row>
    <row r="88" spans="2:3">
      <c r="B88" s="2860"/>
      <c r="C88" s="2860"/>
    </row>
    <row r="89" spans="2:3">
      <c r="B89" s="2860"/>
      <c r="C89" s="2860"/>
    </row>
    <row r="90" spans="2:3">
      <c r="B90" s="2860"/>
      <c r="C90" s="2860"/>
    </row>
    <row r="91" spans="2:3">
      <c r="B91" s="2860"/>
      <c r="C91" s="2860"/>
    </row>
    <row r="92" spans="2:3">
      <c r="B92" s="2860"/>
      <c r="C92" s="2860"/>
    </row>
    <row r="93" spans="2:3">
      <c r="B93" s="2860"/>
      <c r="C93" s="2860"/>
    </row>
    <row r="94" spans="2:3">
      <c r="B94" s="2860"/>
      <c r="C94" s="2860"/>
    </row>
    <row r="95" spans="2:3">
      <c r="B95" s="2860"/>
      <c r="C95" s="2860"/>
    </row>
    <row r="96" spans="2:3">
      <c r="B96" s="2860"/>
      <c r="C96" s="2860"/>
    </row>
    <row r="97" spans="2:3">
      <c r="B97" s="2860"/>
      <c r="C97" s="2860"/>
    </row>
    <row r="98" spans="2:3">
      <c r="B98" s="2860"/>
      <c r="C98" s="2860"/>
    </row>
    <row r="99" spans="2:3">
      <c r="B99" s="2860"/>
      <c r="C99" s="2860"/>
    </row>
    <row r="100" spans="2:3">
      <c r="B100" s="2860"/>
      <c r="C100" s="2860"/>
    </row>
    <row r="101" spans="2:3">
      <c r="B101" s="2860"/>
      <c r="C101" s="2860"/>
    </row>
    <row r="102" spans="2:3">
      <c r="B102" s="2860"/>
      <c r="C102" s="2860"/>
    </row>
    <row r="103" spans="2:3">
      <c r="B103" s="2860"/>
      <c r="C103" s="2860"/>
    </row>
    <row r="104" spans="2:3">
      <c r="B104" s="2860"/>
      <c r="C104" s="2860"/>
    </row>
    <row r="105" spans="2:3">
      <c r="B105" s="2860"/>
      <c r="C105" s="2860"/>
    </row>
    <row r="106" spans="2:3">
      <c r="B106" s="2860"/>
      <c r="C106" s="2860"/>
    </row>
    <row r="107" spans="2:3">
      <c r="B107" s="2860"/>
      <c r="C107" s="2860"/>
    </row>
  </sheetData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Q1262"/>
  <sheetViews>
    <sheetView zoomScale="90" zoomScaleNormal="90" workbookViewId="0">
      <pane xSplit="11" ySplit="8" topLeftCell="L9" activePane="bottomRight" state="frozen"/>
      <selection activeCell="C281" sqref="C2:C281"/>
      <selection pane="topRight" activeCell="C281" sqref="C2:C281"/>
      <selection pane="bottomLeft" activeCell="C281" sqref="C2:C281"/>
      <selection pane="bottomRight" activeCell="M190" sqref="M190"/>
    </sheetView>
  </sheetViews>
  <sheetFormatPr defaultColWidth="9.140625" defaultRowHeight="15"/>
  <cols>
    <col min="1" max="1" width="13.5703125" style="374" customWidth="1"/>
    <col min="2" max="2" width="16.28515625" style="374" customWidth="1"/>
    <col min="3" max="3" width="7.42578125" style="374" customWidth="1"/>
    <col min="4" max="4" width="13" style="374" customWidth="1"/>
    <col min="5" max="5" width="54.42578125" style="1944" customWidth="1"/>
    <col min="6" max="6" width="5.42578125" style="374" customWidth="1"/>
    <col min="7" max="7" width="63.7109375" style="1166" customWidth="1"/>
    <col min="8" max="8" width="0.28515625" style="374" customWidth="1"/>
    <col min="9" max="9" width="13.140625" style="374" customWidth="1"/>
    <col min="10" max="10" width="9.7109375" style="374" customWidth="1"/>
    <col min="11" max="11" width="20.7109375" style="371" customWidth="1"/>
    <col min="12" max="12" width="7.85546875" style="374" customWidth="1"/>
    <col min="13" max="14" width="13" style="374" customWidth="1"/>
    <col min="15" max="15" width="13.42578125" style="374" customWidth="1"/>
    <col min="16" max="16" width="26.42578125" style="1166" customWidth="1"/>
    <col min="17" max="17" width="25.28515625" style="374" customWidth="1"/>
    <col min="18" max="19" width="20.85546875" style="371" customWidth="1"/>
    <col min="20" max="20" width="21.28515625" style="1469" hidden="1" customWidth="1"/>
    <col min="21" max="21" width="18.28515625" style="1469" hidden="1" customWidth="1"/>
    <col min="22" max="22" width="20.28515625" style="1469" hidden="1" customWidth="1"/>
    <col min="23" max="23" width="13.85546875" style="371" customWidth="1"/>
    <col min="24" max="24" width="24.42578125" style="371" bestFit="1" customWidth="1"/>
    <col min="25" max="25" width="15.5703125" style="374" bestFit="1" customWidth="1"/>
    <col min="26" max="26" width="17.7109375" style="374" customWidth="1"/>
    <col min="27" max="27" width="18.7109375" style="374" customWidth="1"/>
    <col min="28" max="28" width="16.5703125" style="374" customWidth="1"/>
    <col min="29" max="29" width="17.7109375" style="374" customWidth="1"/>
    <col min="30" max="30" width="24.85546875" style="360" customWidth="1"/>
    <col min="31" max="31" width="21.42578125" style="360" customWidth="1"/>
    <col min="32" max="32" width="14.85546875" style="374" customWidth="1"/>
    <col min="33" max="33" width="15" style="374" customWidth="1"/>
    <col min="34" max="34" width="15.140625" style="374" customWidth="1"/>
    <col min="35" max="36" width="13.5703125" style="374" bestFit="1" customWidth="1"/>
    <col min="37" max="42" width="9.140625" style="374"/>
    <col min="43" max="43" width="13.42578125" style="374" customWidth="1"/>
    <col min="44" max="16384" width="9.140625" style="1944"/>
  </cols>
  <sheetData>
    <row r="1" spans="1:43">
      <c r="C1" s="358"/>
      <c r="E1" s="491" t="s">
        <v>222</v>
      </c>
      <c r="J1" s="370"/>
    </row>
    <row r="2" spans="1:43">
      <c r="C2" s="359"/>
      <c r="E2" s="506" t="s">
        <v>223</v>
      </c>
      <c r="J2" s="370"/>
    </row>
    <row r="3" spans="1:43">
      <c r="C3" s="360"/>
      <c r="E3" s="540" t="s">
        <v>4837</v>
      </c>
      <c r="J3" s="370"/>
    </row>
    <row r="4" spans="1:43">
      <c r="C4" s="360"/>
      <c r="E4" s="590" t="s">
        <v>225</v>
      </c>
      <c r="J4" s="370"/>
    </row>
    <row r="5" spans="1:43">
      <c r="C5" s="360"/>
      <c r="E5" s="1552" t="s">
        <v>4709</v>
      </c>
      <c r="J5" s="370"/>
    </row>
    <row r="6" spans="1:43">
      <c r="C6" s="360"/>
      <c r="D6" s="796"/>
      <c r="E6" s="1102" t="s">
        <v>226</v>
      </c>
      <c r="F6" s="1351"/>
      <c r="G6" s="1418"/>
      <c r="H6" s="1351"/>
      <c r="J6" s="370"/>
    </row>
    <row r="7" spans="1:43">
      <c r="C7" s="360"/>
      <c r="D7" s="796"/>
      <c r="E7" s="1639" t="s">
        <v>5393</v>
      </c>
      <c r="F7" s="1351"/>
      <c r="G7" s="1418"/>
      <c r="H7" s="1351"/>
      <c r="J7" s="370"/>
    </row>
    <row r="8" spans="1:43" ht="180">
      <c r="A8" s="2284" t="s">
        <v>3484</v>
      </c>
      <c r="B8" s="2284" t="s">
        <v>11</v>
      </c>
      <c r="C8" s="2284" t="s">
        <v>1164</v>
      </c>
      <c r="D8" s="2284" t="s">
        <v>0</v>
      </c>
      <c r="E8" s="1192" t="s">
        <v>1</v>
      </c>
      <c r="F8" s="1192" t="s">
        <v>3684</v>
      </c>
      <c r="G8" s="1527" t="s">
        <v>3489</v>
      </c>
      <c r="H8" s="2284" t="s">
        <v>3490</v>
      </c>
      <c r="I8" s="1192" t="s">
        <v>2</v>
      </c>
      <c r="J8" s="1193" t="s">
        <v>5</v>
      </c>
      <c r="K8" s="1194" t="s">
        <v>15</v>
      </c>
      <c r="L8" s="1192" t="s">
        <v>3</v>
      </c>
      <c r="M8" s="2284" t="s">
        <v>4</v>
      </c>
      <c r="N8" s="2284" t="s">
        <v>6</v>
      </c>
      <c r="O8" s="2284" t="s">
        <v>3485</v>
      </c>
      <c r="P8" s="1706" t="s">
        <v>5486</v>
      </c>
      <c r="Q8" s="2284" t="s">
        <v>5487</v>
      </c>
      <c r="R8" s="1194" t="s">
        <v>8</v>
      </c>
      <c r="S8" s="1194" t="s">
        <v>9</v>
      </c>
      <c r="T8" s="1528" t="s">
        <v>3491</v>
      </c>
      <c r="U8" s="1528" t="s">
        <v>3492</v>
      </c>
      <c r="V8" s="1528" t="s">
        <v>3493</v>
      </c>
      <c r="W8" s="1194" t="s">
        <v>3486</v>
      </c>
      <c r="X8" s="1194" t="s">
        <v>3487</v>
      </c>
      <c r="Y8" s="2284" t="s">
        <v>10</v>
      </c>
      <c r="Z8" s="2284" t="s">
        <v>334</v>
      </c>
      <c r="AA8" s="2284" t="s">
        <v>3488</v>
      </c>
      <c r="AB8" s="2532" t="s">
        <v>220</v>
      </c>
      <c r="AC8" s="2534">
        <v>2022</v>
      </c>
      <c r="AD8" s="360">
        <v>2023</v>
      </c>
    </row>
    <row r="9" spans="1:43" ht="45">
      <c r="A9" s="491" t="s">
        <v>239</v>
      </c>
      <c r="B9" s="1373" t="s">
        <v>6247</v>
      </c>
      <c r="C9" s="491" t="s">
        <v>69</v>
      </c>
      <c r="D9" s="491" t="s">
        <v>70</v>
      </c>
      <c r="E9" s="571" t="s">
        <v>6248</v>
      </c>
      <c r="F9" s="491"/>
      <c r="G9" s="495"/>
      <c r="H9" s="491"/>
      <c r="I9" s="491" t="s">
        <v>42</v>
      </c>
      <c r="J9" s="491"/>
      <c r="K9" s="536">
        <v>150000000</v>
      </c>
      <c r="L9" s="491" t="s">
        <v>251</v>
      </c>
      <c r="M9" s="537">
        <v>43861</v>
      </c>
      <c r="N9" s="537">
        <v>43943</v>
      </c>
      <c r="O9" s="537">
        <v>44222</v>
      </c>
      <c r="P9" s="495" t="s">
        <v>2525</v>
      </c>
      <c r="Q9" s="491"/>
      <c r="R9" s="536">
        <v>81882239.526099995</v>
      </c>
      <c r="S9" s="536">
        <v>99077509.826499999</v>
      </c>
      <c r="T9" s="1471"/>
      <c r="U9" s="1471"/>
      <c r="V9" s="1471"/>
      <c r="W9" s="573">
        <v>44222</v>
      </c>
      <c r="X9" s="1375" t="s">
        <v>8184</v>
      </c>
      <c r="Y9" s="537">
        <v>44264</v>
      </c>
      <c r="Z9" s="537">
        <v>44267</v>
      </c>
      <c r="AA9" s="491" t="s">
        <v>8412</v>
      </c>
      <c r="AB9" s="537">
        <v>44645</v>
      </c>
      <c r="AC9" s="1374">
        <v>2022</v>
      </c>
      <c r="AD9" s="388">
        <v>2023</v>
      </c>
      <c r="AE9" s="388">
        <v>2024</v>
      </c>
      <c r="AF9" s="388">
        <v>2025</v>
      </c>
      <c r="AH9" s="1944"/>
      <c r="AI9" s="1944"/>
      <c r="AJ9" s="1944"/>
      <c r="AK9" s="1944"/>
      <c r="AL9" s="1944"/>
      <c r="AM9" s="1944"/>
      <c r="AN9" s="1944"/>
      <c r="AO9" s="1944"/>
      <c r="AQ9" s="1944"/>
    </row>
    <row r="10" spans="1:43">
      <c r="A10" s="416">
        <v>43740</v>
      </c>
      <c r="B10" s="1468" t="s">
        <v>6288</v>
      </c>
      <c r="C10" s="411" t="s">
        <v>2434</v>
      </c>
      <c r="D10" s="411" t="s">
        <v>219</v>
      </c>
      <c r="E10" s="412" t="s">
        <v>5773</v>
      </c>
      <c r="F10" s="411"/>
      <c r="G10" s="630"/>
      <c r="H10" s="411"/>
      <c r="I10" s="411" t="s">
        <v>642</v>
      </c>
      <c r="J10" s="411"/>
      <c r="K10" s="417">
        <v>4382693</v>
      </c>
      <c r="L10" s="411" t="s">
        <v>251</v>
      </c>
      <c r="M10" s="416">
        <v>43941</v>
      </c>
      <c r="N10" s="416">
        <v>43990</v>
      </c>
      <c r="O10" s="416">
        <v>44347</v>
      </c>
      <c r="P10" s="630" t="s">
        <v>9065</v>
      </c>
      <c r="Q10" s="411"/>
      <c r="R10" s="417">
        <v>2996960</v>
      </c>
      <c r="S10" s="417">
        <v>3626321.6</v>
      </c>
      <c r="T10" s="1480"/>
      <c r="U10" s="1480"/>
      <c r="V10" s="1480"/>
      <c r="W10" s="513">
        <v>44347</v>
      </c>
      <c r="X10" s="417" t="s">
        <v>9064</v>
      </c>
      <c r="Y10" s="416">
        <v>44417</v>
      </c>
      <c r="Z10" s="618">
        <v>44425</v>
      </c>
      <c r="AA10" s="413" t="s">
        <v>4096</v>
      </c>
      <c r="AB10" s="416">
        <v>44641</v>
      </c>
      <c r="AC10" s="422">
        <v>2022</v>
      </c>
      <c r="AD10" s="388">
        <v>2023</v>
      </c>
      <c r="AE10" s="388">
        <v>2024</v>
      </c>
      <c r="AF10" s="388">
        <v>2025</v>
      </c>
      <c r="AG10" s="388">
        <v>2026</v>
      </c>
      <c r="AH10" s="1257" t="s">
        <v>4435</v>
      </c>
      <c r="AI10" s="1944"/>
      <c r="AJ10" s="1944"/>
      <c r="AK10" s="1944"/>
      <c r="AL10" s="1944"/>
      <c r="AM10" s="1944"/>
      <c r="AN10" s="1944"/>
      <c r="AO10" s="1944"/>
      <c r="AQ10" s="1944"/>
    </row>
    <row r="11" spans="1:43" ht="60">
      <c r="A11" s="491" t="s">
        <v>3585</v>
      </c>
      <c r="B11" s="1373" t="s">
        <v>6294</v>
      </c>
      <c r="C11" s="491" t="s">
        <v>58</v>
      </c>
      <c r="D11" s="491" t="s">
        <v>4969</v>
      </c>
      <c r="E11" s="1979" t="s">
        <v>6296</v>
      </c>
      <c r="F11" s="491"/>
      <c r="G11" s="495"/>
      <c r="H11" s="491"/>
      <c r="I11" s="490" t="s">
        <v>6295</v>
      </c>
      <c r="J11" s="491" t="s">
        <v>6297</v>
      </c>
      <c r="K11" s="536">
        <v>431388000</v>
      </c>
      <c r="L11" s="491" t="s">
        <v>251</v>
      </c>
      <c r="M11" s="537">
        <v>43895</v>
      </c>
      <c r="N11" s="537">
        <v>43930</v>
      </c>
      <c r="O11" s="537">
        <v>43990</v>
      </c>
      <c r="P11" s="495" t="s">
        <v>4483</v>
      </c>
      <c r="Q11" s="491"/>
      <c r="R11" s="536">
        <v>415080820</v>
      </c>
      <c r="S11" s="536">
        <f>R11*1.21</f>
        <v>502247792.19999999</v>
      </c>
      <c r="T11" s="1471"/>
      <c r="U11" s="1471"/>
      <c r="V11" s="1471"/>
      <c r="W11" s="573">
        <v>43991</v>
      </c>
      <c r="X11" s="1375" t="s">
        <v>6937</v>
      </c>
      <c r="Y11" s="537">
        <v>44222</v>
      </c>
      <c r="Z11" s="537">
        <v>44225</v>
      </c>
      <c r="AA11" s="537">
        <v>44469</v>
      </c>
      <c r="AB11" s="1525">
        <v>44592</v>
      </c>
      <c r="AC11" s="1374" t="s">
        <v>1875</v>
      </c>
      <c r="AH11" s="1944"/>
      <c r="AI11" s="1944"/>
      <c r="AJ11" s="1944"/>
      <c r="AK11" s="1944"/>
      <c r="AL11" s="1944"/>
      <c r="AM11" s="1944"/>
      <c r="AN11" s="1944"/>
      <c r="AO11" s="1944"/>
      <c r="AP11" s="1944"/>
      <c r="AQ11" s="1944"/>
    </row>
    <row r="12" spans="1:43" ht="45">
      <c r="A12" s="537">
        <v>44025</v>
      </c>
      <c r="B12" s="1373" t="s">
        <v>7146</v>
      </c>
      <c r="C12" s="491" t="s">
        <v>2434</v>
      </c>
      <c r="D12" s="491" t="s">
        <v>3204</v>
      </c>
      <c r="E12" s="571" t="s">
        <v>3510</v>
      </c>
      <c r="F12" s="491">
        <v>2</v>
      </c>
      <c r="G12" s="2028" t="s">
        <v>7148</v>
      </c>
      <c r="H12" s="491"/>
      <c r="I12" s="491" t="s">
        <v>2951</v>
      </c>
      <c r="J12" s="491"/>
      <c r="K12" s="536">
        <v>274000</v>
      </c>
      <c r="L12" s="491" t="s">
        <v>251</v>
      </c>
      <c r="M12" s="537">
        <v>44061</v>
      </c>
      <c r="N12" s="537">
        <v>44120</v>
      </c>
      <c r="O12" s="537">
        <v>44179</v>
      </c>
      <c r="P12" s="495" t="s">
        <v>7136</v>
      </c>
      <c r="Q12" s="491"/>
      <c r="R12" s="536">
        <v>272250</v>
      </c>
      <c r="S12" s="536">
        <v>313087.5</v>
      </c>
      <c r="T12" s="1471"/>
      <c r="U12" s="1471"/>
      <c r="V12" s="1471"/>
      <c r="W12" s="573">
        <v>44180</v>
      </c>
      <c r="X12" s="1375" t="s">
        <v>8057</v>
      </c>
      <c r="Y12" s="537">
        <v>44231</v>
      </c>
      <c r="Z12" s="537">
        <v>44245</v>
      </c>
      <c r="AA12" s="537">
        <v>44960</v>
      </c>
      <c r="AB12" s="537">
        <v>44641</v>
      </c>
      <c r="AC12" s="1374">
        <v>2022</v>
      </c>
      <c r="AD12" s="388" t="s">
        <v>8219</v>
      </c>
      <c r="AH12" s="1944"/>
      <c r="AI12" s="1944"/>
      <c r="AJ12" s="1944"/>
      <c r="AK12" s="1944"/>
      <c r="AL12" s="1944"/>
      <c r="AM12" s="1944"/>
      <c r="AN12" s="1944"/>
      <c r="AO12" s="1944"/>
      <c r="AP12" s="1944"/>
      <c r="AQ12" s="1944"/>
    </row>
    <row r="13" spans="1:43" ht="45">
      <c r="A13" s="537">
        <v>44025</v>
      </c>
      <c r="B13" s="1373" t="s">
        <v>7146</v>
      </c>
      <c r="C13" s="491" t="s">
        <v>2434</v>
      </c>
      <c r="D13" s="491" t="s">
        <v>3204</v>
      </c>
      <c r="E13" s="571" t="s">
        <v>3510</v>
      </c>
      <c r="F13" s="491">
        <v>3</v>
      </c>
      <c r="G13" s="2028" t="s">
        <v>7149</v>
      </c>
      <c r="H13" s="491"/>
      <c r="I13" s="491" t="s">
        <v>2951</v>
      </c>
      <c r="J13" s="491"/>
      <c r="K13" s="536">
        <v>5400000</v>
      </c>
      <c r="L13" s="491" t="s">
        <v>251</v>
      </c>
      <c r="M13" s="537">
        <v>44061</v>
      </c>
      <c r="N13" s="537">
        <v>44120</v>
      </c>
      <c r="O13" s="537">
        <v>44179</v>
      </c>
      <c r="P13" s="495" t="s">
        <v>3191</v>
      </c>
      <c r="Q13" s="491"/>
      <c r="R13" s="536">
        <v>5400000</v>
      </c>
      <c r="S13" s="536">
        <v>6210000</v>
      </c>
      <c r="T13" s="1471"/>
      <c r="U13" s="1471"/>
      <c r="V13" s="1471"/>
      <c r="W13" s="573">
        <v>44180</v>
      </c>
      <c r="X13" s="1375" t="s">
        <v>8056</v>
      </c>
      <c r="Y13" s="537">
        <v>44217</v>
      </c>
      <c r="Z13" s="537">
        <v>44245</v>
      </c>
      <c r="AA13" s="537">
        <v>44946</v>
      </c>
      <c r="AB13" s="537">
        <v>44641</v>
      </c>
      <c r="AC13" s="1374">
        <v>2022</v>
      </c>
      <c r="AD13" s="388" t="s">
        <v>8168</v>
      </c>
      <c r="AH13" s="1944"/>
      <c r="AI13" s="1944"/>
      <c r="AJ13" s="1944"/>
      <c r="AK13" s="1944"/>
      <c r="AL13" s="1944"/>
      <c r="AM13" s="1944"/>
      <c r="AN13" s="1944"/>
      <c r="AO13" s="1944"/>
      <c r="AP13" s="1944"/>
      <c r="AQ13" s="1944"/>
    </row>
    <row r="14" spans="1:43" ht="45">
      <c r="A14" s="537">
        <v>44025</v>
      </c>
      <c r="B14" s="1373" t="s">
        <v>7146</v>
      </c>
      <c r="C14" s="491" t="s">
        <v>2434</v>
      </c>
      <c r="D14" s="491" t="s">
        <v>3204</v>
      </c>
      <c r="E14" s="571" t="s">
        <v>3510</v>
      </c>
      <c r="F14" s="491">
        <v>4</v>
      </c>
      <c r="G14" s="2028" t="s">
        <v>7150</v>
      </c>
      <c r="H14" s="491"/>
      <c r="I14" s="491" t="s">
        <v>2951</v>
      </c>
      <c r="J14" s="491"/>
      <c r="K14" s="536">
        <v>964000</v>
      </c>
      <c r="L14" s="491" t="s">
        <v>251</v>
      </c>
      <c r="M14" s="537">
        <v>44061</v>
      </c>
      <c r="N14" s="537">
        <v>44120</v>
      </c>
      <c r="O14" s="537">
        <v>44179</v>
      </c>
      <c r="P14" s="495" t="s">
        <v>7136</v>
      </c>
      <c r="Q14" s="491"/>
      <c r="R14" s="536">
        <v>565680</v>
      </c>
      <c r="S14" s="536">
        <v>650532</v>
      </c>
      <c r="T14" s="1471"/>
      <c r="U14" s="1471"/>
      <c r="V14" s="1471"/>
      <c r="W14" s="573">
        <v>44180</v>
      </c>
      <c r="X14" s="1375" t="s">
        <v>8058</v>
      </c>
      <c r="Y14" s="537">
        <v>44231</v>
      </c>
      <c r="Z14" s="537">
        <v>44245</v>
      </c>
      <c r="AA14" s="537">
        <v>44960</v>
      </c>
      <c r="AB14" s="537">
        <v>44641</v>
      </c>
      <c r="AC14" s="1374">
        <v>2022</v>
      </c>
      <c r="AD14" s="388" t="s">
        <v>8219</v>
      </c>
      <c r="AH14" s="1944"/>
      <c r="AI14" s="1944"/>
      <c r="AJ14" s="1944"/>
      <c r="AK14" s="1944"/>
      <c r="AL14" s="1944"/>
      <c r="AM14" s="1944"/>
      <c r="AN14" s="1944"/>
      <c r="AO14" s="1944"/>
      <c r="AP14" s="1944"/>
      <c r="AQ14" s="1944"/>
    </row>
    <row r="15" spans="1:43" ht="45">
      <c r="A15" s="537">
        <v>44025</v>
      </c>
      <c r="B15" s="1373" t="s">
        <v>7146</v>
      </c>
      <c r="C15" s="491" t="s">
        <v>2434</v>
      </c>
      <c r="D15" s="491" t="s">
        <v>3204</v>
      </c>
      <c r="E15" s="571" t="s">
        <v>3510</v>
      </c>
      <c r="F15" s="491">
        <v>5</v>
      </c>
      <c r="G15" s="2028" t="s">
        <v>7151</v>
      </c>
      <c r="H15" s="590"/>
      <c r="I15" s="491" t="s">
        <v>2951</v>
      </c>
      <c r="J15" s="491"/>
      <c r="K15" s="536">
        <v>995000</v>
      </c>
      <c r="L15" s="491" t="s">
        <v>251</v>
      </c>
      <c r="M15" s="537">
        <v>44061</v>
      </c>
      <c r="N15" s="537">
        <v>44120</v>
      </c>
      <c r="O15" s="537">
        <v>44179</v>
      </c>
      <c r="P15" s="976" t="s">
        <v>3191</v>
      </c>
      <c r="Q15" s="491"/>
      <c r="R15" s="1523">
        <v>995000</v>
      </c>
      <c r="S15" s="1523">
        <v>1144250</v>
      </c>
      <c r="T15" s="1484"/>
      <c r="U15" s="1484"/>
      <c r="V15" s="1484"/>
      <c r="W15" s="573">
        <v>44180</v>
      </c>
      <c r="X15" s="1375" t="s">
        <v>8059</v>
      </c>
      <c r="Y15" s="537">
        <v>44217</v>
      </c>
      <c r="Z15" s="537">
        <v>44245</v>
      </c>
      <c r="AA15" s="537">
        <v>44946</v>
      </c>
      <c r="AB15" s="537">
        <v>44641</v>
      </c>
      <c r="AC15" s="1374">
        <v>2022</v>
      </c>
      <c r="AD15" s="388" t="s">
        <v>8168</v>
      </c>
      <c r="AH15" s="1944"/>
      <c r="AI15" s="1944"/>
      <c r="AJ15" s="1944"/>
      <c r="AK15" s="1944"/>
      <c r="AL15" s="1944"/>
      <c r="AM15" s="1944"/>
      <c r="AN15" s="1944"/>
      <c r="AO15" s="1944"/>
      <c r="AP15" s="1944"/>
      <c r="AQ15" s="1944"/>
    </row>
    <row r="16" spans="1:43" ht="45">
      <c r="A16" s="537">
        <v>44025</v>
      </c>
      <c r="B16" s="1373" t="s">
        <v>7146</v>
      </c>
      <c r="C16" s="491" t="s">
        <v>2434</v>
      </c>
      <c r="D16" s="491" t="s">
        <v>3204</v>
      </c>
      <c r="E16" s="571" t="s">
        <v>3510</v>
      </c>
      <c r="F16" s="491">
        <v>6</v>
      </c>
      <c r="G16" s="2028" t="s">
        <v>7152</v>
      </c>
      <c r="H16" s="590"/>
      <c r="I16" s="491" t="s">
        <v>2951</v>
      </c>
      <c r="J16" s="491"/>
      <c r="K16" s="536">
        <v>2820000</v>
      </c>
      <c r="L16" s="491" t="s">
        <v>251</v>
      </c>
      <c r="M16" s="537">
        <v>44061</v>
      </c>
      <c r="N16" s="537">
        <v>44120</v>
      </c>
      <c r="O16" s="537">
        <v>44179</v>
      </c>
      <c r="P16" s="495" t="s">
        <v>3191</v>
      </c>
      <c r="Q16" s="491"/>
      <c r="R16" s="536">
        <v>2820000</v>
      </c>
      <c r="S16" s="536">
        <v>3243000</v>
      </c>
      <c r="T16" s="1484"/>
      <c r="U16" s="1484"/>
      <c r="V16" s="1484"/>
      <c r="W16" s="573">
        <v>44180</v>
      </c>
      <c r="X16" s="1375" t="s">
        <v>8060</v>
      </c>
      <c r="Y16" s="537">
        <v>44217</v>
      </c>
      <c r="Z16" s="537">
        <v>44245</v>
      </c>
      <c r="AA16" s="537">
        <v>44946</v>
      </c>
      <c r="AB16" s="537">
        <v>44641</v>
      </c>
      <c r="AC16" s="1374">
        <v>2022</v>
      </c>
      <c r="AD16" s="388" t="s">
        <v>8168</v>
      </c>
      <c r="AH16" s="1944"/>
      <c r="AI16" s="1944"/>
      <c r="AJ16" s="1944"/>
      <c r="AK16" s="1944"/>
      <c r="AL16" s="1944"/>
      <c r="AM16" s="1944"/>
      <c r="AN16" s="1944"/>
      <c r="AO16" s="1944"/>
      <c r="AP16" s="1944"/>
      <c r="AQ16" s="1944"/>
    </row>
    <row r="17" spans="1:43" ht="45">
      <c r="A17" s="537">
        <v>44025</v>
      </c>
      <c r="B17" s="1373" t="s">
        <v>7146</v>
      </c>
      <c r="C17" s="491" t="s">
        <v>2434</v>
      </c>
      <c r="D17" s="491" t="s">
        <v>3204</v>
      </c>
      <c r="E17" s="571" t="s">
        <v>3510</v>
      </c>
      <c r="F17" s="491">
        <v>7</v>
      </c>
      <c r="G17" s="2028" t="s">
        <v>7153</v>
      </c>
      <c r="H17" s="590"/>
      <c r="I17" s="491" t="s">
        <v>2951</v>
      </c>
      <c r="J17" s="491"/>
      <c r="K17" s="536">
        <v>1365043</v>
      </c>
      <c r="L17" s="491" t="s">
        <v>251</v>
      </c>
      <c r="M17" s="537">
        <v>44061</v>
      </c>
      <c r="N17" s="537">
        <v>44120</v>
      </c>
      <c r="O17" s="537">
        <v>44179</v>
      </c>
      <c r="P17" s="495" t="s">
        <v>3191</v>
      </c>
      <c r="Q17" s="491"/>
      <c r="R17" s="536">
        <v>1365000</v>
      </c>
      <c r="S17" s="536">
        <v>1569750</v>
      </c>
      <c r="T17" s="1484"/>
      <c r="U17" s="1484"/>
      <c r="V17" s="1484"/>
      <c r="W17" s="573">
        <v>44180</v>
      </c>
      <c r="X17" s="1375" t="s">
        <v>8061</v>
      </c>
      <c r="Y17" s="537">
        <v>44217</v>
      </c>
      <c r="Z17" s="537">
        <v>44245</v>
      </c>
      <c r="AA17" s="537">
        <v>44946</v>
      </c>
      <c r="AB17" s="537">
        <v>44641</v>
      </c>
      <c r="AC17" s="1374">
        <v>2022</v>
      </c>
      <c r="AD17" s="388" t="s">
        <v>8168</v>
      </c>
      <c r="AH17" s="1944"/>
      <c r="AI17" s="1944"/>
      <c r="AJ17" s="1944"/>
      <c r="AK17" s="1944"/>
      <c r="AL17" s="1944"/>
      <c r="AM17" s="1944"/>
      <c r="AN17" s="1944"/>
      <c r="AO17" s="1944"/>
      <c r="AP17" s="1944"/>
      <c r="AQ17" s="1944"/>
    </row>
    <row r="18" spans="1:43" ht="45">
      <c r="A18" s="537">
        <v>44025</v>
      </c>
      <c r="B18" s="1373" t="s">
        <v>7146</v>
      </c>
      <c r="C18" s="491" t="s">
        <v>2434</v>
      </c>
      <c r="D18" s="491" t="s">
        <v>3204</v>
      </c>
      <c r="E18" s="571" t="s">
        <v>3510</v>
      </c>
      <c r="F18" s="491">
        <v>8</v>
      </c>
      <c r="G18" s="2028" t="s">
        <v>7154</v>
      </c>
      <c r="H18" s="590"/>
      <c r="I18" s="491" t="s">
        <v>2951</v>
      </c>
      <c r="J18" s="491"/>
      <c r="K18" s="536">
        <v>7630000</v>
      </c>
      <c r="L18" s="491" t="s">
        <v>251</v>
      </c>
      <c r="M18" s="537">
        <v>44061</v>
      </c>
      <c r="N18" s="537">
        <v>44120</v>
      </c>
      <c r="O18" s="537">
        <v>44179</v>
      </c>
      <c r="P18" s="495" t="s">
        <v>3191</v>
      </c>
      <c r="Q18" s="491"/>
      <c r="R18" s="536">
        <v>7630000</v>
      </c>
      <c r="S18" s="536">
        <v>8774500</v>
      </c>
      <c r="T18" s="1484"/>
      <c r="U18" s="1484"/>
      <c r="V18" s="1484"/>
      <c r="W18" s="573">
        <v>44180</v>
      </c>
      <c r="X18" s="1375" t="s">
        <v>8062</v>
      </c>
      <c r="Y18" s="537">
        <v>44217</v>
      </c>
      <c r="Z18" s="537">
        <v>44245</v>
      </c>
      <c r="AA18" s="537">
        <v>44946</v>
      </c>
      <c r="AB18" s="537">
        <v>44641</v>
      </c>
      <c r="AC18" s="1374">
        <v>2022</v>
      </c>
      <c r="AD18" s="388" t="s">
        <v>8168</v>
      </c>
      <c r="AH18" s="1944"/>
      <c r="AI18" s="1944"/>
      <c r="AJ18" s="1944"/>
      <c r="AK18" s="1944"/>
      <c r="AL18" s="1944"/>
      <c r="AM18" s="1944"/>
      <c r="AN18" s="1944"/>
      <c r="AO18" s="1944"/>
      <c r="AP18" s="1944"/>
      <c r="AQ18" s="1944"/>
    </row>
    <row r="19" spans="1:43" ht="45">
      <c r="A19" s="537">
        <v>44025</v>
      </c>
      <c r="B19" s="1373" t="s">
        <v>7146</v>
      </c>
      <c r="C19" s="491" t="s">
        <v>2434</v>
      </c>
      <c r="D19" s="491" t="s">
        <v>3204</v>
      </c>
      <c r="E19" s="571" t="s">
        <v>3510</v>
      </c>
      <c r="F19" s="491">
        <v>9</v>
      </c>
      <c r="G19" s="2028" t="s">
        <v>7155</v>
      </c>
      <c r="H19" s="590"/>
      <c r="I19" s="491" t="s">
        <v>2951</v>
      </c>
      <c r="J19" s="491"/>
      <c r="K19" s="536">
        <v>1800000</v>
      </c>
      <c r="L19" s="491" t="s">
        <v>251</v>
      </c>
      <c r="M19" s="537">
        <v>44061</v>
      </c>
      <c r="N19" s="537">
        <v>44120</v>
      </c>
      <c r="O19" s="537">
        <v>44179</v>
      </c>
      <c r="P19" s="495" t="s">
        <v>3191</v>
      </c>
      <c r="Q19" s="491"/>
      <c r="R19" s="536">
        <v>1720000</v>
      </c>
      <c r="S19" s="536">
        <v>1978000</v>
      </c>
      <c r="T19" s="1484"/>
      <c r="U19" s="1484"/>
      <c r="V19" s="1484"/>
      <c r="W19" s="573">
        <v>44180</v>
      </c>
      <c r="X19" s="1375" t="s">
        <v>8064</v>
      </c>
      <c r="Y19" s="537">
        <v>44217</v>
      </c>
      <c r="Z19" s="537">
        <v>44245</v>
      </c>
      <c r="AA19" s="537">
        <v>44946</v>
      </c>
      <c r="AB19" s="537">
        <v>44641</v>
      </c>
      <c r="AC19" s="1374">
        <v>2022</v>
      </c>
      <c r="AD19" s="388" t="s">
        <v>8168</v>
      </c>
      <c r="AH19" s="1944"/>
      <c r="AI19" s="1944"/>
      <c r="AJ19" s="1944"/>
      <c r="AK19" s="1944"/>
      <c r="AL19" s="1944"/>
      <c r="AM19" s="1944"/>
      <c r="AN19" s="1944"/>
      <c r="AO19" s="1944"/>
      <c r="AP19" s="1944"/>
      <c r="AQ19" s="1944"/>
    </row>
    <row r="20" spans="1:43" ht="45">
      <c r="A20" s="537">
        <v>44025</v>
      </c>
      <c r="B20" s="1373" t="s">
        <v>7146</v>
      </c>
      <c r="C20" s="491" t="s">
        <v>2434</v>
      </c>
      <c r="D20" s="491" t="s">
        <v>3204</v>
      </c>
      <c r="E20" s="571" t="s">
        <v>3510</v>
      </c>
      <c r="F20" s="491">
        <v>10</v>
      </c>
      <c r="G20" s="2028" t="s">
        <v>7156</v>
      </c>
      <c r="H20" s="491"/>
      <c r="I20" s="491" t="s">
        <v>2951</v>
      </c>
      <c r="J20" s="491"/>
      <c r="K20" s="536">
        <v>3460000</v>
      </c>
      <c r="L20" s="491" t="s">
        <v>251</v>
      </c>
      <c r="M20" s="537">
        <v>44061</v>
      </c>
      <c r="N20" s="537">
        <v>44120</v>
      </c>
      <c r="O20" s="537">
        <v>44179</v>
      </c>
      <c r="P20" s="495" t="s">
        <v>7136</v>
      </c>
      <c r="Q20" s="491"/>
      <c r="R20" s="536">
        <v>2900000</v>
      </c>
      <c r="S20" s="536">
        <v>3335000</v>
      </c>
      <c r="T20" s="1471"/>
      <c r="U20" s="1471"/>
      <c r="V20" s="1471"/>
      <c r="W20" s="573">
        <v>44181</v>
      </c>
      <c r="X20" s="1375" t="s">
        <v>8065</v>
      </c>
      <c r="Y20" s="537">
        <v>44231</v>
      </c>
      <c r="Z20" s="537">
        <v>44245</v>
      </c>
      <c r="AA20" s="537">
        <v>44960</v>
      </c>
      <c r="AB20" s="537">
        <v>44641</v>
      </c>
      <c r="AC20" s="1374">
        <v>2022</v>
      </c>
      <c r="AD20" s="388" t="s">
        <v>8219</v>
      </c>
      <c r="AH20" s="1944"/>
      <c r="AI20" s="1944"/>
      <c r="AJ20" s="1944"/>
      <c r="AK20" s="1944"/>
      <c r="AL20" s="1944"/>
      <c r="AM20" s="1944"/>
      <c r="AN20" s="1944"/>
      <c r="AO20" s="1944"/>
      <c r="AP20" s="1944"/>
      <c r="AQ20" s="1944"/>
    </row>
    <row r="21" spans="1:43" ht="45">
      <c r="A21" s="537">
        <v>44025</v>
      </c>
      <c r="B21" s="1373" t="s">
        <v>7146</v>
      </c>
      <c r="C21" s="491" t="s">
        <v>2434</v>
      </c>
      <c r="D21" s="491" t="s">
        <v>3204</v>
      </c>
      <c r="E21" s="571" t="s">
        <v>3510</v>
      </c>
      <c r="F21" s="491">
        <v>11</v>
      </c>
      <c r="G21" s="2028" t="s">
        <v>7157</v>
      </c>
      <c r="H21" s="590"/>
      <c r="I21" s="491" t="s">
        <v>2951</v>
      </c>
      <c r="J21" s="491"/>
      <c r="K21" s="536">
        <v>2778000</v>
      </c>
      <c r="L21" s="491" t="s">
        <v>251</v>
      </c>
      <c r="M21" s="537">
        <v>44061</v>
      </c>
      <c r="N21" s="537">
        <v>44120</v>
      </c>
      <c r="O21" s="537">
        <v>44179</v>
      </c>
      <c r="P21" s="495" t="s">
        <v>3191</v>
      </c>
      <c r="Q21" s="491"/>
      <c r="R21" s="536">
        <v>2640000</v>
      </c>
      <c r="S21" s="536">
        <v>3036000</v>
      </c>
      <c r="T21" s="1484"/>
      <c r="U21" s="1484"/>
      <c r="V21" s="1484"/>
      <c r="W21" s="573">
        <v>44181</v>
      </c>
      <c r="X21" s="1375" t="s">
        <v>8066</v>
      </c>
      <c r="Y21" s="537">
        <v>44217</v>
      </c>
      <c r="Z21" s="537">
        <v>44245</v>
      </c>
      <c r="AA21" s="537">
        <v>44946</v>
      </c>
      <c r="AB21" s="537">
        <v>44641</v>
      </c>
      <c r="AC21" s="1374">
        <v>2022</v>
      </c>
      <c r="AD21" s="388" t="s">
        <v>8168</v>
      </c>
      <c r="AH21" s="1944"/>
      <c r="AI21" s="1944"/>
      <c r="AJ21" s="1944"/>
      <c r="AK21" s="1944"/>
      <c r="AL21" s="1944"/>
      <c r="AM21" s="1944"/>
      <c r="AN21" s="1944"/>
      <c r="AO21" s="1944"/>
      <c r="AP21" s="1944"/>
      <c r="AQ21" s="1944"/>
    </row>
    <row r="22" spans="1:43" ht="45">
      <c r="A22" s="537">
        <v>44025</v>
      </c>
      <c r="B22" s="1373" t="s">
        <v>7146</v>
      </c>
      <c r="C22" s="491" t="s">
        <v>2434</v>
      </c>
      <c r="D22" s="491" t="s">
        <v>3204</v>
      </c>
      <c r="E22" s="571" t="s">
        <v>3510</v>
      </c>
      <c r="F22" s="491">
        <v>12</v>
      </c>
      <c r="G22" s="2028" t="s">
        <v>7158</v>
      </c>
      <c r="H22" s="491"/>
      <c r="I22" s="491" t="s">
        <v>2951</v>
      </c>
      <c r="J22" s="491"/>
      <c r="K22" s="536">
        <v>2260000</v>
      </c>
      <c r="L22" s="491" t="s">
        <v>251</v>
      </c>
      <c r="M22" s="537">
        <v>44061</v>
      </c>
      <c r="N22" s="537">
        <v>44120</v>
      </c>
      <c r="O22" s="537">
        <v>44179</v>
      </c>
      <c r="P22" s="495" t="s">
        <v>7136</v>
      </c>
      <c r="Q22" s="491"/>
      <c r="R22" s="536">
        <v>2260000</v>
      </c>
      <c r="S22" s="536">
        <v>2651800</v>
      </c>
      <c r="T22" s="1471"/>
      <c r="U22" s="1471"/>
      <c r="V22" s="1471"/>
      <c r="W22" s="573">
        <v>44181</v>
      </c>
      <c r="X22" s="1375" t="s">
        <v>8067</v>
      </c>
      <c r="Y22" s="537">
        <v>44231</v>
      </c>
      <c r="Z22" s="537">
        <v>44245</v>
      </c>
      <c r="AA22" s="537">
        <v>44960</v>
      </c>
      <c r="AB22" s="537">
        <v>44641</v>
      </c>
      <c r="AC22" s="1374">
        <v>2022</v>
      </c>
      <c r="AD22" s="388" t="s">
        <v>8219</v>
      </c>
      <c r="AH22" s="1944"/>
      <c r="AI22" s="1944"/>
      <c r="AJ22" s="1944"/>
      <c r="AK22" s="1944"/>
      <c r="AL22" s="1944"/>
      <c r="AM22" s="1944"/>
      <c r="AN22" s="1944"/>
      <c r="AO22" s="1944"/>
      <c r="AP22" s="1944"/>
      <c r="AQ22" s="1944"/>
    </row>
    <row r="23" spans="1:43" ht="45.75" thickBot="1">
      <c r="A23" s="1380">
        <v>44025</v>
      </c>
      <c r="B23" s="1377" t="s">
        <v>7146</v>
      </c>
      <c r="C23" s="1376" t="s">
        <v>2434</v>
      </c>
      <c r="D23" s="1376" t="s">
        <v>3204</v>
      </c>
      <c r="E23" s="1378" t="s">
        <v>3510</v>
      </c>
      <c r="F23" s="1376">
        <v>13</v>
      </c>
      <c r="G23" s="2029" t="s">
        <v>7159</v>
      </c>
      <c r="H23" s="1356"/>
      <c r="I23" s="1376" t="s">
        <v>2951</v>
      </c>
      <c r="J23" s="1376"/>
      <c r="K23" s="1379">
        <v>2070000</v>
      </c>
      <c r="L23" s="1376" t="s">
        <v>251</v>
      </c>
      <c r="M23" s="1380">
        <v>44061</v>
      </c>
      <c r="N23" s="1380">
        <v>44120</v>
      </c>
      <c r="O23" s="1380">
        <v>44179</v>
      </c>
      <c r="P23" s="1421" t="s">
        <v>7945</v>
      </c>
      <c r="Q23" s="1376"/>
      <c r="R23" s="1379">
        <v>2070000</v>
      </c>
      <c r="S23" s="1379">
        <v>2380500</v>
      </c>
      <c r="T23" s="1485"/>
      <c r="U23" s="1485"/>
      <c r="V23" s="1485"/>
      <c r="W23" s="1388">
        <v>44181</v>
      </c>
      <c r="X23" s="1389" t="s">
        <v>8068</v>
      </c>
      <c r="Y23" s="1380">
        <v>44217</v>
      </c>
      <c r="Z23" s="1380">
        <v>44245</v>
      </c>
      <c r="AA23" s="537">
        <v>44946</v>
      </c>
      <c r="AB23" s="416">
        <v>44641</v>
      </c>
      <c r="AC23" s="422">
        <v>2022</v>
      </c>
      <c r="AD23" s="388" t="s">
        <v>8168</v>
      </c>
      <c r="AH23" s="1944"/>
      <c r="AI23" s="1944"/>
      <c r="AJ23" s="1944"/>
      <c r="AK23" s="1944"/>
      <c r="AL23" s="1944"/>
      <c r="AM23" s="1944"/>
      <c r="AN23" s="1944"/>
      <c r="AO23" s="1944"/>
      <c r="AP23" s="1944"/>
      <c r="AQ23" s="1944"/>
    </row>
    <row r="24" spans="1:43" ht="15.75" thickTop="1">
      <c r="A24" s="537">
        <v>44050</v>
      </c>
      <c r="B24" s="1373" t="s">
        <v>7312</v>
      </c>
      <c r="C24" s="491" t="s">
        <v>69</v>
      </c>
      <c r="D24" s="491" t="s">
        <v>70</v>
      </c>
      <c r="E24" s="571" t="s">
        <v>7313</v>
      </c>
      <c r="F24" s="491">
        <v>2</v>
      </c>
      <c r="G24" s="495" t="s">
        <v>7160</v>
      </c>
      <c r="H24" s="491"/>
      <c r="I24" s="491" t="s">
        <v>7097</v>
      </c>
      <c r="J24" s="491"/>
      <c r="K24" s="536">
        <v>4474683</v>
      </c>
      <c r="L24" s="491" t="s">
        <v>251</v>
      </c>
      <c r="M24" s="537">
        <v>44057</v>
      </c>
      <c r="N24" s="537">
        <v>44091</v>
      </c>
      <c r="O24" s="537">
        <v>44182</v>
      </c>
      <c r="P24" s="495" t="s">
        <v>5774</v>
      </c>
      <c r="Q24" s="491"/>
      <c r="R24" s="536">
        <v>4452801.9000000004</v>
      </c>
      <c r="S24" s="536">
        <v>4898082.09</v>
      </c>
      <c r="T24" s="1471"/>
      <c r="U24" s="1471"/>
      <c r="V24" s="1471"/>
      <c r="W24" s="573">
        <v>44183</v>
      </c>
      <c r="X24" s="536" t="s">
        <v>8083</v>
      </c>
      <c r="Y24" s="537">
        <v>44225</v>
      </c>
      <c r="Z24" s="537">
        <v>44232</v>
      </c>
      <c r="AA24" s="537">
        <v>45319</v>
      </c>
      <c r="AB24" s="474">
        <v>44648</v>
      </c>
      <c r="AC24" s="1391">
        <v>2022</v>
      </c>
      <c r="AD24" s="1391">
        <v>2023</v>
      </c>
      <c r="AE24" s="1391" t="s">
        <v>8194</v>
      </c>
      <c r="AH24" s="1944"/>
      <c r="AI24" s="1944"/>
      <c r="AJ24" s="1944"/>
      <c r="AK24" s="1944"/>
      <c r="AL24" s="1944"/>
      <c r="AM24" s="1944"/>
      <c r="AN24" s="1944"/>
      <c r="AO24" s="1944"/>
      <c r="AP24" s="1944"/>
      <c r="AQ24" s="1944"/>
    </row>
    <row r="25" spans="1:43">
      <c r="A25" s="537">
        <v>44050</v>
      </c>
      <c r="B25" s="1373" t="s">
        <v>7312</v>
      </c>
      <c r="C25" s="491" t="s">
        <v>69</v>
      </c>
      <c r="D25" s="491" t="s">
        <v>70</v>
      </c>
      <c r="E25" s="571" t="s">
        <v>7313</v>
      </c>
      <c r="F25" s="491">
        <v>3</v>
      </c>
      <c r="G25" s="495" t="s">
        <v>7310</v>
      </c>
      <c r="H25" s="491"/>
      <c r="I25" s="491" t="s">
        <v>7097</v>
      </c>
      <c r="J25" s="491"/>
      <c r="K25" s="536">
        <v>1138770</v>
      </c>
      <c r="L25" s="491" t="s">
        <v>251</v>
      </c>
      <c r="M25" s="537">
        <v>44057</v>
      </c>
      <c r="N25" s="537">
        <v>44091</v>
      </c>
      <c r="O25" s="537">
        <v>44182</v>
      </c>
      <c r="P25" s="495" t="s">
        <v>5774</v>
      </c>
      <c r="Q25" s="491"/>
      <c r="R25" s="536">
        <v>940666.44</v>
      </c>
      <c r="S25" s="536">
        <v>1034733.08</v>
      </c>
      <c r="T25" s="1471"/>
      <c r="U25" s="1471"/>
      <c r="V25" s="1471"/>
      <c r="W25" s="573">
        <v>44183</v>
      </c>
      <c r="X25" s="536" t="s">
        <v>8084</v>
      </c>
      <c r="Y25" s="537">
        <v>44225</v>
      </c>
      <c r="Z25" s="537">
        <v>44232</v>
      </c>
      <c r="AA25" s="537">
        <v>45319</v>
      </c>
      <c r="AB25" s="2140">
        <v>44648</v>
      </c>
      <c r="AC25" s="2109">
        <v>2022</v>
      </c>
      <c r="AD25" s="2109">
        <v>2023</v>
      </c>
      <c r="AE25" s="2109" t="s">
        <v>8194</v>
      </c>
      <c r="AH25" s="1944"/>
      <c r="AI25" s="1944"/>
      <c r="AJ25" s="1944"/>
      <c r="AK25" s="1944"/>
      <c r="AL25" s="1944"/>
      <c r="AM25" s="1944"/>
      <c r="AN25" s="1944"/>
      <c r="AO25" s="1944"/>
      <c r="AP25" s="1944"/>
      <c r="AQ25" s="1944"/>
    </row>
    <row r="26" spans="1:43" ht="15.75" thickBot="1">
      <c r="A26" s="1380">
        <v>44050</v>
      </c>
      <c r="B26" s="1377" t="s">
        <v>7312</v>
      </c>
      <c r="C26" s="1376" t="s">
        <v>69</v>
      </c>
      <c r="D26" s="1376" t="s">
        <v>70</v>
      </c>
      <c r="E26" s="1378" t="s">
        <v>7313</v>
      </c>
      <c r="F26" s="1376">
        <v>4</v>
      </c>
      <c r="G26" s="1421" t="s">
        <v>7311</v>
      </c>
      <c r="H26" s="1376"/>
      <c r="I26" s="1376" t="s">
        <v>7097</v>
      </c>
      <c r="J26" s="1376"/>
      <c r="K26" s="1379">
        <v>933372</v>
      </c>
      <c r="L26" s="1376" t="s">
        <v>251</v>
      </c>
      <c r="M26" s="1380">
        <v>44057</v>
      </c>
      <c r="N26" s="1380">
        <v>44091</v>
      </c>
      <c r="O26" s="1380">
        <v>44174</v>
      </c>
      <c r="P26" s="1421" t="s">
        <v>1564</v>
      </c>
      <c r="Q26" s="1376"/>
      <c r="R26" s="1379">
        <v>933314.4</v>
      </c>
      <c r="S26" s="1379">
        <v>1026645.84</v>
      </c>
      <c r="T26" s="1475"/>
      <c r="U26" s="1475"/>
      <c r="V26" s="1475"/>
      <c r="W26" s="1388">
        <v>44174</v>
      </c>
      <c r="X26" s="1379" t="s">
        <v>8027</v>
      </c>
      <c r="Y26" s="1380">
        <v>44225</v>
      </c>
      <c r="Z26" s="1380">
        <v>44232</v>
      </c>
      <c r="AA26" s="1380">
        <v>45319</v>
      </c>
      <c r="AB26" s="2117">
        <v>44648</v>
      </c>
      <c r="AC26" s="2110">
        <v>2022</v>
      </c>
      <c r="AD26" s="2110">
        <v>2023</v>
      </c>
      <c r="AE26" s="2110" t="s">
        <v>8194</v>
      </c>
      <c r="AH26" s="1944"/>
      <c r="AI26" s="1944"/>
      <c r="AJ26" s="1944"/>
      <c r="AK26" s="1944"/>
      <c r="AL26" s="1944"/>
      <c r="AM26" s="1944"/>
      <c r="AN26" s="1944"/>
      <c r="AO26" s="1944"/>
      <c r="AP26" s="1944"/>
      <c r="AQ26" s="1944"/>
    </row>
    <row r="27" spans="1:43" ht="15.75" thickTop="1">
      <c r="A27" s="643">
        <v>44057</v>
      </c>
      <c r="B27" s="639" t="s">
        <v>7374</v>
      </c>
      <c r="C27" s="639" t="s">
        <v>52</v>
      </c>
      <c r="D27" s="639" t="s">
        <v>2588</v>
      </c>
      <c r="E27" s="640" t="s">
        <v>7438</v>
      </c>
      <c r="F27" s="639"/>
      <c r="G27" s="1533"/>
      <c r="H27" s="639"/>
      <c r="I27" s="639" t="s">
        <v>484</v>
      </c>
      <c r="J27" s="639" t="s">
        <v>7375</v>
      </c>
      <c r="K27" s="645">
        <v>62500000</v>
      </c>
      <c r="L27" s="639" t="s">
        <v>251</v>
      </c>
      <c r="M27" s="643">
        <v>44147</v>
      </c>
      <c r="N27" s="643">
        <v>44179</v>
      </c>
      <c r="O27" s="639"/>
      <c r="P27" s="644" t="s">
        <v>8125</v>
      </c>
      <c r="Q27" s="2019" t="s">
        <v>8523</v>
      </c>
      <c r="R27" s="645"/>
      <c r="S27" s="645"/>
      <c r="T27" s="1534"/>
      <c r="U27" s="1534"/>
      <c r="V27" s="1534"/>
      <c r="W27" s="645"/>
      <c r="X27" s="645"/>
      <c r="Y27" s="639"/>
      <c r="Z27" s="643">
        <v>44225</v>
      </c>
      <c r="AA27" s="639" t="s">
        <v>8191</v>
      </c>
      <c r="AB27" s="185"/>
      <c r="AC27" s="185"/>
      <c r="AH27" s="1944"/>
      <c r="AI27" s="1944"/>
      <c r="AJ27" s="1944"/>
      <c r="AK27" s="1944"/>
      <c r="AL27" s="1944"/>
      <c r="AM27" s="1944"/>
      <c r="AN27" s="1944"/>
      <c r="AO27" s="1944"/>
      <c r="AP27" s="1944"/>
      <c r="AQ27" s="1944"/>
    </row>
    <row r="28" spans="1:43">
      <c r="A28" s="537">
        <v>44068</v>
      </c>
      <c r="B28" s="491" t="s">
        <v>7455</v>
      </c>
      <c r="C28" s="491" t="s">
        <v>1032</v>
      </c>
      <c r="D28" s="491" t="s">
        <v>1033</v>
      </c>
      <c r="E28" s="571" t="s">
        <v>7461</v>
      </c>
      <c r="F28" s="491"/>
      <c r="G28" s="495"/>
      <c r="H28" s="491"/>
      <c r="I28" s="491" t="s">
        <v>6152</v>
      </c>
      <c r="J28" s="491" t="s">
        <v>6155</v>
      </c>
      <c r="K28" s="536">
        <v>8650000</v>
      </c>
      <c r="L28" s="491" t="s">
        <v>216</v>
      </c>
      <c r="M28" s="537">
        <v>44089</v>
      </c>
      <c r="N28" s="537">
        <v>44112</v>
      </c>
      <c r="O28" s="537">
        <v>44147</v>
      </c>
      <c r="P28" s="495" t="s">
        <v>7863</v>
      </c>
      <c r="Q28" s="491"/>
      <c r="R28" s="536">
        <v>8127838.2699999996</v>
      </c>
      <c r="S28" s="536">
        <v>9834684.3100000005</v>
      </c>
      <c r="T28" s="1471"/>
      <c r="U28" s="1471"/>
      <c r="V28" s="1471"/>
      <c r="W28" s="573">
        <v>44148</v>
      </c>
      <c r="X28" s="536" t="s">
        <v>7906</v>
      </c>
      <c r="Y28" s="537">
        <v>44208</v>
      </c>
      <c r="Z28" s="537">
        <v>44215</v>
      </c>
      <c r="AA28" s="537">
        <f>Y28+98</f>
        <v>44306</v>
      </c>
      <c r="AB28" s="537">
        <v>44616</v>
      </c>
      <c r="AC28" s="1102"/>
    </row>
    <row r="29" spans="1:43">
      <c r="A29" s="537">
        <v>44069</v>
      </c>
      <c r="B29" s="491" t="s">
        <v>7462</v>
      </c>
      <c r="C29" s="491" t="s">
        <v>52</v>
      </c>
      <c r="D29" s="491" t="s">
        <v>2588</v>
      </c>
      <c r="E29" s="571" t="s">
        <v>7463</v>
      </c>
      <c r="F29" s="491"/>
      <c r="G29" s="495"/>
      <c r="H29" s="491"/>
      <c r="I29" s="491" t="s">
        <v>484</v>
      </c>
      <c r="J29" s="491" t="s">
        <v>7464</v>
      </c>
      <c r="K29" s="536">
        <v>40000000</v>
      </c>
      <c r="L29" s="491" t="s">
        <v>251</v>
      </c>
      <c r="M29" s="537">
        <v>44078</v>
      </c>
      <c r="N29" s="537">
        <v>44137</v>
      </c>
      <c r="O29" s="537">
        <v>44232</v>
      </c>
      <c r="P29" s="495" t="s">
        <v>8192</v>
      </c>
      <c r="Q29" s="491"/>
      <c r="R29" s="536">
        <v>25200000</v>
      </c>
      <c r="S29" s="536">
        <f>R29*1.21</f>
        <v>30492000</v>
      </c>
      <c r="T29" s="1471"/>
      <c r="U29" s="1471"/>
      <c r="V29" s="1471"/>
      <c r="W29" s="573">
        <v>44232</v>
      </c>
      <c r="X29" s="536" t="s">
        <v>8255</v>
      </c>
      <c r="Y29" s="537">
        <v>44267</v>
      </c>
      <c r="Z29" s="537">
        <v>44270</v>
      </c>
      <c r="AA29" s="537">
        <f>Y29+245</f>
        <v>44512</v>
      </c>
      <c r="AB29" s="1525">
        <v>44592</v>
      </c>
      <c r="AC29" s="1102"/>
    </row>
    <row r="30" spans="1:43">
      <c r="A30" s="510">
        <v>44075</v>
      </c>
      <c r="B30" s="506" t="s">
        <v>7482</v>
      </c>
      <c r="C30" s="506" t="s">
        <v>52</v>
      </c>
      <c r="D30" s="506" t="s">
        <v>2588</v>
      </c>
      <c r="E30" s="507" t="s">
        <v>7483</v>
      </c>
      <c r="F30" s="506"/>
      <c r="G30" s="548"/>
      <c r="H30" s="506"/>
      <c r="I30" s="506" t="s">
        <v>484</v>
      </c>
      <c r="J30" s="506" t="s">
        <v>7484</v>
      </c>
      <c r="K30" s="511">
        <v>40000000</v>
      </c>
      <c r="L30" s="506" t="s">
        <v>251</v>
      </c>
      <c r="M30" s="510">
        <v>44081</v>
      </c>
      <c r="N30" s="510">
        <v>44141</v>
      </c>
      <c r="O30" s="506"/>
      <c r="P30" s="736" t="s">
        <v>4964</v>
      </c>
      <c r="Q30" s="761" t="s">
        <v>9070</v>
      </c>
      <c r="R30" s="511"/>
      <c r="S30" s="511"/>
      <c r="T30" s="1470"/>
      <c r="U30" s="1470"/>
      <c r="V30" s="1470"/>
      <c r="W30" s="511"/>
      <c r="X30" s="511"/>
      <c r="Y30" s="506"/>
      <c r="Z30" s="510">
        <v>44301</v>
      </c>
      <c r="AA30" s="548" t="s">
        <v>8480</v>
      </c>
      <c r="AB30" s="506"/>
      <c r="AC30" s="506"/>
    </row>
    <row r="31" spans="1:43" ht="30.75" thickBot="1">
      <c r="A31" s="537">
        <v>44075</v>
      </c>
      <c r="B31" s="491" t="s">
        <v>7485</v>
      </c>
      <c r="C31" s="491" t="s">
        <v>58</v>
      </c>
      <c r="D31" s="491" t="s">
        <v>2684</v>
      </c>
      <c r="E31" s="571" t="s">
        <v>7486</v>
      </c>
      <c r="F31" s="491"/>
      <c r="G31" s="495"/>
      <c r="H31" s="491"/>
      <c r="I31" s="491" t="s">
        <v>301</v>
      </c>
      <c r="J31" s="491" t="s">
        <v>7487</v>
      </c>
      <c r="K31" s="536">
        <v>100000000</v>
      </c>
      <c r="L31" s="491" t="s">
        <v>251</v>
      </c>
      <c r="M31" s="537">
        <v>44182</v>
      </c>
      <c r="N31" s="537">
        <v>44225</v>
      </c>
      <c r="O31" s="537">
        <v>44246</v>
      </c>
      <c r="P31" s="495" t="s">
        <v>2780</v>
      </c>
      <c r="Q31" s="491"/>
      <c r="R31" s="536">
        <v>110023000</v>
      </c>
      <c r="S31" s="536">
        <v>133127830</v>
      </c>
      <c r="T31" s="1471"/>
      <c r="U31" s="1471"/>
      <c r="V31" s="1471"/>
      <c r="W31" s="573">
        <v>44249</v>
      </c>
      <c r="X31" s="1375" t="s">
        <v>8313</v>
      </c>
      <c r="Y31" s="537">
        <v>44280</v>
      </c>
      <c r="Z31" s="537">
        <v>44284</v>
      </c>
      <c r="AA31" s="491"/>
      <c r="AB31" s="422"/>
      <c r="AC31" s="422" t="s">
        <v>1875</v>
      </c>
    </row>
    <row r="32" spans="1:43" ht="15.75" thickTop="1">
      <c r="A32" s="474">
        <v>44078</v>
      </c>
      <c r="B32" s="453" t="s">
        <v>7529</v>
      </c>
      <c r="C32" s="453" t="s">
        <v>69</v>
      </c>
      <c r="D32" s="453" t="s">
        <v>70</v>
      </c>
      <c r="E32" s="473" t="s">
        <v>7528</v>
      </c>
      <c r="F32" s="453">
        <v>1</v>
      </c>
      <c r="G32" s="1420" t="s">
        <v>7525</v>
      </c>
      <c r="H32" s="453"/>
      <c r="I32" s="453" t="s">
        <v>2255</v>
      </c>
      <c r="J32" s="453"/>
      <c r="K32" s="457">
        <v>17281625</v>
      </c>
      <c r="L32" s="453" t="s">
        <v>251</v>
      </c>
      <c r="M32" s="474">
        <v>44081</v>
      </c>
      <c r="N32" s="474">
        <v>44151</v>
      </c>
      <c r="O32" s="474">
        <v>44183</v>
      </c>
      <c r="P32" s="1420" t="s">
        <v>7327</v>
      </c>
      <c r="Q32" s="453"/>
      <c r="R32" s="457">
        <v>17281625</v>
      </c>
      <c r="S32" s="457">
        <v>19009787.5</v>
      </c>
      <c r="T32" s="1474"/>
      <c r="U32" s="1474"/>
      <c r="V32" s="1474"/>
      <c r="W32" s="570">
        <v>44183</v>
      </c>
      <c r="X32" s="457" t="s">
        <v>8085</v>
      </c>
      <c r="Y32" s="474">
        <v>44204</v>
      </c>
      <c r="Z32" s="474">
        <v>44208</v>
      </c>
      <c r="AA32" s="474">
        <v>45298</v>
      </c>
      <c r="AB32" s="474">
        <v>44648</v>
      </c>
      <c r="AC32" s="1391">
        <v>2022</v>
      </c>
      <c r="AD32" s="1391">
        <v>2023</v>
      </c>
      <c r="AE32" s="1391" t="s">
        <v>8122</v>
      </c>
    </row>
    <row r="33" spans="1:33">
      <c r="A33" s="537">
        <v>44078</v>
      </c>
      <c r="B33" s="491" t="s">
        <v>7529</v>
      </c>
      <c r="C33" s="491" t="s">
        <v>69</v>
      </c>
      <c r="D33" s="491" t="s">
        <v>70</v>
      </c>
      <c r="E33" s="571" t="s">
        <v>7528</v>
      </c>
      <c r="F33" s="491">
        <v>2</v>
      </c>
      <c r="G33" s="495" t="s">
        <v>7526</v>
      </c>
      <c r="H33" s="491"/>
      <c r="I33" s="491" t="s">
        <v>2255</v>
      </c>
      <c r="J33" s="491"/>
      <c r="K33" s="536">
        <v>1223550</v>
      </c>
      <c r="L33" s="491" t="s">
        <v>251</v>
      </c>
      <c r="M33" s="537">
        <v>44081</v>
      </c>
      <c r="N33" s="537">
        <v>44151</v>
      </c>
      <c r="O33" s="537">
        <v>44183</v>
      </c>
      <c r="P33" s="495" t="s">
        <v>7327</v>
      </c>
      <c r="Q33" s="491"/>
      <c r="R33" s="536">
        <v>1223550</v>
      </c>
      <c r="S33" s="536">
        <v>1345905</v>
      </c>
      <c r="T33" s="1471"/>
      <c r="U33" s="1471"/>
      <c r="V33" s="1471"/>
      <c r="W33" s="573">
        <v>44183</v>
      </c>
      <c r="X33" s="536" t="s">
        <v>8086</v>
      </c>
      <c r="Y33" s="537">
        <v>44204</v>
      </c>
      <c r="Z33" s="537">
        <v>44208</v>
      </c>
      <c r="AA33" s="537">
        <v>45298</v>
      </c>
      <c r="AB33" s="2140">
        <v>44648</v>
      </c>
      <c r="AC33" s="2109">
        <v>2022</v>
      </c>
      <c r="AD33" s="2109">
        <v>2023</v>
      </c>
      <c r="AE33" s="2109" t="s">
        <v>8122</v>
      </c>
    </row>
    <row r="34" spans="1:33" ht="15.75" thickBot="1">
      <c r="A34" s="1380">
        <v>44078</v>
      </c>
      <c r="B34" s="1376" t="s">
        <v>7529</v>
      </c>
      <c r="C34" s="1376" t="s">
        <v>69</v>
      </c>
      <c r="D34" s="1376" t="s">
        <v>70</v>
      </c>
      <c r="E34" s="1378" t="s">
        <v>7528</v>
      </c>
      <c r="F34" s="1376">
        <v>3</v>
      </c>
      <c r="G34" s="1421" t="s">
        <v>7527</v>
      </c>
      <c r="H34" s="1376"/>
      <c r="I34" s="1376" t="s">
        <v>2255</v>
      </c>
      <c r="J34" s="1376"/>
      <c r="K34" s="1379">
        <v>98897533</v>
      </c>
      <c r="L34" s="1376" t="s">
        <v>251</v>
      </c>
      <c r="M34" s="1380">
        <v>44081</v>
      </c>
      <c r="N34" s="1380">
        <v>44151</v>
      </c>
      <c r="O34" s="1380">
        <v>44183</v>
      </c>
      <c r="P34" s="1421" t="s">
        <v>8035</v>
      </c>
      <c r="Q34" s="1376"/>
      <c r="R34" s="1379">
        <v>98897532.5</v>
      </c>
      <c r="S34" s="1379">
        <v>108787285.75</v>
      </c>
      <c r="T34" s="1475"/>
      <c r="U34" s="1475"/>
      <c r="V34" s="1475"/>
      <c r="W34" s="1388">
        <v>44183</v>
      </c>
      <c r="X34" s="1379" t="s">
        <v>8087</v>
      </c>
      <c r="Y34" s="1380">
        <v>44204</v>
      </c>
      <c r="Z34" s="1380">
        <v>44208</v>
      </c>
      <c r="AA34" s="1380">
        <v>45298</v>
      </c>
      <c r="AB34" s="2117">
        <v>44648</v>
      </c>
      <c r="AC34" s="2110">
        <v>2022</v>
      </c>
      <c r="AD34" s="2110">
        <v>2023</v>
      </c>
      <c r="AE34" s="2110" t="s">
        <v>8122</v>
      </c>
    </row>
    <row r="35" spans="1:33" ht="15.75" thickTop="1">
      <c r="A35" s="474">
        <v>44078</v>
      </c>
      <c r="B35" s="453" t="s">
        <v>7530</v>
      </c>
      <c r="C35" s="453" t="s">
        <v>69</v>
      </c>
      <c r="D35" s="453" t="s">
        <v>70</v>
      </c>
      <c r="E35" s="473" t="s">
        <v>7531</v>
      </c>
      <c r="F35" s="453">
        <v>1</v>
      </c>
      <c r="G35" s="1420" t="s">
        <v>7532</v>
      </c>
      <c r="H35" s="453"/>
      <c r="I35" s="453" t="s">
        <v>68</v>
      </c>
      <c r="J35" s="453"/>
      <c r="K35" s="457">
        <v>26177675</v>
      </c>
      <c r="L35" s="453" t="s">
        <v>251</v>
      </c>
      <c r="M35" s="474">
        <v>44084</v>
      </c>
      <c r="N35" s="474">
        <v>44118</v>
      </c>
      <c r="O35" s="474">
        <v>44160</v>
      </c>
      <c r="P35" s="1420" t="s">
        <v>576</v>
      </c>
      <c r="Q35" s="453"/>
      <c r="R35" s="457">
        <v>25744379.5</v>
      </c>
      <c r="S35" s="457">
        <v>28318817.449999999</v>
      </c>
      <c r="T35" s="1474"/>
      <c r="U35" s="1474"/>
      <c r="V35" s="1474"/>
      <c r="W35" s="570">
        <v>44161</v>
      </c>
      <c r="X35" s="457" t="s">
        <v>7962</v>
      </c>
      <c r="Y35" s="474">
        <v>44209</v>
      </c>
      <c r="Z35" s="474">
        <v>44211</v>
      </c>
      <c r="AA35" s="474">
        <v>46034</v>
      </c>
      <c r="AB35" s="365">
        <v>44648</v>
      </c>
      <c r="AC35" s="451">
        <v>2022</v>
      </c>
      <c r="AD35" s="388">
        <v>2023</v>
      </c>
      <c r="AE35" s="388">
        <v>2024</v>
      </c>
      <c r="AF35" s="388">
        <v>2025</v>
      </c>
      <c r="AG35" s="388" t="s">
        <v>8140</v>
      </c>
    </row>
    <row r="36" spans="1:33" ht="15.75" thickBot="1">
      <c r="A36" s="365">
        <v>44078</v>
      </c>
      <c r="B36" s="2282" t="s">
        <v>7535</v>
      </c>
      <c r="C36" s="2282" t="s">
        <v>69</v>
      </c>
      <c r="D36" s="2282" t="s">
        <v>70</v>
      </c>
      <c r="E36" s="175" t="s">
        <v>8580</v>
      </c>
      <c r="F36" s="2282"/>
      <c r="G36" s="2283"/>
      <c r="H36" s="2282"/>
      <c r="I36" s="2282" t="s">
        <v>68</v>
      </c>
      <c r="J36" s="2282"/>
      <c r="K36" s="364">
        <v>8423486</v>
      </c>
      <c r="L36" s="2282" t="s">
        <v>251</v>
      </c>
      <c r="M36" s="365">
        <v>44162</v>
      </c>
      <c r="N36" s="365">
        <v>44249</v>
      </c>
      <c r="O36" s="365">
        <v>44270</v>
      </c>
      <c r="P36" s="2283" t="s">
        <v>6969</v>
      </c>
      <c r="Q36" s="2282"/>
      <c r="R36" s="364">
        <v>8423483.2799999993</v>
      </c>
      <c r="S36" s="364">
        <v>9265831.6099999994</v>
      </c>
      <c r="T36" s="1473"/>
      <c r="U36" s="1473"/>
      <c r="V36" s="1473"/>
      <c r="W36" s="681">
        <v>44270</v>
      </c>
      <c r="X36" s="364" t="s">
        <v>8434</v>
      </c>
      <c r="Y36" s="365">
        <v>44294</v>
      </c>
      <c r="Z36" s="365">
        <v>44314</v>
      </c>
      <c r="AA36" s="365">
        <v>45754</v>
      </c>
      <c r="AB36" s="365">
        <v>44648</v>
      </c>
      <c r="AC36" s="451">
        <v>2022</v>
      </c>
      <c r="AD36" s="388">
        <v>2023</v>
      </c>
      <c r="AE36" s="388">
        <v>2024</v>
      </c>
      <c r="AF36" s="388" t="s">
        <v>8563</v>
      </c>
    </row>
    <row r="37" spans="1:33" ht="15.75" thickTop="1">
      <c r="A37" s="474">
        <v>44082</v>
      </c>
      <c r="B37" s="453" t="s">
        <v>7549</v>
      </c>
      <c r="C37" s="453" t="s">
        <v>69</v>
      </c>
      <c r="D37" s="453" t="s">
        <v>70</v>
      </c>
      <c r="E37" s="473" t="s">
        <v>7550</v>
      </c>
      <c r="F37" s="453">
        <v>1</v>
      </c>
      <c r="G37" s="1420" t="s">
        <v>7551</v>
      </c>
      <c r="H37" s="453"/>
      <c r="I37" s="453" t="s">
        <v>72</v>
      </c>
      <c r="J37" s="453"/>
      <c r="K37" s="457">
        <v>15458000</v>
      </c>
      <c r="L37" s="453" t="s">
        <v>251</v>
      </c>
      <c r="M37" s="474">
        <v>44091</v>
      </c>
      <c r="N37" s="474">
        <v>44123</v>
      </c>
      <c r="O37" s="474">
        <v>44166</v>
      </c>
      <c r="P37" s="1420" t="s">
        <v>2548</v>
      </c>
      <c r="Q37" s="453"/>
      <c r="R37" s="457">
        <v>15457754.07</v>
      </c>
      <c r="S37" s="457">
        <v>17003529.48</v>
      </c>
      <c r="T37" s="1474"/>
      <c r="U37" s="1474"/>
      <c r="V37" s="1474"/>
      <c r="W37" s="570">
        <v>44166</v>
      </c>
      <c r="X37" s="457" t="s">
        <v>7980</v>
      </c>
      <c r="Y37" s="474">
        <v>44193</v>
      </c>
      <c r="Z37" s="474">
        <v>44207</v>
      </c>
      <c r="AA37" s="474">
        <v>45287</v>
      </c>
      <c r="AB37" s="453" t="s">
        <v>8483</v>
      </c>
      <c r="AC37" s="474">
        <v>44648</v>
      </c>
      <c r="AD37" s="388">
        <v>2022</v>
      </c>
      <c r="AE37" s="388" t="s">
        <v>8121</v>
      </c>
    </row>
    <row r="38" spans="1:33">
      <c r="A38" s="365">
        <v>44078</v>
      </c>
      <c r="B38" s="2282" t="s">
        <v>7554</v>
      </c>
      <c r="C38" s="2282" t="s">
        <v>14</v>
      </c>
      <c r="D38" s="2282" t="s">
        <v>13</v>
      </c>
      <c r="E38" s="175" t="s">
        <v>7555</v>
      </c>
      <c r="F38" s="2282"/>
      <c r="G38" s="2283"/>
      <c r="H38" s="2282"/>
      <c r="I38" s="2282" t="s">
        <v>2869</v>
      </c>
      <c r="J38" s="2282"/>
      <c r="K38" s="364">
        <v>4960000</v>
      </c>
      <c r="L38" s="2282" t="s">
        <v>251</v>
      </c>
      <c r="M38" s="365">
        <v>44113</v>
      </c>
      <c r="N38" s="365">
        <v>44209</v>
      </c>
      <c r="O38" s="365">
        <v>44236</v>
      </c>
      <c r="P38" s="2283" t="s">
        <v>8240</v>
      </c>
      <c r="Q38" s="2282"/>
      <c r="R38" s="364">
        <v>4982093</v>
      </c>
      <c r="S38" s="364">
        <v>6028332.5300000003</v>
      </c>
      <c r="T38" s="1473"/>
      <c r="U38" s="1473"/>
      <c r="V38" s="1473"/>
      <c r="W38" s="681">
        <v>44236</v>
      </c>
      <c r="X38" s="364" t="s">
        <v>8241</v>
      </c>
      <c r="Y38" s="365">
        <v>44258</v>
      </c>
      <c r="Z38" s="365">
        <v>44259</v>
      </c>
      <c r="AA38" s="365">
        <v>44987</v>
      </c>
      <c r="AB38" s="365">
        <v>44643</v>
      </c>
      <c r="AC38" s="451">
        <v>2022</v>
      </c>
      <c r="AD38" s="388" t="s">
        <v>8393</v>
      </c>
    </row>
    <row r="39" spans="1:33">
      <c r="A39" s="537">
        <v>44089</v>
      </c>
      <c r="B39" s="491" t="s">
        <v>7591</v>
      </c>
      <c r="C39" s="491" t="s">
        <v>14</v>
      </c>
      <c r="D39" s="491" t="s">
        <v>13</v>
      </c>
      <c r="E39" s="571" t="s">
        <v>7592</v>
      </c>
      <c r="F39" s="491"/>
      <c r="G39" s="495"/>
      <c r="H39" s="491"/>
      <c r="I39" s="491" t="s">
        <v>773</v>
      </c>
      <c r="J39" s="491"/>
      <c r="K39" s="536">
        <v>7319250</v>
      </c>
      <c r="L39" s="491" t="s">
        <v>251</v>
      </c>
      <c r="M39" s="537">
        <v>44096</v>
      </c>
      <c r="N39" s="537">
        <v>44165</v>
      </c>
      <c r="O39" s="537">
        <v>43873</v>
      </c>
      <c r="P39" s="495" t="s">
        <v>8258</v>
      </c>
      <c r="Q39" s="491"/>
      <c r="R39" s="536">
        <v>7072650</v>
      </c>
      <c r="S39" s="536">
        <v>8557906.5</v>
      </c>
      <c r="T39" s="1471"/>
      <c r="U39" s="1471"/>
      <c r="V39" s="1471"/>
      <c r="W39" s="573">
        <v>43876</v>
      </c>
      <c r="X39" s="536" t="s">
        <v>8259</v>
      </c>
      <c r="Y39" s="537">
        <v>44287</v>
      </c>
      <c r="Z39" s="537">
        <v>44293</v>
      </c>
      <c r="AA39" s="537">
        <v>44651</v>
      </c>
      <c r="AB39" s="537">
        <v>44643</v>
      </c>
      <c r="AC39" s="1374" t="s">
        <v>8524</v>
      </c>
    </row>
    <row r="40" spans="1:33" ht="15.75" thickBot="1">
      <c r="A40" s="537">
        <v>44081</v>
      </c>
      <c r="B40" s="491" t="s">
        <v>7590</v>
      </c>
      <c r="C40" s="491" t="s">
        <v>1032</v>
      </c>
      <c r="D40" s="491" t="s">
        <v>361</v>
      </c>
      <c r="E40" s="571" t="s">
        <v>7702</v>
      </c>
      <c r="F40" s="491"/>
      <c r="G40" s="495"/>
      <c r="H40" s="491"/>
      <c r="I40" s="491" t="s">
        <v>4262</v>
      </c>
      <c r="J40" s="491"/>
      <c r="K40" s="536">
        <v>3500000</v>
      </c>
      <c r="L40" s="491" t="s">
        <v>251</v>
      </c>
      <c r="M40" s="537">
        <v>44110</v>
      </c>
      <c r="N40" s="537">
        <v>44173</v>
      </c>
      <c r="O40" s="537">
        <v>44200</v>
      </c>
      <c r="P40" s="495" t="s">
        <v>288</v>
      </c>
      <c r="Q40" s="491"/>
      <c r="R40" s="536">
        <v>2790000</v>
      </c>
      <c r="S40" s="536">
        <v>3375900</v>
      </c>
      <c r="T40" s="1471"/>
      <c r="U40" s="1471"/>
      <c r="V40" s="1471"/>
      <c r="W40" s="573">
        <v>44200</v>
      </c>
      <c r="X40" s="536" t="s">
        <v>8113</v>
      </c>
      <c r="Y40" s="537">
        <v>44286</v>
      </c>
      <c r="Z40" s="537">
        <v>44293</v>
      </c>
      <c r="AA40" s="491"/>
      <c r="AB40" s="537">
        <v>44698</v>
      </c>
      <c r="AC40" s="967"/>
    </row>
    <row r="41" spans="1:33" ht="15.75" thickTop="1">
      <c r="A41" s="474">
        <v>44090</v>
      </c>
      <c r="B41" s="453" t="s">
        <v>7598</v>
      </c>
      <c r="C41" s="453" t="s">
        <v>69</v>
      </c>
      <c r="D41" s="453" t="s">
        <v>70</v>
      </c>
      <c r="E41" s="473" t="s">
        <v>7599</v>
      </c>
      <c r="F41" s="453">
        <v>1</v>
      </c>
      <c r="G41" s="1420" t="s">
        <v>7600</v>
      </c>
      <c r="H41" s="453"/>
      <c r="I41" s="453" t="s">
        <v>68</v>
      </c>
      <c r="J41" s="453"/>
      <c r="K41" s="457">
        <v>39747523</v>
      </c>
      <c r="L41" s="453" t="s">
        <v>251</v>
      </c>
      <c r="M41" s="474">
        <v>44096</v>
      </c>
      <c r="N41" s="474">
        <v>44130</v>
      </c>
      <c r="O41" s="474">
        <v>44167</v>
      </c>
      <c r="P41" s="1420" t="s">
        <v>2548</v>
      </c>
      <c r="Q41" s="453"/>
      <c r="R41" s="457">
        <v>39747521.100000001</v>
      </c>
      <c r="S41" s="457">
        <v>43722273.210000001</v>
      </c>
      <c r="T41" s="1474"/>
      <c r="U41" s="1474"/>
      <c r="V41" s="1474"/>
      <c r="W41" s="570">
        <v>44167</v>
      </c>
      <c r="X41" s="457" t="s">
        <v>7991</v>
      </c>
      <c r="Y41" s="474">
        <v>44214</v>
      </c>
      <c r="Z41" s="474">
        <v>44216</v>
      </c>
      <c r="AA41" s="474">
        <v>46039</v>
      </c>
      <c r="AB41" s="474">
        <v>44648</v>
      </c>
      <c r="AC41" s="1391">
        <v>2022</v>
      </c>
      <c r="AD41" s="1391">
        <v>2023</v>
      </c>
      <c r="AE41" s="1391">
        <v>2024</v>
      </c>
      <c r="AF41" s="1391">
        <v>2025</v>
      </c>
      <c r="AG41" s="1391" t="s">
        <v>8152</v>
      </c>
    </row>
    <row r="42" spans="1:33">
      <c r="A42" s="537">
        <v>44090</v>
      </c>
      <c r="B42" s="491" t="s">
        <v>7598</v>
      </c>
      <c r="C42" s="491" t="s">
        <v>69</v>
      </c>
      <c r="D42" s="491" t="s">
        <v>70</v>
      </c>
      <c r="E42" s="571" t="s">
        <v>7599</v>
      </c>
      <c r="F42" s="491">
        <v>2</v>
      </c>
      <c r="G42" s="495" t="s">
        <v>7601</v>
      </c>
      <c r="H42" s="491"/>
      <c r="I42" s="491" t="s">
        <v>68</v>
      </c>
      <c r="J42" s="491"/>
      <c r="K42" s="536">
        <v>2834659</v>
      </c>
      <c r="L42" s="491" t="s">
        <v>251</v>
      </c>
      <c r="M42" s="537">
        <v>44096</v>
      </c>
      <c r="N42" s="537">
        <v>44130</v>
      </c>
      <c r="O42" s="537">
        <v>44167</v>
      </c>
      <c r="P42" s="495" t="s">
        <v>2548</v>
      </c>
      <c r="Q42" s="491"/>
      <c r="R42" s="536">
        <v>2834657.1</v>
      </c>
      <c r="S42" s="536">
        <v>3118122.81</v>
      </c>
      <c r="T42" s="1471"/>
      <c r="U42" s="1471"/>
      <c r="V42" s="1471"/>
      <c r="W42" s="573">
        <v>44167</v>
      </c>
      <c r="X42" s="536" t="s">
        <v>7992</v>
      </c>
      <c r="Y42" s="537">
        <v>44214</v>
      </c>
      <c r="Z42" s="537">
        <v>44216</v>
      </c>
      <c r="AA42" s="537">
        <v>46039</v>
      </c>
      <c r="AB42" s="537">
        <v>44648</v>
      </c>
      <c r="AC42" s="2109">
        <v>2022</v>
      </c>
      <c r="AD42" s="2109">
        <v>2023</v>
      </c>
      <c r="AE42" s="2109">
        <v>2024</v>
      </c>
      <c r="AF42" s="2109">
        <v>2025</v>
      </c>
      <c r="AG42" s="2109" t="s">
        <v>8152</v>
      </c>
    </row>
    <row r="43" spans="1:33">
      <c r="A43" s="537">
        <v>44090</v>
      </c>
      <c r="B43" s="491" t="s">
        <v>7598</v>
      </c>
      <c r="C43" s="491" t="s">
        <v>69</v>
      </c>
      <c r="D43" s="491" t="s">
        <v>70</v>
      </c>
      <c r="E43" s="571" t="s">
        <v>7599</v>
      </c>
      <c r="F43" s="491">
        <v>3</v>
      </c>
      <c r="G43" s="495" t="s">
        <v>7602</v>
      </c>
      <c r="H43" s="491"/>
      <c r="I43" s="491" t="s">
        <v>68</v>
      </c>
      <c r="J43" s="491"/>
      <c r="K43" s="536">
        <v>3091238</v>
      </c>
      <c r="L43" s="491" t="s">
        <v>251</v>
      </c>
      <c r="M43" s="537">
        <v>44096</v>
      </c>
      <c r="N43" s="537">
        <v>44130</v>
      </c>
      <c r="O43" s="537">
        <v>44167</v>
      </c>
      <c r="P43" s="495" t="s">
        <v>2548</v>
      </c>
      <c r="Q43" s="491"/>
      <c r="R43" s="536">
        <v>3058371.85</v>
      </c>
      <c r="S43" s="536">
        <v>3364209.04</v>
      </c>
      <c r="T43" s="1471"/>
      <c r="U43" s="1471"/>
      <c r="V43" s="1471"/>
      <c r="W43" s="573">
        <v>44167</v>
      </c>
      <c r="X43" s="536" t="s">
        <v>7993</v>
      </c>
      <c r="Y43" s="537">
        <v>44214</v>
      </c>
      <c r="Z43" s="537">
        <v>44216</v>
      </c>
      <c r="AA43" s="537">
        <v>46039</v>
      </c>
      <c r="AB43" s="537">
        <v>44648</v>
      </c>
      <c r="AC43" s="2109">
        <v>2022</v>
      </c>
      <c r="AD43" s="2109">
        <v>2023</v>
      </c>
      <c r="AE43" s="2109">
        <v>2024</v>
      </c>
      <c r="AF43" s="2109">
        <v>2025</v>
      </c>
      <c r="AG43" s="2109" t="s">
        <v>8152</v>
      </c>
    </row>
    <row r="44" spans="1:33">
      <c r="A44" s="537">
        <v>44090</v>
      </c>
      <c r="B44" s="491" t="s">
        <v>7598</v>
      </c>
      <c r="C44" s="491" t="s">
        <v>69</v>
      </c>
      <c r="D44" s="491" t="s">
        <v>70</v>
      </c>
      <c r="E44" s="571" t="s">
        <v>7599</v>
      </c>
      <c r="F44" s="491">
        <v>4</v>
      </c>
      <c r="G44" s="495" t="s">
        <v>7603</v>
      </c>
      <c r="H44" s="491"/>
      <c r="I44" s="491" t="s">
        <v>68</v>
      </c>
      <c r="J44" s="491"/>
      <c r="K44" s="536">
        <v>4157967</v>
      </c>
      <c r="L44" s="491" t="s">
        <v>251</v>
      </c>
      <c r="M44" s="537">
        <v>44096</v>
      </c>
      <c r="N44" s="537">
        <v>44130</v>
      </c>
      <c r="O44" s="537">
        <v>44167</v>
      </c>
      <c r="P44" s="495" t="s">
        <v>2548</v>
      </c>
      <c r="Q44" s="491"/>
      <c r="R44" s="536">
        <v>3978802.5</v>
      </c>
      <c r="S44" s="536">
        <v>4376682.75</v>
      </c>
      <c r="T44" s="1471"/>
      <c r="U44" s="1471"/>
      <c r="V44" s="1471"/>
      <c r="W44" s="573">
        <v>44167</v>
      </c>
      <c r="X44" s="536" t="s">
        <v>7994</v>
      </c>
      <c r="Y44" s="537">
        <v>44214</v>
      </c>
      <c r="Z44" s="537">
        <v>44216</v>
      </c>
      <c r="AA44" s="537">
        <v>46039</v>
      </c>
      <c r="AB44" s="537">
        <v>44648</v>
      </c>
      <c r="AC44" s="2109">
        <v>2022</v>
      </c>
      <c r="AD44" s="2109">
        <v>2023</v>
      </c>
      <c r="AE44" s="2109">
        <v>2024</v>
      </c>
      <c r="AF44" s="2109">
        <v>2025</v>
      </c>
      <c r="AG44" s="2109" t="s">
        <v>8152</v>
      </c>
    </row>
    <row r="45" spans="1:33">
      <c r="A45" s="537">
        <v>44090</v>
      </c>
      <c r="B45" s="491" t="s">
        <v>7598</v>
      </c>
      <c r="C45" s="491" t="s">
        <v>69</v>
      </c>
      <c r="D45" s="491" t="s">
        <v>70</v>
      </c>
      <c r="E45" s="571" t="s">
        <v>7599</v>
      </c>
      <c r="F45" s="491">
        <v>5</v>
      </c>
      <c r="G45" s="495" t="s">
        <v>7604</v>
      </c>
      <c r="H45" s="491"/>
      <c r="I45" s="491" t="s">
        <v>68</v>
      </c>
      <c r="J45" s="491"/>
      <c r="K45" s="536">
        <v>1749662</v>
      </c>
      <c r="L45" s="491" t="s">
        <v>251</v>
      </c>
      <c r="M45" s="537">
        <v>44096</v>
      </c>
      <c r="N45" s="537">
        <v>44130</v>
      </c>
      <c r="O45" s="537">
        <v>44167</v>
      </c>
      <c r="P45" s="495" t="s">
        <v>2548</v>
      </c>
      <c r="Q45" s="491"/>
      <c r="R45" s="536">
        <v>1745639.1</v>
      </c>
      <c r="S45" s="536">
        <v>1920203.01</v>
      </c>
      <c r="T45" s="1471"/>
      <c r="U45" s="1471"/>
      <c r="V45" s="1471"/>
      <c r="W45" s="573">
        <v>44167</v>
      </c>
      <c r="X45" s="536" t="s">
        <v>7995</v>
      </c>
      <c r="Y45" s="537">
        <v>44214</v>
      </c>
      <c r="Z45" s="537">
        <v>44216</v>
      </c>
      <c r="AA45" s="416">
        <v>46039</v>
      </c>
      <c r="AB45" s="416">
        <v>44648</v>
      </c>
      <c r="AC45" s="2109">
        <v>2022</v>
      </c>
      <c r="AD45" s="2109">
        <v>2023</v>
      </c>
      <c r="AE45" s="2109">
        <v>2024</v>
      </c>
      <c r="AF45" s="2109">
        <v>2025</v>
      </c>
      <c r="AG45" s="2109" t="s">
        <v>8152</v>
      </c>
    </row>
    <row r="46" spans="1:33" ht="15.75" thickBot="1">
      <c r="A46" s="1380">
        <v>44090</v>
      </c>
      <c r="B46" s="1376" t="s">
        <v>7598</v>
      </c>
      <c r="C46" s="1376" t="s">
        <v>69</v>
      </c>
      <c r="D46" s="1376" t="s">
        <v>70</v>
      </c>
      <c r="E46" s="1378" t="s">
        <v>7599</v>
      </c>
      <c r="F46" s="1376">
        <v>6</v>
      </c>
      <c r="G46" s="1421" t="s">
        <v>7605</v>
      </c>
      <c r="H46" s="1376"/>
      <c r="I46" s="1376" t="s">
        <v>68</v>
      </c>
      <c r="J46" s="1376"/>
      <c r="K46" s="1379">
        <v>4479566</v>
      </c>
      <c r="L46" s="1376" t="s">
        <v>251</v>
      </c>
      <c r="M46" s="1380">
        <v>44096</v>
      </c>
      <c r="N46" s="1380">
        <v>44130</v>
      </c>
      <c r="O46" s="1380">
        <v>44167</v>
      </c>
      <c r="P46" s="1421" t="s">
        <v>576</v>
      </c>
      <c r="Q46" s="1376"/>
      <c r="R46" s="1379">
        <v>4479563.8</v>
      </c>
      <c r="S46" s="1379">
        <v>4927520.18</v>
      </c>
      <c r="T46" s="1475"/>
      <c r="U46" s="1475"/>
      <c r="V46" s="1475"/>
      <c r="W46" s="1388">
        <v>44167</v>
      </c>
      <c r="X46" s="1379" t="s">
        <v>7996</v>
      </c>
      <c r="Y46" s="1380">
        <v>44209</v>
      </c>
      <c r="Z46" s="1380">
        <v>44216</v>
      </c>
      <c r="AA46" s="2117">
        <v>46034</v>
      </c>
      <c r="AB46" s="2117">
        <v>44648</v>
      </c>
      <c r="AC46" s="2110">
        <v>2022</v>
      </c>
      <c r="AD46" s="2110">
        <v>2023</v>
      </c>
      <c r="AE46" s="2110">
        <v>2024</v>
      </c>
      <c r="AF46" s="2110">
        <v>2025</v>
      </c>
      <c r="AG46" s="2110" t="s">
        <v>8140</v>
      </c>
    </row>
    <row r="47" spans="1:33" ht="15.75" thickTop="1">
      <c r="A47" s="365">
        <v>44082</v>
      </c>
      <c r="B47" s="2282" t="s">
        <v>7612</v>
      </c>
      <c r="C47" s="2282" t="s">
        <v>3678</v>
      </c>
      <c r="D47" s="2282" t="s">
        <v>918</v>
      </c>
      <c r="E47" s="175" t="s">
        <v>7613</v>
      </c>
      <c r="F47" s="2282"/>
      <c r="G47" s="2283"/>
      <c r="H47" s="2282"/>
      <c r="I47" s="2282" t="s">
        <v>1518</v>
      </c>
      <c r="J47" s="2282"/>
      <c r="K47" s="364">
        <v>3000000</v>
      </c>
      <c r="L47" s="2282" t="s">
        <v>216</v>
      </c>
      <c r="M47" s="365">
        <v>44096</v>
      </c>
      <c r="N47" s="365">
        <v>44118</v>
      </c>
      <c r="O47" s="365">
        <v>44145</v>
      </c>
      <c r="P47" s="2283" t="s">
        <v>2524</v>
      </c>
      <c r="Q47" s="2282"/>
      <c r="R47" s="364">
        <v>368940</v>
      </c>
      <c r="S47" s="364">
        <v>446417.4</v>
      </c>
      <c r="T47" s="1473"/>
      <c r="U47" s="1473"/>
      <c r="V47" s="1473"/>
      <c r="W47" s="681">
        <v>44146</v>
      </c>
      <c r="X47" s="364" t="s">
        <v>7871</v>
      </c>
      <c r="Y47" s="365">
        <v>44210</v>
      </c>
      <c r="Z47" s="365">
        <v>44217</v>
      </c>
      <c r="AA47" s="2282" t="s">
        <v>4096</v>
      </c>
      <c r="AB47" s="474">
        <v>44644</v>
      </c>
      <c r="AC47" s="1391">
        <v>2022</v>
      </c>
      <c r="AD47" s="1391">
        <v>2023</v>
      </c>
      <c r="AE47" s="1391">
        <v>2024</v>
      </c>
      <c r="AF47" s="1391">
        <v>2025</v>
      </c>
      <c r="AG47" s="1391">
        <v>2026</v>
      </c>
    </row>
    <row r="48" spans="1:33" ht="45">
      <c r="A48" s="491" t="s">
        <v>3585</v>
      </c>
      <c r="B48" s="491" t="s">
        <v>7617</v>
      </c>
      <c r="C48" s="491" t="s">
        <v>58</v>
      </c>
      <c r="D48" s="491" t="s">
        <v>2684</v>
      </c>
      <c r="E48" s="571" t="s">
        <v>7618</v>
      </c>
      <c r="F48" s="491"/>
      <c r="G48" s="495"/>
      <c r="H48" s="491"/>
      <c r="I48" s="491" t="s">
        <v>7619</v>
      </c>
      <c r="J48" s="491" t="s">
        <v>4253</v>
      </c>
      <c r="K48" s="536">
        <v>3542148</v>
      </c>
      <c r="L48" s="491" t="s">
        <v>216</v>
      </c>
      <c r="M48" s="537">
        <v>44096</v>
      </c>
      <c r="N48" s="537">
        <v>44119</v>
      </c>
      <c r="O48" s="537">
        <v>44232</v>
      </c>
      <c r="P48" s="495" t="s">
        <v>8183</v>
      </c>
      <c r="Q48" s="491"/>
      <c r="R48" s="536">
        <v>1585336</v>
      </c>
      <c r="S48" s="536">
        <v>1918256.56</v>
      </c>
      <c r="T48" s="1471"/>
      <c r="U48" s="1471"/>
      <c r="V48" s="1471"/>
      <c r="W48" s="573">
        <v>44232</v>
      </c>
      <c r="X48" s="1375" t="s">
        <v>8217</v>
      </c>
      <c r="Y48" s="537">
        <v>44357</v>
      </c>
      <c r="Z48" s="537">
        <v>44369</v>
      </c>
      <c r="AA48" s="537">
        <v>44385</v>
      </c>
      <c r="AB48" s="365">
        <v>44438</v>
      </c>
      <c r="AC48" s="451" t="s">
        <v>6118</v>
      </c>
    </row>
    <row r="49" spans="1:33" ht="45">
      <c r="A49" s="537">
        <v>44088</v>
      </c>
      <c r="B49" s="491" t="s">
        <v>7626</v>
      </c>
      <c r="C49" s="491" t="s">
        <v>1032</v>
      </c>
      <c r="D49" s="491" t="s">
        <v>361</v>
      </c>
      <c r="E49" s="571" t="s">
        <v>7627</v>
      </c>
      <c r="F49" s="491"/>
      <c r="G49" s="495"/>
      <c r="H49" s="491"/>
      <c r="I49" s="491" t="s">
        <v>1950</v>
      </c>
      <c r="J49" s="491"/>
      <c r="K49" s="536">
        <v>5800000</v>
      </c>
      <c r="L49" s="491" t="s">
        <v>251</v>
      </c>
      <c r="M49" s="537">
        <v>44111</v>
      </c>
      <c r="N49" s="537">
        <v>44153</v>
      </c>
      <c r="O49" s="537">
        <v>44165</v>
      </c>
      <c r="P49" s="495" t="s">
        <v>342</v>
      </c>
      <c r="Q49" s="491"/>
      <c r="R49" s="536">
        <v>5085998</v>
      </c>
      <c r="S49" s="536">
        <v>6154057.5800000001</v>
      </c>
      <c r="T49" s="1471"/>
      <c r="U49" s="1471"/>
      <c r="V49" s="1471"/>
      <c r="W49" s="573">
        <v>44165</v>
      </c>
      <c r="X49" s="1375" t="s">
        <v>7977</v>
      </c>
      <c r="Y49" s="537">
        <v>44222</v>
      </c>
      <c r="Z49" s="537">
        <v>44229</v>
      </c>
      <c r="AA49" s="537">
        <f>Y49+70</f>
        <v>44292</v>
      </c>
      <c r="AB49" s="1525">
        <v>44473</v>
      </c>
      <c r="AC49" s="1374" t="s">
        <v>1875</v>
      </c>
    </row>
    <row r="50" spans="1:33" ht="15.75" thickBot="1">
      <c r="A50" s="537">
        <v>44085</v>
      </c>
      <c r="B50" s="491" t="s">
        <v>7628</v>
      </c>
      <c r="C50" s="491" t="s">
        <v>52</v>
      </c>
      <c r="D50" s="491" t="s">
        <v>5894</v>
      </c>
      <c r="E50" s="571" t="s">
        <v>7629</v>
      </c>
      <c r="F50" s="491"/>
      <c r="G50" s="495"/>
      <c r="H50" s="491"/>
      <c r="I50" s="491" t="s">
        <v>33</v>
      </c>
      <c r="J50" s="491" t="s">
        <v>5143</v>
      </c>
      <c r="K50" s="536">
        <v>60000000</v>
      </c>
      <c r="L50" s="491" t="s">
        <v>251</v>
      </c>
      <c r="M50" s="537">
        <v>44097</v>
      </c>
      <c r="N50" s="537">
        <v>44134</v>
      </c>
      <c r="O50" s="537">
        <v>44158</v>
      </c>
      <c r="P50" s="495" t="s">
        <v>2626</v>
      </c>
      <c r="Q50" s="491"/>
      <c r="R50" s="536">
        <v>59460506.189999998</v>
      </c>
      <c r="S50" s="536">
        <v>71947212.489999995</v>
      </c>
      <c r="T50" s="1471"/>
      <c r="U50" s="1471"/>
      <c r="V50" s="1471"/>
      <c r="W50" s="573">
        <v>44158</v>
      </c>
      <c r="X50" s="536" t="s">
        <v>7934</v>
      </c>
      <c r="Y50" s="537">
        <v>44209</v>
      </c>
      <c r="Z50" s="537">
        <v>44216</v>
      </c>
      <c r="AA50" s="537">
        <f>Y50+450</f>
        <v>44659</v>
      </c>
      <c r="AB50" s="1525">
        <v>44865</v>
      </c>
      <c r="AC50" s="1102" t="s">
        <v>11656</v>
      </c>
      <c r="AD50" s="2705">
        <v>74916910.519999996</v>
      </c>
    </row>
    <row r="51" spans="1:33" ht="45.75" thickTop="1">
      <c r="A51" s="474">
        <v>44095</v>
      </c>
      <c r="B51" s="453" t="s">
        <v>7650</v>
      </c>
      <c r="C51" s="453" t="s">
        <v>2434</v>
      </c>
      <c r="D51" s="453" t="s">
        <v>751</v>
      </c>
      <c r="E51" s="473" t="s">
        <v>7651</v>
      </c>
      <c r="F51" s="453">
        <v>1</v>
      </c>
      <c r="G51" s="2043" t="s">
        <v>7652</v>
      </c>
      <c r="H51" s="453"/>
      <c r="I51" s="453" t="s">
        <v>2866</v>
      </c>
      <c r="J51" s="453"/>
      <c r="K51" s="457">
        <v>13712000</v>
      </c>
      <c r="L51" s="453" t="s">
        <v>251</v>
      </c>
      <c r="M51" s="474">
        <v>44113</v>
      </c>
      <c r="N51" s="474">
        <v>44146</v>
      </c>
      <c r="O51" s="474">
        <v>44166</v>
      </c>
      <c r="P51" s="1420" t="s">
        <v>7928</v>
      </c>
      <c r="Q51" s="453"/>
      <c r="R51" s="457">
        <v>13692775.68</v>
      </c>
      <c r="S51" s="457">
        <v>15806771.359999999</v>
      </c>
      <c r="T51" s="1474"/>
      <c r="U51" s="1474"/>
      <c r="V51" s="1474"/>
      <c r="W51" s="570">
        <v>44167</v>
      </c>
      <c r="X51" s="1387" t="s">
        <v>7985</v>
      </c>
      <c r="Y51" s="474">
        <v>44217</v>
      </c>
      <c r="Z51" s="474">
        <v>44229</v>
      </c>
      <c r="AA51" s="453" t="s">
        <v>4096</v>
      </c>
      <c r="AB51" s="474">
        <v>44641</v>
      </c>
      <c r="AC51" s="1391">
        <v>2022</v>
      </c>
      <c r="AD51" s="1391">
        <v>2023</v>
      </c>
      <c r="AE51" s="2138">
        <v>2024</v>
      </c>
      <c r="AF51" s="388">
        <v>2025</v>
      </c>
      <c r="AG51" s="388" t="s">
        <v>4435</v>
      </c>
    </row>
    <row r="52" spans="1:33" ht="32.25" customHeight="1">
      <c r="A52" s="537">
        <v>44095</v>
      </c>
      <c r="B52" s="491" t="s">
        <v>7650</v>
      </c>
      <c r="C52" s="491" t="s">
        <v>2434</v>
      </c>
      <c r="D52" s="491" t="s">
        <v>751</v>
      </c>
      <c r="E52" s="571" t="s">
        <v>7651</v>
      </c>
      <c r="F52" s="491">
        <v>2</v>
      </c>
      <c r="G52" s="2028" t="s">
        <v>7653</v>
      </c>
      <c r="H52" s="491"/>
      <c r="I52" s="491" t="s">
        <v>2866</v>
      </c>
      <c r="J52" s="491"/>
      <c r="K52" s="536">
        <v>82786000</v>
      </c>
      <c r="L52" s="491" t="s">
        <v>251</v>
      </c>
      <c r="M52" s="537">
        <v>44113</v>
      </c>
      <c r="N52" s="537">
        <v>44146</v>
      </c>
      <c r="O52" s="537">
        <v>44166</v>
      </c>
      <c r="P52" s="495" t="s">
        <v>7928</v>
      </c>
      <c r="Q52" s="491"/>
      <c r="R52" s="536">
        <v>81157914.239999995</v>
      </c>
      <c r="S52" s="536">
        <v>93603937.439999998</v>
      </c>
      <c r="T52" s="1471"/>
      <c r="U52" s="1471"/>
      <c r="V52" s="1471"/>
      <c r="W52" s="573">
        <v>44167</v>
      </c>
      <c r="X52" s="1375" t="s">
        <v>7989</v>
      </c>
      <c r="Y52" s="537">
        <v>44217</v>
      </c>
      <c r="Z52" s="537">
        <v>44229</v>
      </c>
      <c r="AA52" s="491" t="s">
        <v>4096</v>
      </c>
      <c r="AB52" s="537">
        <v>44641</v>
      </c>
      <c r="AC52" s="1374">
        <v>2022</v>
      </c>
      <c r="AD52" s="1374">
        <v>2023</v>
      </c>
      <c r="AE52" s="2139">
        <v>2024</v>
      </c>
      <c r="AF52" s="388">
        <v>2025</v>
      </c>
      <c r="AG52" s="388" t="s">
        <v>4435</v>
      </c>
    </row>
    <row r="53" spans="1:33" ht="30">
      <c r="A53" s="510">
        <v>44095</v>
      </c>
      <c r="B53" s="506" t="s">
        <v>7650</v>
      </c>
      <c r="C53" s="506" t="s">
        <v>2434</v>
      </c>
      <c r="D53" s="506" t="s">
        <v>751</v>
      </c>
      <c r="E53" s="507" t="s">
        <v>7651</v>
      </c>
      <c r="F53" s="506">
        <v>3</v>
      </c>
      <c r="G53" s="1423" t="s">
        <v>7654</v>
      </c>
      <c r="H53" s="590"/>
      <c r="I53" s="506" t="s">
        <v>2866</v>
      </c>
      <c r="J53" s="506"/>
      <c r="K53" s="511">
        <v>38800000</v>
      </c>
      <c r="L53" s="506" t="s">
        <v>251</v>
      </c>
      <c r="M53" s="510">
        <v>44113</v>
      </c>
      <c r="N53" s="510">
        <v>44146</v>
      </c>
      <c r="O53" s="510"/>
      <c r="P53" s="736" t="s">
        <v>8124</v>
      </c>
      <c r="Q53" s="1985" t="s">
        <v>8215</v>
      </c>
      <c r="R53" s="511"/>
      <c r="S53" s="511"/>
      <c r="T53" s="1484"/>
      <c r="U53" s="1484"/>
      <c r="V53" s="1484"/>
      <c r="W53" s="1398"/>
      <c r="X53" s="1561"/>
      <c r="Y53" s="506"/>
      <c r="Z53" s="510">
        <v>44229</v>
      </c>
      <c r="AA53" s="548" t="s">
        <v>8151</v>
      </c>
      <c r="AB53" s="506"/>
      <c r="AC53" s="506"/>
      <c r="AD53" s="1102"/>
      <c r="AE53" s="2023"/>
    </row>
    <row r="54" spans="1:33" ht="30">
      <c r="A54" s="510">
        <v>44095</v>
      </c>
      <c r="B54" s="506" t="s">
        <v>7650</v>
      </c>
      <c r="C54" s="506" t="s">
        <v>2434</v>
      </c>
      <c r="D54" s="506" t="s">
        <v>751</v>
      </c>
      <c r="E54" s="507" t="s">
        <v>7651</v>
      </c>
      <c r="F54" s="506">
        <v>4</v>
      </c>
      <c r="G54" s="1423" t="s">
        <v>7655</v>
      </c>
      <c r="H54" s="590"/>
      <c r="I54" s="506" t="s">
        <v>2866</v>
      </c>
      <c r="J54" s="506"/>
      <c r="K54" s="511">
        <v>7344000</v>
      </c>
      <c r="L54" s="506" t="s">
        <v>251</v>
      </c>
      <c r="M54" s="510">
        <v>44113</v>
      </c>
      <c r="N54" s="510">
        <v>44146</v>
      </c>
      <c r="O54" s="510"/>
      <c r="P54" s="736" t="s">
        <v>8124</v>
      </c>
      <c r="Q54" s="1985" t="s">
        <v>8215</v>
      </c>
      <c r="R54" s="511"/>
      <c r="S54" s="511"/>
      <c r="T54" s="1484"/>
      <c r="U54" s="1484"/>
      <c r="V54" s="1484"/>
      <c r="W54" s="1398"/>
      <c r="X54" s="1561"/>
      <c r="Y54" s="506"/>
      <c r="Z54" s="510">
        <v>44229</v>
      </c>
      <c r="AA54" s="548" t="s">
        <v>8151</v>
      </c>
      <c r="AB54" s="506"/>
      <c r="AC54" s="506"/>
      <c r="AD54" s="1102"/>
      <c r="AE54" s="2023"/>
    </row>
    <row r="55" spans="1:33" ht="15.75" thickBot="1">
      <c r="A55" s="1414">
        <v>44095</v>
      </c>
      <c r="B55" s="1410" t="s">
        <v>7650</v>
      </c>
      <c r="C55" s="1410" t="s">
        <v>2434</v>
      </c>
      <c r="D55" s="1410" t="s">
        <v>751</v>
      </c>
      <c r="E55" s="1412" t="s">
        <v>7651</v>
      </c>
      <c r="F55" s="1410">
        <v>5</v>
      </c>
      <c r="G55" s="2111" t="s">
        <v>3797</v>
      </c>
      <c r="H55" s="1356"/>
      <c r="I55" s="1410" t="s">
        <v>2866</v>
      </c>
      <c r="J55" s="1410"/>
      <c r="K55" s="1413">
        <v>11816000</v>
      </c>
      <c r="L55" s="1410" t="s">
        <v>251</v>
      </c>
      <c r="M55" s="1414">
        <v>44113</v>
      </c>
      <c r="N55" s="1414">
        <v>44146</v>
      </c>
      <c r="O55" s="1414"/>
      <c r="P55" s="1710" t="s">
        <v>8124</v>
      </c>
      <c r="Q55" s="2035" t="s">
        <v>8215</v>
      </c>
      <c r="R55" s="1413"/>
      <c r="S55" s="1413"/>
      <c r="T55" s="1485"/>
      <c r="U55" s="1485"/>
      <c r="V55" s="1485"/>
      <c r="W55" s="1569"/>
      <c r="X55" s="2112"/>
      <c r="Y55" s="1410"/>
      <c r="Z55" s="1414">
        <v>44229</v>
      </c>
      <c r="AA55" s="1430" t="s">
        <v>8151</v>
      </c>
      <c r="AB55" s="1410"/>
      <c r="AC55" s="1410"/>
      <c r="AD55" s="1395"/>
      <c r="AE55" s="2024"/>
    </row>
    <row r="56" spans="1:33" ht="15.75" thickTop="1">
      <c r="A56" s="537">
        <v>44105</v>
      </c>
      <c r="B56" s="491" t="s">
        <v>7690</v>
      </c>
      <c r="C56" s="491" t="s">
        <v>69</v>
      </c>
      <c r="D56" s="491" t="s">
        <v>70</v>
      </c>
      <c r="E56" s="571" t="s">
        <v>7694</v>
      </c>
      <c r="F56" s="491">
        <v>1</v>
      </c>
      <c r="G56" s="495" t="s">
        <v>7691</v>
      </c>
      <c r="H56" s="491"/>
      <c r="I56" s="491" t="s">
        <v>3187</v>
      </c>
      <c r="J56" s="491"/>
      <c r="K56" s="536">
        <v>27930766</v>
      </c>
      <c r="L56" s="491" t="s">
        <v>251</v>
      </c>
      <c r="M56" s="537">
        <v>44161</v>
      </c>
      <c r="N56" s="537">
        <v>44193</v>
      </c>
      <c r="O56" s="537">
        <v>44216</v>
      </c>
      <c r="P56" s="495" t="s">
        <v>576</v>
      </c>
      <c r="Q56" s="491"/>
      <c r="R56" s="536">
        <v>27857560</v>
      </c>
      <c r="S56" s="536">
        <v>30643316</v>
      </c>
      <c r="T56" s="1471"/>
      <c r="U56" s="1471"/>
      <c r="V56" s="1471"/>
      <c r="W56" s="573">
        <v>44216</v>
      </c>
      <c r="X56" s="536" t="s">
        <v>8156</v>
      </c>
      <c r="Y56" s="537">
        <v>44278</v>
      </c>
      <c r="Z56" s="537">
        <v>44301</v>
      </c>
      <c r="AA56" s="537">
        <v>45738</v>
      </c>
      <c r="AB56" s="537">
        <v>44648</v>
      </c>
      <c r="AC56" s="1374">
        <v>2022</v>
      </c>
      <c r="AD56" s="388">
        <v>2023</v>
      </c>
      <c r="AE56" s="388">
        <v>2024</v>
      </c>
      <c r="AF56" s="388" t="s">
        <v>8486</v>
      </c>
    </row>
    <row r="57" spans="1:33">
      <c r="A57" s="537">
        <v>44105</v>
      </c>
      <c r="B57" s="491" t="s">
        <v>7692</v>
      </c>
      <c r="C57" s="491" t="s">
        <v>69</v>
      </c>
      <c r="D57" s="491" t="s">
        <v>70</v>
      </c>
      <c r="E57" s="571" t="s">
        <v>7705</v>
      </c>
      <c r="F57" s="491">
        <v>1</v>
      </c>
      <c r="G57" s="495" t="s">
        <v>7693</v>
      </c>
      <c r="H57" s="491"/>
      <c r="I57" s="491" t="s">
        <v>72</v>
      </c>
      <c r="J57" s="491"/>
      <c r="K57" s="536">
        <v>77771612</v>
      </c>
      <c r="L57" s="491" t="s">
        <v>251</v>
      </c>
      <c r="M57" s="537">
        <v>44159</v>
      </c>
      <c r="N57" s="537">
        <v>44221</v>
      </c>
      <c r="O57" s="537">
        <v>44249</v>
      </c>
      <c r="P57" s="495" t="s">
        <v>2548</v>
      </c>
      <c r="Q57" s="491"/>
      <c r="R57" s="536">
        <v>77771612</v>
      </c>
      <c r="S57" s="536">
        <v>85548773.200000003</v>
      </c>
      <c r="T57" s="1471"/>
      <c r="U57" s="1471"/>
      <c r="V57" s="1471"/>
      <c r="W57" s="573">
        <v>44249</v>
      </c>
      <c r="X57" s="536" t="s">
        <v>8314</v>
      </c>
      <c r="Y57" s="537">
        <v>44278</v>
      </c>
      <c r="Z57" s="537">
        <v>44337</v>
      </c>
      <c r="AA57" s="537">
        <v>45738</v>
      </c>
      <c r="AB57" s="537">
        <v>44648</v>
      </c>
      <c r="AC57" s="1374">
        <v>2022</v>
      </c>
      <c r="AD57" s="388">
        <v>2023</v>
      </c>
      <c r="AE57" s="388">
        <v>2024</v>
      </c>
      <c r="AF57" s="388" t="s">
        <v>8486</v>
      </c>
    </row>
    <row r="58" spans="1:33">
      <c r="A58" s="537">
        <v>44103</v>
      </c>
      <c r="B58" s="491" t="s">
        <v>7717</v>
      </c>
      <c r="C58" s="491" t="s">
        <v>7718</v>
      </c>
      <c r="D58" s="491" t="s">
        <v>6707</v>
      </c>
      <c r="E58" s="571" t="s">
        <v>7719</v>
      </c>
      <c r="F58" s="491"/>
      <c r="G58" s="495"/>
      <c r="H58" s="491"/>
      <c r="I58" s="491" t="s">
        <v>7720</v>
      </c>
      <c r="J58" s="491"/>
      <c r="K58" s="536">
        <v>1500000</v>
      </c>
      <c r="L58" s="491" t="s">
        <v>112</v>
      </c>
      <c r="M58" s="537">
        <v>44155</v>
      </c>
      <c r="N58" s="537">
        <v>44172</v>
      </c>
      <c r="O58" s="537">
        <v>44182</v>
      </c>
      <c r="P58" s="495" t="s">
        <v>8018</v>
      </c>
      <c r="Q58" s="491"/>
      <c r="R58" s="536">
        <v>990000</v>
      </c>
      <c r="S58" s="536">
        <v>1197900</v>
      </c>
      <c r="T58" s="1471"/>
      <c r="U58" s="1471"/>
      <c r="V58" s="1471"/>
      <c r="W58" s="573">
        <v>44182</v>
      </c>
      <c r="X58" s="536" t="s">
        <v>8077</v>
      </c>
      <c r="Y58" s="537">
        <v>44200</v>
      </c>
      <c r="Z58" s="537">
        <v>44203</v>
      </c>
      <c r="AA58" s="495" t="s">
        <v>8112</v>
      </c>
      <c r="AB58" s="1525">
        <v>44844</v>
      </c>
      <c r="AC58" s="1102"/>
    </row>
    <row r="59" spans="1:33">
      <c r="A59" s="537">
        <v>44088</v>
      </c>
      <c r="B59" s="491" t="s">
        <v>7740</v>
      </c>
      <c r="C59" s="491" t="s">
        <v>1032</v>
      </c>
      <c r="D59" s="491" t="s">
        <v>361</v>
      </c>
      <c r="E59" s="571" t="s">
        <v>7741</v>
      </c>
      <c r="F59" s="491"/>
      <c r="G59" s="495"/>
      <c r="H59" s="491"/>
      <c r="I59" s="491" t="s">
        <v>1049</v>
      </c>
      <c r="J59" s="491"/>
      <c r="K59" s="536">
        <v>5160000</v>
      </c>
      <c r="L59" s="491" t="s">
        <v>251</v>
      </c>
      <c r="M59" s="537">
        <v>44123</v>
      </c>
      <c r="N59" s="537">
        <v>44167</v>
      </c>
      <c r="O59" s="537">
        <v>44208</v>
      </c>
      <c r="P59" s="495" t="s">
        <v>288</v>
      </c>
      <c r="Q59" s="491"/>
      <c r="R59" s="536">
        <v>5646475</v>
      </c>
      <c r="S59" s="536">
        <f>R59*1.21</f>
        <v>6832234.75</v>
      </c>
      <c r="T59" s="1471"/>
      <c r="U59" s="1471"/>
      <c r="V59" s="1471"/>
      <c r="W59" s="573">
        <v>44208</v>
      </c>
      <c r="X59" s="536" t="s">
        <v>8133</v>
      </c>
      <c r="Y59" s="537">
        <v>44274</v>
      </c>
      <c r="Z59" s="537">
        <v>44278</v>
      </c>
      <c r="AA59" s="491"/>
      <c r="AB59" s="1525">
        <v>44865</v>
      </c>
      <c r="AC59" s="1102"/>
    </row>
    <row r="60" spans="1:33">
      <c r="A60" s="537">
        <v>44120</v>
      </c>
      <c r="B60" s="491" t="s">
        <v>7756</v>
      </c>
      <c r="C60" s="491" t="s">
        <v>4997</v>
      </c>
      <c r="D60" s="491" t="s">
        <v>7475</v>
      </c>
      <c r="E60" s="571" t="s">
        <v>7757</v>
      </c>
      <c r="F60" s="491"/>
      <c r="G60" s="495"/>
      <c r="H60" s="491"/>
      <c r="I60" s="491" t="s">
        <v>7263</v>
      </c>
      <c r="J60" s="491"/>
      <c r="K60" s="536">
        <v>2700000</v>
      </c>
      <c r="L60" s="491" t="s">
        <v>112</v>
      </c>
      <c r="M60" s="537">
        <v>44127</v>
      </c>
      <c r="N60" s="537">
        <v>44138</v>
      </c>
      <c r="O60" s="537">
        <v>44158</v>
      </c>
      <c r="P60" s="495" t="s">
        <v>7915</v>
      </c>
      <c r="Q60" s="491"/>
      <c r="R60" s="536">
        <v>1925459.74</v>
      </c>
      <c r="S60" s="536">
        <v>2329806.29</v>
      </c>
      <c r="T60" s="1471"/>
      <c r="U60" s="1471"/>
      <c r="V60" s="1471"/>
      <c r="W60" s="573">
        <v>44158</v>
      </c>
      <c r="X60" s="536" t="s">
        <v>7933</v>
      </c>
      <c r="Y60" s="537">
        <v>44224</v>
      </c>
      <c r="Z60" s="537">
        <v>44228</v>
      </c>
      <c r="AA60" s="537">
        <v>44405</v>
      </c>
      <c r="AB60" s="537">
        <v>44481</v>
      </c>
      <c r="AC60" s="1102"/>
    </row>
    <row r="61" spans="1:33" ht="45">
      <c r="A61" s="537">
        <v>44165</v>
      </c>
      <c r="B61" s="491" t="s">
        <v>7774</v>
      </c>
      <c r="C61" s="491" t="s">
        <v>58</v>
      </c>
      <c r="D61" s="491" t="s">
        <v>2684</v>
      </c>
      <c r="E61" s="571" t="s">
        <v>7772</v>
      </c>
      <c r="F61" s="491"/>
      <c r="G61" s="495"/>
      <c r="H61" s="491"/>
      <c r="I61" s="491" t="s">
        <v>1159</v>
      </c>
      <c r="J61" s="491" t="s">
        <v>7773</v>
      </c>
      <c r="K61" s="536">
        <v>1282000</v>
      </c>
      <c r="L61" s="491" t="s">
        <v>112</v>
      </c>
      <c r="M61" s="537">
        <v>44167</v>
      </c>
      <c r="N61" s="537">
        <v>44183</v>
      </c>
      <c r="O61" s="537">
        <v>44235</v>
      </c>
      <c r="P61" s="495" t="s">
        <v>8238</v>
      </c>
      <c r="Q61" s="491"/>
      <c r="R61" s="536">
        <v>1182513.58</v>
      </c>
      <c r="S61" s="536">
        <v>1393678</v>
      </c>
      <c r="T61" s="1471"/>
      <c r="U61" s="1471"/>
      <c r="V61" s="1471"/>
      <c r="W61" s="573">
        <v>44235</v>
      </c>
      <c r="X61" s="1375" t="s">
        <v>8239</v>
      </c>
      <c r="Y61" s="537">
        <v>44258</v>
      </c>
      <c r="Z61" s="537">
        <v>44263</v>
      </c>
      <c r="AA61" s="537">
        <f>Y61+42</f>
        <v>44300</v>
      </c>
      <c r="AB61" s="537">
        <v>44347</v>
      </c>
      <c r="AC61" s="1374" t="s">
        <v>6118</v>
      </c>
    </row>
    <row r="62" spans="1:33" ht="30">
      <c r="A62" s="537">
        <v>44158</v>
      </c>
      <c r="B62" s="491" t="s">
        <v>7775</v>
      </c>
      <c r="C62" s="491" t="s">
        <v>58</v>
      </c>
      <c r="D62" s="491" t="s">
        <v>2684</v>
      </c>
      <c r="E62" s="571" t="s">
        <v>7777</v>
      </c>
      <c r="F62" s="491"/>
      <c r="G62" s="495"/>
      <c r="H62" s="491"/>
      <c r="I62" s="491" t="s">
        <v>1159</v>
      </c>
      <c r="J62" s="491" t="s">
        <v>7780</v>
      </c>
      <c r="K62" s="536">
        <v>330000</v>
      </c>
      <c r="L62" s="491" t="s">
        <v>112</v>
      </c>
      <c r="M62" s="537">
        <v>44160</v>
      </c>
      <c r="N62" s="537">
        <v>44174</v>
      </c>
      <c r="O62" s="537">
        <v>44207</v>
      </c>
      <c r="P62" s="495" t="s">
        <v>8117</v>
      </c>
      <c r="Q62" s="491"/>
      <c r="R62" s="536">
        <v>293980.17</v>
      </c>
      <c r="S62" s="536">
        <v>355716</v>
      </c>
      <c r="T62" s="1471"/>
      <c r="U62" s="1471"/>
      <c r="V62" s="1471"/>
      <c r="W62" s="573">
        <v>44207</v>
      </c>
      <c r="X62" s="1375" t="s">
        <v>8132</v>
      </c>
      <c r="Y62" s="537">
        <v>44224</v>
      </c>
      <c r="Z62" s="537">
        <v>44228</v>
      </c>
      <c r="AA62" s="537">
        <f>Y62+42</f>
        <v>44266</v>
      </c>
      <c r="AB62" s="537">
        <v>44642</v>
      </c>
      <c r="AC62" s="1374" t="s">
        <v>1875</v>
      </c>
    </row>
    <row r="63" spans="1:33" ht="15.75" thickBot="1">
      <c r="A63" s="643">
        <v>44161</v>
      </c>
      <c r="B63" s="639" t="s">
        <v>7776</v>
      </c>
      <c r="C63" s="639" t="s">
        <v>58</v>
      </c>
      <c r="D63" s="639" t="s">
        <v>2684</v>
      </c>
      <c r="E63" s="640" t="s">
        <v>7778</v>
      </c>
      <c r="F63" s="639"/>
      <c r="G63" s="1533"/>
      <c r="H63" s="639"/>
      <c r="I63" s="639" t="s">
        <v>7065</v>
      </c>
      <c r="J63" s="639" t="s">
        <v>7779</v>
      </c>
      <c r="K63" s="645">
        <v>727000</v>
      </c>
      <c r="L63" s="639" t="s">
        <v>112</v>
      </c>
      <c r="M63" s="643">
        <v>44166</v>
      </c>
      <c r="N63" s="643">
        <v>44176</v>
      </c>
      <c r="O63" s="639"/>
      <c r="P63" s="644" t="s">
        <v>8125</v>
      </c>
      <c r="Q63" s="2019" t="s">
        <v>8318</v>
      </c>
      <c r="R63" s="645"/>
      <c r="S63" s="645"/>
      <c r="T63" s="1534"/>
      <c r="U63" s="1534"/>
      <c r="V63" s="1534"/>
      <c r="W63" s="645"/>
      <c r="X63" s="645"/>
      <c r="Y63" s="639"/>
      <c r="Z63" s="643">
        <v>44249</v>
      </c>
      <c r="AA63" s="639" t="s">
        <v>242</v>
      </c>
      <c r="AB63" s="639"/>
      <c r="AC63" s="639"/>
    </row>
    <row r="64" spans="1:33" ht="15.75" thickTop="1">
      <c r="A64" s="474">
        <v>44123</v>
      </c>
      <c r="B64" s="453" t="s">
        <v>7781</v>
      </c>
      <c r="C64" s="453" t="s">
        <v>69</v>
      </c>
      <c r="D64" s="453" t="s">
        <v>70</v>
      </c>
      <c r="E64" s="473" t="s">
        <v>7783</v>
      </c>
      <c r="F64" s="453">
        <v>1</v>
      </c>
      <c r="G64" s="1420" t="s">
        <v>7784</v>
      </c>
      <c r="H64" s="453"/>
      <c r="I64" s="453" t="s">
        <v>7790</v>
      </c>
      <c r="J64" s="453"/>
      <c r="K64" s="457">
        <v>3271950</v>
      </c>
      <c r="L64" s="453" t="s">
        <v>251</v>
      </c>
      <c r="M64" s="474">
        <v>44127</v>
      </c>
      <c r="N64" s="474">
        <v>44188</v>
      </c>
      <c r="O64" s="474">
        <v>44228</v>
      </c>
      <c r="P64" s="1420" t="s">
        <v>576</v>
      </c>
      <c r="Q64" s="453"/>
      <c r="R64" s="457">
        <v>3113409.15</v>
      </c>
      <c r="S64" s="457">
        <v>3424750.07</v>
      </c>
      <c r="T64" s="1474"/>
      <c r="U64" s="1474"/>
      <c r="V64" s="1474"/>
      <c r="W64" s="570">
        <v>44228</v>
      </c>
      <c r="X64" s="457" t="s">
        <v>8196</v>
      </c>
      <c r="Y64" s="474">
        <v>44273</v>
      </c>
      <c r="Z64" s="474">
        <v>44278</v>
      </c>
      <c r="AA64" s="474">
        <v>45368</v>
      </c>
      <c r="AB64" s="537">
        <v>44648</v>
      </c>
      <c r="AC64" s="1374">
        <v>2022</v>
      </c>
      <c r="AD64" s="388">
        <v>2023</v>
      </c>
      <c r="AE64" s="388" t="s">
        <v>8463</v>
      </c>
    </row>
    <row r="65" spans="1:32">
      <c r="A65" s="537">
        <v>44123</v>
      </c>
      <c r="B65" s="491" t="s">
        <v>7781</v>
      </c>
      <c r="C65" s="491" t="s">
        <v>69</v>
      </c>
      <c r="D65" s="491" t="s">
        <v>70</v>
      </c>
      <c r="E65" s="571" t="s">
        <v>7783</v>
      </c>
      <c r="F65" s="491">
        <v>2</v>
      </c>
      <c r="G65" s="495" t="s">
        <v>7785</v>
      </c>
      <c r="H65" s="491"/>
      <c r="I65" s="491" t="s">
        <v>7790</v>
      </c>
      <c r="J65" s="491"/>
      <c r="K65" s="536">
        <v>1306500</v>
      </c>
      <c r="L65" s="491" t="s">
        <v>251</v>
      </c>
      <c r="M65" s="537">
        <v>44127</v>
      </c>
      <c r="N65" s="537">
        <v>44188</v>
      </c>
      <c r="O65" s="537">
        <v>44228</v>
      </c>
      <c r="P65" s="495" t="s">
        <v>576</v>
      </c>
      <c r="Q65" s="491"/>
      <c r="R65" s="536">
        <v>1170972.96</v>
      </c>
      <c r="S65" s="536">
        <v>1288070.26</v>
      </c>
      <c r="T65" s="1471"/>
      <c r="U65" s="1471"/>
      <c r="V65" s="1471"/>
      <c r="W65" s="573">
        <v>44228</v>
      </c>
      <c r="X65" s="536" t="s">
        <v>8197</v>
      </c>
      <c r="Y65" s="537">
        <v>44273</v>
      </c>
      <c r="Z65" s="537">
        <v>44278</v>
      </c>
      <c r="AA65" s="537">
        <v>45368</v>
      </c>
      <c r="AB65" s="537">
        <v>44648</v>
      </c>
      <c r="AC65" s="1374">
        <v>2022</v>
      </c>
      <c r="AD65" s="388">
        <v>2023</v>
      </c>
      <c r="AE65" s="388" t="s">
        <v>8463</v>
      </c>
    </row>
    <row r="66" spans="1:32">
      <c r="A66" s="537">
        <v>44123</v>
      </c>
      <c r="B66" s="491" t="s">
        <v>7781</v>
      </c>
      <c r="C66" s="491" t="s">
        <v>69</v>
      </c>
      <c r="D66" s="491" t="s">
        <v>70</v>
      </c>
      <c r="E66" s="571" t="s">
        <v>7783</v>
      </c>
      <c r="F66" s="491">
        <v>3</v>
      </c>
      <c r="G66" s="495" t="s">
        <v>7786</v>
      </c>
      <c r="H66" s="491"/>
      <c r="I66" s="491" t="s">
        <v>7790</v>
      </c>
      <c r="J66" s="491"/>
      <c r="K66" s="536">
        <v>1129930</v>
      </c>
      <c r="L66" s="491" t="s">
        <v>251</v>
      </c>
      <c r="M66" s="537">
        <v>44127</v>
      </c>
      <c r="N66" s="537">
        <v>44188</v>
      </c>
      <c r="O66" s="537">
        <v>44270</v>
      </c>
      <c r="P66" s="495" t="s">
        <v>576</v>
      </c>
      <c r="Q66" s="491"/>
      <c r="R66" s="536">
        <v>1128270.6000000001</v>
      </c>
      <c r="S66" s="536">
        <v>1241097.6599999999</v>
      </c>
      <c r="T66" s="1471"/>
      <c r="U66" s="1471"/>
      <c r="V66" s="1471"/>
      <c r="W66" s="573">
        <v>44270</v>
      </c>
      <c r="X66" s="536" t="s">
        <v>8435</v>
      </c>
      <c r="Y66" s="537">
        <v>44294</v>
      </c>
      <c r="Z66" s="537">
        <v>44298</v>
      </c>
      <c r="AA66" s="537">
        <v>45389</v>
      </c>
      <c r="AB66" s="537">
        <v>44648</v>
      </c>
      <c r="AC66" s="1374">
        <v>2022</v>
      </c>
      <c r="AD66" s="388">
        <v>2023</v>
      </c>
      <c r="AE66" s="388" t="s">
        <v>8562</v>
      </c>
    </row>
    <row r="67" spans="1:32">
      <c r="A67" s="537">
        <v>44123</v>
      </c>
      <c r="B67" s="491" t="s">
        <v>7781</v>
      </c>
      <c r="C67" s="491" t="s">
        <v>69</v>
      </c>
      <c r="D67" s="491" t="s">
        <v>70</v>
      </c>
      <c r="E67" s="571" t="s">
        <v>7783</v>
      </c>
      <c r="F67" s="491">
        <v>4</v>
      </c>
      <c r="G67" s="495" t="s">
        <v>7787</v>
      </c>
      <c r="H67" s="491"/>
      <c r="I67" s="491" t="s">
        <v>7790</v>
      </c>
      <c r="J67" s="491"/>
      <c r="K67" s="536">
        <v>1966708</v>
      </c>
      <c r="L67" s="491" t="s">
        <v>251</v>
      </c>
      <c r="M67" s="537">
        <v>44127</v>
      </c>
      <c r="N67" s="537">
        <v>44188</v>
      </c>
      <c r="O67" s="537">
        <v>44228</v>
      </c>
      <c r="P67" s="495" t="s">
        <v>576</v>
      </c>
      <c r="Q67" s="491"/>
      <c r="R67" s="536">
        <v>2108378.79</v>
      </c>
      <c r="S67" s="536">
        <v>2319216.67</v>
      </c>
      <c r="T67" s="1471"/>
      <c r="U67" s="1471"/>
      <c r="V67" s="1471"/>
      <c r="W67" s="573">
        <v>44228</v>
      </c>
      <c r="X67" s="536" t="s">
        <v>8198</v>
      </c>
      <c r="Y67" s="537">
        <v>44273</v>
      </c>
      <c r="Z67" s="537">
        <v>44278</v>
      </c>
      <c r="AA67" s="537">
        <v>45368</v>
      </c>
      <c r="AB67" s="537">
        <v>44648</v>
      </c>
      <c r="AC67" s="1374">
        <v>2022</v>
      </c>
      <c r="AD67" s="388">
        <v>2023</v>
      </c>
      <c r="AE67" s="388" t="s">
        <v>8463</v>
      </c>
    </row>
    <row r="68" spans="1:32">
      <c r="A68" s="537">
        <v>44123</v>
      </c>
      <c r="B68" s="491" t="s">
        <v>7781</v>
      </c>
      <c r="C68" s="491" t="s">
        <v>69</v>
      </c>
      <c r="D68" s="491" t="s">
        <v>70</v>
      </c>
      <c r="E68" s="571" t="s">
        <v>7783</v>
      </c>
      <c r="F68" s="491">
        <v>5</v>
      </c>
      <c r="G68" s="495" t="s">
        <v>7788</v>
      </c>
      <c r="H68" s="491"/>
      <c r="I68" s="491" t="s">
        <v>7790</v>
      </c>
      <c r="J68" s="491"/>
      <c r="K68" s="536">
        <v>10607165</v>
      </c>
      <c r="L68" s="491" t="s">
        <v>251</v>
      </c>
      <c r="M68" s="537">
        <v>44127</v>
      </c>
      <c r="N68" s="537">
        <v>44188</v>
      </c>
      <c r="O68" s="537">
        <v>44228</v>
      </c>
      <c r="P68" s="495" t="s">
        <v>576</v>
      </c>
      <c r="Q68" s="491"/>
      <c r="R68" s="536">
        <v>11501194.83</v>
      </c>
      <c r="S68" s="536">
        <v>12651314.310000001</v>
      </c>
      <c r="T68" s="1471"/>
      <c r="U68" s="1471"/>
      <c r="V68" s="1471"/>
      <c r="W68" s="573">
        <v>44228</v>
      </c>
      <c r="X68" s="536" t="s">
        <v>8199</v>
      </c>
      <c r="Y68" s="537">
        <v>44273</v>
      </c>
      <c r="Z68" s="537">
        <v>44278</v>
      </c>
      <c r="AA68" s="537">
        <v>45368</v>
      </c>
      <c r="AB68" s="537">
        <v>44648</v>
      </c>
      <c r="AC68" s="1374">
        <v>2022</v>
      </c>
      <c r="AD68" s="388">
        <v>2023</v>
      </c>
      <c r="AE68" s="388" t="s">
        <v>8463</v>
      </c>
    </row>
    <row r="69" spans="1:32" ht="15.75" thickBot="1">
      <c r="A69" s="1380">
        <v>44123</v>
      </c>
      <c r="B69" s="1376" t="s">
        <v>7781</v>
      </c>
      <c r="C69" s="1376" t="s">
        <v>69</v>
      </c>
      <c r="D69" s="1376" t="s">
        <v>70</v>
      </c>
      <c r="E69" s="1378" t="s">
        <v>7783</v>
      </c>
      <c r="F69" s="1376">
        <v>6</v>
      </c>
      <c r="G69" s="1421" t="s">
        <v>7789</v>
      </c>
      <c r="H69" s="1376"/>
      <c r="I69" s="1376" t="s">
        <v>7790</v>
      </c>
      <c r="J69" s="1376"/>
      <c r="K69" s="1379">
        <v>339465</v>
      </c>
      <c r="L69" s="1376" t="s">
        <v>251</v>
      </c>
      <c r="M69" s="1380">
        <v>44127</v>
      </c>
      <c r="N69" s="1380">
        <v>44188</v>
      </c>
      <c r="O69" s="1380">
        <v>44228</v>
      </c>
      <c r="P69" s="1421" t="s">
        <v>1646</v>
      </c>
      <c r="Q69" s="1376"/>
      <c r="R69" s="1379">
        <v>339429.51</v>
      </c>
      <c r="S69" s="1379">
        <v>373372.46</v>
      </c>
      <c r="T69" s="1475"/>
      <c r="U69" s="1475"/>
      <c r="V69" s="1475"/>
      <c r="W69" s="1388">
        <v>44228</v>
      </c>
      <c r="X69" s="1379" t="s">
        <v>8200</v>
      </c>
      <c r="Y69" s="1380">
        <v>44265</v>
      </c>
      <c r="Z69" s="1380">
        <v>44278</v>
      </c>
      <c r="AA69" s="1380">
        <v>45360</v>
      </c>
      <c r="AB69" s="1380">
        <v>44648</v>
      </c>
      <c r="AC69" s="1381">
        <v>2022</v>
      </c>
      <c r="AD69" s="388">
        <v>2023</v>
      </c>
      <c r="AE69" s="388" t="s">
        <v>8423</v>
      </c>
    </row>
    <row r="70" spans="1:32" ht="15.75" thickTop="1">
      <c r="A70" s="474">
        <v>44123</v>
      </c>
      <c r="B70" s="453" t="s">
        <v>7782</v>
      </c>
      <c r="C70" s="453" t="s">
        <v>69</v>
      </c>
      <c r="D70" s="453" t="s">
        <v>70</v>
      </c>
      <c r="E70" s="473" t="s">
        <v>7791</v>
      </c>
      <c r="F70" s="453">
        <v>1</v>
      </c>
      <c r="G70" s="1420" t="s">
        <v>7813</v>
      </c>
      <c r="H70" s="453"/>
      <c r="I70" s="453" t="s">
        <v>7792</v>
      </c>
      <c r="J70" s="453"/>
      <c r="K70" s="457">
        <v>125530696</v>
      </c>
      <c r="L70" s="453" t="s">
        <v>251</v>
      </c>
      <c r="M70" s="474">
        <v>44127</v>
      </c>
      <c r="N70" s="474">
        <v>44193</v>
      </c>
      <c r="O70" s="474">
        <v>44232</v>
      </c>
      <c r="P70" s="1420" t="s">
        <v>8216</v>
      </c>
      <c r="Q70" s="453"/>
      <c r="R70" s="457">
        <v>125530695.36</v>
      </c>
      <c r="S70" s="457">
        <v>138083764.90000001</v>
      </c>
      <c r="T70" s="1474"/>
      <c r="U70" s="1474"/>
      <c r="V70" s="1474"/>
      <c r="W70" s="570">
        <v>44232</v>
      </c>
      <c r="X70" s="457" t="s">
        <v>8232</v>
      </c>
      <c r="Y70" s="474">
        <v>44292</v>
      </c>
      <c r="Z70" s="474">
        <v>44293</v>
      </c>
      <c r="AA70" s="474">
        <v>45387</v>
      </c>
      <c r="AB70" s="474">
        <v>44648</v>
      </c>
      <c r="AC70" s="1391">
        <v>2022</v>
      </c>
      <c r="AD70" s="356">
        <v>2023</v>
      </c>
      <c r="AE70" s="356" t="s">
        <v>8540</v>
      </c>
      <c r="AF70" s="374" t="s">
        <v>12910</v>
      </c>
    </row>
    <row r="71" spans="1:32" ht="15.75" thickBot="1">
      <c r="A71" s="1380">
        <v>44123</v>
      </c>
      <c r="B71" s="1376" t="s">
        <v>7782</v>
      </c>
      <c r="C71" s="1376" t="s">
        <v>69</v>
      </c>
      <c r="D71" s="1376" t="s">
        <v>70</v>
      </c>
      <c r="E71" s="1378" t="s">
        <v>7791</v>
      </c>
      <c r="F71" s="1376">
        <v>2</v>
      </c>
      <c r="G71" s="1421" t="s">
        <v>7308</v>
      </c>
      <c r="H71" s="1376"/>
      <c r="I71" s="1376" t="s">
        <v>7792</v>
      </c>
      <c r="J71" s="1376"/>
      <c r="K71" s="1379">
        <v>41843610</v>
      </c>
      <c r="L71" s="1376" t="s">
        <v>251</v>
      </c>
      <c r="M71" s="1380">
        <v>44127</v>
      </c>
      <c r="N71" s="1380">
        <v>44193</v>
      </c>
      <c r="O71" s="1380">
        <v>44232</v>
      </c>
      <c r="P71" s="1421" t="s">
        <v>2490</v>
      </c>
      <c r="Q71" s="1376"/>
      <c r="R71" s="1379">
        <v>41873605.859999999</v>
      </c>
      <c r="S71" s="1379">
        <v>46027966.450000003</v>
      </c>
      <c r="T71" s="1475"/>
      <c r="U71" s="1475"/>
      <c r="V71" s="1475"/>
      <c r="W71" s="1388">
        <v>44232</v>
      </c>
      <c r="X71" s="1379" t="s">
        <v>8233</v>
      </c>
      <c r="Y71" s="1380">
        <v>44266</v>
      </c>
      <c r="Z71" s="1380">
        <v>44293</v>
      </c>
      <c r="AA71" s="1380">
        <v>45361</v>
      </c>
      <c r="AB71" s="1380">
        <v>44648</v>
      </c>
      <c r="AC71" s="1381">
        <v>2022</v>
      </c>
      <c r="AD71" s="388">
        <v>2023</v>
      </c>
      <c r="AE71" s="388" t="s">
        <v>8428</v>
      </c>
    </row>
    <row r="72" spans="1:32" ht="45.75" thickTop="1">
      <c r="A72" s="537">
        <v>44117</v>
      </c>
      <c r="B72" s="491" t="s">
        <v>7803</v>
      </c>
      <c r="C72" s="491" t="s">
        <v>58</v>
      </c>
      <c r="D72" s="491" t="s">
        <v>2684</v>
      </c>
      <c r="E72" s="571" t="s">
        <v>7804</v>
      </c>
      <c r="F72" s="491"/>
      <c r="G72" s="495"/>
      <c r="H72" s="491"/>
      <c r="I72" s="491" t="s">
        <v>2990</v>
      </c>
      <c r="J72" s="491" t="s">
        <v>4243</v>
      </c>
      <c r="K72" s="536">
        <v>2010000</v>
      </c>
      <c r="L72" s="491" t="s">
        <v>216</v>
      </c>
      <c r="M72" s="537">
        <v>44134</v>
      </c>
      <c r="N72" s="537">
        <v>44153</v>
      </c>
      <c r="O72" s="537">
        <v>44218</v>
      </c>
      <c r="P72" s="495" t="s">
        <v>6242</v>
      </c>
      <c r="Q72" s="491"/>
      <c r="R72" s="536">
        <v>1703400</v>
      </c>
      <c r="S72" s="536">
        <v>2061114</v>
      </c>
      <c r="T72" s="1471"/>
      <c r="U72" s="1471"/>
      <c r="V72" s="1471"/>
      <c r="W72" s="573">
        <v>44218</v>
      </c>
      <c r="X72" s="1375" t="s">
        <v>8169</v>
      </c>
      <c r="Y72" s="537">
        <v>44257</v>
      </c>
      <c r="Z72" s="537">
        <v>44260</v>
      </c>
      <c r="AA72" s="537">
        <f>Y72+21</f>
        <v>44278</v>
      </c>
      <c r="AB72" s="537">
        <v>44340</v>
      </c>
      <c r="AC72" s="1374" t="s">
        <v>8385</v>
      </c>
    </row>
    <row r="73" spans="1:32">
      <c r="A73" s="537">
        <v>44117</v>
      </c>
      <c r="B73" s="491" t="s">
        <v>7810</v>
      </c>
      <c r="C73" s="491" t="s">
        <v>52</v>
      </c>
      <c r="D73" s="491" t="s">
        <v>5894</v>
      </c>
      <c r="E73" s="571" t="s">
        <v>7811</v>
      </c>
      <c r="F73" s="491"/>
      <c r="G73" s="495"/>
      <c r="H73" s="491"/>
      <c r="I73" s="491" t="s">
        <v>1676</v>
      </c>
      <c r="J73" s="491" t="s">
        <v>7812</v>
      </c>
      <c r="K73" s="536">
        <v>40000000</v>
      </c>
      <c r="L73" s="491" t="s">
        <v>216</v>
      </c>
      <c r="M73" s="537">
        <v>44141</v>
      </c>
      <c r="N73" s="537">
        <v>44167</v>
      </c>
      <c r="O73" s="537">
        <v>44183</v>
      </c>
      <c r="P73" s="495" t="s">
        <v>2626</v>
      </c>
      <c r="Q73" s="491"/>
      <c r="R73" s="536">
        <v>39893319.039999999</v>
      </c>
      <c r="S73" s="536">
        <f>R73*1.21</f>
        <v>48270916.038399994</v>
      </c>
      <c r="T73" s="1471"/>
      <c r="U73" s="1471"/>
      <c r="V73" s="1471"/>
      <c r="W73" s="573">
        <v>44183</v>
      </c>
      <c r="X73" s="536" t="s">
        <v>8090</v>
      </c>
      <c r="Y73" s="537">
        <v>44253</v>
      </c>
      <c r="Z73" s="537">
        <v>44259</v>
      </c>
      <c r="AA73" s="537">
        <f>Y73+240</f>
        <v>44493</v>
      </c>
      <c r="AB73" s="537">
        <v>44648</v>
      </c>
      <c r="AC73" s="1102"/>
    </row>
    <row r="74" spans="1:32">
      <c r="A74" s="510">
        <v>44120</v>
      </c>
      <c r="B74" s="506" t="s">
        <v>7823</v>
      </c>
      <c r="C74" s="506" t="s">
        <v>52</v>
      </c>
      <c r="D74" s="506" t="s">
        <v>3089</v>
      </c>
      <c r="E74" s="507" t="s">
        <v>7824</v>
      </c>
      <c r="F74" s="506"/>
      <c r="G74" s="548"/>
      <c r="H74" s="506"/>
      <c r="I74" s="506" t="s">
        <v>33</v>
      </c>
      <c r="J74" s="506" t="s">
        <v>7825</v>
      </c>
      <c r="K74" s="511">
        <v>106000000</v>
      </c>
      <c r="L74" s="506" t="s">
        <v>251</v>
      </c>
      <c r="M74" s="510">
        <v>44137</v>
      </c>
      <c r="N74" s="510">
        <v>44207</v>
      </c>
      <c r="O74" s="510">
        <v>44218</v>
      </c>
      <c r="P74" s="736" t="s">
        <v>4964</v>
      </c>
      <c r="Q74" s="1985" t="s">
        <v>8280</v>
      </c>
      <c r="R74" s="511">
        <v>105980370.34999999</v>
      </c>
      <c r="S74" s="511">
        <v>128236248.12</v>
      </c>
      <c r="T74" s="1470"/>
      <c r="U74" s="1470"/>
      <c r="V74" s="1470"/>
      <c r="W74" s="1398">
        <v>44218</v>
      </c>
      <c r="X74" s="511" t="s">
        <v>8170</v>
      </c>
      <c r="Y74" s="506"/>
      <c r="Z74" s="510">
        <v>44230</v>
      </c>
      <c r="AA74" s="506" t="s">
        <v>8234</v>
      </c>
      <c r="AB74" s="506"/>
      <c r="AC74" s="506"/>
    </row>
    <row r="75" spans="1:32">
      <c r="A75" s="491" t="s">
        <v>3585</v>
      </c>
      <c r="B75" s="491" t="s">
        <v>7837</v>
      </c>
      <c r="C75" s="491" t="s">
        <v>1032</v>
      </c>
      <c r="D75" s="491" t="s">
        <v>361</v>
      </c>
      <c r="E75" s="571" t="s">
        <v>7838</v>
      </c>
      <c r="F75" s="491"/>
      <c r="G75" s="495"/>
      <c r="H75" s="491"/>
      <c r="I75" s="491" t="s">
        <v>5752</v>
      </c>
      <c r="J75" s="491"/>
      <c r="K75" s="536">
        <v>476720</v>
      </c>
      <c r="L75" s="491" t="s">
        <v>112</v>
      </c>
      <c r="M75" s="537">
        <v>44139</v>
      </c>
      <c r="N75" s="537">
        <v>44148</v>
      </c>
      <c r="O75" s="537">
        <v>44153</v>
      </c>
      <c r="P75" s="495" t="s">
        <v>7915</v>
      </c>
      <c r="Q75" s="491"/>
      <c r="R75" s="536">
        <v>506218.61</v>
      </c>
      <c r="S75" s="536">
        <v>612524.52</v>
      </c>
      <c r="T75" s="1471"/>
      <c r="U75" s="1471"/>
      <c r="V75" s="1471"/>
      <c r="W75" s="573">
        <v>44153</v>
      </c>
      <c r="X75" s="536" t="s">
        <v>7920</v>
      </c>
      <c r="Y75" s="537">
        <v>44230</v>
      </c>
      <c r="Z75" s="537">
        <v>44230</v>
      </c>
      <c r="AA75" s="537">
        <f>Y75+29</f>
        <v>44259</v>
      </c>
      <c r="AB75" s="537">
        <v>44347</v>
      </c>
      <c r="AC75" s="1102"/>
    </row>
    <row r="76" spans="1:32">
      <c r="A76" s="537">
        <v>44133</v>
      </c>
      <c r="B76" s="491" t="s">
        <v>7849</v>
      </c>
      <c r="C76" s="491" t="s">
        <v>2434</v>
      </c>
      <c r="D76" s="491" t="s">
        <v>219</v>
      </c>
      <c r="E76" s="571" t="s">
        <v>7850</v>
      </c>
      <c r="F76" s="491">
        <v>1</v>
      </c>
      <c r="G76" s="495" t="s">
        <v>8000</v>
      </c>
      <c r="H76" s="491"/>
      <c r="I76" s="491" t="s">
        <v>3271</v>
      </c>
      <c r="J76" s="491"/>
      <c r="K76" s="536">
        <v>816000</v>
      </c>
      <c r="L76" s="491" t="s">
        <v>251</v>
      </c>
      <c r="M76" s="537">
        <v>44144</v>
      </c>
      <c r="N76" s="537">
        <v>44200</v>
      </c>
      <c r="O76" s="537">
        <v>44306</v>
      </c>
      <c r="P76" s="495" t="s">
        <v>1513</v>
      </c>
      <c r="Q76" s="491"/>
      <c r="R76" s="536">
        <v>389200</v>
      </c>
      <c r="S76" s="536">
        <v>470932</v>
      </c>
      <c r="T76" s="1471"/>
      <c r="U76" s="1471"/>
      <c r="V76" s="1471"/>
      <c r="W76" s="573">
        <v>44306</v>
      </c>
      <c r="X76" s="536" t="s">
        <v>8770</v>
      </c>
      <c r="Y76" s="537">
        <v>44336</v>
      </c>
      <c r="Z76" s="537">
        <v>44349</v>
      </c>
      <c r="AA76" s="537">
        <v>44406</v>
      </c>
      <c r="AB76" s="537">
        <v>44468</v>
      </c>
      <c r="AC76" s="1102"/>
    </row>
    <row r="77" spans="1:32">
      <c r="A77" s="537">
        <v>44133</v>
      </c>
      <c r="B77" s="491" t="s">
        <v>7849</v>
      </c>
      <c r="C77" s="491" t="s">
        <v>2434</v>
      </c>
      <c r="D77" s="491" t="s">
        <v>219</v>
      </c>
      <c r="E77" s="571" t="s">
        <v>7850</v>
      </c>
      <c r="F77" s="491">
        <v>2</v>
      </c>
      <c r="G77" s="495" t="s">
        <v>8001</v>
      </c>
      <c r="H77" s="491"/>
      <c r="I77" s="491" t="s">
        <v>3271</v>
      </c>
      <c r="J77" s="491"/>
      <c r="K77" s="536">
        <v>3659405</v>
      </c>
      <c r="L77" s="491" t="s">
        <v>251</v>
      </c>
      <c r="M77" s="537">
        <v>44144</v>
      </c>
      <c r="N77" s="537">
        <v>44200</v>
      </c>
      <c r="O77" s="537">
        <v>44306</v>
      </c>
      <c r="P77" s="495" t="s">
        <v>1513</v>
      </c>
      <c r="Q77" s="491"/>
      <c r="R77" s="536">
        <v>1791000</v>
      </c>
      <c r="S77" s="536">
        <v>2167110</v>
      </c>
      <c r="T77" s="1471"/>
      <c r="U77" s="1471"/>
      <c r="V77" s="1471"/>
      <c r="W77" s="573">
        <v>44306</v>
      </c>
      <c r="X77" s="536" t="s">
        <v>8771</v>
      </c>
      <c r="Y77" s="537">
        <v>44336</v>
      </c>
      <c r="Z77" s="537">
        <v>44349</v>
      </c>
      <c r="AA77" s="537">
        <v>44406</v>
      </c>
      <c r="AB77" s="537">
        <v>44522</v>
      </c>
      <c r="AC77" s="1102"/>
    </row>
    <row r="78" spans="1:32">
      <c r="A78" s="537">
        <v>44133</v>
      </c>
      <c r="B78" s="491" t="s">
        <v>7849</v>
      </c>
      <c r="C78" s="491" t="s">
        <v>2434</v>
      </c>
      <c r="D78" s="491" t="s">
        <v>219</v>
      </c>
      <c r="E78" s="571" t="s">
        <v>7850</v>
      </c>
      <c r="F78" s="491">
        <v>3</v>
      </c>
      <c r="G78" s="495" t="s">
        <v>8006</v>
      </c>
      <c r="H78" s="491"/>
      <c r="I78" s="491" t="s">
        <v>3271</v>
      </c>
      <c r="J78" s="491"/>
      <c r="K78" s="536">
        <v>26000</v>
      </c>
      <c r="L78" s="491" t="s">
        <v>251</v>
      </c>
      <c r="M78" s="537">
        <v>44144</v>
      </c>
      <c r="N78" s="537">
        <v>44200</v>
      </c>
      <c r="O78" s="537">
        <v>44306</v>
      </c>
      <c r="P78" s="495" t="s">
        <v>8595</v>
      </c>
      <c r="Q78" s="491"/>
      <c r="R78" s="536">
        <v>12350.7</v>
      </c>
      <c r="S78" s="536">
        <v>14944.35</v>
      </c>
      <c r="T78" s="1471"/>
      <c r="U78" s="1471"/>
      <c r="V78" s="1471"/>
      <c r="W78" s="573">
        <v>44306</v>
      </c>
      <c r="X78" s="536" t="s">
        <v>8772</v>
      </c>
      <c r="Y78" s="537">
        <v>44327</v>
      </c>
      <c r="Z78" s="537">
        <v>44329</v>
      </c>
      <c r="AA78" s="537">
        <v>44355</v>
      </c>
      <c r="AB78" s="537">
        <v>44391</v>
      </c>
      <c r="AC78" s="1102"/>
    </row>
    <row r="79" spans="1:32">
      <c r="A79" s="537">
        <v>44133</v>
      </c>
      <c r="B79" s="491" t="s">
        <v>7849</v>
      </c>
      <c r="C79" s="491" t="s">
        <v>2434</v>
      </c>
      <c r="D79" s="491" t="s">
        <v>219</v>
      </c>
      <c r="E79" s="571" t="s">
        <v>7850</v>
      </c>
      <c r="F79" s="491">
        <v>4</v>
      </c>
      <c r="G79" s="495" t="s">
        <v>8005</v>
      </c>
      <c r="H79" s="491"/>
      <c r="I79" s="491" t="s">
        <v>3271</v>
      </c>
      <c r="J79" s="491"/>
      <c r="K79" s="536">
        <v>72000</v>
      </c>
      <c r="L79" s="491" t="s">
        <v>251</v>
      </c>
      <c r="M79" s="537">
        <v>44144</v>
      </c>
      <c r="N79" s="537">
        <v>44200</v>
      </c>
      <c r="O79" s="537">
        <v>44264</v>
      </c>
      <c r="P79" s="495" t="s">
        <v>8408</v>
      </c>
      <c r="Q79" s="491"/>
      <c r="R79" s="536">
        <v>37709.300000000003</v>
      </c>
      <c r="S79" s="536">
        <v>45628.25</v>
      </c>
      <c r="T79" s="1471"/>
      <c r="U79" s="1471"/>
      <c r="V79" s="1471"/>
      <c r="W79" s="573">
        <v>44264</v>
      </c>
      <c r="X79" s="536" t="s">
        <v>8406</v>
      </c>
      <c r="Y79" s="537">
        <v>44300</v>
      </c>
      <c r="Z79" s="537">
        <v>44329</v>
      </c>
      <c r="AA79" s="537">
        <v>44412</v>
      </c>
      <c r="AB79" s="537">
        <v>44418</v>
      </c>
      <c r="AC79" s="1102"/>
    </row>
    <row r="80" spans="1:32">
      <c r="A80" s="537">
        <v>44133</v>
      </c>
      <c r="B80" s="491" t="s">
        <v>7849</v>
      </c>
      <c r="C80" s="491" t="s">
        <v>2434</v>
      </c>
      <c r="D80" s="491" t="s">
        <v>219</v>
      </c>
      <c r="E80" s="571" t="s">
        <v>7850</v>
      </c>
      <c r="F80" s="491">
        <v>5</v>
      </c>
      <c r="G80" s="495" t="s">
        <v>8004</v>
      </c>
      <c r="H80" s="491"/>
      <c r="I80" s="491" t="s">
        <v>3271</v>
      </c>
      <c r="J80" s="491"/>
      <c r="K80" s="536">
        <v>105000</v>
      </c>
      <c r="L80" s="491" t="s">
        <v>251</v>
      </c>
      <c r="M80" s="537">
        <v>44144</v>
      </c>
      <c r="N80" s="537">
        <v>44200</v>
      </c>
      <c r="O80" s="537">
        <v>44264</v>
      </c>
      <c r="P80" s="495" t="s">
        <v>8408</v>
      </c>
      <c r="Q80" s="491"/>
      <c r="R80" s="536">
        <v>91760</v>
      </c>
      <c r="S80" s="536">
        <v>111029.6</v>
      </c>
      <c r="T80" s="1471"/>
      <c r="U80" s="1471"/>
      <c r="V80" s="1471"/>
      <c r="W80" s="573">
        <v>44264</v>
      </c>
      <c r="X80" s="536" t="s">
        <v>8407</v>
      </c>
      <c r="Y80" s="537">
        <v>44300</v>
      </c>
      <c r="Z80" s="537">
        <v>44329</v>
      </c>
      <c r="AA80" s="537">
        <v>44412</v>
      </c>
      <c r="AB80" s="537">
        <v>44418</v>
      </c>
      <c r="AC80" s="1102"/>
    </row>
    <row r="81" spans="1:31">
      <c r="A81" s="537">
        <v>44133</v>
      </c>
      <c r="B81" s="491" t="s">
        <v>7849</v>
      </c>
      <c r="C81" s="491" t="s">
        <v>2434</v>
      </c>
      <c r="D81" s="491" t="s">
        <v>219</v>
      </c>
      <c r="E81" s="571" t="s">
        <v>7850</v>
      </c>
      <c r="F81" s="491">
        <v>6</v>
      </c>
      <c r="G81" s="495" t="s">
        <v>8003</v>
      </c>
      <c r="H81" s="491"/>
      <c r="I81" s="491" t="s">
        <v>3271</v>
      </c>
      <c r="J81" s="491"/>
      <c r="K81" s="536">
        <v>337000</v>
      </c>
      <c r="L81" s="491" t="s">
        <v>251</v>
      </c>
      <c r="M81" s="537">
        <v>44144</v>
      </c>
      <c r="N81" s="537">
        <v>44200</v>
      </c>
      <c r="O81" s="537">
        <v>44306</v>
      </c>
      <c r="P81" s="495" t="s">
        <v>8408</v>
      </c>
      <c r="Q81" s="491"/>
      <c r="R81" s="536">
        <v>237611</v>
      </c>
      <c r="S81" s="536">
        <v>287509.31</v>
      </c>
      <c r="T81" s="1471"/>
      <c r="U81" s="1471"/>
      <c r="V81" s="1471"/>
      <c r="W81" s="573">
        <v>44306</v>
      </c>
      <c r="X81" s="536" t="s">
        <v>8773</v>
      </c>
      <c r="Y81" s="537">
        <v>44328</v>
      </c>
      <c r="Z81" s="537">
        <v>44329</v>
      </c>
      <c r="AA81" s="537">
        <v>44440</v>
      </c>
      <c r="AB81" s="537">
        <v>44494</v>
      </c>
      <c r="AC81" s="1102"/>
    </row>
    <row r="82" spans="1:31">
      <c r="A82" s="537">
        <v>44133</v>
      </c>
      <c r="B82" s="491" t="s">
        <v>7849</v>
      </c>
      <c r="C82" s="491" t="s">
        <v>2434</v>
      </c>
      <c r="D82" s="491" t="s">
        <v>219</v>
      </c>
      <c r="E82" s="571" t="s">
        <v>7850</v>
      </c>
      <c r="F82" s="491">
        <v>7</v>
      </c>
      <c r="G82" s="495" t="s">
        <v>8002</v>
      </c>
      <c r="H82" s="491"/>
      <c r="I82" s="491" t="s">
        <v>3271</v>
      </c>
      <c r="J82" s="491"/>
      <c r="K82" s="536">
        <v>330000</v>
      </c>
      <c r="L82" s="491" t="s">
        <v>251</v>
      </c>
      <c r="M82" s="537">
        <v>44144</v>
      </c>
      <c r="N82" s="537">
        <v>44200</v>
      </c>
      <c r="O82" s="537">
        <v>44281</v>
      </c>
      <c r="P82" s="495" t="s">
        <v>4315</v>
      </c>
      <c r="Q82" s="491"/>
      <c r="R82" s="536">
        <v>317194</v>
      </c>
      <c r="S82" s="536">
        <v>383804.17</v>
      </c>
      <c r="T82" s="1471"/>
      <c r="U82" s="1471"/>
      <c r="V82" s="1471"/>
      <c r="W82" s="573">
        <v>44281</v>
      </c>
      <c r="X82" s="536" t="s">
        <v>8504</v>
      </c>
      <c r="Y82" s="537">
        <v>44320</v>
      </c>
      <c r="Z82" s="537">
        <v>44329</v>
      </c>
      <c r="AA82" s="537">
        <v>44376</v>
      </c>
      <c r="AB82" s="537">
        <v>44501</v>
      </c>
      <c r="AC82" s="1102"/>
    </row>
    <row r="83" spans="1:31">
      <c r="A83" s="2140">
        <v>44131</v>
      </c>
      <c r="B83" s="2141" t="s">
        <v>7857</v>
      </c>
      <c r="C83" s="2141" t="s">
        <v>14</v>
      </c>
      <c r="D83" s="2141" t="s">
        <v>1753</v>
      </c>
      <c r="E83" s="2142" t="s">
        <v>7858</v>
      </c>
      <c r="F83" s="2141"/>
      <c r="G83" s="2143"/>
      <c r="H83" s="2141"/>
      <c r="I83" s="2141" t="s">
        <v>566</v>
      </c>
      <c r="J83" s="2141" t="s">
        <v>7859</v>
      </c>
      <c r="K83" s="2144">
        <v>1035000</v>
      </c>
      <c r="L83" s="2141" t="s">
        <v>251</v>
      </c>
      <c r="M83" s="2140">
        <v>44148</v>
      </c>
      <c r="N83" s="2140">
        <v>44196</v>
      </c>
      <c r="O83" s="2140">
        <v>44204</v>
      </c>
      <c r="P83" s="2143" t="s">
        <v>8115</v>
      </c>
      <c r="Q83" s="2141"/>
      <c r="R83" s="2144">
        <v>799035</v>
      </c>
      <c r="S83" s="2144">
        <v>966832.35</v>
      </c>
      <c r="T83" s="2145"/>
      <c r="U83" s="2145"/>
      <c r="V83" s="2145"/>
      <c r="W83" s="2146">
        <v>44204</v>
      </c>
      <c r="X83" s="2144" t="s">
        <v>8120</v>
      </c>
      <c r="Y83" s="2140">
        <v>44229</v>
      </c>
      <c r="Z83" s="2140">
        <v>44235</v>
      </c>
      <c r="AA83" s="2140">
        <f>Y83+50</f>
        <v>44279</v>
      </c>
      <c r="AB83" s="2140">
        <v>44314</v>
      </c>
      <c r="AC83" s="2106"/>
    </row>
    <row r="84" spans="1:31" ht="15.75" thickBot="1">
      <c r="A84" s="2117">
        <v>44146</v>
      </c>
      <c r="B84" s="2118" t="s">
        <v>7872</v>
      </c>
      <c r="C84" s="2118" t="s">
        <v>14</v>
      </c>
      <c r="D84" s="2118" t="s">
        <v>13</v>
      </c>
      <c r="E84" s="2119" t="s">
        <v>7873</v>
      </c>
      <c r="F84" s="2118"/>
      <c r="G84" s="2120"/>
      <c r="H84" s="2118"/>
      <c r="I84" s="2118" t="s">
        <v>959</v>
      </c>
      <c r="J84" s="2118"/>
      <c r="K84" s="2121">
        <v>813800</v>
      </c>
      <c r="L84" s="2118" t="s">
        <v>112</v>
      </c>
      <c r="M84" s="2117">
        <v>44151</v>
      </c>
      <c r="N84" s="2117">
        <v>44167</v>
      </c>
      <c r="O84" s="2117">
        <v>44186</v>
      </c>
      <c r="P84" s="2120" t="s">
        <v>8089</v>
      </c>
      <c r="Q84" s="2118"/>
      <c r="R84" s="2121">
        <v>796847.4</v>
      </c>
      <c r="S84" s="2121">
        <v>964185.35</v>
      </c>
      <c r="T84" s="2122"/>
      <c r="U84" s="2122"/>
      <c r="V84" s="2122"/>
      <c r="W84" s="2123">
        <v>44186</v>
      </c>
      <c r="X84" s="2121" t="s">
        <v>8094</v>
      </c>
      <c r="Y84" s="2117">
        <v>44216</v>
      </c>
      <c r="Z84" s="2117">
        <v>44217</v>
      </c>
      <c r="AA84" s="2117">
        <v>44580</v>
      </c>
      <c r="AB84" s="416">
        <v>44631</v>
      </c>
      <c r="AC84" s="967"/>
    </row>
    <row r="85" spans="1:31" ht="15.75" thickTop="1">
      <c r="A85" s="474">
        <v>44147</v>
      </c>
      <c r="B85" s="453" t="s">
        <v>7875</v>
      </c>
      <c r="C85" s="453" t="s">
        <v>69</v>
      </c>
      <c r="D85" s="453" t="s">
        <v>70</v>
      </c>
      <c r="E85" s="473" t="s">
        <v>7876</v>
      </c>
      <c r="F85" s="453">
        <v>1</v>
      </c>
      <c r="G85" s="1420" t="s">
        <v>7877</v>
      </c>
      <c r="H85" s="453"/>
      <c r="I85" s="453" t="s">
        <v>93</v>
      </c>
      <c r="J85" s="453"/>
      <c r="K85" s="457">
        <v>1887318</v>
      </c>
      <c r="L85" s="453" t="s">
        <v>251</v>
      </c>
      <c r="M85" s="474">
        <v>44193</v>
      </c>
      <c r="N85" s="474">
        <v>44263</v>
      </c>
      <c r="O85" s="474">
        <v>44295</v>
      </c>
      <c r="P85" s="1420" t="s">
        <v>8542</v>
      </c>
      <c r="Q85" s="453"/>
      <c r="R85" s="457">
        <v>1887309.96</v>
      </c>
      <c r="S85" s="457">
        <v>2076040.96</v>
      </c>
      <c r="T85" s="1474"/>
      <c r="U85" s="1474"/>
      <c r="V85" s="1474"/>
      <c r="W85" s="570">
        <v>44295</v>
      </c>
      <c r="X85" s="457" t="s">
        <v>8564</v>
      </c>
      <c r="Y85" s="474">
        <v>44320</v>
      </c>
      <c r="Z85" s="474">
        <v>44321</v>
      </c>
      <c r="AA85" s="474">
        <v>45415</v>
      </c>
      <c r="AB85" s="474">
        <v>44648</v>
      </c>
      <c r="AC85" s="1391">
        <v>2022</v>
      </c>
      <c r="AD85" s="1391">
        <v>2023</v>
      </c>
      <c r="AE85" s="1391" t="s">
        <v>8871</v>
      </c>
    </row>
    <row r="86" spans="1:31">
      <c r="A86" s="2124">
        <v>44147</v>
      </c>
      <c r="B86" s="2125" t="s">
        <v>7875</v>
      </c>
      <c r="C86" s="2125" t="s">
        <v>69</v>
      </c>
      <c r="D86" s="2125" t="s">
        <v>70</v>
      </c>
      <c r="E86" s="2126" t="s">
        <v>7876</v>
      </c>
      <c r="F86" s="2125">
        <v>2</v>
      </c>
      <c r="G86" s="2127" t="s">
        <v>7878</v>
      </c>
      <c r="H86" s="2125"/>
      <c r="I86" s="2125" t="s">
        <v>93</v>
      </c>
      <c r="J86" s="2125"/>
      <c r="K86" s="2128">
        <v>3638257</v>
      </c>
      <c r="L86" s="2125" t="s">
        <v>251</v>
      </c>
      <c r="M86" s="2124">
        <v>44193</v>
      </c>
      <c r="N86" s="2124">
        <v>44263</v>
      </c>
      <c r="O86" s="2125"/>
      <c r="P86" s="2136" t="s">
        <v>304</v>
      </c>
      <c r="Q86" s="2125"/>
      <c r="R86" s="2128"/>
      <c r="S86" s="2128"/>
      <c r="T86" s="2129"/>
      <c r="U86" s="2129"/>
      <c r="V86" s="2129"/>
      <c r="W86" s="2128"/>
      <c r="X86" s="2128"/>
      <c r="Y86" s="2125"/>
      <c r="Z86" s="2124">
        <v>44321</v>
      </c>
      <c r="AA86" s="2127" t="s">
        <v>8541</v>
      </c>
      <c r="AB86" s="2125"/>
      <c r="AC86" s="2125"/>
      <c r="AD86" s="2106"/>
      <c r="AE86" s="2106"/>
    </row>
    <row r="87" spans="1:31">
      <c r="A87" s="2140">
        <v>44147</v>
      </c>
      <c r="B87" s="2141" t="s">
        <v>7875</v>
      </c>
      <c r="C87" s="2141" t="s">
        <v>69</v>
      </c>
      <c r="D87" s="2141" t="s">
        <v>70</v>
      </c>
      <c r="E87" s="2142" t="s">
        <v>7876</v>
      </c>
      <c r="F87" s="2141">
        <v>3</v>
      </c>
      <c r="G87" s="2143" t="s">
        <v>7879</v>
      </c>
      <c r="H87" s="2141"/>
      <c r="I87" s="2141" t="s">
        <v>93</v>
      </c>
      <c r="J87" s="2141"/>
      <c r="K87" s="2144">
        <v>3777877</v>
      </c>
      <c r="L87" s="2141" t="s">
        <v>251</v>
      </c>
      <c r="M87" s="2140">
        <v>44193</v>
      </c>
      <c r="N87" s="2140">
        <v>44263</v>
      </c>
      <c r="O87" s="2140">
        <v>44295</v>
      </c>
      <c r="P87" s="2143" t="s">
        <v>8542</v>
      </c>
      <c r="Q87" s="2141"/>
      <c r="R87" s="2144">
        <v>3777876</v>
      </c>
      <c r="S87" s="2144">
        <v>4155663.6</v>
      </c>
      <c r="T87" s="2145"/>
      <c r="U87" s="2145"/>
      <c r="V87" s="2145"/>
      <c r="W87" s="2146">
        <v>44295</v>
      </c>
      <c r="X87" s="2144" t="s">
        <v>8565</v>
      </c>
      <c r="Y87" s="2140">
        <v>44320</v>
      </c>
      <c r="Z87" s="2140">
        <v>44321</v>
      </c>
      <c r="AA87" s="2140">
        <v>45415</v>
      </c>
      <c r="AB87" s="2140">
        <v>44648</v>
      </c>
      <c r="AC87" s="2109">
        <v>2022</v>
      </c>
      <c r="AD87" s="2109">
        <v>2023</v>
      </c>
      <c r="AE87" s="2109" t="s">
        <v>8871</v>
      </c>
    </row>
    <row r="88" spans="1:31">
      <c r="A88" s="2140">
        <v>44147</v>
      </c>
      <c r="B88" s="2141" t="s">
        <v>7875</v>
      </c>
      <c r="C88" s="2141" t="s">
        <v>69</v>
      </c>
      <c r="D88" s="2141" t="s">
        <v>70</v>
      </c>
      <c r="E88" s="2142" t="s">
        <v>7876</v>
      </c>
      <c r="F88" s="2141">
        <v>4</v>
      </c>
      <c r="G88" s="2143" t="s">
        <v>7880</v>
      </c>
      <c r="H88" s="2141"/>
      <c r="I88" s="2141" t="s">
        <v>93</v>
      </c>
      <c r="J88" s="2141"/>
      <c r="K88" s="2144">
        <v>1920000</v>
      </c>
      <c r="L88" s="2141" t="s">
        <v>251</v>
      </c>
      <c r="M88" s="2140">
        <v>44193</v>
      </c>
      <c r="N88" s="2140">
        <v>44263</v>
      </c>
      <c r="O88" s="2140">
        <v>44295</v>
      </c>
      <c r="P88" s="2143" t="s">
        <v>1564</v>
      </c>
      <c r="Q88" s="2141"/>
      <c r="R88" s="2144">
        <v>1920000</v>
      </c>
      <c r="S88" s="2144">
        <v>2112000</v>
      </c>
      <c r="T88" s="2145"/>
      <c r="U88" s="2145"/>
      <c r="V88" s="2145"/>
      <c r="W88" s="2146">
        <v>44295</v>
      </c>
      <c r="X88" s="2144" t="s">
        <v>8566</v>
      </c>
      <c r="Y88" s="2140">
        <v>44328</v>
      </c>
      <c r="Z88" s="2140">
        <v>44333</v>
      </c>
      <c r="AA88" s="2140">
        <v>45423</v>
      </c>
      <c r="AB88" s="2140">
        <v>44648</v>
      </c>
      <c r="AC88" s="2109">
        <v>2022</v>
      </c>
      <c r="AD88" s="2109">
        <v>2023</v>
      </c>
      <c r="AE88" s="2109" t="s">
        <v>8944</v>
      </c>
    </row>
    <row r="89" spans="1:31">
      <c r="A89" s="2140">
        <v>44147</v>
      </c>
      <c r="B89" s="2141" t="s">
        <v>7875</v>
      </c>
      <c r="C89" s="2141" t="s">
        <v>69</v>
      </c>
      <c r="D89" s="2141" t="s">
        <v>70</v>
      </c>
      <c r="E89" s="2142" t="s">
        <v>7876</v>
      </c>
      <c r="F89" s="2141">
        <v>5</v>
      </c>
      <c r="G89" s="2143" t="s">
        <v>7881</v>
      </c>
      <c r="H89" s="2141"/>
      <c r="I89" s="2141" t="s">
        <v>93</v>
      </c>
      <c r="J89" s="2141"/>
      <c r="K89" s="2144">
        <v>1622291</v>
      </c>
      <c r="L89" s="2141" t="s">
        <v>251</v>
      </c>
      <c r="M89" s="2140">
        <v>44193</v>
      </c>
      <c r="N89" s="2140">
        <v>44263</v>
      </c>
      <c r="O89" s="2140">
        <v>44295</v>
      </c>
      <c r="P89" s="2143" t="s">
        <v>1646</v>
      </c>
      <c r="Q89" s="2141"/>
      <c r="R89" s="2144">
        <v>1617676.98</v>
      </c>
      <c r="S89" s="2144">
        <v>1779444.68</v>
      </c>
      <c r="T89" s="2145"/>
      <c r="U89" s="2145"/>
      <c r="V89" s="2145"/>
      <c r="W89" s="2146">
        <v>44295</v>
      </c>
      <c r="X89" s="2144" t="s">
        <v>8567</v>
      </c>
      <c r="Y89" s="2140">
        <v>44320</v>
      </c>
      <c r="Z89" s="2140">
        <v>44321</v>
      </c>
      <c r="AA89" s="2140">
        <v>45415</v>
      </c>
      <c r="AB89" s="2140">
        <v>44648</v>
      </c>
      <c r="AC89" s="2109">
        <v>2022</v>
      </c>
      <c r="AD89" s="2109">
        <v>2023</v>
      </c>
      <c r="AE89" s="2109" t="s">
        <v>8871</v>
      </c>
    </row>
    <row r="90" spans="1:31" ht="15.75" thickBot="1">
      <c r="A90" s="2117">
        <v>44147</v>
      </c>
      <c r="B90" s="2118" t="s">
        <v>7875</v>
      </c>
      <c r="C90" s="2118" t="s">
        <v>69</v>
      </c>
      <c r="D90" s="2118" t="s">
        <v>70</v>
      </c>
      <c r="E90" s="2119" t="s">
        <v>7876</v>
      </c>
      <c r="F90" s="2118">
        <v>6</v>
      </c>
      <c r="G90" s="2120" t="s">
        <v>7882</v>
      </c>
      <c r="H90" s="2118"/>
      <c r="I90" s="2118" t="s">
        <v>93</v>
      </c>
      <c r="J90" s="2118"/>
      <c r="K90" s="2121">
        <v>2338034</v>
      </c>
      <c r="L90" s="2118" t="s">
        <v>251</v>
      </c>
      <c r="M90" s="2117">
        <v>44193</v>
      </c>
      <c r="N90" s="2117">
        <v>44263</v>
      </c>
      <c r="O90" s="2117">
        <v>44295</v>
      </c>
      <c r="P90" s="2120" t="s">
        <v>8542</v>
      </c>
      <c r="Q90" s="2118"/>
      <c r="R90" s="2121">
        <v>2245761</v>
      </c>
      <c r="S90" s="2121">
        <v>2470337.1</v>
      </c>
      <c r="T90" s="2122"/>
      <c r="U90" s="2122"/>
      <c r="V90" s="2122"/>
      <c r="W90" s="2123">
        <v>44295</v>
      </c>
      <c r="X90" s="2121" t="s">
        <v>8568</v>
      </c>
      <c r="Y90" s="2117">
        <v>44320</v>
      </c>
      <c r="Z90" s="2117">
        <v>44321</v>
      </c>
      <c r="AA90" s="2117">
        <v>45415</v>
      </c>
      <c r="AB90" s="2117" t="s">
        <v>11373</v>
      </c>
      <c r="AC90" s="2110">
        <v>2022</v>
      </c>
      <c r="AD90" s="2110">
        <v>2023</v>
      </c>
      <c r="AE90" s="2110" t="s">
        <v>8871</v>
      </c>
    </row>
    <row r="91" spans="1:31" ht="15.75" thickTop="1">
      <c r="A91" s="365">
        <v>44147</v>
      </c>
      <c r="B91" s="2282" t="s">
        <v>7883</v>
      </c>
      <c r="C91" s="2282" t="s">
        <v>69</v>
      </c>
      <c r="D91" s="2282" t="s">
        <v>70</v>
      </c>
      <c r="E91" s="175" t="s">
        <v>7884</v>
      </c>
      <c r="F91" s="2282">
        <v>1</v>
      </c>
      <c r="G91" s="2283" t="s">
        <v>7885</v>
      </c>
      <c r="H91" s="2282"/>
      <c r="I91" s="2282" t="s">
        <v>814</v>
      </c>
      <c r="J91" s="2282"/>
      <c r="K91" s="364">
        <v>2465378</v>
      </c>
      <c r="L91" s="2282" t="s">
        <v>251</v>
      </c>
      <c r="M91" s="365">
        <v>44169</v>
      </c>
      <c r="N91" s="365">
        <v>44202</v>
      </c>
      <c r="O91" s="365">
        <v>44250</v>
      </c>
      <c r="P91" s="2283" t="s">
        <v>576</v>
      </c>
      <c r="Q91" s="2282"/>
      <c r="R91" s="364">
        <v>2247102</v>
      </c>
      <c r="S91" s="364">
        <v>2471812.2000000002</v>
      </c>
      <c r="T91" s="1473"/>
      <c r="U91" s="1473"/>
      <c r="V91" s="1473"/>
      <c r="W91" s="681">
        <v>44250</v>
      </c>
      <c r="X91" s="364" t="s">
        <v>8325</v>
      </c>
      <c r="Y91" s="365">
        <v>44278</v>
      </c>
      <c r="Z91" s="365">
        <v>44285</v>
      </c>
      <c r="AA91" s="365">
        <v>45373</v>
      </c>
      <c r="AB91" s="365">
        <v>44648</v>
      </c>
      <c r="AC91" s="451">
        <v>2022</v>
      </c>
      <c r="AD91" s="388">
        <v>2023</v>
      </c>
      <c r="AE91" s="388" t="s">
        <v>8485</v>
      </c>
    </row>
    <row r="92" spans="1:31">
      <c r="A92" s="537">
        <v>44147</v>
      </c>
      <c r="B92" s="491" t="s">
        <v>7883</v>
      </c>
      <c r="C92" s="491" t="s">
        <v>69</v>
      </c>
      <c r="D92" s="491" t="s">
        <v>70</v>
      </c>
      <c r="E92" s="571" t="s">
        <v>7884</v>
      </c>
      <c r="F92" s="491">
        <v>2</v>
      </c>
      <c r="G92" s="495" t="s">
        <v>7886</v>
      </c>
      <c r="H92" s="491"/>
      <c r="I92" s="491" t="s">
        <v>814</v>
      </c>
      <c r="J92" s="491"/>
      <c r="K92" s="536">
        <v>7121640</v>
      </c>
      <c r="L92" s="491" t="s">
        <v>251</v>
      </c>
      <c r="M92" s="537">
        <v>44169</v>
      </c>
      <c r="N92" s="537">
        <v>44202</v>
      </c>
      <c r="O92" s="537">
        <v>44250</v>
      </c>
      <c r="P92" s="495" t="s">
        <v>5774</v>
      </c>
      <c r="Q92" s="491"/>
      <c r="R92" s="536">
        <v>6912180</v>
      </c>
      <c r="S92" s="536">
        <v>7603398</v>
      </c>
      <c r="T92" s="1471"/>
      <c r="U92" s="1471"/>
      <c r="V92" s="1471"/>
      <c r="W92" s="573">
        <v>44250</v>
      </c>
      <c r="X92" s="536" t="s">
        <v>8326</v>
      </c>
      <c r="Y92" s="537">
        <v>44270</v>
      </c>
      <c r="Z92" s="537">
        <v>44285</v>
      </c>
      <c r="AA92" s="537">
        <v>45365</v>
      </c>
      <c r="AB92" s="537">
        <v>44648</v>
      </c>
      <c r="AC92" s="1374">
        <v>2022</v>
      </c>
      <c r="AD92" s="388">
        <v>2023</v>
      </c>
      <c r="AE92" s="388" t="s">
        <v>8445</v>
      </c>
    </row>
    <row r="93" spans="1:31">
      <c r="A93" s="537">
        <v>44147</v>
      </c>
      <c r="B93" s="491" t="s">
        <v>7883</v>
      </c>
      <c r="C93" s="491" t="s">
        <v>69</v>
      </c>
      <c r="D93" s="491" t="s">
        <v>70</v>
      </c>
      <c r="E93" s="571" t="s">
        <v>7884</v>
      </c>
      <c r="F93" s="491">
        <v>3</v>
      </c>
      <c r="G93" s="495" t="s">
        <v>7887</v>
      </c>
      <c r="H93" s="491"/>
      <c r="I93" s="491" t="s">
        <v>814</v>
      </c>
      <c r="J93" s="491"/>
      <c r="K93" s="536">
        <v>2157101</v>
      </c>
      <c r="L93" s="491" t="s">
        <v>251</v>
      </c>
      <c r="M93" s="537">
        <v>44169</v>
      </c>
      <c r="N93" s="537">
        <v>44202</v>
      </c>
      <c r="O93" s="537">
        <v>44250</v>
      </c>
      <c r="P93" s="495" t="s">
        <v>1564</v>
      </c>
      <c r="Q93" s="491"/>
      <c r="R93" s="536">
        <v>2156938.7999999998</v>
      </c>
      <c r="S93" s="536">
        <v>2372632.6800000002</v>
      </c>
      <c r="T93" s="1471"/>
      <c r="U93" s="1471"/>
      <c r="V93" s="1471"/>
      <c r="W93" s="573">
        <v>44250</v>
      </c>
      <c r="X93" s="536" t="s">
        <v>8327</v>
      </c>
      <c r="Y93" s="537">
        <v>44284</v>
      </c>
      <c r="Z93" s="537">
        <v>44285</v>
      </c>
      <c r="AA93" s="537">
        <v>45379</v>
      </c>
      <c r="AB93" s="537">
        <v>44648</v>
      </c>
      <c r="AC93" s="1374">
        <v>2022</v>
      </c>
      <c r="AD93" s="388">
        <v>2023</v>
      </c>
      <c r="AE93" s="388" t="s">
        <v>8514</v>
      </c>
    </row>
    <row r="94" spans="1:31">
      <c r="A94" s="537">
        <v>44147</v>
      </c>
      <c r="B94" s="491" t="s">
        <v>7883</v>
      </c>
      <c r="C94" s="491" t="s">
        <v>69</v>
      </c>
      <c r="D94" s="491" t="s">
        <v>70</v>
      </c>
      <c r="E94" s="571" t="s">
        <v>7884</v>
      </c>
      <c r="F94" s="491">
        <v>5</v>
      </c>
      <c r="G94" s="495" t="s">
        <v>7889</v>
      </c>
      <c r="H94" s="491"/>
      <c r="I94" s="491" t="s">
        <v>814</v>
      </c>
      <c r="J94" s="491"/>
      <c r="K94" s="536">
        <v>1789080</v>
      </c>
      <c r="L94" s="491" t="s">
        <v>251</v>
      </c>
      <c r="M94" s="537">
        <v>44169</v>
      </c>
      <c r="N94" s="537">
        <v>44202</v>
      </c>
      <c r="O94" s="537">
        <v>44250</v>
      </c>
      <c r="P94" s="495" t="s">
        <v>1564</v>
      </c>
      <c r="Q94" s="491"/>
      <c r="R94" s="536">
        <v>1405440</v>
      </c>
      <c r="S94" s="536">
        <v>1545984</v>
      </c>
      <c r="T94" s="1471"/>
      <c r="U94" s="1471"/>
      <c r="V94" s="1471"/>
      <c r="W94" s="573">
        <v>44250</v>
      </c>
      <c r="X94" s="536" t="s">
        <v>8328</v>
      </c>
      <c r="Y94" s="537">
        <v>44273</v>
      </c>
      <c r="Z94" s="537">
        <v>44285</v>
      </c>
      <c r="AA94" s="537">
        <v>45368</v>
      </c>
      <c r="AB94" s="537">
        <v>44648</v>
      </c>
      <c r="AC94" s="1374">
        <v>2022</v>
      </c>
      <c r="AD94" s="388">
        <v>2023</v>
      </c>
      <c r="AE94" s="388" t="s">
        <v>8463</v>
      </c>
    </row>
    <row r="95" spans="1:31">
      <c r="A95" s="537">
        <v>44147</v>
      </c>
      <c r="B95" s="491" t="s">
        <v>7883</v>
      </c>
      <c r="C95" s="491" t="s">
        <v>69</v>
      </c>
      <c r="D95" s="491" t="s">
        <v>70</v>
      </c>
      <c r="E95" s="571" t="s">
        <v>7884</v>
      </c>
      <c r="F95" s="491">
        <v>6</v>
      </c>
      <c r="G95" s="495" t="s">
        <v>7890</v>
      </c>
      <c r="H95" s="491"/>
      <c r="I95" s="491" t="s">
        <v>814</v>
      </c>
      <c r="J95" s="491"/>
      <c r="K95" s="536">
        <v>1317252</v>
      </c>
      <c r="L95" s="491" t="s">
        <v>251</v>
      </c>
      <c r="M95" s="537">
        <v>44169</v>
      </c>
      <c r="N95" s="537">
        <v>44202</v>
      </c>
      <c r="O95" s="537">
        <v>44250</v>
      </c>
      <c r="P95" s="495" t="s">
        <v>5774</v>
      </c>
      <c r="Q95" s="491"/>
      <c r="R95" s="536">
        <v>1297044.6000000001</v>
      </c>
      <c r="S95" s="536">
        <v>1426749.06</v>
      </c>
      <c r="T95" s="1471"/>
      <c r="U95" s="1471"/>
      <c r="V95" s="1471"/>
      <c r="W95" s="573">
        <v>44250</v>
      </c>
      <c r="X95" s="536" t="s">
        <v>8329</v>
      </c>
      <c r="Y95" s="537">
        <v>44270</v>
      </c>
      <c r="Z95" s="537">
        <v>44285</v>
      </c>
      <c r="AA95" s="537">
        <v>45365</v>
      </c>
      <c r="AB95" s="537">
        <v>44648</v>
      </c>
      <c r="AC95" s="1374">
        <v>2022</v>
      </c>
      <c r="AD95" s="388">
        <v>2023</v>
      </c>
      <c r="AE95" s="388" t="s">
        <v>8445</v>
      </c>
    </row>
    <row r="96" spans="1:31" ht="15.75" thickBot="1">
      <c r="A96" s="537">
        <v>44147</v>
      </c>
      <c r="B96" s="491" t="s">
        <v>7883</v>
      </c>
      <c r="C96" s="491" t="s">
        <v>69</v>
      </c>
      <c r="D96" s="491" t="s">
        <v>70</v>
      </c>
      <c r="E96" s="571" t="s">
        <v>7884</v>
      </c>
      <c r="F96" s="491">
        <v>7</v>
      </c>
      <c r="G96" s="495" t="s">
        <v>7891</v>
      </c>
      <c r="H96" s="491"/>
      <c r="I96" s="491" t="s">
        <v>814</v>
      </c>
      <c r="J96" s="491"/>
      <c r="K96" s="536">
        <v>5475600</v>
      </c>
      <c r="L96" s="491" t="s">
        <v>251</v>
      </c>
      <c r="M96" s="537">
        <v>44169</v>
      </c>
      <c r="N96" s="537">
        <v>44202</v>
      </c>
      <c r="O96" s="537">
        <v>44250</v>
      </c>
      <c r="P96" s="495" t="s">
        <v>576</v>
      </c>
      <c r="Q96" s="491"/>
      <c r="R96" s="536">
        <v>5453940.96</v>
      </c>
      <c r="S96" s="536">
        <v>5999335.0599999996</v>
      </c>
      <c r="T96" s="1471"/>
      <c r="U96" s="1471"/>
      <c r="V96" s="1471"/>
      <c r="W96" s="573">
        <v>44250</v>
      </c>
      <c r="X96" s="536" t="s">
        <v>8330</v>
      </c>
      <c r="Y96" s="537">
        <v>44278</v>
      </c>
      <c r="Z96" s="537">
        <v>44285</v>
      </c>
      <c r="AA96" s="537">
        <v>45373</v>
      </c>
      <c r="AB96" s="537" t="s">
        <v>11373</v>
      </c>
      <c r="AC96" s="1374">
        <v>2022</v>
      </c>
      <c r="AD96" s="388">
        <v>2023</v>
      </c>
      <c r="AE96" s="388" t="s">
        <v>8485</v>
      </c>
    </row>
    <row r="97" spans="1:33" ht="15.75" thickTop="1">
      <c r="A97" s="474">
        <v>44147</v>
      </c>
      <c r="B97" s="453" t="s">
        <v>7893</v>
      </c>
      <c r="C97" s="453" t="s">
        <v>69</v>
      </c>
      <c r="D97" s="453" t="s">
        <v>70</v>
      </c>
      <c r="E97" s="473" t="s">
        <v>7894</v>
      </c>
      <c r="F97" s="453">
        <v>1</v>
      </c>
      <c r="G97" s="1420" t="s">
        <v>7895</v>
      </c>
      <c r="H97" s="453"/>
      <c r="I97" s="453" t="s">
        <v>3438</v>
      </c>
      <c r="J97" s="453"/>
      <c r="K97" s="457">
        <v>1551621</v>
      </c>
      <c r="L97" s="453" t="s">
        <v>251</v>
      </c>
      <c r="M97" s="474">
        <v>44169</v>
      </c>
      <c r="N97" s="474">
        <v>44202</v>
      </c>
      <c r="O97" s="474">
        <v>44249</v>
      </c>
      <c r="P97" s="1420" t="s">
        <v>5774</v>
      </c>
      <c r="Q97" s="453"/>
      <c r="R97" s="457">
        <v>1540736.01</v>
      </c>
      <c r="S97" s="457">
        <v>1694809.61</v>
      </c>
      <c r="T97" s="1474"/>
      <c r="U97" s="1474"/>
      <c r="V97" s="1474"/>
      <c r="W97" s="570">
        <v>44249</v>
      </c>
      <c r="X97" s="457" t="s">
        <v>8306</v>
      </c>
      <c r="Y97" s="474">
        <v>44266</v>
      </c>
      <c r="Z97" s="474">
        <v>44279</v>
      </c>
      <c r="AA97" s="474">
        <v>45361</v>
      </c>
      <c r="AB97" s="474">
        <v>44648</v>
      </c>
      <c r="AC97" s="1391">
        <v>2022</v>
      </c>
      <c r="AD97" s="1391">
        <v>2023</v>
      </c>
      <c r="AE97" s="1391" t="s">
        <v>8428</v>
      </c>
    </row>
    <row r="98" spans="1:33">
      <c r="A98" s="537">
        <v>44147</v>
      </c>
      <c r="B98" s="491" t="s">
        <v>7893</v>
      </c>
      <c r="C98" s="491" t="s">
        <v>69</v>
      </c>
      <c r="D98" s="491" t="s">
        <v>70</v>
      </c>
      <c r="E98" s="571" t="s">
        <v>7894</v>
      </c>
      <c r="F98" s="491">
        <v>2</v>
      </c>
      <c r="G98" s="495" t="s">
        <v>7896</v>
      </c>
      <c r="H98" s="491"/>
      <c r="I98" s="491" t="s">
        <v>3438</v>
      </c>
      <c r="J98" s="491"/>
      <c r="K98" s="536">
        <v>419556</v>
      </c>
      <c r="L98" s="491" t="s">
        <v>251</v>
      </c>
      <c r="M98" s="537">
        <v>44169</v>
      </c>
      <c r="N98" s="537">
        <v>44202</v>
      </c>
      <c r="O98" s="537">
        <v>44249</v>
      </c>
      <c r="P98" s="495" t="s">
        <v>5774</v>
      </c>
      <c r="Q98" s="491"/>
      <c r="R98" s="536">
        <v>268618.28999999998</v>
      </c>
      <c r="S98" s="536">
        <v>295480.12</v>
      </c>
      <c r="T98" s="1471"/>
      <c r="U98" s="1471"/>
      <c r="V98" s="1471"/>
      <c r="W98" s="573">
        <v>44249</v>
      </c>
      <c r="X98" s="536" t="s">
        <v>8307</v>
      </c>
      <c r="Y98" s="537">
        <v>44266</v>
      </c>
      <c r="Z98" s="537">
        <v>44279</v>
      </c>
      <c r="AA98" s="537">
        <v>45361</v>
      </c>
      <c r="AB98" s="2140">
        <v>44648</v>
      </c>
      <c r="AC98" s="2109">
        <v>2022</v>
      </c>
      <c r="AD98" s="2109">
        <v>2023</v>
      </c>
      <c r="AE98" s="2109" t="s">
        <v>8428</v>
      </c>
    </row>
    <row r="99" spans="1:33">
      <c r="A99" s="537">
        <v>44147</v>
      </c>
      <c r="B99" s="491" t="s">
        <v>7893</v>
      </c>
      <c r="C99" s="491" t="s">
        <v>69</v>
      </c>
      <c r="D99" s="491" t="s">
        <v>70</v>
      </c>
      <c r="E99" s="571" t="s">
        <v>7894</v>
      </c>
      <c r="F99" s="491">
        <v>3</v>
      </c>
      <c r="G99" s="495" t="s">
        <v>7897</v>
      </c>
      <c r="H99" s="491"/>
      <c r="I99" s="491" t="s">
        <v>3438</v>
      </c>
      <c r="J99" s="491"/>
      <c r="K99" s="536">
        <v>1811917</v>
      </c>
      <c r="L99" s="491" t="s">
        <v>251</v>
      </c>
      <c r="M99" s="537">
        <v>44169</v>
      </c>
      <c r="N99" s="537">
        <v>44202</v>
      </c>
      <c r="O99" s="537">
        <v>44249</v>
      </c>
      <c r="P99" s="495" t="s">
        <v>576</v>
      </c>
      <c r="Q99" s="491"/>
      <c r="R99" s="536">
        <v>1800679.44</v>
      </c>
      <c r="S99" s="536">
        <v>1980747.38</v>
      </c>
      <c r="T99" s="1471"/>
      <c r="U99" s="1471"/>
      <c r="V99" s="1471"/>
      <c r="W99" s="573">
        <v>44249</v>
      </c>
      <c r="X99" s="536" t="s">
        <v>8308</v>
      </c>
      <c r="Y99" s="537">
        <v>44273</v>
      </c>
      <c r="Z99" s="537">
        <v>44279</v>
      </c>
      <c r="AA99" s="537">
        <v>45368</v>
      </c>
      <c r="AB99" s="537">
        <v>44648</v>
      </c>
      <c r="AC99" s="1374">
        <v>2022</v>
      </c>
      <c r="AD99" s="388">
        <v>2023</v>
      </c>
      <c r="AE99" s="388" t="s">
        <v>8463</v>
      </c>
    </row>
    <row r="100" spans="1:33">
      <c r="A100" s="537">
        <v>44147</v>
      </c>
      <c r="B100" s="491" t="s">
        <v>7893</v>
      </c>
      <c r="C100" s="491" t="s">
        <v>69</v>
      </c>
      <c r="D100" s="491" t="s">
        <v>70</v>
      </c>
      <c r="E100" s="571" t="s">
        <v>7894</v>
      </c>
      <c r="F100" s="491">
        <v>4</v>
      </c>
      <c r="G100" s="495" t="s">
        <v>7898</v>
      </c>
      <c r="H100" s="491"/>
      <c r="I100" s="491" t="s">
        <v>3438</v>
      </c>
      <c r="J100" s="491"/>
      <c r="K100" s="536">
        <v>7429475</v>
      </c>
      <c r="L100" s="491" t="s">
        <v>251</v>
      </c>
      <c r="M100" s="537">
        <v>44169</v>
      </c>
      <c r="N100" s="537">
        <v>44202</v>
      </c>
      <c r="O100" s="537">
        <v>44249</v>
      </c>
      <c r="P100" s="495" t="s">
        <v>2548</v>
      </c>
      <c r="Q100" s="491"/>
      <c r="R100" s="536">
        <v>5625242.4000000004</v>
      </c>
      <c r="S100" s="536">
        <v>6178766.6399999997</v>
      </c>
      <c r="T100" s="1471"/>
      <c r="U100" s="1471"/>
      <c r="V100" s="1471"/>
      <c r="W100" s="573">
        <v>44249</v>
      </c>
      <c r="X100" s="536" t="s">
        <v>8309</v>
      </c>
      <c r="Y100" s="537">
        <v>44278</v>
      </c>
      <c r="Z100" s="537">
        <v>44279</v>
      </c>
      <c r="AA100" s="537">
        <v>45373</v>
      </c>
      <c r="AB100" s="2140">
        <v>44648</v>
      </c>
      <c r="AC100" s="2109">
        <v>2022</v>
      </c>
      <c r="AD100" s="2109">
        <v>2023</v>
      </c>
      <c r="AE100" s="2109" t="s">
        <v>8485</v>
      </c>
    </row>
    <row r="101" spans="1:33">
      <c r="A101" s="537">
        <v>44147</v>
      </c>
      <c r="B101" s="491" t="s">
        <v>7893</v>
      </c>
      <c r="C101" s="491" t="s">
        <v>69</v>
      </c>
      <c r="D101" s="491" t="s">
        <v>70</v>
      </c>
      <c r="E101" s="571" t="s">
        <v>7894</v>
      </c>
      <c r="F101" s="491">
        <v>5</v>
      </c>
      <c r="G101" s="495" t="s">
        <v>7899</v>
      </c>
      <c r="H101" s="491"/>
      <c r="I101" s="491" t="s">
        <v>3438</v>
      </c>
      <c r="J101" s="491"/>
      <c r="K101" s="536">
        <v>4344271</v>
      </c>
      <c r="L101" s="491" t="s">
        <v>251</v>
      </c>
      <c r="M101" s="537">
        <v>44169</v>
      </c>
      <c r="N101" s="537">
        <v>44202</v>
      </c>
      <c r="O101" s="537">
        <v>44249</v>
      </c>
      <c r="P101" s="495" t="s">
        <v>5774</v>
      </c>
      <c r="Q101" s="491"/>
      <c r="R101" s="536">
        <v>4279057.2</v>
      </c>
      <c r="S101" s="536">
        <v>4706962.92</v>
      </c>
      <c r="T101" s="1471"/>
      <c r="U101" s="1471"/>
      <c r="V101" s="1471"/>
      <c r="W101" s="573">
        <v>44249</v>
      </c>
      <c r="X101" s="536" t="s">
        <v>8310</v>
      </c>
      <c r="Y101" s="537">
        <v>44266</v>
      </c>
      <c r="Z101" s="537">
        <v>44279</v>
      </c>
      <c r="AA101" s="537">
        <v>45361</v>
      </c>
      <c r="AB101" s="2140">
        <v>44648</v>
      </c>
      <c r="AC101" s="2109">
        <v>2022</v>
      </c>
      <c r="AD101" s="2109">
        <v>2023</v>
      </c>
      <c r="AE101" s="2109" t="s">
        <v>8428</v>
      </c>
    </row>
    <row r="102" spans="1:33">
      <c r="A102" s="537">
        <v>44147</v>
      </c>
      <c r="B102" s="491" t="s">
        <v>7893</v>
      </c>
      <c r="C102" s="491" t="s">
        <v>69</v>
      </c>
      <c r="D102" s="491" t="s">
        <v>70</v>
      </c>
      <c r="E102" s="571" t="s">
        <v>7894</v>
      </c>
      <c r="F102" s="491">
        <v>6</v>
      </c>
      <c r="G102" s="495" t="s">
        <v>7900</v>
      </c>
      <c r="H102" s="491"/>
      <c r="I102" s="491" t="s">
        <v>3438</v>
      </c>
      <c r="J102" s="491"/>
      <c r="K102" s="536">
        <v>2837161</v>
      </c>
      <c r="L102" s="491" t="s">
        <v>251</v>
      </c>
      <c r="M102" s="537">
        <v>44169</v>
      </c>
      <c r="N102" s="537">
        <v>44202</v>
      </c>
      <c r="O102" s="537">
        <v>44249</v>
      </c>
      <c r="P102" s="495" t="s">
        <v>5774</v>
      </c>
      <c r="Q102" s="491"/>
      <c r="R102" s="536">
        <v>2791711.05</v>
      </c>
      <c r="S102" s="536">
        <v>3070882.16</v>
      </c>
      <c r="T102" s="1471"/>
      <c r="U102" s="1471"/>
      <c r="V102" s="1471"/>
      <c r="W102" s="573">
        <v>44249</v>
      </c>
      <c r="X102" s="536" t="s">
        <v>8311</v>
      </c>
      <c r="Y102" s="537">
        <v>44266</v>
      </c>
      <c r="Z102" s="537">
        <v>44279</v>
      </c>
      <c r="AA102" s="537">
        <v>45361</v>
      </c>
      <c r="AB102" s="2140">
        <v>44648</v>
      </c>
      <c r="AC102" s="2109">
        <v>2022</v>
      </c>
      <c r="AD102" s="2109">
        <v>2023</v>
      </c>
      <c r="AE102" s="2109" t="s">
        <v>8428</v>
      </c>
      <c r="AF102" s="374" t="s">
        <v>13112</v>
      </c>
    </row>
    <row r="103" spans="1:33" ht="15.75" thickBot="1">
      <c r="A103" s="1380">
        <v>44147</v>
      </c>
      <c r="B103" s="1376" t="s">
        <v>7893</v>
      </c>
      <c r="C103" s="1376" t="s">
        <v>69</v>
      </c>
      <c r="D103" s="1376" t="s">
        <v>70</v>
      </c>
      <c r="E103" s="1378" t="s">
        <v>7894</v>
      </c>
      <c r="F103" s="1376">
        <v>7</v>
      </c>
      <c r="G103" s="1421" t="s">
        <v>7901</v>
      </c>
      <c r="H103" s="1376"/>
      <c r="I103" s="1376" t="s">
        <v>3438</v>
      </c>
      <c r="J103" s="1376"/>
      <c r="K103" s="1379">
        <v>2236892</v>
      </c>
      <c r="L103" s="1376" t="s">
        <v>251</v>
      </c>
      <c r="M103" s="1380">
        <v>44169</v>
      </c>
      <c r="N103" s="1380">
        <v>44202</v>
      </c>
      <c r="O103" s="1380">
        <v>44249</v>
      </c>
      <c r="P103" s="1421" t="s">
        <v>5774</v>
      </c>
      <c r="Q103" s="1376"/>
      <c r="R103" s="1379">
        <v>2154174.7200000002</v>
      </c>
      <c r="S103" s="1379">
        <v>2369592.19</v>
      </c>
      <c r="T103" s="1475"/>
      <c r="U103" s="1475"/>
      <c r="V103" s="1475"/>
      <c r="W103" s="1388">
        <v>44249</v>
      </c>
      <c r="X103" s="1379" t="s">
        <v>8312</v>
      </c>
      <c r="Y103" s="1380">
        <v>44266</v>
      </c>
      <c r="Z103" s="1380">
        <v>44279</v>
      </c>
      <c r="AA103" s="1380">
        <v>45361</v>
      </c>
      <c r="AB103" s="2117">
        <v>44648</v>
      </c>
      <c r="AC103" s="2110">
        <v>2022</v>
      </c>
      <c r="AD103" s="2110">
        <v>2023</v>
      </c>
      <c r="AE103" s="2110" t="s">
        <v>8428</v>
      </c>
    </row>
    <row r="104" spans="1:33" ht="15.75" thickTop="1">
      <c r="A104" s="2282" t="s">
        <v>3585</v>
      </c>
      <c r="B104" s="2282" t="s">
        <v>7909</v>
      </c>
      <c r="C104" s="2282" t="s">
        <v>2434</v>
      </c>
      <c r="D104" s="2282" t="s">
        <v>219</v>
      </c>
      <c r="E104" s="175" t="s">
        <v>7557</v>
      </c>
      <c r="F104" s="2282"/>
      <c r="G104" s="2283"/>
      <c r="H104" s="2282"/>
      <c r="I104" s="2282" t="s">
        <v>642</v>
      </c>
      <c r="J104" s="2282"/>
      <c r="K104" s="364">
        <v>2116000</v>
      </c>
      <c r="L104" s="2282" t="s">
        <v>216</v>
      </c>
      <c r="M104" s="365">
        <v>44158</v>
      </c>
      <c r="N104" s="365">
        <v>44174</v>
      </c>
      <c r="O104" s="365">
        <v>44202</v>
      </c>
      <c r="P104" s="2283" t="s">
        <v>2400</v>
      </c>
      <c r="Q104" s="2282"/>
      <c r="R104" s="364">
        <v>2115360</v>
      </c>
      <c r="S104" s="364">
        <v>2559585.6</v>
      </c>
      <c r="T104" s="1473"/>
      <c r="U104" s="1473"/>
      <c r="V104" s="1473"/>
      <c r="W104" s="681">
        <v>44202</v>
      </c>
      <c r="X104" s="364" t="s">
        <v>8114</v>
      </c>
      <c r="Y104" s="365">
        <v>44230</v>
      </c>
      <c r="Z104" s="365">
        <v>43866</v>
      </c>
      <c r="AA104" s="2282" t="s">
        <v>4096</v>
      </c>
      <c r="AB104" s="365">
        <v>44641</v>
      </c>
      <c r="AC104" s="451">
        <v>2022</v>
      </c>
      <c r="AD104" s="451">
        <v>2023</v>
      </c>
      <c r="AE104" s="451">
        <v>2024</v>
      </c>
      <c r="AF104" s="2109">
        <v>2025</v>
      </c>
      <c r="AG104" s="2109" t="s">
        <v>4435</v>
      </c>
    </row>
    <row r="105" spans="1:33">
      <c r="A105" s="537">
        <v>44151</v>
      </c>
      <c r="B105" s="491" t="s">
        <v>7910</v>
      </c>
      <c r="C105" s="491" t="s">
        <v>6561</v>
      </c>
      <c r="D105" s="491" t="s">
        <v>4864</v>
      </c>
      <c r="E105" s="571" t="s">
        <v>7911</v>
      </c>
      <c r="F105" s="491"/>
      <c r="G105" s="495"/>
      <c r="H105" s="491"/>
      <c r="I105" s="491" t="s">
        <v>7319</v>
      </c>
      <c r="J105" s="491"/>
      <c r="K105" s="536">
        <v>1350000</v>
      </c>
      <c r="L105" s="491" t="s">
        <v>112</v>
      </c>
      <c r="M105" s="537">
        <v>44158</v>
      </c>
      <c r="N105" s="537">
        <v>44168</v>
      </c>
      <c r="O105" s="537">
        <v>44181</v>
      </c>
      <c r="P105" s="495" t="s">
        <v>8039</v>
      </c>
      <c r="Q105" s="491"/>
      <c r="R105" s="536">
        <v>458568</v>
      </c>
      <c r="S105" s="536">
        <v>554868</v>
      </c>
      <c r="T105" s="1471"/>
      <c r="U105" s="1471"/>
      <c r="V105" s="1471"/>
      <c r="W105" s="573">
        <v>44181</v>
      </c>
      <c r="X105" s="536" t="s">
        <v>8071</v>
      </c>
      <c r="Y105" s="537">
        <v>44218</v>
      </c>
      <c r="Z105" s="537">
        <v>44221</v>
      </c>
      <c r="AA105" s="537">
        <f>Y105+84</f>
        <v>44302</v>
      </c>
      <c r="AB105" s="365">
        <v>44327</v>
      </c>
      <c r="AC105" s="1513"/>
    </row>
    <row r="106" spans="1:33">
      <c r="A106" s="537">
        <v>44148</v>
      </c>
      <c r="B106" s="491" t="s">
        <v>8072</v>
      </c>
      <c r="C106" s="491" t="s">
        <v>1032</v>
      </c>
      <c r="D106" s="491" t="s">
        <v>361</v>
      </c>
      <c r="E106" s="571" t="s">
        <v>7916</v>
      </c>
      <c r="F106" s="491"/>
      <c r="G106" s="495"/>
      <c r="H106" s="491"/>
      <c r="I106" s="491" t="s">
        <v>809</v>
      </c>
      <c r="J106" s="491" t="s">
        <v>7914</v>
      </c>
      <c r="K106" s="536">
        <v>720000</v>
      </c>
      <c r="L106" s="491" t="s">
        <v>112</v>
      </c>
      <c r="M106" s="537">
        <v>44158</v>
      </c>
      <c r="N106" s="537">
        <v>44168</v>
      </c>
      <c r="O106" s="537">
        <v>44173</v>
      </c>
      <c r="P106" s="495" t="s">
        <v>923</v>
      </c>
      <c r="Q106" s="491"/>
      <c r="R106" s="536">
        <v>662355</v>
      </c>
      <c r="S106" s="536">
        <v>801449</v>
      </c>
      <c r="T106" s="1471"/>
      <c r="U106" s="1471"/>
      <c r="V106" s="1471"/>
      <c r="W106" s="573">
        <v>44174</v>
      </c>
      <c r="X106" s="536" t="s">
        <v>8026</v>
      </c>
      <c r="Y106" s="537">
        <v>44203</v>
      </c>
      <c r="Z106" s="537">
        <v>44208</v>
      </c>
      <c r="AA106" s="537">
        <f>Y106+70</f>
        <v>44273</v>
      </c>
      <c r="AB106" s="537">
        <v>44335</v>
      </c>
      <c r="AC106" s="1102"/>
    </row>
    <row r="107" spans="1:33" ht="45.75" thickBot="1">
      <c r="A107" s="411" t="s">
        <v>3585</v>
      </c>
      <c r="B107" s="411" t="s">
        <v>7922</v>
      </c>
      <c r="C107" s="411" t="s">
        <v>58</v>
      </c>
      <c r="D107" s="411" t="s">
        <v>7369</v>
      </c>
      <c r="E107" s="412" t="s">
        <v>7923</v>
      </c>
      <c r="F107" s="411"/>
      <c r="G107" s="630"/>
      <c r="H107" s="411"/>
      <c r="I107" s="411" t="s">
        <v>1159</v>
      </c>
      <c r="J107" s="411"/>
      <c r="K107" s="417">
        <v>10100000</v>
      </c>
      <c r="L107" s="411" t="s">
        <v>251</v>
      </c>
      <c r="M107" s="416">
        <v>44159</v>
      </c>
      <c r="N107" s="416">
        <v>44193</v>
      </c>
      <c r="O107" s="416">
        <v>44204</v>
      </c>
      <c r="P107" s="630" t="s">
        <v>8116</v>
      </c>
      <c r="Q107" s="411"/>
      <c r="R107" s="417">
        <v>10121328.4</v>
      </c>
      <c r="S107" s="417">
        <v>12246807.359999999</v>
      </c>
      <c r="T107" s="1480"/>
      <c r="U107" s="1480"/>
      <c r="V107" s="1480"/>
      <c r="W107" s="513">
        <v>44204</v>
      </c>
      <c r="X107" s="1553" t="s">
        <v>8123</v>
      </c>
      <c r="Y107" s="416">
        <v>44251</v>
      </c>
      <c r="Z107" s="416">
        <v>44256</v>
      </c>
      <c r="AA107" s="416">
        <f>Y107+126</f>
        <v>44377</v>
      </c>
      <c r="AB107" s="416">
        <v>44418</v>
      </c>
      <c r="AC107" s="422" t="s">
        <v>6118</v>
      </c>
    </row>
    <row r="108" spans="1:33" ht="15.75" thickTop="1">
      <c r="A108" s="474">
        <v>44155</v>
      </c>
      <c r="B108" s="453" t="s">
        <v>7935</v>
      </c>
      <c r="C108" s="453" t="s">
        <v>69</v>
      </c>
      <c r="D108" s="453" t="s">
        <v>70</v>
      </c>
      <c r="E108" s="473" t="s">
        <v>8097</v>
      </c>
      <c r="F108" s="453">
        <v>1</v>
      </c>
      <c r="G108" s="1420" t="s">
        <v>7936</v>
      </c>
      <c r="H108" s="453"/>
      <c r="I108" s="453" t="s">
        <v>7938</v>
      </c>
      <c r="J108" s="453"/>
      <c r="K108" s="457">
        <v>1082451</v>
      </c>
      <c r="L108" s="453" t="s">
        <v>251</v>
      </c>
      <c r="M108" s="474">
        <v>44200</v>
      </c>
      <c r="N108" s="474">
        <v>44309</v>
      </c>
      <c r="O108" s="474">
        <v>44323</v>
      </c>
      <c r="P108" s="1420" t="s">
        <v>5774</v>
      </c>
      <c r="Q108" s="453"/>
      <c r="R108" s="457">
        <v>1059090</v>
      </c>
      <c r="S108" s="457">
        <v>1217953.5</v>
      </c>
      <c r="T108" s="1474"/>
      <c r="U108" s="1474"/>
      <c r="V108" s="1474"/>
      <c r="W108" s="570">
        <v>44323</v>
      </c>
      <c r="X108" s="457" t="s">
        <v>8911</v>
      </c>
      <c r="Y108" s="474">
        <v>44342</v>
      </c>
      <c r="Z108" s="474">
        <v>44363</v>
      </c>
      <c r="AA108" s="474">
        <v>45437</v>
      </c>
      <c r="AB108" s="474">
        <v>44648</v>
      </c>
      <c r="AC108" s="1391">
        <v>2022</v>
      </c>
      <c r="AD108" s="1391">
        <v>2023</v>
      </c>
      <c r="AE108" s="1391" t="s">
        <v>9053</v>
      </c>
    </row>
    <row r="109" spans="1:33">
      <c r="A109" s="537">
        <v>44155</v>
      </c>
      <c r="B109" s="491" t="s">
        <v>7935</v>
      </c>
      <c r="C109" s="491" t="s">
        <v>69</v>
      </c>
      <c r="D109" s="491" t="s">
        <v>70</v>
      </c>
      <c r="E109" s="571" t="s">
        <v>8097</v>
      </c>
      <c r="F109" s="491">
        <v>2</v>
      </c>
      <c r="G109" s="495" t="s">
        <v>7937</v>
      </c>
      <c r="H109" s="491"/>
      <c r="I109" s="491" t="s">
        <v>7938</v>
      </c>
      <c r="J109" s="491"/>
      <c r="K109" s="536">
        <v>7967688</v>
      </c>
      <c r="L109" s="491" t="s">
        <v>251</v>
      </c>
      <c r="M109" s="537">
        <v>44200</v>
      </c>
      <c r="N109" s="537">
        <v>44309</v>
      </c>
      <c r="O109" s="537">
        <v>44323</v>
      </c>
      <c r="P109" s="495" t="s">
        <v>576</v>
      </c>
      <c r="Q109" s="491"/>
      <c r="R109" s="536">
        <v>767332.35</v>
      </c>
      <c r="S109" s="536">
        <v>882432.2</v>
      </c>
      <c r="T109" s="1471"/>
      <c r="U109" s="1471"/>
      <c r="V109" s="1471"/>
      <c r="W109" s="573">
        <v>44323</v>
      </c>
      <c r="X109" s="536" t="s">
        <v>8912</v>
      </c>
      <c r="Y109" s="537">
        <v>44357</v>
      </c>
      <c r="Z109" s="537">
        <v>44363</v>
      </c>
      <c r="AA109" s="537">
        <v>45452</v>
      </c>
      <c r="AB109" s="537">
        <v>44648</v>
      </c>
      <c r="AC109" s="1374">
        <v>2022</v>
      </c>
      <c r="AD109" s="1374">
        <v>2023</v>
      </c>
      <c r="AE109" s="1374" t="s">
        <v>9157</v>
      </c>
    </row>
    <row r="110" spans="1:33">
      <c r="A110" s="470">
        <v>44159</v>
      </c>
      <c r="B110" s="466" t="s">
        <v>7940</v>
      </c>
      <c r="C110" s="466" t="s">
        <v>2434</v>
      </c>
      <c r="D110" s="466" t="s">
        <v>3204</v>
      </c>
      <c r="E110" s="467" t="s">
        <v>7941</v>
      </c>
      <c r="F110" s="466"/>
      <c r="G110" s="654"/>
      <c r="H110" s="466"/>
      <c r="I110" s="466" t="s">
        <v>642</v>
      </c>
      <c r="J110" s="466"/>
      <c r="K110" s="472">
        <v>5785125</v>
      </c>
      <c r="L110" s="466" t="s">
        <v>251</v>
      </c>
      <c r="M110" s="470">
        <v>44168</v>
      </c>
      <c r="N110" s="470">
        <v>44201</v>
      </c>
      <c r="O110" s="466"/>
      <c r="P110" s="471" t="s">
        <v>8146</v>
      </c>
      <c r="Q110" s="2014" t="s">
        <v>8161</v>
      </c>
      <c r="R110" s="472"/>
      <c r="S110" s="472"/>
      <c r="T110" s="1516"/>
      <c r="U110" s="1516"/>
      <c r="V110" s="1516"/>
      <c r="W110" s="472"/>
      <c r="X110" s="472"/>
      <c r="Y110" s="466"/>
      <c r="Z110" s="470">
        <v>44223</v>
      </c>
      <c r="AA110" s="654" t="s">
        <v>8151</v>
      </c>
      <c r="AB110" s="466"/>
      <c r="AC110" s="466"/>
    </row>
    <row r="111" spans="1:33" ht="30">
      <c r="A111" s="537">
        <v>44155</v>
      </c>
      <c r="B111" s="491" t="s">
        <v>7942</v>
      </c>
      <c r="C111" s="491" t="s">
        <v>2434</v>
      </c>
      <c r="D111" s="491" t="s">
        <v>219</v>
      </c>
      <c r="E111" s="571" t="s">
        <v>7943</v>
      </c>
      <c r="F111" s="491"/>
      <c r="G111" s="495"/>
      <c r="H111" s="491"/>
      <c r="I111" s="491" t="s">
        <v>642</v>
      </c>
      <c r="J111" s="491"/>
      <c r="K111" s="536">
        <v>19019100</v>
      </c>
      <c r="L111" s="491" t="s">
        <v>251</v>
      </c>
      <c r="M111" s="537">
        <v>44173</v>
      </c>
      <c r="N111" s="537">
        <v>44207</v>
      </c>
      <c r="O111" s="537">
        <v>44232</v>
      </c>
      <c r="P111" s="495" t="s">
        <v>8190</v>
      </c>
      <c r="Q111" s="491"/>
      <c r="R111" s="536">
        <v>18301500</v>
      </c>
      <c r="S111" s="536">
        <v>22144815</v>
      </c>
      <c r="T111" s="1471"/>
      <c r="U111" s="1471"/>
      <c r="V111" s="1471"/>
      <c r="W111" s="573">
        <v>44232</v>
      </c>
      <c r="X111" s="1375" t="s">
        <v>8218</v>
      </c>
      <c r="Y111" s="537">
        <v>44270</v>
      </c>
      <c r="Z111" s="537">
        <v>44278</v>
      </c>
      <c r="AA111" s="537">
        <v>46095</v>
      </c>
      <c r="AB111" s="537">
        <v>44641</v>
      </c>
      <c r="AC111" s="1374">
        <v>2022</v>
      </c>
      <c r="AD111" s="388">
        <v>2023</v>
      </c>
      <c r="AE111" s="388">
        <v>2024</v>
      </c>
      <c r="AF111" s="388">
        <v>2025</v>
      </c>
      <c r="AG111" s="388" t="s">
        <v>8444</v>
      </c>
    </row>
    <row r="112" spans="1:33" ht="15.75" thickBot="1">
      <c r="A112" s="416">
        <v>44159</v>
      </c>
      <c r="B112" s="411" t="s">
        <v>7946</v>
      </c>
      <c r="C112" s="411" t="s">
        <v>4997</v>
      </c>
      <c r="D112" s="411" t="s">
        <v>7475</v>
      </c>
      <c r="E112" s="1563" t="s">
        <v>7947</v>
      </c>
      <c r="F112" s="411"/>
      <c r="G112" s="630"/>
      <c r="H112" s="411"/>
      <c r="I112" s="411" t="s">
        <v>7319</v>
      </c>
      <c r="J112" s="411"/>
      <c r="K112" s="417">
        <v>850000</v>
      </c>
      <c r="L112" s="411" t="s">
        <v>112</v>
      </c>
      <c r="M112" s="416">
        <v>44166</v>
      </c>
      <c r="N112" s="416">
        <v>44176</v>
      </c>
      <c r="O112" s="416">
        <v>44187</v>
      </c>
      <c r="P112" s="630" t="s">
        <v>8088</v>
      </c>
      <c r="Q112" s="411"/>
      <c r="R112" s="417">
        <v>584523</v>
      </c>
      <c r="S112" s="417">
        <v>707272.83</v>
      </c>
      <c r="T112" s="1480"/>
      <c r="U112" s="1480"/>
      <c r="V112" s="1480"/>
      <c r="W112" s="513">
        <v>44187</v>
      </c>
      <c r="X112" s="417" t="s">
        <v>8095</v>
      </c>
      <c r="Y112" s="416">
        <v>44215</v>
      </c>
      <c r="Z112" s="416">
        <v>44216</v>
      </c>
      <c r="AA112" s="416">
        <f>Y112+24</f>
        <v>44239</v>
      </c>
      <c r="AB112" s="416">
        <v>44305</v>
      </c>
      <c r="AC112" s="967"/>
    </row>
    <row r="113" spans="1:31" ht="15.75" thickTop="1">
      <c r="A113" s="443">
        <v>44161</v>
      </c>
      <c r="B113" s="439" t="s">
        <v>7948</v>
      </c>
      <c r="C113" s="439" t="s">
        <v>69</v>
      </c>
      <c r="D113" s="439" t="s">
        <v>70</v>
      </c>
      <c r="E113" s="440" t="s">
        <v>7961</v>
      </c>
      <c r="F113" s="439">
        <v>1</v>
      </c>
      <c r="G113" s="1431" t="s">
        <v>7957</v>
      </c>
      <c r="H113" s="439"/>
      <c r="I113" s="439" t="s">
        <v>7956</v>
      </c>
      <c r="J113" s="439"/>
      <c r="K113" s="444">
        <v>1012484</v>
      </c>
      <c r="L113" s="439" t="s">
        <v>251</v>
      </c>
      <c r="M113" s="443">
        <v>44172</v>
      </c>
      <c r="N113" s="443">
        <v>44204</v>
      </c>
      <c r="O113" s="439"/>
      <c r="P113" s="753" t="s">
        <v>304</v>
      </c>
      <c r="Q113" s="439"/>
      <c r="R113" s="444"/>
      <c r="S113" s="444"/>
      <c r="T113" s="1481"/>
      <c r="U113" s="1481"/>
      <c r="V113" s="1481"/>
      <c r="W113" s="444"/>
      <c r="X113" s="444"/>
      <c r="Y113" s="439"/>
      <c r="Z113" s="443">
        <v>44243</v>
      </c>
      <c r="AA113" s="1431" t="s">
        <v>8148</v>
      </c>
      <c r="AB113" s="439"/>
      <c r="AC113" s="439"/>
      <c r="AD113" s="1393"/>
      <c r="AE113" s="1393"/>
    </row>
    <row r="114" spans="1:31">
      <c r="A114" s="537">
        <v>44161</v>
      </c>
      <c r="B114" s="491" t="s">
        <v>7948</v>
      </c>
      <c r="C114" s="491" t="s">
        <v>69</v>
      </c>
      <c r="D114" s="491" t="s">
        <v>70</v>
      </c>
      <c r="E114" s="571" t="s">
        <v>7961</v>
      </c>
      <c r="F114" s="491">
        <v>2</v>
      </c>
      <c r="G114" s="495" t="s">
        <v>7958</v>
      </c>
      <c r="H114" s="491"/>
      <c r="I114" s="491" t="s">
        <v>7956</v>
      </c>
      <c r="J114" s="491"/>
      <c r="K114" s="536">
        <v>292383</v>
      </c>
      <c r="L114" s="491" t="s">
        <v>251</v>
      </c>
      <c r="M114" s="537">
        <v>44172</v>
      </c>
      <c r="N114" s="537">
        <v>44204</v>
      </c>
      <c r="O114" s="537">
        <v>44215</v>
      </c>
      <c r="P114" s="495" t="s">
        <v>5774</v>
      </c>
      <c r="Q114" s="491"/>
      <c r="R114" s="536">
        <v>288036</v>
      </c>
      <c r="S114" s="536">
        <v>316839.59999999998</v>
      </c>
      <c r="T114" s="1471"/>
      <c r="U114" s="1471"/>
      <c r="V114" s="1471"/>
      <c r="W114" s="573">
        <v>44215</v>
      </c>
      <c r="X114" s="536" t="s">
        <v>8153</v>
      </c>
      <c r="Y114" s="537">
        <v>44249</v>
      </c>
      <c r="Z114" s="537">
        <v>44252</v>
      </c>
      <c r="AA114" s="537">
        <v>45343</v>
      </c>
      <c r="AB114" s="537">
        <v>44648</v>
      </c>
      <c r="AC114" s="1374">
        <v>2022</v>
      </c>
      <c r="AD114" s="1374">
        <v>2023</v>
      </c>
      <c r="AE114" s="1374" t="s">
        <v>8369</v>
      </c>
    </row>
    <row r="115" spans="1:31">
      <c r="A115" s="537">
        <v>44161</v>
      </c>
      <c r="B115" s="491" t="s">
        <v>7948</v>
      </c>
      <c r="C115" s="491" t="s">
        <v>69</v>
      </c>
      <c r="D115" s="491" t="s">
        <v>70</v>
      </c>
      <c r="E115" s="571" t="s">
        <v>7961</v>
      </c>
      <c r="F115" s="491">
        <v>3</v>
      </c>
      <c r="G115" s="495" t="s">
        <v>7959</v>
      </c>
      <c r="H115" s="491"/>
      <c r="I115" s="491" t="s">
        <v>7956</v>
      </c>
      <c r="J115" s="491"/>
      <c r="K115" s="536">
        <v>7136766</v>
      </c>
      <c r="L115" s="491" t="s">
        <v>251</v>
      </c>
      <c r="M115" s="537">
        <v>44172</v>
      </c>
      <c r="N115" s="537">
        <v>44204</v>
      </c>
      <c r="O115" s="537">
        <v>44215</v>
      </c>
      <c r="P115" s="495" t="s">
        <v>5774</v>
      </c>
      <c r="Q115" s="491"/>
      <c r="R115" s="536">
        <v>7031781.1799999997</v>
      </c>
      <c r="S115" s="536">
        <v>7734959.2999999998</v>
      </c>
      <c r="T115" s="1471"/>
      <c r="U115" s="1471"/>
      <c r="V115" s="1471"/>
      <c r="W115" s="573">
        <v>44215</v>
      </c>
      <c r="X115" s="536" t="s">
        <v>8154</v>
      </c>
      <c r="Y115" s="537">
        <v>44249</v>
      </c>
      <c r="Z115" s="537">
        <v>44252</v>
      </c>
      <c r="AA115" s="537">
        <v>45343</v>
      </c>
      <c r="AB115" s="537">
        <v>44648</v>
      </c>
      <c r="AC115" s="1374">
        <v>2022</v>
      </c>
      <c r="AD115" s="1374">
        <v>2023</v>
      </c>
      <c r="AE115" s="1374" t="s">
        <v>8369</v>
      </c>
    </row>
    <row r="116" spans="1:31" ht="15.75" thickBot="1">
      <c r="A116" s="1380">
        <v>44161</v>
      </c>
      <c r="B116" s="1376" t="s">
        <v>7948</v>
      </c>
      <c r="C116" s="1376" t="s">
        <v>69</v>
      </c>
      <c r="D116" s="1376" t="s">
        <v>70</v>
      </c>
      <c r="E116" s="1378" t="s">
        <v>7961</v>
      </c>
      <c r="F116" s="1376">
        <v>4</v>
      </c>
      <c r="G116" s="1421" t="s">
        <v>7960</v>
      </c>
      <c r="H116" s="1376"/>
      <c r="I116" s="1376" t="s">
        <v>7956</v>
      </c>
      <c r="J116" s="1376"/>
      <c r="K116" s="1379">
        <v>2915317</v>
      </c>
      <c r="L116" s="1376" t="s">
        <v>251</v>
      </c>
      <c r="M116" s="1380">
        <v>44172</v>
      </c>
      <c r="N116" s="1380">
        <v>44204</v>
      </c>
      <c r="O116" s="1380">
        <v>44215</v>
      </c>
      <c r="P116" s="1421" t="s">
        <v>5774</v>
      </c>
      <c r="Q116" s="1376"/>
      <c r="R116" s="1379">
        <v>2866447.35</v>
      </c>
      <c r="S116" s="1379">
        <v>3153092.09</v>
      </c>
      <c r="T116" s="1475"/>
      <c r="U116" s="1475"/>
      <c r="V116" s="1475"/>
      <c r="W116" s="1388">
        <v>44215</v>
      </c>
      <c r="X116" s="1379" t="s">
        <v>8155</v>
      </c>
      <c r="Y116" s="1380">
        <v>44249</v>
      </c>
      <c r="Z116" s="1380">
        <v>44252</v>
      </c>
      <c r="AA116" s="1380">
        <v>45343</v>
      </c>
      <c r="AB116" s="1380">
        <v>44648</v>
      </c>
      <c r="AC116" s="1381">
        <v>2022</v>
      </c>
      <c r="AD116" s="1381">
        <v>2023</v>
      </c>
      <c r="AE116" s="1381" t="s">
        <v>8369</v>
      </c>
    </row>
    <row r="117" spans="1:31" ht="15.75" thickTop="1">
      <c r="A117" s="443">
        <v>44161</v>
      </c>
      <c r="B117" s="439" t="s">
        <v>7949</v>
      </c>
      <c r="C117" s="439" t="s">
        <v>69</v>
      </c>
      <c r="D117" s="439" t="s">
        <v>70</v>
      </c>
      <c r="E117" s="440" t="s">
        <v>7950</v>
      </c>
      <c r="F117" s="439">
        <v>1</v>
      </c>
      <c r="G117" s="1431" t="s">
        <v>7951</v>
      </c>
      <c r="H117" s="439"/>
      <c r="I117" s="439" t="s">
        <v>3438</v>
      </c>
      <c r="J117" s="439"/>
      <c r="K117" s="444">
        <v>1519736</v>
      </c>
      <c r="L117" s="439" t="s">
        <v>251</v>
      </c>
      <c r="M117" s="443">
        <v>44173</v>
      </c>
      <c r="N117" s="443">
        <v>44222</v>
      </c>
      <c r="O117" s="439"/>
      <c r="P117" s="753" t="s">
        <v>304</v>
      </c>
      <c r="Q117" s="439"/>
      <c r="R117" s="444"/>
      <c r="S117" s="444"/>
      <c r="T117" s="1481"/>
      <c r="U117" s="1481"/>
      <c r="V117" s="1481"/>
      <c r="W117" s="444"/>
      <c r="X117" s="444"/>
      <c r="Y117" s="439"/>
      <c r="Z117" s="443">
        <v>44281</v>
      </c>
      <c r="AA117" s="439" t="s">
        <v>8390</v>
      </c>
      <c r="AB117" s="439"/>
      <c r="AC117" s="439"/>
      <c r="AD117" s="1393"/>
      <c r="AE117" s="1393"/>
    </row>
    <row r="118" spans="1:31">
      <c r="A118" s="537">
        <v>44161</v>
      </c>
      <c r="B118" s="491" t="s">
        <v>7949</v>
      </c>
      <c r="C118" s="491" t="s">
        <v>69</v>
      </c>
      <c r="D118" s="491" t="s">
        <v>70</v>
      </c>
      <c r="E118" s="571" t="s">
        <v>7950</v>
      </c>
      <c r="F118" s="491">
        <v>2</v>
      </c>
      <c r="G118" s="495" t="s">
        <v>7952</v>
      </c>
      <c r="H118" s="491"/>
      <c r="I118" s="491" t="s">
        <v>3438</v>
      </c>
      <c r="J118" s="491"/>
      <c r="K118" s="536">
        <v>961257</v>
      </c>
      <c r="L118" s="491" t="s">
        <v>251</v>
      </c>
      <c r="M118" s="537">
        <v>44173</v>
      </c>
      <c r="N118" s="537">
        <v>44222</v>
      </c>
      <c r="O118" s="537">
        <v>44253</v>
      </c>
      <c r="P118" s="495" t="s">
        <v>576</v>
      </c>
      <c r="Q118" s="491"/>
      <c r="R118" s="536">
        <v>961256.25</v>
      </c>
      <c r="S118" s="536">
        <v>1057381.8799999999</v>
      </c>
      <c r="T118" s="1471"/>
      <c r="U118" s="1471"/>
      <c r="V118" s="1471"/>
      <c r="W118" s="573">
        <v>44253</v>
      </c>
      <c r="X118" s="536" t="s">
        <v>8375</v>
      </c>
      <c r="Y118" s="537">
        <v>44278</v>
      </c>
      <c r="Z118" s="537">
        <v>44281</v>
      </c>
      <c r="AA118" s="537">
        <v>45373</v>
      </c>
      <c r="AB118" s="537">
        <v>44648</v>
      </c>
      <c r="AC118" s="1374">
        <v>2022</v>
      </c>
      <c r="AD118" s="1374">
        <v>2023</v>
      </c>
      <c r="AE118" s="1374" t="s">
        <v>8485</v>
      </c>
    </row>
    <row r="119" spans="1:31">
      <c r="A119" s="537">
        <v>44161</v>
      </c>
      <c r="B119" s="491" t="s">
        <v>7949</v>
      </c>
      <c r="C119" s="491" t="s">
        <v>69</v>
      </c>
      <c r="D119" s="491" t="s">
        <v>70</v>
      </c>
      <c r="E119" s="571" t="s">
        <v>7950</v>
      </c>
      <c r="F119" s="491">
        <v>3</v>
      </c>
      <c r="G119" s="495" t="s">
        <v>7953</v>
      </c>
      <c r="H119" s="491"/>
      <c r="I119" s="491" t="s">
        <v>3438</v>
      </c>
      <c r="J119" s="491"/>
      <c r="K119" s="536">
        <v>758692</v>
      </c>
      <c r="L119" s="491" t="s">
        <v>251</v>
      </c>
      <c r="M119" s="537">
        <v>44173</v>
      </c>
      <c r="N119" s="537">
        <v>44222</v>
      </c>
      <c r="O119" s="537">
        <v>44253</v>
      </c>
      <c r="P119" s="495" t="s">
        <v>5774</v>
      </c>
      <c r="Q119" s="491"/>
      <c r="R119" s="536">
        <v>563833.38</v>
      </c>
      <c r="S119" s="536">
        <v>620216.72</v>
      </c>
      <c r="T119" s="1471"/>
      <c r="U119" s="1471"/>
      <c r="V119" s="1471"/>
      <c r="W119" s="573">
        <v>44253</v>
      </c>
      <c r="X119" s="536" t="s">
        <v>8376</v>
      </c>
      <c r="Y119" s="537">
        <v>44273</v>
      </c>
      <c r="Z119" s="537">
        <v>44281</v>
      </c>
      <c r="AA119" s="537">
        <v>45368</v>
      </c>
      <c r="AB119" s="537">
        <v>44648</v>
      </c>
      <c r="AC119" s="1374">
        <v>2022</v>
      </c>
      <c r="AD119" s="388">
        <v>2023</v>
      </c>
      <c r="AE119" s="388" t="s">
        <v>8463</v>
      </c>
    </row>
    <row r="120" spans="1:31">
      <c r="A120" s="537">
        <v>44161</v>
      </c>
      <c r="B120" s="491" t="s">
        <v>7949</v>
      </c>
      <c r="C120" s="491" t="s">
        <v>69</v>
      </c>
      <c r="D120" s="491" t="s">
        <v>70</v>
      </c>
      <c r="E120" s="571" t="s">
        <v>7950</v>
      </c>
      <c r="F120" s="491">
        <v>4</v>
      </c>
      <c r="G120" s="495" t="s">
        <v>7954</v>
      </c>
      <c r="H120" s="491"/>
      <c r="I120" s="491" t="s">
        <v>3438</v>
      </c>
      <c r="J120" s="491"/>
      <c r="K120" s="536">
        <v>325365</v>
      </c>
      <c r="L120" s="491" t="s">
        <v>251</v>
      </c>
      <c r="M120" s="537">
        <v>44173</v>
      </c>
      <c r="N120" s="537">
        <v>44222</v>
      </c>
      <c r="O120" s="537">
        <v>44253</v>
      </c>
      <c r="P120" s="495" t="s">
        <v>2548</v>
      </c>
      <c r="Q120" s="491"/>
      <c r="R120" s="536">
        <v>325365</v>
      </c>
      <c r="S120" s="536">
        <v>357901.5</v>
      </c>
      <c r="T120" s="1471"/>
      <c r="U120" s="1471"/>
      <c r="V120" s="1471"/>
      <c r="W120" s="573">
        <v>44253</v>
      </c>
      <c r="X120" s="536" t="s">
        <v>8377</v>
      </c>
      <c r="Y120" s="537">
        <v>44278</v>
      </c>
      <c r="Z120" s="537">
        <v>44281</v>
      </c>
      <c r="AA120" s="537">
        <v>45373</v>
      </c>
      <c r="AB120" s="537">
        <v>44648</v>
      </c>
      <c r="AC120" s="1374">
        <v>2022</v>
      </c>
      <c r="AD120" s="1374">
        <v>2023</v>
      </c>
      <c r="AE120" s="1374" t="s">
        <v>8485</v>
      </c>
    </row>
    <row r="121" spans="1:31" ht="15.75" thickBot="1">
      <c r="A121" s="1380">
        <v>44161</v>
      </c>
      <c r="B121" s="1376" t="s">
        <v>7949</v>
      </c>
      <c r="C121" s="1376" t="s">
        <v>69</v>
      </c>
      <c r="D121" s="1376" t="s">
        <v>70</v>
      </c>
      <c r="E121" s="1378" t="s">
        <v>7950</v>
      </c>
      <c r="F121" s="1376">
        <v>5</v>
      </c>
      <c r="G121" s="1421" t="s">
        <v>7955</v>
      </c>
      <c r="H121" s="1376"/>
      <c r="I121" s="1376" t="s">
        <v>3438</v>
      </c>
      <c r="J121" s="1376"/>
      <c r="K121" s="1379">
        <v>3438683</v>
      </c>
      <c r="L121" s="1376" t="s">
        <v>251</v>
      </c>
      <c r="M121" s="1380">
        <v>44173</v>
      </c>
      <c r="N121" s="1380">
        <v>44222</v>
      </c>
      <c r="O121" s="1380">
        <v>44253</v>
      </c>
      <c r="P121" s="1421" t="s">
        <v>5805</v>
      </c>
      <c r="Q121" s="1376"/>
      <c r="R121" s="1379">
        <v>3505626.27</v>
      </c>
      <c r="S121" s="1379">
        <v>3856188.9</v>
      </c>
      <c r="T121" s="1475"/>
      <c r="U121" s="1475"/>
      <c r="V121" s="1475"/>
      <c r="W121" s="1388">
        <v>44253</v>
      </c>
      <c r="X121" s="1379" t="s">
        <v>8378</v>
      </c>
      <c r="Y121" s="1380">
        <v>44314</v>
      </c>
      <c r="Z121" s="1380">
        <v>44316</v>
      </c>
      <c r="AA121" s="1380">
        <v>45409</v>
      </c>
      <c r="AB121" s="1380">
        <v>44648</v>
      </c>
      <c r="AC121" s="1381">
        <v>2022</v>
      </c>
      <c r="AD121" s="1381">
        <v>2023</v>
      </c>
      <c r="AE121" s="1381" t="s">
        <v>8838</v>
      </c>
    </row>
    <row r="122" spans="1:31" ht="15.75" thickTop="1">
      <c r="A122" s="365">
        <v>44162</v>
      </c>
      <c r="B122" s="2282" t="s">
        <v>7967</v>
      </c>
      <c r="C122" s="2282" t="s">
        <v>52</v>
      </c>
      <c r="D122" s="2282" t="s">
        <v>5894</v>
      </c>
      <c r="E122" s="175" t="s">
        <v>7968</v>
      </c>
      <c r="F122" s="2282"/>
      <c r="G122" s="2283"/>
      <c r="H122" s="2282"/>
      <c r="I122" s="2282" t="s">
        <v>7966</v>
      </c>
      <c r="J122" s="2282"/>
      <c r="K122" s="364">
        <v>3500000</v>
      </c>
      <c r="L122" s="2282" t="s">
        <v>112</v>
      </c>
      <c r="M122" s="365">
        <v>44167</v>
      </c>
      <c r="N122" s="365">
        <v>44180</v>
      </c>
      <c r="O122" s="365">
        <v>44182</v>
      </c>
      <c r="P122" s="2283" t="s">
        <v>3377</v>
      </c>
      <c r="Q122" s="2282"/>
      <c r="R122" s="364">
        <v>2697075.57</v>
      </c>
      <c r="S122" s="364">
        <v>3263461.44</v>
      </c>
      <c r="T122" s="1473"/>
      <c r="U122" s="1473"/>
      <c r="V122" s="1473"/>
      <c r="W122" s="681">
        <v>44182</v>
      </c>
      <c r="X122" s="364" t="s">
        <v>8078</v>
      </c>
      <c r="Y122" s="365">
        <v>44228</v>
      </c>
      <c r="Z122" s="365">
        <v>44229</v>
      </c>
      <c r="AA122" s="365">
        <f>Y122+78</f>
        <v>44306</v>
      </c>
      <c r="AB122" s="498">
        <v>44424</v>
      </c>
      <c r="AC122" s="1558"/>
    </row>
    <row r="123" spans="1:31">
      <c r="A123" s="537">
        <v>44162</v>
      </c>
      <c r="B123" s="491" t="s">
        <v>7971</v>
      </c>
      <c r="C123" s="491" t="s">
        <v>69</v>
      </c>
      <c r="D123" s="491" t="s">
        <v>70</v>
      </c>
      <c r="E123" s="571" t="s">
        <v>7972</v>
      </c>
      <c r="F123" s="491">
        <v>1</v>
      </c>
      <c r="G123" s="495" t="s">
        <v>7973</v>
      </c>
      <c r="H123" s="491"/>
      <c r="I123" s="491" t="s">
        <v>815</v>
      </c>
      <c r="J123" s="491"/>
      <c r="K123" s="536">
        <v>5019815</v>
      </c>
      <c r="L123" s="491" t="s">
        <v>251</v>
      </c>
      <c r="M123" s="537">
        <v>44172</v>
      </c>
      <c r="N123" s="537">
        <v>44204</v>
      </c>
      <c r="O123" s="537">
        <v>44232</v>
      </c>
      <c r="P123" s="495" t="s">
        <v>5774</v>
      </c>
      <c r="Q123" s="491"/>
      <c r="R123" s="536">
        <v>2876532.75</v>
      </c>
      <c r="S123" s="536">
        <v>3164186.03</v>
      </c>
      <c r="T123" s="1471"/>
      <c r="U123" s="1471"/>
      <c r="V123" s="1471"/>
      <c r="W123" s="573">
        <v>44232</v>
      </c>
      <c r="X123" s="536" t="s">
        <v>8230</v>
      </c>
      <c r="Y123" s="537">
        <v>44252</v>
      </c>
      <c r="Z123" s="537">
        <v>44256</v>
      </c>
      <c r="AA123" s="537">
        <v>45346</v>
      </c>
      <c r="AB123" s="2140">
        <v>44648</v>
      </c>
      <c r="AC123" s="2109">
        <v>2022</v>
      </c>
      <c r="AD123" s="2109">
        <v>2023</v>
      </c>
      <c r="AE123" s="2109" t="s">
        <v>8372</v>
      </c>
    </row>
    <row r="124" spans="1:31">
      <c r="A124" s="537">
        <v>44162</v>
      </c>
      <c r="B124" s="491" t="s">
        <v>7971</v>
      </c>
      <c r="C124" s="491" t="s">
        <v>69</v>
      </c>
      <c r="D124" s="491" t="s">
        <v>70</v>
      </c>
      <c r="E124" s="571" t="s">
        <v>7972</v>
      </c>
      <c r="F124" s="491">
        <v>2</v>
      </c>
      <c r="G124" s="495" t="s">
        <v>7974</v>
      </c>
      <c r="H124" s="491"/>
      <c r="I124" s="491" t="s">
        <v>815</v>
      </c>
      <c r="J124" s="491"/>
      <c r="K124" s="536">
        <v>3706073</v>
      </c>
      <c r="L124" s="491" t="s">
        <v>251</v>
      </c>
      <c r="M124" s="537">
        <v>44172</v>
      </c>
      <c r="N124" s="537">
        <v>44204</v>
      </c>
      <c r="O124" s="537">
        <v>44232</v>
      </c>
      <c r="P124" s="495" t="s">
        <v>5774</v>
      </c>
      <c r="Q124" s="491"/>
      <c r="R124" s="536">
        <v>3529227.68</v>
      </c>
      <c r="S124" s="536">
        <v>3882150.43</v>
      </c>
      <c r="T124" s="1471"/>
      <c r="U124" s="1471"/>
      <c r="V124" s="1471"/>
      <c r="W124" s="573">
        <v>44232</v>
      </c>
      <c r="X124" s="536" t="s">
        <v>8231</v>
      </c>
      <c r="Y124" s="537">
        <v>44252</v>
      </c>
      <c r="Z124" s="537">
        <v>44256</v>
      </c>
      <c r="AA124" s="537">
        <v>45346</v>
      </c>
      <c r="AB124" s="2140">
        <v>44648</v>
      </c>
      <c r="AC124" s="2109">
        <v>2022</v>
      </c>
      <c r="AD124" s="2109">
        <v>2023</v>
      </c>
      <c r="AE124" s="2109" t="s">
        <v>8372</v>
      </c>
    </row>
    <row r="125" spans="1:31" ht="45">
      <c r="A125" s="491" t="s">
        <v>3585</v>
      </c>
      <c r="B125" s="491" t="s">
        <v>7997</v>
      </c>
      <c r="C125" s="491" t="s">
        <v>2434</v>
      </c>
      <c r="D125" s="491" t="s">
        <v>751</v>
      </c>
      <c r="E125" s="2161" t="s">
        <v>6830</v>
      </c>
      <c r="F125" s="491"/>
      <c r="G125" s="495"/>
      <c r="H125" s="491"/>
      <c r="I125" s="491" t="s">
        <v>1880</v>
      </c>
      <c r="J125" s="491"/>
      <c r="K125" s="536">
        <v>3103825</v>
      </c>
      <c r="L125" s="491" t="s">
        <v>251</v>
      </c>
      <c r="M125" s="537">
        <v>44180</v>
      </c>
      <c r="N125" s="537">
        <v>44214</v>
      </c>
      <c r="O125" s="537">
        <v>44218</v>
      </c>
      <c r="P125" s="495" t="s">
        <v>1433</v>
      </c>
      <c r="Q125" s="491"/>
      <c r="R125" s="536">
        <v>3103825</v>
      </c>
      <c r="S125" s="536">
        <f>R125*1.15</f>
        <v>3569398.7499999995</v>
      </c>
      <c r="T125" s="1471"/>
      <c r="U125" s="1471"/>
      <c r="V125" s="1471"/>
      <c r="W125" s="573">
        <v>44218</v>
      </c>
      <c r="X125" s="1375" t="s">
        <v>8173</v>
      </c>
      <c r="Y125" s="537">
        <v>44264</v>
      </c>
      <c r="Z125" s="537">
        <v>44267</v>
      </c>
      <c r="AA125" s="537">
        <v>45359</v>
      </c>
      <c r="AB125" s="2141" t="s">
        <v>11373</v>
      </c>
      <c r="AC125" s="2109">
        <v>2022</v>
      </c>
      <c r="AD125" s="2109">
        <v>2023</v>
      </c>
      <c r="AE125" s="2109" t="s">
        <v>8405</v>
      </c>
    </row>
    <row r="126" spans="1:31" ht="45.75" thickBot="1">
      <c r="A126" s="411" t="s">
        <v>3585</v>
      </c>
      <c r="B126" s="411" t="s">
        <v>7998</v>
      </c>
      <c r="C126" s="411" t="s">
        <v>2434</v>
      </c>
      <c r="D126" s="411" t="s">
        <v>751</v>
      </c>
      <c r="E126" s="412" t="s">
        <v>7999</v>
      </c>
      <c r="F126" s="411"/>
      <c r="G126" s="630"/>
      <c r="H126" s="491"/>
      <c r="I126" s="411" t="s">
        <v>786</v>
      </c>
      <c r="J126" s="411"/>
      <c r="K126" s="417">
        <v>25040000</v>
      </c>
      <c r="L126" s="411" t="s">
        <v>251</v>
      </c>
      <c r="M126" s="416">
        <v>44181</v>
      </c>
      <c r="N126" s="416">
        <v>44214</v>
      </c>
      <c r="O126" s="416">
        <v>44218</v>
      </c>
      <c r="P126" s="630" t="s">
        <v>1433</v>
      </c>
      <c r="Q126" s="411"/>
      <c r="R126" s="417">
        <v>25040000</v>
      </c>
      <c r="S126" s="417">
        <f>R126*1.15</f>
        <v>28795999.999999996</v>
      </c>
      <c r="T126" s="1471"/>
      <c r="U126" s="1471"/>
      <c r="V126" s="1471"/>
      <c r="W126" s="513">
        <v>44221</v>
      </c>
      <c r="X126" s="1553" t="s">
        <v>8178</v>
      </c>
      <c r="Y126" s="416">
        <v>44264</v>
      </c>
      <c r="Z126" s="2117">
        <v>44267</v>
      </c>
      <c r="AA126" s="416">
        <v>45359</v>
      </c>
      <c r="AB126" s="2140">
        <v>44641</v>
      </c>
      <c r="AC126" s="2109">
        <v>2022</v>
      </c>
      <c r="AD126" s="2109">
        <v>2023</v>
      </c>
      <c r="AE126" s="2109" t="s">
        <v>8405</v>
      </c>
    </row>
    <row r="127" spans="1:31" ht="30.75" thickTop="1">
      <c r="A127" s="453" t="s">
        <v>3585</v>
      </c>
      <c r="B127" s="453" t="s">
        <v>8009</v>
      </c>
      <c r="C127" s="453" t="s">
        <v>2434</v>
      </c>
      <c r="D127" s="453" t="s">
        <v>751</v>
      </c>
      <c r="E127" s="473" t="s">
        <v>8010</v>
      </c>
      <c r="F127" s="453">
        <v>1</v>
      </c>
      <c r="G127" s="1420" t="s">
        <v>6528</v>
      </c>
      <c r="H127" s="1373"/>
      <c r="I127" s="453" t="s">
        <v>6815</v>
      </c>
      <c r="J127" s="453"/>
      <c r="K127" s="457">
        <v>2762500</v>
      </c>
      <c r="L127" s="453" t="s">
        <v>251</v>
      </c>
      <c r="M127" s="474">
        <v>44175</v>
      </c>
      <c r="N127" s="474">
        <v>44207</v>
      </c>
      <c r="O127" s="474">
        <v>44246</v>
      </c>
      <c r="P127" s="1420" t="s">
        <v>8278</v>
      </c>
      <c r="Q127" s="453"/>
      <c r="R127" s="457">
        <v>2762500</v>
      </c>
      <c r="S127" s="457">
        <v>3342625</v>
      </c>
      <c r="T127" s="2162"/>
      <c r="U127" s="1471"/>
      <c r="V127" s="1471"/>
      <c r="W127" s="570">
        <v>44246</v>
      </c>
      <c r="X127" s="1387" t="s">
        <v>8297</v>
      </c>
      <c r="Y127" s="474">
        <v>44266</v>
      </c>
      <c r="Z127" s="365">
        <v>44270</v>
      </c>
      <c r="AA127" s="474">
        <v>44995</v>
      </c>
      <c r="AB127" s="2557" t="s">
        <v>11373</v>
      </c>
      <c r="AC127" s="451">
        <v>2022</v>
      </c>
      <c r="AD127" s="451" t="s">
        <v>8429</v>
      </c>
    </row>
    <row r="128" spans="1:31" ht="30">
      <c r="A128" s="491" t="s">
        <v>3585</v>
      </c>
      <c r="B128" s="491" t="s">
        <v>8009</v>
      </c>
      <c r="C128" s="491" t="s">
        <v>2434</v>
      </c>
      <c r="D128" s="491" t="s">
        <v>751</v>
      </c>
      <c r="E128" s="571" t="s">
        <v>8010</v>
      </c>
      <c r="F128" s="491">
        <v>2</v>
      </c>
      <c r="G128" s="495" t="s">
        <v>6530</v>
      </c>
      <c r="H128" s="1373"/>
      <c r="I128" s="491" t="s">
        <v>3890</v>
      </c>
      <c r="J128" s="491"/>
      <c r="K128" s="536">
        <v>264000</v>
      </c>
      <c r="L128" s="491" t="s">
        <v>251</v>
      </c>
      <c r="M128" s="537">
        <v>44175</v>
      </c>
      <c r="N128" s="537">
        <v>44207</v>
      </c>
      <c r="O128" s="537">
        <v>44246</v>
      </c>
      <c r="P128" s="495" t="s">
        <v>8278</v>
      </c>
      <c r="Q128" s="491"/>
      <c r="R128" s="536">
        <v>248000</v>
      </c>
      <c r="S128" s="536">
        <v>300080</v>
      </c>
      <c r="T128" s="2162"/>
      <c r="U128" s="1471"/>
      <c r="V128" s="1471"/>
      <c r="W128" s="573">
        <v>44246</v>
      </c>
      <c r="X128" s="1375" t="s">
        <v>8298</v>
      </c>
      <c r="Y128" s="537">
        <v>44266</v>
      </c>
      <c r="Z128" s="537">
        <v>44270</v>
      </c>
      <c r="AA128" s="537">
        <v>44995</v>
      </c>
      <c r="AB128" s="537">
        <v>44641</v>
      </c>
      <c r="AC128" s="1374">
        <v>2022</v>
      </c>
      <c r="AD128" s="1374" t="s">
        <v>8429</v>
      </c>
    </row>
    <row r="129" spans="1:33" ht="30">
      <c r="A129" s="491" t="s">
        <v>3585</v>
      </c>
      <c r="B129" s="491" t="s">
        <v>8009</v>
      </c>
      <c r="C129" s="491" t="s">
        <v>2434</v>
      </c>
      <c r="D129" s="491" t="s">
        <v>751</v>
      </c>
      <c r="E129" s="571" t="s">
        <v>8010</v>
      </c>
      <c r="F129" s="491">
        <v>3</v>
      </c>
      <c r="G129" s="2028" t="s">
        <v>6531</v>
      </c>
      <c r="H129" s="1373"/>
      <c r="I129" s="491" t="s">
        <v>3890</v>
      </c>
      <c r="J129" s="491"/>
      <c r="K129" s="536">
        <v>4290000</v>
      </c>
      <c r="L129" s="491" t="s">
        <v>251</v>
      </c>
      <c r="M129" s="537">
        <v>44175</v>
      </c>
      <c r="N129" s="537">
        <v>44207</v>
      </c>
      <c r="O129" s="537">
        <v>44246</v>
      </c>
      <c r="P129" s="495" t="s">
        <v>8278</v>
      </c>
      <c r="Q129" s="491"/>
      <c r="R129" s="536">
        <v>4290000</v>
      </c>
      <c r="S129" s="536">
        <v>5190900</v>
      </c>
      <c r="T129" s="2162"/>
      <c r="U129" s="1471"/>
      <c r="V129" s="1471"/>
      <c r="W129" s="573">
        <v>44246</v>
      </c>
      <c r="X129" s="1375" t="s">
        <v>8299</v>
      </c>
      <c r="Y129" s="537">
        <v>44266</v>
      </c>
      <c r="Z129" s="537">
        <v>44270</v>
      </c>
      <c r="AA129" s="537">
        <v>44995</v>
      </c>
      <c r="AB129" s="537">
        <v>44641</v>
      </c>
      <c r="AC129" s="1374">
        <v>2022</v>
      </c>
      <c r="AD129" s="1374" t="s">
        <v>8429</v>
      </c>
    </row>
    <row r="130" spans="1:33" ht="30">
      <c r="A130" s="491" t="s">
        <v>3585</v>
      </c>
      <c r="B130" s="491" t="s">
        <v>8009</v>
      </c>
      <c r="C130" s="491" t="s">
        <v>2434</v>
      </c>
      <c r="D130" s="491" t="s">
        <v>751</v>
      </c>
      <c r="E130" s="571" t="s">
        <v>8010</v>
      </c>
      <c r="F130" s="491">
        <v>4</v>
      </c>
      <c r="G130" s="495" t="s">
        <v>6532</v>
      </c>
      <c r="H130" s="1373"/>
      <c r="I130" s="491" t="s">
        <v>6815</v>
      </c>
      <c r="J130" s="491"/>
      <c r="K130" s="536">
        <v>1326500</v>
      </c>
      <c r="L130" s="491" t="s">
        <v>251</v>
      </c>
      <c r="M130" s="537">
        <v>44175</v>
      </c>
      <c r="N130" s="537">
        <v>44207</v>
      </c>
      <c r="O130" s="537">
        <v>44246</v>
      </c>
      <c r="P130" s="495" t="s">
        <v>8278</v>
      </c>
      <c r="Q130" s="491"/>
      <c r="R130" s="536">
        <v>1326500</v>
      </c>
      <c r="S130" s="536">
        <v>1605065</v>
      </c>
      <c r="T130" s="2162"/>
      <c r="U130" s="1471"/>
      <c r="V130" s="1471"/>
      <c r="W130" s="573">
        <v>44246</v>
      </c>
      <c r="X130" s="1375" t="s">
        <v>8300</v>
      </c>
      <c r="Y130" s="537">
        <v>44266</v>
      </c>
      <c r="Z130" s="537">
        <v>44270</v>
      </c>
      <c r="AA130" s="537">
        <v>44995</v>
      </c>
      <c r="AB130" s="537">
        <v>44641</v>
      </c>
      <c r="AC130" s="1374">
        <v>2022</v>
      </c>
      <c r="AD130" s="1374" t="s">
        <v>8429</v>
      </c>
    </row>
    <row r="131" spans="1:33">
      <c r="A131" s="506" t="s">
        <v>3585</v>
      </c>
      <c r="B131" s="506" t="s">
        <v>8009</v>
      </c>
      <c r="C131" s="506" t="s">
        <v>2434</v>
      </c>
      <c r="D131" s="506" t="s">
        <v>751</v>
      </c>
      <c r="E131" s="507" t="s">
        <v>8010</v>
      </c>
      <c r="F131" s="506">
        <v>5</v>
      </c>
      <c r="G131" s="548" t="s">
        <v>8020</v>
      </c>
      <c r="H131" s="1382"/>
      <c r="I131" s="506" t="s">
        <v>3890</v>
      </c>
      <c r="J131" s="506"/>
      <c r="K131" s="511">
        <v>875000</v>
      </c>
      <c r="L131" s="506" t="s">
        <v>251</v>
      </c>
      <c r="M131" s="510">
        <v>44175</v>
      </c>
      <c r="N131" s="510">
        <v>44207</v>
      </c>
      <c r="O131" s="506"/>
      <c r="P131" s="736" t="s">
        <v>520</v>
      </c>
      <c r="Q131" s="506"/>
      <c r="R131" s="511"/>
      <c r="S131" s="511"/>
      <c r="T131" s="2158"/>
      <c r="U131" s="1470"/>
      <c r="V131" s="1470"/>
      <c r="W131" s="511"/>
      <c r="X131" s="511"/>
      <c r="Y131" s="506"/>
      <c r="Z131" s="510">
        <v>44270</v>
      </c>
      <c r="AA131" s="506" t="s">
        <v>8292</v>
      </c>
      <c r="AB131" s="506"/>
      <c r="AC131" s="506"/>
      <c r="AD131" s="1102"/>
    </row>
    <row r="132" spans="1:33" ht="30.75" thickBot="1">
      <c r="A132" s="1376" t="s">
        <v>3585</v>
      </c>
      <c r="B132" s="1376" t="s">
        <v>8009</v>
      </c>
      <c r="C132" s="1376" t="s">
        <v>2434</v>
      </c>
      <c r="D132" s="1376" t="s">
        <v>751</v>
      </c>
      <c r="E132" s="1378" t="s">
        <v>8010</v>
      </c>
      <c r="F132" s="1376">
        <v>6</v>
      </c>
      <c r="G132" s="1421" t="s">
        <v>8021</v>
      </c>
      <c r="H132" s="1373"/>
      <c r="I132" s="1376" t="s">
        <v>3890</v>
      </c>
      <c r="J132" s="1376"/>
      <c r="K132" s="1379">
        <v>1008000</v>
      </c>
      <c r="L132" s="1376" t="s">
        <v>251</v>
      </c>
      <c r="M132" s="1380">
        <v>44175</v>
      </c>
      <c r="N132" s="1380">
        <v>44207</v>
      </c>
      <c r="O132" s="1380">
        <v>44246</v>
      </c>
      <c r="P132" s="1421" t="s">
        <v>8278</v>
      </c>
      <c r="Q132" s="1376"/>
      <c r="R132" s="1379">
        <v>976000</v>
      </c>
      <c r="S132" s="1379">
        <v>1180960</v>
      </c>
      <c r="T132" s="2162"/>
      <c r="U132" s="1471"/>
      <c r="V132" s="1471"/>
      <c r="W132" s="1388">
        <v>44246</v>
      </c>
      <c r="X132" s="1389" t="s">
        <v>8301</v>
      </c>
      <c r="Y132" s="1380">
        <v>44266</v>
      </c>
      <c r="Z132" s="1380">
        <v>44270</v>
      </c>
      <c r="AA132" s="1380">
        <v>44995</v>
      </c>
      <c r="AB132" s="1380">
        <v>44641</v>
      </c>
      <c r="AC132" s="1381">
        <v>2022</v>
      </c>
      <c r="AD132" s="1381" t="s">
        <v>8429</v>
      </c>
    </row>
    <row r="133" spans="1:33" ht="30.75" thickTop="1">
      <c r="A133" s="365">
        <v>44174</v>
      </c>
      <c r="B133" s="2282" t="s">
        <v>8030</v>
      </c>
      <c r="C133" s="2282" t="s">
        <v>69</v>
      </c>
      <c r="D133" s="2282" t="s">
        <v>70</v>
      </c>
      <c r="E133" s="175" t="s">
        <v>8031</v>
      </c>
      <c r="F133" s="2282"/>
      <c r="G133" s="2283"/>
      <c r="H133" s="491"/>
      <c r="I133" s="2282" t="s">
        <v>42</v>
      </c>
      <c r="J133" s="2282"/>
      <c r="K133" s="364">
        <v>15250000</v>
      </c>
      <c r="L133" s="2282" t="s">
        <v>251</v>
      </c>
      <c r="M133" s="365">
        <v>44181</v>
      </c>
      <c r="N133" s="365">
        <v>44214</v>
      </c>
      <c r="O133" s="365">
        <v>44232</v>
      </c>
      <c r="P133" s="2283" t="s">
        <v>6242</v>
      </c>
      <c r="Q133" s="2282"/>
      <c r="R133" s="364">
        <v>15243792</v>
      </c>
      <c r="S133" s="364">
        <v>18444988.32</v>
      </c>
      <c r="T133" s="1471"/>
      <c r="U133" s="1471"/>
      <c r="V133" s="1471"/>
      <c r="W133" s="681">
        <v>44232</v>
      </c>
      <c r="X133" s="1417" t="s">
        <v>8319</v>
      </c>
      <c r="Y133" s="365">
        <v>44245</v>
      </c>
      <c r="Z133" s="365">
        <v>44250</v>
      </c>
      <c r="AA133" s="2282" t="s">
        <v>4096</v>
      </c>
      <c r="AB133" s="365">
        <v>44648</v>
      </c>
      <c r="AC133" s="451">
        <v>2022</v>
      </c>
      <c r="AD133" s="388">
        <v>2023</v>
      </c>
      <c r="AE133" s="388">
        <v>2024</v>
      </c>
      <c r="AF133" s="388">
        <v>2025</v>
      </c>
      <c r="AG133" s="388" t="s">
        <v>4435</v>
      </c>
    </row>
    <row r="134" spans="1:33" ht="15.75" thickBot="1">
      <c r="A134" s="416">
        <v>44166</v>
      </c>
      <c r="B134" s="411" t="s">
        <v>8036</v>
      </c>
      <c r="C134" s="411" t="s">
        <v>52</v>
      </c>
      <c r="D134" s="411" t="s">
        <v>2588</v>
      </c>
      <c r="E134" s="412" t="s">
        <v>8037</v>
      </c>
      <c r="F134" s="411"/>
      <c r="G134" s="630"/>
      <c r="H134" s="411"/>
      <c r="I134" s="411" t="s">
        <v>484</v>
      </c>
      <c r="J134" s="411" t="s">
        <v>8038</v>
      </c>
      <c r="K134" s="417">
        <v>15000000</v>
      </c>
      <c r="L134" s="411" t="s">
        <v>251</v>
      </c>
      <c r="M134" s="416">
        <v>44183</v>
      </c>
      <c r="N134" s="416">
        <v>44216</v>
      </c>
      <c r="O134" s="416">
        <v>44218</v>
      </c>
      <c r="P134" s="630" t="s">
        <v>3500</v>
      </c>
      <c r="Q134" s="411"/>
      <c r="R134" s="417">
        <v>6800000</v>
      </c>
      <c r="S134" s="417">
        <f>R134*1.21</f>
        <v>8228000</v>
      </c>
      <c r="T134" s="1480"/>
      <c r="U134" s="1480"/>
      <c r="V134" s="1480"/>
      <c r="W134" s="513">
        <v>44218</v>
      </c>
      <c r="X134" s="417" t="s">
        <v>8171</v>
      </c>
      <c r="Y134" s="416">
        <v>44251</v>
      </c>
      <c r="Z134" s="416">
        <v>44257</v>
      </c>
      <c r="AA134" s="416">
        <f>Y134+190</f>
        <v>44441</v>
      </c>
      <c r="AB134" s="1548">
        <v>44635</v>
      </c>
      <c r="AC134" s="967"/>
    </row>
    <row r="135" spans="1:33" ht="15.75" thickTop="1">
      <c r="A135" s="443">
        <v>44180</v>
      </c>
      <c r="B135" s="439" t="s">
        <v>8048</v>
      </c>
      <c r="C135" s="439" t="s">
        <v>69</v>
      </c>
      <c r="D135" s="439" t="s">
        <v>70</v>
      </c>
      <c r="E135" s="440" t="s">
        <v>8049</v>
      </c>
      <c r="F135" s="439">
        <v>1</v>
      </c>
      <c r="G135" s="1431" t="s">
        <v>8041</v>
      </c>
      <c r="H135" s="439"/>
      <c r="I135" s="439" t="s">
        <v>8050</v>
      </c>
      <c r="J135" s="439"/>
      <c r="K135" s="444">
        <v>1879678</v>
      </c>
      <c r="L135" s="439" t="s">
        <v>251</v>
      </c>
      <c r="M135" s="443">
        <v>44183</v>
      </c>
      <c r="N135" s="443">
        <v>44216</v>
      </c>
      <c r="O135" s="443">
        <v>44232</v>
      </c>
      <c r="P135" s="753" t="s">
        <v>8380</v>
      </c>
      <c r="Q135" s="439"/>
      <c r="R135" s="444">
        <v>1870873.77</v>
      </c>
      <c r="S135" s="444">
        <v>2057961.15</v>
      </c>
      <c r="T135" s="1481"/>
      <c r="U135" s="1481"/>
      <c r="V135" s="1481"/>
      <c r="W135" s="1884">
        <v>44232</v>
      </c>
      <c r="X135" s="444" t="s">
        <v>8226</v>
      </c>
      <c r="Y135" s="439"/>
      <c r="Z135" s="443">
        <v>44258</v>
      </c>
      <c r="AA135" s="1431" t="s">
        <v>8391</v>
      </c>
      <c r="AB135" s="439"/>
      <c r="AC135" s="439"/>
    </row>
    <row r="136" spans="1:33">
      <c r="A136" s="537">
        <v>44180</v>
      </c>
      <c r="B136" s="491" t="s">
        <v>8048</v>
      </c>
      <c r="C136" s="491" t="s">
        <v>69</v>
      </c>
      <c r="D136" s="491" t="s">
        <v>70</v>
      </c>
      <c r="E136" s="571" t="s">
        <v>8049</v>
      </c>
      <c r="F136" s="491">
        <v>2</v>
      </c>
      <c r="G136" s="495" t="s">
        <v>8042</v>
      </c>
      <c r="H136" s="491"/>
      <c r="I136" s="491" t="s">
        <v>8050</v>
      </c>
      <c r="J136" s="491"/>
      <c r="K136" s="536">
        <v>3048116</v>
      </c>
      <c r="L136" s="491" t="s">
        <v>251</v>
      </c>
      <c r="M136" s="537">
        <v>44183</v>
      </c>
      <c r="N136" s="537">
        <v>44216</v>
      </c>
      <c r="O136" s="537">
        <v>44232</v>
      </c>
      <c r="P136" s="495" t="s">
        <v>576</v>
      </c>
      <c r="Q136" s="491"/>
      <c r="R136" s="536">
        <v>2996842.62</v>
      </c>
      <c r="S136" s="536">
        <v>3296526.88</v>
      </c>
      <c r="T136" s="1471"/>
      <c r="U136" s="1471"/>
      <c r="V136" s="1471"/>
      <c r="W136" s="573">
        <v>44232</v>
      </c>
      <c r="X136" s="536" t="s">
        <v>8227</v>
      </c>
      <c r="Y136" s="537">
        <v>44264</v>
      </c>
      <c r="Z136" s="537">
        <v>44278</v>
      </c>
      <c r="AA136" s="537">
        <v>45359</v>
      </c>
      <c r="AB136" s="537">
        <v>44648</v>
      </c>
      <c r="AC136" s="1374">
        <v>2022</v>
      </c>
      <c r="AD136" s="388">
        <v>2023</v>
      </c>
      <c r="AE136" s="388" t="s">
        <v>8405</v>
      </c>
    </row>
    <row r="137" spans="1:33">
      <c r="A137" s="510">
        <v>44180</v>
      </c>
      <c r="B137" s="506" t="s">
        <v>8048</v>
      </c>
      <c r="C137" s="506" t="s">
        <v>69</v>
      </c>
      <c r="D137" s="506" t="s">
        <v>70</v>
      </c>
      <c r="E137" s="507" t="s">
        <v>8049</v>
      </c>
      <c r="F137" s="506">
        <v>3</v>
      </c>
      <c r="G137" s="548" t="s">
        <v>8043</v>
      </c>
      <c r="H137" s="506"/>
      <c r="I137" s="506" t="s">
        <v>8050</v>
      </c>
      <c r="J137" s="506"/>
      <c r="K137" s="511">
        <v>596452</v>
      </c>
      <c r="L137" s="506" t="s">
        <v>251</v>
      </c>
      <c r="M137" s="510">
        <v>44183</v>
      </c>
      <c r="N137" s="510">
        <v>44216</v>
      </c>
      <c r="O137" s="510">
        <v>44232</v>
      </c>
      <c r="P137" s="736" t="s">
        <v>8380</v>
      </c>
      <c r="Q137" s="506"/>
      <c r="R137" s="511">
        <v>579465.54</v>
      </c>
      <c r="S137" s="511">
        <v>637412.09</v>
      </c>
      <c r="T137" s="1470"/>
      <c r="U137" s="1470"/>
      <c r="V137" s="1470"/>
      <c r="W137" s="1398">
        <v>44232</v>
      </c>
      <c r="X137" s="511" t="s">
        <v>8228</v>
      </c>
      <c r="Y137" s="506"/>
      <c r="Z137" s="510">
        <v>44258</v>
      </c>
      <c r="AA137" s="548" t="s">
        <v>8379</v>
      </c>
      <c r="AB137" s="506"/>
      <c r="AC137" s="506"/>
    </row>
    <row r="138" spans="1:33">
      <c r="A138" s="510">
        <v>44180</v>
      </c>
      <c r="B138" s="506" t="s">
        <v>8048</v>
      </c>
      <c r="C138" s="506" t="s">
        <v>69</v>
      </c>
      <c r="D138" s="506" t="s">
        <v>70</v>
      </c>
      <c r="E138" s="507" t="s">
        <v>8049</v>
      </c>
      <c r="F138" s="506">
        <v>4</v>
      </c>
      <c r="G138" s="548" t="s">
        <v>8044</v>
      </c>
      <c r="H138" s="506"/>
      <c r="I138" s="506" t="s">
        <v>8050</v>
      </c>
      <c r="J138" s="506"/>
      <c r="K138" s="511">
        <v>2702846</v>
      </c>
      <c r="L138" s="506" t="s">
        <v>251</v>
      </c>
      <c r="M138" s="510">
        <v>44183</v>
      </c>
      <c r="N138" s="510">
        <v>44216</v>
      </c>
      <c r="O138" s="506"/>
      <c r="P138" s="736" t="s">
        <v>304</v>
      </c>
      <c r="Q138" s="506"/>
      <c r="R138" s="511"/>
      <c r="S138" s="511"/>
      <c r="T138" s="1470"/>
      <c r="U138" s="1470"/>
      <c r="V138" s="1470"/>
      <c r="W138" s="511"/>
      <c r="X138" s="511"/>
      <c r="Y138" s="506"/>
      <c r="Z138" s="510">
        <v>44258</v>
      </c>
      <c r="AA138" s="506" t="s">
        <v>8285</v>
      </c>
      <c r="AB138" s="506"/>
      <c r="AC138" s="506"/>
    </row>
    <row r="139" spans="1:33">
      <c r="A139" s="537">
        <v>44180</v>
      </c>
      <c r="B139" s="491" t="s">
        <v>8048</v>
      </c>
      <c r="C139" s="491" t="s">
        <v>69</v>
      </c>
      <c r="D139" s="491" t="s">
        <v>70</v>
      </c>
      <c r="E139" s="571" t="s">
        <v>8049</v>
      </c>
      <c r="F139" s="491">
        <v>5</v>
      </c>
      <c r="G139" s="495" t="s">
        <v>8045</v>
      </c>
      <c r="H139" s="491"/>
      <c r="I139" s="491" t="s">
        <v>8050</v>
      </c>
      <c r="J139" s="491"/>
      <c r="K139" s="536">
        <v>705451</v>
      </c>
      <c r="L139" s="491" t="s">
        <v>251</v>
      </c>
      <c r="M139" s="537">
        <v>44183</v>
      </c>
      <c r="N139" s="537">
        <v>44216</v>
      </c>
      <c r="O139" s="537">
        <v>44232</v>
      </c>
      <c r="P139" s="495" t="s">
        <v>1646</v>
      </c>
      <c r="Q139" s="491"/>
      <c r="R139" s="536">
        <v>702680.25</v>
      </c>
      <c r="S139" s="536">
        <v>772948.28</v>
      </c>
      <c r="T139" s="1471"/>
      <c r="U139" s="1471"/>
      <c r="V139" s="1471"/>
      <c r="W139" s="573">
        <v>44232</v>
      </c>
      <c r="X139" s="536" t="s">
        <v>8229</v>
      </c>
      <c r="Y139" s="537">
        <v>44273</v>
      </c>
      <c r="Z139" s="537">
        <v>44278</v>
      </c>
      <c r="AA139" s="537">
        <v>45368</v>
      </c>
      <c r="AB139" s="537">
        <v>44648</v>
      </c>
      <c r="AC139" s="1374">
        <v>2022</v>
      </c>
      <c r="AD139" s="388">
        <v>2023</v>
      </c>
      <c r="AE139" s="388" t="s">
        <v>8463</v>
      </c>
    </row>
    <row r="140" spans="1:33">
      <c r="A140" s="510">
        <v>44180</v>
      </c>
      <c r="B140" s="506" t="s">
        <v>8048</v>
      </c>
      <c r="C140" s="506" t="s">
        <v>69</v>
      </c>
      <c r="D140" s="506" t="s">
        <v>70</v>
      </c>
      <c r="E140" s="507" t="s">
        <v>8049</v>
      </c>
      <c r="F140" s="506">
        <v>6</v>
      </c>
      <c r="G140" s="548" t="s">
        <v>8046</v>
      </c>
      <c r="H140" s="506"/>
      <c r="I140" s="506" t="s">
        <v>8050</v>
      </c>
      <c r="J140" s="506"/>
      <c r="K140" s="511">
        <v>691921</v>
      </c>
      <c r="L140" s="506" t="s">
        <v>251</v>
      </c>
      <c r="M140" s="510">
        <v>44183</v>
      </c>
      <c r="N140" s="510">
        <v>44216</v>
      </c>
      <c r="O140" s="506"/>
      <c r="P140" s="736" t="s">
        <v>304</v>
      </c>
      <c r="Q140" s="506"/>
      <c r="R140" s="511"/>
      <c r="S140" s="511"/>
      <c r="T140" s="1470"/>
      <c r="U140" s="1470"/>
      <c r="V140" s="1470"/>
      <c r="W140" s="511"/>
      <c r="X140" s="511"/>
      <c r="Y140" s="506"/>
      <c r="Z140" s="510">
        <v>44258</v>
      </c>
      <c r="AA140" s="506" t="s">
        <v>8285</v>
      </c>
      <c r="AB140" s="506"/>
      <c r="AC140" s="506"/>
    </row>
    <row r="141" spans="1:33" ht="15.75" thickBot="1">
      <c r="A141" s="1414">
        <v>44180</v>
      </c>
      <c r="B141" s="1410" t="s">
        <v>8048</v>
      </c>
      <c r="C141" s="1410" t="s">
        <v>69</v>
      </c>
      <c r="D141" s="1410" t="s">
        <v>70</v>
      </c>
      <c r="E141" s="1412" t="s">
        <v>8049</v>
      </c>
      <c r="F141" s="1410">
        <v>7</v>
      </c>
      <c r="G141" s="1430" t="s">
        <v>8047</v>
      </c>
      <c r="H141" s="1410"/>
      <c r="I141" s="1410" t="s">
        <v>8050</v>
      </c>
      <c r="J141" s="1410"/>
      <c r="K141" s="1413">
        <v>755060</v>
      </c>
      <c r="L141" s="1410" t="s">
        <v>251</v>
      </c>
      <c r="M141" s="1414">
        <v>44183</v>
      </c>
      <c r="N141" s="1414">
        <v>44216</v>
      </c>
      <c r="O141" s="1410"/>
      <c r="P141" s="1710" t="s">
        <v>304</v>
      </c>
      <c r="Q141" s="1410"/>
      <c r="R141" s="1413"/>
      <c r="S141" s="1413"/>
      <c r="T141" s="1479"/>
      <c r="U141" s="1479"/>
      <c r="V141" s="1479"/>
      <c r="W141" s="1413"/>
      <c r="X141" s="1413"/>
      <c r="Y141" s="1410"/>
      <c r="Z141" s="1414">
        <v>44258</v>
      </c>
      <c r="AA141" s="1410" t="s">
        <v>8285</v>
      </c>
      <c r="AB141" s="639"/>
      <c r="AC141" s="639"/>
    </row>
    <row r="142" spans="1:33" ht="15.75" thickTop="1">
      <c r="A142" s="474">
        <v>44180</v>
      </c>
      <c r="B142" s="453" t="s">
        <v>8051</v>
      </c>
      <c r="C142" s="453" t="s">
        <v>69</v>
      </c>
      <c r="D142" s="453" t="s">
        <v>70</v>
      </c>
      <c r="E142" s="473" t="s">
        <v>8055</v>
      </c>
      <c r="F142" s="453">
        <v>1</v>
      </c>
      <c r="G142" s="1420" t="s">
        <v>8052</v>
      </c>
      <c r="H142" s="453"/>
      <c r="I142" s="453" t="s">
        <v>816</v>
      </c>
      <c r="J142" s="453"/>
      <c r="K142" s="457">
        <v>1228500</v>
      </c>
      <c r="L142" s="453" t="s">
        <v>251</v>
      </c>
      <c r="M142" s="474">
        <v>44183</v>
      </c>
      <c r="N142" s="474">
        <v>44236</v>
      </c>
      <c r="O142" s="474">
        <v>44257</v>
      </c>
      <c r="P142" s="1420" t="s">
        <v>5774</v>
      </c>
      <c r="Q142" s="453"/>
      <c r="R142" s="457">
        <v>1189433.7</v>
      </c>
      <c r="S142" s="457">
        <v>1308377.07</v>
      </c>
      <c r="T142" s="1474"/>
      <c r="U142" s="1474"/>
      <c r="V142" s="1474"/>
      <c r="W142" s="570">
        <v>44257</v>
      </c>
      <c r="X142" s="457" t="s">
        <v>8386</v>
      </c>
      <c r="Y142" s="474">
        <v>44294</v>
      </c>
      <c r="Z142" s="474">
        <v>44298</v>
      </c>
      <c r="AA142" s="474">
        <v>45389</v>
      </c>
      <c r="AB142" s="2140">
        <v>44648</v>
      </c>
      <c r="AC142" s="2109">
        <v>2022</v>
      </c>
      <c r="AD142" s="2109">
        <v>2023</v>
      </c>
      <c r="AE142" s="2109" t="s">
        <v>8562</v>
      </c>
    </row>
    <row r="143" spans="1:33">
      <c r="A143" s="2140">
        <v>44180</v>
      </c>
      <c r="B143" s="2141" t="s">
        <v>8051</v>
      </c>
      <c r="C143" s="2141" t="s">
        <v>69</v>
      </c>
      <c r="D143" s="2141" t="s">
        <v>70</v>
      </c>
      <c r="E143" s="2142" t="s">
        <v>8055</v>
      </c>
      <c r="F143" s="2141">
        <v>2</v>
      </c>
      <c r="G143" s="2143" t="s">
        <v>8074</v>
      </c>
      <c r="H143" s="2141"/>
      <c r="I143" s="2141" t="s">
        <v>816</v>
      </c>
      <c r="J143" s="2141"/>
      <c r="K143" s="2144">
        <v>2403469</v>
      </c>
      <c r="L143" s="2141" t="s">
        <v>251</v>
      </c>
      <c r="M143" s="2140">
        <v>44183</v>
      </c>
      <c r="N143" s="2140">
        <v>44236</v>
      </c>
      <c r="O143" s="2140">
        <v>44257</v>
      </c>
      <c r="P143" s="2143" t="s">
        <v>5774</v>
      </c>
      <c r="Q143" s="2141"/>
      <c r="R143" s="2144">
        <v>2378469.9900000002</v>
      </c>
      <c r="S143" s="2144">
        <v>2616316.9900000002</v>
      </c>
      <c r="T143" s="2145"/>
      <c r="U143" s="2145"/>
      <c r="V143" s="2145"/>
      <c r="W143" s="2146">
        <v>44257</v>
      </c>
      <c r="X143" s="2144" t="s">
        <v>8387</v>
      </c>
      <c r="Y143" s="2140">
        <v>44294</v>
      </c>
      <c r="Z143" s="2140">
        <v>44298</v>
      </c>
      <c r="AA143" s="2140">
        <v>45389</v>
      </c>
      <c r="AB143" s="2140">
        <v>44648</v>
      </c>
      <c r="AC143" s="2109">
        <v>2022</v>
      </c>
      <c r="AD143" s="2109">
        <v>2023</v>
      </c>
      <c r="AE143" s="2109" t="s">
        <v>8562</v>
      </c>
    </row>
    <row r="144" spans="1:33">
      <c r="A144" s="2140">
        <v>44180</v>
      </c>
      <c r="B144" s="2141" t="s">
        <v>8051</v>
      </c>
      <c r="C144" s="2141" t="s">
        <v>69</v>
      </c>
      <c r="D144" s="2141" t="s">
        <v>70</v>
      </c>
      <c r="E144" s="2142" t="s">
        <v>8055</v>
      </c>
      <c r="F144" s="2141">
        <v>3</v>
      </c>
      <c r="G144" s="2143" t="s">
        <v>8053</v>
      </c>
      <c r="H144" s="2141"/>
      <c r="I144" s="2141" t="s">
        <v>816</v>
      </c>
      <c r="J144" s="2141"/>
      <c r="K144" s="2144">
        <v>700714</v>
      </c>
      <c r="L144" s="2141" t="s">
        <v>251</v>
      </c>
      <c r="M144" s="2140">
        <v>44183</v>
      </c>
      <c r="N144" s="2140">
        <v>44236</v>
      </c>
      <c r="O144" s="2140">
        <v>44257</v>
      </c>
      <c r="P144" s="2143" t="s">
        <v>5774</v>
      </c>
      <c r="Q144" s="2141"/>
      <c r="R144" s="2144">
        <v>693635.4</v>
      </c>
      <c r="S144" s="2144">
        <v>762998.94</v>
      </c>
      <c r="T144" s="2145"/>
      <c r="U144" s="2145"/>
      <c r="V144" s="2145"/>
      <c r="W144" s="2146">
        <v>44257</v>
      </c>
      <c r="X144" s="2144" t="s">
        <v>8388</v>
      </c>
      <c r="Y144" s="2140">
        <v>44294</v>
      </c>
      <c r="Z144" s="2140">
        <v>44298</v>
      </c>
      <c r="AA144" s="2140">
        <v>45389</v>
      </c>
      <c r="AB144" s="2140">
        <v>44648</v>
      </c>
      <c r="AC144" s="2109">
        <v>2022</v>
      </c>
      <c r="AD144" s="2109">
        <v>2023</v>
      </c>
      <c r="AE144" s="2109" t="s">
        <v>8562</v>
      </c>
    </row>
    <row r="145" spans="1:43" ht="15.75" thickBot="1">
      <c r="A145" s="2130">
        <v>44180</v>
      </c>
      <c r="B145" s="2131" t="s">
        <v>8051</v>
      </c>
      <c r="C145" s="2131" t="s">
        <v>69</v>
      </c>
      <c r="D145" s="2131" t="s">
        <v>70</v>
      </c>
      <c r="E145" s="2132" t="s">
        <v>8055</v>
      </c>
      <c r="F145" s="2131">
        <v>4</v>
      </c>
      <c r="G145" s="2133" t="s">
        <v>8054</v>
      </c>
      <c r="H145" s="2131"/>
      <c r="I145" s="2131" t="s">
        <v>816</v>
      </c>
      <c r="J145" s="2131"/>
      <c r="K145" s="2134">
        <v>3508066</v>
      </c>
      <c r="L145" s="2131" t="s">
        <v>251</v>
      </c>
      <c r="M145" s="2130">
        <v>44183</v>
      </c>
      <c r="N145" s="2130">
        <v>44236</v>
      </c>
      <c r="O145" s="2130">
        <v>44257</v>
      </c>
      <c r="P145" s="2137" t="s">
        <v>9937</v>
      </c>
      <c r="Q145" s="2131"/>
      <c r="R145" s="2134">
        <v>3315567.06</v>
      </c>
      <c r="S145" s="2134">
        <v>3647123.77</v>
      </c>
      <c r="T145" s="2135"/>
      <c r="U145" s="2135"/>
      <c r="V145" s="2135"/>
      <c r="W145" s="2163">
        <v>44257</v>
      </c>
      <c r="X145" s="2134" t="s">
        <v>8389</v>
      </c>
      <c r="Y145" s="2131"/>
      <c r="Z145" s="2130">
        <v>44298</v>
      </c>
      <c r="AA145" s="2133" t="s">
        <v>8518</v>
      </c>
      <c r="AB145" s="843"/>
      <c r="AC145" s="843"/>
    </row>
    <row r="146" spans="1:43" ht="15.75" thickTop="1">
      <c r="A146" s="365">
        <v>44180</v>
      </c>
      <c r="B146" s="2282" t="s">
        <v>8069</v>
      </c>
      <c r="C146" s="2282" t="s">
        <v>2111</v>
      </c>
      <c r="D146" s="2282" t="s">
        <v>4440</v>
      </c>
      <c r="E146" s="175" t="s">
        <v>8070</v>
      </c>
      <c r="F146" s="2282"/>
      <c r="G146" s="2283"/>
      <c r="H146" s="2282"/>
      <c r="I146" s="2282" t="s">
        <v>2113</v>
      </c>
      <c r="J146" s="2282"/>
      <c r="K146" s="364">
        <v>2200000</v>
      </c>
      <c r="L146" s="2282" t="s">
        <v>216</v>
      </c>
      <c r="M146" s="365">
        <v>44182</v>
      </c>
      <c r="N146" s="365">
        <v>44217</v>
      </c>
      <c r="O146" s="365">
        <v>44229</v>
      </c>
      <c r="P146" s="2283" t="s">
        <v>8207</v>
      </c>
      <c r="Q146" s="2282"/>
      <c r="R146" s="364">
        <v>1196571</v>
      </c>
      <c r="S146" s="364">
        <f>R146*1.21</f>
        <v>1447850.91</v>
      </c>
      <c r="T146" s="1473"/>
      <c r="U146" s="1473"/>
      <c r="V146" s="1473"/>
      <c r="W146" s="681">
        <v>44230</v>
      </c>
      <c r="X146" s="364" t="s">
        <v>8206</v>
      </c>
      <c r="Y146" s="365">
        <v>44251</v>
      </c>
      <c r="Z146" s="365">
        <v>44257</v>
      </c>
      <c r="AA146" s="2282"/>
      <c r="AB146" s="365">
        <v>44606</v>
      </c>
      <c r="AC146" s="1513"/>
      <c r="AD146" s="2083"/>
    </row>
    <row r="147" spans="1:43">
      <c r="A147" s="416">
        <v>44182</v>
      </c>
      <c r="B147" s="411" t="s">
        <v>8082</v>
      </c>
      <c r="C147" s="411" t="s">
        <v>2434</v>
      </c>
      <c r="D147" s="411" t="s">
        <v>219</v>
      </c>
      <c r="E147" s="412" t="s">
        <v>7364</v>
      </c>
      <c r="F147" s="411"/>
      <c r="G147" s="630"/>
      <c r="H147" s="411"/>
      <c r="I147" s="411" t="s">
        <v>1006</v>
      </c>
      <c r="J147" s="411"/>
      <c r="K147" s="417">
        <v>30000000</v>
      </c>
      <c r="L147" s="411" t="s">
        <v>251</v>
      </c>
      <c r="M147" s="416">
        <v>44183</v>
      </c>
      <c r="N147" s="416">
        <v>44215</v>
      </c>
      <c r="O147" s="416">
        <v>44239</v>
      </c>
      <c r="P147" s="630" t="s">
        <v>8256</v>
      </c>
      <c r="Q147" s="411"/>
      <c r="R147" s="417">
        <v>30000000</v>
      </c>
      <c r="S147" s="417">
        <v>36300000</v>
      </c>
      <c r="T147" s="1480"/>
      <c r="U147" s="1480"/>
      <c r="V147" s="1480"/>
      <c r="W147" s="513">
        <v>44239</v>
      </c>
      <c r="X147" s="417" t="s">
        <v>8257</v>
      </c>
      <c r="Y147" s="416">
        <v>44270</v>
      </c>
      <c r="Z147" s="416">
        <v>44273</v>
      </c>
      <c r="AA147" s="416">
        <v>44634</v>
      </c>
      <c r="AB147" s="416">
        <v>44641</v>
      </c>
      <c r="AC147" s="422" t="s">
        <v>8441</v>
      </c>
    </row>
    <row r="148" spans="1:43" s="2101" customFormat="1" ht="30.75" thickBot="1">
      <c r="A148" s="379" t="s">
        <v>3585</v>
      </c>
      <c r="B148" s="379" t="s">
        <v>8101</v>
      </c>
      <c r="C148" s="379" t="s">
        <v>58</v>
      </c>
      <c r="D148" s="379" t="s">
        <v>2684</v>
      </c>
      <c r="E148" s="2147" t="s">
        <v>8102</v>
      </c>
      <c r="F148" s="379"/>
      <c r="G148" s="380"/>
      <c r="H148" s="379"/>
      <c r="I148" s="379" t="s">
        <v>62</v>
      </c>
      <c r="J148" s="379" t="s">
        <v>8081</v>
      </c>
      <c r="K148" s="386">
        <v>320000</v>
      </c>
      <c r="L148" s="379" t="s">
        <v>112</v>
      </c>
      <c r="M148" s="387">
        <v>44196</v>
      </c>
      <c r="N148" s="387">
        <v>44208</v>
      </c>
      <c r="O148" s="387">
        <v>44211</v>
      </c>
      <c r="P148" s="380" t="s">
        <v>8137</v>
      </c>
      <c r="Q148" s="379"/>
      <c r="R148" s="386">
        <v>278550</v>
      </c>
      <c r="S148" s="386">
        <v>337045.5</v>
      </c>
      <c r="T148" s="2148"/>
      <c r="U148" s="2148"/>
      <c r="V148" s="2148"/>
      <c r="W148" s="2149">
        <v>44211</v>
      </c>
      <c r="X148" s="2150" t="s">
        <v>8147</v>
      </c>
      <c r="Y148" s="387">
        <v>44231</v>
      </c>
      <c r="Z148" s="387">
        <v>44235</v>
      </c>
      <c r="AA148" s="387">
        <f>Y148+30</f>
        <v>44261</v>
      </c>
      <c r="AB148" s="387">
        <v>44314</v>
      </c>
      <c r="AC148" s="2151" t="s">
        <v>1875</v>
      </c>
      <c r="AD148" s="2102"/>
      <c r="AE148" s="2102"/>
      <c r="AF148" s="2103"/>
      <c r="AG148" s="2103"/>
      <c r="AH148" s="2103"/>
      <c r="AI148" s="2103"/>
      <c r="AJ148" s="2103"/>
      <c r="AK148" s="2103"/>
      <c r="AL148" s="2103"/>
      <c r="AM148" s="2103"/>
      <c r="AN148" s="2103"/>
      <c r="AO148" s="2103"/>
      <c r="AP148" s="2103"/>
      <c r="AQ148" s="2100"/>
    </row>
    <row r="149" spans="1:43" ht="15.75" thickTop="1">
      <c r="A149" s="2251">
        <v>44195</v>
      </c>
      <c r="B149" s="2253" t="s">
        <v>8103</v>
      </c>
      <c r="C149" s="2253" t="s">
        <v>69</v>
      </c>
      <c r="D149" s="2253" t="s">
        <v>70</v>
      </c>
      <c r="E149" s="2049" t="s">
        <v>8104</v>
      </c>
      <c r="F149" s="2253">
        <v>1</v>
      </c>
      <c r="G149" s="2254" t="s">
        <v>8105</v>
      </c>
      <c r="H149" s="2253"/>
      <c r="I149" s="2253" t="s">
        <v>1537</v>
      </c>
      <c r="J149" s="2253"/>
      <c r="K149" s="2255">
        <v>48576</v>
      </c>
      <c r="L149" s="2253" t="s">
        <v>251</v>
      </c>
      <c r="M149" s="2251">
        <v>44202</v>
      </c>
      <c r="N149" s="2251">
        <v>44264</v>
      </c>
      <c r="O149" s="2251">
        <v>44322</v>
      </c>
      <c r="P149" s="2254" t="s">
        <v>2518</v>
      </c>
      <c r="Q149" s="2253"/>
      <c r="R149" s="2255">
        <v>47954.400000000001</v>
      </c>
      <c r="S149" s="2255">
        <v>52749.84</v>
      </c>
      <c r="T149" s="2256"/>
      <c r="U149" s="2256"/>
      <c r="V149" s="2256"/>
      <c r="W149" s="2257">
        <v>44322</v>
      </c>
      <c r="X149" s="2255" t="s">
        <v>8903</v>
      </c>
      <c r="Y149" s="2251">
        <v>44342</v>
      </c>
      <c r="Z149" s="2251">
        <v>44349</v>
      </c>
      <c r="AA149" s="2251">
        <v>45802</v>
      </c>
      <c r="AB149" s="2251">
        <v>44648</v>
      </c>
      <c r="AC149" s="2252">
        <v>2022</v>
      </c>
      <c r="AD149" s="2252">
        <v>2023</v>
      </c>
      <c r="AE149" s="2252">
        <v>2024</v>
      </c>
      <c r="AF149" s="2252" t="s">
        <v>9055</v>
      </c>
      <c r="AG149" s="2104"/>
      <c r="AH149" s="2104"/>
      <c r="AI149" s="2104"/>
      <c r="AJ149" s="2104"/>
    </row>
    <row r="150" spans="1:43">
      <c r="A150" s="2140">
        <v>44195</v>
      </c>
      <c r="B150" s="2141" t="s">
        <v>8103</v>
      </c>
      <c r="C150" s="2141" t="s">
        <v>69</v>
      </c>
      <c r="D150" s="2141" t="s">
        <v>70</v>
      </c>
      <c r="E150" s="2142" t="s">
        <v>8104</v>
      </c>
      <c r="F150" s="2141">
        <v>2</v>
      </c>
      <c r="G150" s="2143" t="s">
        <v>8106</v>
      </c>
      <c r="H150" s="2141"/>
      <c r="I150" s="2141" t="s">
        <v>1537</v>
      </c>
      <c r="J150" s="2141"/>
      <c r="K150" s="2144">
        <v>6626722</v>
      </c>
      <c r="L150" s="2141" t="s">
        <v>251</v>
      </c>
      <c r="M150" s="2140">
        <v>44202</v>
      </c>
      <c r="N150" s="2140">
        <v>44264</v>
      </c>
      <c r="O150" s="2140">
        <v>44322</v>
      </c>
      <c r="P150" s="2143" t="s">
        <v>8856</v>
      </c>
      <c r="Q150" s="2141"/>
      <c r="R150" s="2144">
        <v>5958167.25</v>
      </c>
      <c r="S150" s="2144">
        <v>6553983.9800000004</v>
      </c>
      <c r="T150" s="2145"/>
      <c r="U150" s="2145"/>
      <c r="V150" s="2145"/>
      <c r="W150" s="2146">
        <v>44322</v>
      </c>
      <c r="X150" s="2144" t="s">
        <v>8904</v>
      </c>
      <c r="Y150" s="2140">
        <v>44342</v>
      </c>
      <c r="Z150" s="2140">
        <v>44349</v>
      </c>
      <c r="AA150" s="2140">
        <v>45802</v>
      </c>
      <c r="AB150" s="2140">
        <v>44648</v>
      </c>
      <c r="AC150" s="2109">
        <v>2022</v>
      </c>
      <c r="AD150" s="2109">
        <v>2023</v>
      </c>
      <c r="AE150" s="2109">
        <v>2024</v>
      </c>
      <c r="AF150" s="2109" t="s">
        <v>9055</v>
      </c>
      <c r="AG150" s="2105"/>
      <c r="AH150" s="2105"/>
      <c r="AI150" s="2105"/>
      <c r="AJ150" s="2105"/>
    </row>
    <row r="151" spans="1:43" ht="15.75" thickBot="1">
      <c r="A151" s="2117">
        <v>44195</v>
      </c>
      <c r="B151" s="2118" t="s">
        <v>8103</v>
      </c>
      <c r="C151" s="2118" t="s">
        <v>69</v>
      </c>
      <c r="D151" s="2118" t="s">
        <v>70</v>
      </c>
      <c r="E151" s="2119" t="s">
        <v>8104</v>
      </c>
      <c r="F151" s="2118">
        <v>3</v>
      </c>
      <c r="G151" s="2120" t="s">
        <v>8107</v>
      </c>
      <c r="H151" s="2118"/>
      <c r="I151" s="2118" t="s">
        <v>1537</v>
      </c>
      <c r="J151" s="2118"/>
      <c r="K151" s="2121">
        <v>20300627</v>
      </c>
      <c r="L151" s="2118" t="s">
        <v>251</v>
      </c>
      <c r="M151" s="2117">
        <v>44202</v>
      </c>
      <c r="N151" s="2117">
        <v>44264</v>
      </c>
      <c r="O151" s="2117">
        <v>44322</v>
      </c>
      <c r="P151" s="2120" t="s">
        <v>2518</v>
      </c>
      <c r="Q151" s="2118"/>
      <c r="R151" s="2121">
        <v>22753051.940000001</v>
      </c>
      <c r="S151" s="2121">
        <v>25028357.129999999</v>
      </c>
      <c r="T151" s="2122"/>
      <c r="U151" s="2122"/>
      <c r="V151" s="2122"/>
      <c r="W151" s="2123">
        <v>44322</v>
      </c>
      <c r="X151" s="2121" t="s">
        <v>8905</v>
      </c>
      <c r="Y151" s="2117">
        <v>44342</v>
      </c>
      <c r="Z151" s="2117">
        <v>44349</v>
      </c>
      <c r="AA151" s="2117">
        <v>45802</v>
      </c>
      <c r="AB151" s="2117">
        <v>44648</v>
      </c>
      <c r="AC151" s="2110">
        <v>2022</v>
      </c>
      <c r="AD151" s="2110">
        <v>2023</v>
      </c>
      <c r="AE151" s="2110">
        <v>2024</v>
      </c>
      <c r="AF151" s="2110" t="s">
        <v>9055</v>
      </c>
      <c r="AG151" s="2107"/>
      <c r="AH151" s="2107"/>
      <c r="AI151" s="2107"/>
      <c r="AJ151" s="2107"/>
    </row>
    <row r="152" spans="1:43" ht="15.75" thickTop="1">
      <c r="A152" s="443">
        <v>44200</v>
      </c>
      <c r="B152" s="439" t="s">
        <v>8108</v>
      </c>
      <c r="C152" s="439" t="s">
        <v>69</v>
      </c>
      <c r="D152" s="439" t="s">
        <v>70</v>
      </c>
      <c r="E152" s="440" t="s">
        <v>8109</v>
      </c>
      <c r="F152" s="439">
        <v>1</v>
      </c>
      <c r="G152" s="1431" t="s">
        <v>4623</v>
      </c>
      <c r="H152" s="439"/>
      <c r="I152" s="439" t="s">
        <v>42</v>
      </c>
      <c r="J152" s="439"/>
      <c r="K152" s="444">
        <v>197507</v>
      </c>
      <c r="L152" s="439" t="s">
        <v>251</v>
      </c>
      <c r="M152" s="443">
        <v>44250</v>
      </c>
      <c r="N152" s="443">
        <v>44307</v>
      </c>
      <c r="O152" s="439"/>
      <c r="P152" s="753" t="s">
        <v>8431</v>
      </c>
      <c r="Q152" s="439"/>
      <c r="R152" s="444"/>
      <c r="S152" s="444"/>
      <c r="T152" s="1481"/>
      <c r="U152" s="1481"/>
      <c r="V152" s="1481"/>
      <c r="W152" s="444"/>
      <c r="X152" s="444"/>
      <c r="Y152" s="439"/>
      <c r="Z152" s="443">
        <v>44378</v>
      </c>
      <c r="AA152" s="1431" t="s">
        <v>9129</v>
      </c>
      <c r="AB152" s="439"/>
      <c r="AC152" s="439"/>
      <c r="AD152" s="1393"/>
      <c r="AE152" s="1393"/>
      <c r="AF152" s="824"/>
    </row>
    <row r="153" spans="1:43">
      <c r="A153" s="2140">
        <v>44200</v>
      </c>
      <c r="B153" s="2141" t="s">
        <v>8108</v>
      </c>
      <c r="C153" s="2141" t="s">
        <v>69</v>
      </c>
      <c r="D153" s="2141" t="s">
        <v>70</v>
      </c>
      <c r="E153" s="2142" t="s">
        <v>8109</v>
      </c>
      <c r="F153" s="2141">
        <v>2</v>
      </c>
      <c r="G153" s="2143" t="s">
        <v>8110</v>
      </c>
      <c r="H153" s="2141"/>
      <c r="I153" s="2141" t="s">
        <v>42</v>
      </c>
      <c r="J153" s="2141"/>
      <c r="K153" s="2144">
        <v>24729</v>
      </c>
      <c r="L153" s="2141" t="s">
        <v>251</v>
      </c>
      <c r="M153" s="2140">
        <v>44250</v>
      </c>
      <c r="N153" s="2140">
        <v>44307</v>
      </c>
      <c r="O153" s="2140">
        <v>44364</v>
      </c>
      <c r="P153" s="2143" t="s">
        <v>6217</v>
      </c>
      <c r="Q153" s="2141"/>
      <c r="R153" s="2144">
        <v>24460</v>
      </c>
      <c r="S153" s="2144">
        <v>29596.6</v>
      </c>
      <c r="T153" s="2145"/>
      <c r="U153" s="2145"/>
      <c r="V153" s="2145"/>
      <c r="W153" s="2146">
        <v>44364</v>
      </c>
      <c r="X153" s="2144" t="s">
        <v>9207</v>
      </c>
      <c r="Y153" s="2140">
        <v>44393</v>
      </c>
      <c r="Z153" s="2140">
        <v>44399</v>
      </c>
      <c r="AA153" s="2140">
        <v>44757</v>
      </c>
      <c r="AB153" s="2140">
        <v>44648</v>
      </c>
      <c r="AC153" s="2109" t="s">
        <v>9402</v>
      </c>
      <c r="AD153" s="2106"/>
      <c r="AE153" s="2106"/>
      <c r="AF153" s="2105"/>
    </row>
    <row r="154" spans="1:43">
      <c r="A154" s="2124">
        <v>44200</v>
      </c>
      <c r="B154" s="2125" t="s">
        <v>8108</v>
      </c>
      <c r="C154" s="2125" t="s">
        <v>69</v>
      </c>
      <c r="D154" s="2125" t="s">
        <v>70</v>
      </c>
      <c r="E154" s="2126" t="s">
        <v>8109</v>
      </c>
      <c r="F154" s="2125">
        <v>3</v>
      </c>
      <c r="G154" s="2127" t="s">
        <v>9179</v>
      </c>
      <c r="H154" s="2125"/>
      <c r="I154" s="2125" t="s">
        <v>42</v>
      </c>
      <c r="J154" s="2125"/>
      <c r="K154" s="2128">
        <v>268724</v>
      </c>
      <c r="L154" s="2125" t="s">
        <v>251</v>
      </c>
      <c r="M154" s="2124">
        <v>44250</v>
      </c>
      <c r="N154" s="2124">
        <v>44307</v>
      </c>
      <c r="O154" s="2124">
        <v>44364</v>
      </c>
      <c r="P154" s="2136" t="s">
        <v>9429</v>
      </c>
      <c r="Q154" s="2125"/>
      <c r="R154" s="2128">
        <v>268722.51</v>
      </c>
      <c r="S154" s="2128">
        <v>325154.24</v>
      </c>
      <c r="T154" s="2129"/>
      <c r="U154" s="2129"/>
      <c r="V154" s="2129"/>
      <c r="W154" s="2281">
        <v>44364</v>
      </c>
      <c r="X154" s="2128" t="s">
        <v>9208</v>
      </c>
      <c r="Y154" s="2125"/>
      <c r="Z154" s="2124">
        <v>44414</v>
      </c>
      <c r="AA154" s="2125" t="s">
        <v>9418</v>
      </c>
      <c r="AB154" s="2125"/>
      <c r="AC154" s="2125"/>
      <c r="AD154" s="2106"/>
      <c r="AE154" s="2106"/>
      <c r="AF154" s="2105"/>
    </row>
    <row r="155" spans="1:43">
      <c r="A155" s="2124">
        <v>44200</v>
      </c>
      <c r="B155" s="2125" t="s">
        <v>8108</v>
      </c>
      <c r="C155" s="2125" t="s">
        <v>69</v>
      </c>
      <c r="D155" s="2125" t="s">
        <v>70</v>
      </c>
      <c r="E155" s="2126" t="s">
        <v>8109</v>
      </c>
      <c r="F155" s="2125">
        <v>4</v>
      </c>
      <c r="G155" s="2127" t="s">
        <v>8111</v>
      </c>
      <c r="H155" s="2125"/>
      <c r="I155" s="2125" t="s">
        <v>42</v>
      </c>
      <c r="J155" s="2125"/>
      <c r="K155" s="2128">
        <v>785490</v>
      </c>
      <c r="L155" s="2125" t="s">
        <v>251</v>
      </c>
      <c r="M155" s="2124">
        <v>44250</v>
      </c>
      <c r="N155" s="2124">
        <v>44307</v>
      </c>
      <c r="O155" s="2125"/>
      <c r="P155" s="2136" t="s">
        <v>4505</v>
      </c>
      <c r="Q155" s="2125"/>
      <c r="R155" s="2128"/>
      <c r="S155" s="2128"/>
      <c r="T155" s="2129"/>
      <c r="U155" s="2129"/>
      <c r="V155" s="2129"/>
      <c r="W155" s="2128"/>
      <c r="X155" s="2128"/>
      <c r="Y155" s="2125"/>
      <c r="Z155" s="2124">
        <v>44378</v>
      </c>
      <c r="AA155" s="2127" t="s">
        <v>9121</v>
      </c>
      <c r="AB155" s="2125"/>
      <c r="AC155" s="2125"/>
      <c r="AD155" s="2106"/>
      <c r="AE155" s="2106"/>
      <c r="AF155" s="2105"/>
    </row>
    <row r="156" spans="1:43">
      <c r="A156" s="2140">
        <v>44200</v>
      </c>
      <c r="B156" s="2141" t="s">
        <v>8108</v>
      </c>
      <c r="C156" s="2141" t="s">
        <v>69</v>
      </c>
      <c r="D156" s="2141" t="s">
        <v>70</v>
      </c>
      <c r="E156" s="2142" t="s">
        <v>8109</v>
      </c>
      <c r="F156" s="2141">
        <v>5</v>
      </c>
      <c r="G156" s="2143" t="s">
        <v>9430</v>
      </c>
      <c r="H156" s="2141"/>
      <c r="I156" s="2141" t="s">
        <v>42</v>
      </c>
      <c r="J156" s="2141"/>
      <c r="K156" s="2144">
        <v>1090405</v>
      </c>
      <c r="L156" s="2141" t="s">
        <v>251</v>
      </c>
      <c r="M156" s="2140">
        <v>44250</v>
      </c>
      <c r="N156" s="2140">
        <v>44307</v>
      </c>
      <c r="O156" s="2140">
        <v>44364</v>
      </c>
      <c r="P156" s="2143" t="s">
        <v>5901</v>
      </c>
      <c r="Q156" s="2141"/>
      <c r="R156" s="2144">
        <v>1105416</v>
      </c>
      <c r="S156" s="2144">
        <v>1337553.3600000001</v>
      </c>
      <c r="T156" s="2145"/>
      <c r="U156" s="2145"/>
      <c r="V156" s="2145"/>
      <c r="W156" s="2146">
        <v>44364</v>
      </c>
      <c r="X156" s="2144" t="s">
        <v>9209</v>
      </c>
      <c r="Y156" s="2140">
        <v>44390</v>
      </c>
      <c r="Z156" s="2140">
        <v>44399</v>
      </c>
      <c r="AA156" s="2140">
        <v>44754</v>
      </c>
      <c r="AB156" s="2140">
        <v>44648</v>
      </c>
      <c r="AC156" s="2109" t="s">
        <v>9344</v>
      </c>
      <c r="AD156" s="2106"/>
      <c r="AE156" s="2106"/>
      <c r="AF156" s="2105"/>
    </row>
    <row r="157" spans="1:43">
      <c r="A157" s="2124">
        <v>44200</v>
      </c>
      <c r="B157" s="2125" t="s">
        <v>8108</v>
      </c>
      <c r="C157" s="2125" t="s">
        <v>69</v>
      </c>
      <c r="D157" s="2125" t="s">
        <v>70</v>
      </c>
      <c r="E157" s="2126" t="s">
        <v>8109</v>
      </c>
      <c r="F157" s="2125">
        <v>6</v>
      </c>
      <c r="G157" s="2127" t="s">
        <v>4620</v>
      </c>
      <c r="H157" s="2125"/>
      <c r="I157" s="2125" t="s">
        <v>42</v>
      </c>
      <c r="J157" s="2125"/>
      <c r="K157" s="2128">
        <v>493445</v>
      </c>
      <c r="L157" s="2125" t="s">
        <v>251</v>
      </c>
      <c r="M157" s="2124">
        <v>44250</v>
      </c>
      <c r="N157" s="2124">
        <v>44307</v>
      </c>
      <c r="O157" s="2125"/>
      <c r="P157" s="2136" t="s">
        <v>4505</v>
      </c>
      <c r="Q157" s="2125"/>
      <c r="R157" s="2128"/>
      <c r="S157" s="2128"/>
      <c r="T157" s="2129"/>
      <c r="U157" s="2129"/>
      <c r="V157" s="2129"/>
      <c r="W157" s="2128"/>
      <c r="X157" s="2128"/>
      <c r="Y157" s="2125"/>
      <c r="Z157" s="2124">
        <v>44378</v>
      </c>
      <c r="AA157" s="2127" t="s">
        <v>9121</v>
      </c>
      <c r="AB157" s="2125"/>
      <c r="AC157" s="2125"/>
      <c r="AD157" s="2106"/>
      <c r="AE157" s="2106"/>
      <c r="AF157" s="2105"/>
    </row>
    <row r="158" spans="1:43" ht="15.75" thickBot="1">
      <c r="A158" s="2117">
        <v>44200</v>
      </c>
      <c r="B158" s="2118" t="s">
        <v>8108</v>
      </c>
      <c r="C158" s="2118" t="s">
        <v>69</v>
      </c>
      <c r="D158" s="2118" t="s">
        <v>70</v>
      </c>
      <c r="E158" s="2119" t="s">
        <v>8109</v>
      </c>
      <c r="F158" s="2118">
        <v>7</v>
      </c>
      <c r="G158" s="2120" t="s">
        <v>4621</v>
      </c>
      <c r="H158" s="2118"/>
      <c r="I158" s="2118" t="s">
        <v>42</v>
      </c>
      <c r="J158" s="2118"/>
      <c r="K158" s="2121">
        <v>944148</v>
      </c>
      <c r="L158" s="2118" t="s">
        <v>251</v>
      </c>
      <c r="M158" s="2117">
        <v>44250</v>
      </c>
      <c r="N158" s="2117">
        <v>44307</v>
      </c>
      <c r="O158" s="2117">
        <v>44364</v>
      </c>
      <c r="P158" s="2120" t="s">
        <v>1319</v>
      </c>
      <c r="Q158" s="2118"/>
      <c r="R158" s="2121">
        <v>944146.05</v>
      </c>
      <c r="S158" s="2121">
        <v>1142416.72</v>
      </c>
      <c r="T158" s="2122"/>
      <c r="U158" s="2122"/>
      <c r="V158" s="2122"/>
      <c r="W158" s="2123">
        <v>44364</v>
      </c>
      <c r="X158" s="2121" t="s">
        <v>9210</v>
      </c>
      <c r="Y158" s="2117">
        <v>44396</v>
      </c>
      <c r="Z158" s="2117">
        <v>44399</v>
      </c>
      <c r="AA158" s="2117">
        <v>44760</v>
      </c>
      <c r="AB158" s="2140">
        <v>44648</v>
      </c>
      <c r="AC158" s="2109" t="s">
        <v>9403</v>
      </c>
      <c r="AD158" s="2108"/>
      <c r="AE158" s="2108"/>
      <c r="AF158" s="2107"/>
    </row>
    <row r="159" spans="1:43" ht="46.5" thickTop="1" thickBot="1">
      <c r="A159" s="498">
        <v>44201</v>
      </c>
      <c r="B159" s="232" t="s">
        <v>8118</v>
      </c>
      <c r="C159" s="232" t="s">
        <v>2434</v>
      </c>
      <c r="D159" s="232" t="s">
        <v>219</v>
      </c>
      <c r="E159" s="274" t="s">
        <v>8119</v>
      </c>
      <c r="F159" s="232"/>
      <c r="G159" s="669"/>
      <c r="H159" s="232"/>
      <c r="I159" s="232" t="s">
        <v>2550</v>
      </c>
      <c r="J159" s="232"/>
      <c r="K159" s="499">
        <v>3111334</v>
      </c>
      <c r="L159" s="232" t="s">
        <v>216</v>
      </c>
      <c r="M159" s="498">
        <v>44214</v>
      </c>
      <c r="N159" s="498">
        <v>44238</v>
      </c>
      <c r="O159" s="498">
        <v>44252</v>
      </c>
      <c r="P159" s="669" t="s">
        <v>1433</v>
      </c>
      <c r="Q159" s="232"/>
      <c r="R159" s="499">
        <v>3107400</v>
      </c>
      <c r="S159" s="499">
        <v>3759954</v>
      </c>
      <c r="T159" s="1545"/>
      <c r="U159" s="1545"/>
      <c r="V159" s="1545"/>
      <c r="W159" s="682">
        <v>44253</v>
      </c>
      <c r="X159" s="1752" t="s">
        <v>8373</v>
      </c>
      <c r="Y159" s="498">
        <v>44314</v>
      </c>
      <c r="Z159" s="498">
        <v>44320</v>
      </c>
      <c r="AA159" s="498">
        <v>45043</v>
      </c>
      <c r="AB159" s="498">
        <v>44641</v>
      </c>
      <c r="AC159" s="1546">
        <v>2022</v>
      </c>
      <c r="AD159" s="388" t="s">
        <v>8839</v>
      </c>
    </row>
    <row r="160" spans="1:43" ht="15.75" thickTop="1">
      <c r="A160" s="443">
        <v>44203</v>
      </c>
      <c r="B160" s="439" t="s">
        <v>8126</v>
      </c>
      <c r="C160" s="439" t="s">
        <v>58</v>
      </c>
      <c r="D160" s="439" t="s">
        <v>2684</v>
      </c>
      <c r="E160" s="440" t="s">
        <v>7867</v>
      </c>
      <c r="F160" s="439">
        <v>1</v>
      </c>
      <c r="G160" s="1431" t="s">
        <v>8011</v>
      </c>
      <c r="H160" s="439"/>
      <c r="I160" s="439" t="s">
        <v>7868</v>
      </c>
      <c r="J160" s="439" t="s">
        <v>4256</v>
      </c>
      <c r="K160" s="444">
        <v>124000</v>
      </c>
      <c r="L160" s="439" t="s">
        <v>112</v>
      </c>
      <c r="M160" s="443">
        <v>44208</v>
      </c>
      <c r="N160" s="443">
        <v>44218</v>
      </c>
      <c r="O160" s="439"/>
      <c r="P160" s="753" t="s">
        <v>304</v>
      </c>
      <c r="Q160" s="2015" t="s">
        <v>8985</v>
      </c>
      <c r="R160" s="444"/>
      <c r="S160" s="444"/>
      <c r="T160" s="1481"/>
      <c r="U160" s="1481"/>
      <c r="V160" s="1481"/>
      <c r="W160" s="444"/>
      <c r="X160" s="444"/>
      <c r="Y160" s="439"/>
      <c r="Z160" s="443">
        <v>44221</v>
      </c>
      <c r="AA160" s="439"/>
      <c r="AB160" s="439"/>
      <c r="AC160" s="439"/>
    </row>
    <row r="161" spans="1:31">
      <c r="A161" s="2124">
        <v>44203</v>
      </c>
      <c r="B161" s="2125" t="s">
        <v>8126</v>
      </c>
      <c r="C161" s="2125" t="s">
        <v>58</v>
      </c>
      <c r="D161" s="2125" t="s">
        <v>2684</v>
      </c>
      <c r="E161" s="2126" t="s">
        <v>7867</v>
      </c>
      <c r="F161" s="2125">
        <v>2</v>
      </c>
      <c r="G161" s="2127" t="s">
        <v>8012</v>
      </c>
      <c r="H161" s="2125"/>
      <c r="I161" s="2125" t="s">
        <v>7868</v>
      </c>
      <c r="J161" s="2125" t="s">
        <v>4255</v>
      </c>
      <c r="K161" s="2128">
        <v>132000</v>
      </c>
      <c r="L161" s="2125" t="s">
        <v>112</v>
      </c>
      <c r="M161" s="2124">
        <v>44208</v>
      </c>
      <c r="N161" s="2124">
        <v>44218</v>
      </c>
      <c r="O161" s="2125"/>
      <c r="P161" s="2136" t="s">
        <v>304</v>
      </c>
      <c r="Q161" s="2275" t="s">
        <v>8985</v>
      </c>
      <c r="R161" s="2128"/>
      <c r="S161" s="2128"/>
      <c r="T161" s="2129"/>
      <c r="U161" s="2129"/>
      <c r="V161" s="2129"/>
      <c r="W161" s="2128"/>
      <c r="X161" s="2128"/>
      <c r="Y161" s="2125"/>
      <c r="Z161" s="2124">
        <v>44221</v>
      </c>
      <c r="AA161" s="2125"/>
      <c r="AB161" s="2125"/>
      <c r="AC161" s="2125"/>
    </row>
    <row r="162" spans="1:31">
      <c r="A162" s="2124">
        <v>44203</v>
      </c>
      <c r="B162" s="2125" t="s">
        <v>8126</v>
      </c>
      <c r="C162" s="2125" t="s">
        <v>58</v>
      </c>
      <c r="D162" s="2125" t="s">
        <v>2684</v>
      </c>
      <c r="E162" s="2126" t="s">
        <v>7867</v>
      </c>
      <c r="F162" s="2125">
        <v>3</v>
      </c>
      <c r="G162" s="2127" t="s">
        <v>8013</v>
      </c>
      <c r="H162" s="2125"/>
      <c r="I162" s="2125" t="s">
        <v>7868</v>
      </c>
      <c r="J162" s="2125" t="s">
        <v>4254</v>
      </c>
      <c r="K162" s="2128">
        <v>157000</v>
      </c>
      <c r="L162" s="2125" t="s">
        <v>112</v>
      </c>
      <c r="M162" s="2124">
        <v>44208</v>
      </c>
      <c r="N162" s="2124">
        <v>44218</v>
      </c>
      <c r="O162" s="2125"/>
      <c r="P162" s="2136" t="s">
        <v>304</v>
      </c>
      <c r="Q162" s="2180" t="s">
        <v>8985</v>
      </c>
      <c r="R162" s="2128"/>
      <c r="S162" s="2128"/>
      <c r="T162" s="2129"/>
      <c r="U162" s="2129"/>
      <c r="V162" s="2129"/>
      <c r="W162" s="2128"/>
      <c r="X162" s="2128"/>
      <c r="Y162" s="2125"/>
      <c r="Z162" s="2124">
        <v>44221</v>
      </c>
      <c r="AA162" s="2125"/>
      <c r="AB162" s="2125"/>
      <c r="AC162" s="2125"/>
    </row>
    <row r="163" spans="1:31">
      <c r="A163" s="2124">
        <v>44203</v>
      </c>
      <c r="B163" s="2125" t="s">
        <v>8126</v>
      </c>
      <c r="C163" s="2125" t="s">
        <v>58</v>
      </c>
      <c r="D163" s="2125" t="s">
        <v>2684</v>
      </c>
      <c r="E163" s="2126" t="s">
        <v>7867</v>
      </c>
      <c r="F163" s="2125">
        <v>4</v>
      </c>
      <c r="G163" s="2127" t="s">
        <v>8014</v>
      </c>
      <c r="H163" s="2125"/>
      <c r="I163" s="2125" t="s">
        <v>7868</v>
      </c>
      <c r="J163" s="2125" t="s">
        <v>8017</v>
      </c>
      <c r="K163" s="2128">
        <v>82000</v>
      </c>
      <c r="L163" s="2125" t="s">
        <v>112</v>
      </c>
      <c r="M163" s="2124">
        <v>44208</v>
      </c>
      <c r="N163" s="2124">
        <v>44218</v>
      </c>
      <c r="O163" s="2125"/>
      <c r="P163" s="2136" t="s">
        <v>304</v>
      </c>
      <c r="Q163" s="2275" t="s">
        <v>8985</v>
      </c>
      <c r="R163" s="2128"/>
      <c r="S163" s="2128"/>
      <c r="T163" s="2129"/>
      <c r="U163" s="2129"/>
      <c r="V163" s="2129"/>
      <c r="W163" s="2128"/>
      <c r="X163" s="2128"/>
      <c r="Y163" s="2125"/>
      <c r="Z163" s="2124">
        <v>44221</v>
      </c>
      <c r="AA163" s="2125"/>
      <c r="AB163" s="2125"/>
      <c r="AC163" s="2125"/>
    </row>
    <row r="164" spans="1:31" ht="15.75" thickBot="1">
      <c r="A164" s="2130">
        <v>44203</v>
      </c>
      <c r="B164" s="2131" t="s">
        <v>8126</v>
      </c>
      <c r="C164" s="2131" t="s">
        <v>58</v>
      </c>
      <c r="D164" s="2131" t="s">
        <v>2684</v>
      </c>
      <c r="E164" s="2132" t="s">
        <v>7867</v>
      </c>
      <c r="F164" s="2131">
        <v>5</v>
      </c>
      <c r="G164" s="2133" t="s">
        <v>8015</v>
      </c>
      <c r="H164" s="2131"/>
      <c r="I164" s="2131" t="s">
        <v>7868</v>
      </c>
      <c r="J164" s="2131" t="s">
        <v>8016</v>
      </c>
      <c r="K164" s="2134">
        <v>74000</v>
      </c>
      <c r="L164" s="2131" t="s">
        <v>112</v>
      </c>
      <c r="M164" s="2130">
        <v>44208</v>
      </c>
      <c r="N164" s="2130">
        <v>44218</v>
      </c>
      <c r="O164" s="2131"/>
      <c r="P164" s="2137" t="s">
        <v>304</v>
      </c>
      <c r="Q164" s="2287" t="s">
        <v>8985</v>
      </c>
      <c r="R164" s="2134"/>
      <c r="S164" s="2134"/>
      <c r="T164" s="2135"/>
      <c r="U164" s="2135"/>
      <c r="V164" s="2135"/>
      <c r="W164" s="2134"/>
      <c r="X164" s="2134"/>
      <c r="Y164" s="2131"/>
      <c r="Z164" s="2130">
        <v>44221</v>
      </c>
      <c r="AA164" s="2131"/>
      <c r="AB164" s="2131"/>
      <c r="AC164" s="2131"/>
    </row>
    <row r="165" spans="1:31" ht="15.75" thickTop="1">
      <c r="A165" s="365">
        <v>44195</v>
      </c>
      <c r="B165" s="2282" t="s">
        <v>8129</v>
      </c>
      <c r="C165" s="2282" t="s">
        <v>14</v>
      </c>
      <c r="D165" s="2282" t="s">
        <v>13</v>
      </c>
      <c r="E165" s="175" t="s">
        <v>8130</v>
      </c>
      <c r="F165" s="2282"/>
      <c r="G165" s="2283"/>
      <c r="H165" s="2282"/>
      <c r="I165" s="2282" t="s">
        <v>2735</v>
      </c>
      <c r="J165" s="2282" t="s">
        <v>8131</v>
      </c>
      <c r="K165" s="364">
        <v>825000</v>
      </c>
      <c r="L165" s="2282" t="s">
        <v>112</v>
      </c>
      <c r="M165" s="365">
        <v>44209</v>
      </c>
      <c r="N165" s="365">
        <v>44216</v>
      </c>
      <c r="O165" s="365">
        <v>44221</v>
      </c>
      <c r="P165" s="2283" t="s">
        <v>3915</v>
      </c>
      <c r="Q165" s="2282"/>
      <c r="R165" s="364">
        <v>835707</v>
      </c>
      <c r="S165" s="364">
        <v>1011205.47</v>
      </c>
      <c r="T165" s="1473"/>
      <c r="U165" s="1473"/>
      <c r="V165" s="1473"/>
      <c r="W165" s="681">
        <v>44221</v>
      </c>
      <c r="X165" s="364" t="s">
        <v>8179</v>
      </c>
      <c r="Y165" s="365">
        <v>44245</v>
      </c>
      <c r="Z165" s="365">
        <v>44246</v>
      </c>
      <c r="AA165" s="365">
        <f>Y165+60</f>
        <v>44305</v>
      </c>
      <c r="AB165" s="365">
        <v>44340</v>
      </c>
      <c r="AC165" s="1513"/>
    </row>
    <row r="166" spans="1:31" ht="45">
      <c r="A166" s="537">
        <v>44203</v>
      </c>
      <c r="B166" s="491" t="s">
        <v>8134</v>
      </c>
      <c r="C166" s="491" t="s">
        <v>58</v>
      </c>
      <c r="D166" s="491" t="s">
        <v>2684</v>
      </c>
      <c r="E166" s="571" t="s">
        <v>8135</v>
      </c>
      <c r="F166" s="491"/>
      <c r="G166" s="495"/>
      <c r="H166" s="491"/>
      <c r="I166" s="491" t="s">
        <v>396</v>
      </c>
      <c r="J166" s="491" t="s">
        <v>8136</v>
      </c>
      <c r="K166" s="536">
        <v>10657000</v>
      </c>
      <c r="L166" s="491" t="s">
        <v>251</v>
      </c>
      <c r="M166" s="537">
        <v>44214</v>
      </c>
      <c r="N166" s="537">
        <v>44246</v>
      </c>
      <c r="O166" s="537">
        <v>44298</v>
      </c>
      <c r="P166" s="495" t="s">
        <v>144</v>
      </c>
      <c r="Q166" s="491"/>
      <c r="R166" s="536">
        <v>10424594</v>
      </c>
      <c r="S166" s="536">
        <v>12613758.74</v>
      </c>
      <c r="T166" s="1471"/>
      <c r="U166" s="1471"/>
      <c r="V166" s="1471"/>
      <c r="W166" s="573">
        <v>44298</v>
      </c>
      <c r="X166" s="1375" t="s">
        <v>8571</v>
      </c>
      <c r="Y166" s="537">
        <v>44327</v>
      </c>
      <c r="Z166" s="537">
        <v>44334</v>
      </c>
      <c r="AA166" s="537">
        <v>44383</v>
      </c>
      <c r="AB166" s="537">
        <v>44642</v>
      </c>
      <c r="AC166" s="1374" t="s">
        <v>4137</v>
      </c>
    </row>
    <row r="167" spans="1:31">
      <c r="A167" s="537">
        <v>44209</v>
      </c>
      <c r="B167" s="491" t="s">
        <v>8138</v>
      </c>
      <c r="C167" s="491" t="s">
        <v>4997</v>
      </c>
      <c r="D167" s="491" t="s">
        <v>7475</v>
      </c>
      <c r="E167" s="571" t="s">
        <v>8139</v>
      </c>
      <c r="F167" s="491"/>
      <c r="G167" s="495"/>
      <c r="H167" s="491"/>
      <c r="I167" s="491" t="s">
        <v>7319</v>
      </c>
      <c r="J167" s="491"/>
      <c r="K167" s="536">
        <v>950000</v>
      </c>
      <c r="L167" s="491" t="s">
        <v>112</v>
      </c>
      <c r="M167" s="537">
        <v>44211</v>
      </c>
      <c r="N167" s="537">
        <v>44224</v>
      </c>
      <c r="O167" s="537">
        <v>44231</v>
      </c>
      <c r="P167" s="495" t="s">
        <v>8211</v>
      </c>
      <c r="Q167" s="491"/>
      <c r="R167" s="536">
        <v>1012448.73</v>
      </c>
      <c r="S167" s="536">
        <v>1225062.96</v>
      </c>
      <c r="T167" s="1471"/>
      <c r="U167" s="1471"/>
      <c r="V167" s="1471"/>
      <c r="W167" s="573">
        <v>44231</v>
      </c>
      <c r="X167" s="536" t="s">
        <v>8212</v>
      </c>
      <c r="Y167" s="537">
        <v>44251</v>
      </c>
      <c r="Z167" s="537">
        <v>44252</v>
      </c>
      <c r="AA167" s="537">
        <f>Y167+25</f>
        <v>44276</v>
      </c>
      <c r="AB167" s="537">
        <v>44459</v>
      </c>
      <c r="AC167" s="1102"/>
    </row>
    <row r="168" spans="1:31" ht="45">
      <c r="A168" s="537">
        <v>44203</v>
      </c>
      <c r="B168" s="491" t="s">
        <v>8141</v>
      </c>
      <c r="C168" s="491" t="s">
        <v>2434</v>
      </c>
      <c r="D168" s="491" t="s">
        <v>219</v>
      </c>
      <c r="E168" s="571" t="s">
        <v>8142</v>
      </c>
      <c r="F168" s="491"/>
      <c r="G168" s="495"/>
      <c r="H168" s="491"/>
      <c r="I168" s="491" t="s">
        <v>8143</v>
      </c>
      <c r="J168" s="491"/>
      <c r="K168" s="536">
        <v>3702123.85</v>
      </c>
      <c r="L168" s="491" t="s">
        <v>251</v>
      </c>
      <c r="M168" s="537">
        <v>44235</v>
      </c>
      <c r="N168" s="537">
        <v>44267</v>
      </c>
      <c r="O168" s="537">
        <v>44292</v>
      </c>
      <c r="P168" s="495" t="s">
        <v>993</v>
      </c>
      <c r="Q168" s="491"/>
      <c r="R168" s="536">
        <v>3640015</v>
      </c>
      <c r="S168" s="536">
        <v>4192637.05</v>
      </c>
      <c r="T168" s="1471"/>
      <c r="U168" s="1471"/>
      <c r="V168" s="1471"/>
      <c r="W168" s="573">
        <v>44292</v>
      </c>
      <c r="X168" s="1375" t="s">
        <v>8539</v>
      </c>
      <c r="Y168" s="537">
        <v>44320</v>
      </c>
      <c r="Z168" s="537">
        <v>44333</v>
      </c>
      <c r="AA168" s="537">
        <v>45415</v>
      </c>
      <c r="AB168" s="537">
        <v>44641</v>
      </c>
      <c r="AC168" s="1374">
        <v>2022</v>
      </c>
      <c r="AD168" s="388">
        <v>2023</v>
      </c>
      <c r="AE168" s="388" t="s">
        <v>8871</v>
      </c>
    </row>
    <row r="169" spans="1:31">
      <c r="A169" s="537">
        <v>44210</v>
      </c>
      <c r="B169" s="491" t="s">
        <v>8144</v>
      </c>
      <c r="C169" s="491" t="s">
        <v>2434</v>
      </c>
      <c r="D169" s="491" t="s">
        <v>219</v>
      </c>
      <c r="E169" s="571" t="s">
        <v>8145</v>
      </c>
      <c r="F169" s="491"/>
      <c r="G169" s="495"/>
      <c r="H169" s="491"/>
      <c r="I169" s="491" t="s">
        <v>3890</v>
      </c>
      <c r="J169" s="491"/>
      <c r="K169" s="536">
        <v>1553400</v>
      </c>
      <c r="L169" s="491" t="s">
        <v>112</v>
      </c>
      <c r="M169" s="537">
        <v>44216</v>
      </c>
      <c r="N169" s="537">
        <v>44224</v>
      </c>
      <c r="O169" s="537">
        <v>44228</v>
      </c>
      <c r="P169" s="495" t="s">
        <v>3154</v>
      </c>
      <c r="Q169" s="491"/>
      <c r="R169" s="536">
        <v>1553400</v>
      </c>
      <c r="S169" s="536">
        <v>1786410</v>
      </c>
      <c r="T169" s="1471"/>
      <c r="U169" s="1471"/>
      <c r="V169" s="1471"/>
      <c r="W169" s="573">
        <v>44228</v>
      </c>
      <c r="X169" s="536" t="s">
        <v>8195</v>
      </c>
      <c r="Y169" s="537">
        <v>44252</v>
      </c>
      <c r="Z169" s="537">
        <v>44253</v>
      </c>
      <c r="AA169" s="537">
        <v>44981</v>
      </c>
      <c r="AB169" s="537">
        <v>44641</v>
      </c>
      <c r="AC169" s="1374">
        <v>2022</v>
      </c>
      <c r="AD169" s="388" t="s">
        <v>8371</v>
      </c>
    </row>
    <row r="170" spans="1:31">
      <c r="A170" s="537">
        <v>44210</v>
      </c>
      <c r="B170" s="491" t="s">
        <v>8149</v>
      </c>
      <c r="C170" s="491" t="s">
        <v>2434</v>
      </c>
      <c r="D170" s="491" t="s">
        <v>219</v>
      </c>
      <c r="E170" s="571" t="s">
        <v>8150</v>
      </c>
      <c r="F170" s="491"/>
      <c r="G170" s="495"/>
      <c r="H170" s="491"/>
      <c r="I170" s="491" t="s">
        <v>642</v>
      </c>
      <c r="J170" s="491"/>
      <c r="K170" s="536">
        <v>1950000</v>
      </c>
      <c r="L170" s="491" t="s">
        <v>216</v>
      </c>
      <c r="M170" s="537">
        <v>44216</v>
      </c>
      <c r="N170" s="537">
        <v>44232</v>
      </c>
      <c r="O170" s="537">
        <v>44316</v>
      </c>
      <c r="P170" s="495" t="s">
        <v>8767</v>
      </c>
      <c r="Q170" s="491"/>
      <c r="R170" s="536">
        <v>3150000</v>
      </c>
      <c r="S170" s="536">
        <v>3813000</v>
      </c>
      <c r="T170" s="1471"/>
      <c r="U170" s="1471"/>
      <c r="V170" s="1471"/>
      <c r="W170" s="573">
        <v>44316</v>
      </c>
      <c r="X170" s="536" t="s">
        <v>8845</v>
      </c>
      <c r="Y170" s="537">
        <v>44349</v>
      </c>
      <c r="Z170" s="537">
        <v>44361</v>
      </c>
      <c r="AA170" s="537">
        <v>45444</v>
      </c>
      <c r="AB170" s="1525">
        <v>44845</v>
      </c>
      <c r="AC170" s="1102"/>
    </row>
    <row r="171" spans="1:31">
      <c r="A171" s="537">
        <v>44216</v>
      </c>
      <c r="B171" s="491" t="s">
        <v>8157</v>
      </c>
      <c r="C171" s="491" t="s">
        <v>52</v>
      </c>
      <c r="D171" s="491" t="s">
        <v>3089</v>
      </c>
      <c r="E171" s="571" t="s">
        <v>8158</v>
      </c>
      <c r="F171" s="491"/>
      <c r="G171" s="495"/>
      <c r="H171" s="491"/>
      <c r="I171" s="491" t="s">
        <v>332</v>
      </c>
      <c r="J171" s="491" t="s">
        <v>8159</v>
      </c>
      <c r="K171" s="536">
        <v>800000</v>
      </c>
      <c r="L171" s="491" t="s">
        <v>112</v>
      </c>
      <c r="M171" s="537">
        <v>44221</v>
      </c>
      <c r="N171" s="537">
        <v>44236</v>
      </c>
      <c r="O171" s="537">
        <v>44249</v>
      </c>
      <c r="P171" s="495" t="s">
        <v>8304</v>
      </c>
      <c r="Q171" s="491"/>
      <c r="R171" s="536">
        <v>767000</v>
      </c>
      <c r="S171" s="536">
        <v>928070</v>
      </c>
      <c r="T171" s="1471"/>
      <c r="U171" s="1471"/>
      <c r="V171" s="1471"/>
      <c r="W171" s="573">
        <v>44249</v>
      </c>
      <c r="X171" s="536" t="s">
        <v>8305</v>
      </c>
      <c r="Y171" s="537">
        <v>44267</v>
      </c>
      <c r="Z171" s="537">
        <v>44270</v>
      </c>
      <c r="AA171" s="537">
        <f>Y171+60</f>
        <v>44327</v>
      </c>
      <c r="AB171" s="537">
        <v>44795</v>
      </c>
      <c r="AC171" s="1102"/>
    </row>
    <row r="172" spans="1:31" ht="30.75" thickBot="1">
      <c r="A172" s="411" t="s">
        <v>3585</v>
      </c>
      <c r="B172" s="411" t="s">
        <v>8160</v>
      </c>
      <c r="C172" s="411" t="s">
        <v>2434</v>
      </c>
      <c r="D172" s="232" t="s">
        <v>3204</v>
      </c>
      <c r="E172" s="274" t="s">
        <v>7941</v>
      </c>
      <c r="F172" s="232"/>
      <c r="G172" s="669"/>
      <c r="H172" s="232"/>
      <c r="I172" s="232" t="s">
        <v>642</v>
      </c>
      <c r="J172" s="232"/>
      <c r="K172" s="499">
        <v>5785125</v>
      </c>
      <c r="L172" s="232" t="s">
        <v>251</v>
      </c>
      <c r="M172" s="416">
        <v>44221</v>
      </c>
      <c r="N172" s="416">
        <v>44253</v>
      </c>
      <c r="O172" s="416">
        <v>44265</v>
      </c>
      <c r="P172" s="630" t="s">
        <v>2973</v>
      </c>
      <c r="Q172" s="411"/>
      <c r="R172" s="417">
        <v>5785125</v>
      </c>
      <c r="S172" s="417">
        <v>7000000</v>
      </c>
      <c r="T172" s="1480"/>
      <c r="U172" s="1480"/>
      <c r="V172" s="1480"/>
      <c r="W172" s="513">
        <v>44265</v>
      </c>
      <c r="X172" s="1553" t="s">
        <v>8421</v>
      </c>
      <c r="Y172" s="416">
        <v>44298</v>
      </c>
      <c r="Z172" s="416">
        <v>44307</v>
      </c>
      <c r="AA172" s="416">
        <v>45393</v>
      </c>
      <c r="AB172" s="416">
        <v>44641</v>
      </c>
      <c r="AC172" s="422">
        <v>2022</v>
      </c>
      <c r="AD172" s="388">
        <v>2023</v>
      </c>
      <c r="AE172" s="388" t="s">
        <v>8575</v>
      </c>
    </row>
    <row r="173" spans="1:31" ht="45.75" thickTop="1">
      <c r="A173" s="474">
        <v>44217</v>
      </c>
      <c r="B173" s="453" t="s">
        <v>8162</v>
      </c>
      <c r="C173" s="453" t="s">
        <v>2434</v>
      </c>
      <c r="D173" s="453" t="s">
        <v>751</v>
      </c>
      <c r="E173" s="473" t="s">
        <v>8164</v>
      </c>
      <c r="F173" s="453">
        <v>1</v>
      </c>
      <c r="G173" s="1420" t="s">
        <v>8166</v>
      </c>
      <c r="H173" s="453"/>
      <c r="I173" s="453" t="s">
        <v>2800</v>
      </c>
      <c r="J173" s="453"/>
      <c r="K173" s="457">
        <v>36046000</v>
      </c>
      <c r="L173" s="453" t="s">
        <v>251</v>
      </c>
      <c r="M173" s="474">
        <v>44237</v>
      </c>
      <c r="N173" s="474">
        <v>44274</v>
      </c>
      <c r="O173" s="474">
        <v>44298</v>
      </c>
      <c r="P173" s="1420" t="s">
        <v>8465</v>
      </c>
      <c r="Q173" s="453"/>
      <c r="R173" s="457">
        <v>33949850.399999999</v>
      </c>
      <c r="S173" s="457">
        <f>R173*1.15</f>
        <v>39042327.959999993</v>
      </c>
      <c r="T173" s="1474"/>
      <c r="U173" s="1474"/>
      <c r="V173" s="1474"/>
      <c r="W173" s="570">
        <v>44299</v>
      </c>
      <c r="X173" s="1387" t="s">
        <v>8582</v>
      </c>
      <c r="Y173" s="474">
        <v>44362</v>
      </c>
      <c r="Z173" s="474">
        <v>44371</v>
      </c>
      <c r="AA173" s="474">
        <v>45457</v>
      </c>
      <c r="AB173" s="474">
        <v>44641</v>
      </c>
      <c r="AC173" s="1391">
        <v>2022</v>
      </c>
      <c r="AD173" s="1391">
        <v>2023</v>
      </c>
      <c r="AE173" s="1391" t="s">
        <v>9202</v>
      </c>
    </row>
    <row r="174" spans="1:31" ht="45">
      <c r="A174" s="2140">
        <v>44217</v>
      </c>
      <c r="B174" s="2141" t="s">
        <v>8162</v>
      </c>
      <c r="C174" s="2141" t="s">
        <v>2434</v>
      </c>
      <c r="D174" s="2141" t="s">
        <v>751</v>
      </c>
      <c r="E174" s="2142" t="s">
        <v>8164</v>
      </c>
      <c r="F174" s="2141">
        <v>2</v>
      </c>
      <c r="G174" s="2143" t="s">
        <v>8167</v>
      </c>
      <c r="H174" s="2141"/>
      <c r="I174" s="2141" t="s">
        <v>2800</v>
      </c>
      <c r="J174" s="2141"/>
      <c r="K174" s="2144">
        <v>7960000</v>
      </c>
      <c r="L174" s="2141" t="s">
        <v>251</v>
      </c>
      <c r="M174" s="2140">
        <v>44237</v>
      </c>
      <c r="N174" s="2140">
        <v>44274</v>
      </c>
      <c r="O174" s="2140">
        <v>44298</v>
      </c>
      <c r="P174" s="2143" t="s">
        <v>8465</v>
      </c>
      <c r="Q174" s="2141"/>
      <c r="R174" s="2144">
        <v>7617500</v>
      </c>
      <c r="S174" s="2144">
        <f>R174*1.15</f>
        <v>8760125</v>
      </c>
      <c r="T174" s="2145"/>
      <c r="U174" s="2145"/>
      <c r="V174" s="2145"/>
      <c r="W174" s="2146">
        <v>44299</v>
      </c>
      <c r="X174" s="2260" t="s">
        <v>8583</v>
      </c>
      <c r="Y174" s="2140">
        <v>44362</v>
      </c>
      <c r="Z174" s="2140">
        <v>44371</v>
      </c>
      <c r="AA174" s="2140">
        <v>45457</v>
      </c>
      <c r="AB174" s="2140">
        <v>44641</v>
      </c>
      <c r="AC174" s="2109">
        <v>2022</v>
      </c>
      <c r="AD174" s="2109">
        <v>2023</v>
      </c>
      <c r="AE174" s="2109" t="s">
        <v>9202</v>
      </c>
    </row>
    <row r="175" spans="1:31" ht="45">
      <c r="A175" s="2140">
        <v>44217</v>
      </c>
      <c r="B175" s="2141" t="s">
        <v>8162</v>
      </c>
      <c r="C175" s="2141" t="s">
        <v>2434</v>
      </c>
      <c r="D175" s="2141" t="s">
        <v>751</v>
      </c>
      <c r="E175" s="2142" t="s">
        <v>8164</v>
      </c>
      <c r="F175" s="2141">
        <v>3</v>
      </c>
      <c r="G175" s="2143" t="s">
        <v>8163</v>
      </c>
      <c r="H175" s="2141"/>
      <c r="I175" s="2141" t="s">
        <v>2800</v>
      </c>
      <c r="J175" s="2141"/>
      <c r="K175" s="2144">
        <v>19255000</v>
      </c>
      <c r="L175" s="2141" t="s">
        <v>251</v>
      </c>
      <c r="M175" s="2140">
        <v>44237</v>
      </c>
      <c r="N175" s="2140">
        <v>44274</v>
      </c>
      <c r="O175" s="2140">
        <v>44298</v>
      </c>
      <c r="P175" s="2143" t="s">
        <v>8465</v>
      </c>
      <c r="Q175" s="2141"/>
      <c r="R175" s="2144">
        <v>18885000</v>
      </c>
      <c r="S175" s="2144">
        <f>R175*1.15</f>
        <v>21717750</v>
      </c>
      <c r="T175" s="2145"/>
      <c r="U175" s="2145"/>
      <c r="V175" s="2145"/>
      <c r="W175" s="2146">
        <v>44299</v>
      </c>
      <c r="X175" s="2260" t="s">
        <v>8584</v>
      </c>
      <c r="Y175" s="2140">
        <v>44362</v>
      </c>
      <c r="Z175" s="2140">
        <v>44371</v>
      </c>
      <c r="AA175" s="2140">
        <v>45457</v>
      </c>
      <c r="AB175" s="2140">
        <v>44641</v>
      </c>
      <c r="AC175" s="2109">
        <v>2022</v>
      </c>
      <c r="AD175" s="2109">
        <v>2023</v>
      </c>
      <c r="AE175" s="2109" t="s">
        <v>9202</v>
      </c>
    </row>
    <row r="176" spans="1:31" ht="45.75" thickBot="1">
      <c r="A176" s="2117">
        <v>44217</v>
      </c>
      <c r="B176" s="2118" t="s">
        <v>8162</v>
      </c>
      <c r="C176" s="2118" t="s">
        <v>2434</v>
      </c>
      <c r="D176" s="2118" t="s">
        <v>751</v>
      </c>
      <c r="E176" s="2119" t="s">
        <v>8164</v>
      </c>
      <c r="F176" s="2118">
        <v>4</v>
      </c>
      <c r="G176" s="2120" t="s">
        <v>8165</v>
      </c>
      <c r="H176" s="2118"/>
      <c r="I176" s="2118" t="s">
        <v>2800</v>
      </c>
      <c r="J176" s="2118"/>
      <c r="K176" s="2121">
        <v>900000</v>
      </c>
      <c r="L176" s="2118" t="s">
        <v>251</v>
      </c>
      <c r="M176" s="2117">
        <v>44237</v>
      </c>
      <c r="N176" s="2117">
        <v>44274</v>
      </c>
      <c r="O176" s="2117">
        <v>44298</v>
      </c>
      <c r="P176" s="2120" t="s">
        <v>993</v>
      </c>
      <c r="Q176" s="2118"/>
      <c r="R176" s="2121">
        <v>750000</v>
      </c>
      <c r="S176" s="2121">
        <f>R176*1.15</f>
        <v>862499.99999999988</v>
      </c>
      <c r="T176" s="2122"/>
      <c r="U176" s="2122"/>
      <c r="V176" s="2122"/>
      <c r="W176" s="2123">
        <v>44299</v>
      </c>
      <c r="X176" s="2246" t="s">
        <v>8585</v>
      </c>
      <c r="Y176" s="2117">
        <v>44326</v>
      </c>
      <c r="Z176" s="2117">
        <v>44355</v>
      </c>
      <c r="AA176" s="2117">
        <v>45421</v>
      </c>
      <c r="AB176" s="2118" t="s">
        <v>11373</v>
      </c>
      <c r="AC176" s="2110">
        <v>2022</v>
      </c>
      <c r="AD176" s="2110">
        <v>2023</v>
      </c>
      <c r="AE176" s="2110" t="s">
        <v>8927</v>
      </c>
    </row>
    <row r="177" spans="1:33" ht="15.75" thickTop="1">
      <c r="A177" s="365">
        <v>44218</v>
      </c>
      <c r="B177" s="2282" t="s">
        <v>8172</v>
      </c>
      <c r="C177" s="2282" t="s">
        <v>2434</v>
      </c>
      <c r="D177" s="2282" t="s">
        <v>219</v>
      </c>
      <c r="E177" s="175" t="s">
        <v>3382</v>
      </c>
      <c r="F177" s="2282"/>
      <c r="G177" s="2283"/>
      <c r="H177" s="2282"/>
      <c r="I177" s="2282" t="s">
        <v>642</v>
      </c>
      <c r="J177" s="2282"/>
      <c r="K177" s="364">
        <v>764400</v>
      </c>
      <c r="L177" s="2282" t="s">
        <v>112</v>
      </c>
      <c r="M177" s="365">
        <v>44222</v>
      </c>
      <c r="N177" s="365">
        <v>44231</v>
      </c>
      <c r="O177" s="365">
        <v>44249</v>
      </c>
      <c r="P177" s="2283" t="s">
        <v>6763</v>
      </c>
      <c r="Q177" s="2282"/>
      <c r="R177" s="364">
        <v>764400</v>
      </c>
      <c r="S177" s="364">
        <v>924924</v>
      </c>
      <c r="T177" s="1473"/>
      <c r="U177" s="1473"/>
      <c r="V177" s="1473"/>
      <c r="W177" s="681">
        <v>44249</v>
      </c>
      <c r="X177" s="364" t="s">
        <v>8315</v>
      </c>
      <c r="Y177" s="365">
        <v>44265</v>
      </c>
      <c r="Z177" s="365">
        <v>44267</v>
      </c>
      <c r="AA177" s="365">
        <v>44994</v>
      </c>
      <c r="AB177" s="365">
        <v>44641</v>
      </c>
      <c r="AC177" s="451">
        <v>2022</v>
      </c>
      <c r="AD177" s="388" t="s">
        <v>8422</v>
      </c>
    </row>
    <row r="178" spans="1:33" ht="45.75" thickBot="1">
      <c r="A178" s="416">
        <v>44221</v>
      </c>
      <c r="B178" s="411" t="s">
        <v>8174</v>
      </c>
      <c r="C178" s="411" t="s">
        <v>9694</v>
      </c>
      <c r="D178" s="411" t="s">
        <v>2684</v>
      </c>
      <c r="E178" s="412" t="s">
        <v>8175</v>
      </c>
      <c r="F178" s="411"/>
      <c r="G178" s="630"/>
      <c r="H178" s="411"/>
      <c r="I178" s="411" t="s">
        <v>3956</v>
      </c>
      <c r="J178" s="411" t="s">
        <v>8176</v>
      </c>
      <c r="K178" s="417">
        <v>26070000</v>
      </c>
      <c r="L178" s="411" t="s">
        <v>251</v>
      </c>
      <c r="M178" s="416">
        <v>44223</v>
      </c>
      <c r="N178" s="416">
        <v>44259</v>
      </c>
      <c r="O178" s="416">
        <v>44270</v>
      </c>
      <c r="P178" s="630" t="s">
        <v>4409</v>
      </c>
      <c r="Q178" s="411"/>
      <c r="R178" s="417">
        <v>26069957.5</v>
      </c>
      <c r="S178" s="417">
        <v>31544648.579999998</v>
      </c>
      <c r="T178" s="1480"/>
      <c r="U178" s="1480"/>
      <c r="V178" s="1480"/>
      <c r="W178" s="513">
        <v>44271</v>
      </c>
      <c r="X178" s="1553" t="s">
        <v>8439</v>
      </c>
      <c r="Y178" s="416">
        <v>44309</v>
      </c>
      <c r="Z178" s="416">
        <v>44319</v>
      </c>
      <c r="AA178" s="416">
        <v>44379</v>
      </c>
      <c r="AB178" s="416">
        <v>44438</v>
      </c>
      <c r="AC178" s="422" t="s">
        <v>4137</v>
      </c>
    </row>
    <row r="179" spans="1:33" ht="15.75" thickTop="1">
      <c r="A179" s="474">
        <v>44218</v>
      </c>
      <c r="B179" s="453" t="s">
        <v>8177</v>
      </c>
      <c r="C179" s="453" t="s">
        <v>2434</v>
      </c>
      <c r="D179" s="453" t="s">
        <v>219</v>
      </c>
      <c r="E179" s="473" t="s">
        <v>8437</v>
      </c>
      <c r="F179" s="453">
        <v>1</v>
      </c>
      <c r="G179" s="1420" t="s">
        <v>8180</v>
      </c>
      <c r="H179" s="453"/>
      <c r="I179" s="453" t="s">
        <v>642</v>
      </c>
      <c r="J179" s="453"/>
      <c r="K179" s="457">
        <v>331200</v>
      </c>
      <c r="L179" s="453" t="s">
        <v>112</v>
      </c>
      <c r="M179" s="474">
        <v>44223</v>
      </c>
      <c r="N179" s="474">
        <v>44232</v>
      </c>
      <c r="O179" s="474">
        <v>44249</v>
      </c>
      <c r="P179" s="1420" t="s">
        <v>1433</v>
      </c>
      <c r="Q179" s="453"/>
      <c r="R179" s="457">
        <v>331200</v>
      </c>
      <c r="S179" s="457">
        <v>400752</v>
      </c>
      <c r="T179" s="1474"/>
      <c r="U179" s="1474"/>
      <c r="V179" s="1474"/>
      <c r="W179" s="570">
        <v>44250</v>
      </c>
      <c r="X179" s="457" t="s">
        <v>8320</v>
      </c>
      <c r="Y179" s="474">
        <v>44270</v>
      </c>
      <c r="Z179" s="474">
        <v>44274</v>
      </c>
      <c r="AA179" s="474">
        <v>44999</v>
      </c>
      <c r="AB179" s="474">
        <v>44642</v>
      </c>
      <c r="AC179" s="1391">
        <v>2022</v>
      </c>
      <c r="AD179" s="388" t="s">
        <v>8436</v>
      </c>
    </row>
    <row r="180" spans="1:33" ht="15.75" thickBot="1">
      <c r="A180" s="2117">
        <v>44218</v>
      </c>
      <c r="B180" s="2118" t="s">
        <v>8177</v>
      </c>
      <c r="C180" s="2118" t="s">
        <v>2434</v>
      </c>
      <c r="D180" s="2118" t="s">
        <v>219</v>
      </c>
      <c r="E180" s="2119" t="s">
        <v>8437</v>
      </c>
      <c r="F180" s="2118">
        <v>2</v>
      </c>
      <c r="G180" s="2120" t="s">
        <v>8181</v>
      </c>
      <c r="H180" s="2118"/>
      <c r="I180" s="2118" t="s">
        <v>642</v>
      </c>
      <c r="J180" s="2118"/>
      <c r="K180" s="2121">
        <v>542640</v>
      </c>
      <c r="L180" s="2118" t="s">
        <v>112</v>
      </c>
      <c r="M180" s="2117">
        <v>44223</v>
      </c>
      <c r="N180" s="2117">
        <v>44232</v>
      </c>
      <c r="O180" s="2117">
        <v>44249</v>
      </c>
      <c r="P180" s="2120" t="s">
        <v>6763</v>
      </c>
      <c r="Q180" s="2118"/>
      <c r="R180" s="2121">
        <v>542640</v>
      </c>
      <c r="S180" s="2121">
        <v>656594</v>
      </c>
      <c r="T180" s="2122"/>
      <c r="U180" s="2122"/>
      <c r="V180" s="2122"/>
      <c r="W180" s="2123">
        <v>44250</v>
      </c>
      <c r="X180" s="2121" t="s">
        <v>8321</v>
      </c>
      <c r="Y180" s="2117">
        <v>44278</v>
      </c>
      <c r="Z180" s="2117">
        <v>44279</v>
      </c>
      <c r="AA180" s="2117">
        <v>45007</v>
      </c>
      <c r="AB180" s="416">
        <v>44642</v>
      </c>
      <c r="AC180" s="422">
        <v>2022</v>
      </c>
      <c r="AD180" s="388" t="s">
        <v>8484</v>
      </c>
    </row>
    <row r="181" spans="1:33" ht="30.75" thickTop="1">
      <c r="A181" s="2282" t="s">
        <v>3585</v>
      </c>
      <c r="B181" s="2282" t="s">
        <v>8182</v>
      </c>
      <c r="C181" s="2282" t="s">
        <v>2434</v>
      </c>
      <c r="D181" s="2282" t="s">
        <v>751</v>
      </c>
      <c r="E181" s="166" t="s">
        <v>8245</v>
      </c>
      <c r="F181" s="2282">
        <v>1</v>
      </c>
      <c r="G181" s="661" t="s">
        <v>8242</v>
      </c>
      <c r="H181" s="2282"/>
      <c r="I181" s="2282" t="s">
        <v>3890</v>
      </c>
      <c r="J181" s="2282"/>
      <c r="K181" s="364">
        <v>188928000</v>
      </c>
      <c r="L181" s="2282" t="s">
        <v>251</v>
      </c>
      <c r="M181" s="365">
        <v>44239</v>
      </c>
      <c r="N181" s="365">
        <v>44312</v>
      </c>
      <c r="O181" s="365">
        <v>44351</v>
      </c>
      <c r="P181" s="2283" t="s">
        <v>3478</v>
      </c>
      <c r="Q181" s="2282"/>
      <c r="R181" s="364">
        <v>188915700</v>
      </c>
      <c r="S181" s="364">
        <v>228587997</v>
      </c>
      <c r="T181" s="1473"/>
      <c r="U181" s="1473"/>
      <c r="V181" s="1473"/>
      <c r="W181" s="681">
        <v>44351</v>
      </c>
      <c r="X181" s="1417" t="s">
        <v>9119</v>
      </c>
      <c r="Y181" s="365">
        <v>44391</v>
      </c>
      <c r="Z181" s="365">
        <v>44405</v>
      </c>
      <c r="AA181" s="365">
        <v>45851</v>
      </c>
      <c r="AB181" s="2140">
        <v>44642</v>
      </c>
      <c r="AC181" s="2109">
        <v>2022</v>
      </c>
      <c r="AD181" s="2109">
        <v>2023</v>
      </c>
      <c r="AE181" s="2109">
        <v>2024</v>
      </c>
      <c r="AF181" s="2109" t="s">
        <v>9358</v>
      </c>
    </row>
    <row r="182" spans="1:33" ht="30">
      <c r="A182" s="2282" t="s">
        <v>3585</v>
      </c>
      <c r="B182" s="2282" t="s">
        <v>8182</v>
      </c>
      <c r="C182" s="2282" t="s">
        <v>2434</v>
      </c>
      <c r="D182" s="2282" t="s">
        <v>751</v>
      </c>
      <c r="E182" s="166" t="s">
        <v>8244</v>
      </c>
      <c r="F182" s="2282">
        <v>2</v>
      </c>
      <c r="G182" s="661" t="s">
        <v>8243</v>
      </c>
      <c r="H182" s="2282"/>
      <c r="I182" s="2282" t="s">
        <v>3890</v>
      </c>
      <c r="J182" s="2282"/>
      <c r="K182" s="364">
        <v>44550000</v>
      </c>
      <c r="L182" s="2282" t="s">
        <v>251</v>
      </c>
      <c r="M182" s="365">
        <v>44239</v>
      </c>
      <c r="N182" s="365">
        <v>44312</v>
      </c>
      <c r="O182" s="365">
        <v>44351</v>
      </c>
      <c r="P182" s="2283" t="s">
        <v>3478</v>
      </c>
      <c r="Q182" s="2282"/>
      <c r="R182" s="364">
        <v>44550000</v>
      </c>
      <c r="S182" s="364">
        <v>53905500</v>
      </c>
      <c r="T182" s="1473"/>
      <c r="U182" s="1473"/>
      <c r="V182" s="1473"/>
      <c r="W182" s="681">
        <v>44351</v>
      </c>
      <c r="X182" s="1417" t="s">
        <v>9120</v>
      </c>
      <c r="Y182" s="365">
        <v>44391</v>
      </c>
      <c r="Z182" s="365">
        <v>44405</v>
      </c>
      <c r="AA182" s="365">
        <v>45851</v>
      </c>
      <c r="AB182" s="2140">
        <v>44642</v>
      </c>
      <c r="AC182" s="2109">
        <v>2022</v>
      </c>
      <c r="AD182" s="2109">
        <v>2023</v>
      </c>
      <c r="AE182" s="2109">
        <v>2024</v>
      </c>
      <c r="AF182" s="2109" t="s">
        <v>9358</v>
      </c>
    </row>
    <row r="183" spans="1:33" ht="30">
      <c r="A183" s="466" t="s">
        <v>3585</v>
      </c>
      <c r="B183" s="466" t="s">
        <v>8182</v>
      </c>
      <c r="C183" s="466" t="s">
        <v>2434</v>
      </c>
      <c r="D183" s="466" t="s">
        <v>751</v>
      </c>
      <c r="E183" s="2248" t="s">
        <v>8244</v>
      </c>
      <c r="F183" s="466">
        <v>3</v>
      </c>
      <c r="G183" s="2249" t="s">
        <v>9078</v>
      </c>
      <c r="H183" s="466"/>
      <c r="I183" s="466" t="s">
        <v>3890</v>
      </c>
      <c r="J183" s="466"/>
      <c r="K183" s="472">
        <v>29719080</v>
      </c>
      <c r="L183" s="466" t="s">
        <v>251</v>
      </c>
      <c r="M183" s="470">
        <v>44239</v>
      </c>
      <c r="N183" s="470">
        <v>44340</v>
      </c>
      <c r="O183" s="466"/>
      <c r="P183" s="471" t="s">
        <v>304</v>
      </c>
      <c r="Q183" s="2014" t="s">
        <v>9075</v>
      </c>
      <c r="R183" s="472"/>
      <c r="S183" s="472"/>
      <c r="T183" s="1516"/>
      <c r="U183" s="1516"/>
      <c r="V183" s="1516"/>
      <c r="W183" s="472"/>
      <c r="X183" s="472"/>
      <c r="Y183" s="466"/>
      <c r="Z183" s="470">
        <v>44347</v>
      </c>
      <c r="AA183" s="466" t="s">
        <v>9052</v>
      </c>
      <c r="AB183" s="466"/>
      <c r="AC183" s="466"/>
    </row>
    <row r="184" spans="1:33">
      <c r="A184" s="537">
        <v>44222</v>
      </c>
      <c r="B184" s="491" t="s">
        <v>8185</v>
      </c>
      <c r="C184" s="491" t="s">
        <v>52</v>
      </c>
      <c r="D184" s="491" t="s">
        <v>7503</v>
      </c>
      <c r="E184" s="571" t="s">
        <v>8187</v>
      </c>
      <c r="F184" s="491"/>
      <c r="G184" s="495"/>
      <c r="H184" s="491"/>
      <c r="I184" s="491" t="s">
        <v>332</v>
      </c>
      <c r="J184" s="537" t="s">
        <v>8186</v>
      </c>
      <c r="K184" s="536">
        <v>850000</v>
      </c>
      <c r="L184" s="491" t="s">
        <v>112</v>
      </c>
      <c r="M184" s="537">
        <v>44230</v>
      </c>
      <c r="N184" s="537">
        <v>44243</v>
      </c>
      <c r="O184" s="537">
        <v>44253</v>
      </c>
      <c r="P184" s="495" t="s">
        <v>8304</v>
      </c>
      <c r="Q184" s="491"/>
      <c r="R184" s="536">
        <v>1047000</v>
      </c>
      <c r="S184" s="536">
        <v>1266870</v>
      </c>
      <c r="T184" s="1471"/>
      <c r="U184" s="1471"/>
      <c r="V184" s="1471"/>
      <c r="W184" s="573">
        <v>44253</v>
      </c>
      <c r="X184" s="536" t="s">
        <v>8374</v>
      </c>
      <c r="Y184" s="537">
        <v>44267</v>
      </c>
      <c r="Z184" s="537">
        <v>44270</v>
      </c>
      <c r="AA184" s="537">
        <f>Y184+120</f>
        <v>44387</v>
      </c>
      <c r="AB184" s="537">
        <v>44865</v>
      </c>
      <c r="AC184" s="1102"/>
    </row>
    <row r="185" spans="1:33" ht="45">
      <c r="A185" s="2140">
        <v>44238</v>
      </c>
      <c r="B185" s="2141" t="s">
        <v>8281</v>
      </c>
      <c r="C185" s="2141" t="s">
        <v>8282</v>
      </c>
      <c r="D185" s="2141" t="s">
        <v>8283</v>
      </c>
      <c r="E185" s="2142" t="s">
        <v>8284</v>
      </c>
      <c r="F185" s="2141"/>
      <c r="G185" s="2143"/>
      <c r="H185" s="2141"/>
      <c r="I185" s="2141" t="s">
        <v>1784</v>
      </c>
      <c r="J185" s="2140"/>
      <c r="K185" s="2144">
        <v>1950000</v>
      </c>
      <c r="L185" s="2141" t="s">
        <v>112</v>
      </c>
      <c r="M185" s="2140">
        <v>44251</v>
      </c>
      <c r="N185" s="2140">
        <v>44260</v>
      </c>
      <c r="O185" s="2140">
        <v>44354</v>
      </c>
      <c r="P185" s="2143" t="s">
        <v>3222</v>
      </c>
      <c r="Q185" s="2141"/>
      <c r="R185" s="2144">
        <v>1842000</v>
      </c>
      <c r="S185" s="2144">
        <v>2228820</v>
      </c>
      <c r="T185" s="2145"/>
      <c r="U185" s="2145"/>
      <c r="V185" s="2145"/>
      <c r="W185" s="2146">
        <v>44354</v>
      </c>
      <c r="X185" s="2260" t="s">
        <v>9127</v>
      </c>
      <c r="Y185" s="2140">
        <v>44372</v>
      </c>
      <c r="Z185" s="2140">
        <v>44375</v>
      </c>
      <c r="AA185" s="2271" t="s">
        <v>9267</v>
      </c>
      <c r="AB185" s="2464">
        <v>44865</v>
      </c>
      <c r="AC185" s="2106"/>
    </row>
    <row r="186" spans="1:33">
      <c r="A186" s="537">
        <v>44222</v>
      </c>
      <c r="B186" s="491" t="s">
        <v>8188</v>
      </c>
      <c r="C186" s="491" t="s">
        <v>2111</v>
      </c>
      <c r="D186" s="491" t="s">
        <v>4440</v>
      </c>
      <c r="E186" s="571" t="s">
        <v>8189</v>
      </c>
      <c r="F186" s="491"/>
      <c r="G186" s="495"/>
      <c r="H186" s="491"/>
      <c r="I186" s="491" t="s">
        <v>2113</v>
      </c>
      <c r="J186" s="491"/>
      <c r="K186" s="536">
        <v>1400000</v>
      </c>
      <c r="L186" s="491" t="s">
        <v>112</v>
      </c>
      <c r="M186" s="537">
        <v>44224</v>
      </c>
      <c r="N186" s="537">
        <v>44239</v>
      </c>
      <c r="O186" s="537">
        <v>44245</v>
      </c>
      <c r="P186" s="495" t="s">
        <v>8277</v>
      </c>
      <c r="Q186" s="491"/>
      <c r="R186" s="536">
        <v>921700</v>
      </c>
      <c r="S186" s="536">
        <v>1115257</v>
      </c>
      <c r="T186" s="1471"/>
      <c r="U186" s="1471"/>
      <c r="V186" s="1471"/>
      <c r="W186" s="573">
        <v>44245</v>
      </c>
      <c r="X186" s="536" t="s">
        <v>8293</v>
      </c>
      <c r="Y186" s="537">
        <v>44274</v>
      </c>
      <c r="Z186" s="537">
        <v>44277</v>
      </c>
      <c r="AA186" s="491"/>
      <c r="AB186" s="537">
        <v>44473</v>
      </c>
      <c r="AC186" s="1102"/>
    </row>
    <row r="187" spans="1:33" ht="45">
      <c r="A187" s="537">
        <v>44218</v>
      </c>
      <c r="B187" s="491" t="s">
        <v>8193</v>
      </c>
      <c r="C187" s="491" t="s">
        <v>2434</v>
      </c>
      <c r="D187" s="491" t="s">
        <v>219</v>
      </c>
      <c r="E187" s="571" t="s">
        <v>3270</v>
      </c>
      <c r="F187" s="491"/>
      <c r="G187" s="495"/>
      <c r="H187" s="491"/>
      <c r="I187" s="491" t="s">
        <v>3271</v>
      </c>
      <c r="J187" s="491"/>
      <c r="K187" s="536">
        <v>9596059.4900000002</v>
      </c>
      <c r="L187" s="491" t="s">
        <v>251</v>
      </c>
      <c r="M187" s="537">
        <v>44230</v>
      </c>
      <c r="N187" s="537">
        <v>44263</v>
      </c>
      <c r="O187" s="537">
        <v>44272</v>
      </c>
      <c r="P187" s="495" t="s">
        <v>7136</v>
      </c>
      <c r="Q187" s="491"/>
      <c r="R187" s="536">
        <v>9595654</v>
      </c>
      <c r="S187" s="536">
        <v>11610741.34</v>
      </c>
      <c r="T187" s="1471"/>
      <c r="U187" s="1471"/>
      <c r="V187" s="1471"/>
      <c r="W187" s="573">
        <v>44272</v>
      </c>
      <c r="X187" s="1375" t="s">
        <v>8456</v>
      </c>
      <c r="Y187" s="537">
        <v>44312</v>
      </c>
      <c r="Z187" s="537">
        <v>44319</v>
      </c>
      <c r="AA187" s="537">
        <v>45041</v>
      </c>
      <c r="AB187" s="537">
        <v>44642</v>
      </c>
      <c r="AC187" s="1374">
        <v>2022</v>
      </c>
      <c r="AD187" s="388" t="s">
        <v>8811</v>
      </c>
    </row>
    <row r="188" spans="1:33">
      <c r="A188" s="537">
        <v>44228</v>
      </c>
      <c r="B188" s="491" t="s">
        <v>8201</v>
      </c>
      <c r="C188" s="491" t="s">
        <v>1450</v>
      </c>
      <c r="D188" s="491" t="s">
        <v>8202</v>
      </c>
      <c r="E188" s="571" t="s">
        <v>2359</v>
      </c>
      <c r="F188" s="491"/>
      <c r="G188" s="495"/>
      <c r="H188" s="491"/>
      <c r="I188" s="491" t="s">
        <v>237</v>
      </c>
      <c r="J188" s="491"/>
      <c r="K188" s="536">
        <v>200000</v>
      </c>
      <c r="L188" s="491" t="s">
        <v>112</v>
      </c>
      <c r="M188" s="537">
        <v>44230</v>
      </c>
      <c r="N188" s="537">
        <v>44238</v>
      </c>
      <c r="O188" s="537">
        <v>44245</v>
      </c>
      <c r="P188" s="495" t="s">
        <v>8288</v>
      </c>
      <c r="Q188" s="491"/>
      <c r="R188" s="536">
        <v>182000</v>
      </c>
      <c r="S188" s="536">
        <v>220220</v>
      </c>
      <c r="T188" s="1471"/>
      <c r="U188" s="1471"/>
      <c r="V188" s="1471"/>
      <c r="W188" s="573">
        <v>44245</v>
      </c>
      <c r="X188" s="536" t="s">
        <v>8291</v>
      </c>
      <c r="Y188" s="537">
        <v>44270</v>
      </c>
      <c r="Z188" s="537">
        <v>44271</v>
      </c>
      <c r="AA188" s="537">
        <f>Y188+90</f>
        <v>44360</v>
      </c>
      <c r="AB188" s="537">
        <v>44424</v>
      </c>
      <c r="AC188" s="1102"/>
    </row>
    <row r="189" spans="1:33">
      <c r="A189" s="537">
        <v>44229</v>
      </c>
      <c r="B189" s="491" t="s">
        <v>8203</v>
      </c>
      <c r="C189" s="491" t="s">
        <v>1032</v>
      </c>
      <c r="D189" s="491" t="s">
        <v>361</v>
      </c>
      <c r="E189" s="571" t="s">
        <v>8204</v>
      </c>
      <c r="F189" s="491"/>
      <c r="G189" s="495"/>
      <c r="H189" s="491"/>
      <c r="I189" s="491" t="s">
        <v>8205</v>
      </c>
      <c r="J189" s="491"/>
      <c r="K189" s="536">
        <v>350000</v>
      </c>
      <c r="L189" s="491" t="s">
        <v>112</v>
      </c>
      <c r="M189" s="537">
        <v>44252</v>
      </c>
      <c r="N189" s="537">
        <v>44265</v>
      </c>
      <c r="O189" s="537">
        <v>44278</v>
      </c>
      <c r="P189" s="495" t="s">
        <v>8457</v>
      </c>
      <c r="Q189" s="491"/>
      <c r="R189" s="536">
        <v>134845</v>
      </c>
      <c r="S189" s="536">
        <v>163162.45000000001</v>
      </c>
      <c r="T189" s="1471"/>
      <c r="U189" s="1471"/>
      <c r="V189" s="1471"/>
      <c r="W189" s="573">
        <v>44278</v>
      </c>
      <c r="X189" s="536" t="s">
        <v>8487</v>
      </c>
      <c r="Y189" s="537">
        <v>44307</v>
      </c>
      <c r="Z189" s="537">
        <v>44309</v>
      </c>
      <c r="AA189" s="537">
        <v>44468</v>
      </c>
      <c r="AB189" s="537">
        <v>44473</v>
      </c>
      <c r="AC189" s="1102"/>
    </row>
    <row r="190" spans="1:33" ht="45.75" thickBot="1">
      <c r="A190" s="416">
        <v>44217</v>
      </c>
      <c r="B190" s="411" t="s">
        <v>8208</v>
      </c>
      <c r="C190" s="411" t="s">
        <v>58</v>
      </c>
      <c r="D190" s="411" t="s">
        <v>2684</v>
      </c>
      <c r="E190" s="412" t="s">
        <v>8209</v>
      </c>
      <c r="F190" s="411"/>
      <c r="G190" s="630"/>
      <c r="H190" s="411"/>
      <c r="I190" s="411" t="s">
        <v>1159</v>
      </c>
      <c r="J190" s="411" t="s">
        <v>8210</v>
      </c>
      <c r="K190" s="417">
        <v>8400000</v>
      </c>
      <c r="L190" s="411" t="s">
        <v>251</v>
      </c>
      <c r="M190" s="416">
        <v>44253</v>
      </c>
      <c r="N190" s="416">
        <v>44361</v>
      </c>
      <c r="O190" s="416">
        <v>44391</v>
      </c>
      <c r="P190" s="630" t="s">
        <v>9342</v>
      </c>
      <c r="Q190" s="411"/>
      <c r="R190" s="417">
        <v>9080036</v>
      </c>
      <c r="S190" s="417">
        <v>10986843.560000001</v>
      </c>
      <c r="T190" s="1480"/>
      <c r="U190" s="1480"/>
      <c r="V190" s="1480"/>
      <c r="W190" s="513">
        <v>44398</v>
      </c>
      <c r="X190" s="1553" t="s">
        <v>9424</v>
      </c>
      <c r="Y190" s="416">
        <v>44431</v>
      </c>
      <c r="Z190" s="416">
        <v>44441</v>
      </c>
      <c r="AA190" s="416">
        <v>44606</v>
      </c>
      <c r="AB190" s="416">
        <v>44624</v>
      </c>
      <c r="AC190" s="422" t="s">
        <v>6118</v>
      </c>
    </row>
    <row r="191" spans="1:33" ht="45.75" thickTop="1">
      <c r="A191" s="453" t="s">
        <v>3585</v>
      </c>
      <c r="B191" s="453" t="s">
        <v>8213</v>
      </c>
      <c r="C191" s="453" t="s">
        <v>2434</v>
      </c>
      <c r="D191" s="453" t="s">
        <v>751</v>
      </c>
      <c r="E191" s="473" t="s">
        <v>8214</v>
      </c>
      <c r="F191" s="453">
        <v>1</v>
      </c>
      <c r="G191" s="2043" t="s">
        <v>3795</v>
      </c>
      <c r="H191" s="453"/>
      <c r="I191" s="453" t="s">
        <v>2866</v>
      </c>
      <c r="J191" s="453"/>
      <c r="K191" s="457">
        <v>38800000</v>
      </c>
      <c r="L191" s="453" t="s">
        <v>251</v>
      </c>
      <c r="M191" s="474">
        <v>44253</v>
      </c>
      <c r="N191" s="474">
        <v>44308</v>
      </c>
      <c r="O191" s="474">
        <v>44327</v>
      </c>
      <c r="P191" s="1420" t="s">
        <v>7928</v>
      </c>
      <c r="Q191" s="453"/>
      <c r="R191" s="457">
        <v>38794688</v>
      </c>
      <c r="S191" s="457">
        <v>44793519</v>
      </c>
      <c r="T191" s="1474"/>
      <c r="U191" s="1474"/>
      <c r="V191" s="1474"/>
      <c r="W191" s="570">
        <v>44328</v>
      </c>
      <c r="X191" s="1387" t="s">
        <v>8939</v>
      </c>
      <c r="Y191" s="474">
        <v>44349</v>
      </c>
      <c r="Z191" s="474">
        <v>44355</v>
      </c>
      <c r="AA191" s="453" t="s">
        <v>4096</v>
      </c>
      <c r="AB191" s="474">
        <v>44642</v>
      </c>
      <c r="AC191" s="1391">
        <v>2022</v>
      </c>
      <c r="AD191" s="388">
        <v>2023</v>
      </c>
      <c r="AE191" s="388">
        <v>2024</v>
      </c>
      <c r="AF191" s="388">
        <v>2025</v>
      </c>
      <c r="AG191" s="388" t="s">
        <v>4435</v>
      </c>
    </row>
    <row r="192" spans="1:33" ht="45">
      <c r="A192" s="2141" t="s">
        <v>3585</v>
      </c>
      <c r="B192" s="2141" t="s">
        <v>8213</v>
      </c>
      <c r="C192" s="2141" t="s">
        <v>2434</v>
      </c>
      <c r="D192" s="2141" t="s">
        <v>751</v>
      </c>
      <c r="E192" s="2142" t="s">
        <v>8214</v>
      </c>
      <c r="F192" s="2141">
        <v>2</v>
      </c>
      <c r="G192" s="2261" t="s">
        <v>8399</v>
      </c>
      <c r="H192" s="2141"/>
      <c r="I192" s="2141" t="s">
        <v>2866</v>
      </c>
      <c r="J192" s="2141"/>
      <c r="K192" s="2144">
        <v>7344000</v>
      </c>
      <c r="L192" s="2141" t="s">
        <v>251</v>
      </c>
      <c r="M192" s="2140">
        <v>44253</v>
      </c>
      <c r="N192" s="2140">
        <v>44308</v>
      </c>
      <c r="O192" s="2140">
        <v>44327</v>
      </c>
      <c r="P192" s="2143" t="s">
        <v>7928</v>
      </c>
      <c r="Q192" s="2141"/>
      <c r="R192" s="2144">
        <v>7340860.9199999999</v>
      </c>
      <c r="S192" s="2144">
        <v>8458339.5600000005</v>
      </c>
      <c r="T192" s="2145"/>
      <c r="U192" s="2145"/>
      <c r="V192" s="2145"/>
      <c r="W192" s="2146">
        <v>44328</v>
      </c>
      <c r="X192" s="2260" t="s">
        <v>8940</v>
      </c>
      <c r="Y192" s="2140">
        <v>44349</v>
      </c>
      <c r="Z192" s="2140">
        <v>44355</v>
      </c>
      <c r="AA192" s="2141" t="s">
        <v>4096</v>
      </c>
      <c r="AB192" s="2140">
        <v>44642</v>
      </c>
      <c r="AC192" s="2109">
        <v>2022</v>
      </c>
      <c r="AD192" s="388">
        <v>2023</v>
      </c>
      <c r="AE192" s="388">
        <v>2024</v>
      </c>
      <c r="AF192" s="388">
        <v>2025</v>
      </c>
      <c r="AG192" s="388" t="s">
        <v>4435</v>
      </c>
    </row>
    <row r="193" spans="1:33" ht="45.75" thickBot="1">
      <c r="A193" s="2118" t="s">
        <v>3585</v>
      </c>
      <c r="B193" s="2118" t="s">
        <v>8213</v>
      </c>
      <c r="C193" s="2118" t="s">
        <v>2434</v>
      </c>
      <c r="D193" s="2118" t="s">
        <v>751</v>
      </c>
      <c r="E193" s="2119" t="s">
        <v>8214</v>
      </c>
      <c r="F193" s="2118">
        <v>3</v>
      </c>
      <c r="G193" s="2262" t="s">
        <v>3797</v>
      </c>
      <c r="H193" s="2118"/>
      <c r="I193" s="2118" t="s">
        <v>2866</v>
      </c>
      <c r="J193" s="2118"/>
      <c r="K193" s="2121">
        <v>11816000</v>
      </c>
      <c r="L193" s="2118" t="s">
        <v>251</v>
      </c>
      <c r="M193" s="2117">
        <v>44253</v>
      </c>
      <c r="N193" s="2117">
        <v>44308</v>
      </c>
      <c r="O193" s="2117">
        <v>44327</v>
      </c>
      <c r="P193" s="2120" t="s">
        <v>7928</v>
      </c>
      <c r="Q193" s="2118"/>
      <c r="R193" s="2121">
        <v>11805145.800000001</v>
      </c>
      <c r="S193" s="2121">
        <v>13631965.199999999</v>
      </c>
      <c r="T193" s="2122"/>
      <c r="U193" s="2122"/>
      <c r="V193" s="2122"/>
      <c r="W193" s="2123">
        <v>44328</v>
      </c>
      <c r="X193" s="2246" t="s">
        <v>8941</v>
      </c>
      <c r="Y193" s="2117">
        <v>44349</v>
      </c>
      <c r="Z193" s="2117">
        <v>44355</v>
      </c>
      <c r="AA193" s="2118" t="s">
        <v>4096</v>
      </c>
      <c r="AB193" s="2117">
        <v>44642</v>
      </c>
      <c r="AC193" s="2110">
        <v>2022</v>
      </c>
      <c r="AD193" s="388">
        <v>2023</v>
      </c>
      <c r="AE193" s="388">
        <v>2024</v>
      </c>
      <c r="AF193" s="388">
        <v>2025</v>
      </c>
      <c r="AG193" s="388" t="s">
        <v>4435</v>
      </c>
    </row>
    <row r="194" spans="1:33" ht="15.75" thickTop="1">
      <c r="A194" s="470">
        <v>44232</v>
      </c>
      <c r="B194" s="466" t="s">
        <v>8220</v>
      </c>
      <c r="C194" s="466" t="s">
        <v>4997</v>
      </c>
      <c r="D194" s="466" t="s">
        <v>7475</v>
      </c>
      <c r="E194" s="467" t="s">
        <v>8221</v>
      </c>
      <c r="F194" s="466"/>
      <c r="G194" s="654"/>
      <c r="H194" s="466"/>
      <c r="I194" s="466" t="s">
        <v>498</v>
      </c>
      <c r="J194" s="466"/>
      <c r="K194" s="472">
        <v>300000</v>
      </c>
      <c r="L194" s="466" t="s">
        <v>112</v>
      </c>
      <c r="M194" s="470">
        <v>44237</v>
      </c>
      <c r="N194" s="470">
        <v>44245</v>
      </c>
      <c r="O194" s="470">
        <v>44263</v>
      </c>
      <c r="P194" s="654" t="s">
        <v>8370</v>
      </c>
      <c r="Q194" s="2265" t="s">
        <v>8519</v>
      </c>
      <c r="R194" s="472">
        <v>239680.46</v>
      </c>
      <c r="S194" s="472">
        <f>R194*1.21</f>
        <v>290013.3566</v>
      </c>
      <c r="T194" s="1516"/>
      <c r="U194" s="1516"/>
      <c r="V194" s="1516"/>
      <c r="W194" s="1547">
        <v>44263</v>
      </c>
      <c r="X194" s="472" t="s">
        <v>8402</v>
      </c>
      <c r="Y194" s="466"/>
      <c r="Z194" s="470">
        <v>44284</v>
      </c>
      <c r="AA194" s="466"/>
      <c r="AB194" s="466"/>
      <c r="AC194" s="466"/>
    </row>
    <row r="195" spans="1:33" ht="45">
      <c r="A195" s="537">
        <v>44232</v>
      </c>
      <c r="B195" s="491" t="s">
        <v>8222</v>
      </c>
      <c r="C195" s="491" t="s">
        <v>9694</v>
      </c>
      <c r="D195" s="491" t="s">
        <v>2684</v>
      </c>
      <c r="E195" s="571" t="s">
        <v>8223</v>
      </c>
      <c r="F195" s="491">
        <v>1</v>
      </c>
      <c r="G195" s="495" t="s">
        <v>8224</v>
      </c>
      <c r="H195" s="491"/>
      <c r="I195" s="491" t="s">
        <v>269</v>
      </c>
      <c r="J195" s="491" t="s">
        <v>8236</v>
      </c>
      <c r="K195" s="536">
        <v>2400000</v>
      </c>
      <c r="L195" s="491" t="s">
        <v>216</v>
      </c>
      <c r="M195" s="537">
        <v>44238</v>
      </c>
      <c r="N195" s="537">
        <v>44256</v>
      </c>
      <c r="O195" s="537">
        <v>44294</v>
      </c>
      <c r="P195" s="495" t="s">
        <v>8526</v>
      </c>
      <c r="Q195" s="491"/>
      <c r="R195" s="536">
        <v>2285050</v>
      </c>
      <c r="S195" s="536">
        <v>2764910.5</v>
      </c>
      <c r="T195" s="1471"/>
      <c r="U195" s="1471"/>
      <c r="V195" s="1471"/>
      <c r="W195" s="573">
        <v>44294</v>
      </c>
      <c r="X195" s="1375" t="s">
        <v>8551</v>
      </c>
      <c r="Y195" s="537">
        <v>44315</v>
      </c>
      <c r="Z195" s="537">
        <v>44327</v>
      </c>
      <c r="AA195" s="537">
        <v>44399</v>
      </c>
      <c r="AB195" s="537">
        <v>44390</v>
      </c>
      <c r="AC195" s="1374" t="s">
        <v>6118</v>
      </c>
    </row>
    <row r="196" spans="1:33" ht="45">
      <c r="A196" s="537">
        <v>44232</v>
      </c>
      <c r="B196" s="491" t="s">
        <v>8222</v>
      </c>
      <c r="C196" s="491" t="s">
        <v>9694</v>
      </c>
      <c r="D196" s="491" t="s">
        <v>2684</v>
      </c>
      <c r="E196" s="571" t="s">
        <v>8223</v>
      </c>
      <c r="F196" s="491">
        <v>2</v>
      </c>
      <c r="G196" s="495" t="s">
        <v>8225</v>
      </c>
      <c r="H196" s="491"/>
      <c r="I196" s="491" t="s">
        <v>269</v>
      </c>
      <c r="J196" s="491" t="s">
        <v>8237</v>
      </c>
      <c r="K196" s="536">
        <v>1094000</v>
      </c>
      <c r="L196" s="491" t="s">
        <v>216</v>
      </c>
      <c r="M196" s="537">
        <v>44238</v>
      </c>
      <c r="N196" s="537">
        <v>44256</v>
      </c>
      <c r="O196" s="537">
        <v>44294</v>
      </c>
      <c r="P196" s="495" t="s">
        <v>8526</v>
      </c>
      <c r="Q196" s="491"/>
      <c r="R196" s="536">
        <v>848615</v>
      </c>
      <c r="S196" s="536">
        <v>1026824.15</v>
      </c>
      <c r="T196" s="1471"/>
      <c r="U196" s="1471"/>
      <c r="V196" s="1471"/>
      <c r="W196" s="573">
        <v>44294</v>
      </c>
      <c r="X196" s="1375" t="s">
        <v>8552</v>
      </c>
      <c r="Y196" s="537">
        <v>44315</v>
      </c>
      <c r="Z196" s="537">
        <v>44327</v>
      </c>
      <c r="AA196" s="537">
        <v>44399</v>
      </c>
      <c r="AB196" s="537">
        <v>44438</v>
      </c>
      <c r="AC196" s="1374" t="s">
        <v>6118</v>
      </c>
    </row>
    <row r="197" spans="1:33">
      <c r="A197" s="491" t="s">
        <v>3585</v>
      </c>
      <c r="B197" s="491" t="s">
        <v>8235</v>
      </c>
      <c r="C197" s="491" t="s">
        <v>52</v>
      </c>
      <c r="D197" s="491" t="s">
        <v>2588</v>
      </c>
      <c r="E197" s="571" t="s">
        <v>8547</v>
      </c>
      <c r="F197" s="491"/>
      <c r="G197" s="495"/>
      <c r="H197" s="491"/>
      <c r="I197" s="491" t="s">
        <v>484</v>
      </c>
      <c r="J197" s="491" t="s">
        <v>7375</v>
      </c>
      <c r="K197" s="536">
        <v>62500000</v>
      </c>
      <c r="L197" s="491" t="s">
        <v>251</v>
      </c>
      <c r="M197" s="537">
        <v>44355</v>
      </c>
      <c r="N197" s="537">
        <v>44403</v>
      </c>
      <c r="O197" s="537">
        <v>44407</v>
      </c>
      <c r="P197" s="495" t="s">
        <v>3500</v>
      </c>
      <c r="Q197" s="491"/>
      <c r="R197" s="536">
        <v>53990000</v>
      </c>
      <c r="S197" s="536">
        <v>65327900</v>
      </c>
      <c r="T197" s="1471"/>
      <c r="U197" s="1471"/>
      <c r="V197" s="1471"/>
      <c r="W197" s="573">
        <v>44407</v>
      </c>
      <c r="X197" s="536" t="s">
        <v>9526</v>
      </c>
      <c r="Y197" s="537">
        <v>44505</v>
      </c>
      <c r="Z197" s="537">
        <v>44523</v>
      </c>
      <c r="AA197" s="495"/>
      <c r="AB197" s="1525">
        <v>44662</v>
      </c>
      <c r="AC197" s="1102"/>
    </row>
    <row r="198" spans="1:33" ht="30">
      <c r="A198" s="537">
        <v>44237</v>
      </c>
      <c r="B198" s="491" t="s">
        <v>8247</v>
      </c>
      <c r="C198" s="491" t="s">
        <v>2434</v>
      </c>
      <c r="D198" s="491" t="s">
        <v>3204</v>
      </c>
      <c r="E198" s="571" t="s">
        <v>3215</v>
      </c>
      <c r="F198" s="491"/>
      <c r="G198" s="495"/>
      <c r="H198" s="491"/>
      <c r="I198" s="491" t="s">
        <v>642</v>
      </c>
      <c r="J198" s="491"/>
      <c r="K198" s="536">
        <v>2425000</v>
      </c>
      <c r="L198" s="491" t="s">
        <v>216</v>
      </c>
      <c r="M198" s="537">
        <v>44242</v>
      </c>
      <c r="N198" s="537">
        <v>44265</v>
      </c>
      <c r="O198" s="537">
        <v>44270</v>
      </c>
      <c r="P198" s="495" t="s">
        <v>1433</v>
      </c>
      <c r="Q198" s="491"/>
      <c r="R198" s="536">
        <v>2425000</v>
      </c>
      <c r="S198" s="536">
        <v>2934250</v>
      </c>
      <c r="T198" s="1471"/>
      <c r="U198" s="1471"/>
      <c r="V198" s="1471"/>
      <c r="W198" s="573">
        <v>44271</v>
      </c>
      <c r="X198" s="1375" t="s">
        <v>8440</v>
      </c>
      <c r="Y198" s="537">
        <v>44300</v>
      </c>
      <c r="Z198" s="537">
        <v>44305</v>
      </c>
      <c r="AA198" s="537">
        <v>45029</v>
      </c>
      <c r="AB198" s="537">
        <v>44642</v>
      </c>
      <c r="AC198" s="1374">
        <v>2022</v>
      </c>
      <c r="AD198" s="388" t="s">
        <v>8591</v>
      </c>
    </row>
    <row r="199" spans="1:33" ht="30">
      <c r="A199" s="537">
        <v>44237</v>
      </c>
      <c r="B199" s="491" t="s">
        <v>8246</v>
      </c>
      <c r="C199" s="491" t="s">
        <v>2434</v>
      </c>
      <c r="D199" s="491" t="s">
        <v>3204</v>
      </c>
      <c r="E199" s="571" t="s">
        <v>8248</v>
      </c>
      <c r="F199" s="491"/>
      <c r="G199" s="495"/>
      <c r="H199" s="491"/>
      <c r="I199" s="491" t="s">
        <v>642</v>
      </c>
      <c r="J199" s="491"/>
      <c r="K199" s="536">
        <v>1250000</v>
      </c>
      <c r="L199" s="491" t="s">
        <v>112</v>
      </c>
      <c r="M199" s="537">
        <v>44242</v>
      </c>
      <c r="N199" s="537">
        <v>44250</v>
      </c>
      <c r="O199" s="537">
        <v>44515</v>
      </c>
      <c r="P199" s="495" t="s">
        <v>1433</v>
      </c>
      <c r="Q199" s="491"/>
      <c r="R199" s="536">
        <v>1250000</v>
      </c>
      <c r="S199" s="536">
        <v>1512500</v>
      </c>
      <c r="T199" s="1471"/>
      <c r="U199" s="1471"/>
      <c r="V199" s="1471"/>
      <c r="W199" s="573">
        <v>44515</v>
      </c>
      <c r="X199" s="1375" t="s">
        <v>10312</v>
      </c>
      <c r="Y199" s="537">
        <v>44537</v>
      </c>
      <c r="Z199" s="537">
        <v>44539</v>
      </c>
      <c r="AA199" s="537">
        <v>45266</v>
      </c>
      <c r="AB199" s="537" t="s">
        <v>11373</v>
      </c>
      <c r="AC199" s="1374">
        <v>2022</v>
      </c>
      <c r="AD199" s="388" t="s">
        <v>8022</v>
      </c>
    </row>
    <row r="200" spans="1:33" ht="30">
      <c r="A200" s="537">
        <v>44238</v>
      </c>
      <c r="B200" s="491" t="s">
        <v>8249</v>
      </c>
      <c r="C200" s="491" t="s">
        <v>9694</v>
      </c>
      <c r="D200" s="491" t="s">
        <v>2684</v>
      </c>
      <c r="E200" s="571" t="s">
        <v>8250</v>
      </c>
      <c r="F200" s="491">
        <v>1</v>
      </c>
      <c r="G200" s="495" t="s">
        <v>8251</v>
      </c>
      <c r="H200" s="491"/>
      <c r="I200" s="491" t="s">
        <v>5760</v>
      </c>
      <c r="J200" s="491" t="s">
        <v>8253</v>
      </c>
      <c r="K200" s="536">
        <v>400000</v>
      </c>
      <c r="L200" s="491" t="s">
        <v>112</v>
      </c>
      <c r="M200" s="537">
        <v>44242</v>
      </c>
      <c r="N200" s="537">
        <v>44253</v>
      </c>
      <c r="O200" s="537">
        <v>44321</v>
      </c>
      <c r="P200" s="495" t="s">
        <v>4315</v>
      </c>
      <c r="Q200" s="491"/>
      <c r="R200" s="536">
        <v>361998</v>
      </c>
      <c r="S200" s="536">
        <v>438017.58</v>
      </c>
      <c r="T200" s="1471"/>
      <c r="U200" s="1471"/>
      <c r="V200" s="1471"/>
      <c r="W200" s="573">
        <v>44322</v>
      </c>
      <c r="X200" s="1375" t="s">
        <v>8885</v>
      </c>
      <c r="Y200" s="537">
        <v>44358</v>
      </c>
      <c r="Z200" s="537">
        <v>44361</v>
      </c>
      <c r="AA200" s="537">
        <v>44414</v>
      </c>
      <c r="AB200" s="537">
        <v>44473</v>
      </c>
      <c r="AC200" s="1374" t="s">
        <v>1875</v>
      </c>
    </row>
    <row r="201" spans="1:33" ht="30.75" thickBot="1">
      <c r="A201" s="416">
        <v>44238</v>
      </c>
      <c r="B201" s="411" t="s">
        <v>8249</v>
      </c>
      <c r="C201" s="411" t="s">
        <v>9694</v>
      </c>
      <c r="D201" s="411" t="s">
        <v>2684</v>
      </c>
      <c r="E201" s="412" t="s">
        <v>8250</v>
      </c>
      <c r="F201" s="411">
        <v>2</v>
      </c>
      <c r="G201" s="630" t="s">
        <v>8252</v>
      </c>
      <c r="H201" s="411"/>
      <c r="I201" s="411" t="s">
        <v>5760</v>
      </c>
      <c r="J201" s="411" t="s">
        <v>8254</v>
      </c>
      <c r="K201" s="417">
        <v>508220</v>
      </c>
      <c r="L201" s="411" t="s">
        <v>112</v>
      </c>
      <c r="M201" s="416">
        <v>44242</v>
      </c>
      <c r="N201" s="416">
        <v>44253</v>
      </c>
      <c r="O201" s="416">
        <v>44274</v>
      </c>
      <c r="P201" s="630" t="s">
        <v>7136</v>
      </c>
      <c r="Q201" s="411"/>
      <c r="R201" s="417">
        <v>451232</v>
      </c>
      <c r="S201" s="417">
        <v>545990.72</v>
      </c>
      <c r="T201" s="1480"/>
      <c r="U201" s="1480"/>
      <c r="V201" s="1480"/>
      <c r="W201" s="513">
        <v>44274</v>
      </c>
      <c r="X201" s="1553" t="s">
        <v>8464</v>
      </c>
      <c r="Y201" s="416">
        <v>44309</v>
      </c>
      <c r="Z201" s="416">
        <v>44323</v>
      </c>
      <c r="AA201" s="416">
        <v>44351</v>
      </c>
      <c r="AB201" s="416">
        <v>44391</v>
      </c>
      <c r="AC201" s="422" t="s">
        <v>1875</v>
      </c>
    </row>
    <row r="202" spans="1:33" ht="15.75" thickTop="1">
      <c r="A202" s="474">
        <v>44236</v>
      </c>
      <c r="B202" s="453" t="s">
        <v>8260</v>
      </c>
      <c r="C202" s="453" t="s">
        <v>69</v>
      </c>
      <c r="D202" s="453" t="s">
        <v>70</v>
      </c>
      <c r="E202" s="473" t="s">
        <v>8261</v>
      </c>
      <c r="F202" s="453">
        <v>1</v>
      </c>
      <c r="G202" s="1420" t="s">
        <v>8262</v>
      </c>
      <c r="H202" s="453"/>
      <c r="I202" s="453" t="s">
        <v>93</v>
      </c>
      <c r="J202" s="453"/>
      <c r="K202" s="457">
        <v>28008028</v>
      </c>
      <c r="L202" s="453" t="s">
        <v>251</v>
      </c>
      <c r="M202" s="474">
        <v>44250</v>
      </c>
      <c r="N202" s="474">
        <v>44299</v>
      </c>
      <c r="O202" s="474">
        <v>44337</v>
      </c>
      <c r="P202" s="1420" t="s">
        <v>576</v>
      </c>
      <c r="Q202" s="453"/>
      <c r="R202" s="457">
        <v>28008026.879999999</v>
      </c>
      <c r="S202" s="457">
        <v>30808829.57</v>
      </c>
      <c r="T202" s="1474"/>
      <c r="U202" s="1474"/>
      <c r="V202" s="1474"/>
      <c r="W202" s="570">
        <v>44337</v>
      </c>
      <c r="X202" s="457" t="s">
        <v>9005</v>
      </c>
      <c r="Y202" s="474">
        <v>44357</v>
      </c>
      <c r="Z202" s="474">
        <v>44363</v>
      </c>
      <c r="AA202" s="474">
        <v>45452</v>
      </c>
      <c r="AB202" s="474">
        <v>44648</v>
      </c>
      <c r="AC202" s="1391">
        <v>2022</v>
      </c>
      <c r="AD202" s="2250">
        <v>2023</v>
      </c>
      <c r="AE202" s="2250" t="s">
        <v>9157</v>
      </c>
      <c r="AF202" s="1438"/>
    </row>
    <row r="203" spans="1:33">
      <c r="A203" s="2140">
        <v>44236</v>
      </c>
      <c r="B203" s="2141" t="s">
        <v>8260</v>
      </c>
      <c r="C203" s="2141" t="s">
        <v>69</v>
      </c>
      <c r="D203" s="2141" t="s">
        <v>70</v>
      </c>
      <c r="E203" s="2142" t="s">
        <v>8261</v>
      </c>
      <c r="F203" s="2141">
        <v>2</v>
      </c>
      <c r="G203" s="2143" t="s">
        <v>8263</v>
      </c>
      <c r="H203" s="2141"/>
      <c r="I203" s="2141" t="s">
        <v>93</v>
      </c>
      <c r="J203" s="2141"/>
      <c r="K203" s="2144">
        <v>20218545</v>
      </c>
      <c r="L203" s="2141" t="s">
        <v>251</v>
      </c>
      <c r="M203" s="2140">
        <v>44250</v>
      </c>
      <c r="N203" s="2140">
        <v>44299</v>
      </c>
      <c r="O203" s="2140">
        <v>44322</v>
      </c>
      <c r="P203" s="2143" t="s">
        <v>576</v>
      </c>
      <c r="Q203" s="2141"/>
      <c r="R203" s="2144">
        <v>20218544.399999999</v>
      </c>
      <c r="S203" s="2144">
        <v>22240398.84</v>
      </c>
      <c r="T203" s="2145"/>
      <c r="U203" s="2145"/>
      <c r="V203" s="2145"/>
      <c r="W203" s="2146">
        <v>44322</v>
      </c>
      <c r="X203" s="2144" t="s">
        <v>8899</v>
      </c>
      <c r="Y203" s="2140">
        <v>44342</v>
      </c>
      <c r="Z203" s="2140">
        <v>44348</v>
      </c>
      <c r="AA203" s="2140">
        <v>45437</v>
      </c>
      <c r="AB203" s="2140">
        <v>44648</v>
      </c>
      <c r="AC203" s="2109">
        <v>2022</v>
      </c>
      <c r="AD203" s="1991">
        <v>2023</v>
      </c>
      <c r="AE203" s="1991" t="s">
        <v>9053</v>
      </c>
      <c r="AF203" s="796"/>
    </row>
    <row r="204" spans="1:33">
      <c r="A204" s="2124">
        <v>44236</v>
      </c>
      <c r="B204" s="2125" t="s">
        <v>8260</v>
      </c>
      <c r="C204" s="2125" t="s">
        <v>69</v>
      </c>
      <c r="D204" s="2125" t="s">
        <v>70</v>
      </c>
      <c r="E204" s="2126" t="s">
        <v>8261</v>
      </c>
      <c r="F204" s="2125">
        <v>3</v>
      </c>
      <c r="G204" s="2127" t="s">
        <v>8264</v>
      </c>
      <c r="H204" s="2085"/>
      <c r="I204" s="2125" t="s">
        <v>93</v>
      </c>
      <c r="J204" s="2125"/>
      <c r="K204" s="2128">
        <v>7757532</v>
      </c>
      <c r="L204" s="2125" t="s">
        <v>251</v>
      </c>
      <c r="M204" s="2124">
        <v>44250</v>
      </c>
      <c r="N204" s="2124">
        <v>44299</v>
      </c>
      <c r="O204" s="2125"/>
      <c r="P204" s="2136" t="s">
        <v>304</v>
      </c>
      <c r="Q204" s="2275" t="s">
        <v>9668</v>
      </c>
      <c r="R204" s="2128"/>
      <c r="S204" s="2128"/>
      <c r="T204" s="2094"/>
      <c r="U204" s="2094"/>
      <c r="V204" s="2094"/>
      <c r="W204" s="2128"/>
      <c r="X204" s="2128"/>
      <c r="Y204" s="2125"/>
      <c r="Z204" s="2124">
        <v>44348</v>
      </c>
      <c r="AA204" s="2127" t="s">
        <v>8870</v>
      </c>
      <c r="AB204" s="2125"/>
      <c r="AC204" s="2125"/>
      <c r="AD204" s="1351"/>
      <c r="AE204" s="1351"/>
      <c r="AF204" s="796"/>
    </row>
    <row r="205" spans="1:33">
      <c r="A205" s="2140">
        <v>44236</v>
      </c>
      <c r="B205" s="2141" t="s">
        <v>8260</v>
      </c>
      <c r="C205" s="2141" t="s">
        <v>69</v>
      </c>
      <c r="D205" s="2141" t="s">
        <v>70</v>
      </c>
      <c r="E205" s="2142" t="s">
        <v>8261</v>
      </c>
      <c r="F205" s="2141">
        <v>4</v>
      </c>
      <c r="G205" s="2143" t="s">
        <v>8265</v>
      </c>
      <c r="H205" s="2141"/>
      <c r="I205" s="2141" t="s">
        <v>93</v>
      </c>
      <c r="J205" s="2141"/>
      <c r="K205" s="2144">
        <v>4652062</v>
      </c>
      <c r="L205" s="2141" t="s">
        <v>251</v>
      </c>
      <c r="M205" s="2140">
        <v>44250</v>
      </c>
      <c r="N205" s="2140">
        <v>44299</v>
      </c>
      <c r="O205" s="2140">
        <v>44322</v>
      </c>
      <c r="P205" s="2143" t="s">
        <v>576</v>
      </c>
      <c r="Q205" s="2141"/>
      <c r="R205" s="2144">
        <v>4125831.6</v>
      </c>
      <c r="S205" s="2144">
        <v>4538414.76</v>
      </c>
      <c r="T205" s="2145"/>
      <c r="U205" s="2145"/>
      <c r="V205" s="2145"/>
      <c r="W205" s="2146">
        <v>44322</v>
      </c>
      <c r="X205" s="2144" t="s">
        <v>8900</v>
      </c>
      <c r="Y205" s="2140">
        <v>44342</v>
      </c>
      <c r="Z205" s="2140">
        <v>44348</v>
      </c>
      <c r="AA205" s="2140">
        <v>45437</v>
      </c>
      <c r="AB205" s="2140">
        <v>44648</v>
      </c>
      <c r="AC205" s="2109">
        <v>2022</v>
      </c>
      <c r="AD205" s="1991">
        <v>2023</v>
      </c>
      <c r="AE205" s="1991" t="s">
        <v>9053</v>
      </c>
      <c r="AF205" s="796"/>
    </row>
    <row r="206" spans="1:33" ht="15.75" thickBot="1">
      <c r="A206" s="2117">
        <v>44236</v>
      </c>
      <c r="B206" s="2118" t="s">
        <v>8260</v>
      </c>
      <c r="C206" s="2118" t="s">
        <v>69</v>
      </c>
      <c r="D206" s="2118" t="s">
        <v>70</v>
      </c>
      <c r="E206" s="2119" t="s">
        <v>8261</v>
      </c>
      <c r="F206" s="2118">
        <v>5</v>
      </c>
      <c r="G206" s="2120" t="s">
        <v>8266</v>
      </c>
      <c r="H206" s="2118"/>
      <c r="I206" s="2118" t="s">
        <v>93</v>
      </c>
      <c r="J206" s="2118"/>
      <c r="K206" s="2121">
        <v>6760421</v>
      </c>
      <c r="L206" s="2118" t="s">
        <v>251</v>
      </c>
      <c r="M206" s="2117">
        <v>44250</v>
      </c>
      <c r="N206" s="2117">
        <v>44299</v>
      </c>
      <c r="O206" s="2117">
        <v>44322</v>
      </c>
      <c r="P206" s="2120" t="s">
        <v>2548</v>
      </c>
      <c r="Q206" s="2118"/>
      <c r="R206" s="2121">
        <v>5709196.9199999999</v>
      </c>
      <c r="S206" s="2121">
        <v>6280116.6100000003</v>
      </c>
      <c r="T206" s="2122"/>
      <c r="U206" s="2122"/>
      <c r="V206" s="2122"/>
      <c r="W206" s="2123">
        <v>44322</v>
      </c>
      <c r="X206" s="2121" t="s">
        <v>8901</v>
      </c>
      <c r="Y206" s="2117">
        <v>44350</v>
      </c>
      <c r="Z206" s="2117">
        <v>44363</v>
      </c>
      <c r="AA206" s="2117">
        <v>45445</v>
      </c>
      <c r="AB206" s="2117">
        <v>44648</v>
      </c>
      <c r="AC206" s="2110">
        <v>2022</v>
      </c>
      <c r="AD206" s="2247">
        <v>2023</v>
      </c>
      <c r="AE206" s="2247" t="s">
        <v>9113</v>
      </c>
      <c r="AF206" s="1439"/>
    </row>
    <row r="207" spans="1:33" ht="16.5" thickTop="1" thickBot="1">
      <c r="A207" s="498">
        <v>44242</v>
      </c>
      <c r="B207" s="232" t="s">
        <v>8267</v>
      </c>
      <c r="C207" s="232" t="s">
        <v>14</v>
      </c>
      <c r="D207" s="232" t="s">
        <v>13</v>
      </c>
      <c r="E207" s="274" t="s">
        <v>8268</v>
      </c>
      <c r="F207" s="232"/>
      <c r="G207" s="669"/>
      <c r="H207" s="232"/>
      <c r="I207" s="232" t="s">
        <v>21</v>
      </c>
      <c r="J207" s="232"/>
      <c r="K207" s="499">
        <v>1160000</v>
      </c>
      <c r="L207" s="232" t="s">
        <v>112</v>
      </c>
      <c r="M207" s="498">
        <v>44245</v>
      </c>
      <c r="N207" s="498">
        <v>44257</v>
      </c>
      <c r="O207" s="498">
        <v>44259</v>
      </c>
      <c r="P207" s="669" t="s">
        <v>6120</v>
      </c>
      <c r="Q207" s="232"/>
      <c r="R207" s="499">
        <v>1312020</v>
      </c>
      <c r="S207" s="499">
        <v>1587544.2</v>
      </c>
      <c r="T207" s="1545"/>
      <c r="U207" s="1545"/>
      <c r="V207" s="1545"/>
      <c r="W207" s="682">
        <v>44259</v>
      </c>
      <c r="X207" s="499" t="s">
        <v>8395</v>
      </c>
      <c r="Y207" s="498">
        <v>44272</v>
      </c>
      <c r="Z207" s="498">
        <v>44273</v>
      </c>
      <c r="AA207" s="498">
        <v>44636</v>
      </c>
      <c r="AB207" s="498">
        <v>44390</v>
      </c>
      <c r="AC207" s="1927" t="s">
        <v>8999</v>
      </c>
    </row>
    <row r="208" spans="1:33" ht="15.75" thickTop="1">
      <c r="A208" s="443">
        <v>44236</v>
      </c>
      <c r="B208" s="439" t="s">
        <v>8274</v>
      </c>
      <c r="C208" s="439" t="s">
        <v>69</v>
      </c>
      <c r="D208" s="439" t="s">
        <v>70</v>
      </c>
      <c r="E208" s="440" t="s">
        <v>8269</v>
      </c>
      <c r="F208" s="439">
        <v>1</v>
      </c>
      <c r="G208" s="1431" t="s">
        <v>8270</v>
      </c>
      <c r="H208" s="439"/>
      <c r="I208" s="439" t="s">
        <v>93</v>
      </c>
      <c r="J208" s="439"/>
      <c r="K208" s="444">
        <v>2968517</v>
      </c>
      <c r="L208" s="439" t="s">
        <v>251</v>
      </c>
      <c r="M208" s="443">
        <v>44250</v>
      </c>
      <c r="N208" s="443">
        <v>44284</v>
      </c>
      <c r="O208" s="439"/>
      <c r="P208" s="753" t="s">
        <v>304</v>
      </c>
      <c r="Q208" s="439"/>
      <c r="R208" s="444"/>
      <c r="S208" s="444"/>
      <c r="T208" s="1481"/>
      <c r="U208" s="1481"/>
      <c r="V208" s="1481"/>
      <c r="W208" s="444"/>
      <c r="X208" s="444"/>
      <c r="Y208" s="439"/>
      <c r="Z208" s="443">
        <v>44306</v>
      </c>
      <c r="AA208" s="439" t="s">
        <v>8766</v>
      </c>
      <c r="AB208" s="439"/>
      <c r="AC208" s="439"/>
      <c r="AD208" s="2040"/>
      <c r="AE208" s="2040"/>
      <c r="AF208" s="1438"/>
    </row>
    <row r="209" spans="1:35">
      <c r="A209" s="2124">
        <v>44236</v>
      </c>
      <c r="B209" s="2125" t="s">
        <v>8274</v>
      </c>
      <c r="C209" s="2125" t="s">
        <v>69</v>
      </c>
      <c r="D209" s="2125" t="s">
        <v>70</v>
      </c>
      <c r="E209" s="2126" t="s">
        <v>8269</v>
      </c>
      <c r="F209" s="2125">
        <v>2</v>
      </c>
      <c r="G209" s="2127" t="s">
        <v>8271</v>
      </c>
      <c r="H209" s="2125"/>
      <c r="I209" s="2125" t="s">
        <v>93</v>
      </c>
      <c r="J209" s="2125"/>
      <c r="K209" s="2128">
        <v>73696560</v>
      </c>
      <c r="L209" s="2125" t="s">
        <v>251</v>
      </c>
      <c r="M209" s="2124">
        <v>44250</v>
      </c>
      <c r="N209" s="2124">
        <v>44284</v>
      </c>
      <c r="O209" s="2125"/>
      <c r="P209" s="2136" t="s">
        <v>304</v>
      </c>
      <c r="Q209" s="2275" t="s">
        <v>8601</v>
      </c>
      <c r="R209" s="2128"/>
      <c r="S209" s="2128"/>
      <c r="T209" s="2129"/>
      <c r="U209" s="2129"/>
      <c r="V209" s="2129"/>
      <c r="W209" s="2128"/>
      <c r="X209" s="2128"/>
      <c r="Y209" s="2125"/>
      <c r="Z209" s="2124">
        <v>44306</v>
      </c>
      <c r="AA209" s="2125" t="s">
        <v>8766</v>
      </c>
      <c r="AB209" s="2125"/>
      <c r="AC209" s="2125"/>
      <c r="AD209" s="1351"/>
      <c r="AE209" s="1351"/>
      <c r="AF209" s="796"/>
    </row>
    <row r="210" spans="1:35">
      <c r="A210" s="2140">
        <v>44236</v>
      </c>
      <c r="B210" s="2141" t="s">
        <v>8274</v>
      </c>
      <c r="C210" s="2141" t="s">
        <v>69</v>
      </c>
      <c r="D210" s="2141" t="s">
        <v>70</v>
      </c>
      <c r="E210" s="2142" t="s">
        <v>8269</v>
      </c>
      <c r="F210" s="2141">
        <v>3</v>
      </c>
      <c r="G210" s="2143" t="s">
        <v>8272</v>
      </c>
      <c r="H210" s="2141"/>
      <c r="I210" s="2141" t="s">
        <v>93</v>
      </c>
      <c r="J210" s="2141"/>
      <c r="K210" s="2144">
        <v>58973556</v>
      </c>
      <c r="L210" s="2141" t="s">
        <v>251</v>
      </c>
      <c r="M210" s="2140">
        <v>44250</v>
      </c>
      <c r="N210" s="2140">
        <v>44284</v>
      </c>
      <c r="O210" s="2140">
        <v>44309</v>
      </c>
      <c r="P210" s="2143" t="s">
        <v>1318</v>
      </c>
      <c r="Q210" s="2141"/>
      <c r="R210" s="2144">
        <v>58952002.5</v>
      </c>
      <c r="S210" s="2144">
        <v>64847202.75</v>
      </c>
      <c r="T210" s="2145"/>
      <c r="U210" s="2145"/>
      <c r="V210" s="2145"/>
      <c r="W210" s="2146">
        <v>44309</v>
      </c>
      <c r="X210" s="2144" t="s">
        <v>8789</v>
      </c>
      <c r="Y210" s="2140">
        <v>44329</v>
      </c>
      <c r="Z210" s="2140">
        <v>44343</v>
      </c>
      <c r="AA210" s="2140">
        <v>45424</v>
      </c>
      <c r="AB210" s="2140">
        <v>44648</v>
      </c>
      <c r="AC210" s="2109">
        <v>2022</v>
      </c>
      <c r="AD210" s="1991">
        <v>2023</v>
      </c>
      <c r="AE210" s="1991" t="s">
        <v>8950</v>
      </c>
      <c r="AF210" s="796"/>
    </row>
    <row r="211" spans="1:35" ht="15.75" thickBot="1">
      <c r="A211" s="2117">
        <v>44236</v>
      </c>
      <c r="B211" s="2118" t="s">
        <v>8274</v>
      </c>
      <c r="C211" s="2118" t="s">
        <v>69</v>
      </c>
      <c r="D211" s="2118" t="s">
        <v>70</v>
      </c>
      <c r="E211" s="2119" t="s">
        <v>8269</v>
      </c>
      <c r="F211" s="2118">
        <v>4</v>
      </c>
      <c r="G211" s="2120" t="s">
        <v>8273</v>
      </c>
      <c r="H211" s="2118"/>
      <c r="I211" s="2118" t="s">
        <v>93</v>
      </c>
      <c r="J211" s="2118"/>
      <c r="K211" s="2121">
        <v>35710072</v>
      </c>
      <c r="L211" s="2118" t="s">
        <v>251</v>
      </c>
      <c r="M211" s="2117">
        <v>44250</v>
      </c>
      <c r="N211" s="2117">
        <v>44284</v>
      </c>
      <c r="O211" s="2117">
        <v>44309</v>
      </c>
      <c r="P211" s="2120" t="s">
        <v>576</v>
      </c>
      <c r="Q211" s="2118"/>
      <c r="R211" s="2121">
        <v>35710071.600000001</v>
      </c>
      <c r="S211" s="2121">
        <v>39281078.759999998</v>
      </c>
      <c r="T211" s="2122"/>
      <c r="U211" s="2122"/>
      <c r="V211" s="2122"/>
      <c r="W211" s="2123">
        <v>44309</v>
      </c>
      <c r="X211" s="2121" t="s">
        <v>8790</v>
      </c>
      <c r="Y211" s="2117">
        <v>44336</v>
      </c>
      <c r="Z211" s="2117">
        <v>44343</v>
      </c>
      <c r="AA211" s="2117">
        <v>46892</v>
      </c>
      <c r="AB211" s="2117" t="s">
        <v>11373</v>
      </c>
      <c r="AC211" s="2110">
        <v>2022</v>
      </c>
      <c r="AD211" s="2247">
        <v>2023</v>
      </c>
      <c r="AE211" s="2247">
        <v>2024</v>
      </c>
      <c r="AF211" s="2247">
        <v>2025</v>
      </c>
      <c r="AG211" s="388">
        <v>2026</v>
      </c>
      <c r="AH211" s="388">
        <v>2027</v>
      </c>
      <c r="AI211" s="388" t="s">
        <v>9002</v>
      </c>
    </row>
    <row r="212" spans="1:35" ht="15.75" thickTop="1">
      <c r="A212" s="470">
        <v>44239</v>
      </c>
      <c r="B212" s="466" t="s">
        <v>8275</v>
      </c>
      <c r="C212" s="466" t="s">
        <v>58</v>
      </c>
      <c r="D212" s="466" t="s">
        <v>2684</v>
      </c>
      <c r="E212" s="467" t="s">
        <v>8276</v>
      </c>
      <c r="F212" s="466"/>
      <c r="G212" s="654"/>
      <c r="H212" s="576"/>
      <c r="I212" s="466" t="s">
        <v>7139</v>
      </c>
      <c r="J212" s="466" t="s">
        <v>8448</v>
      </c>
      <c r="K212" s="472">
        <v>3150000</v>
      </c>
      <c r="L212" s="466" t="s">
        <v>216</v>
      </c>
      <c r="M212" s="470">
        <v>44252</v>
      </c>
      <c r="N212" s="470">
        <v>44271</v>
      </c>
      <c r="O212" s="466"/>
      <c r="P212" s="471" t="s">
        <v>304</v>
      </c>
      <c r="Q212" s="2014" t="s">
        <v>8449</v>
      </c>
      <c r="R212" s="472"/>
      <c r="S212" s="472"/>
      <c r="T212" s="1489"/>
      <c r="U212" s="1489"/>
      <c r="V212" s="1489"/>
      <c r="W212" s="472"/>
      <c r="X212" s="472"/>
      <c r="Y212" s="466"/>
      <c r="Z212" s="470">
        <v>44273</v>
      </c>
      <c r="AA212" s="466"/>
      <c r="AB212" s="466"/>
      <c r="AC212" s="466"/>
    </row>
    <row r="213" spans="1:35">
      <c r="A213" s="491" t="s">
        <v>3585</v>
      </c>
      <c r="B213" s="491" t="s">
        <v>8279</v>
      </c>
      <c r="C213" s="491" t="s">
        <v>52</v>
      </c>
      <c r="D213" s="491" t="s">
        <v>3089</v>
      </c>
      <c r="E213" s="1563" t="s">
        <v>8392</v>
      </c>
      <c r="F213" s="491"/>
      <c r="G213" s="495"/>
      <c r="H213" s="491"/>
      <c r="I213" s="491" t="s">
        <v>33</v>
      </c>
      <c r="J213" s="491" t="s">
        <v>7825</v>
      </c>
      <c r="K213" s="536">
        <v>106000000</v>
      </c>
      <c r="L213" s="491" t="s">
        <v>251</v>
      </c>
      <c r="M213" s="537">
        <v>44259</v>
      </c>
      <c r="N213" s="537">
        <v>44316</v>
      </c>
      <c r="O213" s="537">
        <v>44323</v>
      </c>
      <c r="P213" s="495" t="s">
        <v>2626</v>
      </c>
      <c r="Q213" s="491"/>
      <c r="R213" s="536">
        <v>94489096.840000004</v>
      </c>
      <c r="S213" s="536">
        <v>114331807.18000001</v>
      </c>
      <c r="T213" s="1471"/>
      <c r="U213" s="1471"/>
      <c r="V213" s="1471"/>
      <c r="W213" s="573">
        <v>44323</v>
      </c>
      <c r="X213" s="536" t="s">
        <v>8909</v>
      </c>
      <c r="Y213" s="537">
        <v>44361</v>
      </c>
      <c r="Z213" s="537">
        <v>44364</v>
      </c>
      <c r="AA213" s="537">
        <v>44671</v>
      </c>
      <c r="AB213" s="1525">
        <v>44872</v>
      </c>
      <c r="AC213" s="1102"/>
    </row>
    <row r="214" spans="1:35">
      <c r="A214" s="491" t="s">
        <v>3585</v>
      </c>
      <c r="B214" s="491" t="s">
        <v>8286</v>
      </c>
      <c r="C214" s="491" t="s">
        <v>1032</v>
      </c>
      <c r="D214" s="491" t="s">
        <v>361</v>
      </c>
      <c r="E214" s="571" t="s">
        <v>7870</v>
      </c>
      <c r="F214" s="491"/>
      <c r="G214" s="495"/>
      <c r="H214" s="491"/>
      <c r="I214" s="491" t="s">
        <v>8287</v>
      </c>
      <c r="J214" s="491"/>
      <c r="K214" s="536">
        <v>3000000</v>
      </c>
      <c r="L214" s="491" t="s">
        <v>216</v>
      </c>
      <c r="M214" s="537">
        <v>44249</v>
      </c>
      <c r="N214" s="537">
        <v>44266</v>
      </c>
      <c r="O214" s="537">
        <v>44280</v>
      </c>
      <c r="P214" s="495" t="s">
        <v>1365</v>
      </c>
      <c r="Q214" s="491"/>
      <c r="R214" s="536">
        <v>2463200</v>
      </c>
      <c r="S214" s="536">
        <v>2980472</v>
      </c>
      <c r="T214" s="1471"/>
      <c r="U214" s="1471"/>
      <c r="V214" s="1471"/>
      <c r="W214" s="573">
        <v>44280</v>
      </c>
      <c r="X214" s="536" t="s">
        <v>8503</v>
      </c>
      <c r="Y214" s="537">
        <v>44335</v>
      </c>
      <c r="Z214" s="537">
        <v>44337</v>
      </c>
      <c r="AA214" s="537">
        <v>44391</v>
      </c>
      <c r="AB214" s="537">
        <v>44624</v>
      </c>
      <c r="AC214" s="1102"/>
    </row>
    <row r="215" spans="1:35">
      <c r="A215" s="537">
        <v>44244</v>
      </c>
      <c r="B215" s="491" t="s">
        <v>8289</v>
      </c>
      <c r="C215" s="491" t="s">
        <v>2434</v>
      </c>
      <c r="D215" s="491" t="s">
        <v>219</v>
      </c>
      <c r="E215" s="571" t="s">
        <v>8290</v>
      </c>
      <c r="F215" s="491"/>
      <c r="G215" s="495"/>
      <c r="H215" s="491"/>
      <c r="I215" s="491" t="s">
        <v>3890</v>
      </c>
      <c r="J215" s="491"/>
      <c r="K215" s="536">
        <v>2590000</v>
      </c>
      <c r="L215" s="491" t="s">
        <v>216</v>
      </c>
      <c r="M215" s="537">
        <v>44249</v>
      </c>
      <c r="N215" s="537">
        <v>44266</v>
      </c>
      <c r="O215" s="537">
        <v>44272</v>
      </c>
      <c r="P215" s="495" t="s">
        <v>4326</v>
      </c>
      <c r="Q215" s="491"/>
      <c r="R215" s="536">
        <v>2590000</v>
      </c>
      <c r="S215" s="536">
        <v>3133900</v>
      </c>
      <c r="T215" s="1471"/>
      <c r="U215" s="1471"/>
      <c r="V215" s="1471"/>
      <c r="W215" s="573">
        <v>44272</v>
      </c>
      <c r="X215" s="536" t="s">
        <v>8455</v>
      </c>
      <c r="Y215" s="537">
        <v>44307</v>
      </c>
      <c r="Z215" s="537">
        <v>44312</v>
      </c>
      <c r="AA215" s="537">
        <v>45062</v>
      </c>
      <c r="AB215" s="537">
        <v>44642</v>
      </c>
      <c r="AC215" s="1374">
        <v>2022</v>
      </c>
      <c r="AD215" s="388" t="s">
        <v>8782</v>
      </c>
    </row>
    <row r="216" spans="1:35">
      <c r="A216" s="510">
        <v>44245</v>
      </c>
      <c r="B216" s="506" t="s">
        <v>8294</v>
      </c>
      <c r="C216" s="506" t="s">
        <v>58</v>
      </c>
      <c r="D216" s="506" t="s">
        <v>2684</v>
      </c>
      <c r="E216" s="507" t="s">
        <v>8295</v>
      </c>
      <c r="F216" s="506"/>
      <c r="G216" s="548"/>
      <c r="H216" s="506"/>
      <c r="I216" s="506" t="s">
        <v>7065</v>
      </c>
      <c r="J216" s="506" t="s">
        <v>8296</v>
      </c>
      <c r="K216" s="511">
        <v>348000</v>
      </c>
      <c r="L216" s="506" t="s">
        <v>112</v>
      </c>
      <c r="M216" s="510">
        <v>44249</v>
      </c>
      <c r="N216" s="510">
        <v>44260</v>
      </c>
      <c r="O216" s="506"/>
      <c r="P216" s="736" t="s">
        <v>2635</v>
      </c>
      <c r="Q216" s="1985" t="s">
        <v>8578</v>
      </c>
      <c r="R216" s="511"/>
      <c r="S216" s="511"/>
      <c r="T216" s="1470"/>
      <c r="U216" s="1470"/>
      <c r="V216" s="1470"/>
      <c r="W216" s="511"/>
      <c r="X216" s="511"/>
      <c r="Y216" s="506"/>
      <c r="Z216" s="510">
        <v>44263</v>
      </c>
      <c r="AA216" s="506"/>
      <c r="AB216" s="506"/>
      <c r="AC216" s="506"/>
    </row>
    <row r="217" spans="1:35">
      <c r="A217" s="537">
        <v>44246</v>
      </c>
      <c r="B217" s="491" t="s">
        <v>8302</v>
      </c>
      <c r="C217" s="491" t="s">
        <v>1032</v>
      </c>
      <c r="D217" s="491" t="s">
        <v>361</v>
      </c>
      <c r="E217" s="571" t="s">
        <v>8303</v>
      </c>
      <c r="F217" s="491"/>
      <c r="G217" s="495"/>
      <c r="H217" s="491"/>
      <c r="I217" s="491" t="s">
        <v>7394</v>
      </c>
      <c r="J217" s="491"/>
      <c r="K217" s="536">
        <v>450000</v>
      </c>
      <c r="L217" s="491" t="s">
        <v>112</v>
      </c>
      <c r="M217" s="537">
        <v>44251</v>
      </c>
      <c r="N217" s="537">
        <v>44265</v>
      </c>
      <c r="O217" s="537">
        <v>44267</v>
      </c>
      <c r="P217" s="495" t="s">
        <v>342</v>
      </c>
      <c r="Q217" s="491"/>
      <c r="R217" s="536">
        <v>458566</v>
      </c>
      <c r="S217" s="536">
        <v>554864.86</v>
      </c>
      <c r="T217" s="1471"/>
      <c r="U217" s="1471"/>
      <c r="V217" s="1471"/>
      <c r="W217" s="573">
        <v>44267</v>
      </c>
      <c r="X217" s="536" t="s">
        <v>8430</v>
      </c>
      <c r="Y217" s="537">
        <v>44284</v>
      </c>
      <c r="Z217" s="537">
        <v>44285</v>
      </c>
      <c r="AA217" s="537">
        <f>Y217+56</f>
        <v>44340</v>
      </c>
      <c r="AB217" s="537">
        <v>44418</v>
      </c>
      <c r="AC217" s="1102"/>
    </row>
    <row r="218" spans="1:35" ht="45">
      <c r="A218" s="491" t="s">
        <v>3585</v>
      </c>
      <c r="B218" s="491" t="s">
        <v>8316</v>
      </c>
      <c r="C218" s="491" t="s">
        <v>58</v>
      </c>
      <c r="D218" s="491" t="s">
        <v>2684</v>
      </c>
      <c r="E218" s="571" t="s">
        <v>8317</v>
      </c>
      <c r="F218" s="491"/>
      <c r="G218" s="495"/>
      <c r="H218" s="491"/>
      <c r="I218" s="491" t="s">
        <v>7065</v>
      </c>
      <c r="J218" s="491" t="s">
        <v>8341</v>
      </c>
      <c r="K218" s="536">
        <v>727000</v>
      </c>
      <c r="L218" s="491" t="s">
        <v>112</v>
      </c>
      <c r="M218" s="537">
        <v>44257</v>
      </c>
      <c r="N218" s="537">
        <v>44267</v>
      </c>
      <c r="O218" s="537">
        <v>44371</v>
      </c>
      <c r="P218" s="495" t="s">
        <v>9242</v>
      </c>
      <c r="Q218" s="491"/>
      <c r="R218" s="536">
        <v>837419</v>
      </c>
      <c r="S218" s="536">
        <v>940749.59</v>
      </c>
      <c r="T218" s="1471"/>
      <c r="U218" s="1471"/>
      <c r="V218" s="1471"/>
      <c r="W218" s="573">
        <v>44371</v>
      </c>
      <c r="X218" s="1375" t="s">
        <v>9262</v>
      </c>
      <c r="Y218" s="537">
        <v>44399</v>
      </c>
      <c r="Z218" s="537">
        <v>44404</v>
      </c>
      <c r="AA218" s="537">
        <v>44455</v>
      </c>
      <c r="AB218" s="537">
        <v>44585</v>
      </c>
      <c r="AC218" s="1374" t="s">
        <v>6118</v>
      </c>
    </row>
    <row r="219" spans="1:35">
      <c r="A219" s="510">
        <v>44250</v>
      </c>
      <c r="B219" s="506" t="s">
        <v>8322</v>
      </c>
      <c r="C219" s="506" t="s">
        <v>14</v>
      </c>
      <c r="D219" s="506" t="s">
        <v>13</v>
      </c>
      <c r="E219" s="507" t="s">
        <v>8323</v>
      </c>
      <c r="F219" s="506"/>
      <c r="G219" s="548"/>
      <c r="H219" s="506"/>
      <c r="I219" s="506" t="s">
        <v>8324</v>
      </c>
      <c r="J219" s="506"/>
      <c r="K219" s="511">
        <v>851900</v>
      </c>
      <c r="L219" s="506" t="s">
        <v>112</v>
      </c>
      <c r="M219" s="510">
        <v>44253</v>
      </c>
      <c r="N219" s="510">
        <v>44265</v>
      </c>
      <c r="O219" s="506"/>
      <c r="P219" s="736" t="s">
        <v>8401</v>
      </c>
      <c r="Q219" s="514" t="s">
        <v>8844</v>
      </c>
      <c r="R219" s="511"/>
      <c r="S219" s="511"/>
      <c r="T219" s="1470"/>
      <c r="U219" s="1470"/>
      <c r="V219" s="1470"/>
      <c r="W219" s="511"/>
      <c r="X219" s="511"/>
      <c r="Y219" s="506"/>
      <c r="Z219" s="510">
        <v>44263</v>
      </c>
      <c r="AA219" s="506"/>
      <c r="AB219" s="506"/>
      <c r="AC219" s="506"/>
    </row>
    <row r="220" spans="1:35" ht="30">
      <c r="A220" s="537">
        <v>44249</v>
      </c>
      <c r="B220" s="491" t="s">
        <v>8331</v>
      </c>
      <c r="C220" s="491" t="s">
        <v>2434</v>
      </c>
      <c r="D220" s="491" t="s">
        <v>3204</v>
      </c>
      <c r="E220" s="571" t="s">
        <v>8332</v>
      </c>
      <c r="F220" s="491"/>
      <c r="G220" s="495"/>
      <c r="H220" s="491"/>
      <c r="I220" s="491" t="s">
        <v>642</v>
      </c>
      <c r="J220" s="491"/>
      <c r="K220" s="536">
        <v>3260870</v>
      </c>
      <c r="L220" s="491" t="s">
        <v>251</v>
      </c>
      <c r="M220" s="537">
        <v>44253</v>
      </c>
      <c r="N220" s="537">
        <v>44287</v>
      </c>
      <c r="O220" s="537">
        <v>44299</v>
      </c>
      <c r="P220" s="495" t="s">
        <v>2755</v>
      </c>
      <c r="Q220" s="491"/>
      <c r="R220" s="536">
        <v>3260400</v>
      </c>
      <c r="S220" s="536">
        <v>3749460</v>
      </c>
      <c r="T220" s="1471"/>
      <c r="U220" s="1471"/>
      <c r="V220" s="1471"/>
      <c r="W220" s="573">
        <v>44299</v>
      </c>
      <c r="X220" s="1375" t="s">
        <v>8581</v>
      </c>
      <c r="Y220" s="537">
        <v>44321</v>
      </c>
      <c r="Z220" s="537">
        <v>44326</v>
      </c>
      <c r="AA220" s="537">
        <v>45050</v>
      </c>
      <c r="AB220" s="537">
        <v>44642</v>
      </c>
      <c r="AC220" s="1374">
        <v>2022</v>
      </c>
      <c r="AD220" s="388" t="s">
        <v>8894</v>
      </c>
    </row>
    <row r="221" spans="1:35" ht="30">
      <c r="A221" s="537">
        <v>44250</v>
      </c>
      <c r="B221" s="491" t="s">
        <v>8333</v>
      </c>
      <c r="C221" s="491" t="s">
        <v>2434</v>
      </c>
      <c r="D221" s="491" t="s">
        <v>219</v>
      </c>
      <c r="E221" s="571" t="s">
        <v>8334</v>
      </c>
      <c r="F221" s="491"/>
      <c r="G221" s="495"/>
      <c r="H221" s="491"/>
      <c r="I221" s="491" t="s">
        <v>642</v>
      </c>
      <c r="J221" s="491"/>
      <c r="K221" s="536">
        <v>1772680</v>
      </c>
      <c r="L221" s="491" t="s">
        <v>112</v>
      </c>
      <c r="M221" s="537">
        <v>44253</v>
      </c>
      <c r="N221" s="537">
        <v>44265</v>
      </c>
      <c r="O221" s="537">
        <v>44270</v>
      </c>
      <c r="P221" s="495" t="s">
        <v>3154</v>
      </c>
      <c r="Q221" s="491"/>
      <c r="R221" s="536">
        <v>1772680</v>
      </c>
      <c r="S221" s="536">
        <v>2038582</v>
      </c>
      <c r="T221" s="1471"/>
      <c r="U221" s="1471"/>
      <c r="V221" s="1471"/>
      <c r="W221" s="573">
        <v>44270</v>
      </c>
      <c r="X221" s="1375" t="s">
        <v>8438</v>
      </c>
      <c r="Y221" s="537">
        <v>44286</v>
      </c>
      <c r="Z221" s="537">
        <v>44292</v>
      </c>
      <c r="AA221" s="537">
        <v>45015</v>
      </c>
      <c r="AB221" s="537">
        <v>44642</v>
      </c>
      <c r="AC221" s="1374">
        <v>2022</v>
      </c>
      <c r="AD221" s="388" t="s">
        <v>8525</v>
      </c>
    </row>
    <row r="222" spans="1:35" ht="30">
      <c r="A222" s="537">
        <v>44249</v>
      </c>
      <c r="B222" s="491" t="s">
        <v>8336</v>
      </c>
      <c r="C222" s="491" t="s">
        <v>2434</v>
      </c>
      <c r="D222" s="491" t="s">
        <v>3204</v>
      </c>
      <c r="E222" s="571" t="s">
        <v>8335</v>
      </c>
      <c r="F222" s="491"/>
      <c r="G222" s="495"/>
      <c r="H222" s="506"/>
      <c r="I222" s="491" t="s">
        <v>642</v>
      </c>
      <c r="J222" s="491"/>
      <c r="K222" s="536">
        <v>7302500</v>
      </c>
      <c r="L222" s="491" t="s">
        <v>251</v>
      </c>
      <c r="M222" s="537">
        <v>44253</v>
      </c>
      <c r="N222" s="537">
        <v>44287</v>
      </c>
      <c r="O222" s="537">
        <v>44320</v>
      </c>
      <c r="P222" s="495" t="s">
        <v>2755</v>
      </c>
      <c r="Q222" s="491"/>
      <c r="R222" s="536">
        <v>7302500</v>
      </c>
      <c r="S222" s="536">
        <v>8440475</v>
      </c>
      <c r="T222" s="1470"/>
      <c r="U222" s="1470"/>
      <c r="V222" s="1470"/>
      <c r="W222" s="573">
        <v>44320</v>
      </c>
      <c r="X222" s="1375" t="s">
        <v>8868</v>
      </c>
      <c r="Y222" s="537">
        <v>44344</v>
      </c>
      <c r="Z222" s="537">
        <v>44349</v>
      </c>
      <c r="AA222" s="537">
        <v>45073</v>
      </c>
      <c r="AB222" s="537">
        <v>44642</v>
      </c>
      <c r="AC222" s="1374">
        <v>2022</v>
      </c>
      <c r="AD222" s="388" t="s">
        <v>9060</v>
      </c>
    </row>
    <row r="223" spans="1:35" ht="30.75" thickBot="1">
      <c r="A223" s="416">
        <v>44244</v>
      </c>
      <c r="B223" s="411" t="s">
        <v>8337</v>
      </c>
      <c r="C223" s="411" t="s">
        <v>58</v>
      </c>
      <c r="D223" s="411" t="s">
        <v>2684</v>
      </c>
      <c r="E223" s="2161" t="s">
        <v>8338</v>
      </c>
      <c r="F223" s="411"/>
      <c r="G223" s="630"/>
      <c r="H223" s="411"/>
      <c r="I223" s="512" t="s">
        <v>8339</v>
      </c>
      <c r="J223" s="411" t="s">
        <v>8340</v>
      </c>
      <c r="K223" s="417">
        <v>9350000</v>
      </c>
      <c r="L223" s="411" t="s">
        <v>251</v>
      </c>
      <c r="M223" s="416">
        <v>44260</v>
      </c>
      <c r="N223" s="416">
        <v>44385</v>
      </c>
      <c r="O223" s="416">
        <v>44396</v>
      </c>
      <c r="P223" s="630" t="s">
        <v>1597</v>
      </c>
      <c r="Q223" s="411"/>
      <c r="R223" s="417">
        <v>9099000</v>
      </c>
      <c r="S223" s="417">
        <v>11009790</v>
      </c>
      <c r="T223" s="1480"/>
      <c r="U223" s="1480"/>
      <c r="V223" s="1480"/>
      <c r="W223" s="513">
        <v>44396</v>
      </c>
      <c r="X223" s="1553" t="s">
        <v>9405</v>
      </c>
      <c r="Y223" s="416">
        <v>44433</v>
      </c>
      <c r="Z223" s="416">
        <v>44448</v>
      </c>
      <c r="AA223" s="416">
        <v>44531</v>
      </c>
      <c r="AB223" s="416">
        <v>44564</v>
      </c>
      <c r="AC223" s="422" t="s">
        <v>1875</v>
      </c>
    </row>
    <row r="224" spans="1:35" ht="30.75" thickTop="1">
      <c r="A224" s="474">
        <v>44250</v>
      </c>
      <c r="B224" s="453" t="s">
        <v>8353</v>
      </c>
      <c r="C224" s="453" t="s">
        <v>2434</v>
      </c>
      <c r="D224" s="453" t="s">
        <v>751</v>
      </c>
      <c r="E224" s="1997" t="s">
        <v>8354</v>
      </c>
      <c r="F224" s="453">
        <v>1</v>
      </c>
      <c r="G224" s="1420" t="s">
        <v>8349</v>
      </c>
      <c r="H224" s="583"/>
      <c r="I224" s="2269" t="s">
        <v>3890</v>
      </c>
      <c r="J224" s="453"/>
      <c r="K224" s="457">
        <v>9012000</v>
      </c>
      <c r="L224" s="453" t="s">
        <v>251</v>
      </c>
      <c r="M224" s="474">
        <v>44277</v>
      </c>
      <c r="N224" s="474">
        <v>44309</v>
      </c>
      <c r="O224" s="474">
        <v>44341</v>
      </c>
      <c r="P224" s="1420" t="s">
        <v>2974</v>
      </c>
      <c r="Q224" s="453"/>
      <c r="R224" s="457">
        <v>9012000</v>
      </c>
      <c r="S224" s="457">
        <v>10904520</v>
      </c>
      <c r="T224" s="1483"/>
      <c r="U224" s="1483"/>
      <c r="V224" s="1483"/>
      <c r="W224" s="570">
        <v>44342</v>
      </c>
      <c r="X224" s="1387" t="s">
        <v>9033</v>
      </c>
      <c r="Y224" s="474">
        <v>44370</v>
      </c>
      <c r="Z224" s="474">
        <v>44379</v>
      </c>
      <c r="AA224" s="474">
        <v>45465</v>
      </c>
      <c r="AB224" s="474">
        <v>44642</v>
      </c>
      <c r="AC224" s="1391">
        <v>2022</v>
      </c>
      <c r="AD224" s="1391">
        <v>2023</v>
      </c>
      <c r="AE224" s="1391" t="s">
        <v>9261</v>
      </c>
    </row>
    <row r="225" spans="1:33" ht="30">
      <c r="A225" s="2140">
        <v>44250</v>
      </c>
      <c r="B225" s="2141" t="s">
        <v>8353</v>
      </c>
      <c r="C225" s="2141" t="s">
        <v>2434</v>
      </c>
      <c r="D225" s="2141" t="s">
        <v>751</v>
      </c>
      <c r="E225" s="2267" t="s">
        <v>8354</v>
      </c>
      <c r="F225" s="2141">
        <v>2</v>
      </c>
      <c r="G225" s="2143" t="s">
        <v>8350</v>
      </c>
      <c r="H225" s="2085"/>
      <c r="I225" s="2264" t="s">
        <v>3890</v>
      </c>
      <c r="J225" s="2141"/>
      <c r="K225" s="2144">
        <v>4170000</v>
      </c>
      <c r="L225" s="2141" t="s">
        <v>251</v>
      </c>
      <c r="M225" s="2140">
        <v>44277</v>
      </c>
      <c r="N225" s="2140">
        <v>44309</v>
      </c>
      <c r="O225" s="2140">
        <v>44341</v>
      </c>
      <c r="P225" s="2143" t="s">
        <v>2974</v>
      </c>
      <c r="Q225" s="2141"/>
      <c r="R225" s="2144">
        <v>4170000</v>
      </c>
      <c r="S225" s="2144">
        <v>5045700</v>
      </c>
      <c r="T225" s="2094"/>
      <c r="U225" s="2094"/>
      <c r="V225" s="2094"/>
      <c r="W225" s="2146">
        <v>44342</v>
      </c>
      <c r="X225" s="2260" t="s">
        <v>9034</v>
      </c>
      <c r="Y225" s="2140">
        <v>44370</v>
      </c>
      <c r="Z225" s="2140">
        <v>44379</v>
      </c>
      <c r="AA225" s="2140">
        <v>45465</v>
      </c>
      <c r="AB225" s="2140">
        <v>44642</v>
      </c>
      <c r="AC225" s="2109">
        <v>2022</v>
      </c>
      <c r="AD225" s="2109">
        <v>2023</v>
      </c>
      <c r="AE225" s="2109" t="s">
        <v>9261</v>
      </c>
    </row>
    <row r="226" spans="1:33">
      <c r="A226" s="2140">
        <v>44250</v>
      </c>
      <c r="B226" s="2141" t="s">
        <v>8353</v>
      </c>
      <c r="C226" s="2141" t="s">
        <v>2434</v>
      </c>
      <c r="D226" s="2141" t="s">
        <v>751</v>
      </c>
      <c r="E226" s="2267" t="s">
        <v>8354</v>
      </c>
      <c r="F226" s="2141">
        <v>3</v>
      </c>
      <c r="G226" s="2143" t="s">
        <v>3824</v>
      </c>
      <c r="H226" s="2141"/>
      <c r="I226" s="2264" t="s">
        <v>3890</v>
      </c>
      <c r="J226" s="2141"/>
      <c r="K226" s="2144">
        <v>619800</v>
      </c>
      <c r="L226" s="2141" t="s">
        <v>251</v>
      </c>
      <c r="M226" s="2140">
        <v>44277</v>
      </c>
      <c r="N226" s="2140">
        <v>44309</v>
      </c>
      <c r="O226" s="2140">
        <v>44341</v>
      </c>
      <c r="P226" s="2143" t="s">
        <v>2776</v>
      </c>
      <c r="Q226" s="2141"/>
      <c r="R226" s="2144">
        <v>619800</v>
      </c>
      <c r="S226" s="2144">
        <v>749958</v>
      </c>
      <c r="T226" s="2145"/>
      <c r="U226" s="2145"/>
      <c r="V226" s="2145"/>
      <c r="W226" s="2146">
        <v>44342</v>
      </c>
      <c r="X226" s="2144" t="s">
        <v>9035</v>
      </c>
      <c r="Y226" s="2140">
        <v>44363</v>
      </c>
      <c r="Z226" s="2140">
        <v>44379</v>
      </c>
      <c r="AA226" s="2140">
        <v>45458</v>
      </c>
      <c r="AB226" s="2140">
        <v>44642</v>
      </c>
      <c r="AC226" s="2109">
        <v>2022</v>
      </c>
      <c r="AD226" s="2109">
        <v>2023</v>
      </c>
      <c r="AE226" s="2109" t="s">
        <v>9204</v>
      </c>
    </row>
    <row r="227" spans="1:33" ht="30">
      <c r="A227" s="2140">
        <v>44250</v>
      </c>
      <c r="B227" s="2141" t="s">
        <v>8353</v>
      </c>
      <c r="C227" s="2141" t="s">
        <v>2434</v>
      </c>
      <c r="D227" s="2141" t="s">
        <v>751</v>
      </c>
      <c r="E227" s="2267" t="s">
        <v>8354</v>
      </c>
      <c r="F227" s="2141">
        <v>4</v>
      </c>
      <c r="G227" s="2143" t="s">
        <v>3825</v>
      </c>
      <c r="H227" s="2085"/>
      <c r="I227" s="2264" t="s">
        <v>3890</v>
      </c>
      <c r="J227" s="2141"/>
      <c r="K227" s="2144">
        <v>9705000</v>
      </c>
      <c r="L227" s="2141" t="s">
        <v>251</v>
      </c>
      <c r="M227" s="2140">
        <v>44277</v>
      </c>
      <c r="N227" s="2140">
        <v>44309</v>
      </c>
      <c r="O227" s="2140">
        <v>44341</v>
      </c>
      <c r="P227" s="2143" t="s">
        <v>2974</v>
      </c>
      <c r="Q227" s="2141"/>
      <c r="R227" s="2144">
        <v>9429800</v>
      </c>
      <c r="S227" s="2144">
        <v>11410058</v>
      </c>
      <c r="T227" s="2094"/>
      <c r="U227" s="2094"/>
      <c r="V227" s="2094"/>
      <c r="W227" s="2146">
        <v>44342</v>
      </c>
      <c r="X227" s="2260" t="s">
        <v>9036</v>
      </c>
      <c r="Y227" s="2140">
        <v>44370</v>
      </c>
      <c r="Z227" s="2140">
        <v>44379</v>
      </c>
      <c r="AA227" s="2140">
        <v>45465</v>
      </c>
      <c r="AB227" s="2140">
        <v>44642</v>
      </c>
      <c r="AC227" s="2109">
        <v>2022</v>
      </c>
      <c r="AD227" s="2109">
        <v>2023</v>
      </c>
      <c r="AE227" s="2109" t="s">
        <v>9261</v>
      </c>
    </row>
    <row r="228" spans="1:33" ht="30">
      <c r="A228" s="2140">
        <v>44250</v>
      </c>
      <c r="B228" s="2141" t="s">
        <v>8353</v>
      </c>
      <c r="C228" s="2141" t="s">
        <v>2434</v>
      </c>
      <c r="D228" s="2141" t="s">
        <v>751</v>
      </c>
      <c r="E228" s="2267" t="s">
        <v>8354</v>
      </c>
      <c r="F228" s="2141">
        <v>5</v>
      </c>
      <c r="G228" s="2143" t="s">
        <v>8351</v>
      </c>
      <c r="H228" s="2141"/>
      <c r="I228" s="2264" t="s">
        <v>3890</v>
      </c>
      <c r="J228" s="2141"/>
      <c r="K228" s="2144">
        <v>3378990</v>
      </c>
      <c r="L228" s="2141" t="s">
        <v>251</v>
      </c>
      <c r="M228" s="2140">
        <v>44277</v>
      </c>
      <c r="N228" s="2140">
        <v>44309</v>
      </c>
      <c r="O228" s="2140">
        <v>44341</v>
      </c>
      <c r="P228" s="2143" t="s">
        <v>2776</v>
      </c>
      <c r="Q228" s="2141"/>
      <c r="R228" s="2144">
        <v>3372873.6</v>
      </c>
      <c r="S228" s="2144">
        <v>4081200</v>
      </c>
      <c r="T228" s="2145"/>
      <c r="U228" s="2145"/>
      <c r="V228" s="2145"/>
      <c r="W228" s="2146">
        <v>44342</v>
      </c>
      <c r="X228" s="2260" t="s">
        <v>9037</v>
      </c>
      <c r="Y228" s="2140">
        <v>44363</v>
      </c>
      <c r="Z228" s="2140">
        <v>44379</v>
      </c>
      <c r="AA228" s="2140">
        <v>45458</v>
      </c>
      <c r="AB228" s="2140">
        <v>44642</v>
      </c>
      <c r="AC228" s="2109">
        <v>2022</v>
      </c>
      <c r="AD228" s="2109">
        <v>2023</v>
      </c>
      <c r="AE228" s="2109" t="s">
        <v>9204</v>
      </c>
    </row>
    <row r="229" spans="1:33" ht="30">
      <c r="A229" s="2140">
        <v>44250</v>
      </c>
      <c r="B229" s="2141" t="s">
        <v>8353</v>
      </c>
      <c r="C229" s="2141" t="s">
        <v>2434</v>
      </c>
      <c r="D229" s="2141" t="s">
        <v>751</v>
      </c>
      <c r="E229" s="2267" t="s">
        <v>8354</v>
      </c>
      <c r="F229" s="2141">
        <v>6</v>
      </c>
      <c r="G229" s="2143" t="s">
        <v>8352</v>
      </c>
      <c r="H229" s="2141"/>
      <c r="I229" s="2264" t="s">
        <v>3890</v>
      </c>
      <c r="J229" s="2141"/>
      <c r="K229" s="2144">
        <v>26578800</v>
      </c>
      <c r="L229" s="2141" t="s">
        <v>251</v>
      </c>
      <c r="M229" s="2140">
        <v>44277</v>
      </c>
      <c r="N229" s="2140">
        <v>44309</v>
      </c>
      <c r="O229" s="2140">
        <v>44341</v>
      </c>
      <c r="P229" s="2143" t="s">
        <v>2776</v>
      </c>
      <c r="Q229" s="2141"/>
      <c r="R229" s="2144">
        <v>26578800</v>
      </c>
      <c r="S229" s="2144">
        <v>32160348</v>
      </c>
      <c r="T229" s="2145"/>
      <c r="U229" s="2145"/>
      <c r="V229" s="2145"/>
      <c r="W229" s="2146">
        <v>44342</v>
      </c>
      <c r="X229" s="2260" t="s">
        <v>9038</v>
      </c>
      <c r="Y229" s="2140">
        <v>44363</v>
      </c>
      <c r="Z229" s="2140">
        <v>44379</v>
      </c>
      <c r="AA229" s="2140">
        <v>45458</v>
      </c>
      <c r="AB229" s="2140">
        <v>44642</v>
      </c>
      <c r="AC229" s="2109">
        <v>2022</v>
      </c>
      <c r="AD229" s="2109">
        <v>2023</v>
      </c>
      <c r="AE229" s="2109" t="s">
        <v>9204</v>
      </c>
    </row>
    <row r="230" spans="1:33" ht="30">
      <c r="A230" s="2140">
        <v>44250</v>
      </c>
      <c r="B230" s="2141" t="s">
        <v>8353</v>
      </c>
      <c r="C230" s="2141" t="s">
        <v>2434</v>
      </c>
      <c r="D230" s="2141" t="s">
        <v>751</v>
      </c>
      <c r="E230" s="2267" t="s">
        <v>8354</v>
      </c>
      <c r="F230" s="2141">
        <v>7</v>
      </c>
      <c r="G230" s="2143" t="s">
        <v>3828</v>
      </c>
      <c r="H230" s="2141"/>
      <c r="I230" s="2264" t="s">
        <v>3890</v>
      </c>
      <c r="J230" s="2141"/>
      <c r="K230" s="2144">
        <v>6840000</v>
      </c>
      <c r="L230" s="2141" t="s">
        <v>251</v>
      </c>
      <c r="M230" s="2140">
        <v>44277</v>
      </c>
      <c r="N230" s="2140">
        <v>44309</v>
      </c>
      <c r="O230" s="2140">
        <v>44341</v>
      </c>
      <c r="P230" s="2143" t="s">
        <v>2776</v>
      </c>
      <c r="Q230" s="2141"/>
      <c r="R230" s="2144">
        <v>6840000</v>
      </c>
      <c r="S230" s="2144">
        <v>8276400</v>
      </c>
      <c r="T230" s="2145"/>
      <c r="U230" s="2145"/>
      <c r="V230" s="2145"/>
      <c r="W230" s="2146">
        <v>44342</v>
      </c>
      <c r="X230" s="2260" t="s">
        <v>9039</v>
      </c>
      <c r="Y230" s="2140">
        <v>44363</v>
      </c>
      <c r="Z230" s="2140">
        <v>44379</v>
      </c>
      <c r="AA230" s="2140">
        <v>45458</v>
      </c>
      <c r="AB230" s="2140">
        <v>44642</v>
      </c>
      <c r="AC230" s="2109">
        <v>2022</v>
      </c>
      <c r="AD230" s="2109">
        <v>2023</v>
      </c>
      <c r="AE230" s="2109" t="s">
        <v>9204</v>
      </c>
    </row>
    <row r="231" spans="1:33" ht="30.75" thickBot="1">
      <c r="A231" s="2117">
        <v>44250</v>
      </c>
      <c r="B231" s="2118" t="s">
        <v>8353</v>
      </c>
      <c r="C231" s="2118" t="s">
        <v>2434</v>
      </c>
      <c r="D231" s="2118" t="s">
        <v>751</v>
      </c>
      <c r="E231" s="2268" t="s">
        <v>8354</v>
      </c>
      <c r="F231" s="2118">
        <v>8</v>
      </c>
      <c r="G231" s="2120" t="s">
        <v>3829</v>
      </c>
      <c r="H231" s="2118"/>
      <c r="I231" s="2266" t="s">
        <v>3890</v>
      </c>
      <c r="J231" s="2118"/>
      <c r="K231" s="2121">
        <v>28925000</v>
      </c>
      <c r="L231" s="2118" t="s">
        <v>251</v>
      </c>
      <c r="M231" s="2117">
        <v>44277</v>
      </c>
      <c r="N231" s="2117">
        <v>44309</v>
      </c>
      <c r="O231" s="2117">
        <v>44341</v>
      </c>
      <c r="P231" s="2120" t="s">
        <v>3478</v>
      </c>
      <c r="Q231" s="2118"/>
      <c r="R231" s="2121">
        <v>28925000</v>
      </c>
      <c r="S231" s="2121">
        <v>34999250</v>
      </c>
      <c r="T231" s="2122"/>
      <c r="U231" s="2122"/>
      <c r="V231" s="2122"/>
      <c r="W231" s="2123">
        <v>44342</v>
      </c>
      <c r="X231" s="2246" t="s">
        <v>9040</v>
      </c>
      <c r="Y231" s="2117">
        <v>44368</v>
      </c>
      <c r="Z231" s="2117">
        <v>44379</v>
      </c>
      <c r="AA231" s="2117">
        <v>45463</v>
      </c>
      <c r="AB231" s="2117">
        <v>44642</v>
      </c>
      <c r="AC231" s="2110">
        <v>2022</v>
      </c>
      <c r="AD231" s="2110">
        <v>2023</v>
      </c>
      <c r="AE231" s="2110" t="s">
        <v>9241</v>
      </c>
    </row>
    <row r="232" spans="1:33" ht="15.75" thickTop="1">
      <c r="A232" s="443">
        <v>44252</v>
      </c>
      <c r="B232" s="439" t="s">
        <v>8348</v>
      </c>
      <c r="C232" s="439" t="s">
        <v>69</v>
      </c>
      <c r="D232" s="439" t="s">
        <v>70</v>
      </c>
      <c r="E232" s="440" t="s">
        <v>8342</v>
      </c>
      <c r="F232" s="439">
        <v>1</v>
      </c>
      <c r="G232" s="1883" t="s">
        <v>8343</v>
      </c>
      <c r="H232" s="439"/>
      <c r="I232" s="439" t="s">
        <v>72</v>
      </c>
      <c r="J232" s="439"/>
      <c r="K232" s="444">
        <v>60243750</v>
      </c>
      <c r="L232" s="439" t="s">
        <v>251</v>
      </c>
      <c r="M232" s="443">
        <v>44263</v>
      </c>
      <c r="N232" s="443">
        <v>44326</v>
      </c>
      <c r="O232" s="439"/>
      <c r="P232" s="1431"/>
      <c r="Q232" s="439"/>
      <c r="R232" s="444"/>
      <c r="S232" s="444"/>
      <c r="T232" s="1481"/>
      <c r="U232" s="1481"/>
      <c r="V232" s="1481"/>
      <c r="W232" s="444"/>
      <c r="X232" s="444"/>
      <c r="Y232" s="439"/>
      <c r="Z232" s="443">
        <v>44315</v>
      </c>
      <c r="AA232" s="1431" t="s">
        <v>8543</v>
      </c>
      <c r="AB232" s="466"/>
      <c r="AC232" s="466"/>
    </row>
    <row r="233" spans="1:33">
      <c r="A233" s="2140">
        <v>44252</v>
      </c>
      <c r="B233" s="2141" t="s">
        <v>8348</v>
      </c>
      <c r="C233" s="2141" t="s">
        <v>69</v>
      </c>
      <c r="D233" s="2141" t="s">
        <v>70</v>
      </c>
      <c r="E233" s="2142" t="s">
        <v>8342</v>
      </c>
      <c r="F233" s="2141">
        <v>2</v>
      </c>
      <c r="G233" s="2289" t="s">
        <v>8344</v>
      </c>
      <c r="H233" s="2085"/>
      <c r="I233" s="2141" t="s">
        <v>72</v>
      </c>
      <c r="J233" s="2141"/>
      <c r="K233" s="2144">
        <v>5469639</v>
      </c>
      <c r="L233" s="2141" t="s">
        <v>251</v>
      </c>
      <c r="M233" s="2140">
        <v>44263</v>
      </c>
      <c r="N233" s="2140">
        <v>44326</v>
      </c>
      <c r="O233" s="2140">
        <v>44344</v>
      </c>
      <c r="P233" s="2143" t="s">
        <v>2548</v>
      </c>
      <c r="Q233" s="2141"/>
      <c r="R233" s="2144">
        <v>5469639</v>
      </c>
      <c r="S233" s="2144">
        <v>6016602.9000000004</v>
      </c>
      <c r="T233" s="2094"/>
      <c r="U233" s="2094"/>
      <c r="V233" s="2094"/>
      <c r="W233" s="2146">
        <v>44344</v>
      </c>
      <c r="X233" s="2144" t="s">
        <v>9046</v>
      </c>
      <c r="Y233" s="2140">
        <v>44370</v>
      </c>
      <c r="Z233" s="2140">
        <v>44376</v>
      </c>
      <c r="AA233" s="2140">
        <v>46195</v>
      </c>
      <c r="AB233" s="2141" t="s">
        <v>11373</v>
      </c>
      <c r="AC233" s="2109">
        <v>2022</v>
      </c>
      <c r="AD233" s="388">
        <v>2023</v>
      </c>
      <c r="AE233" s="388">
        <v>2024</v>
      </c>
      <c r="AF233" s="388">
        <v>2025</v>
      </c>
      <c r="AG233" s="388" t="s">
        <v>9260</v>
      </c>
    </row>
    <row r="234" spans="1:33">
      <c r="A234" s="2140">
        <v>44252</v>
      </c>
      <c r="B234" s="2141" t="s">
        <v>8348</v>
      </c>
      <c r="C234" s="2141" t="s">
        <v>69</v>
      </c>
      <c r="D234" s="2141" t="s">
        <v>70</v>
      </c>
      <c r="E234" s="2142" t="s">
        <v>8342</v>
      </c>
      <c r="F234" s="2141">
        <v>3</v>
      </c>
      <c r="G234" s="2289" t="s">
        <v>8345</v>
      </c>
      <c r="H234" s="2141"/>
      <c r="I234" s="2141" t="s">
        <v>72</v>
      </c>
      <c r="J234" s="2141"/>
      <c r="K234" s="2144">
        <v>5831317</v>
      </c>
      <c r="L234" s="2141" t="s">
        <v>251</v>
      </c>
      <c r="M234" s="2140">
        <v>44263</v>
      </c>
      <c r="N234" s="2140">
        <v>44326</v>
      </c>
      <c r="O234" s="2140">
        <v>44344</v>
      </c>
      <c r="P234" s="2143" t="s">
        <v>576</v>
      </c>
      <c r="Q234" s="2141"/>
      <c r="R234" s="2144">
        <v>3675714</v>
      </c>
      <c r="S234" s="2144">
        <v>4043285.4</v>
      </c>
      <c r="T234" s="2145"/>
      <c r="U234" s="2145"/>
      <c r="V234" s="2145"/>
      <c r="W234" s="2146">
        <v>44344</v>
      </c>
      <c r="X234" s="2144" t="s">
        <v>9047</v>
      </c>
      <c r="Y234" s="2140">
        <v>44368</v>
      </c>
      <c r="Z234" s="2140">
        <v>44376</v>
      </c>
      <c r="AA234" s="2140">
        <v>46193</v>
      </c>
      <c r="AB234" s="2140">
        <v>44648</v>
      </c>
      <c r="AC234" s="2109">
        <v>2022</v>
      </c>
      <c r="AD234" s="388">
        <v>2023</v>
      </c>
      <c r="AE234" s="388">
        <v>2024</v>
      </c>
      <c r="AF234" s="388">
        <v>2025</v>
      </c>
      <c r="AG234" s="388" t="s">
        <v>9240</v>
      </c>
    </row>
    <row r="235" spans="1:33">
      <c r="A235" s="2140">
        <v>44252</v>
      </c>
      <c r="B235" s="2141" t="s">
        <v>8348</v>
      </c>
      <c r="C235" s="2141" t="s">
        <v>69</v>
      </c>
      <c r="D235" s="2141" t="s">
        <v>70</v>
      </c>
      <c r="E235" s="2142" t="s">
        <v>8342</v>
      </c>
      <c r="F235" s="2141">
        <v>4</v>
      </c>
      <c r="G235" s="2289" t="s">
        <v>8346</v>
      </c>
      <c r="H235" s="2141"/>
      <c r="I235" s="2141" t="s">
        <v>72</v>
      </c>
      <c r="J235" s="2141"/>
      <c r="K235" s="2144">
        <v>8011033</v>
      </c>
      <c r="L235" s="2141" t="s">
        <v>251</v>
      </c>
      <c r="M235" s="2140">
        <v>44263</v>
      </c>
      <c r="N235" s="2140">
        <v>44326</v>
      </c>
      <c r="O235" s="2140">
        <v>44344</v>
      </c>
      <c r="P235" s="2143" t="s">
        <v>7042</v>
      </c>
      <c r="Q235" s="2141"/>
      <c r="R235" s="2144">
        <v>6763211.04</v>
      </c>
      <c r="S235" s="2144">
        <v>7439532.1399999997</v>
      </c>
      <c r="T235" s="2145"/>
      <c r="U235" s="2145"/>
      <c r="V235" s="2145"/>
      <c r="W235" s="2146">
        <v>44344</v>
      </c>
      <c r="X235" s="2144" t="s">
        <v>9048</v>
      </c>
      <c r="Y235" s="2140">
        <v>44375</v>
      </c>
      <c r="Z235" s="2140">
        <v>44376</v>
      </c>
      <c r="AA235" s="2140">
        <v>45835</v>
      </c>
      <c r="AB235" s="2140">
        <v>44648</v>
      </c>
      <c r="AC235" s="2109">
        <v>2022</v>
      </c>
      <c r="AD235" s="388">
        <v>2023</v>
      </c>
      <c r="AE235" s="388">
        <v>2024</v>
      </c>
      <c r="AF235" s="388" t="s">
        <v>9277</v>
      </c>
    </row>
    <row r="236" spans="1:33" ht="15.75" thickBot="1">
      <c r="A236" s="2117">
        <v>44252</v>
      </c>
      <c r="B236" s="2118" t="s">
        <v>8348</v>
      </c>
      <c r="C236" s="2118" t="s">
        <v>69</v>
      </c>
      <c r="D236" s="2290" t="s">
        <v>70</v>
      </c>
      <c r="E236" s="2119" t="s">
        <v>8342</v>
      </c>
      <c r="F236" s="2118">
        <v>5</v>
      </c>
      <c r="G236" s="2291" t="s">
        <v>8347</v>
      </c>
      <c r="H236" s="2089"/>
      <c r="I236" s="2118" t="s">
        <v>72</v>
      </c>
      <c r="J236" s="2118"/>
      <c r="K236" s="2121">
        <v>4417024</v>
      </c>
      <c r="L236" s="2118" t="s">
        <v>251</v>
      </c>
      <c r="M236" s="2117">
        <v>44263</v>
      </c>
      <c r="N236" s="2117">
        <v>44326</v>
      </c>
      <c r="O236" s="2117">
        <v>44344</v>
      </c>
      <c r="P236" s="2120" t="s">
        <v>2548</v>
      </c>
      <c r="Q236" s="2118"/>
      <c r="R236" s="2121">
        <v>4417023.5</v>
      </c>
      <c r="S236" s="2121">
        <v>4858725.8499999996</v>
      </c>
      <c r="T236" s="2095"/>
      <c r="U236" s="2095"/>
      <c r="V236" s="2095"/>
      <c r="W236" s="2123">
        <v>44344</v>
      </c>
      <c r="X236" s="2121" t="s">
        <v>9049</v>
      </c>
      <c r="Y236" s="2117">
        <v>44370</v>
      </c>
      <c r="Z236" s="2117">
        <v>44376</v>
      </c>
      <c r="AA236" s="2117">
        <v>46195</v>
      </c>
      <c r="AB236" s="2117">
        <v>44648</v>
      </c>
      <c r="AC236" s="2110">
        <v>2022</v>
      </c>
      <c r="AD236" s="388">
        <v>2023</v>
      </c>
      <c r="AE236" s="388">
        <v>2024</v>
      </c>
      <c r="AF236" s="388">
        <v>2025</v>
      </c>
      <c r="AG236" s="388" t="s">
        <v>9260</v>
      </c>
    </row>
    <row r="237" spans="1:33" ht="15.75" thickTop="1">
      <c r="A237" s="443">
        <v>44252</v>
      </c>
      <c r="B237" s="439" t="s">
        <v>8355</v>
      </c>
      <c r="C237" s="439" t="s">
        <v>69</v>
      </c>
      <c r="D237" s="2181" t="s">
        <v>70</v>
      </c>
      <c r="E237" s="440" t="s">
        <v>8356</v>
      </c>
      <c r="F237" s="439">
        <v>1</v>
      </c>
      <c r="G237" s="1883" t="s">
        <v>8357</v>
      </c>
      <c r="H237" s="583"/>
      <c r="I237" s="439" t="s">
        <v>7938</v>
      </c>
      <c r="J237" s="439"/>
      <c r="K237" s="444">
        <v>69447975</v>
      </c>
      <c r="L237" s="439" t="s">
        <v>251</v>
      </c>
      <c r="M237" s="443">
        <v>44264</v>
      </c>
      <c r="N237" s="443">
        <v>44299</v>
      </c>
      <c r="O237" s="439"/>
      <c r="P237" s="753" t="s">
        <v>304</v>
      </c>
      <c r="Q237" s="538"/>
      <c r="R237" s="444"/>
      <c r="S237" s="444"/>
      <c r="T237" s="1483"/>
      <c r="U237" s="1483"/>
      <c r="V237" s="1483"/>
      <c r="W237" s="444"/>
      <c r="X237" s="444"/>
      <c r="Y237" s="439"/>
      <c r="Z237" s="443">
        <v>44349</v>
      </c>
      <c r="AA237" s="1431" t="s">
        <v>8902</v>
      </c>
      <c r="AB237" s="439"/>
      <c r="AC237" s="439"/>
    </row>
    <row r="238" spans="1:33" ht="15.75" thickBot="1">
      <c r="A238" s="2117">
        <v>44252</v>
      </c>
      <c r="B238" s="2118" t="s">
        <v>8355</v>
      </c>
      <c r="C238" s="2118" t="s">
        <v>69</v>
      </c>
      <c r="D238" s="2118" t="s">
        <v>70</v>
      </c>
      <c r="E238" s="2119" t="s">
        <v>8356</v>
      </c>
      <c r="F238" s="2118">
        <v>2</v>
      </c>
      <c r="G238" s="2291" t="s">
        <v>8358</v>
      </c>
      <c r="H238" s="2118"/>
      <c r="I238" s="2118" t="s">
        <v>7938</v>
      </c>
      <c r="J238" s="2118"/>
      <c r="K238" s="2121">
        <v>23806615</v>
      </c>
      <c r="L238" s="2118" t="s">
        <v>251</v>
      </c>
      <c r="M238" s="2117">
        <v>44264</v>
      </c>
      <c r="N238" s="2117">
        <v>44299</v>
      </c>
      <c r="O238" s="2117">
        <v>44322</v>
      </c>
      <c r="P238" s="2120" t="s">
        <v>2490</v>
      </c>
      <c r="Q238" s="2118"/>
      <c r="R238" s="2121">
        <v>23806450</v>
      </c>
      <c r="S238" s="2121">
        <v>26187095</v>
      </c>
      <c r="T238" s="2122"/>
      <c r="U238" s="2122"/>
      <c r="V238" s="2122"/>
      <c r="W238" s="2123">
        <v>44322</v>
      </c>
      <c r="X238" s="2121" t="s">
        <v>8898</v>
      </c>
      <c r="Y238" s="2117">
        <v>44343</v>
      </c>
      <c r="Z238" s="2117">
        <v>44349</v>
      </c>
      <c r="AA238" s="2117">
        <v>46168</v>
      </c>
      <c r="AB238" s="2117">
        <v>44648</v>
      </c>
      <c r="AC238" s="2110">
        <v>2022</v>
      </c>
      <c r="AD238" s="388">
        <v>2023</v>
      </c>
      <c r="AE238" s="388">
        <v>2024</v>
      </c>
      <c r="AF238" s="388">
        <v>2025</v>
      </c>
      <c r="AG238" s="388" t="s">
        <v>9050</v>
      </c>
    </row>
    <row r="239" spans="1:33" ht="15.75" thickTop="1">
      <c r="A239" s="474">
        <v>44252</v>
      </c>
      <c r="B239" s="453" t="s">
        <v>8359</v>
      </c>
      <c r="C239" s="453" t="s">
        <v>69</v>
      </c>
      <c r="D239" s="453" t="s">
        <v>70</v>
      </c>
      <c r="E239" s="473" t="s">
        <v>8360</v>
      </c>
      <c r="F239" s="453">
        <v>1</v>
      </c>
      <c r="G239" s="2292" t="s">
        <v>8361</v>
      </c>
      <c r="H239" s="453"/>
      <c r="I239" s="453" t="s">
        <v>3438</v>
      </c>
      <c r="J239" s="453"/>
      <c r="K239" s="457">
        <v>49309756</v>
      </c>
      <c r="L239" s="453" t="s">
        <v>251</v>
      </c>
      <c r="M239" s="474">
        <v>44258</v>
      </c>
      <c r="N239" s="474">
        <v>44305</v>
      </c>
      <c r="O239" s="474">
        <v>44322</v>
      </c>
      <c r="P239" s="1420" t="s">
        <v>576</v>
      </c>
      <c r="Q239" s="453"/>
      <c r="R239" s="457">
        <v>49265535</v>
      </c>
      <c r="S239" s="457">
        <v>54192088.5</v>
      </c>
      <c r="T239" s="1474"/>
      <c r="U239" s="1474"/>
      <c r="V239" s="1474"/>
      <c r="W239" s="570">
        <v>44322</v>
      </c>
      <c r="X239" s="457" t="s">
        <v>8896</v>
      </c>
      <c r="Y239" s="474">
        <v>44342</v>
      </c>
      <c r="Z239" s="474">
        <v>44354</v>
      </c>
      <c r="AA239" s="474">
        <v>46167</v>
      </c>
      <c r="AB239" s="474">
        <v>44648</v>
      </c>
      <c r="AC239" s="1391">
        <v>2022</v>
      </c>
      <c r="AD239" s="388">
        <v>2023</v>
      </c>
      <c r="AE239" s="388">
        <v>2024</v>
      </c>
      <c r="AF239" s="388">
        <v>2025</v>
      </c>
      <c r="AG239" s="388" t="s">
        <v>9054</v>
      </c>
    </row>
    <row r="240" spans="1:33" ht="15.75" thickBot="1">
      <c r="A240" s="2117">
        <v>44252</v>
      </c>
      <c r="B240" s="2118" t="s">
        <v>8359</v>
      </c>
      <c r="C240" s="2118" t="s">
        <v>69</v>
      </c>
      <c r="D240" s="2118" t="s">
        <v>70</v>
      </c>
      <c r="E240" s="2119" t="s">
        <v>8360</v>
      </c>
      <c r="F240" s="2118">
        <v>2</v>
      </c>
      <c r="G240" s="2291" t="s">
        <v>8362</v>
      </c>
      <c r="H240" s="2118"/>
      <c r="I240" s="2118" t="s">
        <v>3438</v>
      </c>
      <c r="J240" s="2118"/>
      <c r="K240" s="2121">
        <v>14263044</v>
      </c>
      <c r="L240" s="2118" t="s">
        <v>251</v>
      </c>
      <c r="M240" s="2117">
        <v>44258</v>
      </c>
      <c r="N240" s="2117">
        <v>44305</v>
      </c>
      <c r="O240" s="2117">
        <v>44322</v>
      </c>
      <c r="P240" s="2120" t="s">
        <v>2548</v>
      </c>
      <c r="Q240" s="2118"/>
      <c r="R240" s="2121">
        <v>14263043.1</v>
      </c>
      <c r="S240" s="2121">
        <v>15689347.41</v>
      </c>
      <c r="T240" s="2122"/>
      <c r="U240" s="2122"/>
      <c r="V240" s="2122"/>
      <c r="W240" s="2123">
        <v>44322</v>
      </c>
      <c r="X240" s="2121" t="s">
        <v>8897</v>
      </c>
      <c r="Y240" s="2117">
        <v>44350</v>
      </c>
      <c r="Z240" s="2117">
        <v>44354</v>
      </c>
      <c r="AA240" s="2117">
        <v>46175</v>
      </c>
      <c r="AB240" s="2117">
        <v>44648</v>
      </c>
      <c r="AC240" s="2110">
        <v>2022</v>
      </c>
      <c r="AD240" s="388">
        <v>2023</v>
      </c>
      <c r="AE240" s="388">
        <v>2024</v>
      </c>
      <c r="AF240" s="388">
        <v>2025</v>
      </c>
      <c r="AG240" s="388" t="s">
        <v>9112</v>
      </c>
    </row>
    <row r="241" spans="1:33" ht="15.75" thickTop="1">
      <c r="A241" s="474">
        <v>44252</v>
      </c>
      <c r="B241" s="453" t="s">
        <v>8363</v>
      </c>
      <c r="C241" s="453" t="s">
        <v>69</v>
      </c>
      <c r="D241" s="453" t="s">
        <v>70</v>
      </c>
      <c r="E241" s="473" t="s">
        <v>8364</v>
      </c>
      <c r="F241" s="453">
        <v>1</v>
      </c>
      <c r="G241" s="2292" t="s">
        <v>5298</v>
      </c>
      <c r="H241" s="453"/>
      <c r="I241" s="453" t="s">
        <v>3451</v>
      </c>
      <c r="J241" s="453"/>
      <c r="K241" s="457">
        <v>38164742</v>
      </c>
      <c r="L241" s="453" t="s">
        <v>251</v>
      </c>
      <c r="M241" s="474">
        <v>44270</v>
      </c>
      <c r="N241" s="474">
        <v>44305</v>
      </c>
      <c r="O241" s="474">
        <v>44309</v>
      </c>
      <c r="P241" s="1420" t="s">
        <v>578</v>
      </c>
      <c r="Q241" s="453"/>
      <c r="R241" s="457">
        <v>38164741.5</v>
      </c>
      <c r="S241" s="457">
        <v>41981215.649999999</v>
      </c>
      <c r="T241" s="1474"/>
      <c r="U241" s="1474"/>
      <c r="V241" s="1474"/>
      <c r="W241" s="570">
        <v>44309</v>
      </c>
      <c r="X241" s="457" t="s">
        <v>8791</v>
      </c>
      <c r="Y241" s="474">
        <v>44329</v>
      </c>
      <c r="Z241" s="474">
        <v>44343</v>
      </c>
      <c r="AA241" s="474">
        <v>46154</v>
      </c>
      <c r="AB241" s="474">
        <v>44648</v>
      </c>
      <c r="AC241" s="1391">
        <v>2022</v>
      </c>
      <c r="AD241" s="388">
        <v>2023</v>
      </c>
      <c r="AE241" s="388">
        <v>2024</v>
      </c>
      <c r="AF241" s="388">
        <v>2025</v>
      </c>
      <c r="AG241" s="388" t="s">
        <v>8951</v>
      </c>
    </row>
    <row r="242" spans="1:33" ht="15.75" thickBot="1">
      <c r="A242" s="2117">
        <v>44252</v>
      </c>
      <c r="B242" s="2118" t="s">
        <v>8363</v>
      </c>
      <c r="C242" s="2118" t="s">
        <v>69</v>
      </c>
      <c r="D242" s="2118" t="s">
        <v>70</v>
      </c>
      <c r="E242" s="2119" t="s">
        <v>8364</v>
      </c>
      <c r="F242" s="2118">
        <v>2</v>
      </c>
      <c r="G242" s="2291" t="s">
        <v>8365</v>
      </c>
      <c r="H242" s="2118"/>
      <c r="I242" s="2118" t="s">
        <v>3451</v>
      </c>
      <c r="J242" s="2118"/>
      <c r="K242" s="2121">
        <v>22873184</v>
      </c>
      <c r="L242" s="2118" t="s">
        <v>251</v>
      </c>
      <c r="M242" s="2117">
        <v>44270</v>
      </c>
      <c r="N242" s="2117">
        <v>44305</v>
      </c>
      <c r="O242" s="2117">
        <v>44309</v>
      </c>
      <c r="P242" s="2120" t="s">
        <v>576</v>
      </c>
      <c r="Q242" s="2118"/>
      <c r="R242" s="2121">
        <v>22873183.050000001</v>
      </c>
      <c r="S242" s="2121">
        <v>25160501.359999999</v>
      </c>
      <c r="T242" s="2122"/>
      <c r="U242" s="2122"/>
      <c r="V242" s="2122"/>
      <c r="W242" s="2123">
        <v>44309</v>
      </c>
      <c r="X242" s="2121" t="s">
        <v>8792</v>
      </c>
      <c r="Y242" s="2117">
        <v>44336</v>
      </c>
      <c r="Z242" s="2117">
        <v>44343</v>
      </c>
      <c r="AA242" s="2117">
        <v>46161</v>
      </c>
      <c r="AB242" s="2117">
        <v>44648</v>
      </c>
      <c r="AC242" s="2110">
        <v>2022</v>
      </c>
      <c r="AD242" s="388">
        <v>2023</v>
      </c>
      <c r="AE242" s="388">
        <v>2024</v>
      </c>
      <c r="AF242" s="388">
        <v>2025</v>
      </c>
      <c r="AG242" s="388" t="s">
        <v>9003</v>
      </c>
    </row>
    <row r="243" spans="1:33" ht="16.5" thickTop="1" thickBot="1">
      <c r="A243" s="498">
        <v>44252</v>
      </c>
      <c r="B243" s="232" t="s">
        <v>8367</v>
      </c>
      <c r="C243" s="232" t="s">
        <v>69</v>
      </c>
      <c r="D243" s="232" t="s">
        <v>70</v>
      </c>
      <c r="E243" s="274" t="s">
        <v>8366</v>
      </c>
      <c r="F243" s="232">
        <v>1</v>
      </c>
      <c r="G243" s="669" t="s">
        <v>8368</v>
      </c>
      <c r="H243" s="232"/>
      <c r="I243" s="232" t="s">
        <v>68</v>
      </c>
      <c r="J243" s="232"/>
      <c r="K243" s="499">
        <v>16200760</v>
      </c>
      <c r="L243" s="232" t="s">
        <v>251</v>
      </c>
      <c r="M243" s="498">
        <v>44266</v>
      </c>
      <c r="N243" s="498">
        <v>44300</v>
      </c>
      <c r="O243" s="498">
        <v>44309</v>
      </c>
      <c r="P243" s="669" t="s">
        <v>1318</v>
      </c>
      <c r="Q243" s="232"/>
      <c r="R243" s="499">
        <v>13831487.210000001</v>
      </c>
      <c r="S243" s="499">
        <v>15214635.93</v>
      </c>
      <c r="T243" s="1545"/>
      <c r="U243" s="1545"/>
      <c r="V243" s="1545"/>
      <c r="W243" s="682">
        <v>44309</v>
      </c>
      <c r="X243" s="499" t="s">
        <v>8788</v>
      </c>
      <c r="Y243" s="498">
        <v>44333</v>
      </c>
      <c r="Z243" s="498">
        <v>44334</v>
      </c>
      <c r="AA243" s="498">
        <v>44722</v>
      </c>
      <c r="AB243" s="498">
        <v>44648</v>
      </c>
      <c r="AC243" s="1546" t="s">
        <v>8971</v>
      </c>
    </row>
    <row r="244" spans="1:33" ht="15.75" thickTop="1">
      <c r="A244" s="443">
        <v>44252</v>
      </c>
      <c r="B244" s="439" t="s">
        <v>8381</v>
      </c>
      <c r="C244" s="439" t="s">
        <v>69</v>
      </c>
      <c r="D244" s="439" t="s">
        <v>70</v>
      </c>
      <c r="E244" s="440" t="s">
        <v>7231</v>
      </c>
      <c r="F244" s="439">
        <v>1</v>
      </c>
      <c r="G244" s="1431" t="s">
        <v>7232</v>
      </c>
      <c r="H244" s="439"/>
      <c r="I244" s="439" t="s">
        <v>7224</v>
      </c>
      <c r="J244" s="439"/>
      <c r="K244" s="444">
        <v>278112</v>
      </c>
      <c r="L244" s="439" t="s">
        <v>112</v>
      </c>
      <c r="M244" s="443">
        <v>44259</v>
      </c>
      <c r="N244" s="443">
        <v>44270</v>
      </c>
      <c r="O244" s="439"/>
      <c r="P244" s="753" t="s">
        <v>8431</v>
      </c>
      <c r="Q244" s="538"/>
      <c r="R244" s="444"/>
      <c r="S244" s="444"/>
      <c r="T244" s="1481"/>
      <c r="U244" s="1481"/>
      <c r="V244" s="1481"/>
      <c r="W244" s="444"/>
      <c r="X244" s="444"/>
      <c r="Y244" s="439"/>
      <c r="Z244" s="443">
        <v>44267</v>
      </c>
      <c r="AA244" s="439"/>
      <c r="AB244" s="439"/>
      <c r="AC244" s="439"/>
    </row>
    <row r="245" spans="1:33">
      <c r="A245" s="2124">
        <v>44252</v>
      </c>
      <c r="B245" s="2125" t="s">
        <v>8381</v>
      </c>
      <c r="C245" s="2125" t="s">
        <v>69</v>
      </c>
      <c r="D245" s="2125" t="s">
        <v>70</v>
      </c>
      <c r="E245" s="2126" t="s">
        <v>7231</v>
      </c>
      <c r="F245" s="2125">
        <v>2</v>
      </c>
      <c r="G245" s="2127" t="s">
        <v>7233</v>
      </c>
      <c r="H245" s="2125"/>
      <c r="I245" s="2125" t="s">
        <v>7224</v>
      </c>
      <c r="J245" s="2125"/>
      <c r="K245" s="2128">
        <v>385472</v>
      </c>
      <c r="L245" s="2125" t="s">
        <v>112</v>
      </c>
      <c r="M245" s="2124">
        <v>44259</v>
      </c>
      <c r="N245" s="2124">
        <v>44270</v>
      </c>
      <c r="O245" s="2125"/>
      <c r="P245" s="2136" t="s">
        <v>8431</v>
      </c>
      <c r="Q245" s="2180"/>
      <c r="R245" s="2128"/>
      <c r="S245" s="2128"/>
      <c r="T245" s="2129"/>
      <c r="U245" s="2129"/>
      <c r="V245" s="2129"/>
      <c r="W245" s="2128"/>
      <c r="X245" s="2128"/>
      <c r="Y245" s="2125"/>
      <c r="Z245" s="2124">
        <v>44267</v>
      </c>
      <c r="AA245" s="2125"/>
      <c r="AB245" s="2125"/>
      <c r="AC245" s="2125"/>
    </row>
    <row r="246" spans="1:33">
      <c r="A246" s="2124">
        <v>44252</v>
      </c>
      <c r="B246" s="2125" t="s">
        <v>8381</v>
      </c>
      <c r="C246" s="2125" t="s">
        <v>69</v>
      </c>
      <c r="D246" s="2125" t="s">
        <v>70</v>
      </c>
      <c r="E246" s="2126" t="s">
        <v>7231</v>
      </c>
      <c r="F246" s="2125">
        <v>3</v>
      </c>
      <c r="G246" s="2127" t="s">
        <v>7234</v>
      </c>
      <c r="H246" s="2125"/>
      <c r="I246" s="2125" t="s">
        <v>7224</v>
      </c>
      <c r="J246" s="2125"/>
      <c r="K246" s="2128">
        <v>61696</v>
      </c>
      <c r="L246" s="2125" t="s">
        <v>112</v>
      </c>
      <c r="M246" s="2124">
        <v>44259</v>
      </c>
      <c r="N246" s="2124">
        <v>44270</v>
      </c>
      <c r="O246" s="2125"/>
      <c r="P246" s="2136" t="s">
        <v>8431</v>
      </c>
      <c r="Q246" s="2180"/>
      <c r="R246" s="2128"/>
      <c r="S246" s="2128"/>
      <c r="T246" s="2129"/>
      <c r="U246" s="2129"/>
      <c r="V246" s="2129"/>
      <c r="W246" s="2128"/>
      <c r="X246" s="2128"/>
      <c r="Y246" s="2125"/>
      <c r="Z246" s="2124">
        <v>44267</v>
      </c>
      <c r="AA246" s="2125"/>
      <c r="AB246" s="2125"/>
      <c r="AC246" s="2125"/>
    </row>
    <row r="247" spans="1:33">
      <c r="A247" s="2124">
        <v>44252</v>
      </c>
      <c r="B247" s="2125" t="s">
        <v>8381</v>
      </c>
      <c r="C247" s="2125" t="s">
        <v>69</v>
      </c>
      <c r="D247" s="2125" t="s">
        <v>70</v>
      </c>
      <c r="E247" s="2126" t="s">
        <v>7231</v>
      </c>
      <c r="F247" s="2125">
        <v>4</v>
      </c>
      <c r="G247" s="2127" t="s">
        <v>7235</v>
      </c>
      <c r="H247" s="2125"/>
      <c r="I247" s="2125" t="s">
        <v>7224</v>
      </c>
      <c r="J247" s="2125"/>
      <c r="K247" s="2128">
        <v>148093</v>
      </c>
      <c r="L247" s="2125" t="s">
        <v>112</v>
      </c>
      <c r="M247" s="2124">
        <v>44259</v>
      </c>
      <c r="N247" s="2124">
        <v>44270</v>
      </c>
      <c r="O247" s="2125"/>
      <c r="P247" s="2136" t="s">
        <v>8431</v>
      </c>
      <c r="Q247" s="2180"/>
      <c r="R247" s="2128"/>
      <c r="S247" s="2128"/>
      <c r="T247" s="2129"/>
      <c r="U247" s="2129"/>
      <c r="V247" s="2129"/>
      <c r="W247" s="2128"/>
      <c r="X247" s="2128"/>
      <c r="Y247" s="2125"/>
      <c r="Z247" s="2124">
        <v>44267</v>
      </c>
      <c r="AA247" s="2125"/>
      <c r="AB247" s="2125"/>
      <c r="AC247" s="2125"/>
    </row>
    <row r="248" spans="1:33">
      <c r="A248" s="2124">
        <v>44252</v>
      </c>
      <c r="B248" s="2125" t="s">
        <v>8381</v>
      </c>
      <c r="C248" s="2125" t="s">
        <v>69</v>
      </c>
      <c r="D248" s="2125" t="s">
        <v>70</v>
      </c>
      <c r="E248" s="2126" t="s">
        <v>7231</v>
      </c>
      <c r="F248" s="2125">
        <v>5</v>
      </c>
      <c r="G248" s="2127" t="s">
        <v>7236</v>
      </c>
      <c r="H248" s="2125"/>
      <c r="I248" s="2125" t="s">
        <v>7224</v>
      </c>
      <c r="J248" s="2125"/>
      <c r="K248" s="2128">
        <v>61226</v>
      </c>
      <c r="L248" s="2125" t="s">
        <v>112</v>
      </c>
      <c r="M248" s="2124">
        <v>44259</v>
      </c>
      <c r="N248" s="2124">
        <v>44270</v>
      </c>
      <c r="O248" s="2125"/>
      <c r="P248" s="2136" t="s">
        <v>8431</v>
      </c>
      <c r="Q248" s="2180"/>
      <c r="R248" s="2128"/>
      <c r="S248" s="2128"/>
      <c r="T248" s="2129"/>
      <c r="U248" s="2129"/>
      <c r="V248" s="2129"/>
      <c r="W248" s="2128"/>
      <c r="X248" s="2128"/>
      <c r="Y248" s="2125"/>
      <c r="Z248" s="2124">
        <v>44267</v>
      </c>
      <c r="AA248" s="2125"/>
      <c r="AB248" s="2125"/>
      <c r="AC248" s="2125"/>
    </row>
    <row r="249" spans="1:33" ht="15.75" thickBot="1">
      <c r="A249" s="2130">
        <v>44252</v>
      </c>
      <c r="B249" s="2131" t="s">
        <v>8381</v>
      </c>
      <c r="C249" s="2131" t="s">
        <v>69</v>
      </c>
      <c r="D249" s="2131" t="s">
        <v>70</v>
      </c>
      <c r="E249" s="2132" t="s">
        <v>7231</v>
      </c>
      <c r="F249" s="2131">
        <v>6</v>
      </c>
      <c r="G249" s="2133" t="s">
        <v>7237</v>
      </c>
      <c r="H249" s="2131"/>
      <c r="I249" s="2131" t="s">
        <v>7224</v>
      </c>
      <c r="J249" s="2131"/>
      <c r="K249" s="2134">
        <v>11880</v>
      </c>
      <c r="L249" s="2131" t="s">
        <v>112</v>
      </c>
      <c r="M249" s="2130">
        <v>44259</v>
      </c>
      <c r="N249" s="2130">
        <v>44270</v>
      </c>
      <c r="O249" s="2131"/>
      <c r="P249" s="2137" t="s">
        <v>8431</v>
      </c>
      <c r="Q249" s="2245"/>
      <c r="R249" s="2134"/>
      <c r="S249" s="2134"/>
      <c r="T249" s="2135"/>
      <c r="U249" s="2135"/>
      <c r="V249" s="2135"/>
      <c r="W249" s="2134"/>
      <c r="X249" s="2134"/>
      <c r="Y249" s="2131"/>
      <c r="Z249" s="2130">
        <v>44267</v>
      </c>
      <c r="AA249" s="2131"/>
      <c r="AB249" s="2131"/>
      <c r="AC249" s="2131"/>
    </row>
    <row r="250" spans="1:33" ht="15.75" thickTop="1">
      <c r="A250" s="365">
        <v>44256</v>
      </c>
      <c r="B250" s="2282" t="s">
        <v>8382</v>
      </c>
      <c r="C250" s="2282" t="s">
        <v>14</v>
      </c>
      <c r="D250" s="2282" t="s">
        <v>13</v>
      </c>
      <c r="E250" s="175" t="s">
        <v>8383</v>
      </c>
      <c r="F250" s="2282"/>
      <c r="G250" s="2283"/>
      <c r="H250" s="576"/>
      <c r="I250" s="2282" t="s">
        <v>2055</v>
      </c>
      <c r="J250" s="2282"/>
      <c r="K250" s="364">
        <v>1850000</v>
      </c>
      <c r="L250" s="2282" t="s">
        <v>112</v>
      </c>
      <c r="M250" s="365">
        <v>44264</v>
      </c>
      <c r="N250" s="365">
        <v>44274</v>
      </c>
      <c r="O250" s="365">
        <v>44340</v>
      </c>
      <c r="P250" s="2283" t="s">
        <v>8493</v>
      </c>
      <c r="Q250" s="2282"/>
      <c r="R250" s="364">
        <v>1798080</v>
      </c>
      <c r="S250" s="364">
        <f>R250*1.21</f>
        <v>2175676.7999999998</v>
      </c>
      <c r="T250" s="1489"/>
      <c r="U250" s="1489"/>
      <c r="V250" s="1489"/>
      <c r="W250" s="681">
        <v>44340</v>
      </c>
      <c r="X250" s="364" t="s">
        <v>9010</v>
      </c>
      <c r="Y250" s="365">
        <v>44350</v>
      </c>
      <c r="Z250" s="365">
        <v>44354</v>
      </c>
      <c r="AA250" s="2282" t="s">
        <v>4096</v>
      </c>
      <c r="AB250" s="1551">
        <v>44865</v>
      </c>
      <c r="AC250" s="1513"/>
    </row>
    <row r="251" spans="1:33" ht="45">
      <c r="A251" s="537">
        <v>44256</v>
      </c>
      <c r="B251" s="491" t="s">
        <v>8384</v>
      </c>
      <c r="C251" s="491" t="s">
        <v>2434</v>
      </c>
      <c r="D251" s="491" t="s">
        <v>3204</v>
      </c>
      <c r="E251" s="571" t="s">
        <v>8400</v>
      </c>
      <c r="F251" s="491"/>
      <c r="G251" s="495"/>
      <c r="H251" s="491"/>
      <c r="I251" s="491" t="s">
        <v>642</v>
      </c>
      <c r="J251" s="491"/>
      <c r="K251" s="536">
        <v>1331404</v>
      </c>
      <c r="L251" s="491" t="s">
        <v>112</v>
      </c>
      <c r="M251" s="537">
        <v>44264</v>
      </c>
      <c r="N251" s="537">
        <v>44273</v>
      </c>
      <c r="O251" s="537">
        <v>44278</v>
      </c>
      <c r="P251" s="495" t="s">
        <v>2776</v>
      </c>
      <c r="Q251" s="491"/>
      <c r="R251" s="536">
        <v>1331404</v>
      </c>
      <c r="S251" s="536">
        <v>1611000</v>
      </c>
      <c r="T251" s="1471"/>
      <c r="U251" s="1471"/>
      <c r="V251" s="1471"/>
      <c r="W251" s="573">
        <v>44278</v>
      </c>
      <c r="X251" s="1375" t="s">
        <v>8488</v>
      </c>
      <c r="Y251" s="537">
        <v>44294</v>
      </c>
      <c r="Z251" s="537">
        <v>44298</v>
      </c>
      <c r="AA251" s="537">
        <v>45023</v>
      </c>
      <c r="AB251" s="537">
        <v>44642</v>
      </c>
      <c r="AC251" s="1374">
        <v>2022</v>
      </c>
      <c r="AD251" s="388" t="s">
        <v>8561</v>
      </c>
    </row>
    <row r="252" spans="1:33">
      <c r="A252" s="537">
        <v>44258</v>
      </c>
      <c r="B252" s="491" t="s">
        <v>8394</v>
      </c>
      <c r="C252" s="491" t="s">
        <v>2434</v>
      </c>
      <c r="D252" s="491" t="s">
        <v>219</v>
      </c>
      <c r="E252" s="571" t="s">
        <v>3887</v>
      </c>
      <c r="F252" s="491"/>
      <c r="G252" s="495"/>
      <c r="H252" s="491"/>
      <c r="I252" s="491" t="s">
        <v>642</v>
      </c>
      <c r="J252" s="491"/>
      <c r="K252" s="536">
        <v>4164271</v>
      </c>
      <c r="L252" s="491" t="s">
        <v>251</v>
      </c>
      <c r="M252" s="537">
        <v>44264</v>
      </c>
      <c r="N252" s="537">
        <v>44298</v>
      </c>
      <c r="O252" s="537">
        <v>44301</v>
      </c>
      <c r="P252" s="495" t="s">
        <v>8586</v>
      </c>
      <c r="Q252" s="491"/>
      <c r="R252" s="536">
        <v>4157250</v>
      </c>
      <c r="S252" s="536">
        <v>5030272.5</v>
      </c>
      <c r="T252" s="1471"/>
      <c r="U252" s="1471"/>
      <c r="V252" s="1471"/>
      <c r="W252" s="573">
        <v>44301</v>
      </c>
      <c r="X252" s="536" t="s">
        <v>8596</v>
      </c>
      <c r="Y252" s="537">
        <v>44321</v>
      </c>
      <c r="Z252" s="537">
        <v>44323</v>
      </c>
      <c r="AA252" s="537">
        <v>45416</v>
      </c>
      <c r="AB252" s="537">
        <v>44642</v>
      </c>
      <c r="AC252" s="1374">
        <v>2022</v>
      </c>
      <c r="AD252" s="388">
        <v>2023</v>
      </c>
      <c r="AE252" s="388" t="s">
        <v>8893</v>
      </c>
    </row>
    <row r="253" spans="1:33">
      <c r="A253" s="510">
        <v>44257</v>
      </c>
      <c r="B253" s="506" t="s">
        <v>8396</v>
      </c>
      <c r="C253" s="506" t="s">
        <v>58</v>
      </c>
      <c r="D253" s="506" t="s">
        <v>2684</v>
      </c>
      <c r="E253" s="507" t="s">
        <v>8397</v>
      </c>
      <c r="F253" s="506"/>
      <c r="G253" s="548"/>
      <c r="H253" s="590"/>
      <c r="I253" s="506" t="s">
        <v>77</v>
      </c>
      <c r="J253" s="548" t="s">
        <v>8398</v>
      </c>
      <c r="K253" s="511">
        <v>336000</v>
      </c>
      <c r="L253" s="506" t="s">
        <v>112</v>
      </c>
      <c r="M253" s="510">
        <v>44266</v>
      </c>
      <c r="N253" s="510">
        <v>44278</v>
      </c>
      <c r="O253" s="506"/>
      <c r="P253" s="736" t="s">
        <v>2635</v>
      </c>
      <c r="Q253" s="1985" t="s">
        <v>8798</v>
      </c>
      <c r="R253" s="511"/>
      <c r="S253" s="511"/>
      <c r="T253" s="1484"/>
      <c r="U253" s="1484"/>
      <c r="V253" s="1484"/>
      <c r="W253" s="511"/>
      <c r="X253" s="511"/>
      <c r="Y253" s="506"/>
      <c r="Z253" s="510">
        <v>44313</v>
      </c>
      <c r="AA253" s="506"/>
      <c r="AB253" s="506"/>
      <c r="AC253" s="506"/>
    </row>
    <row r="254" spans="1:33" ht="30">
      <c r="A254" s="537">
        <v>44263</v>
      </c>
      <c r="B254" s="491" t="s">
        <v>8403</v>
      </c>
      <c r="C254" s="491" t="s">
        <v>2434</v>
      </c>
      <c r="D254" s="491" t="s">
        <v>3204</v>
      </c>
      <c r="E254" s="1563" t="s">
        <v>8404</v>
      </c>
      <c r="F254" s="491"/>
      <c r="G254" s="495"/>
      <c r="H254" s="491"/>
      <c r="I254" s="491" t="s">
        <v>642</v>
      </c>
      <c r="J254" s="491"/>
      <c r="K254" s="536">
        <v>1220260</v>
      </c>
      <c r="L254" s="491" t="s">
        <v>112</v>
      </c>
      <c r="M254" s="537">
        <v>44267</v>
      </c>
      <c r="N254" s="537">
        <v>44279</v>
      </c>
      <c r="O254" s="537">
        <v>44298</v>
      </c>
      <c r="P254" s="495" t="s">
        <v>7136</v>
      </c>
      <c r="Q254" s="491"/>
      <c r="R254" s="536">
        <v>1006400</v>
      </c>
      <c r="S254" s="536">
        <v>1157360</v>
      </c>
      <c r="T254" s="1471"/>
      <c r="U254" s="1471"/>
      <c r="V254" s="1471"/>
      <c r="W254" s="573">
        <v>44298</v>
      </c>
      <c r="X254" s="1375" t="s">
        <v>8570</v>
      </c>
      <c r="Y254" s="537">
        <v>44313</v>
      </c>
      <c r="Z254" s="537">
        <v>44316</v>
      </c>
      <c r="AA254" s="537">
        <v>45042</v>
      </c>
      <c r="AB254" s="537">
        <v>44642</v>
      </c>
      <c r="AC254" s="1374">
        <v>2022</v>
      </c>
      <c r="AD254" s="388" t="s">
        <v>6743</v>
      </c>
    </row>
    <row r="255" spans="1:33" ht="30.75" thickBot="1">
      <c r="A255" s="416">
        <v>44253</v>
      </c>
      <c r="B255" s="411" t="s">
        <v>8409</v>
      </c>
      <c r="C255" s="411" t="s">
        <v>58</v>
      </c>
      <c r="D255" s="411" t="s">
        <v>2684</v>
      </c>
      <c r="E255" s="412" t="s">
        <v>8410</v>
      </c>
      <c r="F255" s="411"/>
      <c r="G255" s="630"/>
      <c r="H255" s="411"/>
      <c r="I255" s="411" t="s">
        <v>261</v>
      </c>
      <c r="J255" s="411" t="s">
        <v>8411</v>
      </c>
      <c r="K255" s="417">
        <v>3646523</v>
      </c>
      <c r="L255" s="411" t="s">
        <v>251</v>
      </c>
      <c r="M255" s="416">
        <v>44302</v>
      </c>
      <c r="N255" s="416">
        <v>44336</v>
      </c>
      <c r="O255" s="416">
        <v>44371</v>
      </c>
      <c r="P255" s="630" t="s">
        <v>338</v>
      </c>
      <c r="Q255" s="411"/>
      <c r="R255" s="417">
        <v>3634000.16</v>
      </c>
      <c r="S255" s="417">
        <v>4397140.16</v>
      </c>
      <c r="T255" s="1480"/>
      <c r="U255" s="1480"/>
      <c r="V255" s="1480"/>
      <c r="W255" s="513">
        <v>44371</v>
      </c>
      <c r="X255" s="1553" t="s">
        <v>9263</v>
      </c>
      <c r="Y255" s="416">
        <v>44399</v>
      </c>
      <c r="Z255" s="416">
        <v>44413</v>
      </c>
      <c r="AA255" s="416">
        <v>44489</v>
      </c>
      <c r="AB255" s="416">
        <v>44550</v>
      </c>
      <c r="AC255" s="422" t="s">
        <v>1875</v>
      </c>
    </row>
    <row r="256" spans="1:33" ht="30.75" thickTop="1">
      <c r="A256" s="474">
        <v>44264</v>
      </c>
      <c r="B256" s="453" t="s">
        <v>8413</v>
      </c>
      <c r="C256" s="453" t="s">
        <v>58</v>
      </c>
      <c r="D256" s="453" t="s">
        <v>2684</v>
      </c>
      <c r="E256" s="473" t="s">
        <v>461</v>
      </c>
      <c r="F256" s="453">
        <v>1</v>
      </c>
      <c r="G256" s="1420" t="s">
        <v>8414</v>
      </c>
      <c r="H256" s="453"/>
      <c r="I256" s="453" t="s">
        <v>8415</v>
      </c>
      <c r="J256" s="453" t="s">
        <v>8417</v>
      </c>
      <c r="K256" s="457">
        <v>448200</v>
      </c>
      <c r="L256" s="453" t="s">
        <v>251</v>
      </c>
      <c r="M256" s="474">
        <v>44270</v>
      </c>
      <c r="N256" s="474">
        <v>44305</v>
      </c>
      <c r="O256" s="474">
        <v>44329</v>
      </c>
      <c r="P256" s="1420" t="s">
        <v>8895</v>
      </c>
      <c r="Q256" s="453"/>
      <c r="R256" s="457">
        <v>437920</v>
      </c>
      <c r="S256" s="457">
        <v>529883.19999999995</v>
      </c>
      <c r="T256" s="1474"/>
      <c r="U256" s="1474"/>
      <c r="V256" s="1474"/>
      <c r="W256" s="570">
        <v>44329</v>
      </c>
      <c r="X256" s="1387" t="s">
        <v>8942</v>
      </c>
      <c r="Y256" s="474">
        <v>44369</v>
      </c>
      <c r="Z256" s="474">
        <v>44371</v>
      </c>
      <c r="AA256" s="474">
        <v>44425</v>
      </c>
      <c r="AB256" s="474">
        <v>44459</v>
      </c>
      <c r="AC256" s="1391" t="s">
        <v>1875</v>
      </c>
    </row>
    <row r="257" spans="1:43" ht="30.75" thickBot="1">
      <c r="A257" s="2117">
        <v>44264</v>
      </c>
      <c r="B257" s="2118" t="s">
        <v>8413</v>
      </c>
      <c r="C257" s="2118" t="s">
        <v>58</v>
      </c>
      <c r="D257" s="2118" t="s">
        <v>2684</v>
      </c>
      <c r="E257" s="2119" t="s">
        <v>461</v>
      </c>
      <c r="F257" s="2118">
        <v>2</v>
      </c>
      <c r="G257" s="2120" t="s">
        <v>8416</v>
      </c>
      <c r="H257" s="2118"/>
      <c r="I257" s="2118" t="s">
        <v>8415</v>
      </c>
      <c r="J257" s="2118" t="s">
        <v>8418</v>
      </c>
      <c r="K257" s="2121">
        <v>1035000</v>
      </c>
      <c r="L257" s="2118" t="s">
        <v>251</v>
      </c>
      <c r="M257" s="2117">
        <v>44270</v>
      </c>
      <c r="N257" s="2117">
        <v>44305</v>
      </c>
      <c r="O257" s="2117">
        <v>44329</v>
      </c>
      <c r="P257" s="2120" t="s">
        <v>383</v>
      </c>
      <c r="Q257" s="2118"/>
      <c r="R257" s="2121">
        <v>1030060</v>
      </c>
      <c r="S257" s="2121">
        <v>1246372.6000000001</v>
      </c>
      <c r="T257" s="2122"/>
      <c r="U257" s="2122"/>
      <c r="V257" s="2122"/>
      <c r="W257" s="2123">
        <v>44329</v>
      </c>
      <c r="X257" s="2246" t="s">
        <v>8943</v>
      </c>
      <c r="Y257" s="2117">
        <v>44369</v>
      </c>
      <c r="Z257" s="2117">
        <v>44371</v>
      </c>
      <c r="AA257" s="2117">
        <v>44425</v>
      </c>
      <c r="AB257" s="2117">
        <v>44536</v>
      </c>
      <c r="AC257" s="2110" t="s">
        <v>1875</v>
      </c>
    </row>
    <row r="258" spans="1:43" ht="45.75" thickTop="1">
      <c r="A258" s="365">
        <v>44263</v>
      </c>
      <c r="B258" s="2282" t="s">
        <v>8419</v>
      </c>
      <c r="C258" s="2282" t="s">
        <v>2434</v>
      </c>
      <c r="D258" s="2282" t="s">
        <v>3204</v>
      </c>
      <c r="E258" s="175" t="s">
        <v>8420</v>
      </c>
      <c r="F258" s="2282"/>
      <c r="G258" s="2283"/>
      <c r="H258" s="2282"/>
      <c r="I258" s="2282" t="s">
        <v>642</v>
      </c>
      <c r="J258" s="2282"/>
      <c r="K258" s="364">
        <v>1823900</v>
      </c>
      <c r="L258" s="2282" t="s">
        <v>112</v>
      </c>
      <c r="M258" s="365">
        <v>44267</v>
      </c>
      <c r="N258" s="365">
        <v>44278</v>
      </c>
      <c r="O258" s="365">
        <v>44284</v>
      </c>
      <c r="P258" s="495" t="s">
        <v>7136</v>
      </c>
      <c r="Q258" s="2282"/>
      <c r="R258" s="364">
        <v>1823900</v>
      </c>
      <c r="S258" s="364">
        <v>2097485</v>
      </c>
      <c r="T258" s="1473"/>
      <c r="U258" s="1473"/>
      <c r="V258" s="1473"/>
      <c r="W258" s="681">
        <v>44284</v>
      </c>
      <c r="X258" s="1417" t="s">
        <v>8592</v>
      </c>
      <c r="Y258" s="365">
        <v>44300</v>
      </c>
      <c r="Z258" s="365">
        <v>44301</v>
      </c>
      <c r="AA258" s="365">
        <v>45029</v>
      </c>
      <c r="AB258" s="365">
        <v>44642</v>
      </c>
      <c r="AC258" s="451">
        <v>2022</v>
      </c>
      <c r="AD258" s="388" t="s">
        <v>8591</v>
      </c>
    </row>
    <row r="259" spans="1:43" ht="45">
      <c r="A259" s="537">
        <v>44260</v>
      </c>
      <c r="B259" s="491" t="s">
        <v>8424</v>
      </c>
      <c r="C259" s="491" t="s">
        <v>58</v>
      </c>
      <c r="D259" s="491" t="s">
        <v>2684</v>
      </c>
      <c r="E259" s="571" t="s">
        <v>8425</v>
      </c>
      <c r="F259" s="491"/>
      <c r="G259" s="495"/>
      <c r="H259" s="491"/>
      <c r="I259" s="491" t="s">
        <v>8426</v>
      </c>
      <c r="J259" s="491" t="s">
        <v>8427</v>
      </c>
      <c r="K259" s="536">
        <v>6589000</v>
      </c>
      <c r="L259" s="491" t="s">
        <v>251</v>
      </c>
      <c r="M259" s="537">
        <v>44313</v>
      </c>
      <c r="N259" s="537">
        <v>44368</v>
      </c>
      <c r="O259" s="537">
        <v>44418</v>
      </c>
      <c r="P259" s="495" t="s">
        <v>993</v>
      </c>
      <c r="Q259" s="491"/>
      <c r="R259" s="536">
        <v>6458657.2999999998</v>
      </c>
      <c r="S259" s="536">
        <v>7814975.3300000001</v>
      </c>
      <c r="T259" s="1471"/>
      <c r="U259" s="1471"/>
      <c r="V259" s="1471"/>
      <c r="W259" s="573">
        <v>44418</v>
      </c>
      <c r="X259" s="1375" t="s">
        <v>9575</v>
      </c>
      <c r="Y259" s="537">
        <v>44475</v>
      </c>
      <c r="Z259" s="537">
        <v>44487</v>
      </c>
      <c r="AA259" s="537">
        <v>44503</v>
      </c>
      <c r="AB259" s="537">
        <v>44624</v>
      </c>
      <c r="AC259" s="1374" t="s">
        <v>10029</v>
      </c>
    </row>
    <row r="260" spans="1:43">
      <c r="A260" s="537">
        <v>44267</v>
      </c>
      <c r="B260" s="491" t="s">
        <v>8432</v>
      </c>
      <c r="C260" s="491" t="s">
        <v>14</v>
      </c>
      <c r="D260" s="491" t="s">
        <v>1753</v>
      </c>
      <c r="E260" s="2142" t="s">
        <v>8433</v>
      </c>
      <c r="F260" s="491"/>
      <c r="G260" s="495"/>
      <c r="H260" s="491"/>
      <c r="I260" s="491" t="s">
        <v>545</v>
      </c>
      <c r="J260" s="491"/>
      <c r="K260" s="536">
        <v>1100000</v>
      </c>
      <c r="L260" s="491" t="s">
        <v>112</v>
      </c>
      <c r="M260" s="537">
        <v>44272</v>
      </c>
      <c r="N260" s="537">
        <v>44281</v>
      </c>
      <c r="O260" s="537">
        <v>44284</v>
      </c>
      <c r="P260" s="495" t="s">
        <v>333</v>
      </c>
      <c r="Q260" s="491"/>
      <c r="R260" s="536">
        <v>1011250</v>
      </c>
      <c r="S260" s="536">
        <v>1223612.5</v>
      </c>
      <c r="T260" s="1471"/>
      <c r="U260" s="1471"/>
      <c r="V260" s="1471"/>
      <c r="W260" s="573">
        <v>44284</v>
      </c>
      <c r="X260" s="536" t="s">
        <v>8513</v>
      </c>
      <c r="Y260" s="537">
        <v>44300</v>
      </c>
      <c r="Z260" s="537">
        <v>44300</v>
      </c>
      <c r="AA260" s="537">
        <v>44664</v>
      </c>
      <c r="AB260" s="537">
        <v>44364</v>
      </c>
      <c r="AC260" s="1102"/>
    </row>
    <row r="261" spans="1:43" s="390" customFormat="1" ht="30">
      <c r="A261" s="2140" t="s">
        <v>3585</v>
      </c>
      <c r="B261" s="2141" t="s">
        <v>8446</v>
      </c>
      <c r="C261" s="2141" t="s">
        <v>58</v>
      </c>
      <c r="D261" s="2141" t="s">
        <v>2684</v>
      </c>
      <c r="E261" s="2142" t="s">
        <v>8447</v>
      </c>
      <c r="F261" s="2141"/>
      <c r="G261" s="2143"/>
      <c r="H261" s="2141"/>
      <c r="I261" s="2141" t="s">
        <v>7139</v>
      </c>
      <c r="J261" s="2141" t="s">
        <v>8448</v>
      </c>
      <c r="K261" s="2144">
        <v>3150000</v>
      </c>
      <c r="L261" s="2141" t="s">
        <v>216</v>
      </c>
      <c r="M261" s="2140">
        <v>44274</v>
      </c>
      <c r="N261" s="2140">
        <v>44295</v>
      </c>
      <c r="O261" s="2140">
        <v>44323</v>
      </c>
      <c r="P261" s="2143" t="s">
        <v>9128</v>
      </c>
      <c r="Q261" s="2141"/>
      <c r="R261" s="2144">
        <v>3044089</v>
      </c>
      <c r="S261" s="2144">
        <v>3683347.7</v>
      </c>
      <c r="T261" s="2145"/>
      <c r="U261" s="2145"/>
      <c r="V261" s="2145"/>
      <c r="W261" s="2146">
        <v>44323</v>
      </c>
      <c r="X261" s="2260" t="s">
        <v>8913</v>
      </c>
      <c r="Y261" s="2140">
        <v>44347</v>
      </c>
      <c r="Z261" s="2140">
        <v>44354</v>
      </c>
      <c r="AA261" s="2140">
        <v>44431</v>
      </c>
      <c r="AB261" s="2140">
        <v>44468</v>
      </c>
      <c r="AC261" s="2109" t="s">
        <v>1875</v>
      </c>
      <c r="AD261" s="360"/>
      <c r="AE261" s="360"/>
      <c r="AF261" s="360"/>
      <c r="AG261" s="360"/>
      <c r="AH261" s="360"/>
      <c r="AI261" s="360"/>
      <c r="AJ261" s="360"/>
      <c r="AK261" s="360"/>
      <c r="AL261" s="360"/>
      <c r="AM261" s="360"/>
      <c r="AN261" s="360"/>
      <c r="AO261" s="360"/>
      <c r="AP261" s="360"/>
      <c r="AQ261" s="360"/>
    </row>
    <row r="262" spans="1:43" s="390" customFormat="1" ht="45.75" thickBot="1">
      <c r="A262" s="416">
        <v>44271</v>
      </c>
      <c r="B262" s="411" t="s">
        <v>8450</v>
      </c>
      <c r="C262" s="411" t="s">
        <v>9694</v>
      </c>
      <c r="D262" s="411" t="s">
        <v>2684</v>
      </c>
      <c r="E262" s="412" t="s">
        <v>8451</v>
      </c>
      <c r="F262" s="411"/>
      <c r="G262" s="630"/>
      <c r="H262" s="411"/>
      <c r="I262" s="411" t="s">
        <v>80</v>
      </c>
      <c r="J262" s="411" t="s">
        <v>888</v>
      </c>
      <c r="K262" s="417">
        <v>1724380</v>
      </c>
      <c r="L262" s="411" t="s">
        <v>112</v>
      </c>
      <c r="M262" s="416">
        <v>44277</v>
      </c>
      <c r="N262" s="416">
        <v>44287</v>
      </c>
      <c r="O262" s="416">
        <v>44323</v>
      </c>
      <c r="P262" s="630" t="s">
        <v>8906</v>
      </c>
      <c r="Q262" s="411"/>
      <c r="R262" s="417">
        <v>1367180</v>
      </c>
      <c r="S262" s="417">
        <v>1654286.6</v>
      </c>
      <c r="T262" s="1480"/>
      <c r="U262" s="1480"/>
      <c r="V262" s="1480"/>
      <c r="W262" s="513">
        <v>44323</v>
      </c>
      <c r="X262" s="1553" t="s">
        <v>8910</v>
      </c>
      <c r="Y262" s="416">
        <v>44355</v>
      </c>
      <c r="Z262" s="416">
        <v>44357</v>
      </c>
      <c r="AA262" s="416">
        <v>44411</v>
      </c>
      <c r="AB262" s="416">
        <v>44459</v>
      </c>
      <c r="AC262" s="422" t="s">
        <v>6118</v>
      </c>
      <c r="AD262" s="360"/>
      <c r="AE262" s="360"/>
      <c r="AF262" s="360"/>
      <c r="AG262" s="360"/>
      <c r="AH262" s="360"/>
      <c r="AI262" s="360"/>
      <c r="AJ262" s="360"/>
      <c r="AK262" s="360"/>
      <c r="AL262" s="360"/>
      <c r="AM262" s="360"/>
      <c r="AN262" s="360"/>
      <c r="AO262" s="360"/>
      <c r="AP262" s="360"/>
      <c r="AQ262" s="360"/>
    </row>
    <row r="263" spans="1:43" s="390" customFormat="1" ht="30.75" thickTop="1">
      <c r="A263" s="474">
        <v>44272</v>
      </c>
      <c r="B263" s="453" t="s">
        <v>8452</v>
      </c>
      <c r="C263" s="453" t="s">
        <v>2434</v>
      </c>
      <c r="D263" s="453" t="s">
        <v>3204</v>
      </c>
      <c r="E263" s="473" t="s">
        <v>8453</v>
      </c>
      <c r="F263" s="453">
        <v>1</v>
      </c>
      <c r="G263" s="1420" t="s">
        <v>8784</v>
      </c>
      <c r="H263" s="453"/>
      <c r="I263" s="453" t="s">
        <v>642</v>
      </c>
      <c r="J263" s="453"/>
      <c r="K263" s="457">
        <v>1270000</v>
      </c>
      <c r="L263" s="453" t="s">
        <v>216</v>
      </c>
      <c r="M263" s="474">
        <v>44292</v>
      </c>
      <c r="N263" s="474">
        <v>44309</v>
      </c>
      <c r="O263" s="474">
        <v>44321</v>
      </c>
      <c r="P263" s="1420" t="s">
        <v>7136</v>
      </c>
      <c r="Q263" s="453"/>
      <c r="R263" s="457">
        <v>1270000</v>
      </c>
      <c r="S263" s="457">
        <v>1460500</v>
      </c>
      <c r="T263" s="1474"/>
      <c r="U263" s="1474"/>
      <c r="V263" s="1474"/>
      <c r="W263" s="570">
        <v>44322</v>
      </c>
      <c r="X263" s="1387" t="s">
        <v>8886</v>
      </c>
      <c r="Y263" s="474">
        <v>44341</v>
      </c>
      <c r="Z263" s="474">
        <v>44350</v>
      </c>
      <c r="AA263" s="474">
        <v>45070</v>
      </c>
      <c r="AB263" s="474">
        <v>44642</v>
      </c>
      <c r="AC263" s="1391">
        <v>2022</v>
      </c>
      <c r="AD263" s="2250" t="s">
        <v>9028</v>
      </c>
      <c r="AE263" s="2040"/>
      <c r="AF263" s="360"/>
      <c r="AG263" s="360"/>
      <c r="AH263" s="360"/>
      <c r="AI263" s="360"/>
      <c r="AJ263" s="360"/>
      <c r="AK263" s="360"/>
      <c r="AL263" s="360"/>
      <c r="AM263" s="360"/>
      <c r="AN263" s="360"/>
      <c r="AO263" s="360"/>
      <c r="AP263" s="360"/>
      <c r="AQ263" s="360"/>
    </row>
    <row r="264" spans="1:43" s="390" customFormat="1" ht="45">
      <c r="A264" s="2140">
        <v>44272</v>
      </c>
      <c r="B264" s="2141" t="s">
        <v>8452</v>
      </c>
      <c r="C264" s="2141" t="s">
        <v>2434</v>
      </c>
      <c r="D264" s="2141" t="s">
        <v>3204</v>
      </c>
      <c r="E264" s="2142" t="s">
        <v>8453</v>
      </c>
      <c r="F264" s="2141">
        <v>2</v>
      </c>
      <c r="G264" s="2143" t="s">
        <v>8786</v>
      </c>
      <c r="H264" s="2141"/>
      <c r="I264" s="2141" t="s">
        <v>642</v>
      </c>
      <c r="J264" s="2141"/>
      <c r="K264" s="2144">
        <v>665000</v>
      </c>
      <c r="L264" s="2141" t="s">
        <v>216</v>
      </c>
      <c r="M264" s="2140">
        <v>44292</v>
      </c>
      <c r="N264" s="2140">
        <v>44309</v>
      </c>
      <c r="O264" s="2140">
        <v>44321</v>
      </c>
      <c r="P264" s="2143" t="s">
        <v>7136</v>
      </c>
      <c r="Q264" s="2141"/>
      <c r="R264" s="2144">
        <v>665000</v>
      </c>
      <c r="S264" s="2144">
        <v>764750</v>
      </c>
      <c r="T264" s="2145"/>
      <c r="U264" s="2145"/>
      <c r="V264" s="2145"/>
      <c r="W264" s="2146">
        <v>44322</v>
      </c>
      <c r="X264" s="2260" t="s">
        <v>8887</v>
      </c>
      <c r="Y264" s="2140">
        <v>44347</v>
      </c>
      <c r="Z264" s="2140">
        <v>44350</v>
      </c>
      <c r="AA264" s="2140">
        <v>45076</v>
      </c>
      <c r="AB264" s="2140">
        <v>44642</v>
      </c>
      <c r="AC264" s="2109">
        <v>2022</v>
      </c>
      <c r="AD264" s="1991" t="s">
        <v>9076</v>
      </c>
      <c r="AE264" s="1351"/>
      <c r="AF264" s="360"/>
      <c r="AG264" s="360"/>
      <c r="AH264" s="360"/>
      <c r="AI264" s="360"/>
      <c r="AJ264" s="360"/>
      <c r="AK264" s="360"/>
      <c r="AL264" s="360"/>
      <c r="AM264" s="360"/>
      <c r="AN264" s="360"/>
      <c r="AO264" s="360"/>
      <c r="AP264" s="360"/>
      <c r="AQ264" s="360"/>
    </row>
    <row r="265" spans="1:43" s="390" customFormat="1" ht="30.75" thickBot="1">
      <c r="A265" s="2117">
        <v>44272</v>
      </c>
      <c r="B265" s="2118" t="s">
        <v>8452</v>
      </c>
      <c r="C265" s="2118" t="s">
        <v>2434</v>
      </c>
      <c r="D265" s="2118" t="s">
        <v>3204</v>
      </c>
      <c r="E265" s="2119" t="s">
        <v>8453</v>
      </c>
      <c r="F265" s="2118">
        <v>3</v>
      </c>
      <c r="G265" s="2120" t="s">
        <v>8785</v>
      </c>
      <c r="H265" s="2118"/>
      <c r="I265" s="2118" t="s">
        <v>642</v>
      </c>
      <c r="J265" s="2118"/>
      <c r="K265" s="2121">
        <v>490000</v>
      </c>
      <c r="L265" s="2118" t="s">
        <v>216</v>
      </c>
      <c r="M265" s="2117">
        <v>44292</v>
      </c>
      <c r="N265" s="2117">
        <v>44309</v>
      </c>
      <c r="O265" s="2117">
        <v>44321</v>
      </c>
      <c r="P265" s="2120" t="s">
        <v>7136</v>
      </c>
      <c r="Q265" s="2118"/>
      <c r="R265" s="2121">
        <v>460000</v>
      </c>
      <c r="S265" s="2121">
        <v>529000</v>
      </c>
      <c r="T265" s="2122"/>
      <c r="U265" s="2122"/>
      <c r="V265" s="2122"/>
      <c r="W265" s="2123">
        <v>44322</v>
      </c>
      <c r="X265" s="2246" t="s">
        <v>8888</v>
      </c>
      <c r="Y265" s="2117">
        <v>44341</v>
      </c>
      <c r="Z265" s="2117">
        <v>44350</v>
      </c>
      <c r="AA265" s="2117">
        <v>45070</v>
      </c>
      <c r="AB265" s="2117">
        <v>44642</v>
      </c>
      <c r="AC265" s="2110">
        <v>2022</v>
      </c>
      <c r="AD265" s="2247" t="s">
        <v>9028</v>
      </c>
      <c r="AE265" s="2041"/>
      <c r="AF265" s="360"/>
      <c r="AG265" s="360"/>
      <c r="AH265" s="360"/>
      <c r="AI265" s="360"/>
      <c r="AJ265" s="360"/>
      <c r="AK265" s="360"/>
      <c r="AL265" s="360"/>
      <c r="AM265" s="360"/>
      <c r="AN265" s="360"/>
      <c r="AO265" s="360"/>
      <c r="AP265" s="360"/>
      <c r="AQ265" s="360"/>
    </row>
    <row r="266" spans="1:43" ht="15.75" thickTop="1">
      <c r="A266" s="365">
        <v>44271</v>
      </c>
      <c r="B266" s="2282" t="s">
        <v>8454</v>
      </c>
      <c r="C266" s="2282" t="s">
        <v>1032</v>
      </c>
      <c r="D266" s="2282" t="s">
        <v>361</v>
      </c>
      <c r="E266" s="175" t="s">
        <v>8442</v>
      </c>
      <c r="F266" s="2282"/>
      <c r="G266" s="2283"/>
      <c r="H266" s="2282"/>
      <c r="I266" s="2282" t="s">
        <v>8443</v>
      </c>
      <c r="J266" s="2282"/>
      <c r="K266" s="364">
        <v>1450000</v>
      </c>
      <c r="L266" s="2282" t="s">
        <v>112</v>
      </c>
      <c r="M266" s="365">
        <v>44279</v>
      </c>
      <c r="N266" s="365">
        <v>44293</v>
      </c>
      <c r="O266" s="365">
        <v>44334</v>
      </c>
      <c r="P266" s="2283" t="s">
        <v>8953</v>
      </c>
      <c r="Q266" s="2282"/>
      <c r="R266" s="364">
        <v>1070881.05</v>
      </c>
      <c r="S266" s="364">
        <v>1295766.07</v>
      </c>
      <c r="T266" s="1473"/>
      <c r="U266" s="1473"/>
      <c r="V266" s="1473"/>
      <c r="W266" s="681">
        <v>44334</v>
      </c>
      <c r="X266" s="364" t="s">
        <v>8972</v>
      </c>
      <c r="Y266" s="365">
        <v>44351</v>
      </c>
      <c r="Z266" s="365">
        <v>44354</v>
      </c>
      <c r="AA266" s="365">
        <v>44419</v>
      </c>
      <c r="AB266" s="365">
        <v>44536</v>
      </c>
      <c r="AC266" s="1513"/>
    </row>
    <row r="267" spans="1:43">
      <c r="A267" s="537">
        <v>44272</v>
      </c>
      <c r="B267" s="491" t="s">
        <v>8458</v>
      </c>
      <c r="C267" s="491" t="s">
        <v>1032</v>
      </c>
      <c r="D267" s="491" t="s">
        <v>361</v>
      </c>
      <c r="E267" s="571" t="s">
        <v>3322</v>
      </c>
      <c r="F267" s="491"/>
      <c r="G267" s="495"/>
      <c r="H267" s="491"/>
      <c r="I267" s="491" t="s">
        <v>8460</v>
      </c>
      <c r="J267" s="491" t="s">
        <v>8459</v>
      </c>
      <c r="K267" s="536">
        <v>1150000</v>
      </c>
      <c r="L267" s="491" t="s">
        <v>112</v>
      </c>
      <c r="M267" s="537">
        <v>44285</v>
      </c>
      <c r="N267" s="537">
        <v>44295</v>
      </c>
      <c r="O267" s="537">
        <v>44302</v>
      </c>
      <c r="P267" s="495" t="s">
        <v>4945</v>
      </c>
      <c r="Q267" s="491"/>
      <c r="R267" s="536">
        <v>866956</v>
      </c>
      <c r="S267" s="536">
        <v>1049017</v>
      </c>
      <c r="T267" s="1471"/>
      <c r="U267" s="1471"/>
      <c r="V267" s="1471"/>
      <c r="W267" s="573">
        <v>44302</v>
      </c>
      <c r="X267" s="536" t="s">
        <v>8609</v>
      </c>
      <c r="Y267" s="537">
        <v>44333</v>
      </c>
      <c r="Z267" s="537">
        <v>44335</v>
      </c>
      <c r="AA267" s="537">
        <v>44389</v>
      </c>
      <c r="AB267" s="537">
        <v>44473</v>
      </c>
      <c r="AC267" s="1102"/>
    </row>
    <row r="268" spans="1:43" ht="15.75" thickBot="1">
      <c r="A268" s="416">
        <v>44273</v>
      </c>
      <c r="B268" s="411" t="s">
        <v>8461</v>
      </c>
      <c r="C268" s="411" t="s">
        <v>2434</v>
      </c>
      <c r="D268" s="411" t="s">
        <v>219</v>
      </c>
      <c r="E268" s="1563" t="s">
        <v>8462</v>
      </c>
      <c r="F268" s="411"/>
      <c r="G268" s="630"/>
      <c r="H268" s="411"/>
      <c r="I268" s="411" t="s">
        <v>642</v>
      </c>
      <c r="J268" s="411"/>
      <c r="K268" s="417">
        <v>1186800</v>
      </c>
      <c r="L268" s="411" t="s">
        <v>112</v>
      </c>
      <c r="M268" s="416">
        <v>44277</v>
      </c>
      <c r="N268" s="416">
        <v>44286</v>
      </c>
      <c r="O268" s="416">
        <v>44294</v>
      </c>
      <c r="P268" s="630" t="s">
        <v>993</v>
      </c>
      <c r="Q268" s="411"/>
      <c r="R268" s="417">
        <v>1249287</v>
      </c>
      <c r="S268" s="417">
        <f>R268*1.21</f>
        <v>1511637.27</v>
      </c>
      <c r="T268" s="1480"/>
      <c r="U268" s="1480"/>
      <c r="V268" s="1480"/>
      <c r="W268" s="513">
        <v>44294</v>
      </c>
      <c r="X268" s="417" t="s">
        <v>8550</v>
      </c>
      <c r="Y268" s="416">
        <v>44314</v>
      </c>
      <c r="Z268" s="416">
        <v>44319</v>
      </c>
      <c r="AA268" s="416">
        <v>45409</v>
      </c>
      <c r="AB268" s="416">
        <v>44642</v>
      </c>
      <c r="AC268" s="422">
        <v>2022</v>
      </c>
      <c r="AD268" s="388">
        <v>2023</v>
      </c>
      <c r="AE268" s="388" t="s">
        <v>8838</v>
      </c>
    </row>
    <row r="269" spans="1:43" ht="15.75" thickTop="1">
      <c r="A269" s="474">
        <v>44273</v>
      </c>
      <c r="B269" s="453" t="s">
        <v>8466</v>
      </c>
      <c r="C269" s="453" t="s">
        <v>69</v>
      </c>
      <c r="D269" s="453" t="s">
        <v>70</v>
      </c>
      <c r="E269" s="473" t="s">
        <v>8467</v>
      </c>
      <c r="F269" s="453">
        <v>1</v>
      </c>
      <c r="G269" s="1420" t="s">
        <v>8468</v>
      </c>
      <c r="H269" s="453"/>
      <c r="I269" s="453" t="s">
        <v>3437</v>
      </c>
      <c r="J269" s="453"/>
      <c r="K269" s="457">
        <v>5912121</v>
      </c>
      <c r="L269" s="453" t="s">
        <v>251</v>
      </c>
      <c r="M269" s="474">
        <v>44278</v>
      </c>
      <c r="N269" s="474">
        <v>44312</v>
      </c>
      <c r="O269" s="474">
        <v>44330</v>
      </c>
      <c r="P269" s="1420" t="s">
        <v>578</v>
      </c>
      <c r="Q269" s="453"/>
      <c r="R269" s="457">
        <v>5784504.5999999996</v>
      </c>
      <c r="S269" s="457">
        <v>6362955.0599999996</v>
      </c>
      <c r="T269" s="1474"/>
      <c r="U269" s="1474"/>
      <c r="V269" s="1474"/>
      <c r="W269" s="570">
        <v>44330</v>
      </c>
      <c r="X269" s="457" t="s">
        <v>8946</v>
      </c>
      <c r="Y269" s="474">
        <v>44363</v>
      </c>
      <c r="Z269" s="474">
        <v>44364</v>
      </c>
      <c r="AA269" s="474">
        <v>45458</v>
      </c>
      <c r="AB269" s="1998">
        <v>44648</v>
      </c>
      <c r="AC269" s="1391">
        <v>2022</v>
      </c>
      <c r="AD269" s="388">
        <v>2023</v>
      </c>
      <c r="AE269" s="388" t="s">
        <v>9204</v>
      </c>
    </row>
    <row r="270" spans="1:43">
      <c r="A270" s="2140">
        <v>44273</v>
      </c>
      <c r="B270" s="2141" t="s">
        <v>8466</v>
      </c>
      <c r="C270" s="2141" t="s">
        <v>69</v>
      </c>
      <c r="D270" s="2141" t="s">
        <v>70</v>
      </c>
      <c r="E270" s="2142" t="s">
        <v>8467</v>
      </c>
      <c r="F270" s="2141">
        <v>2</v>
      </c>
      <c r="G270" s="2143" t="s">
        <v>8469</v>
      </c>
      <c r="H270" s="2141"/>
      <c r="I270" s="2141" t="s">
        <v>3437</v>
      </c>
      <c r="J270" s="2141"/>
      <c r="K270" s="2144">
        <v>14394333</v>
      </c>
      <c r="L270" s="2141" t="s">
        <v>251</v>
      </c>
      <c r="M270" s="2140">
        <v>44278</v>
      </c>
      <c r="N270" s="2140">
        <v>44312</v>
      </c>
      <c r="O270" s="2140">
        <v>44330</v>
      </c>
      <c r="P270" s="2143" t="s">
        <v>578</v>
      </c>
      <c r="Q270" s="2141"/>
      <c r="R270" s="2144">
        <v>14394332.310000001</v>
      </c>
      <c r="S270" s="2144">
        <v>15833765.539999999</v>
      </c>
      <c r="T270" s="2145"/>
      <c r="U270" s="2145"/>
      <c r="V270" s="2145"/>
      <c r="W270" s="2146">
        <v>44330</v>
      </c>
      <c r="X270" s="2144" t="s">
        <v>8947</v>
      </c>
      <c r="Y270" s="2140">
        <v>44363</v>
      </c>
      <c r="Z270" s="2140">
        <v>44364</v>
      </c>
      <c r="AA270" s="2140">
        <v>45458</v>
      </c>
      <c r="AB270" s="2564">
        <v>44648</v>
      </c>
      <c r="AC270" s="2109">
        <v>2022</v>
      </c>
      <c r="AD270" s="388">
        <v>2023</v>
      </c>
      <c r="AE270" s="388" t="s">
        <v>9204</v>
      </c>
    </row>
    <row r="271" spans="1:43" ht="15.75" thickBot="1">
      <c r="A271" s="2117">
        <v>44273</v>
      </c>
      <c r="B271" s="2118" t="s">
        <v>8466</v>
      </c>
      <c r="C271" s="2118" t="s">
        <v>69</v>
      </c>
      <c r="D271" s="2118" t="s">
        <v>70</v>
      </c>
      <c r="E271" s="2119" t="s">
        <v>8467</v>
      </c>
      <c r="F271" s="2118">
        <v>3</v>
      </c>
      <c r="G271" s="2120" t="s">
        <v>8470</v>
      </c>
      <c r="H271" s="2118"/>
      <c r="I271" s="2118" t="s">
        <v>3437</v>
      </c>
      <c r="J271" s="2118"/>
      <c r="K271" s="2121">
        <v>12807940</v>
      </c>
      <c r="L271" s="2118" t="s">
        <v>251</v>
      </c>
      <c r="M271" s="2117">
        <v>44278</v>
      </c>
      <c r="N271" s="2117">
        <v>44312</v>
      </c>
      <c r="O271" s="2117">
        <v>44330</v>
      </c>
      <c r="P271" s="2120" t="s">
        <v>576</v>
      </c>
      <c r="Q271" s="2118"/>
      <c r="R271" s="2121">
        <v>12807936.6</v>
      </c>
      <c r="S271" s="2121">
        <v>14088730.26</v>
      </c>
      <c r="T271" s="2122"/>
      <c r="U271" s="2122"/>
      <c r="V271" s="2122"/>
      <c r="W271" s="2123">
        <v>44330</v>
      </c>
      <c r="X271" s="2121" t="s">
        <v>8948</v>
      </c>
      <c r="Y271" s="2117">
        <v>44354</v>
      </c>
      <c r="Z271" s="2117">
        <v>44364</v>
      </c>
      <c r="AA271" s="2117">
        <v>45449</v>
      </c>
      <c r="AB271" s="2565">
        <v>44648</v>
      </c>
      <c r="AC271" s="2110">
        <v>2022</v>
      </c>
      <c r="AD271" s="388">
        <v>2023</v>
      </c>
      <c r="AE271" s="388" t="s">
        <v>9122</v>
      </c>
    </row>
    <row r="272" spans="1:43" ht="16.5" thickTop="1" thickBot="1">
      <c r="A272" s="498">
        <v>44277</v>
      </c>
      <c r="B272" s="232" t="s">
        <v>8471</v>
      </c>
      <c r="C272" s="232" t="s">
        <v>69</v>
      </c>
      <c r="D272" s="232" t="s">
        <v>70</v>
      </c>
      <c r="E272" s="274" t="s">
        <v>8472</v>
      </c>
      <c r="F272" s="232"/>
      <c r="G272" s="669"/>
      <c r="H272" s="232"/>
      <c r="I272" s="232" t="s">
        <v>813</v>
      </c>
      <c r="J272" s="232"/>
      <c r="K272" s="499">
        <v>31038378</v>
      </c>
      <c r="L272" s="232" t="s">
        <v>251</v>
      </c>
      <c r="M272" s="498">
        <v>44279</v>
      </c>
      <c r="N272" s="498">
        <v>44342</v>
      </c>
      <c r="O272" s="498">
        <v>44361</v>
      </c>
      <c r="P272" s="669" t="s">
        <v>576</v>
      </c>
      <c r="Q272" s="232"/>
      <c r="R272" s="499">
        <v>31023597.82</v>
      </c>
      <c r="S272" s="499">
        <v>34125957.600000001</v>
      </c>
      <c r="T272" s="1545"/>
      <c r="U272" s="1545"/>
      <c r="V272" s="1545"/>
      <c r="W272" s="682">
        <v>44361</v>
      </c>
      <c r="X272" s="499" t="s">
        <v>9180</v>
      </c>
      <c r="Y272" s="498">
        <v>44385</v>
      </c>
      <c r="Z272" s="498">
        <v>44391</v>
      </c>
      <c r="AA272" s="498">
        <v>46210</v>
      </c>
      <c r="AB272" s="2566">
        <v>44648</v>
      </c>
      <c r="AC272" s="1546">
        <v>2022</v>
      </c>
      <c r="AD272" s="388">
        <v>2023</v>
      </c>
      <c r="AE272" s="388">
        <v>2024</v>
      </c>
      <c r="AF272" s="388">
        <v>2025</v>
      </c>
      <c r="AG272" s="388" t="s">
        <v>9315</v>
      </c>
    </row>
    <row r="273" spans="1:33" ht="15.75" thickTop="1">
      <c r="A273" s="474">
        <v>44277</v>
      </c>
      <c r="B273" s="453" t="s">
        <v>8473</v>
      </c>
      <c r="C273" s="453" t="s">
        <v>69</v>
      </c>
      <c r="D273" s="453" t="s">
        <v>70</v>
      </c>
      <c r="E273" s="473" t="s">
        <v>8474</v>
      </c>
      <c r="F273" s="453">
        <v>1</v>
      </c>
      <c r="G273" s="1420" t="s">
        <v>8475</v>
      </c>
      <c r="H273" s="453"/>
      <c r="I273" s="453" t="s">
        <v>8479</v>
      </c>
      <c r="J273" s="453"/>
      <c r="K273" s="457">
        <v>11685000</v>
      </c>
      <c r="L273" s="453" t="s">
        <v>251</v>
      </c>
      <c r="M273" s="474">
        <v>44298</v>
      </c>
      <c r="N273" s="474">
        <v>44330</v>
      </c>
      <c r="O273" s="474">
        <v>44369</v>
      </c>
      <c r="P273" s="1420" t="s">
        <v>9223</v>
      </c>
      <c r="Q273" s="453"/>
      <c r="R273" s="457">
        <v>10744050</v>
      </c>
      <c r="S273" s="457">
        <v>11818455</v>
      </c>
      <c r="T273" s="1474"/>
      <c r="U273" s="1474"/>
      <c r="V273" s="1474"/>
      <c r="W273" s="570">
        <v>44369</v>
      </c>
      <c r="X273" s="457" t="s">
        <v>9247</v>
      </c>
      <c r="Y273" s="474">
        <v>44404</v>
      </c>
      <c r="Z273" s="474">
        <v>44418</v>
      </c>
      <c r="AA273" s="474">
        <v>46229</v>
      </c>
      <c r="AB273" s="1998">
        <v>44648</v>
      </c>
      <c r="AC273" s="1391">
        <v>2022</v>
      </c>
      <c r="AD273" s="388">
        <v>2023</v>
      </c>
      <c r="AE273" s="388">
        <v>2024</v>
      </c>
      <c r="AF273" s="388">
        <v>2025</v>
      </c>
      <c r="AG273" s="388" t="s">
        <v>9468</v>
      </c>
    </row>
    <row r="274" spans="1:33">
      <c r="A274" s="2140">
        <v>44277</v>
      </c>
      <c r="B274" s="2141" t="s">
        <v>8473</v>
      </c>
      <c r="C274" s="2141" t="s">
        <v>69</v>
      </c>
      <c r="D274" s="2141" t="s">
        <v>70</v>
      </c>
      <c r="E274" s="2142" t="s">
        <v>8474</v>
      </c>
      <c r="F274" s="2141">
        <v>2</v>
      </c>
      <c r="G274" s="2143" t="s">
        <v>8476</v>
      </c>
      <c r="H274" s="2141"/>
      <c r="I274" s="2141" t="s">
        <v>8479</v>
      </c>
      <c r="J274" s="2141"/>
      <c r="K274" s="2144">
        <v>3349210</v>
      </c>
      <c r="L274" s="2141" t="s">
        <v>251</v>
      </c>
      <c r="M274" s="2140">
        <v>44298</v>
      </c>
      <c r="N274" s="2140">
        <v>44330</v>
      </c>
      <c r="O274" s="2140">
        <v>44369</v>
      </c>
      <c r="P274" s="2143" t="s">
        <v>1646</v>
      </c>
      <c r="Q274" s="2141"/>
      <c r="R274" s="2144">
        <v>3317290.23</v>
      </c>
      <c r="S274" s="2144">
        <v>3649019.25</v>
      </c>
      <c r="T274" s="2145"/>
      <c r="U274" s="2145"/>
      <c r="V274" s="2145"/>
      <c r="W274" s="2146">
        <v>44369</v>
      </c>
      <c r="X274" s="2144" t="s">
        <v>9237</v>
      </c>
      <c r="Y274" s="2140">
        <v>44417</v>
      </c>
      <c r="Z274" s="2140">
        <v>44418</v>
      </c>
      <c r="AA274" s="2140">
        <v>45146</v>
      </c>
      <c r="AB274" s="2564">
        <v>44648</v>
      </c>
      <c r="AC274" s="2109">
        <v>2022</v>
      </c>
      <c r="AD274" s="388" t="s">
        <v>9559</v>
      </c>
    </row>
    <row r="275" spans="1:33">
      <c r="A275" s="2140">
        <v>44277</v>
      </c>
      <c r="B275" s="2141" t="s">
        <v>8473</v>
      </c>
      <c r="C275" s="2141" t="s">
        <v>69</v>
      </c>
      <c r="D275" s="2141" t="s">
        <v>70</v>
      </c>
      <c r="E275" s="2142" t="s">
        <v>8474</v>
      </c>
      <c r="F275" s="2141">
        <v>3</v>
      </c>
      <c r="G275" s="2143" t="s">
        <v>8477</v>
      </c>
      <c r="H275" s="2141"/>
      <c r="I275" s="2141" t="s">
        <v>8479</v>
      </c>
      <c r="J275" s="2141"/>
      <c r="K275" s="2144">
        <v>545408</v>
      </c>
      <c r="L275" s="2141" t="s">
        <v>251</v>
      </c>
      <c r="M275" s="2140">
        <v>44298</v>
      </c>
      <c r="N275" s="2140">
        <v>44330</v>
      </c>
      <c r="O275" s="2140">
        <v>44369</v>
      </c>
      <c r="P275" s="2143" t="s">
        <v>2548</v>
      </c>
      <c r="Q275" s="2141"/>
      <c r="R275" s="2144">
        <v>528990.06000000006</v>
      </c>
      <c r="S275" s="2144">
        <v>581889.06999999995</v>
      </c>
      <c r="T275" s="2145"/>
      <c r="U275" s="2145"/>
      <c r="V275" s="2145"/>
      <c r="W275" s="2146">
        <v>44369</v>
      </c>
      <c r="X275" s="2144" t="s">
        <v>9238</v>
      </c>
      <c r="Y275" s="2140">
        <v>44392</v>
      </c>
      <c r="Z275" s="2140">
        <v>44418</v>
      </c>
      <c r="AA275" s="2140">
        <v>45121</v>
      </c>
      <c r="AB275" s="2564">
        <v>44648</v>
      </c>
      <c r="AC275" s="2109">
        <v>2022</v>
      </c>
      <c r="AD275" s="388" t="s">
        <v>9365</v>
      </c>
    </row>
    <row r="276" spans="1:33" ht="15.75" thickBot="1">
      <c r="A276" s="2117">
        <v>44277</v>
      </c>
      <c r="B276" s="2118" t="s">
        <v>8473</v>
      </c>
      <c r="C276" s="2118" t="s">
        <v>69</v>
      </c>
      <c r="D276" s="2118" t="s">
        <v>70</v>
      </c>
      <c r="E276" s="2119" t="s">
        <v>8474</v>
      </c>
      <c r="F276" s="2118">
        <v>4</v>
      </c>
      <c r="G276" s="2120" t="s">
        <v>8478</v>
      </c>
      <c r="H276" s="2118"/>
      <c r="I276" s="2118" t="s">
        <v>8479</v>
      </c>
      <c r="J276" s="2118"/>
      <c r="K276" s="2121">
        <v>659364</v>
      </c>
      <c r="L276" s="2118" t="s">
        <v>251</v>
      </c>
      <c r="M276" s="2117">
        <v>44298</v>
      </c>
      <c r="N276" s="2117">
        <v>44330</v>
      </c>
      <c r="O276" s="2117">
        <v>44369</v>
      </c>
      <c r="P276" s="2120" t="s">
        <v>2548</v>
      </c>
      <c r="Q276" s="2118"/>
      <c r="R276" s="2121">
        <v>643595.52000000002</v>
      </c>
      <c r="S276" s="2121">
        <v>707955.07</v>
      </c>
      <c r="T276" s="2122"/>
      <c r="U276" s="2122"/>
      <c r="V276" s="2122"/>
      <c r="W276" s="2123">
        <v>44369</v>
      </c>
      <c r="X276" s="2121" t="s">
        <v>9239</v>
      </c>
      <c r="Y276" s="2117">
        <v>44392</v>
      </c>
      <c r="Z276" s="2117">
        <v>44418</v>
      </c>
      <c r="AA276" s="2117">
        <v>45121</v>
      </c>
      <c r="AB276" s="2565" t="s">
        <v>11373</v>
      </c>
      <c r="AC276" s="2110">
        <v>2022</v>
      </c>
      <c r="AD276" s="388" t="s">
        <v>9365</v>
      </c>
    </row>
    <row r="277" spans="1:33" ht="15.75" thickTop="1">
      <c r="A277" s="470">
        <v>44277</v>
      </c>
      <c r="B277" s="466" t="s">
        <v>8481</v>
      </c>
      <c r="C277" s="466" t="s">
        <v>2434</v>
      </c>
      <c r="D277" s="466" t="s">
        <v>219</v>
      </c>
      <c r="E277" s="467" t="s">
        <v>8482</v>
      </c>
      <c r="F277" s="466"/>
      <c r="G277" s="654"/>
      <c r="H277" s="466"/>
      <c r="I277" s="466" t="s">
        <v>642</v>
      </c>
      <c r="J277" s="466"/>
      <c r="K277" s="472">
        <v>26658887.460000001</v>
      </c>
      <c r="L277" s="466" t="s">
        <v>251</v>
      </c>
      <c r="M277" s="470">
        <v>44295</v>
      </c>
      <c r="N277" s="470">
        <v>44358</v>
      </c>
      <c r="O277" s="466"/>
      <c r="P277" s="471" t="s">
        <v>8431</v>
      </c>
      <c r="Q277" s="466"/>
      <c r="R277" s="472"/>
      <c r="S277" s="472"/>
      <c r="T277" s="1516"/>
      <c r="U277" s="1516"/>
      <c r="V277" s="1516"/>
      <c r="W277" s="472"/>
      <c r="X277" s="472"/>
      <c r="Y277" s="466"/>
      <c r="Z277" s="470">
        <v>44538</v>
      </c>
      <c r="AA277" s="654" t="s">
        <v>10366</v>
      </c>
      <c r="AB277" s="466"/>
      <c r="AC277" s="466"/>
    </row>
    <row r="278" spans="1:33" ht="30">
      <c r="A278" s="537">
        <v>44278</v>
      </c>
      <c r="B278" s="491" t="s">
        <v>8489</v>
      </c>
      <c r="C278" s="491" t="s">
        <v>58</v>
      </c>
      <c r="D278" s="491" t="s">
        <v>2684</v>
      </c>
      <c r="E278" s="571" t="s">
        <v>8490</v>
      </c>
      <c r="F278" s="491"/>
      <c r="G278" s="495"/>
      <c r="H278" s="491"/>
      <c r="I278" s="491" t="s">
        <v>8491</v>
      </c>
      <c r="J278" s="491" t="s">
        <v>8492</v>
      </c>
      <c r="K278" s="536">
        <v>634653</v>
      </c>
      <c r="L278" s="491" t="s">
        <v>112</v>
      </c>
      <c r="M278" s="537">
        <v>44280</v>
      </c>
      <c r="N278" s="537">
        <v>44294</v>
      </c>
      <c r="O278" s="537">
        <v>44306</v>
      </c>
      <c r="P278" s="495" t="s">
        <v>5890</v>
      </c>
      <c r="Q278" s="491"/>
      <c r="R278" s="536">
        <v>628760.31999999995</v>
      </c>
      <c r="S278" s="536">
        <v>760799.9</v>
      </c>
      <c r="T278" s="1471"/>
      <c r="U278" s="1471"/>
      <c r="V278" s="1471"/>
      <c r="W278" s="573">
        <v>44307</v>
      </c>
      <c r="X278" s="1375" t="s">
        <v>8775</v>
      </c>
      <c r="Y278" s="537">
        <v>44377</v>
      </c>
      <c r="Z278" s="537">
        <v>44379</v>
      </c>
      <c r="AA278" s="537">
        <v>44437</v>
      </c>
      <c r="AB278" s="537">
        <v>44459</v>
      </c>
      <c r="AC278" s="1374" t="s">
        <v>1875</v>
      </c>
    </row>
    <row r="279" spans="1:33" ht="45">
      <c r="A279" s="537">
        <v>44278</v>
      </c>
      <c r="B279" s="491" t="s">
        <v>8494</v>
      </c>
      <c r="C279" s="491" t="s">
        <v>58</v>
      </c>
      <c r="D279" s="491" t="s">
        <v>2684</v>
      </c>
      <c r="E279" s="571" t="s">
        <v>8495</v>
      </c>
      <c r="F279" s="491"/>
      <c r="G279" s="495"/>
      <c r="H279" s="491"/>
      <c r="I279" s="491" t="s">
        <v>4312</v>
      </c>
      <c r="J279" s="491" t="s">
        <v>8496</v>
      </c>
      <c r="K279" s="536">
        <v>1294000</v>
      </c>
      <c r="L279" s="491" t="s">
        <v>112</v>
      </c>
      <c r="M279" s="537">
        <v>44313</v>
      </c>
      <c r="N279" s="537">
        <v>44328</v>
      </c>
      <c r="O279" s="537">
        <v>44391</v>
      </c>
      <c r="P279" s="495" t="s">
        <v>9340</v>
      </c>
      <c r="Q279" s="491"/>
      <c r="R279" s="536">
        <v>1151738.6399999999</v>
      </c>
      <c r="S279" s="536">
        <v>1393603.76</v>
      </c>
      <c r="T279" s="1471"/>
      <c r="U279" s="1471"/>
      <c r="V279" s="1471"/>
      <c r="W279" s="573">
        <v>44391</v>
      </c>
      <c r="X279" s="1375" t="s">
        <v>9341</v>
      </c>
      <c r="Y279" s="537">
        <v>44400</v>
      </c>
      <c r="Z279" s="537">
        <v>44406</v>
      </c>
      <c r="AA279" s="537">
        <v>44456</v>
      </c>
      <c r="AB279" s="537">
        <v>44522</v>
      </c>
      <c r="AC279" s="1374" t="s">
        <v>1875</v>
      </c>
    </row>
    <row r="280" spans="1:33">
      <c r="A280" s="537">
        <v>44279</v>
      </c>
      <c r="B280" s="491" t="s">
        <v>8497</v>
      </c>
      <c r="C280" s="491" t="s">
        <v>52</v>
      </c>
      <c r="D280" s="491" t="s">
        <v>7503</v>
      </c>
      <c r="E280" s="571" t="s">
        <v>8498</v>
      </c>
      <c r="F280" s="491"/>
      <c r="G280" s="495"/>
      <c r="H280" s="491"/>
      <c r="I280" s="491" t="s">
        <v>3091</v>
      </c>
      <c r="J280" s="491" t="s">
        <v>8499</v>
      </c>
      <c r="K280" s="536">
        <v>15000000</v>
      </c>
      <c r="L280" s="491" t="s">
        <v>216</v>
      </c>
      <c r="M280" s="537">
        <v>44284</v>
      </c>
      <c r="N280" s="537">
        <v>44306</v>
      </c>
      <c r="O280" s="537">
        <v>44316</v>
      </c>
      <c r="P280" s="495" t="s">
        <v>8795</v>
      </c>
      <c r="Q280" s="491"/>
      <c r="R280" s="536">
        <v>12870000</v>
      </c>
      <c r="S280" s="536">
        <v>15572700</v>
      </c>
      <c r="T280" s="1471"/>
      <c r="U280" s="1471"/>
      <c r="V280" s="1471"/>
      <c r="W280" s="573">
        <v>44319</v>
      </c>
      <c r="X280" s="536" t="s">
        <v>8846</v>
      </c>
      <c r="Y280" s="537">
        <v>44358</v>
      </c>
      <c r="Z280" s="537">
        <v>44364</v>
      </c>
      <c r="AA280" s="537">
        <v>44486</v>
      </c>
      <c r="AB280" s="537">
        <v>44761</v>
      </c>
      <c r="AC280" s="1102"/>
    </row>
    <row r="281" spans="1:33">
      <c r="A281" s="537">
        <v>44280</v>
      </c>
      <c r="B281" s="491" t="s">
        <v>8500</v>
      </c>
      <c r="C281" s="491" t="s">
        <v>52</v>
      </c>
      <c r="D281" s="491" t="s">
        <v>2588</v>
      </c>
      <c r="E281" s="571" t="s">
        <v>8501</v>
      </c>
      <c r="F281" s="491"/>
      <c r="G281" s="495"/>
      <c r="H281" s="491"/>
      <c r="I281" s="491" t="s">
        <v>33</v>
      </c>
      <c r="J281" s="491" t="s">
        <v>8502</v>
      </c>
      <c r="K281" s="536">
        <v>33000000</v>
      </c>
      <c r="L281" s="491" t="s">
        <v>216</v>
      </c>
      <c r="M281" s="537">
        <v>44287</v>
      </c>
      <c r="N281" s="537">
        <v>44309</v>
      </c>
      <c r="O281" s="537">
        <v>44313</v>
      </c>
      <c r="P281" s="495" t="s">
        <v>2626</v>
      </c>
      <c r="Q281" s="491"/>
      <c r="R281" s="536">
        <v>29995496.359999999</v>
      </c>
      <c r="S281" s="536">
        <v>36294550.600000001</v>
      </c>
      <c r="T281" s="1471"/>
      <c r="U281" s="1471"/>
      <c r="V281" s="1471"/>
      <c r="W281" s="573">
        <v>44313</v>
      </c>
      <c r="X281" s="536" t="s">
        <v>8817</v>
      </c>
      <c r="Y281" s="537">
        <v>44348</v>
      </c>
      <c r="Z281" s="537">
        <v>44361</v>
      </c>
      <c r="AA281" s="537">
        <v>44441</v>
      </c>
      <c r="AB281" s="537">
        <v>44690</v>
      </c>
      <c r="AC281" s="1102"/>
    </row>
    <row r="282" spans="1:33" ht="45">
      <c r="A282" s="537">
        <v>44279</v>
      </c>
      <c r="B282" s="491" t="s">
        <v>8505</v>
      </c>
      <c r="C282" s="491" t="s">
        <v>2434</v>
      </c>
      <c r="D282" s="491" t="s">
        <v>3204</v>
      </c>
      <c r="E282" s="571" t="s">
        <v>8506</v>
      </c>
      <c r="F282" s="491"/>
      <c r="G282" s="495"/>
      <c r="H282" s="491"/>
      <c r="I282" s="491" t="s">
        <v>642</v>
      </c>
      <c r="J282" s="491"/>
      <c r="K282" s="536">
        <v>1720000</v>
      </c>
      <c r="L282" s="491" t="s">
        <v>112</v>
      </c>
      <c r="M282" s="537">
        <v>44284</v>
      </c>
      <c r="N282" s="537">
        <v>44294</v>
      </c>
      <c r="O282" s="537">
        <v>44302</v>
      </c>
      <c r="P282" s="495" t="s">
        <v>7136</v>
      </c>
      <c r="Q282" s="491"/>
      <c r="R282" s="536">
        <v>1720000</v>
      </c>
      <c r="S282" s="536">
        <v>1978000</v>
      </c>
      <c r="T282" s="1471"/>
      <c r="U282" s="1471"/>
      <c r="V282" s="1471"/>
      <c r="W282" s="573">
        <v>44302</v>
      </c>
      <c r="X282" s="1375" t="s">
        <v>8768</v>
      </c>
      <c r="Y282" s="537">
        <v>44321</v>
      </c>
      <c r="Z282" s="537">
        <v>44323</v>
      </c>
      <c r="AA282" s="537">
        <v>45050</v>
      </c>
      <c r="AB282" s="537">
        <v>44642</v>
      </c>
      <c r="AC282" s="1374">
        <v>2022</v>
      </c>
      <c r="AD282" s="388" t="s">
        <v>8894</v>
      </c>
    </row>
    <row r="283" spans="1:33" ht="30">
      <c r="A283" s="537">
        <v>44280</v>
      </c>
      <c r="B283" s="491" t="s">
        <v>8507</v>
      </c>
      <c r="C283" s="491" t="s">
        <v>2434</v>
      </c>
      <c r="D283" s="491" t="s">
        <v>219</v>
      </c>
      <c r="E283" s="571" t="s">
        <v>8508</v>
      </c>
      <c r="F283" s="491"/>
      <c r="G283" s="495"/>
      <c r="H283" s="491"/>
      <c r="I283" s="491" t="s">
        <v>421</v>
      </c>
      <c r="J283" s="491"/>
      <c r="K283" s="536">
        <v>1026400</v>
      </c>
      <c r="L283" s="491" t="s">
        <v>112</v>
      </c>
      <c r="M283" s="537">
        <v>44284</v>
      </c>
      <c r="N283" s="537">
        <v>44294</v>
      </c>
      <c r="O283" s="537">
        <v>44307</v>
      </c>
      <c r="P283" s="495" t="s">
        <v>8761</v>
      </c>
      <c r="Q283" s="491"/>
      <c r="R283" s="536">
        <v>990000</v>
      </c>
      <c r="S283" s="536">
        <v>1197900</v>
      </c>
      <c r="T283" s="1471"/>
      <c r="U283" s="1471"/>
      <c r="V283" s="1471"/>
      <c r="W283" s="573">
        <v>44308</v>
      </c>
      <c r="X283" s="1375" t="s">
        <v>8779</v>
      </c>
      <c r="Y283" s="537">
        <v>44329</v>
      </c>
      <c r="Z283" s="537">
        <v>44330</v>
      </c>
      <c r="AA283" s="537">
        <v>45424</v>
      </c>
      <c r="AB283" s="537">
        <v>44642</v>
      </c>
      <c r="AC283" s="1941">
        <v>2022</v>
      </c>
      <c r="AD283" s="1701">
        <v>2023</v>
      </c>
      <c r="AE283" s="1701" t="s">
        <v>8950</v>
      </c>
    </row>
    <row r="284" spans="1:33">
      <c r="A284" s="491" t="s">
        <v>3585</v>
      </c>
      <c r="B284" s="491" t="s">
        <v>8511</v>
      </c>
      <c r="C284" s="491" t="s">
        <v>4997</v>
      </c>
      <c r="D284" s="491" t="s">
        <v>7475</v>
      </c>
      <c r="E284" s="571" t="s">
        <v>8512</v>
      </c>
      <c r="F284" s="491"/>
      <c r="G284" s="495"/>
      <c r="H284" s="491"/>
      <c r="I284" s="491" t="s">
        <v>498</v>
      </c>
      <c r="J284" s="491"/>
      <c r="K284" s="536">
        <v>300000</v>
      </c>
      <c r="L284" s="491" t="s">
        <v>112</v>
      </c>
      <c r="M284" s="537">
        <v>44286</v>
      </c>
      <c r="N284" s="537">
        <v>44299</v>
      </c>
      <c r="O284" s="537">
        <v>44307</v>
      </c>
      <c r="P284" s="495" t="s">
        <v>8610</v>
      </c>
      <c r="Q284" s="491"/>
      <c r="R284" s="536">
        <v>315063.45</v>
      </c>
      <c r="S284" s="536">
        <v>381226.77</v>
      </c>
      <c r="T284" s="1471"/>
      <c r="U284" s="1471"/>
      <c r="V284" s="1471"/>
      <c r="W284" s="573">
        <v>44307</v>
      </c>
      <c r="X284" s="536" t="s">
        <v>8778</v>
      </c>
      <c r="Y284" s="537">
        <v>44320</v>
      </c>
      <c r="Z284" s="537">
        <v>44322</v>
      </c>
      <c r="AA284" s="537">
        <v>44340</v>
      </c>
      <c r="AB284" s="537">
        <v>44519</v>
      </c>
      <c r="AC284" s="1102"/>
    </row>
    <row r="285" spans="1:33" ht="30">
      <c r="A285" s="537">
        <v>44284</v>
      </c>
      <c r="B285" s="491" t="s">
        <v>8516</v>
      </c>
      <c r="C285" s="491" t="s">
        <v>2434</v>
      </c>
      <c r="D285" s="491" t="s">
        <v>3204</v>
      </c>
      <c r="E285" s="571" t="s">
        <v>8517</v>
      </c>
      <c r="F285" s="491"/>
      <c r="G285" s="495"/>
      <c r="H285" s="491"/>
      <c r="I285" s="491" t="s">
        <v>642</v>
      </c>
      <c r="J285" s="491"/>
      <c r="K285" s="536">
        <v>26078250</v>
      </c>
      <c r="L285" s="491" t="s">
        <v>251</v>
      </c>
      <c r="M285" s="537">
        <v>44292</v>
      </c>
      <c r="N285" s="537">
        <v>44326</v>
      </c>
      <c r="O285" s="537">
        <v>44334</v>
      </c>
      <c r="P285" s="495" t="s">
        <v>2776</v>
      </c>
      <c r="Q285" s="491"/>
      <c r="R285" s="536">
        <v>26043478.260000002</v>
      </c>
      <c r="S285" s="536">
        <v>29950000</v>
      </c>
      <c r="T285" s="1471"/>
      <c r="U285" s="1471"/>
      <c r="V285" s="1471"/>
      <c r="W285" s="573">
        <v>44334</v>
      </c>
      <c r="X285" s="1375" t="s">
        <v>8973</v>
      </c>
      <c r="Y285" s="537">
        <v>44357</v>
      </c>
      <c r="Z285" s="537">
        <v>44363</v>
      </c>
      <c r="AA285" s="537">
        <v>45452</v>
      </c>
      <c r="AB285" s="491" t="s">
        <v>11373</v>
      </c>
      <c r="AC285" s="1374">
        <v>2022</v>
      </c>
      <c r="AD285" s="388">
        <v>2023</v>
      </c>
      <c r="AE285" s="388" t="s">
        <v>9157</v>
      </c>
    </row>
    <row r="286" spans="1:33">
      <c r="A286" s="537">
        <v>44286</v>
      </c>
      <c r="B286" s="491" t="s">
        <v>8520</v>
      </c>
      <c r="C286" s="491" t="s">
        <v>2712</v>
      </c>
      <c r="D286" s="491" t="s">
        <v>4107</v>
      </c>
      <c r="E286" s="571" t="s">
        <v>8521</v>
      </c>
      <c r="F286" s="491"/>
      <c r="G286" s="495"/>
      <c r="H286" s="491"/>
      <c r="I286" s="491" t="s">
        <v>1695</v>
      </c>
      <c r="J286" s="491"/>
      <c r="K286" s="536">
        <v>400000</v>
      </c>
      <c r="L286" s="491" t="s">
        <v>112</v>
      </c>
      <c r="M286" s="537">
        <v>44293</v>
      </c>
      <c r="N286" s="537">
        <v>44302</v>
      </c>
      <c r="O286" s="537">
        <v>44306</v>
      </c>
      <c r="P286" s="495" t="s">
        <v>8764</v>
      </c>
      <c r="Q286" s="491"/>
      <c r="R286" s="536">
        <v>195006</v>
      </c>
      <c r="S286" s="536">
        <v>214506.6</v>
      </c>
      <c r="T286" s="1471"/>
      <c r="U286" s="1471"/>
      <c r="V286" s="1471"/>
      <c r="W286" s="573">
        <v>44306</v>
      </c>
      <c r="X286" s="536" t="s">
        <v>8769</v>
      </c>
      <c r="Y286" s="537">
        <v>44341</v>
      </c>
      <c r="Z286" s="537">
        <v>44342</v>
      </c>
      <c r="AA286" s="537">
        <v>45046</v>
      </c>
      <c r="AB286" s="1374"/>
      <c r="AC286" s="1102"/>
    </row>
    <row r="287" spans="1:33">
      <c r="A287" s="537">
        <v>44286</v>
      </c>
      <c r="B287" s="491" t="s">
        <v>8527</v>
      </c>
      <c r="C287" s="491" t="s">
        <v>69</v>
      </c>
      <c r="D287" s="491" t="s">
        <v>70</v>
      </c>
      <c r="E287" s="571" t="s">
        <v>8528</v>
      </c>
      <c r="F287" s="491">
        <v>1</v>
      </c>
      <c r="G287" s="495" t="s">
        <v>8529</v>
      </c>
      <c r="H287" s="491"/>
      <c r="I287" s="491" t="s">
        <v>671</v>
      </c>
      <c r="J287" s="491"/>
      <c r="K287" s="536">
        <v>4144896</v>
      </c>
      <c r="L287" s="491" t="s">
        <v>251</v>
      </c>
      <c r="M287" s="537">
        <v>44314</v>
      </c>
      <c r="N287" s="537">
        <v>44347</v>
      </c>
      <c r="O287" s="537">
        <v>44425</v>
      </c>
      <c r="P287" s="495" t="s">
        <v>2518</v>
      </c>
      <c r="Q287" s="491"/>
      <c r="R287" s="536">
        <v>4144896</v>
      </c>
      <c r="S287" s="536">
        <v>4559385.5999999996</v>
      </c>
      <c r="T287" s="1471"/>
      <c r="U287" s="1471"/>
      <c r="V287" s="1471"/>
      <c r="W287" s="573">
        <v>44425</v>
      </c>
      <c r="X287" s="536" t="s">
        <v>9680</v>
      </c>
      <c r="Y287" s="537">
        <v>44463</v>
      </c>
      <c r="Z287" s="537">
        <v>44469</v>
      </c>
      <c r="AA287" s="537">
        <v>45558</v>
      </c>
      <c r="AB287" s="537">
        <v>44648</v>
      </c>
      <c r="AC287" s="1374">
        <v>2022</v>
      </c>
      <c r="AD287" s="388">
        <v>2023</v>
      </c>
      <c r="AE287" s="388" t="s">
        <v>9950</v>
      </c>
    </row>
    <row r="288" spans="1:33">
      <c r="A288" s="537">
        <v>44286</v>
      </c>
      <c r="B288" s="491" t="s">
        <v>8527</v>
      </c>
      <c r="C288" s="491" t="s">
        <v>69</v>
      </c>
      <c r="D288" s="491" t="s">
        <v>70</v>
      </c>
      <c r="E288" s="571" t="s">
        <v>8528</v>
      </c>
      <c r="F288" s="491">
        <v>2</v>
      </c>
      <c r="G288" s="495" t="s">
        <v>8530</v>
      </c>
      <c r="H288" s="491"/>
      <c r="I288" s="491" t="s">
        <v>671</v>
      </c>
      <c r="J288" s="491"/>
      <c r="K288" s="536">
        <v>63362375</v>
      </c>
      <c r="L288" s="491" t="s">
        <v>251</v>
      </c>
      <c r="M288" s="537">
        <v>44314</v>
      </c>
      <c r="N288" s="537">
        <v>44347</v>
      </c>
      <c r="O288" s="537">
        <v>44425</v>
      </c>
      <c r="P288" s="495" t="s">
        <v>8856</v>
      </c>
      <c r="Q288" s="491"/>
      <c r="R288" s="536">
        <v>63360000</v>
      </c>
      <c r="S288" s="536">
        <v>69696000</v>
      </c>
      <c r="T288" s="1471"/>
      <c r="U288" s="1471"/>
      <c r="V288" s="1471"/>
      <c r="W288" s="573">
        <v>44425</v>
      </c>
      <c r="X288" s="536" t="s">
        <v>9681</v>
      </c>
      <c r="Y288" s="537">
        <v>44455</v>
      </c>
      <c r="Z288" s="537">
        <v>44469</v>
      </c>
      <c r="AA288" s="537">
        <v>45550</v>
      </c>
      <c r="AB288" s="537">
        <v>44648</v>
      </c>
      <c r="AC288" s="1374">
        <v>2022</v>
      </c>
      <c r="AD288" s="388">
        <v>2023</v>
      </c>
      <c r="AE288" s="388" t="s">
        <v>9869</v>
      </c>
    </row>
    <row r="289" spans="1:31">
      <c r="A289" s="537">
        <v>44287</v>
      </c>
      <c r="B289" s="491" t="s">
        <v>8531</v>
      </c>
      <c r="C289" s="491" t="s">
        <v>14</v>
      </c>
      <c r="D289" s="491" t="s">
        <v>13</v>
      </c>
      <c r="E289" s="571" t="s">
        <v>8532</v>
      </c>
      <c r="F289" s="491"/>
      <c r="G289" s="495"/>
      <c r="H289" s="491"/>
      <c r="I289" s="491" t="s">
        <v>39</v>
      </c>
      <c r="J289" s="491"/>
      <c r="K289" s="536">
        <v>575200</v>
      </c>
      <c r="L289" s="491" t="s">
        <v>112</v>
      </c>
      <c r="M289" s="537">
        <v>44295</v>
      </c>
      <c r="N289" s="537">
        <v>44320</v>
      </c>
      <c r="O289" s="537">
        <v>44337</v>
      </c>
      <c r="P289" s="495" t="s">
        <v>8983</v>
      </c>
      <c r="Q289" s="491"/>
      <c r="R289" s="536">
        <v>764800</v>
      </c>
      <c r="S289" s="536">
        <v>925408</v>
      </c>
      <c r="T289" s="1471"/>
      <c r="U289" s="1471"/>
      <c r="V289" s="1471"/>
      <c r="W289" s="573">
        <v>44337</v>
      </c>
      <c r="X289" s="536" t="s">
        <v>9004</v>
      </c>
      <c r="Y289" s="537">
        <v>44372</v>
      </c>
      <c r="Z289" s="537">
        <v>44375</v>
      </c>
      <c r="AA289" s="491" t="s">
        <v>4096</v>
      </c>
      <c r="AB289" s="1525">
        <v>44865</v>
      </c>
      <c r="AC289" s="1102"/>
    </row>
    <row r="290" spans="1:31">
      <c r="A290" s="537">
        <v>44287</v>
      </c>
      <c r="B290" s="491" t="s">
        <v>8533</v>
      </c>
      <c r="C290" s="491" t="s">
        <v>2434</v>
      </c>
      <c r="D290" s="491" t="s">
        <v>219</v>
      </c>
      <c r="E290" s="571" t="s">
        <v>8534</v>
      </c>
      <c r="F290" s="491"/>
      <c r="G290" s="495"/>
      <c r="H290" s="491"/>
      <c r="I290" s="491" t="s">
        <v>3293</v>
      </c>
      <c r="J290" s="491"/>
      <c r="K290" s="536">
        <v>3564039</v>
      </c>
      <c r="L290" s="491" t="s">
        <v>216</v>
      </c>
      <c r="M290" s="537">
        <v>44295</v>
      </c>
      <c r="N290" s="537">
        <v>44314</v>
      </c>
      <c r="O290" s="537">
        <v>44336</v>
      </c>
      <c r="P290" s="495" t="s">
        <v>8962</v>
      </c>
      <c r="Q290" s="491"/>
      <c r="R290" s="536">
        <v>3563538.45</v>
      </c>
      <c r="S290" s="536">
        <v>4311881.5199999996</v>
      </c>
      <c r="T290" s="1471"/>
      <c r="U290" s="1471"/>
      <c r="V290" s="1471"/>
      <c r="W290" s="573">
        <v>44336</v>
      </c>
      <c r="X290" s="536" t="s">
        <v>8998</v>
      </c>
      <c r="Y290" s="537">
        <v>44361</v>
      </c>
      <c r="Z290" s="537">
        <v>44363</v>
      </c>
      <c r="AA290" s="537">
        <v>45456</v>
      </c>
      <c r="AB290" s="537">
        <v>44642</v>
      </c>
      <c r="AC290" s="1374">
        <v>2022</v>
      </c>
      <c r="AD290" s="388">
        <v>2023</v>
      </c>
      <c r="AE290" s="388" t="s">
        <v>9174</v>
      </c>
    </row>
    <row r="291" spans="1:31" ht="45">
      <c r="A291" s="544">
        <v>44287</v>
      </c>
      <c r="B291" s="540" t="s">
        <v>8535</v>
      </c>
      <c r="C291" s="540" t="s">
        <v>2434</v>
      </c>
      <c r="D291" s="540" t="s">
        <v>219</v>
      </c>
      <c r="E291" s="541" t="s">
        <v>8536</v>
      </c>
      <c r="F291" s="540"/>
      <c r="G291" s="1402"/>
      <c r="H291" s="590"/>
      <c r="I291" s="540" t="s">
        <v>642</v>
      </c>
      <c r="J291" s="540"/>
      <c r="K291" s="545">
        <v>81184000</v>
      </c>
      <c r="L291" s="540" t="s">
        <v>251</v>
      </c>
      <c r="M291" s="544">
        <v>44313</v>
      </c>
      <c r="N291" s="544">
        <v>44389</v>
      </c>
      <c r="O291" s="544">
        <v>44545</v>
      </c>
      <c r="P291" s="1402" t="s">
        <v>459</v>
      </c>
      <c r="Q291" s="540"/>
      <c r="R291" s="545">
        <v>72480000</v>
      </c>
      <c r="S291" s="545">
        <v>87700800</v>
      </c>
      <c r="T291" s="1484"/>
      <c r="U291" s="1484"/>
      <c r="V291" s="1484"/>
      <c r="W291" s="1385">
        <v>44546</v>
      </c>
      <c r="X291" s="1386" t="s">
        <v>10576</v>
      </c>
      <c r="Y291" s="540"/>
      <c r="Z291" s="540"/>
      <c r="AA291" s="540"/>
      <c r="AB291" s="540"/>
      <c r="AC291" s="540"/>
    </row>
    <row r="292" spans="1:31" ht="30">
      <c r="A292" s="537">
        <v>44292</v>
      </c>
      <c r="B292" s="491" t="s">
        <v>8537</v>
      </c>
      <c r="C292" s="491" t="s">
        <v>2434</v>
      </c>
      <c r="D292" s="491" t="s">
        <v>3204</v>
      </c>
      <c r="E292" s="571" t="s">
        <v>8538</v>
      </c>
      <c r="F292" s="491"/>
      <c r="G292" s="495"/>
      <c r="H292" s="491"/>
      <c r="I292" s="491" t="s">
        <v>642</v>
      </c>
      <c r="J292" s="491"/>
      <c r="K292" s="536">
        <v>1250550</v>
      </c>
      <c r="L292" s="491" t="s">
        <v>112</v>
      </c>
      <c r="M292" s="537">
        <v>44299</v>
      </c>
      <c r="N292" s="537">
        <v>44308</v>
      </c>
      <c r="O292" s="537">
        <v>44309</v>
      </c>
      <c r="P292" s="495" t="s">
        <v>4692</v>
      </c>
      <c r="Q292" s="491"/>
      <c r="R292" s="536">
        <v>1250550</v>
      </c>
      <c r="S292" s="536">
        <v>1438132.5</v>
      </c>
      <c r="T292" s="1471"/>
      <c r="U292" s="1471"/>
      <c r="V292" s="1471"/>
      <c r="W292" s="573">
        <v>44309</v>
      </c>
      <c r="X292" s="1375" t="s">
        <v>8787</v>
      </c>
      <c r="Y292" s="537">
        <v>44330</v>
      </c>
      <c r="Z292" s="537">
        <v>44336</v>
      </c>
      <c r="AA292" s="537">
        <v>45425</v>
      </c>
      <c r="AB292" s="537">
        <v>44642</v>
      </c>
      <c r="AC292" s="1374">
        <v>2022</v>
      </c>
      <c r="AD292" s="388">
        <v>2023</v>
      </c>
      <c r="AE292" s="388" t="s">
        <v>6811</v>
      </c>
    </row>
    <row r="293" spans="1:31" ht="45.75" thickBot="1">
      <c r="A293" s="411" t="s">
        <v>3585</v>
      </c>
      <c r="B293" s="411" t="s">
        <v>8544</v>
      </c>
      <c r="C293" s="411" t="s">
        <v>2434</v>
      </c>
      <c r="D293" s="411" t="s">
        <v>751</v>
      </c>
      <c r="E293" s="412" t="s">
        <v>8545</v>
      </c>
      <c r="F293" s="411"/>
      <c r="G293" s="630"/>
      <c r="H293" s="411"/>
      <c r="I293" s="411" t="s">
        <v>642</v>
      </c>
      <c r="J293" s="411"/>
      <c r="K293" s="417">
        <v>536400</v>
      </c>
      <c r="L293" s="411" t="s">
        <v>112</v>
      </c>
      <c r="M293" s="416">
        <v>44295</v>
      </c>
      <c r="N293" s="416">
        <v>44306</v>
      </c>
      <c r="O293" s="416">
        <v>44308</v>
      </c>
      <c r="P293" s="630" t="s">
        <v>3191</v>
      </c>
      <c r="Q293" s="411"/>
      <c r="R293" s="417">
        <v>531900</v>
      </c>
      <c r="S293" s="417">
        <v>611685</v>
      </c>
      <c r="T293" s="1480"/>
      <c r="U293" s="1480"/>
      <c r="V293" s="1480"/>
      <c r="W293" s="513">
        <v>44308</v>
      </c>
      <c r="X293" s="1553" t="s">
        <v>8783</v>
      </c>
      <c r="Y293" s="416">
        <v>44326</v>
      </c>
      <c r="Z293" s="416">
        <v>44329</v>
      </c>
      <c r="AA293" s="416">
        <v>45055</v>
      </c>
      <c r="AB293" s="416">
        <v>44642</v>
      </c>
      <c r="AC293" s="422">
        <v>2022</v>
      </c>
      <c r="AD293" s="388" t="s">
        <v>8925</v>
      </c>
    </row>
    <row r="294" spans="1:31" ht="30.75" thickTop="1">
      <c r="A294" s="474">
        <v>44293</v>
      </c>
      <c r="B294" s="453" t="s">
        <v>8548</v>
      </c>
      <c r="C294" s="453" t="s">
        <v>2434</v>
      </c>
      <c r="D294" s="453" t="s">
        <v>3204</v>
      </c>
      <c r="E294" s="473" t="s">
        <v>8549</v>
      </c>
      <c r="F294" s="453">
        <v>1</v>
      </c>
      <c r="G294" s="1420" t="s">
        <v>9019</v>
      </c>
      <c r="H294" s="583"/>
      <c r="I294" s="453" t="s">
        <v>642</v>
      </c>
      <c r="J294" s="453"/>
      <c r="K294" s="457">
        <v>2303400</v>
      </c>
      <c r="L294" s="453" t="s">
        <v>251</v>
      </c>
      <c r="M294" s="474">
        <v>44309</v>
      </c>
      <c r="N294" s="474">
        <v>44342</v>
      </c>
      <c r="O294" s="474">
        <v>44377</v>
      </c>
      <c r="P294" s="1420" t="s">
        <v>8793</v>
      </c>
      <c r="Q294" s="453"/>
      <c r="R294" s="457">
        <v>2211264</v>
      </c>
      <c r="S294" s="457">
        <v>2675629.44</v>
      </c>
      <c r="T294" s="1483"/>
      <c r="U294" s="1483"/>
      <c r="V294" s="1483"/>
      <c r="W294" s="570">
        <v>44378</v>
      </c>
      <c r="X294" s="1387" t="s">
        <v>9287</v>
      </c>
      <c r="Y294" s="474">
        <v>44420</v>
      </c>
      <c r="Z294" s="474">
        <v>44433</v>
      </c>
      <c r="AA294" s="474">
        <v>45149</v>
      </c>
      <c r="AB294" s="474">
        <v>44642</v>
      </c>
      <c r="AC294" s="1391">
        <v>2022</v>
      </c>
      <c r="AD294" s="388" t="s">
        <v>7329</v>
      </c>
    </row>
    <row r="295" spans="1:31" ht="30">
      <c r="A295" s="2140">
        <v>44293</v>
      </c>
      <c r="B295" s="2141" t="s">
        <v>8548</v>
      </c>
      <c r="C295" s="2141" t="s">
        <v>2434</v>
      </c>
      <c r="D295" s="2141" t="s">
        <v>3204</v>
      </c>
      <c r="E295" s="2142" t="s">
        <v>8549</v>
      </c>
      <c r="F295" s="2141">
        <v>2</v>
      </c>
      <c r="G295" s="2143" t="s">
        <v>9020</v>
      </c>
      <c r="H295" s="2085"/>
      <c r="I295" s="2141" t="s">
        <v>642</v>
      </c>
      <c r="J295" s="2141"/>
      <c r="K295" s="2144">
        <v>525000</v>
      </c>
      <c r="L295" s="2141" t="s">
        <v>251</v>
      </c>
      <c r="M295" s="2140">
        <v>44309</v>
      </c>
      <c r="N295" s="2140">
        <v>44342</v>
      </c>
      <c r="O295" s="2140">
        <v>44377</v>
      </c>
      <c r="P295" s="2143" t="s">
        <v>8793</v>
      </c>
      <c r="Q295" s="2141"/>
      <c r="R295" s="2144">
        <v>504000</v>
      </c>
      <c r="S295" s="2144">
        <v>609840</v>
      </c>
      <c r="T295" s="2094"/>
      <c r="U295" s="2094"/>
      <c r="V295" s="2094"/>
      <c r="W295" s="2146">
        <v>44378</v>
      </c>
      <c r="X295" s="2260" t="s">
        <v>9288</v>
      </c>
      <c r="Y295" s="2140">
        <v>44420</v>
      </c>
      <c r="Z295" s="2140">
        <v>44433</v>
      </c>
      <c r="AA295" s="2140">
        <v>45149</v>
      </c>
      <c r="AB295" s="2140">
        <v>44642</v>
      </c>
      <c r="AC295" s="2109">
        <v>2022</v>
      </c>
      <c r="AD295" s="388" t="s">
        <v>7329</v>
      </c>
    </row>
    <row r="296" spans="1:31">
      <c r="A296" s="2124">
        <v>44293</v>
      </c>
      <c r="B296" s="2125" t="s">
        <v>8548</v>
      </c>
      <c r="C296" s="2125" t="s">
        <v>2434</v>
      </c>
      <c r="D296" s="2125" t="s">
        <v>3204</v>
      </c>
      <c r="E296" s="2126" t="s">
        <v>8549</v>
      </c>
      <c r="F296" s="2125">
        <v>3</v>
      </c>
      <c r="G296" s="2127" t="s">
        <v>9021</v>
      </c>
      <c r="H296" s="2125"/>
      <c r="I296" s="2125" t="s">
        <v>642</v>
      </c>
      <c r="J296" s="2125"/>
      <c r="K296" s="2128">
        <v>230000</v>
      </c>
      <c r="L296" s="2125" t="s">
        <v>251</v>
      </c>
      <c r="M296" s="2124">
        <v>44309</v>
      </c>
      <c r="N296" s="2124">
        <v>44342</v>
      </c>
      <c r="O296" s="2125"/>
      <c r="P296" s="2136" t="s">
        <v>8124</v>
      </c>
      <c r="Q296" s="2275" t="s">
        <v>9083</v>
      </c>
      <c r="R296" s="2128"/>
      <c r="S296" s="2128"/>
      <c r="T296" s="2129"/>
      <c r="U296" s="2129"/>
      <c r="V296" s="2129"/>
      <c r="W296" s="2128"/>
      <c r="X296" s="2128"/>
      <c r="Y296" s="2125"/>
      <c r="Z296" s="2124">
        <v>44364</v>
      </c>
      <c r="AA296" s="2127" t="s">
        <v>9224</v>
      </c>
      <c r="AB296" s="2125"/>
      <c r="AC296" s="2125"/>
    </row>
    <row r="297" spans="1:31">
      <c r="A297" s="2124">
        <v>44293</v>
      </c>
      <c r="B297" s="2125" t="s">
        <v>8548</v>
      </c>
      <c r="C297" s="2125" t="s">
        <v>2434</v>
      </c>
      <c r="D297" s="2125" t="s">
        <v>3204</v>
      </c>
      <c r="E297" s="2126" t="s">
        <v>8549</v>
      </c>
      <c r="F297" s="2125">
        <v>4</v>
      </c>
      <c r="G297" s="2127" t="s">
        <v>9022</v>
      </c>
      <c r="H297" s="2125"/>
      <c r="I297" s="2125" t="s">
        <v>642</v>
      </c>
      <c r="J297" s="2125"/>
      <c r="K297" s="2128">
        <v>230000</v>
      </c>
      <c r="L297" s="2125" t="s">
        <v>251</v>
      </c>
      <c r="M297" s="2124">
        <v>44309</v>
      </c>
      <c r="N297" s="2124">
        <v>44342</v>
      </c>
      <c r="O297" s="2125"/>
      <c r="P297" s="2136" t="s">
        <v>8124</v>
      </c>
      <c r="Q297" s="2275" t="s">
        <v>9083</v>
      </c>
      <c r="R297" s="2128"/>
      <c r="S297" s="2128"/>
      <c r="T297" s="2129"/>
      <c r="U297" s="2129"/>
      <c r="V297" s="2129"/>
      <c r="W297" s="2128"/>
      <c r="X297" s="2128"/>
      <c r="Y297" s="2125"/>
      <c r="Z297" s="2124">
        <v>44364</v>
      </c>
      <c r="AA297" s="2127" t="s">
        <v>9224</v>
      </c>
      <c r="AB297" s="2125"/>
      <c r="AC297" s="2125"/>
    </row>
    <row r="298" spans="1:31" ht="15.75" thickBot="1">
      <c r="A298" s="2130">
        <v>44293</v>
      </c>
      <c r="B298" s="2131" t="s">
        <v>8548</v>
      </c>
      <c r="C298" s="2131" t="s">
        <v>2434</v>
      </c>
      <c r="D298" s="2131" t="s">
        <v>3204</v>
      </c>
      <c r="E298" s="2132" t="s">
        <v>8549</v>
      </c>
      <c r="F298" s="2131">
        <v>5</v>
      </c>
      <c r="G298" s="2133" t="s">
        <v>9023</v>
      </c>
      <c r="H298" s="2118"/>
      <c r="I298" s="2131" t="s">
        <v>642</v>
      </c>
      <c r="J298" s="2131"/>
      <c r="K298" s="2134">
        <v>690000</v>
      </c>
      <c r="L298" s="2131" t="s">
        <v>251</v>
      </c>
      <c r="M298" s="2130">
        <v>44309</v>
      </c>
      <c r="N298" s="2130">
        <v>44342</v>
      </c>
      <c r="O298" s="2131"/>
      <c r="P298" s="2137" t="s">
        <v>2635</v>
      </c>
      <c r="Q298" s="2287" t="s">
        <v>9083</v>
      </c>
      <c r="R298" s="2134"/>
      <c r="S298" s="2134"/>
      <c r="T298" s="2122"/>
      <c r="U298" s="2122"/>
      <c r="V298" s="2122"/>
      <c r="W298" s="2134"/>
      <c r="X298" s="2134"/>
      <c r="Y298" s="2131"/>
      <c r="Z298" s="2130">
        <v>44351</v>
      </c>
      <c r="AA298" s="2133" t="s">
        <v>9108</v>
      </c>
      <c r="AB298" s="2131"/>
      <c r="AC298" s="2131"/>
    </row>
    <row r="299" spans="1:31" ht="15.75" thickTop="1">
      <c r="A299" s="365">
        <v>44294</v>
      </c>
      <c r="B299" s="2282" t="s">
        <v>8556</v>
      </c>
      <c r="C299" s="2282" t="s">
        <v>2434</v>
      </c>
      <c r="D299" s="2282" t="s">
        <v>219</v>
      </c>
      <c r="E299" s="175" t="s">
        <v>3958</v>
      </c>
      <c r="F299" s="2282"/>
      <c r="G299" s="2283"/>
      <c r="H299" s="2282"/>
      <c r="I299" s="2282" t="s">
        <v>642</v>
      </c>
      <c r="J299" s="2282"/>
      <c r="K299" s="364">
        <v>1820160</v>
      </c>
      <c r="L299" s="2282" t="s">
        <v>112</v>
      </c>
      <c r="M299" s="365">
        <v>44298</v>
      </c>
      <c r="N299" s="365">
        <v>44313</v>
      </c>
      <c r="O299" s="365">
        <v>44320</v>
      </c>
      <c r="P299" s="2283" t="s">
        <v>8586</v>
      </c>
      <c r="Q299" s="2282"/>
      <c r="R299" s="364">
        <v>1602120</v>
      </c>
      <c r="S299" s="364">
        <v>1938565.2</v>
      </c>
      <c r="T299" s="1473"/>
      <c r="U299" s="1473"/>
      <c r="V299" s="1473"/>
      <c r="W299" s="681">
        <v>44320</v>
      </c>
      <c r="X299" s="364" t="s">
        <v>8869</v>
      </c>
      <c r="Y299" s="365">
        <v>44341</v>
      </c>
      <c r="Z299" s="365">
        <v>44344</v>
      </c>
      <c r="AA299" s="365">
        <v>45436</v>
      </c>
      <c r="AB299" s="365">
        <v>44642</v>
      </c>
      <c r="AC299" s="451">
        <v>2022</v>
      </c>
      <c r="AD299" s="388">
        <v>2023</v>
      </c>
      <c r="AE299" s="388" t="s">
        <v>9051</v>
      </c>
    </row>
    <row r="300" spans="1:31">
      <c r="A300" s="510">
        <v>44294</v>
      </c>
      <c r="B300" s="506" t="s">
        <v>8553</v>
      </c>
      <c r="C300" s="506" t="s">
        <v>69</v>
      </c>
      <c r="D300" s="506" t="s">
        <v>70</v>
      </c>
      <c r="E300" s="507" t="s">
        <v>8579</v>
      </c>
      <c r="F300" s="506"/>
      <c r="G300" s="548"/>
      <c r="H300" s="506"/>
      <c r="I300" s="506" t="s">
        <v>8554</v>
      </c>
      <c r="J300" s="506"/>
      <c r="K300" s="511">
        <v>2357310</v>
      </c>
      <c r="L300" s="506" t="s">
        <v>216</v>
      </c>
      <c r="M300" s="510">
        <v>44320</v>
      </c>
      <c r="N300" s="510">
        <v>44349</v>
      </c>
      <c r="O300" s="506"/>
      <c r="P300" s="736" t="s">
        <v>4524</v>
      </c>
      <c r="Q300" s="506"/>
      <c r="R300" s="511"/>
      <c r="S300" s="511"/>
      <c r="T300" s="1470"/>
      <c r="U300" s="1470"/>
      <c r="V300" s="1470"/>
      <c r="W300" s="511"/>
      <c r="X300" s="511"/>
      <c r="Y300" s="506"/>
      <c r="Z300" s="510">
        <v>44397</v>
      </c>
      <c r="AA300" s="548" t="s">
        <v>9407</v>
      </c>
      <c r="AB300" s="506"/>
      <c r="AC300" s="506"/>
    </row>
    <row r="301" spans="1:31" ht="30">
      <c r="A301" s="537">
        <v>44294</v>
      </c>
      <c r="B301" s="491" t="s">
        <v>8557</v>
      </c>
      <c r="C301" s="491" t="s">
        <v>2434</v>
      </c>
      <c r="D301" s="491" t="s">
        <v>3204</v>
      </c>
      <c r="E301" s="571" t="s">
        <v>8558</v>
      </c>
      <c r="F301" s="491"/>
      <c r="G301" s="495"/>
      <c r="H301" s="491"/>
      <c r="I301" s="2141" t="s">
        <v>642</v>
      </c>
      <c r="J301" s="491"/>
      <c r="K301" s="536">
        <v>1138000</v>
      </c>
      <c r="L301" s="491" t="s">
        <v>112</v>
      </c>
      <c r="M301" s="537">
        <v>44298</v>
      </c>
      <c r="N301" s="537">
        <v>44309</v>
      </c>
      <c r="O301" s="537">
        <v>44314</v>
      </c>
      <c r="P301" s="495" t="s">
        <v>8793</v>
      </c>
      <c r="Q301" s="491"/>
      <c r="R301" s="536">
        <v>1138000</v>
      </c>
      <c r="S301" s="536">
        <v>1308700</v>
      </c>
      <c r="T301" s="1471"/>
      <c r="U301" s="1471"/>
      <c r="V301" s="1471"/>
      <c r="W301" s="573">
        <v>44314</v>
      </c>
      <c r="X301" s="1375" t="s">
        <v>8843</v>
      </c>
      <c r="Y301" s="537">
        <v>44341</v>
      </c>
      <c r="Z301" s="537">
        <v>44342</v>
      </c>
      <c r="AA301" s="537">
        <v>45070</v>
      </c>
      <c r="AB301" s="537">
        <v>44642</v>
      </c>
      <c r="AC301" s="1374">
        <v>2022</v>
      </c>
      <c r="AD301" s="388" t="s">
        <v>9028</v>
      </c>
    </row>
    <row r="302" spans="1:31">
      <c r="A302" s="510">
        <v>44293</v>
      </c>
      <c r="B302" s="506" t="s">
        <v>8559</v>
      </c>
      <c r="C302" s="506" t="s">
        <v>2434</v>
      </c>
      <c r="D302" s="506" t="s">
        <v>219</v>
      </c>
      <c r="E302" s="507" t="s">
        <v>8560</v>
      </c>
      <c r="F302" s="506"/>
      <c r="G302" s="548"/>
      <c r="H302" s="506"/>
      <c r="I302" s="506" t="s">
        <v>3271</v>
      </c>
      <c r="J302" s="506"/>
      <c r="K302" s="511">
        <v>1185000</v>
      </c>
      <c r="L302" s="506" t="s">
        <v>112</v>
      </c>
      <c r="M302" s="510">
        <v>44302</v>
      </c>
      <c r="N302" s="510">
        <v>44316</v>
      </c>
      <c r="O302" s="506"/>
      <c r="P302" s="736" t="s">
        <v>4817</v>
      </c>
      <c r="Q302" s="1985" t="s">
        <v>8958</v>
      </c>
      <c r="R302" s="511"/>
      <c r="S302" s="511"/>
      <c r="T302" s="1470"/>
      <c r="U302" s="1470"/>
      <c r="V302" s="1470"/>
      <c r="W302" s="511"/>
      <c r="X302" s="511"/>
      <c r="Y302" s="506"/>
      <c r="Z302" s="510">
        <v>44334</v>
      </c>
      <c r="AA302" s="506"/>
      <c r="AB302" s="506"/>
      <c r="AC302" s="506"/>
    </row>
    <row r="303" spans="1:31" ht="30">
      <c r="A303" s="537">
        <v>44294</v>
      </c>
      <c r="B303" s="491" t="s">
        <v>8569</v>
      </c>
      <c r="C303" s="491" t="s">
        <v>58</v>
      </c>
      <c r="D303" s="491" t="s">
        <v>2684</v>
      </c>
      <c r="E303" s="571" t="s">
        <v>4259</v>
      </c>
      <c r="F303" s="491"/>
      <c r="G303" s="495"/>
      <c r="H303" s="491"/>
      <c r="I303" s="491" t="s">
        <v>7168</v>
      </c>
      <c r="J303" s="491" t="s">
        <v>7070</v>
      </c>
      <c r="K303" s="536">
        <v>1033058</v>
      </c>
      <c r="L303" s="491" t="s">
        <v>112</v>
      </c>
      <c r="M303" s="537">
        <v>44301</v>
      </c>
      <c r="N303" s="537">
        <v>44313</v>
      </c>
      <c r="O303" s="537">
        <v>44340</v>
      </c>
      <c r="P303" s="495" t="s">
        <v>7970</v>
      </c>
      <c r="Q303" s="491"/>
      <c r="R303" s="536">
        <v>989400</v>
      </c>
      <c r="S303" s="536">
        <v>1197174</v>
      </c>
      <c r="T303" s="1471"/>
      <c r="U303" s="1471"/>
      <c r="V303" s="1471"/>
      <c r="W303" s="573">
        <v>44340</v>
      </c>
      <c r="X303" s="1375" t="s">
        <v>9011</v>
      </c>
      <c r="Y303" s="537">
        <v>44377</v>
      </c>
      <c r="Z303" s="537">
        <v>44390</v>
      </c>
      <c r="AA303" s="537">
        <v>44447</v>
      </c>
      <c r="AB303" s="537">
        <v>44559</v>
      </c>
      <c r="AC303" s="1374" t="s">
        <v>1875</v>
      </c>
    </row>
    <row r="304" spans="1:31">
      <c r="A304" s="537">
        <v>44298</v>
      </c>
      <c r="B304" s="491" t="s">
        <v>8572</v>
      </c>
      <c r="C304" s="491" t="s">
        <v>6561</v>
      </c>
      <c r="D304" s="491" t="s">
        <v>4864</v>
      </c>
      <c r="E304" s="571" t="s">
        <v>8573</v>
      </c>
      <c r="F304" s="491"/>
      <c r="G304" s="495"/>
      <c r="H304" s="491"/>
      <c r="I304" s="491" t="s">
        <v>1708</v>
      </c>
      <c r="J304" s="491" t="s">
        <v>8574</v>
      </c>
      <c r="K304" s="536">
        <v>500000</v>
      </c>
      <c r="L304" s="491" t="s">
        <v>112</v>
      </c>
      <c r="M304" s="537">
        <v>44300</v>
      </c>
      <c r="N304" s="537">
        <v>44305</v>
      </c>
      <c r="O304" s="537">
        <v>44307</v>
      </c>
      <c r="P304" s="495" t="s">
        <v>8774</v>
      </c>
      <c r="Q304" s="491"/>
      <c r="R304" s="536">
        <v>998500</v>
      </c>
      <c r="S304" s="536">
        <v>1208185</v>
      </c>
      <c r="T304" s="1471"/>
      <c r="U304" s="1471"/>
      <c r="V304" s="1471"/>
      <c r="W304" s="573">
        <v>44307</v>
      </c>
      <c r="X304" s="536" t="s">
        <v>8776</v>
      </c>
      <c r="Y304" s="537">
        <v>44307</v>
      </c>
      <c r="Z304" s="537">
        <v>44308</v>
      </c>
      <c r="AA304" s="537">
        <v>44347</v>
      </c>
      <c r="AB304" s="1525">
        <v>44519</v>
      </c>
      <c r="AC304" s="1374" t="s">
        <v>6587</v>
      </c>
    </row>
    <row r="305" spans="1:43" ht="30">
      <c r="A305" s="491" t="s">
        <v>3585</v>
      </c>
      <c r="B305" s="491" t="s">
        <v>8576</v>
      </c>
      <c r="C305" s="491" t="s">
        <v>58</v>
      </c>
      <c r="D305" s="491" t="s">
        <v>2684</v>
      </c>
      <c r="E305" s="571" t="s">
        <v>8577</v>
      </c>
      <c r="F305" s="491"/>
      <c r="G305" s="495"/>
      <c r="H305" s="491"/>
      <c r="I305" s="491" t="s">
        <v>7065</v>
      </c>
      <c r="J305" s="491" t="s">
        <v>8296</v>
      </c>
      <c r="K305" s="536">
        <v>348000</v>
      </c>
      <c r="L305" s="491" t="s">
        <v>112</v>
      </c>
      <c r="M305" s="537">
        <v>44301</v>
      </c>
      <c r="N305" s="537">
        <v>44312</v>
      </c>
      <c r="O305" s="537">
        <v>44321</v>
      </c>
      <c r="P305" s="495" t="s">
        <v>8867</v>
      </c>
      <c r="Q305" s="491"/>
      <c r="R305" s="536">
        <v>248075</v>
      </c>
      <c r="S305" s="536">
        <v>300170.75</v>
      </c>
      <c r="T305" s="1471"/>
      <c r="U305" s="1471"/>
      <c r="V305" s="1471"/>
      <c r="W305" s="573">
        <v>44321</v>
      </c>
      <c r="X305" s="1375" t="s">
        <v>8884</v>
      </c>
      <c r="Y305" s="537">
        <v>44364</v>
      </c>
      <c r="Z305" s="537">
        <v>44369</v>
      </c>
      <c r="AA305" s="537">
        <v>44378</v>
      </c>
      <c r="AB305" s="537">
        <v>44452</v>
      </c>
      <c r="AC305" s="1374" t="s">
        <v>1875</v>
      </c>
    </row>
    <row r="306" spans="1:43">
      <c r="A306" s="537">
        <v>44299</v>
      </c>
      <c r="B306" s="491" t="s">
        <v>8587</v>
      </c>
      <c r="C306" s="491" t="s">
        <v>1032</v>
      </c>
      <c r="D306" s="491" t="s">
        <v>361</v>
      </c>
      <c r="E306" s="1563" t="s">
        <v>8588</v>
      </c>
      <c r="F306" s="491"/>
      <c r="G306" s="495"/>
      <c r="H306" s="491"/>
      <c r="I306" s="491" t="s">
        <v>1751</v>
      </c>
      <c r="J306" s="491"/>
      <c r="K306" s="536">
        <v>15500000</v>
      </c>
      <c r="L306" s="491" t="s">
        <v>216</v>
      </c>
      <c r="M306" s="537">
        <v>44319</v>
      </c>
      <c r="N306" s="537">
        <v>44335</v>
      </c>
      <c r="O306" s="537">
        <v>44343</v>
      </c>
      <c r="P306" s="495" t="s">
        <v>4125</v>
      </c>
      <c r="Q306" s="491"/>
      <c r="R306" s="536">
        <v>14798602.25</v>
      </c>
      <c r="S306" s="536">
        <v>17906308.719999999</v>
      </c>
      <c r="T306" s="1471"/>
      <c r="U306" s="1471"/>
      <c r="V306" s="1471"/>
      <c r="W306" s="573">
        <v>44343</v>
      </c>
      <c r="X306" s="536" t="s">
        <v>9043</v>
      </c>
      <c r="Y306" s="537">
        <v>44377</v>
      </c>
      <c r="Z306" s="537">
        <v>44384</v>
      </c>
      <c r="AA306" s="537">
        <v>45837</v>
      </c>
      <c r="AB306" s="537">
        <v>44643</v>
      </c>
      <c r="AC306" s="1374">
        <v>2022</v>
      </c>
      <c r="AD306" s="388">
        <v>2023</v>
      </c>
      <c r="AE306" s="388">
        <v>2024</v>
      </c>
      <c r="AF306" s="388" t="s">
        <v>9286</v>
      </c>
    </row>
    <row r="307" spans="1:43" ht="30">
      <c r="A307" s="537">
        <v>44300</v>
      </c>
      <c r="B307" s="491" t="s">
        <v>8589</v>
      </c>
      <c r="C307" s="491" t="s">
        <v>2434</v>
      </c>
      <c r="D307" s="491" t="s">
        <v>219</v>
      </c>
      <c r="E307" s="571" t="s">
        <v>4211</v>
      </c>
      <c r="F307" s="491"/>
      <c r="G307" s="495"/>
      <c r="H307" s="491"/>
      <c r="I307" s="491" t="s">
        <v>642</v>
      </c>
      <c r="J307" s="491"/>
      <c r="K307" s="536">
        <v>2100000</v>
      </c>
      <c r="L307" s="491" t="s">
        <v>216</v>
      </c>
      <c r="M307" s="537">
        <v>44308</v>
      </c>
      <c r="N307" s="537">
        <v>44327</v>
      </c>
      <c r="O307" s="537">
        <v>44334</v>
      </c>
      <c r="P307" s="495" t="s">
        <v>8818</v>
      </c>
      <c r="Q307" s="491"/>
      <c r="R307" s="536">
        <v>2100000</v>
      </c>
      <c r="S307" s="536">
        <v>2415000</v>
      </c>
      <c r="T307" s="1471"/>
      <c r="U307" s="1471"/>
      <c r="V307" s="1471"/>
      <c r="W307" s="573">
        <v>44334</v>
      </c>
      <c r="X307" s="1375" t="s">
        <v>8975</v>
      </c>
      <c r="Y307" s="537">
        <v>44363</v>
      </c>
      <c r="Z307" s="537">
        <v>44365</v>
      </c>
      <c r="AA307" s="537">
        <v>45460</v>
      </c>
      <c r="AB307" s="537">
        <v>44642</v>
      </c>
      <c r="AC307" s="1374">
        <v>2022</v>
      </c>
      <c r="AD307" s="388">
        <v>2023</v>
      </c>
      <c r="AE307" s="388" t="s">
        <v>9203</v>
      </c>
    </row>
    <row r="308" spans="1:43" ht="30">
      <c r="A308" s="537">
        <v>44300</v>
      </c>
      <c r="B308" s="491" t="s">
        <v>8590</v>
      </c>
      <c r="C308" s="491" t="s">
        <v>2434</v>
      </c>
      <c r="D308" s="491" t="s">
        <v>219</v>
      </c>
      <c r="E308" s="571" t="s">
        <v>4554</v>
      </c>
      <c r="F308" s="491"/>
      <c r="G308" s="495"/>
      <c r="H308" s="491"/>
      <c r="I308" s="491" t="s">
        <v>642</v>
      </c>
      <c r="J308" s="491"/>
      <c r="K308" s="536">
        <v>2066400</v>
      </c>
      <c r="L308" s="491" t="s">
        <v>216</v>
      </c>
      <c r="M308" s="537">
        <v>44308</v>
      </c>
      <c r="N308" s="537">
        <v>44327</v>
      </c>
      <c r="O308" s="537">
        <v>44334</v>
      </c>
      <c r="P308" s="495" t="s">
        <v>8818</v>
      </c>
      <c r="Q308" s="491"/>
      <c r="R308" s="536">
        <v>2066400</v>
      </c>
      <c r="S308" s="536">
        <v>2376360</v>
      </c>
      <c r="T308" s="1471"/>
      <c r="U308" s="1471"/>
      <c r="V308" s="1471"/>
      <c r="W308" s="573">
        <v>44334</v>
      </c>
      <c r="X308" s="1375" t="s">
        <v>8974</v>
      </c>
      <c r="Y308" s="537">
        <v>44363</v>
      </c>
      <c r="Z308" s="537">
        <v>44365</v>
      </c>
      <c r="AA308" s="537">
        <v>45468</v>
      </c>
      <c r="AB308" s="491" t="s">
        <v>11373</v>
      </c>
      <c r="AC308" s="1374">
        <v>2022</v>
      </c>
      <c r="AD308" s="388">
        <v>2023</v>
      </c>
      <c r="AE308" s="388" t="s">
        <v>9077</v>
      </c>
    </row>
    <row r="309" spans="1:43" ht="30">
      <c r="A309" s="537">
        <v>44300</v>
      </c>
      <c r="B309" s="491" t="s">
        <v>8593</v>
      </c>
      <c r="C309" s="491" t="s">
        <v>2434</v>
      </c>
      <c r="D309" s="491" t="s">
        <v>219</v>
      </c>
      <c r="E309" s="571" t="s">
        <v>4214</v>
      </c>
      <c r="F309" s="491"/>
      <c r="G309" s="495"/>
      <c r="H309" s="491"/>
      <c r="I309" s="491" t="s">
        <v>642</v>
      </c>
      <c r="J309" s="491"/>
      <c r="K309" s="536">
        <v>524480</v>
      </c>
      <c r="L309" s="491" t="s">
        <v>112</v>
      </c>
      <c r="M309" s="537">
        <v>44302</v>
      </c>
      <c r="N309" s="537">
        <v>44313</v>
      </c>
      <c r="O309" s="537">
        <v>44319</v>
      </c>
      <c r="P309" s="495" t="s">
        <v>7296</v>
      </c>
      <c r="Q309" s="491"/>
      <c r="R309" s="536">
        <v>524480</v>
      </c>
      <c r="S309" s="536">
        <v>634620.80000000005</v>
      </c>
      <c r="T309" s="1471"/>
      <c r="U309" s="1471"/>
      <c r="V309" s="1471"/>
      <c r="W309" s="573">
        <v>44319</v>
      </c>
      <c r="X309" s="1375" t="s">
        <v>8848</v>
      </c>
      <c r="Y309" s="537">
        <v>44329</v>
      </c>
      <c r="Z309" s="537">
        <v>44330</v>
      </c>
      <c r="AA309" s="537">
        <v>45470</v>
      </c>
      <c r="AB309" s="537">
        <v>44642</v>
      </c>
      <c r="AC309" s="1374">
        <v>2022</v>
      </c>
      <c r="AD309" s="388">
        <v>2023</v>
      </c>
      <c r="AE309" s="388" t="s">
        <v>8949</v>
      </c>
    </row>
    <row r="310" spans="1:43" ht="30">
      <c r="A310" s="537">
        <v>44300</v>
      </c>
      <c r="B310" s="491" t="s">
        <v>8594</v>
      </c>
      <c r="C310" s="491" t="s">
        <v>2434</v>
      </c>
      <c r="D310" s="491" t="s">
        <v>219</v>
      </c>
      <c r="E310" s="571" t="s">
        <v>4213</v>
      </c>
      <c r="F310" s="491"/>
      <c r="G310" s="495"/>
      <c r="H310" s="590"/>
      <c r="I310" s="491" t="s">
        <v>642</v>
      </c>
      <c r="J310" s="491"/>
      <c r="K310" s="536">
        <v>661500</v>
      </c>
      <c r="L310" s="491" t="s">
        <v>112</v>
      </c>
      <c r="M310" s="537">
        <v>44302</v>
      </c>
      <c r="N310" s="537">
        <v>44313</v>
      </c>
      <c r="O310" s="537">
        <v>44319</v>
      </c>
      <c r="P310" s="495" t="s">
        <v>8818</v>
      </c>
      <c r="Q310" s="491"/>
      <c r="R310" s="536">
        <v>661500</v>
      </c>
      <c r="S310" s="536">
        <v>800415</v>
      </c>
      <c r="T310" s="1484"/>
      <c r="U310" s="1484"/>
      <c r="V310" s="1484"/>
      <c r="W310" s="573">
        <v>44319</v>
      </c>
      <c r="X310" s="1375" t="s">
        <v>8847</v>
      </c>
      <c r="Y310" s="537">
        <v>44344</v>
      </c>
      <c r="Z310" s="537">
        <v>44348</v>
      </c>
      <c r="AA310" s="537">
        <v>45443</v>
      </c>
      <c r="AB310" s="537">
        <v>44642</v>
      </c>
      <c r="AC310" s="1374">
        <v>2022</v>
      </c>
      <c r="AD310" s="388">
        <v>2023</v>
      </c>
      <c r="AE310" s="388" t="s">
        <v>9059</v>
      </c>
    </row>
    <row r="311" spans="1:43">
      <c r="A311" s="537">
        <v>44301</v>
      </c>
      <c r="B311" s="491" t="s">
        <v>8597</v>
      </c>
      <c r="C311" s="491" t="s">
        <v>69</v>
      </c>
      <c r="D311" s="491" t="s">
        <v>70</v>
      </c>
      <c r="E311" s="571" t="s">
        <v>8598</v>
      </c>
      <c r="F311" s="491">
        <v>1</v>
      </c>
      <c r="G311" s="495" t="s">
        <v>8602</v>
      </c>
      <c r="H311" s="491"/>
      <c r="I311" s="491" t="s">
        <v>671</v>
      </c>
      <c r="J311" s="491"/>
      <c r="K311" s="536">
        <v>47769150</v>
      </c>
      <c r="L311" s="491" t="s">
        <v>251</v>
      </c>
      <c r="M311" s="537">
        <v>44305</v>
      </c>
      <c r="N311" s="537">
        <v>44392</v>
      </c>
      <c r="O311" s="537">
        <v>44456</v>
      </c>
      <c r="P311" s="495" t="s">
        <v>1389</v>
      </c>
      <c r="Q311" s="491"/>
      <c r="R311" s="536">
        <v>47368290</v>
      </c>
      <c r="S311" s="536">
        <v>52105119</v>
      </c>
      <c r="T311" s="1471"/>
      <c r="U311" s="1471"/>
      <c r="V311" s="1471"/>
      <c r="W311" s="573">
        <v>44456</v>
      </c>
      <c r="X311" s="536" t="s">
        <v>9870</v>
      </c>
      <c r="Y311" s="537">
        <v>44482</v>
      </c>
      <c r="Z311" s="537">
        <v>44483</v>
      </c>
      <c r="AA311" s="1524">
        <v>45577</v>
      </c>
      <c r="AB311" s="537">
        <v>44648</v>
      </c>
      <c r="AC311" s="1374">
        <v>2022</v>
      </c>
      <c r="AD311" s="388">
        <v>2023</v>
      </c>
      <c r="AE311" s="388" t="s">
        <v>10052</v>
      </c>
    </row>
    <row r="312" spans="1:43">
      <c r="A312" s="491" t="s">
        <v>3585</v>
      </c>
      <c r="B312" s="491" t="s">
        <v>8599</v>
      </c>
      <c r="C312" s="491" t="s">
        <v>69</v>
      </c>
      <c r="D312" s="491" t="s">
        <v>70</v>
      </c>
      <c r="E312" s="571" t="s">
        <v>8600</v>
      </c>
      <c r="F312" s="491">
        <v>1</v>
      </c>
      <c r="G312" s="495" t="s">
        <v>8271</v>
      </c>
      <c r="H312" s="491"/>
      <c r="I312" s="491" t="s">
        <v>93</v>
      </c>
      <c r="J312" s="491"/>
      <c r="K312" s="536">
        <v>73696560</v>
      </c>
      <c r="L312" s="491" t="s">
        <v>251</v>
      </c>
      <c r="M312" s="537">
        <v>44308</v>
      </c>
      <c r="N312" s="537">
        <v>44342</v>
      </c>
      <c r="O312" s="537">
        <v>44361</v>
      </c>
      <c r="P312" s="495" t="s">
        <v>576</v>
      </c>
      <c r="Q312" s="491"/>
      <c r="R312" s="536">
        <v>50990004.659999996</v>
      </c>
      <c r="S312" s="536">
        <v>56089005.130000003</v>
      </c>
      <c r="T312" s="1471"/>
      <c r="U312" s="1471"/>
      <c r="V312" s="1471"/>
      <c r="W312" s="573">
        <v>44361</v>
      </c>
      <c r="X312" s="536" t="s">
        <v>9181</v>
      </c>
      <c r="Y312" s="537">
        <v>44385</v>
      </c>
      <c r="Z312" s="537">
        <v>44392</v>
      </c>
      <c r="AA312" s="537">
        <v>45480</v>
      </c>
      <c r="AB312" s="537">
        <v>44648</v>
      </c>
      <c r="AC312" s="1374">
        <v>2022</v>
      </c>
      <c r="AD312" s="388">
        <v>2023</v>
      </c>
      <c r="AE312" s="388" t="s">
        <v>9314</v>
      </c>
    </row>
    <row r="313" spans="1:43">
      <c r="A313" s="537">
        <v>44301</v>
      </c>
      <c r="B313" s="491" t="s">
        <v>8605</v>
      </c>
      <c r="C313" s="491" t="s">
        <v>69</v>
      </c>
      <c r="D313" s="491" t="s">
        <v>70</v>
      </c>
      <c r="E313" s="571" t="s">
        <v>8606</v>
      </c>
      <c r="F313" s="491">
        <v>1</v>
      </c>
      <c r="G313" s="495" t="s">
        <v>8603</v>
      </c>
      <c r="H313" s="491"/>
      <c r="I313" s="491" t="s">
        <v>68</v>
      </c>
      <c r="J313" s="491"/>
      <c r="K313" s="536">
        <v>3111822</v>
      </c>
      <c r="L313" s="491" t="s">
        <v>251</v>
      </c>
      <c r="M313" s="537">
        <v>44305</v>
      </c>
      <c r="N313" s="537">
        <v>44384</v>
      </c>
      <c r="O313" s="537">
        <v>44417</v>
      </c>
      <c r="P313" s="495" t="s">
        <v>6546</v>
      </c>
      <c r="Q313" s="491"/>
      <c r="R313" s="536">
        <v>3111818.85</v>
      </c>
      <c r="S313" s="536">
        <v>3423000.74</v>
      </c>
      <c r="T313" s="1471"/>
      <c r="U313" s="1471"/>
      <c r="V313" s="1471"/>
      <c r="W313" s="573">
        <v>44418</v>
      </c>
      <c r="X313" s="536" t="s">
        <v>9579</v>
      </c>
      <c r="Y313" s="537">
        <v>44440</v>
      </c>
      <c r="Z313" s="537">
        <v>44446</v>
      </c>
      <c r="AA313" s="537">
        <v>46265</v>
      </c>
      <c r="AB313" s="537">
        <v>44648</v>
      </c>
      <c r="AC313" s="1374">
        <v>2022</v>
      </c>
      <c r="AD313" s="388">
        <v>2023</v>
      </c>
      <c r="AE313" s="388">
        <v>2024</v>
      </c>
      <c r="AF313" s="388">
        <v>2025</v>
      </c>
      <c r="AG313" s="388" t="s">
        <v>9799</v>
      </c>
    </row>
    <row r="314" spans="1:43">
      <c r="A314" s="537">
        <v>44301</v>
      </c>
      <c r="B314" s="491" t="s">
        <v>8605</v>
      </c>
      <c r="C314" s="491" t="s">
        <v>69</v>
      </c>
      <c r="D314" s="491" t="s">
        <v>70</v>
      </c>
      <c r="E314" s="571" t="s">
        <v>8606</v>
      </c>
      <c r="F314" s="491">
        <v>2</v>
      </c>
      <c r="G314" s="495" t="s">
        <v>8604</v>
      </c>
      <c r="H314" s="491"/>
      <c r="I314" s="491" t="s">
        <v>68</v>
      </c>
      <c r="J314" s="491"/>
      <c r="K314" s="536">
        <v>10122390</v>
      </c>
      <c r="L314" s="491" t="s">
        <v>251</v>
      </c>
      <c r="M314" s="537">
        <v>44305</v>
      </c>
      <c r="N314" s="537">
        <v>44384</v>
      </c>
      <c r="O314" s="537">
        <v>44417</v>
      </c>
      <c r="P314" s="495" t="s">
        <v>6546</v>
      </c>
      <c r="Q314" s="491"/>
      <c r="R314" s="536">
        <v>10122390</v>
      </c>
      <c r="S314" s="536">
        <v>11134629</v>
      </c>
      <c r="T314" s="1471"/>
      <c r="U314" s="1471"/>
      <c r="V314" s="1471"/>
      <c r="W314" s="573">
        <v>44418</v>
      </c>
      <c r="X314" s="536" t="s">
        <v>9580</v>
      </c>
      <c r="Y314" s="537">
        <v>44440</v>
      </c>
      <c r="Z314" s="537">
        <v>44446</v>
      </c>
      <c r="AA314" s="537">
        <v>46265</v>
      </c>
      <c r="AB314" s="537">
        <v>44648</v>
      </c>
      <c r="AC314" s="1374">
        <v>2022</v>
      </c>
      <c r="AD314" s="388">
        <v>2023</v>
      </c>
      <c r="AE314" s="388">
        <v>2024</v>
      </c>
      <c r="AF314" s="388">
        <v>2025</v>
      </c>
      <c r="AG314" s="388" t="s">
        <v>9799</v>
      </c>
    </row>
    <row r="315" spans="1:43">
      <c r="A315" s="510">
        <v>44301</v>
      </c>
      <c r="B315" s="506" t="s">
        <v>8607</v>
      </c>
      <c r="C315" s="506" t="s">
        <v>1032</v>
      </c>
      <c r="D315" s="506" t="s">
        <v>361</v>
      </c>
      <c r="E315" s="507" t="s">
        <v>8608</v>
      </c>
      <c r="F315" s="506"/>
      <c r="G315" s="548"/>
      <c r="H315" s="506"/>
      <c r="I315" s="506" t="s">
        <v>806</v>
      </c>
      <c r="J315" s="506" t="s">
        <v>8763</v>
      </c>
      <c r="K315" s="511">
        <v>4600000</v>
      </c>
      <c r="L315" s="506" t="s">
        <v>251</v>
      </c>
      <c r="M315" s="510">
        <v>44307</v>
      </c>
      <c r="N315" s="510">
        <v>44340</v>
      </c>
      <c r="O315" s="510"/>
      <c r="P315" s="736" t="s">
        <v>9283</v>
      </c>
      <c r="Q315" s="506"/>
      <c r="R315" s="511"/>
      <c r="S315" s="511"/>
      <c r="T315" s="1470"/>
      <c r="U315" s="1470"/>
      <c r="V315" s="1470"/>
      <c r="W315" s="1398"/>
      <c r="X315" s="511"/>
      <c r="Y315" s="506"/>
      <c r="Z315" s="510">
        <v>44396</v>
      </c>
      <c r="AA315" s="548" t="s">
        <v>9289</v>
      </c>
      <c r="AB315" s="506"/>
      <c r="AC315" s="506"/>
    </row>
    <row r="316" spans="1:43" s="390" customFormat="1" ht="30">
      <c r="A316" s="2140">
        <v>44308</v>
      </c>
      <c r="B316" s="2141" t="s">
        <v>8780</v>
      </c>
      <c r="C316" s="2141" t="s">
        <v>2434</v>
      </c>
      <c r="D316" s="2141" t="s">
        <v>219</v>
      </c>
      <c r="E316" s="2142" t="s">
        <v>8781</v>
      </c>
      <c r="F316" s="2141"/>
      <c r="G316" s="2143"/>
      <c r="H316" s="2141"/>
      <c r="I316" s="2141" t="s">
        <v>642</v>
      </c>
      <c r="J316" s="2141"/>
      <c r="K316" s="2144">
        <v>595548</v>
      </c>
      <c r="L316" s="2141" t="s">
        <v>112</v>
      </c>
      <c r="M316" s="2140">
        <v>44313</v>
      </c>
      <c r="N316" s="2140">
        <v>44327</v>
      </c>
      <c r="O316" s="2140">
        <v>44336</v>
      </c>
      <c r="P316" s="2143" t="s">
        <v>8952</v>
      </c>
      <c r="Q316" s="2141"/>
      <c r="R316" s="2144">
        <v>616115.28</v>
      </c>
      <c r="S316" s="2144">
        <v>745500</v>
      </c>
      <c r="T316" s="2145"/>
      <c r="U316" s="2145"/>
      <c r="V316" s="2145"/>
      <c r="W316" s="2146">
        <v>44336</v>
      </c>
      <c r="X316" s="2260" t="s">
        <v>9000</v>
      </c>
      <c r="Y316" s="2140">
        <v>44354</v>
      </c>
      <c r="Z316" s="2140">
        <v>44356</v>
      </c>
      <c r="AA316" s="2140">
        <v>45449</v>
      </c>
      <c r="AB316" s="2140">
        <v>44642</v>
      </c>
      <c r="AC316" s="2109">
        <v>2022</v>
      </c>
      <c r="AD316" s="388">
        <v>2023</v>
      </c>
      <c r="AE316" s="388" t="s">
        <v>9122</v>
      </c>
      <c r="AF316" s="360"/>
      <c r="AG316" s="360"/>
      <c r="AH316" s="360"/>
      <c r="AI316" s="360"/>
      <c r="AJ316" s="360"/>
      <c r="AK316" s="360"/>
      <c r="AL316" s="360"/>
      <c r="AM316" s="360"/>
      <c r="AN316" s="360"/>
      <c r="AO316" s="360"/>
      <c r="AP316" s="360"/>
      <c r="AQ316" s="360"/>
    </row>
    <row r="317" spans="1:43" ht="30">
      <c r="A317" s="537">
        <v>44305</v>
      </c>
      <c r="B317" s="491" t="s">
        <v>8777</v>
      </c>
      <c r="C317" s="491" t="s">
        <v>58</v>
      </c>
      <c r="D317" s="491" t="s">
        <v>2684</v>
      </c>
      <c r="E317" s="571" t="s">
        <v>3404</v>
      </c>
      <c r="F317" s="491"/>
      <c r="G317" s="495"/>
      <c r="H317" s="491"/>
      <c r="I317" s="491" t="s">
        <v>77</v>
      </c>
      <c r="J317" s="491" t="s">
        <v>8762</v>
      </c>
      <c r="K317" s="536">
        <v>3465000</v>
      </c>
      <c r="L317" s="491" t="s">
        <v>251</v>
      </c>
      <c r="M317" s="537">
        <v>44313</v>
      </c>
      <c r="N317" s="537">
        <v>44348</v>
      </c>
      <c r="O317" s="537">
        <v>44365</v>
      </c>
      <c r="P317" s="495" t="s">
        <v>4323</v>
      </c>
      <c r="Q317" s="491"/>
      <c r="R317" s="536">
        <v>3339400</v>
      </c>
      <c r="S317" s="536">
        <v>4040674</v>
      </c>
      <c r="T317" s="1471"/>
      <c r="U317" s="1471"/>
      <c r="V317" s="1471"/>
      <c r="W317" s="573">
        <v>44365</v>
      </c>
      <c r="X317" s="1375" t="s">
        <v>9226</v>
      </c>
      <c r="Y317" s="537">
        <v>44390</v>
      </c>
      <c r="Z317" s="537">
        <v>44393</v>
      </c>
      <c r="AA317" s="537">
        <v>44460</v>
      </c>
      <c r="AB317" s="537">
        <v>44642</v>
      </c>
      <c r="AC317" s="1374" t="s">
        <v>1875</v>
      </c>
    </row>
    <row r="318" spans="1:43" s="390" customFormat="1">
      <c r="A318" s="2140">
        <v>44442</v>
      </c>
      <c r="B318" s="2141" t="s">
        <v>9782</v>
      </c>
      <c r="C318" s="2141" t="s">
        <v>3032</v>
      </c>
      <c r="D318" s="2141" t="s">
        <v>4296</v>
      </c>
      <c r="E318" s="2142" t="s">
        <v>9783</v>
      </c>
      <c r="F318" s="2141"/>
      <c r="G318" s="2143"/>
      <c r="H318" s="2141"/>
      <c r="I318" s="2141" t="s">
        <v>1645</v>
      </c>
      <c r="J318" s="2141"/>
      <c r="K318" s="2144">
        <v>450000</v>
      </c>
      <c r="L318" s="2141" t="s">
        <v>112</v>
      </c>
      <c r="M318" s="2140">
        <v>44446</v>
      </c>
      <c r="N318" s="2140">
        <v>44454</v>
      </c>
      <c r="O318" s="2140">
        <v>44469</v>
      </c>
      <c r="P318" s="2143" t="s">
        <v>9892</v>
      </c>
      <c r="Q318" s="2141"/>
      <c r="R318" s="2144">
        <v>576000</v>
      </c>
      <c r="S318" s="2144">
        <v>696960</v>
      </c>
      <c r="T318" s="2145"/>
      <c r="U318" s="2145"/>
      <c r="V318" s="2145"/>
      <c r="W318" s="2146">
        <v>44469</v>
      </c>
      <c r="X318" s="2260" t="s">
        <v>9973</v>
      </c>
      <c r="Y318" s="2140">
        <v>44480</v>
      </c>
      <c r="Z318" s="2140">
        <v>44484</v>
      </c>
      <c r="AA318" s="2140">
        <v>45930</v>
      </c>
      <c r="AB318" s="2464">
        <v>44872</v>
      </c>
      <c r="AC318" s="2106"/>
      <c r="AD318" s="360"/>
      <c r="AE318" s="360"/>
      <c r="AF318" s="360"/>
      <c r="AG318" s="360"/>
      <c r="AH318" s="360"/>
      <c r="AI318" s="360"/>
      <c r="AJ318" s="360"/>
      <c r="AK318" s="360"/>
      <c r="AL318" s="360"/>
      <c r="AM318" s="360"/>
      <c r="AN318" s="360"/>
      <c r="AO318" s="360"/>
      <c r="AP318" s="360"/>
      <c r="AQ318" s="360"/>
    </row>
    <row r="319" spans="1:43" ht="30">
      <c r="A319" s="537">
        <v>44309</v>
      </c>
      <c r="B319" s="491" t="s">
        <v>8794</v>
      </c>
      <c r="C319" s="491" t="s">
        <v>2434</v>
      </c>
      <c r="D319" s="491" t="s">
        <v>219</v>
      </c>
      <c r="E319" s="571" t="s">
        <v>4731</v>
      </c>
      <c r="F319" s="491"/>
      <c r="G319" s="495"/>
      <c r="H319" s="491"/>
      <c r="I319" s="491" t="s">
        <v>642</v>
      </c>
      <c r="J319" s="491"/>
      <c r="K319" s="536">
        <v>623200</v>
      </c>
      <c r="L319" s="491" t="s">
        <v>112</v>
      </c>
      <c r="M319" s="537">
        <v>44313</v>
      </c>
      <c r="N319" s="537">
        <v>44327</v>
      </c>
      <c r="O319" s="537">
        <v>44333</v>
      </c>
      <c r="P319" s="495" t="s">
        <v>7296</v>
      </c>
      <c r="Q319" s="491"/>
      <c r="R319" s="536">
        <v>623200</v>
      </c>
      <c r="S319" s="536">
        <v>754072</v>
      </c>
      <c r="T319" s="1471"/>
      <c r="U319" s="1471"/>
      <c r="V319" s="1471"/>
      <c r="W319" s="573">
        <v>44334</v>
      </c>
      <c r="X319" s="1375" t="s">
        <v>8977</v>
      </c>
      <c r="Y319" s="537">
        <v>44349</v>
      </c>
      <c r="Z319" s="537">
        <v>44351</v>
      </c>
      <c r="AA319" s="537">
        <v>45491</v>
      </c>
      <c r="AB319" s="537">
        <v>44642</v>
      </c>
      <c r="AC319" s="1374">
        <v>2022</v>
      </c>
      <c r="AD319" s="388">
        <v>2023</v>
      </c>
      <c r="AE319" s="388" t="s">
        <v>9105</v>
      </c>
    </row>
    <row r="320" spans="1:43" ht="30">
      <c r="A320" s="491" t="s">
        <v>3585</v>
      </c>
      <c r="B320" s="491" t="s">
        <v>8796</v>
      </c>
      <c r="C320" s="491" t="s">
        <v>58</v>
      </c>
      <c r="D320" s="491" t="s">
        <v>2684</v>
      </c>
      <c r="E320" s="571" t="s">
        <v>8797</v>
      </c>
      <c r="F320" s="491"/>
      <c r="G320" s="495"/>
      <c r="H320" s="491"/>
      <c r="I320" s="491" t="s">
        <v>77</v>
      </c>
      <c r="J320" s="491" t="s">
        <v>8398</v>
      </c>
      <c r="K320" s="536">
        <v>340000</v>
      </c>
      <c r="L320" s="491" t="s">
        <v>112</v>
      </c>
      <c r="M320" s="537">
        <v>44313</v>
      </c>
      <c r="N320" s="537">
        <v>44323</v>
      </c>
      <c r="O320" s="537">
        <v>44340</v>
      </c>
      <c r="P320" s="495" t="s">
        <v>8984</v>
      </c>
      <c r="Q320" s="491"/>
      <c r="R320" s="536">
        <v>287540</v>
      </c>
      <c r="S320" s="536">
        <v>347923.4</v>
      </c>
      <c r="T320" s="1471"/>
      <c r="U320" s="1471"/>
      <c r="V320" s="1471"/>
      <c r="W320" s="573">
        <v>44340</v>
      </c>
      <c r="X320" s="1375" t="s">
        <v>9013</v>
      </c>
      <c r="Y320" s="537">
        <v>44357</v>
      </c>
      <c r="Z320" s="537">
        <v>44361</v>
      </c>
      <c r="AA320" s="537">
        <v>44385</v>
      </c>
      <c r="AB320" s="537">
        <v>44452</v>
      </c>
      <c r="AC320" s="1374" t="s">
        <v>1875</v>
      </c>
    </row>
    <row r="321" spans="1:33" ht="30">
      <c r="A321" s="537">
        <v>44308</v>
      </c>
      <c r="B321" s="491" t="s">
        <v>8812</v>
      </c>
      <c r="C321" s="491" t="s">
        <v>58</v>
      </c>
      <c r="D321" s="491" t="s">
        <v>918</v>
      </c>
      <c r="E321" s="571" t="s">
        <v>8813</v>
      </c>
      <c r="F321" s="491"/>
      <c r="G321" s="495"/>
      <c r="H321" s="491"/>
      <c r="I321" s="491" t="s">
        <v>2023</v>
      </c>
      <c r="J321" s="491"/>
      <c r="K321" s="536">
        <v>720000</v>
      </c>
      <c r="L321" s="491" t="s">
        <v>112</v>
      </c>
      <c r="M321" s="537">
        <v>44315</v>
      </c>
      <c r="N321" s="537">
        <v>44329</v>
      </c>
      <c r="O321" s="537">
        <v>44340</v>
      </c>
      <c r="P321" s="495" t="s">
        <v>2498</v>
      </c>
      <c r="Q321" s="491"/>
      <c r="R321" s="536">
        <v>529580.69999999995</v>
      </c>
      <c r="S321" s="536">
        <v>640792.65</v>
      </c>
      <c r="T321" s="1471"/>
      <c r="U321" s="1471"/>
      <c r="V321" s="1471"/>
      <c r="W321" s="573">
        <v>44340</v>
      </c>
      <c r="X321" s="1375" t="s">
        <v>9012</v>
      </c>
      <c r="Y321" s="537">
        <v>44354</v>
      </c>
      <c r="Z321" s="537">
        <v>44355</v>
      </c>
      <c r="AA321" s="537">
        <v>44424</v>
      </c>
      <c r="AB321" s="537">
        <v>44459</v>
      </c>
      <c r="AC321" s="1374" t="s">
        <v>1875</v>
      </c>
    </row>
    <row r="322" spans="1:33" ht="30">
      <c r="A322" s="491" t="s">
        <v>8814</v>
      </c>
      <c r="B322" s="491" t="s">
        <v>8815</v>
      </c>
      <c r="C322" s="491" t="s">
        <v>2434</v>
      </c>
      <c r="D322" s="491" t="s">
        <v>3204</v>
      </c>
      <c r="E322" s="571" t="s">
        <v>8816</v>
      </c>
      <c r="F322" s="491"/>
      <c r="G322" s="495"/>
      <c r="H322" s="491"/>
      <c r="I322" s="491" t="s">
        <v>642</v>
      </c>
      <c r="J322" s="491"/>
      <c r="K322" s="536">
        <v>540000</v>
      </c>
      <c r="L322" s="491" t="s">
        <v>112</v>
      </c>
      <c r="M322" s="537">
        <v>44316</v>
      </c>
      <c r="N322" s="537">
        <v>44328</v>
      </c>
      <c r="O322" s="537">
        <v>44334</v>
      </c>
      <c r="P322" s="495" t="s">
        <v>8542</v>
      </c>
      <c r="Q322" s="491"/>
      <c r="R322" s="536">
        <v>420000</v>
      </c>
      <c r="S322" s="536">
        <v>508200</v>
      </c>
      <c r="T322" s="1471"/>
      <c r="U322" s="1471"/>
      <c r="V322" s="1471"/>
      <c r="W322" s="573">
        <v>44334</v>
      </c>
      <c r="X322" s="1375" t="s">
        <v>8978</v>
      </c>
      <c r="Y322" s="537">
        <v>44347</v>
      </c>
      <c r="Z322" s="537">
        <v>44350</v>
      </c>
      <c r="AA322" s="537">
        <v>45468</v>
      </c>
      <c r="AB322" s="491" t="s">
        <v>11373</v>
      </c>
      <c r="AC322" s="1374">
        <v>2022</v>
      </c>
      <c r="AD322" s="388">
        <v>2023</v>
      </c>
      <c r="AE322" s="388" t="s">
        <v>9077</v>
      </c>
    </row>
    <row r="323" spans="1:33" ht="30">
      <c r="A323" s="537">
        <v>44313</v>
      </c>
      <c r="B323" s="491" t="s">
        <v>8819</v>
      </c>
      <c r="C323" s="491" t="s">
        <v>2434</v>
      </c>
      <c r="D323" s="491" t="s">
        <v>219</v>
      </c>
      <c r="E323" s="571" t="s">
        <v>8820</v>
      </c>
      <c r="F323" s="491"/>
      <c r="G323" s="495"/>
      <c r="H323" s="491"/>
      <c r="I323" s="491" t="s">
        <v>2866</v>
      </c>
      <c r="J323" s="491"/>
      <c r="K323" s="536">
        <v>21132446.100000001</v>
      </c>
      <c r="L323" s="491" t="s">
        <v>251</v>
      </c>
      <c r="M323" s="537">
        <v>44427</v>
      </c>
      <c r="N323" s="537">
        <v>44476</v>
      </c>
      <c r="O323" s="537">
        <v>44495</v>
      </c>
      <c r="P323" s="495" t="s">
        <v>7928</v>
      </c>
      <c r="Q323" s="491"/>
      <c r="R323" s="536">
        <v>20284280.399999999</v>
      </c>
      <c r="S323" s="536">
        <v>23415000</v>
      </c>
      <c r="T323" s="1471"/>
      <c r="U323" s="1471"/>
      <c r="V323" s="1471"/>
      <c r="W323" s="573">
        <v>44495</v>
      </c>
      <c r="X323" s="1375" t="s">
        <v>10180</v>
      </c>
      <c r="Y323" s="537">
        <v>44518</v>
      </c>
      <c r="Z323" s="537">
        <v>44531</v>
      </c>
      <c r="AA323" s="537">
        <v>45613</v>
      </c>
      <c r="AB323" s="491" t="s">
        <v>11373</v>
      </c>
      <c r="AC323" s="1374">
        <v>2022</v>
      </c>
      <c r="AD323" s="388">
        <v>2023</v>
      </c>
      <c r="AE323" s="388" t="s">
        <v>10342</v>
      </c>
    </row>
    <row r="324" spans="1:33" ht="15.75" thickBot="1">
      <c r="A324" s="643">
        <v>44312</v>
      </c>
      <c r="B324" s="639" t="s">
        <v>8821</v>
      </c>
      <c r="C324" s="639" t="s">
        <v>14</v>
      </c>
      <c r="D324" s="639" t="s">
        <v>13</v>
      </c>
      <c r="E324" s="640" t="s">
        <v>352</v>
      </c>
      <c r="F324" s="639"/>
      <c r="G324" s="1533"/>
      <c r="H324" s="639"/>
      <c r="I324" s="639" t="s">
        <v>6043</v>
      </c>
      <c r="J324" s="639"/>
      <c r="K324" s="645">
        <v>851900</v>
      </c>
      <c r="L324" s="639" t="s">
        <v>112</v>
      </c>
      <c r="M324" s="643">
        <v>44316</v>
      </c>
      <c r="N324" s="643">
        <v>44329</v>
      </c>
      <c r="O324" s="639"/>
      <c r="P324" s="1533" t="s">
        <v>9147</v>
      </c>
      <c r="Q324" s="2019" t="s">
        <v>9671</v>
      </c>
      <c r="R324" s="645"/>
      <c r="S324" s="645"/>
      <c r="T324" s="1534"/>
      <c r="U324" s="1534"/>
      <c r="V324" s="1534"/>
      <c r="W324" s="645"/>
      <c r="X324" s="645"/>
      <c r="Y324" s="639"/>
      <c r="Z324" s="643">
        <v>44357</v>
      </c>
      <c r="AA324" s="639"/>
      <c r="AB324" s="639"/>
      <c r="AC324" s="639"/>
    </row>
    <row r="325" spans="1:33" ht="15.75" thickTop="1">
      <c r="A325" s="474">
        <v>44313</v>
      </c>
      <c r="B325" s="453" t="s">
        <v>8822</v>
      </c>
      <c r="C325" s="453" t="s">
        <v>69</v>
      </c>
      <c r="D325" s="453" t="s">
        <v>70</v>
      </c>
      <c r="E325" s="473" t="s">
        <v>8823</v>
      </c>
      <c r="F325" s="453">
        <v>1</v>
      </c>
      <c r="G325" s="1420" t="s">
        <v>8824</v>
      </c>
      <c r="H325" s="453"/>
      <c r="I325" s="453" t="s">
        <v>8827</v>
      </c>
      <c r="J325" s="453"/>
      <c r="K325" s="457">
        <v>112572</v>
      </c>
      <c r="L325" s="453" t="s">
        <v>251</v>
      </c>
      <c r="M325" s="474">
        <v>44321</v>
      </c>
      <c r="N325" s="474">
        <v>44354</v>
      </c>
      <c r="O325" s="474">
        <v>44372</v>
      </c>
      <c r="P325" s="1420" t="s">
        <v>576</v>
      </c>
      <c r="Q325" s="453"/>
      <c r="R325" s="457">
        <v>112572</v>
      </c>
      <c r="S325" s="457">
        <v>123829.2</v>
      </c>
      <c r="T325" s="1474"/>
      <c r="U325" s="1474"/>
      <c r="V325" s="1474"/>
      <c r="W325" s="570">
        <v>44372</v>
      </c>
      <c r="X325" s="457" t="s">
        <v>9268</v>
      </c>
      <c r="Y325" s="474">
        <v>44398</v>
      </c>
      <c r="Z325" s="474">
        <v>44410</v>
      </c>
      <c r="AA325" s="474">
        <v>45493</v>
      </c>
      <c r="AB325" s="474">
        <v>44648</v>
      </c>
      <c r="AC325" s="1391">
        <v>2022</v>
      </c>
      <c r="AD325" s="2250">
        <v>2023</v>
      </c>
      <c r="AE325" s="2250" t="s">
        <v>9452</v>
      </c>
    </row>
    <row r="326" spans="1:33">
      <c r="A326" s="2124">
        <v>44313</v>
      </c>
      <c r="B326" s="2125" t="s">
        <v>8822</v>
      </c>
      <c r="C326" s="2125" t="s">
        <v>69</v>
      </c>
      <c r="D326" s="2125" t="s">
        <v>70</v>
      </c>
      <c r="E326" s="2126" t="s">
        <v>8823</v>
      </c>
      <c r="F326" s="2125">
        <v>2</v>
      </c>
      <c r="G326" s="2127" t="s">
        <v>8825</v>
      </c>
      <c r="H326" s="2125"/>
      <c r="I326" s="2125" t="s">
        <v>8827</v>
      </c>
      <c r="J326" s="2125"/>
      <c r="K326" s="2128">
        <v>260591</v>
      </c>
      <c r="L326" s="2125" t="s">
        <v>251</v>
      </c>
      <c r="M326" s="2124">
        <v>44321</v>
      </c>
      <c r="N326" s="2124">
        <v>44354</v>
      </c>
      <c r="O326" s="2125"/>
      <c r="P326" s="2136" t="s">
        <v>304</v>
      </c>
      <c r="Q326" s="2125"/>
      <c r="R326" s="2128"/>
      <c r="S326" s="2128"/>
      <c r="T326" s="2129"/>
      <c r="U326" s="2129"/>
      <c r="V326" s="2129"/>
      <c r="W326" s="2128"/>
      <c r="X326" s="2128"/>
      <c r="Y326" s="2125"/>
      <c r="Z326" s="2124">
        <v>44397</v>
      </c>
      <c r="AA326" s="2127" t="s">
        <v>9248</v>
      </c>
      <c r="AB326" s="2125"/>
      <c r="AC326" s="2125"/>
      <c r="AD326" s="1351"/>
      <c r="AE326" s="1351"/>
    </row>
    <row r="327" spans="1:33" ht="15.75" thickBot="1">
      <c r="A327" s="2117">
        <v>44313</v>
      </c>
      <c r="B327" s="2118" t="s">
        <v>8822</v>
      </c>
      <c r="C327" s="2118" t="s">
        <v>69</v>
      </c>
      <c r="D327" s="2118" t="s">
        <v>70</v>
      </c>
      <c r="E327" s="2119" t="s">
        <v>8823</v>
      </c>
      <c r="F327" s="2118">
        <v>3</v>
      </c>
      <c r="G327" s="2120" t="s">
        <v>8826</v>
      </c>
      <c r="H327" s="2118"/>
      <c r="I327" s="2118" t="s">
        <v>8827</v>
      </c>
      <c r="J327" s="2118"/>
      <c r="K327" s="2121">
        <v>15790500</v>
      </c>
      <c r="L327" s="2118" t="s">
        <v>251</v>
      </c>
      <c r="M327" s="2117">
        <v>44321</v>
      </c>
      <c r="N327" s="2117">
        <v>44354</v>
      </c>
      <c r="O327" s="2117">
        <v>44372</v>
      </c>
      <c r="P327" s="2120" t="s">
        <v>576</v>
      </c>
      <c r="Q327" s="2118"/>
      <c r="R327" s="2121">
        <v>15790500</v>
      </c>
      <c r="S327" s="2121">
        <v>17369550</v>
      </c>
      <c r="T327" s="2122"/>
      <c r="U327" s="2122"/>
      <c r="V327" s="2122"/>
      <c r="W327" s="2123">
        <v>44372</v>
      </c>
      <c r="X327" s="2121" t="s">
        <v>9269</v>
      </c>
      <c r="Y327" s="2117">
        <v>44398</v>
      </c>
      <c r="Z327" s="2117">
        <v>44410</v>
      </c>
      <c r="AA327" s="2117">
        <v>45493</v>
      </c>
      <c r="AB327" s="416">
        <v>44648</v>
      </c>
      <c r="AC327" s="422">
        <v>2022</v>
      </c>
      <c r="AD327" s="1991">
        <v>2023</v>
      </c>
      <c r="AE327" s="1991" t="s">
        <v>9452</v>
      </c>
    </row>
    <row r="328" spans="1:33" ht="16.5" thickTop="1" thickBot="1">
      <c r="A328" s="474">
        <v>44313</v>
      </c>
      <c r="B328" s="453" t="s">
        <v>8828</v>
      </c>
      <c r="C328" s="453" t="s">
        <v>69</v>
      </c>
      <c r="D328" s="453" t="s">
        <v>70</v>
      </c>
      <c r="E328" s="473" t="s">
        <v>8829</v>
      </c>
      <c r="F328" s="453">
        <v>1</v>
      </c>
      <c r="G328" s="1420" t="s">
        <v>8830</v>
      </c>
      <c r="H328" s="453"/>
      <c r="I328" s="453" t="s">
        <v>93</v>
      </c>
      <c r="J328" s="453"/>
      <c r="K328" s="457">
        <v>20937833</v>
      </c>
      <c r="L328" s="453" t="s">
        <v>251</v>
      </c>
      <c r="M328" s="474">
        <v>44320</v>
      </c>
      <c r="N328" s="474">
        <v>44369</v>
      </c>
      <c r="O328" s="474">
        <v>44390</v>
      </c>
      <c r="P328" s="1420" t="s">
        <v>5774</v>
      </c>
      <c r="Q328" s="453"/>
      <c r="R328" s="457">
        <v>20418233.550000001</v>
      </c>
      <c r="S328" s="457">
        <v>22460056.91</v>
      </c>
      <c r="T328" s="1474"/>
      <c r="U328" s="1474"/>
      <c r="V328" s="1474"/>
      <c r="W328" s="570">
        <v>44390</v>
      </c>
      <c r="X328" s="457" t="s">
        <v>9330</v>
      </c>
      <c r="Y328" s="474">
        <v>44417</v>
      </c>
      <c r="Z328" s="474">
        <v>44421</v>
      </c>
      <c r="AA328" s="474">
        <v>46242</v>
      </c>
      <c r="AB328" s="711" t="s">
        <v>11373</v>
      </c>
      <c r="AC328" s="2301">
        <v>2022</v>
      </c>
      <c r="AD328" s="2301">
        <v>2023</v>
      </c>
      <c r="AE328" s="2301">
        <v>2024</v>
      </c>
      <c r="AF328" s="2301">
        <v>2025</v>
      </c>
      <c r="AG328" s="2301" t="s">
        <v>9567</v>
      </c>
    </row>
    <row r="329" spans="1:33" ht="16.5" thickTop="1" thickBot="1">
      <c r="A329" s="2124">
        <v>44313</v>
      </c>
      <c r="B329" s="2125" t="s">
        <v>8828</v>
      </c>
      <c r="C329" s="2125" t="s">
        <v>69</v>
      </c>
      <c r="D329" s="2125" t="s">
        <v>70</v>
      </c>
      <c r="E329" s="2126" t="s">
        <v>8829</v>
      </c>
      <c r="F329" s="2125">
        <v>2</v>
      </c>
      <c r="G329" s="2127" t="s">
        <v>8831</v>
      </c>
      <c r="H329" s="2125"/>
      <c r="I329" s="2125" t="s">
        <v>93</v>
      </c>
      <c r="J329" s="2125"/>
      <c r="K329" s="2128">
        <v>62307846</v>
      </c>
      <c r="L329" s="2125" t="s">
        <v>251</v>
      </c>
      <c r="M329" s="2124">
        <v>44320</v>
      </c>
      <c r="N329" s="2124">
        <v>44369</v>
      </c>
      <c r="O329" s="2125"/>
      <c r="P329" s="2136" t="s">
        <v>304</v>
      </c>
      <c r="Q329" s="2125"/>
      <c r="R329" s="2128"/>
      <c r="S329" s="2128"/>
      <c r="T329" s="2129"/>
      <c r="U329" s="2129"/>
      <c r="V329" s="2129"/>
      <c r="W329" s="2128"/>
      <c r="X329" s="2128"/>
      <c r="Y329" s="2125"/>
      <c r="Z329" s="2124">
        <v>44371</v>
      </c>
      <c r="AA329" s="2127" t="s">
        <v>9248</v>
      </c>
      <c r="AB329" s="185"/>
      <c r="AC329" s="185"/>
      <c r="AD329" s="1351"/>
      <c r="AE329" s="1351"/>
    </row>
    <row r="330" spans="1:33" ht="15.75" thickTop="1">
      <c r="A330" s="2140">
        <v>44313</v>
      </c>
      <c r="B330" s="2141" t="s">
        <v>8828</v>
      </c>
      <c r="C330" s="2141" t="s">
        <v>69</v>
      </c>
      <c r="D330" s="2141" t="s">
        <v>70</v>
      </c>
      <c r="E330" s="2142" t="s">
        <v>8829</v>
      </c>
      <c r="F330" s="2141">
        <v>3</v>
      </c>
      <c r="G330" s="2143" t="s">
        <v>8832</v>
      </c>
      <c r="H330" s="2141"/>
      <c r="I330" s="2141" t="s">
        <v>93</v>
      </c>
      <c r="J330" s="2141"/>
      <c r="K330" s="2144">
        <v>40221720</v>
      </c>
      <c r="L330" s="2141" t="s">
        <v>251</v>
      </c>
      <c r="M330" s="2140">
        <v>44320</v>
      </c>
      <c r="N330" s="2140">
        <v>44369</v>
      </c>
      <c r="O330" s="2140">
        <v>44390</v>
      </c>
      <c r="P330" s="2143" t="s">
        <v>576</v>
      </c>
      <c r="Q330" s="2141"/>
      <c r="R330" s="2144">
        <v>40221280.799999997</v>
      </c>
      <c r="S330" s="2144">
        <v>44243408.880000003</v>
      </c>
      <c r="T330" s="2145"/>
      <c r="U330" s="2145"/>
      <c r="V330" s="2145"/>
      <c r="W330" s="2146">
        <v>44390</v>
      </c>
      <c r="X330" s="2144" t="s">
        <v>9331</v>
      </c>
      <c r="Y330" s="2140">
        <v>44414</v>
      </c>
      <c r="Z330" s="2140">
        <v>44421</v>
      </c>
      <c r="AA330" s="2140">
        <v>46239</v>
      </c>
      <c r="AB330" s="474">
        <v>44648</v>
      </c>
      <c r="AC330" s="1391">
        <v>2022</v>
      </c>
      <c r="AD330" s="1391">
        <v>2023</v>
      </c>
      <c r="AE330" s="1391">
        <v>2024</v>
      </c>
      <c r="AF330" s="1391">
        <v>2025</v>
      </c>
      <c r="AG330" s="1391" t="s">
        <v>9568</v>
      </c>
    </row>
    <row r="331" spans="1:33" ht="15.75" thickBot="1">
      <c r="A331" s="2117">
        <v>44313</v>
      </c>
      <c r="B331" s="2118" t="s">
        <v>8828</v>
      </c>
      <c r="C331" s="2118" t="s">
        <v>69</v>
      </c>
      <c r="D331" s="2118" t="s">
        <v>70</v>
      </c>
      <c r="E331" s="2119" t="s">
        <v>8829</v>
      </c>
      <c r="F331" s="2118">
        <v>4</v>
      </c>
      <c r="G331" s="2120" t="s">
        <v>8833</v>
      </c>
      <c r="H331" s="2118"/>
      <c r="I331" s="2118" t="s">
        <v>93</v>
      </c>
      <c r="J331" s="2118"/>
      <c r="K331" s="2121">
        <v>15164580</v>
      </c>
      <c r="L331" s="2118" t="s">
        <v>251</v>
      </c>
      <c r="M331" s="2117">
        <v>44320</v>
      </c>
      <c r="N331" s="2117">
        <v>44369</v>
      </c>
      <c r="O331" s="2117">
        <v>44390</v>
      </c>
      <c r="P331" s="2120" t="s">
        <v>576</v>
      </c>
      <c r="Q331" s="2118"/>
      <c r="R331" s="2121">
        <v>15164560.800000001</v>
      </c>
      <c r="S331" s="2121">
        <v>16681016.880000001</v>
      </c>
      <c r="T331" s="2122"/>
      <c r="U331" s="2122"/>
      <c r="V331" s="2122"/>
      <c r="W331" s="2123">
        <v>44390</v>
      </c>
      <c r="X331" s="2121" t="s">
        <v>9332</v>
      </c>
      <c r="Y331" s="2117">
        <v>44414</v>
      </c>
      <c r="Z331" s="2117">
        <v>44421</v>
      </c>
      <c r="AA331" s="2117">
        <v>46239</v>
      </c>
      <c r="AB331" s="2117">
        <v>44648</v>
      </c>
      <c r="AC331" s="2110">
        <v>2022</v>
      </c>
      <c r="AD331" s="2110">
        <v>2023</v>
      </c>
      <c r="AE331" s="2110">
        <v>2024</v>
      </c>
      <c r="AF331" s="2110">
        <v>2025</v>
      </c>
      <c r="AG331" s="2110" t="s">
        <v>9568</v>
      </c>
    </row>
    <row r="332" spans="1:33" ht="30.75" thickTop="1">
      <c r="A332" s="365">
        <v>44300</v>
      </c>
      <c r="B332" s="2293" t="s">
        <v>8834</v>
      </c>
      <c r="C332" s="2293" t="s">
        <v>2434</v>
      </c>
      <c r="D332" s="2293" t="s">
        <v>219</v>
      </c>
      <c r="E332" s="175" t="s">
        <v>8835</v>
      </c>
      <c r="F332" s="2293"/>
      <c r="G332" s="2294"/>
      <c r="H332" s="2293"/>
      <c r="I332" s="2293" t="s">
        <v>3271</v>
      </c>
      <c r="J332" s="2293"/>
      <c r="K332" s="364">
        <v>1266840</v>
      </c>
      <c r="L332" s="2293" t="s">
        <v>251</v>
      </c>
      <c r="M332" s="365">
        <v>44320</v>
      </c>
      <c r="N332" s="365">
        <v>44354</v>
      </c>
      <c r="O332" s="365">
        <v>44369</v>
      </c>
      <c r="P332" s="2294" t="s">
        <v>7136</v>
      </c>
      <c r="Q332" s="2293"/>
      <c r="R332" s="364">
        <v>1266840</v>
      </c>
      <c r="S332" s="364">
        <v>1532876.4</v>
      </c>
      <c r="T332" s="1473"/>
      <c r="U332" s="1473"/>
      <c r="V332" s="1473"/>
      <c r="W332" s="681">
        <v>44369</v>
      </c>
      <c r="X332" s="1417" t="s">
        <v>9246</v>
      </c>
      <c r="Y332" s="365">
        <v>44405</v>
      </c>
      <c r="Z332" s="365">
        <v>44413</v>
      </c>
      <c r="AA332" s="365">
        <v>45134</v>
      </c>
      <c r="AB332" s="365">
        <v>44642</v>
      </c>
      <c r="AC332" s="451">
        <v>2022</v>
      </c>
      <c r="AD332" s="388" t="s">
        <v>7244</v>
      </c>
    </row>
    <row r="333" spans="1:33" ht="30">
      <c r="A333" s="537">
        <v>44312</v>
      </c>
      <c r="B333" s="491" t="s">
        <v>8836</v>
      </c>
      <c r="C333" s="491" t="s">
        <v>2434</v>
      </c>
      <c r="D333" s="491" t="s">
        <v>219</v>
      </c>
      <c r="E333" s="571" t="s">
        <v>8837</v>
      </c>
      <c r="F333" s="491"/>
      <c r="G333" s="495"/>
      <c r="H333" s="491"/>
      <c r="I333" s="491" t="s">
        <v>642</v>
      </c>
      <c r="J333" s="491"/>
      <c r="K333" s="536">
        <v>1212000</v>
      </c>
      <c r="L333" s="491" t="s">
        <v>112</v>
      </c>
      <c r="M333" s="537">
        <v>44315</v>
      </c>
      <c r="N333" s="537">
        <v>44326</v>
      </c>
      <c r="O333" s="537">
        <v>44333</v>
      </c>
      <c r="P333" s="495" t="s">
        <v>4893</v>
      </c>
      <c r="Q333" s="491"/>
      <c r="R333" s="536">
        <v>1138800</v>
      </c>
      <c r="S333" s="536">
        <v>1309620</v>
      </c>
      <c r="T333" s="1471"/>
      <c r="U333" s="1471"/>
      <c r="V333" s="1471"/>
      <c r="W333" s="573">
        <v>44334</v>
      </c>
      <c r="X333" s="1375" t="s">
        <v>8979</v>
      </c>
      <c r="Y333" s="537">
        <v>44354</v>
      </c>
      <c r="Z333" s="537">
        <v>44355</v>
      </c>
      <c r="AA333" s="537">
        <v>45449</v>
      </c>
      <c r="AB333" s="537">
        <v>44642</v>
      </c>
      <c r="AC333" s="1374">
        <v>2022</v>
      </c>
      <c r="AD333" s="388">
        <v>2023</v>
      </c>
      <c r="AE333" s="388" t="s">
        <v>9122</v>
      </c>
    </row>
    <row r="334" spans="1:33" ht="45">
      <c r="A334" s="537">
        <v>44315</v>
      </c>
      <c r="B334" s="491" t="s">
        <v>8840</v>
      </c>
      <c r="C334" s="491" t="s">
        <v>58</v>
      </c>
      <c r="D334" s="491" t="s">
        <v>4969</v>
      </c>
      <c r="E334" s="571" t="s">
        <v>8841</v>
      </c>
      <c r="F334" s="491"/>
      <c r="G334" s="495"/>
      <c r="H334" s="491"/>
      <c r="I334" s="491" t="s">
        <v>80</v>
      </c>
      <c r="J334" s="491" t="s">
        <v>8842</v>
      </c>
      <c r="K334" s="536">
        <v>575780</v>
      </c>
      <c r="L334" s="491" t="s">
        <v>112</v>
      </c>
      <c r="M334" s="537">
        <v>44321</v>
      </c>
      <c r="N334" s="537">
        <v>44333</v>
      </c>
      <c r="O334" s="537">
        <v>44340</v>
      </c>
      <c r="P334" s="495" t="s">
        <v>8906</v>
      </c>
      <c r="Q334" s="491"/>
      <c r="R334" s="536">
        <v>493160</v>
      </c>
      <c r="S334" s="536">
        <v>578958.19999999995</v>
      </c>
      <c r="T334" s="1471"/>
      <c r="U334" s="1471"/>
      <c r="V334" s="1471"/>
      <c r="W334" s="573">
        <v>44340</v>
      </c>
      <c r="X334" s="1375" t="s">
        <v>9015</v>
      </c>
      <c r="Y334" s="537">
        <v>44358</v>
      </c>
      <c r="Z334" s="537">
        <v>44362</v>
      </c>
      <c r="AA334" s="537">
        <v>44372</v>
      </c>
      <c r="AB334" s="537">
        <v>44431</v>
      </c>
      <c r="AC334" s="1374" t="s">
        <v>6118</v>
      </c>
    </row>
    <row r="335" spans="1:33" ht="15.75" thickBot="1">
      <c r="A335" s="416">
        <v>44319</v>
      </c>
      <c r="B335" s="411" t="s">
        <v>8849</v>
      </c>
      <c r="C335" s="411" t="s">
        <v>52</v>
      </c>
      <c r="D335" s="411" t="s">
        <v>7503</v>
      </c>
      <c r="E335" s="412" t="s">
        <v>8850</v>
      </c>
      <c r="F335" s="411"/>
      <c r="G335" s="630"/>
      <c r="H335" s="411"/>
      <c r="I335" s="411" t="s">
        <v>8851</v>
      </c>
      <c r="J335" s="411"/>
      <c r="K335" s="417">
        <v>600000</v>
      </c>
      <c r="L335" s="411" t="s">
        <v>112</v>
      </c>
      <c r="M335" s="416">
        <v>44320</v>
      </c>
      <c r="N335" s="416">
        <v>44330</v>
      </c>
      <c r="O335" s="416">
        <v>44375</v>
      </c>
      <c r="P335" s="630" t="s">
        <v>9275</v>
      </c>
      <c r="Q335" s="411"/>
      <c r="R335" s="417">
        <v>587344.43000000005</v>
      </c>
      <c r="S335" s="417">
        <v>710686.76</v>
      </c>
      <c r="T335" s="1480"/>
      <c r="U335" s="1480"/>
      <c r="V335" s="1480"/>
      <c r="W335" s="513">
        <v>44375</v>
      </c>
      <c r="X335" s="417" t="s">
        <v>9279</v>
      </c>
      <c r="Y335" s="416">
        <v>44391</v>
      </c>
      <c r="Z335" s="416">
        <v>44393</v>
      </c>
      <c r="AA335" s="416">
        <v>44451</v>
      </c>
      <c r="AB335" s="416">
        <v>44519</v>
      </c>
      <c r="AC335" s="967"/>
    </row>
    <row r="336" spans="1:33" ht="30.75" thickTop="1">
      <c r="A336" s="474">
        <v>44319</v>
      </c>
      <c r="B336" s="453" t="s">
        <v>8852</v>
      </c>
      <c r="C336" s="453" t="s">
        <v>2434</v>
      </c>
      <c r="D336" s="453" t="s">
        <v>3204</v>
      </c>
      <c r="E336" s="473" t="s">
        <v>7581</v>
      </c>
      <c r="F336" s="453">
        <v>1</v>
      </c>
      <c r="G336" s="1420" t="s">
        <v>8853</v>
      </c>
      <c r="H336" s="453"/>
      <c r="I336" s="453" t="s">
        <v>642</v>
      </c>
      <c r="J336" s="453"/>
      <c r="K336" s="457">
        <v>496000</v>
      </c>
      <c r="L336" s="453" t="s">
        <v>216</v>
      </c>
      <c r="M336" s="474">
        <v>44322</v>
      </c>
      <c r="N336" s="474">
        <v>44355</v>
      </c>
      <c r="O336" s="474">
        <v>44390</v>
      </c>
      <c r="P336" s="1420" t="s">
        <v>5890</v>
      </c>
      <c r="Q336" s="453"/>
      <c r="R336" s="457">
        <v>496000</v>
      </c>
      <c r="S336" s="457">
        <v>600160</v>
      </c>
      <c r="T336" s="1474"/>
      <c r="U336" s="1474"/>
      <c r="V336" s="1474"/>
      <c r="W336" s="570">
        <v>44390</v>
      </c>
      <c r="X336" s="1387" t="s">
        <v>9333</v>
      </c>
      <c r="Y336" s="474">
        <v>44417</v>
      </c>
      <c r="Z336" s="474">
        <v>44440</v>
      </c>
      <c r="AA336" s="474">
        <v>45146</v>
      </c>
      <c r="AB336" s="474">
        <v>44642</v>
      </c>
      <c r="AC336" s="1391">
        <v>2022</v>
      </c>
      <c r="AD336" s="388" t="s">
        <v>9553</v>
      </c>
    </row>
    <row r="337" spans="1:31" ht="30">
      <c r="A337" s="2140">
        <v>44319</v>
      </c>
      <c r="B337" s="2141" t="s">
        <v>8852</v>
      </c>
      <c r="C337" s="2141" t="s">
        <v>2434</v>
      </c>
      <c r="D337" s="2141" t="s">
        <v>3204</v>
      </c>
      <c r="E337" s="2142" t="s">
        <v>7581</v>
      </c>
      <c r="F337" s="2141">
        <v>2</v>
      </c>
      <c r="G337" s="2143" t="s">
        <v>8854</v>
      </c>
      <c r="H337" s="2141"/>
      <c r="I337" s="2141" t="s">
        <v>642</v>
      </c>
      <c r="J337" s="2141"/>
      <c r="K337" s="2144">
        <v>2797500</v>
      </c>
      <c r="L337" s="2141" t="s">
        <v>216</v>
      </c>
      <c r="M337" s="2140">
        <v>44322</v>
      </c>
      <c r="N337" s="2140">
        <v>44355</v>
      </c>
      <c r="O337" s="2140">
        <v>44411</v>
      </c>
      <c r="P337" s="2143" t="s">
        <v>8526</v>
      </c>
      <c r="Q337" s="2141"/>
      <c r="R337" s="2144">
        <v>2085000</v>
      </c>
      <c r="S337" s="2144">
        <v>2522850</v>
      </c>
      <c r="T337" s="2145"/>
      <c r="U337" s="2145"/>
      <c r="V337" s="2145"/>
      <c r="W337" s="2146">
        <v>44411</v>
      </c>
      <c r="X337" s="2260" t="s">
        <v>9554</v>
      </c>
      <c r="Y337" s="2140">
        <v>44438</v>
      </c>
      <c r="Z337" s="2140">
        <v>44440</v>
      </c>
      <c r="AA337" s="2140">
        <v>45167</v>
      </c>
      <c r="AB337" s="2140">
        <v>44642</v>
      </c>
      <c r="AC337" s="2109">
        <v>2022</v>
      </c>
      <c r="AD337" s="388" t="s">
        <v>9738</v>
      </c>
    </row>
    <row r="338" spans="1:31" ht="30.75" thickBot="1">
      <c r="A338" s="2117">
        <v>44319</v>
      </c>
      <c r="B338" s="2118" t="s">
        <v>8852</v>
      </c>
      <c r="C338" s="2118" t="s">
        <v>2434</v>
      </c>
      <c r="D338" s="2118" t="s">
        <v>3204</v>
      </c>
      <c r="E338" s="2119" t="s">
        <v>7581</v>
      </c>
      <c r="F338" s="2118">
        <v>3</v>
      </c>
      <c r="G338" s="2120" t="s">
        <v>8855</v>
      </c>
      <c r="H338" s="2118"/>
      <c r="I338" s="2118" t="s">
        <v>642</v>
      </c>
      <c r="J338" s="2118"/>
      <c r="K338" s="2121">
        <v>220000</v>
      </c>
      <c r="L338" s="2118" t="s">
        <v>216</v>
      </c>
      <c r="M338" s="2117">
        <v>44322</v>
      </c>
      <c r="N338" s="2117">
        <v>44355</v>
      </c>
      <c r="O338" s="2117">
        <v>44390</v>
      </c>
      <c r="P338" s="2120" t="s">
        <v>5890</v>
      </c>
      <c r="Q338" s="2118"/>
      <c r="R338" s="2121">
        <v>220000</v>
      </c>
      <c r="S338" s="2121">
        <v>266200</v>
      </c>
      <c r="T338" s="2122"/>
      <c r="U338" s="2122"/>
      <c r="V338" s="2122"/>
      <c r="W338" s="2123">
        <v>44390</v>
      </c>
      <c r="X338" s="2246" t="s">
        <v>9334</v>
      </c>
      <c r="Y338" s="2117">
        <v>44417</v>
      </c>
      <c r="Z338" s="2117">
        <v>44440</v>
      </c>
      <c r="AA338" s="2117">
        <v>45146</v>
      </c>
      <c r="AB338" s="2117">
        <v>44642</v>
      </c>
      <c r="AC338" s="2110">
        <v>2022</v>
      </c>
      <c r="AD338" s="388" t="s">
        <v>9553</v>
      </c>
    </row>
    <row r="339" spans="1:31" ht="30.75" thickTop="1">
      <c r="A339" s="365">
        <v>44313</v>
      </c>
      <c r="B339" s="2282" t="s">
        <v>8857</v>
      </c>
      <c r="C339" s="2282" t="s">
        <v>2434</v>
      </c>
      <c r="D339" s="2282" t="s">
        <v>219</v>
      </c>
      <c r="E339" s="175" t="s">
        <v>4212</v>
      </c>
      <c r="F339" s="2282"/>
      <c r="G339" s="2283"/>
      <c r="H339" s="2282"/>
      <c r="I339" s="2282" t="s">
        <v>642</v>
      </c>
      <c r="J339" s="2282"/>
      <c r="K339" s="364">
        <v>534100</v>
      </c>
      <c r="L339" s="2282" t="s">
        <v>112</v>
      </c>
      <c r="M339" s="365">
        <v>44322</v>
      </c>
      <c r="N339" s="365">
        <v>44330</v>
      </c>
      <c r="O339" s="365">
        <v>44333</v>
      </c>
      <c r="P339" s="2283" t="s">
        <v>2776</v>
      </c>
      <c r="Q339" s="2282"/>
      <c r="R339" s="364">
        <v>534099.12</v>
      </c>
      <c r="S339" s="364">
        <v>614214</v>
      </c>
      <c r="T339" s="1473"/>
      <c r="U339" s="1473"/>
      <c r="V339" s="1473"/>
      <c r="W339" s="681">
        <v>44334</v>
      </c>
      <c r="X339" s="1417" t="s">
        <v>8976</v>
      </c>
      <c r="Y339" s="365">
        <v>44354</v>
      </c>
      <c r="Z339" s="365">
        <v>44357</v>
      </c>
      <c r="AA339" s="365">
        <v>45502</v>
      </c>
      <c r="AB339" s="365">
        <v>44642</v>
      </c>
      <c r="AC339" s="451">
        <v>2022</v>
      </c>
      <c r="AD339" s="388">
        <v>2023</v>
      </c>
      <c r="AE339" s="388" t="s">
        <v>9135</v>
      </c>
    </row>
    <row r="340" spans="1:31">
      <c r="A340" s="510">
        <v>44319</v>
      </c>
      <c r="B340" s="506" t="s">
        <v>8861</v>
      </c>
      <c r="C340" s="506" t="s">
        <v>58</v>
      </c>
      <c r="D340" s="506" t="s">
        <v>4969</v>
      </c>
      <c r="E340" s="507" t="s">
        <v>8862</v>
      </c>
      <c r="F340" s="506"/>
      <c r="G340" s="548"/>
      <c r="H340" s="590"/>
      <c r="I340" s="506" t="s">
        <v>480</v>
      </c>
      <c r="J340" s="506" t="s">
        <v>4258</v>
      </c>
      <c r="K340" s="511">
        <v>178000</v>
      </c>
      <c r="L340" s="506" t="s">
        <v>112</v>
      </c>
      <c r="M340" s="510">
        <v>44322</v>
      </c>
      <c r="N340" s="510">
        <v>44330</v>
      </c>
      <c r="O340" s="506"/>
      <c r="P340" s="736" t="s">
        <v>8945</v>
      </c>
      <c r="Q340" s="1978" t="s">
        <v>9379</v>
      </c>
      <c r="R340" s="511"/>
      <c r="S340" s="511"/>
      <c r="T340" s="1484"/>
      <c r="U340" s="1484"/>
      <c r="V340" s="1484"/>
      <c r="W340" s="511"/>
      <c r="X340" s="511"/>
      <c r="Y340" s="506"/>
      <c r="Z340" s="510">
        <v>44334</v>
      </c>
      <c r="AA340" s="506"/>
      <c r="AB340" s="506"/>
      <c r="AC340" s="506"/>
    </row>
    <row r="341" spans="1:31" ht="45">
      <c r="A341" s="537">
        <v>44320</v>
      </c>
      <c r="B341" s="491" t="s">
        <v>8863</v>
      </c>
      <c r="C341" s="491" t="s">
        <v>58</v>
      </c>
      <c r="D341" s="491" t="s">
        <v>4969</v>
      </c>
      <c r="E341" s="571" t="s">
        <v>8864</v>
      </c>
      <c r="F341" s="491"/>
      <c r="G341" s="495"/>
      <c r="H341" s="491"/>
      <c r="I341" s="491" t="s">
        <v>8865</v>
      </c>
      <c r="J341" s="491" t="s">
        <v>8866</v>
      </c>
      <c r="K341" s="536">
        <v>161600</v>
      </c>
      <c r="L341" s="491" t="s">
        <v>112</v>
      </c>
      <c r="M341" s="537">
        <v>44326</v>
      </c>
      <c r="N341" s="537">
        <v>44336</v>
      </c>
      <c r="O341" s="537">
        <v>44340</v>
      </c>
      <c r="P341" s="495" t="s">
        <v>6217</v>
      </c>
      <c r="Q341" s="491"/>
      <c r="R341" s="536">
        <v>149155</v>
      </c>
      <c r="S341" s="536">
        <v>180477.55</v>
      </c>
      <c r="T341" s="1471"/>
      <c r="U341" s="1471"/>
      <c r="V341" s="1471"/>
      <c r="W341" s="573">
        <v>44340</v>
      </c>
      <c r="X341" s="1375" t="s">
        <v>9014</v>
      </c>
      <c r="Y341" s="537">
        <v>44357</v>
      </c>
      <c r="Z341" s="537">
        <v>44362</v>
      </c>
      <c r="AA341" s="537">
        <v>44413</v>
      </c>
      <c r="AB341" s="537">
        <v>44424</v>
      </c>
      <c r="AC341" s="1374" t="s">
        <v>6118</v>
      </c>
    </row>
    <row r="342" spans="1:31" ht="15.75" thickBot="1">
      <c r="A342" s="416">
        <v>44321</v>
      </c>
      <c r="B342" s="355" t="s">
        <v>8873</v>
      </c>
      <c r="C342" s="411" t="s">
        <v>69</v>
      </c>
      <c r="D342" s="411" t="s">
        <v>70</v>
      </c>
      <c r="E342" s="1563" t="s">
        <v>8872</v>
      </c>
      <c r="F342" s="411">
        <v>1</v>
      </c>
      <c r="G342" s="630" t="s">
        <v>8874</v>
      </c>
      <c r="H342" s="411"/>
      <c r="I342" s="411" t="s">
        <v>8875</v>
      </c>
      <c r="J342" s="411"/>
      <c r="K342" s="417">
        <v>13901319</v>
      </c>
      <c r="L342" s="411" t="s">
        <v>251</v>
      </c>
      <c r="M342" s="416">
        <v>44323</v>
      </c>
      <c r="N342" s="416">
        <v>44364</v>
      </c>
      <c r="O342" s="416">
        <v>44376</v>
      </c>
      <c r="P342" s="630" t="s">
        <v>7042</v>
      </c>
      <c r="Q342" s="411"/>
      <c r="R342" s="417">
        <v>13901318.130000001</v>
      </c>
      <c r="S342" s="417">
        <v>15291449.939999999</v>
      </c>
      <c r="T342" s="1480"/>
      <c r="U342" s="1480"/>
      <c r="V342" s="1480"/>
      <c r="W342" s="513">
        <v>44376</v>
      </c>
      <c r="X342" s="417" t="s">
        <v>9282</v>
      </c>
      <c r="Y342" s="416">
        <v>44398</v>
      </c>
      <c r="Z342" s="416">
        <v>44400</v>
      </c>
      <c r="AA342" s="416">
        <v>45493</v>
      </c>
      <c r="AB342" s="416">
        <v>44648</v>
      </c>
      <c r="AC342" s="422">
        <v>2022</v>
      </c>
      <c r="AD342" s="388">
        <v>2023</v>
      </c>
      <c r="AE342" s="388" t="s">
        <v>9452</v>
      </c>
    </row>
    <row r="343" spans="1:31" ht="15.75" thickTop="1">
      <c r="A343" s="474">
        <v>44321</v>
      </c>
      <c r="B343" s="453" t="s">
        <v>8876</v>
      </c>
      <c r="C343" s="453" t="s">
        <v>69</v>
      </c>
      <c r="D343" s="453" t="s">
        <v>70</v>
      </c>
      <c r="E343" s="473" t="s">
        <v>8883</v>
      </c>
      <c r="F343" s="453">
        <v>1</v>
      </c>
      <c r="G343" s="1420" t="s">
        <v>8877</v>
      </c>
      <c r="H343" s="453"/>
      <c r="I343" s="453" t="s">
        <v>3436</v>
      </c>
      <c r="J343" s="453"/>
      <c r="K343" s="457">
        <v>1288350</v>
      </c>
      <c r="L343" s="453" t="s">
        <v>251</v>
      </c>
      <c r="M343" s="474">
        <v>44323</v>
      </c>
      <c r="N343" s="474">
        <v>44358</v>
      </c>
      <c r="O343" s="474">
        <v>44372</v>
      </c>
      <c r="P343" s="1420" t="s">
        <v>576</v>
      </c>
      <c r="Q343" s="453"/>
      <c r="R343" s="457">
        <v>1275394.05</v>
      </c>
      <c r="S343" s="457">
        <v>1402933.46</v>
      </c>
      <c r="T343" s="1474"/>
      <c r="U343" s="1474"/>
      <c r="V343" s="1474"/>
      <c r="W343" s="570">
        <v>44372</v>
      </c>
      <c r="X343" s="457" t="s">
        <v>9270</v>
      </c>
      <c r="Y343" s="474">
        <v>44398</v>
      </c>
      <c r="Z343" s="474">
        <v>44400</v>
      </c>
      <c r="AA343" s="474">
        <v>45493</v>
      </c>
      <c r="AB343" s="474">
        <v>44648</v>
      </c>
      <c r="AC343" s="1391">
        <v>2022</v>
      </c>
      <c r="AD343" s="1391">
        <v>2023</v>
      </c>
      <c r="AE343" s="1391" t="s">
        <v>9452</v>
      </c>
    </row>
    <row r="344" spans="1:31">
      <c r="A344" s="2140">
        <v>44321</v>
      </c>
      <c r="B344" s="2141" t="s">
        <v>8876</v>
      </c>
      <c r="C344" s="2141" t="s">
        <v>69</v>
      </c>
      <c r="D344" s="2141" t="s">
        <v>70</v>
      </c>
      <c r="E344" s="2142" t="s">
        <v>8883</v>
      </c>
      <c r="F344" s="2141">
        <v>2</v>
      </c>
      <c r="G344" s="2143" t="s">
        <v>8878</v>
      </c>
      <c r="H344" s="2141"/>
      <c r="I344" s="2141" t="s">
        <v>3436</v>
      </c>
      <c r="J344" s="2141"/>
      <c r="K344" s="2144">
        <v>2552160</v>
      </c>
      <c r="L344" s="2141" t="s">
        <v>251</v>
      </c>
      <c r="M344" s="2140">
        <v>44323</v>
      </c>
      <c r="N344" s="2140">
        <v>44358</v>
      </c>
      <c r="O344" s="2140">
        <v>44372</v>
      </c>
      <c r="P344" s="2143" t="s">
        <v>576</v>
      </c>
      <c r="Q344" s="2141"/>
      <c r="R344" s="2144">
        <v>2526395.04</v>
      </c>
      <c r="S344" s="2144">
        <v>2779034.54</v>
      </c>
      <c r="T344" s="2145"/>
      <c r="U344" s="2145"/>
      <c r="V344" s="2145"/>
      <c r="W344" s="2146">
        <v>44372</v>
      </c>
      <c r="X344" s="2144" t="s">
        <v>9271</v>
      </c>
      <c r="Y344" s="2140">
        <v>44398</v>
      </c>
      <c r="Z344" s="2140">
        <v>44400</v>
      </c>
      <c r="AA344" s="2140">
        <v>45493</v>
      </c>
      <c r="AB344" s="2140">
        <v>44648</v>
      </c>
      <c r="AC344" s="2109">
        <v>2022</v>
      </c>
      <c r="AD344" s="2109">
        <v>2023</v>
      </c>
      <c r="AE344" s="2109" t="s">
        <v>9452</v>
      </c>
    </row>
    <row r="345" spans="1:31" ht="15.75" thickBot="1">
      <c r="A345" s="2117">
        <v>44321</v>
      </c>
      <c r="B345" s="2118" t="s">
        <v>8876</v>
      </c>
      <c r="C345" s="2118" t="s">
        <v>69</v>
      </c>
      <c r="D345" s="2118" t="s">
        <v>70</v>
      </c>
      <c r="E345" s="2119" t="s">
        <v>8883</v>
      </c>
      <c r="F345" s="2118">
        <v>3</v>
      </c>
      <c r="G345" s="2120" t="s">
        <v>8879</v>
      </c>
      <c r="H345" s="2118"/>
      <c r="I345" s="2118" t="s">
        <v>3436</v>
      </c>
      <c r="J345" s="2118"/>
      <c r="K345" s="2121">
        <v>245400</v>
      </c>
      <c r="L345" s="2118" t="s">
        <v>251</v>
      </c>
      <c r="M345" s="2117">
        <v>44323</v>
      </c>
      <c r="N345" s="2117">
        <v>44358</v>
      </c>
      <c r="O345" s="2117">
        <v>44372</v>
      </c>
      <c r="P345" s="2120" t="s">
        <v>576</v>
      </c>
      <c r="Q345" s="2118"/>
      <c r="R345" s="2121">
        <v>242922.6</v>
      </c>
      <c r="S345" s="2121">
        <v>267214.86</v>
      </c>
      <c r="T345" s="2122"/>
      <c r="U345" s="2122"/>
      <c r="V345" s="2122"/>
      <c r="W345" s="2123">
        <v>44372</v>
      </c>
      <c r="X345" s="2121" t="s">
        <v>9272</v>
      </c>
      <c r="Y345" s="2117">
        <v>44398</v>
      </c>
      <c r="Z345" s="2117">
        <v>44400</v>
      </c>
      <c r="AA345" s="2117">
        <v>45493</v>
      </c>
      <c r="AB345" s="2117" t="s">
        <v>11373</v>
      </c>
      <c r="AC345" s="2110">
        <v>2022</v>
      </c>
      <c r="AD345" s="2110">
        <v>2023</v>
      </c>
      <c r="AE345" s="2110" t="s">
        <v>9452</v>
      </c>
    </row>
    <row r="346" spans="1:31" ht="15.75" thickTop="1">
      <c r="A346" s="365">
        <v>44321</v>
      </c>
      <c r="B346" s="2285" t="s">
        <v>8880</v>
      </c>
      <c r="C346" s="2285" t="s">
        <v>69</v>
      </c>
      <c r="D346" s="2285" t="s">
        <v>70</v>
      </c>
      <c r="E346" s="175" t="s">
        <v>8881</v>
      </c>
      <c r="F346" s="2285">
        <v>1</v>
      </c>
      <c r="G346" s="2286" t="s">
        <v>8882</v>
      </c>
      <c r="H346" s="2285"/>
      <c r="I346" s="2285" t="s">
        <v>4189</v>
      </c>
      <c r="J346" s="2285"/>
      <c r="K346" s="364">
        <v>9855928</v>
      </c>
      <c r="L346" s="2285" t="s">
        <v>251</v>
      </c>
      <c r="M346" s="474">
        <v>44323</v>
      </c>
      <c r="N346" s="474">
        <v>44358</v>
      </c>
      <c r="O346" s="365">
        <v>44376</v>
      </c>
      <c r="P346" s="2286" t="s">
        <v>2548</v>
      </c>
      <c r="Q346" s="2285"/>
      <c r="R346" s="364">
        <v>9624128.0399999991</v>
      </c>
      <c r="S346" s="364">
        <v>10586540.84</v>
      </c>
      <c r="T346" s="1473"/>
      <c r="U346" s="1473"/>
      <c r="V346" s="1473"/>
      <c r="W346" s="681">
        <v>44376</v>
      </c>
      <c r="X346" s="364" t="s">
        <v>9281</v>
      </c>
      <c r="Y346" s="365">
        <v>44398</v>
      </c>
      <c r="Z346" s="365">
        <v>44400</v>
      </c>
      <c r="AA346" s="365">
        <v>45493</v>
      </c>
      <c r="AB346" s="365">
        <v>44648</v>
      </c>
      <c r="AC346" s="451">
        <v>2022</v>
      </c>
      <c r="AD346" s="388">
        <v>2023</v>
      </c>
      <c r="AE346" s="388" t="s">
        <v>9452</v>
      </c>
    </row>
    <row r="347" spans="1:31">
      <c r="A347" s="537">
        <v>44320</v>
      </c>
      <c r="B347" s="491" t="s">
        <v>8889</v>
      </c>
      <c r="C347" s="491" t="s">
        <v>6561</v>
      </c>
      <c r="D347" s="491" t="s">
        <v>4864</v>
      </c>
      <c r="E347" s="571" t="s">
        <v>8890</v>
      </c>
      <c r="F347" s="491"/>
      <c r="G347" s="495"/>
      <c r="H347" s="491"/>
      <c r="I347" s="491" t="s">
        <v>8892</v>
      </c>
      <c r="J347" s="491" t="s">
        <v>8891</v>
      </c>
      <c r="K347" s="536">
        <v>600000</v>
      </c>
      <c r="L347" s="491" t="s">
        <v>112</v>
      </c>
      <c r="M347" s="537">
        <v>44365</v>
      </c>
      <c r="N347" s="537">
        <v>44379</v>
      </c>
      <c r="O347" s="537">
        <v>44396</v>
      </c>
      <c r="P347" s="495" t="s">
        <v>9372</v>
      </c>
      <c r="Q347" s="491"/>
      <c r="R347" s="536">
        <v>825620</v>
      </c>
      <c r="S347" s="536">
        <v>999000</v>
      </c>
      <c r="T347" s="1471"/>
      <c r="U347" s="1471"/>
      <c r="V347" s="1471"/>
      <c r="W347" s="573">
        <v>44397</v>
      </c>
      <c r="X347" s="536" t="s">
        <v>9406</v>
      </c>
      <c r="Y347" s="537">
        <v>44462</v>
      </c>
      <c r="Z347" s="537">
        <v>44473</v>
      </c>
      <c r="AA347" s="537">
        <v>44476</v>
      </c>
      <c r="AB347" s="537">
        <v>44543</v>
      </c>
      <c r="AC347" s="1102"/>
    </row>
    <row r="348" spans="1:31" ht="15.75" thickBot="1">
      <c r="A348" s="643">
        <v>44323</v>
      </c>
      <c r="B348" s="639" t="s">
        <v>8907</v>
      </c>
      <c r="C348" s="639" t="s">
        <v>2434</v>
      </c>
      <c r="D348" s="639" t="s">
        <v>219</v>
      </c>
      <c r="E348" s="640" t="s">
        <v>2648</v>
      </c>
      <c r="F348" s="639"/>
      <c r="G348" s="1533"/>
      <c r="H348" s="639"/>
      <c r="I348" s="639" t="s">
        <v>8908</v>
      </c>
      <c r="J348" s="639"/>
      <c r="K348" s="645">
        <v>1573900</v>
      </c>
      <c r="L348" s="639" t="s">
        <v>112</v>
      </c>
      <c r="M348" s="643">
        <v>44329</v>
      </c>
      <c r="N348" s="643">
        <v>44342</v>
      </c>
      <c r="O348" s="639"/>
      <c r="P348" s="644" t="s">
        <v>8431</v>
      </c>
      <c r="Q348" s="2277" t="s">
        <v>9066</v>
      </c>
      <c r="R348" s="645"/>
      <c r="S348" s="645"/>
      <c r="T348" s="1534"/>
      <c r="U348" s="1534"/>
      <c r="V348" s="1534"/>
      <c r="W348" s="645"/>
      <c r="X348" s="645"/>
      <c r="Y348" s="639"/>
      <c r="Z348" s="643">
        <v>44344</v>
      </c>
      <c r="AA348" s="639"/>
      <c r="AB348" s="639"/>
      <c r="AC348" s="639"/>
    </row>
    <row r="349" spans="1:31" ht="30.75" thickTop="1">
      <c r="A349" s="474">
        <v>44322</v>
      </c>
      <c r="B349" s="453" t="s">
        <v>8914</v>
      </c>
      <c r="C349" s="453" t="s">
        <v>58</v>
      </c>
      <c r="D349" s="453" t="s">
        <v>2684</v>
      </c>
      <c r="E349" s="473" t="s">
        <v>7867</v>
      </c>
      <c r="F349" s="453">
        <v>1</v>
      </c>
      <c r="G349" s="1420" t="s">
        <v>8011</v>
      </c>
      <c r="H349" s="453"/>
      <c r="I349" s="453" t="s">
        <v>7868</v>
      </c>
      <c r="J349" s="453" t="s">
        <v>4256</v>
      </c>
      <c r="K349" s="457">
        <v>124000</v>
      </c>
      <c r="L349" s="453" t="s">
        <v>112</v>
      </c>
      <c r="M349" s="474">
        <v>44328</v>
      </c>
      <c r="N349" s="474">
        <v>44341</v>
      </c>
      <c r="O349" s="474">
        <v>44365</v>
      </c>
      <c r="P349" s="1420" t="s">
        <v>9190</v>
      </c>
      <c r="Q349" s="453"/>
      <c r="R349" s="457">
        <v>64000</v>
      </c>
      <c r="S349" s="457">
        <v>77440</v>
      </c>
      <c r="T349" s="1474"/>
      <c r="U349" s="1474"/>
      <c r="V349" s="1474"/>
      <c r="W349" s="570">
        <v>44365</v>
      </c>
      <c r="X349" s="1387" t="s">
        <v>9228</v>
      </c>
      <c r="Y349" s="474">
        <v>44385</v>
      </c>
      <c r="Z349" s="474">
        <v>44392</v>
      </c>
      <c r="AA349" s="474">
        <v>44420</v>
      </c>
      <c r="AB349" s="474">
        <v>44648</v>
      </c>
      <c r="AC349" s="1391" t="s">
        <v>1875</v>
      </c>
    </row>
    <row r="350" spans="1:31" ht="30">
      <c r="A350" s="2140">
        <v>44322</v>
      </c>
      <c r="B350" s="2141" t="s">
        <v>8914</v>
      </c>
      <c r="C350" s="2141" t="s">
        <v>58</v>
      </c>
      <c r="D350" s="2141" t="s">
        <v>2684</v>
      </c>
      <c r="E350" s="2142" t="s">
        <v>7867</v>
      </c>
      <c r="F350" s="2141">
        <v>2</v>
      </c>
      <c r="G350" s="2143" t="s">
        <v>8012</v>
      </c>
      <c r="H350" s="2141"/>
      <c r="I350" s="2141" t="s">
        <v>7868</v>
      </c>
      <c r="J350" s="2141" t="s">
        <v>4255</v>
      </c>
      <c r="K350" s="2144">
        <v>132000</v>
      </c>
      <c r="L350" s="2141" t="s">
        <v>112</v>
      </c>
      <c r="M350" s="2140">
        <v>44328</v>
      </c>
      <c r="N350" s="2140">
        <v>44341</v>
      </c>
      <c r="O350" s="2140">
        <v>44365</v>
      </c>
      <c r="P350" s="2143" t="s">
        <v>9191</v>
      </c>
      <c r="Q350" s="2141"/>
      <c r="R350" s="2144">
        <v>121800</v>
      </c>
      <c r="S350" s="2144">
        <v>147378</v>
      </c>
      <c r="T350" s="2145"/>
      <c r="U350" s="2145"/>
      <c r="V350" s="2145"/>
      <c r="W350" s="2146">
        <v>44365</v>
      </c>
      <c r="X350" s="2260" t="s">
        <v>9229</v>
      </c>
      <c r="Y350" s="2140">
        <v>44385</v>
      </c>
      <c r="Z350" s="2140">
        <v>44392</v>
      </c>
      <c r="AA350" s="2140">
        <v>44420</v>
      </c>
      <c r="AB350" s="2140">
        <v>44519</v>
      </c>
      <c r="AC350" s="2109" t="s">
        <v>1875</v>
      </c>
    </row>
    <row r="351" spans="1:31">
      <c r="A351" s="2124">
        <v>44322</v>
      </c>
      <c r="B351" s="2125" t="s">
        <v>8914</v>
      </c>
      <c r="C351" s="2125" t="s">
        <v>58</v>
      </c>
      <c r="D351" s="2125" t="s">
        <v>2684</v>
      </c>
      <c r="E351" s="2126" t="s">
        <v>7867</v>
      </c>
      <c r="F351" s="2125">
        <v>3</v>
      </c>
      <c r="G351" s="2127" t="s">
        <v>8013</v>
      </c>
      <c r="H351" s="2125"/>
      <c r="I351" s="2125" t="s">
        <v>7868</v>
      </c>
      <c r="J351" s="2125" t="s">
        <v>4254</v>
      </c>
      <c r="K351" s="2128">
        <v>157000</v>
      </c>
      <c r="L351" s="2125" t="s">
        <v>112</v>
      </c>
      <c r="M351" s="2124">
        <v>44328</v>
      </c>
      <c r="N351" s="2124">
        <v>44341</v>
      </c>
      <c r="O351" s="2125"/>
      <c r="P351" s="2136" t="s">
        <v>8431</v>
      </c>
      <c r="Q351" s="2125"/>
      <c r="R351" s="2128"/>
      <c r="S351" s="2128"/>
      <c r="T351" s="2129"/>
      <c r="U351" s="2129"/>
      <c r="V351" s="2129"/>
      <c r="W351" s="2128"/>
      <c r="X351" s="2128"/>
      <c r="Y351" s="2125"/>
      <c r="Z351" s="2124">
        <v>44349</v>
      </c>
      <c r="AA351" s="2125"/>
      <c r="AB351" s="2125"/>
      <c r="AC351" s="2125"/>
    </row>
    <row r="352" spans="1:31" ht="30">
      <c r="A352" s="2140">
        <v>44322</v>
      </c>
      <c r="B352" s="2141" t="s">
        <v>8914</v>
      </c>
      <c r="C352" s="2141" t="s">
        <v>58</v>
      </c>
      <c r="D352" s="2141" t="s">
        <v>2684</v>
      </c>
      <c r="E352" s="2142" t="s">
        <v>7867</v>
      </c>
      <c r="F352" s="2141">
        <v>4</v>
      </c>
      <c r="G352" s="2143" t="s">
        <v>8014</v>
      </c>
      <c r="H352" s="2141"/>
      <c r="I352" s="2141" t="s">
        <v>7868</v>
      </c>
      <c r="J352" s="2141" t="s">
        <v>8017</v>
      </c>
      <c r="K352" s="2144">
        <v>82000</v>
      </c>
      <c r="L352" s="2141" t="s">
        <v>112</v>
      </c>
      <c r="M352" s="2140">
        <v>44328</v>
      </c>
      <c r="N352" s="2140">
        <v>44341</v>
      </c>
      <c r="O352" s="2140">
        <v>44365</v>
      </c>
      <c r="P352" s="2143" t="s">
        <v>9191</v>
      </c>
      <c r="Q352" s="2141"/>
      <c r="R352" s="2144">
        <v>72800</v>
      </c>
      <c r="S352" s="2144">
        <v>88088</v>
      </c>
      <c r="T352" s="2145"/>
      <c r="U352" s="2145"/>
      <c r="V352" s="2145"/>
      <c r="W352" s="2146">
        <v>44365</v>
      </c>
      <c r="X352" s="2260" t="s">
        <v>9230</v>
      </c>
      <c r="Y352" s="2140">
        <v>44385</v>
      </c>
      <c r="Z352" s="2140">
        <v>44392</v>
      </c>
      <c r="AA352" s="2140">
        <v>44441</v>
      </c>
      <c r="AB352" s="2140">
        <v>44519</v>
      </c>
      <c r="AC352" s="2109" t="s">
        <v>1875</v>
      </c>
    </row>
    <row r="353" spans="1:31" ht="30.75" thickBot="1">
      <c r="A353" s="2117">
        <v>44322</v>
      </c>
      <c r="B353" s="2118" t="s">
        <v>8914</v>
      </c>
      <c r="C353" s="2118" t="s">
        <v>58</v>
      </c>
      <c r="D353" s="2118" t="s">
        <v>2684</v>
      </c>
      <c r="E353" s="2119" t="s">
        <v>7867</v>
      </c>
      <c r="F353" s="2118">
        <v>5</v>
      </c>
      <c r="G353" s="2120" t="s">
        <v>8937</v>
      </c>
      <c r="H353" s="2118"/>
      <c r="I353" s="2118" t="s">
        <v>7868</v>
      </c>
      <c r="J353" s="2118" t="s">
        <v>8938</v>
      </c>
      <c r="K353" s="2121">
        <v>150000</v>
      </c>
      <c r="L353" s="2118" t="s">
        <v>112</v>
      </c>
      <c r="M353" s="2117">
        <v>44328</v>
      </c>
      <c r="N353" s="2117">
        <v>44341</v>
      </c>
      <c r="O353" s="2117">
        <v>44365</v>
      </c>
      <c r="P353" s="2120" t="s">
        <v>9191</v>
      </c>
      <c r="Q353" s="2118"/>
      <c r="R353" s="2121">
        <v>127500</v>
      </c>
      <c r="S353" s="2121">
        <v>154275</v>
      </c>
      <c r="T353" s="2122"/>
      <c r="U353" s="2122"/>
      <c r="V353" s="2122"/>
      <c r="W353" s="2123">
        <v>44365</v>
      </c>
      <c r="X353" s="2246" t="s">
        <v>9231</v>
      </c>
      <c r="Y353" s="2117">
        <v>44385</v>
      </c>
      <c r="Z353" s="2117">
        <v>44392</v>
      </c>
      <c r="AA353" s="2117">
        <v>44420</v>
      </c>
      <c r="AB353" s="2117">
        <v>44519</v>
      </c>
      <c r="AC353" s="2110" t="s">
        <v>1875</v>
      </c>
    </row>
    <row r="354" spans="1:31" ht="30.75" thickTop="1">
      <c r="A354" s="365">
        <v>44326</v>
      </c>
      <c r="B354" s="2364" t="s">
        <v>8918</v>
      </c>
      <c r="C354" s="2364" t="s">
        <v>58</v>
      </c>
      <c r="D354" s="2364" t="s">
        <v>2684</v>
      </c>
      <c r="E354" s="175" t="s">
        <v>8915</v>
      </c>
      <c r="F354" s="2364"/>
      <c r="G354" s="2365"/>
      <c r="H354" s="2364"/>
      <c r="I354" s="2364" t="s">
        <v>8917</v>
      </c>
      <c r="J354" s="2364" t="s">
        <v>8916</v>
      </c>
      <c r="K354" s="364">
        <v>41500000</v>
      </c>
      <c r="L354" s="2364" t="s">
        <v>251</v>
      </c>
      <c r="M354" s="365">
        <v>44334</v>
      </c>
      <c r="N354" s="365">
        <v>44379</v>
      </c>
      <c r="O354" s="365">
        <v>44433</v>
      </c>
      <c r="P354" s="2365" t="s">
        <v>2525</v>
      </c>
      <c r="Q354" s="2364"/>
      <c r="R354" s="364">
        <v>25770000</v>
      </c>
      <c r="S354" s="364">
        <v>31181700</v>
      </c>
      <c r="T354" s="1473"/>
      <c r="U354" s="1473"/>
      <c r="V354" s="1473"/>
      <c r="W354" s="681">
        <v>44433</v>
      </c>
      <c r="X354" s="1417" t="s">
        <v>9725</v>
      </c>
      <c r="Y354" s="365">
        <v>44480</v>
      </c>
      <c r="Z354" s="365">
        <v>44494</v>
      </c>
      <c r="AA354" s="365">
        <f>Y354+60</f>
        <v>44540</v>
      </c>
      <c r="AB354" s="365">
        <v>44641</v>
      </c>
      <c r="AC354" s="451" t="s">
        <v>1875</v>
      </c>
    </row>
    <row r="355" spans="1:31">
      <c r="A355" s="510">
        <v>44322</v>
      </c>
      <c r="B355" s="506" t="s">
        <v>8919</v>
      </c>
      <c r="C355" s="506" t="s">
        <v>58</v>
      </c>
      <c r="D355" s="506" t="s">
        <v>4969</v>
      </c>
      <c r="E355" s="507" t="s">
        <v>8920</v>
      </c>
      <c r="F355" s="506"/>
      <c r="G355" s="548"/>
      <c r="H355" s="590"/>
      <c r="I355" s="506" t="s">
        <v>8921</v>
      </c>
      <c r="J355" s="506" t="s">
        <v>8922</v>
      </c>
      <c r="K355" s="511">
        <v>620000</v>
      </c>
      <c r="L355" s="506" t="s">
        <v>112</v>
      </c>
      <c r="M355" s="510">
        <v>44333</v>
      </c>
      <c r="N355" s="510">
        <v>44342</v>
      </c>
      <c r="O355" s="506"/>
      <c r="P355" s="736" t="s">
        <v>304</v>
      </c>
      <c r="Q355" s="1985" t="s">
        <v>9566</v>
      </c>
      <c r="R355" s="511"/>
      <c r="S355" s="511"/>
      <c r="T355" s="1484"/>
      <c r="U355" s="1484"/>
      <c r="V355" s="1484"/>
      <c r="W355" s="511"/>
      <c r="X355" s="511"/>
      <c r="Y355" s="506"/>
      <c r="Z355" s="510">
        <v>44342</v>
      </c>
      <c r="AA355" s="506"/>
      <c r="AB355" s="506"/>
      <c r="AC355" s="506"/>
    </row>
    <row r="356" spans="1:31" ht="15.75" thickBot="1">
      <c r="A356" s="416">
        <v>44322</v>
      </c>
      <c r="B356" s="411" t="s">
        <v>8923</v>
      </c>
      <c r="C356" s="411" t="s">
        <v>4997</v>
      </c>
      <c r="D356" s="411" t="s">
        <v>7475</v>
      </c>
      <c r="E356" s="412" t="s">
        <v>8924</v>
      </c>
      <c r="F356" s="411"/>
      <c r="G356" s="630"/>
      <c r="H356" s="411"/>
      <c r="I356" s="411" t="s">
        <v>374</v>
      </c>
      <c r="J356" s="411"/>
      <c r="K356" s="417">
        <v>550000</v>
      </c>
      <c r="L356" s="411" t="s">
        <v>112</v>
      </c>
      <c r="M356" s="416">
        <v>44329</v>
      </c>
      <c r="N356" s="416">
        <v>44341</v>
      </c>
      <c r="O356" s="416">
        <v>44347</v>
      </c>
      <c r="P356" s="630" t="s">
        <v>9027</v>
      </c>
      <c r="Q356" s="411"/>
      <c r="R356" s="417">
        <v>539253.9</v>
      </c>
      <c r="S356" s="417">
        <v>652497.22</v>
      </c>
      <c r="T356" s="1480"/>
      <c r="U356" s="1480"/>
      <c r="V356" s="1480"/>
      <c r="W356" s="513">
        <v>44347</v>
      </c>
      <c r="X356" s="417" t="s">
        <v>9045</v>
      </c>
      <c r="Y356" s="416">
        <v>44379</v>
      </c>
      <c r="Z356" s="416">
        <v>44392</v>
      </c>
      <c r="AA356" s="411"/>
      <c r="AB356" s="416">
        <v>44578</v>
      </c>
      <c r="AC356" s="967"/>
    </row>
    <row r="357" spans="1:31" ht="15.75" thickTop="1">
      <c r="A357" s="474">
        <v>44327</v>
      </c>
      <c r="B357" s="453" t="s">
        <v>8928</v>
      </c>
      <c r="C357" s="453" t="s">
        <v>69</v>
      </c>
      <c r="D357" s="453" t="s">
        <v>70</v>
      </c>
      <c r="E357" s="473" t="s">
        <v>8929</v>
      </c>
      <c r="F357" s="453">
        <v>1</v>
      </c>
      <c r="G357" s="1420" t="s">
        <v>8930</v>
      </c>
      <c r="H357" s="583"/>
      <c r="I357" s="453" t="s">
        <v>72</v>
      </c>
      <c r="J357" s="453"/>
      <c r="K357" s="457">
        <v>2346916</v>
      </c>
      <c r="L357" s="453" t="s">
        <v>251</v>
      </c>
      <c r="M357" s="474">
        <v>44330</v>
      </c>
      <c r="N357" s="474">
        <v>44363</v>
      </c>
      <c r="O357" s="474">
        <v>44390</v>
      </c>
      <c r="P357" s="1420" t="s">
        <v>1564</v>
      </c>
      <c r="Q357" s="453"/>
      <c r="R357" s="457">
        <v>1644231.77</v>
      </c>
      <c r="S357" s="457">
        <v>1808654.95</v>
      </c>
      <c r="T357" s="1483"/>
      <c r="U357" s="1483"/>
      <c r="V357" s="1483"/>
      <c r="W357" s="570">
        <v>44390</v>
      </c>
      <c r="X357" s="457" t="s">
        <v>9336</v>
      </c>
      <c r="Y357" s="474">
        <v>44438</v>
      </c>
      <c r="Z357" s="474">
        <v>44441</v>
      </c>
      <c r="AA357" s="474">
        <v>45533</v>
      </c>
      <c r="AB357" s="474">
        <v>44648</v>
      </c>
      <c r="AC357" s="1391">
        <v>2022</v>
      </c>
      <c r="AD357" s="2250">
        <v>2023</v>
      </c>
      <c r="AE357" s="2250" t="s">
        <v>9739</v>
      </c>
    </row>
    <row r="358" spans="1:31">
      <c r="A358" s="2140">
        <v>44327</v>
      </c>
      <c r="B358" s="2141" t="s">
        <v>8928</v>
      </c>
      <c r="C358" s="2141" t="s">
        <v>69</v>
      </c>
      <c r="D358" s="2141" t="s">
        <v>70</v>
      </c>
      <c r="E358" s="2142" t="s">
        <v>8929</v>
      </c>
      <c r="F358" s="2141">
        <v>2</v>
      </c>
      <c r="G358" s="2143" t="s">
        <v>8931</v>
      </c>
      <c r="H358" s="2085"/>
      <c r="I358" s="2141" t="s">
        <v>72</v>
      </c>
      <c r="J358" s="2141"/>
      <c r="K358" s="2144">
        <v>340647</v>
      </c>
      <c r="L358" s="2141" t="s">
        <v>251</v>
      </c>
      <c r="M358" s="2140">
        <v>44330</v>
      </c>
      <c r="N358" s="2140">
        <v>44363</v>
      </c>
      <c r="O358" s="2140">
        <v>44390</v>
      </c>
      <c r="P358" s="2143" t="s">
        <v>1564</v>
      </c>
      <c r="Q358" s="2141"/>
      <c r="R358" s="2144">
        <v>331919.84000000003</v>
      </c>
      <c r="S358" s="2144">
        <v>365111.82</v>
      </c>
      <c r="T358" s="2094"/>
      <c r="U358" s="2094"/>
      <c r="V358" s="2094"/>
      <c r="W358" s="2146">
        <v>44390</v>
      </c>
      <c r="X358" s="2144" t="s">
        <v>9337</v>
      </c>
      <c r="Y358" s="2140">
        <v>44438</v>
      </c>
      <c r="Z358" s="2140">
        <v>44441</v>
      </c>
      <c r="AA358" s="2140">
        <v>45533</v>
      </c>
      <c r="AB358" s="2140">
        <v>44648</v>
      </c>
      <c r="AC358" s="2109">
        <v>2022</v>
      </c>
      <c r="AD358" s="1991">
        <v>2023</v>
      </c>
      <c r="AE358" s="1991" t="s">
        <v>9739</v>
      </c>
    </row>
    <row r="359" spans="1:31" ht="15.75" thickBot="1">
      <c r="A359" s="2117">
        <v>44327</v>
      </c>
      <c r="B359" s="2118" t="s">
        <v>8928</v>
      </c>
      <c r="C359" s="2118" t="s">
        <v>69</v>
      </c>
      <c r="D359" s="2118" t="s">
        <v>70</v>
      </c>
      <c r="E359" s="2119" t="s">
        <v>8929</v>
      </c>
      <c r="F359" s="2118">
        <v>3</v>
      </c>
      <c r="G359" s="2120" t="s">
        <v>8932</v>
      </c>
      <c r="H359" s="2118"/>
      <c r="I359" s="2118" t="s">
        <v>72</v>
      </c>
      <c r="J359" s="2118"/>
      <c r="K359" s="2121">
        <v>9686186</v>
      </c>
      <c r="L359" s="2118" t="s">
        <v>251</v>
      </c>
      <c r="M359" s="2117">
        <v>44330</v>
      </c>
      <c r="N359" s="2117">
        <v>44363</v>
      </c>
      <c r="O359" s="2117">
        <v>44390</v>
      </c>
      <c r="P359" s="2120" t="s">
        <v>7042</v>
      </c>
      <c r="Q359" s="2118"/>
      <c r="R359" s="2121">
        <v>9496259.7599999998</v>
      </c>
      <c r="S359" s="2121">
        <v>10445885.74</v>
      </c>
      <c r="T359" s="2122"/>
      <c r="U359" s="2122"/>
      <c r="V359" s="2122"/>
      <c r="W359" s="2123">
        <v>44390</v>
      </c>
      <c r="X359" s="2121" t="s">
        <v>9338</v>
      </c>
      <c r="Y359" s="2117">
        <v>44414</v>
      </c>
      <c r="Z359" s="2117">
        <v>44441</v>
      </c>
      <c r="AA359" s="2117">
        <v>45509</v>
      </c>
      <c r="AB359" s="2117">
        <v>44648</v>
      </c>
      <c r="AC359" s="2110">
        <v>2022</v>
      </c>
      <c r="AD359" s="2247">
        <v>2023</v>
      </c>
      <c r="AE359" s="2247" t="s">
        <v>9551</v>
      </c>
    </row>
    <row r="360" spans="1:31" ht="15.75" thickTop="1">
      <c r="A360" s="365">
        <v>44327</v>
      </c>
      <c r="B360" s="2295" t="s">
        <v>8933</v>
      </c>
      <c r="C360" s="2295" t="s">
        <v>69</v>
      </c>
      <c r="D360" s="2295" t="s">
        <v>70</v>
      </c>
      <c r="E360" s="175" t="s">
        <v>8934</v>
      </c>
      <c r="F360" s="2295"/>
      <c r="G360" s="2296" t="s">
        <v>3740</v>
      </c>
      <c r="H360" s="2295"/>
      <c r="I360" s="2295" t="s">
        <v>3237</v>
      </c>
      <c r="J360" s="2295"/>
      <c r="K360" s="364">
        <v>5721024</v>
      </c>
      <c r="L360" s="2295" t="s">
        <v>251</v>
      </c>
      <c r="M360" s="365">
        <v>44330</v>
      </c>
      <c r="N360" s="365">
        <v>44362</v>
      </c>
      <c r="O360" s="365">
        <v>44392</v>
      </c>
      <c r="P360" s="2296" t="s">
        <v>5774</v>
      </c>
      <c r="Q360" s="2295"/>
      <c r="R360" s="364">
        <v>4814577.72</v>
      </c>
      <c r="S360" s="364">
        <v>5296035.49</v>
      </c>
      <c r="T360" s="1473"/>
      <c r="U360" s="1473"/>
      <c r="V360" s="1473"/>
      <c r="W360" s="681">
        <v>44392</v>
      </c>
      <c r="X360" s="364" t="s">
        <v>9366</v>
      </c>
      <c r="Y360" s="365">
        <v>44417</v>
      </c>
      <c r="Z360" s="365">
        <v>44420</v>
      </c>
      <c r="AA360" s="365">
        <v>45512</v>
      </c>
      <c r="AB360" s="365">
        <v>44648</v>
      </c>
      <c r="AC360" s="451">
        <v>2022</v>
      </c>
      <c r="AD360" s="388">
        <v>2023</v>
      </c>
      <c r="AE360" s="388" t="s">
        <v>9552</v>
      </c>
    </row>
    <row r="361" spans="1:31">
      <c r="A361" s="537">
        <v>44327</v>
      </c>
      <c r="B361" s="491" t="s">
        <v>8935</v>
      </c>
      <c r="C361" s="491" t="s">
        <v>69</v>
      </c>
      <c r="D361" s="491" t="s">
        <v>70</v>
      </c>
      <c r="E361" s="571" t="s">
        <v>8936</v>
      </c>
      <c r="F361" s="491"/>
      <c r="G361" s="495" t="s">
        <v>3725</v>
      </c>
      <c r="H361" s="491"/>
      <c r="I361" s="491" t="s">
        <v>93</v>
      </c>
      <c r="J361" s="491"/>
      <c r="K361" s="536">
        <v>6555000</v>
      </c>
      <c r="L361" s="491" t="s">
        <v>251</v>
      </c>
      <c r="M361" s="537">
        <v>44330</v>
      </c>
      <c r="N361" s="537">
        <v>44384</v>
      </c>
      <c r="O361" s="537">
        <v>44424</v>
      </c>
      <c r="P361" s="495" t="s">
        <v>576</v>
      </c>
      <c r="Q361" s="491"/>
      <c r="R361" s="536">
        <v>2822100</v>
      </c>
      <c r="S361" s="536">
        <v>3104310</v>
      </c>
      <c r="T361" s="1471"/>
      <c r="U361" s="1471"/>
      <c r="V361" s="1471"/>
      <c r="W361" s="573">
        <v>44424</v>
      </c>
      <c r="X361" s="536" t="s">
        <v>9674</v>
      </c>
      <c r="Y361" s="537">
        <v>44452</v>
      </c>
      <c r="Z361" s="537">
        <v>44454</v>
      </c>
      <c r="AA361" s="537">
        <v>45547</v>
      </c>
      <c r="AB361" s="537">
        <v>44648</v>
      </c>
      <c r="AC361" s="1374">
        <v>2022</v>
      </c>
      <c r="AD361" s="388">
        <v>2023</v>
      </c>
      <c r="AE361" s="388" t="s">
        <v>9842</v>
      </c>
    </row>
    <row r="362" spans="1:31">
      <c r="A362" s="510">
        <v>44333</v>
      </c>
      <c r="B362" s="506" t="s">
        <v>8954</v>
      </c>
      <c r="C362" s="506" t="s">
        <v>2434</v>
      </c>
      <c r="D362" s="506" t="s">
        <v>3204</v>
      </c>
      <c r="E362" s="507" t="s">
        <v>8955</v>
      </c>
      <c r="F362" s="506"/>
      <c r="G362" s="548"/>
      <c r="H362" s="506"/>
      <c r="I362" s="506" t="s">
        <v>642</v>
      </c>
      <c r="J362" s="506"/>
      <c r="K362" s="511">
        <v>6640000</v>
      </c>
      <c r="L362" s="506" t="s">
        <v>251</v>
      </c>
      <c r="M362" s="510">
        <v>44336</v>
      </c>
      <c r="N362" s="510">
        <v>44398</v>
      </c>
      <c r="O362" s="506"/>
      <c r="P362" s="736" t="s">
        <v>8431</v>
      </c>
      <c r="Q362" s="1985" t="s">
        <v>10766</v>
      </c>
      <c r="R362" s="511">
        <v>5800000</v>
      </c>
      <c r="S362" s="511">
        <v>6670000</v>
      </c>
      <c r="T362" s="1470"/>
      <c r="U362" s="1470"/>
      <c r="V362" s="1470"/>
      <c r="W362" s="511"/>
      <c r="X362" s="511"/>
      <c r="Y362" s="506"/>
      <c r="Z362" s="510">
        <v>44566</v>
      </c>
      <c r="AA362" s="548" t="s">
        <v>10611</v>
      </c>
      <c r="AB362" s="506"/>
      <c r="AC362" s="506"/>
    </row>
    <row r="363" spans="1:31" ht="30">
      <c r="A363" s="537">
        <v>44330</v>
      </c>
      <c r="B363" s="491" t="s">
        <v>8956</v>
      </c>
      <c r="C363" s="491" t="s">
        <v>2434</v>
      </c>
      <c r="D363" s="491" t="s">
        <v>219</v>
      </c>
      <c r="E363" s="571" t="s">
        <v>8957</v>
      </c>
      <c r="F363" s="491"/>
      <c r="G363" s="495"/>
      <c r="H363" s="491"/>
      <c r="I363" s="491" t="s">
        <v>3271</v>
      </c>
      <c r="J363" s="491"/>
      <c r="K363" s="536">
        <v>1185000</v>
      </c>
      <c r="L363" s="491" t="s">
        <v>112</v>
      </c>
      <c r="M363" s="537">
        <v>44334</v>
      </c>
      <c r="N363" s="537">
        <v>44343</v>
      </c>
      <c r="O363" s="537">
        <v>44348</v>
      </c>
      <c r="P363" s="495" t="s">
        <v>3478</v>
      </c>
      <c r="Q363" s="491"/>
      <c r="R363" s="536">
        <v>1185000</v>
      </c>
      <c r="S363" s="536">
        <v>1433850</v>
      </c>
      <c r="T363" s="1471"/>
      <c r="U363" s="1471"/>
      <c r="V363" s="1471"/>
      <c r="W363" s="573">
        <v>44348</v>
      </c>
      <c r="X363" s="1375" t="s">
        <v>9044</v>
      </c>
      <c r="Y363" s="537">
        <v>44397</v>
      </c>
      <c r="Z363" s="537">
        <v>44399</v>
      </c>
      <c r="AA363" s="537">
        <v>45492</v>
      </c>
      <c r="AB363" s="537">
        <v>44642</v>
      </c>
      <c r="AC363" s="1374">
        <v>2022</v>
      </c>
      <c r="AD363" s="388">
        <v>2023</v>
      </c>
      <c r="AE363" s="388" t="s">
        <v>9423</v>
      </c>
    </row>
    <row r="364" spans="1:31" ht="45">
      <c r="A364" s="537">
        <v>44327</v>
      </c>
      <c r="B364" s="491" t="s">
        <v>8959</v>
      </c>
      <c r="C364" s="491" t="s">
        <v>58</v>
      </c>
      <c r="D364" s="491" t="s">
        <v>4969</v>
      </c>
      <c r="E364" s="571" t="s">
        <v>8960</v>
      </c>
      <c r="F364" s="491"/>
      <c r="G364" s="495"/>
      <c r="H364" s="491"/>
      <c r="I364" s="491" t="s">
        <v>3068</v>
      </c>
      <c r="J364" s="491" t="s">
        <v>8961</v>
      </c>
      <c r="K364" s="536">
        <v>247500</v>
      </c>
      <c r="L364" s="491" t="s">
        <v>112</v>
      </c>
      <c r="M364" s="537">
        <v>44334</v>
      </c>
      <c r="N364" s="537">
        <v>44350</v>
      </c>
      <c r="O364" s="537">
        <v>44358</v>
      </c>
      <c r="P364" s="495" t="s">
        <v>9146</v>
      </c>
      <c r="Q364" s="491"/>
      <c r="R364" s="536">
        <v>244875</v>
      </c>
      <c r="S364" s="536">
        <v>296298.75</v>
      </c>
      <c r="T364" s="1471"/>
      <c r="U364" s="1471"/>
      <c r="V364" s="1471"/>
      <c r="W364" s="573">
        <v>44358</v>
      </c>
      <c r="X364" s="1375" t="s">
        <v>9162</v>
      </c>
      <c r="Y364" s="537">
        <v>44399</v>
      </c>
      <c r="Z364" s="537">
        <v>44404</v>
      </c>
      <c r="AA364" s="537">
        <v>44389</v>
      </c>
      <c r="AB364" s="537">
        <v>44481</v>
      </c>
      <c r="AC364" s="1374" t="s">
        <v>6118</v>
      </c>
    </row>
    <row r="365" spans="1:31">
      <c r="A365" s="537">
        <v>44327</v>
      </c>
      <c r="B365" s="491" t="s">
        <v>8963</v>
      </c>
      <c r="C365" s="491" t="s">
        <v>58</v>
      </c>
      <c r="D365" s="491" t="s">
        <v>4969</v>
      </c>
      <c r="E365" s="571" t="s">
        <v>8964</v>
      </c>
      <c r="F365" s="491"/>
      <c r="G365" s="495"/>
      <c r="H365" s="491"/>
      <c r="I365" s="491" t="s">
        <v>396</v>
      </c>
      <c r="J365" s="491" t="s">
        <v>8965</v>
      </c>
      <c r="K365" s="536">
        <v>51900</v>
      </c>
      <c r="L365" s="491" t="s">
        <v>112</v>
      </c>
      <c r="M365" s="537">
        <v>44334</v>
      </c>
      <c r="N365" s="537">
        <v>44343</v>
      </c>
      <c r="O365" s="537">
        <v>44349</v>
      </c>
      <c r="P365" s="495" t="s">
        <v>8526</v>
      </c>
      <c r="Q365" s="491"/>
      <c r="R365" s="536">
        <v>51900</v>
      </c>
      <c r="S365" s="536">
        <v>62799</v>
      </c>
      <c r="T365" s="1471"/>
      <c r="U365" s="1471"/>
      <c r="V365" s="1471"/>
      <c r="W365" s="573">
        <v>44350</v>
      </c>
      <c r="X365" s="536" t="s">
        <v>9094</v>
      </c>
      <c r="Y365" s="537">
        <v>44369</v>
      </c>
      <c r="Z365" s="537">
        <v>44370</v>
      </c>
      <c r="AA365" s="537">
        <v>44425</v>
      </c>
      <c r="AB365" s="537">
        <v>44473</v>
      </c>
      <c r="AC365" s="1102"/>
    </row>
    <row r="366" spans="1:31" ht="30">
      <c r="A366" s="537">
        <v>44327</v>
      </c>
      <c r="B366" s="491" t="s">
        <v>8966</v>
      </c>
      <c r="C366" s="491" t="s">
        <v>58</v>
      </c>
      <c r="D366" s="491" t="s">
        <v>4969</v>
      </c>
      <c r="E366" s="571" t="s">
        <v>7372</v>
      </c>
      <c r="F366" s="491">
        <v>1</v>
      </c>
      <c r="G366" s="495" t="s">
        <v>8967</v>
      </c>
      <c r="H366" s="491"/>
      <c r="I366" s="491" t="s">
        <v>1924</v>
      </c>
      <c r="J366" s="491" t="s">
        <v>8969</v>
      </c>
      <c r="K366" s="536">
        <v>335000</v>
      </c>
      <c r="L366" s="491" t="s">
        <v>112</v>
      </c>
      <c r="M366" s="537">
        <v>44334</v>
      </c>
      <c r="N366" s="537">
        <v>44344</v>
      </c>
      <c r="O366" s="537">
        <v>44358</v>
      </c>
      <c r="P366" s="495" t="s">
        <v>9123</v>
      </c>
      <c r="Q366" s="491"/>
      <c r="R366" s="536">
        <v>261170</v>
      </c>
      <c r="S366" s="536">
        <v>316015.7</v>
      </c>
      <c r="T366" s="1471"/>
      <c r="U366" s="1471"/>
      <c r="V366" s="1471"/>
      <c r="W366" s="573">
        <v>44358</v>
      </c>
      <c r="X366" s="1375" t="s">
        <v>9160</v>
      </c>
      <c r="Y366" s="537">
        <v>44385</v>
      </c>
      <c r="Z366" s="537">
        <v>44392</v>
      </c>
      <c r="AA366" s="537">
        <v>44455</v>
      </c>
      <c r="AB366" s="537">
        <v>44481</v>
      </c>
      <c r="AC366" s="1374" t="s">
        <v>1875</v>
      </c>
    </row>
    <row r="367" spans="1:31" ht="30">
      <c r="A367" s="537">
        <v>44327</v>
      </c>
      <c r="B367" s="491" t="s">
        <v>8966</v>
      </c>
      <c r="C367" s="491" t="s">
        <v>58</v>
      </c>
      <c r="D367" s="491" t="s">
        <v>4969</v>
      </c>
      <c r="E367" s="571" t="s">
        <v>7372</v>
      </c>
      <c r="F367" s="491">
        <v>2</v>
      </c>
      <c r="G367" s="495" t="s">
        <v>8968</v>
      </c>
      <c r="H367" s="491"/>
      <c r="I367" s="491" t="s">
        <v>1924</v>
      </c>
      <c r="J367" s="491" t="s">
        <v>8970</v>
      </c>
      <c r="K367" s="536">
        <v>87000</v>
      </c>
      <c r="L367" s="491" t="s">
        <v>112</v>
      </c>
      <c r="M367" s="537">
        <v>44334</v>
      </c>
      <c r="N367" s="537">
        <v>44344</v>
      </c>
      <c r="O367" s="537">
        <v>44358</v>
      </c>
      <c r="P367" s="495" t="s">
        <v>8116</v>
      </c>
      <c r="Q367" s="491"/>
      <c r="R367" s="536">
        <v>70800</v>
      </c>
      <c r="S367" s="536">
        <v>85668</v>
      </c>
      <c r="T367" s="1471"/>
      <c r="U367" s="1471"/>
      <c r="V367" s="1471"/>
      <c r="W367" s="573">
        <v>44358</v>
      </c>
      <c r="X367" s="1375" t="s">
        <v>9161</v>
      </c>
      <c r="Y367" s="537">
        <v>44385</v>
      </c>
      <c r="Z367" s="537">
        <v>44392</v>
      </c>
      <c r="AA367" s="537">
        <v>44441</v>
      </c>
      <c r="AB367" s="537">
        <v>44459</v>
      </c>
      <c r="AC367" s="1374" t="s">
        <v>1875</v>
      </c>
    </row>
    <row r="368" spans="1:31" ht="30">
      <c r="A368" s="537">
        <v>44333</v>
      </c>
      <c r="B368" s="491" t="s">
        <v>8980</v>
      </c>
      <c r="C368" s="491" t="s">
        <v>2434</v>
      </c>
      <c r="D368" s="491" t="s">
        <v>219</v>
      </c>
      <c r="E368" s="571" t="s">
        <v>8981</v>
      </c>
      <c r="F368" s="491"/>
      <c r="G368" s="495"/>
      <c r="H368" s="491"/>
      <c r="I368" s="491" t="s">
        <v>8982</v>
      </c>
      <c r="J368" s="491"/>
      <c r="K368" s="536">
        <v>607500</v>
      </c>
      <c r="L368" s="491" t="s">
        <v>112</v>
      </c>
      <c r="M368" s="537">
        <v>44337</v>
      </c>
      <c r="N368" s="537">
        <v>44349</v>
      </c>
      <c r="O368" s="537">
        <v>44354</v>
      </c>
      <c r="P368" s="495" t="s">
        <v>9109</v>
      </c>
      <c r="Q368" s="491"/>
      <c r="R368" s="536">
        <v>607500</v>
      </c>
      <c r="S368" s="536">
        <v>698625</v>
      </c>
      <c r="T368" s="1471"/>
      <c r="U368" s="1471"/>
      <c r="V368" s="1471"/>
      <c r="W368" s="573">
        <v>44355</v>
      </c>
      <c r="X368" s="1375" t="s">
        <v>9130</v>
      </c>
      <c r="Y368" s="537">
        <v>44377</v>
      </c>
      <c r="Z368" s="537">
        <v>44391</v>
      </c>
      <c r="AA368" s="537">
        <v>45472</v>
      </c>
      <c r="AB368" s="537">
        <v>44642</v>
      </c>
      <c r="AC368" s="1374">
        <v>2022</v>
      </c>
      <c r="AD368" s="388">
        <v>2023</v>
      </c>
      <c r="AE368" s="388" t="s">
        <v>9292</v>
      </c>
    </row>
    <row r="369" spans="1:43" s="390" customFormat="1" ht="30">
      <c r="A369" s="2140">
        <v>44335</v>
      </c>
      <c r="B369" s="2141" t="s">
        <v>8996</v>
      </c>
      <c r="C369" s="2141" t="s">
        <v>2434</v>
      </c>
      <c r="D369" s="2141" t="s">
        <v>3204</v>
      </c>
      <c r="E369" s="2142" t="s">
        <v>8997</v>
      </c>
      <c r="F369" s="2141"/>
      <c r="G369" s="2143"/>
      <c r="H369" s="2141"/>
      <c r="I369" s="2141" t="s">
        <v>642</v>
      </c>
      <c r="J369" s="2141"/>
      <c r="K369" s="2144">
        <v>2788800</v>
      </c>
      <c r="L369" s="2141" t="s">
        <v>216</v>
      </c>
      <c r="M369" s="2140">
        <v>44341</v>
      </c>
      <c r="N369" s="2140">
        <v>44399</v>
      </c>
      <c r="O369" s="2140">
        <v>44442</v>
      </c>
      <c r="P369" s="2143" t="s">
        <v>8793</v>
      </c>
      <c r="Q369" s="2141"/>
      <c r="R369" s="2144">
        <v>2660000</v>
      </c>
      <c r="S369" s="2144">
        <v>3218600</v>
      </c>
      <c r="T369" s="2145"/>
      <c r="U369" s="2145"/>
      <c r="V369" s="2145"/>
      <c r="W369" s="2146">
        <v>44442</v>
      </c>
      <c r="X369" s="2260" t="s">
        <v>9793</v>
      </c>
      <c r="Y369" s="2140">
        <v>44462</v>
      </c>
      <c r="Z369" s="2140">
        <v>44468</v>
      </c>
      <c r="AA369" s="2140">
        <v>45191</v>
      </c>
      <c r="AB369" s="2140">
        <v>44642</v>
      </c>
      <c r="AC369" s="2109">
        <v>2022</v>
      </c>
      <c r="AD369" s="388" t="s">
        <v>7666</v>
      </c>
      <c r="AE369" s="360"/>
      <c r="AF369" s="360"/>
      <c r="AG369" s="360"/>
      <c r="AH369" s="360"/>
      <c r="AI369" s="360"/>
      <c r="AJ369" s="360"/>
      <c r="AK369" s="360"/>
      <c r="AL369" s="360"/>
      <c r="AM369" s="360"/>
      <c r="AN369" s="360"/>
      <c r="AO369" s="360"/>
      <c r="AP369" s="360"/>
      <c r="AQ369" s="360"/>
    </row>
    <row r="370" spans="1:43" ht="30">
      <c r="A370" s="537">
        <v>44334</v>
      </c>
      <c r="B370" s="491" t="s">
        <v>8986</v>
      </c>
      <c r="C370" s="491" t="s">
        <v>2434</v>
      </c>
      <c r="D370" s="491" t="s">
        <v>219</v>
      </c>
      <c r="E370" s="571" t="s">
        <v>8987</v>
      </c>
      <c r="F370" s="491"/>
      <c r="G370" s="495"/>
      <c r="H370" s="491"/>
      <c r="I370" s="491" t="s">
        <v>642</v>
      </c>
      <c r="J370" s="491"/>
      <c r="K370" s="536">
        <v>513000</v>
      </c>
      <c r="L370" s="491" t="s">
        <v>112</v>
      </c>
      <c r="M370" s="537">
        <v>44337</v>
      </c>
      <c r="N370" s="537">
        <v>44349</v>
      </c>
      <c r="O370" s="537">
        <v>44354</v>
      </c>
      <c r="P370" s="495" t="s">
        <v>9109</v>
      </c>
      <c r="Q370" s="491"/>
      <c r="R370" s="536">
        <v>513000</v>
      </c>
      <c r="S370" s="536">
        <v>620730</v>
      </c>
      <c r="T370" s="1471"/>
      <c r="U370" s="1471"/>
      <c r="V370" s="1471"/>
      <c r="W370" s="573">
        <v>44355</v>
      </c>
      <c r="X370" s="1375" t="s">
        <v>9131</v>
      </c>
      <c r="Y370" s="537">
        <v>44377</v>
      </c>
      <c r="Z370" s="537">
        <v>44391</v>
      </c>
      <c r="AA370" s="537">
        <v>45472</v>
      </c>
      <c r="AB370" s="537">
        <v>44642</v>
      </c>
      <c r="AC370" s="1374">
        <v>2022</v>
      </c>
      <c r="AD370" s="388">
        <v>2023</v>
      </c>
      <c r="AE370" s="388" t="s">
        <v>9292</v>
      </c>
    </row>
    <row r="371" spans="1:43" ht="30">
      <c r="A371" s="537">
        <v>44335</v>
      </c>
      <c r="B371" s="491" t="s">
        <v>8988</v>
      </c>
      <c r="C371" s="491" t="s">
        <v>58</v>
      </c>
      <c r="D371" s="491" t="s">
        <v>4969</v>
      </c>
      <c r="E371" s="571" t="s">
        <v>8989</v>
      </c>
      <c r="F371" s="491"/>
      <c r="G371" s="495"/>
      <c r="H371" s="491"/>
      <c r="I371" s="491" t="s">
        <v>62</v>
      </c>
      <c r="J371" s="491" t="s">
        <v>8990</v>
      </c>
      <c r="K371" s="536">
        <v>360000</v>
      </c>
      <c r="L371" s="491" t="s">
        <v>112</v>
      </c>
      <c r="M371" s="537">
        <v>44340</v>
      </c>
      <c r="N371" s="537">
        <v>44348</v>
      </c>
      <c r="O371" s="537">
        <v>44358</v>
      </c>
      <c r="P371" s="495" t="s">
        <v>9133</v>
      </c>
      <c r="Q371" s="491"/>
      <c r="R371" s="536">
        <v>258600</v>
      </c>
      <c r="S371" s="536">
        <v>312906</v>
      </c>
      <c r="T371" s="1471"/>
      <c r="U371" s="1471"/>
      <c r="V371" s="1471"/>
      <c r="W371" s="573">
        <v>44358</v>
      </c>
      <c r="X371" s="1375" t="s">
        <v>9158</v>
      </c>
      <c r="Y371" s="537">
        <v>44379</v>
      </c>
      <c r="Z371" s="537">
        <v>44391</v>
      </c>
      <c r="AA371" s="537">
        <v>44435</v>
      </c>
      <c r="AB371" s="537">
        <v>44519</v>
      </c>
      <c r="AC371" s="1374" t="s">
        <v>1875</v>
      </c>
    </row>
    <row r="372" spans="1:43">
      <c r="A372" s="510">
        <v>44335</v>
      </c>
      <c r="B372" s="506" t="s">
        <v>8991</v>
      </c>
      <c r="C372" s="506" t="s">
        <v>2434</v>
      </c>
      <c r="D372" s="506" t="s">
        <v>219</v>
      </c>
      <c r="E372" s="507" t="s">
        <v>8992</v>
      </c>
      <c r="F372" s="506"/>
      <c r="G372" s="548"/>
      <c r="H372" s="506"/>
      <c r="I372" s="506" t="s">
        <v>642</v>
      </c>
      <c r="J372" s="506"/>
      <c r="K372" s="511">
        <v>1457850</v>
      </c>
      <c r="L372" s="506" t="s">
        <v>112</v>
      </c>
      <c r="M372" s="510">
        <v>44350</v>
      </c>
      <c r="N372" s="510">
        <v>44361</v>
      </c>
      <c r="O372" s="506"/>
      <c r="P372" s="736" t="s">
        <v>4505</v>
      </c>
      <c r="Q372" s="1985" t="s">
        <v>9176</v>
      </c>
      <c r="R372" s="511"/>
      <c r="S372" s="511"/>
      <c r="T372" s="1470"/>
      <c r="U372" s="1470"/>
      <c r="V372" s="1470"/>
      <c r="W372" s="511"/>
      <c r="X372" s="511"/>
      <c r="Y372" s="506"/>
      <c r="Z372" s="510">
        <v>44361</v>
      </c>
      <c r="AA372" s="506"/>
      <c r="AB372" s="506"/>
      <c r="AC372" s="506"/>
    </row>
    <row r="373" spans="1:43">
      <c r="A373" s="537">
        <v>44335</v>
      </c>
      <c r="B373" s="491" t="s">
        <v>8993</v>
      </c>
      <c r="C373" s="491" t="s">
        <v>14</v>
      </c>
      <c r="D373" s="491" t="s">
        <v>1753</v>
      </c>
      <c r="E373" s="571" t="s">
        <v>8994</v>
      </c>
      <c r="F373" s="491"/>
      <c r="G373" s="495"/>
      <c r="H373" s="491"/>
      <c r="I373" s="491" t="s">
        <v>1226</v>
      </c>
      <c r="J373" s="491" t="s">
        <v>8995</v>
      </c>
      <c r="K373" s="536">
        <v>2650000</v>
      </c>
      <c r="L373" s="491" t="s">
        <v>216</v>
      </c>
      <c r="M373" s="537">
        <v>44341</v>
      </c>
      <c r="N373" s="537">
        <v>44358</v>
      </c>
      <c r="O373" s="537">
        <v>44372</v>
      </c>
      <c r="P373" s="495" t="s">
        <v>333</v>
      </c>
      <c r="Q373" s="491"/>
      <c r="R373" s="536">
        <v>2298038</v>
      </c>
      <c r="S373" s="536">
        <v>2780625.98</v>
      </c>
      <c r="T373" s="1471"/>
      <c r="U373" s="1471"/>
      <c r="V373" s="1471"/>
      <c r="W373" s="573">
        <v>44372</v>
      </c>
      <c r="X373" s="536" t="s">
        <v>9273</v>
      </c>
      <c r="Y373" s="537">
        <v>44397</v>
      </c>
      <c r="Z373" s="537">
        <v>44403</v>
      </c>
      <c r="AA373" s="537">
        <f>Y373+60</f>
        <v>44457</v>
      </c>
      <c r="AB373" s="537">
        <v>44559</v>
      </c>
      <c r="AC373" s="1102"/>
    </row>
    <row r="374" spans="1:43" ht="30">
      <c r="A374" s="537">
        <v>44335</v>
      </c>
      <c r="B374" s="491" t="s">
        <v>9118</v>
      </c>
      <c r="C374" s="491" t="s">
        <v>58</v>
      </c>
      <c r="D374" s="491" t="s">
        <v>4969</v>
      </c>
      <c r="E374" s="571" t="s">
        <v>7040</v>
      </c>
      <c r="F374" s="491"/>
      <c r="G374" s="495"/>
      <c r="H374" s="491"/>
      <c r="I374" s="491" t="s">
        <v>1294</v>
      </c>
      <c r="J374" s="491" t="s">
        <v>9001</v>
      </c>
      <c r="K374" s="536">
        <v>220000</v>
      </c>
      <c r="L374" s="491" t="s">
        <v>112</v>
      </c>
      <c r="M374" s="537">
        <v>44340</v>
      </c>
      <c r="N374" s="537">
        <v>44349</v>
      </c>
      <c r="O374" s="537">
        <v>44358</v>
      </c>
      <c r="P374" s="495" t="s">
        <v>637</v>
      </c>
      <c r="Q374" s="491"/>
      <c r="R374" s="536">
        <v>212176</v>
      </c>
      <c r="S374" s="536">
        <v>256732.96</v>
      </c>
      <c r="T374" s="1471"/>
      <c r="U374" s="1471"/>
      <c r="V374" s="1471"/>
      <c r="W374" s="573">
        <v>44358</v>
      </c>
      <c r="X374" s="1375" t="s">
        <v>9159</v>
      </c>
      <c r="Y374" s="537">
        <v>44379</v>
      </c>
      <c r="Z374" s="537">
        <v>44391</v>
      </c>
      <c r="AA374" s="537">
        <v>44439</v>
      </c>
      <c r="AB374" s="537">
        <v>44487</v>
      </c>
      <c r="AC374" s="1374" t="s">
        <v>1875</v>
      </c>
    </row>
    <row r="375" spans="1:43">
      <c r="A375" s="537">
        <v>44337</v>
      </c>
      <c r="B375" s="491" t="s">
        <v>9006</v>
      </c>
      <c r="C375" s="491" t="s">
        <v>9007</v>
      </c>
      <c r="D375" s="491" t="s">
        <v>9008</v>
      </c>
      <c r="E375" s="571" t="s">
        <v>9009</v>
      </c>
      <c r="F375" s="491"/>
      <c r="G375" s="495"/>
      <c r="H375" s="491"/>
      <c r="I375" s="491" t="s">
        <v>1294</v>
      </c>
      <c r="J375" s="491"/>
      <c r="K375" s="536">
        <v>466557</v>
      </c>
      <c r="L375" s="491" t="s">
        <v>112</v>
      </c>
      <c r="M375" s="537">
        <v>44398</v>
      </c>
      <c r="N375" s="537">
        <v>44407</v>
      </c>
      <c r="O375" s="537">
        <v>44420</v>
      </c>
      <c r="P375" s="495" t="s">
        <v>9065</v>
      </c>
      <c r="Q375" s="491"/>
      <c r="R375" s="536">
        <v>81000</v>
      </c>
      <c r="S375" s="536">
        <v>98010</v>
      </c>
      <c r="T375" s="1471"/>
      <c r="U375" s="1471"/>
      <c r="V375" s="1471"/>
      <c r="W375" s="573">
        <v>44420</v>
      </c>
      <c r="X375" s="536" t="s">
        <v>9604</v>
      </c>
      <c r="Y375" s="537">
        <v>44454</v>
      </c>
      <c r="Z375" s="537">
        <v>44461</v>
      </c>
      <c r="AA375" s="537">
        <v>44496</v>
      </c>
      <c r="AB375" s="537">
        <v>44600</v>
      </c>
      <c r="AC375" s="1102"/>
    </row>
    <row r="376" spans="1:43">
      <c r="A376" s="537">
        <v>44337</v>
      </c>
      <c r="B376" s="491" t="s">
        <v>9016</v>
      </c>
      <c r="C376" s="491" t="s">
        <v>1032</v>
      </c>
      <c r="D376" s="491" t="s">
        <v>361</v>
      </c>
      <c r="E376" s="571" t="s">
        <v>9017</v>
      </c>
      <c r="F376" s="491"/>
      <c r="G376" s="495"/>
      <c r="H376" s="590"/>
      <c r="I376" s="491" t="s">
        <v>9018</v>
      </c>
      <c r="J376" s="491"/>
      <c r="K376" s="536">
        <v>6500000</v>
      </c>
      <c r="L376" s="491" t="s">
        <v>251</v>
      </c>
      <c r="M376" s="537">
        <v>44344</v>
      </c>
      <c r="N376" s="537">
        <v>44410</v>
      </c>
      <c r="O376" s="537">
        <v>44420</v>
      </c>
      <c r="P376" s="495" t="s">
        <v>9584</v>
      </c>
      <c r="Q376" s="491"/>
      <c r="R376" s="536">
        <v>2535232</v>
      </c>
      <c r="S376" s="536">
        <v>3067630.72</v>
      </c>
      <c r="T376" s="1484"/>
      <c r="U376" s="1484"/>
      <c r="V376" s="1484"/>
      <c r="W376" s="573">
        <v>44420</v>
      </c>
      <c r="X376" s="536" t="s">
        <v>9589</v>
      </c>
      <c r="Y376" s="537">
        <v>44446</v>
      </c>
      <c r="Z376" s="537">
        <v>44447</v>
      </c>
      <c r="AA376" s="537">
        <v>45906</v>
      </c>
      <c r="AB376" s="537">
        <v>44643</v>
      </c>
      <c r="AC376" s="1374">
        <v>2022</v>
      </c>
      <c r="AD376" s="388">
        <v>2023</v>
      </c>
      <c r="AE376" s="388">
        <v>2024</v>
      </c>
      <c r="AF376" s="388" t="s">
        <v>9814</v>
      </c>
    </row>
    <row r="377" spans="1:43" ht="30.75" thickBot="1">
      <c r="A377" s="416">
        <v>44341</v>
      </c>
      <c r="B377" s="411" t="s">
        <v>9025</v>
      </c>
      <c r="C377" s="411" t="s">
        <v>58</v>
      </c>
      <c r="D377" s="411" t="s">
        <v>4969</v>
      </c>
      <c r="E377" s="412" t="s">
        <v>9024</v>
      </c>
      <c r="F377" s="411"/>
      <c r="G377" s="630"/>
      <c r="H377" s="411"/>
      <c r="I377" s="411" t="s">
        <v>2409</v>
      </c>
      <c r="J377" s="411" t="s">
        <v>9026</v>
      </c>
      <c r="K377" s="417">
        <v>151000</v>
      </c>
      <c r="L377" s="411" t="s">
        <v>112</v>
      </c>
      <c r="M377" s="416">
        <v>44343</v>
      </c>
      <c r="N377" s="416">
        <v>44355</v>
      </c>
      <c r="O377" s="416">
        <v>44365</v>
      </c>
      <c r="P377" s="630" t="s">
        <v>9173</v>
      </c>
      <c r="Q377" s="411"/>
      <c r="R377" s="417">
        <v>136229</v>
      </c>
      <c r="S377" s="417">
        <v>164837.09</v>
      </c>
      <c r="T377" s="1480"/>
      <c r="U377" s="1480"/>
      <c r="V377" s="1480"/>
      <c r="W377" s="513">
        <v>44365</v>
      </c>
      <c r="X377" s="1553" t="s">
        <v>9232</v>
      </c>
      <c r="Y377" s="416">
        <v>44379</v>
      </c>
      <c r="Z377" s="416">
        <v>44391</v>
      </c>
      <c r="AA377" s="416">
        <v>44407</v>
      </c>
      <c r="AB377" s="537">
        <v>44468</v>
      </c>
      <c r="AC377" s="1374" t="s">
        <v>1875</v>
      </c>
    </row>
    <row r="378" spans="1:43" ht="15.75" thickTop="1">
      <c r="A378" s="443">
        <v>44341</v>
      </c>
      <c r="B378" s="439" t="s">
        <v>9029</v>
      </c>
      <c r="C378" s="439" t="s">
        <v>58</v>
      </c>
      <c r="D378" s="439" t="s">
        <v>4969</v>
      </c>
      <c r="E378" s="440" t="s">
        <v>9030</v>
      </c>
      <c r="F378" s="439">
        <v>1</v>
      </c>
      <c r="G378" s="1431" t="s">
        <v>9041</v>
      </c>
      <c r="H378" s="439"/>
      <c r="I378" s="439" t="s">
        <v>9031</v>
      </c>
      <c r="J378" s="439" t="s">
        <v>9032</v>
      </c>
      <c r="K378" s="444">
        <v>132000</v>
      </c>
      <c r="L378" s="439" t="s">
        <v>112</v>
      </c>
      <c r="M378" s="443">
        <v>44343</v>
      </c>
      <c r="N378" s="443">
        <v>44351</v>
      </c>
      <c r="O378" s="439"/>
      <c r="P378" s="753" t="s">
        <v>9114</v>
      </c>
      <c r="Q378" s="437" t="s">
        <v>9145</v>
      </c>
      <c r="R378" s="444"/>
      <c r="S378" s="444"/>
      <c r="T378" s="1481"/>
      <c r="U378" s="1481"/>
      <c r="V378" s="1481"/>
      <c r="W378" s="444"/>
      <c r="X378" s="444"/>
      <c r="Y378" s="439"/>
      <c r="Z378" s="443">
        <v>44355</v>
      </c>
      <c r="AA378" s="439"/>
      <c r="AB378" s="439"/>
      <c r="AC378" s="439"/>
    </row>
    <row r="379" spans="1:43" ht="15.75" thickBot="1">
      <c r="A379" s="2130">
        <v>44341</v>
      </c>
      <c r="B379" s="2131" t="s">
        <v>9029</v>
      </c>
      <c r="C379" s="2131" t="s">
        <v>58</v>
      </c>
      <c r="D379" s="2131" t="s">
        <v>4969</v>
      </c>
      <c r="E379" s="2132" t="s">
        <v>9030</v>
      </c>
      <c r="F379" s="2131">
        <v>2</v>
      </c>
      <c r="G379" s="2133" t="s">
        <v>9042</v>
      </c>
      <c r="H379" s="2131"/>
      <c r="I379" s="2131" t="s">
        <v>9031</v>
      </c>
      <c r="J379" s="2131" t="s">
        <v>9032</v>
      </c>
      <c r="K379" s="2134">
        <v>221000</v>
      </c>
      <c r="L379" s="2131" t="s">
        <v>112</v>
      </c>
      <c r="M379" s="2130">
        <v>44343</v>
      </c>
      <c r="N379" s="2130">
        <v>44351</v>
      </c>
      <c r="O379" s="2131"/>
      <c r="P379" s="2137" t="s">
        <v>9114</v>
      </c>
      <c r="Q379" s="2274" t="s">
        <v>9145</v>
      </c>
      <c r="R379" s="2134"/>
      <c r="S379" s="2134"/>
      <c r="T379" s="2135"/>
      <c r="U379" s="2135"/>
      <c r="V379" s="2135"/>
      <c r="W379" s="2134"/>
      <c r="X379" s="2134"/>
      <c r="Y379" s="2131"/>
      <c r="Z379" s="2130">
        <v>44355</v>
      </c>
      <c r="AA379" s="2131"/>
      <c r="AB379" s="2131"/>
      <c r="AC379" s="2131"/>
    </row>
    <row r="380" spans="1:43" ht="30.75" thickTop="1">
      <c r="A380" s="365">
        <v>44343</v>
      </c>
      <c r="B380" s="2282" t="s">
        <v>9056</v>
      </c>
      <c r="C380" s="2282" t="s">
        <v>2434</v>
      </c>
      <c r="D380" s="2282" t="s">
        <v>3204</v>
      </c>
      <c r="E380" s="175" t="s">
        <v>9057</v>
      </c>
      <c r="F380" s="2282">
        <v>1</v>
      </c>
      <c r="G380" s="2283" t="s">
        <v>4514</v>
      </c>
      <c r="H380" s="2282"/>
      <c r="I380" s="2282" t="s">
        <v>642</v>
      </c>
      <c r="J380" s="2282"/>
      <c r="K380" s="364">
        <v>1035150</v>
      </c>
      <c r="L380" s="2282" t="s">
        <v>112</v>
      </c>
      <c r="M380" s="365">
        <v>44349</v>
      </c>
      <c r="N380" s="365">
        <v>44358</v>
      </c>
      <c r="O380" s="365">
        <v>44363</v>
      </c>
      <c r="P380" s="2283" t="s">
        <v>1433</v>
      </c>
      <c r="Q380" s="2282"/>
      <c r="R380" s="364">
        <v>991800</v>
      </c>
      <c r="S380" s="364">
        <v>1200078</v>
      </c>
      <c r="T380" s="1473"/>
      <c r="U380" s="1473"/>
      <c r="V380" s="1473"/>
      <c r="W380" s="681">
        <v>44364</v>
      </c>
      <c r="X380" s="1417" t="s">
        <v>9205</v>
      </c>
      <c r="Y380" s="365">
        <v>44396</v>
      </c>
      <c r="Z380" s="365">
        <v>44399</v>
      </c>
      <c r="AA380" s="365">
        <v>45502</v>
      </c>
      <c r="AB380" s="365">
        <v>44642</v>
      </c>
      <c r="AC380" s="451">
        <v>2022</v>
      </c>
      <c r="AD380" s="388">
        <v>2023</v>
      </c>
      <c r="AE380" s="388" t="s">
        <v>9135</v>
      </c>
    </row>
    <row r="381" spans="1:43" ht="30">
      <c r="A381" s="365">
        <v>44343</v>
      </c>
      <c r="B381" s="2282" t="s">
        <v>9056</v>
      </c>
      <c r="C381" s="2282" t="s">
        <v>2434</v>
      </c>
      <c r="D381" s="2282" t="s">
        <v>3204</v>
      </c>
      <c r="E381" s="175" t="s">
        <v>9057</v>
      </c>
      <c r="F381" s="491">
        <v>2</v>
      </c>
      <c r="G381" s="495" t="s">
        <v>9058</v>
      </c>
      <c r="H381" s="491"/>
      <c r="I381" s="491" t="s">
        <v>642</v>
      </c>
      <c r="J381" s="491"/>
      <c r="K381" s="536">
        <v>496000</v>
      </c>
      <c r="L381" s="491" t="s">
        <v>112</v>
      </c>
      <c r="M381" s="537">
        <v>44349</v>
      </c>
      <c r="N381" s="537">
        <v>44358</v>
      </c>
      <c r="O381" s="537">
        <v>44363</v>
      </c>
      <c r="P381" s="495" t="s">
        <v>1433</v>
      </c>
      <c r="Q381" s="491"/>
      <c r="R381" s="536">
        <v>400800</v>
      </c>
      <c r="S381" s="536">
        <v>484968</v>
      </c>
      <c r="T381" s="1471"/>
      <c r="U381" s="1471"/>
      <c r="V381" s="1471"/>
      <c r="W381" s="573">
        <v>44364</v>
      </c>
      <c r="X381" s="1375" t="s">
        <v>9206</v>
      </c>
      <c r="Y381" s="537">
        <v>44396</v>
      </c>
      <c r="Z381" s="537">
        <v>44399</v>
      </c>
      <c r="AA381" s="537">
        <v>45497</v>
      </c>
      <c r="AB381" s="537">
        <v>44642</v>
      </c>
      <c r="AC381" s="1374">
        <v>2022</v>
      </c>
      <c r="AD381" s="388">
        <v>2023</v>
      </c>
      <c r="AE381" s="388" t="s">
        <v>9408</v>
      </c>
    </row>
    <row r="382" spans="1:43">
      <c r="A382" s="491" t="s">
        <v>3585</v>
      </c>
      <c r="B382" s="491" t="s">
        <v>9067</v>
      </c>
      <c r="C382" s="491" t="s">
        <v>2434</v>
      </c>
      <c r="D382" s="491" t="s">
        <v>219</v>
      </c>
      <c r="E382" s="571" t="s">
        <v>9068</v>
      </c>
      <c r="F382" s="491"/>
      <c r="G382" s="495"/>
      <c r="H382" s="491"/>
      <c r="I382" s="491" t="s">
        <v>9069</v>
      </c>
      <c r="J382" s="491"/>
      <c r="K382" s="536">
        <v>1535064.27</v>
      </c>
      <c r="L382" s="491" t="s">
        <v>112</v>
      </c>
      <c r="M382" s="537">
        <v>44349</v>
      </c>
      <c r="N382" s="537">
        <v>44358</v>
      </c>
      <c r="O382" s="537">
        <v>44362</v>
      </c>
      <c r="P382" s="495" t="s">
        <v>9197</v>
      </c>
      <c r="Q382" s="491"/>
      <c r="R382" s="536">
        <v>1505798.22</v>
      </c>
      <c r="S382" s="536">
        <v>1822015.85</v>
      </c>
      <c r="T382" s="1471"/>
      <c r="U382" s="1471"/>
      <c r="V382" s="1471"/>
      <c r="W382" s="573">
        <v>44363</v>
      </c>
      <c r="X382" s="536" t="s">
        <v>9200</v>
      </c>
      <c r="Y382" s="537">
        <v>44379</v>
      </c>
      <c r="Z382" s="537">
        <v>44392</v>
      </c>
      <c r="AA382" s="537">
        <v>45504</v>
      </c>
      <c r="AB382" s="537">
        <v>44642</v>
      </c>
      <c r="AC382" s="1374">
        <v>2022</v>
      </c>
      <c r="AD382" s="388">
        <v>2023</v>
      </c>
      <c r="AE382" s="388" t="s">
        <v>9293</v>
      </c>
    </row>
    <row r="383" spans="1:43">
      <c r="A383" s="506" t="s">
        <v>3585</v>
      </c>
      <c r="B383" s="506" t="s">
        <v>9071</v>
      </c>
      <c r="C383" s="506" t="s">
        <v>52</v>
      </c>
      <c r="D383" s="506" t="s">
        <v>2588</v>
      </c>
      <c r="E383" s="507" t="s">
        <v>9072</v>
      </c>
      <c r="F383" s="506"/>
      <c r="G383" s="548"/>
      <c r="H383" s="506"/>
      <c r="I383" s="506" t="s">
        <v>484</v>
      </c>
      <c r="J383" s="506" t="s">
        <v>7484</v>
      </c>
      <c r="K383" s="511">
        <v>40000000</v>
      </c>
      <c r="L383" s="506" t="s">
        <v>251</v>
      </c>
      <c r="M383" s="510">
        <v>44356</v>
      </c>
      <c r="N383" s="510">
        <v>44391</v>
      </c>
      <c r="O383" s="506"/>
      <c r="P383" s="736" t="s">
        <v>9355</v>
      </c>
      <c r="Q383" s="2288" t="s">
        <v>9356</v>
      </c>
      <c r="R383" s="511"/>
      <c r="S383" s="511"/>
      <c r="T383" s="1470"/>
      <c r="U383" s="1470"/>
      <c r="V383" s="1470"/>
      <c r="W383" s="511"/>
      <c r="X383" s="511"/>
      <c r="Y383" s="506"/>
      <c r="Z383" s="510">
        <v>44413</v>
      </c>
      <c r="AA383" s="548" t="s">
        <v>9418</v>
      </c>
      <c r="AB383" s="506"/>
      <c r="AC383" s="506"/>
    </row>
    <row r="384" spans="1:43" ht="30">
      <c r="A384" s="491" t="s">
        <v>3585</v>
      </c>
      <c r="B384" s="491" t="s">
        <v>9073</v>
      </c>
      <c r="C384" s="491" t="s">
        <v>2434</v>
      </c>
      <c r="D384" s="491" t="s">
        <v>751</v>
      </c>
      <c r="E384" s="571" t="s">
        <v>9074</v>
      </c>
      <c r="F384" s="491"/>
      <c r="G384" s="495"/>
      <c r="H384" s="491"/>
      <c r="I384" s="491" t="s">
        <v>3890</v>
      </c>
      <c r="J384" s="491"/>
      <c r="K384" s="536">
        <v>29719080</v>
      </c>
      <c r="L384" s="491" t="s">
        <v>251</v>
      </c>
      <c r="M384" s="537">
        <v>44363</v>
      </c>
      <c r="N384" s="537">
        <v>44396</v>
      </c>
      <c r="O384" s="537">
        <v>44405</v>
      </c>
      <c r="P384" s="495" t="s">
        <v>3478</v>
      </c>
      <c r="Q384" s="491"/>
      <c r="R384" s="536">
        <v>29719005.600000001</v>
      </c>
      <c r="S384" s="536">
        <v>35960000</v>
      </c>
      <c r="T384" s="1471"/>
      <c r="U384" s="1471"/>
      <c r="V384" s="1471"/>
      <c r="W384" s="573">
        <v>44405</v>
      </c>
      <c r="X384" s="1375" t="s">
        <v>9469</v>
      </c>
      <c r="Y384" s="537">
        <v>44452</v>
      </c>
      <c r="Z384" s="537">
        <v>44481</v>
      </c>
      <c r="AA384" s="537">
        <v>45912</v>
      </c>
      <c r="AB384" s="491" t="s">
        <v>11373</v>
      </c>
      <c r="AC384" s="1374">
        <v>2022</v>
      </c>
      <c r="AD384" s="388">
        <v>2023</v>
      </c>
      <c r="AE384" s="388">
        <v>2024</v>
      </c>
      <c r="AF384" s="388" t="s">
        <v>9838</v>
      </c>
    </row>
    <row r="385" spans="1:31" ht="15.75" thickBot="1">
      <c r="A385" s="416">
        <v>44347</v>
      </c>
      <c r="B385" s="411" t="s">
        <v>9079</v>
      </c>
      <c r="C385" s="411" t="s">
        <v>2111</v>
      </c>
      <c r="D385" s="411" t="s">
        <v>9080</v>
      </c>
      <c r="E385" s="1563" t="s">
        <v>9081</v>
      </c>
      <c r="F385" s="411"/>
      <c r="G385" s="630"/>
      <c r="H385" s="411"/>
      <c r="I385" s="411" t="s">
        <v>2113</v>
      </c>
      <c r="J385" s="411"/>
      <c r="K385" s="417">
        <v>835000</v>
      </c>
      <c r="L385" s="411" t="s">
        <v>112</v>
      </c>
      <c r="M385" s="416">
        <v>44355</v>
      </c>
      <c r="N385" s="416">
        <v>44365</v>
      </c>
      <c r="O385" s="416">
        <v>44390</v>
      </c>
      <c r="P385" s="630" t="s">
        <v>8277</v>
      </c>
      <c r="Q385" s="411"/>
      <c r="R385" s="417">
        <v>416400</v>
      </c>
      <c r="S385" s="417">
        <v>503844</v>
      </c>
      <c r="T385" s="1480"/>
      <c r="U385" s="1480"/>
      <c r="V385" s="1480"/>
      <c r="W385" s="513">
        <v>44390</v>
      </c>
      <c r="X385" s="417" t="s">
        <v>9326</v>
      </c>
      <c r="Y385" s="416">
        <v>44427</v>
      </c>
      <c r="Z385" s="416">
        <v>44439</v>
      </c>
      <c r="AA385" s="416">
        <v>44497</v>
      </c>
      <c r="AB385" s="1548">
        <v>44606</v>
      </c>
      <c r="AC385" s="967"/>
    </row>
    <row r="386" spans="1:31" ht="30.75" thickTop="1">
      <c r="A386" s="453" t="s">
        <v>3585</v>
      </c>
      <c r="B386" s="453" t="s">
        <v>9082</v>
      </c>
      <c r="C386" s="453" t="s">
        <v>2434</v>
      </c>
      <c r="D386" s="453" t="s">
        <v>3204</v>
      </c>
      <c r="E386" s="473" t="s">
        <v>9295</v>
      </c>
      <c r="F386" s="453">
        <v>1</v>
      </c>
      <c r="G386" s="1420" t="s">
        <v>9021</v>
      </c>
      <c r="H386" s="453"/>
      <c r="I386" s="453" t="s">
        <v>642</v>
      </c>
      <c r="J386" s="453"/>
      <c r="K386" s="457">
        <v>230000</v>
      </c>
      <c r="L386" s="453" t="s">
        <v>251</v>
      </c>
      <c r="M386" s="474">
        <v>44385</v>
      </c>
      <c r="N386" s="474">
        <v>44418</v>
      </c>
      <c r="O386" s="474">
        <v>44454</v>
      </c>
      <c r="P386" s="1420" t="s">
        <v>8793</v>
      </c>
      <c r="Q386" s="453"/>
      <c r="R386" s="457">
        <v>230000</v>
      </c>
      <c r="S386" s="457">
        <v>278300</v>
      </c>
      <c r="T386" s="1474"/>
      <c r="U386" s="1474"/>
      <c r="V386" s="1474"/>
      <c r="W386" s="570">
        <v>44454</v>
      </c>
      <c r="X386" s="1387" t="s">
        <v>9861</v>
      </c>
      <c r="Y386" s="474">
        <v>44475</v>
      </c>
      <c r="Z386" s="474">
        <v>44489</v>
      </c>
      <c r="AA386" s="474">
        <v>45204</v>
      </c>
      <c r="AB386" s="453" t="s">
        <v>11373</v>
      </c>
      <c r="AC386" s="1391">
        <v>2022</v>
      </c>
      <c r="AD386" s="388" t="s">
        <v>10037</v>
      </c>
    </row>
    <row r="387" spans="1:31" ht="30">
      <c r="A387" s="2141" t="s">
        <v>3585</v>
      </c>
      <c r="B387" s="2141" t="s">
        <v>9082</v>
      </c>
      <c r="C387" s="2141" t="s">
        <v>2434</v>
      </c>
      <c r="D387" s="2141" t="s">
        <v>3204</v>
      </c>
      <c r="E387" s="2142" t="s">
        <v>9295</v>
      </c>
      <c r="F387" s="2141">
        <v>2</v>
      </c>
      <c r="G387" s="2143" t="s">
        <v>9022</v>
      </c>
      <c r="H387" s="2141"/>
      <c r="I387" s="2141" t="s">
        <v>642</v>
      </c>
      <c r="J387" s="2141"/>
      <c r="K387" s="2144">
        <v>230000</v>
      </c>
      <c r="L387" s="2141" t="s">
        <v>251</v>
      </c>
      <c r="M387" s="2140">
        <v>44385</v>
      </c>
      <c r="N387" s="2140">
        <v>44418</v>
      </c>
      <c r="O387" s="2140">
        <v>44454</v>
      </c>
      <c r="P387" s="2143" t="s">
        <v>8793</v>
      </c>
      <c r="Q387" s="2141"/>
      <c r="R387" s="2144">
        <v>230000</v>
      </c>
      <c r="S387" s="2144">
        <v>278300</v>
      </c>
      <c r="T387" s="2145"/>
      <c r="U387" s="2145"/>
      <c r="V387" s="2145"/>
      <c r="W387" s="2146">
        <v>44454</v>
      </c>
      <c r="X387" s="2260" t="s">
        <v>9862</v>
      </c>
      <c r="Y387" s="2140">
        <v>44475</v>
      </c>
      <c r="Z387" s="2140">
        <v>44489</v>
      </c>
      <c r="AA387" s="2140">
        <v>45204</v>
      </c>
      <c r="AB387" s="2141" t="s">
        <v>11373</v>
      </c>
      <c r="AC387" s="2109">
        <v>2022</v>
      </c>
      <c r="AD387" s="388" t="s">
        <v>10037</v>
      </c>
    </row>
    <row r="388" spans="1:31" ht="30.75" thickBot="1">
      <c r="A388" s="2118" t="s">
        <v>3585</v>
      </c>
      <c r="B388" s="2118" t="s">
        <v>9082</v>
      </c>
      <c r="C388" s="2118" t="s">
        <v>2434</v>
      </c>
      <c r="D388" s="2118" t="s">
        <v>3204</v>
      </c>
      <c r="E388" s="2119" t="s">
        <v>9295</v>
      </c>
      <c r="F388" s="2118">
        <v>3</v>
      </c>
      <c r="G388" s="2120" t="s">
        <v>9023</v>
      </c>
      <c r="H388" s="2118"/>
      <c r="I388" s="2118" t="s">
        <v>642</v>
      </c>
      <c r="J388" s="2118"/>
      <c r="K388" s="2121">
        <v>690000</v>
      </c>
      <c r="L388" s="2118" t="s">
        <v>251</v>
      </c>
      <c r="M388" s="2117">
        <v>44385</v>
      </c>
      <c r="N388" s="2117">
        <v>44418</v>
      </c>
      <c r="O388" s="2117">
        <v>44454</v>
      </c>
      <c r="P388" s="2120" t="s">
        <v>8793</v>
      </c>
      <c r="Q388" s="2118"/>
      <c r="R388" s="2121">
        <v>690000</v>
      </c>
      <c r="S388" s="2121">
        <v>834900</v>
      </c>
      <c r="T388" s="2122"/>
      <c r="U388" s="2122"/>
      <c r="V388" s="2122"/>
      <c r="W388" s="2123">
        <v>44454</v>
      </c>
      <c r="X388" s="2246" t="s">
        <v>9863</v>
      </c>
      <c r="Y388" s="2117">
        <v>44475</v>
      </c>
      <c r="Z388" s="2117">
        <v>44489</v>
      </c>
      <c r="AA388" s="2117">
        <v>45204</v>
      </c>
      <c r="AB388" s="2117">
        <v>44642</v>
      </c>
      <c r="AC388" s="2110">
        <v>2022</v>
      </c>
      <c r="AD388" s="388" t="s">
        <v>10037</v>
      </c>
    </row>
    <row r="389" spans="1:31" ht="15.75" thickTop="1">
      <c r="A389" s="365">
        <v>44349</v>
      </c>
      <c r="B389" s="2312" t="s">
        <v>9084</v>
      </c>
      <c r="C389" s="2312" t="s">
        <v>9085</v>
      </c>
      <c r="D389" s="2312" t="s">
        <v>6976</v>
      </c>
      <c r="E389" s="175" t="s">
        <v>9086</v>
      </c>
      <c r="F389" s="2312"/>
      <c r="G389" s="2313"/>
      <c r="H389" s="2312"/>
      <c r="I389" s="2312" t="s">
        <v>6978</v>
      </c>
      <c r="J389" s="2312"/>
      <c r="K389" s="364">
        <v>334710</v>
      </c>
      <c r="L389" s="2312" t="s">
        <v>112</v>
      </c>
      <c r="M389" s="365">
        <v>44354</v>
      </c>
      <c r="N389" s="365">
        <v>44362</v>
      </c>
      <c r="O389" s="365">
        <v>44389</v>
      </c>
      <c r="P389" s="2313" t="s">
        <v>9312</v>
      </c>
      <c r="Q389" s="2312"/>
      <c r="R389" s="364">
        <v>180000</v>
      </c>
      <c r="S389" s="364">
        <v>217800</v>
      </c>
      <c r="T389" s="1473"/>
      <c r="U389" s="1473"/>
      <c r="V389" s="1473"/>
      <c r="W389" s="681">
        <v>44390</v>
      </c>
      <c r="X389" s="364" t="s">
        <v>9327</v>
      </c>
      <c r="Y389" s="365">
        <v>44427</v>
      </c>
      <c r="Z389" s="365">
        <v>44439</v>
      </c>
      <c r="AA389" s="365">
        <v>44561</v>
      </c>
      <c r="AB389" s="365">
        <v>44559</v>
      </c>
      <c r="AC389" s="1513"/>
    </row>
    <row r="390" spans="1:31" ht="30">
      <c r="A390" s="537">
        <v>44349</v>
      </c>
      <c r="B390" s="491" t="s">
        <v>9088</v>
      </c>
      <c r="C390" s="491" t="s">
        <v>58</v>
      </c>
      <c r="D390" s="491" t="s">
        <v>4969</v>
      </c>
      <c r="E390" s="571" t="s">
        <v>9089</v>
      </c>
      <c r="F390" s="491"/>
      <c r="G390" s="495"/>
      <c r="H390" s="491"/>
      <c r="I390" s="491" t="s">
        <v>4311</v>
      </c>
      <c r="J390" s="491" t="s">
        <v>9090</v>
      </c>
      <c r="K390" s="536">
        <v>223400</v>
      </c>
      <c r="L390" s="491" t="s">
        <v>112</v>
      </c>
      <c r="M390" s="537">
        <v>44354</v>
      </c>
      <c r="N390" s="537">
        <v>44363</v>
      </c>
      <c r="O390" s="537">
        <v>44371</v>
      </c>
      <c r="P390" s="495" t="s">
        <v>9235</v>
      </c>
      <c r="Q390" s="491"/>
      <c r="R390" s="536">
        <v>196230</v>
      </c>
      <c r="S390" s="536">
        <v>237438.3</v>
      </c>
      <c r="T390" s="1471"/>
      <c r="U390" s="1471"/>
      <c r="V390" s="1471"/>
      <c r="W390" s="573">
        <v>44371</v>
      </c>
      <c r="X390" s="1375" t="s">
        <v>9264</v>
      </c>
      <c r="Y390" s="537">
        <v>44399</v>
      </c>
      <c r="Z390" s="537">
        <v>44404</v>
      </c>
      <c r="AA390" s="537">
        <v>44469</v>
      </c>
      <c r="AB390" s="537">
        <v>44487</v>
      </c>
      <c r="AC390" s="1374" t="s">
        <v>1875</v>
      </c>
    </row>
    <row r="391" spans="1:31">
      <c r="A391" s="537">
        <v>44349</v>
      </c>
      <c r="B391" s="491" t="s">
        <v>9091</v>
      </c>
      <c r="C391" s="491" t="s">
        <v>58</v>
      </c>
      <c r="D391" s="491" t="s">
        <v>4969</v>
      </c>
      <c r="E391" s="571" t="s">
        <v>9092</v>
      </c>
      <c r="F391" s="491"/>
      <c r="G391" s="495"/>
      <c r="H391" s="491"/>
      <c r="I391" s="491" t="s">
        <v>737</v>
      </c>
      <c r="J391" s="491" t="s">
        <v>9093</v>
      </c>
      <c r="K391" s="536">
        <v>46800</v>
      </c>
      <c r="L391" s="491" t="s">
        <v>112</v>
      </c>
      <c r="M391" s="537">
        <v>44351</v>
      </c>
      <c r="N391" s="537">
        <v>44363</v>
      </c>
      <c r="O391" s="537">
        <v>44371</v>
      </c>
      <c r="P391" s="495" t="s">
        <v>144</v>
      </c>
      <c r="Q391" s="491"/>
      <c r="R391" s="536">
        <v>46778</v>
      </c>
      <c r="S391" s="536">
        <v>56601.38</v>
      </c>
      <c r="T391" s="1471"/>
      <c r="U391" s="1471"/>
      <c r="V391" s="1471"/>
      <c r="W391" s="573">
        <v>44371</v>
      </c>
      <c r="X391" s="536" t="s">
        <v>9265</v>
      </c>
      <c r="Y391" s="537">
        <v>44390</v>
      </c>
      <c r="Z391" s="537">
        <v>44393</v>
      </c>
      <c r="AA391" s="537">
        <v>44432</v>
      </c>
      <c r="AB391" s="537">
        <v>44487</v>
      </c>
      <c r="AC391" s="1102"/>
    </row>
    <row r="392" spans="1:31">
      <c r="A392" s="537">
        <v>44349</v>
      </c>
      <c r="B392" s="491" t="s">
        <v>9096</v>
      </c>
      <c r="C392" s="491" t="s">
        <v>69</v>
      </c>
      <c r="D392" s="491" t="s">
        <v>70</v>
      </c>
      <c r="E392" s="571" t="s">
        <v>9097</v>
      </c>
      <c r="F392" s="2425">
        <v>1</v>
      </c>
      <c r="G392" s="2426" t="s">
        <v>9098</v>
      </c>
      <c r="H392" s="491"/>
      <c r="I392" s="491" t="s">
        <v>3435</v>
      </c>
      <c r="J392" s="491"/>
      <c r="K392" s="536">
        <v>14752194</v>
      </c>
      <c r="L392" s="491" t="s">
        <v>251</v>
      </c>
      <c r="M392" s="537">
        <v>44393</v>
      </c>
      <c r="N392" s="537">
        <v>44426</v>
      </c>
      <c r="O392" s="537">
        <v>44491</v>
      </c>
      <c r="P392" s="495" t="s">
        <v>2490</v>
      </c>
      <c r="Q392" s="491"/>
      <c r="R392" s="536">
        <v>14752192.949999999</v>
      </c>
      <c r="S392" s="536">
        <v>16227412.25</v>
      </c>
      <c r="T392" s="1471"/>
      <c r="U392" s="1471"/>
      <c r="V392" s="1471"/>
      <c r="W392" s="573">
        <v>44491</v>
      </c>
      <c r="X392" s="536" t="s">
        <v>10168</v>
      </c>
      <c r="Y392" s="537">
        <v>44530</v>
      </c>
      <c r="Z392" s="537">
        <v>44532</v>
      </c>
      <c r="AA392" s="537">
        <v>45625</v>
      </c>
      <c r="AB392" s="537">
        <v>44648</v>
      </c>
      <c r="AC392" s="1374">
        <v>2022</v>
      </c>
      <c r="AD392" s="388">
        <v>2023</v>
      </c>
      <c r="AE392" s="388" t="s">
        <v>10481</v>
      </c>
    </row>
    <row r="393" spans="1:31">
      <c r="A393" s="537">
        <v>44349</v>
      </c>
      <c r="B393" s="491" t="s">
        <v>9099</v>
      </c>
      <c r="C393" s="491" t="s">
        <v>69</v>
      </c>
      <c r="D393" s="491" t="s">
        <v>70</v>
      </c>
      <c r="E393" s="571" t="s">
        <v>9100</v>
      </c>
      <c r="F393" s="491">
        <v>1</v>
      </c>
      <c r="G393" s="495" t="s">
        <v>4875</v>
      </c>
      <c r="H393" s="491"/>
      <c r="I393" s="491" t="s">
        <v>68</v>
      </c>
      <c r="J393" s="491"/>
      <c r="K393" s="536">
        <v>9567471</v>
      </c>
      <c r="L393" s="491" t="s">
        <v>251</v>
      </c>
      <c r="M393" s="537">
        <v>44356</v>
      </c>
      <c r="N393" s="537">
        <v>44389</v>
      </c>
      <c r="O393" s="537">
        <v>44417</v>
      </c>
      <c r="P393" s="495" t="s">
        <v>576</v>
      </c>
      <c r="Q393" s="491"/>
      <c r="R393" s="536">
        <v>9567470.0999999996</v>
      </c>
      <c r="S393" s="536">
        <v>10524217.109999999</v>
      </c>
      <c r="T393" s="1471"/>
      <c r="U393" s="1471"/>
      <c r="V393" s="1471"/>
      <c r="W393" s="573">
        <v>44418</v>
      </c>
      <c r="X393" s="536" t="s">
        <v>9578</v>
      </c>
      <c r="Y393" s="537">
        <v>44442</v>
      </c>
      <c r="Z393" s="537">
        <v>44448</v>
      </c>
      <c r="AA393" s="537">
        <v>45537</v>
      </c>
      <c r="AB393" s="537">
        <v>44648</v>
      </c>
      <c r="AC393" s="1374">
        <v>2022</v>
      </c>
      <c r="AD393" s="388">
        <v>2023</v>
      </c>
      <c r="AE393" s="388" t="s">
        <v>9813</v>
      </c>
    </row>
    <row r="394" spans="1:31" ht="15.75" thickBot="1">
      <c r="A394" s="464">
        <v>44349</v>
      </c>
      <c r="B394" s="406" t="s">
        <v>9101</v>
      </c>
      <c r="C394" s="406" t="s">
        <v>69</v>
      </c>
      <c r="D394" s="406" t="s">
        <v>70</v>
      </c>
      <c r="E394" s="462" t="s">
        <v>9102</v>
      </c>
      <c r="F394" s="406">
        <v>1</v>
      </c>
      <c r="G394" s="1425" t="s">
        <v>9103</v>
      </c>
      <c r="H394" s="1437"/>
      <c r="I394" s="406" t="s">
        <v>9104</v>
      </c>
      <c r="J394" s="406"/>
      <c r="K394" s="465">
        <v>29548800</v>
      </c>
      <c r="L394" s="406" t="s">
        <v>251</v>
      </c>
      <c r="M394" s="464">
        <v>44425</v>
      </c>
      <c r="N394" s="464">
        <v>44481</v>
      </c>
      <c r="O394" s="464">
        <v>44526</v>
      </c>
      <c r="P394" s="1425" t="s">
        <v>993</v>
      </c>
      <c r="Q394" s="406"/>
      <c r="R394" s="465">
        <v>28645920</v>
      </c>
      <c r="S394" s="465">
        <v>31510512</v>
      </c>
      <c r="T394" s="1490"/>
      <c r="U394" s="1490"/>
      <c r="V394" s="1490"/>
      <c r="W394" s="1809">
        <v>44526</v>
      </c>
      <c r="X394" s="465" t="s">
        <v>10441</v>
      </c>
      <c r="Y394" s="406"/>
      <c r="Z394" s="406"/>
      <c r="AA394" s="406"/>
      <c r="AB394" s="406"/>
      <c r="AC394" s="406"/>
    </row>
    <row r="395" spans="1:31" ht="45.75" thickTop="1">
      <c r="A395" s="474">
        <v>44350</v>
      </c>
      <c r="B395" s="453" t="s">
        <v>9110</v>
      </c>
      <c r="C395" s="453" t="s">
        <v>2434</v>
      </c>
      <c r="D395" s="453" t="s">
        <v>3204</v>
      </c>
      <c r="E395" s="1997" t="s">
        <v>9111</v>
      </c>
      <c r="F395" s="453"/>
      <c r="G395" s="2043"/>
      <c r="H395" s="453"/>
      <c r="I395" s="2340" t="s">
        <v>4208</v>
      </c>
      <c r="J395" s="453"/>
      <c r="K395" s="457">
        <v>10047872</v>
      </c>
      <c r="L395" s="453" t="s">
        <v>251</v>
      </c>
      <c r="M395" s="474">
        <v>44363</v>
      </c>
      <c r="N395" s="474">
        <v>44396</v>
      </c>
      <c r="O395" s="474">
        <v>44433</v>
      </c>
      <c r="P395" s="1420" t="s">
        <v>9585</v>
      </c>
      <c r="Q395" s="453"/>
      <c r="R395" s="457">
        <v>9248125</v>
      </c>
      <c r="S395" s="457">
        <v>10635343.75</v>
      </c>
      <c r="T395" s="1474"/>
      <c r="U395" s="1474"/>
      <c r="V395" s="1474"/>
      <c r="W395" s="570">
        <v>44434</v>
      </c>
      <c r="X395" s="1387" t="s">
        <v>9726</v>
      </c>
      <c r="Y395" s="474">
        <v>44454</v>
      </c>
      <c r="Z395" s="474">
        <v>44460</v>
      </c>
      <c r="AA395" s="474">
        <v>45549</v>
      </c>
      <c r="AB395" s="474">
        <v>44642</v>
      </c>
      <c r="AC395" s="1391">
        <v>2022</v>
      </c>
      <c r="AD395" s="388">
        <v>2023</v>
      </c>
      <c r="AE395" s="388" t="s">
        <v>9852</v>
      </c>
    </row>
    <row r="396" spans="1:31">
      <c r="A396" s="365">
        <v>44351</v>
      </c>
      <c r="B396" s="2282" t="s">
        <v>9116</v>
      </c>
      <c r="C396" s="2282" t="s">
        <v>52</v>
      </c>
      <c r="D396" s="2282" t="s">
        <v>7503</v>
      </c>
      <c r="E396" s="175" t="s">
        <v>9117</v>
      </c>
      <c r="F396" s="2282"/>
      <c r="G396" s="2283"/>
      <c r="H396" s="2282"/>
      <c r="I396" s="2282" t="s">
        <v>33</v>
      </c>
      <c r="J396" s="2282" t="s">
        <v>9115</v>
      </c>
      <c r="K396" s="364">
        <v>3200000</v>
      </c>
      <c r="L396" s="2282" t="s">
        <v>112</v>
      </c>
      <c r="M396" s="365">
        <v>44355</v>
      </c>
      <c r="N396" s="365">
        <v>44363</v>
      </c>
      <c r="O396" s="365">
        <v>44364</v>
      </c>
      <c r="P396" s="2283" t="s">
        <v>8304</v>
      </c>
      <c r="Q396" s="2282"/>
      <c r="R396" s="364">
        <v>3299942</v>
      </c>
      <c r="S396" s="364">
        <v>3992929.82</v>
      </c>
      <c r="T396" s="1473"/>
      <c r="U396" s="1473"/>
      <c r="V396" s="1473"/>
      <c r="W396" s="681">
        <v>44365</v>
      </c>
      <c r="X396" s="364" t="s">
        <v>9225</v>
      </c>
      <c r="Y396" s="365">
        <v>44391</v>
      </c>
      <c r="Z396" s="365">
        <v>44393</v>
      </c>
      <c r="AA396" s="365">
        <f>Y396+45</f>
        <v>44436</v>
      </c>
      <c r="AB396" s="365">
        <v>44543</v>
      </c>
      <c r="AC396" s="1513"/>
    </row>
    <row r="397" spans="1:31" ht="30">
      <c r="A397" s="537">
        <v>44351</v>
      </c>
      <c r="B397" s="491" t="s">
        <v>9124</v>
      </c>
      <c r="C397" s="491" t="s">
        <v>58</v>
      </c>
      <c r="D397" s="491" t="s">
        <v>4969</v>
      </c>
      <c r="E397" s="571" t="s">
        <v>9125</v>
      </c>
      <c r="F397" s="491"/>
      <c r="G397" s="495"/>
      <c r="H397" s="491"/>
      <c r="I397" s="491" t="s">
        <v>1159</v>
      </c>
      <c r="J397" s="491" t="s">
        <v>9126</v>
      </c>
      <c r="K397" s="536">
        <v>153330</v>
      </c>
      <c r="L397" s="491" t="s">
        <v>112</v>
      </c>
      <c r="M397" s="537">
        <v>44356</v>
      </c>
      <c r="N397" s="537">
        <v>44365</v>
      </c>
      <c r="O397" s="537">
        <v>44371</v>
      </c>
      <c r="P397" s="495" t="s">
        <v>8117</v>
      </c>
      <c r="Q397" s="491"/>
      <c r="R397" s="536">
        <v>137600</v>
      </c>
      <c r="S397" s="536">
        <v>166496</v>
      </c>
      <c r="T397" s="1471"/>
      <c r="U397" s="1471"/>
      <c r="V397" s="1471"/>
      <c r="W397" s="573">
        <v>44371</v>
      </c>
      <c r="X397" s="1375" t="s">
        <v>9266</v>
      </c>
      <c r="Y397" s="537">
        <v>44400</v>
      </c>
      <c r="Z397" s="537">
        <v>44406</v>
      </c>
      <c r="AA397" s="537">
        <v>44456</v>
      </c>
      <c r="AB397" s="537">
        <v>44536</v>
      </c>
      <c r="AC397" s="1374" t="s">
        <v>1875</v>
      </c>
    </row>
    <row r="398" spans="1:31" ht="30">
      <c r="A398" s="537">
        <v>44351</v>
      </c>
      <c r="B398" s="491" t="s">
        <v>9137</v>
      </c>
      <c r="C398" s="491" t="s">
        <v>58</v>
      </c>
      <c r="D398" s="491" t="s">
        <v>4969</v>
      </c>
      <c r="E398" s="571" t="s">
        <v>9138</v>
      </c>
      <c r="F398" s="491"/>
      <c r="G398" s="495"/>
      <c r="H398" s="491"/>
      <c r="I398" s="491" t="s">
        <v>780</v>
      </c>
      <c r="J398" s="491" t="s">
        <v>9139</v>
      </c>
      <c r="K398" s="536">
        <v>281900</v>
      </c>
      <c r="L398" s="491" t="s">
        <v>112</v>
      </c>
      <c r="M398" s="537">
        <v>44357</v>
      </c>
      <c r="N398" s="537">
        <v>44369</v>
      </c>
      <c r="O398" s="537">
        <v>44378</v>
      </c>
      <c r="P398" s="495" t="s">
        <v>9276</v>
      </c>
      <c r="Q398" s="491"/>
      <c r="R398" s="536">
        <v>279360</v>
      </c>
      <c r="S398" s="536">
        <v>338025.6</v>
      </c>
      <c r="T398" s="1471"/>
      <c r="U398" s="1471"/>
      <c r="V398" s="1471"/>
      <c r="W398" s="573">
        <v>44379</v>
      </c>
      <c r="X398" s="1375" t="s">
        <v>9290</v>
      </c>
      <c r="Y398" s="537">
        <v>44398</v>
      </c>
      <c r="Z398" s="537">
        <v>44399</v>
      </c>
      <c r="AA398" s="537">
        <v>44454</v>
      </c>
      <c r="AB398" s="537">
        <v>44519</v>
      </c>
      <c r="AC398" s="1374" t="s">
        <v>1875</v>
      </c>
    </row>
    <row r="399" spans="1:31" ht="15.75" thickBot="1">
      <c r="A399" s="464">
        <v>44356</v>
      </c>
      <c r="B399" s="406" t="s">
        <v>9140</v>
      </c>
      <c r="C399" s="406" t="s">
        <v>52</v>
      </c>
      <c r="D399" s="406" t="s">
        <v>3981</v>
      </c>
      <c r="E399" s="462" t="s">
        <v>9141</v>
      </c>
      <c r="F399" s="406"/>
      <c r="G399" s="1425"/>
      <c r="H399" s="590"/>
      <c r="I399" s="406" t="s">
        <v>484</v>
      </c>
      <c r="J399" s="406" t="s">
        <v>9142</v>
      </c>
      <c r="K399" s="465">
        <v>2300000</v>
      </c>
      <c r="L399" s="406" t="s">
        <v>216</v>
      </c>
      <c r="M399" s="464">
        <v>44456</v>
      </c>
      <c r="N399" s="464">
        <v>44475</v>
      </c>
      <c r="O399" s="464">
        <v>44524</v>
      </c>
      <c r="P399" s="1425" t="s">
        <v>3500</v>
      </c>
      <c r="Q399" s="406"/>
      <c r="R399" s="465">
        <v>2850000</v>
      </c>
      <c r="S399" s="465">
        <v>3448500</v>
      </c>
      <c r="T399" s="1484"/>
      <c r="U399" s="1484"/>
      <c r="V399" s="1484"/>
      <c r="W399" s="1809">
        <v>44524</v>
      </c>
      <c r="X399" s="465" t="s">
        <v>10410</v>
      </c>
      <c r="Y399" s="406"/>
      <c r="Z399" s="406"/>
      <c r="AA399" s="406"/>
      <c r="AB399" s="406"/>
      <c r="AC399" s="406"/>
    </row>
    <row r="400" spans="1:31" ht="15.75" thickTop="1">
      <c r="A400" s="439" t="s">
        <v>3585</v>
      </c>
      <c r="B400" s="439" t="s">
        <v>9143</v>
      </c>
      <c r="C400" s="439" t="s">
        <v>58</v>
      </c>
      <c r="D400" s="439" t="s">
        <v>4969</v>
      </c>
      <c r="E400" s="440" t="s">
        <v>9144</v>
      </c>
      <c r="F400" s="439">
        <v>1</v>
      </c>
      <c r="G400" s="1431" t="s">
        <v>9041</v>
      </c>
      <c r="H400" s="506"/>
      <c r="I400" s="439" t="s">
        <v>9031</v>
      </c>
      <c r="J400" s="439" t="s">
        <v>9032</v>
      </c>
      <c r="K400" s="444">
        <v>132000</v>
      </c>
      <c r="L400" s="439" t="s">
        <v>112</v>
      </c>
      <c r="M400" s="443">
        <v>44357</v>
      </c>
      <c r="N400" s="443">
        <v>44369</v>
      </c>
      <c r="O400" s="439"/>
      <c r="P400" s="644" t="s">
        <v>9335</v>
      </c>
      <c r="Q400" s="2015" t="s">
        <v>9482</v>
      </c>
      <c r="R400" s="444"/>
      <c r="S400" s="444"/>
      <c r="T400" s="1470"/>
      <c r="U400" s="1470"/>
      <c r="V400" s="1470"/>
      <c r="W400" s="444"/>
      <c r="X400" s="444"/>
      <c r="Y400" s="439"/>
      <c r="Z400" s="443">
        <v>44400</v>
      </c>
      <c r="AA400" s="439"/>
      <c r="AB400" s="439"/>
      <c r="AC400" s="439"/>
    </row>
    <row r="401" spans="1:31" ht="15.75" thickBot="1">
      <c r="A401" s="639" t="s">
        <v>3585</v>
      </c>
      <c r="B401" s="639" t="s">
        <v>9143</v>
      </c>
      <c r="C401" s="639" t="s">
        <v>58</v>
      </c>
      <c r="D401" s="639" t="s">
        <v>4969</v>
      </c>
      <c r="E401" s="640" t="s">
        <v>9144</v>
      </c>
      <c r="F401" s="639">
        <v>2</v>
      </c>
      <c r="G401" s="1533" t="s">
        <v>9042</v>
      </c>
      <c r="H401" s="639"/>
      <c r="I401" s="639" t="s">
        <v>9031</v>
      </c>
      <c r="J401" s="639" t="s">
        <v>9032</v>
      </c>
      <c r="K401" s="645">
        <v>221000</v>
      </c>
      <c r="L401" s="639" t="s">
        <v>112</v>
      </c>
      <c r="M401" s="643">
        <v>44357</v>
      </c>
      <c r="N401" s="643">
        <v>44369</v>
      </c>
      <c r="O401" s="639"/>
      <c r="P401" s="644" t="s">
        <v>9335</v>
      </c>
      <c r="Q401" s="831" t="s">
        <v>9482</v>
      </c>
      <c r="R401" s="645"/>
      <c r="S401" s="645"/>
      <c r="T401" s="1534"/>
      <c r="U401" s="1534"/>
      <c r="V401" s="1534"/>
      <c r="W401" s="645"/>
      <c r="X401" s="645"/>
      <c r="Y401" s="639"/>
      <c r="Z401" s="643">
        <v>44389</v>
      </c>
      <c r="AA401" s="639"/>
      <c r="AB401" s="639"/>
      <c r="AC401" s="639"/>
    </row>
    <row r="402" spans="1:31" ht="15.75" thickTop="1">
      <c r="A402" s="443">
        <v>44356</v>
      </c>
      <c r="B402" s="439" t="s">
        <v>9153</v>
      </c>
      <c r="C402" s="439" t="s">
        <v>69</v>
      </c>
      <c r="D402" s="439" t="s">
        <v>70</v>
      </c>
      <c r="E402" s="440" t="s">
        <v>9148</v>
      </c>
      <c r="F402" s="439">
        <v>1</v>
      </c>
      <c r="G402" s="1431" t="s">
        <v>9149</v>
      </c>
      <c r="H402" s="583"/>
      <c r="I402" s="439" t="s">
        <v>42</v>
      </c>
      <c r="J402" s="439"/>
      <c r="K402" s="444">
        <v>2006548</v>
      </c>
      <c r="L402" s="439" t="s">
        <v>216</v>
      </c>
      <c r="M402" s="443">
        <v>44370</v>
      </c>
      <c r="N402" s="443">
        <v>44390</v>
      </c>
      <c r="O402" s="439"/>
      <c r="P402" s="1431" t="s">
        <v>9324</v>
      </c>
      <c r="Q402" s="2377" t="s">
        <v>9325</v>
      </c>
      <c r="R402" s="444"/>
      <c r="S402" s="444"/>
      <c r="T402" s="1483"/>
      <c r="U402" s="1483"/>
      <c r="V402" s="1483"/>
      <c r="W402" s="444"/>
      <c r="X402" s="444"/>
      <c r="Y402" s="439"/>
      <c r="Z402" s="443">
        <v>44390</v>
      </c>
      <c r="AA402" s="1431" t="s">
        <v>9323</v>
      </c>
      <c r="AB402" s="439"/>
      <c r="AC402" s="439"/>
    </row>
    <row r="403" spans="1:31">
      <c r="A403" s="470">
        <v>44356</v>
      </c>
      <c r="B403" s="466" t="s">
        <v>9153</v>
      </c>
      <c r="C403" s="466" t="s">
        <v>69</v>
      </c>
      <c r="D403" s="466" t="s">
        <v>70</v>
      </c>
      <c r="E403" s="467" t="s">
        <v>9148</v>
      </c>
      <c r="F403" s="2125">
        <v>2</v>
      </c>
      <c r="G403" s="654" t="s">
        <v>9150</v>
      </c>
      <c r="H403" s="2085"/>
      <c r="I403" s="466" t="s">
        <v>42</v>
      </c>
      <c r="J403" s="2125"/>
      <c r="K403" s="2128">
        <v>1149222</v>
      </c>
      <c r="L403" s="2125" t="s">
        <v>216</v>
      </c>
      <c r="M403" s="2124">
        <v>44370</v>
      </c>
      <c r="N403" s="2124">
        <v>44390</v>
      </c>
      <c r="O403" s="2125"/>
      <c r="P403" s="2127" t="s">
        <v>9324</v>
      </c>
      <c r="Q403" s="2444" t="s">
        <v>9325</v>
      </c>
      <c r="R403" s="2128"/>
      <c r="S403" s="2128"/>
      <c r="T403" s="2094"/>
      <c r="U403" s="2094"/>
      <c r="V403" s="2094"/>
      <c r="W403" s="2128"/>
      <c r="X403" s="2128"/>
      <c r="Y403" s="2125"/>
      <c r="Z403" s="2124">
        <v>44390</v>
      </c>
      <c r="AA403" s="2127" t="s">
        <v>9323</v>
      </c>
      <c r="AB403" s="2125"/>
      <c r="AC403" s="2125"/>
    </row>
    <row r="404" spans="1:31">
      <c r="A404" s="470">
        <v>44356</v>
      </c>
      <c r="B404" s="466" t="s">
        <v>9153</v>
      </c>
      <c r="C404" s="466" t="s">
        <v>69</v>
      </c>
      <c r="D404" s="466" t="s">
        <v>70</v>
      </c>
      <c r="E404" s="467" t="s">
        <v>9148</v>
      </c>
      <c r="F404" s="2125">
        <v>3</v>
      </c>
      <c r="G404" s="654" t="s">
        <v>9151</v>
      </c>
      <c r="H404" s="2085"/>
      <c r="I404" s="466" t="s">
        <v>42</v>
      </c>
      <c r="J404" s="2125"/>
      <c r="K404" s="2128">
        <v>54000</v>
      </c>
      <c r="L404" s="2125" t="s">
        <v>216</v>
      </c>
      <c r="M404" s="2124">
        <v>44370</v>
      </c>
      <c r="N404" s="2124">
        <v>44390</v>
      </c>
      <c r="O404" s="2125"/>
      <c r="P404" s="2127" t="s">
        <v>9324</v>
      </c>
      <c r="Q404" s="2314" t="s">
        <v>9325</v>
      </c>
      <c r="R404" s="2128"/>
      <c r="S404" s="2128"/>
      <c r="T404" s="2094"/>
      <c r="U404" s="2094"/>
      <c r="V404" s="2094"/>
      <c r="W404" s="2128"/>
      <c r="X404" s="2128"/>
      <c r="Y404" s="2125"/>
      <c r="Z404" s="2124">
        <v>44390</v>
      </c>
      <c r="AA404" s="2127" t="s">
        <v>9323</v>
      </c>
      <c r="AB404" s="2125"/>
      <c r="AC404" s="2125"/>
    </row>
    <row r="405" spans="1:31" ht="15.75" thickBot="1">
      <c r="A405" s="847">
        <v>44356</v>
      </c>
      <c r="B405" s="843" t="s">
        <v>9153</v>
      </c>
      <c r="C405" s="843" t="s">
        <v>69</v>
      </c>
      <c r="D405" s="843" t="s">
        <v>70</v>
      </c>
      <c r="E405" s="844" t="s">
        <v>9148</v>
      </c>
      <c r="F405" s="2131">
        <v>4</v>
      </c>
      <c r="G405" s="2273" t="s">
        <v>9152</v>
      </c>
      <c r="H405" s="2089"/>
      <c r="I405" s="843" t="s">
        <v>42</v>
      </c>
      <c r="J405" s="2131"/>
      <c r="K405" s="2134">
        <v>184158</v>
      </c>
      <c r="L405" s="2131" t="s">
        <v>216</v>
      </c>
      <c r="M405" s="2130">
        <v>44370</v>
      </c>
      <c r="N405" s="2130">
        <v>44390</v>
      </c>
      <c r="O405" s="2131"/>
      <c r="P405" s="2133" t="s">
        <v>9324</v>
      </c>
      <c r="Q405" s="2378" t="s">
        <v>9325</v>
      </c>
      <c r="R405" s="2134"/>
      <c r="S405" s="2134"/>
      <c r="T405" s="2095"/>
      <c r="U405" s="2095"/>
      <c r="V405" s="2095"/>
      <c r="W405" s="2134"/>
      <c r="X405" s="2134"/>
      <c r="Y405" s="2131"/>
      <c r="Z405" s="2130">
        <v>44390</v>
      </c>
      <c r="AA405" s="2133" t="s">
        <v>9323</v>
      </c>
      <c r="AB405" s="2131"/>
      <c r="AC405" s="2131"/>
    </row>
    <row r="406" spans="1:31" ht="15.75" thickTop="1">
      <c r="A406" s="470">
        <v>44357</v>
      </c>
      <c r="B406" s="466" t="s">
        <v>9154</v>
      </c>
      <c r="C406" s="466" t="s">
        <v>2434</v>
      </c>
      <c r="D406" s="466" t="s">
        <v>3204</v>
      </c>
      <c r="E406" s="467" t="s">
        <v>4468</v>
      </c>
      <c r="F406" s="466"/>
      <c r="G406" s="654"/>
      <c r="H406" s="466"/>
      <c r="I406" s="466" t="s">
        <v>642</v>
      </c>
      <c r="J406" s="466"/>
      <c r="K406" s="472">
        <v>2876000</v>
      </c>
      <c r="L406" s="466" t="s">
        <v>216</v>
      </c>
      <c r="M406" s="470">
        <v>44363</v>
      </c>
      <c r="N406" s="470">
        <v>44397</v>
      </c>
      <c r="O406" s="466"/>
      <c r="P406" s="471" t="s">
        <v>304</v>
      </c>
      <c r="Q406" s="2014" t="s">
        <v>10522</v>
      </c>
      <c r="R406" s="472"/>
      <c r="S406" s="472"/>
      <c r="T406" s="1516"/>
      <c r="U406" s="1516"/>
      <c r="V406" s="1516"/>
      <c r="W406" s="472"/>
      <c r="X406" s="472"/>
      <c r="Y406" s="466"/>
      <c r="Z406" s="470">
        <v>44400</v>
      </c>
      <c r="AA406" s="654" t="s">
        <v>9428</v>
      </c>
      <c r="AB406" s="466"/>
      <c r="AC406" s="466"/>
    </row>
    <row r="407" spans="1:31" ht="30">
      <c r="A407" s="537">
        <v>44357</v>
      </c>
      <c r="B407" s="491" t="s">
        <v>9155</v>
      </c>
      <c r="C407" s="491" t="s">
        <v>2434</v>
      </c>
      <c r="D407" s="491" t="s">
        <v>3204</v>
      </c>
      <c r="E407" s="571" t="s">
        <v>9156</v>
      </c>
      <c r="F407" s="491"/>
      <c r="G407" s="495"/>
      <c r="H407" s="491"/>
      <c r="I407" s="491" t="s">
        <v>642</v>
      </c>
      <c r="J407" s="491"/>
      <c r="K407" s="536">
        <v>18347040</v>
      </c>
      <c r="L407" s="491" t="s">
        <v>251</v>
      </c>
      <c r="M407" s="537">
        <v>44371</v>
      </c>
      <c r="N407" s="537">
        <v>44404</v>
      </c>
      <c r="O407" s="537">
        <v>44431</v>
      </c>
      <c r="P407" s="495" t="s">
        <v>2974</v>
      </c>
      <c r="Q407" s="491"/>
      <c r="R407" s="536">
        <v>18347040</v>
      </c>
      <c r="S407" s="536">
        <v>21099096</v>
      </c>
      <c r="T407" s="1471"/>
      <c r="U407" s="1471"/>
      <c r="V407" s="1471"/>
      <c r="W407" s="573">
        <v>44431</v>
      </c>
      <c r="X407" s="1375" t="s">
        <v>9713</v>
      </c>
      <c r="Y407" s="537">
        <v>44473</v>
      </c>
      <c r="Z407" s="537">
        <v>44487</v>
      </c>
      <c r="AA407" s="537">
        <v>45568</v>
      </c>
      <c r="AB407" s="537">
        <v>44642</v>
      </c>
      <c r="AC407" s="1374">
        <v>2022</v>
      </c>
      <c r="AD407" s="388">
        <v>2023</v>
      </c>
      <c r="AE407" s="388" t="s">
        <v>10005</v>
      </c>
    </row>
    <row r="408" spans="1:31">
      <c r="A408" s="510">
        <v>44356</v>
      </c>
      <c r="B408" s="356" t="s">
        <v>9164</v>
      </c>
      <c r="C408" s="506" t="s">
        <v>2111</v>
      </c>
      <c r="D408" s="506" t="s">
        <v>9080</v>
      </c>
      <c r="E408" s="1573" t="s">
        <v>9163</v>
      </c>
      <c r="F408" s="506"/>
      <c r="G408" s="548"/>
      <c r="H408" s="506"/>
      <c r="I408" s="506" t="s">
        <v>3495</v>
      </c>
      <c r="J408" s="506"/>
      <c r="K408" s="511">
        <v>1100000</v>
      </c>
      <c r="L408" s="506" t="s">
        <v>112</v>
      </c>
      <c r="M408" s="510">
        <v>44365</v>
      </c>
      <c r="N408" s="510">
        <v>44375</v>
      </c>
      <c r="O408" s="506"/>
      <c r="P408" s="736" t="s">
        <v>9291</v>
      </c>
      <c r="Q408" s="761" t="s">
        <v>9432</v>
      </c>
      <c r="R408" s="511"/>
      <c r="S408" s="511"/>
      <c r="T408" s="1470"/>
      <c r="U408" s="1470"/>
      <c r="V408" s="1470"/>
      <c r="W408" s="511"/>
      <c r="X408" s="511"/>
      <c r="Y408" s="506"/>
      <c r="Z408" s="510">
        <v>44386</v>
      </c>
      <c r="AA408" s="506"/>
      <c r="AB408" s="506"/>
      <c r="AC408" s="506"/>
    </row>
    <row r="409" spans="1:31">
      <c r="A409" s="510">
        <v>44357</v>
      </c>
      <c r="B409" s="506" t="s">
        <v>9166</v>
      </c>
      <c r="C409" s="506" t="s">
        <v>58</v>
      </c>
      <c r="D409" s="506" t="s">
        <v>4969</v>
      </c>
      <c r="E409" s="507" t="s">
        <v>9165</v>
      </c>
      <c r="F409" s="506"/>
      <c r="G409" s="548"/>
      <c r="H409" s="506"/>
      <c r="I409" s="506" t="s">
        <v>1159</v>
      </c>
      <c r="J409" s="506" t="s">
        <v>9167</v>
      </c>
      <c r="K409" s="511">
        <v>1305785</v>
      </c>
      <c r="L409" s="506" t="s">
        <v>112</v>
      </c>
      <c r="M409" s="510">
        <v>44363</v>
      </c>
      <c r="N409" s="510">
        <v>44372</v>
      </c>
      <c r="O409" s="506"/>
      <c r="P409" s="736" t="s">
        <v>9291</v>
      </c>
      <c r="Q409" s="1978" t="s">
        <v>9431</v>
      </c>
      <c r="R409" s="511"/>
      <c r="S409" s="511"/>
      <c r="T409" s="1470"/>
      <c r="U409" s="1470"/>
      <c r="V409" s="1470"/>
      <c r="W409" s="511"/>
      <c r="X409" s="511"/>
      <c r="Y409" s="506"/>
      <c r="Z409" s="510">
        <v>44386</v>
      </c>
      <c r="AA409" s="506"/>
      <c r="AB409" s="506"/>
      <c r="AC409" s="506"/>
    </row>
    <row r="410" spans="1:31" ht="30">
      <c r="A410" s="537">
        <v>44357</v>
      </c>
      <c r="B410" s="491" t="s">
        <v>9168</v>
      </c>
      <c r="C410" s="491" t="s">
        <v>58</v>
      </c>
      <c r="D410" s="491" t="s">
        <v>4969</v>
      </c>
      <c r="E410" s="571" t="s">
        <v>9169</v>
      </c>
      <c r="F410" s="491"/>
      <c r="G410" s="495"/>
      <c r="H410" s="491"/>
      <c r="I410" s="491" t="s">
        <v>1159</v>
      </c>
      <c r="J410" s="491" t="s">
        <v>9170</v>
      </c>
      <c r="K410" s="536">
        <v>966942</v>
      </c>
      <c r="L410" s="491" t="s">
        <v>112</v>
      </c>
      <c r="M410" s="537">
        <v>44363</v>
      </c>
      <c r="N410" s="537">
        <v>44376</v>
      </c>
      <c r="O410" s="537">
        <v>44392</v>
      </c>
      <c r="P410" s="495" t="s">
        <v>9345</v>
      </c>
      <c r="Q410" s="491"/>
      <c r="R410" s="536">
        <v>642041</v>
      </c>
      <c r="S410" s="536">
        <v>776874</v>
      </c>
      <c r="T410" s="1471"/>
      <c r="U410" s="1471"/>
      <c r="V410" s="1471"/>
      <c r="W410" s="573">
        <v>44392</v>
      </c>
      <c r="X410" s="1375" t="s">
        <v>9367</v>
      </c>
      <c r="Y410" s="537">
        <v>44419</v>
      </c>
      <c r="Z410" s="537">
        <v>44424</v>
      </c>
      <c r="AA410" s="537">
        <v>44475</v>
      </c>
      <c r="AB410" s="537">
        <v>44559</v>
      </c>
      <c r="AC410" s="1374" t="s">
        <v>1875</v>
      </c>
    </row>
    <row r="411" spans="1:31">
      <c r="A411" s="510">
        <v>44357</v>
      </c>
      <c r="B411" s="506" t="s">
        <v>9171</v>
      </c>
      <c r="C411" s="506" t="s">
        <v>2111</v>
      </c>
      <c r="D411" s="506" t="s">
        <v>9080</v>
      </c>
      <c r="E411" s="507" t="s">
        <v>9172</v>
      </c>
      <c r="F411" s="506"/>
      <c r="G411" s="548"/>
      <c r="H411" s="506"/>
      <c r="I411" s="506" t="s">
        <v>2824</v>
      </c>
      <c r="J411" s="506"/>
      <c r="K411" s="511">
        <v>1998000</v>
      </c>
      <c r="L411" s="506" t="s">
        <v>112</v>
      </c>
      <c r="M411" s="510">
        <v>44390</v>
      </c>
      <c r="N411" s="510">
        <v>44399</v>
      </c>
      <c r="O411" s="506"/>
      <c r="P411" s="736" t="s">
        <v>9740</v>
      </c>
      <c r="Q411" s="1985" t="s">
        <v>9752</v>
      </c>
      <c r="R411" s="511"/>
      <c r="S411" s="511"/>
      <c r="T411" s="1470"/>
      <c r="U411" s="1470"/>
      <c r="V411" s="1470"/>
      <c r="W411" s="511"/>
      <c r="X411" s="511"/>
      <c r="Y411" s="506"/>
      <c r="Z411" s="510">
        <v>44439</v>
      </c>
      <c r="AA411" s="506"/>
      <c r="AB411" s="506"/>
      <c r="AC411" s="506"/>
    </row>
    <row r="412" spans="1:31" ht="45">
      <c r="A412" s="491" t="s">
        <v>3585</v>
      </c>
      <c r="B412" s="491" t="s">
        <v>9177</v>
      </c>
      <c r="C412" s="491" t="s">
        <v>2434</v>
      </c>
      <c r="D412" s="491" t="s">
        <v>219</v>
      </c>
      <c r="E412" s="571" t="s">
        <v>9178</v>
      </c>
      <c r="F412" s="491"/>
      <c r="G412" s="495"/>
      <c r="H412" s="491"/>
      <c r="I412" s="491" t="s">
        <v>642</v>
      </c>
      <c r="J412" s="491"/>
      <c r="K412" s="536">
        <v>1457850</v>
      </c>
      <c r="L412" s="491" t="s">
        <v>112</v>
      </c>
      <c r="M412" s="537">
        <v>44363</v>
      </c>
      <c r="N412" s="537">
        <v>44375</v>
      </c>
      <c r="O412" s="537">
        <v>44390</v>
      </c>
      <c r="P412" s="495" t="s">
        <v>9313</v>
      </c>
      <c r="Q412" s="491"/>
      <c r="R412" s="536">
        <v>1457849.88</v>
      </c>
      <c r="S412" s="536">
        <v>1763998.35</v>
      </c>
      <c r="T412" s="1471"/>
      <c r="U412" s="1471"/>
      <c r="V412" s="1471"/>
      <c r="W412" s="573">
        <v>44390</v>
      </c>
      <c r="X412" s="1375" t="s">
        <v>9339</v>
      </c>
      <c r="Y412" s="537">
        <v>44454</v>
      </c>
      <c r="Z412" s="537">
        <v>44460</v>
      </c>
      <c r="AA412" s="537">
        <v>45549</v>
      </c>
      <c r="AB412" s="537">
        <v>44642</v>
      </c>
      <c r="AC412" s="1374">
        <v>2022</v>
      </c>
      <c r="AD412" s="388">
        <v>2023</v>
      </c>
      <c r="AE412" s="388" t="s">
        <v>9852</v>
      </c>
    </row>
    <row r="413" spans="1:31">
      <c r="A413" s="510">
        <v>44356</v>
      </c>
      <c r="B413" s="506" t="s">
        <v>9192</v>
      </c>
      <c r="C413" s="506" t="s">
        <v>9800</v>
      </c>
      <c r="D413" s="506" t="s">
        <v>232</v>
      </c>
      <c r="E413" s="507" t="s">
        <v>9193</v>
      </c>
      <c r="F413" s="506"/>
      <c r="G413" s="548"/>
      <c r="H413" s="590"/>
      <c r="I413" s="506" t="s">
        <v>237</v>
      </c>
      <c r="J413" s="506"/>
      <c r="K413" s="511">
        <v>200000</v>
      </c>
      <c r="L413" s="506" t="s">
        <v>112</v>
      </c>
      <c r="M413" s="510">
        <v>44442</v>
      </c>
      <c r="N413" s="510">
        <v>44459</v>
      </c>
      <c r="O413" s="506"/>
      <c r="P413" s="736" t="s">
        <v>4505</v>
      </c>
      <c r="Q413" s="514" t="s">
        <v>10025</v>
      </c>
      <c r="R413" s="511"/>
      <c r="S413" s="511"/>
      <c r="T413" s="1484"/>
      <c r="U413" s="1484"/>
      <c r="V413" s="1484"/>
      <c r="W413" s="511"/>
      <c r="X413" s="511"/>
      <c r="Y413" s="506"/>
      <c r="Z413" s="510">
        <v>44474</v>
      </c>
      <c r="AA413" s="506"/>
      <c r="AB413" s="506"/>
      <c r="AC413" s="506"/>
    </row>
    <row r="414" spans="1:31">
      <c r="A414" s="537">
        <v>44358</v>
      </c>
      <c r="B414" s="491" t="s">
        <v>9194</v>
      </c>
      <c r="C414" s="491" t="s">
        <v>52</v>
      </c>
      <c r="D414" s="491" t="s">
        <v>2588</v>
      </c>
      <c r="E414" s="571" t="s">
        <v>9195</v>
      </c>
      <c r="F414" s="491"/>
      <c r="G414" s="495"/>
      <c r="H414" s="491"/>
      <c r="I414" s="491" t="s">
        <v>484</v>
      </c>
      <c r="J414" s="491" t="s">
        <v>9196</v>
      </c>
      <c r="K414" s="536">
        <v>1950000</v>
      </c>
      <c r="L414" s="491" t="s">
        <v>112</v>
      </c>
      <c r="M414" s="537">
        <v>44364</v>
      </c>
      <c r="N414" s="537">
        <v>44375</v>
      </c>
      <c r="O414" s="537">
        <v>44389</v>
      </c>
      <c r="P414" s="495" t="s">
        <v>9274</v>
      </c>
      <c r="Q414" s="491"/>
      <c r="R414" s="536">
        <v>1594000</v>
      </c>
      <c r="S414" s="536">
        <v>1928740</v>
      </c>
      <c r="T414" s="1471"/>
      <c r="U414" s="1471"/>
      <c r="V414" s="1471"/>
      <c r="W414" s="573">
        <v>44390</v>
      </c>
      <c r="X414" s="536" t="s">
        <v>9328</v>
      </c>
      <c r="Y414" s="537">
        <v>44407</v>
      </c>
      <c r="Z414" s="537">
        <v>44413</v>
      </c>
      <c r="AA414" s="537">
        <f>Y414+75</f>
        <v>44482</v>
      </c>
      <c r="AB414" s="1525">
        <v>44550</v>
      </c>
      <c r="AC414" s="1102"/>
    </row>
    <row r="415" spans="1:31">
      <c r="A415" s="2084">
        <v>44543</v>
      </c>
      <c r="B415" s="2085" t="s">
        <v>9488</v>
      </c>
      <c r="C415" s="2085" t="s">
        <v>69</v>
      </c>
      <c r="D415" s="2085" t="s">
        <v>70</v>
      </c>
      <c r="E415" s="2086" t="s">
        <v>9489</v>
      </c>
      <c r="F415" s="2085">
        <v>1</v>
      </c>
      <c r="G415" s="2087" t="s">
        <v>10603</v>
      </c>
      <c r="H415" s="2085"/>
      <c r="I415" s="2085" t="s">
        <v>5469</v>
      </c>
      <c r="J415" s="2085"/>
      <c r="K415" s="2092">
        <v>10955758</v>
      </c>
      <c r="L415" s="2085" t="s">
        <v>251</v>
      </c>
      <c r="M415" s="2084">
        <v>44553</v>
      </c>
      <c r="N415" s="2084">
        <v>44588</v>
      </c>
      <c r="O415" s="2084"/>
      <c r="P415" s="2087"/>
      <c r="Q415" s="2085"/>
      <c r="R415" s="2092"/>
      <c r="S415" s="2092"/>
      <c r="T415" s="2094"/>
      <c r="U415" s="2094"/>
      <c r="V415" s="2094"/>
      <c r="W415" s="2456"/>
      <c r="X415" s="2092"/>
      <c r="Y415" s="2085"/>
      <c r="Z415" s="2085"/>
      <c r="AA415" s="2085"/>
      <c r="AB415" s="2085"/>
      <c r="AC415" s="2085"/>
    </row>
    <row r="416" spans="1:31">
      <c r="A416" s="2084">
        <v>44543</v>
      </c>
      <c r="B416" s="2085" t="s">
        <v>9488</v>
      </c>
      <c r="C416" s="2085" t="s">
        <v>69</v>
      </c>
      <c r="D416" s="2085" t="s">
        <v>70</v>
      </c>
      <c r="E416" s="2086" t="s">
        <v>9489</v>
      </c>
      <c r="F416" s="2085">
        <v>2</v>
      </c>
      <c r="G416" s="2087" t="s">
        <v>10604</v>
      </c>
      <c r="H416" s="2085"/>
      <c r="I416" s="2085" t="s">
        <v>5469</v>
      </c>
      <c r="J416" s="2085"/>
      <c r="K416" s="2092">
        <v>16521989</v>
      </c>
      <c r="L416" s="2085" t="s">
        <v>251</v>
      </c>
      <c r="M416" s="2084">
        <v>44553</v>
      </c>
      <c r="N416" s="2084">
        <v>44588</v>
      </c>
      <c r="O416" s="2084"/>
      <c r="P416" s="2087"/>
      <c r="Q416" s="2085"/>
      <c r="R416" s="2092"/>
      <c r="S416" s="2092"/>
      <c r="T416" s="2094"/>
      <c r="U416" s="2094"/>
      <c r="V416" s="2094"/>
      <c r="W416" s="2456"/>
      <c r="X416" s="2092"/>
      <c r="Y416" s="2085"/>
      <c r="Z416" s="2085"/>
      <c r="AA416" s="2085"/>
      <c r="AB416" s="2085"/>
      <c r="AC416" s="2085"/>
    </row>
    <row r="417" spans="1:32" ht="45">
      <c r="A417" s="537">
        <v>44361</v>
      </c>
      <c r="B417" s="491" t="s">
        <v>9198</v>
      </c>
      <c r="C417" s="491" t="s">
        <v>58</v>
      </c>
      <c r="D417" s="491" t="s">
        <v>4969</v>
      </c>
      <c r="E417" s="571" t="s">
        <v>9222</v>
      </c>
      <c r="F417" s="491"/>
      <c r="G417" s="495"/>
      <c r="H417" s="491"/>
      <c r="I417" s="491" t="s">
        <v>1159</v>
      </c>
      <c r="J417" s="491" t="s">
        <v>9199</v>
      </c>
      <c r="K417" s="536">
        <v>1080000</v>
      </c>
      <c r="L417" s="491" t="s">
        <v>216</v>
      </c>
      <c r="M417" s="537">
        <v>44370</v>
      </c>
      <c r="N417" s="537">
        <v>44391</v>
      </c>
      <c r="O417" s="537">
        <v>44404</v>
      </c>
      <c r="P417" s="495" t="s">
        <v>9437</v>
      </c>
      <c r="Q417" s="491"/>
      <c r="R417" s="536">
        <v>834800</v>
      </c>
      <c r="S417" s="536">
        <v>1010108</v>
      </c>
      <c r="T417" s="1471"/>
      <c r="U417" s="1471"/>
      <c r="V417" s="1471"/>
      <c r="W417" s="573">
        <v>44404</v>
      </c>
      <c r="X417" s="1375" t="s">
        <v>9466</v>
      </c>
      <c r="Y417" s="537">
        <v>44424</v>
      </c>
      <c r="Z417" s="537">
        <v>44425</v>
      </c>
      <c r="AA417" s="537">
        <v>44466</v>
      </c>
      <c r="AB417" s="537">
        <v>44522</v>
      </c>
      <c r="AC417" s="1374" t="s">
        <v>6118</v>
      </c>
    </row>
    <row r="418" spans="1:32">
      <c r="A418" s="506" t="s">
        <v>3585</v>
      </c>
      <c r="B418" s="506" t="s">
        <v>9201</v>
      </c>
      <c r="C418" s="506" t="s">
        <v>6561</v>
      </c>
      <c r="D418" s="506" t="s">
        <v>4864</v>
      </c>
      <c r="E418" s="507" t="s">
        <v>7700</v>
      </c>
      <c r="F418" s="506"/>
      <c r="G418" s="548"/>
      <c r="H418" s="590"/>
      <c r="I418" s="506" t="s">
        <v>7701</v>
      </c>
      <c r="J418" s="506"/>
      <c r="K418" s="511">
        <v>5800000</v>
      </c>
      <c r="L418" s="506" t="s">
        <v>112</v>
      </c>
      <c r="M418" s="510">
        <v>44372</v>
      </c>
      <c r="N418" s="510">
        <v>44386</v>
      </c>
      <c r="O418" s="506"/>
      <c r="P418" s="736" t="s">
        <v>304</v>
      </c>
      <c r="Q418" s="514" t="s">
        <v>9970</v>
      </c>
      <c r="R418" s="511"/>
      <c r="S418" s="511"/>
      <c r="T418" s="1484"/>
      <c r="U418" s="1484"/>
      <c r="V418" s="1484"/>
      <c r="W418" s="511"/>
      <c r="X418" s="511"/>
      <c r="Y418" s="506"/>
      <c r="Z418" s="510">
        <v>44386</v>
      </c>
      <c r="AA418" s="506"/>
      <c r="AB418" s="506"/>
      <c r="AC418" s="506"/>
    </row>
    <row r="419" spans="1:32">
      <c r="A419" s="510">
        <v>44362</v>
      </c>
      <c r="B419" s="506" t="s">
        <v>9211</v>
      </c>
      <c r="C419" s="506" t="s">
        <v>58</v>
      </c>
      <c r="D419" s="506" t="s">
        <v>4969</v>
      </c>
      <c r="E419" s="507" t="s">
        <v>9317</v>
      </c>
      <c r="F419" s="506"/>
      <c r="G419" s="548"/>
      <c r="H419" s="506"/>
      <c r="I419" s="506" t="s">
        <v>1159</v>
      </c>
      <c r="J419" s="506" t="s">
        <v>9212</v>
      </c>
      <c r="K419" s="511">
        <v>457851</v>
      </c>
      <c r="L419" s="506" t="s">
        <v>112</v>
      </c>
      <c r="M419" s="510">
        <v>44390</v>
      </c>
      <c r="N419" s="510">
        <v>44404</v>
      </c>
      <c r="O419" s="506"/>
      <c r="P419" s="736" t="s">
        <v>4505</v>
      </c>
      <c r="Q419" s="1985" t="s">
        <v>9682</v>
      </c>
      <c r="R419" s="511"/>
      <c r="S419" s="511"/>
      <c r="T419" s="1470"/>
      <c r="U419" s="1470"/>
      <c r="V419" s="1470"/>
      <c r="W419" s="511"/>
      <c r="X419" s="511"/>
      <c r="Y419" s="506"/>
      <c r="Z419" s="510">
        <v>44414</v>
      </c>
      <c r="AA419" s="506"/>
      <c r="AB419" s="506"/>
      <c r="AC419" s="506"/>
    </row>
    <row r="420" spans="1:32">
      <c r="A420" s="510">
        <v>44362</v>
      </c>
      <c r="B420" s="506" t="s">
        <v>9213</v>
      </c>
      <c r="C420" s="506" t="s">
        <v>58</v>
      </c>
      <c r="D420" s="506" t="s">
        <v>4969</v>
      </c>
      <c r="E420" s="507" t="s">
        <v>9214</v>
      </c>
      <c r="F420" s="506"/>
      <c r="G420" s="548"/>
      <c r="H420" s="506"/>
      <c r="I420" s="506" t="s">
        <v>1159</v>
      </c>
      <c r="J420" s="506" t="s">
        <v>9215</v>
      </c>
      <c r="K420" s="511">
        <v>6420000</v>
      </c>
      <c r="L420" s="506" t="s">
        <v>251</v>
      </c>
      <c r="M420" s="510">
        <v>44393</v>
      </c>
      <c r="N420" s="510">
        <v>44431</v>
      </c>
      <c r="O420" s="506"/>
      <c r="P420" s="736" t="s">
        <v>9745</v>
      </c>
      <c r="Q420" s="1985" t="s">
        <v>9776</v>
      </c>
      <c r="R420" s="511"/>
      <c r="S420" s="511"/>
      <c r="T420" s="1470"/>
      <c r="U420" s="1470"/>
      <c r="V420" s="1470"/>
      <c r="W420" s="511"/>
      <c r="X420" s="511"/>
      <c r="Y420" s="506"/>
      <c r="Z420" s="510">
        <v>44442</v>
      </c>
      <c r="AA420" s="506"/>
      <c r="AB420" s="506"/>
      <c r="AC420" s="506"/>
    </row>
    <row r="421" spans="1:32" ht="30">
      <c r="A421" s="537">
        <v>44362</v>
      </c>
      <c r="B421" s="491" t="s">
        <v>9216</v>
      </c>
      <c r="C421" s="491" t="s">
        <v>58</v>
      </c>
      <c r="D421" s="491" t="s">
        <v>4969</v>
      </c>
      <c r="E421" s="571" t="s">
        <v>9217</v>
      </c>
      <c r="F421" s="491"/>
      <c r="G421" s="495"/>
      <c r="H421" s="491"/>
      <c r="I421" s="491" t="s">
        <v>3956</v>
      </c>
      <c r="J421" s="491" t="s">
        <v>9218</v>
      </c>
      <c r="K421" s="536">
        <v>1080000</v>
      </c>
      <c r="L421" s="491" t="s">
        <v>112</v>
      </c>
      <c r="M421" s="537">
        <v>44369</v>
      </c>
      <c r="N421" s="537">
        <v>44379</v>
      </c>
      <c r="O421" s="537">
        <v>44399</v>
      </c>
      <c r="P421" s="495" t="s">
        <v>9373</v>
      </c>
      <c r="Q421" s="491"/>
      <c r="R421" s="536">
        <v>1043297.52</v>
      </c>
      <c r="S421" s="536">
        <v>1262390</v>
      </c>
      <c r="T421" s="1471"/>
      <c r="U421" s="1471"/>
      <c r="V421" s="1471"/>
      <c r="W421" s="573">
        <v>44399</v>
      </c>
      <c r="X421" s="1375" t="s">
        <v>9440</v>
      </c>
      <c r="Y421" s="537">
        <v>44418</v>
      </c>
      <c r="Z421" s="537">
        <v>44421</v>
      </c>
      <c r="AA421" s="537">
        <v>44460</v>
      </c>
      <c r="AB421" s="537">
        <v>44559</v>
      </c>
      <c r="AC421" s="1374" t="s">
        <v>1875</v>
      </c>
    </row>
    <row r="422" spans="1:32" ht="45">
      <c r="A422" s="537">
        <v>44362</v>
      </c>
      <c r="B422" s="491" t="s">
        <v>9219</v>
      </c>
      <c r="C422" s="491" t="s">
        <v>58</v>
      </c>
      <c r="D422" s="491" t="s">
        <v>4969</v>
      </c>
      <c r="E422" s="571" t="s">
        <v>9236</v>
      </c>
      <c r="F422" s="491"/>
      <c r="G422" s="495"/>
      <c r="H422" s="491"/>
      <c r="I422" s="491" t="s">
        <v>3956</v>
      </c>
      <c r="J422" s="491" t="s">
        <v>9220</v>
      </c>
      <c r="K422" s="536">
        <v>1350000</v>
      </c>
      <c r="L422" s="491" t="s">
        <v>112</v>
      </c>
      <c r="M422" s="537">
        <v>44370</v>
      </c>
      <c r="N422" s="537">
        <v>44379</v>
      </c>
      <c r="O422" s="537">
        <v>44399</v>
      </c>
      <c r="P422" s="495" t="s">
        <v>9404</v>
      </c>
      <c r="Q422" s="491"/>
      <c r="R422" s="536">
        <v>890240</v>
      </c>
      <c r="S422" s="536">
        <v>1077190.3999999999</v>
      </c>
      <c r="T422" s="1471"/>
      <c r="U422" s="1471"/>
      <c r="V422" s="1471"/>
      <c r="W422" s="573">
        <v>44399</v>
      </c>
      <c r="X422" s="1375" t="s">
        <v>9441</v>
      </c>
      <c r="Y422" s="537">
        <v>44440</v>
      </c>
      <c r="Z422" s="537">
        <v>44456</v>
      </c>
      <c r="AA422" s="537">
        <v>44468</v>
      </c>
      <c r="AB422" s="537">
        <v>44529</v>
      </c>
      <c r="AC422" s="1374" t="s">
        <v>6118</v>
      </c>
    </row>
    <row r="423" spans="1:32">
      <c r="A423" s="537">
        <v>44356</v>
      </c>
      <c r="B423" s="491" t="s">
        <v>9221</v>
      </c>
      <c r="C423" s="491" t="s">
        <v>1032</v>
      </c>
      <c r="D423" s="491" t="s">
        <v>361</v>
      </c>
      <c r="E423" s="571" t="s">
        <v>9227</v>
      </c>
      <c r="F423" s="491"/>
      <c r="G423" s="495"/>
      <c r="H423" s="491"/>
      <c r="I423" s="491" t="s">
        <v>1385</v>
      </c>
      <c r="J423" s="491"/>
      <c r="K423" s="536">
        <v>3000000</v>
      </c>
      <c r="L423" s="491" t="s">
        <v>216</v>
      </c>
      <c r="M423" s="537">
        <v>44369</v>
      </c>
      <c r="N423" s="537">
        <v>44390</v>
      </c>
      <c r="O423" s="537">
        <v>44404</v>
      </c>
      <c r="P423" s="495" t="s">
        <v>9459</v>
      </c>
      <c r="Q423" s="491"/>
      <c r="R423" s="536">
        <v>2858942</v>
      </c>
      <c r="S423" s="536">
        <v>3459319.82</v>
      </c>
      <c r="T423" s="1471"/>
      <c r="U423" s="1471"/>
      <c r="V423" s="1471"/>
      <c r="W423" s="573">
        <v>44404</v>
      </c>
      <c r="X423" s="536" t="s">
        <v>9467</v>
      </c>
      <c r="Y423" s="537">
        <v>44452</v>
      </c>
      <c r="Z423" s="537">
        <v>44453</v>
      </c>
      <c r="AA423" s="537">
        <v>45912</v>
      </c>
      <c r="AB423" s="537">
        <v>44642</v>
      </c>
      <c r="AC423" s="1374">
        <v>2022</v>
      </c>
      <c r="AD423" s="388">
        <v>2023</v>
      </c>
      <c r="AE423" s="388">
        <v>2024</v>
      </c>
      <c r="AF423" s="388" t="s">
        <v>9838</v>
      </c>
    </row>
    <row r="424" spans="1:32">
      <c r="A424" s="537">
        <v>44368</v>
      </c>
      <c r="B424" s="491" t="s">
        <v>9233</v>
      </c>
      <c r="C424" s="491" t="s">
        <v>4997</v>
      </c>
      <c r="D424" s="491" t="s">
        <v>7475</v>
      </c>
      <c r="E424" s="571" t="s">
        <v>9234</v>
      </c>
      <c r="F424" s="491"/>
      <c r="G424" s="495"/>
      <c r="H424" s="491"/>
      <c r="I424" s="491" t="s">
        <v>7319</v>
      </c>
      <c r="J424" s="491"/>
      <c r="K424" s="536">
        <v>1200000</v>
      </c>
      <c r="L424" s="491" t="s">
        <v>112</v>
      </c>
      <c r="M424" s="537">
        <v>44369</v>
      </c>
      <c r="N424" s="537">
        <v>44376</v>
      </c>
      <c r="O424" s="537">
        <v>44389</v>
      </c>
      <c r="P424" s="495" t="s">
        <v>9316</v>
      </c>
      <c r="Q424" s="491"/>
      <c r="R424" s="536">
        <v>1349142</v>
      </c>
      <c r="S424" s="536">
        <v>1632461.82</v>
      </c>
      <c r="T424" s="1471"/>
      <c r="U424" s="1471"/>
      <c r="V424" s="1471"/>
      <c r="W424" s="573">
        <v>44390</v>
      </c>
      <c r="X424" s="536" t="s">
        <v>9329</v>
      </c>
      <c r="Y424" s="537">
        <v>44427</v>
      </c>
      <c r="Z424" s="537">
        <v>44439</v>
      </c>
      <c r="AA424" s="491"/>
      <c r="AB424" s="537">
        <v>44585</v>
      </c>
      <c r="AC424" s="1102"/>
    </row>
    <row r="425" spans="1:32" ht="30.75" thickBot="1">
      <c r="A425" s="416">
        <v>44365</v>
      </c>
      <c r="B425" s="411" t="s">
        <v>9243</v>
      </c>
      <c r="C425" s="411" t="s">
        <v>58</v>
      </c>
      <c r="D425" s="411" t="s">
        <v>4969</v>
      </c>
      <c r="E425" s="2303" t="s">
        <v>9244</v>
      </c>
      <c r="F425" s="411"/>
      <c r="G425" s="630"/>
      <c r="H425" s="411"/>
      <c r="I425" s="411" t="s">
        <v>5676</v>
      </c>
      <c r="J425" s="411" t="s">
        <v>9245</v>
      </c>
      <c r="K425" s="417">
        <v>325000</v>
      </c>
      <c r="L425" s="411" t="s">
        <v>112</v>
      </c>
      <c r="M425" s="416">
        <v>44372</v>
      </c>
      <c r="N425" s="416">
        <v>44385</v>
      </c>
      <c r="O425" s="416">
        <v>44399</v>
      </c>
      <c r="P425" s="630" t="s">
        <v>9419</v>
      </c>
      <c r="Q425" s="411"/>
      <c r="R425" s="417">
        <v>271500</v>
      </c>
      <c r="S425" s="417">
        <v>328515</v>
      </c>
      <c r="T425" s="1480"/>
      <c r="U425" s="1480"/>
      <c r="V425" s="1480"/>
      <c r="W425" s="513">
        <v>44399</v>
      </c>
      <c r="X425" s="1553" t="s">
        <v>9442</v>
      </c>
      <c r="Y425" s="416">
        <v>44418</v>
      </c>
      <c r="Z425" s="416">
        <v>44421</v>
      </c>
      <c r="AA425" s="416">
        <v>44428</v>
      </c>
      <c r="AB425" s="416">
        <v>44487</v>
      </c>
      <c r="AC425" s="422" t="s">
        <v>1875</v>
      </c>
    </row>
    <row r="426" spans="1:32" ht="30.75" thickTop="1">
      <c r="A426" s="474">
        <v>44371</v>
      </c>
      <c r="B426" s="453" t="s">
        <v>9249</v>
      </c>
      <c r="C426" s="453" t="s">
        <v>2434</v>
      </c>
      <c r="D426" s="453" t="s">
        <v>219</v>
      </c>
      <c r="E426" s="473" t="s">
        <v>9250</v>
      </c>
      <c r="F426" s="453">
        <v>1</v>
      </c>
      <c r="G426" s="1420" t="s">
        <v>9251</v>
      </c>
      <c r="H426" s="453"/>
      <c r="I426" s="453" t="s">
        <v>3271</v>
      </c>
      <c r="J426" s="453"/>
      <c r="K426" s="457">
        <v>3882950</v>
      </c>
      <c r="L426" s="453" t="s">
        <v>251</v>
      </c>
      <c r="M426" s="474">
        <v>44399</v>
      </c>
      <c r="N426" s="474">
        <v>44474</v>
      </c>
      <c r="O426" s="474">
        <v>44503</v>
      </c>
      <c r="P426" s="1420" t="s">
        <v>7136</v>
      </c>
      <c r="Q426" s="453"/>
      <c r="R426" s="457">
        <v>2315091.25</v>
      </c>
      <c r="S426" s="457">
        <v>2801260.41</v>
      </c>
      <c r="T426" s="1474"/>
      <c r="U426" s="1474"/>
      <c r="V426" s="1474"/>
      <c r="W426" s="570">
        <v>44503</v>
      </c>
      <c r="X426" s="1387" t="s">
        <v>10220</v>
      </c>
      <c r="Y426" s="474">
        <v>44543</v>
      </c>
      <c r="Z426" s="474">
        <v>44572</v>
      </c>
      <c r="AA426" s="474">
        <v>45638</v>
      </c>
      <c r="AB426" s="474">
        <v>44642</v>
      </c>
      <c r="AC426" s="1391">
        <v>2022</v>
      </c>
      <c r="AD426" s="388">
        <v>2023</v>
      </c>
      <c r="AE426" s="388" t="s">
        <v>10563</v>
      </c>
    </row>
    <row r="427" spans="1:32" ht="30">
      <c r="A427" s="2140">
        <v>44371</v>
      </c>
      <c r="B427" s="2141" t="s">
        <v>9249</v>
      </c>
      <c r="C427" s="2141" t="s">
        <v>2434</v>
      </c>
      <c r="D427" s="2141" t="s">
        <v>219</v>
      </c>
      <c r="E427" s="2142" t="s">
        <v>9250</v>
      </c>
      <c r="F427" s="2141">
        <v>2</v>
      </c>
      <c r="G427" s="2143" t="s">
        <v>9252</v>
      </c>
      <c r="H427" s="2141"/>
      <c r="I427" s="2141" t="s">
        <v>3271</v>
      </c>
      <c r="J427" s="2141"/>
      <c r="K427" s="2144">
        <v>2969250</v>
      </c>
      <c r="L427" s="2141" t="s">
        <v>251</v>
      </c>
      <c r="M427" s="2140">
        <v>44399</v>
      </c>
      <c r="N427" s="2140">
        <v>44474</v>
      </c>
      <c r="O427" s="2140">
        <v>44503</v>
      </c>
      <c r="P427" s="2143" t="s">
        <v>993</v>
      </c>
      <c r="Q427" s="2141"/>
      <c r="R427" s="2144">
        <v>1889700</v>
      </c>
      <c r="S427" s="2144">
        <v>2286537</v>
      </c>
      <c r="T427" s="2145"/>
      <c r="U427" s="2145"/>
      <c r="V427" s="2145"/>
      <c r="W427" s="2146">
        <v>44503</v>
      </c>
      <c r="X427" s="2260" t="s">
        <v>10221</v>
      </c>
      <c r="Y427" s="2140">
        <v>44545</v>
      </c>
      <c r="Z427" s="2140">
        <v>44572</v>
      </c>
      <c r="AA427" s="2140">
        <v>45640</v>
      </c>
      <c r="AB427" s="2140">
        <v>44642</v>
      </c>
      <c r="AC427" s="2109">
        <v>2022</v>
      </c>
      <c r="AD427" s="388">
        <v>2023</v>
      </c>
      <c r="AE427" s="388" t="s">
        <v>10577</v>
      </c>
    </row>
    <row r="428" spans="1:32" ht="30">
      <c r="A428" s="2140">
        <v>44371</v>
      </c>
      <c r="B428" s="2141" t="s">
        <v>9249</v>
      </c>
      <c r="C428" s="2141" t="s">
        <v>2434</v>
      </c>
      <c r="D428" s="2141" t="s">
        <v>219</v>
      </c>
      <c r="E428" s="2142" t="s">
        <v>9250</v>
      </c>
      <c r="F428" s="2141">
        <v>3</v>
      </c>
      <c r="G428" s="2143" t="s">
        <v>9253</v>
      </c>
      <c r="H428" s="2141"/>
      <c r="I428" s="2141" t="s">
        <v>3271</v>
      </c>
      <c r="J428" s="2141"/>
      <c r="K428" s="2144">
        <v>2354100</v>
      </c>
      <c r="L428" s="2141" t="s">
        <v>251</v>
      </c>
      <c r="M428" s="2140">
        <v>44399</v>
      </c>
      <c r="N428" s="2140">
        <v>44474</v>
      </c>
      <c r="O428" s="2140">
        <v>44503</v>
      </c>
      <c r="P428" s="2143" t="s">
        <v>7136</v>
      </c>
      <c r="Q428" s="2141"/>
      <c r="R428" s="2144">
        <v>2354096.5</v>
      </c>
      <c r="S428" s="2144">
        <v>2848456.77</v>
      </c>
      <c r="T428" s="2145"/>
      <c r="U428" s="2145"/>
      <c r="V428" s="2145"/>
      <c r="W428" s="2146">
        <v>44503</v>
      </c>
      <c r="X428" s="2260" t="s">
        <v>10222</v>
      </c>
      <c r="Y428" s="2140">
        <v>44543</v>
      </c>
      <c r="Z428" s="2140">
        <v>44572</v>
      </c>
      <c r="AA428" s="2140">
        <v>45638</v>
      </c>
      <c r="AB428" s="2140">
        <v>44642</v>
      </c>
      <c r="AC428" s="2109">
        <v>2022</v>
      </c>
      <c r="AD428" s="388">
        <v>2023</v>
      </c>
      <c r="AE428" s="388" t="s">
        <v>10563</v>
      </c>
    </row>
    <row r="429" spans="1:32">
      <c r="A429" s="2153">
        <v>44371</v>
      </c>
      <c r="B429" s="2154" t="s">
        <v>9249</v>
      </c>
      <c r="C429" s="2154" t="s">
        <v>2434</v>
      </c>
      <c r="D429" s="2154" t="s">
        <v>219</v>
      </c>
      <c r="E429" s="2155" t="s">
        <v>9250</v>
      </c>
      <c r="F429" s="2154">
        <v>4</v>
      </c>
      <c r="G429" s="2156" t="s">
        <v>9254</v>
      </c>
      <c r="H429" s="2085"/>
      <c r="I429" s="2154" t="s">
        <v>3271</v>
      </c>
      <c r="J429" s="2154"/>
      <c r="K429" s="2157">
        <v>1333620</v>
      </c>
      <c r="L429" s="2154" t="s">
        <v>251</v>
      </c>
      <c r="M429" s="2153">
        <v>44399</v>
      </c>
      <c r="N429" s="2153">
        <v>44474</v>
      </c>
      <c r="O429" s="2154"/>
      <c r="P429" s="2156"/>
      <c r="Q429" s="2154"/>
      <c r="R429" s="2157"/>
      <c r="S429" s="2157"/>
      <c r="T429" s="2094"/>
      <c r="U429" s="2094"/>
      <c r="V429" s="2094"/>
      <c r="W429" s="2157"/>
      <c r="X429" s="2157"/>
      <c r="Y429" s="2154"/>
      <c r="Z429" s="2154"/>
      <c r="AA429" s="2156" t="s">
        <v>10612</v>
      </c>
      <c r="AB429" s="2154"/>
      <c r="AC429" s="2154"/>
    </row>
    <row r="430" spans="1:32">
      <c r="A430" s="2124">
        <v>44371</v>
      </c>
      <c r="B430" s="2125" t="s">
        <v>9249</v>
      </c>
      <c r="C430" s="2125" t="s">
        <v>2434</v>
      </c>
      <c r="D430" s="2125" t="s">
        <v>219</v>
      </c>
      <c r="E430" s="2126" t="s">
        <v>9250</v>
      </c>
      <c r="F430" s="2125">
        <v>5</v>
      </c>
      <c r="G430" s="2127" t="s">
        <v>9255</v>
      </c>
      <c r="H430" s="2125"/>
      <c r="I430" s="2125" t="s">
        <v>3271</v>
      </c>
      <c r="J430" s="2125"/>
      <c r="K430" s="2128">
        <v>884120</v>
      </c>
      <c r="L430" s="2125" t="s">
        <v>251</v>
      </c>
      <c r="M430" s="2124">
        <v>44399</v>
      </c>
      <c r="N430" s="2124">
        <v>44474</v>
      </c>
      <c r="O430" s="2125"/>
      <c r="P430" s="2136" t="s">
        <v>4505</v>
      </c>
      <c r="Q430" s="2125"/>
      <c r="R430" s="2128"/>
      <c r="S430" s="2128"/>
      <c r="T430" s="2129"/>
      <c r="U430" s="2129"/>
      <c r="V430" s="2129"/>
      <c r="W430" s="2128"/>
      <c r="X430" s="2128"/>
      <c r="Y430" s="2125"/>
      <c r="Z430" s="2124">
        <v>44572</v>
      </c>
      <c r="AA430" s="2127" t="s">
        <v>10687</v>
      </c>
      <c r="AB430" s="2125"/>
      <c r="AC430" s="2125"/>
    </row>
    <row r="431" spans="1:32">
      <c r="A431" s="2153">
        <v>44371</v>
      </c>
      <c r="B431" s="2154" t="s">
        <v>9249</v>
      </c>
      <c r="C431" s="2154" t="s">
        <v>2434</v>
      </c>
      <c r="D431" s="2154" t="s">
        <v>219</v>
      </c>
      <c r="E431" s="2155" t="s">
        <v>9250</v>
      </c>
      <c r="F431" s="2154">
        <v>6</v>
      </c>
      <c r="G431" s="2156" t="s">
        <v>9256</v>
      </c>
      <c r="H431" s="2085"/>
      <c r="I431" s="2154" t="s">
        <v>3271</v>
      </c>
      <c r="J431" s="2154"/>
      <c r="K431" s="2157">
        <v>2837580</v>
      </c>
      <c r="L431" s="2154" t="s">
        <v>251</v>
      </c>
      <c r="M431" s="2153">
        <v>44399</v>
      </c>
      <c r="N431" s="2153">
        <v>44474</v>
      </c>
      <c r="O431" s="2154"/>
      <c r="P431" s="2156"/>
      <c r="Q431" s="2154"/>
      <c r="R431" s="2157"/>
      <c r="S431" s="2157"/>
      <c r="T431" s="2094"/>
      <c r="U431" s="2094"/>
      <c r="V431" s="2094"/>
      <c r="W431" s="2157"/>
      <c r="X431" s="2157"/>
      <c r="Y431" s="2154"/>
      <c r="Z431" s="2154"/>
      <c r="AA431" s="2156" t="s">
        <v>10612</v>
      </c>
      <c r="AB431" s="2154"/>
      <c r="AC431" s="2154"/>
    </row>
    <row r="432" spans="1:32">
      <c r="A432" s="2153">
        <v>44371</v>
      </c>
      <c r="B432" s="2154" t="s">
        <v>9249</v>
      </c>
      <c r="C432" s="2154" t="s">
        <v>2434</v>
      </c>
      <c r="D432" s="2154" t="s">
        <v>219</v>
      </c>
      <c r="E432" s="2155" t="s">
        <v>9250</v>
      </c>
      <c r="F432" s="2154">
        <v>7</v>
      </c>
      <c r="G432" s="2156" t="s">
        <v>9257</v>
      </c>
      <c r="H432" s="2085"/>
      <c r="I432" s="2154" t="s">
        <v>3271</v>
      </c>
      <c r="J432" s="2154"/>
      <c r="K432" s="2157">
        <v>2514360</v>
      </c>
      <c r="L432" s="2154" t="s">
        <v>251</v>
      </c>
      <c r="M432" s="2153">
        <v>44399</v>
      </c>
      <c r="N432" s="2153">
        <v>44474</v>
      </c>
      <c r="O432" s="2154"/>
      <c r="P432" s="2156"/>
      <c r="Q432" s="2154"/>
      <c r="R432" s="2157"/>
      <c r="S432" s="2157"/>
      <c r="T432" s="2094"/>
      <c r="U432" s="2094"/>
      <c r="V432" s="2094"/>
      <c r="W432" s="2157"/>
      <c r="X432" s="2157"/>
      <c r="Y432" s="2154"/>
      <c r="Z432" s="2154"/>
      <c r="AA432" s="2154"/>
      <c r="AB432" s="2154"/>
      <c r="AC432" s="2154"/>
    </row>
    <row r="433" spans="1:31">
      <c r="A433" s="2124">
        <v>44371</v>
      </c>
      <c r="B433" s="2125" t="s">
        <v>9249</v>
      </c>
      <c r="C433" s="2125" t="s">
        <v>2434</v>
      </c>
      <c r="D433" s="2125" t="s">
        <v>219</v>
      </c>
      <c r="E433" s="2126" t="s">
        <v>9250</v>
      </c>
      <c r="F433" s="2125">
        <v>8</v>
      </c>
      <c r="G433" s="2127" t="s">
        <v>9258</v>
      </c>
      <c r="H433" s="2125"/>
      <c r="I433" s="2125" t="s">
        <v>3271</v>
      </c>
      <c r="J433" s="2125"/>
      <c r="K433" s="2128">
        <v>4106830</v>
      </c>
      <c r="L433" s="2125" t="s">
        <v>251</v>
      </c>
      <c r="M433" s="2124">
        <v>44399</v>
      </c>
      <c r="N433" s="2124">
        <v>44474</v>
      </c>
      <c r="O433" s="2125"/>
      <c r="P433" s="2136" t="s">
        <v>4505</v>
      </c>
      <c r="Q433" s="2125"/>
      <c r="R433" s="2128"/>
      <c r="S433" s="2128"/>
      <c r="T433" s="2129"/>
      <c r="U433" s="2129"/>
      <c r="V433" s="2129"/>
      <c r="W433" s="2128"/>
      <c r="X433" s="2128"/>
      <c r="Y433" s="2125"/>
      <c r="Z433" s="2124">
        <v>44572</v>
      </c>
      <c r="AA433" s="2127" t="s">
        <v>10687</v>
      </c>
      <c r="AB433" s="2125"/>
      <c r="AC433" s="2125"/>
    </row>
    <row r="434" spans="1:31" ht="30">
      <c r="A434" s="2153">
        <v>44371</v>
      </c>
      <c r="B434" s="2154" t="s">
        <v>9249</v>
      </c>
      <c r="C434" s="2154" t="s">
        <v>2434</v>
      </c>
      <c r="D434" s="2154" t="s">
        <v>219</v>
      </c>
      <c r="E434" s="2155" t="s">
        <v>9250</v>
      </c>
      <c r="F434" s="2154">
        <v>9</v>
      </c>
      <c r="G434" s="2156" t="s">
        <v>9259</v>
      </c>
      <c r="H434" s="2085"/>
      <c r="I434" s="2154" t="s">
        <v>3271</v>
      </c>
      <c r="J434" s="2154"/>
      <c r="K434" s="2157">
        <v>717830</v>
      </c>
      <c r="L434" s="2154" t="s">
        <v>251</v>
      </c>
      <c r="M434" s="2153">
        <v>44399</v>
      </c>
      <c r="N434" s="2153">
        <v>44474</v>
      </c>
      <c r="O434" s="2153">
        <v>44531</v>
      </c>
      <c r="P434" s="2156" t="s">
        <v>993</v>
      </c>
      <c r="Q434" s="2154"/>
      <c r="R434" s="2157">
        <v>694000</v>
      </c>
      <c r="S434" s="2157">
        <v>839740</v>
      </c>
      <c r="T434" s="2094"/>
      <c r="U434" s="2094"/>
      <c r="V434" s="2094"/>
      <c r="W434" s="2160">
        <v>44531</v>
      </c>
      <c r="X434" s="2326" t="s">
        <v>10485</v>
      </c>
      <c r="Y434" s="2154"/>
      <c r="Z434" s="2154"/>
      <c r="AA434" s="2154"/>
      <c r="AB434" s="2154"/>
      <c r="AC434" s="2154"/>
    </row>
    <row r="435" spans="1:31" ht="15.75" thickBot="1">
      <c r="A435" s="2152">
        <v>44371</v>
      </c>
      <c r="B435" s="2297" t="s">
        <v>9249</v>
      </c>
      <c r="C435" s="2297" t="s">
        <v>2434</v>
      </c>
      <c r="D435" s="2297" t="s">
        <v>219</v>
      </c>
      <c r="E435" s="2298" t="s">
        <v>9250</v>
      </c>
      <c r="F435" s="2297">
        <v>10</v>
      </c>
      <c r="G435" s="2300" t="s">
        <v>4266</v>
      </c>
      <c r="H435" s="2089"/>
      <c r="I435" s="2297" t="s">
        <v>3271</v>
      </c>
      <c r="J435" s="2297"/>
      <c r="K435" s="2299">
        <v>991250</v>
      </c>
      <c r="L435" s="2297" t="s">
        <v>251</v>
      </c>
      <c r="M435" s="2152">
        <v>44399</v>
      </c>
      <c r="N435" s="2152">
        <v>44474</v>
      </c>
      <c r="O435" s="2297"/>
      <c r="P435" s="2300"/>
      <c r="Q435" s="2297"/>
      <c r="R435" s="2299"/>
      <c r="S435" s="2299"/>
      <c r="T435" s="2095"/>
      <c r="U435" s="2095"/>
      <c r="V435" s="2095"/>
      <c r="W435" s="2299"/>
      <c r="X435" s="2299"/>
      <c r="Y435" s="2297"/>
      <c r="Z435" s="2297"/>
      <c r="AA435" s="2297"/>
      <c r="AB435" s="2297"/>
      <c r="AC435" s="2297"/>
    </row>
    <row r="436" spans="1:31" ht="30.75" thickTop="1">
      <c r="A436" s="365">
        <v>44372</v>
      </c>
      <c r="B436" s="2324" t="s">
        <v>9280</v>
      </c>
      <c r="C436" s="2324" t="s">
        <v>2434</v>
      </c>
      <c r="D436" s="2324" t="s">
        <v>3204</v>
      </c>
      <c r="E436" s="175" t="s">
        <v>9278</v>
      </c>
      <c r="F436" s="2324"/>
      <c r="G436" s="2325"/>
      <c r="H436" s="2324"/>
      <c r="I436" s="2324" t="s">
        <v>642</v>
      </c>
      <c r="J436" s="2324"/>
      <c r="K436" s="364">
        <v>2819340</v>
      </c>
      <c r="L436" s="2324" t="s">
        <v>216</v>
      </c>
      <c r="M436" s="365">
        <v>44378</v>
      </c>
      <c r="N436" s="365">
        <v>44399</v>
      </c>
      <c r="O436" s="365">
        <v>44420</v>
      </c>
      <c r="P436" s="2325" t="s">
        <v>9797</v>
      </c>
      <c r="Q436" s="2324"/>
      <c r="R436" s="364">
        <v>2819340</v>
      </c>
      <c r="S436" s="364">
        <v>3411401.4</v>
      </c>
      <c r="T436" s="1473"/>
      <c r="U436" s="1473"/>
      <c r="V436" s="1473"/>
      <c r="W436" s="681">
        <v>44420</v>
      </c>
      <c r="X436" s="1417" t="s">
        <v>9590</v>
      </c>
      <c r="Y436" s="365">
        <v>44440</v>
      </c>
      <c r="Z436" s="365">
        <v>44447</v>
      </c>
      <c r="AA436" s="365">
        <v>45535</v>
      </c>
      <c r="AB436" s="2560" t="s">
        <v>11373</v>
      </c>
      <c r="AC436" s="451">
        <v>2022</v>
      </c>
      <c r="AD436" s="388">
        <v>2023</v>
      </c>
      <c r="AE436" s="388" t="s">
        <v>9798</v>
      </c>
    </row>
    <row r="437" spans="1:31" ht="30">
      <c r="A437" s="537">
        <v>44376</v>
      </c>
      <c r="B437" s="491" t="s">
        <v>9284</v>
      </c>
      <c r="C437" s="491" t="s">
        <v>2434</v>
      </c>
      <c r="D437" s="491" t="s">
        <v>3204</v>
      </c>
      <c r="E437" s="571" t="s">
        <v>9285</v>
      </c>
      <c r="F437" s="491"/>
      <c r="G437" s="495"/>
      <c r="H437" s="491"/>
      <c r="I437" s="491" t="s">
        <v>642</v>
      </c>
      <c r="J437" s="491"/>
      <c r="K437" s="536">
        <v>2170000</v>
      </c>
      <c r="L437" s="491" t="s">
        <v>216</v>
      </c>
      <c r="M437" s="537">
        <v>44384</v>
      </c>
      <c r="N437" s="537">
        <v>44420</v>
      </c>
      <c r="O437" s="537">
        <v>44442</v>
      </c>
      <c r="P437" s="495" t="s">
        <v>9770</v>
      </c>
      <c r="Q437" s="491"/>
      <c r="R437" s="536">
        <v>1433600</v>
      </c>
      <c r="S437" s="536">
        <v>1734656</v>
      </c>
      <c r="T437" s="1471"/>
      <c r="U437" s="1471"/>
      <c r="V437" s="1471"/>
      <c r="W437" s="573">
        <v>44442</v>
      </c>
      <c r="X437" s="1375" t="s">
        <v>9794</v>
      </c>
      <c r="Y437" s="537">
        <v>44462</v>
      </c>
      <c r="Z437" s="537">
        <v>44468</v>
      </c>
      <c r="AA437" s="537">
        <v>45191</v>
      </c>
      <c r="AB437" s="537">
        <v>44642</v>
      </c>
      <c r="AC437" s="1374">
        <v>2022</v>
      </c>
      <c r="AD437" s="388" t="s">
        <v>7666</v>
      </c>
    </row>
    <row r="438" spans="1:31">
      <c r="A438" s="510">
        <v>44377</v>
      </c>
      <c r="B438" s="506" t="s">
        <v>9296</v>
      </c>
      <c r="C438" s="506" t="s">
        <v>2434</v>
      </c>
      <c r="D438" s="506" t="s">
        <v>3204</v>
      </c>
      <c r="E438" s="507" t="s">
        <v>9297</v>
      </c>
      <c r="F438" s="506"/>
      <c r="G438" s="548"/>
      <c r="H438" s="506"/>
      <c r="I438" s="506" t="s">
        <v>642</v>
      </c>
      <c r="J438" s="506"/>
      <c r="K438" s="511">
        <v>2484000</v>
      </c>
      <c r="L438" s="506" t="s">
        <v>216</v>
      </c>
      <c r="M438" s="510">
        <v>44390</v>
      </c>
      <c r="N438" s="510">
        <v>44424</v>
      </c>
      <c r="O438" s="506"/>
      <c r="P438" s="736" t="s">
        <v>9691</v>
      </c>
      <c r="Q438" s="1985" t="s">
        <v>9766</v>
      </c>
      <c r="R438" s="511"/>
      <c r="S438" s="511"/>
      <c r="T438" s="1470"/>
      <c r="U438" s="1470"/>
      <c r="V438" s="1470"/>
      <c r="W438" s="511"/>
      <c r="X438" s="511"/>
      <c r="Y438" s="506"/>
      <c r="Z438" s="510">
        <v>44447</v>
      </c>
      <c r="AA438" s="548" t="s">
        <v>9711</v>
      </c>
      <c r="AB438" s="506"/>
      <c r="AC438" s="506"/>
    </row>
    <row r="439" spans="1:31" ht="30">
      <c r="A439" s="537">
        <v>44379</v>
      </c>
      <c r="B439" s="491" t="s">
        <v>9298</v>
      </c>
      <c r="C439" s="491" t="s">
        <v>58</v>
      </c>
      <c r="D439" s="491" t="s">
        <v>4969</v>
      </c>
      <c r="E439" s="571" t="s">
        <v>9299</v>
      </c>
      <c r="F439" s="491"/>
      <c r="G439" s="495"/>
      <c r="H439" s="491"/>
      <c r="I439" s="491" t="s">
        <v>1159</v>
      </c>
      <c r="J439" s="491" t="s">
        <v>9300</v>
      </c>
      <c r="K439" s="536">
        <v>570000</v>
      </c>
      <c r="L439" s="491" t="s">
        <v>112</v>
      </c>
      <c r="M439" s="537">
        <v>44384</v>
      </c>
      <c r="N439" s="537">
        <v>44392</v>
      </c>
      <c r="O439" s="537">
        <v>44399</v>
      </c>
      <c r="P439" s="495" t="s">
        <v>4478</v>
      </c>
      <c r="Q439" s="491"/>
      <c r="R439" s="536">
        <v>512700</v>
      </c>
      <c r="S439" s="536">
        <v>620367</v>
      </c>
      <c r="T439" s="1471"/>
      <c r="U439" s="1471"/>
      <c r="V439" s="1471"/>
      <c r="W439" s="573">
        <v>44399</v>
      </c>
      <c r="X439" s="1375" t="s">
        <v>9453</v>
      </c>
      <c r="Y439" s="537">
        <v>44424</v>
      </c>
      <c r="Z439" s="537">
        <v>44424</v>
      </c>
      <c r="AA439" s="537">
        <v>44459</v>
      </c>
      <c r="AB439" s="537">
        <v>44522</v>
      </c>
      <c r="AC439" s="1374" t="s">
        <v>1875</v>
      </c>
    </row>
    <row r="440" spans="1:31">
      <c r="A440" s="537">
        <v>44379</v>
      </c>
      <c r="B440" s="491" t="s">
        <v>9301</v>
      </c>
      <c r="C440" s="491" t="s">
        <v>52</v>
      </c>
      <c r="D440" s="491" t="s">
        <v>9302</v>
      </c>
      <c r="E440" s="571" t="s">
        <v>9303</v>
      </c>
      <c r="F440" s="491"/>
      <c r="G440" s="495"/>
      <c r="H440" s="491"/>
      <c r="I440" s="491" t="s">
        <v>33</v>
      </c>
      <c r="J440" s="491" t="s">
        <v>9304</v>
      </c>
      <c r="K440" s="536">
        <v>475000</v>
      </c>
      <c r="L440" s="491" t="s">
        <v>112</v>
      </c>
      <c r="M440" s="537">
        <v>44392</v>
      </c>
      <c r="N440" s="537">
        <v>44404</v>
      </c>
      <c r="O440" s="537">
        <v>44412</v>
      </c>
      <c r="P440" s="495" t="s">
        <v>2626</v>
      </c>
      <c r="Q440" s="491"/>
      <c r="R440" s="536">
        <v>657423.42000000004</v>
      </c>
      <c r="S440" s="536">
        <v>795482.34</v>
      </c>
      <c r="T440" s="1471"/>
      <c r="U440" s="1471"/>
      <c r="V440" s="1471"/>
      <c r="W440" s="573">
        <v>44412</v>
      </c>
      <c r="X440" s="536" t="s">
        <v>9557</v>
      </c>
      <c r="Y440" s="537">
        <v>44431</v>
      </c>
      <c r="Z440" s="537">
        <v>44439</v>
      </c>
      <c r="AA440" s="537"/>
      <c r="AB440" s="537">
        <v>44600</v>
      </c>
      <c r="AC440" s="1102"/>
    </row>
    <row r="441" spans="1:31" ht="30">
      <c r="A441" s="537">
        <v>44376</v>
      </c>
      <c r="B441" s="491" t="s">
        <v>9305</v>
      </c>
      <c r="C441" s="491" t="s">
        <v>2434</v>
      </c>
      <c r="D441" s="491" t="s">
        <v>3204</v>
      </c>
      <c r="E441" s="571" t="s">
        <v>9306</v>
      </c>
      <c r="F441" s="491"/>
      <c r="G441" s="495"/>
      <c r="H441" s="491"/>
      <c r="I441" s="491" t="s">
        <v>642</v>
      </c>
      <c r="J441" s="491"/>
      <c r="K441" s="536">
        <v>1428000</v>
      </c>
      <c r="L441" s="491" t="s">
        <v>112</v>
      </c>
      <c r="M441" s="537">
        <v>44390</v>
      </c>
      <c r="N441" s="537">
        <v>44407</v>
      </c>
      <c r="O441" s="537">
        <v>44418</v>
      </c>
      <c r="P441" s="495" t="s">
        <v>9770</v>
      </c>
      <c r="Q441" s="491"/>
      <c r="R441" s="536">
        <v>980000</v>
      </c>
      <c r="S441" s="536">
        <v>1185800</v>
      </c>
      <c r="T441" s="1471"/>
      <c r="U441" s="1471"/>
      <c r="V441" s="1471"/>
      <c r="W441" s="573">
        <v>44418</v>
      </c>
      <c r="X441" s="1375" t="s">
        <v>9574</v>
      </c>
      <c r="Y441" s="537">
        <v>44439</v>
      </c>
      <c r="Z441" s="537">
        <v>44440</v>
      </c>
      <c r="AA441" s="537">
        <v>45168</v>
      </c>
      <c r="AB441" s="537">
        <v>44642</v>
      </c>
      <c r="AC441" s="1374">
        <v>2022</v>
      </c>
      <c r="AD441" s="388" t="s">
        <v>9741</v>
      </c>
    </row>
    <row r="442" spans="1:31" ht="30">
      <c r="A442" s="537">
        <v>44378</v>
      </c>
      <c r="B442" s="491" t="s">
        <v>9307</v>
      </c>
      <c r="C442" s="491" t="s">
        <v>2434</v>
      </c>
      <c r="D442" s="491" t="s">
        <v>3204</v>
      </c>
      <c r="E442" s="571" t="s">
        <v>9308</v>
      </c>
      <c r="F442" s="491"/>
      <c r="G442" s="495"/>
      <c r="H442" s="491"/>
      <c r="I442" s="491" t="s">
        <v>642</v>
      </c>
      <c r="J442" s="491"/>
      <c r="K442" s="536">
        <v>1350000</v>
      </c>
      <c r="L442" s="491" t="s">
        <v>112</v>
      </c>
      <c r="M442" s="537">
        <v>44390</v>
      </c>
      <c r="N442" s="537">
        <v>44407</v>
      </c>
      <c r="O442" s="537">
        <v>44488</v>
      </c>
      <c r="P442" s="495" t="s">
        <v>8526</v>
      </c>
      <c r="Q442" s="491"/>
      <c r="R442" s="536">
        <v>1260000</v>
      </c>
      <c r="S442" s="536">
        <v>1524600</v>
      </c>
      <c r="T442" s="1471"/>
      <c r="U442" s="1471"/>
      <c r="V442" s="1471"/>
      <c r="W442" s="573">
        <v>44489</v>
      </c>
      <c r="X442" s="1375" t="s">
        <v>10126</v>
      </c>
      <c r="Y442" s="537">
        <v>44508</v>
      </c>
      <c r="Z442" s="537">
        <v>44512</v>
      </c>
      <c r="AA442" s="537">
        <v>45237</v>
      </c>
      <c r="AB442" s="537">
        <v>44642</v>
      </c>
      <c r="AC442" s="1374">
        <v>2022</v>
      </c>
      <c r="AD442" s="388" t="s">
        <v>10254</v>
      </c>
    </row>
    <row r="443" spans="1:31" ht="30">
      <c r="A443" s="537">
        <v>44379</v>
      </c>
      <c r="B443" s="491" t="s">
        <v>9309</v>
      </c>
      <c r="C443" s="491" t="s">
        <v>58</v>
      </c>
      <c r="D443" s="491" t="s">
        <v>4969</v>
      </c>
      <c r="E443" s="571" t="s">
        <v>9310</v>
      </c>
      <c r="F443" s="491"/>
      <c r="G443" s="495"/>
      <c r="H443" s="491"/>
      <c r="I443" s="491" t="s">
        <v>3414</v>
      </c>
      <c r="J443" s="491" t="s">
        <v>9311</v>
      </c>
      <c r="K443" s="536">
        <v>171000</v>
      </c>
      <c r="L443" s="491" t="s">
        <v>112</v>
      </c>
      <c r="M443" s="537">
        <v>44390</v>
      </c>
      <c r="N443" s="537">
        <v>44403</v>
      </c>
      <c r="O443" s="537">
        <v>44410</v>
      </c>
      <c r="P443" s="495" t="s">
        <v>767</v>
      </c>
      <c r="Q443" s="491"/>
      <c r="R443" s="536">
        <v>140012</v>
      </c>
      <c r="S443" s="536">
        <v>169414.52</v>
      </c>
      <c r="T443" s="1471"/>
      <c r="U443" s="1471"/>
      <c r="V443" s="1471"/>
      <c r="W443" s="573">
        <v>44410</v>
      </c>
      <c r="X443" s="1375" t="s">
        <v>9555</v>
      </c>
      <c r="Y443" s="537">
        <v>44431</v>
      </c>
      <c r="Z443" s="537">
        <v>44439</v>
      </c>
      <c r="AA443" s="537">
        <v>44452</v>
      </c>
      <c r="AB443" s="537">
        <v>44642</v>
      </c>
      <c r="AC443" s="1374" t="s">
        <v>1875</v>
      </c>
    </row>
    <row r="444" spans="1:31" ht="30.75" thickBot="1">
      <c r="A444" s="416">
        <v>44384</v>
      </c>
      <c r="B444" s="411" t="s">
        <v>9318</v>
      </c>
      <c r="C444" s="411" t="s">
        <v>58</v>
      </c>
      <c r="D444" s="411" t="s">
        <v>4969</v>
      </c>
      <c r="E444" s="412" t="s">
        <v>9320</v>
      </c>
      <c r="F444" s="411"/>
      <c r="G444" s="630"/>
      <c r="H444" s="411"/>
      <c r="I444" s="411" t="s">
        <v>673</v>
      </c>
      <c r="J444" s="411" t="s">
        <v>9319</v>
      </c>
      <c r="K444" s="417">
        <v>354000</v>
      </c>
      <c r="L444" s="411" t="s">
        <v>112</v>
      </c>
      <c r="M444" s="416">
        <v>44391</v>
      </c>
      <c r="N444" s="416">
        <v>44404</v>
      </c>
      <c r="O444" s="416">
        <v>44410</v>
      </c>
      <c r="P444" s="630" t="s">
        <v>9490</v>
      </c>
      <c r="Q444" s="411"/>
      <c r="R444" s="417">
        <v>342800</v>
      </c>
      <c r="S444" s="417">
        <v>414788</v>
      </c>
      <c r="T444" s="1480"/>
      <c r="U444" s="1480"/>
      <c r="V444" s="1480"/>
      <c r="W444" s="513">
        <v>44410</v>
      </c>
      <c r="X444" s="1553" t="s">
        <v>9556</v>
      </c>
      <c r="Y444" s="416">
        <v>44425</v>
      </c>
      <c r="Z444" s="416">
        <v>44439</v>
      </c>
      <c r="AA444" s="416">
        <v>44455</v>
      </c>
      <c r="AB444" s="416">
        <v>44519</v>
      </c>
      <c r="AC444" s="422" t="s">
        <v>1875</v>
      </c>
    </row>
    <row r="445" spans="1:31" ht="15.75" thickTop="1">
      <c r="A445" s="453" t="s">
        <v>3585</v>
      </c>
      <c r="B445" s="453" t="s">
        <v>9321</v>
      </c>
      <c r="C445" s="453" t="s">
        <v>69</v>
      </c>
      <c r="D445" s="453" t="s">
        <v>70</v>
      </c>
      <c r="E445" s="473" t="s">
        <v>9322</v>
      </c>
      <c r="F445" s="453">
        <v>1</v>
      </c>
      <c r="G445" s="1420" t="s">
        <v>9149</v>
      </c>
      <c r="H445" s="453"/>
      <c r="I445" s="453" t="s">
        <v>42</v>
      </c>
      <c r="J445" s="453"/>
      <c r="K445" s="457">
        <v>1830352</v>
      </c>
      <c r="L445" s="453" t="s">
        <v>216</v>
      </c>
      <c r="M445" s="474">
        <v>44391</v>
      </c>
      <c r="N445" s="474">
        <v>44407</v>
      </c>
      <c r="O445" s="474">
        <v>44431</v>
      </c>
      <c r="P445" s="1420" t="s">
        <v>3479</v>
      </c>
      <c r="Q445" s="453"/>
      <c r="R445" s="457">
        <v>1830326</v>
      </c>
      <c r="S445" s="457">
        <v>2214694.46</v>
      </c>
      <c r="T445" s="1474"/>
      <c r="U445" s="1474"/>
      <c r="V445" s="1474"/>
      <c r="W445" s="570">
        <v>44431</v>
      </c>
      <c r="X445" s="457" t="s">
        <v>9714</v>
      </c>
      <c r="Y445" s="474">
        <v>44480</v>
      </c>
      <c r="Z445" s="474">
        <v>44503</v>
      </c>
      <c r="AA445" s="474">
        <v>45209</v>
      </c>
      <c r="AB445" s="474">
        <v>44648</v>
      </c>
      <c r="AC445" s="1391">
        <v>2022</v>
      </c>
      <c r="AD445" s="388" t="s">
        <v>10041</v>
      </c>
    </row>
    <row r="446" spans="1:31">
      <c r="A446" s="2141" t="s">
        <v>3585</v>
      </c>
      <c r="B446" s="2141" t="s">
        <v>9321</v>
      </c>
      <c r="C446" s="2141" t="s">
        <v>69</v>
      </c>
      <c r="D446" s="2141" t="s">
        <v>70</v>
      </c>
      <c r="E446" s="2142" t="s">
        <v>9322</v>
      </c>
      <c r="F446" s="2141">
        <v>2</v>
      </c>
      <c r="G446" s="2390" t="s">
        <v>9150</v>
      </c>
      <c r="H446" s="2141"/>
      <c r="I446" s="2141" t="s">
        <v>42</v>
      </c>
      <c r="J446" s="2141"/>
      <c r="K446" s="2144">
        <v>1149222</v>
      </c>
      <c r="L446" s="2141" t="s">
        <v>216</v>
      </c>
      <c r="M446" s="2140">
        <v>44391</v>
      </c>
      <c r="N446" s="2140">
        <v>44407</v>
      </c>
      <c r="O446" s="2140">
        <v>44431</v>
      </c>
      <c r="P446" s="2143" t="s">
        <v>1319</v>
      </c>
      <c r="Q446" s="2141"/>
      <c r="R446" s="2144">
        <v>1149221.6000000001</v>
      </c>
      <c r="S446" s="2144">
        <v>1390558.14</v>
      </c>
      <c r="T446" s="2145"/>
      <c r="U446" s="2145"/>
      <c r="V446" s="2145"/>
      <c r="W446" s="2146">
        <v>44431</v>
      </c>
      <c r="X446" s="2144" t="s">
        <v>9715</v>
      </c>
      <c r="Y446" s="2140">
        <v>44508</v>
      </c>
      <c r="Z446" s="2140">
        <v>44510</v>
      </c>
      <c r="AA446" s="2140">
        <v>45237</v>
      </c>
      <c r="AB446" s="2140">
        <v>44648</v>
      </c>
      <c r="AC446" s="2109">
        <v>2022</v>
      </c>
      <c r="AD446" s="388" t="s">
        <v>10254</v>
      </c>
    </row>
    <row r="447" spans="1:31">
      <c r="A447" s="2125" t="s">
        <v>3585</v>
      </c>
      <c r="B447" s="2125" t="s">
        <v>9321</v>
      </c>
      <c r="C447" s="2125" t="s">
        <v>69</v>
      </c>
      <c r="D447" s="2125" t="s">
        <v>70</v>
      </c>
      <c r="E447" s="2126" t="s">
        <v>9322</v>
      </c>
      <c r="F447" s="2125">
        <v>3</v>
      </c>
      <c r="G447" s="654" t="s">
        <v>9151</v>
      </c>
      <c r="H447" s="2085"/>
      <c r="I447" s="2125" t="s">
        <v>42</v>
      </c>
      <c r="J447" s="2125"/>
      <c r="K447" s="2128">
        <v>54000</v>
      </c>
      <c r="L447" s="2125" t="s">
        <v>216</v>
      </c>
      <c r="M447" s="2124">
        <v>44391</v>
      </c>
      <c r="N447" s="2124">
        <v>44407</v>
      </c>
      <c r="O447" s="2125"/>
      <c r="P447" s="2127"/>
      <c r="Q447" s="2125"/>
      <c r="R447" s="2128"/>
      <c r="S447" s="2128"/>
      <c r="T447" s="2094"/>
      <c r="U447" s="2094"/>
      <c r="V447" s="2094"/>
      <c r="W447" s="2128"/>
      <c r="X447" s="2128"/>
      <c r="Y447" s="2125"/>
      <c r="Z447" s="2124">
        <v>44455</v>
      </c>
      <c r="AA447" s="2125" t="s">
        <v>9709</v>
      </c>
      <c r="AB447" s="2125"/>
      <c r="AC447" s="2125"/>
    </row>
    <row r="448" spans="1:31" ht="15.75" thickBot="1">
      <c r="A448" s="2118" t="s">
        <v>3585</v>
      </c>
      <c r="B448" s="2118" t="s">
        <v>9321</v>
      </c>
      <c r="C448" s="2118" t="s">
        <v>69</v>
      </c>
      <c r="D448" s="2118" t="s">
        <v>70</v>
      </c>
      <c r="E448" s="2119" t="s">
        <v>9322</v>
      </c>
      <c r="F448" s="2118">
        <v>4</v>
      </c>
      <c r="G448" s="1983" t="s">
        <v>9152</v>
      </c>
      <c r="H448" s="2118"/>
      <c r="I448" s="2118" t="s">
        <v>42</v>
      </c>
      <c r="J448" s="2118"/>
      <c r="K448" s="2121">
        <v>184158</v>
      </c>
      <c r="L448" s="2118" t="s">
        <v>216</v>
      </c>
      <c r="M448" s="2117">
        <v>44391</v>
      </c>
      <c r="N448" s="2117">
        <v>44407</v>
      </c>
      <c r="O448" s="2117">
        <v>44431</v>
      </c>
      <c r="P448" s="2120" t="s">
        <v>5354</v>
      </c>
      <c r="Q448" s="2118"/>
      <c r="R448" s="2121">
        <v>169896</v>
      </c>
      <c r="S448" s="2121">
        <v>205574.16</v>
      </c>
      <c r="T448" s="2122"/>
      <c r="U448" s="2122"/>
      <c r="V448" s="2122"/>
      <c r="W448" s="2123">
        <v>44431</v>
      </c>
      <c r="X448" s="2121" t="s">
        <v>9716</v>
      </c>
      <c r="Y448" s="2117">
        <v>44475</v>
      </c>
      <c r="Z448" s="2117">
        <v>44503</v>
      </c>
      <c r="AA448" s="2117">
        <v>45204</v>
      </c>
      <c r="AB448" s="2117">
        <v>44648</v>
      </c>
      <c r="AC448" s="2110">
        <v>2022</v>
      </c>
      <c r="AD448" s="388" t="s">
        <v>10037</v>
      </c>
    </row>
    <row r="449" spans="1:31" ht="30.75" thickTop="1">
      <c r="A449" s="365">
        <v>44377</v>
      </c>
      <c r="B449" s="2322" t="s">
        <v>9343</v>
      </c>
      <c r="C449" s="2322" t="s">
        <v>58</v>
      </c>
      <c r="D449" s="2322" t="s">
        <v>4969</v>
      </c>
      <c r="E449" s="175" t="s">
        <v>9346</v>
      </c>
      <c r="F449" s="2322"/>
      <c r="G449" s="2323"/>
      <c r="H449" s="576"/>
      <c r="I449" s="2322" t="s">
        <v>3330</v>
      </c>
      <c r="J449" s="2322" t="s">
        <v>9347</v>
      </c>
      <c r="K449" s="364">
        <v>75000</v>
      </c>
      <c r="L449" s="2322" t="s">
        <v>112</v>
      </c>
      <c r="M449" s="365">
        <v>44393</v>
      </c>
      <c r="N449" s="365">
        <v>44405</v>
      </c>
      <c r="O449" s="365">
        <v>44418</v>
      </c>
      <c r="P449" s="2323" t="s">
        <v>3183</v>
      </c>
      <c r="Q449" s="2322"/>
      <c r="R449" s="364">
        <v>63160</v>
      </c>
      <c r="S449" s="364">
        <v>76423.600000000006</v>
      </c>
      <c r="T449" s="1489"/>
      <c r="U449" s="1489"/>
      <c r="V449" s="1489"/>
      <c r="W449" s="681">
        <v>44418</v>
      </c>
      <c r="X449" s="1417" t="s">
        <v>9576</v>
      </c>
      <c r="Y449" s="365">
        <v>44438</v>
      </c>
      <c r="Z449" s="365">
        <v>44441</v>
      </c>
      <c r="AA449" s="365">
        <v>44459</v>
      </c>
      <c r="AB449" s="365">
        <v>44519</v>
      </c>
      <c r="AC449" s="451" t="s">
        <v>1875</v>
      </c>
    </row>
    <row r="450" spans="1:31">
      <c r="A450" s="510">
        <v>44391</v>
      </c>
      <c r="B450" s="506" t="s">
        <v>9348</v>
      </c>
      <c r="C450" s="506" t="s">
        <v>2111</v>
      </c>
      <c r="D450" s="506" t="s">
        <v>9080</v>
      </c>
      <c r="E450" s="507" t="s">
        <v>9349</v>
      </c>
      <c r="F450" s="506">
        <v>1</v>
      </c>
      <c r="G450" s="548" t="s">
        <v>9460</v>
      </c>
      <c r="H450" s="590"/>
      <c r="I450" s="506" t="s">
        <v>9350</v>
      </c>
      <c r="J450" s="506"/>
      <c r="K450" s="511">
        <v>4512000</v>
      </c>
      <c r="L450" s="506" t="s">
        <v>251</v>
      </c>
      <c r="M450" s="510">
        <v>44406</v>
      </c>
      <c r="N450" s="510">
        <v>44454</v>
      </c>
      <c r="O450" s="506"/>
      <c r="P450" s="736" t="s">
        <v>4505</v>
      </c>
      <c r="Q450" s="2416" t="s">
        <v>10655</v>
      </c>
      <c r="R450" s="511"/>
      <c r="S450" s="511"/>
      <c r="T450" s="1484"/>
      <c r="U450" s="1484"/>
      <c r="V450" s="1484"/>
      <c r="W450" s="511"/>
      <c r="X450" s="511"/>
      <c r="Y450" s="506"/>
      <c r="Z450" s="510">
        <v>44480</v>
      </c>
      <c r="AA450" s="548" t="s">
        <v>10040</v>
      </c>
      <c r="AB450" s="506"/>
      <c r="AC450" s="506"/>
    </row>
    <row r="451" spans="1:31">
      <c r="A451" s="510">
        <v>44391</v>
      </c>
      <c r="B451" s="506" t="s">
        <v>9348</v>
      </c>
      <c r="C451" s="506" t="s">
        <v>2111</v>
      </c>
      <c r="D451" s="506" t="s">
        <v>9080</v>
      </c>
      <c r="E451" s="507" t="s">
        <v>9349</v>
      </c>
      <c r="F451" s="2125">
        <v>2</v>
      </c>
      <c r="G451" s="2127" t="s">
        <v>9461</v>
      </c>
      <c r="H451" s="2125"/>
      <c r="I451" s="506" t="s">
        <v>9350</v>
      </c>
      <c r="J451" s="2125"/>
      <c r="K451" s="2128">
        <v>3216000</v>
      </c>
      <c r="L451" s="2125" t="s">
        <v>251</v>
      </c>
      <c r="M451" s="2124">
        <v>44406</v>
      </c>
      <c r="N451" s="2124">
        <v>44454</v>
      </c>
      <c r="O451" s="2125"/>
      <c r="P451" s="736" t="s">
        <v>4505</v>
      </c>
      <c r="Q451" s="2465" t="s">
        <v>10655</v>
      </c>
      <c r="R451" s="2128"/>
      <c r="S451" s="2128"/>
      <c r="T451" s="2129"/>
      <c r="U451" s="2129"/>
      <c r="V451" s="2129"/>
      <c r="W451" s="2128"/>
      <c r="X451" s="2128"/>
      <c r="Y451" s="2125"/>
      <c r="Z451" s="2124">
        <v>44498</v>
      </c>
      <c r="AA451" s="2127" t="s">
        <v>10169</v>
      </c>
      <c r="AB451" s="2125"/>
      <c r="AC451" s="2125"/>
    </row>
    <row r="452" spans="1:31">
      <c r="A452" s="544">
        <v>44391</v>
      </c>
      <c r="B452" s="540" t="s">
        <v>9351</v>
      </c>
      <c r="C452" s="540" t="s">
        <v>58</v>
      </c>
      <c r="D452" s="540" t="s">
        <v>2684</v>
      </c>
      <c r="E452" s="541" t="s">
        <v>9433</v>
      </c>
      <c r="F452" s="540">
        <v>1</v>
      </c>
      <c r="G452" s="1402" t="s">
        <v>9352</v>
      </c>
      <c r="H452" s="590"/>
      <c r="I452" s="540" t="s">
        <v>2579</v>
      </c>
      <c r="J452" s="540" t="s">
        <v>9353</v>
      </c>
      <c r="K452" s="545">
        <v>12450000</v>
      </c>
      <c r="L452" s="540" t="s">
        <v>251</v>
      </c>
      <c r="M452" s="544">
        <v>44440</v>
      </c>
      <c r="N452" s="544">
        <v>44488</v>
      </c>
      <c r="O452" s="540"/>
      <c r="P452" s="1402"/>
      <c r="Q452" s="540"/>
      <c r="R452" s="545"/>
      <c r="S452" s="545"/>
      <c r="T452" s="1484"/>
      <c r="U452" s="1484"/>
      <c r="V452" s="1484"/>
      <c r="W452" s="545"/>
      <c r="X452" s="545"/>
      <c r="Y452" s="540"/>
      <c r="Z452" s="540"/>
      <c r="AA452" s="1402" t="s">
        <v>10614</v>
      </c>
      <c r="AB452" s="540"/>
      <c r="AC452" s="540"/>
    </row>
    <row r="453" spans="1:31">
      <c r="A453" s="544">
        <v>44391</v>
      </c>
      <c r="B453" s="540" t="s">
        <v>9351</v>
      </c>
      <c r="C453" s="540" t="s">
        <v>58</v>
      </c>
      <c r="D453" s="540" t="s">
        <v>2684</v>
      </c>
      <c r="E453" s="541" t="s">
        <v>9434</v>
      </c>
      <c r="F453" s="406">
        <v>2</v>
      </c>
      <c r="G453" s="1425" t="s">
        <v>9435</v>
      </c>
      <c r="H453" s="1437"/>
      <c r="I453" s="540" t="s">
        <v>2579</v>
      </c>
      <c r="J453" s="406" t="s">
        <v>9436</v>
      </c>
      <c r="K453" s="465">
        <v>4938843</v>
      </c>
      <c r="L453" s="406" t="s">
        <v>251</v>
      </c>
      <c r="M453" s="464">
        <v>44440</v>
      </c>
      <c r="N453" s="464">
        <v>44488</v>
      </c>
      <c r="O453" s="406"/>
      <c r="P453" s="1425"/>
      <c r="Q453" s="406"/>
      <c r="R453" s="465"/>
      <c r="S453" s="465"/>
      <c r="T453" s="1490"/>
      <c r="U453" s="1490"/>
      <c r="V453" s="1490"/>
      <c r="W453" s="465"/>
      <c r="X453" s="465"/>
      <c r="Y453" s="406"/>
      <c r="Z453" s="406"/>
      <c r="AA453" s="406"/>
      <c r="AB453" s="406"/>
      <c r="AC453" s="406"/>
    </row>
    <row r="454" spans="1:31" ht="15.75" thickBot="1">
      <c r="A454" s="406" t="s">
        <v>3585</v>
      </c>
      <c r="B454" s="406" t="s">
        <v>9354</v>
      </c>
      <c r="C454" s="406" t="s">
        <v>52</v>
      </c>
      <c r="D454" s="406" t="s">
        <v>2588</v>
      </c>
      <c r="E454" s="462" t="s">
        <v>9357</v>
      </c>
      <c r="F454" s="406"/>
      <c r="G454" s="1425"/>
      <c r="H454" s="1437" t="s">
        <v>484</v>
      </c>
      <c r="I454" s="406" t="s">
        <v>484</v>
      </c>
      <c r="J454" s="465" t="s">
        <v>7484</v>
      </c>
      <c r="K454" s="465">
        <v>40000000</v>
      </c>
      <c r="L454" s="406" t="s">
        <v>251</v>
      </c>
      <c r="M454" s="464">
        <v>44413</v>
      </c>
      <c r="N454" s="464">
        <v>44446</v>
      </c>
      <c r="O454" s="464">
        <v>44505</v>
      </c>
      <c r="P454" s="1425" t="s">
        <v>1861</v>
      </c>
      <c r="Q454" s="406"/>
      <c r="R454" s="465">
        <v>21200000</v>
      </c>
      <c r="S454" s="465">
        <v>25652000</v>
      </c>
      <c r="T454" s="1490"/>
      <c r="U454" s="1490"/>
      <c r="V454" s="1490"/>
      <c r="W454" s="1809">
        <v>44505</v>
      </c>
      <c r="X454" s="465" t="s">
        <v>10248</v>
      </c>
      <c r="Y454" s="406"/>
      <c r="Z454" s="406"/>
      <c r="AA454" s="406"/>
      <c r="AB454" s="406"/>
      <c r="AC454" s="406"/>
    </row>
    <row r="455" spans="1:31" ht="45.75" thickTop="1">
      <c r="A455" s="474">
        <v>44391</v>
      </c>
      <c r="B455" s="453" t="s">
        <v>9359</v>
      </c>
      <c r="C455" s="453" t="s">
        <v>58</v>
      </c>
      <c r="D455" s="453" t="s">
        <v>2684</v>
      </c>
      <c r="E455" s="473" t="s">
        <v>9360</v>
      </c>
      <c r="F455" s="453">
        <v>1</v>
      </c>
      <c r="G455" s="1420" t="s">
        <v>9361</v>
      </c>
      <c r="H455" s="453"/>
      <c r="I455" s="2269" t="s">
        <v>9362</v>
      </c>
      <c r="J455" s="453"/>
      <c r="K455" s="457">
        <v>100870000</v>
      </c>
      <c r="L455" s="453" t="s">
        <v>251</v>
      </c>
      <c r="M455" s="474">
        <v>44405</v>
      </c>
      <c r="N455" s="474">
        <v>44474</v>
      </c>
      <c r="O455" s="474">
        <v>44509</v>
      </c>
      <c r="P455" s="1420" t="s">
        <v>5167</v>
      </c>
      <c r="Q455" s="453"/>
      <c r="R455" s="457">
        <v>104260560</v>
      </c>
      <c r="S455" s="457">
        <v>126155277.59999999</v>
      </c>
      <c r="T455" s="1474"/>
      <c r="U455" s="1474"/>
      <c r="V455" s="1474"/>
      <c r="W455" s="570">
        <v>44509</v>
      </c>
      <c r="X455" s="1387" t="s">
        <v>10275</v>
      </c>
      <c r="Y455" s="474">
        <v>44516</v>
      </c>
      <c r="Z455" s="474">
        <v>44544</v>
      </c>
      <c r="AA455" s="474">
        <f>Y455+210</f>
        <v>44726</v>
      </c>
      <c r="AB455" s="474">
        <v>44767</v>
      </c>
      <c r="AC455" s="1391" t="s">
        <v>1875</v>
      </c>
    </row>
    <row r="456" spans="1:31" ht="30">
      <c r="A456" s="2140">
        <v>44391</v>
      </c>
      <c r="B456" s="2141" t="s">
        <v>9359</v>
      </c>
      <c r="C456" s="2141" t="s">
        <v>58</v>
      </c>
      <c r="D456" s="2141" t="s">
        <v>2684</v>
      </c>
      <c r="E456" s="2142" t="s">
        <v>9360</v>
      </c>
      <c r="F456" s="2141">
        <v>2</v>
      </c>
      <c r="G456" s="2143" t="s">
        <v>10993</v>
      </c>
      <c r="H456" s="2141"/>
      <c r="I456" s="2264" t="s">
        <v>9363</v>
      </c>
      <c r="J456" s="2141"/>
      <c r="K456" s="2144">
        <v>1500000</v>
      </c>
      <c r="L456" s="2141" t="s">
        <v>251</v>
      </c>
      <c r="M456" s="2140">
        <v>44405</v>
      </c>
      <c r="N456" s="2140">
        <v>44474</v>
      </c>
      <c r="O456" s="2140">
        <v>44509</v>
      </c>
      <c r="P456" s="2143" t="s">
        <v>7136</v>
      </c>
      <c r="Q456" s="2141"/>
      <c r="R456" s="2144">
        <v>1415900</v>
      </c>
      <c r="S456" s="2144">
        <v>1713239</v>
      </c>
      <c r="T456" s="2145"/>
      <c r="U456" s="2145"/>
      <c r="V456" s="2145"/>
      <c r="W456" s="2146">
        <v>44509</v>
      </c>
      <c r="X456" s="2260" t="s">
        <v>10277</v>
      </c>
      <c r="Y456" s="2140">
        <v>44543</v>
      </c>
      <c r="Z456" s="2140">
        <v>44544</v>
      </c>
      <c r="AA456" s="2143"/>
      <c r="AB456" s="2140">
        <v>44782</v>
      </c>
      <c r="AC456" s="2109" t="s">
        <v>1875</v>
      </c>
    </row>
    <row r="457" spans="1:31" ht="30.75" thickBot="1">
      <c r="A457" s="2117">
        <v>44391</v>
      </c>
      <c r="B457" s="2118" t="s">
        <v>9359</v>
      </c>
      <c r="C457" s="2118" t="s">
        <v>58</v>
      </c>
      <c r="D457" s="2118" t="s">
        <v>2684</v>
      </c>
      <c r="E457" s="2119" t="s">
        <v>9360</v>
      </c>
      <c r="F457" s="2118">
        <v>3</v>
      </c>
      <c r="G457" s="2120" t="s">
        <v>9364</v>
      </c>
      <c r="H457" s="2118"/>
      <c r="I457" s="2266" t="s">
        <v>9363</v>
      </c>
      <c r="J457" s="2118"/>
      <c r="K457" s="2121">
        <v>16770000</v>
      </c>
      <c r="L457" s="2118" t="s">
        <v>251</v>
      </c>
      <c r="M457" s="2117">
        <v>44405</v>
      </c>
      <c r="N457" s="2117">
        <v>44474</v>
      </c>
      <c r="O457" s="2117">
        <v>44509</v>
      </c>
      <c r="P457" s="2120" t="s">
        <v>7136</v>
      </c>
      <c r="Q457" s="2118"/>
      <c r="R457" s="2121">
        <v>16540000</v>
      </c>
      <c r="S457" s="2121">
        <v>20013400</v>
      </c>
      <c r="T457" s="2122"/>
      <c r="U457" s="2122"/>
      <c r="V457" s="2122"/>
      <c r="W457" s="2123">
        <v>44509</v>
      </c>
      <c r="X457" s="2246" t="s">
        <v>10278</v>
      </c>
      <c r="Y457" s="2117">
        <v>44543</v>
      </c>
      <c r="Z457" s="2117">
        <v>44544</v>
      </c>
      <c r="AA457" s="2120"/>
      <c r="AB457" s="2117">
        <v>44711</v>
      </c>
      <c r="AC457" s="2110" t="s">
        <v>1875</v>
      </c>
    </row>
    <row r="458" spans="1:31" ht="30.75" thickTop="1">
      <c r="A458" s="365">
        <v>44386</v>
      </c>
      <c r="B458" s="2318" t="s">
        <v>9368</v>
      </c>
      <c r="C458" s="2318" t="s">
        <v>58</v>
      </c>
      <c r="D458" s="2318" t="s">
        <v>4969</v>
      </c>
      <c r="E458" s="175" t="s">
        <v>8490</v>
      </c>
      <c r="F458" s="2318">
        <v>1</v>
      </c>
      <c r="G458" s="2321" t="s">
        <v>9369</v>
      </c>
      <c r="H458" s="2318"/>
      <c r="I458" s="2318" t="s">
        <v>480</v>
      </c>
      <c r="J458" s="2318" t="s">
        <v>4258</v>
      </c>
      <c r="K458" s="364">
        <v>192000</v>
      </c>
      <c r="L458" s="2318" t="s">
        <v>112</v>
      </c>
      <c r="M458" s="365">
        <v>44396</v>
      </c>
      <c r="N458" s="365">
        <v>44407</v>
      </c>
      <c r="O458" s="365">
        <v>44418</v>
      </c>
      <c r="P458" s="2319" t="s">
        <v>9573</v>
      </c>
      <c r="Q458" s="2318"/>
      <c r="R458" s="364">
        <v>183366</v>
      </c>
      <c r="S458" s="364">
        <f>R458*1.21</f>
        <v>221872.86</v>
      </c>
      <c r="T458" s="1473"/>
      <c r="U458" s="1473"/>
      <c r="V458" s="1473"/>
      <c r="W458" s="681">
        <v>44418</v>
      </c>
      <c r="X458" s="1417" t="s">
        <v>9581</v>
      </c>
      <c r="Y458" s="365">
        <v>44434</v>
      </c>
      <c r="Z458" s="365">
        <v>44441</v>
      </c>
      <c r="AA458" s="365">
        <v>44504</v>
      </c>
      <c r="AB458" s="365">
        <v>44550</v>
      </c>
      <c r="AC458" s="451" t="s">
        <v>1875</v>
      </c>
    </row>
    <row r="459" spans="1:31" ht="30">
      <c r="A459" s="537">
        <v>44386</v>
      </c>
      <c r="B459" s="491" t="s">
        <v>9368</v>
      </c>
      <c r="C459" s="491" t="s">
        <v>58</v>
      </c>
      <c r="D459" s="491" t="s">
        <v>4969</v>
      </c>
      <c r="E459" s="571" t="s">
        <v>8490</v>
      </c>
      <c r="F459" s="491">
        <v>2</v>
      </c>
      <c r="G459" s="495" t="s">
        <v>9370</v>
      </c>
      <c r="H459" s="491"/>
      <c r="I459" s="491" t="s">
        <v>480</v>
      </c>
      <c r="J459" s="491" t="s">
        <v>9371</v>
      </c>
      <c r="K459" s="536">
        <v>175000</v>
      </c>
      <c r="L459" s="491" t="s">
        <v>112</v>
      </c>
      <c r="M459" s="537">
        <v>44396</v>
      </c>
      <c r="N459" s="537">
        <v>44407</v>
      </c>
      <c r="O459" s="537">
        <v>44418</v>
      </c>
      <c r="P459" s="495" t="s">
        <v>9573</v>
      </c>
      <c r="Q459" s="491"/>
      <c r="R459" s="536">
        <v>151462</v>
      </c>
      <c r="S459" s="536">
        <v>183269.75</v>
      </c>
      <c r="T459" s="1471"/>
      <c r="U459" s="1471"/>
      <c r="V459" s="1471"/>
      <c r="W459" s="573">
        <v>44418</v>
      </c>
      <c r="X459" s="1375" t="s">
        <v>9582</v>
      </c>
      <c r="Y459" s="537">
        <v>44434</v>
      </c>
      <c r="Z459" s="537">
        <v>44441</v>
      </c>
      <c r="AA459" s="537">
        <v>44504</v>
      </c>
      <c r="AB459" s="537">
        <v>44550</v>
      </c>
      <c r="AC459" s="1374" t="s">
        <v>1875</v>
      </c>
    </row>
    <row r="460" spans="1:31" ht="30">
      <c r="A460" s="537">
        <v>44386</v>
      </c>
      <c r="B460" s="491" t="s">
        <v>9374</v>
      </c>
      <c r="C460" s="491" t="s">
        <v>58</v>
      </c>
      <c r="D460" s="491" t="s">
        <v>4969</v>
      </c>
      <c r="E460" s="571" t="s">
        <v>9375</v>
      </c>
      <c r="F460" s="491"/>
      <c r="G460" s="495"/>
      <c r="H460" s="491"/>
      <c r="I460" s="491" t="s">
        <v>292</v>
      </c>
      <c r="J460" s="491" t="s">
        <v>9376</v>
      </c>
      <c r="K460" s="536">
        <v>87000</v>
      </c>
      <c r="L460" s="491" t="s">
        <v>112</v>
      </c>
      <c r="M460" s="537">
        <v>44396</v>
      </c>
      <c r="N460" s="537">
        <v>44405</v>
      </c>
      <c r="O460" s="537">
        <v>44417</v>
      </c>
      <c r="P460" s="495" t="s">
        <v>9558</v>
      </c>
      <c r="Q460" s="491"/>
      <c r="R460" s="536">
        <v>56700</v>
      </c>
      <c r="S460" s="536">
        <v>68607</v>
      </c>
      <c r="T460" s="1471"/>
      <c r="U460" s="1471"/>
      <c r="V460" s="1471"/>
      <c r="W460" s="573">
        <v>44417</v>
      </c>
      <c r="X460" s="1375" t="s">
        <v>9577</v>
      </c>
      <c r="Y460" s="537">
        <v>44449</v>
      </c>
      <c r="Z460" s="537">
        <v>44456</v>
      </c>
      <c r="AA460" s="537">
        <v>44491</v>
      </c>
      <c r="AB460" s="537">
        <v>44571</v>
      </c>
      <c r="AC460" s="1374" t="s">
        <v>1875</v>
      </c>
    </row>
    <row r="461" spans="1:31" ht="45">
      <c r="A461" s="491" t="s">
        <v>3585</v>
      </c>
      <c r="B461" s="491" t="s">
        <v>9377</v>
      </c>
      <c r="C461" s="491" t="s">
        <v>58</v>
      </c>
      <c r="D461" s="491" t="s">
        <v>4969</v>
      </c>
      <c r="E461" s="571" t="s">
        <v>9380</v>
      </c>
      <c r="F461" s="491"/>
      <c r="G461" s="495"/>
      <c r="H461" s="491"/>
      <c r="I461" s="491" t="s">
        <v>1159</v>
      </c>
      <c r="J461" s="491" t="s">
        <v>9378</v>
      </c>
      <c r="K461" s="536">
        <v>1497521</v>
      </c>
      <c r="L461" s="491" t="s">
        <v>112</v>
      </c>
      <c r="M461" s="537">
        <v>44399</v>
      </c>
      <c r="N461" s="537">
        <v>44411</v>
      </c>
      <c r="O461" s="537">
        <v>44441</v>
      </c>
      <c r="P461" s="495" t="s">
        <v>9737</v>
      </c>
      <c r="Q461" s="491"/>
      <c r="R461" s="536">
        <v>1021233</v>
      </c>
      <c r="S461" s="536">
        <v>1235691.93</v>
      </c>
      <c r="T461" s="1471"/>
      <c r="U461" s="1471"/>
      <c r="V461" s="1471"/>
      <c r="W461" s="573">
        <v>44442</v>
      </c>
      <c r="X461" s="1375" t="s">
        <v>9795</v>
      </c>
      <c r="Y461" s="537">
        <v>44462</v>
      </c>
      <c r="Z461" s="537">
        <v>44477</v>
      </c>
      <c r="AA461" s="537">
        <v>44518</v>
      </c>
      <c r="AB461" s="537">
        <v>44600</v>
      </c>
      <c r="AC461" s="1374" t="s">
        <v>8385</v>
      </c>
    </row>
    <row r="462" spans="1:31" ht="30">
      <c r="A462" s="537">
        <v>44391</v>
      </c>
      <c r="B462" s="491" t="s">
        <v>9381</v>
      </c>
      <c r="C462" s="491" t="s">
        <v>2434</v>
      </c>
      <c r="D462" s="491" t="s">
        <v>219</v>
      </c>
      <c r="E462" s="571" t="s">
        <v>9384</v>
      </c>
      <c r="F462" s="491"/>
      <c r="G462" s="495"/>
      <c r="H462" s="590"/>
      <c r="I462" s="491" t="s">
        <v>642</v>
      </c>
      <c r="J462" s="491"/>
      <c r="K462" s="536">
        <v>1973190</v>
      </c>
      <c r="L462" s="491" t="s">
        <v>112</v>
      </c>
      <c r="M462" s="537">
        <v>44396</v>
      </c>
      <c r="N462" s="537">
        <v>44406</v>
      </c>
      <c r="O462" s="537">
        <v>44418</v>
      </c>
      <c r="P462" s="495" t="s">
        <v>7296</v>
      </c>
      <c r="Q462" s="491"/>
      <c r="R462" s="536">
        <v>1973190</v>
      </c>
      <c r="S462" s="536">
        <v>2269168.5</v>
      </c>
      <c r="T462" s="1484"/>
      <c r="U462" s="1484"/>
      <c r="V462" s="1484"/>
      <c r="W462" s="573">
        <v>44420</v>
      </c>
      <c r="X462" s="1375" t="s">
        <v>9595</v>
      </c>
      <c r="Y462" s="537">
        <v>44439</v>
      </c>
      <c r="Z462" s="537">
        <v>44441</v>
      </c>
      <c r="AA462" s="537">
        <v>45534</v>
      </c>
      <c r="AB462" s="537">
        <v>44642</v>
      </c>
      <c r="AC462" s="1374">
        <v>2022</v>
      </c>
      <c r="AD462" s="388">
        <v>2023</v>
      </c>
      <c r="AE462" s="388" t="s">
        <v>9769</v>
      </c>
    </row>
    <row r="463" spans="1:31">
      <c r="A463" s="506" t="s">
        <v>3585</v>
      </c>
      <c r="B463" s="506" t="s">
        <v>9382</v>
      </c>
      <c r="C463" s="506" t="s">
        <v>2111</v>
      </c>
      <c r="D463" s="506" t="s">
        <v>9080</v>
      </c>
      <c r="E463" s="640" t="s">
        <v>9383</v>
      </c>
      <c r="F463" s="506"/>
      <c r="G463" s="548"/>
      <c r="H463" s="590"/>
      <c r="I463" s="506" t="s">
        <v>3495</v>
      </c>
      <c r="J463" s="506"/>
      <c r="K463" s="511">
        <v>1100000</v>
      </c>
      <c r="L463" s="506" t="s">
        <v>112</v>
      </c>
      <c r="M463" s="510">
        <v>44396</v>
      </c>
      <c r="N463" s="510">
        <v>44406</v>
      </c>
      <c r="O463" s="506"/>
      <c r="P463" s="736" t="s">
        <v>9547</v>
      </c>
      <c r="Q463" s="1985" t="s">
        <v>9548</v>
      </c>
      <c r="R463" s="511"/>
      <c r="S463" s="511"/>
      <c r="T463" s="1484"/>
      <c r="U463" s="1484"/>
      <c r="V463" s="1484"/>
      <c r="W463" s="511"/>
      <c r="X463" s="511"/>
      <c r="Y463" s="506"/>
      <c r="Z463" s="510">
        <v>44412</v>
      </c>
      <c r="AA463" s="506"/>
      <c r="AB463" s="506"/>
      <c r="AC463" s="506"/>
    </row>
    <row r="464" spans="1:31">
      <c r="A464" s="510">
        <v>44391</v>
      </c>
      <c r="B464" s="506" t="s">
        <v>9385</v>
      </c>
      <c r="C464" s="506" t="s">
        <v>58</v>
      </c>
      <c r="D464" s="506" t="s">
        <v>4969</v>
      </c>
      <c r="E464" s="2126" t="s">
        <v>9386</v>
      </c>
      <c r="F464" s="506"/>
      <c r="G464" s="548"/>
      <c r="H464" s="506"/>
      <c r="I464" s="506" t="s">
        <v>421</v>
      </c>
      <c r="J464" s="506" t="s">
        <v>9387</v>
      </c>
      <c r="K464" s="511">
        <v>1481625</v>
      </c>
      <c r="L464" s="506" t="s">
        <v>112</v>
      </c>
      <c r="M464" s="510">
        <v>44398</v>
      </c>
      <c r="N464" s="510">
        <v>44407</v>
      </c>
      <c r="O464" s="506"/>
      <c r="P464" s="736" t="s">
        <v>9465</v>
      </c>
      <c r="Q464" s="506"/>
      <c r="R464" s="511"/>
      <c r="S464" s="511"/>
      <c r="T464" s="1470"/>
      <c r="U464" s="1470"/>
      <c r="V464" s="1470"/>
      <c r="W464" s="511"/>
      <c r="X464" s="511"/>
      <c r="Y464" s="506"/>
      <c r="Z464" s="510">
        <v>44404</v>
      </c>
      <c r="AA464" s="506"/>
      <c r="AB464" s="506"/>
      <c r="AC464" s="506"/>
    </row>
    <row r="465" spans="1:31" ht="15.75" thickBot="1">
      <c r="A465" s="416">
        <v>44393</v>
      </c>
      <c r="B465" s="411" t="s">
        <v>9388</v>
      </c>
      <c r="C465" s="411" t="s">
        <v>69</v>
      </c>
      <c r="D465" s="411" t="s">
        <v>70</v>
      </c>
      <c r="E465" s="274" t="s">
        <v>9389</v>
      </c>
      <c r="F465" s="411">
        <v>1</v>
      </c>
      <c r="G465" s="630" t="s">
        <v>9390</v>
      </c>
      <c r="H465" s="411"/>
      <c r="I465" s="411" t="s">
        <v>68</v>
      </c>
      <c r="J465" s="411"/>
      <c r="K465" s="417">
        <v>1477522</v>
      </c>
      <c r="L465" s="411" t="s">
        <v>112</v>
      </c>
      <c r="M465" s="416">
        <v>44412</v>
      </c>
      <c r="N465" s="416">
        <v>44421</v>
      </c>
      <c r="O465" s="416">
        <v>44431</v>
      </c>
      <c r="P465" s="630" t="s">
        <v>2548</v>
      </c>
      <c r="Q465" s="411"/>
      <c r="R465" s="417">
        <v>1477521.38</v>
      </c>
      <c r="S465" s="417">
        <v>1625273.52</v>
      </c>
      <c r="T465" s="1480"/>
      <c r="U465" s="1480"/>
      <c r="V465" s="1480"/>
      <c r="W465" s="513">
        <v>44431</v>
      </c>
      <c r="X465" s="417" t="s">
        <v>9717</v>
      </c>
      <c r="Y465" s="416">
        <v>44474</v>
      </c>
      <c r="Z465" s="416">
        <v>44481</v>
      </c>
      <c r="AA465" s="416">
        <v>44673</v>
      </c>
      <c r="AB465" s="411" t="s">
        <v>11373</v>
      </c>
      <c r="AC465" s="422" t="s">
        <v>6736</v>
      </c>
    </row>
    <row r="466" spans="1:31" ht="15.75" thickTop="1">
      <c r="A466" s="474">
        <v>44393</v>
      </c>
      <c r="B466" s="453" t="s">
        <v>9391</v>
      </c>
      <c r="C466" s="453" t="s">
        <v>69</v>
      </c>
      <c r="D466" s="453" t="s">
        <v>70</v>
      </c>
      <c r="E466" s="473" t="s">
        <v>9392</v>
      </c>
      <c r="F466" s="453">
        <v>1</v>
      </c>
      <c r="G466" s="1420" t="s">
        <v>5193</v>
      </c>
      <c r="H466" s="453"/>
      <c r="I466" s="453" t="s">
        <v>816</v>
      </c>
      <c r="J466" s="453"/>
      <c r="K466" s="457">
        <v>4341599</v>
      </c>
      <c r="L466" s="453" t="s">
        <v>251</v>
      </c>
      <c r="M466" s="474">
        <v>44400</v>
      </c>
      <c r="N466" s="474">
        <v>44435</v>
      </c>
      <c r="O466" s="474">
        <v>44460</v>
      </c>
      <c r="P466" s="1420" t="s">
        <v>2534</v>
      </c>
      <c r="Q466" s="453"/>
      <c r="R466" s="457">
        <v>4341598.92</v>
      </c>
      <c r="S466" s="457">
        <v>4775758.8099999996</v>
      </c>
      <c r="T466" s="1474"/>
      <c r="U466" s="1474"/>
      <c r="V466" s="1474"/>
      <c r="W466" s="570">
        <v>44460</v>
      </c>
      <c r="X466" s="457" t="s">
        <v>9882</v>
      </c>
      <c r="Y466" s="474">
        <v>44510</v>
      </c>
      <c r="Z466" s="474">
        <v>44526</v>
      </c>
      <c r="AA466" s="474">
        <v>45605</v>
      </c>
      <c r="AB466" s="474">
        <v>44648</v>
      </c>
      <c r="AC466" s="1391">
        <v>2022</v>
      </c>
      <c r="AD466" s="388">
        <v>2023</v>
      </c>
      <c r="AE466" s="388" t="s">
        <v>10323</v>
      </c>
    </row>
    <row r="467" spans="1:31" ht="15.75" thickBot="1">
      <c r="A467" s="2117">
        <v>44393</v>
      </c>
      <c r="B467" s="2118" t="s">
        <v>9391</v>
      </c>
      <c r="C467" s="2118" t="s">
        <v>69</v>
      </c>
      <c r="D467" s="2118" t="s">
        <v>70</v>
      </c>
      <c r="E467" s="2119" t="s">
        <v>9392</v>
      </c>
      <c r="F467" s="2118">
        <v>2</v>
      </c>
      <c r="G467" s="2120" t="s">
        <v>9393</v>
      </c>
      <c r="H467" s="2118"/>
      <c r="I467" s="2118" t="s">
        <v>816</v>
      </c>
      <c r="J467" s="2118"/>
      <c r="K467" s="2121">
        <v>2791686</v>
      </c>
      <c r="L467" s="2118" t="s">
        <v>251</v>
      </c>
      <c r="M467" s="2117">
        <v>44400</v>
      </c>
      <c r="N467" s="2117">
        <v>44435</v>
      </c>
      <c r="O467" s="2117">
        <v>44460</v>
      </c>
      <c r="P467" s="2120" t="s">
        <v>2534</v>
      </c>
      <c r="Q467" s="2118"/>
      <c r="R467" s="2121">
        <v>2791685.52</v>
      </c>
      <c r="S467" s="2121">
        <v>3070854.07</v>
      </c>
      <c r="T467" s="2122"/>
      <c r="U467" s="2122"/>
      <c r="V467" s="2122"/>
      <c r="W467" s="2123">
        <v>44460</v>
      </c>
      <c r="X467" s="2121" t="s">
        <v>9883</v>
      </c>
      <c r="Y467" s="2117">
        <v>44510</v>
      </c>
      <c r="Z467" s="2117">
        <v>44526</v>
      </c>
      <c r="AA467" s="2117">
        <v>45605</v>
      </c>
      <c r="AB467" s="2118" t="s">
        <v>11373</v>
      </c>
      <c r="AC467" s="2110">
        <v>2022</v>
      </c>
      <c r="AD467" s="388">
        <v>2023</v>
      </c>
      <c r="AE467" s="388" t="s">
        <v>10323</v>
      </c>
    </row>
    <row r="468" spans="1:31" ht="15.75" thickTop="1">
      <c r="A468" s="474">
        <v>44393</v>
      </c>
      <c r="B468" s="453" t="s">
        <v>9394</v>
      </c>
      <c r="C468" s="453" t="s">
        <v>69</v>
      </c>
      <c r="D468" s="453" t="s">
        <v>70</v>
      </c>
      <c r="E468" s="473" t="s">
        <v>9401</v>
      </c>
      <c r="F468" s="453">
        <v>1</v>
      </c>
      <c r="G468" s="1420" t="s">
        <v>9395</v>
      </c>
      <c r="H468" s="453"/>
      <c r="I468" s="2269" t="s">
        <v>5244</v>
      </c>
      <c r="J468" s="453"/>
      <c r="K468" s="457">
        <v>1051199</v>
      </c>
      <c r="L468" s="453" t="s">
        <v>251</v>
      </c>
      <c r="M468" s="474">
        <v>44399</v>
      </c>
      <c r="N468" s="474">
        <v>44461</v>
      </c>
      <c r="O468" s="474">
        <v>44531</v>
      </c>
      <c r="P468" s="1420" t="s">
        <v>5774</v>
      </c>
      <c r="Q468" s="453"/>
      <c r="R468" s="457">
        <v>1038016.08</v>
      </c>
      <c r="S468" s="457">
        <v>1141817.69</v>
      </c>
      <c r="T468" s="1474"/>
      <c r="U468" s="1474"/>
      <c r="V468" s="1474"/>
      <c r="W468" s="570">
        <v>44531</v>
      </c>
      <c r="X468" s="457" t="s">
        <v>10495</v>
      </c>
      <c r="Y468" s="474">
        <v>44553</v>
      </c>
      <c r="Z468" s="474">
        <v>44567</v>
      </c>
      <c r="AA468" s="474">
        <v>45648</v>
      </c>
      <c r="AB468" s="2140">
        <v>44648</v>
      </c>
      <c r="AC468" s="2109">
        <v>2022</v>
      </c>
      <c r="AD468" s="388">
        <v>2023</v>
      </c>
      <c r="AE468" s="388" t="s">
        <v>10645</v>
      </c>
    </row>
    <row r="469" spans="1:31">
      <c r="A469" s="2124">
        <v>44393</v>
      </c>
      <c r="B469" s="2125" t="s">
        <v>9394</v>
      </c>
      <c r="C469" s="2125" t="s">
        <v>69</v>
      </c>
      <c r="D469" s="2125" t="s">
        <v>70</v>
      </c>
      <c r="E469" s="2126" t="s">
        <v>9401</v>
      </c>
      <c r="F469" s="2125">
        <v>2</v>
      </c>
      <c r="G469" s="2127" t="s">
        <v>9396</v>
      </c>
      <c r="H469" s="2085"/>
      <c r="I469" s="2391" t="s">
        <v>5244</v>
      </c>
      <c r="J469" s="2125"/>
      <c r="K469" s="2128">
        <v>103138</v>
      </c>
      <c r="L469" s="2125" t="s">
        <v>251</v>
      </c>
      <c r="M469" s="2124">
        <v>44399</v>
      </c>
      <c r="N469" s="2124">
        <v>44461</v>
      </c>
      <c r="O469" s="2125"/>
      <c r="P469" s="2136" t="s">
        <v>4505</v>
      </c>
      <c r="Q469" s="2125"/>
      <c r="R469" s="2128"/>
      <c r="S469" s="2128"/>
      <c r="T469" s="2094"/>
      <c r="U469" s="2094"/>
      <c r="V469" s="2094"/>
      <c r="W469" s="2128"/>
      <c r="X469" s="2128"/>
      <c r="Y469" s="2125"/>
      <c r="Z469" s="2124">
        <v>44531</v>
      </c>
      <c r="AA469" s="2125" t="s">
        <v>10326</v>
      </c>
      <c r="AB469" s="2125"/>
      <c r="AC469" s="2125"/>
    </row>
    <row r="470" spans="1:31">
      <c r="A470" s="2140">
        <v>44393</v>
      </c>
      <c r="B470" s="2141" t="s">
        <v>9394</v>
      </c>
      <c r="C470" s="2141" t="s">
        <v>69</v>
      </c>
      <c r="D470" s="2141" t="s">
        <v>70</v>
      </c>
      <c r="E470" s="2142" t="s">
        <v>9401</v>
      </c>
      <c r="F470" s="2141">
        <v>3</v>
      </c>
      <c r="G470" s="2143" t="s">
        <v>9397</v>
      </c>
      <c r="H470" s="2141"/>
      <c r="I470" s="2141" t="s">
        <v>5244</v>
      </c>
      <c r="J470" s="2141"/>
      <c r="K470" s="2144">
        <v>2295855</v>
      </c>
      <c r="L470" s="2141" t="s">
        <v>251</v>
      </c>
      <c r="M470" s="2140">
        <v>44399</v>
      </c>
      <c r="N470" s="2140">
        <v>44461</v>
      </c>
      <c r="O470" s="2140">
        <v>44531</v>
      </c>
      <c r="P470" s="2143" t="s">
        <v>576</v>
      </c>
      <c r="Q470" s="2141"/>
      <c r="R470" s="2144">
        <v>2292017.88</v>
      </c>
      <c r="S470" s="2144">
        <v>2521219.67</v>
      </c>
      <c r="T470" s="2145"/>
      <c r="U470" s="2145"/>
      <c r="V470" s="2145"/>
      <c r="W470" s="2146">
        <v>44531</v>
      </c>
      <c r="X470" s="2144" t="s">
        <v>10496</v>
      </c>
      <c r="Y470" s="2140">
        <v>44552</v>
      </c>
      <c r="Z470" s="2140">
        <v>44567</v>
      </c>
      <c r="AA470" s="2140">
        <v>45647</v>
      </c>
      <c r="AB470" s="2141" t="s">
        <v>11373</v>
      </c>
      <c r="AC470" s="2109">
        <v>2022</v>
      </c>
      <c r="AD470" s="388">
        <v>2023</v>
      </c>
      <c r="AE470" s="388" t="s">
        <v>10616</v>
      </c>
    </row>
    <row r="471" spans="1:31">
      <c r="A471" s="2124">
        <v>44393</v>
      </c>
      <c r="B471" s="2125" t="s">
        <v>9394</v>
      </c>
      <c r="C471" s="2125" t="s">
        <v>69</v>
      </c>
      <c r="D471" s="2125" t="s">
        <v>70</v>
      </c>
      <c r="E471" s="2126" t="s">
        <v>9401</v>
      </c>
      <c r="F471" s="2125">
        <v>4</v>
      </c>
      <c r="G471" s="2127" t="s">
        <v>9398</v>
      </c>
      <c r="H471" s="2125"/>
      <c r="I471" s="2125" t="s">
        <v>5244</v>
      </c>
      <c r="J471" s="2125"/>
      <c r="K471" s="2128">
        <v>60840</v>
      </c>
      <c r="L471" s="2125" t="s">
        <v>251</v>
      </c>
      <c r="M471" s="2124">
        <v>44399</v>
      </c>
      <c r="N471" s="2124">
        <v>44461</v>
      </c>
      <c r="O471" s="2125"/>
      <c r="P471" s="2136" t="s">
        <v>304</v>
      </c>
      <c r="Q471" s="2125"/>
      <c r="R471" s="2128"/>
      <c r="S471" s="2128"/>
      <c r="T471" s="2129"/>
      <c r="U471" s="2129"/>
      <c r="V471" s="2129"/>
      <c r="W471" s="2128"/>
      <c r="X471" s="2128"/>
      <c r="Y471" s="2125"/>
      <c r="Z471" s="2124">
        <v>44531</v>
      </c>
      <c r="AA471" s="2125" t="s">
        <v>10326</v>
      </c>
      <c r="AB471" s="2125"/>
      <c r="AC471" s="2125"/>
    </row>
    <row r="472" spans="1:31">
      <c r="A472" s="2140">
        <v>44393</v>
      </c>
      <c r="B472" s="2141" t="s">
        <v>9394</v>
      </c>
      <c r="C472" s="2141" t="s">
        <v>69</v>
      </c>
      <c r="D472" s="2141" t="s">
        <v>70</v>
      </c>
      <c r="E472" s="2142" t="s">
        <v>9401</v>
      </c>
      <c r="F472" s="2141">
        <v>5</v>
      </c>
      <c r="G472" s="2143" t="s">
        <v>9399</v>
      </c>
      <c r="H472" s="2141"/>
      <c r="I472" s="2141" t="s">
        <v>5244</v>
      </c>
      <c r="J472" s="2141"/>
      <c r="K472" s="2144">
        <v>1251266</v>
      </c>
      <c r="L472" s="2141" t="s">
        <v>251</v>
      </c>
      <c r="M472" s="2140">
        <v>44399</v>
      </c>
      <c r="N472" s="2140">
        <v>44461</v>
      </c>
      <c r="O472" s="2140">
        <v>44531</v>
      </c>
      <c r="P472" s="2143" t="s">
        <v>5774</v>
      </c>
      <c r="Q472" s="2141"/>
      <c r="R472" s="2144">
        <v>1246995.3899999999</v>
      </c>
      <c r="S472" s="2144">
        <v>1371694.93</v>
      </c>
      <c r="T472" s="2145"/>
      <c r="U472" s="2145"/>
      <c r="V472" s="2145"/>
      <c r="W472" s="2146">
        <v>44531</v>
      </c>
      <c r="X472" s="2144" t="s">
        <v>10497</v>
      </c>
      <c r="Y472" s="2140">
        <v>44553</v>
      </c>
      <c r="Z472" s="2140">
        <v>44567</v>
      </c>
      <c r="AA472" s="2140">
        <v>45648</v>
      </c>
      <c r="AB472" s="2140">
        <v>44648</v>
      </c>
      <c r="AC472" s="2109">
        <v>2022</v>
      </c>
      <c r="AD472" s="388">
        <v>2023</v>
      </c>
      <c r="AE472" s="388" t="s">
        <v>10645</v>
      </c>
    </row>
    <row r="473" spans="1:31">
      <c r="A473" s="2124">
        <v>44393</v>
      </c>
      <c r="B473" s="2125" t="s">
        <v>9394</v>
      </c>
      <c r="C473" s="2125" t="s">
        <v>69</v>
      </c>
      <c r="D473" s="2125" t="s">
        <v>70</v>
      </c>
      <c r="E473" s="2126" t="s">
        <v>9401</v>
      </c>
      <c r="F473" s="2125">
        <v>6</v>
      </c>
      <c r="G473" s="2127" t="s">
        <v>9400</v>
      </c>
      <c r="H473" s="2085"/>
      <c r="I473" s="2125" t="s">
        <v>5244</v>
      </c>
      <c r="J473" s="2125"/>
      <c r="K473" s="2128">
        <v>289927</v>
      </c>
      <c r="L473" s="2125" t="s">
        <v>251</v>
      </c>
      <c r="M473" s="2124">
        <v>44399</v>
      </c>
      <c r="N473" s="2124">
        <v>44461</v>
      </c>
      <c r="O473" s="2125"/>
      <c r="P473" s="2136" t="s">
        <v>4505</v>
      </c>
      <c r="Q473" s="2125"/>
      <c r="R473" s="2128"/>
      <c r="S473" s="2128"/>
      <c r="T473" s="2094"/>
      <c r="U473" s="2094"/>
      <c r="V473" s="2094"/>
      <c r="W473" s="2128"/>
      <c r="X473" s="2128"/>
      <c r="Y473" s="2125"/>
      <c r="Z473" s="2124">
        <v>44531</v>
      </c>
      <c r="AA473" s="2125" t="s">
        <v>10326</v>
      </c>
      <c r="AB473" s="2125"/>
      <c r="AC473" s="2125"/>
    </row>
    <row r="474" spans="1:31">
      <c r="A474" s="2124">
        <v>44393</v>
      </c>
      <c r="B474" s="2125" t="s">
        <v>9394</v>
      </c>
      <c r="C474" s="2125" t="s">
        <v>69</v>
      </c>
      <c r="D474" s="2125" t="s">
        <v>70</v>
      </c>
      <c r="E474" s="2126" t="s">
        <v>9401</v>
      </c>
      <c r="F474" s="2125">
        <v>7</v>
      </c>
      <c r="G474" s="2127" t="s">
        <v>6790</v>
      </c>
      <c r="H474" s="2125"/>
      <c r="I474" s="2125" t="s">
        <v>5244</v>
      </c>
      <c r="J474" s="2125"/>
      <c r="K474" s="2128">
        <v>1699203</v>
      </c>
      <c r="L474" s="2125" t="s">
        <v>251</v>
      </c>
      <c r="M474" s="2124">
        <v>44399</v>
      </c>
      <c r="N474" s="2124">
        <v>44461</v>
      </c>
      <c r="O474" s="2125"/>
      <c r="P474" s="2136" t="s">
        <v>304</v>
      </c>
      <c r="Q474" s="2125"/>
      <c r="R474" s="2128"/>
      <c r="S474" s="2128"/>
      <c r="T474" s="2129"/>
      <c r="U474" s="2129"/>
      <c r="V474" s="2129"/>
      <c r="W474" s="2128"/>
      <c r="X474" s="2128"/>
      <c r="Y474" s="2125"/>
      <c r="Z474" s="2124">
        <v>44531</v>
      </c>
      <c r="AA474" s="2125" t="s">
        <v>10326</v>
      </c>
      <c r="AB474" s="2125"/>
      <c r="AC474" s="2125"/>
    </row>
    <row r="475" spans="1:31">
      <c r="A475" s="2140">
        <v>44393</v>
      </c>
      <c r="B475" s="2141" t="s">
        <v>9394</v>
      </c>
      <c r="C475" s="2141" t="s">
        <v>69</v>
      </c>
      <c r="D475" s="2141" t="s">
        <v>70</v>
      </c>
      <c r="E475" s="2142" t="s">
        <v>9401</v>
      </c>
      <c r="F475" s="2141">
        <v>8</v>
      </c>
      <c r="G475" s="2143" t="s">
        <v>10439</v>
      </c>
      <c r="H475" s="2141"/>
      <c r="I475" s="2141" t="s">
        <v>5244</v>
      </c>
      <c r="J475" s="2141"/>
      <c r="K475" s="2144">
        <v>7665209</v>
      </c>
      <c r="L475" s="2141" t="s">
        <v>251</v>
      </c>
      <c r="M475" s="2140">
        <v>44399</v>
      </c>
      <c r="N475" s="2140">
        <v>44461</v>
      </c>
      <c r="O475" s="2140">
        <v>44531</v>
      </c>
      <c r="P475" s="2143" t="s">
        <v>5774</v>
      </c>
      <c r="Q475" s="2141"/>
      <c r="R475" s="2144">
        <v>7591466.4900000002</v>
      </c>
      <c r="S475" s="2144">
        <v>8350613.1399999997</v>
      </c>
      <c r="T475" s="2145"/>
      <c r="U475" s="2145"/>
      <c r="V475" s="2145"/>
      <c r="W475" s="2146">
        <v>44531</v>
      </c>
      <c r="X475" s="2144" t="s">
        <v>10498</v>
      </c>
      <c r="Y475" s="2140">
        <v>44553</v>
      </c>
      <c r="Z475" s="2140">
        <v>44567</v>
      </c>
      <c r="AA475" s="2140">
        <v>45648</v>
      </c>
      <c r="AB475" s="2140">
        <v>44648</v>
      </c>
      <c r="AC475" s="2109">
        <v>2022</v>
      </c>
      <c r="AD475" s="388">
        <v>2023</v>
      </c>
      <c r="AE475" s="388" t="s">
        <v>10645</v>
      </c>
    </row>
    <row r="476" spans="1:31" ht="15.75" thickBot="1">
      <c r="A476" s="2117">
        <v>44393</v>
      </c>
      <c r="B476" s="2118" t="s">
        <v>9394</v>
      </c>
      <c r="C476" s="2118" t="s">
        <v>69</v>
      </c>
      <c r="D476" s="2118" t="s">
        <v>70</v>
      </c>
      <c r="E476" s="2119" t="s">
        <v>9401</v>
      </c>
      <c r="F476" s="2118">
        <v>9</v>
      </c>
      <c r="G476" s="2120" t="s">
        <v>10440</v>
      </c>
      <c r="H476" s="2118"/>
      <c r="I476" s="2118" t="s">
        <v>5244</v>
      </c>
      <c r="J476" s="2118"/>
      <c r="K476" s="2121">
        <v>264900</v>
      </c>
      <c r="L476" s="2118" t="s">
        <v>251</v>
      </c>
      <c r="M476" s="2117">
        <v>44399</v>
      </c>
      <c r="N476" s="2117">
        <v>44461</v>
      </c>
      <c r="O476" s="2117">
        <v>44531</v>
      </c>
      <c r="P476" s="2120" t="s">
        <v>576</v>
      </c>
      <c r="Q476" s="2118"/>
      <c r="R476" s="2121">
        <v>264900</v>
      </c>
      <c r="S476" s="2121">
        <v>291390</v>
      </c>
      <c r="T476" s="2122"/>
      <c r="U476" s="2122"/>
      <c r="V476" s="2122"/>
      <c r="W476" s="2123">
        <v>44531</v>
      </c>
      <c r="X476" s="2121" t="s">
        <v>10499</v>
      </c>
      <c r="Y476" s="2117">
        <v>44552</v>
      </c>
      <c r="Z476" s="2117">
        <v>44567</v>
      </c>
      <c r="AA476" s="2117">
        <v>45647</v>
      </c>
      <c r="AB476" s="2118" t="s">
        <v>11373</v>
      </c>
      <c r="AC476" s="2110">
        <v>2022</v>
      </c>
      <c r="AD476" s="388">
        <v>2023</v>
      </c>
      <c r="AE476" s="388" t="s">
        <v>10616</v>
      </c>
    </row>
    <row r="477" spans="1:31" ht="16.5" thickTop="1" thickBot="1">
      <c r="A477" s="498">
        <v>44391</v>
      </c>
      <c r="B477" s="232" t="s">
        <v>9413</v>
      </c>
      <c r="C477" s="232" t="s">
        <v>2111</v>
      </c>
      <c r="D477" s="232" t="s">
        <v>9080</v>
      </c>
      <c r="E477" s="672" t="s">
        <v>9411</v>
      </c>
      <c r="F477" s="232"/>
      <c r="G477" s="669"/>
      <c r="H477" s="232"/>
      <c r="I477" s="232" t="s">
        <v>9412</v>
      </c>
      <c r="J477" s="232"/>
      <c r="K477" s="499">
        <v>700992.1</v>
      </c>
      <c r="L477" s="232" t="s">
        <v>112</v>
      </c>
      <c r="M477" s="498">
        <v>44398</v>
      </c>
      <c r="N477" s="498">
        <v>44411</v>
      </c>
      <c r="O477" s="498">
        <v>44459</v>
      </c>
      <c r="P477" s="669" t="s">
        <v>9809</v>
      </c>
      <c r="Q477" s="232"/>
      <c r="R477" s="499">
        <v>718596.2</v>
      </c>
      <c r="S477" s="499">
        <v>869501.4</v>
      </c>
      <c r="T477" s="1545"/>
      <c r="U477" s="1545"/>
      <c r="V477" s="1545"/>
      <c r="W477" s="682">
        <v>44460</v>
      </c>
      <c r="X477" s="499" t="s">
        <v>9873</v>
      </c>
      <c r="Y477" s="498">
        <v>44480</v>
      </c>
      <c r="Z477" s="498">
        <v>44483</v>
      </c>
      <c r="AA477" s="498">
        <v>44844</v>
      </c>
      <c r="AB477" s="498">
        <v>44643</v>
      </c>
      <c r="AC477" s="1546" t="s">
        <v>10038</v>
      </c>
    </row>
    <row r="478" spans="1:31" ht="30.75" thickTop="1">
      <c r="A478" s="474">
        <v>44391</v>
      </c>
      <c r="B478" s="453" t="s">
        <v>9410</v>
      </c>
      <c r="C478" s="453" t="s">
        <v>2434</v>
      </c>
      <c r="D478" s="453" t="s">
        <v>219</v>
      </c>
      <c r="E478" s="175" t="s">
        <v>9414</v>
      </c>
      <c r="F478" s="453">
        <v>1</v>
      </c>
      <c r="G478" s="1420" t="s">
        <v>9415</v>
      </c>
      <c r="H478" s="453"/>
      <c r="I478" s="453" t="s">
        <v>642</v>
      </c>
      <c r="J478" s="453"/>
      <c r="K478" s="2401">
        <v>1555743</v>
      </c>
      <c r="L478" s="453" t="s">
        <v>251</v>
      </c>
      <c r="M478" s="474">
        <v>44404</v>
      </c>
      <c r="N478" s="474">
        <v>44438</v>
      </c>
      <c r="O478" s="474">
        <v>44488</v>
      </c>
      <c r="P478" s="1420" t="s">
        <v>9847</v>
      </c>
      <c r="Q478" s="453"/>
      <c r="R478" s="457">
        <v>1516154</v>
      </c>
      <c r="S478" s="457">
        <v>1870846.34</v>
      </c>
      <c r="T478" s="1474"/>
      <c r="U478" s="1474"/>
      <c r="V478" s="1474"/>
      <c r="W478" s="570">
        <v>44488</v>
      </c>
      <c r="X478" s="1387" t="s">
        <v>10120</v>
      </c>
      <c r="Y478" s="474">
        <v>44516</v>
      </c>
      <c r="Z478" s="474">
        <v>44518</v>
      </c>
      <c r="AA478" s="474">
        <v>45611</v>
      </c>
      <c r="AB478" s="2141" t="s">
        <v>11373</v>
      </c>
      <c r="AC478" s="2109">
        <v>2022</v>
      </c>
      <c r="AD478" s="388">
        <v>2023</v>
      </c>
      <c r="AE478" s="388" t="s">
        <v>10325</v>
      </c>
    </row>
    <row r="479" spans="1:31" ht="30">
      <c r="A479" s="2140">
        <v>44391</v>
      </c>
      <c r="B479" s="2141" t="s">
        <v>9410</v>
      </c>
      <c r="C479" s="2141" t="s">
        <v>2434</v>
      </c>
      <c r="D479" s="2141" t="s">
        <v>219</v>
      </c>
      <c r="E479" s="2142" t="s">
        <v>9414</v>
      </c>
      <c r="F479" s="2141">
        <v>2</v>
      </c>
      <c r="G479" s="2143" t="s">
        <v>9416</v>
      </c>
      <c r="H479" s="2141"/>
      <c r="I479" s="2141" t="s">
        <v>642</v>
      </c>
      <c r="J479" s="2141"/>
      <c r="K479" s="2400">
        <v>3097774</v>
      </c>
      <c r="L479" s="2141" t="s">
        <v>251</v>
      </c>
      <c r="M479" s="2140">
        <v>44404</v>
      </c>
      <c r="N479" s="2140">
        <v>44438</v>
      </c>
      <c r="O479" s="2140">
        <v>44488</v>
      </c>
      <c r="P479" s="2143" t="s">
        <v>7296</v>
      </c>
      <c r="Q479" s="2141"/>
      <c r="R479" s="2144">
        <v>3097773.8</v>
      </c>
      <c r="S479" s="2144">
        <v>3748306.3</v>
      </c>
      <c r="T479" s="2145"/>
      <c r="U479" s="2145"/>
      <c r="V479" s="2145"/>
      <c r="W479" s="2146">
        <v>44488</v>
      </c>
      <c r="X479" s="2260" t="s">
        <v>10121</v>
      </c>
      <c r="Y479" s="2140">
        <v>44515</v>
      </c>
      <c r="Z479" s="2140">
        <v>44518</v>
      </c>
      <c r="AA479" s="2140">
        <v>45610</v>
      </c>
      <c r="AB479" s="2140">
        <v>44642</v>
      </c>
      <c r="AC479" s="2109">
        <v>2022</v>
      </c>
      <c r="AD479" s="388">
        <v>2023</v>
      </c>
      <c r="AE479" s="388" t="s">
        <v>10324</v>
      </c>
    </row>
    <row r="480" spans="1:31">
      <c r="A480" s="2124">
        <v>44391</v>
      </c>
      <c r="B480" s="2125" t="s">
        <v>9410</v>
      </c>
      <c r="C480" s="2125" t="s">
        <v>2434</v>
      </c>
      <c r="D480" s="2125" t="s">
        <v>219</v>
      </c>
      <c r="E480" s="2126" t="s">
        <v>9414</v>
      </c>
      <c r="F480" s="2125">
        <v>3</v>
      </c>
      <c r="G480" s="2127" t="s">
        <v>9417</v>
      </c>
      <c r="H480" s="2125"/>
      <c r="I480" s="2125" t="s">
        <v>642</v>
      </c>
      <c r="J480" s="2125"/>
      <c r="K480" s="2356">
        <v>192063</v>
      </c>
      <c r="L480" s="2125" t="s">
        <v>251</v>
      </c>
      <c r="M480" s="2124">
        <v>44404</v>
      </c>
      <c r="N480" s="2124">
        <v>44438</v>
      </c>
      <c r="O480" s="2125"/>
      <c r="P480" s="2127"/>
      <c r="Q480" s="2125"/>
      <c r="R480" s="2128"/>
      <c r="S480" s="2128"/>
      <c r="T480" s="2129"/>
      <c r="U480" s="2129"/>
      <c r="V480" s="2129"/>
      <c r="W480" s="2128"/>
      <c r="X480" s="2128"/>
      <c r="Y480" s="2125"/>
      <c r="Z480" s="2124">
        <v>44518</v>
      </c>
      <c r="AA480" s="2127" t="s">
        <v>10157</v>
      </c>
      <c r="AB480" s="2125"/>
      <c r="AC480" s="2125"/>
    </row>
    <row r="481" spans="1:31" ht="30.75" thickBot="1">
      <c r="A481" s="2117">
        <v>44391</v>
      </c>
      <c r="B481" s="2118" t="s">
        <v>9410</v>
      </c>
      <c r="C481" s="2118" t="s">
        <v>2434</v>
      </c>
      <c r="D481" s="2118" t="s">
        <v>219</v>
      </c>
      <c r="E481" s="2119" t="s">
        <v>9414</v>
      </c>
      <c r="F481" s="2118">
        <v>4</v>
      </c>
      <c r="G481" s="2120" t="s">
        <v>4085</v>
      </c>
      <c r="H481" s="2118"/>
      <c r="I481" s="2118" t="s">
        <v>642</v>
      </c>
      <c r="J481" s="2118"/>
      <c r="K481" s="2399">
        <v>64800</v>
      </c>
      <c r="L481" s="2118" t="s">
        <v>251</v>
      </c>
      <c r="M481" s="2117">
        <v>44404</v>
      </c>
      <c r="N481" s="2117">
        <v>44438</v>
      </c>
      <c r="O481" s="2117">
        <v>44488</v>
      </c>
      <c r="P481" s="2120" t="s">
        <v>8586</v>
      </c>
      <c r="Q481" s="2118"/>
      <c r="R481" s="2121">
        <v>64800</v>
      </c>
      <c r="S481" s="2121">
        <v>78408</v>
      </c>
      <c r="T481" s="2122"/>
      <c r="U481" s="2122"/>
      <c r="V481" s="2122"/>
      <c r="W481" s="2123">
        <v>44488</v>
      </c>
      <c r="X481" s="2246" t="s">
        <v>10122</v>
      </c>
      <c r="Y481" s="2117">
        <v>44515</v>
      </c>
      <c r="Z481" s="2117">
        <v>44518</v>
      </c>
      <c r="AA481" s="2117">
        <v>45610</v>
      </c>
      <c r="AB481" s="2118" t="s">
        <v>11373</v>
      </c>
      <c r="AC481" s="2110">
        <v>2022</v>
      </c>
      <c r="AD481" s="388">
        <v>2023</v>
      </c>
      <c r="AE481" s="388" t="s">
        <v>10324</v>
      </c>
    </row>
    <row r="482" spans="1:31" ht="15.75" thickTop="1">
      <c r="A482" s="365">
        <v>44392</v>
      </c>
      <c r="B482" s="2316" t="s">
        <v>9420</v>
      </c>
      <c r="C482" s="2316" t="s">
        <v>14</v>
      </c>
      <c r="D482" s="2316" t="s">
        <v>13</v>
      </c>
      <c r="E482" s="175" t="s">
        <v>9421</v>
      </c>
      <c r="F482" s="2316"/>
      <c r="G482" s="2317"/>
      <c r="H482" s="2316"/>
      <c r="I482" s="2316" t="s">
        <v>775</v>
      </c>
      <c r="J482" s="2316"/>
      <c r="K482" s="364">
        <v>574500</v>
      </c>
      <c r="L482" s="2316" t="s">
        <v>112</v>
      </c>
      <c r="M482" s="365">
        <v>44404</v>
      </c>
      <c r="N482" s="365">
        <v>44414</v>
      </c>
      <c r="O482" s="365">
        <v>44419</v>
      </c>
      <c r="P482" s="2317" t="s">
        <v>3915</v>
      </c>
      <c r="Q482" s="2316"/>
      <c r="R482" s="364">
        <v>566500</v>
      </c>
      <c r="S482" s="364">
        <v>685465</v>
      </c>
      <c r="T482" s="1473"/>
      <c r="U482" s="1473"/>
      <c r="V482" s="1473"/>
      <c r="W482" s="681">
        <v>44420</v>
      </c>
      <c r="X482" s="364" t="s">
        <v>9588</v>
      </c>
      <c r="Y482" s="365">
        <v>44433</v>
      </c>
      <c r="Z482" s="365">
        <v>44439</v>
      </c>
      <c r="AA482" s="365">
        <v>44797</v>
      </c>
      <c r="AB482" s="365">
        <v>44643</v>
      </c>
      <c r="AC482" s="451" t="s">
        <v>9724</v>
      </c>
    </row>
    <row r="483" spans="1:31">
      <c r="A483" s="537">
        <v>44392</v>
      </c>
      <c r="B483" s="491" t="s">
        <v>9425</v>
      </c>
      <c r="C483" s="491" t="s">
        <v>1032</v>
      </c>
      <c r="D483" s="491" t="s">
        <v>361</v>
      </c>
      <c r="E483" s="1563" t="s">
        <v>9422</v>
      </c>
      <c r="F483" s="1563"/>
      <c r="G483" s="495"/>
      <c r="H483" s="491"/>
      <c r="I483" s="491" t="s">
        <v>1518</v>
      </c>
      <c r="J483" s="491"/>
      <c r="K483" s="536">
        <v>6000000</v>
      </c>
      <c r="L483" s="491" t="s">
        <v>251</v>
      </c>
      <c r="M483" s="537">
        <v>44406</v>
      </c>
      <c r="N483" s="537">
        <v>44441</v>
      </c>
      <c r="O483" s="537">
        <v>44461</v>
      </c>
      <c r="P483" s="495" t="s">
        <v>4174</v>
      </c>
      <c r="Q483" s="491"/>
      <c r="R483" s="536">
        <v>5939960</v>
      </c>
      <c r="S483" s="536">
        <v>7187351.5999999996</v>
      </c>
      <c r="T483" s="1471"/>
      <c r="U483" s="1471"/>
      <c r="V483" s="1471"/>
      <c r="W483" s="573">
        <v>44461</v>
      </c>
      <c r="X483" s="536" t="s">
        <v>9888</v>
      </c>
      <c r="Y483" s="537">
        <v>44509</v>
      </c>
      <c r="Z483" s="537">
        <v>44518</v>
      </c>
      <c r="AA483" s="537">
        <v>44926</v>
      </c>
      <c r="AB483" s="2737">
        <v>44865</v>
      </c>
      <c r="AC483" s="1102"/>
    </row>
    <row r="484" spans="1:31">
      <c r="A484" s="537">
        <v>44392</v>
      </c>
      <c r="B484" s="491" t="s">
        <v>9426</v>
      </c>
      <c r="C484" s="491" t="s">
        <v>14</v>
      </c>
      <c r="D484" s="491" t="s">
        <v>13</v>
      </c>
      <c r="E484" s="571" t="s">
        <v>9427</v>
      </c>
      <c r="F484" s="491"/>
      <c r="G484" s="495"/>
      <c r="H484" s="491"/>
      <c r="I484" s="491" t="s">
        <v>21</v>
      </c>
      <c r="J484" s="491"/>
      <c r="K484" s="536">
        <v>1430000</v>
      </c>
      <c r="L484" s="491" t="s">
        <v>112</v>
      </c>
      <c r="M484" s="537">
        <v>44404</v>
      </c>
      <c r="N484" s="537">
        <v>44414</v>
      </c>
      <c r="O484" s="537">
        <v>44420</v>
      </c>
      <c r="P484" s="495" t="s">
        <v>6120</v>
      </c>
      <c r="Q484" s="491"/>
      <c r="R484" s="536">
        <v>1723030</v>
      </c>
      <c r="S484" s="536">
        <v>2084866.3</v>
      </c>
      <c r="T484" s="1471"/>
      <c r="U484" s="1471"/>
      <c r="V484" s="1471"/>
      <c r="W484" s="573">
        <v>44420</v>
      </c>
      <c r="X484" s="536" t="s">
        <v>9603</v>
      </c>
      <c r="Y484" s="537">
        <v>44438</v>
      </c>
      <c r="Z484" s="537">
        <v>44438</v>
      </c>
      <c r="AA484" s="537">
        <v>44437</v>
      </c>
      <c r="AB484" s="537">
        <v>44643</v>
      </c>
      <c r="AC484" s="1374" t="s">
        <v>9733</v>
      </c>
    </row>
    <row r="485" spans="1:31" ht="45">
      <c r="A485" s="537">
        <v>44384</v>
      </c>
      <c r="B485" s="491" t="s">
        <v>9438</v>
      </c>
      <c r="C485" s="491" t="s">
        <v>58</v>
      </c>
      <c r="D485" s="491" t="s">
        <v>2684</v>
      </c>
      <c r="E485" s="571" t="s">
        <v>9439</v>
      </c>
      <c r="F485" s="491"/>
      <c r="G485" s="495"/>
      <c r="H485" s="491"/>
      <c r="I485" s="491" t="s">
        <v>788</v>
      </c>
      <c r="J485" s="491"/>
      <c r="K485" s="536">
        <v>2250000</v>
      </c>
      <c r="L485" s="491" t="s">
        <v>216</v>
      </c>
      <c r="M485" s="537">
        <v>44406</v>
      </c>
      <c r="N485" s="537">
        <v>44432</v>
      </c>
      <c r="O485" s="537">
        <v>44449</v>
      </c>
      <c r="P485" s="495" t="s">
        <v>9810</v>
      </c>
      <c r="Q485" s="491"/>
      <c r="R485" s="536">
        <v>1889000</v>
      </c>
      <c r="S485" s="536">
        <v>2285690</v>
      </c>
      <c r="T485" s="1471"/>
      <c r="U485" s="1471"/>
      <c r="V485" s="1471"/>
      <c r="W485" s="573">
        <v>44449</v>
      </c>
      <c r="X485" s="1375" t="s">
        <v>9834</v>
      </c>
      <c r="Y485" s="537">
        <v>44489</v>
      </c>
      <c r="Z485" s="537">
        <v>44502</v>
      </c>
      <c r="AA485" s="537">
        <v>44545</v>
      </c>
      <c r="AB485" s="537">
        <v>44600</v>
      </c>
      <c r="AC485" s="1374" t="s">
        <v>9837</v>
      </c>
    </row>
    <row r="486" spans="1:31">
      <c r="A486" s="510">
        <v>44399</v>
      </c>
      <c r="B486" s="506" t="s">
        <v>9443</v>
      </c>
      <c r="C486" s="506" t="s">
        <v>69</v>
      </c>
      <c r="D486" s="506" t="s">
        <v>70</v>
      </c>
      <c r="E486" s="507" t="s">
        <v>9444</v>
      </c>
      <c r="F486" s="506"/>
      <c r="G486" s="548"/>
      <c r="H486" s="506"/>
      <c r="I486" s="506" t="s">
        <v>72</v>
      </c>
      <c r="J486" s="506"/>
      <c r="K486" s="511">
        <v>211954416</v>
      </c>
      <c r="L486" s="506" t="s">
        <v>251</v>
      </c>
      <c r="M486" s="510">
        <v>44404</v>
      </c>
      <c r="N486" s="510">
        <v>44441</v>
      </c>
      <c r="O486" s="506"/>
      <c r="P486" s="736" t="s">
        <v>2635</v>
      </c>
      <c r="Q486" s="1985" t="s">
        <v>9839</v>
      </c>
      <c r="R486" s="511"/>
      <c r="S486" s="511"/>
      <c r="T486" s="1470"/>
      <c r="U486" s="1470"/>
      <c r="V486" s="1470"/>
      <c r="W486" s="511"/>
      <c r="X486" s="511"/>
      <c r="Y486" s="506"/>
      <c r="Z486" s="510">
        <v>44446</v>
      </c>
      <c r="AA486" s="548" t="s">
        <v>9811</v>
      </c>
      <c r="AB486" s="506"/>
      <c r="AC486" s="506"/>
    </row>
    <row r="487" spans="1:31" ht="45.75" thickBot="1">
      <c r="A487" s="416">
        <v>44389</v>
      </c>
      <c r="B487" s="411" t="s">
        <v>9445</v>
      </c>
      <c r="C487" s="411" t="s">
        <v>58</v>
      </c>
      <c r="D487" s="411" t="s">
        <v>4969</v>
      </c>
      <c r="E487" s="412" t="s">
        <v>9446</v>
      </c>
      <c r="F487" s="411"/>
      <c r="G487" s="630"/>
      <c r="H487" s="411"/>
      <c r="I487" s="411" t="s">
        <v>77</v>
      </c>
      <c r="J487" s="411" t="s">
        <v>9447</v>
      </c>
      <c r="K487" s="417">
        <v>777455</v>
      </c>
      <c r="L487" s="411" t="s">
        <v>112</v>
      </c>
      <c r="M487" s="416">
        <v>44403</v>
      </c>
      <c r="N487" s="416">
        <v>44412</v>
      </c>
      <c r="O487" s="416">
        <v>44424</v>
      </c>
      <c r="P487" s="630" t="s">
        <v>9583</v>
      </c>
      <c r="Q487" s="411"/>
      <c r="R487" s="417">
        <v>770700</v>
      </c>
      <c r="S487" s="417">
        <v>932547</v>
      </c>
      <c r="T487" s="1480"/>
      <c r="U487" s="1480"/>
      <c r="V487" s="1480"/>
      <c r="W487" s="513">
        <v>44424</v>
      </c>
      <c r="X487" s="1553" t="s">
        <v>9664</v>
      </c>
      <c r="Y487" s="416">
        <v>44452</v>
      </c>
      <c r="Z487" s="416">
        <v>44473</v>
      </c>
      <c r="AA487" s="416">
        <v>44482</v>
      </c>
      <c r="AB487" s="416">
        <v>44519</v>
      </c>
      <c r="AC487" s="422" t="s">
        <v>9837</v>
      </c>
    </row>
    <row r="488" spans="1:31" ht="15.75" thickTop="1">
      <c r="A488" s="443">
        <v>44399</v>
      </c>
      <c r="B488" s="439" t="s">
        <v>9448</v>
      </c>
      <c r="C488" s="439" t="s">
        <v>69</v>
      </c>
      <c r="D488" s="439" t="s">
        <v>70</v>
      </c>
      <c r="E488" s="440" t="s">
        <v>9449</v>
      </c>
      <c r="F488" s="439">
        <v>1</v>
      </c>
      <c r="G488" s="1431" t="s">
        <v>9450</v>
      </c>
      <c r="H488" s="439"/>
      <c r="I488" s="439" t="s">
        <v>816</v>
      </c>
      <c r="J488" s="439"/>
      <c r="K488" s="444">
        <v>4337280</v>
      </c>
      <c r="L488" s="439" t="s">
        <v>251</v>
      </c>
      <c r="M488" s="443">
        <v>44404</v>
      </c>
      <c r="N488" s="443">
        <v>44438</v>
      </c>
      <c r="O488" s="439"/>
      <c r="P488" s="753" t="s">
        <v>304</v>
      </c>
      <c r="Q488" s="439"/>
      <c r="R488" s="444"/>
      <c r="S488" s="444"/>
      <c r="T488" s="1481"/>
      <c r="U488" s="1481"/>
      <c r="V488" s="1481"/>
      <c r="W488" s="444"/>
      <c r="X488" s="444"/>
      <c r="Y488" s="439"/>
      <c r="Z488" s="443">
        <v>44484</v>
      </c>
      <c r="AA488" s="439" t="s">
        <v>9841</v>
      </c>
      <c r="AB488" s="439"/>
      <c r="AC488" s="439"/>
    </row>
    <row r="489" spans="1:31" ht="15.75" thickBot="1">
      <c r="A489" s="2117">
        <v>44399</v>
      </c>
      <c r="B489" s="2118" t="s">
        <v>9448</v>
      </c>
      <c r="C489" s="2118" t="s">
        <v>69</v>
      </c>
      <c r="D489" s="2118" t="s">
        <v>70</v>
      </c>
      <c r="E489" s="2119" t="s">
        <v>9449</v>
      </c>
      <c r="F489" s="2118">
        <v>2</v>
      </c>
      <c r="G489" s="2120" t="s">
        <v>9451</v>
      </c>
      <c r="H489" s="2118"/>
      <c r="I489" s="2118" t="s">
        <v>816</v>
      </c>
      <c r="J489" s="2118"/>
      <c r="K489" s="2121">
        <v>20330627</v>
      </c>
      <c r="L489" s="2118" t="s">
        <v>251</v>
      </c>
      <c r="M489" s="2117">
        <v>44404</v>
      </c>
      <c r="N489" s="2117">
        <v>44438</v>
      </c>
      <c r="O489" s="2117">
        <v>44460</v>
      </c>
      <c r="P489" s="2120" t="s">
        <v>2548</v>
      </c>
      <c r="Q489" s="2118"/>
      <c r="R489" s="2121">
        <v>20277774.719999999</v>
      </c>
      <c r="S489" s="2121">
        <v>22305552.190000001</v>
      </c>
      <c r="T489" s="2122"/>
      <c r="U489" s="2122"/>
      <c r="V489" s="2122"/>
      <c r="W489" s="2123">
        <v>44460</v>
      </c>
      <c r="X489" s="2121" t="s">
        <v>9884</v>
      </c>
      <c r="Y489" s="2117">
        <v>44484</v>
      </c>
      <c r="Z489" s="2117">
        <v>44484</v>
      </c>
      <c r="AA489" s="2117">
        <v>45579</v>
      </c>
      <c r="AB489" s="2117">
        <v>44648</v>
      </c>
      <c r="AC489" s="2110">
        <v>2022</v>
      </c>
      <c r="AD489" s="388">
        <v>2023</v>
      </c>
      <c r="AE489" s="388" t="s">
        <v>10083</v>
      </c>
    </row>
    <row r="490" spans="1:31" ht="15.75" thickTop="1">
      <c r="A490" s="470">
        <v>44397</v>
      </c>
      <c r="B490" s="466" t="s">
        <v>9454</v>
      </c>
      <c r="C490" s="466" t="s">
        <v>58</v>
      </c>
      <c r="D490" s="466" t="s">
        <v>4969</v>
      </c>
      <c r="E490" s="467" t="s">
        <v>3065</v>
      </c>
      <c r="F490" s="466"/>
      <c r="G490" s="654"/>
      <c r="H490" s="576"/>
      <c r="I490" s="466" t="s">
        <v>269</v>
      </c>
      <c r="J490" s="466" t="s">
        <v>9455</v>
      </c>
      <c r="K490" s="472">
        <v>159000</v>
      </c>
      <c r="L490" s="466" t="s">
        <v>112</v>
      </c>
      <c r="M490" s="470">
        <v>44404</v>
      </c>
      <c r="N490" s="470">
        <v>44412</v>
      </c>
      <c r="O490" s="466"/>
      <c r="P490" s="471" t="s">
        <v>304</v>
      </c>
      <c r="Q490" s="2014" t="s">
        <v>9801</v>
      </c>
      <c r="R490" s="472"/>
      <c r="S490" s="472"/>
      <c r="T490" s="1489"/>
      <c r="U490" s="1489"/>
      <c r="V490" s="1489"/>
      <c r="W490" s="472"/>
      <c r="X490" s="472"/>
      <c r="Y490" s="466"/>
      <c r="Z490" s="470">
        <v>44412</v>
      </c>
      <c r="AA490" s="466"/>
      <c r="AB490" s="466"/>
      <c r="AC490" s="466"/>
    </row>
    <row r="491" spans="1:31" ht="30">
      <c r="A491" s="537">
        <v>44393</v>
      </c>
      <c r="B491" s="491" t="s">
        <v>9456</v>
      </c>
      <c r="C491" s="491" t="s">
        <v>58</v>
      </c>
      <c r="D491" s="491" t="s">
        <v>4969</v>
      </c>
      <c r="E491" s="571" t="s">
        <v>9457</v>
      </c>
      <c r="F491" s="491"/>
      <c r="G491" s="495"/>
      <c r="H491" s="491"/>
      <c r="I491" s="491" t="s">
        <v>940</v>
      </c>
      <c r="J491" s="491" t="s">
        <v>9458</v>
      </c>
      <c r="K491" s="536">
        <v>130000</v>
      </c>
      <c r="L491" s="491" t="s">
        <v>112</v>
      </c>
      <c r="M491" s="537">
        <v>44404</v>
      </c>
      <c r="N491" s="537">
        <v>44412</v>
      </c>
      <c r="O491" s="537">
        <v>44424</v>
      </c>
      <c r="P491" s="495" t="s">
        <v>9586</v>
      </c>
      <c r="Q491" s="491"/>
      <c r="R491" s="536">
        <v>127090</v>
      </c>
      <c r="S491" s="536">
        <v>153778.9</v>
      </c>
      <c r="T491" s="1471"/>
      <c r="U491" s="1471"/>
      <c r="V491" s="1471"/>
      <c r="W491" s="573">
        <v>44424</v>
      </c>
      <c r="X491" s="1375" t="s">
        <v>9665</v>
      </c>
      <c r="Y491" s="537">
        <v>44440</v>
      </c>
      <c r="Z491" s="537">
        <v>44456</v>
      </c>
      <c r="AA491" s="537">
        <v>44482</v>
      </c>
      <c r="AB491" s="537">
        <v>44522</v>
      </c>
      <c r="AC491" s="1374" t="s">
        <v>1875</v>
      </c>
    </row>
    <row r="492" spans="1:31" ht="30">
      <c r="A492" s="537">
        <v>44400</v>
      </c>
      <c r="B492" s="491" t="s">
        <v>9462</v>
      </c>
      <c r="C492" s="491" t="s">
        <v>58</v>
      </c>
      <c r="D492" s="491" t="s">
        <v>4969</v>
      </c>
      <c r="E492" s="571" t="s">
        <v>9463</v>
      </c>
      <c r="F492" s="491"/>
      <c r="G492" s="495"/>
      <c r="H492" s="491"/>
      <c r="I492" s="491" t="s">
        <v>753</v>
      </c>
      <c r="J492" s="491" t="s">
        <v>9464</v>
      </c>
      <c r="K492" s="536">
        <v>305000</v>
      </c>
      <c r="L492" s="491" t="s">
        <v>112</v>
      </c>
      <c r="M492" s="537">
        <v>44405</v>
      </c>
      <c r="N492" s="537">
        <v>44417</v>
      </c>
      <c r="O492" s="537">
        <v>44424</v>
      </c>
      <c r="P492" s="495" t="s">
        <v>3079</v>
      </c>
      <c r="Q492" s="491"/>
      <c r="R492" s="536">
        <v>212880</v>
      </c>
      <c r="S492" s="536">
        <v>257584.8</v>
      </c>
      <c r="T492" s="1471"/>
      <c r="U492" s="1471"/>
      <c r="V492" s="1471"/>
      <c r="W492" s="573">
        <v>44424</v>
      </c>
      <c r="X492" s="1375" t="s">
        <v>9666</v>
      </c>
      <c r="Y492" s="537">
        <v>44442</v>
      </c>
      <c r="Z492" s="537">
        <v>44456</v>
      </c>
      <c r="AA492" s="537">
        <v>44484</v>
      </c>
      <c r="AB492" s="537">
        <v>44536</v>
      </c>
      <c r="AC492" s="1374" t="s">
        <v>1875</v>
      </c>
    </row>
    <row r="493" spans="1:31" ht="30.75" thickBot="1">
      <c r="A493" s="416">
        <v>44404</v>
      </c>
      <c r="B493" s="411" t="s">
        <v>9470</v>
      </c>
      <c r="C493" s="411" t="s">
        <v>58</v>
      </c>
      <c r="D493" s="411" t="s">
        <v>4969</v>
      </c>
      <c r="E493" s="412" t="s">
        <v>9471</v>
      </c>
      <c r="F493" s="411"/>
      <c r="G493" s="630"/>
      <c r="H493" s="411"/>
      <c r="I493" s="411" t="s">
        <v>62</v>
      </c>
      <c r="J493" s="411" t="s">
        <v>9472</v>
      </c>
      <c r="K493" s="417">
        <v>256818</v>
      </c>
      <c r="L493" s="411" t="s">
        <v>112</v>
      </c>
      <c r="M493" s="416">
        <v>44406</v>
      </c>
      <c r="N493" s="416">
        <v>44418</v>
      </c>
      <c r="O493" s="416">
        <v>44424</v>
      </c>
      <c r="P493" s="630" t="s">
        <v>9587</v>
      </c>
      <c r="Q493" s="411"/>
      <c r="R493" s="417">
        <v>226070</v>
      </c>
      <c r="S493" s="417">
        <v>273544.7</v>
      </c>
      <c r="T493" s="1480"/>
      <c r="U493" s="1480"/>
      <c r="V493" s="1480"/>
      <c r="W493" s="513">
        <v>44424</v>
      </c>
      <c r="X493" s="1553" t="s">
        <v>9667</v>
      </c>
      <c r="Y493" s="416">
        <v>44460</v>
      </c>
      <c r="Z493" s="416">
        <v>44473</v>
      </c>
      <c r="AA493" s="416">
        <v>44550</v>
      </c>
      <c r="AB493" s="416">
        <v>44199</v>
      </c>
      <c r="AC493" s="422" t="s">
        <v>1875</v>
      </c>
    </row>
    <row r="494" spans="1:31" ht="30.75" thickTop="1">
      <c r="A494" s="474">
        <v>44396</v>
      </c>
      <c r="B494" s="453" t="s">
        <v>9473</v>
      </c>
      <c r="C494" s="453" t="s">
        <v>2434</v>
      </c>
      <c r="D494" s="453" t="s">
        <v>219</v>
      </c>
      <c r="E494" s="473" t="s">
        <v>9474</v>
      </c>
      <c r="F494" s="453">
        <v>1</v>
      </c>
      <c r="G494" s="1420" t="s">
        <v>9475</v>
      </c>
      <c r="H494" s="453"/>
      <c r="I494" s="453" t="s">
        <v>3013</v>
      </c>
      <c r="J494" s="453"/>
      <c r="K494" s="457">
        <v>3043930</v>
      </c>
      <c r="L494" s="453" t="s">
        <v>251</v>
      </c>
      <c r="M494" s="474">
        <v>44407</v>
      </c>
      <c r="N494" s="474">
        <v>44442</v>
      </c>
      <c r="O494" s="474">
        <v>44460</v>
      </c>
      <c r="P494" s="1420" t="s">
        <v>9847</v>
      </c>
      <c r="Q494" s="453"/>
      <c r="R494" s="457">
        <v>3043930</v>
      </c>
      <c r="S494" s="457">
        <v>3683155.3</v>
      </c>
      <c r="T494" s="1474"/>
      <c r="U494" s="1474"/>
      <c r="V494" s="1474"/>
      <c r="W494" s="570">
        <v>44461</v>
      </c>
      <c r="X494" s="1387" t="s">
        <v>9886</v>
      </c>
      <c r="Y494" s="474">
        <v>44482</v>
      </c>
      <c r="Z494" s="474">
        <v>44487</v>
      </c>
      <c r="AA494" s="474">
        <v>45577</v>
      </c>
      <c r="AB494" s="474">
        <v>44642</v>
      </c>
      <c r="AC494" s="1391">
        <v>2022</v>
      </c>
      <c r="AD494" s="1391">
        <v>2023</v>
      </c>
      <c r="AE494" s="1391" t="s">
        <v>10052</v>
      </c>
    </row>
    <row r="495" spans="1:31">
      <c r="A495" s="2124">
        <v>44396</v>
      </c>
      <c r="B495" s="2125" t="s">
        <v>9473</v>
      </c>
      <c r="C495" s="2125" t="s">
        <v>2434</v>
      </c>
      <c r="D495" s="2125" t="s">
        <v>219</v>
      </c>
      <c r="E495" s="2126" t="s">
        <v>9474</v>
      </c>
      <c r="F495" s="2125">
        <v>2</v>
      </c>
      <c r="G495" s="2127" t="s">
        <v>9476</v>
      </c>
      <c r="H495" s="2085"/>
      <c r="I495" s="2125" t="s">
        <v>3013</v>
      </c>
      <c r="J495" s="2125"/>
      <c r="K495" s="2128">
        <v>48999.5</v>
      </c>
      <c r="L495" s="2125" t="s">
        <v>251</v>
      </c>
      <c r="M495" s="2124">
        <v>44407</v>
      </c>
      <c r="N495" s="2124">
        <v>44442</v>
      </c>
      <c r="O495" s="2125"/>
      <c r="P495" s="2136" t="s">
        <v>304</v>
      </c>
      <c r="Q495" s="2180" t="s">
        <v>9848</v>
      </c>
      <c r="R495" s="2128"/>
      <c r="S495" s="2128"/>
      <c r="T495" s="2094"/>
      <c r="U495" s="2094"/>
      <c r="V495" s="2094"/>
      <c r="W495" s="2128"/>
      <c r="X495" s="2128"/>
      <c r="Y495" s="2125"/>
      <c r="Z495" s="2124">
        <v>44455</v>
      </c>
      <c r="AA495" s="2125" t="s">
        <v>9817</v>
      </c>
      <c r="AB495" s="2125"/>
      <c r="AC495" s="2125"/>
      <c r="AD495" s="2106"/>
      <c r="AE495" s="2106"/>
    </row>
    <row r="496" spans="1:31">
      <c r="A496" s="2124">
        <v>44396</v>
      </c>
      <c r="B496" s="2125" t="s">
        <v>9473</v>
      </c>
      <c r="C496" s="2125" t="s">
        <v>2434</v>
      </c>
      <c r="D496" s="2125" t="s">
        <v>219</v>
      </c>
      <c r="E496" s="2126" t="s">
        <v>9474</v>
      </c>
      <c r="F496" s="2125">
        <v>3</v>
      </c>
      <c r="G496" s="2127" t="s">
        <v>9477</v>
      </c>
      <c r="H496" s="2085"/>
      <c r="I496" s="2125" t="s">
        <v>3013</v>
      </c>
      <c r="J496" s="2125"/>
      <c r="K496" s="2128">
        <v>3036180</v>
      </c>
      <c r="L496" s="2125" t="s">
        <v>251</v>
      </c>
      <c r="M496" s="2124">
        <v>44407</v>
      </c>
      <c r="N496" s="2124">
        <v>44442</v>
      </c>
      <c r="O496" s="2125"/>
      <c r="P496" s="2136" t="s">
        <v>304</v>
      </c>
      <c r="Q496" s="2275" t="s">
        <v>9848</v>
      </c>
      <c r="R496" s="2128"/>
      <c r="S496" s="2128"/>
      <c r="T496" s="2094"/>
      <c r="U496" s="2094"/>
      <c r="V496" s="2094"/>
      <c r="W496" s="2128"/>
      <c r="X496" s="2128"/>
      <c r="Y496" s="2125"/>
      <c r="Z496" s="2124">
        <v>44455</v>
      </c>
      <c r="AA496" s="2125" t="s">
        <v>9817</v>
      </c>
      <c r="AB496" s="2125"/>
      <c r="AC496" s="2125"/>
      <c r="AD496" s="2106"/>
      <c r="AE496" s="2106"/>
    </row>
    <row r="497" spans="1:31">
      <c r="A497" s="2124">
        <v>44396</v>
      </c>
      <c r="B497" s="2125" t="s">
        <v>9473</v>
      </c>
      <c r="C497" s="2125" t="s">
        <v>2434</v>
      </c>
      <c r="D497" s="2125" t="s">
        <v>219</v>
      </c>
      <c r="E497" s="2126" t="s">
        <v>9474</v>
      </c>
      <c r="F497" s="2125">
        <v>4</v>
      </c>
      <c r="G497" s="2127" t="s">
        <v>9478</v>
      </c>
      <c r="H497" s="2085"/>
      <c r="I497" s="2125" t="s">
        <v>3013</v>
      </c>
      <c r="J497" s="2125"/>
      <c r="K497" s="2128">
        <v>829400</v>
      </c>
      <c r="L497" s="2125" t="s">
        <v>251</v>
      </c>
      <c r="M497" s="2124">
        <v>44407</v>
      </c>
      <c r="N497" s="2124">
        <v>44442</v>
      </c>
      <c r="O497" s="2125"/>
      <c r="P497" s="2136" t="s">
        <v>304</v>
      </c>
      <c r="Q497" s="2275" t="s">
        <v>9848</v>
      </c>
      <c r="R497" s="2128"/>
      <c r="S497" s="2128"/>
      <c r="T497" s="2094"/>
      <c r="U497" s="2094"/>
      <c r="V497" s="2094"/>
      <c r="W497" s="2128"/>
      <c r="X497" s="2128"/>
      <c r="Y497" s="2125"/>
      <c r="Z497" s="2124">
        <v>44455</v>
      </c>
      <c r="AA497" s="2125" t="s">
        <v>9817</v>
      </c>
      <c r="AB497" s="2125"/>
      <c r="AC497" s="2125"/>
      <c r="AD497" s="2106"/>
      <c r="AE497" s="2106"/>
    </row>
    <row r="498" spans="1:31" ht="15.75" thickBot="1">
      <c r="A498" s="2130">
        <v>44396</v>
      </c>
      <c r="B498" s="2131" t="s">
        <v>9473</v>
      </c>
      <c r="C498" s="2131" t="s">
        <v>2434</v>
      </c>
      <c r="D498" s="2131" t="s">
        <v>219</v>
      </c>
      <c r="E498" s="2132" t="s">
        <v>9474</v>
      </c>
      <c r="F498" s="2131">
        <v>5</v>
      </c>
      <c r="G498" s="2133" t="s">
        <v>9479</v>
      </c>
      <c r="H498" s="2089"/>
      <c r="I498" s="2131" t="s">
        <v>3013</v>
      </c>
      <c r="J498" s="2131"/>
      <c r="K498" s="2134">
        <v>209626.5</v>
      </c>
      <c r="L498" s="2131" t="s">
        <v>251</v>
      </c>
      <c r="M498" s="2130">
        <v>44407</v>
      </c>
      <c r="N498" s="2130">
        <v>44442</v>
      </c>
      <c r="O498" s="2131"/>
      <c r="P498" s="2137" t="s">
        <v>304</v>
      </c>
      <c r="Q498" s="2287" t="s">
        <v>9848</v>
      </c>
      <c r="R498" s="2134"/>
      <c r="S498" s="2134"/>
      <c r="T498" s="2095"/>
      <c r="U498" s="2095"/>
      <c r="V498" s="2095"/>
      <c r="W498" s="2134"/>
      <c r="X498" s="2134"/>
      <c r="Y498" s="2131"/>
      <c r="Z498" s="2130">
        <v>44455</v>
      </c>
      <c r="AA498" s="2131" t="s">
        <v>9817</v>
      </c>
      <c r="AB498" s="2131"/>
      <c r="AC498" s="2131"/>
      <c r="AD498" s="2108"/>
      <c r="AE498" s="2108"/>
    </row>
    <row r="499" spans="1:31" ht="15.75" thickTop="1">
      <c r="A499" s="453" t="s">
        <v>3585</v>
      </c>
      <c r="B499" s="453" t="s">
        <v>9480</v>
      </c>
      <c r="C499" s="453" t="s">
        <v>58</v>
      </c>
      <c r="D499" s="453" t="s">
        <v>4969</v>
      </c>
      <c r="E499" s="473" t="s">
        <v>9481</v>
      </c>
      <c r="F499" s="453">
        <v>1</v>
      </c>
      <c r="G499" s="1420" t="s">
        <v>9041</v>
      </c>
      <c r="H499" s="453"/>
      <c r="I499" s="453" t="s">
        <v>9031</v>
      </c>
      <c r="J499" s="453" t="s">
        <v>9032</v>
      </c>
      <c r="K499" s="457">
        <v>91000</v>
      </c>
      <c r="L499" s="453" t="s">
        <v>112</v>
      </c>
      <c r="M499" s="474">
        <v>44406</v>
      </c>
      <c r="N499" s="474">
        <v>44418</v>
      </c>
      <c r="O499" s="474">
        <v>44470</v>
      </c>
      <c r="P499" s="1420" t="s">
        <v>2525</v>
      </c>
      <c r="Q499" s="453"/>
      <c r="R499" s="457">
        <v>91000</v>
      </c>
      <c r="S499" s="457">
        <v>110110</v>
      </c>
      <c r="T499" s="1474"/>
      <c r="U499" s="1474"/>
      <c r="V499" s="1474"/>
      <c r="W499" s="570">
        <v>44470</v>
      </c>
      <c r="X499" s="457" t="s">
        <v>9994</v>
      </c>
      <c r="Y499" s="474">
        <v>44489</v>
      </c>
      <c r="Z499" s="474">
        <v>44496</v>
      </c>
      <c r="AA499" s="474">
        <v>44531</v>
      </c>
      <c r="AB499" s="474">
        <v>44690</v>
      </c>
      <c r="AC499" s="1393"/>
    </row>
    <row r="500" spans="1:31" ht="15.75" thickBot="1">
      <c r="A500" s="2131" t="s">
        <v>3585</v>
      </c>
      <c r="B500" s="2131" t="s">
        <v>9480</v>
      </c>
      <c r="C500" s="2131" t="s">
        <v>58</v>
      </c>
      <c r="D500" s="2131" t="s">
        <v>4969</v>
      </c>
      <c r="E500" s="2132" t="s">
        <v>9481</v>
      </c>
      <c r="F500" s="2131">
        <v>2</v>
      </c>
      <c r="G500" s="2133" t="s">
        <v>9042</v>
      </c>
      <c r="H500" s="2131"/>
      <c r="I500" s="2131" t="s">
        <v>9031</v>
      </c>
      <c r="J500" s="2131" t="s">
        <v>9032</v>
      </c>
      <c r="K500" s="2134">
        <v>180000</v>
      </c>
      <c r="L500" s="2131" t="s">
        <v>112</v>
      </c>
      <c r="M500" s="2130">
        <v>44406</v>
      </c>
      <c r="N500" s="2130">
        <v>44418</v>
      </c>
      <c r="O500" s="2131"/>
      <c r="P500" s="2137" t="s">
        <v>4505</v>
      </c>
      <c r="Q500" s="2131"/>
      <c r="R500" s="2134"/>
      <c r="S500" s="2134"/>
      <c r="T500" s="2135"/>
      <c r="U500" s="2135"/>
      <c r="V500" s="2135"/>
      <c r="W500" s="2134"/>
      <c r="X500" s="2134"/>
      <c r="Y500" s="2131"/>
      <c r="Z500" s="2130">
        <v>44445</v>
      </c>
      <c r="AA500" s="2131"/>
      <c r="AB500" s="2131"/>
      <c r="AC500" s="2131"/>
    </row>
    <row r="501" spans="1:31" ht="15.75" thickTop="1">
      <c r="A501" s="470">
        <v>44435</v>
      </c>
      <c r="B501" s="466" t="s">
        <v>9483</v>
      </c>
      <c r="C501" s="466" t="s">
        <v>4997</v>
      </c>
      <c r="D501" s="185" t="s">
        <v>7475</v>
      </c>
      <c r="E501" s="282" t="s">
        <v>9484</v>
      </c>
      <c r="F501" s="466"/>
      <c r="G501" s="654"/>
      <c r="H501" s="466"/>
      <c r="I501" s="466" t="s">
        <v>498</v>
      </c>
      <c r="J501" s="466"/>
      <c r="K501" s="472">
        <v>5900000</v>
      </c>
      <c r="L501" s="466" t="s">
        <v>112</v>
      </c>
      <c r="M501" s="470">
        <v>44406</v>
      </c>
      <c r="N501" s="470">
        <v>44418</v>
      </c>
      <c r="O501" s="470">
        <v>44438</v>
      </c>
      <c r="P501" s="471" t="s">
        <v>9745</v>
      </c>
      <c r="Q501" s="466"/>
      <c r="R501" s="472">
        <v>4039171.35</v>
      </c>
      <c r="S501" s="472">
        <v>4887397.33</v>
      </c>
      <c r="T501" s="1516"/>
      <c r="U501" s="1516"/>
      <c r="V501" s="1516"/>
      <c r="W501" s="1547">
        <v>44438</v>
      </c>
      <c r="X501" s="472" t="s">
        <v>9734</v>
      </c>
      <c r="Y501" s="466"/>
      <c r="Z501" s="470">
        <v>44456</v>
      </c>
      <c r="AA501" s="466"/>
      <c r="AB501" s="466"/>
      <c r="AC501" s="466"/>
    </row>
    <row r="502" spans="1:31" ht="45.75" thickBot="1">
      <c r="A502" s="416">
        <v>44400</v>
      </c>
      <c r="B502" s="411" t="s">
        <v>9485</v>
      </c>
      <c r="C502" s="411" t="s">
        <v>58</v>
      </c>
      <c r="D502" s="411" t="s">
        <v>2684</v>
      </c>
      <c r="E502" s="412" t="s">
        <v>9486</v>
      </c>
      <c r="F502" s="411"/>
      <c r="G502" s="630"/>
      <c r="H502" s="411"/>
      <c r="I502" s="411" t="s">
        <v>269</v>
      </c>
      <c r="J502" s="411" t="s">
        <v>9487</v>
      </c>
      <c r="K502" s="417">
        <v>1980000</v>
      </c>
      <c r="L502" s="411" t="s">
        <v>251</v>
      </c>
      <c r="M502" s="416">
        <v>44407</v>
      </c>
      <c r="N502" s="416">
        <v>44442</v>
      </c>
      <c r="O502" s="416">
        <v>44461</v>
      </c>
      <c r="P502" s="630" t="s">
        <v>8526</v>
      </c>
      <c r="Q502" s="411"/>
      <c r="R502" s="417">
        <v>2285050</v>
      </c>
      <c r="S502" s="417">
        <v>2764910.5</v>
      </c>
      <c r="T502" s="1480"/>
      <c r="U502" s="1480"/>
      <c r="V502" s="1480"/>
      <c r="W502" s="513">
        <v>44461</v>
      </c>
      <c r="X502" s="1553" t="s">
        <v>9895</v>
      </c>
      <c r="Y502" s="416">
        <v>44484</v>
      </c>
      <c r="Z502" s="416">
        <v>44496</v>
      </c>
      <c r="AA502" s="416">
        <v>44568</v>
      </c>
      <c r="AB502" s="416">
        <v>44559</v>
      </c>
      <c r="AC502" s="422" t="s">
        <v>6118</v>
      </c>
    </row>
    <row r="503" spans="1:31" ht="30.75" thickTop="1">
      <c r="A503" s="474">
        <v>44405</v>
      </c>
      <c r="B503" s="453" t="s">
        <v>9519</v>
      </c>
      <c r="C503" s="453" t="s">
        <v>2434</v>
      </c>
      <c r="D503" s="453" t="s">
        <v>219</v>
      </c>
      <c r="E503" s="473" t="s">
        <v>4120</v>
      </c>
      <c r="F503" s="453">
        <v>1</v>
      </c>
      <c r="G503" s="1420" t="s">
        <v>9520</v>
      </c>
      <c r="H503" s="453"/>
      <c r="I503" s="453" t="s">
        <v>642</v>
      </c>
      <c r="J503" s="453"/>
      <c r="K503" s="457">
        <v>696600</v>
      </c>
      <c r="L503" s="453" t="s">
        <v>251</v>
      </c>
      <c r="M503" s="474">
        <v>44413</v>
      </c>
      <c r="N503" s="474">
        <v>44446</v>
      </c>
      <c r="O503" s="474">
        <v>44469</v>
      </c>
      <c r="P503" s="1420" t="s">
        <v>4893</v>
      </c>
      <c r="Q503" s="453"/>
      <c r="R503" s="457">
        <v>600000</v>
      </c>
      <c r="S503" s="457">
        <v>690000</v>
      </c>
      <c r="T503" s="1474"/>
      <c r="U503" s="1474"/>
      <c r="V503" s="1474"/>
      <c r="W503" s="570">
        <v>44469</v>
      </c>
      <c r="X503" s="1387" t="s">
        <v>9975</v>
      </c>
      <c r="Y503" s="474">
        <v>44494</v>
      </c>
      <c r="Z503" s="474">
        <v>44498</v>
      </c>
      <c r="AA503" s="474">
        <v>45589</v>
      </c>
      <c r="AB503" s="474">
        <v>44642</v>
      </c>
      <c r="AC503" s="1391">
        <v>2022</v>
      </c>
      <c r="AD503" s="388">
        <v>2023</v>
      </c>
      <c r="AE503" s="388" t="s">
        <v>10172</v>
      </c>
    </row>
    <row r="504" spans="1:31" ht="30">
      <c r="A504" s="2140">
        <v>44405</v>
      </c>
      <c r="B504" s="2141" t="s">
        <v>9519</v>
      </c>
      <c r="C504" s="2141" t="s">
        <v>2434</v>
      </c>
      <c r="D504" s="2141" t="s">
        <v>219</v>
      </c>
      <c r="E504" s="2142" t="s">
        <v>4120</v>
      </c>
      <c r="F504" s="2141">
        <v>2</v>
      </c>
      <c r="G504" s="2143" t="s">
        <v>9521</v>
      </c>
      <c r="H504" s="2141"/>
      <c r="I504" s="2141" t="s">
        <v>642</v>
      </c>
      <c r="J504" s="2141"/>
      <c r="K504" s="2144">
        <v>2626140</v>
      </c>
      <c r="L504" s="2141" t="s">
        <v>251</v>
      </c>
      <c r="M504" s="2140">
        <v>44413</v>
      </c>
      <c r="N504" s="2140">
        <v>44446</v>
      </c>
      <c r="O504" s="2140">
        <v>44469</v>
      </c>
      <c r="P504" s="2143" t="s">
        <v>4894</v>
      </c>
      <c r="Q504" s="2141"/>
      <c r="R504" s="2144">
        <v>2478265.83</v>
      </c>
      <c r="S504" s="2144">
        <v>2850005.7</v>
      </c>
      <c r="T504" s="2145"/>
      <c r="U504" s="2145"/>
      <c r="V504" s="2145"/>
      <c r="W504" s="2146">
        <v>44469</v>
      </c>
      <c r="X504" s="2260" t="s">
        <v>9976</v>
      </c>
      <c r="Y504" s="2140">
        <v>44494</v>
      </c>
      <c r="Z504" s="2140">
        <v>44498</v>
      </c>
      <c r="AA504" s="2140">
        <v>45589</v>
      </c>
      <c r="AB504" s="2140">
        <v>44642</v>
      </c>
      <c r="AC504" s="2109">
        <v>2022</v>
      </c>
      <c r="AD504" s="388">
        <v>2023</v>
      </c>
      <c r="AE504" s="388" t="s">
        <v>10172</v>
      </c>
    </row>
    <row r="505" spans="1:31">
      <c r="A505" s="2124">
        <v>44405</v>
      </c>
      <c r="B505" s="2125" t="s">
        <v>9519</v>
      </c>
      <c r="C505" s="2125" t="s">
        <v>2434</v>
      </c>
      <c r="D505" s="2125" t="s">
        <v>219</v>
      </c>
      <c r="E505" s="2126" t="s">
        <v>4120</v>
      </c>
      <c r="F505" s="2125">
        <v>3</v>
      </c>
      <c r="G505" s="2127" t="s">
        <v>9522</v>
      </c>
      <c r="H505" s="2085"/>
      <c r="I505" s="2125" t="s">
        <v>642</v>
      </c>
      <c r="J505" s="2125"/>
      <c r="K505" s="2128">
        <v>840000</v>
      </c>
      <c r="L505" s="2125" t="s">
        <v>251</v>
      </c>
      <c r="M505" s="2124">
        <v>44413</v>
      </c>
      <c r="N505" s="2124">
        <v>44446</v>
      </c>
      <c r="O505" s="2125"/>
      <c r="P505" s="2136" t="s">
        <v>304</v>
      </c>
      <c r="Q505" s="2449" t="s">
        <v>10243</v>
      </c>
      <c r="R505" s="2128"/>
      <c r="S505" s="2128"/>
      <c r="T505" s="2094"/>
      <c r="U505" s="2094"/>
      <c r="V505" s="2094"/>
      <c r="W505" s="2128"/>
      <c r="X505" s="2128"/>
      <c r="Y505" s="2125"/>
      <c r="Z505" s="2124">
        <v>44482</v>
      </c>
      <c r="AA505" s="2125" t="s">
        <v>9872</v>
      </c>
      <c r="AB505" s="2125"/>
      <c r="AC505" s="2125"/>
    </row>
    <row r="506" spans="1:31" ht="30">
      <c r="A506" s="2140">
        <v>44405</v>
      </c>
      <c r="B506" s="2141" t="s">
        <v>9519</v>
      </c>
      <c r="C506" s="2141" t="s">
        <v>2434</v>
      </c>
      <c r="D506" s="2141" t="s">
        <v>219</v>
      </c>
      <c r="E506" s="2142" t="s">
        <v>4120</v>
      </c>
      <c r="F506" s="2141">
        <v>4</v>
      </c>
      <c r="G506" s="2143" t="s">
        <v>9523</v>
      </c>
      <c r="H506" s="2141"/>
      <c r="I506" s="2141" t="s">
        <v>642</v>
      </c>
      <c r="J506" s="2141"/>
      <c r="K506" s="2144">
        <v>2782400</v>
      </c>
      <c r="L506" s="2141" t="s">
        <v>251</v>
      </c>
      <c r="M506" s="2140">
        <v>44413</v>
      </c>
      <c r="N506" s="2140">
        <v>44446</v>
      </c>
      <c r="O506" s="2140">
        <v>44469</v>
      </c>
      <c r="P506" s="2143" t="s">
        <v>4894</v>
      </c>
      <c r="Q506" s="2141"/>
      <c r="R506" s="2144">
        <v>2644000</v>
      </c>
      <c r="S506" s="2144">
        <v>3040600</v>
      </c>
      <c r="T506" s="2145"/>
      <c r="U506" s="2145"/>
      <c r="V506" s="2145"/>
      <c r="W506" s="2146">
        <v>44469</v>
      </c>
      <c r="X506" s="2260" t="s">
        <v>9977</v>
      </c>
      <c r="Y506" s="2140">
        <v>44494</v>
      </c>
      <c r="Z506" s="2140">
        <v>44498</v>
      </c>
      <c r="AA506" s="2140">
        <v>45589</v>
      </c>
      <c r="AB506" s="2141" t="s">
        <v>11373</v>
      </c>
      <c r="AC506" s="2109">
        <v>2022</v>
      </c>
      <c r="AD506" s="388">
        <v>2023</v>
      </c>
      <c r="AE506" s="388" t="s">
        <v>10172</v>
      </c>
    </row>
    <row r="507" spans="1:31" ht="15.75" thickBot="1">
      <c r="A507" s="2117">
        <v>44405</v>
      </c>
      <c r="B507" s="2118" t="s">
        <v>9519</v>
      </c>
      <c r="C507" s="2118" t="s">
        <v>2434</v>
      </c>
      <c r="D507" s="2118" t="s">
        <v>219</v>
      </c>
      <c r="E507" s="2119" t="s">
        <v>4120</v>
      </c>
      <c r="F507" s="2118">
        <v>5</v>
      </c>
      <c r="G507" s="2120" t="s">
        <v>9524</v>
      </c>
      <c r="H507" s="2118"/>
      <c r="I507" s="2118" t="s">
        <v>642</v>
      </c>
      <c r="J507" s="2118"/>
      <c r="K507" s="2121">
        <v>9576025</v>
      </c>
      <c r="L507" s="2118" t="s">
        <v>251</v>
      </c>
      <c r="M507" s="2117">
        <v>44413</v>
      </c>
      <c r="N507" s="2117">
        <v>44446</v>
      </c>
      <c r="O507" s="2117">
        <v>44469</v>
      </c>
      <c r="P507" s="2120" t="s">
        <v>4894</v>
      </c>
      <c r="Q507" s="2118"/>
      <c r="R507" s="2121">
        <v>8982288.7799999993</v>
      </c>
      <c r="S507" s="2121">
        <v>10329632.1</v>
      </c>
      <c r="T507" s="2122"/>
      <c r="U507" s="2122"/>
      <c r="V507" s="2122"/>
      <c r="W507" s="2123">
        <v>44469</v>
      </c>
      <c r="X507" s="2246" t="s">
        <v>9978</v>
      </c>
      <c r="Y507" s="2117">
        <v>44494</v>
      </c>
      <c r="Z507" s="2117">
        <v>44498</v>
      </c>
      <c r="AA507" s="2117">
        <v>45589</v>
      </c>
      <c r="AB507" s="2118" t="s">
        <v>11373</v>
      </c>
      <c r="AC507" s="2110">
        <v>2022</v>
      </c>
      <c r="AD507" s="388">
        <v>2023</v>
      </c>
      <c r="AE507" s="388" t="s">
        <v>10172</v>
      </c>
    </row>
    <row r="508" spans="1:31" ht="31.5" thickTop="1" thickBot="1">
      <c r="A508" s="498">
        <v>44410</v>
      </c>
      <c r="B508" s="232" t="s">
        <v>9532</v>
      </c>
      <c r="C508" s="232" t="s">
        <v>2434</v>
      </c>
      <c r="D508" s="232" t="s">
        <v>3204</v>
      </c>
      <c r="E508" s="274" t="s">
        <v>9533</v>
      </c>
      <c r="F508" s="232"/>
      <c r="G508" s="669"/>
      <c r="H508" s="232"/>
      <c r="I508" s="232" t="s">
        <v>642</v>
      </c>
      <c r="J508" s="232"/>
      <c r="K508" s="499">
        <v>3769850</v>
      </c>
      <c r="L508" s="232" t="s">
        <v>251</v>
      </c>
      <c r="M508" s="498">
        <v>44417</v>
      </c>
      <c r="N508" s="498">
        <v>44449</v>
      </c>
      <c r="O508" s="498">
        <v>44461</v>
      </c>
      <c r="P508" s="669" t="s">
        <v>1433</v>
      </c>
      <c r="Q508" s="232"/>
      <c r="R508" s="499">
        <v>3769850</v>
      </c>
      <c r="S508" s="499">
        <v>4651518.5</v>
      </c>
      <c r="T508" s="1545"/>
      <c r="U508" s="1545"/>
      <c r="V508" s="1545"/>
      <c r="W508" s="682">
        <v>44461</v>
      </c>
      <c r="X508" s="1752" t="s">
        <v>9889</v>
      </c>
      <c r="Y508" s="498">
        <v>44484</v>
      </c>
      <c r="Z508" s="498">
        <v>44489</v>
      </c>
      <c r="AA508" s="498">
        <v>45579</v>
      </c>
      <c r="AB508" s="498">
        <v>44642</v>
      </c>
      <c r="AC508" s="1546">
        <v>2022</v>
      </c>
      <c r="AD508" s="388">
        <v>2023</v>
      </c>
      <c r="AE508" s="388" t="s">
        <v>10083</v>
      </c>
    </row>
    <row r="509" spans="1:31" ht="15.75" thickTop="1">
      <c r="A509" s="2306">
        <v>44410</v>
      </c>
      <c r="B509" s="824" t="s">
        <v>9491</v>
      </c>
      <c r="C509" s="824" t="s">
        <v>69</v>
      </c>
      <c r="D509" s="824" t="s">
        <v>70</v>
      </c>
      <c r="E509" s="825" t="s">
        <v>9492</v>
      </c>
      <c r="F509" s="824">
        <v>1</v>
      </c>
      <c r="G509" s="1565" t="s">
        <v>9493</v>
      </c>
      <c r="H509" s="824"/>
      <c r="I509" s="824" t="s">
        <v>2418</v>
      </c>
      <c r="J509" s="824"/>
      <c r="K509" s="828">
        <v>9222167</v>
      </c>
      <c r="L509" s="824" t="s">
        <v>251</v>
      </c>
      <c r="M509" s="824"/>
      <c r="N509" s="824"/>
      <c r="O509" s="824"/>
      <c r="P509" s="1565"/>
      <c r="Q509" s="824"/>
      <c r="R509" s="828"/>
      <c r="S509" s="828"/>
      <c r="T509" s="1486"/>
      <c r="U509" s="1486"/>
      <c r="V509" s="1486"/>
      <c r="W509" s="828"/>
      <c r="X509" s="828"/>
      <c r="Y509" s="824"/>
      <c r="Z509" s="824"/>
      <c r="AA509" s="824"/>
      <c r="AB509" s="824"/>
      <c r="AC509" s="824"/>
    </row>
    <row r="510" spans="1:31" ht="15.75" thickBot="1">
      <c r="A510" s="2307">
        <v>44410</v>
      </c>
      <c r="B510" s="2107" t="s">
        <v>9491</v>
      </c>
      <c r="C510" s="2107" t="s">
        <v>69</v>
      </c>
      <c r="D510" s="2107" t="s">
        <v>70</v>
      </c>
      <c r="E510" s="2308" t="s">
        <v>9492</v>
      </c>
      <c r="F510" s="2107">
        <v>2</v>
      </c>
      <c r="G510" s="2309" t="s">
        <v>9494</v>
      </c>
      <c r="H510" s="2107"/>
      <c r="I510" s="2107" t="s">
        <v>2418</v>
      </c>
      <c r="J510" s="2107"/>
      <c r="K510" s="2310">
        <v>5034951</v>
      </c>
      <c r="L510" s="2107" t="s">
        <v>251</v>
      </c>
      <c r="M510" s="2107"/>
      <c r="N510" s="2107"/>
      <c r="O510" s="2107"/>
      <c r="P510" s="2309"/>
      <c r="Q510" s="2107"/>
      <c r="R510" s="2310"/>
      <c r="S510" s="2310"/>
      <c r="T510" s="2311"/>
      <c r="U510" s="2311"/>
      <c r="V510" s="2311"/>
      <c r="W510" s="2310"/>
      <c r="X510" s="2310"/>
      <c r="Y510" s="2107"/>
      <c r="Z510" s="2107"/>
      <c r="AA510" s="2107"/>
      <c r="AB510" s="2107"/>
      <c r="AC510" s="2107"/>
    </row>
    <row r="511" spans="1:31" ht="16.5" thickTop="1" thickBot="1">
      <c r="A511" s="1877">
        <v>44410</v>
      </c>
      <c r="B511" s="1878" t="s">
        <v>9495</v>
      </c>
      <c r="C511" s="1878" t="s">
        <v>69</v>
      </c>
      <c r="D511" s="1878" t="s">
        <v>70</v>
      </c>
      <c r="E511" s="1536" t="s">
        <v>9496</v>
      </c>
      <c r="F511" s="1878"/>
      <c r="G511" s="1879" t="s">
        <v>9497</v>
      </c>
      <c r="H511" s="1550"/>
      <c r="I511" s="1878" t="s">
        <v>2418</v>
      </c>
      <c r="J511" s="1878"/>
      <c r="K511" s="1880">
        <v>22443749</v>
      </c>
      <c r="L511" s="1878" t="s">
        <v>251</v>
      </c>
      <c r="M511" s="1877">
        <v>44418</v>
      </c>
      <c r="N511" s="1877">
        <v>44452</v>
      </c>
      <c r="O511" s="1877">
        <v>44523</v>
      </c>
      <c r="P511" s="1879" t="s">
        <v>1319</v>
      </c>
      <c r="Q511" s="1878"/>
      <c r="R511" s="1880">
        <v>6694369.5999999996</v>
      </c>
      <c r="S511" s="1880">
        <v>7363806.5599999996</v>
      </c>
      <c r="T511" s="1537"/>
      <c r="U511" s="1537"/>
      <c r="V511" s="1537"/>
      <c r="W511" s="2343">
        <v>44523</v>
      </c>
      <c r="X511" s="1880" t="s">
        <v>10400</v>
      </c>
      <c r="Y511" s="1878"/>
      <c r="Z511" s="1878"/>
      <c r="AA511" s="1878"/>
      <c r="AB511" s="1878"/>
      <c r="AC511" s="1878"/>
    </row>
    <row r="512" spans="1:31" ht="15.75" thickTop="1">
      <c r="A512" s="428">
        <v>44410</v>
      </c>
      <c r="B512" s="425" t="s">
        <v>9498</v>
      </c>
      <c r="C512" s="425" t="s">
        <v>69</v>
      </c>
      <c r="D512" s="425" t="s">
        <v>70</v>
      </c>
      <c r="E512" s="426" t="s">
        <v>9499</v>
      </c>
      <c r="F512" s="425">
        <v>1</v>
      </c>
      <c r="G512" s="1371" t="s">
        <v>9500</v>
      </c>
      <c r="H512" s="583"/>
      <c r="I512" s="425" t="s">
        <v>3187</v>
      </c>
      <c r="J512" s="425"/>
      <c r="K512" s="429">
        <v>9228142</v>
      </c>
      <c r="L512" s="425" t="s">
        <v>251</v>
      </c>
      <c r="M512" s="428">
        <v>44412</v>
      </c>
      <c r="N512" s="428">
        <v>44469</v>
      </c>
      <c r="O512" s="428">
        <v>44502</v>
      </c>
      <c r="P512" s="1371" t="s">
        <v>10167</v>
      </c>
      <c r="Q512" s="425"/>
      <c r="R512" s="429">
        <v>9228142</v>
      </c>
      <c r="S512" s="429">
        <v>10150956.199999999</v>
      </c>
      <c r="T512" s="1483"/>
      <c r="U512" s="1483"/>
      <c r="V512" s="1483"/>
      <c r="W512" s="1384">
        <v>44502</v>
      </c>
      <c r="X512" s="429" t="s">
        <v>10209</v>
      </c>
      <c r="Y512" s="425"/>
      <c r="Z512" s="425"/>
      <c r="AA512" s="425"/>
      <c r="AB512" s="425"/>
      <c r="AC512" s="425"/>
    </row>
    <row r="513" spans="1:32" ht="15.75" thickBot="1">
      <c r="A513" s="2117">
        <v>44410</v>
      </c>
      <c r="B513" s="2118" t="s">
        <v>9498</v>
      </c>
      <c r="C513" s="2118" t="s">
        <v>69</v>
      </c>
      <c r="D513" s="2118" t="s">
        <v>70</v>
      </c>
      <c r="E513" s="2119" t="s">
        <v>9499</v>
      </c>
      <c r="F513" s="2118">
        <v>2</v>
      </c>
      <c r="G513" s="2120" t="s">
        <v>9518</v>
      </c>
      <c r="H513" s="2118"/>
      <c r="I513" s="2118" t="s">
        <v>3187</v>
      </c>
      <c r="J513" s="2118"/>
      <c r="K513" s="2121">
        <v>1051472</v>
      </c>
      <c r="L513" s="2118" t="s">
        <v>251</v>
      </c>
      <c r="M513" s="2117">
        <v>44412</v>
      </c>
      <c r="N513" s="2117">
        <v>44469</v>
      </c>
      <c r="O513" s="2117">
        <v>44502</v>
      </c>
      <c r="P513" s="2120" t="s">
        <v>6969</v>
      </c>
      <c r="Q513" s="2118"/>
      <c r="R513" s="2121">
        <v>1051471.2</v>
      </c>
      <c r="S513" s="2121">
        <v>1156618.32</v>
      </c>
      <c r="T513" s="2122"/>
      <c r="U513" s="2122"/>
      <c r="V513" s="2122"/>
      <c r="W513" s="2123">
        <v>44502</v>
      </c>
      <c r="X513" s="2121" t="s">
        <v>10210</v>
      </c>
      <c r="Y513" s="2117">
        <v>44530</v>
      </c>
      <c r="Z513" s="2117">
        <v>44558</v>
      </c>
      <c r="AA513" s="2117">
        <v>45990</v>
      </c>
      <c r="AB513" s="2117">
        <v>44648</v>
      </c>
      <c r="AC513" s="2110">
        <v>2022</v>
      </c>
      <c r="AD513" s="388">
        <v>2023</v>
      </c>
      <c r="AE513" s="388">
        <v>2024</v>
      </c>
      <c r="AF513" s="388" t="s">
        <v>10482</v>
      </c>
    </row>
    <row r="514" spans="1:32" ht="16.5" thickTop="1" thickBot="1">
      <c r="A514" s="498">
        <v>44410</v>
      </c>
      <c r="B514" s="232" t="s">
        <v>9501</v>
      </c>
      <c r="C514" s="232" t="s">
        <v>69</v>
      </c>
      <c r="D514" s="232" t="s">
        <v>70</v>
      </c>
      <c r="E514" s="274" t="s">
        <v>9502</v>
      </c>
      <c r="F514" s="232"/>
      <c r="G514" s="669" t="s">
        <v>9503</v>
      </c>
      <c r="H514" s="232"/>
      <c r="I514" s="232" t="s">
        <v>3435</v>
      </c>
      <c r="J514" s="232"/>
      <c r="K514" s="499">
        <v>8392785</v>
      </c>
      <c r="L514" s="232" t="s">
        <v>251</v>
      </c>
      <c r="M514" s="498">
        <v>44411</v>
      </c>
      <c r="N514" s="498">
        <v>44445</v>
      </c>
      <c r="O514" s="498">
        <v>44461</v>
      </c>
      <c r="P514" s="669" t="s">
        <v>5566</v>
      </c>
      <c r="Q514" s="232"/>
      <c r="R514" s="499">
        <v>8392782.0600000005</v>
      </c>
      <c r="S514" s="499">
        <v>9232060.2699999996</v>
      </c>
      <c r="T514" s="1545"/>
      <c r="U514" s="1545"/>
      <c r="V514" s="1545"/>
      <c r="W514" s="682">
        <v>44461</v>
      </c>
      <c r="X514" s="499" t="s">
        <v>9890</v>
      </c>
      <c r="Y514" s="498">
        <v>44482</v>
      </c>
      <c r="Z514" s="498">
        <v>44488</v>
      </c>
      <c r="AA514" s="498">
        <v>45577</v>
      </c>
      <c r="AB514" s="498" t="s">
        <v>11373</v>
      </c>
      <c r="AC514" s="1546">
        <v>2022</v>
      </c>
      <c r="AD514" s="388">
        <v>2023</v>
      </c>
      <c r="AE514" s="388" t="s">
        <v>10052</v>
      </c>
    </row>
    <row r="515" spans="1:32" ht="15.75" thickTop="1">
      <c r="A515" s="443">
        <v>44405</v>
      </c>
      <c r="B515" s="439" t="s">
        <v>9504</v>
      </c>
      <c r="C515" s="439" t="s">
        <v>69</v>
      </c>
      <c r="D515" s="439" t="s">
        <v>70</v>
      </c>
      <c r="E515" s="440" t="s">
        <v>9505</v>
      </c>
      <c r="F515" s="439">
        <v>1</v>
      </c>
      <c r="G515" s="1431" t="s">
        <v>9506</v>
      </c>
      <c r="H515" s="583"/>
      <c r="I515" s="439" t="s">
        <v>42</v>
      </c>
      <c r="J515" s="439"/>
      <c r="K515" s="444">
        <v>157378</v>
      </c>
      <c r="L515" s="439" t="s">
        <v>251</v>
      </c>
      <c r="M515" s="443">
        <v>44432</v>
      </c>
      <c r="N515" s="443">
        <v>44466</v>
      </c>
      <c r="O515" s="439"/>
      <c r="P515" s="753" t="s">
        <v>304</v>
      </c>
      <c r="Q515" s="439"/>
      <c r="R515" s="444"/>
      <c r="S515" s="444"/>
      <c r="T515" s="1483"/>
      <c r="U515" s="1483"/>
      <c r="V515" s="1483"/>
      <c r="W515" s="444"/>
      <c r="X515" s="444"/>
      <c r="Y515" s="439"/>
      <c r="Z515" s="443">
        <v>44512</v>
      </c>
      <c r="AA515" s="1431" t="s">
        <v>10090</v>
      </c>
      <c r="AB515" s="439"/>
      <c r="AC515" s="439"/>
    </row>
    <row r="516" spans="1:32">
      <c r="A516" s="2124">
        <v>44405</v>
      </c>
      <c r="B516" s="2125" t="s">
        <v>9504</v>
      </c>
      <c r="C516" s="2125" t="s">
        <v>69</v>
      </c>
      <c r="D516" s="2125" t="s">
        <v>70</v>
      </c>
      <c r="E516" s="2126" t="s">
        <v>9505</v>
      </c>
      <c r="F516" s="2125">
        <v>2</v>
      </c>
      <c r="G516" s="2127" t="s">
        <v>8111</v>
      </c>
      <c r="H516" s="2085"/>
      <c r="I516" s="2125" t="s">
        <v>42</v>
      </c>
      <c r="J516" s="2125"/>
      <c r="K516" s="2128">
        <v>785490</v>
      </c>
      <c r="L516" s="2125" t="s">
        <v>251</v>
      </c>
      <c r="M516" s="2124">
        <v>44432</v>
      </c>
      <c r="N516" s="2124">
        <v>44466</v>
      </c>
      <c r="O516" s="2125"/>
      <c r="P516" s="2136" t="s">
        <v>304</v>
      </c>
      <c r="Q516" s="2125"/>
      <c r="R516" s="2128"/>
      <c r="S516" s="2128"/>
      <c r="T516" s="2094"/>
      <c r="U516" s="2094"/>
      <c r="V516" s="2094"/>
      <c r="W516" s="2128"/>
      <c r="X516" s="2128"/>
      <c r="Y516" s="2125"/>
      <c r="Z516" s="2124">
        <v>44512</v>
      </c>
      <c r="AA516" s="2127" t="s">
        <v>10090</v>
      </c>
      <c r="AB516" s="2125"/>
      <c r="AC516" s="2125"/>
    </row>
    <row r="517" spans="1:32">
      <c r="A517" s="2124">
        <v>44405</v>
      </c>
      <c r="B517" s="2125" t="s">
        <v>9504</v>
      </c>
      <c r="C517" s="2125" t="s">
        <v>69</v>
      </c>
      <c r="D517" s="2125" t="s">
        <v>70</v>
      </c>
      <c r="E517" s="2126" t="s">
        <v>9505</v>
      </c>
      <c r="F517" s="2125">
        <v>3</v>
      </c>
      <c r="G517" s="2127" t="s">
        <v>9507</v>
      </c>
      <c r="H517" s="2085"/>
      <c r="I517" s="2125" t="s">
        <v>42</v>
      </c>
      <c r="J517" s="2125"/>
      <c r="K517" s="2128">
        <v>493445</v>
      </c>
      <c r="L517" s="2125" t="s">
        <v>251</v>
      </c>
      <c r="M517" s="2124">
        <v>44432</v>
      </c>
      <c r="N517" s="2124">
        <v>44466</v>
      </c>
      <c r="O517" s="2125"/>
      <c r="P517" s="2136" t="s">
        <v>304</v>
      </c>
      <c r="Q517" s="2125"/>
      <c r="R517" s="2128"/>
      <c r="S517" s="2128"/>
      <c r="T517" s="2094"/>
      <c r="U517" s="2094"/>
      <c r="V517" s="2094"/>
      <c r="W517" s="2128"/>
      <c r="X517" s="2128"/>
      <c r="Y517" s="2125"/>
      <c r="Z517" s="2124">
        <v>44512</v>
      </c>
      <c r="AA517" s="2127" t="s">
        <v>10090</v>
      </c>
      <c r="AB517" s="2125"/>
      <c r="AC517" s="2125"/>
    </row>
    <row r="518" spans="1:32" ht="15.75" thickBot="1">
      <c r="A518" s="2117">
        <v>44405</v>
      </c>
      <c r="B518" s="2118" t="s">
        <v>9504</v>
      </c>
      <c r="C518" s="2118" t="s">
        <v>69</v>
      </c>
      <c r="D518" s="2118" t="s">
        <v>70</v>
      </c>
      <c r="E518" s="2119" t="s">
        <v>9505</v>
      </c>
      <c r="F518" s="2118">
        <v>4</v>
      </c>
      <c r="G518" s="2120" t="s">
        <v>4623</v>
      </c>
      <c r="H518" s="2118"/>
      <c r="I518" s="2118" t="s">
        <v>42</v>
      </c>
      <c r="J518" s="2118"/>
      <c r="K518" s="2121">
        <v>268724</v>
      </c>
      <c r="L518" s="2118" t="s">
        <v>251</v>
      </c>
      <c r="M518" s="2117">
        <v>44432</v>
      </c>
      <c r="N518" s="2117">
        <v>44466</v>
      </c>
      <c r="O518" s="2117">
        <v>44487</v>
      </c>
      <c r="P518" s="2120" t="s">
        <v>5940</v>
      </c>
      <c r="Q518" s="2118"/>
      <c r="R518" s="2121">
        <v>268722.51</v>
      </c>
      <c r="S518" s="2121">
        <v>325154.24</v>
      </c>
      <c r="T518" s="2122"/>
      <c r="U518" s="2122"/>
      <c r="V518" s="2122"/>
      <c r="W518" s="2123">
        <v>44487</v>
      </c>
      <c r="X518" s="2121" t="s">
        <v>10111</v>
      </c>
      <c r="Y518" s="2117">
        <v>44519</v>
      </c>
      <c r="Z518" s="2117">
        <v>44526</v>
      </c>
      <c r="AA518" s="2117">
        <v>44883</v>
      </c>
      <c r="AB518" s="2117">
        <v>44648</v>
      </c>
      <c r="AC518" s="2110" t="s">
        <v>10364</v>
      </c>
    </row>
    <row r="519" spans="1:32" ht="16.5" thickTop="1" thickBot="1">
      <c r="A519" s="1877">
        <v>44410</v>
      </c>
      <c r="B519" s="1878" t="s">
        <v>9508</v>
      </c>
      <c r="C519" s="1878" t="s">
        <v>69</v>
      </c>
      <c r="D519" s="1878" t="s">
        <v>70</v>
      </c>
      <c r="E519" s="1536" t="s">
        <v>9692</v>
      </c>
      <c r="F519" s="1878"/>
      <c r="G519" s="1879" t="s">
        <v>9509</v>
      </c>
      <c r="H519" s="2338"/>
      <c r="I519" s="1878" t="s">
        <v>3435</v>
      </c>
      <c r="J519" s="1878"/>
      <c r="K519" s="1880">
        <v>10670760</v>
      </c>
      <c r="L519" s="1878" t="s">
        <v>251</v>
      </c>
      <c r="M519" s="1877">
        <v>44455</v>
      </c>
      <c r="N519" s="1877">
        <v>44490</v>
      </c>
      <c r="O519" s="1877">
        <v>44523</v>
      </c>
      <c r="P519" s="1879" t="s">
        <v>2548</v>
      </c>
      <c r="Q519" s="1878"/>
      <c r="R519" s="1880">
        <v>8913685.9199999999</v>
      </c>
      <c r="S519" s="1880">
        <v>9805054.5099999998</v>
      </c>
      <c r="T519" s="2339"/>
      <c r="U519" s="2339"/>
      <c r="V519" s="2339"/>
      <c r="W519" s="2343">
        <v>44523</v>
      </c>
      <c r="X519" s="1880" t="s">
        <v>10399</v>
      </c>
      <c r="Y519" s="1878"/>
      <c r="Z519" s="1878"/>
      <c r="AA519" s="1878"/>
      <c r="AB519" s="1878"/>
      <c r="AC519" s="1878"/>
    </row>
    <row r="520" spans="1:32" ht="15.75" thickTop="1">
      <c r="A520" s="428">
        <v>44410</v>
      </c>
      <c r="B520" s="425" t="s">
        <v>9510</v>
      </c>
      <c r="C520" s="425" t="s">
        <v>69</v>
      </c>
      <c r="D520" s="425" t="s">
        <v>70</v>
      </c>
      <c r="E520" s="426" t="s">
        <v>9511</v>
      </c>
      <c r="F520" s="425">
        <v>1</v>
      </c>
      <c r="G520" s="1371" t="s">
        <v>9512</v>
      </c>
      <c r="H520" s="425"/>
      <c r="I520" s="425" t="s">
        <v>3634</v>
      </c>
      <c r="J520" s="425"/>
      <c r="K520" s="429">
        <v>1306314</v>
      </c>
      <c r="L520" s="425" t="s">
        <v>251</v>
      </c>
      <c r="M520" s="428">
        <v>44455</v>
      </c>
      <c r="N520" s="428">
        <v>44542</v>
      </c>
      <c r="O520" s="425"/>
      <c r="P520" s="1371"/>
      <c r="Q520" s="425"/>
      <c r="R520" s="429"/>
      <c r="S520" s="429"/>
      <c r="T520" s="1605"/>
      <c r="U520" s="1605"/>
      <c r="V520" s="1605"/>
      <c r="W520" s="429"/>
      <c r="X520" s="429"/>
      <c r="Y520" s="425"/>
      <c r="Z520" s="425"/>
      <c r="AA520" s="425"/>
      <c r="AB520" s="425"/>
      <c r="AC520" s="425"/>
    </row>
    <row r="521" spans="1:32">
      <c r="A521" s="2153">
        <v>44410</v>
      </c>
      <c r="B521" s="2154" t="s">
        <v>9510</v>
      </c>
      <c r="C521" s="2154" t="s">
        <v>69</v>
      </c>
      <c r="D521" s="2154" t="s">
        <v>70</v>
      </c>
      <c r="E521" s="2155" t="s">
        <v>9511</v>
      </c>
      <c r="F521" s="2154">
        <v>2</v>
      </c>
      <c r="G521" s="2156" t="s">
        <v>9513</v>
      </c>
      <c r="H521" s="2154"/>
      <c r="I521" s="2154" t="s">
        <v>3634</v>
      </c>
      <c r="J521" s="2154"/>
      <c r="K521" s="2157">
        <v>4717059</v>
      </c>
      <c r="L521" s="2154" t="s">
        <v>251</v>
      </c>
      <c r="M521" s="2153">
        <v>44455</v>
      </c>
      <c r="N521" s="2153">
        <v>44542</v>
      </c>
      <c r="O521" s="2154"/>
      <c r="P521" s="2156"/>
      <c r="Q521" s="2154"/>
      <c r="R521" s="2157"/>
      <c r="S521" s="2157"/>
      <c r="T521" s="2415"/>
      <c r="U521" s="2415"/>
      <c r="V521" s="2415"/>
      <c r="W521" s="2157"/>
      <c r="X521" s="2157"/>
      <c r="Y521" s="2154"/>
      <c r="Z521" s="2154"/>
      <c r="AA521" s="2154"/>
      <c r="AB521" s="2154"/>
      <c r="AC521" s="2154"/>
    </row>
    <row r="522" spans="1:32">
      <c r="A522" s="2153">
        <v>44410</v>
      </c>
      <c r="B522" s="2154" t="s">
        <v>9510</v>
      </c>
      <c r="C522" s="2154" t="s">
        <v>69</v>
      </c>
      <c r="D522" s="2154" t="s">
        <v>70</v>
      </c>
      <c r="E522" s="2155" t="s">
        <v>9511</v>
      </c>
      <c r="F522" s="2154">
        <v>3</v>
      </c>
      <c r="G522" s="2156" t="s">
        <v>9514</v>
      </c>
      <c r="H522" s="2154"/>
      <c r="I522" s="2154" t="s">
        <v>3634</v>
      </c>
      <c r="J522" s="2154"/>
      <c r="K522" s="2157">
        <v>7695003</v>
      </c>
      <c r="L522" s="2154" t="s">
        <v>251</v>
      </c>
      <c r="M522" s="2153">
        <v>44455</v>
      </c>
      <c r="N522" s="2153">
        <v>44542</v>
      </c>
      <c r="O522" s="2154"/>
      <c r="P522" s="2156"/>
      <c r="Q522" s="2154"/>
      <c r="R522" s="2157"/>
      <c r="S522" s="2157"/>
      <c r="T522" s="2415"/>
      <c r="U522" s="2415"/>
      <c r="V522" s="2415"/>
      <c r="W522" s="2157"/>
      <c r="X522" s="2157"/>
      <c r="Y522" s="2154"/>
      <c r="Z522" s="2154"/>
      <c r="AA522" s="2154"/>
      <c r="AB522" s="2154"/>
      <c r="AC522" s="2154"/>
    </row>
    <row r="523" spans="1:32" ht="15.75" thickBot="1">
      <c r="A523" s="2152">
        <v>44410</v>
      </c>
      <c r="B523" s="2297" t="s">
        <v>9510</v>
      </c>
      <c r="C523" s="2297" t="s">
        <v>69</v>
      </c>
      <c r="D523" s="2297" t="s">
        <v>70</v>
      </c>
      <c r="E523" s="2298" t="s">
        <v>9511</v>
      </c>
      <c r="F523" s="2297">
        <v>4</v>
      </c>
      <c r="G523" s="2300" t="s">
        <v>9515</v>
      </c>
      <c r="H523" s="2297"/>
      <c r="I523" s="2297" t="s">
        <v>3634</v>
      </c>
      <c r="J523" s="2297"/>
      <c r="K523" s="2299">
        <v>10242662</v>
      </c>
      <c r="L523" s="2297" t="s">
        <v>251</v>
      </c>
      <c r="M523" s="2152">
        <v>44455</v>
      </c>
      <c r="N523" s="2152">
        <v>44542</v>
      </c>
      <c r="O523" s="2297"/>
      <c r="P523" s="2300"/>
      <c r="Q523" s="2297"/>
      <c r="R523" s="2299"/>
      <c r="S523" s="2299"/>
      <c r="T523" s="2443"/>
      <c r="U523" s="2443"/>
      <c r="V523" s="2443"/>
      <c r="W523" s="2299"/>
      <c r="X523" s="2299"/>
      <c r="Y523" s="2297"/>
      <c r="Z523" s="2297"/>
      <c r="AA523" s="2297"/>
      <c r="AB523" s="2297"/>
      <c r="AC523" s="2297"/>
    </row>
    <row r="524" spans="1:32" ht="31.5" thickTop="1" thickBot="1">
      <c r="A524" s="498">
        <v>44406</v>
      </c>
      <c r="B524" s="232" t="s">
        <v>9516</v>
      </c>
      <c r="C524" s="232" t="s">
        <v>58</v>
      </c>
      <c r="D524" s="232" t="s">
        <v>4969</v>
      </c>
      <c r="E524" s="274" t="s">
        <v>9517</v>
      </c>
      <c r="F524" s="232"/>
      <c r="G524" s="669"/>
      <c r="H524" s="232"/>
      <c r="I524" s="232" t="s">
        <v>261</v>
      </c>
      <c r="J524" s="232"/>
      <c r="K524" s="499">
        <v>14159500</v>
      </c>
      <c r="L524" s="232" t="s">
        <v>251</v>
      </c>
      <c r="M524" s="498">
        <v>44419</v>
      </c>
      <c r="N524" s="498">
        <v>44453</v>
      </c>
      <c r="O524" s="498">
        <v>44459</v>
      </c>
      <c r="P524" s="669" t="s">
        <v>4483</v>
      </c>
      <c r="Q524" s="232"/>
      <c r="R524" s="499">
        <v>14159180</v>
      </c>
      <c r="S524" s="499">
        <v>17132607.800000001</v>
      </c>
      <c r="T524" s="1545"/>
      <c r="U524" s="1545"/>
      <c r="V524" s="1545"/>
      <c r="W524" s="682">
        <v>44459</v>
      </c>
      <c r="X524" s="1752" t="s">
        <v>9871</v>
      </c>
      <c r="Y524" s="498">
        <v>44483</v>
      </c>
      <c r="Z524" s="498">
        <v>44496</v>
      </c>
      <c r="AA524" s="498">
        <v>44603</v>
      </c>
      <c r="AB524" s="498">
        <v>44789</v>
      </c>
      <c r="AC524" s="1546" t="s">
        <v>1875</v>
      </c>
    </row>
    <row r="525" spans="1:32" ht="30.75" thickTop="1">
      <c r="A525" s="474">
        <v>44406</v>
      </c>
      <c r="B525" s="453" t="s">
        <v>9549</v>
      </c>
      <c r="C525" s="453" t="s">
        <v>2434</v>
      </c>
      <c r="D525" s="453" t="s">
        <v>3204</v>
      </c>
      <c r="E525" s="473" t="s">
        <v>9550</v>
      </c>
      <c r="F525" s="453">
        <v>1</v>
      </c>
      <c r="G525" s="1420" t="s">
        <v>9570</v>
      </c>
      <c r="H525" s="453"/>
      <c r="I525" s="453" t="s">
        <v>7092</v>
      </c>
      <c r="J525" s="453"/>
      <c r="K525" s="457">
        <v>118000</v>
      </c>
      <c r="L525" s="453" t="s">
        <v>112</v>
      </c>
      <c r="M525" s="474">
        <v>44412</v>
      </c>
      <c r="N525" s="474">
        <v>44432</v>
      </c>
      <c r="O525" s="474">
        <v>44505</v>
      </c>
      <c r="P525" s="1420" t="s">
        <v>10217</v>
      </c>
      <c r="Q525" s="453"/>
      <c r="R525" s="457">
        <v>118000</v>
      </c>
      <c r="S525" s="457">
        <v>142780</v>
      </c>
      <c r="T525" s="1474"/>
      <c r="U525" s="1474"/>
      <c r="V525" s="1474"/>
      <c r="W525" s="570">
        <v>44505</v>
      </c>
      <c r="X525" s="1387" t="s">
        <v>10247</v>
      </c>
      <c r="Y525" s="474">
        <v>44529</v>
      </c>
      <c r="Z525" s="474">
        <v>44545</v>
      </c>
      <c r="AA525" s="474">
        <v>45258</v>
      </c>
      <c r="AB525" s="453" t="s">
        <v>11373</v>
      </c>
      <c r="AC525" s="1391">
        <v>2022</v>
      </c>
      <c r="AD525" s="388" t="s">
        <v>10467</v>
      </c>
    </row>
    <row r="526" spans="1:32" ht="30">
      <c r="A526" s="2140">
        <v>44406</v>
      </c>
      <c r="B526" s="2141" t="s">
        <v>9549</v>
      </c>
      <c r="C526" s="2141" t="s">
        <v>2434</v>
      </c>
      <c r="D526" s="2141" t="s">
        <v>3204</v>
      </c>
      <c r="E526" s="2142" t="s">
        <v>9550</v>
      </c>
      <c r="F526" s="2141">
        <v>2</v>
      </c>
      <c r="G526" s="2143" t="s">
        <v>9571</v>
      </c>
      <c r="H526" s="2141"/>
      <c r="I526" s="2141" t="s">
        <v>7092</v>
      </c>
      <c r="J526" s="2141"/>
      <c r="K526" s="2144">
        <v>164000</v>
      </c>
      <c r="L526" s="2141" t="s">
        <v>112</v>
      </c>
      <c r="M526" s="2140">
        <v>44412</v>
      </c>
      <c r="N526" s="2140">
        <v>44432</v>
      </c>
      <c r="O526" s="2140">
        <v>44505</v>
      </c>
      <c r="P526" s="2143" t="s">
        <v>9770</v>
      </c>
      <c r="Q526" s="2141"/>
      <c r="R526" s="2144">
        <v>164000</v>
      </c>
      <c r="S526" s="2144">
        <v>198440</v>
      </c>
      <c r="T526" s="2145"/>
      <c r="U526" s="2145"/>
      <c r="V526" s="2145"/>
      <c r="W526" s="2146">
        <v>44505</v>
      </c>
      <c r="X526" s="2260" t="s">
        <v>10246</v>
      </c>
      <c r="Y526" s="2140">
        <v>44529</v>
      </c>
      <c r="Z526" s="2140">
        <v>44545</v>
      </c>
      <c r="AA526" s="2140">
        <v>45258</v>
      </c>
      <c r="AB526" s="2141" t="s">
        <v>11373</v>
      </c>
      <c r="AC526" s="2109">
        <v>2022</v>
      </c>
      <c r="AD526" s="388" t="s">
        <v>10467</v>
      </c>
    </row>
    <row r="527" spans="1:32" ht="30.75" thickBot="1">
      <c r="A527" s="2117">
        <v>44406</v>
      </c>
      <c r="B527" s="2118" t="s">
        <v>9549</v>
      </c>
      <c r="C527" s="2118" t="s">
        <v>2434</v>
      </c>
      <c r="D527" s="2118" t="s">
        <v>3204</v>
      </c>
      <c r="E527" s="2119" t="s">
        <v>9550</v>
      </c>
      <c r="F527" s="2118">
        <v>3</v>
      </c>
      <c r="G527" s="2120" t="s">
        <v>9572</v>
      </c>
      <c r="H527" s="2118"/>
      <c r="I527" s="2118" t="s">
        <v>7092</v>
      </c>
      <c r="J527" s="2118"/>
      <c r="K527" s="2121">
        <v>495000</v>
      </c>
      <c r="L527" s="2118" t="s">
        <v>112</v>
      </c>
      <c r="M527" s="2117">
        <v>44412</v>
      </c>
      <c r="N527" s="2117">
        <v>44432</v>
      </c>
      <c r="O527" s="2117">
        <v>44505</v>
      </c>
      <c r="P527" s="2120" t="s">
        <v>9404</v>
      </c>
      <c r="Q527" s="2118"/>
      <c r="R527" s="2121">
        <v>477000</v>
      </c>
      <c r="S527" s="2121">
        <v>577170</v>
      </c>
      <c r="T527" s="2122"/>
      <c r="U527" s="2122"/>
      <c r="V527" s="2122"/>
      <c r="W527" s="2123">
        <v>44505</v>
      </c>
      <c r="X527" s="2246" t="s">
        <v>10245</v>
      </c>
      <c r="Y527" s="2117">
        <v>44543</v>
      </c>
      <c r="Z527" s="2117">
        <v>44545</v>
      </c>
      <c r="AA527" s="2117">
        <v>45272</v>
      </c>
      <c r="AB527" s="2118" t="s">
        <v>11373</v>
      </c>
      <c r="AC527" s="2110">
        <v>2022</v>
      </c>
      <c r="AD527" s="388" t="s">
        <v>10561</v>
      </c>
    </row>
    <row r="528" spans="1:32" ht="15.75" thickTop="1">
      <c r="A528" s="365" t="s">
        <v>3585</v>
      </c>
      <c r="B528" s="2367" t="s">
        <v>9545</v>
      </c>
      <c r="C528" s="2367" t="s">
        <v>2111</v>
      </c>
      <c r="D528" s="2367" t="s">
        <v>9080</v>
      </c>
      <c r="E528" s="175" t="s">
        <v>9546</v>
      </c>
      <c r="F528" s="2367"/>
      <c r="G528" s="2368"/>
      <c r="H528" s="2304"/>
      <c r="I528" s="2367" t="s">
        <v>3495</v>
      </c>
      <c r="J528" s="2367"/>
      <c r="K528" s="364">
        <v>1100000</v>
      </c>
      <c r="L528" s="2367" t="s">
        <v>112</v>
      </c>
      <c r="M528" s="365">
        <v>44412</v>
      </c>
      <c r="N528" s="365">
        <v>44421</v>
      </c>
      <c r="O528" s="365">
        <v>44459</v>
      </c>
      <c r="P528" s="2368" t="s">
        <v>9868</v>
      </c>
      <c r="Q528" s="2367"/>
      <c r="R528" s="364">
        <v>906066</v>
      </c>
      <c r="S528" s="364">
        <v>1096333.7</v>
      </c>
      <c r="T528" s="2305"/>
      <c r="U528" s="2305"/>
      <c r="V528" s="2305"/>
      <c r="W528" s="681">
        <v>44460</v>
      </c>
      <c r="X528" s="364" t="s">
        <v>9874</v>
      </c>
      <c r="Y528" s="365">
        <v>44484</v>
      </c>
      <c r="Z528" s="365">
        <v>44488</v>
      </c>
      <c r="AA528" s="365">
        <v>44848</v>
      </c>
      <c r="AB528" s="365">
        <v>44643</v>
      </c>
      <c r="AC528" s="451" t="s">
        <v>10089</v>
      </c>
    </row>
    <row r="529" spans="1:31">
      <c r="A529" s="537">
        <v>44410</v>
      </c>
      <c r="B529" s="491" t="s">
        <v>9528</v>
      </c>
      <c r="C529" s="491" t="s">
        <v>14</v>
      </c>
      <c r="D529" s="491" t="s">
        <v>13</v>
      </c>
      <c r="E529" s="571" t="s">
        <v>9529</v>
      </c>
      <c r="F529" s="491"/>
      <c r="G529" s="495"/>
      <c r="H529" s="491"/>
      <c r="I529" s="491" t="s">
        <v>26</v>
      </c>
      <c r="J529" s="491"/>
      <c r="K529" s="536">
        <v>440000</v>
      </c>
      <c r="L529" s="491" t="s">
        <v>112</v>
      </c>
      <c r="M529" s="537">
        <v>44414</v>
      </c>
      <c r="N529" s="537">
        <v>44425</v>
      </c>
      <c r="O529" s="537">
        <v>44441</v>
      </c>
      <c r="P529" s="495" t="s">
        <v>9721</v>
      </c>
      <c r="Q529" s="491"/>
      <c r="R529" s="536">
        <v>433691</v>
      </c>
      <c r="S529" s="536">
        <v>524766.11</v>
      </c>
      <c r="T529" s="1471"/>
      <c r="U529" s="1471"/>
      <c r="V529" s="1471"/>
      <c r="W529" s="573">
        <v>44442</v>
      </c>
      <c r="X529" s="536" t="s">
        <v>9796</v>
      </c>
      <c r="Y529" s="537">
        <v>44460</v>
      </c>
      <c r="Z529" s="537">
        <v>44462</v>
      </c>
      <c r="AA529" s="537">
        <v>44824</v>
      </c>
      <c r="AB529" s="537">
        <v>44643</v>
      </c>
      <c r="AC529" s="1374" t="s">
        <v>9887</v>
      </c>
    </row>
    <row r="530" spans="1:31" ht="30">
      <c r="A530" s="2140" t="s">
        <v>3585</v>
      </c>
      <c r="B530" s="2141" t="s">
        <v>9543</v>
      </c>
      <c r="C530" s="2141" t="s">
        <v>58</v>
      </c>
      <c r="D530" s="2141" t="s">
        <v>4969</v>
      </c>
      <c r="E530" s="2142" t="s">
        <v>9544</v>
      </c>
      <c r="F530" s="2141"/>
      <c r="G530" s="2143"/>
      <c r="H530" s="2141"/>
      <c r="I530" s="2363" t="s">
        <v>269</v>
      </c>
      <c r="J530" s="2363" t="s">
        <v>9455</v>
      </c>
      <c r="K530" s="364">
        <v>159000</v>
      </c>
      <c r="L530" s="2141" t="s">
        <v>112</v>
      </c>
      <c r="M530" s="2140">
        <v>44414</v>
      </c>
      <c r="N530" s="2140">
        <v>44425</v>
      </c>
      <c r="O530" s="2140">
        <v>44441</v>
      </c>
      <c r="P530" s="2143" t="s">
        <v>9767</v>
      </c>
      <c r="Q530" s="2141"/>
      <c r="R530" s="2144">
        <v>158431</v>
      </c>
      <c r="S530" s="2144">
        <v>191701.51</v>
      </c>
      <c r="T530" s="2145"/>
      <c r="U530" s="2145"/>
      <c r="V530" s="2145"/>
      <c r="W530" s="2146">
        <v>44445</v>
      </c>
      <c r="X530" s="2260" t="s">
        <v>9808</v>
      </c>
      <c r="Y530" s="2140">
        <v>44475</v>
      </c>
      <c r="Z530" s="2140">
        <v>44480</v>
      </c>
      <c r="AA530" s="2140">
        <v>44545</v>
      </c>
      <c r="AB530" s="2140">
        <v>44616</v>
      </c>
      <c r="AC530" s="2109" t="s">
        <v>1875</v>
      </c>
    </row>
    <row r="531" spans="1:31" ht="30">
      <c r="A531" s="537">
        <v>44410</v>
      </c>
      <c r="B531" s="491" t="s">
        <v>9530</v>
      </c>
      <c r="C531" s="491" t="s">
        <v>58</v>
      </c>
      <c r="D531" s="491" t="s">
        <v>4969</v>
      </c>
      <c r="E531" s="571" t="s">
        <v>9531</v>
      </c>
      <c r="F531" s="491"/>
      <c r="G531" s="495"/>
      <c r="H531" s="491"/>
      <c r="I531" s="491" t="s">
        <v>5760</v>
      </c>
      <c r="J531" s="491"/>
      <c r="K531" s="536">
        <v>198000</v>
      </c>
      <c r="L531" s="491" t="s">
        <v>112</v>
      </c>
      <c r="M531" s="537">
        <v>44414</v>
      </c>
      <c r="N531" s="537">
        <v>44425</v>
      </c>
      <c r="O531" s="537">
        <v>44438</v>
      </c>
      <c r="P531" s="495" t="s">
        <v>7136</v>
      </c>
      <c r="Q531" s="491"/>
      <c r="R531" s="536">
        <v>174934.3</v>
      </c>
      <c r="S531" s="536">
        <v>211670.5</v>
      </c>
      <c r="T531" s="1471"/>
      <c r="U531" s="1471"/>
      <c r="V531" s="1471"/>
      <c r="W531" s="573">
        <v>44438</v>
      </c>
      <c r="X531" s="1375" t="s">
        <v>9735</v>
      </c>
      <c r="Y531" s="537">
        <v>44468</v>
      </c>
      <c r="Z531" s="537">
        <v>44477</v>
      </c>
      <c r="AA531" s="537">
        <v>44510</v>
      </c>
      <c r="AB531" s="537">
        <v>44642</v>
      </c>
      <c r="AC531" s="1374" t="s">
        <v>1875</v>
      </c>
    </row>
    <row r="532" spans="1:31" ht="30">
      <c r="A532" s="537">
        <v>44412</v>
      </c>
      <c r="B532" s="491" t="s">
        <v>9535</v>
      </c>
      <c r="C532" s="491" t="s">
        <v>58</v>
      </c>
      <c r="D532" s="491" t="s">
        <v>2684</v>
      </c>
      <c r="E532" s="571" t="s">
        <v>9534</v>
      </c>
      <c r="F532" s="491"/>
      <c r="G532" s="495"/>
      <c r="H532" s="491"/>
      <c r="I532" s="491" t="s">
        <v>1159</v>
      </c>
      <c r="J532" s="491"/>
      <c r="K532" s="536">
        <v>200000</v>
      </c>
      <c r="L532" s="491" t="s">
        <v>112</v>
      </c>
      <c r="M532" s="537">
        <v>44414</v>
      </c>
      <c r="N532" s="537">
        <v>44425</v>
      </c>
      <c r="O532" s="537">
        <v>44438</v>
      </c>
      <c r="P532" s="495" t="s">
        <v>9720</v>
      </c>
      <c r="Q532" s="491"/>
      <c r="R532" s="536">
        <v>167850</v>
      </c>
      <c r="S532" s="536">
        <v>203098.5</v>
      </c>
      <c r="T532" s="1471"/>
      <c r="U532" s="1471"/>
      <c r="V532" s="1471"/>
      <c r="W532" s="573">
        <v>44438</v>
      </c>
      <c r="X532" s="1375" t="s">
        <v>9736</v>
      </c>
      <c r="Y532" s="537">
        <v>44462</v>
      </c>
      <c r="Z532" s="537">
        <v>44473</v>
      </c>
      <c r="AA532" s="537">
        <v>44518</v>
      </c>
      <c r="AB532" s="537">
        <v>44578</v>
      </c>
      <c r="AC532" s="1374" t="s">
        <v>1875</v>
      </c>
    </row>
    <row r="533" spans="1:31" ht="30">
      <c r="A533" s="537">
        <v>44412</v>
      </c>
      <c r="B533" s="491" t="s">
        <v>9536</v>
      </c>
      <c r="C533" s="491" t="s">
        <v>58</v>
      </c>
      <c r="D533" s="491" t="s">
        <v>2684</v>
      </c>
      <c r="E533" s="571" t="s">
        <v>9537</v>
      </c>
      <c r="F533" s="491"/>
      <c r="G533" s="495"/>
      <c r="H533" s="491"/>
      <c r="I533" s="491" t="s">
        <v>1950</v>
      </c>
      <c r="J533" s="491"/>
      <c r="K533" s="536">
        <v>127000</v>
      </c>
      <c r="L533" s="491" t="s">
        <v>112</v>
      </c>
      <c r="M533" s="537">
        <v>44414</v>
      </c>
      <c r="N533" s="537">
        <v>44425</v>
      </c>
      <c r="O533" s="537">
        <v>44441</v>
      </c>
      <c r="P533" s="495" t="s">
        <v>9781</v>
      </c>
      <c r="Q533" s="491"/>
      <c r="R533" s="536">
        <v>119200</v>
      </c>
      <c r="S533" s="536">
        <v>144232</v>
      </c>
      <c r="T533" s="1471"/>
      <c r="U533" s="1471"/>
      <c r="V533" s="1471"/>
      <c r="W533" s="573">
        <v>44441</v>
      </c>
      <c r="X533" s="1375" t="s">
        <v>9780</v>
      </c>
      <c r="Y533" s="537">
        <v>44475</v>
      </c>
      <c r="Z533" s="537">
        <v>44480</v>
      </c>
      <c r="AA533" s="537">
        <v>44489</v>
      </c>
      <c r="AB533" s="537">
        <v>44642</v>
      </c>
      <c r="AC533" s="1374" t="s">
        <v>1875</v>
      </c>
    </row>
    <row r="534" spans="1:31" ht="45">
      <c r="A534" s="537">
        <v>44412</v>
      </c>
      <c r="B534" s="491" t="s">
        <v>9538</v>
      </c>
      <c r="C534" s="491" t="s">
        <v>58</v>
      </c>
      <c r="D534" s="491" t="s">
        <v>2684</v>
      </c>
      <c r="E534" s="571" t="s">
        <v>9539</v>
      </c>
      <c r="F534" s="491"/>
      <c r="G534" s="495"/>
      <c r="H534" s="491"/>
      <c r="I534" s="491" t="s">
        <v>1159</v>
      </c>
      <c r="J534" s="491"/>
      <c r="K534" s="536">
        <v>1293000</v>
      </c>
      <c r="L534" s="491" t="s">
        <v>112</v>
      </c>
      <c r="M534" s="537">
        <v>44417</v>
      </c>
      <c r="N534" s="537">
        <v>44425</v>
      </c>
      <c r="O534" s="537">
        <v>44432</v>
      </c>
      <c r="P534" s="495" t="s">
        <v>5333</v>
      </c>
      <c r="Q534" s="491"/>
      <c r="R534" s="536">
        <v>1124700</v>
      </c>
      <c r="S534" s="536">
        <v>1360887</v>
      </c>
      <c r="T534" s="1471"/>
      <c r="U534" s="1471"/>
      <c r="V534" s="1471"/>
      <c r="W534" s="573">
        <v>44432</v>
      </c>
      <c r="X534" s="1375" t="s">
        <v>9723</v>
      </c>
      <c r="Y534" s="537">
        <v>44463</v>
      </c>
      <c r="Z534" s="537">
        <v>44477</v>
      </c>
      <c r="AA534" s="537">
        <v>44603</v>
      </c>
      <c r="AB534" s="537">
        <v>44592</v>
      </c>
      <c r="AC534" s="1374" t="s">
        <v>6118</v>
      </c>
    </row>
    <row r="535" spans="1:31" ht="30">
      <c r="A535" s="537">
        <v>44410</v>
      </c>
      <c r="B535" s="491" t="s">
        <v>9527</v>
      </c>
      <c r="C535" s="491" t="s">
        <v>2434</v>
      </c>
      <c r="D535" s="491" t="s">
        <v>3204</v>
      </c>
      <c r="E535" s="571" t="s">
        <v>9525</v>
      </c>
      <c r="F535" s="491"/>
      <c r="G535" s="495"/>
      <c r="H535" s="491"/>
      <c r="I535" s="491" t="s">
        <v>642</v>
      </c>
      <c r="J535" s="491"/>
      <c r="K535" s="536">
        <v>4347826</v>
      </c>
      <c r="L535" s="491" t="s">
        <v>251</v>
      </c>
      <c r="M535" s="537">
        <v>44418</v>
      </c>
      <c r="N535" s="537">
        <v>44459</v>
      </c>
      <c r="O535" s="537">
        <v>44470</v>
      </c>
      <c r="P535" s="495" t="s">
        <v>1433</v>
      </c>
      <c r="Q535" s="491"/>
      <c r="R535" s="536">
        <v>4347826</v>
      </c>
      <c r="S535" s="536">
        <v>5000000</v>
      </c>
      <c r="T535" s="1471"/>
      <c r="U535" s="1471"/>
      <c r="V535" s="1471"/>
      <c r="W535" s="573">
        <v>44470</v>
      </c>
      <c r="X535" s="1375" t="s">
        <v>9997</v>
      </c>
      <c r="Y535" s="537">
        <v>44501</v>
      </c>
      <c r="Z535" s="537">
        <v>44503</v>
      </c>
      <c r="AA535" s="537">
        <v>45596</v>
      </c>
      <c r="AB535" s="537">
        <v>44642</v>
      </c>
      <c r="AC535" s="1374">
        <v>2022</v>
      </c>
      <c r="AD535" s="388">
        <v>2023</v>
      </c>
      <c r="AE535" s="388" t="s">
        <v>10202</v>
      </c>
    </row>
    <row r="536" spans="1:31" ht="45">
      <c r="A536" s="537">
        <v>44412</v>
      </c>
      <c r="B536" s="491" t="s">
        <v>9540</v>
      </c>
      <c r="C536" s="491" t="s">
        <v>58</v>
      </c>
      <c r="D536" s="491" t="s">
        <v>2684</v>
      </c>
      <c r="E536" s="571" t="s">
        <v>9542</v>
      </c>
      <c r="F536" s="491"/>
      <c r="G536" s="495"/>
      <c r="H536" s="491"/>
      <c r="I536" s="491" t="s">
        <v>9541</v>
      </c>
      <c r="J536" s="491"/>
      <c r="K536" s="536">
        <v>1200000</v>
      </c>
      <c r="L536" s="491" t="s">
        <v>112</v>
      </c>
      <c r="M536" s="537">
        <v>44419</v>
      </c>
      <c r="N536" s="537">
        <v>44428</v>
      </c>
      <c r="O536" s="537">
        <v>44439</v>
      </c>
      <c r="P536" s="495" t="s">
        <v>9719</v>
      </c>
      <c r="Q536" s="491"/>
      <c r="R536" s="536">
        <v>1070500</v>
      </c>
      <c r="S536" s="536">
        <v>1295305</v>
      </c>
      <c r="T536" s="1471"/>
      <c r="U536" s="1471"/>
      <c r="V536" s="1471"/>
      <c r="W536" s="573">
        <v>44440</v>
      </c>
      <c r="X536" s="1375" t="s">
        <v>9768</v>
      </c>
      <c r="Y536" s="537">
        <v>44462</v>
      </c>
      <c r="Z536" s="537">
        <v>44475</v>
      </c>
      <c r="AA536" s="537">
        <v>44518</v>
      </c>
      <c r="AB536" s="537">
        <v>44718</v>
      </c>
      <c r="AC536" s="1374" t="s">
        <v>9896</v>
      </c>
    </row>
    <row r="537" spans="1:31" ht="30">
      <c r="A537" s="537">
        <v>44414</v>
      </c>
      <c r="B537" s="491" t="s">
        <v>9560</v>
      </c>
      <c r="C537" s="491" t="s">
        <v>2434</v>
      </c>
      <c r="D537" s="491" t="s">
        <v>3204</v>
      </c>
      <c r="E537" s="571" t="s">
        <v>9561</v>
      </c>
      <c r="F537" s="491"/>
      <c r="G537" s="495"/>
      <c r="H537" s="491"/>
      <c r="I537" s="491" t="s">
        <v>642</v>
      </c>
      <c r="J537" s="491"/>
      <c r="K537" s="536">
        <v>2646000</v>
      </c>
      <c r="L537" s="491" t="s">
        <v>216</v>
      </c>
      <c r="M537" s="537">
        <v>44418</v>
      </c>
      <c r="N537" s="537">
        <v>44459</v>
      </c>
      <c r="O537" s="537">
        <v>44495</v>
      </c>
      <c r="P537" s="495" t="s">
        <v>9770</v>
      </c>
      <c r="Q537" s="491"/>
      <c r="R537" s="536">
        <v>1986000</v>
      </c>
      <c r="S537" s="536">
        <v>2403060</v>
      </c>
      <c r="T537" s="1471"/>
      <c r="U537" s="1471"/>
      <c r="V537" s="1471"/>
      <c r="W537" s="573">
        <v>44495</v>
      </c>
      <c r="X537" s="1375" t="s">
        <v>10179</v>
      </c>
      <c r="Y537" s="537">
        <v>44516</v>
      </c>
      <c r="Z537" s="537">
        <v>44522</v>
      </c>
      <c r="AA537" s="537">
        <v>45245</v>
      </c>
      <c r="AB537" s="491" t="s">
        <v>11373</v>
      </c>
      <c r="AC537" s="1374">
        <v>2022</v>
      </c>
      <c r="AD537" s="388" t="s">
        <v>7929</v>
      </c>
    </row>
    <row r="538" spans="1:31" ht="30">
      <c r="A538" s="537">
        <v>44414</v>
      </c>
      <c r="B538" s="491" t="s">
        <v>9562</v>
      </c>
      <c r="C538" s="491" t="s">
        <v>2434</v>
      </c>
      <c r="D538" s="491" t="s">
        <v>3204</v>
      </c>
      <c r="E538" s="571" t="s">
        <v>9563</v>
      </c>
      <c r="F538" s="491"/>
      <c r="G538" s="495"/>
      <c r="H538" s="491"/>
      <c r="I538" s="491" t="s">
        <v>642</v>
      </c>
      <c r="J538" s="491"/>
      <c r="K538" s="536">
        <v>3600000</v>
      </c>
      <c r="L538" s="491" t="s">
        <v>251</v>
      </c>
      <c r="M538" s="537">
        <v>44421</v>
      </c>
      <c r="N538" s="537">
        <v>44494</v>
      </c>
      <c r="O538" s="537">
        <v>44509</v>
      </c>
      <c r="P538" s="495" t="s">
        <v>8793</v>
      </c>
      <c r="Q538" s="491"/>
      <c r="R538" s="536">
        <v>3510000</v>
      </c>
      <c r="S538" s="536">
        <v>4247100</v>
      </c>
      <c r="T538" s="1471"/>
      <c r="U538" s="1471"/>
      <c r="V538" s="1471"/>
      <c r="W538" s="573">
        <v>44509</v>
      </c>
      <c r="X538" s="1375" t="s">
        <v>10266</v>
      </c>
      <c r="Y538" s="537">
        <v>44539</v>
      </c>
      <c r="Z538" s="537">
        <v>44545</v>
      </c>
      <c r="AA538" s="537">
        <v>45268</v>
      </c>
      <c r="AB538" s="537">
        <v>44642</v>
      </c>
      <c r="AC538" s="1374">
        <v>2022</v>
      </c>
      <c r="AD538" s="388" t="s">
        <v>10525</v>
      </c>
    </row>
    <row r="539" spans="1:31" ht="30">
      <c r="A539" s="491" t="s">
        <v>3585</v>
      </c>
      <c r="B539" s="491" t="s">
        <v>9564</v>
      </c>
      <c r="C539" s="491" t="s">
        <v>58</v>
      </c>
      <c r="D539" s="411" t="s">
        <v>4969</v>
      </c>
      <c r="E539" s="412" t="s">
        <v>9565</v>
      </c>
      <c r="F539" s="491"/>
      <c r="G539" s="495"/>
      <c r="H539" s="491"/>
      <c r="I539" s="491" t="s">
        <v>8921</v>
      </c>
      <c r="J539" s="491" t="s">
        <v>8922</v>
      </c>
      <c r="K539" s="536">
        <v>615000</v>
      </c>
      <c r="L539" s="491" t="s">
        <v>112</v>
      </c>
      <c r="M539" s="537">
        <v>44419</v>
      </c>
      <c r="N539" s="537">
        <v>44428</v>
      </c>
      <c r="O539" s="537">
        <v>44432</v>
      </c>
      <c r="P539" s="495" t="s">
        <v>9718</v>
      </c>
      <c r="Q539" s="491"/>
      <c r="R539" s="536">
        <v>614640</v>
      </c>
      <c r="S539" s="536">
        <v>743714</v>
      </c>
      <c r="T539" s="1471"/>
      <c r="U539" s="1471"/>
      <c r="V539" s="1471"/>
      <c r="W539" s="573">
        <v>44432</v>
      </c>
      <c r="X539" s="1375" t="s">
        <v>9722</v>
      </c>
      <c r="Y539" s="537">
        <v>44459</v>
      </c>
      <c r="Z539" s="537">
        <v>44473</v>
      </c>
      <c r="AA539" s="537">
        <v>44639</v>
      </c>
      <c r="AB539" s="537">
        <v>44762</v>
      </c>
      <c r="AC539" s="1374" t="s">
        <v>1875</v>
      </c>
    </row>
    <row r="540" spans="1:31">
      <c r="A540" s="537">
        <v>44414</v>
      </c>
      <c r="B540" s="491" t="s">
        <v>9591</v>
      </c>
      <c r="C540" s="491" t="s">
        <v>1032</v>
      </c>
      <c r="D540" s="2141" t="s">
        <v>1033</v>
      </c>
      <c r="E540" s="2366" t="s">
        <v>9592</v>
      </c>
      <c r="F540" s="491"/>
      <c r="G540" s="495"/>
      <c r="H540" s="491"/>
      <c r="I540" s="491" t="s">
        <v>828</v>
      </c>
      <c r="J540" s="491"/>
      <c r="K540" s="536">
        <v>665000</v>
      </c>
      <c r="L540" s="491" t="s">
        <v>112</v>
      </c>
      <c r="M540" s="537">
        <v>44424</v>
      </c>
      <c r="N540" s="537">
        <v>44442</v>
      </c>
      <c r="O540" s="537">
        <v>44447</v>
      </c>
      <c r="P540" s="495" t="s">
        <v>2162</v>
      </c>
      <c r="Q540" s="491"/>
      <c r="R540" s="536">
        <v>854569.78</v>
      </c>
      <c r="S540" s="536">
        <v>1034029.43</v>
      </c>
      <c r="T540" s="1471"/>
      <c r="U540" s="1471"/>
      <c r="V540" s="1471"/>
      <c r="W540" s="573">
        <v>44448</v>
      </c>
      <c r="X540" s="536" t="s">
        <v>9823</v>
      </c>
      <c r="Y540" s="537">
        <v>44480</v>
      </c>
      <c r="Z540" s="537">
        <v>44483</v>
      </c>
      <c r="AA540" s="537">
        <v>44540</v>
      </c>
      <c r="AB540" s="537">
        <v>44227</v>
      </c>
      <c r="AC540" s="1102"/>
    </row>
    <row r="541" spans="1:31" ht="15.75" thickBot="1">
      <c r="A541" s="643">
        <v>44413</v>
      </c>
      <c r="B541" s="639" t="s">
        <v>9593</v>
      </c>
      <c r="C541" s="639" t="s">
        <v>4997</v>
      </c>
      <c r="D541" s="185" t="s">
        <v>7475</v>
      </c>
      <c r="E541" s="282" t="s">
        <v>9594</v>
      </c>
      <c r="F541" s="639"/>
      <c r="G541" s="1533"/>
      <c r="H541" s="639"/>
      <c r="I541" s="639" t="s">
        <v>1676</v>
      </c>
      <c r="J541" s="639"/>
      <c r="K541" s="645">
        <v>2200000</v>
      </c>
      <c r="L541" s="639" t="s">
        <v>112</v>
      </c>
      <c r="M541" s="643">
        <v>44424</v>
      </c>
      <c r="N541" s="643">
        <v>44432</v>
      </c>
      <c r="O541" s="639"/>
      <c r="P541" s="644" t="s">
        <v>304</v>
      </c>
      <c r="Q541" s="831" t="s">
        <v>9755</v>
      </c>
      <c r="R541" s="645"/>
      <c r="S541" s="645"/>
      <c r="T541" s="1534"/>
      <c r="U541" s="1534"/>
      <c r="V541" s="1534"/>
      <c r="W541" s="645"/>
      <c r="X541" s="645"/>
      <c r="Y541" s="639"/>
      <c r="Z541" s="643">
        <v>44432</v>
      </c>
      <c r="AA541" s="639"/>
      <c r="AB541" s="639"/>
      <c r="AC541" s="639"/>
    </row>
    <row r="542" spans="1:31" ht="30.75" thickTop="1">
      <c r="A542" s="474">
        <v>44420</v>
      </c>
      <c r="B542" s="453" t="s">
        <v>9596</v>
      </c>
      <c r="C542" s="453" t="s">
        <v>2434</v>
      </c>
      <c r="D542" s="453" t="s">
        <v>219</v>
      </c>
      <c r="E542" s="473" t="s">
        <v>4207</v>
      </c>
      <c r="F542" s="453">
        <v>1</v>
      </c>
      <c r="G542" s="1420" t="s">
        <v>9597</v>
      </c>
      <c r="H542" s="453"/>
      <c r="I542" s="453" t="s">
        <v>9602</v>
      </c>
      <c r="J542" s="453"/>
      <c r="K542" s="457">
        <v>766927</v>
      </c>
      <c r="L542" s="453" t="s">
        <v>251</v>
      </c>
      <c r="M542" s="474">
        <v>44426</v>
      </c>
      <c r="N542" s="474">
        <v>44460</v>
      </c>
      <c r="O542" s="474">
        <v>44509</v>
      </c>
      <c r="P542" s="1420" t="s">
        <v>4894</v>
      </c>
      <c r="Q542" s="453"/>
      <c r="R542" s="457">
        <v>753900</v>
      </c>
      <c r="S542" s="457">
        <v>866985</v>
      </c>
      <c r="T542" s="1474"/>
      <c r="U542" s="1474"/>
      <c r="V542" s="1474"/>
      <c r="W542" s="570">
        <v>44509</v>
      </c>
      <c r="X542" s="1387" t="s">
        <v>10267</v>
      </c>
      <c r="Y542" s="474">
        <v>44551</v>
      </c>
      <c r="Z542" s="474">
        <v>44558</v>
      </c>
      <c r="AA542" s="474">
        <v>45646</v>
      </c>
      <c r="AB542" s="453" t="s">
        <v>11373</v>
      </c>
      <c r="AC542" s="1391">
        <v>2022</v>
      </c>
      <c r="AD542" s="388">
        <v>2023</v>
      </c>
      <c r="AE542" s="388" t="s">
        <v>10613</v>
      </c>
    </row>
    <row r="543" spans="1:31">
      <c r="A543" s="2124">
        <v>44420</v>
      </c>
      <c r="B543" s="2125" t="s">
        <v>9596</v>
      </c>
      <c r="C543" s="2125" t="s">
        <v>2434</v>
      </c>
      <c r="D543" s="2125" t="s">
        <v>219</v>
      </c>
      <c r="E543" s="2126" t="s">
        <v>4207</v>
      </c>
      <c r="F543" s="2125">
        <v>2</v>
      </c>
      <c r="G543" s="2127" t="s">
        <v>9598</v>
      </c>
      <c r="H543" s="2125"/>
      <c r="I543" s="2125" t="s">
        <v>9602</v>
      </c>
      <c r="J543" s="2125"/>
      <c r="K543" s="2128">
        <v>62856</v>
      </c>
      <c r="L543" s="2125" t="s">
        <v>251</v>
      </c>
      <c r="M543" s="2124">
        <v>44426</v>
      </c>
      <c r="N543" s="2124">
        <v>44460</v>
      </c>
      <c r="O543" s="2125"/>
      <c r="P543" s="2136" t="s">
        <v>4505</v>
      </c>
      <c r="Q543" s="2320" t="s">
        <v>10502</v>
      </c>
      <c r="R543" s="2128"/>
      <c r="S543" s="2128"/>
      <c r="T543" s="2129"/>
      <c r="U543" s="2129"/>
      <c r="V543" s="2129"/>
      <c r="W543" s="2128"/>
      <c r="X543" s="2128"/>
      <c r="Y543" s="2125"/>
      <c r="Z543" s="2124">
        <v>44545</v>
      </c>
      <c r="AA543" s="2127" t="s">
        <v>10341</v>
      </c>
      <c r="AB543" s="2125"/>
      <c r="AC543" s="2125"/>
    </row>
    <row r="544" spans="1:31">
      <c r="A544" s="2124">
        <v>44420</v>
      </c>
      <c r="B544" s="2125" t="s">
        <v>9596</v>
      </c>
      <c r="C544" s="2125" t="s">
        <v>2434</v>
      </c>
      <c r="D544" s="2125" t="s">
        <v>219</v>
      </c>
      <c r="E544" s="2126" t="s">
        <v>4207</v>
      </c>
      <c r="F544" s="2125">
        <v>3</v>
      </c>
      <c r="G544" s="2127" t="s">
        <v>9599</v>
      </c>
      <c r="H544" s="2125"/>
      <c r="I544" s="2125" t="s">
        <v>9602</v>
      </c>
      <c r="J544" s="2125"/>
      <c r="K544" s="2128">
        <v>1989243</v>
      </c>
      <c r="L544" s="2125" t="s">
        <v>251</v>
      </c>
      <c r="M544" s="2124">
        <v>44426</v>
      </c>
      <c r="N544" s="2124">
        <v>44460</v>
      </c>
      <c r="O544" s="2125"/>
      <c r="P544" s="2136" t="s">
        <v>4505</v>
      </c>
      <c r="Q544" s="2320" t="s">
        <v>10502</v>
      </c>
      <c r="R544" s="2128"/>
      <c r="S544" s="2128"/>
      <c r="T544" s="2129"/>
      <c r="U544" s="2129"/>
      <c r="V544" s="2129"/>
      <c r="W544" s="2128"/>
      <c r="X544" s="2128"/>
      <c r="Y544" s="2125"/>
      <c r="Z544" s="2124">
        <v>44545</v>
      </c>
      <c r="AA544" s="2127" t="s">
        <v>10341</v>
      </c>
      <c r="AB544" s="2125"/>
      <c r="AC544" s="2125"/>
    </row>
    <row r="545" spans="1:30">
      <c r="A545" s="2124">
        <v>44420</v>
      </c>
      <c r="B545" s="2125" t="s">
        <v>9596</v>
      </c>
      <c r="C545" s="2125" t="s">
        <v>2434</v>
      </c>
      <c r="D545" s="2125" t="s">
        <v>219</v>
      </c>
      <c r="E545" s="2126" t="s">
        <v>4207</v>
      </c>
      <c r="F545" s="2125">
        <v>4</v>
      </c>
      <c r="G545" s="2127" t="s">
        <v>9600</v>
      </c>
      <c r="H545" s="2125"/>
      <c r="I545" s="2125" t="s">
        <v>9602</v>
      </c>
      <c r="J545" s="2125"/>
      <c r="K545" s="2128">
        <v>46480</v>
      </c>
      <c r="L545" s="2125" t="s">
        <v>251</v>
      </c>
      <c r="M545" s="2124">
        <v>44426</v>
      </c>
      <c r="N545" s="2124">
        <v>44460</v>
      </c>
      <c r="O545" s="2125"/>
      <c r="P545" s="2136" t="s">
        <v>4505</v>
      </c>
      <c r="Q545" s="2320" t="s">
        <v>10502</v>
      </c>
      <c r="R545" s="2128"/>
      <c r="S545" s="2128"/>
      <c r="T545" s="2129"/>
      <c r="U545" s="2129"/>
      <c r="V545" s="2129"/>
      <c r="W545" s="2128"/>
      <c r="X545" s="2128"/>
      <c r="Y545" s="2125"/>
      <c r="Z545" s="2124">
        <v>44545</v>
      </c>
      <c r="AA545" s="2127" t="s">
        <v>10341</v>
      </c>
      <c r="AB545" s="2125"/>
      <c r="AC545" s="2125"/>
    </row>
    <row r="546" spans="1:30" ht="15.75" thickBot="1">
      <c r="A546" s="2130">
        <v>44420</v>
      </c>
      <c r="B546" s="2131" t="s">
        <v>9596</v>
      </c>
      <c r="C546" s="2131" t="s">
        <v>2434</v>
      </c>
      <c r="D546" s="2131" t="s">
        <v>219</v>
      </c>
      <c r="E546" s="2132" t="s">
        <v>4207</v>
      </c>
      <c r="F546" s="2131">
        <v>5</v>
      </c>
      <c r="G546" s="2133" t="s">
        <v>9601</v>
      </c>
      <c r="H546" s="2131"/>
      <c r="I546" s="2131" t="s">
        <v>9602</v>
      </c>
      <c r="J546" s="2131"/>
      <c r="K546" s="2134">
        <v>2940912</v>
      </c>
      <c r="L546" s="2131" t="s">
        <v>251</v>
      </c>
      <c r="M546" s="2130">
        <v>44426</v>
      </c>
      <c r="N546" s="2130">
        <v>44460</v>
      </c>
      <c r="O546" s="2131"/>
      <c r="P546" s="2137" t="s">
        <v>4505</v>
      </c>
      <c r="Q546" s="2480" t="s">
        <v>10502</v>
      </c>
      <c r="R546" s="2134"/>
      <c r="S546" s="2134"/>
      <c r="T546" s="2135"/>
      <c r="U546" s="2135"/>
      <c r="V546" s="2135"/>
      <c r="W546" s="2134"/>
      <c r="X546" s="2134"/>
      <c r="Y546" s="2131"/>
      <c r="Z546" s="2130">
        <v>44545</v>
      </c>
      <c r="AA546" s="2133" t="s">
        <v>10341</v>
      </c>
      <c r="AB546" s="2131"/>
      <c r="AC546" s="2131"/>
    </row>
    <row r="547" spans="1:30" ht="15.75" thickTop="1">
      <c r="A547" s="470">
        <v>44412</v>
      </c>
      <c r="B547" s="466" t="s">
        <v>9605</v>
      </c>
      <c r="C547" s="466" t="s">
        <v>58</v>
      </c>
      <c r="D547" s="466" t="s">
        <v>4969</v>
      </c>
      <c r="E547" s="467" t="s">
        <v>9606</v>
      </c>
      <c r="F547" s="466"/>
      <c r="G547" s="654"/>
      <c r="H547" s="466"/>
      <c r="I547" s="466" t="s">
        <v>730</v>
      </c>
      <c r="J547" s="466" t="s">
        <v>9607</v>
      </c>
      <c r="K547" s="472">
        <v>260000</v>
      </c>
      <c r="L547" s="466" t="s">
        <v>112</v>
      </c>
      <c r="M547" s="470">
        <v>44424</v>
      </c>
      <c r="N547" s="470">
        <v>44432</v>
      </c>
      <c r="O547" s="466"/>
      <c r="P547" s="471" t="s">
        <v>242</v>
      </c>
      <c r="Q547" s="2014" t="s">
        <v>9758</v>
      </c>
      <c r="R547" s="472"/>
      <c r="S547" s="472"/>
      <c r="T547" s="1516"/>
      <c r="U547" s="1516"/>
      <c r="V547" s="1516"/>
      <c r="W547" s="472"/>
      <c r="X547" s="472"/>
      <c r="Y547" s="466"/>
      <c r="Z547" s="470">
        <v>44425</v>
      </c>
      <c r="AA547" s="466"/>
      <c r="AB547" s="466"/>
      <c r="AC547" s="466"/>
    </row>
    <row r="548" spans="1:30" ht="15.75" thickBot="1">
      <c r="A548" s="643">
        <v>44413</v>
      </c>
      <c r="B548" s="639" t="s">
        <v>9608</v>
      </c>
      <c r="C548" s="639" t="s">
        <v>69</v>
      </c>
      <c r="D548" s="639" t="s">
        <v>70</v>
      </c>
      <c r="E548" s="640" t="s">
        <v>9609</v>
      </c>
      <c r="F548" s="639">
        <v>1</v>
      </c>
      <c r="G548" s="1533" t="s">
        <v>9610</v>
      </c>
      <c r="H548" s="639"/>
      <c r="I548" s="639" t="s">
        <v>42</v>
      </c>
      <c r="J548" s="639"/>
      <c r="K548" s="645">
        <v>2742831</v>
      </c>
      <c r="L548" s="639" t="s">
        <v>216</v>
      </c>
      <c r="M548" s="643">
        <v>44463</v>
      </c>
      <c r="N548" s="643">
        <v>44483</v>
      </c>
      <c r="O548" s="639"/>
      <c r="P548" s="644" t="s">
        <v>304</v>
      </c>
      <c r="Q548" s="639"/>
      <c r="R548" s="645"/>
      <c r="S548" s="645"/>
      <c r="T548" s="1534"/>
      <c r="U548" s="1534"/>
      <c r="V548" s="1534"/>
      <c r="W548" s="645"/>
      <c r="X548" s="645"/>
      <c r="Y548" s="639"/>
      <c r="Z548" s="643">
        <v>44488</v>
      </c>
      <c r="AA548" s="1533" t="s">
        <v>10110</v>
      </c>
      <c r="AB548" s="639"/>
      <c r="AC548" s="639"/>
    </row>
    <row r="549" spans="1:30" ht="15.75" thickTop="1">
      <c r="A549" s="443">
        <v>44413</v>
      </c>
      <c r="B549" s="439" t="s">
        <v>9611</v>
      </c>
      <c r="C549" s="439" t="s">
        <v>69</v>
      </c>
      <c r="D549" s="439" t="s">
        <v>70</v>
      </c>
      <c r="E549" s="440" t="s">
        <v>9620</v>
      </c>
      <c r="F549" s="439">
        <v>1</v>
      </c>
      <c r="G549" s="1431" t="s">
        <v>9612</v>
      </c>
      <c r="H549" s="439"/>
      <c r="I549" s="439" t="s">
        <v>42</v>
      </c>
      <c r="J549" s="439"/>
      <c r="K549" s="444">
        <v>67032</v>
      </c>
      <c r="L549" s="439" t="s">
        <v>112</v>
      </c>
      <c r="M549" s="443">
        <v>44432</v>
      </c>
      <c r="N549" s="443">
        <v>44447</v>
      </c>
      <c r="O549" s="439"/>
      <c r="P549" s="753" t="s">
        <v>304</v>
      </c>
      <c r="Q549" s="439"/>
      <c r="R549" s="444"/>
      <c r="S549" s="444"/>
      <c r="T549" s="1481"/>
      <c r="U549" s="1481"/>
      <c r="V549" s="1481"/>
      <c r="W549" s="444"/>
      <c r="X549" s="444"/>
      <c r="Y549" s="439"/>
      <c r="Z549" s="443">
        <v>44454</v>
      </c>
      <c r="AA549" s="439" t="s">
        <v>9853</v>
      </c>
      <c r="AB549" s="439"/>
      <c r="AC549" s="439"/>
    </row>
    <row r="550" spans="1:30">
      <c r="A550" s="2124">
        <v>44413</v>
      </c>
      <c r="B550" s="2125" t="s">
        <v>9611</v>
      </c>
      <c r="C550" s="2125" t="s">
        <v>69</v>
      </c>
      <c r="D550" s="2125" t="s">
        <v>70</v>
      </c>
      <c r="E550" s="2126" t="s">
        <v>9620</v>
      </c>
      <c r="F550" s="2125">
        <v>2</v>
      </c>
      <c r="G550" s="2127" t="s">
        <v>9613</v>
      </c>
      <c r="H550" s="2125"/>
      <c r="I550" s="2125" t="s">
        <v>42</v>
      </c>
      <c r="J550" s="2125"/>
      <c r="K550" s="2128">
        <v>848811</v>
      </c>
      <c r="L550" s="2125" t="s">
        <v>112</v>
      </c>
      <c r="M550" s="2124">
        <v>44432</v>
      </c>
      <c r="N550" s="2124">
        <v>44447</v>
      </c>
      <c r="O550" s="2125"/>
      <c r="P550" s="2136" t="s">
        <v>4505</v>
      </c>
      <c r="Q550" s="2125"/>
      <c r="R550" s="2128"/>
      <c r="S550" s="2128"/>
      <c r="T550" s="2129"/>
      <c r="U550" s="2129"/>
      <c r="V550" s="2129"/>
      <c r="W550" s="2128"/>
      <c r="X550" s="2128"/>
      <c r="Y550" s="2125"/>
      <c r="Z550" s="2124">
        <v>44474</v>
      </c>
      <c r="AA550" s="2125" t="s">
        <v>10027</v>
      </c>
      <c r="AB550" s="2125"/>
      <c r="AC550" s="2125"/>
    </row>
    <row r="551" spans="1:30">
      <c r="A551" s="2140">
        <v>44413</v>
      </c>
      <c r="B551" s="2141" t="s">
        <v>9611</v>
      </c>
      <c r="C551" s="2141" t="s">
        <v>69</v>
      </c>
      <c r="D551" s="2141" t="s">
        <v>70</v>
      </c>
      <c r="E551" s="2142" t="s">
        <v>9620</v>
      </c>
      <c r="F551" s="2141">
        <v>3</v>
      </c>
      <c r="G551" s="2143" t="s">
        <v>9614</v>
      </c>
      <c r="H551" s="2141"/>
      <c r="I551" s="2141" t="s">
        <v>42</v>
      </c>
      <c r="J551" s="2141"/>
      <c r="K551" s="2144">
        <v>63800</v>
      </c>
      <c r="L551" s="2141" t="s">
        <v>112</v>
      </c>
      <c r="M551" s="2140">
        <v>44432</v>
      </c>
      <c r="N551" s="2140">
        <v>44447</v>
      </c>
      <c r="O551" s="2140">
        <v>44475</v>
      </c>
      <c r="P551" s="2143" t="s">
        <v>5949</v>
      </c>
      <c r="Q551" s="2141"/>
      <c r="R551" s="2144">
        <v>66800</v>
      </c>
      <c r="S551" s="2144">
        <v>80828</v>
      </c>
      <c r="T551" s="2145"/>
      <c r="U551" s="2145"/>
      <c r="V551" s="2145"/>
      <c r="W551" s="2146">
        <v>44475</v>
      </c>
      <c r="X551" s="2144" t="s">
        <v>10035</v>
      </c>
      <c r="Y551" s="2140">
        <v>44494</v>
      </c>
      <c r="Z551" s="2140">
        <v>44501</v>
      </c>
      <c r="AA551" s="2140">
        <v>45223</v>
      </c>
      <c r="AB551" s="2140">
        <v>44648</v>
      </c>
      <c r="AC551" s="2109">
        <v>2022</v>
      </c>
      <c r="AD551" s="388" t="s">
        <v>10174</v>
      </c>
    </row>
    <row r="552" spans="1:30">
      <c r="A552" s="2124">
        <v>44413</v>
      </c>
      <c r="B552" s="2125" t="s">
        <v>9611</v>
      </c>
      <c r="C552" s="2125" t="s">
        <v>69</v>
      </c>
      <c r="D552" s="2125" t="s">
        <v>70</v>
      </c>
      <c r="E552" s="2126" t="s">
        <v>9620</v>
      </c>
      <c r="F552" s="2125">
        <v>4</v>
      </c>
      <c r="G552" s="2127" t="s">
        <v>9615</v>
      </c>
      <c r="H552" s="2125"/>
      <c r="I552" s="2125" t="s">
        <v>42</v>
      </c>
      <c r="J552" s="2125"/>
      <c r="K552" s="2128">
        <v>22300</v>
      </c>
      <c r="L552" s="2125" t="s">
        <v>112</v>
      </c>
      <c r="M552" s="2124">
        <v>44432</v>
      </c>
      <c r="N552" s="2124">
        <v>44447</v>
      </c>
      <c r="O552" s="2125"/>
      <c r="P552" s="2136" t="s">
        <v>304</v>
      </c>
      <c r="Q552" s="2125"/>
      <c r="R552" s="2128"/>
      <c r="S552" s="2128"/>
      <c r="T552" s="2129"/>
      <c r="U552" s="2129"/>
      <c r="V552" s="2129"/>
      <c r="W552" s="2128"/>
      <c r="X552" s="2128"/>
      <c r="Y552" s="2125"/>
      <c r="Z552" s="2124">
        <v>44454</v>
      </c>
      <c r="AA552" s="2125" t="s">
        <v>9853</v>
      </c>
      <c r="AB552" s="2125"/>
      <c r="AC552" s="2125"/>
    </row>
    <row r="553" spans="1:30">
      <c r="A553" s="2124">
        <v>44413</v>
      </c>
      <c r="B553" s="2125" t="s">
        <v>9611</v>
      </c>
      <c r="C553" s="2125" t="s">
        <v>69</v>
      </c>
      <c r="D553" s="2125" t="s">
        <v>70</v>
      </c>
      <c r="E553" s="2126" t="s">
        <v>9620</v>
      </c>
      <c r="F553" s="2125">
        <v>5</v>
      </c>
      <c r="G553" s="2127" t="s">
        <v>9616</v>
      </c>
      <c r="H553" s="2125"/>
      <c r="I553" s="2125" t="s">
        <v>42</v>
      </c>
      <c r="J553" s="2125"/>
      <c r="K553" s="2128">
        <v>58921</v>
      </c>
      <c r="L553" s="2125" t="s">
        <v>112</v>
      </c>
      <c r="M553" s="2124">
        <v>44432</v>
      </c>
      <c r="N553" s="2124">
        <v>44447</v>
      </c>
      <c r="O553" s="2125"/>
      <c r="P553" s="2136" t="s">
        <v>304</v>
      </c>
      <c r="Q553" s="2125"/>
      <c r="R553" s="2128"/>
      <c r="S553" s="2128"/>
      <c r="T553" s="2129"/>
      <c r="U553" s="2129"/>
      <c r="V553" s="2129"/>
      <c r="W553" s="2128"/>
      <c r="X553" s="2128"/>
      <c r="Y553" s="2125"/>
      <c r="Z553" s="2124">
        <v>44454</v>
      </c>
      <c r="AA553" s="2125" t="s">
        <v>9853</v>
      </c>
      <c r="AB553" s="2125"/>
      <c r="AC553" s="2125"/>
    </row>
    <row r="554" spans="1:30">
      <c r="A554" s="2124">
        <v>44413</v>
      </c>
      <c r="B554" s="2125" t="s">
        <v>9611</v>
      </c>
      <c r="C554" s="2125" t="s">
        <v>69</v>
      </c>
      <c r="D554" s="2125" t="s">
        <v>70</v>
      </c>
      <c r="E554" s="2126" t="s">
        <v>9620</v>
      </c>
      <c r="F554" s="2125">
        <v>6</v>
      </c>
      <c r="G554" s="2127" t="s">
        <v>9617</v>
      </c>
      <c r="H554" s="2125"/>
      <c r="I554" s="2125" t="s">
        <v>42</v>
      </c>
      <c r="J554" s="2125"/>
      <c r="K554" s="2128">
        <v>63800</v>
      </c>
      <c r="L554" s="2125" t="s">
        <v>112</v>
      </c>
      <c r="M554" s="2124">
        <v>44432</v>
      </c>
      <c r="N554" s="2124">
        <v>44447</v>
      </c>
      <c r="O554" s="2125"/>
      <c r="P554" s="2136" t="s">
        <v>304</v>
      </c>
      <c r="Q554" s="2125"/>
      <c r="R554" s="2128"/>
      <c r="S554" s="2128"/>
      <c r="T554" s="2129"/>
      <c r="U554" s="2129"/>
      <c r="V554" s="2129"/>
      <c r="W554" s="2128"/>
      <c r="X554" s="2128"/>
      <c r="Y554" s="2125"/>
      <c r="Z554" s="2124">
        <v>44454</v>
      </c>
      <c r="AA554" s="2125" t="s">
        <v>9853</v>
      </c>
      <c r="AB554" s="2125"/>
      <c r="AC554" s="2125"/>
    </row>
    <row r="555" spans="1:30" ht="15.75" thickBot="1">
      <c r="A555" s="2117">
        <v>44413</v>
      </c>
      <c r="B555" s="2118" t="s">
        <v>9611</v>
      </c>
      <c r="C555" s="2118" t="s">
        <v>69</v>
      </c>
      <c r="D555" s="2118" t="s">
        <v>70</v>
      </c>
      <c r="E555" s="2119" t="s">
        <v>9620</v>
      </c>
      <c r="F555" s="2118">
        <v>7</v>
      </c>
      <c r="G555" s="2120" t="s">
        <v>9618</v>
      </c>
      <c r="H555" s="2118"/>
      <c r="I555" s="2118" t="s">
        <v>42</v>
      </c>
      <c r="J555" s="2118"/>
      <c r="K555" s="2121">
        <v>36159</v>
      </c>
      <c r="L555" s="2118" t="s">
        <v>112</v>
      </c>
      <c r="M555" s="2117">
        <v>44432</v>
      </c>
      <c r="N555" s="2117">
        <v>44447</v>
      </c>
      <c r="O555" s="2117">
        <v>44475</v>
      </c>
      <c r="P555" s="2120" t="s">
        <v>10021</v>
      </c>
      <c r="Q555" s="2118"/>
      <c r="R555" s="2121">
        <v>36160</v>
      </c>
      <c r="S555" s="2121">
        <v>43753</v>
      </c>
      <c r="T555" s="2122"/>
      <c r="U555" s="2122"/>
      <c r="V555" s="2122"/>
      <c r="W555" s="2123">
        <v>44475</v>
      </c>
      <c r="X555" s="2121" t="s">
        <v>10036</v>
      </c>
      <c r="Y555" s="2117">
        <v>44494</v>
      </c>
      <c r="Z555" s="2117">
        <v>44501</v>
      </c>
      <c r="AA555" s="2117">
        <v>45223</v>
      </c>
      <c r="AB555" s="2117">
        <v>44648</v>
      </c>
      <c r="AC555" s="2110">
        <v>2022</v>
      </c>
      <c r="AD555" s="388" t="s">
        <v>10174</v>
      </c>
    </row>
    <row r="556" spans="1:30" ht="15.75" thickTop="1">
      <c r="A556" s="470">
        <v>44413</v>
      </c>
      <c r="B556" s="470" t="s">
        <v>9619</v>
      </c>
      <c r="C556" s="466" t="s">
        <v>69</v>
      </c>
      <c r="D556" s="466" t="s">
        <v>70</v>
      </c>
      <c r="E556" s="467" t="s">
        <v>9621</v>
      </c>
      <c r="F556" s="466">
        <v>1</v>
      </c>
      <c r="G556" s="654" t="s">
        <v>9622</v>
      </c>
      <c r="H556" s="576"/>
      <c r="I556" s="466" t="s">
        <v>42</v>
      </c>
      <c r="J556" s="466"/>
      <c r="K556" s="472">
        <v>780693</v>
      </c>
      <c r="L556" s="466" t="s">
        <v>112</v>
      </c>
      <c r="M556" s="470">
        <v>44441</v>
      </c>
      <c r="N556" s="470">
        <v>44459</v>
      </c>
      <c r="O556" s="466"/>
      <c r="P556" s="654"/>
      <c r="Q556" s="2014" t="s">
        <v>10523</v>
      </c>
      <c r="R556" s="472"/>
      <c r="S556" s="472"/>
      <c r="T556" s="1489"/>
      <c r="U556" s="1489"/>
      <c r="V556" s="1489"/>
      <c r="W556" s="472"/>
      <c r="X556" s="472"/>
      <c r="Y556" s="466"/>
      <c r="Z556" s="470">
        <v>44473</v>
      </c>
      <c r="AA556" s="466"/>
      <c r="AB556" s="466"/>
      <c r="AC556" s="466"/>
    </row>
    <row r="557" spans="1:30">
      <c r="A557" s="510">
        <v>44413</v>
      </c>
      <c r="B557" s="510" t="s">
        <v>9619</v>
      </c>
      <c r="C557" s="506" t="s">
        <v>69</v>
      </c>
      <c r="D557" s="506" t="s">
        <v>70</v>
      </c>
      <c r="E557" s="507" t="s">
        <v>9621</v>
      </c>
      <c r="F557" s="506">
        <v>2</v>
      </c>
      <c r="G557" s="548" t="s">
        <v>9623</v>
      </c>
      <c r="H557" s="506"/>
      <c r="I557" s="506" t="s">
        <v>42</v>
      </c>
      <c r="J557" s="506"/>
      <c r="K557" s="511">
        <v>102837</v>
      </c>
      <c r="L557" s="506" t="s">
        <v>112</v>
      </c>
      <c r="M557" s="510">
        <v>44441</v>
      </c>
      <c r="N557" s="510">
        <v>44459</v>
      </c>
      <c r="O557" s="506"/>
      <c r="P557" s="736" t="s">
        <v>9948</v>
      </c>
      <c r="Q557" s="2009" t="s">
        <v>10523</v>
      </c>
      <c r="R557" s="511"/>
      <c r="S557" s="511"/>
      <c r="T557" s="1470"/>
      <c r="U557" s="1470"/>
      <c r="V557" s="1470"/>
      <c r="W557" s="511"/>
      <c r="X557" s="511"/>
      <c r="Y557" s="506"/>
      <c r="Z557" s="510">
        <v>44473</v>
      </c>
      <c r="AA557" s="506"/>
      <c r="AB557" s="506"/>
      <c r="AC557" s="506"/>
    </row>
    <row r="558" spans="1:30">
      <c r="A558" s="510">
        <v>44413</v>
      </c>
      <c r="B558" s="510" t="s">
        <v>9619</v>
      </c>
      <c r="C558" s="506" t="s">
        <v>69</v>
      </c>
      <c r="D558" s="506" t="s">
        <v>70</v>
      </c>
      <c r="E558" s="507" t="s">
        <v>9621</v>
      </c>
      <c r="F558" s="506">
        <v>3</v>
      </c>
      <c r="G558" s="548" t="s">
        <v>9624</v>
      </c>
      <c r="H558" s="590"/>
      <c r="I558" s="506" t="s">
        <v>42</v>
      </c>
      <c r="J558" s="506"/>
      <c r="K558" s="511">
        <v>52000</v>
      </c>
      <c r="L558" s="506" t="s">
        <v>112</v>
      </c>
      <c r="M558" s="510">
        <v>44441</v>
      </c>
      <c r="N558" s="510">
        <v>44459</v>
      </c>
      <c r="O558" s="506"/>
      <c r="P558" s="736" t="s">
        <v>304</v>
      </c>
      <c r="Q558" s="514" t="s">
        <v>10523</v>
      </c>
      <c r="R558" s="511"/>
      <c r="S558" s="511"/>
      <c r="T558" s="1484"/>
      <c r="U558" s="1484"/>
      <c r="V558" s="1484"/>
      <c r="W558" s="511"/>
      <c r="X558" s="511"/>
      <c r="Y558" s="506"/>
      <c r="Z558" s="510">
        <v>44473</v>
      </c>
      <c r="AA558" s="506" t="s">
        <v>9999</v>
      </c>
      <c r="AB558" s="506"/>
      <c r="AC558" s="506"/>
    </row>
    <row r="559" spans="1:30">
      <c r="A559" s="510">
        <v>44413</v>
      </c>
      <c r="B559" s="510" t="s">
        <v>9619</v>
      </c>
      <c r="C559" s="506" t="s">
        <v>69</v>
      </c>
      <c r="D559" s="506" t="s">
        <v>70</v>
      </c>
      <c r="E559" s="507" t="s">
        <v>9621</v>
      </c>
      <c r="F559" s="506">
        <v>4</v>
      </c>
      <c r="G559" s="548" t="s">
        <v>9625</v>
      </c>
      <c r="H559" s="506"/>
      <c r="I559" s="506" t="s">
        <v>42</v>
      </c>
      <c r="J559" s="506"/>
      <c r="K559" s="511">
        <v>287058</v>
      </c>
      <c r="L559" s="506" t="s">
        <v>112</v>
      </c>
      <c r="M559" s="510">
        <v>44441</v>
      </c>
      <c r="N559" s="510">
        <v>44459</v>
      </c>
      <c r="O559" s="506"/>
      <c r="P559" s="736" t="s">
        <v>9948</v>
      </c>
      <c r="Q559" s="1985" t="s">
        <v>10523</v>
      </c>
      <c r="R559" s="511"/>
      <c r="S559" s="511"/>
      <c r="T559" s="1470"/>
      <c r="U559" s="1470"/>
      <c r="V559" s="1470"/>
      <c r="W559" s="511"/>
      <c r="X559" s="511"/>
      <c r="Y559" s="506"/>
      <c r="Z559" s="510">
        <v>44473</v>
      </c>
      <c r="AA559" s="506"/>
      <c r="AB559" s="506"/>
      <c r="AC559" s="506"/>
    </row>
    <row r="560" spans="1:30" ht="15.75" thickBot="1">
      <c r="A560" s="643">
        <v>44413</v>
      </c>
      <c r="B560" s="643" t="s">
        <v>9619</v>
      </c>
      <c r="C560" s="639" t="s">
        <v>69</v>
      </c>
      <c r="D560" s="639" t="s">
        <v>70</v>
      </c>
      <c r="E560" s="640" t="s">
        <v>9621</v>
      </c>
      <c r="F560" s="639">
        <v>5</v>
      </c>
      <c r="G560" s="1533" t="s">
        <v>9626</v>
      </c>
      <c r="H560" s="1437"/>
      <c r="I560" s="639" t="s">
        <v>42</v>
      </c>
      <c r="J560" s="639"/>
      <c r="K560" s="645">
        <v>393592</v>
      </c>
      <c r="L560" s="639" t="s">
        <v>112</v>
      </c>
      <c r="M560" s="643">
        <v>44441</v>
      </c>
      <c r="N560" s="643">
        <v>44459</v>
      </c>
      <c r="O560" s="639"/>
      <c r="P560" s="644" t="s">
        <v>304</v>
      </c>
      <c r="Q560" s="831" t="s">
        <v>10523</v>
      </c>
      <c r="R560" s="645"/>
      <c r="S560" s="645"/>
      <c r="T560" s="1490"/>
      <c r="U560" s="1490"/>
      <c r="V560" s="1490"/>
      <c r="W560" s="645"/>
      <c r="X560" s="645"/>
      <c r="Y560" s="639"/>
      <c r="Z560" s="643">
        <v>44473</v>
      </c>
      <c r="AA560" s="639" t="s">
        <v>9999</v>
      </c>
      <c r="AB560" s="639"/>
      <c r="AC560" s="639"/>
    </row>
    <row r="561" spans="1:31" ht="15.75" thickTop="1">
      <c r="A561" s="443">
        <v>44413</v>
      </c>
      <c r="B561" s="439" t="s">
        <v>9627</v>
      </c>
      <c r="C561" s="439" t="s">
        <v>69</v>
      </c>
      <c r="D561" s="439" t="s">
        <v>70</v>
      </c>
      <c r="E561" s="440" t="s">
        <v>9628</v>
      </c>
      <c r="F561" s="439">
        <v>1</v>
      </c>
      <c r="G561" s="1431" t="s">
        <v>9629</v>
      </c>
      <c r="H561" s="439"/>
      <c r="I561" s="439" t="s">
        <v>42</v>
      </c>
      <c r="J561" s="439"/>
      <c r="K561" s="444">
        <v>547196</v>
      </c>
      <c r="L561" s="439" t="s">
        <v>112</v>
      </c>
      <c r="M561" s="443">
        <v>44432</v>
      </c>
      <c r="N561" s="443">
        <v>44452</v>
      </c>
      <c r="O561" s="439"/>
      <c r="P561" s="753" t="s">
        <v>9948</v>
      </c>
      <c r="Q561" s="439"/>
      <c r="R561" s="444"/>
      <c r="S561" s="444"/>
      <c r="T561" s="1481"/>
      <c r="U561" s="1481"/>
      <c r="V561" s="1481"/>
      <c r="W561" s="444"/>
      <c r="X561" s="444"/>
      <c r="Y561" s="439"/>
      <c r="Z561" s="443">
        <v>44466</v>
      </c>
      <c r="AA561" s="439"/>
      <c r="AB561" s="439"/>
      <c r="AC561" s="439"/>
    </row>
    <row r="562" spans="1:31">
      <c r="A562" s="2124">
        <v>44413</v>
      </c>
      <c r="B562" s="2125" t="s">
        <v>9627</v>
      </c>
      <c r="C562" s="2125" t="s">
        <v>69</v>
      </c>
      <c r="D562" s="2125" t="s">
        <v>70</v>
      </c>
      <c r="E562" s="2126" t="s">
        <v>9628</v>
      </c>
      <c r="F562" s="2125">
        <v>2</v>
      </c>
      <c r="G562" s="2127" t="s">
        <v>9630</v>
      </c>
      <c r="H562" s="2125"/>
      <c r="I562" s="2125" t="s">
        <v>42</v>
      </c>
      <c r="J562" s="2125"/>
      <c r="K562" s="2128">
        <v>908400</v>
      </c>
      <c r="L562" s="2125" t="s">
        <v>112</v>
      </c>
      <c r="M562" s="2124">
        <v>44432</v>
      </c>
      <c r="N562" s="2124">
        <v>44452</v>
      </c>
      <c r="O562" s="2125"/>
      <c r="P562" s="2136" t="s">
        <v>9147</v>
      </c>
      <c r="Q562" s="2125"/>
      <c r="R562" s="2128"/>
      <c r="S562" s="2128"/>
      <c r="T562" s="2129"/>
      <c r="U562" s="2129"/>
      <c r="V562" s="2129"/>
      <c r="W562" s="2128"/>
      <c r="X562" s="2128"/>
      <c r="Y562" s="2125"/>
      <c r="Z562" s="2124">
        <v>44449</v>
      </c>
      <c r="AA562" s="2125"/>
      <c r="AB562" s="2125"/>
      <c r="AC562" s="2125"/>
    </row>
    <row r="563" spans="1:31">
      <c r="A563" s="2140">
        <v>44413</v>
      </c>
      <c r="B563" s="2141" t="s">
        <v>9627</v>
      </c>
      <c r="C563" s="2141" t="s">
        <v>69</v>
      </c>
      <c r="D563" s="2141" t="s">
        <v>70</v>
      </c>
      <c r="E563" s="2142" t="s">
        <v>9628</v>
      </c>
      <c r="F563" s="2141">
        <v>3</v>
      </c>
      <c r="G563" s="2143" t="s">
        <v>9631</v>
      </c>
      <c r="H563" s="2141"/>
      <c r="I563" s="2141" t="s">
        <v>42</v>
      </c>
      <c r="J563" s="2141"/>
      <c r="K563" s="2144">
        <v>476120</v>
      </c>
      <c r="L563" s="2141" t="s">
        <v>112</v>
      </c>
      <c r="M563" s="2140">
        <v>44432</v>
      </c>
      <c r="N563" s="2140">
        <v>44452</v>
      </c>
      <c r="O563" s="2140">
        <v>44469</v>
      </c>
      <c r="P563" s="2143" t="s">
        <v>9951</v>
      </c>
      <c r="Q563" s="2141"/>
      <c r="R563" s="2144">
        <v>490760</v>
      </c>
      <c r="S563" s="2144">
        <v>593819.6</v>
      </c>
      <c r="T563" s="2145"/>
      <c r="U563" s="2145"/>
      <c r="V563" s="2145"/>
      <c r="W563" s="2146">
        <v>44469</v>
      </c>
      <c r="X563" s="2144" t="s">
        <v>10000</v>
      </c>
      <c r="Y563" s="2140">
        <v>44484</v>
      </c>
      <c r="Z563" s="2140">
        <v>44488</v>
      </c>
      <c r="AA563" s="2140">
        <v>45213</v>
      </c>
      <c r="AB563" s="2140">
        <v>44648</v>
      </c>
      <c r="AC563" s="2109">
        <v>2022</v>
      </c>
      <c r="AD563" s="388" t="s">
        <v>10084</v>
      </c>
    </row>
    <row r="564" spans="1:31" ht="15.75" thickBot="1">
      <c r="A564" s="2130">
        <v>44413</v>
      </c>
      <c r="B564" s="2131" t="s">
        <v>9627</v>
      </c>
      <c r="C564" s="2131" t="s">
        <v>69</v>
      </c>
      <c r="D564" s="2131" t="s">
        <v>70</v>
      </c>
      <c r="E564" s="2132" t="s">
        <v>9628</v>
      </c>
      <c r="F564" s="2131">
        <v>4</v>
      </c>
      <c r="G564" s="2133" t="s">
        <v>9632</v>
      </c>
      <c r="H564" s="2131"/>
      <c r="I564" s="2131" t="s">
        <v>42</v>
      </c>
      <c r="J564" s="2131"/>
      <c r="K564" s="2134">
        <v>54000</v>
      </c>
      <c r="L564" s="2131" t="s">
        <v>112</v>
      </c>
      <c r="M564" s="2130">
        <v>44432</v>
      </c>
      <c r="N564" s="2130">
        <v>44452</v>
      </c>
      <c r="O564" s="2131"/>
      <c r="P564" s="2137" t="s">
        <v>304</v>
      </c>
      <c r="Q564" s="2131"/>
      <c r="R564" s="2134"/>
      <c r="S564" s="2134"/>
      <c r="T564" s="2135"/>
      <c r="U564" s="2135"/>
      <c r="V564" s="2135"/>
      <c r="W564" s="2134"/>
      <c r="X564" s="2134"/>
      <c r="Y564" s="2131"/>
      <c r="Z564" s="2130">
        <v>44466</v>
      </c>
      <c r="AA564" s="2131"/>
      <c r="AB564" s="2131"/>
      <c r="AC564" s="2131"/>
    </row>
    <row r="565" spans="1:31" ht="15.75" thickTop="1">
      <c r="A565" s="1556">
        <v>44413</v>
      </c>
      <c r="B565" s="2327" t="s">
        <v>9633</v>
      </c>
      <c r="C565" s="2327" t="s">
        <v>69</v>
      </c>
      <c r="D565" s="2327" t="s">
        <v>70</v>
      </c>
      <c r="E565" s="2328" t="s">
        <v>9634</v>
      </c>
      <c r="F565" s="2327">
        <v>1</v>
      </c>
      <c r="G565" s="2329" t="s">
        <v>9635</v>
      </c>
      <c r="H565" s="2327"/>
      <c r="I565" s="2327" t="s">
        <v>42</v>
      </c>
      <c r="J565" s="2327"/>
      <c r="K565" s="2330">
        <v>486884</v>
      </c>
      <c r="L565" s="2327" t="s">
        <v>216</v>
      </c>
      <c r="M565" s="1556">
        <v>44432</v>
      </c>
      <c r="N565" s="1556">
        <v>44463</v>
      </c>
      <c r="O565" s="2327"/>
      <c r="P565" s="2329"/>
      <c r="Q565" s="2327"/>
      <c r="R565" s="2330"/>
      <c r="S565" s="2330"/>
      <c r="T565" s="2331"/>
      <c r="U565" s="2331"/>
      <c r="V565" s="2331"/>
      <c r="W565" s="2330"/>
      <c r="X565" s="2330"/>
      <c r="Y565" s="2327"/>
      <c r="Z565" s="1556">
        <v>44469</v>
      </c>
      <c r="AA565" s="2327" t="s">
        <v>9846</v>
      </c>
      <c r="AB565" s="2327"/>
      <c r="AC565" s="2327"/>
    </row>
    <row r="566" spans="1:31">
      <c r="A566" s="2332">
        <v>44413</v>
      </c>
      <c r="B566" s="2333" t="s">
        <v>9633</v>
      </c>
      <c r="C566" s="2333" t="s">
        <v>69</v>
      </c>
      <c r="D566" s="2333" t="s">
        <v>70</v>
      </c>
      <c r="E566" s="2334" t="s">
        <v>9634</v>
      </c>
      <c r="F566" s="2333">
        <v>2</v>
      </c>
      <c r="G566" s="2335" t="s">
        <v>9636</v>
      </c>
      <c r="H566" s="2333"/>
      <c r="I566" s="2333" t="s">
        <v>42</v>
      </c>
      <c r="J566" s="2333"/>
      <c r="K566" s="2336">
        <v>70812</v>
      </c>
      <c r="L566" s="2333" t="s">
        <v>216</v>
      </c>
      <c r="M566" s="2332">
        <v>44432</v>
      </c>
      <c r="N566" s="2332">
        <v>44463</v>
      </c>
      <c r="O566" s="2333"/>
      <c r="P566" s="2335"/>
      <c r="Q566" s="2333"/>
      <c r="R566" s="2336"/>
      <c r="S566" s="2336"/>
      <c r="T566" s="2337"/>
      <c r="U566" s="2337"/>
      <c r="V566" s="2337"/>
      <c r="W566" s="2336"/>
      <c r="X566" s="2336"/>
      <c r="Y566" s="2333"/>
      <c r="Z566" s="2332">
        <v>44469</v>
      </c>
      <c r="AA566" s="2333" t="s">
        <v>9846</v>
      </c>
      <c r="AB566" s="2333"/>
      <c r="AC566" s="2333"/>
    </row>
    <row r="567" spans="1:31">
      <c r="A567" s="2140">
        <v>44413</v>
      </c>
      <c r="B567" s="2141" t="s">
        <v>9637</v>
      </c>
      <c r="C567" s="2141" t="s">
        <v>69</v>
      </c>
      <c r="D567" s="2141" t="s">
        <v>70</v>
      </c>
      <c r="E567" s="2142" t="s">
        <v>9638</v>
      </c>
      <c r="F567" s="2141">
        <v>1</v>
      </c>
      <c r="G567" s="2143" t="s">
        <v>9639</v>
      </c>
      <c r="H567" s="2141"/>
      <c r="I567" s="2141" t="s">
        <v>42</v>
      </c>
      <c r="J567" s="2141"/>
      <c r="K567" s="2144">
        <v>355660</v>
      </c>
      <c r="L567" s="2141" t="s">
        <v>216</v>
      </c>
      <c r="M567" s="2140">
        <v>44452</v>
      </c>
      <c r="N567" s="2140">
        <v>44469</v>
      </c>
      <c r="O567" s="2140">
        <v>44509</v>
      </c>
      <c r="P567" s="2143" t="s">
        <v>3123</v>
      </c>
      <c r="Q567" s="2141"/>
      <c r="R567" s="2144">
        <v>495760</v>
      </c>
      <c r="S567" s="2144">
        <v>599869.6</v>
      </c>
      <c r="T567" s="2145"/>
      <c r="U567" s="2145"/>
      <c r="V567" s="2145"/>
      <c r="W567" s="2146">
        <v>44509</v>
      </c>
      <c r="X567" s="2144" t="s">
        <v>10273</v>
      </c>
      <c r="Y567" s="2140">
        <v>44536</v>
      </c>
      <c r="Z567" s="2140">
        <v>44546</v>
      </c>
      <c r="AA567" s="2140">
        <v>45265</v>
      </c>
      <c r="AB567" s="2140">
        <v>44648</v>
      </c>
      <c r="AC567" s="2109">
        <v>2022</v>
      </c>
      <c r="AD567" s="388" t="s">
        <v>10572</v>
      </c>
    </row>
    <row r="568" spans="1:31">
      <c r="A568" s="2140">
        <v>44413</v>
      </c>
      <c r="B568" s="2141" t="s">
        <v>9637</v>
      </c>
      <c r="C568" s="2141" t="s">
        <v>69</v>
      </c>
      <c r="D568" s="2141" t="s">
        <v>70</v>
      </c>
      <c r="E568" s="2142" t="s">
        <v>9638</v>
      </c>
      <c r="F568" s="2141">
        <v>2</v>
      </c>
      <c r="G568" s="2143" t="s">
        <v>9640</v>
      </c>
      <c r="H568" s="2141"/>
      <c r="I568" s="2141" t="s">
        <v>42</v>
      </c>
      <c r="J568" s="2141"/>
      <c r="K568" s="2144">
        <v>1149222</v>
      </c>
      <c r="L568" s="2141" t="s">
        <v>216</v>
      </c>
      <c r="M568" s="2140">
        <v>44452</v>
      </c>
      <c r="N568" s="2140">
        <v>44469</v>
      </c>
      <c r="O568" s="2140">
        <v>44509</v>
      </c>
      <c r="P568" s="2143" t="s">
        <v>1319</v>
      </c>
      <c r="Q568" s="2141"/>
      <c r="R568" s="2144">
        <v>1113229.6000000001</v>
      </c>
      <c r="S568" s="2144">
        <v>1347007.82</v>
      </c>
      <c r="T568" s="2145"/>
      <c r="U568" s="2145"/>
      <c r="V568" s="2145"/>
      <c r="W568" s="2146">
        <v>44509</v>
      </c>
      <c r="X568" s="2144" t="s">
        <v>10274</v>
      </c>
      <c r="Y568" s="2140">
        <v>44544</v>
      </c>
      <c r="Z568" s="2140">
        <v>44546</v>
      </c>
      <c r="AA568" s="2140">
        <v>45273</v>
      </c>
      <c r="AB568" s="2141" t="s">
        <v>11373</v>
      </c>
      <c r="AC568" s="2109">
        <v>2022</v>
      </c>
      <c r="AD568" s="388" t="s">
        <v>10571</v>
      </c>
    </row>
    <row r="569" spans="1:31" ht="15.75" thickBot="1">
      <c r="A569" s="2130">
        <v>44413</v>
      </c>
      <c r="B569" s="2131" t="s">
        <v>9637</v>
      </c>
      <c r="C569" s="2131" t="s">
        <v>69</v>
      </c>
      <c r="D569" s="2131" t="s">
        <v>70</v>
      </c>
      <c r="E569" s="2132" t="s">
        <v>9638</v>
      </c>
      <c r="F569" s="2131">
        <v>3</v>
      </c>
      <c r="G569" s="2133" t="s">
        <v>9641</v>
      </c>
      <c r="H569" s="2089"/>
      <c r="I569" s="2131" t="s">
        <v>42</v>
      </c>
      <c r="J569" s="2131"/>
      <c r="K569" s="2134">
        <v>571720</v>
      </c>
      <c r="L569" s="2131" t="s">
        <v>216</v>
      </c>
      <c r="M569" s="2130">
        <v>44452</v>
      </c>
      <c r="N569" s="2130">
        <v>44469</v>
      </c>
      <c r="O569" s="2131"/>
      <c r="P569" s="2137" t="s">
        <v>304</v>
      </c>
      <c r="Q569" s="2131"/>
      <c r="R569" s="2134"/>
      <c r="S569" s="2134"/>
      <c r="T569" s="2095"/>
      <c r="U569" s="2095"/>
      <c r="V569" s="2095"/>
      <c r="W569" s="2134"/>
      <c r="X569" s="2134"/>
      <c r="Y569" s="2131"/>
      <c r="Z569" s="2130">
        <v>44531</v>
      </c>
      <c r="AA569" s="2131" t="s">
        <v>10249</v>
      </c>
      <c r="AB569" s="2131"/>
      <c r="AC569" s="2131"/>
    </row>
    <row r="570" spans="1:31" ht="16.5" thickTop="1" thickBot="1">
      <c r="A570" s="498">
        <v>44420</v>
      </c>
      <c r="B570" s="232" t="s">
        <v>9642</v>
      </c>
      <c r="C570" s="232" t="s">
        <v>69</v>
      </c>
      <c r="D570" s="232" t="s">
        <v>70</v>
      </c>
      <c r="E570" s="274" t="s">
        <v>9643</v>
      </c>
      <c r="F570" s="232">
        <v>1</v>
      </c>
      <c r="G570" s="669" t="s">
        <v>9644</v>
      </c>
      <c r="H570" s="232"/>
      <c r="I570" s="232" t="s">
        <v>3237</v>
      </c>
      <c r="J570" s="232"/>
      <c r="K570" s="499">
        <v>5035780</v>
      </c>
      <c r="L570" s="232" t="s">
        <v>251</v>
      </c>
      <c r="M570" s="498">
        <v>44426</v>
      </c>
      <c r="N570" s="498">
        <v>44460</v>
      </c>
      <c r="O570" s="498">
        <v>44469</v>
      </c>
      <c r="P570" s="669" t="s">
        <v>1646</v>
      </c>
      <c r="Q570" s="232"/>
      <c r="R570" s="499">
        <v>4980016.08</v>
      </c>
      <c r="S570" s="499">
        <v>5478017.6900000004</v>
      </c>
      <c r="T570" s="1545"/>
      <c r="U570" s="1545"/>
      <c r="V570" s="1545"/>
      <c r="W570" s="682">
        <v>44469</v>
      </c>
      <c r="X570" s="499" t="s">
        <v>9974</v>
      </c>
      <c r="Y570" s="498">
        <v>44501</v>
      </c>
      <c r="Z570" s="498">
        <v>44502</v>
      </c>
      <c r="AA570" s="498">
        <v>45596</v>
      </c>
      <c r="AB570" s="498">
        <v>44648</v>
      </c>
      <c r="AC570" s="1546">
        <v>2022</v>
      </c>
      <c r="AD570" s="388">
        <v>2023</v>
      </c>
      <c r="AE570" s="388" t="s">
        <v>10202</v>
      </c>
    </row>
    <row r="571" spans="1:31" ht="15.75" thickTop="1">
      <c r="A571" s="474">
        <v>44420</v>
      </c>
      <c r="B571" s="453" t="s">
        <v>9645</v>
      </c>
      <c r="C571" s="453" t="s">
        <v>69</v>
      </c>
      <c r="D571" s="453" t="s">
        <v>70</v>
      </c>
      <c r="E571" s="473" t="s">
        <v>9646</v>
      </c>
      <c r="F571" s="453">
        <v>1</v>
      </c>
      <c r="G571" s="1420" t="s">
        <v>8343</v>
      </c>
      <c r="H571" s="453"/>
      <c r="I571" s="453" t="s">
        <v>93</v>
      </c>
      <c r="J571" s="453"/>
      <c r="K571" s="457">
        <v>43696800</v>
      </c>
      <c r="L571" s="453" t="s">
        <v>251</v>
      </c>
      <c r="M571" s="474">
        <v>44431</v>
      </c>
      <c r="N571" s="474">
        <v>44466</v>
      </c>
      <c r="O571" s="474">
        <v>44495</v>
      </c>
      <c r="P571" s="1420" t="s">
        <v>1319</v>
      </c>
      <c r="Q571" s="453"/>
      <c r="R571" s="457">
        <v>31579560</v>
      </c>
      <c r="S571" s="457">
        <v>34737516</v>
      </c>
      <c r="T571" s="1474"/>
      <c r="U571" s="1474"/>
      <c r="V571" s="1474"/>
      <c r="W571" s="570">
        <v>44495</v>
      </c>
      <c r="X571" s="457" t="s">
        <v>10177</v>
      </c>
      <c r="Y571" s="474">
        <v>44530</v>
      </c>
      <c r="Z571" s="474">
        <v>44546</v>
      </c>
      <c r="AA571" s="474">
        <v>45625</v>
      </c>
      <c r="AB571" s="453" t="s">
        <v>11373</v>
      </c>
      <c r="AC571" s="1391">
        <v>2022</v>
      </c>
      <c r="AD571" s="388">
        <v>2023</v>
      </c>
      <c r="AE571" s="388" t="s">
        <v>10481</v>
      </c>
    </row>
    <row r="572" spans="1:31" ht="15.75" thickBot="1">
      <c r="A572" s="2117">
        <v>44420</v>
      </c>
      <c r="B572" s="2118" t="s">
        <v>9645</v>
      </c>
      <c r="C572" s="2118" t="s">
        <v>69</v>
      </c>
      <c r="D572" s="2118" t="s">
        <v>70</v>
      </c>
      <c r="E572" s="2119" t="s">
        <v>9646</v>
      </c>
      <c r="F572" s="2118">
        <v>2</v>
      </c>
      <c r="G572" s="2120" t="s">
        <v>9647</v>
      </c>
      <c r="H572" s="2118"/>
      <c r="I572" s="2118" t="s">
        <v>93</v>
      </c>
      <c r="J572" s="2118"/>
      <c r="K572" s="2121">
        <v>3195881</v>
      </c>
      <c r="L572" s="2118" t="s">
        <v>251</v>
      </c>
      <c r="M572" s="2117">
        <v>44431</v>
      </c>
      <c r="N572" s="2117">
        <v>44466</v>
      </c>
      <c r="O572" s="2117">
        <v>44495</v>
      </c>
      <c r="P572" s="2120" t="s">
        <v>2548</v>
      </c>
      <c r="Q572" s="2118"/>
      <c r="R572" s="2121">
        <v>3152587.2</v>
      </c>
      <c r="S572" s="2121">
        <v>3457845.92</v>
      </c>
      <c r="T572" s="2122"/>
      <c r="U572" s="2122"/>
      <c r="V572" s="2122"/>
      <c r="W572" s="2123">
        <v>44495</v>
      </c>
      <c r="X572" s="2121" t="s">
        <v>10178</v>
      </c>
      <c r="Y572" s="2117">
        <v>44544</v>
      </c>
      <c r="Z572" s="2117">
        <v>44546</v>
      </c>
      <c r="AA572" s="2117">
        <v>45639</v>
      </c>
      <c r="AB572" s="2118" t="s">
        <v>11373</v>
      </c>
      <c r="AC572" s="2110">
        <v>2022</v>
      </c>
      <c r="AD572" s="388">
        <v>2023</v>
      </c>
      <c r="AE572" s="388" t="s">
        <v>10565</v>
      </c>
    </row>
    <row r="573" spans="1:31" ht="15.75" thickTop="1">
      <c r="A573" s="365">
        <v>44420</v>
      </c>
      <c r="B573" s="2396" t="s">
        <v>9648</v>
      </c>
      <c r="C573" s="2396" t="s">
        <v>69</v>
      </c>
      <c r="D573" s="2396" t="s">
        <v>70</v>
      </c>
      <c r="E573" s="175" t="s">
        <v>9649</v>
      </c>
      <c r="F573" s="2396">
        <v>1</v>
      </c>
      <c r="G573" s="2397" t="s">
        <v>9650</v>
      </c>
      <c r="H573" s="2396"/>
      <c r="I573" s="2396" t="s">
        <v>815</v>
      </c>
      <c r="J573" s="2396"/>
      <c r="K573" s="364">
        <v>4482965</v>
      </c>
      <c r="L573" s="2396" t="s">
        <v>251</v>
      </c>
      <c r="M573" s="365">
        <v>44426</v>
      </c>
      <c r="N573" s="365">
        <v>44461</v>
      </c>
      <c r="O573" s="365">
        <v>44482</v>
      </c>
      <c r="P573" s="2397" t="s">
        <v>2548</v>
      </c>
      <c r="Q573" s="2396"/>
      <c r="R573" s="364">
        <v>4422273.75</v>
      </c>
      <c r="S573" s="364">
        <v>4864501.13</v>
      </c>
      <c r="T573" s="1473"/>
      <c r="U573" s="1473"/>
      <c r="V573" s="1473"/>
      <c r="W573" s="681">
        <v>44482</v>
      </c>
      <c r="X573" s="364" t="s">
        <v>10055</v>
      </c>
      <c r="Y573" s="365">
        <v>44510</v>
      </c>
      <c r="Z573" s="365">
        <v>44526</v>
      </c>
      <c r="AA573" s="365">
        <v>44509</v>
      </c>
      <c r="AB573" s="365">
        <v>44648</v>
      </c>
      <c r="AC573" s="451">
        <v>2022</v>
      </c>
      <c r="AD573" s="388">
        <v>2023</v>
      </c>
      <c r="AE573" s="388" t="s">
        <v>10323</v>
      </c>
    </row>
    <row r="574" spans="1:31">
      <c r="A574" s="537">
        <v>44420</v>
      </c>
      <c r="B574" s="491" t="s">
        <v>9648</v>
      </c>
      <c r="C574" s="491" t="s">
        <v>69</v>
      </c>
      <c r="D574" s="491" t="s">
        <v>70</v>
      </c>
      <c r="E574" s="571" t="s">
        <v>9649</v>
      </c>
      <c r="F574" s="491">
        <v>2</v>
      </c>
      <c r="G574" s="495" t="s">
        <v>9651</v>
      </c>
      <c r="H574" s="491"/>
      <c r="I574" s="491" t="s">
        <v>815</v>
      </c>
      <c r="J574" s="491"/>
      <c r="K574" s="536">
        <v>100263</v>
      </c>
      <c r="L574" s="491" t="s">
        <v>251</v>
      </c>
      <c r="M574" s="537">
        <v>44426</v>
      </c>
      <c r="N574" s="537">
        <v>44461</v>
      </c>
      <c r="O574" s="537">
        <v>44482</v>
      </c>
      <c r="P574" s="495" t="s">
        <v>2548</v>
      </c>
      <c r="Q574" s="491"/>
      <c r="R574" s="536">
        <v>14849.52</v>
      </c>
      <c r="S574" s="536">
        <v>16334.47</v>
      </c>
      <c r="T574" s="1471"/>
      <c r="U574" s="1471"/>
      <c r="V574" s="1471"/>
      <c r="W574" s="573">
        <v>44482</v>
      </c>
      <c r="X574" s="536" t="s">
        <v>10056</v>
      </c>
      <c r="Y574" s="537">
        <v>44510</v>
      </c>
      <c r="Z574" s="537">
        <v>44526</v>
      </c>
      <c r="AA574" s="537">
        <v>44509</v>
      </c>
      <c r="AB574" s="537">
        <v>44648</v>
      </c>
      <c r="AC574" s="1374">
        <v>2022</v>
      </c>
      <c r="AD574" s="388">
        <v>2023</v>
      </c>
      <c r="AE574" s="388" t="s">
        <v>10323</v>
      </c>
    </row>
    <row r="575" spans="1:31">
      <c r="A575" s="510">
        <v>44420</v>
      </c>
      <c r="B575" s="506" t="s">
        <v>9648</v>
      </c>
      <c r="C575" s="506" t="s">
        <v>69</v>
      </c>
      <c r="D575" s="506" t="s">
        <v>70</v>
      </c>
      <c r="E575" s="507" t="s">
        <v>9649</v>
      </c>
      <c r="F575" s="506">
        <v>3</v>
      </c>
      <c r="G575" s="548" t="s">
        <v>9652</v>
      </c>
      <c r="H575" s="506"/>
      <c r="I575" s="506" t="s">
        <v>815</v>
      </c>
      <c r="J575" s="506"/>
      <c r="K575" s="511">
        <v>1437240</v>
      </c>
      <c r="L575" s="506" t="s">
        <v>251</v>
      </c>
      <c r="M575" s="510">
        <v>44426</v>
      </c>
      <c r="N575" s="510">
        <v>44461</v>
      </c>
      <c r="O575" s="506"/>
      <c r="P575" s="736" t="s">
        <v>304</v>
      </c>
      <c r="Q575" s="506"/>
      <c r="R575" s="511"/>
      <c r="S575" s="511"/>
      <c r="T575" s="1470"/>
      <c r="U575" s="1470"/>
      <c r="V575" s="1470"/>
      <c r="W575" s="511"/>
      <c r="X575" s="511"/>
      <c r="Y575" s="506"/>
      <c r="Z575" s="510">
        <v>44474</v>
      </c>
      <c r="AA575" s="506" t="s">
        <v>10027</v>
      </c>
      <c r="AB575" s="506"/>
      <c r="AC575" s="506"/>
    </row>
    <row r="576" spans="1:31">
      <c r="A576" s="510">
        <v>44420</v>
      </c>
      <c r="B576" s="506" t="s">
        <v>9648</v>
      </c>
      <c r="C576" s="506" t="s">
        <v>69</v>
      </c>
      <c r="D576" s="506" t="s">
        <v>70</v>
      </c>
      <c r="E576" s="507" t="s">
        <v>9649</v>
      </c>
      <c r="F576" s="506">
        <v>4</v>
      </c>
      <c r="G576" s="548" t="s">
        <v>9653</v>
      </c>
      <c r="H576" s="506"/>
      <c r="I576" s="506" t="s">
        <v>815</v>
      </c>
      <c r="J576" s="506"/>
      <c r="K576" s="511">
        <v>12470963</v>
      </c>
      <c r="L576" s="506" t="s">
        <v>251</v>
      </c>
      <c r="M576" s="510">
        <v>44426</v>
      </c>
      <c r="N576" s="510">
        <v>44461</v>
      </c>
      <c r="O576" s="506"/>
      <c r="P576" s="736" t="s">
        <v>9894</v>
      </c>
      <c r="Q576" s="2009" t="s">
        <v>10031</v>
      </c>
      <c r="R576" s="511"/>
      <c r="S576" s="511"/>
      <c r="T576" s="1470"/>
      <c r="U576" s="1470"/>
      <c r="V576" s="1470"/>
      <c r="W576" s="511"/>
      <c r="X576" s="511"/>
      <c r="Y576" s="506"/>
      <c r="Z576" s="510">
        <v>44474</v>
      </c>
      <c r="AA576" s="506" t="s">
        <v>9840</v>
      </c>
      <c r="AB576" s="506"/>
      <c r="AC576" s="506"/>
    </row>
    <row r="577" spans="1:32">
      <c r="A577" s="510">
        <v>44420</v>
      </c>
      <c r="B577" s="506" t="s">
        <v>9648</v>
      </c>
      <c r="C577" s="506" t="s">
        <v>69</v>
      </c>
      <c r="D577" s="506" t="s">
        <v>70</v>
      </c>
      <c r="E577" s="507" t="s">
        <v>9649</v>
      </c>
      <c r="F577" s="506">
        <v>5</v>
      </c>
      <c r="G577" s="548" t="s">
        <v>9654</v>
      </c>
      <c r="H577" s="506"/>
      <c r="I577" s="506" t="s">
        <v>815</v>
      </c>
      <c r="J577" s="506"/>
      <c r="K577" s="511">
        <v>368784</v>
      </c>
      <c r="L577" s="506" t="s">
        <v>251</v>
      </c>
      <c r="M577" s="510">
        <v>44426</v>
      </c>
      <c r="N577" s="510">
        <v>44461</v>
      </c>
      <c r="O577" s="506"/>
      <c r="P577" s="736" t="s">
        <v>9894</v>
      </c>
      <c r="Q577" s="2009" t="s">
        <v>10031</v>
      </c>
      <c r="R577" s="511"/>
      <c r="S577" s="511"/>
      <c r="T577" s="1470"/>
      <c r="U577" s="1470"/>
      <c r="V577" s="1470"/>
      <c r="W577" s="511"/>
      <c r="X577" s="511"/>
      <c r="Y577" s="506"/>
      <c r="Z577" s="510">
        <v>44474</v>
      </c>
      <c r="AA577" s="506" t="s">
        <v>9840</v>
      </c>
      <c r="AB577" s="506"/>
      <c r="AC577" s="506"/>
    </row>
    <row r="578" spans="1:32">
      <c r="A578" s="537">
        <v>44420</v>
      </c>
      <c r="B578" s="491" t="s">
        <v>9648</v>
      </c>
      <c r="C578" s="491" t="s">
        <v>69</v>
      </c>
      <c r="D578" s="491" t="s">
        <v>70</v>
      </c>
      <c r="E578" s="571" t="s">
        <v>9649</v>
      </c>
      <c r="F578" s="491">
        <v>6</v>
      </c>
      <c r="G578" s="495" t="s">
        <v>9655</v>
      </c>
      <c r="H578" s="491"/>
      <c r="I578" s="491" t="s">
        <v>815</v>
      </c>
      <c r="J578" s="491"/>
      <c r="K578" s="536">
        <v>3451390</v>
      </c>
      <c r="L578" s="491" t="s">
        <v>251</v>
      </c>
      <c r="M578" s="537">
        <v>44426</v>
      </c>
      <c r="N578" s="537">
        <v>44461</v>
      </c>
      <c r="O578" s="537">
        <v>44482</v>
      </c>
      <c r="P578" s="495" t="s">
        <v>1646</v>
      </c>
      <c r="Q578" s="491"/>
      <c r="R578" s="536">
        <v>2934597.9</v>
      </c>
      <c r="S578" s="536">
        <v>3228057.69</v>
      </c>
      <c r="T578" s="1471"/>
      <c r="U578" s="1471"/>
      <c r="V578" s="1471"/>
      <c r="W578" s="573">
        <v>44482</v>
      </c>
      <c r="X578" s="536" t="s">
        <v>10057</v>
      </c>
      <c r="Y578" s="537">
        <v>44504</v>
      </c>
      <c r="Z578" s="537">
        <v>44526</v>
      </c>
      <c r="AA578" s="537">
        <v>45599</v>
      </c>
      <c r="AB578" s="537">
        <v>44648</v>
      </c>
      <c r="AC578" s="1374">
        <v>2022</v>
      </c>
      <c r="AD578" s="388">
        <v>2023</v>
      </c>
      <c r="AE578" s="388" t="s">
        <v>10235</v>
      </c>
    </row>
    <row r="579" spans="1:32">
      <c r="A579" s="537">
        <v>44420</v>
      </c>
      <c r="B579" s="491" t="s">
        <v>9648</v>
      </c>
      <c r="C579" s="491" t="s">
        <v>69</v>
      </c>
      <c r="D579" s="491" t="s">
        <v>70</v>
      </c>
      <c r="E579" s="571" t="s">
        <v>9649</v>
      </c>
      <c r="F579" s="491">
        <v>7</v>
      </c>
      <c r="G579" s="495" t="s">
        <v>9656</v>
      </c>
      <c r="H579" s="491"/>
      <c r="I579" s="491" t="s">
        <v>815</v>
      </c>
      <c r="J579" s="491"/>
      <c r="K579" s="536">
        <v>8302868</v>
      </c>
      <c r="L579" s="491" t="s">
        <v>251</v>
      </c>
      <c r="M579" s="537">
        <v>44426</v>
      </c>
      <c r="N579" s="537">
        <v>44461</v>
      </c>
      <c r="O579" s="537">
        <v>44482</v>
      </c>
      <c r="P579" s="495" t="s">
        <v>576</v>
      </c>
      <c r="Q579" s="491"/>
      <c r="R579" s="536">
        <v>3370965.12</v>
      </c>
      <c r="S579" s="536">
        <v>3708061.63</v>
      </c>
      <c r="T579" s="1471"/>
      <c r="U579" s="1471"/>
      <c r="V579" s="1471"/>
      <c r="W579" s="573">
        <v>44482</v>
      </c>
      <c r="X579" s="536" t="s">
        <v>10058</v>
      </c>
      <c r="Y579" s="537">
        <v>44508</v>
      </c>
      <c r="Z579" s="537">
        <v>44526</v>
      </c>
      <c r="AA579" s="537">
        <v>45603</v>
      </c>
      <c r="AB579" s="491" t="s">
        <v>11373</v>
      </c>
      <c r="AC579" s="1374">
        <v>2022</v>
      </c>
      <c r="AD579" s="388">
        <v>2023</v>
      </c>
      <c r="AE579" s="388" t="s">
        <v>10256</v>
      </c>
    </row>
    <row r="580" spans="1:32" ht="15.75" thickBot="1">
      <c r="A580" s="416">
        <v>44420</v>
      </c>
      <c r="B580" s="411" t="s">
        <v>9648</v>
      </c>
      <c r="C580" s="411" t="s">
        <v>69</v>
      </c>
      <c r="D580" s="411" t="s">
        <v>70</v>
      </c>
      <c r="E580" s="412" t="s">
        <v>9649</v>
      </c>
      <c r="F580" s="411">
        <v>8</v>
      </c>
      <c r="G580" s="630" t="s">
        <v>9657</v>
      </c>
      <c r="H580" s="411"/>
      <c r="I580" s="411" t="s">
        <v>815</v>
      </c>
      <c r="J580" s="411"/>
      <c r="K580" s="417">
        <v>365338</v>
      </c>
      <c r="L580" s="411" t="s">
        <v>251</v>
      </c>
      <c r="M580" s="416">
        <v>44426</v>
      </c>
      <c r="N580" s="416">
        <v>44461</v>
      </c>
      <c r="O580" s="416">
        <v>44482</v>
      </c>
      <c r="P580" s="630" t="s">
        <v>1646</v>
      </c>
      <c r="Q580" s="411"/>
      <c r="R580" s="417">
        <v>365040</v>
      </c>
      <c r="S580" s="417">
        <v>401544</v>
      </c>
      <c r="T580" s="1480"/>
      <c r="U580" s="1480"/>
      <c r="V580" s="1480"/>
      <c r="W580" s="513">
        <v>44482</v>
      </c>
      <c r="X580" s="417" t="s">
        <v>10059</v>
      </c>
      <c r="Y580" s="416">
        <v>44504</v>
      </c>
      <c r="Z580" s="416">
        <v>44526</v>
      </c>
      <c r="AA580" s="416">
        <v>45599</v>
      </c>
      <c r="AB580" s="411" t="s">
        <v>11373</v>
      </c>
      <c r="AC580" s="422">
        <v>2022</v>
      </c>
      <c r="AD580" s="388">
        <v>2023</v>
      </c>
      <c r="AE580" s="388" t="s">
        <v>10235</v>
      </c>
    </row>
    <row r="581" spans="1:32" ht="15.75" thickTop="1">
      <c r="A581" s="474">
        <v>44420</v>
      </c>
      <c r="B581" s="453" t="s">
        <v>9658</v>
      </c>
      <c r="C581" s="453" t="s">
        <v>69</v>
      </c>
      <c r="D581" s="453" t="s">
        <v>70</v>
      </c>
      <c r="E581" s="473" t="s">
        <v>9659</v>
      </c>
      <c r="F581" s="453">
        <v>1</v>
      </c>
      <c r="G581" s="1420" t="s">
        <v>9660</v>
      </c>
      <c r="H581" s="453"/>
      <c r="I581" s="453" t="s">
        <v>93</v>
      </c>
      <c r="J581" s="453"/>
      <c r="K581" s="457">
        <v>31368194</v>
      </c>
      <c r="L581" s="453" t="s">
        <v>251</v>
      </c>
      <c r="M581" s="474">
        <v>44425</v>
      </c>
      <c r="N581" s="474">
        <v>44463</v>
      </c>
      <c r="O581" s="474">
        <v>44483</v>
      </c>
      <c r="P581" s="1420" t="s">
        <v>1319</v>
      </c>
      <c r="Q581" s="453"/>
      <c r="R581" s="457">
        <v>18147276</v>
      </c>
      <c r="S581" s="457">
        <v>19962003.600000001</v>
      </c>
      <c r="T581" s="1474"/>
      <c r="U581" s="1474"/>
      <c r="V581" s="1474"/>
      <c r="W581" s="570">
        <v>44483</v>
      </c>
      <c r="X581" s="457" t="s">
        <v>10071</v>
      </c>
      <c r="Y581" s="474">
        <v>44525</v>
      </c>
      <c r="Z581" s="474">
        <v>44530</v>
      </c>
      <c r="AA581" s="474">
        <v>45620</v>
      </c>
      <c r="AB581" s="474">
        <v>44648</v>
      </c>
      <c r="AC581" s="1391">
        <v>2022</v>
      </c>
      <c r="AD581" s="388">
        <v>2023</v>
      </c>
      <c r="AE581" s="388" t="s">
        <v>7965</v>
      </c>
    </row>
    <row r="582" spans="1:32">
      <c r="A582" s="2140">
        <v>44420</v>
      </c>
      <c r="B582" s="2141" t="s">
        <v>9658</v>
      </c>
      <c r="C582" s="2141" t="s">
        <v>69</v>
      </c>
      <c r="D582" s="2141" t="s">
        <v>70</v>
      </c>
      <c r="E582" s="2142" t="s">
        <v>9659</v>
      </c>
      <c r="F582" s="2141">
        <v>2</v>
      </c>
      <c r="G582" s="2143" t="s">
        <v>9661</v>
      </c>
      <c r="H582" s="2141"/>
      <c r="I582" s="2141" t="s">
        <v>93</v>
      </c>
      <c r="J582" s="2141"/>
      <c r="K582" s="2144">
        <v>8730573</v>
      </c>
      <c r="L582" s="2141" t="s">
        <v>251</v>
      </c>
      <c r="M582" s="2140">
        <v>44425</v>
      </c>
      <c r="N582" s="2140">
        <v>44463</v>
      </c>
      <c r="O582" s="2140">
        <v>44483</v>
      </c>
      <c r="P582" s="2143" t="s">
        <v>2548</v>
      </c>
      <c r="Q582" s="2141"/>
      <c r="R582" s="2144">
        <v>8730550.1099999994</v>
      </c>
      <c r="S582" s="2144">
        <v>9603605.1199999992</v>
      </c>
      <c r="T582" s="2145"/>
      <c r="U582" s="2145"/>
      <c r="V582" s="2145"/>
      <c r="W582" s="2146">
        <v>44483</v>
      </c>
      <c r="X582" s="2144" t="s">
        <v>10072</v>
      </c>
      <c r="Y582" s="2140">
        <v>44529</v>
      </c>
      <c r="Z582" s="2140">
        <v>44530</v>
      </c>
      <c r="AA582" s="2140">
        <v>45624</v>
      </c>
      <c r="AB582" s="2140">
        <v>44648</v>
      </c>
      <c r="AC582" s="2109">
        <v>2022</v>
      </c>
      <c r="AD582" s="388">
        <v>2023</v>
      </c>
      <c r="AE582" s="388" t="s">
        <v>10442</v>
      </c>
    </row>
    <row r="583" spans="1:32">
      <c r="A583" s="2140">
        <v>44420</v>
      </c>
      <c r="B583" s="2141" t="s">
        <v>9658</v>
      </c>
      <c r="C583" s="2141" t="s">
        <v>69</v>
      </c>
      <c r="D583" s="2141" t="s">
        <v>70</v>
      </c>
      <c r="E583" s="2142" t="s">
        <v>9659</v>
      </c>
      <c r="F583" s="2141">
        <v>3</v>
      </c>
      <c r="G583" s="2143" t="s">
        <v>9662</v>
      </c>
      <c r="H583" s="2141"/>
      <c r="I583" s="2141" t="s">
        <v>93</v>
      </c>
      <c r="J583" s="2141"/>
      <c r="K583" s="2144">
        <v>43022990</v>
      </c>
      <c r="L583" s="2141" t="s">
        <v>251</v>
      </c>
      <c r="M583" s="2140">
        <v>44425</v>
      </c>
      <c r="N583" s="2140">
        <v>44463</v>
      </c>
      <c r="O583" s="2140">
        <v>44483</v>
      </c>
      <c r="P583" s="2143" t="s">
        <v>2548</v>
      </c>
      <c r="Q583" s="2141"/>
      <c r="R583" s="2144">
        <v>42669432.899999999</v>
      </c>
      <c r="S583" s="2144">
        <v>46936376.189999998</v>
      </c>
      <c r="T583" s="2145"/>
      <c r="U583" s="2145"/>
      <c r="V583" s="2145"/>
      <c r="W583" s="2146">
        <v>44483</v>
      </c>
      <c r="X583" s="2144" t="s">
        <v>10073</v>
      </c>
      <c r="Y583" s="2140">
        <v>44529</v>
      </c>
      <c r="Z583" s="2140">
        <v>44530</v>
      </c>
      <c r="AA583" s="2140">
        <v>45624</v>
      </c>
      <c r="AB583" s="2140">
        <v>44648</v>
      </c>
      <c r="AC583" s="2109">
        <v>2022</v>
      </c>
      <c r="AD583" s="388">
        <v>2023</v>
      </c>
      <c r="AE583" s="388" t="s">
        <v>10442</v>
      </c>
    </row>
    <row r="584" spans="1:32" ht="15.75" thickBot="1">
      <c r="A584" s="2130">
        <v>44420</v>
      </c>
      <c r="B584" s="2131" t="s">
        <v>9658</v>
      </c>
      <c r="C584" s="2131" t="s">
        <v>69</v>
      </c>
      <c r="D584" s="2131" t="s">
        <v>70</v>
      </c>
      <c r="E584" s="2132" t="s">
        <v>9659</v>
      </c>
      <c r="F584" s="2131">
        <v>4</v>
      </c>
      <c r="G584" s="2133" t="s">
        <v>9663</v>
      </c>
      <c r="H584" s="2089"/>
      <c r="I584" s="2131" t="s">
        <v>93</v>
      </c>
      <c r="J584" s="2131"/>
      <c r="K584" s="2134">
        <v>5171688</v>
      </c>
      <c r="L584" s="2131" t="s">
        <v>251</v>
      </c>
      <c r="M584" s="2130">
        <v>44425</v>
      </c>
      <c r="N584" s="2130">
        <v>44463</v>
      </c>
      <c r="O584" s="2131"/>
      <c r="P584" s="2137" t="s">
        <v>304</v>
      </c>
      <c r="Q584" s="2131"/>
      <c r="R584" s="2134"/>
      <c r="S584" s="2134"/>
      <c r="T584" s="2095"/>
      <c r="U584" s="2095"/>
      <c r="V584" s="2095"/>
      <c r="W584" s="2134"/>
      <c r="X584" s="2134"/>
      <c r="Y584" s="2131"/>
      <c r="Z584" s="2130">
        <v>44512</v>
      </c>
      <c r="AA584" s="2131" t="s">
        <v>10075</v>
      </c>
      <c r="AB584" s="2131"/>
      <c r="AC584" s="2131"/>
    </row>
    <row r="585" spans="1:32" ht="15.75" thickTop="1">
      <c r="A585" s="470">
        <v>44412</v>
      </c>
      <c r="B585" s="466" t="s">
        <v>9669</v>
      </c>
      <c r="C585" s="466" t="s">
        <v>2434</v>
      </c>
      <c r="D585" s="466" t="s">
        <v>3204</v>
      </c>
      <c r="E585" s="467" t="s">
        <v>9670</v>
      </c>
      <c r="F585" s="466"/>
      <c r="G585" s="654"/>
      <c r="H585" s="466"/>
      <c r="I585" s="466" t="s">
        <v>642</v>
      </c>
      <c r="J585" s="466"/>
      <c r="K585" s="472">
        <v>700000</v>
      </c>
      <c r="L585" s="466" t="s">
        <v>112</v>
      </c>
      <c r="M585" s="470">
        <v>44426</v>
      </c>
      <c r="N585" s="470">
        <v>44442</v>
      </c>
      <c r="O585" s="466"/>
      <c r="P585" s="471" t="s">
        <v>4505</v>
      </c>
      <c r="Q585" s="2014" t="s">
        <v>10142</v>
      </c>
      <c r="R585" s="472"/>
      <c r="S585" s="472"/>
      <c r="T585" s="1516"/>
      <c r="U585" s="1516"/>
      <c r="V585" s="1516"/>
      <c r="W585" s="472"/>
      <c r="X585" s="472"/>
      <c r="Y585" s="466"/>
      <c r="Z585" s="470">
        <v>44482</v>
      </c>
      <c r="AA585" s="466"/>
      <c r="AB585" s="466"/>
      <c r="AC585" s="466"/>
    </row>
    <row r="586" spans="1:32">
      <c r="A586" s="537">
        <v>44420</v>
      </c>
      <c r="B586" s="491" t="s">
        <v>9672</v>
      </c>
      <c r="C586" s="491" t="s">
        <v>14</v>
      </c>
      <c r="D586" s="2409" t="s">
        <v>13</v>
      </c>
      <c r="E586" s="175" t="s">
        <v>9673</v>
      </c>
      <c r="F586" s="491"/>
      <c r="G586" s="495"/>
      <c r="H586" s="491"/>
      <c r="I586" s="491" t="s">
        <v>722</v>
      </c>
      <c r="J586" s="491"/>
      <c r="K586" s="536">
        <v>843000</v>
      </c>
      <c r="L586" s="491" t="s">
        <v>112</v>
      </c>
      <c r="M586" s="537">
        <v>44426</v>
      </c>
      <c r="N586" s="537">
        <v>44439</v>
      </c>
      <c r="O586" s="537">
        <v>44496</v>
      </c>
      <c r="P586" s="495" t="s">
        <v>10176</v>
      </c>
      <c r="Q586" s="491"/>
      <c r="R586" s="536">
        <v>453900</v>
      </c>
      <c r="S586" s="536">
        <v>549219</v>
      </c>
      <c r="T586" s="1471"/>
      <c r="U586" s="1471"/>
      <c r="V586" s="1471"/>
      <c r="W586" s="573">
        <v>44496</v>
      </c>
      <c r="X586" s="536" t="s">
        <v>10186</v>
      </c>
      <c r="Y586" s="537">
        <v>44522</v>
      </c>
      <c r="Z586" s="537">
        <v>44525</v>
      </c>
      <c r="AA586" s="537">
        <v>45067</v>
      </c>
      <c r="AB586" s="491" t="s">
        <v>11373</v>
      </c>
      <c r="AC586" s="1374">
        <v>2022</v>
      </c>
      <c r="AD586" s="388" t="s">
        <v>10387</v>
      </c>
    </row>
    <row r="587" spans="1:32" ht="30">
      <c r="A587" s="537">
        <v>44420</v>
      </c>
      <c r="B587" s="491" t="s">
        <v>9675</v>
      </c>
      <c r="C587" s="491" t="s">
        <v>58</v>
      </c>
      <c r="D587" s="491" t="s">
        <v>55</v>
      </c>
      <c r="E587" s="571" t="s">
        <v>9676</v>
      </c>
      <c r="F587" s="491"/>
      <c r="G587" s="495"/>
      <c r="H587" s="491"/>
      <c r="I587" s="491" t="s">
        <v>2747</v>
      </c>
      <c r="J587" s="491"/>
      <c r="K587" s="536">
        <v>939600</v>
      </c>
      <c r="L587" s="491" t="s">
        <v>112</v>
      </c>
      <c r="M587" s="537">
        <v>44428</v>
      </c>
      <c r="N587" s="537">
        <v>44445</v>
      </c>
      <c r="O587" s="537">
        <v>44480</v>
      </c>
      <c r="P587" s="495" t="s">
        <v>10028</v>
      </c>
      <c r="Q587" s="491"/>
      <c r="R587" s="536">
        <v>1236330</v>
      </c>
      <c r="S587" s="536">
        <v>1429881.3</v>
      </c>
      <c r="T587" s="1471"/>
      <c r="U587" s="1471"/>
      <c r="V587" s="1471"/>
      <c r="W587" s="573">
        <v>44480</v>
      </c>
      <c r="X587" s="1375" t="s">
        <v>10043</v>
      </c>
      <c r="Y587" s="537">
        <v>44494</v>
      </c>
      <c r="Z587" s="537">
        <v>44496</v>
      </c>
      <c r="AA587" s="537">
        <v>44536</v>
      </c>
      <c r="AB587" s="537">
        <v>44641</v>
      </c>
      <c r="AC587" s="1374" t="s">
        <v>1875</v>
      </c>
    </row>
    <row r="588" spans="1:32">
      <c r="A588" s="544">
        <v>44424</v>
      </c>
      <c r="B588" s="540" t="s">
        <v>9677</v>
      </c>
      <c r="C588" s="540" t="s">
        <v>52</v>
      </c>
      <c r="D588" s="540" t="s">
        <v>3089</v>
      </c>
      <c r="E588" s="541" t="s">
        <v>9678</v>
      </c>
      <c r="F588" s="540"/>
      <c r="G588" s="1402"/>
      <c r="H588" s="590"/>
      <c r="I588" s="540" t="s">
        <v>4995</v>
      </c>
      <c r="J588" s="540" t="s">
        <v>9679</v>
      </c>
      <c r="K588" s="545">
        <v>137766923.69999999</v>
      </c>
      <c r="L588" s="540" t="s">
        <v>251</v>
      </c>
      <c r="M588" s="544">
        <v>44460</v>
      </c>
      <c r="N588" s="544">
        <v>44496</v>
      </c>
      <c r="O588" s="544">
        <v>44509</v>
      </c>
      <c r="P588" s="1402" t="s">
        <v>10218</v>
      </c>
      <c r="Q588" s="540"/>
      <c r="R588" s="545">
        <v>132485529.13</v>
      </c>
      <c r="S588" s="545">
        <v>160307490.25</v>
      </c>
      <c r="T588" s="1484"/>
      <c r="U588" s="1484"/>
      <c r="V588" s="1484"/>
      <c r="W588" s="1385">
        <v>44509</v>
      </c>
      <c r="X588" s="545" t="s">
        <v>10272</v>
      </c>
      <c r="Y588" s="540"/>
      <c r="Z588" s="540"/>
      <c r="AA588" s="540"/>
      <c r="AB588" s="540"/>
      <c r="AC588" s="540"/>
    </row>
    <row r="589" spans="1:32" ht="30">
      <c r="A589" s="491" t="s">
        <v>3585</v>
      </c>
      <c r="B589" s="491" t="s">
        <v>9683</v>
      </c>
      <c r="C589" s="491" t="s">
        <v>58</v>
      </c>
      <c r="D589" s="491" t="s">
        <v>4969</v>
      </c>
      <c r="E589" s="571" t="s">
        <v>9684</v>
      </c>
      <c r="F589" s="491"/>
      <c r="G589" s="495"/>
      <c r="H589" s="491"/>
      <c r="I589" s="491" t="s">
        <v>1159</v>
      </c>
      <c r="J589" s="491" t="s">
        <v>9212</v>
      </c>
      <c r="K589" s="536">
        <v>255800</v>
      </c>
      <c r="L589" s="491" t="s">
        <v>112</v>
      </c>
      <c r="M589" s="537">
        <v>44427</v>
      </c>
      <c r="N589" s="537">
        <v>44439</v>
      </c>
      <c r="O589" s="537">
        <v>44449</v>
      </c>
      <c r="P589" s="495" t="s">
        <v>5333</v>
      </c>
      <c r="Q589" s="491"/>
      <c r="R589" s="536">
        <v>255800</v>
      </c>
      <c r="S589" s="536">
        <v>309518</v>
      </c>
      <c r="T589" s="1471"/>
      <c r="U589" s="1471"/>
      <c r="V589" s="1471"/>
      <c r="W589" s="573">
        <v>44449</v>
      </c>
      <c r="X589" s="1375" t="s">
        <v>9835</v>
      </c>
      <c r="Y589" s="537">
        <v>44470</v>
      </c>
      <c r="Z589" s="537">
        <v>44477</v>
      </c>
      <c r="AA589" s="537">
        <v>44526</v>
      </c>
      <c r="AB589" s="537">
        <v>44550</v>
      </c>
      <c r="AC589" s="1374" t="s">
        <v>9990</v>
      </c>
    </row>
    <row r="590" spans="1:32">
      <c r="A590" s="537">
        <v>44425</v>
      </c>
      <c r="B590" s="491" t="s">
        <v>9685</v>
      </c>
      <c r="C590" s="491" t="s">
        <v>2434</v>
      </c>
      <c r="D590" s="491" t="s">
        <v>219</v>
      </c>
      <c r="E590" s="571" t="s">
        <v>9686</v>
      </c>
      <c r="F590" s="491"/>
      <c r="G590" s="495"/>
      <c r="H590" s="491"/>
      <c r="I590" s="491" t="s">
        <v>9687</v>
      </c>
      <c r="J590" s="491"/>
      <c r="K590" s="536">
        <v>2653260</v>
      </c>
      <c r="L590" s="491" t="s">
        <v>216</v>
      </c>
      <c r="M590" s="537">
        <v>44433</v>
      </c>
      <c r="N590" s="537">
        <v>44452</v>
      </c>
      <c r="O590" s="537">
        <v>44474</v>
      </c>
      <c r="P590" s="495" t="s">
        <v>9987</v>
      </c>
      <c r="Q590" s="491"/>
      <c r="R590" s="536">
        <v>2492808.5</v>
      </c>
      <c r="S590" s="536">
        <v>3016298.29</v>
      </c>
      <c r="T590" s="1471"/>
      <c r="U590" s="1471"/>
      <c r="V590" s="1471"/>
      <c r="W590" s="573">
        <v>44474</v>
      </c>
      <c r="X590" s="536" t="s">
        <v>10026</v>
      </c>
      <c r="Y590" s="537">
        <v>44501</v>
      </c>
      <c r="Z590" s="537">
        <v>44510</v>
      </c>
      <c r="AA590" s="537">
        <v>45961</v>
      </c>
      <c r="AB590" s="537">
        <v>44642</v>
      </c>
      <c r="AC590" s="1374">
        <v>2022</v>
      </c>
      <c r="AD590" s="388">
        <v>2023</v>
      </c>
      <c r="AE590" s="388">
        <v>2024</v>
      </c>
      <c r="AF590" s="388" t="s">
        <v>10201</v>
      </c>
    </row>
    <row r="591" spans="1:32" ht="30">
      <c r="A591" s="464">
        <v>44425</v>
      </c>
      <c r="B591" s="406" t="s">
        <v>9688</v>
      </c>
      <c r="C591" s="406" t="s">
        <v>2434</v>
      </c>
      <c r="D591" s="406" t="s">
        <v>219</v>
      </c>
      <c r="E591" s="462" t="s">
        <v>9689</v>
      </c>
      <c r="F591" s="406"/>
      <c r="G591" s="1425"/>
      <c r="H591" s="1437"/>
      <c r="I591" s="2376" t="s">
        <v>9712</v>
      </c>
      <c r="J591" s="406"/>
      <c r="K591" s="465">
        <v>55920000</v>
      </c>
      <c r="L591" s="406" t="s">
        <v>251</v>
      </c>
      <c r="M591" s="464">
        <v>44431</v>
      </c>
      <c r="N591" s="464">
        <v>44489</v>
      </c>
      <c r="O591" s="406"/>
      <c r="P591" s="1425" t="s">
        <v>10609</v>
      </c>
      <c r="Q591" s="406"/>
      <c r="R591" s="465">
        <v>41146779</v>
      </c>
      <c r="S591" s="465">
        <v>49363486.590000004</v>
      </c>
      <c r="T591" s="1490"/>
      <c r="U591" s="1490"/>
      <c r="V591" s="1490"/>
      <c r="W591" s="465"/>
      <c r="X591" s="465"/>
      <c r="Y591" s="406"/>
      <c r="Z591" s="406"/>
      <c r="AA591" s="2431" t="s">
        <v>10509</v>
      </c>
      <c r="AB591" s="406"/>
      <c r="AC591" s="406"/>
    </row>
    <row r="592" spans="1:32" ht="30.75" thickBot="1">
      <c r="A592" s="510">
        <v>44442</v>
      </c>
      <c r="B592" s="506" t="s">
        <v>9784</v>
      </c>
      <c r="C592" s="506" t="s">
        <v>2712</v>
      </c>
      <c r="D592" s="506" t="s">
        <v>2731</v>
      </c>
      <c r="E592" s="1408" t="s">
        <v>6559</v>
      </c>
      <c r="F592" s="506"/>
      <c r="G592" s="548"/>
      <c r="H592" s="506"/>
      <c r="I592" s="506" t="s">
        <v>6555</v>
      </c>
      <c r="J592" s="506"/>
      <c r="K592" s="511">
        <v>750000</v>
      </c>
      <c r="L592" s="506" t="s">
        <v>112</v>
      </c>
      <c r="M592" s="510">
        <v>44445</v>
      </c>
      <c r="N592" s="510">
        <v>44449</v>
      </c>
      <c r="O592" s="506"/>
      <c r="P592" s="736" t="s">
        <v>9851</v>
      </c>
      <c r="Q592" s="1985" t="s">
        <v>9867</v>
      </c>
      <c r="R592" s="511"/>
      <c r="S592" s="511"/>
      <c r="T592" s="1470"/>
      <c r="U592" s="1470"/>
      <c r="V592" s="1470"/>
      <c r="W592" s="511"/>
      <c r="X592" s="511"/>
      <c r="Y592" s="506"/>
      <c r="Z592" s="510">
        <v>44454</v>
      </c>
      <c r="AA592" s="506"/>
      <c r="AB592" s="506"/>
      <c r="AC592" s="506"/>
    </row>
    <row r="593" spans="1:43" ht="30.75" thickTop="1">
      <c r="A593" s="428">
        <v>44427</v>
      </c>
      <c r="B593" s="425" t="s">
        <v>9693</v>
      </c>
      <c r="C593" s="425" t="s">
        <v>58</v>
      </c>
      <c r="D593" s="425" t="s">
        <v>4969</v>
      </c>
      <c r="E593" s="426" t="s">
        <v>461</v>
      </c>
      <c r="F593" s="425">
        <v>1</v>
      </c>
      <c r="G593" s="1371" t="s">
        <v>9695</v>
      </c>
      <c r="H593" s="583"/>
      <c r="I593" s="425" t="s">
        <v>462</v>
      </c>
      <c r="J593" s="425" t="s">
        <v>9701</v>
      </c>
      <c r="K593" s="429">
        <v>1651500</v>
      </c>
      <c r="L593" s="425" t="s">
        <v>251</v>
      </c>
      <c r="M593" s="428">
        <v>44475</v>
      </c>
      <c r="N593" s="428">
        <v>44509</v>
      </c>
      <c r="O593" s="428">
        <v>44546</v>
      </c>
      <c r="P593" s="1371" t="s">
        <v>6756</v>
      </c>
      <c r="Q593" s="425"/>
      <c r="R593" s="429">
        <v>1650700</v>
      </c>
      <c r="S593" s="429">
        <v>1997347</v>
      </c>
      <c r="T593" s="1483"/>
      <c r="U593" s="1483"/>
      <c r="V593" s="1483"/>
      <c r="W593" s="1384">
        <v>44546</v>
      </c>
      <c r="X593" s="2031" t="s">
        <v>10579</v>
      </c>
      <c r="Y593" s="425"/>
      <c r="Z593" s="425"/>
      <c r="AA593" s="425"/>
      <c r="AB593" s="425"/>
      <c r="AC593" s="425"/>
    </row>
    <row r="594" spans="1:43" ht="30">
      <c r="A594" s="2153">
        <v>44427</v>
      </c>
      <c r="B594" s="2154" t="s">
        <v>9693</v>
      </c>
      <c r="C594" s="2154" t="s">
        <v>9694</v>
      </c>
      <c r="D594" s="2154" t="s">
        <v>4969</v>
      </c>
      <c r="E594" s="2155" t="s">
        <v>461</v>
      </c>
      <c r="F594" s="2154">
        <v>2</v>
      </c>
      <c r="G594" s="2156" t="s">
        <v>9710</v>
      </c>
      <c r="H594" s="2085"/>
      <c r="I594" s="2154" t="s">
        <v>462</v>
      </c>
      <c r="J594" s="2154" t="s">
        <v>9698</v>
      </c>
      <c r="K594" s="2157">
        <v>2035000</v>
      </c>
      <c r="L594" s="2154" t="s">
        <v>251</v>
      </c>
      <c r="M594" s="2153">
        <v>44475</v>
      </c>
      <c r="N594" s="2153">
        <v>44509</v>
      </c>
      <c r="O594" s="2153">
        <v>44546</v>
      </c>
      <c r="P594" s="2156" t="s">
        <v>383</v>
      </c>
      <c r="Q594" s="2154"/>
      <c r="R594" s="2157">
        <v>1995260</v>
      </c>
      <c r="S594" s="2157">
        <v>2414264.6</v>
      </c>
      <c r="T594" s="2094"/>
      <c r="U594" s="2094"/>
      <c r="V594" s="2094"/>
      <c r="W594" s="2160">
        <v>44546</v>
      </c>
      <c r="X594" s="2326" t="s">
        <v>10580</v>
      </c>
      <c r="Y594" s="2154"/>
      <c r="Z594" s="2154"/>
      <c r="AA594" s="2154"/>
      <c r="AB594" s="2154"/>
      <c r="AC594" s="2154"/>
    </row>
    <row r="595" spans="1:43" ht="30">
      <c r="A595" s="2153">
        <v>44427</v>
      </c>
      <c r="B595" s="2154" t="s">
        <v>9693</v>
      </c>
      <c r="C595" s="2154" t="s">
        <v>9694</v>
      </c>
      <c r="D595" s="2154" t="s">
        <v>4969</v>
      </c>
      <c r="E595" s="2155" t="s">
        <v>461</v>
      </c>
      <c r="F595" s="2154">
        <v>3</v>
      </c>
      <c r="G595" s="2156" t="s">
        <v>9696</v>
      </c>
      <c r="H595" s="2085"/>
      <c r="I595" s="2154" t="s">
        <v>462</v>
      </c>
      <c r="J595" s="2154" t="s">
        <v>9699</v>
      </c>
      <c r="K595" s="2157">
        <v>4194500</v>
      </c>
      <c r="L595" s="2154" t="s">
        <v>251</v>
      </c>
      <c r="M595" s="2153">
        <v>44475</v>
      </c>
      <c r="N595" s="2153">
        <v>44509</v>
      </c>
      <c r="O595" s="2153">
        <v>44546</v>
      </c>
      <c r="P595" s="2156" t="s">
        <v>383</v>
      </c>
      <c r="Q595" s="2154"/>
      <c r="R595" s="2157">
        <v>4180160</v>
      </c>
      <c r="S595" s="2157">
        <v>5057993.5999999996</v>
      </c>
      <c r="T595" s="2094"/>
      <c r="U595" s="2094"/>
      <c r="V595" s="2094"/>
      <c r="W595" s="2160">
        <v>44546</v>
      </c>
      <c r="X595" s="2326" t="s">
        <v>10581</v>
      </c>
      <c r="Y595" s="2154"/>
      <c r="Z595" s="2154"/>
      <c r="AA595" s="2154"/>
      <c r="AB595" s="2154"/>
      <c r="AC595" s="2154"/>
    </row>
    <row r="596" spans="1:43" ht="30">
      <c r="A596" s="2153">
        <v>44427</v>
      </c>
      <c r="B596" s="2154" t="s">
        <v>9693</v>
      </c>
      <c r="C596" s="2154" t="s">
        <v>58</v>
      </c>
      <c r="D596" s="2154" t="s">
        <v>4969</v>
      </c>
      <c r="E596" s="2155" t="s">
        <v>461</v>
      </c>
      <c r="F596" s="2154">
        <v>4</v>
      </c>
      <c r="G596" s="2156" t="s">
        <v>9697</v>
      </c>
      <c r="H596" s="2085"/>
      <c r="I596" s="2154" t="s">
        <v>462</v>
      </c>
      <c r="J596" s="2154" t="s">
        <v>9700</v>
      </c>
      <c r="K596" s="2157">
        <v>125000</v>
      </c>
      <c r="L596" s="2154" t="s">
        <v>251</v>
      </c>
      <c r="M596" s="2153">
        <v>44475</v>
      </c>
      <c r="N596" s="2153">
        <v>44509</v>
      </c>
      <c r="O596" s="2153">
        <v>44546</v>
      </c>
      <c r="P596" s="2156" t="s">
        <v>8895</v>
      </c>
      <c r="Q596" s="2154"/>
      <c r="R596" s="2157">
        <v>108000</v>
      </c>
      <c r="S596" s="2157">
        <v>130680</v>
      </c>
      <c r="T596" s="2094"/>
      <c r="U596" s="2094"/>
      <c r="V596" s="2094"/>
      <c r="W596" s="2160">
        <v>44546</v>
      </c>
      <c r="X596" s="2326" t="s">
        <v>10582</v>
      </c>
      <c r="Y596" s="2154"/>
      <c r="Z596" s="2154"/>
      <c r="AA596" s="2154"/>
      <c r="AB596" s="2154"/>
      <c r="AC596" s="2154"/>
    </row>
    <row r="597" spans="1:43" ht="30.75" thickBot="1">
      <c r="A597" s="2152">
        <v>44427</v>
      </c>
      <c r="B597" s="2297" t="s">
        <v>9693</v>
      </c>
      <c r="C597" s="2297" t="s">
        <v>58</v>
      </c>
      <c r="D597" s="2297" t="s">
        <v>4969</v>
      </c>
      <c r="E597" s="2298" t="s">
        <v>461</v>
      </c>
      <c r="F597" s="2297">
        <v>5</v>
      </c>
      <c r="G597" s="2300" t="s">
        <v>10475</v>
      </c>
      <c r="H597" s="2089"/>
      <c r="I597" s="2297" t="s">
        <v>462</v>
      </c>
      <c r="J597" s="2297" t="s">
        <v>9702</v>
      </c>
      <c r="K597" s="2299">
        <v>1770000</v>
      </c>
      <c r="L597" s="2297" t="s">
        <v>251</v>
      </c>
      <c r="M597" s="2152">
        <v>44475</v>
      </c>
      <c r="N597" s="2152">
        <v>44509</v>
      </c>
      <c r="O597" s="2152">
        <v>44546</v>
      </c>
      <c r="P597" s="2300" t="s">
        <v>5914</v>
      </c>
      <c r="Q597" s="2297"/>
      <c r="R597" s="2299">
        <v>1136163.99</v>
      </c>
      <c r="S597" s="2299">
        <v>1374758.43</v>
      </c>
      <c r="T597" s="2095"/>
      <c r="U597" s="2095"/>
      <c r="V597" s="2095"/>
      <c r="W597" s="2315">
        <v>44546</v>
      </c>
      <c r="X597" s="2341" t="s">
        <v>10583</v>
      </c>
      <c r="Y597" s="2297"/>
      <c r="Z597" s="2297"/>
      <c r="AA597" s="2297"/>
      <c r="AB597" s="2297"/>
      <c r="AC597" s="2297"/>
    </row>
    <row r="598" spans="1:43" ht="30.75" thickTop="1">
      <c r="A598" s="474">
        <v>44427</v>
      </c>
      <c r="B598" s="453" t="s">
        <v>9703</v>
      </c>
      <c r="C598" s="453" t="s">
        <v>9694</v>
      </c>
      <c r="D598" s="453" t="s">
        <v>4969</v>
      </c>
      <c r="E598" s="473" t="s">
        <v>9704</v>
      </c>
      <c r="F598" s="453">
        <v>1</v>
      </c>
      <c r="G598" s="1420" t="s">
        <v>9705</v>
      </c>
      <c r="H598" s="453"/>
      <c r="I598" s="453" t="s">
        <v>77</v>
      </c>
      <c r="J598" s="453" t="s">
        <v>9707</v>
      </c>
      <c r="K598" s="457">
        <v>2585185</v>
      </c>
      <c r="L598" s="453" t="s">
        <v>251</v>
      </c>
      <c r="M598" s="474">
        <v>44463</v>
      </c>
      <c r="N598" s="474">
        <v>44496</v>
      </c>
      <c r="O598" s="474">
        <v>44525</v>
      </c>
      <c r="P598" s="1420" t="s">
        <v>8542</v>
      </c>
      <c r="Q598" s="453"/>
      <c r="R598" s="457">
        <v>1325695</v>
      </c>
      <c r="S598" s="457">
        <v>1604090.75</v>
      </c>
      <c r="T598" s="1474"/>
      <c r="U598" s="1474"/>
      <c r="V598" s="1474"/>
      <c r="W598" s="570">
        <v>44525</v>
      </c>
      <c r="X598" s="1387" t="s">
        <v>10429</v>
      </c>
      <c r="Y598" s="474">
        <v>44557</v>
      </c>
      <c r="Z598" s="474">
        <v>44568</v>
      </c>
      <c r="AA598" s="474">
        <v>44627</v>
      </c>
      <c r="AB598" s="474">
        <v>44684</v>
      </c>
      <c r="AC598" s="1391" t="s">
        <v>1875</v>
      </c>
    </row>
    <row r="599" spans="1:43" ht="30.75" thickBot="1">
      <c r="A599" s="2117">
        <v>44427</v>
      </c>
      <c r="B599" s="2118" t="s">
        <v>9703</v>
      </c>
      <c r="C599" s="2118" t="s">
        <v>58</v>
      </c>
      <c r="D599" s="2118" t="s">
        <v>4969</v>
      </c>
      <c r="E599" s="2119" t="s">
        <v>9704</v>
      </c>
      <c r="F599" s="2118">
        <v>2</v>
      </c>
      <c r="G599" s="2120" t="s">
        <v>9708</v>
      </c>
      <c r="H599" s="2118"/>
      <c r="I599" s="2118" t="s">
        <v>77</v>
      </c>
      <c r="J599" s="2118" t="s">
        <v>9706</v>
      </c>
      <c r="K599" s="2121">
        <v>255000</v>
      </c>
      <c r="L599" s="2118" t="s">
        <v>251</v>
      </c>
      <c r="M599" s="2117">
        <v>44463</v>
      </c>
      <c r="N599" s="2117">
        <v>44496</v>
      </c>
      <c r="O599" s="2117">
        <v>44525</v>
      </c>
      <c r="P599" s="2120" t="s">
        <v>8542</v>
      </c>
      <c r="Q599" s="2118"/>
      <c r="R599" s="2121">
        <v>181956</v>
      </c>
      <c r="S599" s="2121">
        <v>220166.8</v>
      </c>
      <c r="T599" s="2122"/>
      <c r="U599" s="2122"/>
      <c r="V599" s="2122"/>
      <c r="W599" s="2123">
        <v>44525</v>
      </c>
      <c r="X599" s="2246" t="s">
        <v>10430</v>
      </c>
      <c r="Y599" s="2117">
        <v>44557</v>
      </c>
      <c r="Z599" s="2117">
        <v>44568</v>
      </c>
      <c r="AA599" s="2117">
        <v>44627</v>
      </c>
      <c r="AB599" s="2117">
        <v>44684</v>
      </c>
      <c r="AC599" s="2110" t="s">
        <v>1875</v>
      </c>
    </row>
    <row r="600" spans="1:43" ht="15.75" thickTop="1">
      <c r="A600" s="428">
        <v>44425</v>
      </c>
      <c r="B600" s="425" t="s">
        <v>9727</v>
      </c>
      <c r="C600" s="425" t="s">
        <v>1032</v>
      </c>
      <c r="D600" s="425" t="s">
        <v>361</v>
      </c>
      <c r="E600" s="426" t="s">
        <v>9728</v>
      </c>
      <c r="F600" s="425">
        <v>1</v>
      </c>
      <c r="G600" s="1371" t="s">
        <v>8608</v>
      </c>
      <c r="H600" s="583"/>
      <c r="I600" s="425" t="s">
        <v>806</v>
      </c>
      <c r="J600" s="425" t="s">
        <v>9729</v>
      </c>
      <c r="K600" s="429">
        <v>4600000</v>
      </c>
      <c r="L600" s="425" t="s">
        <v>251</v>
      </c>
      <c r="M600" s="428">
        <v>44445</v>
      </c>
      <c r="N600" s="428">
        <v>44480</v>
      </c>
      <c r="O600" s="428">
        <v>44524</v>
      </c>
      <c r="P600" s="1371" t="s">
        <v>10343</v>
      </c>
      <c r="Q600" s="425"/>
      <c r="R600" s="429">
        <v>3089025</v>
      </c>
      <c r="S600" s="429">
        <v>3737720.25</v>
      </c>
      <c r="T600" s="1483"/>
      <c r="U600" s="1483"/>
      <c r="V600" s="1483"/>
      <c r="W600" s="1384">
        <v>44524</v>
      </c>
      <c r="X600" s="429" t="s">
        <v>10408</v>
      </c>
      <c r="Y600" s="425"/>
      <c r="Z600" s="425"/>
      <c r="AA600" s="425"/>
      <c r="AB600" s="425"/>
      <c r="AC600" s="425"/>
    </row>
    <row r="601" spans="1:43" ht="15.75" thickBot="1">
      <c r="A601" s="2152">
        <v>44425</v>
      </c>
      <c r="B601" s="2297" t="s">
        <v>9727</v>
      </c>
      <c r="C601" s="2297" t="s">
        <v>1032</v>
      </c>
      <c r="D601" s="2297" t="s">
        <v>361</v>
      </c>
      <c r="E601" s="2298" t="s">
        <v>9728</v>
      </c>
      <c r="F601" s="2297">
        <v>2</v>
      </c>
      <c r="G601" s="2300" t="s">
        <v>9730</v>
      </c>
      <c r="H601" s="2089"/>
      <c r="I601" s="2297" t="s">
        <v>806</v>
      </c>
      <c r="J601" s="2297"/>
      <c r="K601" s="2299">
        <v>1600000</v>
      </c>
      <c r="L601" s="2297" t="s">
        <v>251</v>
      </c>
      <c r="M601" s="2152">
        <v>44445</v>
      </c>
      <c r="N601" s="2152">
        <v>44480</v>
      </c>
      <c r="O601" s="2152">
        <v>44524</v>
      </c>
      <c r="P601" s="2300" t="s">
        <v>10344</v>
      </c>
      <c r="Q601" s="2297"/>
      <c r="R601" s="2299">
        <v>1127500</v>
      </c>
      <c r="S601" s="2299">
        <v>1364275</v>
      </c>
      <c r="T601" s="2095"/>
      <c r="U601" s="2095"/>
      <c r="V601" s="2095"/>
      <c r="W601" s="2315">
        <v>44524</v>
      </c>
      <c r="X601" s="2299" t="s">
        <v>10409</v>
      </c>
      <c r="Y601" s="2297"/>
      <c r="Z601" s="2297"/>
      <c r="AA601" s="2297"/>
      <c r="AB601" s="2297"/>
      <c r="AC601" s="2297"/>
    </row>
    <row r="602" spans="1:43" ht="15.75" thickTop="1">
      <c r="A602" s="840">
        <v>44425</v>
      </c>
      <c r="B602" s="423" t="s">
        <v>9731</v>
      </c>
      <c r="C602" s="423" t="s">
        <v>2434</v>
      </c>
      <c r="D602" s="423" t="s">
        <v>918</v>
      </c>
      <c r="E602" s="837" t="s">
        <v>9732</v>
      </c>
      <c r="F602" s="423"/>
      <c r="G602" s="1422"/>
      <c r="H602" s="576"/>
      <c r="I602" s="423" t="s">
        <v>642</v>
      </c>
      <c r="J602" s="423"/>
      <c r="K602" s="841">
        <v>8723460</v>
      </c>
      <c r="L602" s="423" t="s">
        <v>251</v>
      </c>
      <c r="M602" s="840">
        <v>44462</v>
      </c>
      <c r="N602" s="840">
        <v>44495</v>
      </c>
      <c r="O602" s="840">
        <v>44539</v>
      </c>
      <c r="P602" s="1422" t="s">
        <v>6763</v>
      </c>
      <c r="Q602" s="423"/>
      <c r="R602" s="841">
        <v>8919795</v>
      </c>
      <c r="S602" s="841">
        <v>10792951.949999999</v>
      </c>
      <c r="T602" s="1489"/>
      <c r="U602" s="1489"/>
      <c r="V602" s="1489"/>
      <c r="W602" s="1392">
        <v>44539</v>
      </c>
      <c r="X602" s="841" t="s">
        <v>10544</v>
      </c>
      <c r="Y602" s="423"/>
      <c r="Z602" s="423"/>
      <c r="AA602" s="423" t="s">
        <v>10365</v>
      </c>
      <c r="AB602" s="423"/>
      <c r="AC602" s="423"/>
    </row>
    <row r="603" spans="1:43">
      <c r="A603" s="510">
        <v>44439</v>
      </c>
      <c r="B603" s="506" t="s">
        <v>9743</v>
      </c>
      <c r="C603" s="506" t="s">
        <v>69</v>
      </c>
      <c r="D603" s="506" t="s">
        <v>70</v>
      </c>
      <c r="E603" s="507" t="s">
        <v>9744</v>
      </c>
      <c r="F603" s="506"/>
      <c r="G603" s="548"/>
      <c r="H603" s="590"/>
      <c r="I603" s="506" t="s">
        <v>42</v>
      </c>
      <c r="J603" s="506"/>
      <c r="K603" s="511">
        <v>1888200</v>
      </c>
      <c r="L603" s="506" t="s">
        <v>112</v>
      </c>
      <c r="M603" s="510">
        <v>44440</v>
      </c>
      <c r="N603" s="510">
        <v>44446</v>
      </c>
      <c r="O603" s="506"/>
      <c r="P603" s="736" t="s">
        <v>9147</v>
      </c>
      <c r="Q603" s="514" t="s">
        <v>9879</v>
      </c>
      <c r="R603" s="511"/>
      <c r="S603" s="511"/>
      <c r="T603" s="1484"/>
      <c r="U603" s="1484"/>
      <c r="V603" s="1484"/>
      <c r="W603" s="511"/>
      <c r="X603" s="511"/>
      <c r="Y603" s="506"/>
      <c r="Z603" s="510">
        <v>44460</v>
      </c>
      <c r="AA603" s="506"/>
      <c r="AB603" s="506"/>
      <c r="AC603" s="506"/>
    </row>
    <row r="604" spans="1:43" s="390" customFormat="1">
      <c r="A604" s="2349">
        <v>44425</v>
      </c>
      <c r="B604" s="2350" t="s">
        <v>9748</v>
      </c>
      <c r="C604" s="2350" t="s">
        <v>4997</v>
      </c>
      <c r="D604" s="2350" t="s">
        <v>7475</v>
      </c>
      <c r="E604" s="2351" t="s">
        <v>9749</v>
      </c>
      <c r="F604" s="2351"/>
      <c r="G604" s="2352"/>
      <c r="H604" s="2350"/>
      <c r="I604" s="2350" t="s">
        <v>498</v>
      </c>
      <c r="J604" s="2350"/>
      <c r="K604" s="2353">
        <v>3000000</v>
      </c>
      <c r="L604" s="2350" t="s">
        <v>112</v>
      </c>
      <c r="M604" s="2349"/>
      <c r="N604" s="2349"/>
      <c r="O604" s="2350"/>
      <c r="P604" s="2354" t="s">
        <v>9952</v>
      </c>
      <c r="Q604" s="2180" t="s">
        <v>9953</v>
      </c>
      <c r="R604" s="2353"/>
      <c r="S604" s="2353"/>
      <c r="T604" s="2355"/>
      <c r="U604" s="2355"/>
      <c r="V604" s="2355"/>
      <c r="W604" s="2353"/>
      <c r="X604" s="2353"/>
      <c r="Y604" s="2350"/>
      <c r="Z604" s="2350"/>
      <c r="AA604" s="2350"/>
      <c r="AB604" s="2350"/>
      <c r="AC604" s="2350"/>
      <c r="AD604" s="360"/>
      <c r="AE604" s="360"/>
      <c r="AF604" s="360"/>
      <c r="AG604" s="360"/>
      <c r="AH604" s="360"/>
      <c r="AI604" s="360"/>
      <c r="AJ604" s="360"/>
      <c r="AK604" s="360"/>
      <c r="AL604" s="360"/>
      <c r="AM604" s="360"/>
      <c r="AN604" s="360"/>
      <c r="AO604" s="360"/>
      <c r="AP604" s="360"/>
      <c r="AQ604" s="360"/>
    </row>
    <row r="605" spans="1:43" s="390" customFormat="1">
      <c r="A605" s="2140" t="s">
        <v>3585</v>
      </c>
      <c r="B605" s="2141" t="s">
        <v>9750</v>
      </c>
      <c r="C605" s="2141" t="s">
        <v>2111</v>
      </c>
      <c r="D605" s="2141" t="s">
        <v>9080</v>
      </c>
      <c r="E605" s="2142" t="s">
        <v>9751</v>
      </c>
      <c r="F605" s="2142"/>
      <c r="G605" s="2143"/>
      <c r="H605" s="2141"/>
      <c r="I605" s="2141" t="s">
        <v>2824</v>
      </c>
      <c r="J605" s="2141"/>
      <c r="K605" s="2144">
        <v>1998000</v>
      </c>
      <c r="L605" s="2141" t="s">
        <v>112</v>
      </c>
      <c r="M605" s="2140">
        <v>44442</v>
      </c>
      <c r="N605" s="2140">
        <v>44452</v>
      </c>
      <c r="O605" s="2140">
        <v>44462</v>
      </c>
      <c r="P605" s="2143" t="s">
        <v>3598</v>
      </c>
      <c r="Q605" s="2141"/>
      <c r="R605" s="2144">
        <v>1990701</v>
      </c>
      <c r="S605" s="2144">
        <v>2408748.21</v>
      </c>
      <c r="T605" s="2145"/>
      <c r="U605" s="2145"/>
      <c r="V605" s="2145"/>
      <c r="W605" s="2146">
        <v>44462</v>
      </c>
      <c r="X605" s="2144" t="s">
        <v>9924</v>
      </c>
      <c r="Y605" s="2140">
        <v>44475</v>
      </c>
      <c r="Z605" s="2140">
        <v>44480</v>
      </c>
      <c r="AA605" s="2140">
        <v>44839</v>
      </c>
      <c r="AB605" s="2140">
        <v>44643</v>
      </c>
      <c r="AC605" s="2109" t="s">
        <v>10030</v>
      </c>
      <c r="AD605" s="360"/>
      <c r="AE605" s="360"/>
      <c r="AF605" s="360"/>
      <c r="AG605" s="360"/>
      <c r="AH605" s="360"/>
      <c r="AI605" s="360"/>
      <c r="AJ605" s="360"/>
      <c r="AK605" s="360"/>
      <c r="AL605" s="360"/>
      <c r="AM605" s="360"/>
      <c r="AN605" s="360"/>
      <c r="AO605" s="360"/>
      <c r="AP605" s="360"/>
      <c r="AQ605" s="360"/>
    </row>
    <row r="606" spans="1:43" s="390" customFormat="1">
      <c r="A606" s="2124" t="s">
        <v>3585</v>
      </c>
      <c r="B606" s="2125" t="s">
        <v>9753</v>
      </c>
      <c r="C606" s="2125" t="s">
        <v>4997</v>
      </c>
      <c r="D606" s="2125" t="s">
        <v>7475</v>
      </c>
      <c r="E606" s="2126" t="s">
        <v>9754</v>
      </c>
      <c r="F606" s="2126"/>
      <c r="G606" s="2127"/>
      <c r="H606" s="2125"/>
      <c r="I606" s="2125" t="s">
        <v>498</v>
      </c>
      <c r="J606" s="2125"/>
      <c r="K606" s="2128">
        <v>2200000</v>
      </c>
      <c r="L606" s="2125" t="s">
        <v>112</v>
      </c>
      <c r="M606" s="2124">
        <v>44446</v>
      </c>
      <c r="N606" s="2124">
        <v>44455</v>
      </c>
      <c r="O606" s="2125"/>
      <c r="P606" s="2342" t="s">
        <v>304</v>
      </c>
      <c r="Q606" s="2275" t="s">
        <v>10140</v>
      </c>
      <c r="R606" s="2128"/>
      <c r="S606" s="2128"/>
      <c r="T606" s="2129"/>
      <c r="U606" s="2129"/>
      <c r="V606" s="2129"/>
      <c r="W606" s="2128"/>
      <c r="X606" s="2128"/>
      <c r="Y606" s="2125"/>
      <c r="Z606" s="2124">
        <v>44456</v>
      </c>
      <c r="AA606" s="2125"/>
      <c r="AB606" s="2125"/>
      <c r="AC606" s="2125"/>
      <c r="AD606" s="360"/>
      <c r="AE606" s="360"/>
      <c r="AF606" s="360"/>
      <c r="AG606" s="360"/>
      <c r="AH606" s="360"/>
      <c r="AI606" s="360"/>
      <c r="AJ606" s="360"/>
      <c r="AK606" s="360"/>
      <c r="AL606" s="360"/>
      <c r="AM606" s="360"/>
      <c r="AN606" s="360"/>
      <c r="AO606" s="360"/>
      <c r="AP606" s="360"/>
      <c r="AQ606" s="360"/>
    </row>
    <row r="607" spans="1:43" s="390" customFormat="1" ht="30">
      <c r="A607" s="2140" t="s">
        <v>3585</v>
      </c>
      <c r="B607" s="2141" t="s">
        <v>9756</v>
      </c>
      <c r="C607" s="2141" t="s">
        <v>58</v>
      </c>
      <c r="D607" s="2141" t="s">
        <v>4969</v>
      </c>
      <c r="E607" s="2142" t="s">
        <v>9606</v>
      </c>
      <c r="F607" s="2142"/>
      <c r="G607" s="2143"/>
      <c r="H607" s="2141"/>
      <c r="I607" s="2141" t="s">
        <v>730</v>
      </c>
      <c r="J607" s="2141" t="s">
        <v>9757</v>
      </c>
      <c r="K607" s="2144">
        <v>133000</v>
      </c>
      <c r="L607" s="2141" t="s">
        <v>112</v>
      </c>
      <c r="M607" s="2140">
        <v>44442</v>
      </c>
      <c r="N607" s="2140">
        <v>44455</v>
      </c>
      <c r="O607" s="2140">
        <v>44470</v>
      </c>
      <c r="P607" s="2143" t="s">
        <v>9936</v>
      </c>
      <c r="Q607" s="2141"/>
      <c r="R607" s="2144">
        <v>114414</v>
      </c>
      <c r="S607" s="2144">
        <v>138440.94</v>
      </c>
      <c r="T607" s="2145"/>
      <c r="U607" s="2145"/>
      <c r="V607" s="2145"/>
      <c r="W607" s="2146">
        <v>44470</v>
      </c>
      <c r="X607" s="2260" t="s">
        <v>9996</v>
      </c>
      <c r="Y607" s="2140">
        <v>44501</v>
      </c>
      <c r="Z607" s="2140">
        <v>44504</v>
      </c>
      <c r="AA607" s="2140">
        <v>44557</v>
      </c>
      <c r="AB607" s="2140">
        <v>44592</v>
      </c>
      <c r="AC607" s="2109" t="s">
        <v>1875</v>
      </c>
      <c r="AD607" s="360"/>
      <c r="AE607" s="360"/>
      <c r="AF607" s="360"/>
      <c r="AG607" s="360"/>
      <c r="AH607" s="360"/>
      <c r="AI607" s="360"/>
      <c r="AJ607" s="360"/>
      <c r="AK607" s="360"/>
      <c r="AL607" s="360"/>
      <c r="AM607" s="360"/>
      <c r="AN607" s="360"/>
      <c r="AO607" s="360"/>
      <c r="AP607" s="360"/>
      <c r="AQ607" s="360"/>
    </row>
    <row r="608" spans="1:43" ht="30">
      <c r="A608" s="537">
        <v>44433</v>
      </c>
      <c r="B608" s="491" t="s">
        <v>9746</v>
      </c>
      <c r="C608" s="491" t="s">
        <v>58</v>
      </c>
      <c r="D608" s="491" t="s">
        <v>4969</v>
      </c>
      <c r="E608" s="571" t="s">
        <v>9747</v>
      </c>
      <c r="F608" s="491"/>
      <c r="G608" s="495"/>
      <c r="H608" s="491"/>
      <c r="I608" s="491" t="s">
        <v>9759</v>
      </c>
      <c r="J608" s="491" t="s">
        <v>9760</v>
      </c>
      <c r="K608" s="536">
        <v>119885</v>
      </c>
      <c r="L608" s="491" t="s">
        <v>112</v>
      </c>
      <c r="M608" s="537">
        <v>44442</v>
      </c>
      <c r="N608" s="537">
        <v>44455</v>
      </c>
      <c r="O608" s="537">
        <v>44470</v>
      </c>
      <c r="P608" s="495" t="s">
        <v>1597</v>
      </c>
      <c r="Q608" s="491"/>
      <c r="R608" s="536">
        <v>114060</v>
      </c>
      <c r="S608" s="536">
        <v>138012.6</v>
      </c>
      <c r="T608" s="1471"/>
      <c r="U608" s="1471"/>
      <c r="V608" s="1471"/>
      <c r="W608" s="573">
        <v>44474</v>
      </c>
      <c r="X608" s="1375" t="s">
        <v>10022</v>
      </c>
      <c r="Y608" s="537">
        <v>44505</v>
      </c>
      <c r="Z608" s="537">
        <v>44508</v>
      </c>
      <c r="AA608" s="537">
        <v>44575</v>
      </c>
      <c r="AB608" s="537">
        <v>44616</v>
      </c>
      <c r="AC608" s="1374" t="s">
        <v>1875</v>
      </c>
    </row>
    <row r="609" spans="1:31">
      <c r="A609" s="537">
        <v>44439</v>
      </c>
      <c r="B609" s="491" t="s">
        <v>9761</v>
      </c>
      <c r="C609" s="491" t="s">
        <v>2434</v>
      </c>
      <c r="D609" s="491" t="s">
        <v>219</v>
      </c>
      <c r="E609" s="571" t="s">
        <v>9762</v>
      </c>
      <c r="F609" s="491"/>
      <c r="G609" s="495"/>
      <c r="H609" s="491"/>
      <c r="I609" s="491" t="s">
        <v>9763</v>
      </c>
      <c r="J609" s="491"/>
      <c r="K609" s="536">
        <v>2096620</v>
      </c>
      <c r="L609" s="491" t="s">
        <v>216</v>
      </c>
      <c r="M609" s="537">
        <v>44445</v>
      </c>
      <c r="N609" s="537">
        <v>44461</v>
      </c>
      <c r="O609" s="537">
        <v>44470</v>
      </c>
      <c r="P609" s="495" t="s">
        <v>9945</v>
      </c>
      <c r="Q609" s="491"/>
      <c r="R609" s="536">
        <v>2348351.75</v>
      </c>
      <c r="S609" s="536">
        <v>2841153.87</v>
      </c>
      <c r="T609" s="1471"/>
      <c r="U609" s="1471"/>
      <c r="V609" s="1471"/>
      <c r="W609" s="573">
        <v>44470</v>
      </c>
      <c r="X609" s="536" t="s">
        <v>9998</v>
      </c>
      <c r="Y609" s="537">
        <v>44494</v>
      </c>
      <c r="Z609" s="537">
        <v>44498</v>
      </c>
      <c r="AA609" s="537">
        <v>45589</v>
      </c>
      <c r="AB609" s="537">
        <v>44642</v>
      </c>
      <c r="AC609" s="1374">
        <v>2022</v>
      </c>
      <c r="AD609" s="388">
        <v>2023</v>
      </c>
      <c r="AE609" s="388" t="s">
        <v>10172</v>
      </c>
    </row>
    <row r="610" spans="1:31" ht="30">
      <c r="A610" s="491" t="s">
        <v>3585</v>
      </c>
      <c r="B610" s="491" t="s">
        <v>9764</v>
      </c>
      <c r="C610" s="491" t="s">
        <v>2434</v>
      </c>
      <c r="D610" s="491" t="s">
        <v>219</v>
      </c>
      <c r="E610" s="571" t="s">
        <v>9765</v>
      </c>
      <c r="F610" s="491"/>
      <c r="G610" s="495"/>
      <c r="H610" s="491"/>
      <c r="I610" s="491" t="s">
        <v>642</v>
      </c>
      <c r="J610" s="491"/>
      <c r="K610" s="536">
        <v>2100000</v>
      </c>
      <c r="L610" s="491" t="s">
        <v>216</v>
      </c>
      <c r="M610" s="537">
        <v>44453</v>
      </c>
      <c r="N610" s="537">
        <v>44494</v>
      </c>
      <c r="O610" s="537">
        <v>44504</v>
      </c>
      <c r="P610" s="495" t="s">
        <v>8793</v>
      </c>
      <c r="Q610" s="491"/>
      <c r="R610" s="536">
        <v>2100000</v>
      </c>
      <c r="S610" s="536">
        <v>2541000</v>
      </c>
      <c r="T610" s="1471"/>
      <c r="U610" s="1471"/>
      <c r="V610" s="1471"/>
      <c r="W610" s="573">
        <v>44504</v>
      </c>
      <c r="X610" s="1375" t="s">
        <v>10236</v>
      </c>
      <c r="Y610" s="537">
        <v>44537</v>
      </c>
      <c r="Z610" s="537">
        <v>44545</v>
      </c>
      <c r="AA610" s="537">
        <v>45266</v>
      </c>
      <c r="AB610" s="537">
        <v>44642</v>
      </c>
      <c r="AC610" s="1374">
        <v>2022</v>
      </c>
      <c r="AD610" s="388" t="s">
        <v>8022</v>
      </c>
    </row>
    <row r="611" spans="1:31" ht="45">
      <c r="A611" s="537">
        <v>44433</v>
      </c>
      <c r="B611" s="491" t="s">
        <v>9771</v>
      </c>
      <c r="C611" s="491" t="s">
        <v>58</v>
      </c>
      <c r="D611" s="491" t="s">
        <v>4969</v>
      </c>
      <c r="E611" s="571" t="s">
        <v>9772</v>
      </c>
      <c r="F611" s="491"/>
      <c r="G611" s="495"/>
      <c r="H611" s="491"/>
      <c r="I611" s="491" t="s">
        <v>1950</v>
      </c>
      <c r="J611" s="491" t="s">
        <v>9773</v>
      </c>
      <c r="K611" s="536">
        <v>524800</v>
      </c>
      <c r="L611" s="491" t="s">
        <v>112</v>
      </c>
      <c r="M611" s="537">
        <v>44445</v>
      </c>
      <c r="N611" s="537">
        <v>44455</v>
      </c>
      <c r="O611" s="537">
        <v>44470</v>
      </c>
      <c r="P611" s="495" t="s">
        <v>9935</v>
      </c>
      <c r="Q611" s="491"/>
      <c r="R611" s="536">
        <v>524787</v>
      </c>
      <c r="S611" s="536">
        <v>634992.27</v>
      </c>
      <c r="T611" s="1471"/>
      <c r="U611" s="1471"/>
      <c r="V611" s="1471"/>
      <c r="W611" s="573">
        <v>44470</v>
      </c>
      <c r="X611" s="1375" t="s">
        <v>9995</v>
      </c>
      <c r="Y611" s="537">
        <v>44512</v>
      </c>
      <c r="Z611" s="537">
        <v>44518</v>
      </c>
      <c r="AA611" s="537">
        <v>44526</v>
      </c>
      <c r="AB611" s="537">
        <v>44592</v>
      </c>
      <c r="AC611" s="1374" t="s">
        <v>6118</v>
      </c>
    </row>
    <row r="612" spans="1:31" ht="45">
      <c r="A612" s="491" t="s">
        <v>3585</v>
      </c>
      <c r="B612" s="491" t="s">
        <v>9774</v>
      </c>
      <c r="C612" s="491" t="s">
        <v>58</v>
      </c>
      <c r="D612" s="491" t="s">
        <v>4969</v>
      </c>
      <c r="E612" s="571" t="s">
        <v>9775</v>
      </c>
      <c r="F612" s="491"/>
      <c r="G612" s="495"/>
      <c r="H612" s="491"/>
      <c r="I612" s="491" t="s">
        <v>1159</v>
      </c>
      <c r="J612" s="491" t="s">
        <v>9215</v>
      </c>
      <c r="K612" s="536">
        <v>6420000</v>
      </c>
      <c r="L612" s="491" t="s">
        <v>251</v>
      </c>
      <c r="M612" s="537">
        <v>44442</v>
      </c>
      <c r="N612" s="537">
        <v>44474</v>
      </c>
      <c r="O612" s="537">
        <v>44483</v>
      </c>
      <c r="P612" s="495" t="s">
        <v>6022</v>
      </c>
      <c r="Q612" s="491"/>
      <c r="R612" s="536">
        <v>1840800</v>
      </c>
      <c r="S612" s="536">
        <v>2227368</v>
      </c>
      <c r="T612" s="1471"/>
      <c r="U612" s="1471"/>
      <c r="V612" s="1471"/>
      <c r="W612" s="573">
        <v>44483</v>
      </c>
      <c r="X612" s="1375" t="s">
        <v>10074</v>
      </c>
      <c r="Y612" s="537">
        <v>44516</v>
      </c>
      <c r="Z612" s="537">
        <v>44519</v>
      </c>
      <c r="AA612" s="491"/>
      <c r="AB612" s="537">
        <v>44559</v>
      </c>
      <c r="AC612" s="1374" t="s">
        <v>6118</v>
      </c>
    </row>
    <row r="613" spans="1:31">
      <c r="A613" s="537">
        <v>44433</v>
      </c>
      <c r="B613" s="491" t="s">
        <v>9777</v>
      </c>
      <c r="C613" s="491" t="s">
        <v>4997</v>
      </c>
      <c r="D613" s="491" t="s">
        <v>7475</v>
      </c>
      <c r="E613" s="571" t="s">
        <v>9778</v>
      </c>
      <c r="F613" s="491"/>
      <c r="G613" s="495"/>
      <c r="H613" s="491"/>
      <c r="I613" s="491" t="s">
        <v>9779</v>
      </c>
      <c r="J613" s="491"/>
      <c r="K613" s="536">
        <v>26000000</v>
      </c>
      <c r="L613" s="491" t="s">
        <v>216</v>
      </c>
      <c r="M613" s="537">
        <v>44461</v>
      </c>
      <c r="N613" s="537">
        <v>44482</v>
      </c>
      <c r="O613" s="537">
        <v>44503</v>
      </c>
      <c r="P613" s="495" t="s">
        <v>10171</v>
      </c>
      <c r="Q613" s="491"/>
      <c r="R613" s="536">
        <v>17448088.969999999</v>
      </c>
      <c r="S613" s="536">
        <v>21112187</v>
      </c>
      <c r="T613" s="1471"/>
      <c r="U613" s="1471"/>
      <c r="V613" s="1471"/>
      <c r="W613" s="573">
        <v>44503</v>
      </c>
      <c r="X613" s="536" t="s">
        <v>10215</v>
      </c>
      <c r="Y613" s="537">
        <v>44533</v>
      </c>
      <c r="Z613" s="537">
        <v>44539</v>
      </c>
      <c r="AA613" s="537">
        <v>44618</v>
      </c>
      <c r="AB613" s="1525">
        <v>44844</v>
      </c>
      <c r="AC613" s="1374" t="s">
        <v>11656</v>
      </c>
      <c r="AD613" s="1204">
        <v>18823760.949999999</v>
      </c>
    </row>
    <row r="614" spans="1:31">
      <c r="A614" s="537">
        <v>44435</v>
      </c>
      <c r="B614" s="491" t="s">
        <v>9785</v>
      </c>
      <c r="C614" s="491" t="s">
        <v>2111</v>
      </c>
      <c r="D614" s="491" t="s">
        <v>9080</v>
      </c>
      <c r="E614" s="571" t="s">
        <v>9786</v>
      </c>
      <c r="F614" s="491"/>
      <c r="G614" s="495"/>
      <c r="H614" s="491"/>
      <c r="I614" s="491" t="s">
        <v>2113</v>
      </c>
      <c r="J614" s="491"/>
      <c r="K614" s="536">
        <v>2477400</v>
      </c>
      <c r="L614" s="491" t="s">
        <v>216</v>
      </c>
      <c r="M614" s="537">
        <v>44447</v>
      </c>
      <c r="N614" s="537">
        <v>44469</v>
      </c>
      <c r="O614" s="537">
        <v>44487</v>
      </c>
      <c r="P614" s="495" t="s">
        <v>10069</v>
      </c>
      <c r="Q614" s="491"/>
      <c r="R614" s="536">
        <v>1895000</v>
      </c>
      <c r="S614" s="536">
        <v>2292950</v>
      </c>
      <c r="T614" s="1471"/>
      <c r="U614" s="1471"/>
      <c r="V614" s="1471"/>
      <c r="W614" s="573">
        <v>44487</v>
      </c>
      <c r="X614" s="536" t="s">
        <v>10109</v>
      </c>
      <c r="Y614" s="537">
        <v>44511</v>
      </c>
      <c r="Z614" s="537">
        <v>44532</v>
      </c>
      <c r="AA614" s="537">
        <v>44609</v>
      </c>
      <c r="AB614" s="537">
        <v>44739</v>
      </c>
      <c r="AC614" s="1102"/>
    </row>
    <row r="615" spans="1:31">
      <c r="A615" s="510">
        <v>44425</v>
      </c>
      <c r="B615" s="506" t="s">
        <v>9787</v>
      </c>
      <c r="C615" s="506" t="s">
        <v>289</v>
      </c>
      <c r="D615" s="506" t="s">
        <v>6509</v>
      </c>
      <c r="E615" s="507" t="s">
        <v>9788</v>
      </c>
      <c r="F615" s="506"/>
      <c r="G615" s="548"/>
      <c r="H615" s="590"/>
      <c r="I615" s="506" t="s">
        <v>9790</v>
      </c>
      <c r="J615" s="506" t="s">
        <v>9789</v>
      </c>
      <c r="K615" s="511">
        <v>150000</v>
      </c>
      <c r="L615" s="506" t="s">
        <v>112</v>
      </c>
      <c r="M615" s="510">
        <v>44447</v>
      </c>
      <c r="N615" s="510">
        <v>44456</v>
      </c>
      <c r="O615" s="506"/>
      <c r="P615" s="736" t="s">
        <v>4505</v>
      </c>
      <c r="Q615" s="514" t="s">
        <v>10003</v>
      </c>
      <c r="R615" s="511"/>
      <c r="S615" s="511"/>
      <c r="T615" s="1484"/>
      <c r="U615" s="1484"/>
      <c r="V615" s="1484"/>
      <c r="W615" s="511"/>
      <c r="X615" s="511"/>
      <c r="Y615" s="506"/>
      <c r="Z615" s="510">
        <v>44470</v>
      </c>
      <c r="AA615" s="506"/>
      <c r="AB615" s="506"/>
      <c r="AC615" s="506"/>
    </row>
    <row r="616" spans="1:31">
      <c r="A616" s="510">
        <v>44435</v>
      </c>
      <c r="B616" s="506" t="s">
        <v>9791</v>
      </c>
      <c r="C616" s="506" t="s">
        <v>4997</v>
      </c>
      <c r="D616" s="506" t="s">
        <v>7475</v>
      </c>
      <c r="E616" s="507" t="s">
        <v>9792</v>
      </c>
      <c r="F616" s="506"/>
      <c r="G616" s="548"/>
      <c r="H616" s="506"/>
      <c r="I616" s="506" t="s">
        <v>9779</v>
      </c>
      <c r="J616" s="506"/>
      <c r="K616" s="511">
        <v>450000</v>
      </c>
      <c r="L616" s="506" t="s">
        <v>112</v>
      </c>
      <c r="M616" s="510">
        <v>44446</v>
      </c>
      <c r="N616" s="510">
        <v>44455</v>
      </c>
      <c r="O616" s="506"/>
      <c r="P616" s="2342" t="s">
        <v>304</v>
      </c>
      <c r="Q616" s="1985" t="s">
        <v>9943</v>
      </c>
      <c r="R616" s="511"/>
      <c r="S616" s="511"/>
      <c r="T616" s="1470"/>
      <c r="U616" s="1470"/>
      <c r="V616" s="1470"/>
      <c r="W616" s="511"/>
      <c r="X616" s="511"/>
      <c r="Y616" s="506"/>
      <c r="Z616" s="510">
        <v>44456</v>
      </c>
      <c r="AA616" s="506"/>
      <c r="AB616" s="506"/>
      <c r="AC616" s="506"/>
    </row>
    <row r="617" spans="1:31">
      <c r="A617" s="537">
        <v>44428</v>
      </c>
      <c r="B617" s="491" t="s">
        <v>9802</v>
      </c>
      <c r="C617" s="491" t="s">
        <v>289</v>
      </c>
      <c r="D617" s="491" t="s">
        <v>6509</v>
      </c>
      <c r="E617" s="571" t="s">
        <v>9803</v>
      </c>
      <c r="F617" s="491"/>
      <c r="G617" s="495"/>
      <c r="H617" s="491"/>
      <c r="I617" s="491" t="s">
        <v>9805</v>
      </c>
      <c r="J617" s="491" t="s">
        <v>9804</v>
      </c>
      <c r="K617" s="536">
        <v>495000</v>
      </c>
      <c r="L617" s="491" t="s">
        <v>112</v>
      </c>
      <c r="M617" s="537">
        <v>44461</v>
      </c>
      <c r="N617" s="537">
        <v>44477</v>
      </c>
      <c r="O617" s="537">
        <v>44483</v>
      </c>
      <c r="P617" s="495" t="s">
        <v>10042</v>
      </c>
      <c r="Q617" s="491"/>
      <c r="R617" s="536">
        <v>398900</v>
      </c>
      <c r="S617" s="536">
        <v>482669</v>
      </c>
      <c r="T617" s="1471"/>
      <c r="U617" s="1471"/>
      <c r="V617" s="1471"/>
      <c r="W617" s="573">
        <v>44484</v>
      </c>
      <c r="X617" s="536" t="s">
        <v>10088</v>
      </c>
      <c r="Y617" s="537">
        <v>44511</v>
      </c>
      <c r="Z617" s="537">
        <v>44518</v>
      </c>
      <c r="AA617" s="537">
        <v>44553</v>
      </c>
      <c r="AB617" s="537">
        <v>44662</v>
      </c>
      <c r="AC617" s="1102"/>
    </row>
    <row r="618" spans="1:31">
      <c r="A618" s="510">
        <v>44440</v>
      </c>
      <c r="B618" s="506" t="s">
        <v>9806</v>
      </c>
      <c r="C618" s="506" t="s">
        <v>58</v>
      </c>
      <c r="D618" s="506" t="s">
        <v>4969</v>
      </c>
      <c r="E618" s="507" t="s">
        <v>9807</v>
      </c>
      <c r="F618" s="506"/>
      <c r="G618" s="548"/>
      <c r="H618" s="590"/>
      <c r="I618" s="506" t="s">
        <v>2920</v>
      </c>
      <c r="J618" s="506"/>
      <c r="K618" s="511">
        <v>360000</v>
      </c>
      <c r="L618" s="506" t="s">
        <v>112</v>
      </c>
      <c r="M618" s="510">
        <v>44483</v>
      </c>
      <c r="N618" s="510">
        <v>44496</v>
      </c>
      <c r="O618" s="506"/>
      <c r="P618" s="736" t="s">
        <v>4505</v>
      </c>
      <c r="Q618" s="2416" t="s">
        <v>10386</v>
      </c>
      <c r="R618" s="511"/>
      <c r="S618" s="511"/>
      <c r="T618" s="1484"/>
      <c r="U618" s="1484"/>
      <c r="V618" s="1484"/>
      <c r="W618" s="511"/>
      <c r="X618" s="511"/>
      <c r="Y618" s="506"/>
      <c r="Z618" s="510">
        <v>44523</v>
      </c>
      <c r="AA618" s="506"/>
      <c r="AB618" s="506"/>
      <c r="AC618" s="506"/>
    </row>
    <row r="619" spans="1:31" ht="30">
      <c r="A619" s="537">
        <v>44445</v>
      </c>
      <c r="B619" s="491" t="s">
        <v>9812</v>
      </c>
      <c r="C619" s="491" t="s">
        <v>58</v>
      </c>
      <c r="D619" s="491" t="s">
        <v>2684</v>
      </c>
      <c r="E619" s="571" t="s">
        <v>4218</v>
      </c>
      <c r="F619" s="491">
        <v>1</v>
      </c>
      <c r="G619" s="495" t="s">
        <v>9830</v>
      </c>
      <c r="H619" s="491"/>
      <c r="I619" s="491" t="s">
        <v>86</v>
      </c>
      <c r="J619" s="491" t="s">
        <v>9831</v>
      </c>
      <c r="K619" s="536">
        <v>4847000</v>
      </c>
      <c r="L619" s="491" t="s">
        <v>251</v>
      </c>
      <c r="M619" s="537">
        <v>44452</v>
      </c>
      <c r="N619" s="537">
        <v>44484</v>
      </c>
      <c r="O619" s="537">
        <v>44511</v>
      </c>
      <c r="P619" s="495" t="s">
        <v>383</v>
      </c>
      <c r="Q619" s="491"/>
      <c r="R619" s="536">
        <v>4671560</v>
      </c>
      <c r="S619" s="536">
        <v>5652587.5999999996</v>
      </c>
      <c r="T619" s="1471"/>
      <c r="U619" s="1471"/>
      <c r="V619" s="1471"/>
      <c r="W619" s="573">
        <v>44511</v>
      </c>
      <c r="X619" s="1375" t="s">
        <v>10309</v>
      </c>
      <c r="Y619" s="537">
        <v>44557</v>
      </c>
      <c r="Z619" s="537">
        <v>44568</v>
      </c>
      <c r="AA619" s="537">
        <v>44655</v>
      </c>
      <c r="AB619" s="537">
        <v>44725</v>
      </c>
      <c r="AC619" s="1374" t="s">
        <v>1875</v>
      </c>
    </row>
    <row r="620" spans="1:31" ht="30">
      <c r="A620" s="537">
        <v>44445</v>
      </c>
      <c r="B620" s="491" t="s">
        <v>9812</v>
      </c>
      <c r="C620" s="491" t="s">
        <v>58</v>
      </c>
      <c r="D620" s="491" t="s">
        <v>2684</v>
      </c>
      <c r="E620" s="571" t="s">
        <v>4218</v>
      </c>
      <c r="F620" s="411">
        <v>2</v>
      </c>
      <c r="G620" s="630" t="s">
        <v>9833</v>
      </c>
      <c r="H620" s="411"/>
      <c r="I620" s="491" t="s">
        <v>86</v>
      </c>
      <c r="J620" s="411" t="s">
        <v>9832</v>
      </c>
      <c r="K620" s="417">
        <v>878000</v>
      </c>
      <c r="L620" s="411" t="s">
        <v>251</v>
      </c>
      <c r="M620" s="416">
        <v>44452</v>
      </c>
      <c r="N620" s="416">
        <v>44484</v>
      </c>
      <c r="O620" s="416">
        <v>44511</v>
      </c>
      <c r="P620" s="630" t="s">
        <v>383</v>
      </c>
      <c r="Q620" s="411"/>
      <c r="R620" s="417">
        <v>863560</v>
      </c>
      <c r="S620" s="417">
        <v>1044907.6</v>
      </c>
      <c r="T620" s="1480"/>
      <c r="U620" s="1480"/>
      <c r="V620" s="1480"/>
      <c r="W620" s="513">
        <v>44511</v>
      </c>
      <c r="X620" s="1553" t="s">
        <v>10310</v>
      </c>
      <c r="Y620" s="416">
        <v>44557</v>
      </c>
      <c r="Z620" s="416">
        <v>44568</v>
      </c>
      <c r="AA620" s="416">
        <v>44655</v>
      </c>
      <c r="AB620" s="416">
        <v>44725</v>
      </c>
      <c r="AC620" s="422" t="s">
        <v>1875</v>
      </c>
    </row>
    <row r="621" spans="1:31" ht="15.75" thickBot="1">
      <c r="A621" s="464">
        <v>44439</v>
      </c>
      <c r="B621" s="406" t="s">
        <v>9815</v>
      </c>
      <c r="C621" s="406" t="s">
        <v>69</v>
      </c>
      <c r="D621" s="406" t="s">
        <v>70</v>
      </c>
      <c r="E621" s="1298" t="s">
        <v>9816</v>
      </c>
      <c r="F621" s="406"/>
      <c r="G621" s="1425"/>
      <c r="H621" s="1437"/>
      <c r="I621" s="406" t="s">
        <v>3237</v>
      </c>
      <c r="J621" s="406"/>
      <c r="K621" s="465">
        <v>6988880</v>
      </c>
      <c r="L621" s="406" t="s">
        <v>251</v>
      </c>
      <c r="M621" s="464">
        <v>44488</v>
      </c>
      <c r="N621" s="464">
        <v>44546</v>
      </c>
      <c r="O621" s="406"/>
      <c r="P621" s="1425"/>
      <c r="Q621" s="406"/>
      <c r="R621" s="465"/>
      <c r="S621" s="465"/>
      <c r="T621" s="1490"/>
      <c r="U621" s="1490"/>
      <c r="V621" s="1490"/>
      <c r="W621" s="465"/>
      <c r="X621" s="465"/>
      <c r="Y621" s="406"/>
      <c r="Z621" s="406"/>
      <c r="AA621" s="406"/>
      <c r="AB621" s="406"/>
      <c r="AC621" s="406"/>
    </row>
    <row r="622" spans="1:31" ht="30.75" thickTop="1">
      <c r="A622" s="474">
        <v>44439</v>
      </c>
      <c r="B622" s="453" t="s">
        <v>9818</v>
      </c>
      <c r="C622" s="453" t="s">
        <v>58</v>
      </c>
      <c r="D622" s="453" t="s">
        <v>4969</v>
      </c>
      <c r="E622" s="473" t="s">
        <v>9949</v>
      </c>
      <c r="F622" s="453">
        <v>1</v>
      </c>
      <c r="G622" s="1420" t="s">
        <v>9819</v>
      </c>
      <c r="H622" s="453"/>
      <c r="I622" s="453" t="s">
        <v>396</v>
      </c>
      <c r="J622" s="453" t="s">
        <v>9821</v>
      </c>
      <c r="K622" s="457">
        <v>1675000</v>
      </c>
      <c r="L622" s="453" t="s">
        <v>216</v>
      </c>
      <c r="M622" s="474">
        <v>44462</v>
      </c>
      <c r="N622" s="474">
        <v>44483</v>
      </c>
      <c r="O622" s="474">
        <v>44508</v>
      </c>
      <c r="P622" s="1420" t="s">
        <v>5890</v>
      </c>
      <c r="Q622" s="453"/>
      <c r="R622" s="457">
        <v>1639240</v>
      </c>
      <c r="S622" s="457">
        <v>1983480.4</v>
      </c>
      <c r="T622" s="1474"/>
      <c r="U622" s="1474"/>
      <c r="V622" s="1474"/>
      <c r="W622" s="570">
        <v>44509</v>
      </c>
      <c r="X622" s="1387" t="s">
        <v>10261</v>
      </c>
      <c r="Y622" s="474">
        <v>44538</v>
      </c>
      <c r="Z622" s="474">
        <v>44544</v>
      </c>
      <c r="AA622" s="474">
        <v>44580</v>
      </c>
      <c r="AB622" s="474">
        <v>44630</v>
      </c>
      <c r="AC622" s="1391" t="s">
        <v>1875</v>
      </c>
    </row>
    <row r="623" spans="1:31" ht="30">
      <c r="A623" s="2140">
        <v>44439</v>
      </c>
      <c r="B623" s="2141" t="s">
        <v>9818</v>
      </c>
      <c r="C623" s="2141" t="s">
        <v>58</v>
      </c>
      <c r="D623" s="2141" t="s">
        <v>4969</v>
      </c>
      <c r="E623" s="2142" t="s">
        <v>9949</v>
      </c>
      <c r="F623" s="2141">
        <v>2</v>
      </c>
      <c r="G623" s="2143" t="s">
        <v>9820</v>
      </c>
      <c r="H623" s="2141"/>
      <c r="I623" s="2141" t="s">
        <v>421</v>
      </c>
      <c r="J623" s="2141" t="s">
        <v>9821</v>
      </c>
      <c r="K623" s="2144">
        <v>383500</v>
      </c>
      <c r="L623" s="2141" t="s">
        <v>216</v>
      </c>
      <c r="M623" s="2140">
        <v>44462</v>
      </c>
      <c r="N623" s="2140">
        <v>44483</v>
      </c>
      <c r="O623" s="2140">
        <v>44508</v>
      </c>
      <c r="P623" s="2143" t="s">
        <v>9490</v>
      </c>
      <c r="Q623" s="2141"/>
      <c r="R623" s="2144">
        <v>356850</v>
      </c>
      <c r="S623" s="2144">
        <v>431788.5</v>
      </c>
      <c r="T623" s="2145"/>
      <c r="U623" s="2145"/>
      <c r="V623" s="2145"/>
      <c r="W623" s="2146">
        <v>44509</v>
      </c>
      <c r="X623" s="2260" t="s">
        <v>10262</v>
      </c>
      <c r="Y623" s="2140">
        <v>44537</v>
      </c>
      <c r="Z623" s="2140">
        <v>44544</v>
      </c>
      <c r="AA623" s="2140">
        <v>44567</v>
      </c>
      <c r="AB623" s="2140">
        <v>44624</v>
      </c>
      <c r="AC623" s="2109" t="s">
        <v>1875</v>
      </c>
    </row>
    <row r="624" spans="1:31" ht="15.75" thickBot="1">
      <c r="A624" s="1877">
        <v>44439</v>
      </c>
      <c r="B624" s="1878" t="s">
        <v>9824</v>
      </c>
      <c r="C624" s="1878" t="s">
        <v>58</v>
      </c>
      <c r="D624" s="1878" t="s">
        <v>2684</v>
      </c>
      <c r="E624" s="1536" t="s">
        <v>9825</v>
      </c>
      <c r="F624" s="1878"/>
      <c r="G624" s="1879"/>
      <c r="H624" s="1550"/>
      <c r="I624" s="1878" t="s">
        <v>737</v>
      </c>
      <c r="J624" s="1878" t="s">
        <v>4238</v>
      </c>
      <c r="K624" s="1880">
        <v>6363636</v>
      </c>
      <c r="L624" s="1878" t="s">
        <v>251</v>
      </c>
      <c r="M624" s="1877">
        <v>44475</v>
      </c>
      <c r="N624" s="1877">
        <v>44508</v>
      </c>
      <c r="O624" s="1878"/>
      <c r="P624" s="1879"/>
      <c r="Q624" s="1878"/>
      <c r="R624" s="1880"/>
      <c r="S624" s="1880"/>
      <c r="T624" s="1537"/>
      <c r="U624" s="1537"/>
      <c r="V624" s="1537"/>
      <c r="W624" s="1880"/>
      <c r="X624" s="1880"/>
      <c r="Y624" s="1878"/>
      <c r="Z624" s="1878"/>
      <c r="AA624" s="1878"/>
      <c r="AB624" s="1878"/>
      <c r="AC624" s="1878"/>
    </row>
    <row r="625" spans="1:31" ht="15.75" thickTop="1">
      <c r="A625" s="2044">
        <v>44441</v>
      </c>
      <c r="B625" s="2045" t="s">
        <v>9826</v>
      </c>
      <c r="C625" s="2045" t="s">
        <v>9694</v>
      </c>
      <c r="D625" s="2045" t="s">
        <v>2684</v>
      </c>
      <c r="E625" s="2046" t="s">
        <v>9827</v>
      </c>
      <c r="F625" s="2045">
        <v>1</v>
      </c>
      <c r="G625" s="2007" t="s">
        <v>9828</v>
      </c>
      <c r="H625" s="2045"/>
      <c r="I625" s="2045" t="s">
        <v>505</v>
      </c>
      <c r="J625" s="2045" t="s">
        <v>10289</v>
      </c>
      <c r="K625" s="2047">
        <v>4639115</v>
      </c>
      <c r="L625" s="2045" t="s">
        <v>251</v>
      </c>
      <c r="M625" s="2045"/>
      <c r="N625" s="2045"/>
      <c r="O625" s="2045"/>
      <c r="P625" s="2007"/>
      <c r="Q625" s="2045"/>
      <c r="R625" s="2047"/>
      <c r="S625" s="2047"/>
      <c r="T625" s="2048"/>
      <c r="U625" s="2048"/>
      <c r="V625" s="2048"/>
      <c r="W625" s="2047"/>
      <c r="X625" s="2047"/>
      <c r="Y625" s="2045"/>
      <c r="Z625" s="2045"/>
      <c r="AA625" s="2045"/>
      <c r="AB625" s="2045"/>
      <c r="AC625" s="2045"/>
    </row>
    <row r="626" spans="1:31">
      <c r="A626" s="2388">
        <v>44441</v>
      </c>
      <c r="B626" s="2079" t="s">
        <v>9826</v>
      </c>
      <c r="C626" s="2079" t="s">
        <v>58</v>
      </c>
      <c r="D626" s="2079" t="s">
        <v>2684</v>
      </c>
      <c r="E626" s="2385" t="s">
        <v>9827</v>
      </c>
      <c r="F626" s="2079">
        <v>2</v>
      </c>
      <c r="G626" s="2385" t="s">
        <v>10288</v>
      </c>
      <c r="H626" s="2079"/>
      <c r="I626" s="2079" t="s">
        <v>3301</v>
      </c>
      <c r="J626" s="2079" t="s">
        <v>10290</v>
      </c>
      <c r="K626" s="2387">
        <v>1230000</v>
      </c>
      <c r="L626" s="2079" t="s">
        <v>251</v>
      </c>
      <c r="M626" s="2079"/>
      <c r="N626" s="2079"/>
      <c r="O626" s="2079"/>
      <c r="P626" s="2386"/>
      <c r="Q626" s="2079"/>
      <c r="R626" s="2387"/>
      <c r="S626" s="2387"/>
      <c r="T626" s="2080"/>
      <c r="U626" s="2080"/>
      <c r="V626" s="2080"/>
      <c r="W626" s="2387"/>
      <c r="X626" s="2387"/>
      <c r="Y626" s="2079"/>
      <c r="Z626" s="2079"/>
      <c r="AA626" s="2079"/>
      <c r="AB626" s="2079"/>
      <c r="AC626" s="2079"/>
    </row>
    <row r="627" spans="1:31" ht="15.75" thickBot="1">
      <c r="A627" s="2392">
        <v>44441</v>
      </c>
      <c r="B627" s="2081" t="s">
        <v>9826</v>
      </c>
      <c r="C627" s="2081" t="s">
        <v>9694</v>
      </c>
      <c r="D627" s="2081" t="s">
        <v>2684</v>
      </c>
      <c r="E627" s="2393" t="s">
        <v>9827</v>
      </c>
      <c r="F627" s="2081">
        <v>3</v>
      </c>
      <c r="G627" s="2394" t="s">
        <v>9829</v>
      </c>
      <c r="H627" s="2081"/>
      <c r="I627" s="2081" t="s">
        <v>292</v>
      </c>
      <c r="J627" s="2081" t="s">
        <v>10291</v>
      </c>
      <c r="K627" s="2395">
        <v>882167</v>
      </c>
      <c r="L627" s="2081" t="s">
        <v>251</v>
      </c>
      <c r="M627" s="2081"/>
      <c r="N627" s="2081"/>
      <c r="O627" s="2081"/>
      <c r="P627" s="2394"/>
      <c r="Q627" s="2081"/>
      <c r="R627" s="2395"/>
      <c r="S627" s="2395"/>
      <c r="T627" s="2082"/>
      <c r="U627" s="2082"/>
      <c r="V627" s="2082"/>
      <c r="W627" s="2395"/>
      <c r="X627" s="2395"/>
      <c r="Y627" s="2081"/>
      <c r="Z627" s="2081"/>
      <c r="AA627" s="2081"/>
      <c r="AB627" s="2081"/>
      <c r="AC627" s="2081"/>
    </row>
    <row r="628" spans="1:31" ht="15.75" thickTop="1">
      <c r="A628" s="365">
        <v>44447</v>
      </c>
      <c r="B628" s="2432" t="s">
        <v>9836</v>
      </c>
      <c r="C628" s="2432" t="s">
        <v>69</v>
      </c>
      <c r="D628" s="2432" t="s">
        <v>70</v>
      </c>
      <c r="E628" s="175" t="s">
        <v>9844</v>
      </c>
      <c r="F628" s="2432"/>
      <c r="G628" s="2433"/>
      <c r="H628" s="2432"/>
      <c r="I628" s="2432" t="s">
        <v>72</v>
      </c>
      <c r="J628" s="2432"/>
      <c r="K628" s="364">
        <v>336824673</v>
      </c>
      <c r="L628" s="2432" t="s">
        <v>251</v>
      </c>
      <c r="M628" s="365">
        <v>44456</v>
      </c>
      <c r="N628" s="365">
        <v>44489</v>
      </c>
      <c r="O628" s="365">
        <v>44516</v>
      </c>
      <c r="P628" s="2433" t="s">
        <v>6805</v>
      </c>
      <c r="Q628" s="2432"/>
      <c r="R628" s="364">
        <v>336824671.17000002</v>
      </c>
      <c r="S628" s="364">
        <v>370507138.29000002</v>
      </c>
      <c r="T628" s="1473"/>
      <c r="U628" s="1473"/>
      <c r="V628" s="1473"/>
      <c r="W628" s="681">
        <v>44516</v>
      </c>
      <c r="X628" s="364" t="s">
        <v>10322</v>
      </c>
      <c r="Y628" s="365">
        <v>44537</v>
      </c>
      <c r="Z628" s="365">
        <v>44539</v>
      </c>
      <c r="AA628" s="365">
        <v>45632</v>
      </c>
      <c r="AB628" s="365">
        <v>44648</v>
      </c>
      <c r="AC628" s="451">
        <v>2022</v>
      </c>
      <c r="AD628" s="388">
        <v>2023</v>
      </c>
      <c r="AE628" s="388" t="s">
        <v>10524</v>
      </c>
    </row>
    <row r="629" spans="1:31" ht="15.75" thickBot="1">
      <c r="A629" s="416">
        <v>44447</v>
      </c>
      <c r="B629" s="411" t="s">
        <v>9843</v>
      </c>
      <c r="C629" s="411" t="s">
        <v>69</v>
      </c>
      <c r="D629" s="411" t="s">
        <v>70</v>
      </c>
      <c r="E629" s="412" t="s">
        <v>9845</v>
      </c>
      <c r="F629" s="411"/>
      <c r="G629" s="630"/>
      <c r="H629" s="491"/>
      <c r="I629" s="411" t="s">
        <v>72</v>
      </c>
      <c r="J629" s="411"/>
      <c r="K629" s="417">
        <v>13230342</v>
      </c>
      <c r="L629" s="411" t="s">
        <v>251</v>
      </c>
      <c r="M629" s="416">
        <v>44456</v>
      </c>
      <c r="N629" s="416">
        <v>44490</v>
      </c>
      <c r="O629" s="416">
        <v>44530</v>
      </c>
      <c r="P629" s="630" t="s">
        <v>8542</v>
      </c>
      <c r="Q629" s="411"/>
      <c r="R629" s="417">
        <v>9043134.9900000002</v>
      </c>
      <c r="S629" s="417">
        <v>9947448.4900000002</v>
      </c>
      <c r="T629" s="1471"/>
      <c r="U629" s="1471"/>
      <c r="V629" s="1471"/>
      <c r="W629" s="513">
        <v>44530</v>
      </c>
      <c r="X629" s="417" t="s">
        <v>10476</v>
      </c>
      <c r="Y629" s="416">
        <v>44551</v>
      </c>
      <c r="Z629" s="416">
        <v>44564</v>
      </c>
      <c r="AA629" s="416">
        <v>45646</v>
      </c>
      <c r="AB629" s="411" t="s">
        <v>11373</v>
      </c>
      <c r="AC629" s="422">
        <v>2022</v>
      </c>
      <c r="AD629" s="388">
        <v>2023</v>
      </c>
      <c r="AE629" s="388" t="s">
        <v>10613</v>
      </c>
    </row>
    <row r="630" spans="1:31" ht="15.75" thickTop="1">
      <c r="A630" s="439" t="s">
        <v>3585</v>
      </c>
      <c r="B630" s="439" t="s">
        <v>9849</v>
      </c>
      <c r="C630" s="439" t="s">
        <v>2434</v>
      </c>
      <c r="D630" s="439" t="s">
        <v>219</v>
      </c>
      <c r="E630" s="440" t="s">
        <v>9850</v>
      </c>
      <c r="F630" s="439">
        <v>1</v>
      </c>
      <c r="G630" s="1431" t="s">
        <v>9476</v>
      </c>
      <c r="H630" s="506"/>
      <c r="I630" s="439" t="s">
        <v>642</v>
      </c>
      <c r="J630" s="439"/>
      <c r="K630" s="444">
        <v>48999.5</v>
      </c>
      <c r="L630" s="439" t="s">
        <v>251</v>
      </c>
      <c r="M630" s="443">
        <v>44463</v>
      </c>
      <c r="N630" s="443">
        <v>44496</v>
      </c>
      <c r="O630" s="439"/>
      <c r="P630" s="753" t="s">
        <v>304</v>
      </c>
      <c r="Q630" s="439"/>
      <c r="R630" s="444"/>
      <c r="S630" s="444"/>
      <c r="T630" s="1470"/>
      <c r="U630" s="1470"/>
      <c r="V630" s="1470"/>
      <c r="W630" s="444"/>
      <c r="X630" s="444"/>
      <c r="Y630" s="439"/>
      <c r="Z630" s="443">
        <v>44531</v>
      </c>
      <c r="AA630" s="1431" t="s">
        <v>10223</v>
      </c>
      <c r="AB630" s="439"/>
      <c r="AC630" s="439"/>
    </row>
    <row r="631" spans="1:31" ht="30">
      <c r="A631" s="2141" t="s">
        <v>3585</v>
      </c>
      <c r="B631" s="2141" t="s">
        <v>9849</v>
      </c>
      <c r="C631" s="2141" t="s">
        <v>2434</v>
      </c>
      <c r="D631" s="2141" t="s">
        <v>219</v>
      </c>
      <c r="E631" s="2142" t="s">
        <v>9850</v>
      </c>
      <c r="F631" s="2141">
        <v>2</v>
      </c>
      <c r="G631" s="2143" t="s">
        <v>9477</v>
      </c>
      <c r="H631" s="491"/>
      <c r="I631" s="2141" t="s">
        <v>642</v>
      </c>
      <c r="J631" s="2141"/>
      <c r="K631" s="2144">
        <v>3036180</v>
      </c>
      <c r="L631" s="2141" t="s">
        <v>251</v>
      </c>
      <c r="M631" s="2140">
        <v>44463</v>
      </c>
      <c r="N631" s="2140">
        <v>44496</v>
      </c>
      <c r="O631" s="2140">
        <v>44509</v>
      </c>
      <c r="P631" s="2143" t="s">
        <v>4839</v>
      </c>
      <c r="Q631" s="2141"/>
      <c r="R631" s="2144">
        <v>3036180</v>
      </c>
      <c r="S631" s="2144">
        <v>3673777.8</v>
      </c>
      <c r="T631" s="1471"/>
      <c r="U631" s="1471"/>
      <c r="V631" s="1471"/>
      <c r="W631" s="2146">
        <v>44509</v>
      </c>
      <c r="X631" s="2260" t="s">
        <v>10268</v>
      </c>
      <c r="Y631" s="2140">
        <v>44529</v>
      </c>
      <c r="Z631" s="2140">
        <v>44531</v>
      </c>
      <c r="AA631" s="2140">
        <v>45624</v>
      </c>
      <c r="AB631" s="2140">
        <v>44642</v>
      </c>
      <c r="AC631" s="2109">
        <v>2022</v>
      </c>
      <c r="AD631" s="388">
        <v>2023</v>
      </c>
      <c r="AE631" s="388" t="s">
        <v>10442</v>
      </c>
    </row>
    <row r="632" spans="1:31" ht="30">
      <c r="A632" s="2141" t="s">
        <v>3585</v>
      </c>
      <c r="B632" s="2141" t="s">
        <v>9849</v>
      </c>
      <c r="C632" s="2141" t="s">
        <v>2434</v>
      </c>
      <c r="D632" s="2141" t="s">
        <v>219</v>
      </c>
      <c r="E632" s="2142" t="s">
        <v>9850</v>
      </c>
      <c r="F632" s="2141">
        <v>3</v>
      </c>
      <c r="G632" s="2143" t="s">
        <v>9478</v>
      </c>
      <c r="H632" s="491"/>
      <c r="I632" s="2141" t="s">
        <v>642</v>
      </c>
      <c r="J632" s="2141"/>
      <c r="K632" s="2144">
        <v>829400</v>
      </c>
      <c r="L632" s="2141" t="s">
        <v>251</v>
      </c>
      <c r="M632" s="2140">
        <v>44463</v>
      </c>
      <c r="N632" s="2140">
        <v>44496</v>
      </c>
      <c r="O632" s="2140">
        <v>44509</v>
      </c>
      <c r="P632" s="2143" t="s">
        <v>4839</v>
      </c>
      <c r="Q632" s="2141"/>
      <c r="R632" s="2144">
        <v>829400</v>
      </c>
      <c r="S632" s="2144">
        <v>1003574</v>
      </c>
      <c r="T632" s="1471"/>
      <c r="U632" s="1471"/>
      <c r="V632" s="1471"/>
      <c r="W632" s="2146">
        <v>44509</v>
      </c>
      <c r="X632" s="2260" t="s">
        <v>10269</v>
      </c>
      <c r="Y632" s="2140">
        <v>44529</v>
      </c>
      <c r="Z632" s="2140">
        <v>44531</v>
      </c>
      <c r="AA632" s="2140">
        <v>45624</v>
      </c>
      <c r="AB632" s="2140">
        <v>44642</v>
      </c>
      <c r="AC632" s="2109">
        <v>2022</v>
      </c>
      <c r="AD632" s="388">
        <v>2023</v>
      </c>
      <c r="AE632" s="388" t="s">
        <v>10442</v>
      </c>
    </row>
    <row r="633" spans="1:31" ht="30.75" thickBot="1">
      <c r="A633" s="411" t="s">
        <v>3585</v>
      </c>
      <c r="B633" s="411" t="s">
        <v>9849</v>
      </c>
      <c r="C633" s="411" t="s">
        <v>2434</v>
      </c>
      <c r="D633" s="411" t="s">
        <v>219</v>
      </c>
      <c r="E633" s="412" t="s">
        <v>9850</v>
      </c>
      <c r="F633" s="411">
        <v>4</v>
      </c>
      <c r="G633" s="630" t="s">
        <v>9479</v>
      </c>
      <c r="H633" s="411"/>
      <c r="I633" s="411" t="s">
        <v>642</v>
      </c>
      <c r="J633" s="411"/>
      <c r="K633" s="417">
        <v>209626.5</v>
      </c>
      <c r="L633" s="411" t="s">
        <v>251</v>
      </c>
      <c r="M633" s="416">
        <v>44463</v>
      </c>
      <c r="N633" s="416">
        <v>44496</v>
      </c>
      <c r="O633" s="416">
        <v>44509</v>
      </c>
      <c r="P633" s="630" t="s">
        <v>4839</v>
      </c>
      <c r="Q633" s="411"/>
      <c r="R633" s="417">
        <v>209626.5</v>
      </c>
      <c r="S633" s="417">
        <v>253648.07</v>
      </c>
      <c r="T633" s="1480"/>
      <c r="U633" s="1480"/>
      <c r="V633" s="1480"/>
      <c r="W633" s="513">
        <v>44509</v>
      </c>
      <c r="X633" s="1553" t="s">
        <v>10270</v>
      </c>
      <c r="Y633" s="416">
        <v>44529</v>
      </c>
      <c r="Z633" s="416">
        <v>44531</v>
      </c>
      <c r="AA633" s="416">
        <v>45624</v>
      </c>
      <c r="AB633" s="411" t="s">
        <v>11373</v>
      </c>
      <c r="AC633" s="422">
        <v>2022</v>
      </c>
      <c r="AD633" s="388">
        <v>2023</v>
      </c>
      <c r="AE633" s="388" t="s">
        <v>10442</v>
      </c>
    </row>
    <row r="634" spans="1:31" ht="30.75" thickTop="1">
      <c r="A634" s="428">
        <v>44452</v>
      </c>
      <c r="B634" s="425" t="s">
        <v>9854</v>
      </c>
      <c r="C634" s="425" t="s">
        <v>2434</v>
      </c>
      <c r="D634" s="425" t="s">
        <v>3204</v>
      </c>
      <c r="E634" s="426" t="s">
        <v>4122</v>
      </c>
      <c r="F634" s="425">
        <v>1</v>
      </c>
      <c r="G634" s="1371" t="s">
        <v>9855</v>
      </c>
      <c r="H634" s="583"/>
      <c r="I634" s="425" t="s">
        <v>642</v>
      </c>
      <c r="J634" s="425"/>
      <c r="K634" s="429">
        <v>1500000</v>
      </c>
      <c r="L634" s="425" t="s">
        <v>251</v>
      </c>
      <c r="M634" s="428">
        <v>44462</v>
      </c>
      <c r="N634" s="428">
        <v>44516</v>
      </c>
      <c r="O634" s="428">
        <v>44531</v>
      </c>
      <c r="P634" s="1371" t="s">
        <v>4894</v>
      </c>
      <c r="Q634" s="425"/>
      <c r="R634" s="429">
        <v>1500000</v>
      </c>
      <c r="S634" s="429">
        <v>1725000</v>
      </c>
      <c r="T634" s="1483"/>
      <c r="U634" s="1483"/>
      <c r="V634" s="1483"/>
      <c r="W634" s="1384">
        <v>44531</v>
      </c>
      <c r="X634" s="2031" t="s">
        <v>10487</v>
      </c>
      <c r="Y634" s="425"/>
      <c r="Z634" s="425"/>
      <c r="AA634" s="425"/>
      <c r="AB634" s="425"/>
      <c r="AC634" s="425"/>
    </row>
    <row r="635" spans="1:31" ht="30">
      <c r="A635" s="2153">
        <v>44452</v>
      </c>
      <c r="B635" s="2154" t="s">
        <v>9854</v>
      </c>
      <c r="C635" s="2154" t="s">
        <v>2434</v>
      </c>
      <c r="D635" s="2154" t="s">
        <v>3204</v>
      </c>
      <c r="E635" s="2155" t="s">
        <v>4122</v>
      </c>
      <c r="F635" s="2154">
        <v>2</v>
      </c>
      <c r="G635" s="2156" t="s">
        <v>4148</v>
      </c>
      <c r="H635" s="2085"/>
      <c r="I635" s="2154" t="s">
        <v>642</v>
      </c>
      <c r="J635" s="2154"/>
      <c r="K635" s="2157">
        <v>189800</v>
      </c>
      <c r="L635" s="2154" t="s">
        <v>251</v>
      </c>
      <c r="M635" s="2153">
        <v>44462</v>
      </c>
      <c r="N635" s="2153">
        <v>44516</v>
      </c>
      <c r="O635" s="2153">
        <v>44531</v>
      </c>
      <c r="P635" s="2156" t="s">
        <v>4893</v>
      </c>
      <c r="Q635" s="2154"/>
      <c r="R635" s="2157">
        <v>189800</v>
      </c>
      <c r="S635" s="2157">
        <v>218270</v>
      </c>
      <c r="T635" s="2094"/>
      <c r="U635" s="2094"/>
      <c r="V635" s="2094"/>
      <c r="W635" s="2160">
        <v>44531</v>
      </c>
      <c r="X635" s="2326" t="s">
        <v>10488</v>
      </c>
      <c r="Y635" s="2154"/>
      <c r="Z635" s="2154"/>
      <c r="AA635" s="2154"/>
      <c r="AB635" s="2154"/>
      <c r="AC635" s="2154"/>
    </row>
    <row r="636" spans="1:31" ht="30">
      <c r="A636" s="2153">
        <v>44452</v>
      </c>
      <c r="B636" s="2154" t="s">
        <v>9854</v>
      </c>
      <c r="C636" s="2154" t="s">
        <v>2434</v>
      </c>
      <c r="D636" s="2154" t="s">
        <v>3204</v>
      </c>
      <c r="E636" s="2155" t="s">
        <v>4122</v>
      </c>
      <c r="F636" s="2154">
        <v>3</v>
      </c>
      <c r="G636" s="2156" t="s">
        <v>9856</v>
      </c>
      <c r="H636" s="2085"/>
      <c r="I636" s="2154" t="s">
        <v>642</v>
      </c>
      <c r="J636" s="2154"/>
      <c r="K636" s="2157">
        <v>1635000</v>
      </c>
      <c r="L636" s="2154" t="s">
        <v>251</v>
      </c>
      <c r="M636" s="2153">
        <v>44462</v>
      </c>
      <c r="N636" s="2153">
        <v>44516</v>
      </c>
      <c r="O636" s="2153">
        <v>44531</v>
      </c>
      <c r="P636" s="2156" t="s">
        <v>2973</v>
      </c>
      <c r="Q636" s="2154"/>
      <c r="R636" s="2157">
        <v>1635000</v>
      </c>
      <c r="S636" s="2157">
        <v>1880250</v>
      </c>
      <c r="T636" s="2094"/>
      <c r="U636" s="2094"/>
      <c r="V636" s="2094"/>
      <c r="W636" s="2160">
        <v>44531</v>
      </c>
      <c r="X636" s="2326" t="s">
        <v>10489</v>
      </c>
      <c r="Y636" s="2154"/>
      <c r="Z636" s="2154"/>
      <c r="AA636" s="2154"/>
      <c r="AB636" s="2154"/>
      <c r="AC636" s="2154"/>
    </row>
    <row r="637" spans="1:31">
      <c r="A637" s="2124">
        <v>44452</v>
      </c>
      <c r="B637" s="2125" t="s">
        <v>9854</v>
      </c>
      <c r="C637" s="2125" t="s">
        <v>2434</v>
      </c>
      <c r="D637" s="2125" t="s">
        <v>3204</v>
      </c>
      <c r="E637" s="2126" t="s">
        <v>4122</v>
      </c>
      <c r="F637" s="2125">
        <v>4</v>
      </c>
      <c r="G637" s="2127" t="s">
        <v>9857</v>
      </c>
      <c r="H637" s="2125"/>
      <c r="I637" s="2125" t="s">
        <v>642</v>
      </c>
      <c r="J637" s="2125"/>
      <c r="K637" s="2128">
        <v>342600</v>
      </c>
      <c r="L637" s="2125" t="s">
        <v>251</v>
      </c>
      <c r="M637" s="2124">
        <v>44462</v>
      </c>
      <c r="N637" s="2124">
        <v>44516</v>
      </c>
      <c r="O637" s="2125"/>
      <c r="P637" s="2136" t="s">
        <v>304</v>
      </c>
      <c r="Q637" s="2125"/>
      <c r="R637" s="2128"/>
      <c r="S637" s="2128"/>
      <c r="T637" s="2129"/>
      <c r="U637" s="2129"/>
      <c r="V637" s="2129"/>
      <c r="W637" s="2128"/>
      <c r="X637" s="2128"/>
      <c r="Y637" s="2125"/>
      <c r="Z637" s="2124">
        <v>44546</v>
      </c>
      <c r="AA637" s="2125" t="s">
        <v>10340</v>
      </c>
      <c r="AB637" s="2125"/>
      <c r="AC637" s="2125"/>
    </row>
    <row r="638" spans="1:31" ht="30">
      <c r="A638" s="2153">
        <v>44452</v>
      </c>
      <c r="B638" s="2154" t="s">
        <v>9854</v>
      </c>
      <c r="C638" s="2154" t="s">
        <v>2434</v>
      </c>
      <c r="D638" s="2154" t="s">
        <v>3204</v>
      </c>
      <c r="E638" s="2155" t="s">
        <v>4122</v>
      </c>
      <c r="F638" s="2154">
        <v>5</v>
      </c>
      <c r="G638" s="2156" t="s">
        <v>9858</v>
      </c>
      <c r="H638" s="2085"/>
      <c r="I638" s="2154" t="s">
        <v>642</v>
      </c>
      <c r="J638" s="2154"/>
      <c r="K638" s="2157">
        <v>528000</v>
      </c>
      <c r="L638" s="2154" t="s">
        <v>251</v>
      </c>
      <c r="M638" s="2153">
        <v>44462</v>
      </c>
      <c r="N638" s="2153">
        <v>44516</v>
      </c>
      <c r="O638" s="2153">
        <v>44531</v>
      </c>
      <c r="P638" s="2156" t="s">
        <v>4894</v>
      </c>
      <c r="Q638" s="2154"/>
      <c r="R638" s="2157">
        <v>528000</v>
      </c>
      <c r="S638" s="2157">
        <v>607200</v>
      </c>
      <c r="T638" s="2094"/>
      <c r="U638" s="2094"/>
      <c r="V638" s="2094"/>
      <c r="W638" s="2160">
        <v>44531</v>
      </c>
      <c r="X638" s="2326" t="s">
        <v>10490</v>
      </c>
      <c r="Y638" s="2154"/>
      <c r="Z638" s="2154"/>
      <c r="AA638" s="2154"/>
      <c r="AB638" s="2154"/>
      <c r="AC638" s="2154"/>
    </row>
    <row r="639" spans="1:31" ht="30">
      <c r="A639" s="2153">
        <v>44452</v>
      </c>
      <c r="B639" s="2154" t="s">
        <v>9854</v>
      </c>
      <c r="C639" s="2154" t="s">
        <v>2434</v>
      </c>
      <c r="D639" s="2154" t="s">
        <v>3204</v>
      </c>
      <c r="E639" s="2155" t="s">
        <v>4122</v>
      </c>
      <c r="F639" s="2154">
        <v>6</v>
      </c>
      <c r="G639" s="2156" t="s">
        <v>9859</v>
      </c>
      <c r="H639" s="2085"/>
      <c r="I639" s="2154" t="s">
        <v>642</v>
      </c>
      <c r="J639" s="2154"/>
      <c r="K639" s="2157">
        <v>652170</v>
      </c>
      <c r="L639" s="2154" t="s">
        <v>251</v>
      </c>
      <c r="M639" s="2153">
        <v>44462</v>
      </c>
      <c r="N639" s="2153">
        <v>44516</v>
      </c>
      <c r="O639" s="2153">
        <v>44531</v>
      </c>
      <c r="P639" s="2156" t="s">
        <v>2973</v>
      </c>
      <c r="Q639" s="2154"/>
      <c r="R639" s="2157">
        <v>651900</v>
      </c>
      <c r="S639" s="2157">
        <v>749685</v>
      </c>
      <c r="T639" s="2094"/>
      <c r="U639" s="2094"/>
      <c r="V639" s="2094"/>
      <c r="W639" s="2160">
        <v>44531</v>
      </c>
      <c r="X639" s="2326" t="s">
        <v>10491</v>
      </c>
      <c r="Y639" s="2154"/>
      <c r="Z639" s="2154"/>
      <c r="AA639" s="2154"/>
      <c r="AB639" s="2154"/>
      <c r="AC639" s="2154"/>
    </row>
    <row r="640" spans="1:31" ht="30.75" thickBot="1">
      <c r="A640" s="2152">
        <v>44452</v>
      </c>
      <c r="B640" s="2297" t="s">
        <v>9854</v>
      </c>
      <c r="C640" s="2297" t="s">
        <v>2434</v>
      </c>
      <c r="D640" s="2297" t="s">
        <v>3204</v>
      </c>
      <c r="E640" s="2298" t="s">
        <v>4122</v>
      </c>
      <c r="F640" s="2297">
        <v>7</v>
      </c>
      <c r="G640" s="2300" t="s">
        <v>4153</v>
      </c>
      <c r="H640" s="2089"/>
      <c r="I640" s="2297" t="s">
        <v>642</v>
      </c>
      <c r="J640" s="2297"/>
      <c r="K640" s="2299">
        <v>26578800</v>
      </c>
      <c r="L640" s="2297" t="s">
        <v>251</v>
      </c>
      <c r="M640" s="2152">
        <v>44462</v>
      </c>
      <c r="N640" s="2152">
        <v>44516</v>
      </c>
      <c r="O640" s="2152">
        <v>44531</v>
      </c>
      <c r="P640" s="2300" t="s">
        <v>4839</v>
      </c>
      <c r="Q640" s="2297"/>
      <c r="R640" s="2299">
        <v>26577000</v>
      </c>
      <c r="S640" s="2299">
        <v>30563550</v>
      </c>
      <c r="T640" s="2095"/>
      <c r="U640" s="2095"/>
      <c r="V640" s="2095"/>
      <c r="W640" s="2315">
        <v>44531</v>
      </c>
      <c r="X640" s="2341" t="s">
        <v>10492</v>
      </c>
      <c r="Y640" s="2297"/>
      <c r="Z640" s="2297"/>
      <c r="AA640" s="2297"/>
      <c r="AB640" s="2297"/>
      <c r="AC640" s="2297"/>
    </row>
    <row r="641" spans="1:31" ht="15.75" thickTop="1">
      <c r="A641" s="470">
        <v>44449</v>
      </c>
      <c r="B641" s="466" t="s">
        <v>9864</v>
      </c>
      <c r="C641" s="466" t="s">
        <v>2250</v>
      </c>
      <c r="D641" s="466" t="s">
        <v>1416</v>
      </c>
      <c r="E641" s="467" t="s">
        <v>3365</v>
      </c>
      <c r="F641" s="466"/>
      <c r="G641" s="654"/>
      <c r="H641" s="466"/>
      <c r="I641" s="466" t="s">
        <v>1422</v>
      </c>
      <c r="J641" s="466"/>
      <c r="K641" s="472">
        <v>500000</v>
      </c>
      <c r="L641" s="466" t="s">
        <v>112</v>
      </c>
      <c r="M641" s="470">
        <v>44459</v>
      </c>
      <c r="N641" s="470">
        <v>44468</v>
      </c>
      <c r="O641" s="470">
        <v>44480</v>
      </c>
      <c r="P641" s="471" t="s">
        <v>242</v>
      </c>
      <c r="Q641" s="466"/>
      <c r="R641" s="472">
        <v>476429.75</v>
      </c>
      <c r="S641" s="472">
        <v>526800</v>
      </c>
      <c r="T641" s="1516"/>
      <c r="U641" s="1516"/>
      <c r="V641" s="1516"/>
      <c r="W641" s="1547">
        <v>44480</v>
      </c>
      <c r="X641" s="472" t="s">
        <v>10039</v>
      </c>
      <c r="Y641" s="466"/>
      <c r="Z641" s="470">
        <v>44505</v>
      </c>
      <c r="AA641" s="466"/>
      <c r="AB641" s="466"/>
      <c r="AC641" s="466"/>
    </row>
    <row r="642" spans="1:31">
      <c r="A642" s="491" t="s">
        <v>3585</v>
      </c>
      <c r="B642" s="491" t="s">
        <v>9865</v>
      </c>
      <c r="C642" s="491" t="s">
        <v>2712</v>
      </c>
      <c r="D642" s="491" t="s">
        <v>2731</v>
      </c>
      <c r="E642" s="571" t="s">
        <v>9866</v>
      </c>
      <c r="F642" s="491"/>
      <c r="G642" s="495"/>
      <c r="H642" s="491"/>
      <c r="I642" s="491" t="s">
        <v>6555</v>
      </c>
      <c r="J642" s="491"/>
      <c r="K642" s="536">
        <v>610000</v>
      </c>
      <c r="L642" s="491" t="s">
        <v>112</v>
      </c>
      <c r="M642" s="537">
        <v>44455</v>
      </c>
      <c r="N642" s="537">
        <v>44460</v>
      </c>
      <c r="O642" s="537">
        <v>44461</v>
      </c>
      <c r="P642" s="495" t="s">
        <v>9891</v>
      </c>
      <c r="Q642" s="491"/>
      <c r="R642" s="536">
        <v>602170</v>
      </c>
      <c r="S642" s="536">
        <v>676951</v>
      </c>
      <c r="T642" s="1471"/>
      <c r="U642" s="1471"/>
      <c r="V642" s="1471"/>
      <c r="W642" s="573">
        <v>44461</v>
      </c>
      <c r="X642" s="536" t="s">
        <v>9893</v>
      </c>
      <c r="Y642" s="537">
        <v>44473</v>
      </c>
      <c r="Z642" s="537">
        <v>44474</v>
      </c>
      <c r="AA642" s="537">
        <v>44477</v>
      </c>
      <c r="AB642" s="537">
        <v>44543</v>
      </c>
      <c r="AC642" s="1102"/>
    </row>
    <row r="643" spans="1:31">
      <c r="A643" s="537">
        <v>44455</v>
      </c>
      <c r="B643" s="491" t="s">
        <v>9875</v>
      </c>
      <c r="C643" s="491" t="s">
        <v>1032</v>
      </c>
      <c r="D643" s="491" t="s">
        <v>1033</v>
      </c>
      <c r="E643" s="571" t="s">
        <v>9876</v>
      </c>
      <c r="F643" s="491"/>
      <c r="G643" s="495"/>
      <c r="H643" s="491"/>
      <c r="I643" s="491" t="s">
        <v>5246</v>
      </c>
      <c r="J643" s="491"/>
      <c r="K643" s="536">
        <v>1050000</v>
      </c>
      <c r="L643" s="491" t="s">
        <v>112</v>
      </c>
      <c r="M643" s="537">
        <v>44462</v>
      </c>
      <c r="N643" s="537">
        <v>44476</v>
      </c>
      <c r="O643" s="537">
        <v>44489</v>
      </c>
      <c r="P643" s="495" t="s">
        <v>10048</v>
      </c>
      <c r="Q643" s="491"/>
      <c r="R643" s="536">
        <v>1014916.25</v>
      </c>
      <c r="S643" s="536">
        <v>1228048.6599999999</v>
      </c>
      <c r="T643" s="1471"/>
      <c r="U643" s="1471"/>
      <c r="V643" s="1471"/>
      <c r="W643" s="573">
        <v>44489</v>
      </c>
      <c r="X643" s="536" t="s">
        <v>10123</v>
      </c>
      <c r="Y643" s="537">
        <v>44511</v>
      </c>
      <c r="Z643" s="537">
        <v>44518</v>
      </c>
      <c r="AA643" s="537">
        <v>44571</v>
      </c>
      <c r="AB643" s="537">
        <v>44616</v>
      </c>
      <c r="AC643" s="1102"/>
    </row>
    <row r="644" spans="1:31">
      <c r="A644" s="506" t="s">
        <v>3585</v>
      </c>
      <c r="B644" s="506" t="s">
        <v>9877</v>
      </c>
      <c r="C644" s="506" t="s">
        <v>69</v>
      </c>
      <c r="D644" s="506" t="s">
        <v>70</v>
      </c>
      <c r="E644" s="769" t="s">
        <v>9878</v>
      </c>
      <c r="F644" s="506"/>
      <c r="G644" s="548"/>
      <c r="H644" s="506"/>
      <c r="I644" s="506" t="s">
        <v>42</v>
      </c>
      <c r="J644" s="506"/>
      <c r="K644" s="511">
        <v>1936800</v>
      </c>
      <c r="L644" s="506" t="s">
        <v>112</v>
      </c>
      <c r="M644" s="510">
        <v>44460</v>
      </c>
      <c r="N644" s="510">
        <v>44463</v>
      </c>
      <c r="O644" s="506"/>
      <c r="P644" s="736" t="s">
        <v>4505</v>
      </c>
      <c r="Q644" s="1985" t="s">
        <v>9969</v>
      </c>
      <c r="R644" s="511"/>
      <c r="S644" s="511"/>
      <c r="T644" s="1470"/>
      <c r="U644" s="1470"/>
      <c r="V644" s="1470"/>
      <c r="W644" s="511"/>
      <c r="X644" s="511"/>
      <c r="Y644" s="506"/>
      <c r="Z644" s="510">
        <v>44466</v>
      </c>
      <c r="AA644" s="506"/>
      <c r="AB644" s="506"/>
      <c r="AC644" s="506"/>
    </row>
    <row r="645" spans="1:31">
      <c r="A645" s="510">
        <v>44446</v>
      </c>
      <c r="B645" s="506" t="s">
        <v>9880</v>
      </c>
      <c r="C645" s="506" t="s">
        <v>4997</v>
      </c>
      <c r="D645" s="506" t="s">
        <v>7475</v>
      </c>
      <c r="E645" s="507" t="s">
        <v>9881</v>
      </c>
      <c r="F645" s="506"/>
      <c r="G645" s="548"/>
      <c r="H645" s="590"/>
      <c r="I645" s="506" t="s">
        <v>5023</v>
      </c>
      <c r="J645" s="506"/>
      <c r="K645" s="511">
        <v>1300000</v>
      </c>
      <c r="L645" s="506" t="s">
        <v>112</v>
      </c>
      <c r="M645" s="510">
        <v>44462</v>
      </c>
      <c r="N645" s="510">
        <v>44474</v>
      </c>
      <c r="O645" s="506"/>
      <c r="P645" s="736" t="s">
        <v>304</v>
      </c>
      <c r="Q645" s="506"/>
      <c r="R645" s="511"/>
      <c r="S645" s="511"/>
      <c r="T645" s="1484"/>
      <c r="U645" s="1484"/>
      <c r="V645" s="1484"/>
      <c r="W645" s="511"/>
      <c r="X645" s="511"/>
      <c r="Y645" s="506"/>
      <c r="Z645" s="510">
        <v>44474</v>
      </c>
      <c r="AA645" s="506"/>
      <c r="AB645" s="506"/>
      <c r="AC645" s="506"/>
    </row>
    <row r="646" spans="1:31" ht="30.75" thickBot="1">
      <c r="A646" s="416">
        <v>44440</v>
      </c>
      <c r="B646" s="411" t="s">
        <v>9885</v>
      </c>
      <c r="C646" s="411" t="s">
        <v>58</v>
      </c>
      <c r="D646" s="411" t="s">
        <v>4969</v>
      </c>
      <c r="E646" s="630" t="s">
        <v>6134</v>
      </c>
      <c r="F646" s="411"/>
      <c r="G646" s="630"/>
      <c r="H646" s="411"/>
      <c r="I646" s="411" t="s">
        <v>421</v>
      </c>
      <c r="J646" s="411" t="s">
        <v>9822</v>
      </c>
      <c r="K646" s="417">
        <v>5089000</v>
      </c>
      <c r="L646" s="411" t="s">
        <v>251</v>
      </c>
      <c r="M646" s="416">
        <v>44462</v>
      </c>
      <c r="N646" s="416">
        <v>44515</v>
      </c>
      <c r="O646" s="416">
        <v>44533</v>
      </c>
      <c r="P646" s="630" t="s">
        <v>198</v>
      </c>
      <c r="Q646" s="411"/>
      <c r="R646" s="417">
        <v>5004890</v>
      </c>
      <c r="S646" s="417">
        <v>6055916.9000000004</v>
      </c>
      <c r="T646" s="1480"/>
      <c r="U646" s="1480"/>
      <c r="V646" s="1480"/>
      <c r="W646" s="513">
        <v>44533</v>
      </c>
      <c r="X646" s="1553" t="s">
        <v>10508</v>
      </c>
      <c r="Y646" s="416">
        <v>44557</v>
      </c>
      <c r="Z646" s="416">
        <v>44567</v>
      </c>
      <c r="AA646" s="416">
        <v>44613</v>
      </c>
      <c r="AB646" s="416">
        <v>44624</v>
      </c>
      <c r="AC646" s="422" t="s">
        <v>1875</v>
      </c>
    </row>
    <row r="647" spans="1:31" ht="15.75" thickTop="1">
      <c r="A647" s="443">
        <v>44460</v>
      </c>
      <c r="B647" s="439" t="s">
        <v>9897</v>
      </c>
      <c r="C647" s="439" t="s">
        <v>1032</v>
      </c>
      <c r="D647" s="439" t="s">
        <v>361</v>
      </c>
      <c r="E647" s="440" t="s">
        <v>9898</v>
      </c>
      <c r="F647" s="439">
        <v>1</v>
      </c>
      <c r="G647" s="1431" t="s">
        <v>9899</v>
      </c>
      <c r="H647" s="439"/>
      <c r="I647" s="439" t="s">
        <v>498</v>
      </c>
      <c r="J647" s="439"/>
      <c r="K647" s="444">
        <v>5500000</v>
      </c>
      <c r="L647" s="439" t="s">
        <v>216</v>
      </c>
      <c r="M647" s="443">
        <v>44466</v>
      </c>
      <c r="N647" s="443">
        <v>44491</v>
      </c>
      <c r="O647" s="439"/>
      <c r="P647" s="753" t="s">
        <v>10260</v>
      </c>
      <c r="Q647" s="439"/>
      <c r="R647" s="444"/>
      <c r="S647" s="444"/>
      <c r="T647" s="1481"/>
      <c r="U647" s="1481"/>
      <c r="V647" s="1481"/>
      <c r="W647" s="444"/>
      <c r="X647" s="444"/>
      <c r="Y647" s="439"/>
      <c r="Z647" s="443">
        <v>44536</v>
      </c>
      <c r="AA647" s="439" t="s">
        <v>10321</v>
      </c>
      <c r="AB647" s="439"/>
      <c r="AC647" s="439"/>
    </row>
    <row r="648" spans="1:31">
      <c r="A648" s="2124">
        <v>44460</v>
      </c>
      <c r="B648" s="2125" t="s">
        <v>9897</v>
      </c>
      <c r="C648" s="2125" t="s">
        <v>1032</v>
      </c>
      <c r="D648" s="2125" t="s">
        <v>361</v>
      </c>
      <c r="E648" s="2126" t="s">
        <v>9898</v>
      </c>
      <c r="F648" s="2125">
        <v>2</v>
      </c>
      <c r="G648" s="2127" t="s">
        <v>9900</v>
      </c>
      <c r="H648" s="2125"/>
      <c r="I648" s="2125" t="s">
        <v>498</v>
      </c>
      <c r="J648" s="2125"/>
      <c r="K648" s="2128">
        <v>2600000</v>
      </c>
      <c r="L648" s="2125" t="s">
        <v>216</v>
      </c>
      <c r="M648" s="2124">
        <v>44466</v>
      </c>
      <c r="N648" s="2124">
        <v>44491</v>
      </c>
      <c r="O648" s="2125"/>
      <c r="P648" s="2136" t="s">
        <v>10260</v>
      </c>
      <c r="Q648" s="2125"/>
      <c r="R648" s="2128"/>
      <c r="S648" s="2128"/>
      <c r="T648" s="2129"/>
      <c r="U648" s="2129"/>
      <c r="V648" s="2129"/>
      <c r="W648" s="2128"/>
      <c r="X648" s="2128"/>
      <c r="Y648" s="2125"/>
      <c r="Z648" s="2124">
        <v>44536</v>
      </c>
      <c r="AA648" s="2125" t="s">
        <v>10321</v>
      </c>
      <c r="AB648" s="2125"/>
      <c r="AC648" s="2125"/>
    </row>
    <row r="649" spans="1:31">
      <c r="A649" s="2124">
        <v>44460</v>
      </c>
      <c r="B649" s="2125" t="s">
        <v>9897</v>
      </c>
      <c r="C649" s="2125" t="s">
        <v>1032</v>
      </c>
      <c r="D649" s="2125" t="s">
        <v>361</v>
      </c>
      <c r="E649" s="2126" t="s">
        <v>9898</v>
      </c>
      <c r="F649" s="2125">
        <v>3</v>
      </c>
      <c r="G649" s="2127" t="s">
        <v>9901</v>
      </c>
      <c r="H649" s="2125"/>
      <c r="I649" s="2125" t="s">
        <v>498</v>
      </c>
      <c r="J649" s="2125"/>
      <c r="K649" s="2128">
        <v>7900000</v>
      </c>
      <c r="L649" s="2125" t="s">
        <v>216</v>
      </c>
      <c r="M649" s="2124">
        <v>44466</v>
      </c>
      <c r="N649" s="2124">
        <v>44491</v>
      </c>
      <c r="O649" s="2125"/>
      <c r="P649" s="2136" t="s">
        <v>10260</v>
      </c>
      <c r="Q649" s="2125"/>
      <c r="R649" s="2128"/>
      <c r="S649" s="2128"/>
      <c r="T649" s="2129"/>
      <c r="U649" s="2129"/>
      <c r="V649" s="2129"/>
      <c r="W649" s="2128"/>
      <c r="X649" s="2128"/>
      <c r="Y649" s="2125"/>
      <c r="Z649" s="2124">
        <v>44536</v>
      </c>
      <c r="AA649" s="2125" t="s">
        <v>10321</v>
      </c>
      <c r="AB649" s="2125"/>
      <c r="AC649" s="2125"/>
    </row>
    <row r="650" spans="1:31" ht="15.75" thickBot="1">
      <c r="A650" s="2130">
        <v>44460</v>
      </c>
      <c r="B650" s="2131" t="s">
        <v>9897</v>
      </c>
      <c r="C650" s="2131" t="s">
        <v>1032</v>
      </c>
      <c r="D650" s="2131" t="s">
        <v>361</v>
      </c>
      <c r="E650" s="2132" t="s">
        <v>9898</v>
      </c>
      <c r="F650" s="2131">
        <v>4</v>
      </c>
      <c r="G650" s="2133" t="s">
        <v>9902</v>
      </c>
      <c r="H650" s="2131"/>
      <c r="I650" s="2131" t="s">
        <v>498</v>
      </c>
      <c r="J650" s="2131"/>
      <c r="K650" s="2134">
        <v>15200000</v>
      </c>
      <c r="L650" s="2131" t="s">
        <v>216</v>
      </c>
      <c r="M650" s="2130">
        <v>44466</v>
      </c>
      <c r="N650" s="2130">
        <v>44491</v>
      </c>
      <c r="O650" s="2131"/>
      <c r="P650" s="2137" t="s">
        <v>10260</v>
      </c>
      <c r="Q650" s="2131"/>
      <c r="R650" s="2134"/>
      <c r="S650" s="2134"/>
      <c r="T650" s="2135"/>
      <c r="U650" s="2135"/>
      <c r="V650" s="2135"/>
      <c r="W650" s="2134"/>
      <c r="X650" s="2134"/>
      <c r="Y650" s="2131"/>
      <c r="Z650" s="2130">
        <v>44536</v>
      </c>
      <c r="AA650" s="2131" t="s">
        <v>10321</v>
      </c>
      <c r="AB650" s="2131"/>
      <c r="AC650" s="2131"/>
    </row>
    <row r="651" spans="1:31" ht="30.75" thickTop="1">
      <c r="A651" s="365">
        <v>44441</v>
      </c>
      <c r="B651" s="2440" t="s">
        <v>9903</v>
      </c>
      <c r="C651" s="2440" t="s">
        <v>58</v>
      </c>
      <c r="D651" s="2440" t="s">
        <v>4969</v>
      </c>
      <c r="E651" s="175" t="s">
        <v>9904</v>
      </c>
      <c r="F651" s="2440"/>
      <c r="G651" s="2441"/>
      <c r="H651" s="2440"/>
      <c r="I651" s="2440" t="s">
        <v>421</v>
      </c>
      <c r="J651" s="2440" t="s">
        <v>9905</v>
      </c>
      <c r="K651" s="364">
        <v>711120</v>
      </c>
      <c r="L651" s="2440" t="s">
        <v>112</v>
      </c>
      <c r="M651" s="365">
        <v>44463</v>
      </c>
      <c r="N651" s="365">
        <v>44476</v>
      </c>
      <c r="O651" s="365">
        <v>44487</v>
      </c>
      <c r="P651" s="2441" t="s">
        <v>5890</v>
      </c>
      <c r="Q651" s="2440"/>
      <c r="R651" s="364">
        <v>683440</v>
      </c>
      <c r="S651" s="364">
        <v>826963</v>
      </c>
      <c r="T651" s="1473"/>
      <c r="U651" s="1473"/>
      <c r="V651" s="1473"/>
      <c r="W651" s="681">
        <v>44488</v>
      </c>
      <c r="X651" s="1417" t="s">
        <v>10124</v>
      </c>
      <c r="Y651" s="365">
        <v>44538</v>
      </c>
      <c r="Z651" s="365">
        <v>44539</v>
      </c>
      <c r="AA651" s="365">
        <v>44580</v>
      </c>
      <c r="AB651" s="365">
        <v>44606</v>
      </c>
      <c r="AC651" s="451" t="s">
        <v>1875</v>
      </c>
    </row>
    <row r="652" spans="1:31" ht="30.75" thickBot="1">
      <c r="A652" s="416">
        <v>44435</v>
      </c>
      <c r="B652" s="411" t="s">
        <v>9906</v>
      </c>
      <c r="C652" s="411" t="s">
        <v>58</v>
      </c>
      <c r="D652" s="411" t="s">
        <v>4969</v>
      </c>
      <c r="E652" s="412" t="s">
        <v>9907</v>
      </c>
      <c r="F652" s="411"/>
      <c r="G652" s="630"/>
      <c r="H652" s="411"/>
      <c r="I652" s="411" t="s">
        <v>421</v>
      </c>
      <c r="J652" s="411" t="s">
        <v>9908</v>
      </c>
      <c r="K652" s="417">
        <v>921000</v>
      </c>
      <c r="L652" s="411" t="s">
        <v>112</v>
      </c>
      <c r="M652" s="416">
        <v>44475</v>
      </c>
      <c r="N652" s="416">
        <v>44487</v>
      </c>
      <c r="O652" s="416">
        <v>44502</v>
      </c>
      <c r="P652" s="630" t="s">
        <v>993</v>
      </c>
      <c r="Q652" s="411"/>
      <c r="R652" s="417">
        <v>920771.95</v>
      </c>
      <c r="S652" s="417">
        <v>1114134.06</v>
      </c>
      <c r="T652" s="1480"/>
      <c r="U652" s="1480"/>
      <c r="V652" s="1480"/>
      <c r="W652" s="513">
        <v>44502</v>
      </c>
      <c r="X652" s="1553" t="s">
        <v>10211</v>
      </c>
      <c r="Y652" s="416">
        <v>44543</v>
      </c>
      <c r="Z652" s="416">
        <v>44545</v>
      </c>
      <c r="AA652" s="416">
        <v>44633</v>
      </c>
      <c r="AB652" s="416">
        <v>44684</v>
      </c>
      <c r="AC652" s="422" t="s">
        <v>1875</v>
      </c>
    </row>
    <row r="653" spans="1:31" ht="30.75" thickTop="1">
      <c r="A653" s="474">
        <v>44453</v>
      </c>
      <c r="B653" s="453" t="s">
        <v>9909</v>
      </c>
      <c r="C653" s="453" t="s">
        <v>2434</v>
      </c>
      <c r="D653" s="453" t="s">
        <v>3204</v>
      </c>
      <c r="E653" s="473" t="s">
        <v>4750</v>
      </c>
      <c r="F653" s="453">
        <v>1</v>
      </c>
      <c r="G653" s="1420" t="s">
        <v>4751</v>
      </c>
      <c r="H653" s="453"/>
      <c r="I653" s="453" t="s">
        <v>7092</v>
      </c>
      <c r="J653" s="453"/>
      <c r="K653" s="457">
        <v>341520</v>
      </c>
      <c r="L653" s="453" t="s">
        <v>112</v>
      </c>
      <c r="M653" s="474">
        <v>44477</v>
      </c>
      <c r="N653" s="474">
        <v>44488</v>
      </c>
      <c r="O653" s="474">
        <v>44496</v>
      </c>
      <c r="P653" s="1420" t="s">
        <v>7296</v>
      </c>
      <c r="Q653" s="453"/>
      <c r="R653" s="457">
        <v>341520</v>
      </c>
      <c r="S653" s="457">
        <v>413239.2</v>
      </c>
      <c r="T653" s="1474"/>
      <c r="U653" s="1474"/>
      <c r="V653" s="1474"/>
      <c r="W653" s="570">
        <v>44498</v>
      </c>
      <c r="X653" s="1387" t="s">
        <v>10191</v>
      </c>
      <c r="Y653" s="474">
        <v>44516</v>
      </c>
      <c r="Z653" s="474">
        <v>44525</v>
      </c>
      <c r="AA653" s="474">
        <v>45611</v>
      </c>
      <c r="AB653" s="474">
        <v>44642</v>
      </c>
      <c r="AC653" s="1391">
        <v>2022</v>
      </c>
      <c r="AD653" s="388">
        <v>2023</v>
      </c>
      <c r="AE653" s="388" t="s">
        <v>10325</v>
      </c>
    </row>
    <row r="654" spans="1:31" ht="30">
      <c r="A654" s="2140">
        <v>44453</v>
      </c>
      <c r="B654" s="2141" t="s">
        <v>9909</v>
      </c>
      <c r="C654" s="2141" t="s">
        <v>2434</v>
      </c>
      <c r="D654" s="2141" t="s">
        <v>3204</v>
      </c>
      <c r="E654" s="2142" t="s">
        <v>4750</v>
      </c>
      <c r="F654" s="2141">
        <v>2</v>
      </c>
      <c r="G654" s="2143" t="s">
        <v>4752</v>
      </c>
      <c r="H654" s="2141"/>
      <c r="I654" s="2141" t="s">
        <v>7092</v>
      </c>
      <c r="J654" s="2141"/>
      <c r="K654" s="2144">
        <v>92560</v>
      </c>
      <c r="L654" s="2141" t="s">
        <v>112</v>
      </c>
      <c r="M654" s="2140">
        <v>44477</v>
      </c>
      <c r="N654" s="2140">
        <v>44488</v>
      </c>
      <c r="O654" s="2140">
        <v>44496</v>
      </c>
      <c r="P654" s="2143" t="s">
        <v>7296</v>
      </c>
      <c r="Q654" s="2141"/>
      <c r="R654" s="2144">
        <v>92560</v>
      </c>
      <c r="S654" s="2144">
        <v>111997.6</v>
      </c>
      <c r="T654" s="2145"/>
      <c r="U654" s="2145"/>
      <c r="V654" s="2145"/>
      <c r="W654" s="2146">
        <v>44498</v>
      </c>
      <c r="X654" s="2260" t="s">
        <v>10190</v>
      </c>
      <c r="Y654" s="2140">
        <v>44516</v>
      </c>
      <c r="Z654" s="2140">
        <v>44525</v>
      </c>
      <c r="AA654" s="2140">
        <v>45611</v>
      </c>
      <c r="AB654" s="2141" t="s">
        <v>11373</v>
      </c>
      <c r="AC654" s="2109">
        <v>2022</v>
      </c>
      <c r="AD654" s="388">
        <v>2023</v>
      </c>
      <c r="AE654" s="388" t="s">
        <v>10325</v>
      </c>
    </row>
    <row r="655" spans="1:31" ht="30.75" thickBot="1">
      <c r="A655" s="2130">
        <v>44453</v>
      </c>
      <c r="B655" s="2131" t="s">
        <v>9909</v>
      </c>
      <c r="C655" s="2131" t="s">
        <v>2434</v>
      </c>
      <c r="D655" s="2131" t="s">
        <v>3204</v>
      </c>
      <c r="E655" s="2132" t="s">
        <v>4750</v>
      </c>
      <c r="F655" s="2131">
        <v>3</v>
      </c>
      <c r="G655" s="2133" t="s">
        <v>4753</v>
      </c>
      <c r="H655" s="2131"/>
      <c r="I655" s="2131" t="s">
        <v>7092</v>
      </c>
      <c r="J655" s="2131"/>
      <c r="K655" s="2134">
        <v>335440</v>
      </c>
      <c r="L655" s="2131" t="s">
        <v>112</v>
      </c>
      <c r="M655" s="2130">
        <v>44477</v>
      </c>
      <c r="N655" s="2130">
        <v>44488</v>
      </c>
      <c r="O655" s="2130">
        <v>44496</v>
      </c>
      <c r="P655" s="2419" t="s">
        <v>10424</v>
      </c>
      <c r="Q655" s="2287" t="s">
        <v>10423</v>
      </c>
      <c r="R655" s="2134">
        <v>335440</v>
      </c>
      <c r="S655" s="2134">
        <v>405882.4</v>
      </c>
      <c r="T655" s="2135"/>
      <c r="U655" s="2135"/>
      <c r="V655" s="2135"/>
      <c r="W655" s="2163">
        <v>44498</v>
      </c>
      <c r="X655" s="2418" t="s">
        <v>10189</v>
      </c>
      <c r="Y655" s="2131"/>
      <c r="Z655" s="2130">
        <v>44525</v>
      </c>
      <c r="AA655" s="2131"/>
      <c r="AB655" s="2131"/>
      <c r="AC655" s="2131"/>
    </row>
    <row r="656" spans="1:31" ht="31.5" thickTop="1" thickBot="1">
      <c r="A656" s="498">
        <v>44454</v>
      </c>
      <c r="B656" s="232" t="s">
        <v>9910</v>
      </c>
      <c r="C656" s="232" t="s">
        <v>58</v>
      </c>
      <c r="D656" s="232" t="s">
        <v>4969</v>
      </c>
      <c r="E656" s="274" t="s">
        <v>9911</v>
      </c>
      <c r="F656" s="232"/>
      <c r="G656" s="669"/>
      <c r="H656" s="232"/>
      <c r="I656" s="232" t="s">
        <v>421</v>
      </c>
      <c r="J656" s="232" t="s">
        <v>9912</v>
      </c>
      <c r="K656" s="499">
        <v>570000</v>
      </c>
      <c r="L656" s="232" t="s">
        <v>112</v>
      </c>
      <c r="M656" s="498">
        <v>44469</v>
      </c>
      <c r="N656" s="498">
        <v>44477</v>
      </c>
      <c r="O656" s="498">
        <v>44487</v>
      </c>
      <c r="P656" s="669" t="s">
        <v>5890</v>
      </c>
      <c r="Q656" s="232"/>
      <c r="R656" s="499">
        <v>567640</v>
      </c>
      <c r="S656" s="499">
        <v>686845</v>
      </c>
      <c r="T656" s="1545"/>
      <c r="U656" s="1545"/>
      <c r="V656" s="1545"/>
      <c r="W656" s="682">
        <v>44488</v>
      </c>
      <c r="X656" s="1752" t="s">
        <v>10125</v>
      </c>
      <c r="Y656" s="498">
        <v>44516</v>
      </c>
      <c r="Z656" s="498">
        <v>44518</v>
      </c>
      <c r="AA656" s="498">
        <v>44558</v>
      </c>
      <c r="AB656" s="498">
        <v>44606</v>
      </c>
      <c r="AC656" s="1546" t="s">
        <v>1875</v>
      </c>
    </row>
    <row r="657" spans="1:31" ht="30.75" thickTop="1">
      <c r="A657" s="474">
        <v>44452</v>
      </c>
      <c r="B657" s="453" t="s">
        <v>9913</v>
      </c>
      <c r="C657" s="453" t="s">
        <v>2434</v>
      </c>
      <c r="D657" s="453" t="s">
        <v>3204</v>
      </c>
      <c r="E657" s="473" t="s">
        <v>4826</v>
      </c>
      <c r="F657" s="453"/>
      <c r="G657" s="1420"/>
      <c r="H657" s="453"/>
      <c r="I657" s="453" t="s">
        <v>642</v>
      </c>
      <c r="J657" s="453"/>
      <c r="K657" s="457">
        <v>2054660</v>
      </c>
      <c r="L657" s="453" t="s">
        <v>216</v>
      </c>
      <c r="M657" s="474">
        <v>44474</v>
      </c>
      <c r="N657" s="474">
        <v>44491</v>
      </c>
      <c r="O657" s="474">
        <v>44509</v>
      </c>
      <c r="P657" s="1420" t="s">
        <v>4893</v>
      </c>
      <c r="Q657" s="453"/>
      <c r="R657" s="457">
        <v>2054300</v>
      </c>
      <c r="S657" s="457">
        <v>2485703</v>
      </c>
      <c r="T657" s="1474"/>
      <c r="U657" s="1474"/>
      <c r="V657" s="1474"/>
      <c r="W657" s="570">
        <v>44509</v>
      </c>
      <c r="X657" s="1387" t="s">
        <v>10271</v>
      </c>
      <c r="Y657" s="474">
        <v>44529</v>
      </c>
      <c r="Z657" s="474">
        <v>44538</v>
      </c>
      <c r="AA657" s="474">
        <v>45624</v>
      </c>
      <c r="AB657" s="474">
        <v>44642</v>
      </c>
      <c r="AC657" s="1391">
        <v>2022</v>
      </c>
      <c r="AD657" s="388">
        <v>2023</v>
      </c>
      <c r="AE657" s="388" t="s">
        <v>10442</v>
      </c>
    </row>
    <row r="658" spans="1:31" ht="30">
      <c r="A658" s="365">
        <v>44452</v>
      </c>
      <c r="B658" s="2380" t="s">
        <v>9914</v>
      </c>
      <c r="C658" s="2380" t="s">
        <v>2434</v>
      </c>
      <c r="D658" s="2380" t="s">
        <v>3204</v>
      </c>
      <c r="E658" s="175" t="s">
        <v>4215</v>
      </c>
      <c r="F658" s="2380"/>
      <c r="G658" s="2381"/>
      <c r="H658" s="2380"/>
      <c r="I658" s="2380" t="s">
        <v>642</v>
      </c>
      <c r="J658" s="2380"/>
      <c r="K658" s="364">
        <v>640000</v>
      </c>
      <c r="L658" s="2380" t="s">
        <v>112</v>
      </c>
      <c r="M658" s="365">
        <v>44469</v>
      </c>
      <c r="N658" s="365">
        <v>44481</v>
      </c>
      <c r="O658" s="365">
        <v>44483</v>
      </c>
      <c r="P658" s="2381" t="s">
        <v>7296</v>
      </c>
      <c r="Q658" s="2380"/>
      <c r="R658" s="364">
        <v>640000</v>
      </c>
      <c r="S658" s="364">
        <v>774400</v>
      </c>
      <c r="T658" s="1473"/>
      <c r="U658" s="1473"/>
      <c r="V658" s="1473"/>
      <c r="W658" s="681">
        <v>44487</v>
      </c>
      <c r="X658" s="1417" t="s">
        <v>10108</v>
      </c>
      <c r="Y658" s="365">
        <v>44502</v>
      </c>
      <c r="Z658" s="365">
        <v>44504</v>
      </c>
      <c r="AA658" s="365">
        <v>45597</v>
      </c>
      <c r="AB658" s="365">
        <v>44642</v>
      </c>
      <c r="AC658" s="451">
        <v>2022</v>
      </c>
      <c r="AD658" s="388">
        <v>2023</v>
      </c>
      <c r="AE658" s="388" t="s">
        <v>10204</v>
      </c>
    </row>
    <row r="659" spans="1:31" ht="45">
      <c r="A659" s="416">
        <v>44445</v>
      </c>
      <c r="B659" s="411" t="s">
        <v>9916</v>
      </c>
      <c r="C659" s="411" t="s">
        <v>58</v>
      </c>
      <c r="D659" s="411" t="s">
        <v>4969</v>
      </c>
      <c r="E659" s="412" t="s">
        <v>9917</v>
      </c>
      <c r="F659" s="411"/>
      <c r="G659" s="630"/>
      <c r="H659" s="411"/>
      <c r="I659" s="411" t="s">
        <v>396</v>
      </c>
      <c r="J659" s="411" t="s">
        <v>9918</v>
      </c>
      <c r="K659" s="417">
        <v>913200</v>
      </c>
      <c r="L659" s="411" t="s">
        <v>112</v>
      </c>
      <c r="M659" s="416">
        <v>44469</v>
      </c>
      <c r="N659" s="416">
        <v>44480</v>
      </c>
      <c r="O659" s="416">
        <v>44502</v>
      </c>
      <c r="P659" s="630" t="s">
        <v>5890</v>
      </c>
      <c r="Q659" s="411"/>
      <c r="R659" s="417">
        <v>871462</v>
      </c>
      <c r="S659" s="417">
        <v>1054469.02</v>
      </c>
      <c r="T659" s="1480"/>
      <c r="U659" s="1480"/>
      <c r="V659" s="1480"/>
      <c r="W659" s="513">
        <v>44502</v>
      </c>
      <c r="X659" s="1553" t="s">
        <v>10212</v>
      </c>
      <c r="Y659" s="416">
        <v>44532</v>
      </c>
      <c r="Z659" s="416">
        <v>44539</v>
      </c>
      <c r="AA659" s="416">
        <v>44574</v>
      </c>
      <c r="AB659" s="416">
        <v>44606</v>
      </c>
      <c r="AC659" s="422" t="s">
        <v>6118</v>
      </c>
    </row>
    <row r="660" spans="1:31" ht="30">
      <c r="A660" s="2140">
        <v>44453</v>
      </c>
      <c r="B660" s="2141" t="s">
        <v>9915</v>
      </c>
      <c r="C660" s="2141" t="s">
        <v>2434</v>
      </c>
      <c r="D660" s="2141" t="s">
        <v>3204</v>
      </c>
      <c r="E660" s="2142" t="s">
        <v>4748</v>
      </c>
      <c r="F660" s="2141"/>
      <c r="G660" s="2143"/>
      <c r="H660" s="2141"/>
      <c r="I660" s="2141" t="s">
        <v>642</v>
      </c>
      <c r="J660" s="2141"/>
      <c r="K660" s="2144">
        <v>1346520</v>
      </c>
      <c r="L660" s="2141" t="s">
        <v>112</v>
      </c>
      <c r="M660" s="2140">
        <v>44469</v>
      </c>
      <c r="N660" s="2140">
        <v>44484</v>
      </c>
      <c r="O660" s="2140">
        <v>44489</v>
      </c>
      <c r="P660" s="2143" t="s">
        <v>10112</v>
      </c>
      <c r="Q660" s="2141"/>
      <c r="R660" s="2144">
        <v>1405730</v>
      </c>
      <c r="S660" s="2144">
        <v>1616589.5</v>
      </c>
      <c r="T660" s="2145"/>
      <c r="U660" s="2145"/>
      <c r="V660" s="2145"/>
      <c r="W660" s="2146">
        <v>44490</v>
      </c>
      <c r="X660" s="2260" t="s">
        <v>10141</v>
      </c>
      <c r="Y660" s="2140">
        <v>44516</v>
      </c>
      <c r="Z660" s="2140">
        <v>44519</v>
      </c>
      <c r="AA660" s="2140">
        <v>45611</v>
      </c>
      <c r="AB660" s="2140">
        <v>44642</v>
      </c>
      <c r="AC660" s="2109">
        <v>2022</v>
      </c>
      <c r="AD660" s="388">
        <v>2023</v>
      </c>
      <c r="AE660" s="388" t="s">
        <v>10325</v>
      </c>
    </row>
    <row r="661" spans="1:31" ht="30">
      <c r="A661" s="365">
        <v>44445</v>
      </c>
      <c r="B661" s="2420" t="s">
        <v>9919</v>
      </c>
      <c r="C661" s="2420" t="s">
        <v>58</v>
      </c>
      <c r="D661" s="2420" t="s">
        <v>4969</v>
      </c>
      <c r="E661" s="175" t="s">
        <v>9920</v>
      </c>
      <c r="F661" s="2420"/>
      <c r="G661" s="2421"/>
      <c r="H661" s="2420"/>
      <c r="I661" s="2420" t="s">
        <v>396</v>
      </c>
      <c r="J661" s="2420" t="s">
        <v>9921</v>
      </c>
      <c r="K661" s="364">
        <v>324000</v>
      </c>
      <c r="L661" s="2420" t="s">
        <v>112</v>
      </c>
      <c r="M661" s="365">
        <v>44473</v>
      </c>
      <c r="N661" s="365">
        <v>44483</v>
      </c>
      <c r="O661" s="365">
        <v>44496</v>
      </c>
      <c r="P661" s="2421" t="s">
        <v>2498</v>
      </c>
      <c r="Q661" s="2420"/>
      <c r="R661" s="364">
        <v>211849.42</v>
      </c>
      <c r="S661" s="364">
        <v>256337.8</v>
      </c>
      <c r="T661" s="1473"/>
      <c r="U661" s="1473"/>
      <c r="V661" s="1473"/>
      <c r="W661" s="681">
        <v>44496</v>
      </c>
      <c r="X661" s="1417" t="s">
        <v>10184</v>
      </c>
      <c r="Y661" s="365">
        <v>44529</v>
      </c>
      <c r="Z661" s="365">
        <v>44531</v>
      </c>
      <c r="AA661" s="365">
        <v>44585</v>
      </c>
      <c r="AB661" s="365">
        <v>44606</v>
      </c>
      <c r="AC661" s="451" t="s">
        <v>1875</v>
      </c>
    </row>
    <row r="662" spans="1:31">
      <c r="A662" s="510">
        <v>44462</v>
      </c>
      <c r="B662" s="506" t="s">
        <v>9922</v>
      </c>
      <c r="C662" s="506" t="s">
        <v>69</v>
      </c>
      <c r="D662" s="506" t="s">
        <v>70</v>
      </c>
      <c r="E662" s="507" t="s">
        <v>9923</v>
      </c>
      <c r="F662" s="506"/>
      <c r="G662" s="548"/>
      <c r="H662" s="506"/>
      <c r="I662" s="506" t="s">
        <v>42</v>
      </c>
      <c r="J662" s="506"/>
      <c r="K662" s="511">
        <v>4650131</v>
      </c>
      <c r="L662" s="506" t="s">
        <v>251</v>
      </c>
      <c r="M662" s="510">
        <v>44466</v>
      </c>
      <c r="N662" s="510">
        <v>44501</v>
      </c>
      <c r="O662" s="506"/>
      <c r="P662" s="736" t="s">
        <v>4505</v>
      </c>
      <c r="Q662" s="506"/>
      <c r="R662" s="511"/>
      <c r="S662" s="511"/>
      <c r="T662" s="1470"/>
      <c r="U662" s="1470"/>
      <c r="V662" s="1470"/>
      <c r="W662" s="511"/>
      <c r="X662" s="511"/>
      <c r="Y662" s="506"/>
      <c r="Z662" s="510">
        <v>44536</v>
      </c>
      <c r="AA662" s="548" t="s">
        <v>10379</v>
      </c>
      <c r="AB662" s="506"/>
      <c r="AC662" s="506"/>
    </row>
    <row r="663" spans="1:31">
      <c r="A663" s="537">
        <v>44460</v>
      </c>
      <c r="B663" s="491" t="s">
        <v>9925</v>
      </c>
      <c r="C663" s="491" t="s">
        <v>1032</v>
      </c>
      <c r="D663" s="491" t="s">
        <v>361</v>
      </c>
      <c r="E663" s="571" t="s">
        <v>9926</v>
      </c>
      <c r="F663" s="491"/>
      <c r="G663" s="495"/>
      <c r="H663" s="491"/>
      <c r="I663" s="491" t="s">
        <v>2457</v>
      </c>
      <c r="J663" s="491"/>
      <c r="K663" s="536">
        <v>4700000</v>
      </c>
      <c r="L663" s="491" t="s">
        <v>112</v>
      </c>
      <c r="M663" s="537">
        <v>44470</v>
      </c>
      <c r="N663" s="537">
        <v>44482</v>
      </c>
      <c r="O663" s="537">
        <v>44502</v>
      </c>
      <c r="P663" s="495" t="s">
        <v>10185</v>
      </c>
      <c r="Q663" s="491"/>
      <c r="R663" s="536">
        <v>4597027</v>
      </c>
      <c r="S663" s="536">
        <v>5562402.6699999999</v>
      </c>
      <c r="T663" s="1471"/>
      <c r="U663" s="1471"/>
      <c r="V663" s="1471"/>
      <c r="W663" s="573">
        <v>44503</v>
      </c>
      <c r="X663" s="536" t="s">
        <v>10216</v>
      </c>
      <c r="Y663" s="537">
        <v>44526</v>
      </c>
      <c r="Z663" s="537">
        <v>44529</v>
      </c>
      <c r="AA663" s="491"/>
      <c r="AB663" s="537">
        <v>44624</v>
      </c>
      <c r="AC663" s="1102"/>
    </row>
    <row r="664" spans="1:31">
      <c r="A664" s="537">
        <v>44460</v>
      </c>
      <c r="B664" s="491" t="s">
        <v>9927</v>
      </c>
      <c r="C664" s="491" t="s">
        <v>1032</v>
      </c>
      <c r="D664" s="491" t="s">
        <v>361</v>
      </c>
      <c r="E664" s="571" t="s">
        <v>9938</v>
      </c>
      <c r="F664" s="491"/>
      <c r="G664" s="495"/>
      <c r="H664" s="491"/>
      <c r="I664" s="491" t="s">
        <v>9928</v>
      </c>
      <c r="J664" s="491"/>
      <c r="K664" s="536">
        <v>2500000</v>
      </c>
      <c r="L664" s="491" t="s">
        <v>112</v>
      </c>
      <c r="M664" s="537">
        <v>44469</v>
      </c>
      <c r="N664" s="537">
        <v>44481</v>
      </c>
      <c r="O664" s="537">
        <v>44496</v>
      </c>
      <c r="P664" s="495" t="s">
        <v>342</v>
      </c>
      <c r="Q664" s="491"/>
      <c r="R664" s="536">
        <v>1290000</v>
      </c>
      <c r="S664" s="536">
        <v>1560900</v>
      </c>
      <c r="T664" s="1471"/>
      <c r="U664" s="1471"/>
      <c r="V664" s="1471"/>
      <c r="W664" s="573">
        <v>44498</v>
      </c>
      <c r="X664" s="536" t="s">
        <v>10192</v>
      </c>
      <c r="Y664" s="537">
        <v>44523</v>
      </c>
      <c r="Z664" s="537">
        <v>44530</v>
      </c>
      <c r="AA664" s="537">
        <v>44649</v>
      </c>
      <c r="AB664" s="1525">
        <v>44624</v>
      </c>
      <c r="AC664" s="1102"/>
    </row>
    <row r="665" spans="1:31" ht="15.75" thickBot="1">
      <c r="A665" s="464">
        <v>44459</v>
      </c>
      <c r="B665" s="406" t="s">
        <v>9929</v>
      </c>
      <c r="C665" s="406" t="s">
        <v>2111</v>
      </c>
      <c r="D665" s="406" t="s">
        <v>9080</v>
      </c>
      <c r="E665" s="462" t="s">
        <v>9930</v>
      </c>
      <c r="F665" s="406"/>
      <c r="G665" s="1425"/>
      <c r="H665" s="1437"/>
      <c r="I665" s="406" t="s">
        <v>2967</v>
      </c>
      <c r="J665" s="406"/>
      <c r="K665" s="465">
        <v>3299200</v>
      </c>
      <c r="L665" s="406" t="s">
        <v>216</v>
      </c>
      <c r="M665" s="464">
        <v>44484</v>
      </c>
      <c r="N665" s="464">
        <v>44510</v>
      </c>
      <c r="O665" s="464">
        <v>44539</v>
      </c>
      <c r="P665" s="1425" t="s">
        <v>1404</v>
      </c>
      <c r="Q665" s="406"/>
      <c r="R665" s="465">
        <v>3247680</v>
      </c>
      <c r="S665" s="465">
        <v>3734852</v>
      </c>
      <c r="T665" s="1490"/>
      <c r="U665" s="1490"/>
      <c r="V665" s="1490"/>
      <c r="W665" s="1809">
        <v>44539</v>
      </c>
      <c r="X665" s="465" t="s">
        <v>10545</v>
      </c>
      <c r="Y665" s="406"/>
      <c r="Z665" s="406"/>
      <c r="AA665" s="406"/>
      <c r="AB665" s="406"/>
      <c r="AC665" s="406"/>
    </row>
    <row r="666" spans="1:31" ht="15.75" thickTop="1">
      <c r="A666" s="443">
        <v>44463</v>
      </c>
      <c r="B666" s="439" t="s">
        <v>9931</v>
      </c>
      <c r="C666" s="439" t="s">
        <v>69</v>
      </c>
      <c r="D666" s="439" t="s">
        <v>70</v>
      </c>
      <c r="E666" s="440" t="s">
        <v>9932</v>
      </c>
      <c r="F666" s="439">
        <v>1</v>
      </c>
      <c r="G666" s="1431" t="s">
        <v>8357</v>
      </c>
      <c r="H666" s="439"/>
      <c r="I666" s="439" t="s">
        <v>7938</v>
      </c>
      <c r="J666" s="439"/>
      <c r="K666" s="444">
        <v>79105740</v>
      </c>
      <c r="L666" s="439" t="s">
        <v>251</v>
      </c>
      <c r="M666" s="443">
        <v>44469</v>
      </c>
      <c r="N666" s="443">
        <v>44502</v>
      </c>
      <c r="O666" s="439"/>
      <c r="P666" s="753" t="s">
        <v>304</v>
      </c>
      <c r="Q666" s="439"/>
      <c r="R666" s="444"/>
      <c r="S666" s="444"/>
      <c r="T666" s="1481"/>
      <c r="U666" s="1481"/>
      <c r="V666" s="1481"/>
      <c r="W666" s="444"/>
      <c r="X666" s="444"/>
      <c r="Y666" s="439"/>
      <c r="Z666" s="443">
        <v>44505</v>
      </c>
      <c r="AA666" s="439" t="s">
        <v>10237</v>
      </c>
      <c r="AB666" s="439"/>
      <c r="AC666" s="439"/>
    </row>
    <row r="667" spans="1:31">
      <c r="A667" s="2153">
        <v>44463</v>
      </c>
      <c r="B667" s="2154" t="s">
        <v>9931</v>
      </c>
      <c r="C667" s="2154" t="s">
        <v>69</v>
      </c>
      <c r="D667" s="2154" t="s">
        <v>70</v>
      </c>
      <c r="E667" s="2155" t="s">
        <v>9932</v>
      </c>
      <c r="F667" s="2154">
        <v>2</v>
      </c>
      <c r="G667" s="2156" t="s">
        <v>9933</v>
      </c>
      <c r="H667" s="2085"/>
      <c r="I667" s="2154" t="s">
        <v>93</v>
      </c>
      <c r="J667" s="2154"/>
      <c r="K667" s="2157">
        <v>370986</v>
      </c>
      <c r="L667" s="2154" t="s">
        <v>251</v>
      </c>
      <c r="M667" s="2153">
        <v>44469</v>
      </c>
      <c r="N667" s="2153">
        <v>44502</v>
      </c>
      <c r="O667" s="2153">
        <v>44531</v>
      </c>
      <c r="P667" s="2156" t="s">
        <v>1319</v>
      </c>
      <c r="Q667" s="2154"/>
      <c r="R667" s="2157">
        <v>125634.9</v>
      </c>
      <c r="S667" s="2157">
        <v>138198.39000000001</v>
      </c>
      <c r="T667" s="2094"/>
      <c r="U667" s="2094"/>
      <c r="V667" s="2094"/>
      <c r="W667" s="2160">
        <v>44531</v>
      </c>
      <c r="X667" s="2157" t="s">
        <v>10479</v>
      </c>
      <c r="Y667" s="2154"/>
      <c r="Z667" s="2154"/>
      <c r="AA667" s="2154"/>
      <c r="AB667" s="2154"/>
      <c r="AC667" s="2154"/>
    </row>
    <row r="668" spans="1:31" ht="15.75" thickBot="1">
      <c r="A668" s="2152">
        <v>44463</v>
      </c>
      <c r="B668" s="2297" t="s">
        <v>9931</v>
      </c>
      <c r="C668" s="2297" t="s">
        <v>69</v>
      </c>
      <c r="D668" s="2297" t="s">
        <v>70</v>
      </c>
      <c r="E668" s="2298" t="s">
        <v>9932</v>
      </c>
      <c r="F668" s="2297">
        <v>3</v>
      </c>
      <c r="G668" s="2300" t="s">
        <v>9934</v>
      </c>
      <c r="H668" s="2089"/>
      <c r="I668" s="2297" t="s">
        <v>7938</v>
      </c>
      <c r="J668" s="2297"/>
      <c r="K668" s="2299">
        <v>52685673</v>
      </c>
      <c r="L668" s="2297" t="s">
        <v>251</v>
      </c>
      <c r="M668" s="2152">
        <v>44469</v>
      </c>
      <c r="N668" s="2152">
        <v>44502</v>
      </c>
      <c r="O668" s="2152">
        <v>44531</v>
      </c>
      <c r="P668" s="2300" t="s">
        <v>1319</v>
      </c>
      <c r="Q668" s="2297"/>
      <c r="R668" s="2299">
        <v>51324507.899999999</v>
      </c>
      <c r="S668" s="2299">
        <v>56456958.689999998</v>
      </c>
      <c r="T668" s="2095"/>
      <c r="U668" s="2095"/>
      <c r="V668" s="2095"/>
      <c r="W668" s="2315">
        <v>44531</v>
      </c>
      <c r="X668" s="2299" t="s">
        <v>10480</v>
      </c>
      <c r="Y668" s="2297"/>
      <c r="Z668" s="2297"/>
      <c r="AA668" s="2297"/>
      <c r="AB668" s="2297"/>
      <c r="AC668" s="2297"/>
    </row>
    <row r="669" spans="1:31" ht="15.75" thickTop="1">
      <c r="A669" s="365">
        <v>44460</v>
      </c>
      <c r="B669" s="2382" t="s">
        <v>9939</v>
      </c>
      <c r="C669" s="2382" t="s">
        <v>1032</v>
      </c>
      <c r="D669" s="2382" t="s">
        <v>361</v>
      </c>
      <c r="E669" s="175" t="s">
        <v>9940</v>
      </c>
      <c r="F669" s="2382"/>
      <c r="G669" s="2383"/>
      <c r="H669" s="2382"/>
      <c r="I669" s="2382" t="s">
        <v>5752</v>
      </c>
      <c r="J669" s="2382"/>
      <c r="K669" s="364">
        <v>2100000</v>
      </c>
      <c r="L669" s="2382" t="s">
        <v>112</v>
      </c>
      <c r="M669" s="365">
        <v>44469</v>
      </c>
      <c r="N669" s="365">
        <v>44477</v>
      </c>
      <c r="O669" s="365">
        <v>44483</v>
      </c>
      <c r="P669" s="2383" t="s">
        <v>10049</v>
      </c>
      <c r="Q669" s="2382"/>
      <c r="R669" s="364">
        <v>1766928.37</v>
      </c>
      <c r="S669" s="364">
        <v>2137983.33</v>
      </c>
      <c r="T669" s="1473"/>
      <c r="U669" s="1473"/>
      <c r="V669" s="1473"/>
      <c r="W669" s="681">
        <v>44483</v>
      </c>
      <c r="X669" s="364" t="s">
        <v>10070</v>
      </c>
      <c r="Y669" s="365">
        <v>44502</v>
      </c>
      <c r="Z669" s="365">
        <v>44504</v>
      </c>
      <c r="AA669" s="2382"/>
      <c r="AB669" s="2549">
        <v>44711</v>
      </c>
      <c r="AC669" s="1513"/>
    </row>
    <row r="670" spans="1:31">
      <c r="A670" s="2141" t="s">
        <v>3585</v>
      </c>
      <c r="B670" s="2141" t="s">
        <v>9941</v>
      </c>
      <c r="C670" s="2141" t="s">
        <v>4997</v>
      </c>
      <c r="D670" s="2141" t="s">
        <v>7475</v>
      </c>
      <c r="E670" s="2142" t="s">
        <v>9942</v>
      </c>
      <c r="F670" s="2141"/>
      <c r="G670" s="2143"/>
      <c r="H670" s="2141"/>
      <c r="I670" s="2141" t="s">
        <v>9944</v>
      </c>
      <c r="J670" s="2141"/>
      <c r="K670" s="2144">
        <v>450000</v>
      </c>
      <c r="L670" s="2141" t="s">
        <v>112</v>
      </c>
      <c r="M670" s="2140">
        <v>44469</v>
      </c>
      <c r="N670" s="2140">
        <v>44477</v>
      </c>
      <c r="O670" s="2140">
        <v>44483</v>
      </c>
      <c r="P670" s="2143" t="s">
        <v>2677</v>
      </c>
      <c r="Q670" s="2141"/>
      <c r="R670" s="2144">
        <v>444480.7</v>
      </c>
      <c r="S670" s="2144">
        <v>537821.65</v>
      </c>
      <c r="T670" s="2145"/>
      <c r="U670" s="2145"/>
      <c r="V670" s="2145"/>
      <c r="W670" s="2146">
        <v>44484</v>
      </c>
      <c r="X670" s="2144" t="s">
        <v>10085</v>
      </c>
      <c r="Y670" s="2140">
        <v>44515</v>
      </c>
      <c r="Z670" s="2140">
        <v>44518</v>
      </c>
      <c r="AA670" s="2140">
        <v>44540</v>
      </c>
      <c r="AB670" s="2464">
        <v>44616</v>
      </c>
      <c r="AC670" s="2106"/>
    </row>
    <row r="671" spans="1:31">
      <c r="A671" s="2140">
        <v>44461</v>
      </c>
      <c r="B671" s="2141" t="s">
        <v>9946</v>
      </c>
      <c r="C671" s="2141" t="s">
        <v>1032</v>
      </c>
      <c r="D671" s="2141" t="s">
        <v>361</v>
      </c>
      <c r="E671" s="2142" t="s">
        <v>9947</v>
      </c>
      <c r="F671" s="2141"/>
      <c r="G671" s="2143"/>
      <c r="H671" s="2141"/>
      <c r="I671" s="2141" t="s">
        <v>48</v>
      </c>
      <c r="J671" s="2141"/>
      <c r="K671" s="2144">
        <v>500000</v>
      </c>
      <c r="L671" s="2141" t="s">
        <v>112</v>
      </c>
      <c r="M671" s="2140">
        <v>44470</v>
      </c>
      <c r="N671" s="2140">
        <v>44482</v>
      </c>
      <c r="O671" s="2140">
        <v>44516</v>
      </c>
      <c r="P671" s="2143" t="s">
        <v>10327</v>
      </c>
      <c r="Q671" s="2141"/>
      <c r="R671" s="2144">
        <v>419422.98</v>
      </c>
      <c r="S671" s="2144">
        <v>507501.81</v>
      </c>
      <c r="T671" s="2145"/>
      <c r="U671" s="2145"/>
      <c r="V671" s="2145"/>
      <c r="W671" s="2146">
        <v>44516</v>
      </c>
      <c r="X671" s="2144" t="s">
        <v>10328</v>
      </c>
      <c r="Y671" s="2140">
        <v>44538</v>
      </c>
      <c r="Z671" s="2140">
        <v>44539</v>
      </c>
      <c r="AA671" s="2140">
        <v>44580</v>
      </c>
      <c r="AB671" s="2140">
        <v>44739</v>
      </c>
      <c r="AC671" s="2106"/>
    </row>
    <row r="672" spans="1:31" ht="15.75" thickBot="1">
      <c r="A672" s="1617"/>
      <c r="B672" s="810" t="s">
        <v>9954</v>
      </c>
      <c r="C672" s="810" t="s">
        <v>69</v>
      </c>
      <c r="D672" s="810" t="s">
        <v>70</v>
      </c>
      <c r="E672" s="811" t="s">
        <v>9955</v>
      </c>
      <c r="F672" s="810"/>
      <c r="G672" s="1619"/>
      <c r="H672" s="810"/>
      <c r="I672" s="810" t="s">
        <v>42</v>
      </c>
      <c r="J672" s="810"/>
      <c r="K672" s="814">
        <v>23130000</v>
      </c>
      <c r="L672" s="810" t="s">
        <v>251</v>
      </c>
      <c r="M672" s="810"/>
      <c r="N672" s="810"/>
      <c r="O672" s="810"/>
      <c r="P672" s="1619"/>
      <c r="Q672" s="810"/>
      <c r="R672" s="814"/>
      <c r="S672" s="814"/>
      <c r="T672" s="1620"/>
      <c r="U672" s="1620"/>
      <c r="V672" s="1620"/>
      <c r="W672" s="814"/>
      <c r="X672" s="814"/>
      <c r="Y672" s="810"/>
      <c r="Z672" s="810"/>
      <c r="AA672" s="810"/>
      <c r="AB672" s="810"/>
      <c r="AC672" s="810"/>
    </row>
    <row r="673" spans="1:29" ht="15.75" thickTop="1">
      <c r="A673" s="428">
        <v>44463</v>
      </c>
      <c r="B673" s="425" t="s">
        <v>9956</v>
      </c>
      <c r="C673" s="425" t="s">
        <v>69</v>
      </c>
      <c r="D673" s="425" t="s">
        <v>70</v>
      </c>
      <c r="E673" s="426" t="s">
        <v>9957</v>
      </c>
      <c r="F673" s="425">
        <v>1</v>
      </c>
      <c r="G673" s="1371" t="s">
        <v>9652</v>
      </c>
      <c r="H673" s="583"/>
      <c r="I673" s="425" t="s">
        <v>815</v>
      </c>
      <c r="J673" s="425"/>
      <c r="K673" s="429">
        <v>1724688</v>
      </c>
      <c r="L673" s="425" t="s">
        <v>251</v>
      </c>
      <c r="M673" s="428">
        <v>44475</v>
      </c>
      <c r="N673" s="428">
        <v>44551</v>
      </c>
      <c r="O673" s="425"/>
      <c r="P673" s="1371"/>
      <c r="Q673" s="425"/>
      <c r="R673" s="429"/>
      <c r="S673" s="429"/>
      <c r="T673" s="1483"/>
      <c r="U673" s="1483"/>
      <c r="V673" s="1483"/>
      <c r="W673" s="429"/>
      <c r="X673" s="429"/>
      <c r="Y673" s="425"/>
      <c r="Z673" s="425"/>
      <c r="AA673" s="425"/>
      <c r="AB673" s="425"/>
      <c r="AC673" s="425"/>
    </row>
    <row r="674" spans="1:29">
      <c r="A674" s="2153">
        <v>44463</v>
      </c>
      <c r="B674" s="2154" t="s">
        <v>9956</v>
      </c>
      <c r="C674" s="2154" t="s">
        <v>69</v>
      </c>
      <c r="D674" s="2154" t="s">
        <v>70</v>
      </c>
      <c r="E674" s="2155" t="s">
        <v>9957</v>
      </c>
      <c r="F674" s="2154">
        <v>2</v>
      </c>
      <c r="G674" s="2156" t="s">
        <v>9958</v>
      </c>
      <c r="H674" s="2085"/>
      <c r="I674" s="2154" t="s">
        <v>815</v>
      </c>
      <c r="J674" s="2154"/>
      <c r="K674" s="2157">
        <v>1365165</v>
      </c>
      <c r="L674" s="2154" t="s">
        <v>251</v>
      </c>
      <c r="M674" s="2153">
        <v>44475</v>
      </c>
      <c r="N674" s="2153">
        <v>44551</v>
      </c>
      <c r="O674" s="2154"/>
      <c r="P674" s="2156"/>
      <c r="Q674" s="2154"/>
      <c r="R674" s="2157"/>
      <c r="S674" s="2157"/>
      <c r="T674" s="2094"/>
      <c r="U674" s="2094"/>
      <c r="V674" s="2094"/>
      <c r="W674" s="2157"/>
      <c r="X674" s="2157"/>
      <c r="Y674" s="2154"/>
      <c r="Z674" s="2154"/>
      <c r="AA674" s="2154"/>
      <c r="AB674" s="2154"/>
      <c r="AC674" s="2154"/>
    </row>
    <row r="675" spans="1:29">
      <c r="A675" s="2153">
        <v>44463</v>
      </c>
      <c r="B675" s="2154" t="s">
        <v>9956</v>
      </c>
      <c r="C675" s="2154" t="s">
        <v>69</v>
      </c>
      <c r="D675" s="2154" t="s">
        <v>70</v>
      </c>
      <c r="E675" s="2155" t="s">
        <v>9957</v>
      </c>
      <c r="F675" s="2154">
        <v>3</v>
      </c>
      <c r="G675" s="2156" t="s">
        <v>9959</v>
      </c>
      <c r="H675" s="2085"/>
      <c r="I675" s="2154" t="s">
        <v>815</v>
      </c>
      <c r="J675" s="2154"/>
      <c r="K675" s="2157">
        <v>1365165</v>
      </c>
      <c r="L675" s="2154" t="s">
        <v>251</v>
      </c>
      <c r="M675" s="2153">
        <v>44475</v>
      </c>
      <c r="N675" s="2153">
        <v>44551</v>
      </c>
      <c r="O675" s="2154"/>
      <c r="P675" s="2156"/>
      <c r="Q675" s="2154"/>
      <c r="R675" s="2157"/>
      <c r="S675" s="2157"/>
      <c r="T675" s="2094"/>
      <c r="U675" s="2094"/>
      <c r="V675" s="2094"/>
      <c r="W675" s="2157"/>
      <c r="X675" s="2157"/>
      <c r="Y675" s="2154"/>
      <c r="Z675" s="2154"/>
      <c r="AA675" s="2154"/>
      <c r="AB675" s="2154"/>
      <c r="AC675" s="2154"/>
    </row>
    <row r="676" spans="1:29">
      <c r="A676" s="2153">
        <v>44463</v>
      </c>
      <c r="B676" s="2154" t="s">
        <v>9956</v>
      </c>
      <c r="C676" s="2154" t="s">
        <v>69</v>
      </c>
      <c r="D676" s="2154" t="s">
        <v>70</v>
      </c>
      <c r="E676" s="2155" t="s">
        <v>9957</v>
      </c>
      <c r="F676" s="2154">
        <v>4</v>
      </c>
      <c r="G676" s="2156" t="s">
        <v>9960</v>
      </c>
      <c r="H676" s="2085"/>
      <c r="I676" s="2154" t="s">
        <v>815</v>
      </c>
      <c r="J676" s="2154"/>
      <c r="K676" s="2157">
        <v>1365165</v>
      </c>
      <c r="L676" s="2154" t="s">
        <v>251</v>
      </c>
      <c r="M676" s="2153">
        <v>44475</v>
      </c>
      <c r="N676" s="2153">
        <v>44551</v>
      </c>
      <c r="O676" s="2154"/>
      <c r="P676" s="2156"/>
      <c r="Q676" s="2154"/>
      <c r="R676" s="2157"/>
      <c r="S676" s="2157"/>
      <c r="T676" s="2094"/>
      <c r="U676" s="2094"/>
      <c r="V676" s="2094"/>
      <c r="W676" s="2157"/>
      <c r="X676" s="2157"/>
      <c r="Y676" s="2154"/>
      <c r="Z676" s="2154"/>
      <c r="AA676" s="2154"/>
      <c r="AB676" s="2154"/>
      <c r="AC676" s="2154"/>
    </row>
    <row r="677" spans="1:29">
      <c r="A677" s="2153">
        <v>44463</v>
      </c>
      <c r="B677" s="2154" t="s">
        <v>9956</v>
      </c>
      <c r="C677" s="2154" t="s">
        <v>69</v>
      </c>
      <c r="D677" s="2154" t="s">
        <v>70</v>
      </c>
      <c r="E677" s="2155" t="s">
        <v>9957</v>
      </c>
      <c r="F677" s="2154">
        <v>5</v>
      </c>
      <c r="G677" s="2156" t="s">
        <v>9961</v>
      </c>
      <c r="H677" s="2085"/>
      <c r="I677" s="2154" t="s">
        <v>815</v>
      </c>
      <c r="J677" s="2154"/>
      <c r="K677" s="2157">
        <v>72594</v>
      </c>
      <c r="L677" s="2154" t="s">
        <v>251</v>
      </c>
      <c r="M677" s="2153">
        <v>44475</v>
      </c>
      <c r="N677" s="2153">
        <v>44551</v>
      </c>
      <c r="O677" s="2154"/>
      <c r="P677" s="2156"/>
      <c r="Q677" s="2154"/>
      <c r="R677" s="2157"/>
      <c r="S677" s="2157"/>
      <c r="T677" s="2094"/>
      <c r="U677" s="2094"/>
      <c r="V677" s="2094"/>
      <c r="W677" s="2157"/>
      <c r="X677" s="2157"/>
      <c r="Y677" s="2154"/>
      <c r="Z677" s="2154"/>
      <c r="AA677" s="2154"/>
      <c r="AB677" s="2154"/>
      <c r="AC677" s="2154"/>
    </row>
    <row r="678" spans="1:29">
      <c r="A678" s="2153">
        <v>44463</v>
      </c>
      <c r="B678" s="2154" t="s">
        <v>9956</v>
      </c>
      <c r="C678" s="2154" t="s">
        <v>69</v>
      </c>
      <c r="D678" s="2154" t="s">
        <v>70</v>
      </c>
      <c r="E678" s="2155" t="s">
        <v>9957</v>
      </c>
      <c r="F678" s="2154">
        <v>6</v>
      </c>
      <c r="G678" s="2156" t="s">
        <v>9962</v>
      </c>
      <c r="H678" s="2085"/>
      <c r="I678" s="2154" t="s">
        <v>815</v>
      </c>
      <c r="J678" s="2154"/>
      <c r="K678" s="2157">
        <v>1365165</v>
      </c>
      <c r="L678" s="2154" t="s">
        <v>251</v>
      </c>
      <c r="M678" s="2153">
        <v>44475</v>
      </c>
      <c r="N678" s="2153">
        <v>44551</v>
      </c>
      <c r="O678" s="2154"/>
      <c r="P678" s="2156"/>
      <c r="Q678" s="2154"/>
      <c r="R678" s="2157"/>
      <c r="S678" s="2157"/>
      <c r="T678" s="2094"/>
      <c r="U678" s="2094"/>
      <c r="V678" s="2094"/>
      <c r="W678" s="2157"/>
      <c r="X678" s="2157"/>
      <c r="Y678" s="2154"/>
      <c r="Z678" s="2154"/>
      <c r="AA678" s="2154"/>
      <c r="AB678" s="2154"/>
      <c r="AC678" s="2154"/>
    </row>
    <row r="679" spans="1:29">
      <c r="A679" s="2153">
        <v>44463</v>
      </c>
      <c r="B679" s="2154" t="s">
        <v>9956</v>
      </c>
      <c r="C679" s="2154" t="s">
        <v>69</v>
      </c>
      <c r="D679" s="2154" t="s">
        <v>70</v>
      </c>
      <c r="E679" s="2155" t="s">
        <v>9957</v>
      </c>
      <c r="F679" s="2154">
        <v>7</v>
      </c>
      <c r="G679" s="2156" t="s">
        <v>9963</v>
      </c>
      <c r="H679" s="2085"/>
      <c r="I679" s="2154" t="s">
        <v>815</v>
      </c>
      <c r="J679" s="2154"/>
      <c r="K679" s="2157">
        <v>1365165</v>
      </c>
      <c r="L679" s="2154" t="s">
        <v>251</v>
      </c>
      <c r="M679" s="2153">
        <v>44475</v>
      </c>
      <c r="N679" s="2153">
        <v>44551</v>
      </c>
      <c r="O679" s="2154"/>
      <c r="P679" s="2156"/>
      <c r="Q679" s="2154"/>
      <c r="R679" s="2157"/>
      <c r="S679" s="2157"/>
      <c r="T679" s="2094"/>
      <c r="U679" s="2094"/>
      <c r="V679" s="2094"/>
      <c r="W679" s="2157"/>
      <c r="X679" s="2157"/>
      <c r="Y679" s="2154"/>
      <c r="Z679" s="2154"/>
      <c r="AA679" s="2154"/>
      <c r="AB679" s="2154"/>
      <c r="AC679" s="2154"/>
    </row>
    <row r="680" spans="1:29" ht="15.75" thickBot="1">
      <c r="A680" s="2152">
        <v>44463</v>
      </c>
      <c r="B680" s="2297" t="s">
        <v>9956</v>
      </c>
      <c r="C680" s="2297" t="s">
        <v>69</v>
      </c>
      <c r="D680" s="2297" t="s">
        <v>70</v>
      </c>
      <c r="E680" s="2298" t="s">
        <v>9957</v>
      </c>
      <c r="F680" s="2297">
        <v>8</v>
      </c>
      <c r="G680" s="2300" t="s">
        <v>9964</v>
      </c>
      <c r="H680" s="2089"/>
      <c r="I680" s="2297" t="s">
        <v>815</v>
      </c>
      <c r="J680" s="2297"/>
      <c r="K680" s="2299">
        <v>224649</v>
      </c>
      <c r="L680" s="2297" t="s">
        <v>251</v>
      </c>
      <c r="M680" s="2152">
        <v>44475</v>
      </c>
      <c r="N680" s="2152">
        <v>44551</v>
      </c>
      <c r="O680" s="2297"/>
      <c r="P680" s="2300"/>
      <c r="Q680" s="2297"/>
      <c r="R680" s="2299"/>
      <c r="S680" s="2299"/>
      <c r="T680" s="2095"/>
      <c r="U680" s="2095"/>
      <c r="V680" s="2095"/>
      <c r="W680" s="2299"/>
      <c r="X680" s="2299"/>
      <c r="Y680" s="2297"/>
      <c r="Z680" s="2297"/>
      <c r="AA680" s="2297"/>
      <c r="AB680" s="2297"/>
      <c r="AC680" s="2297"/>
    </row>
    <row r="681" spans="1:29" ht="30.75" thickTop="1">
      <c r="A681" s="2389" t="s">
        <v>3585</v>
      </c>
      <c r="B681" s="2389" t="s">
        <v>9965</v>
      </c>
      <c r="C681" s="2389" t="s">
        <v>69</v>
      </c>
      <c r="D681" s="2389" t="s">
        <v>70</v>
      </c>
      <c r="E681" s="175" t="s">
        <v>9966</v>
      </c>
      <c r="F681" s="2389"/>
      <c r="G681" s="2390"/>
      <c r="H681" s="2389"/>
      <c r="I681" s="2389" t="s">
        <v>42</v>
      </c>
      <c r="J681" s="2389"/>
      <c r="K681" s="364">
        <v>1918200</v>
      </c>
      <c r="L681" s="2389" t="s">
        <v>112</v>
      </c>
      <c r="M681" s="365">
        <v>44476</v>
      </c>
      <c r="N681" s="365">
        <v>44482</v>
      </c>
      <c r="O681" s="365">
        <v>44490</v>
      </c>
      <c r="P681" s="2390" t="s">
        <v>6242</v>
      </c>
      <c r="Q681" s="2389"/>
      <c r="R681" s="364">
        <v>1980000</v>
      </c>
      <c r="S681" s="364">
        <v>2395800</v>
      </c>
      <c r="T681" s="1473"/>
      <c r="U681" s="1473"/>
      <c r="V681" s="1473"/>
      <c r="W681" s="681">
        <v>44490</v>
      </c>
      <c r="X681" s="1417" t="s">
        <v>10150</v>
      </c>
      <c r="Y681" s="365">
        <v>44508</v>
      </c>
      <c r="Z681" s="365">
        <v>44512</v>
      </c>
      <c r="AA681" s="365">
        <v>44872</v>
      </c>
      <c r="AB681" s="365">
        <v>44648</v>
      </c>
      <c r="AC681" s="451" t="s">
        <v>10255</v>
      </c>
    </row>
    <row r="682" spans="1:29">
      <c r="A682" s="2124">
        <v>44460</v>
      </c>
      <c r="B682" s="2125" t="s">
        <v>9967</v>
      </c>
      <c r="C682" s="2125" t="s">
        <v>2434</v>
      </c>
      <c r="D682" s="2125" t="s">
        <v>219</v>
      </c>
      <c r="E682" s="2126" t="s">
        <v>9968</v>
      </c>
      <c r="F682" s="2125"/>
      <c r="G682" s="2127"/>
      <c r="H682" s="2125"/>
      <c r="I682" s="2125" t="s">
        <v>642</v>
      </c>
      <c r="J682" s="2125"/>
      <c r="K682" s="2128">
        <v>6336997</v>
      </c>
      <c r="L682" s="2125" t="s">
        <v>251</v>
      </c>
      <c r="M682" s="2124">
        <v>44475</v>
      </c>
      <c r="N682" s="2124">
        <v>44508</v>
      </c>
      <c r="O682" s="2125"/>
      <c r="P682" s="2136" t="s">
        <v>304</v>
      </c>
      <c r="Q682" s="2180" t="s">
        <v>10283</v>
      </c>
      <c r="R682" s="2128"/>
      <c r="S682" s="2128"/>
      <c r="T682" s="2129"/>
      <c r="U682" s="2129"/>
      <c r="V682" s="2129"/>
      <c r="W682" s="2128"/>
      <c r="X682" s="2128"/>
      <c r="Y682" s="2125"/>
      <c r="Z682" s="2124">
        <v>44518</v>
      </c>
      <c r="AA682" s="2125"/>
      <c r="AB682" s="2125"/>
      <c r="AC682" s="2125"/>
    </row>
    <row r="683" spans="1:29" ht="15.75" thickBot="1">
      <c r="A683" s="639" t="s">
        <v>3585</v>
      </c>
      <c r="B683" s="639" t="s">
        <v>9971</v>
      </c>
      <c r="C683" s="639" t="s">
        <v>6561</v>
      </c>
      <c r="D683" s="639" t="s">
        <v>4864</v>
      </c>
      <c r="E683" s="640" t="s">
        <v>9972</v>
      </c>
      <c r="F683" s="639"/>
      <c r="G683" s="1533"/>
      <c r="H683" s="639"/>
      <c r="I683" s="639" t="s">
        <v>7701</v>
      </c>
      <c r="J683" s="639"/>
      <c r="K683" s="645">
        <v>5800000</v>
      </c>
      <c r="L683" s="639" t="s">
        <v>112</v>
      </c>
      <c r="M683" s="643">
        <v>44470</v>
      </c>
      <c r="N683" s="643">
        <v>44496</v>
      </c>
      <c r="O683" s="639"/>
      <c r="P683" s="644" t="s">
        <v>10188</v>
      </c>
      <c r="Q683" s="2458" t="s">
        <v>10224</v>
      </c>
      <c r="R683" s="645"/>
      <c r="S683" s="645"/>
      <c r="T683" s="1534"/>
      <c r="U683" s="1534"/>
      <c r="V683" s="1534"/>
      <c r="W683" s="645"/>
      <c r="X683" s="645"/>
      <c r="Y683" s="639"/>
      <c r="Z683" s="643">
        <v>44496</v>
      </c>
      <c r="AA683" s="639"/>
      <c r="AB683" s="639"/>
      <c r="AC683" s="639"/>
    </row>
    <row r="684" spans="1:29" ht="15.75" thickTop="1">
      <c r="A684" s="428">
        <v>44469</v>
      </c>
      <c r="B684" s="425" t="s">
        <v>9979</v>
      </c>
      <c r="C684" s="425" t="s">
        <v>69</v>
      </c>
      <c r="D684" s="425" t="s">
        <v>70</v>
      </c>
      <c r="E684" s="426" t="s">
        <v>9980</v>
      </c>
      <c r="F684" s="425">
        <v>1</v>
      </c>
      <c r="G684" s="1371" t="s">
        <v>9981</v>
      </c>
      <c r="H684" s="583"/>
      <c r="I684" s="425" t="s">
        <v>93</v>
      </c>
      <c r="J684" s="425"/>
      <c r="K684" s="429">
        <v>695760</v>
      </c>
      <c r="L684" s="425" t="s">
        <v>251</v>
      </c>
      <c r="M684" s="428">
        <v>44475</v>
      </c>
      <c r="N684" s="428">
        <v>44557</v>
      </c>
      <c r="O684" s="425"/>
      <c r="P684" s="1371"/>
      <c r="Q684" s="425"/>
      <c r="R684" s="429"/>
      <c r="S684" s="429"/>
      <c r="T684" s="1483"/>
      <c r="U684" s="1483"/>
      <c r="V684" s="1483"/>
      <c r="W684" s="429"/>
      <c r="X684" s="429"/>
      <c r="Y684" s="425"/>
      <c r="Z684" s="425"/>
      <c r="AA684" s="425"/>
      <c r="AB684" s="425"/>
      <c r="AC684" s="425"/>
    </row>
    <row r="685" spans="1:29">
      <c r="A685" s="2153">
        <v>44469</v>
      </c>
      <c r="B685" s="2154" t="s">
        <v>9979</v>
      </c>
      <c r="C685" s="2154" t="s">
        <v>69</v>
      </c>
      <c r="D685" s="2154" t="s">
        <v>70</v>
      </c>
      <c r="E685" s="2155" t="s">
        <v>9980</v>
      </c>
      <c r="F685" s="2154">
        <v>2</v>
      </c>
      <c r="G685" s="2156" t="s">
        <v>9982</v>
      </c>
      <c r="H685" s="2085"/>
      <c r="I685" s="2154" t="s">
        <v>93</v>
      </c>
      <c r="J685" s="2154"/>
      <c r="K685" s="2157">
        <v>553461</v>
      </c>
      <c r="L685" s="2154" t="s">
        <v>251</v>
      </c>
      <c r="M685" s="2153">
        <v>44475</v>
      </c>
      <c r="N685" s="2153">
        <v>44557</v>
      </c>
      <c r="O685" s="2154"/>
      <c r="P685" s="2156"/>
      <c r="Q685" s="2154"/>
      <c r="R685" s="2157"/>
      <c r="S685" s="2157"/>
      <c r="T685" s="2094"/>
      <c r="U685" s="2094"/>
      <c r="V685" s="2094"/>
      <c r="W685" s="2157"/>
      <c r="X685" s="2157"/>
      <c r="Y685" s="2154"/>
      <c r="Z685" s="2154"/>
      <c r="AA685" s="2154"/>
      <c r="AB685" s="2154"/>
      <c r="AC685" s="2154"/>
    </row>
    <row r="686" spans="1:29">
      <c r="A686" s="2153">
        <v>44469</v>
      </c>
      <c r="B686" s="2154" t="s">
        <v>9979</v>
      </c>
      <c r="C686" s="2154" t="s">
        <v>69</v>
      </c>
      <c r="D686" s="2154" t="s">
        <v>70</v>
      </c>
      <c r="E686" s="2155" t="s">
        <v>9980</v>
      </c>
      <c r="F686" s="2154">
        <v>3</v>
      </c>
      <c r="G686" s="2156" t="s">
        <v>9983</v>
      </c>
      <c r="H686" s="2085"/>
      <c r="I686" s="2154" t="s">
        <v>93</v>
      </c>
      <c r="J686" s="2154"/>
      <c r="K686" s="2157">
        <v>1970539</v>
      </c>
      <c r="L686" s="2154" t="s">
        <v>251</v>
      </c>
      <c r="M686" s="2153">
        <v>44475</v>
      </c>
      <c r="N686" s="2153">
        <v>44557</v>
      </c>
      <c r="O686" s="2154"/>
      <c r="P686" s="2156"/>
      <c r="Q686" s="2154"/>
      <c r="R686" s="2157"/>
      <c r="S686" s="2157"/>
      <c r="T686" s="2094"/>
      <c r="U686" s="2094"/>
      <c r="V686" s="2094"/>
      <c r="W686" s="2157"/>
      <c r="X686" s="2157"/>
      <c r="Y686" s="2154"/>
      <c r="Z686" s="2154"/>
      <c r="AA686" s="2154"/>
      <c r="AB686" s="2154"/>
      <c r="AC686" s="2154"/>
    </row>
    <row r="687" spans="1:29">
      <c r="A687" s="2153">
        <v>44469</v>
      </c>
      <c r="B687" s="2154" t="s">
        <v>9979</v>
      </c>
      <c r="C687" s="2154" t="s">
        <v>69</v>
      </c>
      <c r="D687" s="2154" t="s">
        <v>70</v>
      </c>
      <c r="E687" s="2155" t="s">
        <v>9980</v>
      </c>
      <c r="F687" s="2154">
        <v>4</v>
      </c>
      <c r="G687" s="2156" t="s">
        <v>9985</v>
      </c>
      <c r="H687" s="2085"/>
      <c r="I687" s="2154" t="s">
        <v>93</v>
      </c>
      <c r="J687" s="2154"/>
      <c r="K687" s="2157">
        <v>1744029</v>
      </c>
      <c r="L687" s="2154" t="s">
        <v>251</v>
      </c>
      <c r="M687" s="2153">
        <v>44475</v>
      </c>
      <c r="N687" s="2153">
        <v>44557</v>
      </c>
      <c r="O687" s="2154"/>
      <c r="P687" s="2156"/>
      <c r="Q687" s="2154"/>
      <c r="R687" s="2157"/>
      <c r="S687" s="2157"/>
      <c r="T687" s="2094"/>
      <c r="U687" s="2094"/>
      <c r="V687" s="2094"/>
      <c r="W687" s="2157"/>
      <c r="X687" s="2157"/>
      <c r="Y687" s="2154"/>
      <c r="Z687" s="2154"/>
      <c r="AA687" s="2154"/>
      <c r="AB687" s="2154"/>
      <c r="AC687" s="2154"/>
    </row>
    <row r="688" spans="1:29">
      <c r="A688" s="2153">
        <v>44469</v>
      </c>
      <c r="B688" s="2154" t="s">
        <v>9979</v>
      </c>
      <c r="C688" s="2154" t="s">
        <v>69</v>
      </c>
      <c r="D688" s="2154" t="s">
        <v>70</v>
      </c>
      <c r="E688" s="2155" t="s">
        <v>9980</v>
      </c>
      <c r="F688" s="2154">
        <v>5</v>
      </c>
      <c r="G688" s="2156" t="s">
        <v>9986</v>
      </c>
      <c r="H688" s="2085"/>
      <c r="I688" s="2154" t="s">
        <v>93</v>
      </c>
      <c r="J688" s="2154"/>
      <c r="K688" s="2157">
        <v>1335396</v>
      </c>
      <c r="L688" s="2154" t="s">
        <v>251</v>
      </c>
      <c r="M688" s="2153">
        <v>44475</v>
      </c>
      <c r="N688" s="2153">
        <v>44557</v>
      </c>
      <c r="O688" s="2154"/>
      <c r="P688" s="2156"/>
      <c r="Q688" s="2154"/>
      <c r="R688" s="2157"/>
      <c r="S688" s="2157"/>
      <c r="T688" s="2094"/>
      <c r="U688" s="2094"/>
      <c r="V688" s="2094"/>
      <c r="W688" s="2157"/>
      <c r="X688" s="2157"/>
      <c r="Y688" s="2154"/>
      <c r="Z688" s="2154"/>
      <c r="AA688" s="2154"/>
      <c r="AB688" s="2154"/>
      <c r="AC688" s="2154"/>
    </row>
    <row r="689" spans="1:29" ht="15.75" thickBot="1">
      <c r="A689" s="2130">
        <v>44469</v>
      </c>
      <c r="B689" s="2131" t="s">
        <v>9979</v>
      </c>
      <c r="C689" s="2131" t="s">
        <v>69</v>
      </c>
      <c r="D689" s="2131" t="s">
        <v>70</v>
      </c>
      <c r="E689" s="2132" t="s">
        <v>9980</v>
      </c>
      <c r="F689" s="2131">
        <v>6</v>
      </c>
      <c r="G689" s="2133" t="s">
        <v>9984</v>
      </c>
      <c r="H689" s="2089"/>
      <c r="I689" s="2131" t="s">
        <v>93</v>
      </c>
      <c r="J689" s="2131"/>
      <c r="K689" s="2134">
        <v>4776300</v>
      </c>
      <c r="L689" s="2131" t="s">
        <v>251</v>
      </c>
      <c r="M689" s="2130">
        <v>44475</v>
      </c>
      <c r="N689" s="2130">
        <v>44557</v>
      </c>
      <c r="O689" s="2131"/>
      <c r="P689" s="2137" t="s">
        <v>304</v>
      </c>
      <c r="Q689" s="2131"/>
      <c r="R689" s="2134"/>
      <c r="S689" s="2134"/>
      <c r="T689" s="2095"/>
      <c r="U689" s="2095"/>
      <c r="V689" s="2095"/>
      <c r="W689" s="2134"/>
      <c r="X689" s="2134"/>
      <c r="Y689" s="2131"/>
      <c r="Z689" s="2130">
        <v>44622</v>
      </c>
      <c r="AA689" s="2131" t="s">
        <v>10919</v>
      </c>
      <c r="AB689" s="2131"/>
      <c r="AC689" s="2131"/>
    </row>
    <row r="690" spans="1:29" ht="15.75" thickTop="1">
      <c r="A690" s="580">
        <v>44469</v>
      </c>
      <c r="B690" s="576" t="s">
        <v>9988</v>
      </c>
      <c r="C690" s="576" t="s">
        <v>9694</v>
      </c>
      <c r="D690" s="576" t="s">
        <v>2588</v>
      </c>
      <c r="E690" s="577" t="s">
        <v>9989</v>
      </c>
      <c r="F690" s="576"/>
      <c r="G690" s="1828"/>
      <c r="H690" s="576"/>
      <c r="I690" s="576" t="s">
        <v>33</v>
      </c>
      <c r="J690" s="576" t="s">
        <v>8038</v>
      </c>
      <c r="K690" s="581">
        <v>160000000</v>
      </c>
      <c r="L690" s="576" t="s">
        <v>251</v>
      </c>
      <c r="M690" s="580">
        <v>44547</v>
      </c>
      <c r="N690" s="580">
        <v>44581</v>
      </c>
      <c r="O690" s="576"/>
      <c r="P690" s="1828"/>
      <c r="Q690" s="576"/>
      <c r="R690" s="581"/>
      <c r="S690" s="581"/>
      <c r="T690" s="1489"/>
      <c r="U690" s="1489"/>
      <c r="V690" s="1489"/>
      <c r="W690" s="581"/>
      <c r="X690" s="581"/>
      <c r="Y690" s="576"/>
      <c r="Z690" s="576"/>
      <c r="AA690" s="576"/>
      <c r="AB690" s="576"/>
      <c r="AC690" s="576"/>
    </row>
    <row r="691" spans="1:29" ht="30">
      <c r="A691" s="2153">
        <v>44453</v>
      </c>
      <c r="B691" s="2154" t="s">
        <v>9991</v>
      </c>
      <c r="C691" s="2154" t="s">
        <v>58</v>
      </c>
      <c r="D691" s="2154" t="s">
        <v>2684</v>
      </c>
      <c r="E691" s="2155" t="s">
        <v>9992</v>
      </c>
      <c r="F691" s="2154"/>
      <c r="G691" s="2156"/>
      <c r="H691" s="2085"/>
      <c r="I691" s="2154" t="s">
        <v>62</v>
      </c>
      <c r="J691" s="2154" t="s">
        <v>9993</v>
      </c>
      <c r="K691" s="2157">
        <v>2800000</v>
      </c>
      <c r="L691" s="2154" t="s">
        <v>251</v>
      </c>
      <c r="M691" s="2153">
        <v>44480</v>
      </c>
      <c r="N691" s="2153">
        <v>44512</v>
      </c>
      <c r="O691" s="2153">
        <v>44553</v>
      </c>
      <c r="P691" s="2156" t="s">
        <v>4323</v>
      </c>
      <c r="Q691" s="2154"/>
      <c r="R691" s="2157">
        <v>2797840</v>
      </c>
      <c r="S691" s="2157">
        <v>3385386.4</v>
      </c>
      <c r="T691" s="2094"/>
      <c r="U691" s="2094"/>
      <c r="V691" s="2094"/>
      <c r="W691" s="2160">
        <v>44553</v>
      </c>
      <c r="X691" s="2326" t="s">
        <v>10628</v>
      </c>
      <c r="Y691" s="2154"/>
      <c r="Z691" s="2154"/>
      <c r="AA691" s="2154"/>
      <c r="AB691" s="2154"/>
      <c r="AC691" s="2154"/>
    </row>
    <row r="692" spans="1:29">
      <c r="A692" s="2125" t="s">
        <v>3585</v>
      </c>
      <c r="B692" s="2125" t="s">
        <v>10001</v>
      </c>
      <c r="C692" s="2125" t="s">
        <v>289</v>
      </c>
      <c r="D692" s="2125" t="s">
        <v>6509</v>
      </c>
      <c r="E692" s="2126" t="s">
        <v>10002</v>
      </c>
      <c r="F692" s="2125"/>
      <c r="G692" s="2127"/>
      <c r="H692" s="2125"/>
      <c r="I692" s="2125" t="s">
        <v>9790</v>
      </c>
      <c r="J692" s="2125" t="s">
        <v>9789</v>
      </c>
      <c r="K692" s="2128">
        <v>150000</v>
      </c>
      <c r="L692" s="2125" t="s">
        <v>112</v>
      </c>
      <c r="M692" s="2124">
        <v>44475</v>
      </c>
      <c r="N692" s="2124">
        <v>44483</v>
      </c>
      <c r="O692" s="2125"/>
      <c r="P692" s="2136" t="s">
        <v>10170</v>
      </c>
      <c r="Q692" s="2125"/>
      <c r="R692" s="2128"/>
      <c r="S692" s="2128"/>
      <c r="T692" s="2129"/>
      <c r="U692" s="2129"/>
      <c r="V692" s="2129"/>
      <c r="W692" s="2128"/>
      <c r="X692" s="2128"/>
      <c r="Y692" s="2125"/>
      <c r="Z692" s="2124">
        <v>44494</v>
      </c>
      <c r="AA692" s="2125"/>
      <c r="AB692" s="2125"/>
      <c r="AC692" s="2125"/>
    </row>
    <row r="693" spans="1:29" ht="15.75" thickBot="1">
      <c r="A693" s="416">
        <v>44469</v>
      </c>
      <c r="B693" s="411" t="s">
        <v>10004</v>
      </c>
      <c r="C693" s="411" t="s">
        <v>1032</v>
      </c>
      <c r="D693" s="411" t="s">
        <v>1033</v>
      </c>
      <c r="E693" s="412" t="s">
        <v>3342</v>
      </c>
      <c r="F693" s="411"/>
      <c r="G693" s="630"/>
      <c r="H693" s="2141"/>
      <c r="I693" s="411" t="s">
        <v>3343</v>
      </c>
      <c r="J693" s="411"/>
      <c r="K693" s="417">
        <v>590000</v>
      </c>
      <c r="L693" s="411" t="s">
        <v>112</v>
      </c>
      <c r="M693" s="416">
        <v>44474</v>
      </c>
      <c r="N693" s="416">
        <v>44491</v>
      </c>
      <c r="O693" s="416">
        <v>44502</v>
      </c>
      <c r="P693" s="630" t="s">
        <v>10203</v>
      </c>
      <c r="Q693" s="411"/>
      <c r="R693" s="417">
        <v>291034</v>
      </c>
      <c r="S693" s="417">
        <v>352151.14</v>
      </c>
      <c r="T693" s="2145"/>
      <c r="U693" s="2145"/>
      <c r="V693" s="2145"/>
      <c r="W693" s="513">
        <v>44502</v>
      </c>
      <c r="X693" s="417" t="s">
        <v>10213</v>
      </c>
      <c r="Y693" s="416">
        <v>44522</v>
      </c>
      <c r="Z693" s="416">
        <v>44523</v>
      </c>
      <c r="AA693" s="416">
        <v>44582</v>
      </c>
      <c r="AB693" s="1548">
        <v>44624</v>
      </c>
      <c r="AC693" s="967"/>
    </row>
    <row r="694" spans="1:29" ht="15.75" thickTop="1">
      <c r="A694" s="425" t="s">
        <v>3585</v>
      </c>
      <c r="B694" s="425" t="s">
        <v>10006</v>
      </c>
      <c r="C694" s="425" t="s">
        <v>69</v>
      </c>
      <c r="D694" s="425" t="s">
        <v>70</v>
      </c>
      <c r="E694" s="426" t="s">
        <v>10007</v>
      </c>
      <c r="F694" s="425">
        <v>1</v>
      </c>
      <c r="G694" s="1371" t="s">
        <v>9622</v>
      </c>
      <c r="H694" s="2085"/>
      <c r="I694" s="425" t="s">
        <v>42</v>
      </c>
      <c r="J694" s="425"/>
      <c r="K694" s="429">
        <v>733738</v>
      </c>
      <c r="L694" s="425" t="s">
        <v>112</v>
      </c>
      <c r="M694" s="428">
        <v>44480</v>
      </c>
      <c r="N694" s="428">
        <v>44487</v>
      </c>
      <c r="O694" s="425" t="s">
        <v>10595</v>
      </c>
      <c r="P694" s="1371" t="s">
        <v>1319</v>
      </c>
      <c r="Q694" s="425"/>
      <c r="R694" s="429">
        <v>733735.96</v>
      </c>
      <c r="S694" s="429">
        <v>887820.51</v>
      </c>
      <c r="T694" s="2094"/>
      <c r="U694" s="2094"/>
      <c r="V694" s="2094"/>
      <c r="W694" s="1384">
        <v>44546</v>
      </c>
      <c r="X694" s="429" t="s">
        <v>10596</v>
      </c>
      <c r="Y694" s="425"/>
      <c r="Z694" s="425"/>
      <c r="AA694" s="425"/>
      <c r="AB694" s="425"/>
      <c r="AC694" s="425"/>
    </row>
    <row r="695" spans="1:29">
      <c r="A695" s="2154" t="s">
        <v>3585</v>
      </c>
      <c r="B695" s="2154" t="s">
        <v>10006</v>
      </c>
      <c r="C695" s="2154" t="s">
        <v>69</v>
      </c>
      <c r="D695" s="2154" t="s">
        <v>70</v>
      </c>
      <c r="E695" s="2155" t="s">
        <v>10007</v>
      </c>
      <c r="F695" s="2154">
        <v>2</v>
      </c>
      <c r="G695" s="2156" t="s">
        <v>9623</v>
      </c>
      <c r="H695" s="2085"/>
      <c r="I695" s="2154" t="s">
        <v>42</v>
      </c>
      <c r="J695" s="2154"/>
      <c r="K695" s="2157">
        <v>102837</v>
      </c>
      <c r="L695" s="2154" t="s">
        <v>112</v>
      </c>
      <c r="M695" s="2153">
        <v>44480</v>
      </c>
      <c r="N695" s="2153">
        <v>44487</v>
      </c>
      <c r="O695" s="2154"/>
      <c r="P695" s="2156" t="s">
        <v>4409</v>
      </c>
      <c r="Q695" s="2154"/>
      <c r="R695" s="2157">
        <v>47784</v>
      </c>
      <c r="S695" s="2157">
        <v>57818.64</v>
      </c>
      <c r="T695" s="2094"/>
      <c r="U695" s="2094"/>
      <c r="V695" s="2094"/>
      <c r="W695" s="2157"/>
      <c r="X695" s="2157"/>
      <c r="Y695" s="2154"/>
      <c r="Z695" s="2154"/>
      <c r="AA695" s="2154"/>
      <c r="AB695" s="2154"/>
      <c r="AC695" s="2154"/>
    </row>
    <row r="696" spans="1:29">
      <c r="A696" s="2125" t="s">
        <v>3585</v>
      </c>
      <c r="B696" s="2125" t="s">
        <v>10006</v>
      </c>
      <c r="C696" s="2125" t="s">
        <v>69</v>
      </c>
      <c r="D696" s="2125" t="s">
        <v>70</v>
      </c>
      <c r="E696" s="2126" t="s">
        <v>10007</v>
      </c>
      <c r="F696" s="2125">
        <v>3</v>
      </c>
      <c r="G696" s="2127" t="s">
        <v>9624</v>
      </c>
      <c r="H696" s="2125"/>
      <c r="I696" s="2125" t="s">
        <v>42</v>
      </c>
      <c r="J696" s="2125"/>
      <c r="K696" s="2128">
        <v>52000</v>
      </c>
      <c r="L696" s="2125" t="s">
        <v>112</v>
      </c>
      <c r="M696" s="2124">
        <v>44480</v>
      </c>
      <c r="N696" s="2124">
        <v>44487</v>
      </c>
      <c r="O696" s="2125"/>
      <c r="P696" s="2136" t="s">
        <v>304</v>
      </c>
      <c r="Q696" s="2125"/>
      <c r="R696" s="2128"/>
      <c r="S696" s="2128"/>
      <c r="T696" s="2129"/>
      <c r="U696" s="2129"/>
      <c r="V696" s="2129"/>
      <c r="W696" s="2128"/>
      <c r="X696" s="2128"/>
      <c r="Y696" s="2125"/>
      <c r="Z696" s="2124">
        <v>44487</v>
      </c>
      <c r="AA696" s="2125" t="s">
        <v>10110</v>
      </c>
      <c r="AB696" s="2125"/>
      <c r="AC696" s="2125"/>
    </row>
    <row r="697" spans="1:29">
      <c r="A697" s="2154" t="s">
        <v>3585</v>
      </c>
      <c r="B697" s="2154" t="s">
        <v>10006</v>
      </c>
      <c r="C697" s="2154" t="s">
        <v>69</v>
      </c>
      <c r="D697" s="2154" t="s">
        <v>70</v>
      </c>
      <c r="E697" s="2155" t="s">
        <v>10007</v>
      </c>
      <c r="F697" s="2154">
        <v>4</v>
      </c>
      <c r="G697" s="2156" t="s">
        <v>9625</v>
      </c>
      <c r="H697" s="2085"/>
      <c r="I697" s="2154" t="s">
        <v>42</v>
      </c>
      <c r="J697" s="2154"/>
      <c r="K697" s="2157">
        <v>287058</v>
      </c>
      <c r="L697" s="2154" t="s">
        <v>112</v>
      </c>
      <c r="M697" s="2153">
        <v>44480</v>
      </c>
      <c r="N697" s="2153">
        <v>44487</v>
      </c>
      <c r="O697" s="2154" t="s">
        <v>10595</v>
      </c>
      <c r="P697" s="2156" t="s">
        <v>5979</v>
      </c>
      <c r="Q697" s="2154"/>
      <c r="R697" s="2157">
        <v>301280</v>
      </c>
      <c r="S697" s="2157">
        <v>364548.8</v>
      </c>
      <c r="T697" s="2094"/>
      <c r="U697" s="2094"/>
      <c r="V697" s="2094"/>
      <c r="W697" s="2160">
        <v>44546</v>
      </c>
      <c r="X697" s="2157" t="s">
        <v>10597</v>
      </c>
      <c r="Y697" s="2154"/>
      <c r="Z697" s="2154"/>
      <c r="AA697" s="2154"/>
      <c r="AB697" s="2154"/>
      <c r="AC697" s="2154"/>
    </row>
    <row r="698" spans="1:29" ht="15.75" thickBot="1">
      <c r="A698" s="2131" t="s">
        <v>3585</v>
      </c>
      <c r="B698" s="2131" t="s">
        <v>10006</v>
      </c>
      <c r="C698" s="2131" t="s">
        <v>69</v>
      </c>
      <c r="D698" s="2131" t="s">
        <v>70</v>
      </c>
      <c r="E698" s="2132" t="s">
        <v>10007</v>
      </c>
      <c r="F698" s="2131">
        <v>5</v>
      </c>
      <c r="G698" s="2133" t="s">
        <v>9626</v>
      </c>
      <c r="H698" s="2125"/>
      <c r="I698" s="2131" t="s">
        <v>42</v>
      </c>
      <c r="J698" s="2131"/>
      <c r="K698" s="2134">
        <v>195234</v>
      </c>
      <c r="L698" s="2131" t="s">
        <v>112</v>
      </c>
      <c r="M698" s="2130">
        <v>44480</v>
      </c>
      <c r="N698" s="2130">
        <v>44487</v>
      </c>
      <c r="O698" s="2131"/>
      <c r="P698" s="2137" t="s">
        <v>304</v>
      </c>
      <c r="Q698" s="2131"/>
      <c r="R698" s="2134"/>
      <c r="S698" s="2134"/>
      <c r="T698" s="2129"/>
      <c r="U698" s="2129"/>
      <c r="V698" s="2129"/>
      <c r="W698" s="2134"/>
      <c r="X698" s="2134"/>
      <c r="Y698" s="2131"/>
      <c r="Z698" s="2130">
        <v>44487</v>
      </c>
      <c r="AA698" s="2131" t="s">
        <v>10110</v>
      </c>
      <c r="AB698" s="2131"/>
      <c r="AC698" s="2131"/>
    </row>
    <row r="699" spans="1:29" ht="30.75" thickTop="1">
      <c r="A699" s="840">
        <v>44470</v>
      </c>
      <c r="B699" s="423" t="s">
        <v>10008</v>
      </c>
      <c r="C699" s="423" t="s">
        <v>2434</v>
      </c>
      <c r="D699" s="423" t="s">
        <v>3204</v>
      </c>
      <c r="E699" s="837" t="s">
        <v>10009</v>
      </c>
      <c r="F699" s="423"/>
      <c r="G699" s="1422"/>
      <c r="H699" s="2085"/>
      <c r="I699" s="423" t="s">
        <v>642</v>
      </c>
      <c r="J699" s="423"/>
      <c r="K699" s="841">
        <v>4914000</v>
      </c>
      <c r="L699" s="423" t="s">
        <v>251</v>
      </c>
      <c r="M699" s="840">
        <v>44487</v>
      </c>
      <c r="N699" s="840">
        <v>44522</v>
      </c>
      <c r="O699" s="840">
        <v>44546</v>
      </c>
      <c r="P699" s="1422" t="s">
        <v>8278</v>
      </c>
      <c r="Q699" s="423"/>
      <c r="R699" s="841">
        <v>4851000</v>
      </c>
      <c r="S699" s="841">
        <v>5869710</v>
      </c>
      <c r="T699" s="2094"/>
      <c r="U699" s="2094"/>
      <c r="V699" s="2094"/>
      <c r="W699" s="1392">
        <v>44546</v>
      </c>
      <c r="X699" s="1796" t="s">
        <v>10578</v>
      </c>
      <c r="Y699" s="423"/>
      <c r="Z699" s="423"/>
      <c r="AA699" s="423"/>
      <c r="AB699" s="423"/>
      <c r="AC699" s="423"/>
    </row>
    <row r="700" spans="1:29" ht="45">
      <c r="A700" s="2153">
        <v>44473</v>
      </c>
      <c r="B700" s="2154" t="s">
        <v>10010</v>
      </c>
      <c r="C700" s="2154" t="s">
        <v>2434</v>
      </c>
      <c r="D700" s="2154" t="s">
        <v>3204</v>
      </c>
      <c r="E700" s="2155" t="s">
        <v>4280</v>
      </c>
      <c r="F700" s="2154">
        <v>1</v>
      </c>
      <c r="G700" s="2156" t="s">
        <v>10011</v>
      </c>
      <c r="H700" s="2085"/>
      <c r="I700" s="2154" t="s">
        <v>642</v>
      </c>
      <c r="J700" s="2154"/>
      <c r="K700" s="2157">
        <v>3311000</v>
      </c>
      <c r="L700" s="2154" t="s">
        <v>251</v>
      </c>
      <c r="M700" s="2153">
        <v>44481</v>
      </c>
      <c r="N700" s="2153">
        <v>44516</v>
      </c>
      <c r="O700" s="2153">
        <v>44531</v>
      </c>
      <c r="P700" s="2156" t="s">
        <v>4894</v>
      </c>
      <c r="Q700" s="2154"/>
      <c r="R700" s="2157">
        <v>3311000</v>
      </c>
      <c r="S700" s="2157">
        <v>3807650</v>
      </c>
      <c r="T700" s="2094"/>
      <c r="U700" s="2094"/>
      <c r="V700" s="2094"/>
      <c r="W700" s="2160">
        <v>44531</v>
      </c>
      <c r="X700" s="2326" t="s">
        <v>10493</v>
      </c>
      <c r="Y700" s="2154"/>
      <c r="Z700" s="2154"/>
      <c r="AA700" s="2154"/>
      <c r="AB700" s="2154"/>
      <c r="AC700" s="2154"/>
    </row>
    <row r="701" spans="1:29" ht="30.75" thickBot="1">
      <c r="A701" s="464">
        <v>44473</v>
      </c>
      <c r="B701" s="406" t="s">
        <v>10010</v>
      </c>
      <c r="C701" s="406" t="s">
        <v>2434</v>
      </c>
      <c r="D701" s="406" t="s">
        <v>3204</v>
      </c>
      <c r="E701" s="462" t="s">
        <v>4280</v>
      </c>
      <c r="F701" s="406">
        <v>2</v>
      </c>
      <c r="G701" s="1425" t="s">
        <v>10012</v>
      </c>
      <c r="H701" s="1437"/>
      <c r="I701" s="406" t="s">
        <v>642</v>
      </c>
      <c r="J701" s="406"/>
      <c r="K701" s="465">
        <v>5213900</v>
      </c>
      <c r="L701" s="406" t="s">
        <v>251</v>
      </c>
      <c r="M701" s="464">
        <v>44481</v>
      </c>
      <c r="N701" s="464">
        <v>44516</v>
      </c>
      <c r="O701" s="464">
        <v>44531</v>
      </c>
      <c r="P701" s="1425" t="s">
        <v>4894</v>
      </c>
      <c r="Q701" s="406"/>
      <c r="R701" s="465">
        <v>5168000</v>
      </c>
      <c r="S701" s="465">
        <v>5943200</v>
      </c>
      <c r="T701" s="1490"/>
      <c r="U701" s="1490"/>
      <c r="V701" s="1490"/>
      <c r="W701" s="1809">
        <v>44531</v>
      </c>
      <c r="X701" s="1829" t="s">
        <v>10494</v>
      </c>
      <c r="Y701" s="406"/>
      <c r="Z701" s="406"/>
      <c r="AA701" s="406"/>
      <c r="AB701" s="406"/>
      <c r="AC701" s="406"/>
    </row>
    <row r="702" spans="1:29" ht="30.75" thickTop="1">
      <c r="A702" s="428">
        <v>44473</v>
      </c>
      <c r="B702" s="425" t="s">
        <v>10013</v>
      </c>
      <c r="C702" s="425" t="s">
        <v>2434</v>
      </c>
      <c r="D702" s="425" t="s">
        <v>3204</v>
      </c>
      <c r="E702" s="426" t="s">
        <v>4079</v>
      </c>
      <c r="F702" s="425">
        <v>1</v>
      </c>
      <c r="G702" s="3343" t="s">
        <v>10014</v>
      </c>
      <c r="H702" s="583"/>
      <c r="I702" s="425" t="s">
        <v>642</v>
      </c>
      <c r="J702" s="425"/>
      <c r="K702" s="429">
        <v>681480</v>
      </c>
      <c r="L702" s="425" t="s">
        <v>251</v>
      </c>
      <c r="M702" s="428">
        <v>44481</v>
      </c>
      <c r="N702" s="428">
        <v>44515</v>
      </c>
      <c r="O702" s="428">
        <v>44539</v>
      </c>
      <c r="P702" s="1371" t="s">
        <v>7296</v>
      </c>
      <c r="Q702" s="425"/>
      <c r="R702" s="429">
        <v>681480</v>
      </c>
      <c r="S702" s="429">
        <v>824590.8</v>
      </c>
      <c r="T702" s="1483"/>
      <c r="U702" s="1483"/>
      <c r="V702" s="1483"/>
      <c r="W702" s="1384">
        <v>44539</v>
      </c>
      <c r="X702" s="2031" t="s">
        <v>10546</v>
      </c>
      <c r="Y702" s="425"/>
      <c r="Z702" s="425"/>
      <c r="AA702" s="425"/>
      <c r="AB702" s="425"/>
      <c r="AC702" s="425"/>
    </row>
    <row r="703" spans="1:29">
      <c r="A703" s="2124">
        <v>44473</v>
      </c>
      <c r="B703" s="2125" t="s">
        <v>10013</v>
      </c>
      <c r="C703" s="2125" t="s">
        <v>2434</v>
      </c>
      <c r="D703" s="2125" t="s">
        <v>3204</v>
      </c>
      <c r="E703" s="2126" t="s">
        <v>4079</v>
      </c>
      <c r="F703" s="2125">
        <v>2</v>
      </c>
      <c r="G703" s="2127" t="s">
        <v>10015</v>
      </c>
      <c r="H703" s="2125"/>
      <c r="I703" s="2125" t="s">
        <v>642</v>
      </c>
      <c r="J703" s="2125"/>
      <c r="K703" s="2128">
        <v>1400000</v>
      </c>
      <c r="L703" s="2125" t="s">
        <v>251</v>
      </c>
      <c r="M703" s="2124">
        <v>44481</v>
      </c>
      <c r="N703" s="2124">
        <v>44515</v>
      </c>
      <c r="O703" s="2125"/>
      <c r="P703" s="2136" t="s">
        <v>8401</v>
      </c>
      <c r="Q703" s="2481" t="s">
        <v>10517</v>
      </c>
      <c r="R703" s="2128"/>
      <c r="S703" s="2128"/>
      <c r="T703" s="2129"/>
      <c r="U703" s="2129"/>
      <c r="V703" s="2129"/>
      <c r="W703" s="2128"/>
      <c r="X703" s="2128"/>
      <c r="Y703" s="2125"/>
      <c r="Z703" s="2124">
        <v>44536</v>
      </c>
      <c r="AA703" s="2125" t="s">
        <v>10326</v>
      </c>
      <c r="AB703" s="2125"/>
      <c r="AC703" s="2125"/>
    </row>
    <row r="704" spans="1:29" ht="30">
      <c r="A704" s="2153">
        <v>44473</v>
      </c>
      <c r="B704" s="2154" t="s">
        <v>10013</v>
      </c>
      <c r="C704" s="2154" t="s">
        <v>2434</v>
      </c>
      <c r="D704" s="2154" t="s">
        <v>3204</v>
      </c>
      <c r="E704" s="2155" t="s">
        <v>4079</v>
      </c>
      <c r="F704" s="2154">
        <v>3</v>
      </c>
      <c r="G704" s="3342" t="s">
        <v>10016</v>
      </c>
      <c r="H704" s="2085"/>
      <c r="I704" s="2154" t="s">
        <v>642</v>
      </c>
      <c r="J704" s="2154"/>
      <c r="K704" s="2157">
        <v>120600</v>
      </c>
      <c r="L704" s="2154" t="s">
        <v>251</v>
      </c>
      <c r="M704" s="2153">
        <v>44481</v>
      </c>
      <c r="N704" s="2153">
        <v>44515</v>
      </c>
      <c r="O704" s="2153">
        <v>44539</v>
      </c>
      <c r="P704" s="2156" t="s">
        <v>4838</v>
      </c>
      <c r="Q704" s="2154"/>
      <c r="R704" s="2157">
        <v>120600</v>
      </c>
      <c r="S704" s="2157">
        <v>145926</v>
      </c>
      <c r="T704" s="2094"/>
      <c r="U704" s="2094"/>
      <c r="V704" s="2094"/>
      <c r="W704" s="2160">
        <v>44539</v>
      </c>
      <c r="X704" s="2326" t="s">
        <v>10547</v>
      </c>
      <c r="Y704" s="2154"/>
      <c r="Z704" s="2154"/>
      <c r="AA704" s="2154"/>
      <c r="AB704" s="2154"/>
      <c r="AC704" s="2154"/>
    </row>
    <row r="705" spans="1:43">
      <c r="A705" s="2124">
        <v>44473</v>
      </c>
      <c r="B705" s="2125" t="s">
        <v>10013</v>
      </c>
      <c r="C705" s="2125" t="s">
        <v>2434</v>
      </c>
      <c r="D705" s="2125" t="s">
        <v>3204</v>
      </c>
      <c r="E705" s="2126" t="s">
        <v>4079</v>
      </c>
      <c r="F705" s="2125">
        <v>4</v>
      </c>
      <c r="G705" s="2406" t="s">
        <v>10017</v>
      </c>
      <c r="H705" s="2125"/>
      <c r="I705" s="2125" t="s">
        <v>642</v>
      </c>
      <c r="J705" s="2125"/>
      <c r="K705" s="2128">
        <v>125160</v>
      </c>
      <c r="L705" s="2125" t="s">
        <v>251</v>
      </c>
      <c r="M705" s="2124">
        <v>44481</v>
      </c>
      <c r="N705" s="2124">
        <v>44515</v>
      </c>
      <c r="O705" s="2125"/>
      <c r="P705" s="2136" t="s">
        <v>304</v>
      </c>
      <c r="Q705" s="2481" t="s">
        <v>10517</v>
      </c>
      <c r="R705" s="2128"/>
      <c r="S705" s="2128"/>
      <c r="T705" s="2129"/>
      <c r="U705" s="2129"/>
      <c r="V705" s="2129"/>
      <c r="W705" s="2128"/>
      <c r="X705" s="2128"/>
      <c r="Y705" s="2125"/>
      <c r="Z705" s="2124">
        <v>44536</v>
      </c>
      <c r="AA705" s="2125" t="s">
        <v>10340</v>
      </c>
      <c r="AB705" s="2125"/>
      <c r="AC705" s="2125"/>
    </row>
    <row r="706" spans="1:43" ht="15.75" thickBot="1">
      <c r="A706" s="2130">
        <v>44473</v>
      </c>
      <c r="B706" s="2131" t="s">
        <v>10013</v>
      </c>
      <c r="C706" s="2131" t="s">
        <v>2434</v>
      </c>
      <c r="D706" s="2131" t="s">
        <v>3204</v>
      </c>
      <c r="E706" s="2132" t="s">
        <v>4079</v>
      </c>
      <c r="F706" s="2131">
        <v>5</v>
      </c>
      <c r="G706" s="2133" t="s">
        <v>10018</v>
      </c>
      <c r="H706" s="2131"/>
      <c r="I706" s="2131" t="s">
        <v>642</v>
      </c>
      <c r="J706" s="2131"/>
      <c r="K706" s="2134">
        <v>2080500</v>
      </c>
      <c r="L706" s="2131" t="s">
        <v>251</v>
      </c>
      <c r="M706" s="2130">
        <v>44481</v>
      </c>
      <c r="N706" s="2130">
        <v>44515</v>
      </c>
      <c r="O706" s="2131"/>
      <c r="P706" s="2137" t="s">
        <v>304</v>
      </c>
      <c r="Q706" s="2482" t="s">
        <v>10517</v>
      </c>
      <c r="R706" s="2134"/>
      <c r="S706" s="2134"/>
      <c r="T706" s="2135"/>
      <c r="U706" s="2135"/>
      <c r="V706" s="2135"/>
      <c r="W706" s="2134"/>
      <c r="X706" s="2134"/>
      <c r="Y706" s="2131"/>
      <c r="Z706" s="2130">
        <v>44536</v>
      </c>
      <c r="AA706" s="2131" t="s">
        <v>10340</v>
      </c>
      <c r="AB706" s="2131"/>
      <c r="AC706" s="2131"/>
    </row>
    <row r="707" spans="1:43" ht="15.75" thickTop="1">
      <c r="A707" s="840">
        <v>44473</v>
      </c>
      <c r="B707" s="423" t="s">
        <v>10019</v>
      </c>
      <c r="C707" s="423" t="s">
        <v>2434</v>
      </c>
      <c r="D707" s="423" t="s">
        <v>219</v>
      </c>
      <c r="E707" s="837" t="s">
        <v>10020</v>
      </c>
      <c r="F707" s="423"/>
      <c r="G707" s="1422"/>
      <c r="H707" s="576"/>
      <c r="I707" s="423" t="s">
        <v>642</v>
      </c>
      <c r="J707" s="423"/>
      <c r="K707" s="841">
        <v>3561600</v>
      </c>
      <c r="L707" s="423" t="s">
        <v>251</v>
      </c>
      <c r="M707" s="840">
        <v>44482</v>
      </c>
      <c r="N707" s="840">
        <v>44525</v>
      </c>
      <c r="O707" s="423"/>
      <c r="P707" s="1422"/>
      <c r="Q707" s="423"/>
      <c r="R707" s="841"/>
      <c r="S707" s="841"/>
      <c r="T707" s="1489"/>
      <c r="U707" s="1489"/>
      <c r="V707" s="1489"/>
      <c r="W707" s="841"/>
      <c r="X707" s="841"/>
      <c r="Y707" s="423"/>
      <c r="Z707" s="423"/>
      <c r="AA707" s="423"/>
      <c r="AB707" s="423"/>
      <c r="AC707" s="423"/>
    </row>
    <row r="708" spans="1:43">
      <c r="A708" s="2125" t="s">
        <v>3585</v>
      </c>
      <c r="B708" s="2125" t="s">
        <v>10023</v>
      </c>
      <c r="C708" s="2125" t="s">
        <v>9800</v>
      </c>
      <c r="D708" s="2125" t="s">
        <v>232</v>
      </c>
      <c r="E708" s="2126" t="s">
        <v>10024</v>
      </c>
      <c r="F708" s="2125"/>
      <c r="G708" s="2127"/>
      <c r="H708" s="2105"/>
      <c r="I708" s="2125" t="s">
        <v>237</v>
      </c>
      <c r="J708" s="2125"/>
      <c r="K708" s="2128">
        <v>200000</v>
      </c>
      <c r="L708" s="2125" t="s">
        <v>112</v>
      </c>
      <c r="M708" s="2124">
        <v>44474</v>
      </c>
      <c r="N708" s="2124">
        <v>44480</v>
      </c>
      <c r="O708" s="2125"/>
      <c r="P708" s="2136" t="s">
        <v>304</v>
      </c>
      <c r="Q708" s="2180" t="s">
        <v>10129</v>
      </c>
      <c r="R708" s="2128"/>
      <c r="S708" s="2128"/>
      <c r="T708" s="2348"/>
      <c r="U708" s="2348"/>
      <c r="V708" s="2348"/>
      <c r="W708" s="2128"/>
      <c r="X708" s="2128"/>
      <c r="Y708" s="356"/>
      <c r="Z708" s="2124">
        <v>44480</v>
      </c>
      <c r="AA708" s="2125"/>
      <c r="AB708" s="2125"/>
      <c r="AC708" s="2125"/>
    </row>
    <row r="709" spans="1:43">
      <c r="A709" s="2124">
        <v>44445</v>
      </c>
      <c r="B709" s="2125" t="s">
        <v>10032</v>
      </c>
      <c r="C709" s="2125" t="s">
        <v>58</v>
      </c>
      <c r="D709" s="2125" t="s">
        <v>4969</v>
      </c>
      <c r="E709" s="2126" t="s">
        <v>10033</v>
      </c>
      <c r="F709" s="2125"/>
      <c r="G709" s="2127"/>
      <c r="H709" s="2085"/>
      <c r="I709" s="2125" t="s">
        <v>62</v>
      </c>
      <c r="J709" s="2125" t="s">
        <v>10034</v>
      </c>
      <c r="K709" s="2128">
        <v>330000</v>
      </c>
      <c r="L709" s="2125" t="s">
        <v>112</v>
      </c>
      <c r="M709" s="2124">
        <v>44481</v>
      </c>
      <c r="N709" s="2124">
        <v>44490</v>
      </c>
      <c r="O709" s="2125"/>
      <c r="P709" s="2136" t="s">
        <v>304</v>
      </c>
      <c r="Q709" s="2320" t="s">
        <v>10181</v>
      </c>
      <c r="R709" s="2128"/>
      <c r="S709" s="2128"/>
      <c r="T709" s="2094"/>
      <c r="U709" s="2094"/>
      <c r="V709" s="2094"/>
      <c r="W709" s="2128"/>
      <c r="X709" s="2128"/>
      <c r="Y709" s="2125"/>
      <c r="Z709" s="2124">
        <v>44490</v>
      </c>
      <c r="AA709" s="2125"/>
      <c r="AB709" s="2125"/>
      <c r="AC709" s="2125"/>
    </row>
    <row r="710" spans="1:43" s="390" customFormat="1">
      <c r="A710" s="2084">
        <v>44516</v>
      </c>
      <c r="B710" s="2085" t="s">
        <v>10401</v>
      </c>
      <c r="C710" s="2085" t="s">
        <v>69</v>
      </c>
      <c r="D710" s="2085" t="s">
        <v>70</v>
      </c>
      <c r="E710" s="2086" t="s">
        <v>10402</v>
      </c>
      <c r="F710" s="2085"/>
      <c r="G710" s="2087"/>
      <c r="H710" s="2085"/>
      <c r="I710" s="2085" t="s">
        <v>42</v>
      </c>
      <c r="J710" s="2085"/>
      <c r="K710" s="2092">
        <v>7471900</v>
      </c>
      <c r="L710" s="2085" t="s">
        <v>251</v>
      </c>
      <c r="M710" s="2084">
        <v>44536</v>
      </c>
      <c r="N710" s="2084">
        <v>44571</v>
      </c>
      <c r="O710" s="2085"/>
      <c r="P710" s="2439"/>
      <c r="Q710" s="2276"/>
      <c r="R710" s="2092"/>
      <c r="S710" s="2092"/>
      <c r="T710" s="2094"/>
      <c r="U710" s="2094"/>
      <c r="V710" s="2094"/>
      <c r="W710" s="2092"/>
      <c r="X710" s="2092"/>
      <c r="Y710" s="2085"/>
      <c r="Z710" s="2084"/>
      <c r="AA710" s="2085"/>
      <c r="AB710" s="2085"/>
      <c r="AC710" s="2085"/>
      <c r="AD710" s="360"/>
      <c r="AE710" s="360"/>
      <c r="AF710" s="360"/>
      <c r="AG710" s="360"/>
      <c r="AH710" s="360"/>
      <c r="AI710" s="360"/>
      <c r="AJ710" s="360"/>
      <c r="AK710" s="360"/>
      <c r="AL710" s="360"/>
      <c r="AM710" s="360"/>
      <c r="AN710" s="360"/>
      <c r="AO710" s="360"/>
      <c r="AP710" s="360"/>
      <c r="AQ710" s="360"/>
    </row>
    <row r="711" spans="1:43">
      <c r="A711" s="2140">
        <v>44469</v>
      </c>
      <c r="B711" s="2141" t="s">
        <v>10044</v>
      </c>
      <c r="C711" s="2141" t="s">
        <v>58</v>
      </c>
      <c r="D711" s="2141" t="s">
        <v>55</v>
      </c>
      <c r="E711" s="2142" t="s">
        <v>2220</v>
      </c>
      <c r="F711" s="2141"/>
      <c r="G711" s="2143"/>
      <c r="H711" s="2141"/>
      <c r="I711" s="2141" t="s">
        <v>2221</v>
      </c>
      <c r="J711" s="2141"/>
      <c r="K711" s="2144">
        <v>1329000</v>
      </c>
      <c r="L711" s="2141" t="s">
        <v>112</v>
      </c>
      <c r="M711" s="2140">
        <v>44494</v>
      </c>
      <c r="N711" s="2140">
        <v>44509</v>
      </c>
      <c r="O711" s="2140">
        <v>44516</v>
      </c>
      <c r="P711" s="2143" t="s">
        <v>10331</v>
      </c>
      <c r="Q711" s="2141"/>
      <c r="R711" s="2144">
        <v>1151800</v>
      </c>
      <c r="S711" s="2144">
        <v>1324570</v>
      </c>
      <c r="T711" s="2145"/>
      <c r="U711" s="2145"/>
      <c r="V711" s="2145"/>
      <c r="W711" s="2146">
        <v>44516</v>
      </c>
      <c r="X711" s="2144" t="s">
        <v>10332</v>
      </c>
      <c r="Y711" s="2140">
        <v>44530</v>
      </c>
      <c r="Z711" s="2140">
        <v>44532</v>
      </c>
      <c r="AA711" s="2140">
        <v>44565</v>
      </c>
      <c r="AB711" s="2140">
        <v>44704</v>
      </c>
      <c r="AC711" s="2106"/>
    </row>
    <row r="712" spans="1:43" ht="45.75" thickBot="1">
      <c r="A712" s="416">
        <v>44460</v>
      </c>
      <c r="B712" s="411" t="s">
        <v>10045</v>
      </c>
      <c r="C712" s="411" t="s">
        <v>58</v>
      </c>
      <c r="D712" s="411" t="s">
        <v>4969</v>
      </c>
      <c r="E712" s="412" t="s">
        <v>10046</v>
      </c>
      <c r="F712" s="411"/>
      <c r="G712" s="630"/>
      <c r="H712" s="411"/>
      <c r="I712" s="411" t="s">
        <v>421</v>
      </c>
      <c r="J712" s="411" t="s">
        <v>10047</v>
      </c>
      <c r="K712" s="417">
        <v>1767000</v>
      </c>
      <c r="L712" s="411" t="s">
        <v>112</v>
      </c>
      <c r="M712" s="416">
        <v>44483</v>
      </c>
      <c r="N712" s="416">
        <v>44494</v>
      </c>
      <c r="O712" s="416">
        <v>44508</v>
      </c>
      <c r="P712" s="630" t="s">
        <v>4315</v>
      </c>
      <c r="Q712" s="411"/>
      <c r="R712" s="417">
        <v>1586985</v>
      </c>
      <c r="S712" s="417">
        <v>1920251.85</v>
      </c>
      <c r="T712" s="1480"/>
      <c r="U712" s="1480"/>
      <c r="V712" s="1480"/>
      <c r="W712" s="513">
        <v>44509</v>
      </c>
      <c r="X712" s="1553" t="s">
        <v>10263</v>
      </c>
      <c r="Y712" s="416">
        <v>44537</v>
      </c>
      <c r="Z712" s="416">
        <v>44539</v>
      </c>
      <c r="AA712" s="416">
        <v>44593</v>
      </c>
      <c r="AB712" s="416">
        <v>44635</v>
      </c>
      <c r="AC712" s="422" t="s">
        <v>6118</v>
      </c>
    </row>
    <row r="713" spans="1:43" ht="30.75" thickTop="1">
      <c r="A713" s="474">
        <v>44463</v>
      </c>
      <c r="B713" s="453" t="s">
        <v>10050</v>
      </c>
      <c r="C713" s="453" t="s">
        <v>58</v>
      </c>
      <c r="D713" s="453" t="s">
        <v>4969</v>
      </c>
      <c r="E713" s="473" t="s">
        <v>10051</v>
      </c>
      <c r="F713" s="453">
        <v>1</v>
      </c>
      <c r="G713" s="1420" t="s">
        <v>10060</v>
      </c>
      <c r="H713" s="453"/>
      <c r="I713" s="453" t="s">
        <v>269</v>
      </c>
      <c r="J713" s="453" t="s">
        <v>10065</v>
      </c>
      <c r="K713" s="457">
        <v>880000</v>
      </c>
      <c r="L713" s="453" t="s">
        <v>112</v>
      </c>
      <c r="M713" s="474">
        <v>44484</v>
      </c>
      <c r="N713" s="474">
        <v>44495</v>
      </c>
      <c r="O713" s="474">
        <v>44515</v>
      </c>
      <c r="P713" s="1420" t="s">
        <v>2793</v>
      </c>
      <c r="Q713" s="453"/>
      <c r="R713" s="457">
        <v>830040</v>
      </c>
      <c r="S713" s="457">
        <v>1004352.1</v>
      </c>
      <c r="T713" s="1474"/>
      <c r="U713" s="1474"/>
      <c r="V713" s="1474"/>
      <c r="W713" s="570">
        <v>44515</v>
      </c>
      <c r="X713" s="1387" t="s">
        <v>10313</v>
      </c>
      <c r="Y713" s="474">
        <v>44538</v>
      </c>
      <c r="Z713" s="474">
        <v>44539</v>
      </c>
      <c r="AA713" s="453"/>
      <c r="AB713" s="1841">
        <v>44606</v>
      </c>
      <c r="AC713" s="1391" t="s">
        <v>1875</v>
      </c>
    </row>
    <row r="714" spans="1:43" ht="30">
      <c r="A714" s="2140">
        <v>44463</v>
      </c>
      <c r="B714" s="2141" t="s">
        <v>10050</v>
      </c>
      <c r="C714" s="2141" t="s">
        <v>58</v>
      </c>
      <c r="D714" s="2141" t="s">
        <v>4969</v>
      </c>
      <c r="E714" s="2142" t="s">
        <v>10051</v>
      </c>
      <c r="F714" s="2141">
        <v>2</v>
      </c>
      <c r="G714" s="2143" t="s">
        <v>10061</v>
      </c>
      <c r="H714" s="2141"/>
      <c r="I714" s="2141" t="s">
        <v>269</v>
      </c>
      <c r="J714" s="2141" t="s">
        <v>10064</v>
      </c>
      <c r="K714" s="2144">
        <v>370400</v>
      </c>
      <c r="L714" s="2141" t="s">
        <v>112</v>
      </c>
      <c r="M714" s="2140">
        <v>44484</v>
      </c>
      <c r="N714" s="2140">
        <v>44495</v>
      </c>
      <c r="O714" s="2140">
        <v>44515</v>
      </c>
      <c r="P714" s="2143" t="s">
        <v>10265</v>
      </c>
      <c r="Q714" s="2141"/>
      <c r="R714" s="2144">
        <v>358945</v>
      </c>
      <c r="S714" s="2144">
        <v>434323.45</v>
      </c>
      <c r="T714" s="2145"/>
      <c r="U714" s="2145"/>
      <c r="V714" s="2145"/>
      <c r="W714" s="2146">
        <v>44515</v>
      </c>
      <c r="X714" s="2260" t="s">
        <v>10314</v>
      </c>
      <c r="Y714" s="2140">
        <v>44533</v>
      </c>
      <c r="Z714" s="2140">
        <v>44539</v>
      </c>
      <c r="AA714" s="2140">
        <v>44575</v>
      </c>
      <c r="AB714" s="2140">
        <v>44635</v>
      </c>
      <c r="AC714" s="2109" t="s">
        <v>1875</v>
      </c>
    </row>
    <row r="715" spans="1:43" ht="30.75" thickBot="1">
      <c r="A715" s="2117">
        <v>44463</v>
      </c>
      <c r="B715" s="2118" t="s">
        <v>10050</v>
      </c>
      <c r="C715" s="2118" t="s">
        <v>58</v>
      </c>
      <c r="D715" s="2118" t="s">
        <v>4969</v>
      </c>
      <c r="E715" s="2119" t="s">
        <v>10051</v>
      </c>
      <c r="F715" s="2118">
        <v>3</v>
      </c>
      <c r="G715" s="2120" t="s">
        <v>10062</v>
      </c>
      <c r="H715" s="2118"/>
      <c r="I715" s="2118" t="s">
        <v>269</v>
      </c>
      <c r="J715" s="2118" t="s">
        <v>10063</v>
      </c>
      <c r="K715" s="2121">
        <v>560000</v>
      </c>
      <c r="L715" s="2118" t="s">
        <v>112</v>
      </c>
      <c r="M715" s="2117">
        <v>44484</v>
      </c>
      <c r="N715" s="2117">
        <v>44495</v>
      </c>
      <c r="O715" s="2117">
        <v>44515</v>
      </c>
      <c r="P715" s="2120" t="s">
        <v>2793</v>
      </c>
      <c r="Q715" s="2118"/>
      <c r="R715" s="2121">
        <v>534895</v>
      </c>
      <c r="S715" s="2121">
        <v>647222.80000000005</v>
      </c>
      <c r="T715" s="2122"/>
      <c r="U715" s="2122"/>
      <c r="V715" s="2122"/>
      <c r="W715" s="2123">
        <v>44515</v>
      </c>
      <c r="X715" s="2246" t="s">
        <v>10315</v>
      </c>
      <c r="Y715" s="2117">
        <v>44538</v>
      </c>
      <c r="Z715" s="2117">
        <v>44539</v>
      </c>
      <c r="AA715" s="2117">
        <v>44594</v>
      </c>
      <c r="AB715" s="2117">
        <v>44616</v>
      </c>
      <c r="AC715" s="2110" t="s">
        <v>1875</v>
      </c>
    </row>
    <row r="716" spans="1:43" ht="15.75" thickTop="1">
      <c r="A716" s="840">
        <v>44482</v>
      </c>
      <c r="B716" s="423" t="s">
        <v>10053</v>
      </c>
      <c r="C716" s="423" t="s">
        <v>52</v>
      </c>
      <c r="D716" s="423" t="s">
        <v>7503</v>
      </c>
      <c r="E716" s="837" t="s">
        <v>10054</v>
      </c>
      <c r="F716" s="423"/>
      <c r="G716" s="1422"/>
      <c r="H716" s="576"/>
      <c r="I716" s="423" t="s">
        <v>33</v>
      </c>
      <c r="J716" s="423" t="s">
        <v>8186</v>
      </c>
      <c r="K716" s="841">
        <v>40000000</v>
      </c>
      <c r="L716" s="423" t="s">
        <v>216</v>
      </c>
      <c r="M716" s="840">
        <v>44491</v>
      </c>
      <c r="N716" s="840">
        <v>44525</v>
      </c>
      <c r="O716" s="840">
        <v>44553</v>
      </c>
      <c r="P716" s="1422" t="s">
        <v>10627</v>
      </c>
      <c r="Q716" s="423"/>
      <c r="R716" s="841">
        <v>43869660.420000002</v>
      </c>
      <c r="S716" s="841">
        <v>53082289.109999999</v>
      </c>
      <c r="T716" s="1489"/>
      <c r="U716" s="1489"/>
      <c r="V716" s="1489"/>
      <c r="W716" s="1392">
        <v>44553</v>
      </c>
      <c r="X716" s="841" t="s">
        <v>10626</v>
      </c>
      <c r="Y716" s="423"/>
      <c r="Z716" s="423"/>
      <c r="AA716" s="423"/>
      <c r="AB716" s="423"/>
      <c r="AC716" s="423"/>
    </row>
    <row r="717" spans="1:43" ht="30">
      <c r="A717" s="2140">
        <v>44475</v>
      </c>
      <c r="B717" s="2141" t="s">
        <v>10066</v>
      </c>
      <c r="C717" s="2141" t="s">
        <v>58</v>
      </c>
      <c r="D717" s="2141" t="s">
        <v>4969</v>
      </c>
      <c r="E717" s="2142" t="s">
        <v>10067</v>
      </c>
      <c r="F717" s="2141"/>
      <c r="G717" s="2143"/>
      <c r="H717" s="2141"/>
      <c r="I717" s="2141" t="s">
        <v>421</v>
      </c>
      <c r="J717" s="2141" t="s">
        <v>10068</v>
      </c>
      <c r="K717" s="2144">
        <v>350900</v>
      </c>
      <c r="L717" s="2141" t="s">
        <v>112</v>
      </c>
      <c r="M717" s="2140">
        <v>44484</v>
      </c>
      <c r="N717" s="2140">
        <v>44498</v>
      </c>
      <c r="O717" s="2140">
        <v>44515</v>
      </c>
      <c r="P717" s="2143" t="s">
        <v>5890</v>
      </c>
      <c r="Q717" s="2141"/>
      <c r="R717" s="2144">
        <v>325438</v>
      </c>
      <c r="S717" s="2144">
        <v>393779.98</v>
      </c>
      <c r="T717" s="2145"/>
      <c r="U717" s="2145"/>
      <c r="V717" s="2145"/>
      <c r="W717" s="2146">
        <v>44515</v>
      </c>
      <c r="X717" s="2260" t="s">
        <v>10316</v>
      </c>
      <c r="Y717" s="2140">
        <v>44538</v>
      </c>
      <c r="Z717" s="2140">
        <v>44539</v>
      </c>
      <c r="AA717" s="2140">
        <v>44580</v>
      </c>
      <c r="AB717" s="2140">
        <v>44630</v>
      </c>
      <c r="AC717" s="2109" t="s">
        <v>1875</v>
      </c>
    </row>
    <row r="718" spans="1:43" ht="30">
      <c r="A718" s="2140">
        <v>44463</v>
      </c>
      <c r="B718" s="2141" t="s">
        <v>10076</v>
      </c>
      <c r="C718" s="2141" t="s">
        <v>58</v>
      </c>
      <c r="D718" s="2141" t="s">
        <v>4969</v>
      </c>
      <c r="E718" s="1563" t="s">
        <v>10077</v>
      </c>
      <c r="F718" s="2141"/>
      <c r="G718" s="2143"/>
      <c r="H718" s="2141"/>
      <c r="I718" s="2141" t="s">
        <v>77</v>
      </c>
      <c r="J718" s="2141" t="s">
        <v>10078</v>
      </c>
      <c r="K718" s="2144">
        <v>392900</v>
      </c>
      <c r="L718" s="2141" t="s">
        <v>112</v>
      </c>
      <c r="M718" s="2140">
        <v>44487</v>
      </c>
      <c r="N718" s="2140">
        <v>44496</v>
      </c>
      <c r="O718" s="2140">
        <v>44508</v>
      </c>
      <c r="P718" s="2143" t="s">
        <v>10214</v>
      </c>
      <c r="Q718" s="2141"/>
      <c r="R718" s="2144">
        <v>382239.2</v>
      </c>
      <c r="S718" s="2144">
        <v>462509.43</v>
      </c>
      <c r="T718" s="2145"/>
      <c r="U718" s="2145"/>
      <c r="V718" s="2145"/>
      <c r="W718" s="2146">
        <v>44509</v>
      </c>
      <c r="X718" s="2260" t="s">
        <v>10264</v>
      </c>
      <c r="Y718" s="2140">
        <v>44532</v>
      </c>
      <c r="Z718" s="2140">
        <v>44539</v>
      </c>
      <c r="AA718" s="2140">
        <v>44588</v>
      </c>
      <c r="AB718" s="2140">
        <v>44635</v>
      </c>
      <c r="AC718" s="2109" t="s">
        <v>1875</v>
      </c>
    </row>
    <row r="719" spans="1:43">
      <c r="A719" s="2140">
        <v>44483</v>
      </c>
      <c r="B719" s="2141" t="s">
        <v>10079</v>
      </c>
      <c r="C719" s="2141" t="s">
        <v>69</v>
      </c>
      <c r="D719" s="2141" t="s">
        <v>70</v>
      </c>
      <c r="E719" s="2142" t="s">
        <v>10080</v>
      </c>
      <c r="F719" s="2141"/>
      <c r="G719" s="2143"/>
      <c r="H719" s="2141"/>
      <c r="I719" s="2141" t="s">
        <v>42</v>
      </c>
      <c r="J719" s="2141"/>
      <c r="K719" s="2144">
        <v>1301900</v>
      </c>
      <c r="L719" s="2141" t="s">
        <v>112</v>
      </c>
      <c r="M719" s="2140">
        <v>44488</v>
      </c>
      <c r="N719" s="2140">
        <v>44495</v>
      </c>
      <c r="O719" s="2140">
        <v>44519</v>
      </c>
      <c r="P719" s="2143" t="s">
        <v>10244</v>
      </c>
      <c r="Q719" s="2141"/>
      <c r="R719" s="2144">
        <v>1047600</v>
      </c>
      <c r="S719" s="2144">
        <v>1047600</v>
      </c>
      <c r="T719" s="2145"/>
      <c r="U719" s="2145"/>
      <c r="V719" s="2145"/>
      <c r="W719" s="2146">
        <v>44519</v>
      </c>
      <c r="X719" s="2144" t="s">
        <v>10361</v>
      </c>
      <c r="Y719" s="2140">
        <v>44551</v>
      </c>
      <c r="Z719" s="2140">
        <v>44553</v>
      </c>
      <c r="AA719" s="2141"/>
      <c r="AB719" s="2140">
        <v>44635</v>
      </c>
      <c r="AC719" s="2106"/>
    </row>
    <row r="720" spans="1:43">
      <c r="A720" s="2140">
        <v>44483</v>
      </c>
      <c r="B720" s="2141" t="s">
        <v>10081</v>
      </c>
      <c r="C720" s="2141" t="s">
        <v>69</v>
      </c>
      <c r="D720" s="2141" t="s">
        <v>70</v>
      </c>
      <c r="E720" s="2142" t="s">
        <v>10082</v>
      </c>
      <c r="F720" s="2141">
        <v>1</v>
      </c>
      <c r="G720" s="2143" t="s">
        <v>10250</v>
      </c>
      <c r="H720" s="2141"/>
      <c r="I720" s="2141" t="s">
        <v>42</v>
      </c>
      <c r="J720" s="2141"/>
      <c r="K720" s="2144">
        <v>1386789</v>
      </c>
      <c r="L720" s="2141" t="s">
        <v>112</v>
      </c>
      <c r="M720" s="2140">
        <v>44488</v>
      </c>
      <c r="N720" s="2140">
        <v>44495</v>
      </c>
      <c r="O720" s="2140">
        <v>44519</v>
      </c>
      <c r="P720" s="2143" t="s">
        <v>10252</v>
      </c>
      <c r="Q720" s="2141"/>
      <c r="R720" s="2144">
        <v>1353868</v>
      </c>
      <c r="S720" s="2144">
        <v>1353868</v>
      </c>
      <c r="T720" s="2145"/>
      <c r="U720" s="2145"/>
      <c r="V720" s="2145"/>
      <c r="W720" s="2146">
        <v>44519</v>
      </c>
      <c r="X720" s="2144" t="s">
        <v>10362</v>
      </c>
      <c r="Y720" s="2140">
        <v>44551</v>
      </c>
      <c r="Z720" s="2140">
        <v>44553</v>
      </c>
      <c r="AA720" s="2141"/>
      <c r="AB720" s="2109"/>
      <c r="AC720" s="2106"/>
    </row>
    <row r="721" spans="1:29">
      <c r="A721" s="2153">
        <v>44483</v>
      </c>
      <c r="B721" s="2154" t="s">
        <v>10081</v>
      </c>
      <c r="C721" s="2154" t="s">
        <v>69</v>
      </c>
      <c r="D721" s="2154" t="s">
        <v>70</v>
      </c>
      <c r="E721" s="2155" t="s">
        <v>10082</v>
      </c>
      <c r="F721" s="2154">
        <v>2</v>
      </c>
      <c r="G721" s="2156" t="s">
        <v>10251</v>
      </c>
      <c r="H721" s="2085"/>
      <c r="I721" s="2154" t="s">
        <v>42</v>
      </c>
      <c r="J721" s="2154"/>
      <c r="K721" s="2157">
        <v>197787</v>
      </c>
      <c r="L721" s="2154" t="s">
        <v>112</v>
      </c>
      <c r="M721" s="2153">
        <v>44488</v>
      </c>
      <c r="N721" s="2153">
        <v>44495</v>
      </c>
      <c r="O721" s="2153">
        <v>44519</v>
      </c>
      <c r="P721" s="2156" t="s">
        <v>10253</v>
      </c>
      <c r="Q721" s="2154"/>
      <c r="R721" s="2157">
        <v>153450</v>
      </c>
      <c r="S721" s="2157">
        <v>153450</v>
      </c>
      <c r="T721" s="2094"/>
      <c r="U721" s="2094"/>
      <c r="V721" s="2094"/>
      <c r="W721" s="2160">
        <v>44519</v>
      </c>
      <c r="X721" s="2157" t="s">
        <v>10363</v>
      </c>
      <c r="Y721" s="2154"/>
      <c r="Z721" s="2154"/>
      <c r="AA721" s="2154"/>
      <c r="AB721" s="2154"/>
      <c r="AC721" s="2154"/>
    </row>
    <row r="722" spans="1:29">
      <c r="A722" s="2153">
        <v>44483</v>
      </c>
      <c r="B722" s="2154" t="s">
        <v>10086</v>
      </c>
      <c r="C722" s="2154" t="s">
        <v>6561</v>
      </c>
      <c r="D722" s="2154" t="s">
        <v>4864</v>
      </c>
      <c r="E722" s="2155" t="s">
        <v>10087</v>
      </c>
      <c r="F722" s="2154"/>
      <c r="G722" s="2156"/>
      <c r="H722" s="2085"/>
      <c r="I722" s="2154" t="s">
        <v>7701</v>
      </c>
      <c r="J722" s="2154"/>
      <c r="K722" s="2157">
        <v>7600000</v>
      </c>
      <c r="L722" s="2154" t="s">
        <v>216</v>
      </c>
      <c r="M722" s="2153">
        <v>44495</v>
      </c>
      <c r="N722" s="2153">
        <v>44530</v>
      </c>
      <c r="O722" s="2153">
        <v>44546</v>
      </c>
      <c r="P722" s="2156" t="s">
        <v>6438</v>
      </c>
      <c r="Q722" s="2154"/>
      <c r="R722" s="2157">
        <v>7313040</v>
      </c>
      <c r="S722" s="2157">
        <v>8848778</v>
      </c>
      <c r="T722" s="2094"/>
      <c r="U722" s="2094"/>
      <c r="V722" s="2094"/>
      <c r="W722" s="2160">
        <v>44546</v>
      </c>
      <c r="X722" s="2157" t="s">
        <v>10586</v>
      </c>
      <c r="Y722" s="2154"/>
      <c r="Z722" s="2154"/>
      <c r="AA722" s="2154"/>
      <c r="AB722" s="2154"/>
      <c r="AC722" s="2154"/>
    </row>
    <row r="723" spans="1:29" ht="30">
      <c r="A723" s="2140">
        <v>44475</v>
      </c>
      <c r="B723" s="2141" t="s">
        <v>10091</v>
      </c>
      <c r="C723" s="2141" t="s">
        <v>58</v>
      </c>
      <c r="D723" s="2141" t="s">
        <v>4969</v>
      </c>
      <c r="E723" s="2142" t="s">
        <v>10092</v>
      </c>
      <c r="F723" s="2141"/>
      <c r="G723" s="2143"/>
      <c r="H723" s="2141"/>
      <c r="I723" s="2141" t="s">
        <v>80</v>
      </c>
      <c r="J723" s="2141" t="s">
        <v>10093</v>
      </c>
      <c r="K723" s="2144">
        <v>534000</v>
      </c>
      <c r="L723" s="2141" t="s">
        <v>112</v>
      </c>
      <c r="M723" s="2140">
        <v>44489</v>
      </c>
      <c r="N723" s="2140">
        <v>44501</v>
      </c>
      <c r="O723" s="2140">
        <v>44516</v>
      </c>
      <c r="P723" s="2143" t="s">
        <v>342</v>
      </c>
      <c r="Q723" s="2141"/>
      <c r="R723" s="2144">
        <v>526896.49</v>
      </c>
      <c r="S723" s="2144">
        <v>637544.75</v>
      </c>
      <c r="T723" s="2145"/>
      <c r="U723" s="2145"/>
      <c r="V723" s="2145"/>
      <c r="W723" s="2146">
        <v>44516</v>
      </c>
      <c r="X723" s="2260" t="s">
        <v>10329</v>
      </c>
      <c r="Y723" s="2140">
        <v>44557</v>
      </c>
      <c r="Z723" s="2140">
        <v>44561</v>
      </c>
      <c r="AA723" s="2140">
        <v>44599</v>
      </c>
      <c r="AB723" s="2140">
        <v>44655</v>
      </c>
      <c r="AC723" s="2109" t="s">
        <v>1875</v>
      </c>
    </row>
    <row r="724" spans="1:29" ht="45">
      <c r="A724" s="416">
        <v>44445</v>
      </c>
      <c r="B724" s="411" t="s">
        <v>10094</v>
      </c>
      <c r="C724" s="411" t="s">
        <v>58</v>
      </c>
      <c r="D724" s="411" t="s">
        <v>4969</v>
      </c>
      <c r="E724" s="412" t="s">
        <v>10095</v>
      </c>
      <c r="F724" s="411"/>
      <c r="G724" s="630"/>
      <c r="H724" s="411"/>
      <c r="I724" s="411" t="s">
        <v>782</v>
      </c>
      <c r="J724" s="411" t="s">
        <v>10096</v>
      </c>
      <c r="K724" s="417">
        <v>230000</v>
      </c>
      <c r="L724" s="411" t="s">
        <v>112</v>
      </c>
      <c r="M724" s="416">
        <v>44490</v>
      </c>
      <c r="N724" s="416">
        <v>44502</v>
      </c>
      <c r="O724" s="416">
        <v>44523</v>
      </c>
      <c r="P724" s="630" t="s">
        <v>10391</v>
      </c>
      <c r="Q724" s="411"/>
      <c r="R724" s="417">
        <v>225490</v>
      </c>
      <c r="S724" s="417">
        <v>272842.90000000002</v>
      </c>
      <c r="T724" s="1480"/>
      <c r="U724" s="1480"/>
      <c r="V724" s="1480"/>
      <c r="W724" s="513">
        <v>44524</v>
      </c>
      <c r="X724" s="1553" t="s">
        <v>10403</v>
      </c>
      <c r="Y724" s="416">
        <v>44550</v>
      </c>
      <c r="Z724" s="416">
        <v>44552</v>
      </c>
      <c r="AA724" s="416">
        <v>44564</v>
      </c>
      <c r="AB724" s="416">
        <v>44630</v>
      </c>
      <c r="AC724" s="422" t="s">
        <v>6118</v>
      </c>
    </row>
    <row r="725" spans="1:29" ht="15.75" thickBot="1">
      <c r="A725" s="2117" t="s">
        <v>3585</v>
      </c>
      <c r="B725" s="2118" t="s">
        <v>10138</v>
      </c>
      <c r="C725" s="2118" t="s">
        <v>4997</v>
      </c>
      <c r="D725" s="2118" t="s">
        <v>7475</v>
      </c>
      <c r="E725" s="2119" t="s">
        <v>10139</v>
      </c>
      <c r="F725" s="2118"/>
      <c r="G725" s="2120"/>
      <c r="H725" s="2089"/>
      <c r="I725" s="2118" t="s">
        <v>498</v>
      </c>
      <c r="J725" s="2118"/>
      <c r="K725" s="2121">
        <v>2200000</v>
      </c>
      <c r="L725" s="2118" t="s">
        <v>112</v>
      </c>
      <c r="M725" s="2117">
        <v>44491</v>
      </c>
      <c r="N725" s="2117">
        <v>44504</v>
      </c>
      <c r="O725" s="2117">
        <v>44525</v>
      </c>
      <c r="P725" s="2120" t="s">
        <v>2557</v>
      </c>
      <c r="Q725" s="2118"/>
      <c r="R725" s="2121">
        <v>1737528.8</v>
      </c>
      <c r="S725" s="2121">
        <v>2102409.85</v>
      </c>
      <c r="T725" s="2095"/>
      <c r="U725" s="2095"/>
      <c r="V725" s="2095"/>
      <c r="W725" s="2123">
        <v>44525</v>
      </c>
      <c r="X725" s="2121" t="s">
        <v>10414</v>
      </c>
      <c r="Y725" s="2117">
        <v>44547</v>
      </c>
      <c r="Z725" s="2117">
        <v>44551</v>
      </c>
      <c r="AA725" s="2118"/>
      <c r="AB725" s="2110"/>
      <c r="AC725" s="2108"/>
    </row>
    <row r="726" spans="1:29" ht="15.75" thickTop="1">
      <c r="A726" s="428">
        <v>44484</v>
      </c>
      <c r="B726" s="425" t="s">
        <v>10097</v>
      </c>
      <c r="C726" s="425" t="s">
        <v>69</v>
      </c>
      <c r="D726" s="425" t="s">
        <v>70</v>
      </c>
      <c r="E726" s="426" t="s">
        <v>10098</v>
      </c>
      <c r="F726" s="425">
        <v>1</v>
      </c>
      <c r="G726" s="1371" t="s">
        <v>10100</v>
      </c>
      <c r="H726" s="583"/>
      <c r="I726" s="425" t="s">
        <v>10099</v>
      </c>
      <c r="J726" s="425"/>
      <c r="K726" s="429">
        <v>1276147</v>
      </c>
      <c r="L726" s="425" t="s">
        <v>251</v>
      </c>
      <c r="M726" s="428">
        <v>44490</v>
      </c>
      <c r="N726" s="428">
        <v>44560</v>
      </c>
      <c r="O726" s="425"/>
      <c r="P726" s="1371"/>
      <c r="Q726" s="425"/>
      <c r="R726" s="429"/>
      <c r="S726" s="429"/>
      <c r="T726" s="1483"/>
      <c r="U726" s="1483"/>
      <c r="V726" s="1483"/>
      <c r="W726" s="429"/>
      <c r="X726" s="429"/>
      <c r="Y726" s="425"/>
      <c r="Z726" s="425"/>
      <c r="AA726" s="425"/>
      <c r="AB726" s="425"/>
      <c r="AC726" s="425"/>
    </row>
    <row r="727" spans="1:29">
      <c r="A727" s="2153">
        <v>44484</v>
      </c>
      <c r="B727" s="2154" t="s">
        <v>10097</v>
      </c>
      <c r="C727" s="2154" t="s">
        <v>69</v>
      </c>
      <c r="D727" s="2154" t="s">
        <v>70</v>
      </c>
      <c r="E727" s="2155" t="s">
        <v>10098</v>
      </c>
      <c r="F727" s="2154">
        <v>2</v>
      </c>
      <c r="G727" s="2156" t="s">
        <v>10101</v>
      </c>
      <c r="H727" s="2085"/>
      <c r="I727" s="2154" t="s">
        <v>10099</v>
      </c>
      <c r="J727" s="2154"/>
      <c r="K727" s="2157">
        <v>1972042</v>
      </c>
      <c r="L727" s="2154" t="s">
        <v>251</v>
      </c>
      <c r="M727" s="2153">
        <v>44490</v>
      </c>
      <c r="N727" s="2153">
        <v>44560</v>
      </c>
      <c r="O727" s="2154"/>
      <c r="P727" s="2156"/>
      <c r="Q727" s="2154"/>
      <c r="R727" s="2157"/>
      <c r="S727" s="2157"/>
      <c r="T727" s="2094"/>
      <c r="U727" s="2094"/>
      <c r="V727" s="2094"/>
      <c r="W727" s="2157"/>
      <c r="X727" s="2157"/>
      <c r="Y727" s="2154"/>
      <c r="Z727" s="2154"/>
      <c r="AA727" s="2154"/>
      <c r="AB727" s="2154"/>
      <c r="AC727" s="2154"/>
    </row>
    <row r="728" spans="1:29">
      <c r="A728" s="2153">
        <v>44484</v>
      </c>
      <c r="B728" s="2154" t="s">
        <v>10097</v>
      </c>
      <c r="C728" s="2154" t="s">
        <v>69</v>
      </c>
      <c r="D728" s="2154" t="s">
        <v>70</v>
      </c>
      <c r="E728" s="2155" t="s">
        <v>10098</v>
      </c>
      <c r="F728" s="2154">
        <v>3</v>
      </c>
      <c r="G728" s="2156" t="s">
        <v>10102</v>
      </c>
      <c r="H728" s="2085"/>
      <c r="I728" s="2154" t="s">
        <v>10099</v>
      </c>
      <c r="J728" s="2154"/>
      <c r="K728" s="2157">
        <v>2877337</v>
      </c>
      <c r="L728" s="2154" t="s">
        <v>251</v>
      </c>
      <c r="M728" s="2153">
        <v>44490</v>
      </c>
      <c r="N728" s="2153">
        <v>44560</v>
      </c>
      <c r="O728" s="2154"/>
      <c r="P728" s="2156"/>
      <c r="Q728" s="2154"/>
      <c r="R728" s="2157"/>
      <c r="S728" s="2157"/>
      <c r="T728" s="2094"/>
      <c r="U728" s="2094"/>
      <c r="V728" s="2094"/>
      <c r="W728" s="2157"/>
      <c r="X728" s="2157"/>
      <c r="Y728" s="2154"/>
      <c r="Z728" s="2154"/>
      <c r="AA728" s="2154"/>
      <c r="AB728" s="2154"/>
      <c r="AC728" s="2154"/>
    </row>
    <row r="729" spans="1:29">
      <c r="A729" s="2153">
        <v>44484</v>
      </c>
      <c r="B729" s="2154" t="s">
        <v>10097</v>
      </c>
      <c r="C729" s="2154" t="s">
        <v>69</v>
      </c>
      <c r="D729" s="2154" t="s">
        <v>70</v>
      </c>
      <c r="E729" s="2155" t="s">
        <v>10098</v>
      </c>
      <c r="F729" s="2154">
        <v>4</v>
      </c>
      <c r="G729" s="2156" t="s">
        <v>10103</v>
      </c>
      <c r="H729" s="2085"/>
      <c r="I729" s="2154" t="s">
        <v>10099</v>
      </c>
      <c r="J729" s="2154"/>
      <c r="K729" s="2157">
        <v>684637</v>
      </c>
      <c r="L729" s="2154" t="s">
        <v>251</v>
      </c>
      <c r="M729" s="2153">
        <v>44490</v>
      </c>
      <c r="N729" s="2153">
        <v>44560</v>
      </c>
      <c r="O729" s="2154"/>
      <c r="P729" s="2156"/>
      <c r="Q729" s="2154"/>
      <c r="R729" s="2157"/>
      <c r="S729" s="2157"/>
      <c r="T729" s="2094"/>
      <c r="U729" s="2094"/>
      <c r="V729" s="2094"/>
      <c r="W729" s="2157"/>
      <c r="X729" s="2157"/>
      <c r="Y729" s="2154"/>
      <c r="Z729" s="2154"/>
      <c r="AA729" s="2154"/>
      <c r="AB729" s="2154"/>
      <c r="AC729" s="2154"/>
    </row>
    <row r="730" spans="1:29">
      <c r="A730" s="2153">
        <v>44484</v>
      </c>
      <c r="B730" s="2154" t="s">
        <v>10097</v>
      </c>
      <c r="C730" s="2154" t="s">
        <v>69</v>
      </c>
      <c r="D730" s="2154" t="s">
        <v>70</v>
      </c>
      <c r="E730" s="2155" t="s">
        <v>10098</v>
      </c>
      <c r="F730" s="2154">
        <v>5</v>
      </c>
      <c r="G730" s="2156" t="s">
        <v>10104</v>
      </c>
      <c r="H730" s="2085"/>
      <c r="I730" s="2154" t="s">
        <v>10099</v>
      </c>
      <c r="J730" s="2154"/>
      <c r="K730" s="2157">
        <v>1216758</v>
      </c>
      <c r="L730" s="2154" t="s">
        <v>251</v>
      </c>
      <c r="M730" s="2153">
        <v>44490</v>
      </c>
      <c r="N730" s="2153">
        <v>44560</v>
      </c>
      <c r="O730" s="2154"/>
      <c r="P730" s="2156"/>
      <c r="Q730" s="2154"/>
      <c r="R730" s="2157"/>
      <c r="S730" s="2157"/>
      <c r="T730" s="2094"/>
      <c r="U730" s="2094"/>
      <c r="V730" s="2094"/>
      <c r="W730" s="2157"/>
      <c r="X730" s="2157"/>
      <c r="Y730" s="2154"/>
      <c r="Z730" s="2154"/>
      <c r="AA730" s="2154"/>
      <c r="AB730" s="2154"/>
      <c r="AC730" s="2154"/>
    </row>
    <row r="731" spans="1:29">
      <c r="A731" s="2153">
        <v>44484</v>
      </c>
      <c r="B731" s="2154" t="s">
        <v>10097</v>
      </c>
      <c r="C731" s="2154" t="s">
        <v>69</v>
      </c>
      <c r="D731" s="2154" t="s">
        <v>70</v>
      </c>
      <c r="E731" s="2155" t="s">
        <v>10098</v>
      </c>
      <c r="F731" s="2154">
        <v>6</v>
      </c>
      <c r="G731" s="2156" t="s">
        <v>10105</v>
      </c>
      <c r="H731" s="2085"/>
      <c r="I731" s="2154" t="s">
        <v>10099</v>
      </c>
      <c r="J731" s="2154"/>
      <c r="K731" s="2157">
        <v>7116805</v>
      </c>
      <c r="L731" s="2154" t="s">
        <v>251</v>
      </c>
      <c r="M731" s="2153">
        <v>44490</v>
      </c>
      <c r="N731" s="2153">
        <v>44560</v>
      </c>
      <c r="O731" s="2154"/>
      <c r="P731" s="2156"/>
      <c r="Q731" s="2154"/>
      <c r="R731" s="2157"/>
      <c r="S731" s="2157"/>
      <c r="T731" s="2094"/>
      <c r="U731" s="2094"/>
      <c r="V731" s="2094"/>
      <c r="W731" s="2157"/>
      <c r="X731" s="2157"/>
      <c r="Y731" s="2154"/>
      <c r="Z731" s="2154"/>
      <c r="AA731" s="2154"/>
      <c r="AB731" s="2154"/>
      <c r="AC731" s="2154"/>
    </row>
    <row r="732" spans="1:29" ht="15.75" thickBot="1">
      <c r="A732" s="2152">
        <v>44484</v>
      </c>
      <c r="B732" s="2297" t="s">
        <v>10097</v>
      </c>
      <c r="C732" s="2297" t="s">
        <v>69</v>
      </c>
      <c r="D732" s="2297" t="s">
        <v>70</v>
      </c>
      <c r="E732" s="2298" t="s">
        <v>10098</v>
      </c>
      <c r="F732" s="2297">
        <v>7</v>
      </c>
      <c r="G732" s="2300" t="s">
        <v>10106</v>
      </c>
      <c r="H732" s="2089"/>
      <c r="I732" s="2297" t="s">
        <v>10099</v>
      </c>
      <c r="J732" s="2297"/>
      <c r="K732" s="2299">
        <v>3120030</v>
      </c>
      <c r="L732" s="2297" t="s">
        <v>251</v>
      </c>
      <c r="M732" s="2152">
        <v>44490</v>
      </c>
      <c r="N732" s="2152">
        <v>44560</v>
      </c>
      <c r="O732" s="2297"/>
      <c r="P732" s="2300"/>
      <c r="Q732" s="2297"/>
      <c r="R732" s="2299"/>
      <c r="S732" s="2299"/>
      <c r="T732" s="2095"/>
      <c r="U732" s="2095"/>
      <c r="V732" s="2095"/>
      <c r="W732" s="2299"/>
      <c r="X732" s="2299"/>
      <c r="Y732" s="2297"/>
      <c r="Z732" s="2297"/>
      <c r="AA732" s="2297"/>
      <c r="AB732" s="2297"/>
      <c r="AC732" s="2297"/>
    </row>
    <row r="733" spans="1:29" ht="15.75" thickTop="1">
      <c r="A733" s="587">
        <v>44484</v>
      </c>
      <c r="B733" s="583" t="s">
        <v>10107</v>
      </c>
      <c r="C733" s="583" t="s">
        <v>69</v>
      </c>
      <c r="D733" s="583" t="s">
        <v>70</v>
      </c>
      <c r="E733" s="584" t="s">
        <v>10381</v>
      </c>
      <c r="F733" s="583"/>
      <c r="G733" s="1427"/>
      <c r="H733" s="583"/>
      <c r="I733" s="583" t="s">
        <v>4271</v>
      </c>
      <c r="J733" s="583"/>
      <c r="K733" s="588">
        <v>21966219</v>
      </c>
      <c r="L733" s="583" t="s">
        <v>251</v>
      </c>
      <c r="M733" s="587">
        <v>44525</v>
      </c>
      <c r="N733" s="587">
        <v>44566</v>
      </c>
      <c r="O733" s="583"/>
      <c r="P733" s="1427"/>
      <c r="Q733" s="583"/>
      <c r="R733" s="588"/>
      <c r="S733" s="588"/>
      <c r="T733" s="1483"/>
      <c r="U733" s="1483"/>
      <c r="V733" s="1483"/>
      <c r="W733" s="588"/>
      <c r="X733" s="588"/>
      <c r="Y733" s="583"/>
      <c r="Z733" s="583"/>
      <c r="AA733" s="583"/>
      <c r="AB733" s="583"/>
      <c r="AC733" s="583"/>
    </row>
    <row r="734" spans="1:29">
      <c r="A734" s="840">
        <v>44487</v>
      </c>
      <c r="B734" s="423" t="s">
        <v>10113</v>
      </c>
      <c r="C734" s="423" t="s">
        <v>52</v>
      </c>
      <c r="D734" s="423" t="s">
        <v>10114</v>
      </c>
      <c r="E734" s="837" t="s">
        <v>10115</v>
      </c>
      <c r="F734" s="423"/>
      <c r="G734" s="1422"/>
      <c r="H734" s="576"/>
      <c r="I734" s="423" t="s">
        <v>10116</v>
      </c>
      <c r="J734" s="423"/>
      <c r="K734" s="841">
        <v>95000000</v>
      </c>
      <c r="L734" s="423" t="s">
        <v>251</v>
      </c>
      <c r="M734" s="840">
        <v>44491</v>
      </c>
      <c r="N734" s="840">
        <v>44550</v>
      </c>
      <c r="O734" s="423"/>
      <c r="P734" s="1422"/>
      <c r="Q734" s="423"/>
      <c r="R734" s="841"/>
      <c r="S734" s="841"/>
      <c r="T734" s="1489"/>
      <c r="U734" s="1489"/>
      <c r="V734" s="1489"/>
      <c r="W734" s="841"/>
      <c r="X734" s="841"/>
      <c r="Y734" s="423"/>
      <c r="Z734" s="423"/>
      <c r="AA734" s="423"/>
      <c r="AB734" s="423"/>
      <c r="AC734" s="423"/>
    </row>
    <row r="735" spans="1:29">
      <c r="A735" s="2140">
        <v>44488</v>
      </c>
      <c r="B735" s="2141" t="s">
        <v>10117</v>
      </c>
      <c r="C735" s="2141" t="s">
        <v>14</v>
      </c>
      <c r="D735" s="2141" t="s">
        <v>1753</v>
      </c>
      <c r="E735" s="2142" t="s">
        <v>10118</v>
      </c>
      <c r="F735" s="2141"/>
      <c r="G735" s="2143"/>
      <c r="H735" s="2141"/>
      <c r="I735" s="2141" t="s">
        <v>563</v>
      </c>
      <c r="J735" s="2140" t="s">
        <v>10119</v>
      </c>
      <c r="K735" s="2144">
        <v>600000</v>
      </c>
      <c r="L735" s="2141" t="s">
        <v>112</v>
      </c>
      <c r="M735" s="2140">
        <v>44488</v>
      </c>
      <c r="N735" s="2140">
        <v>44491</v>
      </c>
      <c r="O735" s="2140">
        <v>44494</v>
      </c>
      <c r="P735" s="2143" t="s">
        <v>333</v>
      </c>
      <c r="Q735" s="2141"/>
      <c r="R735" s="2144">
        <v>560000</v>
      </c>
      <c r="S735" s="2144">
        <v>677600</v>
      </c>
      <c r="T735" s="2145"/>
      <c r="U735" s="2145"/>
      <c r="V735" s="2145"/>
      <c r="W735" s="2146">
        <v>44494</v>
      </c>
      <c r="X735" s="2144" t="s">
        <v>10175</v>
      </c>
      <c r="Y735" s="2140">
        <v>44511</v>
      </c>
      <c r="Z735" s="2140">
        <v>44518</v>
      </c>
      <c r="AA735" s="2140">
        <v>44586</v>
      </c>
      <c r="AB735" s="2140">
        <v>44648</v>
      </c>
      <c r="AC735" s="2106"/>
    </row>
    <row r="736" spans="1:29">
      <c r="A736" s="2125" t="s">
        <v>3585</v>
      </c>
      <c r="B736" s="2125" t="s">
        <v>10127</v>
      </c>
      <c r="C736" s="2125" t="s">
        <v>9800</v>
      </c>
      <c r="D736" s="2125" t="s">
        <v>232</v>
      </c>
      <c r="E736" s="2126" t="s">
        <v>10128</v>
      </c>
      <c r="F736" s="2125"/>
      <c r="G736" s="2127"/>
      <c r="H736" s="2125"/>
      <c r="I736" s="2125" t="s">
        <v>237</v>
      </c>
      <c r="J736" s="2125"/>
      <c r="K736" s="2128">
        <v>200000</v>
      </c>
      <c r="L736" s="2125" t="s">
        <v>112</v>
      </c>
      <c r="M736" s="2124">
        <v>44490</v>
      </c>
      <c r="N736" s="2124">
        <v>44496</v>
      </c>
      <c r="O736" s="2125"/>
      <c r="P736" s="2136" t="s">
        <v>4505</v>
      </c>
      <c r="Q736" s="2125"/>
      <c r="R736" s="2128"/>
      <c r="S736" s="2128"/>
      <c r="T736" s="2129"/>
      <c r="U736" s="2129"/>
      <c r="V736" s="2129"/>
      <c r="W736" s="2128"/>
      <c r="X736" s="2128"/>
      <c r="Y736" s="2124"/>
      <c r="Z736" s="2124">
        <v>44510</v>
      </c>
      <c r="AA736" s="2125"/>
      <c r="AB736" s="2125"/>
      <c r="AC736" s="2125"/>
    </row>
    <row r="737" spans="1:31" ht="15.75" thickBot="1">
      <c r="A737" s="464">
        <v>44484</v>
      </c>
      <c r="B737" s="406" t="s">
        <v>10130</v>
      </c>
      <c r="C737" s="406" t="s">
        <v>52</v>
      </c>
      <c r="D737" s="406" t="s">
        <v>7503</v>
      </c>
      <c r="E737" s="2384" t="s">
        <v>10131</v>
      </c>
      <c r="F737" s="2384"/>
      <c r="G737" s="1425"/>
      <c r="H737" s="1437"/>
      <c r="I737" s="406" t="s">
        <v>3091</v>
      </c>
      <c r="J737" s="406" t="s">
        <v>10132</v>
      </c>
      <c r="K737" s="465">
        <v>825000</v>
      </c>
      <c r="L737" s="406" t="s">
        <v>112</v>
      </c>
      <c r="M737" s="464">
        <v>44491</v>
      </c>
      <c r="N737" s="464">
        <v>44503</v>
      </c>
      <c r="O737" s="464">
        <v>44516</v>
      </c>
      <c r="P737" s="1425" t="s">
        <v>10276</v>
      </c>
      <c r="Q737" s="406"/>
      <c r="R737" s="465">
        <v>927544.14</v>
      </c>
      <c r="S737" s="465">
        <v>1122328.4099999999</v>
      </c>
      <c r="T737" s="1490"/>
      <c r="U737" s="1490"/>
      <c r="V737" s="1490"/>
      <c r="W737" s="1809">
        <v>44516</v>
      </c>
      <c r="X737" s="465" t="s">
        <v>10330</v>
      </c>
      <c r="Y737" s="406"/>
      <c r="Z737" s="406"/>
      <c r="AA737" s="406"/>
      <c r="AB737" s="406"/>
      <c r="AC737" s="406"/>
    </row>
    <row r="738" spans="1:31" ht="15.75" thickTop="1">
      <c r="A738" s="587">
        <v>44488</v>
      </c>
      <c r="B738" s="583" t="s">
        <v>10133</v>
      </c>
      <c r="C738" s="583" t="s">
        <v>2434</v>
      </c>
      <c r="D738" s="583" t="s">
        <v>3204</v>
      </c>
      <c r="E738" s="584" t="s">
        <v>5268</v>
      </c>
      <c r="F738" s="583">
        <v>1</v>
      </c>
      <c r="G738" s="1427" t="s">
        <v>10151</v>
      </c>
      <c r="H738" s="583"/>
      <c r="I738" s="583" t="s">
        <v>642</v>
      </c>
      <c r="J738" s="583"/>
      <c r="K738" s="588">
        <v>219000</v>
      </c>
      <c r="L738" s="583" t="s">
        <v>251</v>
      </c>
      <c r="M738" s="587">
        <v>44496</v>
      </c>
      <c r="N738" s="587">
        <v>44579</v>
      </c>
      <c r="O738" s="583"/>
      <c r="P738" s="1427"/>
      <c r="Q738" s="583"/>
      <c r="R738" s="588"/>
      <c r="S738" s="588"/>
      <c r="T738" s="1483"/>
      <c r="U738" s="1483"/>
      <c r="V738" s="1483"/>
      <c r="W738" s="588"/>
      <c r="X738" s="588"/>
      <c r="Y738" s="583"/>
      <c r="Z738" s="583"/>
      <c r="AA738" s="583"/>
      <c r="AB738" s="583"/>
      <c r="AC738" s="583"/>
    </row>
    <row r="739" spans="1:31">
      <c r="A739" s="2084">
        <v>44488</v>
      </c>
      <c r="B739" s="2085" t="s">
        <v>10133</v>
      </c>
      <c r="C739" s="2085" t="s">
        <v>2434</v>
      </c>
      <c r="D739" s="2085" t="s">
        <v>3204</v>
      </c>
      <c r="E739" s="2086" t="s">
        <v>5268</v>
      </c>
      <c r="F739" s="2085">
        <v>2</v>
      </c>
      <c r="G739" s="2087" t="s">
        <v>10152</v>
      </c>
      <c r="H739" s="2085"/>
      <c r="I739" s="2085" t="s">
        <v>642</v>
      </c>
      <c r="J739" s="2085"/>
      <c r="K739" s="2092">
        <v>5617423</v>
      </c>
      <c r="L739" s="2085" t="s">
        <v>251</v>
      </c>
      <c r="M739" s="2084">
        <v>44496</v>
      </c>
      <c r="N739" s="2084">
        <v>44579</v>
      </c>
      <c r="O739" s="2085"/>
      <c r="P739" s="2087"/>
      <c r="Q739" s="2085"/>
      <c r="R739" s="2092"/>
      <c r="S739" s="2092"/>
      <c r="T739" s="2094"/>
      <c r="U739" s="2094"/>
      <c r="V739" s="2094"/>
      <c r="W739" s="2092"/>
      <c r="X739" s="2092"/>
      <c r="Y739" s="2085"/>
      <c r="Z739" s="2085"/>
      <c r="AA739" s="2085"/>
      <c r="AB739" s="2085"/>
      <c r="AC739" s="2085"/>
    </row>
    <row r="740" spans="1:31">
      <c r="A740" s="2084">
        <v>44488</v>
      </c>
      <c r="B740" s="2085" t="s">
        <v>10133</v>
      </c>
      <c r="C740" s="2085" t="s">
        <v>2434</v>
      </c>
      <c r="D740" s="2085" t="s">
        <v>3204</v>
      </c>
      <c r="E740" s="2086" t="s">
        <v>5268</v>
      </c>
      <c r="F740" s="2085">
        <v>3</v>
      </c>
      <c r="G740" s="2087" t="s">
        <v>10156</v>
      </c>
      <c r="H740" s="2085"/>
      <c r="I740" s="2085" t="s">
        <v>642</v>
      </c>
      <c r="J740" s="2085"/>
      <c r="K740" s="2092">
        <v>674133</v>
      </c>
      <c r="L740" s="2085" t="s">
        <v>251</v>
      </c>
      <c r="M740" s="2084">
        <v>44496</v>
      </c>
      <c r="N740" s="2084">
        <v>44579</v>
      </c>
      <c r="O740" s="2085"/>
      <c r="P740" s="2087"/>
      <c r="Q740" s="2085"/>
      <c r="R740" s="2092"/>
      <c r="S740" s="2092"/>
      <c r="T740" s="2094"/>
      <c r="U740" s="2094"/>
      <c r="V740" s="2094"/>
      <c r="W740" s="2092"/>
      <c r="X740" s="2092"/>
      <c r="Y740" s="2085"/>
      <c r="Z740" s="2085"/>
      <c r="AA740" s="2085"/>
      <c r="AB740" s="2085"/>
      <c r="AC740" s="2085"/>
    </row>
    <row r="741" spans="1:31">
      <c r="A741" s="2084">
        <v>44488</v>
      </c>
      <c r="B741" s="2085" t="s">
        <v>10133</v>
      </c>
      <c r="C741" s="2085" t="s">
        <v>2434</v>
      </c>
      <c r="D741" s="2085" t="s">
        <v>3204</v>
      </c>
      <c r="E741" s="2086" t="s">
        <v>5268</v>
      </c>
      <c r="F741" s="2085">
        <v>4</v>
      </c>
      <c r="G741" s="2087" t="s">
        <v>10155</v>
      </c>
      <c r="H741" s="2085"/>
      <c r="I741" s="2085" t="s">
        <v>642</v>
      </c>
      <c r="J741" s="2085"/>
      <c r="K741" s="2092">
        <v>1167300</v>
      </c>
      <c r="L741" s="2085" t="s">
        <v>251</v>
      </c>
      <c r="M741" s="2084">
        <v>44496</v>
      </c>
      <c r="N741" s="2084">
        <v>44579</v>
      </c>
      <c r="O741" s="2085"/>
      <c r="P741" s="2087"/>
      <c r="Q741" s="2085"/>
      <c r="R741" s="2092"/>
      <c r="S741" s="2092"/>
      <c r="T741" s="2094"/>
      <c r="U741" s="2094"/>
      <c r="V741" s="2094"/>
      <c r="W741" s="2092"/>
      <c r="X741" s="2092"/>
      <c r="Y741" s="2085"/>
      <c r="Z741" s="2085"/>
      <c r="AA741" s="2085"/>
      <c r="AB741" s="2085"/>
      <c r="AC741" s="2085"/>
    </row>
    <row r="742" spans="1:31">
      <c r="A742" s="2084">
        <v>44488</v>
      </c>
      <c r="B742" s="2085" t="s">
        <v>10133</v>
      </c>
      <c r="C742" s="2085" t="s">
        <v>2434</v>
      </c>
      <c r="D742" s="2085" t="s">
        <v>3204</v>
      </c>
      <c r="E742" s="2086" t="s">
        <v>5268</v>
      </c>
      <c r="F742" s="2085">
        <v>5</v>
      </c>
      <c r="G742" s="2087" t="s">
        <v>10154</v>
      </c>
      <c r="H742" s="2085"/>
      <c r="I742" s="2085" t="s">
        <v>642</v>
      </c>
      <c r="J742" s="2085"/>
      <c r="K742" s="2092">
        <v>1129933</v>
      </c>
      <c r="L742" s="2085" t="s">
        <v>251</v>
      </c>
      <c r="M742" s="2084">
        <v>44496</v>
      </c>
      <c r="N742" s="2084">
        <v>44579</v>
      </c>
      <c r="O742" s="2085"/>
      <c r="P742" s="2087"/>
      <c r="Q742" s="2085"/>
      <c r="R742" s="2092"/>
      <c r="S742" s="2092"/>
      <c r="T742" s="2094"/>
      <c r="U742" s="2094"/>
      <c r="V742" s="2094"/>
      <c r="W742" s="2092"/>
      <c r="X742" s="2092"/>
      <c r="Y742" s="2085"/>
      <c r="Z742" s="2085"/>
      <c r="AA742" s="2085"/>
      <c r="AB742" s="2085"/>
      <c r="AC742" s="2085"/>
    </row>
    <row r="743" spans="1:31" ht="15.75" thickBot="1">
      <c r="A743" s="2088">
        <v>44488</v>
      </c>
      <c r="B743" s="2089" t="s">
        <v>10133</v>
      </c>
      <c r="C743" s="2089" t="s">
        <v>2434</v>
      </c>
      <c r="D743" s="2089" t="s">
        <v>3204</v>
      </c>
      <c r="E743" s="2090" t="s">
        <v>5268</v>
      </c>
      <c r="F743" s="2089">
        <v>6</v>
      </c>
      <c r="G743" s="2091" t="s">
        <v>10153</v>
      </c>
      <c r="H743" s="2089"/>
      <c r="I743" s="2089" t="s">
        <v>642</v>
      </c>
      <c r="J743" s="2089"/>
      <c r="K743" s="2093">
        <v>609420</v>
      </c>
      <c r="L743" s="2089" t="s">
        <v>251</v>
      </c>
      <c r="M743" s="2088">
        <v>44496</v>
      </c>
      <c r="N743" s="2088">
        <v>44579</v>
      </c>
      <c r="O743" s="2089"/>
      <c r="P743" s="2091"/>
      <c r="Q743" s="2089"/>
      <c r="R743" s="2093"/>
      <c r="S743" s="2093"/>
      <c r="T743" s="2095"/>
      <c r="U743" s="2095"/>
      <c r="V743" s="2095"/>
      <c r="W743" s="2093"/>
      <c r="X743" s="2093"/>
      <c r="Y743" s="2089"/>
      <c r="Z743" s="2089"/>
      <c r="AA743" s="2089"/>
      <c r="AB743" s="2089"/>
      <c r="AC743" s="2089"/>
    </row>
    <row r="744" spans="1:31" ht="15.75" thickTop="1">
      <c r="A744" s="365">
        <v>44484</v>
      </c>
      <c r="B744" s="2429" t="s">
        <v>10134</v>
      </c>
      <c r="C744" s="2429" t="s">
        <v>1032</v>
      </c>
      <c r="D744" s="2429" t="s">
        <v>361</v>
      </c>
      <c r="E744" s="175" t="s">
        <v>10135</v>
      </c>
      <c r="F744" s="2429"/>
      <c r="G744" s="2430"/>
      <c r="H744" s="2429"/>
      <c r="I744" s="2429" t="s">
        <v>10136</v>
      </c>
      <c r="J744" s="2429" t="s">
        <v>10137</v>
      </c>
      <c r="K744" s="364">
        <v>500000</v>
      </c>
      <c r="L744" s="2429" t="s">
        <v>112</v>
      </c>
      <c r="M744" s="365">
        <v>44494</v>
      </c>
      <c r="N744" s="365">
        <v>44505</v>
      </c>
      <c r="O744" s="365">
        <v>44512</v>
      </c>
      <c r="P744" s="2430" t="s">
        <v>10287</v>
      </c>
      <c r="Q744" s="2429"/>
      <c r="R744" s="364">
        <v>417022</v>
      </c>
      <c r="S744" s="364">
        <v>504596.62</v>
      </c>
      <c r="T744" s="1473"/>
      <c r="U744" s="1473"/>
      <c r="V744" s="1473"/>
      <c r="W744" s="681">
        <v>44512</v>
      </c>
      <c r="X744" s="364" t="s">
        <v>10311</v>
      </c>
      <c r="Y744" s="365">
        <v>44533</v>
      </c>
      <c r="Z744" s="365">
        <v>44537</v>
      </c>
      <c r="AA744" s="365">
        <v>44713</v>
      </c>
      <c r="AB744" s="1551">
        <v>44761</v>
      </c>
      <c r="AC744" s="1513"/>
    </row>
    <row r="745" spans="1:31">
      <c r="A745" s="2084">
        <v>44490</v>
      </c>
      <c r="B745" s="2085" t="s">
        <v>10143</v>
      </c>
      <c r="C745" s="2085" t="s">
        <v>69</v>
      </c>
      <c r="D745" s="2085" t="s">
        <v>70</v>
      </c>
      <c r="E745" s="2086" t="s">
        <v>10144</v>
      </c>
      <c r="F745" s="2085">
        <v>1</v>
      </c>
      <c r="G745" s="2087" t="s">
        <v>10145</v>
      </c>
      <c r="H745" s="2085"/>
      <c r="I745" s="2085" t="s">
        <v>4278</v>
      </c>
      <c r="J745" s="2085"/>
      <c r="K745" s="2092">
        <v>4203966</v>
      </c>
      <c r="L745" s="2085" t="s">
        <v>251</v>
      </c>
      <c r="M745" s="2084">
        <v>44539</v>
      </c>
      <c r="N745" s="2084">
        <v>44573</v>
      </c>
      <c r="O745" s="2085"/>
      <c r="P745" s="2087"/>
      <c r="Q745" s="2085"/>
      <c r="R745" s="2092"/>
      <c r="S745" s="2092"/>
      <c r="T745" s="2094"/>
      <c r="U745" s="2094"/>
      <c r="V745" s="2094"/>
      <c r="W745" s="2092"/>
      <c r="X745" s="2092"/>
      <c r="Y745" s="2085"/>
      <c r="Z745" s="2085"/>
      <c r="AA745" s="2085"/>
      <c r="AB745" s="2085"/>
      <c r="AC745" s="2085"/>
    </row>
    <row r="746" spans="1:31">
      <c r="A746" s="2084">
        <v>44490</v>
      </c>
      <c r="B746" s="2085" t="s">
        <v>10146</v>
      </c>
      <c r="C746" s="2085" t="s">
        <v>69</v>
      </c>
      <c r="D746" s="2085" t="s">
        <v>70</v>
      </c>
      <c r="E746" s="2086" t="s">
        <v>10147</v>
      </c>
      <c r="F746" s="2085">
        <v>1</v>
      </c>
      <c r="G746" s="2087" t="s">
        <v>10148</v>
      </c>
      <c r="H746" s="2085"/>
      <c r="I746" s="2085" t="s">
        <v>3438</v>
      </c>
      <c r="J746" s="2085"/>
      <c r="K746" s="2092">
        <v>9139774</v>
      </c>
      <c r="L746" s="2085" t="s">
        <v>251</v>
      </c>
      <c r="M746" s="2084">
        <v>44539</v>
      </c>
      <c r="N746" s="2084">
        <v>44573</v>
      </c>
      <c r="O746" s="2085"/>
      <c r="P746" s="2087"/>
      <c r="Q746" s="2085"/>
      <c r="R746" s="2092"/>
      <c r="S746" s="2092"/>
      <c r="T746" s="2094"/>
      <c r="U746" s="2094"/>
      <c r="V746" s="2094"/>
      <c r="W746" s="2092"/>
      <c r="X746" s="2092"/>
      <c r="Y746" s="2085"/>
      <c r="Z746" s="2085"/>
      <c r="AA746" s="2085"/>
      <c r="AB746" s="2085"/>
      <c r="AC746" s="2085"/>
    </row>
    <row r="747" spans="1:31" ht="30">
      <c r="A747" s="2141" t="s">
        <v>3585</v>
      </c>
      <c r="B747" s="2141" t="s">
        <v>10149</v>
      </c>
      <c r="C747" s="2141" t="s">
        <v>2434</v>
      </c>
      <c r="D747" s="2141" t="s">
        <v>3204</v>
      </c>
      <c r="E747" s="2142" t="s">
        <v>10187</v>
      </c>
      <c r="F747" s="2141"/>
      <c r="G747" s="2143"/>
      <c r="H747" s="2141"/>
      <c r="I747" s="2141" t="s">
        <v>642</v>
      </c>
      <c r="J747" s="2141"/>
      <c r="K747" s="2144">
        <v>700000</v>
      </c>
      <c r="L747" s="2141" t="s">
        <v>112</v>
      </c>
      <c r="M747" s="2140">
        <v>44494</v>
      </c>
      <c r="N747" s="2140">
        <v>44503</v>
      </c>
      <c r="O747" s="2140">
        <v>44509</v>
      </c>
      <c r="P747" s="2143" t="s">
        <v>198</v>
      </c>
      <c r="Q747" s="2141"/>
      <c r="R747" s="2144">
        <v>386000</v>
      </c>
      <c r="S747" s="2144">
        <v>467060</v>
      </c>
      <c r="T747" s="2145"/>
      <c r="U747" s="2145"/>
      <c r="V747" s="2145"/>
      <c r="W747" s="2146">
        <v>44510</v>
      </c>
      <c r="X747" s="2260" t="s">
        <v>10279</v>
      </c>
      <c r="Y747" s="2140">
        <v>44543</v>
      </c>
      <c r="Z747" s="2140">
        <v>44550</v>
      </c>
      <c r="AA747" s="2140">
        <v>45272</v>
      </c>
      <c r="AB747" s="2141" t="s">
        <v>11373</v>
      </c>
      <c r="AC747" s="2109">
        <v>2022</v>
      </c>
      <c r="AD747" s="388" t="s">
        <v>10561</v>
      </c>
    </row>
    <row r="748" spans="1:31" ht="15.75" thickBot="1">
      <c r="A748" s="416">
        <v>44474</v>
      </c>
      <c r="B748" s="411" t="s">
        <v>10158</v>
      </c>
      <c r="C748" s="411" t="s">
        <v>2434</v>
      </c>
      <c r="D748" s="411" t="s">
        <v>219</v>
      </c>
      <c r="E748" s="412" t="s">
        <v>10159</v>
      </c>
      <c r="F748" s="411"/>
      <c r="G748" s="630"/>
      <c r="H748" s="411"/>
      <c r="I748" s="411" t="s">
        <v>642</v>
      </c>
      <c r="J748" s="411"/>
      <c r="K748" s="417">
        <v>1881000</v>
      </c>
      <c r="L748" s="411" t="s">
        <v>112</v>
      </c>
      <c r="M748" s="416">
        <v>44494</v>
      </c>
      <c r="N748" s="416">
        <v>44503</v>
      </c>
      <c r="O748" s="416">
        <v>44509</v>
      </c>
      <c r="P748" s="630" t="s">
        <v>5726</v>
      </c>
      <c r="Q748" s="411"/>
      <c r="R748" s="417">
        <v>1881000</v>
      </c>
      <c r="S748" s="417">
        <v>2276010</v>
      </c>
      <c r="T748" s="1480"/>
      <c r="U748" s="1480"/>
      <c r="V748" s="1480"/>
      <c r="W748" s="513">
        <v>44510</v>
      </c>
      <c r="X748" s="417" t="s">
        <v>10280</v>
      </c>
      <c r="Y748" s="416">
        <v>44530</v>
      </c>
      <c r="Z748" s="416">
        <v>44532</v>
      </c>
      <c r="AA748" s="416">
        <v>45625</v>
      </c>
      <c r="AB748" s="411" t="s">
        <v>11373</v>
      </c>
      <c r="AC748" s="422">
        <v>2022</v>
      </c>
      <c r="AD748" s="388">
        <v>2023</v>
      </c>
      <c r="AE748" s="388" t="s">
        <v>10481</v>
      </c>
    </row>
    <row r="749" spans="1:31" ht="15.75" thickTop="1">
      <c r="A749" s="428">
        <v>44488</v>
      </c>
      <c r="B749" s="425" t="s">
        <v>10160</v>
      </c>
      <c r="C749" s="425" t="s">
        <v>2434</v>
      </c>
      <c r="D749" s="425" t="s">
        <v>219</v>
      </c>
      <c r="E749" s="2398" t="s">
        <v>10161</v>
      </c>
      <c r="F749" s="425">
        <v>1</v>
      </c>
      <c r="G749" s="1371" t="s">
        <v>10162</v>
      </c>
      <c r="H749" s="583"/>
      <c r="I749" s="425" t="s">
        <v>642</v>
      </c>
      <c r="J749" s="425"/>
      <c r="K749" s="429">
        <v>1244469</v>
      </c>
      <c r="L749" s="425" t="s">
        <v>112</v>
      </c>
      <c r="M749" s="428">
        <v>44495</v>
      </c>
      <c r="N749" s="428">
        <v>44509</v>
      </c>
      <c r="O749" s="428">
        <v>44540</v>
      </c>
      <c r="P749" s="1371" t="s">
        <v>10551</v>
      </c>
      <c r="Q749" s="425"/>
      <c r="R749" s="429">
        <v>1656392</v>
      </c>
      <c r="S749" s="429">
        <v>2004928</v>
      </c>
      <c r="T749" s="1483"/>
      <c r="U749" s="1483"/>
      <c r="V749" s="1483"/>
      <c r="W749" s="1384">
        <v>44543</v>
      </c>
      <c r="X749" s="429" t="s">
        <v>10564</v>
      </c>
      <c r="Y749" s="425"/>
      <c r="Z749" s="425"/>
      <c r="AA749" s="425"/>
      <c r="AB749" s="425"/>
      <c r="AC749" s="425"/>
    </row>
    <row r="750" spans="1:31" ht="15.75" thickBot="1">
      <c r="A750" s="2130">
        <v>44488</v>
      </c>
      <c r="B750" s="2131" t="s">
        <v>10160</v>
      </c>
      <c r="C750" s="2131" t="s">
        <v>2434</v>
      </c>
      <c r="D750" s="2131" t="s">
        <v>219</v>
      </c>
      <c r="E750" s="2445" t="s">
        <v>10161</v>
      </c>
      <c r="F750" s="2131">
        <v>2</v>
      </c>
      <c r="G750" s="2133" t="s">
        <v>10163</v>
      </c>
      <c r="H750" s="2131"/>
      <c r="I750" s="2131" t="s">
        <v>642</v>
      </c>
      <c r="J750" s="2131"/>
      <c r="K750" s="2134">
        <v>386194</v>
      </c>
      <c r="L750" s="2131" t="s">
        <v>112</v>
      </c>
      <c r="M750" s="2130">
        <v>44495</v>
      </c>
      <c r="N750" s="2130">
        <v>44509</v>
      </c>
      <c r="O750" s="2131"/>
      <c r="P750" s="2137" t="s">
        <v>8431</v>
      </c>
      <c r="Q750" s="2480" t="s">
        <v>10549</v>
      </c>
      <c r="R750" s="2134"/>
      <c r="S750" s="2134"/>
      <c r="T750" s="2135"/>
      <c r="U750" s="2135"/>
      <c r="V750" s="2135"/>
      <c r="W750" s="2134"/>
      <c r="X750" s="2134"/>
      <c r="Y750" s="2131"/>
      <c r="Z750" s="2130">
        <v>44539</v>
      </c>
      <c r="AA750" s="2131"/>
      <c r="AB750" s="2131"/>
      <c r="AC750" s="2131"/>
    </row>
    <row r="751" spans="1:31" ht="15.75" thickTop="1">
      <c r="A751" s="365">
        <v>44490</v>
      </c>
      <c r="B751" s="2447" t="s">
        <v>10164</v>
      </c>
      <c r="C751" s="2447" t="s">
        <v>1032</v>
      </c>
      <c r="D751" s="2447" t="s">
        <v>361</v>
      </c>
      <c r="E751" s="175" t="s">
        <v>10165</v>
      </c>
      <c r="F751" s="2447"/>
      <c r="G751" s="2448"/>
      <c r="H751" s="2447"/>
      <c r="I751" s="2447" t="s">
        <v>10166</v>
      </c>
      <c r="J751" s="2447"/>
      <c r="K751" s="364">
        <v>600000</v>
      </c>
      <c r="L751" s="2447" t="s">
        <v>112</v>
      </c>
      <c r="M751" s="365">
        <v>44522</v>
      </c>
      <c r="N751" s="365">
        <v>44530</v>
      </c>
      <c r="O751" s="365">
        <v>44538</v>
      </c>
      <c r="P751" s="2448" t="s">
        <v>333</v>
      </c>
      <c r="Q751" s="2447"/>
      <c r="R751" s="364">
        <v>585133</v>
      </c>
      <c r="S751" s="364">
        <v>708010.93</v>
      </c>
      <c r="T751" s="1473"/>
      <c r="U751" s="1473"/>
      <c r="V751" s="1473"/>
      <c r="W751" s="681">
        <v>44538</v>
      </c>
      <c r="X751" s="364" t="s">
        <v>10532</v>
      </c>
      <c r="Y751" s="365">
        <v>44546</v>
      </c>
      <c r="Z751" s="365">
        <v>44550</v>
      </c>
      <c r="AA751" s="365">
        <v>44616</v>
      </c>
      <c r="AB751" s="365">
        <v>44616</v>
      </c>
      <c r="AC751" s="1513"/>
    </row>
    <row r="752" spans="1:31" ht="30.75" thickBot="1">
      <c r="A752" s="411" t="s">
        <v>3585</v>
      </c>
      <c r="B752" s="411" t="s">
        <v>10182</v>
      </c>
      <c r="C752" s="411" t="s">
        <v>58</v>
      </c>
      <c r="D752" s="411" t="s">
        <v>4969</v>
      </c>
      <c r="E752" s="412" t="s">
        <v>10183</v>
      </c>
      <c r="F752" s="411"/>
      <c r="G752" s="630"/>
      <c r="H752" s="411"/>
      <c r="I752" s="411" t="s">
        <v>62</v>
      </c>
      <c r="J752" s="411" t="s">
        <v>10034</v>
      </c>
      <c r="K752" s="417">
        <v>330000</v>
      </c>
      <c r="L752" s="411" t="s">
        <v>112</v>
      </c>
      <c r="M752" s="416">
        <v>44502</v>
      </c>
      <c r="N752" s="416">
        <v>44509</v>
      </c>
      <c r="O752" s="416">
        <v>44523</v>
      </c>
      <c r="P752" s="630" t="s">
        <v>10336</v>
      </c>
      <c r="Q752" s="411"/>
      <c r="R752" s="417">
        <v>289490</v>
      </c>
      <c r="S752" s="417">
        <v>350282.9</v>
      </c>
      <c r="T752" s="1480"/>
      <c r="U752" s="1480"/>
      <c r="V752" s="1480"/>
      <c r="W752" s="513">
        <v>44524</v>
      </c>
      <c r="X752" s="1553" t="s">
        <v>10404</v>
      </c>
      <c r="Y752" s="416">
        <v>44557</v>
      </c>
      <c r="Z752" s="416">
        <v>44561</v>
      </c>
      <c r="AA752" s="416">
        <v>44599</v>
      </c>
      <c r="AB752" s="416">
        <v>44655</v>
      </c>
      <c r="AC752" s="422" t="s">
        <v>1875</v>
      </c>
    </row>
    <row r="753" spans="1:29" ht="30.75" thickTop="1">
      <c r="A753" s="428">
        <v>44490</v>
      </c>
      <c r="B753" s="425" t="s">
        <v>10193</v>
      </c>
      <c r="C753" s="425" t="s">
        <v>2434</v>
      </c>
      <c r="D753" s="425" t="s">
        <v>3204</v>
      </c>
      <c r="E753" s="426" t="s">
        <v>10194</v>
      </c>
      <c r="F753" s="425">
        <v>1</v>
      </c>
      <c r="G753" s="1371" t="s">
        <v>10195</v>
      </c>
      <c r="H753" s="425"/>
      <c r="I753" s="425" t="s">
        <v>642</v>
      </c>
      <c r="J753" s="425"/>
      <c r="K753" s="429">
        <v>640000</v>
      </c>
      <c r="L753" s="425" t="s">
        <v>251</v>
      </c>
      <c r="M753" s="428">
        <v>44503</v>
      </c>
      <c r="N753" s="428">
        <v>44537</v>
      </c>
      <c r="O753" s="428">
        <v>44552</v>
      </c>
      <c r="P753" s="1371" t="s">
        <v>7296</v>
      </c>
      <c r="Q753" s="425"/>
      <c r="R753" s="429">
        <v>640000</v>
      </c>
      <c r="S753" s="429">
        <v>736000</v>
      </c>
      <c r="T753" s="1605"/>
      <c r="U753" s="1605"/>
      <c r="V753" s="1605"/>
      <c r="W753" s="1384">
        <v>44552</v>
      </c>
      <c r="X753" s="2031" t="s">
        <v>10618</v>
      </c>
      <c r="Y753" s="425"/>
      <c r="Z753" s="425"/>
      <c r="AA753" s="425"/>
      <c r="AB753" s="425"/>
      <c r="AC753" s="425"/>
    </row>
    <row r="754" spans="1:29" ht="30">
      <c r="A754" s="2153">
        <v>44490</v>
      </c>
      <c r="B754" s="2154" t="s">
        <v>10193</v>
      </c>
      <c r="C754" s="2154" t="s">
        <v>2434</v>
      </c>
      <c r="D754" s="2154" t="s">
        <v>3204</v>
      </c>
      <c r="E754" s="2155" t="s">
        <v>10194</v>
      </c>
      <c r="F754" s="2154">
        <v>2</v>
      </c>
      <c r="G754" s="2156" t="s">
        <v>10196</v>
      </c>
      <c r="H754" s="2154"/>
      <c r="I754" s="2154" t="s">
        <v>642</v>
      </c>
      <c r="J754" s="2154"/>
      <c r="K754" s="2157">
        <v>1935000</v>
      </c>
      <c r="L754" s="2154" t="s">
        <v>251</v>
      </c>
      <c r="M754" s="2153">
        <v>44503</v>
      </c>
      <c r="N754" s="2153">
        <v>44537</v>
      </c>
      <c r="O754" s="2153">
        <v>44552</v>
      </c>
      <c r="P754" s="2156" t="s">
        <v>7296</v>
      </c>
      <c r="Q754" s="2154"/>
      <c r="R754" s="2157">
        <v>1935000</v>
      </c>
      <c r="S754" s="2157">
        <v>2225250</v>
      </c>
      <c r="T754" s="2415"/>
      <c r="U754" s="2415"/>
      <c r="V754" s="2415"/>
      <c r="W754" s="2160">
        <v>44552</v>
      </c>
      <c r="X754" s="2326" t="s">
        <v>10619</v>
      </c>
      <c r="Y754" s="2154"/>
      <c r="Z754" s="2154"/>
      <c r="AA754" s="2154"/>
      <c r="AB754" s="2154"/>
      <c r="AC754" s="2154"/>
    </row>
    <row r="755" spans="1:29" ht="30">
      <c r="A755" s="2153">
        <v>44490</v>
      </c>
      <c r="B755" s="2154" t="s">
        <v>10193</v>
      </c>
      <c r="C755" s="2154" t="s">
        <v>2434</v>
      </c>
      <c r="D755" s="2154" t="s">
        <v>3204</v>
      </c>
      <c r="E755" s="2155" t="s">
        <v>10194</v>
      </c>
      <c r="F755" s="2154">
        <v>3</v>
      </c>
      <c r="G755" s="2156" t="s">
        <v>10197</v>
      </c>
      <c r="H755" s="2154"/>
      <c r="I755" s="2154" t="s">
        <v>642</v>
      </c>
      <c r="J755" s="2154"/>
      <c r="K755" s="2157">
        <v>113300</v>
      </c>
      <c r="L755" s="2154" t="s">
        <v>251</v>
      </c>
      <c r="M755" s="2153">
        <v>44503</v>
      </c>
      <c r="N755" s="2153">
        <v>44537</v>
      </c>
      <c r="O755" s="2153">
        <v>44552</v>
      </c>
      <c r="P755" s="2156" t="s">
        <v>7296</v>
      </c>
      <c r="Q755" s="2154"/>
      <c r="R755" s="2157">
        <v>113300</v>
      </c>
      <c r="S755" s="2157">
        <v>130295</v>
      </c>
      <c r="T755" s="2415"/>
      <c r="U755" s="2415"/>
      <c r="V755" s="2415"/>
      <c r="W755" s="2160">
        <v>44552</v>
      </c>
      <c r="X755" s="2326" t="s">
        <v>10620</v>
      </c>
      <c r="Y755" s="2154"/>
      <c r="Z755" s="2154"/>
      <c r="AA755" s="2154"/>
      <c r="AB755" s="2154"/>
      <c r="AC755" s="2154"/>
    </row>
    <row r="756" spans="1:29" ht="30">
      <c r="A756" s="2153">
        <v>44490</v>
      </c>
      <c r="B756" s="2154" t="s">
        <v>10193</v>
      </c>
      <c r="C756" s="2154" t="s">
        <v>2434</v>
      </c>
      <c r="D756" s="2154" t="s">
        <v>3204</v>
      </c>
      <c r="E756" s="2155" t="s">
        <v>10194</v>
      </c>
      <c r="F756" s="2154">
        <v>4</v>
      </c>
      <c r="G756" s="2156" t="s">
        <v>10198</v>
      </c>
      <c r="H756" s="2154"/>
      <c r="I756" s="2154" t="s">
        <v>642</v>
      </c>
      <c r="J756" s="2154"/>
      <c r="K756" s="2157">
        <v>292875</v>
      </c>
      <c r="L756" s="2154" t="s">
        <v>251</v>
      </c>
      <c r="M756" s="2153">
        <v>44503</v>
      </c>
      <c r="N756" s="2153">
        <v>44537</v>
      </c>
      <c r="O756" s="2153">
        <v>44552</v>
      </c>
      <c r="P756" s="2156" t="s">
        <v>7296</v>
      </c>
      <c r="Q756" s="2154"/>
      <c r="R756" s="2157">
        <v>292875</v>
      </c>
      <c r="S756" s="2157">
        <v>336806.25</v>
      </c>
      <c r="T756" s="2415"/>
      <c r="U756" s="2415"/>
      <c r="V756" s="2415"/>
      <c r="W756" s="2160">
        <v>44552</v>
      </c>
      <c r="X756" s="2326" t="s">
        <v>10621</v>
      </c>
      <c r="Y756" s="2154"/>
      <c r="Z756" s="2154"/>
      <c r="AA756" s="2154"/>
      <c r="AB756" s="2154"/>
      <c r="AC756" s="2154"/>
    </row>
    <row r="757" spans="1:29" ht="30">
      <c r="A757" s="2153">
        <v>44490</v>
      </c>
      <c r="B757" s="2154" t="s">
        <v>10193</v>
      </c>
      <c r="C757" s="2154" t="s">
        <v>2434</v>
      </c>
      <c r="D757" s="2154" t="s">
        <v>3204</v>
      </c>
      <c r="E757" s="2155" t="s">
        <v>10194</v>
      </c>
      <c r="F757" s="2154">
        <v>5</v>
      </c>
      <c r="G757" s="2156" t="s">
        <v>10199</v>
      </c>
      <c r="H757" s="2154"/>
      <c r="I757" s="2154" t="s">
        <v>642</v>
      </c>
      <c r="J757" s="2154"/>
      <c r="K757" s="2157">
        <v>921800</v>
      </c>
      <c r="L757" s="2154" t="s">
        <v>251</v>
      </c>
      <c r="M757" s="2153">
        <v>44503</v>
      </c>
      <c r="N757" s="2153">
        <v>44537</v>
      </c>
      <c r="O757" s="2153">
        <v>44552</v>
      </c>
      <c r="P757" s="2156" t="s">
        <v>7296</v>
      </c>
      <c r="Q757" s="2154"/>
      <c r="R757" s="2157">
        <v>921800</v>
      </c>
      <c r="S757" s="2157">
        <v>1060070</v>
      </c>
      <c r="T757" s="2415"/>
      <c r="U757" s="2415"/>
      <c r="V757" s="2415"/>
      <c r="W757" s="2160">
        <v>44552</v>
      </c>
      <c r="X757" s="2326" t="s">
        <v>10622</v>
      </c>
      <c r="Y757" s="2154"/>
      <c r="Z757" s="2154"/>
      <c r="AA757" s="2154"/>
      <c r="AB757" s="2154"/>
      <c r="AC757" s="2154"/>
    </row>
    <row r="758" spans="1:29" ht="30.75" thickBot="1">
      <c r="A758" s="2152">
        <v>44490</v>
      </c>
      <c r="B758" s="2297" t="s">
        <v>10193</v>
      </c>
      <c r="C758" s="2297" t="s">
        <v>2434</v>
      </c>
      <c r="D758" s="2297" t="s">
        <v>3204</v>
      </c>
      <c r="E758" s="2298" t="s">
        <v>10194</v>
      </c>
      <c r="F758" s="2297">
        <v>6</v>
      </c>
      <c r="G758" s="2442" t="s">
        <v>10200</v>
      </c>
      <c r="H758" s="2297"/>
      <c r="I758" s="2297" t="s">
        <v>642</v>
      </c>
      <c r="J758" s="2297"/>
      <c r="K758" s="2299">
        <v>4415340</v>
      </c>
      <c r="L758" s="2297" t="s">
        <v>251</v>
      </c>
      <c r="M758" s="2152">
        <v>44503</v>
      </c>
      <c r="N758" s="2152">
        <v>44537</v>
      </c>
      <c r="O758" s="2152">
        <v>44552</v>
      </c>
      <c r="P758" s="2300" t="s">
        <v>7296</v>
      </c>
      <c r="Q758" s="2297"/>
      <c r="R758" s="2299">
        <v>4415340</v>
      </c>
      <c r="S758" s="2299">
        <v>5077641</v>
      </c>
      <c r="T758" s="2443"/>
      <c r="U758" s="2443"/>
      <c r="V758" s="2443"/>
      <c r="W758" s="2315">
        <v>44552</v>
      </c>
      <c r="X758" s="2341" t="s">
        <v>10623</v>
      </c>
      <c r="Y758" s="2297"/>
      <c r="Z758" s="2297"/>
      <c r="AA758" s="2297"/>
      <c r="AB758" s="2297"/>
      <c r="AC758" s="2297"/>
    </row>
    <row r="759" spans="1:29" ht="15.75" thickTop="1">
      <c r="A759" s="580">
        <v>44533</v>
      </c>
      <c r="B759" s="576" t="s">
        <v>10206</v>
      </c>
      <c r="C759" s="576" t="s">
        <v>69</v>
      </c>
      <c r="D759" s="576" t="s">
        <v>70</v>
      </c>
      <c r="E759" s="577" t="s">
        <v>10207</v>
      </c>
      <c r="F759" s="576"/>
      <c r="G759" s="1828"/>
      <c r="H759" s="576"/>
      <c r="I759" s="576" t="s">
        <v>10208</v>
      </c>
      <c r="J759" s="576"/>
      <c r="K759" s="581">
        <v>4716408</v>
      </c>
      <c r="L759" s="576" t="s">
        <v>251</v>
      </c>
      <c r="M759" s="580">
        <v>44550</v>
      </c>
      <c r="N759" s="580">
        <v>44607</v>
      </c>
      <c r="O759" s="576"/>
      <c r="P759" s="1828"/>
      <c r="Q759" s="576"/>
      <c r="R759" s="581"/>
      <c r="S759" s="581"/>
      <c r="T759" s="1489"/>
      <c r="U759" s="1489"/>
      <c r="V759" s="1489"/>
      <c r="W759" s="581"/>
      <c r="X759" s="581"/>
      <c r="Y759" s="576"/>
      <c r="Z759" s="576"/>
      <c r="AA759" s="576"/>
      <c r="AB759" s="576"/>
      <c r="AC759" s="576"/>
    </row>
    <row r="760" spans="1:29">
      <c r="A760" s="2153">
        <v>44490</v>
      </c>
      <c r="B760" s="2154" t="s">
        <v>10234</v>
      </c>
      <c r="C760" s="2154" t="s">
        <v>2434</v>
      </c>
      <c r="D760" s="2154" t="s">
        <v>219</v>
      </c>
      <c r="E760" s="2155" t="s">
        <v>10219</v>
      </c>
      <c r="F760" s="2154"/>
      <c r="G760" s="2156"/>
      <c r="H760" s="2085"/>
      <c r="I760" s="2154" t="s">
        <v>642</v>
      </c>
      <c r="J760" s="2154"/>
      <c r="K760" s="2157">
        <v>4090909</v>
      </c>
      <c r="L760" s="2154" t="s">
        <v>251</v>
      </c>
      <c r="M760" s="2153">
        <v>44505</v>
      </c>
      <c r="N760" s="2153">
        <v>44539</v>
      </c>
      <c r="O760" s="2154"/>
      <c r="P760" s="2156" t="s">
        <v>2776</v>
      </c>
      <c r="Q760" s="2154"/>
      <c r="R760" s="2157">
        <v>4080000</v>
      </c>
      <c r="S760" s="2157">
        <v>4936800</v>
      </c>
      <c r="T760" s="2094"/>
      <c r="U760" s="2094"/>
      <c r="V760" s="2094"/>
      <c r="W760" s="2157"/>
      <c r="X760" s="2157"/>
      <c r="Y760" s="2154"/>
      <c r="Z760" s="2154"/>
      <c r="AA760" s="2154"/>
      <c r="AB760" s="2154"/>
      <c r="AC760" s="2154"/>
    </row>
    <row r="761" spans="1:29">
      <c r="A761" s="2154" t="s">
        <v>3585</v>
      </c>
      <c r="B761" s="2154" t="s">
        <v>10225</v>
      </c>
      <c r="C761" s="2154" t="s">
        <v>6561</v>
      </c>
      <c r="D761" s="2154" t="s">
        <v>4864</v>
      </c>
      <c r="E761" s="2155" t="s">
        <v>10226</v>
      </c>
      <c r="F761" s="2154"/>
      <c r="G761" s="2156"/>
      <c r="H761" s="2085"/>
      <c r="I761" s="2154" t="s">
        <v>7701</v>
      </c>
      <c r="J761" s="2154"/>
      <c r="K761" s="2157">
        <v>7730000</v>
      </c>
      <c r="L761" s="2154" t="s">
        <v>251</v>
      </c>
      <c r="M761" s="2153">
        <v>44504</v>
      </c>
      <c r="N761" s="2153">
        <v>44539</v>
      </c>
      <c r="O761" s="2154"/>
      <c r="P761" s="2156" t="s">
        <v>10615</v>
      </c>
      <c r="Q761" s="2154"/>
      <c r="R761" s="2157">
        <v>7721900</v>
      </c>
      <c r="S761" s="2157">
        <v>9343499</v>
      </c>
      <c r="T761" s="2094"/>
      <c r="U761" s="2094"/>
      <c r="V761" s="2094"/>
      <c r="W761" s="2157"/>
      <c r="X761" s="2157"/>
      <c r="Y761" s="2154"/>
      <c r="Z761" s="2154"/>
      <c r="AA761" s="2154"/>
      <c r="AB761" s="2154"/>
      <c r="AC761" s="2154"/>
    </row>
    <row r="762" spans="1:29">
      <c r="A762" s="2153">
        <v>44502</v>
      </c>
      <c r="B762" s="2154" t="s">
        <v>10227</v>
      </c>
      <c r="C762" s="2154" t="s">
        <v>1032</v>
      </c>
      <c r="D762" s="2154" t="s">
        <v>361</v>
      </c>
      <c r="E762" s="2155" t="s">
        <v>10228</v>
      </c>
      <c r="F762" s="2154"/>
      <c r="G762" s="2156"/>
      <c r="H762" s="2085"/>
      <c r="I762" s="2154" t="s">
        <v>1676</v>
      </c>
      <c r="J762" s="2154"/>
      <c r="K762" s="2157">
        <v>7300000</v>
      </c>
      <c r="L762" s="2154" t="s">
        <v>216</v>
      </c>
      <c r="M762" s="2153">
        <v>44505</v>
      </c>
      <c r="N762" s="2153">
        <v>44525</v>
      </c>
      <c r="O762" s="2153">
        <v>44546</v>
      </c>
      <c r="P762" s="2156" t="s">
        <v>10538</v>
      </c>
      <c r="Q762" s="2154"/>
      <c r="R762" s="2157">
        <v>6868105.9500000002</v>
      </c>
      <c r="S762" s="2157">
        <v>8310408.2000000002</v>
      </c>
      <c r="T762" s="2094"/>
      <c r="U762" s="2094"/>
      <c r="V762" s="2094"/>
      <c r="W762" s="2160">
        <v>44546</v>
      </c>
      <c r="X762" s="2157" t="s">
        <v>10584</v>
      </c>
      <c r="Y762" s="2154"/>
      <c r="Z762" s="2154"/>
      <c r="AA762" s="2154"/>
      <c r="AB762" s="2154"/>
      <c r="AC762" s="2154"/>
    </row>
    <row r="763" spans="1:29">
      <c r="A763" s="2153">
        <v>44503</v>
      </c>
      <c r="B763" s="2154" t="s">
        <v>10229</v>
      </c>
      <c r="C763" s="2154" t="s">
        <v>4997</v>
      </c>
      <c r="D763" s="2154" t="s">
        <v>7475</v>
      </c>
      <c r="E763" s="2155" t="s">
        <v>10230</v>
      </c>
      <c r="F763" s="2154"/>
      <c r="G763" s="2156"/>
      <c r="H763" s="2085"/>
      <c r="I763" s="2154" t="s">
        <v>1676</v>
      </c>
      <c r="J763" s="2154"/>
      <c r="K763" s="2157">
        <v>6500000</v>
      </c>
      <c r="L763" s="2154" t="s">
        <v>216</v>
      </c>
      <c r="M763" s="2153">
        <v>44526</v>
      </c>
      <c r="N763" s="2153">
        <v>44545</v>
      </c>
      <c r="O763" s="2154"/>
      <c r="P763" s="2156"/>
      <c r="Q763" s="2154"/>
      <c r="R763" s="2157"/>
      <c r="S763" s="2157"/>
      <c r="T763" s="2094"/>
      <c r="U763" s="2094"/>
      <c r="V763" s="2094"/>
      <c r="W763" s="2157"/>
      <c r="X763" s="2157"/>
      <c r="Y763" s="2154"/>
      <c r="Z763" s="2154"/>
      <c r="AA763" s="2154"/>
      <c r="AB763" s="2154"/>
      <c r="AC763" s="2154"/>
    </row>
    <row r="764" spans="1:29">
      <c r="A764" s="2153">
        <v>44494</v>
      </c>
      <c r="B764" s="2154" t="s">
        <v>10231</v>
      </c>
      <c r="C764" s="2154" t="s">
        <v>58</v>
      </c>
      <c r="D764" s="2154" t="s">
        <v>4969</v>
      </c>
      <c r="E764" s="2155" t="s">
        <v>10232</v>
      </c>
      <c r="F764" s="2154"/>
      <c r="G764" s="2156"/>
      <c r="H764" s="2085"/>
      <c r="I764" s="2154" t="s">
        <v>1950</v>
      </c>
      <c r="J764" s="2154" t="s">
        <v>10233</v>
      </c>
      <c r="K764" s="2157">
        <v>1950000</v>
      </c>
      <c r="L764" s="2154" t="s">
        <v>112</v>
      </c>
      <c r="M764" s="2153">
        <v>44508</v>
      </c>
      <c r="N764" s="2153">
        <v>44516</v>
      </c>
      <c r="O764" s="2154"/>
      <c r="P764" s="2156" t="s">
        <v>2498</v>
      </c>
      <c r="Q764" s="2154"/>
      <c r="R764" s="2157">
        <v>1381318</v>
      </c>
      <c r="S764" s="2157">
        <v>1671394.78</v>
      </c>
      <c r="T764" s="2094"/>
      <c r="U764" s="2094"/>
      <c r="V764" s="2094"/>
      <c r="W764" s="2157"/>
      <c r="X764" s="2157"/>
      <c r="Y764" s="2154"/>
      <c r="Z764" s="2154"/>
      <c r="AA764" s="2154"/>
      <c r="AB764" s="2154"/>
      <c r="AC764" s="2154"/>
    </row>
    <row r="765" spans="1:29" ht="30">
      <c r="A765" s="2153">
        <v>44477</v>
      </c>
      <c r="B765" s="2154" t="s">
        <v>10238</v>
      </c>
      <c r="C765" s="2154" t="s">
        <v>58</v>
      </c>
      <c r="D765" s="2154" t="s">
        <v>4969</v>
      </c>
      <c r="E765" s="2155" t="s">
        <v>10239</v>
      </c>
      <c r="F765" s="2154"/>
      <c r="G765" s="2156"/>
      <c r="H765" s="2085"/>
      <c r="I765" s="2154" t="s">
        <v>1950</v>
      </c>
      <c r="J765" s="2154" t="s">
        <v>10240</v>
      </c>
      <c r="K765" s="2157">
        <v>190000</v>
      </c>
      <c r="L765" s="2154" t="s">
        <v>112</v>
      </c>
      <c r="M765" s="2153">
        <v>44508</v>
      </c>
      <c r="N765" s="2153">
        <v>44516</v>
      </c>
      <c r="O765" s="2153">
        <v>44533</v>
      </c>
      <c r="P765" s="2156" t="s">
        <v>10415</v>
      </c>
      <c r="Q765" s="2154"/>
      <c r="R765" s="2157">
        <v>176080</v>
      </c>
      <c r="S765" s="2157">
        <v>213056.8</v>
      </c>
      <c r="T765" s="2094"/>
      <c r="U765" s="2094"/>
      <c r="V765" s="2094"/>
      <c r="W765" s="2160">
        <v>44536</v>
      </c>
      <c r="X765" s="2326" t="s">
        <v>10513</v>
      </c>
      <c r="Y765" s="2154"/>
      <c r="Z765" s="2154"/>
      <c r="AA765" s="2154"/>
      <c r="AB765" s="2154"/>
      <c r="AC765" s="2154"/>
    </row>
    <row r="766" spans="1:29" ht="30">
      <c r="A766" s="2154" t="s">
        <v>3585</v>
      </c>
      <c r="B766" s="2154" t="s">
        <v>10241</v>
      </c>
      <c r="C766" s="2154" t="s">
        <v>2434</v>
      </c>
      <c r="D766" s="2154" t="s">
        <v>3204</v>
      </c>
      <c r="E766" s="2155" t="s">
        <v>9522</v>
      </c>
      <c r="F766" s="2154"/>
      <c r="G766" s="2156"/>
      <c r="H766" s="2085"/>
      <c r="I766" s="2154" t="s">
        <v>642</v>
      </c>
      <c r="J766" s="2154"/>
      <c r="K766" s="2157">
        <v>840000</v>
      </c>
      <c r="L766" s="2154" t="s">
        <v>251</v>
      </c>
      <c r="M766" s="2153">
        <v>44509</v>
      </c>
      <c r="N766" s="2153">
        <v>44543</v>
      </c>
      <c r="O766" s="2153">
        <v>44552</v>
      </c>
      <c r="P766" s="2156" t="s">
        <v>7296</v>
      </c>
      <c r="Q766" s="2154"/>
      <c r="R766" s="2157">
        <v>945000</v>
      </c>
      <c r="S766" s="2157">
        <v>1086750</v>
      </c>
      <c r="T766" s="2094"/>
      <c r="U766" s="2094"/>
      <c r="V766" s="2094"/>
      <c r="W766" s="2160">
        <v>44552</v>
      </c>
      <c r="X766" s="2326" t="s">
        <v>10617</v>
      </c>
      <c r="Y766" s="2154"/>
      <c r="Z766" s="2154"/>
      <c r="AA766" s="2154"/>
      <c r="AB766" s="2154"/>
      <c r="AC766" s="2154"/>
    </row>
    <row r="767" spans="1:29">
      <c r="A767" s="2124">
        <v>44481</v>
      </c>
      <c r="B767" s="2125" t="s">
        <v>10257</v>
      </c>
      <c r="C767" s="2125" t="s">
        <v>58</v>
      </c>
      <c r="D767" s="2125" t="s">
        <v>4969</v>
      </c>
      <c r="E767" s="2126" t="s">
        <v>10258</v>
      </c>
      <c r="F767" s="2125"/>
      <c r="G767" s="2127"/>
      <c r="H767" s="2125"/>
      <c r="I767" s="2125" t="s">
        <v>1950</v>
      </c>
      <c r="J767" s="2125" t="s">
        <v>10259</v>
      </c>
      <c r="K767" s="2128">
        <v>124000</v>
      </c>
      <c r="L767" s="2125" t="s">
        <v>112</v>
      </c>
      <c r="M767" s="2124">
        <v>44511</v>
      </c>
      <c r="N767" s="2124">
        <v>44525</v>
      </c>
      <c r="O767" s="2125"/>
      <c r="P767" s="2136" t="s">
        <v>242</v>
      </c>
      <c r="Q767" s="2125"/>
      <c r="R767" s="2128"/>
      <c r="S767" s="2128"/>
      <c r="T767" s="2129"/>
      <c r="U767" s="2129"/>
      <c r="V767" s="2129"/>
      <c r="W767" s="2128"/>
      <c r="X767" s="2128"/>
      <c r="Y767" s="2125"/>
      <c r="Z767" s="2124">
        <v>44551</v>
      </c>
      <c r="AA767" s="2125"/>
      <c r="AB767" s="2125"/>
      <c r="AC767" s="2125"/>
    </row>
    <row r="768" spans="1:29">
      <c r="A768" s="2125" t="s">
        <v>3585</v>
      </c>
      <c r="B768" s="2125" t="s">
        <v>10281</v>
      </c>
      <c r="C768" s="2125" t="s">
        <v>2434</v>
      </c>
      <c r="D768" s="2125" t="s">
        <v>219</v>
      </c>
      <c r="E768" s="2126" t="s">
        <v>10282</v>
      </c>
      <c r="F768" s="2125"/>
      <c r="G768" s="2127"/>
      <c r="H768" s="2085"/>
      <c r="I768" s="2125" t="s">
        <v>642</v>
      </c>
      <c r="J768" s="2125"/>
      <c r="K768" s="2128">
        <v>6336997</v>
      </c>
      <c r="L768" s="2125" t="s">
        <v>251</v>
      </c>
      <c r="M768" s="2124">
        <v>44523</v>
      </c>
      <c r="N768" s="2124">
        <v>44557</v>
      </c>
      <c r="O768" s="2125"/>
      <c r="P768" s="2136" t="s">
        <v>304</v>
      </c>
      <c r="Q768" s="2275" t="s">
        <v>10637</v>
      </c>
      <c r="R768" s="2128"/>
      <c r="S768" s="2128"/>
      <c r="T768" s="2094"/>
      <c r="U768" s="2094"/>
      <c r="V768" s="2094"/>
      <c r="W768" s="2128"/>
      <c r="X768" s="2128"/>
      <c r="Y768" s="2125"/>
      <c r="Z768" s="2124">
        <v>44558</v>
      </c>
      <c r="AA768" s="2125" t="s">
        <v>10629</v>
      </c>
      <c r="AB768" s="2125"/>
      <c r="AC768" s="2125"/>
    </row>
    <row r="769" spans="1:29" ht="30">
      <c r="A769" s="2140">
        <v>44453</v>
      </c>
      <c r="B769" s="2141" t="s">
        <v>10284</v>
      </c>
      <c r="C769" s="2141" t="s">
        <v>58</v>
      </c>
      <c r="D769" s="2141" t="s">
        <v>4969</v>
      </c>
      <c r="E769" s="2142" t="s">
        <v>10285</v>
      </c>
      <c r="F769" s="2141"/>
      <c r="G769" s="2143"/>
      <c r="H769" s="2141"/>
      <c r="I769" s="2141" t="s">
        <v>1159</v>
      </c>
      <c r="J769" s="2141" t="s">
        <v>10286</v>
      </c>
      <c r="K769" s="2144">
        <v>139000</v>
      </c>
      <c r="L769" s="2141" t="s">
        <v>112</v>
      </c>
      <c r="M769" s="2140">
        <v>44515</v>
      </c>
      <c r="N769" s="2140">
        <v>44523</v>
      </c>
      <c r="O769" s="2140">
        <v>44533</v>
      </c>
      <c r="P769" s="2143" t="s">
        <v>10486</v>
      </c>
      <c r="Q769" s="2141"/>
      <c r="R769" s="2144">
        <v>130385.35</v>
      </c>
      <c r="S769" s="2144">
        <v>157766.29999999999</v>
      </c>
      <c r="T769" s="2145"/>
      <c r="U769" s="2145"/>
      <c r="V769" s="2145"/>
      <c r="W769" s="2146">
        <v>44536</v>
      </c>
      <c r="X769" s="2260" t="s">
        <v>10514</v>
      </c>
      <c r="Y769" s="2140">
        <v>44561</v>
      </c>
      <c r="Z769" s="2140">
        <v>44567</v>
      </c>
      <c r="AA769" s="2140">
        <v>44631</v>
      </c>
      <c r="AB769" s="2140">
        <v>44655</v>
      </c>
      <c r="AC769" s="2109" t="s">
        <v>1875</v>
      </c>
    </row>
    <row r="770" spans="1:29" ht="15.75" thickBot="1">
      <c r="A770" s="416">
        <v>44511</v>
      </c>
      <c r="B770" s="411" t="s">
        <v>10294</v>
      </c>
      <c r="C770" s="411" t="s">
        <v>58</v>
      </c>
      <c r="D770" s="411" t="s">
        <v>2684</v>
      </c>
      <c r="E770" s="412" t="s">
        <v>10293</v>
      </c>
      <c r="F770" s="411"/>
      <c r="G770" s="630"/>
      <c r="H770" s="411"/>
      <c r="I770" s="411" t="s">
        <v>261</v>
      </c>
      <c r="J770" s="411" t="s">
        <v>10292</v>
      </c>
      <c r="K770" s="417">
        <v>973000</v>
      </c>
      <c r="L770" s="411" t="s">
        <v>112</v>
      </c>
      <c r="M770" s="416">
        <v>44512</v>
      </c>
      <c r="N770" s="416">
        <v>44519</v>
      </c>
      <c r="O770" s="416">
        <v>44523</v>
      </c>
      <c r="P770" s="630" t="s">
        <v>10380</v>
      </c>
      <c r="Q770" s="411"/>
      <c r="R770" s="417">
        <v>973000</v>
      </c>
      <c r="S770" s="417">
        <v>1177330</v>
      </c>
      <c r="T770" s="1480"/>
      <c r="U770" s="1480"/>
      <c r="V770" s="1480"/>
      <c r="W770" s="513">
        <v>44524</v>
      </c>
      <c r="X770" s="417" t="s">
        <v>10405</v>
      </c>
      <c r="Y770" s="416">
        <v>44546</v>
      </c>
      <c r="Z770" s="416">
        <v>44550</v>
      </c>
      <c r="AA770" s="416">
        <v>44588</v>
      </c>
      <c r="AB770" s="416">
        <v>44678</v>
      </c>
      <c r="AC770" s="967"/>
    </row>
    <row r="771" spans="1:29" ht="15.75" thickTop="1">
      <c r="A771" s="428">
        <v>44503</v>
      </c>
      <c r="B771" s="425" t="s">
        <v>10295</v>
      </c>
      <c r="C771" s="425" t="s">
        <v>2434</v>
      </c>
      <c r="D771" s="425" t="s">
        <v>3204</v>
      </c>
      <c r="E771" s="426" t="s">
        <v>4531</v>
      </c>
      <c r="F771" s="425">
        <v>1</v>
      </c>
      <c r="G771" s="1371" t="s">
        <v>10296</v>
      </c>
      <c r="H771" s="583"/>
      <c r="I771" s="425" t="s">
        <v>642</v>
      </c>
      <c r="J771" s="425"/>
      <c r="K771" s="429">
        <v>3683250</v>
      </c>
      <c r="L771" s="425" t="s">
        <v>251</v>
      </c>
      <c r="M771" s="428">
        <v>44519</v>
      </c>
      <c r="N771" s="428">
        <v>44561</v>
      </c>
      <c r="O771" s="425"/>
      <c r="P771" s="1371"/>
      <c r="Q771" s="425"/>
      <c r="R771" s="429"/>
      <c r="S771" s="429"/>
      <c r="T771" s="1483"/>
      <c r="U771" s="1483"/>
      <c r="V771" s="1483"/>
      <c r="W771" s="429"/>
      <c r="X771" s="429"/>
      <c r="Y771" s="425"/>
      <c r="Z771" s="425"/>
      <c r="AA771" s="425"/>
      <c r="AB771" s="425"/>
      <c r="AC771" s="425"/>
    </row>
    <row r="772" spans="1:29">
      <c r="A772" s="2153">
        <v>44503</v>
      </c>
      <c r="B772" s="2154" t="s">
        <v>10295</v>
      </c>
      <c r="C772" s="2154" t="s">
        <v>2434</v>
      </c>
      <c r="D772" s="2154" t="s">
        <v>3204</v>
      </c>
      <c r="E772" s="2155" t="s">
        <v>4531</v>
      </c>
      <c r="F772" s="2154">
        <v>2</v>
      </c>
      <c r="G772" s="2156" t="s">
        <v>10297</v>
      </c>
      <c r="H772" s="2085"/>
      <c r="I772" s="2154" t="s">
        <v>642</v>
      </c>
      <c r="J772" s="2154"/>
      <c r="K772" s="2157">
        <v>720000</v>
      </c>
      <c r="L772" s="2154" t="s">
        <v>251</v>
      </c>
      <c r="M772" s="2153">
        <v>44519</v>
      </c>
      <c r="N772" s="2153">
        <v>44561</v>
      </c>
      <c r="O772" s="2154"/>
      <c r="P772" s="2156"/>
      <c r="Q772" s="2154"/>
      <c r="R772" s="2157"/>
      <c r="S772" s="2157"/>
      <c r="T772" s="2094"/>
      <c r="U772" s="2094"/>
      <c r="V772" s="2094"/>
      <c r="W772" s="2157"/>
      <c r="X772" s="2157"/>
      <c r="Y772" s="2154"/>
      <c r="Z772" s="2154"/>
      <c r="AA772" s="2154"/>
      <c r="AB772" s="2154"/>
      <c r="AC772" s="2154"/>
    </row>
    <row r="773" spans="1:29">
      <c r="A773" s="2153">
        <v>44503</v>
      </c>
      <c r="B773" s="2154" t="s">
        <v>10295</v>
      </c>
      <c r="C773" s="2154" t="s">
        <v>2434</v>
      </c>
      <c r="D773" s="2154" t="s">
        <v>3204</v>
      </c>
      <c r="E773" s="2155" t="s">
        <v>4531</v>
      </c>
      <c r="F773" s="2154">
        <v>3</v>
      </c>
      <c r="G773" s="2156" t="s">
        <v>10298</v>
      </c>
      <c r="H773" s="2085"/>
      <c r="I773" s="2154" t="s">
        <v>642</v>
      </c>
      <c r="J773" s="2154"/>
      <c r="K773" s="2157">
        <v>367500</v>
      </c>
      <c r="L773" s="2154" t="s">
        <v>251</v>
      </c>
      <c r="M773" s="2153">
        <v>44519</v>
      </c>
      <c r="N773" s="2153">
        <v>44561</v>
      </c>
      <c r="O773" s="2154"/>
      <c r="P773" s="2156"/>
      <c r="Q773" s="2154"/>
      <c r="R773" s="2157"/>
      <c r="S773" s="2157"/>
      <c r="T773" s="2094"/>
      <c r="U773" s="2094"/>
      <c r="V773" s="2094"/>
      <c r="W773" s="2157"/>
      <c r="X773" s="2157"/>
      <c r="Y773" s="2154"/>
      <c r="Z773" s="2154"/>
      <c r="AA773" s="2154"/>
      <c r="AB773" s="2154"/>
      <c r="AC773" s="2154"/>
    </row>
    <row r="774" spans="1:29">
      <c r="A774" s="2153">
        <v>44503</v>
      </c>
      <c r="B774" s="2154" t="s">
        <v>10295</v>
      </c>
      <c r="C774" s="2154" t="s">
        <v>2434</v>
      </c>
      <c r="D774" s="2154" t="s">
        <v>3204</v>
      </c>
      <c r="E774" s="2155" t="s">
        <v>4531</v>
      </c>
      <c r="F774" s="2154">
        <v>4</v>
      </c>
      <c r="G774" s="2156" t="s">
        <v>10299</v>
      </c>
      <c r="H774" s="2085"/>
      <c r="I774" s="2154" t="s">
        <v>642</v>
      </c>
      <c r="J774" s="2154"/>
      <c r="K774" s="2157">
        <v>2451600</v>
      </c>
      <c r="L774" s="2154" t="s">
        <v>251</v>
      </c>
      <c r="M774" s="2153">
        <v>44519</v>
      </c>
      <c r="N774" s="2153">
        <v>44561</v>
      </c>
      <c r="O774" s="2154"/>
      <c r="P774" s="2156"/>
      <c r="Q774" s="2154"/>
      <c r="R774" s="2157"/>
      <c r="S774" s="2157"/>
      <c r="T774" s="2094"/>
      <c r="U774" s="2094"/>
      <c r="V774" s="2094"/>
      <c r="W774" s="2157"/>
      <c r="X774" s="2157"/>
      <c r="Y774" s="2154"/>
      <c r="Z774" s="2154"/>
      <c r="AA774" s="2154"/>
      <c r="AB774" s="2154"/>
      <c r="AC774" s="2154"/>
    </row>
    <row r="775" spans="1:29">
      <c r="A775" s="2153">
        <v>44503</v>
      </c>
      <c r="B775" s="2154" t="s">
        <v>10295</v>
      </c>
      <c r="C775" s="2154" t="s">
        <v>2434</v>
      </c>
      <c r="D775" s="2154" t="s">
        <v>3204</v>
      </c>
      <c r="E775" s="2155" t="s">
        <v>4531</v>
      </c>
      <c r="F775" s="2154">
        <v>5</v>
      </c>
      <c r="G775" s="2462" t="s">
        <v>10300</v>
      </c>
      <c r="H775" s="2085"/>
      <c r="I775" s="2154" t="s">
        <v>642</v>
      </c>
      <c r="J775" s="2154"/>
      <c r="K775" s="2157">
        <v>1320000</v>
      </c>
      <c r="L775" s="2154" t="s">
        <v>251</v>
      </c>
      <c r="M775" s="2153">
        <v>44519</v>
      </c>
      <c r="N775" s="2153">
        <v>44561</v>
      </c>
      <c r="O775" s="2154"/>
      <c r="P775" s="2156"/>
      <c r="Q775" s="2154"/>
      <c r="R775" s="2157"/>
      <c r="S775" s="2157"/>
      <c r="T775" s="2094"/>
      <c r="U775" s="2094"/>
      <c r="V775" s="2094"/>
      <c r="W775" s="2157"/>
      <c r="X775" s="2157"/>
      <c r="Y775" s="2154"/>
      <c r="Z775" s="2154"/>
      <c r="AA775" s="2154"/>
      <c r="AB775" s="2154"/>
      <c r="AC775" s="2154"/>
    </row>
    <row r="776" spans="1:29">
      <c r="A776" s="2153">
        <v>44503</v>
      </c>
      <c r="B776" s="2154" t="s">
        <v>10295</v>
      </c>
      <c r="C776" s="2154" t="s">
        <v>2434</v>
      </c>
      <c r="D776" s="2154" t="s">
        <v>3204</v>
      </c>
      <c r="E776" s="2155" t="s">
        <v>4531</v>
      </c>
      <c r="F776" s="2154">
        <v>6</v>
      </c>
      <c r="G776" s="2156" t="s">
        <v>10301</v>
      </c>
      <c r="H776" s="2085"/>
      <c r="I776" s="2154" t="s">
        <v>642</v>
      </c>
      <c r="J776" s="2154"/>
      <c r="K776" s="2157">
        <v>934800</v>
      </c>
      <c r="L776" s="2154" t="s">
        <v>251</v>
      </c>
      <c r="M776" s="2153">
        <v>44519</v>
      </c>
      <c r="N776" s="2153">
        <v>44561</v>
      </c>
      <c r="O776" s="2154"/>
      <c r="P776" s="2156"/>
      <c r="Q776" s="2154"/>
      <c r="R776" s="2157"/>
      <c r="S776" s="2157"/>
      <c r="T776" s="2094"/>
      <c r="U776" s="2094"/>
      <c r="V776" s="2094"/>
      <c r="W776" s="2157"/>
      <c r="X776" s="2157"/>
      <c r="Y776" s="2154"/>
      <c r="Z776" s="2154"/>
      <c r="AA776" s="2154"/>
      <c r="AB776" s="2154"/>
      <c r="AC776" s="2154"/>
    </row>
    <row r="777" spans="1:29">
      <c r="A777" s="2153">
        <v>44503</v>
      </c>
      <c r="B777" s="2154" t="s">
        <v>10295</v>
      </c>
      <c r="C777" s="2154" t="s">
        <v>2434</v>
      </c>
      <c r="D777" s="2154" t="s">
        <v>3204</v>
      </c>
      <c r="E777" s="2155" t="s">
        <v>4531</v>
      </c>
      <c r="F777" s="2154">
        <v>7</v>
      </c>
      <c r="G777" s="2156" t="s">
        <v>10302</v>
      </c>
      <c r="H777" s="2085"/>
      <c r="I777" s="2154" t="s">
        <v>642</v>
      </c>
      <c r="J777" s="2154"/>
      <c r="K777" s="2157">
        <v>364140</v>
      </c>
      <c r="L777" s="2154" t="s">
        <v>251</v>
      </c>
      <c r="M777" s="2153">
        <v>44519</v>
      </c>
      <c r="N777" s="2153">
        <v>44561</v>
      </c>
      <c r="O777" s="2154"/>
      <c r="P777" s="2156"/>
      <c r="Q777" s="2154"/>
      <c r="R777" s="2157"/>
      <c r="S777" s="2157"/>
      <c r="T777" s="2094"/>
      <c r="U777" s="2094"/>
      <c r="V777" s="2094"/>
      <c r="W777" s="2157"/>
      <c r="X777" s="2157"/>
      <c r="Y777" s="2154"/>
      <c r="Z777" s="2154"/>
      <c r="AA777" s="2154"/>
      <c r="AB777" s="2154"/>
      <c r="AC777" s="2154"/>
    </row>
    <row r="778" spans="1:29">
      <c r="A778" s="2153">
        <v>44503</v>
      </c>
      <c r="B778" s="2154" t="s">
        <v>10295</v>
      </c>
      <c r="C778" s="2154" t="s">
        <v>2434</v>
      </c>
      <c r="D778" s="2154" t="s">
        <v>3204</v>
      </c>
      <c r="E778" s="2155" t="s">
        <v>4531</v>
      </c>
      <c r="F778" s="2154">
        <v>8</v>
      </c>
      <c r="G778" s="2156" t="s">
        <v>10303</v>
      </c>
      <c r="H778" s="2085"/>
      <c r="I778" s="2154" t="s">
        <v>642</v>
      </c>
      <c r="J778" s="2154"/>
      <c r="K778" s="2157">
        <v>122510</v>
      </c>
      <c r="L778" s="2154" t="s">
        <v>251</v>
      </c>
      <c r="M778" s="2153">
        <v>44519</v>
      </c>
      <c r="N778" s="2153">
        <v>44561</v>
      </c>
      <c r="O778" s="2154"/>
      <c r="P778" s="2156"/>
      <c r="Q778" s="2154"/>
      <c r="R778" s="2157"/>
      <c r="S778" s="2157"/>
      <c r="T778" s="2094"/>
      <c r="U778" s="2094"/>
      <c r="V778" s="2094"/>
      <c r="W778" s="2157"/>
      <c r="X778" s="2157"/>
      <c r="Y778" s="2154"/>
      <c r="Z778" s="2154"/>
      <c r="AA778" s="2154"/>
      <c r="AB778" s="2154"/>
      <c r="AC778" s="2154"/>
    </row>
    <row r="779" spans="1:29" ht="15.75" thickBot="1">
      <c r="A779" s="2152">
        <v>44503</v>
      </c>
      <c r="B779" s="2297" t="s">
        <v>10295</v>
      </c>
      <c r="C779" s="2297" t="s">
        <v>2434</v>
      </c>
      <c r="D779" s="2297" t="s">
        <v>3204</v>
      </c>
      <c r="E779" s="2298" t="s">
        <v>4531</v>
      </c>
      <c r="F779" s="2297">
        <v>9</v>
      </c>
      <c r="G779" s="2300" t="s">
        <v>10304</v>
      </c>
      <c r="H779" s="2089"/>
      <c r="I779" s="2297" t="s">
        <v>642</v>
      </c>
      <c r="J779" s="2297"/>
      <c r="K779" s="2299">
        <v>399726</v>
      </c>
      <c r="L779" s="2297" t="s">
        <v>251</v>
      </c>
      <c r="M779" s="2152">
        <v>44519</v>
      </c>
      <c r="N779" s="2152">
        <v>44561</v>
      </c>
      <c r="O779" s="2297"/>
      <c r="P779" s="2300"/>
      <c r="Q779" s="2297"/>
      <c r="R779" s="2299"/>
      <c r="S779" s="2299"/>
      <c r="T779" s="2095"/>
      <c r="U779" s="2095"/>
      <c r="V779" s="2095"/>
      <c r="W779" s="2299"/>
      <c r="X779" s="2299"/>
      <c r="Y779" s="2297"/>
      <c r="Z779" s="2297"/>
      <c r="AA779" s="2297"/>
      <c r="AB779" s="2297"/>
      <c r="AC779" s="2297"/>
    </row>
    <row r="780" spans="1:29" ht="30.75" thickTop="1">
      <c r="A780" s="428">
        <v>44510</v>
      </c>
      <c r="B780" s="425" t="s">
        <v>10305</v>
      </c>
      <c r="C780" s="425" t="s">
        <v>58</v>
      </c>
      <c r="D780" s="425" t="s">
        <v>4969</v>
      </c>
      <c r="E780" s="426" t="s">
        <v>10337</v>
      </c>
      <c r="F780" s="425">
        <v>1</v>
      </c>
      <c r="G780" s="1371" t="s">
        <v>10338</v>
      </c>
      <c r="H780" s="583"/>
      <c r="I780" s="425" t="s">
        <v>753</v>
      </c>
      <c r="J780" s="425" t="s">
        <v>10306</v>
      </c>
      <c r="K780" s="429">
        <v>185000</v>
      </c>
      <c r="L780" s="425" t="s">
        <v>112</v>
      </c>
      <c r="M780" s="428">
        <v>44524</v>
      </c>
      <c r="N780" s="428">
        <v>44532</v>
      </c>
      <c r="O780" s="428">
        <v>44546</v>
      </c>
      <c r="P780" s="1371" t="s">
        <v>10534</v>
      </c>
      <c r="Q780" s="425"/>
      <c r="R780" s="429">
        <v>149000</v>
      </c>
      <c r="S780" s="429">
        <v>180290</v>
      </c>
      <c r="T780" s="1483"/>
      <c r="U780" s="1483"/>
      <c r="V780" s="1483"/>
      <c r="W780" s="1384">
        <v>44547</v>
      </c>
      <c r="X780" s="2031" t="s">
        <v>10605</v>
      </c>
      <c r="Y780" s="425"/>
      <c r="Z780" s="425"/>
      <c r="AA780" s="425"/>
      <c r="AB780" s="425"/>
      <c r="AC780" s="425"/>
    </row>
    <row r="781" spans="1:29" ht="30.75" thickBot="1">
      <c r="A781" s="2434">
        <v>44510</v>
      </c>
      <c r="B781" s="2435" t="s">
        <v>10305</v>
      </c>
      <c r="C781" s="2435" t="s">
        <v>58</v>
      </c>
      <c r="D781" s="2435" t="s">
        <v>4969</v>
      </c>
      <c r="E781" s="2436" t="s">
        <v>10337</v>
      </c>
      <c r="F781" s="2435">
        <v>2</v>
      </c>
      <c r="G781" s="2437" t="s">
        <v>10339</v>
      </c>
      <c r="H781" s="604"/>
      <c r="I781" s="2435" t="s">
        <v>753</v>
      </c>
      <c r="J781" s="2435" t="s">
        <v>6308</v>
      </c>
      <c r="K781" s="2438">
        <v>698300</v>
      </c>
      <c r="L781" s="2435" t="s">
        <v>112</v>
      </c>
      <c r="M781" s="2434">
        <v>44524</v>
      </c>
      <c r="N781" s="2434">
        <v>44532</v>
      </c>
      <c r="O781" s="2450">
        <v>44546</v>
      </c>
      <c r="P781" s="2437" t="s">
        <v>10534</v>
      </c>
      <c r="Q781" s="2435"/>
      <c r="R781" s="2438">
        <v>688298</v>
      </c>
      <c r="S781" s="2438">
        <v>832840.58</v>
      </c>
      <c r="T781" s="2417"/>
      <c r="U781" s="2417"/>
      <c r="V781" s="2417"/>
      <c r="W781" s="2451">
        <v>44547</v>
      </c>
      <c r="X781" s="2452" t="s">
        <v>10606</v>
      </c>
      <c r="Y781" s="2435"/>
      <c r="Z781" s="2435"/>
      <c r="AA781" s="2435"/>
      <c r="AB781" s="2435"/>
      <c r="AC781" s="2435"/>
    </row>
    <row r="782" spans="1:29" ht="15.75" thickTop="1">
      <c r="A782" s="840">
        <v>44509</v>
      </c>
      <c r="B782" s="423" t="s">
        <v>10307</v>
      </c>
      <c r="C782" s="423" t="s">
        <v>2434</v>
      </c>
      <c r="D782" s="423" t="s">
        <v>219</v>
      </c>
      <c r="E782" s="837" t="s">
        <v>10308</v>
      </c>
      <c r="F782" s="423"/>
      <c r="G782" s="1422"/>
      <c r="H782" s="576"/>
      <c r="I782" s="423" t="s">
        <v>2844</v>
      </c>
      <c r="J782" s="423"/>
      <c r="K782" s="841">
        <v>13891304.4</v>
      </c>
      <c r="L782" s="423" t="s">
        <v>251</v>
      </c>
      <c r="M782" s="840">
        <v>44524</v>
      </c>
      <c r="N782" s="840">
        <v>44557</v>
      </c>
      <c r="O782" s="423"/>
      <c r="P782" s="1422"/>
      <c r="Q782" s="423"/>
      <c r="R782" s="841"/>
      <c r="S782" s="841"/>
      <c r="T782" s="1489"/>
      <c r="U782" s="1489"/>
      <c r="V782" s="1489"/>
      <c r="W782" s="841"/>
      <c r="X782" s="841"/>
      <c r="Y782" s="423"/>
      <c r="Z782" s="423"/>
      <c r="AA782" s="423"/>
      <c r="AB782" s="423"/>
      <c r="AC782" s="423"/>
    </row>
    <row r="783" spans="1:29">
      <c r="A783" s="2410">
        <v>44511</v>
      </c>
      <c r="B783" s="2411" t="s">
        <v>10333</v>
      </c>
      <c r="C783" s="2411" t="s">
        <v>1032</v>
      </c>
      <c r="D783" s="2411" t="s">
        <v>361</v>
      </c>
      <c r="E783" s="2412" t="s">
        <v>10334</v>
      </c>
      <c r="F783" s="2411"/>
      <c r="G783" s="2413"/>
      <c r="H783" s="2411"/>
      <c r="I783" s="2411" t="s">
        <v>10335</v>
      </c>
      <c r="J783" s="2411"/>
      <c r="K783" s="2414">
        <v>1950000</v>
      </c>
      <c r="L783" s="2411" t="s">
        <v>112</v>
      </c>
      <c r="M783" s="2105"/>
      <c r="N783" s="2105"/>
      <c r="O783" s="2105"/>
      <c r="P783" s="2346"/>
      <c r="Q783" s="2105"/>
      <c r="R783" s="2347"/>
      <c r="S783" s="2347"/>
      <c r="T783" s="2348"/>
      <c r="U783" s="2348"/>
      <c r="V783" s="2348"/>
      <c r="W783" s="2347"/>
      <c r="X783" s="2347"/>
      <c r="Y783" s="2105"/>
      <c r="Z783" s="2105"/>
      <c r="AA783" s="2105"/>
      <c r="AB783" s="2105"/>
      <c r="AC783" s="2105"/>
    </row>
    <row r="784" spans="1:29">
      <c r="A784" s="2084">
        <v>44531</v>
      </c>
      <c r="B784" s="2085" t="s">
        <v>10317</v>
      </c>
      <c r="C784" s="2085" t="s">
        <v>69</v>
      </c>
      <c r="D784" s="2085" t="s">
        <v>70</v>
      </c>
      <c r="E784" s="2086" t="s">
        <v>10318</v>
      </c>
      <c r="F784" s="2085"/>
      <c r="G784" s="2087"/>
      <c r="H784" s="2085"/>
      <c r="I784" s="2085" t="s">
        <v>42</v>
      </c>
      <c r="J784" s="2085"/>
      <c r="K784" s="2092">
        <v>4403200</v>
      </c>
      <c r="L784" s="2085" t="s">
        <v>251</v>
      </c>
      <c r="M784" s="2084">
        <v>44550</v>
      </c>
      <c r="N784" s="2084">
        <v>44585</v>
      </c>
      <c r="O784" s="2085"/>
      <c r="P784" s="2087"/>
      <c r="Q784" s="2085"/>
      <c r="R784" s="2092"/>
      <c r="S784" s="2092"/>
      <c r="T784" s="2094"/>
      <c r="U784" s="2094"/>
      <c r="V784" s="2094"/>
      <c r="W784" s="2092"/>
      <c r="X784" s="2092"/>
      <c r="Y784" s="2085"/>
      <c r="Z784" s="2085"/>
      <c r="AA784" s="2085"/>
      <c r="AB784" s="2085"/>
      <c r="AC784" s="2085"/>
    </row>
    <row r="785" spans="1:29" ht="15.75" thickBot="1">
      <c r="A785" s="810"/>
      <c r="B785" s="810" t="s">
        <v>10319</v>
      </c>
      <c r="C785" s="810" t="s">
        <v>69</v>
      </c>
      <c r="D785" s="810" t="s">
        <v>70</v>
      </c>
      <c r="E785" s="811" t="s">
        <v>10320</v>
      </c>
      <c r="F785" s="810"/>
      <c r="G785" s="1619"/>
      <c r="H785" s="810"/>
      <c r="I785" s="810" t="s">
        <v>42</v>
      </c>
      <c r="J785" s="810"/>
      <c r="K785" s="814">
        <v>46443000</v>
      </c>
      <c r="L785" s="810" t="s">
        <v>251</v>
      </c>
      <c r="M785" s="810"/>
      <c r="N785" s="810"/>
      <c r="O785" s="810"/>
      <c r="P785" s="1619"/>
      <c r="Q785" s="810"/>
      <c r="R785" s="814"/>
      <c r="S785" s="814"/>
      <c r="T785" s="1620"/>
      <c r="U785" s="1620"/>
      <c r="V785" s="1620"/>
      <c r="W785" s="814"/>
      <c r="X785" s="814"/>
      <c r="Y785" s="810"/>
      <c r="Z785" s="810"/>
      <c r="AA785" s="810"/>
      <c r="AB785" s="810"/>
      <c r="AC785" s="810"/>
    </row>
    <row r="786" spans="1:29" ht="15.75" thickTop="1">
      <c r="A786" s="428">
        <v>44512</v>
      </c>
      <c r="B786" s="425" t="s">
        <v>10367</v>
      </c>
      <c r="C786" s="425" t="s">
        <v>2434</v>
      </c>
      <c r="D786" s="425" t="s">
        <v>3204</v>
      </c>
      <c r="E786" s="426" t="s">
        <v>4093</v>
      </c>
      <c r="F786" s="425">
        <v>1</v>
      </c>
      <c r="G786" s="1371" t="s">
        <v>10368</v>
      </c>
      <c r="H786" s="583"/>
      <c r="I786" s="425" t="s">
        <v>642</v>
      </c>
      <c r="J786" s="425"/>
      <c r="K786" s="429">
        <v>4002000</v>
      </c>
      <c r="L786" s="425" t="s">
        <v>251</v>
      </c>
      <c r="M786" s="428">
        <v>44526</v>
      </c>
      <c r="N786" s="428">
        <v>44559</v>
      </c>
      <c r="O786" s="425"/>
      <c r="P786" s="1371"/>
      <c r="Q786" s="425"/>
      <c r="R786" s="429"/>
      <c r="S786" s="429"/>
      <c r="T786" s="1483"/>
      <c r="U786" s="1483"/>
      <c r="V786" s="1483"/>
      <c r="W786" s="429"/>
      <c r="X786" s="429"/>
      <c r="Y786" s="425"/>
      <c r="Z786" s="425"/>
      <c r="AA786" s="425"/>
      <c r="AB786" s="425"/>
      <c r="AC786" s="425"/>
    </row>
    <row r="787" spans="1:29" ht="15.75" thickBot="1">
      <c r="A787" s="2152">
        <v>44512</v>
      </c>
      <c r="B787" s="2297" t="s">
        <v>10367</v>
      </c>
      <c r="C787" s="2297" t="s">
        <v>2434</v>
      </c>
      <c r="D787" s="2297" t="s">
        <v>3204</v>
      </c>
      <c r="E787" s="2298" t="s">
        <v>4093</v>
      </c>
      <c r="F787" s="2297">
        <v>2</v>
      </c>
      <c r="G787" s="2300" t="s">
        <v>10369</v>
      </c>
      <c r="H787" s="2089"/>
      <c r="I787" s="2297" t="s">
        <v>642</v>
      </c>
      <c r="J787" s="2297"/>
      <c r="K787" s="2299">
        <v>850000</v>
      </c>
      <c r="L787" s="2297" t="s">
        <v>251</v>
      </c>
      <c r="M787" s="2152">
        <v>44526</v>
      </c>
      <c r="N787" s="2152">
        <v>44559</v>
      </c>
      <c r="O787" s="2297"/>
      <c r="P787" s="2300"/>
      <c r="Q787" s="2297"/>
      <c r="R787" s="2299"/>
      <c r="S787" s="2299"/>
      <c r="T787" s="2095"/>
      <c r="U787" s="2095"/>
      <c r="V787" s="2095"/>
      <c r="W787" s="2299"/>
      <c r="X787" s="2299"/>
      <c r="Y787" s="2297"/>
      <c r="Z787" s="2297"/>
      <c r="AA787" s="2297"/>
      <c r="AB787" s="2297"/>
      <c r="AC787" s="2297"/>
    </row>
    <row r="788" spans="1:29" ht="15.75" thickTop="1">
      <c r="A788" s="580">
        <v>44501</v>
      </c>
      <c r="B788" s="576" t="s">
        <v>10370</v>
      </c>
      <c r="C788" s="576" t="s">
        <v>58</v>
      </c>
      <c r="D788" s="576" t="s">
        <v>4969</v>
      </c>
      <c r="E788" s="577" t="s">
        <v>10371</v>
      </c>
      <c r="F788" s="576"/>
      <c r="G788" s="1828"/>
      <c r="H788" s="576"/>
      <c r="I788" s="576" t="s">
        <v>462</v>
      </c>
      <c r="J788" s="576" t="s">
        <v>10372</v>
      </c>
      <c r="K788" s="581">
        <v>1050000</v>
      </c>
      <c r="L788" s="576" t="s">
        <v>251</v>
      </c>
      <c r="M788" s="580">
        <v>44525</v>
      </c>
      <c r="N788" s="580">
        <v>44578</v>
      </c>
      <c r="O788" s="576"/>
      <c r="P788" s="1828"/>
      <c r="Q788" s="576"/>
      <c r="R788" s="581"/>
      <c r="S788" s="581"/>
      <c r="T788" s="1489"/>
      <c r="U788" s="1489"/>
      <c r="V788" s="1489"/>
      <c r="W788" s="581"/>
      <c r="X788" s="581"/>
      <c r="Y788" s="576"/>
      <c r="Z788" s="576"/>
      <c r="AA788" s="576"/>
      <c r="AB788" s="576"/>
      <c r="AC788" s="576"/>
    </row>
    <row r="789" spans="1:29">
      <c r="A789" s="2153">
        <v>44515</v>
      </c>
      <c r="B789" s="2154" t="s">
        <v>10373</v>
      </c>
      <c r="C789" s="2154" t="s">
        <v>58</v>
      </c>
      <c r="D789" s="2154" t="s">
        <v>4969</v>
      </c>
      <c r="E789" s="2155" t="s">
        <v>10374</v>
      </c>
      <c r="F789" s="2154"/>
      <c r="G789" s="2156"/>
      <c r="H789" s="2085"/>
      <c r="I789" s="2154" t="s">
        <v>2665</v>
      </c>
      <c r="J789" s="2154" t="s">
        <v>10375</v>
      </c>
      <c r="K789" s="2157">
        <v>493223</v>
      </c>
      <c r="L789" s="2154" t="s">
        <v>112</v>
      </c>
      <c r="M789" s="2153">
        <v>44524</v>
      </c>
      <c r="N789" s="2153">
        <v>44532</v>
      </c>
      <c r="O789" s="2154"/>
      <c r="P789" s="2156"/>
      <c r="Q789" s="2154"/>
      <c r="R789" s="2157"/>
      <c r="S789" s="2157"/>
      <c r="T789" s="2094"/>
      <c r="U789" s="2094"/>
      <c r="V789" s="2094"/>
      <c r="W789" s="2157"/>
      <c r="X789" s="2157"/>
      <c r="Y789" s="2154"/>
      <c r="Z789" s="2154"/>
      <c r="AA789" s="2154"/>
      <c r="AB789" s="2154"/>
      <c r="AC789" s="2154"/>
    </row>
    <row r="790" spans="1:29" ht="15.75" thickBot="1">
      <c r="A790" s="464">
        <v>44515</v>
      </c>
      <c r="B790" s="406" t="s">
        <v>10376</v>
      </c>
      <c r="C790" s="406" t="s">
        <v>1032</v>
      </c>
      <c r="D790" s="406" t="s">
        <v>361</v>
      </c>
      <c r="E790" s="462" t="s">
        <v>10377</v>
      </c>
      <c r="F790" s="406"/>
      <c r="G790" s="1425"/>
      <c r="H790" s="1437"/>
      <c r="I790" s="406" t="s">
        <v>3091</v>
      </c>
      <c r="J790" s="406" t="s">
        <v>10378</v>
      </c>
      <c r="K790" s="465">
        <v>320000</v>
      </c>
      <c r="L790" s="406" t="s">
        <v>112</v>
      </c>
      <c r="M790" s="464">
        <v>44526</v>
      </c>
      <c r="N790" s="464">
        <v>44536</v>
      </c>
      <c r="O790" s="464">
        <v>44546</v>
      </c>
      <c r="P790" s="1425" t="s">
        <v>8953</v>
      </c>
      <c r="Q790" s="406"/>
      <c r="R790" s="465">
        <v>235389</v>
      </c>
      <c r="S790" s="465">
        <v>284820.69</v>
      </c>
      <c r="T790" s="1490"/>
      <c r="U790" s="1490"/>
      <c r="V790" s="1490"/>
      <c r="W790" s="1809">
        <v>44546</v>
      </c>
      <c r="X790" s="465" t="s">
        <v>10593</v>
      </c>
      <c r="Y790" s="406"/>
      <c r="Z790" s="406"/>
      <c r="AA790" s="406"/>
      <c r="AB790" s="406"/>
      <c r="AC790" s="406"/>
    </row>
    <row r="791" spans="1:29" ht="15.75" thickTop="1">
      <c r="A791" s="587">
        <v>44515</v>
      </c>
      <c r="B791" s="583" t="s">
        <v>10382</v>
      </c>
      <c r="C791" s="583" t="s">
        <v>69</v>
      </c>
      <c r="D791" s="583" t="s">
        <v>70</v>
      </c>
      <c r="E791" s="584" t="s">
        <v>10383</v>
      </c>
      <c r="F791" s="583">
        <v>1</v>
      </c>
      <c r="G791" s="1427" t="s">
        <v>10395</v>
      </c>
      <c r="H791" s="583"/>
      <c r="I791" s="583" t="s">
        <v>4271</v>
      </c>
      <c r="J791" s="583"/>
      <c r="K791" s="588">
        <v>4334535</v>
      </c>
      <c r="L791" s="583" t="s">
        <v>251</v>
      </c>
      <c r="M791" s="587">
        <v>44525</v>
      </c>
      <c r="N791" s="587">
        <v>44566</v>
      </c>
      <c r="O791" s="583"/>
      <c r="P791" s="1427"/>
      <c r="Q791" s="583"/>
      <c r="R791" s="588"/>
      <c r="S791" s="588"/>
      <c r="T791" s="1483"/>
      <c r="U791" s="1483"/>
      <c r="V791" s="1483"/>
      <c r="W791" s="588"/>
      <c r="X791" s="588"/>
      <c r="Y791" s="583"/>
      <c r="Z791" s="583"/>
      <c r="AA791" s="583"/>
      <c r="AB791" s="583"/>
      <c r="AC791" s="583"/>
    </row>
    <row r="792" spans="1:29">
      <c r="A792" s="2084">
        <v>44515</v>
      </c>
      <c r="B792" s="2085" t="s">
        <v>10382</v>
      </c>
      <c r="C792" s="2085" t="s">
        <v>69</v>
      </c>
      <c r="D792" s="2085" t="s">
        <v>70</v>
      </c>
      <c r="E792" s="2086" t="s">
        <v>10383</v>
      </c>
      <c r="F792" s="2085">
        <v>2</v>
      </c>
      <c r="G792" s="2087" t="s">
        <v>10396</v>
      </c>
      <c r="H792" s="2085"/>
      <c r="I792" s="2085" t="s">
        <v>4271</v>
      </c>
      <c r="J792" s="2085"/>
      <c r="K792" s="2092">
        <v>1391250</v>
      </c>
      <c r="L792" s="2085" t="s">
        <v>251</v>
      </c>
      <c r="M792" s="2084">
        <v>44525</v>
      </c>
      <c r="N792" s="2084">
        <v>44566</v>
      </c>
      <c r="O792" s="2085"/>
      <c r="P792" s="2087"/>
      <c r="Q792" s="2085"/>
      <c r="R792" s="2092"/>
      <c r="S792" s="2092"/>
      <c r="T792" s="2094"/>
      <c r="U792" s="2094"/>
      <c r="V792" s="2094"/>
      <c r="W792" s="2092"/>
      <c r="X792" s="2092"/>
      <c r="Y792" s="2085"/>
      <c r="Z792" s="2085"/>
      <c r="AA792" s="2085"/>
      <c r="AB792" s="2085"/>
      <c r="AC792" s="2085"/>
    </row>
    <row r="793" spans="1:29">
      <c r="A793" s="2084">
        <v>44515</v>
      </c>
      <c r="B793" s="2085" t="s">
        <v>10382</v>
      </c>
      <c r="C793" s="2085" t="s">
        <v>69</v>
      </c>
      <c r="D793" s="2085" t="s">
        <v>70</v>
      </c>
      <c r="E793" s="2086" t="s">
        <v>10383</v>
      </c>
      <c r="F793" s="2085">
        <v>3</v>
      </c>
      <c r="G793" s="2087" t="s">
        <v>10397</v>
      </c>
      <c r="H793" s="2085"/>
      <c r="I793" s="2085" t="s">
        <v>4271</v>
      </c>
      <c r="J793" s="2085"/>
      <c r="K793" s="2092">
        <v>1064952</v>
      </c>
      <c r="L793" s="2085" t="s">
        <v>251</v>
      </c>
      <c r="M793" s="2084">
        <v>44525</v>
      </c>
      <c r="N793" s="2084">
        <v>44566</v>
      </c>
      <c r="O793" s="2085"/>
      <c r="P793" s="2087"/>
      <c r="Q793" s="2085"/>
      <c r="R793" s="2092"/>
      <c r="S793" s="2092"/>
      <c r="T793" s="2094"/>
      <c r="U793" s="2094"/>
      <c r="V793" s="2094"/>
      <c r="W793" s="2092"/>
      <c r="X793" s="2092"/>
      <c r="Y793" s="2085"/>
      <c r="Z793" s="2085"/>
      <c r="AA793" s="2085"/>
      <c r="AB793" s="2085"/>
      <c r="AC793" s="2085"/>
    </row>
    <row r="794" spans="1:29" ht="15.75" thickBot="1">
      <c r="A794" s="2088">
        <v>44515</v>
      </c>
      <c r="B794" s="2089" t="s">
        <v>10382</v>
      </c>
      <c r="C794" s="2089" t="s">
        <v>69</v>
      </c>
      <c r="D794" s="2089" t="s">
        <v>70</v>
      </c>
      <c r="E794" s="2090" t="s">
        <v>10383</v>
      </c>
      <c r="F794" s="2089">
        <v>4</v>
      </c>
      <c r="G794" s="2091" t="s">
        <v>10398</v>
      </c>
      <c r="H794" s="2089"/>
      <c r="I794" s="2089" t="s">
        <v>4271</v>
      </c>
      <c r="J794" s="2089"/>
      <c r="K794" s="2093">
        <v>55224</v>
      </c>
      <c r="L794" s="2089" t="s">
        <v>251</v>
      </c>
      <c r="M794" s="2088">
        <v>44525</v>
      </c>
      <c r="N794" s="2088">
        <v>44566</v>
      </c>
      <c r="O794" s="2089"/>
      <c r="P794" s="2091"/>
      <c r="Q794" s="2089"/>
      <c r="R794" s="2093"/>
      <c r="S794" s="2093"/>
      <c r="T794" s="2095"/>
      <c r="U794" s="2095"/>
      <c r="V794" s="2095"/>
      <c r="W794" s="2093"/>
      <c r="X794" s="2093"/>
      <c r="Y794" s="2089"/>
      <c r="Z794" s="2089"/>
      <c r="AA794" s="2089"/>
      <c r="AB794" s="2089"/>
      <c r="AC794" s="2089"/>
    </row>
    <row r="795" spans="1:29" ht="15.75" thickTop="1">
      <c r="A795" s="2304" t="s">
        <v>3585</v>
      </c>
      <c r="B795" s="2304" t="s">
        <v>10384</v>
      </c>
      <c r="C795" s="2304" t="s">
        <v>58</v>
      </c>
      <c r="D795" s="2304" t="s">
        <v>4969</v>
      </c>
      <c r="E795" s="2403" t="s">
        <v>10385</v>
      </c>
      <c r="F795" s="2304"/>
      <c r="G795" s="2404"/>
      <c r="H795" s="2304"/>
      <c r="I795" s="2304" t="s">
        <v>2920</v>
      </c>
      <c r="J795" s="2304"/>
      <c r="K795" s="2405">
        <v>360000</v>
      </c>
      <c r="L795" s="2304" t="s">
        <v>112</v>
      </c>
      <c r="M795" s="2304"/>
      <c r="N795" s="2304"/>
      <c r="O795" s="2304"/>
      <c r="P795" s="2404"/>
      <c r="Q795" s="2304"/>
      <c r="R795" s="2405"/>
      <c r="S795" s="2405"/>
      <c r="T795" s="2305"/>
      <c r="U795" s="2305"/>
      <c r="V795" s="2305"/>
      <c r="W795" s="2405"/>
      <c r="X795" s="2405"/>
      <c r="Y795" s="2304"/>
      <c r="Z795" s="2304"/>
      <c r="AA795" s="2304"/>
      <c r="AB795" s="2304"/>
      <c r="AC795" s="2304"/>
    </row>
    <row r="796" spans="1:29">
      <c r="A796" s="2344">
        <v>44453</v>
      </c>
      <c r="B796" s="2105" t="s">
        <v>10388</v>
      </c>
      <c r="C796" s="2105" t="s">
        <v>6561</v>
      </c>
      <c r="D796" s="2105" t="s">
        <v>4864</v>
      </c>
      <c r="E796" s="2345" t="s">
        <v>10390</v>
      </c>
      <c r="F796" s="2105"/>
      <c r="G796" s="2346"/>
      <c r="H796" s="2105"/>
      <c r="I796" s="2105" t="s">
        <v>10389</v>
      </c>
      <c r="J796" s="2105"/>
      <c r="K796" s="2347">
        <v>4000000</v>
      </c>
      <c r="L796" s="2105" t="s">
        <v>251</v>
      </c>
      <c r="M796" s="2105"/>
      <c r="N796" s="2105"/>
      <c r="O796" s="2105"/>
      <c r="P796" s="2346"/>
      <c r="Q796" s="2105"/>
      <c r="R796" s="2347"/>
      <c r="S796" s="2347"/>
      <c r="T796" s="2348"/>
      <c r="U796" s="2348"/>
      <c r="V796" s="2348"/>
      <c r="W796" s="2347"/>
      <c r="X796" s="2347"/>
      <c r="Y796" s="2105"/>
      <c r="Z796" s="2105"/>
      <c r="AA796" s="2105"/>
      <c r="AB796" s="2105"/>
      <c r="AC796" s="2105"/>
    </row>
    <row r="797" spans="1:29">
      <c r="A797" s="2153">
        <v>44519</v>
      </c>
      <c r="B797" s="2154" t="s">
        <v>10392</v>
      </c>
      <c r="C797" s="2154" t="s">
        <v>14</v>
      </c>
      <c r="D797" s="2154" t="s">
        <v>13</v>
      </c>
      <c r="E797" s="2155" t="s">
        <v>10393</v>
      </c>
      <c r="F797" s="2154"/>
      <c r="G797" s="2156"/>
      <c r="H797" s="2085"/>
      <c r="I797" s="2154" t="s">
        <v>848</v>
      </c>
      <c r="J797" s="2154" t="s">
        <v>10394</v>
      </c>
      <c r="K797" s="2157">
        <v>1470000</v>
      </c>
      <c r="L797" s="2154" t="s">
        <v>112</v>
      </c>
      <c r="M797" s="2153">
        <v>44529</v>
      </c>
      <c r="N797" s="2153">
        <v>44538</v>
      </c>
      <c r="O797" s="2153">
        <v>44546</v>
      </c>
      <c r="P797" s="2156" t="s">
        <v>1990</v>
      </c>
      <c r="Q797" s="2154"/>
      <c r="R797" s="2157">
        <v>1336800</v>
      </c>
      <c r="S797" s="2157">
        <v>1617528</v>
      </c>
      <c r="T797" s="2094"/>
      <c r="U797" s="2094"/>
      <c r="V797" s="2094"/>
      <c r="W797" s="2160">
        <v>44547</v>
      </c>
      <c r="X797" s="2157" t="s">
        <v>10607</v>
      </c>
      <c r="Y797" s="2154"/>
      <c r="Z797" s="2154"/>
      <c r="AA797" s="2154"/>
      <c r="AB797" s="2154"/>
      <c r="AC797" s="2154"/>
    </row>
    <row r="798" spans="1:29">
      <c r="A798" s="2153">
        <v>44524</v>
      </c>
      <c r="B798" s="2154" t="s">
        <v>10468</v>
      </c>
      <c r="C798" s="2154" t="s">
        <v>2111</v>
      </c>
      <c r="D798" s="2154" t="s">
        <v>9080</v>
      </c>
      <c r="E798" s="2155" t="s">
        <v>7696</v>
      </c>
      <c r="F798" s="2154"/>
      <c r="G798" s="2156"/>
      <c r="H798" s="2085"/>
      <c r="I798" s="2154" t="s">
        <v>7697</v>
      </c>
      <c r="J798" s="2154"/>
      <c r="K798" s="2157">
        <v>780000</v>
      </c>
      <c r="L798" s="2154" t="s">
        <v>112</v>
      </c>
      <c r="M798" s="2153">
        <v>44532</v>
      </c>
      <c r="N798" s="2153">
        <v>44538</v>
      </c>
      <c r="O798" s="2153">
        <v>44545</v>
      </c>
      <c r="P798" s="2156" t="s">
        <v>10569</v>
      </c>
      <c r="Q798" s="2154"/>
      <c r="R798" s="2157">
        <v>509400</v>
      </c>
      <c r="S798" s="2157">
        <v>616374</v>
      </c>
      <c r="T798" s="2094"/>
      <c r="U798" s="2094"/>
      <c r="V798" s="2094"/>
      <c r="W798" s="2160">
        <v>44545</v>
      </c>
      <c r="X798" s="2157" t="s">
        <v>10570</v>
      </c>
      <c r="Y798" s="2154"/>
      <c r="Z798" s="2154"/>
      <c r="AA798" s="2154"/>
      <c r="AB798" s="2154"/>
      <c r="AC798" s="2154"/>
    </row>
    <row r="799" spans="1:29">
      <c r="A799" s="2153">
        <v>44512</v>
      </c>
      <c r="B799" s="2154" t="s">
        <v>10406</v>
      </c>
      <c r="C799" s="2154" t="s">
        <v>4997</v>
      </c>
      <c r="D799" s="2154" t="s">
        <v>7475</v>
      </c>
      <c r="E799" s="2155" t="s">
        <v>10407</v>
      </c>
      <c r="F799" s="2154"/>
      <c r="G799" s="2156"/>
      <c r="H799" s="2085"/>
      <c r="I799" s="2154" t="s">
        <v>1676</v>
      </c>
      <c r="J799" s="2154"/>
      <c r="K799" s="2157">
        <v>350000</v>
      </c>
      <c r="L799" s="2154" t="s">
        <v>112</v>
      </c>
      <c r="M799" s="2153">
        <v>44526</v>
      </c>
      <c r="N799" s="2153">
        <v>44536</v>
      </c>
      <c r="O799" s="2153">
        <v>44546</v>
      </c>
      <c r="P799" s="2156" t="s">
        <v>8953</v>
      </c>
      <c r="Q799" s="2154"/>
      <c r="R799" s="2157">
        <v>322050.71000000002</v>
      </c>
      <c r="S799" s="2157">
        <v>389681.36</v>
      </c>
      <c r="T799" s="2094"/>
      <c r="U799" s="2094"/>
      <c r="V799" s="2094"/>
      <c r="W799" s="2160">
        <v>44546</v>
      </c>
      <c r="X799" s="2157" t="s">
        <v>10594</v>
      </c>
      <c r="Y799" s="2154"/>
      <c r="Z799" s="2154"/>
      <c r="AA799" s="2154"/>
      <c r="AB799" s="2154"/>
      <c r="AC799" s="2154"/>
    </row>
    <row r="800" spans="1:29" ht="15.75" thickBot="1">
      <c r="A800" s="464">
        <v>44475</v>
      </c>
      <c r="B800" s="406" t="s">
        <v>10411</v>
      </c>
      <c r="C800" s="406" t="s">
        <v>58</v>
      </c>
      <c r="D800" s="406" t="s">
        <v>4969</v>
      </c>
      <c r="E800" s="462" t="s">
        <v>10412</v>
      </c>
      <c r="F800" s="406"/>
      <c r="G800" s="1425"/>
      <c r="H800" s="1437"/>
      <c r="I800" s="406" t="s">
        <v>9541</v>
      </c>
      <c r="J800" s="406" t="s">
        <v>10413</v>
      </c>
      <c r="K800" s="465">
        <v>59000</v>
      </c>
      <c r="L800" s="406" t="s">
        <v>112</v>
      </c>
      <c r="M800" s="464">
        <v>44530</v>
      </c>
      <c r="N800" s="464">
        <v>44540</v>
      </c>
      <c r="O800" s="464">
        <v>44546</v>
      </c>
      <c r="P800" s="1425" t="s">
        <v>10552</v>
      </c>
      <c r="Q800" s="406"/>
      <c r="R800" s="465">
        <v>58970</v>
      </c>
      <c r="S800" s="465">
        <v>71357.7</v>
      </c>
      <c r="T800" s="1490"/>
      <c r="U800" s="1490"/>
      <c r="V800" s="1490"/>
      <c r="W800" s="1809">
        <v>44546</v>
      </c>
      <c r="X800" s="465" t="s">
        <v>10598</v>
      </c>
      <c r="Y800" s="406"/>
      <c r="Z800" s="406"/>
      <c r="AA800" s="406"/>
      <c r="AB800" s="406"/>
      <c r="AC800" s="406"/>
    </row>
    <row r="801" spans="1:29" ht="15.75" thickTop="1">
      <c r="A801" s="1640">
        <v>44524</v>
      </c>
      <c r="B801" s="1642" t="s">
        <v>10416</v>
      </c>
      <c r="C801" s="1642" t="s">
        <v>9694</v>
      </c>
      <c r="D801" s="1642" t="s">
        <v>4969</v>
      </c>
      <c r="E801" s="1643" t="s">
        <v>10585</v>
      </c>
      <c r="F801" s="1642">
        <v>1</v>
      </c>
      <c r="G801" s="1644" t="s">
        <v>9370</v>
      </c>
      <c r="H801" s="1642"/>
      <c r="I801" s="1642" t="s">
        <v>10417</v>
      </c>
      <c r="J801" s="1642" t="s">
        <v>10418</v>
      </c>
      <c r="K801" s="1645">
        <v>1786211</v>
      </c>
      <c r="L801" s="1642" t="s">
        <v>251</v>
      </c>
      <c r="M801" s="1642"/>
      <c r="N801" s="1642"/>
      <c r="O801" s="1642"/>
      <c r="P801" s="1708" t="s">
        <v>10640</v>
      </c>
      <c r="Q801" s="1646" t="s">
        <v>10643</v>
      </c>
      <c r="R801" s="1645"/>
      <c r="S801" s="1645"/>
      <c r="T801" s="1647"/>
      <c r="U801" s="1647"/>
      <c r="V801" s="1647"/>
      <c r="W801" s="1645"/>
      <c r="X801" s="1645"/>
      <c r="Y801" s="1642"/>
      <c r="Z801" s="1642"/>
      <c r="AA801" s="1642"/>
      <c r="AB801" s="1642"/>
      <c r="AC801" s="1642"/>
    </row>
    <row r="802" spans="1:29">
      <c r="A802" s="2349">
        <v>44524</v>
      </c>
      <c r="B802" s="2350" t="s">
        <v>10416</v>
      </c>
      <c r="C802" s="2350" t="s">
        <v>9694</v>
      </c>
      <c r="D802" s="2350" t="s">
        <v>4969</v>
      </c>
      <c r="E802" s="2351" t="s">
        <v>10585</v>
      </c>
      <c r="F802" s="2350">
        <v>2</v>
      </c>
      <c r="G802" s="2352" t="s">
        <v>10419</v>
      </c>
      <c r="H802" s="2350"/>
      <c r="I802" s="2350" t="s">
        <v>10417</v>
      </c>
      <c r="J802" s="2350"/>
      <c r="K802" s="2353">
        <v>102536</v>
      </c>
      <c r="L802" s="2350" t="s">
        <v>251</v>
      </c>
      <c r="M802" s="2350"/>
      <c r="N802" s="2350"/>
      <c r="O802" s="2350"/>
      <c r="P802" s="2354" t="s">
        <v>10640</v>
      </c>
      <c r="Q802" s="2473" t="s">
        <v>10643</v>
      </c>
      <c r="R802" s="2353"/>
      <c r="S802" s="2353"/>
      <c r="T802" s="2355"/>
      <c r="U802" s="2355"/>
      <c r="V802" s="2355"/>
      <c r="W802" s="2353"/>
      <c r="X802" s="2353"/>
      <c r="Y802" s="2350"/>
      <c r="Z802" s="2350"/>
      <c r="AA802" s="2350"/>
      <c r="AB802" s="2350"/>
      <c r="AC802" s="2350"/>
    </row>
    <row r="803" spans="1:29" ht="15.75" thickBot="1">
      <c r="A803" s="2466">
        <v>44524</v>
      </c>
      <c r="B803" s="2467" t="s">
        <v>10416</v>
      </c>
      <c r="C803" s="2467" t="s">
        <v>9694</v>
      </c>
      <c r="D803" s="2467" t="s">
        <v>4969</v>
      </c>
      <c r="E803" s="2468" t="s">
        <v>10585</v>
      </c>
      <c r="F803" s="2467">
        <v>3</v>
      </c>
      <c r="G803" s="2469" t="s">
        <v>10420</v>
      </c>
      <c r="H803" s="2467"/>
      <c r="I803" s="2467" t="s">
        <v>10417</v>
      </c>
      <c r="J803" s="2467"/>
      <c r="K803" s="2470">
        <v>195162</v>
      </c>
      <c r="L803" s="2467" t="s">
        <v>251</v>
      </c>
      <c r="M803" s="2467"/>
      <c r="N803" s="2467"/>
      <c r="O803" s="2467"/>
      <c r="P803" s="2472" t="s">
        <v>10640</v>
      </c>
      <c r="Q803" s="2474" t="s">
        <v>10643</v>
      </c>
      <c r="R803" s="2470"/>
      <c r="S803" s="2470"/>
      <c r="T803" s="2471"/>
      <c r="U803" s="2471"/>
      <c r="V803" s="2471"/>
      <c r="W803" s="2470"/>
      <c r="X803" s="2470"/>
      <c r="Y803" s="2467"/>
      <c r="Z803" s="2467"/>
      <c r="AA803" s="2467"/>
      <c r="AB803" s="2467"/>
      <c r="AC803" s="2467"/>
    </row>
    <row r="804" spans="1:29" ht="30.75" thickTop="1">
      <c r="A804" s="423" t="s">
        <v>3585</v>
      </c>
      <c r="B804" s="423" t="s">
        <v>10421</v>
      </c>
      <c r="C804" s="423" t="s">
        <v>2434</v>
      </c>
      <c r="D804" s="423" t="s">
        <v>3204</v>
      </c>
      <c r="E804" s="837" t="s">
        <v>10422</v>
      </c>
      <c r="F804" s="423"/>
      <c r="G804" s="1422"/>
      <c r="H804" s="576"/>
      <c r="I804" s="423" t="s">
        <v>642</v>
      </c>
      <c r="J804" s="423"/>
      <c r="K804" s="841">
        <v>335440</v>
      </c>
      <c r="L804" s="423" t="s">
        <v>112</v>
      </c>
      <c r="M804" s="840">
        <v>44536</v>
      </c>
      <c r="N804" s="840">
        <v>44543</v>
      </c>
      <c r="O804" s="840">
        <v>44546</v>
      </c>
      <c r="P804" s="1422" t="s">
        <v>3332</v>
      </c>
      <c r="Q804" s="423"/>
      <c r="R804" s="841">
        <v>365897.6</v>
      </c>
      <c r="S804" s="841">
        <v>442736.1</v>
      </c>
      <c r="T804" s="1489"/>
      <c r="U804" s="1489"/>
      <c r="V804" s="1489"/>
      <c r="W804" s="1392">
        <v>44547</v>
      </c>
      <c r="X804" s="1796" t="s">
        <v>10608</v>
      </c>
      <c r="Y804" s="423"/>
      <c r="Z804" s="423"/>
      <c r="AA804" s="423"/>
      <c r="AB804" s="423"/>
      <c r="AC804" s="423"/>
    </row>
    <row r="805" spans="1:29">
      <c r="A805" s="2153">
        <v>44525</v>
      </c>
      <c r="B805" s="2154" t="s">
        <v>10426</v>
      </c>
      <c r="C805" s="2154" t="s">
        <v>52</v>
      </c>
      <c r="D805" s="2154" t="s">
        <v>5894</v>
      </c>
      <c r="E805" s="2155" t="s">
        <v>10427</v>
      </c>
      <c r="F805" s="2154"/>
      <c r="G805" s="2156"/>
      <c r="H805" s="2085"/>
      <c r="I805" s="2154" t="s">
        <v>10428</v>
      </c>
      <c r="J805" s="2154" t="s">
        <v>9196</v>
      </c>
      <c r="K805" s="2157">
        <v>35000000</v>
      </c>
      <c r="L805" s="2154" t="s">
        <v>216</v>
      </c>
      <c r="M805" s="2153">
        <v>44530</v>
      </c>
      <c r="N805" s="2153">
        <v>44547</v>
      </c>
      <c r="O805" s="2154"/>
      <c r="P805" s="2156"/>
      <c r="Q805" s="2154"/>
      <c r="R805" s="2157"/>
      <c r="S805" s="2157"/>
      <c r="T805" s="2094"/>
      <c r="U805" s="2094"/>
      <c r="V805" s="2094"/>
      <c r="W805" s="2157"/>
      <c r="X805" s="2157"/>
      <c r="Y805" s="2154"/>
      <c r="Z805" s="2154"/>
      <c r="AA805" s="2154"/>
      <c r="AB805" s="2154"/>
      <c r="AC805" s="2154"/>
    </row>
    <row r="806" spans="1:29" ht="15.75" thickBot="1">
      <c r="A806" s="464">
        <v>44525</v>
      </c>
      <c r="B806" s="406" t="s">
        <v>10431</v>
      </c>
      <c r="C806" s="406" t="s">
        <v>2111</v>
      </c>
      <c r="D806" s="406" t="s">
        <v>9080</v>
      </c>
      <c r="E806" s="462" t="s">
        <v>10432</v>
      </c>
      <c r="F806" s="406"/>
      <c r="G806" s="1425"/>
      <c r="H806" s="1437"/>
      <c r="I806" s="406" t="s">
        <v>2113</v>
      </c>
      <c r="J806" s="406"/>
      <c r="K806" s="465">
        <v>1100000</v>
      </c>
      <c r="L806" s="406" t="s">
        <v>112</v>
      </c>
      <c r="M806" s="464">
        <v>44526</v>
      </c>
      <c r="N806" s="464">
        <v>44547</v>
      </c>
      <c r="O806" s="406"/>
      <c r="P806" s="1425"/>
      <c r="Q806" s="406"/>
      <c r="R806" s="465"/>
      <c r="S806" s="465"/>
      <c r="T806" s="1490"/>
      <c r="U806" s="1490"/>
      <c r="V806" s="1490"/>
      <c r="W806" s="465"/>
      <c r="X806" s="465"/>
      <c r="Y806" s="406"/>
      <c r="Z806" s="406"/>
      <c r="AA806" s="406"/>
      <c r="AB806" s="406"/>
      <c r="AC806" s="406"/>
    </row>
    <row r="807" spans="1:29" ht="15.75" thickTop="1">
      <c r="A807" s="1640">
        <v>44526</v>
      </c>
      <c r="B807" s="1642" t="s">
        <v>10433</v>
      </c>
      <c r="C807" s="1642" t="s">
        <v>58</v>
      </c>
      <c r="D807" s="1642" t="s">
        <v>2684</v>
      </c>
      <c r="E807" s="1643" t="s">
        <v>10434</v>
      </c>
      <c r="F807" s="1642">
        <v>1</v>
      </c>
      <c r="G807" s="1644" t="s">
        <v>10437</v>
      </c>
      <c r="H807" s="1642"/>
      <c r="I807" s="1642" t="s">
        <v>5760</v>
      </c>
      <c r="J807" s="1642" t="s">
        <v>10435</v>
      </c>
      <c r="K807" s="1645">
        <v>750000</v>
      </c>
      <c r="L807" s="1642" t="s">
        <v>251</v>
      </c>
      <c r="M807" s="1642"/>
      <c r="N807" s="1642"/>
      <c r="O807" s="1642"/>
      <c r="P807" s="1708" t="s">
        <v>10640</v>
      </c>
      <c r="Q807" s="1646" t="s">
        <v>10644</v>
      </c>
      <c r="R807" s="1645"/>
      <c r="S807" s="1645"/>
      <c r="T807" s="1647"/>
      <c r="U807" s="1647"/>
      <c r="V807" s="1647"/>
      <c r="W807" s="1645"/>
      <c r="X807" s="1645"/>
      <c r="Y807" s="1642"/>
      <c r="Z807" s="1642"/>
      <c r="AA807" s="1642"/>
      <c r="AB807" s="1642"/>
      <c r="AC807" s="1642"/>
    </row>
    <row r="808" spans="1:29" ht="15.75" thickBot="1">
      <c r="A808" s="2466">
        <v>44526</v>
      </c>
      <c r="B808" s="2467" t="s">
        <v>10433</v>
      </c>
      <c r="C808" s="2467" t="s">
        <v>58</v>
      </c>
      <c r="D808" s="2467" t="s">
        <v>2684</v>
      </c>
      <c r="E808" s="2468" t="s">
        <v>10434</v>
      </c>
      <c r="F808" s="2467">
        <v>2</v>
      </c>
      <c r="G808" s="2469" t="s">
        <v>10438</v>
      </c>
      <c r="H808" s="2467"/>
      <c r="I808" s="2467" t="s">
        <v>5760</v>
      </c>
      <c r="J808" s="2467" t="s">
        <v>10436</v>
      </c>
      <c r="K808" s="2470">
        <v>850000</v>
      </c>
      <c r="L808" s="2467" t="s">
        <v>251</v>
      </c>
      <c r="M808" s="2467"/>
      <c r="N808" s="2467"/>
      <c r="O808" s="2467"/>
      <c r="P808" s="2472" t="s">
        <v>10640</v>
      </c>
      <c r="Q808" s="2474" t="s">
        <v>10644</v>
      </c>
      <c r="R808" s="2470"/>
      <c r="S808" s="2470"/>
      <c r="T808" s="2471"/>
      <c r="U808" s="2471"/>
      <c r="V808" s="2471"/>
      <c r="W808" s="2470"/>
      <c r="X808" s="2470"/>
      <c r="Y808" s="2467"/>
      <c r="Z808" s="2467"/>
      <c r="AA808" s="2467"/>
      <c r="AB808" s="2467"/>
      <c r="AC808" s="2467"/>
    </row>
    <row r="809" spans="1:29" ht="16.5" thickTop="1" thickBot="1">
      <c r="A809" s="1730">
        <v>44516</v>
      </c>
      <c r="B809" s="1550" t="s">
        <v>10469</v>
      </c>
      <c r="C809" s="1550" t="s">
        <v>2434</v>
      </c>
      <c r="D809" s="1550" t="s">
        <v>3204</v>
      </c>
      <c r="E809" s="1732" t="s">
        <v>10470</v>
      </c>
      <c r="F809" s="1550"/>
      <c r="G809" s="1733"/>
      <c r="H809" s="1550"/>
      <c r="I809" s="1550" t="s">
        <v>642</v>
      </c>
      <c r="J809" s="1550"/>
      <c r="K809" s="1734">
        <v>5986475</v>
      </c>
      <c r="L809" s="1550" t="s">
        <v>251</v>
      </c>
      <c r="M809" s="1730">
        <v>44532</v>
      </c>
      <c r="N809" s="1730">
        <v>44565</v>
      </c>
      <c r="O809" s="1550"/>
      <c r="P809" s="1733"/>
      <c r="Q809" s="1550"/>
      <c r="R809" s="1734"/>
      <c r="S809" s="1734"/>
      <c r="T809" s="1537"/>
      <c r="U809" s="1537"/>
      <c r="V809" s="1537"/>
      <c r="W809" s="1734"/>
      <c r="X809" s="1734"/>
      <c r="Y809" s="1550"/>
      <c r="Z809" s="1550"/>
      <c r="AA809" s="1550"/>
      <c r="AB809" s="1550"/>
      <c r="AC809" s="1550"/>
    </row>
    <row r="810" spans="1:29" ht="15.75" thickTop="1">
      <c r="A810" s="2306">
        <v>44524</v>
      </c>
      <c r="B810" s="824" t="s">
        <v>10443</v>
      </c>
      <c r="C810" s="824" t="s">
        <v>69</v>
      </c>
      <c r="D810" s="824" t="s">
        <v>70</v>
      </c>
      <c r="E810" s="825" t="s">
        <v>12757</v>
      </c>
      <c r="F810" s="824">
        <v>1</v>
      </c>
      <c r="G810" s="1565" t="s">
        <v>10444</v>
      </c>
      <c r="H810" s="824"/>
      <c r="I810" s="824" t="s">
        <v>7790</v>
      </c>
      <c r="J810" s="824"/>
      <c r="K810" s="828">
        <v>10941317</v>
      </c>
      <c r="L810" s="824" t="s">
        <v>251</v>
      </c>
      <c r="M810" s="824"/>
      <c r="N810" s="824"/>
      <c r="O810" s="824"/>
      <c r="P810" s="1565"/>
      <c r="Q810" s="824"/>
      <c r="R810" s="828"/>
      <c r="S810" s="828"/>
      <c r="T810" s="1486"/>
      <c r="U810" s="1486"/>
      <c r="V810" s="1486"/>
      <c r="W810" s="828"/>
      <c r="X810" s="828"/>
      <c r="Y810" s="824"/>
      <c r="Z810" s="824"/>
      <c r="AA810" s="824"/>
      <c r="AB810" s="824"/>
      <c r="AC810" s="824"/>
    </row>
    <row r="811" spans="1:29">
      <c r="A811" s="1602">
        <v>44524</v>
      </c>
      <c r="B811" s="817" t="s">
        <v>10443</v>
      </c>
      <c r="C811" s="817" t="s">
        <v>69</v>
      </c>
      <c r="D811" s="817" t="s">
        <v>70</v>
      </c>
      <c r="E811" s="818" t="s">
        <v>12757</v>
      </c>
      <c r="F811" s="817">
        <v>2</v>
      </c>
      <c r="G811" s="2346" t="s">
        <v>10445</v>
      </c>
      <c r="H811" s="2105"/>
      <c r="I811" s="2105" t="s">
        <v>7790</v>
      </c>
      <c r="J811" s="2105"/>
      <c r="K811" s="2347">
        <v>901115</v>
      </c>
      <c r="L811" s="2105" t="s">
        <v>251</v>
      </c>
      <c r="M811" s="2105"/>
      <c r="N811" s="2105"/>
      <c r="O811" s="2105"/>
      <c r="P811" s="2346"/>
      <c r="Q811" s="2105"/>
      <c r="R811" s="2347"/>
      <c r="S811" s="2347"/>
      <c r="T811" s="2348"/>
      <c r="U811" s="2348"/>
      <c r="V811" s="2348"/>
      <c r="W811" s="2347"/>
      <c r="X811" s="2347"/>
      <c r="Y811" s="2105"/>
      <c r="Z811" s="2105"/>
      <c r="AA811" s="2105"/>
      <c r="AB811" s="2105"/>
      <c r="AC811" s="2105"/>
    </row>
    <row r="812" spans="1:29" ht="15.75" thickBot="1">
      <c r="A812" s="2422">
        <v>44524</v>
      </c>
      <c r="B812" s="2423" t="s">
        <v>10443</v>
      </c>
      <c r="C812" s="2423" t="s">
        <v>69</v>
      </c>
      <c r="D812" s="2423" t="s">
        <v>70</v>
      </c>
      <c r="E812" s="2424" t="s">
        <v>12757</v>
      </c>
      <c r="F812" s="2423">
        <v>3</v>
      </c>
      <c r="G812" s="2309" t="s">
        <v>10446</v>
      </c>
      <c r="H812" s="2107"/>
      <c r="I812" s="2107" t="s">
        <v>7790</v>
      </c>
      <c r="J812" s="2107"/>
      <c r="K812" s="2310">
        <v>15078150</v>
      </c>
      <c r="L812" s="2107" t="s">
        <v>251</v>
      </c>
      <c r="M812" s="2107"/>
      <c r="N812" s="2107"/>
      <c r="O812" s="2107"/>
      <c r="P812" s="2309"/>
      <c r="Q812" s="2107"/>
      <c r="R812" s="2310"/>
      <c r="S812" s="2310"/>
      <c r="T812" s="2311"/>
      <c r="U812" s="2311"/>
      <c r="V812" s="2311"/>
      <c r="W812" s="2310"/>
      <c r="X812" s="2310"/>
      <c r="Y812" s="2107"/>
      <c r="Z812" s="2107"/>
      <c r="AA812" s="2107"/>
      <c r="AB812" s="2107"/>
      <c r="AC812" s="2107"/>
    </row>
    <row r="813" spans="1:29" ht="15.75" thickTop="1">
      <c r="A813" s="587">
        <v>44524</v>
      </c>
      <c r="B813" s="583" t="s">
        <v>10447</v>
      </c>
      <c r="C813" s="583" t="s">
        <v>69</v>
      </c>
      <c r="D813" s="583" t="s">
        <v>70</v>
      </c>
      <c r="E813" s="584" t="s">
        <v>10448</v>
      </c>
      <c r="F813" s="583">
        <v>1</v>
      </c>
      <c r="G813" s="1427" t="s">
        <v>10449</v>
      </c>
      <c r="H813" s="583"/>
      <c r="I813" s="583" t="s">
        <v>93</v>
      </c>
      <c r="J813" s="583"/>
      <c r="K813" s="588">
        <v>2227932</v>
      </c>
      <c r="L813" s="583" t="s">
        <v>251</v>
      </c>
      <c r="M813" s="587">
        <v>44536</v>
      </c>
      <c r="N813" s="587">
        <v>44581</v>
      </c>
      <c r="O813" s="583"/>
      <c r="P813" s="1427"/>
      <c r="Q813" s="583"/>
      <c r="R813" s="588"/>
      <c r="S813" s="588"/>
      <c r="T813" s="1483"/>
      <c r="U813" s="1483"/>
      <c r="V813" s="1483"/>
      <c r="W813" s="588"/>
      <c r="X813" s="588"/>
      <c r="Y813" s="583"/>
      <c r="Z813" s="583"/>
      <c r="AA813" s="583"/>
      <c r="AB813" s="583"/>
      <c r="AC813" s="583"/>
    </row>
    <row r="814" spans="1:29">
      <c r="A814" s="2084">
        <v>44524</v>
      </c>
      <c r="B814" s="2085" t="s">
        <v>10447</v>
      </c>
      <c r="C814" s="2085" t="s">
        <v>69</v>
      </c>
      <c r="D814" s="2085" t="s">
        <v>70</v>
      </c>
      <c r="E814" s="2086" t="s">
        <v>10448</v>
      </c>
      <c r="F814" s="2085">
        <v>2</v>
      </c>
      <c r="G814" s="2087" t="s">
        <v>10450</v>
      </c>
      <c r="H814" s="2085"/>
      <c r="I814" s="2085" t="s">
        <v>93</v>
      </c>
      <c r="J814" s="2085"/>
      <c r="K814" s="2092">
        <v>8217507</v>
      </c>
      <c r="L814" s="2085" t="s">
        <v>251</v>
      </c>
      <c r="M814" s="2084">
        <v>44536</v>
      </c>
      <c r="N814" s="2084">
        <v>44581</v>
      </c>
      <c r="O814" s="2085"/>
      <c r="P814" s="2087"/>
      <c r="Q814" s="2085"/>
      <c r="R814" s="2092"/>
      <c r="S814" s="2092"/>
      <c r="T814" s="2094"/>
      <c r="U814" s="2094"/>
      <c r="V814" s="2094"/>
      <c r="W814" s="2092"/>
      <c r="X814" s="2092"/>
      <c r="Y814" s="2085"/>
      <c r="Z814" s="2085"/>
      <c r="AA814" s="2085"/>
      <c r="AB814" s="2085"/>
      <c r="AC814" s="2085"/>
    </row>
    <row r="815" spans="1:29">
      <c r="A815" s="2084">
        <v>44524</v>
      </c>
      <c r="B815" s="2085" t="s">
        <v>10447</v>
      </c>
      <c r="C815" s="2085" t="s">
        <v>69</v>
      </c>
      <c r="D815" s="2085" t="s">
        <v>70</v>
      </c>
      <c r="E815" s="2086" t="s">
        <v>10448</v>
      </c>
      <c r="F815" s="2085">
        <v>3</v>
      </c>
      <c r="G815" s="2087" t="s">
        <v>10451</v>
      </c>
      <c r="H815" s="2085"/>
      <c r="I815" s="2085" t="s">
        <v>93</v>
      </c>
      <c r="J815" s="2085"/>
      <c r="K815" s="2092">
        <v>28045433</v>
      </c>
      <c r="L815" s="2085" t="s">
        <v>251</v>
      </c>
      <c r="M815" s="2084">
        <v>44536</v>
      </c>
      <c r="N815" s="2084">
        <v>44581</v>
      </c>
      <c r="O815" s="2085"/>
      <c r="P815" s="2087"/>
      <c r="Q815" s="2085"/>
      <c r="R815" s="2092"/>
      <c r="S815" s="2092"/>
      <c r="T815" s="2094"/>
      <c r="U815" s="2094"/>
      <c r="V815" s="2094"/>
      <c r="W815" s="2092"/>
      <c r="X815" s="2092"/>
      <c r="Y815" s="2085"/>
      <c r="Z815" s="2085"/>
      <c r="AA815" s="2085"/>
      <c r="AB815" s="2085"/>
      <c r="AC815" s="2085"/>
    </row>
    <row r="816" spans="1:29">
      <c r="A816" s="2084">
        <v>44524</v>
      </c>
      <c r="B816" s="2085" t="s">
        <v>10447</v>
      </c>
      <c r="C816" s="2085" t="s">
        <v>69</v>
      </c>
      <c r="D816" s="2085" t="s">
        <v>70</v>
      </c>
      <c r="E816" s="2086" t="s">
        <v>10448</v>
      </c>
      <c r="F816" s="2085">
        <v>4</v>
      </c>
      <c r="G816" s="2087" t="s">
        <v>10452</v>
      </c>
      <c r="H816" s="2085"/>
      <c r="I816" s="2085" t="s">
        <v>93</v>
      </c>
      <c r="J816" s="2085"/>
      <c r="K816" s="2092">
        <v>27775405</v>
      </c>
      <c r="L816" s="2085" t="s">
        <v>251</v>
      </c>
      <c r="M816" s="2084">
        <v>44536</v>
      </c>
      <c r="N816" s="2084">
        <v>44581</v>
      </c>
      <c r="O816" s="2085"/>
      <c r="P816" s="2087"/>
      <c r="Q816" s="2085"/>
      <c r="R816" s="2092"/>
      <c r="S816" s="2092"/>
      <c r="T816" s="2094"/>
      <c r="U816" s="2094"/>
      <c r="V816" s="2094"/>
      <c r="W816" s="2092"/>
      <c r="X816" s="2092"/>
      <c r="Y816" s="2085"/>
      <c r="Z816" s="2085"/>
      <c r="AA816" s="2085"/>
      <c r="AB816" s="2085"/>
      <c r="AC816" s="2085"/>
    </row>
    <row r="817" spans="1:29">
      <c r="A817" s="2084">
        <v>44524</v>
      </c>
      <c r="B817" s="2085" t="s">
        <v>10447</v>
      </c>
      <c r="C817" s="2085" t="s">
        <v>69</v>
      </c>
      <c r="D817" s="2085" t="s">
        <v>70</v>
      </c>
      <c r="E817" s="2086" t="s">
        <v>10448</v>
      </c>
      <c r="F817" s="2085">
        <v>5</v>
      </c>
      <c r="G817" s="2087" t="s">
        <v>10453</v>
      </c>
      <c r="H817" s="2085"/>
      <c r="I817" s="2085" t="s">
        <v>93</v>
      </c>
      <c r="J817" s="2085"/>
      <c r="K817" s="2092">
        <v>17089758</v>
      </c>
      <c r="L817" s="2085" t="s">
        <v>251</v>
      </c>
      <c r="M817" s="2084">
        <v>44536</v>
      </c>
      <c r="N817" s="2084">
        <v>44581</v>
      </c>
      <c r="O817" s="2085"/>
      <c r="P817" s="2087"/>
      <c r="Q817" s="2085"/>
      <c r="R817" s="2092"/>
      <c r="S817" s="2092"/>
      <c r="T817" s="2094"/>
      <c r="U817" s="2094"/>
      <c r="V817" s="2094"/>
      <c r="W817" s="2092"/>
      <c r="X817" s="2092"/>
      <c r="Y817" s="2085"/>
      <c r="Z817" s="2085"/>
      <c r="AA817" s="2085"/>
      <c r="AB817" s="2085"/>
      <c r="AC817" s="2085"/>
    </row>
    <row r="818" spans="1:29">
      <c r="A818" s="2084">
        <v>44524</v>
      </c>
      <c r="B818" s="2085" t="s">
        <v>10447</v>
      </c>
      <c r="C818" s="2085" t="s">
        <v>69</v>
      </c>
      <c r="D818" s="2085" t="s">
        <v>70</v>
      </c>
      <c r="E818" s="2086" t="s">
        <v>10448</v>
      </c>
      <c r="F818" s="2085">
        <v>6</v>
      </c>
      <c r="G818" s="2087" t="s">
        <v>10454</v>
      </c>
      <c r="H818" s="2085"/>
      <c r="I818" s="2085" t="s">
        <v>93</v>
      </c>
      <c r="J818" s="2085"/>
      <c r="K818" s="2092">
        <v>12126777</v>
      </c>
      <c r="L818" s="2085" t="s">
        <v>251</v>
      </c>
      <c r="M818" s="2084">
        <v>44536</v>
      </c>
      <c r="N818" s="2084">
        <v>44581</v>
      </c>
      <c r="O818" s="2085"/>
      <c r="P818" s="2087"/>
      <c r="Q818" s="2085"/>
      <c r="R818" s="2092"/>
      <c r="S818" s="2092"/>
      <c r="T818" s="2094"/>
      <c r="U818" s="2094"/>
      <c r="V818" s="2094"/>
      <c r="W818" s="2092"/>
      <c r="X818" s="2092"/>
      <c r="Y818" s="2085"/>
      <c r="Z818" s="2085"/>
      <c r="AA818" s="2085"/>
      <c r="AB818" s="2085"/>
      <c r="AC818" s="2085"/>
    </row>
    <row r="819" spans="1:29">
      <c r="A819" s="2084">
        <v>44524</v>
      </c>
      <c r="B819" s="2085" t="s">
        <v>10447</v>
      </c>
      <c r="C819" s="2085" t="s">
        <v>69</v>
      </c>
      <c r="D819" s="2085" t="s">
        <v>70</v>
      </c>
      <c r="E819" s="2086" t="s">
        <v>10448</v>
      </c>
      <c r="F819" s="2085">
        <v>7</v>
      </c>
      <c r="G819" s="2087" t="s">
        <v>10455</v>
      </c>
      <c r="H819" s="2085"/>
      <c r="I819" s="2085" t="s">
        <v>93</v>
      </c>
      <c r="J819" s="2085"/>
      <c r="K819" s="2092">
        <v>45734721</v>
      </c>
      <c r="L819" s="2085" t="s">
        <v>251</v>
      </c>
      <c r="M819" s="2084">
        <v>44536</v>
      </c>
      <c r="N819" s="2084">
        <v>44581</v>
      </c>
      <c r="O819" s="2085"/>
      <c r="P819" s="2087"/>
      <c r="Q819" s="2085"/>
      <c r="R819" s="2092"/>
      <c r="S819" s="2092"/>
      <c r="T819" s="2094"/>
      <c r="U819" s="2094"/>
      <c r="V819" s="2094"/>
      <c r="W819" s="2092"/>
      <c r="X819" s="2092"/>
      <c r="Y819" s="2085"/>
      <c r="Z819" s="2085"/>
      <c r="AA819" s="2085"/>
      <c r="AB819" s="2085"/>
      <c r="AC819" s="2085"/>
    </row>
    <row r="820" spans="1:29" ht="15.75" thickBot="1">
      <c r="A820" s="2088">
        <v>44524</v>
      </c>
      <c r="B820" s="2089" t="s">
        <v>10447</v>
      </c>
      <c r="C820" s="2089" t="s">
        <v>69</v>
      </c>
      <c r="D820" s="2089" t="s">
        <v>70</v>
      </c>
      <c r="E820" s="2090" t="s">
        <v>10448</v>
      </c>
      <c r="F820" s="2089">
        <v>8</v>
      </c>
      <c r="G820" s="2091" t="s">
        <v>10456</v>
      </c>
      <c r="H820" s="2089"/>
      <c r="I820" s="2089" t="s">
        <v>93</v>
      </c>
      <c r="J820" s="2089"/>
      <c r="K820" s="2093">
        <v>13490912</v>
      </c>
      <c r="L820" s="2089" t="s">
        <v>251</v>
      </c>
      <c r="M820" s="2088">
        <v>44536</v>
      </c>
      <c r="N820" s="2088">
        <v>44581</v>
      </c>
      <c r="O820" s="2089"/>
      <c r="P820" s="2091"/>
      <c r="Q820" s="2089"/>
      <c r="R820" s="2093"/>
      <c r="S820" s="2093"/>
      <c r="T820" s="2095"/>
      <c r="U820" s="2095"/>
      <c r="V820" s="2095"/>
      <c r="W820" s="2093"/>
      <c r="X820" s="2093"/>
      <c r="Y820" s="2089"/>
      <c r="Z820" s="2089"/>
      <c r="AA820" s="2089"/>
      <c r="AB820" s="2089"/>
      <c r="AC820" s="2089"/>
    </row>
    <row r="821" spans="1:29" ht="15.75" thickTop="1">
      <c r="A821" s="587">
        <v>44524</v>
      </c>
      <c r="B821" s="583" t="s">
        <v>10457</v>
      </c>
      <c r="C821" s="583" t="s">
        <v>69</v>
      </c>
      <c r="D821" s="583" t="s">
        <v>70</v>
      </c>
      <c r="E821" s="584" t="s">
        <v>10458</v>
      </c>
      <c r="F821" s="583">
        <v>1</v>
      </c>
      <c r="G821" s="1427" t="s">
        <v>10459</v>
      </c>
      <c r="H821" s="583"/>
      <c r="I821" s="583" t="s">
        <v>68</v>
      </c>
      <c r="J821" s="583"/>
      <c r="K821" s="588">
        <v>2605479</v>
      </c>
      <c r="L821" s="583" t="s">
        <v>251</v>
      </c>
      <c r="M821" s="587">
        <v>44532</v>
      </c>
      <c r="N821" s="587">
        <v>44578</v>
      </c>
      <c r="O821" s="583"/>
      <c r="P821" s="1427"/>
      <c r="Q821" s="583"/>
      <c r="R821" s="588"/>
      <c r="S821" s="588"/>
      <c r="T821" s="1483"/>
      <c r="U821" s="1483"/>
      <c r="V821" s="1483"/>
      <c r="W821" s="588"/>
      <c r="X821" s="588"/>
      <c r="Y821" s="583"/>
      <c r="Z821" s="583"/>
      <c r="AA821" s="583"/>
      <c r="AB821" s="583"/>
      <c r="AC821" s="583"/>
    </row>
    <row r="822" spans="1:29">
      <c r="A822" s="2084">
        <v>44524</v>
      </c>
      <c r="B822" s="2085" t="s">
        <v>10457</v>
      </c>
      <c r="C822" s="2085" t="s">
        <v>69</v>
      </c>
      <c r="D822" s="2085" t="s">
        <v>70</v>
      </c>
      <c r="E822" s="2086" t="s">
        <v>10458</v>
      </c>
      <c r="F822" s="2085">
        <v>2</v>
      </c>
      <c r="G822" s="2087" t="s">
        <v>10460</v>
      </c>
      <c r="H822" s="2085"/>
      <c r="I822" s="2085" t="s">
        <v>68</v>
      </c>
      <c r="J822" s="2085"/>
      <c r="K822" s="2092">
        <v>7299480</v>
      </c>
      <c r="L822" s="2085" t="s">
        <v>251</v>
      </c>
      <c r="M822" s="2084">
        <v>44532</v>
      </c>
      <c r="N822" s="2084">
        <v>44578</v>
      </c>
      <c r="O822" s="2085"/>
      <c r="P822" s="2087"/>
      <c r="Q822" s="2085"/>
      <c r="R822" s="2092"/>
      <c r="S822" s="2092"/>
      <c r="T822" s="2094"/>
      <c r="U822" s="2094"/>
      <c r="V822" s="2094"/>
      <c r="W822" s="2092"/>
      <c r="X822" s="2092"/>
      <c r="Y822" s="2085"/>
      <c r="Z822" s="2085"/>
      <c r="AA822" s="2085"/>
      <c r="AB822" s="2085"/>
      <c r="AC822" s="2085"/>
    </row>
    <row r="823" spans="1:29">
      <c r="A823" s="2084">
        <v>44524</v>
      </c>
      <c r="B823" s="2085" t="s">
        <v>10457</v>
      </c>
      <c r="C823" s="2085" t="s">
        <v>69</v>
      </c>
      <c r="D823" s="2085" t="s">
        <v>70</v>
      </c>
      <c r="E823" s="2086" t="s">
        <v>10458</v>
      </c>
      <c r="F823" s="2085">
        <v>3</v>
      </c>
      <c r="G823" s="2087" t="s">
        <v>10461</v>
      </c>
      <c r="H823" s="2085"/>
      <c r="I823" s="2085" t="s">
        <v>68</v>
      </c>
      <c r="J823" s="2085"/>
      <c r="K823" s="2092">
        <v>2022861</v>
      </c>
      <c r="L823" s="2085" t="s">
        <v>251</v>
      </c>
      <c r="M823" s="2084">
        <v>44532</v>
      </c>
      <c r="N823" s="2084">
        <v>44578</v>
      </c>
      <c r="O823" s="2085"/>
      <c r="P823" s="2087"/>
      <c r="Q823" s="2085"/>
      <c r="R823" s="2092"/>
      <c r="S823" s="2092"/>
      <c r="T823" s="2094"/>
      <c r="U823" s="2094"/>
      <c r="V823" s="2094"/>
      <c r="W823" s="2092"/>
      <c r="X823" s="2092"/>
      <c r="Y823" s="2085"/>
      <c r="Z823" s="2085"/>
      <c r="AA823" s="2085"/>
      <c r="AB823" s="2085"/>
      <c r="AC823" s="2085"/>
    </row>
    <row r="824" spans="1:29">
      <c r="A824" s="2084">
        <v>44524</v>
      </c>
      <c r="B824" s="2085" t="s">
        <v>10457</v>
      </c>
      <c r="C824" s="2085" t="s">
        <v>69</v>
      </c>
      <c r="D824" s="2085" t="s">
        <v>70</v>
      </c>
      <c r="E824" s="2086" t="s">
        <v>10458</v>
      </c>
      <c r="F824" s="2085">
        <v>4</v>
      </c>
      <c r="G824" s="2087" t="s">
        <v>10462</v>
      </c>
      <c r="H824" s="2085"/>
      <c r="I824" s="2085" t="s">
        <v>68</v>
      </c>
      <c r="J824" s="2085"/>
      <c r="K824" s="2092">
        <v>518517</v>
      </c>
      <c r="L824" s="2085" t="s">
        <v>251</v>
      </c>
      <c r="M824" s="2084">
        <v>44532</v>
      </c>
      <c r="N824" s="2084">
        <v>44578</v>
      </c>
      <c r="O824" s="2085"/>
      <c r="P824" s="2087"/>
      <c r="Q824" s="2085"/>
      <c r="R824" s="2092"/>
      <c r="S824" s="2092"/>
      <c r="T824" s="2094"/>
      <c r="U824" s="2094"/>
      <c r="V824" s="2094"/>
      <c r="W824" s="2092"/>
      <c r="X824" s="2092"/>
      <c r="Y824" s="2085"/>
      <c r="Z824" s="2085"/>
      <c r="AA824" s="2085"/>
      <c r="AB824" s="2085"/>
      <c r="AC824" s="2085"/>
    </row>
    <row r="825" spans="1:29" ht="15.75" thickBot="1">
      <c r="A825" s="2088">
        <v>44524</v>
      </c>
      <c r="B825" s="2089" t="s">
        <v>10457</v>
      </c>
      <c r="C825" s="2089" t="s">
        <v>69</v>
      </c>
      <c r="D825" s="2089" t="s">
        <v>70</v>
      </c>
      <c r="E825" s="2090" t="s">
        <v>10458</v>
      </c>
      <c r="F825" s="2089">
        <v>5</v>
      </c>
      <c r="G825" s="2091" t="s">
        <v>10463</v>
      </c>
      <c r="H825" s="2089"/>
      <c r="I825" s="2089" t="s">
        <v>68</v>
      </c>
      <c r="J825" s="2089"/>
      <c r="K825" s="2093">
        <v>55000062</v>
      </c>
      <c r="L825" s="2089" t="s">
        <v>251</v>
      </c>
      <c r="M825" s="2088">
        <v>44532</v>
      </c>
      <c r="N825" s="2088">
        <v>44578</v>
      </c>
      <c r="O825" s="2089"/>
      <c r="P825" s="2091"/>
      <c r="Q825" s="2089"/>
      <c r="R825" s="2093"/>
      <c r="S825" s="2093"/>
      <c r="T825" s="2095"/>
      <c r="U825" s="2095"/>
      <c r="V825" s="2095"/>
      <c r="W825" s="2093"/>
      <c r="X825" s="2093"/>
      <c r="Y825" s="2089"/>
      <c r="Z825" s="2089"/>
      <c r="AA825" s="2089"/>
      <c r="AB825" s="2089"/>
      <c r="AC825" s="2089"/>
    </row>
    <row r="826" spans="1:29" ht="15.75" thickTop="1">
      <c r="A826" s="428">
        <v>44533</v>
      </c>
      <c r="B826" s="425" t="s">
        <v>10531</v>
      </c>
      <c r="C826" s="425" t="s">
        <v>4997</v>
      </c>
      <c r="D826" s="425" t="s">
        <v>7475</v>
      </c>
      <c r="E826" s="426" t="s">
        <v>10530</v>
      </c>
      <c r="F826" s="425"/>
      <c r="G826" s="1371"/>
      <c r="H826" s="583"/>
      <c r="I826" s="425" t="s">
        <v>9928</v>
      </c>
      <c r="J826" s="425"/>
      <c r="K826" s="429">
        <v>500000</v>
      </c>
      <c r="L826" s="425" t="s">
        <v>112</v>
      </c>
      <c r="M826" s="428">
        <v>44544</v>
      </c>
      <c r="N826" s="428">
        <v>44559</v>
      </c>
      <c r="O826" s="425"/>
      <c r="P826" s="1371"/>
      <c r="Q826" s="425"/>
      <c r="R826" s="429"/>
      <c r="S826" s="429"/>
      <c r="T826" s="1483"/>
      <c r="U826" s="1483"/>
      <c r="V826" s="1483"/>
      <c r="W826" s="429"/>
      <c r="X826" s="429"/>
      <c r="Y826" s="425"/>
      <c r="Z826" s="425"/>
      <c r="AA826" s="425"/>
      <c r="AB826" s="425"/>
      <c r="AC826" s="425"/>
    </row>
    <row r="827" spans="1:29">
      <c r="A827" s="2349">
        <v>44526</v>
      </c>
      <c r="B827" s="2350" t="s">
        <v>10464</v>
      </c>
      <c r="C827" s="2350" t="s">
        <v>58</v>
      </c>
      <c r="D827" s="2350" t="s">
        <v>2684</v>
      </c>
      <c r="E827" s="2351" t="s">
        <v>10465</v>
      </c>
      <c r="F827" s="2350"/>
      <c r="G827" s="2352"/>
      <c r="H827" s="2350"/>
      <c r="I827" s="2350" t="s">
        <v>1159</v>
      </c>
      <c r="J827" s="2350" t="s">
        <v>10466</v>
      </c>
      <c r="K827" s="2353">
        <v>10200000</v>
      </c>
      <c r="L827" s="2350" t="s">
        <v>251</v>
      </c>
      <c r="M827" s="2350"/>
      <c r="N827" s="2350"/>
      <c r="O827" s="2350"/>
      <c r="P827" s="2354" t="s">
        <v>10640</v>
      </c>
      <c r="Q827" s="2473" t="s">
        <v>10641</v>
      </c>
      <c r="R827" s="2353"/>
      <c r="S827" s="2353"/>
      <c r="T827" s="2355"/>
      <c r="U827" s="2355"/>
      <c r="V827" s="2355"/>
      <c r="W827" s="2353"/>
      <c r="X827" s="2353"/>
      <c r="Y827" s="2350"/>
      <c r="Z827" s="2350"/>
      <c r="AA827" s="2350"/>
      <c r="AB827" s="2350"/>
      <c r="AC827" s="2350"/>
    </row>
    <row r="828" spans="1:29">
      <c r="A828" s="2153">
        <v>44525</v>
      </c>
      <c r="B828" s="2154" t="s">
        <v>10471</v>
      </c>
      <c r="C828" s="2154" t="s">
        <v>2434</v>
      </c>
      <c r="D828" s="2154" t="s">
        <v>219</v>
      </c>
      <c r="E828" s="2155" t="s">
        <v>10473</v>
      </c>
      <c r="F828" s="2154"/>
      <c r="G828" s="2156"/>
      <c r="H828" s="2085"/>
      <c r="I828" s="2154" t="s">
        <v>3271</v>
      </c>
      <c r="J828" s="2154"/>
      <c r="K828" s="2157">
        <v>2549860</v>
      </c>
      <c r="L828" s="2154" t="s">
        <v>216</v>
      </c>
      <c r="M828" s="2153">
        <v>44532</v>
      </c>
      <c r="N828" s="2153">
        <v>44557</v>
      </c>
      <c r="O828" s="2154"/>
      <c r="P828" s="2156"/>
      <c r="Q828" s="2154"/>
      <c r="R828" s="2157"/>
      <c r="S828" s="2157"/>
      <c r="T828" s="2094"/>
      <c r="U828" s="2094"/>
      <c r="V828" s="2094"/>
      <c r="W828" s="2157"/>
      <c r="X828" s="2157"/>
      <c r="Y828" s="2154"/>
      <c r="Z828" s="2154"/>
      <c r="AA828" s="2154"/>
      <c r="AB828" s="2154"/>
      <c r="AC828" s="2154"/>
    </row>
    <row r="829" spans="1:29">
      <c r="A829" s="2085" t="s">
        <v>3585</v>
      </c>
      <c r="B829" s="2085" t="s">
        <v>10474</v>
      </c>
      <c r="C829" s="2085" t="s">
        <v>69</v>
      </c>
      <c r="D829" s="2085" t="s">
        <v>70</v>
      </c>
      <c r="E829" s="2086" t="s">
        <v>10472</v>
      </c>
      <c r="F829" s="2085"/>
      <c r="G829" s="2087"/>
      <c r="H829" s="2085"/>
      <c r="I829" s="2085" t="s">
        <v>42</v>
      </c>
      <c r="J829" s="2085"/>
      <c r="K829" s="2092">
        <v>4650131</v>
      </c>
      <c r="L829" s="2085" t="s">
        <v>251</v>
      </c>
      <c r="M829" s="2084">
        <v>44537</v>
      </c>
      <c r="N829" s="2084">
        <v>44571</v>
      </c>
      <c r="O829" s="2085"/>
      <c r="P829" s="2087"/>
      <c r="Q829" s="2085"/>
      <c r="R829" s="2092"/>
      <c r="S829" s="2092"/>
      <c r="T829" s="2094"/>
      <c r="U829" s="2094"/>
      <c r="V829" s="2094"/>
      <c r="W829" s="2092"/>
      <c r="X829" s="2092"/>
      <c r="Y829" s="2085"/>
      <c r="Z829" s="2085"/>
      <c r="AA829" s="2085"/>
      <c r="AB829" s="2085"/>
      <c r="AC829" s="2085"/>
    </row>
    <row r="830" spans="1:29">
      <c r="A830" s="2084">
        <v>44529</v>
      </c>
      <c r="B830" s="2085" t="s">
        <v>10483</v>
      </c>
      <c r="C830" s="2085" t="s">
        <v>69</v>
      </c>
      <c r="D830" s="2085" t="s">
        <v>70</v>
      </c>
      <c r="E830" s="2086" t="s">
        <v>10484</v>
      </c>
      <c r="F830" s="2085"/>
      <c r="G830" s="2087"/>
      <c r="H830" s="2085"/>
      <c r="I830" s="2085" t="s">
        <v>72</v>
      </c>
      <c r="J830" s="2085"/>
      <c r="K830" s="2092">
        <v>32332000</v>
      </c>
      <c r="L830" s="2085" t="s">
        <v>645</v>
      </c>
      <c r="M830" s="2084">
        <v>44533</v>
      </c>
      <c r="N830" s="2084">
        <v>44566</v>
      </c>
      <c r="O830" s="2085"/>
      <c r="P830" s="2087"/>
      <c r="Q830" s="2085"/>
      <c r="R830" s="2092"/>
      <c r="S830" s="2092"/>
      <c r="T830" s="2094"/>
      <c r="U830" s="2094"/>
      <c r="V830" s="2094"/>
      <c r="W830" s="2092"/>
      <c r="X830" s="2092"/>
      <c r="Y830" s="2085"/>
      <c r="Z830" s="2085"/>
      <c r="AA830" s="2085"/>
      <c r="AB830" s="2085"/>
      <c r="AC830" s="2085"/>
    </row>
    <row r="831" spans="1:29" ht="15.75" thickBot="1">
      <c r="A831" s="1871">
        <v>44530</v>
      </c>
      <c r="B831" s="1437" t="s">
        <v>10477</v>
      </c>
      <c r="C831" s="1437" t="s">
        <v>69</v>
      </c>
      <c r="D831" s="1437" t="s">
        <v>70</v>
      </c>
      <c r="E831" s="1873" t="s">
        <v>10478</v>
      </c>
      <c r="F831" s="1437"/>
      <c r="G831" s="1875"/>
      <c r="H831" s="2085"/>
      <c r="I831" s="1437" t="s">
        <v>42</v>
      </c>
      <c r="J831" s="1437"/>
      <c r="K831" s="1874">
        <v>11814000</v>
      </c>
      <c r="L831" s="1437" t="s">
        <v>251</v>
      </c>
      <c r="M831" s="1871">
        <v>44547</v>
      </c>
      <c r="N831" s="1871">
        <v>44581</v>
      </c>
      <c r="O831" s="1437"/>
      <c r="P831" s="1875"/>
      <c r="Q831" s="1437"/>
      <c r="R831" s="1874"/>
      <c r="S831" s="1874"/>
      <c r="T831" s="2094"/>
      <c r="U831" s="2094"/>
      <c r="V831" s="2094"/>
      <c r="W831" s="1874"/>
      <c r="X831" s="1874"/>
      <c r="Y831" s="1437"/>
      <c r="Z831" s="1437"/>
      <c r="AA831" s="1437"/>
      <c r="AB831" s="1437"/>
      <c r="AC831" s="1437"/>
    </row>
    <row r="832" spans="1:29" ht="15.75" thickTop="1">
      <c r="A832" s="587">
        <v>44501</v>
      </c>
      <c r="B832" s="583" t="s">
        <v>10500</v>
      </c>
      <c r="C832" s="583" t="s">
        <v>2434</v>
      </c>
      <c r="D832" s="583" t="s">
        <v>219</v>
      </c>
      <c r="E832" s="584" t="s">
        <v>9598</v>
      </c>
      <c r="F832" s="583">
        <v>1</v>
      </c>
      <c r="G832" s="1427" t="s">
        <v>10501</v>
      </c>
      <c r="H832" s="2085"/>
      <c r="I832" s="583" t="s">
        <v>9602</v>
      </c>
      <c r="J832" s="583"/>
      <c r="K832" s="588">
        <v>1154583</v>
      </c>
      <c r="L832" s="583" t="s">
        <v>251</v>
      </c>
      <c r="M832" s="587">
        <v>44539</v>
      </c>
      <c r="N832" s="587">
        <v>44573</v>
      </c>
      <c r="O832" s="583"/>
      <c r="P832" s="1427"/>
      <c r="Q832" s="583"/>
      <c r="R832" s="588"/>
      <c r="S832" s="588"/>
      <c r="T832" s="2094"/>
      <c r="U832" s="2094"/>
      <c r="V832" s="2094"/>
      <c r="W832" s="588"/>
      <c r="X832" s="588"/>
      <c r="Y832" s="583"/>
      <c r="Z832" s="583"/>
      <c r="AA832" s="583"/>
      <c r="AB832" s="583"/>
      <c r="AC832" s="583"/>
    </row>
    <row r="833" spans="1:29">
      <c r="A833" s="2084" t="s">
        <v>3585</v>
      </c>
      <c r="B833" s="2085" t="s">
        <v>10500</v>
      </c>
      <c r="C833" s="2085" t="s">
        <v>2434</v>
      </c>
      <c r="D833" s="2085" t="s">
        <v>219</v>
      </c>
      <c r="E833" s="2086" t="s">
        <v>9598</v>
      </c>
      <c r="F833" s="2085">
        <v>2</v>
      </c>
      <c r="G833" s="2087" t="s">
        <v>9598</v>
      </c>
      <c r="H833" s="2085"/>
      <c r="I833" s="2085" t="s">
        <v>9602</v>
      </c>
      <c r="J833" s="2085"/>
      <c r="K833" s="2092">
        <v>89870</v>
      </c>
      <c r="L833" s="2085" t="s">
        <v>251</v>
      </c>
      <c r="M833" s="2084">
        <v>44539</v>
      </c>
      <c r="N833" s="2084">
        <v>44573</v>
      </c>
      <c r="O833" s="2085"/>
      <c r="P833" s="2087"/>
      <c r="Q833" s="2085"/>
      <c r="R833" s="2092"/>
      <c r="S833" s="2092"/>
      <c r="T833" s="2094"/>
      <c r="U833" s="2094"/>
      <c r="V833" s="2094"/>
      <c r="W833" s="2092"/>
      <c r="X833" s="2092"/>
      <c r="Y833" s="2085"/>
      <c r="Z833" s="2085"/>
      <c r="AA833" s="2085"/>
      <c r="AB833" s="2085"/>
      <c r="AC833" s="2085"/>
    </row>
    <row r="834" spans="1:29">
      <c r="A834" s="2084" t="s">
        <v>3585</v>
      </c>
      <c r="B834" s="2085" t="s">
        <v>10500</v>
      </c>
      <c r="C834" s="2085" t="s">
        <v>2434</v>
      </c>
      <c r="D834" s="2085" t="s">
        <v>219</v>
      </c>
      <c r="E834" s="2086" t="s">
        <v>9598</v>
      </c>
      <c r="F834" s="2085">
        <v>3</v>
      </c>
      <c r="G834" s="2087" t="s">
        <v>9599</v>
      </c>
      <c r="H834" s="2085"/>
      <c r="I834" s="2085" t="s">
        <v>9602</v>
      </c>
      <c r="J834" s="2085"/>
      <c r="K834" s="2092">
        <v>1827770</v>
      </c>
      <c r="L834" s="2085" t="s">
        <v>251</v>
      </c>
      <c r="M834" s="2084">
        <v>44539</v>
      </c>
      <c r="N834" s="2084">
        <v>44573</v>
      </c>
      <c r="O834" s="2085"/>
      <c r="P834" s="2087"/>
      <c r="Q834" s="2085"/>
      <c r="R834" s="2092"/>
      <c r="S834" s="2092"/>
      <c r="T834" s="2094"/>
      <c r="U834" s="2094"/>
      <c r="V834" s="2094"/>
      <c r="W834" s="2092"/>
      <c r="X834" s="2092"/>
      <c r="Y834" s="2085"/>
      <c r="Z834" s="2085"/>
      <c r="AA834" s="2085"/>
      <c r="AB834" s="2085"/>
      <c r="AC834" s="2085"/>
    </row>
    <row r="835" spans="1:29">
      <c r="A835" s="2084" t="s">
        <v>3585</v>
      </c>
      <c r="B835" s="2085" t="s">
        <v>10500</v>
      </c>
      <c r="C835" s="2085" t="s">
        <v>2434</v>
      </c>
      <c r="D835" s="2085" t="s">
        <v>219</v>
      </c>
      <c r="E835" s="2086" t="s">
        <v>9598</v>
      </c>
      <c r="F835" s="2085">
        <v>4</v>
      </c>
      <c r="G835" s="2087" t="s">
        <v>9600</v>
      </c>
      <c r="H835" s="2085"/>
      <c r="I835" s="2085" t="s">
        <v>9602</v>
      </c>
      <c r="J835" s="2085"/>
      <c r="K835" s="2092">
        <v>56870</v>
      </c>
      <c r="L835" s="2085" t="s">
        <v>251</v>
      </c>
      <c r="M835" s="2084">
        <v>44539</v>
      </c>
      <c r="N835" s="2084">
        <v>44573</v>
      </c>
      <c r="O835" s="2085"/>
      <c r="P835" s="2087"/>
      <c r="Q835" s="2085"/>
      <c r="R835" s="2092"/>
      <c r="S835" s="2092"/>
      <c r="T835" s="2094"/>
      <c r="U835" s="2094"/>
      <c r="V835" s="2094"/>
      <c r="W835" s="2092"/>
      <c r="X835" s="2092"/>
      <c r="Y835" s="2085"/>
      <c r="Z835" s="2085"/>
      <c r="AA835" s="2085"/>
      <c r="AB835" s="2085"/>
      <c r="AC835" s="2085"/>
    </row>
    <row r="836" spans="1:29" ht="15.75" thickBot="1">
      <c r="A836" s="2088" t="s">
        <v>3585</v>
      </c>
      <c r="B836" s="2089" t="s">
        <v>10500</v>
      </c>
      <c r="C836" s="2089" t="s">
        <v>2434</v>
      </c>
      <c r="D836" s="2089" t="s">
        <v>219</v>
      </c>
      <c r="E836" s="2090" t="s">
        <v>9598</v>
      </c>
      <c r="F836" s="2089">
        <v>5</v>
      </c>
      <c r="G836" s="2091" t="s">
        <v>9601</v>
      </c>
      <c r="H836" s="2085"/>
      <c r="I836" s="2089" t="s">
        <v>9602</v>
      </c>
      <c r="J836" s="2089"/>
      <c r="K836" s="2093">
        <v>2835100</v>
      </c>
      <c r="L836" s="2089" t="s">
        <v>251</v>
      </c>
      <c r="M836" s="2088">
        <v>44539</v>
      </c>
      <c r="N836" s="2088">
        <v>44573</v>
      </c>
      <c r="O836" s="2089"/>
      <c r="P836" s="2091"/>
      <c r="Q836" s="2089"/>
      <c r="R836" s="2093"/>
      <c r="S836" s="2093"/>
      <c r="T836" s="2094"/>
      <c r="U836" s="2094"/>
      <c r="V836" s="2094"/>
      <c r="W836" s="2093"/>
      <c r="X836" s="2093"/>
      <c r="Y836" s="2089"/>
      <c r="Z836" s="2089"/>
      <c r="AA836" s="2089"/>
      <c r="AB836" s="2089"/>
      <c r="AC836" s="2089"/>
    </row>
    <row r="837" spans="1:29" ht="16.5" thickTop="1" thickBot="1">
      <c r="A837" s="1730">
        <v>44532</v>
      </c>
      <c r="B837" s="1550" t="s">
        <v>10503</v>
      </c>
      <c r="C837" s="1550" t="s">
        <v>69</v>
      </c>
      <c r="D837" s="1550" t="s">
        <v>70</v>
      </c>
      <c r="E837" s="1732" t="s">
        <v>10504</v>
      </c>
      <c r="F837" s="1550"/>
      <c r="G837" s="1733"/>
      <c r="H837" s="1437"/>
      <c r="I837" s="1550" t="s">
        <v>42</v>
      </c>
      <c r="J837" s="1550"/>
      <c r="K837" s="1734">
        <v>1610000</v>
      </c>
      <c r="L837" s="1550" t="s">
        <v>216</v>
      </c>
      <c r="M837" s="1730">
        <v>44539</v>
      </c>
      <c r="N837" s="1730">
        <v>44565</v>
      </c>
      <c r="O837" s="1550"/>
      <c r="P837" s="1733"/>
      <c r="Q837" s="1550"/>
      <c r="R837" s="1734"/>
      <c r="S837" s="1734"/>
      <c r="T837" s="1490"/>
      <c r="U837" s="1490"/>
      <c r="V837" s="1490"/>
      <c r="W837" s="1734"/>
      <c r="X837" s="1734"/>
      <c r="Y837" s="1550"/>
      <c r="Z837" s="1550"/>
      <c r="AA837" s="1550"/>
      <c r="AB837" s="1550"/>
      <c r="AC837" s="1550"/>
    </row>
    <row r="838" spans="1:29" ht="15.75" thickTop="1">
      <c r="A838" s="587">
        <v>44532</v>
      </c>
      <c r="B838" s="583" t="s">
        <v>10505</v>
      </c>
      <c r="C838" s="583" t="s">
        <v>69</v>
      </c>
      <c r="D838" s="583" t="s">
        <v>70</v>
      </c>
      <c r="E838" s="584" t="s">
        <v>10506</v>
      </c>
      <c r="F838" s="583">
        <v>1</v>
      </c>
      <c r="G838" s="1427" t="s">
        <v>4879</v>
      </c>
      <c r="H838" s="583"/>
      <c r="I838" s="583" t="s">
        <v>93</v>
      </c>
      <c r="J838" s="583"/>
      <c r="K838" s="588">
        <v>7836762</v>
      </c>
      <c r="L838" s="583" t="s">
        <v>251</v>
      </c>
      <c r="M838" s="587">
        <v>44538</v>
      </c>
      <c r="N838" s="587">
        <v>44599</v>
      </c>
      <c r="O838" s="583"/>
      <c r="P838" s="1427"/>
      <c r="Q838" s="583"/>
      <c r="R838" s="588"/>
      <c r="S838" s="588"/>
      <c r="T838" s="1483"/>
      <c r="U838" s="1483"/>
      <c r="V838" s="1483"/>
      <c r="W838" s="588"/>
      <c r="X838" s="588"/>
      <c r="Y838" s="583"/>
      <c r="Z838" s="583"/>
      <c r="AA838" s="583"/>
      <c r="AB838" s="583"/>
      <c r="AC838" s="583"/>
    </row>
    <row r="839" spans="1:29">
      <c r="A839" s="2084">
        <v>44532</v>
      </c>
      <c r="B839" s="2085" t="s">
        <v>10505</v>
      </c>
      <c r="C839" s="2085" t="s">
        <v>69</v>
      </c>
      <c r="D839" s="2085" t="s">
        <v>70</v>
      </c>
      <c r="E839" s="2086" t="s">
        <v>7131</v>
      </c>
      <c r="F839" s="2085">
        <v>2</v>
      </c>
      <c r="G839" s="2087" t="s">
        <v>4880</v>
      </c>
      <c r="H839" s="2085"/>
      <c r="I839" s="2085" t="s">
        <v>93</v>
      </c>
      <c r="J839" s="2085"/>
      <c r="K839" s="2092">
        <v>1166820</v>
      </c>
      <c r="L839" s="2085" t="s">
        <v>251</v>
      </c>
      <c r="M839" s="2084">
        <v>44538</v>
      </c>
      <c r="N839" s="2084">
        <v>44599</v>
      </c>
      <c r="O839" s="2085"/>
      <c r="P839" s="2087"/>
      <c r="Q839" s="2085"/>
      <c r="R839" s="2092"/>
      <c r="S839" s="2092"/>
      <c r="T839" s="2094"/>
      <c r="U839" s="2094"/>
      <c r="V839" s="2094"/>
      <c r="W839" s="2092"/>
      <c r="X839" s="2092"/>
      <c r="Y839" s="2085"/>
      <c r="Z839" s="2085"/>
      <c r="AA839" s="2085"/>
      <c r="AB839" s="2085"/>
      <c r="AC839" s="2085"/>
    </row>
    <row r="840" spans="1:29">
      <c r="A840" s="2084">
        <v>44532</v>
      </c>
      <c r="B840" s="2085" t="s">
        <v>10505</v>
      </c>
      <c r="C840" s="2085" t="s">
        <v>69</v>
      </c>
      <c r="D840" s="2085" t="s">
        <v>70</v>
      </c>
      <c r="E840" s="2086" t="s">
        <v>10506</v>
      </c>
      <c r="F840" s="2085">
        <v>3</v>
      </c>
      <c r="G840" s="2087" t="s">
        <v>4881</v>
      </c>
      <c r="H840" s="2085"/>
      <c r="I840" s="2085" t="s">
        <v>93</v>
      </c>
      <c r="J840" s="2085"/>
      <c r="K840" s="2092">
        <v>2563207</v>
      </c>
      <c r="L840" s="2085" t="s">
        <v>251</v>
      </c>
      <c r="M840" s="2084">
        <v>44538</v>
      </c>
      <c r="N840" s="2084">
        <v>44599</v>
      </c>
      <c r="O840" s="2085"/>
      <c r="P840" s="2087"/>
      <c r="Q840" s="2085"/>
      <c r="R840" s="2092"/>
      <c r="S840" s="2092"/>
      <c r="T840" s="2094"/>
      <c r="U840" s="2094"/>
      <c r="V840" s="2094"/>
      <c r="W840" s="2092"/>
      <c r="X840" s="2092"/>
      <c r="Y840" s="2085"/>
      <c r="Z840" s="2085"/>
      <c r="AA840" s="2085"/>
      <c r="AB840" s="2085"/>
      <c r="AC840" s="2085"/>
    </row>
    <row r="841" spans="1:29">
      <c r="A841" s="2084">
        <v>44532</v>
      </c>
      <c r="B841" s="2085" t="s">
        <v>10505</v>
      </c>
      <c r="C841" s="2085" t="s">
        <v>69</v>
      </c>
      <c r="D841" s="2085" t="s">
        <v>70</v>
      </c>
      <c r="E841" s="2086" t="s">
        <v>10506</v>
      </c>
      <c r="F841" s="2085">
        <v>4</v>
      </c>
      <c r="G841" s="2087" t="s">
        <v>4882</v>
      </c>
      <c r="H841" s="2085"/>
      <c r="I841" s="2085" t="s">
        <v>93</v>
      </c>
      <c r="J841" s="2085"/>
      <c r="K841" s="2092">
        <v>10710000</v>
      </c>
      <c r="L841" s="2085" t="s">
        <v>251</v>
      </c>
      <c r="M841" s="2084">
        <v>44538</v>
      </c>
      <c r="N841" s="2084">
        <v>44599</v>
      </c>
      <c r="O841" s="2085"/>
      <c r="P841" s="2087"/>
      <c r="Q841" s="2085"/>
      <c r="R841" s="2092"/>
      <c r="S841" s="2092"/>
      <c r="T841" s="2094"/>
      <c r="U841" s="2094"/>
      <c r="V841" s="2094"/>
      <c r="W841" s="2092"/>
      <c r="X841" s="2092"/>
      <c r="Y841" s="2085"/>
      <c r="Z841" s="2085"/>
      <c r="AA841" s="2085"/>
      <c r="AB841" s="2085"/>
      <c r="AC841" s="2085"/>
    </row>
    <row r="842" spans="1:29">
      <c r="A842" s="2084">
        <v>44532</v>
      </c>
      <c r="B842" s="2085" t="s">
        <v>10505</v>
      </c>
      <c r="C842" s="2085" t="s">
        <v>69</v>
      </c>
      <c r="D842" s="2085" t="s">
        <v>70</v>
      </c>
      <c r="E842" s="2086" t="s">
        <v>10506</v>
      </c>
      <c r="F842" s="2085">
        <v>5</v>
      </c>
      <c r="G842" s="2087" t="s">
        <v>4883</v>
      </c>
      <c r="H842" s="2085"/>
      <c r="I842" s="2085" t="s">
        <v>93</v>
      </c>
      <c r="J842" s="2085"/>
      <c r="K842" s="2092">
        <v>7435918</v>
      </c>
      <c r="L842" s="2085" t="s">
        <v>251</v>
      </c>
      <c r="M842" s="2084">
        <v>44538</v>
      </c>
      <c r="N842" s="2084">
        <v>44599</v>
      </c>
      <c r="O842" s="2085"/>
      <c r="P842" s="2087"/>
      <c r="Q842" s="2085"/>
      <c r="R842" s="2092"/>
      <c r="S842" s="2092"/>
      <c r="T842" s="2094"/>
      <c r="U842" s="2094"/>
      <c r="V842" s="2094"/>
      <c r="W842" s="2092"/>
      <c r="X842" s="2092"/>
      <c r="Y842" s="2085"/>
      <c r="Z842" s="2085"/>
      <c r="AA842" s="2085"/>
      <c r="AB842" s="2085"/>
      <c r="AC842" s="2085"/>
    </row>
    <row r="843" spans="1:29">
      <c r="A843" s="2084">
        <v>44532</v>
      </c>
      <c r="B843" s="2085" t="s">
        <v>10505</v>
      </c>
      <c r="C843" s="2085" t="s">
        <v>69</v>
      </c>
      <c r="D843" s="2085" t="s">
        <v>70</v>
      </c>
      <c r="E843" s="2086" t="s">
        <v>10506</v>
      </c>
      <c r="F843" s="2085">
        <v>6</v>
      </c>
      <c r="G843" s="2087" t="s">
        <v>4884</v>
      </c>
      <c r="H843" s="2085"/>
      <c r="I843" s="2085" t="s">
        <v>93</v>
      </c>
      <c r="J843" s="2085"/>
      <c r="K843" s="2092">
        <v>46702858</v>
      </c>
      <c r="L843" s="2085" t="s">
        <v>251</v>
      </c>
      <c r="M843" s="2084">
        <v>44538</v>
      </c>
      <c r="N843" s="2084">
        <v>44599</v>
      </c>
      <c r="O843" s="2085"/>
      <c r="P843" s="2087"/>
      <c r="Q843" s="2085"/>
      <c r="R843" s="2092"/>
      <c r="S843" s="2092"/>
      <c r="T843" s="2094"/>
      <c r="U843" s="2094"/>
      <c r="V843" s="2094"/>
      <c r="W843" s="2092"/>
      <c r="X843" s="2092"/>
      <c r="Y843" s="2085"/>
      <c r="Z843" s="2085"/>
      <c r="AA843" s="2085"/>
      <c r="AB843" s="2085"/>
      <c r="AC843" s="2085"/>
    </row>
    <row r="844" spans="1:29">
      <c r="A844" s="2084">
        <v>44532</v>
      </c>
      <c r="B844" s="2085" t="s">
        <v>10505</v>
      </c>
      <c r="C844" s="2085" t="s">
        <v>69</v>
      </c>
      <c r="D844" s="2085" t="s">
        <v>70</v>
      </c>
      <c r="E844" s="2086" t="s">
        <v>10506</v>
      </c>
      <c r="F844" s="2085">
        <v>7</v>
      </c>
      <c r="G844" s="2087" t="s">
        <v>10507</v>
      </c>
      <c r="H844" s="2085"/>
      <c r="I844" s="2085" t="s">
        <v>93</v>
      </c>
      <c r="J844" s="2085"/>
      <c r="K844" s="2092">
        <v>18432258</v>
      </c>
      <c r="L844" s="2085" t="s">
        <v>251</v>
      </c>
      <c r="M844" s="2084">
        <v>44538</v>
      </c>
      <c r="N844" s="2084">
        <v>44599</v>
      </c>
      <c r="O844" s="2085"/>
      <c r="P844" s="2087"/>
      <c r="Q844" s="2085"/>
      <c r="R844" s="2092"/>
      <c r="S844" s="2092"/>
      <c r="T844" s="2094"/>
      <c r="U844" s="2094"/>
      <c r="V844" s="2094"/>
      <c r="W844" s="2092"/>
      <c r="X844" s="2092"/>
      <c r="Y844" s="2085"/>
      <c r="Z844" s="2085"/>
      <c r="AA844" s="2085"/>
      <c r="AB844" s="2085"/>
      <c r="AC844" s="2085"/>
    </row>
    <row r="845" spans="1:29" ht="15.75" thickBot="1">
      <c r="A845" s="2088">
        <v>44532</v>
      </c>
      <c r="B845" s="2089" t="s">
        <v>10505</v>
      </c>
      <c r="C845" s="2089" t="s">
        <v>69</v>
      </c>
      <c r="D845" s="2089" t="s">
        <v>70</v>
      </c>
      <c r="E845" s="2090" t="s">
        <v>10506</v>
      </c>
      <c r="F845" s="2089">
        <v>8</v>
      </c>
      <c r="G845" s="2091" t="s">
        <v>4887</v>
      </c>
      <c r="H845" s="2089"/>
      <c r="I845" s="2089" t="s">
        <v>93</v>
      </c>
      <c r="J845" s="2089"/>
      <c r="K845" s="2093">
        <v>15523659</v>
      </c>
      <c r="L845" s="2089" t="s">
        <v>251</v>
      </c>
      <c r="M845" s="2088">
        <v>44538</v>
      </c>
      <c r="N845" s="2088">
        <v>44599</v>
      </c>
      <c r="O845" s="2089"/>
      <c r="P845" s="2091"/>
      <c r="Q845" s="2089"/>
      <c r="R845" s="2093"/>
      <c r="S845" s="2093"/>
      <c r="T845" s="2095"/>
      <c r="U845" s="2095"/>
      <c r="V845" s="2095"/>
      <c r="W845" s="2093"/>
      <c r="X845" s="2093"/>
      <c r="Y845" s="2089"/>
      <c r="Z845" s="2089"/>
      <c r="AA845" s="2089"/>
      <c r="AB845" s="2089"/>
      <c r="AC845" s="2089"/>
    </row>
    <row r="846" spans="1:29" ht="16.5" thickTop="1" thickBot="1">
      <c r="A846" s="1730">
        <v>44533</v>
      </c>
      <c r="B846" s="1550" t="s">
        <v>10510</v>
      </c>
      <c r="C846" s="1550" t="s">
        <v>69</v>
      </c>
      <c r="D846" s="1550" t="s">
        <v>70</v>
      </c>
      <c r="E846" s="1732" t="s">
        <v>10511</v>
      </c>
      <c r="F846" s="1550"/>
      <c r="G846" s="1733"/>
      <c r="H846" s="1550"/>
      <c r="I846" s="1550" t="s">
        <v>10512</v>
      </c>
      <c r="J846" s="1550"/>
      <c r="K846" s="1734">
        <v>4200000</v>
      </c>
      <c r="L846" s="1550" t="s">
        <v>251</v>
      </c>
      <c r="M846" s="1730">
        <v>44550</v>
      </c>
      <c r="N846" s="1730">
        <v>44585</v>
      </c>
      <c r="O846" s="1550"/>
      <c r="P846" s="1733"/>
      <c r="Q846" s="1550"/>
      <c r="R846" s="1734"/>
      <c r="S846" s="1734"/>
      <c r="T846" s="1537"/>
      <c r="U846" s="1537"/>
      <c r="V846" s="1537"/>
      <c r="W846" s="1734"/>
      <c r="X846" s="1734"/>
      <c r="Y846" s="1550"/>
      <c r="Z846" s="1550"/>
      <c r="AA846" s="1550"/>
      <c r="AB846" s="1550"/>
      <c r="AC846" s="1550"/>
    </row>
    <row r="847" spans="1:29" ht="15.75" thickTop="1">
      <c r="A847" s="583" t="s">
        <v>3585</v>
      </c>
      <c r="B847" s="583" t="s">
        <v>10515</v>
      </c>
      <c r="C847" s="583" t="s">
        <v>2434</v>
      </c>
      <c r="D847" s="583" t="s">
        <v>3204</v>
      </c>
      <c r="E847" s="584" t="s">
        <v>10516</v>
      </c>
      <c r="F847" s="583">
        <v>1</v>
      </c>
      <c r="G847" s="1427" t="s">
        <v>10015</v>
      </c>
      <c r="H847" s="583"/>
      <c r="I847" s="583" t="s">
        <v>642</v>
      </c>
      <c r="J847" s="583"/>
      <c r="K847" s="588">
        <v>1220800</v>
      </c>
      <c r="L847" s="583" t="s">
        <v>251</v>
      </c>
      <c r="M847" s="587">
        <v>44539</v>
      </c>
      <c r="N847" s="587">
        <v>44572</v>
      </c>
      <c r="O847" s="583"/>
      <c r="P847" s="1427"/>
      <c r="Q847" s="583"/>
      <c r="R847" s="588"/>
      <c r="S847" s="588"/>
      <c r="T847" s="1483"/>
      <c r="U847" s="1483"/>
      <c r="V847" s="1483"/>
      <c r="W847" s="588"/>
      <c r="X847" s="588"/>
      <c r="Y847" s="583"/>
      <c r="Z847" s="583"/>
      <c r="AA847" s="583"/>
      <c r="AB847" s="583"/>
      <c r="AC847" s="583"/>
    </row>
    <row r="848" spans="1:29">
      <c r="A848" s="2085" t="s">
        <v>3585</v>
      </c>
      <c r="B848" s="2085" t="s">
        <v>10515</v>
      </c>
      <c r="C848" s="2085" t="s">
        <v>2434</v>
      </c>
      <c r="D848" s="2085" t="s">
        <v>3204</v>
      </c>
      <c r="E848" s="2086" t="s">
        <v>10516</v>
      </c>
      <c r="F848" s="2085">
        <v>2</v>
      </c>
      <c r="G848" s="2087" t="s">
        <v>10017</v>
      </c>
      <c r="H848" s="2085"/>
      <c r="I848" s="2085" t="s">
        <v>642</v>
      </c>
      <c r="J848" s="2085"/>
      <c r="K848" s="2092">
        <v>125160</v>
      </c>
      <c r="L848" s="2085" t="s">
        <v>251</v>
      </c>
      <c r="M848" s="2084">
        <v>44539</v>
      </c>
      <c r="N848" s="2084">
        <v>44572</v>
      </c>
      <c r="O848" s="2085"/>
      <c r="P848" s="2087"/>
      <c r="Q848" s="2085"/>
      <c r="R848" s="2092"/>
      <c r="S848" s="2092"/>
      <c r="T848" s="2094"/>
      <c r="U848" s="2094"/>
      <c r="V848" s="2094"/>
      <c r="W848" s="2092"/>
      <c r="X848" s="2092"/>
      <c r="Y848" s="2085"/>
      <c r="Z848" s="2085"/>
      <c r="AA848" s="2085"/>
      <c r="AB848" s="2085"/>
      <c r="AC848" s="2085"/>
    </row>
    <row r="849" spans="1:29" ht="15.75" thickBot="1">
      <c r="A849" s="2089" t="s">
        <v>3585</v>
      </c>
      <c r="B849" s="2089" t="s">
        <v>10515</v>
      </c>
      <c r="C849" s="2089" t="s">
        <v>2434</v>
      </c>
      <c r="D849" s="2089" t="s">
        <v>3204</v>
      </c>
      <c r="E849" s="2090" t="s">
        <v>10516</v>
      </c>
      <c r="F849" s="2089">
        <v>3</v>
      </c>
      <c r="G849" s="2091" t="s">
        <v>10018</v>
      </c>
      <c r="H849" s="2089"/>
      <c r="I849" s="2089" t="s">
        <v>642</v>
      </c>
      <c r="J849" s="2089"/>
      <c r="K849" s="2093">
        <v>2080500</v>
      </c>
      <c r="L849" s="2089" t="s">
        <v>251</v>
      </c>
      <c r="M849" s="2088">
        <v>44539</v>
      </c>
      <c r="N849" s="2088">
        <v>44572</v>
      </c>
      <c r="O849" s="2089"/>
      <c r="P849" s="2091"/>
      <c r="Q849" s="2089"/>
      <c r="R849" s="2093"/>
      <c r="S849" s="2093"/>
      <c r="T849" s="2095"/>
      <c r="U849" s="2095"/>
      <c r="V849" s="2095"/>
      <c r="W849" s="2093"/>
      <c r="X849" s="2093"/>
      <c r="Y849" s="2089"/>
      <c r="Z849" s="2089"/>
      <c r="AA849" s="2089"/>
      <c r="AB849" s="2089"/>
      <c r="AC849" s="2089"/>
    </row>
    <row r="850" spans="1:29" ht="15.75" thickTop="1">
      <c r="A850" s="580">
        <v>44537</v>
      </c>
      <c r="B850" s="576" t="s">
        <v>10518</v>
      </c>
      <c r="C850" s="576" t="s">
        <v>2434</v>
      </c>
      <c r="D850" s="576" t="s">
        <v>219</v>
      </c>
      <c r="E850" s="2446" t="s">
        <v>10519</v>
      </c>
      <c r="F850" s="576"/>
      <c r="G850" s="1828"/>
      <c r="H850" s="576"/>
      <c r="I850" s="576" t="s">
        <v>642</v>
      </c>
      <c r="J850" s="576"/>
      <c r="K850" s="581">
        <v>2883740</v>
      </c>
      <c r="L850" s="576" t="s">
        <v>216</v>
      </c>
      <c r="M850" s="580">
        <v>44540</v>
      </c>
      <c r="N850" s="580">
        <v>44564</v>
      </c>
      <c r="O850" s="576"/>
      <c r="P850" s="1828"/>
      <c r="Q850" s="576"/>
      <c r="R850" s="581"/>
      <c r="S850" s="581"/>
      <c r="T850" s="1489"/>
      <c r="U850" s="1489"/>
      <c r="V850" s="1489"/>
      <c r="W850" s="581"/>
      <c r="X850" s="581"/>
      <c r="Y850" s="576"/>
      <c r="Z850" s="576"/>
      <c r="AA850" s="576"/>
      <c r="AB850" s="576"/>
      <c r="AC850" s="576"/>
    </row>
    <row r="851" spans="1:29">
      <c r="A851" s="2153">
        <v>44533</v>
      </c>
      <c r="B851" s="2461" t="s">
        <v>10521</v>
      </c>
      <c r="C851" s="2154" t="s">
        <v>2434</v>
      </c>
      <c r="D851" s="2154" t="s">
        <v>219</v>
      </c>
      <c r="E851" s="2155" t="s">
        <v>10520</v>
      </c>
      <c r="F851" s="2154"/>
      <c r="G851" s="2156"/>
      <c r="H851" s="2085"/>
      <c r="I851" s="2154" t="s">
        <v>642</v>
      </c>
      <c r="J851" s="2154"/>
      <c r="K851" s="2157">
        <v>2014020</v>
      </c>
      <c r="L851" s="2154" t="s">
        <v>216</v>
      </c>
      <c r="M851" s="2153">
        <v>44540</v>
      </c>
      <c r="N851" s="2153">
        <v>44560</v>
      </c>
      <c r="O851" s="2154"/>
      <c r="P851" s="2156"/>
      <c r="Q851" s="2154"/>
      <c r="R851" s="2157"/>
      <c r="S851" s="2157"/>
      <c r="T851" s="2094"/>
      <c r="U851" s="2094"/>
      <c r="V851" s="2094"/>
      <c r="W851" s="2157"/>
      <c r="X851" s="2157"/>
      <c r="Y851" s="2154"/>
      <c r="Z851" s="2154"/>
      <c r="AA851" s="2154"/>
      <c r="AB851" s="2154"/>
      <c r="AC851" s="2154"/>
    </row>
    <row r="852" spans="1:29">
      <c r="A852" s="2349">
        <v>44532</v>
      </c>
      <c r="B852" s="2350" t="s">
        <v>10526</v>
      </c>
      <c r="C852" s="2350" t="s">
        <v>58</v>
      </c>
      <c r="D852" s="2350" t="s">
        <v>2684</v>
      </c>
      <c r="E852" s="2351" t="s">
        <v>10527</v>
      </c>
      <c r="F852" s="2350"/>
      <c r="G852" s="2352"/>
      <c r="H852" s="2350"/>
      <c r="I852" s="2350" t="s">
        <v>10529</v>
      </c>
      <c r="J852" s="2350" t="s">
        <v>10528</v>
      </c>
      <c r="K852" s="2353">
        <v>129000000</v>
      </c>
      <c r="L852" s="2350" t="s">
        <v>251</v>
      </c>
      <c r="M852" s="2350"/>
      <c r="N852" s="2350"/>
      <c r="O852" s="2350"/>
      <c r="P852" s="2354" t="s">
        <v>10640</v>
      </c>
      <c r="Q852" s="2473" t="s">
        <v>10642</v>
      </c>
      <c r="R852" s="2353"/>
      <c r="S852" s="2353"/>
      <c r="T852" s="2355"/>
      <c r="U852" s="2355"/>
      <c r="V852" s="2355"/>
      <c r="W852" s="2353"/>
      <c r="X852" s="2353"/>
      <c r="Y852" s="2350"/>
      <c r="Z852" s="2350"/>
      <c r="AA852" s="2350"/>
      <c r="AB852" s="2350"/>
      <c r="AC852" s="2350"/>
    </row>
    <row r="853" spans="1:29">
      <c r="A853" s="2084">
        <v>44536</v>
      </c>
      <c r="B853" s="2085" t="s">
        <v>10535</v>
      </c>
      <c r="C853" s="2085" t="s">
        <v>9694</v>
      </c>
      <c r="D853" s="2085" t="s">
        <v>4969</v>
      </c>
      <c r="E853" s="2086" t="s">
        <v>10536</v>
      </c>
      <c r="F853" s="2085"/>
      <c r="G853" s="2087"/>
      <c r="H853" s="2085"/>
      <c r="I853" s="2085" t="s">
        <v>6209</v>
      </c>
      <c r="J853" s="2085" t="s">
        <v>10537</v>
      </c>
      <c r="K853" s="2092">
        <v>390000</v>
      </c>
      <c r="L853" s="2085" t="s">
        <v>112</v>
      </c>
      <c r="M853" s="2084">
        <v>44553</v>
      </c>
      <c r="N853" s="2084">
        <v>44572</v>
      </c>
      <c r="O853" s="2085"/>
      <c r="P853" s="2087"/>
      <c r="Q853" s="2085"/>
      <c r="R853" s="2092"/>
      <c r="S853" s="2092"/>
      <c r="T853" s="2094"/>
      <c r="U853" s="2094"/>
      <c r="V853" s="2094"/>
      <c r="W853" s="2092"/>
      <c r="X853" s="2092"/>
      <c r="Y853" s="2085"/>
      <c r="Z853" s="2085"/>
      <c r="AA853" s="2085"/>
      <c r="AB853" s="2085"/>
      <c r="AC853" s="2085"/>
    </row>
    <row r="854" spans="1:29">
      <c r="A854" s="2153">
        <v>44539</v>
      </c>
      <c r="B854" s="2154" t="s">
        <v>10539</v>
      </c>
      <c r="C854" s="2154" t="s">
        <v>69</v>
      </c>
      <c r="D854" s="2154" t="s">
        <v>70</v>
      </c>
      <c r="E854" s="2155" t="s">
        <v>10541</v>
      </c>
      <c r="F854" s="2154">
        <v>1</v>
      </c>
      <c r="G854" s="2156" t="s">
        <v>10540</v>
      </c>
      <c r="H854" s="2085"/>
      <c r="I854" s="2154" t="s">
        <v>5244</v>
      </c>
      <c r="J854" s="2154"/>
      <c r="K854" s="2157">
        <v>3123851</v>
      </c>
      <c r="L854" s="2154" t="s">
        <v>216</v>
      </c>
      <c r="M854" s="2153">
        <v>44540</v>
      </c>
      <c r="N854" s="2153">
        <v>44560</v>
      </c>
      <c r="O854" s="2154"/>
      <c r="P854" s="2156"/>
      <c r="Q854" s="2154"/>
      <c r="R854" s="2157"/>
      <c r="S854" s="2157"/>
      <c r="T854" s="2094"/>
      <c r="U854" s="2094"/>
      <c r="V854" s="2094"/>
      <c r="W854" s="2157"/>
      <c r="X854" s="2157"/>
      <c r="Y854" s="2154"/>
      <c r="Z854" s="2154"/>
      <c r="AA854" s="2154"/>
      <c r="AB854" s="2154"/>
      <c r="AC854" s="2154"/>
    </row>
    <row r="855" spans="1:29">
      <c r="A855" s="2154" t="s">
        <v>3585</v>
      </c>
      <c r="B855" s="2154" t="s">
        <v>10548</v>
      </c>
      <c r="C855" s="2154" t="s">
        <v>2434</v>
      </c>
      <c r="D855" s="2154" t="s">
        <v>219</v>
      </c>
      <c r="E855" s="2155" t="s">
        <v>6004</v>
      </c>
      <c r="F855" s="2154"/>
      <c r="G855" s="2156"/>
      <c r="H855" s="2085"/>
      <c r="I855" s="2154" t="s">
        <v>642</v>
      </c>
      <c r="J855" s="2154"/>
      <c r="K855" s="2157">
        <v>386194</v>
      </c>
      <c r="L855" s="2154" t="s">
        <v>112</v>
      </c>
      <c r="M855" s="2153">
        <v>44544</v>
      </c>
      <c r="N855" s="2153">
        <v>44552</v>
      </c>
      <c r="O855" s="2154"/>
      <c r="P855" s="2156"/>
      <c r="Q855" s="2154"/>
      <c r="R855" s="2157"/>
      <c r="S855" s="2157"/>
      <c r="T855" s="2094"/>
      <c r="U855" s="2094"/>
      <c r="V855" s="2094"/>
      <c r="W855" s="2157"/>
      <c r="X855" s="2157"/>
      <c r="Y855" s="2154"/>
      <c r="Z855" s="2154"/>
      <c r="AA855" s="2154"/>
      <c r="AB855" s="2154"/>
      <c r="AC855" s="2154"/>
    </row>
    <row r="856" spans="1:29" ht="30.75" thickBot="1">
      <c r="A856" s="464">
        <v>44525</v>
      </c>
      <c r="B856" s="406" t="s">
        <v>10553</v>
      </c>
      <c r="C856" s="406" t="s">
        <v>2434</v>
      </c>
      <c r="D856" s="406" t="s">
        <v>219</v>
      </c>
      <c r="E856" s="462" t="s">
        <v>10554</v>
      </c>
      <c r="F856" s="406"/>
      <c r="G856" s="1425"/>
      <c r="H856" s="406"/>
      <c r="I856" s="406" t="s">
        <v>3271</v>
      </c>
      <c r="J856" s="406"/>
      <c r="K856" s="465">
        <v>1056000</v>
      </c>
      <c r="L856" s="406" t="s">
        <v>112</v>
      </c>
      <c r="M856" s="464">
        <v>44544</v>
      </c>
      <c r="N856" s="464">
        <v>44552</v>
      </c>
      <c r="O856" s="464">
        <v>44559</v>
      </c>
      <c r="P856" s="1425" t="s">
        <v>1433</v>
      </c>
      <c r="Q856" s="406"/>
      <c r="R856" s="465">
        <v>950400</v>
      </c>
      <c r="S856" s="465">
        <v>1149984</v>
      </c>
      <c r="T856" s="1478"/>
      <c r="U856" s="1478"/>
      <c r="V856" s="1478"/>
      <c r="W856" s="1809">
        <v>44559</v>
      </c>
      <c r="X856" s="1829" t="s">
        <v>10630</v>
      </c>
      <c r="Y856" s="406"/>
      <c r="Z856" s="406"/>
      <c r="AA856" s="406"/>
      <c r="AB856" s="406"/>
      <c r="AC856" s="406"/>
    </row>
    <row r="857" spans="1:29" ht="15.75" thickTop="1">
      <c r="A857" s="587">
        <v>44531</v>
      </c>
      <c r="B857" s="583" t="s">
        <v>10555</v>
      </c>
      <c r="C857" s="583" t="s">
        <v>9800</v>
      </c>
      <c r="D857" s="583" t="s">
        <v>10556</v>
      </c>
      <c r="E857" s="584" t="s">
        <v>10557</v>
      </c>
      <c r="F857" s="583">
        <v>1</v>
      </c>
      <c r="G857" s="1427" t="s">
        <v>10558</v>
      </c>
      <c r="H857" s="583"/>
      <c r="I857" s="583" t="s">
        <v>428</v>
      </c>
      <c r="J857" s="583"/>
      <c r="K857" s="588">
        <v>350000</v>
      </c>
      <c r="L857" s="583" t="s">
        <v>112</v>
      </c>
      <c r="M857" s="587">
        <v>44559</v>
      </c>
      <c r="N857" s="587">
        <v>44568</v>
      </c>
      <c r="O857" s="583"/>
      <c r="P857" s="1427"/>
      <c r="Q857" s="583"/>
      <c r="R857" s="588"/>
      <c r="S857" s="588"/>
      <c r="T857" s="1483"/>
      <c r="U857" s="1483"/>
      <c r="V857" s="1483"/>
      <c r="W857" s="588"/>
      <c r="X857" s="588"/>
      <c r="Y857" s="583"/>
      <c r="Z857" s="583"/>
      <c r="AA857" s="583"/>
      <c r="AB857" s="583"/>
      <c r="AC857" s="583"/>
    </row>
    <row r="858" spans="1:29">
      <c r="A858" s="2084">
        <v>44531</v>
      </c>
      <c r="B858" s="2085" t="s">
        <v>10555</v>
      </c>
      <c r="C858" s="2085" t="s">
        <v>9800</v>
      </c>
      <c r="D858" s="2085" t="s">
        <v>10556</v>
      </c>
      <c r="E858" s="2086" t="s">
        <v>10557</v>
      </c>
      <c r="F858" s="2085">
        <v>2</v>
      </c>
      <c r="G858" s="2087" t="s">
        <v>10559</v>
      </c>
      <c r="H858" s="2085"/>
      <c r="I858" s="2085" t="s">
        <v>428</v>
      </c>
      <c r="J858" s="2085"/>
      <c r="K858" s="2092">
        <v>200000</v>
      </c>
      <c r="L858" s="2085" t="s">
        <v>112</v>
      </c>
      <c r="M858" s="2084">
        <v>44559</v>
      </c>
      <c r="N858" s="2084">
        <v>44568</v>
      </c>
      <c r="O858" s="2085"/>
      <c r="P858" s="2087"/>
      <c r="Q858" s="2085"/>
      <c r="R858" s="2092"/>
      <c r="S858" s="2092"/>
      <c r="T858" s="2094"/>
      <c r="U858" s="2094"/>
      <c r="V858" s="2094"/>
      <c r="W858" s="2092"/>
      <c r="X858" s="2092"/>
      <c r="Y858" s="2085"/>
      <c r="Z858" s="2085"/>
      <c r="AA858" s="2085"/>
      <c r="AB858" s="2085"/>
      <c r="AC858" s="2085"/>
    </row>
    <row r="859" spans="1:29" ht="15.75" thickBot="1">
      <c r="A859" s="2088">
        <v>44531</v>
      </c>
      <c r="B859" s="2089" t="s">
        <v>10555</v>
      </c>
      <c r="C859" s="2089" t="s">
        <v>9800</v>
      </c>
      <c r="D859" s="2089" t="s">
        <v>10556</v>
      </c>
      <c r="E859" s="2090" t="s">
        <v>10557</v>
      </c>
      <c r="F859" s="2089">
        <v>3</v>
      </c>
      <c r="G859" s="2091" t="s">
        <v>10560</v>
      </c>
      <c r="H859" s="2089"/>
      <c r="I859" s="2089" t="s">
        <v>428</v>
      </c>
      <c r="J859" s="2089"/>
      <c r="K859" s="2093">
        <v>150000</v>
      </c>
      <c r="L859" s="2089" t="s">
        <v>112</v>
      </c>
      <c r="M859" s="2088">
        <v>44559</v>
      </c>
      <c r="N859" s="2088">
        <v>44568</v>
      </c>
      <c r="O859" s="2089"/>
      <c r="P859" s="2091"/>
      <c r="Q859" s="2089"/>
      <c r="R859" s="2093"/>
      <c r="S859" s="2093"/>
      <c r="T859" s="2095"/>
      <c r="U859" s="2095"/>
      <c r="V859" s="2095"/>
      <c r="W859" s="2093"/>
      <c r="X859" s="2093"/>
      <c r="Y859" s="2089"/>
      <c r="Z859" s="2089"/>
      <c r="AA859" s="2089"/>
      <c r="AB859" s="2089"/>
      <c r="AC859" s="2089"/>
    </row>
    <row r="860" spans="1:29" ht="15.75" thickTop="1">
      <c r="A860" s="580">
        <v>44536</v>
      </c>
      <c r="B860" s="576" t="s">
        <v>10566</v>
      </c>
      <c r="C860" s="576" t="s">
        <v>58</v>
      </c>
      <c r="D860" s="576" t="s">
        <v>4969</v>
      </c>
      <c r="E860" s="577" t="s">
        <v>10567</v>
      </c>
      <c r="F860" s="576"/>
      <c r="G860" s="1828"/>
      <c r="H860" s="576"/>
      <c r="I860" s="576" t="s">
        <v>780</v>
      </c>
      <c r="J860" s="576" t="s">
        <v>10568</v>
      </c>
      <c r="K860" s="581">
        <v>472240</v>
      </c>
      <c r="L860" s="576" t="s">
        <v>112</v>
      </c>
      <c r="M860" s="580">
        <v>44553</v>
      </c>
      <c r="N860" s="580">
        <v>44568</v>
      </c>
      <c r="O860" s="576"/>
      <c r="P860" s="1828"/>
      <c r="Q860" s="576"/>
      <c r="R860" s="581"/>
      <c r="S860" s="581"/>
      <c r="T860" s="1489"/>
      <c r="U860" s="1489"/>
      <c r="V860" s="1489"/>
      <c r="W860" s="581"/>
      <c r="X860" s="581"/>
      <c r="Y860" s="576"/>
      <c r="Z860" s="576"/>
      <c r="AA860" s="576"/>
      <c r="AB860" s="576"/>
      <c r="AC860" s="576"/>
    </row>
    <row r="861" spans="1:29">
      <c r="A861" s="2084">
        <v>44538</v>
      </c>
      <c r="B861" s="2085" t="s">
        <v>10573</v>
      </c>
      <c r="C861" s="2085" t="s">
        <v>58</v>
      </c>
      <c r="D861" s="2085" t="s">
        <v>4969</v>
      </c>
      <c r="E861" s="2086" t="s">
        <v>10574</v>
      </c>
      <c r="F861" s="2085"/>
      <c r="G861" s="2087"/>
      <c r="H861" s="2085"/>
      <c r="I861" s="2085" t="s">
        <v>77</v>
      </c>
      <c r="J861" s="2085" t="s">
        <v>10575</v>
      </c>
      <c r="K861" s="2092">
        <v>1040500</v>
      </c>
      <c r="L861" s="2085" t="s">
        <v>112</v>
      </c>
      <c r="M861" s="2084">
        <v>44553</v>
      </c>
      <c r="N861" s="2084">
        <v>44568</v>
      </c>
      <c r="O861" s="2085"/>
      <c r="P861" s="2087"/>
      <c r="Q861" s="2085"/>
      <c r="R861" s="2092"/>
      <c r="S861" s="2092"/>
      <c r="T861" s="2094"/>
      <c r="U861" s="2094"/>
      <c r="V861" s="2094"/>
      <c r="W861" s="2092"/>
      <c r="X861" s="2092"/>
      <c r="Y861" s="2085"/>
      <c r="Z861" s="2085"/>
      <c r="AA861" s="2085"/>
      <c r="AB861" s="2085"/>
      <c r="AC861" s="2085"/>
    </row>
    <row r="862" spans="1:29" ht="15.75" thickBot="1">
      <c r="A862" s="1871">
        <v>44546</v>
      </c>
      <c r="B862" s="1437" t="s">
        <v>10599</v>
      </c>
      <c r="C862" s="1437" t="s">
        <v>69</v>
      </c>
      <c r="D862" s="1437" t="s">
        <v>70</v>
      </c>
      <c r="E862" s="1873" t="s">
        <v>10587</v>
      </c>
      <c r="F862" s="1437"/>
      <c r="G862" s="1875"/>
      <c r="H862" s="1437"/>
      <c r="I862" s="1437" t="s">
        <v>814</v>
      </c>
      <c r="J862" s="1437"/>
      <c r="K862" s="1874">
        <v>3833895</v>
      </c>
      <c r="L862" s="1437" t="s">
        <v>251</v>
      </c>
      <c r="M862" s="1871">
        <v>44551</v>
      </c>
      <c r="N862" s="1871">
        <v>44585</v>
      </c>
      <c r="O862" s="1437"/>
      <c r="P862" s="1875"/>
      <c r="Q862" s="1437"/>
      <c r="R862" s="1874"/>
      <c r="S862" s="1874"/>
      <c r="T862" s="1490"/>
      <c r="U862" s="1490"/>
      <c r="V862" s="1490"/>
      <c r="W862" s="1874"/>
      <c r="X862" s="1874"/>
      <c r="Y862" s="1437"/>
      <c r="Z862" s="1437"/>
      <c r="AA862" s="1437"/>
      <c r="AB862" s="1437"/>
      <c r="AC862" s="1437"/>
    </row>
    <row r="863" spans="1:29" ht="15.75" thickTop="1">
      <c r="A863" s="587">
        <v>44546</v>
      </c>
      <c r="B863" s="583" t="s">
        <v>10600</v>
      </c>
      <c r="C863" s="583" t="s">
        <v>69</v>
      </c>
      <c r="D863" s="583" t="s">
        <v>70</v>
      </c>
      <c r="E863" s="584" t="s">
        <v>10610</v>
      </c>
      <c r="F863" s="583">
        <v>1</v>
      </c>
      <c r="G863" s="1427" t="s">
        <v>10588</v>
      </c>
      <c r="H863" s="583"/>
      <c r="I863" s="583" t="s">
        <v>93</v>
      </c>
      <c r="J863" s="583"/>
      <c r="K863" s="588">
        <v>10393222</v>
      </c>
      <c r="L863" s="583" t="s">
        <v>251</v>
      </c>
      <c r="M863" s="587">
        <v>44553</v>
      </c>
      <c r="N863" s="587">
        <v>44588</v>
      </c>
      <c r="O863" s="583"/>
      <c r="P863" s="1427"/>
      <c r="Q863" s="583"/>
      <c r="R863" s="588"/>
      <c r="S863" s="588"/>
      <c r="T863" s="1483"/>
      <c r="U863" s="1483"/>
      <c r="V863" s="1483"/>
      <c r="W863" s="588"/>
      <c r="X863" s="588"/>
      <c r="Y863" s="583"/>
      <c r="Z863" s="583"/>
      <c r="AA863" s="583"/>
      <c r="AB863" s="583"/>
      <c r="AC863" s="583"/>
    </row>
    <row r="864" spans="1:29">
      <c r="A864" s="2084">
        <v>44546</v>
      </c>
      <c r="B864" s="2085" t="s">
        <v>10600</v>
      </c>
      <c r="C864" s="2085" t="s">
        <v>69</v>
      </c>
      <c r="D864" s="2085" t="s">
        <v>70</v>
      </c>
      <c r="E864" s="2086" t="s">
        <v>10610</v>
      </c>
      <c r="F864" s="2085">
        <v>2</v>
      </c>
      <c r="G864" s="2087" t="s">
        <v>10589</v>
      </c>
      <c r="H864" s="2085"/>
      <c r="I864" s="2085" t="s">
        <v>68</v>
      </c>
      <c r="J864" s="2085"/>
      <c r="K864" s="2092">
        <v>13524393</v>
      </c>
      <c r="L864" s="2085" t="s">
        <v>251</v>
      </c>
      <c r="M864" s="2084">
        <v>44553</v>
      </c>
      <c r="N864" s="2084">
        <v>44588</v>
      </c>
      <c r="O864" s="2085"/>
      <c r="P864" s="2087"/>
      <c r="Q864" s="2085"/>
      <c r="R864" s="2092"/>
      <c r="S864" s="2092"/>
      <c r="T864" s="2094"/>
      <c r="U864" s="2094"/>
      <c r="V864" s="2094"/>
      <c r="W864" s="2092"/>
      <c r="X864" s="2092"/>
      <c r="Y864" s="2085"/>
      <c r="Z864" s="2085"/>
      <c r="AA864" s="2085"/>
      <c r="AB864" s="2085"/>
      <c r="AC864" s="2085"/>
    </row>
    <row r="865" spans="1:29">
      <c r="A865" s="2084">
        <v>44546</v>
      </c>
      <c r="B865" s="2085" t="s">
        <v>10600</v>
      </c>
      <c r="C865" s="2085" t="s">
        <v>69</v>
      </c>
      <c r="D865" s="2085" t="s">
        <v>70</v>
      </c>
      <c r="E865" s="2086" t="s">
        <v>10610</v>
      </c>
      <c r="F865" s="2085">
        <v>3</v>
      </c>
      <c r="G865" s="2087" t="s">
        <v>5435</v>
      </c>
      <c r="H865" s="2085"/>
      <c r="I865" s="2085" t="s">
        <v>93</v>
      </c>
      <c r="J865" s="2085"/>
      <c r="K865" s="2092">
        <v>5983454</v>
      </c>
      <c r="L865" s="2085" t="s">
        <v>251</v>
      </c>
      <c r="M865" s="2084">
        <v>44553</v>
      </c>
      <c r="N865" s="2084">
        <v>44588</v>
      </c>
      <c r="O865" s="2085"/>
      <c r="P865" s="2087"/>
      <c r="Q865" s="2085"/>
      <c r="R865" s="2092"/>
      <c r="S865" s="2092"/>
      <c r="T865" s="2094"/>
      <c r="U865" s="2094"/>
      <c r="V865" s="2094"/>
      <c r="W865" s="2092"/>
      <c r="X865" s="2092"/>
      <c r="Y865" s="2085"/>
      <c r="Z865" s="2085"/>
      <c r="AA865" s="2085"/>
      <c r="AB865" s="2085"/>
      <c r="AC865" s="2085"/>
    </row>
    <row r="866" spans="1:29" ht="15.75" thickBot="1">
      <c r="A866" s="2088">
        <v>44546</v>
      </c>
      <c r="B866" s="2089" t="s">
        <v>10600</v>
      </c>
      <c r="C866" s="2089" t="s">
        <v>69</v>
      </c>
      <c r="D866" s="2089" t="s">
        <v>70</v>
      </c>
      <c r="E866" s="2090" t="s">
        <v>10610</v>
      </c>
      <c r="F866" s="2089">
        <v>4</v>
      </c>
      <c r="G866" s="2091" t="s">
        <v>10590</v>
      </c>
      <c r="H866" s="2089"/>
      <c r="I866" s="2089" t="s">
        <v>93</v>
      </c>
      <c r="J866" s="2089"/>
      <c r="K866" s="2093">
        <v>7206684</v>
      </c>
      <c r="L866" s="2089" t="s">
        <v>251</v>
      </c>
      <c r="M866" s="2088">
        <v>44553</v>
      </c>
      <c r="N866" s="2088">
        <v>44588</v>
      </c>
      <c r="O866" s="2089"/>
      <c r="P866" s="2091"/>
      <c r="Q866" s="2089"/>
      <c r="R866" s="2093"/>
      <c r="S866" s="2093"/>
      <c r="T866" s="2095"/>
      <c r="U866" s="2095"/>
      <c r="V866" s="2095"/>
      <c r="W866" s="2093"/>
      <c r="X866" s="2093"/>
      <c r="Y866" s="2089"/>
      <c r="Z866" s="2089"/>
      <c r="AA866" s="2089"/>
      <c r="AB866" s="2089"/>
      <c r="AC866" s="2089"/>
    </row>
    <row r="867" spans="1:29" ht="15.75" thickTop="1">
      <c r="A867" s="587">
        <v>44546</v>
      </c>
      <c r="B867" s="583" t="s">
        <v>10601</v>
      </c>
      <c r="C867" s="583" t="s">
        <v>69</v>
      </c>
      <c r="D867" s="583" t="s">
        <v>70</v>
      </c>
      <c r="E867" s="584" t="s">
        <v>10591</v>
      </c>
      <c r="F867" s="583">
        <v>1</v>
      </c>
      <c r="G867" s="1427" t="s">
        <v>5414</v>
      </c>
      <c r="H867" s="583"/>
      <c r="I867" s="2453" t="s">
        <v>3187</v>
      </c>
      <c r="J867" s="583"/>
      <c r="K867" s="588">
        <v>504160</v>
      </c>
      <c r="L867" s="583" t="s">
        <v>251</v>
      </c>
      <c r="M867" s="587">
        <v>44551</v>
      </c>
      <c r="N867" s="587">
        <v>44585</v>
      </c>
      <c r="O867" s="583"/>
      <c r="P867" s="1427"/>
      <c r="Q867" s="583"/>
      <c r="R867" s="588"/>
      <c r="S867" s="588"/>
      <c r="T867" s="1483"/>
      <c r="U867" s="1483"/>
      <c r="V867" s="1483"/>
      <c r="W867" s="588"/>
      <c r="X867" s="588"/>
      <c r="Y867" s="583"/>
      <c r="Z867" s="583"/>
      <c r="AA867" s="583"/>
      <c r="AB867" s="583"/>
      <c r="AC867" s="583"/>
    </row>
    <row r="868" spans="1:29">
      <c r="A868" s="2084">
        <v>44546</v>
      </c>
      <c r="B868" s="2085" t="s">
        <v>10601</v>
      </c>
      <c r="C868" s="2085" t="s">
        <v>69</v>
      </c>
      <c r="D868" s="2085" t="s">
        <v>70</v>
      </c>
      <c r="E868" s="2086" t="s">
        <v>10591</v>
      </c>
      <c r="F868" s="2085">
        <v>2</v>
      </c>
      <c r="G868" s="2087" t="s">
        <v>5415</v>
      </c>
      <c r="H868" s="2085"/>
      <c r="I868" s="2454" t="s">
        <v>3187</v>
      </c>
      <c r="J868" s="2085"/>
      <c r="K868" s="2092">
        <v>2473707</v>
      </c>
      <c r="L868" s="2085" t="s">
        <v>251</v>
      </c>
      <c r="M868" s="2084">
        <v>44551</v>
      </c>
      <c r="N868" s="2084">
        <v>44585</v>
      </c>
      <c r="O868" s="2085"/>
      <c r="P868" s="2087"/>
      <c r="Q868" s="2085"/>
      <c r="R868" s="2092"/>
      <c r="S868" s="2092"/>
      <c r="T868" s="2094"/>
      <c r="U868" s="2094"/>
      <c r="V868" s="2094"/>
      <c r="W868" s="2092"/>
      <c r="X868" s="2092"/>
      <c r="Y868" s="2085"/>
      <c r="Z868" s="2085"/>
      <c r="AA868" s="2085"/>
      <c r="AB868" s="2085"/>
      <c r="AC868" s="2085"/>
    </row>
    <row r="869" spans="1:29">
      <c r="A869" s="2084">
        <v>44546</v>
      </c>
      <c r="B869" s="2085" t="s">
        <v>10601</v>
      </c>
      <c r="C869" s="2085" t="s">
        <v>69</v>
      </c>
      <c r="D869" s="2085" t="s">
        <v>70</v>
      </c>
      <c r="E869" s="2086" t="s">
        <v>10591</v>
      </c>
      <c r="F869" s="2085">
        <v>3</v>
      </c>
      <c r="G869" s="2087" t="s">
        <v>5416</v>
      </c>
      <c r="H869" s="2085"/>
      <c r="I869" s="2454" t="s">
        <v>3187</v>
      </c>
      <c r="J869" s="2085"/>
      <c r="K869" s="2092">
        <v>1853837</v>
      </c>
      <c r="L869" s="2085" t="s">
        <v>251</v>
      </c>
      <c r="M869" s="2084">
        <v>44551</v>
      </c>
      <c r="N869" s="2084">
        <v>44585</v>
      </c>
      <c r="O869" s="2085"/>
      <c r="P869" s="2087"/>
      <c r="Q869" s="2085"/>
      <c r="R869" s="2092"/>
      <c r="S869" s="2092"/>
      <c r="T869" s="2094"/>
      <c r="U869" s="2094"/>
      <c r="V869" s="2094"/>
      <c r="W869" s="2092"/>
      <c r="X869" s="2092"/>
      <c r="Y869" s="2085"/>
      <c r="Z869" s="2085"/>
      <c r="AA869" s="2085"/>
      <c r="AB869" s="2085"/>
      <c r="AC869" s="2085"/>
    </row>
    <row r="870" spans="1:29">
      <c r="A870" s="2084">
        <v>44546</v>
      </c>
      <c r="B870" s="2085" t="s">
        <v>10601</v>
      </c>
      <c r="C870" s="2085" t="s">
        <v>69</v>
      </c>
      <c r="D870" s="2085" t="s">
        <v>70</v>
      </c>
      <c r="E870" s="2086" t="s">
        <v>10591</v>
      </c>
      <c r="F870" s="2085">
        <v>4</v>
      </c>
      <c r="G870" s="2087" t="s">
        <v>5417</v>
      </c>
      <c r="H870" s="2085"/>
      <c r="I870" s="2454" t="s">
        <v>3187</v>
      </c>
      <c r="J870" s="2085"/>
      <c r="K870" s="2092">
        <v>1895882</v>
      </c>
      <c r="L870" s="2085" t="s">
        <v>251</v>
      </c>
      <c r="M870" s="2084">
        <v>44551</v>
      </c>
      <c r="N870" s="2084">
        <v>44585</v>
      </c>
      <c r="O870" s="2085"/>
      <c r="P870" s="2087"/>
      <c r="Q870" s="2085"/>
      <c r="R870" s="2092"/>
      <c r="S870" s="2092"/>
      <c r="T870" s="2094"/>
      <c r="U870" s="2094"/>
      <c r="V870" s="2094"/>
      <c r="W870" s="2092"/>
      <c r="X870" s="2092"/>
      <c r="Y870" s="2085"/>
      <c r="Z870" s="2085"/>
      <c r="AA870" s="2085"/>
      <c r="AB870" s="2085"/>
      <c r="AC870" s="2085"/>
    </row>
    <row r="871" spans="1:29">
      <c r="A871" s="2084">
        <v>44546</v>
      </c>
      <c r="B871" s="2085" t="s">
        <v>10601</v>
      </c>
      <c r="C871" s="2085" t="s">
        <v>69</v>
      </c>
      <c r="D871" s="2085" t="s">
        <v>70</v>
      </c>
      <c r="E871" s="2086" t="s">
        <v>10591</v>
      </c>
      <c r="F871" s="2085">
        <v>5</v>
      </c>
      <c r="G871" s="2087" t="s">
        <v>5418</v>
      </c>
      <c r="H871" s="2085"/>
      <c r="I871" s="2454" t="s">
        <v>3187</v>
      </c>
      <c r="J871" s="2085"/>
      <c r="K871" s="2092">
        <v>1544455</v>
      </c>
      <c r="L871" s="2085" t="s">
        <v>251</v>
      </c>
      <c r="M871" s="2084">
        <v>44551</v>
      </c>
      <c r="N871" s="2084">
        <v>44585</v>
      </c>
      <c r="O871" s="2085"/>
      <c r="P871" s="2087"/>
      <c r="Q871" s="2085"/>
      <c r="R871" s="2092"/>
      <c r="S871" s="2092"/>
      <c r="T871" s="2094"/>
      <c r="U871" s="2094"/>
      <c r="V871" s="2094"/>
      <c r="W871" s="2092"/>
      <c r="X871" s="2092"/>
      <c r="Y871" s="2085"/>
      <c r="Z871" s="2085"/>
      <c r="AA871" s="2085"/>
      <c r="AB871" s="2085"/>
      <c r="AC871" s="2085"/>
    </row>
    <row r="872" spans="1:29">
      <c r="A872" s="2084">
        <v>44546</v>
      </c>
      <c r="B872" s="2085" t="s">
        <v>10601</v>
      </c>
      <c r="C872" s="2085" t="s">
        <v>69</v>
      </c>
      <c r="D872" s="2085" t="s">
        <v>70</v>
      </c>
      <c r="E872" s="2086" t="s">
        <v>10591</v>
      </c>
      <c r="F872" s="2085">
        <v>6</v>
      </c>
      <c r="G872" s="2087" t="s">
        <v>5419</v>
      </c>
      <c r="H872" s="2085"/>
      <c r="I872" s="2454" t="s">
        <v>3187</v>
      </c>
      <c r="J872" s="2085"/>
      <c r="K872" s="2092">
        <v>2890813</v>
      </c>
      <c r="L872" s="2085" t="s">
        <v>251</v>
      </c>
      <c r="M872" s="2084">
        <v>44551</v>
      </c>
      <c r="N872" s="2084">
        <v>44585</v>
      </c>
      <c r="O872" s="2085"/>
      <c r="P872" s="2087"/>
      <c r="Q872" s="2085"/>
      <c r="R872" s="2092"/>
      <c r="S872" s="2092"/>
      <c r="T872" s="2094"/>
      <c r="U872" s="2094"/>
      <c r="V872" s="2094"/>
      <c r="W872" s="2092"/>
      <c r="X872" s="2092"/>
      <c r="Y872" s="2085"/>
      <c r="Z872" s="2085"/>
      <c r="AA872" s="2085"/>
      <c r="AB872" s="2085"/>
      <c r="AC872" s="2085"/>
    </row>
    <row r="873" spans="1:29" ht="15.75" thickBot="1">
      <c r="A873" s="2088">
        <v>44546</v>
      </c>
      <c r="B873" s="2089" t="s">
        <v>10601</v>
      </c>
      <c r="C873" s="2089" t="s">
        <v>69</v>
      </c>
      <c r="D873" s="2089" t="s">
        <v>70</v>
      </c>
      <c r="E873" s="2090" t="s">
        <v>10591</v>
      </c>
      <c r="F873" s="2089">
        <v>7</v>
      </c>
      <c r="G873" s="2091" t="s">
        <v>5420</v>
      </c>
      <c r="H873" s="2089"/>
      <c r="I873" s="2455" t="s">
        <v>3187</v>
      </c>
      <c r="J873" s="2089"/>
      <c r="K873" s="2093">
        <v>6193398</v>
      </c>
      <c r="L873" s="2089" t="s">
        <v>251</v>
      </c>
      <c r="M873" s="2088">
        <v>44551</v>
      </c>
      <c r="N873" s="2088">
        <v>44585</v>
      </c>
      <c r="O873" s="2089"/>
      <c r="P873" s="2091"/>
      <c r="Q873" s="2089"/>
      <c r="R873" s="2093"/>
      <c r="S873" s="2093"/>
      <c r="T873" s="2095"/>
      <c r="U873" s="2095"/>
      <c r="V873" s="2095"/>
      <c r="W873" s="2093"/>
      <c r="X873" s="2093"/>
      <c r="Y873" s="2089"/>
      <c r="Z873" s="2089"/>
      <c r="AA873" s="2089"/>
      <c r="AB873" s="2089"/>
      <c r="AC873" s="2089"/>
    </row>
    <row r="874" spans="1:29" ht="15.75" thickTop="1">
      <c r="A874" s="580">
        <v>44546</v>
      </c>
      <c r="B874" s="576" t="s">
        <v>10602</v>
      </c>
      <c r="C874" s="576" t="s">
        <v>69</v>
      </c>
      <c r="D874" s="576" t="s">
        <v>70</v>
      </c>
      <c r="E874" s="577" t="s">
        <v>10592</v>
      </c>
      <c r="F874" s="576"/>
      <c r="G874" s="1828"/>
      <c r="H874" s="576"/>
      <c r="I874" s="576" t="s">
        <v>2418</v>
      </c>
      <c r="J874" s="576"/>
      <c r="K874" s="581">
        <v>1454316</v>
      </c>
      <c r="L874" s="576" t="s">
        <v>251</v>
      </c>
      <c r="M874" s="580">
        <v>44547</v>
      </c>
      <c r="N874" s="580">
        <v>44581</v>
      </c>
      <c r="O874" s="576"/>
      <c r="P874" s="1828"/>
      <c r="Q874" s="576"/>
      <c r="R874" s="581"/>
      <c r="S874" s="581"/>
      <c r="T874" s="1489"/>
      <c r="U874" s="1489"/>
      <c r="V874" s="1489"/>
      <c r="W874" s="581"/>
      <c r="X874" s="581"/>
      <c r="Y874" s="576"/>
      <c r="Z874" s="576"/>
      <c r="AA874" s="576"/>
      <c r="AB874" s="576"/>
      <c r="AC874" s="576"/>
    </row>
    <row r="875" spans="1:29">
      <c r="A875" s="2388">
        <v>44547</v>
      </c>
      <c r="B875" s="2079" t="s">
        <v>10624</v>
      </c>
      <c r="C875" s="2079" t="s">
        <v>2434</v>
      </c>
      <c r="D875" s="2079" t="s">
        <v>219</v>
      </c>
      <c r="E875" s="2385" t="s">
        <v>10625</v>
      </c>
      <c r="F875" s="2079"/>
      <c r="G875" s="2386"/>
      <c r="H875" s="2079"/>
      <c r="I875" s="2079" t="s">
        <v>3013</v>
      </c>
      <c r="J875" s="2079"/>
      <c r="K875" s="2387">
        <v>2294037</v>
      </c>
      <c r="L875" s="2079" t="s">
        <v>251</v>
      </c>
      <c r="M875" s="2079"/>
      <c r="N875" s="2079"/>
      <c r="O875" s="2079"/>
      <c r="P875" s="2386"/>
      <c r="Q875" s="2079"/>
      <c r="R875" s="2387"/>
      <c r="S875" s="2387"/>
      <c r="T875" s="2080"/>
      <c r="U875" s="2080"/>
      <c r="V875" s="2080"/>
      <c r="W875" s="2387"/>
      <c r="X875" s="2387"/>
      <c r="Y875" s="2079"/>
      <c r="Z875" s="2079"/>
      <c r="AA875" s="2079"/>
      <c r="AB875" s="2079"/>
      <c r="AC875" s="2079"/>
    </row>
    <row r="876" spans="1:29">
      <c r="A876" s="2344">
        <v>44559</v>
      </c>
      <c r="B876" s="2105" t="s">
        <v>10631</v>
      </c>
      <c r="C876" s="2105" t="s">
        <v>69</v>
      </c>
      <c r="D876" s="2105" t="s">
        <v>70</v>
      </c>
      <c r="E876" s="2457" t="s">
        <v>10632</v>
      </c>
      <c r="F876" s="2105"/>
      <c r="G876" s="2346"/>
      <c r="H876" s="2105"/>
      <c r="I876" s="2105" t="s">
        <v>3436</v>
      </c>
      <c r="J876" s="2105"/>
      <c r="K876" s="2347">
        <v>63821520</v>
      </c>
      <c r="L876" s="2105" t="s">
        <v>251</v>
      </c>
      <c r="M876" s="2344"/>
      <c r="N876" s="2344"/>
      <c r="O876" s="2105"/>
      <c r="P876" s="2346"/>
      <c r="Q876" s="2105"/>
      <c r="R876" s="2347"/>
      <c r="S876" s="2347"/>
      <c r="T876" s="2348"/>
      <c r="U876" s="2348"/>
      <c r="V876" s="2348"/>
      <c r="W876" s="2347"/>
      <c r="X876" s="2347"/>
      <c r="Y876" s="2105"/>
      <c r="Z876" s="2105"/>
      <c r="AA876" s="2105"/>
      <c r="AB876" s="2105"/>
      <c r="AC876" s="2105"/>
    </row>
    <row r="877" spans="1:29">
      <c r="A877" s="2105"/>
      <c r="B877" s="2105"/>
      <c r="C877" s="2105"/>
      <c r="D877" s="2105"/>
      <c r="E877" s="2345"/>
      <c r="F877" s="2105"/>
      <c r="G877" s="2346"/>
      <c r="H877" s="2105"/>
      <c r="I877" s="2105"/>
      <c r="J877" s="2105"/>
      <c r="K877" s="2347"/>
      <c r="L877" s="2105"/>
      <c r="M877" s="2105"/>
      <c r="N877" s="2105"/>
      <c r="O877" s="2105"/>
      <c r="P877" s="2346"/>
      <c r="Q877" s="2105"/>
      <c r="R877" s="2347"/>
      <c r="S877" s="2347"/>
      <c r="T877" s="2348"/>
      <c r="U877" s="2348"/>
      <c r="V877" s="2348"/>
      <c r="W877" s="2347"/>
      <c r="X877" s="2347"/>
      <c r="Y877" s="2105"/>
      <c r="Z877" s="2105"/>
      <c r="AA877" s="2105"/>
      <c r="AB877" s="2105"/>
      <c r="AC877" s="2105"/>
    </row>
    <row r="878" spans="1:29">
      <c r="A878" s="2105"/>
      <c r="B878" s="2105"/>
      <c r="C878" s="2105"/>
      <c r="D878" s="2105"/>
      <c r="E878" s="2345"/>
      <c r="F878" s="2105"/>
      <c r="G878" s="2346"/>
      <c r="H878" s="2105"/>
      <c r="I878" s="2105"/>
      <c r="J878" s="2105"/>
      <c r="K878" s="2347"/>
      <c r="L878" s="2105"/>
      <c r="M878" s="2105"/>
      <c r="N878" s="2105"/>
      <c r="O878" s="2105"/>
      <c r="P878" s="2346"/>
      <c r="Q878" s="2105"/>
      <c r="R878" s="2347"/>
      <c r="S878" s="2347"/>
      <c r="T878" s="2348"/>
      <c r="U878" s="2348"/>
      <c r="V878" s="2348"/>
      <c r="W878" s="2347"/>
      <c r="X878" s="2347"/>
      <c r="Y878" s="2105"/>
      <c r="Z878" s="2105"/>
      <c r="AA878" s="2105"/>
      <c r="AB878" s="2105"/>
      <c r="AC878" s="2105"/>
    </row>
    <row r="879" spans="1:29">
      <c r="A879" s="2105"/>
      <c r="B879" s="2105"/>
      <c r="C879" s="2105"/>
      <c r="D879" s="2105"/>
      <c r="E879" s="2345"/>
      <c r="F879" s="2105"/>
      <c r="G879" s="2346"/>
      <c r="H879" s="2105"/>
      <c r="I879" s="2105"/>
      <c r="J879" s="2105"/>
      <c r="K879" s="2347"/>
      <c r="L879" s="2105"/>
      <c r="M879" s="2105"/>
      <c r="N879" s="2105"/>
      <c r="O879" s="2105"/>
      <c r="P879" s="2346"/>
      <c r="Q879" s="2105"/>
      <c r="R879" s="2347"/>
      <c r="S879" s="2347"/>
      <c r="T879" s="2348"/>
      <c r="U879" s="2348"/>
      <c r="V879" s="2348"/>
      <c r="W879" s="2347"/>
      <c r="X879" s="2347"/>
      <c r="Y879" s="2105"/>
      <c r="Z879" s="2105"/>
      <c r="AA879" s="2105"/>
      <c r="AB879" s="2105"/>
      <c r="AC879" s="2105"/>
    </row>
    <row r="880" spans="1:29">
      <c r="A880" s="2105"/>
      <c r="B880" s="2105"/>
      <c r="C880" s="2105"/>
      <c r="D880" s="2105"/>
      <c r="E880" s="2345"/>
      <c r="F880" s="2105"/>
      <c r="G880" s="2346"/>
      <c r="H880" s="2105"/>
      <c r="I880" s="2105"/>
      <c r="J880" s="2105"/>
      <c r="K880" s="2347"/>
      <c r="L880" s="2105"/>
      <c r="M880" s="2105"/>
      <c r="N880" s="2105"/>
      <c r="O880" s="2105"/>
      <c r="P880" s="2346"/>
      <c r="Q880" s="2105"/>
      <c r="R880" s="2347"/>
      <c r="S880" s="2347"/>
      <c r="T880" s="2348"/>
      <c r="U880" s="2348"/>
      <c r="V880" s="2348"/>
      <c r="W880" s="2347"/>
      <c r="X880" s="2347"/>
      <c r="Y880" s="2105"/>
      <c r="Z880" s="2105"/>
      <c r="AA880" s="2105"/>
      <c r="AB880" s="2105"/>
      <c r="AC880" s="2105"/>
    </row>
    <row r="881" spans="1:29">
      <c r="A881" s="2105"/>
      <c r="B881" s="2105"/>
      <c r="C881" s="2105"/>
      <c r="D881" s="2105"/>
      <c r="E881" s="2345"/>
      <c r="F881" s="2105"/>
      <c r="G881" s="2346"/>
      <c r="H881" s="2105"/>
      <c r="I881" s="2105"/>
      <c r="J881" s="2105"/>
      <c r="K881" s="2347"/>
      <c r="L881" s="2105"/>
      <c r="M881" s="2105"/>
      <c r="N881" s="2105"/>
      <c r="O881" s="2105"/>
      <c r="P881" s="2346"/>
      <c r="Q881" s="2105"/>
      <c r="R881" s="2347"/>
      <c r="S881" s="2347"/>
      <c r="T881" s="2348"/>
      <c r="U881" s="2348"/>
      <c r="V881" s="2348"/>
      <c r="W881" s="2347"/>
      <c r="X881" s="2347"/>
      <c r="Y881" s="2105"/>
      <c r="Z881" s="2105"/>
      <c r="AA881" s="2105"/>
      <c r="AB881" s="2105"/>
      <c r="AC881" s="2105"/>
    </row>
    <row r="882" spans="1:29">
      <c r="A882" s="2105"/>
      <c r="B882" s="2105"/>
      <c r="C882" s="2105"/>
      <c r="D882" s="2105"/>
      <c r="E882" s="2345"/>
      <c r="F882" s="2105"/>
      <c r="G882" s="2346"/>
      <c r="H882" s="2105"/>
      <c r="I882" s="2105"/>
      <c r="J882" s="2105"/>
      <c r="K882" s="2347"/>
      <c r="L882" s="2105"/>
      <c r="M882" s="2105"/>
      <c r="N882" s="2105"/>
      <c r="O882" s="2105"/>
      <c r="P882" s="2346"/>
      <c r="Q882" s="2105"/>
      <c r="R882" s="2347"/>
      <c r="S882" s="2347"/>
      <c r="T882" s="2348"/>
      <c r="U882" s="2348"/>
      <c r="V882" s="2348"/>
      <c r="W882" s="2347"/>
      <c r="X882" s="2347"/>
      <c r="Y882" s="2105"/>
      <c r="Z882" s="2105"/>
      <c r="AA882" s="2105"/>
      <c r="AB882" s="2105"/>
      <c r="AC882" s="2105"/>
    </row>
    <row r="883" spans="1:29">
      <c r="A883" s="2105"/>
      <c r="B883" s="2105"/>
      <c r="C883" s="2105"/>
      <c r="D883" s="2105"/>
      <c r="E883" s="2345"/>
      <c r="F883" s="2105"/>
      <c r="G883" s="2346"/>
      <c r="H883" s="2105"/>
      <c r="I883" s="2105"/>
      <c r="J883" s="2105"/>
      <c r="K883" s="2347"/>
      <c r="L883" s="2105"/>
      <c r="M883" s="2105"/>
      <c r="N883" s="2105"/>
      <c r="O883" s="2105"/>
      <c r="P883" s="2346"/>
      <c r="Q883" s="2105"/>
      <c r="R883" s="2347"/>
      <c r="S883" s="2347"/>
      <c r="T883" s="2348"/>
      <c r="U883" s="2348"/>
      <c r="V883" s="2348"/>
      <c r="W883" s="2347"/>
      <c r="X883" s="2347"/>
      <c r="Y883" s="2105"/>
      <c r="Z883" s="2105"/>
      <c r="AA883" s="2105"/>
      <c r="AB883" s="2105"/>
      <c r="AC883" s="2105"/>
    </row>
    <row r="884" spans="1:29">
      <c r="A884" s="2105"/>
      <c r="B884" s="2105"/>
      <c r="C884" s="2105"/>
      <c r="D884" s="2105"/>
      <c r="E884" s="2345"/>
      <c r="F884" s="2105"/>
      <c r="G884" s="2346"/>
      <c r="H884" s="2105"/>
      <c r="I884" s="2105"/>
      <c r="J884" s="2105"/>
      <c r="K884" s="2347"/>
      <c r="L884" s="2105"/>
      <c r="M884" s="2105"/>
      <c r="N884" s="2105"/>
      <c r="O884" s="2105"/>
      <c r="P884" s="2346"/>
      <c r="Q884" s="2105"/>
      <c r="R884" s="2347"/>
      <c r="S884" s="2347"/>
      <c r="T884" s="2348"/>
      <c r="U884" s="2348"/>
      <c r="V884" s="2348"/>
      <c r="W884" s="2347"/>
      <c r="X884" s="2347"/>
      <c r="Y884" s="2105"/>
      <c r="Z884" s="2105"/>
      <c r="AA884" s="2105"/>
      <c r="AB884" s="2105"/>
      <c r="AC884" s="2105"/>
    </row>
    <row r="885" spans="1:29">
      <c r="A885" s="2105"/>
      <c r="B885" s="2105"/>
      <c r="C885" s="2105"/>
      <c r="D885" s="2105"/>
      <c r="E885" s="2345"/>
      <c r="F885" s="2105"/>
      <c r="G885" s="2346"/>
      <c r="H885" s="2105"/>
      <c r="I885" s="2105"/>
      <c r="J885" s="2105"/>
      <c r="K885" s="2347"/>
      <c r="L885" s="2105"/>
      <c r="M885" s="2105"/>
      <c r="N885" s="2105"/>
      <c r="O885" s="2105"/>
      <c r="P885" s="2346"/>
      <c r="Q885" s="2105"/>
      <c r="R885" s="2347"/>
      <c r="S885" s="2347"/>
      <c r="T885" s="2348"/>
      <c r="U885" s="2348"/>
      <c r="V885" s="2348"/>
      <c r="W885" s="2347"/>
      <c r="X885" s="2347"/>
      <c r="Y885" s="2105"/>
      <c r="Z885" s="2105"/>
      <c r="AA885" s="2105"/>
      <c r="AB885" s="2105"/>
      <c r="AC885" s="2105"/>
    </row>
    <row r="886" spans="1:29">
      <c r="A886" s="2105"/>
      <c r="B886" s="2105"/>
      <c r="C886" s="2105"/>
      <c r="D886" s="2105"/>
      <c r="E886" s="2345"/>
      <c r="F886" s="2105"/>
      <c r="G886" s="2346"/>
      <c r="H886" s="2105"/>
      <c r="I886" s="2105"/>
      <c r="J886" s="2105"/>
      <c r="K886" s="2347"/>
      <c r="L886" s="2105"/>
      <c r="M886" s="2105"/>
      <c r="N886" s="2105"/>
      <c r="O886" s="2105"/>
      <c r="P886" s="2346"/>
      <c r="Q886" s="2105"/>
      <c r="R886" s="2347"/>
      <c r="S886" s="2347"/>
      <c r="T886" s="2348"/>
      <c r="U886" s="2348"/>
      <c r="V886" s="2348"/>
      <c r="W886" s="2347"/>
      <c r="X886" s="2347"/>
      <c r="Y886" s="2105"/>
      <c r="Z886" s="2105"/>
      <c r="AA886" s="2105"/>
      <c r="AB886" s="2105"/>
      <c r="AC886" s="2105"/>
    </row>
    <row r="887" spans="1:29">
      <c r="A887" s="2105"/>
      <c r="B887" s="2105"/>
      <c r="C887" s="2105"/>
      <c r="D887" s="2105"/>
      <c r="E887" s="2345"/>
      <c r="F887" s="2105"/>
      <c r="G887" s="2346"/>
      <c r="H887" s="2105"/>
      <c r="I887" s="2105"/>
      <c r="J887" s="2105"/>
      <c r="K887" s="2347"/>
      <c r="L887" s="2105"/>
      <c r="M887" s="2105"/>
      <c r="N887" s="2105"/>
      <c r="O887" s="2105"/>
      <c r="P887" s="2346"/>
      <c r="Q887" s="2105"/>
      <c r="R887" s="2347"/>
      <c r="S887" s="2347"/>
      <c r="T887" s="2348"/>
      <c r="U887" s="2348"/>
      <c r="V887" s="2348"/>
      <c r="W887" s="2347"/>
      <c r="X887" s="2347"/>
      <c r="Y887" s="2105"/>
      <c r="Z887" s="2105"/>
      <c r="AA887" s="2105"/>
      <c r="AB887" s="2105"/>
      <c r="AC887" s="2105"/>
    </row>
    <row r="888" spans="1:29">
      <c r="A888" s="2105"/>
      <c r="B888" s="2105"/>
      <c r="C888" s="2105"/>
      <c r="D888" s="2105"/>
      <c r="E888" s="2345"/>
      <c r="F888" s="2105"/>
      <c r="G888" s="2346"/>
      <c r="H888" s="2105"/>
      <c r="I888" s="2105"/>
      <c r="J888" s="2105"/>
      <c r="K888" s="2347"/>
      <c r="L888" s="2105"/>
      <c r="M888" s="2105"/>
      <c r="N888" s="2105"/>
      <c r="O888" s="2105"/>
      <c r="P888" s="2346"/>
      <c r="Q888" s="2105"/>
      <c r="R888" s="2347"/>
      <c r="S888" s="2347"/>
      <c r="T888" s="2348"/>
      <c r="U888" s="2348"/>
      <c r="V888" s="2348"/>
      <c r="W888" s="2347"/>
      <c r="X888" s="2347"/>
      <c r="Y888" s="2105"/>
      <c r="Z888" s="2105"/>
      <c r="AA888" s="2105"/>
      <c r="AB888" s="2105"/>
      <c r="AC888" s="2105"/>
    </row>
    <row r="889" spans="1:29">
      <c r="A889" s="2105"/>
      <c r="B889" s="2105"/>
      <c r="C889" s="2105"/>
      <c r="D889" s="2105"/>
      <c r="E889" s="2345"/>
      <c r="F889" s="2105"/>
      <c r="G889" s="2346"/>
      <c r="H889" s="2105"/>
      <c r="I889" s="2105"/>
      <c r="J889" s="2105"/>
      <c r="K889" s="2347"/>
      <c r="L889" s="2105"/>
      <c r="M889" s="2105"/>
      <c r="N889" s="2105"/>
      <c r="O889" s="2105"/>
      <c r="P889" s="2346"/>
      <c r="Q889" s="2105"/>
      <c r="R889" s="2347"/>
      <c r="S889" s="2347"/>
      <c r="T889" s="2348"/>
      <c r="U889" s="2348"/>
      <c r="V889" s="2348"/>
      <c r="W889" s="2347"/>
      <c r="X889" s="2347"/>
      <c r="Y889" s="2105"/>
      <c r="Z889" s="2105"/>
      <c r="AA889" s="2105"/>
      <c r="AB889" s="2105"/>
      <c r="AC889" s="2105"/>
    </row>
    <row r="890" spans="1:29">
      <c r="A890" s="2105"/>
      <c r="B890" s="2105"/>
      <c r="C890" s="2105"/>
      <c r="D890" s="2105"/>
      <c r="E890" s="2345"/>
      <c r="F890" s="2105"/>
      <c r="G890" s="2346"/>
      <c r="H890" s="2105"/>
      <c r="I890" s="2105"/>
      <c r="J890" s="2105"/>
      <c r="K890" s="2347"/>
      <c r="L890" s="2105"/>
      <c r="M890" s="2105"/>
      <c r="N890" s="2105"/>
      <c r="O890" s="2105"/>
      <c r="P890" s="2346"/>
      <c r="Q890" s="2105"/>
      <c r="R890" s="2347"/>
      <c r="S890" s="2347"/>
      <c r="T890" s="2348"/>
      <c r="U890" s="2348"/>
      <c r="V890" s="2348"/>
      <c r="W890" s="2347"/>
      <c r="X890" s="2347"/>
      <c r="Y890" s="2105"/>
      <c r="Z890" s="2105"/>
      <c r="AA890" s="2105"/>
      <c r="AB890" s="2105"/>
      <c r="AC890" s="2105"/>
    </row>
    <row r="891" spans="1:29">
      <c r="A891" s="2105"/>
      <c r="B891" s="2105"/>
      <c r="C891" s="2105"/>
      <c r="D891" s="2105"/>
      <c r="E891" s="2345"/>
      <c r="F891" s="2105"/>
      <c r="G891" s="2346"/>
      <c r="H891" s="2105"/>
      <c r="I891" s="2105"/>
      <c r="J891" s="2105"/>
      <c r="K891" s="2347"/>
      <c r="L891" s="2105"/>
      <c r="M891" s="2105"/>
      <c r="N891" s="2105"/>
      <c r="O891" s="2105"/>
      <c r="P891" s="2346"/>
      <c r="Q891" s="2105"/>
      <c r="R891" s="2347"/>
      <c r="S891" s="2347"/>
      <c r="T891" s="2348"/>
      <c r="U891" s="2348"/>
      <c r="V891" s="2348"/>
      <c r="W891" s="2347"/>
      <c r="X891" s="2347"/>
      <c r="Y891" s="2105"/>
      <c r="Z891" s="2105"/>
      <c r="AA891" s="2105"/>
      <c r="AB891" s="2105"/>
      <c r="AC891" s="2105"/>
    </row>
    <row r="892" spans="1:29">
      <c r="A892" s="2105"/>
      <c r="B892" s="2105"/>
      <c r="C892" s="2105"/>
      <c r="D892" s="2105"/>
      <c r="E892" s="2345"/>
      <c r="F892" s="2105"/>
      <c r="G892" s="2346"/>
      <c r="H892" s="2105"/>
      <c r="I892" s="2105"/>
      <c r="J892" s="2105"/>
      <c r="K892" s="2347"/>
      <c r="L892" s="2105"/>
      <c r="M892" s="2105"/>
      <c r="N892" s="2105"/>
      <c r="O892" s="2105"/>
      <c r="P892" s="2346"/>
      <c r="Q892" s="2105"/>
      <c r="R892" s="2347"/>
      <c r="S892" s="2347"/>
      <c r="T892" s="2348"/>
      <c r="U892" s="2348"/>
      <c r="V892" s="2348"/>
      <c r="W892" s="2347"/>
      <c r="X892" s="2347"/>
      <c r="Y892" s="2105"/>
      <c r="Z892" s="2105"/>
      <c r="AA892" s="2105"/>
      <c r="AB892" s="2105"/>
      <c r="AC892" s="2105"/>
    </row>
    <row r="893" spans="1:29">
      <c r="A893" s="2105"/>
      <c r="B893" s="2105"/>
      <c r="C893" s="2105"/>
      <c r="D893" s="2105"/>
      <c r="E893" s="2345"/>
      <c r="F893" s="2105"/>
      <c r="G893" s="2346"/>
      <c r="H893" s="2105"/>
      <c r="I893" s="2105"/>
      <c r="J893" s="2105"/>
      <c r="K893" s="2347"/>
      <c r="L893" s="2105"/>
      <c r="M893" s="2105"/>
      <c r="N893" s="2105"/>
      <c r="O893" s="2105"/>
      <c r="P893" s="2346"/>
      <c r="Q893" s="2105"/>
      <c r="R893" s="2347"/>
      <c r="S893" s="2347"/>
      <c r="T893" s="2348"/>
      <c r="U893" s="2348"/>
      <c r="V893" s="2348"/>
      <c r="W893" s="2347"/>
      <c r="X893" s="2347"/>
      <c r="Y893" s="2105"/>
      <c r="Z893" s="2105"/>
      <c r="AA893" s="2105"/>
      <c r="AB893" s="2105"/>
      <c r="AC893" s="2105"/>
    </row>
    <row r="894" spans="1:29">
      <c r="A894" s="2105"/>
      <c r="B894" s="2105"/>
      <c r="C894" s="2105"/>
      <c r="D894" s="2105"/>
      <c r="E894" s="2345"/>
      <c r="F894" s="2105"/>
      <c r="G894" s="2346"/>
      <c r="H894" s="2105"/>
      <c r="I894" s="2105"/>
      <c r="J894" s="2105"/>
      <c r="K894" s="2347"/>
      <c r="L894" s="2105"/>
      <c r="M894" s="2105"/>
      <c r="N894" s="2105"/>
      <c r="O894" s="2105"/>
      <c r="P894" s="2346"/>
      <c r="Q894" s="2105"/>
      <c r="R894" s="2347"/>
      <c r="S894" s="2347"/>
      <c r="T894" s="2348"/>
      <c r="U894" s="2348"/>
      <c r="V894" s="2348"/>
      <c r="W894" s="2347"/>
      <c r="X894" s="2347"/>
      <c r="Y894" s="2105"/>
      <c r="Z894" s="2105"/>
      <c r="AA894" s="2105"/>
      <c r="AB894" s="2105"/>
      <c r="AC894" s="2105"/>
    </row>
    <row r="895" spans="1:29">
      <c r="A895" s="2105"/>
      <c r="B895" s="2105"/>
      <c r="C895" s="2105"/>
      <c r="D895" s="2105"/>
      <c r="E895" s="2345"/>
      <c r="F895" s="2105"/>
      <c r="G895" s="2346"/>
      <c r="H895" s="2105"/>
      <c r="I895" s="2105"/>
      <c r="J895" s="2105"/>
      <c r="K895" s="2347"/>
      <c r="L895" s="2105"/>
      <c r="M895" s="2105"/>
      <c r="N895" s="2105"/>
      <c r="O895" s="2105"/>
      <c r="P895" s="2346"/>
      <c r="Q895" s="2105"/>
      <c r="R895" s="2347"/>
      <c r="S895" s="2347"/>
      <c r="T895" s="2348"/>
      <c r="U895" s="2348"/>
      <c r="V895" s="2348"/>
      <c r="W895" s="2347"/>
      <c r="X895" s="2347"/>
      <c r="Y895" s="2105"/>
      <c r="Z895" s="2105"/>
      <c r="AA895" s="2105"/>
      <c r="AB895" s="2105"/>
      <c r="AC895" s="2105"/>
    </row>
    <row r="896" spans="1:29">
      <c r="A896" s="2105"/>
      <c r="B896" s="2105"/>
      <c r="C896" s="2105"/>
      <c r="D896" s="2105"/>
      <c r="E896" s="2345"/>
      <c r="F896" s="2105"/>
      <c r="G896" s="2346"/>
      <c r="H896" s="2105"/>
      <c r="I896" s="2105"/>
      <c r="J896" s="2105"/>
      <c r="K896" s="2347"/>
      <c r="L896" s="2105"/>
      <c r="M896" s="2105"/>
      <c r="N896" s="2105"/>
      <c r="O896" s="2105"/>
      <c r="P896" s="2346"/>
      <c r="Q896" s="2105"/>
      <c r="R896" s="2347"/>
      <c r="S896" s="2347"/>
      <c r="T896" s="2348"/>
      <c r="U896" s="2348"/>
      <c r="V896" s="2348"/>
      <c r="W896" s="2347"/>
      <c r="X896" s="2347"/>
      <c r="Y896" s="2105"/>
      <c r="Z896" s="2105"/>
      <c r="AA896" s="2105"/>
      <c r="AB896" s="2105"/>
      <c r="AC896" s="2105"/>
    </row>
    <row r="897" spans="1:29">
      <c r="A897" s="2105"/>
      <c r="B897" s="2105"/>
      <c r="C897" s="2105"/>
      <c r="D897" s="2105"/>
      <c r="E897" s="2345"/>
      <c r="F897" s="2105"/>
      <c r="G897" s="2346"/>
      <c r="H897" s="2105"/>
      <c r="I897" s="2105"/>
      <c r="J897" s="2105"/>
      <c r="K897" s="2347"/>
      <c r="L897" s="2105"/>
      <c r="M897" s="2105"/>
      <c r="N897" s="2105"/>
      <c r="O897" s="2105"/>
      <c r="P897" s="2346"/>
      <c r="Q897" s="2105"/>
      <c r="R897" s="2347"/>
      <c r="S897" s="2347"/>
      <c r="T897" s="2348"/>
      <c r="U897" s="2348"/>
      <c r="V897" s="2348"/>
      <c r="W897" s="2347"/>
      <c r="X897" s="2347"/>
      <c r="Y897" s="2105"/>
      <c r="Z897" s="2105"/>
      <c r="AA897" s="2105"/>
      <c r="AB897" s="2105"/>
      <c r="AC897" s="2105"/>
    </row>
    <row r="898" spans="1:29">
      <c r="A898" s="2105"/>
      <c r="B898" s="2105"/>
      <c r="C898" s="2105"/>
      <c r="D898" s="2105"/>
      <c r="E898" s="2345"/>
      <c r="F898" s="2105"/>
      <c r="G898" s="2346"/>
      <c r="H898" s="2105"/>
      <c r="I898" s="2105"/>
      <c r="J898" s="2105"/>
      <c r="K898" s="2347"/>
      <c r="L898" s="2105"/>
      <c r="M898" s="2105"/>
      <c r="N898" s="2105"/>
      <c r="O898" s="2105"/>
      <c r="P898" s="2346"/>
      <c r="Q898" s="2105"/>
      <c r="R898" s="2347"/>
      <c r="S898" s="2347"/>
      <c r="T898" s="2348"/>
      <c r="U898" s="2348"/>
      <c r="V898" s="2348"/>
      <c r="W898" s="2347"/>
      <c r="X898" s="2347"/>
      <c r="Y898" s="2105"/>
      <c r="Z898" s="2105"/>
      <c r="AA898" s="2105"/>
      <c r="AB898" s="2105"/>
      <c r="AC898" s="2105"/>
    </row>
    <row r="899" spans="1:29">
      <c r="A899" s="2105"/>
      <c r="B899" s="2105"/>
      <c r="C899" s="2105"/>
      <c r="D899" s="2105"/>
      <c r="E899" s="2345"/>
      <c r="F899" s="2105"/>
      <c r="G899" s="2346"/>
      <c r="H899" s="2105"/>
      <c r="I899" s="2105"/>
      <c r="J899" s="2105"/>
      <c r="K899" s="2347"/>
      <c r="L899" s="2105"/>
      <c r="M899" s="2105"/>
      <c r="N899" s="2105"/>
      <c r="O899" s="2105"/>
      <c r="P899" s="2346"/>
      <c r="Q899" s="2105"/>
      <c r="R899" s="2347"/>
      <c r="S899" s="2347"/>
      <c r="T899" s="2348"/>
      <c r="U899" s="2348"/>
      <c r="V899" s="2348"/>
      <c r="W899" s="2347"/>
      <c r="X899" s="2347"/>
      <c r="Y899" s="2105"/>
      <c r="Z899" s="2105"/>
      <c r="AA899" s="2105"/>
      <c r="AB899" s="2105"/>
      <c r="AC899" s="2105"/>
    </row>
    <row r="900" spans="1:29">
      <c r="A900" s="2105"/>
      <c r="B900" s="2105"/>
      <c r="C900" s="2105"/>
      <c r="D900" s="2105"/>
      <c r="E900" s="2345"/>
      <c r="F900" s="2105"/>
      <c r="G900" s="2346"/>
      <c r="H900" s="2105"/>
      <c r="I900" s="2105"/>
      <c r="J900" s="2105"/>
      <c r="K900" s="2347"/>
      <c r="L900" s="2105"/>
      <c r="M900" s="2105"/>
      <c r="N900" s="2105"/>
      <c r="O900" s="2105"/>
      <c r="P900" s="2346"/>
      <c r="Q900" s="2105"/>
      <c r="R900" s="2347"/>
      <c r="S900" s="2347"/>
      <c r="T900" s="2348"/>
      <c r="U900" s="2348"/>
      <c r="V900" s="2348"/>
      <c r="W900" s="2347"/>
      <c r="X900" s="2347"/>
      <c r="Y900" s="2105"/>
      <c r="Z900" s="2105"/>
      <c r="AA900" s="2105"/>
      <c r="AB900" s="2105"/>
      <c r="AC900" s="2105"/>
    </row>
    <row r="901" spans="1:29">
      <c r="A901" s="2105"/>
      <c r="B901" s="2105"/>
      <c r="C901" s="2105"/>
      <c r="D901" s="2105"/>
      <c r="E901" s="2345"/>
      <c r="F901" s="2105"/>
      <c r="G901" s="2346"/>
      <c r="H901" s="2105"/>
      <c r="I901" s="2105"/>
      <c r="J901" s="2105"/>
      <c r="K901" s="2347"/>
      <c r="L901" s="2105"/>
      <c r="M901" s="2105"/>
      <c r="N901" s="2105"/>
      <c r="O901" s="2105"/>
      <c r="P901" s="2346"/>
      <c r="Q901" s="2105"/>
      <c r="R901" s="2347"/>
      <c r="S901" s="2347"/>
      <c r="T901" s="2348"/>
      <c r="U901" s="2348"/>
      <c r="V901" s="2348"/>
      <c r="W901" s="2347"/>
      <c r="X901" s="2347"/>
      <c r="Y901" s="2105"/>
      <c r="Z901" s="2105"/>
      <c r="AA901" s="2105"/>
      <c r="AB901" s="2105"/>
      <c r="AC901" s="2105"/>
    </row>
    <row r="902" spans="1:29">
      <c r="A902" s="2105"/>
      <c r="B902" s="2105"/>
      <c r="C902" s="2105"/>
      <c r="D902" s="2105"/>
      <c r="E902" s="2345"/>
      <c r="F902" s="2105"/>
      <c r="G902" s="2346"/>
      <c r="H902" s="2105"/>
      <c r="I902" s="2105"/>
      <c r="J902" s="2105"/>
      <c r="K902" s="2347"/>
      <c r="L902" s="2105"/>
      <c r="M902" s="2105"/>
      <c r="N902" s="2105"/>
      <c r="O902" s="2105"/>
      <c r="P902" s="2346"/>
      <c r="Q902" s="2105"/>
      <c r="R902" s="2347"/>
      <c r="S902" s="2347"/>
      <c r="T902" s="2348"/>
      <c r="U902" s="2348"/>
      <c r="V902" s="2348"/>
      <c r="W902" s="2347"/>
      <c r="X902" s="2347"/>
      <c r="Y902" s="2105"/>
      <c r="Z902" s="2105"/>
      <c r="AA902" s="2105"/>
      <c r="AB902" s="2105"/>
      <c r="AC902" s="2105"/>
    </row>
    <row r="903" spans="1:29">
      <c r="A903" s="2105"/>
      <c r="B903" s="2105"/>
      <c r="C903" s="2105"/>
      <c r="D903" s="2105"/>
      <c r="E903" s="2345"/>
      <c r="F903" s="2105"/>
      <c r="G903" s="2346"/>
      <c r="H903" s="2105"/>
      <c r="I903" s="2105"/>
      <c r="J903" s="2105"/>
      <c r="K903" s="2347"/>
      <c r="L903" s="2105"/>
      <c r="M903" s="2105"/>
      <c r="N903" s="2105"/>
      <c r="O903" s="2105"/>
      <c r="P903" s="2346"/>
      <c r="Q903" s="2105"/>
      <c r="R903" s="2347"/>
      <c r="S903" s="2347"/>
      <c r="T903" s="2348"/>
      <c r="U903" s="2348"/>
      <c r="V903" s="2348"/>
      <c r="W903" s="2347"/>
      <c r="X903" s="2347"/>
      <c r="Y903" s="2105"/>
      <c r="Z903" s="2105"/>
      <c r="AA903" s="2105"/>
      <c r="AB903" s="2105"/>
      <c r="AC903" s="2105"/>
    </row>
    <row r="904" spans="1:29">
      <c r="A904" s="2105"/>
      <c r="B904" s="2105"/>
      <c r="C904" s="2105"/>
      <c r="D904" s="2105"/>
      <c r="E904" s="2345"/>
      <c r="F904" s="2105"/>
      <c r="G904" s="2346"/>
      <c r="H904" s="2105"/>
      <c r="I904" s="2105"/>
      <c r="J904" s="2105"/>
      <c r="K904" s="2347"/>
      <c r="L904" s="2105"/>
      <c r="M904" s="2105"/>
      <c r="N904" s="2105"/>
      <c r="O904" s="2105"/>
      <c r="P904" s="2346"/>
      <c r="Q904" s="2105"/>
      <c r="R904" s="2347"/>
      <c r="S904" s="2347"/>
      <c r="T904" s="2348"/>
      <c r="U904" s="2348"/>
      <c r="V904" s="2348"/>
      <c r="W904" s="2347"/>
      <c r="X904" s="2347"/>
      <c r="Y904" s="2105"/>
      <c r="Z904" s="2105"/>
      <c r="AA904" s="2105"/>
      <c r="AB904" s="2105"/>
      <c r="AC904" s="2105"/>
    </row>
    <row r="905" spans="1:29">
      <c r="A905" s="2105"/>
      <c r="B905" s="2105"/>
      <c r="C905" s="2105"/>
      <c r="D905" s="2105"/>
      <c r="E905" s="2345"/>
      <c r="F905" s="2105"/>
      <c r="G905" s="2346"/>
      <c r="H905" s="2105"/>
      <c r="I905" s="2105"/>
      <c r="J905" s="2105"/>
      <c r="K905" s="2347"/>
      <c r="L905" s="2105"/>
      <c r="M905" s="2105"/>
      <c r="N905" s="2105"/>
      <c r="O905" s="2105"/>
      <c r="P905" s="2346"/>
      <c r="Q905" s="2105"/>
      <c r="R905" s="2347"/>
      <c r="S905" s="2347"/>
      <c r="T905" s="2348"/>
      <c r="U905" s="2348"/>
      <c r="V905" s="2348"/>
      <c r="W905" s="2347"/>
      <c r="X905" s="2347"/>
      <c r="Y905" s="2105"/>
      <c r="Z905" s="2105"/>
      <c r="AA905" s="2105"/>
      <c r="AB905" s="2105"/>
      <c r="AC905" s="2105"/>
    </row>
    <row r="906" spans="1:29">
      <c r="A906" s="2105"/>
      <c r="B906" s="2105"/>
      <c r="C906" s="2105"/>
      <c r="D906" s="2105"/>
      <c r="E906" s="2345"/>
      <c r="F906" s="2105"/>
      <c r="G906" s="2346"/>
      <c r="H906" s="2105"/>
      <c r="I906" s="2105"/>
      <c r="J906" s="2105"/>
      <c r="K906" s="2347"/>
      <c r="L906" s="2105"/>
      <c r="M906" s="2105"/>
      <c r="N906" s="2105"/>
      <c r="O906" s="2105"/>
      <c r="P906" s="2346"/>
      <c r="Q906" s="2105"/>
      <c r="R906" s="2347"/>
      <c r="S906" s="2347"/>
      <c r="T906" s="2348"/>
      <c r="U906" s="2348"/>
      <c r="V906" s="2348"/>
      <c r="W906" s="2347"/>
      <c r="X906" s="2347"/>
      <c r="Y906" s="2105"/>
      <c r="Z906" s="2105"/>
      <c r="AA906" s="2105"/>
      <c r="AB906" s="2105"/>
      <c r="AC906" s="2105"/>
    </row>
    <row r="907" spans="1:29">
      <c r="A907" s="2105"/>
      <c r="B907" s="2105"/>
      <c r="C907" s="2105"/>
      <c r="D907" s="2105"/>
      <c r="E907" s="2345"/>
      <c r="F907" s="2105"/>
      <c r="G907" s="2346"/>
      <c r="H907" s="2105"/>
      <c r="I907" s="2105"/>
      <c r="J907" s="2105"/>
      <c r="K907" s="2347"/>
      <c r="L907" s="2105"/>
      <c r="M907" s="2105"/>
      <c r="N907" s="2105"/>
      <c r="O907" s="2105"/>
      <c r="P907" s="2346"/>
      <c r="Q907" s="2105"/>
      <c r="R907" s="2347"/>
      <c r="S907" s="2347"/>
      <c r="T907" s="2348"/>
      <c r="U907" s="2348"/>
      <c r="V907" s="2348"/>
      <c r="W907" s="2347"/>
      <c r="X907" s="2347"/>
      <c r="Y907" s="2105"/>
      <c r="Z907" s="2105"/>
      <c r="AA907" s="2105"/>
      <c r="AB907" s="2105"/>
      <c r="AC907" s="2105"/>
    </row>
    <row r="908" spans="1:29">
      <c r="A908" s="2105"/>
      <c r="B908" s="2105"/>
      <c r="C908" s="2105"/>
      <c r="D908" s="2105"/>
      <c r="E908" s="2345"/>
      <c r="F908" s="2105"/>
      <c r="G908" s="2346"/>
      <c r="H908" s="2105"/>
      <c r="I908" s="2105"/>
      <c r="J908" s="2105"/>
      <c r="K908" s="2347"/>
      <c r="L908" s="2105"/>
      <c r="M908" s="2105"/>
      <c r="N908" s="2105"/>
      <c r="O908" s="2105"/>
      <c r="P908" s="2346"/>
      <c r="Q908" s="2105"/>
      <c r="R908" s="2347"/>
      <c r="S908" s="2347"/>
      <c r="T908" s="2348"/>
      <c r="U908" s="2348"/>
      <c r="V908" s="2348"/>
      <c r="W908" s="2347"/>
      <c r="X908" s="2347"/>
      <c r="Y908" s="2105"/>
      <c r="Z908" s="2105"/>
      <c r="AA908" s="2105"/>
      <c r="AB908" s="2105"/>
      <c r="AC908" s="2105"/>
    </row>
    <row r="909" spans="1:29">
      <c r="A909" s="2105"/>
      <c r="B909" s="2105"/>
      <c r="C909" s="2105"/>
      <c r="D909" s="2105"/>
      <c r="E909" s="2345"/>
      <c r="F909" s="2105"/>
      <c r="G909" s="2346"/>
      <c r="H909" s="2105"/>
      <c r="I909" s="2105"/>
      <c r="J909" s="2105"/>
      <c r="K909" s="2347"/>
      <c r="L909" s="2105"/>
      <c r="M909" s="2105"/>
      <c r="N909" s="2105"/>
      <c r="O909" s="2105"/>
      <c r="P909" s="2346"/>
      <c r="Q909" s="2105"/>
      <c r="R909" s="2347"/>
      <c r="S909" s="2347"/>
      <c r="T909" s="2348"/>
      <c r="U909" s="2348"/>
      <c r="V909" s="2348"/>
      <c r="W909" s="2347"/>
      <c r="X909" s="2347"/>
      <c r="Y909" s="2105"/>
      <c r="Z909" s="2105"/>
      <c r="AA909" s="2105"/>
      <c r="AB909" s="2105"/>
      <c r="AC909" s="2105"/>
    </row>
    <row r="910" spans="1:29">
      <c r="A910" s="2105"/>
      <c r="B910" s="2105"/>
      <c r="C910" s="2105"/>
      <c r="D910" s="2105"/>
      <c r="E910" s="2345"/>
      <c r="F910" s="2105"/>
      <c r="G910" s="2346"/>
      <c r="H910" s="2105"/>
      <c r="I910" s="2105"/>
      <c r="J910" s="2105"/>
      <c r="K910" s="2347"/>
      <c r="L910" s="2105"/>
      <c r="M910" s="2105"/>
      <c r="N910" s="2105"/>
      <c r="O910" s="2105"/>
      <c r="P910" s="2346"/>
      <c r="Q910" s="2105"/>
      <c r="R910" s="2347"/>
      <c r="S910" s="2347"/>
      <c r="T910" s="2348"/>
      <c r="U910" s="2348"/>
      <c r="V910" s="2348"/>
      <c r="W910" s="2347"/>
      <c r="X910" s="2347"/>
      <c r="Y910" s="2105"/>
      <c r="Z910" s="2105"/>
      <c r="AA910" s="2105"/>
      <c r="AB910" s="2105"/>
      <c r="AC910" s="2105"/>
    </row>
    <row r="911" spans="1:29">
      <c r="A911" s="2105"/>
      <c r="B911" s="2105"/>
      <c r="C911" s="2105"/>
      <c r="D911" s="2105"/>
      <c r="E911" s="2345"/>
      <c r="F911" s="2105"/>
      <c r="G911" s="2346"/>
      <c r="H911" s="2105"/>
      <c r="I911" s="2105"/>
      <c r="J911" s="2105"/>
      <c r="K911" s="2347"/>
      <c r="L911" s="2105"/>
      <c r="M911" s="2105"/>
      <c r="N911" s="2105"/>
      <c r="O911" s="2105"/>
      <c r="P911" s="2346"/>
      <c r="Q911" s="2105"/>
      <c r="R911" s="2347"/>
      <c r="S911" s="2347"/>
      <c r="T911" s="2348"/>
      <c r="U911" s="2348"/>
      <c r="V911" s="2348"/>
      <c r="W911" s="2347"/>
      <c r="X911" s="2347"/>
      <c r="Y911" s="2105"/>
      <c r="Z911" s="2105"/>
      <c r="AA911" s="2105"/>
      <c r="AB911" s="2105"/>
      <c r="AC911" s="2105"/>
    </row>
    <row r="912" spans="1:29">
      <c r="A912" s="2105"/>
      <c r="B912" s="2105"/>
      <c r="C912" s="2105"/>
      <c r="D912" s="2105"/>
      <c r="E912" s="2345"/>
      <c r="F912" s="2105"/>
      <c r="G912" s="2346"/>
      <c r="H912" s="2105"/>
      <c r="I912" s="2105"/>
      <c r="J912" s="2105"/>
      <c r="K912" s="2347"/>
      <c r="L912" s="2105"/>
      <c r="M912" s="2105"/>
      <c r="N912" s="2105"/>
      <c r="O912" s="2105"/>
      <c r="P912" s="2346"/>
      <c r="Q912" s="2105"/>
      <c r="R912" s="2347"/>
      <c r="S912" s="2347"/>
      <c r="T912" s="2348"/>
      <c r="U912" s="2348"/>
      <c r="V912" s="2348"/>
      <c r="W912" s="2347"/>
      <c r="X912" s="2347"/>
      <c r="Y912" s="2105"/>
      <c r="Z912" s="2105"/>
      <c r="AA912" s="2105"/>
      <c r="AB912" s="2105"/>
      <c r="AC912" s="2105"/>
    </row>
    <row r="913" spans="1:29">
      <c r="A913" s="2105"/>
      <c r="B913" s="2105"/>
      <c r="C913" s="2105"/>
      <c r="D913" s="2105"/>
      <c r="E913" s="2345"/>
      <c r="F913" s="2105"/>
      <c r="G913" s="2346"/>
      <c r="H913" s="2105"/>
      <c r="I913" s="2105"/>
      <c r="J913" s="2105"/>
      <c r="K913" s="2347"/>
      <c r="L913" s="2105"/>
      <c r="M913" s="2105"/>
      <c r="N913" s="2105"/>
      <c r="O913" s="2105"/>
      <c r="P913" s="2346"/>
      <c r="Q913" s="2105"/>
      <c r="R913" s="2347"/>
      <c r="S913" s="2347"/>
      <c r="T913" s="2348"/>
      <c r="U913" s="2348"/>
      <c r="V913" s="2348"/>
      <c r="W913" s="2347"/>
      <c r="X913" s="2347"/>
      <c r="Y913" s="2105"/>
      <c r="Z913" s="2105"/>
      <c r="AA913" s="2105"/>
      <c r="AB913" s="2105"/>
      <c r="AC913" s="2105"/>
    </row>
    <row r="914" spans="1:29">
      <c r="A914" s="2105"/>
      <c r="B914" s="2105"/>
      <c r="C914" s="2105"/>
      <c r="D914" s="2105"/>
      <c r="E914" s="2345"/>
      <c r="F914" s="2105"/>
      <c r="G914" s="2346"/>
      <c r="H914" s="2105"/>
      <c r="I914" s="2105"/>
      <c r="J914" s="2105"/>
      <c r="K914" s="2347"/>
      <c r="L914" s="2105"/>
      <c r="M914" s="2105"/>
      <c r="N914" s="2105"/>
      <c r="O914" s="2105"/>
      <c r="P914" s="2346"/>
      <c r="Q914" s="2105"/>
      <c r="R914" s="2347"/>
      <c r="S914" s="2347"/>
      <c r="T914" s="2348"/>
      <c r="U914" s="2348"/>
      <c r="V914" s="2348"/>
      <c r="W914" s="2347"/>
      <c r="X914" s="2347"/>
      <c r="Y914" s="2105"/>
      <c r="Z914" s="2105"/>
      <c r="AA914" s="2105"/>
      <c r="AB914" s="2105"/>
      <c r="AC914" s="2105"/>
    </row>
    <row r="915" spans="1:29">
      <c r="A915" s="2105"/>
      <c r="B915" s="2105"/>
      <c r="C915" s="2105"/>
      <c r="D915" s="2105"/>
      <c r="E915" s="2345"/>
      <c r="F915" s="2105"/>
      <c r="G915" s="2346"/>
      <c r="H915" s="2105"/>
      <c r="I915" s="2105"/>
      <c r="J915" s="2105"/>
      <c r="K915" s="2347"/>
      <c r="L915" s="2105"/>
      <c r="M915" s="2105"/>
      <c r="N915" s="2105"/>
      <c r="O915" s="2105"/>
      <c r="P915" s="2346"/>
      <c r="Q915" s="2105"/>
      <c r="R915" s="2347"/>
      <c r="S915" s="2347"/>
      <c r="T915" s="2348"/>
      <c r="U915" s="2348"/>
      <c r="V915" s="2348"/>
      <c r="W915" s="2347"/>
      <c r="X915" s="2347"/>
      <c r="Y915" s="2105"/>
      <c r="Z915" s="2105"/>
      <c r="AA915" s="2105"/>
      <c r="AB915" s="2105"/>
      <c r="AC915" s="2105"/>
    </row>
    <row r="916" spans="1:29">
      <c r="A916" s="2105"/>
      <c r="B916" s="2105"/>
      <c r="C916" s="2105"/>
      <c r="D916" s="2105"/>
      <c r="E916" s="2345"/>
      <c r="F916" s="2105"/>
      <c r="G916" s="2346"/>
      <c r="H916" s="2105"/>
      <c r="I916" s="2105"/>
      <c r="J916" s="2105"/>
      <c r="K916" s="2347"/>
      <c r="L916" s="2105"/>
      <c r="M916" s="2105"/>
      <c r="N916" s="2105"/>
      <c r="O916" s="2105"/>
      <c r="P916" s="2346"/>
      <c r="Q916" s="2105"/>
      <c r="R916" s="2347"/>
      <c r="S916" s="2347"/>
      <c r="T916" s="2348"/>
      <c r="U916" s="2348"/>
      <c r="V916" s="2348"/>
      <c r="W916" s="2347"/>
      <c r="X916" s="2347"/>
      <c r="Y916" s="2105"/>
      <c r="Z916" s="2105"/>
      <c r="AA916" s="2105"/>
      <c r="AB916" s="2105"/>
      <c r="AC916" s="2105"/>
    </row>
    <row r="917" spans="1:29">
      <c r="A917" s="2105"/>
      <c r="B917" s="2105"/>
      <c r="C917" s="2105"/>
      <c r="D917" s="2105"/>
      <c r="E917" s="2345"/>
      <c r="F917" s="2105"/>
      <c r="G917" s="2346"/>
      <c r="H917" s="2105"/>
      <c r="I917" s="2105"/>
      <c r="J917" s="2105"/>
      <c r="K917" s="2347"/>
      <c r="L917" s="2105"/>
      <c r="M917" s="2105"/>
      <c r="N917" s="2105"/>
      <c r="O917" s="2105"/>
      <c r="P917" s="2346"/>
      <c r="Q917" s="2105"/>
      <c r="R917" s="2347"/>
      <c r="S917" s="2347"/>
      <c r="T917" s="2348"/>
      <c r="U917" s="2348"/>
      <c r="V917" s="2348"/>
      <c r="W917" s="2347"/>
      <c r="X917" s="2347"/>
      <c r="Y917" s="2105"/>
      <c r="Z917" s="2105"/>
      <c r="AA917" s="2105"/>
      <c r="AB917" s="2105"/>
      <c r="AC917" s="2105"/>
    </row>
    <row r="918" spans="1:29">
      <c r="A918" s="2105"/>
      <c r="B918" s="2105"/>
      <c r="C918" s="2105"/>
      <c r="D918" s="2105"/>
      <c r="E918" s="2345"/>
      <c r="F918" s="2105"/>
      <c r="G918" s="2346"/>
      <c r="H918" s="2105"/>
      <c r="I918" s="2105"/>
      <c r="J918" s="2105"/>
      <c r="K918" s="2347"/>
      <c r="L918" s="2105"/>
      <c r="M918" s="2105"/>
      <c r="N918" s="2105"/>
      <c r="O918" s="2105"/>
      <c r="P918" s="2346"/>
      <c r="Q918" s="2105"/>
      <c r="R918" s="2347"/>
      <c r="S918" s="2347"/>
      <c r="T918" s="2348"/>
      <c r="U918" s="2348"/>
      <c r="V918" s="2348"/>
      <c r="W918" s="2347"/>
      <c r="X918" s="2347"/>
      <c r="Y918" s="2105"/>
      <c r="Z918" s="2105"/>
      <c r="AA918" s="2105"/>
      <c r="AB918" s="2105"/>
      <c r="AC918" s="2105"/>
    </row>
    <row r="919" spans="1:29">
      <c r="A919" s="2105"/>
      <c r="B919" s="2105"/>
      <c r="C919" s="2105"/>
      <c r="D919" s="2105"/>
      <c r="E919" s="2345"/>
      <c r="F919" s="2105"/>
      <c r="G919" s="2346"/>
      <c r="H919" s="2105"/>
      <c r="I919" s="2105"/>
      <c r="J919" s="2105"/>
      <c r="K919" s="2347"/>
      <c r="L919" s="2105"/>
      <c r="M919" s="2105"/>
      <c r="N919" s="2105"/>
      <c r="O919" s="2105"/>
      <c r="P919" s="2346"/>
      <c r="Q919" s="2105"/>
      <c r="R919" s="2347"/>
      <c r="S919" s="2347"/>
      <c r="T919" s="2348"/>
      <c r="U919" s="2348"/>
      <c r="V919" s="2348"/>
      <c r="W919" s="2347"/>
      <c r="X919" s="2347"/>
      <c r="Y919" s="2105"/>
      <c r="Z919" s="2105"/>
      <c r="AA919" s="2105"/>
      <c r="AB919" s="2105"/>
      <c r="AC919" s="2105"/>
    </row>
    <row r="920" spans="1:29">
      <c r="A920" s="2105"/>
      <c r="B920" s="2105"/>
      <c r="C920" s="2105"/>
      <c r="D920" s="2105"/>
      <c r="E920" s="2345"/>
      <c r="F920" s="2105"/>
      <c r="G920" s="2346"/>
      <c r="H920" s="2105"/>
      <c r="I920" s="2105"/>
      <c r="J920" s="2105"/>
      <c r="K920" s="2347"/>
      <c r="L920" s="2105"/>
      <c r="M920" s="2105"/>
      <c r="N920" s="2105"/>
      <c r="O920" s="2105"/>
      <c r="P920" s="2346"/>
      <c r="Q920" s="2105"/>
      <c r="R920" s="2347"/>
      <c r="S920" s="2347"/>
      <c r="T920" s="2348"/>
      <c r="U920" s="2348"/>
      <c r="V920" s="2348"/>
      <c r="W920" s="2347"/>
      <c r="X920" s="2347"/>
      <c r="Y920" s="2105"/>
      <c r="Z920" s="2105"/>
      <c r="AA920" s="2105"/>
      <c r="AB920" s="2105"/>
      <c r="AC920" s="2105"/>
    </row>
    <row r="921" spans="1:29">
      <c r="A921" s="2105"/>
      <c r="B921" s="2105"/>
      <c r="C921" s="2105"/>
      <c r="D921" s="2105"/>
      <c r="E921" s="2345"/>
      <c r="F921" s="2105"/>
      <c r="G921" s="2346"/>
      <c r="H921" s="2105"/>
      <c r="I921" s="2105"/>
      <c r="J921" s="2105"/>
      <c r="K921" s="2347"/>
      <c r="L921" s="2105"/>
      <c r="M921" s="2105"/>
      <c r="N921" s="2105"/>
      <c r="O921" s="2105"/>
      <c r="P921" s="2346"/>
      <c r="Q921" s="2105"/>
      <c r="R921" s="2347"/>
      <c r="S921" s="2347"/>
      <c r="T921" s="2348"/>
      <c r="U921" s="2348"/>
      <c r="V921" s="2348"/>
      <c r="W921" s="2347"/>
      <c r="X921" s="2347"/>
      <c r="Y921" s="2105"/>
      <c r="Z921" s="2105"/>
      <c r="AA921" s="2105"/>
      <c r="AB921" s="2105"/>
      <c r="AC921" s="2105"/>
    </row>
    <row r="922" spans="1:29">
      <c r="A922" s="2105"/>
      <c r="B922" s="2105"/>
      <c r="C922" s="2105"/>
      <c r="D922" s="2105"/>
      <c r="E922" s="2345"/>
      <c r="F922" s="2105"/>
      <c r="G922" s="2346"/>
      <c r="H922" s="2105"/>
      <c r="I922" s="2105"/>
      <c r="J922" s="2105"/>
      <c r="K922" s="2347"/>
      <c r="L922" s="2105"/>
      <c r="M922" s="2105"/>
      <c r="N922" s="2105"/>
      <c r="O922" s="2105"/>
      <c r="P922" s="2346"/>
      <c r="Q922" s="2105"/>
      <c r="R922" s="2347"/>
      <c r="S922" s="2347"/>
      <c r="T922" s="2348"/>
      <c r="U922" s="2348"/>
      <c r="V922" s="2348"/>
      <c r="W922" s="2347"/>
      <c r="X922" s="2347"/>
      <c r="Y922" s="2105"/>
      <c r="Z922" s="2105"/>
      <c r="AA922" s="2105"/>
      <c r="AB922" s="2105"/>
      <c r="AC922" s="2105"/>
    </row>
    <row r="923" spans="1:29">
      <c r="A923" s="2105"/>
      <c r="B923" s="2105"/>
      <c r="C923" s="2105"/>
      <c r="D923" s="2105"/>
      <c r="E923" s="2345"/>
      <c r="F923" s="2105"/>
      <c r="G923" s="2346"/>
      <c r="H923" s="2105"/>
      <c r="I923" s="2105"/>
      <c r="J923" s="2105"/>
      <c r="K923" s="2347"/>
      <c r="L923" s="2105"/>
      <c r="M923" s="2105"/>
      <c r="N923" s="2105"/>
      <c r="O923" s="2105"/>
      <c r="P923" s="2346"/>
      <c r="Q923" s="2105"/>
      <c r="R923" s="2347"/>
      <c r="S923" s="2347"/>
      <c r="T923" s="2348"/>
      <c r="U923" s="2348"/>
      <c r="V923" s="2348"/>
      <c r="W923" s="2347"/>
      <c r="X923" s="2347"/>
      <c r="Y923" s="2105"/>
      <c r="Z923" s="2105"/>
      <c r="AA923" s="2105"/>
      <c r="AB923" s="2105"/>
      <c r="AC923" s="2105"/>
    </row>
    <row r="924" spans="1:29">
      <c r="A924" s="2105"/>
      <c r="B924" s="2105"/>
      <c r="C924" s="2105"/>
      <c r="D924" s="2105"/>
      <c r="E924" s="2345"/>
      <c r="F924" s="2105"/>
      <c r="G924" s="2346"/>
      <c r="H924" s="2105"/>
      <c r="I924" s="2105"/>
      <c r="J924" s="2105"/>
      <c r="K924" s="2347"/>
      <c r="L924" s="2105"/>
      <c r="M924" s="2105"/>
      <c r="N924" s="2105"/>
      <c r="O924" s="2105"/>
      <c r="P924" s="2346"/>
      <c r="Q924" s="2105"/>
      <c r="R924" s="2347"/>
      <c r="S924" s="2347"/>
      <c r="T924" s="2348"/>
      <c r="U924" s="2348"/>
      <c r="V924" s="2348"/>
      <c r="W924" s="2347"/>
      <c r="X924" s="2347"/>
      <c r="Y924" s="2105"/>
      <c r="Z924" s="2105"/>
      <c r="AA924" s="2105"/>
      <c r="AB924" s="2105"/>
      <c r="AC924" s="2105"/>
    </row>
    <row r="925" spans="1:29">
      <c r="A925" s="2105"/>
      <c r="B925" s="2105"/>
      <c r="C925" s="2105"/>
      <c r="D925" s="2105"/>
      <c r="E925" s="2345"/>
      <c r="F925" s="2105"/>
      <c r="G925" s="2346"/>
      <c r="H925" s="2105"/>
      <c r="I925" s="2105"/>
      <c r="J925" s="2105"/>
      <c r="K925" s="2347"/>
      <c r="L925" s="2105"/>
      <c r="M925" s="2105"/>
      <c r="N925" s="2105"/>
      <c r="O925" s="2105"/>
      <c r="P925" s="2346"/>
      <c r="Q925" s="2105"/>
      <c r="R925" s="2347"/>
      <c r="S925" s="2347"/>
      <c r="T925" s="2348"/>
      <c r="U925" s="2348"/>
      <c r="V925" s="2348"/>
      <c r="W925" s="2347"/>
      <c r="X925" s="2347"/>
      <c r="Y925" s="2105"/>
      <c r="Z925" s="2105"/>
      <c r="AA925" s="2105"/>
      <c r="AB925" s="2105"/>
      <c r="AC925" s="2105"/>
    </row>
    <row r="926" spans="1:29">
      <c r="A926" s="2105"/>
      <c r="B926" s="2105"/>
      <c r="C926" s="2105"/>
      <c r="D926" s="2105"/>
      <c r="E926" s="2345"/>
      <c r="F926" s="2105"/>
      <c r="G926" s="2346"/>
      <c r="H926" s="2105"/>
      <c r="I926" s="2105"/>
      <c r="J926" s="2105"/>
      <c r="K926" s="2347"/>
      <c r="L926" s="2105"/>
      <c r="M926" s="2105"/>
      <c r="N926" s="2105"/>
      <c r="O926" s="2105"/>
      <c r="P926" s="2346"/>
      <c r="Q926" s="2105"/>
      <c r="R926" s="2347"/>
      <c r="S926" s="2347"/>
      <c r="T926" s="2348"/>
      <c r="U926" s="2348"/>
      <c r="V926" s="2348"/>
      <c r="W926" s="2347"/>
      <c r="X926" s="2347"/>
      <c r="Y926" s="2105"/>
      <c r="Z926" s="2105"/>
      <c r="AA926" s="2105"/>
      <c r="AB926" s="2105"/>
      <c r="AC926" s="2105"/>
    </row>
    <row r="927" spans="1:29">
      <c r="A927" s="2105"/>
      <c r="B927" s="2105"/>
      <c r="C927" s="2105"/>
      <c r="D927" s="2105"/>
      <c r="E927" s="2345"/>
      <c r="F927" s="2105"/>
      <c r="G927" s="2346"/>
      <c r="H927" s="2105"/>
      <c r="I927" s="2105"/>
      <c r="J927" s="2105"/>
      <c r="K927" s="2347"/>
      <c r="L927" s="2105"/>
      <c r="M927" s="2105"/>
      <c r="N927" s="2105"/>
      <c r="O927" s="2105"/>
      <c r="P927" s="2346"/>
      <c r="Q927" s="2105"/>
      <c r="R927" s="2347"/>
      <c r="S927" s="2347"/>
      <c r="T927" s="2348"/>
      <c r="U927" s="2348"/>
      <c r="V927" s="2348"/>
      <c r="W927" s="2347"/>
      <c r="X927" s="2347"/>
      <c r="Y927" s="2105"/>
      <c r="Z927" s="2105"/>
      <c r="AA927" s="2105"/>
      <c r="AB927" s="2105"/>
      <c r="AC927" s="2105"/>
    </row>
    <row r="928" spans="1:29">
      <c r="A928" s="2105"/>
      <c r="B928" s="2105"/>
      <c r="C928" s="2105"/>
      <c r="D928" s="2105"/>
      <c r="E928" s="2345"/>
      <c r="F928" s="2105"/>
      <c r="G928" s="2346"/>
      <c r="H928" s="2105"/>
      <c r="I928" s="2105"/>
      <c r="J928" s="2105"/>
      <c r="K928" s="2347"/>
      <c r="L928" s="2105"/>
      <c r="M928" s="2105"/>
      <c r="N928" s="2105"/>
      <c r="O928" s="2105"/>
      <c r="P928" s="2346"/>
      <c r="Q928" s="2105"/>
      <c r="R928" s="2347"/>
      <c r="S928" s="2347"/>
      <c r="T928" s="2348"/>
      <c r="U928" s="2348"/>
      <c r="V928" s="2348"/>
      <c r="W928" s="2347"/>
      <c r="X928" s="2347"/>
      <c r="Y928" s="2105"/>
      <c r="Z928" s="2105"/>
      <c r="AA928" s="2105"/>
      <c r="AB928" s="2105"/>
      <c r="AC928" s="2105"/>
    </row>
    <row r="929" spans="1:29">
      <c r="A929" s="2105"/>
      <c r="B929" s="2105"/>
      <c r="C929" s="2105"/>
      <c r="D929" s="2105"/>
      <c r="E929" s="2345"/>
      <c r="F929" s="2105"/>
      <c r="G929" s="2346"/>
      <c r="H929" s="2105"/>
      <c r="I929" s="2105"/>
      <c r="J929" s="2105"/>
      <c r="K929" s="2347"/>
      <c r="L929" s="2105"/>
      <c r="M929" s="2105"/>
      <c r="N929" s="2105"/>
      <c r="O929" s="2105"/>
      <c r="P929" s="2346"/>
      <c r="Q929" s="2105"/>
      <c r="R929" s="2347"/>
      <c r="S929" s="2347"/>
      <c r="T929" s="2348"/>
      <c r="U929" s="2348"/>
      <c r="V929" s="2348"/>
      <c r="W929" s="2347"/>
      <c r="X929" s="2347"/>
      <c r="Y929" s="2105"/>
      <c r="Z929" s="2105"/>
      <c r="AA929" s="2105"/>
      <c r="AB929" s="2105"/>
      <c r="AC929" s="2105"/>
    </row>
    <row r="930" spans="1:29">
      <c r="A930" s="2105"/>
      <c r="B930" s="2105"/>
      <c r="C930" s="2105"/>
      <c r="D930" s="2105"/>
      <c r="E930" s="2345"/>
      <c r="F930" s="2105"/>
      <c r="G930" s="2346"/>
      <c r="H930" s="2105"/>
      <c r="I930" s="2105"/>
      <c r="J930" s="2105"/>
      <c r="K930" s="2347"/>
      <c r="L930" s="2105"/>
      <c r="M930" s="2105"/>
      <c r="N930" s="2105"/>
      <c r="O930" s="2105"/>
      <c r="P930" s="2346"/>
      <c r="Q930" s="2105"/>
      <c r="R930" s="2347"/>
      <c r="S930" s="2347"/>
      <c r="T930" s="2348"/>
      <c r="U930" s="2348"/>
      <c r="V930" s="2348"/>
      <c r="W930" s="2347"/>
      <c r="X930" s="2347"/>
      <c r="Y930" s="2105"/>
      <c r="Z930" s="2105"/>
      <c r="AA930" s="2105"/>
      <c r="AB930" s="2105"/>
      <c r="AC930" s="2105"/>
    </row>
    <row r="931" spans="1:29">
      <c r="A931" s="2105"/>
      <c r="B931" s="2105"/>
      <c r="C931" s="2105"/>
      <c r="D931" s="2105"/>
      <c r="E931" s="2345"/>
      <c r="F931" s="2105"/>
      <c r="G931" s="2346"/>
      <c r="H931" s="2105"/>
      <c r="I931" s="2105"/>
      <c r="J931" s="2105"/>
      <c r="K931" s="2347"/>
      <c r="L931" s="2105"/>
      <c r="M931" s="2105"/>
      <c r="N931" s="2105"/>
      <c r="O931" s="2105"/>
      <c r="P931" s="2346"/>
      <c r="Q931" s="2105"/>
      <c r="R931" s="2347"/>
      <c r="S931" s="2347"/>
      <c r="T931" s="2348"/>
      <c r="U931" s="2348"/>
      <c r="V931" s="2348"/>
      <c r="W931" s="2347"/>
      <c r="X931" s="2347"/>
      <c r="Y931" s="2105"/>
      <c r="Z931" s="2105"/>
      <c r="AA931" s="2105"/>
      <c r="AB931" s="2105"/>
      <c r="AC931" s="2105"/>
    </row>
    <row r="932" spans="1:29">
      <c r="A932" s="2105"/>
      <c r="B932" s="2105"/>
      <c r="C932" s="2105"/>
      <c r="D932" s="2105"/>
      <c r="E932" s="2345"/>
      <c r="F932" s="2105"/>
      <c r="G932" s="2346"/>
      <c r="H932" s="2105"/>
      <c r="I932" s="2105"/>
      <c r="J932" s="2105"/>
      <c r="K932" s="2347"/>
      <c r="L932" s="2105"/>
      <c r="M932" s="2105"/>
      <c r="N932" s="2105"/>
      <c r="O932" s="2105"/>
      <c r="P932" s="2346"/>
      <c r="Q932" s="2105"/>
      <c r="R932" s="2347"/>
      <c r="S932" s="2347"/>
      <c r="T932" s="2348"/>
      <c r="U932" s="2348"/>
      <c r="V932" s="2348"/>
      <c r="W932" s="2347"/>
      <c r="X932" s="2347"/>
      <c r="Y932" s="2105"/>
      <c r="Z932" s="2105"/>
      <c r="AA932" s="2105"/>
      <c r="AB932" s="2105"/>
      <c r="AC932" s="2105"/>
    </row>
    <row r="933" spans="1:29">
      <c r="A933" s="2105"/>
      <c r="B933" s="2105"/>
      <c r="C933" s="2105"/>
      <c r="D933" s="2105"/>
      <c r="E933" s="2345"/>
      <c r="F933" s="2105"/>
      <c r="G933" s="2346"/>
      <c r="H933" s="2105"/>
      <c r="I933" s="2105"/>
      <c r="J933" s="2105"/>
      <c r="K933" s="2347"/>
      <c r="L933" s="2105"/>
      <c r="M933" s="2105"/>
      <c r="N933" s="2105"/>
      <c r="O933" s="2105"/>
      <c r="P933" s="2346"/>
      <c r="Q933" s="2105"/>
      <c r="R933" s="2347"/>
      <c r="S933" s="2347"/>
      <c r="T933" s="2348"/>
      <c r="U933" s="2348"/>
      <c r="V933" s="2348"/>
      <c r="W933" s="2347"/>
      <c r="X933" s="2347"/>
      <c r="Y933" s="2105"/>
      <c r="Z933" s="2105"/>
      <c r="AA933" s="2105"/>
      <c r="AB933" s="2105"/>
      <c r="AC933" s="2105"/>
    </row>
    <row r="934" spans="1:29">
      <c r="A934" s="2105"/>
      <c r="B934" s="2105"/>
      <c r="C934" s="2105"/>
      <c r="D934" s="2105"/>
      <c r="E934" s="2345"/>
      <c r="F934" s="2105"/>
      <c r="G934" s="2346"/>
      <c r="H934" s="2105"/>
      <c r="I934" s="2105"/>
      <c r="J934" s="2105"/>
      <c r="K934" s="2347"/>
      <c r="L934" s="2105"/>
      <c r="M934" s="2105"/>
      <c r="N934" s="2105"/>
      <c r="O934" s="2105"/>
      <c r="P934" s="2346"/>
      <c r="Q934" s="2105"/>
      <c r="R934" s="2347"/>
      <c r="S934" s="2347"/>
      <c r="T934" s="2348"/>
      <c r="U934" s="2348"/>
      <c r="V934" s="2348"/>
      <c r="W934" s="2347"/>
      <c r="X934" s="2347"/>
      <c r="Y934" s="2105"/>
      <c r="Z934" s="2105"/>
      <c r="AA934" s="2105"/>
      <c r="AB934" s="2105"/>
      <c r="AC934" s="2105"/>
    </row>
    <row r="935" spans="1:29">
      <c r="A935" s="2105"/>
      <c r="B935" s="2105"/>
      <c r="C935" s="2105"/>
      <c r="D935" s="2105"/>
      <c r="E935" s="2345"/>
      <c r="F935" s="2105"/>
      <c r="G935" s="2346"/>
      <c r="H935" s="2105"/>
      <c r="I935" s="2105"/>
      <c r="J935" s="2105"/>
      <c r="K935" s="2347"/>
      <c r="L935" s="2105"/>
      <c r="M935" s="2105"/>
      <c r="N935" s="2105"/>
      <c r="O935" s="2105"/>
      <c r="P935" s="2346"/>
      <c r="Q935" s="2105"/>
      <c r="R935" s="2347"/>
      <c r="S935" s="2347"/>
      <c r="T935" s="2348"/>
      <c r="U935" s="2348"/>
      <c r="V935" s="2348"/>
      <c r="W935" s="2347"/>
      <c r="X935" s="2347"/>
      <c r="Y935" s="2105"/>
      <c r="Z935" s="2105"/>
      <c r="AA935" s="2105"/>
      <c r="AB935" s="2105"/>
      <c r="AC935" s="2105"/>
    </row>
    <row r="936" spans="1:29">
      <c r="A936" s="2105"/>
      <c r="B936" s="2105"/>
      <c r="C936" s="2105"/>
      <c r="D936" s="2105"/>
      <c r="E936" s="2345"/>
      <c r="F936" s="2105"/>
      <c r="G936" s="2346"/>
      <c r="H936" s="2105"/>
      <c r="I936" s="2105"/>
      <c r="J936" s="2105"/>
      <c r="K936" s="2347"/>
      <c r="L936" s="2105"/>
      <c r="M936" s="2105"/>
      <c r="N936" s="2105"/>
      <c r="O936" s="2105"/>
      <c r="P936" s="2346"/>
      <c r="Q936" s="2105"/>
      <c r="R936" s="2347"/>
      <c r="S936" s="2347"/>
      <c r="T936" s="2348"/>
      <c r="U936" s="2348"/>
      <c r="V936" s="2348"/>
      <c r="W936" s="2347"/>
      <c r="X936" s="2347"/>
      <c r="Y936" s="2105"/>
      <c r="Z936" s="2105"/>
      <c r="AA936" s="2105"/>
      <c r="AB936" s="2105"/>
      <c r="AC936" s="2105"/>
    </row>
    <row r="937" spans="1:29">
      <c r="A937" s="2105"/>
      <c r="B937" s="2105"/>
      <c r="C937" s="2105"/>
      <c r="D937" s="2105"/>
      <c r="E937" s="2345"/>
      <c r="F937" s="2105"/>
      <c r="G937" s="2346"/>
      <c r="H937" s="2105"/>
      <c r="I937" s="2105"/>
      <c r="J937" s="2105"/>
      <c r="K937" s="2347"/>
      <c r="L937" s="2105"/>
      <c r="M937" s="2105"/>
      <c r="N937" s="2105"/>
      <c r="O937" s="2105"/>
      <c r="P937" s="2346"/>
      <c r="Q937" s="2105"/>
      <c r="R937" s="2347"/>
      <c r="S937" s="2347"/>
      <c r="T937" s="2348"/>
      <c r="U937" s="2348"/>
      <c r="V937" s="2348"/>
      <c r="W937" s="2347"/>
      <c r="X937" s="2347"/>
      <c r="Y937" s="2105"/>
      <c r="Z937" s="2105"/>
      <c r="AA937" s="2105"/>
      <c r="AB937" s="2105"/>
      <c r="AC937" s="2105"/>
    </row>
    <row r="938" spans="1:29">
      <c r="A938" s="2105"/>
      <c r="B938" s="2105"/>
      <c r="C938" s="2105"/>
      <c r="D938" s="2105"/>
      <c r="E938" s="2345"/>
      <c r="F938" s="2105"/>
      <c r="G938" s="2346"/>
      <c r="H938" s="2105"/>
      <c r="I938" s="2105"/>
      <c r="J938" s="2105"/>
      <c r="K938" s="2347"/>
      <c r="L938" s="2105"/>
      <c r="M938" s="2105"/>
      <c r="N938" s="2105"/>
      <c r="O938" s="2105"/>
      <c r="P938" s="2346"/>
      <c r="Q938" s="2105"/>
      <c r="R938" s="2347"/>
      <c r="S938" s="2347"/>
      <c r="T938" s="2348"/>
      <c r="U938" s="2348"/>
      <c r="V938" s="2348"/>
      <c r="W938" s="2347"/>
      <c r="X938" s="2347"/>
      <c r="Y938" s="2105"/>
      <c r="Z938" s="2105"/>
      <c r="AA938" s="2105"/>
      <c r="AB938" s="2105"/>
      <c r="AC938" s="2105"/>
    </row>
    <row r="939" spans="1:29">
      <c r="A939" s="2105"/>
      <c r="B939" s="2105"/>
      <c r="C939" s="2105"/>
      <c r="D939" s="2105"/>
      <c r="E939" s="2345"/>
      <c r="F939" s="2105"/>
      <c r="G939" s="2346"/>
      <c r="H939" s="2105"/>
      <c r="I939" s="2105"/>
      <c r="J939" s="2105"/>
      <c r="K939" s="2347"/>
      <c r="L939" s="2105"/>
      <c r="M939" s="2105"/>
      <c r="N939" s="2105"/>
      <c r="O939" s="2105"/>
      <c r="P939" s="2346"/>
      <c r="Q939" s="2105"/>
      <c r="R939" s="2347"/>
      <c r="S939" s="2347"/>
      <c r="T939" s="2348"/>
      <c r="U939" s="2348"/>
      <c r="V939" s="2348"/>
      <c r="W939" s="2347"/>
      <c r="X939" s="2347"/>
      <c r="Y939" s="2105"/>
      <c r="Z939" s="2105"/>
      <c r="AA939" s="2105"/>
      <c r="AB939" s="2105"/>
      <c r="AC939" s="2105"/>
    </row>
    <row r="940" spans="1:29">
      <c r="A940" s="2105"/>
      <c r="B940" s="2105"/>
      <c r="C940" s="2105"/>
      <c r="D940" s="2105"/>
      <c r="E940" s="2345"/>
      <c r="F940" s="2105"/>
      <c r="G940" s="2346"/>
      <c r="H940" s="2105"/>
      <c r="I940" s="2105"/>
      <c r="J940" s="2105"/>
      <c r="K940" s="2347"/>
      <c r="L940" s="2105"/>
      <c r="M940" s="2105"/>
      <c r="N940" s="2105"/>
      <c r="O940" s="2105"/>
      <c r="P940" s="2346"/>
      <c r="Q940" s="2105"/>
      <c r="R940" s="2347"/>
      <c r="S940" s="2347"/>
      <c r="T940" s="2348"/>
      <c r="U940" s="2348"/>
      <c r="V940" s="2348"/>
      <c r="W940" s="2347"/>
      <c r="X940" s="2347"/>
      <c r="Y940" s="2105"/>
      <c r="Z940" s="2105"/>
      <c r="AA940" s="2105"/>
      <c r="AB940" s="2105"/>
      <c r="AC940" s="2105"/>
    </row>
    <row r="941" spans="1:29">
      <c r="A941" s="2105"/>
      <c r="B941" s="2105"/>
      <c r="C941" s="2105"/>
      <c r="D941" s="2105"/>
      <c r="E941" s="2345"/>
      <c r="F941" s="2105"/>
      <c r="G941" s="2346"/>
      <c r="H941" s="2105"/>
      <c r="I941" s="2105"/>
      <c r="J941" s="2105"/>
      <c r="K941" s="2347"/>
      <c r="L941" s="2105"/>
      <c r="M941" s="2105"/>
      <c r="N941" s="2105"/>
      <c r="O941" s="2105"/>
      <c r="P941" s="2346"/>
      <c r="Q941" s="2105"/>
      <c r="R941" s="2347"/>
      <c r="S941" s="2347"/>
      <c r="T941" s="2348"/>
      <c r="U941" s="2348"/>
      <c r="V941" s="2348"/>
      <c r="W941" s="2347"/>
      <c r="X941" s="2347"/>
      <c r="Y941" s="2105"/>
      <c r="Z941" s="2105"/>
      <c r="AA941" s="2105"/>
      <c r="AB941" s="2105"/>
      <c r="AC941" s="2105"/>
    </row>
    <row r="942" spans="1:29">
      <c r="A942" s="2105"/>
      <c r="B942" s="2105"/>
      <c r="C942" s="2105"/>
      <c r="D942" s="2105"/>
      <c r="E942" s="2345"/>
      <c r="F942" s="2105"/>
      <c r="G942" s="2346"/>
      <c r="H942" s="2105"/>
      <c r="I942" s="2105"/>
      <c r="J942" s="2105"/>
      <c r="K942" s="2347"/>
      <c r="L942" s="2105"/>
      <c r="M942" s="2105"/>
      <c r="N942" s="2105"/>
      <c r="O942" s="2105"/>
      <c r="P942" s="2346"/>
      <c r="Q942" s="2105"/>
      <c r="R942" s="2347"/>
      <c r="S942" s="2347"/>
      <c r="T942" s="2348"/>
      <c r="U942" s="2348"/>
      <c r="V942" s="2348"/>
      <c r="W942" s="2347"/>
      <c r="X942" s="2347"/>
      <c r="Y942" s="2105"/>
      <c r="Z942" s="2105"/>
      <c r="AA942" s="2105"/>
      <c r="AB942" s="2105"/>
      <c r="AC942" s="2105"/>
    </row>
    <row r="943" spans="1:29">
      <c r="A943" s="2105"/>
      <c r="B943" s="2105"/>
      <c r="C943" s="2105"/>
      <c r="D943" s="2105"/>
      <c r="E943" s="2345"/>
      <c r="F943" s="2105"/>
      <c r="G943" s="2346"/>
      <c r="H943" s="2105"/>
      <c r="I943" s="2105"/>
      <c r="J943" s="2105"/>
      <c r="K943" s="2347"/>
      <c r="L943" s="2105"/>
      <c r="M943" s="2105"/>
      <c r="N943" s="2105"/>
      <c r="O943" s="2105"/>
      <c r="P943" s="2346"/>
      <c r="Q943" s="2105"/>
      <c r="R943" s="2347"/>
      <c r="S943" s="2347"/>
      <c r="T943" s="2348"/>
      <c r="U943" s="2348"/>
      <c r="V943" s="2348"/>
      <c r="W943" s="2347"/>
      <c r="X943" s="2347"/>
      <c r="Y943" s="2105"/>
      <c r="Z943" s="2105"/>
      <c r="AA943" s="2105"/>
      <c r="AB943" s="2105"/>
      <c r="AC943" s="2105"/>
    </row>
    <row r="944" spans="1:29">
      <c r="A944" s="2105"/>
      <c r="B944" s="2105"/>
      <c r="C944" s="2105"/>
      <c r="D944" s="2105"/>
      <c r="E944" s="2345"/>
      <c r="F944" s="2105"/>
      <c r="G944" s="2346"/>
      <c r="H944" s="2105"/>
      <c r="I944" s="2105"/>
      <c r="J944" s="2105"/>
      <c r="K944" s="2347"/>
      <c r="L944" s="2105"/>
      <c r="M944" s="2105"/>
      <c r="N944" s="2105"/>
      <c r="O944" s="2105"/>
      <c r="P944" s="2346"/>
      <c r="Q944" s="2105"/>
      <c r="R944" s="2347"/>
      <c r="S944" s="2347"/>
      <c r="T944" s="2348"/>
      <c r="U944" s="2348"/>
      <c r="V944" s="2348"/>
      <c r="W944" s="2347"/>
      <c r="X944" s="2347"/>
      <c r="Y944" s="2105"/>
      <c r="Z944" s="2105"/>
      <c r="AA944" s="2105"/>
      <c r="AB944" s="2105"/>
      <c r="AC944" s="2105"/>
    </row>
    <row r="945" spans="1:29">
      <c r="A945" s="2105"/>
      <c r="B945" s="2105"/>
      <c r="C945" s="2105"/>
      <c r="D945" s="2105"/>
      <c r="E945" s="2345"/>
      <c r="F945" s="2105"/>
      <c r="G945" s="2346"/>
      <c r="H945" s="2105"/>
      <c r="I945" s="2105"/>
      <c r="J945" s="2105"/>
      <c r="K945" s="2347"/>
      <c r="L945" s="2105"/>
      <c r="M945" s="2105"/>
      <c r="N945" s="2105"/>
      <c r="O945" s="2105"/>
      <c r="P945" s="2346"/>
      <c r="Q945" s="2105"/>
      <c r="R945" s="2347"/>
      <c r="S945" s="2347"/>
      <c r="T945" s="2348"/>
      <c r="U945" s="2348"/>
      <c r="V945" s="2348"/>
      <c r="W945" s="2347"/>
      <c r="X945" s="2347"/>
      <c r="Y945" s="2105"/>
      <c r="Z945" s="2105"/>
      <c r="AA945" s="2105"/>
      <c r="AB945" s="2105"/>
      <c r="AC945" s="2105"/>
    </row>
    <row r="946" spans="1:29">
      <c r="A946" s="2105"/>
      <c r="B946" s="2105"/>
      <c r="C946" s="2105"/>
      <c r="D946" s="2105"/>
      <c r="E946" s="2345"/>
      <c r="F946" s="2105"/>
      <c r="G946" s="2346"/>
      <c r="H946" s="2105"/>
      <c r="I946" s="2105"/>
      <c r="J946" s="2105"/>
      <c r="K946" s="2347"/>
      <c r="L946" s="2105"/>
      <c r="M946" s="2105"/>
      <c r="N946" s="2105"/>
      <c r="O946" s="2105"/>
      <c r="P946" s="2346"/>
      <c r="Q946" s="2105"/>
      <c r="R946" s="2347"/>
      <c r="S946" s="2347"/>
      <c r="T946" s="2348"/>
      <c r="U946" s="2348"/>
      <c r="V946" s="2348"/>
      <c r="W946" s="2347"/>
      <c r="X946" s="2347"/>
      <c r="Y946" s="2105"/>
      <c r="Z946" s="2105"/>
      <c r="AA946" s="2105"/>
      <c r="AB946" s="2105"/>
      <c r="AC946" s="2105"/>
    </row>
    <row r="947" spans="1:29">
      <c r="A947" s="2105"/>
      <c r="B947" s="2105"/>
      <c r="C947" s="2105"/>
      <c r="D947" s="2105"/>
      <c r="E947" s="2345"/>
      <c r="F947" s="2105"/>
      <c r="G947" s="2346"/>
      <c r="H947" s="2105"/>
      <c r="I947" s="2105"/>
      <c r="J947" s="2105"/>
      <c r="K947" s="2347"/>
      <c r="L947" s="2105"/>
      <c r="M947" s="2105"/>
      <c r="N947" s="2105"/>
      <c r="O947" s="2105"/>
      <c r="P947" s="2346"/>
      <c r="Q947" s="2105"/>
      <c r="R947" s="2347"/>
      <c r="S947" s="2347"/>
      <c r="T947" s="2348"/>
      <c r="U947" s="2348"/>
      <c r="V947" s="2348"/>
      <c r="W947" s="2347"/>
      <c r="X947" s="2347"/>
      <c r="Y947" s="2105"/>
      <c r="Z947" s="2105"/>
      <c r="AA947" s="2105"/>
      <c r="AB947" s="2105"/>
      <c r="AC947" s="2105"/>
    </row>
    <row r="948" spans="1:29">
      <c r="A948" s="2105"/>
      <c r="B948" s="2105"/>
      <c r="C948" s="2105"/>
      <c r="D948" s="2105"/>
      <c r="E948" s="2345"/>
      <c r="F948" s="2105"/>
      <c r="G948" s="2346"/>
      <c r="H948" s="2105"/>
      <c r="I948" s="2105"/>
      <c r="J948" s="2105"/>
      <c r="K948" s="2347"/>
      <c r="L948" s="2105"/>
      <c r="M948" s="2105"/>
      <c r="N948" s="2105"/>
      <c r="O948" s="2105"/>
      <c r="P948" s="2346"/>
      <c r="Q948" s="2105"/>
      <c r="R948" s="2347"/>
      <c r="S948" s="2347"/>
      <c r="T948" s="2348"/>
      <c r="U948" s="2348"/>
      <c r="V948" s="2348"/>
      <c r="W948" s="2347"/>
      <c r="X948" s="2347"/>
      <c r="Y948" s="2105"/>
      <c r="Z948" s="2105"/>
      <c r="AA948" s="2105"/>
      <c r="AB948" s="2105"/>
      <c r="AC948" s="2105"/>
    </row>
    <row r="949" spans="1:29">
      <c r="A949" s="2105"/>
      <c r="B949" s="2105"/>
      <c r="C949" s="2105"/>
      <c r="D949" s="2105"/>
      <c r="E949" s="2345"/>
      <c r="F949" s="2105"/>
      <c r="G949" s="2346"/>
      <c r="H949" s="2105"/>
      <c r="I949" s="2105"/>
      <c r="J949" s="2105"/>
      <c r="K949" s="2347"/>
      <c r="L949" s="2105"/>
      <c r="M949" s="2105"/>
      <c r="N949" s="2105"/>
      <c r="O949" s="2105"/>
      <c r="P949" s="2346"/>
      <c r="Q949" s="2105"/>
      <c r="R949" s="2347"/>
      <c r="S949" s="2347"/>
      <c r="T949" s="2348"/>
      <c r="U949" s="2348"/>
      <c r="V949" s="2348"/>
      <c r="W949" s="2347"/>
      <c r="X949" s="2347"/>
      <c r="Y949" s="2105"/>
      <c r="Z949" s="2105"/>
      <c r="AA949" s="2105"/>
      <c r="AB949" s="2105"/>
      <c r="AC949" s="2105"/>
    </row>
    <row r="950" spans="1:29">
      <c r="A950" s="2105"/>
      <c r="B950" s="2105"/>
      <c r="C950" s="2105"/>
      <c r="D950" s="2105"/>
      <c r="E950" s="2345"/>
      <c r="F950" s="2105"/>
      <c r="G950" s="2346"/>
      <c r="H950" s="2105"/>
      <c r="I950" s="2105"/>
      <c r="J950" s="2105"/>
      <c r="K950" s="2347"/>
      <c r="L950" s="2105"/>
      <c r="M950" s="2105"/>
      <c r="N950" s="2105"/>
      <c r="O950" s="2105"/>
      <c r="P950" s="2346"/>
      <c r="Q950" s="2105"/>
      <c r="R950" s="2347"/>
      <c r="S950" s="2347"/>
      <c r="T950" s="2348"/>
      <c r="U950" s="2348"/>
      <c r="V950" s="2348"/>
      <c r="W950" s="2347"/>
      <c r="X950" s="2347"/>
      <c r="Y950" s="2105"/>
      <c r="Z950" s="2105"/>
      <c r="AA950" s="2105"/>
      <c r="AB950" s="2105"/>
      <c r="AC950" s="2105"/>
    </row>
    <row r="951" spans="1:29">
      <c r="A951" s="2105"/>
      <c r="B951" s="2105"/>
      <c r="C951" s="2105"/>
      <c r="D951" s="2105"/>
      <c r="E951" s="2345"/>
      <c r="F951" s="2105"/>
      <c r="G951" s="2346"/>
      <c r="H951" s="2105"/>
      <c r="I951" s="2105"/>
      <c r="J951" s="2105"/>
      <c r="K951" s="2347"/>
      <c r="L951" s="2105"/>
      <c r="M951" s="2105"/>
      <c r="N951" s="2105"/>
      <c r="O951" s="2105"/>
      <c r="P951" s="2346"/>
      <c r="Q951" s="2105"/>
      <c r="R951" s="2347"/>
      <c r="S951" s="2347"/>
      <c r="T951" s="2348"/>
      <c r="U951" s="2348"/>
      <c r="V951" s="2348"/>
      <c r="W951" s="2347"/>
      <c r="X951" s="2347"/>
      <c r="Y951" s="2105"/>
      <c r="Z951" s="2105"/>
      <c r="AA951" s="2105"/>
      <c r="AB951" s="2105"/>
      <c r="AC951" s="2105"/>
    </row>
    <row r="952" spans="1:29">
      <c r="A952" s="2105"/>
      <c r="B952" s="2105"/>
      <c r="C952" s="2105"/>
      <c r="D952" s="2105"/>
      <c r="E952" s="2345"/>
      <c r="F952" s="2105"/>
      <c r="G952" s="2346"/>
      <c r="H952" s="2105"/>
      <c r="I952" s="2105"/>
      <c r="J952" s="2105"/>
      <c r="K952" s="2347"/>
      <c r="L952" s="2105"/>
      <c r="M952" s="2105"/>
      <c r="N952" s="2105"/>
      <c r="O952" s="2105"/>
      <c r="P952" s="2346"/>
      <c r="Q952" s="2105"/>
      <c r="R952" s="2347"/>
      <c r="S952" s="2347"/>
      <c r="T952" s="2348"/>
      <c r="U952" s="2348"/>
      <c r="V952" s="2348"/>
      <c r="W952" s="2347"/>
      <c r="X952" s="2347"/>
      <c r="Y952" s="2105"/>
      <c r="Z952" s="2105"/>
      <c r="AA952" s="2105"/>
      <c r="AB952" s="2105"/>
      <c r="AC952" s="2105"/>
    </row>
    <row r="953" spans="1:29">
      <c r="A953" s="2105"/>
      <c r="B953" s="2105"/>
      <c r="C953" s="2105"/>
      <c r="D953" s="2105"/>
      <c r="E953" s="2345"/>
      <c r="F953" s="2105"/>
      <c r="G953" s="2346"/>
      <c r="H953" s="2105"/>
      <c r="I953" s="2105"/>
      <c r="J953" s="2105"/>
      <c r="K953" s="2347"/>
      <c r="L953" s="2105"/>
      <c r="M953" s="2105"/>
      <c r="N953" s="2105"/>
      <c r="O953" s="2105"/>
      <c r="P953" s="2346"/>
      <c r="Q953" s="2105"/>
      <c r="R953" s="2347"/>
      <c r="S953" s="2347"/>
      <c r="T953" s="2348"/>
      <c r="U953" s="2348"/>
      <c r="V953" s="2348"/>
      <c r="W953" s="2347"/>
      <c r="X953" s="2347"/>
      <c r="Y953" s="2105"/>
      <c r="Z953" s="2105"/>
      <c r="AA953" s="2105"/>
      <c r="AB953" s="2105"/>
      <c r="AC953" s="2105"/>
    </row>
    <row r="954" spans="1:29">
      <c r="A954" s="2105"/>
      <c r="B954" s="2105"/>
      <c r="C954" s="2105"/>
      <c r="D954" s="2105"/>
      <c r="E954" s="2345"/>
      <c r="F954" s="2105"/>
      <c r="G954" s="2346"/>
      <c r="H954" s="2105"/>
      <c r="I954" s="2105"/>
      <c r="J954" s="2105"/>
      <c r="K954" s="2347"/>
      <c r="L954" s="2105"/>
      <c r="M954" s="2105"/>
      <c r="N954" s="2105"/>
      <c r="O954" s="2105"/>
      <c r="P954" s="2346"/>
      <c r="Q954" s="2105"/>
      <c r="R954" s="2347"/>
      <c r="S954" s="2347"/>
      <c r="T954" s="2348"/>
      <c r="U954" s="2348"/>
      <c r="V954" s="2348"/>
      <c r="W954" s="2347"/>
      <c r="X954" s="2347"/>
      <c r="Y954" s="2105"/>
      <c r="Z954" s="2105"/>
      <c r="AA954" s="2105"/>
      <c r="AB954" s="2105"/>
      <c r="AC954" s="2105"/>
    </row>
    <row r="955" spans="1:29">
      <c r="A955" s="2105"/>
      <c r="B955" s="2105"/>
      <c r="C955" s="2105"/>
      <c r="D955" s="2105"/>
      <c r="E955" s="2345"/>
      <c r="F955" s="2105"/>
      <c r="G955" s="2346"/>
      <c r="H955" s="2105"/>
      <c r="I955" s="2105"/>
      <c r="J955" s="2105"/>
      <c r="K955" s="2347"/>
      <c r="L955" s="2105"/>
      <c r="M955" s="2105"/>
      <c r="N955" s="2105"/>
      <c r="O955" s="2105"/>
      <c r="P955" s="2346"/>
      <c r="Q955" s="2105"/>
      <c r="R955" s="2347"/>
      <c r="S955" s="2347"/>
      <c r="T955" s="2348"/>
      <c r="U955" s="2348"/>
      <c r="V955" s="2348"/>
      <c r="W955" s="2347"/>
      <c r="X955" s="2347"/>
      <c r="Y955" s="2105"/>
      <c r="Z955" s="2105"/>
      <c r="AA955" s="2105"/>
      <c r="AB955" s="2105"/>
      <c r="AC955" s="2105"/>
    </row>
    <row r="956" spans="1:29">
      <c r="A956" s="2105"/>
      <c r="B956" s="2105"/>
      <c r="C956" s="2105"/>
      <c r="D956" s="2105"/>
      <c r="E956" s="2345"/>
      <c r="F956" s="2105"/>
      <c r="G956" s="2346"/>
      <c r="H956" s="2105"/>
      <c r="I956" s="2105"/>
      <c r="J956" s="2105"/>
      <c r="K956" s="2347"/>
      <c r="L956" s="2105"/>
      <c r="M956" s="2105"/>
      <c r="N956" s="2105"/>
      <c r="O956" s="2105"/>
      <c r="P956" s="2346"/>
      <c r="Q956" s="2105"/>
      <c r="R956" s="2347"/>
      <c r="S956" s="2347"/>
      <c r="T956" s="2348"/>
      <c r="U956" s="2348"/>
      <c r="V956" s="2348"/>
      <c r="W956" s="2347"/>
      <c r="X956" s="2347"/>
      <c r="Y956" s="2105"/>
      <c r="Z956" s="2105"/>
      <c r="AA956" s="2105"/>
      <c r="AB956" s="2105"/>
      <c r="AC956" s="2105"/>
    </row>
    <row r="957" spans="1:29">
      <c r="A957" s="2105"/>
      <c r="B957" s="2105"/>
      <c r="C957" s="2105"/>
      <c r="D957" s="2105"/>
      <c r="E957" s="2345"/>
      <c r="F957" s="2105"/>
      <c r="G957" s="2346"/>
      <c r="H957" s="2105"/>
      <c r="I957" s="2105"/>
      <c r="J957" s="2105"/>
      <c r="K957" s="2347"/>
      <c r="L957" s="2105"/>
      <c r="M957" s="2105"/>
      <c r="N957" s="2105"/>
      <c r="O957" s="2105"/>
      <c r="P957" s="2346"/>
      <c r="Q957" s="2105"/>
      <c r="R957" s="2347"/>
      <c r="S957" s="2347"/>
      <c r="T957" s="2348"/>
      <c r="U957" s="2348"/>
      <c r="V957" s="2348"/>
      <c r="W957" s="2347"/>
      <c r="X957" s="2347"/>
      <c r="Y957" s="2105"/>
      <c r="Z957" s="2105"/>
      <c r="AA957" s="2105"/>
      <c r="AB957" s="2105"/>
      <c r="AC957" s="2105"/>
    </row>
    <row r="958" spans="1:29">
      <c r="A958" s="2105"/>
      <c r="B958" s="2105"/>
      <c r="C958" s="2105"/>
      <c r="D958" s="2105"/>
      <c r="E958" s="2345"/>
      <c r="F958" s="2105"/>
      <c r="G958" s="2346"/>
      <c r="H958" s="2105"/>
      <c r="I958" s="2105"/>
      <c r="J958" s="2105"/>
      <c r="K958" s="2347"/>
      <c r="L958" s="2105"/>
      <c r="M958" s="2105"/>
      <c r="N958" s="2105"/>
      <c r="O958" s="2105"/>
      <c r="P958" s="2346"/>
      <c r="Q958" s="2105"/>
      <c r="R958" s="2347"/>
      <c r="S958" s="2347"/>
      <c r="T958" s="2348"/>
      <c r="U958" s="2348"/>
      <c r="V958" s="2348"/>
      <c r="W958" s="2347"/>
      <c r="X958" s="2347"/>
      <c r="Y958" s="2105"/>
      <c r="Z958" s="2105"/>
      <c r="AA958" s="2105"/>
      <c r="AB958" s="2105"/>
      <c r="AC958" s="2105"/>
    </row>
    <row r="959" spans="1:29">
      <c r="A959" s="2105"/>
      <c r="B959" s="2105"/>
      <c r="C959" s="2105"/>
      <c r="D959" s="2105"/>
      <c r="E959" s="2345"/>
      <c r="F959" s="2105"/>
      <c r="G959" s="2346"/>
      <c r="H959" s="2105"/>
      <c r="I959" s="2105"/>
      <c r="J959" s="2105"/>
      <c r="K959" s="2347"/>
      <c r="L959" s="2105"/>
      <c r="M959" s="2105"/>
      <c r="N959" s="2105"/>
      <c r="O959" s="2105"/>
      <c r="P959" s="2346"/>
      <c r="Q959" s="2105"/>
      <c r="R959" s="2347"/>
      <c r="S959" s="2347"/>
      <c r="T959" s="2348"/>
      <c r="U959" s="2348"/>
      <c r="V959" s="2348"/>
      <c r="W959" s="2347"/>
      <c r="X959" s="2347"/>
      <c r="Y959" s="2105"/>
      <c r="Z959" s="2105"/>
      <c r="AA959" s="2105"/>
      <c r="AB959" s="2105"/>
      <c r="AC959" s="2105"/>
    </row>
    <row r="960" spans="1:29">
      <c r="A960" s="2105"/>
      <c r="B960" s="2105"/>
      <c r="C960" s="2105"/>
      <c r="D960" s="2105"/>
      <c r="E960" s="2345"/>
      <c r="F960" s="2105"/>
      <c r="G960" s="2346"/>
      <c r="H960" s="2105"/>
      <c r="I960" s="2105"/>
      <c r="J960" s="2105"/>
      <c r="K960" s="2347"/>
      <c r="L960" s="2105"/>
      <c r="M960" s="2105"/>
      <c r="N960" s="2105"/>
      <c r="O960" s="2105"/>
      <c r="P960" s="2346"/>
      <c r="Q960" s="2105"/>
      <c r="R960" s="2347"/>
      <c r="S960" s="2347"/>
      <c r="T960" s="2348"/>
      <c r="U960" s="2348"/>
      <c r="V960" s="2348"/>
      <c r="W960" s="2347"/>
      <c r="X960" s="2347"/>
      <c r="Y960" s="2105"/>
      <c r="Z960" s="2105"/>
      <c r="AA960" s="2105"/>
      <c r="AB960" s="2105"/>
      <c r="AC960" s="2105"/>
    </row>
    <row r="961" spans="1:29">
      <c r="A961" s="2105"/>
      <c r="B961" s="2105"/>
      <c r="C961" s="2105"/>
      <c r="D961" s="2105"/>
      <c r="E961" s="2345"/>
      <c r="F961" s="2105"/>
      <c r="G961" s="2346"/>
      <c r="H961" s="2105"/>
      <c r="I961" s="2105"/>
      <c r="J961" s="2105"/>
      <c r="K961" s="2347"/>
      <c r="L961" s="2105"/>
      <c r="M961" s="2105"/>
      <c r="N961" s="2105"/>
      <c r="O961" s="2105"/>
      <c r="P961" s="2346"/>
      <c r="Q961" s="2105"/>
      <c r="R961" s="2347"/>
      <c r="S961" s="2347"/>
      <c r="T961" s="2348"/>
      <c r="U961" s="2348"/>
      <c r="V961" s="2348"/>
      <c r="W961" s="2347"/>
      <c r="X961" s="2347"/>
      <c r="Y961" s="2105"/>
      <c r="Z961" s="2105"/>
      <c r="AA961" s="2105"/>
      <c r="AB961" s="2105"/>
      <c r="AC961" s="2105"/>
    </row>
    <row r="962" spans="1:29">
      <c r="A962" s="2105"/>
      <c r="B962" s="2105"/>
      <c r="C962" s="2105"/>
      <c r="D962" s="2105"/>
      <c r="E962" s="2345"/>
      <c r="F962" s="2105"/>
      <c r="G962" s="2346"/>
      <c r="H962" s="2105"/>
      <c r="I962" s="2105"/>
      <c r="J962" s="2105"/>
      <c r="K962" s="2347"/>
      <c r="L962" s="2105"/>
      <c r="M962" s="2105"/>
      <c r="N962" s="2105"/>
      <c r="O962" s="2105"/>
      <c r="P962" s="2346"/>
      <c r="Q962" s="2105"/>
      <c r="R962" s="2347"/>
      <c r="S962" s="2347"/>
      <c r="T962" s="2348"/>
      <c r="U962" s="2348"/>
      <c r="V962" s="2348"/>
      <c r="W962" s="2347"/>
      <c r="X962" s="2347"/>
      <c r="Y962" s="2105"/>
      <c r="Z962" s="2105"/>
      <c r="AA962" s="2105"/>
      <c r="AB962" s="2105"/>
      <c r="AC962" s="2105"/>
    </row>
    <row r="963" spans="1:29">
      <c r="A963" s="2105"/>
      <c r="B963" s="2105"/>
      <c r="C963" s="2105"/>
      <c r="D963" s="2105"/>
      <c r="E963" s="2345"/>
      <c r="F963" s="2105"/>
      <c r="G963" s="2346"/>
      <c r="H963" s="2105"/>
      <c r="I963" s="2105"/>
      <c r="J963" s="2105"/>
      <c r="K963" s="2347"/>
      <c r="L963" s="2105"/>
      <c r="M963" s="2105"/>
      <c r="N963" s="2105"/>
      <c r="O963" s="2105"/>
      <c r="P963" s="2346"/>
      <c r="Q963" s="2105"/>
      <c r="R963" s="2347"/>
      <c r="S963" s="2347"/>
      <c r="T963" s="2348"/>
      <c r="U963" s="2348"/>
      <c r="V963" s="2348"/>
      <c r="W963" s="2347"/>
      <c r="X963" s="2347"/>
      <c r="Y963" s="2105"/>
      <c r="Z963" s="2105"/>
      <c r="AA963" s="2105"/>
      <c r="AB963" s="2105"/>
      <c r="AC963" s="2105"/>
    </row>
    <row r="964" spans="1:29">
      <c r="A964" s="2105"/>
      <c r="B964" s="2105"/>
      <c r="C964" s="2105"/>
      <c r="D964" s="2105"/>
      <c r="E964" s="2345"/>
      <c r="F964" s="2105"/>
      <c r="G964" s="2346"/>
      <c r="H964" s="2105"/>
      <c r="I964" s="2105"/>
      <c r="J964" s="2105"/>
      <c r="K964" s="2347"/>
      <c r="L964" s="2105"/>
      <c r="M964" s="2105"/>
      <c r="N964" s="2105"/>
      <c r="O964" s="2105"/>
      <c r="P964" s="2346"/>
      <c r="Q964" s="2105"/>
      <c r="R964" s="2347"/>
      <c r="S964" s="2347"/>
      <c r="T964" s="2348"/>
      <c r="U964" s="2348"/>
      <c r="V964" s="2348"/>
      <c r="W964" s="2347"/>
      <c r="X964" s="2347"/>
      <c r="Y964" s="2105"/>
      <c r="Z964" s="2105"/>
      <c r="AA964" s="2105"/>
      <c r="AB964" s="2105"/>
      <c r="AC964" s="2105"/>
    </row>
    <row r="965" spans="1:29">
      <c r="A965" s="2105"/>
      <c r="B965" s="2105"/>
      <c r="C965" s="2105"/>
      <c r="D965" s="2105"/>
      <c r="E965" s="2345"/>
      <c r="F965" s="2105"/>
      <c r="G965" s="2346"/>
      <c r="H965" s="2105"/>
      <c r="I965" s="2105"/>
      <c r="J965" s="2105"/>
      <c r="K965" s="2347"/>
      <c r="L965" s="2105"/>
      <c r="M965" s="2105"/>
      <c r="N965" s="2105"/>
      <c r="O965" s="2105"/>
      <c r="P965" s="2346"/>
      <c r="Q965" s="2105"/>
      <c r="R965" s="2347"/>
      <c r="S965" s="2347"/>
      <c r="T965" s="2348"/>
      <c r="U965" s="2348"/>
      <c r="V965" s="2348"/>
      <c r="W965" s="2347"/>
      <c r="X965" s="2347"/>
      <c r="Y965" s="2105"/>
      <c r="Z965" s="2105"/>
      <c r="AA965" s="2105"/>
      <c r="AB965" s="2105"/>
      <c r="AC965" s="2105"/>
    </row>
    <row r="966" spans="1:29">
      <c r="A966" s="2105"/>
      <c r="B966" s="2105"/>
      <c r="C966" s="2105"/>
      <c r="D966" s="2105"/>
      <c r="E966" s="2345"/>
      <c r="F966" s="2105"/>
      <c r="G966" s="2346"/>
      <c r="H966" s="2105"/>
      <c r="I966" s="2105"/>
      <c r="J966" s="2105"/>
      <c r="K966" s="2347"/>
      <c r="L966" s="2105"/>
      <c r="M966" s="2105"/>
      <c r="N966" s="2105"/>
      <c r="O966" s="2105"/>
      <c r="P966" s="2346"/>
      <c r="Q966" s="2105"/>
      <c r="R966" s="2347"/>
      <c r="S966" s="2347"/>
      <c r="T966" s="2348"/>
      <c r="U966" s="2348"/>
      <c r="V966" s="2348"/>
      <c r="W966" s="2347"/>
      <c r="X966" s="2347"/>
      <c r="Y966" s="2105"/>
      <c r="Z966" s="2105"/>
      <c r="AA966" s="2105"/>
      <c r="AB966" s="2105"/>
      <c r="AC966" s="2105"/>
    </row>
    <row r="967" spans="1:29">
      <c r="A967" s="2105"/>
      <c r="B967" s="2105"/>
      <c r="C967" s="2105"/>
      <c r="D967" s="2105"/>
      <c r="E967" s="2345"/>
      <c r="F967" s="2105"/>
      <c r="G967" s="2346"/>
      <c r="H967" s="2105"/>
      <c r="I967" s="2105"/>
      <c r="J967" s="2105"/>
      <c r="K967" s="2347"/>
      <c r="L967" s="2105"/>
      <c r="M967" s="2105"/>
      <c r="N967" s="2105"/>
      <c r="O967" s="2105"/>
      <c r="P967" s="2346"/>
      <c r="Q967" s="2105"/>
      <c r="R967" s="2347"/>
      <c r="S967" s="2347"/>
      <c r="T967" s="2348"/>
      <c r="U967" s="2348"/>
      <c r="V967" s="2348"/>
      <c r="W967" s="2347"/>
      <c r="X967" s="2347"/>
      <c r="Y967" s="2105"/>
      <c r="Z967" s="2105"/>
      <c r="AA967" s="2105"/>
      <c r="AB967" s="2105"/>
      <c r="AC967" s="2105"/>
    </row>
    <row r="968" spans="1:29">
      <c r="A968" s="2105"/>
      <c r="B968" s="2105"/>
      <c r="C968" s="2105"/>
      <c r="D968" s="2105"/>
      <c r="E968" s="2345"/>
      <c r="F968" s="2105"/>
      <c r="G968" s="2346"/>
      <c r="H968" s="2105"/>
      <c r="I968" s="2105"/>
      <c r="J968" s="2105"/>
      <c r="K968" s="2347"/>
      <c r="L968" s="2105"/>
      <c r="M968" s="2105"/>
      <c r="N968" s="2105"/>
      <c r="O968" s="2105"/>
      <c r="P968" s="2346"/>
      <c r="Q968" s="2105"/>
      <c r="R968" s="2347"/>
      <c r="S968" s="2347"/>
      <c r="T968" s="2348"/>
      <c r="U968" s="2348"/>
      <c r="V968" s="2348"/>
      <c r="W968" s="2347"/>
      <c r="X968" s="2347"/>
      <c r="Y968" s="2105"/>
      <c r="Z968" s="2105"/>
      <c r="AA968" s="2105"/>
      <c r="AB968" s="2105"/>
      <c r="AC968" s="2105"/>
    </row>
    <row r="969" spans="1:29">
      <c r="A969" s="2105"/>
      <c r="B969" s="2105"/>
      <c r="C969" s="2105"/>
      <c r="D969" s="2105"/>
      <c r="E969" s="2345"/>
      <c r="F969" s="2105"/>
      <c r="G969" s="2346"/>
      <c r="H969" s="2105"/>
      <c r="I969" s="2105"/>
      <c r="J969" s="2105"/>
      <c r="K969" s="2347"/>
      <c r="L969" s="2105"/>
      <c r="M969" s="2105"/>
      <c r="N969" s="2105"/>
      <c r="O969" s="2105"/>
      <c r="P969" s="2346"/>
      <c r="Q969" s="2105"/>
      <c r="R969" s="2347"/>
      <c r="S969" s="2347"/>
      <c r="T969" s="2348"/>
      <c r="U969" s="2348"/>
      <c r="V969" s="2348"/>
      <c r="W969" s="2347"/>
      <c r="X969" s="2347"/>
      <c r="Y969" s="2105"/>
      <c r="Z969" s="2105"/>
      <c r="AA969" s="2105"/>
      <c r="AB969" s="2105"/>
      <c r="AC969" s="2105"/>
    </row>
    <row r="970" spans="1:29">
      <c r="A970" s="2105"/>
      <c r="B970" s="2105"/>
      <c r="C970" s="2105"/>
      <c r="D970" s="2105"/>
      <c r="E970" s="2345"/>
      <c r="F970" s="2105"/>
      <c r="G970" s="2346"/>
      <c r="H970" s="2105"/>
      <c r="I970" s="2105"/>
      <c r="J970" s="2105"/>
      <c r="K970" s="2347"/>
      <c r="L970" s="2105"/>
      <c r="M970" s="2105"/>
      <c r="N970" s="2105"/>
      <c r="O970" s="2105"/>
      <c r="P970" s="2346"/>
      <c r="Q970" s="2105"/>
      <c r="R970" s="2347"/>
      <c r="S970" s="2347"/>
      <c r="T970" s="2348"/>
      <c r="U970" s="2348"/>
      <c r="V970" s="2348"/>
      <c r="W970" s="2347"/>
      <c r="X970" s="2347"/>
      <c r="Y970" s="2105"/>
      <c r="Z970" s="2105"/>
      <c r="AA970" s="2105"/>
      <c r="AB970" s="2105"/>
      <c r="AC970" s="2105"/>
    </row>
    <row r="971" spans="1:29">
      <c r="A971" s="2105"/>
      <c r="B971" s="2105"/>
      <c r="C971" s="2105"/>
      <c r="D971" s="2105"/>
      <c r="E971" s="2345"/>
      <c r="F971" s="2105"/>
      <c r="G971" s="2346"/>
      <c r="H971" s="2105"/>
      <c r="I971" s="2105"/>
      <c r="J971" s="2105"/>
      <c r="K971" s="2347"/>
      <c r="L971" s="2105"/>
      <c r="M971" s="2105"/>
      <c r="N971" s="2105"/>
      <c r="O971" s="2105"/>
      <c r="P971" s="2346"/>
      <c r="Q971" s="2105"/>
      <c r="R971" s="2347"/>
      <c r="S971" s="2347"/>
      <c r="T971" s="2348"/>
      <c r="U971" s="2348"/>
      <c r="V971" s="2348"/>
      <c r="W971" s="2347"/>
      <c r="X971" s="2347"/>
      <c r="Y971" s="2105"/>
      <c r="Z971" s="2105"/>
      <c r="AA971" s="2105"/>
      <c r="AB971" s="2105"/>
      <c r="AC971" s="2105"/>
    </row>
    <row r="972" spans="1:29">
      <c r="A972" s="2105"/>
      <c r="B972" s="2105"/>
      <c r="C972" s="2105"/>
      <c r="D972" s="2105"/>
      <c r="E972" s="2345"/>
      <c r="F972" s="2105"/>
      <c r="G972" s="2346"/>
      <c r="H972" s="2105"/>
      <c r="I972" s="2105"/>
      <c r="J972" s="2105"/>
      <c r="K972" s="2347"/>
      <c r="L972" s="2105"/>
      <c r="M972" s="2105"/>
      <c r="N972" s="2105"/>
      <c r="O972" s="2105"/>
      <c r="P972" s="2346"/>
      <c r="Q972" s="2105"/>
      <c r="R972" s="2347"/>
      <c r="S972" s="2347"/>
      <c r="T972" s="2348"/>
      <c r="U972" s="2348"/>
      <c r="V972" s="2348"/>
      <c r="W972" s="2347"/>
      <c r="X972" s="2347"/>
      <c r="Y972" s="2105"/>
      <c r="Z972" s="2105"/>
      <c r="AA972" s="2105"/>
      <c r="AB972" s="2105"/>
      <c r="AC972" s="2105"/>
    </row>
    <row r="973" spans="1:29">
      <c r="A973" s="2105"/>
      <c r="B973" s="2105"/>
      <c r="C973" s="2105"/>
      <c r="D973" s="2105"/>
      <c r="E973" s="2345"/>
      <c r="F973" s="2105"/>
      <c r="G973" s="2346"/>
      <c r="H973" s="2105"/>
      <c r="I973" s="2105"/>
      <c r="J973" s="2105"/>
      <c r="K973" s="2347"/>
      <c r="L973" s="2105"/>
      <c r="M973" s="2105"/>
      <c r="N973" s="2105"/>
      <c r="O973" s="2105"/>
      <c r="P973" s="2346"/>
      <c r="Q973" s="2105"/>
      <c r="R973" s="2347"/>
      <c r="S973" s="2347"/>
      <c r="T973" s="2348"/>
      <c r="U973" s="2348"/>
      <c r="V973" s="2348"/>
      <c r="W973" s="2347"/>
      <c r="X973" s="2347"/>
      <c r="Y973" s="2105"/>
      <c r="Z973" s="2105"/>
      <c r="AA973" s="2105"/>
      <c r="AB973" s="2105"/>
      <c r="AC973" s="2105"/>
    </row>
    <row r="974" spans="1:29">
      <c r="A974" s="2105"/>
      <c r="B974" s="2105"/>
      <c r="C974" s="2105"/>
      <c r="D974" s="2105"/>
      <c r="E974" s="2345"/>
      <c r="F974" s="2105"/>
      <c r="G974" s="2346"/>
      <c r="H974" s="2105"/>
      <c r="I974" s="2105"/>
      <c r="J974" s="2105"/>
      <c r="K974" s="2347"/>
      <c r="L974" s="2105"/>
      <c r="M974" s="2105"/>
      <c r="N974" s="2105"/>
      <c r="O974" s="2105"/>
      <c r="P974" s="2346"/>
      <c r="Q974" s="2105"/>
      <c r="R974" s="2347"/>
      <c r="S974" s="2347"/>
      <c r="T974" s="2348"/>
      <c r="U974" s="2348"/>
      <c r="V974" s="2348"/>
      <c r="W974" s="2347"/>
      <c r="X974" s="2347"/>
      <c r="Y974" s="2105"/>
      <c r="Z974" s="2105"/>
      <c r="AA974" s="2105"/>
      <c r="AB974" s="2105"/>
      <c r="AC974" s="2105"/>
    </row>
    <row r="975" spans="1:29">
      <c r="A975" s="2105"/>
      <c r="B975" s="2105"/>
      <c r="C975" s="2105"/>
      <c r="D975" s="2105"/>
      <c r="E975" s="2345"/>
      <c r="F975" s="2105"/>
      <c r="G975" s="2346"/>
      <c r="H975" s="2105"/>
      <c r="I975" s="2105"/>
      <c r="J975" s="2105"/>
      <c r="K975" s="2347"/>
      <c r="L975" s="2105"/>
      <c r="M975" s="2105"/>
      <c r="N975" s="2105"/>
      <c r="O975" s="2105"/>
      <c r="P975" s="2346"/>
      <c r="Q975" s="2105"/>
      <c r="R975" s="2347"/>
      <c r="S975" s="2347"/>
      <c r="T975" s="2348"/>
      <c r="U975" s="2348"/>
      <c r="V975" s="2348"/>
      <c r="W975" s="2347"/>
      <c r="X975" s="2347"/>
      <c r="Y975" s="2105"/>
      <c r="Z975" s="2105"/>
      <c r="AA975" s="2105"/>
      <c r="AB975" s="2105"/>
      <c r="AC975" s="2105"/>
    </row>
    <row r="976" spans="1:29">
      <c r="A976" s="2105"/>
      <c r="B976" s="2105"/>
      <c r="C976" s="2105"/>
      <c r="D976" s="2105"/>
      <c r="E976" s="2345"/>
      <c r="F976" s="2105"/>
      <c r="G976" s="2346"/>
      <c r="H976" s="2105"/>
      <c r="I976" s="2105"/>
      <c r="J976" s="2105"/>
      <c r="K976" s="2347"/>
      <c r="L976" s="2105"/>
      <c r="M976" s="2105"/>
      <c r="N976" s="2105"/>
      <c r="O976" s="2105"/>
      <c r="P976" s="2346"/>
      <c r="Q976" s="2105"/>
      <c r="R976" s="2347"/>
      <c r="S976" s="2347"/>
      <c r="T976" s="2348"/>
      <c r="U976" s="2348"/>
      <c r="V976" s="2348"/>
      <c r="W976" s="2347"/>
      <c r="X976" s="2347"/>
      <c r="Y976" s="2105"/>
      <c r="Z976" s="2105"/>
      <c r="AA976" s="2105"/>
      <c r="AB976" s="2105"/>
      <c r="AC976" s="2105"/>
    </row>
    <row r="977" spans="1:29">
      <c r="A977" s="2105"/>
      <c r="B977" s="2105"/>
      <c r="C977" s="2105"/>
      <c r="D977" s="2105"/>
      <c r="E977" s="2345"/>
      <c r="F977" s="2105"/>
      <c r="G977" s="2346"/>
      <c r="H977" s="2105"/>
      <c r="I977" s="2105"/>
      <c r="J977" s="2105"/>
      <c r="K977" s="2347"/>
      <c r="L977" s="2105"/>
      <c r="M977" s="2105"/>
      <c r="N977" s="2105"/>
      <c r="O977" s="2105"/>
      <c r="P977" s="2346"/>
      <c r="Q977" s="2105"/>
      <c r="R977" s="2347"/>
      <c r="S977" s="2347"/>
      <c r="T977" s="2348"/>
      <c r="U977" s="2348"/>
      <c r="V977" s="2348"/>
      <c r="W977" s="2347"/>
      <c r="X977" s="2347"/>
      <c r="Y977" s="2105"/>
      <c r="Z977" s="2105"/>
      <c r="AA977" s="2105"/>
      <c r="AB977" s="2105"/>
      <c r="AC977" s="2105"/>
    </row>
    <row r="978" spans="1:29">
      <c r="A978" s="2105"/>
      <c r="B978" s="2105"/>
      <c r="C978" s="2105"/>
      <c r="D978" s="2105"/>
      <c r="E978" s="2345"/>
      <c r="F978" s="2105"/>
      <c r="G978" s="2346"/>
      <c r="H978" s="2105"/>
      <c r="I978" s="2105"/>
      <c r="J978" s="2105"/>
      <c r="K978" s="2347"/>
      <c r="L978" s="2105"/>
      <c r="M978" s="2105"/>
      <c r="N978" s="2105"/>
      <c r="O978" s="2105"/>
      <c r="P978" s="2346"/>
      <c r="Q978" s="2105"/>
      <c r="R978" s="2347"/>
      <c r="S978" s="2347"/>
      <c r="T978" s="2348"/>
      <c r="U978" s="2348"/>
      <c r="V978" s="2348"/>
      <c r="W978" s="2347"/>
      <c r="X978" s="2347"/>
      <c r="Y978" s="2105"/>
      <c r="Z978" s="2105"/>
      <c r="AA978" s="2105"/>
      <c r="AB978" s="2105"/>
      <c r="AC978" s="2105"/>
    </row>
    <row r="979" spans="1:29">
      <c r="A979" s="2105"/>
      <c r="B979" s="2105"/>
      <c r="C979" s="2105"/>
      <c r="D979" s="2105"/>
      <c r="E979" s="2345"/>
      <c r="F979" s="2105"/>
      <c r="G979" s="2346"/>
      <c r="H979" s="2105"/>
      <c r="I979" s="2105"/>
      <c r="J979" s="2105"/>
      <c r="K979" s="2347"/>
      <c r="L979" s="2105"/>
      <c r="M979" s="2105"/>
      <c r="N979" s="2105"/>
      <c r="O979" s="2105"/>
      <c r="P979" s="2346"/>
      <c r="Q979" s="2105"/>
      <c r="R979" s="2347"/>
      <c r="S979" s="2347"/>
      <c r="T979" s="2348"/>
      <c r="U979" s="2348"/>
      <c r="V979" s="2348"/>
      <c r="W979" s="2347"/>
      <c r="X979" s="2347"/>
      <c r="Y979" s="2105"/>
      <c r="Z979" s="2105"/>
      <c r="AA979" s="2105"/>
      <c r="AB979" s="2105"/>
      <c r="AC979" s="2105"/>
    </row>
    <row r="980" spans="1:29">
      <c r="A980" s="2105"/>
      <c r="B980" s="2105"/>
      <c r="C980" s="2105"/>
      <c r="D980" s="2105"/>
      <c r="E980" s="2345"/>
      <c r="F980" s="2105"/>
      <c r="G980" s="2346"/>
      <c r="H980" s="2105"/>
      <c r="I980" s="2105"/>
      <c r="J980" s="2105"/>
      <c r="K980" s="2347"/>
      <c r="L980" s="2105"/>
      <c r="M980" s="2105"/>
      <c r="N980" s="2105"/>
      <c r="O980" s="2105"/>
      <c r="P980" s="2346"/>
      <c r="Q980" s="2105"/>
      <c r="R980" s="2347"/>
      <c r="S980" s="2347"/>
      <c r="T980" s="2348"/>
      <c r="U980" s="2348"/>
      <c r="V980" s="2348"/>
      <c r="W980" s="2347"/>
      <c r="X980" s="2347"/>
      <c r="Y980" s="2105"/>
      <c r="Z980" s="2105"/>
      <c r="AA980" s="2105"/>
      <c r="AB980" s="2105"/>
      <c r="AC980" s="2105"/>
    </row>
    <row r="981" spans="1:29">
      <c r="A981" s="2105"/>
      <c r="B981" s="2105"/>
      <c r="C981" s="2105"/>
      <c r="D981" s="2105"/>
      <c r="E981" s="2345"/>
      <c r="F981" s="2105"/>
      <c r="G981" s="2346"/>
      <c r="H981" s="2105"/>
      <c r="I981" s="2105"/>
      <c r="J981" s="2105"/>
      <c r="K981" s="2347"/>
      <c r="L981" s="2105"/>
      <c r="M981" s="2105"/>
      <c r="N981" s="2105"/>
      <c r="O981" s="2105"/>
      <c r="P981" s="2346"/>
      <c r="Q981" s="2105"/>
      <c r="R981" s="2347"/>
      <c r="S981" s="2347"/>
      <c r="T981" s="2348"/>
      <c r="U981" s="2348"/>
      <c r="V981" s="2348"/>
      <c r="W981" s="2347"/>
      <c r="X981" s="2347"/>
      <c r="Y981" s="2105"/>
      <c r="Z981" s="2105"/>
      <c r="AA981" s="2105"/>
      <c r="AB981" s="2105"/>
      <c r="AC981" s="2105"/>
    </row>
    <row r="982" spans="1:29">
      <c r="A982" s="2105"/>
      <c r="B982" s="2105"/>
      <c r="C982" s="2105"/>
      <c r="D982" s="2105"/>
      <c r="E982" s="2345"/>
      <c r="F982" s="2105"/>
      <c r="G982" s="2346"/>
      <c r="H982" s="2105"/>
      <c r="I982" s="2105"/>
      <c r="J982" s="2105"/>
      <c r="K982" s="2347"/>
      <c r="L982" s="2105"/>
      <c r="M982" s="2105"/>
      <c r="N982" s="2105"/>
      <c r="O982" s="2105"/>
      <c r="P982" s="2346"/>
      <c r="Q982" s="2105"/>
      <c r="R982" s="2347"/>
      <c r="S982" s="2347"/>
      <c r="T982" s="2348"/>
      <c r="U982" s="2348"/>
      <c r="V982" s="2348"/>
      <c r="W982" s="2347"/>
      <c r="X982" s="2347"/>
      <c r="Y982" s="2105"/>
      <c r="Z982" s="2105"/>
      <c r="AA982" s="2105"/>
      <c r="AB982" s="2105"/>
      <c r="AC982" s="2105"/>
    </row>
    <row r="983" spans="1:29">
      <c r="A983" s="2105"/>
      <c r="B983" s="2105"/>
      <c r="C983" s="2105"/>
      <c r="D983" s="2105"/>
      <c r="E983" s="2345"/>
      <c r="F983" s="2105"/>
      <c r="G983" s="2346"/>
      <c r="H983" s="2105"/>
      <c r="I983" s="2105"/>
      <c r="J983" s="2105"/>
      <c r="K983" s="2347"/>
      <c r="L983" s="2105"/>
      <c r="M983" s="2105"/>
      <c r="N983" s="2105"/>
      <c r="O983" s="2105"/>
      <c r="P983" s="2346"/>
      <c r="Q983" s="2105"/>
      <c r="R983" s="2347"/>
      <c r="S983" s="2347"/>
      <c r="T983" s="2348"/>
      <c r="U983" s="2348"/>
      <c r="V983" s="2348"/>
      <c r="W983" s="2347"/>
      <c r="X983" s="2347"/>
      <c r="Y983" s="2105"/>
      <c r="Z983" s="2105"/>
      <c r="AA983" s="2105"/>
      <c r="AB983" s="2105"/>
      <c r="AC983" s="2105"/>
    </row>
    <row r="984" spans="1:29">
      <c r="A984" s="2105"/>
      <c r="B984" s="2105"/>
      <c r="C984" s="2105"/>
      <c r="D984" s="2105"/>
      <c r="E984" s="2345"/>
      <c r="F984" s="2105"/>
      <c r="G984" s="2346"/>
      <c r="H984" s="2105"/>
      <c r="I984" s="2105"/>
      <c r="J984" s="2105"/>
      <c r="K984" s="2347"/>
      <c r="L984" s="2105"/>
      <c r="M984" s="2105"/>
      <c r="N984" s="2105"/>
      <c r="O984" s="2105"/>
      <c r="P984" s="2346"/>
      <c r="Q984" s="2105"/>
      <c r="R984" s="2347"/>
      <c r="S984" s="2347"/>
      <c r="T984" s="2348"/>
      <c r="U984" s="2348"/>
      <c r="V984" s="2348"/>
      <c r="W984" s="2347"/>
      <c r="X984" s="2347"/>
      <c r="Y984" s="2105"/>
      <c r="Z984" s="2105"/>
      <c r="AA984" s="2105"/>
      <c r="AB984" s="2105"/>
      <c r="AC984" s="2105"/>
    </row>
    <row r="985" spans="1:29">
      <c r="A985" s="2105"/>
      <c r="B985" s="2105"/>
      <c r="C985" s="2105"/>
      <c r="D985" s="2105"/>
      <c r="E985" s="2345"/>
      <c r="F985" s="2105"/>
      <c r="G985" s="2346"/>
      <c r="H985" s="2105"/>
      <c r="I985" s="2105"/>
      <c r="J985" s="2105"/>
      <c r="K985" s="2347"/>
      <c r="L985" s="2105"/>
      <c r="M985" s="2105"/>
      <c r="N985" s="2105"/>
      <c r="O985" s="2105"/>
      <c r="P985" s="2346"/>
      <c r="Q985" s="2105"/>
      <c r="R985" s="2347"/>
      <c r="S985" s="2347"/>
      <c r="T985" s="2348"/>
      <c r="U985" s="2348"/>
      <c r="V985" s="2348"/>
      <c r="W985" s="2347"/>
      <c r="X985" s="2347"/>
      <c r="Y985" s="2105"/>
      <c r="Z985" s="2105"/>
      <c r="AA985" s="2105"/>
      <c r="AB985" s="2105"/>
      <c r="AC985" s="2105"/>
    </row>
    <row r="986" spans="1:29">
      <c r="A986" s="2105"/>
      <c r="B986" s="2105"/>
      <c r="C986" s="2105"/>
      <c r="D986" s="2105"/>
      <c r="E986" s="2345"/>
      <c r="F986" s="2105"/>
      <c r="G986" s="2346"/>
      <c r="H986" s="2105"/>
      <c r="I986" s="2105"/>
      <c r="J986" s="2105"/>
      <c r="K986" s="2347"/>
      <c r="L986" s="2105"/>
      <c r="M986" s="2105"/>
      <c r="N986" s="2105"/>
      <c r="O986" s="2105"/>
      <c r="P986" s="2346"/>
      <c r="Q986" s="2105"/>
      <c r="R986" s="2347"/>
      <c r="S986" s="2347"/>
      <c r="T986" s="2348"/>
      <c r="U986" s="2348"/>
      <c r="V986" s="2348"/>
      <c r="W986" s="2347"/>
      <c r="X986" s="2347"/>
      <c r="Y986" s="2105"/>
      <c r="Z986" s="2105"/>
      <c r="AA986" s="2105"/>
      <c r="AB986" s="2105"/>
      <c r="AC986" s="2105"/>
    </row>
    <row r="987" spans="1:29">
      <c r="A987" s="2105"/>
      <c r="B987" s="2105"/>
      <c r="C987" s="2105"/>
      <c r="D987" s="2105"/>
      <c r="E987" s="2345"/>
      <c r="F987" s="2105"/>
      <c r="G987" s="2346"/>
      <c r="H987" s="2105"/>
      <c r="I987" s="2105"/>
      <c r="J987" s="2105"/>
      <c r="K987" s="2347"/>
      <c r="L987" s="2105"/>
      <c r="M987" s="2105"/>
      <c r="N987" s="2105"/>
      <c r="O987" s="2105"/>
      <c r="P987" s="2346"/>
      <c r="Q987" s="2105"/>
      <c r="R987" s="2347"/>
      <c r="S987" s="2347"/>
      <c r="T987" s="2348"/>
      <c r="U987" s="2348"/>
      <c r="V987" s="2348"/>
      <c r="W987" s="2347"/>
      <c r="X987" s="2347"/>
      <c r="Y987" s="2105"/>
      <c r="Z987" s="2105"/>
      <c r="AA987" s="2105"/>
      <c r="AB987" s="2105"/>
      <c r="AC987" s="2105"/>
    </row>
    <row r="988" spans="1:29">
      <c r="A988" s="2105"/>
      <c r="B988" s="2105"/>
      <c r="C988" s="2105"/>
      <c r="D988" s="2105"/>
      <c r="E988" s="2345"/>
      <c r="F988" s="2105"/>
      <c r="G988" s="2346"/>
      <c r="H988" s="2105"/>
      <c r="I988" s="2105"/>
      <c r="J988" s="2105"/>
      <c r="K988" s="2347"/>
      <c r="L988" s="2105"/>
      <c r="M988" s="2105"/>
      <c r="N988" s="2105"/>
      <c r="O988" s="2105"/>
      <c r="P988" s="2346"/>
      <c r="Q988" s="2105"/>
      <c r="R988" s="2347"/>
      <c r="S988" s="2347"/>
      <c r="T988" s="2348"/>
      <c r="U988" s="2348"/>
      <c r="V988" s="2348"/>
      <c r="W988" s="2347"/>
      <c r="X988" s="2347"/>
      <c r="Y988" s="2105"/>
      <c r="Z988" s="2105"/>
      <c r="AA988" s="2105"/>
      <c r="AB988" s="2105"/>
      <c r="AC988" s="2105"/>
    </row>
    <row r="989" spans="1:29">
      <c r="A989" s="2105"/>
      <c r="B989" s="2105"/>
      <c r="C989" s="2105"/>
      <c r="D989" s="2105"/>
      <c r="E989" s="2345"/>
      <c r="F989" s="2105"/>
      <c r="G989" s="2346"/>
      <c r="H989" s="2105"/>
      <c r="I989" s="2105"/>
      <c r="J989" s="2105"/>
      <c r="K989" s="2347"/>
      <c r="L989" s="2105"/>
      <c r="M989" s="2105"/>
      <c r="N989" s="2105"/>
      <c r="O989" s="2105"/>
      <c r="P989" s="2346"/>
      <c r="Q989" s="2105"/>
      <c r="R989" s="2347"/>
      <c r="S989" s="2347"/>
      <c r="T989" s="2348"/>
      <c r="U989" s="2348"/>
      <c r="V989" s="2348"/>
      <c r="W989" s="2347"/>
      <c r="X989" s="2347"/>
      <c r="Y989" s="2105"/>
      <c r="Z989" s="2105"/>
      <c r="AA989" s="2105"/>
      <c r="AB989" s="2105"/>
      <c r="AC989" s="2105"/>
    </row>
    <row r="990" spans="1:29">
      <c r="A990" s="2105"/>
      <c r="B990" s="2105"/>
      <c r="C990" s="2105"/>
      <c r="D990" s="2105"/>
      <c r="E990" s="2345"/>
      <c r="F990" s="2105"/>
      <c r="G990" s="2346"/>
      <c r="H990" s="2105"/>
      <c r="I990" s="2105"/>
      <c r="J990" s="2105"/>
      <c r="K990" s="2347"/>
      <c r="L990" s="2105"/>
      <c r="M990" s="2105"/>
      <c r="N990" s="2105"/>
      <c r="O990" s="2105"/>
      <c r="P990" s="2346"/>
      <c r="Q990" s="2105"/>
      <c r="R990" s="2347"/>
      <c r="S990" s="2347"/>
      <c r="T990" s="2348"/>
      <c r="U990" s="2348"/>
      <c r="V990" s="2348"/>
      <c r="W990" s="2347"/>
      <c r="X990" s="2347"/>
      <c r="Y990" s="2105"/>
      <c r="Z990" s="2105"/>
      <c r="AA990" s="2105"/>
      <c r="AB990" s="2105"/>
      <c r="AC990" s="2105"/>
    </row>
    <row r="991" spans="1:29">
      <c r="A991" s="2105"/>
      <c r="B991" s="2105"/>
      <c r="C991" s="2105"/>
      <c r="D991" s="2105"/>
      <c r="E991" s="2345"/>
      <c r="F991" s="2105"/>
      <c r="G991" s="2346"/>
      <c r="H991" s="2105"/>
      <c r="I991" s="2105"/>
      <c r="J991" s="2105"/>
      <c r="K991" s="2347"/>
      <c r="L991" s="2105"/>
      <c r="M991" s="2105"/>
      <c r="N991" s="2105"/>
      <c r="O991" s="2105"/>
      <c r="P991" s="2346"/>
      <c r="Q991" s="2105"/>
      <c r="R991" s="2347"/>
      <c r="S991" s="2347"/>
      <c r="T991" s="2348"/>
      <c r="U991" s="2348"/>
      <c r="V991" s="2348"/>
      <c r="W991" s="2347"/>
      <c r="X991" s="2347"/>
      <c r="Y991" s="2105"/>
      <c r="Z991" s="2105"/>
      <c r="AA991" s="2105"/>
      <c r="AB991" s="2105"/>
      <c r="AC991" s="2105"/>
    </row>
    <row r="992" spans="1:29">
      <c r="A992" s="2105"/>
      <c r="B992" s="2105"/>
      <c r="C992" s="2105"/>
      <c r="D992" s="2105"/>
      <c r="E992" s="2345"/>
      <c r="F992" s="2105"/>
      <c r="G992" s="2346"/>
      <c r="H992" s="2105"/>
      <c r="I992" s="2105"/>
      <c r="J992" s="2105"/>
      <c r="K992" s="2347"/>
      <c r="L992" s="2105"/>
      <c r="M992" s="2105"/>
      <c r="N992" s="2105"/>
      <c r="O992" s="2105"/>
      <c r="P992" s="2346"/>
      <c r="Q992" s="2105"/>
      <c r="R992" s="2347"/>
      <c r="S992" s="2347"/>
      <c r="T992" s="2348"/>
      <c r="U992" s="2348"/>
      <c r="V992" s="2348"/>
      <c r="W992" s="2347"/>
      <c r="X992" s="2347"/>
      <c r="Y992" s="2105"/>
      <c r="Z992" s="2105"/>
      <c r="AA992" s="2105"/>
      <c r="AB992" s="2105"/>
      <c r="AC992" s="2105"/>
    </row>
    <row r="993" spans="1:29">
      <c r="A993" s="2105"/>
      <c r="B993" s="2105"/>
      <c r="C993" s="2105"/>
      <c r="D993" s="2105"/>
      <c r="E993" s="2345"/>
      <c r="F993" s="2105"/>
      <c r="G993" s="2346"/>
      <c r="H993" s="2105"/>
      <c r="I993" s="2105"/>
      <c r="J993" s="2105"/>
      <c r="K993" s="2347"/>
      <c r="L993" s="2105"/>
      <c r="M993" s="2105"/>
      <c r="N993" s="2105"/>
      <c r="O993" s="2105"/>
      <c r="P993" s="2346"/>
      <c r="Q993" s="2105"/>
      <c r="R993" s="2347"/>
      <c r="S993" s="2347"/>
      <c r="T993" s="2348"/>
      <c r="U993" s="2348"/>
      <c r="V993" s="2348"/>
      <c r="W993" s="2347"/>
      <c r="X993" s="2347"/>
      <c r="Y993" s="2105"/>
      <c r="Z993" s="2105"/>
      <c r="AA993" s="2105"/>
      <c r="AB993" s="2105"/>
      <c r="AC993" s="2105"/>
    </row>
    <row r="994" spans="1:29">
      <c r="A994" s="2105"/>
      <c r="B994" s="2105"/>
      <c r="C994" s="2105"/>
      <c r="D994" s="2105"/>
      <c r="E994" s="2345"/>
      <c r="F994" s="2105"/>
      <c r="G994" s="2346"/>
      <c r="H994" s="2105"/>
      <c r="I994" s="2105"/>
      <c r="J994" s="2105"/>
      <c r="K994" s="2347"/>
      <c r="L994" s="2105"/>
      <c r="M994" s="2105"/>
      <c r="N994" s="2105"/>
      <c r="O994" s="2105"/>
      <c r="P994" s="2346"/>
      <c r="Q994" s="2105"/>
      <c r="R994" s="2347"/>
      <c r="S994" s="2347"/>
      <c r="T994" s="2348"/>
      <c r="U994" s="2348"/>
      <c r="V994" s="2348"/>
      <c r="W994" s="2347"/>
      <c r="X994" s="2347"/>
      <c r="Y994" s="2105"/>
      <c r="Z994" s="2105"/>
      <c r="AA994" s="2105"/>
      <c r="AB994" s="2105"/>
      <c r="AC994" s="2105"/>
    </row>
    <row r="995" spans="1:29">
      <c r="A995" s="2105"/>
      <c r="B995" s="2105"/>
      <c r="C995" s="2105"/>
      <c r="D995" s="2105"/>
      <c r="E995" s="2345"/>
      <c r="F995" s="2105"/>
      <c r="G995" s="2346"/>
      <c r="H995" s="2105"/>
      <c r="I995" s="2105"/>
      <c r="J995" s="2105"/>
      <c r="K995" s="2347"/>
      <c r="L995" s="2105"/>
      <c r="M995" s="2105"/>
      <c r="N995" s="2105"/>
      <c r="O995" s="2105"/>
      <c r="P995" s="2346"/>
      <c r="Q995" s="2105"/>
      <c r="R995" s="2347"/>
      <c r="S995" s="2347"/>
      <c r="T995" s="2348"/>
      <c r="U995" s="2348"/>
      <c r="V995" s="2348"/>
      <c r="W995" s="2347"/>
      <c r="X995" s="2347"/>
      <c r="Y995" s="2105"/>
      <c r="Z995" s="2105"/>
      <c r="AA995" s="2105"/>
      <c r="AB995" s="2105"/>
      <c r="AC995" s="2105"/>
    </row>
    <row r="996" spans="1:29">
      <c r="A996" s="2105"/>
      <c r="B996" s="2105"/>
      <c r="C996" s="2105"/>
      <c r="D996" s="2105"/>
      <c r="E996" s="2345"/>
      <c r="F996" s="2105"/>
      <c r="G996" s="2346"/>
      <c r="H996" s="2105"/>
      <c r="I996" s="2105"/>
      <c r="J996" s="2105"/>
      <c r="K996" s="2347"/>
      <c r="L996" s="2105"/>
      <c r="M996" s="2105"/>
      <c r="N996" s="2105"/>
      <c r="O996" s="2105"/>
      <c r="P996" s="2346"/>
      <c r="Q996" s="2105"/>
      <c r="R996" s="2347"/>
      <c r="S996" s="2347"/>
      <c r="T996" s="2348"/>
      <c r="U996" s="2348"/>
      <c r="V996" s="2348"/>
      <c r="W996" s="2347"/>
      <c r="X996" s="2347"/>
      <c r="Y996" s="2105"/>
      <c r="Z996" s="2105"/>
      <c r="AA996" s="2105"/>
      <c r="AB996" s="2105"/>
      <c r="AC996" s="2105"/>
    </row>
    <row r="997" spans="1:29">
      <c r="A997" s="2105"/>
      <c r="B997" s="2105"/>
      <c r="C997" s="2105"/>
      <c r="D997" s="2105"/>
      <c r="E997" s="2345"/>
      <c r="F997" s="2105"/>
      <c r="G997" s="2346"/>
      <c r="H997" s="2105"/>
      <c r="I997" s="2105"/>
      <c r="J997" s="2105"/>
      <c r="K997" s="2347"/>
      <c r="L997" s="2105"/>
      <c r="M997" s="2105"/>
      <c r="N997" s="2105"/>
      <c r="O997" s="2105"/>
      <c r="P997" s="2346"/>
      <c r="Q997" s="2105"/>
      <c r="R997" s="2347"/>
      <c r="S997" s="2347"/>
      <c r="T997" s="2348"/>
      <c r="U997" s="2348"/>
      <c r="V997" s="2348"/>
      <c r="W997" s="2347"/>
      <c r="X997" s="2347"/>
      <c r="Y997" s="2105"/>
      <c r="Z997" s="2105"/>
      <c r="AA997" s="2105"/>
      <c r="AB997" s="2105"/>
      <c r="AC997" s="2105"/>
    </row>
    <row r="998" spans="1:29">
      <c r="A998" s="2105"/>
      <c r="B998" s="2105"/>
      <c r="C998" s="2105"/>
      <c r="D998" s="2105"/>
      <c r="E998" s="2345"/>
      <c r="F998" s="2105"/>
      <c r="G998" s="2346"/>
      <c r="H998" s="2105"/>
      <c r="I998" s="2105"/>
      <c r="J998" s="2105"/>
      <c r="K998" s="2347"/>
      <c r="L998" s="2105"/>
      <c r="M998" s="2105"/>
      <c r="N998" s="2105"/>
      <c r="O998" s="2105"/>
      <c r="P998" s="2346"/>
      <c r="Q998" s="2105"/>
      <c r="R998" s="2347"/>
      <c r="S998" s="2347"/>
      <c r="T998" s="2348"/>
      <c r="U998" s="2348"/>
      <c r="V998" s="2348"/>
      <c r="W998" s="2347"/>
      <c r="X998" s="2347"/>
      <c r="Y998" s="2105"/>
      <c r="Z998" s="2105"/>
      <c r="AA998" s="2105"/>
      <c r="AB998" s="2105"/>
      <c r="AC998" s="2105"/>
    </row>
    <row r="999" spans="1:29">
      <c r="A999" s="2105"/>
      <c r="B999" s="2105"/>
      <c r="C999" s="2105"/>
      <c r="D999" s="2105"/>
      <c r="E999" s="2345"/>
      <c r="F999" s="2105"/>
      <c r="G999" s="2346"/>
      <c r="H999" s="2105"/>
      <c r="I999" s="2105"/>
      <c r="J999" s="2105"/>
      <c r="K999" s="2347"/>
      <c r="L999" s="2105"/>
      <c r="M999" s="2105"/>
      <c r="N999" s="2105"/>
      <c r="O999" s="2105"/>
      <c r="P999" s="2346"/>
      <c r="Q999" s="2105"/>
      <c r="R999" s="2347"/>
      <c r="S999" s="2347"/>
      <c r="T999" s="2348"/>
      <c r="U999" s="2348"/>
      <c r="V999" s="2348"/>
      <c r="W999" s="2347"/>
      <c r="X999" s="2347"/>
      <c r="Y999" s="2105"/>
      <c r="Z999" s="2105"/>
      <c r="AA999" s="2105"/>
      <c r="AB999" s="2105"/>
      <c r="AC999" s="2105"/>
    </row>
    <row r="1000" spans="1:29">
      <c r="A1000" s="2105"/>
      <c r="B1000" s="2105"/>
      <c r="C1000" s="2105"/>
      <c r="D1000" s="2105"/>
      <c r="E1000" s="2345"/>
      <c r="F1000" s="2105"/>
      <c r="G1000" s="2346"/>
      <c r="H1000" s="2105"/>
      <c r="I1000" s="2105"/>
      <c r="J1000" s="2105"/>
      <c r="K1000" s="2347"/>
      <c r="L1000" s="2105"/>
      <c r="M1000" s="2105"/>
      <c r="N1000" s="2105"/>
      <c r="O1000" s="2105"/>
      <c r="P1000" s="2346"/>
      <c r="Q1000" s="2105"/>
      <c r="R1000" s="2347"/>
      <c r="S1000" s="2347"/>
      <c r="T1000" s="2348"/>
      <c r="U1000" s="2348"/>
      <c r="V1000" s="2348"/>
      <c r="W1000" s="2347"/>
      <c r="X1000" s="2347"/>
      <c r="Y1000" s="2105"/>
      <c r="Z1000" s="2105"/>
      <c r="AA1000" s="2105"/>
      <c r="AB1000" s="2105"/>
      <c r="AC1000" s="2105"/>
    </row>
    <row r="1001" spans="1:29">
      <c r="A1001" s="2105"/>
      <c r="B1001" s="2105"/>
      <c r="C1001" s="2105"/>
      <c r="D1001" s="2105"/>
      <c r="E1001" s="2345"/>
      <c r="F1001" s="2105"/>
      <c r="G1001" s="2346"/>
      <c r="H1001" s="2105"/>
      <c r="I1001" s="2105"/>
      <c r="J1001" s="2105"/>
      <c r="K1001" s="2347"/>
      <c r="L1001" s="2105"/>
      <c r="M1001" s="2105"/>
      <c r="N1001" s="2105"/>
      <c r="O1001" s="2105"/>
      <c r="P1001" s="2346"/>
      <c r="Q1001" s="2105"/>
      <c r="R1001" s="2347"/>
      <c r="S1001" s="2347"/>
      <c r="T1001" s="2348"/>
      <c r="U1001" s="2348"/>
      <c r="V1001" s="2348"/>
      <c r="W1001" s="2347"/>
      <c r="X1001" s="2347"/>
      <c r="Y1001" s="2105"/>
      <c r="Z1001" s="2105"/>
      <c r="AA1001" s="2105"/>
      <c r="AB1001" s="2105"/>
      <c r="AC1001" s="2105"/>
    </row>
    <row r="1002" spans="1:29">
      <c r="A1002" s="2105"/>
      <c r="B1002" s="2105"/>
      <c r="C1002" s="2105"/>
      <c r="D1002" s="2105"/>
      <c r="E1002" s="2345"/>
      <c r="F1002" s="2105"/>
      <c r="G1002" s="2346"/>
      <c r="H1002" s="2105"/>
      <c r="I1002" s="2105"/>
      <c r="J1002" s="2105"/>
      <c r="K1002" s="2347"/>
      <c r="L1002" s="2105"/>
      <c r="M1002" s="2105"/>
      <c r="N1002" s="2105"/>
      <c r="O1002" s="2105"/>
      <c r="P1002" s="2346"/>
      <c r="Q1002" s="2105"/>
      <c r="R1002" s="2347"/>
      <c r="S1002" s="2347"/>
      <c r="T1002" s="2348"/>
      <c r="U1002" s="2348"/>
      <c r="V1002" s="2348"/>
      <c r="W1002" s="2347"/>
      <c r="X1002" s="2347"/>
      <c r="Y1002" s="2105"/>
      <c r="Z1002" s="2105"/>
      <c r="AA1002" s="2105"/>
      <c r="AB1002" s="2105"/>
      <c r="AC1002" s="2105"/>
    </row>
    <row r="1003" spans="1:29">
      <c r="A1003" s="2105"/>
      <c r="B1003" s="2105"/>
      <c r="C1003" s="2105"/>
      <c r="D1003" s="2105"/>
      <c r="E1003" s="2345"/>
      <c r="F1003" s="2105"/>
      <c r="G1003" s="2346"/>
      <c r="H1003" s="2105"/>
      <c r="I1003" s="2105"/>
      <c r="J1003" s="2105"/>
      <c r="K1003" s="2347"/>
      <c r="L1003" s="2105"/>
      <c r="M1003" s="2105"/>
      <c r="N1003" s="2105"/>
      <c r="O1003" s="2105"/>
      <c r="P1003" s="2346"/>
      <c r="Q1003" s="2105"/>
      <c r="R1003" s="2347"/>
      <c r="S1003" s="2347"/>
      <c r="T1003" s="2348"/>
      <c r="U1003" s="2348"/>
      <c r="V1003" s="2348"/>
      <c r="W1003" s="2347"/>
      <c r="X1003" s="2347"/>
      <c r="Y1003" s="2105"/>
      <c r="Z1003" s="2105"/>
      <c r="AA1003" s="2105"/>
      <c r="AB1003" s="2105"/>
      <c r="AC1003" s="2105"/>
    </row>
    <row r="1004" spans="1:29">
      <c r="A1004" s="2105"/>
      <c r="B1004" s="2105"/>
      <c r="C1004" s="2105"/>
      <c r="D1004" s="2105"/>
      <c r="E1004" s="2345"/>
      <c r="F1004" s="2105"/>
      <c r="G1004" s="2346"/>
      <c r="H1004" s="2105"/>
      <c r="I1004" s="2105"/>
      <c r="J1004" s="2105"/>
      <c r="K1004" s="2347"/>
      <c r="L1004" s="2105"/>
      <c r="M1004" s="2105"/>
      <c r="N1004" s="2105"/>
      <c r="O1004" s="2105"/>
      <c r="P1004" s="2346"/>
      <c r="Q1004" s="2105"/>
      <c r="R1004" s="2347"/>
      <c r="S1004" s="2347"/>
      <c r="T1004" s="2348"/>
      <c r="U1004" s="2348"/>
      <c r="V1004" s="2348"/>
      <c r="W1004" s="2347"/>
      <c r="X1004" s="2347"/>
      <c r="Y1004" s="2105"/>
      <c r="Z1004" s="2105"/>
      <c r="AA1004" s="2105"/>
      <c r="AB1004" s="2105"/>
      <c r="AC1004" s="2105"/>
    </row>
    <row r="1005" spans="1:29">
      <c r="A1005" s="2105"/>
      <c r="B1005" s="2105"/>
      <c r="C1005" s="2105"/>
      <c r="D1005" s="2105"/>
      <c r="E1005" s="2345"/>
      <c r="F1005" s="2105"/>
      <c r="G1005" s="2346"/>
      <c r="H1005" s="2105"/>
      <c r="I1005" s="2105"/>
      <c r="J1005" s="2105"/>
      <c r="K1005" s="2347"/>
      <c r="L1005" s="2105"/>
      <c r="M1005" s="2105"/>
      <c r="N1005" s="2105"/>
      <c r="O1005" s="2105"/>
      <c r="P1005" s="2346"/>
      <c r="Q1005" s="2105"/>
      <c r="R1005" s="2347"/>
      <c r="S1005" s="2347"/>
      <c r="T1005" s="2348"/>
      <c r="U1005" s="2348"/>
      <c r="V1005" s="2348"/>
      <c r="W1005" s="2347"/>
      <c r="X1005" s="2347"/>
      <c r="Y1005" s="2105"/>
      <c r="Z1005" s="2105"/>
      <c r="AA1005" s="2105"/>
      <c r="AB1005" s="2105"/>
      <c r="AC1005" s="2105"/>
    </row>
    <row r="1006" spans="1:29">
      <c r="A1006" s="2105"/>
      <c r="B1006" s="2105"/>
      <c r="C1006" s="2105"/>
      <c r="D1006" s="2105"/>
      <c r="E1006" s="2345"/>
      <c r="F1006" s="2105"/>
      <c r="G1006" s="2346"/>
      <c r="H1006" s="2105"/>
      <c r="I1006" s="2105"/>
      <c r="J1006" s="2105"/>
      <c r="K1006" s="2347"/>
      <c r="L1006" s="2105"/>
      <c r="M1006" s="2105"/>
      <c r="N1006" s="2105"/>
      <c r="O1006" s="2105"/>
      <c r="P1006" s="2346"/>
      <c r="Q1006" s="2105"/>
      <c r="R1006" s="2347"/>
      <c r="S1006" s="2347"/>
      <c r="T1006" s="2348"/>
      <c r="U1006" s="2348"/>
      <c r="V1006" s="2348"/>
      <c r="W1006" s="2347"/>
      <c r="X1006" s="2347"/>
      <c r="Y1006" s="2105"/>
      <c r="Z1006" s="2105"/>
      <c r="AA1006" s="2105"/>
      <c r="AB1006" s="2105"/>
      <c r="AC1006" s="2105"/>
    </row>
    <row r="1007" spans="1:29">
      <c r="A1007" s="2105"/>
      <c r="B1007" s="2105"/>
      <c r="C1007" s="2105"/>
      <c r="D1007" s="2105"/>
      <c r="E1007" s="2345"/>
      <c r="F1007" s="2105"/>
      <c r="G1007" s="2346"/>
      <c r="H1007" s="2105"/>
      <c r="I1007" s="2105"/>
      <c r="J1007" s="2105"/>
      <c r="K1007" s="2347"/>
      <c r="L1007" s="2105"/>
      <c r="M1007" s="2105"/>
      <c r="N1007" s="2105"/>
      <c r="O1007" s="2105"/>
      <c r="P1007" s="2346"/>
      <c r="Q1007" s="2105"/>
      <c r="R1007" s="2347"/>
      <c r="S1007" s="2347"/>
      <c r="T1007" s="2348"/>
      <c r="U1007" s="2348"/>
      <c r="V1007" s="2348"/>
      <c r="W1007" s="2347"/>
      <c r="X1007" s="2347"/>
      <c r="Y1007" s="2105"/>
      <c r="Z1007" s="2105"/>
      <c r="AA1007" s="2105"/>
      <c r="AB1007" s="2105"/>
      <c r="AC1007" s="2105"/>
    </row>
    <row r="1008" spans="1:29">
      <c r="A1008" s="2105"/>
      <c r="B1008" s="2105"/>
      <c r="C1008" s="2105"/>
      <c r="D1008" s="2105"/>
      <c r="E1008" s="2345"/>
      <c r="F1008" s="2105"/>
      <c r="G1008" s="2346"/>
      <c r="H1008" s="2105"/>
      <c r="I1008" s="2105"/>
      <c r="J1008" s="2105"/>
      <c r="K1008" s="2347"/>
      <c r="L1008" s="2105"/>
      <c r="M1008" s="2105"/>
      <c r="N1008" s="2105"/>
      <c r="O1008" s="2105"/>
      <c r="P1008" s="2346"/>
      <c r="Q1008" s="2105"/>
      <c r="R1008" s="2347"/>
      <c r="S1008" s="2347"/>
      <c r="T1008" s="2348"/>
      <c r="U1008" s="2348"/>
      <c r="V1008" s="2348"/>
      <c r="W1008" s="2347"/>
      <c r="X1008" s="2347"/>
      <c r="Y1008" s="2105"/>
      <c r="Z1008" s="2105"/>
      <c r="AA1008" s="2105"/>
      <c r="AB1008" s="2105"/>
      <c r="AC1008" s="2105"/>
    </row>
    <row r="1009" spans="1:29">
      <c r="A1009" s="2105"/>
      <c r="B1009" s="2105"/>
      <c r="C1009" s="2105"/>
      <c r="D1009" s="2105"/>
      <c r="E1009" s="2345"/>
      <c r="F1009" s="2105"/>
      <c r="G1009" s="2346"/>
      <c r="H1009" s="2105"/>
      <c r="I1009" s="2105"/>
      <c r="J1009" s="2105"/>
      <c r="K1009" s="2347"/>
      <c r="L1009" s="2105"/>
      <c r="M1009" s="2105"/>
      <c r="N1009" s="2105"/>
      <c r="O1009" s="2105"/>
      <c r="P1009" s="2346"/>
      <c r="Q1009" s="2105"/>
      <c r="R1009" s="2347"/>
      <c r="S1009" s="2347"/>
      <c r="T1009" s="2348"/>
      <c r="U1009" s="2348"/>
      <c r="V1009" s="2348"/>
      <c r="W1009" s="2347"/>
      <c r="X1009" s="2347"/>
      <c r="Y1009" s="2105"/>
      <c r="Z1009" s="2105"/>
      <c r="AA1009" s="2105"/>
      <c r="AB1009" s="2105"/>
      <c r="AC1009" s="2105"/>
    </row>
    <row r="1010" spans="1:29">
      <c r="A1010" s="2105"/>
      <c r="B1010" s="2105"/>
      <c r="C1010" s="2105"/>
      <c r="D1010" s="2105"/>
      <c r="E1010" s="2345"/>
      <c r="F1010" s="2105"/>
      <c r="G1010" s="2346"/>
      <c r="H1010" s="2105"/>
      <c r="I1010" s="2105"/>
      <c r="J1010" s="2105"/>
      <c r="K1010" s="2347"/>
      <c r="L1010" s="2105"/>
      <c r="M1010" s="2105"/>
      <c r="N1010" s="2105"/>
      <c r="O1010" s="2105"/>
      <c r="P1010" s="2346"/>
      <c r="Q1010" s="2105"/>
      <c r="R1010" s="2347"/>
      <c r="S1010" s="2347"/>
      <c r="T1010" s="2348"/>
      <c r="U1010" s="2348"/>
      <c r="V1010" s="2348"/>
      <c r="W1010" s="2347"/>
      <c r="X1010" s="2347"/>
      <c r="Y1010" s="2105"/>
      <c r="Z1010" s="2105"/>
      <c r="AA1010" s="2105"/>
      <c r="AB1010" s="2105"/>
      <c r="AC1010" s="2105"/>
    </row>
    <row r="1011" spans="1:29">
      <c r="A1011" s="2105"/>
      <c r="B1011" s="2105"/>
      <c r="C1011" s="2105"/>
      <c r="D1011" s="2105"/>
      <c r="E1011" s="2345"/>
      <c r="F1011" s="2105"/>
      <c r="G1011" s="2346"/>
      <c r="H1011" s="2105"/>
      <c r="I1011" s="2105"/>
      <c r="J1011" s="2105"/>
      <c r="K1011" s="2347"/>
      <c r="L1011" s="2105"/>
      <c r="M1011" s="2105"/>
      <c r="N1011" s="2105"/>
      <c r="O1011" s="2105"/>
      <c r="P1011" s="2346"/>
      <c r="Q1011" s="2105"/>
      <c r="R1011" s="2347"/>
      <c r="S1011" s="2347"/>
      <c r="T1011" s="2348"/>
      <c r="U1011" s="2348"/>
      <c r="V1011" s="2348"/>
      <c r="W1011" s="2347"/>
      <c r="X1011" s="2347"/>
      <c r="Y1011" s="2105"/>
      <c r="Z1011" s="2105"/>
      <c r="AA1011" s="2105"/>
      <c r="AB1011" s="2105"/>
      <c r="AC1011" s="2105"/>
    </row>
    <row r="1012" spans="1:29">
      <c r="A1012" s="2105"/>
      <c r="B1012" s="2105"/>
      <c r="C1012" s="2105"/>
      <c r="D1012" s="2105"/>
      <c r="E1012" s="2345"/>
      <c r="F1012" s="2105"/>
      <c r="G1012" s="2346"/>
      <c r="H1012" s="2105"/>
      <c r="I1012" s="2105"/>
      <c r="J1012" s="2105"/>
      <c r="K1012" s="2347"/>
      <c r="L1012" s="2105"/>
      <c r="M1012" s="2105"/>
      <c r="N1012" s="2105"/>
      <c r="O1012" s="2105"/>
      <c r="P1012" s="2346"/>
      <c r="Q1012" s="2105"/>
      <c r="R1012" s="2347"/>
      <c r="S1012" s="2347"/>
      <c r="T1012" s="2348"/>
      <c r="U1012" s="2348"/>
      <c r="V1012" s="2348"/>
      <c r="W1012" s="2347"/>
      <c r="X1012" s="2347"/>
      <c r="Y1012" s="2105"/>
      <c r="Z1012" s="2105"/>
      <c r="AA1012" s="2105"/>
      <c r="AB1012" s="2105"/>
      <c r="AC1012" s="2105"/>
    </row>
    <row r="1013" spans="1:29">
      <c r="A1013" s="2105"/>
      <c r="B1013" s="2105"/>
      <c r="C1013" s="2105"/>
      <c r="D1013" s="2105"/>
      <c r="E1013" s="2345"/>
      <c r="F1013" s="2105"/>
      <c r="G1013" s="2346"/>
      <c r="H1013" s="2105"/>
      <c r="I1013" s="2105"/>
      <c r="J1013" s="2105"/>
      <c r="K1013" s="2347"/>
      <c r="L1013" s="2105"/>
      <c r="M1013" s="2105"/>
      <c r="N1013" s="2105"/>
      <c r="O1013" s="2105"/>
      <c r="P1013" s="2346"/>
      <c r="Q1013" s="2105"/>
      <c r="R1013" s="2347"/>
      <c r="S1013" s="2347"/>
      <c r="T1013" s="2348"/>
      <c r="U1013" s="2348"/>
      <c r="V1013" s="2348"/>
      <c r="W1013" s="2347"/>
      <c r="X1013" s="2347"/>
      <c r="Y1013" s="2105"/>
      <c r="Z1013" s="2105"/>
      <c r="AA1013" s="2105"/>
      <c r="AB1013" s="2105"/>
      <c r="AC1013" s="2105"/>
    </row>
    <row r="1014" spans="1:29">
      <c r="A1014" s="2105"/>
      <c r="B1014" s="2105"/>
      <c r="C1014" s="2105"/>
      <c r="D1014" s="2105"/>
      <c r="E1014" s="2345"/>
      <c r="F1014" s="2105"/>
      <c r="G1014" s="2346"/>
      <c r="H1014" s="2105"/>
      <c r="I1014" s="2105"/>
      <c r="J1014" s="2105"/>
      <c r="K1014" s="2347"/>
      <c r="L1014" s="2105"/>
      <c r="M1014" s="2105"/>
      <c r="N1014" s="2105"/>
      <c r="O1014" s="2105"/>
      <c r="P1014" s="2346"/>
      <c r="Q1014" s="2105"/>
      <c r="R1014" s="2347"/>
      <c r="S1014" s="2347"/>
      <c r="T1014" s="2348"/>
      <c r="U1014" s="2348"/>
      <c r="V1014" s="2348"/>
      <c r="W1014" s="2347"/>
      <c r="X1014" s="2347"/>
      <c r="Y1014" s="2105"/>
      <c r="Z1014" s="2105"/>
      <c r="AA1014" s="2105"/>
      <c r="AB1014" s="2105"/>
      <c r="AC1014" s="2105"/>
    </row>
    <row r="1015" spans="1:29">
      <c r="A1015" s="2105"/>
      <c r="B1015" s="2105"/>
      <c r="C1015" s="2105"/>
      <c r="D1015" s="2105"/>
      <c r="E1015" s="2345"/>
      <c r="F1015" s="2105"/>
      <c r="G1015" s="2346"/>
      <c r="H1015" s="2105"/>
      <c r="I1015" s="2105"/>
      <c r="J1015" s="2105"/>
      <c r="K1015" s="2347"/>
      <c r="L1015" s="2105"/>
      <c r="M1015" s="2105"/>
      <c r="N1015" s="2105"/>
      <c r="O1015" s="2105"/>
      <c r="P1015" s="2346"/>
      <c r="Q1015" s="2105"/>
      <c r="R1015" s="2347"/>
      <c r="S1015" s="2347"/>
      <c r="T1015" s="2348"/>
      <c r="U1015" s="2348"/>
      <c r="V1015" s="2348"/>
      <c r="W1015" s="2347"/>
      <c r="X1015" s="2347"/>
      <c r="Y1015" s="2105"/>
      <c r="Z1015" s="2105"/>
      <c r="AA1015" s="2105"/>
      <c r="AB1015" s="2105"/>
      <c r="AC1015" s="2105"/>
    </row>
    <row r="1016" spans="1:29">
      <c r="A1016" s="2105"/>
      <c r="B1016" s="2105"/>
      <c r="C1016" s="2105"/>
      <c r="D1016" s="2105"/>
      <c r="E1016" s="2345"/>
      <c r="F1016" s="2105"/>
      <c r="G1016" s="2346"/>
      <c r="H1016" s="2105"/>
      <c r="I1016" s="2105"/>
      <c r="J1016" s="2105"/>
      <c r="K1016" s="2347"/>
      <c r="L1016" s="2105"/>
      <c r="M1016" s="2105"/>
      <c r="N1016" s="2105"/>
      <c r="O1016" s="2105"/>
      <c r="P1016" s="2346"/>
      <c r="Q1016" s="2105"/>
      <c r="R1016" s="2347"/>
      <c r="S1016" s="2347"/>
      <c r="T1016" s="2348"/>
      <c r="U1016" s="2348"/>
      <c r="V1016" s="2348"/>
      <c r="W1016" s="2347"/>
      <c r="X1016" s="2347"/>
      <c r="Y1016" s="2105"/>
      <c r="Z1016" s="2105"/>
      <c r="AA1016" s="2105"/>
      <c r="AB1016" s="2105"/>
      <c r="AC1016" s="2105"/>
    </row>
    <row r="1017" spans="1:29">
      <c r="A1017" s="2105"/>
      <c r="B1017" s="2105"/>
      <c r="C1017" s="2105"/>
      <c r="D1017" s="2105"/>
      <c r="E1017" s="2345"/>
      <c r="F1017" s="2105"/>
      <c r="G1017" s="2346"/>
      <c r="H1017" s="2105"/>
      <c r="I1017" s="2105"/>
      <c r="J1017" s="2105"/>
      <c r="K1017" s="2347"/>
      <c r="L1017" s="2105"/>
      <c r="M1017" s="2105"/>
      <c r="N1017" s="2105"/>
      <c r="O1017" s="2105"/>
      <c r="P1017" s="2346"/>
      <c r="Q1017" s="2105"/>
      <c r="R1017" s="2347"/>
      <c r="S1017" s="2347"/>
      <c r="T1017" s="2348"/>
      <c r="U1017" s="2348"/>
      <c r="V1017" s="2348"/>
      <c r="W1017" s="2347"/>
      <c r="X1017" s="2347"/>
      <c r="Y1017" s="2105"/>
      <c r="Z1017" s="2105"/>
      <c r="AA1017" s="2105"/>
      <c r="AB1017" s="2105"/>
      <c r="AC1017" s="2105"/>
    </row>
    <row r="1018" spans="1:29">
      <c r="A1018" s="2105"/>
      <c r="B1018" s="2105"/>
      <c r="C1018" s="2105"/>
      <c r="D1018" s="2105"/>
      <c r="E1018" s="2345"/>
      <c r="F1018" s="2105"/>
      <c r="G1018" s="2346"/>
      <c r="H1018" s="2105"/>
      <c r="I1018" s="2105"/>
      <c r="J1018" s="2105"/>
      <c r="K1018" s="2347"/>
      <c r="L1018" s="2105"/>
      <c r="M1018" s="2105"/>
      <c r="N1018" s="2105"/>
      <c r="O1018" s="2105"/>
      <c r="P1018" s="2346"/>
      <c r="Q1018" s="2105"/>
      <c r="R1018" s="2347"/>
      <c r="S1018" s="2347"/>
      <c r="T1018" s="2348"/>
      <c r="U1018" s="2348"/>
      <c r="V1018" s="2348"/>
      <c r="W1018" s="2347"/>
      <c r="X1018" s="2347"/>
      <c r="Y1018" s="2105"/>
      <c r="Z1018" s="2105"/>
      <c r="AA1018" s="2105"/>
      <c r="AB1018" s="2105"/>
      <c r="AC1018" s="2105"/>
    </row>
    <row r="1019" spans="1:29">
      <c r="A1019" s="2105"/>
      <c r="B1019" s="2105"/>
      <c r="C1019" s="2105"/>
      <c r="D1019" s="2105"/>
      <c r="E1019" s="2345"/>
      <c r="F1019" s="2105"/>
      <c r="G1019" s="2346"/>
      <c r="H1019" s="2105"/>
      <c r="I1019" s="2105"/>
      <c r="J1019" s="2105"/>
      <c r="K1019" s="2347"/>
      <c r="L1019" s="2105"/>
      <c r="M1019" s="2105"/>
      <c r="N1019" s="2105"/>
      <c r="O1019" s="2105"/>
      <c r="P1019" s="2346"/>
      <c r="Q1019" s="2105"/>
      <c r="R1019" s="2347"/>
      <c r="S1019" s="2347"/>
      <c r="T1019" s="2348"/>
      <c r="U1019" s="2348"/>
      <c r="V1019" s="2348"/>
      <c r="W1019" s="2347"/>
      <c r="X1019" s="2347"/>
      <c r="Y1019" s="2105"/>
      <c r="Z1019" s="2105"/>
      <c r="AA1019" s="2105"/>
      <c r="AB1019" s="2105"/>
      <c r="AC1019" s="2105"/>
    </row>
    <row r="1020" spans="1:29">
      <c r="A1020" s="2105"/>
      <c r="B1020" s="2105"/>
      <c r="C1020" s="2105"/>
      <c r="D1020" s="2105"/>
      <c r="E1020" s="2345"/>
      <c r="F1020" s="2105"/>
      <c r="G1020" s="2346"/>
      <c r="H1020" s="2105"/>
      <c r="I1020" s="2105"/>
      <c r="J1020" s="2105"/>
      <c r="K1020" s="2347"/>
      <c r="L1020" s="2105"/>
      <c r="M1020" s="2105"/>
      <c r="N1020" s="2105"/>
      <c r="O1020" s="2105"/>
      <c r="P1020" s="2346"/>
      <c r="Q1020" s="2105"/>
      <c r="R1020" s="2347"/>
      <c r="S1020" s="2347"/>
      <c r="T1020" s="2348"/>
      <c r="U1020" s="2348"/>
      <c r="V1020" s="2348"/>
      <c r="W1020" s="2347"/>
      <c r="X1020" s="2347"/>
      <c r="Y1020" s="2105"/>
      <c r="Z1020" s="2105"/>
      <c r="AA1020" s="2105"/>
      <c r="AB1020" s="2105"/>
      <c r="AC1020" s="2105"/>
    </row>
    <row r="1021" spans="1:29">
      <c r="A1021" s="2105"/>
      <c r="B1021" s="2105"/>
      <c r="C1021" s="2105"/>
      <c r="D1021" s="2105"/>
      <c r="E1021" s="2345"/>
      <c r="F1021" s="2105"/>
      <c r="G1021" s="2346"/>
      <c r="H1021" s="2105"/>
      <c r="I1021" s="2105"/>
      <c r="J1021" s="2105"/>
      <c r="K1021" s="2347"/>
      <c r="L1021" s="2105"/>
      <c r="M1021" s="2105"/>
      <c r="N1021" s="2105"/>
      <c r="O1021" s="2105"/>
      <c r="P1021" s="2346"/>
      <c r="Q1021" s="2105"/>
      <c r="R1021" s="2347"/>
      <c r="S1021" s="2347"/>
      <c r="T1021" s="2348"/>
      <c r="U1021" s="2348"/>
      <c r="V1021" s="2348"/>
      <c r="W1021" s="2347"/>
      <c r="X1021" s="2347"/>
      <c r="Y1021" s="2105"/>
      <c r="Z1021" s="2105"/>
      <c r="AA1021" s="2105"/>
      <c r="AB1021" s="2105"/>
      <c r="AC1021" s="2105"/>
    </row>
    <row r="1022" spans="1:29">
      <c r="A1022" s="2105"/>
      <c r="B1022" s="2105"/>
      <c r="C1022" s="2105"/>
      <c r="D1022" s="2105"/>
      <c r="E1022" s="2345"/>
      <c r="F1022" s="2105"/>
      <c r="G1022" s="2346"/>
      <c r="H1022" s="2105"/>
      <c r="I1022" s="2105"/>
      <c r="J1022" s="2105"/>
      <c r="K1022" s="2347"/>
      <c r="L1022" s="2105"/>
      <c r="M1022" s="2105"/>
      <c r="N1022" s="2105"/>
      <c r="O1022" s="2105"/>
      <c r="P1022" s="2346"/>
      <c r="Q1022" s="2105"/>
      <c r="R1022" s="2347"/>
      <c r="S1022" s="2347"/>
      <c r="T1022" s="2348"/>
      <c r="U1022" s="2348"/>
      <c r="V1022" s="2348"/>
      <c r="W1022" s="2347"/>
      <c r="X1022" s="2347"/>
      <c r="Y1022" s="2105"/>
      <c r="Z1022" s="2105"/>
      <c r="AA1022" s="2105"/>
      <c r="AB1022" s="2105"/>
      <c r="AC1022" s="2105"/>
    </row>
    <row r="1023" spans="1:29">
      <c r="A1023" s="2105"/>
      <c r="B1023" s="2105"/>
      <c r="C1023" s="2105"/>
      <c r="D1023" s="2105"/>
      <c r="E1023" s="2345"/>
      <c r="F1023" s="2105"/>
      <c r="G1023" s="2346"/>
      <c r="H1023" s="2105"/>
      <c r="I1023" s="2105"/>
      <c r="J1023" s="2105"/>
      <c r="K1023" s="2347"/>
      <c r="L1023" s="2105"/>
      <c r="M1023" s="2105"/>
      <c r="N1023" s="2105"/>
      <c r="O1023" s="2105"/>
      <c r="P1023" s="2346"/>
      <c r="Q1023" s="2105"/>
      <c r="R1023" s="2347"/>
      <c r="S1023" s="2347"/>
      <c r="T1023" s="2348"/>
      <c r="U1023" s="2348"/>
      <c r="V1023" s="2348"/>
      <c r="W1023" s="2347"/>
      <c r="X1023" s="2347"/>
      <c r="Y1023" s="2105"/>
      <c r="Z1023" s="2105"/>
      <c r="AA1023" s="2105"/>
      <c r="AB1023" s="2105"/>
      <c r="AC1023" s="2105"/>
    </row>
    <row r="1024" spans="1:29">
      <c r="A1024" s="2105"/>
      <c r="B1024" s="2105"/>
      <c r="C1024" s="2105"/>
      <c r="D1024" s="2105"/>
      <c r="E1024" s="2345"/>
      <c r="F1024" s="2105"/>
      <c r="G1024" s="2346"/>
      <c r="H1024" s="2105"/>
      <c r="I1024" s="2105"/>
      <c r="J1024" s="2105"/>
      <c r="K1024" s="2347"/>
      <c r="L1024" s="2105"/>
      <c r="M1024" s="2105"/>
      <c r="N1024" s="2105"/>
      <c r="O1024" s="2105"/>
      <c r="P1024" s="2346"/>
      <c r="Q1024" s="2105"/>
      <c r="R1024" s="2347"/>
      <c r="S1024" s="2347"/>
      <c r="T1024" s="2348"/>
      <c r="U1024" s="2348"/>
      <c r="V1024" s="2348"/>
      <c r="W1024" s="2347"/>
      <c r="X1024" s="2347"/>
      <c r="Y1024" s="2105"/>
      <c r="Z1024" s="2105"/>
      <c r="AA1024" s="2105"/>
      <c r="AB1024" s="2105"/>
      <c r="AC1024" s="2105"/>
    </row>
    <row r="1025" spans="1:29">
      <c r="A1025" s="2105"/>
      <c r="B1025" s="2105"/>
      <c r="C1025" s="2105"/>
      <c r="D1025" s="2105"/>
      <c r="E1025" s="2345"/>
      <c r="F1025" s="2105"/>
      <c r="G1025" s="2346"/>
      <c r="H1025" s="2105"/>
      <c r="I1025" s="2105"/>
      <c r="J1025" s="2105"/>
      <c r="K1025" s="2347"/>
      <c r="L1025" s="2105"/>
      <c r="M1025" s="2105"/>
      <c r="N1025" s="2105"/>
      <c r="O1025" s="2105"/>
      <c r="P1025" s="2346"/>
      <c r="Q1025" s="2105"/>
      <c r="R1025" s="2347"/>
      <c r="S1025" s="2347"/>
      <c r="T1025" s="2348"/>
      <c r="U1025" s="2348"/>
      <c r="V1025" s="2348"/>
      <c r="W1025" s="2347"/>
      <c r="X1025" s="2347"/>
      <c r="Y1025" s="2105"/>
      <c r="Z1025" s="2105"/>
      <c r="AA1025" s="2105"/>
      <c r="AB1025" s="2105"/>
      <c r="AC1025" s="2105"/>
    </row>
    <row r="1026" spans="1:29">
      <c r="A1026" s="2105"/>
      <c r="B1026" s="2105"/>
      <c r="C1026" s="2105"/>
      <c r="D1026" s="2105"/>
      <c r="E1026" s="2345"/>
      <c r="F1026" s="2105"/>
      <c r="G1026" s="2346"/>
      <c r="H1026" s="2105"/>
      <c r="I1026" s="2105"/>
      <c r="J1026" s="2105"/>
      <c r="K1026" s="2347"/>
      <c r="L1026" s="2105"/>
      <c r="M1026" s="2105"/>
      <c r="N1026" s="2105"/>
      <c r="O1026" s="2105"/>
      <c r="P1026" s="2346"/>
      <c r="Q1026" s="2105"/>
      <c r="R1026" s="2347"/>
      <c r="S1026" s="2347"/>
      <c r="T1026" s="2348"/>
      <c r="U1026" s="2348"/>
      <c r="V1026" s="2348"/>
      <c r="W1026" s="2347"/>
      <c r="X1026" s="2347"/>
      <c r="Y1026" s="2105"/>
      <c r="Z1026" s="2105"/>
      <c r="AA1026" s="2105"/>
      <c r="AB1026" s="2105"/>
      <c r="AC1026" s="2105"/>
    </row>
    <row r="1027" spans="1:29">
      <c r="A1027" s="2105"/>
      <c r="B1027" s="2105"/>
      <c r="C1027" s="2105"/>
      <c r="D1027" s="2105"/>
      <c r="E1027" s="2345"/>
      <c r="F1027" s="2105"/>
      <c r="G1027" s="2346"/>
      <c r="H1027" s="2105"/>
      <c r="I1027" s="2105"/>
      <c r="J1027" s="2105"/>
      <c r="K1027" s="2347"/>
      <c r="L1027" s="2105"/>
      <c r="M1027" s="2105"/>
      <c r="N1027" s="2105"/>
      <c r="O1027" s="2105"/>
      <c r="P1027" s="2346"/>
      <c r="Q1027" s="2105"/>
      <c r="R1027" s="2347"/>
      <c r="S1027" s="2347"/>
      <c r="T1027" s="2348"/>
      <c r="U1027" s="2348"/>
      <c r="V1027" s="2348"/>
      <c r="W1027" s="2347"/>
      <c r="X1027" s="2347"/>
      <c r="Y1027" s="2105"/>
      <c r="Z1027" s="2105"/>
      <c r="AA1027" s="2105"/>
      <c r="AB1027" s="2105"/>
      <c r="AC1027" s="2105"/>
    </row>
    <row r="1028" spans="1:29">
      <c r="A1028" s="2105"/>
      <c r="B1028" s="2105"/>
      <c r="C1028" s="2105"/>
      <c r="D1028" s="2105"/>
      <c r="E1028" s="2345"/>
      <c r="F1028" s="2105"/>
      <c r="G1028" s="2346"/>
      <c r="H1028" s="2105"/>
      <c r="I1028" s="2105"/>
      <c r="J1028" s="2105"/>
      <c r="K1028" s="2347"/>
      <c r="L1028" s="2105"/>
      <c r="M1028" s="2105"/>
      <c r="N1028" s="2105"/>
      <c r="O1028" s="2105"/>
      <c r="P1028" s="2346"/>
      <c r="Q1028" s="2105"/>
      <c r="R1028" s="2347"/>
      <c r="S1028" s="2347"/>
      <c r="T1028" s="2348"/>
      <c r="U1028" s="2348"/>
      <c r="V1028" s="2348"/>
      <c r="W1028" s="2347"/>
      <c r="X1028" s="2347"/>
      <c r="Y1028" s="2105"/>
      <c r="Z1028" s="2105"/>
      <c r="AA1028" s="2105"/>
      <c r="AB1028" s="2105"/>
      <c r="AC1028" s="2105"/>
    </row>
    <row r="1029" spans="1:29">
      <c r="A1029" s="2105"/>
      <c r="B1029" s="2105"/>
      <c r="C1029" s="2105"/>
      <c r="D1029" s="2105"/>
      <c r="E1029" s="2345"/>
      <c r="F1029" s="2105"/>
      <c r="G1029" s="2346"/>
      <c r="H1029" s="2105"/>
      <c r="I1029" s="2105"/>
      <c r="J1029" s="2105"/>
      <c r="K1029" s="2347"/>
      <c r="L1029" s="2105"/>
      <c r="M1029" s="2105"/>
      <c r="N1029" s="2105"/>
      <c r="O1029" s="2105"/>
      <c r="P1029" s="2346"/>
      <c r="Q1029" s="2105"/>
      <c r="R1029" s="2347"/>
      <c r="S1029" s="2347"/>
      <c r="T1029" s="2348"/>
      <c r="U1029" s="2348"/>
      <c r="V1029" s="2348"/>
      <c r="W1029" s="2347"/>
      <c r="X1029" s="2347"/>
      <c r="Y1029" s="2105"/>
      <c r="Z1029" s="2105"/>
      <c r="AA1029" s="2105"/>
      <c r="AB1029" s="2105"/>
      <c r="AC1029" s="2105"/>
    </row>
    <row r="1030" spans="1:29">
      <c r="A1030" s="2105"/>
      <c r="B1030" s="2105"/>
      <c r="C1030" s="2105"/>
      <c r="D1030" s="2105"/>
      <c r="E1030" s="2345"/>
      <c r="F1030" s="2105"/>
      <c r="G1030" s="2346"/>
      <c r="H1030" s="2105"/>
      <c r="I1030" s="2105"/>
      <c r="J1030" s="2105"/>
      <c r="K1030" s="2347"/>
      <c r="L1030" s="2105"/>
      <c r="M1030" s="2105"/>
      <c r="N1030" s="2105"/>
      <c r="O1030" s="2105"/>
      <c r="P1030" s="2346"/>
      <c r="Q1030" s="2105"/>
      <c r="R1030" s="2347"/>
      <c r="S1030" s="2347"/>
      <c r="T1030" s="2348"/>
      <c r="U1030" s="2348"/>
      <c r="V1030" s="2348"/>
      <c r="W1030" s="2347"/>
      <c r="X1030" s="2347"/>
      <c r="Y1030" s="2105"/>
      <c r="Z1030" s="2105"/>
      <c r="AA1030" s="2105"/>
      <c r="AB1030" s="2105"/>
      <c r="AC1030" s="2105"/>
    </row>
    <row r="1031" spans="1:29">
      <c r="A1031" s="2105"/>
      <c r="B1031" s="2105"/>
      <c r="C1031" s="2105"/>
      <c r="D1031" s="2105"/>
      <c r="E1031" s="2345"/>
      <c r="F1031" s="2105"/>
      <c r="G1031" s="2346"/>
      <c r="H1031" s="2105"/>
      <c r="I1031" s="2105"/>
      <c r="J1031" s="2105"/>
      <c r="K1031" s="2347"/>
      <c r="L1031" s="2105"/>
      <c r="M1031" s="2105"/>
      <c r="N1031" s="2105"/>
      <c r="O1031" s="2105"/>
      <c r="P1031" s="2346"/>
      <c r="Q1031" s="2105"/>
      <c r="R1031" s="2347"/>
      <c r="S1031" s="2347"/>
      <c r="T1031" s="2348"/>
      <c r="U1031" s="2348"/>
      <c r="V1031" s="2348"/>
      <c r="W1031" s="2347"/>
      <c r="X1031" s="2347"/>
      <c r="Y1031" s="2105"/>
      <c r="Z1031" s="2105"/>
      <c r="AA1031" s="2105"/>
      <c r="AB1031" s="2105"/>
      <c r="AC1031" s="2105"/>
    </row>
    <row r="1032" spans="1:29">
      <c r="A1032" s="2105"/>
      <c r="B1032" s="2105"/>
      <c r="C1032" s="2105"/>
      <c r="D1032" s="2105"/>
      <c r="E1032" s="2345"/>
      <c r="F1032" s="2105"/>
      <c r="G1032" s="2346"/>
      <c r="H1032" s="2105"/>
      <c r="I1032" s="2105"/>
      <c r="J1032" s="2105"/>
      <c r="K1032" s="2347"/>
      <c r="L1032" s="2105"/>
      <c r="M1032" s="2105"/>
      <c r="N1032" s="2105"/>
      <c r="O1032" s="2105"/>
      <c r="P1032" s="2346"/>
      <c r="Q1032" s="2105"/>
      <c r="R1032" s="2347"/>
      <c r="S1032" s="2347"/>
      <c r="T1032" s="2348"/>
      <c r="U1032" s="2348"/>
      <c r="V1032" s="2348"/>
      <c r="W1032" s="2347"/>
      <c r="X1032" s="2347"/>
      <c r="Y1032" s="2105"/>
      <c r="Z1032" s="2105"/>
      <c r="AA1032" s="2105"/>
      <c r="AB1032" s="2105"/>
      <c r="AC1032" s="2105"/>
    </row>
    <row r="1033" spans="1:29">
      <c r="A1033" s="2105"/>
      <c r="B1033" s="2105"/>
      <c r="C1033" s="2105"/>
      <c r="D1033" s="2105"/>
      <c r="E1033" s="2345"/>
      <c r="F1033" s="2105"/>
      <c r="G1033" s="2346"/>
      <c r="H1033" s="2105"/>
      <c r="I1033" s="2105"/>
      <c r="J1033" s="2105"/>
      <c r="K1033" s="2347"/>
      <c r="L1033" s="2105"/>
      <c r="M1033" s="2105"/>
      <c r="N1033" s="2105"/>
      <c r="O1033" s="2105"/>
      <c r="P1033" s="2346"/>
      <c r="Q1033" s="2105"/>
      <c r="R1033" s="2347"/>
      <c r="S1033" s="2347"/>
      <c r="T1033" s="2348"/>
      <c r="U1033" s="2348"/>
      <c r="V1033" s="2348"/>
      <c r="W1033" s="2347"/>
      <c r="X1033" s="2347"/>
      <c r="Y1033" s="2105"/>
      <c r="Z1033" s="2105"/>
      <c r="AA1033" s="2105"/>
      <c r="AB1033" s="2105"/>
      <c r="AC1033" s="2105"/>
    </row>
    <row r="1034" spans="1:29">
      <c r="A1034" s="2105"/>
      <c r="B1034" s="2105"/>
      <c r="C1034" s="2105"/>
      <c r="D1034" s="2105"/>
      <c r="E1034" s="2345"/>
      <c r="F1034" s="2105"/>
      <c r="G1034" s="2346"/>
      <c r="H1034" s="2105"/>
      <c r="I1034" s="2105"/>
      <c r="J1034" s="2105"/>
      <c r="K1034" s="2347"/>
      <c r="L1034" s="2105"/>
      <c r="M1034" s="2105"/>
      <c r="N1034" s="2105"/>
      <c r="O1034" s="2105"/>
      <c r="P1034" s="2346"/>
      <c r="Q1034" s="2105"/>
      <c r="R1034" s="2347"/>
      <c r="S1034" s="2347"/>
      <c r="T1034" s="2348"/>
      <c r="U1034" s="2348"/>
      <c r="V1034" s="2348"/>
      <c r="W1034" s="2347"/>
      <c r="X1034" s="2347"/>
      <c r="Y1034" s="2105"/>
      <c r="Z1034" s="2105"/>
      <c r="AA1034" s="2105"/>
      <c r="AB1034" s="2105"/>
      <c r="AC1034" s="2105"/>
    </row>
    <row r="1035" spans="1:29">
      <c r="A1035" s="2105"/>
      <c r="B1035" s="2105"/>
      <c r="C1035" s="2105"/>
      <c r="D1035" s="2105"/>
      <c r="E1035" s="2345"/>
      <c r="F1035" s="2105"/>
      <c r="G1035" s="2346"/>
      <c r="H1035" s="2105"/>
      <c r="I1035" s="2105"/>
      <c r="J1035" s="2105"/>
      <c r="K1035" s="2347"/>
      <c r="L1035" s="2105"/>
      <c r="M1035" s="2105"/>
      <c r="N1035" s="2105"/>
      <c r="O1035" s="2105"/>
      <c r="P1035" s="2346"/>
      <c r="Q1035" s="2105"/>
      <c r="R1035" s="2347"/>
      <c r="S1035" s="2347"/>
      <c r="T1035" s="2348"/>
      <c r="U1035" s="2348"/>
      <c r="V1035" s="2348"/>
      <c r="W1035" s="2347"/>
      <c r="X1035" s="2347"/>
      <c r="Y1035" s="2105"/>
      <c r="Z1035" s="2105"/>
      <c r="AA1035" s="2105"/>
      <c r="AB1035" s="2105"/>
      <c r="AC1035" s="2105"/>
    </row>
    <row r="1036" spans="1:29">
      <c r="A1036" s="2105"/>
      <c r="B1036" s="2105"/>
      <c r="C1036" s="2105"/>
      <c r="D1036" s="2105"/>
      <c r="E1036" s="2345"/>
      <c r="F1036" s="2105"/>
      <c r="G1036" s="2346"/>
      <c r="H1036" s="2105"/>
      <c r="I1036" s="2105"/>
      <c r="J1036" s="2105"/>
      <c r="K1036" s="2347"/>
      <c r="L1036" s="2105"/>
      <c r="M1036" s="2105"/>
      <c r="N1036" s="2105"/>
      <c r="O1036" s="2105"/>
      <c r="P1036" s="2346"/>
      <c r="Q1036" s="2105"/>
      <c r="R1036" s="2347"/>
      <c r="S1036" s="2347"/>
      <c r="T1036" s="2348"/>
      <c r="U1036" s="2348"/>
      <c r="V1036" s="2348"/>
      <c r="W1036" s="2347"/>
      <c r="X1036" s="2347"/>
      <c r="Y1036" s="2105"/>
      <c r="Z1036" s="2105"/>
      <c r="AA1036" s="2105"/>
      <c r="AB1036" s="2105"/>
      <c r="AC1036" s="2105"/>
    </row>
    <row r="1037" spans="1:29">
      <c r="A1037" s="2105"/>
      <c r="B1037" s="2105"/>
      <c r="C1037" s="2105"/>
      <c r="D1037" s="2105"/>
      <c r="E1037" s="2345"/>
      <c r="F1037" s="2105"/>
      <c r="G1037" s="2346"/>
      <c r="H1037" s="2105"/>
      <c r="I1037" s="2105"/>
      <c r="J1037" s="2105"/>
      <c r="K1037" s="2347"/>
      <c r="L1037" s="2105"/>
      <c r="M1037" s="2105"/>
      <c r="N1037" s="2105"/>
      <c r="O1037" s="2105"/>
      <c r="P1037" s="2346"/>
      <c r="Q1037" s="2105"/>
      <c r="R1037" s="2347"/>
      <c r="S1037" s="2347"/>
      <c r="T1037" s="2348"/>
      <c r="U1037" s="2348"/>
      <c r="V1037" s="2348"/>
      <c r="W1037" s="2347"/>
      <c r="X1037" s="2347"/>
      <c r="Y1037" s="2105"/>
      <c r="Z1037" s="2105"/>
      <c r="AA1037" s="2105"/>
      <c r="AB1037" s="2105"/>
      <c r="AC1037" s="2105"/>
    </row>
    <row r="1038" spans="1:29">
      <c r="A1038" s="2105"/>
      <c r="B1038" s="2105"/>
      <c r="C1038" s="2105"/>
      <c r="D1038" s="2105"/>
      <c r="E1038" s="2345"/>
      <c r="F1038" s="2105"/>
      <c r="G1038" s="2346"/>
      <c r="H1038" s="2105"/>
      <c r="I1038" s="2105"/>
      <c r="J1038" s="2105"/>
      <c r="K1038" s="2347"/>
      <c r="L1038" s="2105"/>
      <c r="M1038" s="2105"/>
      <c r="N1038" s="2105"/>
      <c r="O1038" s="2105"/>
      <c r="P1038" s="2346"/>
      <c r="Q1038" s="2105"/>
      <c r="R1038" s="2347"/>
      <c r="S1038" s="2347"/>
      <c r="T1038" s="2348"/>
      <c r="U1038" s="2348"/>
      <c r="V1038" s="2348"/>
      <c r="W1038" s="2347"/>
      <c r="X1038" s="2347"/>
      <c r="Y1038" s="2105"/>
      <c r="Z1038" s="2105"/>
      <c r="AA1038" s="2105"/>
      <c r="AB1038" s="2105"/>
      <c r="AC1038" s="2105"/>
    </row>
    <row r="1039" spans="1:29">
      <c r="A1039" s="2105"/>
      <c r="B1039" s="2105"/>
      <c r="C1039" s="2105"/>
      <c r="D1039" s="2105"/>
      <c r="E1039" s="2345"/>
      <c r="F1039" s="2105"/>
      <c r="G1039" s="2346"/>
      <c r="H1039" s="2105"/>
      <c r="I1039" s="2105"/>
      <c r="J1039" s="2105"/>
      <c r="K1039" s="2347"/>
      <c r="L1039" s="2105"/>
      <c r="M1039" s="2105"/>
      <c r="N1039" s="2105"/>
      <c r="O1039" s="2105"/>
      <c r="P1039" s="2346"/>
      <c r="Q1039" s="2105"/>
      <c r="R1039" s="2347"/>
      <c r="S1039" s="2347"/>
      <c r="T1039" s="2348"/>
      <c r="U1039" s="2348"/>
      <c r="V1039" s="2348"/>
      <c r="W1039" s="2347"/>
      <c r="X1039" s="2347"/>
      <c r="Y1039" s="2105"/>
      <c r="Z1039" s="2105"/>
      <c r="AA1039" s="2105"/>
      <c r="AB1039" s="2105"/>
      <c r="AC1039" s="2105"/>
    </row>
    <row r="1040" spans="1:29">
      <c r="A1040" s="2105"/>
      <c r="B1040" s="2105"/>
      <c r="C1040" s="2105"/>
      <c r="D1040" s="2105"/>
      <c r="E1040" s="2345"/>
      <c r="F1040" s="2105"/>
      <c r="G1040" s="2346"/>
      <c r="H1040" s="2105"/>
      <c r="I1040" s="2105"/>
      <c r="J1040" s="2105"/>
      <c r="K1040" s="2347"/>
      <c r="L1040" s="2105"/>
      <c r="M1040" s="2105"/>
      <c r="N1040" s="2105"/>
      <c r="O1040" s="2105"/>
      <c r="P1040" s="2346"/>
      <c r="Q1040" s="2105"/>
      <c r="R1040" s="2347"/>
      <c r="S1040" s="2347"/>
      <c r="T1040" s="2348"/>
      <c r="U1040" s="2348"/>
      <c r="V1040" s="2348"/>
      <c r="W1040" s="2347"/>
      <c r="X1040" s="2347"/>
      <c r="Y1040" s="2105"/>
      <c r="Z1040" s="2105"/>
      <c r="AA1040" s="2105"/>
      <c r="AB1040" s="2105"/>
      <c r="AC1040" s="2105"/>
    </row>
    <row r="1041" spans="1:29">
      <c r="A1041" s="2105"/>
      <c r="B1041" s="2105"/>
      <c r="C1041" s="2105"/>
      <c r="D1041" s="2105"/>
      <c r="E1041" s="2345"/>
      <c r="F1041" s="2105"/>
      <c r="G1041" s="2346"/>
      <c r="H1041" s="2105"/>
      <c r="I1041" s="2105"/>
      <c r="J1041" s="2105"/>
      <c r="K1041" s="2347"/>
      <c r="L1041" s="2105"/>
      <c r="M1041" s="2105"/>
      <c r="N1041" s="2105"/>
      <c r="O1041" s="2105"/>
      <c r="P1041" s="2346"/>
      <c r="Q1041" s="2105"/>
      <c r="R1041" s="2347"/>
      <c r="S1041" s="2347"/>
      <c r="T1041" s="2348"/>
      <c r="U1041" s="2348"/>
      <c r="V1041" s="2348"/>
      <c r="W1041" s="2347"/>
      <c r="X1041" s="2347"/>
      <c r="Y1041" s="2105"/>
      <c r="Z1041" s="2105"/>
      <c r="AA1041" s="2105"/>
      <c r="AB1041" s="2105"/>
      <c r="AC1041" s="2105"/>
    </row>
    <row r="1042" spans="1:29">
      <c r="A1042" s="2105"/>
      <c r="B1042" s="2105"/>
      <c r="C1042" s="2105"/>
      <c r="D1042" s="2105"/>
      <c r="E1042" s="2345"/>
      <c r="F1042" s="2105"/>
      <c r="G1042" s="2346"/>
      <c r="H1042" s="2105"/>
      <c r="I1042" s="2105"/>
      <c r="J1042" s="2105"/>
      <c r="K1042" s="2347"/>
      <c r="L1042" s="2105"/>
      <c r="M1042" s="2105"/>
      <c r="N1042" s="2105"/>
      <c r="O1042" s="2105"/>
      <c r="P1042" s="2346"/>
      <c r="Q1042" s="2105"/>
      <c r="R1042" s="2347"/>
      <c r="S1042" s="2347"/>
      <c r="T1042" s="2348"/>
      <c r="U1042" s="2348"/>
      <c r="V1042" s="2348"/>
      <c r="W1042" s="2347"/>
      <c r="X1042" s="2347"/>
      <c r="Y1042" s="2105"/>
      <c r="Z1042" s="2105"/>
      <c r="AA1042" s="2105"/>
      <c r="AB1042" s="2105"/>
      <c r="AC1042" s="2105"/>
    </row>
    <row r="1043" spans="1:29">
      <c r="A1043" s="2105"/>
      <c r="B1043" s="2105"/>
      <c r="C1043" s="2105"/>
      <c r="D1043" s="2105"/>
      <c r="E1043" s="2345"/>
      <c r="F1043" s="2105"/>
      <c r="G1043" s="2346"/>
      <c r="H1043" s="2105"/>
      <c r="I1043" s="2105"/>
      <c r="J1043" s="2105"/>
      <c r="K1043" s="2347"/>
      <c r="L1043" s="2105"/>
      <c r="M1043" s="2105"/>
      <c r="N1043" s="2105"/>
      <c r="O1043" s="2105"/>
      <c r="P1043" s="2346"/>
      <c r="Q1043" s="2105"/>
      <c r="R1043" s="2347"/>
      <c r="S1043" s="2347"/>
      <c r="T1043" s="2348"/>
      <c r="U1043" s="2348"/>
      <c r="V1043" s="2348"/>
      <c r="W1043" s="2347"/>
      <c r="X1043" s="2347"/>
      <c r="Y1043" s="2105"/>
      <c r="Z1043" s="2105"/>
      <c r="AA1043" s="2105"/>
      <c r="AB1043" s="2105"/>
      <c r="AC1043" s="2105"/>
    </row>
    <row r="1044" spans="1:29">
      <c r="A1044" s="2105"/>
      <c r="B1044" s="2105"/>
      <c r="C1044" s="2105"/>
      <c r="D1044" s="2105"/>
      <c r="E1044" s="2345"/>
      <c r="F1044" s="2105"/>
      <c r="G1044" s="2346"/>
      <c r="H1044" s="2105"/>
      <c r="I1044" s="2105"/>
      <c r="J1044" s="2105"/>
      <c r="K1044" s="2347"/>
      <c r="L1044" s="2105"/>
      <c r="M1044" s="2105"/>
      <c r="N1044" s="2105"/>
      <c r="O1044" s="2105"/>
      <c r="P1044" s="2346"/>
      <c r="Q1044" s="2105"/>
      <c r="R1044" s="2347"/>
      <c r="S1044" s="2347"/>
      <c r="T1044" s="2348"/>
      <c r="U1044" s="2348"/>
      <c r="V1044" s="2348"/>
      <c r="W1044" s="2347"/>
      <c r="X1044" s="2347"/>
      <c r="Y1044" s="2105"/>
      <c r="Z1044" s="2105"/>
      <c r="AA1044" s="2105"/>
      <c r="AB1044" s="2105"/>
      <c r="AC1044" s="2105"/>
    </row>
    <row r="1045" spans="1:29">
      <c r="A1045" s="2105"/>
      <c r="B1045" s="2105"/>
      <c r="C1045" s="2105"/>
      <c r="D1045" s="2105"/>
      <c r="E1045" s="2345"/>
      <c r="F1045" s="2105"/>
      <c r="G1045" s="2346"/>
      <c r="H1045" s="2105"/>
      <c r="I1045" s="2105"/>
      <c r="J1045" s="2105"/>
      <c r="K1045" s="2347"/>
      <c r="L1045" s="2105"/>
      <c r="M1045" s="2105"/>
      <c r="N1045" s="2105"/>
      <c r="O1045" s="2105"/>
      <c r="P1045" s="2346"/>
      <c r="Q1045" s="2105"/>
      <c r="R1045" s="2347"/>
      <c r="S1045" s="2347"/>
      <c r="T1045" s="2348"/>
      <c r="U1045" s="2348"/>
      <c r="V1045" s="2348"/>
      <c r="W1045" s="2347"/>
      <c r="X1045" s="2347"/>
      <c r="Y1045" s="2105"/>
      <c r="Z1045" s="2105"/>
      <c r="AA1045" s="2105"/>
      <c r="AB1045" s="2105"/>
      <c r="AC1045" s="2105"/>
    </row>
    <row r="1046" spans="1:29">
      <c r="A1046" s="2105"/>
      <c r="B1046" s="2105"/>
      <c r="C1046" s="2105"/>
      <c r="D1046" s="2105"/>
      <c r="E1046" s="2345"/>
      <c r="F1046" s="2105"/>
      <c r="G1046" s="2346"/>
      <c r="H1046" s="2105"/>
      <c r="I1046" s="2105"/>
      <c r="J1046" s="2105"/>
      <c r="K1046" s="2347"/>
      <c r="L1046" s="2105"/>
      <c r="M1046" s="2105"/>
      <c r="N1046" s="2105"/>
      <c r="O1046" s="2105"/>
      <c r="P1046" s="2346"/>
      <c r="Q1046" s="2105"/>
      <c r="R1046" s="2347"/>
      <c r="S1046" s="2347"/>
      <c r="T1046" s="2348"/>
      <c r="U1046" s="2348"/>
      <c r="V1046" s="2348"/>
      <c r="W1046" s="2347"/>
      <c r="X1046" s="2347"/>
      <c r="Y1046" s="2105"/>
      <c r="Z1046" s="2105"/>
      <c r="AA1046" s="2105"/>
      <c r="AB1046" s="2105"/>
      <c r="AC1046" s="2105"/>
    </row>
    <row r="1047" spans="1:29">
      <c r="A1047" s="2105"/>
      <c r="B1047" s="2105"/>
      <c r="C1047" s="2105"/>
      <c r="D1047" s="2105"/>
      <c r="E1047" s="2345"/>
      <c r="F1047" s="2105"/>
      <c r="G1047" s="2346"/>
      <c r="H1047" s="2105"/>
      <c r="I1047" s="2105"/>
      <c r="J1047" s="2105"/>
      <c r="K1047" s="2347"/>
      <c r="L1047" s="2105"/>
      <c r="M1047" s="2105"/>
      <c r="N1047" s="2105"/>
      <c r="O1047" s="2105"/>
      <c r="P1047" s="2346"/>
      <c r="Q1047" s="2105"/>
      <c r="R1047" s="2347"/>
      <c r="S1047" s="2347"/>
      <c r="T1047" s="2348"/>
      <c r="U1047" s="2348"/>
      <c r="V1047" s="2348"/>
      <c r="W1047" s="2347"/>
      <c r="X1047" s="2347"/>
      <c r="Y1047" s="2105"/>
      <c r="Z1047" s="2105"/>
      <c r="AA1047" s="2105"/>
      <c r="AB1047" s="2105"/>
      <c r="AC1047" s="2105"/>
    </row>
    <row r="1048" spans="1:29">
      <c r="A1048" s="2105"/>
      <c r="B1048" s="2105"/>
      <c r="C1048" s="2105"/>
      <c r="D1048" s="2105"/>
      <c r="E1048" s="2345"/>
      <c r="F1048" s="2105"/>
      <c r="G1048" s="2346"/>
      <c r="H1048" s="2105"/>
      <c r="I1048" s="2105"/>
      <c r="J1048" s="2105"/>
      <c r="K1048" s="2347"/>
      <c r="L1048" s="2105"/>
      <c r="M1048" s="2105"/>
      <c r="N1048" s="2105"/>
      <c r="O1048" s="2105"/>
      <c r="P1048" s="2346"/>
      <c r="Q1048" s="2105"/>
      <c r="R1048" s="2347"/>
      <c r="S1048" s="2347"/>
      <c r="T1048" s="2348"/>
      <c r="U1048" s="2348"/>
      <c r="V1048" s="2348"/>
      <c r="W1048" s="2347"/>
      <c r="X1048" s="2347"/>
      <c r="Y1048" s="2105"/>
      <c r="Z1048" s="2105"/>
      <c r="AA1048" s="2105"/>
      <c r="AB1048" s="2105"/>
      <c r="AC1048" s="2105"/>
    </row>
    <row r="1049" spans="1:29">
      <c r="A1049" s="2105"/>
      <c r="B1049" s="2105"/>
      <c r="C1049" s="2105"/>
      <c r="D1049" s="2105"/>
      <c r="E1049" s="2345"/>
      <c r="F1049" s="2105"/>
      <c r="G1049" s="2346"/>
      <c r="H1049" s="2105"/>
      <c r="I1049" s="2105"/>
      <c r="J1049" s="2105"/>
      <c r="K1049" s="2347"/>
      <c r="L1049" s="2105"/>
      <c r="M1049" s="2105"/>
      <c r="N1049" s="2105"/>
      <c r="O1049" s="2105"/>
      <c r="P1049" s="2346"/>
      <c r="Q1049" s="2105"/>
      <c r="R1049" s="2347"/>
      <c r="S1049" s="2347"/>
      <c r="T1049" s="2348"/>
      <c r="U1049" s="2348"/>
      <c r="V1049" s="2348"/>
      <c r="W1049" s="2347"/>
      <c r="X1049" s="2347"/>
      <c r="Y1049" s="2105"/>
      <c r="Z1049" s="2105"/>
      <c r="AA1049" s="2105"/>
      <c r="AB1049" s="2105"/>
      <c r="AC1049" s="2105"/>
    </row>
    <row r="1050" spans="1:29">
      <c r="A1050" s="2105"/>
      <c r="B1050" s="2105"/>
      <c r="C1050" s="2105"/>
      <c r="D1050" s="2105"/>
      <c r="E1050" s="2345"/>
      <c r="F1050" s="2105"/>
      <c r="G1050" s="2346"/>
      <c r="H1050" s="2105"/>
      <c r="I1050" s="2105"/>
      <c r="J1050" s="2105"/>
      <c r="K1050" s="2347"/>
      <c r="L1050" s="2105"/>
      <c r="M1050" s="2105"/>
      <c r="N1050" s="2105"/>
      <c r="O1050" s="2105"/>
      <c r="P1050" s="2346"/>
      <c r="Q1050" s="2105"/>
      <c r="R1050" s="2347"/>
      <c r="S1050" s="2347"/>
      <c r="T1050" s="2348"/>
      <c r="U1050" s="2348"/>
      <c r="V1050" s="2348"/>
      <c r="W1050" s="2347"/>
      <c r="X1050" s="2347"/>
      <c r="Y1050" s="2105"/>
      <c r="Z1050" s="2105"/>
      <c r="AA1050" s="2105"/>
      <c r="AB1050" s="2105"/>
      <c r="AC1050" s="2105"/>
    </row>
    <row r="1051" spans="1:29">
      <c r="A1051" s="2105"/>
      <c r="B1051" s="2105"/>
      <c r="C1051" s="2105"/>
      <c r="D1051" s="2105"/>
      <c r="E1051" s="2345"/>
      <c r="F1051" s="2105"/>
      <c r="G1051" s="2346"/>
      <c r="H1051" s="2105"/>
      <c r="I1051" s="2105"/>
      <c r="J1051" s="2105"/>
      <c r="K1051" s="2347"/>
      <c r="L1051" s="2105"/>
      <c r="M1051" s="2105"/>
      <c r="N1051" s="2105"/>
      <c r="O1051" s="2105"/>
      <c r="P1051" s="2346"/>
      <c r="Q1051" s="2105"/>
      <c r="R1051" s="2347"/>
      <c r="S1051" s="2347"/>
      <c r="T1051" s="2348"/>
      <c r="U1051" s="2348"/>
      <c r="V1051" s="2348"/>
      <c r="W1051" s="2347"/>
      <c r="X1051" s="2347"/>
      <c r="Y1051" s="2105"/>
      <c r="Z1051" s="2105"/>
      <c r="AA1051" s="2105"/>
      <c r="AB1051" s="2105"/>
      <c r="AC1051" s="2105"/>
    </row>
    <row r="1052" spans="1:29">
      <c r="A1052" s="2105"/>
      <c r="B1052" s="2105"/>
      <c r="C1052" s="2105"/>
      <c r="D1052" s="2105"/>
      <c r="E1052" s="2345"/>
      <c r="F1052" s="2105"/>
      <c r="G1052" s="2346"/>
      <c r="H1052" s="2105"/>
      <c r="I1052" s="2105"/>
      <c r="J1052" s="2105"/>
      <c r="K1052" s="2347"/>
      <c r="L1052" s="2105"/>
      <c r="M1052" s="2105"/>
      <c r="N1052" s="2105"/>
      <c r="O1052" s="2105"/>
      <c r="P1052" s="2346"/>
      <c r="Q1052" s="2105"/>
      <c r="R1052" s="2347"/>
      <c r="S1052" s="2347"/>
      <c r="T1052" s="2348"/>
      <c r="U1052" s="2348"/>
      <c r="V1052" s="2348"/>
      <c r="W1052" s="2347"/>
      <c r="X1052" s="2347"/>
      <c r="Y1052" s="2105"/>
      <c r="Z1052" s="2105"/>
      <c r="AA1052" s="2105"/>
      <c r="AB1052" s="2105"/>
      <c r="AC1052" s="2105"/>
    </row>
    <row r="1053" spans="1:29">
      <c r="A1053" s="2105"/>
      <c r="B1053" s="2105"/>
      <c r="C1053" s="2105"/>
      <c r="D1053" s="2105"/>
      <c r="E1053" s="2345"/>
      <c r="F1053" s="2105"/>
      <c r="G1053" s="2346"/>
      <c r="H1053" s="2105"/>
      <c r="I1053" s="2105"/>
      <c r="J1053" s="2105"/>
      <c r="K1053" s="2347"/>
      <c r="L1053" s="2105"/>
      <c r="M1053" s="2105"/>
      <c r="N1053" s="2105"/>
      <c r="O1053" s="2105"/>
      <c r="P1053" s="2346"/>
      <c r="Q1053" s="2105"/>
      <c r="R1053" s="2347"/>
      <c r="S1053" s="2347"/>
      <c r="T1053" s="2348"/>
      <c r="U1053" s="2348"/>
      <c r="V1053" s="2348"/>
      <c r="W1053" s="2347"/>
      <c r="X1053" s="2347"/>
      <c r="Y1053" s="2105"/>
      <c r="Z1053" s="2105"/>
      <c r="AA1053" s="2105"/>
      <c r="AB1053" s="2105"/>
      <c r="AC1053" s="2105"/>
    </row>
    <row r="1054" spans="1:29">
      <c r="A1054" s="2105"/>
      <c r="B1054" s="2105"/>
      <c r="C1054" s="2105"/>
      <c r="D1054" s="2105"/>
      <c r="E1054" s="2345"/>
      <c r="F1054" s="2105"/>
      <c r="G1054" s="2346"/>
      <c r="H1054" s="2105"/>
      <c r="I1054" s="2105"/>
      <c r="J1054" s="2105"/>
      <c r="K1054" s="2347"/>
      <c r="L1054" s="2105"/>
      <c r="M1054" s="2105"/>
      <c r="N1054" s="2105"/>
      <c r="O1054" s="2105"/>
      <c r="P1054" s="2346"/>
      <c r="Q1054" s="2105"/>
      <c r="R1054" s="2347"/>
      <c r="S1054" s="2347"/>
      <c r="T1054" s="2348"/>
      <c r="U1054" s="2348"/>
      <c r="V1054" s="2348"/>
      <c r="W1054" s="2347"/>
      <c r="X1054" s="2347"/>
      <c r="Y1054" s="2105"/>
      <c r="Z1054" s="2105"/>
      <c r="AA1054" s="2105"/>
      <c r="AB1054" s="2105"/>
      <c r="AC1054" s="2105"/>
    </row>
    <row r="1055" spans="1:29">
      <c r="A1055" s="2105"/>
      <c r="B1055" s="2105"/>
      <c r="C1055" s="2105"/>
      <c r="D1055" s="2105"/>
      <c r="E1055" s="2345"/>
      <c r="F1055" s="2105"/>
      <c r="G1055" s="2346"/>
      <c r="H1055" s="2105"/>
      <c r="I1055" s="2105"/>
      <c r="J1055" s="2105"/>
      <c r="K1055" s="2347"/>
      <c r="L1055" s="2105"/>
      <c r="M1055" s="2105"/>
      <c r="N1055" s="2105"/>
      <c r="O1055" s="2105"/>
      <c r="P1055" s="2346"/>
      <c r="Q1055" s="2105"/>
      <c r="R1055" s="2347"/>
      <c r="S1055" s="2347"/>
      <c r="T1055" s="2348"/>
      <c r="U1055" s="2348"/>
      <c r="V1055" s="2348"/>
      <c r="W1055" s="2347"/>
      <c r="X1055" s="2347"/>
      <c r="Y1055" s="2105"/>
      <c r="Z1055" s="2105"/>
      <c r="AA1055" s="2105"/>
      <c r="AB1055" s="2105"/>
      <c r="AC1055" s="2105"/>
    </row>
    <row r="1056" spans="1:29">
      <c r="A1056" s="2105"/>
      <c r="B1056" s="2105"/>
      <c r="C1056" s="2105"/>
      <c r="D1056" s="2105"/>
      <c r="E1056" s="2345"/>
      <c r="F1056" s="2105"/>
      <c r="G1056" s="2346"/>
      <c r="H1056" s="2105"/>
      <c r="I1056" s="2105"/>
      <c r="J1056" s="2105"/>
      <c r="K1056" s="2347"/>
      <c r="L1056" s="2105"/>
      <c r="M1056" s="2105"/>
      <c r="N1056" s="2105"/>
      <c r="O1056" s="2105"/>
      <c r="P1056" s="2346"/>
      <c r="Q1056" s="2105"/>
      <c r="R1056" s="2347"/>
      <c r="S1056" s="2347"/>
      <c r="T1056" s="2348"/>
      <c r="U1056" s="2348"/>
      <c r="V1056" s="2348"/>
      <c r="W1056" s="2347"/>
      <c r="X1056" s="2347"/>
      <c r="Y1056" s="2105"/>
      <c r="Z1056" s="2105"/>
      <c r="AA1056" s="2105"/>
      <c r="AB1056" s="2105"/>
      <c r="AC1056" s="2105"/>
    </row>
    <row r="1057" spans="1:29">
      <c r="A1057" s="2105"/>
      <c r="B1057" s="2105"/>
      <c r="C1057" s="2105"/>
      <c r="D1057" s="2105"/>
      <c r="E1057" s="2345"/>
      <c r="F1057" s="2105"/>
      <c r="G1057" s="2346"/>
      <c r="H1057" s="2105"/>
      <c r="I1057" s="2105"/>
      <c r="J1057" s="2105"/>
      <c r="K1057" s="2347"/>
      <c r="L1057" s="2105"/>
      <c r="M1057" s="2105"/>
      <c r="N1057" s="2105"/>
      <c r="O1057" s="2105"/>
      <c r="P1057" s="2346"/>
      <c r="Q1057" s="2105"/>
      <c r="R1057" s="2347"/>
      <c r="S1057" s="2347"/>
      <c r="T1057" s="2348"/>
      <c r="U1057" s="2348"/>
      <c r="V1057" s="2348"/>
      <c r="W1057" s="2347"/>
      <c r="X1057" s="2347"/>
      <c r="Y1057" s="2105"/>
      <c r="Z1057" s="2105"/>
      <c r="AA1057" s="2105"/>
      <c r="AB1057" s="2105"/>
      <c r="AC1057" s="2105"/>
    </row>
    <row r="1058" spans="1:29">
      <c r="A1058" s="2105"/>
      <c r="B1058" s="2105"/>
      <c r="C1058" s="2105"/>
      <c r="D1058" s="2105"/>
      <c r="E1058" s="2345"/>
      <c r="F1058" s="2105"/>
      <c r="G1058" s="2346"/>
      <c r="H1058" s="2105"/>
      <c r="I1058" s="2105"/>
      <c r="J1058" s="2105"/>
      <c r="K1058" s="2347"/>
      <c r="L1058" s="2105"/>
      <c r="M1058" s="2105"/>
      <c r="N1058" s="2105"/>
      <c r="O1058" s="2105"/>
      <c r="P1058" s="2346"/>
      <c r="Q1058" s="2105"/>
      <c r="R1058" s="2347"/>
      <c r="S1058" s="2347"/>
      <c r="T1058" s="2348"/>
      <c r="U1058" s="2348"/>
      <c r="V1058" s="2348"/>
      <c r="W1058" s="2347"/>
      <c r="X1058" s="2347"/>
      <c r="Y1058" s="2105"/>
      <c r="Z1058" s="2105"/>
      <c r="AA1058" s="2105"/>
      <c r="AB1058" s="2105"/>
      <c r="AC1058" s="2105"/>
    </row>
    <row r="1059" spans="1:29">
      <c r="A1059" s="2105"/>
      <c r="B1059" s="2105"/>
      <c r="C1059" s="2105"/>
      <c r="D1059" s="2105"/>
      <c r="E1059" s="2345"/>
      <c r="F1059" s="2105"/>
      <c r="G1059" s="2346"/>
      <c r="H1059" s="2105"/>
      <c r="I1059" s="2105"/>
      <c r="J1059" s="2105"/>
      <c r="K1059" s="2347"/>
      <c r="L1059" s="2105"/>
      <c r="M1059" s="2105"/>
      <c r="N1059" s="2105"/>
      <c r="O1059" s="2105"/>
      <c r="P1059" s="2346"/>
      <c r="Q1059" s="2105"/>
      <c r="R1059" s="2347"/>
      <c r="S1059" s="2347"/>
      <c r="T1059" s="2348"/>
      <c r="U1059" s="2348"/>
      <c r="V1059" s="2348"/>
      <c r="W1059" s="2347"/>
      <c r="X1059" s="2347"/>
      <c r="Y1059" s="2105"/>
      <c r="Z1059" s="2105"/>
      <c r="AA1059" s="2105"/>
      <c r="AB1059" s="2105"/>
      <c r="AC1059" s="2105"/>
    </row>
    <row r="1060" spans="1:29">
      <c r="A1060" s="2105"/>
      <c r="B1060" s="2105"/>
      <c r="C1060" s="2105"/>
      <c r="D1060" s="2105"/>
      <c r="E1060" s="2345"/>
      <c r="F1060" s="2105"/>
      <c r="G1060" s="2346"/>
      <c r="H1060" s="2105"/>
      <c r="I1060" s="2105"/>
      <c r="J1060" s="2105"/>
      <c r="K1060" s="2347"/>
      <c r="L1060" s="2105"/>
      <c r="M1060" s="2105"/>
      <c r="N1060" s="2105"/>
      <c r="O1060" s="2105"/>
      <c r="P1060" s="2346"/>
      <c r="Q1060" s="2105"/>
      <c r="R1060" s="2347"/>
      <c r="S1060" s="2347"/>
      <c r="T1060" s="2348"/>
      <c r="U1060" s="2348"/>
      <c r="V1060" s="2348"/>
      <c r="W1060" s="2347"/>
      <c r="X1060" s="2347"/>
      <c r="Y1060" s="2105"/>
      <c r="Z1060" s="2105"/>
      <c r="AA1060" s="2105"/>
      <c r="AB1060" s="2105"/>
      <c r="AC1060" s="2105"/>
    </row>
    <row r="1061" spans="1:29">
      <c r="A1061" s="2105"/>
      <c r="B1061" s="2105"/>
      <c r="C1061" s="2105"/>
      <c r="D1061" s="2105"/>
      <c r="E1061" s="2345"/>
      <c r="F1061" s="2105"/>
      <c r="G1061" s="2346"/>
      <c r="H1061" s="2105"/>
      <c r="I1061" s="2105"/>
      <c r="J1061" s="2105"/>
      <c r="K1061" s="2347"/>
      <c r="L1061" s="2105"/>
      <c r="M1061" s="2105"/>
      <c r="N1061" s="2105"/>
      <c r="O1061" s="2105"/>
      <c r="P1061" s="2346"/>
      <c r="Q1061" s="2105"/>
      <c r="R1061" s="2347"/>
      <c r="S1061" s="2347"/>
      <c r="T1061" s="2348"/>
      <c r="U1061" s="2348"/>
      <c r="V1061" s="2348"/>
      <c r="W1061" s="2347"/>
      <c r="X1061" s="2347"/>
      <c r="Y1061" s="2105"/>
      <c r="Z1061" s="2105"/>
      <c r="AA1061" s="2105"/>
      <c r="AB1061" s="2105"/>
      <c r="AC1061" s="2105"/>
    </row>
    <row r="1062" spans="1:29">
      <c r="A1062" s="2105"/>
      <c r="B1062" s="2105"/>
      <c r="C1062" s="2105"/>
      <c r="D1062" s="2105"/>
      <c r="E1062" s="2345"/>
      <c r="F1062" s="2105"/>
      <c r="G1062" s="2346"/>
      <c r="H1062" s="2105"/>
      <c r="I1062" s="2105"/>
      <c r="J1062" s="2105"/>
      <c r="K1062" s="2347"/>
      <c r="L1062" s="2105"/>
      <c r="M1062" s="2105"/>
      <c r="N1062" s="2105"/>
      <c r="O1062" s="2105"/>
      <c r="P1062" s="2346"/>
      <c r="Q1062" s="2105"/>
      <c r="R1062" s="2347"/>
      <c r="S1062" s="2347"/>
      <c r="T1062" s="2348"/>
      <c r="U1062" s="2348"/>
      <c r="V1062" s="2348"/>
      <c r="W1062" s="2347"/>
      <c r="X1062" s="2347"/>
      <c r="Y1062" s="2105"/>
      <c r="Z1062" s="2105"/>
      <c r="AA1062" s="2105"/>
      <c r="AB1062" s="2105"/>
      <c r="AC1062" s="2105"/>
    </row>
    <row r="1063" spans="1:29">
      <c r="A1063" s="2105"/>
      <c r="B1063" s="2105"/>
      <c r="C1063" s="2105"/>
      <c r="D1063" s="2105"/>
      <c r="E1063" s="2345"/>
      <c r="F1063" s="2105"/>
      <c r="G1063" s="2346"/>
      <c r="H1063" s="2105"/>
      <c r="I1063" s="2105"/>
      <c r="J1063" s="2105"/>
      <c r="K1063" s="2347"/>
      <c r="L1063" s="2105"/>
      <c r="M1063" s="2105"/>
      <c r="N1063" s="2105"/>
      <c r="O1063" s="2105"/>
      <c r="P1063" s="2346"/>
      <c r="Q1063" s="2105"/>
      <c r="R1063" s="2347"/>
      <c r="S1063" s="2347"/>
      <c r="T1063" s="2348"/>
      <c r="U1063" s="2348"/>
      <c r="V1063" s="2348"/>
      <c r="W1063" s="2347"/>
      <c r="X1063" s="2347"/>
      <c r="Y1063" s="2105"/>
      <c r="Z1063" s="2105"/>
      <c r="AA1063" s="2105"/>
      <c r="AB1063" s="2105"/>
      <c r="AC1063" s="2105"/>
    </row>
    <row r="1064" spans="1:29">
      <c r="A1064" s="2105"/>
      <c r="B1064" s="2105"/>
      <c r="C1064" s="2105"/>
      <c r="D1064" s="2105"/>
      <c r="E1064" s="2345"/>
      <c r="F1064" s="2105"/>
      <c r="G1064" s="2346"/>
      <c r="H1064" s="2105"/>
      <c r="I1064" s="2105"/>
      <c r="J1064" s="2105"/>
      <c r="K1064" s="2347"/>
      <c r="L1064" s="2105"/>
      <c r="M1064" s="2105"/>
      <c r="N1064" s="2105"/>
      <c r="O1064" s="2105"/>
      <c r="P1064" s="2346"/>
      <c r="Q1064" s="2105"/>
      <c r="R1064" s="2347"/>
      <c r="S1064" s="2347"/>
      <c r="T1064" s="2348"/>
      <c r="U1064" s="2348"/>
      <c r="V1064" s="2348"/>
      <c r="W1064" s="2347"/>
      <c r="X1064" s="2347"/>
      <c r="Y1064" s="2105"/>
      <c r="Z1064" s="2105"/>
      <c r="AA1064" s="2105"/>
      <c r="AB1064" s="2105"/>
      <c r="AC1064" s="2105"/>
    </row>
    <row r="1065" spans="1:29">
      <c r="A1065" s="2105"/>
      <c r="B1065" s="2105"/>
      <c r="C1065" s="2105"/>
      <c r="D1065" s="2105"/>
      <c r="E1065" s="2345"/>
      <c r="F1065" s="2105"/>
      <c r="G1065" s="2346"/>
      <c r="H1065" s="2105"/>
      <c r="I1065" s="2105"/>
      <c r="J1065" s="2105"/>
      <c r="K1065" s="2347"/>
      <c r="L1065" s="2105"/>
      <c r="M1065" s="2105"/>
      <c r="N1065" s="2105"/>
      <c r="O1065" s="2105"/>
      <c r="P1065" s="2346"/>
      <c r="Q1065" s="2105"/>
      <c r="R1065" s="2347"/>
      <c r="S1065" s="2347"/>
      <c r="T1065" s="2348"/>
      <c r="U1065" s="2348"/>
      <c r="V1065" s="2348"/>
      <c r="W1065" s="2347"/>
      <c r="X1065" s="2347"/>
      <c r="Y1065" s="2105"/>
      <c r="Z1065" s="2105"/>
      <c r="AA1065" s="2105"/>
      <c r="AB1065" s="2105"/>
      <c r="AC1065" s="2105"/>
    </row>
    <row r="1066" spans="1:29">
      <c r="A1066" s="2105"/>
      <c r="B1066" s="2105"/>
      <c r="C1066" s="2105"/>
      <c r="D1066" s="2105"/>
      <c r="E1066" s="2345"/>
      <c r="F1066" s="2105"/>
      <c r="G1066" s="2346"/>
      <c r="H1066" s="2105"/>
      <c r="I1066" s="2105"/>
      <c r="J1066" s="2105"/>
      <c r="K1066" s="2347"/>
      <c r="L1066" s="2105"/>
      <c r="M1066" s="2105"/>
      <c r="N1066" s="2105"/>
      <c r="O1066" s="2105"/>
      <c r="P1066" s="2346"/>
      <c r="Q1066" s="2105"/>
      <c r="R1066" s="2347"/>
      <c r="S1066" s="2347"/>
      <c r="T1066" s="2348"/>
      <c r="U1066" s="2348"/>
      <c r="V1066" s="2348"/>
      <c r="W1066" s="2347"/>
      <c r="X1066" s="2347"/>
      <c r="Y1066" s="2105"/>
      <c r="Z1066" s="2105"/>
      <c r="AA1066" s="2105"/>
      <c r="AB1066" s="2105"/>
      <c r="AC1066" s="2105"/>
    </row>
    <row r="1067" spans="1:29">
      <c r="A1067" s="2105"/>
      <c r="B1067" s="2105"/>
      <c r="C1067" s="2105"/>
      <c r="D1067" s="2105"/>
      <c r="E1067" s="2345"/>
      <c r="F1067" s="2105"/>
      <c r="G1067" s="2346"/>
      <c r="H1067" s="2105"/>
      <c r="I1067" s="2105"/>
      <c r="J1067" s="2105"/>
      <c r="K1067" s="2347"/>
      <c r="L1067" s="2105"/>
      <c r="M1067" s="2105"/>
      <c r="N1067" s="2105"/>
      <c r="O1067" s="2105"/>
      <c r="P1067" s="2346"/>
      <c r="Q1067" s="2105"/>
      <c r="R1067" s="2347"/>
      <c r="S1067" s="2347"/>
      <c r="T1067" s="2348"/>
      <c r="U1067" s="2348"/>
      <c r="V1067" s="2348"/>
      <c r="W1067" s="2347"/>
      <c r="X1067" s="2347"/>
      <c r="Y1067" s="2105"/>
      <c r="Z1067" s="2105"/>
      <c r="AA1067" s="2105"/>
      <c r="AB1067" s="2105"/>
      <c r="AC1067" s="2105"/>
    </row>
    <row r="1068" spans="1:29">
      <c r="A1068" s="2105"/>
      <c r="B1068" s="2105"/>
      <c r="C1068" s="2105"/>
      <c r="D1068" s="2105"/>
      <c r="E1068" s="2345"/>
      <c r="F1068" s="2105"/>
      <c r="G1068" s="2346"/>
      <c r="H1068" s="2105"/>
      <c r="I1068" s="2105"/>
      <c r="J1068" s="2105"/>
      <c r="K1068" s="2347"/>
      <c r="L1068" s="2105"/>
      <c r="M1068" s="2105"/>
      <c r="N1068" s="2105"/>
      <c r="O1068" s="2105"/>
      <c r="P1068" s="2346"/>
      <c r="Q1068" s="2105"/>
      <c r="R1068" s="2347"/>
      <c r="S1068" s="2347"/>
      <c r="T1068" s="2348"/>
      <c r="U1068" s="2348"/>
      <c r="V1068" s="2348"/>
      <c r="W1068" s="2347"/>
      <c r="X1068" s="2347"/>
      <c r="Y1068" s="2105"/>
      <c r="Z1068" s="2105"/>
      <c r="AA1068" s="2105"/>
      <c r="AB1068" s="2105"/>
      <c r="AC1068" s="2105"/>
    </row>
    <row r="1069" spans="1:29">
      <c r="A1069" s="2105"/>
      <c r="B1069" s="2105"/>
      <c r="C1069" s="2105"/>
      <c r="D1069" s="2105"/>
      <c r="E1069" s="2345"/>
      <c r="F1069" s="2105"/>
      <c r="G1069" s="2346"/>
      <c r="H1069" s="2105"/>
      <c r="I1069" s="2105"/>
      <c r="J1069" s="2105"/>
      <c r="K1069" s="2347"/>
      <c r="L1069" s="2105"/>
      <c r="M1069" s="2105"/>
      <c r="N1069" s="2105"/>
      <c r="O1069" s="2105"/>
      <c r="P1069" s="2346"/>
      <c r="Q1069" s="2105"/>
      <c r="R1069" s="2347"/>
      <c r="S1069" s="2347"/>
      <c r="T1069" s="2348"/>
      <c r="U1069" s="2348"/>
      <c r="V1069" s="2348"/>
      <c r="W1069" s="2347"/>
      <c r="X1069" s="2347"/>
      <c r="Y1069" s="2105"/>
      <c r="Z1069" s="2105"/>
      <c r="AA1069" s="2105"/>
      <c r="AB1069" s="2105"/>
      <c r="AC1069" s="2105"/>
    </row>
    <row r="1070" spans="1:29">
      <c r="A1070" s="2105"/>
      <c r="B1070" s="2105"/>
      <c r="C1070" s="2105"/>
      <c r="D1070" s="2105"/>
      <c r="E1070" s="2345"/>
      <c r="F1070" s="2105"/>
      <c r="G1070" s="2346"/>
      <c r="H1070" s="2105"/>
      <c r="I1070" s="2105"/>
      <c r="J1070" s="2105"/>
      <c r="K1070" s="2347"/>
      <c r="L1070" s="2105"/>
      <c r="M1070" s="2105"/>
      <c r="N1070" s="2105"/>
      <c r="O1070" s="2105"/>
      <c r="P1070" s="2346"/>
      <c r="Q1070" s="2105"/>
      <c r="R1070" s="2347"/>
      <c r="S1070" s="2347"/>
      <c r="T1070" s="2348"/>
      <c r="U1070" s="2348"/>
      <c r="V1070" s="2348"/>
      <c r="W1070" s="2347"/>
      <c r="X1070" s="2347"/>
      <c r="Y1070" s="2105"/>
      <c r="Z1070" s="2105"/>
      <c r="AA1070" s="2105"/>
      <c r="AB1070" s="2105"/>
      <c r="AC1070" s="2105"/>
    </row>
    <row r="1071" spans="1:29">
      <c r="A1071" s="2105"/>
      <c r="B1071" s="2105"/>
      <c r="C1071" s="2105"/>
      <c r="D1071" s="2105"/>
      <c r="E1071" s="2345"/>
      <c r="F1071" s="2105"/>
      <c r="G1071" s="2346"/>
      <c r="H1071" s="2105"/>
      <c r="I1071" s="2105"/>
      <c r="J1071" s="2105"/>
      <c r="K1071" s="2347"/>
      <c r="L1071" s="2105"/>
      <c r="M1071" s="2105"/>
      <c r="N1071" s="2105"/>
      <c r="O1071" s="2105"/>
      <c r="P1071" s="2346"/>
      <c r="Q1071" s="2105"/>
      <c r="R1071" s="2347"/>
      <c r="S1071" s="2347"/>
      <c r="T1071" s="2348"/>
      <c r="U1071" s="2348"/>
      <c r="V1071" s="2348"/>
      <c r="W1071" s="2347"/>
      <c r="X1071" s="2347"/>
      <c r="Y1071" s="2105"/>
      <c r="Z1071" s="2105"/>
      <c r="AA1071" s="2105"/>
      <c r="AB1071" s="2105"/>
      <c r="AC1071" s="2105"/>
    </row>
    <row r="1072" spans="1:29">
      <c r="A1072" s="2105"/>
      <c r="B1072" s="2105"/>
      <c r="C1072" s="2105"/>
      <c r="D1072" s="2105"/>
      <c r="E1072" s="2345"/>
      <c r="F1072" s="2105"/>
      <c r="G1072" s="2346"/>
      <c r="H1072" s="2105"/>
      <c r="I1072" s="2105"/>
      <c r="J1072" s="2105"/>
      <c r="K1072" s="2347"/>
      <c r="L1072" s="2105"/>
      <c r="M1072" s="2105"/>
      <c r="N1072" s="2105"/>
      <c r="O1072" s="2105"/>
      <c r="P1072" s="2346"/>
      <c r="Q1072" s="2105"/>
      <c r="R1072" s="2347"/>
      <c r="S1072" s="2347"/>
      <c r="T1072" s="2348"/>
      <c r="U1072" s="2348"/>
      <c r="V1072" s="2348"/>
      <c r="W1072" s="2347"/>
      <c r="X1072" s="2347"/>
      <c r="Y1072" s="2105"/>
      <c r="Z1072" s="2105"/>
      <c r="AA1072" s="2105"/>
      <c r="AB1072" s="2105"/>
      <c r="AC1072" s="2105"/>
    </row>
    <row r="1073" spans="1:29">
      <c r="A1073" s="2105"/>
      <c r="B1073" s="2105"/>
      <c r="C1073" s="2105"/>
      <c r="D1073" s="2105"/>
      <c r="E1073" s="2345"/>
      <c r="F1073" s="2105"/>
      <c r="G1073" s="2346"/>
      <c r="H1073" s="2105"/>
      <c r="I1073" s="2105"/>
      <c r="J1073" s="2105"/>
      <c r="K1073" s="2347"/>
      <c r="L1073" s="2105"/>
      <c r="M1073" s="2105"/>
      <c r="N1073" s="2105"/>
      <c r="O1073" s="2105"/>
      <c r="P1073" s="2346"/>
      <c r="Q1073" s="2105"/>
      <c r="R1073" s="2347"/>
      <c r="S1073" s="2347"/>
      <c r="T1073" s="2348"/>
      <c r="U1073" s="2348"/>
      <c r="V1073" s="2348"/>
      <c r="W1073" s="2347"/>
      <c r="X1073" s="2347"/>
      <c r="Y1073" s="2105"/>
      <c r="Z1073" s="2105"/>
      <c r="AA1073" s="2105"/>
      <c r="AB1073" s="2105"/>
      <c r="AC1073" s="2105"/>
    </row>
    <row r="1074" spans="1:29">
      <c r="A1074" s="2105"/>
      <c r="B1074" s="2105"/>
      <c r="C1074" s="2105"/>
      <c r="D1074" s="2105"/>
      <c r="E1074" s="2345"/>
      <c r="F1074" s="2105"/>
      <c r="G1074" s="2346"/>
      <c r="H1074" s="2105"/>
      <c r="I1074" s="2105"/>
      <c r="J1074" s="2105"/>
      <c r="K1074" s="2347"/>
      <c r="L1074" s="2105"/>
      <c r="M1074" s="2105"/>
      <c r="N1074" s="2105"/>
      <c r="O1074" s="2105"/>
      <c r="P1074" s="2346"/>
      <c r="Q1074" s="2105"/>
      <c r="R1074" s="2347"/>
      <c r="S1074" s="2347"/>
      <c r="T1074" s="2348"/>
      <c r="U1074" s="2348"/>
      <c r="V1074" s="2348"/>
      <c r="W1074" s="2347"/>
      <c r="X1074" s="2347"/>
      <c r="Y1074" s="2105"/>
      <c r="Z1074" s="2105"/>
      <c r="AA1074" s="2105"/>
      <c r="AB1074" s="2105"/>
      <c r="AC1074" s="2105"/>
    </row>
    <row r="1075" spans="1:29">
      <c r="A1075" s="2105"/>
      <c r="B1075" s="2105"/>
      <c r="C1075" s="2105"/>
      <c r="D1075" s="2105"/>
      <c r="E1075" s="2345"/>
      <c r="F1075" s="2105"/>
      <c r="G1075" s="2346"/>
      <c r="H1075" s="2105"/>
      <c r="I1075" s="2105"/>
      <c r="J1075" s="2105"/>
      <c r="K1075" s="2347"/>
      <c r="L1075" s="2105"/>
      <c r="M1075" s="2105"/>
      <c r="N1075" s="2105"/>
      <c r="O1075" s="2105"/>
      <c r="P1075" s="2346"/>
      <c r="Q1075" s="2105"/>
      <c r="R1075" s="2347"/>
      <c r="S1075" s="2347"/>
      <c r="T1075" s="2348"/>
      <c r="U1075" s="2348"/>
      <c r="V1075" s="2348"/>
      <c r="W1075" s="2347"/>
      <c r="X1075" s="2347"/>
      <c r="Y1075" s="2105"/>
      <c r="Z1075" s="2105"/>
      <c r="AA1075" s="2105"/>
      <c r="AB1075" s="2105"/>
      <c r="AC1075" s="2105"/>
    </row>
    <row r="1076" spans="1:29">
      <c r="A1076" s="2105"/>
      <c r="B1076" s="2105"/>
      <c r="C1076" s="2105"/>
      <c r="D1076" s="2105"/>
      <c r="E1076" s="2345"/>
      <c r="F1076" s="2105"/>
      <c r="G1076" s="2346"/>
      <c r="H1076" s="2105"/>
      <c r="I1076" s="2105"/>
      <c r="J1076" s="2105"/>
      <c r="K1076" s="2347"/>
      <c r="L1076" s="2105"/>
      <c r="M1076" s="2105"/>
      <c r="N1076" s="2105"/>
      <c r="O1076" s="2105"/>
      <c r="P1076" s="2346"/>
      <c r="Q1076" s="2105"/>
      <c r="R1076" s="2347"/>
      <c r="S1076" s="2347"/>
      <c r="T1076" s="2348"/>
      <c r="U1076" s="2348"/>
      <c r="V1076" s="2348"/>
      <c r="W1076" s="2347"/>
      <c r="X1076" s="2347"/>
      <c r="Y1076" s="2105"/>
      <c r="Z1076" s="2105"/>
      <c r="AA1076" s="2105"/>
      <c r="AB1076" s="2105"/>
      <c r="AC1076" s="2105"/>
    </row>
    <row r="1077" spans="1:29">
      <c r="A1077" s="2105"/>
      <c r="B1077" s="2105"/>
      <c r="C1077" s="2105"/>
      <c r="D1077" s="2105"/>
      <c r="E1077" s="2345"/>
      <c r="F1077" s="2105"/>
      <c r="G1077" s="2346"/>
      <c r="H1077" s="2105"/>
      <c r="I1077" s="2105"/>
      <c r="J1077" s="2105"/>
      <c r="K1077" s="2347"/>
      <c r="L1077" s="2105"/>
      <c r="M1077" s="2105"/>
      <c r="N1077" s="2105"/>
      <c r="O1077" s="2105"/>
      <c r="P1077" s="2346"/>
      <c r="Q1077" s="2105"/>
      <c r="R1077" s="2347"/>
      <c r="S1077" s="2347"/>
      <c r="T1077" s="2348"/>
      <c r="U1077" s="2348"/>
      <c r="V1077" s="2348"/>
      <c r="W1077" s="2347"/>
      <c r="X1077" s="2347"/>
      <c r="Y1077" s="2105"/>
      <c r="Z1077" s="2105"/>
      <c r="AA1077" s="2105"/>
      <c r="AB1077" s="2105"/>
      <c r="AC1077" s="2105"/>
    </row>
    <row r="1078" spans="1:29">
      <c r="A1078" s="2105"/>
      <c r="B1078" s="2105"/>
      <c r="C1078" s="2105"/>
      <c r="D1078" s="2105"/>
      <c r="E1078" s="2345"/>
      <c r="F1078" s="2105"/>
      <c r="G1078" s="2346"/>
      <c r="H1078" s="2105"/>
      <c r="I1078" s="2105"/>
      <c r="J1078" s="2105"/>
      <c r="K1078" s="2347"/>
      <c r="L1078" s="2105"/>
      <c r="M1078" s="2105"/>
      <c r="N1078" s="2105"/>
      <c r="O1078" s="2105"/>
      <c r="P1078" s="2346"/>
      <c r="Q1078" s="2105"/>
      <c r="R1078" s="2347"/>
      <c r="S1078" s="2347"/>
      <c r="T1078" s="2348"/>
      <c r="U1078" s="2348"/>
      <c r="V1078" s="2348"/>
      <c r="W1078" s="2347"/>
      <c r="X1078" s="2347"/>
      <c r="Y1078" s="2105"/>
      <c r="Z1078" s="2105"/>
      <c r="AA1078" s="2105"/>
      <c r="AB1078" s="2105"/>
      <c r="AC1078" s="2105"/>
    </row>
    <row r="1079" spans="1:29">
      <c r="A1079" s="2105"/>
      <c r="B1079" s="2105"/>
      <c r="C1079" s="2105"/>
      <c r="D1079" s="2105"/>
      <c r="E1079" s="2345"/>
      <c r="F1079" s="2105"/>
      <c r="G1079" s="2346"/>
      <c r="H1079" s="2105"/>
      <c r="I1079" s="2105"/>
      <c r="J1079" s="2105"/>
      <c r="K1079" s="2347"/>
      <c r="L1079" s="2105"/>
      <c r="M1079" s="2105"/>
      <c r="N1079" s="2105"/>
      <c r="O1079" s="2105"/>
      <c r="P1079" s="2346"/>
      <c r="Q1079" s="2105"/>
      <c r="R1079" s="2347"/>
      <c r="S1079" s="2347"/>
      <c r="T1079" s="2348"/>
      <c r="U1079" s="2348"/>
      <c r="V1079" s="2348"/>
      <c r="W1079" s="2347"/>
      <c r="X1079" s="2347"/>
      <c r="Y1079" s="2105"/>
      <c r="Z1079" s="2105"/>
      <c r="AA1079" s="2105"/>
      <c r="AB1079" s="2105"/>
      <c r="AC1079" s="2105"/>
    </row>
    <row r="1080" spans="1:29">
      <c r="A1080" s="2105"/>
      <c r="B1080" s="2105"/>
      <c r="C1080" s="2105"/>
      <c r="D1080" s="2105"/>
      <c r="E1080" s="2345"/>
      <c r="F1080" s="2105"/>
      <c r="G1080" s="2346"/>
      <c r="H1080" s="2105"/>
      <c r="I1080" s="2105"/>
      <c r="J1080" s="2105"/>
      <c r="K1080" s="2347"/>
      <c r="L1080" s="2105"/>
      <c r="M1080" s="2105"/>
      <c r="N1080" s="2105"/>
      <c r="O1080" s="2105"/>
      <c r="P1080" s="2346"/>
      <c r="Q1080" s="2105"/>
      <c r="R1080" s="2347"/>
      <c r="S1080" s="2347"/>
      <c r="T1080" s="2348"/>
      <c r="U1080" s="2348"/>
      <c r="V1080" s="2348"/>
      <c r="W1080" s="2347"/>
      <c r="X1080" s="2347"/>
      <c r="Y1080" s="2105"/>
      <c r="Z1080" s="2105"/>
      <c r="AA1080" s="2105"/>
      <c r="AB1080" s="2105"/>
      <c r="AC1080" s="2105"/>
    </row>
    <row r="1081" spans="1:29">
      <c r="A1081" s="2105"/>
      <c r="B1081" s="2105"/>
      <c r="C1081" s="2105"/>
      <c r="D1081" s="2105"/>
      <c r="E1081" s="2345"/>
      <c r="F1081" s="2105"/>
      <c r="G1081" s="2346"/>
      <c r="H1081" s="2105"/>
      <c r="I1081" s="2105"/>
      <c r="J1081" s="2105"/>
      <c r="K1081" s="2347"/>
      <c r="L1081" s="2105"/>
      <c r="M1081" s="2105"/>
      <c r="N1081" s="2105"/>
      <c r="O1081" s="2105"/>
      <c r="P1081" s="2346"/>
      <c r="Q1081" s="2105"/>
      <c r="R1081" s="2347"/>
      <c r="S1081" s="2347"/>
      <c r="T1081" s="2348"/>
      <c r="U1081" s="2348"/>
      <c r="V1081" s="2348"/>
      <c r="W1081" s="2347"/>
      <c r="X1081" s="2347"/>
      <c r="Y1081" s="2105"/>
      <c r="Z1081" s="2105"/>
      <c r="AA1081" s="2105"/>
      <c r="AB1081" s="2105"/>
      <c r="AC1081" s="2105"/>
    </row>
    <row r="1082" spans="1:29">
      <c r="A1082" s="2105"/>
      <c r="B1082" s="2105"/>
      <c r="C1082" s="2105"/>
      <c r="D1082" s="2105"/>
      <c r="E1082" s="2345"/>
      <c r="F1082" s="2105"/>
      <c r="G1082" s="2346"/>
      <c r="H1082" s="2105"/>
      <c r="I1082" s="2105"/>
      <c r="J1082" s="2105"/>
      <c r="K1082" s="2347"/>
      <c r="L1082" s="2105"/>
      <c r="M1082" s="2105"/>
      <c r="N1082" s="2105"/>
      <c r="O1082" s="2105"/>
      <c r="P1082" s="2346"/>
      <c r="Q1082" s="2105"/>
      <c r="R1082" s="2347"/>
      <c r="S1082" s="2347"/>
      <c r="T1082" s="2348"/>
      <c r="U1082" s="2348"/>
      <c r="V1082" s="2348"/>
      <c r="W1082" s="2347"/>
      <c r="X1082" s="2347"/>
      <c r="Y1082" s="2105"/>
      <c r="Z1082" s="2105"/>
      <c r="AA1082" s="2105"/>
      <c r="AB1082" s="2105"/>
      <c r="AC1082" s="2105"/>
    </row>
    <row r="1083" spans="1:29">
      <c r="A1083" s="2105"/>
      <c r="B1083" s="2105"/>
      <c r="C1083" s="2105"/>
      <c r="D1083" s="2105"/>
      <c r="E1083" s="2345"/>
      <c r="F1083" s="2105"/>
      <c r="G1083" s="2346"/>
      <c r="H1083" s="2105"/>
      <c r="I1083" s="2105"/>
      <c r="J1083" s="2105"/>
      <c r="K1083" s="2347"/>
      <c r="L1083" s="2105"/>
      <c r="M1083" s="2105"/>
      <c r="N1083" s="2105"/>
      <c r="O1083" s="2105"/>
      <c r="P1083" s="2346"/>
      <c r="Q1083" s="2105"/>
      <c r="R1083" s="2347"/>
      <c r="S1083" s="2347"/>
      <c r="T1083" s="2348"/>
      <c r="U1083" s="2348"/>
      <c r="V1083" s="2348"/>
      <c r="W1083" s="2347"/>
      <c r="X1083" s="2347"/>
      <c r="Y1083" s="2105"/>
      <c r="Z1083" s="2105"/>
      <c r="AA1083" s="2105"/>
      <c r="AB1083" s="2105"/>
      <c r="AC1083" s="2105"/>
    </row>
    <row r="1084" spans="1:29">
      <c r="A1084" s="2105"/>
      <c r="B1084" s="2105"/>
      <c r="C1084" s="2105"/>
      <c r="D1084" s="2105"/>
      <c r="E1084" s="2345"/>
      <c r="F1084" s="2105"/>
      <c r="G1084" s="2346"/>
      <c r="H1084" s="2105"/>
      <c r="I1084" s="2105"/>
      <c r="J1084" s="2105"/>
      <c r="K1084" s="2347"/>
      <c r="L1084" s="2105"/>
      <c r="M1084" s="2105"/>
      <c r="N1084" s="2105"/>
      <c r="O1084" s="2105"/>
      <c r="P1084" s="2346"/>
      <c r="Q1084" s="2105"/>
      <c r="R1084" s="2347"/>
      <c r="S1084" s="2347"/>
      <c r="T1084" s="2348"/>
      <c r="U1084" s="2348"/>
      <c r="V1084" s="2348"/>
      <c r="W1084" s="2347"/>
      <c r="X1084" s="2347"/>
      <c r="Y1084" s="2105"/>
      <c r="Z1084" s="2105"/>
      <c r="AA1084" s="2105"/>
      <c r="AB1084" s="2105"/>
      <c r="AC1084" s="2105"/>
    </row>
    <row r="1085" spans="1:29">
      <c r="A1085" s="2105"/>
      <c r="B1085" s="2105"/>
      <c r="C1085" s="2105"/>
      <c r="D1085" s="2105"/>
      <c r="E1085" s="2345"/>
      <c r="F1085" s="2105"/>
      <c r="G1085" s="2346"/>
      <c r="H1085" s="2105"/>
      <c r="I1085" s="2105"/>
      <c r="J1085" s="2105"/>
      <c r="K1085" s="2347"/>
      <c r="L1085" s="2105"/>
      <c r="M1085" s="2105"/>
      <c r="N1085" s="2105"/>
      <c r="O1085" s="2105"/>
      <c r="P1085" s="2346"/>
      <c r="Q1085" s="2105"/>
      <c r="R1085" s="2347"/>
      <c r="S1085" s="2347"/>
      <c r="T1085" s="2348"/>
      <c r="U1085" s="2348"/>
      <c r="V1085" s="2348"/>
      <c r="W1085" s="2347"/>
      <c r="X1085" s="2347"/>
      <c r="Y1085" s="2105"/>
      <c r="Z1085" s="2105"/>
      <c r="AA1085" s="2105"/>
      <c r="AB1085" s="2105"/>
      <c r="AC1085" s="2105"/>
    </row>
    <row r="1086" spans="1:29">
      <c r="A1086" s="2105"/>
      <c r="B1086" s="2105"/>
      <c r="C1086" s="2105"/>
      <c r="D1086" s="2105"/>
      <c r="E1086" s="2345"/>
      <c r="F1086" s="2105"/>
      <c r="G1086" s="2346"/>
      <c r="H1086" s="2105"/>
      <c r="I1086" s="2105"/>
      <c r="J1086" s="2105"/>
      <c r="K1086" s="2347"/>
      <c r="L1086" s="2105"/>
      <c r="M1086" s="2105"/>
      <c r="N1086" s="2105"/>
      <c r="O1086" s="2105"/>
      <c r="P1086" s="2346"/>
      <c r="Q1086" s="2105"/>
      <c r="R1086" s="2347"/>
      <c r="S1086" s="2347"/>
      <c r="T1086" s="2348"/>
      <c r="U1086" s="2348"/>
      <c r="V1086" s="2348"/>
      <c r="W1086" s="2347"/>
      <c r="X1086" s="2347"/>
      <c r="Y1086" s="2105"/>
      <c r="Z1086" s="2105"/>
      <c r="AA1086" s="2105"/>
      <c r="AB1086" s="2105"/>
      <c r="AC1086" s="2105"/>
    </row>
    <row r="1087" spans="1:29">
      <c r="A1087" s="2105"/>
      <c r="B1087" s="2105"/>
      <c r="C1087" s="2105"/>
      <c r="D1087" s="2105"/>
      <c r="E1087" s="2345"/>
      <c r="F1087" s="2105"/>
      <c r="G1087" s="2346"/>
      <c r="H1087" s="2105"/>
      <c r="I1087" s="2105"/>
      <c r="J1087" s="2105"/>
      <c r="K1087" s="2347"/>
      <c r="L1087" s="2105"/>
      <c r="M1087" s="2105"/>
      <c r="N1087" s="2105"/>
      <c r="O1087" s="2105"/>
      <c r="P1087" s="2346"/>
      <c r="Q1087" s="2105"/>
      <c r="R1087" s="2347"/>
      <c r="S1087" s="2347"/>
      <c r="T1087" s="2348"/>
      <c r="U1087" s="2348"/>
      <c r="V1087" s="2348"/>
      <c r="W1087" s="2347"/>
      <c r="X1087" s="2347"/>
      <c r="Y1087" s="2105"/>
      <c r="Z1087" s="2105"/>
      <c r="AA1087" s="2105"/>
      <c r="AB1087" s="2105"/>
      <c r="AC1087" s="2105"/>
    </row>
    <row r="1088" spans="1:29">
      <c r="A1088" s="2105"/>
      <c r="B1088" s="2105"/>
      <c r="C1088" s="2105"/>
      <c r="D1088" s="2105"/>
      <c r="E1088" s="2345"/>
      <c r="F1088" s="2105"/>
      <c r="G1088" s="2346"/>
      <c r="H1088" s="2105"/>
      <c r="I1088" s="2105"/>
      <c r="J1088" s="2105"/>
      <c r="K1088" s="2347"/>
      <c r="L1088" s="2105"/>
      <c r="M1088" s="2105"/>
      <c r="N1088" s="2105"/>
      <c r="O1088" s="2105"/>
      <c r="P1088" s="2346"/>
      <c r="Q1088" s="2105"/>
      <c r="R1088" s="2347"/>
      <c r="S1088" s="2347"/>
      <c r="T1088" s="2348"/>
      <c r="U1088" s="2348"/>
      <c r="V1088" s="2348"/>
      <c r="W1088" s="2347"/>
      <c r="X1088" s="2347"/>
      <c r="Y1088" s="2105"/>
      <c r="Z1088" s="2105"/>
      <c r="AA1088" s="2105"/>
      <c r="AB1088" s="2105"/>
      <c r="AC1088" s="2105"/>
    </row>
    <row r="1089" spans="1:29">
      <c r="A1089" s="2105"/>
      <c r="B1089" s="2105"/>
      <c r="C1089" s="2105"/>
      <c r="D1089" s="2105"/>
      <c r="E1089" s="2345"/>
      <c r="F1089" s="2105"/>
      <c r="G1089" s="2346"/>
      <c r="H1089" s="2105"/>
      <c r="I1089" s="2105"/>
      <c r="J1089" s="2105"/>
      <c r="K1089" s="2347"/>
      <c r="L1089" s="2105"/>
      <c r="M1089" s="2105"/>
      <c r="N1089" s="2105"/>
      <c r="O1089" s="2105"/>
      <c r="P1089" s="2346"/>
      <c r="Q1089" s="2105"/>
      <c r="R1089" s="2347"/>
      <c r="S1089" s="2347"/>
      <c r="T1089" s="2348"/>
      <c r="U1089" s="2348"/>
      <c r="V1089" s="2348"/>
      <c r="W1089" s="2347"/>
      <c r="X1089" s="2347"/>
      <c r="Y1089" s="2105"/>
      <c r="Z1089" s="2105"/>
      <c r="AA1089" s="2105"/>
      <c r="AB1089" s="2105"/>
      <c r="AC1089" s="2105"/>
    </row>
    <row r="1090" spans="1:29">
      <c r="A1090" s="2105"/>
      <c r="B1090" s="2105"/>
      <c r="C1090" s="2105"/>
      <c r="D1090" s="2105"/>
      <c r="E1090" s="2345"/>
      <c r="F1090" s="2105"/>
      <c r="G1090" s="2346"/>
      <c r="H1090" s="2105"/>
      <c r="I1090" s="2105"/>
      <c r="J1090" s="2105"/>
      <c r="K1090" s="2347"/>
      <c r="L1090" s="2105"/>
      <c r="M1090" s="2105"/>
      <c r="N1090" s="2105"/>
      <c r="O1090" s="2105"/>
      <c r="P1090" s="2346"/>
      <c r="Q1090" s="2105"/>
      <c r="R1090" s="2347"/>
      <c r="S1090" s="2347"/>
      <c r="T1090" s="2348"/>
      <c r="U1090" s="2348"/>
      <c r="V1090" s="2348"/>
      <c r="W1090" s="2347"/>
      <c r="X1090" s="2347"/>
      <c r="Y1090" s="2105"/>
      <c r="Z1090" s="2105"/>
      <c r="AA1090" s="2105"/>
      <c r="AB1090" s="2105"/>
      <c r="AC1090" s="2105"/>
    </row>
    <row r="1091" spans="1:29">
      <c r="A1091" s="2105"/>
      <c r="B1091" s="2105"/>
      <c r="C1091" s="2105"/>
      <c r="D1091" s="2105"/>
      <c r="E1091" s="2345"/>
      <c r="F1091" s="2105"/>
      <c r="G1091" s="2346"/>
      <c r="H1091" s="2105"/>
      <c r="I1091" s="2105"/>
      <c r="J1091" s="2105"/>
      <c r="K1091" s="2347"/>
      <c r="L1091" s="2105"/>
      <c r="M1091" s="2105"/>
      <c r="N1091" s="2105"/>
      <c r="O1091" s="2105"/>
      <c r="P1091" s="2346"/>
      <c r="Q1091" s="2105"/>
      <c r="R1091" s="2347"/>
      <c r="S1091" s="2347"/>
      <c r="T1091" s="2348"/>
      <c r="U1091" s="2348"/>
      <c r="V1091" s="2348"/>
      <c r="W1091" s="2347"/>
      <c r="X1091" s="2347"/>
      <c r="Y1091" s="2105"/>
      <c r="Z1091" s="2105"/>
      <c r="AA1091" s="2105"/>
      <c r="AB1091" s="2105"/>
      <c r="AC1091" s="2105"/>
    </row>
    <row r="1092" spans="1:29">
      <c r="A1092" s="2105"/>
      <c r="B1092" s="2105"/>
      <c r="C1092" s="2105"/>
      <c r="D1092" s="2105"/>
      <c r="E1092" s="2345"/>
      <c r="F1092" s="2105"/>
      <c r="G1092" s="2346"/>
      <c r="H1092" s="2105"/>
      <c r="I1092" s="2105"/>
      <c r="J1092" s="2105"/>
      <c r="K1092" s="2347"/>
      <c r="L1092" s="2105"/>
      <c r="M1092" s="2105"/>
      <c r="N1092" s="2105"/>
      <c r="O1092" s="2105"/>
      <c r="P1092" s="2346"/>
      <c r="Q1092" s="2105"/>
      <c r="R1092" s="2347"/>
      <c r="S1092" s="2347"/>
      <c r="T1092" s="2348"/>
      <c r="U1092" s="2348"/>
      <c r="V1092" s="2348"/>
      <c r="W1092" s="2347"/>
      <c r="X1092" s="2347"/>
      <c r="Y1092" s="2105"/>
      <c r="Z1092" s="2105"/>
      <c r="AA1092" s="2105"/>
      <c r="AB1092" s="2105"/>
      <c r="AC1092" s="2105"/>
    </row>
    <row r="1093" spans="1:29">
      <c r="A1093" s="2105"/>
      <c r="B1093" s="2105"/>
      <c r="C1093" s="2105"/>
      <c r="D1093" s="2105"/>
      <c r="E1093" s="2345"/>
      <c r="F1093" s="2105"/>
      <c r="G1093" s="2346"/>
      <c r="H1093" s="2105"/>
      <c r="I1093" s="2105"/>
      <c r="J1093" s="2105"/>
      <c r="K1093" s="2347"/>
      <c r="L1093" s="2105"/>
      <c r="M1093" s="2105"/>
      <c r="N1093" s="2105"/>
      <c r="O1093" s="2105"/>
      <c r="P1093" s="2346"/>
      <c r="Q1093" s="2105"/>
      <c r="R1093" s="2347"/>
      <c r="S1093" s="2347"/>
      <c r="T1093" s="2348"/>
      <c r="U1093" s="2348"/>
      <c r="V1093" s="2348"/>
      <c r="W1093" s="2347"/>
      <c r="X1093" s="2347"/>
      <c r="Y1093" s="2105"/>
      <c r="Z1093" s="2105"/>
      <c r="AA1093" s="2105"/>
      <c r="AB1093" s="2105"/>
      <c r="AC1093" s="2105"/>
    </row>
    <row r="1094" spans="1:29">
      <c r="A1094" s="2105"/>
      <c r="B1094" s="2105"/>
      <c r="C1094" s="2105"/>
      <c r="D1094" s="2105"/>
      <c r="E1094" s="2345"/>
      <c r="F1094" s="2105"/>
      <c r="G1094" s="2346"/>
      <c r="H1094" s="2105"/>
      <c r="I1094" s="2105"/>
      <c r="J1094" s="2105"/>
      <c r="K1094" s="2347"/>
      <c r="L1094" s="2105"/>
      <c r="M1094" s="2105"/>
      <c r="N1094" s="2105"/>
      <c r="O1094" s="2105"/>
      <c r="P1094" s="2346"/>
      <c r="Q1094" s="2105"/>
      <c r="R1094" s="2347"/>
      <c r="S1094" s="2347"/>
      <c r="T1094" s="2348"/>
      <c r="U1094" s="2348"/>
      <c r="V1094" s="2348"/>
      <c r="W1094" s="2347"/>
      <c r="X1094" s="2347"/>
      <c r="Y1094" s="2105"/>
      <c r="Z1094" s="2105"/>
      <c r="AA1094" s="2105"/>
      <c r="AB1094" s="2105"/>
      <c r="AC1094" s="2105"/>
    </row>
    <row r="1095" spans="1:29">
      <c r="A1095" s="2105"/>
      <c r="B1095" s="2105"/>
      <c r="C1095" s="2105"/>
      <c r="D1095" s="2105"/>
      <c r="E1095" s="2345"/>
      <c r="F1095" s="2105"/>
      <c r="G1095" s="2346"/>
      <c r="H1095" s="2105"/>
      <c r="I1095" s="2105"/>
      <c r="J1095" s="2105"/>
      <c r="K1095" s="2347"/>
      <c r="L1095" s="2105"/>
      <c r="M1095" s="2105"/>
      <c r="N1095" s="2105"/>
      <c r="O1095" s="2105"/>
      <c r="P1095" s="2346"/>
      <c r="Q1095" s="2105"/>
      <c r="R1095" s="2347"/>
      <c r="S1095" s="2347"/>
      <c r="T1095" s="2348"/>
      <c r="U1095" s="2348"/>
      <c r="V1095" s="2348"/>
      <c r="W1095" s="2347"/>
      <c r="X1095" s="2347"/>
      <c r="Y1095" s="2105"/>
      <c r="Z1095" s="2105"/>
      <c r="AA1095" s="2105"/>
      <c r="AB1095" s="2105"/>
      <c r="AC1095" s="2105"/>
    </row>
    <row r="1096" spans="1:29">
      <c r="A1096" s="2105"/>
      <c r="B1096" s="2105"/>
      <c r="C1096" s="2105"/>
      <c r="D1096" s="2105"/>
      <c r="E1096" s="2345"/>
      <c r="F1096" s="2105"/>
      <c r="G1096" s="2346"/>
      <c r="H1096" s="2105"/>
      <c r="I1096" s="2105"/>
      <c r="J1096" s="2105"/>
      <c r="K1096" s="2347"/>
      <c r="L1096" s="2105"/>
      <c r="M1096" s="2105"/>
      <c r="N1096" s="2105"/>
      <c r="O1096" s="2105"/>
      <c r="P1096" s="2346"/>
      <c r="Q1096" s="2105"/>
      <c r="R1096" s="2347"/>
      <c r="S1096" s="2347"/>
      <c r="T1096" s="2348"/>
      <c r="U1096" s="2348"/>
      <c r="V1096" s="2348"/>
      <c r="W1096" s="2347"/>
      <c r="X1096" s="2347"/>
      <c r="Y1096" s="2105"/>
      <c r="Z1096" s="2105"/>
      <c r="AA1096" s="2105"/>
      <c r="AB1096" s="2105"/>
      <c r="AC1096" s="2105"/>
    </row>
    <row r="1097" spans="1:29">
      <c r="A1097" s="2105"/>
      <c r="B1097" s="2105"/>
      <c r="C1097" s="2105"/>
      <c r="D1097" s="2105"/>
      <c r="E1097" s="2345"/>
      <c r="F1097" s="2105"/>
      <c r="G1097" s="2346"/>
      <c r="H1097" s="2105"/>
      <c r="I1097" s="2105"/>
      <c r="J1097" s="2105"/>
      <c r="K1097" s="2347"/>
      <c r="L1097" s="2105"/>
      <c r="M1097" s="2105"/>
      <c r="N1097" s="2105"/>
      <c r="O1097" s="2105"/>
      <c r="P1097" s="2346"/>
      <c r="Q1097" s="2105"/>
      <c r="R1097" s="2347"/>
      <c r="S1097" s="2347"/>
      <c r="T1097" s="2348"/>
      <c r="U1097" s="2348"/>
      <c r="V1097" s="2348"/>
      <c r="W1097" s="2347"/>
      <c r="X1097" s="2347"/>
      <c r="Y1097" s="2105"/>
      <c r="Z1097" s="2105"/>
      <c r="AA1097" s="2105"/>
      <c r="AB1097" s="2105"/>
      <c r="AC1097" s="2105"/>
    </row>
    <row r="1098" spans="1:29">
      <c r="A1098" s="2105"/>
      <c r="B1098" s="2105"/>
      <c r="C1098" s="2105"/>
      <c r="D1098" s="2105"/>
      <c r="E1098" s="2345"/>
      <c r="F1098" s="2105"/>
      <c r="G1098" s="2346"/>
      <c r="H1098" s="2105"/>
      <c r="I1098" s="2105"/>
      <c r="J1098" s="2105"/>
      <c r="K1098" s="2347"/>
      <c r="L1098" s="2105"/>
      <c r="M1098" s="2105"/>
      <c r="N1098" s="2105"/>
      <c r="O1098" s="2105"/>
      <c r="P1098" s="2346"/>
      <c r="Q1098" s="2105"/>
      <c r="R1098" s="2347"/>
      <c r="S1098" s="2347"/>
      <c r="T1098" s="2348"/>
      <c r="U1098" s="2348"/>
      <c r="V1098" s="2348"/>
      <c r="W1098" s="2347"/>
      <c r="X1098" s="2347"/>
      <c r="Y1098" s="2105"/>
      <c r="Z1098" s="2105"/>
      <c r="AA1098" s="2105"/>
      <c r="AB1098" s="2105"/>
      <c r="AC1098" s="2105"/>
    </row>
    <row r="1099" spans="1:29">
      <c r="A1099" s="2105"/>
      <c r="B1099" s="2105"/>
      <c r="C1099" s="2105"/>
      <c r="D1099" s="2105"/>
      <c r="E1099" s="2345"/>
      <c r="F1099" s="2105"/>
      <c r="G1099" s="2346"/>
      <c r="H1099" s="2105"/>
      <c r="I1099" s="2105"/>
      <c r="J1099" s="2105"/>
      <c r="K1099" s="2347"/>
      <c r="L1099" s="2105"/>
      <c r="M1099" s="2105"/>
      <c r="N1099" s="2105"/>
      <c r="O1099" s="2105"/>
      <c r="P1099" s="2346"/>
      <c r="Q1099" s="2105"/>
      <c r="R1099" s="2347"/>
      <c r="S1099" s="2347"/>
      <c r="T1099" s="2348"/>
      <c r="U1099" s="2348"/>
      <c r="V1099" s="2348"/>
      <c r="W1099" s="2347"/>
      <c r="X1099" s="2347"/>
      <c r="Y1099" s="2105"/>
      <c r="Z1099" s="2105"/>
      <c r="AA1099" s="2105"/>
      <c r="AB1099" s="2105"/>
      <c r="AC1099" s="2105"/>
    </row>
    <row r="1100" spans="1:29">
      <c r="A1100" s="2105"/>
      <c r="B1100" s="2105"/>
      <c r="C1100" s="2105"/>
      <c r="D1100" s="2105"/>
      <c r="E1100" s="2345"/>
      <c r="F1100" s="2105"/>
      <c r="G1100" s="2346"/>
      <c r="H1100" s="2105"/>
      <c r="I1100" s="2105"/>
      <c r="J1100" s="2105"/>
      <c r="K1100" s="2347"/>
      <c r="L1100" s="2105"/>
      <c r="M1100" s="2105"/>
      <c r="N1100" s="2105"/>
      <c r="O1100" s="2105"/>
      <c r="P1100" s="2346"/>
      <c r="Q1100" s="2105"/>
      <c r="R1100" s="2347"/>
      <c r="S1100" s="2347"/>
      <c r="T1100" s="2348"/>
      <c r="U1100" s="2348"/>
      <c r="V1100" s="2348"/>
      <c r="W1100" s="2347"/>
      <c r="X1100" s="2347"/>
      <c r="Y1100" s="2105"/>
      <c r="Z1100" s="2105"/>
      <c r="AA1100" s="2105"/>
      <c r="AB1100" s="2105"/>
      <c r="AC1100" s="2105"/>
    </row>
    <row r="1101" spans="1:29">
      <c r="A1101" s="2105"/>
      <c r="B1101" s="2105"/>
      <c r="C1101" s="2105"/>
      <c r="D1101" s="2105"/>
      <c r="E1101" s="2345"/>
      <c r="F1101" s="2105"/>
      <c r="G1101" s="2346"/>
      <c r="H1101" s="2105"/>
      <c r="I1101" s="2105"/>
      <c r="J1101" s="2105"/>
      <c r="K1101" s="2347"/>
      <c r="L1101" s="2105"/>
      <c r="M1101" s="2105"/>
      <c r="N1101" s="2105"/>
      <c r="O1101" s="2105"/>
      <c r="P1101" s="2346"/>
      <c r="Q1101" s="2105"/>
      <c r="R1101" s="2347"/>
      <c r="S1101" s="2347"/>
      <c r="T1101" s="2348"/>
      <c r="U1101" s="2348"/>
      <c r="V1101" s="2348"/>
      <c r="W1101" s="2347"/>
      <c r="X1101" s="2347"/>
      <c r="Y1101" s="2105"/>
      <c r="Z1101" s="2105"/>
      <c r="AA1101" s="2105"/>
      <c r="AB1101" s="2105"/>
      <c r="AC1101" s="2105"/>
    </row>
    <row r="1102" spans="1:29">
      <c r="A1102" s="2105"/>
      <c r="B1102" s="2105"/>
      <c r="C1102" s="2105"/>
      <c r="D1102" s="2105"/>
      <c r="E1102" s="2345"/>
      <c r="F1102" s="2105"/>
      <c r="G1102" s="2346"/>
      <c r="H1102" s="2105"/>
      <c r="I1102" s="2105"/>
      <c r="J1102" s="2105"/>
      <c r="K1102" s="2347"/>
      <c r="L1102" s="2105"/>
      <c r="M1102" s="2105"/>
      <c r="N1102" s="2105"/>
      <c r="O1102" s="2105"/>
      <c r="P1102" s="2346"/>
      <c r="Q1102" s="2105"/>
      <c r="R1102" s="2347"/>
      <c r="S1102" s="2347"/>
      <c r="T1102" s="2348"/>
      <c r="U1102" s="2348"/>
      <c r="V1102" s="2348"/>
      <c r="W1102" s="2347"/>
      <c r="X1102" s="2347"/>
      <c r="Y1102" s="2105"/>
      <c r="Z1102" s="2105"/>
      <c r="AA1102" s="2105"/>
      <c r="AB1102" s="2105"/>
      <c r="AC1102" s="2105"/>
    </row>
    <row r="1103" spans="1:29">
      <c r="A1103" s="2105"/>
      <c r="B1103" s="2105"/>
      <c r="C1103" s="2105"/>
      <c r="D1103" s="2105"/>
      <c r="E1103" s="2345"/>
      <c r="F1103" s="2105"/>
      <c r="G1103" s="2346"/>
      <c r="H1103" s="2105"/>
      <c r="I1103" s="2105"/>
      <c r="J1103" s="2105"/>
      <c r="K1103" s="2347"/>
      <c r="L1103" s="2105"/>
      <c r="M1103" s="2105"/>
      <c r="N1103" s="2105"/>
      <c r="O1103" s="2105"/>
      <c r="P1103" s="2346"/>
      <c r="Q1103" s="2105"/>
      <c r="R1103" s="2347"/>
      <c r="S1103" s="2347"/>
      <c r="T1103" s="2348"/>
      <c r="U1103" s="2348"/>
      <c r="V1103" s="2348"/>
      <c r="W1103" s="2347"/>
      <c r="X1103" s="2347"/>
      <c r="Y1103" s="2105"/>
      <c r="Z1103" s="2105"/>
      <c r="AA1103" s="2105"/>
      <c r="AB1103" s="2105"/>
      <c r="AC1103" s="2105"/>
    </row>
    <row r="1104" spans="1:29">
      <c r="A1104" s="2105"/>
      <c r="B1104" s="2105"/>
      <c r="C1104" s="2105"/>
      <c r="D1104" s="2105"/>
      <c r="E1104" s="2345"/>
      <c r="F1104" s="2105"/>
      <c r="G1104" s="2346"/>
      <c r="H1104" s="2105"/>
      <c r="I1104" s="2105"/>
      <c r="J1104" s="2105"/>
      <c r="K1104" s="2347"/>
      <c r="L1104" s="2105"/>
      <c r="M1104" s="2105"/>
      <c r="N1104" s="2105"/>
      <c r="O1104" s="2105"/>
      <c r="P1104" s="2346"/>
      <c r="Q1104" s="2105"/>
      <c r="R1104" s="2347"/>
      <c r="S1104" s="2347"/>
      <c r="T1104" s="2348"/>
      <c r="U1104" s="2348"/>
      <c r="V1104" s="2348"/>
      <c r="W1104" s="2347"/>
      <c r="X1104" s="2347"/>
      <c r="Y1104" s="2105"/>
      <c r="Z1104" s="2105"/>
      <c r="AA1104" s="2105"/>
      <c r="AB1104" s="2105"/>
      <c r="AC1104" s="2105"/>
    </row>
    <row r="1105" spans="1:29">
      <c r="A1105" s="2105"/>
      <c r="B1105" s="2105"/>
      <c r="C1105" s="2105"/>
      <c r="D1105" s="2105"/>
      <c r="E1105" s="2345"/>
      <c r="F1105" s="2105"/>
      <c r="G1105" s="2346"/>
      <c r="H1105" s="2105"/>
      <c r="I1105" s="2105"/>
      <c r="J1105" s="2105"/>
      <c r="K1105" s="2347"/>
      <c r="L1105" s="2105"/>
      <c r="M1105" s="2105"/>
      <c r="N1105" s="2105"/>
      <c r="O1105" s="2105"/>
      <c r="P1105" s="2346"/>
      <c r="Q1105" s="2105"/>
      <c r="R1105" s="2347"/>
      <c r="S1105" s="2347"/>
      <c r="T1105" s="2348"/>
      <c r="U1105" s="2348"/>
      <c r="V1105" s="2348"/>
      <c r="W1105" s="2347"/>
      <c r="X1105" s="2347"/>
      <c r="Y1105" s="2105"/>
      <c r="Z1105" s="2105"/>
      <c r="AA1105" s="2105"/>
      <c r="AB1105" s="2105"/>
      <c r="AC1105" s="2105"/>
    </row>
    <row r="1106" spans="1:29">
      <c r="A1106" s="2105"/>
      <c r="B1106" s="2105"/>
      <c r="C1106" s="2105"/>
      <c r="D1106" s="2105"/>
      <c r="E1106" s="2345"/>
      <c r="F1106" s="2105"/>
      <c r="G1106" s="2346"/>
      <c r="H1106" s="2105"/>
      <c r="I1106" s="2105"/>
      <c r="J1106" s="2105"/>
      <c r="K1106" s="2347"/>
      <c r="L1106" s="2105"/>
      <c r="M1106" s="2105"/>
      <c r="N1106" s="2105"/>
      <c r="O1106" s="2105"/>
      <c r="P1106" s="2346"/>
      <c r="Q1106" s="2105"/>
      <c r="R1106" s="2347"/>
      <c r="S1106" s="2347"/>
      <c r="T1106" s="2348"/>
      <c r="U1106" s="2348"/>
      <c r="V1106" s="2348"/>
      <c r="W1106" s="2347"/>
      <c r="X1106" s="2347"/>
      <c r="Y1106" s="2105"/>
      <c r="Z1106" s="2105"/>
      <c r="AA1106" s="2105"/>
      <c r="AB1106" s="2105"/>
      <c r="AC1106" s="2105"/>
    </row>
    <row r="1107" spans="1:29">
      <c r="A1107" s="2105"/>
      <c r="B1107" s="2105"/>
      <c r="C1107" s="2105"/>
      <c r="D1107" s="2105"/>
      <c r="E1107" s="2345"/>
      <c r="F1107" s="2105"/>
      <c r="G1107" s="2346"/>
      <c r="H1107" s="2105"/>
      <c r="I1107" s="2105"/>
      <c r="J1107" s="2105"/>
      <c r="K1107" s="2347"/>
      <c r="L1107" s="2105"/>
      <c r="M1107" s="2105"/>
      <c r="N1107" s="2105"/>
      <c r="O1107" s="2105"/>
      <c r="P1107" s="2346"/>
      <c r="Q1107" s="2105"/>
      <c r="R1107" s="2347"/>
      <c r="S1107" s="2347"/>
      <c r="T1107" s="2348"/>
      <c r="U1107" s="2348"/>
      <c r="V1107" s="2348"/>
      <c r="W1107" s="2347"/>
      <c r="X1107" s="2347"/>
      <c r="Y1107" s="2105"/>
      <c r="Z1107" s="2105"/>
      <c r="AA1107" s="2105"/>
      <c r="AB1107" s="2105"/>
      <c r="AC1107" s="2105"/>
    </row>
    <row r="1108" spans="1:29">
      <c r="A1108" s="2105"/>
      <c r="B1108" s="2105"/>
      <c r="C1108" s="2105"/>
      <c r="D1108" s="2105"/>
      <c r="E1108" s="2345"/>
      <c r="F1108" s="2105"/>
      <c r="G1108" s="2346"/>
      <c r="H1108" s="2105"/>
      <c r="I1108" s="2105"/>
      <c r="J1108" s="2105"/>
      <c r="K1108" s="2347"/>
      <c r="L1108" s="2105"/>
      <c r="M1108" s="2105"/>
      <c r="N1108" s="2105"/>
      <c r="O1108" s="2105"/>
      <c r="P1108" s="2346"/>
      <c r="Q1108" s="2105"/>
      <c r="R1108" s="2347"/>
      <c r="S1108" s="2347"/>
      <c r="T1108" s="2348"/>
      <c r="U1108" s="2348"/>
      <c r="V1108" s="2348"/>
      <c r="W1108" s="2347"/>
      <c r="X1108" s="2347"/>
      <c r="Y1108" s="2105"/>
      <c r="Z1108" s="2105"/>
      <c r="AA1108" s="2105"/>
      <c r="AB1108" s="2105"/>
      <c r="AC1108" s="2105"/>
    </row>
    <row r="1109" spans="1:29">
      <c r="A1109" s="2105"/>
      <c r="B1109" s="2105"/>
      <c r="C1109" s="2105"/>
      <c r="D1109" s="2105"/>
      <c r="E1109" s="2345"/>
      <c r="F1109" s="2105"/>
      <c r="G1109" s="2346"/>
      <c r="H1109" s="2105"/>
      <c r="I1109" s="2105"/>
      <c r="J1109" s="2105"/>
      <c r="K1109" s="2347"/>
      <c r="L1109" s="2105"/>
      <c r="M1109" s="2105"/>
      <c r="N1109" s="2105"/>
      <c r="O1109" s="2105"/>
      <c r="P1109" s="2346"/>
      <c r="Q1109" s="2105"/>
      <c r="R1109" s="2347"/>
      <c r="S1109" s="2347"/>
      <c r="T1109" s="2348"/>
      <c r="U1109" s="2348"/>
      <c r="V1109" s="2348"/>
      <c r="W1109" s="2347"/>
      <c r="X1109" s="2347"/>
      <c r="Y1109" s="2105"/>
      <c r="Z1109" s="2105"/>
      <c r="AA1109" s="2105"/>
      <c r="AB1109" s="2105"/>
      <c r="AC1109" s="2105"/>
    </row>
    <row r="1110" spans="1:29">
      <c r="A1110" s="2105"/>
      <c r="B1110" s="2105"/>
      <c r="C1110" s="2105"/>
      <c r="D1110" s="2105"/>
      <c r="E1110" s="2345"/>
      <c r="F1110" s="2105"/>
      <c r="G1110" s="2346"/>
      <c r="H1110" s="2105"/>
      <c r="I1110" s="2105"/>
      <c r="J1110" s="2105"/>
      <c r="K1110" s="2347"/>
      <c r="L1110" s="2105"/>
      <c r="M1110" s="2105"/>
      <c r="N1110" s="2105"/>
      <c r="O1110" s="2105"/>
      <c r="P1110" s="2346"/>
      <c r="Q1110" s="2105"/>
      <c r="R1110" s="2347"/>
      <c r="S1110" s="2347"/>
      <c r="T1110" s="2348"/>
      <c r="U1110" s="2348"/>
      <c r="V1110" s="2348"/>
      <c r="W1110" s="2347"/>
      <c r="X1110" s="2347"/>
      <c r="Y1110" s="2105"/>
      <c r="Z1110" s="2105"/>
      <c r="AA1110" s="2105"/>
      <c r="AB1110" s="2105"/>
      <c r="AC1110" s="2105"/>
    </row>
    <row r="1111" spans="1:29">
      <c r="A1111" s="2105"/>
      <c r="B1111" s="2105"/>
      <c r="C1111" s="2105"/>
      <c r="D1111" s="2105"/>
      <c r="E1111" s="2345"/>
      <c r="F1111" s="2105"/>
      <c r="G1111" s="2346"/>
      <c r="H1111" s="2105"/>
      <c r="I1111" s="2105"/>
      <c r="J1111" s="2105"/>
      <c r="K1111" s="2347"/>
      <c r="L1111" s="2105"/>
      <c r="M1111" s="2105"/>
      <c r="N1111" s="2105"/>
      <c r="O1111" s="2105"/>
      <c r="P1111" s="2346"/>
      <c r="Q1111" s="2105"/>
      <c r="R1111" s="2347"/>
      <c r="S1111" s="2347"/>
      <c r="T1111" s="2348"/>
      <c r="U1111" s="2348"/>
      <c r="V1111" s="2348"/>
      <c r="W1111" s="2347"/>
      <c r="X1111" s="2347"/>
      <c r="Y1111" s="2105"/>
      <c r="Z1111" s="2105"/>
      <c r="AA1111" s="2105"/>
      <c r="AB1111" s="2105"/>
      <c r="AC1111" s="2105"/>
    </row>
    <row r="1112" spans="1:29">
      <c r="A1112" s="2105"/>
      <c r="B1112" s="2105"/>
      <c r="C1112" s="2105"/>
      <c r="D1112" s="2105"/>
      <c r="E1112" s="2345"/>
      <c r="F1112" s="2105"/>
      <c r="G1112" s="2346"/>
      <c r="H1112" s="2105"/>
      <c r="I1112" s="2105"/>
      <c r="J1112" s="2105"/>
      <c r="K1112" s="2347"/>
      <c r="L1112" s="2105"/>
      <c r="M1112" s="2105"/>
      <c r="N1112" s="2105"/>
      <c r="O1112" s="2105"/>
      <c r="P1112" s="2346"/>
      <c r="Q1112" s="2105"/>
      <c r="R1112" s="2347"/>
      <c r="S1112" s="2347"/>
      <c r="T1112" s="2348"/>
      <c r="U1112" s="2348"/>
      <c r="V1112" s="2348"/>
      <c r="W1112" s="2347"/>
      <c r="X1112" s="2347"/>
      <c r="Y1112" s="2105"/>
      <c r="Z1112" s="2105"/>
      <c r="AA1112" s="2105"/>
      <c r="AB1112" s="2105"/>
      <c r="AC1112" s="2105"/>
    </row>
    <row r="1113" spans="1:29">
      <c r="A1113" s="2105"/>
      <c r="B1113" s="2105"/>
      <c r="C1113" s="2105"/>
      <c r="D1113" s="2105"/>
      <c r="E1113" s="2345"/>
      <c r="F1113" s="2105"/>
      <c r="G1113" s="2346"/>
      <c r="H1113" s="2105"/>
      <c r="I1113" s="2105"/>
      <c r="J1113" s="2105"/>
      <c r="K1113" s="2347"/>
      <c r="L1113" s="2105"/>
      <c r="M1113" s="2105"/>
      <c r="N1113" s="2105"/>
      <c r="O1113" s="2105"/>
      <c r="P1113" s="2346"/>
      <c r="Q1113" s="2105"/>
      <c r="R1113" s="2347"/>
      <c r="S1113" s="2347"/>
      <c r="T1113" s="2348"/>
      <c r="U1113" s="2348"/>
      <c r="V1113" s="2348"/>
      <c r="W1113" s="2347"/>
      <c r="X1113" s="2347"/>
      <c r="Y1113" s="2105"/>
      <c r="Z1113" s="2105"/>
      <c r="AA1113" s="2105"/>
      <c r="AB1113" s="2105"/>
      <c r="AC1113" s="2105"/>
    </row>
    <row r="1114" spans="1:29">
      <c r="A1114" s="2105"/>
      <c r="B1114" s="2105"/>
      <c r="C1114" s="2105"/>
      <c r="D1114" s="2105"/>
      <c r="E1114" s="2345"/>
      <c r="F1114" s="2105"/>
      <c r="G1114" s="2346"/>
      <c r="H1114" s="2105"/>
      <c r="I1114" s="2105"/>
      <c r="J1114" s="2105"/>
      <c r="K1114" s="2347"/>
      <c r="L1114" s="2105"/>
      <c r="M1114" s="2105"/>
      <c r="N1114" s="2105"/>
      <c r="O1114" s="2105"/>
      <c r="P1114" s="2346"/>
      <c r="Q1114" s="2105"/>
      <c r="R1114" s="2347"/>
      <c r="S1114" s="2347"/>
      <c r="T1114" s="2348"/>
      <c r="U1114" s="2348"/>
      <c r="V1114" s="2348"/>
      <c r="W1114" s="2347"/>
      <c r="X1114" s="2347"/>
      <c r="Y1114" s="2105"/>
      <c r="Z1114" s="2105"/>
      <c r="AA1114" s="2105"/>
      <c r="AB1114" s="2105"/>
      <c r="AC1114" s="2105"/>
    </row>
    <row r="1115" spans="1:29">
      <c r="A1115" s="2105"/>
      <c r="B1115" s="2105"/>
      <c r="C1115" s="2105"/>
      <c r="D1115" s="2105"/>
      <c r="E1115" s="2345"/>
      <c r="F1115" s="2105"/>
      <c r="G1115" s="2346"/>
      <c r="H1115" s="2105"/>
      <c r="I1115" s="2105"/>
      <c r="J1115" s="2105"/>
      <c r="K1115" s="2347"/>
      <c r="L1115" s="2105"/>
      <c r="M1115" s="2105"/>
      <c r="N1115" s="2105"/>
      <c r="O1115" s="2105"/>
      <c r="P1115" s="2346"/>
      <c r="Q1115" s="2105"/>
      <c r="R1115" s="2347"/>
      <c r="S1115" s="2347"/>
      <c r="T1115" s="2348"/>
      <c r="U1115" s="2348"/>
      <c r="V1115" s="2348"/>
      <c r="W1115" s="2347"/>
      <c r="X1115" s="2347"/>
      <c r="Y1115" s="2105"/>
      <c r="Z1115" s="2105"/>
      <c r="AA1115" s="2105"/>
      <c r="AB1115" s="2105"/>
      <c r="AC1115" s="2105"/>
    </row>
    <row r="1116" spans="1:29">
      <c r="A1116" s="2105"/>
      <c r="B1116" s="2105"/>
      <c r="C1116" s="2105"/>
      <c r="D1116" s="2105"/>
      <c r="E1116" s="2345"/>
      <c r="F1116" s="2105"/>
      <c r="G1116" s="2346"/>
      <c r="H1116" s="2105"/>
      <c r="I1116" s="2105"/>
      <c r="J1116" s="2105"/>
      <c r="K1116" s="2347"/>
      <c r="L1116" s="2105"/>
      <c r="M1116" s="2105"/>
      <c r="N1116" s="2105"/>
      <c r="O1116" s="2105"/>
      <c r="P1116" s="2346"/>
      <c r="Q1116" s="2105"/>
      <c r="R1116" s="2347"/>
      <c r="S1116" s="2347"/>
      <c r="T1116" s="2348"/>
      <c r="U1116" s="2348"/>
      <c r="V1116" s="2348"/>
      <c r="W1116" s="2347"/>
      <c r="X1116" s="2347"/>
      <c r="Y1116" s="2105"/>
      <c r="Z1116" s="2105"/>
      <c r="AA1116" s="2105"/>
      <c r="AB1116" s="2105"/>
      <c r="AC1116" s="2105"/>
    </row>
    <row r="1117" spans="1:29">
      <c r="A1117" s="2105"/>
      <c r="B1117" s="2105"/>
      <c r="C1117" s="2105"/>
      <c r="D1117" s="2105"/>
      <c r="E1117" s="2345"/>
      <c r="F1117" s="2105"/>
      <c r="G1117" s="2346"/>
      <c r="H1117" s="2105"/>
      <c r="I1117" s="2105"/>
      <c r="J1117" s="2105"/>
      <c r="K1117" s="2347"/>
      <c r="L1117" s="2105"/>
      <c r="M1117" s="2105"/>
      <c r="N1117" s="2105"/>
      <c r="O1117" s="2105"/>
      <c r="P1117" s="2346"/>
      <c r="Q1117" s="2105"/>
      <c r="R1117" s="2347"/>
      <c r="S1117" s="2347"/>
      <c r="T1117" s="2348"/>
      <c r="U1117" s="2348"/>
      <c r="V1117" s="2348"/>
      <c r="W1117" s="2347"/>
      <c r="X1117" s="2347"/>
      <c r="Y1117" s="2105"/>
      <c r="Z1117" s="2105"/>
      <c r="AA1117" s="2105"/>
      <c r="AB1117" s="2105"/>
      <c r="AC1117" s="2105"/>
    </row>
    <row r="1118" spans="1:29">
      <c r="A1118" s="2105"/>
      <c r="B1118" s="2105"/>
      <c r="C1118" s="2105"/>
      <c r="D1118" s="2105"/>
      <c r="E1118" s="2345"/>
      <c r="F1118" s="2105"/>
      <c r="G1118" s="2346"/>
      <c r="H1118" s="2105"/>
      <c r="I1118" s="2105"/>
      <c r="J1118" s="2105"/>
      <c r="K1118" s="2347"/>
      <c r="L1118" s="2105"/>
      <c r="M1118" s="2105"/>
      <c r="N1118" s="2105"/>
      <c r="O1118" s="2105"/>
      <c r="P1118" s="2346"/>
      <c r="Q1118" s="2105"/>
      <c r="R1118" s="2347"/>
      <c r="S1118" s="2347"/>
      <c r="T1118" s="2348"/>
      <c r="U1118" s="2348"/>
      <c r="V1118" s="2348"/>
      <c r="W1118" s="2347"/>
      <c r="X1118" s="2347"/>
      <c r="Y1118" s="2105"/>
      <c r="Z1118" s="2105"/>
      <c r="AA1118" s="2105"/>
      <c r="AB1118" s="2105"/>
      <c r="AC1118" s="2105"/>
    </row>
    <row r="1119" spans="1:29">
      <c r="A1119" s="2105"/>
      <c r="B1119" s="2105"/>
      <c r="C1119" s="2105"/>
      <c r="D1119" s="2105"/>
      <c r="E1119" s="2345"/>
      <c r="F1119" s="2105"/>
      <c r="G1119" s="2346"/>
      <c r="H1119" s="2105"/>
      <c r="I1119" s="2105"/>
      <c r="J1119" s="2105"/>
      <c r="K1119" s="2347"/>
      <c r="L1119" s="2105"/>
      <c r="M1119" s="2105"/>
      <c r="N1119" s="2105"/>
      <c r="O1119" s="2105"/>
      <c r="P1119" s="2346"/>
      <c r="Q1119" s="2105"/>
      <c r="R1119" s="2347"/>
      <c r="S1119" s="2347"/>
      <c r="T1119" s="2348"/>
      <c r="U1119" s="2348"/>
      <c r="V1119" s="2348"/>
      <c r="W1119" s="2347"/>
      <c r="X1119" s="2347"/>
      <c r="Y1119" s="2105"/>
      <c r="Z1119" s="2105"/>
      <c r="AA1119" s="2105"/>
      <c r="AB1119" s="2105"/>
      <c r="AC1119" s="2105"/>
    </row>
    <row r="1120" spans="1:29">
      <c r="A1120" s="2105"/>
      <c r="B1120" s="2105"/>
      <c r="C1120" s="2105"/>
      <c r="D1120" s="2105"/>
      <c r="E1120" s="2345"/>
      <c r="F1120" s="2105"/>
      <c r="G1120" s="2346"/>
      <c r="H1120" s="2105"/>
      <c r="I1120" s="2105"/>
      <c r="J1120" s="2105"/>
      <c r="K1120" s="2347"/>
      <c r="L1120" s="2105"/>
      <c r="M1120" s="2105"/>
      <c r="N1120" s="2105"/>
      <c r="O1120" s="2105"/>
      <c r="P1120" s="2346"/>
      <c r="Q1120" s="2105"/>
      <c r="R1120" s="2347"/>
      <c r="S1120" s="2347"/>
      <c r="T1120" s="2348"/>
      <c r="U1120" s="2348"/>
      <c r="V1120" s="2348"/>
      <c r="W1120" s="2347"/>
      <c r="X1120" s="2347"/>
      <c r="Y1120" s="2105"/>
      <c r="Z1120" s="2105"/>
      <c r="AA1120" s="2105"/>
      <c r="AB1120" s="2105"/>
      <c r="AC1120" s="2105"/>
    </row>
    <row r="1121" spans="1:29">
      <c r="A1121" s="2105"/>
      <c r="B1121" s="2105"/>
      <c r="C1121" s="2105"/>
      <c r="D1121" s="2105"/>
      <c r="E1121" s="2345"/>
      <c r="F1121" s="2105"/>
      <c r="G1121" s="2346"/>
      <c r="H1121" s="2105"/>
      <c r="I1121" s="2105"/>
      <c r="J1121" s="2105"/>
      <c r="K1121" s="2347"/>
      <c r="L1121" s="2105"/>
      <c r="M1121" s="2105"/>
      <c r="N1121" s="2105"/>
      <c r="O1121" s="2105"/>
      <c r="P1121" s="2346"/>
      <c r="Q1121" s="2105"/>
      <c r="R1121" s="2347"/>
      <c r="S1121" s="2347"/>
      <c r="T1121" s="2348"/>
      <c r="U1121" s="2348"/>
      <c r="V1121" s="2348"/>
      <c r="W1121" s="2347"/>
      <c r="X1121" s="2347"/>
      <c r="Y1121" s="2105"/>
      <c r="Z1121" s="2105"/>
      <c r="AA1121" s="2105"/>
      <c r="AB1121" s="2105"/>
      <c r="AC1121" s="2105"/>
    </row>
    <row r="1122" spans="1:29">
      <c r="A1122" s="2105"/>
      <c r="B1122" s="2105"/>
      <c r="C1122" s="2105"/>
      <c r="D1122" s="2105"/>
      <c r="E1122" s="2345"/>
      <c r="F1122" s="2105"/>
      <c r="G1122" s="2346"/>
      <c r="H1122" s="2105"/>
      <c r="I1122" s="2105"/>
      <c r="J1122" s="2105"/>
      <c r="K1122" s="2347"/>
      <c r="L1122" s="2105"/>
      <c r="M1122" s="2105"/>
      <c r="N1122" s="2105"/>
      <c r="O1122" s="2105"/>
      <c r="P1122" s="2346"/>
      <c r="Q1122" s="2105"/>
      <c r="R1122" s="2347"/>
      <c r="S1122" s="2347"/>
      <c r="T1122" s="2348"/>
      <c r="U1122" s="2348"/>
      <c r="V1122" s="2348"/>
      <c r="W1122" s="2347"/>
      <c r="X1122" s="2347"/>
      <c r="Y1122" s="2105"/>
      <c r="Z1122" s="2105"/>
      <c r="AA1122" s="2105"/>
      <c r="AB1122" s="2105"/>
      <c r="AC1122" s="2105"/>
    </row>
    <row r="1123" spans="1:29">
      <c r="A1123" s="2105"/>
      <c r="B1123" s="2105"/>
      <c r="C1123" s="2105"/>
      <c r="D1123" s="2105"/>
      <c r="E1123" s="2345"/>
      <c r="F1123" s="2105"/>
      <c r="G1123" s="2346"/>
      <c r="H1123" s="2105"/>
      <c r="I1123" s="2105"/>
      <c r="J1123" s="2105"/>
      <c r="K1123" s="2347"/>
      <c r="L1123" s="2105"/>
      <c r="M1123" s="2105"/>
      <c r="N1123" s="2105"/>
      <c r="O1123" s="2105"/>
      <c r="P1123" s="2346"/>
      <c r="Q1123" s="2105"/>
      <c r="R1123" s="2347"/>
      <c r="S1123" s="2347"/>
      <c r="T1123" s="2348"/>
      <c r="U1123" s="2348"/>
      <c r="V1123" s="2348"/>
      <c r="W1123" s="2347"/>
      <c r="X1123" s="2347"/>
      <c r="Y1123" s="2105"/>
      <c r="Z1123" s="2105"/>
      <c r="AA1123" s="2105"/>
      <c r="AB1123" s="2105"/>
      <c r="AC1123" s="2105"/>
    </row>
    <row r="1124" spans="1:29">
      <c r="A1124" s="2105"/>
      <c r="B1124" s="2105"/>
      <c r="C1124" s="2105"/>
      <c r="D1124" s="2105"/>
      <c r="E1124" s="2345"/>
      <c r="F1124" s="2105"/>
      <c r="G1124" s="2346"/>
      <c r="H1124" s="2105"/>
      <c r="I1124" s="2105"/>
      <c r="J1124" s="2105"/>
      <c r="K1124" s="2347"/>
      <c r="L1124" s="2105"/>
      <c r="M1124" s="2105"/>
      <c r="N1124" s="2105"/>
      <c r="O1124" s="2105"/>
      <c r="P1124" s="2346"/>
      <c r="Q1124" s="2105"/>
      <c r="R1124" s="2347"/>
      <c r="S1124" s="2347"/>
      <c r="T1124" s="2348"/>
      <c r="U1124" s="2348"/>
      <c r="V1124" s="2348"/>
      <c r="W1124" s="2347"/>
      <c r="X1124" s="2347"/>
      <c r="Y1124" s="2105"/>
      <c r="Z1124" s="2105"/>
      <c r="AA1124" s="2105"/>
      <c r="AB1124" s="2105"/>
      <c r="AC1124" s="2105"/>
    </row>
    <row r="1125" spans="1:29">
      <c r="A1125" s="2105"/>
      <c r="B1125" s="2105"/>
      <c r="C1125" s="2105"/>
      <c r="D1125" s="2105"/>
      <c r="E1125" s="2345"/>
      <c r="F1125" s="2105"/>
      <c r="G1125" s="2346"/>
      <c r="H1125" s="2105"/>
      <c r="I1125" s="2105"/>
      <c r="J1125" s="2105"/>
      <c r="K1125" s="2347"/>
      <c r="L1125" s="2105"/>
      <c r="M1125" s="2105"/>
      <c r="N1125" s="2105"/>
      <c r="O1125" s="2105"/>
      <c r="P1125" s="2346"/>
      <c r="Q1125" s="2105"/>
      <c r="R1125" s="2347"/>
      <c r="S1125" s="2347"/>
      <c r="T1125" s="2348"/>
      <c r="U1125" s="2348"/>
      <c r="V1125" s="2348"/>
      <c r="W1125" s="2347"/>
      <c r="X1125" s="2347"/>
      <c r="Y1125" s="2105"/>
      <c r="Z1125" s="2105"/>
      <c r="AA1125" s="2105"/>
      <c r="AB1125" s="2105"/>
      <c r="AC1125" s="2105"/>
    </row>
    <row r="1126" spans="1:29">
      <c r="A1126" s="2105"/>
      <c r="B1126" s="2105"/>
      <c r="C1126" s="2105"/>
      <c r="D1126" s="2105"/>
      <c r="E1126" s="2345"/>
      <c r="F1126" s="2105"/>
      <c r="G1126" s="2346"/>
      <c r="H1126" s="2105"/>
      <c r="I1126" s="2105"/>
      <c r="J1126" s="2105"/>
      <c r="K1126" s="2347"/>
      <c r="L1126" s="2105"/>
      <c r="M1126" s="2105"/>
      <c r="N1126" s="2105"/>
      <c r="O1126" s="2105"/>
      <c r="P1126" s="2346"/>
      <c r="Q1126" s="2105"/>
      <c r="R1126" s="2347"/>
      <c r="S1126" s="2347"/>
      <c r="T1126" s="2348"/>
      <c r="U1126" s="2348"/>
      <c r="V1126" s="2348"/>
      <c r="W1126" s="2347"/>
      <c r="X1126" s="2347"/>
      <c r="Y1126" s="2105"/>
      <c r="Z1126" s="2105"/>
      <c r="AA1126" s="2105"/>
      <c r="AB1126" s="2105"/>
      <c r="AC1126" s="2105"/>
    </row>
    <row r="1127" spans="1:29">
      <c r="A1127" s="2105"/>
      <c r="B1127" s="2105"/>
      <c r="C1127" s="2105"/>
      <c r="D1127" s="2105"/>
      <c r="E1127" s="2345"/>
      <c r="F1127" s="2105"/>
      <c r="G1127" s="2346"/>
      <c r="H1127" s="2105"/>
      <c r="I1127" s="2105"/>
      <c r="J1127" s="2105"/>
      <c r="K1127" s="2347"/>
      <c r="L1127" s="2105"/>
      <c r="M1127" s="2105"/>
      <c r="N1127" s="2105"/>
      <c r="O1127" s="2105"/>
      <c r="P1127" s="2346"/>
      <c r="Q1127" s="2105"/>
      <c r="R1127" s="2347"/>
      <c r="S1127" s="2347"/>
      <c r="T1127" s="2348"/>
      <c r="U1127" s="2348"/>
      <c r="V1127" s="2348"/>
      <c r="W1127" s="2347"/>
      <c r="X1127" s="2347"/>
      <c r="Y1127" s="2105"/>
      <c r="Z1127" s="2105"/>
      <c r="AA1127" s="2105"/>
      <c r="AB1127" s="2105"/>
      <c r="AC1127" s="2105"/>
    </row>
    <row r="1128" spans="1:29">
      <c r="A1128" s="2105"/>
      <c r="B1128" s="2105"/>
      <c r="C1128" s="2105"/>
      <c r="D1128" s="2105"/>
      <c r="E1128" s="2345"/>
      <c r="F1128" s="2105"/>
      <c r="G1128" s="2346"/>
      <c r="H1128" s="2105"/>
      <c r="I1128" s="2105"/>
      <c r="J1128" s="2105"/>
      <c r="K1128" s="2347"/>
      <c r="L1128" s="2105"/>
      <c r="M1128" s="2105"/>
      <c r="N1128" s="2105"/>
      <c r="O1128" s="2105"/>
      <c r="P1128" s="2346"/>
      <c r="Q1128" s="2105"/>
      <c r="R1128" s="2347"/>
      <c r="S1128" s="2347"/>
      <c r="T1128" s="2348"/>
      <c r="U1128" s="2348"/>
      <c r="V1128" s="2348"/>
      <c r="W1128" s="2347"/>
      <c r="X1128" s="2347"/>
      <c r="Y1128" s="2105"/>
      <c r="Z1128" s="2105"/>
      <c r="AA1128" s="2105"/>
      <c r="AB1128" s="2105"/>
      <c r="AC1128" s="2105"/>
    </row>
    <row r="1129" spans="1:29">
      <c r="A1129" s="2105"/>
      <c r="B1129" s="2105"/>
      <c r="C1129" s="2105"/>
      <c r="D1129" s="2105"/>
      <c r="E1129" s="2345"/>
      <c r="F1129" s="2105"/>
      <c r="G1129" s="2346"/>
      <c r="H1129" s="2105"/>
      <c r="I1129" s="2105"/>
      <c r="J1129" s="2105"/>
      <c r="K1129" s="2347"/>
      <c r="L1129" s="2105"/>
      <c r="M1129" s="2105"/>
      <c r="N1129" s="2105"/>
      <c r="O1129" s="2105"/>
      <c r="P1129" s="2346"/>
      <c r="Q1129" s="2105"/>
      <c r="R1129" s="2347"/>
      <c r="S1129" s="2347"/>
      <c r="T1129" s="2348"/>
      <c r="U1129" s="2348"/>
      <c r="V1129" s="2348"/>
      <c r="W1129" s="2347"/>
      <c r="X1129" s="2347"/>
      <c r="Y1129" s="2105"/>
      <c r="Z1129" s="2105"/>
      <c r="AA1129" s="2105"/>
      <c r="AB1129" s="2105"/>
      <c r="AC1129" s="2105"/>
    </row>
    <row r="1130" spans="1:29">
      <c r="A1130" s="2105"/>
      <c r="B1130" s="2105"/>
      <c r="C1130" s="2105"/>
      <c r="D1130" s="2105"/>
      <c r="E1130" s="2345"/>
      <c r="F1130" s="2105"/>
      <c r="G1130" s="2346"/>
      <c r="H1130" s="2105"/>
      <c r="I1130" s="2105"/>
      <c r="J1130" s="2105"/>
      <c r="K1130" s="2347"/>
      <c r="L1130" s="2105"/>
      <c r="M1130" s="2105"/>
      <c r="N1130" s="2105"/>
      <c r="O1130" s="2105"/>
      <c r="P1130" s="2346"/>
      <c r="Q1130" s="2105"/>
      <c r="R1130" s="2347"/>
      <c r="S1130" s="2347"/>
      <c r="T1130" s="2348"/>
      <c r="U1130" s="2348"/>
      <c r="V1130" s="2348"/>
      <c r="W1130" s="2347"/>
      <c r="X1130" s="2347"/>
      <c r="Y1130" s="2105"/>
      <c r="Z1130" s="2105"/>
      <c r="AA1130" s="2105"/>
      <c r="AB1130" s="2105"/>
      <c r="AC1130" s="2105"/>
    </row>
    <row r="1131" spans="1:29">
      <c r="A1131" s="2105"/>
      <c r="B1131" s="2105"/>
      <c r="C1131" s="2105"/>
      <c r="D1131" s="2105"/>
      <c r="E1131" s="2345"/>
      <c r="F1131" s="2105"/>
      <c r="G1131" s="2346"/>
      <c r="H1131" s="2105"/>
      <c r="I1131" s="2105"/>
      <c r="J1131" s="2105"/>
      <c r="K1131" s="2347"/>
      <c r="L1131" s="2105"/>
      <c r="M1131" s="2105"/>
      <c r="N1131" s="2105"/>
      <c r="O1131" s="2105"/>
      <c r="P1131" s="2346"/>
      <c r="Q1131" s="2105"/>
      <c r="R1131" s="2347"/>
      <c r="S1131" s="2347"/>
      <c r="T1131" s="2348"/>
      <c r="U1131" s="2348"/>
      <c r="V1131" s="2348"/>
      <c r="W1131" s="2347"/>
      <c r="X1131" s="2347"/>
      <c r="Y1131" s="2105"/>
      <c r="Z1131" s="2105"/>
      <c r="AA1131" s="2105"/>
      <c r="AB1131" s="2105"/>
      <c r="AC1131" s="2105"/>
    </row>
    <row r="1132" spans="1:29">
      <c r="A1132" s="2105"/>
      <c r="B1132" s="2105"/>
      <c r="C1132" s="2105"/>
      <c r="D1132" s="2105"/>
      <c r="E1132" s="2345"/>
      <c r="F1132" s="2105"/>
      <c r="G1132" s="2346"/>
      <c r="H1132" s="2105"/>
      <c r="I1132" s="2105"/>
      <c r="J1132" s="2105"/>
      <c r="K1132" s="2347"/>
      <c r="L1132" s="2105"/>
      <c r="M1132" s="2105"/>
      <c r="N1132" s="2105"/>
      <c r="O1132" s="2105"/>
      <c r="P1132" s="2346"/>
      <c r="Q1132" s="2105"/>
      <c r="R1132" s="2347"/>
      <c r="S1132" s="2347"/>
      <c r="T1132" s="2348"/>
      <c r="U1132" s="2348"/>
      <c r="V1132" s="2348"/>
      <c r="W1132" s="2347"/>
      <c r="X1132" s="2347"/>
      <c r="Y1132" s="2105"/>
      <c r="Z1132" s="2105"/>
      <c r="AA1132" s="2105"/>
      <c r="AB1132" s="2105"/>
      <c r="AC1132" s="2105"/>
    </row>
    <row r="1133" spans="1:29">
      <c r="A1133" s="2105"/>
      <c r="B1133" s="2105"/>
      <c r="C1133" s="2105"/>
      <c r="D1133" s="2105"/>
      <c r="E1133" s="2345"/>
      <c r="F1133" s="2105"/>
      <c r="G1133" s="2346"/>
      <c r="H1133" s="2105"/>
      <c r="I1133" s="2105"/>
      <c r="J1133" s="2105"/>
      <c r="K1133" s="2347"/>
      <c r="L1133" s="2105"/>
      <c r="M1133" s="2105"/>
      <c r="N1133" s="2105"/>
      <c r="O1133" s="2105"/>
      <c r="P1133" s="2346"/>
      <c r="Q1133" s="2105"/>
      <c r="R1133" s="2347"/>
      <c r="S1133" s="2347"/>
      <c r="T1133" s="2348"/>
      <c r="U1133" s="2348"/>
      <c r="V1133" s="2348"/>
      <c r="W1133" s="2347"/>
      <c r="X1133" s="2347"/>
      <c r="Y1133" s="2105"/>
      <c r="Z1133" s="2105"/>
      <c r="AA1133" s="2105"/>
      <c r="AB1133" s="2105"/>
      <c r="AC1133" s="2105"/>
    </row>
    <row r="1134" spans="1:29">
      <c r="A1134" s="2105"/>
      <c r="B1134" s="2105"/>
      <c r="C1134" s="2105"/>
      <c r="D1134" s="2105"/>
      <c r="E1134" s="2345"/>
      <c r="F1134" s="2105"/>
      <c r="G1134" s="2346"/>
      <c r="H1134" s="2105"/>
      <c r="I1134" s="2105"/>
      <c r="J1134" s="2105"/>
      <c r="K1134" s="2347"/>
      <c r="L1134" s="2105"/>
      <c r="M1134" s="2105"/>
      <c r="N1134" s="2105"/>
      <c r="O1134" s="2105"/>
      <c r="P1134" s="2346"/>
      <c r="Q1134" s="2105"/>
      <c r="R1134" s="2347"/>
      <c r="S1134" s="2347"/>
      <c r="T1134" s="2348"/>
      <c r="U1134" s="2348"/>
      <c r="V1134" s="2348"/>
      <c r="W1134" s="2347"/>
      <c r="X1134" s="2347"/>
      <c r="Y1134" s="2105"/>
      <c r="Z1134" s="2105"/>
      <c r="AA1134" s="2105"/>
      <c r="AB1134" s="2105"/>
      <c r="AC1134" s="2105"/>
    </row>
    <row r="1135" spans="1:29">
      <c r="A1135" s="2105"/>
      <c r="B1135" s="2105"/>
      <c r="C1135" s="2105"/>
      <c r="D1135" s="2105"/>
      <c r="E1135" s="2345"/>
      <c r="F1135" s="2105"/>
      <c r="G1135" s="2346"/>
      <c r="H1135" s="2105"/>
      <c r="I1135" s="2105"/>
      <c r="J1135" s="2105"/>
      <c r="K1135" s="2347"/>
      <c r="L1135" s="2105"/>
      <c r="M1135" s="2105"/>
      <c r="N1135" s="2105"/>
      <c r="O1135" s="2105"/>
      <c r="P1135" s="2346"/>
      <c r="Q1135" s="2105"/>
      <c r="R1135" s="2347"/>
      <c r="S1135" s="2347"/>
      <c r="T1135" s="2348"/>
      <c r="U1135" s="2348"/>
      <c r="V1135" s="2348"/>
      <c r="W1135" s="2347"/>
      <c r="X1135" s="2347"/>
      <c r="Y1135" s="2105"/>
      <c r="Z1135" s="2105"/>
      <c r="AA1135" s="2105"/>
      <c r="AB1135" s="2105"/>
      <c r="AC1135" s="2105"/>
    </row>
    <row r="1136" spans="1:29">
      <c r="A1136" s="2105"/>
      <c r="B1136" s="2105"/>
      <c r="C1136" s="2105"/>
      <c r="D1136" s="2105"/>
      <c r="E1136" s="2345"/>
      <c r="F1136" s="2105"/>
      <c r="G1136" s="2346"/>
      <c r="H1136" s="2105"/>
      <c r="I1136" s="2105"/>
      <c r="J1136" s="2105"/>
      <c r="K1136" s="2347"/>
      <c r="L1136" s="2105"/>
      <c r="M1136" s="2105"/>
      <c r="N1136" s="2105"/>
      <c r="O1136" s="2105"/>
      <c r="P1136" s="2346"/>
      <c r="Q1136" s="2105"/>
      <c r="R1136" s="2347"/>
      <c r="S1136" s="2347"/>
      <c r="T1136" s="2348"/>
      <c r="U1136" s="2348"/>
      <c r="V1136" s="2348"/>
      <c r="W1136" s="2347"/>
      <c r="X1136" s="2347"/>
      <c r="Y1136" s="2105"/>
      <c r="Z1136" s="2105"/>
      <c r="AA1136" s="2105"/>
      <c r="AB1136" s="2105"/>
      <c r="AC1136" s="2105"/>
    </row>
    <row r="1137" spans="1:29">
      <c r="A1137" s="2105"/>
      <c r="B1137" s="2105"/>
      <c r="C1137" s="2105"/>
      <c r="D1137" s="2105"/>
      <c r="E1137" s="2345"/>
      <c r="F1137" s="2105"/>
      <c r="G1137" s="2346"/>
      <c r="H1137" s="2105"/>
      <c r="I1137" s="2105"/>
      <c r="J1137" s="2105"/>
      <c r="K1137" s="2347"/>
      <c r="L1137" s="2105"/>
      <c r="M1137" s="2105"/>
      <c r="N1137" s="2105"/>
      <c r="O1137" s="2105"/>
      <c r="P1137" s="2346"/>
      <c r="Q1137" s="2105"/>
      <c r="R1137" s="2347"/>
      <c r="S1137" s="2347"/>
      <c r="T1137" s="2348"/>
      <c r="U1137" s="2348"/>
      <c r="V1137" s="2348"/>
      <c r="W1137" s="2347"/>
      <c r="X1137" s="2347"/>
      <c r="Y1137" s="2105"/>
      <c r="Z1137" s="2105"/>
      <c r="AA1137" s="2105"/>
      <c r="AB1137" s="2105"/>
      <c r="AC1137" s="2105"/>
    </row>
    <row r="1138" spans="1:29">
      <c r="A1138" s="2105"/>
      <c r="B1138" s="2105"/>
      <c r="C1138" s="2105"/>
      <c r="D1138" s="2105"/>
      <c r="E1138" s="2345"/>
      <c r="F1138" s="2105"/>
      <c r="G1138" s="2346"/>
      <c r="H1138" s="2105"/>
      <c r="I1138" s="2105"/>
      <c r="J1138" s="2105"/>
      <c r="K1138" s="2347"/>
      <c r="L1138" s="2105"/>
      <c r="M1138" s="2105"/>
      <c r="N1138" s="2105"/>
      <c r="O1138" s="2105"/>
      <c r="P1138" s="2346"/>
      <c r="Q1138" s="2105"/>
      <c r="R1138" s="2347"/>
      <c r="S1138" s="2347"/>
      <c r="T1138" s="2348"/>
      <c r="U1138" s="2348"/>
      <c r="V1138" s="2348"/>
      <c r="W1138" s="2347"/>
      <c r="X1138" s="2347"/>
      <c r="Y1138" s="2105"/>
      <c r="Z1138" s="2105"/>
      <c r="AA1138" s="2105"/>
      <c r="AB1138" s="2105"/>
      <c r="AC1138" s="2105"/>
    </row>
    <row r="1139" spans="1:29">
      <c r="A1139" s="2105"/>
      <c r="B1139" s="2105"/>
      <c r="C1139" s="2105"/>
      <c r="D1139" s="2105"/>
      <c r="E1139" s="2345"/>
      <c r="F1139" s="2105"/>
      <c r="G1139" s="2346"/>
      <c r="H1139" s="2105"/>
      <c r="I1139" s="2105"/>
      <c r="J1139" s="2105"/>
      <c r="K1139" s="2347"/>
      <c r="L1139" s="2105"/>
      <c r="M1139" s="2105"/>
      <c r="N1139" s="2105"/>
      <c r="O1139" s="2105"/>
      <c r="P1139" s="2346"/>
      <c r="Q1139" s="2105"/>
      <c r="R1139" s="2347"/>
      <c r="S1139" s="2347"/>
      <c r="T1139" s="2348"/>
      <c r="U1139" s="2348"/>
      <c r="V1139" s="2348"/>
      <c r="W1139" s="2347"/>
      <c r="X1139" s="2347"/>
      <c r="Y1139" s="2105"/>
      <c r="Z1139" s="2105"/>
      <c r="AA1139" s="2105"/>
      <c r="AB1139" s="2105"/>
      <c r="AC1139" s="2105"/>
    </row>
    <row r="1140" spans="1:29">
      <c r="A1140" s="2105"/>
      <c r="B1140" s="2105"/>
      <c r="C1140" s="2105"/>
      <c r="D1140" s="2105"/>
      <c r="E1140" s="2345"/>
      <c r="F1140" s="2105"/>
      <c r="G1140" s="2346"/>
      <c r="H1140" s="2105"/>
      <c r="I1140" s="2105"/>
      <c r="J1140" s="2105"/>
      <c r="K1140" s="2347"/>
      <c r="L1140" s="2105"/>
      <c r="M1140" s="2105"/>
      <c r="N1140" s="2105"/>
      <c r="O1140" s="2105"/>
      <c r="P1140" s="2346"/>
      <c r="Q1140" s="2105"/>
      <c r="R1140" s="2347"/>
      <c r="S1140" s="2347"/>
      <c r="T1140" s="2348"/>
      <c r="U1140" s="2348"/>
      <c r="V1140" s="2348"/>
      <c r="W1140" s="2347"/>
      <c r="X1140" s="2347"/>
      <c r="Y1140" s="2105"/>
      <c r="Z1140" s="2105"/>
      <c r="AA1140" s="2105"/>
      <c r="AB1140" s="2105"/>
      <c r="AC1140" s="2105"/>
    </row>
    <row r="1141" spans="1:29">
      <c r="A1141" s="2105"/>
      <c r="B1141" s="2105"/>
      <c r="C1141" s="2105"/>
      <c r="D1141" s="2105"/>
      <c r="E1141" s="2345"/>
      <c r="F1141" s="2105"/>
      <c r="G1141" s="2346"/>
      <c r="H1141" s="2105"/>
      <c r="I1141" s="2105"/>
      <c r="J1141" s="2105"/>
      <c r="K1141" s="2347"/>
      <c r="L1141" s="2105"/>
      <c r="M1141" s="2105"/>
      <c r="N1141" s="2105"/>
      <c r="O1141" s="2105"/>
      <c r="P1141" s="2346"/>
      <c r="Q1141" s="2105"/>
      <c r="R1141" s="2347"/>
      <c r="S1141" s="2347"/>
      <c r="T1141" s="2348"/>
      <c r="U1141" s="2348"/>
      <c r="V1141" s="2348"/>
      <c r="W1141" s="2347"/>
      <c r="X1141" s="2347"/>
      <c r="Y1141" s="2105"/>
      <c r="Z1141" s="2105"/>
      <c r="AA1141" s="2105"/>
      <c r="AB1141" s="2105"/>
      <c r="AC1141" s="2105"/>
    </row>
    <row r="1142" spans="1:29">
      <c r="A1142" s="2105"/>
      <c r="B1142" s="2105"/>
      <c r="C1142" s="2105"/>
      <c r="D1142" s="2105"/>
      <c r="E1142" s="2345"/>
      <c r="F1142" s="2105"/>
      <c r="G1142" s="2346"/>
      <c r="H1142" s="2105"/>
      <c r="I1142" s="2105"/>
      <c r="J1142" s="2105"/>
      <c r="K1142" s="2347"/>
      <c r="L1142" s="2105"/>
      <c r="M1142" s="2105"/>
      <c r="N1142" s="2105"/>
      <c r="O1142" s="2105"/>
      <c r="P1142" s="2346"/>
      <c r="Q1142" s="2105"/>
      <c r="R1142" s="2347"/>
      <c r="S1142" s="2347"/>
      <c r="T1142" s="2348"/>
      <c r="U1142" s="2348"/>
      <c r="V1142" s="2348"/>
      <c r="W1142" s="2347"/>
      <c r="X1142" s="2347"/>
      <c r="Y1142" s="2105"/>
      <c r="Z1142" s="2105"/>
      <c r="AA1142" s="2105"/>
      <c r="AB1142" s="2105"/>
      <c r="AC1142" s="2105"/>
    </row>
    <row r="1143" spans="1:29">
      <c r="A1143" s="2105"/>
      <c r="B1143" s="2105"/>
      <c r="C1143" s="2105"/>
      <c r="D1143" s="2105"/>
      <c r="E1143" s="2345"/>
      <c r="F1143" s="2105"/>
      <c r="G1143" s="2346"/>
      <c r="H1143" s="2105"/>
      <c r="I1143" s="2105"/>
      <c r="J1143" s="2105"/>
      <c r="K1143" s="2347"/>
      <c r="L1143" s="2105"/>
      <c r="M1143" s="2105"/>
      <c r="N1143" s="2105"/>
      <c r="O1143" s="2105"/>
      <c r="P1143" s="2346"/>
      <c r="Q1143" s="2105"/>
      <c r="R1143" s="2347"/>
      <c r="S1143" s="2347"/>
      <c r="T1143" s="2348"/>
      <c r="U1143" s="2348"/>
      <c r="V1143" s="2348"/>
      <c r="W1143" s="2347"/>
      <c r="X1143" s="2347"/>
      <c r="Y1143" s="2105"/>
      <c r="Z1143" s="2105"/>
      <c r="AA1143" s="2105"/>
      <c r="AB1143" s="2105"/>
      <c r="AC1143" s="2105"/>
    </row>
    <row r="1144" spans="1:29">
      <c r="A1144" s="2105"/>
      <c r="B1144" s="2105"/>
      <c r="C1144" s="2105"/>
      <c r="D1144" s="2105"/>
      <c r="E1144" s="2345"/>
      <c r="F1144" s="2105"/>
      <c r="G1144" s="2346"/>
      <c r="H1144" s="2105"/>
      <c r="I1144" s="2105"/>
      <c r="J1144" s="2105"/>
      <c r="K1144" s="2347"/>
      <c r="L1144" s="2105"/>
      <c r="M1144" s="2105"/>
      <c r="N1144" s="2105"/>
      <c r="O1144" s="2105"/>
      <c r="P1144" s="2346"/>
      <c r="Q1144" s="2105"/>
      <c r="R1144" s="2347"/>
      <c r="S1144" s="2347"/>
      <c r="T1144" s="2348"/>
      <c r="U1144" s="2348"/>
      <c r="V1144" s="2348"/>
      <c r="W1144" s="2347"/>
      <c r="X1144" s="2347"/>
      <c r="Y1144" s="2105"/>
      <c r="Z1144" s="2105"/>
      <c r="AA1144" s="2105"/>
      <c r="AB1144" s="2105"/>
      <c r="AC1144" s="2105"/>
    </row>
    <row r="1145" spans="1:29">
      <c r="A1145" s="2105"/>
      <c r="B1145" s="2105"/>
      <c r="C1145" s="2105"/>
      <c r="D1145" s="2105"/>
      <c r="E1145" s="2345"/>
      <c r="F1145" s="2105"/>
      <c r="G1145" s="2346"/>
      <c r="H1145" s="2105"/>
      <c r="I1145" s="2105"/>
      <c r="J1145" s="2105"/>
      <c r="K1145" s="2347"/>
      <c r="L1145" s="2105"/>
      <c r="M1145" s="2105"/>
      <c r="N1145" s="2105"/>
      <c r="O1145" s="2105"/>
      <c r="P1145" s="2346"/>
      <c r="Q1145" s="2105"/>
      <c r="R1145" s="2347"/>
      <c r="S1145" s="2347"/>
      <c r="T1145" s="2348"/>
      <c r="U1145" s="2348"/>
      <c r="V1145" s="2348"/>
      <c r="W1145" s="2347"/>
      <c r="X1145" s="2347"/>
      <c r="Y1145" s="2105"/>
      <c r="Z1145" s="2105"/>
      <c r="AA1145" s="2105"/>
      <c r="AB1145" s="2105"/>
      <c r="AC1145" s="2105"/>
    </row>
    <row r="1146" spans="1:29">
      <c r="A1146" s="2105"/>
      <c r="B1146" s="2105"/>
      <c r="C1146" s="2105"/>
      <c r="D1146" s="2105"/>
      <c r="E1146" s="2345"/>
      <c r="F1146" s="2105"/>
      <c r="G1146" s="2346"/>
      <c r="H1146" s="2105"/>
      <c r="I1146" s="2105"/>
      <c r="J1146" s="2105"/>
      <c r="K1146" s="2347"/>
      <c r="L1146" s="2105"/>
      <c r="M1146" s="2105"/>
      <c r="N1146" s="2105"/>
      <c r="O1146" s="2105"/>
      <c r="P1146" s="2346"/>
      <c r="Q1146" s="2105"/>
      <c r="R1146" s="2347"/>
      <c r="S1146" s="2347"/>
      <c r="T1146" s="2348"/>
      <c r="U1146" s="2348"/>
      <c r="V1146" s="2348"/>
      <c r="W1146" s="2347"/>
      <c r="X1146" s="2347"/>
      <c r="Y1146" s="2105"/>
      <c r="Z1146" s="2105"/>
      <c r="AA1146" s="2105"/>
      <c r="AB1146" s="2105"/>
      <c r="AC1146" s="2105"/>
    </row>
    <row r="1147" spans="1:29">
      <c r="A1147" s="2105"/>
      <c r="B1147" s="2105"/>
      <c r="C1147" s="2105"/>
      <c r="D1147" s="2105"/>
      <c r="E1147" s="2345"/>
      <c r="F1147" s="2105"/>
      <c r="G1147" s="2346"/>
      <c r="H1147" s="2105"/>
      <c r="I1147" s="2105"/>
      <c r="J1147" s="2105"/>
      <c r="K1147" s="2347"/>
      <c r="L1147" s="2105"/>
      <c r="M1147" s="2105"/>
      <c r="N1147" s="2105"/>
      <c r="O1147" s="2105"/>
      <c r="P1147" s="2346"/>
      <c r="Q1147" s="2105"/>
      <c r="R1147" s="2347"/>
      <c r="S1147" s="2347"/>
      <c r="T1147" s="2348"/>
      <c r="U1147" s="2348"/>
      <c r="V1147" s="2348"/>
      <c r="W1147" s="2347"/>
      <c r="X1147" s="2347"/>
      <c r="Y1147" s="2105"/>
      <c r="Z1147" s="2105"/>
      <c r="AA1147" s="2105"/>
      <c r="AB1147" s="2105"/>
      <c r="AC1147" s="2105"/>
    </row>
    <row r="1148" spans="1:29">
      <c r="A1148" s="2105"/>
      <c r="B1148" s="2105"/>
      <c r="C1148" s="2105"/>
      <c r="D1148" s="2105"/>
      <c r="E1148" s="2345"/>
      <c r="F1148" s="2105"/>
      <c r="G1148" s="2346"/>
      <c r="H1148" s="2105"/>
      <c r="I1148" s="2105"/>
      <c r="J1148" s="2105"/>
      <c r="K1148" s="2347"/>
      <c r="L1148" s="2105"/>
      <c r="M1148" s="2105"/>
      <c r="N1148" s="2105"/>
      <c r="O1148" s="2105"/>
      <c r="P1148" s="2346"/>
      <c r="Q1148" s="2105"/>
      <c r="R1148" s="2347"/>
      <c r="S1148" s="2347"/>
      <c r="T1148" s="2348"/>
      <c r="U1148" s="2348"/>
      <c r="V1148" s="2348"/>
      <c r="W1148" s="2347"/>
      <c r="X1148" s="2347"/>
      <c r="Y1148" s="2105"/>
      <c r="Z1148" s="2105"/>
      <c r="AA1148" s="2105"/>
      <c r="AB1148" s="2105"/>
      <c r="AC1148" s="2105"/>
    </row>
    <row r="1149" spans="1:29">
      <c r="A1149" s="2105"/>
      <c r="B1149" s="2105"/>
      <c r="C1149" s="2105"/>
      <c r="D1149" s="2105"/>
      <c r="E1149" s="2345"/>
      <c r="F1149" s="2105"/>
      <c r="G1149" s="2346"/>
      <c r="H1149" s="2105"/>
      <c r="I1149" s="2105"/>
      <c r="J1149" s="2105"/>
      <c r="K1149" s="2347"/>
      <c r="L1149" s="2105"/>
      <c r="M1149" s="2105"/>
      <c r="N1149" s="2105"/>
      <c r="O1149" s="2105"/>
      <c r="P1149" s="2346"/>
      <c r="Q1149" s="2105"/>
      <c r="R1149" s="2347"/>
      <c r="S1149" s="2347"/>
      <c r="T1149" s="2348"/>
      <c r="U1149" s="2348"/>
      <c r="V1149" s="2348"/>
      <c r="W1149" s="2347"/>
      <c r="X1149" s="2347"/>
      <c r="Y1149" s="2105"/>
      <c r="Z1149" s="2105"/>
      <c r="AA1149" s="2105"/>
      <c r="AB1149" s="2105"/>
      <c r="AC1149" s="2105"/>
    </row>
    <row r="1150" spans="1:29">
      <c r="A1150" s="2105"/>
      <c r="B1150" s="2105"/>
      <c r="C1150" s="2105"/>
      <c r="D1150" s="2105"/>
      <c r="E1150" s="2345"/>
      <c r="F1150" s="2105"/>
      <c r="G1150" s="2346"/>
      <c r="H1150" s="2105"/>
      <c r="I1150" s="2105"/>
      <c r="J1150" s="2105"/>
      <c r="K1150" s="2347"/>
      <c r="L1150" s="2105"/>
      <c r="M1150" s="2105"/>
      <c r="N1150" s="2105"/>
      <c r="O1150" s="2105"/>
      <c r="P1150" s="2346"/>
      <c r="Q1150" s="2105"/>
      <c r="R1150" s="2347"/>
      <c r="S1150" s="2347"/>
      <c r="T1150" s="2348"/>
      <c r="U1150" s="2348"/>
      <c r="V1150" s="2348"/>
      <c r="W1150" s="2347"/>
      <c r="X1150" s="2347"/>
      <c r="Y1150" s="2105"/>
      <c r="Z1150" s="2105"/>
      <c r="AA1150" s="2105"/>
      <c r="AB1150" s="2105"/>
      <c r="AC1150" s="2105"/>
    </row>
    <row r="1151" spans="1:29">
      <c r="A1151" s="2105"/>
      <c r="B1151" s="2105"/>
      <c r="C1151" s="2105"/>
      <c r="D1151" s="2105"/>
      <c r="E1151" s="2345"/>
      <c r="F1151" s="2105"/>
      <c r="G1151" s="2346"/>
      <c r="H1151" s="2105"/>
      <c r="I1151" s="2105"/>
      <c r="J1151" s="2105"/>
      <c r="K1151" s="2347"/>
      <c r="L1151" s="2105"/>
      <c r="M1151" s="2105"/>
      <c r="N1151" s="2105"/>
      <c r="O1151" s="2105"/>
      <c r="P1151" s="2346"/>
      <c r="Q1151" s="2105"/>
      <c r="R1151" s="2347"/>
      <c r="S1151" s="2347"/>
      <c r="T1151" s="2348"/>
      <c r="U1151" s="2348"/>
      <c r="V1151" s="2348"/>
      <c r="W1151" s="2347"/>
      <c r="X1151" s="2347"/>
      <c r="Y1151" s="2105"/>
      <c r="Z1151" s="2105"/>
      <c r="AA1151" s="2105"/>
      <c r="AB1151" s="2105"/>
      <c r="AC1151" s="2105"/>
    </row>
    <row r="1152" spans="1:29">
      <c r="A1152" s="2105"/>
      <c r="B1152" s="2105"/>
      <c r="C1152" s="2105"/>
      <c r="D1152" s="2105"/>
      <c r="E1152" s="2345"/>
      <c r="F1152" s="2105"/>
      <c r="G1152" s="2346"/>
      <c r="H1152" s="2105"/>
      <c r="I1152" s="2105"/>
      <c r="J1152" s="2105"/>
      <c r="K1152" s="2347"/>
      <c r="L1152" s="2105"/>
      <c r="M1152" s="2105"/>
      <c r="N1152" s="2105"/>
      <c r="O1152" s="2105"/>
      <c r="P1152" s="2346"/>
      <c r="Q1152" s="2105"/>
      <c r="R1152" s="2347"/>
      <c r="S1152" s="2347"/>
      <c r="T1152" s="2348"/>
      <c r="U1152" s="2348"/>
      <c r="V1152" s="2348"/>
      <c r="W1152" s="2347"/>
      <c r="X1152" s="2347"/>
      <c r="Y1152" s="2105"/>
      <c r="Z1152" s="2105"/>
      <c r="AA1152" s="2105"/>
      <c r="AB1152" s="2105"/>
      <c r="AC1152" s="2105"/>
    </row>
    <row r="1153" spans="1:29">
      <c r="A1153" s="2105"/>
      <c r="B1153" s="2105"/>
      <c r="C1153" s="2105"/>
      <c r="D1153" s="2105"/>
      <c r="E1153" s="2345"/>
      <c r="F1153" s="2105"/>
      <c r="G1153" s="2346"/>
      <c r="H1153" s="2105"/>
      <c r="I1153" s="2105"/>
      <c r="J1153" s="2105"/>
      <c r="K1153" s="2347"/>
      <c r="L1153" s="2105"/>
      <c r="M1153" s="2105"/>
      <c r="N1153" s="2105"/>
      <c r="O1153" s="2105"/>
      <c r="P1153" s="2346"/>
      <c r="Q1153" s="2105"/>
      <c r="R1153" s="2347"/>
      <c r="S1153" s="2347"/>
      <c r="T1153" s="2348"/>
      <c r="U1153" s="2348"/>
      <c r="V1153" s="2348"/>
      <c r="W1153" s="2347"/>
      <c r="X1153" s="2347"/>
      <c r="Y1153" s="2105"/>
      <c r="Z1153" s="2105"/>
      <c r="AA1153" s="2105"/>
      <c r="AB1153" s="2105"/>
      <c r="AC1153" s="2105"/>
    </row>
    <row r="1154" spans="1:29">
      <c r="A1154" s="2105"/>
      <c r="B1154" s="2105"/>
      <c r="C1154" s="2105"/>
      <c r="D1154" s="2105"/>
      <c r="E1154" s="2345"/>
      <c r="F1154" s="2105"/>
      <c r="G1154" s="2346"/>
      <c r="H1154" s="2105"/>
      <c r="I1154" s="2105"/>
      <c r="J1154" s="2105"/>
      <c r="K1154" s="2347"/>
      <c r="L1154" s="2105"/>
      <c r="M1154" s="2105"/>
      <c r="N1154" s="2105"/>
      <c r="O1154" s="2105"/>
      <c r="P1154" s="2346"/>
      <c r="Q1154" s="2105"/>
      <c r="R1154" s="2347"/>
      <c r="S1154" s="2347"/>
      <c r="T1154" s="2348"/>
      <c r="U1154" s="2348"/>
      <c r="V1154" s="2348"/>
      <c r="W1154" s="2347"/>
      <c r="X1154" s="2347"/>
      <c r="Y1154" s="2105"/>
      <c r="Z1154" s="2105"/>
      <c r="AA1154" s="2105"/>
      <c r="AB1154" s="2105"/>
      <c r="AC1154" s="2105"/>
    </row>
    <row r="1155" spans="1:29">
      <c r="A1155" s="2105"/>
      <c r="B1155" s="2105"/>
      <c r="C1155" s="2105"/>
      <c r="D1155" s="2105"/>
      <c r="E1155" s="2345"/>
      <c r="F1155" s="2105"/>
      <c r="G1155" s="2346"/>
      <c r="H1155" s="2105"/>
      <c r="I1155" s="2105"/>
      <c r="J1155" s="2105"/>
      <c r="K1155" s="2347"/>
      <c r="L1155" s="2105"/>
      <c r="M1155" s="2105"/>
      <c r="N1155" s="2105"/>
      <c r="O1155" s="2105"/>
      <c r="P1155" s="2346"/>
      <c r="Q1155" s="2105"/>
      <c r="R1155" s="2347"/>
      <c r="S1155" s="2347"/>
      <c r="T1155" s="2348"/>
      <c r="U1155" s="2348"/>
      <c r="V1155" s="2348"/>
      <c r="W1155" s="2347"/>
      <c r="X1155" s="2347"/>
      <c r="Y1155" s="2105"/>
      <c r="Z1155" s="2105"/>
      <c r="AA1155" s="2105"/>
      <c r="AB1155" s="2105"/>
      <c r="AC1155" s="2105"/>
    </row>
    <row r="1156" spans="1:29">
      <c r="A1156" s="2105"/>
      <c r="B1156" s="2105"/>
      <c r="C1156" s="2105"/>
      <c r="D1156" s="2105"/>
      <c r="E1156" s="2345"/>
      <c r="F1156" s="2105"/>
      <c r="G1156" s="2346"/>
      <c r="H1156" s="2105"/>
      <c r="I1156" s="2105"/>
      <c r="J1156" s="2105"/>
      <c r="K1156" s="2347"/>
      <c r="L1156" s="2105"/>
      <c r="M1156" s="2105"/>
      <c r="N1156" s="2105"/>
      <c r="O1156" s="2105"/>
      <c r="P1156" s="2346"/>
      <c r="Q1156" s="2105"/>
      <c r="R1156" s="2347"/>
      <c r="S1156" s="2347"/>
      <c r="T1156" s="2348"/>
      <c r="U1156" s="2348"/>
      <c r="V1156" s="2348"/>
      <c r="W1156" s="2347"/>
      <c r="X1156" s="2347"/>
      <c r="Y1156" s="2105"/>
      <c r="Z1156" s="2105"/>
      <c r="AA1156" s="2105"/>
      <c r="AB1156" s="2105"/>
      <c r="AC1156" s="2105"/>
    </row>
    <row r="1157" spans="1:29">
      <c r="A1157" s="2105"/>
      <c r="B1157" s="2105"/>
      <c r="C1157" s="2105"/>
      <c r="D1157" s="2105"/>
      <c r="E1157" s="2345"/>
      <c r="F1157" s="2105"/>
      <c r="G1157" s="2346"/>
      <c r="H1157" s="2105"/>
      <c r="I1157" s="2105"/>
      <c r="J1157" s="2105"/>
      <c r="K1157" s="2347"/>
      <c r="L1157" s="2105"/>
      <c r="M1157" s="2105"/>
      <c r="N1157" s="2105"/>
      <c r="O1157" s="2105"/>
      <c r="P1157" s="2346"/>
      <c r="Q1157" s="2105"/>
      <c r="R1157" s="2347"/>
      <c r="S1157" s="2347"/>
      <c r="T1157" s="2348"/>
      <c r="U1157" s="2348"/>
      <c r="V1157" s="2348"/>
      <c r="W1157" s="2347"/>
      <c r="X1157" s="2347"/>
      <c r="Y1157" s="2105"/>
      <c r="Z1157" s="2105"/>
      <c r="AA1157" s="2105"/>
      <c r="AB1157" s="2105"/>
      <c r="AC1157" s="2105"/>
    </row>
    <row r="1158" spans="1:29">
      <c r="A1158" s="2105"/>
      <c r="B1158" s="2105"/>
      <c r="C1158" s="2105"/>
      <c r="D1158" s="2105"/>
      <c r="E1158" s="2345"/>
      <c r="F1158" s="2105"/>
      <c r="G1158" s="2346"/>
      <c r="H1158" s="2105"/>
      <c r="I1158" s="2105"/>
      <c r="J1158" s="2105"/>
      <c r="K1158" s="2347"/>
      <c r="L1158" s="2105"/>
      <c r="M1158" s="2105"/>
      <c r="N1158" s="2105"/>
      <c r="O1158" s="2105"/>
      <c r="P1158" s="2346"/>
      <c r="Q1158" s="2105"/>
      <c r="R1158" s="2347"/>
      <c r="S1158" s="2347"/>
      <c r="T1158" s="2348"/>
      <c r="U1158" s="2348"/>
      <c r="V1158" s="2348"/>
      <c r="W1158" s="2347"/>
      <c r="X1158" s="2347"/>
      <c r="Y1158" s="2105"/>
      <c r="Z1158" s="2105"/>
      <c r="AA1158" s="2105"/>
      <c r="AB1158" s="2105"/>
      <c r="AC1158" s="2105"/>
    </row>
    <row r="1159" spans="1:29">
      <c r="A1159" s="2105"/>
      <c r="B1159" s="2105"/>
      <c r="C1159" s="2105"/>
      <c r="D1159" s="2105"/>
      <c r="E1159" s="2345"/>
      <c r="F1159" s="2105"/>
      <c r="G1159" s="2346"/>
      <c r="H1159" s="2105"/>
      <c r="I1159" s="2105"/>
      <c r="J1159" s="2105"/>
      <c r="K1159" s="2347"/>
      <c r="L1159" s="2105"/>
      <c r="M1159" s="2105"/>
      <c r="N1159" s="2105"/>
      <c r="O1159" s="2105"/>
      <c r="P1159" s="2346"/>
      <c r="Q1159" s="2105"/>
      <c r="R1159" s="2347"/>
      <c r="S1159" s="2347"/>
      <c r="T1159" s="2348"/>
      <c r="U1159" s="2348"/>
      <c r="V1159" s="2348"/>
      <c r="W1159" s="2347"/>
      <c r="X1159" s="2347"/>
      <c r="Y1159" s="2105"/>
      <c r="Z1159" s="2105"/>
      <c r="AA1159" s="2105"/>
      <c r="AB1159" s="2105"/>
      <c r="AC1159" s="2105"/>
    </row>
    <row r="1160" spans="1:29">
      <c r="A1160" s="2105"/>
      <c r="B1160" s="2105"/>
      <c r="C1160" s="2105"/>
      <c r="D1160" s="2105"/>
      <c r="E1160" s="2345"/>
      <c r="F1160" s="2105"/>
      <c r="G1160" s="2346"/>
      <c r="H1160" s="2105"/>
      <c r="I1160" s="2105"/>
      <c r="J1160" s="2105"/>
      <c r="K1160" s="2347"/>
      <c r="L1160" s="2105"/>
      <c r="M1160" s="2105"/>
      <c r="N1160" s="2105"/>
      <c r="O1160" s="2105"/>
      <c r="P1160" s="2346"/>
      <c r="Q1160" s="2105"/>
      <c r="R1160" s="2347"/>
      <c r="S1160" s="2347"/>
      <c r="T1160" s="2348"/>
      <c r="U1160" s="2348"/>
      <c r="V1160" s="2348"/>
      <c r="W1160" s="2347"/>
      <c r="X1160" s="2347"/>
      <c r="Y1160" s="2105"/>
      <c r="Z1160" s="2105"/>
      <c r="AA1160" s="2105"/>
      <c r="AB1160" s="2105"/>
      <c r="AC1160" s="2105"/>
    </row>
    <row r="1161" spans="1:29">
      <c r="A1161" s="2105"/>
      <c r="B1161" s="2105"/>
      <c r="C1161" s="2105"/>
      <c r="D1161" s="2105"/>
      <c r="E1161" s="2345"/>
      <c r="F1161" s="2105"/>
      <c r="G1161" s="2346"/>
      <c r="H1161" s="2105"/>
      <c r="I1161" s="2105"/>
      <c r="J1161" s="2105"/>
      <c r="K1161" s="2347"/>
      <c r="L1161" s="2105"/>
      <c r="M1161" s="2105"/>
      <c r="N1161" s="2105"/>
      <c r="O1161" s="2105"/>
      <c r="P1161" s="2346"/>
      <c r="Q1161" s="2105"/>
      <c r="R1161" s="2347"/>
      <c r="S1161" s="2347"/>
      <c r="T1161" s="2348"/>
      <c r="U1161" s="2348"/>
      <c r="V1161" s="2348"/>
      <c r="W1161" s="2347"/>
      <c r="X1161" s="2347"/>
      <c r="Y1161" s="2105"/>
      <c r="Z1161" s="2105"/>
      <c r="AA1161" s="2105"/>
      <c r="AB1161" s="2105"/>
      <c r="AC1161" s="2105"/>
    </row>
    <row r="1162" spans="1:29">
      <c r="A1162" s="2105"/>
      <c r="B1162" s="2105"/>
      <c r="C1162" s="2105"/>
      <c r="D1162" s="2105"/>
      <c r="E1162" s="2345"/>
      <c r="F1162" s="2105"/>
      <c r="G1162" s="2346"/>
      <c r="H1162" s="2105"/>
      <c r="I1162" s="2105"/>
      <c r="J1162" s="2105"/>
      <c r="K1162" s="2347"/>
      <c r="L1162" s="2105"/>
      <c r="M1162" s="2105"/>
      <c r="N1162" s="2105"/>
      <c r="O1162" s="2105"/>
      <c r="P1162" s="2346"/>
      <c r="Q1162" s="2105"/>
      <c r="R1162" s="2347"/>
      <c r="S1162" s="2347"/>
      <c r="T1162" s="2348"/>
      <c r="U1162" s="2348"/>
      <c r="V1162" s="2348"/>
      <c r="W1162" s="2347"/>
      <c r="X1162" s="2347"/>
      <c r="Y1162" s="2105"/>
      <c r="Z1162" s="2105"/>
      <c r="AA1162" s="2105"/>
      <c r="AB1162" s="2105"/>
      <c r="AC1162" s="2105"/>
    </row>
    <row r="1163" spans="1:29">
      <c r="A1163" s="2105"/>
      <c r="B1163" s="2105"/>
      <c r="C1163" s="2105"/>
      <c r="D1163" s="2105"/>
      <c r="E1163" s="2345"/>
      <c r="F1163" s="2105"/>
      <c r="G1163" s="2346"/>
      <c r="H1163" s="2105"/>
      <c r="I1163" s="2105"/>
      <c r="J1163" s="2105"/>
      <c r="K1163" s="2347"/>
      <c r="L1163" s="2105"/>
      <c r="M1163" s="2105"/>
      <c r="N1163" s="2105"/>
      <c r="O1163" s="2105"/>
      <c r="P1163" s="2346"/>
      <c r="Q1163" s="2105"/>
      <c r="R1163" s="2347"/>
      <c r="S1163" s="2347"/>
      <c r="T1163" s="2348"/>
      <c r="U1163" s="2348"/>
      <c r="V1163" s="2348"/>
      <c r="W1163" s="2347"/>
      <c r="X1163" s="2347"/>
      <c r="Y1163" s="2105"/>
      <c r="Z1163" s="2105"/>
      <c r="AA1163" s="2105"/>
      <c r="AB1163" s="2105"/>
      <c r="AC1163" s="2105"/>
    </row>
    <row r="1164" spans="1:29">
      <c r="A1164" s="2105"/>
      <c r="B1164" s="2105"/>
      <c r="C1164" s="2105"/>
      <c r="D1164" s="2105"/>
      <c r="E1164" s="2345"/>
      <c r="F1164" s="2105"/>
      <c r="G1164" s="2346"/>
      <c r="H1164" s="2105"/>
      <c r="I1164" s="2105"/>
      <c r="J1164" s="2105"/>
      <c r="K1164" s="2347"/>
      <c r="L1164" s="2105"/>
      <c r="M1164" s="2105"/>
      <c r="N1164" s="2105"/>
      <c r="O1164" s="2105"/>
      <c r="P1164" s="2346"/>
      <c r="Q1164" s="2105"/>
      <c r="R1164" s="2347"/>
      <c r="S1164" s="2347"/>
      <c r="T1164" s="2348"/>
      <c r="U1164" s="2348"/>
      <c r="V1164" s="2348"/>
      <c r="W1164" s="2347"/>
      <c r="X1164" s="2347"/>
      <c r="Y1164" s="2105"/>
      <c r="Z1164" s="2105"/>
      <c r="AA1164" s="2105"/>
      <c r="AB1164" s="2105"/>
      <c r="AC1164" s="2105"/>
    </row>
    <row r="1165" spans="1:29">
      <c r="A1165" s="2105"/>
      <c r="B1165" s="2105"/>
      <c r="C1165" s="2105"/>
      <c r="D1165" s="2105"/>
      <c r="E1165" s="2345"/>
      <c r="F1165" s="2105"/>
      <c r="G1165" s="2346"/>
      <c r="H1165" s="2105"/>
      <c r="I1165" s="2105"/>
      <c r="J1165" s="2105"/>
      <c r="K1165" s="2347"/>
      <c r="L1165" s="2105"/>
      <c r="M1165" s="2105"/>
      <c r="N1165" s="2105"/>
      <c r="O1165" s="2105"/>
      <c r="P1165" s="2346"/>
      <c r="Q1165" s="2105"/>
      <c r="R1165" s="2347"/>
      <c r="S1165" s="2347"/>
      <c r="T1165" s="2348"/>
      <c r="U1165" s="2348"/>
      <c r="V1165" s="2348"/>
      <c r="W1165" s="2347"/>
      <c r="X1165" s="2347"/>
      <c r="Y1165" s="2105"/>
      <c r="Z1165" s="2105"/>
      <c r="AA1165" s="2105"/>
      <c r="AB1165" s="2105"/>
      <c r="AC1165" s="2105"/>
    </row>
    <row r="1166" spans="1:29">
      <c r="A1166" s="2105"/>
      <c r="B1166" s="2105"/>
      <c r="C1166" s="2105"/>
      <c r="D1166" s="2105"/>
      <c r="E1166" s="2345"/>
      <c r="F1166" s="2105"/>
      <c r="G1166" s="2346"/>
      <c r="H1166" s="2105"/>
      <c r="I1166" s="2105"/>
      <c r="J1166" s="2105"/>
      <c r="K1166" s="2347"/>
      <c r="L1166" s="2105"/>
      <c r="M1166" s="2105"/>
      <c r="N1166" s="2105"/>
      <c r="O1166" s="2105"/>
      <c r="P1166" s="2346"/>
      <c r="Q1166" s="2105"/>
      <c r="R1166" s="2347"/>
      <c r="S1166" s="2347"/>
      <c r="T1166" s="2348"/>
      <c r="U1166" s="2348"/>
      <c r="V1166" s="2348"/>
      <c r="W1166" s="2347"/>
      <c r="X1166" s="2347"/>
      <c r="Y1166" s="2105"/>
      <c r="Z1166" s="2105"/>
      <c r="AA1166" s="2105"/>
      <c r="AB1166" s="2105"/>
      <c r="AC1166" s="2105"/>
    </row>
    <row r="1167" spans="1:29">
      <c r="A1167" s="2105"/>
      <c r="B1167" s="2105"/>
      <c r="C1167" s="2105"/>
      <c r="D1167" s="2105"/>
      <c r="E1167" s="2345"/>
      <c r="F1167" s="2105"/>
      <c r="G1167" s="2346"/>
      <c r="H1167" s="2105"/>
      <c r="I1167" s="2105"/>
      <c r="J1167" s="2105"/>
      <c r="K1167" s="2347"/>
      <c r="L1167" s="2105"/>
      <c r="M1167" s="2105"/>
      <c r="N1167" s="2105"/>
      <c r="O1167" s="2105"/>
      <c r="P1167" s="2346"/>
      <c r="Q1167" s="2105"/>
      <c r="R1167" s="2347"/>
      <c r="S1167" s="2347"/>
      <c r="T1167" s="2348"/>
      <c r="U1167" s="2348"/>
      <c r="V1167" s="2348"/>
      <c r="W1167" s="2347"/>
      <c r="X1167" s="2347"/>
      <c r="Y1167" s="2105"/>
      <c r="Z1167" s="2105"/>
      <c r="AA1167" s="2105"/>
      <c r="AB1167" s="2105"/>
      <c r="AC1167" s="2105"/>
    </row>
    <row r="1168" spans="1:29">
      <c r="A1168" s="2105"/>
      <c r="B1168" s="2105"/>
      <c r="C1168" s="2105"/>
      <c r="D1168" s="2105"/>
      <c r="E1168" s="2345"/>
      <c r="F1168" s="2105"/>
      <c r="G1168" s="2346"/>
      <c r="H1168" s="2105"/>
      <c r="I1168" s="2105"/>
      <c r="J1168" s="2105"/>
      <c r="K1168" s="2347"/>
      <c r="L1168" s="2105"/>
      <c r="M1168" s="2105"/>
      <c r="N1168" s="2105"/>
      <c r="O1168" s="2105"/>
      <c r="P1168" s="2346"/>
      <c r="Q1168" s="2105"/>
      <c r="R1168" s="2347"/>
      <c r="S1168" s="2347"/>
      <c r="T1168" s="2348"/>
      <c r="U1168" s="2348"/>
      <c r="V1168" s="2348"/>
      <c r="W1168" s="2347"/>
      <c r="X1168" s="2347"/>
      <c r="Y1168" s="2105"/>
      <c r="Z1168" s="2105"/>
      <c r="AA1168" s="2105"/>
      <c r="AB1168" s="2105"/>
      <c r="AC1168" s="2105"/>
    </row>
    <row r="1169" spans="1:29">
      <c r="A1169" s="2105"/>
      <c r="B1169" s="2105"/>
      <c r="C1169" s="2105"/>
      <c r="D1169" s="2105"/>
      <c r="E1169" s="2345"/>
      <c r="F1169" s="2105"/>
      <c r="G1169" s="2346"/>
      <c r="H1169" s="2105"/>
      <c r="I1169" s="2105"/>
      <c r="J1169" s="2105"/>
      <c r="K1169" s="2347"/>
      <c r="L1169" s="2105"/>
      <c r="M1169" s="2105"/>
      <c r="N1169" s="2105"/>
      <c r="O1169" s="2105"/>
      <c r="P1169" s="2346"/>
      <c r="Q1169" s="2105"/>
      <c r="R1169" s="2347"/>
      <c r="S1169" s="2347"/>
      <c r="T1169" s="2348"/>
      <c r="U1169" s="2348"/>
      <c r="V1169" s="2348"/>
      <c r="W1169" s="2347"/>
      <c r="X1169" s="2347"/>
      <c r="Y1169" s="2105"/>
      <c r="Z1169" s="2105"/>
      <c r="AA1169" s="2105"/>
      <c r="AB1169" s="2105"/>
      <c r="AC1169" s="2105"/>
    </row>
    <row r="1170" spans="1:29">
      <c r="A1170" s="2105"/>
      <c r="B1170" s="2105"/>
      <c r="C1170" s="2105"/>
      <c r="D1170" s="2105"/>
      <c r="E1170" s="2345"/>
      <c r="F1170" s="2105"/>
      <c r="G1170" s="2346"/>
      <c r="H1170" s="2105"/>
      <c r="I1170" s="2105"/>
      <c r="J1170" s="2105"/>
      <c r="K1170" s="2347"/>
      <c r="L1170" s="2105"/>
      <c r="M1170" s="2105"/>
      <c r="N1170" s="2105"/>
      <c r="O1170" s="2105"/>
      <c r="P1170" s="2346"/>
      <c r="Q1170" s="2105"/>
      <c r="R1170" s="2347"/>
      <c r="S1170" s="2347"/>
      <c r="T1170" s="2348"/>
      <c r="U1170" s="2348"/>
      <c r="V1170" s="2348"/>
      <c r="W1170" s="2347"/>
      <c r="X1170" s="2347"/>
      <c r="Y1170" s="2105"/>
      <c r="Z1170" s="2105"/>
      <c r="AA1170" s="2105"/>
      <c r="AB1170" s="2105"/>
      <c r="AC1170" s="2105"/>
    </row>
    <row r="1171" spans="1:29">
      <c r="A1171" s="2105"/>
      <c r="B1171" s="2105"/>
      <c r="C1171" s="2105"/>
      <c r="D1171" s="2105"/>
      <c r="E1171" s="2345"/>
      <c r="F1171" s="2105"/>
      <c r="G1171" s="2346"/>
      <c r="H1171" s="2105"/>
      <c r="I1171" s="2105"/>
      <c r="J1171" s="2105"/>
      <c r="K1171" s="2347"/>
      <c r="L1171" s="2105"/>
      <c r="M1171" s="2105"/>
      <c r="N1171" s="2105"/>
      <c r="O1171" s="2105"/>
      <c r="P1171" s="2346"/>
      <c r="Q1171" s="2105"/>
      <c r="R1171" s="2347"/>
      <c r="S1171" s="2347"/>
      <c r="T1171" s="2348"/>
      <c r="U1171" s="2348"/>
      <c r="V1171" s="2348"/>
      <c r="W1171" s="2347"/>
      <c r="X1171" s="2347"/>
      <c r="Y1171" s="2105"/>
      <c r="Z1171" s="2105"/>
      <c r="AA1171" s="2105"/>
      <c r="AB1171" s="2105"/>
      <c r="AC1171" s="2105"/>
    </row>
    <row r="1172" spans="1:29">
      <c r="A1172" s="2105"/>
      <c r="B1172" s="2105"/>
      <c r="C1172" s="2105"/>
      <c r="D1172" s="2105"/>
      <c r="E1172" s="2345"/>
      <c r="F1172" s="2105"/>
      <c r="G1172" s="2346"/>
      <c r="H1172" s="2105"/>
      <c r="I1172" s="2105"/>
      <c r="J1172" s="2105"/>
      <c r="K1172" s="2347"/>
      <c r="L1172" s="2105"/>
      <c r="M1172" s="2105"/>
      <c r="N1172" s="2105"/>
      <c r="O1172" s="2105"/>
      <c r="P1172" s="2346"/>
      <c r="Q1172" s="2105"/>
      <c r="R1172" s="2347"/>
      <c r="S1172" s="2347"/>
      <c r="T1172" s="2348"/>
      <c r="U1172" s="2348"/>
      <c r="V1172" s="2348"/>
      <c r="W1172" s="2347"/>
      <c r="X1172" s="2347"/>
      <c r="Y1172" s="2105"/>
      <c r="Z1172" s="2105"/>
      <c r="AA1172" s="2105"/>
      <c r="AB1172" s="2105"/>
      <c r="AC1172" s="2105"/>
    </row>
    <row r="1173" spans="1:29">
      <c r="A1173" s="2105"/>
      <c r="B1173" s="2105"/>
      <c r="C1173" s="2105"/>
      <c r="D1173" s="2105"/>
      <c r="E1173" s="2345"/>
      <c r="F1173" s="2105"/>
      <c r="G1173" s="2346"/>
      <c r="H1173" s="2105"/>
      <c r="I1173" s="2105"/>
      <c r="J1173" s="2105"/>
      <c r="K1173" s="2347"/>
      <c r="L1173" s="2105"/>
      <c r="M1173" s="2105"/>
      <c r="N1173" s="2105"/>
      <c r="O1173" s="2105"/>
      <c r="P1173" s="2346"/>
      <c r="Q1173" s="2105"/>
      <c r="R1173" s="2347"/>
      <c r="S1173" s="2347"/>
      <c r="T1173" s="2348"/>
      <c r="U1173" s="2348"/>
      <c r="V1173" s="2348"/>
      <c r="W1173" s="2347"/>
      <c r="X1173" s="2347"/>
      <c r="Y1173" s="2105"/>
      <c r="Z1173" s="2105"/>
      <c r="AA1173" s="2105"/>
      <c r="AB1173" s="2105"/>
      <c r="AC1173" s="2105"/>
    </row>
    <row r="1174" spans="1:29">
      <c r="A1174" s="2105"/>
      <c r="B1174" s="2105"/>
      <c r="C1174" s="2105"/>
      <c r="D1174" s="2105"/>
      <c r="E1174" s="2345"/>
      <c r="F1174" s="2105"/>
      <c r="G1174" s="2346"/>
      <c r="H1174" s="2105"/>
      <c r="I1174" s="2105"/>
      <c r="J1174" s="2105"/>
      <c r="K1174" s="2347"/>
      <c r="L1174" s="2105"/>
      <c r="M1174" s="2105"/>
      <c r="N1174" s="2105"/>
      <c r="O1174" s="2105"/>
      <c r="P1174" s="2346"/>
      <c r="Q1174" s="2105"/>
      <c r="R1174" s="2347"/>
      <c r="S1174" s="2347"/>
      <c r="T1174" s="2348"/>
      <c r="U1174" s="2348"/>
      <c r="V1174" s="2348"/>
      <c r="W1174" s="2347"/>
      <c r="X1174" s="2347"/>
      <c r="Y1174" s="2105"/>
      <c r="Z1174" s="2105"/>
      <c r="AA1174" s="2105"/>
      <c r="AB1174" s="2105"/>
      <c r="AC1174" s="2105"/>
    </row>
    <row r="1175" spans="1:29">
      <c r="A1175" s="2105"/>
      <c r="B1175" s="2105"/>
      <c r="C1175" s="2105"/>
      <c r="D1175" s="2105"/>
      <c r="E1175" s="2345"/>
      <c r="F1175" s="2105"/>
      <c r="G1175" s="2346"/>
      <c r="H1175" s="2105"/>
      <c r="I1175" s="2105"/>
      <c r="J1175" s="2105"/>
      <c r="K1175" s="2347"/>
      <c r="L1175" s="2105"/>
      <c r="M1175" s="2105"/>
      <c r="N1175" s="2105"/>
      <c r="O1175" s="2105"/>
      <c r="P1175" s="2346"/>
      <c r="Q1175" s="2105"/>
      <c r="R1175" s="2347"/>
      <c r="S1175" s="2347"/>
      <c r="T1175" s="2348"/>
      <c r="U1175" s="2348"/>
      <c r="V1175" s="2348"/>
      <c r="W1175" s="2347"/>
      <c r="X1175" s="2347"/>
      <c r="Y1175" s="2105"/>
      <c r="Z1175" s="2105"/>
      <c r="AA1175" s="2105"/>
      <c r="AB1175" s="2105"/>
      <c r="AC1175" s="2105"/>
    </row>
    <row r="1176" spans="1:29">
      <c r="A1176" s="2105"/>
      <c r="B1176" s="2105"/>
      <c r="C1176" s="2105"/>
      <c r="D1176" s="2105"/>
      <c r="E1176" s="2345"/>
      <c r="F1176" s="2105"/>
      <c r="G1176" s="2346"/>
      <c r="H1176" s="2105"/>
      <c r="I1176" s="2105"/>
      <c r="J1176" s="2105"/>
      <c r="K1176" s="2347"/>
      <c r="L1176" s="2105"/>
      <c r="M1176" s="2105"/>
      <c r="N1176" s="2105"/>
      <c r="O1176" s="2105"/>
      <c r="P1176" s="2346"/>
      <c r="Q1176" s="2105"/>
      <c r="R1176" s="2347"/>
      <c r="S1176" s="2347"/>
      <c r="T1176" s="2348"/>
      <c r="U1176" s="2348"/>
      <c r="V1176" s="2348"/>
      <c r="W1176" s="2347"/>
      <c r="X1176" s="2347"/>
      <c r="Y1176" s="2105"/>
      <c r="Z1176" s="2105"/>
      <c r="AA1176" s="2105"/>
      <c r="AB1176" s="2105"/>
      <c r="AC1176" s="2105"/>
    </row>
    <row r="1177" spans="1:29">
      <c r="A1177" s="2105"/>
      <c r="B1177" s="2105"/>
      <c r="C1177" s="2105"/>
      <c r="D1177" s="2105"/>
      <c r="E1177" s="2345"/>
      <c r="F1177" s="2105"/>
      <c r="G1177" s="2346"/>
      <c r="H1177" s="2105"/>
      <c r="I1177" s="2105"/>
      <c r="J1177" s="2105"/>
      <c r="K1177" s="2347"/>
      <c r="L1177" s="2105"/>
      <c r="M1177" s="2105"/>
      <c r="N1177" s="2105"/>
      <c r="O1177" s="2105"/>
      <c r="P1177" s="2346"/>
      <c r="Q1177" s="2105"/>
      <c r="R1177" s="2347"/>
      <c r="S1177" s="2347"/>
      <c r="T1177" s="2348"/>
      <c r="U1177" s="2348"/>
      <c r="V1177" s="2348"/>
      <c r="W1177" s="2347"/>
      <c r="X1177" s="2347"/>
      <c r="Y1177" s="2105"/>
      <c r="Z1177" s="2105"/>
      <c r="AA1177" s="2105"/>
      <c r="AB1177" s="2105"/>
      <c r="AC1177" s="2105"/>
    </row>
    <row r="1178" spans="1:29">
      <c r="A1178" s="2105"/>
      <c r="B1178" s="2105"/>
      <c r="C1178" s="2105"/>
      <c r="D1178" s="2105"/>
      <c r="E1178" s="2345"/>
      <c r="F1178" s="2105"/>
      <c r="G1178" s="2346"/>
      <c r="H1178" s="2105"/>
      <c r="I1178" s="2105"/>
      <c r="J1178" s="2105"/>
      <c r="K1178" s="2347"/>
      <c r="L1178" s="2105"/>
      <c r="M1178" s="2105"/>
      <c r="N1178" s="2105"/>
      <c r="O1178" s="2105"/>
      <c r="P1178" s="2346"/>
      <c r="Q1178" s="2105"/>
      <c r="R1178" s="2347"/>
      <c r="S1178" s="2347"/>
      <c r="T1178" s="2348"/>
      <c r="U1178" s="2348"/>
      <c r="V1178" s="2348"/>
      <c r="W1178" s="2347"/>
      <c r="X1178" s="2347"/>
      <c r="Y1178" s="2105"/>
      <c r="Z1178" s="2105"/>
      <c r="AA1178" s="2105"/>
      <c r="AB1178" s="2105"/>
      <c r="AC1178" s="2105"/>
    </row>
    <row r="1179" spans="1:29">
      <c r="A1179" s="2105"/>
      <c r="B1179" s="2105"/>
      <c r="C1179" s="2105"/>
      <c r="D1179" s="2105"/>
      <c r="E1179" s="2345"/>
      <c r="F1179" s="2105"/>
      <c r="G1179" s="2346"/>
      <c r="H1179" s="2105"/>
      <c r="I1179" s="2105"/>
      <c r="J1179" s="2105"/>
      <c r="K1179" s="2347"/>
      <c r="L1179" s="2105"/>
      <c r="M1179" s="2105"/>
      <c r="N1179" s="2105"/>
      <c r="O1179" s="2105"/>
      <c r="P1179" s="2346"/>
      <c r="Q1179" s="2105"/>
      <c r="R1179" s="2347"/>
      <c r="S1179" s="2347"/>
      <c r="T1179" s="2348"/>
      <c r="U1179" s="2348"/>
      <c r="V1179" s="2348"/>
      <c r="W1179" s="2347"/>
      <c r="X1179" s="2347"/>
      <c r="Y1179" s="2105"/>
      <c r="Z1179" s="2105"/>
      <c r="AA1179" s="2105"/>
      <c r="AB1179" s="2105"/>
      <c r="AC1179" s="2105"/>
    </row>
    <row r="1180" spans="1:29">
      <c r="A1180" s="2105"/>
      <c r="B1180" s="2105"/>
      <c r="C1180" s="2105"/>
      <c r="D1180" s="2105"/>
      <c r="E1180" s="2345"/>
      <c r="F1180" s="2105"/>
      <c r="G1180" s="2346"/>
      <c r="H1180" s="2105"/>
      <c r="I1180" s="2105"/>
      <c r="J1180" s="2105"/>
      <c r="K1180" s="2347"/>
      <c r="L1180" s="2105"/>
      <c r="M1180" s="2105"/>
      <c r="N1180" s="2105"/>
      <c r="O1180" s="2105"/>
      <c r="P1180" s="2346"/>
      <c r="Q1180" s="2105"/>
      <c r="R1180" s="2347"/>
      <c r="S1180" s="2347"/>
      <c r="T1180" s="2348"/>
      <c r="U1180" s="2348"/>
      <c r="V1180" s="2348"/>
      <c r="W1180" s="2347"/>
      <c r="X1180" s="2347"/>
      <c r="Y1180" s="2105"/>
      <c r="Z1180" s="2105"/>
      <c r="AA1180" s="2105"/>
      <c r="AB1180" s="2105"/>
      <c r="AC1180" s="2105"/>
    </row>
    <row r="1181" spans="1:29">
      <c r="A1181" s="2105"/>
      <c r="B1181" s="2105"/>
      <c r="C1181" s="2105"/>
      <c r="D1181" s="2105"/>
      <c r="E1181" s="2345"/>
      <c r="F1181" s="2105"/>
      <c r="G1181" s="2346"/>
      <c r="H1181" s="2105"/>
      <c r="I1181" s="2105"/>
      <c r="J1181" s="2105"/>
      <c r="K1181" s="2347"/>
      <c r="L1181" s="2105"/>
      <c r="M1181" s="2105"/>
      <c r="N1181" s="2105"/>
      <c r="O1181" s="2105"/>
      <c r="P1181" s="2346"/>
      <c r="Q1181" s="2105"/>
      <c r="R1181" s="2347"/>
      <c r="S1181" s="2347"/>
      <c r="T1181" s="2348"/>
      <c r="U1181" s="2348"/>
      <c r="V1181" s="2348"/>
      <c r="W1181" s="2347"/>
      <c r="X1181" s="2347"/>
      <c r="Y1181" s="2105"/>
      <c r="Z1181" s="2105"/>
      <c r="AA1181" s="2105"/>
      <c r="AB1181" s="2105"/>
      <c r="AC1181" s="2105"/>
    </row>
    <row r="1182" spans="1:29">
      <c r="A1182" s="2105"/>
      <c r="B1182" s="2105"/>
      <c r="C1182" s="2105"/>
      <c r="D1182" s="2105"/>
      <c r="E1182" s="2345"/>
      <c r="F1182" s="2105"/>
      <c r="G1182" s="2346"/>
      <c r="H1182" s="2105"/>
      <c r="I1182" s="2105"/>
      <c r="J1182" s="2105"/>
      <c r="K1182" s="2347"/>
      <c r="L1182" s="2105"/>
      <c r="M1182" s="2105"/>
      <c r="N1182" s="2105"/>
      <c r="O1182" s="2105"/>
      <c r="P1182" s="2346"/>
      <c r="Q1182" s="2105"/>
      <c r="R1182" s="2347"/>
      <c r="S1182" s="2347"/>
      <c r="T1182" s="2348"/>
      <c r="U1182" s="2348"/>
      <c r="V1182" s="2348"/>
      <c r="W1182" s="2347"/>
      <c r="X1182" s="2347"/>
      <c r="Y1182" s="2105"/>
      <c r="Z1182" s="2105"/>
      <c r="AA1182" s="2105"/>
      <c r="AB1182" s="2105"/>
      <c r="AC1182" s="2105"/>
    </row>
    <row r="1183" spans="1:29">
      <c r="A1183" s="2105"/>
      <c r="B1183" s="2105"/>
      <c r="C1183" s="2105"/>
      <c r="D1183" s="2105"/>
      <c r="E1183" s="2345"/>
      <c r="F1183" s="2105"/>
      <c r="G1183" s="2346"/>
      <c r="H1183" s="2105"/>
      <c r="I1183" s="2105"/>
      <c r="J1183" s="2105"/>
      <c r="K1183" s="2347"/>
      <c r="L1183" s="2105"/>
      <c r="M1183" s="2105"/>
      <c r="N1183" s="2105"/>
      <c r="O1183" s="2105"/>
      <c r="P1183" s="2346"/>
      <c r="Q1183" s="2105"/>
      <c r="R1183" s="2347"/>
      <c r="S1183" s="2347"/>
      <c r="T1183" s="2348"/>
      <c r="U1183" s="2348"/>
      <c r="V1183" s="2348"/>
      <c r="W1183" s="2347"/>
      <c r="X1183" s="2347"/>
      <c r="Y1183" s="2105"/>
      <c r="Z1183" s="2105"/>
      <c r="AA1183" s="2105"/>
      <c r="AB1183" s="2105"/>
      <c r="AC1183" s="2105"/>
    </row>
    <row r="1184" spans="1:29">
      <c r="A1184" s="2105"/>
      <c r="B1184" s="2105"/>
      <c r="C1184" s="2105"/>
      <c r="D1184" s="2105"/>
      <c r="E1184" s="2345"/>
      <c r="F1184" s="2105"/>
      <c r="G1184" s="2346"/>
      <c r="H1184" s="2105"/>
      <c r="I1184" s="2105"/>
      <c r="J1184" s="2105"/>
      <c r="K1184" s="2347"/>
      <c r="L1184" s="2105"/>
      <c r="M1184" s="2105"/>
      <c r="N1184" s="2105"/>
      <c r="O1184" s="2105"/>
      <c r="P1184" s="2346"/>
      <c r="Q1184" s="2105"/>
      <c r="R1184" s="2347"/>
      <c r="S1184" s="2347"/>
      <c r="T1184" s="2348"/>
      <c r="U1184" s="2348"/>
      <c r="V1184" s="2348"/>
      <c r="W1184" s="2347"/>
      <c r="X1184" s="2347"/>
      <c r="Y1184" s="2105"/>
      <c r="Z1184" s="2105"/>
      <c r="AA1184" s="2105"/>
      <c r="AB1184" s="2105"/>
      <c r="AC1184" s="2105"/>
    </row>
    <row r="1185" spans="1:29">
      <c r="A1185" s="2105"/>
      <c r="B1185" s="2105"/>
      <c r="C1185" s="2105"/>
      <c r="D1185" s="2105"/>
      <c r="E1185" s="2345"/>
      <c r="F1185" s="2105"/>
      <c r="G1185" s="2346"/>
      <c r="H1185" s="2105"/>
      <c r="I1185" s="2105"/>
      <c r="J1185" s="2105"/>
      <c r="K1185" s="2347"/>
      <c r="L1185" s="2105"/>
      <c r="M1185" s="2105"/>
      <c r="N1185" s="2105"/>
      <c r="O1185" s="2105"/>
      <c r="P1185" s="2346"/>
      <c r="Q1185" s="2105"/>
      <c r="R1185" s="2347"/>
      <c r="S1185" s="2347"/>
      <c r="T1185" s="2348"/>
      <c r="U1185" s="2348"/>
      <c r="V1185" s="2348"/>
      <c r="W1185" s="2347"/>
      <c r="X1185" s="2347"/>
      <c r="Y1185" s="2105"/>
      <c r="Z1185" s="2105"/>
      <c r="AA1185" s="2105"/>
      <c r="AB1185" s="2105"/>
      <c r="AC1185" s="2105"/>
    </row>
    <row r="1186" spans="1:29">
      <c r="A1186" s="2105"/>
      <c r="B1186" s="2105"/>
      <c r="C1186" s="2105"/>
      <c r="D1186" s="2105"/>
      <c r="E1186" s="2345"/>
      <c r="F1186" s="2105"/>
      <c r="G1186" s="2346"/>
      <c r="H1186" s="2105"/>
      <c r="I1186" s="2105"/>
      <c r="J1186" s="2105"/>
      <c r="K1186" s="2347"/>
      <c r="L1186" s="2105"/>
      <c r="M1186" s="2105"/>
      <c r="N1186" s="2105"/>
      <c r="O1186" s="2105"/>
      <c r="P1186" s="2346"/>
      <c r="Q1186" s="2105"/>
      <c r="R1186" s="2347"/>
      <c r="S1186" s="2347"/>
      <c r="T1186" s="2348"/>
      <c r="U1186" s="2348"/>
      <c r="V1186" s="2348"/>
      <c r="W1186" s="2347"/>
      <c r="X1186" s="2347"/>
      <c r="Y1186" s="2105"/>
      <c r="Z1186" s="2105"/>
      <c r="AA1186" s="2105"/>
      <c r="AB1186" s="2105"/>
      <c r="AC1186" s="2105"/>
    </row>
    <row r="1187" spans="1:29">
      <c r="A1187" s="2105"/>
      <c r="B1187" s="2105"/>
      <c r="C1187" s="2105"/>
      <c r="D1187" s="2105"/>
      <c r="E1187" s="2345"/>
      <c r="F1187" s="2105"/>
      <c r="G1187" s="2346"/>
      <c r="H1187" s="2105"/>
      <c r="I1187" s="2105"/>
      <c r="J1187" s="2105"/>
      <c r="K1187" s="2347"/>
      <c r="L1187" s="2105"/>
      <c r="M1187" s="2105"/>
      <c r="N1187" s="2105"/>
      <c r="O1187" s="2105"/>
      <c r="P1187" s="2346"/>
      <c r="Q1187" s="2105"/>
      <c r="R1187" s="2347"/>
      <c r="S1187" s="2347"/>
      <c r="T1187" s="2348"/>
      <c r="U1187" s="2348"/>
      <c r="V1187" s="2348"/>
      <c r="W1187" s="2347"/>
      <c r="X1187" s="2347"/>
      <c r="Y1187" s="2105"/>
      <c r="Z1187" s="2105"/>
      <c r="AA1187" s="2105"/>
      <c r="AB1187" s="2105"/>
      <c r="AC1187" s="2105"/>
    </row>
    <row r="1188" spans="1:29">
      <c r="A1188" s="2105"/>
      <c r="B1188" s="2105"/>
      <c r="C1188" s="2105"/>
      <c r="D1188" s="2105"/>
      <c r="E1188" s="2345"/>
      <c r="F1188" s="2105"/>
      <c r="G1188" s="2346"/>
      <c r="H1188" s="2105"/>
      <c r="I1188" s="2105"/>
      <c r="J1188" s="2105"/>
      <c r="K1188" s="2347"/>
      <c r="L1188" s="2105"/>
      <c r="M1188" s="2105"/>
      <c r="N1188" s="2105"/>
      <c r="O1188" s="2105"/>
      <c r="P1188" s="2346"/>
      <c r="Q1188" s="2105"/>
      <c r="R1188" s="2347"/>
      <c r="S1188" s="2347"/>
      <c r="T1188" s="2348"/>
      <c r="U1188" s="2348"/>
      <c r="V1188" s="2348"/>
      <c r="W1188" s="2347"/>
      <c r="X1188" s="2347"/>
      <c r="Y1188" s="2105"/>
      <c r="Z1188" s="2105"/>
      <c r="AA1188" s="2105"/>
      <c r="AB1188" s="2105"/>
      <c r="AC1188" s="2105"/>
    </row>
    <row r="1189" spans="1:29">
      <c r="A1189" s="2105"/>
      <c r="B1189" s="2105"/>
      <c r="C1189" s="2105"/>
      <c r="D1189" s="2105"/>
      <c r="E1189" s="2345"/>
      <c r="F1189" s="2105"/>
      <c r="G1189" s="2346"/>
      <c r="H1189" s="2105"/>
      <c r="I1189" s="2105"/>
      <c r="J1189" s="2105"/>
      <c r="K1189" s="2347"/>
      <c r="L1189" s="2105"/>
      <c r="M1189" s="2105"/>
      <c r="N1189" s="2105"/>
      <c r="O1189" s="2105"/>
      <c r="P1189" s="2346"/>
      <c r="Q1189" s="2105"/>
      <c r="R1189" s="2347"/>
      <c r="S1189" s="2347"/>
      <c r="T1189" s="2348"/>
      <c r="U1189" s="2348"/>
      <c r="V1189" s="2348"/>
      <c r="W1189" s="2347"/>
      <c r="X1189" s="2347"/>
      <c r="Y1189" s="2105"/>
      <c r="Z1189" s="2105"/>
      <c r="AA1189" s="2105"/>
      <c r="AB1189" s="2105"/>
      <c r="AC1189" s="2105"/>
    </row>
    <row r="1190" spans="1:29">
      <c r="A1190" s="2105"/>
      <c r="B1190" s="2105"/>
      <c r="C1190" s="2105"/>
      <c r="D1190" s="2105"/>
      <c r="E1190" s="2345"/>
      <c r="F1190" s="2105"/>
      <c r="G1190" s="2346"/>
      <c r="H1190" s="2105"/>
      <c r="I1190" s="2105"/>
      <c r="J1190" s="2105"/>
      <c r="K1190" s="2347"/>
      <c r="L1190" s="2105"/>
      <c r="M1190" s="2105"/>
      <c r="N1190" s="2105"/>
      <c r="O1190" s="2105"/>
      <c r="P1190" s="2346"/>
      <c r="Q1190" s="2105"/>
      <c r="R1190" s="2347"/>
      <c r="S1190" s="2347"/>
      <c r="T1190" s="2348"/>
      <c r="U1190" s="2348"/>
      <c r="V1190" s="2348"/>
      <c r="W1190" s="2347"/>
      <c r="X1190" s="2347"/>
      <c r="Y1190" s="2105"/>
      <c r="Z1190" s="2105"/>
      <c r="AA1190" s="2105"/>
      <c r="AB1190" s="2105"/>
      <c r="AC1190" s="2105"/>
    </row>
    <row r="1191" spans="1:29">
      <c r="A1191" s="2105"/>
      <c r="B1191" s="2105"/>
      <c r="C1191" s="2105"/>
      <c r="D1191" s="2105"/>
      <c r="E1191" s="2345"/>
      <c r="F1191" s="2105"/>
      <c r="G1191" s="2346"/>
      <c r="H1191" s="2105"/>
      <c r="I1191" s="2105"/>
      <c r="J1191" s="2105"/>
      <c r="K1191" s="2347"/>
      <c r="L1191" s="2105"/>
      <c r="M1191" s="2105"/>
      <c r="N1191" s="2105"/>
      <c r="O1191" s="2105"/>
      <c r="P1191" s="2346"/>
      <c r="Q1191" s="2105"/>
      <c r="R1191" s="2347"/>
      <c r="S1191" s="2347"/>
      <c r="T1191" s="2348"/>
      <c r="U1191" s="2348"/>
      <c r="V1191" s="2348"/>
      <c r="W1191" s="2347"/>
      <c r="X1191" s="2347"/>
      <c r="Y1191" s="2105"/>
      <c r="Z1191" s="2105"/>
      <c r="AA1191" s="2105"/>
      <c r="AB1191" s="2105"/>
      <c r="AC1191" s="2105"/>
    </row>
    <row r="1192" spans="1:29">
      <c r="A1192" s="2105"/>
      <c r="B1192" s="2105"/>
      <c r="C1192" s="2105"/>
      <c r="D1192" s="2105"/>
      <c r="E1192" s="2345"/>
      <c r="F1192" s="2105"/>
      <c r="G1192" s="2346"/>
      <c r="H1192" s="2105"/>
      <c r="I1192" s="2105"/>
      <c r="J1192" s="2105"/>
      <c r="K1192" s="2347"/>
      <c r="L1192" s="2105"/>
      <c r="M1192" s="2105"/>
      <c r="N1192" s="2105"/>
      <c r="O1192" s="2105"/>
      <c r="P1192" s="2346"/>
      <c r="Q1192" s="2105"/>
      <c r="R1192" s="2347"/>
      <c r="S1192" s="2347"/>
      <c r="T1192" s="2348"/>
      <c r="U1192" s="2348"/>
      <c r="V1192" s="2348"/>
      <c r="W1192" s="2347"/>
      <c r="X1192" s="2347"/>
      <c r="Y1192" s="2105"/>
      <c r="Z1192" s="2105"/>
      <c r="AA1192" s="2105"/>
      <c r="AB1192" s="2105"/>
      <c r="AC1192" s="2105"/>
    </row>
    <row r="1193" spans="1:29">
      <c r="A1193" s="2105"/>
      <c r="B1193" s="2105"/>
      <c r="C1193" s="2105"/>
      <c r="D1193" s="2105"/>
      <c r="E1193" s="2345"/>
      <c r="F1193" s="2105"/>
      <c r="G1193" s="2346"/>
      <c r="H1193" s="2105"/>
      <c r="I1193" s="2105"/>
      <c r="J1193" s="2105"/>
      <c r="K1193" s="2347"/>
      <c r="L1193" s="2105"/>
      <c r="M1193" s="2105"/>
      <c r="N1193" s="2105"/>
      <c r="O1193" s="2105"/>
      <c r="P1193" s="2346"/>
      <c r="Q1193" s="2105"/>
      <c r="R1193" s="2347"/>
      <c r="S1193" s="2347"/>
      <c r="T1193" s="2348"/>
      <c r="U1193" s="2348"/>
      <c r="V1193" s="2348"/>
      <c r="W1193" s="2347"/>
      <c r="X1193" s="2347"/>
      <c r="Y1193" s="2105"/>
      <c r="Z1193" s="2105"/>
      <c r="AA1193" s="2105"/>
      <c r="AB1193" s="2105"/>
      <c r="AC1193" s="2105"/>
    </row>
    <row r="1194" spans="1:29">
      <c r="A1194" s="2105"/>
      <c r="B1194" s="2105"/>
      <c r="C1194" s="2105"/>
      <c r="D1194" s="2105"/>
      <c r="E1194" s="2345"/>
      <c r="F1194" s="2105"/>
      <c r="G1194" s="2346"/>
      <c r="H1194" s="2105"/>
      <c r="I1194" s="2105"/>
      <c r="J1194" s="2105"/>
      <c r="K1194" s="2347"/>
      <c r="L1194" s="2105"/>
      <c r="M1194" s="2105"/>
      <c r="N1194" s="2105"/>
      <c r="O1194" s="2105"/>
      <c r="P1194" s="2346"/>
      <c r="Q1194" s="2105"/>
      <c r="R1194" s="2347"/>
      <c r="S1194" s="2347"/>
      <c r="T1194" s="2348"/>
      <c r="U1194" s="2348"/>
      <c r="V1194" s="2348"/>
      <c r="W1194" s="2347"/>
      <c r="X1194" s="2347"/>
      <c r="Y1194" s="2105"/>
      <c r="Z1194" s="2105"/>
      <c r="AA1194" s="2105"/>
      <c r="AB1194" s="2105"/>
      <c r="AC1194" s="2105"/>
    </row>
    <row r="1195" spans="1:29">
      <c r="A1195" s="2105"/>
      <c r="B1195" s="2105"/>
      <c r="C1195" s="2105"/>
      <c r="D1195" s="2105"/>
      <c r="E1195" s="2345"/>
      <c r="F1195" s="2105"/>
      <c r="G1195" s="2346"/>
      <c r="H1195" s="2105"/>
      <c r="I1195" s="2105"/>
      <c r="J1195" s="2105"/>
      <c r="K1195" s="2347"/>
      <c r="L1195" s="2105"/>
      <c r="M1195" s="2105"/>
      <c r="N1195" s="2105"/>
      <c r="O1195" s="2105"/>
      <c r="P1195" s="2346"/>
      <c r="Q1195" s="2105"/>
      <c r="R1195" s="2347"/>
      <c r="S1195" s="2347"/>
      <c r="T1195" s="2348"/>
      <c r="U1195" s="2348"/>
      <c r="V1195" s="2348"/>
      <c r="W1195" s="2347"/>
      <c r="X1195" s="2347"/>
      <c r="Y1195" s="2105"/>
      <c r="Z1195" s="2105"/>
      <c r="AA1195" s="2105"/>
      <c r="AB1195" s="2105"/>
      <c r="AC1195" s="2105"/>
    </row>
    <row r="1196" spans="1:29">
      <c r="A1196" s="2105"/>
      <c r="B1196" s="2105"/>
      <c r="C1196" s="2105"/>
      <c r="D1196" s="2105"/>
      <c r="E1196" s="2345"/>
      <c r="F1196" s="2105"/>
      <c r="G1196" s="2346"/>
      <c r="H1196" s="2105"/>
      <c r="I1196" s="2105"/>
      <c r="J1196" s="2105"/>
      <c r="K1196" s="2347"/>
      <c r="L1196" s="2105"/>
      <c r="M1196" s="2105"/>
      <c r="N1196" s="2105"/>
      <c r="O1196" s="2105"/>
      <c r="P1196" s="2346"/>
      <c r="Q1196" s="2105"/>
      <c r="R1196" s="2347"/>
      <c r="S1196" s="2347"/>
      <c r="T1196" s="2348"/>
      <c r="U1196" s="2348"/>
      <c r="V1196" s="2348"/>
      <c r="W1196" s="2347"/>
      <c r="X1196" s="2347"/>
      <c r="Y1196" s="2105"/>
      <c r="Z1196" s="2105"/>
      <c r="AA1196" s="2105"/>
      <c r="AB1196" s="2105"/>
      <c r="AC1196" s="2105"/>
    </row>
    <row r="1197" spans="1:29">
      <c r="A1197" s="2105"/>
      <c r="B1197" s="2105"/>
      <c r="C1197" s="2105"/>
      <c r="D1197" s="2105"/>
      <c r="E1197" s="2345"/>
      <c r="F1197" s="2105"/>
      <c r="G1197" s="2346"/>
      <c r="H1197" s="2105"/>
      <c r="I1197" s="2105"/>
      <c r="J1197" s="2105"/>
      <c r="K1197" s="2347"/>
      <c r="L1197" s="2105"/>
      <c r="M1197" s="2105"/>
      <c r="N1197" s="2105"/>
      <c r="O1197" s="2105"/>
      <c r="P1197" s="2346"/>
      <c r="Q1197" s="2105"/>
      <c r="R1197" s="2347"/>
      <c r="S1197" s="2347"/>
      <c r="T1197" s="2348"/>
      <c r="U1197" s="2348"/>
      <c r="V1197" s="2348"/>
      <c r="W1197" s="2347"/>
      <c r="X1197" s="2347"/>
      <c r="Y1197" s="2105"/>
      <c r="Z1197" s="2105"/>
      <c r="AA1197" s="2105"/>
      <c r="AB1197" s="2105"/>
      <c r="AC1197" s="2105"/>
    </row>
    <row r="1198" spans="1:29">
      <c r="A1198" s="2105"/>
      <c r="B1198" s="2105"/>
      <c r="C1198" s="2105"/>
      <c r="D1198" s="2105"/>
      <c r="E1198" s="2345"/>
      <c r="F1198" s="2105"/>
      <c r="G1198" s="2346"/>
      <c r="H1198" s="2105"/>
      <c r="I1198" s="2105"/>
      <c r="J1198" s="2105"/>
      <c r="K1198" s="2347"/>
      <c r="L1198" s="2105"/>
      <c r="M1198" s="2105"/>
      <c r="N1198" s="2105"/>
      <c r="O1198" s="2105"/>
      <c r="P1198" s="2346"/>
      <c r="Q1198" s="2105"/>
      <c r="R1198" s="2347"/>
      <c r="S1198" s="2347"/>
      <c r="T1198" s="2348"/>
      <c r="U1198" s="2348"/>
      <c r="V1198" s="2348"/>
      <c r="W1198" s="2347"/>
      <c r="X1198" s="2347"/>
      <c r="Y1198" s="2105"/>
      <c r="Z1198" s="2105"/>
      <c r="AA1198" s="2105"/>
      <c r="AB1198" s="2105"/>
      <c r="AC1198" s="2105"/>
    </row>
    <row r="1199" spans="1:29">
      <c r="A1199" s="2105"/>
      <c r="B1199" s="2105"/>
      <c r="C1199" s="2105"/>
      <c r="D1199" s="2105"/>
      <c r="E1199" s="2345"/>
      <c r="F1199" s="2105"/>
      <c r="G1199" s="2346"/>
      <c r="H1199" s="2105"/>
      <c r="I1199" s="2105"/>
      <c r="J1199" s="2105"/>
      <c r="K1199" s="2347"/>
      <c r="L1199" s="2105"/>
      <c r="M1199" s="2105"/>
      <c r="N1199" s="2105"/>
      <c r="O1199" s="2105"/>
      <c r="P1199" s="2346"/>
      <c r="Q1199" s="2105"/>
      <c r="R1199" s="2347"/>
      <c r="S1199" s="2347"/>
      <c r="T1199" s="2348"/>
      <c r="U1199" s="2348"/>
      <c r="V1199" s="2348"/>
      <c r="W1199" s="2347"/>
      <c r="X1199" s="2347"/>
      <c r="Y1199" s="2105"/>
      <c r="Z1199" s="2105"/>
      <c r="AA1199" s="2105"/>
      <c r="AB1199" s="2105"/>
      <c r="AC1199" s="2105"/>
    </row>
    <row r="1200" spans="1:29">
      <c r="A1200" s="2105"/>
      <c r="B1200" s="2105"/>
      <c r="C1200" s="2105"/>
      <c r="D1200" s="2105"/>
      <c r="E1200" s="2345"/>
      <c r="F1200" s="2105"/>
      <c r="G1200" s="2346"/>
      <c r="H1200" s="2105"/>
      <c r="I1200" s="2105"/>
      <c r="J1200" s="2105"/>
      <c r="K1200" s="2347"/>
      <c r="L1200" s="2105"/>
      <c r="M1200" s="2105"/>
      <c r="N1200" s="2105"/>
      <c r="O1200" s="2105"/>
      <c r="P1200" s="2346"/>
      <c r="Q1200" s="2105"/>
      <c r="R1200" s="2347"/>
      <c r="S1200" s="2347"/>
      <c r="T1200" s="2348"/>
      <c r="U1200" s="2348"/>
      <c r="V1200" s="2348"/>
      <c r="W1200" s="2347"/>
      <c r="X1200" s="2347"/>
      <c r="Y1200" s="2105"/>
      <c r="Z1200" s="2105"/>
      <c r="AA1200" s="2105"/>
      <c r="AB1200" s="2105"/>
      <c r="AC1200" s="2105"/>
    </row>
    <row r="1201" spans="1:29">
      <c r="A1201" s="2105"/>
      <c r="B1201" s="2105"/>
      <c r="C1201" s="2105"/>
      <c r="D1201" s="2105"/>
      <c r="E1201" s="2345"/>
      <c r="F1201" s="2105"/>
      <c r="G1201" s="2346"/>
      <c r="H1201" s="2105"/>
      <c r="I1201" s="2105"/>
      <c r="J1201" s="2105"/>
      <c r="K1201" s="2347"/>
      <c r="L1201" s="2105"/>
      <c r="M1201" s="2105"/>
      <c r="N1201" s="2105"/>
      <c r="O1201" s="2105"/>
      <c r="P1201" s="2346"/>
      <c r="Q1201" s="2105"/>
      <c r="R1201" s="2347"/>
      <c r="S1201" s="2347"/>
      <c r="T1201" s="2348"/>
      <c r="U1201" s="2348"/>
      <c r="V1201" s="2348"/>
      <c r="W1201" s="2347"/>
      <c r="X1201" s="2347"/>
      <c r="Y1201" s="2105"/>
      <c r="Z1201" s="2105"/>
      <c r="AA1201" s="2105"/>
      <c r="AB1201" s="2105"/>
      <c r="AC1201" s="2105"/>
    </row>
    <row r="1202" spans="1:29">
      <c r="A1202" s="2105"/>
      <c r="B1202" s="2105"/>
      <c r="C1202" s="2105"/>
      <c r="D1202" s="2105"/>
      <c r="E1202" s="2345"/>
      <c r="F1202" s="2105"/>
      <c r="G1202" s="2346"/>
      <c r="H1202" s="2105"/>
      <c r="I1202" s="2105"/>
      <c r="J1202" s="2105"/>
      <c r="K1202" s="2347"/>
      <c r="L1202" s="2105"/>
      <c r="M1202" s="2105"/>
      <c r="N1202" s="2105"/>
      <c r="O1202" s="2105"/>
      <c r="P1202" s="2346"/>
      <c r="Q1202" s="2105"/>
      <c r="R1202" s="2347"/>
      <c r="S1202" s="2347"/>
      <c r="T1202" s="2348"/>
      <c r="U1202" s="2348"/>
      <c r="V1202" s="2348"/>
      <c r="W1202" s="2347"/>
      <c r="X1202" s="2347"/>
      <c r="Y1202" s="2105"/>
      <c r="Z1202" s="2105"/>
      <c r="AA1202" s="2105"/>
      <c r="AB1202" s="2105"/>
      <c r="AC1202" s="2105"/>
    </row>
    <row r="1203" spans="1:29">
      <c r="A1203" s="2105"/>
      <c r="B1203" s="2105"/>
      <c r="C1203" s="2105"/>
      <c r="D1203" s="2105"/>
      <c r="E1203" s="2345"/>
      <c r="F1203" s="2105"/>
      <c r="G1203" s="2346"/>
      <c r="H1203" s="2105"/>
      <c r="I1203" s="2105"/>
      <c r="J1203" s="2105"/>
      <c r="K1203" s="2347"/>
      <c r="L1203" s="2105"/>
      <c r="M1203" s="2105"/>
      <c r="N1203" s="2105"/>
      <c r="O1203" s="2105"/>
      <c r="P1203" s="2346"/>
      <c r="Q1203" s="2105"/>
      <c r="R1203" s="2347"/>
      <c r="S1203" s="2347"/>
      <c r="T1203" s="2348"/>
      <c r="U1203" s="2348"/>
      <c r="V1203" s="2348"/>
      <c r="W1203" s="2347"/>
      <c r="X1203" s="2347"/>
      <c r="Y1203" s="2105"/>
      <c r="Z1203" s="2105"/>
      <c r="AA1203" s="2105"/>
      <c r="AB1203" s="2105"/>
      <c r="AC1203" s="2105"/>
    </row>
    <row r="1204" spans="1:29">
      <c r="A1204" s="2105"/>
      <c r="B1204" s="2105"/>
      <c r="C1204" s="2105"/>
      <c r="D1204" s="2105"/>
      <c r="E1204" s="2345"/>
      <c r="F1204" s="2105"/>
      <c r="G1204" s="2346"/>
      <c r="H1204" s="2105"/>
      <c r="I1204" s="2105"/>
      <c r="J1204" s="2105"/>
      <c r="K1204" s="2347"/>
      <c r="L1204" s="2105"/>
      <c r="M1204" s="2105"/>
      <c r="N1204" s="2105"/>
      <c r="O1204" s="2105"/>
      <c r="P1204" s="2346"/>
      <c r="Q1204" s="2105"/>
      <c r="R1204" s="2347"/>
      <c r="S1204" s="2347"/>
      <c r="T1204" s="2348"/>
      <c r="U1204" s="2348"/>
      <c r="V1204" s="2348"/>
      <c r="W1204" s="2347"/>
      <c r="X1204" s="2347"/>
      <c r="Y1204" s="2105"/>
      <c r="Z1204" s="2105"/>
      <c r="AA1204" s="2105"/>
      <c r="AB1204" s="2105"/>
      <c r="AC1204" s="2105"/>
    </row>
    <row r="1205" spans="1:29">
      <c r="A1205" s="2105"/>
      <c r="B1205" s="2105"/>
      <c r="C1205" s="2105"/>
      <c r="D1205" s="2105"/>
      <c r="E1205" s="2345"/>
      <c r="F1205" s="2105"/>
      <c r="G1205" s="2346"/>
      <c r="H1205" s="2105"/>
      <c r="I1205" s="2105"/>
      <c r="J1205" s="2105"/>
      <c r="K1205" s="2347"/>
      <c r="L1205" s="2105"/>
      <c r="M1205" s="2105"/>
      <c r="N1205" s="2105"/>
      <c r="O1205" s="2105"/>
      <c r="P1205" s="2346"/>
      <c r="Q1205" s="2105"/>
      <c r="R1205" s="2347"/>
      <c r="S1205" s="2347"/>
      <c r="T1205" s="2348"/>
      <c r="U1205" s="2348"/>
      <c r="V1205" s="2348"/>
      <c r="W1205" s="2347"/>
      <c r="X1205" s="2347"/>
      <c r="Y1205" s="2105"/>
      <c r="Z1205" s="2105"/>
      <c r="AA1205" s="2105"/>
      <c r="AB1205" s="2105"/>
      <c r="AC1205" s="2105"/>
    </row>
    <row r="1206" spans="1:29">
      <c r="A1206" s="2105"/>
      <c r="B1206" s="2105"/>
      <c r="C1206" s="2105"/>
      <c r="D1206" s="2105"/>
      <c r="E1206" s="2345"/>
      <c r="F1206" s="2105"/>
      <c r="G1206" s="2346"/>
      <c r="H1206" s="2105"/>
      <c r="I1206" s="2105"/>
      <c r="J1206" s="2105"/>
      <c r="K1206" s="2347"/>
      <c r="L1206" s="2105"/>
      <c r="M1206" s="2105"/>
      <c r="N1206" s="2105"/>
      <c r="O1206" s="2105"/>
      <c r="P1206" s="2346"/>
      <c r="Q1206" s="2105"/>
      <c r="R1206" s="2347"/>
      <c r="S1206" s="2347"/>
      <c r="T1206" s="2348"/>
      <c r="U1206" s="2348"/>
      <c r="V1206" s="2348"/>
      <c r="W1206" s="2347"/>
      <c r="X1206" s="2347"/>
      <c r="Y1206" s="2105"/>
      <c r="Z1206" s="2105"/>
      <c r="AA1206" s="2105"/>
      <c r="AB1206" s="2105"/>
      <c r="AC1206" s="2105"/>
    </row>
    <row r="1207" spans="1:29">
      <c r="A1207" s="2105"/>
      <c r="B1207" s="2105"/>
      <c r="C1207" s="2105"/>
      <c r="D1207" s="2105"/>
      <c r="E1207" s="2345"/>
      <c r="F1207" s="2105"/>
      <c r="G1207" s="2346"/>
      <c r="H1207" s="2105"/>
      <c r="I1207" s="2105"/>
      <c r="J1207" s="2105"/>
      <c r="K1207" s="2347"/>
      <c r="L1207" s="2105"/>
      <c r="M1207" s="2105"/>
      <c r="N1207" s="2105"/>
      <c r="O1207" s="2105"/>
      <c r="P1207" s="2346"/>
      <c r="Q1207" s="2105"/>
      <c r="R1207" s="2347"/>
      <c r="S1207" s="2347"/>
      <c r="T1207" s="2348"/>
      <c r="U1207" s="2348"/>
      <c r="V1207" s="2348"/>
      <c r="W1207" s="2347"/>
      <c r="X1207" s="2347"/>
      <c r="Y1207" s="2105"/>
      <c r="Z1207" s="2105"/>
      <c r="AA1207" s="2105"/>
      <c r="AB1207" s="2105"/>
      <c r="AC1207" s="2105"/>
    </row>
    <row r="1208" spans="1:29">
      <c r="A1208" s="2105"/>
      <c r="B1208" s="2105"/>
      <c r="C1208" s="2105"/>
      <c r="D1208" s="2105"/>
      <c r="E1208" s="2345"/>
      <c r="F1208" s="2105"/>
      <c r="G1208" s="2346"/>
      <c r="H1208" s="2105"/>
      <c r="I1208" s="2105"/>
      <c r="J1208" s="2105"/>
      <c r="K1208" s="2347"/>
      <c r="L1208" s="2105"/>
      <c r="M1208" s="2105"/>
      <c r="N1208" s="2105"/>
      <c r="O1208" s="2105"/>
      <c r="P1208" s="2346"/>
      <c r="Q1208" s="2105"/>
      <c r="R1208" s="2347"/>
      <c r="S1208" s="2347"/>
      <c r="T1208" s="2348"/>
      <c r="U1208" s="2348"/>
      <c r="V1208" s="2348"/>
      <c r="W1208" s="2347"/>
      <c r="X1208" s="2347"/>
      <c r="Y1208" s="2105"/>
      <c r="Z1208" s="2105"/>
      <c r="AA1208" s="2105"/>
      <c r="AB1208" s="2105"/>
      <c r="AC1208" s="2105"/>
    </row>
    <row r="1209" spans="1:29">
      <c r="A1209" s="2105"/>
      <c r="B1209" s="2105"/>
      <c r="C1209" s="2105"/>
      <c r="D1209" s="2105"/>
      <c r="E1209" s="2345"/>
      <c r="F1209" s="2105"/>
      <c r="G1209" s="2346"/>
      <c r="H1209" s="2105"/>
      <c r="I1209" s="2105"/>
      <c r="J1209" s="2105"/>
      <c r="K1209" s="2347"/>
      <c r="L1209" s="2105"/>
      <c r="M1209" s="2105"/>
      <c r="N1209" s="2105"/>
      <c r="O1209" s="2105"/>
      <c r="P1209" s="2346"/>
      <c r="Q1209" s="2105"/>
      <c r="R1209" s="2347"/>
      <c r="S1209" s="2347"/>
      <c r="T1209" s="2348"/>
      <c r="U1209" s="2348"/>
      <c r="V1209" s="2348"/>
      <c r="W1209" s="2347"/>
      <c r="X1209" s="2347"/>
      <c r="Y1209" s="2105"/>
      <c r="Z1209" s="2105"/>
      <c r="AA1209" s="2105"/>
      <c r="AB1209" s="2105"/>
      <c r="AC1209" s="2105"/>
    </row>
    <row r="1210" spans="1:29">
      <c r="A1210" s="2105"/>
      <c r="B1210" s="2105"/>
      <c r="C1210" s="2105"/>
      <c r="D1210" s="2105"/>
      <c r="E1210" s="2345"/>
      <c r="F1210" s="2105"/>
      <c r="G1210" s="2346"/>
      <c r="H1210" s="2105"/>
      <c r="I1210" s="2105"/>
      <c r="J1210" s="2105"/>
      <c r="K1210" s="2347"/>
      <c r="L1210" s="2105"/>
      <c r="M1210" s="2105"/>
      <c r="N1210" s="2105"/>
      <c r="O1210" s="2105"/>
      <c r="P1210" s="2346"/>
      <c r="Q1210" s="2105"/>
      <c r="R1210" s="2347"/>
      <c r="S1210" s="2347"/>
      <c r="T1210" s="2348"/>
      <c r="U1210" s="2348"/>
      <c r="V1210" s="2348"/>
      <c r="W1210" s="2347"/>
      <c r="X1210" s="2347"/>
      <c r="Y1210" s="2105"/>
      <c r="Z1210" s="2105"/>
      <c r="AA1210" s="2105"/>
      <c r="AB1210" s="2105"/>
      <c r="AC1210" s="2105"/>
    </row>
    <row r="1211" spans="1:29">
      <c r="A1211" s="2105"/>
      <c r="B1211" s="2105"/>
      <c r="C1211" s="2105"/>
      <c r="D1211" s="2105"/>
      <c r="E1211" s="2345"/>
      <c r="F1211" s="2105"/>
      <c r="G1211" s="2346"/>
      <c r="H1211" s="2105"/>
      <c r="I1211" s="2105"/>
      <c r="J1211" s="2105"/>
      <c r="K1211" s="2347"/>
      <c r="L1211" s="2105"/>
      <c r="M1211" s="2105"/>
      <c r="N1211" s="2105"/>
      <c r="O1211" s="2105"/>
      <c r="P1211" s="2346"/>
      <c r="Q1211" s="2105"/>
      <c r="R1211" s="2347"/>
      <c r="S1211" s="2347"/>
      <c r="T1211" s="2348"/>
      <c r="U1211" s="2348"/>
      <c r="V1211" s="2348"/>
      <c r="W1211" s="2347"/>
      <c r="X1211" s="2347"/>
      <c r="Y1211" s="2105"/>
      <c r="Z1211" s="2105"/>
      <c r="AA1211" s="2105"/>
      <c r="AB1211" s="2105"/>
      <c r="AC1211" s="2105"/>
    </row>
    <row r="1212" spans="1:29">
      <c r="A1212" s="2105"/>
      <c r="B1212" s="2105"/>
      <c r="C1212" s="2105"/>
      <c r="D1212" s="2105"/>
      <c r="E1212" s="2345"/>
      <c r="F1212" s="2105"/>
      <c r="G1212" s="2346"/>
      <c r="H1212" s="2105"/>
      <c r="I1212" s="2105"/>
      <c r="J1212" s="2105"/>
      <c r="K1212" s="2347"/>
      <c r="L1212" s="2105"/>
      <c r="M1212" s="2105"/>
      <c r="N1212" s="2105"/>
      <c r="O1212" s="2105"/>
      <c r="P1212" s="2346"/>
      <c r="Q1212" s="2105"/>
      <c r="R1212" s="2347"/>
      <c r="S1212" s="2347"/>
      <c r="T1212" s="2348"/>
      <c r="U1212" s="2348"/>
      <c r="V1212" s="2348"/>
      <c r="W1212" s="2347"/>
      <c r="X1212" s="2347"/>
      <c r="Y1212" s="2105"/>
      <c r="Z1212" s="2105"/>
      <c r="AA1212" s="2105"/>
      <c r="AB1212" s="2105"/>
      <c r="AC1212" s="2105"/>
    </row>
    <row r="1213" spans="1:29">
      <c r="A1213" s="2105"/>
      <c r="B1213" s="2105"/>
      <c r="C1213" s="2105"/>
      <c r="D1213" s="2105"/>
      <c r="E1213" s="2345"/>
      <c r="F1213" s="2105"/>
      <c r="G1213" s="2346"/>
      <c r="H1213" s="2105"/>
      <c r="I1213" s="2105"/>
      <c r="J1213" s="2105"/>
      <c r="K1213" s="2347"/>
      <c r="L1213" s="2105"/>
      <c r="M1213" s="2105"/>
      <c r="N1213" s="2105"/>
      <c r="O1213" s="2105"/>
      <c r="P1213" s="2346"/>
      <c r="Q1213" s="2105"/>
      <c r="R1213" s="2347"/>
      <c r="S1213" s="2347"/>
      <c r="T1213" s="2348"/>
      <c r="U1213" s="2348"/>
      <c r="V1213" s="2348"/>
      <c r="W1213" s="2347"/>
      <c r="X1213" s="2347"/>
      <c r="Y1213" s="2105"/>
      <c r="Z1213" s="2105"/>
      <c r="AA1213" s="2105"/>
      <c r="AB1213" s="2105"/>
      <c r="AC1213" s="2105"/>
    </row>
    <row r="1214" spans="1:29">
      <c r="A1214" s="2105"/>
      <c r="B1214" s="2105"/>
      <c r="C1214" s="2105"/>
      <c r="D1214" s="2105"/>
      <c r="E1214" s="2345"/>
      <c r="F1214" s="2105"/>
      <c r="G1214" s="2346"/>
      <c r="H1214" s="2105"/>
      <c r="I1214" s="2105"/>
      <c r="J1214" s="2105"/>
      <c r="K1214" s="2347"/>
      <c r="L1214" s="2105"/>
      <c r="M1214" s="2105"/>
      <c r="N1214" s="2105"/>
      <c r="O1214" s="2105"/>
      <c r="P1214" s="2346"/>
      <c r="Q1214" s="2105"/>
      <c r="R1214" s="2347"/>
      <c r="S1214" s="2347"/>
      <c r="T1214" s="2348"/>
      <c r="U1214" s="2348"/>
      <c r="V1214" s="2348"/>
      <c r="W1214" s="2347"/>
      <c r="X1214" s="2347"/>
      <c r="Y1214" s="2105"/>
      <c r="Z1214" s="2105"/>
      <c r="AA1214" s="2105"/>
      <c r="AB1214" s="2105"/>
      <c r="AC1214" s="2105"/>
    </row>
    <row r="1215" spans="1:29">
      <c r="A1215" s="2105"/>
      <c r="B1215" s="2105"/>
      <c r="C1215" s="2105"/>
      <c r="D1215" s="2105"/>
      <c r="E1215" s="2345"/>
      <c r="F1215" s="2105"/>
      <c r="G1215" s="2346"/>
      <c r="H1215" s="2105"/>
      <c r="I1215" s="2105"/>
      <c r="J1215" s="2105"/>
      <c r="K1215" s="2347"/>
      <c r="L1215" s="2105"/>
      <c r="M1215" s="2105"/>
      <c r="N1215" s="2105"/>
      <c r="O1215" s="2105"/>
      <c r="P1215" s="2346"/>
      <c r="Q1215" s="2105"/>
      <c r="R1215" s="2347"/>
      <c r="S1215" s="2347"/>
      <c r="T1215" s="2348"/>
      <c r="U1215" s="2348"/>
      <c r="V1215" s="2348"/>
      <c r="W1215" s="2347"/>
      <c r="X1215" s="2347"/>
      <c r="Y1215" s="2105"/>
      <c r="Z1215" s="2105"/>
      <c r="AA1215" s="2105"/>
      <c r="AB1215" s="2105"/>
      <c r="AC1215" s="2105"/>
    </row>
    <row r="1216" spans="1:29">
      <c r="A1216" s="2105"/>
      <c r="B1216" s="2105"/>
      <c r="C1216" s="2105"/>
      <c r="D1216" s="2105"/>
      <c r="E1216" s="2345"/>
      <c r="F1216" s="2105"/>
      <c r="G1216" s="2346"/>
      <c r="H1216" s="2105"/>
      <c r="I1216" s="2105"/>
      <c r="J1216" s="2105"/>
      <c r="K1216" s="2347"/>
      <c r="L1216" s="2105"/>
      <c r="M1216" s="2105"/>
      <c r="N1216" s="2105"/>
      <c r="O1216" s="2105"/>
      <c r="P1216" s="2346"/>
      <c r="Q1216" s="2105"/>
      <c r="R1216" s="2347"/>
      <c r="S1216" s="2347"/>
      <c r="T1216" s="2348"/>
      <c r="U1216" s="2348"/>
      <c r="V1216" s="2348"/>
      <c r="W1216" s="2347"/>
      <c r="X1216" s="2347"/>
      <c r="Y1216" s="2105"/>
      <c r="Z1216" s="2105"/>
      <c r="AA1216" s="2105"/>
      <c r="AB1216" s="2105"/>
      <c r="AC1216" s="2105"/>
    </row>
    <row r="1217" spans="1:29">
      <c r="A1217" s="2105"/>
      <c r="B1217" s="2105"/>
      <c r="C1217" s="2105"/>
      <c r="D1217" s="2105"/>
      <c r="E1217" s="2345"/>
      <c r="F1217" s="2105"/>
      <c r="G1217" s="2346"/>
      <c r="H1217" s="2105"/>
      <c r="I1217" s="2105"/>
      <c r="J1217" s="2105"/>
      <c r="K1217" s="2347"/>
      <c r="L1217" s="2105"/>
      <c r="M1217" s="2105"/>
      <c r="N1217" s="2105"/>
      <c r="O1217" s="2105"/>
      <c r="P1217" s="2346"/>
      <c r="Q1217" s="2105"/>
      <c r="R1217" s="2347"/>
      <c r="S1217" s="2347"/>
      <c r="T1217" s="2348"/>
      <c r="U1217" s="2348"/>
      <c r="V1217" s="2348"/>
      <c r="W1217" s="2347"/>
      <c r="X1217" s="2347"/>
      <c r="Y1217" s="2105"/>
      <c r="Z1217" s="2105"/>
      <c r="AA1217" s="2105"/>
      <c r="AB1217" s="2105"/>
      <c r="AC1217" s="2105"/>
    </row>
    <row r="1218" spans="1:29">
      <c r="A1218" s="2105"/>
      <c r="B1218" s="2105"/>
      <c r="C1218" s="2105"/>
      <c r="D1218" s="2105"/>
      <c r="E1218" s="2345"/>
      <c r="F1218" s="2105"/>
      <c r="G1218" s="2346"/>
      <c r="H1218" s="2105"/>
      <c r="I1218" s="2105"/>
      <c r="J1218" s="2105"/>
      <c r="K1218" s="2347"/>
      <c r="L1218" s="2105"/>
      <c r="M1218" s="2105"/>
      <c r="N1218" s="2105"/>
      <c r="O1218" s="2105"/>
      <c r="P1218" s="2346"/>
      <c r="Q1218" s="2105"/>
      <c r="R1218" s="2347"/>
      <c r="S1218" s="2347"/>
      <c r="T1218" s="2348"/>
      <c r="U1218" s="2348"/>
      <c r="V1218" s="2348"/>
      <c r="W1218" s="2347"/>
      <c r="X1218" s="2347"/>
      <c r="Y1218" s="2105"/>
      <c r="Z1218" s="2105"/>
      <c r="AA1218" s="2105"/>
      <c r="AB1218" s="2105"/>
      <c r="AC1218" s="2105"/>
    </row>
    <row r="1219" spans="1:29">
      <c r="A1219" s="2105"/>
      <c r="B1219" s="2105"/>
      <c r="C1219" s="2105"/>
      <c r="D1219" s="2105"/>
      <c r="E1219" s="2345"/>
      <c r="F1219" s="2105"/>
      <c r="G1219" s="2346"/>
      <c r="H1219" s="2105"/>
      <c r="I1219" s="2105"/>
      <c r="J1219" s="2105"/>
      <c r="K1219" s="2347"/>
      <c r="L1219" s="2105"/>
      <c r="M1219" s="2105"/>
      <c r="N1219" s="2105"/>
      <c r="O1219" s="2105"/>
      <c r="P1219" s="2346"/>
      <c r="Q1219" s="2105"/>
      <c r="R1219" s="2347"/>
      <c r="S1219" s="2347"/>
      <c r="T1219" s="2348"/>
      <c r="U1219" s="2348"/>
      <c r="V1219" s="2348"/>
      <c r="W1219" s="2347"/>
      <c r="X1219" s="2347"/>
      <c r="Y1219" s="2105"/>
      <c r="Z1219" s="2105"/>
      <c r="AA1219" s="2105"/>
      <c r="AB1219" s="2105"/>
      <c r="AC1219" s="2105"/>
    </row>
    <row r="1220" spans="1:29">
      <c r="A1220" s="2105"/>
      <c r="B1220" s="2105"/>
      <c r="C1220" s="2105"/>
      <c r="D1220" s="2105"/>
      <c r="E1220" s="2345"/>
      <c r="F1220" s="2105"/>
      <c r="G1220" s="2346"/>
      <c r="H1220" s="2105"/>
      <c r="I1220" s="2105"/>
      <c r="J1220" s="2105"/>
      <c r="K1220" s="2347"/>
      <c r="L1220" s="2105"/>
      <c r="M1220" s="2105"/>
      <c r="N1220" s="2105"/>
      <c r="O1220" s="2105"/>
      <c r="P1220" s="2346"/>
      <c r="Q1220" s="2105"/>
      <c r="R1220" s="2347"/>
      <c r="S1220" s="2347"/>
      <c r="T1220" s="2348"/>
      <c r="U1220" s="2348"/>
      <c r="V1220" s="2348"/>
      <c r="W1220" s="2347"/>
      <c r="X1220" s="2347"/>
      <c r="Y1220" s="2105"/>
      <c r="Z1220" s="2105"/>
      <c r="AA1220" s="2105"/>
      <c r="AB1220" s="2105"/>
      <c r="AC1220" s="2105"/>
    </row>
    <row r="1221" spans="1:29">
      <c r="A1221" s="2105"/>
      <c r="B1221" s="2105"/>
      <c r="C1221" s="2105"/>
      <c r="D1221" s="2105"/>
      <c r="E1221" s="2345"/>
      <c r="F1221" s="2105"/>
      <c r="G1221" s="2346"/>
      <c r="H1221" s="2105"/>
      <c r="I1221" s="2105"/>
      <c r="J1221" s="2105"/>
      <c r="K1221" s="2347"/>
      <c r="L1221" s="2105"/>
      <c r="M1221" s="2105"/>
      <c r="N1221" s="2105"/>
      <c r="O1221" s="2105"/>
      <c r="P1221" s="2346"/>
      <c r="Q1221" s="2105"/>
      <c r="R1221" s="2347"/>
      <c r="S1221" s="2347"/>
      <c r="T1221" s="2348"/>
      <c r="U1221" s="2348"/>
      <c r="V1221" s="2348"/>
      <c r="W1221" s="2347"/>
      <c r="X1221" s="2347"/>
      <c r="Y1221" s="2105"/>
      <c r="Z1221" s="2105"/>
      <c r="AA1221" s="2105"/>
      <c r="AB1221" s="2105"/>
      <c r="AC1221" s="2105"/>
    </row>
    <row r="1222" spans="1:29">
      <c r="A1222" s="2105"/>
      <c r="B1222" s="2105"/>
      <c r="C1222" s="2105"/>
      <c r="D1222" s="2105"/>
      <c r="E1222" s="2345"/>
      <c r="F1222" s="2105"/>
      <c r="G1222" s="2346"/>
      <c r="H1222" s="2105"/>
      <c r="I1222" s="2105"/>
      <c r="J1222" s="2105"/>
      <c r="K1222" s="2347"/>
      <c r="L1222" s="2105"/>
      <c r="M1222" s="2105"/>
      <c r="N1222" s="2105"/>
      <c r="O1222" s="2105"/>
      <c r="P1222" s="2346"/>
      <c r="Q1222" s="2105"/>
      <c r="R1222" s="2347"/>
      <c r="S1222" s="2347"/>
      <c r="T1222" s="2348"/>
      <c r="U1222" s="2348"/>
      <c r="V1222" s="2348"/>
      <c r="W1222" s="2347"/>
      <c r="X1222" s="2347"/>
      <c r="Y1222" s="2105"/>
      <c r="Z1222" s="2105"/>
      <c r="AA1222" s="2105"/>
      <c r="AB1222" s="2105"/>
      <c r="AC1222" s="2105"/>
    </row>
    <row r="1223" spans="1:29">
      <c r="A1223" s="2105"/>
      <c r="B1223" s="2105"/>
      <c r="C1223" s="2105"/>
      <c r="D1223" s="2105"/>
      <c r="E1223" s="2345"/>
      <c r="F1223" s="2105"/>
      <c r="G1223" s="2346"/>
      <c r="H1223" s="2105"/>
      <c r="I1223" s="2105"/>
      <c r="J1223" s="2105"/>
      <c r="K1223" s="2347"/>
      <c r="L1223" s="2105"/>
      <c r="M1223" s="2105"/>
      <c r="N1223" s="2105"/>
      <c r="O1223" s="2105"/>
      <c r="P1223" s="2346"/>
      <c r="Q1223" s="2105"/>
      <c r="R1223" s="2347"/>
      <c r="S1223" s="2347"/>
      <c r="T1223" s="2348"/>
      <c r="U1223" s="2348"/>
      <c r="V1223" s="2348"/>
      <c r="W1223" s="2347"/>
      <c r="X1223" s="2347"/>
      <c r="Y1223" s="2105"/>
      <c r="Z1223" s="2105"/>
      <c r="AA1223" s="2105"/>
      <c r="AB1223" s="2105"/>
      <c r="AC1223" s="2105"/>
    </row>
    <row r="1224" spans="1:29">
      <c r="A1224" s="2105"/>
      <c r="B1224" s="2105"/>
      <c r="C1224" s="2105"/>
      <c r="D1224" s="2105"/>
      <c r="E1224" s="2345"/>
      <c r="F1224" s="2105"/>
      <c r="G1224" s="2346"/>
      <c r="H1224" s="2105"/>
      <c r="I1224" s="2105"/>
      <c r="J1224" s="2105"/>
      <c r="K1224" s="2347"/>
      <c r="L1224" s="2105"/>
      <c r="M1224" s="2105"/>
      <c r="N1224" s="2105"/>
      <c r="O1224" s="2105"/>
      <c r="P1224" s="2346"/>
      <c r="Q1224" s="2105"/>
      <c r="R1224" s="2347"/>
      <c r="S1224" s="2347"/>
      <c r="T1224" s="2348"/>
      <c r="U1224" s="2348"/>
      <c r="V1224" s="2348"/>
      <c r="W1224" s="2347"/>
      <c r="X1224" s="2347"/>
      <c r="Y1224" s="2105"/>
      <c r="Z1224" s="2105"/>
      <c r="AA1224" s="2105"/>
      <c r="AB1224" s="2105"/>
      <c r="AC1224" s="2105"/>
    </row>
    <row r="1225" spans="1:29">
      <c r="A1225" s="2105"/>
      <c r="B1225" s="2105"/>
      <c r="C1225" s="2105"/>
      <c r="D1225" s="2105"/>
      <c r="E1225" s="2345"/>
      <c r="F1225" s="2105"/>
      <c r="G1225" s="2346"/>
      <c r="H1225" s="2105"/>
      <c r="I1225" s="2105"/>
      <c r="J1225" s="2105"/>
      <c r="K1225" s="2347"/>
      <c r="L1225" s="2105"/>
      <c r="M1225" s="2105"/>
      <c r="N1225" s="2105"/>
      <c r="O1225" s="2105"/>
      <c r="P1225" s="2346"/>
      <c r="Q1225" s="2105"/>
      <c r="R1225" s="2347"/>
      <c r="S1225" s="2347"/>
      <c r="T1225" s="2348"/>
      <c r="U1225" s="2348"/>
      <c r="V1225" s="2348"/>
      <c r="W1225" s="2347"/>
      <c r="X1225" s="2347"/>
      <c r="Y1225" s="2105"/>
      <c r="Z1225" s="2105"/>
      <c r="AA1225" s="2105"/>
      <c r="AB1225" s="2105"/>
      <c r="AC1225" s="2105"/>
    </row>
    <row r="1226" spans="1:29">
      <c r="A1226" s="2105"/>
      <c r="B1226" s="2105"/>
      <c r="C1226" s="2105"/>
      <c r="D1226" s="2105"/>
      <c r="E1226" s="2345"/>
      <c r="F1226" s="2105"/>
      <c r="G1226" s="2346"/>
      <c r="H1226" s="2105"/>
      <c r="I1226" s="2105"/>
      <c r="J1226" s="2105"/>
      <c r="K1226" s="2347"/>
      <c r="L1226" s="2105"/>
      <c r="M1226" s="2105"/>
      <c r="N1226" s="2105"/>
      <c r="O1226" s="2105"/>
      <c r="P1226" s="2346"/>
      <c r="Q1226" s="2105"/>
      <c r="R1226" s="2347"/>
      <c r="S1226" s="2347"/>
      <c r="T1226" s="2348"/>
      <c r="U1226" s="2348"/>
      <c r="V1226" s="2348"/>
      <c r="W1226" s="2347"/>
      <c r="X1226" s="2347"/>
      <c r="Y1226" s="2105"/>
      <c r="Z1226" s="2105"/>
      <c r="AA1226" s="2105"/>
      <c r="AB1226" s="2105"/>
      <c r="AC1226" s="2105"/>
    </row>
    <row r="1227" spans="1:29">
      <c r="A1227" s="2105"/>
      <c r="B1227" s="2105"/>
      <c r="C1227" s="2105"/>
      <c r="D1227" s="2105"/>
      <c r="E1227" s="2345"/>
      <c r="F1227" s="2105"/>
      <c r="G1227" s="2346"/>
      <c r="H1227" s="2105"/>
      <c r="I1227" s="2105"/>
      <c r="J1227" s="2105"/>
      <c r="K1227" s="2347"/>
      <c r="L1227" s="2105"/>
      <c r="M1227" s="2105"/>
      <c r="N1227" s="2105"/>
      <c r="O1227" s="2105"/>
      <c r="P1227" s="2346"/>
      <c r="Q1227" s="2105"/>
      <c r="R1227" s="2347"/>
      <c r="S1227" s="2347"/>
      <c r="T1227" s="2348"/>
      <c r="U1227" s="2348"/>
      <c r="V1227" s="2348"/>
      <c r="W1227" s="2347"/>
      <c r="X1227" s="2347"/>
      <c r="Y1227" s="2105"/>
      <c r="Z1227" s="2105"/>
      <c r="AA1227" s="2105"/>
      <c r="AB1227" s="2105"/>
      <c r="AC1227" s="2105"/>
    </row>
    <row r="1228" spans="1:29">
      <c r="A1228" s="2105"/>
      <c r="B1228" s="2105"/>
      <c r="C1228" s="2105"/>
      <c r="D1228" s="2105"/>
      <c r="E1228" s="2345"/>
      <c r="F1228" s="2105"/>
      <c r="G1228" s="2346"/>
      <c r="H1228" s="2105"/>
      <c r="I1228" s="2105"/>
      <c r="J1228" s="2105"/>
      <c r="K1228" s="2347"/>
      <c r="L1228" s="2105"/>
      <c r="M1228" s="2105"/>
      <c r="N1228" s="2105"/>
      <c r="O1228" s="2105"/>
      <c r="P1228" s="2346"/>
      <c r="Q1228" s="2105"/>
      <c r="R1228" s="2347"/>
      <c r="S1228" s="2347"/>
      <c r="T1228" s="2348"/>
      <c r="U1228" s="2348"/>
      <c r="V1228" s="2348"/>
      <c r="W1228" s="2347"/>
      <c r="X1228" s="2347"/>
      <c r="Y1228" s="2105"/>
      <c r="Z1228" s="2105"/>
      <c r="AA1228" s="2105"/>
      <c r="AB1228" s="2105"/>
      <c r="AC1228" s="2105"/>
    </row>
    <row r="1229" spans="1:29">
      <c r="A1229" s="2105"/>
      <c r="B1229" s="2105"/>
      <c r="C1229" s="2105"/>
      <c r="D1229" s="2105"/>
      <c r="E1229" s="2345"/>
      <c r="F1229" s="2105"/>
      <c r="G1229" s="2346"/>
      <c r="H1229" s="2105"/>
      <c r="I1229" s="2105"/>
      <c r="J1229" s="2105"/>
      <c r="K1229" s="2347"/>
      <c r="L1229" s="2105"/>
      <c r="M1229" s="2105"/>
      <c r="N1229" s="2105"/>
      <c r="O1229" s="2105"/>
      <c r="P1229" s="2346"/>
      <c r="Q1229" s="2105"/>
      <c r="R1229" s="2347"/>
      <c r="S1229" s="2347"/>
      <c r="T1229" s="2348"/>
      <c r="U1229" s="2348"/>
      <c r="V1229" s="2348"/>
      <c r="W1229" s="2347"/>
      <c r="X1229" s="2347"/>
      <c r="Y1229" s="2105"/>
      <c r="Z1229" s="2105"/>
      <c r="AA1229" s="2105"/>
      <c r="AB1229" s="2105"/>
      <c r="AC1229" s="2105"/>
    </row>
    <row r="1230" spans="1:29">
      <c r="A1230" s="2105"/>
      <c r="B1230" s="2105"/>
      <c r="C1230" s="2105"/>
      <c r="D1230" s="2105"/>
      <c r="E1230" s="2345"/>
      <c r="F1230" s="2105"/>
      <c r="G1230" s="2346"/>
      <c r="H1230" s="2105"/>
      <c r="I1230" s="2105"/>
      <c r="J1230" s="2105"/>
      <c r="K1230" s="2347"/>
      <c r="L1230" s="2105"/>
      <c r="M1230" s="2105"/>
      <c r="N1230" s="2105"/>
      <c r="O1230" s="2105"/>
      <c r="P1230" s="2346"/>
      <c r="Q1230" s="2105"/>
      <c r="R1230" s="2347"/>
      <c r="S1230" s="2347"/>
      <c r="T1230" s="2348"/>
      <c r="U1230" s="2348"/>
      <c r="V1230" s="2348"/>
      <c r="W1230" s="2347"/>
      <c r="X1230" s="2347"/>
      <c r="Y1230" s="2105"/>
      <c r="Z1230" s="2105"/>
      <c r="AA1230" s="2105"/>
      <c r="AB1230" s="2105"/>
      <c r="AC1230" s="2105"/>
    </row>
    <row r="1231" spans="1:29">
      <c r="A1231" s="2105"/>
      <c r="B1231" s="2105"/>
      <c r="C1231" s="2105"/>
      <c r="D1231" s="2105"/>
      <c r="E1231" s="2345"/>
      <c r="F1231" s="2105"/>
      <c r="G1231" s="2346"/>
      <c r="H1231" s="2105"/>
      <c r="I1231" s="2105"/>
      <c r="J1231" s="2105"/>
      <c r="K1231" s="2347"/>
      <c r="L1231" s="2105"/>
      <c r="M1231" s="2105"/>
      <c r="N1231" s="2105"/>
      <c r="O1231" s="2105"/>
      <c r="P1231" s="2346"/>
      <c r="Q1231" s="2105"/>
      <c r="R1231" s="2347"/>
      <c r="S1231" s="2347"/>
      <c r="T1231" s="2348"/>
      <c r="U1231" s="2348"/>
      <c r="V1231" s="2348"/>
      <c r="W1231" s="2347"/>
      <c r="X1231" s="2347"/>
      <c r="Y1231" s="2105"/>
      <c r="Z1231" s="2105"/>
      <c r="AA1231" s="2105"/>
      <c r="AB1231" s="2105"/>
      <c r="AC1231" s="2105"/>
    </row>
    <row r="1232" spans="1:29">
      <c r="A1232" s="2105"/>
      <c r="B1232" s="2105"/>
      <c r="C1232" s="2105"/>
      <c r="D1232" s="2105"/>
      <c r="E1232" s="2345"/>
      <c r="F1232" s="2105"/>
      <c r="G1232" s="2346"/>
      <c r="H1232" s="2105"/>
      <c r="I1232" s="2105"/>
      <c r="J1232" s="2105"/>
      <c r="K1232" s="2347"/>
      <c r="L1232" s="2105"/>
      <c r="M1232" s="2105"/>
      <c r="N1232" s="2105"/>
      <c r="O1232" s="2105"/>
      <c r="P1232" s="2346"/>
      <c r="Q1232" s="2105"/>
      <c r="R1232" s="2347"/>
      <c r="S1232" s="2347"/>
      <c r="T1232" s="2348"/>
      <c r="U1232" s="2348"/>
      <c r="V1232" s="2348"/>
      <c r="W1232" s="2347"/>
      <c r="X1232" s="2347"/>
      <c r="Y1232" s="2105"/>
      <c r="Z1232" s="2105"/>
      <c r="AA1232" s="2105"/>
      <c r="AB1232" s="2105"/>
      <c r="AC1232" s="2105"/>
    </row>
    <row r="1233" spans="1:29">
      <c r="A1233" s="2105"/>
      <c r="B1233" s="2105"/>
      <c r="C1233" s="2105"/>
      <c r="D1233" s="2105"/>
      <c r="E1233" s="2345"/>
      <c r="F1233" s="2105"/>
      <c r="G1233" s="2346"/>
      <c r="H1233" s="2105"/>
      <c r="I1233" s="2105"/>
      <c r="J1233" s="2105"/>
      <c r="K1233" s="2347"/>
      <c r="L1233" s="2105"/>
      <c r="M1233" s="2105"/>
      <c r="N1233" s="2105"/>
      <c r="O1233" s="2105"/>
      <c r="P1233" s="2346"/>
      <c r="Q1233" s="2105"/>
      <c r="R1233" s="2347"/>
      <c r="S1233" s="2347"/>
      <c r="T1233" s="2348"/>
      <c r="U1233" s="2348"/>
      <c r="V1233" s="2348"/>
      <c r="W1233" s="2347"/>
      <c r="X1233" s="2347"/>
      <c r="Y1233" s="2105"/>
      <c r="Z1233" s="2105"/>
      <c r="AA1233" s="2105"/>
      <c r="AB1233" s="2105"/>
      <c r="AC1233" s="2105"/>
    </row>
    <row r="1234" spans="1:29">
      <c r="A1234" s="2105"/>
      <c r="B1234" s="2105"/>
      <c r="C1234" s="2105"/>
      <c r="D1234" s="2105"/>
      <c r="E1234" s="2345"/>
      <c r="F1234" s="2105"/>
      <c r="G1234" s="2346"/>
      <c r="H1234" s="2105"/>
      <c r="I1234" s="2105"/>
      <c r="J1234" s="2105"/>
      <c r="K1234" s="2347"/>
      <c r="L1234" s="2105"/>
      <c r="M1234" s="2105"/>
      <c r="N1234" s="2105"/>
      <c r="O1234" s="2105"/>
      <c r="P1234" s="2346"/>
      <c r="Q1234" s="2105"/>
      <c r="R1234" s="2347"/>
      <c r="S1234" s="2347"/>
      <c r="T1234" s="2348"/>
      <c r="U1234" s="2348"/>
      <c r="V1234" s="2348"/>
      <c r="W1234" s="2347"/>
      <c r="X1234" s="2347"/>
      <c r="Y1234" s="2105"/>
      <c r="Z1234" s="2105"/>
      <c r="AA1234" s="2105"/>
      <c r="AB1234" s="2105"/>
      <c r="AC1234" s="2105"/>
    </row>
    <row r="1235" spans="1:29">
      <c r="A1235" s="2105"/>
      <c r="B1235" s="2105"/>
      <c r="C1235" s="2105"/>
      <c r="D1235" s="2105"/>
      <c r="E1235" s="2345"/>
      <c r="F1235" s="2105"/>
      <c r="G1235" s="2346"/>
      <c r="H1235" s="2105"/>
      <c r="I1235" s="2105"/>
      <c r="J1235" s="2105"/>
      <c r="K1235" s="2347"/>
      <c r="L1235" s="2105"/>
      <c r="M1235" s="2105"/>
      <c r="N1235" s="2105"/>
      <c r="O1235" s="2105"/>
      <c r="P1235" s="2346"/>
      <c r="Q1235" s="2105"/>
      <c r="R1235" s="2347"/>
      <c r="S1235" s="2347"/>
      <c r="T1235" s="2348"/>
      <c r="U1235" s="2348"/>
      <c r="V1235" s="2348"/>
      <c r="W1235" s="2347"/>
      <c r="X1235" s="2347"/>
      <c r="Y1235" s="2105"/>
      <c r="Z1235" s="2105"/>
      <c r="AA1235" s="2105"/>
      <c r="AB1235" s="2105"/>
      <c r="AC1235" s="2105"/>
    </row>
    <row r="1236" spans="1:29">
      <c r="A1236" s="2105"/>
      <c r="B1236" s="2105"/>
      <c r="C1236" s="2105"/>
      <c r="D1236" s="2105"/>
      <c r="E1236" s="2345"/>
      <c r="F1236" s="2105"/>
      <c r="G1236" s="2346"/>
      <c r="H1236" s="2105"/>
      <c r="I1236" s="2105"/>
      <c r="J1236" s="2105"/>
      <c r="K1236" s="2347"/>
      <c r="L1236" s="2105"/>
      <c r="M1236" s="2105"/>
      <c r="N1236" s="2105"/>
      <c r="O1236" s="2105"/>
      <c r="P1236" s="2346"/>
      <c r="Q1236" s="2105"/>
      <c r="R1236" s="2347"/>
      <c r="S1236" s="2347"/>
      <c r="T1236" s="2348"/>
      <c r="U1236" s="2348"/>
      <c r="V1236" s="2348"/>
      <c r="W1236" s="2347"/>
      <c r="X1236" s="2347"/>
      <c r="Y1236" s="2105"/>
      <c r="Z1236" s="2105"/>
      <c r="AA1236" s="2105"/>
      <c r="AB1236" s="2105"/>
      <c r="AC1236" s="2105"/>
    </row>
    <row r="1237" spans="1:29">
      <c r="A1237" s="2105"/>
      <c r="B1237" s="2105"/>
      <c r="C1237" s="2105"/>
      <c r="D1237" s="2105"/>
      <c r="E1237" s="2345"/>
      <c r="F1237" s="2105"/>
      <c r="G1237" s="2346"/>
      <c r="H1237" s="2105"/>
      <c r="I1237" s="2105"/>
      <c r="J1237" s="2105"/>
      <c r="K1237" s="2347"/>
      <c r="L1237" s="2105"/>
      <c r="M1237" s="2105"/>
      <c r="N1237" s="2105"/>
      <c r="O1237" s="2105"/>
      <c r="P1237" s="2346"/>
      <c r="Q1237" s="2105"/>
      <c r="R1237" s="2347"/>
      <c r="S1237" s="2347"/>
      <c r="T1237" s="2348"/>
      <c r="U1237" s="2348"/>
      <c r="V1237" s="2348"/>
      <c r="W1237" s="2347"/>
      <c r="X1237" s="2347"/>
      <c r="Y1237" s="2105"/>
      <c r="Z1237" s="2105"/>
      <c r="AA1237" s="2105"/>
      <c r="AB1237" s="2105"/>
      <c r="AC1237" s="2105"/>
    </row>
    <row r="1238" spans="1:29">
      <c r="A1238" s="2105"/>
      <c r="B1238" s="2105"/>
      <c r="C1238" s="2105"/>
      <c r="D1238" s="2105"/>
      <c r="E1238" s="2345"/>
      <c r="F1238" s="2105"/>
      <c r="G1238" s="2346"/>
      <c r="H1238" s="2105"/>
      <c r="I1238" s="2105"/>
      <c r="J1238" s="2105"/>
      <c r="K1238" s="2347"/>
      <c r="L1238" s="2105"/>
      <c r="M1238" s="2105"/>
      <c r="N1238" s="2105"/>
      <c r="O1238" s="2105"/>
      <c r="P1238" s="2346"/>
      <c r="Q1238" s="2105"/>
      <c r="R1238" s="2347"/>
      <c r="S1238" s="2347"/>
      <c r="T1238" s="2348"/>
      <c r="U1238" s="2348"/>
      <c r="V1238" s="2348"/>
      <c r="W1238" s="2347"/>
      <c r="X1238" s="2347"/>
      <c r="Y1238" s="2105"/>
      <c r="Z1238" s="2105"/>
      <c r="AA1238" s="2105"/>
      <c r="AB1238" s="2105"/>
      <c r="AC1238" s="2105"/>
    </row>
    <row r="1239" spans="1:29">
      <c r="A1239" s="2105"/>
      <c r="B1239" s="2105"/>
      <c r="C1239" s="2105"/>
      <c r="D1239" s="2105"/>
      <c r="E1239" s="2345"/>
      <c r="F1239" s="2105"/>
      <c r="G1239" s="2346"/>
      <c r="H1239" s="2105"/>
      <c r="I1239" s="2105"/>
      <c r="J1239" s="2105"/>
      <c r="K1239" s="2347"/>
      <c r="L1239" s="2105"/>
      <c r="M1239" s="2105"/>
      <c r="N1239" s="2105"/>
      <c r="O1239" s="2105"/>
      <c r="P1239" s="2346"/>
      <c r="Q1239" s="2105"/>
      <c r="R1239" s="2347"/>
      <c r="S1239" s="2347"/>
      <c r="T1239" s="2348"/>
      <c r="U1239" s="2348"/>
      <c r="V1239" s="2348"/>
      <c r="W1239" s="2347"/>
      <c r="X1239" s="2347"/>
      <c r="Y1239" s="2105"/>
      <c r="Z1239" s="2105"/>
      <c r="AA1239" s="2105"/>
      <c r="AB1239" s="2105"/>
      <c r="AC1239" s="2105"/>
    </row>
    <row r="1240" spans="1:29">
      <c r="A1240" s="2105"/>
      <c r="B1240" s="2105"/>
      <c r="C1240" s="2105"/>
      <c r="D1240" s="2105"/>
      <c r="E1240" s="2345"/>
      <c r="F1240" s="2105"/>
      <c r="G1240" s="2346"/>
      <c r="H1240" s="2105"/>
      <c r="I1240" s="2105"/>
      <c r="J1240" s="2105"/>
      <c r="K1240" s="2347"/>
      <c r="L1240" s="2105"/>
      <c r="M1240" s="2105"/>
      <c r="N1240" s="2105"/>
      <c r="O1240" s="2105"/>
      <c r="P1240" s="2346"/>
      <c r="Q1240" s="2105"/>
      <c r="R1240" s="2347"/>
      <c r="S1240" s="2347"/>
      <c r="T1240" s="2348"/>
      <c r="U1240" s="2348"/>
      <c r="V1240" s="2348"/>
      <c r="W1240" s="2347"/>
      <c r="X1240" s="2347"/>
      <c r="Y1240" s="2105"/>
      <c r="Z1240" s="2105"/>
      <c r="AA1240" s="2105"/>
      <c r="AB1240" s="2105"/>
      <c r="AC1240" s="2105"/>
    </row>
    <row r="1241" spans="1:29">
      <c r="A1241" s="2105"/>
      <c r="B1241" s="2105"/>
      <c r="C1241" s="2105"/>
      <c r="D1241" s="2105"/>
      <c r="E1241" s="2345"/>
      <c r="F1241" s="2105"/>
      <c r="G1241" s="2346"/>
      <c r="H1241" s="2105"/>
      <c r="I1241" s="2105"/>
      <c r="J1241" s="2105"/>
      <c r="K1241" s="2347"/>
      <c r="L1241" s="2105"/>
      <c r="M1241" s="2105"/>
      <c r="N1241" s="2105"/>
      <c r="O1241" s="2105"/>
      <c r="P1241" s="2346"/>
      <c r="Q1241" s="2105"/>
      <c r="R1241" s="2347"/>
      <c r="S1241" s="2347"/>
      <c r="T1241" s="2348"/>
      <c r="U1241" s="2348"/>
      <c r="V1241" s="2348"/>
      <c r="W1241" s="2347"/>
      <c r="X1241" s="2347"/>
      <c r="Y1241" s="2105"/>
      <c r="Z1241" s="2105"/>
      <c r="AA1241" s="2105"/>
      <c r="AB1241" s="2105"/>
      <c r="AC1241" s="2105"/>
    </row>
    <row r="1242" spans="1:29">
      <c r="A1242" s="2105"/>
      <c r="B1242" s="2105"/>
      <c r="C1242" s="2105"/>
      <c r="D1242" s="2105"/>
      <c r="E1242" s="2345"/>
      <c r="F1242" s="2105"/>
      <c r="G1242" s="2346"/>
      <c r="H1242" s="2105"/>
      <c r="I1242" s="2105"/>
      <c r="J1242" s="2105"/>
      <c r="K1242" s="2347"/>
      <c r="L1242" s="2105"/>
      <c r="M1242" s="2105"/>
      <c r="N1242" s="2105"/>
      <c r="O1242" s="2105"/>
      <c r="P1242" s="2346"/>
      <c r="Q1242" s="2105"/>
      <c r="R1242" s="2347"/>
      <c r="S1242" s="2347"/>
      <c r="T1242" s="2348"/>
      <c r="U1242" s="2348"/>
      <c r="V1242" s="2348"/>
      <c r="W1242" s="2347"/>
      <c r="X1242" s="2347"/>
      <c r="Y1242" s="2105"/>
      <c r="Z1242" s="2105"/>
      <c r="AA1242" s="2105"/>
      <c r="AB1242" s="2105"/>
      <c r="AC1242" s="2105"/>
    </row>
    <row r="1243" spans="1:29">
      <c r="A1243" s="2105"/>
      <c r="B1243" s="2105"/>
      <c r="C1243" s="2105"/>
      <c r="D1243" s="2105"/>
      <c r="E1243" s="2345"/>
      <c r="F1243" s="2105"/>
      <c r="G1243" s="2346"/>
      <c r="H1243" s="2105"/>
      <c r="I1243" s="2105"/>
      <c r="J1243" s="2105"/>
      <c r="K1243" s="2347"/>
      <c r="L1243" s="2105"/>
      <c r="M1243" s="2105"/>
      <c r="N1243" s="2105"/>
      <c r="O1243" s="2105"/>
      <c r="P1243" s="2346"/>
      <c r="Q1243" s="2105"/>
      <c r="R1243" s="2347"/>
      <c r="S1243" s="2347"/>
      <c r="T1243" s="2348"/>
      <c r="U1243" s="2348"/>
      <c r="V1243" s="2348"/>
      <c r="W1243" s="2347"/>
      <c r="X1243" s="2347"/>
      <c r="Y1243" s="2105"/>
      <c r="Z1243" s="2105"/>
      <c r="AA1243" s="2105"/>
      <c r="AB1243" s="2105"/>
      <c r="AC1243" s="2105"/>
    </row>
    <row r="1244" spans="1:29">
      <c r="A1244" s="2105"/>
      <c r="B1244" s="2105"/>
      <c r="C1244" s="2105"/>
      <c r="D1244" s="2105"/>
      <c r="E1244" s="2345"/>
      <c r="F1244" s="2105"/>
      <c r="G1244" s="2346"/>
      <c r="H1244" s="2105"/>
      <c r="I1244" s="2105"/>
      <c r="J1244" s="2105"/>
      <c r="K1244" s="2347"/>
      <c r="L1244" s="2105"/>
      <c r="M1244" s="2105"/>
      <c r="N1244" s="2105"/>
      <c r="O1244" s="2105"/>
      <c r="P1244" s="2346"/>
      <c r="Q1244" s="2105"/>
      <c r="R1244" s="2347"/>
      <c r="S1244" s="2347"/>
      <c r="T1244" s="2348"/>
      <c r="U1244" s="2348"/>
      <c r="V1244" s="2348"/>
      <c r="W1244" s="2347"/>
      <c r="X1244" s="2347"/>
      <c r="Y1244" s="2105"/>
      <c r="Z1244" s="2105"/>
      <c r="AA1244" s="2105"/>
      <c r="AB1244" s="2105"/>
      <c r="AC1244" s="2105"/>
    </row>
    <row r="1245" spans="1:29">
      <c r="A1245" s="2105"/>
      <c r="B1245" s="2105"/>
      <c r="C1245" s="2105"/>
      <c r="D1245" s="2105"/>
      <c r="E1245" s="2345"/>
      <c r="F1245" s="2105"/>
      <c r="G1245" s="2346"/>
      <c r="H1245" s="2105"/>
      <c r="I1245" s="2105"/>
      <c r="J1245" s="2105"/>
      <c r="K1245" s="2347"/>
      <c r="L1245" s="2105"/>
      <c r="M1245" s="2105"/>
      <c r="N1245" s="2105"/>
      <c r="O1245" s="2105"/>
      <c r="P1245" s="2346"/>
      <c r="Q1245" s="2105"/>
      <c r="R1245" s="2347"/>
      <c r="S1245" s="2347"/>
      <c r="T1245" s="2348"/>
      <c r="U1245" s="2348"/>
      <c r="V1245" s="2348"/>
      <c r="W1245" s="2347"/>
      <c r="X1245" s="2347"/>
      <c r="Y1245" s="2105"/>
      <c r="Z1245" s="2105"/>
      <c r="AA1245" s="2105"/>
      <c r="AB1245" s="2105"/>
      <c r="AC1245" s="2105"/>
    </row>
    <row r="1246" spans="1:29">
      <c r="A1246" s="2105"/>
      <c r="B1246" s="2105"/>
      <c r="C1246" s="2105"/>
      <c r="D1246" s="2105"/>
      <c r="E1246" s="2345"/>
      <c r="F1246" s="2105"/>
      <c r="G1246" s="2346"/>
      <c r="H1246" s="2105"/>
      <c r="I1246" s="2105"/>
      <c r="J1246" s="2105"/>
      <c r="K1246" s="2347"/>
      <c r="L1246" s="2105"/>
      <c r="M1246" s="2105"/>
      <c r="N1246" s="2105"/>
      <c r="O1246" s="2105"/>
      <c r="P1246" s="2346"/>
      <c r="Q1246" s="2105"/>
      <c r="R1246" s="2347"/>
      <c r="S1246" s="2347"/>
      <c r="T1246" s="2348"/>
      <c r="U1246" s="2348"/>
      <c r="V1246" s="2348"/>
      <c r="W1246" s="2347"/>
      <c r="X1246" s="2347"/>
      <c r="Y1246" s="2105"/>
      <c r="Z1246" s="2105"/>
      <c r="AA1246" s="2105"/>
      <c r="AB1246" s="2105"/>
      <c r="AC1246" s="2105"/>
    </row>
    <row r="1247" spans="1:29">
      <c r="A1247" s="2105"/>
      <c r="B1247" s="2105"/>
      <c r="C1247" s="2105"/>
      <c r="D1247" s="2105"/>
      <c r="E1247" s="2345"/>
      <c r="F1247" s="2105"/>
      <c r="G1247" s="2346"/>
      <c r="H1247" s="2105"/>
      <c r="I1247" s="2105"/>
      <c r="J1247" s="2105"/>
      <c r="K1247" s="2347"/>
      <c r="L1247" s="2105"/>
      <c r="M1247" s="2105"/>
      <c r="N1247" s="2105"/>
      <c r="O1247" s="2105"/>
      <c r="P1247" s="2346"/>
      <c r="Q1247" s="2105"/>
      <c r="R1247" s="2347"/>
      <c r="S1247" s="2347"/>
      <c r="T1247" s="2348"/>
      <c r="U1247" s="2348"/>
      <c r="V1247" s="2348"/>
      <c r="W1247" s="2347"/>
      <c r="X1247" s="2347"/>
      <c r="Y1247" s="2105"/>
      <c r="Z1247" s="2105"/>
      <c r="AA1247" s="2105"/>
      <c r="AB1247" s="2105"/>
      <c r="AC1247" s="2105"/>
    </row>
    <row r="1248" spans="1:29">
      <c r="A1248" s="2105"/>
      <c r="B1248" s="2105"/>
      <c r="C1248" s="2105"/>
      <c r="D1248" s="2105"/>
      <c r="E1248" s="2345"/>
      <c r="F1248" s="2105"/>
      <c r="G1248" s="2346"/>
      <c r="H1248" s="2105"/>
      <c r="I1248" s="2105"/>
      <c r="J1248" s="2105"/>
      <c r="K1248" s="2347"/>
      <c r="L1248" s="2105"/>
      <c r="M1248" s="2105"/>
      <c r="N1248" s="2105"/>
      <c r="O1248" s="2105"/>
      <c r="P1248" s="2346"/>
      <c r="Q1248" s="2105"/>
      <c r="R1248" s="2347"/>
      <c r="S1248" s="2347"/>
      <c r="T1248" s="2348"/>
      <c r="U1248" s="2348"/>
      <c r="V1248" s="2348"/>
      <c r="W1248" s="2347"/>
      <c r="X1248" s="2347"/>
      <c r="Y1248" s="2105"/>
      <c r="Z1248" s="2105"/>
      <c r="AA1248" s="2105"/>
      <c r="AB1248" s="2105"/>
      <c r="AC1248" s="2105"/>
    </row>
    <row r="1249" spans="1:29">
      <c r="A1249" s="2105"/>
      <c r="B1249" s="2105"/>
      <c r="C1249" s="2105"/>
      <c r="D1249" s="2105"/>
      <c r="E1249" s="2345"/>
      <c r="F1249" s="2105"/>
      <c r="G1249" s="2346"/>
      <c r="H1249" s="2105"/>
      <c r="I1249" s="2105"/>
      <c r="J1249" s="2105"/>
      <c r="K1249" s="2347"/>
      <c r="L1249" s="2105"/>
      <c r="M1249" s="2105"/>
      <c r="N1249" s="2105"/>
      <c r="O1249" s="2105"/>
      <c r="P1249" s="2346"/>
      <c r="Q1249" s="2105"/>
      <c r="R1249" s="2347"/>
      <c r="S1249" s="2347"/>
      <c r="T1249" s="2348"/>
      <c r="U1249" s="2348"/>
      <c r="V1249" s="2348"/>
      <c r="W1249" s="2347"/>
      <c r="X1249" s="2347"/>
      <c r="Y1249" s="2105"/>
      <c r="Z1249" s="2105"/>
      <c r="AA1249" s="2105"/>
      <c r="AB1249" s="2105"/>
      <c r="AC1249" s="2105"/>
    </row>
    <row r="1250" spans="1:29">
      <c r="A1250" s="2105"/>
      <c r="B1250" s="2105"/>
      <c r="C1250" s="2105"/>
      <c r="D1250" s="2105"/>
      <c r="E1250" s="2345"/>
      <c r="F1250" s="2105"/>
      <c r="G1250" s="2346"/>
      <c r="H1250" s="2105"/>
      <c r="I1250" s="2105"/>
      <c r="J1250" s="2105"/>
      <c r="K1250" s="2347"/>
      <c r="L1250" s="2105"/>
      <c r="M1250" s="2105"/>
      <c r="N1250" s="2105"/>
      <c r="O1250" s="2105"/>
      <c r="P1250" s="2346"/>
      <c r="Q1250" s="2105"/>
      <c r="R1250" s="2347"/>
      <c r="S1250" s="2347"/>
      <c r="T1250" s="2348"/>
      <c r="U1250" s="2348"/>
      <c r="V1250" s="2348"/>
      <c r="W1250" s="2347"/>
      <c r="X1250" s="2347"/>
      <c r="Y1250" s="2105"/>
      <c r="Z1250" s="2105"/>
      <c r="AA1250" s="2105"/>
      <c r="AB1250" s="2105"/>
      <c r="AC1250" s="2105"/>
    </row>
    <row r="1251" spans="1:29">
      <c r="A1251" s="2105"/>
      <c r="B1251" s="2105"/>
      <c r="C1251" s="2105"/>
      <c r="D1251" s="2105"/>
      <c r="E1251" s="2345"/>
      <c r="F1251" s="2105"/>
      <c r="G1251" s="2346"/>
      <c r="H1251" s="2105"/>
      <c r="I1251" s="2105"/>
      <c r="J1251" s="2105"/>
      <c r="K1251" s="2347"/>
      <c r="L1251" s="2105"/>
      <c r="M1251" s="2105"/>
      <c r="N1251" s="2105"/>
      <c r="O1251" s="2105"/>
      <c r="P1251" s="2346"/>
      <c r="Q1251" s="2105"/>
      <c r="R1251" s="2347"/>
      <c r="S1251" s="2347"/>
      <c r="T1251" s="2348"/>
      <c r="U1251" s="2348"/>
      <c r="V1251" s="2348"/>
      <c r="W1251" s="2347"/>
      <c r="X1251" s="2347"/>
      <c r="Y1251" s="2105"/>
      <c r="Z1251" s="2105"/>
      <c r="AA1251" s="2105"/>
      <c r="AB1251" s="2105"/>
      <c r="AC1251" s="2105"/>
    </row>
    <row r="1252" spans="1:29">
      <c r="A1252" s="2105"/>
      <c r="B1252" s="2105"/>
      <c r="C1252" s="2105"/>
      <c r="D1252" s="2105"/>
      <c r="E1252" s="2345"/>
      <c r="F1252" s="2105"/>
      <c r="G1252" s="2346"/>
      <c r="H1252" s="2105"/>
      <c r="I1252" s="2105"/>
      <c r="J1252" s="2105"/>
      <c r="K1252" s="2347"/>
      <c r="L1252" s="2105"/>
      <c r="M1252" s="2105"/>
      <c r="N1252" s="2105"/>
      <c r="O1252" s="2105"/>
      <c r="P1252" s="2346"/>
      <c r="Q1252" s="2105"/>
      <c r="R1252" s="2347"/>
      <c r="S1252" s="2347"/>
      <c r="T1252" s="2348"/>
      <c r="U1252" s="2348"/>
      <c r="V1252" s="2348"/>
      <c r="W1252" s="2347"/>
      <c r="X1252" s="2347"/>
      <c r="Y1252" s="2105"/>
      <c r="Z1252" s="2105"/>
      <c r="AA1252" s="2105"/>
      <c r="AB1252" s="2105"/>
      <c r="AC1252" s="2105"/>
    </row>
    <row r="1253" spans="1:29">
      <c r="A1253" s="2105"/>
      <c r="B1253" s="2105"/>
      <c r="C1253" s="2105"/>
      <c r="D1253" s="2105"/>
      <c r="E1253" s="2345"/>
      <c r="F1253" s="2105"/>
      <c r="G1253" s="2346"/>
      <c r="H1253" s="2105"/>
      <c r="I1253" s="2105"/>
      <c r="J1253" s="2105"/>
      <c r="K1253" s="2347"/>
      <c r="L1253" s="2105"/>
      <c r="M1253" s="2105"/>
      <c r="N1253" s="2105"/>
      <c r="O1253" s="2105"/>
      <c r="P1253" s="2346"/>
      <c r="Q1253" s="2105"/>
      <c r="R1253" s="2347"/>
      <c r="S1253" s="2347"/>
      <c r="T1253" s="2348"/>
      <c r="U1253" s="2348"/>
      <c r="V1253" s="2348"/>
      <c r="W1253" s="2347"/>
      <c r="X1253" s="2347"/>
      <c r="Y1253" s="2105"/>
      <c r="Z1253" s="2105"/>
      <c r="AA1253" s="2105"/>
      <c r="AB1253" s="2105"/>
      <c r="AC1253" s="2105"/>
    </row>
    <row r="1254" spans="1:29">
      <c r="A1254" s="2105"/>
      <c r="B1254" s="2105"/>
      <c r="C1254" s="2105"/>
      <c r="D1254" s="2105"/>
      <c r="E1254" s="2345"/>
      <c r="F1254" s="2105"/>
      <c r="G1254" s="2346"/>
      <c r="H1254" s="2105"/>
      <c r="I1254" s="2105"/>
      <c r="J1254" s="2105"/>
      <c r="K1254" s="2347"/>
      <c r="L1254" s="2105"/>
      <c r="M1254" s="2105"/>
      <c r="N1254" s="2105"/>
      <c r="O1254" s="2105"/>
      <c r="P1254" s="2346"/>
      <c r="Q1254" s="2105"/>
      <c r="R1254" s="2347"/>
      <c r="S1254" s="2347"/>
      <c r="T1254" s="2348"/>
      <c r="U1254" s="2348"/>
      <c r="V1254" s="2348"/>
      <c r="W1254" s="2347"/>
      <c r="X1254" s="2347"/>
      <c r="Y1254" s="2105"/>
      <c r="Z1254" s="2105"/>
      <c r="AA1254" s="2105"/>
      <c r="AB1254" s="2105"/>
      <c r="AC1254" s="2105"/>
    </row>
    <row r="1255" spans="1:29">
      <c r="A1255" s="2105"/>
      <c r="B1255" s="2105"/>
      <c r="C1255" s="2105"/>
      <c r="D1255" s="2105"/>
      <c r="E1255" s="2345"/>
      <c r="F1255" s="2105"/>
      <c r="G1255" s="2346"/>
      <c r="H1255" s="2105"/>
      <c r="I1255" s="2105"/>
      <c r="J1255" s="2105"/>
      <c r="K1255" s="2347"/>
      <c r="L1255" s="2105"/>
      <c r="M1255" s="2105"/>
      <c r="N1255" s="2105"/>
      <c r="O1255" s="2105"/>
      <c r="P1255" s="2346"/>
      <c r="Q1255" s="2105"/>
      <c r="R1255" s="2347"/>
      <c r="S1255" s="2347"/>
      <c r="T1255" s="2348"/>
      <c r="U1255" s="2348"/>
      <c r="V1255" s="2348"/>
      <c r="W1255" s="2347"/>
      <c r="X1255" s="2347"/>
      <c r="Y1255" s="2105"/>
      <c r="Z1255" s="2105"/>
      <c r="AA1255" s="2105"/>
      <c r="AB1255" s="2105"/>
      <c r="AC1255" s="2105"/>
    </row>
    <row r="1256" spans="1:29">
      <c r="A1256" s="2105"/>
      <c r="B1256" s="2105"/>
      <c r="C1256" s="2105"/>
      <c r="D1256" s="2105"/>
      <c r="E1256" s="2345"/>
      <c r="F1256" s="2105"/>
      <c r="G1256" s="2346"/>
      <c r="H1256" s="2105"/>
      <c r="I1256" s="2105"/>
      <c r="J1256" s="2105"/>
      <c r="K1256" s="2347"/>
      <c r="L1256" s="2105"/>
      <c r="M1256" s="2105"/>
      <c r="N1256" s="2105"/>
      <c r="O1256" s="2105"/>
      <c r="P1256" s="2346"/>
      <c r="Q1256" s="2105"/>
      <c r="R1256" s="2347"/>
      <c r="S1256" s="2347"/>
      <c r="T1256" s="2348"/>
      <c r="U1256" s="2348"/>
      <c r="V1256" s="2348"/>
      <c r="W1256" s="2347"/>
      <c r="X1256" s="2347"/>
      <c r="Y1256" s="2105"/>
      <c r="Z1256" s="2105"/>
      <c r="AA1256" s="2105"/>
      <c r="AB1256" s="2105"/>
      <c r="AC1256" s="2105"/>
    </row>
    <row r="1257" spans="1:29">
      <c r="A1257" s="2105"/>
      <c r="B1257" s="2105"/>
      <c r="C1257" s="2105"/>
      <c r="D1257" s="2105"/>
      <c r="E1257" s="2345"/>
      <c r="F1257" s="2105"/>
      <c r="G1257" s="2346"/>
      <c r="H1257" s="2105"/>
      <c r="I1257" s="2105"/>
      <c r="J1257" s="2105"/>
      <c r="K1257" s="2347"/>
      <c r="L1257" s="2105"/>
      <c r="M1257" s="2105"/>
      <c r="N1257" s="2105"/>
      <c r="O1257" s="2105"/>
      <c r="P1257" s="2346"/>
      <c r="Q1257" s="2105"/>
      <c r="R1257" s="2347"/>
      <c r="S1257" s="2347"/>
      <c r="T1257" s="2348"/>
      <c r="U1257" s="2348"/>
      <c r="V1257" s="2348"/>
      <c r="W1257" s="2347"/>
      <c r="X1257" s="2347"/>
      <c r="Y1257" s="2105"/>
      <c r="Z1257" s="2105"/>
      <c r="AA1257" s="2105"/>
      <c r="AB1257" s="2105"/>
      <c r="AC1257" s="2105"/>
    </row>
    <row r="1258" spans="1:29">
      <c r="A1258" s="2105"/>
      <c r="B1258" s="2105"/>
      <c r="C1258" s="2105"/>
      <c r="D1258" s="2105"/>
      <c r="E1258" s="2345"/>
      <c r="F1258" s="2105"/>
      <c r="G1258" s="2346"/>
      <c r="H1258" s="2105"/>
      <c r="I1258" s="2105"/>
      <c r="J1258" s="2105"/>
      <c r="K1258" s="2347"/>
      <c r="L1258" s="2105"/>
      <c r="M1258" s="2105"/>
      <c r="N1258" s="2105"/>
      <c r="O1258" s="2105"/>
      <c r="P1258" s="2346"/>
      <c r="Q1258" s="2105"/>
      <c r="R1258" s="2347"/>
      <c r="S1258" s="2347"/>
      <c r="T1258" s="2348"/>
      <c r="U1258" s="2348"/>
      <c r="V1258" s="2348"/>
      <c r="W1258" s="2347"/>
      <c r="X1258" s="2347"/>
      <c r="Y1258" s="2105"/>
      <c r="Z1258" s="2105"/>
      <c r="AA1258" s="2105"/>
      <c r="AB1258" s="2105"/>
      <c r="AC1258" s="2105"/>
    </row>
    <row r="1259" spans="1:29">
      <c r="A1259" s="2105"/>
      <c r="B1259" s="2105"/>
      <c r="C1259" s="2105"/>
      <c r="D1259" s="2105"/>
      <c r="E1259" s="2345"/>
      <c r="F1259" s="2105"/>
      <c r="G1259" s="2346"/>
      <c r="H1259" s="2105"/>
      <c r="I1259" s="2105"/>
      <c r="J1259" s="2105"/>
      <c r="K1259" s="2347"/>
      <c r="L1259" s="2105"/>
      <c r="M1259" s="2105"/>
      <c r="N1259" s="2105"/>
      <c r="O1259" s="2105"/>
      <c r="P1259" s="2346"/>
      <c r="Q1259" s="2105"/>
      <c r="R1259" s="2347"/>
      <c r="S1259" s="2347"/>
      <c r="T1259" s="2348"/>
      <c r="U1259" s="2348"/>
      <c r="V1259" s="2348"/>
      <c r="W1259" s="2347"/>
      <c r="X1259" s="2347"/>
      <c r="Y1259" s="2105"/>
      <c r="Z1259" s="2105"/>
      <c r="AA1259" s="2105"/>
      <c r="AB1259" s="2105"/>
      <c r="AC1259" s="2105"/>
    </row>
    <row r="1260" spans="1:29">
      <c r="A1260" s="2105"/>
      <c r="B1260" s="2105"/>
      <c r="C1260" s="2105"/>
      <c r="D1260" s="2105"/>
      <c r="E1260" s="2345"/>
      <c r="F1260" s="2105"/>
      <c r="G1260" s="2346"/>
      <c r="H1260" s="2105"/>
      <c r="I1260" s="2105"/>
      <c r="J1260" s="2105"/>
      <c r="K1260" s="2347"/>
      <c r="L1260" s="2105"/>
      <c r="M1260" s="2105"/>
      <c r="N1260" s="2105"/>
      <c r="O1260" s="2105"/>
      <c r="P1260" s="2346"/>
      <c r="Q1260" s="2105"/>
      <c r="R1260" s="2347"/>
      <c r="S1260" s="2347"/>
      <c r="T1260" s="2348"/>
      <c r="U1260" s="2348"/>
      <c r="V1260" s="2348"/>
      <c r="W1260" s="2347"/>
      <c r="X1260" s="2347"/>
      <c r="Y1260" s="2105"/>
      <c r="Z1260" s="2105"/>
      <c r="AA1260" s="2105"/>
      <c r="AB1260" s="2105"/>
      <c r="AC1260" s="2105"/>
    </row>
    <row r="1261" spans="1:29">
      <c r="A1261" s="2105"/>
      <c r="B1261" s="2105"/>
      <c r="C1261" s="2105"/>
      <c r="D1261" s="2105"/>
      <c r="E1261" s="2345"/>
      <c r="F1261" s="2105"/>
      <c r="G1261" s="2346"/>
      <c r="H1261" s="2105"/>
      <c r="I1261" s="2105"/>
      <c r="J1261" s="2105"/>
      <c r="K1261" s="2347"/>
      <c r="L1261" s="2105"/>
      <c r="M1261" s="2105"/>
      <c r="N1261" s="2105"/>
      <c r="O1261" s="2105"/>
      <c r="P1261" s="2346"/>
      <c r="Q1261" s="2105"/>
      <c r="R1261" s="2347"/>
      <c r="S1261" s="2347"/>
      <c r="T1261" s="2348"/>
      <c r="U1261" s="2348"/>
      <c r="V1261" s="2348"/>
      <c r="W1261" s="2347"/>
      <c r="X1261" s="2347"/>
      <c r="Y1261" s="2105"/>
      <c r="Z1261" s="2105"/>
      <c r="AA1261" s="2105"/>
      <c r="AB1261" s="2105"/>
      <c r="AC1261" s="2105"/>
    </row>
    <row r="1262" spans="1:29">
      <c r="A1262" s="2105"/>
      <c r="B1262" s="2105"/>
      <c r="C1262" s="2105"/>
      <c r="D1262" s="2105"/>
      <c r="E1262" s="2345"/>
      <c r="F1262" s="2105"/>
      <c r="G1262" s="2346"/>
      <c r="H1262" s="2105"/>
      <c r="I1262" s="2105"/>
      <c r="J1262" s="2105"/>
      <c r="K1262" s="2347"/>
      <c r="L1262" s="2105"/>
      <c r="M1262" s="2105"/>
      <c r="N1262" s="2105"/>
      <c r="O1262" s="2105"/>
      <c r="P1262" s="2346"/>
      <c r="Q1262" s="2105"/>
      <c r="R1262" s="2347"/>
      <c r="S1262" s="2347"/>
      <c r="T1262" s="2348"/>
      <c r="U1262" s="2348"/>
      <c r="V1262" s="2348"/>
      <c r="W1262" s="2347"/>
      <c r="X1262" s="2347"/>
      <c r="Y1262" s="2105"/>
      <c r="Z1262" s="2105"/>
      <c r="AA1262" s="2105"/>
      <c r="AB1262" s="2105"/>
      <c r="AC1262" s="2105"/>
    </row>
  </sheetData>
  <autoFilter ref="A8:AD876" xr:uid="{1F6A3099-2B61-41D8-8BAC-58A9E4FBE19E}"/>
  <pageMargins left="0.23622047244094491" right="0.27559055118110237" top="0.31496062992125984" bottom="0.19685039370078741" header="0.31496062992125984" footer="0.31496062992125984"/>
  <pageSetup paperSize="9" scale="81" fitToHeight="14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15"/>
  <sheetViews>
    <sheetView topLeftCell="A2" workbookViewId="0">
      <selection activeCell="A9" sqref="A9"/>
    </sheetView>
  </sheetViews>
  <sheetFormatPr defaultRowHeight="15"/>
  <cols>
    <col min="1" max="1" width="19" bestFit="1" customWidth="1"/>
    <col min="2" max="2" width="41.28515625" bestFit="1" customWidth="1"/>
    <col min="3" max="3" width="28.28515625" bestFit="1" customWidth="1"/>
  </cols>
  <sheetData>
    <row r="1" spans="1:3">
      <c r="A1" s="2861" t="s">
        <v>10</v>
      </c>
      <c r="B1" s="2860" t="s">
        <v>745</v>
      </c>
    </row>
    <row r="3" spans="1:3">
      <c r="B3" s="2861" t="s">
        <v>742</v>
      </c>
    </row>
    <row r="4" spans="1:3">
      <c r="A4" s="2861" t="s">
        <v>739</v>
      </c>
      <c r="B4" s="2860" t="s">
        <v>741</v>
      </c>
      <c r="C4" s="2860" t="s">
        <v>743</v>
      </c>
    </row>
    <row r="5" spans="1:3">
      <c r="A5" s="2862" t="s">
        <v>251</v>
      </c>
      <c r="B5" s="2270">
        <v>4151119758.9400001</v>
      </c>
      <c r="C5" s="2270">
        <v>3907599517.9060993</v>
      </c>
    </row>
    <row r="6" spans="1:3">
      <c r="A6" s="2634" t="s">
        <v>1032</v>
      </c>
      <c r="B6" s="2270">
        <v>26960000</v>
      </c>
      <c r="C6" s="2270">
        <v>21997665</v>
      </c>
    </row>
    <row r="7" spans="1:3">
      <c r="A7" s="2634" t="s">
        <v>14</v>
      </c>
      <c r="B7" s="2270">
        <v>13314250</v>
      </c>
      <c r="C7" s="2270">
        <v>12853778</v>
      </c>
    </row>
    <row r="8" spans="1:3">
      <c r="A8" s="2634" t="s">
        <v>52</v>
      </c>
      <c r="B8" s="2270">
        <v>283500000</v>
      </c>
      <c r="C8" s="2270">
        <v>239939603.03</v>
      </c>
    </row>
    <row r="9" spans="1:3">
      <c r="A9" s="2634" t="s">
        <v>69</v>
      </c>
      <c r="B9" s="2270">
        <v>2156068046</v>
      </c>
      <c r="C9" s="2270">
        <v>2002764938.9560995</v>
      </c>
    </row>
    <row r="10" spans="1:3">
      <c r="A10" s="2634" t="s">
        <v>2434</v>
      </c>
      <c r="B10" s="2270">
        <v>863275054.94000006</v>
      </c>
      <c r="C10" s="2270">
        <v>846925608.55999982</v>
      </c>
    </row>
    <row r="11" spans="1:3">
      <c r="A11" s="2634" t="s">
        <v>58</v>
      </c>
      <c r="B11" s="2270">
        <v>779347223</v>
      </c>
      <c r="C11" s="2270">
        <v>755722271.8599999</v>
      </c>
    </row>
    <row r="12" spans="1:3">
      <c r="A12" s="2634" t="s">
        <v>9694</v>
      </c>
      <c r="B12" s="2270">
        <v>28655185</v>
      </c>
      <c r="C12" s="2270">
        <v>27395652.5</v>
      </c>
    </row>
    <row r="13" spans="1:3">
      <c r="A13" s="2862" t="s">
        <v>112</v>
      </c>
      <c r="B13" s="2270">
        <v>149966207.36999997</v>
      </c>
      <c r="C13" s="2270">
        <v>136766911.90000001</v>
      </c>
    </row>
    <row r="14" spans="1:3">
      <c r="A14" s="2862" t="s">
        <v>216</v>
      </c>
      <c r="B14" s="2270">
        <v>221564955</v>
      </c>
      <c r="C14" s="2270">
        <v>196871187.78999999</v>
      </c>
    </row>
    <row r="15" spans="1:3">
      <c r="A15" s="2862" t="s">
        <v>740</v>
      </c>
      <c r="B15" s="2270">
        <v>4522650921.3100004</v>
      </c>
      <c r="C15" s="2270">
        <v>4241237617.5960994</v>
      </c>
    </row>
  </sheetData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F3200-81BC-4217-AB20-6EB1954A784A}">
  <sheetPr>
    <pageSetUpPr fitToPage="1"/>
  </sheetPr>
  <dimension ref="A1:AQ1646"/>
  <sheetViews>
    <sheetView zoomScale="90" zoomScaleNormal="90" workbookViewId="0">
      <pane xSplit="11" ySplit="8" topLeftCell="R9" activePane="bottomRight" state="frozen"/>
      <selection activeCell="C281" sqref="C2:C281"/>
      <selection pane="topRight" activeCell="C281" sqref="C2:C281"/>
      <selection pane="bottomLeft" activeCell="C281" sqref="C2:C281"/>
      <selection pane="bottomRight" activeCell="R373" sqref="R373:S373"/>
    </sheetView>
  </sheetViews>
  <sheetFormatPr defaultColWidth="9.140625" defaultRowHeight="15"/>
  <cols>
    <col min="1" max="1" width="13.5703125" style="374" customWidth="1"/>
    <col min="2" max="2" width="18.5703125" style="1166" customWidth="1"/>
    <col min="3" max="3" width="9.28515625" style="374" customWidth="1"/>
    <col min="4" max="4" width="13" style="374" customWidth="1"/>
    <col min="5" max="5" width="54.42578125" style="1944" customWidth="1"/>
    <col min="6" max="6" width="5.42578125" style="374" customWidth="1"/>
    <col min="7" max="7" width="63.7109375" style="1166" customWidth="1"/>
    <col min="8" max="8" width="19" style="374" hidden="1" customWidth="1"/>
    <col min="9" max="9" width="13.140625" style="374" customWidth="1"/>
    <col min="10" max="10" width="9.7109375" style="374" customWidth="1"/>
    <col min="11" max="11" width="20.7109375" style="371" customWidth="1"/>
    <col min="12" max="12" width="7.85546875" style="374" customWidth="1"/>
    <col min="13" max="14" width="13" style="374" customWidth="1"/>
    <col min="15" max="15" width="13.42578125" style="374" customWidth="1"/>
    <col min="16" max="16" width="26.42578125" style="1166" customWidth="1"/>
    <col min="17" max="17" width="25.28515625" style="374" customWidth="1"/>
    <col min="18" max="19" width="20.85546875" style="371" customWidth="1"/>
    <col min="20" max="20" width="21.28515625" style="1469" hidden="1" customWidth="1"/>
    <col min="21" max="21" width="18.28515625" style="1469" hidden="1" customWidth="1"/>
    <col min="22" max="22" width="20.28515625" style="1469" hidden="1" customWidth="1"/>
    <col min="23" max="23" width="13.85546875" style="371" customWidth="1"/>
    <col min="24" max="24" width="24.42578125" style="371" bestFit="1" customWidth="1"/>
    <col min="25" max="25" width="15.5703125" style="374" bestFit="1" customWidth="1"/>
    <col min="26" max="26" width="17.7109375" style="374" customWidth="1"/>
    <col min="27" max="27" width="18.7109375" style="374" customWidth="1"/>
    <col min="28" max="28" width="16.5703125" style="374" customWidth="1"/>
    <col min="29" max="29" width="17.7109375" style="374" customWidth="1"/>
    <col min="30" max="30" width="24.85546875" style="360" customWidth="1"/>
    <col min="31" max="31" width="21.42578125" style="360" customWidth="1"/>
    <col min="32" max="32" width="14.85546875" style="374" customWidth="1"/>
    <col min="33" max="33" width="15" style="374" customWidth="1"/>
    <col min="34" max="34" width="15.140625" style="374" customWidth="1"/>
    <col min="35" max="36" width="13.5703125" style="374" bestFit="1" customWidth="1"/>
    <col min="37" max="42" width="9.140625" style="374"/>
    <col min="43" max="43" width="13.42578125" style="374" customWidth="1"/>
    <col min="44" max="16384" width="9.140625" style="1944"/>
  </cols>
  <sheetData>
    <row r="1" spans="1:36">
      <c r="C1" s="358"/>
      <c r="E1" s="491" t="s">
        <v>222</v>
      </c>
      <c r="J1" s="370"/>
    </row>
    <row r="2" spans="1:36">
      <c r="C2" s="359"/>
      <c r="E2" s="506" t="s">
        <v>223</v>
      </c>
      <c r="J2" s="370"/>
    </row>
    <row r="3" spans="1:36">
      <c r="C3" s="360"/>
      <c r="E3" s="540" t="s">
        <v>4837</v>
      </c>
      <c r="J3" s="370"/>
    </row>
    <row r="4" spans="1:36">
      <c r="C4" s="360"/>
      <c r="E4" s="590" t="s">
        <v>225</v>
      </c>
      <c r="J4" s="370"/>
    </row>
    <row r="5" spans="1:36">
      <c r="C5" s="360"/>
      <c r="E5" s="1552" t="s">
        <v>4709</v>
      </c>
      <c r="J5" s="370"/>
    </row>
    <row r="6" spans="1:36">
      <c r="C6" s="360"/>
      <c r="D6" s="796"/>
      <c r="E6" s="1102" t="s">
        <v>226</v>
      </c>
      <c r="F6" s="1351"/>
      <c r="G6" s="1418"/>
      <c r="H6" s="1351"/>
      <c r="J6" s="370"/>
    </row>
    <row r="7" spans="1:36">
      <c r="C7" s="360"/>
      <c r="D7" s="796"/>
      <c r="E7" s="1639" t="s">
        <v>5393</v>
      </c>
      <c r="F7" s="1351"/>
      <c r="G7" s="1418"/>
      <c r="H7" s="1351"/>
      <c r="J7" s="370"/>
    </row>
    <row r="8" spans="1:36" ht="60">
      <c r="A8" s="2463" t="s">
        <v>3484</v>
      </c>
      <c r="B8" s="2647" t="s">
        <v>11</v>
      </c>
      <c r="C8" s="2463" t="s">
        <v>1164</v>
      </c>
      <c r="D8" s="2463" t="s">
        <v>0</v>
      </c>
      <c r="E8" s="1192" t="s">
        <v>1</v>
      </c>
      <c r="F8" s="1192" t="s">
        <v>3684</v>
      </c>
      <c r="G8" s="1527" t="s">
        <v>3489</v>
      </c>
      <c r="H8" s="2463" t="s">
        <v>3490</v>
      </c>
      <c r="I8" s="1192" t="s">
        <v>2</v>
      </c>
      <c r="J8" s="1193" t="s">
        <v>5</v>
      </c>
      <c r="K8" s="1194" t="s">
        <v>15</v>
      </c>
      <c r="L8" s="1192" t="s">
        <v>3</v>
      </c>
      <c r="M8" s="2463" t="s">
        <v>4</v>
      </c>
      <c r="N8" s="2463" t="s">
        <v>6</v>
      </c>
      <c r="O8" s="2463" t="s">
        <v>3485</v>
      </c>
      <c r="P8" s="1706" t="s">
        <v>5486</v>
      </c>
      <c r="Q8" s="2463" t="s">
        <v>5487</v>
      </c>
      <c r="R8" s="1194" t="s">
        <v>8</v>
      </c>
      <c r="S8" s="1194" t="s">
        <v>9</v>
      </c>
      <c r="T8" s="1528" t="s">
        <v>3491</v>
      </c>
      <c r="U8" s="1528" t="s">
        <v>3492</v>
      </c>
      <c r="V8" s="1528" t="s">
        <v>3493</v>
      </c>
      <c r="W8" s="1194" t="s">
        <v>3486</v>
      </c>
      <c r="X8" s="1194" t="s">
        <v>3487</v>
      </c>
      <c r="Y8" s="2463" t="s">
        <v>10</v>
      </c>
      <c r="Z8" s="2463" t="s">
        <v>334</v>
      </c>
      <c r="AA8" s="2463" t="s">
        <v>3488</v>
      </c>
      <c r="AB8" s="3454" t="s">
        <v>220</v>
      </c>
      <c r="AC8" s="3455"/>
    </row>
    <row r="9" spans="1:36" ht="45">
      <c r="A9" s="537">
        <v>44287</v>
      </c>
      <c r="B9" s="495" t="s">
        <v>8535</v>
      </c>
      <c r="C9" s="491" t="s">
        <v>2434</v>
      </c>
      <c r="D9" s="491" t="s">
        <v>219</v>
      </c>
      <c r="E9" s="571" t="s">
        <v>8536</v>
      </c>
      <c r="F9" s="491"/>
      <c r="G9" s="495"/>
      <c r="H9" s="491"/>
      <c r="I9" s="491" t="s">
        <v>642</v>
      </c>
      <c r="J9" s="491"/>
      <c r="K9" s="536">
        <v>81184000</v>
      </c>
      <c r="L9" s="491" t="s">
        <v>251</v>
      </c>
      <c r="M9" s="537">
        <v>44313</v>
      </c>
      <c r="N9" s="537">
        <v>44389</v>
      </c>
      <c r="O9" s="537">
        <v>44545</v>
      </c>
      <c r="P9" s="495" t="s">
        <v>459</v>
      </c>
      <c r="Q9" s="491"/>
      <c r="R9" s="536">
        <v>72480000</v>
      </c>
      <c r="S9" s="536">
        <v>87700800</v>
      </c>
      <c r="T9" s="1471"/>
      <c r="U9" s="1471"/>
      <c r="V9" s="1471"/>
      <c r="W9" s="573">
        <v>44546</v>
      </c>
      <c r="X9" s="1375" t="s">
        <v>10576</v>
      </c>
      <c r="Y9" s="537">
        <v>44617</v>
      </c>
      <c r="Z9" s="537">
        <v>44621</v>
      </c>
      <c r="AA9" s="537">
        <v>47538</v>
      </c>
      <c r="AB9" s="1374" t="s">
        <v>11153</v>
      </c>
      <c r="AC9" s="1374">
        <v>2023</v>
      </c>
      <c r="AD9" s="388">
        <v>2024</v>
      </c>
      <c r="AE9" s="388">
        <v>2025</v>
      </c>
      <c r="AF9" s="388">
        <v>2026</v>
      </c>
      <c r="AG9" s="388">
        <v>2027</v>
      </c>
      <c r="AH9" s="388">
        <v>2028</v>
      </c>
      <c r="AI9" s="388">
        <v>2029</v>
      </c>
      <c r="AJ9" s="388" t="s">
        <v>11154</v>
      </c>
    </row>
    <row r="10" spans="1:36">
      <c r="A10" s="416">
        <v>44349</v>
      </c>
      <c r="B10" s="630" t="s">
        <v>9101</v>
      </c>
      <c r="C10" s="411" t="s">
        <v>69</v>
      </c>
      <c r="D10" s="411" t="s">
        <v>70</v>
      </c>
      <c r="E10" s="412" t="s">
        <v>9102</v>
      </c>
      <c r="F10" s="411">
        <v>1</v>
      </c>
      <c r="G10" s="630" t="s">
        <v>9103</v>
      </c>
      <c r="H10" s="411"/>
      <c r="I10" s="411" t="s">
        <v>9104</v>
      </c>
      <c r="J10" s="411"/>
      <c r="K10" s="417">
        <v>29548800</v>
      </c>
      <c r="L10" s="411" t="s">
        <v>251</v>
      </c>
      <c r="M10" s="416">
        <v>44425</v>
      </c>
      <c r="N10" s="416">
        <v>44481</v>
      </c>
      <c r="O10" s="416">
        <v>44526</v>
      </c>
      <c r="P10" s="630" t="s">
        <v>993</v>
      </c>
      <c r="Q10" s="411"/>
      <c r="R10" s="417">
        <v>28645920</v>
      </c>
      <c r="S10" s="417">
        <v>31510512</v>
      </c>
      <c r="T10" s="1480"/>
      <c r="U10" s="1480"/>
      <c r="V10" s="1480"/>
      <c r="W10" s="513">
        <v>44526</v>
      </c>
      <c r="X10" s="417" t="s">
        <v>10441</v>
      </c>
      <c r="Y10" s="416">
        <v>44564</v>
      </c>
      <c r="Z10" s="416">
        <v>44572</v>
      </c>
      <c r="AA10" s="416">
        <v>46024</v>
      </c>
      <c r="AB10" s="422" t="s">
        <v>10647</v>
      </c>
      <c r="AC10" s="422">
        <v>2023</v>
      </c>
      <c r="AD10" s="388">
        <v>2024</v>
      </c>
      <c r="AE10" s="388">
        <v>2025</v>
      </c>
      <c r="AF10" s="388" t="s">
        <v>10646</v>
      </c>
    </row>
    <row r="11" spans="1:36">
      <c r="A11" s="416">
        <v>44356</v>
      </c>
      <c r="B11" s="630" t="s">
        <v>9140</v>
      </c>
      <c r="C11" s="411" t="s">
        <v>52</v>
      </c>
      <c r="D11" s="411" t="s">
        <v>3981</v>
      </c>
      <c r="E11" s="412" t="s">
        <v>9141</v>
      </c>
      <c r="F11" s="411"/>
      <c r="G11" s="630"/>
      <c r="H11" s="491"/>
      <c r="I11" s="411" t="s">
        <v>484</v>
      </c>
      <c r="J11" s="411" t="s">
        <v>9142</v>
      </c>
      <c r="K11" s="417">
        <v>2300000</v>
      </c>
      <c r="L11" s="411" t="s">
        <v>216</v>
      </c>
      <c r="M11" s="416">
        <v>44456</v>
      </c>
      <c r="N11" s="416">
        <v>44475</v>
      </c>
      <c r="O11" s="416">
        <v>44524</v>
      </c>
      <c r="P11" s="630" t="s">
        <v>3500</v>
      </c>
      <c r="Q11" s="411"/>
      <c r="R11" s="417">
        <v>2850000</v>
      </c>
      <c r="S11" s="417">
        <v>3448500</v>
      </c>
      <c r="T11" s="1471"/>
      <c r="U11" s="1471"/>
      <c r="V11" s="1471"/>
      <c r="W11" s="513">
        <v>44524</v>
      </c>
      <c r="X11" s="417" t="s">
        <v>10410</v>
      </c>
      <c r="Y11" s="416">
        <v>44565</v>
      </c>
      <c r="Z11" s="416">
        <v>44574</v>
      </c>
      <c r="AA11" s="411"/>
      <c r="AB11" s="422"/>
      <c r="AC11" s="967"/>
    </row>
    <row r="12" spans="1:36">
      <c r="A12" s="2140">
        <v>44543</v>
      </c>
      <c r="B12" s="2143" t="s">
        <v>9488</v>
      </c>
      <c r="C12" s="2141" t="s">
        <v>69</v>
      </c>
      <c r="D12" s="2141" t="s">
        <v>70</v>
      </c>
      <c r="E12" s="2142" t="s">
        <v>11128</v>
      </c>
      <c r="F12" s="2141">
        <v>1</v>
      </c>
      <c r="G12" s="2143" t="s">
        <v>10603</v>
      </c>
      <c r="H12" s="2141"/>
      <c r="I12" s="2141" t="s">
        <v>5469</v>
      </c>
      <c r="J12" s="2141"/>
      <c r="K12" s="2144">
        <v>10955758</v>
      </c>
      <c r="L12" s="2141" t="s">
        <v>251</v>
      </c>
      <c r="M12" s="2140">
        <v>44553</v>
      </c>
      <c r="N12" s="2140">
        <v>44621</v>
      </c>
      <c r="O12" s="2140">
        <v>44672</v>
      </c>
      <c r="P12" s="2143" t="s">
        <v>576</v>
      </c>
      <c r="Q12" s="2141"/>
      <c r="R12" s="2144">
        <v>11077244.199999999</v>
      </c>
      <c r="S12" s="2144">
        <v>12184968.619999999</v>
      </c>
      <c r="T12" s="2145"/>
      <c r="U12" s="2145"/>
      <c r="V12" s="2145"/>
      <c r="W12" s="2146">
        <v>44672</v>
      </c>
      <c r="X12" s="2144" t="s">
        <v>11625</v>
      </c>
      <c r="Y12" s="2140">
        <v>44698</v>
      </c>
      <c r="Z12" s="2140">
        <v>44718</v>
      </c>
      <c r="AA12" s="2140">
        <v>45062</v>
      </c>
      <c r="AB12" s="2109" t="s">
        <v>11902</v>
      </c>
      <c r="AC12" s="2109" t="s">
        <v>8782</v>
      </c>
    </row>
    <row r="13" spans="1:36">
      <c r="A13" s="2124">
        <v>44543</v>
      </c>
      <c r="B13" s="2127" t="s">
        <v>9488</v>
      </c>
      <c r="C13" s="2125" t="s">
        <v>69</v>
      </c>
      <c r="D13" s="2125" t="s">
        <v>70</v>
      </c>
      <c r="E13" s="2126" t="s">
        <v>11128</v>
      </c>
      <c r="F13" s="2125">
        <v>2</v>
      </c>
      <c r="G13" s="2127" t="s">
        <v>10604</v>
      </c>
      <c r="H13" s="2125"/>
      <c r="I13" s="2125" t="s">
        <v>5469</v>
      </c>
      <c r="J13" s="2125"/>
      <c r="K13" s="2128">
        <v>16521989</v>
      </c>
      <c r="L13" s="2125" t="s">
        <v>251</v>
      </c>
      <c r="M13" s="2124">
        <v>44553</v>
      </c>
      <c r="N13" s="2124">
        <v>44621</v>
      </c>
      <c r="O13" s="2124"/>
      <c r="P13" s="2127"/>
      <c r="Q13" s="2125"/>
      <c r="R13" s="2128"/>
      <c r="S13" s="2128"/>
      <c r="T13" s="2129"/>
      <c r="U13" s="2129"/>
      <c r="V13" s="2129"/>
      <c r="W13" s="2281"/>
      <c r="X13" s="2128"/>
      <c r="Y13" s="2125"/>
      <c r="Z13" s="2124">
        <v>44846</v>
      </c>
      <c r="AA13" s="2127" t="s">
        <v>13151</v>
      </c>
      <c r="AB13" s="2125"/>
      <c r="AC13" s="2125"/>
    </row>
    <row r="14" spans="1:36" ht="30">
      <c r="A14" s="2140">
        <v>44371</v>
      </c>
      <c r="B14" s="2143" t="s">
        <v>9249</v>
      </c>
      <c r="C14" s="2141" t="s">
        <v>2434</v>
      </c>
      <c r="D14" s="2141" t="s">
        <v>219</v>
      </c>
      <c r="E14" s="2142" t="s">
        <v>9250</v>
      </c>
      <c r="F14" s="2141">
        <v>4</v>
      </c>
      <c r="G14" s="2143" t="s">
        <v>9254</v>
      </c>
      <c r="H14" s="2141"/>
      <c r="I14" s="2141" t="s">
        <v>3271</v>
      </c>
      <c r="J14" s="2141"/>
      <c r="K14" s="2144">
        <v>1333620</v>
      </c>
      <c r="L14" s="2141" t="s">
        <v>251</v>
      </c>
      <c r="M14" s="2140">
        <v>44399</v>
      </c>
      <c r="N14" s="2140">
        <v>44474</v>
      </c>
      <c r="O14" s="2140">
        <v>44680</v>
      </c>
      <c r="P14" s="2143" t="s">
        <v>993</v>
      </c>
      <c r="Q14" s="2141"/>
      <c r="R14" s="2144">
        <v>811725</v>
      </c>
      <c r="S14" s="2144">
        <v>982187.25</v>
      </c>
      <c r="T14" s="2145"/>
      <c r="U14" s="2145"/>
      <c r="V14" s="2145"/>
      <c r="W14" s="2146">
        <v>44680</v>
      </c>
      <c r="X14" s="2260" t="s">
        <v>11688</v>
      </c>
      <c r="Y14" s="2140">
        <v>44796</v>
      </c>
      <c r="Z14" s="2140">
        <v>44824</v>
      </c>
      <c r="AA14" s="2140">
        <v>45891</v>
      </c>
      <c r="AB14" s="2109" t="s">
        <v>12839</v>
      </c>
      <c r="AC14" s="2109">
        <v>2023</v>
      </c>
      <c r="AD14" s="388">
        <v>2024</v>
      </c>
      <c r="AE14" s="388" t="s">
        <v>12840</v>
      </c>
    </row>
    <row r="15" spans="1:36" ht="30">
      <c r="A15" s="2140">
        <v>44371</v>
      </c>
      <c r="B15" s="2143" t="s">
        <v>9249</v>
      </c>
      <c r="C15" s="2141" t="s">
        <v>2434</v>
      </c>
      <c r="D15" s="2141" t="s">
        <v>219</v>
      </c>
      <c r="E15" s="2142" t="s">
        <v>9250</v>
      </c>
      <c r="F15" s="2141">
        <v>6</v>
      </c>
      <c r="G15" s="2143" t="s">
        <v>9256</v>
      </c>
      <c r="H15" s="2141"/>
      <c r="I15" s="2141" t="s">
        <v>3271</v>
      </c>
      <c r="J15" s="2141"/>
      <c r="K15" s="2144">
        <v>2837580</v>
      </c>
      <c r="L15" s="2141" t="s">
        <v>251</v>
      </c>
      <c r="M15" s="2140">
        <v>44399</v>
      </c>
      <c r="N15" s="2140">
        <v>44474</v>
      </c>
      <c r="O15" s="2140">
        <v>44680</v>
      </c>
      <c r="P15" s="2143" t="s">
        <v>5696</v>
      </c>
      <c r="Q15" s="2141"/>
      <c r="R15" s="2144">
        <v>2737708</v>
      </c>
      <c r="S15" s="2144">
        <v>3312626.68</v>
      </c>
      <c r="T15" s="2145"/>
      <c r="U15" s="2145"/>
      <c r="V15" s="2145"/>
      <c r="W15" s="2146">
        <v>44680</v>
      </c>
      <c r="X15" s="2260" t="s">
        <v>11689</v>
      </c>
      <c r="Y15" s="2140">
        <v>44732</v>
      </c>
      <c r="Z15" s="2140">
        <v>44761</v>
      </c>
      <c r="AA15" s="2140">
        <v>45827</v>
      </c>
      <c r="AB15" s="2109" t="s">
        <v>12285</v>
      </c>
      <c r="AC15" s="2109">
        <v>2023</v>
      </c>
      <c r="AD15" s="388">
        <v>2024</v>
      </c>
      <c r="AE15" s="388" t="s">
        <v>12287</v>
      </c>
    </row>
    <row r="16" spans="1:36" ht="30">
      <c r="A16" s="2140">
        <v>44371</v>
      </c>
      <c r="B16" s="2143" t="s">
        <v>9249</v>
      </c>
      <c r="C16" s="2141" t="s">
        <v>2434</v>
      </c>
      <c r="D16" s="2141" t="s">
        <v>219</v>
      </c>
      <c r="E16" s="2142" t="s">
        <v>9250</v>
      </c>
      <c r="F16" s="2141">
        <v>7</v>
      </c>
      <c r="G16" s="2143" t="s">
        <v>9257</v>
      </c>
      <c r="H16" s="2141"/>
      <c r="I16" s="2141" t="s">
        <v>3271</v>
      </c>
      <c r="J16" s="2141"/>
      <c r="K16" s="2144">
        <v>2514360</v>
      </c>
      <c r="L16" s="2141" t="s">
        <v>251</v>
      </c>
      <c r="M16" s="2140">
        <v>44399</v>
      </c>
      <c r="N16" s="2140">
        <v>44474</v>
      </c>
      <c r="O16" s="2140">
        <v>44680</v>
      </c>
      <c r="P16" s="2143" t="s">
        <v>993</v>
      </c>
      <c r="Q16" s="2141"/>
      <c r="R16" s="2144">
        <v>1999300</v>
      </c>
      <c r="S16" s="2144">
        <v>2419153</v>
      </c>
      <c r="T16" s="2145"/>
      <c r="U16" s="2145"/>
      <c r="V16" s="2145"/>
      <c r="W16" s="2146">
        <v>44680</v>
      </c>
      <c r="X16" s="2260" t="s">
        <v>11690</v>
      </c>
      <c r="Y16" s="2140">
        <v>44796</v>
      </c>
      <c r="Z16" s="2140">
        <v>44824</v>
      </c>
      <c r="AA16" s="2140">
        <v>45891</v>
      </c>
      <c r="AB16" s="2109" t="s">
        <v>12839</v>
      </c>
      <c r="AC16" s="2109">
        <v>2023</v>
      </c>
      <c r="AD16" s="388">
        <v>2024</v>
      </c>
      <c r="AE16" s="388" t="s">
        <v>12840</v>
      </c>
    </row>
    <row r="17" spans="1:34" ht="30">
      <c r="A17" s="2140">
        <v>44371</v>
      </c>
      <c r="B17" s="2143" t="s">
        <v>9249</v>
      </c>
      <c r="C17" s="2141" t="s">
        <v>2434</v>
      </c>
      <c r="D17" s="2141" t="s">
        <v>219</v>
      </c>
      <c r="E17" s="2142" t="s">
        <v>9250</v>
      </c>
      <c r="F17" s="2141">
        <v>9</v>
      </c>
      <c r="G17" s="2143" t="s">
        <v>9259</v>
      </c>
      <c r="H17" s="2141"/>
      <c r="I17" s="2141" t="s">
        <v>3271</v>
      </c>
      <c r="J17" s="2141"/>
      <c r="K17" s="2144">
        <v>717830</v>
      </c>
      <c r="L17" s="2141" t="s">
        <v>251</v>
      </c>
      <c r="M17" s="2140">
        <v>44399</v>
      </c>
      <c r="N17" s="2140">
        <v>44474</v>
      </c>
      <c r="O17" s="2140">
        <v>44531</v>
      </c>
      <c r="P17" s="2143" t="s">
        <v>993</v>
      </c>
      <c r="Q17" s="2141"/>
      <c r="R17" s="2144">
        <v>694000</v>
      </c>
      <c r="S17" s="2144">
        <v>839740</v>
      </c>
      <c r="T17" s="2145"/>
      <c r="U17" s="2145"/>
      <c r="V17" s="2145"/>
      <c r="W17" s="2146">
        <v>44531</v>
      </c>
      <c r="X17" s="2260" t="s">
        <v>10485</v>
      </c>
      <c r="Y17" s="2140">
        <v>44567</v>
      </c>
      <c r="Z17" s="2140">
        <v>44572</v>
      </c>
      <c r="AA17" s="2140">
        <v>45662</v>
      </c>
      <c r="AB17" s="2109" t="s">
        <v>10678</v>
      </c>
      <c r="AC17" s="2109">
        <v>2023</v>
      </c>
      <c r="AD17" s="388">
        <v>2024</v>
      </c>
      <c r="AE17" s="388" t="s">
        <v>10679</v>
      </c>
    </row>
    <row r="18" spans="1:34" ht="45.75" thickBot="1">
      <c r="A18" s="2117">
        <v>44371</v>
      </c>
      <c r="B18" s="2120" t="s">
        <v>9249</v>
      </c>
      <c r="C18" s="2118" t="s">
        <v>2434</v>
      </c>
      <c r="D18" s="2118" t="s">
        <v>219</v>
      </c>
      <c r="E18" s="2119" t="s">
        <v>9250</v>
      </c>
      <c r="F18" s="2118">
        <v>10</v>
      </c>
      <c r="G18" s="2120" t="s">
        <v>4266</v>
      </c>
      <c r="H18" s="2118"/>
      <c r="I18" s="2118" t="s">
        <v>3271</v>
      </c>
      <c r="J18" s="2118"/>
      <c r="K18" s="2121">
        <v>991250</v>
      </c>
      <c r="L18" s="2118" t="s">
        <v>251</v>
      </c>
      <c r="M18" s="2117">
        <v>44399</v>
      </c>
      <c r="N18" s="2117">
        <v>44474</v>
      </c>
      <c r="O18" s="2117">
        <v>44680</v>
      </c>
      <c r="P18" s="2120" t="s">
        <v>993</v>
      </c>
      <c r="Q18" s="2118"/>
      <c r="R18" s="2121">
        <v>817000</v>
      </c>
      <c r="S18" s="2121">
        <v>988570</v>
      </c>
      <c r="T18" s="2122"/>
      <c r="U18" s="2122"/>
      <c r="V18" s="2122"/>
      <c r="W18" s="2123">
        <v>44680</v>
      </c>
      <c r="X18" s="2246" t="s">
        <v>12338</v>
      </c>
      <c r="Y18" s="2117">
        <v>44735</v>
      </c>
      <c r="Z18" s="2117">
        <v>44761</v>
      </c>
      <c r="AA18" s="2117">
        <v>45830</v>
      </c>
      <c r="AB18" s="2110" t="s">
        <v>12339</v>
      </c>
      <c r="AC18" s="2110">
        <v>2023</v>
      </c>
      <c r="AD18" s="388">
        <v>2024</v>
      </c>
      <c r="AE18" s="388" t="s">
        <v>12340</v>
      </c>
    </row>
    <row r="19" spans="1:34" ht="45.75" thickTop="1">
      <c r="A19" s="537">
        <v>44391</v>
      </c>
      <c r="B19" s="495" t="s">
        <v>9351</v>
      </c>
      <c r="C19" s="491" t="s">
        <v>9694</v>
      </c>
      <c r="D19" s="491" t="s">
        <v>2684</v>
      </c>
      <c r="E19" s="571" t="s">
        <v>9433</v>
      </c>
      <c r="F19" s="491">
        <v>1</v>
      </c>
      <c r="G19" s="495" t="s">
        <v>9352</v>
      </c>
      <c r="H19" s="491"/>
      <c r="I19" s="491" t="s">
        <v>2579</v>
      </c>
      <c r="J19" s="491" t="s">
        <v>9353</v>
      </c>
      <c r="K19" s="536">
        <v>12450000</v>
      </c>
      <c r="L19" s="491" t="s">
        <v>251</v>
      </c>
      <c r="M19" s="537">
        <v>44440</v>
      </c>
      <c r="N19" s="537">
        <v>44488</v>
      </c>
      <c r="O19" s="537">
        <v>44574</v>
      </c>
      <c r="P19" s="495" t="s">
        <v>12361</v>
      </c>
      <c r="Q19" s="491"/>
      <c r="R19" s="536">
        <v>8320800</v>
      </c>
      <c r="S19" s="536">
        <v>10068168</v>
      </c>
      <c r="T19" s="1471"/>
      <c r="U19" s="1471"/>
      <c r="V19" s="1471"/>
      <c r="W19" s="573">
        <v>44574</v>
      </c>
      <c r="X19" s="1375" t="s">
        <v>10723</v>
      </c>
      <c r="Y19" s="537">
        <v>44655</v>
      </c>
      <c r="Z19" s="537">
        <v>44679</v>
      </c>
      <c r="AA19" s="537">
        <v>44711</v>
      </c>
      <c r="AB19" s="537">
        <v>44844</v>
      </c>
      <c r="AC19" s="1374" t="s">
        <v>6118</v>
      </c>
    </row>
    <row r="20" spans="1:34" ht="45">
      <c r="A20" s="537">
        <v>44391</v>
      </c>
      <c r="B20" s="495" t="s">
        <v>9351</v>
      </c>
      <c r="C20" s="491" t="s">
        <v>58</v>
      </c>
      <c r="D20" s="491" t="s">
        <v>2684</v>
      </c>
      <c r="E20" s="571" t="s">
        <v>9434</v>
      </c>
      <c r="F20" s="411">
        <v>2</v>
      </c>
      <c r="G20" s="630" t="s">
        <v>9435</v>
      </c>
      <c r="H20" s="411"/>
      <c r="I20" s="491" t="s">
        <v>2579</v>
      </c>
      <c r="J20" s="411" t="s">
        <v>9436</v>
      </c>
      <c r="K20" s="417">
        <v>4938843</v>
      </c>
      <c r="L20" s="411" t="s">
        <v>251</v>
      </c>
      <c r="M20" s="416">
        <v>44440</v>
      </c>
      <c r="N20" s="416">
        <v>44488</v>
      </c>
      <c r="O20" s="416">
        <v>44574</v>
      </c>
      <c r="P20" s="630" t="s">
        <v>10688</v>
      </c>
      <c r="Q20" s="411"/>
      <c r="R20" s="417">
        <v>4930664</v>
      </c>
      <c r="S20" s="417">
        <v>5966103.4400000004</v>
      </c>
      <c r="T20" s="1480"/>
      <c r="U20" s="1480"/>
      <c r="V20" s="1480"/>
      <c r="W20" s="513">
        <v>44574</v>
      </c>
      <c r="X20" s="1553" t="s">
        <v>10724</v>
      </c>
      <c r="Y20" s="416">
        <v>44677</v>
      </c>
      <c r="Z20" s="416">
        <v>44679</v>
      </c>
      <c r="AA20" s="416">
        <f>Y20+112</f>
        <v>44789</v>
      </c>
      <c r="AB20" s="416">
        <v>44861</v>
      </c>
      <c r="AC20" s="422" t="s">
        <v>6118</v>
      </c>
    </row>
    <row r="21" spans="1:34">
      <c r="A21" s="411" t="s">
        <v>3585</v>
      </c>
      <c r="B21" s="630" t="s">
        <v>9354</v>
      </c>
      <c r="C21" s="411" t="s">
        <v>52</v>
      </c>
      <c r="D21" s="411" t="s">
        <v>2588</v>
      </c>
      <c r="E21" s="412" t="s">
        <v>9357</v>
      </c>
      <c r="F21" s="411"/>
      <c r="G21" s="630"/>
      <c r="H21" s="411" t="s">
        <v>484</v>
      </c>
      <c r="I21" s="411" t="s">
        <v>484</v>
      </c>
      <c r="J21" s="417" t="s">
        <v>7484</v>
      </c>
      <c r="K21" s="417">
        <v>40000000</v>
      </c>
      <c r="L21" s="411" t="s">
        <v>251</v>
      </c>
      <c r="M21" s="416">
        <v>44413</v>
      </c>
      <c r="N21" s="416">
        <v>44446</v>
      </c>
      <c r="O21" s="416">
        <v>44505</v>
      </c>
      <c r="P21" s="630" t="s">
        <v>1861</v>
      </c>
      <c r="Q21" s="411"/>
      <c r="R21" s="417">
        <v>21200000</v>
      </c>
      <c r="S21" s="417">
        <v>25652000</v>
      </c>
      <c r="T21" s="1480"/>
      <c r="U21" s="1480"/>
      <c r="V21" s="1480"/>
      <c r="W21" s="513">
        <v>44505</v>
      </c>
      <c r="X21" s="417" t="s">
        <v>10248</v>
      </c>
      <c r="Y21" s="416">
        <v>44600</v>
      </c>
      <c r="Z21" s="416">
        <v>44608</v>
      </c>
      <c r="AA21" s="411"/>
      <c r="AB21" s="1548">
        <v>44782</v>
      </c>
      <c r="AC21" s="967"/>
    </row>
    <row r="22" spans="1:34" ht="15.75" thickBot="1">
      <c r="A22" s="498">
        <v>44410</v>
      </c>
      <c r="B22" s="669" t="s">
        <v>9495</v>
      </c>
      <c r="C22" s="232" t="s">
        <v>69</v>
      </c>
      <c r="D22" s="232" t="s">
        <v>70</v>
      </c>
      <c r="E22" s="274" t="s">
        <v>9496</v>
      </c>
      <c r="F22" s="232"/>
      <c r="G22" s="669" t="s">
        <v>9497</v>
      </c>
      <c r="H22" s="232"/>
      <c r="I22" s="232" t="s">
        <v>2418</v>
      </c>
      <c r="J22" s="232"/>
      <c r="K22" s="499">
        <v>22443749</v>
      </c>
      <c r="L22" s="232" t="s">
        <v>251</v>
      </c>
      <c r="M22" s="498">
        <v>44418</v>
      </c>
      <c r="N22" s="498">
        <v>44452</v>
      </c>
      <c r="O22" s="498">
        <v>44523</v>
      </c>
      <c r="P22" s="669" t="s">
        <v>1319</v>
      </c>
      <c r="Q22" s="232"/>
      <c r="R22" s="499">
        <v>6694369.5999999996</v>
      </c>
      <c r="S22" s="499">
        <v>7363806.5599999996</v>
      </c>
      <c r="T22" s="1545"/>
      <c r="U22" s="1545"/>
      <c r="V22" s="1545"/>
      <c r="W22" s="682">
        <v>44523</v>
      </c>
      <c r="X22" s="499" t="s">
        <v>10400</v>
      </c>
      <c r="Y22" s="498">
        <v>44564</v>
      </c>
      <c r="Z22" s="498">
        <v>44566</v>
      </c>
      <c r="AA22" s="498">
        <v>45094</v>
      </c>
      <c r="AB22" s="1546" t="s">
        <v>10647</v>
      </c>
      <c r="AC22" s="1546" t="s">
        <v>10649</v>
      </c>
    </row>
    <row r="23" spans="1:34" ht="15.75" thickTop="1">
      <c r="A23" s="474">
        <v>44410</v>
      </c>
      <c r="B23" s="1420" t="s">
        <v>9498</v>
      </c>
      <c r="C23" s="453" t="s">
        <v>69</v>
      </c>
      <c r="D23" s="453" t="s">
        <v>70</v>
      </c>
      <c r="E23" s="473" t="s">
        <v>9499</v>
      </c>
      <c r="F23" s="453">
        <v>1</v>
      </c>
      <c r="G23" s="1420" t="s">
        <v>9500</v>
      </c>
      <c r="H23" s="453"/>
      <c r="I23" s="453" t="s">
        <v>3187</v>
      </c>
      <c r="J23" s="453"/>
      <c r="K23" s="457">
        <v>9228142</v>
      </c>
      <c r="L23" s="453" t="s">
        <v>251</v>
      </c>
      <c r="M23" s="474">
        <v>44412</v>
      </c>
      <c r="N23" s="474">
        <v>44469</v>
      </c>
      <c r="O23" s="474">
        <v>44502</v>
      </c>
      <c r="P23" s="1420" t="s">
        <v>10167</v>
      </c>
      <c r="Q23" s="453"/>
      <c r="R23" s="457">
        <v>9228142</v>
      </c>
      <c r="S23" s="457">
        <v>10150956.199999999</v>
      </c>
      <c r="T23" s="1474"/>
      <c r="U23" s="1474"/>
      <c r="V23" s="1474"/>
      <c r="W23" s="570">
        <v>44502</v>
      </c>
      <c r="X23" s="457" t="s">
        <v>10209</v>
      </c>
      <c r="Y23" s="474">
        <v>44595</v>
      </c>
      <c r="Z23" s="474">
        <v>44601</v>
      </c>
      <c r="AA23" s="474">
        <v>46055</v>
      </c>
      <c r="AB23" s="1391" t="s">
        <v>10978</v>
      </c>
      <c r="AC23" s="1391">
        <v>2023</v>
      </c>
      <c r="AD23" s="2109">
        <v>2024</v>
      </c>
      <c r="AE23" s="2109">
        <v>2025</v>
      </c>
      <c r="AF23" s="2109" t="s">
        <v>10980</v>
      </c>
    </row>
    <row r="24" spans="1:34" ht="15.75" thickBot="1">
      <c r="A24" s="498">
        <v>44410</v>
      </c>
      <c r="B24" s="669" t="s">
        <v>9508</v>
      </c>
      <c r="C24" s="232" t="s">
        <v>69</v>
      </c>
      <c r="D24" s="232" t="s">
        <v>70</v>
      </c>
      <c r="E24" s="274" t="s">
        <v>9692</v>
      </c>
      <c r="F24" s="232"/>
      <c r="G24" s="669" t="s">
        <v>9509</v>
      </c>
      <c r="H24" s="232"/>
      <c r="I24" s="232" t="s">
        <v>3435</v>
      </c>
      <c r="J24" s="232"/>
      <c r="K24" s="499">
        <v>10670760</v>
      </c>
      <c r="L24" s="232" t="s">
        <v>251</v>
      </c>
      <c r="M24" s="498">
        <v>44455</v>
      </c>
      <c r="N24" s="498">
        <v>44490</v>
      </c>
      <c r="O24" s="498">
        <v>44523</v>
      </c>
      <c r="P24" s="669" t="s">
        <v>2548</v>
      </c>
      <c r="Q24" s="232"/>
      <c r="R24" s="499">
        <v>8913685.9199999999</v>
      </c>
      <c r="S24" s="499">
        <v>9805054.5099999998</v>
      </c>
      <c r="T24" s="1545"/>
      <c r="U24" s="1545"/>
      <c r="V24" s="1545"/>
      <c r="W24" s="682">
        <v>44523</v>
      </c>
      <c r="X24" s="499" t="s">
        <v>10399</v>
      </c>
      <c r="Y24" s="498">
        <v>44571</v>
      </c>
      <c r="Z24" s="498">
        <v>44574</v>
      </c>
      <c r="AA24" s="498">
        <v>46031</v>
      </c>
      <c r="AB24" s="1546" t="s">
        <v>10693</v>
      </c>
      <c r="AC24" s="1546">
        <v>2023</v>
      </c>
      <c r="AD24" s="2109">
        <v>2024</v>
      </c>
      <c r="AE24" s="2109">
        <v>2025</v>
      </c>
      <c r="AF24" s="2109" t="s">
        <v>10694</v>
      </c>
    </row>
    <row r="25" spans="1:34" ht="15.75" thickTop="1">
      <c r="A25" s="474">
        <v>44410</v>
      </c>
      <c r="B25" s="1420" t="s">
        <v>9510</v>
      </c>
      <c r="C25" s="453" t="s">
        <v>69</v>
      </c>
      <c r="D25" s="453" t="s">
        <v>70</v>
      </c>
      <c r="E25" s="473" t="s">
        <v>9511</v>
      </c>
      <c r="F25" s="453">
        <v>1</v>
      </c>
      <c r="G25" s="1420" t="s">
        <v>9512</v>
      </c>
      <c r="H25" s="453"/>
      <c r="I25" s="453" t="s">
        <v>3634</v>
      </c>
      <c r="J25" s="453"/>
      <c r="K25" s="457">
        <v>1306314</v>
      </c>
      <c r="L25" s="453" t="s">
        <v>251</v>
      </c>
      <c r="M25" s="474">
        <v>44455</v>
      </c>
      <c r="N25" s="474">
        <v>44542</v>
      </c>
      <c r="O25" s="474">
        <v>44585</v>
      </c>
      <c r="P25" s="1420" t="s">
        <v>2548</v>
      </c>
      <c r="Q25" s="453"/>
      <c r="R25" s="457">
        <v>1448947.72</v>
      </c>
      <c r="S25" s="457">
        <v>1593842.49</v>
      </c>
      <c r="T25" s="1474"/>
      <c r="U25" s="1474"/>
      <c r="V25" s="1474"/>
      <c r="W25" s="570">
        <v>44585</v>
      </c>
      <c r="X25" s="457" t="s">
        <v>10800</v>
      </c>
      <c r="Y25" s="474">
        <v>44637</v>
      </c>
      <c r="Z25" s="474">
        <v>44659</v>
      </c>
      <c r="AA25" s="474">
        <v>46097</v>
      </c>
      <c r="AB25" s="1391" t="s">
        <v>11354</v>
      </c>
      <c r="AC25" s="1391">
        <v>2023</v>
      </c>
      <c r="AD25" s="2109">
        <v>2024</v>
      </c>
      <c r="AE25" s="2109">
        <v>2025</v>
      </c>
      <c r="AF25" s="2109" t="s">
        <v>11355</v>
      </c>
    </row>
    <row r="26" spans="1:34">
      <c r="A26" s="2140">
        <v>44410</v>
      </c>
      <c r="B26" s="2143" t="s">
        <v>9510</v>
      </c>
      <c r="C26" s="2141" t="s">
        <v>69</v>
      </c>
      <c r="D26" s="2141" t="s">
        <v>70</v>
      </c>
      <c r="E26" s="2142" t="s">
        <v>9511</v>
      </c>
      <c r="F26" s="2141">
        <v>2</v>
      </c>
      <c r="G26" s="2143" t="s">
        <v>9513</v>
      </c>
      <c r="H26" s="2141"/>
      <c r="I26" s="2141" t="s">
        <v>3634</v>
      </c>
      <c r="J26" s="2141"/>
      <c r="K26" s="2144">
        <v>4717059</v>
      </c>
      <c r="L26" s="2141" t="s">
        <v>251</v>
      </c>
      <c r="M26" s="2140">
        <v>44455</v>
      </c>
      <c r="N26" s="2140">
        <v>44542</v>
      </c>
      <c r="O26" s="2140">
        <v>44585</v>
      </c>
      <c r="P26" s="2143" t="s">
        <v>2548</v>
      </c>
      <c r="Q26" s="2141"/>
      <c r="R26" s="2144">
        <v>5233616.88</v>
      </c>
      <c r="S26" s="2144">
        <v>5756978.5700000003</v>
      </c>
      <c r="T26" s="2145"/>
      <c r="U26" s="2145"/>
      <c r="V26" s="2145"/>
      <c r="W26" s="2146">
        <v>44585</v>
      </c>
      <c r="X26" s="2144" t="s">
        <v>10801</v>
      </c>
      <c r="Y26" s="2140">
        <v>44637</v>
      </c>
      <c r="Z26" s="2140">
        <v>44659</v>
      </c>
      <c r="AA26" s="2140">
        <v>46097</v>
      </c>
      <c r="AB26" s="2109" t="s">
        <v>11354</v>
      </c>
      <c r="AC26" s="2109">
        <v>2023</v>
      </c>
      <c r="AD26" s="2109">
        <v>2024</v>
      </c>
      <c r="AE26" s="2109">
        <v>2025</v>
      </c>
      <c r="AF26" s="2109" t="s">
        <v>11355</v>
      </c>
    </row>
    <row r="27" spans="1:34">
      <c r="A27" s="2140">
        <v>44410</v>
      </c>
      <c r="B27" s="2143" t="s">
        <v>9510</v>
      </c>
      <c r="C27" s="2141" t="s">
        <v>69</v>
      </c>
      <c r="D27" s="2141" t="s">
        <v>70</v>
      </c>
      <c r="E27" s="2142" t="s">
        <v>9511</v>
      </c>
      <c r="F27" s="2141">
        <v>3</v>
      </c>
      <c r="G27" s="2143" t="s">
        <v>9514</v>
      </c>
      <c r="H27" s="2141"/>
      <c r="I27" s="2141" t="s">
        <v>3634</v>
      </c>
      <c r="J27" s="2141"/>
      <c r="K27" s="2144">
        <v>7695003</v>
      </c>
      <c r="L27" s="2141" t="s">
        <v>251</v>
      </c>
      <c r="M27" s="2140">
        <v>44455</v>
      </c>
      <c r="N27" s="2140">
        <v>44542</v>
      </c>
      <c r="O27" s="2140">
        <v>44585</v>
      </c>
      <c r="P27" s="2143" t="s">
        <v>576</v>
      </c>
      <c r="Q27" s="2141"/>
      <c r="R27" s="2144">
        <v>7453713.4000000004</v>
      </c>
      <c r="S27" s="2144">
        <v>8199084.7400000002</v>
      </c>
      <c r="T27" s="2145"/>
      <c r="U27" s="2145"/>
      <c r="V27" s="2145"/>
      <c r="W27" s="2146">
        <v>44585</v>
      </c>
      <c r="X27" s="2144" t="s">
        <v>10803</v>
      </c>
      <c r="Y27" s="2140">
        <v>44631</v>
      </c>
      <c r="Z27" s="2140">
        <v>44659</v>
      </c>
      <c r="AA27" s="2140">
        <v>46091</v>
      </c>
      <c r="AB27" s="2109" t="s">
        <v>11323</v>
      </c>
      <c r="AC27" s="2109">
        <v>2023</v>
      </c>
      <c r="AD27" s="2109">
        <v>2024</v>
      </c>
      <c r="AE27" s="2109">
        <v>2025</v>
      </c>
      <c r="AF27" s="2109" t="s">
        <v>6778</v>
      </c>
    </row>
    <row r="28" spans="1:34" ht="15.75" thickBot="1">
      <c r="A28" s="2117">
        <v>44410</v>
      </c>
      <c r="B28" s="2120" t="s">
        <v>9510</v>
      </c>
      <c r="C28" s="2118" t="s">
        <v>69</v>
      </c>
      <c r="D28" s="2118" t="s">
        <v>70</v>
      </c>
      <c r="E28" s="2119" t="s">
        <v>9511</v>
      </c>
      <c r="F28" s="2118">
        <v>4</v>
      </c>
      <c r="G28" s="2120" t="s">
        <v>9515</v>
      </c>
      <c r="H28" s="2118"/>
      <c r="I28" s="2118" t="s">
        <v>3634</v>
      </c>
      <c r="J28" s="2118"/>
      <c r="K28" s="2121">
        <v>10242662</v>
      </c>
      <c r="L28" s="2118" t="s">
        <v>251</v>
      </c>
      <c r="M28" s="2117">
        <v>44455</v>
      </c>
      <c r="N28" s="2117">
        <v>44542</v>
      </c>
      <c r="O28" s="2117">
        <v>44585</v>
      </c>
      <c r="P28" s="2120" t="s">
        <v>16350</v>
      </c>
      <c r="Q28" s="2118"/>
      <c r="R28" s="2121">
        <v>10145450.880000001</v>
      </c>
      <c r="S28" s="2121">
        <v>11159995.970000001</v>
      </c>
      <c r="T28" s="2122"/>
      <c r="U28" s="2122"/>
      <c r="V28" s="2122"/>
      <c r="W28" s="2123">
        <v>44585</v>
      </c>
      <c r="X28" s="2121" t="s">
        <v>10804</v>
      </c>
      <c r="Y28" s="2117">
        <v>44641</v>
      </c>
      <c r="Z28" s="2117">
        <v>44659</v>
      </c>
      <c r="AA28" s="2117">
        <v>46101</v>
      </c>
      <c r="AB28" s="2110" t="s">
        <v>11368</v>
      </c>
      <c r="AC28" s="2110">
        <v>2023</v>
      </c>
      <c r="AD28" s="2109">
        <v>2024</v>
      </c>
      <c r="AE28" s="2109">
        <v>2025</v>
      </c>
      <c r="AF28" s="2109" t="s">
        <v>11379</v>
      </c>
    </row>
    <row r="29" spans="1:34" ht="15.75" thickTop="1">
      <c r="A29" s="537">
        <v>44424</v>
      </c>
      <c r="B29" s="495" t="s">
        <v>9677</v>
      </c>
      <c r="C29" s="491" t="s">
        <v>52</v>
      </c>
      <c r="D29" s="491" t="s">
        <v>3089</v>
      </c>
      <c r="E29" s="571" t="s">
        <v>9678</v>
      </c>
      <c r="F29" s="491"/>
      <c r="G29" s="495"/>
      <c r="H29" s="491"/>
      <c r="I29" s="491" t="s">
        <v>4995</v>
      </c>
      <c r="J29" s="491" t="s">
        <v>9679</v>
      </c>
      <c r="K29" s="536">
        <v>137766923.69999999</v>
      </c>
      <c r="L29" s="491" t="s">
        <v>251</v>
      </c>
      <c r="M29" s="537">
        <v>44460</v>
      </c>
      <c r="N29" s="537">
        <v>44496</v>
      </c>
      <c r="O29" s="537">
        <v>44509</v>
      </c>
      <c r="P29" s="495" t="s">
        <v>12041</v>
      </c>
      <c r="Q29" s="491"/>
      <c r="R29" s="536">
        <v>132485529.13</v>
      </c>
      <c r="S29" s="536">
        <v>160307490.25</v>
      </c>
      <c r="T29" s="1471"/>
      <c r="U29" s="1471"/>
      <c r="V29" s="1471"/>
      <c r="W29" s="573">
        <v>44509</v>
      </c>
      <c r="X29" s="536" t="s">
        <v>10272</v>
      </c>
      <c r="Y29" s="537">
        <v>44567</v>
      </c>
      <c r="Z29" s="537">
        <v>44571</v>
      </c>
      <c r="AA29" s="491"/>
      <c r="AB29" s="1525">
        <v>44865</v>
      </c>
      <c r="AC29" s="1102"/>
    </row>
    <row r="30" spans="1:34" ht="30.75" thickBot="1">
      <c r="A30" s="416">
        <v>44425</v>
      </c>
      <c r="B30" s="630" t="s">
        <v>9688</v>
      </c>
      <c r="C30" s="411" t="s">
        <v>2434</v>
      </c>
      <c r="D30" s="411" t="s">
        <v>219</v>
      </c>
      <c r="E30" s="412" t="s">
        <v>9689</v>
      </c>
      <c r="F30" s="411"/>
      <c r="G30" s="630"/>
      <c r="H30" s="411"/>
      <c r="I30" s="512" t="s">
        <v>9712</v>
      </c>
      <c r="J30" s="411"/>
      <c r="K30" s="417">
        <v>55920000</v>
      </c>
      <c r="L30" s="411" t="s">
        <v>251</v>
      </c>
      <c r="M30" s="416">
        <v>44431</v>
      </c>
      <c r="N30" s="416">
        <v>44489</v>
      </c>
      <c r="O30" s="416">
        <v>44566</v>
      </c>
      <c r="P30" s="630" t="s">
        <v>16351</v>
      </c>
      <c r="Q30" s="411"/>
      <c r="R30" s="417">
        <v>41146779</v>
      </c>
      <c r="S30" s="417">
        <v>49363486.590000004</v>
      </c>
      <c r="T30" s="1480"/>
      <c r="U30" s="1480"/>
      <c r="V30" s="1480"/>
      <c r="W30" s="513">
        <v>44566</v>
      </c>
      <c r="X30" s="1553" t="s">
        <v>10661</v>
      </c>
      <c r="Y30" s="416">
        <v>44595</v>
      </c>
      <c r="Z30" s="416">
        <v>44609</v>
      </c>
      <c r="AA30" s="612">
        <v>46785</v>
      </c>
      <c r="AB30" s="422" t="s">
        <v>10978</v>
      </c>
      <c r="AC30" s="422">
        <v>2023</v>
      </c>
      <c r="AD30" s="388">
        <v>2024</v>
      </c>
      <c r="AE30" s="388">
        <v>2025</v>
      </c>
      <c r="AF30" s="388">
        <v>2026</v>
      </c>
      <c r="AG30" s="388">
        <v>2027</v>
      </c>
      <c r="AH30" s="388" t="s">
        <v>10979</v>
      </c>
    </row>
    <row r="31" spans="1:34" ht="30.75" thickTop="1">
      <c r="A31" s="474">
        <v>44427</v>
      </c>
      <c r="B31" s="1420" t="s">
        <v>9693</v>
      </c>
      <c r="C31" s="453" t="s">
        <v>58</v>
      </c>
      <c r="D31" s="453" t="s">
        <v>4969</v>
      </c>
      <c r="E31" s="473" t="s">
        <v>461</v>
      </c>
      <c r="F31" s="453">
        <v>1</v>
      </c>
      <c r="G31" s="1420" t="s">
        <v>9695</v>
      </c>
      <c r="H31" s="453"/>
      <c r="I31" s="453" t="s">
        <v>462</v>
      </c>
      <c r="J31" s="453" t="s">
        <v>9701</v>
      </c>
      <c r="K31" s="457">
        <v>1651500</v>
      </c>
      <c r="L31" s="453" t="s">
        <v>251</v>
      </c>
      <c r="M31" s="474">
        <v>44475</v>
      </c>
      <c r="N31" s="474">
        <v>44509</v>
      </c>
      <c r="O31" s="474">
        <v>44546</v>
      </c>
      <c r="P31" s="1420" t="s">
        <v>6756</v>
      </c>
      <c r="Q31" s="453"/>
      <c r="R31" s="457">
        <v>1650700</v>
      </c>
      <c r="S31" s="457">
        <v>1997347</v>
      </c>
      <c r="T31" s="1474"/>
      <c r="U31" s="1474"/>
      <c r="V31" s="1474"/>
      <c r="W31" s="570">
        <v>44546</v>
      </c>
      <c r="X31" s="1387" t="s">
        <v>10579</v>
      </c>
      <c r="Y31" s="474">
        <v>44572</v>
      </c>
      <c r="Z31" s="474">
        <v>44594</v>
      </c>
      <c r="AA31" s="474">
        <v>44614</v>
      </c>
      <c r="AB31" s="474">
        <v>44655</v>
      </c>
      <c r="AC31" s="1391" t="s">
        <v>1875</v>
      </c>
    </row>
    <row r="32" spans="1:34" ht="30">
      <c r="A32" s="2140">
        <v>44427</v>
      </c>
      <c r="B32" s="2143" t="s">
        <v>9693</v>
      </c>
      <c r="C32" s="2141" t="s">
        <v>9694</v>
      </c>
      <c r="D32" s="2141" t="s">
        <v>4969</v>
      </c>
      <c r="E32" s="2142" t="s">
        <v>461</v>
      </c>
      <c r="F32" s="2141">
        <v>2</v>
      </c>
      <c r="G32" s="2143" t="s">
        <v>9710</v>
      </c>
      <c r="H32" s="2141"/>
      <c r="I32" s="2141" t="s">
        <v>462</v>
      </c>
      <c r="J32" s="2141" t="s">
        <v>9698</v>
      </c>
      <c r="K32" s="2144">
        <v>2035000</v>
      </c>
      <c r="L32" s="2141" t="s">
        <v>251</v>
      </c>
      <c r="M32" s="2140">
        <v>44475</v>
      </c>
      <c r="N32" s="2140">
        <v>44509</v>
      </c>
      <c r="O32" s="2140">
        <v>44546</v>
      </c>
      <c r="P32" s="2143" t="s">
        <v>383</v>
      </c>
      <c r="Q32" s="2141"/>
      <c r="R32" s="2144">
        <v>1995260</v>
      </c>
      <c r="S32" s="2144">
        <v>2414264.6</v>
      </c>
      <c r="T32" s="2145"/>
      <c r="U32" s="2145"/>
      <c r="V32" s="2145"/>
      <c r="W32" s="2146">
        <v>44546</v>
      </c>
      <c r="X32" s="2260" t="s">
        <v>10580</v>
      </c>
      <c r="Y32" s="2140">
        <v>44581</v>
      </c>
      <c r="Z32" s="2140">
        <v>44594</v>
      </c>
      <c r="AA32" s="2140">
        <v>44693</v>
      </c>
      <c r="AB32" s="2140">
        <v>44662</v>
      </c>
      <c r="AC32" s="2109" t="s">
        <v>1875</v>
      </c>
    </row>
    <row r="33" spans="1:33" ht="30">
      <c r="A33" s="2140">
        <v>44427</v>
      </c>
      <c r="B33" s="2143" t="s">
        <v>9693</v>
      </c>
      <c r="C33" s="2141" t="s">
        <v>9694</v>
      </c>
      <c r="D33" s="2141" t="s">
        <v>4969</v>
      </c>
      <c r="E33" s="2142" t="s">
        <v>461</v>
      </c>
      <c r="F33" s="2141">
        <v>3</v>
      </c>
      <c r="G33" s="2143" t="s">
        <v>9696</v>
      </c>
      <c r="H33" s="2141"/>
      <c r="I33" s="2141" t="s">
        <v>462</v>
      </c>
      <c r="J33" s="2141" t="s">
        <v>9699</v>
      </c>
      <c r="K33" s="2144">
        <v>4194500</v>
      </c>
      <c r="L33" s="2141" t="s">
        <v>251</v>
      </c>
      <c r="M33" s="2140">
        <v>44475</v>
      </c>
      <c r="N33" s="2140">
        <v>44509</v>
      </c>
      <c r="O33" s="2140">
        <v>44546</v>
      </c>
      <c r="P33" s="2143" t="s">
        <v>383</v>
      </c>
      <c r="Q33" s="2141"/>
      <c r="R33" s="2144">
        <v>4180160</v>
      </c>
      <c r="S33" s="2144">
        <v>5057993.5999999996</v>
      </c>
      <c r="T33" s="2145"/>
      <c r="U33" s="2145"/>
      <c r="V33" s="2145"/>
      <c r="W33" s="2146">
        <v>44546</v>
      </c>
      <c r="X33" s="2260" t="s">
        <v>10581</v>
      </c>
      <c r="Y33" s="2140">
        <v>44588</v>
      </c>
      <c r="Z33" s="2140">
        <v>44594</v>
      </c>
      <c r="AA33" s="2140">
        <v>44700</v>
      </c>
      <c r="AB33" s="2140">
        <v>44761</v>
      </c>
      <c r="AC33" s="2109" t="s">
        <v>1875</v>
      </c>
    </row>
    <row r="34" spans="1:33" ht="30">
      <c r="A34" s="2140">
        <v>44427</v>
      </c>
      <c r="B34" s="2143" t="s">
        <v>9693</v>
      </c>
      <c r="C34" s="2141" t="s">
        <v>58</v>
      </c>
      <c r="D34" s="2141" t="s">
        <v>4969</v>
      </c>
      <c r="E34" s="2142" t="s">
        <v>461</v>
      </c>
      <c r="F34" s="2141">
        <v>4</v>
      </c>
      <c r="G34" s="2143" t="s">
        <v>9697</v>
      </c>
      <c r="H34" s="2141"/>
      <c r="I34" s="2141" t="s">
        <v>462</v>
      </c>
      <c r="J34" s="2141" t="s">
        <v>9700</v>
      </c>
      <c r="K34" s="2144">
        <v>125000</v>
      </c>
      <c r="L34" s="2141" t="s">
        <v>251</v>
      </c>
      <c r="M34" s="2140">
        <v>44475</v>
      </c>
      <c r="N34" s="2140">
        <v>44509</v>
      </c>
      <c r="O34" s="2140">
        <v>44546</v>
      </c>
      <c r="P34" s="2143" t="s">
        <v>5913</v>
      </c>
      <c r="Q34" s="2141"/>
      <c r="R34" s="2144">
        <v>108000</v>
      </c>
      <c r="S34" s="2144">
        <v>130680</v>
      </c>
      <c r="T34" s="2145"/>
      <c r="U34" s="2145"/>
      <c r="V34" s="2145"/>
      <c r="W34" s="2146">
        <v>44546</v>
      </c>
      <c r="X34" s="2260" t="s">
        <v>10582</v>
      </c>
      <c r="Y34" s="2140">
        <v>44572</v>
      </c>
      <c r="Z34" s="2140">
        <v>44594</v>
      </c>
      <c r="AA34" s="2140">
        <v>44628</v>
      </c>
      <c r="AB34" s="2140">
        <v>44718</v>
      </c>
      <c r="AC34" s="2109" t="s">
        <v>1875</v>
      </c>
    </row>
    <row r="35" spans="1:33" ht="30.75" thickBot="1">
      <c r="A35" s="2117">
        <v>44427</v>
      </c>
      <c r="B35" s="2120" t="s">
        <v>9693</v>
      </c>
      <c r="C35" s="2118" t="s">
        <v>58</v>
      </c>
      <c r="D35" s="2118" t="s">
        <v>4969</v>
      </c>
      <c r="E35" s="2119" t="s">
        <v>461</v>
      </c>
      <c r="F35" s="2118">
        <v>5</v>
      </c>
      <c r="G35" s="2120" t="s">
        <v>10475</v>
      </c>
      <c r="H35" s="2118"/>
      <c r="I35" s="2118" t="s">
        <v>462</v>
      </c>
      <c r="J35" s="2118" t="s">
        <v>9702</v>
      </c>
      <c r="K35" s="2121">
        <v>1770000</v>
      </c>
      <c r="L35" s="2118" t="s">
        <v>251</v>
      </c>
      <c r="M35" s="2117">
        <v>44475</v>
      </c>
      <c r="N35" s="2117">
        <v>44509</v>
      </c>
      <c r="O35" s="2117">
        <v>44546</v>
      </c>
      <c r="P35" s="2120" t="s">
        <v>5914</v>
      </c>
      <c r="Q35" s="2118"/>
      <c r="R35" s="2121">
        <v>1136163.99</v>
      </c>
      <c r="S35" s="2121">
        <v>1374758.43</v>
      </c>
      <c r="T35" s="2122"/>
      <c r="U35" s="2122"/>
      <c r="V35" s="2122"/>
      <c r="W35" s="2123">
        <v>44546</v>
      </c>
      <c r="X35" s="2246" t="s">
        <v>10583</v>
      </c>
      <c r="Y35" s="2117">
        <v>44572</v>
      </c>
      <c r="Z35" s="2117">
        <v>44594</v>
      </c>
      <c r="AA35" s="2117">
        <v>44628</v>
      </c>
      <c r="AB35" s="2117">
        <v>44684</v>
      </c>
      <c r="AC35" s="2110" t="s">
        <v>1875</v>
      </c>
    </row>
    <row r="36" spans="1:33" ht="15.75" thickTop="1">
      <c r="A36" s="474">
        <v>44425</v>
      </c>
      <c r="B36" s="1420" t="s">
        <v>9727</v>
      </c>
      <c r="C36" s="453" t="s">
        <v>1032</v>
      </c>
      <c r="D36" s="453" t="s">
        <v>361</v>
      </c>
      <c r="E36" s="473" t="s">
        <v>9728</v>
      </c>
      <c r="F36" s="453">
        <v>1</v>
      </c>
      <c r="G36" s="1420" t="s">
        <v>8608</v>
      </c>
      <c r="H36" s="453"/>
      <c r="I36" s="453" t="s">
        <v>806</v>
      </c>
      <c r="J36" s="453" t="s">
        <v>9729</v>
      </c>
      <c r="K36" s="457">
        <v>4600000</v>
      </c>
      <c r="L36" s="453" t="s">
        <v>251</v>
      </c>
      <c r="M36" s="474">
        <v>44445</v>
      </c>
      <c r="N36" s="474">
        <v>44480</v>
      </c>
      <c r="O36" s="474">
        <v>44588</v>
      </c>
      <c r="P36" s="1420" t="s">
        <v>5005</v>
      </c>
      <c r="Q36" s="453"/>
      <c r="R36" s="457">
        <v>3277300</v>
      </c>
      <c r="S36" s="457">
        <v>3965533</v>
      </c>
      <c r="T36" s="1474"/>
      <c r="U36" s="1474"/>
      <c r="V36" s="1474"/>
      <c r="W36" s="570">
        <v>44588</v>
      </c>
      <c r="X36" s="457" t="s">
        <v>10877</v>
      </c>
      <c r="Y36" s="474">
        <v>44657</v>
      </c>
      <c r="Z36" s="474">
        <v>44671</v>
      </c>
      <c r="AA36" s="453"/>
      <c r="AB36" s="474">
        <v>44844</v>
      </c>
      <c r="AC36" s="1393"/>
    </row>
    <row r="37" spans="1:33" ht="15.75" thickBot="1">
      <c r="A37" s="2117">
        <v>44425</v>
      </c>
      <c r="B37" s="2120" t="s">
        <v>9727</v>
      </c>
      <c r="C37" s="2118" t="s">
        <v>1032</v>
      </c>
      <c r="D37" s="2118" t="s">
        <v>361</v>
      </c>
      <c r="E37" s="2119" t="s">
        <v>9728</v>
      </c>
      <c r="F37" s="2118">
        <v>2</v>
      </c>
      <c r="G37" s="2120" t="s">
        <v>9730</v>
      </c>
      <c r="H37" s="2118"/>
      <c r="I37" s="2118" t="s">
        <v>806</v>
      </c>
      <c r="J37" s="2118"/>
      <c r="K37" s="2121">
        <v>1600000</v>
      </c>
      <c r="L37" s="2118" t="s">
        <v>251</v>
      </c>
      <c r="M37" s="2117">
        <v>44445</v>
      </c>
      <c r="N37" s="2117">
        <v>44480</v>
      </c>
      <c r="O37" s="2117">
        <v>44524</v>
      </c>
      <c r="P37" s="2120" t="s">
        <v>10344</v>
      </c>
      <c r="Q37" s="2118"/>
      <c r="R37" s="2121">
        <v>1127500</v>
      </c>
      <c r="S37" s="2121">
        <v>1364275</v>
      </c>
      <c r="T37" s="2122"/>
      <c r="U37" s="2122"/>
      <c r="V37" s="2122"/>
      <c r="W37" s="2123">
        <v>44524</v>
      </c>
      <c r="X37" s="2121" t="s">
        <v>10409</v>
      </c>
      <c r="Y37" s="2117">
        <v>44589</v>
      </c>
      <c r="Z37" s="2117">
        <v>44616</v>
      </c>
      <c r="AA37" s="2118"/>
      <c r="AB37" s="2710">
        <v>44851</v>
      </c>
      <c r="AC37" s="2108"/>
    </row>
    <row r="38" spans="1:33" ht="15.75" thickTop="1">
      <c r="A38" s="365">
        <v>44425</v>
      </c>
      <c r="B38" s="2646" t="s">
        <v>9731</v>
      </c>
      <c r="C38" s="2515" t="s">
        <v>2434</v>
      </c>
      <c r="D38" s="2515" t="s">
        <v>918</v>
      </c>
      <c r="E38" s="175" t="s">
        <v>9732</v>
      </c>
      <c r="F38" s="2515"/>
      <c r="G38" s="2516"/>
      <c r="H38" s="2515"/>
      <c r="I38" s="2515" t="s">
        <v>642</v>
      </c>
      <c r="J38" s="2515"/>
      <c r="K38" s="364">
        <v>8723460</v>
      </c>
      <c r="L38" s="2515" t="s">
        <v>251</v>
      </c>
      <c r="M38" s="365">
        <v>44462</v>
      </c>
      <c r="N38" s="365">
        <v>44495</v>
      </c>
      <c r="O38" s="365">
        <v>44539</v>
      </c>
      <c r="P38" s="2516" t="s">
        <v>6763</v>
      </c>
      <c r="Q38" s="2515"/>
      <c r="R38" s="364">
        <v>8919795</v>
      </c>
      <c r="S38" s="364">
        <v>10792951.949999999</v>
      </c>
      <c r="T38" s="1473"/>
      <c r="U38" s="1473"/>
      <c r="V38" s="1473"/>
      <c r="W38" s="681">
        <v>44539</v>
      </c>
      <c r="X38" s="364" t="s">
        <v>10544</v>
      </c>
      <c r="Y38" s="365">
        <v>44578</v>
      </c>
      <c r="Z38" s="365">
        <v>44588</v>
      </c>
      <c r="AA38" s="2515" t="s">
        <v>4096</v>
      </c>
      <c r="AB38" s="451" t="s">
        <v>10734</v>
      </c>
      <c r="AC38" s="451">
        <v>2023</v>
      </c>
      <c r="AD38" s="388">
        <v>2024</v>
      </c>
      <c r="AE38" s="388">
        <v>2025</v>
      </c>
      <c r="AF38" s="388">
        <v>2026</v>
      </c>
    </row>
    <row r="39" spans="1:33">
      <c r="A39" s="416">
        <v>44439</v>
      </c>
      <c r="B39" s="630" t="s">
        <v>9815</v>
      </c>
      <c r="C39" s="411" t="s">
        <v>69</v>
      </c>
      <c r="D39" s="411" t="s">
        <v>70</v>
      </c>
      <c r="E39" s="2517" t="s">
        <v>9816</v>
      </c>
      <c r="F39" s="411"/>
      <c r="G39" s="630"/>
      <c r="H39" s="411"/>
      <c r="I39" s="411" t="s">
        <v>3237</v>
      </c>
      <c r="J39" s="411"/>
      <c r="K39" s="417">
        <v>6988880</v>
      </c>
      <c r="L39" s="411" t="s">
        <v>251</v>
      </c>
      <c r="M39" s="416">
        <v>44488</v>
      </c>
      <c r="N39" s="416">
        <v>44546</v>
      </c>
      <c r="O39" s="416">
        <v>44566</v>
      </c>
      <c r="P39" s="630" t="s">
        <v>576</v>
      </c>
      <c r="Q39" s="411"/>
      <c r="R39" s="417">
        <v>6916884</v>
      </c>
      <c r="S39" s="417">
        <v>7608572.4000000004</v>
      </c>
      <c r="T39" s="1480"/>
      <c r="U39" s="1480"/>
      <c r="V39" s="1480"/>
      <c r="W39" s="513">
        <v>44566</v>
      </c>
      <c r="X39" s="417" t="s">
        <v>10662</v>
      </c>
      <c r="Y39" s="416">
        <v>44585</v>
      </c>
      <c r="Z39" s="416">
        <v>44594</v>
      </c>
      <c r="AA39" s="416">
        <v>46045</v>
      </c>
      <c r="AB39" s="422" t="s">
        <v>10829</v>
      </c>
      <c r="AC39" s="422">
        <v>2023</v>
      </c>
      <c r="AD39" s="388">
        <v>2024</v>
      </c>
      <c r="AE39" s="388">
        <v>2025</v>
      </c>
      <c r="AF39" s="388" t="s">
        <v>10830</v>
      </c>
    </row>
    <row r="40" spans="1:33" ht="45.75" thickBot="1">
      <c r="A40" s="2117">
        <v>44439</v>
      </c>
      <c r="B40" s="2120" t="s">
        <v>9824</v>
      </c>
      <c r="C40" s="2118" t="s">
        <v>58</v>
      </c>
      <c r="D40" s="2118" t="s">
        <v>2684</v>
      </c>
      <c r="E40" s="2119" t="s">
        <v>9825</v>
      </c>
      <c r="F40" s="2118"/>
      <c r="G40" s="2120"/>
      <c r="H40" s="2118"/>
      <c r="I40" s="2118" t="s">
        <v>737</v>
      </c>
      <c r="J40" s="2118" t="s">
        <v>4238</v>
      </c>
      <c r="K40" s="2121">
        <v>6363636</v>
      </c>
      <c r="L40" s="2118" t="s">
        <v>251</v>
      </c>
      <c r="M40" s="2117">
        <v>44475</v>
      </c>
      <c r="N40" s="2117">
        <v>44508</v>
      </c>
      <c r="O40" s="2117">
        <v>44581</v>
      </c>
      <c r="P40" s="2120" t="s">
        <v>144</v>
      </c>
      <c r="Q40" s="2118"/>
      <c r="R40" s="2121">
        <v>6363521</v>
      </c>
      <c r="S40" s="2121">
        <v>7699860.4100000001</v>
      </c>
      <c r="T40" s="2122"/>
      <c r="U40" s="2122"/>
      <c r="V40" s="2122"/>
      <c r="W40" s="2123">
        <v>44581</v>
      </c>
      <c r="X40" s="2246" t="s">
        <v>10768</v>
      </c>
      <c r="Y40" s="2117">
        <v>44636</v>
      </c>
      <c r="Z40" s="2117">
        <v>44650</v>
      </c>
      <c r="AA40" s="2117">
        <v>44720</v>
      </c>
      <c r="AB40" s="2110"/>
      <c r="AC40" s="2110" t="s">
        <v>6118</v>
      </c>
    </row>
    <row r="41" spans="1:33" ht="30.75" thickTop="1">
      <c r="A41" s="474">
        <v>44452</v>
      </c>
      <c r="B41" s="1420" t="s">
        <v>9854</v>
      </c>
      <c r="C41" s="453" t="s">
        <v>2434</v>
      </c>
      <c r="D41" s="453" t="s">
        <v>3204</v>
      </c>
      <c r="E41" s="473" t="s">
        <v>4122</v>
      </c>
      <c r="F41" s="453">
        <v>1</v>
      </c>
      <c r="G41" s="1420" t="s">
        <v>9855</v>
      </c>
      <c r="H41" s="453"/>
      <c r="I41" s="453" t="s">
        <v>642</v>
      </c>
      <c r="J41" s="453"/>
      <c r="K41" s="457">
        <v>1500000</v>
      </c>
      <c r="L41" s="453" t="s">
        <v>251</v>
      </c>
      <c r="M41" s="474">
        <v>44462</v>
      </c>
      <c r="N41" s="474">
        <v>44516</v>
      </c>
      <c r="O41" s="474">
        <v>44531</v>
      </c>
      <c r="P41" s="1420" t="s">
        <v>4894</v>
      </c>
      <c r="Q41" s="453"/>
      <c r="R41" s="457">
        <v>1500000</v>
      </c>
      <c r="S41" s="457">
        <v>1725000</v>
      </c>
      <c r="T41" s="1474"/>
      <c r="U41" s="1474"/>
      <c r="V41" s="1474"/>
      <c r="W41" s="570">
        <v>44531</v>
      </c>
      <c r="X41" s="1387" t="s">
        <v>10487</v>
      </c>
      <c r="Y41" s="474">
        <v>44565</v>
      </c>
      <c r="Z41" s="474">
        <v>44578</v>
      </c>
      <c r="AA41" s="474">
        <v>45660</v>
      </c>
      <c r="AB41" s="1391" t="s">
        <v>10656</v>
      </c>
      <c r="AC41" s="1391">
        <v>2023</v>
      </c>
      <c r="AD41" s="1391">
        <v>2024</v>
      </c>
      <c r="AE41" s="1391" t="s">
        <v>10657</v>
      </c>
    </row>
    <row r="42" spans="1:33" ht="30">
      <c r="A42" s="2140">
        <v>44452</v>
      </c>
      <c r="B42" s="2143" t="s">
        <v>9854</v>
      </c>
      <c r="C42" s="2141" t="s">
        <v>2434</v>
      </c>
      <c r="D42" s="2141" t="s">
        <v>3204</v>
      </c>
      <c r="E42" s="2142" t="s">
        <v>4122</v>
      </c>
      <c r="F42" s="2141">
        <v>2</v>
      </c>
      <c r="G42" s="2143" t="s">
        <v>4148</v>
      </c>
      <c r="H42" s="2141"/>
      <c r="I42" s="2141" t="s">
        <v>642</v>
      </c>
      <c r="J42" s="2141"/>
      <c r="K42" s="2144">
        <v>189800</v>
      </c>
      <c r="L42" s="2141" t="s">
        <v>251</v>
      </c>
      <c r="M42" s="2140">
        <v>44462</v>
      </c>
      <c r="N42" s="2140">
        <v>44516</v>
      </c>
      <c r="O42" s="2140">
        <v>44531</v>
      </c>
      <c r="P42" s="2143" t="s">
        <v>4893</v>
      </c>
      <c r="Q42" s="2141"/>
      <c r="R42" s="2144">
        <v>189800</v>
      </c>
      <c r="S42" s="2144">
        <v>218270</v>
      </c>
      <c r="T42" s="2145"/>
      <c r="U42" s="2145"/>
      <c r="V42" s="2145"/>
      <c r="W42" s="2146">
        <v>44531</v>
      </c>
      <c r="X42" s="2260" t="s">
        <v>10488</v>
      </c>
      <c r="Y42" s="2140">
        <v>44565</v>
      </c>
      <c r="Z42" s="2140">
        <v>44578</v>
      </c>
      <c r="AA42" s="2140">
        <v>45660</v>
      </c>
      <c r="AB42" s="2109" t="s">
        <v>10656</v>
      </c>
      <c r="AC42" s="2109">
        <v>2023</v>
      </c>
      <c r="AD42" s="2109">
        <v>2024</v>
      </c>
      <c r="AE42" s="2109" t="s">
        <v>10657</v>
      </c>
    </row>
    <row r="43" spans="1:33" ht="30">
      <c r="A43" s="2140">
        <v>44452</v>
      </c>
      <c r="B43" s="2143" t="s">
        <v>9854</v>
      </c>
      <c r="C43" s="2141" t="s">
        <v>2434</v>
      </c>
      <c r="D43" s="2141" t="s">
        <v>3204</v>
      </c>
      <c r="E43" s="2142" t="s">
        <v>4122</v>
      </c>
      <c r="F43" s="2141">
        <v>3</v>
      </c>
      <c r="G43" s="2143" t="s">
        <v>9856</v>
      </c>
      <c r="H43" s="2141"/>
      <c r="I43" s="2141" t="s">
        <v>642</v>
      </c>
      <c r="J43" s="2141"/>
      <c r="K43" s="2144">
        <v>1635000</v>
      </c>
      <c r="L43" s="2141" t="s">
        <v>251</v>
      </c>
      <c r="M43" s="2140">
        <v>44462</v>
      </c>
      <c r="N43" s="2140">
        <v>44516</v>
      </c>
      <c r="O43" s="2140">
        <v>44531</v>
      </c>
      <c r="P43" s="2143" t="s">
        <v>13607</v>
      </c>
      <c r="Q43" s="2141"/>
      <c r="R43" s="2144">
        <v>1635000</v>
      </c>
      <c r="S43" s="2144">
        <v>1880250</v>
      </c>
      <c r="T43" s="2145"/>
      <c r="U43" s="2145"/>
      <c r="V43" s="2145"/>
      <c r="W43" s="2146">
        <v>44531</v>
      </c>
      <c r="X43" s="2260" t="s">
        <v>10489</v>
      </c>
      <c r="Y43" s="2140">
        <v>44564</v>
      </c>
      <c r="Z43" s="2140">
        <v>44578</v>
      </c>
      <c r="AA43" s="2140">
        <v>45659</v>
      </c>
      <c r="AB43" s="2109" t="s">
        <v>10647</v>
      </c>
      <c r="AC43" s="2109">
        <v>2023</v>
      </c>
      <c r="AD43" s="2109">
        <v>2024</v>
      </c>
      <c r="AE43" s="2109" t="s">
        <v>10648</v>
      </c>
    </row>
    <row r="44" spans="1:33" ht="30">
      <c r="A44" s="2140">
        <v>44452</v>
      </c>
      <c r="B44" s="2143" t="s">
        <v>9854</v>
      </c>
      <c r="C44" s="2141" t="s">
        <v>2434</v>
      </c>
      <c r="D44" s="2141" t="s">
        <v>3204</v>
      </c>
      <c r="E44" s="2142" t="s">
        <v>4122</v>
      </c>
      <c r="F44" s="2141">
        <v>5</v>
      </c>
      <c r="G44" s="2143" t="s">
        <v>9858</v>
      </c>
      <c r="H44" s="2141"/>
      <c r="I44" s="2141" t="s">
        <v>642</v>
      </c>
      <c r="J44" s="2141"/>
      <c r="K44" s="2144">
        <v>528000</v>
      </c>
      <c r="L44" s="2141" t="s">
        <v>251</v>
      </c>
      <c r="M44" s="2140">
        <v>44462</v>
      </c>
      <c r="N44" s="2140">
        <v>44516</v>
      </c>
      <c r="O44" s="2140">
        <v>44531</v>
      </c>
      <c r="P44" s="2143" t="s">
        <v>4894</v>
      </c>
      <c r="Q44" s="2141"/>
      <c r="R44" s="2144">
        <v>528000</v>
      </c>
      <c r="S44" s="2144">
        <v>607200</v>
      </c>
      <c r="T44" s="2145"/>
      <c r="U44" s="2145"/>
      <c r="V44" s="2145"/>
      <c r="W44" s="2146">
        <v>44531</v>
      </c>
      <c r="X44" s="2260" t="s">
        <v>10490</v>
      </c>
      <c r="Y44" s="2140">
        <v>44565</v>
      </c>
      <c r="Z44" s="2140">
        <v>44578</v>
      </c>
      <c r="AA44" s="2140">
        <v>45660</v>
      </c>
      <c r="AB44" s="2109" t="s">
        <v>10656</v>
      </c>
      <c r="AC44" s="2109">
        <v>2023</v>
      </c>
      <c r="AD44" s="2109">
        <v>2024</v>
      </c>
      <c r="AE44" s="2109" t="s">
        <v>10657</v>
      </c>
    </row>
    <row r="45" spans="1:33" ht="30">
      <c r="A45" s="2140">
        <v>44452</v>
      </c>
      <c r="B45" s="2143" t="s">
        <v>9854</v>
      </c>
      <c r="C45" s="2141" t="s">
        <v>2434</v>
      </c>
      <c r="D45" s="2141" t="s">
        <v>3204</v>
      </c>
      <c r="E45" s="2142" t="s">
        <v>4122</v>
      </c>
      <c r="F45" s="2141">
        <v>6</v>
      </c>
      <c r="G45" s="2143" t="s">
        <v>9859</v>
      </c>
      <c r="H45" s="2141"/>
      <c r="I45" s="2141" t="s">
        <v>642</v>
      </c>
      <c r="J45" s="2141"/>
      <c r="K45" s="2144">
        <v>652170</v>
      </c>
      <c r="L45" s="2141" t="s">
        <v>251</v>
      </c>
      <c r="M45" s="2140">
        <v>44462</v>
      </c>
      <c r="N45" s="2140">
        <v>44516</v>
      </c>
      <c r="O45" s="2140">
        <v>44531</v>
      </c>
      <c r="P45" s="2143" t="s">
        <v>13607</v>
      </c>
      <c r="Q45" s="2141"/>
      <c r="R45" s="2144">
        <v>651900</v>
      </c>
      <c r="S45" s="2144">
        <v>749685</v>
      </c>
      <c r="T45" s="2145"/>
      <c r="U45" s="2145"/>
      <c r="V45" s="2145"/>
      <c r="W45" s="2146">
        <v>44531</v>
      </c>
      <c r="X45" s="2260" t="s">
        <v>10491</v>
      </c>
      <c r="Y45" s="2140">
        <v>44564</v>
      </c>
      <c r="Z45" s="2140">
        <v>44578</v>
      </c>
      <c r="AA45" s="2140">
        <v>45659</v>
      </c>
      <c r="AB45" s="2109" t="s">
        <v>10647</v>
      </c>
      <c r="AC45" s="2109">
        <v>2023</v>
      </c>
      <c r="AD45" s="2109">
        <v>2024</v>
      </c>
      <c r="AE45" s="2109" t="s">
        <v>10648</v>
      </c>
    </row>
    <row r="46" spans="1:33" ht="30.75" thickBot="1">
      <c r="A46" s="2117">
        <v>44452</v>
      </c>
      <c r="B46" s="2120" t="s">
        <v>9854</v>
      </c>
      <c r="C46" s="2118" t="s">
        <v>2434</v>
      </c>
      <c r="D46" s="2118" t="s">
        <v>3204</v>
      </c>
      <c r="E46" s="2119" t="s">
        <v>4122</v>
      </c>
      <c r="F46" s="2118">
        <v>7</v>
      </c>
      <c r="G46" s="2120" t="s">
        <v>4153</v>
      </c>
      <c r="H46" s="2118"/>
      <c r="I46" s="2118" t="s">
        <v>642</v>
      </c>
      <c r="J46" s="2118"/>
      <c r="K46" s="2121">
        <v>26578800</v>
      </c>
      <c r="L46" s="2118" t="s">
        <v>251</v>
      </c>
      <c r="M46" s="2117">
        <v>44462</v>
      </c>
      <c r="N46" s="2117">
        <v>44516</v>
      </c>
      <c r="O46" s="2117">
        <v>44531</v>
      </c>
      <c r="P46" s="2120" t="s">
        <v>4839</v>
      </c>
      <c r="Q46" s="2118"/>
      <c r="R46" s="2121">
        <v>26577000</v>
      </c>
      <c r="S46" s="2121">
        <v>30563550</v>
      </c>
      <c r="T46" s="2122"/>
      <c r="U46" s="2122"/>
      <c r="V46" s="2122"/>
      <c r="W46" s="2123">
        <v>44531</v>
      </c>
      <c r="X46" s="2246" t="s">
        <v>10492</v>
      </c>
      <c r="Y46" s="2117">
        <v>44571</v>
      </c>
      <c r="Z46" s="2117">
        <v>44578</v>
      </c>
      <c r="AA46" s="2117">
        <v>45666</v>
      </c>
      <c r="AB46" s="2110" t="s">
        <v>10693</v>
      </c>
      <c r="AC46" s="2110">
        <v>2023</v>
      </c>
      <c r="AD46" s="2110">
        <v>2024</v>
      </c>
      <c r="AE46" s="2110" t="s">
        <v>10696</v>
      </c>
    </row>
    <row r="47" spans="1:33" ht="15.75" thickTop="1">
      <c r="A47" s="416">
        <v>44459</v>
      </c>
      <c r="B47" s="630" t="s">
        <v>9929</v>
      </c>
      <c r="C47" s="411" t="s">
        <v>2111</v>
      </c>
      <c r="D47" s="411" t="s">
        <v>9080</v>
      </c>
      <c r="E47" s="412" t="s">
        <v>9930</v>
      </c>
      <c r="F47" s="411"/>
      <c r="G47" s="630"/>
      <c r="H47" s="411"/>
      <c r="I47" s="411" t="s">
        <v>2967</v>
      </c>
      <c r="J47" s="411"/>
      <c r="K47" s="417">
        <v>3299200</v>
      </c>
      <c r="L47" s="411" t="s">
        <v>216</v>
      </c>
      <c r="M47" s="416">
        <v>44484</v>
      </c>
      <c r="N47" s="416">
        <v>44510</v>
      </c>
      <c r="O47" s="416">
        <v>44539</v>
      </c>
      <c r="P47" s="630" t="s">
        <v>1404</v>
      </c>
      <c r="Q47" s="411"/>
      <c r="R47" s="417">
        <v>3247680</v>
      </c>
      <c r="S47" s="417">
        <v>3734852</v>
      </c>
      <c r="T47" s="1480"/>
      <c r="U47" s="1480"/>
      <c r="V47" s="1480"/>
      <c r="W47" s="513">
        <v>44539</v>
      </c>
      <c r="X47" s="417" t="s">
        <v>10545</v>
      </c>
      <c r="Y47" s="416">
        <v>44564</v>
      </c>
      <c r="Z47" s="416">
        <v>44568</v>
      </c>
      <c r="AA47" s="416">
        <v>46024</v>
      </c>
      <c r="AB47" s="451" t="s">
        <v>10647</v>
      </c>
      <c r="AC47" s="451">
        <v>2023</v>
      </c>
      <c r="AD47" s="451">
        <v>2024</v>
      </c>
      <c r="AE47" s="451">
        <v>2025</v>
      </c>
      <c r="AF47" s="2109" t="s">
        <v>10650</v>
      </c>
      <c r="AG47" s="388" t="s">
        <v>10650</v>
      </c>
    </row>
    <row r="48" spans="1:33">
      <c r="A48" s="2140">
        <v>44463</v>
      </c>
      <c r="B48" s="2143" t="s">
        <v>9931</v>
      </c>
      <c r="C48" s="2141" t="s">
        <v>69</v>
      </c>
      <c r="D48" s="2141" t="s">
        <v>70</v>
      </c>
      <c r="E48" s="2142" t="s">
        <v>9932</v>
      </c>
      <c r="F48" s="2141">
        <v>2</v>
      </c>
      <c r="G48" s="2143" t="s">
        <v>9933</v>
      </c>
      <c r="H48" s="2141"/>
      <c r="I48" s="2141" t="s">
        <v>93</v>
      </c>
      <c r="J48" s="2141"/>
      <c r="K48" s="2144">
        <v>370986</v>
      </c>
      <c r="L48" s="2141" t="s">
        <v>251</v>
      </c>
      <c r="M48" s="2140">
        <v>44469</v>
      </c>
      <c r="N48" s="2140">
        <v>44502</v>
      </c>
      <c r="O48" s="2140">
        <v>44531</v>
      </c>
      <c r="P48" s="2143" t="s">
        <v>1319</v>
      </c>
      <c r="Q48" s="2141"/>
      <c r="R48" s="2144">
        <v>125634.9</v>
      </c>
      <c r="S48" s="2144">
        <v>138198.39000000001</v>
      </c>
      <c r="T48" s="2145"/>
      <c r="U48" s="2145"/>
      <c r="V48" s="2145"/>
      <c r="W48" s="2146">
        <v>44531</v>
      </c>
      <c r="X48" s="2144" t="s">
        <v>10479</v>
      </c>
      <c r="Y48" s="2140">
        <v>44564</v>
      </c>
      <c r="Z48" s="2140">
        <v>44566</v>
      </c>
      <c r="AA48" s="2140">
        <v>45659</v>
      </c>
      <c r="AB48" s="2109" t="s">
        <v>10647</v>
      </c>
      <c r="AC48" s="2109">
        <v>2023</v>
      </c>
      <c r="AD48" s="2109">
        <v>2024</v>
      </c>
      <c r="AE48" s="2109" t="s">
        <v>10648</v>
      </c>
      <c r="AF48" s="1359"/>
    </row>
    <row r="49" spans="1:32" ht="15.75" thickBot="1">
      <c r="A49" s="2117">
        <v>44463</v>
      </c>
      <c r="B49" s="2120" t="s">
        <v>9931</v>
      </c>
      <c r="C49" s="2118" t="s">
        <v>69</v>
      </c>
      <c r="D49" s="2118" t="s">
        <v>70</v>
      </c>
      <c r="E49" s="2119" t="s">
        <v>9932</v>
      </c>
      <c r="F49" s="2118">
        <v>3</v>
      </c>
      <c r="G49" s="2120" t="s">
        <v>9934</v>
      </c>
      <c r="H49" s="2118"/>
      <c r="I49" s="2118" t="s">
        <v>7938</v>
      </c>
      <c r="J49" s="2118"/>
      <c r="K49" s="2121">
        <v>52685673</v>
      </c>
      <c r="L49" s="2118" t="s">
        <v>251</v>
      </c>
      <c r="M49" s="2117">
        <v>44469</v>
      </c>
      <c r="N49" s="2117">
        <v>44502</v>
      </c>
      <c r="O49" s="2117">
        <v>44531</v>
      </c>
      <c r="P49" s="2120" t="s">
        <v>1319</v>
      </c>
      <c r="Q49" s="2118"/>
      <c r="R49" s="2121">
        <v>51324507.899999999</v>
      </c>
      <c r="S49" s="2121">
        <v>56456958.689999998</v>
      </c>
      <c r="T49" s="2122"/>
      <c r="U49" s="2122"/>
      <c r="V49" s="2122"/>
      <c r="W49" s="2123">
        <v>44531</v>
      </c>
      <c r="X49" s="2121" t="s">
        <v>10480</v>
      </c>
      <c r="Y49" s="2117">
        <v>44564</v>
      </c>
      <c r="Z49" s="2117">
        <v>44566</v>
      </c>
      <c r="AA49" s="2117">
        <v>45659</v>
      </c>
      <c r="AB49" s="2110" t="s">
        <v>10647</v>
      </c>
      <c r="AC49" s="2109">
        <v>2023</v>
      </c>
      <c r="AD49" s="2109">
        <v>2024</v>
      </c>
      <c r="AE49" s="2109" t="s">
        <v>10648</v>
      </c>
      <c r="AF49" s="1359"/>
    </row>
    <row r="50" spans="1:32" ht="15.75" thickTop="1">
      <c r="A50" s="474">
        <v>44463</v>
      </c>
      <c r="B50" s="1420" t="s">
        <v>9956</v>
      </c>
      <c r="C50" s="453" t="s">
        <v>69</v>
      </c>
      <c r="D50" s="453" t="s">
        <v>70</v>
      </c>
      <c r="E50" s="473" t="s">
        <v>9957</v>
      </c>
      <c r="F50" s="453">
        <v>1</v>
      </c>
      <c r="G50" s="1420" t="s">
        <v>9652</v>
      </c>
      <c r="H50" s="453"/>
      <c r="I50" s="453" t="s">
        <v>815</v>
      </c>
      <c r="J50" s="453"/>
      <c r="K50" s="457">
        <v>1724688</v>
      </c>
      <c r="L50" s="453" t="s">
        <v>251</v>
      </c>
      <c r="M50" s="474">
        <v>44475</v>
      </c>
      <c r="N50" s="474">
        <v>44551</v>
      </c>
      <c r="O50" s="474">
        <v>44608</v>
      </c>
      <c r="P50" s="1420" t="s">
        <v>16352</v>
      </c>
      <c r="Q50" s="453"/>
      <c r="R50" s="457">
        <v>1723115.4</v>
      </c>
      <c r="S50" s="457">
        <v>1895426.94</v>
      </c>
      <c r="T50" s="1474"/>
      <c r="U50" s="1474"/>
      <c r="V50" s="1474"/>
      <c r="W50" s="570">
        <v>44608</v>
      </c>
      <c r="X50" s="457" t="s">
        <v>11105</v>
      </c>
      <c r="Y50" s="474">
        <v>44628</v>
      </c>
      <c r="Z50" s="474">
        <v>44649</v>
      </c>
      <c r="AA50" s="474">
        <v>45723</v>
      </c>
      <c r="AB50" s="1391" t="s">
        <v>11293</v>
      </c>
      <c r="AC50" s="1391">
        <v>2023</v>
      </c>
      <c r="AD50" s="2109">
        <v>2024</v>
      </c>
      <c r="AE50" s="2109" t="s">
        <v>11294</v>
      </c>
    </row>
    <row r="51" spans="1:32">
      <c r="A51" s="2140">
        <v>44463</v>
      </c>
      <c r="B51" s="2143" t="s">
        <v>9956</v>
      </c>
      <c r="C51" s="2141" t="s">
        <v>69</v>
      </c>
      <c r="D51" s="2141" t="s">
        <v>70</v>
      </c>
      <c r="E51" s="2142" t="s">
        <v>9957</v>
      </c>
      <c r="F51" s="2141">
        <v>2</v>
      </c>
      <c r="G51" s="2143" t="s">
        <v>9958</v>
      </c>
      <c r="H51" s="2141"/>
      <c r="I51" s="2141" t="s">
        <v>815</v>
      </c>
      <c r="J51" s="2141"/>
      <c r="K51" s="2144">
        <v>1365165</v>
      </c>
      <c r="L51" s="2141" t="s">
        <v>251</v>
      </c>
      <c r="M51" s="2140">
        <v>44475</v>
      </c>
      <c r="N51" s="2140">
        <v>44551</v>
      </c>
      <c r="O51" s="2140">
        <v>44608</v>
      </c>
      <c r="P51" s="2143" t="s">
        <v>576</v>
      </c>
      <c r="Q51" s="2141"/>
      <c r="R51" s="2144">
        <v>1365300</v>
      </c>
      <c r="S51" s="2144">
        <v>1501830</v>
      </c>
      <c r="T51" s="2145"/>
      <c r="U51" s="2145"/>
      <c r="V51" s="2145"/>
      <c r="W51" s="2146">
        <v>44608</v>
      </c>
      <c r="X51" s="2144" t="s">
        <v>11106</v>
      </c>
      <c r="Y51" s="2140">
        <v>44631</v>
      </c>
      <c r="Z51" s="2140">
        <v>44649</v>
      </c>
      <c r="AA51" s="2140">
        <v>45726</v>
      </c>
      <c r="AB51" s="2109" t="s">
        <v>11323</v>
      </c>
      <c r="AC51" s="2109">
        <v>2023</v>
      </c>
      <c r="AD51" s="2109">
        <v>2024</v>
      </c>
      <c r="AE51" s="2109" t="s">
        <v>11324</v>
      </c>
    </row>
    <row r="52" spans="1:32">
      <c r="A52" s="2140">
        <v>44463</v>
      </c>
      <c r="B52" s="2143" t="s">
        <v>9956</v>
      </c>
      <c r="C52" s="2141" t="s">
        <v>69</v>
      </c>
      <c r="D52" s="2141" t="s">
        <v>70</v>
      </c>
      <c r="E52" s="2142" t="s">
        <v>9957</v>
      </c>
      <c r="F52" s="2141">
        <v>3</v>
      </c>
      <c r="G52" s="2143" t="s">
        <v>9959</v>
      </c>
      <c r="H52" s="2141"/>
      <c r="I52" s="2141" t="s">
        <v>815</v>
      </c>
      <c r="J52" s="2141"/>
      <c r="K52" s="2144">
        <v>1365165</v>
      </c>
      <c r="L52" s="2141" t="s">
        <v>251</v>
      </c>
      <c r="M52" s="2140">
        <v>44475</v>
      </c>
      <c r="N52" s="2140">
        <v>44551</v>
      </c>
      <c r="O52" s="2140">
        <v>44608</v>
      </c>
      <c r="P52" s="2143" t="s">
        <v>2548</v>
      </c>
      <c r="Q52" s="2141"/>
      <c r="R52" s="2144">
        <v>1371580.38</v>
      </c>
      <c r="S52" s="2144">
        <v>1508738.42</v>
      </c>
      <c r="T52" s="2145"/>
      <c r="U52" s="2145"/>
      <c r="V52" s="2145"/>
      <c r="W52" s="2146">
        <v>44608</v>
      </c>
      <c r="X52" s="2144" t="s">
        <v>11107</v>
      </c>
      <c r="Y52" s="2140">
        <v>44637</v>
      </c>
      <c r="Z52" s="2140">
        <v>44649</v>
      </c>
      <c r="AA52" s="2140">
        <v>45732</v>
      </c>
      <c r="AB52" s="2109" t="s">
        <v>11354</v>
      </c>
      <c r="AC52" s="2109">
        <v>2023</v>
      </c>
      <c r="AD52" s="2109">
        <v>2024</v>
      </c>
      <c r="AE52" s="2109" t="s">
        <v>11356</v>
      </c>
    </row>
    <row r="53" spans="1:32">
      <c r="A53" s="2140">
        <v>44463</v>
      </c>
      <c r="B53" s="2143" t="s">
        <v>9956</v>
      </c>
      <c r="C53" s="2141" t="s">
        <v>69</v>
      </c>
      <c r="D53" s="2141" t="s">
        <v>70</v>
      </c>
      <c r="E53" s="2142" t="s">
        <v>9957</v>
      </c>
      <c r="F53" s="2141">
        <v>4</v>
      </c>
      <c r="G53" s="2143" t="s">
        <v>9960</v>
      </c>
      <c r="H53" s="2141"/>
      <c r="I53" s="2141" t="s">
        <v>815</v>
      </c>
      <c r="J53" s="2141"/>
      <c r="K53" s="2144">
        <v>1365165</v>
      </c>
      <c r="L53" s="2141" t="s">
        <v>251</v>
      </c>
      <c r="M53" s="2140">
        <v>44475</v>
      </c>
      <c r="N53" s="2140">
        <v>44551</v>
      </c>
      <c r="O53" s="2140">
        <v>44608</v>
      </c>
      <c r="P53" s="2143" t="s">
        <v>1646</v>
      </c>
      <c r="Q53" s="2141"/>
      <c r="R53" s="2144">
        <v>1335996</v>
      </c>
      <c r="S53" s="2144">
        <v>1469595.6</v>
      </c>
      <c r="T53" s="2145"/>
      <c r="U53" s="2145"/>
      <c r="V53" s="2145"/>
      <c r="W53" s="2146">
        <v>44608</v>
      </c>
      <c r="X53" s="2144" t="s">
        <v>11108</v>
      </c>
      <c r="Y53" s="2140">
        <v>44648</v>
      </c>
      <c r="Z53" s="2140">
        <v>44649</v>
      </c>
      <c r="AA53" s="2140">
        <v>45743</v>
      </c>
      <c r="AB53" s="2109" t="s">
        <v>11443</v>
      </c>
      <c r="AC53" s="2109">
        <v>2023</v>
      </c>
      <c r="AD53" s="388">
        <v>2024</v>
      </c>
      <c r="AE53" s="388" t="s">
        <v>11444</v>
      </c>
    </row>
    <row r="54" spans="1:32">
      <c r="A54" s="2140">
        <v>44463</v>
      </c>
      <c r="B54" s="2143" t="s">
        <v>9956</v>
      </c>
      <c r="C54" s="2141" t="s">
        <v>69</v>
      </c>
      <c r="D54" s="2141" t="s">
        <v>70</v>
      </c>
      <c r="E54" s="2142" t="s">
        <v>9957</v>
      </c>
      <c r="F54" s="2141">
        <v>5</v>
      </c>
      <c r="G54" s="2143" t="s">
        <v>9961</v>
      </c>
      <c r="H54" s="2141"/>
      <c r="I54" s="2141" t="s">
        <v>815</v>
      </c>
      <c r="J54" s="2141"/>
      <c r="K54" s="2144">
        <v>72594</v>
      </c>
      <c r="L54" s="2141" t="s">
        <v>251</v>
      </c>
      <c r="M54" s="2140">
        <v>44475</v>
      </c>
      <c r="N54" s="2140">
        <v>44551</v>
      </c>
      <c r="O54" s="2140">
        <v>44608</v>
      </c>
      <c r="P54" s="2143" t="s">
        <v>16350</v>
      </c>
      <c r="Q54" s="2141"/>
      <c r="R54" s="2144">
        <v>71750.399999999994</v>
      </c>
      <c r="S54" s="2144">
        <v>78925.440000000002</v>
      </c>
      <c r="T54" s="2145"/>
      <c r="U54" s="2145"/>
      <c r="V54" s="2145"/>
      <c r="W54" s="2146">
        <v>44608</v>
      </c>
      <c r="X54" s="2144" t="s">
        <v>11109</v>
      </c>
      <c r="Y54" s="2140">
        <v>44641</v>
      </c>
      <c r="Z54" s="2140">
        <v>44649</v>
      </c>
      <c r="AA54" s="2140">
        <v>45736</v>
      </c>
      <c r="AB54" s="2109" t="s">
        <v>11368</v>
      </c>
      <c r="AC54" s="2109">
        <v>2023</v>
      </c>
      <c r="AD54" s="2109">
        <v>2024</v>
      </c>
      <c r="AE54" s="2109" t="s">
        <v>11369</v>
      </c>
    </row>
    <row r="55" spans="1:32">
      <c r="A55" s="2140">
        <v>44463</v>
      </c>
      <c r="B55" s="2143" t="s">
        <v>9956</v>
      </c>
      <c r="C55" s="2141" t="s">
        <v>69</v>
      </c>
      <c r="D55" s="2141" t="s">
        <v>70</v>
      </c>
      <c r="E55" s="2142" t="s">
        <v>9957</v>
      </c>
      <c r="F55" s="2141">
        <v>6</v>
      </c>
      <c r="G55" s="2143" t="s">
        <v>9962</v>
      </c>
      <c r="H55" s="2141"/>
      <c r="I55" s="2141" t="s">
        <v>815</v>
      </c>
      <c r="J55" s="2141"/>
      <c r="K55" s="2144">
        <v>1365165</v>
      </c>
      <c r="L55" s="2141" t="s">
        <v>251</v>
      </c>
      <c r="M55" s="2140">
        <v>44475</v>
      </c>
      <c r="N55" s="2140">
        <v>44551</v>
      </c>
      <c r="O55" s="2140">
        <v>44608</v>
      </c>
      <c r="P55" s="2143" t="s">
        <v>576</v>
      </c>
      <c r="Q55" s="2141"/>
      <c r="R55" s="2144">
        <v>72511.86</v>
      </c>
      <c r="S55" s="2144">
        <v>79763.05</v>
      </c>
      <c r="T55" s="2145"/>
      <c r="U55" s="2145"/>
      <c r="V55" s="2145"/>
      <c r="W55" s="2146">
        <v>44608</v>
      </c>
      <c r="X55" s="2144" t="s">
        <v>11110</v>
      </c>
      <c r="Y55" s="2140">
        <v>44631</v>
      </c>
      <c r="Z55" s="2140">
        <v>44649</v>
      </c>
      <c r="AA55" s="2140">
        <v>45726</v>
      </c>
      <c r="AB55" s="2109" t="s">
        <v>11323</v>
      </c>
      <c r="AC55" s="2109">
        <v>2023</v>
      </c>
      <c r="AD55" s="2109">
        <v>2024</v>
      </c>
      <c r="AE55" s="2109" t="s">
        <v>11324</v>
      </c>
    </row>
    <row r="56" spans="1:32">
      <c r="A56" s="2140">
        <v>44463</v>
      </c>
      <c r="B56" s="2143" t="s">
        <v>9956</v>
      </c>
      <c r="C56" s="2141" t="s">
        <v>69</v>
      </c>
      <c r="D56" s="2141" t="s">
        <v>70</v>
      </c>
      <c r="E56" s="2142" t="s">
        <v>9957</v>
      </c>
      <c r="F56" s="2141">
        <v>7</v>
      </c>
      <c r="G56" s="2143" t="s">
        <v>9963</v>
      </c>
      <c r="H56" s="2141"/>
      <c r="I56" s="2141" t="s">
        <v>815</v>
      </c>
      <c r="J56" s="2141"/>
      <c r="K56" s="2144">
        <v>1365165</v>
      </c>
      <c r="L56" s="2141" t="s">
        <v>251</v>
      </c>
      <c r="M56" s="2140">
        <v>44475</v>
      </c>
      <c r="N56" s="2140">
        <v>44551</v>
      </c>
      <c r="O56" s="2140">
        <v>44608</v>
      </c>
      <c r="P56" s="2143" t="s">
        <v>16350</v>
      </c>
      <c r="Q56" s="2141"/>
      <c r="R56" s="2144">
        <v>540947.4</v>
      </c>
      <c r="S56" s="2144">
        <v>595042.14</v>
      </c>
      <c r="T56" s="2145"/>
      <c r="U56" s="2145"/>
      <c r="V56" s="2145"/>
      <c r="W56" s="2146">
        <v>44608</v>
      </c>
      <c r="X56" s="2144" t="s">
        <v>11111</v>
      </c>
      <c r="Y56" s="2140">
        <v>44641</v>
      </c>
      <c r="Z56" s="2140">
        <v>44649</v>
      </c>
      <c r="AA56" s="2140">
        <v>45736</v>
      </c>
      <c r="AB56" s="2109" t="s">
        <v>11368</v>
      </c>
      <c r="AC56" s="2109">
        <v>2023</v>
      </c>
      <c r="AD56" s="2109">
        <v>2024</v>
      </c>
      <c r="AE56" s="2109" t="s">
        <v>11369</v>
      </c>
    </row>
    <row r="57" spans="1:32" ht="15.75" thickBot="1">
      <c r="A57" s="2117">
        <v>44463</v>
      </c>
      <c r="B57" s="2120" t="s">
        <v>9956</v>
      </c>
      <c r="C57" s="2118" t="s">
        <v>69</v>
      </c>
      <c r="D57" s="2118" t="s">
        <v>70</v>
      </c>
      <c r="E57" s="2119" t="s">
        <v>9957</v>
      </c>
      <c r="F57" s="2118">
        <v>8</v>
      </c>
      <c r="G57" s="2120" t="s">
        <v>9964</v>
      </c>
      <c r="H57" s="2118"/>
      <c r="I57" s="2118" t="s">
        <v>815</v>
      </c>
      <c r="J57" s="2118"/>
      <c r="K57" s="2121">
        <v>224649</v>
      </c>
      <c r="L57" s="2118" t="s">
        <v>251</v>
      </c>
      <c r="M57" s="2117">
        <v>44475</v>
      </c>
      <c r="N57" s="2117">
        <v>44551</v>
      </c>
      <c r="O57" s="2117">
        <v>44608</v>
      </c>
      <c r="P57" s="2120" t="s">
        <v>1646</v>
      </c>
      <c r="Q57" s="2118"/>
      <c r="R57" s="2121">
        <v>209521.26</v>
      </c>
      <c r="S57" s="2121">
        <v>230473.39</v>
      </c>
      <c r="T57" s="2122"/>
      <c r="U57" s="2122"/>
      <c r="V57" s="2122"/>
      <c r="W57" s="2123">
        <v>44608</v>
      </c>
      <c r="X57" s="2121" t="s">
        <v>11112</v>
      </c>
      <c r="Y57" s="2117">
        <v>44648</v>
      </c>
      <c r="Z57" s="2117">
        <v>44649</v>
      </c>
      <c r="AA57" s="2117">
        <v>45743</v>
      </c>
      <c r="AB57" s="2110" t="s">
        <v>11443</v>
      </c>
      <c r="AC57" s="2110">
        <v>2023</v>
      </c>
      <c r="AD57" s="388">
        <v>2024</v>
      </c>
      <c r="AE57" s="388" t="s">
        <v>11444</v>
      </c>
    </row>
    <row r="58" spans="1:32" ht="15.75" thickTop="1">
      <c r="A58" s="474">
        <v>44469</v>
      </c>
      <c r="B58" s="1420" t="s">
        <v>9979</v>
      </c>
      <c r="C58" s="453" t="s">
        <v>69</v>
      </c>
      <c r="D58" s="453" t="s">
        <v>70</v>
      </c>
      <c r="E58" s="473" t="s">
        <v>9980</v>
      </c>
      <c r="F58" s="453">
        <v>1</v>
      </c>
      <c r="G58" s="1420" t="s">
        <v>9981</v>
      </c>
      <c r="H58" s="453"/>
      <c r="I58" s="453" t="s">
        <v>93</v>
      </c>
      <c r="J58" s="453"/>
      <c r="K58" s="457">
        <v>695760</v>
      </c>
      <c r="L58" s="453" t="s">
        <v>251</v>
      </c>
      <c r="M58" s="474">
        <v>44475</v>
      </c>
      <c r="N58" s="474">
        <v>44557</v>
      </c>
      <c r="O58" s="474">
        <v>44594</v>
      </c>
      <c r="P58" s="1420" t="s">
        <v>576</v>
      </c>
      <c r="Q58" s="453"/>
      <c r="R58" s="457">
        <v>377836.68</v>
      </c>
      <c r="S58" s="457">
        <v>415620.35</v>
      </c>
      <c r="T58" s="1474"/>
      <c r="U58" s="1474"/>
      <c r="V58" s="1474"/>
      <c r="W58" s="570">
        <v>44594</v>
      </c>
      <c r="X58" s="457" t="s">
        <v>10972</v>
      </c>
      <c r="Y58" s="474">
        <v>44630</v>
      </c>
      <c r="Z58" s="474">
        <v>44650</v>
      </c>
      <c r="AA58" s="474">
        <v>45725</v>
      </c>
      <c r="AB58" s="1391" t="s">
        <v>11300</v>
      </c>
      <c r="AC58" s="1391">
        <v>2023</v>
      </c>
      <c r="AD58" s="2109">
        <v>2024</v>
      </c>
      <c r="AE58" s="2109" t="s">
        <v>11301</v>
      </c>
    </row>
    <row r="59" spans="1:32">
      <c r="A59" s="2140">
        <v>44469</v>
      </c>
      <c r="B59" s="2143" t="s">
        <v>9979</v>
      </c>
      <c r="C59" s="2141" t="s">
        <v>69</v>
      </c>
      <c r="D59" s="2141" t="s">
        <v>70</v>
      </c>
      <c r="E59" s="2142" t="s">
        <v>9980</v>
      </c>
      <c r="F59" s="2141">
        <v>2</v>
      </c>
      <c r="G59" s="2143" t="s">
        <v>9982</v>
      </c>
      <c r="H59" s="2141"/>
      <c r="I59" s="2141" t="s">
        <v>93</v>
      </c>
      <c r="J59" s="2141"/>
      <c r="K59" s="2144">
        <v>553461</v>
      </c>
      <c r="L59" s="2141" t="s">
        <v>251</v>
      </c>
      <c r="M59" s="2140">
        <v>44475</v>
      </c>
      <c r="N59" s="2140">
        <v>44557</v>
      </c>
      <c r="O59" s="2140">
        <v>44594</v>
      </c>
      <c r="P59" s="2143" t="s">
        <v>576</v>
      </c>
      <c r="Q59" s="2141"/>
      <c r="R59" s="2144">
        <v>549009.27</v>
      </c>
      <c r="S59" s="2144">
        <v>603910.19999999995</v>
      </c>
      <c r="T59" s="2145"/>
      <c r="U59" s="2145"/>
      <c r="V59" s="2145"/>
      <c r="W59" s="2146">
        <v>44594</v>
      </c>
      <c r="X59" s="2144" t="s">
        <v>10973</v>
      </c>
      <c r="Y59" s="2140">
        <v>44630</v>
      </c>
      <c r="Z59" s="2140">
        <v>44650</v>
      </c>
      <c r="AA59" s="2140">
        <v>45725</v>
      </c>
      <c r="AB59" s="2109" t="s">
        <v>11300</v>
      </c>
      <c r="AC59" s="2109">
        <v>2023</v>
      </c>
      <c r="AD59" s="2109">
        <v>2024</v>
      </c>
      <c r="AE59" s="2109" t="s">
        <v>11301</v>
      </c>
    </row>
    <row r="60" spans="1:32">
      <c r="A60" s="2140">
        <v>44469</v>
      </c>
      <c r="B60" s="2143" t="s">
        <v>9979</v>
      </c>
      <c r="C60" s="2141" t="s">
        <v>69</v>
      </c>
      <c r="D60" s="2141" t="s">
        <v>70</v>
      </c>
      <c r="E60" s="2142" t="s">
        <v>9980</v>
      </c>
      <c r="F60" s="2141">
        <v>3</v>
      </c>
      <c r="G60" s="2143" t="s">
        <v>9983</v>
      </c>
      <c r="H60" s="2141"/>
      <c r="I60" s="2141" t="s">
        <v>93</v>
      </c>
      <c r="J60" s="2141"/>
      <c r="K60" s="2144">
        <v>1970539</v>
      </c>
      <c r="L60" s="2141" t="s">
        <v>251</v>
      </c>
      <c r="M60" s="2140">
        <v>44475</v>
      </c>
      <c r="N60" s="2140">
        <v>44557</v>
      </c>
      <c r="O60" s="2140">
        <v>44594</v>
      </c>
      <c r="P60" s="2143" t="s">
        <v>576</v>
      </c>
      <c r="Q60" s="2141"/>
      <c r="R60" s="2144">
        <v>1930145.76</v>
      </c>
      <c r="S60" s="2144">
        <v>2123160.34</v>
      </c>
      <c r="T60" s="2145"/>
      <c r="U60" s="2145"/>
      <c r="V60" s="2145"/>
      <c r="W60" s="2146">
        <v>44594</v>
      </c>
      <c r="X60" s="2144" t="s">
        <v>10974</v>
      </c>
      <c r="Y60" s="2140">
        <v>44630</v>
      </c>
      <c r="Z60" s="2140">
        <v>44650</v>
      </c>
      <c r="AA60" s="2140">
        <v>45725</v>
      </c>
      <c r="AB60" s="2109" t="s">
        <v>11300</v>
      </c>
      <c r="AC60" s="2109">
        <v>2023</v>
      </c>
      <c r="AD60" s="2109">
        <v>2024</v>
      </c>
      <c r="AE60" s="2109" t="s">
        <v>11301</v>
      </c>
    </row>
    <row r="61" spans="1:32">
      <c r="A61" s="2140">
        <v>44469</v>
      </c>
      <c r="B61" s="2143" t="s">
        <v>9979</v>
      </c>
      <c r="C61" s="2141" t="s">
        <v>69</v>
      </c>
      <c r="D61" s="2141" t="s">
        <v>70</v>
      </c>
      <c r="E61" s="2142" t="s">
        <v>9980</v>
      </c>
      <c r="F61" s="2141">
        <v>4</v>
      </c>
      <c r="G61" s="2143" t="s">
        <v>9985</v>
      </c>
      <c r="H61" s="2141"/>
      <c r="I61" s="2141" t="s">
        <v>93</v>
      </c>
      <c r="J61" s="2141"/>
      <c r="K61" s="2144">
        <v>1744029</v>
      </c>
      <c r="L61" s="2141" t="s">
        <v>251</v>
      </c>
      <c r="M61" s="2140">
        <v>44475</v>
      </c>
      <c r="N61" s="2140">
        <v>44557</v>
      </c>
      <c r="O61" s="2140">
        <v>44594</v>
      </c>
      <c r="P61" s="2143" t="s">
        <v>2548</v>
      </c>
      <c r="Q61" s="2141"/>
      <c r="R61" s="2144">
        <v>1714919</v>
      </c>
      <c r="S61" s="2144">
        <v>1886454.9</v>
      </c>
      <c r="T61" s="2145"/>
      <c r="U61" s="2145"/>
      <c r="V61" s="2145"/>
      <c r="W61" s="2146">
        <v>44594</v>
      </c>
      <c r="X61" s="2144" t="s">
        <v>10975</v>
      </c>
      <c r="Y61" s="2140">
        <v>44630</v>
      </c>
      <c r="Z61" s="2140">
        <v>44650</v>
      </c>
      <c r="AA61" s="2140">
        <v>45725</v>
      </c>
      <c r="AB61" s="2109" t="s">
        <v>11300</v>
      </c>
      <c r="AC61" s="2109">
        <v>2023</v>
      </c>
      <c r="AD61" s="2109">
        <v>2024</v>
      </c>
      <c r="AE61" s="2109" t="s">
        <v>11301</v>
      </c>
    </row>
    <row r="62" spans="1:32">
      <c r="A62" s="2140">
        <v>44469</v>
      </c>
      <c r="B62" s="2143" t="s">
        <v>9979</v>
      </c>
      <c r="C62" s="2141" t="s">
        <v>69</v>
      </c>
      <c r="D62" s="2141" t="s">
        <v>70</v>
      </c>
      <c r="E62" s="2142" t="s">
        <v>9980</v>
      </c>
      <c r="F62" s="2141">
        <v>5</v>
      </c>
      <c r="G62" s="2143" t="s">
        <v>9986</v>
      </c>
      <c r="H62" s="2141"/>
      <c r="I62" s="2141" t="s">
        <v>93</v>
      </c>
      <c r="J62" s="2141"/>
      <c r="K62" s="2144">
        <v>1335396</v>
      </c>
      <c r="L62" s="2141" t="s">
        <v>251</v>
      </c>
      <c r="M62" s="2140">
        <v>44475</v>
      </c>
      <c r="N62" s="2140">
        <v>44557</v>
      </c>
      <c r="O62" s="2140">
        <v>44594</v>
      </c>
      <c r="P62" s="2143" t="s">
        <v>1646</v>
      </c>
      <c r="Q62" s="2141"/>
      <c r="R62" s="2144">
        <v>1328324.92</v>
      </c>
      <c r="S62" s="2144">
        <v>1461157.41</v>
      </c>
      <c r="T62" s="2145"/>
      <c r="U62" s="2145"/>
      <c r="V62" s="2145"/>
      <c r="W62" s="2146">
        <v>44594</v>
      </c>
      <c r="X62" s="2144" t="s">
        <v>10976</v>
      </c>
      <c r="Y62" s="2140">
        <v>44648</v>
      </c>
      <c r="Z62" s="2140">
        <v>44650</v>
      </c>
      <c r="AA62" s="2140">
        <v>45743</v>
      </c>
      <c r="AB62" s="2109" t="s">
        <v>11443</v>
      </c>
      <c r="AC62" s="2109">
        <v>2023</v>
      </c>
      <c r="AD62" s="388">
        <v>2024</v>
      </c>
      <c r="AE62" s="388" t="s">
        <v>11444</v>
      </c>
    </row>
    <row r="63" spans="1:32">
      <c r="A63" s="365">
        <v>44469</v>
      </c>
      <c r="B63" s="2646" t="s">
        <v>9988</v>
      </c>
      <c r="C63" s="2553" t="s">
        <v>9694</v>
      </c>
      <c r="D63" s="2553" t="s">
        <v>2588</v>
      </c>
      <c r="E63" s="175" t="s">
        <v>9989</v>
      </c>
      <c r="F63" s="2553"/>
      <c r="G63" s="2554"/>
      <c r="H63" s="576"/>
      <c r="I63" s="2553" t="s">
        <v>33</v>
      </c>
      <c r="J63" s="2553" t="s">
        <v>8038</v>
      </c>
      <c r="K63" s="364">
        <v>160000000</v>
      </c>
      <c r="L63" s="2553" t="s">
        <v>251</v>
      </c>
      <c r="M63" s="365">
        <v>44547</v>
      </c>
      <c r="N63" s="365">
        <v>44589</v>
      </c>
      <c r="O63" s="365">
        <v>44599</v>
      </c>
      <c r="P63" s="2554" t="s">
        <v>12041</v>
      </c>
      <c r="Q63" s="2553"/>
      <c r="R63" s="364">
        <v>156483215.03999999</v>
      </c>
      <c r="S63" s="364">
        <v>189344690.19999999</v>
      </c>
      <c r="T63" s="1489"/>
      <c r="U63" s="1489"/>
      <c r="V63" s="1489"/>
      <c r="W63" s="681">
        <v>44600</v>
      </c>
      <c r="X63" s="364" t="s">
        <v>11012</v>
      </c>
      <c r="Y63" s="365">
        <v>44635</v>
      </c>
      <c r="Z63" s="365">
        <v>44637</v>
      </c>
      <c r="AA63" s="365">
        <f>Y63+480</f>
        <v>45115</v>
      </c>
      <c r="AB63" s="1551">
        <v>44865</v>
      </c>
      <c r="AC63" s="1513"/>
    </row>
    <row r="64" spans="1:32" ht="30.75" thickBot="1">
      <c r="A64" s="2140">
        <v>44453</v>
      </c>
      <c r="B64" s="2143" t="s">
        <v>9991</v>
      </c>
      <c r="C64" s="2141" t="s">
        <v>58</v>
      </c>
      <c r="D64" s="2141" t="s">
        <v>2684</v>
      </c>
      <c r="E64" s="2142" t="s">
        <v>9992</v>
      </c>
      <c r="F64" s="2141"/>
      <c r="G64" s="2143"/>
      <c r="H64" s="2141"/>
      <c r="I64" s="2141" t="s">
        <v>62</v>
      </c>
      <c r="J64" s="2141" t="s">
        <v>9993</v>
      </c>
      <c r="K64" s="2144">
        <v>2800000</v>
      </c>
      <c r="L64" s="2141" t="s">
        <v>251</v>
      </c>
      <c r="M64" s="2140">
        <v>44480</v>
      </c>
      <c r="N64" s="2140">
        <v>44512</v>
      </c>
      <c r="O64" s="2140">
        <v>44553</v>
      </c>
      <c r="P64" s="2143" t="s">
        <v>4323</v>
      </c>
      <c r="Q64" s="2141"/>
      <c r="R64" s="2144">
        <v>2797840</v>
      </c>
      <c r="S64" s="2144">
        <v>3385386.4</v>
      </c>
      <c r="T64" s="2145"/>
      <c r="U64" s="2145"/>
      <c r="V64" s="2145"/>
      <c r="W64" s="2146">
        <v>44553</v>
      </c>
      <c r="X64" s="2260" t="s">
        <v>10628</v>
      </c>
      <c r="Y64" s="2140">
        <v>44603</v>
      </c>
      <c r="Z64" s="2140">
        <v>44622</v>
      </c>
      <c r="AA64" s="2140">
        <v>44687</v>
      </c>
      <c r="AB64" s="2140">
        <v>44711</v>
      </c>
      <c r="AC64" s="2109" t="s">
        <v>1875</v>
      </c>
    </row>
    <row r="65" spans="1:43" ht="15.75" thickTop="1">
      <c r="A65" s="453" t="s">
        <v>3585</v>
      </c>
      <c r="B65" s="1420" t="s">
        <v>10006</v>
      </c>
      <c r="C65" s="453" t="s">
        <v>69</v>
      </c>
      <c r="D65" s="453" t="s">
        <v>70</v>
      </c>
      <c r="E65" s="473" t="s">
        <v>10007</v>
      </c>
      <c r="F65" s="453">
        <v>1</v>
      </c>
      <c r="G65" s="1420" t="s">
        <v>9622</v>
      </c>
      <c r="H65" s="2141"/>
      <c r="I65" s="453" t="s">
        <v>42</v>
      </c>
      <c r="J65" s="453"/>
      <c r="K65" s="457">
        <v>733738</v>
      </c>
      <c r="L65" s="453" t="s">
        <v>112</v>
      </c>
      <c r="M65" s="474">
        <v>44480</v>
      </c>
      <c r="N65" s="474">
        <v>44487</v>
      </c>
      <c r="O65" s="474">
        <v>44911</v>
      </c>
      <c r="P65" s="1420" t="s">
        <v>1319</v>
      </c>
      <c r="Q65" s="453"/>
      <c r="R65" s="457">
        <v>733735.96</v>
      </c>
      <c r="S65" s="457">
        <v>887820.51</v>
      </c>
      <c r="T65" s="2145"/>
      <c r="U65" s="2145"/>
      <c r="V65" s="2145"/>
      <c r="W65" s="570">
        <v>44546</v>
      </c>
      <c r="X65" s="457" t="s">
        <v>10596</v>
      </c>
      <c r="Y65" s="474">
        <v>44573</v>
      </c>
      <c r="Z65" s="474">
        <v>44574</v>
      </c>
      <c r="AA65" s="474">
        <v>45302</v>
      </c>
      <c r="AB65" s="1391" t="s">
        <v>10721</v>
      </c>
      <c r="AC65" s="1391">
        <v>2023</v>
      </c>
      <c r="AD65" s="388" t="s">
        <v>10722</v>
      </c>
    </row>
    <row r="66" spans="1:43">
      <c r="A66" s="2141" t="s">
        <v>3585</v>
      </c>
      <c r="B66" s="2143" t="s">
        <v>10006</v>
      </c>
      <c r="C66" s="2141" t="s">
        <v>69</v>
      </c>
      <c r="D66" s="2141" t="s">
        <v>70</v>
      </c>
      <c r="E66" s="2142" t="s">
        <v>10007</v>
      </c>
      <c r="F66" s="2141">
        <v>2</v>
      </c>
      <c r="G66" s="2143" t="s">
        <v>9623</v>
      </c>
      <c r="H66" s="2141"/>
      <c r="I66" s="2141" t="s">
        <v>42</v>
      </c>
      <c r="J66" s="2141"/>
      <c r="K66" s="2144">
        <v>102837</v>
      </c>
      <c r="L66" s="2141" t="s">
        <v>112</v>
      </c>
      <c r="M66" s="2140">
        <v>44480</v>
      </c>
      <c r="N66" s="2140">
        <v>44487</v>
      </c>
      <c r="O66" s="2140">
        <v>44624</v>
      </c>
      <c r="P66" s="2143" t="s">
        <v>4409</v>
      </c>
      <c r="Q66" s="2141"/>
      <c r="R66" s="2144">
        <v>47784</v>
      </c>
      <c r="S66" s="2144">
        <v>57818.64</v>
      </c>
      <c r="T66" s="2145"/>
      <c r="U66" s="2145"/>
      <c r="V66" s="2145"/>
      <c r="W66" s="2146">
        <v>44624</v>
      </c>
      <c r="X66" s="2144" t="s">
        <v>11258</v>
      </c>
      <c r="Y66" s="2140">
        <v>44649</v>
      </c>
      <c r="Z66" s="2140">
        <v>44651</v>
      </c>
      <c r="AA66" s="2140">
        <v>45379</v>
      </c>
      <c r="AB66" s="2109" t="s">
        <v>11470</v>
      </c>
      <c r="AC66" s="2109">
        <v>2023</v>
      </c>
      <c r="AD66" s="388" t="s">
        <v>8514</v>
      </c>
    </row>
    <row r="67" spans="1:43">
      <c r="A67" s="2141" t="s">
        <v>3585</v>
      </c>
      <c r="B67" s="2143" t="s">
        <v>10006</v>
      </c>
      <c r="C67" s="2141" t="s">
        <v>69</v>
      </c>
      <c r="D67" s="2141" t="s">
        <v>70</v>
      </c>
      <c r="E67" s="2142" t="s">
        <v>10007</v>
      </c>
      <c r="F67" s="2141">
        <v>4</v>
      </c>
      <c r="G67" s="2143" t="s">
        <v>9625</v>
      </c>
      <c r="H67" s="2141"/>
      <c r="I67" s="2141" t="s">
        <v>42</v>
      </c>
      <c r="J67" s="2141"/>
      <c r="K67" s="2144">
        <v>287058</v>
      </c>
      <c r="L67" s="2141" t="s">
        <v>112</v>
      </c>
      <c r="M67" s="2140">
        <v>44480</v>
      </c>
      <c r="N67" s="2140">
        <v>44487</v>
      </c>
      <c r="O67" s="2140">
        <v>44911</v>
      </c>
      <c r="P67" s="2143" t="s">
        <v>5979</v>
      </c>
      <c r="Q67" s="2141"/>
      <c r="R67" s="2144">
        <v>301280</v>
      </c>
      <c r="S67" s="2144">
        <v>364548.8</v>
      </c>
      <c r="T67" s="2145"/>
      <c r="U67" s="2145"/>
      <c r="V67" s="2145"/>
      <c r="W67" s="2146">
        <v>44546</v>
      </c>
      <c r="X67" s="2144" t="s">
        <v>10597</v>
      </c>
      <c r="Y67" s="2140">
        <v>44571</v>
      </c>
      <c r="Z67" s="2140">
        <v>44574</v>
      </c>
      <c r="AA67" s="2140">
        <v>45300</v>
      </c>
      <c r="AB67" s="2109" t="s">
        <v>10693</v>
      </c>
      <c r="AC67" s="2109">
        <v>2023</v>
      </c>
      <c r="AD67" s="388" t="s">
        <v>10695</v>
      </c>
    </row>
    <row r="68" spans="1:43" ht="30">
      <c r="A68" s="365">
        <v>44470</v>
      </c>
      <c r="B68" s="2646" t="s">
        <v>10008</v>
      </c>
      <c r="C68" s="2515" t="s">
        <v>2434</v>
      </c>
      <c r="D68" s="2515" t="s">
        <v>3204</v>
      </c>
      <c r="E68" s="175" t="s">
        <v>10009</v>
      </c>
      <c r="F68" s="2515"/>
      <c r="G68" s="2516"/>
      <c r="H68" s="2141"/>
      <c r="I68" s="2515" t="s">
        <v>642</v>
      </c>
      <c r="J68" s="2515"/>
      <c r="K68" s="364">
        <v>4914000</v>
      </c>
      <c r="L68" s="2515" t="s">
        <v>251</v>
      </c>
      <c r="M68" s="365">
        <v>44487</v>
      </c>
      <c r="N68" s="365">
        <v>44522</v>
      </c>
      <c r="O68" s="365">
        <v>44546</v>
      </c>
      <c r="P68" s="2516" t="s">
        <v>8278</v>
      </c>
      <c r="Q68" s="2515"/>
      <c r="R68" s="364">
        <v>4851000</v>
      </c>
      <c r="S68" s="364">
        <v>5869710</v>
      </c>
      <c r="T68" s="2145"/>
      <c r="U68" s="2145"/>
      <c r="V68" s="2145"/>
      <c r="W68" s="681">
        <v>44546</v>
      </c>
      <c r="X68" s="1417" t="s">
        <v>10578</v>
      </c>
      <c r="Y68" s="365">
        <v>44582</v>
      </c>
      <c r="Z68" s="365">
        <v>44588</v>
      </c>
      <c r="AA68" s="365">
        <v>45677</v>
      </c>
      <c r="AB68" s="451" t="s">
        <v>10792</v>
      </c>
      <c r="AC68" s="451">
        <v>2023</v>
      </c>
      <c r="AD68" s="388">
        <v>2024</v>
      </c>
      <c r="AE68" s="388" t="s">
        <v>10793</v>
      </c>
    </row>
    <row r="69" spans="1:43" ht="45">
      <c r="A69" s="2140">
        <v>44473</v>
      </c>
      <c r="B69" s="2143" t="s">
        <v>10010</v>
      </c>
      <c r="C69" s="2141" t="s">
        <v>2434</v>
      </c>
      <c r="D69" s="2141" t="s">
        <v>3204</v>
      </c>
      <c r="E69" s="2142" t="s">
        <v>4280</v>
      </c>
      <c r="F69" s="2141">
        <v>1</v>
      </c>
      <c r="G69" s="2143" t="s">
        <v>10011</v>
      </c>
      <c r="H69" s="2141"/>
      <c r="I69" s="2141" t="s">
        <v>642</v>
      </c>
      <c r="J69" s="2141"/>
      <c r="K69" s="2144">
        <v>3311000</v>
      </c>
      <c r="L69" s="2141" t="s">
        <v>251</v>
      </c>
      <c r="M69" s="2140">
        <v>44481</v>
      </c>
      <c r="N69" s="2140">
        <v>44516</v>
      </c>
      <c r="O69" s="2140">
        <v>44531</v>
      </c>
      <c r="P69" s="2143" t="s">
        <v>4894</v>
      </c>
      <c r="Q69" s="2141"/>
      <c r="R69" s="2144">
        <v>3311000</v>
      </c>
      <c r="S69" s="2144">
        <v>3807650</v>
      </c>
      <c r="T69" s="2145"/>
      <c r="U69" s="2145"/>
      <c r="V69" s="2145"/>
      <c r="W69" s="2146">
        <v>44531</v>
      </c>
      <c r="X69" s="2260" t="s">
        <v>10493</v>
      </c>
      <c r="Y69" s="2140">
        <v>44578</v>
      </c>
      <c r="Z69" s="2140">
        <v>44582</v>
      </c>
      <c r="AA69" s="2140">
        <v>45673</v>
      </c>
      <c r="AB69" s="2109" t="s">
        <v>10734</v>
      </c>
      <c r="AC69" s="2109">
        <v>2023</v>
      </c>
      <c r="AD69" s="388">
        <v>2024</v>
      </c>
      <c r="AE69" s="388" t="s">
        <v>10735</v>
      </c>
    </row>
    <row r="70" spans="1:43" ht="30.75" thickBot="1">
      <c r="A70" s="416">
        <v>44473</v>
      </c>
      <c r="B70" s="630" t="s">
        <v>10010</v>
      </c>
      <c r="C70" s="411" t="s">
        <v>2434</v>
      </c>
      <c r="D70" s="411" t="s">
        <v>3204</v>
      </c>
      <c r="E70" s="412" t="s">
        <v>4280</v>
      </c>
      <c r="F70" s="411">
        <v>2</v>
      </c>
      <c r="G70" s="630" t="s">
        <v>10012</v>
      </c>
      <c r="H70" s="411"/>
      <c r="I70" s="411" t="s">
        <v>642</v>
      </c>
      <c r="J70" s="411"/>
      <c r="K70" s="417">
        <v>5213900</v>
      </c>
      <c r="L70" s="411" t="s">
        <v>251</v>
      </c>
      <c r="M70" s="416">
        <v>44481</v>
      </c>
      <c r="N70" s="416">
        <v>44516</v>
      </c>
      <c r="O70" s="416">
        <v>44531</v>
      </c>
      <c r="P70" s="630" t="s">
        <v>4894</v>
      </c>
      <c r="Q70" s="411"/>
      <c r="R70" s="417">
        <v>5168000</v>
      </c>
      <c r="S70" s="417">
        <v>5943200</v>
      </c>
      <c r="T70" s="1480"/>
      <c r="U70" s="1480"/>
      <c r="V70" s="1480"/>
      <c r="W70" s="513">
        <v>44531</v>
      </c>
      <c r="X70" s="1553" t="s">
        <v>10494</v>
      </c>
      <c r="Y70" s="416">
        <v>44578</v>
      </c>
      <c r="Z70" s="416">
        <v>44582</v>
      </c>
      <c r="AA70" s="416">
        <v>45673</v>
      </c>
      <c r="AB70" s="422" t="s">
        <v>10734</v>
      </c>
      <c r="AC70" s="422">
        <v>2023</v>
      </c>
      <c r="AD70" s="388">
        <v>2024</v>
      </c>
      <c r="AE70" s="388" t="s">
        <v>10735</v>
      </c>
    </row>
    <row r="71" spans="1:43" ht="30.75" thickTop="1">
      <c r="A71" s="474">
        <v>44473</v>
      </c>
      <c r="B71" s="1420" t="s">
        <v>10013</v>
      </c>
      <c r="C71" s="453" t="s">
        <v>2434</v>
      </c>
      <c r="D71" s="453" t="s">
        <v>3204</v>
      </c>
      <c r="E71" s="473" t="s">
        <v>4079</v>
      </c>
      <c r="F71" s="453">
        <v>1</v>
      </c>
      <c r="G71" s="2476" t="s">
        <v>10014</v>
      </c>
      <c r="H71" s="453"/>
      <c r="I71" s="453" t="s">
        <v>642</v>
      </c>
      <c r="J71" s="453"/>
      <c r="K71" s="457">
        <v>681480</v>
      </c>
      <c r="L71" s="453" t="s">
        <v>251</v>
      </c>
      <c r="M71" s="474">
        <v>44481</v>
      </c>
      <c r="N71" s="474">
        <v>44515</v>
      </c>
      <c r="O71" s="474">
        <v>44539</v>
      </c>
      <c r="P71" s="1420" t="s">
        <v>7296</v>
      </c>
      <c r="Q71" s="453"/>
      <c r="R71" s="457">
        <v>681480</v>
      </c>
      <c r="S71" s="457">
        <v>824590.8</v>
      </c>
      <c r="T71" s="1474"/>
      <c r="U71" s="1474"/>
      <c r="V71" s="1474"/>
      <c r="W71" s="570">
        <v>44539</v>
      </c>
      <c r="X71" s="1387" t="s">
        <v>10546</v>
      </c>
      <c r="Y71" s="474">
        <v>44564</v>
      </c>
      <c r="Z71" s="474">
        <v>44582</v>
      </c>
      <c r="AA71" s="474">
        <v>45659</v>
      </c>
      <c r="AB71" s="1391" t="s">
        <v>10647</v>
      </c>
      <c r="AC71" s="1391">
        <v>2023</v>
      </c>
      <c r="AD71" s="388">
        <v>2024</v>
      </c>
      <c r="AE71" s="388" t="s">
        <v>10648</v>
      </c>
    </row>
    <row r="72" spans="1:43" ht="30">
      <c r="A72" s="2140">
        <v>44473</v>
      </c>
      <c r="B72" s="2143" t="s">
        <v>10013</v>
      </c>
      <c r="C72" s="2141" t="s">
        <v>2434</v>
      </c>
      <c r="D72" s="2141" t="s">
        <v>3204</v>
      </c>
      <c r="E72" s="2142" t="s">
        <v>4079</v>
      </c>
      <c r="F72" s="2141">
        <v>3</v>
      </c>
      <c r="G72" s="2483" t="s">
        <v>10016</v>
      </c>
      <c r="H72" s="2141"/>
      <c r="I72" s="2141" t="s">
        <v>642</v>
      </c>
      <c r="J72" s="2141"/>
      <c r="K72" s="2144">
        <v>120600</v>
      </c>
      <c r="L72" s="2141" t="s">
        <v>251</v>
      </c>
      <c r="M72" s="2140">
        <v>44481</v>
      </c>
      <c r="N72" s="2140">
        <v>44515</v>
      </c>
      <c r="O72" s="2140">
        <v>44539</v>
      </c>
      <c r="P72" s="2143" t="s">
        <v>4838</v>
      </c>
      <c r="Q72" s="2141"/>
      <c r="R72" s="2144">
        <v>120600</v>
      </c>
      <c r="S72" s="2144">
        <v>145926</v>
      </c>
      <c r="T72" s="2145"/>
      <c r="U72" s="2145"/>
      <c r="V72" s="2145"/>
      <c r="W72" s="2146">
        <v>44539</v>
      </c>
      <c r="X72" s="2260" t="s">
        <v>10547</v>
      </c>
      <c r="Y72" s="2140">
        <v>44581</v>
      </c>
      <c r="Z72" s="2140">
        <v>44582</v>
      </c>
      <c r="AA72" s="2140">
        <v>45676</v>
      </c>
      <c r="AB72" s="2109" t="s">
        <v>10774</v>
      </c>
      <c r="AC72" s="2109">
        <v>2023</v>
      </c>
      <c r="AD72" s="388">
        <v>2024</v>
      </c>
      <c r="AE72" s="388" t="s">
        <v>10775</v>
      </c>
    </row>
    <row r="73" spans="1:43">
      <c r="A73" s="365">
        <v>44473</v>
      </c>
      <c r="B73" s="2704" t="s">
        <v>10019</v>
      </c>
      <c r="C73" s="2703" t="s">
        <v>2434</v>
      </c>
      <c r="D73" s="2703" t="s">
        <v>219</v>
      </c>
      <c r="E73" s="175" t="s">
        <v>10020</v>
      </c>
      <c r="F73" s="2703"/>
      <c r="G73" s="2704"/>
      <c r="H73" s="2703"/>
      <c r="I73" s="2703" t="s">
        <v>642</v>
      </c>
      <c r="J73" s="2703"/>
      <c r="K73" s="364">
        <v>3561600</v>
      </c>
      <c r="L73" s="2703" t="s">
        <v>251</v>
      </c>
      <c r="M73" s="365">
        <v>44482</v>
      </c>
      <c r="N73" s="365">
        <v>44525</v>
      </c>
      <c r="O73" s="365">
        <v>44740</v>
      </c>
      <c r="P73" s="2704" t="s">
        <v>12177</v>
      </c>
      <c r="Q73" s="2703"/>
      <c r="R73" s="364">
        <v>2415671</v>
      </c>
      <c r="S73" s="364">
        <v>2922961.91</v>
      </c>
      <c r="T73" s="1473"/>
      <c r="U73" s="1473"/>
      <c r="V73" s="1473"/>
      <c r="W73" s="681">
        <v>44740</v>
      </c>
      <c r="X73" s="364" t="s">
        <v>12371</v>
      </c>
      <c r="Y73" s="365">
        <v>44799</v>
      </c>
      <c r="Z73" s="365">
        <v>44826</v>
      </c>
      <c r="AA73" s="365">
        <v>46259</v>
      </c>
      <c r="AB73" s="451" t="s">
        <v>12883</v>
      </c>
      <c r="AC73" s="451">
        <v>2023</v>
      </c>
      <c r="AD73" s="388">
        <v>2024</v>
      </c>
      <c r="AE73" s="388">
        <v>2025</v>
      </c>
      <c r="AF73" s="388" t="s">
        <v>12884</v>
      </c>
    </row>
    <row r="74" spans="1:43" s="390" customFormat="1" ht="30">
      <c r="A74" s="2140">
        <v>44516</v>
      </c>
      <c r="B74" s="2143" t="s">
        <v>10401</v>
      </c>
      <c r="C74" s="2141" t="s">
        <v>69</v>
      </c>
      <c r="D74" s="2141" t="s">
        <v>70</v>
      </c>
      <c r="E74" s="2142" t="s">
        <v>10402</v>
      </c>
      <c r="F74" s="2141"/>
      <c r="G74" s="2143"/>
      <c r="H74" s="2141"/>
      <c r="I74" s="2141" t="s">
        <v>42</v>
      </c>
      <c r="J74" s="2141"/>
      <c r="K74" s="2144">
        <v>7471900</v>
      </c>
      <c r="L74" s="2141" t="s">
        <v>251</v>
      </c>
      <c r="M74" s="2140">
        <v>44536</v>
      </c>
      <c r="N74" s="2140">
        <v>44571</v>
      </c>
      <c r="O74" s="2140">
        <v>44602</v>
      </c>
      <c r="P74" s="2289" t="s">
        <v>2525</v>
      </c>
      <c r="Q74" s="2275"/>
      <c r="R74" s="2144">
        <v>7451240</v>
      </c>
      <c r="S74" s="2144">
        <v>9016000.4000000004</v>
      </c>
      <c r="T74" s="2145"/>
      <c r="U74" s="2145"/>
      <c r="V74" s="2145"/>
      <c r="W74" s="2146">
        <v>44602</v>
      </c>
      <c r="X74" s="2260" t="s">
        <v>11046</v>
      </c>
      <c r="Y74" s="2140">
        <v>44634</v>
      </c>
      <c r="Z74" s="2140">
        <v>44635</v>
      </c>
      <c r="AA74" s="2141" t="s">
        <v>11325</v>
      </c>
      <c r="AB74" s="2109">
        <v>2022</v>
      </c>
      <c r="AC74" s="2109">
        <v>2023</v>
      </c>
      <c r="AD74" s="388">
        <v>2024</v>
      </c>
      <c r="AE74" s="388">
        <v>2025</v>
      </c>
      <c r="AF74" s="388">
        <v>2026</v>
      </c>
      <c r="AG74" s="388"/>
      <c r="AH74" s="360"/>
      <c r="AI74" s="360"/>
      <c r="AJ74" s="360"/>
      <c r="AK74" s="360"/>
      <c r="AL74" s="360"/>
      <c r="AM74" s="360"/>
      <c r="AN74" s="360"/>
      <c r="AO74" s="360"/>
      <c r="AP74" s="360"/>
      <c r="AQ74" s="360"/>
    </row>
    <row r="75" spans="1:43">
      <c r="A75" s="365">
        <v>44482</v>
      </c>
      <c r="B75" s="2646" t="s">
        <v>10053</v>
      </c>
      <c r="C75" s="2515" t="s">
        <v>52</v>
      </c>
      <c r="D75" s="2515" t="s">
        <v>7503</v>
      </c>
      <c r="E75" s="175" t="s">
        <v>10054</v>
      </c>
      <c r="F75" s="2515"/>
      <c r="G75" s="2516"/>
      <c r="H75" s="2515"/>
      <c r="I75" s="2515" t="s">
        <v>33</v>
      </c>
      <c r="J75" s="2515" t="s">
        <v>8186</v>
      </c>
      <c r="K75" s="364">
        <v>40000000</v>
      </c>
      <c r="L75" s="2515" t="s">
        <v>216</v>
      </c>
      <c r="M75" s="365">
        <v>44491</v>
      </c>
      <c r="N75" s="365">
        <v>44525</v>
      </c>
      <c r="O75" s="365">
        <v>44553</v>
      </c>
      <c r="P75" s="2516" t="s">
        <v>10627</v>
      </c>
      <c r="Q75" s="2515"/>
      <c r="R75" s="364">
        <v>43869660.420000002</v>
      </c>
      <c r="S75" s="364">
        <v>53082289.109999999</v>
      </c>
      <c r="T75" s="1473"/>
      <c r="U75" s="1473"/>
      <c r="V75" s="1473"/>
      <c r="W75" s="681">
        <v>44553</v>
      </c>
      <c r="X75" s="364" t="s">
        <v>10626</v>
      </c>
      <c r="Y75" s="365">
        <v>44593</v>
      </c>
      <c r="Z75" s="365">
        <v>44596</v>
      </c>
      <c r="AA75" s="2515"/>
      <c r="AB75" s="1551">
        <v>44845</v>
      </c>
      <c r="AC75" s="1513"/>
    </row>
    <row r="76" spans="1:43">
      <c r="A76" s="2140">
        <v>44483</v>
      </c>
      <c r="B76" s="2143" t="s">
        <v>10081</v>
      </c>
      <c r="C76" s="2141" t="s">
        <v>69</v>
      </c>
      <c r="D76" s="2141" t="s">
        <v>70</v>
      </c>
      <c r="E76" s="2142" t="s">
        <v>10082</v>
      </c>
      <c r="F76" s="2141">
        <v>2</v>
      </c>
      <c r="G76" s="2143" t="s">
        <v>10251</v>
      </c>
      <c r="H76" s="2141"/>
      <c r="I76" s="2141" t="s">
        <v>42</v>
      </c>
      <c r="J76" s="2141"/>
      <c r="K76" s="2144">
        <v>197787</v>
      </c>
      <c r="L76" s="2141" t="s">
        <v>112</v>
      </c>
      <c r="M76" s="2140">
        <v>44488</v>
      </c>
      <c r="N76" s="2140">
        <v>44495</v>
      </c>
      <c r="O76" s="2140">
        <v>44519</v>
      </c>
      <c r="P76" s="2143" t="s">
        <v>10253</v>
      </c>
      <c r="Q76" s="2141"/>
      <c r="R76" s="2144">
        <v>153450</v>
      </c>
      <c r="S76" s="2144">
        <v>153450</v>
      </c>
      <c r="T76" s="2145"/>
      <c r="U76" s="2145"/>
      <c r="V76" s="2145"/>
      <c r="W76" s="2146">
        <v>44519</v>
      </c>
      <c r="X76" s="2144" t="s">
        <v>10363</v>
      </c>
      <c r="Y76" s="2140">
        <v>44567</v>
      </c>
      <c r="Z76" s="2140">
        <v>44568</v>
      </c>
      <c r="AA76" s="2141"/>
      <c r="AB76" s="2109"/>
      <c r="AC76" s="2106"/>
    </row>
    <row r="77" spans="1:43" ht="15.75" thickBot="1">
      <c r="A77" s="2140">
        <v>44483</v>
      </c>
      <c r="B77" s="2143" t="s">
        <v>10086</v>
      </c>
      <c r="C77" s="2141" t="s">
        <v>6561</v>
      </c>
      <c r="D77" s="2141" t="s">
        <v>4864</v>
      </c>
      <c r="E77" s="2142" t="s">
        <v>10087</v>
      </c>
      <c r="F77" s="2141"/>
      <c r="G77" s="2143"/>
      <c r="H77" s="2141"/>
      <c r="I77" s="2141" t="s">
        <v>7701</v>
      </c>
      <c r="J77" s="2141"/>
      <c r="K77" s="2144">
        <v>7600000</v>
      </c>
      <c r="L77" s="2141" t="s">
        <v>216</v>
      </c>
      <c r="M77" s="2140">
        <v>44495</v>
      </c>
      <c r="N77" s="2140">
        <v>44530</v>
      </c>
      <c r="O77" s="2140">
        <v>44546</v>
      </c>
      <c r="P77" s="2143" t="s">
        <v>11976</v>
      </c>
      <c r="Q77" s="2141"/>
      <c r="R77" s="2144">
        <v>7313040</v>
      </c>
      <c r="S77" s="2144">
        <v>8848778</v>
      </c>
      <c r="T77" s="2145"/>
      <c r="U77" s="2145"/>
      <c r="V77" s="2145"/>
      <c r="W77" s="2146">
        <v>44546</v>
      </c>
      <c r="X77" s="2144" t="s">
        <v>10586</v>
      </c>
      <c r="Y77" s="2140">
        <v>44579</v>
      </c>
      <c r="Z77" s="2140">
        <v>44586</v>
      </c>
      <c r="AA77" s="2140">
        <v>44669</v>
      </c>
      <c r="AB77" s="2140">
        <v>44761</v>
      </c>
      <c r="AC77" s="2106"/>
    </row>
    <row r="78" spans="1:43" ht="15.75" thickTop="1">
      <c r="A78" s="474">
        <v>44484</v>
      </c>
      <c r="B78" s="1420" t="s">
        <v>10097</v>
      </c>
      <c r="C78" s="453" t="s">
        <v>69</v>
      </c>
      <c r="D78" s="453" t="s">
        <v>70</v>
      </c>
      <c r="E78" s="473" t="s">
        <v>10098</v>
      </c>
      <c r="F78" s="453">
        <v>1</v>
      </c>
      <c r="G78" s="1420" t="s">
        <v>10100</v>
      </c>
      <c r="H78" s="453"/>
      <c r="I78" s="453" t="s">
        <v>10099</v>
      </c>
      <c r="J78" s="453"/>
      <c r="K78" s="457">
        <v>1276147</v>
      </c>
      <c r="L78" s="453" t="s">
        <v>251</v>
      </c>
      <c r="M78" s="474">
        <v>44490</v>
      </c>
      <c r="N78" s="474">
        <v>44560</v>
      </c>
      <c r="O78" s="474">
        <v>44585</v>
      </c>
      <c r="P78" s="1420" t="s">
        <v>16350</v>
      </c>
      <c r="Q78" s="453"/>
      <c r="R78" s="457">
        <v>1263192.51</v>
      </c>
      <c r="S78" s="457">
        <v>1389511.76</v>
      </c>
      <c r="T78" s="1474"/>
      <c r="U78" s="1474"/>
      <c r="V78" s="1474"/>
      <c r="W78" s="570">
        <v>44585</v>
      </c>
      <c r="X78" s="457" t="s">
        <v>10802</v>
      </c>
      <c r="Y78" s="474">
        <v>44613</v>
      </c>
      <c r="Z78" s="474">
        <v>44621</v>
      </c>
      <c r="AA78" s="474">
        <v>45708</v>
      </c>
      <c r="AB78" s="1391" t="s">
        <v>11121</v>
      </c>
      <c r="AC78" s="1391">
        <v>2023</v>
      </c>
      <c r="AD78" s="388">
        <v>2024</v>
      </c>
      <c r="AE78" s="388" t="s">
        <v>11123</v>
      </c>
    </row>
    <row r="79" spans="1:43">
      <c r="A79" s="2140">
        <v>44484</v>
      </c>
      <c r="B79" s="2143" t="s">
        <v>10097</v>
      </c>
      <c r="C79" s="2141" t="s">
        <v>69</v>
      </c>
      <c r="D79" s="2141" t="s">
        <v>70</v>
      </c>
      <c r="E79" s="2142" t="s">
        <v>10098</v>
      </c>
      <c r="F79" s="2141">
        <v>2</v>
      </c>
      <c r="G79" s="2143" t="s">
        <v>10101</v>
      </c>
      <c r="H79" s="2141"/>
      <c r="I79" s="2141" t="s">
        <v>10099</v>
      </c>
      <c r="J79" s="2141"/>
      <c r="K79" s="2144">
        <v>1972042</v>
      </c>
      <c r="L79" s="2141" t="s">
        <v>251</v>
      </c>
      <c r="M79" s="2140">
        <v>44490</v>
      </c>
      <c r="N79" s="2140">
        <v>44560</v>
      </c>
      <c r="O79" s="2140">
        <v>44585</v>
      </c>
      <c r="P79" s="2143" t="s">
        <v>16350</v>
      </c>
      <c r="Q79" s="2141"/>
      <c r="R79" s="2144">
        <v>1938526.17</v>
      </c>
      <c r="S79" s="2144">
        <v>2132378.79</v>
      </c>
      <c r="T79" s="2145"/>
      <c r="U79" s="2145"/>
      <c r="V79" s="2145"/>
      <c r="W79" s="2146">
        <v>44585</v>
      </c>
      <c r="X79" s="2144" t="s">
        <v>10805</v>
      </c>
      <c r="Y79" s="2140">
        <v>44613</v>
      </c>
      <c r="Z79" s="2140">
        <v>44621</v>
      </c>
      <c r="AA79" s="2140">
        <v>45708</v>
      </c>
      <c r="AB79" s="2109" t="s">
        <v>11121</v>
      </c>
      <c r="AC79" s="2109">
        <v>2023</v>
      </c>
      <c r="AD79" s="388">
        <v>2024</v>
      </c>
      <c r="AE79" s="388" t="s">
        <v>11123</v>
      </c>
    </row>
    <row r="80" spans="1:43">
      <c r="A80" s="2140">
        <v>44484</v>
      </c>
      <c r="B80" s="2143" t="s">
        <v>10097</v>
      </c>
      <c r="C80" s="2141" t="s">
        <v>69</v>
      </c>
      <c r="D80" s="2141" t="s">
        <v>70</v>
      </c>
      <c r="E80" s="2142" t="s">
        <v>10098</v>
      </c>
      <c r="F80" s="2141">
        <v>3</v>
      </c>
      <c r="G80" s="2143" t="s">
        <v>10102</v>
      </c>
      <c r="H80" s="2141"/>
      <c r="I80" s="2141" t="s">
        <v>10099</v>
      </c>
      <c r="J80" s="2141"/>
      <c r="K80" s="2144">
        <v>2877337</v>
      </c>
      <c r="L80" s="2141" t="s">
        <v>251</v>
      </c>
      <c r="M80" s="2140">
        <v>44490</v>
      </c>
      <c r="N80" s="2140">
        <v>44560</v>
      </c>
      <c r="O80" s="2140">
        <v>44585</v>
      </c>
      <c r="P80" s="2143" t="s">
        <v>2548</v>
      </c>
      <c r="Q80" s="2141"/>
      <c r="R80" s="2144">
        <v>2830056.06</v>
      </c>
      <c r="S80" s="2144">
        <v>3113061.67</v>
      </c>
      <c r="T80" s="2145"/>
      <c r="U80" s="2145"/>
      <c r="V80" s="2145"/>
      <c r="W80" s="2146">
        <v>44585</v>
      </c>
      <c r="X80" s="2144" t="s">
        <v>10806</v>
      </c>
      <c r="Y80" s="2140">
        <v>44617</v>
      </c>
      <c r="Z80" s="2140">
        <v>44621</v>
      </c>
      <c r="AA80" s="2140">
        <v>45712</v>
      </c>
      <c r="AB80" s="2109" t="s">
        <v>11153</v>
      </c>
      <c r="AC80" s="2109">
        <v>2023</v>
      </c>
      <c r="AD80" s="388">
        <v>2024</v>
      </c>
      <c r="AE80" s="388" t="s">
        <v>6481</v>
      </c>
    </row>
    <row r="81" spans="1:32">
      <c r="A81" s="2140">
        <v>44484</v>
      </c>
      <c r="B81" s="2143" t="s">
        <v>10097</v>
      </c>
      <c r="C81" s="2141" t="s">
        <v>69</v>
      </c>
      <c r="D81" s="2141" t="s">
        <v>70</v>
      </c>
      <c r="E81" s="2142" t="s">
        <v>10098</v>
      </c>
      <c r="F81" s="2141">
        <v>4</v>
      </c>
      <c r="G81" s="2143" t="s">
        <v>10103</v>
      </c>
      <c r="H81" s="2141"/>
      <c r="I81" s="2141" t="s">
        <v>10099</v>
      </c>
      <c r="J81" s="2141"/>
      <c r="K81" s="2144">
        <v>684637</v>
      </c>
      <c r="L81" s="2141" t="s">
        <v>251</v>
      </c>
      <c r="M81" s="2140">
        <v>44490</v>
      </c>
      <c r="N81" s="2140">
        <v>44560</v>
      </c>
      <c r="O81" s="2140">
        <v>44585</v>
      </c>
      <c r="P81" s="2143" t="s">
        <v>2548</v>
      </c>
      <c r="Q81" s="2141"/>
      <c r="R81" s="2144">
        <v>676978.17</v>
      </c>
      <c r="S81" s="2144">
        <v>744675.99</v>
      </c>
      <c r="T81" s="2145"/>
      <c r="U81" s="2145"/>
      <c r="V81" s="2145"/>
      <c r="W81" s="2146">
        <v>44585</v>
      </c>
      <c r="X81" s="2144" t="s">
        <v>10807</v>
      </c>
      <c r="Y81" s="2140">
        <v>44617</v>
      </c>
      <c r="Z81" s="2140">
        <v>44621</v>
      </c>
      <c r="AA81" s="2140">
        <v>45712</v>
      </c>
      <c r="AB81" s="2109" t="s">
        <v>11153</v>
      </c>
      <c r="AC81" s="2109">
        <v>2023</v>
      </c>
      <c r="AD81" s="388">
        <v>2024</v>
      </c>
      <c r="AE81" s="388" t="s">
        <v>6481</v>
      </c>
    </row>
    <row r="82" spans="1:32">
      <c r="A82" s="2140">
        <v>44484</v>
      </c>
      <c r="B82" s="2143" t="s">
        <v>10097</v>
      </c>
      <c r="C82" s="2141" t="s">
        <v>69</v>
      </c>
      <c r="D82" s="2141" t="s">
        <v>70</v>
      </c>
      <c r="E82" s="2142" t="s">
        <v>10098</v>
      </c>
      <c r="F82" s="2141">
        <v>5</v>
      </c>
      <c r="G82" s="2143" t="s">
        <v>10104</v>
      </c>
      <c r="H82" s="2141"/>
      <c r="I82" s="2141" t="s">
        <v>10099</v>
      </c>
      <c r="J82" s="2141"/>
      <c r="K82" s="2144">
        <v>1216758</v>
      </c>
      <c r="L82" s="2141" t="s">
        <v>251</v>
      </c>
      <c r="M82" s="2140">
        <v>44490</v>
      </c>
      <c r="N82" s="2140">
        <v>44560</v>
      </c>
      <c r="O82" s="2140">
        <v>44585</v>
      </c>
      <c r="P82" s="2143" t="s">
        <v>16350</v>
      </c>
      <c r="Q82" s="2141"/>
      <c r="R82" s="2144">
        <v>1208450.73</v>
      </c>
      <c r="S82" s="2144">
        <v>1329295.8</v>
      </c>
      <c r="T82" s="2145"/>
      <c r="U82" s="2145"/>
      <c r="V82" s="2145"/>
      <c r="W82" s="2146">
        <v>44585</v>
      </c>
      <c r="X82" s="2144" t="s">
        <v>10808</v>
      </c>
      <c r="Y82" s="2140">
        <v>44613</v>
      </c>
      <c r="Z82" s="2140">
        <v>44621</v>
      </c>
      <c r="AA82" s="2140">
        <v>45708</v>
      </c>
      <c r="AB82" s="2109" t="s">
        <v>11121</v>
      </c>
      <c r="AC82" s="2109">
        <v>2023</v>
      </c>
      <c r="AD82" s="388">
        <v>2024</v>
      </c>
      <c r="AE82" s="388" t="s">
        <v>11123</v>
      </c>
    </row>
    <row r="83" spans="1:32">
      <c r="A83" s="2140">
        <v>44484</v>
      </c>
      <c r="B83" s="2143" t="s">
        <v>10097</v>
      </c>
      <c r="C83" s="2141" t="s">
        <v>69</v>
      </c>
      <c r="D83" s="2141" t="s">
        <v>70</v>
      </c>
      <c r="E83" s="2142" t="s">
        <v>10098</v>
      </c>
      <c r="F83" s="2141">
        <v>6</v>
      </c>
      <c r="G83" s="2143" t="s">
        <v>10105</v>
      </c>
      <c r="H83" s="2141"/>
      <c r="I83" s="2141" t="s">
        <v>10099</v>
      </c>
      <c r="J83" s="2141"/>
      <c r="K83" s="2144">
        <v>7116805</v>
      </c>
      <c r="L83" s="2141" t="s">
        <v>251</v>
      </c>
      <c r="M83" s="2140">
        <v>44490</v>
      </c>
      <c r="N83" s="2140">
        <v>44560</v>
      </c>
      <c r="O83" s="2140">
        <v>44585</v>
      </c>
      <c r="P83" s="2143" t="s">
        <v>16350</v>
      </c>
      <c r="Q83" s="2141"/>
      <c r="R83" s="2144">
        <v>7045927.4699999997</v>
      </c>
      <c r="S83" s="2144">
        <v>7750520.2199999997</v>
      </c>
      <c r="T83" s="2145"/>
      <c r="U83" s="2145"/>
      <c r="V83" s="2145"/>
      <c r="W83" s="2146">
        <v>44585</v>
      </c>
      <c r="X83" s="2144" t="s">
        <v>10809</v>
      </c>
      <c r="Y83" s="2140">
        <v>44613</v>
      </c>
      <c r="Z83" s="2140">
        <v>44621</v>
      </c>
      <c r="AA83" s="2140">
        <v>45708</v>
      </c>
      <c r="AB83" s="2109" t="s">
        <v>11121</v>
      </c>
      <c r="AC83" s="2109">
        <v>2023</v>
      </c>
      <c r="AD83" s="388">
        <v>2024</v>
      </c>
      <c r="AE83" s="388" t="s">
        <v>11123</v>
      </c>
    </row>
    <row r="84" spans="1:32" ht="15.75" thickBot="1">
      <c r="A84" s="2117">
        <v>44484</v>
      </c>
      <c r="B84" s="2120" t="s">
        <v>10097</v>
      </c>
      <c r="C84" s="2118" t="s">
        <v>69</v>
      </c>
      <c r="D84" s="2118" t="s">
        <v>70</v>
      </c>
      <c r="E84" s="2119" t="s">
        <v>10098</v>
      </c>
      <c r="F84" s="2118">
        <v>7</v>
      </c>
      <c r="G84" s="2120" t="s">
        <v>10106</v>
      </c>
      <c r="H84" s="2118"/>
      <c r="I84" s="2118" t="s">
        <v>10099</v>
      </c>
      <c r="J84" s="2118"/>
      <c r="K84" s="2121">
        <v>3120030</v>
      </c>
      <c r="L84" s="2118" t="s">
        <v>251</v>
      </c>
      <c r="M84" s="2117">
        <v>44490</v>
      </c>
      <c r="N84" s="2117">
        <v>44560</v>
      </c>
      <c r="O84" s="2117">
        <v>44585</v>
      </c>
      <c r="P84" s="2120" t="s">
        <v>16350</v>
      </c>
      <c r="Q84" s="2118"/>
      <c r="R84" s="2121">
        <v>400542.12</v>
      </c>
      <c r="S84" s="2121">
        <v>450596.33</v>
      </c>
      <c r="T84" s="2122"/>
      <c r="U84" s="2122"/>
      <c r="V84" s="2122"/>
      <c r="W84" s="2123">
        <v>44585</v>
      </c>
      <c r="X84" s="2121" t="s">
        <v>10810</v>
      </c>
      <c r="Y84" s="2117">
        <v>44613</v>
      </c>
      <c r="Z84" s="2117">
        <v>44621</v>
      </c>
      <c r="AA84" s="2117">
        <v>45708</v>
      </c>
      <c r="AB84" s="2110" t="s">
        <v>11121</v>
      </c>
      <c r="AC84" s="2110">
        <v>2023</v>
      </c>
      <c r="AD84" s="388">
        <v>2024</v>
      </c>
      <c r="AE84" s="388" t="s">
        <v>11123</v>
      </c>
    </row>
    <row r="85" spans="1:32" ht="30.75" thickTop="1">
      <c r="A85" s="474">
        <v>44484</v>
      </c>
      <c r="B85" s="1420" t="s">
        <v>10107</v>
      </c>
      <c r="C85" s="453" t="s">
        <v>69</v>
      </c>
      <c r="D85" s="453" t="s">
        <v>70</v>
      </c>
      <c r="E85" s="473" t="s">
        <v>10381</v>
      </c>
      <c r="F85" s="453"/>
      <c r="G85" s="1420"/>
      <c r="H85" s="453"/>
      <c r="I85" s="453" t="s">
        <v>4271</v>
      </c>
      <c r="J85" s="453"/>
      <c r="K85" s="457">
        <v>21966219</v>
      </c>
      <c r="L85" s="453" t="s">
        <v>251</v>
      </c>
      <c r="M85" s="474">
        <v>44525</v>
      </c>
      <c r="N85" s="474">
        <v>44566</v>
      </c>
      <c r="O85" s="474">
        <v>44638</v>
      </c>
      <c r="P85" s="1420" t="s">
        <v>472</v>
      </c>
      <c r="Q85" s="453"/>
      <c r="R85" s="2144">
        <v>21636720</v>
      </c>
      <c r="S85" s="457">
        <v>25507814.760000002</v>
      </c>
      <c r="T85" s="1474"/>
      <c r="U85" s="1474"/>
      <c r="V85" s="1474"/>
      <c r="W85" s="570">
        <v>44638</v>
      </c>
      <c r="X85" s="1387" t="s">
        <v>11366</v>
      </c>
      <c r="Y85" s="474">
        <v>44725</v>
      </c>
      <c r="Z85" s="474">
        <v>44726</v>
      </c>
      <c r="AA85" s="474">
        <v>45820</v>
      </c>
      <c r="AB85" s="1391" t="s">
        <v>12119</v>
      </c>
      <c r="AC85" s="1391">
        <v>2023</v>
      </c>
      <c r="AD85" s="388">
        <v>2024</v>
      </c>
      <c r="AE85" s="388" t="s">
        <v>12123</v>
      </c>
    </row>
    <row r="86" spans="1:32">
      <c r="A86" s="470">
        <v>44487</v>
      </c>
      <c r="B86" s="654" t="s">
        <v>10113</v>
      </c>
      <c r="C86" s="466" t="s">
        <v>52</v>
      </c>
      <c r="D86" s="466" t="s">
        <v>10114</v>
      </c>
      <c r="E86" s="467" t="s">
        <v>10115</v>
      </c>
      <c r="F86" s="466"/>
      <c r="G86" s="654"/>
      <c r="H86" s="466"/>
      <c r="I86" s="466" t="s">
        <v>10116</v>
      </c>
      <c r="J86" s="466"/>
      <c r="K86" s="472">
        <v>95000000</v>
      </c>
      <c r="L86" s="466" t="s">
        <v>251</v>
      </c>
      <c r="M86" s="470">
        <v>44491</v>
      </c>
      <c r="N86" s="470">
        <v>44550</v>
      </c>
      <c r="O86" s="470">
        <v>44586</v>
      </c>
      <c r="P86" s="654" t="s">
        <v>10836</v>
      </c>
      <c r="Q86" s="1171"/>
      <c r="R86" s="472">
        <v>117999980</v>
      </c>
      <c r="S86" s="472">
        <v>142779975.80000001</v>
      </c>
      <c r="T86" s="1516"/>
      <c r="U86" s="1516"/>
      <c r="V86" s="1516"/>
      <c r="W86" s="1547">
        <v>44586</v>
      </c>
      <c r="X86" s="472" t="s">
        <v>10835</v>
      </c>
      <c r="Y86" s="466"/>
      <c r="Z86" s="470">
        <v>44656</v>
      </c>
      <c r="AA86" s="654" t="s">
        <v>11416</v>
      </c>
      <c r="AB86" s="466"/>
      <c r="AC86" s="466"/>
    </row>
    <row r="87" spans="1:32" ht="15.75" thickBot="1">
      <c r="A87" s="416">
        <v>44484</v>
      </c>
      <c r="B87" s="630" t="s">
        <v>10130</v>
      </c>
      <c r="C87" s="411" t="s">
        <v>52</v>
      </c>
      <c r="D87" s="411" t="s">
        <v>7503</v>
      </c>
      <c r="E87" s="2518" t="s">
        <v>10131</v>
      </c>
      <c r="F87" s="2518"/>
      <c r="G87" s="630"/>
      <c r="H87" s="411"/>
      <c r="I87" s="411" t="s">
        <v>3091</v>
      </c>
      <c r="J87" s="411" t="s">
        <v>10132</v>
      </c>
      <c r="K87" s="417">
        <v>825000</v>
      </c>
      <c r="L87" s="411" t="s">
        <v>112</v>
      </c>
      <c r="M87" s="416">
        <v>44491</v>
      </c>
      <c r="N87" s="416">
        <v>44503</v>
      </c>
      <c r="O87" s="416">
        <v>44516</v>
      </c>
      <c r="P87" s="630" t="s">
        <v>10276</v>
      </c>
      <c r="Q87" s="411"/>
      <c r="R87" s="417">
        <v>927544.14</v>
      </c>
      <c r="S87" s="417">
        <v>1122328.4099999999</v>
      </c>
      <c r="T87" s="1480"/>
      <c r="U87" s="1480"/>
      <c r="V87" s="1480"/>
      <c r="W87" s="513">
        <v>44516</v>
      </c>
      <c r="X87" s="417" t="s">
        <v>10330</v>
      </c>
      <c r="Y87" s="416">
        <v>44572</v>
      </c>
      <c r="Z87" s="416">
        <v>44574</v>
      </c>
      <c r="AA87" s="416">
        <v>44665</v>
      </c>
      <c r="AB87" s="1548">
        <v>44739</v>
      </c>
      <c r="AC87" s="967"/>
    </row>
    <row r="88" spans="1:32" ht="30.75" thickTop="1">
      <c r="A88" s="474">
        <v>44488</v>
      </c>
      <c r="B88" s="1420" t="s">
        <v>10133</v>
      </c>
      <c r="C88" s="453" t="s">
        <v>2434</v>
      </c>
      <c r="D88" s="453" t="s">
        <v>3204</v>
      </c>
      <c r="E88" s="473" t="s">
        <v>5268</v>
      </c>
      <c r="F88" s="453">
        <v>1</v>
      </c>
      <c r="G88" s="1420" t="s">
        <v>10151</v>
      </c>
      <c r="H88" s="453"/>
      <c r="I88" s="453" t="s">
        <v>642</v>
      </c>
      <c r="J88" s="453"/>
      <c r="K88" s="457">
        <v>219000</v>
      </c>
      <c r="L88" s="453" t="s">
        <v>251</v>
      </c>
      <c r="M88" s="474">
        <v>44496</v>
      </c>
      <c r="N88" s="474">
        <v>44579</v>
      </c>
      <c r="O88" s="474">
        <v>44601</v>
      </c>
      <c r="P88" s="1420" t="s">
        <v>993</v>
      </c>
      <c r="Q88" s="453"/>
      <c r="R88" s="457">
        <v>274000</v>
      </c>
      <c r="S88" s="457">
        <v>331540</v>
      </c>
      <c r="T88" s="1474"/>
      <c r="U88" s="1474"/>
      <c r="V88" s="1474"/>
      <c r="W88" s="570">
        <v>44603</v>
      </c>
      <c r="X88" s="1387" t="s">
        <v>11051</v>
      </c>
      <c r="Y88" s="474">
        <v>44641</v>
      </c>
      <c r="Z88" s="474">
        <v>44648</v>
      </c>
      <c r="AA88" s="474">
        <v>45736</v>
      </c>
      <c r="AB88" s="1391" t="s">
        <v>11368</v>
      </c>
      <c r="AC88" s="1391">
        <v>2023</v>
      </c>
      <c r="AD88" s="388">
        <v>2024</v>
      </c>
      <c r="AE88" s="388" t="s">
        <v>11369</v>
      </c>
    </row>
    <row r="89" spans="1:32" ht="30">
      <c r="A89" s="2140">
        <v>44488</v>
      </c>
      <c r="B89" s="2143" t="s">
        <v>10133</v>
      </c>
      <c r="C89" s="2141" t="s">
        <v>2434</v>
      </c>
      <c r="D89" s="2141" t="s">
        <v>3204</v>
      </c>
      <c r="E89" s="2142" t="s">
        <v>5268</v>
      </c>
      <c r="F89" s="2141">
        <v>2</v>
      </c>
      <c r="G89" s="2143" t="s">
        <v>10152</v>
      </c>
      <c r="H89" s="2141"/>
      <c r="I89" s="2141" t="s">
        <v>642</v>
      </c>
      <c r="J89" s="2141"/>
      <c r="K89" s="2144">
        <v>5617423</v>
      </c>
      <c r="L89" s="2141" t="s">
        <v>251</v>
      </c>
      <c r="M89" s="2140">
        <v>44496</v>
      </c>
      <c r="N89" s="2140">
        <v>44579</v>
      </c>
      <c r="O89" s="2140">
        <v>44601</v>
      </c>
      <c r="P89" s="2143" t="s">
        <v>4838</v>
      </c>
      <c r="Q89" s="2141"/>
      <c r="R89" s="2144">
        <v>5617422.7999999998</v>
      </c>
      <c r="S89" s="2144">
        <v>6797081.5899999999</v>
      </c>
      <c r="T89" s="2145"/>
      <c r="U89" s="2145"/>
      <c r="V89" s="2145"/>
      <c r="W89" s="2146">
        <v>44603</v>
      </c>
      <c r="X89" s="2260" t="s">
        <v>11052</v>
      </c>
      <c r="Y89" s="2140">
        <v>44630</v>
      </c>
      <c r="Z89" s="2140">
        <v>44648</v>
      </c>
      <c r="AA89" s="2140">
        <v>45725</v>
      </c>
      <c r="AB89" s="2109" t="s">
        <v>11300</v>
      </c>
      <c r="AC89" s="2109">
        <v>2023</v>
      </c>
      <c r="AD89" s="388">
        <v>2024</v>
      </c>
      <c r="AE89" s="388" t="s">
        <v>11301</v>
      </c>
    </row>
    <row r="90" spans="1:32" ht="30">
      <c r="A90" s="2140">
        <v>44488</v>
      </c>
      <c r="B90" s="2143" t="s">
        <v>10133</v>
      </c>
      <c r="C90" s="2141" t="s">
        <v>2434</v>
      </c>
      <c r="D90" s="2141" t="s">
        <v>3204</v>
      </c>
      <c r="E90" s="2142" t="s">
        <v>5268</v>
      </c>
      <c r="F90" s="2141">
        <v>3</v>
      </c>
      <c r="G90" s="2143" t="s">
        <v>10156</v>
      </c>
      <c r="H90" s="2141"/>
      <c r="I90" s="2141" t="s">
        <v>642</v>
      </c>
      <c r="J90" s="2141"/>
      <c r="K90" s="2144">
        <v>674133</v>
      </c>
      <c r="L90" s="2141" t="s">
        <v>251</v>
      </c>
      <c r="M90" s="2140">
        <v>44496</v>
      </c>
      <c r="N90" s="2140">
        <v>44579</v>
      </c>
      <c r="O90" s="2140">
        <v>44601</v>
      </c>
      <c r="P90" s="2143" t="s">
        <v>7296</v>
      </c>
      <c r="Q90" s="2141"/>
      <c r="R90" s="2144">
        <v>772131.6</v>
      </c>
      <c r="S90" s="2144">
        <v>934279.24</v>
      </c>
      <c r="T90" s="2145"/>
      <c r="U90" s="2145"/>
      <c r="V90" s="2145"/>
      <c r="W90" s="2146">
        <v>44603</v>
      </c>
      <c r="X90" s="2260" t="s">
        <v>11053</v>
      </c>
      <c r="Y90" s="2140">
        <v>44628</v>
      </c>
      <c r="Z90" s="2140">
        <v>44648</v>
      </c>
      <c r="AA90" s="2140">
        <v>45723</v>
      </c>
      <c r="AB90" s="2109" t="s">
        <v>11293</v>
      </c>
      <c r="AC90" s="2109">
        <v>2023</v>
      </c>
      <c r="AD90" s="388">
        <v>2024</v>
      </c>
      <c r="AE90" s="388" t="s">
        <v>11294</v>
      </c>
    </row>
    <row r="91" spans="1:32">
      <c r="A91" s="2124">
        <v>44488</v>
      </c>
      <c r="B91" s="2127" t="s">
        <v>10133</v>
      </c>
      <c r="C91" s="2125" t="s">
        <v>2434</v>
      </c>
      <c r="D91" s="2125" t="s">
        <v>3204</v>
      </c>
      <c r="E91" s="2126" t="s">
        <v>5268</v>
      </c>
      <c r="F91" s="2125">
        <v>4</v>
      </c>
      <c r="G91" s="2127" t="s">
        <v>10155</v>
      </c>
      <c r="H91" s="2125"/>
      <c r="I91" s="2125" t="s">
        <v>642</v>
      </c>
      <c r="J91" s="2125"/>
      <c r="K91" s="2128">
        <v>1167300</v>
      </c>
      <c r="L91" s="2125" t="s">
        <v>251</v>
      </c>
      <c r="M91" s="2124">
        <v>44496</v>
      </c>
      <c r="N91" s="2124">
        <v>44579</v>
      </c>
      <c r="O91" s="2125"/>
      <c r="P91" s="2136" t="s">
        <v>4505</v>
      </c>
      <c r="Q91" s="2125"/>
      <c r="R91" s="2128"/>
      <c r="S91" s="2128"/>
      <c r="T91" s="2129"/>
      <c r="U91" s="2129"/>
      <c r="V91" s="2129"/>
      <c r="W91" s="2128"/>
      <c r="X91" s="2128"/>
      <c r="Y91" s="2125"/>
      <c r="Z91" s="2124">
        <v>44629</v>
      </c>
      <c r="AA91" s="2127" t="s">
        <v>11189</v>
      </c>
      <c r="AB91" s="2125"/>
      <c r="AC91" s="2125"/>
    </row>
    <row r="92" spans="1:32" ht="30">
      <c r="A92" s="2140">
        <v>44488</v>
      </c>
      <c r="B92" s="2143" t="s">
        <v>10133</v>
      </c>
      <c r="C92" s="2141" t="s">
        <v>2434</v>
      </c>
      <c r="D92" s="2141" t="s">
        <v>3204</v>
      </c>
      <c r="E92" s="2142" t="s">
        <v>5268</v>
      </c>
      <c r="F92" s="2141">
        <v>5</v>
      </c>
      <c r="G92" s="2143" t="s">
        <v>10154</v>
      </c>
      <c r="H92" s="2141"/>
      <c r="I92" s="2141" t="s">
        <v>642</v>
      </c>
      <c r="J92" s="2141"/>
      <c r="K92" s="2144">
        <v>1129933</v>
      </c>
      <c r="L92" s="2141" t="s">
        <v>251</v>
      </c>
      <c r="M92" s="2140">
        <v>44496</v>
      </c>
      <c r="N92" s="2140">
        <v>44579</v>
      </c>
      <c r="O92" s="2140">
        <v>44601</v>
      </c>
      <c r="P92" s="2143" t="s">
        <v>6322</v>
      </c>
      <c r="Q92" s="2141"/>
      <c r="R92" s="2144">
        <v>1129933</v>
      </c>
      <c r="S92" s="2144">
        <v>1367218.93</v>
      </c>
      <c r="T92" s="2145"/>
      <c r="U92" s="2145"/>
      <c r="V92" s="2145"/>
      <c r="W92" s="2146">
        <v>44603</v>
      </c>
      <c r="X92" s="2260" t="s">
        <v>11054</v>
      </c>
      <c r="Y92" s="2140">
        <v>44631</v>
      </c>
      <c r="Z92" s="2140">
        <v>44648</v>
      </c>
      <c r="AA92" s="2140">
        <v>45726</v>
      </c>
      <c r="AB92" s="2109" t="s">
        <v>11323</v>
      </c>
      <c r="AC92" s="2109">
        <v>2023</v>
      </c>
      <c r="AD92" s="388">
        <v>2024</v>
      </c>
      <c r="AE92" s="388" t="s">
        <v>11324</v>
      </c>
    </row>
    <row r="93" spans="1:32" ht="30.75" thickBot="1">
      <c r="A93" s="2117">
        <v>44488</v>
      </c>
      <c r="B93" s="2120" t="s">
        <v>10133</v>
      </c>
      <c r="C93" s="2118" t="s">
        <v>2434</v>
      </c>
      <c r="D93" s="2118" t="s">
        <v>3204</v>
      </c>
      <c r="E93" s="2119" t="s">
        <v>5268</v>
      </c>
      <c r="F93" s="2118">
        <v>6</v>
      </c>
      <c r="G93" s="2120" t="s">
        <v>10153</v>
      </c>
      <c r="H93" s="2118"/>
      <c r="I93" s="2118" t="s">
        <v>642</v>
      </c>
      <c r="J93" s="2118"/>
      <c r="K93" s="2121">
        <v>609420</v>
      </c>
      <c r="L93" s="2118" t="s">
        <v>251</v>
      </c>
      <c r="M93" s="2117">
        <v>44496</v>
      </c>
      <c r="N93" s="2117">
        <v>44579</v>
      </c>
      <c r="O93" s="2117">
        <v>44601</v>
      </c>
      <c r="P93" s="2120" t="s">
        <v>4839</v>
      </c>
      <c r="Q93" s="2118"/>
      <c r="R93" s="2121">
        <v>609420</v>
      </c>
      <c r="S93" s="2121">
        <v>737398.2</v>
      </c>
      <c r="T93" s="2122"/>
      <c r="U93" s="2122"/>
      <c r="V93" s="2122"/>
      <c r="W93" s="2123">
        <v>44603</v>
      </c>
      <c r="X93" s="2246" t="s">
        <v>11055</v>
      </c>
      <c r="Y93" s="2117">
        <v>44641</v>
      </c>
      <c r="Z93" s="2117">
        <v>44648</v>
      </c>
      <c r="AA93" s="2117">
        <v>45736</v>
      </c>
      <c r="AB93" s="2110" t="s">
        <v>11368</v>
      </c>
      <c r="AC93" s="2110">
        <v>2023</v>
      </c>
      <c r="AD93" s="388">
        <v>2024</v>
      </c>
      <c r="AE93" s="388" t="s">
        <v>11369</v>
      </c>
    </row>
    <row r="94" spans="1:32" ht="15.75" thickTop="1">
      <c r="A94" s="2140">
        <v>44490</v>
      </c>
      <c r="B94" s="2143" t="s">
        <v>10143</v>
      </c>
      <c r="C94" s="2141" t="s">
        <v>69</v>
      </c>
      <c r="D94" s="2141" t="s">
        <v>70</v>
      </c>
      <c r="E94" s="2142" t="s">
        <v>10144</v>
      </c>
      <c r="F94" s="2141">
        <v>1</v>
      </c>
      <c r="G94" s="2143" t="s">
        <v>10145</v>
      </c>
      <c r="H94" s="2141"/>
      <c r="I94" s="2141" t="s">
        <v>4278</v>
      </c>
      <c r="J94" s="2141"/>
      <c r="K94" s="2144">
        <v>4203966</v>
      </c>
      <c r="L94" s="2141" t="s">
        <v>251</v>
      </c>
      <c r="M94" s="2140">
        <v>44539</v>
      </c>
      <c r="N94" s="2140">
        <v>44573</v>
      </c>
      <c r="O94" s="2140">
        <v>44589</v>
      </c>
      <c r="P94" s="2143" t="s">
        <v>576</v>
      </c>
      <c r="Q94" s="2141"/>
      <c r="R94" s="2144">
        <v>4109545.44</v>
      </c>
      <c r="S94" s="2144">
        <v>4520499.9800000004</v>
      </c>
      <c r="T94" s="2145"/>
      <c r="U94" s="2145"/>
      <c r="V94" s="2145"/>
      <c r="W94" s="2146">
        <v>44589</v>
      </c>
      <c r="X94" s="2144" t="s">
        <v>10893</v>
      </c>
      <c r="Y94" s="2140">
        <v>44617</v>
      </c>
      <c r="Z94" s="2140">
        <v>44624</v>
      </c>
      <c r="AA94" s="2140">
        <v>46077</v>
      </c>
      <c r="AB94" s="2109" t="s">
        <v>11153</v>
      </c>
      <c r="AC94" s="2109">
        <v>2023</v>
      </c>
      <c r="AD94" s="388">
        <v>2024</v>
      </c>
      <c r="AE94" s="388">
        <v>2025</v>
      </c>
      <c r="AF94" s="388" t="s">
        <v>11162</v>
      </c>
    </row>
    <row r="95" spans="1:32" ht="15.75" thickBot="1">
      <c r="A95" s="2124">
        <v>44490</v>
      </c>
      <c r="B95" s="2127" t="s">
        <v>10146</v>
      </c>
      <c r="C95" s="2125" t="s">
        <v>69</v>
      </c>
      <c r="D95" s="2125" t="s">
        <v>70</v>
      </c>
      <c r="E95" s="2126" t="s">
        <v>11022</v>
      </c>
      <c r="F95" s="2125">
        <v>1</v>
      </c>
      <c r="G95" s="2127" t="s">
        <v>10148</v>
      </c>
      <c r="H95" s="2085"/>
      <c r="I95" s="2125" t="s">
        <v>3438</v>
      </c>
      <c r="J95" s="2125"/>
      <c r="K95" s="2128">
        <v>9139774</v>
      </c>
      <c r="L95" s="2125" t="s">
        <v>251</v>
      </c>
      <c r="M95" s="2124">
        <v>44539</v>
      </c>
      <c r="N95" s="2124">
        <v>44573</v>
      </c>
      <c r="O95" s="2125"/>
      <c r="P95" s="2136" t="s">
        <v>304</v>
      </c>
      <c r="Q95" s="2125"/>
      <c r="R95" s="2128"/>
      <c r="S95" s="2128"/>
      <c r="T95" s="2094"/>
      <c r="U95" s="2094"/>
      <c r="V95" s="2094"/>
      <c r="W95" s="2128"/>
      <c r="X95" s="2128"/>
      <c r="Y95" s="2125"/>
      <c r="Z95" s="2124">
        <v>44575</v>
      </c>
      <c r="AA95" s="2127" t="s">
        <v>10712</v>
      </c>
      <c r="AB95" s="2125"/>
      <c r="AC95" s="2125"/>
    </row>
    <row r="96" spans="1:32" ht="16.5" thickTop="1" thickBot="1">
      <c r="A96" s="474">
        <v>44488</v>
      </c>
      <c r="B96" s="1420" t="s">
        <v>10160</v>
      </c>
      <c r="C96" s="453" t="s">
        <v>2434</v>
      </c>
      <c r="D96" s="453" t="s">
        <v>219</v>
      </c>
      <c r="E96" s="2475" t="s">
        <v>10161</v>
      </c>
      <c r="F96" s="453">
        <v>1</v>
      </c>
      <c r="G96" s="1420" t="s">
        <v>10162</v>
      </c>
      <c r="H96" s="453"/>
      <c r="I96" s="453" t="s">
        <v>642</v>
      </c>
      <c r="J96" s="453"/>
      <c r="K96" s="457">
        <v>1244469</v>
      </c>
      <c r="L96" s="453" t="s">
        <v>112</v>
      </c>
      <c r="M96" s="474">
        <v>44495</v>
      </c>
      <c r="N96" s="474">
        <v>44509</v>
      </c>
      <c r="O96" s="474">
        <v>44540</v>
      </c>
      <c r="P96" s="1420" t="s">
        <v>10551</v>
      </c>
      <c r="Q96" s="453"/>
      <c r="R96" s="457">
        <v>1656392</v>
      </c>
      <c r="S96" s="457">
        <v>2004928</v>
      </c>
      <c r="T96" s="1474"/>
      <c r="U96" s="1474"/>
      <c r="V96" s="1474"/>
      <c r="W96" s="570">
        <v>44543</v>
      </c>
      <c r="X96" s="457" t="s">
        <v>10564</v>
      </c>
      <c r="Y96" s="474">
        <v>44564</v>
      </c>
      <c r="Z96" s="474">
        <v>44566</v>
      </c>
      <c r="AA96" s="474">
        <v>46024</v>
      </c>
      <c r="AB96" s="1391" t="s">
        <v>10647</v>
      </c>
      <c r="AC96" s="1391">
        <v>2023</v>
      </c>
      <c r="AD96" s="388">
        <v>2024</v>
      </c>
      <c r="AE96" s="388" t="s">
        <v>10648</v>
      </c>
    </row>
    <row r="97" spans="1:32" ht="30.75" thickTop="1">
      <c r="A97" s="474">
        <v>44490</v>
      </c>
      <c r="B97" s="1420" t="s">
        <v>10193</v>
      </c>
      <c r="C97" s="453" t="s">
        <v>2434</v>
      </c>
      <c r="D97" s="453" t="s">
        <v>3204</v>
      </c>
      <c r="E97" s="473" t="s">
        <v>10194</v>
      </c>
      <c r="F97" s="453">
        <v>1</v>
      </c>
      <c r="G97" s="1420" t="s">
        <v>10195</v>
      </c>
      <c r="H97" s="453"/>
      <c r="I97" s="453" t="s">
        <v>642</v>
      </c>
      <c r="J97" s="453"/>
      <c r="K97" s="457">
        <v>640000</v>
      </c>
      <c r="L97" s="453" t="s">
        <v>251</v>
      </c>
      <c r="M97" s="474">
        <v>44503</v>
      </c>
      <c r="N97" s="474">
        <v>44537</v>
      </c>
      <c r="O97" s="474">
        <v>44552</v>
      </c>
      <c r="P97" s="1420" t="s">
        <v>7296</v>
      </c>
      <c r="Q97" s="453"/>
      <c r="R97" s="457">
        <v>640000</v>
      </c>
      <c r="S97" s="457">
        <v>736000</v>
      </c>
      <c r="T97" s="1474"/>
      <c r="U97" s="1474"/>
      <c r="V97" s="1474"/>
      <c r="W97" s="570">
        <v>44552</v>
      </c>
      <c r="X97" s="1387" t="s">
        <v>10618</v>
      </c>
      <c r="Y97" s="474">
        <v>44582</v>
      </c>
      <c r="Z97" s="474">
        <v>44592</v>
      </c>
      <c r="AA97" s="474">
        <v>45677</v>
      </c>
      <c r="AB97" s="451" t="s">
        <v>10792</v>
      </c>
      <c r="AC97" s="451">
        <v>2023</v>
      </c>
      <c r="AD97" s="388">
        <v>2024</v>
      </c>
      <c r="AE97" s="388" t="s">
        <v>10793</v>
      </c>
    </row>
    <row r="98" spans="1:32" ht="30">
      <c r="A98" s="2140">
        <v>44490</v>
      </c>
      <c r="B98" s="2143" t="s">
        <v>10193</v>
      </c>
      <c r="C98" s="2141" t="s">
        <v>2434</v>
      </c>
      <c r="D98" s="2141" t="s">
        <v>3204</v>
      </c>
      <c r="E98" s="2142" t="s">
        <v>10194</v>
      </c>
      <c r="F98" s="2141">
        <v>2</v>
      </c>
      <c r="G98" s="2143" t="s">
        <v>10196</v>
      </c>
      <c r="H98" s="2141"/>
      <c r="I98" s="2141" t="s">
        <v>642</v>
      </c>
      <c r="J98" s="2141"/>
      <c r="K98" s="2144">
        <v>1935000</v>
      </c>
      <c r="L98" s="2141" t="s">
        <v>251</v>
      </c>
      <c r="M98" s="2140">
        <v>44503</v>
      </c>
      <c r="N98" s="2140">
        <v>44537</v>
      </c>
      <c r="O98" s="2140">
        <v>44552</v>
      </c>
      <c r="P98" s="2143" t="s">
        <v>7296</v>
      </c>
      <c r="Q98" s="2141"/>
      <c r="R98" s="2144">
        <v>1935000</v>
      </c>
      <c r="S98" s="2144">
        <v>2225250</v>
      </c>
      <c r="T98" s="2145"/>
      <c r="U98" s="2145"/>
      <c r="V98" s="2145"/>
      <c r="W98" s="2146">
        <v>44552</v>
      </c>
      <c r="X98" s="2260" t="s">
        <v>10619</v>
      </c>
      <c r="Y98" s="2140">
        <v>44582</v>
      </c>
      <c r="Z98" s="2140">
        <v>44592</v>
      </c>
      <c r="AA98" s="2140">
        <v>45677</v>
      </c>
      <c r="AB98" s="451" t="s">
        <v>10792</v>
      </c>
      <c r="AC98" s="451">
        <v>2023</v>
      </c>
      <c r="AD98" s="388">
        <v>2024</v>
      </c>
      <c r="AE98" s="388" t="s">
        <v>10793</v>
      </c>
    </row>
    <row r="99" spans="1:32" ht="30">
      <c r="A99" s="2140">
        <v>44490</v>
      </c>
      <c r="B99" s="2143" t="s">
        <v>10193</v>
      </c>
      <c r="C99" s="2141" t="s">
        <v>2434</v>
      </c>
      <c r="D99" s="2141" t="s">
        <v>3204</v>
      </c>
      <c r="E99" s="2142" t="s">
        <v>10194</v>
      </c>
      <c r="F99" s="2141">
        <v>3</v>
      </c>
      <c r="G99" s="2143" t="s">
        <v>10197</v>
      </c>
      <c r="H99" s="2141"/>
      <c r="I99" s="2141" t="s">
        <v>642</v>
      </c>
      <c r="J99" s="2141"/>
      <c r="K99" s="2144">
        <v>113300</v>
      </c>
      <c r="L99" s="2141" t="s">
        <v>251</v>
      </c>
      <c r="M99" s="2140">
        <v>44503</v>
      </c>
      <c r="N99" s="2140">
        <v>44537</v>
      </c>
      <c r="O99" s="2140">
        <v>44552</v>
      </c>
      <c r="P99" s="2143" t="s">
        <v>7296</v>
      </c>
      <c r="Q99" s="2141"/>
      <c r="R99" s="2144">
        <v>113300</v>
      </c>
      <c r="S99" s="2144">
        <v>130295</v>
      </c>
      <c r="T99" s="2145"/>
      <c r="U99" s="2145"/>
      <c r="V99" s="2145"/>
      <c r="W99" s="2146">
        <v>44552</v>
      </c>
      <c r="X99" s="2260" t="s">
        <v>10620</v>
      </c>
      <c r="Y99" s="2140">
        <v>44582</v>
      </c>
      <c r="Z99" s="2140">
        <v>44592</v>
      </c>
      <c r="AA99" s="2140">
        <v>45677</v>
      </c>
      <c r="AB99" s="451" t="s">
        <v>10792</v>
      </c>
      <c r="AC99" s="451">
        <v>2023</v>
      </c>
      <c r="AD99" s="388">
        <v>2024</v>
      </c>
      <c r="AE99" s="388" t="s">
        <v>10793</v>
      </c>
    </row>
    <row r="100" spans="1:32" ht="30">
      <c r="A100" s="2140">
        <v>44490</v>
      </c>
      <c r="B100" s="2143" t="s">
        <v>10193</v>
      </c>
      <c r="C100" s="2141" t="s">
        <v>2434</v>
      </c>
      <c r="D100" s="2141" t="s">
        <v>3204</v>
      </c>
      <c r="E100" s="2142" t="s">
        <v>10194</v>
      </c>
      <c r="F100" s="2141">
        <v>4</v>
      </c>
      <c r="G100" s="2143" t="s">
        <v>10198</v>
      </c>
      <c r="H100" s="2141"/>
      <c r="I100" s="2141" t="s">
        <v>642</v>
      </c>
      <c r="J100" s="2141"/>
      <c r="K100" s="2144">
        <v>292875</v>
      </c>
      <c r="L100" s="2141" t="s">
        <v>251</v>
      </c>
      <c r="M100" s="2140">
        <v>44503</v>
      </c>
      <c r="N100" s="2140">
        <v>44537</v>
      </c>
      <c r="O100" s="2140">
        <v>44552</v>
      </c>
      <c r="P100" s="2143" t="s">
        <v>7296</v>
      </c>
      <c r="Q100" s="2141"/>
      <c r="R100" s="2144">
        <v>292875</v>
      </c>
      <c r="S100" s="2144">
        <v>336806.25</v>
      </c>
      <c r="T100" s="2145"/>
      <c r="U100" s="2145"/>
      <c r="V100" s="2145"/>
      <c r="W100" s="2146">
        <v>44552</v>
      </c>
      <c r="X100" s="2260" t="s">
        <v>10621</v>
      </c>
      <c r="Y100" s="2140">
        <v>44582</v>
      </c>
      <c r="Z100" s="2140">
        <v>44592</v>
      </c>
      <c r="AA100" s="2140">
        <v>45677</v>
      </c>
      <c r="AB100" s="451" t="s">
        <v>10792</v>
      </c>
      <c r="AC100" s="451">
        <v>2023</v>
      </c>
      <c r="AD100" s="388">
        <v>2024</v>
      </c>
      <c r="AE100" s="388" t="s">
        <v>10793</v>
      </c>
    </row>
    <row r="101" spans="1:32" ht="30">
      <c r="A101" s="2140">
        <v>44490</v>
      </c>
      <c r="B101" s="2143" t="s">
        <v>10193</v>
      </c>
      <c r="C101" s="2141" t="s">
        <v>2434</v>
      </c>
      <c r="D101" s="2141" t="s">
        <v>3204</v>
      </c>
      <c r="E101" s="2142" t="s">
        <v>10194</v>
      </c>
      <c r="F101" s="2141">
        <v>5</v>
      </c>
      <c r="G101" s="2143" t="s">
        <v>10199</v>
      </c>
      <c r="H101" s="2141"/>
      <c r="I101" s="2141" t="s">
        <v>642</v>
      </c>
      <c r="J101" s="2141"/>
      <c r="K101" s="2144">
        <v>921800</v>
      </c>
      <c r="L101" s="2141" t="s">
        <v>251</v>
      </c>
      <c r="M101" s="2140">
        <v>44503</v>
      </c>
      <c r="N101" s="2140">
        <v>44537</v>
      </c>
      <c r="O101" s="2140">
        <v>44552</v>
      </c>
      <c r="P101" s="2143" t="s">
        <v>7296</v>
      </c>
      <c r="Q101" s="2141"/>
      <c r="R101" s="2144">
        <v>921800</v>
      </c>
      <c r="S101" s="2144">
        <v>1060070</v>
      </c>
      <c r="T101" s="2145"/>
      <c r="U101" s="2145"/>
      <c r="V101" s="2145"/>
      <c r="W101" s="2146">
        <v>44552</v>
      </c>
      <c r="X101" s="2260" t="s">
        <v>10622</v>
      </c>
      <c r="Y101" s="2140">
        <v>44582</v>
      </c>
      <c r="Z101" s="2140">
        <v>44592</v>
      </c>
      <c r="AA101" s="2140">
        <v>45677</v>
      </c>
      <c r="AB101" s="451" t="s">
        <v>10792</v>
      </c>
      <c r="AC101" s="451">
        <v>2023</v>
      </c>
      <c r="AD101" s="388">
        <v>2024</v>
      </c>
      <c r="AE101" s="388" t="s">
        <v>10793</v>
      </c>
    </row>
    <row r="102" spans="1:32" ht="30.75" thickBot="1">
      <c r="A102" s="2117">
        <v>44490</v>
      </c>
      <c r="B102" s="2120" t="s">
        <v>10193</v>
      </c>
      <c r="C102" s="2118" t="s">
        <v>2434</v>
      </c>
      <c r="D102" s="2118" t="s">
        <v>3204</v>
      </c>
      <c r="E102" s="2119" t="s">
        <v>10194</v>
      </c>
      <c r="F102" s="2118">
        <v>6</v>
      </c>
      <c r="G102" s="2487" t="s">
        <v>10200</v>
      </c>
      <c r="H102" s="2118"/>
      <c r="I102" s="2118" t="s">
        <v>642</v>
      </c>
      <c r="J102" s="2118"/>
      <c r="K102" s="2121">
        <v>4415340</v>
      </c>
      <c r="L102" s="2118" t="s">
        <v>251</v>
      </c>
      <c r="M102" s="2117">
        <v>44503</v>
      </c>
      <c r="N102" s="2117">
        <v>44537</v>
      </c>
      <c r="O102" s="2117">
        <v>44552</v>
      </c>
      <c r="P102" s="2120" t="s">
        <v>7296</v>
      </c>
      <c r="Q102" s="2118"/>
      <c r="R102" s="2121">
        <v>4415340</v>
      </c>
      <c r="S102" s="2121">
        <v>5077641</v>
      </c>
      <c r="T102" s="2122"/>
      <c r="U102" s="2122"/>
      <c r="V102" s="2122"/>
      <c r="W102" s="2123">
        <v>44552</v>
      </c>
      <c r="X102" s="2246" t="s">
        <v>10623</v>
      </c>
      <c r="Y102" s="2117">
        <v>44582</v>
      </c>
      <c r="Z102" s="2117">
        <v>44592</v>
      </c>
      <c r="AA102" s="2117">
        <v>45677</v>
      </c>
      <c r="AB102" s="451" t="s">
        <v>10792</v>
      </c>
      <c r="AC102" s="451">
        <v>2023</v>
      </c>
      <c r="AD102" s="388">
        <v>2024</v>
      </c>
      <c r="AE102" s="388" t="s">
        <v>10793</v>
      </c>
    </row>
    <row r="103" spans="1:32" ht="15.75" thickTop="1">
      <c r="A103" s="470">
        <v>44533</v>
      </c>
      <c r="B103" s="654" t="s">
        <v>10206</v>
      </c>
      <c r="C103" s="466" t="s">
        <v>69</v>
      </c>
      <c r="D103" s="466" t="s">
        <v>70</v>
      </c>
      <c r="E103" s="467" t="s">
        <v>10207</v>
      </c>
      <c r="F103" s="466"/>
      <c r="G103" s="654"/>
      <c r="H103" s="466"/>
      <c r="I103" s="466" t="s">
        <v>10208</v>
      </c>
      <c r="J103" s="466"/>
      <c r="K103" s="472">
        <v>4716408</v>
      </c>
      <c r="L103" s="466" t="s">
        <v>251</v>
      </c>
      <c r="M103" s="470">
        <v>44550</v>
      </c>
      <c r="N103" s="470">
        <v>44642</v>
      </c>
      <c r="O103" s="466"/>
      <c r="P103" s="471" t="s">
        <v>304</v>
      </c>
      <c r="Q103" s="1171" t="s">
        <v>13428</v>
      </c>
      <c r="R103" s="472"/>
      <c r="S103" s="472"/>
      <c r="T103" s="1516"/>
      <c r="U103" s="1516"/>
      <c r="V103" s="1516"/>
      <c r="W103" s="472"/>
      <c r="X103" s="472"/>
      <c r="Y103" s="466"/>
      <c r="Z103" s="470">
        <v>44648</v>
      </c>
      <c r="AA103" s="466" t="s">
        <v>11442</v>
      </c>
      <c r="AB103" s="470"/>
      <c r="AC103" s="466"/>
    </row>
    <row r="104" spans="1:32" ht="30">
      <c r="A104" s="2140">
        <v>44490</v>
      </c>
      <c r="B104" s="2143" t="s">
        <v>10234</v>
      </c>
      <c r="C104" s="2141" t="s">
        <v>2434</v>
      </c>
      <c r="D104" s="2141" t="s">
        <v>219</v>
      </c>
      <c r="E104" s="2142" t="s">
        <v>10219</v>
      </c>
      <c r="F104" s="2141"/>
      <c r="G104" s="2143"/>
      <c r="H104" s="2141"/>
      <c r="I104" s="2141" t="s">
        <v>642</v>
      </c>
      <c r="J104" s="2141"/>
      <c r="K104" s="2144">
        <v>4090909</v>
      </c>
      <c r="L104" s="2141" t="s">
        <v>251</v>
      </c>
      <c r="M104" s="2140">
        <v>44505</v>
      </c>
      <c r="N104" s="2140">
        <v>44539</v>
      </c>
      <c r="O104" s="2140">
        <v>44580</v>
      </c>
      <c r="P104" s="2143" t="s">
        <v>2776</v>
      </c>
      <c r="Q104" s="2141"/>
      <c r="R104" s="2144">
        <v>4080000</v>
      </c>
      <c r="S104" s="2144">
        <v>4936800</v>
      </c>
      <c r="T104" s="2145"/>
      <c r="U104" s="2145"/>
      <c r="V104" s="2145"/>
      <c r="W104" s="2146">
        <v>44580</v>
      </c>
      <c r="X104" s="2260" t="s">
        <v>10759</v>
      </c>
      <c r="Y104" s="2140">
        <v>44642</v>
      </c>
      <c r="Z104" s="2140">
        <v>44656</v>
      </c>
      <c r="AA104" s="2140">
        <v>46102</v>
      </c>
      <c r="AB104" s="2109" t="s">
        <v>11386</v>
      </c>
      <c r="AC104" s="2109">
        <v>2023</v>
      </c>
      <c r="AD104" s="388">
        <v>2024</v>
      </c>
      <c r="AE104" s="388">
        <v>2025</v>
      </c>
      <c r="AF104" s="388" t="s">
        <v>11387</v>
      </c>
    </row>
    <row r="105" spans="1:32">
      <c r="A105" s="2141" t="s">
        <v>3585</v>
      </c>
      <c r="B105" s="2143" t="s">
        <v>10225</v>
      </c>
      <c r="C105" s="2141" t="s">
        <v>6561</v>
      </c>
      <c r="D105" s="2141" t="s">
        <v>4864</v>
      </c>
      <c r="E105" s="2142" t="s">
        <v>10226</v>
      </c>
      <c r="F105" s="2141"/>
      <c r="G105" s="2143"/>
      <c r="H105" s="2141"/>
      <c r="I105" s="2141" t="s">
        <v>7701</v>
      </c>
      <c r="J105" s="2141"/>
      <c r="K105" s="2144">
        <v>7730000</v>
      </c>
      <c r="L105" s="2141" t="s">
        <v>251</v>
      </c>
      <c r="M105" s="2140">
        <v>44504</v>
      </c>
      <c r="N105" s="2140">
        <v>44539</v>
      </c>
      <c r="O105" s="2140">
        <v>44566</v>
      </c>
      <c r="P105" s="2143" t="s">
        <v>10615</v>
      </c>
      <c r="Q105" s="2141"/>
      <c r="R105" s="2144">
        <v>7721900</v>
      </c>
      <c r="S105" s="2144">
        <v>9343499</v>
      </c>
      <c r="T105" s="2145"/>
      <c r="U105" s="2145"/>
      <c r="V105" s="2145"/>
      <c r="W105" s="2146">
        <v>44566</v>
      </c>
      <c r="X105" s="2144" t="s">
        <v>10663</v>
      </c>
      <c r="Y105" s="2140">
        <v>44593</v>
      </c>
      <c r="Z105" s="2140">
        <v>44607</v>
      </c>
      <c r="AA105" s="2140">
        <v>46053</v>
      </c>
      <c r="AB105" s="2109" t="s">
        <v>10934</v>
      </c>
      <c r="AC105" s="2109">
        <v>2023</v>
      </c>
      <c r="AD105" s="388">
        <v>2024</v>
      </c>
      <c r="AE105" s="388">
        <v>2025</v>
      </c>
      <c r="AF105" s="388" t="s">
        <v>10935</v>
      </c>
    </row>
    <row r="106" spans="1:32">
      <c r="A106" s="2124">
        <v>44502</v>
      </c>
      <c r="B106" s="2127" t="s">
        <v>10227</v>
      </c>
      <c r="C106" s="2125" t="s">
        <v>1032</v>
      </c>
      <c r="D106" s="2125" t="s">
        <v>361</v>
      </c>
      <c r="E106" s="2126" t="s">
        <v>10228</v>
      </c>
      <c r="F106" s="2125"/>
      <c r="G106" s="2127"/>
      <c r="H106" s="2125"/>
      <c r="I106" s="2125" t="s">
        <v>1676</v>
      </c>
      <c r="J106" s="2125"/>
      <c r="K106" s="2128">
        <v>7300000</v>
      </c>
      <c r="L106" s="2125" t="s">
        <v>216</v>
      </c>
      <c r="M106" s="2124">
        <v>44505</v>
      </c>
      <c r="N106" s="2124">
        <v>44525</v>
      </c>
      <c r="O106" s="2124">
        <v>44546</v>
      </c>
      <c r="P106" s="2136" t="s">
        <v>9691</v>
      </c>
      <c r="Q106" s="2275" t="s">
        <v>11727</v>
      </c>
      <c r="R106" s="2128">
        <v>6868105.9500000002</v>
      </c>
      <c r="S106" s="2128">
        <v>8310408.2000000002</v>
      </c>
      <c r="T106" s="2129"/>
      <c r="U106" s="2129"/>
      <c r="V106" s="2129"/>
      <c r="W106" s="2281">
        <v>44546</v>
      </c>
      <c r="X106" s="2128" t="s">
        <v>10584</v>
      </c>
      <c r="Y106" s="2125"/>
      <c r="Z106" s="2124">
        <v>44662</v>
      </c>
      <c r="AA106" s="2127" t="s">
        <v>11459</v>
      </c>
      <c r="AB106" s="2125"/>
      <c r="AC106" s="2125"/>
    </row>
    <row r="107" spans="1:32">
      <c r="A107" s="2124">
        <v>44503</v>
      </c>
      <c r="B107" s="2127" t="s">
        <v>10229</v>
      </c>
      <c r="C107" s="2125" t="s">
        <v>4997</v>
      </c>
      <c r="D107" s="2125" t="s">
        <v>7475</v>
      </c>
      <c r="E107" s="2126" t="s">
        <v>10230</v>
      </c>
      <c r="F107" s="2125"/>
      <c r="G107" s="2127"/>
      <c r="H107" s="2125"/>
      <c r="I107" s="2125" t="s">
        <v>1676</v>
      </c>
      <c r="J107" s="2125"/>
      <c r="K107" s="2128">
        <v>6500000</v>
      </c>
      <c r="L107" s="2125" t="s">
        <v>216</v>
      </c>
      <c r="M107" s="2124">
        <v>44526</v>
      </c>
      <c r="N107" s="2124">
        <v>44545</v>
      </c>
      <c r="O107" s="2125"/>
      <c r="P107" s="2136" t="s">
        <v>10701</v>
      </c>
      <c r="Q107" s="2125"/>
      <c r="R107" s="2128"/>
      <c r="S107" s="2128"/>
      <c r="T107" s="2129"/>
      <c r="U107" s="2129"/>
      <c r="V107" s="2129"/>
      <c r="W107" s="2128"/>
      <c r="X107" s="2128"/>
      <c r="Y107" s="2125"/>
      <c r="Z107" s="2124">
        <v>44595</v>
      </c>
      <c r="AA107" s="2127" t="s">
        <v>10773</v>
      </c>
      <c r="AB107" s="2125"/>
      <c r="AC107" s="2125"/>
    </row>
    <row r="108" spans="1:32" ht="30">
      <c r="A108" s="2140">
        <v>44494</v>
      </c>
      <c r="B108" s="2143" t="s">
        <v>10231</v>
      </c>
      <c r="C108" s="2141" t="s">
        <v>58</v>
      </c>
      <c r="D108" s="2141" t="s">
        <v>4969</v>
      </c>
      <c r="E108" s="2142" t="s">
        <v>10232</v>
      </c>
      <c r="F108" s="2141"/>
      <c r="G108" s="2143"/>
      <c r="H108" s="2141"/>
      <c r="I108" s="2141" t="s">
        <v>1950</v>
      </c>
      <c r="J108" s="2141" t="s">
        <v>10233</v>
      </c>
      <c r="K108" s="2144">
        <v>1950000</v>
      </c>
      <c r="L108" s="2141" t="s">
        <v>112</v>
      </c>
      <c r="M108" s="2140">
        <v>44508</v>
      </c>
      <c r="N108" s="2140">
        <v>44516</v>
      </c>
      <c r="O108" s="2140">
        <v>44564</v>
      </c>
      <c r="P108" s="2143" t="s">
        <v>2498</v>
      </c>
      <c r="Q108" s="2141"/>
      <c r="R108" s="2144">
        <v>1381318</v>
      </c>
      <c r="S108" s="2144">
        <v>1671394.78</v>
      </c>
      <c r="T108" s="2145"/>
      <c r="U108" s="2145"/>
      <c r="V108" s="2145"/>
      <c r="W108" s="2146">
        <v>44564</v>
      </c>
      <c r="X108" s="2260" t="s">
        <v>10660</v>
      </c>
      <c r="Y108" s="2140">
        <v>44588</v>
      </c>
      <c r="Z108" s="2140">
        <v>44592</v>
      </c>
      <c r="AA108" s="2140">
        <v>44686</v>
      </c>
      <c r="AB108" s="2109"/>
      <c r="AC108" s="2109" t="s">
        <v>1875</v>
      </c>
    </row>
    <row r="109" spans="1:32" ht="30">
      <c r="A109" s="2140">
        <v>44477</v>
      </c>
      <c r="B109" s="2143" t="s">
        <v>10238</v>
      </c>
      <c r="C109" s="2141" t="s">
        <v>58</v>
      </c>
      <c r="D109" s="2141" t="s">
        <v>4969</v>
      </c>
      <c r="E109" s="2142" t="s">
        <v>10239</v>
      </c>
      <c r="F109" s="2141"/>
      <c r="G109" s="2143"/>
      <c r="H109" s="2141"/>
      <c r="I109" s="2141" t="s">
        <v>1950</v>
      </c>
      <c r="J109" s="2141" t="s">
        <v>10240</v>
      </c>
      <c r="K109" s="2144">
        <v>190000</v>
      </c>
      <c r="L109" s="2141" t="s">
        <v>112</v>
      </c>
      <c r="M109" s="2140">
        <v>44508</v>
      </c>
      <c r="N109" s="2140">
        <v>44516</v>
      </c>
      <c r="O109" s="2140">
        <v>44533</v>
      </c>
      <c r="P109" s="2143" t="s">
        <v>10415</v>
      </c>
      <c r="Q109" s="2141"/>
      <c r="R109" s="2144">
        <v>176080</v>
      </c>
      <c r="S109" s="2144">
        <v>213056.8</v>
      </c>
      <c r="T109" s="2145"/>
      <c r="U109" s="2145"/>
      <c r="V109" s="2145"/>
      <c r="W109" s="2146">
        <v>44536</v>
      </c>
      <c r="X109" s="2260" t="s">
        <v>10513</v>
      </c>
      <c r="Y109" s="2140">
        <v>44567</v>
      </c>
      <c r="Z109" s="2140">
        <v>44571</v>
      </c>
      <c r="AA109" s="2140">
        <v>44637</v>
      </c>
      <c r="AB109" s="2140">
        <v>44641</v>
      </c>
      <c r="AC109" s="2109" t="s">
        <v>1875</v>
      </c>
    </row>
    <row r="110" spans="1:32" ht="30.75" thickBot="1">
      <c r="A110" s="2141" t="s">
        <v>3585</v>
      </c>
      <c r="B110" s="2143" t="s">
        <v>10241</v>
      </c>
      <c r="C110" s="2141" t="s">
        <v>2434</v>
      </c>
      <c r="D110" s="2141" t="s">
        <v>3204</v>
      </c>
      <c r="E110" s="2142" t="s">
        <v>9522</v>
      </c>
      <c r="F110" s="2141"/>
      <c r="G110" s="2143"/>
      <c r="H110" s="2141"/>
      <c r="I110" s="2141" t="s">
        <v>642</v>
      </c>
      <c r="J110" s="2141"/>
      <c r="K110" s="2144">
        <v>840000</v>
      </c>
      <c r="L110" s="2141" t="s">
        <v>251</v>
      </c>
      <c r="M110" s="2140">
        <v>44509</v>
      </c>
      <c r="N110" s="2140">
        <v>44543</v>
      </c>
      <c r="O110" s="2140">
        <v>44552</v>
      </c>
      <c r="P110" s="2143" t="s">
        <v>7296</v>
      </c>
      <c r="Q110" s="2141"/>
      <c r="R110" s="2144">
        <v>945000</v>
      </c>
      <c r="S110" s="2144">
        <v>1086750</v>
      </c>
      <c r="T110" s="2145"/>
      <c r="U110" s="2145"/>
      <c r="V110" s="2145"/>
      <c r="W110" s="2146">
        <v>44552</v>
      </c>
      <c r="X110" s="2260" t="s">
        <v>10617</v>
      </c>
      <c r="Y110" s="2140">
        <v>44582</v>
      </c>
      <c r="Z110" s="2140">
        <v>44589</v>
      </c>
      <c r="AA110" s="2140">
        <v>45677</v>
      </c>
      <c r="AB110" s="451" t="s">
        <v>10792</v>
      </c>
      <c r="AC110" s="451">
        <v>2023</v>
      </c>
      <c r="AD110" s="388">
        <v>2024</v>
      </c>
      <c r="AE110" s="388" t="s">
        <v>10793</v>
      </c>
    </row>
    <row r="111" spans="1:32" ht="30.75" thickTop="1">
      <c r="A111" s="474">
        <v>44503</v>
      </c>
      <c r="B111" s="1420" t="s">
        <v>10295</v>
      </c>
      <c r="C111" s="453" t="s">
        <v>2434</v>
      </c>
      <c r="D111" s="453" t="s">
        <v>3204</v>
      </c>
      <c r="E111" s="473" t="s">
        <v>4531</v>
      </c>
      <c r="F111" s="453">
        <v>1</v>
      </c>
      <c r="G111" s="1420" t="s">
        <v>10296</v>
      </c>
      <c r="H111" s="453"/>
      <c r="I111" s="453" t="s">
        <v>642</v>
      </c>
      <c r="J111" s="453"/>
      <c r="K111" s="457">
        <v>3683250</v>
      </c>
      <c r="L111" s="453" t="s">
        <v>251</v>
      </c>
      <c r="M111" s="474">
        <v>44519</v>
      </c>
      <c r="N111" s="474">
        <v>44561</v>
      </c>
      <c r="O111" s="474">
        <v>44599</v>
      </c>
      <c r="P111" s="1420" t="s">
        <v>8793</v>
      </c>
      <c r="Q111" s="453"/>
      <c r="R111" s="457">
        <v>3523500</v>
      </c>
      <c r="S111" s="457">
        <v>4263435</v>
      </c>
      <c r="T111" s="1474"/>
      <c r="U111" s="1474"/>
      <c r="V111" s="1474"/>
      <c r="W111" s="570">
        <v>44599</v>
      </c>
      <c r="X111" s="1387" t="s">
        <v>10996</v>
      </c>
      <c r="Y111" s="474">
        <v>44631</v>
      </c>
      <c r="Z111" s="474">
        <v>44636</v>
      </c>
      <c r="AA111" s="474">
        <v>45726</v>
      </c>
      <c r="AB111" s="1391" t="s">
        <v>11323</v>
      </c>
      <c r="AC111" s="1391">
        <v>2023</v>
      </c>
      <c r="AD111" s="388">
        <v>2024</v>
      </c>
      <c r="AE111" s="388" t="s">
        <v>11324</v>
      </c>
    </row>
    <row r="112" spans="1:32" ht="30">
      <c r="A112" s="2140">
        <v>44503</v>
      </c>
      <c r="B112" s="2143" t="s">
        <v>10295</v>
      </c>
      <c r="C112" s="2141" t="s">
        <v>2434</v>
      </c>
      <c r="D112" s="2141" t="s">
        <v>3204</v>
      </c>
      <c r="E112" s="2142" t="s">
        <v>4531</v>
      </c>
      <c r="F112" s="2141">
        <v>2</v>
      </c>
      <c r="G112" s="2143" t="s">
        <v>10297</v>
      </c>
      <c r="H112" s="2141"/>
      <c r="I112" s="2141" t="s">
        <v>642</v>
      </c>
      <c r="J112" s="2141"/>
      <c r="K112" s="2144">
        <v>720000</v>
      </c>
      <c r="L112" s="2141" t="s">
        <v>251</v>
      </c>
      <c r="M112" s="2140">
        <v>44519</v>
      </c>
      <c r="N112" s="2140">
        <v>44561</v>
      </c>
      <c r="O112" s="2140">
        <v>44599</v>
      </c>
      <c r="P112" s="2143" t="s">
        <v>4893</v>
      </c>
      <c r="Q112" s="2141"/>
      <c r="R112" s="2144">
        <v>720000</v>
      </c>
      <c r="S112" s="2144">
        <v>871200</v>
      </c>
      <c r="T112" s="2145"/>
      <c r="U112" s="2145"/>
      <c r="V112" s="2145"/>
      <c r="W112" s="2146">
        <v>44599</v>
      </c>
      <c r="X112" s="2260" t="s">
        <v>10997</v>
      </c>
      <c r="Y112" s="2140">
        <v>44628</v>
      </c>
      <c r="Z112" s="2140">
        <v>44636</v>
      </c>
      <c r="AA112" s="2140">
        <v>45723</v>
      </c>
      <c r="AB112" s="2109" t="s">
        <v>11295</v>
      </c>
      <c r="AC112" s="2109">
        <v>2023</v>
      </c>
      <c r="AD112" s="388">
        <v>2024</v>
      </c>
      <c r="AE112" s="388" t="s">
        <v>11294</v>
      </c>
    </row>
    <row r="113" spans="1:35" ht="30">
      <c r="A113" s="2140">
        <v>44503</v>
      </c>
      <c r="B113" s="2143" t="s">
        <v>10295</v>
      </c>
      <c r="C113" s="2141" t="s">
        <v>2434</v>
      </c>
      <c r="D113" s="2141" t="s">
        <v>3204</v>
      </c>
      <c r="E113" s="2142" t="s">
        <v>4531</v>
      </c>
      <c r="F113" s="2141">
        <v>3</v>
      </c>
      <c r="G113" s="2143" t="s">
        <v>10298</v>
      </c>
      <c r="H113" s="2141"/>
      <c r="I113" s="2141" t="s">
        <v>642</v>
      </c>
      <c r="J113" s="2141"/>
      <c r="K113" s="2144">
        <v>367500</v>
      </c>
      <c r="L113" s="2141" t="s">
        <v>251</v>
      </c>
      <c r="M113" s="2140">
        <v>44519</v>
      </c>
      <c r="N113" s="2140">
        <v>44561</v>
      </c>
      <c r="O113" s="2140">
        <v>44599</v>
      </c>
      <c r="P113" s="2143" t="s">
        <v>7296</v>
      </c>
      <c r="Q113" s="2141"/>
      <c r="R113" s="2144">
        <v>367500</v>
      </c>
      <c r="S113" s="2144">
        <v>444675</v>
      </c>
      <c r="T113" s="2145"/>
      <c r="U113" s="2145"/>
      <c r="V113" s="2145"/>
      <c r="W113" s="2146">
        <v>44599</v>
      </c>
      <c r="X113" s="2260" t="s">
        <v>10998</v>
      </c>
      <c r="Y113" s="2140">
        <v>44628</v>
      </c>
      <c r="Z113" s="2140">
        <v>44636</v>
      </c>
      <c r="AA113" s="2140">
        <v>45723</v>
      </c>
      <c r="AB113" s="2109" t="s">
        <v>11295</v>
      </c>
      <c r="AC113" s="2109">
        <v>2023</v>
      </c>
      <c r="AD113" s="388">
        <v>2024</v>
      </c>
      <c r="AE113" s="388" t="s">
        <v>11294</v>
      </c>
    </row>
    <row r="114" spans="1:35" ht="30">
      <c r="A114" s="2140">
        <v>44503</v>
      </c>
      <c r="B114" s="2143" t="s">
        <v>10295</v>
      </c>
      <c r="C114" s="2141" t="s">
        <v>2434</v>
      </c>
      <c r="D114" s="2141" t="s">
        <v>3204</v>
      </c>
      <c r="E114" s="2142" t="s">
        <v>4531</v>
      </c>
      <c r="F114" s="2141">
        <v>4</v>
      </c>
      <c r="G114" s="2143" t="s">
        <v>10299</v>
      </c>
      <c r="H114" s="2141"/>
      <c r="I114" s="2141" t="s">
        <v>642</v>
      </c>
      <c r="J114" s="2141"/>
      <c r="K114" s="2144">
        <v>2451600</v>
      </c>
      <c r="L114" s="2141" t="s">
        <v>251</v>
      </c>
      <c r="M114" s="2140">
        <v>44519</v>
      </c>
      <c r="N114" s="2140">
        <v>44561</v>
      </c>
      <c r="O114" s="2140">
        <v>44599</v>
      </c>
      <c r="P114" s="2143" t="s">
        <v>5908</v>
      </c>
      <c r="Q114" s="2141"/>
      <c r="R114" s="2144">
        <v>2451600</v>
      </c>
      <c r="S114" s="2144">
        <v>2966436</v>
      </c>
      <c r="T114" s="2145"/>
      <c r="U114" s="2145"/>
      <c r="V114" s="2145"/>
      <c r="W114" s="2146">
        <v>44599</v>
      </c>
      <c r="X114" s="2260" t="s">
        <v>10999</v>
      </c>
      <c r="Y114" s="2140">
        <v>44630</v>
      </c>
      <c r="Z114" s="2140">
        <v>44636</v>
      </c>
      <c r="AA114" s="2140">
        <v>45725</v>
      </c>
      <c r="AB114" s="2109" t="s">
        <v>11300</v>
      </c>
      <c r="AC114" s="2109">
        <v>2023</v>
      </c>
      <c r="AD114" s="388">
        <v>2024</v>
      </c>
      <c r="AE114" s="388" t="s">
        <v>11301</v>
      </c>
    </row>
    <row r="115" spans="1:35" ht="30">
      <c r="A115" s="2140">
        <v>44503</v>
      </c>
      <c r="B115" s="2143" t="s">
        <v>10295</v>
      </c>
      <c r="C115" s="2141" t="s">
        <v>2434</v>
      </c>
      <c r="D115" s="2141" t="s">
        <v>3204</v>
      </c>
      <c r="E115" s="2142" t="s">
        <v>4531</v>
      </c>
      <c r="F115" s="2141">
        <v>5</v>
      </c>
      <c r="G115" s="2142" t="s">
        <v>10300</v>
      </c>
      <c r="H115" s="2141"/>
      <c r="I115" s="2141" t="s">
        <v>642</v>
      </c>
      <c r="J115" s="2141"/>
      <c r="K115" s="2144">
        <v>1320000</v>
      </c>
      <c r="L115" s="2141" t="s">
        <v>251</v>
      </c>
      <c r="M115" s="2140">
        <v>44519</v>
      </c>
      <c r="N115" s="2140">
        <v>44561</v>
      </c>
      <c r="O115" s="2140">
        <v>44599</v>
      </c>
      <c r="P115" s="2143" t="s">
        <v>8793</v>
      </c>
      <c r="Q115" s="2141"/>
      <c r="R115" s="2144">
        <v>1300000</v>
      </c>
      <c r="S115" s="2144">
        <v>1573000</v>
      </c>
      <c r="T115" s="2145"/>
      <c r="U115" s="2145"/>
      <c r="V115" s="2145"/>
      <c r="W115" s="2146">
        <v>44599</v>
      </c>
      <c r="X115" s="2260" t="s">
        <v>11000</v>
      </c>
      <c r="Y115" s="2140">
        <v>44631</v>
      </c>
      <c r="Z115" s="2140">
        <v>44636</v>
      </c>
      <c r="AA115" s="2140">
        <v>45726</v>
      </c>
      <c r="AB115" s="2109" t="s">
        <v>11323</v>
      </c>
      <c r="AC115" s="2109">
        <v>2023</v>
      </c>
      <c r="AD115" s="388">
        <v>2024</v>
      </c>
      <c r="AE115" s="388" t="s">
        <v>11324</v>
      </c>
    </row>
    <row r="116" spans="1:35" ht="30">
      <c r="A116" s="2140">
        <v>44503</v>
      </c>
      <c r="B116" s="2143" t="s">
        <v>10295</v>
      </c>
      <c r="C116" s="2141" t="s">
        <v>2434</v>
      </c>
      <c r="D116" s="2141" t="s">
        <v>3204</v>
      </c>
      <c r="E116" s="2142" t="s">
        <v>4531</v>
      </c>
      <c r="F116" s="2141">
        <v>6</v>
      </c>
      <c r="G116" s="2143" t="s">
        <v>10301</v>
      </c>
      <c r="H116" s="2141"/>
      <c r="I116" s="2141" t="s">
        <v>642</v>
      </c>
      <c r="J116" s="2141"/>
      <c r="K116" s="2144">
        <v>934800</v>
      </c>
      <c r="L116" s="2141" t="s">
        <v>251</v>
      </c>
      <c r="M116" s="2140">
        <v>44519</v>
      </c>
      <c r="N116" s="2140">
        <v>44561</v>
      </c>
      <c r="O116" s="2140">
        <v>44599</v>
      </c>
      <c r="P116" s="2143" t="s">
        <v>8793</v>
      </c>
      <c r="Q116" s="2141"/>
      <c r="R116" s="2144">
        <v>915000</v>
      </c>
      <c r="S116" s="2144">
        <v>1107150</v>
      </c>
      <c r="T116" s="2145"/>
      <c r="U116" s="2145"/>
      <c r="V116" s="2145"/>
      <c r="W116" s="2146">
        <v>44599</v>
      </c>
      <c r="X116" s="2260" t="s">
        <v>11001</v>
      </c>
      <c r="Y116" s="2140">
        <v>44631</v>
      </c>
      <c r="Z116" s="2140">
        <v>44636</v>
      </c>
      <c r="AA116" s="2140">
        <v>45726</v>
      </c>
      <c r="AB116" s="2109" t="s">
        <v>11323</v>
      </c>
      <c r="AC116" s="2109">
        <v>2023</v>
      </c>
      <c r="AD116" s="388">
        <v>2024</v>
      </c>
      <c r="AE116" s="388" t="s">
        <v>11324</v>
      </c>
    </row>
    <row r="117" spans="1:35" ht="30">
      <c r="A117" s="2140">
        <v>44503</v>
      </c>
      <c r="B117" s="2143" t="s">
        <v>10295</v>
      </c>
      <c r="C117" s="2141" t="s">
        <v>2434</v>
      </c>
      <c r="D117" s="2141" t="s">
        <v>3204</v>
      </c>
      <c r="E117" s="2142" t="s">
        <v>4531</v>
      </c>
      <c r="F117" s="2141">
        <v>7</v>
      </c>
      <c r="G117" s="2143" t="s">
        <v>10302</v>
      </c>
      <c r="H117" s="2141"/>
      <c r="I117" s="2141" t="s">
        <v>642</v>
      </c>
      <c r="J117" s="2141"/>
      <c r="K117" s="2144">
        <v>364140</v>
      </c>
      <c r="L117" s="2141" t="s">
        <v>251</v>
      </c>
      <c r="M117" s="2140">
        <v>44519</v>
      </c>
      <c r="N117" s="2140">
        <v>44561</v>
      </c>
      <c r="O117" s="2140">
        <v>44599</v>
      </c>
      <c r="P117" s="2143" t="s">
        <v>6322</v>
      </c>
      <c r="Q117" s="2141"/>
      <c r="R117" s="2144">
        <v>364140</v>
      </c>
      <c r="S117" s="2144">
        <v>440609.4</v>
      </c>
      <c r="T117" s="2145"/>
      <c r="U117" s="2145"/>
      <c r="V117" s="2145"/>
      <c r="W117" s="2146">
        <v>44599</v>
      </c>
      <c r="X117" s="2260" t="s">
        <v>11002</v>
      </c>
      <c r="Y117" s="2140">
        <v>44623</v>
      </c>
      <c r="Z117" s="2140">
        <v>44636</v>
      </c>
      <c r="AA117" s="2140">
        <v>45718</v>
      </c>
      <c r="AB117" s="2109" t="s">
        <v>11253</v>
      </c>
      <c r="AC117" s="2109">
        <v>2023</v>
      </c>
      <c r="AD117" s="388">
        <v>2024</v>
      </c>
      <c r="AE117" s="388" t="s">
        <v>11256</v>
      </c>
    </row>
    <row r="118" spans="1:35">
      <c r="A118" s="2124">
        <v>44503</v>
      </c>
      <c r="B118" s="2127" t="s">
        <v>10295</v>
      </c>
      <c r="C118" s="2125" t="s">
        <v>2434</v>
      </c>
      <c r="D118" s="2125" t="s">
        <v>3204</v>
      </c>
      <c r="E118" s="2126" t="s">
        <v>4531</v>
      </c>
      <c r="F118" s="2125">
        <v>8</v>
      </c>
      <c r="G118" s="2127" t="s">
        <v>10303</v>
      </c>
      <c r="H118" s="2125"/>
      <c r="I118" s="2125" t="s">
        <v>642</v>
      </c>
      <c r="J118" s="2125"/>
      <c r="K118" s="2128">
        <v>122510</v>
      </c>
      <c r="L118" s="2125" t="s">
        <v>251</v>
      </c>
      <c r="M118" s="2124">
        <v>44519</v>
      </c>
      <c r="N118" s="2124">
        <v>44561</v>
      </c>
      <c r="O118" s="2125"/>
      <c r="P118" s="2136" t="s">
        <v>4505</v>
      </c>
      <c r="Q118" s="2275" t="s">
        <v>12808</v>
      </c>
      <c r="R118" s="2128"/>
      <c r="S118" s="2128"/>
      <c r="T118" s="2129"/>
      <c r="U118" s="2129"/>
      <c r="V118" s="2129"/>
      <c r="W118" s="2128"/>
      <c r="X118" s="2128"/>
      <c r="Y118" s="2125"/>
      <c r="Z118" s="2124">
        <v>44608</v>
      </c>
      <c r="AA118" s="2127" t="s">
        <v>10879</v>
      </c>
      <c r="AB118" s="2125"/>
      <c r="AC118" s="2125"/>
    </row>
    <row r="119" spans="1:35" ht="15.75" thickBot="1">
      <c r="A119" s="2130">
        <v>44503</v>
      </c>
      <c r="B119" s="2133" t="s">
        <v>10295</v>
      </c>
      <c r="C119" s="2131" t="s">
        <v>2434</v>
      </c>
      <c r="D119" s="2131" t="s">
        <v>3204</v>
      </c>
      <c r="E119" s="2132" t="s">
        <v>4531</v>
      </c>
      <c r="F119" s="2131">
        <v>9</v>
      </c>
      <c r="G119" s="2133" t="s">
        <v>10304</v>
      </c>
      <c r="H119" s="2131"/>
      <c r="I119" s="2131" t="s">
        <v>642</v>
      </c>
      <c r="J119" s="2131"/>
      <c r="K119" s="2134">
        <v>399726</v>
      </c>
      <c r="L119" s="2131" t="s">
        <v>251</v>
      </c>
      <c r="M119" s="2130">
        <v>44519</v>
      </c>
      <c r="N119" s="2130">
        <v>44561</v>
      </c>
      <c r="O119" s="2131"/>
      <c r="P119" s="2137" t="s">
        <v>304</v>
      </c>
      <c r="Q119" s="2287" t="s">
        <v>12809</v>
      </c>
      <c r="R119" s="2134"/>
      <c r="S119" s="2134"/>
      <c r="T119" s="2135"/>
      <c r="U119" s="2135"/>
      <c r="V119" s="2135"/>
      <c r="W119" s="2134"/>
      <c r="X119" s="2134"/>
      <c r="Y119" s="2131"/>
      <c r="Z119" s="2130">
        <v>44608</v>
      </c>
      <c r="AA119" s="2133" t="s">
        <v>10780</v>
      </c>
      <c r="AB119" s="2131"/>
      <c r="AC119" s="2131"/>
    </row>
    <row r="120" spans="1:35" ht="30.75" thickTop="1">
      <c r="A120" s="474">
        <v>44510</v>
      </c>
      <c r="B120" s="1420" t="s">
        <v>10305</v>
      </c>
      <c r="C120" s="453" t="s">
        <v>58</v>
      </c>
      <c r="D120" s="453" t="s">
        <v>4969</v>
      </c>
      <c r="E120" s="473" t="s">
        <v>10337</v>
      </c>
      <c r="F120" s="453">
        <v>1</v>
      </c>
      <c r="G120" s="1420" t="s">
        <v>10338</v>
      </c>
      <c r="H120" s="453"/>
      <c r="I120" s="453" t="s">
        <v>753</v>
      </c>
      <c r="J120" s="453" t="s">
        <v>10306</v>
      </c>
      <c r="K120" s="457">
        <v>185000</v>
      </c>
      <c r="L120" s="453" t="s">
        <v>112</v>
      </c>
      <c r="M120" s="474">
        <v>44524</v>
      </c>
      <c r="N120" s="474">
        <v>44532</v>
      </c>
      <c r="O120" s="474">
        <v>44546</v>
      </c>
      <c r="P120" s="1420" t="s">
        <v>10534</v>
      </c>
      <c r="Q120" s="453"/>
      <c r="R120" s="457">
        <v>149000</v>
      </c>
      <c r="S120" s="457">
        <v>180290</v>
      </c>
      <c r="T120" s="1474"/>
      <c r="U120" s="1474"/>
      <c r="V120" s="1474"/>
      <c r="W120" s="570">
        <v>44547</v>
      </c>
      <c r="X120" s="1387" t="s">
        <v>10605</v>
      </c>
      <c r="Y120" s="474">
        <v>44578</v>
      </c>
      <c r="Z120" s="474">
        <v>44580</v>
      </c>
      <c r="AA120" s="474">
        <v>44634</v>
      </c>
      <c r="AB120" s="474">
        <v>44655</v>
      </c>
      <c r="AC120" s="1391" t="s">
        <v>1875</v>
      </c>
    </row>
    <row r="121" spans="1:35" ht="30.75" thickBot="1">
      <c r="A121" s="675">
        <v>44510</v>
      </c>
      <c r="B121" s="1983" t="s">
        <v>10305</v>
      </c>
      <c r="C121" s="517" t="s">
        <v>58</v>
      </c>
      <c r="D121" s="517" t="s">
        <v>4969</v>
      </c>
      <c r="E121" s="672" t="s">
        <v>10337</v>
      </c>
      <c r="F121" s="517">
        <v>2</v>
      </c>
      <c r="G121" s="1983" t="s">
        <v>10339</v>
      </c>
      <c r="H121" s="517"/>
      <c r="I121" s="517" t="s">
        <v>753</v>
      </c>
      <c r="J121" s="517" t="s">
        <v>6308</v>
      </c>
      <c r="K121" s="676">
        <v>698300</v>
      </c>
      <c r="L121" s="517" t="s">
        <v>112</v>
      </c>
      <c r="M121" s="675">
        <v>44524</v>
      </c>
      <c r="N121" s="675">
        <v>44532</v>
      </c>
      <c r="O121" s="2478">
        <v>44546</v>
      </c>
      <c r="P121" s="1983" t="s">
        <v>10534</v>
      </c>
      <c r="Q121" s="517"/>
      <c r="R121" s="676">
        <v>688298</v>
      </c>
      <c r="S121" s="676">
        <v>832840.58</v>
      </c>
      <c r="T121" s="1984"/>
      <c r="U121" s="1984"/>
      <c r="V121" s="1984"/>
      <c r="W121" s="683">
        <v>44547</v>
      </c>
      <c r="X121" s="2479" t="s">
        <v>10606</v>
      </c>
      <c r="Y121" s="675">
        <v>44578</v>
      </c>
      <c r="Z121" s="675">
        <v>44580</v>
      </c>
      <c r="AA121" s="675">
        <v>44634</v>
      </c>
      <c r="AB121" s="675">
        <v>44662</v>
      </c>
      <c r="AC121" s="1981" t="s">
        <v>1875</v>
      </c>
    </row>
    <row r="122" spans="1:35" ht="30.75" thickTop="1">
      <c r="A122" s="365">
        <v>44509</v>
      </c>
      <c r="B122" s="2646" t="s">
        <v>10307</v>
      </c>
      <c r="C122" s="2523" t="s">
        <v>2434</v>
      </c>
      <c r="D122" s="2523" t="s">
        <v>219</v>
      </c>
      <c r="E122" s="175" t="s">
        <v>10308</v>
      </c>
      <c r="F122" s="2523"/>
      <c r="G122" s="2524"/>
      <c r="H122" s="2523"/>
      <c r="I122" s="2523" t="s">
        <v>2844</v>
      </c>
      <c r="J122" s="2523"/>
      <c r="K122" s="364">
        <v>13891304.4</v>
      </c>
      <c r="L122" s="2523" t="s">
        <v>251</v>
      </c>
      <c r="M122" s="365">
        <v>44524</v>
      </c>
      <c r="N122" s="365">
        <v>44557</v>
      </c>
      <c r="O122" s="365">
        <v>44581</v>
      </c>
      <c r="P122" s="2524" t="s">
        <v>2776</v>
      </c>
      <c r="Q122" s="2523"/>
      <c r="R122" s="364">
        <v>13891304.4</v>
      </c>
      <c r="S122" s="364">
        <v>15975000</v>
      </c>
      <c r="T122" s="1473"/>
      <c r="U122" s="1473"/>
      <c r="V122" s="1473"/>
      <c r="W122" s="681">
        <v>44581</v>
      </c>
      <c r="X122" s="1417" t="s">
        <v>10769</v>
      </c>
      <c r="Y122" s="365">
        <v>44615</v>
      </c>
      <c r="Z122" s="365">
        <v>44622</v>
      </c>
      <c r="AA122" s="365">
        <v>44979</v>
      </c>
      <c r="AB122" s="451" t="s">
        <v>11129</v>
      </c>
      <c r="AC122" s="451" t="s">
        <v>11130</v>
      </c>
    </row>
    <row r="123" spans="1:35" ht="30.75" thickBot="1">
      <c r="A123" s="2140">
        <v>44531</v>
      </c>
      <c r="B123" s="2143" t="s">
        <v>10317</v>
      </c>
      <c r="C123" s="2141" t="s">
        <v>69</v>
      </c>
      <c r="D123" s="2141" t="s">
        <v>70</v>
      </c>
      <c r="E123" s="2142" t="s">
        <v>10318</v>
      </c>
      <c r="F123" s="2141"/>
      <c r="G123" s="2143"/>
      <c r="H123" s="2141"/>
      <c r="I123" s="2141" t="s">
        <v>42</v>
      </c>
      <c r="J123" s="2141"/>
      <c r="K123" s="2144">
        <v>11758400</v>
      </c>
      <c r="L123" s="2141" t="s">
        <v>251</v>
      </c>
      <c r="M123" s="2140">
        <v>44550</v>
      </c>
      <c r="N123" s="2140">
        <v>44606</v>
      </c>
      <c r="O123" s="2140">
        <v>44635</v>
      </c>
      <c r="P123" s="2143" t="s">
        <v>5804</v>
      </c>
      <c r="Q123" s="2141"/>
      <c r="R123" s="2144">
        <v>10704000</v>
      </c>
      <c r="S123" s="2144">
        <v>12951840</v>
      </c>
      <c r="T123" s="2145"/>
      <c r="U123" s="2145"/>
      <c r="V123" s="2145"/>
      <c r="W123" s="2146">
        <v>44635</v>
      </c>
      <c r="X123" s="2260" t="s">
        <v>11338</v>
      </c>
      <c r="Y123" s="2140">
        <v>44663</v>
      </c>
      <c r="Z123" s="2140">
        <v>44670</v>
      </c>
      <c r="AA123" s="2141"/>
      <c r="AB123" s="2109" t="s">
        <v>11577</v>
      </c>
      <c r="AC123" s="2109">
        <v>2023</v>
      </c>
      <c r="AD123" s="388">
        <v>2024</v>
      </c>
      <c r="AE123" s="388">
        <v>2025</v>
      </c>
      <c r="AF123" s="388">
        <v>2026</v>
      </c>
      <c r="AG123" s="388">
        <v>2027</v>
      </c>
      <c r="AH123" s="388">
        <v>2028</v>
      </c>
      <c r="AI123" s="388">
        <v>2029</v>
      </c>
    </row>
    <row r="124" spans="1:35" ht="30.75" thickTop="1">
      <c r="A124" s="474">
        <v>44512</v>
      </c>
      <c r="B124" s="1420" t="s">
        <v>10367</v>
      </c>
      <c r="C124" s="453" t="s">
        <v>2434</v>
      </c>
      <c r="D124" s="453" t="s">
        <v>3204</v>
      </c>
      <c r="E124" s="473" t="s">
        <v>4093</v>
      </c>
      <c r="F124" s="453">
        <v>1</v>
      </c>
      <c r="G124" s="1420" t="s">
        <v>10368</v>
      </c>
      <c r="H124" s="453"/>
      <c r="I124" s="453" t="s">
        <v>642</v>
      </c>
      <c r="J124" s="453"/>
      <c r="K124" s="457">
        <v>4002000</v>
      </c>
      <c r="L124" s="453" t="s">
        <v>251</v>
      </c>
      <c r="M124" s="474">
        <v>44526</v>
      </c>
      <c r="N124" s="474">
        <v>44559</v>
      </c>
      <c r="O124" s="474">
        <v>44620</v>
      </c>
      <c r="P124" s="1420" t="s">
        <v>5908</v>
      </c>
      <c r="Q124" s="453"/>
      <c r="R124" s="457">
        <v>4002000</v>
      </c>
      <c r="S124" s="457">
        <v>4842420</v>
      </c>
      <c r="T124" s="1474"/>
      <c r="U124" s="1474"/>
      <c r="V124" s="1474"/>
      <c r="W124" s="570">
        <v>44621</v>
      </c>
      <c r="X124" s="1387" t="s">
        <v>11178</v>
      </c>
      <c r="Y124" s="474">
        <v>44649</v>
      </c>
      <c r="Z124" s="474">
        <v>44655</v>
      </c>
      <c r="AA124" s="474">
        <v>45744</v>
      </c>
      <c r="AB124" s="1391" t="s">
        <v>11470</v>
      </c>
      <c r="AC124" s="1391">
        <v>2023</v>
      </c>
      <c r="AD124" s="388">
        <v>2024</v>
      </c>
      <c r="AE124" s="388" t="s">
        <v>11471</v>
      </c>
    </row>
    <row r="125" spans="1:35" ht="30.75" thickBot="1">
      <c r="A125" s="2117">
        <v>44512</v>
      </c>
      <c r="B125" s="2120" t="s">
        <v>10367</v>
      </c>
      <c r="C125" s="2118" t="s">
        <v>2434</v>
      </c>
      <c r="D125" s="2118" t="s">
        <v>3204</v>
      </c>
      <c r="E125" s="2119" t="s">
        <v>4093</v>
      </c>
      <c r="F125" s="2118">
        <v>2</v>
      </c>
      <c r="G125" s="2120" t="s">
        <v>10369</v>
      </c>
      <c r="H125" s="2118"/>
      <c r="I125" s="2118" t="s">
        <v>642</v>
      </c>
      <c r="J125" s="2118"/>
      <c r="K125" s="2121">
        <v>850000</v>
      </c>
      <c r="L125" s="2118" t="s">
        <v>251</v>
      </c>
      <c r="M125" s="2117">
        <v>44526</v>
      </c>
      <c r="N125" s="2117">
        <v>44559</v>
      </c>
      <c r="O125" s="2117">
        <v>44620</v>
      </c>
      <c r="P125" s="2120" t="s">
        <v>5908</v>
      </c>
      <c r="Q125" s="2118"/>
      <c r="R125" s="2121">
        <v>850000</v>
      </c>
      <c r="S125" s="2121">
        <v>1028500</v>
      </c>
      <c r="T125" s="2122"/>
      <c r="U125" s="2122"/>
      <c r="V125" s="2122"/>
      <c r="W125" s="2123">
        <v>44621</v>
      </c>
      <c r="X125" s="2246" t="s">
        <v>11179</v>
      </c>
      <c r="Y125" s="2117">
        <v>44649</v>
      </c>
      <c r="Z125" s="2117">
        <v>44655</v>
      </c>
      <c r="AA125" s="2117">
        <v>45744</v>
      </c>
      <c r="AB125" s="2110" t="s">
        <v>11470</v>
      </c>
      <c r="AC125" s="2110">
        <v>2023</v>
      </c>
      <c r="AD125" s="388">
        <v>2024</v>
      </c>
      <c r="AE125" s="388" t="s">
        <v>11471</v>
      </c>
    </row>
    <row r="126" spans="1:35" ht="30.75" thickTop="1">
      <c r="A126" s="365">
        <v>44501</v>
      </c>
      <c r="B126" s="2646" t="s">
        <v>10370</v>
      </c>
      <c r="C126" s="2567" t="s">
        <v>58</v>
      </c>
      <c r="D126" s="2567" t="s">
        <v>4969</v>
      </c>
      <c r="E126" s="175" t="s">
        <v>10371</v>
      </c>
      <c r="F126" s="2567"/>
      <c r="G126" s="2568"/>
      <c r="H126" s="2567"/>
      <c r="I126" s="2567" t="s">
        <v>462</v>
      </c>
      <c r="J126" s="2567" t="s">
        <v>10372</v>
      </c>
      <c r="K126" s="364">
        <v>1050000</v>
      </c>
      <c r="L126" s="2567" t="s">
        <v>251</v>
      </c>
      <c r="M126" s="365">
        <v>44525</v>
      </c>
      <c r="N126" s="365">
        <v>44578</v>
      </c>
      <c r="O126" s="365">
        <v>44608</v>
      </c>
      <c r="P126" s="2568" t="s">
        <v>5913</v>
      </c>
      <c r="Q126" s="2567"/>
      <c r="R126" s="364">
        <v>630400</v>
      </c>
      <c r="S126" s="364">
        <v>762784</v>
      </c>
      <c r="T126" s="1473"/>
      <c r="U126" s="1473"/>
      <c r="V126" s="1473"/>
      <c r="W126" s="681">
        <v>44608</v>
      </c>
      <c r="X126" s="1417" t="s">
        <v>11104</v>
      </c>
      <c r="Y126" s="365">
        <v>44650</v>
      </c>
      <c r="Z126" s="365">
        <v>44655</v>
      </c>
      <c r="AA126" s="365">
        <v>44706</v>
      </c>
      <c r="AB126" s="365">
        <v>44739</v>
      </c>
      <c r="AC126" s="451" t="s">
        <v>1875</v>
      </c>
    </row>
    <row r="127" spans="1:35" ht="30">
      <c r="A127" s="2140">
        <v>44515</v>
      </c>
      <c r="B127" s="2143" t="s">
        <v>10373</v>
      </c>
      <c r="C127" s="2141" t="s">
        <v>58</v>
      </c>
      <c r="D127" s="2141" t="s">
        <v>4969</v>
      </c>
      <c r="E127" s="2142" t="s">
        <v>10374</v>
      </c>
      <c r="F127" s="2141"/>
      <c r="G127" s="2143"/>
      <c r="H127" s="2141"/>
      <c r="I127" s="2141" t="s">
        <v>2665</v>
      </c>
      <c r="J127" s="2141" t="s">
        <v>10375</v>
      </c>
      <c r="K127" s="2144">
        <v>493223</v>
      </c>
      <c r="L127" s="2141" t="s">
        <v>112</v>
      </c>
      <c r="M127" s="2140">
        <v>44524</v>
      </c>
      <c r="N127" s="2140">
        <v>44532</v>
      </c>
      <c r="O127" s="2140">
        <v>44613</v>
      </c>
      <c r="P127" s="2143" t="s">
        <v>2780</v>
      </c>
      <c r="Q127" s="2141"/>
      <c r="R127" s="2144">
        <v>440181.5</v>
      </c>
      <c r="S127" s="2144">
        <v>532619.61499999999</v>
      </c>
      <c r="T127" s="2145"/>
      <c r="U127" s="2145"/>
      <c r="V127" s="2145"/>
      <c r="W127" s="2146">
        <v>44613</v>
      </c>
      <c r="X127" s="2260" t="s">
        <v>11120</v>
      </c>
      <c r="Y127" s="2140">
        <v>44641</v>
      </c>
      <c r="Z127" s="2140">
        <v>44643</v>
      </c>
      <c r="AA127" s="2140">
        <v>44697</v>
      </c>
      <c r="AB127" s="2140">
        <v>44762</v>
      </c>
      <c r="AC127" s="2109" t="s">
        <v>1875</v>
      </c>
    </row>
    <row r="128" spans="1:35" ht="15.75" thickBot="1">
      <c r="A128" s="416">
        <v>44515</v>
      </c>
      <c r="B128" s="630" t="s">
        <v>10376</v>
      </c>
      <c r="C128" s="411" t="s">
        <v>1032</v>
      </c>
      <c r="D128" s="411" t="s">
        <v>361</v>
      </c>
      <c r="E128" s="412" t="s">
        <v>10377</v>
      </c>
      <c r="F128" s="411"/>
      <c r="G128" s="630"/>
      <c r="H128" s="411"/>
      <c r="I128" s="411" t="s">
        <v>3091</v>
      </c>
      <c r="J128" s="411" t="s">
        <v>10378</v>
      </c>
      <c r="K128" s="417">
        <v>320000</v>
      </c>
      <c r="L128" s="411" t="s">
        <v>112</v>
      </c>
      <c r="M128" s="416">
        <v>44526</v>
      </c>
      <c r="N128" s="416">
        <v>44536</v>
      </c>
      <c r="O128" s="416">
        <v>44546</v>
      </c>
      <c r="P128" s="630" t="s">
        <v>8953</v>
      </c>
      <c r="Q128" s="411"/>
      <c r="R128" s="417">
        <v>235389</v>
      </c>
      <c r="S128" s="417">
        <v>284820.69</v>
      </c>
      <c r="T128" s="1480"/>
      <c r="U128" s="1480"/>
      <c r="V128" s="1480"/>
      <c r="W128" s="513">
        <v>44546</v>
      </c>
      <c r="X128" s="417" t="s">
        <v>10593</v>
      </c>
      <c r="Y128" s="416">
        <v>44567</v>
      </c>
      <c r="Z128" s="416">
        <v>44571</v>
      </c>
      <c r="AA128" s="411"/>
      <c r="AB128" s="416">
        <v>44732</v>
      </c>
      <c r="AC128" s="967"/>
    </row>
    <row r="129" spans="1:31" ht="15.75" thickTop="1">
      <c r="A129" s="474">
        <v>44515</v>
      </c>
      <c r="B129" s="1420" t="s">
        <v>10382</v>
      </c>
      <c r="C129" s="453" t="s">
        <v>69</v>
      </c>
      <c r="D129" s="453" t="s">
        <v>70</v>
      </c>
      <c r="E129" s="473" t="s">
        <v>10383</v>
      </c>
      <c r="F129" s="453">
        <v>1</v>
      </c>
      <c r="G129" s="1420" t="s">
        <v>10395</v>
      </c>
      <c r="H129" s="453"/>
      <c r="I129" s="453" t="s">
        <v>4271</v>
      </c>
      <c r="J129" s="453"/>
      <c r="K129" s="457">
        <v>4334535</v>
      </c>
      <c r="L129" s="453" t="s">
        <v>251</v>
      </c>
      <c r="M129" s="474">
        <v>44525</v>
      </c>
      <c r="N129" s="474">
        <v>44566</v>
      </c>
      <c r="O129" s="474">
        <v>44638</v>
      </c>
      <c r="P129" s="1420" t="s">
        <v>472</v>
      </c>
      <c r="Q129" s="453"/>
      <c r="R129" s="457">
        <v>3568953</v>
      </c>
      <c r="S129" s="457">
        <v>4111973.13</v>
      </c>
      <c r="T129" s="1474"/>
      <c r="U129" s="1474"/>
      <c r="V129" s="1474"/>
      <c r="W129" s="570">
        <v>44638</v>
      </c>
      <c r="X129" s="457" t="s">
        <v>11363</v>
      </c>
      <c r="Y129" s="474">
        <v>44725</v>
      </c>
      <c r="Z129" s="474">
        <v>44727</v>
      </c>
      <c r="AA129" s="474">
        <v>45820</v>
      </c>
      <c r="AB129" s="1391" t="s">
        <v>12119</v>
      </c>
      <c r="AC129" s="1391">
        <v>2023</v>
      </c>
      <c r="AD129" s="388">
        <v>2024</v>
      </c>
      <c r="AE129" s="388" t="s">
        <v>12123</v>
      </c>
    </row>
    <row r="130" spans="1:31">
      <c r="A130" s="2140">
        <v>44515</v>
      </c>
      <c r="B130" s="2143" t="s">
        <v>10382</v>
      </c>
      <c r="C130" s="2141" t="s">
        <v>69</v>
      </c>
      <c r="D130" s="2141" t="s">
        <v>70</v>
      </c>
      <c r="E130" s="2142" t="s">
        <v>10383</v>
      </c>
      <c r="F130" s="2141">
        <v>2</v>
      </c>
      <c r="G130" s="2143" t="s">
        <v>10396</v>
      </c>
      <c r="H130" s="2141"/>
      <c r="I130" s="2141" t="s">
        <v>4271</v>
      </c>
      <c r="J130" s="2141"/>
      <c r="K130" s="2144">
        <v>1391250</v>
      </c>
      <c r="L130" s="2141" t="s">
        <v>251</v>
      </c>
      <c r="M130" s="2140">
        <v>44525</v>
      </c>
      <c r="N130" s="2140">
        <v>44566</v>
      </c>
      <c r="O130" s="2140">
        <v>44638</v>
      </c>
      <c r="P130" s="2143" t="s">
        <v>472</v>
      </c>
      <c r="Q130" s="2141"/>
      <c r="R130" s="2144">
        <v>1375374</v>
      </c>
      <c r="S130" s="2144">
        <v>1612933.14</v>
      </c>
      <c r="T130" s="2145"/>
      <c r="U130" s="2145"/>
      <c r="V130" s="2145"/>
      <c r="W130" s="2146">
        <v>44638</v>
      </c>
      <c r="X130" s="2144" t="s">
        <v>11364</v>
      </c>
      <c r="Y130" s="2140">
        <v>44725</v>
      </c>
      <c r="Z130" s="2140">
        <v>44727</v>
      </c>
      <c r="AA130" s="2140">
        <v>45820</v>
      </c>
      <c r="AB130" s="2109" t="s">
        <v>12119</v>
      </c>
      <c r="AC130" s="2109">
        <v>2023</v>
      </c>
      <c r="AD130" s="388">
        <v>2024</v>
      </c>
      <c r="AE130" s="388" t="s">
        <v>12123</v>
      </c>
    </row>
    <row r="131" spans="1:31">
      <c r="A131" s="2140">
        <v>44515</v>
      </c>
      <c r="B131" s="2143" t="s">
        <v>10382</v>
      </c>
      <c r="C131" s="2141" t="s">
        <v>69</v>
      </c>
      <c r="D131" s="2141" t="s">
        <v>70</v>
      </c>
      <c r="E131" s="2142" t="s">
        <v>10383</v>
      </c>
      <c r="F131" s="2141">
        <v>3</v>
      </c>
      <c r="G131" s="2143" t="s">
        <v>10397</v>
      </c>
      <c r="H131" s="2141"/>
      <c r="I131" s="2141" t="s">
        <v>4271</v>
      </c>
      <c r="J131" s="2141"/>
      <c r="K131" s="2144">
        <v>1064952</v>
      </c>
      <c r="L131" s="2141" t="s">
        <v>251</v>
      </c>
      <c r="M131" s="2140">
        <v>44525</v>
      </c>
      <c r="N131" s="2140">
        <v>44566</v>
      </c>
      <c r="O131" s="2140">
        <v>44638</v>
      </c>
      <c r="P131" s="2143" t="s">
        <v>472</v>
      </c>
      <c r="Q131" s="2141"/>
      <c r="R131" s="2144">
        <v>1048971</v>
      </c>
      <c r="S131" s="2144">
        <v>1208119.71</v>
      </c>
      <c r="T131" s="2145"/>
      <c r="U131" s="2145"/>
      <c r="V131" s="2145"/>
      <c r="W131" s="2146">
        <v>44638</v>
      </c>
      <c r="X131" s="2144" t="s">
        <v>11365</v>
      </c>
      <c r="Y131" s="2140">
        <v>44725</v>
      </c>
      <c r="Z131" s="2140">
        <v>44727</v>
      </c>
      <c r="AA131" s="2140">
        <v>45820</v>
      </c>
      <c r="AB131" s="2109" t="s">
        <v>12119</v>
      </c>
      <c r="AC131" s="2109">
        <v>2023</v>
      </c>
      <c r="AD131" s="388">
        <v>2024</v>
      </c>
      <c r="AE131" s="388" t="s">
        <v>12123</v>
      </c>
    </row>
    <row r="132" spans="1:31" ht="15.75" thickBot="1">
      <c r="A132" s="2489">
        <v>44515</v>
      </c>
      <c r="B132" s="2492" t="s">
        <v>10382</v>
      </c>
      <c r="C132" s="2490" t="s">
        <v>69</v>
      </c>
      <c r="D132" s="2490" t="s">
        <v>70</v>
      </c>
      <c r="E132" s="2491" t="s">
        <v>10383</v>
      </c>
      <c r="F132" s="2490">
        <v>4</v>
      </c>
      <c r="G132" s="2492" t="s">
        <v>10398</v>
      </c>
      <c r="H132" s="2490"/>
      <c r="I132" s="2490" t="s">
        <v>4271</v>
      </c>
      <c r="J132" s="2490"/>
      <c r="K132" s="2493">
        <v>55224</v>
      </c>
      <c r="L132" s="2490" t="s">
        <v>251</v>
      </c>
      <c r="M132" s="2489">
        <v>44525</v>
      </c>
      <c r="N132" s="2489">
        <v>44566</v>
      </c>
      <c r="O132" s="2490"/>
      <c r="P132" s="2495" t="s">
        <v>4505</v>
      </c>
      <c r="Q132" s="2490"/>
      <c r="R132" s="2493"/>
      <c r="S132" s="2493"/>
      <c r="T132" s="2494"/>
      <c r="U132" s="2494"/>
      <c r="V132" s="2494"/>
      <c r="W132" s="2493"/>
      <c r="X132" s="2493"/>
      <c r="Y132" s="2490"/>
      <c r="Z132" s="2130">
        <v>44650</v>
      </c>
      <c r="AA132" s="2492" t="s">
        <v>11197</v>
      </c>
      <c r="AB132" s="2490"/>
      <c r="AC132" s="2490"/>
    </row>
    <row r="133" spans="1:31" ht="15.75" thickTop="1">
      <c r="A133" s="2140">
        <v>44519</v>
      </c>
      <c r="B133" s="2143" t="s">
        <v>10392</v>
      </c>
      <c r="C133" s="2141" t="s">
        <v>14</v>
      </c>
      <c r="D133" s="2141" t="s">
        <v>13</v>
      </c>
      <c r="E133" s="2142" t="s">
        <v>10393</v>
      </c>
      <c r="F133" s="2141"/>
      <c r="G133" s="2143"/>
      <c r="H133" s="2141"/>
      <c r="I133" s="2141" t="s">
        <v>848</v>
      </c>
      <c r="J133" s="2141" t="s">
        <v>10394</v>
      </c>
      <c r="K133" s="2144">
        <v>1470000</v>
      </c>
      <c r="L133" s="2141" t="s">
        <v>112</v>
      </c>
      <c r="M133" s="2140">
        <v>44529</v>
      </c>
      <c r="N133" s="2140">
        <v>44538</v>
      </c>
      <c r="O133" s="2140">
        <v>44546</v>
      </c>
      <c r="P133" s="2143" t="s">
        <v>1990</v>
      </c>
      <c r="Q133" s="2141"/>
      <c r="R133" s="2144">
        <v>1336800</v>
      </c>
      <c r="S133" s="2144">
        <v>1617528</v>
      </c>
      <c r="T133" s="2145"/>
      <c r="U133" s="2145"/>
      <c r="V133" s="2145"/>
      <c r="W133" s="2146">
        <v>44547</v>
      </c>
      <c r="X133" s="2144" t="s">
        <v>10607</v>
      </c>
      <c r="Y133" s="2140">
        <v>44566</v>
      </c>
      <c r="Z133" s="2140">
        <v>44567</v>
      </c>
      <c r="AA133" s="2140">
        <v>44930</v>
      </c>
      <c r="AB133" s="2464">
        <v>44655</v>
      </c>
      <c r="AC133" s="2106"/>
    </row>
    <row r="134" spans="1:31">
      <c r="A134" s="2140">
        <v>44524</v>
      </c>
      <c r="B134" s="2143" t="s">
        <v>10468</v>
      </c>
      <c r="C134" s="2141" t="s">
        <v>2111</v>
      </c>
      <c r="D134" s="2141" t="s">
        <v>9080</v>
      </c>
      <c r="E134" s="2142" t="s">
        <v>7696</v>
      </c>
      <c r="F134" s="2141"/>
      <c r="G134" s="2143"/>
      <c r="H134" s="2141"/>
      <c r="I134" s="2141" t="s">
        <v>7697</v>
      </c>
      <c r="J134" s="2141"/>
      <c r="K134" s="2144">
        <v>780000</v>
      </c>
      <c r="L134" s="2141" t="s">
        <v>112</v>
      </c>
      <c r="M134" s="2140">
        <v>44532</v>
      </c>
      <c r="N134" s="2140">
        <v>44538</v>
      </c>
      <c r="O134" s="2140">
        <v>44545</v>
      </c>
      <c r="P134" s="2143" t="s">
        <v>10569</v>
      </c>
      <c r="Q134" s="2141"/>
      <c r="R134" s="2144">
        <v>509400</v>
      </c>
      <c r="S134" s="2144">
        <v>616374</v>
      </c>
      <c r="T134" s="2145"/>
      <c r="U134" s="2145"/>
      <c r="V134" s="2145"/>
      <c r="W134" s="2146">
        <v>44545</v>
      </c>
      <c r="X134" s="2144" t="s">
        <v>10570</v>
      </c>
      <c r="Y134" s="2140">
        <v>44565</v>
      </c>
      <c r="Z134" s="2140">
        <v>44567</v>
      </c>
      <c r="AA134" s="2140">
        <v>44579</v>
      </c>
      <c r="AB134" s="2140">
        <v>44762</v>
      </c>
      <c r="AC134" s="2106"/>
    </row>
    <row r="135" spans="1:31">
      <c r="A135" s="2140">
        <v>44512</v>
      </c>
      <c r="B135" s="2143" t="s">
        <v>10406</v>
      </c>
      <c r="C135" s="2141" t="s">
        <v>4997</v>
      </c>
      <c r="D135" s="2141" t="s">
        <v>7475</v>
      </c>
      <c r="E135" s="2142" t="s">
        <v>10407</v>
      </c>
      <c r="F135" s="2141"/>
      <c r="G135" s="2143"/>
      <c r="H135" s="2141"/>
      <c r="I135" s="2141" t="s">
        <v>1676</v>
      </c>
      <c r="J135" s="2141"/>
      <c r="K135" s="2144">
        <v>350000</v>
      </c>
      <c r="L135" s="2141" t="s">
        <v>112</v>
      </c>
      <c r="M135" s="2140">
        <v>44526</v>
      </c>
      <c r="N135" s="2140">
        <v>44536</v>
      </c>
      <c r="O135" s="2140">
        <v>44546</v>
      </c>
      <c r="P135" s="2143" t="s">
        <v>8953</v>
      </c>
      <c r="Q135" s="2141"/>
      <c r="R135" s="2144">
        <v>322050.71000000002</v>
      </c>
      <c r="S135" s="2144">
        <v>389681.36</v>
      </c>
      <c r="T135" s="2145"/>
      <c r="U135" s="2145"/>
      <c r="V135" s="2145"/>
      <c r="W135" s="2146">
        <v>44546</v>
      </c>
      <c r="X135" s="2144" t="s">
        <v>10594</v>
      </c>
      <c r="Y135" s="2140">
        <v>44567</v>
      </c>
      <c r="Z135" s="2140">
        <v>44571</v>
      </c>
      <c r="AA135" s="2141"/>
      <c r="AB135" s="2140">
        <v>44684</v>
      </c>
      <c r="AC135" s="2106"/>
    </row>
    <row r="136" spans="1:31">
      <c r="A136" s="416">
        <v>44475</v>
      </c>
      <c r="B136" s="630" t="s">
        <v>10411</v>
      </c>
      <c r="C136" s="411" t="s">
        <v>58</v>
      </c>
      <c r="D136" s="411" t="s">
        <v>4969</v>
      </c>
      <c r="E136" s="412" t="s">
        <v>10412</v>
      </c>
      <c r="F136" s="411"/>
      <c r="G136" s="630"/>
      <c r="H136" s="411"/>
      <c r="I136" s="411" t="s">
        <v>9541</v>
      </c>
      <c r="J136" s="411" t="s">
        <v>10413</v>
      </c>
      <c r="K136" s="417">
        <v>59000</v>
      </c>
      <c r="L136" s="411" t="s">
        <v>112</v>
      </c>
      <c r="M136" s="416">
        <v>44530</v>
      </c>
      <c r="N136" s="416">
        <v>44540</v>
      </c>
      <c r="O136" s="416">
        <v>44546</v>
      </c>
      <c r="P136" s="630" t="s">
        <v>10552</v>
      </c>
      <c r="Q136" s="411"/>
      <c r="R136" s="417">
        <v>58970</v>
      </c>
      <c r="S136" s="417">
        <v>71357.7</v>
      </c>
      <c r="T136" s="1480"/>
      <c r="U136" s="1480"/>
      <c r="V136" s="1480"/>
      <c r="W136" s="513">
        <v>44546</v>
      </c>
      <c r="X136" s="417" t="s">
        <v>10598</v>
      </c>
      <c r="Y136" s="416">
        <v>44585</v>
      </c>
      <c r="Z136" s="416">
        <v>44586</v>
      </c>
      <c r="AA136" s="416">
        <v>44641</v>
      </c>
      <c r="AB136" s="416">
        <v>44718</v>
      </c>
      <c r="AC136" s="967"/>
    </row>
    <row r="137" spans="1:31" ht="30">
      <c r="A137" s="2515" t="s">
        <v>3585</v>
      </c>
      <c r="B137" s="2646" t="s">
        <v>10421</v>
      </c>
      <c r="C137" s="2515" t="s">
        <v>2434</v>
      </c>
      <c r="D137" s="2515" t="s">
        <v>3204</v>
      </c>
      <c r="E137" s="175" t="s">
        <v>10422</v>
      </c>
      <c r="F137" s="2515"/>
      <c r="G137" s="2516"/>
      <c r="H137" s="2515"/>
      <c r="I137" s="2515" t="s">
        <v>642</v>
      </c>
      <c r="J137" s="2515"/>
      <c r="K137" s="364">
        <v>335440</v>
      </c>
      <c r="L137" s="2515" t="s">
        <v>112</v>
      </c>
      <c r="M137" s="365">
        <v>44536</v>
      </c>
      <c r="N137" s="365">
        <v>44543</v>
      </c>
      <c r="O137" s="365">
        <v>44546</v>
      </c>
      <c r="P137" s="2516" t="s">
        <v>3332</v>
      </c>
      <c r="Q137" s="2515"/>
      <c r="R137" s="364">
        <v>365897.6</v>
      </c>
      <c r="S137" s="364">
        <v>442736.1</v>
      </c>
      <c r="T137" s="1473"/>
      <c r="U137" s="1473"/>
      <c r="V137" s="1473"/>
      <c r="W137" s="681">
        <v>44547</v>
      </c>
      <c r="X137" s="1417" t="s">
        <v>10608</v>
      </c>
      <c r="Y137" s="365">
        <v>44564</v>
      </c>
      <c r="Z137" s="365">
        <v>44566</v>
      </c>
      <c r="AA137" s="365">
        <v>45659</v>
      </c>
      <c r="AB137" s="451" t="s">
        <v>10647</v>
      </c>
      <c r="AC137" s="451">
        <v>2023</v>
      </c>
      <c r="AD137" s="388">
        <v>2024</v>
      </c>
      <c r="AE137" s="388" t="s">
        <v>10648</v>
      </c>
    </row>
    <row r="138" spans="1:31">
      <c r="A138" s="2140">
        <v>44525</v>
      </c>
      <c r="B138" s="2143" t="s">
        <v>10426</v>
      </c>
      <c r="C138" s="2141" t="s">
        <v>52</v>
      </c>
      <c r="D138" s="2141" t="s">
        <v>5894</v>
      </c>
      <c r="E138" s="2142" t="s">
        <v>10427</v>
      </c>
      <c r="F138" s="2141"/>
      <c r="G138" s="2143"/>
      <c r="H138" s="2141"/>
      <c r="I138" s="2141" t="s">
        <v>10428</v>
      </c>
      <c r="J138" s="2141" t="s">
        <v>9196</v>
      </c>
      <c r="K138" s="2144">
        <v>35000000</v>
      </c>
      <c r="L138" s="2141" t="s">
        <v>216</v>
      </c>
      <c r="M138" s="2140">
        <v>44530</v>
      </c>
      <c r="N138" s="2140">
        <v>44547</v>
      </c>
      <c r="O138" s="2140">
        <v>44574</v>
      </c>
      <c r="P138" s="2143" t="s">
        <v>10627</v>
      </c>
      <c r="Q138" s="2141"/>
      <c r="R138" s="2144">
        <v>35695845.399999999</v>
      </c>
      <c r="S138" s="2144">
        <v>43191972.93</v>
      </c>
      <c r="T138" s="2145"/>
      <c r="U138" s="2145"/>
      <c r="V138" s="2145"/>
      <c r="W138" s="2146">
        <v>44574</v>
      </c>
      <c r="X138" s="2144" t="s">
        <v>10725</v>
      </c>
      <c r="Y138" s="2140">
        <v>44615</v>
      </c>
      <c r="Z138" s="2140">
        <v>44630</v>
      </c>
      <c r="AA138" s="2141"/>
      <c r="AB138" s="2464">
        <v>44865</v>
      </c>
      <c r="AC138" s="2106"/>
    </row>
    <row r="139" spans="1:31">
      <c r="A139" s="2140">
        <v>44525</v>
      </c>
      <c r="B139" s="2143" t="s">
        <v>10431</v>
      </c>
      <c r="C139" s="2141" t="s">
        <v>2111</v>
      </c>
      <c r="D139" s="2141" t="s">
        <v>9080</v>
      </c>
      <c r="E139" s="2142" t="s">
        <v>10432</v>
      </c>
      <c r="F139" s="2141"/>
      <c r="G139" s="2143"/>
      <c r="H139" s="2141"/>
      <c r="I139" s="2141" t="s">
        <v>2113</v>
      </c>
      <c r="J139" s="2141"/>
      <c r="K139" s="2144">
        <v>1100000</v>
      </c>
      <c r="L139" s="2141" t="s">
        <v>112</v>
      </c>
      <c r="M139" s="2140">
        <v>44526</v>
      </c>
      <c r="N139" s="2140">
        <v>44547</v>
      </c>
      <c r="O139" s="2140">
        <v>44602</v>
      </c>
      <c r="P139" s="2143" t="s">
        <v>11036</v>
      </c>
      <c r="Q139" s="2141"/>
      <c r="R139" s="2144">
        <v>898000</v>
      </c>
      <c r="S139" s="2144">
        <v>1086580</v>
      </c>
      <c r="T139" s="2145"/>
      <c r="U139" s="2145"/>
      <c r="V139" s="2145"/>
      <c r="W139" s="2146">
        <v>44602</v>
      </c>
      <c r="X139" s="2144" t="s">
        <v>11037</v>
      </c>
      <c r="Y139" s="2140">
        <v>44614</v>
      </c>
      <c r="Z139" s="2140">
        <v>44615</v>
      </c>
      <c r="AA139" s="2140">
        <v>44684</v>
      </c>
      <c r="AB139" s="2109"/>
      <c r="AC139" s="2106"/>
    </row>
    <row r="140" spans="1:31" ht="30.75" thickBot="1">
      <c r="A140" s="2117">
        <v>44516</v>
      </c>
      <c r="B140" s="2120" t="s">
        <v>10469</v>
      </c>
      <c r="C140" s="2118" t="s">
        <v>2434</v>
      </c>
      <c r="D140" s="2118" t="s">
        <v>3204</v>
      </c>
      <c r="E140" s="2119" t="s">
        <v>10470</v>
      </c>
      <c r="F140" s="2118"/>
      <c r="G140" s="2120"/>
      <c r="H140" s="2118"/>
      <c r="I140" s="2118" t="s">
        <v>642</v>
      </c>
      <c r="J140" s="2118"/>
      <c r="K140" s="2121">
        <v>5986475</v>
      </c>
      <c r="L140" s="2118" t="s">
        <v>251</v>
      </c>
      <c r="M140" s="2117">
        <v>44532</v>
      </c>
      <c r="N140" s="2117">
        <v>44565</v>
      </c>
      <c r="O140" s="2117">
        <v>44594</v>
      </c>
      <c r="P140" s="2120" t="s">
        <v>8793</v>
      </c>
      <c r="Q140" s="2118"/>
      <c r="R140" s="2121">
        <v>5986474.5</v>
      </c>
      <c r="S140" s="2121">
        <v>7243634.2999999998</v>
      </c>
      <c r="T140" s="2122"/>
      <c r="U140" s="2122"/>
      <c r="V140" s="2122"/>
      <c r="W140" s="2123">
        <v>44594</v>
      </c>
      <c r="X140" s="2246" t="s">
        <v>10937</v>
      </c>
      <c r="Y140" s="2117">
        <v>44616</v>
      </c>
      <c r="Z140" s="2117">
        <v>44621</v>
      </c>
      <c r="AA140" s="2117">
        <v>45711</v>
      </c>
      <c r="AB140" s="2110" t="s">
        <v>11148</v>
      </c>
      <c r="AC140" s="2110">
        <v>2023</v>
      </c>
      <c r="AD140" s="388">
        <v>2024</v>
      </c>
      <c r="AE140" s="388" t="s">
        <v>11149</v>
      </c>
    </row>
    <row r="141" spans="1:31" ht="15.75" thickTop="1">
      <c r="A141" s="443">
        <v>44524</v>
      </c>
      <c r="B141" s="1431" t="s">
        <v>10447</v>
      </c>
      <c r="C141" s="439" t="s">
        <v>69</v>
      </c>
      <c r="D141" s="439" t="s">
        <v>70</v>
      </c>
      <c r="E141" s="440" t="s">
        <v>10448</v>
      </c>
      <c r="F141" s="439">
        <v>1</v>
      </c>
      <c r="G141" s="1431" t="s">
        <v>10449</v>
      </c>
      <c r="H141" s="439"/>
      <c r="I141" s="439" t="s">
        <v>93</v>
      </c>
      <c r="J141" s="439"/>
      <c r="K141" s="444">
        <v>2227932</v>
      </c>
      <c r="L141" s="439" t="s">
        <v>251</v>
      </c>
      <c r="M141" s="443">
        <v>44536</v>
      </c>
      <c r="N141" s="443">
        <v>44581</v>
      </c>
      <c r="O141" s="439"/>
      <c r="P141" s="753" t="s">
        <v>4505</v>
      </c>
      <c r="Q141" s="439"/>
      <c r="R141" s="444"/>
      <c r="S141" s="444"/>
      <c r="T141" s="1481"/>
      <c r="U141" s="1481"/>
      <c r="V141" s="1481"/>
      <c r="W141" s="444"/>
      <c r="X141" s="444"/>
      <c r="Y141" s="439"/>
      <c r="Z141" s="443">
        <v>44671</v>
      </c>
      <c r="AA141" s="1431" t="s">
        <v>11458</v>
      </c>
      <c r="AB141" s="439"/>
      <c r="AC141" s="439"/>
    </row>
    <row r="142" spans="1:31">
      <c r="A142" s="2140">
        <v>44524</v>
      </c>
      <c r="B142" s="2143" t="s">
        <v>10447</v>
      </c>
      <c r="C142" s="2141" t="s">
        <v>69</v>
      </c>
      <c r="D142" s="2141" t="s">
        <v>70</v>
      </c>
      <c r="E142" s="2142" t="s">
        <v>10448</v>
      </c>
      <c r="F142" s="2141">
        <v>2</v>
      </c>
      <c r="G142" s="2143" t="s">
        <v>10450</v>
      </c>
      <c r="H142" s="2141"/>
      <c r="I142" s="2141" t="s">
        <v>93</v>
      </c>
      <c r="J142" s="2141"/>
      <c r="K142" s="2144">
        <v>8217507</v>
      </c>
      <c r="L142" s="2141" t="s">
        <v>251</v>
      </c>
      <c r="M142" s="2140">
        <v>44536</v>
      </c>
      <c r="N142" s="2140">
        <v>44581</v>
      </c>
      <c r="O142" s="2140">
        <v>44628</v>
      </c>
      <c r="P142" s="2143" t="s">
        <v>576</v>
      </c>
      <c r="Q142" s="2141"/>
      <c r="R142" s="2144">
        <v>8217506.7000000002</v>
      </c>
      <c r="S142" s="2144">
        <v>9039257.3699999992</v>
      </c>
      <c r="T142" s="2145"/>
      <c r="U142" s="2145"/>
      <c r="V142" s="2145"/>
      <c r="W142" s="2146">
        <v>44628</v>
      </c>
      <c r="X142" s="2144" t="s">
        <v>11282</v>
      </c>
      <c r="Y142" s="2140">
        <v>44663</v>
      </c>
      <c r="Z142" s="2140">
        <v>44671</v>
      </c>
      <c r="AA142" s="2140">
        <v>45758</v>
      </c>
      <c r="AB142" s="2109" t="s">
        <v>11577</v>
      </c>
      <c r="AC142" s="2109">
        <v>2023</v>
      </c>
      <c r="AD142" s="388">
        <v>2024</v>
      </c>
      <c r="AE142" s="388" t="s">
        <v>11578</v>
      </c>
    </row>
    <row r="143" spans="1:31">
      <c r="A143" s="2140">
        <v>44524</v>
      </c>
      <c r="B143" s="2143" t="s">
        <v>10447</v>
      </c>
      <c r="C143" s="2141" t="s">
        <v>69</v>
      </c>
      <c r="D143" s="2141" t="s">
        <v>70</v>
      </c>
      <c r="E143" s="2142" t="s">
        <v>10448</v>
      </c>
      <c r="F143" s="2141">
        <v>3</v>
      </c>
      <c r="G143" s="2143" t="s">
        <v>10451</v>
      </c>
      <c r="H143" s="2141"/>
      <c r="I143" s="2141" t="s">
        <v>93</v>
      </c>
      <c r="J143" s="2141"/>
      <c r="K143" s="2144">
        <v>28045433</v>
      </c>
      <c r="L143" s="2141" t="s">
        <v>251</v>
      </c>
      <c r="M143" s="2140">
        <v>44536</v>
      </c>
      <c r="N143" s="2140">
        <v>44581</v>
      </c>
      <c r="O143" s="2140">
        <v>44628</v>
      </c>
      <c r="P143" s="2143" t="s">
        <v>576</v>
      </c>
      <c r="Q143" s="2141"/>
      <c r="R143" s="2144">
        <v>24344919.300000001</v>
      </c>
      <c r="S143" s="2144">
        <v>26779411.23</v>
      </c>
      <c r="T143" s="2145"/>
      <c r="U143" s="2145"/>
      <c r="V143" s="2145"/>
      <c r="W143" s="2146">
        <v>44628</v>
      </c>
      <c r="X143" s="2144" t="s">
        <v>11283</v>
      </c>
      <c r="Y143" s="2140">
        <v>44663</v>
      </c>
      <c r="Z143" s="2140">
        <v>44671</v>
      </c>
      <c r="AA143" s="2140">
        <v>45758</v>
      </c>
      <c r="AB143" s="2109" t="s">
        <v>11577</v>
      </c>
      <c r="AC143" s="2109">
        <v>2023</v>
      </c>
      <c r="AD143" s="388">
        <v>2024</v>
      </c>
      <c r="AE143" s="388" t="s">
        <v>11578</v>
      </c>
    </row>
    <row r="144" spans="1:31">
      <c r="A144" s="2140">
        <v>44524</v>
      </c>
      <c r="B144" s="2143" t="s">
        <v>10447</v>
      </c>
      <c r="C144" s="2141" t="s">
        <v>69</v>
      </c>
      <c r="D144" s="2141" t="s">
        <v>70</v>
      </c>
      <c r="E144" s="2142" t="s">
        <v>10448</v>
      </c>
      <c r="F144" s="2141">
        <v>4</v>
      </c>
      <c r="G144" s="2143" t="s">
        <v>10452</v>
      </c>
      <c r="H144" s="2141"/>
      <c r="I144" s="2141" t="s">
        <v>93</v>
      </c>
      <c r="J144" s="2141"/>
      <c r="K144" s="2144">
        <v>27775405</v>
      </c>
      <c r="L144" s="2141" t="s">
        <v>251</v>
      </c>
      <c r="M144" s="2140">
        <v>44536</v>
      </c>
      <c r="N144" s="2140">
        <v>44581</v>
      </c>
      <c r="O144" s="2140">
        <v>44628</v>
      </c>
      <c r="P144" s="2143" t="s">
        <v>578</v>
      </c>
      <c r="Q144" s="2141"/>
      <c r="R144" s="2144">
        <v>25872542.010000002</v>
      </c>
      <c r="S144" s="2144">
        <v>28459796.210000001</v>
      </c>
      <c r="T144" s="2145"/>
      <c r="U144" s="2145"/>
      <c r="V144" s="2145"/>
      <c r="W144" s="2146">
        <v>44628</v>
      </c>
      <c r="X144" s="2144" t="s">
        <v>11284</v>
      </c>
      <c r="Y144" s="2140">
        <v>44655</v>
      </c>
      <c r="Z144" s="2140">
        <v>44671</v>
      </c>
      <c r="AA144" s="2140">
        <v>45750</v>
      </c>
      <c r="AB144" s="2109" t="s">
        <v>11492</v>
      </c>
      <c r="AC144" s="2109">
        <v>2023</v>
      </c>
      <c r="AD144" s="388">
        <v>2024</v>
      </c>
      <c r="AE144" s="388" t="s">
        <v>11493</v>
      </c>
    </row>
    <row r="145" spans="1:34">
      <c r="A145" s="2140">
        <v>44524</v>
      </c>
      <c r="B145" s="2143" t="s">
        <v>10447</v>
      </c>
      <c r="C145" s="2141" t="s">
        <v>69</v>
      </c>
      <c r="D145" s="2141" t="s">
        <v>70</v>
      </c>
      <c r="E145" s="2142" t="s">
        <v>10448</v>
      </c>
      <c r="F145" s="2141">
        <v>5</v>
      </c>
      <c r="G145" s="2143" t="s">
        <v>10453</v>
      </c>
      <c r="H145" s="2085"/>
      <c r="I145" s="2141" t="s">
        <v>93</v>
      </c>
      <c r="J145" s="2141"/>
      <c r="K145" s="2144">
        <v>17089758</v>
      </c>
      <c r="L145" s="2141" t="s">
        <v>251</v>
      </c>
      <c r="M145" s="2140">
        <v>44536</v>
      </c>
      <c r="N145" s="2140">
        <v>44581</v>
      </c>
      <c r="O145" s="2140">
        <v>44628</v>
      </c>
      <c r="P145" s="2143" t="s">
        <v>1646</v>
      </c>
      <c r="Q145" s="2141"/>
      <c r="R145" s="2144">
        <v>15696147.6</v>
      </c>
      <c r="S145" s="2144">
        <v>17265762.359999999</v>
      </c>
      <c r="T145" s="2094"/>
      <c r="U145" s="2094"/>
      <c r="V145" s="2094"/>
      <c r="W145" s="2146">
        <v>44628</v>
      </c>
      <c r="X145" s="2144" t="s">
        <v>11285</v>
      </c>
      <c r="Y145" s="2140">
        <v>44670</v>
      </c>
      <c r="Z145" s="2140">
        <v>44671</v>
      </c>
      <c r="AA145" s="2140">
        <v>45765</v>
      </c>
      <c r="AB145" s="2109" t="s">
        <v>11595</v>
      </c>
      <c r="AC145" s="2109">
        <v>2023</v>
      </c>
      <c r="AD145" s="388">
        <v>2024</v>
      </c>
      <c r="AE145" s="388" t="s">
        <v>11598</v>
      </c>
    </row>
    <row r="146" spans="1:34">
      <c r="A146" s="2140">
        <v>44524</v>
      </c>
      <c r="B146" s="2143" t="s">
        <v>10447</v>
      </c>
      <c r="C146" s="2141" t="s">
        <v>69</v>
      </c>
      <c r="D146" s="2141" t="s">
        <v>70</v>
      </c>
      <c r="E146" s="2142" t="s">
        <v>10448</v>
      </c>
      <c r="F146" s="2141">
        <v>6</v>
      </c>
      <c r="G146" s="2143" t="s">
        <v>10454</v>
      </c>
      <c r="H146" s="2141"/>
      <c r="I146" s="2141" t="s">
        <v>93</v>
      </c>
      <c r="J146" s="2141"/>
      <c r="K146" s="2144">
        <v>12126777</v>
      </c>
      <c r="L146" s="2141" t="s">
        <v>251</v>
      </c>
      <c r="M146" s="2140">
        <v>44536</v>
      </c>
      <c r="N146" s="2140">
        <v>44581</v>
      </c>
      <c r="O146" s="2140">
        <v>44628</v>
      </c>
      <c r="P146" s="2143" t="s">
        <v>2518</v>
      </c>
      <c r="Q146" s="2141"/>
      <c r="R146" s="2144">
        <v>12126777</v>
      </c>
      <c r="S146" s="2144">
        <v>13339454.699999999</v>
      </c>
      <c r="T146" s="2145"/>
      <c r="U146" s="2145"/>
      <c r="V146" s="2145"/>
      <c r="W146" s="2146">
        <v>44628</v>
      </c>
      <c r="X146" s="2144" t="s">
        <v>11286</v>
      </c>
      <c r="Y146" s="2140">
        <v>44655</v>
      </c>
      <c r="Z146" s="2140">
        <v>44671</v>
      </c>
      <c r="AA146" s="2140">
        <v>45750</v>
      </c>
      <c r="AB146" s="2109" t="s">
        <v>11492</v>
      </c>
      <c r="AC146" s="2109">
        <v>2023</v>
      </c>
      <c r="AD146" s="388">
        <v>2024</v>
      </c>
      <c r="AE146" s="388" t="s">
        <v>11493</v>
      </c>
    </row>
    <row r="147" spans="1:34">
      <c r="A147" s="2140">
        <v>44524</v>
      </c>
      <c r="B147" s="2143" t="s">
        <v>10447</v>
      </c>
      <c r="C147" s="2141" t="s">
        <v>69</v>
      </c>
      <c r="D147" s="2141" t="s">
        <v>70</v>
      </c>
      <c r="E147" s="2142" t="s">
        <v>10448</v>
      </c>
      <c r="F147" s="2141">
        <v>7</v>
      </c>
      <c r="G147" s="2143" t="s">
        <v>10455</v>
      </c>
      <c r="H147" s="2141"/>
      <c r="I147" s="2141" t="s">
        <v>93</v>
      </c>
      <c r="J147" s="2141"/>
      <c r="K147" s="2144">
        <v>45734721</v>
      </c>
      <c r="L147" s="2141" t="s">
        <v>251</v>
      </c>
      <c r="M147" s="2140">
        <v>44536</v>
      </c>
      <c r="N147" s="2140">
        <v>44581</v>
      </c>
      <c r="O147" s="2140">
        <v>44628</v>
      </c>
      <c r="P147" s="2143" t="s">
        <v>2548</v>
      </c>
      <c r="Q147" s="2141"/>
      <c r="R147" s="2144">
        <v>45734720.039999999</v>
      </c>
      <c r="S147" s="2144">
        <v>50308192.039999999</v>
      </c>
      <c r="T147" s="2145"/>
      <c r="U147" s="2145"/>
      <c r="V147" s="2145"/>
      <c r="W147" s="2146">
        <v>44628</v>
      </c>
      <c r="X147" s="2144" t="s">
        <v>11287</v>
      </c>
      <c r="Y147" s="2140">
        <v>44698</v>
      </c>
      <c r="Z147" s="2140">
        <v>44701</v>
      </c>
      <c r="AA147" s="2140">
        <v>45793</v>
      </c>
      <c r="AB147" s="2109" t="s">
        <v>11902</v>
      </c>
      <c r="AC147" s="2109">
        <v>2023</v>
      </c>
      <c r="AD147" s="388">
        <v>2024</v>
      </c>
      <c r="AE147" s="388" t="s">
        <v>11930</v>
      </c>
    </row>
    <row r="148" spans="1:34" ht="15.75" thickBot="1">
      <c r="A148" s="2130">
        <v>44524</v>
      </c>
      <c r="B148" s="2133" t="s">
        <v>10447</v>
      </c>
      <c r="C148" s="2131" t="s">
        <v>69</v>
      </c>
      <c r="D148" s="2131" t="s">
        <v>70</v>
      </c>
      <c r="E148" s="2132" t="s">
        <v>10448</v>
      </c>
      <c r="F148" s="2131">
        <v>8</v>
      </c>
      <c r="G148" s="2133" t="s">
        <v>10456</v>
      </c>
      <c r="H148" s="2131"/>
      <c r="I148" s="2131" t="s">
        <v>93</v>
      </c>
      <c r="J148" s="2131"/>
      <c r="K148" s="2134">
        <v>13490912</v>
      </c>
      <c r="L148" s="2131" t="s">
        <v>251</v>
      </c>
      <c r="M148" s="2130">
        <v>44536</v>
      </c>
      <c r="N148" s="2130">
        <v>44581</v>
      </c>
      <c r="O148" s="2131"/>
      <c r="P148" s="2137" t="s">
        <v>304</v>
      </c>
      <c r="Q148" s="2131"/>
      <c r="R148" s="2134"/>
      <c r="S148" s="2134"/>
      <c r="T148" s="2135"/>
      <c r="U148" s="2135"/>
      <c r="V148" s="2135"/>
      <c r="W148" s="2134"/>
      <c r="X148" s="2134"/>
      <c r="Y148" s="2131"/>
      <c r="Z148" s="2130">
        <v>44671</v>
      </c>
      <c r="AA148" s="2133" t="s">
        <v>11458</v>
      </c>
      <c r="AB148" s="2131"/>
      <c r="AC148" s="2131"/>
    </row>
    <row r="149" spans="1:34" ht="15.75" thickTop="1">
      <c r="A149" s="474">
        <v>44524</v>
      </c>
      <c r="B149" s="1420" t="s">
        <v>10457</v>
      </c>
      <c r="C149" s="453" t="s">
        <v>69</v>
      </c>
      <c r="D149" s="453" t="s">
        <v>70</v>
      </c>
      <c r="E149" s="473" t="s">
        <v>10458</v>
      </c>
      <c r="F149" s="453">
        <v>1</v>
      </c>
      <c r="G149" s="1420" t="s">
        <v>10459</v>
      </c>
      <c r="H149" s="583"/>
      <c r="I149" s="453" t="s">
        <v>68</v>
      </c>
      <c r="J149" s="453"/>
      <c r="K149" s="457">
        <v>2605479</v>
      </c>
      <c r="L149" s="453" t="s">
        <v>251</v>
      </c>
      <c r="M149" s="474">
        <v>44532</v>
      </c>
      <c r="N149" s="474">
        <v>44608</v>
      </c>
      <c r="O149" s="474">
        <v>44638</v>
      </c>
      <c r="P149" s="1420" t="s">
        <v>576</v>
      </c>
      <c r="Q149" s="453"/>
      <c r="R149" s="457">
        <v>5063448.66</v>
      </c>
      <c r="S149" s="457">
        <v>5569793.5300000003</v>
      </c>
      <c r="T149" s="1483"/>
      <c r="U149" s="1483"/>
      <c r="V149" s="1483"/>
      <c r="W149" s="570">
        <v>44638</v>
      </c>
      <c r="X149" s="457" t="s">
        <v>11359</v>
      </c>
      <c r="Y149" s="474">
        <v>44670</v>
      </c>
      <c r="Z149" s="474">
        <v>44684</v>
      </c>
      <c r="AA149" s="474">
        <v>45765</v>
      </c>
      <c r="AB149" s="1391" t="s">
        <v>11599</v>
      </c>
      <c r="AC149" s="1391">
        <v>2023</v>
      </c>
      <c r="AD149" s="388">
        <v>2024</v>
      </c>
      <c r="AE149" s="388" t="s">
        <v>11598</v>
      </c>
    </row>
    <row r="150" spans="1:34">
      <c r="A150" s="2124">
        <v>44524</v>
      </c>
      <c r="B150" s="2127" t="s">
        <v>10457</v>
      </c>
      <c r="C150" s="2125" t="s">
        <v>69</v>
      </c>
      <c r="D150" s="2125" t="s">
        <v>70</v>
      </c>
      <c r="E150" s="2126" t="s">
        <v>10458</v>
      </c>
      <c r="F150" s="2125">
        <v>2</v>
      </c>
      <c r="G150" s="2127" t="s">
        <v>10460</v>
      </c>
      <c r="H150" s="2125"/>
      <c r="I150" s="2125" t="s">
        <v>68</v>
      </c>
      <c r="J150" s="2125"/>
      <c r="K150" s="2128">
        <v>7299480</v>
      </c>
      <c r="L150" s="2125" t="s">
        <v>251</v>
      </c>
      <c r="M150" s="2124">
        <v>44532</v>
      </c>
      <c r="N150" s="2124">
        <v>44608</v>
      </c>
      <c r="O150" s="2125"/>
      <c r="P150" s="2136" t="s">
        <v>4505</v>
      </c>
      <c r="Q150" s="2125"/>
      <c r="R150" s="2128"/>
      <c r="S150" s="2128"/>
      <c r="T150" s="2129"/>
      <c r="U150" s="2129"/>
      <c r="V150" s="2129"/>
      <c r="W150" s="2128"/>
      <c r="X150" s="2128"/>
      <c r="Y150" s="2125"/>
      <c r="Z150" s="2124">
        <v>44651</v>
      </c>
      <c r="AA150" s="2127" t="s">
        <v>11288</v>
      </c>
      <c r="AB150" s="2125"/>
      <c r="AC150" s="2125"/>
    </row>
    <row r="151" spans="1:34">
      <c r="A151" s="2140">
        <v>44524</v>
      </c>
      <c r="B151" s="2143" t="s">
        <v>10457</v>
      </c>
      <c r="C151" s="2141" t="s">
        <v>69</v>
      </c>
      <c r="D151" s="2141" t="s">
        <v>70</v>
      </c>
      <c r="E151" s="2142" t="s">
        <v>10458</v>
      </c>
      <c r="F151" s="2141">
        <v>3</v>
      </c>
      <c r="G151" s="2143" t="s">
        <v>10461</v>
      </c>
      <c r="H151" s="2141"/>
      <c r="I151" s="2141" t="s">
        <v>68</v>
      </c>
      <c r="J151" s="2141"/>
      <c r="K151" s="2144">
        <v>2022861</v>
      </c>
      <c r="L151" s="2141" t="s">
        <v>251</v>
      </c>
      <c r="M151" s="2140">
        <v>44532</v>
      </c>
      <c r="N151" s="2140">
        <v>44608</v>
      </c>
      <c r="O151" s="2140">
        <v>44638</v>
      </c>
      <c r="P151" s="2143" t="s">
        <v>2548</v>
      </c>
      <c r="Q151" s="2141"/>
      <c r="R151" s="2144">
        <v>2010543.3</v>
      </c>
      <c r="S151" s="2144">
        <v>2211597.63</v>
      </c>
      <c r="T151" s="2145"/>
      <c r="U151" s="2145"/>
      <c r="V151" s="2145"/>
      <c r="W151" s="2146">
        <v>44638</v>
      </c>
      <c r="X151" s="2144" t="s">
        <v>11360</v>
      </c>
      <c r="Y151" s="2140">
        <v>44698</v>
      </c>
      <c r="Z151" s="2140">
        <v>44701</v>
      </c>
      <c r="AA151" s="2140">
        <v>45793</v>
      </c>
      <c r="AB151" s="2109" t="s">
        <v>11902</v>
      </c>
      <c r="AC151" s="2109">
        <v>2023</v>
      </c>
      <c r="AD151" s="388">
        <v>2024</v>
      </c>
      <c r="AE151" s="388" t="s">
        <v>11930</v>
      </c>
    </row>
    <row r="152" spans="1:34">
      <c r="A152" s="2140">
        <v>44524</v>
      </c>
      <c r="B152" s="2143" t="s">
        <v>10457</v>
      </c>
      <c r="C152" s="2141" t="s">
        <v>69</v>
      </c>
      <c r="D152" s="2141" t="s">
        <v>70</v>
      </c>
      <c r="E152" s="2142" t="s">
        <v>10458</v>
      </c>
      <c r="F152" s="2141">
        <v>4</v>
      </c>
      <c r="G152" s="2143" t="s">
        <v>10462</v>
      </c>
      <c r="H152" s="2085"/>
      <c r="I152" s="2141" t="s">
        <v>68</v>
      </c>
      <c r="J152" s="2141"/>
      <c r="K152" s="2144">
        <v>518517</v>
      </c>
      <c r="L152" s="2141" t="s">
        <v>251</v>
      </c>
      <c r="M152" s="2140">
        <v>44532</v>
      </c>
      <c r="N152" s="2140">
        <v>44608</v>
      </c>
      <c r="O152" s="2140">
        <v>44638</v>
      </c>
      <c r="P152" s="2143" t="s">
        <v>576</v>
      </c>
      <c r="Q152" s="2141"/>
      <c r="R152" s="2144">
        <v>518516.76</v>
      </c>
      <c r="S152" s="2144">
        <v>570368.43999999994</v>
      </c>
      <c r="T152" s="2094"/>
      <c r="U152" s="2094"/>
      <c r="V152" s="2094"/>
      <c r="W152" s="2146">
        <v>44638</v>
      </c>
      <c r="X152" s="2144" t="s">
        <v>11361</v>
      </c>
      <c r="Y152" s="2140">
        <v>44670</v>
      </c>
      <c r="Z152" s="2140">
        <v>44684</v>
      </c>
      <c r="AA152" s="2140">
        <v>45765</v>
      </c>
      <c r="AB152" s="2109" t="s">
        <v>11599</v>
      </c>
      <c r="AC152" s="2109">
        <v>2023</v>
      </c>
      <c r="AD152" s="388">
        <v>2024</v>
      </c>
      <c r="AE152" s="388" t="s">
        <v>11598</v>
      </c>
    </row>
    <row r="153" spans="1:34" ht="15.75" thickBot="1">
      <c r="A153" s="2117">
        <v>44524</v>
      </c>
      <c r="B153" s="2120" t="s">
        <v>10457</v>
      </c>
      <c r="C153" s="2118" t="s">
        <v>69</v>
      </c>
      <c r="D153" s="2118" t="s">
        <v>70</v>
      </c>
      <c r="E153" s="2119" t="s">
        <v>10458</v>
      </c>
      <c r="F153" s="2118">
        <v>5</v>
      </c>
      <c r="G153" s="2120" t="s">
        <v>10463</v>
      </c>
      <c r="H153" s="2118"/>
      <c r="I153" s="2118" t="s">
        <v>68</v>
      </c>
      <c r="J153" s="2118"/>
      <c r="K153" s="2121">
        <v>55000062</v>
      </c>
      <c r="L153" s="2118" t="s">
        <v>251</v>
      </c>
      <c r="M153" s="2117">
        <v>44532</v>
      </c>
      <c r="N153" s="2117">
        <v>44608</v>
      </c>
      <c r="O153" s="2117">
        <v>44638</v>
      </c>
      <c r="P153" s="2120" t="s">
        <v>7327</v>
      </c>
      <c r="Q153" s="2118"/>
      <c r="R153" s="2121">
        <v>55000062</v>
      </c>
      <c r="S153" s="2121">
        <v>60500068.200000003</v>
      </c>
      <c r="T153" s="2122"/>
      <c r="U153" s="2122"/>
      <c r="V153" s="2122"/>
      <c r="W153" s="2123">
        <v>44638</v>
      </c>
      <c r="X153" s="2121" t="s">
        <v>11362</v>
      </c>
      <c r="Y153" s="2117">
        <v>44657</v>
      </c>
      <c r="Z153" s="2117">
        <v>44684</v>
      </c>
      <c r="AA153" s="2117">
        <v>45752</v>
      </c>
      <c r="AB153" s="2110" t="s">
        <v>11527</v>
      </c>
      <c r="AC153" s="2110">
        <v>2023</v>
      </c>
      <c r="AD153" s="388">
        <v>2024</v>
      </c>
      <c r="AE153" s="388" t="s">
        <v>11528</v>
      </c>
    </row>
    <row r="154" spans="1:34" ht="15.75" thickTop="1">
      <c r="A154" s="474">
        <v>44533</v>
      </c>
      <c r="B154" s="1420" t="s">
        <v>10531</v>
      </c>
      <c r="C154" s="453" t="s">
        <v>4997</v>
      </c>
      <c r="D154" s="453" t="s">
        <v>7475</v>
      </c>
      <c r="E154" s="473" t="s">
        <v>10530</v>
      </c>
      <c r="F154" s="453"/>
      <c r="G154" s="1420"/>
      <c r="H154" s="453"/>
      <c r="I154" s="453" t="s">
        <v>9928</v>
      </c>
      <c r="J154" s="453"/>
      <c r="K154" s="457">
        <v>500000</v>
      </c>
      <c r="L154" s="453" t="s">
        <v>112</v>
      </c>
      <c r="M154" s="474">
        <v>44544</v>
      </c>
      <c r="N154" s="474">
        <v>44559</v>
      </c>
      <c r="O154" s="474">
        <v>44573</v>
      </c>
      <c r="P154" s="1420" t="s">
        <v>8953</v>
      </c>
      <c r="Q154" s="453"/>
      <c r="R154" s="457">
        <v>422671.08</v>
      </c>
      <c r="S154" s="457">
        <v>511432.01</v>
      </c>
      <c r="T154" s="1474"/>
      <c r="U154" s="1474"/>
      <c r="V154" s="1474"/>
      <c r="W154" s="570">
        <v>44573</v>
      </c>
      <c r="X154" s="457" t="s">
        <v>10710</v>
      </c>
      <c r="Y154" s="474">
        <v>44601</v>
      </c>
      <c r="Z154" s="474">
        <v>44602</v>
      </c>
      <c r="AA154" s="453"/>
      <c r="AB154" s="1391"/>
      <c r="AC154" s="1393"/>
    </row>
    <row r="155" spans="1:34" ht="30">
      <c r="A155" s="2140">
        <v>44525</v>
      </c>
      <c r="B155" s="2143" t="s">
        <v>10471</v>
      </c>
      <c r="C155" s="2141" t="s">
        <v>2434</v>
      </c>
      <c r="D155" s="2141" t="s">
        <v>219</v>
      </c>
      <c r="E155" s="2142" t="s">
        <v>10473</v>
      </c>
      <c r="F155" s="2141"/>
      <c r="G155" s="2143"/>
      <c r="H155" s="2141"/>
      <c r="I155" s="2141" t="s">
        <v>3271</v>
      </c>
      <c r="J155" s="2141"/>
      <c r="K155" s="2144">
        <v>2549860</v>
      </c>
      <c r="L155" s="2141" t="s">
        <v>216</v>
      </c>
      <c r="M155" s="2140">
        <v>44532</v>
      </c>
      <c r="N155" s="2140">
        <v>44557</v>
      </c>
      <c r="O155" s="2140">
        <v>44581</v>
      </c>
      <c r="P155" s="2143" t="s">
        <v>5696</v>
      </c>
      <c r="Q155" s="2141"/>
      <c r="R155" s="2144">
        <v>2123130</v>
      </c>
      <c r="S155" s="2144">
        <v>2568987.2999999998</v>
      </c>
      <c r="T155" s="2145"/>
      <c r="U155" s="2145"/>
      <c r="V155" s="2145"/>
      <c r="W155" s="2146">
        <v>44581</v>
      </c>
      <c r="X155" s="2260" t="s">
        <v>10770</v>
      </c>
      <c r="Y155" s="2140">
        <v>44617</v>
      </c>
      <c r="Z155" s="2140">
        <v>44630</v>
      </c>
      <c r="AA155" s="2140">
        <v>45712</v>
      </c>
      <c r="AB155" s="2109" t="s">
        <v>11153</v>
      </c>
      <c r="AC155" s="2109">
        <v>2023</v>
      </c>
      <c r="AD155" s="388">
        <v>2024</v>
      </c>
      <c r="AE155" s="388" t="s">
        <v>6481</v>
      </c>
    </row>
    <row r="156" spans="1:34">
      <c r="A156" s="2141" t="s">
        <v>3585</v>
      </c>
      <c r="B156" s="2143" t="s">
        <v>10474</v>
      </c>
      <c r="C156" s="2141" t="s">
        <v>69</v>
      </c>
      <c r="D156" s="2141" t="s">
        <v>70</v>
      </c>
      <c r="E156" s="2142" t="s">
        <v>10472</v>
      </c>
      <c r="F156" s="2141"/>
      <c r="G156" s="2143"/>
      <c r="H156" s="2141"/>
      <c r="I156" s="2141" t="s">
        <v>42</v>
      </c>
      <c r="J156" s="2141"/>
      <c r="K156" s="2144">
        <v>4650131</v>
      </c>
      <c r="L156" s="2141" t="s">
        <v>251</v>
      </c>
      <c r="M156" s="2140">
        <v>44537</v>
      </c>
      <c r="N156" s="2140">
        <v>44575</v>
      </c>
      <c r="O156" s="2140">
        <v>44593</v>
      </c>
      <c r="P156" s="2143" t="s">
        <v>5471</v>
      </c>
      <c r="Q156" s="2141"/>
      <c r="R156" s="2144">
        <v>4576788.6399999997</v>
      </c>
      <c r="S156" s="2144">
        <v>5537914.2400000002</v>
      </c>
      <c r="T156" s="2145"/>
      <c r="U156" s="2145"/>
      <c r="V156" s="2145"/>
      <c r="W156" s="2146">
        <v>44593</v>
      </c>
      <c r="X156" s="2144" t="s">
        <v>10936</v>
      </c>
      <c r="Y156" s="2140">
        <v>44623</v>
      </c>
      <c r="Z156" s="2140">
        <v>44627</v>
      </c>
      <c r="AA156" s="2140">
        <v>45353</v>
      </c>
      <c r="AB156" s="2109" t="s">
        <v>11253</v>
      </c>
      <c r="AC156" s="2109">
        <v>2023</v>
      </c>
      <c r="AD156" s="388" t="s">
        <v>11255</v>
      </c>
    </row>
    <row r="157" spans="1:34">
      <c r="A157" s="2140">
        <v>44529</v>
      </c>
      <c r="B157" s="2143" t="s">
        <v>10483</v>
      </c>
      <c r="C157" s="2141" t="s">
        <v>69</v>
      </c>
      <c r="D157" s="2141" t="s">
        <v>70</v>
      </c>
      <c r="E157" s="2142" t="s">
        <v>10484</v>
      </c>
      <c r="F157" s="2141"/>
      <c r="G157" s="2143"/>
      <c r="H157" s="2141"/>
      <c r="I157" s="2141" t="s">
        <v>72</v>
      </c>
      <c r="J157" s="2141"/>
      <c r="K157" s="2144">
        <v>32332000</v>
      </c>
      <c r="L157" s="2141" t="s">
        <v>645</v>
      </c>
      <c r="M157" s="2140">
        <v>44533</v>
      </c>
      <c r="N157" s="2140">
        <v>44566</v>
      </c>
      <c r="O157" s="2140">
        <v>44573</v>
      </c>
      <c r="P157" s="2143" t="s">
        <v>10689</v>
      </c>
      <c r="Q157" s="2141"/>
      <c r="R157" s="2144">
        <v>32332000</v>
      </c>
      <c r="S157" s="2144">
        <v>35565200</v>
      </c>
      <c r="T157" s="2145"/>
      <c r="U157" s="2145"/>
      <c r="V157" s="2145"/>
      <c r="W157" s="2146">
        <v>44573</v>
      </c>
      <c r="X157" s="2144" t="s">
        <v>10711</v>
      </c>
      <c r="Y157" s="2140">
        <v>44608</v>
      </c>
      <c r="Z157" s="2140">
        <v>44622</v>
      </c>
      <c r="AA157" s="2140">
        <v>44972</v>
      </c>
      <c r="AB157" s="2109" t="s">
        <v>11091</v>
      </c>
      <c r="AC157" s="2109" t="s">
        <v>11092</v>
      </c>
    </row>
    <row r="158" spans="1:34" ht="15.75" thickBot="1">
      <c r="A158" s="416">
        <v>44530</v>
      </c>
      <c r="B158" s="630" t="s">
        <v>10477</v>
      </c>
      <c r="C158" s="411" t="s">
        <v>69</v>
      </c>
      <c r="D158" s="411" t="s">
        <v>70</v>
      </c>
      <c r="E158" s="412" t="s">
        <v>10478</v>
      </c>
      <c r="F158" s="411"/>
      <c r="G158" s="630"/>
      <c r="H158" s="2141"/>
      <c r="I158" s="411" t="s">
        <v>42</v>
      </c>
      <c r="J158" s="411"/>
      <c r="K158" s="417">
        <v>11814000</v>
      </c>
      <c r="L158" s="411" t="s">
        <v>251</v>
      </c>
      <c r="M158" s="416">
        <v>44547</v>
      </c>
      <c r="N158" s="416">
        <v>44581</v>
      </c>
      <c r="O158" s="416">
        <v>44634</v>
      </c>
      <c r="P158" s="630" t="s">
        <v>2525</v>
      </c>
      <c r="Q158" s="411"/>
      <c r="R158" s="417">
        <v>11618568.6</v>
      </c>
      <c r="S158" s="417">
        <v>14058468</v>
      </c>
      <c r="T158" s="2145"/>
      <c r="U158" s="2145"/>
      <c r="V158" s="2145"/>
      <c r="W158" s="513">
        <v>44634</v>
      </c>
      <c r="X158" s="417" t="s">
        <v>11330</v>
      </c>
      <c r="Y158" s="416">
        <v>44664</v>
      </c>
      <c r="Z158" s="416">
        <v>44670</v>
      </c>
      <c r="AA158" s="411"/>
      <c r="AB158" s="422" t="s">
        <v>11577</v>
      </c>
      <c r="AC158" s="422">
        <v>2023</v>
      </c>
      <c r="AD158" s="388">
        <v>2024</v>
      </c>
      <c r="AE158" s="388">
        <v>2025</v>
      </c>
      <c r="AF158" s="388">
        <v>2026</v>
      </c>
      <c r="AG158" s="388">
        <v>2027</v>
      </c>
      <c r="AH158" s="388">
        <v>2028</v>
      </c>
    </row>
    <row r="159" spans="1:34" ht="15.75" thickTop="1">
      <c r="A159" s="474">
        <v>44501</v>
      </c>
      <c r="B159" s="1420" t="s">
        <v>10500</v>
      </c>
      <c r="C159" s="453" t="s">
        <v>2434</v>
      </c>
      <c r="D159" s="453" t="s">
        <v>219</v>
      </c>
      <c r="E159" s="473" t="s">
        <v>9598</v>
      </c>
      <c r="F159" s="453">
        <v>1</v>
      </c>
      <c r="G159" s="1420" t="s">
        <v>10501</v>
      </c>
      <c r="H159" s="2141"/>
      <c r="I159" s="453" t="s">
        <v>9602</v>
      </c>
      <c r="J159" s="453"/>
      <c r="K159" s="457">
        <v>1154583</v>
      </c>
      <c r="L159" s="453" t="s">
        <v>251</v>
      </c>
      <c r="M159" s="474">
        <v>44539</v>
      </c>
      <c r="N159" s="474">
        <v>44578</v>
      </c>
      <c r="O159" s="474">
        <v>44627</v>
      </c>
      <c r="P159" s="1420" t="s">
        <v>4692</v>
      </c>
      <c r="Q159" s="453"/>
      <c r="R159" s="457">
        <v>1145774</v>
      </c>
      <c r="S159" s="457">
        <v>1317640.1000000001</v>
      </c>
      <c r="T159" s="2145"/>
      <c r="U159" s="2145"/>
      <c r="V159" s="2145"/>
      <c r="W159" s="570">
        <v>44628</v>
      </c>
      <c r="X159" s="457" t="s">
        <v>11278</v>
      </c>
      <c r="Y159" s="474">
        <v>44656</v>
      </c>
      <c r="Z159" s="474">
        <v>44659</v>
      </c>
      <c r="AA159" s="474">
        <v>45751</v>
      </c>
      <c r="AB159" s="1391" t="s">
        <v>11516</v>
      </c>
      <c r="AC159" s="1391">
        <v>2023</v>
      </c>
      <c r="AD159" s="388">
        <v>2024</v>
      </c>
      <c r="AE159" s="388" t="s">
        <v>11517</v>
      </c>
    </row>
    <row r="160" spans="1:34" ht="30">
      <c r="A160" s="2140" t="s">
        <v>3585</v>
      </c>
      <c r="B160" s="2143" t="s">
        <v>10500</v>
      </c>
      <c r="C160" s="2141" t="s">
        <v>2434</v>
      </c>
      <c r="D160" s="2141" t="s">
        <v>219</v>
      </c>
      <c r="E160" s="2142" t="s">
        <v>9598</v>
      </c>
      <c r="F160" s="2141">
        <v>2</v>
      </c>
      <c r="G160" s="2143" t="s">
        <v>9598</v>
      </c>
      <c r="H160" s="2141"/>
      <c r="I160" s="2141" t="s">
        <v>9602</v>
      </c>
      <c r="J160" s="2141"/>
      <c r="K160" s="2144">
        <v>89870</v>
      </c>
      <c r="L160" s="2141" t="s">
        <v>251</v>
      </c>
      <c r="M160" s="2140">
        <v>44539</v>
      </c>
      <c r="N160" s="2140">
        <v>44578</v>
      </c>
      <c r="O160" s="2140">
        <v>44627</v>
      </c>
      <c r="P160" s="2143" t="s">
        <v>4894</v>
      </c>
      <c r="Q160" s="2141"/>
      <c r="R160" s="2144">
        <v>89870</v>
      </c>
      <c r="S160" s="2144">
        <v>103350.3</v>
      </c>
      <c r="T160" s="2145"/>
      <c r="U160" s="2145"/>
      <c r="V160" s="2145"/>
      <c r="W160" s="2146">
        <v>44628</v>
      </c>
      <c r="X160" s="2260" t="s">
        <v>11279</v>
      </c>
      <c r="Y160" s="2140">
        <v>44774</v>
      </c>
      <c r="Z160" s="2140">
        <v>44802</v>
      </c>
      <c r="AA160" s="2140">
        <v>45869</v>
      </c>
      <c r="AB160" s="2109" t="s">
        <v>12614</v>
      </c>
      <c r="AC160" s="2109">
        <v>2023</v>
      </c>
      <c r="AD160" s="388">
        <v>2024</v>
      </c>
      <c r="AE160" s="388" t="s">
        <v>12615</v>
      </c>
    </row>
    <row r="161" spans="1:31" ht="30">
      <c r="A161" s="2140" t="s">
        <v>3585</v>
      </c>
      <c r="B161" s="2143" t="s">
        <v>10500</v>
      </c>
      <c r="C161" s="2141" t="s">
        <v>2434</v>
      </c>
      <c r="D161" s="2141" t="s">
        <v>219</v>
      </c>
      <c r="E161" s="2142" t="s">
        <v>9598</v>
      </c>
      <c r="F161" s="2141">
        <v>3</v>
      </c>
      <c r="G161" s="2143" t="s">
        <v>9599</v>
      </c>
      <c r="H161" s="2141"/>
      <c r="I161" s="2141" t="s">
        <v>9602</v>
      </c>
      <c r="J161" s="2141"/>
      <c r="K161" s="2144">
        <v>1827770</v>
      </c>
      <c r="L161" s="2141" t="s">
        <v>251</v>
      </c>
      <c r="M161" s="2140">
        <v>44539</v>
      </c>
      <c r="N161" s="2140">
        <v>44578</v>
      </c>
      <c r="O161" s="2140">
        <v>44627</v>
      </c>
      <c r="P161" s="2143" t="s">
        <v>4894</v>
      </c>
      <c r="Q161" s="2141"/>
      <c r="R161" s="2144">
        <v>1872770</v>
      </c>
      <c r="S161" s="2144">
        <v>2153685.5</v>
      </c>
      <c r="T161" s="2145"/>
      <c r="U161" s="2145"/>
      <c r="V161" s="2145"/>
      <c r="W161" s="2146">
        <v>44628</v>
      </c>
      <c r="X161" s="2260" t="s">
        <v>11280</v>
      </c>
      <c r="Y161" s="2140">
        <v>44774</v>
      </c>
      <c r="Z161" s="2140">
        <v>44802</v>
      </c>
      <c r="AA161" s="2140">
        <v>45869</v>
      </c>
      <c r="AB161" s="2109" t="s">
        <v>12614</v>
      </c>
      <c r="AC161" s="2109">
        <v>2023</v>
      </c>
      <c r="AD161" s="388">
        <v>2024</v>
      </c>
      <c r="AE161" s="388" t="s">
        <v>12615</v>
      </c>
    </row>
    <row r="162" spans="1:31">
      <c r="A162" s="2124" t="s">
        <v>3585</v>
      </c>
      <c r="B162" s="2127" t="s">
        <v>10500</v>
      </c>
      <c r="C162" s="2125" t="s">
        <v>2434</v>
      </c>
      <c r="D162" s="2125" t="s">
        <v>219</v>
      </c>
      <c r="E162" s="2126" t="s">
        <v>9598</v>
      </c>
      <c r="F162" s="2125">
        <v>4</v>
      </c>
      <c r="G162" s="2127" t="s">
        <v>9600</v>
      </c>
      <c r="H162" s="2125"/>
      <c r="I162" s="2125" t="s">
        <v>9602</v>
      </c>
      <c r="J162" s="2125"/>
      <c r="K162" s="2128">
        <v>56870</v>
      </c>
      <c r="L162" s="2125" t="s">
        <v>251</v>
      </c>
      <c r="M162" s="2124">
        <v>44539</v>
      </c>
      <c r="N162" s="2124">
        <v>44578</v>
      </c>
      <c r="O162" s="2125"/>
      <c r="P162" s="2136" t="s">
        <v>4505</v>
      </c>
      <c r="Q162" s="2125"/>
      <c r="R162" s="2128"/>
      <c r="S162" s="2128"/>
      <c r="T162" s="2129"/>
      <c r="U162" s="2129"/>
      <c r="V162" s="2129"/>
      <c r="W162" s="2128"/>
      <c r="X162" s="2128"/>
      <c r="Y162" s="2125"/>
      <c r="Z162" s="2124">
        <v>44659</v>
      </c>
      <c r="AA162" s="2127" t="s">
        <v>11311</v>
      </c>
      <c r="AB162" s="2125"/>
      <c r="AC162" s="2125"/>
    </row>
    <row r="163" spans="1:31" ht="30.75" thickBot="1">
      <c r="A163" s="2117" t="s">
        <v>3585</v>
      </c>
      <c r="B163" s="2120" t="s">
        <v>10500</v>
      </c>
      <c r="C163" s="2118" t="s">
        <v>2434</v>
      </c>
      <c r="D163" s="2118" t="s">
        <v>219</v>
      </c>
      <c r="E163" s="2119" t="s">
        <v>9598</v>
      </c>
      <c r="F163" s="2118">
        <v>5</v>
      </c>
      <c r="G163" s="2120" t="s">
        <v>9601</v>
      </c>
      <c r="H163" s="2141"/>
      <c r="I163" s="2118" t="s">
        <v>9602</v>
      </c>
      <c r="J163" s="2118"/>
      <c r="K163" s="2121">
        <v>2835100</v>
      </c>
      <c r="L163" s="2118" t="s">
        <v>251</v>
      </c>
      <c r="M163" s="2117">
        <v>44539</v>
      </c>
      <c r="N163" s="2117">
        <v>44578</v>
      </c>
      <c r="O163" s="2117">
        <v>44627</v>
      </c>
      <c r="P163" s="2120" t="s">
        <v>4894</v>
      </c>
      <c r="Q163" s="2118"/>
      <c r="R163" s="2121">
        <v>2835100</v>
      </c>
      <c r="S163" s="2121">
        <v>3260365</v>
      </c>
      <c r="T163" s="2145"/>
      <c r="U163" s="2145"/>
      <c r="V163" s="2145"/>
      <c r="W163" s="2123">
        <v>44628</v>
      </c>
      <c r="X163" s="2246" t="s">
        <v>11281</v>
      </c>
      <c r="Y163" s="2117">
        <v>44774</v>
      </c>
      <c r="Z163" s="2117">
        <v>44802</v>
      </c>
      <c r="AA163" s="2117">
        <v>45869</v>
      </c>
      <c r="AB163" s="2110" t="s">
        <v>12614</v>
      </c>
      <c r="AC163" s="2110">
        <v>2023</v>
      </c>
      <c r="AD163" s="388">
        <v>2024</v>
      </c>
      <c r="AE163" s="388" t="s">
        <v>12615</v>
      </c>
    </row>
    <row r="164" spans="1:31" ht="16.5" thickTop="1" thickBot="1">
      <c r="A164" s="498">
        <v>44532</v>
      </c>
      <c r="B164" s="669" t="s">
        <v>10503</v>
      </c>
      <c r="C164" s="232" t="s">
        <v>69</v>
      </c>
      <c r="D164" s="232" t="s">
        <v>70</v>
      </c>
      <c r="E164" s="274" t="s">
        <v>10504</v>
      </c>
      <c r="F164" s="232"/>
      <c r="G164" s="669"/>
      <c r="H164" s="411"/>
      <c r="I164" s="232" t="s">
        <v>42</v>
      </c>
      <c r="J164" s="232"/>
      <c r="K164" s="499">
        <v>1610000</v>
      </c>
      <c r="L164" s="232" t="s">
        <v>216</v>
      </c>
      <c r="M164" s="498">
        <v>44539</v>
      </c>
      <c r="N164" s="498">
        <v>44565</v>
      </c>
      <c r="O164" s="498">
        <v>44568</v>
      </c>
      <c r="P164" s="669" t="s">
        <v>10252</v>
      </c>
      <c r="Q164" s="232"/>
      <c r="R164" s="499">
        <v>1587000</v>
      </c>
      <c r="S164" s="499">
        <v>1587000</v>
      </c>
      <c r="T164" s="1480"/>
      <c r="U164" s="1480"/>
      <c r="V164" s="1480"/>
      <c r="W164" s="682">
        <v>44568</v>
      </c>
      <c r="X164" s="499" t="s">
        <v>10686</v>
      </c>
      <c r="Y164" s="498">
        <v>44581</v>
      </c>
      <c r="Z164" s="498">
        <v>44582</v>
      </c>
      <c r="AA164" s="232"/>
      <c r="AB164" s="1546"/>
      <c r="AC164" s="1558"/>
    </row>
    <row r="165" spans="1:31" ht="15.75" thickTop="1">
      <c r="A165" s="474">
        <v>44532</v>
      </c>
      <c r="B165" s="1420" t="s">
        <v>10505</v>
      </c>
      <c r="C165" s="453" t="s">
        <v>69</v>
      </c>
      <c r="D165" s="453" t="s">
        <v>70</v>
      </c>
      <c r="E165" s="473" t="s">
        <v>10506</v>
      </c>
      <c r="F165" s="453">
        <v>1</v>
      </c>
      <c r="G165" s="1420" t="s">
        <v>4879</v>
      </c>
      <c r="H165" s="453"/>
      <c r="I165" s="453" t="s">
        <v>93</v>
      </c>
      <c r="J165" s="453"/>
      <c r="K165" s="457">
        <v>7836762</v>
      </c>
      <c r="L165" s="453" t="s">
        <v>251</v>
      </c>
      <c r="M165" s="474">
        <v>44538</v>
      </c>
      <c r="N165" s="474">
        <v>44599</v>
      </c>
      <c r="O165" s="474">
        <v>44631</v>
      </c>
      <c r="P165" s="1420" t="s">
        <v>5566</v>
      </c>
      <c r="Q165" s="453"/>
      <c r="R165" s="457">
        <v>7836761.1900000004</v>
      </c>
      <c r="S165" s="457">
        <v>8620437.3100000005</v>
      </c>
      <c r="T165" s="1474"/>
      <c r="U165" s="1474"/>
      <c r="V165" s="1474"/>
      <c r="W165" s="570">
        <v>44631</v>
      </c>
      <c r="X165" s="457" t="s">
        <v>11313</v>
      </c>
      <c r="Y165" s="474">
        <v>44678</v>
      </c>
      <c r="Z165" s="474">
        <v>44697</v>
      </c>
      <c r="AA165" s="474">
        <v>45773</v>
      </c>
      <c r="AB165" s="1391" t="s">
        <v>11662</v>
      </c>
      <c r="AC165" s="1391">
        <v>2023</v>
      </c>
      <c r="AD165" s="388">
        <v>2024</v>
      </c>
      <c r="AE165" s="1980" t="s">
        <v>11664</v>
      </c>
    </row>
    <row r="166" spans="1:31">
      <c r="A166" s="2140">
        <v>44532</v>
      </c>
      <c r="B166" s="2143" t="s">
        <v>10505</v>
      </c>
      <c r="C166" s="2141" t="s">
        <v>69</v>
      </c>
      <c r="D166" s="2141" t="s">
        <v>70</v>
      </c>
      <c r="E166" s="2142" t="s">
        <v>10506</v>
      </c>
      <c r="F166" s="2141">
        <v>2</v>
      </c>
      <c r="G166" s="2143" t="s">
        <v>4880</v>
      </c>
      <c r="H166" s="2085"/>
      <c r="I166" s="2141" t="s">
        <v>93</v>
      </c>
      <c r="J166" s="2141"/>
      <c r="K166" s="2144">
        <v>1166820</v>
      </c>
      <c r="L166" s="2141" t="s">
        <v>251</v>
      </c>
      <c r="M166" s="2140">
        <v>44538</v>
      </c>
      <c r="N166" s="2140">
        <v>44599</v>
      </c>
      <c r="O166" s="2140">
        <v>44631</v>
      </c>
      <c r="P166" s="2143" t="s">
        <v>5805</v>
      </c>
      <c r="Q166" s="2141"/>
      <c r="R166" s="2144">
        <v>1166819.79</v>
      </c>
      <c r="S166" s="2144">
        <v>1283501.77</v>
      </c>
      <c r="T166" s="2094"/>
      <c r="U166" s="2094"/>
      <c r="V166" s="2094"/>
      <c r="W166" s="2146">
        <v>44631</v>
      </c>
      <c r="X166" s="2144" t="s">
        <v>11314</v>
      </c>
      <c r="Y166" s="2140">
        <v>44670</v>
      </c>
      <c r="Z166" s="2140">
        <v>44697</v>
      </c>
      <c r="AA166" s="2140">
        <v>45765</v>
      </c>
      <c r="AB166" s="2109" t="s">
        <v>11595</v>
      </c>
      <c r="AC166" s="2109">
        <v>2023</v>
      </c>
      <c r="AD166" s="388">
        <v>2024</v>
      </c>
      <c r="AE166" s="388" t="s">
        <v>11598</v>
      </c>
    </row>
    <row r="167" spans="1:31">
      <c r="A167" s="2140">
        <v>44532</v>
      </c>
      <c r="B167" s="2143" t="s">
        <v>10505</v>
      </c>
      <c r="C167" s="2141" t="s">
        <v>69</v>
      </c>
      <c r="D167" s="2141" t="s">
        <v>70</v>
      </c>
      <c r="E167" s="2142" t="s">
        <v>10506</v>
      </c>
      <c r="F167" s="2141">
        <v>3</v>
      </c>
      <c r="G167" s="2143" t="s">
        <v>4881</v>
      </c>
      <c r="H167" s="2141"/>
      <c r="I167" s="2141" t="s">
        <v>93</v>
      </c>
      <c r="J167" s="2141"/>
      <c r="K167" s="2144">
        <v>2563207</v>
      </c>
      <c r="L167" s="2141" t="s">
        <v>251</v>
      </c>
      <c r="M167" s="2140">
        <v>44538</v>
      </c>
      <c r="N167" s="2140">
        <v>44599</v>
      </c>
      <c r="O167" s="2140">
        <v>44631</v>
      </c>
      <c r="P167" s="2143" t="s">
        <v>2548</v>
      </c>
      <c r="Q167" s="2141"/>
      <c r="R167" s="2144">
        <v>2563206.96</v>
      </c>
      <c r="S167" s="2144">
        <v>2819527.66</v>
      </c>
      <c r="T167" s="2145"/>
      <c r="U167" s="2145"/>
      <c r="V167" s="2145"/>
      <c r="W167" s="2146">
        <v>44631</v>
      </c>
      <c r="X167" s="2144" t="s">
        <v>11315</v>
      </c>
      <c r="Y167" s="2140">
        <v>44698</v>
      </c>
      <c r="Z167" s="2140">
        <v>44701</v>
      </c>
      <c r="AA167" s="2140">
        <v>45793</v>
      </c>
      <c r="AB167" s="2109" t="s">
        <v>11902</v>
      </c>
      <c r="AC167" s="2109">
        <v>2023</v>
      </c>
      <c r="AD167" s="388">
        <v>2024</v>
      </c>
      <c r="AE167" s="388" t="s">
        <v>11930</v>
      </c>
    </row>
    <row r="168" spans="1:31">
      <c r="A168" s="2140">
        <v>44532</v>
      </c>
      <c r="B168" s="2143" t="s">
        <v>10505</v>
      </c>
      <c r="C168" s="2141" t="s">
        <v>69</v>
      </c>
      <c r="D168" s="2141" t="s">
        <v>70</v>
      </c>
      <c r="E168" s="2142" t="s">
        <v>10506</v>
      </c>
      <c r="F168" s="2141">
        <v>4</v>
      </c>
      <c r="G168" s="2143" t="s">
        <v>4882</v>
      </c>
      <c r="H168" s="2141"/>
      <c r="I168" s="2141" t="s">
        <v>93</v>
      </c>
      <c r="J168" s="2141"/>
      <c r="K168" s="2144">
        <v>10710000</v>
      </c>
      <c r="L168" s="2141" t="s">
        <v>251</v>
      </c>
      <c r="M168" s="2140">
        <v>44538</v>
      </c>
      <c r="N168" s="2140">
        <v>44599</v>
      </c>
      <c r="O168" s="2140">
        <v>44631</v>
      </c>
      <c r="P168" s="2143" t="s">
        <v>2548</v>
      </c>
      <c r="Q168" s="2141"/>
      <c r="R168" s="2144">
        <v>10710000</v>
      </c>
      <c r="S168" s="2144">
        <v>11781000</v>
      </c>
      <c r="T168" s="2145"/>
      <c r="U168" s="2145"/>
      <c r="V168" s="2145"/>
      <c r="W168" s="2146">
        <v>44631</v>
      </c>
      <c r="X168" s="2144" t="s">
        <v>11316</v>
      </c>
      <c r="Y168" s="2140">
        <v>44698</v>
      </c>
      <c r="Z168" s="2140">
        <v>44701</v>
      </c>
      <c r="AA168" s="2140">
        <v>45793</v>
      </c>
      <c r="AB168" s="2109" t="s">
        <v>11902</v>
      </c>
      <c r="AC168" s="2109">
        <v>2023</v>
      </c>
      <c r="AD168" s="388">
        <v>2024</v>
      </c>
      <c r="AE168" s="388" t="s">
        <v>11930</v>
      </c>
    </row>
    <row r="169" spans="1:31">
      <c r="A169" s="2140">
        <v>44532</v>
      </c>
      <c r="B169" s="2143" t="s">
        <v>10505</v>
      </c>
      <c r="C169" s="2141" t="s">
        <v>69</v>
      </c>
      <c r="D169" s="2141" t="s">
        <v>70</v>
      </c>
      <c r="E169" s="2142" t="s">
        <v>10506</v>
      </c>
      <c r="F169" s="2141">
        <v>5</v>
      </c>
      <c r="G169" s="2143" t="s">
        <v>4883</v>
      </c>
      <c r="H169" s="2085"/>
      <c r="I169" s="2141" t="s">
        <v>93</v>
      </c>
      <c r="J169" s="2141"/>
      <c r="K169" s="2144">
        <v>7435918</v>
      </c>
      <c r="L169" s="2141" t="s">
        <v>251</v>
      </c>
      <c r="M169" s="2140">
        <v>44538</v>
      </c>
      <c r="N169" s="2140">
        <v>44599</v>
      </c>
      <c r="O169" s="2140">
        <v>44631</v>
      </c>
      <c r="P169" s="2143" t="s">
        <v>576</v>
      </c>
      <c r="Q169" s="2141"/>
      <c r="R169" s="2144">
        <v>7432948.2599999998</v>
      </c>
      <c r="S169" s="2144">
        <v>8176243.0899999999</v>
      </c>
      <c r="T169" s="2094"/>
      <c r="U169" s="2094"/>
      <c r="V169" s="2094"/>
      <c r="W169" s="2146">
        <v>44631</v>
      </c>
      <c r="X169" s="2144" t="s">
        <v>11317</v>
      </c>
      <c r="Y169" s="2140">
        <v>44670</v>
      </c>
      <c r="Z169" s="2140">
        <v>44697</v>
      </c>
      <c r="AA169" s="2140">
        <v>45765</v>
      </c>
      <c r="AB169" s="2109" t="s">
        <v>11595</v>
      </c>
      <c r="AC169" s="2109">
        <v>2023</v>
      </c>
      <c r="AD169" s="388">
        <v>2024</v>
      </c>
      <c r="AE169" s="388" t="s">
        <v>11598</v>
      </c>
    </row>
    <row r="170" spans="1:31">
      <c r="A170" s="2140">
        <v>44532</v>
      </c>
      <c r="B170" s="2143" t="s">
        <v>10505</v>
      </c>
      <c r="C170" s="2141" t="s">
        <v>69</v>
      </c>
      <c r="D170" s="2141" t="s">
        <v>70</v>
      </c>
      <c r="E170" s="2142" t="s">
        <v>10506</v>
      </c>
      <c r="F170" s="2141">
        <v>6</v>
      </c>
      <c r="G170" s="2143" t="s">
        <v>4884</v>
      </c>
      <c r="H170" s="2085"/>
      <c r="I170" s="2141" t="s">
        <v>93</v>
      </c>
      <c r="J170" s="2141"/>
      <c r="K170" s="2144">
        <v>46702858</v>
      </c>
      <c r="L170" s="2141" t="s">
        <v>251</v>
      </c>
      <c r="M170" s="2140">
        <v>44538</v>
      </c>
      <c r="N170" s="2140">
        <v>44599</v>
      </c>
      <c r="O170" s="2140">
        <v>44631</v>
      </c>
      <c r="P170" s="2143" t="s">
        <v>576</v>
      </c>
      <c r="Q170" s="2141"/>
      <c r="R170" s="2144">
        <v>46702857.329999998</v>
      </c>
      <c r="S170" s="2144">
        <v>51373143.060000002</v>
      </c>
      <c r="T170" s="2094"/>
      <c r="U170" s="2094"/>
      <c r="V170" s="2094"/>
      <c r="W170" s="2146">
        <v>44631</v>
      </c>
      <c r="X170" s="2144" t="s">
        <v>11318</v>
      </c>
      <c r="Y170" s="2140">
        <v>44670</v>
      </c>
      <c r="Z170" s="2140">
        <v>44697</v>
      </c>
      <c r="AA170" s="2140">
        <v>45765</v>
      </c>
      <c r="AB170" s="2109" t="s">
        <v>11595</v>
      </c>
      <c r="AC170" s="2109">
        <v>2023</v>
      </c>
      <c r="AD170" s="388">
        <v>2024</v>
      </c>
      <c r="AE170" s="388" t="s">
        <v>11598</v>
      </c>
    </row>
    <row r="171" spans="1:31">
      <c r="A171" s="2140">
        <v>44532</v>
      </c>
      <c r="B171" s="2143" t="s">
        <v>10505</v>
      </c>
      <c r="C171" s="2141" t="s">
        <v>69</v>
      </c>
      <c r="D171" s="2141" t="s">
        <v>70</v>
      </c>
      <c r="E171" s="2142" t="s">
        <v>10506</v>
      </c>
      <c r="F171" s="2141">
        <v>7</v>
      </c>
      <c r="G171" s="2143" t="s">
        <v>10507</v>
      </c>
      <c r="H171" s="2085"/>
      <c r="I171" s="2141" t="s">
        <v>93</v>
      </c>
      <c r="J171" s="2141"/>
      <c r="K171" s="2144">
        <v>18432258</v>
      </c>
      <c r="L171" s="2141" t="s">
        <v>251</v>
      </c>
      <c r="M171" s="2140">
        <v>44538</v>
      </c>
      <c r="N171" s="2140">
        <v>44599</v>
      </c>
      <c r="O171" s="2140">
        <v>44631</v>
      </c>
      <c r="P171" s="2143" t="s">
        <v>5805</v>
      </c>
      <c r="Q171" s="2141"/>
      <c r="R171" s="2144">
        <v>18406931.100000001</v>
      </c>
      <c r="S171" s="2144">
        <v>20247624.210000001</v>
      </c>
      <c r="T171" s="2094"/>
      <c r="U171" s="2094"/>
      <c r="V171" s="2094"/>
      <c r="W171" s="2146">
        <v>44631</v>
      </c>
      <c r="X171" s="2144" t="s">
        <v>11319</v>
      </c>
      <c r="Y171" s="2140">
        <v>44670</v>
      </c>
      <c r="Z171" s="2140">
        <v>44697</v>
      </c>
      <c r="AA171" s="2140">
        <v>45765</v>
      </c>
      <c r="AB171" s="2109" t="s">
        <v>11595</v>
      </c>
      <c r="AC171" s="2109">
        <v>2023</v>
      </c>
      <c r="AD171" s="388">
        <v>2024</v>
      </c>
      <c r="AE171" s="388" t="s">
        <v>11598</v>
      </c>
    </row>
    <row r="172" spans="1:31" ht="15.75" thickBot="1">
      <c r="A172" s="2117">
        <v>44532</v>
      </c>
      <c r="B172" s="2120" t="s">
        <v>10505</v>
      </c>
      <c r="C172" s="2118" t="s">
        <v>69</v>
      </c>
      <c r="D172" s="2118" t="s">
        <v>70</v>
      </c>
      <c r="E172" s="2119" t="s">
        <v>10506</v>
      </c>
      <c r="F172" s="2118">
        <v>8</v>
      </c>
      <c r="G172" s="2120" t="s">
        <v>4887</v>
      </c>
      <c r="H172" s="2089"/>
      <c r="I172" s="2118" t="s">
        <v>93</v>
      </c>
      <c r="J172" s="2118"/>
      <c r="K172" s="2121">
        <v>15523659</v>
      </c>
      <c r="L172" s="2118" t="s">
        <v>251</v>
      </c>
      <c r="M172" s="2117">
        <v>44538</v>
      </c>
      <c r="N172" s="2117">
        <v>44599</v>
      </c>
      <c r="O172" s="2117">
        <v>44631</v>
      </c>
      <c r="P172" s="2120" t="s">
        <v>576</v>
      </c>
      <c r="Q172" s="2118"/>
      <c r="R172" s="2121">
        <v>15508572</v>
      </c>
      <c r="S172" s="2121">
        <v>17059429.199999999</v>
      </c>
      <c r="T172" s="2095"/>
      <c r="U172" s="2095"/>
      <c r="V172" s="2095"/>
      <c r="W172" s="2123">
        <v>44631</v>
      </c>
      <c r="X172" s="2121" t="s">
        <v>11320</v>
      </c>
      <c r="Y172" s="2117">
        <v>44670</v>
      </c>
      <c r="Z172" s="2117">
        <v>44697</v>
      </c>
      <c r="AA172" s="2117">
        <v>45765</v>
      </c>
      <c r="AB172" s="2110" t="s">
        <v>11595</v>
      </c>
      <c r="AC172" s="2110">
        <v>2023</v>
      </c>
      <c r="AD172" s="388">
        <v>2024</v>
      </c>
      <c r="AE172" s="388" t="s">
        <v>11598</v>
      </c>
    </row>
    <row r="173" spans="1:31" ht="16.5" thickTop="1" thickBot="1">
      <c r="A173" s="1539">
        <v>44533</v>
      </c>
      <c r="B173" s="1541" t="s">
        <v>10510</v>
      </c>
      <c r="C173" s="185" t="s">
        <v>69</v>
      </c>
      <c r="D173" s="185" t="s">
        <v>70</v>
      </c>
      <c r="E173" s="282" t="s">
        <v>10511</v>
      </c>
      <c r="F173" s="185"/>
      <c r="G173" s="1541"/>
      <c r="H173" s="185"/>
      <c r="I173" s="185" t="s">
        <v>10512</v>
      </c>
      <c r="J173" s="185"/>
      <c r="K173" s="1542">
        <v>4200000</v>
      </c>
      <c r="L173" s="185" t="s">
        <v>251</v>
      </c>
      <c r="M173" s="1539">
        <v>44550</v>
      </c>
      <c r="N173" s="1539">
        <v>44592</v>
      </c>
      <c r="O173" s="185"/>
      <c r="P173" s="2488" t="s">
        <v>11093</v>
      </c>
      <c r="Q173" s="185"/>
      <c r="R173" s="1542"/>
      <c r="S173" s="1542"/>
      <c r="T173" s="1543"/>
      <c r="U173" s="1543"/>
      <c r="V173" s="1543"/>
      <c r="W173" s="1542"/>
      <c r="X173" s="1542"/>
      <c r="Y173" s="185"/>
      <c r="Z173" s="1539">
        <v>44634</v>
      </c>
      <c r="AA173" s="1541" t="s">
        <v>11150</v>
      </c>
      <c r="AB173" s="185"/>
      <c r="AC173" s="185"/>
    </row>
    <row r="174" spans="1:31" ht="30.75" thickTop="1">
      <c r="A174" s="453" t="s">
        <v>3585</v>
      </c>
      <c r="B174" s="1420" t="s">
        <v>10515</v>
      </c>
      <c r="C174" s="453" t="s">
        <v>2434</v>
      </c>
      <c r="D174" s="453" t="s">
        <v>3204</v>
      </c>
      <c r="E174" s="473" t="s">
        <v>10516</v>
      </c>
      <c r="F174" s="453">
        <v>1</v>
      </c>
      <c r="G174" s="1420" t="s">
        <v>10015</v>
      </c>
      <c r="H174" s="453"/>
      <c r="I174" s="453" t="s">
        <v>642</v>
      </c>
      <c r="J174" s="453"/>
      <c r="K174" s="457">
        <v>1220800</v>
      </c>
      <c r="L174" s="453" t="s">
        <v>251</v>
      </c>
      <c r="M174" s="474">
        <v>44539</v>
      </c>
      <c r="N174" s="474">
        <v>44572</v>
      </c>
      <c r="O174" s="474">
        <v>44594</v>
      </c>
      <c r="P174" s="1420" t="s">
        <v>4838</v>
      </c>
      <c r="Q174" s="453"/>
      <c r="R174" s="457">
        <v>1315000</v>
      </c>
      <c r="S174" s="457">
        <v>1591150</v>
      </c>
      <c r="T174" s="1474"/>
      <c r="U174" s="1474"/>
      <c r="V174" s="1474"/>
      <c r="W174" s="570">
        <v>44594</v>
      </c>
      <c r="X174" s="1387" t="s">
        <v>10938</v>
      </c>
      <c r="Y174" s="474">
        <v>44615</v>
      </c>
      <c r="Z174" s="474">
        <v>44621</v>
      </c>
      <c r="AA174" s="474">
        <v>45710</v>
      </c>
      <c r="AB174" s="1391" t="s">
        <v>11129</v>
      </c>
      <c r="AC174" s="1391">
        <v>2023</v>
      </c>
      <c r="AD174" s="388">
        <v>2024</v>
      </c>
      <c r="AE174" s="388" t="s">
        <v>11131</v>
      </c>
    </row>
    <row r="175" spans="1:31" ht="30">
      <c r="A175" s="2141" t="s">
        <v>3585</v>
      </c>
      <c r="B175" s="2143" t="s">
        <v>10515</v>
      </c>
      <c r="C175" s="2141" t="s">
        <v>2434</v>
      </c>
      <c r="D175" s="2141" t="s">
        <v>3204</v>
      </c>
      <c r="E175" s="2142" t="s">
        <v>10516</v>
      </c>
      <c r="F175" s="2141">
        <v>2</v>
      </c>
      <c r="G175" s="2143" t="s">
        <v>10017</v>
      </c>
      <c r="H175" s="2141"/>
      <c r="I175" s="2141" t="s">
        <v>642</v>
      </c>
      <c r="J175" s="2141"/>
      <c r="K175" s="2144">
        <v>125160</v>
      </c>
      <c r="L175" s="2141" t="s">
        <v>251</v>
      </c>
      <c r="M175" s="2140">
        <v>44539</v>
      </c>
      <c r="N175" s="2140">
        <v>44572</v>
      </c>
      <c r="O175" s="2140">
        <v>44594</v>
      </c>
      <c r="P175" s="2143" t="s">
        <v>3332</v>
      </c>
      <c r="Q175" s="2141"/>
      <c r="R175" s="2144">
        <v>192000</v>
      </c>
      <c r="S175" s="2144">
        <v>232320</v>
      </c>
      <c r="T175" s="2145"/>
      <c r="U175" s="2145"/>
      <c r="V175" s="2145"/>
      <c r="W175" s="2146">
        <v>44594</v>
      </c>
      <c r="X175" s="2260" t="s">
        <v>10939</v>
      </c>
      <c r="Y175" s="2140">
        <v>44616</v>
      </c>
      <c r="Z175" s="2140">
        <v>44621</v>
      </c>
      <c r="AA175" s="2140">
        <v>45711</v>
      </c>
      <c r="AB175" s="2109" t="s">
        <v>11148</v>
      </c>
      <c r="AC175" s="2109">
        <v>2023</v>
      </c>
      <c r="AD175" s="388">
        <v>2024</v>
      </c>
      <c r="AE175" s="388" t="s">
        <v>11149</v>
      </c>
    </row>
    <row r="176" spans="1:31" ht="15.75" thickBot="1">
      <c r="A176" s="2131" t="s">
        <v>3585</v>
      </c>
      <c r="B176" s="2133" t="s">
        <v>10515</v>
      </c>
      <c r="C176" s="2131" t="s">
        <v>2434</v>
      </c>
      <c r="D176" s="2131" t="s">
        <v>3204</v>
      </c>
      <c r="E176" s="2132" t="s">
        <v>10516</v>
      </c>
      <c r="F176" s="2131">
        <v>3</v>
      </c>
      <c r="G176" s="2133" t="s">
        <v>10018</v>
      </c>
      <c r="H176" s="2131"/>
      <c r="I176" s="2131" t="s">
        <v>642</v>
      </c>
      <c r="J176" s="2131"/>
      <c r="K176" s="2134">
        <v>2080500</v>
      </c>
      <c r="L176" s="2131" t="s">
        <v>251</v>
      </c>
      <c r="M176" s="2130">
        <v>44539</v>
      </c>
      <c r="N176" s="2130">
        <v>44572</v>
      </c>
      <c r="O176" s="2131"/>
      <c r="P176" s="2137" t="s">
        <v>304</v>
      </c>
      <c r="Q176" s="2131"/>
      <c r="R176" s="2134"/>
      <c r="S176" s="2134"/>
      <c r="T176" s="2135"/>
      <c r="U176" s="2135"/>
      <c r="V176" s="2135"/>
      <c r="W176" s="2134"/>
      <c r="X176" s="2134"/>
      <c r="Y176" s="2131"/>
      <c r="Z176" s="2130">
        <v>44608</v>
      </c>
      <c r="AA176" s="2131" t="s">
        <v>10780</v>
      </c>
      <c r="AB176" s="2131"/>
      <c r="AC176" s="2131"/>
    </row>
    <row r="177" spans="1:32" ht="15.75" thickTop="1">
      <c r="A177" s="365">
        <v>44537</v>
      </c>
      <c r="B177" s="2646" t="s">
        <v>10518</v>
      </c>
      <c r="C177" s="2515" t="s">
        <v>2434</v>
      </c>
      <c r="D177" s="2515" t="s">
        <v>219</v>
      </c>
      <c r="E177" s="2519" t="s">
        <v>10519</v>
      </c>
      <c r="F177" s="2515"/>
      <c r="G177" s="2516"/>
      <c r="H177" s="2515"/>
      <c r="I177" s="2515" t="s">
        <v>642</v>
      </c>
      <c r="J177" s="2515"/>
      <c r="K177" s="364">
        <v>2883740</v>
      </c>
      <c r="L177" s="2515" t="s">
        <v>216</v>
      </c>
      <c r="M177" s="365">
        <v>44540</v>
      </c>
      <c r="N177" s="365">
        <v>44564</v>
      </c>
      <c r="O177" s="365">
        <v>44566</v>
      </c>
      <c r="P177" s="2516" t="s">
        <v>993</v>
      </c>
      <c r="Q177" s="2515"/>
      <c r="R177" s="364">
        <v>2883740</v>
      </c>
      <c r="S177" s="364">
        <v>3489325.4</v>
      </c>
      <c r="T177" s="1473"/>
      <c r="U177" s="1473"/>
      <c r="V177" s="1473"/>
      <c r="W177" s="681">
        <v>44566</v>
      </c>
      <c r="X177" s="364" t="s">
        <v>10664</v>
      </c>
      <c r="Y177" s="365">
        <v>44606</v>
      </c>
      <c r="Z177" s="365">
        <v>44614</v>
      </c>
      <c r="AA177" s="365">
        <v>45701</v>
      </c>
      <c r="AB177" s="451" t="s">
        <v>11065</v>
      </c>
      <c r="AC177" s="451">
        <v>2023</v>
      </c>
      <c r="AD177" s="388">
        <v>2024</v>
      </c>
      <c r="AE177" s="388" t="s">
        <v>11066</v>
      </c>
    </row>
    <row r="178" spans="1:32">
      <c r="A178" s="2140">
        <v>44533</v>
      </c>
      <c r="B178" s="2650" t="s">
        <v>10521</v>
      </c>
      <c r="C178" s="2141" t="s">
        <v>2434</v>
      </c>
      <c r="D178" s="2141" t="s">
        <v>219</v>
      </c>
      <c r="E178" s="2142" t="s">
        <v>10520</v>
      </c>
      <c r="F178" s="2141"/>
      <c r="G178" s="2143"/>
      <c r="H178" s="2141"/>
      <c r="I178" s="2141" t="s">
        <v>642</v>
      </c>
      <c r="J178" s="2141"/>
      <c r="K178" s="2144">
        <v>2014020</v>
      </c>
      <c r="L178" s="2141" t="s">
        <v>216</v>
      </c>
      <c r="M178" s="2140">
        <v>44540</v>
      </c>
      <c r="N178" s="2140">
        <v>44560</v>
      </c>
      <c r="O178" s="2140">
        <v>44581</v>
      </c>
      <c r="P178" s="2143" t="s">
        <v>10733</v>
      </c>
      <c r="Q178" s="2141"/>
      <c r="R178" s="2144">
        <v>2013580.8</v>
      </c>
      <c r="S178" s="2144">
        <v>2436033.6</v>
      </c>
      <c r="T178" s="2145"/>
      <c r="U178" s="2145"/>
      <c r="V178" s="2145"/>
      <c r="W178" s="2146">
        <v>44581</v>
      </c>
      <c r="X178" s="2144" t="s">
        <v>10771</v>
      </c>
      <c r="Y178" s="2140">
        <v>44684</v>
      </c>
      <c r="Z178" s="2140">
        <v>44690</v>
      </c>
      <c r="AA178" s="2140">
        <v>46144</v>
      </c>
      <c r="AB178" s="2109" t="s">
        <v>11730</v>
      </c>
      <c r="AC178" s="2109">
        <v>2023</v>
      </c>
      <c r="AD178" s="388">
        <v>2024</v>
      </c>
      <c r="AE178" s="388">
        <v>2025</v>
      </c>
      <c r="AF178" s="388" t="s">
        <v>11731</v>
      </c>
    </row>
    <row r="179" spans="1:32">
      <c r="A179" s="2140">
        <v>44536</v>
      </c>
      <c r="B179" s="2143" t="s">
        <v>10535</v>
      </c>
      <c r="C179" s="2141" t="s">
        <v>10762</v>
      </c>
      <c r="D179" s="2141" t="s">
        <v>4969</v>
      </c>
      <c r="E179" s="2142" t="s">
        <v>10536</v>
      </c>
      <c r="F179" s="2141"/>
      <c r="G179" s="2143"/>
      <c r="H179" s="2141"/>
      <c r="I179" s="2141" t="s">
        <v>6209</v>
      </c>
      <c r="J179" s="2141" t="s">
        <v>10537</v>
      </c>
      <c r="K179" s="2144">
        <v>390000</v>
      </c>
      <c r="L179" s="2141" t="s">
        <v>112</v>
      </c>
      <c r="M179" s="2140">
        <v>44553</v>
      </c>
      <c r="N179" s="2140">
        <v>44572</v>
      </c>
      <c r="O179" s="2140">
        <v>44579</v>
      </c>
      <c r="P179" s="2143" t="s">
        <v>10720</v>
      </c>
      <c r="Q179" s="2141"/>
      <c r="R179" s="2144">
        <v>390000</v>
      </c>
      <c r="S179" s="2144">
        <v>471900</v>
      </c>
      <c r="T179" s="2145"/>
      <c r="U179" s="2145"/>
      <c r="V179" s="2145"/>
      <c r="W179" s="2146">
        <v>44579</v>
      </c>
      <c r="X179" s="2144" t="s">
        <v>10747</v>
      </c>
      <c r="Y179" s="2140">
        <v>44607</v>
      </c>
      <c r="Z179" s="2140">
        <v>44613</v>
      </c>
      <c r="AA179" s="2140">
        <v>44635</v>
      </c>
      <c r="AB179" s="2140">
        <v>44704</v>
      </c>
      <c r="AC179" s="2106"/>
    </row>
    <row r="180" spans="1:32">
      <c r="A180" s="2140">
        <v>44539</v>
      </c>
      <c r="B180" s="2143" t="s">
        <v>10539</v>
      </c>
      <c r="C180" s="2141" t="s">
        <v>69</v>
      </c>
      <c r="D180" s="2141" t="s">
        <v>70</v>
      </c>
      <c r="E180" s="2142" t="s">
        <v>10541</v>
      </c>
      <c r="F180" s="2141">
        <v>1</v>
      </c>
      <c r="G180" s="2143" t="s">
        <v>10540</v>
      </c>
      <c r="H180" s="2141"/>
      <c r="I180" s="2141" t="s">
        <v>5244</v>
      </c>
      <c r="J180" s="2141"/>
      <c r="K180" s="2144">
        <v>3123851</v>
      </c>
      <c r="L180" s="2141" t="s">
        <v>216</v>
      </c>
      <c r="M180" s="2140">
        <v>44540</v>
      </c>
      <c r="N180" s="2140">
        <v>44560</v>
      </c>
      <c r="O180" s="2140">
        <v>44589</v>
      </c>
      <c r="P180" s="2143" t="s">
        <v>576</v>
      </c>
      <c r="Q180" s="2141"/>
      <c r="R180" s="2144">
        <v>3123849.56</v>
      </c>
      <c r="S180" s="2144">
        <v>3436234.52</v>
      </c>
      <c r="T180" s="2145"/>
      <c r="U180" s="2145"/>
      <c r="V180" s="2145"/>
      <c r="W180" s="2146">
        <v>44589</v>
      </c>
      <c r="X180" s="2144" t="s">
        <v>10894</v>
      </c>
      <c r="Y180" s="2140">
        <v>44613</v>
      </c>
      <c r="Z180" s="2140">
        <v>44620</v>
      </c>
      <c r="AA180" s="2140">
        <v>46073</v>
      </c>
      <c r="AB180" s="2109" t="s">
        <v>11121</v>
      </c>
      <c r="AC180" s="2109">
        <v>2023</v>
      </c>
      <c r="AD180" s="388">
        <v>2024</v>
      </c>
      <c r="AE180" s="388">
        <v>2025</v>
      </c>
      <c r="AF180" s="388" t="s">
        <v>11122</v>
      </c>
    </row>
    <row r="181" spans="1:32">
      <c r="A181" s="2141" t="s">
        <v>3585</v>
      </c>
      <c r="B181" s="2143" t="s">
        <v>10548</v>
      </c>
      <c r="C181" s="2141" t="s">
        <v>2434</v>
      </c>
      <c r="D181" s="2141" t="s">
        <v>219</v>
      </c>
      <c r="E181" s="2142" t="s">
        <v>6004</v>
      </c>
      <c r="F181" s="2141"/>
      <c r="G181" s="2143"/>
      <c r="H181" s="2154"/>
      <c r="I181" s="2141" t="s">
        <v>642</v>
      </c>
      <c r="J181" s="2141"/>
      <c r="K181" s="2144">
        <v>386194</v>
      </c>
      <c r="L181" s="2141" t="s">
        <v>112</v>
      </c>
      <c r="M181" s="2140">
        <v>44544</v>
      </c>
      <c r="N181" s="2140">
        <v>44552</v>
      </c>
      <c r="O181" s="2140">
        <v>44648</v>
      </c>
      <c r="P181" s="2143" t="s">
        <v>659</v>
      </c>
      <c r="Q181" s="2141"/>
      <c r="R181" s="2144">
        <v>495936</v>
      </c>
      <c r="S181" s="2144">
        <v>600082.56000000006</v>
      </c>
      <c r="T181" s="2415"/>
      <c r="U181" s="2415"/>
      <c r="V181" s="2415"/>
      <c r="W181" s="2146">
        <v>44648</v>
      </c>
      <c r="X181" s="2144" t="s">
        <v>11456</v>
      </c>
      <c r="Y181" s="2140">
        <v>44670</v>
      </c>
      <c r="Z181" s="2140">
        <v>44676</v>
      </c>
      <c r="AA181" s="2140">
        <v>46130</v>
      </c>
      <c r="AB181" s="2109" t="s">
        <v>11595</v>
      </c>
      <c r="AC181" s="2109">
        <v>2023</v>
      </c>
      <c r="AD181" s="388">
        <v>2024</v>
      </c>
      <c r="AE181" s="388">
        <v>2025</v>
      </c>
      <c r="AF181" s="388" t="s">
        <v>11596</v>
      </c>
    </row>
    <row r="182" spans="1:32" ht="30.75" thickBot="1">
      <c r="A182" s="416">
        <v>44525</v>
      </c>
      <c r="B182" s="630" t="s">
        <v>10553</v>
      </c>
      <c r="C182" s="411" t="s">
        <v>2434</v>
      </c>
      <c r="D182" s="411" t="s">
        <v>219</v>
      </c>
      <c r="E182" s="412" t="s">
        <v>10554</v>
      </c>
      <c r="F182" s="411"/>
      <c r="G182" s="630"/>
      <c r="H182" s="411"/>
      <c r="I182" s="411" t="s">
        <v>3271</v>
      </c>
      <c r="J182" s="411"/>
      <c r="K182" s="417">
        <v>1056000</v>
      </c>
      <c r="L182" s="411" t="s">
        <v>112</v>
      </c>
      <c r="M182" s="416">
        <v>44544</v>
      </c>
      <c r="N182" s="416">
        <v>44552</v>
      </c>
      <c r="O182" s="416">
        <v>44559</v>
      </c>
      <c r="P182" s="630" t="s">
        <v>1433</v>
      </c>
      <c r="Q182" s="411"/>
      <c r="R182" s="417">
        <v>950400</v>
      </c>
      <c r="S182" s="417">
        <v>1149984</v>
      </c>
      <c r="T182" s="1480"/>
      <c r="U182" s="1480"/>
      <c r="V182" s="1480"/>
      <c r="W182" s="513">
        <v>44559</v>
      </c>
      <c r="X182" s="1553" t="s">
        <v>10630</v>
      </c>
      <c r="Y182" s="416">
        <v>44578</v>
      </c>
      <c r="Z182" s="416">
        <v>44580</v>
      </c>
      <c r="AA182" s="416">
        <v>45673</v>
      </c>
      <c r="AB182" s="422" t="s">
        <v>10734</v>
      </c>
      <c r="AC182" s="422">
        <v>2023</v>
      </c>
      <c r="AD182" s="388">
        <v>2024</v>
      </c>
      <c r="AE182" s="388" t="s">
        <v>10735</v>
      </c>
    </row>
    <row r="183" spans="1:32" ht="15.75" thickTop="1">
      <c r="A183" s="474">
        <v>44531</v>
      </c>
      <c r="B183" s="1420" t="s">
        <v>10555</v>
      </c>
      <c r="C183" s="453" t="s">
        <v>9800</v>
      </c>
      <c r="D183" s="453" t="s">
        <v>10556</v>
      </c>
      <c r="E183" s="473" t="s">
        <v>10557</v>
      </c>
      <c r="F183" s="453">
        <v>1</v>
      </c>
      <c r="G183" s="1420" t="s">
        <v>10558</v>
      </c>
      <c r="H183" s="453"/>
      <c r="I183" s="453" t="s">
        <v>428</v>
      </c>
      <c r="J183" s="453"/>
      <c r="K183" s="457">
        <v>350000</v>
      </c>
      <c r="L183" s="453" t="s">
        <v>112</v>
      </c>
      <c r="M183" s="474">
        <v>44559</v>
      </c>
      <c r="N183" s="474">
        <v>44568</v>
      </c>
      <c r="O183" s="474">
        <v>44586</v>
      </c>
      <c r="P183" s="1420" t="s">
        <v>10790</v>
      </c>
      <c r="Q183" s="453"/>
      <c r="R183" s="457">
        <v>129800</v>
      </c>
      <c r="S183" s="457">
        <v>157058</v>
      </c>
      <c r="T183" s="1474"/>
      <c r="U183" s="1474"/>
      <c r="V183" s="1474"/>
      <c r="W183" s="570">
        <v>44586</v>
      </c>
      <c r="X183" s="457" t="s">
        <v>10837</v>
      </c>
      <c r="Y183" s="474">
        <v>44613</v>
      </c>
      <c r="Z183" s="474">
        <v>44615</v>
      </c>
      <c r="AA183" s="453"/>
      <c r="AB183" s="474">
        <v>44761</v>
      </c>
      <c r="AC183" s="1393"/>
    </row>
    <row r="184" spans="1:32">
      <c r="A184" s="2140">
        <v>44531</v>
      </c>
      <c r="B184" s="2143" t="s">
        <v>10555</v>
      </c>
      <c r="C184" s="2141" t="s">
        <v>9800</v>
      </c>
      <c r="D184" s="2141" t="s">
        <v>10556</v>
      </c>
      <c r="E184" s="2142" t="s">
        <v>10557</v>
      </c>
      <c r="F184" s="2141">
        <v>2</v>
      </c>
      <c r="G184" s="2143" t="s">
        <v>10559</v>
      </c>
      <c r="H184" s="2141"/>
      <c r="I184" s="2141" t="s">
        <v>428</v>
      </c>
      <c r="J184" s="2141"/>
      <c r="K184" s="2144">
        <v>200000</v>
      </c>
      <c r="L184" s="2141" t="s">
        <v>112</v>
      </c>
      <c r="M184" s="2140">
        <v>44559</v>
      </c>
      <c r="N184" s="2140">
        <v>44568</v>
      </c>
      <c r="O184" s="2140">
        <v>44586</v>
      </c>
      <c r="P184" s="2143" t="s">
        <v>8856</v>
      </c>
      <c r="Q184" s="2141"/>
      <c r="R184" s="2144">
        <v>70000</v>
      </c>
      <c r="S184" s="2144">
        <v>84700</v>
      </c>
      <c r="T184" s="2145"/>
      <c r="U184" s="2145"/>
      <c r="V184" s="2145"/>
      <c r="W184" s="2146">
        <v>44586</v>
      </c>
      <c r="X184" s="2144" t="s">
        <v>10838</v>
      </c>
      <c r="Y184" s="2140">
        <v>44606</v>
      </c>
      <c r="Z184" s="2140">
        <v>44606</v>
      </c>
      <c r="AA184" s="2140"/>
      <c r="AB184" s="2140">
        <v>44711</v>
      </c>
      <c r="AC184" s="2106"/>
    </row>
    <row r="185" spans="1:32" ht="15.75" thickBot="1">
      <c r="A185" s="2117">
        <v>44531</v>
      </c>
      <c r="B185" s="2120" t="s">
        <v>10555</v>
      </c>
      <c r="C185" s="2118" t="s">
        <v>9800</v>
      </c>
      <c r="D185" s="2118" t="s">
        <v>10556</v>
      </c>
      <c r="E185" s="2119" t="s">
        <v>10557</v>
      </c>
      <c r="F185" s="2118">
        <v>3</v>
      </c>
      <c r="G185" s="2120" t="s">
        <v>10560</v>
      </c>
      <c r="H185" s="2118"/>
      <c r="I185" s="2118" t="s">
        <v>428</v>
      </c>
      <c r="J185" s="2118"/>
      <c r="K185" s="2121">
        <v>150000</v>
      </c>
      <c r="L185" s="2118" t="s">
        <v>112</v>
      </c>
      <c r="M185" s="2117">
        <v>44559</v>
      </c>
      <c r="N185" s="2117">
        <v>44568</v>
      </c>
      <c r="O185" s="2117">
        <v>44586</v>
      </c>
      <c r="P185" s="2120" t="s">
        <v>10791</v>
      </c>
      <c r="Q185" s="2118"/>
      <c r="R185" s="2121">
        <v>119000</v>
      </c>
      <c r="S185" s="2121">
        <v>143990</v>
      </c>
      <c r="T185" s="2122"/>
      <c r="U185" s="2122"/>
      <c r="V185" s="2122"/>
      <c r="W185" s="2123">
        <v>44586</v>
      </c>
      <c r="X185" s="2121" t="s">
        <v>10839</v>
      </c>
      <c r="Y185" s="2117">
        <v>44629</v>
      </c>
      <c r="Z185" s="2117">
        <v>44634</v>
      </c>
      <c r="AA185" s="2118"/>
      <c r="AB185" s="2110"/>
      <c r="AC185" s="2108"/>
    </row>
    <row r="186" spans="1:32" ht="45.75" thickTop="1">
      <c r="A186" s="365">
        <v>44536</v>
      </c>
      <c r="B186" s="2646" t="s">
        <v>10566</v>
      </c>
      <c r="C186" s="2520" t="s">
        <v>58</v>
      </c>
      <c r="D186" s="2520" t="s">
        <v>4969</v>
      </c>
      <c r="E186" s="175" t="s">
        <v>10567</v>
      </c>
      <c r="F186" s="2520"/>
      <c r="G186" s="2521"/>
      <c r="H186" s="2520"/>
      <c r="I186" s="2520" t="s">
        <v>780</v>
      </c>
      <c r="J186" s="2520" t="s">
        <v>10568</v>
      </c>
      <c r="K186" s="364">
        <v>472240</v>
      </c>
      <c r="L186" s="2520" t="s">
        <v>112</v>
      </c>
      <c r="M186" s="365">
        <v>44553</v>
      </c>
      <c r="N186" s="365">
        <v>44568</v>
      </c>
      <c r="O186" s="365">
        <v>44585</v>
      </c>
      <c r="P186" s="2521" t="s">
        <v>9242</v>
      </c>
      <c r="Q186" s="2520"/>
      <c r="R186" s="364">
        <v>467286</v>
      </c>
      <c r="S186" s="364">
        <v>565416.06000000006</v>
      </c>
      <c r="T186" s="1473"/>
      <c r="U186" s="1473"/>
      <c r="V186" s="1473"/>
      <c r="W186" s="681">
        <v>44585</v>
      </c>
      <c r="X186" s="1417" t="s">
        <v>10811</v>
      </c>
      <c r="Y186" s="365">
        <v>44608</v>
      </c>
      <c r="Z186" s="365">
        <v>44613</v>
      </c>
      <c r="AA186" s="365">
        <v>44664</v>
      </c>
      <c r="AB186" s="365">
        <v>44761</v>
      </c>
      <c r="AC186" s="451" t="s">
        <v>6118</v>
      </c>
    </row>
    <row r="187" spans="1:32">
      <c r="A187" s="2124">
        <v>44538</v>
      </c>
      <c r="B187" s="2127" t="s">
        <v>10573</v>
      </c>
      <c r="C187" s="2125" t="s">
        <v>58</v>
      </c>
      <c r="D187" s="2125" t="s">
        <v>4969</v>
      </c>
      <c r="E187" s="2126" t="s">
        <v>10574</v>
      </c>
      <c r="F187" s="2125"/>
      <c r="G187" s="2127"/>
      <c r="H187" s="2085"/>
      <c r="I187" s="2125" t="s">
        <v>77</v>
      </c>
      <c r="J187" s="2125" t="s">
        <v>10575</v>
      </c>
      <c r="K187" s="2128">
        <v>1040500</v>
      </c>
      <c r="L187" s="2125" t="s">
        <v>112</v>
      </c>
      <c r="M187" s="2124">
        <v>44553</v>
      </c>
      <c r="N187" s="2124">
        <v>44572</v>
      </c>
      <c r="O187" s="2125"/>
      <c r="P187" s="2136" t="s">
        <v>304</v>
      </c>
      <c r="Q187" s="2275" t="s">
        <v>10799</v>
      </c>
      <c r="R187" s="2128"/>
      <c r="S187" s="2128"/>
      <c r="T187" s="2094"/>
      <c r="U187" s="2094"/>
      <c r="V187" s="2094"/>
      <c r="W187" s="2128"/>
      <c r="X187" s="2128"/>
      <c r="Y187" s="2125"/>
      <c r="Z187" s="2124">
        <v>44572</v>
      </c>
      <c r="AA187" s="2125"/>
      <c r="AB187" s="2125"/>
      <c r="AC187" s="2125"/>
    </row>
    <row r="188" spans="1:32" ht="15.75" thickBot="1">
      <c r="A188" s="416">
        <v>44546</v>
      </c>
      <c r="B188" s="630" t="s">
        <v>10599</v>
      </c>
      <c r="C188" s="411" t="s">
        <v>69</v>
      </c>
      <c r="D188" s="411" t="s">
        <v>70</v>
      </c>
      <c r="E188" s="412" t="s">
        <v>10587</v>
      </c>
      <c r="F188" s="411"/>
      <c r="G188" s="630"/>
      <c r="H188" s="411"/>
      <c r="I188" s="411" t="s">
        <v>814</v>
      </c>
      <c r="J188" s="411"/>
      <c r="K188" s="417">
        <v>3833895</v>
      </c>
      <c r="L188" s="411" t="s">
        <v>251</v>
      </c>
      <c r="M188" s="416">
        <v>44551</v>
      </c>
      <c r="N188" s="416">
        <v>44585</v>
      </c>
      <c r="O188" s="416">
        <v>44607</v>
      </c>
      <c r="P188" s="630" t="s">
        <v>1646</v>
      </c>
      <c r="Q188" s="411"/>
      <c r="R188" s="417">
        <v>3815666.17</v>
      </c>
      <c r="S188" s="417">
        <v>4197232.79</v>
      </c>
      <c r="T188" s="1480"/>
      <c r="U188" s="1480"/>
      <c r="V188" s="1480"/>
      <c r="W188" s="513">
        <v>44607</v>
      </c>
      <c r="X188" s="417" t="s">
        <v>11077</v>
      </c>
      <c r="Y188" s="416">
        <v>44648</v>
      </c>
      <c r="Z188" s="416">
        <v>44649</v>
      </c>
      <c r="AA188" s="416">
        <v>45743</v>
      </c>
      <c r="AB188" s="422" t="s">
        <v>11443</v>
      </c>
      <c r="AC188" s="422">
        <v>2023</v>
      </c>
      <c r="AD188" s="388">
        <v>2024</v>
      </c>
      <c r="AE188" s="388" t="s">
        <v>11444</v>
      </c>
    </row>
    <row r="189" spans="1:32" ht="15.75" thickTop="1">
      <c r="A189" s="474">
        <v>44546</v>
      </c>
      <c r="B189" s="1420" t="s">
        <v>10600</v>
      </c>
      <c r="C189" s="453" t="s">
        <v>69</v>
      </c>
      <c r="D189" s="453" t="s">
        <v>70</v>
      </c>
      <c r="E189" s="473" t="s">
        <v>10610</v>
      </c>
      <c r="F189" s="453">
        <v>1</v>
      </c>
      <c r="G189" s="1420" t="s">
        <v>10588</v>
      </c>
      <c r="H189" s="453"/>
      <c r="I189" s="453" t="s">
        <v>93</v>
      </c>
      <c r="J189" s="453"/>
      <c r="K189" s="457">
        <v>10393222</v>
      </c>
      <c r="L189" s="453" t="s">
        <v>251</v>
      </c>
      <c r="M189" s="474">
        <v>44553</v>
      </c>
      <c r="N189" s="474">
        <v>44588</v>
      </c>
      <c r="O189" s="474">
        <v>44610</v>
      </c>
      <c r="P189" s="1420" t="s">
        <v>1318</v>
      </c>
      <c r="Q189" s="453"/>
      <c r="R189" s="457">
        <v>10389053.4</v>
      </c>
      <c r="S189" s="457">
        <v>11427958.470000001</v>
      </c>
      <c r="T189" s="1474"/>
      <c r="U189" s="1474"/>
      <c r="V189" s="1474"/>
      <c r="W189" s="570">
        <v>44610</v>
      </c>
      <c r="X189" s="457" t="s">
        <v>11113</v>
      </c>
      <c r="Y189" s="474">
        <v>44631</v>
      </c>
      <c r="Z189" s="474">
        <v>44648</v>
      </c>
      <c r="AA189" s="474">
        <v>45726</v>
      </c>
      <c r="AB189" s="1391" t="s">
        <v>11323</v>
      </c>
      <c r="AC189" s="1391">
        <v>2023</v>
      </c>
      <c r="AD189" s="388">
        <v>2024</v>
      </c>
      <c r="AE189" s="388" t="s">
        <v>11324</v>
      </c>
    </row>
    <row r="190" spans="1:32">
      <c r="A190" s="2140">
        <v>44546</v>
      </c>
      <c r="B190" s="2143" t="s">
        <v>10600</v>
      </c>
      <c r="C190" s="2141" t="s">
        <v>69</v>
      </c>
      <c r="D190" s="2141" t="s">
        <v>70</v>
      </c>
      <c r="E190" s="2142" t="s">
        <v>10610</v>
      </c>
      <c r="F190" s="2141">
        <v>2</v>
      </c>
      <c r="G190" s="2143" t="s">
        <v>10589</v>
      </c>
      <c r="H190" s="2141"/>
      <c r="I190" s="2141" t="s">
        <v>68</v>
      </c>
      <c r="J190" s="2141"/>
      <c r="K190" s="2144">
        <v>13524393</v>
      </c>
      <c r="L190" s="2141" t="s">
        <v>251</v>
      </c>
      <c r="M190" s="2140">
        <v>44553</v>
      </c>
      <c r="N190" s="2140">
        <v>44588</v>
      </c>
      <c r="O190" s="2140">
        <v>44610</v>
      </c>
      <c r="P190" s="2143" t="s">
        <v>2548</v>
      </c>
      <c r="Q190" s="2141"/>
      <c r="R190" s="2144">
        <v>7610779.2599999998</v>
      </c>
      <c r="S190" s="2144">
        <v>8371857.1900000004</v>
      </c>
      <c r="T190" s="2145"/>
      <c r="U190" s="2145"/>
      <c r="V190" s="2145"/>
      <c r="W190" s="2146">
        <v>44610</v>
      </c>
      <c r="X190" s="2144" t="s">
        <v>11114</v>
      </c>
      <c r="Y190" s="2140">
        <v>44637</v>
      </c>
      <c r="Z190" s="2140">
        <v>44648</v>
      </c>
      <c r="AA190" s="2140">
        <v>45732</v>
      </c>
      <c r="AB190" s="2109" t="s">
        <v>11354</v>
      </c>
      <c r="AC190" s="2109">
        <v>2023</v>
      </c>
      <c r="AD190" s="388">
        <v>2024</v>
      </c>
      <c r="AE190" s="388" t="s">
        <v>11356</v>
      </c>
    </row>
    <row r="191" spans="1:32">
      <c r="A191" s="2140">
        <v>44546</v>
      </c>
      <c r="B191" s="2143" t="s">
        <v>10600</v>
      </c>
      <c r="C191" s="2141" t="s">
        <v>69</v>
      </c>
      <c r="D191" s="2141" t="s">
        <v>70</v>
      </c>
      <c r="E191" s="2142" t="s">
        <v>10610</v>
      </c>
      <c r="F191" s="2141">
        <v>3</v>
      </c>
      <c r="G191" s="2143" t="s">
        <v>5435</v>
      </c>
      <c r="H191" s="2141"/>
      <c r="I191" s="2141" t="s">
        <v>93</v>
      </c>
      <c r="J191" s="2141"/>
      <c r="K191" s="2144">
        <v>5983454</v>
      </c>
      <c r="L191" s="2141" t="s">
        <v>251</v>
      </c>
      <c r="M191" s="2140">
        <v>44553</v>
      </c>
      <c r="N191" s="2140">
        <v>44588</v>
      </c>
      <c r="O191" s="2140">
        <v>44610</v>
      </c>
      <c r="P191" s="2143" t="s">
        <v>2548</v>
      </c>
      <c r="Q191" s="2141"/>
      <c r="R191" s="2144">
        <v>5971911.54</v>
      </c>
      <c r="S191" s="2144">
        <v>6569102.6900000004</v>
      </c>
      <c r="T191" s="2145"/>
      <c r="U191" s="2145"/>
      <c r="V191" s="2145"/>
      <c r="W191" s="2146">
        <v>44610</v>
      </c>
      <c r="X191" s="2144" t="s">
        <v>11115</v>
      </c>
      <c r="Y191" s="2140">
        <v>44637</v>
      </c>
      <c r="Z191" s="2140">
        <v>44648</v>
      </c>
      <c r="AA191" s="2140">
        <v>45732</v>
      </c>
      <c r="AB191" s="2109" t="s">
        <v>11354</v>
      </c>
      <c r="AC191" s="2109">
        <v>2023</v>
      </c>
      <c r="AD191" s="388">
        <v>2024</v>
      </c>
      <c r="AE191" s="388" t="s">
        <v>11356</v>
      </c>
    </row>
    <row r="192" spans="1:32" ht="15.75" thickBot="1">
      <c r="A192" s="2117">
        <v>44546</v>
      </c>
      <c r="B192" s="2120" t="s">
        <v>10600</v>
      </c>
      <c r="C192" s="2118" t="s">
        <v>69</v>
      </c>
      <c r="D192" s="2118" t="s">
        <v>70</v>
      </c>
      <c r="E192" s="2119" t="s">
        <v>10610</v>
      </c>
      <c r="F192" s="2118">
        <v>4</v>
      </c>
      <c r="G192" s="2120" t="s">
        <v>10590</v>
      </c>
      <c r="H192" s="2118"/>
      <c r="I192" s="2118" t="s">
        <v>93</v>
      </c>
      <c r="J192" s="2118"/>
      <c r="K192" s="2121">
        <v>7206684</v>
      </c>
      <c r="L192" s="2118" t="s">
        <v>251</v>
      </c>
      <c r="M192" s="2117">
        <v>44553</v>
      </c>
      <c r="N192" s="2117">
        <v>44588</v>
      </c>
      <c r="O192" s="2117">
        <v>44610</v>
      </c>
      <c r="P192" s="2120" t="s">
        <v>576</v>
      </c>
      <c r="Q192" s="2118"/>
      <c r="R192" s="2121">
        <v>7206683.2800000003</v>
      </c>
      <c r="S192" s="2121">
        <v>7927351.6100000003</v>
      </c>
      <c r="T192" s="2122"/>
      <c r="U192" s="2122"/>
      <c r="V192" s="2122"/>
      <c r="W192" s="2123">
        <v>44610</v>
      </c>
      <c r="X192" s="2562" t="s">
        <v>11116</v>
      </c>
      <c r="Y192" s="2117">
        <v>44642</v>
      </c>
      <c r="Z192" s="2117">
        <v>44648</v>
      </c>
      <c r="AA192" s="2117">
        <v>45737</v>
      </c>
      <c r="AB192" s="2110" t="s">
        <v>11386</v>
      </c>
      <c r="AC192" s="2110">
        <v>2023</v>
      </c>
      <c r="AD192" s="388">
        <v>2024</v>
      </c>
      <c r="AE192" s="388" t="s">
        <v>11388</v>
      </c>
    </row>
    <row r="193" spans="1:32" ht="15.75" thickTop="1">
      <c r="A193" s="443">
        <v>44546</v>
      </c>
      <c r="B193" s="1431" t="s">
        <v>10601</v>
      </c>
      <c r="C193" s="439" t="s">
        <v>69</v>
      </c>
      <c r="D193" s="439" t="s">
        <v>70</v>
      </c>
      <c r="E193" s="440" t="s">
        <v>10591</v>
      </c>
      <c r="F193" s="439">
        <v>1</v>
      </c>
      <c r="G193" s="1431" t="s">
        <v>5414</v>
      </c>
      <c r="H193" s="439"/>
      <c r="I193" s="1888" t="s">
        <v>3187</v>
      </c>
      <c r="J193" s="439"/>
      <c r="K193" s="444">
        <v>504160</v>
      </c>
      <c r="L193" s="439" t="s">
        <v>251</v>
      </c>
      <c r="M193" s="443">
        <v>44551</v>
      </c>
      <c r="N193" s="443">
        <v>44585</v>
      </c>
      <c r="O193" s="439"/>
      <c r="P193" s="753" t="s">
        <v>304</v>
      </c>
      <c r="Q193" s="439"/>
      <c r="R193" s="444"/>
      <c r="S193" s="444"/>
      <c r="T193" s="1481"/>
      <c r="U193" s="1481"/>
      <c r="V193" s="1481"/>
      <c r="W193" s="444"/>
      <c r="X193" s="444"/>
      <c r="Y193" s="439"/>
      <c r="Z193" s="443">
        <v>44650</v>
      </c>
      <c r="AA193" s="1431" t="s">
        <v>11197</v>
      </c>
      <c r="AB193" s="439"/>
      <c r="AC193" s="439"/>
    </row>
    <row r="194" spans="1:32">
      <c r="A194" s="2140">
        <v>44546</v>
      </c>
      <c r="B194" s="2143" t="s">
        <v>10601</v>
      </c>
      <c r="C194" s="2141" t="s">
        <v>69</v>
      </c>
      <c r="D194" s="2141" t="s">
        <v>70</v>
      </c>
      <c r="E194" s="2142" t="s">
        <v>10591</v>
      </c>
      <c r="F194" s="2141">
        <v>2</v>
      </c>
      <c r="G194" s="2143" t="s">
        <v>5415</v>
      </c>
      <c r="H194" s="2141"/>
      <c r="I194" s="2264" t="s">
        <v>3187</v>
      </c>
      <c r="J194" s="2141"/>
      <c r="K194" s="2144">
        <v>2473707</v>
      </c>
      <c r="L194" s="2141" t="s">
        <v>251</v>
      </c>
      <c r="M194" s="2140">
        <v>44551</v>
      </c>
      <c r="N194" s="2140">
        <v>44585</v>
      </c>
      <c r="O194" s="2140">
        <v>44622</v>
      </c>
      <c r="P194" s="2143" t="s">
        <v>576</v>
      </c>
      <c r="Q194" s="2141"/>
      <c r="R194" s="2144">
        <v>2469282.27</v>
      </c>
      <c r="S194" s="2144">
        <v>2716210.5</v>
      </c>
      <c r="T194" s="2145"/>
      <c r="U194" s="2145"/>
      <c r="V194" s="2145"/>
      <c r="W194" s="2146">
        <v>44622</v>
      </c>
      <c r="X194" s="2144" t="s">
        <v>11190</v>
      </c>
      <c r="Y194" s="2140">
        <v>44655</v>
      </c>
      <c r="Z194" s="2140">
        <v>44671</v>
      </c>
      <c r="AA194" s="2140">
        <v>45750</v>
      </c>
      <c r="AB194" s="2109" t="s">
        <v>11492</v>
      </c>
      <c r="AC194" s="2109">
        <v>2023</v>
      </c>
      <c r="AD194" s="388">
        <v>2024</v>
      </c>
      <c r="AE194" s="388" t="s">
        <v>11493</v>
      </c>
    </row>
    <row r="195" spans="1:32">
      <c r="A195" s="2140">
        <v>44546</v>
      </c>
      <c r="B195" s="2143" t="s">
        <v>10601</v>
      </c>
      <c r="C195" s="2141" t="s">
        <v>69</v>
      </c>
      <c r="D195" s="2141" t="s">
        <v>70</v>
      </c>
      <c r="E195" s="2142" t="s">
        <v>10591</v>
      </c>
      <c r="F195" s="2141">
        <v>3</v>
      </c>
      <c r="G195" s="2143" t="s">
        <v>5416</v>
      </c>
      <c r="H195" s="2141"/>
      <c r="I195" s="2264" t="s">
        <v>3187</v>
      </c>
      <c r="J195" s="2141"/>
      <c r="K195" s="2144">
        <v>1853837</v>
      </c>
      <c r="L195" s="2141" t="s">
        <v>251</v>
      </c>
      <c r="M195" s="2140">
        <v>44551</v>
      </c>
      <c r="N195" s="2140">
        <v>44585</v>
      </c>
      <c r="O195" s="2140">
        <v>44622</v>
      </c>
      <c r="P195" s="2143" t="s">
        <v>576</v>
      </c>
      <c r="Q195" s="2141"/>
      <c r="R195" s="2144">
        <v>1850139.54</v>
      </c>
      <c r="S195" s="2144">
        <v>2035153.49</v>
      </c>
      <c r="T195" s="2145"/>
      <c r="U195" s="2145"/>
      <c r="V195" s="2145"/>
      <c r="W195" s="2146">
        <v>44622</v>
      </c>
      <c r="X195" s="2144" t="s">
        <v>11191</v>
      </c>
      <c r="Y195" s="2140">
        <v>44655</v>
      </c>
      <c r="Z195" s="2140">
        <v>44671</v>
      </c>
      <c r="AA195" s="2140">
        <v>45750</v>
      </c>
      <c r="AB195" s="2109" t="s">
        <v>11492</v>
      </c>
      <c r="AC195" s="2109">
        <v>2023</v>
      </c>
      <c r="AD195" s="388">
        <v>2024</v>
      </c>
      <c r="AE195" s="388" t="s">
        <v>11493</v>
      </c>
    </row>
    <row r="196" spans="1:32">
      <c r="A196" s="2140">
        <v>44546</v>
      </c>
      <c r="B196" s="2143" t="s">
        <v>10601</v>
      </c>
      <c r="C196" s="2141" t="s">
        <v>69</v>
      </c>
      <c r="D196" s="2141" t="s">
        <v>70</v>
      </c>
      <c r="E196" s="2142" t="s">
        <v>10591</v>
      </c>
      <c r="F196" s="2141">
        <v>4</v>
      </c>
      <c r="G196" s="2143" t="s">
        <v>5417</v>
      </c>
      <c r="H196" s="2141"/>
      <c r="I196" s="2264" t="s">
        <v>3187</v>
      </c>
      <c r="J196" s="2141"/>
      <c r="K196" s="2144">
        <v>1895882</v>
      </c>
      <c r="L196" s="2141" t="s">
        <v>251</v>
      </c>
      <c r="M196" s="2140">
        <v>44551</v>
      </c>
      <c r="N196" s="2140">
        <v>44585</v>
      </c>
      <c r="O196" s="2140">
        <v>44622</v>
      </c>
      <c r="P196" s="2143" t="s">
        <v>2548</v>
      </c>
      <c r="Q196" s="2141"/>
      <c r="R196" s="2144">
        <v>1870520.13</v>
      </c>
      <c r="S196" s="2144">
        <v>2057572.14</v>
      </c>
      <c r="T196" s="2145"/>
      <c r="U196" s="2145"/>
      <c r="V196" s="2145"/>
      <c r="W196" s="2146">
        <v>44622</v>
      </c>
      <c r="X196" s="2144" t="s">
        <v>11192</v>
      </c>
      <c r="Y196" s="2140">
        <v>44655</v>
      </c>
      <c r="Z196" s="2140">
        <v>44671</v>
      </c>
      <c r="AA196" s="2140">
        <v>45750</v>
      </c>
      <c r="AB196" s="2109" t="s">
        <v>11492</v>
      </c>
      <c r="AC196" s="2109">
        <v>2023</v>
      </c>
      <c r="AD196" s="388">
        <v>2024</v>
      </c>
      <c r="AE196" s="388" t="s">
        <v>11493</v>
      </c>
    </row>
    <row r="197" spans="1:32">
      <c r="A197" s="2140">
        <v>44546</v>
      </c>
      <c r="B197" s="2143" t="s">
        <v>10601</v>
      </c>
      <c r="C197" s="2141" t="s">
        <v>69</v>
      </c>
      <c r="D197" s="2141" t="s">
        <v>70</v>
      </c>
      <c r="E197" s="2142" t="s">
        <v>10591</v>
      </c>
      <c r="F197" s="2141">
        <v>5</v>
      </c>
      <c r="G197" s="2143" t="s">
        <v>5418</v>
      </c>
      <c r="H197" s="2085"/>
      <c r="I197" s="2264" t="s">
        <v>3187</v>
      </c>
      <c r="J197" s="2141"/>
      <c r="K197" s="2144">
        <v>1544455</v>
      </c>
      <c r="L197" s="2141" t="s">
        <v>251</v>
      </c>
      <c r="M197" s="2140">
        <v>44551</v>
      </c>
      <c r="N197" s="2140">
        <v>44585</v>
      </c>
      <c r="O197" s="2140">
        <v>44622</v>
      </c>
      <c r="P197" s="2143" t="s">
        <v>1646</v>
      </c>
      <c r="Q197" s="2141"/>
      <c r="R197" s="2144">
        <v>1543219.26</v>
      </c>
      <c r="S197" s="2144">
        <v>1697541.19</v>
      </c>
      <c r="T197" s="2094"/>
      <c r="U197" s="2094"/>
      <c r="V197" s="2094"/>
      <c r="W197" s="2146">
        <v>44622</v>
      </c>
      <c r="X197" s="2144" t="s">
        <v>11193</v>
      </c>
      <c r="Y197" s="2140">
        <v>44670</v>
      </c>
      <c r="Z197" s="2140">
        <v>44671</v>
      </c>
      <c r="AA197" s="2140">
        <v>45765</v>
      </c>
      <c r="AB197" s="2109" t="s">
        <v>11595</v>
      </c>
      <c r="AC197" s="2109">
        <v>2023</v>
      </c>
      <c r="AD197" s="388">
        <v>2024</v>
      </c>
      <c r="AE197" s="388" t="s">
        <v>11598</v>
      </c>
    </row>
    <row r="198" spans="1:32">
      <c r="A198" s="2140">
        <v>44546</v>
      </c>
      <c r="B198" s="2143" t="s">
        <v>10601</v>
      </c>
      <c r="C198" s="2141" t="s">
        <v>69</v>
      </c>
      <c r="D198" s="2141" t="s">
        <v>70</v>
      </c>
      <c r="E198" s="2142" t="s">
        <v>10591</v>
      </c>
      <c r="F198" s="2141">
        <v>6</v>
      </c>
      <c r="G198" s="2143" t="s">
        <v>5419</v>
      </c>
      <c r="H198" s="2141"/>
      <c r="I198" s="2264" t="s">
        <v>3187</v>
      </c>
      <c r="J198" s="2141"/>
      <c r="K198" s="2144">
        <v>2890813</v>
      </c>
      <c r="L198" s="2141" t="s">
        <v>251</v>
      </c>
      <c r="M198" s="2140">
        <v>44551</v>
      </c>
      <c r="N198" s="2140">
        <v>44585</v>
      </c>
      <c r="O198" s="2140">
        <v>44622</v>
      </c>
      <c r="P198" s="2143" t="s">
        <v>2548</v>
      </c>
      <c r="Q198" s="2141"/>
      <c r="R198" s="2144">
        <v>2883830.88</v>
      </c>
      <c r="S198" s="2144">
        <v>3172213.97</v>
      </c>
      <c r="T198" s="2145"/>
      <c r="U198" s="2145"/>
      <c r="V198" s="2145"/>
      <c r="W198" s="2146">
        <v>44622</v>
      </c>
      <c r="X198" s="2144" t="s">
        <v>11194</v>
      </c>
      <c r="Y198" s="2140">
        <v>44655</v>
      </c>
      <c r="Z198" s="2140">
        <v>44671</v>
      </c>
      <c r="AA198" s="2140">
        <v>45750</v>
      </c>
      <c r="AB198" s="2109" t="s">
        <v>11492</v>
      </c>
      <c r="AC198" s="2109">
        <v>2023</v>
      </c>
      <c r="AD198" s="388">
        <v>2024</v>
      </c>
      <c r="AE198" s="388" t="s">
        <v>11493</v>
      </c>
    </row>
    <row r="199" spans="1:32" ht="15.75" thickBot="1">
      <c r="A199" s="2117">
        <v>44546</v>
      </c>
      <c r="B199" s="2120" t="s">
        <v>10601</v>
      </c>
      <c r="C199" s="2118" t="s">
        <v>69</v>
      </c>
      <c r="D199" s="2118" t="s">
        <v>70</v>
      </c>
      <c r="E199" s="2119" t="s">
        <v>10591</v>
      </c>
      <c r="F199" s="2118">
        <v>7</v>
      </c>
      <c r="G199" s="2120" t="s">
        <v>5420</v>
      </c>
      <c r="H199" s="2118"/>
      <c r="I199" s="2266" t="s">
        <v>3187</v>
      </c>
      <c r="J199" s="2118"/>
      <c r="K199" s="2121">
        <v>6193398</v>
      </c>
      <c r="L199" s="2118" t="s">
        <v>251</v>
      </c>
      <c r="M199" s="2117">
        <v>44551</v>
      </c>
      <c r="N199" s="2117">
        <v>44585</v>
      </c>
      <c r="O199" s="2117">
        <v>44622</v>
      </c>
      <c r="P199" s="2120" t="s">
        <v>2548</v>
      </c>
      <c r="Q199" s="2118"/>
      <c r="R199" s="2121">
        <v>6148056.1799999997</v>
      </c>
      <c r="S199" s="2121">
        <v>6762861.7999999998</v>
      </c>
      <c r="T199" s="2122"/>
      <c r="U199" s="2122"/>
      <c r="V199" s="2122"/>
      <c r="W199" s="2123">
        <v>44622</v>
      </c>
      <c r="X199" s="2121" t="s">
        <v>11195</v>
      </c>
      <c r="Y199" s="2117">
        <v>44655</v>
      </c>
      <c r="Z199" s="2117">
        <v>44671</v>
      </c>
      <c r="AA199" s="2117">
        <v>45750</v>
      </c>
      <c r="AB199" s="2110" t="s">
        <v>11492</v>
      </c>
      <c r="AC199" s="2110">
        <v>2023</v>
      </c>
      <c r="AD199" s="388">
        <v>2024</v>
      </c>
      <c r="AE199" s="388" t="s">
        <v>11493</v>
      </c>
    </row>
    <row r="200" spans="1:32" ht="15.75" thickTop="1">
      <c r="A200" s="365">
        <v>44546</v>
      </c>
      <c r="B200" s="2646" t="s">
        <v>10602</v>
      </c>
      <c r="C200" s="2550" t="s">
        <v>69</v>
      </c>
      <c r="D200" s="2550" t="s">
        <v>70</v>
      </c>
      <c r="E200" s="175" t="s">
        <v>10592</v>
      </c>
      <c r="F200" s="2550"/>
      <c r="G200" s="2551"/>
      <c r="H200" s="2550"/>
      <c r="I200" s="2550" t="s">
        <v>2418</v>
      </c>
      <c r="J200" s="2550"/>
      <c r="K200" s="364">
        <v>1454316</v>
      </c>
      <c r="L200" s="2550" t="s">
        <v>251</v>
      </c>
      <c r="M200" s="365">
        <v>44547</v>
      </c>
      <c r="N200" s="365">
        <v>44581</v>
      </c>
      <c r="O200" s="365">
        <v>44607</v>
      </c>
      <c r="P200" s="2551" t="s">
        <v>576</v>
      </c>
      <c r="Q200" s="2550"/>
      <c r="R200" s="364">
        <v>1386859.23</v>
      </c>
      <c r="S200" s="364">
        <v>1525545.15</v>
      </c>
      <c r="T200" s="1473"/>
      <c r="U200" s="1473"/>
      <c r="V200" s="1473"/>
      <c r="W200" s="681">
        <v>44607</v>
      </c>
      <c r="X200" s="364" t="s">
        <v>11078</v>
      </c>
      <c r="Y200" s="365">
        <v>44631</v>
      </c>
      <c r="Z200" s="365">
        <v>44635</v>
      </c>
      <c r="AA200" s="365">
        <v>45726</v>
      </c>
      <c r="AB200" s="451" t="s">
        <v>11323</v>
      </c>
      <c r="AC200" s="451">
        <v>2023</v>
      </c>
      <c r="AD200" s="388">
        <v>2024</v>
      </c>
      <c r="AE200" s="388" t="s">
        <v>11324</v>
      </c>
    </row>
    <row r="201" spans="1:32" ht="30">
      <c r="A201" s="2140">
        <v>44547</v>
      </c>
      <c r="B201" s="2143" t="s">
        <v>10624</v>
      </c>
      <c r="C201" s="2141" t="s">
        <v>2434</v>
      </c>
      <c r="D201" s="2141" t="s">
        <v>219</v>
      </c>
      <c r="E201" s="2142" t="s">
        <v>10625</v>
      </c>
      <c r="F201" s="2141"/>
      <c r="G201" s="2143"/>
      <c r="H201" s="2141"/>
      <c r="I201" s="2141" t="s">
        <v>3013</v>
      </c>
      <c r="J201" s="2141"/>
      <c r="K201" s="2144">
        <v>2294037</v>
      </c>
      <c r="L201" s="2141" t="s">
        <v>251</v>
      </c>
      <c r="M201" s="2140">
        <v>44564</v>
      </c>
      <c r="N201" s="2140">
        <v>44596</v>
      </c>
      <c r="O201" s="2140">
        <v>44636</v>
      </c>
      <c r="P201" s="2143" t="s">
        <v>4692</v>
      </c>
      <c r="Q201" s="2141"/>
      <c r="R201" s="2144">
        <v>2294037</v>
      </c>
      <c r="S201" s="2144">
        <v>2638142.5499999998</v>
      </c>
      <c r="T201" s="2145"/>
      <c r="U201" s="2145"/>
      <c r="V201" s="2145"/>
      <c r="W201" s="2146">
        <v>44636</v>
      </c>
      <c r="X201" s="2260" t="s">
        <v>11347</v>
      </c>
      <c r="Y201" s="2140">
        <v>44663</v>
      </c>
      <c r="Z201" s="2140">
        <v>44676</v>
      </c>
      <c r="AA201" s="2140">
        <v>45758</v>
      </c>
      <c r="AB201" s="2109" t="s">
        <v>11577</v>
      </c>
      <c r="AC201" s="2109">
        <v>2023</v>
      </c>
      <c r="AD201" s="388">
        <v>2024</v>
      </c>
      <c r="AE201" s="388" t="s">
        <v>11578</v>
      </c>
    </row>
    <row r="202" spans="1:32" ht="15.75" thickBot="1">
      <c r="A202" s="416">
        <v>44559</v>
      </c>
      <c r="B202" s="630" t="s">
        <v>10631</v>
      </c>
      <c r="C202" s="411" t="s">
        <v>69</v>
      </c>
      <c r="D202" s="411" t="s">
        <v>70</v>
      </c>
      <c r="E202" s="412" t="s">
        <v>10632</v>
      </c>
      <c r="F202" s="411"/>
      <c r="G202" s="630"/>
      <c r="H202" s="411"/>
      <c r="I202" s="411" t="s">
        <v>3436</v>
      </c>
      <c r="J202" s="411"/>
      <c r="K202" s="417">
        <v>63821520</v>
      </c>
      <c r="L202" s="411" t="s">
        <v>251</v>
      </c>
      <c r="M202" s="416">
        <v>44566</v>
      </c>
      <c r="N202" s="416">
        <v>44600</v>
      </c>
      <c r="O202" s="416">
        <v>44623</v>
      </c>
      <c r="P202" s="630" t="s">
        <v>2490</v>
      </c>
      <c r="Q202" s="411"/>
      <c r="R202" s="417">
        <v>63821520</v>
      </c>
      <c r="S202" s="417">
        <v>70203672</v>
      </c>
      <c r="T202" s="1480"/>
      <c r="U202" s="1480"/>
      <c r="V202" s="1480"/>
      <c r="W202" s="513">
        <v>44623</v>
      </c>
      <c r="X202" s="417" t="s">
        <v>11202</v>
      </c>
      <c r="Y202" s="416">
        <v>44648</v>
      </c>
      <c r="Z202" s="416">
        <v>44650</v>
      </c>
      <c r="AA202" s="416">
        <v>45743</v>
      </c>
      <c r="AB202" s="422" t="s">
        <v>11443</v>
      </c>
      <c r="AC202" s="422">
        <v>2023</v>
      </c>
      <c r="AD202" s="1236" t="s">
        <v>14527</v>
      </c>
    </row>
    <row r="203" spans="1:32" ht="45">
      <c r="A203" s="2592">
        <v>44546</v>
      </c>
      <c r="B203" s="2595" t="s">
        <v>10633</v>
      </c>
      <c r="C203" s="2593" t="s">
        <v>9694</v>
      </c>
      <c r="D203" s="2593" t="s">
        <v>4969</v>
      </c>
      <c r="E203" s="2594" t="s">
        <v>10677</v>
      </c>
      <c r="F203" s="2593"/>
      <c r="G203" s="2595"/>
      <c r="H203" s="2593"/>
      <c r="I203" s="2593" t="s">
        <v>8491</v>
      </c>
      <c r="J203" s="2593" t="s">
        <v>10634</v>
      </c>
      <c r="K203" s="2596">
        <v>1828000</v>
      </c>
      <c r="L203" s="2593" t="s">
        <v>251</v>
      </c>
      <c r="M203" s="2592">
        <v>44594</v>
      </c>
      <c r="N203" s="2592">
        <v>44629</v>
      </c>
      <c r="O203" s="2592">
        <v>44656</v>
      </c>
      <c r="P203" s="2595" t="s">
        <v>7131</v>
      </c>
      <c r="Q203" s="2593"/>
      <c r="R203" s="2596">
        <v>2251608</v>
      </c>
      <c r="S203" s="2596">
        <v>2724445.68</v>
      </c>
      <c r="T203" s="2597"/>
      <c r="U203" s="2597"/>
      <c r="V203" s="2597"/>
      <c r="W203" s="2598">
        <v>44656</v>
      </c>
      <c r="X203" s="2599" t="s">
        <v>11500</v>
      </c>
      <c r="Y203" s="2592">
        <v>44683</v>
      </c>
      <c r="Z203" s="2592">
        <v>44685</v>
      </c>
      <c r="AA203" s="2592">
        <v>44767</v>
      </c>
      <c r="AB203" s="2592">
        <v>44802</v>
      </c>
      <c r="AC203" s="2600" t="s">
        <v>6118</v>
      </c>
      <c r="AD203" s="2459"/>
    </row>
    <row r="204" spans="1:32">
      <c r="A204" s="2141" t="s">
        <v>3585</v>
      </c>
      <c r="B204" s="2143" t="s">
        <v>10635</v>
      </c>
      <c r="C204" s="2141" t="s">
        <v>2434</v>
      </c>
      <c r="D204" s="2141" t="s">
        <v>219</v>
      </c>
      <c r="E204" s="2142" t="s">
        <v>10636</v>
      </c>
      <c r="F204" s="2141"/>
      <c r="G204" s="2143"/>
      <c r="H204" s="2141"/>
      <c r="I204" s="2141" t="s">
        <v>642</v>
      </c>
      <c r="J204" s="2141"/>
      <c r="K204" s="2144">
        <v>6336997</v>
      </c>
      <c r="L204" s="2141" t="s">
        <v>251</v>
      </c>
      <c r="M204" s="2140">
        <v>44575</v>
      </c>
      <c r="N204" s="2140">
        <v>44608</v>
      </c>
      <c r="O204" s="2140">
        <v>44620</v>
      </c>
      <c r="P204" s="2143" t="s">
        <v>4523</v>
      </c>
      <c r="Q204" s="2141"/>
      <c r="R204" s="2144">
        <v>6463140</v>
      </c>
      <c r="S204" s="2144">
        <v>7820399.4000000004</v>
      </c>
      <c r="T204" s="2145"/>
      <c r="U204" s="2145"/>
      <c r="V204" s="2145"/>
      <c r="W204" s="2146">
        <v>44621</v>
      </c>
      <c r="X204" s="2144" t="s">
        <v>11180</v>
      </c>
      <c r="Y204" s="2140">
        <v>44684</v>
      </c>
      <c r="Z204" s="2140">
        <v>44690</v>
      </c>
      <c r="AA204" s="2140">
        <v>46144</v>
      </c>
      <c r="AB204" s="2109" t="s">
        <v>11730</v>
      </c>
      <c r="AC204" s="2109">
        <v>2023</v>
      </c>
      <c r="AD204" s="388">
        <v>2024</v>
      </c>
      <c r="AE204" s="388">
        <v>2025</v>
      </c>
      <c r="AF204" s="388" t="s">
        <v>11731</v>
      </c>
    </row>
    <row r="205" spans="1:32">
      <c r="A205" s="2140">
        <v>44560</v>
      </c>
      <c r="B205" s="2143" t="s">
        <v>10639</v>
      </c>
      <c r="C205" s="2141" t="s">
        <v>2434</v>
      </c>
      <c r="D205" s="2141" t="s">
        <v>219</v>
      </c>
      <c r="E205" s="2142" t="s">
        <v>10638</v>
      </c>
      <c r="F205" s="2141"/>
      <c r="G205" s="2143"/>
      <c r="H205" s="2141"/>
      <c r="I205" s="2141" t="s">
        <v>1006</v>
      </c>
      <c r="J205" s="2141"/>
      <c r="K205" s="2144">
        <v>8370000</v>
      </c>
      <c r="L205" s="2141" t="s">
        <v>251</v>
      </c>
      <c r="M205" s="2140">
        <v>44571</v>
      </c>
      <c r="N205" s="2140">
        <v>44617</v>
      </c>
      <c r="O205" s="2140">
        <v>44658</v>
      </c>
      <c r="P205" s="2143" t="s">
        <v>11538</v>
      </c>
      <c r="Q205" s="2141"/>
      <c r="R205" s="2144">
        <v>5940000</v>
      </c>
      <c r="S205" s="2144">
        <v>7187400</v>
      </c>
      <c r="T205" s="2145"/>
      <c r="U205" s="2145"/>
      <c r="V205" s="2145"/>
      <c r="W205" s="2146">
        <v>44658</v>
      </c>
      <c r="X205" s="2144" t="s">
        <v>11537</v>
      </c>
      <c r="Y205" s="2140">
        <v>44691</v>
      </c>
      <c r="Z205" s="2140">
        <v>44701</v>
      </c>
      <c r="AA205" s="2140">
        <v>45055</v>
      </c>
      <c r="AB205" s="2109" t="s">
        <v>11798</v>
      </c>
      <c r="AC205" s="2109" t="s">
        <v>8925</v>
      </c>
    </row>
    <row r="206" spans="1:32" ht="30">
      <c r="A206" s="2140">
        <v>44526</v>
      </c>
      <c r="B206" s="2143" t="s">
        <v>10641</v>
      </c>
      <c r="C206" s="2141" t="s">
        <v>10762</v>
      </c>
      <c r="D206" s="2141" t="s">
        <v>2684</v>
      </c>
      <c r="E206" s="2142" t="s">
        <v>10465</v>
      </c>
      <c r="F206" s="2141"/>
      <c r="G206" s="2143"/>
      <c r="H206" s="2141"/>
      <c r="I206" s="2141" t="s">
        <v>1159</v>
      </c>
      <c r="J206" s="2141" t="s">
        <v>10466</v>
      </c>
      <c r="K206" s="2144">
        <v>9800000</v>
      </c>
      <c r="L206" s="2141" t="s">
        <v>251</v>
      </c>
      <c r="M206" s="2140">
        <v>44568</v>
      </c>
      <c r="N206" s="2140">
        <v>44615</v>
      </c>
      <c r="O206" s="2140">
        <v>44665</v>
      </c>
      <c r="P206" s="2143" t="s">
        <v>7970</v>
      </c>
      <c r="Q206" s="2141"/>
      <c r="R206" s="2144">
        <v>14028200</v>
      </c>
      <c r="S206" s="2144">
        <v>16974122</v>
      </c>
      <c r="T206" s="2145"/>
      <c r="U206" s="2145"/>
      <c r="V206" s="2145"/>
      <c r="W206" s="2146">
        <v>44665</v>
      </c>
      <c r="X206" s="2260" t="s">
        <v>11584</v>
      </c>
      <c r="Y206" s="2140">
        <v>44686</v>
      </c>
      <c r="Z206" s="2140">
        <v>44692</v>
      </c>
      <c r="AA206" s="2141"/>
      <c r="AB206" s="2109"/>
      <c r="AC206" s="2109" t="s">
        <v>1875</v>
      </c>
    </row>
    <row r="207" spans="1:32" ht="30.75" thickBot="1">
      <c r="A207" s="2140">
        <v>44532</v>
      </c>
      <c r="B207" s="2143" t="s">
        <v>10642</v>
      </c>
      <c r="C207" s="2141" t="s">
        <v>10762</v>
      </c>
      <c r="D207" s="2141" t="s">
        <v>2684</v>
      </c>
      <c r="E207" s="2142" t="s">
        <v>10527</v>
      </c>
      <c r="F207" s="2141"/>
      <c r="G207" s="2143"/>
      <c r="H207" s="2141"/>
      <c r="I207" s="2141" t="s">
        <v>10529</v>
      </c>
      <c r="J207" s="2141" t="s">
        <v>10528</v>
      </c>
      <c r="K207" s="2144">
        <v>129000000</v>
      </c>
      <c r="L207" s="2141" t="s">
        <v>251</v>
      </c>
      <c r="M207" s="2140">
        <v>44568</v>
      </c>
      <c r="N207" s="2140">
        <v>44603</v>
      </c>
      <c r="O207" s="2140">
        <v>44629</v>
      </c>
      <c r="P207" s="2143" t="s">
        <v>2525</v>
      </c>
      <c r="Q207" s="2141"/>
      <c r="R207" s="2144">
        <v>108903000</v>
      </c>
      <c r="S207" s="2144">
        <v>131772630</v>
      </c>
      <c r="T207" s="2145"/>
      <c r="U207" s="2145"/>
      <c r="V207" s="2145"/>
      <c r="W207" s="2146">
        <v>44630</v>
      </c>
      <c r="X207" s="2260" t="s">
        <v>11298</v>
      </c>
      <c r="Y207" s="2140">
        <v>44677</v>
      </c>
      <c r="Z207" s="2140">
        <v>44685</v>
      </c>
      <c r="AA207" s="2140">
        <v>45169</v>
      </c>
      <c r="AB207" s="2109"/>
      <c r="AC207" s="2109" t="s">
        <v>1875</v>
      </c>
    </row>
    <row r="208" spans="1:32" ht="30.75" thickTop="1">
      <c r="A208" s="474">
        <v>44585</v>
      </c>
      <c r="B208" s="1420" t="s">
        <v>10644</v>
      </c>
      <c r="C208" s="453" t="s">
        <v>58</v>
      </c>
      <c r="D208" s="453" t="s">
        <v>2684</v>
      </c>
      <c r="E208" s="473" t="s">
        <v>10895</v>
      </c>
      <c r="F208" s="453">
        <v>1</v>
      </c>
      <c r="G208" s="1420" t="s">
        <v>10881</v>
      </c>
      <c r="H208" s="453"/>
      <c r="I208" s="453" t="s">
        <v>5760</v>
      </c>
      <c r="J208" s="453" t="s">
        <v>10435</v>
      </c>
      <c r="K208" s="457">
        <v>730000</v>
      </c>
      <c r="L208" s="453" t="s">
        <v>251</v>
      </c>
      <c r="M208" s="474">
        <v>44592</v>
      </c>
      <c r="N208" s="1998">
        <v>44638</v>
      </c>
      <c r="O208" s="474">
        <v>44665</v>
      </c>
      <c r="P208" s="1420" t="s">
        <v>5696</v>
      </c>
      <c r="Q208" s="453"/>
      <c r="R208" s="457">
        <v>750048</v>
      </c>
      <c r="S208" s="457">
        <v>907558.1</v>
      </c>
      <c r="T208" s="1474"/>
      <c r="U208" s="1474"/>
      <c r="V208" s="1474"/>
      <c r="W208" s="570">
        <v>44670</v>
      </c>
      <c r="X208" s="1387" t="s">
        <v>11601</v>
      </c>
      <c r="Y208" s="474">
        <v>44705</v>
      </c>
      <c r="Z208" s="474">
        <v>44713</v>
      </c>
      <c r="AA208" s="474">
        <v>44747</v>
      </c>
      <c r="AB208" s="474">
        <v>44789</v>
      </c>
      <c r="AC208" s="1391" t="s">
        <v>1875</v>
      </c>
    </row>
    <row r="209" spans="1:32" ht="30">
      <c r="A209" s="2140">
        <v>44585</v>
      </c>
      <c r="B209" s="2143" t="s">
        <v>10644</v>
      </c>
      <c r="C209" s="2141" t="s">
        <v>58</v>
      </c>
      <c r="D209" s="2141" t="s">
        <v>2684</v>
      </c>
      <c r="E209" s="2142" t="s">
        <v>10895</v>
      </c>
      <c r="F209" s="2141">
        <v>2</v>
      </c>
      <c r="G209" s="2143" t="s">
        <v>10884</v>
      </c>
      <c r="H209" s="2141"/>
      <c r="I209" s="2141" t="s">
        <v>5760</v>
      </c>
      <c r="J209" s="2141" t="s">
        <v>10436</v>
      </c>
      <c r="K209" s="2607">
        <v>1140000</v>
      </c>
      <c r="L209" s="2141" t="s">
        <v>251</v>
      </c>
      <c r="M209" s="2140">
        <v>44592</v>
      </c>
      <c r="N209" s="2564">
        <v>44638</v>
      </c>
      <c r="O209" s="2140">
        <v>44665</v>
      </c>
      <c r="P209" s="2143" t="s">
        <v>5696</v>
      </c>
      <c r="Q209" s="2141"/>
      <c r="R209" s="2144">
        <v>1044194</v>
      </c>
      <c r="S209" s="2144">
        <v>1263474.7</v>
      </c>
      <c r="T209" s="2145"/>
      <c r="U209" s="2145"/>
      <c r="V209" s="2145"/>
      <c r="W209" s="2146">
        <v>44670</v>
      </c>
      <c r="X209" s="2260" t="s">
        <v>11602</v>
      </c>
      <c r="Y209" s="2140">
        <v>44705</v>
      </c>
      <c r="Z209" s="2140">
        <v>44713</v>
      </c>
      <c r="AA209" s="2140">
        <v>44747</v>
      </c>
      <c r="AB209" s="2140">
        <v>44774</v>
      </c>
      <c r="AC209" s="2109" t="s">
        <v>1875</v>
      </c>
    </row>
    <row r="210" spans="1:32">
      <c r="A210" s="2124">
        <v>44585</v>
      </c>
      <c r="B210" s="2127" t="s">
        <v>10644</v>
      </c>
      <c r="C210" s="2125" t="s">
        <v>58</v>
      </c>
      <c r="D210" s="2125" t="s">
        <v>2684</v>
      </c>
      <c r="E210" s="2126" t="s">
        <v>10895</v>
      </c>
      <c r="F210" s="2125">
        <v>3</v>
      </c>
      <c r="G210" s="2127" t="s">
        <v>10885</v>
      </c>
      <c r="H210" s="2125"/>
      <c r="I210" s="2125" t="s">
        <v>5760</v>
      </c>
      <c r="J210" s="2125" t="s">
        <v>10882</v>
      </c>
      <c r="K210" s="2128">
        <v>310000</v>
      </c>
      <c r="L210" s="2125" t="s">
        <v>251</v>
      </c>
      <c r="M210" s="2124">
        <v>44592</v>
      </c>
      <c r="N210" s="2124">
        <v>44628</v>
      </c>
      <c r="O210" s="2125"/>
      <c r="P210" s="2136" t="s">
        <v>11041</v>
      </c>
      <c r="Q210" s="2125"/>
      <c r="R210" s="2128"/>
      <c r="S210" s="2128"/>
      <c r="T210" s="2129"/>
      <c r="U210" s="2129"/>
      <c r="V210" s="2129"/>
      <c r="W210" s="2128"/>
      <c r="X210" s="2128"/>
      <c r="Y210" s="2125"/>
      <c r="Z210" s="2124">
        <v>44629</v>
      </c>
      <c r="AA210" s="2127" t="s">
        <v>11183</v>
      </c>
      <c r="AB210" s="2125"/>
      <c r="AC210" s="2125"/>
    </row>
    <row r="211" spans="1:32" ht="30.75" thickBot="1">
      <c r="A211" s="2117">
        <v>44585</v>
      </c>
      <c r="B211" s="2120" t="s">
        <v>10644</v>
      </c>
      <c r="C211" s="2118" t="s">
        <v>58</v>
      </c>
      <c r="D211" s="2118" t="s">
        <v>2684</v>
      </c>
      <c r="E211" s="2119" t="s">
        <v>10895</v>
      </c>
      <c r="F211" s="2118">
        <v>4</v>
      </c>
      <c r="G211" s="2120" t="s">
        <v>10886</v>
      </c>
      <c r="H211" s="2118"/>
      <c r="I211" s="2118" t="s">
        <v>5760</v>
      </c>
      <c r="J211" s="2118" t="s">
        <v>10883</v>
      </c>
      <c r="K211" s="2121">
        <v>230000</v>
      </c>
      <c r="L211" s="2118" t="s">
        <v>251</v>
      </c>
      <c r="M211" s="2117">
        <v>44592</v>
      </c>
      <c r="N211" s="2565">
        <v>44638</v>
      </c>
      <c r="O211" s="2117">
        <v>44665</v>
      </c>
      <c r="P211" s="2120" t="s">
        <v>11468</v>
      </c>
      <c r="Q211" s="2118"/>
      <c r="R211" s="2121">
        <v>333960</v>
      </c>
      <c r="S211" s="2121">
        <v>404091.6</v>
      </c>
      <c r="T211" s="2122"/>
      <c r="U211" s="2122"/>
      <c r="V211" s="2122"/>
      <c r="W211" s="2123">
        <v>44670</v>
      </c>
      <c r="X211" s="2246" t="s">
        <v>11603</v>
      </c>
      <c r="Y211" s="2117">
        <v>44701</v>
      </c>
      <c r="Z211" s="2117">
        <v>44713</v>
      </c>
      <c r="AA211" s="2117">
        <v>44757</v>
      </c>
      <c r="AB211" s="2117">
        <v>44802</v>
      </c>
      <c r="AC211" s="2110" t="s">
        <v>1875</v>
      </c>
    </row>
    <row r="212" spans="1:32" ht="30.75" thickTop="1">
      <c r="A212" s="365">
        <v>44547</v>
      </c>
      <c r="B212" s="2646" t="s">
        <v>10651</v>
      </c>
      <c r="C212" s="2528" t="s">
        <v>2434</v>
      </c>
      <c r="D212" s="2528" t="s">
        <v>219</v>
      </c>
      <c r="E212" s="175" t="s">
        <v>10652</v>
      </c>
      <c r="F212" s="2528"/>
      <c r="G212" s="2529"/>
      <c r="H212" s="2528"/>
      <c r="I212" s="2528" t="s">
        <v>3293</v>
      </c>
      <c r="J212" s="2528"/>
      <c r="K212" s="364">
        <v>593099</v>
      </c>
      <c r="L212" s="2528" t="s">
        <v>112</v>
      </c>
      <c r="M212" s="365">
        <v>44566</v>
      </c>
      <c r="N212" s="365">
        <v>44575</v>
      </c>
      <c r="O212" s="365">
        <v>44588</v>
      </c>
      <c r="P212" s="2529" t="s">
        <v>8793</v>
      </c>
      <c r="Q212" s="2528"/>
      <c r="R212" s="364">
        <v>821700</v>
      </c>
      <c r="S212" s="364">
        <v>994257</v>
      </c>
      <c r="T212" s="1473"/>
      <c r="U212" s="1473"/>
      <c r="V212" s="1473"/>
      <c r="W212" s="681">
        <v>44588</v>
      </c>
      <c r="X212" s="1417" t="s">
        <v>10870</v>
      </c>
      <c r="Y212" s="365">
        <v>44617</v>
      </c>
      <c r="Z212" s="365">
        <v>44617</v>
      </c>
      <c r="AA212" s="365">
        <v>45712</v>
      </c>
      <c r="AB212" s="451" t="s">
        <v>11153</v>
      </c>
      <c r="AC212" s="451">
        <v>2023</v>
      </c>
      <c r="AD212" s="388">
        <v>2024</v>
      </c>
      <c r="AE212" s="388" t="s">
        <v>6481</v>
      </c>
    </row>
    <row r="213" spans="1:32">
      <c r="A213" s="2125" t="s">
        <v>3585</v>
      </c>
      <c r="B213" s="2127" t="s">
        <v>10653</v>
      </c>
      <c r="C213" s="2125" t="s">
        <v>2111</v>
      </c>
      <c r="D213" s="2125" t="s">
        <v>9080</v>
      </c>
      <c r="E213" s="2126" t="s">
        <v>10654</v>
      </c>
      <c r="F213" s="2125">
        <v>1</v>
      </c>
      <c r="G213" s="2127" t="s">
        <v>9349</v>
      </c>
      <c r="H213" s="2125"/>
      <c r="I213" s="2125" t="s">
        <v>9350</v>
      </c>
      <c r="J213" s="2125"/>
      <c r="K213" s="2128">
        <v>5400000</v>
      </c>
      <c r="L213" s="2125" t="s">
        <v>251</v>
      </c>
      <c r="M213" s="2124">
        <v>44581</v>
      </c>
      <c r="N213" s="2124">
        <v>44616</v>
      </c>
      <c r="O213" s="2125"/>
      <c r="P213" s="2136" t="s">
        <v>11991</v>
      </c>
      <c r="Q213" s="2125"/>
      <c r="R213" s="2128"/>
      <c r="S213" s="2128"/>
      <c r="T213" s="2129"/>
      <c r="U213" s="2129"/>
      <c r="V213" s="2129"/>
      <c r="W213" s="2128"/>
      <c r="X213" s="2128"/>
      <c r="Y213" s="2125"/>
      <c r="Z213" s="2124">
        <v>44732</v>
      </c>
      <c r="AA213" s="2125" t="s">
        <v>11968</v>
      </c>
      <c r="AB213" s="2125"/>
      <c r="AC213" s="2125"/>
    </row>
    <row r="214" spans="1:32">
      <c r="A214" s="2141" t="s">
        <v>3585</v>
      </c>
      <c r="B214" s="2143" t="s">
        <v>10653</v>
      </c>
      <c r="C214" s="2141" t="s">
        <v>2111</v>
      </c>
      <c r="D214" s="2141" t="s">
        <v>9080</v>
      </c>
      <c r="E214" s="2142" t="s">
        <v>10654</v>
      </c>
      <c r="F214" s="2141">
        <v>2</v>
      </c>
      <c r="G214" s="2143" t="s">
        <v>9461</v>
      </c>
      <c r="H214" s="2154"/>
      <c r="I214" s="2141" t="s">
        <v>9350</v>
      </c>
      <c r="J214" s="2141"/>
      <c r="K214" s="2144">
        <v>3168000</v>
      </c>
      <c r="L214" s="2141" t="s">
        <v>251</v>
      </c>
      <c r="M214" s="2140">
        <v>44581</v>
      </c>
      <c r="N214" s="2140">
        <v>44616</v>
      </c>
      <c r="O214" s="2140">
        <v>44707</v>
      </c>
      <c r="P214" s="2289" t="s">
        <v>11992</v>
      </c>
      <c r="Q214" s="2141"/>
      <c r="R214" s="2144">
        <v>2808000</v>
      </c>
      <c r="S214" s="2144">
        <v>3397680</v>
      </c>
      <c r="T214" s="2415"/>
      <c r="U214" s="2415"/>
      <c r="V214" s="2415"/>
      <c r="W214" s="2146">
        <v>44712</v>
      </c>
      <c r="X214" s="2144" t="s">
        <v>11993</v>
      </c>
      <c r="Y214" s="2564">
        <v>44729</v>
      </c>
      <c r="Z214" s="2140">
        <v>44732</v>
      </c>
      <c r="AA214" s="1560">
        <v>46189</v>
      </c>
      <c r="AB214" s="2109" t="s">
        <v>12257</v>
      </c>
      <c r="AC214" s="2109">
        <v>2023</v>
      </c>
      <c r="AD214" s="388">
        <v>2024</v>
      </c>
      <c r="AE214" s="388">
        <v>2025</v>
      </c>
      <c r="AF214" s="388" t="s">
        <v>12258</v>
      </c>
    </row>
    <row r="215" spans="1:32" ht="30">
      <c r="A215" s="2140">
        <v>44550</v>
      </c>
      <c r="B215" s="2143" t="s">
        <v>10658</v>
      </c>
      <c r="C215" s="2141" t="s">
        <v>2434</v>
      </c>
      <c r="D215" s="2141" t="s">
        <v>219</v>
      </c>
      <c r="E215" s="2142" t="s">
        <v>10659</v>
      </c>
      <c r="F215" s="2141"/>
      <c r="G215" s="2143"/>
      <c r="H215" s="2141"/>
      <c r="I215" s="2141" t="s">
        <v>642</v>
      </c>
      <c r="J215" s="2141"/>
      <c r="K215" s="2144">
        <v>850613</v>
      </c>
      <c r="L215" s="2141" t="s">
        <v>112</v>
      </c>
      <c r="M215" s="2140">
        <v>44568</v>
      </c>
      <c r="N215" s="2140">
        <v>44579</v>
      </c>
      <c r="O215" s="2140">
        <v>44608</v>
      </c>
      <c r="P215" s="2143" t="s">
        <v>198</v>
      </c>
      <c r="Q215" s="2141"/>
      <c r="R215" s="2144">
        <v>499770</v>
      </c>
      <c r="S215" s="2144">
        <v>604721.69999999995</v>
      </c>
      <c r="T215" s="2145"/>
      <c r="U215" s="2145"/>
      <c r="V215" s="2145"/>
      <c r="W215" s="2146">
        <v>44608</v>
      </c>
      <c r="X215" s="2260" t="s">
        <v>11117</v>
      </c>
      <c r="Y215" s="2140">
        <v>44624</v>
      </c>
      <c r="Z215" s="2140">
        <v>44635</v>
      </c>
      <c r="AA215" s="2140">
        <v>45719</v>
      </c>
      <c r="AB215" s="2109" t="s">
        <v>11264</v>
      </c>
      <c r="AC215" s="2109">
        <v>2023</v>
      </c>
      <c r="AD215" s="388">
        <v>2024</v>
      </c>
      <c r="AE215" s="388" t="s">
        <v>11265</v>
      </c>
    </row>
    <row r="216" spans="1:32" ht="15.75" thickBot="1">
      <c r="A216" s="643">
        <v>44566</v>
      </c>
      <c r="B216" s="1533" t="s">
        <v>10665</v>
      </c>
      <c r="C216" s="639" t="s">
        <v>69</v>
      </c>
      <c r="D216" s="639" t="s">
        <v>70</v>
      </c>
      <c r="E216" s="640" t="s">
        <v>10666</v>
      </c>
      <c r="F216" s="639"/>
      <c r="G216" s="1533"/>
      <c r="H216" s="639"/>
      <c r="I216" s="639" t="s">
        <v>68</v>
      </c>
      <c r="J216" s="639"/>
      <c r="K216" s="645">
        <v>54535470</v>
      </c>
      <c r="L216" s="639" t="s">
        <v>251</v>
      </c>
      <c r="M216" s="643">
        <v>44575</v>
      </c>
      <c r="N216" s="643">
        <v>44635</v>
      </c>
      <c r="O216" s="639"/>
      <c r="P216" s="644" t="s">
        <v>11090</v>
      </c>
      <c r="Q216" s="831" t="s">
        <v>13396</v>
      </c>
      <c r="R216" s="645"/>
      <c r="S216" s="645"/>
      <c r="T216" s="1534"/>
      <c r="U216" s="1534"/>
      <c r="V216" s="1534"/>
      <c r="W216" s="645"/>
      <c r="X216" s="645"/>
      <c r="Y216" s="639"/>
      <c r="Z216" s="643">
        <v>44635</v>
      </c>
      <c r="AA216" s="1533" t="s">
        <v>11150</v>
      </c>
      <c r="AB216" s="639"/>
      <c r="AC216" s="639"/>
    </row>
    <row r="217" spans="1:32" ht="15.75" thickTop="1">
      <c r="A217" s="474">
        <v>44566</v>
      </c>
      <c r="B217" s="1420" t="s">
        <v>10670</v>
      </c>
      <c r="C217" s="453" t="s">
        <v>69</v>
      </c>
      <c r="D217" s="453" t="s">
        <v>70</v>
      </c>
      <c r="E217" s="2736" t="s">
        <v>10667</v>
      </c>
      <c r="F217" s="453">
        <v>1</v>
      </c>
      <c r="G217" s="1420" t="s">
        <v>10668</v>
      </c>
      <c r="H217" s="453"/>
      <c r="I217" s="453" t="s">
        <v>93</v>
      </c>
      <c r="J217" s="453"/>
      <c r="K217" s="457">
        <v>31242540</v>
      </c>
      <c r="L217" s="453" t="s">
        <v>251</v>
      </c>
      <c r="M217" s="474">
        <v>44718</v>
      </c>
      <c r="N217" s="474">
        <v>44767</v>
      </c>
      <c r="O217" s="474">
        <v>44816</v>
      </c>
      <c r="P217" s="1420" t="s">
        <v>8542</v>
      </c>
      <c r="Q217" s="453"/>
      <c r="R217" s="457">
        <v>12838875</v>
      </c>
      <c r="S217" s="457">
        <v>14122762.5</v>
      </c>
      <c r="T217" s="1474"/>
      <c r="U217" s="1474"/>
      <c r="V217" s="1474"/>
      <c r="W217" s="570">
        <v>44816</v>
      </c>
      <c r="X217" s="457" t="s">
        <v>13042</v>
      </c>
      <c r="Y217" s="474">
        <v>44841</v>
      </c>
      <c r="Z217" s="474">
        <v>44859</v>
      </c>
      <c r="AA217" s="474">
        <v>46301</v>
      </c>
      <c r="AB217" s="1391" t="s">
        <v>13228</v>
      </c>
      <c r="AC217" s="1391">
        <v>2023</v>
      </c>
      <c r="AD217" s="388">
        <v>2024</v>
      </c>
      <c r="AE217" s="388">
        <v>2025</v>
      </c>
      <c r="AF217" s="388" t="s">
        <v>13229</v>
      </c>
    </row>
    <row r="218" spans="1:32" ht="15.75" thickBot="1">
      <c r="A218" s="2565">
        <v>44566</v>
      </c>
      <c r="B218" s="2746" t="s">
        <v>10670</v>
      </c>
      <c r="C218" s="2747" t="s">
        <v>69</v>
      </c>
      <c r="D218" s="2747" t="s">
        <v>70</v>
      </c>
      <c r="E218" s="2748" t="s">
        <v>13333</v>
      </c>
      <c r="F218" s="2747">
        <v>2</v>
      </c>
      <c r="G218" s="2746" t="s">
        <v>10669</v>
      </c>
      <c r="H218" s="2747"/>
      <c r="I218" s="2747" t="s">
        <v>93</v>
      </c>
      <c r="J218" s="2747"/>
      <c r="K218" s="2608">
        <v>57904517</v>
      </c>
      <c r="L218" s="2747" t="s">
        <v>251</v>
      </c>
      <c r="M218" s="2565">
        <v>44718</v>
      </c>
      <c r="N218" s="2565">
        <v>44767</v>
      </c>
      <c r="O218" s="2565">
        <v>44816</v>
      </c>
      <c r="P218" s="2746" t="s">
        <v>1319</v>
      </c>
      <c r="Q218" s="2747"/>
      <c r="R218" s="2608">
        <v>57673946.399999999</v>
      </c>
      <c r="S218" s="2608">
        <v>63441341.039999999</v>
      </c>
      <c r="T218" s="2749"/>
      <c r="U218" s="2749"/>
      <c r="V218" s="2749"/>
      <c r="W218" s="2750">
        <v>44816</v>
      </c>
      <c r="X218" s="2608" t="s">
        <v>13043</v>
      </c>
      <c r="Y218" s="2565">
        <v>44852</v>
      </c>
      <c r="Z218" s="2117">
        <v>44859</v>
      </c>
      <c r="AA218" s="2117">
        <v>46312</v>
      </c>
      <c r="AB218" s="2110" t="s">
        <v>13326</v>
      </c>
      <c r="AC218" s="2110">
        <v>2023</v>
      </c>
      <c r="AD218" s="388">
        <v>2024</v>
      </c>
      <c r="AE218" s="388">
        <v>2025</v>
      </c>
      <c r="AF218" s="388" t="s">
        <v>13334</v>
      </c>
    </row>
    <row r="219" spans="1:32" ht="16.5" thickTop="1" thickBot="1">
      <c r="A219" s="498">
        <v>44566</v>
      </c>
      <c r="B219" s="669" t="s">
        <v>10671</v>
      </c>
      <c r="C219" s="232" t="s">
        <v>69</v>
      </c>
      <c r="D219" s="232" t="s">
        <v>70</v>
      </c>
      <c r="E219" s="274" t="s">
        <v>10672</v>
      </c>
      <c r="F219" s="232">
        <v>1</v>
      </c>
      <c r="G219" s="669" t="s">
        <v>5408</v>
      </c>
      <c r="H219" s="232"/>
      <c r="I219" s="232" t="s">
        <v>3237</v>
      </c>
      <c r="J219" s="232"/>
      <c r="K219" s="636">
        <v>2616255</v>
      </c>
      <c r="L219" s="232" t="s">
        <v>216</v>
      </c>
      <c r="M219" s="498">
        <v>44574</v>
      </c>
      <c r="N219" s="498">
        <v>44595</v>
      </c>
      <c r="O219" s="498">
        <v>44607</v>
      </c>
      <c r="P219" s="669" t="s">
        <v>2490</v>
      </c>
      <c r="Q219" s="232"/>
      <c r="R219" s="499">
        <v>2616255</v>
      </c>
      <c r="S219" s="499">
        <v>2877880.5</v>
      </c>
      <c r="T219" s="1545"/>
      <c r="U219" s="1545"/>
      <c r="V219" s="1545"/>
      <c r="W219" s="682">
        <v>44607</v>
      </c>
      <c r="X219" s="499" t="s">
        <v>11079</v>
      </c>
      <c r="Y219" s="498">
        <v>44656</v>
      </c>
      <c r="Z219" s="498">
        <v>44672</v>
      </c>
      <c r="AA219" s="498">
        <v>45751</v>
      </c>
      <c r="AB219" s="1546" t="s">
        <v>11516</v>
      </c>
      <c r="AC219" s="1546">
        <v>2023</v>
      </c>
      <c r="AD219" s="388">
        <v>2024</v>
      </c>
      <c r="AE219" s="388" t="s">
        <v>11517</v>
      </c>
    </row>
    <row r="220" spans="1:32" ht="15.75" thickTop="1">
      <c r="A220" s="474">
        <v>44565</v>
      </c>
      <c r="B220" s="1420" t="s">
        <v>10673</v>
      </c>
      <c r="C220" s="453" t="s">
        <v>2434</v>
      </c>
      <c r="D220" s="453" t="s">
        <v>219</v>
      </c>
      <c r="E220" s="473" t="s">
        <v>10674</v>
      </c>
      <c r="F220" s="453">
        <v>1</v>
      </c>
      <c r="G220" s="1420" t="s">
        <v>10676</v>
      </c>
      <c r="H220" s="453"/>
      <c r="I220" s="453" t="s">
        <v>3271</v>
      </c>
      <c r="J220" s="453"/>
      <c r="K220" s="457">
        <v>650000</v>
      </c>
      <c r="L220" s="453" t="s">
        <v>251</v>
      </c>
      <c r="M220" s="474">
        <v>44579</v>
      </c>
      <c r="N220" s="474">
        <v>44613</v>
      </c>
      <c r="O220" s="474">
        <v>44620</v>
      </c>
      <c r="P220" s="1420" t="s">
        <v>5321</v>
      </c>
      <c r="Q220" s="453"/>
      <c r="R220" s="457">
        <v>650713.12</v>
      </c>
      <c r="S220" s="457">
        <v>787362.88</v>
      </c>
      <c r="T220" s="1474"/>
      <c r="U220" s="1474"/>
      <c r="V220" s="1474"/>
      <c r="W220" s="570">
        <v>44620</v>
      </c>
      <c r="X220" s="457" t="s">
        <v>11177</v>
      </c>
      <c r="Y220" s="474">
        <v>44664</v>
      </c>
      <c r="Z220" s="474">
        <v>44693</v>
      </c>
      <c r="AA220" s="474">
        <v>44748</v>
      </c>
      <c r="AB220" s="1841">
        <v>44845</v>
      </c>
      <c r="AC220" s="1393"/>
    </row>
    <row r="221" spans="1:32" ht="15.75" thickBot="1">
      <c r="A221" s="2117">
        <v>44565</v>
      </c>
      <c r="B221" s="2120" t="s">
        <v>10673</v>
      </c>
      <c r="C221" s="2118" t="s">
        <v>2434</v>
      </c>
      <c r="D221" s="2118" t="s">
        <v>219</v>
      </c>
      <c r="E221" s="2119" t="s">
        <v>10674</v>
      </c>
      <c r="F221" s="2118">
        <v>2</v>
      </c>
      <c r="G221" s="2120" t="s">
        <v>10675</v>
      </c>
      <c r="H221" s="2118"/>
      <c r="I221" s="2118" t="s">
        <v>3271</v>
      </c>
      <c r="J221" s="2118"/>
      <c r="K221" s="2121">
        <v>2479338</v>
      </c>
      <c r="L221" s="2118" t="s">
        <v>251</v>
      </c>
      <c r="M221" s="2117">
        <v>44579</v>
      </c>
      <c r="N221" s="2117">
        <v>44613</v>
      </c>
      <c r="O221" s="2117">
        <v>44644</v>
      </c>
      <c r="P221" s="2120" t="s">
        <v>11196</v>
      </c>
      <c r="Q221" s="2118"/>
      <c r="R221" s="2121">
        <v>2472241</v>
      </c>
      <c r="S221" s="2121">
        <v>2991411.61</v>
      </c>
      <c r="T221" s="2122"/>
      <c r="U221" s="2122"/>
      <c r="V221" s="2122"/>
      <c r="W221" s="2123">
        <v>44644</v>
      </c>
      <c r="X221" s="2121" t="s">
        <v>11433</v>
      </c>
      <c r="Y221" s="2117">
        <v>44692</v>
      </c>
      <c r="Z221" s="2117">
        <v>44693</v>
      </c>
      <c r="AA221" s="2117">
        <v>44748</v>
      </c>
      <c r="AB221" s="2117">
        <v>44845</v>
      </c>
      <c r="AC221" s="2108"/>
    </row>
    <row r="222" spans="1:32" ht="30.75" thickTop="1">
      <c r="A222" s="365">
        <v>44546</v>
      </c>
      <c r="B222" s="2646" t="s">
        <v>10680</v>
      </c>
      <c r="C222" s="2555" t="s">
        <v>58</v>
      </c>
      <c r="D222" s="2555" t="s">
        <v>4969</v>
      </c>
      <c r="E222" s="175" t="s">
        <v>10681</v>
      </c>
      <c r="F222" s="2555"/>
      <c r="G222" s="2556"/>
      <c r="H222" s="2555"/>
      <c r="I222" s="453" t="s">
        <v>1950</v>
      </c>
      <c r="J222" s="2555" t="s">
        <v>10682</v>
      </c>
      <c r="K222" s="364">
        <v>70000</v>
      </c>
      <c r="L222" s="2555" t="s">
        <v>112</v>
      </c>
      <c r="M222" s="365">
        <v>44572</v>
      </c>
      <c r="N222" s="365">
        <v>44588</v>
      </c>
      <c r="O222" s="365">
        <v>44603</v>
      </c>
      <c r="P222" s="2556" t="s">
        <v>11559</v>
      </c>
      <c r="Q222" s="2555"/>
      <c r="R222" s="364">
        <v>55202.48</v>
      </c>
      <c r="S222" s="364">
        <v>66795</v>
      </c>
      <c r="T222" s="1473"/>
      <c r="U222" s="1473"/>
      <c r="V222" s="1473"/>
      <c r="W222" s="681">
        <v>44603</v>
      </c>
      <c r="X222" s="1417" t="s">
        <v>11059</v>
      </c>
      <c r="Y222" s="365">
        <v>44637</v>
      </c>
      <c r="Z222" s="365">
        <v>44641</v>
      </c>
      <c r="AA222" s="365">
        <v>44697</v>
      </c>
      <c r="AB222" s="365">
        <v>44845</v>
      </c>
      <c r="AC222" s="451" t="s">
        <v>1875</v>
      </c>
    </row>
    <row r="223" spans="1:32">
      <c r="A223" s="2140">
        <v>44511</v>
      </c>
      <c r="B223" s="2143" t="s">
        <v>10685</v>
      </c>
      <c r="C223" s="2141" t="s">
        <v>1032</v>
      </c>
      <c r="D223" s="2141" t="s">
        <v>361</v>
      </c>
      <c r="E223" s="2142" t="s">
        <v>10334</v>
      </c>
      <c r="F223" s="2141"/>
      <c r="G223" s="2143"/>
      <c r="H223" s="2141"/>
      <c r="I223" s="2141" t="s">
        <v>10335</v>
      </c>
      <c r="J223" s="2141"/>
      <c r="K223" s="2144">
        <v>1950000</v>
      </c>
      <c r="L223" s="2141" t="s">
        <v>112</v>
      </c>
      <c r="M223" s="2140">
        <v>44572</v>
      </c>
      <c r="N223" s="2140">
        <v>44581</v>
      </c>
      <c r="O223" s="2140">
        <v>44587</v>
      </c>
      <c r="P223" s="2143" t="s">
        <v>5745</v>
      </c>
      <c r="Q223" s="2141"/>
      <c r="R223" s="2144">
        <v>1930240.41</v>
      </c>
      <c r="S223" s="2144">
        <v>2335590.9</v>
      </c>
      <c r="T223" s="2145"/>
      <c r="U223" s="2145"/>
      <c r="V223" s="2145"/>
      <c r="W223" s="2146">
        <v>44587</v>
      </c>
      <c r="X223" s="2144" t="s">
        <v>10840</v>
      </c>
      <c r="Y223" s="2140">
        <v>44613</v>
      </c>
      <c r="Z223" s="2140">
        <v>44614</v>
      </c>
      <c r="AA223" s="2140">
        <v>44683</v>
      </c>
      <c r="AB223" s="2140">
        <v>44739</v>
      </c>
      <c r="AC223" s="2106"/>
    </row>
    <row r="224" spans="1:32" ht="30">
      <c r="A224" s="2140">
        <v>44551</v>
      </c>
      <c r="B224" s="2143" t="s">
        <v>10683</v>
      </c>
      <c r="C224" s="2141" t="s">
        <v>10762</v>
      </c>
      <c r="D224" s="2141" t="s">
        <v>4969</v>
      </c>
      <c r="E224" s="2142" t="s">
        <v>10684</v>
      </c>
      <c r="F224" s="2141"/>
      <c r="G224" s="2143"/>
      <c r="H224" s="2141"/>
      <c r="I224" s="2141" t="s">
        <v>6209</v>
      </c>
      <c r="J224" s="2141"/>
      <c r="K224" s="2144">
        <v>2293200</v>
      </c>
      <c r="L224" s="2141" t="s">
        <v>251</v>
      </c>
      <c r="M224" s="2140">
        <v>44582</v>
      </c>
      <c r="N224" s="2140">
        <v>44616</v>
      </c>
      <c r="O224" s="2140">
        <v>44641</v>
      </c>
      <c r="P224" s="2143" t="s">
        <v>6756</v>
      </c>
      <c r="Q224" s="2141"/>
      <c r="R224" s="2144">
        <v>2289300</v>
      </c>
      <c r="S224" s="2144">
        <v>2770053</v>
      </c>
      <c r="T224" s="2145"/>
      <c r="U224" s="2145"/>
      <c r="V224" s="2145"/>
      <c r="W224" s="2146">
        <v>44642</v>
      </c>
      <c r="X224" s="2260" t="s">
        <v>11380</v>
      </c>
      <c r="Y224" s="2140">
        <v>44672</v>
      </c>
      <c r="Z224" s="2140">
        <v>44676</v>
      </c>
      <c r="AA224" s="2140">
        <v>44784</v>
      </c>
      <c r="AB224" s="2140">
        <v>44844</v>
      </c>
      <c r="AC224" s="2109" t="s">
        <v>1875</v>
      </c>
    </row>
    <row r="225" spans="1:32">
      <c r="A225" s="2124">
        <v>44557</v>
      </c>
      <c r="B225" s="2127" t="s">
        <v>10690</v>
      </c>
      <c r="C225" s="2125" t="s">
        <v>58</v>
      </c>
      <c r="D225" s="2125" t="s">
        <v>4969</v>
      </c>
      <c r="E225" s="2126" t="s">
        <v>10691</v>
      </c>
      <c r="F225" s="2125"/>
      <c r="G225" s="2127"/>
      <c r="H225" s="2085"/>
      <c r="I225" s="2125" t="s">
        <v>86</v>
      </c>
      <c r="J225" s="2125" t="s">
        <v>10692</v>
      </c>
      <c r="K225" s="2128">
        <v>180000</v>
      </c>
      <c r="L225" s="2125" t="s">
        <v>112</v>
      </c>
      <c r="M225" s="2124">
        <v>44574</v>
      </c>
      <c r="N225" s="2124">
        <v>44603</v>
      </c>
      <c r="O225" s="2125"/>
      <c r="P225" s="2136" t="s">
        <v>304</v>
      </c>
      <c r="Q225" s="2125"/>
      <c r="R225" s="2128"/>
      <c r="S225" s="2128"/>
      <c r="T225" s="2094"/>
      <c r="U225" s="2094"/>
      <c r="V225" s="2094"/>
      <c r="W225" s="2128"/>
      <c r="X225" s="2128"/>
      <c r="Y225" s="2125"/>
      <c r="Z225" s="2124">
        <v>44603</v>
      </c>
      <c r="AA225" s="2125"/>
      <c r="AB225" s="2125"/>
      <c r="AC225" s="2125"/>
    </row>
    <row r="226" spans="1:32">
      <c r="A226" s="2140">
        <v>44572</v>
      </c>
      <c r="B226" s="2143" t="s">
        <v>10699</v>
      </c>
      <c r="C226" s="2141" t="s">
        <v>14</v>
      </c>
      <c r="D226" s="2141" t="s">
        <v>1753</v>
      </c>
      <c r="E226" s="2142" t="s">
        <v>10697</v>
      </c>
      <c r="F226" s="2141"/>
      <c r="G226" s="2143"/>
      <c r="H226" s="2141"/>
      <c r="I226" s="2141" t="s">
        <v>545</v>
      </c>
      <c r="J226" s="2141"/>
      <c r="K226" s="2144">
        <v>1480000</v>
      </c>
      <c r="L226" s="2141" t="s">
        <v>112</v>
      </c>
      <c r="M226" s="2140">
        <v>44574</v>
      </c>
      <c r="N226" s="2140">
        <v>44580</v>
      </c>
      <c r="O226" s="2140">
        <v>44581</v>
      </c>
      <c r="P226" s="2143" t="s">
        <v>333</v>
      </c>
      <c r="Q226" s="2141"/>
      <c r="R226" s="2144">
        <v>1435672</v>
      </c>
      <c r="S226" s="2144">
        <v>1737163.12</v>
      </c>
      <c r="T226" s="2145"/>
      <c r="U226" s="2145"/>
      <c r="V226" s="2145"/>
      <c r="W226" s="2146">
        <v>44581</v>
      </c>
      <c r="X226" s="2144" t="s">
        <v>10772</v>
      </c>
      <c r="Y226" s="2140">
        <v>44606</v>
      </c>
      <c r="Z226" s="2140">
        <v>44608</v>
      </c>
      <c r="AA226" s="2140">
        <v>44974</v>
      </c>
      <c r="AB226" s="2140">
        <v>44684</v>
      </c>
      <c r="AC226" s="2106"/>
    </row>
    <row r="227" spans="1:32">
      <c r="A227" s="2140">
        <v>44572</v>
      </c>
      <c r="B227" s="2143" t="s">
        <v>10698</v>
      </c>
      <c r="C227" s="2141" t="s">
        <v>2434</v>
      </c>
      <c r="D227" s="2141" t="s">
        <v>219</v>
      </c>
      <c r="E227" s="2538" t="s">
        <v>10700</v>
      </c>
      <c r="F227" s="2141"/>
      <c r="G227" s="2143"/>
      <c r="H227" s="2141"/>
      <c r="I227" s="2141" t="s">
        <v>642</v>
      </c>
      <c r="J227" s="2141"/>
      <c r="K227" s="2144">
        <v>924000</v>
      </c>
      <c r="L227" s="2141" t="s">
        <v>112</v>
      </c>
      <c r="M227" s="2140">
        <v>44588</v>
      </c>
      <c r="N227" s="2140">
        <v>44596</v>
      </c>
      <c r="O227" s="2140">
        <v>44602</v>
      </c>
      <c r="P227" s="2143" t="s">
        <v>3479</v>
      </c>
      <c r="Q227" s="2141"/>
      <c r="R227" s="2144">
        <v>1117200</v>
      </c>
      <c r="S227" s="2144">
        <v>1351812</v>
      </c>
      <c r="T227" s="2145"/>
      <c r="U227" s="2145"/>
      <c r="V227" s="2145"/>
      <c r="W227" s="2146">
        <v>44602</v>
      </c>
      <c r="X227" s="2144" t="s">
        <v>11047</v>
      </c>
      <c r="Y227" s="2140">
        <v>44620</v>
      </c>
      <c r="Z227" s="2140">
        <v>44622</v>
      </c>
      <c r="AA227" s="2140">
        <v>46080</v>
      </c>
      <c r="AB227" s="2109" t="s">
        <v>11186</v>
      </c>
      <c r="AC227" s="2109">
        <v>2023</v>
      </c>
      <c r="AD227" s="388">
        <v>2024</v>
      </c>
      <c r="AE227" s="388">
        <v>2025</v>
      </c>
      <c r="AF227" s="388" t="s">
        <v>11187</v>
      </c>
    </row>
    <row r="228" spans="1:32">
      <c r="A228" s="2140">
        <v>44572</v>
      </c>
      <c r="B228" s="2143" t="s">
        <v>10702</v>
      </c>
      <c r="C228" s="2141" t="s">
        <v>2434</v>
      </c>
      <c r="D228" s="2141" t="s">
        <v>219</v>
      </c>
      <c r="E228" s="2142" t="s">
        <v>10705</v>
      </c>
      <c r="F228" s="2141"/>
      <c r="G228" s="2143"/>
      <c r="H228" s="2141"/>
      <c r="I228" s="2141" t="s">
        <v>642</v>
      </c>
      <c r="J228" s="2141"/>
      <c r="K228" s="2144">
        <v>1050000</v>
      </c>
      <c r="L228" s="2141" t="s">
        <v>112</v>
      </c>
      <c r="M228" s="2140">
        <v>44574</v>
      </c>
      <c r="N228" s="2140">
        <v>44582</v>
      </c>
      <c r="O228" s="2140">
        <v>44588</v>
      </c>
      <c r="P228" s="2143" t="s">
        <v>1433</v>
      </c>
      <c r="Q228" s="2141"/>
      <c r="R228" s="2144">
        <v>1050000</v>
      </c>
      <c r="S228" s="2144">
        <v>1270500</v>
      </c>
      <c r="T228" s="2145"/>
      <c r="U228" s="2145"/>
      <c r="V228" s="2145"/>
      <c r="W228" s="2146">
        <v>44588</v>
      </c>
      <c r="X228" s="2144" t="s">
        <v>10878</v>
      </c>
      <c r="Y228" s="2140">
        <v>44613</v>
      </c>
      <c r="Z228" s="2140">
        <v>44614</v>
      </c>
      <c r="AA228" s="2140">
        <v>46073</v>
      </c>
      <c r="AB228" s="2109" t="s">
        <v>11121</v>
      </c>
      <c r="AC228" s="2109">
        <v>2023</v>
      </c>
      <c r="AD228" s="388">
        <v>2024</v>
      </c>
      <c r="AE228" s="388">
        <v>2025</v>
      </c>
      <c r="AF228" s="388" t="s">
        <v>11122</v>
      </c>
    </row>
    <row r="229" spans="1:32" ht="30">
      <c r="A229" s="2140">
        <v>44572</v>
      </c>
      <c r="B229" s="2143" t="s">
        <v>10703</v>
      </c>
      <c r="C229" s="2141" t="s">
        <v>9694</v>
      </c>
      <c r="D229" s="2141" t="s">
        <v>4969</v>
      </c>
      <c r="E229" s="2142" t="s">
        <v>10706</v>
      </c>
      <c r="F229" s="2141"/>
      <c r="G229" s="2143"/>
      <c r="H229" s="2141"/>
      <c r="I229" s="2141" t="s">
        <v>1159</v>
      </c>
      <c r="J229" s="2141" t="s">
        <v>10707</v>
      </c>
      <c r="K229" s="2144">
        <v>1181361</v>
      </c>
      <c r="L229" s="2141" t="s">
        <v>251</v>
      </c>
      <c r="M229" s="2140">
        <v>44596</v>
      </c>
      <c r="N229" s="2140">
        <v>44630</v>
      </c>
      <c r="O229" s="2140">
        <v>44664</v>
      </c>
      <c r="P229" s="2143" t="s">
        <v>5901</v>
      </c>
      <c r="Q229" s="2141"/>
      <c r="R229" s="2144">
        <v>815841.79</v>
      </c>
      <c r="S229" s="2144">
        <v>987168.57</v>
      </c>
      <c r="T229" s="2145"/>
      <c r="U229" s="2145"/>
      <c r="V229" s="2145"/>
      <c r="W229" s="2146">
        <v>44670</v>
      </c>
      <c r="X229" s="2260" t="s">
        <v>11556</v>
      </c>
      <c r="Y229" s="2140">
        <v>44694</v>
      </c>
      <c r="Z229" s="2140">
        <v>44698</v>
      </c>
      <c r="AA229" s="2140">
        <v>44750</v>
      </c>
      <c r="AB229" s="2140">
        <v>44795</v>
      </c>
      <c r="AC229" s="2109" t="s">
        <v>1875</v>
      </c>
    </row>
    <row r="230" spans="1:32" ht="30.75" thickBot="1">
      <c r="A230" s="416">
        <v>44572</v>
      </c>
      <c r="B230" s="630" t="s">
        <v>10704</v>
      </c>
      <c r="C230" s="411" t="s">
        <v>58</v>
      </c>
      <c r="D230" s="411" t="s">
        <v>4969</v>
      </c>
      <c r="E230" s="412" t="s">
        <v>10709</v>
      </c>
      <c r="F230" s="411"/>
      <c r="G230" s="630"/>
      <c r="H230" s="411"/>
      <c r="I230" s="411" t="s">
        <v>2144</v>
      </c>
      <c r="J230" s="411" t="s">
        <v>10708</v>
      </c>
      <c r="K230" s="417">
        <v>460000</v>
      </c>
      <c r="L230" s="411" t="s">
        <v>112</v>
      </c>
      <c r="M230" s="416">
        <v>44574</v>
      </c>
      <c r="N230" s="416">
        <v>44585</v>
      </c>
      <c r="O230" s="416">
        <v>44588</v>
      </c>
      <c r="P230" s="630" t="s">
        <v>4517</v>
      </c>
      <c r="Q230" s="411"/>
      <c r="R230" s="417">
        <v>232260</v>
      </c>
      <c r="S230" s="417">
        <v>281034.59999999998</v>
      </c>
      <c r="T230" s="1480"/>
      <c r="U230" s="1480"/>
      <c r="V230" s="1480"/>
      <c r="W230" s="513">
        <v>44588</v>
      </c>
      <c r="X230" s="1553" t="s">
        <v>10876</v>
      </c>
      <c r="Y230" s="416">
        <v>44616</v>
      </c>
      <c r="Z230" s="416">
        <v>44622</v>
      </c>
      <c r="AA230" s="416">
        <v>44658</v>
      </c>
      <c r="AB230" s="416">
        <v>44739</v>
      </c>
      <c r="AC230" s="422" t="s">
        <v>1875</v>
      </c>
    </row>
    <row r="231" spans="1:32" ht="30.75" thickTop="1">
      <c r="A231" s="474">
        <v>44552</v>
      </c>
      <c r="B231" s="1420" t="s">
        <v>10714</v>
      </c>
      <c r="C231" s="453" t="s">
        <v>58</v>
      </c>
      <c r="D231" s="453" t="s">
        <v>4969</v>
      </c>
      <c r="E231" s="473" t="s">
        <v>79</v>
      </c>
      <c r="F231" s="453">
        <v>1</v>
      </c>
      <c r="G231" s="1420" t="s">
        <v>10092</v>
      </c>
      <c r="H231" s="453"/>
      <c r="I231" s="453" t="s">
        <v>80</v>
      </c>
      <c r="J231" s="453" t="s">
        <v>10713</v>
      </c>
      <c r="K231" s="457">
        <v>775868</v>
      </c>
      <c r="L231" s="453" t="s">
        <v>251</v>
      </c>
      <c r="M231" s="474">
        <v>44582</v>
      </c>
      <c r="N231" s="474">
        <v>44649</v>
      </c>
      <c r="O231" s="474">
        <v>44684</v>
      </c>
      <c r="P231" s="1420" t="s">
        <v>12361</v>
      </c>
      <c r="Q231" s="453"/>
      <c r="R231" s="457">
        <v>771180</v>
      </c>
      <c r="S231" s="457">
        <v>933127.8</v>
      </c>
      <c r="T231" s="1474"/>
      <c r="U231" s="1474"/>
      <c r="V231" s="1474"/>
      <c r="W231" s="570">
        <v>44685</v>
      </c>
      <c r="X231" s="1387" t="s">
        <v>11734</v>
      </c>
      <c r="Y231" s="474">
        <v>44743</v>
      </c>
      <c r="Z231" s="474">
        <v>44743</v>
      </c>
      <c r="AA231" s="474">
        <v>44883</v>
      </c>
      <c r="AB231" s="1391"/>
      <c r="AC231" s="1391" t="s">
        <v>1875</v>
      </c>
    </row>
    <row r="232" spans="1:32" ht="30">
      <c r="A232" s="2140">
        <v>44552</v>
      </c>
      <c r="B232" s="2143" t="s">
        <v>10714</v>
      </c>
      <c r="C232" s="2141" t="s">
        <v>58</v>
      </c>
      <c r="D232" s="2141" t="s">
        <v>4969</v>
      </c>
      <c r="E232" s="2142" t="s">
        <v>79</v>
      </c>
      <c r="F232" s="2141">
        <v>2</v>
      </c>
      <c r="G232" s="2143" t="s">
        <v>10761</v>
      </c>
      <c r="H232" s="2141"/>
      <c r="I232" s="2141" t="s">
        <v>80</v>
      </c>
      <c r="J232" s="2141" t="s">
        <v>10715</v>
      </c>
      <c r="K232" s="2144">
        <v>1560000</v>
      </c>
      <c r="L232" s="2141" t="s">
        <v>251</v>
      </c>
      <c r="M232" s="2140">
        <v>44582</v>
      </c>
      <c r="N232" s="2140">
        <v>44649</v>
      </c>
      <c r="O232" s="2140">
        <v>44684</v>
      </c>
      <c r="P232" s="2143" t="s">
        <v>11477</v>
      </c>
      <c r="Q232" s="2141"/>
      <c r="R232" s="2144">
        <v>1639600</v>
      </c>
      <c r="S232" s="2144">
        <v>1983916</v>
      </c>
      <c r="T232" s="2145"/>
      <c r="U232" s="2145"/>
      <c r="V232" s="2145"/>
      <c r="W232" s="2146">
        <v>44685</v>
      </c>
      <c r="X232" s="2260" t="s">
        <v>11735</v>
      </c>
      <c r="Y232" s="2140">
        <v>44719</v>
      </c>
      <c r="Z232" s="2140">
        <v>44743</v>
      </c>
      <c r="AA232" s="2140">
        <v>44747</v>
      </c>
      <c r="AB232" s="2140">
        <v>44789</v>
      </c>
      <c r="AC232" s="2109" t="s">
        <v>1875</v>
      </c>
    </row>
    <row r="233" spans="1:32" ht="30.75" thickBot="1">
      <c r="A233" s="2117">
        <v>44552</v>
      </c>
      <c r="B233" s="2120" t="s">
        <v>10714</v>
      </c>
      <c r="C233" s="2118" t="s">
        <v>58</v>
      </c>
      <c r="D233" s="2118" t="s">
        <v>4969</v>
      </c>
      <c r="E233" s="2119" t="s">
        <v>79</v>
      </c>
      <c r="F233" s="2118">
        <v>3</v>
      </c>
      <c r="G233" s="2120" t="s">
        <v>10760</v>
      </c>
      <c r="H233" s="2118"/>
      <c r="I233" s="2118" t="s">
        <v>80</v>
      </c>
      <c r="J233" s="2118"/>
      <c r="K233" s="2121">
        <v>180000</v>
      </c>
      <c r="L233" s="2118" t="s">
        <v>251</v>
      </c>
      <c r="M233" s="2117">
        <v>44582</v>
      </c>
      <c r="N233" s="2117">
        <v>44649</v>
      </c>
      <c r="O233" s="2117">
        <v>44684</v>
      </c>
      <c r="P233" s="2120" t="s">
        <v>11477</v>
      </c>
      <c r="Q233" s="2118"/>
      <c r="R233" s="2121">
        <v>177700</v>
      </c>
      <c r="S233" s="2121">
        <v>215017</v>
      </c>
      <c r="T233" s="2122"/>
      <c r="U233" s="2122"/>
      <c r="V233" s="2122"/>
      <c r="W233" s="2123">
        <v>44685</v>
      </c>
      <c r="X233" s="2246" t="s">
        <v>11736</v>
      </c>
      <c r="Y233" s="2117">
        <v>44719</v>
      </c>
      <c r="Z233" s="2117">
        <v>44743</v>
      </c>
      <c r="AA233" s="2117">
        <v>44747</v>
      </c>
      <c r="AB233" s="2117">
        <v>44789</v>
      </c>
      <c r="AC233" s="2110" t="s">
        <v>1875</v>
      </c>
    </row>
    <row r="234" spans="1:32" ht="30.75" thickTop="1">
      <c r="A234" s="474">
        <v>44573</v>
      </c>
      <c r="B234" s="1420" t="s">
        <v>10716</v>
      </c>
      <c r="C234" s="453" t="s">
        <v>2434</v>
      </c>
      <c r="D234" s="453" t="s">
        <v>3204</v>
      </c>
      <c r="E234" s="473" t="s">
        <v>10717</v>
      </c>
      <c r="F234" s="453">
        <v>1</v>
      </c>
      <c r="G234" s="1420" t="s">
        <v>10718</v>
      </c>
      <c r="H234" s="453"/>
      <c r="I234" s="453" t="s">
        <v>642</v>
      </c>
      <c r="J234" s="453"/>
      <c r="K234" s="457">
        <v>1468350</v>
      </c>
      <c r="L234" s="453" t="s">
        <v>112</v>
      </c>
      <c r="M234" s="474">
        <v>44579</v>
      </c>
      <c r="N234" s="474">
        <v>44588</v>
      </c>
      <c r="O234" s="474">
        <v>44595</v>
      </c>
      <c r="P234" s="1420" t="s">
        <v>1433</v>
      </c>
      <c r="Q234" s="453"/>
      <c r="R234" s="457">
        <v>1468350</v>
      </c>
      <c r="S234" s="457">
        <v>1776708</v>
      </c>
      <c r="T234" s="1474"/>
      <c r="U234" s="1474"/>
      <c r="V234" s="1474"/>
      <c r="W234" s="570">
        <v>44595</v>
      </c>
      <c r="X234" s="1387" t="s">
        <v>10985</v>
      </c>
      <c r="Y234" s="474">
        <v>44631</v>
      </c>
      <c r="Z234" s="474">
        <v>44635</v>
      </c>
      <c r="AA234" s="474">
        <v>45788</v>
      </c>
      <c r="AB234" s="1391" t="s">
        <v>11321</v>
      </c>
      <c r="AC234" s="1391">
        <v>2023</v>
      </c>
      <c r="AD234" s="388">
        <v>2024</v>
      </c>
      <c r="AE234" s="388" t="s">
        <v>11322</v>
      </c>
    </row>
    <row r="235" spans="1:32" ht="30.75" thickBot="1">
      <c r="A235" s="2117">
        <v>44573</v>
      </c>
      <c r="B235" s="2120" t="s">
        <v>10716</v>
      </c>
      <c r="C235" s="2118" t="s">
        <v>2434</v>
      </c>
      <c r="D235" s="2118" t="s">
        <v>3204</v>
      </c>
      <c r="E235" s="2119" t="s">
        <v>10717</v>
      </c>
      <c r="F235" s="2118">
        <v>2</v>
      </c>
      <c r="G235" s="2120" t="s">
        <v>10719</v>
      </c>
      <c r="H235" s="2118"/>
      <c r="I235" s="2118" t="s">
        <v>642</v>
      </c>
      <c r="J235" s="2118"/>
      <c r="K235" s="2121">
        <v>400000</v>
      </c>
      <c r="L235" s="2118" t="s">
        <v>112</v>
      </c>
      <c r="M235" s="2117">
        <v>44579</v>
      </c>
      <c r="N235" s="2117">
        <v>44588</v>
      </c>
      <c r="O235" s="2117">
        <v>44595</v>
      </c>
      <c r="P235" s="2120" t="s">
        <v>13503</v>
      </c>
      <c r="Q235" s="2118"/>
      <c r="R235" s="2121">
        <v>400000</v>
      </c>
      <c r="S235" s="2121">
        <v>484000</v>
      </c>
      <c r="T235" s="2122"/>
      <c r="U235" s="2122"/>
      <c r="V235" s="2122"/>
      <c r="W235" s="2123">
        <v>44595</v>
      </c>
      <c r="X235" s="2246" t="s">
        <v>10986</v>
      </c>
      <c r="Y235" s="2117">
        <v>44617</v>
      </c>
      <c r="Z235" s="2117">
        <v>44617</v>
      </c>
      <c r="AA235" s="2117">
        <v>45772</v>
      </c>
      <c r="AB235" s="2110" t="s">
        <v>11155</v>
      </c>
      <c r="AC235" s="2110">
        <v>2023</v>
      </c>
      <c r="AD235" s="388">
        <v>2024</v>
      </c>
      <c r="AE235" s="388" t="s">
        <v>11156</v>
      </c>
    </row>
    <row r="236" spans="1:32" ht="16.5" thickTop="1" thickBot="1">
      <c r="A236" s="1539">
        <v>44573</v>
      </c>
      <c r="B236" s="1541" t="s">
        <v>10726</v>
      </c>
      <c r="C236" s="185" t="s">
        <v>58</v>
      </c>
      <c r="D236" s="185" t="s">
        <v>4969</v>
      </c>
      <c r="E236" s="282" t="s">
        <v>10727</v>
      </c>
      <c r="F236" s="185"/>
      <c r="G236" s="1541"/>
      <c r="H236" s="185"/>
      <c r="I236" s="185" t="s">
        <v>4311</v>
      </c>
      <c r="J236" s="185" t="s">
        <v>10728</v>
      </c>
      <c r="K236" s="1542">
        <v>421000</v>
      </c>
      <c r="L236" s="185" t="s">
        <v>112</v>
      </c>
      <c r="M236" s="1539">
        <v>44578</v>
      </c>
      <c r="N236" s="1539">
        <v>44586</v>
      </c>
      <c r="O236" s="185"/>
      <c r="P236" s="2488" t="s">
        <v>304</v>
      </c>
      <c r="Q236" s="2627" t="s">
        <v>11522</v>
      </c>
      <c r="R236" s="1542"/>
      <c r="S236" s="1542"/>
      <c r="T236" s="1543"/>
      <c r="U236" s="1543"/>
      <c r="V236" s="1543"/>
      <c r="W236" s="1542"/>
      <c r="X236" s="1542"/>
      <c r="Y236" s="185"/>
      <c r="Z236" s="1539">
        <v>44586</v>
      </c>
      <c r="AA236" s="185"/>
      <c r="AB236" s="185"/>
      <c r="AC236" s="185"/>
    </row>
    <row r="237" spans="1:32" ht="15.75" thickTop="1">
      <c r="A237" s="474">
        <v>44572</v>
      </c>
      <c r="B237" s="1420" t="s">
        <v>10731</v>
      </c>
      <c r="C237" s="453" t="s">
        <v>2434</v>
      </c>
      <c r="D237" s="453" t="s">
        <v>219</v>
      </c>
      <c r="E237" s="473" t="s">
        <v>10729</v>
      </c>
      <c r="F237" s="453">
        <v>1</v>
      </c>
      <c r="G237" s="1420" t="s">
        <v>10738</v>
      </c>
      <c r="H237" s="453"/>
      <c r="I237" s="453" t="s">
        <v>642</v>
      </c>
      <c r="J237" s="453"/>
      <c r="K237" s="457">
        <v>2498000</v>
      </c>
      <c r="L237" s="453" t="s">
        <v>251</v>
      </c>
      <c r="M237" s="474">
        <v>44581</v>
      </c>
      <c r="N237" s="474">
        <v>44613</v>
      </c>
      <c r="O237" s="474">
        <v>44635</v>
      </c>
      <c r="P237" s="1420" t="s">
        <v>5726</v>
      </c>
      <c r="Q237" s="453"/>
      <c r="R237" s="457">
        <v>1456720</v>
      </c>
      <c r="S237" s="457">
        <v>1762631.2</v>
      </c>
      <c r="T237" s="1474"/>
      <c r="U237" s="1474"/>
      <c r="V237" s="1474"/>
      <c r="W237" s="570">
        <v>44635</v>
      </c>
      <c r="X237" s="457" t="s">
        <v>11336</v>
      </c>
      <c r="Y237" s="474">
        <v>44673</v>
      </c>
      <c r="Z237" s="474">
        <v>44684</v>
      </c>
      <c r="AA237" s="474">
        <v>46133</v>
      </c>
      <c r="AB237" s="1391" t="s">
        <v>11626</v>
      </c>
      <c r="AC237" s="1391">
        <v>2023</v>
      </c>
      <c r="AD237" s="388">
        <v>2024</v>
      </c>
      <c r="AE237" s="388">
        <v>2025</v>
      </c>
      <c r="AF237" s="388" t="s">
        <v>11627</v>
      </c>
    </row>
    <row r="238" spans="1:32" ht="15.75" thickBot="1">
      <c r="A238" s="2117">
        <v>44572</v>
      </c>
      <c r="B238" s="2120" t="s">
        <v>10731</v>
      </c>
      <c r="C238" s="2118" t="s">
        <v>2434</v>
      </c>
      <c r="D238" s="2118" t="s">
        <v>219</v>
      </c>
      <c r="E238" s="2119" t="s">
        <v>10729</v>
      </c>
      <c r="F238" s="2118">
        <v>2</v>
      </c>
      <c r="G238" s="2120" t="s">
        <v>10739</v>
      </c>
      <c r="H238" s="2118"/>
      <c r="I238" s="2118"/>
      <c r="J238" s="2118"/>
      <c r="K238" s="2121">
        <v>1392000</v>
      </c>
      <c r="L238" s="2118" t="s">
        <v>251</v>
      </c>
      <c r="M238" s="2117">
        <v>44581</v>
      </c>
      <c r="N238" s="2117">
        <v>44613</v>
      </c>
      <c r="O238" s="2117">
        <v>44635</v>
      </c>
      <c r="P238" s="2120" t="s">
        <v>12361</v>
      </c>
      <c r="Q238" s="2118"/>
      <c r="R238" s="2121">
        <v>1230000</v>
      </c>
      <c r="S238" s="2121">
        <v>1488300</v>
      </c>
      <c r="T238" s="2122"/>
      <c r="U238" s="2122"/>
      <c r="V238" s="2122"/>
      <c r="W238" s="2123">
        <v>44635</v>
      </c>
      <c r="X238" s="2121" t="s">
        <v>11337</v>
      </c>
      <c r="Y238" s="2117">
        <v>44678</v>
      </c>
      <c r="Z238" s="2117">
        <v>44684</v>
      </c>
      <c r="AA238" s="2117">
        <v>46138</v>
      </c>
      <c r="AB238" s="2110" t="s">
        <v>11662</v>
      </c>
      <c r="AC238" s="2110">
        <v>2023</v>
      </c>
      <c r="AD238" s="388">
        <v>2024</v>
      </c>
      <c r="AE238" s="388">
        <v>2025</v>
      </c>
      <c r="AF238" s="388" t="s">
        <v>11663</v>
      </c>
    </row>
    <row r="239" spans="1:32" ht="15.75" thickTop="1">
      <c r="A239" s="365">
        <v>44573</v>
      </c>
      <c r="B239" s="2646" t="s">
        <v>10730</v>
      </c>
      <c r="C239" s="2525" t="s">
        <v>2111</v>
      </c>
      <c r="D239" s="2525" t="s">
        <v>9080</v>
      </c>
      <c r="E239" s="175" t="s">
        <v>7287</v>
      </c>
      <c r="F239" s="2525"/>
      <c r="G239" s="2526"/>
      <c r="H239" s="2525"/>
      <c r="I239" s="2525" t="s">
        <v>7288</v>
      </c>
      <c r="J239" s="2525"/>
      <c r="K239" s="364">
        <v>1020000</v>
      </c>
      <c r="L239" s="2525" t="s">
        <v>112</v>
      </c>
      <c r="M239" s="365">
        <v>44579</v>
      </c>
      <c r="N239" s="365">
        <v>44589</v>
      </c>
      <c r="O239" s="365">
        <v>44600</v>
      </c>
      <c r="P239" s="2526" t="s">
        <v>11003</v>
      </c>
      <c r="Q239" s="2525"/>
      <c r="R239" s="364">
        <v>940000</v>
      </c>
      <c r="S239" s="364">
        <v>1137400</v>
      </c>
      <c r="T239" s="1473"/>
      <c r="U239" s="1473"/>
      <c r="V239" s="1473"/>
      <c r="W239" s="681">
        <v>44600</v>
      </c>
      <c r="X239" s="364" t="s">
        <v>11013</v>
      </c>
      <c r="Y239" s="365">
        <v>44616</v>
      </c>
      <c r="Z239" s="365">
        <v>44616</v>
      </c>
      <c r="AA239" s="365">
        <v>44796</v>
      </c>
      <c r="AB239" s="451" t="s">
        <v>11147</v>
      </c>
      <c r="AC239" s="1513"/>
    </row>
    <row r="240" spans="1:32">
      <c r="A240" s="2140">
        <v>44575</v>
      </c>
      <c r="B240" s="2143" t="s">
        <v>10732</v>
      </c>
      <c r="C240" s="2141" t="s">
        <v>14</v>
      </c>
      <c r="D240" s="2141" t="s">
        <v>1753</v>
      </c>
      <c r="E240" s="2142" t="s">
        <v>6267</v>
      </c>
      <c r="F240" s="2141"/>
      <c r="G240" s="2143"/>
      <c r="H240" s="2141"/>
      <c r="I240" s="2141" t="s">
        <v>545</v>
      </c>
      <c r="J240" s="2141"/>
      <c r="K240" s="2144">
        <v>1350000</v>
      </c>
      <c r="L240" s="2141" t="s">
        <v>112</v>
      </c>
      <c r="M240" s="2140">
        <v>44579</v>
      </c>
      <c r="N240" s="2140">
        <v>44589</v>
      </c>
      <c r="O240" s="2140">
        <v>44592</v>
      </c>
      <c r="P240" s="2143" t="s">
        <v>333</v>
      </c>
      <c r="Q240" s="2141"/>
      <c r="R240" s="2144">
        <v>1334686</v>
      </c>
      <c r="S240" s="2144">
        <v>1614970.06</v>
      </c>
      <c r="T240" s="2145"/>
      <c r="U240" s="2145"/>
      <c r="V240" s="2145"/>
      <c r="W240" s="2146">
        <v>44592</v>
      </c>
      <c r="X240" s="2144" t="s">
        <v>10918</v>
      </c>
      <c r="Y240" s="2140">
        <v>44609</v>
      </c>
      <c r="Z240" s="2140">
        <v>44609</v>
      </c>
      <c r="AA240" s="2140">
        <v>45016</v>
      </c>
      <c r="AB240" s="2140">
        <v>44718</v>
      </c>
      <c r="AC240" s="2106"/>
    </row>
    <row r="241" spans="1:32">
      <c r="A241" s="2140">
        <v>44578</v>
      </c>
      <c r="B241" s="2143" t="s">
        <v>10736</v>
      </c>
      <c r="C241" s="2141" t="s">
        <v>2434</v>
      </c>
      <c r="D241" s="2141" t="s">
        <v>219</v>
      </c>
      <c r="E241" s="2142" t="s">
        <v>10737</v>
      </c>
      <c r="F241" s="2141"/>
      <c r="G241" s="2143"/>
      <c r="H241" s="2141"/>
      <c r="I241" s="2141" t="s">
        <v>642</v>
      </c>
      <c r="J241" s="2141"/>
      <c r="K241" s="2144">
        <v>888000</v>
      </c>
      <c r="L241" s="2141" t="s">
        <v>112</v>
      </c>
      <c r="M241" s="2140">
        <v>44585</v>
      </c>
      <c r="N241" s="2140">
        <v>44596</v>
      </c>
      <c r="O241" s="2140">
        <v>44621</v>
      </c>
      <c r="P241" s="2143" t="s">
        <v>11127</v>
      </c>
      <c r="Q241" s="2141"/>
      <c r="R241" s="2144">
        <v>754000</v>
      </c>
      <c r="S241" s="2144">
        <v>912340</v>
      </c>
      <c r="T241" s="2145"/>
      <c r="U241" s="2145"/>
      <c r="V241" s="2145"/>
      <c r="W241" s="2146">
        <v>44621</v>
      </c>
      <c r="X241" s="2144" t="s">
        <v>11188</v>
      </c>
      <c r="Y241" s="2140">
        <v>44642</v>
      </c>
      <c r="Z241" s="2140">
        <v>44648</v>
      </c>
      <c r="AA241" s="2140">
        <v>46102</v>
      </c>
      <c r="AB241" s="2109" t="s">
        <v>11386</v>
      </c>
      <c r="AC241" s="2109">
        <v>2023</v>
      </c>
      <c r="AD241" s="388">
        <v>2024</v>
      </c>
      <c r="AE241" s="388">
        <v>2025</v>
      </c>
      <c r="AF241" s="388" t="s">
        <v>11387</v>
      </c>
    </row>
    <row r="242" spans="1:32">
      <c r="A242" s="2124">
        <v>44578</v>
      </c>
      <c r="B242" s="2127" t="s">
        <v>10740</v>
      </c>
      <c r="C242" s="2125" t="s">
        <v>2434</v>
      </c>
      <c r="D242" s="2125" t="s">
        <v>3204</v>
      </c>
      <c r="E242" s="2126" t="s">
        <v>5464</v>
      </c>
      <c r="F242" s="2125"/>
      <c r="G242" s="2127"/>
      <c r="H242" s="2125"/>
      <c r="I242" s="2125" t="s">
        <v>642</v>
      </c>
      <c r="J242" s="2125"/>
      <c r="K242" s="2128">
        <v>13758670</v>
      </c>
      <c r="L242" s="2125" t="s">
        <v>251</v>
      </c>
      <c r="M242" s="2124">
        <v>44593</v>
      </c>
      <c r="N242" s="2124">
        <v>44627</v>
      </c>
      <c r="O242" s="2125"/>
      <c r="P242" s="2136" t="s">
        <v>4505</v>
      </c>
      <c r="Q242" s="2275" t="s">
        <v>11358</v>
      </c>
      <c r="R242" s="2128"/>
      <c r="S242" s="2128"/>
      <c r="T242" s="2129"/>
      <c r="U242" s="2129"/>
      <c r="V242" s="2129"/>
      <c r="W242" s="2128"/>
      <c r="X242" s="2128"/>
      <c r="Y242" s="2125"/>
      <c r="Z242" s="2124">
        <v>44641</v>
      </c>
      <c r="AA242" s="2127" t="s">
        <v>11357</v>
      </c>
      <c r="AB242" s="2125"/>
      <c r="AC242" s="2125"/>
    </row>
    <row r="243" spans="1:32">
      <c r="A243" s="2140">
        <v>44579</v>
      </c>
      <c r="B243" s="2143" t="s">
        <v>10741</v>
      </c>
      <c r="C243" s="2141" t="s">
        <v>14</v>
      </c>
      <c r="D243" s="2141" t="s">
        <v>13</v>
      </c>
      <c r="E243" s="2538" t="s">
        <v>10742</v>
      </c>
      <c r="F243" s="2321"/>
      <c r="G243" s="2143"/>
      <c r="H243" s="2141"/>
      <c r="I243" s="2141" t="s">
        <v>10743</v>
      </c>
      <c r="J243" s="2141"/>
      <c r="K243" s="2144">
        <v>2160000</v>
      </c>
      <c r="L243" s="2141" t="s">
        <v>216</v>
      </c>
      <c r="M243" s="2140">
        <v>44589</v>
      </c>
      <c r="N243" s="2140">
        <v>44608</v>
      </c>
      <c r="O243" s="2140">
        <v>44627</v>
      </c>
      <c r="P243" s="2143" t="s">
        <v>3915</v>
      </c>
      <c r="Q243" s="2141"/>
      <c r="R243" s="2144">
        <v>2184000</v>
      </c>
      <c r="S243" s="2144">
        <v>2642640</v>
      </c>
      <c r="T243" s="2145"/>
      <c r="U243" s="2145"/>
      <c r="V243" s="2145"/>
      <c r="W243" s="2146">
        <v>44627</v>
      </c>
      <c r="X243" s="2144" t="s">
        <v>11277</v>
      </c>
      <c r="Y243" s="2140">
        <v>44652</v>
      </c>
      <c r="Z243" s="2140">
        <v>44671</v>
      </c>
      <c r="AA243" s="2141" t="s">
        <v>4096</v>
      </c>
      <c r="AB243" s="2109" t="s">
        <v>11472</v>
      </c>
      <c r="AC243" s="2109">
        <v>2023</v>
      </c>
      <c r="AD243" s="388">
        <v>2024</v>
      </c>
      <c r="AE243" s="388">
        <v>2025</v>
      </c>
      <c r="AF243" s="388">
        <v>2026</v>
      </c>
    </row>
    <row r="244" spans="1:32" ht="45">
      <c r="A244" s="2140">
        <v>44575</v>
      </c>
      <c r="B244" s="2143" t="s">
        <v>10744</v>
      </c>
      <c r="C244" s="2141" t="s">
        <v>9694</v>
      </c>
      <c r="D244" s="2141" t="s">
        <v>4969</v>
      </c>
      <c r="E244" s="2142" t="s">
        <v>10745</v>
      </c>
      <c r="F244" s="2141"/>
      <c r="G244" s="2143"/>
      <c r="H244" s="2141"/>
      <c r="I244" s="2141" t="s">
        <v>1159</v>
      </c>
      <c r="J244" s="2141" t="s">
        <v>10746</v>
      </c>
      <c r="K244" s="2144">
        <v>1874500</v>
      </c>
      <c r="L244" s="2141" t="s">
        <v>251</v>
      </c>
      <c r="M244" s="2140">
        <v>44596</v>
      </c>
      <c r="N244" s="2140">
        <v>44631</v>
      </c>
      <c r="O244" s="2140">
        <v>44670</v>
      </c>
      <c r="P244" s="2143" t="s">
        <v>1319</v>
      </c>
      <c r="Q244" s="2141"/>
      <c r="R244" s="2144">
        <v>3201054</v>
      </c>
      <c r="S244" s="2144">
        <v>3873275.34</v>
      </c>
      <c r="T244" s="2145"/>
      <c r="U244" s="2145"/>
      <c r="V244" s="2145"/>
      <c r="W244" s="2146">
        <v>44670</v>
      </c>
      <c r="X244" s="2260" t="s">
        <v>11600</v>
      </c>
      <c r="Y244" s="2140">
        <v>44713</v>
      </c>
      <c r="Z244" s="2140">
        <v>44718</v>
      </c>
      <c r="AA244" s="2140">
        <v>44727</v>
      </c>
      <c r="AB244" s="2140">
        <v>44802</v>
      </c>
      <c r="AC244" s="2109" t="s">
        <v>6118</v>
      </c>
    </row>
    <row r="245" spans="1:32" ht="30.75" thickBot="1">
      <c r="A245" s="416">
        <v>44579</v>
      </c>
      <c r="B245" s="630" t="s">
        <v>10748</v>
      </c>
      <c r="C245" s="411" t="s">
        <v>2434</v>
      </c>
      <c r="D245" s="411" t="s">
        <v>3204</v>
      </c>
      <c r="E245" s="412" t="s">
        <v>10749</v>
      </c>
      <c r="F245" s="411"/>
      <c r="G245" s="630"/>
      <c r="H245" s="411"/>
      <c r="I245" s="411" t="s">
        <v>642</v>
      </c>
      <c r="J245" s="411"/>
      <c r="K245" s="417">
        <v>867600</v>
      </c>
      <c r="L245" s="411" t="s">
        <v>112</v>
      </c>
      <c r="M245" s="416">
        <v>44585</v>
      </c>
      <c r="N245" s="416">
        <v>44595</v>
      </c>
      <c r="O245" s="416">
        <v>44606</v>
      </c>
      <c r="P245" s="630" t="s">
        <v>9404</v>
      </c>
      <c r="Q245" s="411"/>
      <c r="R245" s="417">
        <v>867780</v>
      </c>
      <c r="S245" s="417">
        <v>1050013.8</v>
      </c>
      <c r="T245" s="1480"/>
      <c r="U245" s="1480"/>
      <c r="V245" s="1480"/>
      <c r="W245" s="513">
        <v>44606</v>
      </c>
      <c r="X245" s="1553" t="s">
        <v>11064</v>
      </c>
      <c r="Y245" s="416">
        <v>44634</v>
      </c>
      <c r="Z245" s="416">
        <v>44636</v>
      </c>
      <c r="AA245" s="416">
        <v>45364</v>
      </c>
      <c r="AB245" s="422" t="s">
        <v>11334</v>
      </c>
      <c r="AC245" s="422">
        <v>2023</v>
      </c>
      <c r="AD245" s="388" t="s">
        <v>11335</v>
      </c>
    </row>
    <row r="246" spans="1:32" ht="15.75" thickTop="1">
      <c r="A246" s="474">
        <v>44580</v>
      </c>
      <c r="B246" s="1420" t="s">
        <v>10750</v>
      </c>
      <c r="C246" s="453" t="s">
        <v>69</v>
      </c>
      <c r="D246" s="453" t="s">
        <v>70</v>
      </c>
      <c r="E246" s="473" t="s">
        <v>10751</v>
      </c>
      <c r="F246" s="453">
        <v>1</v>
      </c>
      <c r="G246" s="1987" t="s">
        <v>10752</v>
      </c>
      <c r="H246" s="453"/>
      <c r="I246" s="453" t="s">
        <v>4273</v>
      </c>
      <c r="J246" s="453"/>
      <c r="K246" s="457">
        <v>22413203</v>
      </c>
      <c r="L246" s="453" t="s">
        <v>251</v>
      </c>
      <c r="M246" s="474">
        <v>44582</v>
      </c>
      <c r="N246" s="474">
        <v>44617</v>
      </c>
      <c r="O246" s="474">
        <v>44636</v>
      </c>
      <c r="P246" s="1420" t="s">
        <v>2548</v>
      </c>
      <c r="Q246" s="453"/>
      <c r="R246" s="457">
        <v>22413173.829999998</v>
      </c>
      <c r="S246" s="457">
        <v>24654491.210000001</v>
      </c>
      <c r="T246" s="1474"/>
      <c r="U246" s="1474"/>
      <c r="V246" s="1474"/>
      <c r="W246" s="570">
        <v>44636</v>
      </c>
      <c r="X246" s="457" t="s">
        <v>11344</v>
      </c>
      <c r="Y246" s="474">
        <v>44678</v>
      </c>
      <c r="Z246" s="474">
        <v>44684</v>
      </c>
      <c r="AA246" s="474">
        <v>45773</v>
      </c>
      <c r="AB246" s="2591" t="s">
        <v>11662</v>
      </c>
      <c r="AC246" s="2591">
        <v>2023</v>
      </c>
      <c r="AD246" s="1701">
        <v>2024</v>
      </c>
      <c r="AE246" s="1701" t="s">
        <v>11711</v>
      </c>
    </row>
    <row r="247" spans="1:32">
      <c r="A247" s="2140">
        <v>44580</v>
      </c>
      <c r="B247" s="2143" t="s">
        <v>10750</v>
      </c>
      <c r="C247" s="2141" t="s">
        <v>69</v>
      </c>
      <c r="D247" s="2141" t="s">
        <v>70</v>
      </c>
      <c r="E247" s="2142" t="s">
        <v>10751</v>
      </c>
      <c r="F247" s="2141">
        <v>2</v>
      </c>
      <c r="G247" s="2143" t="s">
        <v>10753</v>
      </c>
      <c r="H247" s="2085"/>
      <c r="I247" s="2141" t="s">
        <v>4273</v>
      </c>
      <c r="J247" s="2141"/>
      <c r="K247" s="2144">
        <v>1248946</v>
      </c>
      <c r="L247" s="2141" t="s">
        <v>251</v>
      </c>
      <c r="M247" s="2140">
        <v>44582</v>
      </c>
      <c r="N247" s="2140">
        <v>44617</v>
      </c>
      <c r="O247" s="2140">
        <v>44636</v>
      </c>
      <c r="P247" s="2143" t="s">
        <v>576</v>
      </c>
      <c r="Q247" s="2141"/>
      <c r="R247" s="2144">
        <v>1241191.8</v>
      </c>
      <c r="S247" s="2144">
        <v>1365310.98</v>
      </c>
      <c r="T247" s="2094"/>
      <c r="U247" s="2094"/>
      <c r="V247" s="2094"/>
      <c r="W247" s="2146">
        <v>44636</v>
      </c>
      <c r="X247" s="2144" t="s">
        <v>11345</v>
      </c>
      <c r="Y247" s="2140">
        <v>44670</v>
      </c>
      <c r="Z247" s="2140">
        <v>44684</v>
      </c>
      <c r="AA247" s="2140">
        <v>45765</v>
      </c>
      <c r="AB247" s="2109" t="s">
        <v>11595</v>
      </c>
      <c r="AC247" s="2109">
        <v>2023</v>
      </c>
      <c r="AD247" s="388">
        <v>2024</v>
      </c>
      <c r="AE247" s="388" t="s">
        <v>11598</v>
      </c>
    </row>
    <row r="248" spans="1:32" ht="15.75" thickBot="1">
      <c r="A248" s="2117">
        <v>44580</v>
      </c>
      <c r="B248" s="2120" t="s">
        <v>10750</v>
      </c>
      <c r="C248" s="2118" t="s">
        <v>69</v>
      </c>
      <c r="D248" s="2118" t="s">
        <v>70</v>
      </c>
      <c r="E248" s="2119" t="s">
        <v>10751</v>
      </c>
      <c r="F248" s="2118">
        <v>3</v>
      </c>
      <c r="G248" s="1983" t="s">
        <v>10754</v>
      </c>
      <c r="H248" s="2089"/>
      <c r="I248" s="2118" t="s">
        <v>4273</v>
      </c>
      <c r="J248" s="2118"/>
      <c r="K248" s="2121">
        <v>621180</v>
      </c>
      <c r="L248" s="2118" t="s">
        <v>251</v>
      </c>
      <c r="M248" s="2117">
        <v>44582</v>
      </c>
      <c r="N248" s="2117">
        <v>44617</v>
      </c>
      <c r="O248" s="2117">
        <v>44636</v>
      </c>
      <c r="P248" s="2120" t="s">
        <v>576</v>
      </c>
      <c r="Q248" s="2118"/>
      <c r="R248" s="2121">
        <v>588714.30000000005</v>
      </c>
      <c r="S248" s="2121">
        <v>647585.73</v>
      </c>
      <c r="T248" s="2095"/>
      <c r="U248" s="2095"/>
      <c r="V248" s="2095"/>
      <c r="W248" s="2123">
        <v>44636</v>
      </c>
      <c r="X248" s="2121" t="s">
        <v>11346</v>
      </c>
      <c r="Y248" s="2117">
        <v>44670</v>
      </c>
      <c r="Z248" s="2117">
        <v>44684</v>
      </c>
      <c r="AA248" s="2117">
        <v>45765</v>
      </c>
      <c r="AB248" s="2110" t="s">
        <v>11595</v>
      </c>
      <c r="AC248" s="2110">
        <v>2023</v>
      </c>
      <c r="AD248" s="388">
        <v>2024</v>
      </c>
      <c r="AE248" s="388" t="s">
        <v>11598</v>
      </c>
    </row>
    <row r="249" spans="1:32" ht="15.75" thickTop="1">
      <c r="A249" s="365">
        <v>44580</v>
      </c>
      <c r="B249" s="2646" t="s">
        <v>10755</v>
      </c>
      <c r="C249" s="2539" t="s">
        <v>166</v>
      </c>
      <c r="D249" s="2539" t="s">
        <v>10756</v>
      </c>
      <c r="E249" s="175" t="s">
        <v>10757</v>
      </c>
      <c r="F249" s="2539"/>
      <c r="G249" s="2540"/>
      <c r="H249" s="2539"/>
      <c r="I249" s="2539" t="s">
        <v>10758</v>
      </c>
      <c r="J249" s="2539"/>
      <c r="K249" s="364">
        <v>900000</v>
      </c>
      <c r="L249" s="2539" t="s">
        <v>112</v>
      </c>
      <c r="M249" s="365">
        <v>44582</v>
      </c>
      <c r="N249" s="365">
        <v>44595</v>
      </c>
      <c r="O249" s="365">
        <v>44602</v>
      </c>
      <c r="P249" s="2540" t="s">
        <v>175</v>
      </c>
      <c r="Q249" s="2539"/>
      <c r="R249" s="364">
        <v>721814.42</v>
      </c>
      <c r="S249" s="364">
        <v>873395.45</v>
      </c>
      <c r="T249" s="1473"/>
      <c r="U249" s="1473"/>
      <c r="V249" s="1473"/>
      <c r="W249" s="681">
        <v>44602</v>
      </c>
      <c r="X249" s="364" t="s">
        <v>11048</v>
      </c>
      <c r="Y249" s="365">
        <v>44623</v>
      </c>
      <c r="Z249" s="365">
        <v>44627</v>
      </c>
      <c r="AA249" s="2539"/>
      <c r="AB249" s="451"/>
      <c r="AC249" s="1513"/>
    </row>
    <row r="250" spans="1:32" ht="45.75" thickBot="1">
      <c r="A250" s="416">
        <v>44575</v>
      </c>
      <c r="B250" s="630" t="s">
        <v>10763</v>
      </c>
      <c r="C250" s="411" t="s">
        <v>9694</v>
      </c>
      <c r="D250" s="411" t="s">
        <v>4969</v>
      </c>
      <c r="E250" s="412" t="s">
        <v>10764</v>
      </c>
      <c r="F250" s="411"/>
      <c r="G250" s="630"/>
      <c r="H250" s="411"/>
      <c r="I250" s="411" t="s">
        <v>1159</v>
      </c>
      <c r="J250" s="411" t="s">
        <v>10765</v>
      </c>
      <c r="K250" s="417">
        <v>26960656</v>
      </c>
      <c r="L250" s="411" t="s">
        <v>251</v>
      </c>
      <c r="M250" s="416">
        <v>44620</v>
      </c>
      <c r="N250" s="416">
        <v>44663</v>
      </c>
      <c r="O250" s="416">
        <v>44699</v>
      </c>
      <c r="P250" s="630" t="s">
        <v>1153</v>
      </c>
      <c r="Q250" s="411"/>
      <c r="R250" s="417">
        <v>26947768</v>
      </c>
      <c r="S250" s="417">
        <v>32606799.280000001</v>
      </c>
      <c r="T250" s="1480"/>
      <c r="U250" s="1480"/>
      <c r="V250" s="1480"/>
      <c r="W250" s="513">
        <v>44699</v>
      </c>
      <c r="X250" s="1553" t="s">
        <v>11919</v>
      </c>
      <c r="Y250" s="416">
        <v>44720</v>
      </c>
      <c r="Z250" s="416">
        <v>44729</v>
      </c>
      <c r="AA250" s="416">
        <v>44804</v>
      </c>
      <c r="AB250" s="416">
        <v>44844</v>
      </c>
      <c r="AC250" s="422" t="s">
        <v>6118</v>
      </c>
    </row>
    <row r="251" spans="1:32" ht="30.75" thickTop="1">
      <c r="A251" s="453" t="s">
        <v>3585</v>
      </c>
      <c r="B251" s="1420" t="s">
        <v>10767</v>
      </c>
      <c r="C251" s="453" t="s">
        <v>2434</v>
      </c>
      <c r="D251" s="453" t="s">
        <v>3204</v>
      </c>
      <c r="E251" s="473" t="s">
        <v>11438</v>
      </c>
      <c r="F251" s="453">
        <v>1</v>
      </c>
      <c r="G251" s="1420" t="s">
        <v>11439</v>
      </c>
      <c r="H251" s="453"/>
      <c r="I251" s="453" t="s">
        <v>642</v>
      </c>
      <c r="J251" s="453"/>
      <c r="K251" s="2002">
        <v>5441800</v>
      </c>
      <c r="L251" s="453" t="s">
        <v>251</v>
      </c>
      <c r="M251" s="474">
        <v>44609</v>
      </c>
      <c r="N251" s="474">
        <v>44643</v>
      </c>
      <c r="O251" s="474">
        <v>44656</v>
      </c>
      <c r="P251" s="1420" t="s">
        <v>8793</v>
      </c>
      <c r="Q251" s="453"/>
      <c r="R251" s="457">
        <v>4965000</v>
      </c>
      <c r="S251" s="457">
        <v>5709750</v>
      </c>
      <c r="T251" s="1474"/>
      <c r="U251" s="1474"/>
      <c r="V251" s="1474"/>
      <c r="W251" s="570">
        <v>44656</v>
      </c>
      <c r="X251" s="1387" t="s">
        <v>11501</v>
      </c>
      <c r="Y251" s="474">
        <v>44697</v>
      </c>
      <c r="Z251" s="474">
        <v>44711</v>
      </c>
      <c r="AA251" s="474">
        <v>45427</v>
      </c>
      <c r="AB251" s="1391" t="s">
        <v>11883</v>
      </c>
      <c r="AC251" s="1391">
        <v>2023</v>
      </c>
      <c r="AD251" s="388" t="s">
        <v>11884</v>
      </c>
    </row>
    <row r="252" spans="1:32" ht="30">
      <c r="A252" s="2141" t="s">
        <v>3585</v>
      </c>
      <c r="B252" s="2143" t="s">
        <v>10767</v>
      </c>
      <c r="C252" s="2141" t="s">
        <v>2434</v>
      </c>
      <c r="D252" s="2141" t="s">
        <v>3204</v>
      </c>
      <c r="E252" s="2142" t="s">
        <v>11438</v>
      </c>
      <c r="F252" s="2141">
        <v>2</v>
      </c>
      <c r="G252" s="2143" t="s">
        <v>11440</v>
      </c>
      <c r="H252" s="2141"/>
      <c r="I252" s="2141" t="s">
        <v>642</v>
      </c>
      <c r="J252" s="2141"/>
      <c r="K252" s="2607">
        <v>1436240</v>
      </c>
      <c r="L252" s="2141" t="s">
        <v>251</v>
      </c>
      <c r="M252" s="2140">
        <v>44609</v>
      </c>
      <c r="N252" s="2140">
        <v>44643</v>
      </c>
      <c r="O252" s="2140">
        <v>44656</v>
      </c>
      <c r="P252" s="2143" t="s">
        <v>9770</v>
      </c>
      <c r="Q252" s="2141"/>
      <c r="R252" s="2144">
        <v>1419617.39</v>
      </c>
      <c r="S252" s="2144">
        <v>1632560</v>
      </c>
      <c r="T252" s="2145"/>
      <c r="U252" s="2145"/>
      <c r="V252" s="2145"/>
      <c r="W252" s="2146">
        <v>44656</v>
      </c>
      <c r="X252" s="2260" t="s">
        <v>11502</v>
      </c>
      <c r="Y252" s="2140">
        <v>44686</v>
      </c>
      <c r="Z252" s="2140">
        <v>44711</v>
      </c>
      <c r="AA252" s="2140">
        <v>45416</v>
      </c>
      <c r="AB252" s="2109" t="s">
        <v>11749</v>
      </c>
      <c r="AC252" s="2109">
        <v>2023</v>
      </c>
      <c r="AD252" s="388" t="s">
        <v>8893</v>
      </c>
    </row>
    <row r="253" spans="1:32" ht="30.75" thickBot="1">
      <c r="A253" s="2118" t="s">
        <v>3585</v>
      </c>
      <c r="B253" s="2120" t="s">
        <v>10767</v>
      </c>
      <c r="C253" s="2118" t="s">
        <v>2434</v>
      </c>
      <c r="D253" s="2118" t="s">
        <v>3204</v>
      </c>
      <c r="E253" s="2119" t="s">
        <v>11438</v>
      </c>
      <c r="F253" s="2118">
        <v>3</v>
      </c>
      <c r="G253" s="2120" t="s">
        <v>11441</v>
      </c>
      <c r="H253" s="2118"/>
      <c r="I253" s="2118" t="s">
        <v>642</v>
      </c>
      <c r="J253" s="2118"/>
      <c r="K253" s="2608">
        <v>538590</v>
      </c>
      <c r="L253" s="2118" t="s">
        <v>251</v>
      </c>
      <c r="M253" s="2117">
        <v>44609</v>
      </c>
      <c r="N253" s="2117">
        <v>44643</v>
      </c>
      <c r="O253" s="2117">
        <v>44656</v>
      </c>
      <c r="P253" s="2120" t="s">
        <v>9770</v>
      </c>
      <c r="Q253" s="2118"/>
      <c r="R253" s="2121">
        <v>476139.13</v>
      </c>
      <c r="S253" s="2121">
        <v>547560</v>
      </c>
      <c r="T253" s="2122"/>
      <c r="U253" s="2122"/>
      <c r="V253" s="2122"/>
      <c r="W253" s="2123">
        <v>44656</v>
      </c>
      <c r="X253" s="2246" t="s">
        <v>11503</v>
      </c>
      <c r="Y253" s="2117">
        <v>44686</v>
      </c>
      <c r="Z253" s="2117">
        <v>44711</v>
      </c>
      <c r="AA253" s="2117">
        <v>45416</v>
      </c>
      <c r="AB253" s="2110" t="s">
        <v>11749</v>
      </c>
      <c r="AC253" s="2110">
        <v>2023</v>
      </c>
      <c r="AD253" s="388" t="s">
        <v>8893</v>
      </c>
    </row>
    <row r="254" spans="1:32" ht="15.75" thickTop="1">
      <c r="A254" s="365">
        <v>44579</v>
      </c>
      <c r="B254" s="2646" t="s">
        <v>10776</v>
      </c>
      <c r="C254" s="2576" t="s">
        <v>2434</v>
      </c>
      <c r="D254" s="2576" t="s">
        <v>219</v>
      </c>
      <c r="E254" s="175" t="s">
        <v>10777</v>
      </c>
      <c r="F254" s="2576"/>
      <c r="G254" s="2577"/>
      <c r="H254" s="2576"/>
      <c r="I254" s="2576" t="s">
        <v>642</v>
      </c>
      <c r="J254" s="2576"/>
      <c r="K254" s="364">
        <v>800640</v>
      </c>
      <c r="L254" s="2576" t="s">
        <v>112</v>
      </c>
      <c r="M254" s="365">
        <v>44585</v>
      </c>
      <c r="N254" s="365">
        <v>44606</v>
      </c>
      <c r="O254" s="365">
        <v>44615</v>
      </c>
      <c r="P254" s="2577" t="s">
        <v>11477</v>
      </c>
      <c r="Q254" s="2576"/>
      <c r="R254" s="364">
        <v>890758.8</v>
      </c>
      <c r="S254" s="364">
        <v>1077818</v>
      </c>
      <c r="T254" s="1473"/>
      <c r="U254" s="1473"/>
      <c r="V254" s="1473"/>
      <c r="W254" s="681">
        <v>44615</v>
      </c>
      <c r="X254" s="364" t="s">
        <v>11141</v>
      </c>
      <c r="Y254" s="365">
        <v>44656</v>
      </c>
      <c r="Z254" s="365">
        <v>44658</v>
      </c>
      <c r="AA254" s="365">
        <v>46116</v>
      </c>
      <c r="AB254" s="451" t="s">
        <v>11516</v>
      </c>
      <c r="AC254" s="451">
        <v>2023</v>
      </c>
      <c r="AD254" s="388">
        <v>2024</v>
      </c>
      <c r="AE254" s="388">
        <v>2025</v>
      </c>
      <c r="AF254" s="388" t="s">
        <v>11518</v>
      </c>
    </row>
    <row r="255" spans="1:32">
      <c r="A255" s="2140">
        <v>44581</v>
      </c>
      <c r="B255" s="2143" t="s">
        <v>10781</v>
      </c>
      <c r="C255" s="2141" t="s">
        <v>14</v>
      </c>
      <c r="D255" s="2141" t="s">
        <v>13</v>
      </c>
      <c r="E255" s="2142" t="s">
        <v>10782</v>
      </c>
      <c r="F255" s="2141"/>
      <c r="G255" s="2143"/>
      <c r="H255" s="2141"/>
      <c r="I255" s="2141" t="s">
        <v>773</v>
      </c>
      <c r="J255" s="2141"/>
      <c r="K255" s="2144">
        <v>8100000</v>
      </c>
      <c r="L255" s="2141" t="s">
        <v>251</v>
      </c>
      <c r="M255" s="2140">
        <v>44588</v>
      </c>
      <c r="N255" s="2140">
        <v>44630</v>
      </c>
      <c r="O255" s="2140">
        <v>44658</v>
      </c>
      <c r="P255" s="2143" t="s">
        <v>11478</v>
      </c>
      <c r="Q255" s="2141"/>
      <c r="R255" s="2144">
        <v>7443552</v>
      </c>
      <c r="S255" s="2144">
        <v>9006697.9199999999</v>
      </c>
      <c r="T255" s="2145"/>
      <c r="U255" s="2145"/>
      <c r="V255" s="2145"/>
      <c r="W255" s="2146">
        <v>44658</v>
      </c>
      <c r="X255" s="2144" t="s">
        <v>11539</v>
      </c>
      <c r="Y255" s="2140">
        <v>44693</v>
      </c>
      <c r="Z255" s="2140">
        <v>44698</v>
      </c>
      <c r="AA255" s="2140">
        <v>45057</v>
      </c>
      <c r="AB255" s="2109" t="s">
        <v>11321</v>
      </c>
      <c r="AC255" s="2109" t="s">
        <v>11825</v>
      </c>
    </row>
    <row r="256" spans="1:32" ht="30">
      <c r="A256" s="2140">
        <v>44579</v>
      </c>
      <c r="B256" s="2143" t="s">
        <v>10794</v>
      </c>
      <c r="C256" s="2141" t="s">
        <v>9694</v>
      </c>
      <c r="D256" s="2141" t="s">
        <v>4969</v>
      </c>
      <c r="E256" s="2142" t="s">
        <v>10795</v>
      </c>
      <c r="F256" s="2141"/>
      <c r="G256" s="2143"/>
      <c r="H256" s="2141"/>
      <c r="I256" s="2141" t="s">
        <v>1159</v>
      </c>
      <c r="J256" s="2141" t="s">
        <v>10796</v>
      </c>
      <c r="K256" s="2144">
        <v>704000</v>
      </c>
      <c r="L256" s="2141" t="s">
        <v>251</v>
      </c>
      <c r="M256" s="2140">
        <v>44606</v>
      </c>
      <c r="N256" s="2140">
        <v>44643</v>
      </c>
      <c r="O256" s="2140">
        <v>44662</v>
      </c>
      <c r="P256" s="2143" t="s">
        <v>11558</v>
      </c>
      <c r="Q256" s="2141"/>
      <c r="R256" s="2144">
        <v>721500</v>
      </c>
      <c r="S256" s="2144">
        <v>873015</v>
      </c>
      <c r="T256" s="2145"/>
      <c r="U256" s="2145"/>
      <c r="V256" s="2145"/>
      <c r="W256" s="2146">
        <v>44663</v>
      </c>
      <c r="X256" s="2260" t="s">
        <v>11557</v>
      </c>
      <c r="Y256" s="2140">
        <v>44697</v>
      </c>
      <c r="Z256" s="2140">
        <v>44704</v>
      </c>
      <c r="AA256" s="2140">
        <v>44739</v>
      </c>
      <c r="AB256" s="2140">
        <v>44789</v>
      </c>
      <c r="AC256" s="2109" t="s">
        <v>1875</v>
      </c>
    </row>
    <row r="257" spans="1:32" ht="45.75" thickBot="1">
      <c r="A257" s="411" t="s">
        <v>3585</v>
      </c>
      <c r="B257" s="630" t="s">
        <v>10797</v>
      </c>
      <c r="C257" s="411" t="s">
        <v>58</v>
      </c>
      <c r="D257" s="411" t="s">
        <v>4969</v>
      </c>
      <c r="E257" s="412" t="s">
        <v>10798</v>
      </c>
      <c r="F257" s="411"/>
      <c r="G257" s="630"/>
      <c r="H257" s="411"/>
      <c r="I257" s="411" t="s">
        <v>77</v>
      </c>
      <c r="J257" s="411" t="s">
        <v>10575</v>
      </c>
      <c r="K257" s="417">
        <v>1040500</v>
      </c>
      <c r="L257" s="411" t="s">
        <v>112</v>
      </c>
      <c r="M257" s="416">
        <v>44587</v>
      </c>
      <c r="N257" s="416">
        <v>44595</v>
      </c>
      <c r="O257" s="416">
        <v>44606</v>
      </c>
      <c r="P257" s="630" t="s">
        <v>10214</v>
      </c>
      <c r="Q257" s="411"/>
      <c r="R257" s="417">
        <v>1010012.93</v>
      </c>
      <c r="S257" s="417">
        <v>1222115.67</v>
      </c>
      <c r="T257" s="1480"/>
      <c r="U257" s="1480"/>
      <c r="V257" s="1480"/>
      <c r="W257" s="513">
        <v>44606</v>
      </c>
      <c r="X257" s="1553" t="s">
        <v>11060</v>
      </c>
      <c r="Y257" s="416">
        <v>44641</v>
      </c>
      <c r="Z257" s="416">
        <v>44641</v>
      </c>
      <c r="AA257" s="416">
        <v>44697</v>
      </c>
      <c r="AB257" s="416">
        <v>44739</v>
      </c>
      <c r="AC257" s="422" t="s">
        <v>6118</v>
      </c>
    </row>
    <row r="258" spans="1:32" ht="15.75" thickTop="1">
      <c r="A258" s="474">
        <v>44581</v>
      </c>
      <c r="B258" s="1420" t="s">
        <v>10817</v>
      </c>
      <c r="C258" s="453" t="s">
        <v>69</v>
      </c>
      <c r="D258" s="453" t="s">
        <v>70</v>
      </c>
      <c r="E258" s="473" t="s">
        <v>10818</v>
      </c>
      <c r="F258" s="453">
        <v>1</v>
      </c>
      <c r="G258" s="2655" t="s">
        <v>10820</v>
      </c>
      <c r="H258" s="583"/>
      <c r="I258" s="453" t="s">
        <v>10819</v>
      </c>
      <c r="J258" s="453"/>
      <c r="K258" s="457">
        <v>1921804</v>
      </c>
      <c r="L258" s="453" t="s">
        <v>251</v>
      </c>
      <c r="M258" s="474">
        <v>44588</v>
      </c>
      <c r="N258" s="474">
        <v>44651</v>
      </c>
      <c r="O258" s="474">
        <v>44692</v>
      </c>
      <c r="P258" s="1420" t="s">
        <v>576</v>
      </c>
      <c r="Q258" s="453"/>
      <c r="R258" s="457">
        <v>1814616.93</v>
      </c>
      <c r="S258" s="457">
        <v>1996078.62</v>
      </c>
      <c r="T258" s="1483"/>
      <c r="U258" s="1483"/>
      <c r="V258" s="1483"/>
      <c r="W258" s="570">
        <v>44692</v>
      </c>
      <c r="X258" s="457" t="s">
        <v>11811</v>
      </c>
      <c r="Y258" s="474">
        <v>44732</v>
      </c>
      <c r="Z258" s="474">
        <v>44760</v>
      </c>
      <c r="AA258" s="474">
        <v>45827</v>
      </c>
      <c r="AB258" s="1391" t="s">
        <v>12285</v>
      </c>
      <c r="AC258" s="1391">
        <v>2023</v>
      </c>
      <c r="AD258" s="388">
        <v>2024</v>
      </c>
      <c r="AE258" s="388" t="s">
        <v>12287</v>
      </c>
    </row>
    <row r="259" spans="1:32">
      <c r="A259" s="2140">
        <v>44581</v>
      </c>
      <c r="B259" s="2143" t="s">
        <v>10817</v>
      </c>
      <c r="C259" s="2141" t="s">
        <v>69</v>
      </c>
      <c r="D259" s="2141" t="s">
        <v>70</v>
      </c>
      <c r="E259" s="2142" t="s">
        <v>10818</v>
      </c>
      <c r="F259" s="2141">
        <v>2</v>
      </c>
      <c r="G259" s="2622" t="s">
        <v>6455</v>
      </c>
      <c r="H259" s="2141"/>
      <c r="I259" s="2141" t="s">
        <v>10819</v>
      </c>
      <c r="J259" s="2141"/>
      <c r="K259" s="2144">
        <v>6520862</v>
      </c>
      <c r="L259" s="2141" t="s">
        <v>251</v>
      </c>
      <c r="M259" s="2140">
        <v>44588</v>
      </c>
      <c r="N259" s="2140">
        <v>44651</v>
      </c>
      <c r="O259" s="2140">
        <v>44692</v>
      </c>
      <c r="P259" s="2143" t="s">
        <v>2548</v>
      </c>
      <c r="Q259" s="2141"/>
      <c r="R259" s="2144">
        <v>4806553.32</v>
      </c>
      <c r="S259" s="2144">
        <v>5287208.6500000004</v>
      </c>
      <c r="T259" s="2145"/>
      <c r="U259" s="2145"/>
      <c r="V259" s="2145"/>
      <c r="W259" s="2146">
        <v>44692</v>
      </c>
      <c r="X259" s="2144" t="s">
        <v>11812</v>
      </c>
      <c r="Y259" s="2140">
        <v>44740</v>
      </c>
      <c r="Z259" s="2140">
        <v>44760</v>
      </c>
      <c r="AA259" s="2140">
        <v>45835</v>
      </c>
      <c r="AB259" s="2109" t="s">
        <v>12370</v>
      </c>
      <c r="AC259" s="2109">
        <v>2023</v>
      </c>
      <c r="AD259" s="388">
        <v>2024</v>
      </c>
      <c r="AE259" s="388" t="s">
        <v>9277</v>
      </c>
    </row>
    <row r="260" spans="1:32" ht="15.75" thickBot="1">
      <c r="A260" s="2117">
        <v>44581</v>
      </c>
      <c r="B260" s="2120" t="s">
        <v>10817</v>
      </c>
      <c r="C260" s="2118" t="s">
        <v>69</v>
      </c>
      <c r="D260" s="2118" t="s">
        <v>70</v>
      </c>
      <c r="E260" s="2119" t="s">
        <v>10818</v>
      </c>
      <c r="F260" s="2118">
        <v>3</v>
      </c>
      <c r="G260" s="2671" t="s">
        <v>10821</v>
      </c>
      <c r="H260" s="2118"/>
      <c r="I260" s="2118" t="s">
        <v>10819</v>
      </c>
      <c r="J260" s="2118"/>
      <c r="K260" s="2121">
        <v>8922</v>
      </c>
      <c r="L260" s="2118" t="s">
        <v>251</v>
      </c>
      <c r="M260" s="2117">
        <v>44588</v>
      </c>
      <c r="N260" s="2117">
        <v>44651</v>
      </c>
      <c r="O260" s="2117">
        <v>44741</v>
      </c>
      <c r="P260" s="2120" t="s">
        <v>1646</v>
      </c>
      <c r="Q260" s="2118"/>
      <c r="R260" s="2121">
        <v>6772.98</v>
      </c>
      <c r="S260" s="2121">
        <v>7450.28</v>
      </c>
      <c r="T260" s="2122"/>
      <c r="U260" s="2122"/>
      <c r="V260" s="2122"/>
      <c r="W260" s="2123">
        <v>44741</v>
      </c>
      <c r="X260" s="2121" t="s">
        <v>12424</v>
      </c>
      <c r="Y260" s="2117">
        <v>44760</v>
      </c>
      <c r="Z260" s="2117">
        <v>44761</v>
      </c>
      <c r="AA260" s="2117">
        <v>45855</v>
      </c>
      <c r="AB260" s="2110" t="s">
        <v>12535</v>
      </c>
      <c r="AC260" s="2110">
        <v>2023</v>
      </c>
      <c r="AD260" s="388">
        <v>2024</v>
      </c>
      <c r="AE260" s="388" t="s">
        <v>12536</v>
      </c>
    </row>
    <row r="261" spans="1:32" ht="15.75" thickTop="1">
      <c r="A261" s="470">
        <v>44581</v>
      </c>
      <c r="B261" s="654" t="s">
        <v>10822</v>
      </c>
      <c r="C261" s="466" t="s">
        <v>69</v>
      </c>
      <c r="D261" s="466" t="s">
        <v>70</v>
      </c>
      <c r="E261" s="467" t="s">
        <v>10823</v>
      </c>
      <c r="F261" s="466">
        <v>1</v>
      </c>
      <c r="G261" s="2552" t="s">
        <v>10970</v>
      </c>
      <c r="H261" s="466"/>
      <c r="I261" s="466" t="s">
        <v>93</v>
      </c>
      <c r="J261" s="466"/>
      <c r="K261" s="472">
        <v>9448731</v>
      </c>
      <c r="L261" s="466" t="s">
        <v>251</v>
      </c>
      <c r="M261" s="470">
        <v>44602</v>
      </c>
      <c r="N261" s="470">
        <v>44637</v>
      </c>
      <c r="O261" s="466"/>
      <c r="P261" s="471" t="s">
        <v>11312</v>
      </c>
      <c r="Q261" s="2014" t="s">
        <v>11752</v>
      </c>
      <c r="R261" s="472"/>
      <c r="S261" s="472"/>
      <c r="T261" s="1516"/>
      <c r="U261" s="1516"/>
      <c r="V261" s="1516"/>
      <c r="W261" s="472"/>
      <c r="X261" s="472"/>
      <c r="Y261" s="466"/>
      <c r="Z261" s="470">
        <v>44651</v>
      </c>
      <c r="AA261" s="654" t="s">
        <v>11311</v>
      </c>
      <c r="AB261" s="466"/>
      <c r="AC261" s="466"/>
    </row>
    <row r="262" spans="1:32">
      <c r="A262" s="2124">
        <v>44581</v>
      </c>
      <c r="B262" s="2127" t="s">
        <v>10822</v>
      </c>
      <c r="C262" s="2125" t="s">
        <v>69</v>
      </c>
      <c r="D262" s="2125" t="s">
        <v>70</v>
      </c>
      <c r="E262" s="2126" t="s">
        <v>10823</v>
      </c>
      <c r="F262" s="2125">
        <v>2</v>
      </c>
      <c r="G262" s="2514" t="s">
        <v>10971</v>
      </c>
      <c r="H262" s="2125"/>
      <c r="I262" s="2125" t="s">
        <v>93</v>
      </c>
      <c r="J262" s="2125"/>
      <c r="K262" s="2128">
        <v>2456505</v>
      </c>
      <c r="L262" s="2125" t="s">
        <v>251</v>
      </c>
      <c r="M262" s="2124">
        <v>44602</v>
      </c>
      <c r="N262" s="2124">
        <v>44637</v>
      </c>
      <c r="O262" s="2125"/>
      <c r="P262" s="2136" t="s">
        <v>11312</v>
      </c>
      <c r="Q262" s="2275" t="s">
        <v>11752</v>
      </c>
      <c r="R262" s="2128"/>
      <c r="S262" s="2128"/>
      <c r="T262" s="2129"/>
      <c r="U262" s="2129"/>
      <c r="V262" s="2129"/>
      <c r="W262" s="2128"/>
      <c r="X262" s="2128"/>
      <c r="Y262" s="2125"/>
      <c r="Z262" s="2124">
        <v>44651</v>
      </c>
      <c r="AA262" s="2127" t="s">
        <v>11311</v>
      </c>
      <c r="AB262" s="2125"/>
      <c r="AC262" s="2125"/>
    </row>
    <row r="263" spans="1:32">
      <c r="A263" s="2124">
        <v>44581</v>
      </c>
      <c r="B263" s="2127" t="s">
        <v>10822</v>
      </c>
      <c r="C263" s="2125" t="s">
        <v>69</v>
      </c>
      <c r="D263" s="2125" t="s">
        <v>70</v>
      </c>
      <c r="E263" s="2126" t="s">
        <v>10823</v>
      </c>
      <c r="F263" s="2125">
        <v>3</v>
      </c>
      <c r="G263" s="2127" t="s">
        <v>10824</v>
      </c>
      <c r="H263" s="2125"/>
      <c r="I263" s="2125" t="s">
        <v>93</v>
      </c>
      <c r="J263" s="2125"/>
      <c r="K263" s="2128">
        <v>15520350</v>
      </c>
      <c r="L263" s="2125" t="s">
        <v>251</v>
      </c>
      <c r="M263" s="2124">
        <v>44602</v>
      </c>
      <c r="N263" s="2124">
        <v>44637</v>
      </c>
      <c r="O263" s="2125"/>
      <c r="P263" s="2136" t="s">
        <v>2635</v>
      </c>
      <c r="Q263" s="2275" t="s">
        <v>11752</v>
      </c>
      <c r="R263" s="2128"/>
      <c r="S263" s="2128"/>
      <c r="T263" s="2129"/>
      <c r="U263" s="2129"/>
      <c r="V263" s="2129"/>
      <c r="W263" s="2128"/>
      <c r="X263" s="2128"/>
      <c r="Y263" s="2125"/>
      <c r="Z263" s="2124">
        <v>44697</v>
      </c>
      <c r="AA263" s="2127" t="s">
        <v>11621</v>
      </c>
      <c r="AB263" s="2125"/>
      <c r="AC263" s="2125"/>
    </row>
    <row r="264" spans="1:32">
      <c r="A264" s="2140">
        <v>44581</v>
      </c>
      <c r="B264" s="2143" t="s">
        <v>10822</v>
      </c>
      <c r="C264" s="2141" t="s">
        <v>69</v>
      </c>
      <c r="D264" s="2141" t="s">
        <v>70</v>
      </c>
      <c r="E264" s="2142" t="s">
        <v>10823</v>
      </c>
      <c r="F264" s="2141">
        <v>4</v>
      </c>
      <c r="G264" s="2143" t="s">
        <v>10825</v>
      </c>
      <c r="H264" s="2141"/>
      <c r="I264" s="2141" t="s">
        <v>93</v>
      </c>
      <c r="J264" s="2141"/>
      <c r="K264" s="2144">
        <v>41150168</v>
      </c>
      <c r="L264" s="2141" t="s">
        <v>251</v>
      </c>
      <c r="M264" s="2140">
        <v>44602</v>
      </c>
      <c r="N264" s="2140">
        <v>44637</v>
      </c>
      <c r="O264" s="2140">
        <v>44658</v>
      </c>
      <c r="P264" s="2143" t="s">
        <v>576</v>
      </c>
      <c r="Q264" s="2141"/>
      <c r="R264" s="2144">
        <v>41150167.560000002</v>
      </c>
      <c r="S264" s="2144">
        <v>45265184.32</v>
      </c>
      <c r="T264" s="2145"/>
      <c r="U264" s="2145"/>
      <c r="V264" s="2145"/>
      <c r="W264" s="2146">
        <v>44658</v>
      </c>
      <c r="X264" s="2144" t="s">
        <v>11540</v>
      </c>
      <c r="Y264" s="2140">
        <v>44686</v>
      </c>
      <c r="Z264" s="2140">
        <v>44705</v>
      </c>
      <c r="AA264" s="2140">
        <v>45781</v>
      </c>
      <c r="AB264" s="2109" t="s">
        <v>11749</v>
      </c>
      <c r="AC264" s="2109">
        <v>2023</v>
      </c>
      <c r="AD264" s="388">
        <v>2024</v>
      </c>
      <c r="AE264" s="388" t="s">
        <v>11750</v>
      </c>
    </row>
    <row r="265" spans="1:32">
      <c r="A265" s="2140">
        <v>44581</v>
      </c>
      <c r="B265" s="2143" t="s">
        <v>10822</v>
      </c>
      <c r="C265" s="2141" t="s">
        <v>69</v>
      </c>
      <c r="D265" s="2141" t="s">
        <v>70</v>
      </c>
      <c r="E265" s="2142" t="s">
        <v>10823</v>
      </c>
      <c r="F265" s="2141">
        <v>5</v>
      </c>
      <c r="G265" s="2143" t="s">
        <v>10826</v>
      </c>
      <c r="H265" s="2141"/>
      <c r="I265" s="2141" t="s">
        <v>93</v>
      </c>
      <c r="J265" s="2141"/>
      <c r="K265" s="2144">
        <v>205485377</v>
      </c>
      <c r="L265" s="2141" t="s">
        <v>251</v>
      </c>
      <c r="M265" s="2140">
        <v>44602</v>
      </c>
      <c r="N265" s="2140">
        <v>44637</v>
      </c>
      <c r="O265" s="2140">
        <v>44658</v>
      </c>
      <c r="P265" s="2143" t="s">
        <v>2490</v>
      </c>
      <c r="Q265" s="2141"/>
      <c r="R265" s="2144">
        <v>205485376.5</v>
      </c>
      <c r="S265" s="2144">
        <v>226033914.15000001</v>
      </c>
      <c r="T265" s="2145"/>
      <c r="U265" s="2145"/>
      <c r="V265" s="2145"/>
      <c r="W265" s="2146">
        <v>44658</v>
      </c>
      <c r="X265" s="2144" t="s">
        <v>11541</v>
      </c>
      <c r="Y265" s="2140">
        <v>44680</v>
      </c>
      <c r="Z265" s="2140">
        <v>44705</v>
      </c>
      <c r="AA265" s="2140">
        <v>45775</v>
      </c>
      <c r="AB265" s="2109" t="s">
        <v>11694</v>
      </c>
      <c r="AC265" s="2109">
        <v>2023</v>
      </c>
      <c r="AD265" s="388">
        <v>2024</v>
      </c>
      <c r="AE265" s="388" t="s">
        <v>11695</v>
      </c>
    </row>
    <row r="266" spans="1:32">
      <c r="A266" s="2140">
        <v>44581</v>
      </c>
      <c r="B266" s="2143" t="s">
        <v>10822</v>
      </c>
      <c r="C266" s="2141" t="s">
        <v>69</v>
      </c>
      <c r="D266" s="2141" t="s">
        <v>70</v>
      </c>
      <c r="E266" s="2142" t="s">
        <v>10823</v>
      </c>
      <c r="F266" s="2141">
        <v>6</v>
      </c>
      <c r="G266" s="2143" t="s">
        <v>10827</v>
      </c>
      <c r="H266" s="2141"/>
      <c r="I266" s="2141" t="s">
        <v>93</v>
      </c>
      <c r="J266" s="2141"/>
      <c r="K266" s="2144">
        <v>31486185</v>
      </c>
      <c r="L266" s="2141" t="s">
        <v>251</v>
      </c>
      <c r="M266" s="2140">
        <v>44602</v>
      </c>
      <c r="N266" s="2140">
        <v>44637</v>
      </c>
      <c r="O266" s="2140">
        <v>44658</v>
      </c>
      <c r="P266" s="2143" t="s">
        <v>2548</v>
      </c>
      <c r="Q266" s="2141"/>
      <c r="R266" s="2144">
        <v>31486184.52</v>
      </c>
      <c r="S266" s="2144">
        <v>34634802.969999999</v>
      </c>
      <c r="T266" s="2145"/>
      <c r="U266" s="2145"/>
      <c r="V266" s="2145"/>
      <c r="W266" s="2146">
        <v>44658</v>
      </c>
      <c r="X266" s="2144" t="s">
        <v>11542</v>
      </c>
      <c r="Y266" s="2140">
        <v>44704</v>
      </c>
      <c r="Z266" s="2140">
        <v>44706</v>
      </c>
      <c r="AA266" s="2140">
        <v>45799</v>
      </c>
      <c r="AB266" s="2109" t="s">
        <v>11935</v>
      </c>
      <c r="AC266" s="2109">
        <v>2023</v>
      </c>
      <c r="AD266" s="388">
        <v>2024</v>
      </c>
      <c r="AE266" s="388" t="s">
        <v>11936</v>
      </c>
    </row>
    <row r="267" spans="1:32" ht="15.75" thickBot="1">
      <c r="A267" s="416">
        <v>44581</v>
      </c>
      <c r="B267" s="630" t="s">
        <v>10822</v>
      </c>
      <c r="C267" s="411" t="s">
        <v>69</v>
      </c>
      <c r="D267" s="411" t="s">
        <v>70</v>
      </c>
      <c r="E267" s="412" t="s">
        <v>10823</v>
      </c>
      <c r="F267" s="411">
        <v>7</v>
      </c>
      <c r="G267" s="630" t="s">
        <v>10828</v>
      </c>
      <c r="H267" s="411"/>
      <c r="I267" s="411" t="s">
        <v>93</v>
      </c>
      <c r="J267" s="411"/>
      <c r="K267" s="417">
        <v>47284071</v>
      </c>
      <c r="L267" s="411" t="s">
        <v>251</v>
      </c>
      <c r="M267" s="416">
        <v>44602</v>
      </c>
      <c r="N267" s="416">
        <v>44637</v>
      </c>
      <c r="O267" s="416">
        <v>44658</v>
      </c>
      <c r="P267" s="630" t="s">
        <v>16350</v>
      </c>
      <c r="Q267" s="411"/>
      <c r="R267" s="417">
        <v>37969450.5</v>
      </c>
      <c r="S267" s="417">
        <v>41766395.549999997</v>
      </c>
      <c r="T267" s="1480"/>
      <c r="U267" s="1480"/>
      <c r="V267" s="1480"/>
      <c r="W267" s="513">
        <v>44658</v>
      </c>
      <c r="X267" s="417" t="s">
        <v>11543</v>
      </c>
      <c r="Y267" s="416">
        <v>44685</v>
      </c>
      <c r="Z267" s="416">
        <v>44705</v>
      </c>
      <c r="AA267" s="416">
        <v>45780</v>
      </c>
      <c r="AB267" s="422" t="s">
        <v>11732</v>
      </c>
      <c r="AC267" s="422">
        <v>2023</v>
      </c>
      <c r="AD267" s="388">
        <v>2024</v>
      </c>
      <c r="AE267" s="388" t="s">
        <v>11733</v>
      </c>
    </row>
    <row r="268" spans="1:32" ht="15.75" thickTop="1">
      <c r="A268" s="474">
        <v>44581</v>
      </c>
      <c r="B268" s="1420" t="s">
        <v>10812</v>
      </c>
      <c r="C268" s="453" t="s">
        <v>69</v>
      </c>
      <c r="D268" s="453" t="s">
        <v>70</v>
      </c>
      <c r="E268" s="473" t="s">
        <v>10977</v>
      </c>
      <c r="F268" s="453">
        <v>1</v>
      </c>
      <c r="G268" s="1420" t="s">
        <v>10813</v>
      </c>
      <c r="H268" s="453"/>
      <c r="I268" s="453" t="s">
        <v>68</v>
      </c>
      <c r="J268" s="453"/>
      <c r="K268" s="457">
        <v>9541029</v>
      </c>
      <c r="L268" s="453" t="s">
        <v>251</v>
      </c>
      <c r="M268" s="474">
        <v>44603</v>
      </c>
      <c r="N268" s="474">
        <v>44637</v>
      </c>
      <c r="O268" s="474">
        <v>44676</v>
      </c>
      <c r="P268" s="1420" t="s">
        <v>2490</v>
      </c>
      <c r="Q268" s="453"/>
      <c r="R268" s="457">
        <v>9523882.1199999992</v>
      </c>
      <c r="S268" s="457">
        <v>10476270.33</v>
      </c>
      <c r="T268" s="1474"/>
      <c r="U268" s="1474"/>
      <c r="V268" s="1474"/>
      <c r="W268" s="570">
        <v>44676</v>
      </c>
      <c r="X268" s="457" t="s">
        <v>11645</v>
      </c>
      <c r="Y268" s="474">
        <v>44698</v>
      </c>
      <c r="Z268" s="474">
        <v>44708</v>
      </c>
      <c r="AA268" s="474">
        <v>46158</v>
      </c>
      <c r="AB268" s="1391" t="s">
        <v>11902</v>
      </c>
      <c r="AC268" s="1391">
        <v>2023</v>
      </c>
      <c r="AD268" s="388">
        <v>2024</v>
      </c>
      <c r="AE268" s="388">
        <v>2025</v>
      </c>
      <c r="AF268" s="388" t="s">
        <v>11931</v>
      </c>
    </row>
    <row r="269" spans="1:32">
      <c r="A269" s="2140">
        <v>44581</v>
      </c>
      <c r="B269" s="2143" t="s">
        <v>10812</v>
      </c>
      <c r="C269" s="2141" t="s">
        <v>69</v>
      </c>
      <c r="D269" s="2141" t="s">
        <v>70</v>
      </c>
      <c r="E269" s="2142" t="s">
        <v>10977</v>
      </c>
      <c r="F269" s="2141">
        <v>2</v>
      </c>
      <c r="G269" s="2143" t="s">
        <v>10814</v>
      </c>
      <c r="H269" s="2141"/>
      <c r="I269" s="2141" t="s">
        <v>68</v>
      </c>
      <c r="J269" s="2141"/>
      <c r="K269" s="2144">
        <v>6507173</v>
      </c>
      <c r="L269" s="2141" t="s">
        <v>251</v>
      </c>
      <c r="M269" s="2140">
        <v>44603</v>
      </c>
      <c r="N269" s="2140">
        <v>44637</v>
      </c>
      <c r="O269" s="2140">
        <v>44676</v>
      </c>
      <c r="P269" s="2143" t="s">
        <v>1319</v>
      </c>
      <c r="Q269" s="2141"/>
      <c r="R269" s="2144">
        <v>4917213.5999999996</v>
      </c>
      <c r="S269" s="2144">
        <v>5408934.96</v>
      </c>
      <c r="T269" s="2145"/>
      <c r="U269" s="2145"/>
      <c r="V269" s="2145"/>
      <c r="W269" s="2146">
        <v>44676</v>
      </c>
      <c r="X269" s="2144" t="s">
        <v>11646</v>
      </c>
      <c r="Y269" s="2140">
        <v>44706</v>
      </c>
      <c r="Z269" s="2140">
        <v>44708</v>
      </c>
      <c r="AA269" s="2140">
        <v>46166</v>
      </c>
      <c r="AB269" s="2109" t="s">
        <v>11970</v>
      </c>
      <c r="AC269" s="2109">
        <v>2023</v>
      </c>
      <c r="AD269" s="388">
        <v>2024</v>
      </c>
      <c r="AE269" s="388">
        <v>2025</v>
      </c>
      <c r="AF269" s="388" t="s">
        <v>11972</v>
      </c>
    </row>
    <row r="270" spans="1:32">
      <c r="A270" s="2140">
        <v>44581</v>
      </c>
      <c r="B270" s="2143" t="s">
        <v>10812</v>
      </c>
      <c r="C270" s="2141" t="s">
        <v>69</v>
      </c>
      <c r="D270" s="2141" t="s">
        <v>70</v>
      </c>
      <c r="E270" s="2142" t="s">
        <v>10977</v>
      </c>
      <c r="F270" s="2141">
        <v>3</v>
      </c>
      <c r="G270" s="2143" t="s">
        <v>10815</v>
      </c>
      <c r="H270" s="2141"/>
      <c r="I270" s="2141" t="s">
        <v>68</v>
      </c>
      <c r="J270" s="2141"/>
      <c r="K270" s="2144">
        <v>50133510</v>
      </c>
      <c r="L270" s="2141" t="s">
        <v>251</v>
      </c>
      <c r="M270" s="2140">
        <v>44603</v>
      </c>
      <c r="N270" s="2140">
        <v>44637</v>
      </c>
      <c r="O270" s="2140">
        <v>44676</v>
      </c>
      <c r="P270" s="2143" t="s">
        <v>576</v>
      </c>
      <c r="Q270" s="2141"/>
      <c r="R270" s="2144">
        <v>50133510</v>
      </c>
      <c r="S270" s="2144">
        <v>55146861</v>
      </c>
      <c r="T270" s="2145"/>
      <c r="U270" s="2145"/>
      <c r="V270" s="2145"/>
      <c r="W270" s="2146">
        <v>44676</v>
      </c>
      <c r="X270" s="2144" t="s">
        <v>11647</v>
      </c>
      <c r="Y270" s="2140">
        <v>44698</v>
      </c>
      <c r="Z270" s="2140">
        <v>44708</v>
      </c>
      <c r="AA270" s="2140">
        <v>46158</v>
      </c>
      <c r="AB270" s="2109" t="s">
        <v>11902</v>
      </c>
      <c r="AC270" s="2109">
        <v>2023</v>
      </c>
      <c r="AD270" s="388">
        <v>2024</v>
      </c>
      <c r="AE270" s="388">
        <v>2025</v>
      </c>
      <c r="AF270" s="388" t="s">
        <v>11931</v>
      </c>
    </row>
    <row r="271" spans="1:32" ht="15.75" thickBot="1">
      <c r="A271" s="2117">
        <v>44581</v>
      </c>
      <c r="B271" s="2120" t="s">
        <v>10812</v>
      </c>
      <c r="C271" s="2118" t="s">
        <v>69</v>
      </c>
      <c r="D271" s="2118" t="s">
        <v>70</v>
      </c>
      <c r="E271" s="2119" t="s">
        <v>10977</v>
      </c>
      <c r="F271" s="2118">
        <v>4</v>
      </c>
      <c r="G271" s="2120" t="s">
        <v>10816</v>
      </c>
      <c r="H271" s="2118"/>
      <c r="I271" s="2118" t="s">
        <v>68</v>
      </c>
      <c r="J271" s="2118"/>
      <c r="K271" s="2121">
        <v>5930067</v>
      </c>
      <c r="L271" s="2118" t="s">
        <v>251</v>
      </c>
      <c r="M271" s="2117">
        <v>44603</v>
      </c>
      <c r="N271" s="2117">
        <v>44655</v>
      </c>
      <c r="O271" s="2117">
        <v>44676</v>
      </c>
      <c r="P271" s="2120" t="s">
        <v>2490</v>
      </c>
      <c r="Q271" s="2118"/>
      <c r="R271" s="2121">
        <v>5929921.4400000004</v>
      </c>
      <c r="S271" s="2121">
        <v>6522913.5800000001</v>
      </c>
      <c r="T271" s="2122"/>
      <c r="U271" s="2122"/>
      <c r="V271" s="2122"/>
      <c r="W271" s="2123">
        <v>44676</v>
      </c>
      <c r="X271" s="2121" t="s">
        <v>11648</v>
      </c>
      <c r="Y271" s="2117">
        <v>44698</v>
      </c>
      <c r="Z271" s="2117">
        <v>44708</v>
      </c>
      <c r="AA271" s="2117">
        <v>46158</v>
      </c>
      <c r="AB271" s="2110" t="s">
        <v>11902</v>
      </c>
      <c r="AC271" s="2110">
        <v>2023</v>
      </c>
      <c r="AD271" s="388">
        <v>2024</v>
      </c>
      <c r="AE271" s="388">
        <v>2025</v>
      </c>
      <c r="AF271" s="388" t="s">
        <v>11931</v>
      </c>
    </row>
    <row r="272" spans="1:32" ht="31.5" thickTop="1" thickBot="1">
      <c r="A272" s="498">
        <v>44581</v>
      </c>
      <c r="B272" s="669" t="s">
        <v>10831</v>
      </c>
      <c r="C272" s="232" t="s">
        <v>2434</v>
      </c>
      <c r="D272" s="232" t="s">
        <v>3204</v>
      </c>
      <c r="E272" s="274" t="s">
        <v>10832</v>
      </c>
      <c r="F272" s="232"/>
      <c r="G272" s="669"/>
      <c r="H272" s="232"/>
      <c r="I272" s="232" t="s">
        <v>642</v>
      </c>
      <c r="J272" s="232"/>
      <c r="K272" s="499">
        <v>10268180</v>
      </c>
      <c r="L272" s="498" t="s">
        <v>251</v>
      </c>
      <c r="M272" s="498">
        <v>44588</v>
      </c>
      <c r="N272" s="498">
        <v>44621</v>
      </c>
      <c r="O272" s="498">
        <v>44645</v>
      </c>
      <c r="P272" s="669" t="s">
        <v>2776</v>
      </c>
      <c r="Q272" s="232"/>
      <c r="R272" s="499">
        <v>10267768.59</v>
      </c>
      <c r="S272" s="499">
        <v>12424000</v>
      </c>
      <c r="T272" s="1545"/>
      <c r="U272" s="1545"/>
      <c r="V272" s="1545"/>
      <c r="W272" s="682">
        <v>44645</v>
      </c>
      <c r="X272" s="1752" t="s">
        <v>11437</v>
      </c>
      <c r="Y272" s="498">
        <v>44683</v>
      </c>
      <c r="Z272" s="498">
        <v>44686</v>
      </c>
      <c r="AA272" s="498">
        <v>45778</v>
      </c>
      <c r="AB272" s="1546" t="s">
        <v>11709</v>
      </c>
      <c r="AC272" s="1546">
        <v>2023</v>
      </c>
      <c r="AD272" s="388">
        <v>2024</v>
      </c>
      <c r="AE272" s="388" t="s">
        <v>11710</v>
      </c>
    </row>
    <row r="273" spans="1:31" ht="15.75" thickTop="1">
      <c r="A273" s="474">
        <v>44586</v>
      </c>
      <c r="B273" s="1420" t="s">
        <v>10845</v>
      </c>
      <c r="C273" s="453" t="s">
        <v>69</v>
      </c>
      <c r="D273" s="453" t="s">
        <v>70</v>
      </c>
      <c r="E273" s="473" t="s">
        <v>10846</v>
      </c>
      <c r="F273" s="453">
        <v>1</v>
      </c>
      <c r="G273" s="2001" t="s">
        <v>11201</v>
      </c>
      <c r="H273" s="453"/>
      <c r="I273" s="453" t="s">
        <v>10847</v>
      </c>
      <c r="J273" s="453"/>
      <c r="K273" s="457">
        <v>115345800</v>
      </c>
      <c r="L273" s="453" t="s">
        <v>251</v>
      </c>
      <c r="M273" s="474">
        <v>44624</v>
      </c>
      <c r="N273" s="474">
        <v>44659</v>
      </c>
      <c r="O273" s="474">
        <v>44680</v>
      </c>
      <c r="P273" s="1420" t="s">
        <v>6925</v>
      </c>
      <c r="Q273" s="453"/>
      <c r="R273" s="457">
        <v>115345800</v>
      </c>
      <c r="S273" s="457">
        <v>126880380</v>
      </c>
      <c r="T273" s="1474"/>
      <c r="U273" s="1474"/>
      <c r="V273" s="1474"/>
      <c r="W273" s="570">
        <v>44683</v>
      </c>
      <c r="X273" s="457" t="s">
        <v>11701</v>
      </c>
      <c r="Y273" s="474">
        <v>44719</v>
      </c>
      <c r="Z273" s="474">
        <v>44721</v>
      </c>
      <c r="AA273" s="474">
        <v>45814</v>
      </c>
      <c r="AB273" s="1391" t="s">
        <v>12065</v>
      </c>
      <c r="AC273" s="1391">
        <v>2023</v>
      </c>
      <c r="AD273" s="388">
        <v>2024</v>
      </c>
      <c r="AE273" s="388" t="s">
        <v>12066</v>
      </c>
    </row>
    <row r="274" spans="1:31">
      <c r="A274" s="2140">
        <v>44586</v>
      </c>
      <c r="B274" s="2143" t="s">
        <v>10845</v>
      </c>
      <c r="C274" s="2141" t="s">
        <v>69</v>
      </c>
      <c r="D274" s="2141" t="s">
        <v>70</v>
      </c>
      <c r="E274" s="2142" t="s">
        <v>10846</v>
      </c>
      <c r="F274" s="2141">
        <v>2</v>
      </c>
      <c r="G274" s="2143" t="s">
        <v>10843</v>
      </c>
      <c r="H274" s="2141"/>
      <c r="I274" s="2141" t="s">
        <v>4273</v>
      </c>
      <c r="J274" s="2141"/>
      <c r="K274" s="2144">
        <v>9203094</v>
      </c>
      <c r="L274" s="2141" t="s">
        <v>251</v>
      </c>
      <c r="M274" s="2140">
        <v>44624</v>
      </c>
      <c r="N274" s="2140">
        <v>44659</v>
      </c>
      <c r="O274" s="2140">
        <v>44680</v>
      </c>
      <c r="P274" s="2143" t="s">
        <v>2548</v>
      </c>
      <c r="Q274" s="2141"/>
      <c r="R274" s="2144">
        <v>9121158</v>
      </c>
      <c r="S274" s="2144">
        <v>10033273.800000001</v>
      </c>
      <c r="T274" s="2145"/>
      <c r="U274" s="2145"/>
      <c r="V274" s="2145"/>
      <c r="W274" s="2146">
        <v>44683</v>
      </c>
      <c r="X274" s="2144" t="s">
        <v>11702</v>
      </c>
      <c r="Y274" s="2140">
        <v>44711</v>
      </c>
      <c r="Z274" s="2140">
        <v>44721</v>
      </c>
      <c r="AA274" s="2140">
        <v>45806</v>
      </c>
      <c r="AB274" s="2109" t="s">
        <v>11987</v>
      </c>
      <c r="AC274" s="2109">
        <v>2023</v>
      </c>
      <c r="AD274" s="388">
        <v>2024</v>
      </c>
      <c r="AE274" s="388" t="s">
        <v>9055</v>
      </c>
    </row>
    <row r="275" spans="1:31" ht="15.75" thickBot="1">
      <c r="A275" s="2117">
        <v>44586</v>
      </c>
      <c r="B275" s="2120" t="s">
        <v>10845</v>
      </c>
      <c r="C275" s="2118" t="s">
        <v>69</v>
      </c>
      <c r="D275" s="2118" t="s">
        <v>70</v>
      </c>
      <c r="E275" s="2119" t="s">
        <v>10846</v>
      </c>
      <c r="F275" s="2118">
        <v>3</v>
      </c>
      <c r="G275" s="2120" t="s">
        <v>10844</v>
      </c>
      <c r="H275" s="2118"/>
      <c r="I275" s="2118" t="s">
        <v>4273</v>
      </c>
      <c r="J275" s="2118"/>
      <c r="K275" s="2121">
        <v>2992096</v>
      </c>
      <c r="L275" s="2118" t="s">
        <v>251</v>
      </c>
      <c r="M275" s="2117">
        <v>44624</v>
      </c>
      <c r="N275" s="2117">
        <v>44659</v>
      </c>
      <c r="O275" s="2117">
        <v>44680</v>
      </c>
      <c r="P275" s="2120" t="s">
        <v>2548</v>
      </c>
      <c r="Q275" s="2118"/>
      <c r="R275" s="2121">
        <v>2964859.44</v>
      </c>
      <c r="S275" s="2121">
        <v>3261345.38</v>
      </c>
      <c r="T275" s="2122"/>
      <c r="U275" s="2122"/>
      <c r="V275" s="2122"/>
      <c r="W275" s="2123">
        <v>44683</v>
      </c>
      <c r="X275" s="2121" t="s">
        <v>11703</v>
      </c>
      <c r="Y275" s="2117">
        <v>44711</v>
      </c>
      <c r="Z275" s="2117">
        <v>44721</v>
      </c>
      <c r="AA275" s="2117">
        <v>45806</v>
      </c>
      <c r="AB275" s="2110" t="s">
        <v>11987</v>
      </c>
      <c r="AC275" s="2110">
        <v>2023</v>
      </c>
      <c r="AD275" s="388">
        <v>2024</v>
      </c>
      <c r="AE275" s="388" t="s">
        <v>9055</v>
      </c>
    </row>
    <row r="276" spans="1:31" ht="15.75" thickTop="1">
      <c r="A276" s="365">
        <v>44586</v>
      </c>
      <c r="B276" s="2646" t="s">
        <v>10849</v>
      </c>
      <c r="C276" s="2623" t="s">
        <v>69</v>
      </c>
      <c r="D276" s="2623" t="s">
        <v>70</v>
      </c>
      <c r="E276" s="175" t="s">
        <v>10848</v>
      </c>
      <c r="F276" s="2623">
        <v>1</v>
      </c>
      <c r="G276" s="2624" t="s">
        <v>5455</v>
      </c>
      <c r="H276" s="2623"/>
      <c r="I276" s="2623" t="s">
        <v>68</v>
      </c>
      <c r="J276" s="2623"/>
      <c r="K276" s="364">
        <v>74890199</v>
      </c>
      <c r="L276" s="2623" t="s">
        <v>251</v>
      </c>
      <c r="M276" s="365">
        <v>44589</v>
      </c>
      <c r="N276" s="365">
        <v>44659</v>
      </c>
      <c r="O276" s="365">
        <v>44685</v>
      </c>
      <c r="P276" s="2624" t="s">
        <v>6546</v>
      </c>
      <c r="Q276" s="2623"/>
      <c r="R276" s="364">
        <v>72916344.629999995</v>
      </c>
      <c r="S276" s="364">
        <v>80207979.090000004</v>
      </c>
      <c r="T276" s="1473"/>
      <c r="U276" s="1473"/>
      <c r="V276" s="1473"/>
      <c r="W276" s="681">
        <v>44685</v>
      </c>
      <c r="X276" s="364" t="s">
        <v>11737</v>
      </c>
      <c r="Y276" s="365">
        <v>44707</v>
      </c>
      <c r="Z276" s="365">
        <v>44713</v>
      </c>
      <c r="AA276" s="365">
        <v>45802</v>
      </c>
      <c r="AB276" s="451" t="s">
        <v>11969</v>
      </c>
      <c r="AC276" s="451">
        <v>2023</v>
      </c>
      <c r="AD276" s="388">
        <v>2024</v>
      </c>
      <c r="AE276" s="388" t="s">
        <v>9055</v>
      </c>
    </row>
    <row r="277" spans="1:31" ht="15.75" thickBot="1">
      <c r="A277" s="416">
        <v>44586</v>
      </c>
      <c r="B277" s="630" t="s">
        <v>10849</v>
      </c>
      <c r="C277" s="411" t="s">
        <v>69</v>
      </c>
      <c r="D277" s="411" t="s">
        <v>70</v>
      </c>
      <c r="E277" s="412" t="s">
        <v>10848</v>
      </c>
      <c r="F277" s="411">
        <v>2</v>
      </c>
      <c r="G277" s="630" t="s">
        <v>10850</v>
      </c>
      <c r="H277" s="411"/>
      <c r="I277" s="411" t="s">
        <v>68</v>
      </c>
      <c r="J277" s="411"/>
      <c r="K277" s="417">
        <v>10270085</v>
      </c>
      <c r="L277" s="411" t="s">
        <v>251</v>
      </c>
      <c r="M277" s="416">
        <v>44589</v>
      </c>
      <c r="N277" s="416">
        <v>44659</v>
      </c>
      <c r="O277" s="416">
        <v>44685</v>
      </c>
      <c r="P277" s="630" t="s">
        <v>1319</v>
      </c>
      <c r="Q277" s="411"/>
      <c r="R277" s="417">
        <v>10270084.199999999</v>
      </c>
      <c r="S277" s="417">
        <v>11297092.619999999</v>
      </c>
      <c r="T277" s="1480"/>
      <c r="U277" s="1480"/>
      <c r="V277" s="1480"/>
      <c r="W277" s="513">
        <v>44685</v>
      </c>
      <c r="X277" s="417" t="s">
        <v>11738</v>
      </c>
      <c r="Y277" s="416">
        <v>44711</v>
      </c>
      <c r="Z277" s="416">
        <v>44713</v>
      </c>
      <c r="AA277" s="416">
        <v>45806</v>
      </c>
      <c r="AB277" s="422" t="s">
        <v>11987</v>
      </c>
      <c r="AC277" s="422">
        <v>2023</v>
      </c>
      <c r="AD277" s="388">
        <v>2024</v>
      </c>
      <c r="AE277" s="388" t="s">
        <v>11989</v>
      </c>
    </row>
    <row r="278" spans="1:31" ht="16.5" thickTop="1" thickBot="1">
      <c r="A278" s="711">
        <v>44586</v>
      </c>
      <c r="B278" s="1755" t="s">
        <v>10851</v>
      </c>
      <c r="C278" s="707" t="s">
        <v>69</v>
      </c>
      <c r="D278" s="707" t="s">
        <v>70</v>
      </c>
      <c r="E278" s="720" t="s">
        <v>10880</v>
      </c>
      <c r="F278" s="707"/>
      <c r="G278" s="1755"/>
      <c r="H278" s="707"/>
      <c r="I278" s="707" t="s">
        <v>93</v>
      </c>
      <c r="J278" s="707"/>
      <c r="K278" s="710">
        <v>89205210</v>
      </c>
      <c r="L278" s="707" t="s">
        <v>251</v>
      </c>
      <c r="M278" s="711">
        <v>44593</v>
      </c>
      <c r="N278" s="711">
        <v>44671</v>
      </c>
      <c r="O278" s="711">
        <v>44699</v>
      </c>
      <c r="P278" s="1755" t="s">
        <v>10167</v>
      </c>
      <c r="Q278" s="707"/>
      <c r="R278" s="710">
        <v>87429210.840000004</v>
      </c>
      <c r="S278" s="710">
        <v>96172131.920000002</v>
      </c>
      <c r="T278" s="2628"/>
      <c r="U278" s="2628"/>
      <c r="V278" s="2628"/>
      <c r="W278" s="2629">
        <v>44699</v>
      </c>
      <c r="X278" s="710" t="s">
        <v>11924</v>
      </c>
      <c r="Y278" s="711">
        <v>44720</v>
      </c>
      <c r="Z278" s="711">
        <v>44722</v>
      </c>
      <c r="AA278" s="711">
        <v>45815</v>
      </c>
      <c r="AB278" s="2301" t="s">
        <v>12086</v>
      </c>
      <c r="AC278" s="2301">
        <v>2023</v>
      </c>
      <c r="AD278" s="388">
        <v>2024</v>
      </c>
      <c r="AE278" s="388" t="s">
        <v>12087</v>
      </c>
    </row>
    <row r="279" spans="1:31" ht="15.75" thickTop="1">
      <c r="A279" s="365">
        <v>44586</v>
      </c>
      <c r="B279" s="2646" t="s">
        <v>10855</v>
      </c>
      <c r="C279" s="2617" t="s">
        <v>69</v>
      </c>
      <c r="D279" s="2617" t="s">
        <v>70</v>
      </c>
      <c r="E279" s="2621" t="s">
        <v>10862</v>
      </c>
      <c r="F279" s="2617">
        <v>1</v>
      </c>
      <c r="G279" s="2618" t="s">
        <v>5884</v>
      </c>
      <c r="H279" s="2617"/>
      <c r="I279" s="2617" t="s">
        <v>93</v>
      </c>
      <c r="J279" s="2617"/>
      <c r="K279" s="364">
        <v>11675518</v>
      </c>
      <c r="L279" s="2617" t="s">
        <v>251</v>
      </c>
      <c r="M279" s="365">
        <v>44593</v>
      </c>
      <c r="N279" s="365">
        <v>44655</v>
      </c>
      <c r="O279" s="365">
        <v>44676</v>
      </c>
      <c r="P279" s="2618" t="s">
        <v>576</v>
      </c>
      <c r="Q279" s="2617"/>
      <c r="R279" s="364">
        <v>11143974.27</v>
      </c>
      <c r="S279" s="364">
        <v>12258371.699999999</v>
      </c>
      <c r="T279" s="1473"/>
      <c r="U279" s="1473"/>
      <c r="V279" s="1473"/>
      <c r="W279" s="681">
        <v>44676</v>
      </c>
      <c r="X279" s="364" t="s">
        <v>11649</v>
      </c>
      <c r="Y279" s="365">
        <v>44698</v>
      </c>
      <c r="Z279" s="365">
        <v>44713</v>
      </c>
      <c r="AA279" s="365">
        <v>45793</v>
      </c>
      <c r="AB279" s="451" t="s">
        <v>11902</v>
      </c>
      <c r="AC279" s="451">
        <v>2023</v>
      </c>
      <c r="AD279" s="388">
        <v>2024</v>
      </c>
      <c r="AE279" s="388" t="s">
        <v>11930</v>
      </c>
    </row>
    <row r="280" spans="1:31">
      <c r="A280" s="2124">
        <v>44586</v>
      </c>
      <c r="B280" s="2127" t="s">
        <v>10855</v>
      </c>
      <c r="C280" s="2125" t="s">
        <v>69</v>
      </c>
      <c r="D280" s="2125" t="s">
        <v>70</v>
      </c>
      <c r="E280" s="2513" t="s">
        <v>10862</v>
      </c>
      <c r="F280" s="2125">
        <v>2</v>
      </c>
      <c r="G280" s="2514" t="s">
        <v>10932</v>
      </c>
      <c r="H280" s="2125"/>
      <c r="I280" s="2125" t="s">
        <v>93</v>
      </c>
      <c r="J280" s="2125"/>
      <c r="K280" s="2128">
        <v>1238874</v>
      </c>
      <c r="L280" s="2125" t="s">
        <v>251</v>
      </c>
      <c r="M280" s="2124">
        <v>44593</v>
      </c>
      <c r="N280" s="2124">
        <v>44629</v>
      </c>
      <c r="O280" s="2125"/>
      <c r="P280" s="2136" t="s">
        <v>11035</v>
      </c>
      <c r="Q280" s="2125"/>
      <c r="R280" s="2128"/>
      <c r="S280" s="2128"/>
      <c r="T280" s="2129"/>
      <c r="U280" s="2129"/>
      <c r="V280" s="2129"/>
      <c r="W280" s="2128"/>
      <c r="X280" s="2128"/>
      <c r="Y280" s="2125"/>
      <c r="Z280" s="2124">
        <v>44621</v>
      </c>
      <c r="AA280" s="2127" t="s">
        <v>11183</v>
      </c>
      <c r="AB280" s="2125"/>
      <c r="AC280" s="2125"/>
    </row>
    <row r="281" spans="1:31">
      <c r="A281" s="2140">
        <v>44586</v>
      </c>
      <c r="B281" s="2143" t="s">
        <v>10855</v>
      </c>
      <c r="C281" s="2141" t="s">
        <v>69</v>
      </c>
      <c r="D281" s="2141" t="s">
        <v>70</v>
      </c>
      <c r="E281" s="2620" t="s">
        <v>10862</v>
      </c>
      <c r="F281" s="2141">
        <v>3</v>
      </c>
      <c r="G281" s="2622" t="s">
        <v>10933</v>
      </c>
      <c r="H281" s="2141"/>
      <c r="I281" s="2141" t="s">
        <v>93</v>
      </c>
      <c r="J281" s="2141"/>
      <c r="K281" s="2144">
        <v>12593410</v>
      </c>
      <c r="L281" s="2141" t="s">
        <v>251</v>
      </c>
      <c r="M281" s="2140">
        <v>44593</v>
      </c>
      <c r="N281" s="2140">
        <v>44655</v>
      </c>
      <c r="O281" s="2140">
        <v>44676</v>
      </c>
      <c r="P281" s="2143" t="s">
        <v>576</v>
      </c>
      <c r="Q281" s="2141"/>
      <c r="R281" s="2144">
        <v>12593409.75</v>
      </c>
      <c r="S281" s="2144">
        <v>13852750.73</v>
      </c>
      <c r="T281" s="2145"/>
      <c r="U281" s="2145"/>
      <c r="V281" s="2145"/>
      <c r="W281" s="2146">
        <v>44676</v>
      </c>
      <c r="X281" s="2144" t="s">
        <v>11650</v>
      </c>
      <c r="Y281" s="2140">
        <v>44698</v>
      </c>
      <c r="Z281" s="2140">
        <v>44713</v>
      </c>
      <c r="AA281" s="2140">
        <v>45793</v>
      </c>
      <c r="AB281" s="2109" t="s">
        <v>11902</v>
      </c>
      <c r="AC281" s="2109">
        <v>2023</v>
      </c>
      <c r="AD281" s="388">
        <v>2024</v>
      </c>
      <c r="AE281" s="388" t="s">
        <v>11930</v>
      </c>
    </row>
    <row r="282" spans="1:31">
      <c r="A282" s="2140">
        <v>44586</v>
      </c>
      <c r="B282" s="2143" t="s">
        <v>10855</v>
      </c>
      <c r="C282" s="2141" t="s">
        <v>69</v>
      </c>
      <c r="D282" s="2141" t="s">
        <v>70</v>
      </c>
      <c r="E282" s="2620" t="s">
        <v>10862</v>
      </c>
      <c r="F282" s="2141">
        <v>4</v>
      </c>
      <c r="G282" s="2143" t="s">
        <v>8263</v>
      </c>
      <c r="H282" s="2141"/>
      <c r="I282" s="2141" t="s">
        <v>93</v>
      </c>
      <c r="J282" s="2141"/>
      <c r="K282" s="2144">
        <v>37525592</v>
      </c>
      <c r="L282" s="2141" t="s">
        <v>251</v>
      </c>
      <c r="M282" s="2140">
        <v>44593</v>
      </c>
      <c r="N282" s="2140">
        <v>44655</v>
      </c>
      <c r="O282" s="2140">
        <v>44676</v>
      </c>
      <c r="P282" s="2143" t="s">
        <v>576</v>
      </c>
      <c r="Q282" s="2141"/>
      <c r="R282" s="2144">
        <v>37104570.990000002</v>
      </c>
      <c r="S282" s="2144">
        <v>40815028.090000004</v>
      </c>
      <c r="T282" s="2145"/>
      <c r="U282" s="2145"/>
      <c r="V282" s="2145"/>
      <c r="W282" s="2146">
        <v>44676</v>
      </c>
      <c r="X282" s="2144" t="s">
        <v>11651</v>
      </c>
      <c r="Y282" s="2140">
        <v>44698</v>
      </c>
      <c r="Z282" s="2140">
        <v>44713</v>
      </c>
      <c r="AA282" s="2140">
        <v>45793</v>
      </c>
      <c r="AB282" s="2109" t="s">
        <v>11902</v>
      </c>
      <c r="AC282" s="2109">
        <v>2023</v>
      </c>
      <c r="AD282" s="388">
        <v>2024</v>
      </c>
      <c r="AE282" s="388" t="s">
        <v>11930</v>
      </c>
    </row>
    <row r="283" spans="1:31">
      <c r="A283" s="2140">
        <v>44586</v>
      </c>
      <c r="B283" s="2143" t="s">
        <v>10855</v>
      </c>
      <c r="C283" s="2141" t="s">
        <v>69</v>
      </c>
      <c r="D283" s="2141" t="s">
        <v>70</v>
      </c>
      <c r="E283" s="2620" t="s">
        <v>10862</v>
      </c>
      <c r="F283" s="2141">
        <v>5</v>
      </c>
      <c r="G283" s="2143" t="s">
        <v>10852</v>
      </c>
      <c r="H283" s="2141"/>
      <c r="I283" s="2141" t="s">
        <v>93</v>
      </c>
      <c r="J283" s="2141"/>
      <c r="K283" s="2144">
        <v>2325983</v>
      </c>
      <c r="L283" s="2141" t="s">
        <v>251</v>
      </c>
      <c r="M283" s="2140">
        <v>44593</v>
      </c>
      <c r="N283" s="2140">
        <v>44655</v>
      </c>
      <c r="O283" s="2140">
        <v>44676</v>
      </c>
      <c r="P283" s="2143" t="s">
        <v>1319</v>
      </c>
      <c r="Q283" s="2141"/>
      <c r="R283" s="2144">
        <v>2325982.5</v>
      </c>
      <c r="S283" s="2144">
        <v>2558580.75</v>
      </c>
      <c r="T283" s="2145"/>
      <c r="U283" s="2145"/>
      <c r="V283" s="2145"/>
      <c r="W283" s="2146">
        <v>44676</v>
      </c>
      <c r="X283" s="2144" t="s">
        <v>11652</v>
      </c>
      <c r="Y283" s="2140">
        <v>44706</v>
      </c>
      <c r="Z283" s="2140">
        <v>44713</v>
      </c>
      <c r="AA283" s="2140">
        <v>45801</v>
      </c>
      <c r="AB283" s="2109" t="s">
        <v>11970</v>
      </c>
      <c r="AC283" s="2109">
        <v>2023</v>
      </c>
      <c r="AD283" s="388">
        <v>2024</v>
      </c>
      <c r="AE283" s="388" t="s">
        <v>11971</v>
      </c>
    </row>
    <row r="284" spans="1:31">
      <c r="A284" s="2140">
        <v>44586</v>
      </c>
      <c r="B284" s="2143" t="s">
        <v>10855</v>
      </c>
      <c r="C284" s="2141" t="s">
        <v>69</v>
      </c>
      <c r="D284" s="2141" t="s">
        <v>70</v>
      </c>
      <c r="E284" s="2620" t="s">
        <v>10862</v>
      </c>
      <c r="F284" s="2141">
        <v>6</v>
      </c>
      <c r="G284" s="2143" t="s">
        <v>10853</v>
      </c>
      <c r="H284" s="2141"/>
      <c r="I284" s="2141" t="s">
        <v>93</v>
      </c>
      <c r="J284" s="2141"/>
      <c r="K284" s="2144">
        <v>1165687</v>
      </c>
      <c r="L284" s="2141" t="s">
        <v>251</v>
      </c>
      <c r="M284" s="2140">
        <v>44593</v>
      </c>
      <c r="N284" s="2140">
        <v>44655</v>
      </c>
      <c r="O284" s="2140">
        <v>44676</v>
      </c>
      <c r="P284" s="2143" t="s">
        <v>576</v>
      </c>
      <c r="Q284" s="2141"/>
      <c r="R284" s="2144">
        <v>1165686.6000000001</v>
      </c>
      <c r="S284" s="2144">
        <v>1282255.26</v>
      </c>
      <c r="T284" s="2145"/>
      <c r="U284" s="2145"/>
      <c r="V284" s="2145"/>
      <c r="W284" s="2146">
        <v>44676</v>
      </c>
      <c r="X284" s="2144" t="s">
        <v>11653</v>
      </c>
      <c r="Y284" s="2140">
        <v>44698</v>
      </c>
      <c r="Z284" s="2140">
        <v>44713</v>
      </c>
      <c r="AA284" s="2140">
        <v>45793</v>
      </c>
      <c r="AB284" s="2109" t="s">
        <v>11902</v>
      </c>
      <c r="AC284" s="2109">
        <v>2023</v>
      </c>
      <c r="AD284" s="388">
        <v>2024</v>
      </c>
      <c r="AE284" s="388" t="s">
        <v>11930</v>
      </c>
    </row>
    <row r="285" spans="1:31" ht="15.75" thickBot="1">
      <c r="A285" s="416">
        <v>44586</v>
      </c>
      <c r="B285" s="630" t="s">
        <v>10855</v>
      </c>
      <c r="C285" s="411" t="s">
        <v>69</v>
      </c>
      <c r="D285" s="411" t="s">
        <v>70</v>
      </c>
      <c r="E285" s="412" t="s">
        <v>10862</v>
      </c>
      <c r="F285" s="411">
        <v>7</v>
      </c>
      <c r="G285" s="630" t="s">
        <v>10854</v>
      </c>
      <c r="H285" s="411"/>
      <c r="I285" s="411" t="s">
        <v>93</v>
      </c>
      <c r="J285" s="411"/>
      <c r="K285" s="417">
        <v>4753191</v>
      </c>
      <c r="L285" s="411" t="s">
        <v>251</v>
      </c>
      <c r="M285" s="416">
        <v>44593</v>
      </c>
      <c r="N285" s="416">
        <v>44655</v>
      </c>
      <c r="O285" s="416">
        <v>44676</v>
      </c>
      <c r="P285" s="630" t="s">
        <v>2548</v>
      </c>
      <c r="Q285" s="411"/>
      <c r="R285" s="417">
        <v>3435314.46</v>
      </c>
      <c r="S285" s="417">
        <v>3778845.91</v>
      </c>
      <c r="T285" s="1480"/>
      <c r="U285" s="1480"/>
      <c r="V285" s="1480"/>
      <c r="W285" s="513">
        <v>44676</v>
      </c>
      <c r="X285" s="417" t="s">
        <v>11654</v>
      </c>
      <c r="Y285" s="416">
        <v>44711</v>
      </c>
      <c r="Z285" s="416">
        <v>44713</v>
      </c>
      <c r="AA285" s="416">
        <v>45806</v>
      </c>
      <c r="AB285" s="422" t="s">
        <v>11987</v>
      </c>
      <c r="AC285" s="422">
        <v>2023</v>
      </c>
      <c r="AD285" s="388">
        <v>2024</v>
      </c>
      <c r="AE285" s="388" t="s">
        <v>11988</v>
      </c>
    </row>
    <row r="286" spans="1:31" ht="15.75" thickTop="1">
      <c r="A286" s="474">
        <v>44586</v>
      </c>
      <c r="B286" s="1420" t="s">
        <v>10861</v>
      </c>
      <c r="C286" s="453" t="s">
        <v>69</v>
      </c>
      <c r="D286" s="453" t="s">
        <v>70</v>
      </c>
      <c r="E286" s="473" t="s">
        <v>10860</v>
      </c>
      <c r="F286" s="453">
        <v>1</v>
      </c>
      <c r="G286" s="2635" t="s">
        <v>10856</v>
      </c>
      <c r="H286" s="453"/>
      <c r="I286" s="453" t="s">
        <v>93</v>
      </c>
      <c r="J286" s="453"/>
      <c r="K286" s="457">
        <v>19520763</v>
      </c>
      <c r="L286" s="453" t="s">
        <v>251</v>
      </c>
      <c r="M286" s="474">
        <v>44589</v>
      </c>
      <c r="N286" s="474">
        <v>44662</v>
      </c>
      <c r="O286" s="474">
        <v>44680</v>
      </c>
      <c r="P286" s="1420" t="s">
        <v>1319</v>
      </c>
      <c r="Q286" s="453"/>
      <c r="R286" s="457">
        <v>15973472.4</v>
      </c>
      <c r="S286" s="457">
        <v>17570819.640000001</v>
      </c>
      <c r="T286" s="1474"/>
      <c r="U286" s="1474"/>
      <c r="V286" s="1474"/>
      <c r="W286" s="570">
        <v>44683</v>
      </c>
      <c r="X286" s="457" t="s">
        <v>11704</v>
      </c>
      <c r="Y286" s="474">
        <v>44712</v>
      </c>
      <c r="Z286" s="474">
        <v>44714</v>
      </c>
      <c r="AA286" s="474">
        <v>45807</v>
      </c>
      <c r="AB286" s="1391" t="s">
        <v>12001</v>
      </c>
      <c r="AC286" s="1391">
        <v>2023</v>
      </c>
      <c r="AD286" s="388">
        <v>2024</v>
      </c>
      <c r="AE286" s="388" t="s">
        <v>12002</v>
      </c>
    </row>
    <row r="287" spans="1:31">
      <c r="A287" s="2140">
        <v>44586</v>
      </c>
      <c r="B287" s="2143" t="s">
        <v>10861</v>
      </c>
      <c r="C287" s="2141" t="s">
        <v>69</v>
      </c>
      <c r="D287" s="2141" t="s">
        <v>70</v>
      </c>
      <c r="E287" s="2142" t="s">
        <v>10860</v>
      </c>
      <c r="F287" s="2141">
        <v>2</v>
      </c>
      <c r="G287" s="2143" t="s">
        <v>10857</v>
      </c>
      <c r="H287" s="2141"/>
      <c r="I287" s="2141" t="s">
        <v>93</v>
      </c>
      <c r="J287" s="2141"/>
      <c r="K287" s="2144">
        <v>106560000</v>
      </c>
      <c r="L287" s="2141" t="s">
        <v>251</v>
      </c>
      <c r="M287" s="2140">
        <v>44589</v>
      </c>
      <c r="N287" s="2140">
        <v>44662</v>
      </c>
      <c r="O287" s="2140">
        <v>44680</v>
      </c>
      <c r="P287" s="2143" t="s">
        <v>1319</v>
      </c>
      <c r="Q287" s="2141"/>
      <c r="R287" s="2144">
        <v>66327561.600000001</v>
      </c>
      <c r="S287" s="2144">
        <v>72960317.760000005</v>
      </c>
      <c r="T287" s="2145"/>
      <c r="U287" s="2145"/>
      <c r="V287" s="2145"/>
      <c r="W287" s="2146">
        <v>44683</v>
      </c>
      <c r="X287" s="2144" t="s">
        <v>11705</v>
      </c>
      <c r="Y287" s="2140">
        <v>44712</v>
      </c>
      <c r="Z287" s="2140">
        <v>44714</v>
      </c>
      <c r="AA287" s="2140">
        <v>45807</v>
      </c>
      <c r="AB287" s="2109" t="s">
        <v>12001</v>
      </c>
      <c r="AC287" s="2109">
        <v>2023</v>
      </c>
      <c r="AD287" s="388">
        <v>2024</v>
      </c>
      <c r="AE287" s="388" t="s">
        <v>12002</v>
      </c>
    </row>
    <row r="288" spans="1:31">
      <c r="A288" s="2140">
        <v>44586</v>
      </c>
      <c r="B288" s="2143" t="s">
        <v>10861</v>
      </c>
      <c r="C288" s="2141" t="s">
        <v>69</v>
      </c>
      <c r="D288" s="2141" t="s">
        <v>70</v>
      </c>
      <c r="E288" s="2142" t="s">
        <v>10860</v>
      </c>
      <c r="F288" s="2141">
        <v>3</v>
      </c>
      <c r="G288" s="2143" t="s">
        <v>10858</v>
      </c>
      <c r="H288" s="2141"/>
      <c r="I288" s="2141" t="s">
        <v>93</v>
      </c>
      <c r="J288" s="2141"/>
      <c r="K288" s="2144">
        <v>35402466</v>
      </c>
      <c r="L288" s="2141" t="s">
        <v>251</v>
      </c>
      <c r="M288" s="2140">
        <v>44589</v>
      </c>
      <c r="N288" s="2140">
        <v>44662</v>
      </c>
      <c r="O288" s="2140">
        <v>44680</v>
      </c>
      <c r="P288" s="2143" t="s">
        <v>1319</v>
      </c>
      <c r="Q288" s="2141"/>
      <c r="R288" s="2144">
        <v>34568473</v>
      </c>
      <c r="S288" s="2144">
        <v>38025320.850000001</v>
      </c>
      <c r="T288" s="2145"/>
      <c r="U288" s="2145"/>
      <c r="V288" s="2145"/>
      <c r="W288" s="2146">
        <v>44683</v>
      </c>
      <c r="X288" s="2144" t="s">
        <v>11706</v>
      </c>
      <c r="Y288" s="2140">
        <v>44712</v>
      </c>
      <c r="Z288" s="2140">
        <v>44714</v>
      </c>
      <c r="AA288" s="2140">
        <v>45807</v>
      </c>
      <c r="AB288" s="2109" t="s">
        <v>12001</v>
      </c>
      <c r="AC288" s="2109">
        <v>2023</v>
      </c>
      <c r="AD288" s="388">
        <v>2024</v>
      </c>
      <c r="AE288" s="388" t="s">
        <v>12002</v>
      </c>
    </row>
    <row r="289" spans="1:32">
      <c r="A289" s="2124">
        <v>44586</v>
      </c>
      <c r="B289" s="2127" t="s">
        <v>10861</v>
      </c>
      <c r="C289" s="2125" t="s">
        <v>69</v>
      </c>
      <c r="D289" s="2125" t="s">
        <v>70</v>
      </c>
      <c r="E289" s="2126" t="s">
        <v>10860</v>
      </c>
      <c r="F289" s="2125">
        <v>4</v>
      </c>
      <c r="G289" s="2127" t="s">
        <v>10859</v>
      </c>
      <c r="H289" s="2085"/>
      <c r="I289" s="2125" t="s">
        <v>93</v>
      </c>
      <c r="J289" s="2125"/>
      <c r="K289" s="2128">
        <v>51429393</v>
      </c>
      <c r="L289" s="2125" t="s">
        <v>251</v>
      </c>
      <c r="M289" s="2124">
        <v>44589</v>
      </c>
      <c r="N289" s="2124">
        <v>44662</v>
      </c>
      <c r="O289" s="2125"/>
      <c r="P289" s="2136" t="s">
        <v>304</v>
      </c>
      <c r="Q289" s="2125"/>
      <c r="R289" s="2128"/>
      <c r="S289" s="2128"/>
      <c r="T289" s="2094"/>
      <c r="U289" s="2094"/>
      <c r="V289" s="2094"/>
      <c r="W289" s="2128"/>
      <c r="X289" s="2128"/>
      <c r="Y289" s="2125"/>
      <c r="Z289" s="2124">
        <v>44712</v>
      </c>
      <c r="AA289" s="2127" t="s">
        <v>11712</v>
      </c>
      <c r="AB289" s="2125"/>
      <c r="AC289" s="2125"/>
    </row>
    <row r="290" spans="1:32" ht="15.75" thickBot="1">
      <c r="A290" s="2117">
        <v>44586</v>
      </c>
      <c r="B290" s="2120" t="s">
        <v>10861</v>
      </c>
      <c r="C290" s="2118" t="s">
        <v>69</v>
      </c>
      <c r="D290" s="2118" t="s">
        <v>70</v>
      </c>
      <c r="E290" s="2119" t="s">
        <v>10860</v>
      </c>
      <c r="F290" s="2118">
        <v>5</v>
      </c>
      <c r="G290" s="2120" t="s">
        <v>6376</v>
      </c>
      <c r="H290" s="2118"/>
      <c r="I290" s="2118" t="s">
        <v>93</v>
      </c>
      <c r="J290" s="2118"/>
      <c r="K290" s="2121">
        <v>34138003</v>
      </c>
      <c r="L290" s="2118" t="s">
        <v>251</v>
      </c>
      <c r="M290" s="2117">
        <v>44589</v>
      </c>
      <c r="N290" s="2117">
        <v>44662</v>
      </c>
      <c r="O290" s="2117">
        <v>44680</v>
      </c>
      <c r="P290" s="2120" t="s">
        <v>7327</v>
      </c>
      <c r="Q290" s="2118"/>
      <c r="R290" s="2121">
        <v>33074959.32</v>
      </c>
      <c r="S290" s="2121">
        <v>36382455.25</v>
      </c>
      <c r="T290" s="2122"/>
      <c r="U290" s="2122"/>
      <c r="V290" s="2122"/>
      <c r="W290" s="2123">
        <v>44683</v>
      </c>
      <c r="X290" s="2121" t="s">
        <v>11707</v>
      </c>
      <c r="Y290" s="2117">
        <v>44704</v>
      </c>
      <c r="Z290" s="2117">
        <v>44712</v>
      </c>
      <c r="AA290" s="2117">
        <v>45799</v>
      </c>
      <c r="AB290" s="2110" t="s">
        <v>11935</v>
      </c>
      <c r="AC290" s="2110">
        <v>2023</v>
      </c>
      <c r="AD290" s="388">
        <v>2024</v>
      </c>
      <c r="AE290" s="388" t="s">
        <v>11936</v>
      </c>
    </row>
    <row r="291" spans="1:32" ht="15.75" thickTop="1">
      <c r="A291" s="474">
        <v>44586</v>
      </c>
      <c r="B291" s="1420" t="s">
        <v>10864</v>
      </c>
      <c r="C291" s="453" t="s">
        <v>69</v>
      </c>
      <c r="D291" s="453" t="s">
        <v>70</v>
      </c>
      <c r="E291" s="473" t="s">
        <v>10863</v>
      </c>
      <c r="F291" s="453">
        <v>1</v>
      </c>
      <c r="G291" s="1420" t="s">
        <v>10865</v>
      </c>
      <c r="H291" s="583"/>
      <c r="I291" s="453" t="s">
        <v>93</v>
      </c>
      <c r="J291" s="453"/>
      <c r="K291" s="457">
        <v>29582336</v>
      </c>
      <c r="L291" s="453" t="s">
        <v>251</v>
      </c>
      <c r="M291" s="474">
        <v>44592</v>
      </c>
      <c r="N291" s="474">
        <v>44659</v>
      </c>
      <c r="O291" s="474">
        <v>44698</v>
      </c>
      <c r="P291" s="1420" t="s">
        <v>1319</v>
      </c>
      <c r="Q291" s="453"/>
      <c r="R291" s="457">
        <v>29582335.199999999</v>
      </c>
      <c r="S291" s="457">
        <v>32540568.719999999</v>
      </c>
      <c r="T291" s="1483"/>
      <c r="U291" s="1483"/>
      <c r="V291" s="1483"/>
      <c r="W291" s="570">
        <v>44698</v>
      </c>
      <c r="X291" s="457" t="s">
        <v>11905</v>
      </c>
      <c r="Y291" s="474">
        <v>44725</v>
      </c>
      <c r="Z291" s="474">
        <v>44727</v>
      </c>
      <c r="AA291" s="474">
        <v>45815</v>
      </c>
      <c r="AB291" s="1391" t="s">
        <v>12086</v>
      </c>
      <c r="AC291" s="1391">
        <v>2023</v>
      </c>
      <c r="AD291" s="388">
        <v>2024</v>
      </c>
      <c r="AE291" s="388" t="s">
        <v>12087</v>
      </c>
    </row>
    <row r="292" spans="1:32" ht="15.75" thickBot="1">
      <c r="A292" s="2117">
        <v>44586</v>
      </c>
      <c r="B292" s="2120" t="s">
        <v>10864</v>
      </c>
      <c r="C292" s="2118" t="s">
        <v>69</v>
      </c>
      <c r="D292" s="2118" t="s">
        <v>70</v>
      </c>
      <c r="E292" s="2119" t="s">
        <v>10863</v>
      </c>
      <c r="F292" s="2118">
        <v>2</v>
      </c>
      <c r="G292" s="2120" t="s">
        <v>10866</v>
      </c>
      <c r="H292" s="2118"/>
      <c r="I292" s="2118" t="s">
        <v>93</v>
      </c>
      <c r="J292" s="2118"/>
      <c r="K292" s="2121">
        <v>117115400</v>
      </c>
      <c r="L292" s="2118" t="s">
        <v>251</v>
      </c>
      <c r="M292" s="2117">
        <v>44592</v>
      </c>
      <c r="N292" s="2117">
        <v>44659</v>
      </c>
      <c r="O292" s="2117">
        <v>44698</v>
      </c>
      <c r="P292" s="2120" t="s">
        <v>2490</v>
      </c>
      <c r="Q292" s="2118"/>
      <c r="R292" s="2121">
        <v>117115399.26000001</v>
      </c>
      <c r="S292" s="2121">
        <v>128826939.19</v>
      </c>
      <c r="T292" s="2122"/>
      <c r="U292" s="2122"/>
      <c r="V292" s="2122"/>
      <c r="W292" s="2123">
        <v>44698</v>
      </c>
      <c r="X292" s="2121" t="s">
        <v>11906</v>
      </c>
      <c r="Y292" s="2117">
        <v>44719</v>
      </c>
      <c r="Z292" s="2117">
        <v>44727</v>
      </c>
      <c r="AA292" s="2117">
        <v>45814</v>
      </c>
      <c r="AB292" s="2110" t="s">
        <v>12065</v>
      </c>
      <c r="AC292" s="2110">
        <v>2023</v>
      </c>
      <c r="AD292" s="388">
        <v>2024</v>
      </c>
      <c r="AE292" s="388" t="s">
        <v>12066</v>
      </c>
    </row>
    <row r="293" spans="1:32" ht="15.75" thickTop="1">
      <c r="A293" s="365">
        <v>44586</v>
      </c>
      <c r="B293" s="2646" t="s">
        <v>10867</v>
      </c>
      <c r="C293" s="2625" t="s">
        <v>69</v>
      </c>
      <c r="D293" s="2625" t="s">
        <v>70</v>
      </c>
      <c r="E293" s="175" t="s">
        <v>10868</v>
      </c>
      <c r="F293" s="2625"/>
      <c r="G293" s="2626"/>
      <c r="H293" s="2625"/>
      <c r="I293" s="2625" t="s">
        <v>10869</v>
      </c>
      <c r="J293" s="2625"/>
      <c r="K293" s="364">
        <v>95276076</v>
      </c>
      <c r="L293" s="2625" t="s">
        <v>251</v>
      </c>
      <c r="M293" s="365">
        <v>44603</v>
      </c>
      <c r="N293" s="365">
        <v>44637</v>
      </c>
      <c r="O293" s="365">
        <v>44658</v>
      </c>
      <c r="P293" s="2626" t="s">
        <v>2548</v>
      </c>
      <c r="Q293" s="2625"/>
      <c r="R293" s="364">
        <v>89921632.799999997</v>
      </c>
      <c r="S293" s="364">
        <v>98913796.079999998</v>
      </c>
      <c r="T293" s="1473"/>
      <c r="U293" s="1473"/>
      <c r="V293" s="1473"/>
      <c r="W293" s="681">
        <v>44658</v>
      </c>
      <c r="X293" s="364" t="s">
        <v>11544</v>
      </c>
      <c r="Y293" s="365">
        <v>44711</v>
      </c>
      <c r="Z293" s="365">
        <v>44713</v>
      </c>
      <c r="AA293" s="365">
        <v>46171</v>
      </c>
      <c r="AB293" s="451" t="s">
        <v>11987</v>
      </c>
      <c r="AC293" s="451">
        <v>2023</v>
      </c>
      <c r="AD293" s="388">
        <v>2024</v>
      </c>
      <c r="AE293" s="388">
        <v>2025</v>
      </c>
      <c r="AF293" s="388" t="s">
        <v>11990</v>
      </c>
    </row>
    <row r="294" spans="1:32" ht="15.75" thickBot="1">
      <c r="A294" s="470" t="s">
        <v>3585</v>
      </c>
      <c r="B294" s="654" t="s">
        <v>11004</v>
      </c>
      <c r="C294" s="466" t="s">
        <v>58</v>
      </c>
      <c r="D294" s="466" t="s">
        <v>4969</v>
      </c>
      <c r="E294" s="467" t="s">
        <v>10258</v>
      </c>
      <c r="F294" s="466"/>
      <c r="G294" s="654"/>
      <c r="H294" s="466"/>
      <c r="I294" s="466" t="s">
        <v>1950</v>
      </c>
      <c r="J294" s="466" t="s">
        <v>10259</v>
      </c>
      <c r="K294" s="472">
        <v>74000</v>
      </c>
      <c r="L294" s="466" t="s">
        <v>112</v>
      </c>
      <c r="M294" s="470">
        <v>44601</v>
      </c>
      <c r="N294" s="470">
        <v>44620</v>
      </c>
      <c r="O294" s="466"/>
      <c r="P294" s="471" t="s">
        <v>304</v>
      </c>
      <c r="Q294" s="2014" t="s">
        <v>11640</v>
      </c>
      <c r="R294" s="472"/>
      <c r="S294" s="472"/>
      <c r="T294" s="1516"/>
      <c r="U294" s="1516"/>
      <c r="V294" s="1516"/>
      <c r="W294" s="472"/>
      <c r="X294" s="472"/>
      <c r="Y294" s="466"/>
      <c r="Z294" s="470">
        <v>44620</v>
      </c>
      <c r="AA294" s="466"/>
      <c r="AB294" s="466"/>
      <c r="AC294" s="466"/>
    </row>
    <row r="295" spans="1:32" ht="60.75" thickTop="1">
      <c r="A295" s="453" t="s">
        <v>10833</v>
      </c>
      <c r="B295" s="1420" t="s">
        <v>10834</v>
      </c>
      <c r="C295" s="453" t="s">
        <v>9694</v>
      </c>
      <c r="D295" s="453" t="s">
        <v>2684</v>
      </c>
      <c r="E295" s="473" t="s">
        <v>9827</v>
      </c>
      <c r="F295" s="453">
        <v>1</v>
      </c>
      <c r="G295" s="1420" t="s">
        <v>9828</v>
      </c>
      <c r="H295" s="453"/>
      <c r="I295" s="453" t="s">
        <v>505</v>
      </c>
      <c r="J295" s="453" t="s">
        <v>10289</v>
      </c>
      <c r="K295" s="457">
        <v>4639115</v>
      </c>
      <c r="L295" s="453" t="s">
        <v>251</v>
      </c>
      <c r="M295" s="474">
        <v>44589</v>
      </c>
      <c r="N295" s="474">
        <v>44623</v>
      </c>
      <c r="O295" s="474">
        <v>44670</v>
      </c>
      <c r="P295" s="1420" t="s">
        <v>11529</v>
      </c>
      <c r="Q295" s="453"/>
      <c r="R295" s="457">
        <v>5612603</v>
      </c>
      <c r="S295" s="457">
        <v>6467237.4500000002</v>
      </c>
      <c r="T295" s="1474"/>
      <c r="U295" s="1474"/>
      <c r="V295" s="1474"/>
      <c r="W295" s="570">
        <v>44670</v>
      </c>
      <c r="X295" s="1387" t="s">
        <v>11591</v>
      </c>
      <c r="Y295" s="474">
        <v>44697</v>
      </c>
      <c r="Z295" s="474">
        <v>44704</v>
      </c>
      <c r="AA295" s="474">
        <v>44753</v>
      </c>
      <c r="AB295" s="474">
        <v>44782</v>
      </c>
      <c r="AC295" s="1391" t="s">
        <v>1875</v>
      </c>
    </row>
    <row r="296" spans="1:32" ht="30">
      <c r="A296" s="2141" t="s">
        <v>10833</v>
      </c>
      <c r="B296" s="2143" t="s">
        <v>10834</v>
      </c>
      <c r="C296" s="2141" t="s">
        <v>58</v>
      </c>
      <c r="D296" s="2141" t="s">
        <v>2684</v>
      </c>
      <c r="E296" s="2142" t="s">
        <v>9827</v>
      </c>
      <c r="F296" s="2141">
        <v>2</v>
      </c>
      <c r="G296" s="2142" t="s">
        <v>10288</v>
      </c>
      <c r="H296" s="2141"/>
      <c r="I296" s="2141" t="s">
        <v>3301</v>
      </c>
      <c r="J296" s="2141" t="s">
        <v>10290</v>
      </c>
      <c r="K296" s="2144">
        <v>1230000</v>
      </c>
      <c r="L296" s="2141" t="s">
        <v>251</v>
      </c>
      <c r="M296" s="2140">
        <v>44589</v>
      </c>
      <c r="N296" s="2140">
        <v>44623</v>
      </c>
      <c r="O296" s="2140">
        <v>44670</v>
      </c>
      <c r="P296" s="2143" t="s">
        <v>11530</v>
      </c>
      <c r="Q296" s="2141"/>
      <c r="R296" s="2144">
        <v>1173543.42</v>
      </c>
      <c r="S296" s="2144">
        <v>1355289.93</v>
      </c>
      <c r="T296" s="2145"/>
      <c r="U296" s="2145"/>
      <c r="V296" s="2145"/>
      <c r="W296" s="2146">
        <v>44670</v>
      </c>
      <c r="X296" s="2260" t="s">
        <v>11592</v>
      </c>
      <c r="Y296" s="2140">
        <v>44692</v>
      </c>
      <c r="Z296" s="2140">
        <v>44704</v>
      </c>
      <c r="AA296" s="2140">
        <v>44762</v>
      </c>
      <c r="AB296" s="2140">
        <v>44809</v>
      </c>
      <c r="AC296" s="2109" t="s">
        <v>1875</v>
      </c>
    </row>
    <row r="297" spans="1:32" ht="15.75" thickBot="1">
      <c r="A297" s="2131" t="s">
        <v>10833</v>
      </c>
      <c r="B297" s="2133" t="s">
        <v>10834</v>
      </c>
      <c r="C297" s="2131" t="s">
        <v>9694</v>
      </c>
      <c r="D297" s="2131" t="s">
        <v>2684</v>
      </c>
      <c r="E297" s="2132" t="s">
        <v>9827</v>
      </c>
      <c r="F297" s="2131">
        <v>3</v>
      </c>
      <c r="G297" s="2133" t="s">
        <v>9829</v>
      </c>
      <c r="H297" s="2131"/>
      <c r="I297" s="2131" t="s">
        <v>292</v>
      </c>
      <c r="J297" s="2131" t="s">
        <v>10291</v>
      </c>
      <c r="K297" s="2134">
        <v>882167</v>
      </c>
      <c r="L297" s="2131" t="s">
        <v>251</v>
      </c>
      <c r="M297" s="2130">
        <v>44589</v>
      </c>
      <c r="N297" s="2130">
        <v>44623</v>
      </c>
      <c r="O297" s="2131"/>
      <c r="P297" s="2137" t="s">
        <v>11329</v>
      </c>
      <c r="Q297" s="2287" t="s">
        <v>12882</v>
      </c>
      <c r="R297" s="2134"/>
      <c r="S297" s="2134"/>
      <c r="T297" s="2135"/>
      <c r="U297" s="2135"/>
      <c r="V297" s="2135"/>
      <c r="W297" s="2134"/>
      <c r="X297" s="2134"/>
      <c r="Y297" s="2131"/>
      <c r="Z297" s="2130">
        <v>44684</v>
      </c>
      <c r="AA297" s="2133" t="s">
        <v>11416</v>
      </c>
      <c r="AB297" s="2131"/>
      <c r="AC297" s="2131"/>
    </row>
    <row r="298" spans="1:32" ht="15.75" thickTop="1">
      <c r="A298" s="443" t="s">
        <v>10833</v>
      </c>
      <c r="B298" s="1431" t="s">
        <v>10841</v>
      </c>
      <c r="C298" s="439" t="s">
        <v>9694</v>
      </c>
      <c r="D298" s="439" t="s">
        <v>4969</v>
      </c>
      <c r="E298" s="440" t="s">
        <v>10585</v>
      </c>
      <c r="F298" s="439">
        <v>1</v>
      </c>
      <c r="G298" s="1431" t="s">
        <v>9370</v>
      </c>
      <c r="H298" s="439"/>
      <c r="I298" s="439" t="s">
        <v>10417</v>
      </c>
      <c r="J298" s="439" t="s">
        <v>10418</v>
      </c>
      <c r="K298" s="444">
        <v>1786211</v>
      </c>
      <c r="L298" s="439" t="s">
        <v>251</v>
      </c>
      <c r="M298" s="443">
        <v>44588</v>
      </c>
      <c r="N298" s="443">
        <v>44622</v>
      </c>
      <c r="O298" s="439"/>
      <c r="P298" s="753" t="s">
        <v>9114</v>
      </c>
      <c r="Q298" s="2015" t="s">
        <v>11370</v>
      </c>
      <c r="R298" s="444"/>
      <c r="S298" s="444"/>
      <c r="T298" s="1481"/>
      <c r="U298" s="1481"/>
      <c r="V298" s="1481"/>
      <c r="W298" s="444"/>
      <c r="X298" s="444"/>
      <c r="Y298" s="439"/>
      <c r="Z298" s="443">
        <v>44630</v>
      </c>
      <c r="AA298" s="439" t="s">
        <v>11457</v>
      </c>
      <c r="AB298" s="439"/>
      <c r="AC298" s="439"/>
    </row>
    <row r="299" spans="1:32" ht="30">
      <c r="A299" s="2140" t="s">
        <v>10833</v>
      </c>
      <c r="B299" s="2143" t="s">
        <v>10841</v>
      </c>
      <c r="C299" s="2141" t="s">
        <v>9694</v>
      </c>
      <c r="D299" s="2141" t="s">
        <v>4969</v>
      </c>
      <c r="E299" s="2142" t="s">
        <v>10585</v>
      </c>
      <c r="F299" s="2141">
        <v>2</v>
      </c>
      <c r="G299" s="2143" t="s">
        <v>10419</v>
      </c>
      <c r="H299" s="2141"/>
      <c r="I299" s="2141" t="s">
        <v>10417</v>
      </c>
      <c r="J299" s="2141"/>
      <c r="K299" s="2144">
        <v>102536</v>
      </c>
      <c r="L299" s="2141" t="s">
        <v>251</v>
      </c>
      <c r="M299" s="2140">
        <v>44588</v>
      </c>
      <c r="N299" s="2140">
        <v>44622</v>
      </c>
      <c r="O299" s="2140">
        <v>44642</v>
      </c>
      <c r="P299" s="2143" t="s">
        <v>11328</v>
      </c>
      <c r="Q299" s="2141"/>
      <c r="R299" s="2144">
        <v>111187</v>
      </c>
      <c r="S299" s="2144">
        <v>134536.26999999999</v>
      </c>
      <c r="T299" s="2145"/>
      <c r="U299" s="2145"/>
      <c r="V299" s="2145"/>
      <c r="W299" s="2146">
        <v>44642</v>
      </c>
      <c r="X299" s="2260" t="s">
        <v>11383</v>
      </c>
      <c r="Y299" s="2140">
        <v>44680</v>
      </c>
      <c r="Z299" s="2140">
        <v>44683</v>
      </c>
      <c r="AA299" s="2140">
        <v>44722</v>
      </c>
      <c r="AB299" s="2140">
        <v>44845</v>
      </c>
      <c r="AC299" s="2109" t="s">
        <v>1875</v>
      </c>
    </row>
    <row r="300" spans="1:32" ht="15.75" thickBot="1">
      <c r="A300" s="2130" t="s">
        <v>10833</v>
      </c>
      <c r="B300" s="2133" t="s">
        <v>10841</v>
      </c>
      <c r="C300" s="2131" t="s">
        <v>58</v>
      </c>
      <c r="D300" s="2131" t="s">
        <v>4969</v>
      </c>
      <c r="E300" s="2132" t="s">
        <v>10585</v>
      </c>
      <c r="F300" s="2131">
        <v>3</v>
      </c>
      <c r="G300" s="2133" t="s">
        <v>10420</v>
      </c>
      <c r="H300" s="2131"/>
      <c r="I300" s="2131" t="s">
        <v>10417</v>
      </c>
      <c r="J300" s="2131"/>
      <c r="K300" s="2134">
        <v>195162</v>
      </c>
      <c r="L300" s="2131" t="s">
        <v>251</v>
      </c>
      <c r="M300" s="2130">
        <v>44588</v>
      </c>
      <c r="N300" s="2130">
        <v>44622</v>
      </c>
      <c r="O300" s="2131"/>
      <c r="P300" s="2137" t="s">
        <v>9114</v>
      </c>
      <c r="Q300" s="2287" t="s">
        <v>11370</v>
      </c>
      <c r="R300" s="2134"/>
      <c r="S300" s="2134"/>
      <c r="T300" s="2135"/>
      <c r="U300" s="2135"/>
      <c r="V300" s="2135"/>
      <c r="W300" s="2134"/>
      <c r="X300" s="2134"/>
      <c r="Y300" s="2131"/>
      <c r="Z300" s="2130">
        <v>44630</v>
      </c>
      <c r="AA300" s="2131" t="s">
        <v>11457</v>
      </c>
      <c r="AB300" s="2131"/>
      <c r="AC300" s="2131"/>
    </row>
    <row r="301" spans="1:32" ht="30.75" thickTop="1">
      <c r="A301" s="2140">
        <v>44581</v>
      </c>
      <c r="B301" s="2143" t="s">
        <v>10842</v>
      </c>
      <c r="C301" s="2141" t="s">
        <v>2434</v>
      </c>
      <c r="D301" s="2141" t="s">
        <v>219</v>
      </c>
      <c r="E301" s="2142" t="s">
        <v>8482</v>
      </c>
      <c r="F301" s="2141"/>
      <c r="G301" s="2143"/>
      <c r="H301" s="2141"/>
      <c r="I301" s="2141" t="s">
        <v>642</v>
      </c>
      <c r="J301" s="2141"/>
      <c r="K301" s="2144">
        <v>25325528</v>
      </c>
      <c r="L301" s="2141" t="s">
        <v>251</v>
      </c>
      <c r="M301" s="2140">
        <v>44596</v>
      </c>
      <c r="N301" s="2140">
        <v>44628</v>
      </c>
      <c r="O301" s="2140">
        <v>44684</v>
      </c>
      <c r="P301" s="2143" t="s">
        <v>993</v>
      </c>
      <c r="Q301" s="2141"/>
      <c r="R301" s="2144">
        <v>25325528</v>
      </c>
      <c r="S301" s="2144">
        <v>30643889.030000001</v>
      </c>
      <c r="T301" s="2145"/>
      <c r="U301" s="2145"/>
      <c r="V301" s="2145"/>
      <c r="W301" s="2146">
        <v>44684</v>
      </c>
      <c r="X301" s="2260" t="s">
        <v>11728</v>
      </c>
      <c r="Y301" s="2140">
        <v>44768</v>
      </c>
      <c r="Z301" s="2140">
        <v>44783</v>
      </c>
      <c r="AA301" s="2140">
        <v>46228</v>
      </c>
      <c r="AB301" s="2109" t="s">
        <v>12590</v>
      </c>
      <c r="AC301" s="2109">
        <v>2023</v>
      </c>
      <c r="AD301" s="388">
        <v>2024</v>
      </c>
      <c r="AE301" s="388">
        <v>2025</v>
      </c>
      <c r="AF301" s="388" t="s">
        <v>12591</v>
      </c>
    </row>
    <row r="302" spans="1:32">
      <c r="A302" s="2124">
        <v>44585</v>
      </c>
      <c r="B302" s="2127" t="s">
        <v>10872</v>
      </c>
      <c r="C302" s="2125" t="s">
        <v>9694</v>
      </c>
      <c r="D302" s="2125" t="s">
        <v>4969</v>
      </c>
      <c r="E302" s="2126" t="s">
        <v>10873</v>
      </c>
      <c r="F302" s="2125"/>
      <c r="G302" s="2127"/>
      <c r="H302" s="2125"/>
      <c r="I302" s="2125" t="s">
        <v>7069</v>
      </c>
      <c r="J302" s="2125" t="s">
        <v>10874</v>
      </c>
      <c r="K302" s="2128">
        <v>4372304</v>
      </c>
      <c r="L302" s="2125" t="s">
        <v>251</v>
      </c>
      <c r="M302" s="2124">
        <v>44610</v>
      </c>
      <c r="N302" s="2124">
        <v>44645</v>
      </c>
      <c r="O302" s="2125"/>
      <c r="P302" s="2136" t="s">
        <v>4505</v>
      </c>
      <c r="Q302" s="2180" t="s">
        <v>11609</v>
      </c>
      <c r="R302" s="2128"/>
      <c r="S302" s="2128"/>
      <c r="T302" s="2129"/>
      <c r="U302" s="2129"/>
      <c r="V302" s="2129"/>
      <c r="W302" s="2128"/>
      <c r="X302" s="2128"/>
      <c r="Y302" s="2125"/>
      <c r="Z302" s="2124">
        <v>44683</v>
      </c>
      <c r="AA302" s="2125" t="s">
        <v>11712</v>
      </c>
      <c r="AB302" s="2125"/>
      <c r="AC302" s="2125"/>
    </row>
    <row r="303" spans="1:32" ht="30">
      <c r="A303" s="2140">
        <v>44587</v>
      </c>
      <c r="B303" s="2143" t="s">
        <v>10887</v>
      </c>
      <c r="C303" s="2141" t="s">
        <v>9694</v>
      </c>
      <c r="D303" s="2141" t="s">
        <v>4969</v>
      </c>
      <c r="E303" s="2142" t="s">
        <v>10888</v>
      </c>
      <c r="F303" s="2141"/>
      <c r="G303" s="2143"/>
      <c r="H303" s="2141"/>
      <c r="I303" s="2141" t="s">
        <v>1159</v>
      </c>
      <c r="J303" s="2141" t="s">
        <v>10889</v>
      </c>
      <c r="K303" s="2144">
        <v>764000</v>
      </c>
      <c r="L303" s="2141" t="s">
        <v>251</v>
      </c>
      <c r="M303" s="2140">
        <v>44610</v>
      </c>
      <c r="N303" s="2140">
        <v>44644</v>
      </c>
      <c r="O303" s="2140">
        <v>44679</v>
      </c>
      <c r="P303" s="2143" t="s">
        <v>4478</v>
      </c>
      <c r="Q303" s="2141"/>
      <c r="R303" s="2144">
        <v>808300</v>
      </c>
      <c r="S303" s="2144">
        <v>978043</v>
      </c>
      <c r="T303" s="2145"/>
      <c r="U303" s="2145"/>
      <c r="V303" s="2145"/>
      <c r="W303" s="2146">
        <v>44679</v>
      </c>
      <c r="X303" s="2260" t="s">
        <v>11683</v>
      </c>
      <c r="Y303" s="2140">
        <v>44720</v>
      </c>
      <c r="Z303" s="2140">
        <v>44725</v>
      </c>
      <c r="AA303" s="2140">
        <v>44804</v>
      </c>
      <c r="AB303" s="2140">
        <v>44872</v>
      </c>
      <c r="AC303" s="2109" t="s">
        <v>1875</v>
      </c>
    </row>
    <row r="304" spans="1:32" ht="30.75" thickBot="1">
      <c r="A304" s="416">
        <v>44588</v>
      </c>
      <c r="B304" s="630" t="s">
        <v>10890</v>
      </c>
      <c r="C304" s="411" t="s">
        <v>9694</v>
      </c>
      <c r="D304" s="411" t="s">
        <v>4969</v>
      </c>
      <c r="E304" s="412" t="s">
        <v>10891</v>
      </c>
      <c r="F304" s="411"/>
      <c r="G304" s="630"/>
      <c r="H304" s="411"/>
      <c r="I304" s="411" t="s">
        <v>1159</v>
      </c>
      <c r="J304" s="411" t="s">
        <v>10892</v>
      </c>
      <c r="K304" s="417">
        <v>469000</v>
      </c>
      <c r="L304" s="411" t="s">
        <v>251</v>
      </c>
      <c r="M304" s="416">
        <v>44610</v>
      </c>
      <c r="N304" s="416">
        <v>44645</v>
      </c>
      <c r="O304" s="416">
        <v>44679</v>
      </c>
      <c r="P304" s="630" t="s">
        <v>4478</v>
      </c>
      <c r="Q304" s="411"/>
      <c r="R304" s="417">
        <v>459300</v>
      </c>
      <c r="S304" s="417">
        <v>555753</v>
      </c>
      <c r="T304" s="1480"/>
      <c r="U304" s="1480"/>
      <c r="V304" s="1480"/>
      <c r="W304" s="513">
        <v>44679</v>
      </c>
      <c r="X304" s="1553" t="s">
        <v>11679</v>
      </c>
      <c r="Y304" s="416">
        <v>44720</v>
      </c>
      <c r="Z304" s="416">
        <v>44725</v>
      </c>
      <c r="AA304" s="416">
        <v>44804</v>
      </c>
      <c r="AB304" s="416">
        <v>44844</v>
      </c>
      <c r="AC304" s="422" t="s">
        <v>1875</v>
      </c>
    </row>
    <row r="305" spans="1:32" ht="15.75" thickTop="1">
      <c r="A305" s="443">
        <v>44588</v>
      </c>
      <c r="B305" s="1431" t="s">
        <v>10907</v>
      </c>
      <c r="C305" s="439" t="s">
        <v>58</v>
      </c>
      <c r="D305" s="439" t="s">
        <v>4969</v>
      </c>
      <c r="E305" s="440" t="s">
        <v>10908</v>
      </c>
      <c r="F305" s="439">
        <v>1</v>
      </c>
      <c r="G305" s="1431" t="s">
        <v>10909</v>
      </c>
      <c r="H305" s="439"/>
      <c r="I305" s="439" t="s">
        <v>272</v>
      </c>
      <c r="J305" s="439" t="s">
        <v>10915</v>
      </c>
      <c r="K305" s="444">
        <v>2893800</v>
      </c>
      <c r="L305" s="439" t="s">
        <v>251</v>
      </c>
      <c r="M305" s="443">
        <v>44615</v>
      </c>
      <c r="N305" s="443">
        <v>44656</v>
      </c>
      <c r="O305" s="439"/>
      <c r="P305" s="753" t="s">
        <v>7335</v>
      </c>
      <c r="Q305" s="2015" t="s">
        <v>11641</v>
      </c>
      <c r="R305" s="444"/>
      <c r="S305" s="444"/>
      <c r="T305" s="1481"/>
      <c r="U305" s="1481"/>
      <c r="V305" s="1481"/>
      <c r="W305" s="444"/>
      <c r="X305" s="444"/>
      <c r="Y305" s="439"/>
      <c r="Z305" s="443">
        <v>44673</v>
      </c>
      <c r="AA305" s="2578" t="s">
        <v>11513</v>
      </c>
      <c r="AB305" s="439"/>
      <c r="AC305" s="439"/>
    </row>
    <row r="306" spans="1:32">
      <c r="A306" s="2124">
        <v>44588</v>
      </c>
      <c r="B306" s="2127" t="s">
        <v>10907</v>
      </c>
      <c r="C306" s="2125" t="s">
        <v>58</v>
      </c>
      <c r="D306" s="2125" t="s">
        <v>4969</v>
      </c>
      <c r="E306" s="2126" t="s">
        <v>10908</v>
      </c>
      <c r="F306" s="2125">
        <v>2</v>
      </c>
      <c r="G306" s="2127" t="s">
        <v>10910</v>
      </c>
      <c r="H306" s="2125"/>
      <c r="I306" s="2125" t="s">
        <v>272</v>
      </c>
      <c r="J306" s="2125" t="s">
        <v>10916</v>
      </c>
      <c r="K306" s="2128">
        <v>1260000</v>
      </c>
      <c r="L306" s="2125" t="s">
        <v>251</v>
      </c>
      <c r="M306" s="2124">
        <v>44615</v>
      </c>
      <c r="N306" s="2124">
        <v>44656</v>
      </c>
      <c r="O306" s="2125"/>
      <c r="P306" s="2136" t="s">
        <v>7335</v>
      </c>
      <c r="Q306" s="2275" t="s">
        <v>11641</v>
      </c>
      <c r="R306" s="2128"/>
      <c r="S306" s="2128"/>
      <c r="T306" s="2129"/>
      <c r="U306" s="2129"/>
      <c r="V306" s="2129"/>
      <c r="W306" s="2128"/>
      <c r="X306" s="2128"/>
      <c r="Y306" s="2125"/>
      <c r="Z306" s="2124">
        <v>44673</v>
      </c>
      <c r="AA306" s="2579" t="s">
        <v>11513</v>
      </c>
      <c r="AB306" s="2125"/>
      <c r="AC306" s="2125"/>
    </row>
    <row r="307" spans="1:32">
      <c r="A307" s="2124">
        <v>44588</v>
      </c>
      <c r="B307" s="2127" t="s">
        <v>10907</v>
      </c>
      <c r="C307" s="2125" t="s">
        <v>58</v>
      </c>
      <c r="D307" s="2125" t="s">
        <v>4969</v>
      </c>
      <c r="E307" s="2126" t="s">
        <v>10908</v>
      </c>
      <c r="F307" s="2125">
        <v>3</v>
      </c>
      <c r="G307" s="2127" t="s">
        <v>10911</v>
      </c>
      <c r="H307" s="2125"/>
      <c r="I307" s="2125" t="s">
        <v>10913</v>
      </c>
      <c r="J307" s="2125" t="s">
        <v>10917</v>
      </c>
      <c r="K307" s="2128">
        <v>270000</v>
      </c>
      <c r="L307" s="2125" t="s">
        <v>251</v>
      </c>
      <c r="M307" s="2124">
        <v>44615</v>
      </c>
      <c r="N307" s="2124">
        <v>44656</v>
      </c>
      <c r="O307" s="2125"/>
      <c r="P307" s="2136" t="s">
        <v>7335</v>
      </c>
      <c r="Q307" s="2275" t="s">
        <v>11641</v>
      </c>
      <c r="R307" s="2128"/>
      <c r="S307" s="2128"/>
      <c r="T307" s="2129"/>
      <c r="U307" s="2129"/>
      <c r="V307" s="2129"/>
      <c r="W307" s="2128"/>
      <c r="X307" s="2128"/>
      <c r="Y307" s="2125"/>
      <c r="Z307" s="2124">
        <v>44673</v>
      </c>
      <c r="AA307" s="2579" t="s">
        <v>11513</v>
      </c>
      <c r="AB307" s="2125"/>
      <c r="AC307" s="2125"/>
    </row>
    <row r="308" spans="1:32" ht="15.75" thickBot="1">
      <c r="A308" s="2130">
        <v>44588</v>
      </c>
      <c r="B308" s="2133" t="s">
        <v>10907</v>
      </c>
      <c r="C308" s="2131" t="s">
        <v>58</v>
      </c>
      <c r="D308" s="2131" t="s">
        <v>4969</v>
      </c>
      <c r="E308" s="2132" t="s">
        <v>10908</v>
      </c>
      <c r="F308" s="2131">
        <v>4</v>
      </c>
      <c r="G308" s="2133" t="s">
        <v>10912</v>
      </c>
      <c r="H308" s="2131"/>
      <c r="I308" s="2131" t="s">
        <v>10914</v>
      </c>
      <c r="J308" s="2131"/>
      <c r="K308" s="2134">
        <v>2350000</v>
      </c>
      <c r="L308" s="2131" t="s">
        <v>251</v>
      </c>
      <c r="M308" s="2130">
        <v>44615</v>
      </c>
      <c r="N308" s="2130">
        <v>44656</v>
      </c>
      <c r="O308" s="2131"/>
      <c r="P308" s="2137" t="s">
        <v>7335</v>
      </c>
      <c r="Q308" s="2287" t="s">
        <v>11641</v>
      </c>
      <c r="R308" s="2134"/>
      <c r="S308" s="2134"/>
      <c r="T308" s="2135"/>
      <c r="U308" s="2135"/>
      <c r="V308" s="2135"/>
      <c r="W308" s="2134"/>
      <c r="X308" s="2134"/>
      <c r="Y308" s="2131"/>
      <c r="Z308" s="2130">
        <v>44673</v>
      </c>
      <c r="AA308" s="2580" t="s">
        <v>11513</v>
      </c>
      <c r="AB308" s="2131"/>
      <c r="AC308" s="2131"/>
    </row>
    <row r="309" spans="1:32" ht="16.5" thickTop="1" thickBot="1">
      <c r="A309" s="711">
        <v>44589</v>
      </c>
      <c r="B309" s="1755" t="s">
        <v>10940</v>
      </c>
      <c r="C309" s="707" t="s">
        <v>2434</v>
      </c>
      <c r="D309" s="707" t="s">
        <v>219</v>
      </c>
      <c r="E309" s="720" t="s">
        <v>10941</v>
      </c>
      <c r="F309" s="707"/>
      <c r="G309" s="1755"/>
      <c r="H309" s="707"/>
      <c r="I309" s="707" t="s">
        <v>10942</v>
      </c>
      <c r="J309" s="707"/>
      <c r="K309" s="710">
        <v>14522150</v>
      </c>
      <c r="L309" s="707" t="s">
        <v>251</v>
      </c>
      <c r="M309" s="711">
        <v>44603</v>
      </c>
      <c r="N309" s="711">
        <v>44636</v>
      </c>
      <c r="O309" s="711">
        <v>44656</v>
      </c>
      <c r="P309" s="1755" t="s">
        <v>16351</v>
      </c>
      <c r="Q309" s="707"/>
      <c r="R309" s="710">
        <v>14529292.1</v>
      </c>
      <c r="S309" s="710">
        <v>17407386.82</v>
      </c>
      <c r="T309" s="2628"/>
      <c r="U309" s="2628"/>
      <c r="V309" s="2628"/>
      <c r="W309" s="2629">
        <v>44657</v>
      </c>
      <c r="X309" s="710" t="s">
        <v>11523</v>
      </c>
      <c r="Y309" s="711">
        <v>44707</v>
      </c>
      <c r="Z309" s="711">
        <v>44721</v>
      </c>
      <c r="AA309" s="711">
        <v>46167</v>
      </c>
      <c r="AB309" s="2301" t="s">
        <v>11969</v>
      </c>
      <c r="AC309" s="2301">
        <v>2023</v>
      </c>
      <c r="AD309" s="388">
        <v>2024</v>
      </c>
      <c r="AE309" s="388">
        <v>2025</v>
      </c>
      <c r="AF309" s="388" t="s">
        <v>9054</v>
      </c>
    </row>
    <row r="310" spans="1:32" ht="15.75" thickTop="1">
      <c r="A310" s="365">
        <v>44593</v>
      </c>
      <c r="B310" s="2663" t="s">
        <v>10920</v>
      </c>
      <c r="C310" s="2662" t="s">
        <v>69</v>
      </c>
      <c r="D310" s="2662" t="s">
        <v>70</v>
      </c>
      <c r="E310" s="175" t="s">
        <v>10921</v>
      </c>
      <c r="F310" s="2662">
        <v>1</v>
      </c>
      <c r="G310" s="2663" t="s">
        <v>10922</v>
      </c>
      <c r="H310" s="2662"/>
      <c r="I310" s="2662" t="s">
        <v>814</v>
      </c>
      <c r="J310" s="2662"/>
      <c r="K310" s="364">
        <v>64249</v>
      </c>
      <c r="L310" s="2662" t="s">
        <v>251</v>
      </c>
      <c r="M310" s="365">
        <v>44602</v>
      </c>
      <c r="N310" s="365">
        <v>44637</v>
      </c>
      <c r="O310" s="365">
        <v>44698</v>
      </c>
      <c r="P310" s="2663" t="s">
        <v>1646</v>
      </c>
      <c r="Q310" s="2662"/>
      <c r="R310" s="364">
        <v>45859.53</v>
      </c>
      <c r="S310" s="364">
        <v>50445.48</v>
      </c>
      <c r="T310" s="1473"/>
      <c r="U310" s="1473"/>
      <c r="V310" s="1473"/>
      <c r="W310" s="681">
        <v>44698</v>
      </c>
      <c r="X310" s="364" t="s">
        <v>11920</v>
      </c>
      <c r="Y310" s="365">
        <v>44746</v>
      </c>
      <c r="Z310" s="365">
        <v>44761</v>
      </c>
      <c r="AA310" s="365">
        <v>45841</v>
      </c>
      <c r="AB310" s="451" t="s">
        <v>12504</v>
      </c>
      <c r="AC310" s="451">
        <v>2023</v>
      </c>
      <c r="AD310" s="388">
        <v>2024</v>
      </c>
      <c r="AE310" s="388" t="s">
        <v>12505</v>
      </c>
    </row>
    <row r="311" spans="1:32">
      <c r="A311" s="2124">
        <v>44593</v>
      </c>
      <c r="B311" s="654" t="s">
        <v>10920</v>
      </c>
      <c r="C311" s="466" t="s">
        <v>69</v>
      </c>
      <c r="D311" s="466" t="s">
        <v>70</v>
      </c>
      <c r="E311" s="467" t="s">
        <v>10921</v>
      </c>
      <c r="F311" s="2125">
        <v>2</v>
      </c>
      <c r="G311" s="2127" t="s">
        <v>10923</v>
      </c>
      <c r="H311" s="2125"/>
      <c r="I311" s="466" t="s">
        <v>814</v>
      </c>
      <c r="J311" s="2125"/>
      <c r="K311" s="2128">
        <v>1814267</v>
      </c>
      <c r="L311" s="2125" t="s">
        <v>251</v>
      </c>
      <c r="M311" s="2124">
        <v>44602</v>
      </c>
      <c r="N311" s="2124">
        <v>44637</v>
      </c>
      <c r="O311" s="2125"/>
      <c r="P311" s="2136" t="s">
        <v>304</v>
      </c>
      <c r="Q311" s="2125"/>
      <c r="R311" s="2128"/>
      <c r="S311" s="2128"/>
      <c r="T311" s="2129"/>
      <c r="U311" s="2129"/>
      <c r="V311" s="2129"/>
      <c r="W311" s="2128"/>
      <c r="X311" s="2128"/>
      <c r="Y311" s="2125"/>
      <c r="Z311" s="2124">
        <v>44721</v>
      </c>
      <c r="AA311" s="2127" t="s">
        <v>11877</v>
      </c>
      <c r="AB311" s="2125"/>
      <c r="AC311" s="2125"/>
    </row>
    <row r="312" spans="1:32">
      <c r="A312" s="365">
        <v>44593</v>
      </c>
      <c r="B312" s="2659" t="s">
        <v>10920</v>
      </c>
      <c r="C312" s="2658" t="s">
        <v>69</v>
      </c>
      <c r="D312" s="2658" t="s">
        <v>70</v>
      </c>
      <c r="E312" s="175" t="s">
        <v>10921</v>
      </c>
      <c r="F312" s="2141">
        <v>3</v>
      </c>
      <c r="G312" s="2143" t="s">
        <v>10924</v>
      </c>
      <c r="H312" s="2141"/>
      <c r="I312" s="2658" t="s">
        <v>814</v>
      </c>
      <c r="J312" s="2141"/>
      <c r="K312" s="2144">
        <v>500760</v>
      </c>
      <c r="L312" s="2141" t="s">
        <v>251</v>
      </c>
      <c r="M312" s="2140">
        <v>44602</v>
      </c>
      <c r="N312" s="2140">
        <v>44637</v>
      </c>
      <c r="O312" s="2140">
        <v>44698</v>
      </c>
      <c r="P312" s="2143" t="s">
        <v>2548</v>
      </c>
      <c r="Q312" s="2141"/>
      <c r="R312" s="2144">
        <v>500758.42</v>
      </c>
      <c r="S312" s="2144">
        <v>550834.26</v>
      </c>
      <c r="T312" s="2145"/>
      <c r="U312" s="2145"/>
      <c r="V312" s="2145"/>
      <c r="W312" s="2146">
        <v>44698</v>
      </c>
      <c r="X312" s="2144" t="s">
        <v>11921</v>
      </c>
      <c r="Y312" s="2140">
        <v>44740</v>
      </c>
      <c r="Z312" s="2140">
        <v>44741</v>
      </c>
      <c r="AA312" s="2140">
        <v>45835</v>
      </c>
      <c r="AB312" s="2109" t="s">
        <v>12370</v>
      </c>
      <c r="AC312" s="2109">
        <v>2023</v>
      </c>
      <c r="AD312" s="388">
        <v>2024</v>
      </c>
      <c r="AE312" s="388" t="s">
        <v>9277</v>
      </c>
    </row>
    <row r="313" spans="1:32">
      <c r="A313" s="2140">
        <v>44593</v>
      </c>
      <c r="B313" s="2649" t="s">
        <v>10920</v>
      </c>
      <c r="C313" s="2648" t="s">
        <v>69</v>
      </c>
      <c r="D313" s="2648" t="s">
        <v>70</v>
      </c>
      <c r="E313" s="175" t="s">
        <v>10921</v>
      </c>
      <c r="F313" s="2141">
        <v>4</v>
      </c>
      <c r="G313" s="2143" t="s">
        <v>11878</v>
      </c>
      <c r="H313" s="2154"/>
      <c r="I313" s="2648" t="s">
        <v>814</v>
      </c>
      <c r="J313" s="2141"/>
      <c r="K313" s="2144">
        <v>353679</v>
      </c>
      <c r="L313" s="2141" t="s">
        <v>251</v>
      </c>
      <c r="M313" s="2140">
        <v>44602</v>
      </c>
      <c r="N313" s="2140">
        <v>44637</v>
      </c>
      <c r="O313" s="2140">
        <v>44698</v>
      </c>
      <c r="P313" s="2143" t="s">
        <v>16350</v>
      </c>
      <c r="Q313" s="2141"/>
      <c r="R313" s="2144">
        <v>353667.12</v>
      </c>
      <c r="S313" s="2144">
        <v>389033.83</v>
      </c>
      <c r="T313" s="2415"/>
      <c r="U313" s="2415"/>
      <c r="V313" s="2415"/>
      <c r="W313" s="2146">
        <v>44698</v>
      </c>
      <c r="X313" s="2144" t="s">
        <v>11922</v>
      </c>
      <c r="Y313" s="2140">
        <v>44729</v>
      </c>
      <c r="Z313" s="2140">
        <v>44741</v>
      </c>
      <c r="AA313" s="2140">
        <v>45824</v>
      </c>
      <c r="AB313" s="2109" t="s">
        <v>12257</v>
      </c>
      <c r="AC313" s="2109">
        <v>2023</v>
      </c>
      <c r="AD313" s="388">
        <v>2024</v>
      </c>
      <c r="AE313" s="388" t="s">
        <v>12258</v>
      </c>
    </row>
    <row r="314" spans="1:32" ht="15.75" thickBot="1">
      <c r="A314" s="498">
        <v>44593</v>
      </c>
      <c r="B314" s="669" t="s">
        <v>10920</v>
      </c>
      <c r="C314" s="232" t="s">
        <v>69</v>
      </c>
      <c r="D314" s="232" t="s">
        <v>70</v>
      </c>
      <c r="E314" s="274" t="s">
        <v>10921</v>
      </c>
      <c r="F314" s="411">
        <v>5</v>
      </c>
      <c r="G314" s="630" t="s">
        <v>10925</v>
      </c>
      <c r="H314" s="406"/>
      <c r="I314" s="232" t="s">
        <v>814</v>
      </c>
      <c r="J314" s="411"/>
      <c r="K314" s="417">
        <v>2873371</v>
      </c>
      <c r="L314" s="411" t="s">
        <v>251</v>
      </c>
      <c r="M314" s="416">
        <v>44602</v>
      </c>
      <c r="N314" s="416">
        <v>44637</v>
      </c>
      <c r="O314" s="416">
        <v>44698</v>
      </c>
      <c r="P314" s="630" t="s">
        <v>576</v>
      </c>
      <c r="Q314" s="411"/>
      <c r="R314" s="417">
        <v>863284.14</v>
      </c>
      <c r="S314" s="417">
        <v>949612.55</v>
      </c>
      <c r="T314" s="1478"/>
      <c r="U314" s="1478"/>
      <c r="V314" s="1478"/>
      <c r="W314" s="513">
        <v>44698</v>
      </c>
      <c r="X314" s="417" t="s">
        <v>11923</v>
      </c>
      <c r="Y314" s="416">
        <v>44732</v>
      </c>
      <c r="Z314" s="416">
        <v>44741</v>
      </c>
      <c r="AA314" s="416">
        <v>45827</v>
      </c>
      <c r="AB314" s="422" t="s">
        <v>12285</v>
      </c>
      <c r="AC314" s="422">
        <v>2023</v>
      </c>
      <c r="AD314" s="388">
        <v>2024</v>
      </c>
      <c r="AE314" s="388" t="s">
        <v>12287</v>
      </c>
    </row>
    <row r="315" spans="1:32" ht="15.75" thickTop="1">
      <c r="A315" s="474">
        <v>44593</v>
      </c>
      <c r="B315" s="1420" t="s">
        <v>10926</v>
      </c>
      <c r="C315" s="453" t="s">
        <v>69</v>
      </c>
      <c r="D315" s="453" t="s">
        <v>70</v>
      </c>
      <c r="E315" s="473" t="s">
        <v>10927</v>
      </c>
      <c r="F315" s="453">
        <v>1</v>
      </c>
      <c r="G315" s="1420" t="s">
        <v>10930</v>
      </c>
      <c r="H315" s="453"/>
      <c r="I315" s="453" t="s">
        <v>814</v>
      </c>
      <c r="J315" s="453"/>
      <c r="K315" s="457">
        <v>4183417</v>
      </c>
      <c r="L315" s="453" t="s">
        <v>251</v>
      </c>
      <c r="M315" s="474">
        <v>44608</v>
      </c>
      <c r="N315" s="474">
        <v>44643</v>
      </c>
      <c r="O315" s="474">
        <v>44663</v>
      </c>
      <c r="P315" s="1420" t="s">
        <v>576</v>
      </c>
      <c r="Q315" s="453"/>
      <c r="R315" s="457">
        <v>4163921.82</v>
      </c>
      <c r="S315" s="457">
        <v>4580314</v>
      </c>
      <c r="T315" s="1474"/>
      <c r="U315" s="1474"/>
      <c r="V315" s="1474"/>
      <c r="W315" s="570">
        <v>44663</v>
      </c>
      <c r="X315" s="457" t="s">
        <v>11560</v>
      </c>
      <c r="Y315" s="474">
        <v>44692</v>
      </c>
      <c r="Z315" s="474">
        <v>44698</v>
      </c>
      <c r="AA315" s="474">
        <v>45787</v>
      </c>
      <c r="AB315" s="1391" t="s">
        <v>11826</v>
      </c>
      <c r="AC315" s="1391">
        <v>2023</v>
      </c>
      <c r="AD315" s="388">
        <v>2024</v>
      </c>
      <c r="AE315" s="388" t="s">
        <v>11827</v>
      </c>
    </row>
    <row r="316" spans="1:32">
      <c r="A316" s="365">
        <v>44593</v>
      </c>
      <c r="B316" s="2143" t="s">
        <v>10926</v>
      </c>
      <c r="C316" s="2141" t="s">
        <v>69</v>
      </c>
      <c r="D316" s="2141" t="s">
        <v>70</v>
      </c>
      <c r="E316" s="2142" t="s">
        <v>10927</v>
      </c>
      <c r="F316" s="2141">
        <v>2</v>
      </c>
      <c r="G316" s="2143" t="s">
        <v>10931</v>
      </c>
      <c r="H316" s="2141"/>
      <c r="I316" s="2611" t="s">
        <v>814</v>
      </c>
      <c r="J316" s="2141"/>
      <c r="K316" s="2144">
        <v>9062645</v>
      </c>
      <c r="L316" s="2141" t="s">
        <v>251</v>
      </c>
      <c r="M316" s="2140">
        <v>44608</v>
      </c>
      <c r="N316" s="2140">
        <v>44643</v>
      </c>
      <c r="O316" s="2140">
        <v>44663</v>
      </c>
      <c r="P316" s="2143" t="s">
        <v>576</v>
      </c>
      <c r="Q316" s="2141"/>
      <c r="R316" s="2144">
        <v>6961450.6500000004</v>
      </c>
      <c r="S316" s="2144">
        <v>7657595.7199999997</v>
      </c>
      <c r="T316" s="2145"/>
      <c r="U316" s="2145"/>
      <c r="V316" s="2145"/>
      <c r="W316" s="2146">
        <v>44663</v>
      </c>
      <c r="X316" s="2144" t="s">
        <v>11561</v>
      </c>
      <c r="Y316" s="2140">
        <v>44692</v>
      </c>
      <c r="Z316" s="2140">
        <v>44698</v>
      </c>
      <c r="AA316" s="2140">
        <v>45787</v>
      </c>
      <c r="AB316" s="2109" t="s">
        <v>11826</v>
      </c>
      <c r="AC316" s="2109">
        <v>2023</v>
      </c>
      <c r="AD316" s="388">
        <v>2024</v>
      </c>
      <c r="AE316" s="388" t="s">
        <v>11827</v>
      </c>
    </row>
    <row r="317" spans="1:32">
      <c r="A317" s="2140">
        <v>44593</v>
      </c>
      <c r="B317" s="2143" t="s">
        <v>10926</v>
      </c>
      <c r="C317" s="2141" t="s">
        <v>69</v>
      </c>
      <c r="D317" s="2141" t="s">
        <v>70</v>
      </c>
      <c r="E317" s="2142" t="s">
        <v>10927</v>
      </c>
      <c r="F317" s="2141">
        <v>3</v>
      </c>
      <c r="G317" s="2143" t="s">
        <v>10928</v>
      </c>
      <c r="H317" s="2141"/>
      <c r="I317" s="2611" t="s">
        <v>814</v>
      </c>
      <c r="J317" s="2141"/>
      <c r="K317" s="2144">
        <v>6367668</v>
      </c>
      <c r="L317" s="2141" t="s">
        <v>251</v>
      </c>
      <c r="M317" s="2140">
        <v>44608</v>
      </c>
      <c r="N317" s="2140">
        <v>44643</v>
      </c>
      <c r="O317" s="2140">
        <v>44663</v>
      </c>
      <c r="P317" s="2143" t="s">
        <v>16352</v>
      </c>
      <c r="Q317" s="2141"/>
      <c r="R317" s="2144">
        <v>5707686</v>
      </c>
      <c r="S317" s="2144">
        <v>6278454.5999999996</v>
      </c>
      <c r="T317" s="2145"/>
      <c r="U317" s="2145"/>
      <c r="V317" s="2145"/>
      <c r="W317" s="2146">
        <v>44663</v>
      </c>
      <c r="X317" s="2144" t="s">
        <v>11562</v>
      </c>
      <c r="Y317" s="2140">
        <v>44686</v>
      </c>
      <c r="Z317" s="2140">
        <v>44698</v>
      </c>
      <c r="AA317" s="2140">
        <v>45781</v>
      </c>
      <c r="AB317" s="2109" t="s">
        <v>11749</v>
      </c>
      <c r="AC317" s="2109">
        <v>2023</v>
      </c>
      <c r="AD317" s="388">
        <v>2024</v>
      </c>
      <c r="AE317" s="388" t="s">
        <v>11750</v>
      </c>
    </row>
    <row r="318" spans="1:32" ht="15.75" thickBot="1">
      <c r="A318" s="675">
        <v>44593</v>
      </c>
      <c r="B318" s="2120" t="s">
        <v>10926</v>
      </c>
      <c r="C318" s="2118" t="s">
        <v>69</v>
      </c>
      <c r="D318" s="2118" t="s">
        <v>70</v>
      </c>
      <c r="E318" s="2119" t="s">
        <v>10927</v>
      </c>
      <c r="F318" s="2118">
        <v>4</v>
      </c>
      <c r="G318" s="2120" t="s">
        <v>10929</v>
      </c>
      <c r="H318" s="2118"/>
      <c r="I318" s="517" t="s">
        <v>814</v>
      </c>
      <c r="J318" s="2118"/>
      <c r="K318" s="2121">
        <v>784082</v>
      </c>
      <c r="L318" s="2118" t="s">
        <v>251</v>
      </c>
      <c r="M318" s="2117">
        <v>44608</v>
      </c>
      <c r="N318" s="2117">
        <v>44643</v>
      </c>
      <c r="O318" s="2117">
        <v>44663</v>
      </c>
      <c r="P318" s="2120" t="s">
        <v>576</v>
      </c>
      <c r="Q318" s="2118"/>
      <c r="R318" s="2121">
        <v>778073.79</v>
      </c>
      <c r="S318" s="2121">
        <v>855881.17</v>
      </c>
      <c r="T318" s="2122"/>
      <c r="U318" s="2122"/>
      <c r="V318" s="2122"/>
      <c r="W318" s="2123">
        <v>44663</v>
      </c>
      <c r="X318" s="2121" t="s">
        <v>11563</v>
      </c>
      <c r="Y318" s="2117">
        <v>44692</v>
      </c>
      <c r="Z318" s="2117">
        <v>44698</v>
      </c>
      <c r="AA318" s="2117">
        <v>45787</v>
      </c>
      <c r="AB318" s="2110" t="s">
        <v>11826</v>
      </c>
      <c r="AC318" s="2110">
        <v>2023</v>
      </c>
      <c r="AD318" s="388">
        <v>2024</v>
      </c>
      <c r="AE318" s="388" t="s">
        <v>11827</v>
      </c>
    </row>
    <row r="319" spans="1:32" ht="16.5" thickTop="1" thickBot="1">
      <c r="A319" s="498">
        <v>44601</v>
      </c>
      <c r="B319" s="669" t="s">
        <v>11038</v>
      </c>
      <c r="C319" s="232" t="s">
        <v>4295</v>
      </c>
      <c r="D319" s="232" t="s">
        <v>4296</v>
      </c>
      <c r="E319" s="2548" t="s">
        <v>11039</v>
      </c>
      <c r="F319" s="232"/>
      <c r="G319" s="669"/>
      <c r="H319" s="232"/>
      <c r="I319" s="232" t="s">
        <v>11040</v>
      </c>
      <c r="J319" s="232"/>
      <c r="K319" s="499">
        <v>960000</v>
      </c>
      <c r="L319" s="232" t="s">
        <v>112</v>
      </c>
      <c r="M319" s="498">
        <v>44606</v>
      </c>
      <c r="N319" s="498">
        <v>44610</v>
      </c>
      <c r="O319" s="498">
        <v>44613</v>
      </c>
      <c r="P319" s="669" t="s">
        <v>11119</v>
      </c>
      <c r="Q319" s="232"/>
      <c r="R319" s="499">
        <v>576000</v>
      </c>
      <c r="S319" s="499">
        <v>696960</v>
      </c>
      <c r="T319" s="1545"/>
      <c r="U319" s="1545"/>
      <c r="V319" s="1545"/>
      <c r="W319" s="682">
        <v>44613</v>
      </c>
      <c r="X319" s="499" t="s">
        <v>11118</v>
      </c>
      <c r="Y319" s="498">
        <v>44623</v>
      </c>
      <c r="Z319" s="232" t="s">
        <v>11259</v>
      </c>
      <c r="AA319" s="498">
        <v>46081</v>
      </c>
      <c r="AB319" s="1546" t="s">
        <v>11253</v>
      </c>
      <c r="AC319" s="1546">
        <v>2023</v>
      </c>
      <c r="AD319" s="388">
        <v>2024</v>
      </c>
      <c r="AE319" s="388">
        <v>2025</v>
      </c>
      <c r="AF319" s="388" t="s">
        <v>11254</v>
      </c>
    </row>
    <row r="320" spans="1:32" ht="15.75" thickTop="1">
      <c r="A320" s="474">
        <v>44594</v>
      </c>
      <c r="B320" s="1420" t="s">
        <v>10943</v>
      </c>
      <c r="C320" s="453" t="s">
        <v>69</v>
      </c>
      <c r="D320" s="453" t="s">
        <v>70</v>
      </c>
      <c r="E320" s="473" t="s">
        <v>10944</v>
      </c>
      <c r="F320" s="453">
        <v>1</v>
      </c>
      <c r="G320" s="1420" t="s">
        <v>10945</v>
      </c>
      <c r="H320" s="453"/>
      <c r="I320" s="453" t="s">
        <v>814</v>
      </c>
      <c r="J320" s="453"/>
      <c r="K320" s="457">
        <v>4184875</v>
      </c>
      <c r="L320" s="453" t="s">
        <v>251</v>
      </c>
      <c r="M320" s="474">
        <v>44609</v>
      </c>
      <c r="N320" s="474">
        <v>44644</v>
      </c>
      <c r="O320" s="474">
        <v>44663</v>
      </c>
      <c r="P320" s="1420" t="s">
        <v>2548</v>
      </c>
      <c r="Q320" s="453"/>
      <c r="R320" s="457">
        <v>4119162</v>
      </c>
      <c r="S320" s="457">
        <v>4531078.2</v>
      </c>
      <c r="T320" s="1474"/>
      <c r="U320" s="1474"/>
      <c r="V320" s="1474"/>
      <c r="W320" s="570">
        <v>44663</v>
      </c>
      <c r="X320" s="457" t="s">
        <v>11564</v>
      </c>
      <c r="Y320" s="474">
        <v>44706</v>
      </c>
      <c r="Z320" s="474">
        <v>44708</v>
      </c>
      <c r="AA320" s="474">
        <v>45801</v>
      </c>
      <c r="AB320" s="1391" t="s">
        <v>11970</v>
      </c>
      <c r="AC320" s="1391">
        <v>2023</v>
      </c>
      <c r="AD320" s="388">
        <v>2024</v>
      </c>
      <c r="AE320" s="388" t="s">
        <v>11971</v>
      </c>
    </row>
    <row r="321" spans="1:33" ht="15.75" thickBot="1">
      <c r="A321" s="2117">
        <v>44594</v>
      </c>
      <c r="B321" s="2120" t="s">
        <v>10943</v>
      </c>
      <c r="C321" s="2118" t="s">
        <v>69</v>
      </c>
      <c r="D321" s="2118" t="s">
        <v>70</v>
      </c>
      <c r="E321" s="672" t="s">
        <v>10944</v>
      </c>
      <c r="F321" s="2118">
        <v>2</v>
      </c>
      <c r="G321" s="2120" t="s">
        <v>10946</v>
      </c>
      <c r="H321" s="2118"/>
      <c r="I321" s="2118" t="s">
        <v>814</v>
      </c>
      <c r="J321" s="2118"/>
      <c r="K321" s="2121">
        <v>468380</v>
      </c>
      <c r="L321" s="2118" t="s">
        <v>251</v>
      </c>
      <c r="M321" s="2117">
        <v>44609</v>
      </c>
      <c r="N321" s="2117">
        <v>44644</v>
      </c>
      <c r="O321" s="2117">
        <v>44663</v>
      </c>
      <c r="P321" s="2120" t="s">
        <v>2548</v>
      </c>
      <c r="Q321" s="2118"/>
      <c r="R321" s="2121">
        <v>456544.5</v>
      </c>
      <c r="S321" s="2121">
        <v>502198.95</v>
      </c>
      <c r="T321" s="2122"/>
      <c r="U321" s="2122"/>
      <c r="V321" s="2122"/>
      <c r="W321" s="2123">
        <v>44663</v>
      </c>
      <c r="X321" s="2121" t="s">
        <v>11565</v>
      </c>
      <c r="Y321" s="2117">
        <v>44706</v>
      </c>
      <c r="Z321" s="2117">
        <v>44708</v>
      </c>
      <c r="AA321" s="2117">
        <v>45801</v>
      </c>
      <c r="AB321" s="2110" t="s">
        <v>11970</v>
      </c>
      <c r="AC321" s="2110">
        <v>2023</v>
      </c>
      <c r="AD321" s="388">
        <v>2024</v>
      </c>
      <c r="AE321" s="388" t="s">
        <v>11971</v>
      </c>
    </row>
    <row r="322" spans="1:33" ht="15.75" thickTop="1">
      <c r="A322" s="474">
        <v>44594</v>
      </c>
      <c r="B322" s="1420" t="s">
        <v>10947</v>
      </c>
      <c r="C322" s="453" t="s">
        <v>69</v>
      </c>
      <c r="D322" s="453" t="s">
        <v>70</v>
      </c>
      <c r="E322" s="473" t="s">
        <v>10953</v>
      </c>
      <c r="F322" s="453">
        <v>1</v>
      </c>
      <c r="G322" s="1420" t="s">
        <v>10948</v>
      </c>
      <c r="H322" s="453"/>
      <c r="I322" s="453" t="s">
        <v>814</v>
      </c>
      <c r="J322" s="453"/>
      <c r="K322" s="457">
        <v>6981718</v>
      </c>
      <c r="L322" s="453" t="s">
        <v>251</v>
      </c>
      <c r="M322" s="474">
        <v>44607</v>
      </c>
      <c r="N322" s="474">
        <v>44642</v>
      </c>
      <c r="O322" s="474">
        <v>44663</v>
      </c>
      <c r="P322" s="1420" t="s">
        <v>2548</v>
      </c>
      <c r="Q322" s="453"/>
      <c r="R322" s="457">
        <v>5335387.2</v>
      </c>
      <c r="S322" s="457">
        <v>5868925.9199999999</v>
      </c>
      <c r="T322" s="1474"/>
      <c r="U322" s="1474"/>
      <c r="V322" s="1474"/>
      <c r="W322" s="570">
        <v>44663</v>
      </c>
      <c r="X322" s="457" t="s">
        <v>11566</v>
      </c>
      <c r="Y322" s="474">
        <v>44698</v>
      </c>
      <c r="Z322" s="474">
        <v>44704</v>
      </c>
      <c r="AA322" s="474">
        <v>45793</v>
      </c>
      <c r="AB322" s="1391" t="s">
        <v>11902</v>
      </c>
      <c r="AC322" s="1391">
        <v>2023</v>
      </c>
      <c r="AD322" s="388">
        <v>2024</v>
      </c>
      <c r="AE322" s="388" t="s">
        <v>11930</v>
      </c>
    </row>
    <row r="323" spans="1:33">
      <c r="A323" s="2140">
        <v>44594</v>
      </c>
      <c r="B323" s="2143" t="s">
        <v>10947</v>
      </c>
      <c r="C323" s="2141" t="s">
        <v>69</v>
      </c>
      <c r="D323" s="2141" t="s">
        <v>70</v>
      </c>
      <c r="E323" s="175" t="s">
        <v>10953</v>
      </c>
      <c r="F323" s="2141">
        <v>2</v>
      </c>
      <c r="G323" s="2143" t="s">
        <v>10949</v>
      </c>
      <c r="H323" s="2141"/>
      <c r="I323" s="2141" t="s">
        <v>814</v>
      </c>
      <c r="J323" s="2141"/>
      <c r="K323" s="2144">
        <v>768499</v>
      </c>
      <c r="L323" s="2141" t="s">
        <v>251</v>
      </c>
      <c r="M323" s="2140">
        <v>44607</v>
      </c>
      <c r="N323" s="2140">
        <v>44642</v>
      </c>
      <c r="O323" s="2140">
        <v>44663</v>
      </c>
      <c r="P323" s="2143" t="s">
        <v>576</v>
      </c>
      <c r="Q323" s="2141"/>
      <c r="R323" s="2144">
        <v>725075.01</v>
      </c>
      <c r="S323" s="2144">
        <v>797582.51</v>
      </c>
      <c r="T323" s="2145"/>
      <c r="U323" s="2145"/>
      <c r="V323" s="2145"/>
      <c r="W323" s="2146">
        <v>44663</v>
      </c>
      <c r="X323" s="2144" t="s">
        <v>11567</v>
      </c>
      <c r="Y323" s="2140">
        <v>44692</v>
      </c>
      <c r="Z323" s="2140">
        <v>44704</v>
      </c>
      <c r="AA323" s="2140">
        <v>45787</v>
      </c>
      <c r="AB323" s="2109" t="s">
        <v>11826</v>
      </c>
      <c r="AC323" s="2109">
        <v>2023</v>
      </c>
      <c r="AD323" s="388">
        <v>2024</v>
      </c>
      <c r="AE323" s="388" t="s">
        <v>11827</v>
      </c>
    </row>
    <row r="324" spans="1:33">
      <c r="A324" s="2140">
        <v>44594</v>
      </c>
      <c r="B324" s="2143" t="s">
        <v>10947</v>
      </c>
      <c r="C324" s="2141" t="s">
        <v>69</v>
      </c>
      <c r="D324" s="2141" t="s">
        <v>70</v>
      </c>
      <c r="E324" s="175" t="s">
        <v>10953</v>
      </c>
      <c r="F324" s="2141">
        <v>3</v>
      </c>
      <c r="G324" s="2143" t="s">
        <v>10950</v>
      </c>
      <c r="H324" s="2141"/>
      <c r="I324" s="2141" t="s">
        <v>814</v>
      </c>
      <c r="J324" s="2141"/>
      <c r="K324" s="2144">
        <v>911721</v>
      </c>
      <c r="L324" s="2141" t="s">
        <v>251</v>
      </c>
      <c r="M324" s="2140">
        <v>44607</v>
      </c>
      <c r="N324" s="2140">
        <v>44642</v>
      </c>
      <c r="O324" s="2140">
        <v>44663</v>
      </c>
      <c r="P324" s="2143" t="s">
        <v>2548</v>
      </c>
      <c r="Q324" s="2141"/>
      <c r="R324" s="2144">
        <v>760505.4</v>
      </c>
      <c r="S324" s="2144">
        <v>836555.94</v>
      </c>
      <c r="T324" s="2145"/>
      <c r="U324" s="2145"/>
      <c r="V324" s="2145"/>
      <c r="W324" s="2146">
        <v>44663</v>
      </c>
      <c r="X324" s="2144" t="s">
        <v>11568</v>
      </c>
      <c r="Y324" s="2140">
        <v>44698</v>
      </c>
      <c r="Z324" s="2140">
        <v>44704</v>
      </c>
      <c r="AA324" s="2140">
        <v>45793</v>
      </c>
      <c r="AB324" s="2109" t="s">
        <v>11902</v>
      </c>
      <c r="AC324" s="2109">
        <v>2023</v>
      </c>
      <c r="AD324" s="388">
        <v>2024</v>
      </c>
      <c r="AE324" s="388" t="s">
        <v>11930</v>
      </c>
    </row>
    <row r="325" spans="1:33">
      <c r="A325" s="2140">
        <v>44594</v>
      </c>
      <c r="B325" s="2143" t="s">
        <v>10947</v>
      </c>
      <c r="C325" s="2141" t="s">
        <v>69</v>
      </c>
      <c r="D325" s="2141" t="s">
        <v>70</v>
      </c>
      <c r="E325" s="175" t="s">
        <v>10953</v>
      </c>
      <c r="F325" s="2141">
        <v>4</v>
      </c>
      <c r="G325" s="2143" t="s">
        <v>10951</v>
      </c>
      <c r="H325" s="2141"/>
      <c r="I325" s="2141" t="s">
        <v>814</v>
      </c>
      <c r="J325" s="2141"/>
      <c r="K325" s="2144">
        <v>437355</v>
      </c>
      <c r="L325" s="2141" t="s">
        <v>251</v>
      </c>
      <c r="M325" s="2140">
        <v>44607</v>
      </c>
      <c r="N325" s="2140">
        <v>44642</v>
      </c>
      <c r="O325" s="2140">
        <v>44663</v>
      </c>
      <c r="P325" s="2143" t="s">
        <v>2548</v>
      </c>
      <c r="Q325" s="2141"/>
      <c r="R325" s="2144">
        <v>391230</v>
      </c>
      <c r="S325" s="2144">
        <v>430353</v>
      </c>
      <c r="T325" s="2145"/>
      <c r="U325" s="2145"/>
      <c r="V325" s="2145"/>
      <c r="W325" s="2146">
        <v>44663</v>
      </c>
      <c r="X325" s="2144" t="s">
        <v>11569</v>
      </c>
      <c r="Y325" s="2140">
        <v>44698</v>
      </c>
      <c r="Z325" s="2140">
        <v>44704</v>
      </c>
      <c r="AA325" s="2140">
        <v>45793</v>
      </c>
      <c r="AB325" s="2109" t="s">
        <v>11902</v>
      </c>
      <c r="AC325" s="2109">
        <v>2023</v>
      </c>
      <c r="AD325" s="388">
        <v>2024</v>
      </c>
      <c r="AE325" s="388" t="s">
        <v>11930</v>
      </c>
    </row>
    <row r="326" spans="1:33" ht="15.75" thickBot="1">
      <c r="A326" s="2117">
        <v>44594</v>
      </c>
      <c r="B326" s="2120" t="s">
        <v>10947</v>
      </c>
      <c r="C326" s="2118" t="s">
        <v>69</v>
      </c>
      <c r="D326" s="2118" t="s">
        <v>70</v>
      </c>
      <c r="E326" s="672" t="s">
        <v>10953</v>
      </c>
      <c r="F326" s="2118">
        <v>5</v>
      </c>
      <c r="G326" s="2120" t="s">
        <v>10952</v>
      </c>
      <c r="H326" s="2118"/>
      <c r="I326" s="2118" t="s">
        <v>814</v>
      </c>
      <c r="J326" s="2118"/>
      <c r="K326" s="2121">
        <v>531890</v>
      </c>
      <c r="L326" s="2118" t="s">
        <v>251</v>
      </c>
      <c r="M326" s="2117">
        <v>44607</v>
      </c>
      <c r="N326" s="2117">
        <v>44642</v>
      </c>
      <c r="O326" s="2117">
        <v>44663</v>
      </c>
      <c r="P326" s="2120" t="s">
        <v>1646</v>
      </c>
      <c r="Q326" s="2118"/>
      <c r="R326" s="2121">
        <v>354072.6</v>
      </c>
      <c r="S326" s="2121">
        <v>389479.86</v>
      </c>
      <c r="T326" s="2122"/>
      <c r="U326" s="2122"/>
      <c r="V326" s="2122"/>
      <c r="W326" s="2123">
        <v>44663</v>
      </c>
      <c r="X326" s="2121" t="s">
        <v>11570</v>
      </c>
      <c r="Y326" s="2117">
        <v>44686</v>
      </c>
      <c r="Z326" s="2117">
        <v>44704</v>
      </c>
      <c r="AA326" s="2117">
        <v>45781</v>
      </c>
      <c r="AB326" s="2110" t="s">
        <v>11749</v>
      </c>
      <c r="AC326" s="2110">
        <v>2023</v>
      </c>
      <c r="AD326" s="388">
        <v>2024</v>
      </c>
      <c r="AE326" s="388" t="s">
        <v>11750</v>
      </c>
    </row>
    <row r="327" spans="1:33" ht="15.75" thickTop="1">
      <c r="A327" s="474">
        <v>44594</v>
      </c>
      <c r="B327" s="1420" t="s">
        <v>10954</v>
      </c>
      <c r="C327" s="453" t="s">
        <v>69</v>
      </c>
      <c r="D327" s="453" t="s">
        <v>70</v>
      </c>
      <c r="E327" s="473" t="s">
        <v>10955</v>
      </c>
      <c r="F327" s="453">
        <v>1</v>
      </c>
      <c r="G327" s="1420" t="s">
        <v>10956</v>
      </c>
      <c r="H327" s="453"/>
      <c r="I327" s="453" t="s">
        <v>814</v>
      </c>
      <c r="J327" s="453"/>
      <c r="K327" s="2619">
        <v>791607</v>
      </c>
      <c r="L327" s="453" t="s">
        <v>251</v>
      </c>
      <c r="M327" s="474">
        <v>44614</v>
      </c>
      <c r="N327" s="474">
        <v>44648</v>
      </c>
      <c r="O327" s="474">
        <v>44665</v>
      </c>
      <c r="P327" s="1420" t="s">
        <v>16352</v>
      </c>
      <c r="Q327" s="453"/>
      <c r="R327" s="457">
        <v>757650</v>
      </c>
      <c r="S327" s="457">
        <v>833415</v>
      </c>
      <c r="T327" s="1474"/>
      <c r="U327" s="1474"/>
      <c r="V327" s="1474"/>
      <c r="W327" s="570">
        <v>44665</v>
      </c>
      <c r="X327" s="457" t="s">
        <v>11580</v>
      </c>
      <c r="Y327" s="474">
        <v>44697</v>
      </c>
      <c r="Z327" s="474">
        <v>44704</v>
      </c>
      <c r="AA327" s="474">
        <v>45792</v>
      </c>
      <c r="AB327" s="1391" t="s">
        <v>11883</v>
      </c>
      <c r="AC327" s="1391">
        <v>2023</v>
      </c>
      <c r="AD327" s="388">
        <v>2024</v>
      </c>
      <c r="AE327" s="388" t="s">
        <v>11886</v>
      </c>
    </row>
    <row r="328" spans="1:33">
      <c r="A328" s="2140">
        <v>44594</v>
      </c>
      <c r="B328" s="2143" t="s">
        <v>10954</v>
      </c>
      <c r="C328" s="2141" t="s">
        <v>69</v>
      </c>
      <c r="D328" s="2141" t="s">
        <v>70</v>
      </c>
      <c r="E328" s="175" t="s">
        <v>10955</v>
      </c>
      <c r="F328" s="2141">
        <v>2</v>
      </c>
      <c r="G328" s="2143" t="s">
        <v>10957</v>
      </c>
      <c r="H328" s="2141"/>
      <c r="I328" s="2141" t="s">
        <v>814</v>
      </c>
      <c r="J328" s="2141"/>
      <c r="K328" s="2144">
        <v>1122434</v>
      </c>
      <c r="L328" s="2141" t="s">
        <v>251</v>
      </c>
      <c r="M328" s="2140">
        <v>44614</v>
      </c>
      <c r="N328" s="2140">
        <v>44648</v>
      </c>
      <c r="O328" s="2140">
        <v>44665</v>
      </c>
      <c r="P328" s="2143" t="s">
        <v>16350</v>
      </c>
      <c r="Q328" s="2141"/>
      <c r="R328" s="2144">
        <v>710110.8</v>
      </c>
      <c r="S328" s="2144">
        <v>781121.88</v>
      </c>
      <c r="T328" s="2145"/>
      <c r="U328" s="2145"/>
      <c r="V328" s="2145"/>
      <c r="W328" s="2146">
        <v>44665</v>
      </c>
      <c r="X328" s="2144" t="s">
        <v>11581</v>
      </c>
      <c r="Y328" s="2140">
        <v>44697</v>
      </c>
      <c r="Z328" s="2140">
        <v>44704</v>
      </c>
      <c r="AA328" s="2140">
        <v>45792</v>
      </c>
      <c r="AB328" s="2109" t="s">
        <v>11883</v>
      </c>
      <c r="AC328" s="2109">
        <v>2023</v>
      </c>
      <c r="AD328" s="388">
        <v>2024</v>
      </c>
      <c r="AE328" s="388" t="s">
        <v>11886</v>
      </c>
    </row>
    <row r="329" spans="1:33">
      <c r="A329" s="2140">
        <v>44594</v>
      </c>
      <c r="B329" s="2143" t="s">
        <v>10954</v>
      </c>
      <c r="C329" s="2141" t="s">
        <v>69</v>
      </c>
      <c r="D329" s="2141" t="s">
        <v>70</v>
      </c>
      <c r="E329" s="175" t="s">
        <v>10955</v>
      </c>
      <c r="F329" s="2141">
        <v>3</v>
      </c>
      <c r="G329" s="2143" t="s">
        <v>10958</v>
      </c>
      <c r="H329" s="2141"/>
      <c r="I329" s="2141" t="s">
        <v>814</v>
      </c>
      <c r="J329" s="2141"/>
      <c r="K329" s="2144">
        <v>574179</v>
      </c>
      <c r="L329" s="2141" t="s">
        <v>251</v>
      </c>
      <c r="M329" s="2140">
        <v>44614</v>
      </c>
      <c r="N329" s="2140">
        <v>44648</v>
      </c>
      <c r="O329" s="2140">
        <v>44665</v>
      </c>
      <c r="P329" s="2143" t="s">
        <v>2548</v>
      </c>
      <c r="Q329" s="2141"/>
      <c r="R329" s="2144">
        <v>567477</v>
      </c>
      <c r="S329" s="2144">
        <v>624224.69999999995</v>
      </c>
      <c r="T329" s="2145"/>
      <c r="U329" s="2145"/>
      <c r="V329" s="2145"/>
      <c r="W329" s="2146">
        <v>44665</v>
      </c>
      <c r="X329" s="2144" t="s">
        <v>11582</v>
      </c>
      <c r="Y329" s="2140">
        <v>44698</v>
      </c>
      <c r="Z329" s="2140">
        <v>44704</v>
      </c>
      <c r="AA329" s="2140">
        <v>45793</v>
      </c>
      <c r="AB329" s="2109" t="s">
        <v>11902</v>
      </c>
      <c r="AC329" s="2109">
        <v>2023</v>
      </c>
      <c r="AD329" s="388">
        <v>2024</v>
      </c>
      <c r="AE329" s="388" t="s">
        <v>11930</v>
      </c>
    </row>
    <row r="330" spans="1:33">
      <c r="A330" s="2124">
        <v>44594</v>
      </c>
      <c r="B330" s="2127" t="s">
        <v>10954</v>
      </c>
      <c r="C330" s="2125" t="s">
        <v>69</v>
      </c>
      <c r="D330" s="2125" t="s">
        <v>70</v>
      </c>
      <c r="E330" s="467" t="s">
        <v>10955</v>
      </c>
      <c r="F330" s="2125">
        <v>4</v>
      </c>
      <c r="G330" s="2127" t="s">
        <v>10959</v>
      </c>
      <c r="H330" s="2125"/>
      <c r="I330" s="2125" t="s">
        <v>814</v>
      </c>
      <c r="J330" s="2125"/>
      <c r="K330" s="2128">
        <v>705022</v>
      </c>
      <c r="L330" s="2125" t="s">
        <v>251</v>
      </c>
      <c r="M330" s="2124">
        <v>44614</v>
      </c>
      <c r="N330" s="2124">
        <v>44648</v>
      </c>
      <c r="O330" s="2125"/>
      <c r="P330" s="2136" t="s">
        <v>304</v>
      </c>
      <c r="Q330" s="2125"/>
      <c r="R330" s="2128"/>
      <c r="S330" s="2128"/>
      <c r="T330" s="2129"/>
      <c r="U330" s="2129"/>
      <c r="V330" s="2129"/>
      <c r="W330" s="2128"/>
      <c r="X330" s="2128"/>
      <c r="Y330" s="2125"/>
      <c r="Z330" s="2124">
        <v>44673</v>
      </c>
      <c r="AA330" s="2127" t="s">
        <v>11513</v>
      </c>
      <c r="AB330" s="2125"/>
      <c r="AC330" s="2125"/>
    </row>
    <row r="331" spans="1:33" ht="15.75" thickBot="1">
      <c r="A331" s="2117">
        <v>44594</v>
      </c>
      <c r="B331" s="2120" t="s">
        <v>10954</v>
      </c>
      <c r="C331" s="2118" t="s">
        <v>69</v>
      </c>
      <c r="D331" s="2118" t="s">
        <v>70</v>
      </c>
      <c r="E331" s="672" t="s">
        <v>10955</v>
      </c>
      <c r="F331" s="2118">
        <v>5</v>
      </c>
      <c r="G331" s="2120" t="s">
        <v>10960</v>
      </c>
      <c r="H331" s="2118"/>
      <c r="I331" s="2118" t="s">
        <v>814</v>
      </c>
      <c r="J331" s="2118"/>
      <c r="K331" s="2121">
        <v>1450226</v>
      </c>
      <c r="L331" s="2118" t="s">
        <v>251</v>
      </c>
      <c r="M331" s="2117">
        <v>44614</v>
      </c>
      <c r="N331" s="2117">
        <v>44648</v>
      </c>
      <c r="O331" s="2117">
        <v>44665</v>
      </c>
      <c r="P331" s="2120" t="s">
        <v>993</v>
      </c>
      <c r="Q331" s="2118"/>
      <c r="R331" s="2121">
        <v>1092114</v>
      </c>
      <c r="S331" s="2121">
        <v>1201325.3999999999</v>
      </c>
      <c r="T331" s="2122"/>
      <c r="U331" s="2122"/>
      <c r="V331" s="2122"/>
      <c r="W331" s="2123">
        <v>44665</v>
      </c>
      <c r="X331" s="2121" t="s">
        <v>11583</v>
      </c>
      <c r="Y331" s="2117">
        <v>44697</v>
      </c>
      <c r="Z331" s="2117">
        <v>44704</v>
      </c>
      <c r="AA331" s="2117">
        <v>45792</v>
      </c>
      <c r="AB331" s="2110" t="s">
        <v>11883</v>
      </c>
      <c r="AC331" s="2110">
        <v>2023</v>
      </c>
      <c r="AD331" s="388">
        <v>2024</v>
      </c>
      <c r="AE331" s="388" t="s">
        <v>11886</v>
      </c>
    </row>
    <row r="332" spans="1:33" ht="15.75" thickTop="1">
      <c r="A332" s="443">
        <v>44594</v>
      </c>
      <c r="B332" s="1431" t="s">
        <v>10961</v>
      </c>
      <c r="C332" s="439" t="s">
        <v>69</v>
      </c>
      <c r="D332" s="439" t="s">
        <v>70</v>
      </c>
      <c r="E332" s="440" t="s">
        <v>10962</v>
      </c>
      <c r="F332" s="439">
        <v>1</v>
      </c>
      <c r="G332" s="1431" t="s">
        <v>10963</v>
      </c>
      <c r="H332" s="439"/>
      <c r="I332" s="439" t="s">
        <v>814</v>
      </c>
      <c r="J332" s="439"/>
      <c r="K332" s="444">
        <v>267000</v>
      </c>
      <c r="L332" s="439" t="s">
        <v>251</v>
      </c>
      <c r="M332" s="443">
        <v>44617</v>
      </c>
      <c r="N332" s="443">
        <v>44651</v>
      </c>
      <c r="O332" s="439"/>
      <c r="P332" s="753" t="s">
        <v>304</v>
      </c>
      <c r="Q332" s="439"/>
      <c r="R332" s="444"/>
      <c r="S332" s="444"/>
      <c r="T332" s="1481"/>
      <c r="U332" s="1481"/>
      <c r="V332" s="1481"/>
      <c r="W332" s="444"/>
      <c r="X332" s="444"/>
      <c r="Y332" s="439"/>
      <c r="Z332" s="443">
        <v>44719</v>
      </c>
      <c r="AA332" s="1431" t="s">
        <v>11803</v>
      </c>
      <c r="AB332" s="439"/>
      <c r="AC332" s="439"/>
    </row>
    <row r="333" spans="1:33">
      <c r="A333" s="2140">
        <v>44594</v>
      </c>
      <c r="B333" s="2143" t="s">
        <v>10961</v>
      </c>
      <c r="C333" s="2141" t="s">
        <v>69</v>
      </c>
      <c r="D333" s="2141" t="s">
        <v>70</v>
      </c>
      <c r="E333" s="175" t="s">
        <v>10962</v>
      </c>
      <c r="F333" s="2141">
        <v>2</v>
      </c>
      <c r="G333" s="2143" t="s">
        <v>10964</v>
      </c>
      <c r="H333" s="2141"/>
      <c r="I333" s="2141" t="s">
        <v>814</v>
      </c>
      <c r="J333" s="2141"/>
      <c r="K333" s="2144">
        <v>130078</v>
      </c>
      <c r="L333" s="2141" t="s">
        <v>251</v>
      </c>
      <c r="M333" s="2140">
        <v>44617</v>
      </c>
      <c r="N333" s="2140">
        <v>44651</v>
      </c>
      <c r="O333" s="2778">
        <v>44845</v>
      </c>
      <c r="P333" s="2143" t="s">
        <v>576</v>
      </c>
      <c r="Q333" s="2141"/>
      <c r="R333" s="2144">
        <v>129950.64</v>
      </c>
      <c r="S333" s="2144">
        <v>142945.70000000001</v>
      </c>
      <c r="T333" s="2145"/>
      <c r="U333" s="2145"/>
      <c r="V333" s="2145"/>
      <c r="W333" s="2146">
        <v>44845</v>
      </c>
      <c r="X333" s="2144" t="s">
        <v>13262</v>
      </c>
      <c r="Y333" s="2140">
        <v>44875</v>
      </c>
      <c r="Z333" s="2140">
        <v>44879</v>
      </c>
      <c r="AA333" s="2140">
        <v>45970</v>
      </c>
      <c r="AB333" s="2109" t="s">
        <v>13521</v>
      </c>
      <c r="AC333" s="2109">
        <v>2023</v>
      </c>
      <c r="AD333" s="388">
        <v>2024</v>
      </c>
      <c r="AE333" s="388" t="s">
        <v>13522</v>
      </c>
    </row>
    <row r="334" spans="1:33">
      <c r="A334" s="2140">
        <v>44594</v>
      </c>
      <c r="B334" s="2143" t="s">
        <v>10961</v>
      </c>
      <c r="C334" s="2141" t="s">
        <v>69</v>
      </c>
      <c r="D334" s="2141" t="s">
        <v>70</v>
      </c>
      <c r="E334" s="175" t="s">
        <v>10962</v>
      </c>
      <c r="F334" s="2141">
        <v>3</v>
      </c>
      <c r="G334" s="2143" t="s">
        <v>10965</v>
      </c>
      <c r="H334" s="2141"/>
      <c r="I334" s="2141" t="s">
        <v>10969</v>
      </c>
      <c r="J334" s="2141"/>
      <c r="K334" s="2144">
        <v>325289</v>
      </c>
      <c r="L334" s="2141" t="s">
        <v>251</v>
      </c>
      <c r="M334" s="2140">
        <v>44617</v>
      </c>
      <c r="N334" s="2140">
        <v>44651</v>
      </c>
      <c r="O334" s="2140">
        <v>44692</v>
      </c>
      <c r="P334" s="2143" t="s">
        <v>16350</v>
      </c>
      <c r="Q334" s="2141"/>
      <c r="R334" s="2144">
        <v>260729.19</v>
      </c>
      <c r="S334" s="2144">
        <v>286802.11</v>
      </c>
      <c r="T334" s="2145"/>
      <c r="U334" s="2145"/>
      <c r="V334" s="2145"/>
      <c r="W334" s="2146">
        <v>44692</v>
      </c>
      <c r="X334" s="2144" t="s">
        <v>11813</v>
      </c>
      <c r="Y334" s="2140">
        <v>44712</v>
      </c>
      <c r="Z334" s="2140">
        <v>44719</v>
      </c>
      <c r="AA334" s="2140">
        <v>45807</v>
      </c>
      <c r="AB334" s="2109" t="s">
        <v>12001</v>
      </c>
      <c r="AC334" s="2109">
        <v>2023</v>
      </c>
      <c r="AD334" s="388">
        <v>2024</v>
      </c>
      <c r="AE334" s="388" t="s">
        <v>12002</v>
      </c>
    </row>
    <row r="335" spans="1:33">
      <c r="A335" s="2140">
        <v>44594</v>
      </c>
      <c r="B335" s="2143" t="s">
        <v>10961</v>
      </c>
      <c r="C335" s="2141" t="s">
        <v>69</v>
      </c>
      <c r="D335" s="2141" t="s">
        <v>70</v>
      </c>
      <c r="E335" s="175" t="s">
        <v>10962</v>
      </c>
      <c r="F335" s="2141">
        <v>4</v>
      </c>
      <c r="G335" s="2143" t="s">
        <v>10966</v>
      </c>
      <c r="H335" s="2141"/>
      <c r="I335" s="2141" t="s">
        <v>10969</v>
      </c>
      <c r="J335" s="2141"/>
      <c r="K335" s="2144">
        <v>833506</v>
      </c>
      <c r="L335" s="2141" t="s">
        <v>251</v>
      </c>
      <c r="M335" s="2140">
        <v>44617</v>
      </c>
      <c r="N335" s="2140">
        <v>44651</v>
      </c>
      <c r="O335" s="2140">
        <v>44844</v>
      </c>
      <c r="P335" s="2143" t="s">
        <v>1646</v>
      </c>
      <c r="Q335" s="2141"/>
      <c r="R335" s="2144">
        <v>791657.04</v>
      </c>
      <c r="S335" s="2144">
        <v>870822.74</v>
      </c>
      <c r="T335" s="2145"/>
      <c r="U335" s="2145"/>
      <c r="V335" s="2145"/>
      <c r="W335" s="2146">
        <v>44845</v>
      </c>
      <c r="X335" s="2144" t="s">
        <v>13783</v>
      </c>
      <c r="Y335" s="2140">
        <v>44914</v>
      </c>
      <c r="Z335" s="2140">
        <v>44755</v>
      </c>
      <c r="AA335" s="2140">
        <v>45835</v>
      </c>
      <c r="AB335" s="2109" t="s">
        <v>12370</v>
      </c>
      <c r="AC335" s="2109">
        <v>2023</v>
      </c>
      <c r="AD335" s="388">
        <v>2024</v>
      </c>
      <c r="AE335" s="388" t="s">
        <v>9277</v>
      </c>
      <c r="AF335" s="1166" t="s">
        <v>12690</v>
      </c>
      <c r="AG335" s="1166" t="s">
        <v>13263</v>
      </c>
    </row>
    <row r="336" spans="1:33">
      <c r="A336" s="2140">
        <v>44594</v>
      </c>
      <c r="B336" s="2143" t="s">
        <v>10961</v>
      </c>
      <c r="C336" s="2141" t="s">
        <v>69</v>
      </c>
      <c r="D336" s="2141" t="s">
        <v>70</v>
      </c>
      <c r="E336" s="175" t="s">
        <v>10962</v>
      </c>
      <c r="F336" s="2141">
        <v>5</v>
      </c>
      <c r="G336" s="2143" t="s">
        <v>10967</v>
      </c>
      <c r="H336" s="2141"/>
      <c r="I336" s="2141" t="s">
        <v>10969</v>
      </c>
      <c r="J336" s="2141"/>
      <c r="K336" s="2144">
        <v>66074</v>
      </c>
      <c r="L336" s="2141" t="s">
        <v>251</v>
      </c>
      <c r="M336" s="2140">
        <v>44617</v>
      </c>
      <c r="N336" s="2140">
        <v>44651</v>
      </c>
      <c r="O336" s="2140">
        <v>44692</v>
      </c>
      <c r="P336" s="2143" t="s">
        <v>576</v>
      </c>
      <c r="Q336" s="2141"/>
      <c r="R336" s="2144">
        <v>35193.33</v>
      </c>
      <c r="S336" s="2144">
        <v>38712.660000000003</v>
      </c>
      <c r="T336" s="2145"/>
      <c r="U336" s="2145"/>
      <c r="V336" s="2145"/>
      <c r="W336" s="2146">
        <v>44692</v>
      </c>
      <c r="X336" s="2144" t="s">
        <v>11814</v>
      </c>
      <c r="Y336" s="2140">
        <v>44718</v>
      </c>
      <c r="Z336" s="2140">
        <v>44719</v>
      </c>
      <c r="AA336" s="2140">
        <v>45813</v>
      </c>
      <c r="AB336" s="2109" t="s">
        <v>12062</v>
      </c>
      <c r="AC336" s="2109">
        <v>2023</v>
      </c>
      <c r="AD336" s="388">
        <v>2024</v>
      </c>
      <c r="AE336" s="388" t="s">
        <v>12063</v>
      </c>
    </row>
    <row r="337" spans="1:34" ht="15.75" thickBot="1">
      <c r="A337" s="2117">
        <v>44594</v>
      </c>
      <c r="B337" s="2120" t="s">
        <v>10961</v>
      </c>
      <c r="C337" s="2118" t="s">
        <v>69</v>
      </c>
      <c r="D337" s="2118" t="s">
        <v>70</v>
      </c>
      <c r="E337" s="672" t="s">
        <v>10962</v>
      </c>
      <c r="F337" s="2118">
        <v>6</v>
      </c>
      <c r="G337" s="2120" t="s">
        <v>10968</v>
      </c>
      <c r="H337" s="2118"/>
      <c r="I337" s="2118" t="s">
        <v>10969</v>
      </c>
      <c r="J337" s="2118"/>
      <c r="K337" s="2121">
        <v>589788</v>
      </c>
      <c r="L337" s="2118" t="s">
        <v>251</v>
      </c>
      <c r="M337" s="2117">
        <v>44617</v>
      </c>
      <c r="N337" s="2117">
        <v>44651</v>
      </c>
      <c r="O337" s="2117">
        <v>44692</v>
      </c>
      <c r="P337" s="2120" t="s">
        <v>16350</v>
      </c>
      <c r="Q337" s="2118"/>
      <c r="R337" s="2121">
        <v>320040</v>
      </c>
      <c r="S337" s="2121">
        <v>352044</v>
      </c>
      <c r="T337" s="2122"/>
      <c r="U337" s="2122"/>
      <c r="V337" s="2122"/>
      <c r="W337" s="2123">
        <v>44692</v>
      </c>
      <c r="X337" s="2121" t="s">
        <v>11815</v>
      </c>
      <c r="Y337" s="2117">
        <v>44712</v>
      </c>
      <c r="Z337" s="2117">
        <v>44719</v>
      </c>
      <c r="AA337" s="2117">
        <v>45807</v>
      </c>
      <c r="AB337" s="2110" t="s">
        <v>12001</v>
      </c>
      <c r="AC337" s="2110">
        <v>2023</v>
      </c>
      <c r="AD337" s="388">
        <v>2024</v>
      </c>
      <c r="AE337" s="388" t="s">
        <v>12002</v>
      </c>
    </row>
    <row r="338" spans="1:34" ht="15.75" thickTop="1">
      <c r="A338" s="365">
        <v>44593</v>
      </c>
      <c r="B338" s="2646" t="s">
        <v>10981</v>
      </c>
      <c r="C338" s="2587" t="s">
        <v>1032</v>
      </c>
      <c r="D338" s="2587" t="s">
        <v>361</v>
      </c>
      <c r="E338" s="175" t="s">
        <v>10982</v>
      </c>
      <c r="F338" s="2587"/>
      <c r="G338" s="2588"/>
      <c r="H338" s="576"/>
      <c r="I338" s="2587" t="s">
        <v>10983</v>
      </c>
      <c r="J338" s="2587"/>
      <c r="K338" s="364">
        <v>1100000</v>
      </c>
      <c r="L338" s="2587" t="s">
        <v>112</v>
      </c>
      <c r="M338" s="365">
        <v>44599</v>
      </c>
      <c r="N338" s="365">
        <v>44607</v>
      </c>
      <c r="O338" s="365">
        <v>44635</v>
      </c>
      <c r="P338" s="2588" t="s">
        <v>5070</v>
      </c>
      <c r="Q338" s="2587"/>
      <c r="R338" s="364">
        <v>1778896</v>
      </c>
      <c r="S338" s="364">
        <v>2152464.16</v>
      </c>
      <c r="T338" s="1489"/>
      <c r="U338" s="1489"/>
      <c r="V338" s="1489"/>
      <c r="W338" s="681">
        <v>44635</v>
      </c>
      <c r="X338" s="364" t="s">
        <v>11339</v>
      </c>
      <c r="Y338" s="365">
        <v>44670</v>
      </c>
      <c r="Z338" s="365">
        <v>44678</v>
      </c>
      <c r="AA338" s="2587"/>
      <c r="AB338" s="365">
        <v>44795</v>
      </c>
      <c r="AC338" s="1513"/>
    </row>
    <row r="339" spans="1:34">
      <c r="A339" s="2140">
        <v>44593</v>
      </c>
      <c r="B339" s="2143" t="s">
        <v>10984</v>
      </c>
      <c r="C339" s="2141" t="s">
        <v>1032</v>
      </c>
      <c r="D339" s="2141" t="s">
        <v>361</v>
      </c>
      <c r="E339" s="2142" t="s">
        <v>9484</v>
      </c>
      <c r="F339" s="2141"/>
      <c r="G339" s="2143"/>
      <c r="H339" s="2141"/>
      <c r="I339" s="2141" t="s">
        <v>498</v>
      </c>
      <c r="J339" s="2141"/>
      <c r="K339" s="2144">
        <v>5500000</v>
      </c>
      <c r="L339" s="2141" t="s">
        <v>112</v>
      </c>
      <c r="M339" s="2140">
        <v>44601</v>
      </c>
      <c r="N339" s="2140">
        <v>44610</v>
      </c>
      <c r="O339" s="2140">
        <v>44629</v>
      </c>
      <c r="P339" s="2143" t="s">
        <v>11157</v>
      </c>
      <c r="Q339" s="2141"/>
      <c r="R339" s="2144">
        <v>5014731.13</v>
      </c>
      <c r="S339" s="2144">
        <v>6067824.6699999999</v>
      </c>
      <c r="T339" s="2145"/>
      <c r="U339" s="2145"/>
      <c r="V339" s="2145"/>
      <c r="W339" s="2146">
        <v>44629</v>
      </c>
      <c r="X339" s="2144" t="s">
        <v>11296</v>
      </c>
      <c r="Y339" s="2140">
        <v>44643</v>
      </c>
      <c r="Z339" s="2140">
        <v>44644</v>
      </c>
      <c r="AA339" s="2141"/>
      <c r="AB339" s="2140">
        <v>44861</v>
      </c>
      <c r="AC339" s="2106" t="s">
        <v>13238</v>
      </c>
      <c r="AD339" s="2705">
        <v>5195613.13</v>
      </c>
    </row>
    <row r="340" spans="1:34">
      <c r="A340" s="2140">
        <v>44595</v>
      </c>
      <c r="B340" s="2143" t="s">
        <v>10987</v>
      </c>
      <c r="C340" s="2141" t="s">
        <v>4997</v>
      </c>
      <c r="D340" s="2141" t="s">
        <v>7475</v>
      </c>
      <c r="E340" s="2142" t="s">
        <v>10988</v>
      </c>
      <c r="F340" s="2141"/>
      <c r="G340" s="2143"/>
      <c r="H340" s="2141"/>
      <c r="I340" s="2141" t="s">
        <v>10989</v>
      </c>
      <c r="J340" s="2141"/>
      <c r="K340" s="2144">
        <v>1900000</v>
      </c>
      <c r="L340" s="2141" t="s">
        <v>112</v>
      </c>
      <c r="M340" s="2140">
        <v>44603</v>
      </c>
      <c r="N340" s="2140">
        <v>44614</v>
      </c>
      <c r="O340" s="2140">
        <v>44629</v>
      </c>
      <c r="P340" s="2143" t="s">
        <v>2032</v>
      </c>
      <c r="Q340" s="2141"/>
      <c r="R340" s="2144">
        <v>2345678.9900000002</v>
      </c>
      <c r="S340" s="2144">
        <v>2838271.58</v>
      </c>
      <c r="T340" s="2145"/>
      <c r="U340" s="2145"/>
      <c r="V340" s="2145"/>
      <c r="W340" s="2146">
        <v>44629</v>
      </c>
      <c r="X340" s="2144" t="s">
        <v>11297</v>
      </c>
      <c r="Y340" s="2140">
        <v>44655</v>
      </c>
      <c r="Z340" s="2140">
        <v>44658</v>
      </c>
      <c r="AA340" s="2140">
        <v>44771</v>
      </c>
      <c r="AB340" s="2464">
        <v>44844</v>
      </c>
      <c r="AC340" s="2106"/>
    </row>
    <row r="341" spans="1:34" ht="45">
      <c r="A341" s="2140">
        <v>44594</v>
      </c>
      <c r="B341" s="2143" t="s">
        <v>10990</v>
      </c>
      <c r="C341" s="2141" t="s">
        <v>58</v>
      </c>
      <c r="D341" s="2141" t="s">
        <v>4969</v>
      </c>
      <c r="E341" s="2142" t="s">
        <v>10991</v>
      </c>
      <c r="F341" s="2141"/>
      <c r="G341" s="2143"/>
      <c r="H341" s="2141"/>
      <c r="I341" s="2141" t="s">
        <v>275</v>
      </c>
      <c r="J341" s="2141" t="s">
        <v>10992</v>
      </c>
      <c r="K341" s="2144">
        <v>5872000</v>
      </c>
      <c r="L341" s="2141" t="s">
        <v>251</v>
      </c>
      <c r="M341" s="2140">
        <v>44606</v>
      </c>
      <c r="N341" s="2140">
        <v>44638</v>
      </c>
      <c r="O341" s="2140">
        <v>44656</v>
      </c>
      <c r="P341" s="2143" t="s">
        <v>6763</v>
      </c>
      <c r="Q341" s="2141"/>
      <c r="R341" s="2144">
        <v>6084000</v>
      </c>
      <c r="S341" s="2144">
        <v>7361640</v>
      </c>
      <c r="T341" s="2145"/>
      <c r="U341" s="2145"/>
      <c r="V341" s="2145"/>
      <c r="W341" s="2146">
        <v>44656</v>
      </c>
      <c r="X341" s="2260" t="s">
        <v>11511</v>
      </c>
      <c r="Y341" s="2140">
        <v>44680</v>
      </c>
      <c r="Z341" s="2140">
        <v>44685</v>
      </c>
      <c r="AA341" s="2140">
        <v>44896</v>
      </c>
      <c r="AB341" s="2140">
        <v>44774</v>
      </c>
      <c r="AC341" s="2109" t="s">
        <v>6118</v>
      </c>
    </row>
    <row r="342" spans="1:34" ht="45">
      <c r="A342" s="2140">
        <v>44596</v>
      </c>
      <c r="B342" s="2143" t="s">
        <v>11005</v>
      </c>
      <c r="C342" s="2141" t="s">
        <v>9694</v>
      </c>
      <c r="D342" s="2141" t="s">
        <v>4969</v>
      </c>
      <c r="E342" s="2142" t="s">
        <v>11006</v>
      </c>
      <c r="F342" s="2141"/>
      <c r="G342" s="2143"/>
      <c r="H342" s="2085"/>
      <c r="I342" s="2141" t="s">
        <v>275</v>
      </c>
      <c r="J342" s="2141" t="s">
        <v>11007</v>
      </c>
      <c r="K342" s="2144">
        <v>2730152</v>
      </c>
      <c r="L342" s="2141" t="s">
        <v>251</v>
      </c>
      <c r="M342" s="2140">
        <v>44631</v>
      </c>
      <c r="N342" s="2140">
        <v>44670</v>
      </c>
      <c r="O342" s="2140">
        <v>44707</v>
      </c>
      <c r="P342" s="2143" t="s">
        <v>5471</v>
      </c>
      <c r="Q342" s="2141"/>
      <c r="R342" s="2144">
        <v>3600650</v>
      </c>
      <c r="S342" s="2144">
        <v>4356786.5</v>
      </c>
      <c r="T342" s="2094"/>
      <c r="U342" s="2094"/>
      <c r="V342" s="2094"/>
      <c r="W342" s="2146">
        <v>44711</v>
      </c>
      <c r="X342" s="2260" t="s">
        <v>11983</v>
      </c>
      <c r="Y342" s="2140">
        <v>44727</v>
      </c>
      <c r="Z342" s="2140">
        <v>44732</v>
      </c>
      <c r="AA342" s="2140">
        <v>44769</v>
      </c>
      <c r="AB342" s="2109"/>
      <c r="AC342" s="2109" t="s">
        <v>6118</v>
      </c>
    </row>
    <row r="343" spans="1:34">
      <c r="A343" s="2140">
        <v>44599</v>
      </c>
      <c r="B343" s="2143" t="s">
        <v>11008</v>
      </c>
      <c r="C343" s="2141" t="s">
        <v>14</v>
      </c>
      <c r="D343" s="2141" t="s">
        <v>1753</v>
      </c>
      <c r="E343" s="2142" t="s">
        <v>11009</v>
      </c>
      <c r="F343" s="2141"/>
      <c r="G343" s="2143"/>
      <c r="H343" s="2141"/>
      <c r="I343" s="2141" t="s">
        <v>11010</v>
      </c>
      <c r="J343" s="2141" t="s">
        <v>11011</v>
      </c>
      <c r="K343" s="2144">
        <v>18180000</v>
      </c>
      <c r="L343" s="2141" t="s">
        <v>251</v>
      </c>
      <c r="M343" s="2140">
        <v>44609</v>
      </c>
      <c r="N343" s="2140">
        <v>44641</v>
      </c>
      <c r="O343" s="2140">
        <v>44645</v>
      </c>
      <c r="P343" s="2143" t="s">
        <v>333</v>
      </c>
      <c r="Q343" s="2141"/>
      <c r="R343" s="2144">
        <v>17959900</v>
      </c>
      <c r="S343" s="2144">
        <v>21731479</v>
      </c>
      <c r="T343" s="2145"/>
      <c r="U343" s="2145"/>
      <c r="V343" s="2145"/>
      <c r="W343" s="2146">
        <v>44645</v>
      </c>
      <c r="X343" s="2144" t="s">
        <v>11436</v>
      </c>
      <c r="Y343" s="2140">
        <v>44671</v>
      </c>
      <c r="Z343" s="2140">
        <v>44680</v>
      </c>
      <c r="AA343" s="2141"/>
      <c r="AB343" s="2464">
        <v>44844</v>
      </c>
      <c r="AC343" s="2106"/>
    </row>
    <row r="344" spans="1:34" ht="15.75" thickBot="1">
      <c r="A344" s="416">
        <v>44599</v>
      </c>
      <c r="B344" s="630" t="s">
        <v>11014</v>
      </c>
      <c r="C344" s="411" t="s">
        <v>2434</v>
      </c>
      <c r="D344" s="411" t="s">
        <v>219</v>
      </c>
      <c r="E344" s="412" t="s">
        <v>11015</v>
      </c>
      <c r="F344" s="411"/>
      <c r="G344" s="630"/>
      <c r="H344" s="411"/>
      <c r="I344" s="411" t="s">
        <v>3271</v>
      </c>
      <c r="J344" s="411"/>
      <c r="K344" s="417">
        <v>1792416</v>
      </c>
      <c r="L344" s="411" t="s">
        <v>112</v>
      </c>
      <c r="M344" s="416">
        <v>44602</v>
      </c>
      <c r="N344" s="416">
        <v>44620</v>
      </c>
      <c r="O344" s="416">
        <v>44623</v>
      </c>
      <c r="P344" s="630" t="s">
        <v>11196</v>
      </c>
      <c r="Q344" s="411"/>
      <c r="R344" s="417">
        <v>1792416</v>
      </c>
      <c r="S344" s="417">
        <v>2168823.36</v>
      </c>
      <c r="T344" s="1480"/>
      <c r="U344" s="1480"/>
      <c r="V344" s="1480"/>
      <c r="W344" s="513">
        <v>44623</v>
      </c>
      <c r="X344" s="417" t="s">
        <v>11224</v>
      </c>
      <c r="Y344" s="416">
        <v>44655</v>
      </c>
      <c r="Z344" s="416">
        <v>44658</v>
      </c>
      <c r="AA344" s="416">
        <v>46173</v>
      </c>
      <c r="AB344" s="422" t="s">
        <v>11494</v>
      </c>
      <c r="AC344" s="422">
        <v>2023</v>
      </c>
      <c r="AD344" s="388">
        <v>2024</v>
      </c>
      <c r="AE344" s="388">
        <v>2025</v>
      </c>
      <c r="AF344" s="388" t="s">
        <v>11495</v>
      </c>
    </row>
    <row r="345" spans="1:34" ht="15.75" thickTop="1">
      <c r="A345" s="443">
        <v>44601</v>
      </c>
      <c r="B345" s="1431" t="s">
        <v>11030</v>
      </c>
      <c r="C345" s="439" t="s">
        <v>69</v>
      </c>
      <c r="D345" s="439" t="s">
        <v>70</v>
      </c>
      <c r="E345" s="440" t="s">
        <v>11031</v>
      </c>
      <c r="F345" s="439">
        <v>1</v>
      </c>
      <c r="G345" s="1431" t="s">
        <v>11032</v>
      </c>
      <c r="H345" s="583"/>
      <c r="I345" s="439" t="s">
        <v>2418</v>
      </c>
      <c r="J345" s="439"/>
      <c r="K345" s="444">
        <v>17078400</v>
      </c>
      <c r="L345" s="439" t="s">
        <v>251</v>
      </c>
      <c r="M345" s="443">
        <v>44610</v>
      </c>
      <c r="N345" s="443">
        <v>44645</v>
      </c>
      <c r="O345" s="439"/>
      <c r="P345" s="753" t="s">
        <v>304</v>
      </c>
      <c r="Q345" s="439"/>
      <c r="R345" s="444"/>
      <c r="S345" s="444"/>
      <c r="T345" s="1483"/>
      <c r="U345" s="1483"/>
      <c r="V345" s="1483"/>
      <c r="W345" s="444"/>
      <c r="X345" s="444"/>
      <c r="Y345" s="439"/>
      <c r="Z345" s="443">
        <v>44692</v>
      </c>
      <c r="AA345" s="1431" t="s">
        <v>11585</v>
      </c>
      <c r="AB345" s="439"/>
      <c r="AC345" s="439"/>
    </row>
    <row r="346" spans="1:34" ht="15.75" thickBot="1">
      <c r="A346" s="2117">
        <v>44601</v>
      </c>
      <c r="B346" s="2120" t="s">
        <v>11030</v>
      </c>
      <c r="C346" s="2118" t="s">
        <v>69</v>
      </c>
      <c r="D346" s="2118" t="s">
        <v>70</v>
      </c>
      <c r="E346" s="2119" t="s">
        <v>11031</v>
      </c>
      <c r="F346" s="2118">
        <v>2</v>
      </c>
      <c r="G346" s="2120" t="s">
        <v>11034</v>
      </c>
      <c r="H346" s="2118"/>
      <c r="I346" s="2118" t="s">
        <v>11033</v>
      </c>
      <c r="J346" s="2118"/>
      <c r="K346" s="2121">
        <v>17078400</v>
      </c>
      <c r="L346" s="2118" t="s">
        <v>251</v>
      </c>
      <c r="M346" s="2117">
        <v>44610</v>
      </c>
      <c r="N346" s="2117">
        <v>44645</v>
      </c>
      <c r="O346" s="2117">
        <v>44670</v>
      </c>
      <c r="P346" s="2120" t="s">
        <v>576</v>
      </c>
      <c r="Q346" s="2118"/>
      <c r="R346" s="2121">
        <v>15596320</v>
      </c>
      <c r="S346" s="2121">
        <v>17155952</v>
      </c>
      <c r="T346" s="2122"/>
      <c r="U346" s="2122"/>
      <c r="V346" s="2122"/>
      <c r="W346" s="2123">
        <v>44670</v>
      </c>
      <c r="X346" s="2121" t="s">
        <v>11604</v>
      </c>
      <c r="Y346" s="2117">
        <v>44697</v>
      </c>
      <c r="Z346" s="2117">
        <v>44705</v>
      </c>
      <c r="AA346" s="2117">
        <v>46157</v>
      </c>
      <c r="AB346" s="2110" t="s">
        <v>11883</v>
      </c>
      <c r="AC346" s="2110">
        <v>2023</v>
      </c>
      <c r="AD346" s="388">
        <v>2024</v>
      </c>
      <c r="AE346" s="388">
        <v>2025</v>
      </c>
      <c r="AF346" s="388" t="s">
        <v>11885</v>
      </c>
    </row>
    <row r="347" spans="1:34" ht="15.75" thickTop="1">
      <c r="A347" s="428">
        <v>44600</v>
      </c>
      <c r="B347" s="1371" t="s">
        <v>11018</v>
      </c>
      <c r="C347" s="425" t="s">
        <v>69</v>
      </c>
      <c r="D347" s="425" t="s">
        <v>70</v>
      </c>
      <c r="E347" s="426" t="s">
        <v>11176</v>
      </c>
      <c r="F347" s="425">
        <v>1</v>
      </c>
      <c r="G347" s="1371" t="s">
        <v>11019</v>
      </c>
      <c r="H347" s="583"/>
      <c r="I347" s="425" t="s">
        <v>3438</v>
      </c>
      <c r="J347" s="425"/>
      <c r="K347" s="429">
        <v>554723</v>
      </c>
      <c r="L347" s="425" t="s">
        <v>251</v>
      </c>
      <c r="M347" s="428">
        <v>44838</v>
      </c>
      <c r="N347" s="428">
        <v>44901</v>
      </c>
      <c r="O347" s="425"/>
      <c r="P347" s="1371"/>
      <c r="Q347" s="425"/>
      <c r="R347" s="429"/>
      <c r="S347" s="429"/>
      <c r="T347" s="1483"/>
      <c r="U347" s="1483"/>
      <c r="V347" s="1483"/>
      <c r="W347" s="429"/>
      <c r="X347" s="429"/>
      <c r="Y347" s="425"/>
      <c r="Z347" s="425"/>
      <c r="AA347" s="425"/>
      <c r="AB347" s="425"/>
      <c r="AC347" s="425"/>
    </row>
    <row r="348" spans="1:34">
      <c r="A348" s="2153">
        <v>44600</v>
      </c>
      <c r="B348" s="2156" t="s">
        <v>11018</v>
      </c>
      <c r="C348" s="2154" t="s">
        <v>69</v>
      </c>
      <c r="D348" s="2154" t="s">
        <v>70</v>
      </c>
      <c r="E348" s="2155" t="s">
        <v>11176</v>
      </c>
      <c r="F348" s="2154">
        <v>2</v>
      </c>
      <c r="G348" s="2156" t="s">
        <v>11020</v>
      </c>
      <c r="H348" s="2085"/>
      <c r="I348" s="2154" t="s">
        <v>3438</v>
      </c>
      <c r="J348" s="2154"/>
      <c r="K348" s="2157">
        <v>14578</v>
      </c>
      <c r="L348" s="2154" t="s">
        <v>251</v>
      </c>
      <c r="M348" s="2153">
        <v>44838</v>
      </c>
      <c r="N348" s="2153">
        <v>44901</v>
      </c>
      <c r="O348" s="2154"/>
      <c r="P348" s="2156"/>
      <c r="Q348" s="2154"/>
      <c r="R348" s="2157"/>
      <c r="S348" s="2157"/>
      <c r="T348" s="2094"/>
      <c r="U348" s="2094"/>
      <c r="V348" s="2094"/>
      <c r="W348" s="2157"/>
      <c r="X348" s="2157"/>
      <c r="Y348" s="2154"/>
      <c r="Z348" s="2154"/>
      <c r="AA348" s="2154"/>
      <c r="AB348" s="2154"/>
      <c r="AC348" s="2154"/>
    </row>
    <row r="349" spans="1:34" ht="15.75" thickBot="1">
      <c r="A349" s="2152">
        <v>44600</v>
      </c>
      <c r="B349" s="2300" t="s">
        <v>11018</v>
      </c>
      <c r="C349" s="2297" t="s">
        <v>69</v>
      </c>
      <c r="D349" s="2297" t="s">
        <v>70</v>
      </c>
      <c r="E349" s="2298" t="s">
        <v>11176</v>
      </c>
      <c r="F349" s="2297">
        <v>3</v>
      </c>
      <c r="G349" s="2300" t="s">
        <v>11021</v>
      </c>
      <c r="H349" s="2089"/>
      <c r="I349" s="2297" t="s">
        <v>3438</v>
      </c>
      <c r="J349" s="2297"/>
      <c r="K349" s="2299">
        <v>8497243</v>
      </c>
      <c r="L349" s="2297" t="s">
        <v>251</v>
      </c>
      <c r="M349" s="2152">
        <v>44838</v>
      </c>
      <c r="N349" s="2152">
        <v>44901</v>
      </c>
      <c r="O349" s="2297"/>
      <c r="P349" s="2300"/>
      <c r="Q349" s="2297"/>
      <c r="R349" s="2299"/>
      <c r="S349" s="2299"/>
      <c r="T349" s="2095"/>
      <c r="U349" s="2095"/>
      <c r="V349" s="2095"/>
      <c r="W349" s="2299"/>
      <c r="X349" s="2299"/>
      <c r="Y349" s="2297"/>
      <c r="Z349" s="2297"/>
      <c r="AA349" s="2297"/>
      <c r="AB349" s="2297"/>
      <c r="AC349" s="2297"/>
    </row>
    <row r="350" spans="1:34" ht="15.75" thickTop="1">
      <c r="A350" s="474">
        <v>44699</v>
      </c>
      <c r="B350" s="1420" t="s">
        <v>11907</v>
      </c>
      <c r="C350" s="453" t="s">
        <v>69</v>
      </c>
      <c r="D350" s="453" t="s">
        <v>70</v>
      </c>
      <c r="E350" s="473" t="s">
        <v>11908</v>
      </c>
      <c r="F350" s="453">
        <v>1</v>
      </c>
      <c r="G350" s="1420" t="s">
        <v>11909</v>
      </c>
      <c r="H350" s="453"/>
      <c r="I350" s="453" t="s">
        <v>68</v>
      </c>
      <c r="J350" s="453"/>
      <c r="K350" s="457">
        <v>46819920</v>
      </c>
      <c r="L350" s="453" t="s">
        <v>251</v>
      </c>
      <c r="M350" s="635">
        <v>44704</v>
      </c>
      <c r="N350" s="635">
        <v>44756</v>
      </c>
      <c r="O350" s="635">
        <v>44805</v>
      </c>
      <c r="P350" s="1987" t="s">
        <v>576</v>
      </c>
      <c r="Q350" s="534"/>
      <c r="R350" s="636">
        <v>28859060.640000001</v>
      </c>
      <c r="S350" s="636">
        <v>31744966.699999999</v>
      </c>
      <c r="T350" s="2725"/>
      <c r="U350" s="2725"/>
      <c r="V350" s="2725"/>
      <c r="W350" s="2726">
        <v>44805</v>
      </c>
      <c r="X350" s="636" t="s">
        <v>12952</v>
      </c>
      <c r="Y350" s="635">
        <v>44831</v>
      </c>
      <c r="Z350" s="635">
        <v>44833</v>
      </c>
      <c r="AA350" s="635">
        <v>47022</v>
      </c>
      <c r="AB350" s="2727" t="s">
        <v>13148</v>
      </c>
      <c r="AC350" s="2727">
        <v>2023</v>
      </c>
      <c r="AD350" s="388">
        <v>2024</v>
      </c>
      <c r="AE350" s="388">
        <v>2025</v>
      </c>
      <c r="AF350" s="388">
        <v>2026</v>
      </c>
      <c r="AG350" s="388">
        <v>2027</v>
      </c>
      <c r="AH350" s="388" t="s">
        <v>13149</v>
      </c>
    </row>
    <row r="351" spans="1:34">
      <c r="A351" s="2140">
        <v>44699</v>
      </c>
      <c r="B351" s="2143" t="s">
        <v>11907</v>
      </c>
      <c r="C351" s="2141" t="s">
        <v>69</v>
      </c>
      <c r="D351" s="2141" t="s">
        <v>70</v>
      </c>
      <c r="E351" s="2142" t="s">
        <v>11908</v>
      </c>
      <c r="F351" s="2141">
        <v>2</v>
      </c>
      <c r="G351" s="2143" t="s">
        <v>11910</v>
      </c>
      <c r="H351" s="2141"/>
      <c r="I351" s="2141" t="s">
        <v>68</v>
      </c>
      <c r="J351" s="2141"/>
      <c r="K351" s="2144">
        <v>5554080</v>
      </c>
      <c r="L351" s="2141" t="s">
        <v>251</v>
      </c>
      <c r="M351" s="416">
        <v>44704</v>
      </c>
      <c r="N351" s="416">
        <v>44756</v>
      </c>
      <c r="O351" s="416">
        <v>44805</v>
      </c>
      <c r="P351" s="630" t="s">
        <v>8542</v>
      </c>
      <c r="Q351" s="411"/>
      <c r="R351" s="417">
        <v>5388552</v>
      </c>
      <c r="S351" s="417">
        <v>5927407.2000000002</v>
      </c>
      <c r="T351" s="1480"/>
      <c r="U351" s="1480"/>
      <c r="V351" s="1480"/>
      <c r="W351" s="513">
        <v>44805</v>
      </c>
      <c r="X351" s="417" t="s">
        <v>12953</v>
      </c>
      <c r="Y351" s="416">
        <v>44826</v>
      </c>
      <c r="Z351" s="416">
        <v>44833</v>
      </c>
      <c r="AA351" s="416">
        <v>47017</v>
      </c>
      <c r="AB351" s="422" t="s">
        <v>13122</v>
      </c>
      <c r="AC351" s="422">
        <v>2023</v>
      </c>
      <c r="AD351" s="388">
        <v>2024</v>
      </c>
      <c r="AE351" s="388">
        <v>2025</v>
      </c>
      <c r="AF351" s="388">
        <v>2026</v>
      </c>
      <c r="AG351" s="388">
        <v>2027</v>
      </c>
      <c r="AH351" s="388" t="s">
        <v>13123</v>
      </c>
    </row>
    <row r="352" spans="1:34" ht="15.75" thickBot="1">
      <c r="A352" s="2130">
        <v>44699</v>
      </c>
      <c r="B352" s="2133" t="s">
        <v>11907</v>
      </c>
      <c r="C352" s="2131" t="s">
        <v>69</v>
      </c>
      <c r="D352" s="2131" t="s">
        <v>70</v>
      </c>
      <c r="E352" s="2132" t="s">
        <v>11908</v>
      </c>
      <c r="F352" s="2131">
        <v>3</v>
      </c>
      <c r="G352" s="2133" t="s">
        <v>11911</v>
      </c>
      <c r="H352" s="2131"/>
      <c r="I352" s="2131" t="s">
        <v>68</v>
      </c>
      <c r="J352" s="2131"/>
      <c r="K352" s="2134">
        <v>345461</v>
      </c>
      <c r="L352" s="2131" t="s">
        <v>251</v>
      </c>
      <c r="M352" s="2130">
        <v>44704</v>
      </c>
      <c r="N352" s="2130">
        <v>44756</v>
      </c>
      <c r="O352" s="2131"/>
      <c r="P352" s="2137" t="s">
        <v>2635</v>
      </c>
      <c r="Q352" s="2287" t="s">
        <v>13184</v>
      </c>
      <c r="R352" s="2134"/>
      <c r="S352" s="2134"/>
      <c r="T352" s="2135"/>
      <c r="U352" s="2135"/>
      <c r="V352" s="2135"/>
      <c r="W352" s="2134"/>
      <c r="X352" s="2134"/>
      <c r="Y352" s="2131"/>
      <c r="Z352" s="2130">
        <v>44833</v>
      </c>
      <c r="AA352" s="2133" t="s">
        <v>12966</v>
      </c>
      <c r="AB352" s="2131"/>
      <c r="AC352" s="2131"/>
    </row>
    <row r="353" spans="1:43" ht="15.75" thickTop="1">
      <c r="A353" s="365">
        <v>44600</v>
      </c>
      <c r="B353" s="2756" t="s">
        <v>11023</v>
      </c>
      <c r="C353" s="2755" t="s">
        <v>69</v>
      </c>
      <c r="D353" s="2755" t="s">
        <v>70</v>
      </c>
      <c r="E353" s="175" t="s">
        <v>11175</v>
      </c>
      <c r="F353" s="2755"/>
      <c r="G353" s="2756" t="s">
        <v>11024</v>
      </c>
      <c r="H353" s="2755"/>
      <c r="I353" s="2755" t="s">
        <v>3438</v>
      </c>
      <c r="J353" s="2755"/>
      <c r="K353" s="364">
        <v>102989302</v>
      </c>
      <c r="L353" s="2755" t="s">
        <v>251</v>
      </c>
      <c r="M353" s="365">
        <v>44742</v>
      </c>
      <c r="N353" s="365">
        <v>44778</v>
      </c>
      <c r="O353" s="365">
        <v>44818</v>
      </c>
      <c r="P353" s="2756" t="s">
        <v>576</v>
      </c>
      <c r="Q353" s="2755"/>
      <c r="R353" s="364">
        <v>102989299.76000001</v>
      </c>
      <c r="S353" s="364">
        <v>113288229.73999999</v>
      </c>
      <c r="T353" s="1473"/>
      <c r="U353" s="1473"/>
      <c r="V353" s="1473"/>
      <c r="W353" s="681">
        <v>44818</v>
      </c>
      <c r="X353" s="364" t="s">
        <v>13060</v>
      </c>
      <c r="Y353" s="365">
        <v>44858</v>
      </c>
      <c r="Z353" s="365">
        <v>44865</v>
      </c>
      <c r="AA353" s="365">
        <v>46318</v>
      </c>
      <c r="AB353" s="451" t="s">
        <v>13393</v>
      </c>
      <c r="AC353" s="451">
        <v>2023</v>
      </c>
      <c r="AD353" s="388">
        <v>2024</v>
      </c>
      <c r="AE353" s="388">
        <v>2025</v>
      </c>
      <c r="AF353" s="388" t="s">
        <v>13394</v>
      </c>
    </row>
    <row r="354" spans="1:43">
      <c r="A354" s="2084">
        <v>44601</v>
      </c>
      <c r="B354" s="2087" t="s">
        <v>11025</v>
      </c>
      <c r="C354" s="2085" t="s">
        <v>69</v>
      </c>
      <c r="D354" s="2085" t="s">
        <v>70</v>
      </c>
      <c r="E354" s="2086" t="s">
        <v>11174</v>
      </c>
      <c r="F354" s="2085"/>
      <c r="G354" s="2087" t="s">
        <v>11026</v>
      </c>
      <c r="H354" s="2085"/>
      <c r="I354" s="2085" t="s">
        <v>93</v>
      </c>
      <c r="J354" s="2085"/>
      <c r="K354" s="2092">
        <v>91899879</v>
      </c>
      <c r="L354" s="2085" t="s">
        <v>251</v>
      </c>
      <c r="M354" s="2084">
        <v>44854</v>
      </c>
      <c r="N354" s="2084">
        <v>44930</v>
      </c>
      <c r="O354" s="2085"/>
      <c r="P354" s="2087"/>
      <c r="Q354" s="2085"/>
      <c r="R354" s="2092"/>
      <c r="S354" s="2092"/>
      <c r="T354" s="2094"/>
      <c r="U354" s="2094"/>
      <c r="V354" s="2094"/>
      <c r="W354" s="2092"/>
      <c r="X354" s="2092"/>
      <c r="Y354" s="2085"/>
      <c r="Z354" s="2085"/>
      <c r="AA354" s="2085"/>
      <c r="AB354" s="2085"/>
      <c r="AC354" s="2085"/>
    </row>
    <row r="355" spans="1:43" ht="15.75" thickBot="1">
      <c r="A355" s="643">
        <v>44601</v>
      </c>
      <c r="B355" s="1533" t="s">
        <v>11027</v>
      </c>
      <c r="C355" s="639" t="s">
        <v>69</v>
      </c>
      <c r="D355" s="639" t="s">
        <v>70</v>
      </c>
      <c r="E355" s="640" t="s">
        <v>11028</v>
      </c>
      <c r="F355" s="639"/>
      <c r="G355" s="1533" t="s">
        <v>11029</v>
      </c>
      <c r="H355" s="639"/>
      <c r="I355" s="639" t="s">
        <v>816</v>
      </c>
      <c r="J355" s="639"/>
      <c r="K355" s="645">
        <v>40669427</v>
      </c>
      <c r="L355" s="639" t="s">
        <v>251</v>
      </c>
      <c r="M355" s="643">
        <v>44606</v>
      </c>
      <c r="N355" s="643">
        <v>44641</v>
      </c>
      <c r="O355" s="639"/>
      <c r="P355" s="644" t="s">
        <v>242</v>
      </c>
      <c r="Q355" s="2019" t="s">
        <v>12369</v>
      </c>
      <c r="R355" s="645"/>
      <c r="S355" s="645"/>
      <c r="T355" s="1534"/>
      <c r="U355" s="1534"/>
      <c r="V355" s="1534"/>
      <c r="W355" s="645"/>
      <c r="X355" s="645"/>
      <c r="Y355" s="639"/>
      <c r="Z355" s="643">
        <v>44733</v>
      </c>
      <c r="AA355" s="2652" t="s">
        <v>12101</v>
      </c>
      <c r="AB355" s="639"/>
      <c r="AC355" s="639"/>
    </row>
    <row r="356" spans="1:43" ht="15.75" thickTop="1">
      <c r="A356" s="474">
        <v>44602</v>
      </c>
      <c r="B356" s="1420" t="s">
        <v>11042</v>
      </c>
      <c r="C356" s="453" t="s">
        <v>69</v>
      </c>
      <c r="D356" s="453" t="s">
        <v>70</v>
      </c>
      <c r="E356" s="473" t="s">
        <v>11044</v>
      </c>
      <c r="F356" s="453">
        <v>1</v>
      </c>
      <c r="G356" s="1420" t="s">
        <v>5434</v>
      </c>
      <c r="H356" s="453"/>
      <c r="I356" s="453" t="s">
        <v>93</v>
      </c>
      <c r="J356" s="453"/>
      <c r="K356" s="457">
        <v>171432</v>
      </c>
      <c r="L356" s="453" t="s">
        <v>251</v>
      </c>
      <c r="M356" s="474">
        <v>44621</v>
      </c>
      <c r="N356" s="474">
        <v>44655</v>
      </c>
      <c r="O356" s="474">
        <v>44673</v>
      </c>
      <c r="P356" s="1420" t="s">
        <v>576</v>
      </c>
      <c r="Q356" s="453"/>
      <c r="R356" s="457">
        <v>162856.89000000001</v>
      </c>
      <c r="S356" s="457">
        <v>179142.58</v>
      </c>
      <c r="T356" s="1474"/>
      <c r="U356" s="1474"/>
      <c r="V356" s="1474"/>
      <c r="W356" s="570">
        <v>44673</v>
      </c>
      <c r="X356" s="457" t="s">
        <v>11635</v>
      </c>
      <c r="Y356" s="474">
        <v>44697</v>
      </c>
      <c r="Z356" s="474">
        <v>44701</v>
      </c>
      <c r="AA356" s="474">
        <v>45792</v>
      </c>
      <c r="AB356" s="1391" t="s">
        <v>11883</v>
      </c>
      <c r="AC356" s="1391">
        <v>2023</v>
      </c>
      <c r="AD356" s="388">
        <v>2024</v>
      </c>
      <c r="AE356" s="388" t="s">
        <v>11886</v>
      </c>
    </row>
    <row r="357" spans="1:43">
      <c r="A357" s="2569">
        <v>44602</v>
      </c>
      <c r="B357" s="2572" t="s">
        <v>11042</v>
      </c>
      <c r="C357" s="2570" t="s">
        <v>69</v>
      </c>
      <c r="D357" s="2570" t="s">
        <v>70</v>
      </c>
      <c r="E357" s="2571" t="s">
        <v>11044</v>
      </c>
      <c r="F357" s="2570">
        <v>2</v>
      </c>
      <c r="G357" s="2572" t="s">
        <v>11158</v>
      </c>
      <c r="H357" s="2570"/>
      <c r="I357" s="2570" t="s">
        <v>93</v>
      </c>
      <c r="J357" s="2570"/>
      <c r="K357" s="2573">
        <v>107434</v>
      </c>
      <c r="L357" s="2570" t="s">
        <v>251</v>
      </c>
      <c r="M357" s="2569">
        <v>44621</v>
      </c>
      <c r="N357" s="2569">
        <v>44655</v>
      </c>
      <c r="O357" s="2570"/>
      <c r="P357" s="2575" t="s">
        <v>304</v>
      </c>
      <c r="Q357" s="2014" t="s">
        <v>13300</v>
      </c>
      <c r="R357" s="2573"/>
      <c r="S357" s="2573"/>
      <c r="T357" s="2574"/>
      <c r="U357" s="2574"/>
      <c r="V357" s="2574"/>
      <c r="W357" s="2573"/>
      <c r="X357" s="2573"/>
      <c r="Y357" s="2570"/>
      <c r="Z357" s="470">
        <v>44701</v>
      </c>
      <c r="AA357" s="2572" t="s">
        <v>11642</v>
      </c>
      <c r="AB357" s="2570"/>
      <c r="AC357" s="2570"/>
    </row>
    <row r="358" spans="1:43">
      <c r="A358" s="365">
        <v>44602</v>
      </c>
      <c r="B358" s="2646" t="s">
        <v>11042</v>
      </c>
      <c r="C358" s="2612" t="s">
        <v>69</v>
      </c>
      <c r="D358" s="2612" t="s">
        <v>70</v>
      </c>
      <c r="E358" s="175" t="s">
        <v>11044</v>
      </c>
      <c r="F358" s="2612">
        <v>3</v>
      </c>
      <c r="G358" s="2613" t="s">
        <v>11159</v>
      </c>
      <c r="H358" s="2612"/>
      <c r="I358" s="2612" t="s">
        <v>93</v>
      </c>
      <c r="J358" s="2612"/>
      <c r="K358" s="364">
        <v>108557</v>
      </c>
      <c r="L358" s="2612" t="s">
        <v>251</v>
      </c>
      <c r="M358" s="365">
        <v>44621</v>
      </c>
      <c r="N358" s="365">
        <v>44655</v>
      </c>
      <c r="O358" s="365">
        <v>44673</v>
      </c>
      <c r="P358" s="2613" t="s">
        <v>576</v>
      </c>
      <c r="Q358" s="2612"/>
      <c r="R358" s="364">
        <v>102722.94</v>
      </c>
      <c r="S358" s="364">
        <v>112995.23</v>
      </c>
      <c r="T358" s="1473"/>
      <c r="U358" s="1473"/>
      <c r="V358" s="1473"/>
      <c r="W358" s="681">
        <v>44673</v>
      </c>
      <c r="X358" s="364" t="s">
        <v>11636</v>
      </c>
      <c r="Y358" s="365">
        <v>44697</v>
      </c>
      <c r="Z358" s="365">
        <v>44701</v>
      </c>
      <c r="AA358" s="365">
        <v>45792</v>
      </c>
      <c r="AB358" s="451" t="s">
        <v>11883</v>
      </c>
      <c r="AC358" s="451">
        <v>2023</v>
      </c>
      <c r="AD358" s="388">
        <v>2024</v>
      </c>
      <c r="AE358" s="388" t="s">
        <v>11886</v>
      </c>
    </row>
    <row r="359" spans="1:43">
      <c r="A359" s="2569">
        <v>44602</v>
      </c>
      <c r="B359" s="2572" t="s">
        <v>11042</v>
      </c>
      <c r="C359" s="2570" t="s">
        <v>69</v>
      </c>
      <c r="D359" s="2570" t="s">
        <v>70</v>
      </c>
      <c r="E359" s="2571" t="s">
        <v>11044</v>
      </c>
      <c r="F359" s="2570">
        <v>4</v>
      </c>
      <c r="G359" s="2572" t="s">
        <v>11160</v>
      </c>
      <c r="H359" s="2570"/>
      <c r="I359" s="2570" t="s">
        <v>93</v>
      </c>
      <c r="J359" s="2570"/>
      <c r="K359" s="2573">
        <v>2256091</v>
      </c>
      <c r="L359" s="2570" t="s">
        <v>251</v>
      </c>
      <c r="M359" s="2569">
        <v>44621</v>
      </c>
      <c r="N359" s="2569">
        <v>44655</v>
      </c>
      <c r="O359" s="2570"/>
      <c r="P359" s="2575" t="s">
        <v>304</v>
      </c>
      <c r="Q359" s="2014" t="s">
        <v>13300</v>
      </c>
      <c r="R359" s="2573"/>
      <c r="S359" s="2573"/>
      <c r="T359" s="2574"/>
      <c r="U359" s="2574"/>
      <c r="V359" s="2574"/>
      <c r="W359" s="2573"/>
      <c r="X359" s="2573"/>
      <c r="Y359" s="2570"/>
      <c r="Z359" s="470">
        <v>44701</v>
      </c>
      <c r="AA359" s="2572" t="s">
        <v>11642</v>
      </c>
      <c r="AB359" s="2570"/>
      <c r="AC359" s="2570"/>
    </row>
    <row r="360" spans="1:43" ht="15.75" thickBot="1">
      <c r="A360" s="675">
        <v>44602</v>
      </c>
      <c r="B360" s="1983" t="s">
        <v>11042</v>
      </c>
      <c r="C360" s="517" t="s">
        <v>69</v>
      </c>
      <c r="D360" s="517" t="s">
        <v>70</v>
      </c>
      <c r="E360" s="672" t="s">
        <v>11044</v>
      </c>
      <c r="F360" s="517">
        <v>5</v>
      </c>
      <c r="G360" s="1983" t="s">
        <v>11161</v>
      </c>
      <c r="H360" s="517"/>
      <c r="I360" s="517" t="s">
        <v>93</v>
      </c>
      <c r="J360" s="517"/>
      <c r="K360" s="676">
        <v>1990902</v>
      </c>
      <c r="L360" s="517" t="s">
        <v>251</v>
      </c>
      <c r="M360" s="675">
        <v>44621</v>
      </c>
      <c r="N360" s="675">
        <v>44655</v>
      </c>
      <c r="O360" s="675">
        <v>44673</v>
      </c>
      <c r="P360" s="1983" t="s">
        <v>5566</v>
      </c>
      <c r="Q360" s="517"/>
      <c r="R360" s="676">
        <v>1990901.7</v>
      </c>
      <c r="S360" s="676">
        <v>2189991.87</v>
      </c>
      <c r="T360" s="1984"/>
      <c r="U360" s="1984"/>
      <c r="V360" s="1984"/>
      <c r="W360" s="683">
        <v>44673</v>
      </c>
      <c r="X360" s="676" t="s">
        <v>11637</v>
      </c>
      <c r="Y360" s="675">
        <v>44700</v>
      </c>
      <c r="Z360" s="675">
        <v>44701</v>
      </c>
      <c r="AA360" s="675">
        <v>45795</v>
      </c>
      <c r="AB360" s="1981" t="s">
        <v>11917</v>
      </c>
      <c r="AC360" s="1981">
        <v>2023</v>
      </c>
      <c r="AD360" s="388">
        <v>2024</v>
      </c>
      <c r="AE360" s="388" t="s">
        <v>11918</v>
      </c>
    </row>
    <row r="361" spans="1:43" ht="15.75" thickTop="1">
      <c r="A361" s="365">
        <v>44602</v>
      </c>
      <c r="B361" s="2646" t="s">
        <v>11043</v>
      </c>
      <c r="C361" s="2625" t="s">
        <v>69</v>
      </c>
      <c r="D361" s="2625" t="s">
        <v>70</v>
      </c>
      <c r="E361" s="175" t="s">
        <v>11045</v>
      </c>
      <c r="F361" s="2625"/>
      <c r="G361" s="2626"/>
      <c r="H361" s="2625"/>
      <c r="I361" s="2625" t="s">
        <v>93</v>
      </c>
      <c r="J361" s="2625"/>
      <c r="K361" s="364">
        <v>2368470</v>
      </c>
      <c r="L361" s="2625" t="s">
        <v>216</v>
      </c>
      <c r="M361" s="365">
        <v>44627</v>
      </c>
      <c r="N361" s="365">
        <v>44644</v>
      </c>
      <c r="O361" s="365">
        <v>44678</v>
      </c>
      <c r="P361" s="2626" t="s">
        <v>576</v>
      </c>
      <c r="Q361" s="2625"/>
      <c r="R361" s="364">
        <v>2328010.02</v>
      </c>
      <c r="S361" s="364">
        <v>2560811.02</v>
      </c>
      <c r="T361" s="1473"/>
      <c r="U361" s="1473"/>
      <c r="V361" s="1473"/>
      <c r="W361" s="681">
        <v>44678</v>
      </c>
      <c r="X361" s="364" t="s">
        <v>11660</v>
      </c>
      <c r="Y361" s="365">
        <v>44711</v>
      </c>
      <c r="Z361" s="365">
        <v>44714</v>
      </c>
      <c r="AA361" s="365">
        <v>45806</v>
      </c>
      <c r="AB361" s="451" t="s">
        <v>11987</v>
      </c>
      <c r="AC361" s="451">
        <v>2023</v>
      </c>
      <c r="AD361" s="388">
        <v>2024</v>
      </c>
      <c r="AE361" s="388" t="s">
        <v>11988</v>
      </c>
    </row>
    <row r="362" spans="1:43" ht="30">
      <c r="A362" s="2140">
        <v>44602</v>
      </c>
      <c r="B362" s="2143" t="s">
        <v>11049</v>
      </c>
      <c r="C362" s="2141" t="s">
        <v>9694</v>
      </c>
      <c r="D362" s="2141" t="s">
        <v>4969</v>
      </c>
      <c r="E362" s="2142" t="s">
        <v>11050</v>
      </c>
      <c r="F362" s="2141">
        <v>1</v>
      </c>
      <c r="G362" s="2143" t="s">
        <v>11719</v>
      </c>
      <c r="H362" s="2141"/>
      <c r="I362" s="2141" t="s">
        <v>275</v>
      </c>
      <c r="J362" s="2141" t="s">
        <v>11721</v>
      </c>
      <c r="K362" s="2144">
        <v>1072500</v>
      </c>
      <c r="L362" s="2141" t="s">
        <v>251</v>
      </c>
      <c r="M362" s="2140">
        <v>44630</v>
      </c>
      <c r="N362" s="2140">
        <v>44665</v>
      </c>
      <c r="O362" s="2140">
        <v>44778</v>
      </c>
      <c r="P362" s="2143" t="s">
        <v>5331</v>
      </c>
      <c r="Q362" s="2141"/>
      <c r="R362" s="2144">
        <v>951719</v>
      </c>
      <c r="S362" s="2144">
        <v>1151579.99</v>
      </c>
      <c r="T362" s="2145"/>
      <c r="U362" s="2145"/>
      <c r="V362" s="2145"/>
      <c r="W362" s="2146">
        <v>44781</v>
      </c>
      <c r="X362" s="2260" t="s">
        <v>12663</v>
      </c>
      <c r="Y362" s="2140">
        <v>44812</v>
      </c>
      <c r="Z362" s="2140">
        <v>44818</v>
      </c>
      <c r="AA362" s="2140">
        <v>44865</v>
      </c>
      <c r="AB362" s="2109"/>
      <c r="AC362" s="2109" t="s">
        <v>1875</v>
      </c>
    </row>
    <row r="363" spans="1:43" ht="30">
      <c r="A363" s="2140">
        <v>44602</v>
      </c>
      <c r="B363" s="2143" t="s">
        <v>11049</v>
      </c>
      <c r="C363" s="2141" t="s">
        <v>9694</v>
      </c>
      <c r="D363" s="2141" t="s">
        <v>4969</v>
      </c>
      <c r="E363" s="2142" t="s">
        <v>11050</v>
      </c>
      <c r="F363" s="2141">
        <v>2</v>
      </c>
      <c r="G363" s="2143" t="s">
        <v>11720</v>
      </c>
      <c r="H363" s="2141"/>
      <c r="I363" s="2141" t="s">
        <v>275</v>
      </c>
      <c r="J363" s="2141" t="s">
        <v>11722</v>
      </c>
      <c r="K363" s="2144">
        <v>1459005</v>
      </c>
      <c r="L363" s="2141" t="s">
        <v>251</v>
      </c>
      <c r="M363" s="2140">
        <v>44630</v>
      </c>
      <c r="N363" s="2140">
        <v>44665</v>
      </c>
      <c r="O363" s="2140">
        <v>44726</v>
      </c>
      <c r="P363" s="2143" t="s">
        <v>10534</v>
      </c>
      <c r="Q363" s="2141"/>
      <c r="R363" s="2144">
        <v>1323894</v>
      </c>
      <c r="S363" s="2144">
        <v>1601912.22</v>
      </c>
      <c r="T363" s="2145"/>
      <c r="U363" s="2145"/>
      <c r="V363" s="2145"/>
      <c r="W363" s="2146">
        <v>44727</v>
      </c>
      <c r="X363" s="2260" t="s">
        <v>12181</v>
      </c>
      <c r="Y363" s="2140">
        <v>44761</v>
      </c>
      <c r="Z363" s="2140">
        <v>44769</v>
      </c>
      <c r="AA363" s="2140">
        <v>44865</v>
      </c>
      <c r="AB363" s="2109"/>
      <c r="AC363" s="2109" t="s">
        <v>1875</v>
      </c>
    </row>
    <row r="364" spans="1:43">
      <c r="A364" s="2140">
        <v>44603</v>
      </c>
      <c r="B364" s="2143" t="s">
        <v>11056</v>
      </c>
      <c r="C364" s="2141" t="s">
        <v>52</v>
      </c>
      <c r="D364" s="2141" t="s">
        <v>5894</v>
      </c>
      <c r="E364" s="2142" t="s">
        <v>11057</v>
      </c>
      <c r="F364" s="2141"/>
      <c r="G364" s="2143"/>
      <c r="H364" s="2141"/>
      <c r="I364" s="2141" t="s">
        <v>484</v>
      </c>
      <c r="J364" s="2141" t="s">
        <v>11058</v>
      </c>
      <c r="K364" s="2144">
        <v>1500000</v>
      </c>
      <c r="L364" s="2141" t="s">
        <v>112</v>
      </c>
      <c r="M364" s="2140">
        <v>44607</v>
      </c>
      <c r="N364" s="2140">
        <v>44615</v>
      </c>
      <c r="O364" s="2140">
        <v>44630</v>
      </c>
      <c r="P364" s="2143" t="s">
        <v>9274</v>
      </c>
      <c r="Q364" s="2141"/>
      <c r="R364" s="2144">
        <v>1248000</v>
      </c>
      <c r="S364" s="2144">
        <v>1510080</v>
      </c>
      <c r="T364" s="2145"/>
      <c r="U364" s="2145"/>
      <c r="V364" s="2145"/>
      <c r="W364" s="2146">
        <v>44630</v>
      </c>
      <c r="X364" s="2144" t="s">
        <v>11299</v>
      </c>
      <c r="Y364" s="2140">
        <v>44655</v>
      </c>
      <c r="Z364" s="2140">
        <v>44656</v>
      </c>
      <c r="AA364" s="2141"/>
      <c r="AB364" s="2464">
        <v>44782</v>
      </c>
      <c r="AC364" s="2106"/>
    </row>
    <row r="365" spans="1:43">
      <c r="A365" s="2124">
        <v>44603</v>
      </c>
      <c r="B365" s="2127" t="s">
        <v>11061</v>
      </c>
      <c r="C365" s="2125" t="s">
        <v>58</v>
      </c>
      <c r="D365" s="2125" t="s">
        <v>4969</v>
      </c>
      <c r="E365" s="2126" t="s">
        <v>11062</v>
      </c>
      <c r="F365" s="2125"/>
      <c r="G365" s="2127"/>
      <c r="H365" s="2085"/>
      <c r="I365" s="2125" t="s">
        <v>3330</v>
      </c>
      <c r="J365" s="2125" t="s">
        <v>11063</v>
      </c>
      <c r="K365" s="2128">
        <v>1470000</v>
      </c>
      <c r="L365" s="2125" t="s">
        <v>112</v>
      </c>
      <c r="M365" s="2124">
        <v>44608</v>
      </c>
      <c r="N365" s="2124">
        <v>44617</v>
      </c>
      <c r="O365" s="2125"/>
      <c r="P365" s="2136" t="s">
        <v>2635</v>
      </c>
      <c r="Q365" s="2275" t="s">
        <v>11218</v>
      </c>
      <c r="R365" s="2128"/>
      <c r="S365" s="2128"/>
      <c r="T365" s="2094"/>
      <c r="U365" s="2094"/>
      <c r="V365" s="2094"/>
      <c r="W365" s="2128"/>
      <c r="X365" s="2128"/>
      <c r="Y365" s="2125"/>
      <c r="Z365" s="2124">
        <v>44617</v>
      </c>
      <c r="AA365" s="2125"/>
      <c r="AB365" s="2125"/>
      <c r="AC365" s="2125"/>
    </row>
    <row r="366" spans="1:43" ht="45">
      <c r="A366" s="416">
        <v>44601</v>
      </c>
      <c r="B366" s="630" t="s">
        <v>11072</v>
      </c>
      <c r="C366" s="411" t="s">
        <v>2434</v>
      </c>
      <c r="D366" s="411" t="s">
        <v>55</v>
      </c>
      <c r="E366" s="412" t="s">
        <v>11067</v>
      </c>
      <c r="F366" s="411"/>
      <c r="G366" s="630"/>
      <c r="H366" s="411"/>
      <c r="I366" s="411" t="s">
        <v>11068</v>
      </c>
      <c r="J366" s="411"/>
      <c r="K366" s="417">
        <v>14350000</v>
      </c>
      <c r="L366" s="411" t="s">
        <v>251</v>
      </c>
      <c r="M366" s="416">
        <v>44617</v>
      </c>
      <c r="N366" s="416">
        <v>44671</v>
      </c>
      <c r="O366" s="416">
        <v>44686</v>
      </c>
      <c r="P366" s="630" t="s">
        <v>11715</v>
      </c>
      <c r="Q366" s="411"/>
      <c r="R366" s="417">
        <v>6469950</v>
      </c>
      <c r="S366" s="417">
        <v>7486846.5</v>
      </c>
      <c r="T366" s="1480"/>
      <c r="U366" s="1480"/>
      <c r="V366" s="1480"/>
      <c r="W366" s="513">
        <v>44686</v>
      </c>
      <c r="X366" s="1553" t="s">
        <v>11753</v>
      </c>
      <c r="Y366" s="416">
        <v>44712</v>
      </c>
      <c r="Z366" s="416">
        <v>44720</v>
      </c>
      <c r="AA366" s="416">
        <v>44740</v>
      </c>
      <c r="AB366" s="422"/>
      <c r="AC366" s="422" t="s">
        <v>6118</v>
      </c>
    </row>
    <row r="367" spans="1:43" s="390" customFormat="1" ht="30">
      <c r="A367" s="2140">
        <v>44621</v>
      </c>
      <c r="B367" s="2143" t="s">
        <v>11073</v>
      </c>
      <c r="C367" s="2141" t="s">
        <v>2434</v>
      </c>
      <c r="D367" s="2141" t="s">
        <v>3204</v>
      </c>
      <c r="E367" s="2142" t="s">
        <v>11257</v>
      </c>
      <c r="F367" s="2141"/>
      <c r="G367" s="2143"/>
      <c r="H367" s="2154"/>
      <c r="I367" s="2141" t="s">
        <v>642</v>
      </c>
      <c r="J367" s="2141"/>
      <c r="K367" s="2144">
        <v>1139600</v>
      </c>
      <c r="L367" s="2141" t="s">
        <v>112</v>
      </c>
      <c r="M367" s="2140">
        <v>44627</v>
      </c>
      <c r="N367" s="2140">
        <v>44637</v>
      </c>
      <c r="O367" s="2140">
        <v>44643</v>
      </c>
      <c r="P367" s="2143" t="s">
        <v>198</v>
      </c>
      <c r="Q367" s="2141"/>
      <c r="R367" s="2144">
        <v>845600</v>
      </c>
      <c r="S367" s="2144">
        <v>1023176</v>
      </c>
      <c r="T367" s="2415"/>
      <c r="U367" s="2415"/>
      <c r="V367" s="2415"/>
      <c r="W367" s="2146">
        <v>44643</v>
      </c>
      <c r="X367" s="2260" t="s">
        <v>11415</v>
      </c>
      <c r="Y367" s="2140">
        <v>44670</v>
      </c>
      <c r="Z367" s="2140">
        <v>44678</v>
      </c>
      <c r="AA367" s="2140">
        <v>45400</v>
      </c>
      <c r="AB367" s="2109" t="s">
        <v>11595</v>
      </c>
      <c r="AC367" s="2109">
        <v>2023</v>
      </c>
      <c r="AD367" s="388" t="s">
        <v>11597</v>
      </c>
      <c r="AE367" s="360"/>
      <c r="AF367" s="360"/>
      <c r="AG367" s="360"/>
      <c r="AH367" s="360"/>
      <c r="AI367" s="360"/>
      <c r="AJ367" s="360"/>
      <c r="AK367" s="360"/>
      <c r="AL367" s="360"/>
      <c r="AM367" s="360"/>
      <c r="AN367" s="360"/>
      <c r="AO367" s="360"/>
      <c r="AP367" s="360"/>
      <c r="AQ367" s="360"/>
    </row>
    <row r="368" spans="1:43" ht="30">
      <c r="A368" s="365">
        <v>44606</v>
      </c>
      <c r="B368" s="2646" t="s">
        <v>11074</v>
      </c>
      <c r="C368" s="2614" t="s">
        <v>58</v>
      </c>
      <c r="D368" s="2614" t="s">
        <v>4969</v>
      </c>
      <c r="E368" s="175" t="s">
        <v>11075</v>
      </c>
      <c r="F368" s="2614"/>
      <c r="G368" s="2615"/>
      <c r="H368" s="2614"/>
      <c r="I368" s="2614" t="s">
        <v>275</v>
      </c>
      <c r="J368" s="2614" t="s">
        <v>11076</v>
      </c>
      <c r="K368" s="364">
        <v>4238231</v>
      </c>
      <c r="L368" s="2614" t="s">
        <v>251</v>
      </c>
      <c r="M368" s="365">
        <v>44609</v>
      </c>
      <c r="N368" s="365">
        <v>44642</v>
      </c>
      <c r="O368" s="365">
        <v>44656</v>
      </c>
      <c r="P368" s="2615" t="s">
        <v>1433</v>
      </c>
      <c r="Q368" s="2614"/>
      <c r="R368" s="364">
        <v>5314028</v>
      </c>
      <c r="S368" s="364">
        <v>6429973.8799999999</v>
      </c>
      <c r="T368" s="1473"/>
      <c r="U368" s="1473"/>
      <c r="V368" s="1473"/>
      <c r="W368" s="681">
        <v>44656</v>
      </c>
      <c r="X368" s="1417" t="s">
        <v>11512</v>
      </c>
      <c r="Y368" s="365">
        <v>44698</v>
      </c>
      <c r="Z368" s="365">
        <v>44704</v>
      </c>
      <c r="AA368" s="365">
        <v>44754</v>
      </c>
      <c r="AB368" s="365">
        <v>44845</v>
      </c>
      <c r="AC368" s="451" t="s">
        <v>1875</v>
      </c>
    </row>
    <row r="369" spans="1:32">
      <c r="A369" s="2084">
        <v>44607</v>
      </c>
      <c r="B369" s="2087" t="s">
        <v>11080</v>
      </c>
      <c r="C369" s="2085" t="s">
        <v>69</v>
      </c>
      <c r="D369" s="2085" t="s">
        <v>70</v>
      </c>
      <c r="E369" s="2086" t="s">
        <v>11173</v>
      </c>
      <c r="F369" s="2085"/>
      <c r="G369" s="2087" t="s">
        <v>11081</v>
      </c>
      <c r="H369" s="2085"/>
      <c r="I369" s="2085" t="s">
        <v>68</v>
      </c>
      <c r="J369" s="2085"/>
      <c r="K369" s="2092">
        <v>11500873</v>
      </c>
      <c r="L369" s="2085" t="s">
        <v>251</v>
      </c>
      <c r="M369" s="2084">
        <v>44893</v>
      </c>
      <c r="N369" s="2084">
        <v>44928</v>
      </c>
      <c r="O369" s="2085"/>
      <c r="P369" s="2087"/>
      <c r="Q369" s="2085"/>
      <c r="R369" s="2092"/>
      <c r="S369" s="2092"/>
      <c r="T369" s="2094"/>
      <c r="U369" s="2094"/>
      <c r="V369" s="2094"/>
      <c r="W369" s="2092"/>
      <c r="X369" s="2092"/>
      <c r="Y369" s="2085"/>
      <c r="Z369" s="2085"/>
      <c r="AA369" s="2085"/>
      <c r="AB369" s="2085"/>
      <c r="AC369" s="2085"/>
    </row>
    <row r="370" spans="1:32">
      <c r="A370" s="2153">
        <v>44607</v>
      </c>
      <c r="B370" s="2156" t="s">
        <v>11082</v>
      </c>
      <c r="C370" s="2154" t="s">
        <v>69</v>
      </c>
      <c r="D370" s="2154" t="s">
        <v>70</v>
      </c>
      <c r="E370" s="2155" t="s">
        <v>11172</v>
      </c>
      <c r="F370" s="2154"/>
      <c r="G370" s="2156" t="s">
        <v>4873</v>
      </c>
      <c r="H370" s="2085"/>
      <c r="I370" s="2154" t="s">
        <v>68</v>
      </c>
      <c r="J370" s="2154"/>
      <c r="K370" s="2157">
        <v>25726680</v>
      </c>
      <c r="L370" s="2154" t="s">
        <v>251</v>
      </c>
      <c r="M370" s="2153">
        <v>44887</v>
      </c>
      <c r="N370" s="2153">
        <v>44922</v>
      </c>
      <c r="O370" s="2154"/>
      <c r="P370" s="2156"/>
      <c r="Q370" s="2154"/>
      <c r="R370" s="2157"/>
      <c r="S370" s="2157"/>
      <c r="T370" s="2094"/>
      <c r="U370" s="2094"/>
      <c r="V370" s="2094"/>
      <c r="W370" s="2157"/>
      <c r="X370" s="2157"/>
      <c r="Y370" s="2154"/>
      <c r="Z370" s="2154"/>
      <c r="AA370" s="2154"/>
      <c r="AB370" s="2154"/>
      <c r="AC370" s="2154"/>
    </row>
    <row r="371" spans="1:32">
      <c r="A371" s="2140">
        <v>44607</v>
      </c>
      <c r="B371" s="2143" t="s">
        <v>11083</v>
      </c>
      <c r="C371" s="2141" t="s">
        <v>69</v>
      </c>
      <c r="D371" s="2141" t="s">
        <v>70</v>
      </c>
      <c r="E371" s="2142" t="s">
        <v>11171</v>
      </c>
      <c r="F371" s="2141"/>
      <c r="G371" s="2143" t="s">
        <v>11084</v>
      </c>
      <c r="H371" s="2141"/>
      <c r="I371" s="2141" t="s">
        <v>3435</v>
      </c>
      <c r="J371" s="2141"/>
      <c r="K371" s="2144">
        <v>12071630</v>
      </c>
      <c r="L371" s="2141" t="s">
        <v>251</v>
      </c>
      <c r="M371" s="2140">
        <v>44796</v>
      </c>
      <c r="N371" s="2140">
        <v>44861</v>
      </c>
      <c r="O371" s="2140">
        <v>44879</v>
      </c>
      <c r="P371" s="2143" t="s">
        <v>2548</v>
      </c>
      <c r="Q371" s="2141"/>
      <c r="R371" s="2144">
        <v>14756832</v>
      </c>
      <c r="S371" s="2144">
        <v>16232515.199999999</v>
      </c>
      <c r="T371" s="2145"/>
      <c r="U371" s="2145"/>
      <c r="V371" s="2145"/>
      <c r="W371" s="2146">
        <v>44879</v>
      </c>
      <c r="X371" s="2144" t="s">
        <v>13531</v>
      </c>
      <c r="Y371" s="2140">
        <v>44914</v>
      </c>
      <c r="Z371" s="2140">
        <v>44943</v>
      </c>
      <c r="AA371" s="2140">
        <v>46374</v>
      </c>
      <c r="AB371" s="2109" t="s">
        <v>13784</v>
      </c>
      <c r="AC371" s="2109">
        <v>2023</v>
      </c>
      <c r="AD371" s="388">
        <v>2024</v>
      </c>
      <c r="AE371" s="388">
        <v>2025</v>
      </c>
      <c r="AF371" s="388" t="s">
        <v>13785</v>
      </c>
    </row>
    <row r="372" spans="1:32">
      <c r="A372" s="2140">
        <v>44607</v>
      </c>
      <c r="B372" s="2143" t="s">
        <v>11085</v>
      </c>
      <c r="C372" s="2141" t="s">
        <v>69</v>
      </c>
      <c r="D372" s="2141" t="s">
        <v>70</v>
      </c>
      <c r="E372" s="2142" t="s">
        <v>11170</v>
      </c>
      <c r="F372" s="2141"/>
      <c r="G372" s="2143" t="s">
        <v>8357</v>
      </c>
      <c r="H372" s="2141"/>
      <c r="I372" s="2141" t="s">
        <v>7938</v>
      </c>
      <c r="J372" s="2141"/>
      <c r="K372" s="2144">
        <v>139725667</v>
      </c>
      <c r="L372" s="2141" t="s">
        <v>251</v>
      </c>
      <c r="M372" s="2140">
        <v>44722</v>
      </c>
      <c r="N372" s="2140">
        <v>44774</v>
      </c>
      <c r="O372" s="2140">
        <v>44816</v>
      </c>
      <c r="P372" s="2143" t="s">
        <v>2548</v>
      </c>
      <c r="Q372" s="2141"/>
      <c r="R372" s="2144">
        <v>139725666.36000001</v>
      </c>
      <c r="S372" s="2144">
        <v>153698233</v>
      </c>
      <c r="T372" s="2145"/>
      <c r="U372" s="2145"/>
      <c r="V372" s="2145"/>
      <c r="W372" s="2146">
        <v>44816</v>
      </c>
      <c r="X372" s="2144" t="s">
        <v>13044</v>
      </c>
      <c r="Y372" s="2140">
        <v>44847</v>
      </c>
      <c r="Z372" s="2140">
        <v>44873</v>
      </c>
      <c r="AA372" s="2140">
        <v>46307</v>
      </c>
      <c r="AB372" s="2109" t="s">
        <v>13298</v>
      </c>
      <c r="AC372" s="2109">
        <v>2023</v>
      </c>
      <c r="AD372" s="388">
        <v>2024</v>
      </c>
      <c r="AE372" s="388">
        <v>2025</v>
      </c>
      <c r="AF372" s="388" t="s">
        <v>13299</v>
      </c>
    </row>
    <row r="373" spans="1:32">
      <c r="A373" s="2140">
        <v>44594</v>
      </c>
      <c r="B373" s="2143" t="s">
        <v>11094</v>
      </c>
      <c r="C373" s="2141" t="s">
        <v>2434</v>
      </c>
      <c r="D373" s="2141" t="s">
        <v>219</v>
      </c>
      <c r="E373" s="2142" t="s">
        <v>11095</v>
      </c>
      <c r="F373" s="2141"/>
      <c r="G373" s="2143"/>
      <c r="H373" s="2141"/>
      <c r="I373" s="2141" t="s">
        <v>3271</v>
      </c>
      <c r="J373" s="2141"/>
      <c r="K373" s="2144">
        <v>2056577</v>
      </c>
      <c r="L373" s="2141" t="s">
        <v>251</v>
      </c>
      <c r="M373" s="2140">
        <v>44620</v>
      </c>
      <c r="N373" s="2140">
        <v>44663</v>
      </c>
      <c r="O373" s="2140">
        <v>44683</v>
      </c>
      <c r="P373" s="2143" t="s">
        <v>993</v>
      </c>
      <c r="Q373" s="2141"/>
      <c r="R373" s="2144">
        <v>1850864</v>
      </c>
      <c r="S373" s="2144">
        <v>2239545.44</v>
      </c>
      <c r="T373" s="2145"/>
      <c r="U373" s="2145"/>
      <c r="V373" s="2145"/>
      <c r="W373" s="2146">
        <v>44683</v>
      </c>
      <c r="X373" s="2144" t="s">
        <v>11708</v>
      </c>
      <c r="Y373" s="2140">
        <v>44719</v>
      </c>
      <c r="Z373" s="2140">
        <v>44732</v>
      </c>
      <c r="AA373" s="2140">
        <v>44761</v>
      </c>
      <c r="AB373" s="2140">
        <v>44802</v>
      </c>
      <c r="AC373" s="2106"/>
    </row>
    <row r="374" spans="1:32">
      <c r="A374" s="2153">
        <v>44610</v>
      </c>
      <c r="B374" s="2156" t="s">
        <v>11086</v>
      </c>
      <c r="C374" s="2154" t="s">
        <v>69</v>
      </c>
      <c r="D374" s="2154" t="s">
        <v>70</v>
      </c>
      <c r="E374" s="2155" t="s">
        <v>11168</v>
      </c>
      <c r="F374" s="2154"/>
      <c r="G374" s="2156" t="s">
        <v>11087</v>
      </c>
      <c r="H374" s="2085"/>
      <c r="I374" s="2154" t="s">
        <v>93</v>
      </c>
      <c r="J374" s="2154"/>
      <c r="K374" s="2157">
        <v>134757341</v>
      </c>
      <c r="L374" s="2154" t="s">
        <v>251</v>
      </c>
      <c r="M374" s="2153">
        <v>44806</v>
      </c>
      <c r="N374" s="2153">
        <v>44865</v>
      </c>
      <c r="O374" s="2153">
        <v>44889</v>
      </c>
      <c r="P374" s="2156" t="s">
        <v>2548</v>
      </c>
      <c r="Q374" s="2154"/>
      <c r="R374" s="2157">
        <v>117573518.40000001</v>
      </c>
      <c r="S374" s="2157">
        <v>129330870.23999999</v>
      </c>
      <c r="T374" s="2094"/>
      <c r="U374" s="2094"/>
      <c r="V374" s="2094"/>
      <c r="W374" s="2160">
        <v>44889</v>
      </c>
      <c r="X374" s="2157" t="s">
        <v>13611</v>
      </c>
      <c r="Y374" s="2154"/>
      <c r="Z374" s="2154"/>
      <c r="AA374" s="2154"/>
      <c r="AB374" s="2154"/>
      <c r="AC374" s="2154"/>
    </row>
    <row r="375" spans="1:32" ht="15.75" thickBot="1">
      <c r="A375" s="464">
        <v>44610</v>
      </c>
      <c r="B375" s="1425" t="s">
        <v>11088</v>
      </c>
      <c r="C375" s="406" t="s">
        <v>69</v>
      </c>
      <c r="D375" s="406" t="s">
        <v>70</v>
      </c>
      <c r="E375" s="462" t="s">
        <v>11169</v>
      </c>
      <c r="F375" s="406"/>
      <c r="G375" s="1425" t="s">
        <v>11089</v>
      </c>
      <c r="H375" s="406"/>
      <c r="I375" s="406" t="s">
        <v>93</v>
      </c>
      <c r="J375" s="406"/>
      <c r="K375" s="465">
        <v>133903759</v>
      </c>
      <c r="L375" s="406" t="s">
        <v>251</v>
      </c>
      <c r="M375" s="464">
        <v>44834</v>
      </c>
      <c r="N375" s="464">
        <v>44869</v>
      </c>
      <c r="O375" s="464">
        <v>44910</v>
      </c>
      <c r="P375" s="1425" t="s">
        <v>576</v>
      </c>
      <c r="Q375" s="406"/>
      <c r="R375" s="465">
        <v>133497916.56</v>
      </c>
      <c r="S375" s="465">
        <v>146847708.22</v>
      </c>
      <c r="T375" s="1478"/>
      <c r="U375" s="1478"/>
      <c r="V375" s="1478"/>
      <c r="W375" s="1809">
        <v>44910</v>
      </c>
      <c r="X375" s="465" t="s">
        <v>13762</v>
      </c>
      <c r="Y375" s="406"/>
      <c r="Z375" s="406"/>
      <c r="AA375" s="406"/>
      <c r="AB375" s="406"/>
      <c r="AC375" s="406"/>
    </row>
    <row r="376" spans="1:32" ht="30.75" thickTop="1">
      <c r="A376" s="474" t="s">
        <v>3585</v>
      </c>
      <c r="B376" s="1420" t="s">
        <v>11096</v>
      </c>
      <c r="C376" s="453" t="s">
        <v>2434</v>
      </c>
      <c r="D376" s="453" t="s">
        <v>219</v>
      </c>
      <c r="E376" s="473" t="s">
        <v>11097</v>
      </c>
      <c r="F376" s="453">
        <v>1</v>
      </c>
      <c r="G376" s="1420" t="s">
        <v>9255</v>
      </c>
      <c r="H376" s="453"/>
      <c r="I376" s="453" t="s">
        <v>3271</v>
      </c>
      <c r="J376" s="453"/>
      <c r="K376" s="457">
        <v>701000</v>
      </c>
      <c r="L376" s="453" t="s">
        <v>251</v>
      </c>
      <c r="M376" s="474">
        <v>44623</v>
      </c>
      <c r="N376" s="474">
        <v>44657</v>
      </c>
      <c r="O376" s="474">
        <v>44715</v>
      </c>
      <c r="P376" s="1420" t="s">
        <v>1433</v>
      </c>
      <c r="Q376" s="453"/>
      <c r="R376" s="457">
        <v>700000</v>
      </c>
      <c r="S376" s="457">
        <v>847000</v>
      </c>
      <c r="T376" s="1474"/>
      <c r="U376" s="1474"/>
      <c r="V376" s="1474"/>
      <c r="W376" s="570">
        <v>44715</v>
      </c>
      <c r="X376" s="1387" t="s">
        <v>12057</v>
      </c>
      <c r="Y376" s="474">
        <v>44764</v>
      </c>
      <c r="Z376" s="474">
        <v>44784</v>
      </c>
      <c r="AA376" s="474">
        <v>45859</v>
      </c>
      <c r="AB376" s="1391" t="s">
        <v>12574</v>
      </c>
      <c r="AC376" s="1391">
        <v>2023</v>
      </c>
      <c r="AD376" s="388">
        <v>2024</v>
      </c>
      <c r="AE376" s="388" t="s">
        <v>12575</v>
      </c>
    </row>
    <row r="377" spans="1:32" ht="30.75" thickBot="1">
      <c r="A377" s="2117" t="s">
        <v>3585</v>
      </c>
      <c r="B377" s="2120" t="s">
        <v>11096</v>
      </c>
      <c r="C377" s="2118" t="s">
        <v>2434</v>
      </c>
      <c r="D377" s="2118" t="s">
        <v>219</v>
      </c>
      <c r="E377" s="2119" t="s">
        <v>11097</v>
      </c>
      <c r="F377" s="2118">
        <v>2</v>
      </c>
      <c r="G377" s="2120" t="s">
        <v>9258</v>
      </c>
      <c r="H377" s="2118"/>
      <c r="I377" s="2118" t="s">
        <v>3271</v>
      </c>
      <c r="J377" s="2118"/>
      <c r="K377" s="2121">
        <v>3488800</v>
      </c>
      <c r="L377" s="2118" t="s">
        <v>251</v>
      </c>
      <c r="M377" s="2117">
        <v>44623</v>
      </c>
      <c r="N377" s="2117">
        <v>44657</v>
      </c>
      <c r="O377" s="2117">
        <v>44715</v>
      </c>
      <c r="P377" s="2120" t="s">
        <v>1433</v>
      </c>
      <c r="Q377" s="2118"/>
      <c r="R377" s="2121">
        <v>3488800</v>
      </c>
      <c r="S377" s="2121">
        <v>4221448</v>
      </c>
      <c r="T377" s="2122"/>
      <c r="U377" s="2122"/>
      <c r="V377" s="2122"/>
      <c r="W377" s="2123">
        <v>44715</v>
      </c>
      <c r="X377" s="2246" t="s">
        <v>12058</v>
      </c>
      <c r="Y377" s="2117">
        <v>44764</v>
      </c>
      <c r="Z377" s="2117">
        <v>44784</v>
      </c>
      <c r="AA377" s="2117">
        <v>45859</v>
      </c>
      <c r="AB377" s="2110" t="s">
        <v>12574</v>
      </c>
      <c r="AC377" s="2110">
        <v>2023</v>
      </c>
      <c r="AD377" s="388">
        <v>2024</v>
      </c>
      <c r="AE377" s="388" t="s">
        <v>12575</v>
      </c>
    </row>
    <row r="378" spans="1:32" ht="45.75" thickTop="1">
      <c r="A378" s="365">
        <v>44609</v>
      </c>
      <c r="B378" s="2657" t="s">
        <v>11098</v>
      </c>
      <c r="C378" s="2656" t="s">
        <v>9694</v>
      </c>
      <c r="D378" s="2656" t="s">
        <v>4969</v>
      </c>
      <c r="E378" s="175" t="s">
        <v>11099</v>
      </c>
      <c r="F378" s="2656">
        <v>1</v>
      </c>
      <c r="G378" s="2657" t="s">
        <v>11100</v>
      </c>
      <c r="H378" s="2656"/>
      <c r="I378" s="2656" t="s">
        <v>275</v>
      </c>
      <c r="J378" s="2656" t="s">
        <v>11101</v>
      </c>
      <c r="K378" s="364">
        <v>8743610</v>
      </c>
      <c r="L378" s="2656" t="s">
        <v>251</v>
      </c>
      <c r="M378" s="365">
        <v>44644</v>
      </c>
      <c r="N378" s="365">
        <v>44697</v>
      </c>
      <c r="O378" s="365">
        <v>44708</v>
      </c>
      <c r="P378" s="2657" t="s">
        <v>6173</v>
      </c>
      <c r="Q378" s="2656"/>
      <c r="R378" s="364">
        <v>8809000</v>
      </c>
      <c r="S378" s="364">
        <v>10658890</v>
      </c>
      <c r="T378" s="1473"/>
      <c r="U378" s="1473"/>
      <c r="V378" s="1473"/>
      <c r="W378" s="681">
        <v>44708</v>
      </c>
      <c r="X378" s="1417" t="s">
        <v>11980</v>
      </c>
      <c r="Y378" s="365">
        <v>44739</v>
      </c>
      <c r="Z378" s="365">
        <v>44742</v>
      </c>
      <c r="AA378" s="365">
        <v>44795</v>
      </c>
      <c r="AB378" s="365">
        <v>44872</v>
      </c>
      <c r="AC378" s="451" t="s">
        <v>6118</v>
      </c>
    </row>
    <row r="379" spans="1:32">
      <c r="A379" s="2124">
        <v>44609</v>
      </c>
      <c r="B379" s="2127" t="s">
        <v>11098</v>
      </c>
      <c r="C379" s="2125" t="s">
        <v>9694</v>
      </c>
      <c r="D379" s="2125" t="s">
        <v>4969</v>
      </c>
      <c r="E379" s="2126" t="s">
        <v>11099</v>
      </c>
      <c r="F379" s="2125">
        <v>2</v>
      </c>
      <c r="G379" s="2127" t="s">
        <v>11103</v>
      </c>
      <c r="H379" s="2125"/>
      <c r="I379" s="2125" t="s">
        <v>275</v>
      </c>
      <c r="J379" s="2125" t="s">
        <v>11102</v>
      </c>
      <c r="K379" s="2128">
        <v>3552600</v>
      </c>
      <c r="L379" s="2125" t="s">
        <v>251</v>
      </c>
      <c r="M379" s="2124">
        <v>44644</v>
      </c>
      <c r="N379" s="2124">
        <v>44697</v>
      </c>
      <c r="O379" s="2125"/>
      <c r="P379" s="2136" t="s">
        <v>304</v>
      </c>
      <c r="Q379" s="2275" t="s">
        <v>12345</v>
      </c>
      <c r="R379" s="2128"/>
      <c r="S379" s="2128"/>
      <c r="T379" s="2129"/>
      <c r="U379" s="2129"/>
      <c r="V379" s="2129"/>
      <c r="W379" s="2128"/>
      <c r="X379" s="2128"/>
      <c r="Y379" s="2125"/>
      <c r="Z379" s="2124">
        <v>44715</v>
      </c>
      <c r="AA379" s="2125" t="s">
        <v>11937</v>
      </c>
      <c r="AB379" s="2125"/>
      <c r="AC379" s="2125"/>
    </row>
    <row r="380" spans="1:32" ht="45">
      <c r="A380" s="2140">
        <v>44610</v>
      </c>
      <c r="B380" s="2143" t="s">
        <v>11124</v>
      </c>
      <c r="C380" s="2141" t="s">
        <v>9694</v>
      </c>
      <c r="D380" s="2141" t="s">
        <v>4969</v>
      </c>
      <c r="E380" s="2142" t="s">
        <v>11125</v>
      </c>
      <c r="F380" s="2141"/>
      <c r="G380" s="2143"/>
      <c r="H380" s="2141"/>
      <c r="I380" s="2141" t="s">
        <v>77</v>
      </c>
      <c r="J380" s="2141" t="s">
        <v>11126</v>
      </c>
      <c r="K380" s="2144">
        <v>14386500</v>
      </c>
      <c r="L380" s="2141" t="s">
        <v>251</v>
      </c>
      <c r="M380" s="2140">
        <v>44643</v>
      </c>
      <c r="N380" s="2140">
        <v>44678</v>
      </c>
      <c r="O380" s="2140">
        <v>44818</v>
      </c>
      <c r="P380" s="2143" t="s">
        <v>1433</v>
      </c>
      <c r="Q380" s="2141"/>
      <c r="R380" s="2144">
        <v>16718650</v>
      </c>
      <c r="S380" s="2144">
        <v>20229566.5</v>
      </c>
      <c r="T380" s="2145"/>
      <c r="U380" s="2145"/>
      <c r="V380" s="2145"/>
      <c r="W380" s="2146">
        <v>44818</v>
      </c>
      <c r="X380" s="2260" t="s">
        <v>13071</v>
      </c>
      <c r="Y380" s="2140">
        <v>44852</v>
      </c>
      <c r="Z380" s="2140">
        <v>44855</v>
      </c>
      <c r="AA380" s="2140">
        <v>44865</v>
      </c>
      <c r="AB380" s="2109"/>
      <c r="AC380" s="2109" t="s">
        <v>6118</v>
      </c>
    </row>
    <row r="381" spans="1:32" ht="15.75" thickBot="1">
      <c r="A381" s="643">
        <v>44615</v>
      </c>
      <c r="B381" s="1533" t="s">
        <v>11132</v>
      </c>
      <c r="C381" s="639" t="s">
        <v>58</v>
      </c>
      <c r="D381" s="639" t="s">
        <v>4969</v>
      </c>
      <c r="E381" s="640" t="s">
        <v>11133</v>
      </c>
      <c r="F381" s="639"/>
      <c r="G381" s="1533"/>
      <c r="H381" s="639"/>
      <c r="I381" s="639" t="s">
        <v>77</v>
      </c>
      <c r="J381" s="639" t="s">
        <v>11134</v>
      </c>
      <c r="K381" s="645">
        <v>404720</v>
      </c>
      <c r="L381" s="639" t="s">
        <v>251</v>
      </c>
      <c r="M381" s="643">
        <v>44622</v>
      </c>
      <c r="N381" s="643">
        <v>44656</v>
      </c>
      <c r="O381" s="639"/>
      <c r="P381" s="644" t="s">
        <v>304</v>
      </c>
      <c r="Q381" s="2019" t="s">
        <v>11526</v>
      </c>
      <c r="R381" s="645"/>
      <c r="S381" s="645"/>
      <c r="T381" s="1534"/>
      <c r="U381" s="1534"/>
      <c r="V381" s="1534"/>
      <c r="W381" s="645"/>
      <c r="X381" s="645"/>
      <c r="Y381" s="639"/>
      <c r="Z381" s="643">
        <v>44673</v>
      </c>
      <c r="AA381" s="639" t="s">
        <v>11555</v>
      </c>
      <c r="AB381" s="639"/>
      <c r="AC381" s="639"/>
    </row>
    <row r="382" spans="1:32" ht="15.75" thickTop="1">
      <c r="A382" s="443">
        <v>44615</v>
      </c>
      <c r="B382" s="1431" t="s">
        <v>11135</v>
      </c>
      <c r="C382" s="439" t="s">
        <v>9694</v>
      </c>
      <c r="D382" s="439" t="s">
        <v>4969</v>
      </c>
      <c r="E382" s="440" t="s">
        <v>11136</v>
      </c>
      <c r="F382" s="439">
        <v>1</v>
      </c>
      <c r="G382" s="1431" t="s">
        <v>11137</v>
      </c>
      <c r="H382" s="583"/>
      <c r="I382" s="439" t="s">
        <v>275</v>
      </c>
      <c r="J382" s="439" t="s">
        <v>11139</v>
      </c>
      <c r="K382" s="444">
        <v>545000</v>
      </c>
      <c r="L382" s="439" t="s">
        <v>251</v>
      </c>
      <c r="M382" s="443">
        <v>44651</v>
      </c>
      <c r="N382" s="443">
        <v>44687</v>
      </c>
      <c r="O382" s="439"/>
      <c r="P382" s="753" t="s">
        <v>2635</v>
      </c>
      <c r="Q382" s="2015" t="s">
        <v>11896</v>
      </c>
      <c r="R382" s="444"/>
      <c r="S382" s="444"/>
      <c r="T382" s="1483"/>
      <c r="U382" s="1483"/>
      <c r="V382" s="1483"/>
      <c r="W382" s="444"/>
      <c r="X382" s="444"/>
      <c r="Y382" s="439"/>
      <c r="Z382" s="443">
        <v>44699</v>
      </c>
      <c r="AA382" s="439" t="s">
        <v>11802</v>
      </c>
      <c r="AB382" s="439"/>
      <c r="AC382" s="439"/>
    </row>
    <row r="383" spans="1:32" ht="45.75" thickBot="1">
      <c r="A383" s="2117">
        <v>44615</v>
      </c>
      <c r="B383" s="2120" t="s">
        <v>11135</v>
      </c>
      <c r="C383" s="2118" t="s">
        <v>9694</v>
      </c>
      <c r="D383" s="2118" t="s">
        <v>4969</v>
      </c>
      <c r="E383" s="2119" t="s">
        <v>11136</v>
      </c>
      <c r="F383" s="2118">
        <v>2</v>
      </c>
      <c r="G383" s="2120" t="s">
        <v>11140</v>
      </c>
      <c r="H383" s="2118"/>
      <c r="I383" s="2118" t="s">
        <v>275</v>
      </c>
      <c r="J383" s="2118" t="s">
        <v>11138</v>
      </c>
      <c r="K383" s="2121">
        <v>1697791</v>
      </c>
      <c r="L383" s="2118" t="s">
        <v>251</v>
      </c>
      <c r="M383" s="2117">
        <v>44651</v>
      </c>
      <c r="N383" s="2117">
        <v>44687</v>
      </c>
      <c r="O383" s="2117">
        <v>44733</v>
      </c>
      <c r="P383" s="2120" t="s">
        <v>10252</v>
      </c>
      <c r="Q383" s="2118"/>
      <c r="R383" s="2121">
        <v>2823629.6</v>
      </c>
      <c r="S383" s="2121">
        <v>3416591.82</v>
      </c>
      <c r="T383" s="2122"/>
      <c r="U383" s="2122"/>
      <c r="V383" s="2122"/>
      <c r="W383" s="2123">
        <v>44733</v>
      </c>
      <c r="X383" s="2246" t="s">
        <v>12305</v>
      </c>
      <c r="Y383" s="2117">
        <v>44761</v>
      </c>
      <c r="Z383" s="2117">
        <v>44767</v>
      </c>
      <c r="AA383" s="2117">
        <f>Y383+56</f>
        <v>44817</v>
      </c>
      <c r="AB383" s="2110"/>
      <c r="AC383" s="2110" t="s">
        <v>6118</v>
      </c>
    </row>
    <row r="384" spans="1:32" ht="16.5" thickTop="1" thickBot="1">
      <c r="A384" s="498">
        <v>44606</v>
      </c>
      <c r="B384" s="669" t="s">
        <v>11142</v>
      </c>
      <c r="C384" s="232" t="s">
        <v>11143</v>
      </c>
      <c r="D384" s="232" t="s">
        <v>4969</v>
      </c>
      <c r="E384" s="274" t="s">
        <v>11144</v>
      </c>
      <c r="F384" s="232"/>
      <c r="G384" s="669"/>
      <c r="H384" s="232"/>
      <c r="I384" s="232" t="s">
        <v>11146</v>
      </c>
      <c r="J384" s="232" t="s">
        <v>11145</v>
      </c>
      <c r="K384" s="499">
        <v>18600000</v>
      </c>
      <c r="L384" s="232" t="s">
        <v>251</v>
      </c>
      <c r="M384" s="498">
        <v>44678</v>
      </c>
      <c r="N384" s="498">
        <v>44713</v>
      </c>
      <c r="O384" s="498">
        <v>44743</v>
      </c>
      <c r="P384" s="669" t="s">
        <v>12436</v>
      </c>
      <c r="Q384" s="232"/>
      <c r="R384" s="499">
        <v>20429134</v>
      </c>
      <c r="S384" s="499">
        <v>24719252.140000001</v>
      </c>
      <c r="T384" s="1545"/>
      <c r="U384" s="1545"/>
      <c r="V384" s="1545"/>
      <c r="W384" s="682">
        <v>44743</v>
      </c>
      <c r="X384" s="499" t="s">
        <v>12442</v>
      </c>
      <c r="Y384" s="498">
        <v>44769</v>
      </c>
      <c r="Z384" s="498">
        <v>44770</v>
      </c>
      <c r="AA384" s="232"/>
      <c r="AB384" s="498">
        <v>45553</v>
      </c>
      <c r="AC384" s="1558"/>
    </row>
    <row r="385" spans="1:31" ht="15.75" thickTop="1">
      <c r="A385" s="443">
        <v>44617</v>
      </c>
      <c r="B385" s="1431" t="s">
        <v>11151</v>
      </c>
      <c r="C385" s="439" t="s">
        <v>69</v>
      </c>
      <c r="D385" s="439" t="s">
        <v>70</v>
      </c>
      <c r="E385" s="440" t="s">
        <v>11152</v>
      </c>
      <c r="F385" s="439">
        <v>1</v>
      </c>
      <c r="G385" s="1431" t="s">
        <v>6104</v>
      </c>
      <c r="H385" s="439"/>
      <c r="I385" s="439" t="s">
        <v>3435</v>
      </c>
      <c r="J385" s="439"/>
      <c r="K385" s="444">
        <v>3945622</v>
      </c>
      <c r="L385" s="439" t="s">
        <v>251</v>
      </c>
      <c r="M385" s="443">
        <v>44624</v>
      </c>
      <c r="N385" s="443">
        <v>44671</v>
      </c>
      <c r="O385" s="439"/>
      <c r="P385" s="753" t="s">
        <v>304</v>
      </c>
      <c r="Q385" s="2015" t="s">
        <v>13355</v>
      </c>
      <c r="R385" s="444"/>
      <c r="S385" s="444"/>
      <c r="T385" s="1481"/>
      <c r="U385" s="1481"/>
      <c r="V385" s="1481"/>
      <c r="W385" s="444"/>
      <c r="X385" s="444"/>
      <c r="Y385" s="439"/>
      <c r="Z385" s="443">
        <v>44714</v>
      </c>
      <c r="AA385" s="1431" t="s">
        <v>11779</v>
      </c>
      <c r="AB385" s="439"/>
      <c r="AC385" s="439"/>
    </row>
    <row r="386" spans="1:31">
      <c r="A386" s="2140">
        <v>44617</v>
      </c>
      <c r="B386" s="2143" t="s">
        <v>11151</v>
      </c>
      <c r="C386" s="2141" t="s">
        <v>69</v>
      </c>
      <c r="D386" s="2141" t="s">
        <v>70</v>
      </c>
      <c r="E386" s="2142" t="s">
        <v>11152</v>
      </c>
      <c r="F386" s="2141">
        <v>2</v>
      </c>
      <c r="G386" s="2143" t="s">
        <v>6108</v>
      </c>
      <c r="H386" s="2141"/>
      <c r="I386" s="2141" t="s">
        <v>3435</v>
      </c>
      <c r="J386" s="2141"/>
      <c r="K386" s="2144">
        <v>1155420</v>
      </c>
      <c r="L386" s="2141" t="s">
        <v>251</v>
      </c>
      <c r="M386" s="2140">
        <v>44624</v>
      </c>
      <c r="N386" s="2140">
        <v>44671</v>
      </c>
      <c r="O386" s="2140">
        <v>44690</v>
      </c>
      <c r="P386" s="2143" t="s">
        <v>2548</v>
      </c>
      <c r="Q386" s="2141"/>
      <c r="R386" s="2144">
        <v>610187.52000000002</v>
      </c>
      <c r="S386" s="2144">
        <v>671206.27</v>
      </c>
      <c r="T386" s="2145"/>
      <c r="U386" s="2145"/>
      <c r="V386" s="2145"/>
      <c r="W386" s="2146">
        <v>44691</v>
      </c>
      <c r="X386" s="2144" t="s">
        <v>11780</v>
      </c>
      <c r="Y386" s="2140">
        <v>44740</v>
      </c>
      <c r="Z386" s="2140">
        <v>44741</v>
      </c>
      <c r="AA386" s="2140">
        <v>45835</v>
      </c>
      <c r="AB386" s="2109" t="s">
        <v>12370</v>
      </c>
      <c r="AC386" s="2109">
        <v>2023</v>
      </c>
      <c r="AD386" s="388">
        <v>2024</v>
      </c>
      <c r="AE386" s="388" t="s">
        <v>9277</v>
      </c>
    </row>
    <row r="387" spans="1:31">
      <c r="A387" s="2124">
        <v>44617</v>
      </c>
      <c r="B387" s="2127" t="s">
        <v>11151</v>
      </c>
      <c r="C387" s="2125" t="s">
        <v>69</v>
      </c>
      <c r="D387" s="2125" t="s">
        <v>70</v>
      </c>
      <c r="E387" s="2126" t="s">
        <v>11152</v>
      </c>
      <c r="F387" s="2125">
        <v>3</v>
      </c>
      <c r="G387" s="2127" t="s">
        <v>6106</v>
      </c>
      <c r="H387" s="2125"/>
      <c r="I387" s="2125" t="s">
        <v>3435</v>
      </c>
      <c r="J387" s="2125"/>
      <c r="K387" s="2128">
        <v>48828464</v>
      </c>
      <c r="L387" s="2125" t="s">
        <v>251</v>
      </c>
      <c r="M387" s="2124">
        <v>44624</v>
      </c>
      <c r="N387" s="2124">
        <v>44671</v>
      </c>
      <c r="O387" s="2125"/>
      <c r="P387" s="2136" t="s">
        <v>304</v>
      </c>
      <c r="Q387" s="2275" t="s">
        <v>13355</v>
      </c>
      <c r="R387" s="2128"/>
      <c r="S387" s="2128"/>
      <c r="T387" s="2129"/>
      <c r="U387" s="2129"/>
      <c r="V387" s="2129"/>
      <c r="W387" s="2128"/>
      <c r="X387" s="2128"/>
      <c r="Y387" s="2125"/>
      <c r="Z387" s="2124">
        <v>44714</v>
      </c>
      <c r="AA387" s="2127" t="s">
        <v>11779</v>
      </c>
      <c r="AB387" s="2125"/>
      <c r="AC387" s="2125"/>
    </row>
    <row r="388" spans="1:31" ht="15.75" thickBot="1">
      <c r="A388" s="2117">
        <v>44617</v>
      </c>
      <c r="B388" s="2120" t="s">
        <v>11151</v>
      </c>
      <c r="C388" s="2118" t="s">
        <v>69</v>
      </c>
      <c r="D388" s="2118" t="s">
        <v>70</v>
      </c>
      <c r="E388" s="2119" t="s">
        <v>11152</v>
      </c>
      <c r="F388" s="2118">
        <v>4</v>
      </c>
      <c r="G388" s="2120" t="s">
        <v>6107</v>
      </c>
      <c r="H388" s="2118"/>
      <c r="I388" s="2118" t="s">
        <v>3435</v>
      </c>
      <c r="J388" s="2118"/>
      <c r="K388" s="2121">
        <v>3616662</v>
      </c>
      <c r="L388" s="2118" t="s">
        <v>251</v>
      </c>
      <c r="M388" s="2117">
        <v>44624</v>
      </c>
      <c r="N388" s="2117">
        <v>44671</v>
      </c>
      <c r="O388" s="2117">
        <v>44690</v>
      </c>
      <c r="P388" s="2120" t="s">
        <v>576</v>
      </c>
      <c r="Q388" s="2118"/>
      <c r="R388" s="2121">
        <v>3609911.7</v>
      </c>
      <c r="S388" s="2121">
        <v>3970902.87</v>
      </c>
      <c r="T388" s="2122"/>
      <c r="U388" s="2122"/>
      <c r="V388" s="2122"/>
      <c r="W388" s="2123">
        <v>44691</v>
      </c>
      <c r="X388" s="2121" t="s">
        <v>11788</v>
      </c>
      <c r="Y388" s="2117">
        <v>44712</v>
      </c>
      <c r="Z388" s="2117">
        <v>44714</v>
      </c>
      <c r="AA388" s="2117">
        <v>45807</v>
      </c>
      <c r="AB388" s="2110" t="s">
        <v>12001</v>
      </c>
      <c r="AC388" s="2110">
        <v>2023</v>
      </c>
      <c r="AD388" s="388">
        <v>2024</v>
      </c>
      <c r="AE388" s="388" t="s">
        <v>12002</v>
      </c>
    </row>
    <row r="389" spans="1:31" ht="30.75" thickTop="1">
      <c r="A389" s="474">
        <v>44620</v>
      </c>
      <c r="B389" s="1420" t="s">
        <v>11163</v>
      </c>
      <c r="C389" s="453" t="s">
        <v>58</v>
      </c>
      <c r="D389" s="453" t="s">
        <v>4969</v>
      </c>
      <c r="E389" s="473" t="s">
        <v>7372</v>
      </c>
      <c r="F389" s="453">
        <v>1</v>
      </c>
      <c r="G389" s="1420" t="s">
        <v>8967</v>
      </c>
      <c r="H389" s="453"/>
      <c r="I389" s="453" t="s">
        <v>1924</v>
      </c>
      <c r="J389" s="453" t="s">
        <v>11165</v>
      </c>
      <c r="K389" s="457">
        <v>185298</v>
      </c>
      <c r="L389" s="453" t="s">
        <v>112</v>
      </c>
      <c r="M389" s="474">
        <v>44623</v>
      </c>
      <c r="N389" s="474">
        <v>44635</v>
      </c>
      <c r="O389" s="474">
        <v>44658</v>
      </c>
      <c r="P389" s="1420" t="s">
        <v>11488</v>
      </c>
      <c r="Q389" s="453"/>
      <c r="R389" s="457">
        <v>262130</v>
      </c>
      <c r="S389" s="457">
        <v>317177.3</v>
      </c>
      <c r="T389" s="1474"/>
      <c r="U389" s="1474"/>
      <c r="V389" s="1474"/>
      <c r="W389" s="570">
        <v>44658</v>
      </c>
      <c r="X389" s="1387" t="s">
        <v>11546</v>
      </c>
      <c r="Y389" s="474">
        <v>44685</v>
      </c>
      <c r="Z389" s="474">
        <v>44690</v>
      </c>
      <c r="AA389" s="474">
        <v>44755</v>
      </c>
      <c r="AB389" s="1391"/>
      <c r="AC389" s="1391" t="s">
        <v>1875</v>
      </c>
    </row>
    <row r="390" spans="1:31" ht="30">
      <c r="A390" s="2140">
        <v>44620</v>
      </c>
      <c r="B390" s="2143" t="s">
        <v>11163</v>
      </c>
      <c r="C390" s="2141" t="s">
        <v>58</v>
      </c>
      <c r="D390" s="2141" t="s">
        <v>4969</v>
      </c>
      <c r="E390" s="2142" t="s">
        <v>7372</v>
      </c>
      <c r="F390" s="2141">
        <v>2</v>
      </c>
      <c r="G390" s="2143" t="s">
        <v>8968</v>
      </c>
      <c r="H390" s="2141"/>
      <c r="I390" s="2141" t="s">
        <v>1924</v>
      </c>
      <c r="J390" s="2141" t="s">
        <v>11167</v>
      </c>
      <c r="K390" s="2144">
        <v>420394</v>
      </c>
      <c r="L390" s="2141" t="s">
        <v>112</v>
      </c>
      <c r="M390" s="2140">
        <v>44623</v>
      </c>
      <c r="N390" s="2140">
        <v>44635</v>
      </c>
      <c r="O390" s="2140">
        <v>44658</v>
      </c>
      <c r="P390" s="2143" t="s">
        <v>9720</v>
      </c>
      <c r="Q390" s="2141"/>
      <c r="R390" s="2144">
        <v>382200</v>
      </c>
      <c r="S390" s="2144">
        <v>462462</v>
      </c>
      <c r="T390" s="2145"/>
      <c r="U390" s="2145"/>
      <c r="V390" s="2145"/>
      <c r="W390" s="2146">
        <v>44658</v>
      </c>
      <c r="X390" s="2260" t="s">
        <v>11547</v>
      </c>
      <c r="Y390" s="2140">
        <v>44685</v>
      </c>
      <c r="Z390" s="2140">
        <v>44690</v>
      </c>
      <c r="AA390" s="2140">
        <v>44825</v>
      </c>
      <c r="AB390" s="2464">
        <v>44845</v>
      </c>
      <c r="AC390" s="2109" t="s">
        <v>1875</v>
      </c>
    </row>
    <row r="391" spans="1:31" ht="30.75" thickBot="1">
      <c r="A391" s="2117">
        <v>44620</v>
      </c>
      <c r="B391" s="2120" t="s">
        <v>11163</v>
      </c>
      <c r="C391" s="2118" t="s">
        <v>58</v>
      </c>
      <c r="D391" s="2118" t="s">
        <v>4969</v>
      </c>
      <c r="E391" s="2119" t="s">
        <v>7372</v>
      </c>
      <c r="F391" s="2118">
        <v>3</v>
      </c>
      <c r="G391" s="2120" t="s">
        <v>11164</v>
      </c>
      <c r="H391" s="2118"/>
      <c r="I391" s="2118" t="s">
        <v>1924</v>
      </c>
      <c r="J391" s="2118" t="s">
        <v>11166</v>
      </c>
      <c r="K391" s="2121">
        <v>152496</v>
      </c>
      <c r="L391" s="2118" t="s">
        <v>112</v>
      </c>
      <c r="M391" s="2117">
        <v>44623</v>
      </c>
      <c r="N391" s="2117">
        <v>44635</v>
      </c>
      <c r="O391" s="2117">
        <v>44658</v>
      </c>
      <c r="P391" s="2120" t="s">
        <v>9720</v>
      </c>
      <c r="Q391" s="2118"/>
      <c r="R391" s="2121">
        <v>168090</v>
      </c>
      <c r="S391" s="2121">
        <v>203388.9</v>
      </c>
      <c r="T391" s="2122"/>
      <c r="U391" s="2122"/>
      <c r="V391" s="2122"/>
      <c r="W391" s="2123">
        <v>44658</v>
      </c>
      <c r="X391" s="2246" t="s">
        <v>11548</v>
      </c>
      <c r="Y391" s="2117">
        <v>44685</v>
      </c>
      <c r="Z391" s="2117">
        <v>44690</v>
      </c>
      <c r="AA391" s="2117">
        <v>44825</v>
      </c>
      <c r="AB391" s="2110"/>
      <c r="AC391" s="2110" t="s">
        <v>1875</v>
      </c>
    </row>
    <row r="392" spans="1:31" ht="45.75" thickTop="1">
      <c r="A392" s="365">
        <v>44615</v>
      </c>
      <c r="B392" s="2657" t="s">
        <v>11181</v>
      </c>
      <c r="C392" s="2656" t="s">
        <v>58</v>
      </c>
      <c r="D392" s="2656" t="s">
        <v>4969</v>
      </c>
      <c r="E392" s="175" t="s">
        <v>3111</v>
      </c>
      <c r="F392" s="2656"/>
      <c r="G392" s="2657"/>
      <c r="H392" s="576"/>
      <c r="I392" s="2656" t="s">
        <v>8415</v>
      </c>
      <c r="J392" s="2656" t="s">
        <v>11182</v>
      </c>
      <c r="K392" s="364">
        <v>28900000</v>
      </c>
      <c r="L392" s="2656" t="s">
        <v>251</v>
      </c>
      <c r="M392" s="365">
        <v>44627</v>
      </c>
      <c r="N392" s="365">
        <v>44690</v>
      </c>
      <c r="O392" s="365">
        <v>44714</v>
      </c>
      <c r="P392" s="2657" t="s">
        <v>2776</v>
      </c>
      <c r="Q392" s="2656"/>
      <c r="R392" s="364">
        <v>29018503.890000001</v>
      </c>
      <c r="S392" s="364">
        <v>35112389.710000001</v>
      </c>
      <c r="T392" s="1489"/>
      <c r="U392" s="1489"/>
      <c r="V392" s="1489"/>
      <c r="W392" s="681">
        <v>44714</v>
      </c>
      <c r="X392" s="1417" t="s">
        <v>12045</v>
      </c>
      <c r="Y392" s="365">
        <v>44739</v>
      </c>
      <c r="Z392" s="365">
        <v>44757</v>
      </c>
      <c r="AA392" s="365">
        <v>44781</v>
      </c>
      <c r="AB392" s="365">
        <v>44844</v>
      </c>
      <c r="AC392" s="451" t="s">
        <v>6118</v>
      </c>
    </row>
    <row r="393" spans="1:31" ht="15.75" thickBot="1">
      <c r="A393" s="416">
        <v>44621</v>
      </c>
      <c r="B393" s="630" t="s">
        <v>11184</v>
      </c>
      <c r="C393" s="411" t="s">
        <v>1032</v>
      </c>
      <c r="D393" s="411" t="s">
        <v>361</v>
      </c>
      <c r="E393" s="412" t="s">
        <v>11185</v>
      </c>
      <c r="F393" s="411"/>
      <c r="G393" s="630"/>
      <c r="H393" s="411"/>
      <c r="I393" s="411" t="s">
        <v>7263</v>
      </c>
      <c r="J393" s="411"/>
      <c r="K393" s="417">
        <v>1700000</v>
      </c>
      <c r="L393" s="411" t="s">
        <v>112</v>
      </c>
      <c r="M393" s="416">
        <v>44624</v>
      </c>
      <c r="N393" s="416">
        <v>44635</v>
      </c>
      <c r="O393" s="416">
        <v>44638</v>
      </c>
      <c r="P393" s="630" t="s">
        <v>409</v>
      </c>
      <c r="Q393" s="411"/>
      <c r="R393" s="417">
        <v>1406586.93</v>
      </c>
      <c r="S393" s="417">
        <v>1701970.19</v>
      </c>
      <c r="T393" s="1480"/>
      <c r="U393" s="1480"/>
      <c r="V393" s="1480"/>
      <c r="W393" s="513">
        <v>44638</v>
      </c>
      <c r="X393" s="417" t="s">
        <v>11367</v>
      </c>
      <c r="Y393" s="416">
        <v>44670</v>
      </c>
      <c r="Z393" s="416">
        <v>44676</v>
      </c>
      <c r="AA393" s="411"/>
      <c r="AB393" s="416">
        <v>44795</v>
      </c>
      <c r="AC393" s="967"/>
    </row>
    <row r="394" spans="1:31" ht="30.75" thickTop="1">
      <c r="A394" s="474">
        <v>44623</v>
      </c>
      <c r="B394" s="1420" t="s">
        <v>11203</v>
      </c>
      <c r="C394" s="453" t="s">
        <v>9694</v>
      </c>
      <c r="D394" s="453" t="s">
        <v>4969</v>
      </c>
      <c r="E394" s="2722" t="s">
        <v>461</v>
      </c>
      <c r="F394" s="453">
        <v>1</v>
      </c>
      <c r="G394" s="1420" t="s">
        <v>12721</v>
      </c>
      <c r="H394" s="453"/>
      <c r="I394" s="453" t="s">
        <v>462</v>
      </c>
      <c r="J394" s="453" t="s">
        <v>11204</v>
      </c>
      <c r="K394" s="457">
        <v>933000</v>
      </c>
      <c r="L394" s="453" t="s">
        <v>251</v>
      </c>
      <c r="M394" s="474">
        <v>44651</v>
      </c>
      <c r="N394" s="474">
        <v>44686</v>
      </c>
      <c r="O394" s="474">
        <v>44782</v>
      </c>
      <c r="P394" s="1420" t="s">
        <v>383</v>
      </c>
      <c r="Q394" s="453"/>
      <c r="R394" s="457">
        <v>900660</v>
      </c>
      <c r="S394" s="457">
        <v>1089798.6000000001</v>
      </c>
      <c r="T394" s="1474"/>
      <c r="U394" s="1474"/>
      <c r="V394" s="1474"/>
      <c r="W394" s="570">
        <v>44782</v>
      </c>
      <c r="X394" s="1387" t="s">
        <v>12672</v>
      </c>
      <c r="Y394" s="474">
        <v>44809</v>
      </c>
      <c r="Z394" s="474">
        <v>44816</v>
      </c>
      <c r="AA394" s="474">
        <v>44865</v>
      </c>
      <c r="AB394" s="1391"/>
      <c r="AC394" s="1391" t="s">
        <v>1875</v>
      </c>
    </row>
    <row r="395" spans="1:31" ht="30">
      <c r="A395" s="2140">
        <v>44623</v>
      </c>
      <c r="B395" s="2143" t="s">
        <v>11203</v>
      </c>
      <c r="C395" s="2141" t="s">
        <v>58</v>
      </c>
      <c r="D395" s="2141" t="s">
        <v>4969</v>
      </c>
      <c r="E395" s="2142" t="s">
        <v>461</v>
      </c>
      <c r="F395" s="2141">
        <v>2</v>
      </c>
      <c r="G395" s="2143" t="s">
        <v>11205</v>
      </c>
      <c r="H395" s="2141"/>
      <c r="I395" s="2141" t="s">
        <v>462</v>
      </c>
      <c r="J395" s="2141" t="s">
        <v>11206</v>
      </c>
      <c r="K395" s="2144">
        <v>490500</v>
      </c>
      <c r="L395" s="2141" t="s">
        <v>251</v>
      </c>
      <c r="M395" s="2140">
        <v>44651</v>
      </c>
      <c r="N395" s="2140">
        <v>44686</v>
      </c>
      <c r="O395" s="2140">
        <v>44782</v>
      </c>
      <c r="P395" s="2143" t="s">
        <v>5913</v>
      </c>
      <c r="Q395" s="2141"/>
      <c r="R395" s="2144">
        <v>483600</v>
      </c>
      <c r="S395" s="2144">
        <v>585156</v>
      </c>
      <c r="T395" s="2145"/>
      <c r="U395" s="2145"/>
      <c r="V395" s="2145"/>
      <c r="W395" s="2146">
        <v>44782</v>
      </c>
      <c r="X395" s="2260" t="s">
        <v>12673</v>
      </c>
      <c r="Y395" s="2140">
        <v>44806</v>
      </c>
      <c r="Z395" s="2140">
        <v>44816</v>
      </c>
      <c r="AA395" s="2140">
        <v>44865</v>
      </c>
      <c r="AB395" s="2109"/>
      <c r="AC395" s="2109" t="s">
        <v>1875</v>
      </c>
    </row>
    <row r="396" spans="1:31" ht="30">
      <c r="A396" s="2140">
        <v>44623</v>
      </c>
      <c r="B396" s="2143" t="s">
        <v>11203</v>
      </c>
      <c r="C396" s="2141" t="s">
        <v>9694</v>
      </c>
      <c r="D396" s="2141" t="s">
        <v>4969</v>
      </c>
      <c r="E396" s="2142" t="s">
        <v>461</v>
      </c>
      <c r="F396" s="2141">
        <v>3</v>
      </c>
      <c r="G396" s="2143" t="s">
        <v>11207</v>
      </c>
      <c r="H396" s="2141"/>
      <c r="I396" s="2141" t="s">
        <v>462</v>
      </c>
      <c r="J396" s="2141" t="s">
        <v>11208</v>
      </c>
      <c r="K396" s="2144">
        <v>1459983</v>
      </c>
      <c r="L396" s="2141" t="s">
        <v>251</v>
      </c>
      <c r="M396" s="2140">
        <v>44651</v>
      </c>
      <c r="N396" s="2140">
        <v>44686</v>
      </c>
      <c r="O396" s="2140">
        <v>44739</v>
      </c>
      <c r="P396" s="2143" t="s">
        <v>5913</v>
      </c>
      <c r="Q396" s="2141"/>
      <c r="R396" s="2144">
        <v>1446600</v>
      </c>
      <c r="S396" s="2144">
        <v>1750386</v>
      </c>
      <c r="T396" s="2145"/>
      <c r="U396" s="2145"/>
      <c r="V396" s="2145"/>
      <c r="W396" s="2146">
        <v>44739</v>
      </c>
      <c r="X396" s="2260" t="s">
        <v>12350</v>
      </c>
      <c r="Y396" s="2140">
        <v>44777</v>
      </c>
      <c r="Z396" s="2140">
        <v>44783</v>
      </c>
      <c r="AA396" s="2140">
        <v>44865</v>
      </c>
      <c r="AB396" s="2109"/>
      <c r="AC396" s="2109" t="s">
        <v>1875</v>
      </c>
    </row>
    <row r="397" spans="1:31" ht="30">
      <c r="A397" s="2140">
        <v>44623</v>
      </c>
      <c r="B397" s="2143" t="s">
        <v>11203</v>
      </c>
      <c r="C397" s="2141" t="s">
        <v>9694</v>
      </c>
      <c r="D397" s="2141" t="s">
        <v>4969</v>
      </c>
      <c r="E397" s="2142" t="s">
        <v>461</v>
      </c>
      <c r="F397" s="2141">
        <v>4</v>
      </c>
      <c r="G397" s="2143" t="s">
        <v>11209</v>
      </c>
      <c r="H397" s="2141"/>
      <c r="I397" s="2141" t="s">
        <v>462</v>
      </c>
      <c r="J397" s="2141" t="s">
        <v>11210</v>
      </c>
      <c r="K397" s="2144">
        <v>2756250</v>
      </c>
      <c r="L397" s="2141" t="s">
        <v>251</v>
      </c>
      <c r="M397" s="2140">
        <v>44651</v>
      </c>
      <c r="N397" s="2140">
        <v>44686</v>
      </c>
      <c r="O397" s="2140">
        <v>44739</v>
      </c>
      <c r="P397" s="2143" t="s">
        <v>5913</v>
      </c>
      <c r="Q397" s="2141"/>
      <c r="R397" s="2144">
        <v>2260600</v>
      </c>
      <c r="S397" s="2144">
        <v>2735326</v>
      </c>
      <c r="T397" s="2145"/>
      <c r="U397" s="2145"/>
      <c r="V397" s="2145"/>
      <c r="W397" s="2146">
        <v>44739</v>
      </c>
      <c r="X397" s="2260" t="s">
        <v>12351</v>
      </c>
      <c r="Y397" s="2140">
        <v>44778</v>
      </c>
      <c r="Z397" s="2140">
        <v>44783</v>
      </c>
      <c r="AA397" s="2140">
        <v>44865</v>
      </c>
      <c r="AB397" s="2109"/>
      <c r="AC397" s="2109" t="s">
        <v>1875</v>
      </c>
    </row>
    <row r="398" spans="1:31" ht="30">
      <c r="A398" s="2140">
        <v>44623</v>
      </c>
      <c r="B398" s="2143" t="s">
        <v>11203</v>
      </c>
      <c r="C398" s="2141" t="s">
        <v>58</v>
      </c>
      <c r="D398" s="2141" t="s">
        <v>4969</v>
      </c>
      <c r="E398" s="2142" t="s">
        <v>461</v>
      </c>
      <c r="F398" s="2141">
        <v>5</v>
      </c>
      <c r="G398" s="2143" t="s">
        <v>11212</v>
      </c>
      <c r="H398" s="2141"/>
      <c r="I398" s="2141" t="s">
        <v>462</v>
      </c>
      <c r="J398" s="2141" t="s">
        <v>11211</v>
      </c>
      <c r="K398" s="2144">
        <v>948000</v>
      </c>
      <c r="L398" s="2141" t="s">
        <v>251</v>
      </c>
      <c r="M398" s="2140">
        <v>44651</v>
      </c>
      <c r="N398" s="2140">
        <v>44686</v>
      </c>
      <c r="O398" s="2140">
        <v>44739</v>
      </c>
      <c r="P398" s="2143" t="s">
        <v>5914</v>
      </c>
      <c r="Q398" s="2141"/>
      <c r="R398" s="2144">
        <v>917057.22</v>
      </c>
      <c r="S398" s="2144">
        <v>1109639.24</v>
      </c>
      <c r="T398" s="2145"/>
      <c r="U398" s="2145"/>
      <c r="V398" s="2145"/>
      <c r="W398" s="2146">
        <v>44739</v>
      </c>
      <c r="X398" s="2260" t="s">
        <v>12352</v>
      </c>
      <c r="Y398" s="2140">
        <v>44777</v>
      </c>
      <c r="Z398" s="2140">
        <v>44783</v>
      </c>
      <c r="AA398" s="2140">
        <v>44805</v>
      </c>
      <c r="AB398" s="2140">
        <v>44865</v>
      </c>
      <c r="AC398" s="2109" t="s">
        <v>1875</v>
      </c>
    </row>
    <row r="399" spans="1:31" ht="30">
      <c r="A399" s="2140">
        <v>44623</v>
      </c>
      <c r="B399" s="2143" t="s">
        <v>11203</v>
      </c>
      <c r="C399" s="2141" t="s">
        <v>9694</v>
      </c>
      <c r="D399" s="2141" t="s">
        <v>4969</v>
      </c>
      <c r="E399" s="2142" t="s">
        <v>461</v>
      </c>
      <c r="F399" s="2141">
        <v>6</v>
      </c>
      <c r="G399" s="2143" t="s">
        <v>11213</v>
      </c>
      <c r="H399" s="2141"/>
      <c r="I399" s="2141" t="s">
        <v>462</v>
      </c>
      <c r="J399" s="2141" t="s">
        <v>11214</v>
      </c>
      <c r="K399" s="2144">
        <v>4734839</v>
      </c>
      <c r="L399" s="2141" t="s">
        <v>251</v>
      </c>
      <c r="M399" s="2140">
        <v>44651</v>
      </c>
      <c r="N399" s="2140">
        <v>44686</v>
      </c>
      <c r="O399" s="2140">
        <v>44739</v>
      </c>
      <c r="P399" s="2143" t="s">
        <v>5913</v>
      </c>
      <c r="Q399" s="2141"/>
      <c r="R399" s="2144">
        <v>4705600</v>
      </c>
      <c r="S399" s="2144">
        <v>5693776</v>
      </c>
      <c r="T399" s="2145"/>
      <c r="U399" s="2145"/>
      <c r="V399" s="2145"/>
      <c r="W399" s="2146">
        <v>44739</v>
      </c>
      <c r="X399" s="2260" t="s">
        <v>12353</v>
      </c>
      <c r="Y399" s="2140">
        <v>44778</v>
      </c>
      <c r="Z399" s="2140">
        <v>44783</v>
      </c>
      <c r="AA399" s="2140">
        <v>44865</v>
      </c>
      <c r="AB399" s="2109"/>
      <c r="AC399" s="2109" t="s">
        <v>1875</v>
      </c>
    </row>
    <row r="400" spans="1:31" ht="30.75" thickBot="1">
      <c r="A400" s="2117">
        <v>44623</v>
      </c>
      <c r="B400" s="2120" t="s">
        <v>11203</v>
      </c>
      <c r="C400" s="2118" t="s">
        <v>58</v>
      </c>
      <c r="D400" s="2118" t="s">
        <v>4969</v>
      </c>
      <c r="E400" s="2119" t="s">
        <v>461</v>
      </c>
      <c r="F400" s="2118">
        <v>7</v>
      </c>
      <c r="G400" s="2120" t="s">
        <v>11215</v>
      </c>
      <c r="H400" s="2118"/>
      <c r="I400" s="2118" t="s">
        <v>462</v>
      </c>
      <c r="J400" s="2118" t="s">
        <v>11216</v>
      </c>
      <c r="K400" s="2121">
        <v>1039735</v>
      </c>
      <c r="L400" s="2118" t="s">
        <v>251</v>
      </c>
      <c r="M400" s="2117">
        <v>44651</v>
      </c>
      <c r="N400" s="2117">
        <v>44686</v>
      </c>
      <c r="O400" s="2117">
        <v>44739</v>
      </c>
      <c r="P400" s="2120" t="s">
        <v>5913</v>
      </c>
      <c r="Q400" s="2118"/>
      <c r="R400" s="2121">
        <v>1034600</v>
      </c>
      <c r="S400" s="2121">
        <v>1251866</v>
      </c>
      <c r="T400" s="2122"/>
      <c r="U400" s="2122"/>
      <c r="V400" s="2122"/>
      <c r="W400" s="2123">
        <v>44739</v>
      </c>
      <c r="X400" s="2246" t="s">
        <v>12354</v>
      </c>
      <c r="Y400" s="2117">
        <v>44778</v>
      </c>
      <c r="Z400" s="2117">
        <v>44783</v>
      </c>
      <c r="AA400" s="2117">
        <v>44865</v>
      </c>
      <c r="AB400" s="2109"/>
      <c r="AC400" s="2109" t="s">
        <v>1875</v>
      </c>
    </row>
    <row r="401" spans="1:32" ht="30.75" thickTop="1">
      <c r="A401" s="2609" t="s">
        <v>3585</v>
      </c>
      <c r="B401" s="2646" t="s">
        <v>11217</v>
      </c>
      <c r="C401" s="2609" t="s">
        <v>58</v>
      </c>
      <c r="D401" s="2609" t="s">
        <v>4969</v>
      </c>
      <c r="E401" s="175" t="s">
        <v>11062</v>
      </c>
      <c r="F401" s="2609"/>
      <c r="G401" s="2610"/>
      <c r="H401" s="2609"/>
      <c r="I401" s="2609" t="s">
        <v>3330</v>
      </c>
      <c r="J401" s="2609" t="s">
        <v>11063</v>
      </c>
      <c r="K401" s="364">
        <v>1530000</v>
      </c>
      <c r="L401" s="2609" t="s">
        <v>112</v>
      </c>
      <c r="M401" s="365">
        <v>44628</v>
      </c>
      <c r="N401" s="365">
        <v>44635</v>
      </c>
      <c r="O401" s="365">
        <v>44649</v>
      </c>
      <c r="P401" s="2610" t="s">
        <v>11385</v>
      </c>
      <c r="Q401" s="2609"/>
      <c r="R401" s="364">
        <v>1992800</v>
      </c>
      <c r="S401" s="364">
        <v>2411288</v>
      </c>
      <c r="T401" s="1473"/>
      <c r="U401" s="1473"/>
      <c r="V401" s="1473"/>
      <c r="W401" s="681">
        <v>44649</v>
      </c>
      <c r="X401" s="1417" t="s">
        <v>11460</v>
      </c>
      <c r="Y401" s="365">
        <v>44690</v>
      </c>
      <c r="Z401" s="365">
        <v>44694</v>
      </c>
      <c r="AA401" s="365">
        <v>44788</v>
      </c>
      <c r="AB401" s="451"/>
      <c r="AC401" s="451" t="s">
        <v>1875</v>
      </c>
    </row>
    <row r="402" spans="1:32">
      <c r="A402" s="2140">
        <v>44623</v>
      </c>
      <c r="B402" s="2143" t="s">
        <v>11219</v>
      </c>
      <c r="C402" s="2141" t="s">
        <v>52</v>
      </c>
      <c r="D402" s="2141" t="s">
        <v>10114</v>
      </c>
      <c r="E402" s="2142" t="s">
        <v>11220</v>
      </c>
      <c r="F402" s="2141"/>
      <c r="G402" s="2143"/>
      <c r="H402" s="2141"/>
      <c r="I402" s="2141" t="s">
        <v>33</v>
      </c>
      <c r="J402" s="2141" t="s">
        <v>11221</v>
      </c>
      <c r="K402" s="2144">
        <v>560000</v>
      </c>
      <c r="L402" s="2141" t="s">
        <v>112</v>
      </c>
      <c r="M402" s="2140">
        <v>44629</v>
      </c>
      <c r="N402" s="2140">
        <v>44642</v>
      </c>
      <c r="O402" s="2140">
        <v>44649</v>
      </c>
      <c r="P402" s="2143" t="s">
        <v>11417</v>
      </c>
      <c r="Q402" s="2141"/>
      <c r="R402" s="2144">
        <v>585535.43999999994</v>
      </c>
      <c r="S402" s="2144">
        <v>708497.88</v>
      </c>
      <c r="T402" s="2145"/>
      <c r="U402" s="2145"/>
      <c r="V402" s="2145"/>
      <c r="W402" s="2146">
        <v>44650</v>
      </c>
      <c r="X402" s="2144" t="s">
        <v>11469</v>
      </c>
      <c r="Y402" s="2140">
        <v>44680</v>
      </c>
      <c r="Z402" s="2140">
        <v>44683</v>
      </c>
      <c r="AA402" s="2141"/>
      <c r="AB402" s="2464">
        <v>44774</v>
      </c>
      <c r="AC402" s="2106"/>
    </row>
    <row r="403" spans="1:32">
      <c r="A403" s="2140">
        <v>44616</v>
      </c>
      <c r="B403" s="2143" t="s">
        <v>11222</v>
      </c>
      <c r="C403" s="2141" t="s">
        <v>2111</v>
      </c>
      <c r="D403" s="2141" t="s">
        <v>9080</v>
      </c>
      <c r="E403" s="2321" t="s">
        <v>11223</v>
      </c>
      <c r="F403" s="2141"/>
      <c r="G403" s="2143"/>
      <c r="H403" s="2141"/>
      <c r="I403" s="2141" t="s">
        <v>2967</v>
      </c>
      <c r="J403" s="2141"/>
      <c r="K403" s="2144">
        <v>12231182.550000001</v>
      </c>
      <c r="L403" s="2141" t="s">
        <v>251</v>
      </c>
      <c r="M403" s="2140">
        <v>44638</v>
      </c>
      <c r="N403" s="2140">
        <v>44701</v>
      </c>
      <c r="O403" s="2140">
        <v>44881</v>
      </c>
      <c r="P403" s="2143" t="s">
        <v>13536</v>
      </c>
      <c r="Q403" s="2141"/>
      <c r="R403" s="2144">
        <v>11910294.4</v>
      </c>
      <c r="S403" s="2144">
        <v>14411456.220000001</v>
      </c>
      <c r="T403" s="2145"/>
      <c r="U403" s="2145"/>
      <c r="V403" s="2145"/>
      <c r="W403" s="2146">
        <v>44881</v>
      </c>
      <c r="X403" s="2144" t="s">
        <v>13543</v>
      </c>
      <c r="Y403" s="2140">
        <v>44918</v>
      </c>
      <c r="Z403" s="2140">
        <v>44932</v>
      </c>
      <c r="AA403" s="2140">
        <v>46378</v>
      </c>
      <c r="AB403" s="2109" t="s">
        <v>13827</v>
      </c>
      <c r="AC403" s="2109">
        <v>2023</v>
      </c>
      <c r="AD403" s="388">
        <v>2024</v>
      </c>
      <c r="AE403" s="388">
        <v>2025</v>
      </c>
      <c r="AF403" s="388" t="s">
        <v>13826</v>
      </c>
    </row>
    <row r="404" spans="1:32">
      <c r="A404" s="2124">
        <v>44623</v>
      </c>
      <c r="B404" s="2127" t="s">
        <v>11225</v>
      </c>
      <c r="C404" s="2125" t="s">
        <v>69</v>
      </c>
      <c r="D404" s="2125" t="s">
        <v>70</v>
      </c>
      <c r="E404" s="2126" t="s">
        <v>11226</v>
      </c>
      <c r="F404" s="2125"/>
      <c r="G404" s="2127"/>
      <c r="H404" s="2125"/>
      <c r="I404" s="2125" t="s">
        <v>68</v>
      </c>
      <c r="J404" s="2125"/>
      <c r="K404" s="2128">
        <v>132187891</v>
      </c>
      <c r="L404" s="2125" t="s">
        <v>251</v>
      </c>
      <c r="M404" s="2124">
        <v>44652</v>
      </c>
      <c r="N404" s="2124">
        <v>44686</v>
      </c>
      <c r="O404" s="2125"/>
      <c r="P404" s="2136" t="s">
        <v>4505</v>
      </c>
      <c r="Q404" s="2275" t="s">
        <v>13397</v>
      </c>
      <c r="R404" s="2128"/>
      <c r="S404" s="2128"/>
      <c r="T404" s="2129"/>
      <c r="U404" s="2129"/>
      <c r="V404" s="2129"/>
      <c r="W404" s="2128"/>
      <c r="X404" s="2128"/>
      <c r="Y404" s="2125"/>
      <c r="Z404" s="2124">
        <v>44708</v>
      </c>
      <c r="AA404" s="2127" t="s">
        <v>11968</v>
      </c>
      <c r="AB404" s="2125"/>
      <c r="AC404" s="2125"/>
    </row>
    <row r="405" spans="1:32" ht="15.75" thickBot="1">
      <c r="A405" s="416">
        <v>44623</v>
      </c>
      <c r="B405" s="630" t="s">
        <v>11227</v>
      </c>
      <c r="C405" s="411" t="s">
        <v>69</v>
      </c>
      <c r="D405" s="411" t="s">
        <v>70</v>
      </c>
      <c r="E405" s="412" t="s">
        <v>11228</v>
      </c>
      <c r="F405" s="411"/>
      <c r="G405" s="630"/>
      <c r="H405" s="1437"/>
      <c r="I405" s="411" t="s">
        <v>68</v>
      </c>
      <c r="J405" s="411"/>
      <c r="K405" s="417">
        <v>1978910</v>
      </c>
      <c r="L405" s="411" t="s">
        <v>251</v>
      </c>
      <c r="M405" s="416">
        <v>44652</v>
      </c>
      <c r="N405" s="416">
        <v>44686</v>
      </c>
      <c r="O405" s="416">
        <v>44708</v>
      </c>
      <c r="P405" s="630" t="s">
        <v>576</v>
      </c>
      <c r="Q405" s="411"/>
      <c r="R405" s="417">
        <v>1046443.44</v>
      </c>
      <c r="S405" s="417">
        <v>1151087.78</v>
      </c>
      <c r="T405" s="1490"/>
      <c r="U405" s="1490"/>
      <c r="V405" s="1490"/>
      <c r="W405" s="513">
        <v>44708</v>
      </c>
      <c r="X405" s="417" t="s">
        <v>11981</v>
      </c>
      <c r="Y405" s="416">
        <v>44732</v>
      </c>
      <c r="Z405" s="416">
        <v>44733</v>
      </c>
      <c r="AA405" s="416">
        <v>46192</v>
      </c>
      <c r="AB405" s="422" t="s">
        <v>12285</v>
      </c>
      <c r="AC405" s="422">
        <v>2023</v>
      </c>
      <c r="AD405" s="388">
        <v>2024</v>
      </c>
      <c r="AE405" s="388">
        <v>2025</v>
      </c>
      <c r="AF405" s="388" t="s">
        <v>12286</v>
      </c>
    </row>
    <row r="406" spans="1:32" ht="15.75" thickTop="1">
      <c r="A406" s="474">
        <v>44623</v>
      </c>
      <c r="B406" s="1420" t="s">
        <v>11229</v>
      </c>
      <c r="C406" s="453" t="s">
        <v>69</v>
      </c>
      <c r="D406" s="453" t="s">
        <v>70</v>
      </c>
      <c r="E406" s="473" t="s">
        <v>11230</v>
      </c>
      <c r="F406" s="453">
        <v>1</v>
      </c>
      <c r="G406" s="1420" t="s">
        <v>11231</v>
      </c>
      <c r="H406" s="453"/>
      <c r="I406" s="453" t="s">
        <v>68</v>
      </c>
      <c r="J406" s="453"/>
      <c r="K406" s="457">
        <v>8502309</v>
      </c>
      <c r="L406" s="453" t="s">
        <v>251</v>
      </c>
      <c r="M406" s="474">
        <v>44628</v>
      </c>
      <c r="N406" s="474">
        <v>44678</v>
      </c>
      <c r="O406" s="474">
        <v>44694</v>
      </c>
      <c r="P406" s="1420" t="s">
        <v>576</v>
      </c>
      <c r="Q406" s="453"/>
      <c r="R406" s="457">
        <v>8813237.0700000003</v>
      </c>
      <c r="S406" s="457">
        <v>9694560.7799999993</v>
      </c>
      <c r="T406" s="1474"/>
      <c r="U406" s="1474"/>
      <c r="V406" s="1474"/>
      <c r="W406" s="570">
        <v>44694</v>
      </c>
      <c r="X406" s="457" t="s">
        <v>11871</v>
      </c>
      <c r="Y406" s="474">
        <v>44712</v>
      </c>
      <c r="Z406" s="474">
        <v>44740</v>
      </c>
      <c r="AA406" s="474">
        <v>45807</v>
      </c>
      <c r="AB406" s="1391" t="s">
        <v>12001</v>
      </c>
      <c r="AC406" s="1391">
        <v>2023</v>
      </c>
      <c r="AD406" s="388">
        <v>2024</v>
      </c>
      <c r="AE406" s="388" t="s">
        <v>12002</v>
      </c>
    </row>
    <row r="407" spans="1:32">
      <c r="A407" s="2140">
        <v>44623</v>
      </c>
      <c r="B407" s="2143" t="s">
        <v>11229</v>
      </c>
      <c r="C407" s="2141" t="s">
        <v>69</v>
      </c>
      <c r="D407" s="2141" t="s">
        <v>70</v>
      </c>
      <c r="E407" s="2142" t="s">
        <v>11230</v>
      </c>
      <c r="F407" s="2141">
        <v>2</v>
      </c>
      <c r="G407" s="2143" t="s">
        <v>11232</v>
      </c>
      <c r="H407" s="2141"/>
      <c r="I407" s="2141" t="s">
        <v>68</v>
      </c>
      <c r="J407" s="2141"/>
      <c r="K407" s="2144">
        <v>2045179</v>
      </c>
      <c r="L407" s="2141" t="s">
        <v>251</v>
      </c>
      <c r="M407" s="2140">
        <v>44628</v>
      </c>
      <c r="N407" s="2140">
        <v>44678</v>
      </c>
      <c r="O407" s="2140">
        <v>44694</v>
      </c>
      <c r="P407" s="2143" t="s">
        <v>576</v>
      </c>
      <c r="Q407" s="2141"/>
      <c r="R407" s="2144">
        <v>2045178.72</v>
      </c>
      <c r="S407" s="2144">
        <v>2249696.59</v>
      </c>
      <c r="T407" s="2145"/>
      <c r="U407" s="2145"/>
      <c r="V407" s="2145"/>
      <c r="W407" s="2146">
        <v>44694</v>
      </c>
      <c r="X407" s="2144" t="s">
        <v>11872</v>
      </c>
      <c r="Y407" s="2140">
        <v>44712</v>
      </c>
      <c r="Z407" s="2140">
        <v>44740</v>
      </c>
      <c r="AA407" s="2140">
        <v>45807</v>
      </c>
      <c r="AB407" s="2109" t="s">
        <v>12001</v>
      </c>
      <c r="AC407" s="2109">
        <v>2023</v>
      </c>
      <c r="AD407" s="388">
        <v>2024</v>
      </c>
      <c r="AE407" s="388" t="s">
        <v>12002</v>
      </c>
    </row>
    <row r="408" spans="1:32" ht="15.75" thickBot="1">
      <c r="A408" s="2117">
        <v>44623</v>
      </c>
      <c r="B408" s="2120" t="s">
        <v>11229</v>
      </c>
      <c r="C408" s="2118" t="s">
        <v>69</v>
      </c>
      <c r="D408" s="2118" t="s">
        <v>70</v>
      </c>
      <c r="E408" s="2119" t="s">
        <v>11230</v>
      </c>
      <c r="F408" s="2118">
        <v>3</v>
      </c>
      <c r="G408" s="2120" t="s">
        <v>11233</v>
      </c>
      <c r="H408" s="2118"/>
      <c r="I408" s="2118" t="s">
        <v>68</v>
      </c>
      <c r="J408" s="2118"/>
      <c r="K408" s="2121">
        <v>635625</v>
      </c>
      <c r="L408" s="2118" t="s">
        <v>251</v>
      </c>
      <c r="M408" s="2117">
        <v>44628</v>
      </c>
      <c r="N408" s="2117">
        <v>44678</v>
      </c>
      <c r="O408" s="2117">
        <v>44694</v>
      </c>
      <c r="P408" s="2120" t="s">
        <v>2548</v>
      </c>
      <c r="Q408" s="2118"/>
      <c r="R408" s="2121">
        <v>633641.85</v>
      </c>
      <c r="S408" s="2121">
        <v>697006.04</v>
      </c>
      <c r="T408" s="2122"/>
      <c r="U408" s="2122"/>
      <c r="V408" s="2122"/>
      <c r="W408" s="2123">
        <v>44694</v>
      </c>
      <c r="X408" s="2121" t="s">
        <v>11873</v>
      </c>
      <c r="Y408" s="2117">
        <v>44740</v>
      </c>
      <c r="Z408" s="2117">
        <v>44740</v>
      </c>
      <c r="AA408" s="2117">
        <v>45835</v>
      </c>
      <c r="AB408" s="2110" t="s">
        <v>12370</v>
      </c>
      <c r="AC408" s="2110">
        <v>2023</v>
      </c>
      <c r="AD408" s="388">
        <v>2024</v>
      </c>
      <c r="AE408" s="388" t="s">
        <v>9277</v>
      </c>
    </row>
    <row r="409" spans="1:32" ht="30.75" thickTop="1">
      <c r="A409" s="365">
        <v>44615</v>
      </c>
      <c r="B409" s="2718" t="s">
        <v>11234</v>
      </c>
      <c r="C409" s="2717" t="s">
        <v>2434</v>
      </c>
      <c r="D409" s="2717" t="s">
        <v>3204</v>
      </c>
      <c r="E409" s="175" t="s">
        <v>11235</v>
      </c>
      <c r="F409" s="2717"/>
      <c r="G409" s="2718"/>
      <c r="H409" s="2717"/>
      <c r="I409" s="2717" t="s">
        <v>642</v>
      </c>
      <c r="J409" s="2717"/>
      <c r="K409" s="364">
        <v>2192300</v>
      </c>
      <c r="L409" s="2717" t="s">
        <v>251</v>
      </c>
      <c r="M409" s="365">
        <v>44628</v>
      </c>
      <c r="N409" s="365">
        <v>44769</v>
      </c>
      <c r="O409" s="365">
        <v>44792</v>
      </c>
      <c r="P409" s="2718" t="s">
        <v>5908</v>
      </c>
      <c r="Q409" s="2717"/>
      <c r="R409" s="364">
        <v>2181740</v>
      </c>
      <c r="S409" s="364">
        <v>2639905.4</v>
      </c>
      <c r="T409" s="1473"/>
      <c r="U409" s="1473"/>
      <c r="V409" s="1473"/>
      <c r="W409" s="681">
        <v>44792</v>
      </c>
      <c r="X409" s="1417" t="s">
        <v>12815</v>
      </c>
      <c r="Y409" s="365">
        <v>44818</v>
      </c>
      <c r="Z409" s="365">
        <v>44844</v>
      </c>
      <c r="AA409" s="365">
        <v>45913</v>
      </c>
      <c r="AB409" s="451" t="s">
        <v>13124</v>
      </c>
      <c r="AC409" s="451">
        <v>2023</v>
      </c>
      <c r="AD409" s="388">
        <v>2024</v>
      </c>
      <c r="AE409" s="388" t="s">
        <v>13125</v>
      </c>
    </row>
    <row r="410" spans="1:32" ht="45">
      <c r="A410" s="2140">
        <v>44621</v>
      </c>
      <c r="B410" s="2143" t="s">
        <v>11237</v>
      </c>
      <c r="C410" s="2141" t="s">
        <v>2434</v>
      </c>
      <c r="D410" s="2141" t="s">
        <v>751</v>
      </c>
      <c r="E410" s="2142" t="s">
        <v>11236</v>
      </c>
      <c r="F410" s="2141"/>
      <c r="G410" s="2143"/>
      <c r="H410" s="2085"/>
      <c r="I410" s="2141" t="s">
        <v>3890</v>
      </c>
      <c r="J410" s="2141"/>
      <c r="K410" s="2144">
        <v>158775474</v>
      </c>
      <c r="L410" s="2141" t="s">
        <v>251</v>
      </c>
      <c r="M410" s="2140">
        <v>44634</v>
      </c>
      <c r="N410" s="2140">
        <v>44665</v>
      </c>
      <c r="O410" s="2140">
        <v>44700</v>
      </c>
      <c r="P410" s="2143" t="s">
        <v>11810</v>
      </c>
      <c r="Q410" s="2141"/>
      <c r="R410" s="2144">
        <v>158714871</v>
      </c>
      <c r="S410" s="2144">
        <v>192044994</v>
      </c>
      <c r="T410" s="2094"/>
      <c r="U410" s="2094"/>
      <c r="V410" s="2094"/>
      <c r="W410" s="2146">
        <v>44700</v>
      </c>
      <c r="X410" s="2260" t="s">
        <v>11928</v>
      </c>
      <c r="Y410" s="2140">
        <v>44729</v>
      </c>
      <c r="Z410" s="2140">
        <v>44742</v>
      </c>
      <c r="AA410" s="2140">
        <v>45824</v>
      </c>
      <c r="AB410" s="2109" t="s">
        <v>12257</v>
      </c>
      <c r="AC410" s="2109">
        <v>2023</v>
      </c>
      <c r="AD410" s="388">
        <v>2024</v>
      </c>
      <c r="AE410" s="388" t="s">
        <v>12258</v>
      </c>
    </row>
    <row r="411" spans="1:32" ht="30.75" thickBot="1">
      <c r="A411" s="618">
        <v>44601</v>
      </c>
      <c r="B411" s="2631" t="s">
        <v>11238</v>
      </c>
      <c r="C411" s="413" t="s">
        <v>2434</v>
      </c>
      <c r="D411" s="413" t="s">
        <v>3204</v>
      </c>
      <c r="E411" s="615" t="s">
        <v>11239</v>
      </c>
      <c r="F411" s="413"/>
      <c r="G411" s="2631"/>
      <c r="H411" s="411"/>
      <c r="I411" s="413" t="s">
        <v>642</v>
      </c>
      <c r="J411" s="413"/>
      <c r="K411" s="620">
        <v>2080500</v>
      </c>
      <c r="L411" s="413" t="s">
        <v>251</v>
      </c>
      <c r="M411" s="618">
        <v>44631</v>
      </c>
      <c r="N411" s="618">
        <v>44664</v>
      </c>
      <c r="O411" s="618">
        <v>44685</v>
      </c>
      <c r="P411" s="2631" t="s">
        <v>6322</v>
      </c>
      <c r="Q411" s="413"/>
      <c r="R411" s="620">
        <v>2080500</v>
      </c>
      <c r="S411" s="620">
        <v>2517405</v>
      </c>
      <c r="T411" s="1480"/>
      <c r="U411" s="1480"/>
      <c r="V411" s="1480"/>
      <c r="W411" s="2632">
        <v>44685</v>
      </c>
      <c r="X411" s="2633" t="s">
        <v>11739</v>
      </c>
      <c r="Y411" s="618">
        <v>44708</v>
      </c>
      <c r="Z411" s="618">
        <v>44722</v>
      </c>
      <c r="AA411" s="618">
        <v>45803</v>
      </c>
      <c r="AB411" s="2630" t="s">
        <v>11973</v>
      </c>
      <c r="AC411" s="2630">
        <v>2023</v>
      </c>
      <c r="AD411" s="388">
        <v>2024</v>
      </c>
      <c r="AE411" s="388" t="s">
        <v>11974</v>
      </c>
    </row>
    <row r="412" spans="1:32" ht="30.75" thickTop="1">
      <c r="A412" s="474">
        <v>44609</v>
      </c>
      <c r="B412" s="1420" t="s">
        <v>11240</v>
      </c>
      <c r="C412" s="453" t="s">
        <v>2434</v>
      </c>
      <c r="D412" s="453" t="s">
        <v>3204</v>
      </c>
      <c r="E412" s="473" t="s">
        <v>11241</v>
      </c>
      <c r="F412" s="453">
        <v>1</v>
      </c>
      <c r="G412" s="1420" t="s">
        <v>11242</v>
      </c>
      <c r="H412" s="453"/>
      <c r="I412" s="453" t="s">
        <v>642</v>
      </c>
      <c r="J412" s="453"/>
      <c r="K412" s="457">
        <v>435000</v>
      </c>
      <c r="L412" s="453" t="s">
        <v>251</v>
      </c>
      <c r="M412" s="474">
        <v>44634</v>
      </c>
      <c r="N412" s="474">
        <v>44718</v>
      </c>
      <c r="O412" s="474">
        <v>44782</v>
      </c>
      <c r="P412" s="1420" t="s">
        <v>198</v>
      </c>
      <c r="Q412" s="453"/>
      <c r="R412" s="457">
        <v>176000</v>
      </c>
      <c r="S412" s="457">
        <v>212960</v>
      </c>
      <c r="T412" s="1474"/>
      <c r="U412" s="1474"/>
      <c r="V412" s="1474"/>
      <c r="W412" s="570">
        <v>44782</v>
      </c>
      <c r="X412" s="1387" t="s">
        <v>12680</v>
      </c>
      <c r="Y412" s="474">
        <v>44860</v>
      </c>
      <c r="Z412" s="474">
        <v>44873</v>
      </c>
      <c r="AA412" s="474">
        <v>45590</v>
      </c>
      <c r="AB412" s="1391" t="s">
        <v>13414</v>
      </c>
      <c r="AC412" s="1391">
        <v>2023</v>
      </c>
      <c r="AD412" s="388" t="s">
        <v>13426</v>
      </c>
    </row>
    <row r="413" spans="1:32" ht="30">
      <c r="A413" s="2140">
        <v>44609</v>
      </c>
      <c r="B413" s="2143" t="s">
        <v>11240</v>
      </c>
      <c r="C413" s="2141" t="s">
        <v>2434</v>
      </c>
      <c r="D413" s="2141" t="s">
        <v>3204</v>
      </c>
      <c r="E413" s="2142" t="s">
        <v>11241</v>
      </c>
      <c r="F413" s="2141">
        <v>2</v>
      </c>
      <c r="G413" s="2143" t="s">
        <v>11246</v>
      </c>
      <c r="H413" s="2141"/>
      <c r="I413" s="2141" t="s">
        <v>642</v>
      </c>
      <c r="J413" s="2141"/>
      <c r="K413" s="2144">
        <v>1740000</v>
      </c>
      <c r="L413" s="2141" t="s">
        <v>251</v>
      </c>
      <c r="M413" s="2140">
        <v>44634</v>
      </c>
      <c r="N413" s="2140">
        <v>44718</v>
      </c>
      <c r="O413" s="2140">
        <v>44782</v>
      </c>
      <c r="P413" s="2143" t="s">
        <v>11196</v>
      </c>
      <c r="Q413" s="2141"/>
      <c r="R413" s="2144">
        <v>748000</v>
      </c>
      <c r="S413" s="2144">
        <v>905080</v>
      </c>
      <c r="T413" s="2145"/>
      <c r="U413" s="2145"/>
      <c r="V413" s="2145"/>
      <c r="W413" s="2146">
        <v>44782</v>
      </c>
      <c r="X413" s="2260" t="s">
        <v>12681</v>
      </c>
      <c r="Y413" s="2140">
        <v>44845</v>
      </c>
      <c r="Z413" s="2140">
        <v>44873</v>
      </c>
      <c r="AA413" s="2140">
        <v>45575</v>
      </c>
      <c r="AB413" s="2109" t="s">
        <v>13278</v>
      </c>
      <c r="AC413" s="2109">
        <v>2023</v>
      </c>
      <c r="AD413" s="388" t="s">
        <v>13280</v>
      </c>
    </row>
    <row r="414" spans="1:32" ht="30">
      <c r="A414" s="2140">
        <v>44609</v>
      </c>
      <c r="B414" s="2143" t="s">
        <v>11240</v>
      </c>
      <c r="C414" s="2141" t="s">
        <v>2434</v>
      </c>
      <c r="D414" s="2141" t="s">
        <v>3204</v>
      </c>
      <c r="E414" s="2142" t="s">
        <v>11241</v>
      </c>
      <c r="F414" s="2141">
        <v>3</v>
      </c>
      <c r="G414" s="2143" t="s">
        <v>11247</v>
      </c>
      <c r="H414" s="2141"/>
      <c r="I414" s="2141" t="s">
        <v>642</v>
      </c>
      <c r="J414" s="2141"/>
      <c r="K414" s="2144">
        <v>1526200</v>
      </c>
      <c r="L414" s="2141" t="s">
        <v>251</v>
      </c>
      <c r="M414" s="2140">
        <v>44634</v>
      </c>
      <c r="N414" s="2140">
        <v>44718</v>
      </c>
      <c r="O414" s="2140">
        <v>44782</v>
      </c>
      <c r="P414" s="2143" t="s">
        <v>11196</v>
      </c>
      <c r="Q414" s="2141"/>
      <c r="R414" s="2144">
        <v>77830</v>
      </c>
      <c r="S414" s="2144">
        <v>94174.3</v>
      </c>
      <c r="T414" s="2145"/>
      <c r="U414" s="2145"/>
      <c r="V414" s="2145"/>
      <c r="W414" s="2146">
        <v>44782</v>
      </c>
      <c r="X414" s="2260" t="s">
        <v>12682</v>
      </c>
      <c r="Y414" s="2140">
        <v>44845</v>
      </c>
      <c r="Z414" s="2140">
        <v>44873</v>
      </c>
      <c r="AA414" s="2140">
        <v>45575</v>
      </c>
      <c r="AB414" s="2109" t="s">
        <v>13278</v>
      </c>
      <c r="AC414" s="2109">
        <v>2023</v>
      </c>
      <c r="AD414" s="388" t="s">
        <v>13280</v>
      </c>
    </row>
    <row r="415" spans="1:32" ht="30">
      <c r="A415" s="2140">
        <v>44609</v>
      </c>
      <c r="B415" s="2143" t="s">
        <v>11240</v>
      </c>
      <c r="C415" s="2141" t="s">
        <v>2434</v>
      </c>
      <c r="D415" s="2141" t="s">
        <v>3204</v>
      </c>
      <c r="E415" s="2142" t="s">
        <v>11241</v>
      </c>
      <c r="F415" s="2141">
        <v>4</v>
      </c>
      <c r="G415" s="2143" t="s">
        <v>11248</v>
      </c>
      <c r="H415" s="2141"/>
      <c r="I415" s="2141" t="s">
        <v>642</v>
      </c>
      <c r="J415" s="2141"/>
      <c r="K415" s="2144">
        <v>244200</v>
      </c>
      <c r="L415" s="2141" t="s">
        <v>251</v>
      </c>
      <c r="M415" s="2140">
        <v>44634</v>
      </c>
      <c r="N415" s="2140">
        <v>44718</v>
      </c>
      <c r="O415" s="2140">
        <v>44782</v>
      </c>
      <c r="P415" s="2143" t="s">
        <v>8793</v>
      </c>
      <c r="Q415" s="2141"/>
      <c r="R415" s="2144">
        <v>115500</v>
      </c>
      <c r="S415" s="2144">
        <v>139755</v>
      </c>
      <c r="T415" s="2145"/>
      <c r="U415" s="2145"/>
      <c r="V415" s="2145"/>
      <c r="W415" s="2146">
        <v>44782</v>
      </c>
      <c r="X415" s="2260" t="s">
        <v>12683</v>
      </c>
      <c r="Y415" s="2140">
        <v>44844</v>
      </c>
      <c r="Z415" s="2140">
        <v>44873</v>
      </c>
      <c r="AA415" s="2140">
        <v>45574</v>
      </c>
      <c r="AB415" s="2109" t="s">
        <v>13244</v>
      </c>
      <c r="AC415" s="2109">
        <v>2023</v>
      </c>
      <c r="AD415" s="388" t="s">
        <v>13274</v>
      </c>
    </row>
    <row r="416" spans="1:32" ht="30">
      <c r="A416" s="2140">
        <v>44609</v>
      </c>
      <c r="B416" s="2143" t="s">
        <v>11240</v>
      </c>
      <c r="C416" s="2141" t="s">
        <v>2434</v>
      </c>
      <c r="D416" s="2141" t="s">
        <v>3204</v>
      </c>
      <c r="E416" s="2142" t="s">
        <v>11241</v>
      </c>
      <c r="F416" s="2141">
        <v>5</v>
      </c>
      <c r="G416" s="2143" t="s">
        <v>11243</v>
      </c>
      <c r="H416" s="2141"/>
      <c r="I416" s="2141" t="s">
        <v>642</v>
      </c>
      <c r="J416" s="2141"/>
      <c r="K416" s="2144">
        <v>440400</v>
      </c>
      <c r="L416" s="2141" t="s">
        <v>251</v>
      </c>
      <c r="M416" s="2140">
        <v>44634</v>
      </c>
      <c r="N416" s="2140">
        <v>44718</v>
      </c>
      <c r="O416" s="2140">
        <v>44782</v>
      </c>
      <c r="P416" s="2143" t="s">
        <v>198</v>
      </c>
      <c r="Q416" s="2141"/>
      <c r="R416" s="2144">
        <v>243000</v>
      </c>
      <c r="S416" s="2144">
        <v>294030</v>
      </c>
      <c r="T416" s="2145"/>
      <c r="U416" s="2145"/>
      <c r="V416" s="2145"/>
      <c r="W416" s="2146">
        <v>44782</v>
      </c>
      <c r="X416" s="2260" t="s">
        <v>12684</v>
      </c>
      <c r="Y416" s="2140">
        <v>44860</v>
      </c>
      <c r="Z416" s="2140">
        <v>44873</v>
      </c>
      <c r="AA416" s="2140">
        <v>45590</v>
      </c>
      <c r="AB416" s="2109" t="s">
        <v>13414</v>
      </c>
      <c r="AC416" s="2109">
        <v>2023</v>
      </c>
      <c r="AD416" s="388" t="s">
        <v>13426</v>
      </c>
    </row>
    <row r="417" spans="1:32" ht="45">
      <c r="A417" s="2140">
        <v>44609</v>
      </c>
      <c r="B417" s="2143" t="s">
        <v>11240</v>
      </c>
      <c r="C417" s="2141" t="s">
        <v>2434</v>
      </c>
      <c r="D417" s="2141" t="s">
        <v>3204</v>
      </c>
      <c r="E417" s="2142" t="s">
        <v>11241</v>
      </c>
      <c r="F417" s="2141">
        <v>6</v>
      </c>
      <c r="G417" s="2143" t="s">
        <v>11244</v>
      </c>
      <c r="H417" s="2141"/>
      <c r="I417" s="2141" t="s">
        <v>642</v>
      </c>
      <c r="J417" s="2141"/>
      <c r="K417" s="2144">
        <v>860000</v>
      </c>
      <c r="L417" s="2141" t="s">
        <v>251</v>
      </c>
      <c r="M417" s="2140">
        <v>44634</v>
      </c>
      <c r="N417" s="2140">
        <v>44718</v>
      </c>
      <c r="O417" s="2140">
        <v>44782</v>
      </c>
      <c r="P417" s="2143" t="s">
        <v>198</v>
      </c>
      <c r="Q417" s="2141"/>
      <c r="R417" s="2144">
        <v>560000</v>
      </c>
      <c r="S417" s="2144">
        <v>677600</v>
      </c>
      <c r="T417" s="2145"/>
      <c r="U417" s="2145"/>
      <c r="V417" s="2145"/>
      <c r="W417" s="2146">
        <v>44782</v>
      </c>
      <c r="X417" s="2260" t="s">
        <v>12688</v>
      </c>
      <c r="Y417" s="2140">
        <v>44860</v>
      </c>
      <c r="Z417" s="2140">
        <v>44873</v>
      </c>
      <c r="AA417" s="2140">
        <v>45590</v>
      </c>
      <c r="AB417" s="2109" t="s">
        <v>13414</v>
      </c>
      <c r="AC417" s="2109">
        <v>2023</v>
      </c>
      <c r="AD417" s="388" t="s">
        <v>13426</v>
      </c>
    </row>
    <row r="418" spans="1:32" ht="30.75" thickBot="1">
      <c r="A418" s="2117">
        <v>44609</v>
      </c>
      <c r="B418" s="2120" t="s">
        <v>11240</v>
      </c>
      <c r="C418" s="2118" t="s">
        <v>2434</v>
      </c>
      <c r="D418" s="2118" t="s">
        <v>3204</v>
      </c>
      <c r="E418" s="2119" t="s">
        <v>11241</v>
      </c>
      <c r="F418" s="2118">
        <v>7</v>
      </c>
      <c r="G418" s="2758" t="s">
        <v>11245</v>
      </c>
      <c r="H418" s="2118"/>
      <c r="I418" s="2118" t="s">
        <v>642</v>
      </c>
      <c r="J418" s="2118"/>
      <c r="K418" s="2121">
        <v>311500</v>
      </c>
      <c r="L418" s="2118" t="s">
        <v>251</v>
      </c>
      <c r="M418" s="2117">
        <v>44634</v>
      </c>
      <c r="N418" s="2117">
        <v>44718</v>
      </c>
      <c r="O418" s="2117">
        <v>44782</v>
      </c>
      <c r="P418" s="2120" t="s">
        <v>198</v>
      </c>
      <c r="Q418" s="2118"/>
      <c r="R418" s="2121">
        <v>205000</v>
      </c>
      <c r="S418" s="2121">
        <v>248050</v>
      </c>
      <c r="T418" s="2122"/>
      <c r="U418" s="2122"/>
      <c r="V418" s="2122"/>
      <c r="W418" s="2123">
        <v>44782</v>
      </c>
      <c r="X418" s="2246" t="s">
        <v>12689</v>
      </c>
      <c r="Y418" s="2117">
        <v>44860</v>
      </c>
      <c r="Z418" s="2117">
        <v>44873</v>
      </c>
      <c r="AA418" s="2117">
        <v>45590</v>
      </c>
      <c r="AB418" s="2110" t="s">
        <v>13414</v>
      </c>
      <c r="AC418" s="2110">
        <v>2023</v>
      </c>
      <c r="AD418" s="388" t="s">
        <v>13426</v>
      </c>
    </row>
    <row r="419" spans="1:32" ht="30.75" thickTop="1">
      <c r="A419" s="365">
        <v>44623</v>
      </c>
      <c r="B419" s="2724" t="s">
        <v>11249</v>
      </c>
      <c r="C419" s="2723" t="s">
        <v>9694</v>
      </c>
      <c r="D419" s="2723" t="s">
        <v>4969</v>
      </c>
      <c r="E419" s="175" t="s">
        <v>11250</v>
      </c>
      <c r="F419" s="2723"/>
      <c r="G419" s="2724"/>
      <c r="H419" s="2723"/>
      <c r="I419" s="2723" t="s">
        <v>11251</v>
      </c>
      <c r="J419" s="2723" t="s">
        <v>11252</v>
      </c>
      <c r="K419" s="364">
        <v>10344909</v>
      </c>
      <c r="L419" s="2723" t="s">
        <v>251</v>
      </c>
      <c r="M419" s="365">
        <v>44670</v>
      </c>
      <c r="N419" s="365">
        <v>44727</v>
      </c>
      <c r="O419" s="365">
        <v>44792</v>
      </c>
      <c r="P419" s="2724" t="s">
        <v>2780</v>
      </c>
      <c r="Q419" s="2723"/>
      <c r="R419" s="364">
        <v>11657040</v>
      </c>
      <c r="S419" s="364">
        <v>14105018.4</v>
      </c>
      <c r="T419" s="1473"/>
      <c r="U419" s="1473"/>
      <c r="V419" s="1473"/>
      <c r="W419" s="681">
        <v>44792</v>
      </c>
      <c r="X419" s="1417" t="s">
        <v>12816</v>
      </c>
      <c r="Y419" s="365">
        <v>44830</v>
      </c>
      <c r="Z419" s="365">
        <v>44841</v>
      </c>
      <c r="AA419" s="365">
        <v>44910</v>
      </c>
      <c r="AB419" s="451"/>
      <c r="AC419" s="451" t="s">
        <v>1875</v>
      </c>
    </row>
    <row r="420" spans="1:32">
      <c r="A420" s="2582">
        <v>44617</v>
      </c>
      <c r="B420" s="2514" t="s">
        <v>11340</v>
      </c>
      <c r="C420" s="2583" t="s">
        <v>2434</v>
      </c>
      <c r="D420" s="2583" t="s">
        <v>219</v>
      </c>
      <c r="E420" s="2584" t="s">
        <v>11260</v>
      </c>
      <c r="F420" s="2583">
        <v>1</v>
      </c>
      <c r="G420" s="2514" t="s">
        <v>11261</v>
      </c>
      <c r="H420" s="2085"/>
      <c r="I420" s="2583" t="s">
        <v>3271</v>
      </c>
      <c r="J420" s="2583"/>
      <c r="K420" s="2585">
        <v>1590094</v>
      </c>
      <c r="L420" s="2583" t="s">
        <v>251</v>
      </c>
      <c r="M420" s="2582">
        <v>44631</v>
      </c>
      <c r="N420" s="2582">
        <v>44664</v>
      </c>
      <c r="O420" s="2583"/>
      <c r="P420" s="2586" t="s">
        <v>304</v>
      </c>
      <c r="Q420" s="2665" t="s">
        <v>11700</v>
      </c>
      <c r="R420" s="2585"/>
      <c r="S420" s="2585"/>
      <c r="T420" s="2094"/>
      <c r="U420" s="2094"/>
      <c r="V420" s="2094"/>
      <c r="W420" s="2585"/>
      <c r="X420" s="2585"/>
      <c r="Y420" s="2583"/>
      <c r="Z420" s="2582">
        <v>44701</v>
      </c>
      <c r="AA420" s="2514" t="s">
        <v>11696</v>
      </c>
      <c r="AB420" s="2583"/>
      <c r="AC420" s="2583"/>
    </row>
    <row r="421" spans="1:32" ht="15.75" thickBot="1">
      <c r="A421" s="618">
        <v>44617</v>
      </c>
      <c r="B421" s="2631" t="s">
        <v>11340</v>
      </c>
      <c r="C421" s="413" t="s">
        <v>2434</v>
      </c>
      <c r="D421" s="413" t="s">
        <v>219</v>
      </c>
      <c r="E421" s="615" t="s">
        <v>11260</v>
      </c>
      <c r="F421" s="413">
        <v>2</v>
      </c>
      <c r="G421" s="2631" t="s">
        <v>11262</v>
      </c>
      <c r="H421" s="411"/>
      <c r="I421" s="413" t="s">
        <v>3271</v>
      </c>
      <c r="J421" s="413"/>
      <c r="K421" s="620">
        <v>1515757</v>
      </c>
      <c r="L421" s="413" t="s">
        <v>251</v>
      </c>
      <c r="M421" s="618">
        <v>44631</v>
      </c>
      <c r="N421" s="618">
        <v>44664</v>
      </c>
      <c r="O421" s="618">
        <v>44680</v>
      </c>
      <c r="P421" s="2631" t="s">
        <v>1433</v>
      </c>
      <c r="Q421" s="413"/>
      <c r="R421" s="620">
        <v>830620</v>
      </c>
      <c r="S421" s="620">
        <v>1005050.2</v>
      </c>
      <c r="T421" s="1480"/>
      <c r="U421" s="1480"/>
      <c r="V421" s="1480"/>
      <c r="W421" s="2632">
        <v>44680</v>
      </c>
      <c r="X421" s="620" t="s">
        <v>11697</v>
      </c>
      <c r="Y421" s="618">
        <v>44712</v>
      </c>
      <c r="Z421" s="618">
        <v>44720</v>
      </c>
      <c r="AA421" s="618">
        <v>45807</v>
      </c>
      <c r="AB421" s="2630" t="s">
        <v>12001</v>
      </c>
      <c r="AC421" s="2630">
        <v>2023</v>
      </c>
      <c r="AD421" s="388">
        <v>2024</v>
      </c>
      <c r="AE421" s="388" t="s">
        <v>12002</v>
      </c>
    </row>
    <row r="422" spans="1:32" ht="30.75" thickTop="1">
      <c r="A422" s="474">
        <v>44624</v>
      </c>
      <c r="B422" s="1420" t="s">
        <v>11263</v>
      </c>
      <c r="C422" s="453" t="s">
        <v>9694</v>
      </c>
      <c r="D422" s="453" t="s">
        <v>4969</v>
      </c>
      <c r="E422" s="473" t="s">
        <v>4219</v>
      </c>
      <c r="F422" s="453">
        <v>1</v>
      </c>
      <c r="G422" s="1420" t="s">
        <v>11266</v>
      </c>
      <c r="H422" s="453"/>
      <c r="I422" s="453" t="s">
        <v>275</v>
      </c>
      <c r="J422" s="453" t="s">
        <v>11271</v>
      </c>
      <c r="K422" s="457">
        <v>1294071</v>
      </c>
      <c r="L422" s="453" t="s">
        <v>251</v>
      </c>
      <c r="M422" s="474">
        <v>44670</v>
      </c>
      <c r="N422" s="474">
        <v>44715</v>
      </c>
      <c r="O422" s="474">
        <v>44774</v>
      </c>
      <c r="P422" s="1420" t="s">
        <v>9720</v>
      </c>
      <c r="Q422" s="453"/>
      <c r="R422" s="457">
        <v>879700</v>
      </c>
      <c r="S422" s="457">
        <v>10644374</v>
      </c>
      <c r="T422" s="1474"/>
      <c r="U422" s="1474"/>
      <c r="V422" s="1474"/>
      <c r="W422" s="570">
        <v>44774</v>
      </c>
      <c r="X422" s="1387" t="s">
        <v>12620</v>
      </c>
      <c r="Y422" s="474">
        <v>44810</v>
      </c>
      <c r="Z422" s="474">
        <v>44830</v>
      </c>
      <c r="AA422" s="474">
        <v>44865</v>
      </c>
      <c r="AB422" s="1391"/>
      <c r="AC422" s="1391" t="s">
        <v>1875</v>
      </c>
    </row>
    <row r="423" spans="1:32" ht="45">
      <c r="A423" s="2140">
        <v>44624</v>
      </c>
      <c r="B423" s="2143" t="s">
        <v>11263</v>
      </c>
      <c r="C423" s="2141" t="s">
        <v>9694</v>
      </c>
      <c r="D423" s="2141" t="s">
        <v>4969</v>
      </c>
      <c r="E423" s="2142" t="s">
        <v>4219</v>
      </c>
      <c r="F423" s="2141">
        <v>2</v>
      </c>
      <c r="G423" s="2143" t="s">
        <v>11267</v>
      </c>
      <c r="H423" s="2141"/>
      <c r="I423" s="2141" t="s">
        <v>275</v>
      </c>
      <c r="J423" s="2141" t="s">
        <v>11272</v>
      </c>
      <c r="K423" s="2144">
        <v>794250</v>
      </c>
      <c r="L423" s="2141" t="s">
        <v>251</v>
      </c>
      <c r="M423" s="2140">
        <v>44670</v>
      </c>
      <c r="N423" s="2140">
        <v>44715</v>
      </c>
      <c r="O423" s="2140">
        <v>44774</v>
      </c>
      <c r="P423" s="2143" t="s">
        <v>9720</v>
      </c>
      <c r="Q423" s="2141"/>
      <c r="R423" s="2144">
        <v>415200</v>
      </c>
      <c r="S423" s="2144">
        <v>502392</v>
      </c>
      <c r="T423" s="2145"/>
      <c r="U423" s="2145"/>
      <c r="V423" s="2145"/>
      <c r="W423" s="2146">
        <v>44774</v>
      </c>
      <c r="X423" s="2260" t="s">
        <v>12623</v>
      </c>
      <c r="Y423" s="2140">
        <v>44806</v>
      </c>
      <c r="Z423" s="2140">
        <v>44830</v>
      </c>
      <c r="AA423" s="2140">
        <v>44865</v>
      </c>
      <c r="AB423" s="2109"/>
      <c r="AC423" s="2109" t="s">
        <v>1875</v>
      </c>
    </row>
    <row r="424" spans="1:32" ht="30">
      <c r="A424" s="2140">
        <v>44624</v>
      </c>
      <c r="B424" s="2143" t="s">
        <v>11263</v>
      </c>
      <c r="C424" s="2141" t="s">
        <v>9694</v>
      </c>
      <c r="D424" s="2141" t="s">
        <v>4969</v>
      </c>
      <c r="E424" s="2142" t="s">
        <v>4219</v>
      </c>
      <c r="F424" s="2141">
        <v>3</v>
      </c>
      <c r="G424" s="2143" t="s">
        <v>11268</v>
      </c>
      <c r="H424" s="2141"/>
      <c r="I424" s="2141" t="s">
        <v>275</v>
      </c>
      <c r="J424" s="2141" t="s">
        <v>11273</v>
      </c>
      <c r="K424" s="2144">
        <v>261612</v>
      </c>
      <c r="L424" s="2141" t="s">
        <v>251</v>
      </c>
      <c r="M424" s="2140">
        <v>44670</v>
      </c>
      <c r="N424" s="2140">
        <v>44715</v>
      </c>
      <c r="O424" s="2140">
        <v>44774</v>
      </c>
      <c r="P424" s="2143" t="s">
        <v>9720</v>
      </c>
      <c r="Q424" s="2141"/>
      <c r="R424" s="2144">
        <v>169200</v>
      </c>
      <c r="S424" s="2144">
        <v>204732</v>
      </c>
      <c r="T424" s="2145"/>
      <c r="U424" s="2145"/>
      <c r="V424" s="2145"/>
      <c r="W424" s="2146">
        <v>44774</v>
      </c>
      <c r="X424" s="2260" t="s">
        <v>12621</v>
      </c>
      <c r="Y424" s="2140">
        <v>44806</v>
      </c>
      <c r="Z424" s="2140">
        <v>44830</v>
      </c>
      <c r="AA424" s="2140">
        <v>44865</v>
      </c>
      <c r="AB424" s="2109"/>
      <c r="AC424" s="2109" t="s">
        <v>1875</v>
      </c>
    </row>
    <row r="425" spans="1:32" ht="30">
      <c r="A425" s="2140">
        <v>44624</v>
      </c>
      <c r="B425" s="2143" t="s">
        <v>11263</v>
      </c>
      <c r="C425" s="2141" t="s">
        <v>9694</v>
      </c>
      <c r="D425" s="2141" t="s">
        <v>4969</v>
      </c>
      <c r="E425" s="2142" t="s">
        <v>4219</v>
      </c>
      <c r="F425" s="2141">
        <v>4</v>
      </c>
      <c r="G425" s="2143" t="s">
        <v>11269</v>
      </c>
      <c r="H425" s="2141"/>
      <c r="I425" s="2141" t="s">
        <v>275</v>
      </c>
      <c r="J425" s="2141" t="s">
        <v>11273</v>
      </c>
      <c r="K425" s="2144">
        <v>261612</v>
      </c>
      <c r="L425" s="2141" t="s">
        <v>251</v>
      </c>
      <c r="M425" s="2140">
        <v>44670</v>
      </c>
      <c r="N425" s="2140">
        <v>44715</v>
      </c>
      <c r="O425" s="2140">
        <v>44778</v>
      </c>
      <c r="P425" s="2143" t="s">
        <v>5333</v>
      </c>
      <c r="Q425" s="2141"/>
      <c r="R425" s="2144">
        <v>142000</v>
      </c>
      <c r="S425" s="2144">
        <v>171820</v>
      </c>
      <c r="T425" s="2145"/>
      <c r="U425" s="2145"/>
      <c r="V425" s="2145"/>
      <c r="W425" s="2146">
        <v>44778</v>
      </c>
      <c r="X425" s="2260" t="s">
        <v>12644</v>
      </c>
      <c r="Y425" s="2140">
        <v>44819</v>
      </c>
      <c r="Z425" s="2140">
        <v>44830</v>
      </c>
      <c r="AA425" s="2140">
        <v>44865</v>
      </c>
      <c r="AB425" s="2109"/>
      <c r="AC425" s="2109" t="s">
        <v>1875</v>
      </c>
    </row>
    <row r="426" spans="1:32" ht="30">
      <c r="A426" s="2140">
        <v>44624</v>
      </c>
      <c r="B426" s="2143" t="s">
        <v>11263</v>
      </c>
      <c r="C426" s="2141" t="s">
        <v>9694</v>
      </c>
      <c r="D426" s="2141" t="s">
        <v>4969</v>
      </c>
      <c r="E426" s="2142" t="s">
        <v>4219</v>
      </c>
      <c r="F426" s="2141">
        <v>5</v>
      </c>
      <c r="G426" s="2143" t="s">
        <v>11270</v>
      </c>
      <c r="H426" s="2141"/>
      <c r="I426" s="2141" t="s">
        <v>275</v>
      </c>
      <c r="J426" s="2141" t="s">
        <v>11274</v>
      </c>
      <c r="K426" s="2144">
        <v>272000</v>
      </c>
      <c r="L426" s="2141" t="s">
        <v>251</v>
      </c>
      <c r="M426" s="2140">
        <v>44670</v>
      </c>
      <c r="N426" s="2140">
        <v>44715</v>
      </c>
      <c r="O426" s="2140">
        <v>44774</v>
      </c>
      <c r="P426" s="2143" t="s">
        <v>4478</v>
      </c>
      <c r="Q426" s="2141"/>
      <c r="R426" s="2144">
        <v>236000</v>
      </c>
      <c r="S426" s="2144">
        <v>285560</v>
      </c>
      <c r="T426" s="2145"/>
      <c r="U426" s="2145"/>
      <c r="V426" s="2145"/>
      <c r="W426" s="2146">
        <v>44774</v>
      </c>
      <c r="X426" s="2260" t="s">
        <v>12624</v>
      </c>
      <c r="Y426" s="2140">
        <v>44806</v>
      </c>
      <c r="Z426" s="2140">
        <v>44830</v>
      </c>
      <c r="AA426" s="2140">
        <v>44865</v>
      </c>
      <c r="AB426" s="2109"/>
      <c r="AC426" s="2109" t="s">
        <v>1875</v>
      </c>
    </row>
    <row r="427" spans="1:32" ht="30.75" thickBot="1">
      <c r="A427" s="2117">
        <v>44624</v>
      </c>
      <c r="B427" s="2120" t="s">
        <v>11263</v>
      </c>
      <c r="C427" s="2118" t="s">
        <v>58</v>
      </c>
      <c r="D427" s="2118" t="s">
        <v>4969</v>
      </c>
      <c r="E427" s="2119" t="s">
        <v>4219</v>
      </c>
      <c r="F427" s="2118">
        <v>6</v>
      </c>
      <c r="G427" s="2120" t="s">
        <v>12016</v>
      </c>
      <c r="H427" s="2118"/>
      <c r="I427" s="2118" t="s">
        <v>275</v>
      </c>
      <c r="J427" s="2118" t="s">
        <v>12017</v>
      </c>
      <c r="K427" s="2121">
        <v>105000</v>
      </c>
      <c r="L427" s="2118" t="s">
        <v>251</v>
      </c>
      <c r="M427" s="2117">
        <v>44670</v>
      </c>
      <c r="N427" s="2117">
        <v>44715</v>
      </c>
      <c r="O427" s="2117">
        <v>44774</v>
      </c>
      <c r="P427" s="2120" t="s">
        <v>9720</v>
      </c>
      <c r="Q427" s="2118"/>
      <c r="R427" s="2121">
        <v>62100</v>
      </c>
      <c r="S427" s="2121">
        <v>75141</v>
      </c>
      <c r="T427" s="2122"/>
      <c r="U427" s="2122"/>
      <c r="V427" s="2122"/>
      <c r="W427" s="2123">
        <v>44774</v>
      </c>
      <c r="X427" s="2246" t="s">
        <v>12622</v>
      </c>
      <c r="Y427" s="2117">
        <v>44806</v>
      </c>
      <c r="Z427" s="2117">
        <v>44830</v>
      </c>
      <c r="AA427" s="2117">
        <v>44865</v>
      </c>
      <c r="AB427" s="2110"/>
      <c r="AC427" s="2110" t="s">
        <v>1875</v>
      </c>
    </row>
    <row r="428" spans="1:32" ht="15.75" thickTop="1">
      <c r="A428" s="365">
        <v>44624</v>
      </c>
      <c r="B428" s="2654" t="s">
        <v>11275</v>
      </c>
      <c r="C428" s="2653" t="s">
        <v>2111</v>
      </c>
      <c r="D428" s="2653" t="s">
        <v>9080</v>
      </c>
      <c r="E428" s="175" t="s">
        <v>11276</v>
      </c>
      <c r="F428" s="2653"/>
      <c r="G428" s="2654"/>
      <c r="H428" s="576"/>
      <c r="I428" s="2653" t="s">
        <v>2113</v>
      </c>
      <c r="J428" s="2653"/>
      <c r="K428" s="364">
        <v>2667613</v>
      </c>
      <c r="L428" s="2653" t="s">
        <v>251</v>
      </c>
      <c r="M428" s="365">
        <v>44631</v>
      </c>
      <c r="N428" s="365">
        <v>44670</v>
      </c>
      <c r="O428" s="365">
        <v>44706</v>
      </c>
      <c r="P428" s="2654" t="s">
        <v>12083</v>
      </c>
      <c r="Q428" s="2653"/>
      <c r="R428" s="364">
        <v>2588444</v>
      </c>
      <c r="S428" s="364">
        <v>3132017.24</v>
      </c>
      <c r="T428" s="1489"/>
      <c r="U428" s="1489"/>
      <c r="V428" s="1489"/>
      <c r="W428" s="681">
        <v>44706</v>
      </c>
      <c r="X428" s="364" t="s">
        <v>12332</v>
      </c>
      <c r="Y428" s="365">
        <v>44732</v>
      </c>
      <c r="Z428" s="365">
        <v>44757</v>
      </c>
      <c r="AA428" s="2654"/>
      <c r="AB428" s="1551">
        <v>44851</v>
      </c>
      <c r="AC428" s="1513"/>
    </row>
    <row r="429" spans="1:32">
      <c r="A429" s="470">
        <v>44628</v>
      </c>
      <c r="B429" s="654" t="s">
        <v>11291</v>
      </c>
      <c r="C429" s="466" t="s">
        <v>14</v>
      </c>
      <c r="D429" s="466" t="s">
        <v>1753</v>
      </c>
      <c r="E429" s="467" t="s">
        <v>11292</v>
      </c>
      <c r="F429" s="466"/>
      <c r="G429" s="654"/>
      <c r="H429" s="466"/>
      <c r="I429" s="466" t="s">
        <v>237</v>
      </c>
      <c r="J429" s="466"/>
      <c r="K429" s="472">
        <v>1450000</v>
      </c>
      <c r="L429" s="466" t="s">
        <v>112</v>
      </c>
      <c r="M429" s="470">
        <v>44630</v>
      </c>
      <c r="N429" s="470">
        <v>44637</v>
      </c>
      <c r="O429" s="466"/>
      <c r="P429" s="471" t="s">
        <v>8431</v>
      </c>
      <c r="Q429" s="2014" t="s">
        <v>11333</v>
      </c>
      <c r="R429" s="472"/>
      <c r="S429" s="472"/>
      <c r="T429" s="1516"/>
      <c r="U429" s="1516"/>
      <c r="V429" s="1516"/>
      <c r="W429" s="472"/>
      <c r="X429" s="472"/>
      <c r="Y429" s="466"/>
      <c r="Z429" s="470">
        <v>44631</v>
      </c>
      <c r="AA429" s="466"/>
      <c r="AB429" s="466"/>
      <c r="AC429" s="466"/>
    </row>
    <row r="430" spans="1:32">
      <c r="A430" s="2140">
        <v>44621</v>
      </c>
      <c r="B430" s="2143" t="s">
        <v>11289</v>
      </c>
      <c r="C430" s="2141" t="s">
        <v>2434</v>
      </c>
      <c r="D430" s="2141" t="s">
        <v>219</v>
      </c>
      <c r="E430" s="2142" t="s">
        <v>11290</v>
      </c>
      <c r="F430" s="2141"/>
      <c r="G430" s="2143"/>
      <c r="H430" s="2085"/>
      <c r="I430" s="2141" t="s">
        <v>642</v>
      </c>
      <c r="J430" s="2141"/>
      <c r="K430" s="2144">
        <v>12643200</v>
      </c>
      <c r="L430" s="2141" t="s">
        <v>251</v>
      </c>
      <c r="M430" s="2140">
        <v>44638</v>
      </c>
      <c r="N430" s="2140">
        <v>44678</v>
      </c>
      <c r="O430" s="2140">
        <v>44706</v>
      </c>
      <c r="P430" s="2143" t="s">
        <v>459</v>
      </c>
      <c r="Q430" s="2141"/>
      <c r="R430" s="2144">
        <v>12643200</v>
      </c>
      <c r="S430" s="2144">
        <v>15298272</v>
      </c>
      <c r="T430" s="2094"/>
      <c r="U430" s="2094"/>
      <c r="V430" s="2094"/>
      <c r="W430" s="2146">
        <v>44706</v>
      </c>
      <c r="X430" s="2144" t="s">
        <v>11966</v>
      </c>
      <c r="Y430" s="2140">
        <v>44785</v>
      </c>
      <c r="Z430" s="2140">
        <v>44812</v>
      </c>
      <c r="AA430" s="2140">
        <v>46245</v>
      </c>
      <c r="AB430" s="2109" t="s">
        <v>12744</v>
      </c>
      <c r="AC430" s="2109">
        <v>2023</v>
      </c>
      <c r="AD430" s="388">
        <v>2024</v>
      </c>
      <c r="AE430" s="388">
        <v>2025</v>
      </c>
      <c r="AF430" s="388" t="s">
        <v>12748</v>
      </c>
    </row>
    <row r="431" spans="1:32" ht="15.75" thickBot="1">
      <c r="A431" s="416">
        <v>44630</v>
      </c>
      <c r="B431" s="630" t="s">
        <v>11302</v>
      </c>
      <c r="C431" s="411" t="s">
        <v>2712</v>
      </c>
      <c r="D431" s="411" t="s">
        <v>2731</v>
      </c>
      <c r="E431" s="412" t="s">
        <v>11303</v>
      </c>
      <c r="F431" s="411"/>
      <c r="G431" s="630"/>
      <c r="H431" s="411"/>
      <c r="I431" s="411" t="s">
        <v>1422</v>
      </c>
      <c r="J431" s="411"/>
      <c r="K431" s="417">
        <v>700000</v>
      </c>
      <c r="L431" s="411" t="s">
        <v>112</v>
      </c>
      <c r="M431" s="416">
        <v>44631</v>
      </c>
      <c r="N431" s="416">
        <v>44638</v>
      </c>
      <c r="O431" s="416">
        <v>44642</v>
      </c>
      <c r="P431" s="630" t="s">
        <v>9891</v>
      </c>
      <c r="Q431" s="411"/>
      <c r="R431" s="417">
        <v>736884.3</v>
      </c>
      <c r="S431" s="417">
        <v>838000</v>
      </c>
      <c r="T431" s="1480"/>
      <c r="U431" s="1480"/>
      <c r="V431" s="1480"/>
      <c r="W431" s="513">
        <v>44642</v>
      </c>
      <c r="X431" s="417" t="s">
        <v>11384</v>
      </c>
      <c r="Y431" s="416">
        <v>44657</v>
      </c>
      <c r="Z431" s="416">
        <v>44673</v>
      </c>
      <c r="AA431" s="416">
        <v>44677</v>
      </c>
      <c r="AB431" s="416">
        <v>44739</v>
      </c>
      <c r="AC431" s="967"/>
    </row>
    <row r="432" spans="1:32" ht="30.75" thickTop="1">
      <c r="A432" s="474">
        <v>44629</v>
      </c>
      <c r="B432" s="1420" t="s">
        <v>11304</v>
      </c>
      <c r="C432" s="453" t="s">
        <v>58</v>
      </c>
      <c r="D432" s="453" t="s">
        <v>4969</v>
      </c>
      <c r="E432" s="473" t="s">
        <v>10051</v>
      </c>
      <c r="F432" s="453">
        <v>1</v>
      </c>
      <c r="G432" s="1420" t="s">
        <v>11305</v>
      </c>
      <c r="H432" s="453"/>
      <c r="I432" s="453" t="s">
        <v>269</v>
      </c>
      <c r="J432" s="453" t="s">
        <v>11306</v>
      </c>
      <c r="K432" s="457">
        <v>432000</v>
      </c>
      <c r="L432" s="453" t="s">
        <v>251</v>
      </c>
      <c r="M432" s="474">
        <v>44664</v>
      </c>
      <c r="N432" s="474">
        <v>44700</v>
      </c>
      <c r="O432" s="474">
        <v>44722</v>
      </c>
      <c r="P432" s="1420" t="s">
        <v>2793</v>
      </c>
      <c r="Q432" s="453"/>
      <c r="R432" s="457">
        <v>431245</v>
      </c>
      <c r="S432" s="457">
        <v>521806.45</v>
      </c>
      <c r="T432" s="1474"/>
      <c r="U432" s="1474"/>
      <c r="V432" s="1474"/>
      <c r="W432" s="570">
        <v>44722</v>
      </c>
      <c r="X432" s="1387" t="s">
        <v>12102</v>
      </c>
      <c r="Y432" s="474">
        <v>44761</v>
      </c>
      <c r="Z432" s="474">
        <v>44770</v>
      </c>
      <c r="AA432" s="474">
        <v>44831</v>
      </c>
      <c r="AB432" s="474">
        <v>44844</v>
      </c>
      <c r="AC432" s="1391" t="s">
        <v>1875</v>
      </c>
    </row>
    <row r="433" spans="1:32" ht="30">
      <c r="A433" s="2140">
        <v>44629</v>
      </c>
      <c r="B433" s="2143" t="s">
        <v>11304</v>
      </c>
      <c r="C433" s="2141" t="s">
        <v>58</v>
      </c>
      <c r="D433" s="2141" t="s">
        <v>4969</v>
      </c>
      <c r="E433" s="2142" t="s">
        <v>10051</v>
      </c>
      <c r="F433" s="2141">
        <v>2</v>
      </c>
      <c r="G433" s="2143" t="s">
        <v>11309</v>
      </c>
      <c r="H433" s="2141"/>
      <c r="I433" s="2141" t="s">
        <v>269</v>
      </c>
      <c r="J433" s="2141" t="s">
        <v>11307</v>
      </c>
      <c r="K433" s="2144">
        <v>292000</v>
      </c>
      <c r="L433" s="2141" t="s">
        <v>251</v>
      </c>
      <c r="M433" s="2140">
        <v>44664</v>
      </c>
      <c r="N433" s="2140">
        <v>44700</v>
      </c>
      <c r="O433" s="2140">
        <v>44722</v>
      </c>
      <c r="P433" s="2143" t="s">
        <v>10265</v>
      </c>
      <c r="Q433" s="2141"/>
      <c r="R433" s="2144">
        <v>291142</v>
      </c>
      <c r="S433" s="2144">
        <v>352281.82</v>
      </c>
      <c r="T433" s="2145"/>
      <c r="U433" s="2145"/>
      <c r="V433" s="2145"/>
      <c r="W433" s="2146">
        <v>44722</v>
      </c>
      <c r="X433" s="2260" t="s">
        <v>12103</v>
      </c>
      <c r="Y433" s="2140">
        <v>44761</v>
      </c>
      <c r="Z433" s="2140">
        <v>44770</v>
      </c>
      <c r="AA433" s="2140">
        <v>44817</v>
      </c>
      <c r="AB433" s="2109"/>
      <c r="AC433" s="2109" t="s">
        <v>1875</v>
      </c>
    </row>
    <row r="434" spans="1:32" ht="30.75" thickBot="1">
      <c r="A434" s="675">
        <v>44629</v>
      </c>
      <c r="B434" s="1983" t="s">
        <v>11304</v>
      </c>
      <c r="C434" s="517" t="s">
        <v>9694</v>
      </c>
      <c r="D434" s="517" t="s">
        <v>4969</v>
      </c>
      <c r="E434" s="672" t="s">
        <v>10051</v>
      </c>
      <c r="F434" s="517">
        <v>3</v>
      </c>
      <c r="G434" s="1983" t="s">
        <v>11310</v>
      </c>
      <c r="H434" s="517"/>
      <c r="I434" s="517" t="s">
        <v>269</v>
      </c>
      <c r="J434" s="517" t="s">
        <v>11308</v>
      </c>
      <c r="K434" s="676">
        <v>640810</v>
      </c>
      <c r="L434" s="517" t="s">
        <v>251</v>
      </c>
      <c r="M434" s="675">
        <v>44664</v>
      </c>
      <c r="N434" s="675">
        <v>44700</v>
      </c>
      <c r="O434" s="675">
        <v>44722</v>
      </c>
      <c r="P434" s="1983" t="s">
        <v>2793</v>
      </c>
      <c r="Q434" s="517"/>
      <c r="R434" s="676">
        <v>571120</v>
      </c>
      <c r="S434" s="676">
        <v>691055.2</v>
      </c>
      <c r="T434" s="1984"/>
      <c r="U434" s="1984"/>
      <c r="V434" s="1984"/>
      <c r="W434" s="683">
        <v>44722</v>
      </c>
      <c r="X434" s="2479" t="s">
        <v>12104</v>
      </c>
      <c r="Y434" s="675">
        <v>44761</v>
      </c>
      <c r="Z434" s="675">
        <v>44770</v>
      </c>
      <c r="AA434" s="675">
        <v>44831</v>
      </c>
      <c r="AB434" s="1981"/>
      <c r="AC434" s="1981" t="s">
        <v>1875</v>
      </c>
    </row>
    <row r="435" spans="1:32" ht="30.75" thickTop="1">
      <c r="A435" s="365">
        <v>44617</v>
      </c>
      <c r="B435" s="2663" t="s">
        <v>11326</v>
      </c>
      <c r="C435" s="2662" t="s">
        <v>2434</v>
      </c>
      <c r="D435" s="2662" t="s">
        <v>3204</v>
      </c>
      <c r="E435" s="175" t="s">
        <v>11327</v>
      </c>
      <c r="F435" s="2662"/>
      <c r="G435" s="2663"/>
      <c r="H435" s="2662"/>
      <c r="I435" s="2662" t="s">
        <v>642</v>
      </c>
      <c r="J435" s="2662"/>
      <c r="K435" s="364">
        <v>2308500</v>
      </c>
      <c r="L435" s="2662" t="s">
        <v>251</v>
      </c>
      <c r="M435" s="365">
        <v>44635</v>
      </c>
      <c r="N435" s="365">
        <v>44706</v>
      </c>
      <c r="O435" s="365">
        <v>44728</v>
      </c>
      <c r="P435" s="2663" t="s">
        <v>8586</v>
      </c>
      <c r="Q435" s="2662"/>
      <c r="R435" s="364">
        <v>930000</v>
      </c>
      <c r="S435" s="364">
        <v>1125300</v>
      </c>
      <c r="T435" s="1473"/>
      <c r="U435" s="1473"/>
      <c r="V435" s="1473"/>
      <c r="W435" s="681">
        <v>44728</v>
      </c>
      <c r="X435" s="1417" t="s">
        <v>12253</v>
      </c>
      <c r="Y435" s="365">
        <v>44753</v>
      </c>
      <c r="Z435" s="365">
        <v>44761</v>
      </c>
      <c r="AA435" s="365">
        <v>45483</v>
      </c>
      <c r="AB435" s="451" t="s">
        <v>12518</v>
      </c>
      <c r="AC435" s="451">
        <v>2023</v>
      </c>
      <c r="AD435" s="388" t="s">
        <v>12519</v>
      </c>
    </row>
    <row r="436" spans="1:32">
      <c r="A436" s="2141" t="s">
        <v>3585</v>
      </c>
      <c r="B436" s="2143" t="s">
        <v>11331</v>
      </c>
      <c r="C436" s="2141" t="s">
        <v>14</v>
      </c>
      <c r="D436" s="2141" t="s">
        <v>1753</v>
      </c>
      <c r="E436" s="2142" t="s">
        <v>11332</v>
      </c>
      <c r="F436" s="2141"/>
      <c r="G436" s="2143"/>
      <c r="H436" s="2141"/>
      <c r="I436" s="2141" t="s">
        <v>237</v>
      </c>
      <c r="J436" s="2141"/>
      <c r="K436" s="2144">
        <v>1450000</v>
      </c>
      <c r="L436" s="2141" t="s">
        <v>112</v>
      </c>
      <c r="M436" s="2140">
        <v>44636</v>
      </c>
      <c r="N436" s="2140">
        <v>44645</v>
      </c>
      <c r="O436" s="2140">
        <v>44658</v>
      </c>
      <c r="P436" s="2143" t="s">
        <v>8018</v>
      </c>
      <c r="Q436" s="2141"/>
      <c r="R436" s="2144">
        <v>990000</v>
      </c>
      <c r="S436" s="2144">
        <v>1197900</v>
      </c>
      <c r="T436" s="2145"/>
      <c r="U436" s="2145"/>
      <c r="V436" s="2145"/>
      <c r="W436" s="2146">
        <v>44658</v>
      </c>
      <c r="X436" s="2144" t="s">
        <v>11545</v>
      </c>
      <c r="Y436" s="2140">
        <v>44680</v>
      </c>
      <c r="Z436" s="2140">
        <v>44683</v>
      </c>
      <c r="AA436" s="2141"/>
      <c r="AB436" s="2109"/>
      <c r="AC436" s="2106"/>
    </row>
    <row r="437" spans="1:32">
      <c r="A437" s="2140">
        <v>44636</v>
      </c>
      <c r="B437" s="2143" t="s">
        <v>11341</v>
      </c>
      <c r="C437" s="2141" t="s">
        <v>2111</v>
      </c>
      <c r="D437" s="2141" t="s">
        <v>9080</v>
      </c>
      <c r="E437" s="2142" t="s">
        <v>11342</v>
      </c>
      <c r="F437" s="2141"/>
      <c r="G437" s="2143"/>
      <c r="H437" s="2141"/>
      <c r="I437" s="2141" t="s">
        <v>11343</v>
      </c>
      <c r="J437" s="2141"/>
      <c r="K437" s="2144">
        <v>1509200</v>
      </c>
      <c r="L437" s="2141" t="s">
        <v>112</v>
      </c>
      <c r="M437" s="2140">
        <v>44643</v>
      </c>
      <c r="N437" s="2140">
        <v>44652</v>
      </c>
      <c r="O437" s="2140">
        <v>44680</v>
      </c>
      <c r="P437" s="2143" t="s">
        <v>11661</v>
      </c>
      <c r="Q437" s="2141"/>
      <c r="R437" s="2144">
        <v>1930500</v>
      </c>
      <c r="S437" s="2144">
        <v>2335905</v>
      </c>
      <c r="T437" s="2145"/>
      <c r="U437" s="2145"/>
      <c r="V437" s="2145"/>
      <c r="W437" s="2146">
        <v>44680</v>
      </c>
      <c r="X437" s="2144" t="s">
        <v>11691</v>
      </c>
      <c r="Y437" s="2140">
        <v>44706</v>
      </c>
      <c r="Z437" s="2140">
        <v>44708</v>
      </c>
      <c r="AA437" s="2140">
        <v>44720</v>
      </c>
      <c r="AB437" s="2464">
        <v>44809</v>
      </c>
      <c r="AC437" s="2106"/>
    </row>
    <row r="438" spans="1:32" ht="30">
      <c r="A438" s="2141" t="s">
        <v>3585</v>
      </c>
      <c r="B438" s="2143" t="s">
        <v>11348</v>
      </c>
      <c r="C438" s="2141" t="s">
        <v>2434</v>
      </c>
      <c r="D438" s="2141" t="s">
        <v>3204</v>
      </c>
      <c r="E438" s="2142" t="s">
        <v>11349</v>
      </c>
      <c r="F438" s="2141"/>
      <c r="G438" s="2143"/>
      <c r="H438" s="2141"/>
      <c r="I438" s="2141" t="s">
        <v>642</v>
      </c>
      <c r="J438" s="2141"/>
      <c r="K438" s="2144">
        <v>13758670</v>
      </c>
      <c r="L438" s="2141" t="s">
        <v>251</v>
      </c>
      <c r="M438" s="2140">
        <v>44638</v>
      </c>
      <c r="N438" s="2140">
        <v>44671</v>
      </c>
      <c r="O438" s="2140">
        <v>44685</v>
      </c>
      <c r="P438" s="2143" t="s">
        <v>6322</v>
      </c>
      <c r="Q438" s="2141"/>
      <c r="R438" s="2144">
        <v>13758670</v>
      </c>
      <c r="S438" s="2144">
        <v>15822470.5</v>
      </c>
      <c r="T438" s="2145"/>
      <c r="U438" s="2145"/>
      <c r="V438" s="2145"/>
      <c r="W438" s="2146">
        <v>44685</v>
      </c>
      <c r="X438" s="2260" t="s">
        <v>11740</v>
      </c>
      <c r="Y438" s="2140">
        <v>44708</v>
      </c>
      <c r="Z438" s="2140">
        <v>44715</v>
      </c>
      <c r="AA438" s="2140">
        <v>45803</v>
      </c>
      <c r="AB438" s="2109" t="s">
        <v>11973</v>
      </c>
      <c r="AC438" s="2109">
        <v>2023</v>
      </c>
      <c r="AD438" s="388">
        <v>2024</v>
      </c>
      <c r="AE438" s="388" t="s">
        <v>11974</v>
      </c>
    </row>
    <row r="439" spans="1:32" ht="30">
      <c r="A439" s="2140">
        <v>44637</v>
      </c>
      <c r="B439" s="2143" t="s">
        <v>11350</v>
      </c>
      <c r="C439" s="2141" t="s">
        <v>58</v>
      </c>
      <c r="D439" s="2141" t="s">
        <v>4969</v>
      </c>
      <c r="E439" s="2142" t="s">
        <v>6145</v>
      </c>
      <c r="F439" s="2141"/>
      <c r="G439" s="2143"/>
      <c r="H439" s="2141"/>
      <c r="I439" s="2141" t="s">
        <v>6143</v>
      </c>
      <c r="J439" s="2141" t="s">
        <v>11351</v>
      </c>
      <c r="K439" s="2144">
        <v>631835</v>
      </c>
      <c r="L439" s="2141" t="s">
        <v>112</v>
      </c>
      <c r="M439" s="2140">
        <v>44641</v>
      </c>
      <c r="N439" s="2140">
        <v>44651</v>
      </c>
      <c r="O439" s="2140">
        <v>44671</v>
      </c>
      <c r="P439" s="2143" t="s">
        <v>11559</v>
      </c>
      <c r="Q439" s="2141"/>
      <c r="R439" s="2144">
        <v>929281.33</v>
      </c>
      <c r="S439" s="2144">
        <v>1124430.4099999999</v>
      </c>
      <c r="T439" s="2145"/>
      <c r="U439" s="2145"/>
      <c r="V439" s="2145"/>
      <c r="W439" s="2146">
        <v>44671</v>
      </c>
      <c r="X439" s="2260" t="s">
        <v>11618</v>
      </c>
      <c r="Y439" s="2140">
        <v>44707</v>
      </c>
      <c r="Z439" s="2140">
        <v>44711</v>
      </c>
      <c r="AA439" s="2140">
        <v>44749</v>
      </c>
      <c r="AB439" s="2140">
        <v>44844</v>
      </c>
      <c r="AC439" s="2109" t="s">
        <v>1875</v>
      </c>
    </row>
    <row r="440" spans="1:32" ht="15.75" thickBot="1">
      <c r="A440" s="416">
        <v>44637</v>
      </c>
      <c r="B440" s="630" t="s">
        <v>11352</v>
      </c>
      <c r="C440" s="411" t="s">
        <v>2434</v>
      </c>
      <c r="D440" s="411" t="s">
        <v>219</v>
      </c>
      <c r="E440" s="412" t="s">
        <v>11353</v>
      </c>
      <c r="F440" s="411"/>
      <c r="G440" s="630"/>
      <c r="H440" s="2085"/>
      <c r="I440" s="411" t="s">
        <v>3271</v>
      </c>
      <c r="J440" s="411"/>
      <c r="K440" s="417">
        <v>2782400</v>
      </c>
      <c r="L440" s="411" t="s">
        <v>251</v>
      </c>
      <c r="M440" s="416">
        <v>44641</v>
      </c>
      <c r="N440" s="416">
        <v>44676</v>
      </c>
      <c r="O440" s="416">
        <v>44690</v>
      </c>
      <c r="P440" s="630" t="s">
        <v>3154</v>
      </c>
      <c r="Q440" s="411"/>
      <c r="R440" s="417">
        <v>2782400</v>
      </c>
      <c r="S440" s="417">
        <v>3199760</v>
      </c>
      <c r="T440" s="2094"/>
      <c r="U440" s="2094"/>
      <c r="V440" s="2094"/>
      <c r="W440" s="513">
        <v>44690</v>
      </c>
      <c r="X440" s="417" t="s">
        <v>11778</v>
      </c>
      <c r="Y440" s="416">
        <v>44705</v>
      </c>
      <c r="Z440" s="416">
        <v>44714</v>
      </c>
      <c r="AA440" s="416">
        <v>45800</v>
      </c>
      <c r="AB440" s="422" t="s">
        <v>11946</v>
      </c>
      <c r="AC440" s="422">
        <v>2023</v>
      </c>
      <c r="AD440" s="388">
        <v>2024</v>
      </c>
      <c r="AE440" s="388" t="s">
        <v>11947</v>
      </c>
    </row>
    <row r="441" spans="1:32" ht="30.75" thickTop="1">
      <c r="A441" s="453" t="s">
        <v>3585</v>
      </c>
      <c r="B441" s="1420" t="s">
        <v>11371</v>
      </c>
      <c r="C441" s="453" t="s">
        <v>9694</v>
      </c>
      <c r="D441" s="453" t="s">
        <v>4969</v>
      </c>
      <c r="E441" s="473" t="s">
        <v>11372</v>
      </c>
      <c r="F441" s="453">
        <v>1</v>
      </c>
      <c r="G441" s="1420" t="s">
        <v>9370</v>
      </c>
      <c r="H441" s="453" t="s">
        <v>10417</v>
      </c>
      <c r="I441" s="453" t="s">
        <v>10417</v>
      </c>
      <c r="J441" s="457" t="s">
        <v>10418</v>
      </c>
      <c r="K441" s="457">
        <v>1786211</v>
      </c>
      <c r="L441" s="453" t="s">
        <v>251</v>
      </c>
      <c r="M441" s="474">
        <v>44665</v>
      </c>
      <c r="N441" s="474">
        <v>44701</v>
      </c>
      <c r="O441" s="474">
        <v>44812</v>
      </c>
      <c r="P441" s="1420" t="s">
        <v>11328</v>
      </c>
      <c r="Q441" s="453"/>
      <c r="R441" s="457">
        <v>1793994</v>
      </c>
      <c r="S441" s="457">
        <v>2170732.7400000002</v>
      </c>
      <c r="T441" s="2145"/>
      <c r="U441" s="2145"/>
      <c r="V441" s="2145"/>
      <c r="W441" s="570">
        <v>44812</v>
      </c>
      <c r="X441" s="1387" t="s">
        <v>13021</v>
      </c>
      <c r="Y441" s="474">
        <v>44847</v>
      </c>
      <c r="Z441" s="474">
        <v>44853</v>
      </c>
      <c r="AA441" s="474">
        <v>44865</v>
      </c>
      <c r="AB441" s="1391"/>
      <c r="AC441" s="1391" t="s">
        <v>1875</v>
      </c>
    </row>
    <row r="442" spans="1:32" ht="30.75" thickBot="1">
      <c r="A442" s="2118" t="s">
        <v>3585</v>
      </c>
      <c r="B442" s="2120" t="s">
        <v>11371</v>
      </c>
      <c r="C442" s="2118" t="s">
        <v>58</v>
      </c>
      <c r="D442" s="2118" t="s">
        <v>4969</v>
      </c>
      <c r="E442" s="2119" t="s">
        <v>11372</v>
      </c>
      <c r="F442" s="2118">
        <v>2</v>
      </c>
      <c r="G442" s="2120" t="s">
        <v>10420</v>
      </c>
      <c r="H442" s="2141"/>
      <c r="I442" s="2118" t="s">
        <v>10417</v>
      </c>
      <c r="J442" s="2118"/>
      <c r="K442" s="2121">
        <v>195162</v>
      </c>
      <c r="L442" s="2118" t="s">
        <v>251</v>
      </c>
      <c r="M442" s="2117">
        <v>44665</v>
      </c>
      <c r="N442" s="2117">
        <v>44701</v>
      </c>
      <c r="O442" s="2117">
        <v>44812</v>
      </c>
      <c r="P442" s="2120" t="s">
        <v>11328</v>
      </c>
      <c r="Q442" s="2118"/>
      <c r="R442" s="2121">
        <v>205668</v>
      </c>
      <c r="S442" s="2121">
        <v>248858.28</v>
      </c>
      <c r="T442" s="2145"/>
      <c r="U442" s="2145"/>
      <c r="V442" s="2145"/>
      <c r="W442" s="2123">
        <v>44812</v>
      </c>
      <c r="X442" s="2246" t="s">
        <v>13022</v>
      </c>
      <c r="Y442" s="2117">
        <v>44847</v>
      </c>
      <c r="Z442" s="2117">
        <v>44853</v>
      </c>
      <c r="AA442" s="2117">
        <v>44865</v>
      </c>
      <c r="AB442" s="2110"/>
      <c r="AC442" s="2110" t="s">
        <v>1875</v>
      </c>
    </row>
    <row r="443" spans="1:32" ht="30.75" thickTop="1">
      <c r="A443" s="365">
        <v>44638</v>
      </c>
      <c r="B443" s="2646" t="s">
        <v>11374</v>
      </c>
      <c r="C443" s="2643" t="s">
        <v>58</v>
      </c>
      <c r="D443" s="2643" t="s">
        <v>4969</v>
      </c>
      <c r="E443" s="175" t="s">
        <v>11375</v>
      </c>
      <c r="F443" s="2643"/>
      <c r="G443" s="2644"/>
      <c r="H443" s="2141"/>
      <c r="I443" s="2643" t="s">
        <v>5760</v>
      </c>
      <c r="J443" s="2643" t="s">
        <v>11376</v>
      </c>
      <c r="K443" s="364">
        <v>455000</v>
      </c>
      <c r="L443" s="2643" t="s">
        <v>251</v>
      </c>
      <c r="M443" s="365">
        <v>44645</v>
      </c>
      <c r="N443" s="365">
        <v>44677</v>
      </c>
      <c r="O443" s="365">
        <v>44693</v>
      </c>
      <c r="P443" s="2644" t="s">
        <v>11559</v>
      </c>
      <c r="Q443" s="2643"/>
      <c r="R443" s="364">
        <v>478600</v>
      </c>
      <c r="S443" s="364">
        <v>579106</v>
      </c>
      <c r="T443" s="2145"/>
      <c r="U443" s="2145"/>
      <c r="V443" s="2145"/>
      <c r="W443" s="681">
        <v>44693</v>
      </c>
      <c r="X443" s="1417" t="s">
        <v>11836</v>
      </c>
      <c r="Y443" s="365">
        <v>44722</v>
      </c>
      <c r="Z443" s="365">
        <v>44727</v>
      </c>
      <c r="AA443" s="365">
        <v>44792</v>
      </c>
      <c r="AB443" s="365">
        <v>44844</v>
      </c>
      <c r="AC443" s="451" t="s">
        <v>1875</v>
      </c>
    </row>
    <row r="444" spans="1:32">
      <c r="A444" s="2124">
        <v>44641</v>
      </c>
      <c r="B444" s="2127" t="s">
        <v>11377</v>
      </c>
      <c r="C444" s="2125" t="s">
        <v>2434</v>
      </c>
      <c r="D444" s="2125" t="s">
        <v>219</v>
      </c>
      <c r="E444" s="2126" t="s">
        <v>11378</v>
      </c>
      <c r="F444" s="2125"/>
      <c r="G444" s="2127"/>
      <c r="H444" s="2125"/>
      <c r="I444" s="2125" t="s">
        <v>642</v>
      </c>
      <c r="J444" s="2125"/>
      <c r="K444" s="2128">
        <v>1527150</v>
      </c>
      <c r="L444" s="2125" t="s">
        <v>112</v>
      </c>
      <c r="M444" s="2124">
        <v>44643</v>
      </c>
      <c r="N444" s="2124">
        <v>44652</v>
      </c>
      <c r="O444" s="2125"/>
      <c r="P444" s="2136" t="s">
        <v>4505</v>
      </c>
      <c r="Q444" s="2275" t="s">
        <v>12179</v>
      </c>
      <c r="R444" s="2128"/>
      <c r="S444" s="2128"/>
      <c r="T444" s="2129"/>
      <c r="U444" s="2129"/>
      <c r="V444" s="2129"/>
      <c r="W444" s="2128"/>
      <c r="X444" s="2128"/>
      <c r="Y444" s="2125"/>
      <c r="Z444" s="2124">
        <v>44670</v>
      </c>
      <c r="AA444" s="2125"/>
      <c r="AB444" s="2125"/>
      <c r="AC444" s="2125"/>
    </row>
    <row r="445" spans="1:32" ht="30">
      <c r="A445" s="2140">
        <v>44642</v>
      </c>
      <c r="B445" s="2143" t="s">
        <v>11381</v>
      </c>
      <c r="C445" s="2141" t="s">
        <v>2434</v>
      </c>
      <c r="D445" s="2141" t="s">
        <v>3204</v>
      </c>
      <c r="E445" s="2142" t="s">
        <v>11382</v>
      </c>
      <c r="F445" s="2141"/>
      <c r="G445" s="2143"/>
      <c r="H445" s="2141"/>
      <c r="I445" s="2141" t="s">
        <v>642</v>
      </c>
      <c r="J445" s="2141"/>
      <c r="K445" s="2144">
        <v>1513044</v>
      </c>
      <c r="L445" s="2141" t="s">
        <v>112</v>
      </c>
      <c r="M445" s="2140">
        <v>44649</v>
      </c>
      <c r="N445" s="2140">
        <v>44658</v>
      </c>
      <c r="O445" s="2140">
        <v>44664</v>
      </c>
      <c r="P445" s="2143" t="s">
        <v>3179</v>
      </c>
      <c r="Q445" s="2141"/>
      <c r="R445" s="2144">
        <v>1437000</v>
      </c>
      <c r="S445" s="2144">
        <v>1652550</v>
      </c>
      <c r="T445" s="2145"/>
      <c r="U445" s="2145"/>
      <c r="V445" s="2145"/>
      <c r="W445" s="2146">
        <v>44664</v>
      </c>
      <c r="X445" s="2260" t="s">
        <v>11579</v>
      </c>
      <c r="Y445" s="2140">
        <v>44690</v>
      </c>
      <c r="Z445" s="2140">
        <v>44694</v>
      </c>
      <c r="AA445" s="2140">
        <v>46150</v>
      </c>
      <c r="AB445" s="2109" t="s">
        <v>11790</v>
      </c>
      <c r="AC445" s="2109">
        <v>2023</v>
      </c>
      <c r="AD445" s="388">
        <v>2024</v>
      </c>
      <c r="AE445" s="388">
        <v>2025</v>
      </c>
      <c r="AF445" s="388" t="s">
        <v>11791</v>
      </c>
    </row>
    <row r="446" spans="1:32" ht="15.75" thickBot="1">
      <c r="A446" s="416">
        <v>44642</v>
      </c>
      <c r="B446" s="630" t="s">
        <v>11390</v>
      </c>
      <c r="C446" s="411" t="s">
        <v>69</v>
      </c>
      <c r="D446" s="411" t="s">
        <v>70</v>
      </c>
      <c r="E446" s="2538" t="s">
        <v>11391</v>
      </c>
      <c r="F446" s="411">
        <v>1</v>
      </c>
      <c r="G446" s="630" t="s">
        <v>11389</v>
      </c>
      <c r="H446" s="411"/>
      <c r="I446" s="411" t="s">
        <v>816</v>
      </c>
      <c r="J446" s="411"/>
      <c r="K446" s="417">
        <v>10130509</v>
      </c>
      <c r="L446" s="411" t="s">
        <v>251</v>
      </c>
      <c r="M446" s="416">
        <v>44648</v>
      </c>
      <c r="N446" s="416">
        <v>44713</v>
      </c>
      <c r="O446" s="416">
        <v>44722</v>
      </c>
      <c r="P446" s="630" t="s">
        <v>2548</v>
      </c>
      <c r="Q446" s="411"/>
      <c r="R446" s="417">
        <v>10130508.6</v>
      </c>
      <c r="S446" s="417">
        <v>11143559.460000001</v>
      </c>
      <c r="T446" s="1480"/>
      <c r="U446" s="1480"/>
      <c r="V446" s="1480"/>
      <c r="W446" s="513">
        <v>44722</v>
      </c>
      <c r="X446" s="417" t="s">
        <v>12115</v>
      </c>
      <c r="Y446" s="416">
        <v>44754</v>
      </c>
      <c r="Z446" s="416">
        <v>44761</v>
      </c>
      <c r="AA446" s="416">
        <v>45849</v>
      </c>
      <c r="AB446" s="422" t="s">
        <v>12507</v>
      </c>
      <c r="AC446" s="422">
        <v>2023</v>
      </c>
      <c r="AD446" s="388">
        <v>2024</v>
      </c>
      <c r="AE446" s="388" t="s">
        <v>12508</v>
      </c>
    </row>
    <row r="447" spans="1:32" ht="15.75" thickTop="1">
      <c r="A447" s="474">
        <v>44687</v>
      </c>
      <c r="B447" s="1420" t="s">
        <v>11393</v>
      </c>
      <c r="C447" s="453" t="s">
        <v>69</v>
      </c>
      <c r="D447" s="453" t="s">
        <v>70</v>
      </c>
      <c r="E447" s="473" t="s">
        <v>11392</v>
      </c>
      <c r="F447" s="453">
        <v>1</v>
      </c>
      <c r="G447" s="1420" t="s">
        <v>11394</v>
      </c>
      <c r="H447" s="453"/>
      <c r="I447" s="453" t="s">
        <v>816</v>
      </c>
      <c r="J447" s="453"/>
      <c r="K447" s="457">
        <v>226023</v>
      </c>
      <c r="L447" s="453" t="s">
        <v>251</v>
      </c>
      <c r="M447" s="474">
        <v>44694</v>
      </c>
      <c r="N447" s="474">
        <v>44743</v>
      </c>
      <c r="O447" s="474">
        <v>44796</v>
      </c>
      <c r="P447" s="1420" t="s">
        <v>2548</v>
      </c>
      <c r="Q447" s="453"/>
      <c r="R447" s="457">
        <v>222454.89</v>
      </c>
      <c r="S447" s="457">
        <v>244700.38</v>
      </c>
      <c r="T447" s="1474"/>
      <c r="U447" s="1474"/>
      <c r="V447" s="1474"/>
      <c r="W447" s="570">
        <v>44797</v>
      </c>
      <c r="X447" s="457" t="s">
        <v>12862</v>
      </c>
      <c r="Y447" s="474">
        <v>44858</v>
      </c>
      <c r="Z447" s="474">
        <v>44860</v>
      </c>
      <c r="AA447" s="474">
        <v>45953</v>
      </c>
      <c r="AB447" s="1391" t="s">
        <v>13393</v>
      </c>
      <c r="AC447" s="1391">
        <v>2023</v>
      </c>
      <c r="AD447" s="388">
        <v>2024</v>
      </c>
      <c r="AE447" s="388" t="s">
        <v>13395</v>
      </c>
    </row>
    <row r="448" spans="1:32">
      <c r="A448" s="2140">
        <v>44687</v>
      </c>
      <c r="B448" s="2143" t="s">
        <v>11393</v>
      </c>
      <c r="C448" s="2141" t="s">
        <v>69</v>
      </c>
      <c r="D448" s="2141" t="s">
        <v>70</v>
      </c>
      <c r="E448" s="2142" t="s">
        <v>11392</v>
      </c>
      <c r="F448" s="2141">
        <v>2</v>
      </c>
      <c r="G448" s="2143" t="s">
        <v>11395</v>
      </c>
      <c r="H448" s="2141"/>
      <c r="I448" s="2141" t="s">
        <v>816</v>
      </c>
      <c r="J448" s="2141"/>
      <c r="K448" s="2144">
        <v>31693</v>
      </c>
      <c r="L448" s="2141" t="s">
        <v>251</v>
      </c>
      <c r="M448" s="2140">
        <v>44694</v>
      </c>
      <c r="N448" s="2140">
        <v>44743</v>
      </c>
      <c r="O448" s="2140">
        <v>44796</v>
      </c>
      <c r="P448" s="2143" t="s">
        <v>2548</v>
      </c>
      <c r="Q448" s="2141"/>
      <c r="R448" s="2144">
        <v>16188.66</v>
      </c>
      <c r="S448" s="2144">
        <v>17807.53</v>
      </c>
      <c r="T448" s="2145"/>
      <c r="U448" s="2145"/>
      <c r="V448" s="2145"/>
      <c r="W448" s="2146">
        <v>44797</v>
      </c>
      <c r="X448" s="2144" t="s">
        <v>12863</v>
      </c>
      <c r="Y448" s="2140">
        <v>44858</v>
      </c>
      <c r="Z448" s="2140">
        <v>44860</v>
      </c>
      <c r="AA448" s="2140">
        <v>45953</v>
      </c>
      <c r="AB448" s="2109" t="s">
        <v>13393</v>
      </c>
      <c r="AC448" s="2109">
        <v>2023</v>
      </c>
      <c r="AD448" s="388">
        <v>2024</v>
      </c>
      <c r="AE448" s="388" t="s">
        <v>13395</v>
      </c>
    </row>
    <row r="449" spans="1:32">
      <c r="A449" s="2140">
        <v>44687</v>
      </c>
      <c r="B449" s="2143" t="s">
        <v>11393</v>
      </c>
      <c r="C449" s="2141" t="s">
        <v>69</v>
      </c>
      <c r="D449" s="2141" t="s">
        <v>70</v>
      </c>
      <c r="E449" s="2142" t="s">
        <v>11392</v>
      </c>
      <c r="F449" s="2141">
        <v>3</v>
      </c>
      <c r="G449" s="2143" t="s">
        <v>11396</v>
      </c>
      <c r="H449" s="2141"/>
      <c r="I449" s="2141" t="s">
        <v>816</v>
      </c>
      <c r="J449" s="2141"/>
      <c r="K449" s="2144">
        <v>726985</v>
      </c>
      <c r="L449" s="2141" t="s">
        <v>251</v>
      </c>
      <c r="M449" s="2140">
        <v>44694</v>
      </c>
      <c r="N449" s="2140">
        <v>44743</v>
      </c>
      <c r="O449" s="2140">
        <v>44796</v>
      </c>
      <c r="P449" s="2143" t="s">
        <v>2548</v>
      </c>
      <c r="Q449" s="2141"/>
      <c r="R449" s="2144">
        <v>1659693.24</v>
      </c>
      <c r="S449" s="2144">
        <v>1825662.56</v>
      </c>
      <c r="T449" s="2145"/>
      <c r="U449" s="2145"/>
      <c r="V449" s="2145"/>
      <c r="W449" s="2146">
        <v>44797</v>
      </c>
      <c r="X449" s="2144" t="s">
        <v>12864</v>
      </c>
      <c r="Y449" s="2140">
        <v>44858</v>
      </c>
      <c r="Z449" s="2140">
        <v>44860</v>
      </c>
      <c r="AA449" s="2140">
        <v>45953</v>
      </c>
      <c r="AB449" s="2109" t="s">
        <v>13393</v>
      </c>
      <c r="AC449" s="2109">
        <v>2023</v>
      </c>
      <c r="AD449" s="388">
        <v>2024</v>
      </c>
      <c r="AE449" s="388" t="s">
        <v>13395</v>
      </c>
    </row>
    <row r="450" spans="1:32">
      <c r="A450" s="2124">
        <v>44687</v>
      </c>
      <c r="B450" s="2127" t="s">
        <v>11393</v>
      </c>
      <c r="C450" s="2125" t="s">
        <v>69</v>
      </c>
      <c r="D450" s="2125" t="s">
        <v>70</v>
      </c>
      <c r="E450" s="2126" t="s">
        <v>11392</v>
      </c>
      <c r="F450" s="639">
        <v>4</v>
      </c>
      <c r="G450" s="1533" t="s">
        <v>11792</v>
      </c>
      <c r="H450" s="639"/>
      <c r="I450" s="2125" t="s">
        <v>816</v>
      </c>
      <c r="J450" s="639"/>
      <c r="K450" s="645">
        <v>15532</v>
      </c>
      <c r="L450" s="639" t="s">
        <v>251</v>
      </c>
      <c r="M450" s="643">
        <v>44694</v>
      </c>
      <c r="N450" s="643">
        <v>44743</v>
      </c>
      <c r="O450" s="639"/>
      <c r="P450" s="644" t="s">
        <v>304</v>
      </c>
      <c r="Q450" s="639"/>
      <c r="R450" s="645"/>
      <c r="S450" s="645"/>
      <c r="T450" s="1534"/>
      <c r="U450" s="1534"/>
      <c r="V450" s="1534"/>
      <c r="W450" s="645"/>
      <c r="X450" s="645"/>
      <c r="Y450" s="639"/>
      <c r="Z450" s="643">
        <v>44860</v>
      </c>
      <c r="AA450" s="1533" t="s">
        <v>12817</v>
      </c>
      <c r="AB450" s="639"/>
      <c r="AC450" s="639"/>
    </row>
    <row r="451" spans="1:32" ht="15.75" thickBot="1">
      <c r="A451" s="2117">
        <v>44687</v>
      </c>
      <c r="B451" s="2120" t="s">
        <v>11393</v>
      </c>
      <c r="C451" s="2118" t="s">
        <v>69</v>
      </c>
      <c r="D451" s="2118" t="s">
        <v>70</v>
      </c>
      <c r="E451" s="2119" t="s">
        <v>11392</v>
      </c>
      <c r="F451" s="2118">
        <v>5</v>
      </c>
      <c r="G451" s="2262" t="s">
        <v>13321</v>
      </c>
      <c r="H451" s="2118"/>
      <c r="I451" s="2118" t="s">
        <v>816</v>
      </c>
      <c r="J451" s="2118"/>
      <c r="K451" s="2121">
        <v>2891520</v>
      </c>
      <c r="L451" s="2118" t="s">
        <v>251</v>
      </c>
      <c r="M451" s="2117">
        <v>44694</v>
      </c>
      <c r="N451" s="2117">
        <v>44743</v>
      </c>
      <c r="O451" s="2117">
        <v>44796</v>
      </c>
      <c r="P451" s="2120" t="s">
        <v>2405</v>
      </c>
      <c r="Q451" s="2118"/>
      <c r="R451" s="2121">
        <v>2734900.74</v>
      </c>
      <c r="S451" s="2121">
        <v>3008390.81</v>
      </c>
      <c r="T451" s="2122"/>
      <c r="U451" s="2122"/>
      <c r="V451" s="2122"/>
      <c r="W451" s="2123">
        <v>44797</v>
      </c>
      <c r="X451" s="2121" t="s">
        <v>12865</v>
      </c>
      <c r="Y451" s="2117">
        <v>44838</v>
      </c>
      <c r="Z451" s="2117">
        <v>44860</v>
      </c>
      <c r="AA451" s="2117">
        <v>45933</v>
      </c>
      <c r="AB451" s="2110" t="s">
        <v>13192</v>
      </c>
      <c r="AC451" s="2110">
        <v>2023</v>
      </c>
      <c r="AD451" s="388">
        <v>2024</v>
      </c>
      <c r="AE451" s="388" t="s">
        <v>13194</v>
      </c>
    </row>
    <row r="452" spans="1:32" ht="15.75" thickTop="1">
      <c r="A452" s="474">
        <v>44642</v>
      </c>
      <c r="B452" s="1420" t="s">
        <v>11403</v>
      </c>
      <c r="C452" s="453" t="s">
        <v>69</v>
      </c>
      <c r="D452" s="453" t="s">
        <v>70</v>
      </c>
      <c r="E452" s="473" t="s">
        <v>11404</v>
      </c>
      <c r="F452" s="453">
        <v>1</v>
      </c>
      <c r="G452" s="1420" t="s">
        <v>11397</v>
      </c>
      <c r="H452" s="453"/>
      <c r="I452" s="453" t="s">
        <v>815</v>
      </c>
      <c r="J452" s="453"/>
      <c r="K452" s="457">
        <v>1416354</v>
      </c>
      <c r="L452" s="453" t="s">
        <v>251</v>
      </c>
      <c r="M452" s="474">
        <v>44652</v>
      </c>
      <c r="N452" s="474">
        <v>44727</v>
      </c>
      <c r="O452" s="474">
        <v>44783</v>
      </c>
      <c r="P452" s="1420" t="s">
        <v>2548</v>
      </c>
      <c r="Q452" s="453"/>
      <c r="R452" s="457">
        <v>6044666</v>
      </c>
      <c r="S452" s="457">
        <v>6649132.5999999996</v>
      </c>
      <c r="T452" s="1474"/>
      <c r="U452" s="1474"/>
      <c r="V452" s="1474"/>
      <c r="W452" s="570">
        <v>44783</v>
      </c>
      <c r="X452" s="457" t="s">
        <v>12698</v>
      </c>
      <c r="Y452" s="474">
        <v>44826</v>
      </c>
      <c r="Z452" s="474">
        <v>44831</v>
      </c>
      <c r="AA452" s="474">
        <v>46286</v>
      </c>
      <c r="AB452" s="1391" t="s">
        <v>13122</v>
      </c>
      <c r="AC452" s="1391">
        <v>2023</v>
      </c>
      <c r="AD452" s="388">
        <v>2024</v>
      </c>
      <c r="AE452" s="388">
        <v>2025</v>
      </c>
      <c r="AF452" s="388" t="s">
        <v>13127</v>
      </c>
    </row>
    <row r="453" spans="1:32">
      <c r="A453" s="2124">
        <v>44642</v>
      </c>
      <c r="B453" s="2127" t="s">
        <v>11403</v>
      </c>
      <c r="C453" s="2125" t="s">
        <v>69</v>
      </c>
      <c r="D453" s="2125" t="s">
        <v>70</v>
      </c>
      <c r="E453" s="2126" t="s">
        <v>11404</v>
      </c>
      <c r="F453" s="2125">
        <v>2</v>
      </c>
      <c r="G453" s="2127" t="s">
        <v>11398</v>
      </c>
      <c r="H453" s="2125"/>
      <c r="I453" s="2125" t="s">
        <v>815</v>
      </c>
      <c r="J453" s="2125"/>
      <c r="K453" s="2128">
        <v>119605</v>
      </c>
      <c r="L453" s="2125" t="s">
        <v>251</v>
      </c>
      <c r="M453" s="2124">
        <v>44652</v>
      </c>
      <c r="N453" s="2124">
        <v>44727</v>
      </c>
      <c r="O453" s="2125"/>
      <c r="P453" s="2136" t="s">
        <v>4505</v>
      </c>
      <c r="Q453" s="2125"/>
      <c r="R453" s="2128"/>
      <c r="S453" s="2128"/>
      <c r="T453" s="2129"/>
      <c r="U453" s="2129"/>
      <c r="V453" s="2129"/>
      <c r="W453" s="2128"/>
      <c r="X453" s="2128"/>
      <c r="Y453" s="2125"/>
      <c r="Z453" s="2124">
        <v>44792</v>
      </c>
      <c r="AA453" s="2127" t="s">
        <v>12810</v>
      </c>
      <c r="AB453" s="2125"/>
      <c r="AC453" s="2125"/>
    </row>
    <row r="454" spans="1:32">
      <c r="A454" s="2140">
        <v>44642</v>
      </c>
      <c r="B454" s="2143" t="s">
        <v>11403</v>
      </c>
      <c r="C454" s="2141" t="s">
        <v>69</v>
      </c>
      <c r="D454" s="2141" t="s">
        <v>70</v>
      </c>
      <c r="E454" s="2142" t="s">
        <v>11404</v>
      </c>
      <c r="F454" s="2141">
        <v>3</v>
      </c>
      <c r="G454" s="2143" t="s">
        <v>11399</v>
      </c>
      <c r="H454" s="2141"/>
      <c r="I454" s="2141" t="s">
        <v>815</v>
      </c>
      <c r="J454" s="2141"/>
      <c r="K454" s="2144">
        <v>115814</v>
      </c>
      <c r="L454" s="2141" t="s">
        <v>251</v>
      </c>
      <c r="M454" s="2140">
        <v>44652</v>
      </c>
      <c r="N454" s="2140">
        <v>44727</v>
      </c>
      <c r="O454" s="2140">
        <v>44783</v>
      </c>
      <c r="P454" s="2143" t="s">
        <v>2548</v>
      </c>
      <c r="Q454" s="2141"/>
      <c r="R454" s="2144">
        <v>114176.48</v>
      </c>
      <c r="S454" s="2144">
        <v>125594.13</v>
      </c>
      <c r="T454" s="2145"/>
      <c r="U454" s="2145"/>
      <c r="V454" s="2145"/>
      <c r="W454" s="2146">
        <v>44783</v>
      </c>
      <c r="X454" s="2144" t="s">
        <v>12699</v>
      </c>
      <c r="Y454" s="2140">
        <v>44826</v>
      </c>
      <c r="Z454" s="2140">
        <v>44831</v>
      </c>
      <c r="AA454" s="2140">
        <v>46286</v>
      </c>
      <c r="AB454" s="2109" t="s">
        <v>13122</v>
      </c>
      <c r="AC454" s="2109">
        <v>2023</v>
      </c>
      <c r="AD454" s="388">
        <v>2024</v>
      </c>
      <c r="AE454" s="388">
        <v>2025</v>
      </c>
      <c r="AF454" s="388" t="s">
        <v>13126</v>
      </c>
    </row>
    <row r="455" spans="1:32">
      <c r="A455" s="2140">
        <v>44642</v>
      </c>
      <c r="B455" s="2143" t="s">
        <v>11403</v>
      </c>
      <c r="C455" s="2141" t="s">
        <v>69</v>
      </c>
      <c r="D455" s="2141" t="s">
        <v>70</v>
      </c>
      <c r="E455" s="2142" t="s">
        <v>11404</v>
      </c>
      <c r="F455" s="2141">
        <v>4</v>
      </c>
      <c r="G455" s="2143" t="s">
        <v>11400</v>
      </c>
      <c r="H455" s="2141"/>
      <c r="I455" s="2141" t="s">
        <v>815</v>
      </c>
      <c r="J455" s="2141"/>
      <c r="K455" s="2144">
        <v>2299469</v>
      </c>
      <c r="L455" s="2141" t="s">
        <v>251</v>
      </c>
      <c r="M455" s="2140">
        <v>44652</v>
      </c>
      <c r="N455" s="2140">
        <v>44727</v>
      </c>
      <c r="O455" s="2140">
        <v>44783</v>
      </c>
      <c r="P455" s="2143" t="s">
        <v>2548</v>
      </c>
      <c r="Q455" s="2141"/>
      <c r="R455" s="2144">
        <v>2271260</v>
      </c>
      <c r="S455" s="2144">
        <v>2498386</v>
      </c>
      <c r="T455" s="2145"/>
      <c r="U455" s="2145"/>
      <c r="V455" s="2145"/>
      <c r="W455" s="2146">
        <v>44783</v>
      </c>
      <c r="X455" s="2144" t="s">
        <v>12700</v>
      </c>
      <c r="Y455" s="2140">
        <v>44826</v>
      </c>
      <c r="Z455" s="2140">
        <v>44831</v>
      </c>
      <c r="AA455" s="2140">
        <v>46286</v>
      </c>
      <c r="AB455" s="2109" t="s">
        <v>13122</v>
      </c>
      <c r="AC455" s="2109">
        <v>2023</v>
      </c>
      <c r="AD455" s="388">
        <v>2024</v>
      </c>
      <c r="AE455" s="388">
        <v>2025</v>
      </c>
      <c r="AF455" s="388" t="s">
        <v>13126</v>
      </c>
    </row>
    <row r="456" spans="1:32">
      <c r="A456" s="2140">
        <v>44642</v>
      </c>
      <c r="B456" s="2143" t="s">
        <v>11403</v>
      </c>
      <c r="C456" s="2141" t="s">
        <v>69</v>
      </c>
      <c r="D456" s="2141" t="s">
        <v>70</v>
      </c>
      <c r="E456" s="2142" t="s">
        <v>11404</v>
      </c>
      <c r="F456" s="2141">
        <v>5</v>
      </c>
      <c r="G456" s="2143" t="s">
        <v>11401</v>
      </c>
      <c r="H456" s="2141"/>
      <c r="I456" s="2141" t="s">
        <v>815</v>
      </c>
      <c r="J456" s="2141"/>
      <c r="K456" s="2144">
        <v>1174256</v>
      </c>
      <c r="L456" s="2141" t="s">
        <v>251</v>
      </c>
      <c r="M456" s="2140">
        <v>44652</v>
      </c>
      <c r="N456" s="2140">
        <v>44727</v>
      </c>
      <c r="O456" s="2140">
        <v>44783</v>
      </c>
      <c r="P456" s="2143" t="s">
        <v>2548</v>
      </c>
      <c r="Q456" s="2141"/>
      <c r="R456" s="2144">
        <v>1157661.1200000001</v>
      </c>
      <c r="S456" s="2144">
        <v>1273427.23</v>
      </c>
      <c r="T456" s="2145"/>
      <c r="U456" s="2145"/>
      <c r="V456" s="2145"/>
      <c r="W456" s="2146">
        <v>44783</v>
      </c>
      <c r="X456" s="2144" t="s">
        <v>12701</v>
      </c>
      <c r="Y456" s="2140">
        <v>44826</v>
      </c>
      <c r="Z456" s="2140">
        <v>44831</v>
      </c>
      <c r="AA456" s="2140">
        <v>46286</v>
      </c>
      <c r="AB456" s="2109" t="s">
        <v>13122</v>
      </c>
      <c r="AC456" s="2109">
        <v>2023</v>
      </c>
      <c r="AD456" s="388">
        <v>2024</v>
      </c>
      <c r="AE456" s="388">
        <v>2025</v>
      </c>
      <c r="AF456" s="388" t="s">
        <v>13126</v>
      </c>
    </row>
    <row r="457" spans="1:32" ht="15.75" thickBot="1">
      <c r="A457" s="2117">
        <v>44642</v>
      </c>
      <c r="B457" s="2120" t="s">
        <v>11403</v>
      </c>
      <c r="C457" s="2118" t="s">
        <v>69</v>
      </c>
      <c r="D457" s="2118" t="s">
        <v>70</v>
      </c>
      <c r="E457" s="2119" t="s">
        <v>11404</v>
      </c>
      <c r="F457" s="2118">
        <v>6</v>
      </c>
      <c r="G457" s="2120" t="s">
        <v>11402</v>
      </c>
      <c r="H457" s="2118"/>
      <c r="I457" s="2118" t="s">
        <v>815</v>
      </c>
      <c r="J457" s="2118"/>
      <c r="K457" s="2121">
        <v>542612</v>
      </c>
      <c r="L457" s="2118" t="s">
        <v>251</v>
      </c>
      <c r="M457" s="2117">
        <v>44652</v>
      </c>
      <c r="N457" s="2117">
        <v>44727</v>
      </c>
      <c r="O457" s="2117">
        <v>44783</v>
      </c>
      <c r="P457" s="2120" t="s">
        <v>2405</v>
      </c>
      <c r="Q457" s="2118"/>
      <c r="R457" s="2121">
        <v>542608.12</v>
      </c>
      <c r="S457" s="2121">
        <v>596868.93000000005</v>
      </c>
      <c r="T457" s="2122"/>
      <c r="U457" s="2122"/>
      <c r="V457" s="2122"/>
      <c r="W457" s="2123">
        <v>44783</v>
      </c>
      <c r="X457" s="2121" t="s">
        <v>12702</v>
      </c>
      <c r="Y457" s="2117">
        <v>44809</v>
      </c>
      <c r="Z457" s="2117">
        <v>44831</v>
      </c>
      <c r="AA457" s="2117">
        <v>46269</v>
      </c>
      <c r="AB457" s="2110" t="s">
        <v>12973</v>
      </c>
      <c r="AC457" s="2110">
        <v>2023</v>
      </c>
      <c r="AD457" s="388">
        <v>2024</v>
      </c>
      <c r="AE457" s="388">
        <v>2025</v>
      </c>
      <c r="AF457" s="388" t="s">
        <v>12974</v>
      </c>
    </row>
    <row r="458" spans="1:32" ht="16.5" thickTop="1" thickBot="1">
      <c r="A458" s="1877">
        <v>44642</v>
      </c>
      <c r="B458" s="1879" t="s">
        <v>11405</v>
      </c>
      <c r="C458" s="1878" t="s">
        <v>69</v>
      </c>
      <c r="D458" s="1878" t="s">
        <v>70</v>
      </c>
      <c r="E458" s="1536" t="s">
        <v>11948</v>
      </c>
      <c r="F458" s="1878">
        <v>1</v>
      </c>
      <c r="G458" s="1879" t="s">
        <v>11406</v>
      </c>
      <c r="H458" s="1550"/>
      <c r="I458" s="1878" t="s">
        <v>68</v>
      </c>
      <c r="J458" s="1878"/>
      <c r="K458" s="1880">
        <v>74511965</v>
      </c>
      <c r="L458" s="1878" t="s">
        <v>251</v>
      </c>
      <c r="M458" s="1877">
        <v>44858</v>
      </c>
      <c r="N458" s="1877">
        <v>44915</v>
      </c>
      <c r="O458" s="1878"/>
      <c r="P458" s="1879"/>
      <c r="Q458" s="1878"/>
      <c r="R458" s="1880"/>
      <c r="S458" s="1880"/>
      <c r="T458" s="1537"/>
      <c r="U458" s="1537"/>
      <c r="V458" s="1537"/>
      <c r="W458" s="1880"/>
      <c r="X458" s="1880"/>
      <c r="Y458" s="1878"/>
      <c r="Z458" s="1878"/>
      <c r="AA458" s="1878"/>
      <c r="AB458" s="1878"/>
      <c r="AC458" s="1878"/>
    </row>
    <row r="459" spans="1:32" ht="15.75" thickTop="1">
      <c r="A459" s="474">
        <v>44642</v>
      </c>
      <c r="B459" s="1420" t="s">
        <v>11407</v>
      </c>
      <c r="C459" s="453" t="s">
        <v>69</v>
      </c>
      <c r="D459" s="453" t="s">
        <v>70</v>
      </c>
      <c r="E459" s="473" t="s">
        <v>11408</v>
      </c>
      <c r="F459" s="453">
        <v>1</v>
      </c>
      <c r="G459" s="1420" t="s">
        <v>9390</v>
      </c>
      <c r="H459" s="453"/>
      <c r="I459" s="453" t="s">
        <v>68</v>
      </c>
      <c r="J459" s="453"/>
      <c r="K459" s="457">
        <v>10184184</v>
      </c>
      <c r="L459" s="453" t="s">
        <v>251</v>
      </c>
      <c r="M459" s="474">
        <v>44648</v>
      </c>
      <c r="N459" s="474">
        <v>44683</v>
      </c>
      <c r="O459" s="474">
        <v>44691</v>
      </c>
      <c r="P459" s="1420" t="s">
        <v>2548</v>
      </c>
      <c r="Q459" s="453"/>
      <c r="R459" s="457">
        <v>10002391.5</v>
      </c>
      <c r="S459" s="457">
        <v>11002630.65</v>
      </c>
      <c r="T459" s="1474"/>
      <c r="U459" s="1474"/>
      <c r="V459" s="1474"/>
      <c r="W459" s="570">
        <v>44691</v>
      </c>
      <c r="X459" s="457" t="s">
        <v>11800</v>
      </c>
      <c r="Y459" s="474">
        <v>44740</v>
      </c>
      <c r="Z459" s="474">
        <v>44741</v>
      </c>
      <c r="AA459" s="474">
        <v>45835</v>
      </c>
      <c r="AB459" s="1391" t="s">
        <v>12370</v>
      </c>
      <c r="AC459" s="1391">
        <v>2023</v>
      </c>
      <c r="AD459" s="388">
        <v>2024</v>
      </c>
      <c r="AE459" s="388" t="s">
        <v>9277</v>
      </c>
    </row>
    <row r="460" spans="1:32" ht="15.75" thickBot="1">
      <c r="A460" s="2117">
        <v>44642</v>
      </c>
      <c r="B460" s="2120" t="s">
        <v>11407</v>
      </c>
      <c r="C460" s="2118" t="s">
        <v>69</v>
      </c>
      <c r="D460" s="2118" t="s">
        <v>70</v>
      </c>
      <c r="E460" s="2119" t="s">
        <v>11408</v>
      </c>
      <c r="F460" s="2118">
        <v>2</v>
      </c>
      <c r="G460" s="2120" t="s">
        <v>11409</v>
      </c>
      <c r="H460" s="2118"/>
      <c r="I460" s="2118" t="s">
        <v>68</v>
      </c>
      <c r="J460" s="2118"/>
      <c r="K460" s="2121">
        <v>270286</v>
      </c>
      <c r="L460" s="2118" t="s">
        <v>251</v>
      </c>
      <c r="M460" s="2117">
        <v>44648</v>
      </c>
      <c r="N460" s="2117">
        <v>44683</v>
      </c>
      <c r="O460" s="2117">
        <v>44691</v>
      </c>
      <c r="P460" s="2120" t="s">
        <v>576</v>
      </c>
      <c r="Q460" s="2118"/>
      <c r="R460" s="2121">
        <v>183136.65</v>
      </c>
      <c r="S460" s="2121">
        <v>201450.32</v>
      </c>
      <c r="T460" s="2122"/>
      <c r="U460" s="2122"/>
      <c r="V460" s="2122"/>
      <c r="W460" s="2123">
        <v>44691</v>
      </c>
      <c r="X460" s="2121" t="s">
        <v>11801</v>
      </c>
      <c r="Y460" s="2117">
        <v>44712</v>
      </c>
      <c r="Z460" s="2117">
        <v>44741</v>
      </c>
      <c r="AA460" s="2117">
        <v>45807</v>
      </c>
      <c r="AB460" s="2110" t="s">
        <v>12001</v>
      </c>
      <c r="AC460" s="2110">
        <v>2023</v>
      </c>
      <c r="AD460" s="388">
        <v>2024</v>
      </c>
      <c r="AE460" s="388" t="s">
        <v>12002</v>
      </c>
    </row>
    <row r="461" spans="1:32" ht="15.75" thickTop="1">
      <c r="A461" s="365">
        <v>44642</v>
      </c>
      <c r="B461" s="2689" t="s">
        <v>11411</v>
      </c>
      <c r="C461" s="2688" t="s">
        <v>69</v>
      </c>
      <c r="D461" s="2688" t="s">
        <v>70</v>
      </c>
      <c r="E461" s="175" t="s">
        <v>11410</v>
      </c>
      <c r="F461" s="2688">
        <v>1</v>
      </c>
      <c r="G461" s="2689" t="s">
        <v>11412</v>
      </c>
      <c r="H461" s="2688"/>
      <c r="I461" s="2688" t="s">
        <v>5244</v>
      </c>
      <c r="J461" s="2688"/>
      <c r="K461" s="364">
        <v>5434242</v>
      </c>
      <c r="L461" s="2688" t="s">
        <v>251</v>
      </c>
      <c r="M461" s="365">
        <v>44662</v>
      </c>
      <c r="N461" s="365">
        <v>44715</v>
      </c>
      <c r="O461" s="365">
        <v>44742</v>
      </c>
      <c r="P461" s="2689" t="s">
        <v>7327</v>
      </c>
      <c r="Q461" s="2688"/>
      <c r="R461" s="364">
        <v>5434240.5300000003</v>
      </c>
      <c r="S461" s="364">
        <v>5977664.5800000001</v>
      </c>
      <c r="T461" s="1473"/>
      <c r="U461" s="1473"/>
      <c r="V461" s="1473"/>
      <c r="W461" s="681">
        <v>44742</v>
      </c>
      <c r="X461" s="364" t="s">
        <v>12430</v>
      </c>
      <c r="Y461" s="365">
        <v>44770</v>
      </c>
      <c r="Z461" s="365">
        <v>44783</v>
      </c>
      <c r="AA461" s="365">
        <v>45865</v>
      </c>
      <c r="AB461" s="451" t="s">
        <v>12604</v>
      </c>
      <c r="AC461" s="451">
        <v>2023</v>
      </c>
      <c r="AD461" s="388">
        <v>2024</v>
      </c>
      <c r="AE461" s="388" t="s">
        <v>12605</v>
      </c>
    </row>
    <row r="462" spans="1:32" ht="15.75" thickBot="1">
      <c r="A462" s="464">
        <v>44642</v>
      </c>
      <c r="B462" s="1425" t="s">
        <v>11413</v>
      </c>
      <c r="C462" s="406" t="s">
        <v>69</v>
      </c>
      <c r="D462" s="406" t="s">
        <v>70</v>
      </c>
      <c r="E462" s="462" t="s">
        <v>11949</v>
      </c>
      <c r="F462" s="406">
        <v>1</v>
      </c>
      <c r="G462" s="1425" t="s">
        <v>11414</v>
      </c>
      <c r="H462" s="1437"/>
      <c r="I462" s="406" t="s">
        <v>68</v>
      </c>
      <c r="J462" s="406"/>
      <c r="K462" s="465">
        <v>270538297</v>
      </c>
      <c r="L462" s="406" t="s">
        <v>251</v>
      </c>
      <c r="M462" s="464">
        <v>44805</v>
      </c>
      <c r="N462" s="464">
        <v>44865</v>
      </c>
      <c r="O462" s="464">
        <v>44902</v>
      </c>
      <c r="P462" s="1425" t="s">
        <v>2548</v>
      </c>
      <c r="Q462" s="406"/>
      <c r="R462" s="465">
        <v>264954457.31999999</v>
      </c>
      <c r="S462" s="465">
        <v>291449903.05000001</v>
      </c>
      <c r="T462" s="1490"/>
      <c r="U462" s="1490"/>
      <c r="V462" s="1490"/>
      <c r="W462" s="1809">
        <v>44902</v>
      </c>
      <c r="X462" s="465" t="s">
        <v>13727</v>
      </c>
      <c r="Y462" s="406"/>
      <c r="Z462" s="406"/>
      <c r="AA462" s="406"/>
      <c r="AB462" s="406"/>
      <c r="AC462" s="406"/>
    </row>
    <row r="463" spans="1:32" ht="30.75" thickTop="1">
      <c r="A463" s="474">
        <v>44643</v>
      </c>
      <c r="B463" s="1420" t="s">
        <v>11418</v>
      </c>
      <c r="C463" s="453" t="s">
        <v>9694</v>
      </c>
      <c r="D463" s="453" t="s">
        <v>4969</v>
      </c>
      <c r="E463" s="473" t="s">
        <v>11419</v>
      </c>
      <c r="F463" s="453">
        <v>1</v>
      </c>
      <c r="G463" s="1420" t="s">
        <v>11420</v>
      </c>
      <c r="H463" s="453"/>
      <c r="I463" s="453" t="s">
        <v>275</v>
      </c>
      <c r="J463" s="453" t="s">
        <v>11426</v>
      </c>
      <c r="K463" s="457">
        <v>449200</v>
      </c>
      <c r="L463" s="453" t="s">
        <v>251</v>
      </c>
      <c r="M463" s="474">
        <v>44683</v>
      </c>
      <c r="N463" s="474">
        <v>44719</v>
      </c>
      <c r="O463" s="474">
        <v>44790</v>
      </c>
      <c r="P463" s="1420" t="s">
        <v>5333</v>
      </c>
      <c r="Q463" s="453"/>
      <c r="R463" s="457">
        <v>448800</v>
      </c>
      <c r="S463" s="457">
        <v>543048</v>
      </c>
      <c r="T463" s="1474"/>
      <c r="U463" s="1474"/>
      <c r="V463" s="1474"/>
      <c r="W463" s="570">
        <v>44790</v>
      </c>
      <c r="X463" s="1387" t="s">
        <v>12791</v>
      </c>
      <c r="Y463" s="474">
        <v>44818</v>
      </c>
      <c r="Z463" s="474">
        <v>44831</v>
      </c>
      <c r="AA463" s="474">
        <v>44865</v>
      </c>
      <c r="AB463" s="1391"/>
      <c r="AC463" s="1391" t="s">
        <v>1875</v>
      </c>
    </row>
    <row r="464" spans="1:32" ht="30">
      <c r="A464" s="2140">
        <v>44643</v>
      </c>
      <c r="B464" s="2143" t="s">
        <v>11418</v>
      </c>
      <c r="C464" s="2141" t="s">
        <v>9694</v>
      </c>
      <c r="D464" s="2141" t="s">
        <v>4969</v>
      </c>
      <c r="E464" s="2142" t="s">
        <v>11419</v>
      </c>
      <c r="F464" s="2141">
        <v>2</v>
      </c>
      <c r="G464" s="2143" t="s">
        <v>11421</v>
      </c>
      <c r="H464" s="2141"/>
      <c r="I464" s="2141" t="s">
        <v>275</v>
      </c>
      <c r="J464" s="2141" t="s">
        <v>11427</v>
      </c>
      <c r="K464" s="2144">
        <v>728000</v>
      </c>
      <c r="L464" s="2141" t="s">
        <v>251</v>
      </c>
      <c r="M464" s="2140">
        <v>44683</v>
      </c>
      <c r="N464" s="2140">
        <v>44719</v>
      </c>
      <c r="O464" s="2140">
        <v>44790</v>
      </c>
      <c r="P464" s="2143" t="s">
        <v>5333</v>
      </c>
      <c r="Q464" s="2141"/>
      <c r="R464" s="2144">
        <v>659700</v>
      </c>
      <c r="S464" s="2144">
        <v>798237</v>
      </c>
      <c r="T464" s="2145"/>
      <c r="U464" s="2145"/>
      <c r="V464" s="2145"/>
      <c r="W464" s="2146">
        <v>44790</v>
      </c>
      <c r="X464" s="2260" t="s">
        <v>12792</v>
      </c>
      <c r="Y464" s="2140">
        <v>44818</v>
      </c>
      <c r="Z464" s="2140">
        <v>44831</v>
      </c>
      <c r="AA464" s="2140">
        <v>44865</v>
      </c>
      <c r="AB464" s="2109"/>
      <c r="AC464" s="2109" t="s">
        <v>1875</v>
      </c>
    </row>
    <row r="465" spans="1:32" ht="30">
      <c r="A465" s="2140">
        <v>44643</v>
      </c>
      <c r="B465" s="2143" t="s">
        <v>11418</v>
      </c>
      <c r="C465" s="2141" t="s">
        <v>9694</v>
      </c>
      <c r="D465" s="2141" t="s">
        <v>4969</v>
      </c>
      <c r="E465" s="2142" t="s">
        <v>11419</v>
      </c>
      <c r="F465" s="2141">
        <v>3</v>
      </c>
      <c r="G465" s="2143" t="s">
        <v>11422</v>
      </c>
      <c r="H465" s="2141"/>
      <c r="I465" s="2141" t="s">
        <v>275</v>
      </c>
      <c r="J465" s="2141" t="s">
        <v>11428</v>
      </c>
      <c r="K465" s="2144">
        <v>837500</v>
      </c>
      <c r="L465" s="2141" t="s">
        <v>251</v>
      </c>
      <c r="M465" s="2140">
        <v>44683</v>
      </c>
      <c r="N465" s="2140">
        <v>44719</v>
      </c>
      <c r="O465" s="2140">
        <v>44790</v>
      </c>
      <c r="P465" s="2143" t="s">
        <v>1319</v>
      </c>
      <c r="Q465" s="2141"/>
      <c r="R465" s="2144">
        <v>826240</v>
      </c>
      <c r="S465" s="2144">
        <v>999750.4</v>
      </c>
      <c r="T465" s="2145"/>
      <c r="U465" s="2145"/>
      <c r="V465" s="2145"/>
      <c r="W465" s="2146">
        <v>44790</v>
      </c>
      <c r="X465" s="2260" t="s">
        <v>12793</v>
      </c>
      <c r="Y465" s="2140">
        <v>44823</v>
      </c>
      <c r="Z465" s="2140">
        <v>44831</v>
      </c>
      <c r="AA465" s="2140">
        <v>44865</v>
      </c>
      <c r="AB465" s="2109"/>
      <c r="AC465" s="2109" t="s">
        <v>1875</v>
      </c>
    </row>
    <row r="466" spans="1:32" ht="30">
      <c r="A466" s="2140">
        <v>44643</v>
      </c>
      <c r="B466" s="2143" t="s">
        <v>11418</v>
      </c>
      <c r="C466" s="2141" t="s">
        <v>9694</v>
      </c>
      <c r="D466" s="2141" t="s">
        <v>4969</v>
      </c>
      <c r="E466" s="2142" t="s">
        <v>11419</v>
      </c>
      <c r="F466" s="2141">
        <v>4</v>
      </c>
      <c r="G466" s="2143" t="s">
        <v>11423</v>
      </c>
      <c r="H466" s="2141"/>
      <c r="I466" s="2141" t="s">
        <v>275</v>
      </c>
      <c r="J466" s="2141" t="s">
        <v>11429</v>
      </c>
      <c r="K466" s="2144">
        <v>869000</v>
      </c>
      <c r="L466" s="2141" t="s">
        <v>251</v>
      </c>
      <c r="M466" s="2140">
        <v>44683</v>
      </c>
      <c r="N466" s="2140">
        <v>44719</v>
      </c>
      <c r="O466" s="2140">
        <v>44790</v>
      </c>
      <c r="P466" s="2143" t="s">
        <v>5333</v>
      </c>
      <c r="Q466" s="2141"/>
      <c r="R466" s="2144">
        <v>758800</v>
      </c>
      <c r="S466" s="2144">
        <v>918148</v>
      </c>
      <c r="T466" s="2145"/>
      <c r="U466" s="2145"/>
      <c r="V466" s="2145"/>
      <c r="W466" s="2146">
        <v>44790</v>
      </c>
      <c r="X466" s="2260" t="s">
        <v>12794</v>
      </c>
      <c r="Y466" s="2140">
        <v>44818</v>
      </c>
      <c r="Z466" s="2140">
        <v>44831</v>
      </c>
      <c r="AA466" s="2140">
        <v>44865</v>
      </c>
      <c r="AB466" s="2109"/>
      <c r="AC466" s="2109" t="s">
        <v>1875</v>
      </c>
    </row>
    <row r="467" spans="1:32" ht="45">
      <c r="A467" s="2140">
        <v>44643</v>
      </c>
      <c r="B467" s="2143" t="s">
        <v>11418</v>
      </c>
      <c r="C467" s="2141" t="s">
        <v>9694</v>
      </c>
      <c r="D467" s="2141" t="s">
        <v>4969</v>
      </c>
      <c r="E467" s="2142" t="s">
        <v>11419</v>
      </c>
      <c r="F467" s="2141">
        <v>5</v>
      </c>
      <c r="G467" s="2143" t="s">
        <v>11424</v>
      </c>
      <c r="H467" s="2141"/>
      <c r="I467" s="2141" t="s">
        <v>275</v>
      </c>
      <c r="J467" s="2141" t="s">
        <v>11430</v>
      </c>
      <c r="K467" s="2144">
        <v>1453340</v>
      </c>
      <c r="L467" s="2141" t="s">
        <v>251</v>
      </c>
      <c r="M467" s="2140">
        <v>44683</v>
      </c>
      <c r="N467" s="2140">
        <v>44719</v>
      </c>
      <c r="O467" s="2140">
        <v>44790</v>
      </c>
      <c r="P467" s="2143" t="s">
        <v>3123</v>
      </c>
      <c r="Q467" s="2141"/>
      <c r="R467" s="2144">
        <v>3420400</v>
      </c>
      <c r="S467" s="2144">
        <v>4138684</v>
      </c>
      <c r="T467" s="2145"/>
      <c r="U467" s="2145"/>
      <c r="V467" s="2145"/>
      <c r="W467" s="2146">
        <v>44790</v>
      </c>
      <c r="X467" s="2260" t="s">
        <v>12795</v>
      </c>
      <c r="Y467" s="2271">
        <v>44811</v>
      </c>
      <c r="Z467" s="2140">
        <v>44831</v>
      </c>
      <c r="AA467" s="2140">
        <v>44865</v>
      </c>
      <c r="AB467" s="2109"/>
      <c r="AC467" s="2109" t="s">
        <v>6118</v>
      </c>
    </row>
    <row r="468" spans="1:32" ht="45.75" thickBot="1">
      <c r="A468" s="2117">
        <v>44643</v>
      </c>
      <c r="B468" s="2120" t="s">
        <v>11418</v>
      </c>
      <c r="C468" s="2118" t="s">
        <v>9694</v>
      </c>
      <c r="D468" s="2118" t="s">
        <v>4969</v>
      </c>
      <c r="E468" s="2119" t="s">
        <v>11419</v>
      </c>
      <c r="F468" s="2118">
        <v>6</v>
      </c>
      <c r="G468" s="2120" t="s">
        <v>11425</v>
      </c>
      <c r="H468" s="2118"/>
      <c r="I468" s="2118" t="s">
        <v>275</v>
      </c>
      <c r="J468" s="2118" t="s">
        <v>11431</v>
      </c>
      <c r="K468" s="2121">
        <v>11398066</v>
      </c>
      <c r="L468" s="2118" t="s">
        <v>251</v>
      </c>
      <c r="M468" s="2117">
        <v>44683</v>
      </c>
      <c r="N468" s="2117">
        <v>44719</v>
      </c>
      <c r="O468" s="2117">
        <v>44790</v>
      </c>
      <c r="P468" s="2120" t="s">
        <v>5979</v>
      </c>
      <c r="Q468" s="2118"/>
      <c r="R468" s="2121">
        <v>7468205</v>
      </c>
      <c r="S468" s="2121">
        <v>9036528.0500000007</v>
      </c>
      <c r="T468" s="2122"/>
      <c r="U468" s="2122"/>
      <c r="V468" s="2122"/>
      <c r="W468" s="2123">
        <v>44790</v>
      </c>
      <c r="X468" s="2246" t="s">
        <v>12796</v>
      </c>
      <c r="Y468" s="2117">
        <v>44818</v>
      </c>
      <c r="Z468" s="2117">
        <v>44831</v>
      </c>
      <c r="AA468" s="2117">
        <v>44865</v>
      </c>
      <c r="AB468" s="2110"/>
      <c r="AC468" s="2110" t="s">
        <v>6118</v>
      </c>
    </row>
    <row r="469" spans="1:32" ht="31.5" thickTop="1" thickBot="1">
      <c r="A469" s="498">
        <v>44643</v>
      </c>
      <c r="B469" s="669" t="s">
        <v>11446</v>
      </c>
      <c r="C469" s="232" t="s">
        <v>2434</v>
      </c>
      <c r="D469" s="232" t="s">
        <v>3204</v>
      </c>
      <c r="E469" s="274" t="s">
        <v>11435</v>
      </c>
      <c r="F469" s="232"/>
      <c r="G469" s="669"/>
      <c r="H469" s="232"/>
      <c r="I469" s="232" t="s">
        <v>642</v>
      </c>
      <c r="J469" s="232"/>
      <c r="K469" s="499">
        <v>2236974</v>
      </c>
      <c r="L469" s="232" t="s">
        <v>216</v>
      </c>
      <c r="M469" s="498">
        <v>44652</v>
      </c>
      <c r="N469" s="498">
        <v>44680</v>
      </c>
      <c r="O469" s="498">
        <v>44726</v>
      </c>
      <c r="P469" s="669" t="s">
        <v>11196</v>
      </c>
      <c r="Q469" s="232"/>
      <c r="R469" s="499">
        <v>2167627.6</v>
      </c>
      <c r="S469" s="499">
        <v>2622829.4</v>
      </c>
      <c r="T469" s="1545"/>
      <c r="U469" s="1545"/>
      <c r="V469" s="1545"/>
      <c r="W469" s="682">
        <v>44726</v>
      </c>
      <c r="X469" s="1752" t="s">
        <v>12178</v>
      </c>
      <c r="Y469" s="498">
        <v>44764</v>
      </c>
      <c r="Z469" s="498">
        <v>44784</v>
      </c>
      <c r="AA469" s="498">
        <v>45494</v>
      </c>
      <c r="AB469" s="1546" t="s">
        <v>12574</v>
      </c>
      <c r="AC469" s="1546">
        <v>2023</v>
      </c>
      <c r="AD469" s="388" t="s">
        <v>12576</v>
      </c>
    </row>
    <row r="470" spans="1:32" ht="30.75" thickTop="1">
      <c r="A470" s="443">
        <v>44645</v>
      </c>
      <c r="B470" s="1431" t="s">
        <v>11445</v>
      </c>
      <c r="C470" s="439" t="s">
        <v>9694</v>
      </c>
      <c r="D470" s="439" t="s">
        <v>4969</v>
      </c>
      <c r="E470" s="440" t="s">
        <v>11447</v>
      </c>
      <c r="F470" s="439">
        <v>1</v>
      </c>
      <c r="G470" s="1431" t="s">
        <v>11451</v>
      </c>
      <c r="H470" s="439"/>
      <c r="I470" s="439" t="s">
        <v>476</v>
      </c>
      <c r="J470" s="439" t="s">
        <v>11452</v>
      </c>
      <c r="K470" s="444">
        <v>713670</v>
      </c>
      <c r="L470" s="439" t="s">
        <v>251</v>
      </c>
      <c r="M470" s="443">
        <v>44678</v>
      </c>
      <c r="N470" s="443">
        <v>44722</v>
      </c>
      <c r="O470" s="443">
        <v>44774</v>
      </c>
      <c r="P470" s="1431" t="s">
        <v>4478</v>
      </c>
      <c r="Q470" s="2015" t="s">
        <v>13297</v>
      </c>
      <c r="R470" s="444">
        <v>747775</v>
      </c>
      <c r="S470" s="444">
        <v>904807.75</v>
      </c>
      <c r="T470" s="1481"/>
      <c r="U470" s="1481"/>
      <c r="V470" s="1481"/>
      <c r="W470" s="1884">
        <v>44774</v>
      </c>
      <c r="X470" s="2712" t="s">
        <v>12617</v>
      </c>
      <c r="Y470" s="439"/>
      <c r="Z470" s="443">
        <v>44831</v>
      </c>
      <c r="AA470" s="439" t="s">
        <v>13041</v>
      </c>
      <c r="AB470" s="439"/>
      <c r="AC470" s="439"/>
    </row>
    <row r="471" spans="1:32" ht="30">
      <c r="A471" s="2140">
        <v>44645</v>
      </c>
      <c r="B471" s="2143" t="s">
        <v>11445</v>
      </c>
      <c r="C471" s="2141" t="s">
        <v>9694</v>
      </c>
      <c r="D471" s="2141" t="s">
        <v>4969</v>
      </c>
      <c r="E471" s="2142" t="s">
        <v>11447</v>
      </c>
      <c r="F471" s="2141">
        <v>2</v>
      </c>
      <c r="G471" s="2143" t="s">
        <v>11448</v>
      </c>
      <c r="H471" s="2141"/>
      <c r="I471" s="2141" t="s">
        <v>476</v>
      </c>
      <c r="J471" s="2141" t="s">
        <v>11453</v>
      </c>
      <c r="K471" s="2144">
        <v>480368</v>
      </c>
      <c r="L471" s="2141" t="s">
        <v>251</v>
      </c>
      <c r="M471" s="2140">
        <v>44678</v>
      </c>
      <c r="N471" s="2140">
        <v>44722</v>
      </c>
      <c r="O471" s="2140">
        <v>44774</v>
      </c>
      <c r="P471" s="2143" t="s">
        <v>16352</v>
      </c>
      <c r="Q471" s="2141"/>
      <c r="R471" s="2144">
        <v>513336</v>
      </c>
      <c r="S471" s="2144">
        <v>621136.56000000006</v>
      </c>
      <c r="T471" s="2145"/>
      <c r="U471" s="2145"/>
      <c r="V471" s="2145"/>
      <c r="W471" s="2146">
        <v>44774</v>
      </c>
      <c r="X471" s="2260" t="s">
        <v>12616</v>
      </c>
      <c r="Y471" s="2140">
        <v>44806</v>
      </c>
      <c r="Z471" s="2140">
        <v>44831</v>
      </c>
      <c r="AA471" s="2140">
        <v>44865</v>
      </c>
      <c r="AB471" s="2109"/>
      <c r="AC471" s="2109" t="s">
        <v>1875</v>
      </c>
    </row>
    <row r="472" spans="1:32">
      <c r="A472" s="2124">
        <v>44645</v>
      </c>
      <c r="B472" s="2127" t="s">
        <v>11445</v>
      </c>
      <c r="C472" s="2125" t="s">
        <v>58</v>
      </c>
      <c r="D472" s="2125" t="s">
        <v>4969</v>
      </c>
      <c r="E472" s="2126" t="s">
        <v>11447</v>
      </c>
      <c r="F472" s="2125">
        <v>3</v>
      </c>
      <c r="G472" s="2127" t="s">
        <v>11449</v>
      </c>
      <c r="H472" s="2125"/>
      <c r="I472" s="2125" t="s">
        <v>476</v>
      </c>
      <c r="J472" s="2125" t="s">
        <v>11454</v>
      </c>
      <c r="K472" s="2128">
        <v>214876</v>
      </c>
      <c r="L472" s="2125" t="s">
        <v>251</v>
      </c>
      <c r="M472" s="2124">
        <v>44678</v>
      </c>
      <c r="N472" s="2124">
        <v>44722</v>
      </c>
      <c r="O472" s="2125"/>
      <c r="P472" s="2136" t="s">
        <v>304</v>
      </c>
      <c r="Q472" s="2275" t="s">
        <v>12761</v>
      </c>
      <c r="R472" s="2128"/>
      <c r="S472" s="2128"/>
      <c r="T472" s="2129"/>
      <c r="U472" s="2129"/>
      <c r="V472" s="2129"/>
      <c r="W472" s="2128"/>
      <c r="X472" s="2128"/>
      <c r="Y472" s="2125"/>
      <c r="Z472" s="2124">
        <v>44771</v>
      </c>
      <c r="AA472" s="2127" t="s">
        <v>12510</v>
      </c>
      <c r="AB472" s="2125"/>
      <c r="AC472" s="2125"/>
    </row>
    <row r="473" spans="1:32" ht="30.75" thickBot="1">
      <c r="A473" s="2117">
        <v>44645</v>
      </c>
      <c r="B473" s="2120" t="s">
        <v>11445</v>
      </c>
      <c r="C473" s="2118" t="s">
        <v>58</v>
      </c>
      <c r="D473" s="2118" t="s">
        <v>4969</v>
      </c>
      <c r="E473" s="2119" t="s">
        <v>11447</v>
      </c>
      <c r="F473" s="2118">
        <v>4</v>
      </c>
      <c r="G473" s="2120" t="s">
        <v>11450</v>
      </c>
      <c r="H473" s="2118"/>
      <c r="I473" s="2118" t="s">
        <v>476</v>
      </c>
      <c r="J473" s="2118" t="s">
        <v>11455</v>
      </c>
      <c r="K473" s="2121">
        <v>422315</v>
      </c>
      <c r="L473" s="2118" t="s">
        <v>251</v>
      </c>
      <c r="M473" s="2117">
        <v>44678</v>
      </c>
      <c r="N473" s="2117">
        <v>44722</v>
      </c>
      <c r="O473" s="2117">
        <v>44774</v>
      </c>
      <c r="P473" s="2120" t="s">
        <v>9720</v>
      </c>
      <c r="Q473" s="2118"/>
      <c r="R473" s="2121">
        <v>437250</v>
      </c>
      <c r="S473" s="2121">
        <v>529072.5</v>
      </c>
      <c r="T473" s="2122"/>
      <c r="U473" s="2122"/>
      <c r="V473" s="2122"/>
      <c r="W473" s="2123">
        <v>44774</v>
      </c>
      <c r="X473" s="2246" t="s">
        <v>12618</v>
      </c>
      <c r="Y473" s="2117">
        <v>44806</v>
      </c>
      <c r="Z473" s="2117">
        <v>44831</v>
      </c>
      <c r="AA473" s="2117">
        <v>44865</v>
      </c>
      <c r="AB473" s="2110"/>
      <c r="AC473" s="2110" t="s">
        <v>1875</v>
      </c>
    </row>
    <row r="474" spans="1:32" ht="30.75" thickTop="1">
      <c r="A474" s="365">
        <v>44648</v>
      </c>
      <c r="B474" s="2693" t="s">
        <v>11461</v>
      </c>
      <c r="C474" s="2692" t="s">
        <v>2434</v>
      </c>
      <c r="D474" s="2692" t="s">
        <v>3204</v>
      </c>
      <c r="E474" s="2693" t="s">
        <v>11462</v>
      </c>
      <c r="F474" s="2692"/>
      <c r="G474" s="1426"/>
      <c r="H474" s="2692"/>
      <c r="I474" s="2692" t="s">
        <v>642</v>
      </c>
      <c r="J474" s="2692"/>
      <c r="K474" s="364">
        <v>1167300</v>
      </c>
      <c r="L474" s="2692" t="s">
        <v>251</v>
      </c>
      <c r="M474" s="365">
        <v>44657</v>
      </c>
      <c r="N474" s="365">
        <v>44700</v>
      </c>
      <c r="O474" s="365">
        <v>44722</v>
      </c>
      <c r="P474" s="2693" t="s">
        <v>4839</v>
      </c>
      <c r="Q474" s="2692"/>
      <c r="R474" s="364">
        <v>1167300</v>
      </c>
      <c r="S474" s="364">
        <v>1412433</v>
      </c>
      <c r="T474" s="1473"/>
      <c r="U474" s="1473"/>
      <c r="V474" s="1473"/>
      <c r="W474" s="681">
        <v>44722</v>
      </c>
      <c r="X474" s="1417" t="s">
        <v>12116</v>
      </c>
      <c r="Y474" s="365">
        <v>44776</v>
      </c>
      <c r="Z474" s="365">
        <v>44797</v>
      </c>
      <c r="AA474" s="365">
        <v>45871</v>
      </c>
      <c r="AB474" s="451" t="s">
        <v>12660</v>
      </c>
      <c r="AC474" s="451">
        <v>2023</v>
      </c>
      <c r="AD474" s="388">
        <v>2024</v>
      </c>
      <c r="AE474" s="388" t="s">
        <v>12661</v>
      </c>
    </row>
    <row r="475" spans="1:32">
      <c r="A475" s="2124">
        <v>44645</v>
      </c>
      <c r="B475" s="2127" t="s">
        <v>11463</v>
      </c>
      <c r="C475" s="2125" t="s">
        <v>289</v>
      </c>
      <c r="D475" s="2125" t="s">
        <v>6509</v>
      </c>
      <c r="E475" s="2126" t="s">
        <v>12074</v>
      </c>
      <c r="F475" s="2125">
        <v>1</v>
      </c>
      <c r="G475" s="2127" t="s">
        <v>4460</v>
      </c>
      <c r="H475" s="2125"/>
      <c r="I475" s="2125" t="s">
        <v>11465</v>
      </c>
      <c r="J475" s="2125" t="s">
        <v>11464</v>
      </c>
      <c r="K475" s="2128">
        <v>3250000</v>
      </c>
      <c r="L475" s="2125" t="s">
        <v>251</v>
      </c>
      <c r="M475" s="2124">
        <v>44679</v>
      </c>
      <c r="N475" s="2124">
        <v>44712</v>
      </c>
      <c r="O475" s="2125"/>
      <c r="P475" s="2136" t="s">
        <v>4505</v>
      </c>
      <c r="Q475" s="2275" t="s">
        <v>13492</v>
      </c>
      <c r="R475" s="2128"/>
      <c r="S475" s="2128"/>
      <c r="T475" s="2129"/>
      <c r="U475" s="2129"/>
      <c r="V475" s="2129"/>
      <c r="W475" s="2128"/>
      <c r="X475" s="2128"/>
      <c r="Y475" s="2125"/>
      <c r="Z475" s="2124">
        <v>44761</v>
      </c>
      <c r="AA475" s="2127" t="s">
        <v>12372</v>
      </c>
      <c r="AB475" s="2125"/>
      <c r="AC475" s="2125"/>
    </row>
    <row r="476" spans="1:32">
      <c r="A476" s="2124">
        <v>44645</v>
      </c>
      <c r="B476" s="2127" t="s">
        <v>11463</v>
      </c>
      <c r="C476" s="2125" t="s">
        <v>289</v>
      </c>
      <c r="D476" s="2125" t="s">
        <v>6509</v>
      </c>
      <c r="E476" s="2126" t="s">
        <v>12074</v>
      </c>
      <c r="F476" s="2125">
        <v>2</v>
      </c>
      <c r="G476" s="2127" t="s">
        <v>12075</v>
      </c>
      <c r="H476" s="2125"/>
      <c r="I476" s="2125" t="s">
        <v>11465</v>
      </c>
      <c r="J476" s="2125" t="s">
        <v>11464</v>
      </c>
      <c r="K476" s="2128">
        <v>1708000</v>
      </c>
      <c r="L476" s="2125" t="s">
        <v>251</v>
      </c>
      <c r="M476" s="2124">
        <v>44679</v>
      </c>
      <c r="N476" s="2124">
        <v>44712</v>
      </c>
      <c r="O476" s="2125"/>
      <c r="P476" s="2136" t="s">
        <v>4505</v>
      </c>
      <c r="Q476" s="2275" t="s">
        <v>13492</v>
      </c>
      <c r="R476" s="2128"/>
      <c r="S476" s="2128"/>
      <c r="T476" s="2129"/>
      <c r="U476" s="2129"/>
      <c r="V476" s="2129"/>
      <c r="W476" s="2128"/>
      <c r="X476" s="2128"/>
      <c r="Y476" s="2125"/>
      <c r="Z476" s="2124">
        <v>44761</v>
      </c>
      <c r="AA476" s="2127" t="s">
        <v>12372</v>
      </c>
      <c r="AB476" s="2125"/>
      <c r="AC476" s="2125"/>
    </row>
    <row r="477" spans="1:32">
      <c r="A477" s="2140">
        <v>44642</v>
      </c>
      <c r="B477" s="2143" t="s">
        <v>11467</v>
      </c>
      <c r="C477" s="2141" t="s">
        <v>2111</v>
      </c>
      <c r="D477" s="2141" t="s">
        <v>9080</v>
      </c>
      <c r="E477" s="2142" t="s">
        <v>11466</v>
      </c>
      <c r="F477" s="2141"/>
      <c r="G477" s="2143"/>
      <c r="H477" s="2141"/>
      <c r="I477" s="2141" t="s">
        <v>2967</v>
      </c>
      <c r="J477" s="2141"/>
      <c r="K477" s="2144">
        <v>5819200</v>
      </c>
      <c r="L477" s="2141" t="s">
        <v>251</v>
      </c>
      <c r="M477" s="2140">
        <v>44665</v>
      </c>
      <c r="N477" s="2140">
        <v>44698</v>
      </c>
      <c r="O477" s="2140">
        <v>44889</v>
      </c>
      <c r="P477" s="2143" t="s">
        <v>13594</v>
      </c>
      <c r="Q477" s="2141"/>
      <c r="R477" s="2144">
        <v>9130000</v>
      </c>
      <c r="S477" s="2144">
        <v>11047300</v>
      </c>
      <c r="T477" s="2145"/>
      <c r="U477" s="2145"/>
      <c r="V477" s="2145"/>
      <c r="W477" s="2146">
        <v>44889</v>
      </c>
      <c r="X477" s="2144" t="s">
        <v>13612</v>
      </c>
      <c r="Y477" s="2140">
        <v>44910</v>
      </c>
      <c r="Z477" s="2140">
        <v>44911</v>
      </c>
      <c r="AA477" s="2140">
        <v>46370</v>
      </c>
      <c r="AB477" s="2109" t="s">
        <v>13767</v>
      </c>
      <c r="AC477" s="2109">
        <v>2023</v>
      </c>
      <c r="AD477" s="388">
        <v>2024</v>
      </c>
      <c r="AE477" s="388">
        <v>2025</v>
      </c>
      <c r="AF477" s="388" t="s">
        <v>13768</v>
      </c>
    </row>
    <row r="478" spans="1:32" ht="30">
      <c r="A478" s="2140">
        <v>44650</v>
      </c>
      <c r="B478" s="2143" t="s">
        <v>11473</v>
      </c>
      <c r="C478" s="2141" t="s">
        <v>58</v>
      </c>
      <c r="D478" s="2141" t="s">
        <v>55</v>
      </c>
      <c r="E478" s="2321" t="s">
        <v>11474</v>
      </c>
      <c r="F478" s="2141"/>
      <c r="G478" s="2143"/>
      <c r="H478" s="2141"/>
      <c r="I478" s="2141" t="s">
        <v>1673</v>
      </c>
      <c r="J478" s="2141"/>
      <c r="K478" s="2144">
        <v>550000</v>
      </c>
      <c r="L478" s="2141" t="s">
        <v>112</v>
      </c>
      <c r="M478" s="2140">
        <v>44657</v>
      </c>
      <c r="N478" s="2140">
        <v>44671</v>
      </c>
      <c r="O478" s="2140">
        <v>44679</v>
      </c>
      <c r="P478" s="2143" t="s">
        <v>4523</v>
      </c>
      <c r="Q478" s="2141"/>
      <c r="R478" s="2144">
        <v>689750.6</v>
      </c>
      <c r="S478" s="2144">
        <v>834598.24</v>
      </c>
      <c r="T478" s="2145"/>
      <c r="U478" s="2145"/>
      <c r="V478" s="2145"/>
      <c r="W478" s="2146">
        <v>44679</v>
      </c>
      <c r="X478" s="2260" t="s">
        <v>11684</v>
      </c>
      <c r="Y478" s="2140">
        <v>44718</v>
      </c>
      <c r="Z478" s="2140">
        <v>44720</v>
      </c>
      <c r="AA478" s="2140">
        <v>45448</v>
      </c>
      <c r="AB478" s="2109" t="s">
        <v>12062</v>
      </c>
      <c r="AC478" s="2109">
        <v>2023</v>
      </c>
      <c r="AD478" s="388" t="s">
        <v>12064</v>
      </c>
    </row>
    <row r="479" spans="1:32">
      <c r="A479" s="2140">
        <v>44649</v>
      </c>
      <c r="B479" s="2143" t="s">
        <v>11475</v>
      </c>
      <c r="C479" s="2141" t="s">
        <v>69</v>
      </c>
      <c r="D479" s="2141" t="s">
        <v>70</v>
      </c>
      <c r="E479" s="2142" t="s">
        <v>11476</v>
      </c>
      <c r="F479" s="2141"/>
      <c r="G479" s="2143"/>
      <c r="H479" s="2141"/>
      <c r="I479" s="2141" t="s">
        <v>2255</v>
      </c>
      <c r="J479" s="2141"/>
      <c r="K479" s="2144">
        <v>6521834</v>
      </c>
      <c r="L479" s="2141" t="s">
        <v>645</v>
      </c>
      <c r="M479" s="2140">
        <v>44690</v>
      </c>
      <c r="N479" s="2140">
        <v>44729</v>
      </c>
      <c r="O479" s="2140">
        <v>44749</v>
      </c>
      <c r="P479" s="2143" t="s">
        <v>12415</v>
      </c>
      <c r="Q479" s="2141"/>
      <c r="R479" s="2144">
        <v>6521834</v>
      </c>
      <c r="S479" s="2144">
        <v>7174017.4000000004</v>
      </c>
      <c r="T479" s="2145"/>
      <c r="U479" s="2145"/>
      <c r="V479" s="2145"/>
      <c r="W479" s="2146">
        <v>44757</v>
      </c>
      <c r="X479" s="2144" t="s">
        <v>12473</v>
      </c>
      <c r="Y479" s="2140">
        <v>44781</v>
      </c>
      <c r="Z479" s="2140">
        <v>44790</v>
      </c>
      <c r="AA479" s="2140">
        <v>45145</v>
      </c>
      <c r="AB479" s="2109" t="s">
        <v>12666</v>
      </c>
      <c r="AC479" s="2109" t="s">
        <v>12669</v>
      </c>
    </row>
    <row r="480" spans="1:32" ht="45.75" thickBot="1">
      <c r="A480" s="416">
        <v>44649</v>
      </c>
      <c r="B480" s="630" t="s">
        <v>11479</v>
      </c>
      <c r="C480" s="411" t="s">
        <v>2434</v>
      </c>
      <c r="D480" s="411" t="s">
        <v>751</v>
      </c>
      <c r="E480" s="412" t="s">
        <v>11480</v>
      </c>
      <c r="F480" s="411"/>
      <c r="G480" s="630"/>
      <c r="H480" s="411"/>
      <c r="I480" s="411" t="s">
        <v>786</v>
      </c>
      <c r="J480" s="411"/>
      <c r="K480" s="417">
        <v>459200000</v>
      </c>
      <c r="L480" s="411" t="s">
        <v>251</v>
      </c>
      <c r="M480" s="416">
        <v>44658</v>
      </c>
      <c r="N480" s="416">
        <v>44690</v>
      </c>
      <c r="O480" s="416">
        <v>44725</v>
      </c>
      <c r="P480" s="630" t="s">
        <v>3179</v>
      </c>
      <c r="Q480" s="411"/>
      <c r="R480" s="417">
        <v>459200000</v>
      </c>
      <c r="S480" s="417">
        <v>528080000</v>
      </c>
      <c r="T480" s="1480"/>
      <c r="U480" s="1480"/>
      <c r="V480" s="1480"/>
      <c r="W480" s="513">
        <v>44725</v>
      </c>
      <c r="X480" s="1553" t="s">
        <v>12121</v>
      </c>
      <c r="Y480" s="416">
        <v>44743</v>
      </c>
      <c r="Z480" s="416">
        <v>44763</v>
      </c>
      <c r="AA480" s="416">
        <v>46203</v>
      </c>
      <c r="AB480" s="422" t="s">
        <v>12336</v>
      </c>
      <c r="AC480" s="422">
        <v>2023</v>
      </c>
      <c r="AD480" s="388">
        <v>2024</v>
      </c>
      <c r="AE480" s="388">
        <v>2025</v>
      </c>
      <c r="AF480" s="388" t="s">
        <v>12441</v>
      </c>
    </row>
    <row r="481" spans="1:32" ht="15.75" thickTop="1">
      <c r="A481" s="474">
        <v>44650</v>
      </c>
      <c r="B481" s="1420" t="s">
        <v>11482</v>
      </c>
      <c r="C481" s="453" t="s">
        <v>69</v>
      </c>
      <c r="D481" s="453" t="s">
        <v>70</v>
      </c>
      <c r="E481" s="473" t="s">
        <v>11483</v>
      </c>
      <c r="F481" s="453">
        <v>1</v>
      </c>
      <c r="G481" s="2043" t="s">
        <v>11486</v>
      </c>
      <c r="H481" s="453"/>
      <c r="I481" s="453" t="s">
        <v>72</v>
      </c>
      <c r="J481" s="453"/>
      <c r="K481" s="457">
        <v>676658</v>
      </c>
      <c r="L481" s="453" t="s">
        <v>251</v>
      </c>
      <c r="M481" s="474">
        <v>44662</v>
      </c>
      <c r="N481" s="474">
        <v>44762</v>
      </c>
      <c r="O481" s="474" t="s">
        <v>7131</v>
      </c>
      <c r="P481" s="1420" t="s">
        <v>16350</v>
      </c>
      <c r="Q481" s="453"/>
      <c r="R481" s="457">
        <v>673001.52</v>
      </c>
      <c r="S481" s="457">
        <v>740301.67</v>
      </c>
      <c r="T481" s="1474"/>
      <c r="U481" s="1474"/>
      <c r="V481" s="1474"/>
      <c r="W481" s="570">
        <v>44853</v>
      </c>
      <c r="X481" s="457" t="s">
        <v>13335</v>
      </c>
      <c r="Y481" s="474">
        <v>44875</v>
      </c>
      <c r="Z481" s="474">
        <v>44902</v>
      </c>
      <c r="AA481" s="474">
        <v>46335</v>
      </c>
      <c r="AB481" s="1391" t="s">
        <v>13521</v>
      </c>
      <c r="AC481" s="1391">
        <v>2023</v>
      </c>
      <c r="AD481" s="388">
        <v>2024</v>
      </c>
      <c r="AE481" s="388">
        <v>2025</v>
      </c>
      <c r="AF481" s="388" t="s">
        <v>13523</v>
      </c>
    </row>
    <row r="482" spans="1:32">
      <c r="A482" s="2140">
        <v>44650</v>
      </c>
      <c r="B482" s="2143" t="s">
        <v>11482</v>
      </c>
      <c r="C482" s="2141" t="s">
        <v>69</v>
      </c>
      <c r="D482" s="2141" t="s">
        <v>70</v>
      </c>
      <c r="E482" s="2142" t="s">
        <v>11483</v>
      </c>
      <c r="F482" s="2141">
        <v>2</v>
      </c>
      <c r="G482" s="2261" t="s">
        <v>11487</v>
      </c>
      <c r="H482" s="2141"/>
      <c r="I482" s="2141" t="s">
        <v>72</v>
      </c>
      <c r="J482" s="2141"/>
      <c r="K482" s="2144">
        <v>773647</v>
      </c>
      <c r="L482" s="2141" t="s">
        <v>251</v>
      </c>
      <c r="M482" s="2140">
        <v>44662</v>
      </c>
      <c r="N482" s="2140">
        <v>44762</v>
      </c>
      <c r="O482" s="2140">
        <v>44853</v>
      </c>
      <c r="P482" s="2143" t="s">
        <v>576</v>
      </c>
      <c r="Q482" s="2141"/>
      <c r="R482" s="2144">
        <v>754847.52</v>
      </c>
      <c r="S482" s="2144">
        <v>830332.27</v>
      </c>
      <c r="T482" s="2145"/>
      <c r="U482" s="2145"/>
      <c r="V482" s="2145"/>
      <c r="W482" s="2146">
        <v>44853</v>
      </c>
      <c r="X482" s="2144" t="s">
        <v>13336</v>
      </c>
      <c r="Y482" s="2140">
        <v>44914</v>
      </c>
      <c r="Z482" s="2140">
        <v>44943</v>
      </c>
      <c r="AA482" s="2140">
        <v>46374</v>
      </c>
      <c r="AB482" s="2109" t="s">
        <v>13784</v>
      </c>
      <c r="AC482" s="2109">
        <v>2023</v>
      </c>
      <c r="AD482" s="388">
        <v>2024</v>
      </c>
      <c r="AE482" s="388">
        <v>2025</v>
      </c>
      <c r="AF482" s="388" t="s">
        <v>13785</v>
      </c>
    </row>
    <row r="483" spans="1:32">
      <c r="A483" s="2153">
        <v>44650</v>
      </c>
      <c r="B483" s="2156" t="s">
        <v>11482</v>
      </c>
      <c r="C483" s="2154" t="s">
        <v>69</v>
      </c>
      <c r="D483" s="2154" t="s">
        <v>70</v>
      </c>
      <c r="E483" s="2155" t="s">
        <v>11483</v>
      </c>
      <c r="F483" s="2154">
        <v>3</v>
      </c>
      <c r="G483" s="2156" t="s">
        <v>11484</v>
      </c>
      <c r="H483" s="2154"/>
      <c r="I483" s="2154" t="s">
        <v>72</v>
      </c>
      <c r="J483" s="2154"/>
      <c r="K483" s="2157">
        <v>174580</v>
      </c>
      <c r="L483" s="2154" t="s">
        <v>251</v>
      </c>
      <c r="M483" s="2153">
        <v>44662</v>
      </c>
      <c r="N483" s="2153">
        <v>44762</v>
      </c>
      <c r="O483" s="2153">
        <v>44853</v>
      </c>
      <c r="P483" s="2156" t="s">
        <v>1646</v>
      </c>
      <c r="Q483" s="2154"/>
      <c r="R483" s="2157">
        <v>174537</v>
      </c>
      <c r="S483" s="2157">
        <v>191990.7</v>
      </c>
      <c r="T483" s="2415"/>
      <c r="U483" s="2415"/>
      <c r="V483" s="2415"/>
      <c r="W483" s="2160">
        <v>44853</v>
      </c>
      <c r="X483" s="2157" t="s">
        <v>13337</v>
      </c>
      <c r="Y483" s="2154"/>
      <c r="Z483" s="2154"/>
      <c r="AA483" s="2154"/>
      <c r="AB483" s="2154"/>
      <c r="AC483" s="2154"/>
    </row>
    <row r="484" spans="1:32" ht="15.75" thickBot="1">
      <c r="A484" s="2152">
        <v>44650</v>
      </c>
      <c r="B484" s="2300" t="s">
        <v>11482</v>
      </c>
      <c r="C484" s="2297" t="s">
        <v>69</v>
      </c>
      <c r="D484" s="2297" t="s">
        <v>70</v>
      </c>
      <c r="E484" s="2298" t="s">
        <v>11483</v>
      </c>
      <c r="F484" s="2297">
        <v>4</v>
      </c>
      <c r="G484" s="2300" t="s">
        <v>11485</v>
      </c>
      <c r="H484" s="2297"/>
      <c r="I484" s="2297" t="s">
        <v>72</v>
      </c>
      <c r="J484" s="2297"/>
      <c r="K484" s="2299">
        <v>3277224</v>
      </c>
      <c r="L484" s="2297" t="s">
        <v>251</v>
      </c>
      <c r="M484" s="2152">
        <v>44662</v>
      </c>
      <c r="N484" s="2152">
        <v>44762</v>
      </c>
      <c r="O484" s="2152">
        <v>44924</v>
      </c>
      <c r="P484" s="2300" t="s">
        <v>13782</v>
      </c>
      <c r="Q484" s="2297"/>
      <c r="R484" s="2299">
        <v>3277224</v>
      </c>
      <c r="S484" s="2299">
        <v>3604946.4</v>
      </c>
      <c r="T484" s="2443"/>
      <c r="U484" s="2443"/>
      <c r="V484" s="2443"/>
      <c r="W484" s="2315">
        <v>44924</v>
      </c>
      <c r="X484" s="2299" t="s">
        <v>13834</v>
      </c>
      <c r="Y484" s="2297"/>
      <c r="Z484" s="2297"/>
      <c r="AA484" s="2297"/>
      <c r="AB484" s="2297"/>
      <c r="AC484" s="2297"/>
    </row>
    <row r="485" spans="1:32" ht="15.75" thickTop="1">
      <c r="A485" s="365">
        <v>44623</v>
      </c>
      <c r="B485" s="2696" t="s">
        <v>11489</v>
      </c>
      <c r="C485" s="2695" t="s">
        <v>2434</v>
      </c>
      <c r="D485" s="2695" t="s">
        <v>219</v>
      </c>
      <c r="E485" s="175" t="s">
        <v>13561</v>
      </c>
      <c r="F485" s="2695"/>
      <c r="G485" s="2696"/>
      <c r="H485" s="423"/>
      <c r="I485" s="2695" t="s">
        <v>3293</v>
      </c>
      <c r="J485" s="2695"/>
      <c r="K485" s="364">
        <v>5849180</v>
      </c>
      <c r="L485" s="2695" t="s">
        <v>251</v>
      </c>
      <c r="M485" s="365">
        <v>44693</v>
      </c>
      <c r="N485" s="365">
        <v>44739</v>
      </c>
      <c r="O485" s="365">
        <v>44763</v>
      </c>
      <c r="P485" s="2696" t="s">
        <v>12544</v>
      </c>
      <c r="Q485" s="2695"/>
      <c r="R485" s="364">
        <v>4937640</v>
      </c>
      <c r="S485" s="364">
        <v>5974544</v>
      </c>
      <c r="T485" s="1476"/>
      <c r="U485" s="1476"/>
      <c r="V485" s="1476"/>
      <c r="W485" s="681">
        <v>44763</v>
      </c>
      <c r="X485" s="364" t="s">
        <v>12565</v>
      </c>
      <c r="Y485" s="365">
        <v>44783</v>
      </c>
      <c r="Z485" s="365">
        <v>44804</v>
      </c>
      <c r="AA485" s="365">
        <v>45878</v>
      </c>
      <c r="AB485" s="451" t="s">
        <v>12746</v>
      </c>
      <c r="AC485" s="451">
        <v>2023</v>
      </c>
      <c r="AD485" s="388">
        <v>2024</v>
      </c>
      <c r="AE485" s="388" t="s">
        <v>12747</v>
      </c>
    </row>
    <row r="486" spans="1:32" ht="15.75" thickBot="1">
      <c r="A486" s="2601">
        <v>44649</v>
      </c>
      <c r="B486" s="2603" t="s">
        <v>11490</v>
      </c>
      <c r="C486" s="1639" t="s">
        <v>58</v>
      </c>
      <c r="D486" s="1639" t="s">
        <v>4969</v>
      </c>
      <c r="E486" s="2602" t="s">
        <v>4217</v>
      </c>
      <c r="F486" s="1639"/>
      <c r="G486" s="2606" t="s">
        <v>11751</v>
      </c>
      <c r="H486" s="1639"/>
      <c r="I486" s="1639" t="s">
        <v>786</v>
      </c>
      <c r="J486" s="1639" t="s">
        <v>11491</v>
      </c>
      <c r="K486" s="2604">
        <v>3862488.43</v>
      </c>
      <c r="L486" s="1639" t="s">
        <v>251</v>
      </c>
      <c r="M486" s="1639"/>
      <c r="N486" s="1639"/>
      <c r="O486" s="1639"/>
      <c r="P486" s="2603"/>
      <c r="Q486" s="1639"/>
      <c r="R486" s="2604"/>
      <c r="S486" s="2604"/>
      <c r="T486" s="2605"/>
      <c r="U486" s="2605"/>
      <c r="V486" s="2605"/>
      <c r="W486" s="2604"/>
      <c r="X486" s="2604"/>
      <c r="Y486" s="1639"/>
      <c r="Z486" s="1639"/>
      <c r="AA486" s="1639"/>
      <c r="AB486" s="1639"/>
      <c r="AC486" s="1639"/>
    </row>
    <row r="487" spans="1:32" ht="30.75" thickTop="1">
      <c r="A487" s="474">
        <v>44651</v>
      </c>
      <c r="B487" s="1420" t="s">
        <v>12011</v>
      </c>
      <c r="C487" s="453" t="s">
        <v>2434</v>
      </c>
      <c r="D487" s="453" t="s">
        <v>219</v>
      </c>
      <c r="E487" s="473" t="s">
        <v>11496</v>
      </c>
      <c r="F487" s="453">
        <v>1</v>
      </c>
      <c r="G487" s="1420" t="s">
        <v>11499</v>
      </c>
      <c r="H487" s="453"/>
      <c r="I487" s="453" t="s">
        <v>642</v>
      </c>
      <c r="J487" s="453"/>
      <c r="K487" s="457">
        <v>1844100</v>
      </c>
      <c r="L487" s="453" t="s">
        <v>251</v>
      </c>
      <c r="M487" s="474">
        <v>44718</v>
      </c>
      <c r="N487" s="474">
        <v>44795</v>
      </c>
      <c r="O487" s="474">
        <v>44853</v>
      </c>
      <c r="P487" s="1420" t="s">
        <v>5696</v>
      </c>
      <c r="Q487" s="453"/>
      <c r="R487" s="457">
        <v>900823.53</v>
      </c>
      <c r="S487" s="457">
        <v>1089996.31</v>
      </c>
      <c r="T487" s="1474"/>
      <c r="U487" s="1474"/>
      <c r="V487" s="1474"/>
      <c r="W487" s="570">
        <v>44853</v>
      </c>
      <c r="X487" s="1387" t="s">
        <v>13343</v>
      </c>
      <c r="Y487" s="474">
        <v>44896</v>
      </c>
      <c r="Z487" s="1998">
        <v>44908</v>
      </c>
      <c r="AA487" s="474">
        <v>45991</v>
      </c>
      <c r="AB487" s="1391" t="s">
        <v>13678</v>
      </c>
      <c r="AC487" s="1391">
        <v>2023</v>
      </c>
      <c r="AD487" s="388">
        <v>2024</v>
      </c>
      <c r="AE487" s="388" t="s">
        <v>13679</v>
      </c>
    </row>
    <row r="488" spans="1:32">
      <c r="A488" s="2140">
        <v>44651</v>
      </c>
      <c r="B488" s="2143" t="s">
        <v>12012</v>
      </c>
      <c r="C488" s="2141" t="s">
        <v>2434</v>
      </c>
      <c r="D488" s="2141" t="s">
        <v>219</v>
      </c>
      <c r="E488" s="2142" t="s">
        <v>11496</v>
      </c>
      <c r="F488" s="2141">
        <v>2</v>
      </c>
      <c r="G488" s="2143" t="s">
        <v>11497</v>
      </c>
      <c r="H488" s="2141"/>
      <c r="I488" s="2141" t="s">
        <v>642</v>
      </c>
      <c r="J488" s="2141"/>
      <c r="K488" s="2144">
        <v>1287950</v>
      </c>
      <c r="L488" s="2141" t="s">
        <v>251</v>
      </c>
      <c r="M488" s="2140">
        <v>44718</v>
      </c>
      <c r="N488" s="2140">
        <v>44795</v>
      </c>
      <c r="O488" s="2140">
        <v>44853</v>
      </c>
      <c r="P488" s="2143" t="s">
        <v>1400</v>
      </c>
      <c r="Q488" s="2141"/>
      <c r="R488" s="2144">
        <v>1958815.08</v>
      </c>
      <c r="S488" s="2144">
        <v>2259329.9900000002</v>
      </c>
      <c r="T488" s="2145"/>
      <c r="U488" s="2145"/>
      <c r="V488" s="2145"/>
      <c r="W488" s="2146">
        <v>44853</v>
      </c>
      <c r="X488" s="2260" t="s">
        <v>13344</v>
      </c>
      <c r="Y488" s="2140">
        <v>44901</v>
      </c>
      <c r="Z488" s="2564">
        <v>44908</v>
      </c>
      <c r="AA488" s="2140">
        <v>45996</v>
      </c>
      <c r="AB488" s="2109" t="s">
        <v>13732</v>
      </c>
      <c r="AC488" s="2109">
        <v>2023</v>
      </c>
      <c r="AD488" s="388">
        <v>2024</v>
      </c>
      <c r="AE488" s="388" t="s">
        <v>13733</v>
      </c>
    </row>
    <row r="489" spans="1:32" ht="15.75" thickBot="1">
      <c r="A489" s="2117">
        <v>44651</v>
      </c>
      <c r="B489" s="2120" t="s">
        <v>12013</v>
      </c>
      <c r="C489" s="2118" t="s">
        <v>2434</v>
      </c>
      <c r="D489" s="2118" t="s">
        <v>219</v>
      </c>
      <c r="E489" s="2119" t="s">
        <v>11496</v>
      </c>
      <c r="F489" s="2118">
        <v>3</v>
      </c>
      <c r="G489" s="2120" t="s">
        <v>11498</v>
      </c>
      <c r="H489" s="2118"/>
      <c r="I489" s="2118" t="s">
        <v>642</v>
      </c>
      <c r="J489" s="2118"/>
      <c r="K489" s="2121">
        <v>635950</v>
      </c>
      <c r="L489" s="2118" t="s">
        <v>251</v>
      </c>
      <c r="M489" s="2117">
        <v>44718</v>
      </c>
      <c r="N489" s="2117">
        <v>44795</v>
      </c>
      <c r="O489" s="2117">
        <v>44853</v>
      </c>
      <c r="P489" s="2120" t="s">
        <v>1400</v>
      </c>
      <c r="Q489" s="2118"/>
      <c r="R489" s="2121">
        <v>1585198.62</v>
      </c>
      <c r="S489" s="2121">
        <v>1842406.97</v>
      </c>
      <c r="T489" s="2122"/>
      <c r="U489" s="2122"/>
      <c r="V489" s="2122"/>
      <c r="W489" s="2123">
        <v>44853</v>
      </c>
      <c r="X489" s="2246" t="s">
        <v>13345</v>
      </c>
      <c r="Y489" s="2117">
        <v>44901</v>
      </c>
      <c r="Z489" s="2565">
        <v>44908</v>
      </c>
      <c r="AA489" s="2117">
        <v>45996</v>
      </c>
      <c r="AB489" s="2110" t="s">
        <v>13732</v>
      </c>
      <c r="AC489" s="2110">
        <v>2023</v>
      </c>
      <c r="AD489" s="388">
        <v>2024</v>
      </c>
      <c r="AE489" s="388" t="s">
        <v>13733</v>
      </c>
    </row>
    <row r="490" spans="1:32" ht="30.75" thickTop="1">
      <c r="A490" s="365">
        <v>44656</v>
      </c>
      <c r="B490" s="2646" t="s">
        <v>11504</v>
      </c>
      <c r="C490" s="2623" t="s">
        <v>58</v>
      </c>
      <c r="D490" s="2623" t="s">
        <v>4969</v>
      </c>
      <c r="E490" s="175" t="s">
        <v>11505</v>
      </c>
      <c r="F490" s="2623"/>
      <c r="G490" s="2624"/>
      <c r="H490" s="2623"/>
      <c r="I490" s="2623" t="s">
        <v>1159</v>
      </c>
      <c r="J490" s="2623" t="s">
        <v>11506</v>
      </c>
      <c r="K490" s="364">
        <v>64500</v>
      </c>
      <c r="L490" s="2623" t="s">
        <v>112</v>
      </c>
      <c r="M490" s="365">
        <v>44662</v>
      </c>
      <c r="N490" s="365">
        <v>44677</v>
      </c>
      <c r="O490" s="365">
        <v>44684</v>
      </c>
      <c r="P490" s="2624" t="s">
        <v>9720</v>
      </c>
      <c r="Q490" s="2623"/>
      <c r="R490" s="364">
        <v>75200</v>
      </c>
      <c r="S490" s="364">
        <v>90992</v>
      </c>
      <c r="T490" s="1473"/>
      <c r="U490" s="1473"/>
      <c r="V490" s="1473"/>
      <c r="W490" s="681">
        <v>44684</v>
      </c>
      <c r="X490" s="1417" t="s">
        <v>11723</v>
      </c>
      <c r="Y490" s="365">
        <v>44706</v>
      </c>
      <c r="Z490" s="365">
        <v>44708</v>
      </c>
      <c r="AA490" s="365">
        <v>44762</v>
      </c>
      <c r="AB490" s="1551">
        <v>44802</v>
      </c>
      <c r="AC490" s="451" t="s">
        <v>1875</v>
      </c>
    </row>
    <row r="491" spans="1:32" ht="15.75" thickBot="1">
      <c r="A491" s="643">
        <v>44656</v>
      </c>
      <c r="B491" s="1533" t="s">
        <v>11507</v>
      </c>
      <c r="C491" s="639" t="s">
        <v>58</v>
      </c>
      <c r="D491" s="639" t="s">
        <v>4969</v>
      </c>
      <c r="E491" s="640" t="s">
        <v>11508</v>
      </c>
      <c r="F491" s="639"/>
      <c r="G491" s="1533"/>
      <c r="H491" s="639"/>
      <c r="I491" s="639" t="s">
        <v>1159</v>
      </c>
      <c r="J491" s="639" t="s">
        <v>11509</v>
      </c>
      <c r="K491" s="645">
        <v>207450</v>
      </c>
      <c r="L491" s="639" t="s">
        <v>112</v>
      </c>
      <c r="M491" s="643">
        <v>44657</v>
      </c>
      <c r="N491" s="643">
        <v>44671</v>
      </c>
      <c r="O491" s="639"/>
      <c r="P491" s="644" t="s">
        <v>9147</v>
      </c>
      <c r="Q491" s="2019" t="s">
        <v>11716</v>
      </c>
      <c r="R491" s="645"/>
      <c r="S491" s="645"/>
      <c r="T491" s="1534"/>
      <c r="U491" s="1534"/>
      <c r="V491" s="1534"/>
      <c r="W491" s="645"/>
      <c r="X491" s="645"/>
      <c r="Y491" s="639"/>
      <c r="Z491" s="643">
        <v>44683</v>
      </c>
      <c r="AA491" s="639"/>
      <c r="AB491" s="639"/>
      <c r="AC491" s="639"/>
    </row>
    <row r="492" spans="1:32" ht="30.75" thickTop="1">
      <c r="A492" s="474">
        <v>44656</v>
      </c>
      <c r="B492" s="1420" t="s">
        <v>11510</v>
      </c>
      <c r="C492" s="453" t="s">
        <v>58</v>
      </c>
      <c r="D492" s="453" t="s">
        <v>4969</v>
      </c>
      <c r="E492" s="473" t="s">
        <v>1908</v>
      </c>
      <c r="F492" s="453">
        <v>1</v>
      </c>
      <c r="G492" s="1420" t="s">
        <v>11531</v>
      </c>
      <c r="H492" s="453"/>
      <c r="I492" s="453" t="s">
        <v>756</v>
      </c>
      <c r="J492" s="453" t="s">
        <v>11536</v>
      </c>
      <c r="K492" s="457">
        <v>99000</v>
      </c>
      <c r="L492" s="453" t="s">
        <v>112</v>
      </c>
      <c r="M492" s="474">
        <v>44662</v>
      </c>
      <c r="N492" s="474">
        <v>44665</v>
      </c>
      <c r="O492" s="474">
        <v>44683</v>
      </c>
      <c r="P492" s="1420" t="s">
        <v>1961</v>
      </c>
      <c r="Q492" s="453"/>
      <c r="R492" s="457">
        <v>53800</v>
      </c>
      <c r="S492" s="457">
        <v>65098</v>
      </c>
      <c r="T492" s="1474"/>
      <c r="U492" s="1474"/>
      <c r="V492" s="1474"/>
      <c r="W492" s="570">
        <v>44683</v>
      </c>
      <c r="X492" s="1387" t="s">
        <v>11713</v>
      </c>
      <c r="Y492" s="474">
        <v>44713</v>
      </c>
      <c r="Z492" s="474">
        <v>44715</v>
      </c>
      <c r="AA492" s="474">
        <v>44797</v>
      </c>
      <c r="AB492" s="474">
        <v>44844</v>
      </c>
      <c r="AC492" s="1391" t="s">
        <v>1875</v>
      </c>
    </row>
    <row r="493" spans="1:32">
      <c r="A493" s="2124">
        <v>44656</v>
      </c>
      <c r="B493" s="2127" t="s">
        <v>11510</v>
      </c>
      <c r="C493" s="2125" t="s">
        <v>58</v>
      </c>
      <c r="D493" s="2125" t="s">
        <v>4969</v>
      </c>
      <c r="E493" s="2126" t="s">
        <v>1908</v>
      </c>
      <c r="F493" s="2125">
        <v>2</v>
      </c>
      <c r="G493" s="2127" t="s">
        <v>11533</v>
      </c>
      <c r="H493" s="2085"/>
      <c r="I493" s="2125" t="s">
        <v>756</v>
      </c>
      <c r="J493" s="2125" t="s">
        <v>11535</v>
      </c>
      <c r="K493" s="2128">
        <v>176000</v>
      </c>
      <c r="L493" s="2125" t="s">
        <v>112</v>
      </c>
      <c r="M493" s="2124">
        <v>44662</v>
      </c>
      <c r="N493" s="2124">
        <v>44665</v>
      </c>
      <c r="O493" s="2125"/>
      <c r="P493" s="2586" t="s">
        <v>304</v>
      </c>
      <c r="Q493" s="2275" t="s">
        <v>11610</v>
      </c>
      <c r="R493" s="2128"/>
      <c r="S493" s="2128"/>
      <c r="T493" s="2094"/>
      <c r="U493" s="2094"/>
      <c r="V493" s="2094"/>
      <c r="W493" s="2128"/>
      <c r="X493" s="2128"/>
      <c r="Y493" s="2125"/>
      <c r="Z493" s="2124">
        <v>44670</v>
      </c>
      <c r="AA493" s="2125"/>
      <c r="AB493" s="2125"/>
      <c r="AC493" s="2125"/>
    </row>
    <row r="494" spans="1:32" ht="30.75" thickBot="1">
      <c r="A494" s="2117">
        <v>44656</v>
      </c>
      <c r="B494" s="2120" t="s">
        <v>11510</v>
      </c>
      <c r="C494" s="2118" t="s">
        <v>58</v>
      </c>
      <c r="D494" s="2118" t="s">
        <v>4969</v>
      </c>
      <c r="E494" s="2119" t="s">
        <v>1908</v>
      </c>
      <c r="F494" s="2118">
        <v>3</v>
      </c>
      <c r="G494" s="2120" t="s">
        <v>11532</v>
      </c>
      <c r="H494" s="2089"/>
      <c r="I494" s="2118" t="s">
        <v>756</v>
      </c>
      <c r="J494" s="2118" t="s">
        <v>11534</v>
      </c>
      <c r="K494" s="2121">
        <v>443817</v>
      </c>
      <c r="L494" s="2118" t="s">
        <v>112</v>
      </c>
      <c r="M494" s="2117">
        <v>44662</v>
      </c>
      <c r="N494" s="2117">
        <v>44665</v>
      </c>
      <c r="O494" s="2117">
        <v>44683</v>
      </c>
      <c r="P494" s="2120" t="s">
        <v>11530</v>
      </c>
      <c r="Q494" s="2118"/>
      <c r="R494" s="2121">
        <v>416433</v>
      </c>
      <c r="S494" s="2121">
        <v>503883.86</v>
      </c>
      <c r="T494" s="2095"/>
      <c r="U494" s="2095"/>
      <c r="V494" s="2095"/>
      <c r="W494" s="2123">
        <v>44683</v>
      </c>
      <c r="X494" s="2246" t="s">
        <v>11714</v>
      </c>
      <c r="Y494" s="2117">
        <v>44726</v>
      </c>
      <c r="Z494" s="2117">
        <v>44733</v>
      </c>
      <c r="AA494" s="2117">
        <v>44810</v>
      </c>
      <c r="AB494" s="2110"/>
      <c r="AC494" s="2110" t="s">
        <v>1875</v>
      </c>
    </row>
    <row r="495" spans="1:32" ht="15.75" thickTop="1">
      <c r="A495" s="365">
        <v>44656</v>
      </c>
      <c r="B495" s="2646" t="s">
        <v>11514</v>
      </c>
      <c r="C495" s="2617" t="s">
        <v>2434</v>
      </c>
      <c r="D495" s="2617" t="s">
        <v>219</v>
      </c>
      <c r="E495" s="175" t="s">
        <v>11515</v>
      </c>
      <c r="F495" s="2617"/>
      <c r="G495" s="2618"/>
      <c r="H495" s="2617"/>
      <c r="I495" s="2617" t="s">
        <v>642</v>
      </c>
      <c r="J495" s="2617"/>
      <c r="K495" s="364">
        <v>643200</v>
      </c>
      <c r="L495" s="2617" t="s">
        <v>112</v>
      </c>
      <c r="M495" s="365">
        <v>44658</v>
      </c>
      <c r="N495" s="365">
        <v>44671</v>
      </c>
      <c r="O495" s="365">
        <v>44678</v>
      </c>
      <c r="P495" s="2618" t="s">
        <v>4326</v>
      </c>
      <c r="Q495" s="2617"/>
      <c r="R495" s="364">
        <v>727200</v>
      </c>
      <c r="S495" s="364">
        <v>879912</v>
      </c>
      <c r="T495" s="1473"/>
      <c r="U495" s="1473"/>
      <c r="V495" s="1473"/>
      <c r="W495" s="681">
        <v>44678</v>
      </c>
      <c r="X495" s="364" t="s">
        <v>11657</v>
      </c>
      <c r="Y495" s="365">
        <v>44700</v>
      </c>
      <c r="Z495" s="365">
        <v>44705</v>
      </c>
      <c r="AA495" s="365">
        <v>46160</v>
      </c>
      <c r="AB495" s="451" t="s">
        <v>11917</v>
      </c>
      <c r="AC495" s="451">
        <v>2023</v>
      </c>
      <c r="AD495" s="388">
        <v>2024</v>
      </c>
      <c r="AE495" s="388">
        <v>2025</v>
      </c>
      <c r="AF495" s="388" t="s">
        <v>11929</v>
      </c>
    </row>
    <row r="496" spans="1:32" ht="30">
      <c r="A496" s="2141" t="s">
        <v>3585</v>
      </c>
      <c r="B496" s="2143" t="s">
        <v>11519</v>
      </c>
      <c r="C496" s="2141" t="s">
        <v>58</v>
      </c>
      <c r="D496" s="2141" t="s">
        <v>4969</v>
      </c>
      <c r="E496" s="2142" t="s">
        <v>11520</v>
      </c>
      <c r="F496" s="2141"/>
      <c r="G496" s="2143"/>
      <c r="H496" s="2141"/>
      <c r="I496" s="2141" t="s">
        <v>4311</v>
      </c>
      <c r="J496" s="2141" t="s">
        <v>11521</v>
      </c>
      <c r="K496" s="2144">
        <v>421000</v>
      </c>
      <c r="L496" s="2141" t="s">
        <v>112</v>
      </c>
      <c r="M496" s="2140">
        <v>44658</v>
      </c>
      <c r="N496" s="2140">
        <v>44671</v>
      </c>
      <c r="O496" s="2140">
        <v>44684</v>
      </c>
      <c r="P496" s="2143" t="s">
        <v>11658</v>
      </c>
      <c r="Q496" s="2141"/>
      <c r="R496" s="2144">
        <v>430767</v>
      </c>
      <c r="S496" s="2144">
        <v>521228.07</v>
      </c>
      <c r="T496" s="2145"/>
      <c r="U496" s="2145"/>
      <c r="V496" s="2145"/>
      <c r="W496" s="2146">
        <v>44684</v>
      </c>
      <c r="X496" s="2260" t="s">
        <v>11724</v>
      </c>
      <c r="Y496" s="2140">
        <v>44706</v>
      </c>
      <c r="Z496" s="2140">
        <v>44708</v>
      </c>
      <c r="AA496" s="2140">
        <v>44762</v>
      </c>
      <c r="AB496" s="2140">
        <v>44795</v>
      </c>
      <c r="AC496" s="2109" t="s">
        <v>1875</v>
      </c>
    </row>
    <row r="497" spans="1:32" ht="30">
      <c r="A497" s="2141" t="s">
        <v>3585</v>
      </c>
      <c r="B497" s="2143" t="s">
        <v>11524</v>
      </c>
      <c r="C497" s="2141" t="s">
        <v>58</v>
      </c>
      <c r="D497" s="2141" t="s">
        <v>4969</v>
      </c>
      <c r="E497" s="2142" t="s">
        <v>11525</v>
      </c>
      <c r="F497" s="2141"/>
      <c r="G497" s="2143"/>
      <c r="H497" s="2141"/>
      <c r="I497" s="2141" t="s">
        <v>77</v>
      </c>
      <c r="J497" s="2141" t="s">
        <v>11134</v>
      </c>
      <c r="K497" s="2144">
        <v>404720</v>
      </c>
      <c r="L497" s="2141" t="s">
        <v>251</v>
      </c>
      <c r="M497" s="2140">
        <v>44665</v>
      </c>
      <c r="N497" s="2140">
        <v>44698</v>
      </c>
      <c r="O497" s="2140">
        <v>44714</v>
      </c>
      <c r="P497" s="2143" t="s">
        <v>1433</v>
      </c>
      <c r="Q497" s="2141"/>
      <c r="R497" s="2144">
        <v>469542</v>
      </c>
      <c r="S497" s="2144">
        <v>568145.81999999995</v>
      </c>
      <c r="T497" s="2145"/>
      <c r="U497" s="2145"/>
      <c r="V497" s="2145"/>
      <c r="W497" s="2146">
        <v>44714</v>
      </c>
      <c r="X497" s="2260" t="s">
        <v>12046</v>
      </c>
      <c r="Y497" s="2140">
        <v>44739</v>
      </c>
      <c r="Z497" s="2140">
        <v>44757</v>
      </c>
      <c r="AA497" s="2140">
        <v>44781</v>
      </c>
      <c r="AB497" s="2140">
        <v>44845</v>
      </c>
      <c r="AC497" s="2109" t="s">
        <v>1875</v>
      </c>
    </row>
    <row r="498" spans="1:32">
      <c r="A498" s="2124">
        <v>44658</v>
      </c>
      <c r="B498" s="2127" t="s">
        <v>11549</v>
      </c>
      <c r="C498" s="2125" t="s">
        <v>289</v>
      </c>
      <c r="D498" s="2125" t="s">
        <v>6509</v>
      </c>
      <c r="E498" s="2126" t="s">
        <v>11550</v>
      </c>
      <c r="F498" s="2125"/>
      <c r="G498" s="2127"/>
      <c r="H498" s="2125"/>
      <c r="I498" s="2125" t="s">
        <v>11551</v>
      </c>
      <c r="J498" s="2125" t="s">
        <v>11552</v>
      </c>
      <c r="K498" s="2128">
        <v>1239669</v>
      </c>
      <c r="L498" s="2125" t="s">
        <v>112</v>
      </c>
      <c r="M498" s="2124">
        <v>44672</v>
      </c>
      <c r="N498" s="2124">
        <v>44684</v>
      </c>
      <c r="O498" s="2125"/>
      <c r="P498" s="2136" t="s">
        <v>11789</v>
      </c>
      <c r="Q498" s="2275" t="s">
        <v>12180</v>
      </c>
      <c r="R498" s="2128"/>
      <c r="S498" s="2128"/>
      <c r="T498" s="2129"/>
      <c r="U498" s="2129"/>
      <c r="V498" s="2129"/>
      <c r="W498" s="2128"/>
      <c r="X498" s="2128"/>
      <c r="Y498" s="2125"/>
      <c r="Z498" s="2124">
        <v>44691</v>
      </c>
      <c r="AA498" s="2125"/>
      <c r="AB498" s="2125"/>
      <c r="AC498" s="2125"/>
    </row>
    <row r="499" spans="1:32" ht="15.75" thickBot="1">
      <c r="A499" s="416">
        <v>44662</v>
      </c>
      <c r="B499" s="630" t="s">
        <v>11553</v>
      </c>
      <c r="C499" s="411" t="s">
        <v>2434</v>
      </c>
      <c r="D499" s="411" t="s">
        <v>219</v>
      </c>
      <c r="E499" s="412" t="s">
        <v>11554</v>
      </c>
      <c r="F499" s="411"/>
      <c r="G499" s="630"/>
      <c r="H499" s="411"/>
      <c r="I499" s="411" t="s">
        <v>642</v>
      </c>
      <c r="J499" s="411"/>
      <c r="K499" s="417">
        <v>891820</v>
      </c>
      <c r="L499" s="411" t="s">
        <v>112</v>
      </c>
      <c r="M499" s="416">
        <v>44664</v>
      </c>
      <c r="N499" s="416">
        <v>44673</v>
      </c>
      <c r="O499" s="416">
        <v>44678</v>
      </c>
      <c r="P499" s="630" t="s">
        <v>4409</v>
      </c>
      <c r="Q499" s="411"/>
      <c r="R499" s="417">
        <v>965900</v>
      </c>
      <c r="S499" s="417">
        <v>1168739</v>
      </c>
      <c r="T499" s="1480"/>
      <c r="U499" s="1480"/>
      <c r="V499" s="1480"/>
      <c r="W499" s="513">
        <v>44678</v>
      </c>
      <c r="X499" s="417" t="s">
        <v>11659</v>
      </c>
      <c r="Y499" s="416">
        <v>44697</v>
      </c>
      <c r="Z499" s="416">
        <v>44698</v>
      </c>
      <c r="AA499" s="416">
        <v>46157</v>
      </c>
      <c r="AB499" s="422" t="s">
        <v>11883</v>
      </c>
      <c r="AC499" s="422">
        <v>2023</v>
      </c>
      <c r="AD499" s="388">
        <v>2024</v>
      </c>
      <c r="AE499" s="388">
        <v>2025</v>
      </c>
      <c r="AF499" s="388" t="s">
        <v>11885</v>
      </c>
    </row>
    <row r="500" spans="1:32" ht="30.75" thickTop="1">
      <c r="A500" s="453" t="s">
        <v>3585</v>
      </c>
      <c r="B500" s="1420" t="s">
        <v>11571</v>
      </c>
      <c r="C500" s="453" t="s">
        <v>58</v>
      </c>
      <c r="D500" s="453" t="s">
        <v>4969</v>
      </c>
      <c r="E500" s="473" t="s">
        <v>11572</v>
      </c>
      <c r="F500" s="453">
        <v>1</v>
      </c>
      <c r="G500" s="1420" t="s">
        <v>11770</v>
      </c>
      <c r="H500" s="453"/>
      <c r="I500" s="453" t="s">
        <v>272</v>
      </c>
      <c r="J500" s="453" t="s">
        <v>11774</v>
      </c>
      <c r="K500" s="457">
        <v>2020000</v>
      </c>
      <c r="L500" s="453" t="s">
        <v>251</v>
      </c>
      <c r="M500" s="474">
        <v>44691</v>
      </c>
      <c r="N500" s="474">
        <v>44726</v>
      </c>
      <c r="O500" s="474">
        <v>44741</v>
      </c>
      <c r="P500" s="1420" t="s">
        <v>637</v>
      </c>
      <c r="Q500" s="453"/>
      <c r="R500" s="457">
        <v>1650416</v>
      </c>
      <c r="S500" s="457">
        <v>1997003.36</v>
      </c>
      <c r="T500" s="1474"/>
      <c r="U500" s="1474"/>
      <c r="V500" s="1474"/>
      <c r="W500" s="570">
        <v>44741</v>
      </c>
      <c r="X500" s="1387" t="s">
        <v>12418</v>
      </c>
      <c r="Y500" s="474">
        <v>44762</v>
      </c>
      <c r="Z500" s="474">
        <v>44789</v>
      </c>
      <c r="AA500" s="474">
        <v>44902</v>
      </c>
      <c r="AB500" s="474">
        <v>44872</v>
      </c>
      <c r="AC500" s="1391" t="s">
        <v>1875</v>
      </c>
    </row>
    <row r="501" spans="1:32" ht="30">
      <c r="A501" s="2141" t="s">
        <v>3585</v>
      </c>
      <c r="B501" s="2143" t="s">
        <v>11571</v>
      </c>
      <c r="C501" s="2141" t="s">
        <v>58</v>
      </c>
      <c r="D501" s="2141" t="s">
        <v>4969</v>
      </c>
      <c r="E501" s="2142" t="s">
        <v>11572</v>
      </c>
      <c r="F501" s="2141">
        <v>2</v>
      </c>
      <c r="G501" s="2143" t="s">
        <v>11771</v>
      </c>
      <c r="H501" s="2141"/>
      <c r="I501" s="2141" t="s">
        <v>272</v>
      </c>
      <c r="J501" s="2141" t="s">
        <v>11775</v>
      </c>
      <c r="K501" s="2144">
        <v>595868</v>
      </c>
      <c r="L501" s="2141" t="s">
        <v>251</v>
      </c>
      <c r="M501" s="2140">
        <v>44691</v>
      </c>
      <c r="N501" s="2140">
        <v>44726</v>
      </c>
      <c r="O501" s="2140">
        <v>44741</v>
      </c>
      <c r="P501" s="2143" t="s">
        <v>637</v>
      </c>
      <c r="Q501" s="2141"/>
      <c r="R501" s="2144">
        <v>654416</v>
      </c>
      <c r="S501" s="2144">
        <v>791843.36</v>
      </c>
      <c r="T501" s="2145"/>
      <c r="U501" s="2145"/>
      <c r="V501" s="2145"/>
      <c r="W501" s="2146">
        <v>44741</v>
      </c>
      <c r="X501" s="2260" t="s">
        <v>12419</v>
      </c>
      <c r="Y501" s="2140">
        <v>44762</v>
      </c>
      <c r="Z501" s="2140">
        <v>44789</v>
      </c>
      <c r="AA501" s="2140">
        <v>44902</v>
      </c>
      <c r="AB501" s="2109"/>
      <c r="AC501" s="2109" t="s">
        <v>1875</v>
      </c>
    </row>
    <row r="502" spans="1:32" ht="30">
      <c r="A502" s="2141" t="s">
        <v>3585</v>
      </c>
      <c r="B502" s="2143" t="s">
        <v>11571</v>
      </c>
      <c r="C502" s="2141" t="s">
        <v>58</v>
      </c>
      <c r="D502" s="2141" t="s">
        <v>4969</v>
      </c>
      <c r="E502" s="2142" t="s">
        <v>11572</v>
      </c>
      <c r="F502" s="2141">
        <v>3</v>
      </c>
      <c r="G502" s="2143" t="s">
        <v>11772</v>
      </c>
      <c r="H502" s="2141"/>
      <c r="I502" s="2141" t="s">
        <v>10914</v>
      </c>
      <c r="J502" s="2141" t="s">
        <v>11776</v>
      </c>
      <c r="K502" s="2144">
        <v>1567934</v>
      </c>
      <c r="L502" s="2141" t="s">
        <v>251</v>
      </c>
      <c r="M502" s="2140">
        <v>44691</v>
      </c>
      <c r="N502" s="2140">
        <v>44726</v>
      </c>
      <c r="O502" s="2140">
        <v>44784</v>
      </c>
      <c r="P502" s="2143" t="s">
        <v>5321</v>
      </c>
      <c r="Q502" s="2141"/>
      <c r="R502" s="2144">
        <v>1421384</v>
      </c>
      <c r="S502" s="2144">
        <v>1719874.64</v>
      </c>
      <c r="T502" s="2145"/>
      <c r="U502" s="2145"/>
      <c r="V502" s="2145"/>
      <c r="W502" s="2146">
        <v>44784</v>
      </c>
      <c r="X502" s="2260" t="s">
        <v>12743</v>
      </c>
      <c r="Y502" s="2140">
        <v>44824</v>
      </c>
      <c r="Z502" s="2140">
        <v>44852</v>
      </c>
      <c r="AA502" s="2140">
        <v>44894</v>
      </c>
      <c r="AB502" s="2109"/>
      <c r="AC502" s="2109" t="s">
        <v>1875</v>
      </c>
    </row>
    <row r="503" spans="1:32" ht="30">
      <c r="A503" s="2141" t="s">
        <v>3585</v>
      </c>
      <c r="B503" s="2143" t="s">
        <v>11571</v>
      </c>
      <c r="C503" s="2141" t="s">
        <v>58</v>
      </c>
      <c r="D503" s="2141" t="s">
        <v>4969</v>
      </c>
      <c r="E503" s="2142" t="s">
        <v>11572</v>
      </c>
      <c r="F503" s="2141">
        <v>4</v>
      </c>
      <c r="G503" s="2143" t="s">
        <v>10911</v>
      </c>
      <c r="H503" s="2141"/>
      <c r="I503" s="2141" t="s">
        <v>10913</v>
      </c>
      <c r="J503" s="2141"/>
      <c r="K503" s="2144">
        <v>270000</v>
      </c>
      <c r="L503" s="2141" t="s">
        <v>251</v>
      </c>
      <c r="M503" s="2140">
        <v>44691</v>
      </c>
      <c r="N503" s="2140">
        <v>44726</v>
      </c>
      <c r="O503" s="2140">
        <v>44741</v>
      </c>
      <c r="P503" s="2143" t="s">
        <v>12361</v>
      </c>
      <c r="Q503" s="2141"/>
      <c r="R503" s="2144">
        <v>172190</v>
      </c>
      <c r="S503" s="2144">
        <v>208349.9</v>
      </c>
      <c r="T503" s="2145"/>
      <c r="U503" s="2145"/>
      <c r="V503" s="2145"/>
      <c r="W503" s="2146">
        <v>44742</v>
      </c>
      <c r="X503" s="2260" t="s">
        <v>12421</v>
      </c>
      <c r="Y503" s="2140">
        <v>44771</v>
      </c>
      <c r="Z503" s="2140">
        <v>44789</v>
      </c>
      <c r="AA503" s="2140">
        <v>44841</v>
      </c>
      <c r="AB503" s="2109"/>
      <c r="AC503" s="2109" t="s">
        <v>1875</v>
      </c>
    </row>
    <row r="504" spans="1:32" ht="30">
      <c r="A504" s="2141" t="s">
        <v>3585</v>
      </c>
      <c r="B504" s="2143" t="s">
        <v>11571</v>
      </c>
      <c r="C504" s="2141" t="s">
        <v>58</v>
      </c>
      <c r="D504" s="2141" t="s">
        <v>4969</v>
      </c>
      <c r="E504" s="2142" t="s">
        <v>11572</v>
      </c>
      <c r="F504" s="2141">
        <v>5</v>
      </c>
      <c r="G504" s="2143" t="s">
        <v>11773</v>
      </c>
      <c r="H504" s="2141"/>
      <c r="I504" s="2141" t="s">
        <v>10914</v>
      </c>
      <c r="J504" s="2141"/>
      <c r="K504" s="2144">
        <v>2350000</v>
      </c>
      <c r="L504" s="2141" t="s">
        <v>251</v>
      </c>
      <c r="M504" s="2140">
        <v>44691</v>
      </c>
      <c r="N504" s="2140">
        <v>44726</v>
      </c>
      <c r="O504" s="2140">
        <v>44741</v>
      </c>
      <c r="P504" s="2143" t="s">
        <v>12361</v>
      </c>
      <c r="Q504" s="2141"/>
      <c r="R504" s="2144">
        <v>1334840</v>
      </c>
      <c r="S504" s="2144">
        <v>1615156.4</v>
      </c>
      <c r="T504" s="2145"/>
      <c r="U504" s="2145"/>
      <c r="V504" s="2145"/>
      <c r="W504" s="2146">
        <v>44742</v>
      </c>
      <c r="X504" s="2260" t="s">
        <v>12422</v>
      </c>
      <c r="Y504" s="2140">
        <v>44771</v>
      </c>
      <c r="Z504" s="2140">
        <v>44789</v>
      </c>
      <c r="AA504" s="2140">
        <v>44841</v>
      </c>
      <c r="AB504" s="2109"/>
      <c r="AC504" s="2109" t="s">
        <v>1875</v>
      </c>
    </row>
    <row r="505" spans="1:32" ht="15.75" thickBot="1">
      <c r="A505" s="2131" t="s">
        <v>3585</v>
      </c>
      <c r="B505" s="2133" t="s">
        <v>11571</v>
      </c>
      <c r="C505" s="2131" t="s">
        <v>58</v>
      </c>
      <c r="D505" s="2131" t="s">
        <v>4969</v>
      </c>
      <c r="E505" s="2132" t="s">
        <v>11572</v>
      </c>
      <c r="F505" s="2131">
        <v>6</v>
      </c>
      <c r="G505" s="2133" t="s">
        <v>10910</v>
      </c>
      <c r="H505" s="2131"/>
      <c r="I505" s="2131" t="s">
        <v>272</v>
      </c>
      <c r="J505" s="2131" t="s">
        <v>10916</v>
      </c>
      <c r="K505" s="2134">
        <v>1320000</v>
      </c>
      <c r="L505" s="2131" t="s">
        <v>251</v>
      </c>
      <c r="M505" s="2130">
        <v>44691</v>
      </c>
      <c r="N505" s="2130">
        <v>44726</v>
      </c>
      <c r="O505" s="2131"/>
      <c r="P505" s="2137" t="s">
        <v>9147</v>
      </c>
      <c r="Q505" s="2287" t="s">
        <v>12800</v>
      </c>
      <c r="R505" s="2134"/>
      <c r="S505" s="2134"/>
      <c r="T505" s="2135"/>
      <c r="U505" s="2135"/>
      <c r="V505" s="2135"/>
      <c r="W505" s="2134"/>
      <c r="X505" s="2134"/>
      <c r="Y505" s="2131"/>
      <c r="Z505" s="2130">
        <v>44743</v>
      </c>
      <c r="AA505" s="2131" t="s">
        <v>12068</v>
      </c>
      <c r="AB505" s="2131"/>
      <c r="AC505" s="2131"/>
    </row>
    <row r="506" spans="1:32" ht="30.75" thickTop="1">
      <c r="A506" s="365">
        <v>44663</v>
      </c>
      <c r="B506" s="2679" t="s">
        <v>11573</v>
      </c>
      <c r="C506" s="2678" t="s">
        <v>52</v>
      </c>
      <c r="D506" s="2678" t="s">
        <v>10114</v>
      </c>
      <c r="E506" s="175" t="s">
        <v>11574</v>
      </c>
      <c r="F506" s="2678"/>
      <c r="G506" s="2679"/>
      <c r="H506" s="2678"/>
      <c r="I506" s="650" t="s">
        <v>11575</v>
      </c>
      <c r="J506" s="2678" t="s">
        <v>11576</v>
      </c>
      <c r="K506" s="364">
        <v>99000000</v>
      </c>
      <c r="L506" s="2678" t="s">
        <v>251</v>
      </c>
      <c r="M506" s="365">
        <v>44673</v>
      </c>
      <c r="N506" s="365">
        <v>44708</v>
      </c>
      <c r="O506" s="365">
        <v>44715</v>
      </c>
      <c r="P506" s="2679" t="s">
        <v>12041</v>
      </c>
      <c r="Q506" s="2678"/>
      <c r="R506" s="364">
        <v>180000000</v>
      </c>
      <c r="S506" s="364">
        <v>217800000</v>
      </c>
      <c r="T506" s="1473"/>
      <c r="U506" s="1473"/>
      <c r="V506" s="1473"/>
      <c r="W506" s="681">
        <v>44715</v>
      </c>
      <c r="X506" s="364" t="s">
        <v>12056</v>
      </c>
      <c r="Y506" s="365">
        <v>44767</v>
      </c>
      <c r="Z506" s="365">
        <v>44769</v>
      </c>
      <c r="AA506" s="365">
        <v>45017</v>
      </c>
      <c r="AB506" s="1551">
        <v>44865</v>
      </c>
      <c r="AC506" s="1513"/>
    </row>
    <row r="507" spans="1:32" ht="30">
      <c r="A507" s="2140">
        <v>44663</v>
      </c>
      <c r="B507" s="2143" t="s">
        <v>11586</v>
      </c>
      <c r="C507" s="2141" t="s">
        <v>58</v>
      </c>
      <c r="D507" s="2141" t="s">
        <v>55</v>
      </c>
      <c r="E507" s="2142" t="s">
        <v>11587</v>
      </c>
      <c r="F507" s="2141"/>
      <c r="G507" s="2143"/>
      <c r="H507" s="2141"/>
      <c r="I507" s="2141" t="s">
        <v>4312</v>
      </c>
      <c r="J507" s="2141"/>
      <c r="K507" s="2144">
        <v>560000</v>
      </c>
      <c r="L507" s="2141" t="s">
        <v>112</v>
      </c>
      <c r="M507" s="2140">
        <v>44671</v>
      </c>
      <c r="N507" s="2140">
        <v>44679</v>
      </c>
      <c r="O507" s="2140">
        <v>44690</v>
      </c>
      <c r="P507" s="2143" t="s">
        <v>993</v>
      </c>
      <c r="Q507" s="2141"/>
      <c r="R507" s="2144">
        <v>357306</v>
      </c>
      <c r="S507" s="2144">
        <v>432339.06</v>
      </c>
      <c r="T507" s="2145"/>
      <c r="U507" s="2145"/>
      <c r="V507" s="2145"/>
      <c r="W507" s="2146">
        <v>44690</v>
      </c>
      <c r="X507" s="2260" t="s">
        <v>11781</v>
      </c>
      <c r="Y507" s="2140">
        <v>44719</v>
      </c>
      <c r="Z507" s="2140">
        <v>44720</v>
      </c>
      <c r="AA507" s="2140">
        <v>45449</v>
      </c>
      <c r="AB507" s="2109" t="s">
        <v>12065</v>
      </c>
      <c r="AC507" s="2109">
        <v>2023</v>
      </c>
      <c r="AD507" s="388" t="s">
        <v>9122</v>
      </c>
    </row>
    <row r="508" spans="1:32" ht="30">
      <c r="A508" s="2140">
        <v>44665</v>
      </c>
      <c r="B508" s="2143" t="s">
        <v>11588</v>
      </c>
      <c r="C508" s="2141" t="s">
        <v>58</v>
      </c>
      <c r="D508" s="2141" t="s">
        <v>4969</v>
      </c>
      <c r="E508" s="2142" t="s">
        <v>11589</v>
      </c>
      <c r="F508" s="2141"/>
      <c r="G508" s="2143"/>
      <c r="H508" s="2141"/>
      <c r="I508" s="2141" t="s">
        <v>62</v>
      </c>
      <c r="J508" s="2141" t="s">
        <v>11590</v>
      </c>
      <c r="K508" s="2144">
        <v>111000</v>
      </c>
      <c r="L508" s="2141" t="s">
        <v>112</v>
      </c>
      <c r="M508" s="2140">
        <v>44673</v>
      </c>
      <c r="N508" s="2140">
        <v>44684</v>
      </c>
      <c r="O508" s="2140">
        <v>44692</v>
      </c>
      <c r="P508" s="2143" t="s">
        <v>1728</v>
      </c>
      <c r="Q508" s="2141"/>
      <c r="R508" s="2144">
        <v>110960</v>
      </c>
      <c r="S508" s="2144">
        <v>134261.6</v>
      </c>
      <c r="T508" s="2145"/>
      <c r="U508" s="2145"/>
      <c r="V508" s="2145"/>
      <c r="W508" s="2146">
        <v>44692</v>
      </c>
      <c r="X508" s="2260" t="s">
        <v>11830</v>
      </c>
      <c r="Y508" s="2140">
        <v>44708</v>
      </c>
      <c r="Z508" s="2140">
        <v>44711</v>
      </c>
      <c r="AA508" s="2140">
        <v>44764</v>
      </c>
      <c r="AB508" s="2140">
        <v>44872</v>
      </c>
      <c r="AC508" s="2109" t="s">
        <v>1875</v>
      </c>
    </row>
    <row r="509" spans="1:32" ht="30">
      <c r="A509" s="2140">
        <v>44665</v>
      </c>
      <c r="B509" s="2143" t="s">
        <v>11593</v>
      </c>
      <c r="C509" s="2141" t="s">
        <v>58</v>
      </c>
      <c r="D509" s="2141" t="s">
        <v>4969</v>
      </c>
      <c r="E509" s="2142" t="s">
        <v>11594</v>
      </c>
      <c r="F509" s="2141"/>
      <c r="G509" s="2143"/>
      <c r="H509" s="2141"/>
      <c r="I509" s="2141" t="s">
        <v>1798</v>
      </c>
      <c r="J509" s="2141"/>
      <c r="K509" s="2144">
        <v>155000</v>
      </c>
      <c r="L509" s="2141" t="s">
        <v>112</v>
      </c>
      <c r="M509" s="2140">
        <v>44673</v>
      </c>
      <c r="N509" s="2140">
        <v>44684</v>
      </c>
      <c r="O509" s="2140">
        <v>44692</v>
      </c>
      <c r="P509" s="2143" t="s">
        <v>11782</v>
      </c>
      <c r="Q509" s="2141"/>
      <c r="R509" s="2144">
        <v>173390</v>
      </c>
      <c r="S509" s="2144">
        <v>209801.9</v>
      </c>
      <c r="T509" s="2145"/>
      <c r="U509" s="2145"/>
      <c r="V509" s="2145"/>
      <c r="W509" s="2146">
        <v>44693</v>
      </c>
      <c r="X509" s="2260" t="s">
        <v>11835</v>
      </c>
      <c r="Y509" s="2140">
        <v>44721</v>
      </c>
      <c r="Z509" s="2140">
        <v>44727</v>
      </c>
      <c r="AA509" s="2140">
        <v>44763</v>
      </c>
      <c r="AB509" s="2140">
        <v>44795</v>
      </c>
      <c r="AC509" s="2109" t="s">
        <v>1875</v>
      </c>
    </row>
    <row r="510" spans="1:32" ht="30">
      <c r="A510" s="2140">
        <v>44670</v>
      </c>
      <c r="B510" s="2143" t="s">
        <v>11605</v>
      </c>
      <c r="C510" s="2141" t="s">
        <v>58</v>
      </c>
      <c r="D510" s="2141" t="s">
        <v>4969</v>
      </c>
      <c r="E510" s="2142" t="s">
        <v>11606</v>
      </c>
      <c r="F510" s="2141">
        <v>1</v>
      </c>
      <c r="G510" s="2143" t="s">
        <v>11754</v>
      </c>
      <c r="H510" s="2141"/>
      <c r="I510" s="2141" t="s">
        <v>3271</v>
      </c>
      <c r="J510" s="2141" t="s">
        <v>11757</v>
      </c>
      <c r="K510" s="2144">
        <v>362000</v>
      </c>
      <c r="L510" s="2141" t="s">
        <v>112</v>
      </c>
      <c r="M510" s="2140">
        <v>44673</v>
      </c>
      <c r="N510" s="2140">
        <v>44685</v>
      </c>
      <c r="O510" s="2140">
        <v>44692</v>
      </c>
      <c r="P510" s="2143" t="s">
        <v>5214</v>
      </c>
      <c r="Q510" s="2141"/>
      <c r="R510" s="2144">
        <v>349906</v>
      </c>
      <c r="S510" s="2144">
        <v>423386</v>
      </c>
      <c r="T510" s="2145"/>
      <c r="U510" s="2145"/>
      <c r="V510" s="2145"/>
      <c r="W510" s="2146">
        <v>44692</v>
      </c>
      <c r="X510" s="2260" t="s">
        <v>11816</v>
      </c>
      <c r="Y510" s="2140">
        <v>44708</v>
      </c>
      <c r="Z510" s="2140">
        <v>44711</v>
      </c>
      <c r="AA510" s="2140">
        <v>44722</v>
      </c>
      <c r="AB510" s="2464">
        <v>44802</v>
      </c>
      <c r="AC510" s="2109" t="s">
        <v>1875</v>
      </c>
    </row>
    <row r="511" spans="1:32" ht="30">
      <c r="A511" s="2140">
        <v>44670</v>
      </c>
      <c r="B511" s="2143" t="s">
        <v>11605</v>
      </c>
      <c r="C511" s="2141" t="s">
        <v>58</v>
      </c>
      <c r="D511" s="2141" t="s">
        <v>4969</v>
      </c>
      <c r="E511" s="2142" t="s">
        <v>11606</v>
      </c>
      <c r="F511" s="2141">
        <v>2</v>
      </c>
      <c r="G511" s="2143" t="s">
        <v>11755</v>
      </c>
      <c r="H511" s="2141"/>
      <c r="I511" s="2141" t="s">
        <v>3271</v>
      </c>
      <c r="J511" s="2141" t="s">
        <v>11756</v>
      </c>
      <c r="K511" s="2144">
        <v>152400</v>
      </c>
      <c r="L511" s="2141" t="s">
        <v>112</v>
      </c>
      <c r="M511" s="2140">
        <v>44673</v>
      </c>
      <c r="N511" s="2140">
        <v>44685</v>
      </c>
      <c r="O511" s="2140">
        <v>44692</v>
      </c>
      <c r="P511" s="2143" t="s">
        <v>11196</v>
      </c>
      <c r="Q511" s="2141"/>
      <c r="R511" s="2144">
        <v>152340</v>
      </c>
      <c r="S511" s="2144">
        <v>184331.4</v>
      </c>
      <c r="T511" s="2145"/>
      <c r="U511" s="2145"/>
      <c r="V511" s="2145"/>
      <c r="W511" s="2146">
        <v>44692</v>
      </c>
      <c r="X511" s="2260" t="s">
        <v>11817</v>
      </c>
      <c r="Y511" s="2140">
        <v>44722</v>
      </c>
      <c r="Z511" s="2140">
        <v>44727</v>
      </c>
      <c r="AA511" s="2140">
        <v>44764</v>
      </c>
      <c r="AB511" s="2140">
        <v>44865</v>
      </c>
      <c r="AC511" s="2109" t="s">
        <v>1875</v>
      </c>
    </row>
    <row r="512" spans="1:32">
      <c r="A512" s="2125" t="s">
        <v>3585</v>
      </c>
      <c r="B512" s="2127" t="s">
        <v>11607</v>
      </c>
      <c r="C512" s="2125" t="s">
        <v>9694</v>
      </c>
      <c r="D512" s="2125" t="s">
        <v>4969</v>
      </c>
      <c r="E512" s="2126" t="s">
        <v>11608</v>
      </c>
      <c r="F512" s="2125"/>
      <c r="G512" s="2127"/>
      <c r="H512" s="2125"/>
      <c r="I512" s="2125" t="s">
        <v>7069</v>
      </c>
      <c r="J512" s="2125" t="s">
        <v>10874</v>
      </c>
      <c r="K512" s="2128">
        <v>6061532</v>
      </c>
      <c r="L512" s="2125" t="s">
        <v>251</v>
      </c>
      <c r="M512" s="2124">
        <v>44706</v>
      </c>
      <c r="N512" s="2124">
        <v>44742</v>
      </c>
      <c r="O512" s="2125"/>
      <c r="P512" s="2136" t="s">
        <v>9114</v>
      </c>
      <c r="Q512" s="2180" t="s">
        <v>12640</v>
      </c>
      <c r="R512" s="2128"/>
      <c r="S512" s="2128"/>
      <c r="T512" s="2129"/>
      <c r="U512" s="2129"/>
      <c r="V512" s="2129"/>
      <c r="W512" s="2128"/>
      <c r="X512" s="2128"/>
      <c r="Y512" s="2125"/>
      <c r="Z512" s="2124">
        <v>44795</v>
      </c>
      <c r="AA512" s="2127" t="s">
        <v>12685</v>
      </c>
      <c r="AB512" s="2125"/>
      <c r="AC512" s="2125"/>
    </row>
    <row r="513" spans="1:33" ht="30">
      <c r="A513" s="2141" t="s">
        <v>3585</v>
      </c>
      <c r="B513" s="2143" t="s">
        <v>11611</v>
      </c>
      <c r="C513" s="2141" t="s">
        <v>58</v>
      </c>
      <c r="D513" s="2141" t="s">
        <v>4969</v>
      </c>
      <c r="E513" s="2142" t="s">
        <v>11612</v>
      </c>
      <c r="F513" s="2141"/>
      <c r="G513" s="2143"/>
      <c r="H513" s="2141"/>
      <c r="I513" s="2141" t="s">
        <v>756</v>
      </c>
      <c r="J513" s="2141" t="s">
        <v>11535</v>
      </c>
      <c r="K513" s="2144">
        <v>176000</v>
      </c>
      <c r="L513" s="2141" t="s">
        <v>112</v>
      </c>
      <c r="M513" s="2140">
        <v>44673</v>
      </c>
      <c r="N513" s="2140">
        <v>44684</v>
      </c>
      <c r="O513" s="2140">
        <v>44692</v>
      </c>
      <c r="P513" s="2143" t="s">
        <v>800</v>
      </c>
      <c r="Q513" s="2141"/>
      <c r="R513" s="2144">
        <v>138498</v>
      </c>
      <c r="S513" s="2144">
        <v>167582.57999999999</v>
      </c>
      <c r="T513" s="2145"/>
      <c r="U513" s="2145"/>
      <c r="V513" s="2145"/>
      <c r="W513" s="2146">
        <v>44693</v>
      </c>
      <c r="X513" s="2260" t="s">
        <v>11834</v>
      </c>
      <c r="Y513" s="2140">
        <v>44720</v>
      </c>
      <c r="Z513" s="2140">
        <v>44720</v>
      </c>
      <c r="AA513" s="2140">
        <v>44776</v>
      </c>
      <c r="AB513" s="2140">
        <v>44844</v>
      </c>
      <c r="AC513" s="2109" t="s">
        <v>1875</v>
      </c>
    </row>
    <row r="514" spans="1:33" ht="30">
      <c r="A514" s="2140">
        <v>44656</v>
      </c>
      <c r="B514" s="2143" t="s">
        <v>11615</v>
      </c>
      <c r="C514" s="2141" t="s">
        <v>58</v>
      </c>
      <c r="D514" s="2141" t="s">
        <v>4969</v>
      </c>
      <c r="E514" s="2142" t="s">
        <v>11616</v>
      </c>
      <c r="F514" s="2141"/>
      <c r="G514" s="2143"/>
      <c r="H514" s="2141"/>
      <c r="I514" s="2141" t="s">
        <v>2060</v>
      </c>
      <c r="J514" s="2141" t="s">
        <v>11617</v>
      </c>
      <c r="K514" s="2144">
        <v>3960000</v>
      </c>
      <c r="L514" s="2141" t="s">
        <v>251</v>
      </c>
      <c r="M514" s="2140">
        <v>44673</v>
      </c>
      <c r="N514" s="2140">
        <v>44718</v>
      </c>
      <c r="O514" s="2140">
        <v>44741</v>
      </c>
      <c r="P514" s="2143" t="s">
        <v>2859</v>
      </c>
      <c r="Q514" s="2141"/>
      <c r="R514" s="2144">
        <v>3426555</v>
      </c>
      <c r="S514" s="2144">
        <v>4146132</v>
      </c>
      <c r="T514" s="2145"/>
      <c r="U514" s="2145"/>
      <c r="V514" s="2145"/>
      <c r="W514" s="2146">
        <v>44742</v>
      </c>
      <c r="X514" s="2260" t="s">
        <v>12420</v>
      </c>
      <c r="Y514" s="2140">
        <v>44760</v>
      </c>
      <c r="Z514" s="2140">
        <v>44761</v>
      </c>
      <c r="AA514" s="2140">
        <v>44844</v>
      </c>
      <c r="AB514" s="2109"/>
      <c r="AC514" s="2109" t="s">
        <v>1875</v>
      </c>
    </row>
    <row r="515" spans="1:33" ht="30">
      <c r="A515" s="2140">
        <v>44670</v>
      </c>
      <c r="B515" s="2143" t="s">
        <v>11619</v>
      </c>
      <c r="C515" s="2141" t="s">
        <v>58</v>
      </c>
      <c r="D515" s="2141" t="s">
        <v>4969</v>
      </c>
      <c r="E515" s="2142" t="s">
        <v>9346</v>
      </c>
      <c r="F515" s="2141"/>
      <c r="G515" s="2143"/>
      <c r="H515" s="2141"/>
      <c r="I515" s="2141" t="s">
        <v>3330</v>
      </c>
      <c r="J515" s="2141" t="s">
        <v>11620</v>
      </c>
      <c r="K515" s="2144">
        <v>58000</v>
      </c>
      <c r="L515" s="2141" t="s">
        <v>112</v>
      </c>
      <c r="M515" s="2140">
        <v>44676</v>
      </c>
      <c r="N515" s="2140">
        <v>44685</v>
      </c>
      <c r="O515" s="2140">
        <v>44698</v>
      </c>
      <c r="P515" s="2143" t="s">
        <v>11876</v>
      </c>
      <c r="Q515" s="2141"/>
      <c r="R515" s="2144">
        <v>67300</v>
      </c>
      <c r="S515" s="2144">
        <v>81433</v>
      </c>
      <c r="T515" s="2145"/>
      <c r="U515" s="2145"/>
      <c r="V515" s="2145"/>
      <c r="W515" s="2146">
        <v>44698</v>
      </c>
      <c r="X515" s="2260" t="s">
        <v>11925</v>
      </c>
      <c r="Y515" s="2140">
        <v>44722</v>
      </c>
      <c r="Z515" s="2140">
        <v>44729</v>
      </c>
      <c r="AA515" s="2140">
        <v>44778</v>
      </c>
      <c r="AB515" s="2140">
        <v>44845</v>
      </c>
      <c r="AC515" s="2109" t="s">
        <v>1875</v>
      </c>
    </row>
    <row r="516" spans="1:33" ht="30">
      <c r="A516" s="2140">
        <v>44659</v>
      </c>
      <c r="B516" s="2143" t="s">
        <v>11622</v>
      </c>
      <c r="C516" s="2141" t="s">
        <v>58</v>
      </c>
      <c r="D516" s="2141" t="s">
        <v>4969</v>
      </c>
      <c r="E516" s="2142" t="s">
        <v>11623</v>
      </c>
      <c r="F516" s="2141"/>
      <c r="G516" s="2143"/>
      <c r="H516" s="2141"/>
      <c r="I516" s="2141" t="s">
        <v>2579</v>
      </c>
      <c r="J516" s="2141" t="s">
        <v>11624</v>
      </c>
      <c r="K516" s="2144">
        <v>837125</v>
      </c>
      <c r="L516" s="2141" t="s">
        <v>251</v>
      </c>
      <c r="M516" s="2140">
        <v>44685</v>
      </c>
      <c r="N516" s="2140">
        <v>44718</v>
      </c>
      <c r="O516" s="2140">
        <v>44736</v>
      </c>
      <c r="P516" s="2143" t="s">
        <v>12361</v>
      </c>
      <c r="Q516" s="2141"/>
      <c r="R516" s="2144">
        <v>916925</v>
      </c>
      <c r="S516" s="2144">
        <v>1109479.25</v>
      </c>
      <c r="T516" s="2145"/>
      <c r="U516" s="2145"/>
      <c r="V516" s="2145"/>
      <c r="W516" s="2146">
        <v>44736</v>
      </c>
      <c r="X516" s="2260" t="s">
        <v>12344</v>
      </c>
      <c r="Y516" s="2140">
        <v>44769</v>
      </c>
      <c r="Z516" s="2140">
        <v>44789</v>
      </c>
      <c r="AA516" s="2140">
        <v>44909</v>
      </c>
      <c r="AB516" s="2109"/>
      <c r="AC516" s="2109" t="s">
        <v>1875</v>
      </c>
    </row>
    <row r="517" spans="1:33">
      <c r="A517" s="2140">
        <v>44663</v>
      </c>
      <c r="B517" s="2143" t="s">
        <v>11628</v>
      </c>
      <c r="C517" s="2141" t="s">
        <v>2434</v>
      </c>
      <c r="D517" s="2141" t="s">
        <v>219</v>
      </c>
      <c r="E517" s="2142" t="s">
        <v>11629</v>
      </c>
      <c r="F517" s="2141"/>
      <c r="G517" s="2143"/>
      <c r="H517" s="2141"/>
      <c r="I517" s="2141" t="s">
        <v>642</v>
      </c>
      <c r="J517" s="2141"/>
      <c r="K517" s="2144">
        <v>13817636</v>
      </c>
      <c r="L517" s="2141" t="s">
        <v>251</v>
      </c>
      <c r="M517" s="2140">
        <v>44683</v>
      </c>
      <c r="N517" s="2140">
        <v>44718</v>
      </c>
      <c r="O517" s="2140">
        <v>44753</v>
      </c>
      <c r="P517" s="2143" t="s">
        <v>12310</v>
      </c>
      <c r="Q517" s="2141"/>
      <c r="R517" s="2144">
        <v>13817636</v>
      </c>
      <c r="S517" s="2144">
        <v>16719339.560000001</v>
      </c>
      <c r="T517" s="2145"/>
      <c r="U517" s="2145"/>
      <c r="V517" s="2145"/>
      <c r="W517" s="2146">
        <v>44756</v>
      </c>
      <c r="X517" s="2144" t="s">
        <v>12472</v>
      </c>
      <c r="Y517" s="2140">
        <v>44781</v>
      </c>
      <c r="Z517" s="2140">
        <v>44806</v>
      </c>
      <c r="AA517" s="2140">
        <v>46241</v>
      </c>
      <c r="AB517" s="2109" t="s">
        <v>12666</v>
      </c>
      <c r="AC517" s="2109">
        <v>2023</v>
      </c>
      <c r="AD517" s="388">
        <v>2024</v>
      </c>
      <c r="AE517" s="388">
        <v>2025</v>
      </c>
      <c r="AF517" s="388" t="s">
        <v>12667</v>
      </c>
    </row>
    <row r="518" spans="1:33">
      <c r="A518" s="2140">
        <v>44670</v>
      </c>
      <c r="B518" s="2143" t="s">
        <v>11630</v>
      </c>
      <c r="C518" s="2141" t="s">
        <v>14</v>
      </c>
      <c r="D518" s="2141" t="s">
        <v>13</v>
      </c>
      <c r="E518" s="2142" t="s">
        <v>11631</v>
      </c>
      <c r="F518" s="2141"/>
      <c r="G518" s="2143"/>
      <c r="H518" s="2141"/>
      <c r="I518" s="2141" t="s">
        <v>2055</v>
      </c>
      <c r="J518" s="2141"/>
      <c r="K518" s="2144">
        <v>646000</v>
      </c>
      <c r="L518" s="2141" t="s">
        <v>112</v>
      </c>
      <c r="M518" s="2140">
        <v>44680</v>
      </c>
      <c r="N518" s="2140">
        <v>44687</v>
      </c>
      <c r="O518" s="2140">
        <v>44694</v>
      </c>
      <c r="P518" s="2143" t="s">
        <v>5900</v>
      </c>
      <c r="Q518" s="2141"/>
      <c r="R518" s="2144">
        <v>640000</v>
      </c>
      <c r="S518" s="2144">
        <v>774400</v>
      </c>
      <c r="T518" s="2145"/>
      <c r="U518" s="2145"/>
      <c r="V518" s="2145"/>
      <c r="W518" s="2146">
        <v>44694</v>
      </c>
      <c r="X518" s="2144" t="s">
        <v>11870</v>
      </c>
      <c r="Y518" s="2140">
        <v>44735</v>
      </c>
      <c r="Z518" s="2140">
        <v>44735</v>
      </c>
      <c r="AA518" s="2140">
        <v>46568</v>
      </c>
      <c r="AB518" s="2109" t="s">
        <v>12336</v>
      </c>
      <c r="AC518" s="2109">
        <v>2023</v>
      </c>
      <c r="AD518" s="388">
        <v>2024</v>
      </c>
      <c r="AE518" s="388">
        <v>2025</v>
      </c>
      <c r="AF518" s="388">
        <v>2026</v>
      </c>
      <c r="AG518" s="388" t="s">
        <v>12337</v>
      </c>
    </row>
    <row r="519" spans="1:33" ht="30">
      <c r="A519" s="2140">
        <v>44670</v>
      </c>
      <c r="B519" s="2143" t="s">
        <v>11632</v>
      </c>
      <c r="C519" s="2141" t="s">
        <v>58</v>
      </c>
      <c r="D519" s="2141" t="s">
        <v>4969</v>
      </c>
      <c r="E519" s="2142" t="s">
        <v>11633</v>
      </c>
      <c r="F519" s="2141"/>
      <c r="G519" s="2143"/>
      <c r="H519" s="2141"/>
      <c r="I519" s="2141" t="s">
        <v>1924</v>
      </c>
      <c r="J519" s="2141" t="s">
        <v>11634</v>
      </c>
      <c r="K519" s="2144">
        <v>201289</v>
      </c>
      <c r="L519" s="2141" t="s">
        <v>112</v>
      </c>
      <c r="M519" s="2140">
        <v>44678</v>
      </c>
      <c r="N519" s="2140">
        <v>44686</v>
      </c>
      <c r="O519" s="2140">
        <v>44697</v>
      </c>
      <c r="P519" s="2143" t="s">
        <v>7642</v>
      </c>
      <c r="Q519" s="2141"/>
      <c r="R519" s="2144">
        <v>92800</v>
      </c>
      <c r="S519" s="2144">
        <v>112288</v>
      </c>
      <c r="T519" s="2145"/>
      <c r="U519" s="2145"/>
      <c r="V519" s="2145"/>
      <c r="W519" s="2146">
        <v>44697</v>
      </c>
      <c r="X519" s="2260" t="s">
        <v>11889</v>
      </c>
      <c r="Y519" s="2140">
        <v>44722</v>
      </c>
      <c r="Z519" s="2140">
        <v>44727</v>
      </c>
      <c r="AA519" s="2140">
        <v>44862</v>
      </c>
      <c r="AB519" s="2140">
        <v>44844</v>
      </c>
      <c r="AC519" s="2109" t="s">
        <v>1875</v>
      </c>
    </row>
    <row r="520" spans="1:33" ht="30">
      <c r="A520" s="2141" t="s">
        <v>3585</v>
      </c>
      <c r="B520" s="2143" t="s">
        <v>11638</v>
      </c>
      <c r="C520" s="2141" t="s">
        <v>58</v>
      </c>
      <c r="D520" s="2141" t="s">
        <v>4969</v>
      </c>
      <c r="E520" s="2142" t="s">
        <v>11639</v>
      </c>
      <c r="F520" s="2141"/>
      <c r="G520" s="2143"/>
      <c r="H520" s="2141"/>
      <c r="I520" s="2141" t="s">
        <v>1950</v>
      </c>
      <c r="J520" s="2141" t="s">
        <v>10259</v>
      </c>
      <c r="K520" s="2144">
        <v>124000</v>
      </c>
      <c r="L520" s="2141" t="s">
        <v>112</v>
      </c>
      <c r="M520" s="2140">
        <v>44678</v>
      </c>
      <c r="N520" s="2140">
        <v>44687</v>
      </c>
      <c r="O520" s="2140">
        <v>44698</v>
      </c>
      <c r="P520" s="2143" t="s">
        <v>11559</v>
      </c>
      <c r="Q520" s="2141"/>
      <c r="R520" s="2144">
        <v>63243</v>
      </c>
      <c r="S520" s="2144">
        <v>76524</v>
      </c>
      <c r="T520" s="2145"/>
      <c r="U520" s="2145"/>
      <c r="V520" s="2145"/>
      <c r="W520" s="2146">
        <v>44698</v>
      </c>
      <c r="X520" s="2260" t="s">
        <v>11926</v>
      </c>
      <c r="Y520" s="2140">
        <v>44722</v>
      </c>
      <c r="Z520" s="2140">
        <v>44727</v>
      </c>
      <c r="AA520" s="2140">
        <v>44778</v>
      </c>
      <c r="AB520" s="2140">
        <v>44845</v>
      </c>
      <c r="AC520" s="2109" t="s">
        <v>1875</v>
      </c>
    </row>
    <row r="521" spans="1:33">
      <c r="A521" s="2140">
        <v>44672</v>
      </c>
      <c r="B521" s="2143" t="s">
        <v>11643</v>
      </c>
      <c r="C521" s="2141" t="s">
        <v>14</v>
      </c>
      <c r="D521" s="2141" t="s">
        <v>13</v>
      </c>
      <c r="E521" s="2142" t="s">
        <v>11644</v>
      </c>
      <c r="F521" s="2141"/>
      <c r="G521" s="2143"/>
      <c r="H521" s="2141"/>
      <c r="I521" s="2141" t="s">
        <v>2055</v>
      </c>
      <c r="J521" s="2141"/>
      <c r="K521" s="2144">
        <v>1932000</v>
      </c>
      <c r="L521" s="2141" t="s">
        <v>216</v>
      </c>
      <c r="M521" s="2140">
        <v>44685</v>
      </c>
      <c r="N521" s="2140">
        <v>44711</v>
      </c>
      <c r="O521" s="2140">
        <v>44721</v>
      </c>
      <c r="P521" s="2143" t="s">
        <v>12072</v>
      </c>
      <c r="Q521" s="2141"/>
      <c r="R521" s="2144">
        <v>1932000</v>
      </c>
      <c r="S521" s="2144">
        <v>2337720</v>
      </c>
      <c r="T521" s="2145"/>
      <c r="U521" s="2145"/>
      <c r="V521" s="2145"/>
      <c r="W521" s="2146">
        <v>44721</v>
      </c>
      <c r="X521" s="2144" t="s">
        <v>12100</v>
      </c>
      <c r="Y521" s="2140">
        <v>44742</v>
      </c>
      <c r="Z521" s="2140">
        <v>44770</v>
      </c>
      <c r="AA521" s="2140">
        <v>45473</v>
      </c>
      <c r="AB521" s="2464">
        <v>44865</v>
      </c>
      <c r="AC521" s="2106"/>
    </row>
    <row r="522" spans="1:33">
      <c r="A522" s="2140">
        <v>44676</v>
      </c>
      <c r="B522" s="2143" t="s">
        <v>11655</v>
      </c>
      <c r="C522" s="2141" t="s">
        <v>2250</v>
      </c>
      <c r="D522" s="2141" t="s">
        <v>1416</v>
      </c>
      <c r="E522" s="2142" t="s">
        <v>3365</v>
      </c>
      <c r="F522" s="2141"/>
      <c r="G522" s="2143"/>
      <c r="H522" s="2141"/>
      <c r="I522" s="2141" t="s">
        <v>1422</v>
      </c>
      <c r="J522" s="2141"/>
      <c r="K522" s="2144">
        <v>600000</v>
      </c>
      <c r="L522" s="2141" t="s">
        <v>112</v>
      </c>
      <c r="M522" s="2140">
        <v>44679</v>
      </c>
      <c r="N522" s="2140">
        <v>44687</v>
      </c>
      <c r="O522" s="2140">
        <v>44698</v>
      </c>
      <c r="P522" s="2143" t="s">
        <v>3381</v>
      </c>
      <c r="Q522" s="2141"/>
      <c r="R522" s="2144">
        <v>419157</v>
      </c>
      <c r="S522" s="2144">
        <v>463800</v>
      </c>
      <c r="T522" s="2145"/>
      <c r="U522" s="2145"/>
      <c r="V522" s="2145"/>
      <c r="W522" s="2146">
        <v>44698</v>
      </c>
      <c r="X522" s="2144" t="s">
        <v>11927</v>
      </c>
      <c r="Y522" s="2140">
        <v>44713</v>
      </c>
      <c r="Z522" s="2140">
        <v>44715</v>
      </c>
      <c r="AA522" s="2140">
        <v>44727</v>
      </c>
      <c r="AB522" s="2140">
        <v>44767</v>
      </c>
      <c r="AC522" s="2106"/>
    </row>
    <row r="523" spans="1:33" ht="30">
      <c r="A523" s="2140">
        <v>44677</v>
      </c>
      <c r="B523" s="2143" t="s">
        <v>11665</v>
      </c>
      <c r="C523" s="2141" t="s">
        <v>58</v>
      </c>
      <c r="D523" s="2141" t="s">
        <v>4969</v>
      </c>
      <c r="E523" s="2142" t="s">
        <v>11666</v>
      </c>
      <c r="F523" s="2141"/>
      <c r="G523" s="2143"/>
      <c r="H523" s="2141"/>
      <c r="I523" s="2141" t="s">
        <v>275</v>
      </c>
      <c r="J523" s="2141"/>
      <c r="K523" s="2144">
        <v>259000</v>
      </c>
      <c r="L523" s="2141" t="s">
        <v>112</v>
      </c>
      <c r="M523" s="2140">
        <v>44680</v>
      </c>
      <c r="N523" s="2140">
        <v>44693</v>
      </c>
      <c r="O523" s="2140">
        <v>44725</v>
      </c>
      <c r="P523" s="2143" t="s">
        <v>5940</v>
      </c>
      <c r="Q523" s="2141"/>
      <c r="R523" s="2144">
        <v>183400</v>
      </c>
      <c r="S523" s="2144">
        <v>221914</v>
      </c>
      <c r="T523" s="2145"/>
      <c r="U523" s="2145"/>
      <c r="V523" s="2145"/>
      <c r="W523" s="2146">
        <v>44725</v>
      </c>
      <c r="X523" s="2260" t="s">
        <v>12122</v>
      </c>
      <c r="Y523" s="2271">
        <v>44755</v>
      </c>
      <c r="Z523" s="2140">
        <v>44761</v>
      </c>
      <c r="AA523" s="2140">
        <v>44811</v>
      </c>
      <c r="AB523" s="2109"/>
      <c r="AC523" s="2109" t="s">
        <v>1875</v>
      </c>
    </row>
    <row r="524" spans="1:33" ht="30">
      <c r="A524" s="2140">
        <v>44678</v>
      </c>
      <c r="B524" s="2143" t="s">
        <v>11667</v>
      </c>
      <c r="C524" s="2141" t="s">
        <v>11687</v>
      </c>
      <c r="D524" s="2141" t="s">
        <v>9008</v>
      </c>
      <c r="E524" s="2142" t="s">
        <v>11668</v>
      </c>
      <c r="F524" s="2141"/>
      <c r="G524" s="2143"/>
      <c r="H524" s="2141"/>
      <c r="I524" s="2141" t="s">
        <v>62</v>
      </c>
      <c r="J524" s="2141"/>
      <c r="K524" s="2144">
        <v>200000</v>
      </c>
      <c r="L524" s="2141" t="s">
        <v>112</v>
      </c>
      <c r="M524" s="2140">
        <v>44680</v>
      </c>
      <c r="N524" s="2140">
        <v>44691</v>
      </c>
      <c r="O524" s="2140">
        <v>44714</v>
      </c>
      <c r="P524" s="2143" t="s">
        <v>1728</v>
      </c>
      <c r="Q524" s="2141"/>
      <c r="R524" s="2144">
        <v>190145</v>
      </c>
      <c r="S524" s="2144">
        <v>230075.45</v>
      </c>
      <c r="T524" s="2145"/>
      <c r="U524" s="2145"/>
      <c r="V524" s="2145"/>
      <c r="W524" s="2146">
        <v>44714</v>
      </c>
      <c r="X524" s="2260" t="s">
        <v>12044</v>
      </c>
      <c r="Y524" s="2140">
        <v>44746</v>
      </c>
      <c r="Z524" s="2140">
        <v>44761</v>
      </c>
      <c r="AA524" s="2140">
        <v>44802</v>
      </c>
      <c r="AB524" s="2140">
        <v>44845</v>
      </c>
      <c r="AC524" s="2109" t="s">
        <v>1875</v>
      </c>
    </row>
    <row r="525" spans="1:33">
      <c r="A525" s="2124">
        <v>44679</v>
      </c>
      <c r="B525" s="2127" t="s">
        <v>11669</v>
      </c>
      <c r="C525" s="2125" t="s">
        <v>69</v>
      </c>
      <c r="D525" s="2125" t="s">
        <v>70</v>
      </c>
      <c r="E525" s="2126" t="s">
        <v>11670</v>
      </c>
      <c r="F525" s="2125">
        <v>1</v>
      </c>
      <c r="G525" s="2642" t="s">
        <v>6790</v>
      </c>
      <c r="H525" s="2085"/>
      <c r="I525" s="2125" t="s">
        <v>3435</v>
      </c>
      <c r="J525" s="2125"/>
      <c r="K525" s="2128">
        <v>2265603</v>
      </c>
      <c r="L525" s="2125" t="s">
        <v>251</v>
      </c>
      <c r="M525" s="2124">
        <v>44683</v>
      </c>
      <c r="N525" s="2124">
        <v>44718</v>
      </c>
      <c r="O525" s="2125"/>
      <c r="P525" s="2136" t="s">
        <v>304</v>
      </c>
      <c r="Q525" s="2125"/>
      <c r="R525" s="2128"/>
      <c r="S525" s="2128"/>
      <c r="T525" s="2094"/>
      <c r="U525" s="2094"/>
      <c r="V525" s="2094"/>
      <c r="W525" s="2128"/>
      <c r="X525" s="2128"/>
      <c r="Y525" s="2125"/>
      <c r="Z525" s="2124">
        <v>44720</v>
      </c>
      <c r="AA525" s="2125" t="s">
        <v>12068</v>
      </c>
      <c r="AB525" s="2125"/>
      <c r="AC525" s="2125"/>
    </row>
    <row r="526" spans="1:33" ht="15.75" thickBot="1">
      <c r="A526" s="643">
        <v>44679</v>
      </c>
      <c r="B526" s="1533" t="s">
        <v>11671</v>
      </c>
      <c r="C526" s="639" t="s">
        <v>69</v>
      </c>
      <c r="D526" s="639" t="s">
        <v>70</v>
      </c>
      <c r="E526" s="640" t="s">
        <v>11672</v>
      </c>
      <c r="F526" s="639"/>
      <c r="G526" s="1533"/>
      <c r="H526" s="639"/>
      <c r="I526" s="639" t="s">
        <v>7224</v>
      </c>
      <c r="J526" s="639"/>
      <c r="K526" s="645">
        <v>2380000</v>
      </c>
      <c r="L526" s="639" t="s">
        <v>216</v>
      </c>
      <c r="M526" s="643">
        <v>44704</v>
      </c>
      <c r="N526" s="643">
        <v>44721</v>
      </c>
      <c r="O526" s="639"/>
      <c r="P526" s="644" t="s">
        <v>9147</v>
      </c>
      <c r="Q526" s="831"/>
      <c r="R526" s="645"/>
      <c r="S526" s="645"/>
      <c r="T526" s="1534"/>
      <c r="U526" s="1534"/>
      <c r="V526" s="1534"/>
      <c r="W526" s="645"/>
      <c r="X526" s="645"/>
      <c r="Y526" s="639"/>
      <c r="Z526" s="643">
        <v>44739</v>
      </c>
      <c r="AA526" s="639" t="s">
        <v>12068</v>
      </c>
      <c r="AB526" s="639"/>
      <c r="AC526" s="639"/>
    </row>
    <row r="527" spans="1:33" ht="15.75" thickTop="1">
      <c r="A527" s="474">
        <v>44679</v>
      </c>
      <c r="B527" s="1420" t="s">
        <v>11673</v>
      </c>
      <c r="C527" s="453" t="s">
        <v>69</v>
      </c>
      <c r="D527" s="453" t="s">
        <v>70</v>
      </c>
      <c r="E527" s="473" t="s">
        <v>11674</v>
      </c>
      <c r="F527" s="453">
        <v>1</v>
      </c>
      <c r="G527" s="1420" t="s">
        <v>11675</v>
      </c>
      <c r="H527" s="453"/>
      <c r="I527" s="453" t="s">
        <v>93</v>
      </c>
      <c r="J527" s="453"/>
      <c r="K527" s="457">
        <v>9287100</v>
      </c>
      <c r="L527" s="453" t="s">
        <v>251</v>
      </c>
      <c r="M527" s="474">
        <v>44690</v>
      </c>
      <c r="N527" s="474">
        <v>44725</v>
      </c>
      <c r="O527" s="474">
        <v>44739</v>
      </c>
      <c r="P527" s="1420" t="s">
        <v>576</v>
      </c>
      <c r="Q527" s="453"/>
      <c r="R527" s="457">
        <v>576718.80000000005</v>
      </c>
      <c r="S527" s="457">
        <v>634390.68000000005</v>
      </c>
      <c r="T527" s="1474"/>
      <c r="U527" s="1474"/>
      <c r="V527" s="1474"/>
      <c r="W527" s="570">
        <v>44739</v>
      </c>
      <c r="X527" s="457" t="s">
        <v>12356</v>
      </c>
      <c r="Y527" s="474">
        <v>44764</v>
      </c>
      <c r="Z527" s="474">
        <v>44788</v>
      </c>
      <c r="AA527" s="474">
        <v>45859</v>
      </c>
      <c r="AB527" s="1391" t="s">
        <v>12574</v>
      </c>
      <c r="AC527" s="1391">
        <v>2023</v>
      </c>
      <c r="AD527" s="388">
        <v>2024</v>
      </c>
      <c r="AE527" s="388" t="s">
        <v>12575</v>
      </c>
    </row>
    <row r="528" spans="1:33" ht="15.75" thickBot="1">
      <c r="A528" s="2117">
        <v>44679</v>
      </c>
      <c r="B528" s="2120" t="s">
        <v>11673</v>
      </c>
      <c r="C528" s="2118" t="s">
        <v>69</v>
      </c>
      <c r="D528" s="2118" t="s">
        <v>70</v>
      </c>
      <c r="E528" s="2119" t="s">
        <v>11674</v>
      </c>
      <c r="F528" s="2118">
        <v>2</v>
      </c>
      <c r="G528" s="2120" t="s">
        <v>10824</v>
      </c>
      <c r="H528" s="2118"/>
      <c r="I528" s="2118" t="s">
        <v>93</v>
      </c>
      <c r="J528" s="2118"/>
      <c r="K528" s="2121">
        <v>15520415</v>
      </c>
      <c r="L528" s="2118" t="s">
        <v>251</v>
      </c>
      <c r="M528" s="2117">
        <v>44690</v>
      </c>
      <c r="N528" s="2117">
        <v>44725</v>
      </c>
      <c r="O528" s="2117">
        <v>44739</v>
      </c>
      <c r="P528" s="2120" t="s">
        <v>2518</v>
      </c>
      <c r="Q528" s="2118"/>
      <c r="R528" s="2121">
        <v>15520401.359999999</v>
      </c>
      <c r="S528" s="2121">
        <v>17072441.5</v>
      </c>
      <c r="T528" s="2122"/>
      <c r="U528" s="2122"/>
      <c r="V528" s="2122"/>
      <c r="W528" s="2123">
        <v>44739</v>
      </c>
      <c r="X528" s="2121" t="s">
        <v>12357</v>
      </c>
      <c r="Y528" s="2117">
        <v>44785</v>
      </c>
      <c r="Z528" s="2117">
        <v>44788</v>
      </c>
      <c r="AA528" s="2117">
        <v>45880</v>
      </c>
      <c r="AB528" s="2110" t="s">
        <v>12744</v>
      </c>
      <c r="AC528" s="2110">
        <v>2023</v>
      </c>
      <c r="AD528" s="388">
        <v>2024</v>
      </c>
      <c r="AE528" s="388" t="s">
        <v>12745</v>
      </c>
    </row>
    <row r="529" spans="1:32" ht="15.75" thickTop="1">
      <c r="A529" s="365">
        <v>44679</v>
      </c>
      <c r="B529" s="2677" t="s">
        <v>11676</v>
      </c>
      <c r="C529" s="2676" t="s">
        <v>69</v>
      </c>
      <c r="D529" s="2676" t="s">
        <v>70</v>
      </c>
      <c r="E529" s="175" t="s">
        <v>11677</v>
      </c>
      <c r="F529" s="2676">
        <v>1</v>
      </c>
      <c r="G529" s="2682" t="s">
        <v>11678</v>
      </c>
      <c r="H529" s="2676"/>
      <c r="I529" s="2676" t="s">
        <v>1147</v>
      </c>
      <c r="J529" s="2676"/>
      <c r="K529" s="364">
        <v>6507883</v>
      </c>
      <c r="L529" s="2676" t="s">
        <v>251</v>
      </c>
      <c r="M529" s="365">
        <v>44683</v>
      </c>
      <c r="N529" s="365">
        <v>44718</v>
      </c>
      <c r="O529" s="365">
        <v>44741</v>
      </c>
      <c r="P529" s="2677" t="s">
        <v>2548</v>
      </c>
      <c r="Q529" s="2676"/>
      <c r="R529" s="364">
        <v>6336554.1600000001</v>
      </c>
      <c r="S529" s="364">
        <v>6970209.5800000001</v>
      </c>
      <c r="T529" s="1473"/>
      <c r="U529" s="1473"/>
      <c r="V529" s="1473"/>
      <c r="W529" s="681">
        <v>44741</v>
      </c>
      <c r="X529" s="364" t="s">
        <v>12423</v>
      </c>
      <c r="Y529" s="365">
        <v>44764</v>
      </c>
      <c r="Z529" s="365">
        <v>44769</v>
      </c>
      <c r="AA529" s="365">
        <v>45859</v>
      </c>
      <c r="AB529" s="1391" t="s">
        <v>12574</v>
      </c>
      <c r="AC529" s="1391">
        <v>2023</v>
      </c>
      <c r="AD529" s="388">
        <v>2024</v>
      </c>
      <c r="AE529" s="388" t="s">
        <v>12575</v>
      </c>
    </row>
    <row r="530" spans="1:32" ht="45">
      <c r="A530" s="2140">
        <v>44672</v>
      </c>
      <c r="B530" s="2143" t="s">
        <v>11680</v>
      </c>
      <c r="C530" s="2141" t="s">
        <v>58</v>
      </c>
      <c r="D530" s="2141" t="s">
        <v>4969</v>
      </c>
      <c r="E530" s="2142" t="s">
        <v>11681</v>
      </c>
      <c r="F530" s="2141"/>
      <c r="G530" s="2143"/>
      <c r="H530" s="2141"/>
      <c r="I530" s="2141" t="s">
        <v>780</v>
      </c>
      <c r="J530" s="2141" t="s">
        <v>11682</v>
      </c>
      <c r="K530" s="2144">
        <v>4650000</v>
      </c>
      <c r="L530" s="2141" t="s">
        <v>251</v>
      </c>
      <c r="M530" s="2140">
        <v>44713</v>
      </c>
      <c r="N530" s="2140">
        <v>44781</v>
      </c>
      <c r="O530" s="2140">
        <v>44880</v>
      </c>
      <c r="P530" s="2143" t="s">
        <v>11385</v>
      </c>
      <c r="Q530" s="2141"/>
      <c r="R530" s="2144">
        <v>4616200</v>
      </c>
      <c r="S530" s="2144">
        <v>5585602</v>
      </c>
      <c r="T530" s="2145"/>
      <c r="U530" s="2145"/>
      <c r="V530" s="2145"/>
      <c r="W530" s="2146">
        <v>44880</v>
      </c>
      <c r="X530" s="2260" t="s">
        <v>13535</v>
      </c>
      <c r="Y530" s="2140">
        <v>44910</v>
      </c>
      <c r="Z530" s="2140">
        <v>44911</v>
      </c>
      <c r="AA530" s="2140">
        <v>45015</v>
      </c>
      <c r="AB530" s="2109"/>
      <c r="AC530" s="2109" t="s">
        <v>6118</v>
      </c>
    </row>
    <row r="531" spans="1:32">
      <c r="A531" s="2124">
        <v>44678</v>
      </c>
      <c r="B531" s="2127" t="s">
        <v>11685</v>
      </c>
      <c r="C531" s="2125" t="s">
        <v>4997</v>
      </c>
      <c r="D531" s="2125" t="s">
        <v>7475</v>
      </c>
      <c r="E531" s="2126" t="s">
        <v>11686</v>
      </c>
      <c r="F531" s="2125"/>
      <c r="G531" s="2127"/>
      <c r="H531" s="2125"/>
      <c r="I531" s="2125" t="s">
        <v>3343</v>
      </c>
      <c r="J531" s="2125"/>
      <c r="K531" s="2128">
        <v>1500000</v>
      </c>
      <c r="L531" s="2125" t="s">
        <v>112</v>
      </c>
      <c r="M531" s="2124">
        <v>44683</v>
      </c>
      <c r="N531" s="2124">
        <v>44694</v>
      </c>
      <c r="O531" s="2125"/>
      <c r="P531" s="2136" t="s">
        <v>304</v>
      </c>
      <c r="Q531" s="2125"/>
      <c r="R531" s="2128"/>
      <c r="S531" s="2128"/>
      <c r="T531" s="2129"/>
      <c r="U531" s="2129"/>
      <c r="V531" s="2129"/>
      <c r="W531" s="2128"/>
      <c r="X531" s="2128"/>
      <c r="Y531" s="2125"/>
      <c r="Z531" s="2124">
        <v>44694</v>
      </c>
      <c r="AA531" s="2125"/>
      <c r="AB531" s="2125"/>
      <c r="AC531" s="2125"/>
    </row>
    <row r="532" spans="1:32">
      <c r="A532" s="2140">
        <v>44679</v>
      </c>
      <c r="B532" s="2143" t="s">
        <v>11692</v>
      </c>
      <c r="C532" s="2141" t="s">
        <v>4997</v>
      </c>
      <c r="D532" s="2141" t="s">
        <v>7475</v>
      </c>
      <c r="E532" s="2142" t="s">
        <v>11693</v>
      </c>
      <c r="F532" s="2141"/>
      <c r="G532" s="2143"/>
      <c r="H532" s="2085"/>
      <c r="I532" s="2141" t="s">
        <v>498</v>
      </c>
      <c r="J532" s="2141"/>
      <c r="K532" s="2144">
        <v>450000</v>
      </c>
      <c r="L532" s="2141" t="s">
        <v>112</v>
      </c>
      <c r="M532" s="2140">
        <v>44690</v>
      </c>
      <c r="N532" s="2140">
        <v>44699</v>
      </c>
      <c r="O532" s="2140">
        <v>44706</v>
      </c>
      <c r="P532" s="2143" t="s">
        <v>409</v>
      </c>
      <c r="Q532" s="2141"/>
      <c r="R532" s="2144">
        <v>495884</v>
      </c>
      <c r="S532" s="2144">
        <v>600019.64</v>
      </c>
      <c r="T532" s="2094"/>
      <c r="U532" s="2094"/>
      <c r="V532" s="2094"/>
      <c r="W532" s="2146">
        <v>44706</v>
      </c>
      <c r="X532" s="2144" t="s">
        <v>11967</v>
      </c>
      <c r="Y532" s="2140">
        <v>44726</v>
      </c>
      <c r="Z532" s="2140">
        <v>44727</v>
      </c>
      <c r="AA532" s="2140">
        <v>44785</v>
      </c>
      <c r="AB532" s="2140">
        <v>44844</v>
      </c>
      <c r="AC532" s="2106"/>
    </row>
    <row r="533" spans="1:32">
      <c r="A533" s="2141" t="s">
        <v>3585</v>
      </c>
      <c r="B533" s="2143" t="s">
        <v>11698</v>
      </c>
      <c r="C533" s="2141" t="s">
        <v>2434</v>
      </c>
      <c r="D533" s="2141" t="s">
        <v>219</v>
      </c>
      <c r="E533" s="2142" t="s">
        <v>11699</v>
      </c>
      <c r="F533" s="2141"/>
      <c r="G533" s="2664" t="s">
        <v>11261</v>
      </c>
      <c r="H533" s="2141"/>
      <c r="I533" s="2141" t="s">
        <v>3271</v>
      </c>
      <c r="J533" s="2141"/>
      <c r="K533" s="2144">
        <v>1590094</v>
      </c>
      <c r="L533" s="2141" t="s">
        <v>251</v>
      </c>
      <c r="M533" s="2140">
        <v>44690</v>
      </c>
      <c r="N533" s="2140">
        <v>44722</v>
      </c>
      <c r="O533" s="2140">
        <v>44728</v>
      </c>
      <c r="P533" s="2143" t="s">
        <v>12176</v>
      </c>
      <c r="Q533" s="2141"/>
      <c r="R533" s="2144">
        <v>1176687</v>
      </c>
      <c r="S533" s="2144">
        <v>1493791.27</v>
      </c>
      <c r="T533" s="2145"/>
      <c r="U533" s="2145"/>
      <c r="V533" s="2145"/>
      <c r="W533" s="2146">
        <v>44728</v>
      </c>
      <c r="X533" s="2144" t="s">
        <v>12254</v>
      </c>
      <c r="Y533" s="2140">
        <v>44743</v>
      </c>
      <c r="Z533" s="2140">
        <v>44761</v>
      </c>
      <c r="AA533" s="2140">
        <v>45838</v>
      </c>
      <c r="AB533" s="2109" t="s">
        <v>12336</v>
      </c>
      <c r="AC533" s="2109">
        <v>2023</v>
      </c>
      <c r="AD533" s="388">
        <v>2024</v>
      </c>
      <c r="AE533" s="388" t="s">
        <v>12439</v>
      </c>
    </row>
    <row r="534" spans="1:32" ht="30">
      <c r="A534" s="2141" t="s">
        <v>3585</v>
      </c>
      <c r="B534" s="2143" t="s">
        <v>11717</v>
      </c>
      <c r="C534" s="2141" t="s">
        <v>58</v>
      </c>
      <c r="D534" s="2141" t="s">
        <v>4969</v>
      </c>
      <c r="E534" s="2142" t="s">
        <v>11718</v>
      </c>
      <c r="F534" s="2141"/>
      <c r="G534" s="2143"/>
      <c r="H534" s="2141"/>
      <c r="I534" s="2141" t="s">
        <v>1159</v>
      </c>
      <c r="J534" s="2141" t="s">
        <v>11509</v>
      </c>
      <c r="K534" s="2144">
        <v>222450</v>
      </c>
      <c r="L534" s="2141" t="s">
        <v>112</v>
      </c>
      <c r="M534" s="2140">
        <v>44685</v>
      </c>
      <c r="N534" s="2140">
        <v>44694</v>
      </c>
      <c r="O534" s="2140">
        <v>44719</v>
      </c>
      <c r="P534" s="2143" t="s">
        <v>12061</v>
      </c>
      <c r="Q534" s="2141"/>
      <c r="R534" s="2144">
        <v>188540</v>
      </c>
      <c r="S534" s="2144">
        <v>228133.4</v>
      </c>
      <c r="T534" s="2145"/>
      <c r="U534" s="2145"/>
      <c r="V534" s="2145"/>
      <c r="W534" s="2146">
        <v>44719</v>
      </c>
      <c r="X534" s="2260" t="s">
        <v>12067</v>
      </c>
      <c r="Y534" s="2140">
        <v>44740</v>
      </c>
      <c r="Z534" s="2140">
        <v>44741</v>
      </c>
      <c r="AA534" s="2140">
        <v>44782</v>
      </c>
      <c r="AB534" s="2140">
        <v>44845</v>
      </c>
      <c r="AC534" s="2109" t="s">
        <v>1875</v>
      </c>
    </row>
    <row r="535" spans="1:32">
      <c r="A535" s="2140">
        <v>44672</v>
      </c>
      <c r="B535" s="2143" t="s">
        <v>11725</v>
      </c>
      <c r="C535" s="2141" t="s">
        <v>1032</v>
      </c>
      <c r="D535" s="2141" t="s">
        <v>361</v>
      </c>
      <c r="E535" s="2142" t="s">
        <v>11726</v>
      </c>
      <c r="F535" s="2141"/>
      <c r="G535" s="2143"/>
      <c r="H535" s="2141"/>
      <c r="I535" s="2141" t="s">
        <v>7263</v>
      </c>
      <c r="J535" s="2141"/>
      <c r="K535" s="2144">
        <v>7300000</v>
      </c>
      <c r="L535" s="2141" t="s">
        <v>216</v>
      </c>
      <c r="M535" s="2140">
        <v>44690</v>
      </c>
      <c r="N535" s="2140">
        <v>44707</v>
      </c>
      <c r="O535" s="2140">
        <v>44721</v>
      </c>
      <c r="P535" s="2143" t="s">
        <v>409</v>
      </c>
      <c r="Q535" s="2141"/>
      <c r="R535" s="2144">
        <v>8745627</v>
      </c>
      <c r="S535" s="2144">
        <v>10582208.67</v>
      </c>
      <c r="T535" s="2145"/>
      <c r="U535" s="2145"/>
      <c r="V535" s="2145"/>
      <c r="W535" s="2146">
        <v>44721</v>
      </c>
      <c r="X535" s="2144" t="s">
        <v>12097</v>
      </c>
      <c r="Y535" s="2140">
        <v>44774</v>
      </c>
      <c r="Z535" s="2140">
        <v>44797</v>
      </c>
      <c r="AA535" s="2141"/>
      <c r="AB535" s="2464">
        <v>44865</v>
      </c>
      <c r="AC535" s="2106"/>
    </row>
    <row r="536" spans="1:32">
      <c r="A536" s="2140">
        <v>44679</v>
      </c>
      <c r="B536" s="2143" t="s">
        <v>11729</v>
      </c>
      <c r="C536" s="2141" t="s">
        <v>837</v>
      </c>
      <c r="D536" s="2141" t="s">
        <v>516</v>
      </c>
      <c r="E536" s="2142" t="s">
        <v>2509</v>
      </c>
      <c r="F536" s="2141"/>
      <c r="G536" s="2143"/>
      <c r="H536" s="2141"/>
      <c r="I536" s="2141" t="s">
        <v>2510</v>
      </c>
      <c r="J536" s="2141"/>
      <c r="K536" s="2144">
        <v>4200000</v>
      </c>
      <c r="L536" s="2141" t="s">
        <v>251</v>
      </c>
      <c r="M536" s="2140">
        <v>44690</v>
      </c>
      <c r="N536" s="2140">
        <v>44727</v>
      </c>
      <c r="O536" s="2140">
        <v>44741</v>
      </c>
      <c r="P536" s="2143" t="s">
        <v>12187</v>
      </c>
      <c r="Q536" s="2141"/>
      <c r="R536" s="2144">
        <v>8640000</v>
      </c>
      <c r="S536" s="2144">
        <v>9936000</v>
      </c>
      <c r="T536" s="2145"/>
      <c r="U536" s="2145"/>
      <c r="V536" s="2145"/>
      <c r="W536" s="2146">
        <v>44741</v>
      </c>
      <c r="X536" s="2144" t="s">
        <v>12416</v>
      </c>
      <c r="Y536" s="2140">
        <v>44795</v>
      </c>
      <c r="Z536" s="2140">
        <v>44823</v>
      </c>
      <c r="AA536" s="2140">
        <v>47716</v>
      </c>
      <c r="AB536" s="2109" t="s">
        <v>12826</v>
      </c>
      <c r="AC536" s="2109">
        <v>2023</v>
      </c>
      <c r="AD536" s="388">
        <v>2024</v>
      </c>
      <c r="AE536" s="388">
        <v>2025</v>
      </c>
      <c r="AF536" s="388" t="s">
        <v>4435</v>
      </c>
    </row>
    <row r="537" spans="1:32" ht="15.75" thickBot="1">
      <c r="A537" s="416">
        <v>44680</v>
      </c>
      <c r="B537" s="630" t="s">
        <v>11743</v>
      </c>
      <c r="C537" s="411" t="s">
        <v>1032</v>
      </c>
      <c r="D537" s="411" t="s">
        <v>361</v>
      </c>
      <c r="E537" s="412" t="s">
        <v>11742</v>
      </c>
      <c r="F537" s="411"/>
      <c r="G537" s="630"/>
      <c r="H537" s="411"/>
      <c r="I537" s="411" t="s">
        <v>10983</v>
      </c>
      <c r="J537" s="411"/>
      <c r="K537" s="417">
        <v>2600000</v>
      </c>
      <c r="L537" s="411" t="s">
        <v>216</v>
      </c>
      <c r="M537" s="416">
        <v>44694</v>
      </c>
      <c r="N537" s="416">
        <v>44719</v>
      </c>
      <c r="O537" s="416">
        <v>44757</v>
      </c>
      <c r="P537" s="630" t="s">
        <v>5070</v>
      </c>
      <c r="Q537" s="411"/>
      <c r="R537" s="417">
        <v>1959330</v>
      </c>
      <c r="S537" s="417">
        <v>2370789.2999999998</v>
      </c>
      <c r="T537" s="1480"/>
      <c r="U537" s="1480"/>
      <c r="V537" s="1480"/>
      <c r="W537" s="513">
        <v>44757</v>
      </c>
      <c r="X537" s="417" t="s">
        <v>12502</v>
      </c>
      <c r="Y537" s="416">
        <v>44796</v>
      </c>
      <c r="Z537" s="416">
        <v>44797</v>
      </c>
      <c r="AA537" s="411"/>
      <c r="AB537" s="422"/>
      <c r="AC537" s="967"/>
    </row>
    <row r="538" spans="1:32" ht="15.75" thickTop="1">
      <c r="A538" s="443">
        <v>44686</v>
      </c>
      <c r="B538" s="1431" t="s">
        <v>11741</v>
      </c>
      <c r="C538" s="439" t="s">
        <v>58</v>
      </c>
      <c r="D538" s="439" t="s">
        <v>4969</v>
      </c>
      <c r="E538" s="2711" t="s">
        <v>11744</v>
      </c>
      <c r="F538" s="439">
        <v>1</v>
      </c>
      <c r="G538" s="1431" t="s">
        <v>12105</v>
      </c>
      <c r="H538" s="439"/>
      <c r="I538" s="439" t="s">
        <v>3143</v>
      </c>
      <c r="J538" s="439" t="s">
        <v>11745</v>
      </c>
      <c r="K538" s="444">
        <v>290000</v>
      </c>
      <c r="L538" s="439" t="s">
        <v>251</v>
      </c>
      <c r="M538" s="443">
        <v>44743</v>
      </c>
      <c r="N538" s="443">
        <v>44804</v>
      </c>
      <c r="O538" s="439"/>
      <c r="P538" s="753" t="s">
        <v>304</v>
      </c>
      <c r="Q538" s="2015" t="s">
        <v>13650</v>
      </c>
      <c r="R538" s="444"/>
      <c r="S538" s="444"/>
      <c r="T538" s="1481"/>
      <c r="U538" s="1481"/>
      <c r="V538" s="1481"/>
      <c r="W538" s="444"/>
      <c r="X538" s="444"/>
      <c r="Y538" s="439"/>
      <c r="Z538" s="443">
        <v>44818</v>
      </c>
      <c r="AA538" s="439" t="s">
        <v>13036</v>
      </c>
      <c r="AB538" s="439"/>
      <c r="AC538" s="439"/>
    </row>
    <row r="539" spans="1:32" ht="30">
      <c r="A539" s="2140">
        <v>44686</v>
      </c>
      <c r="B539" s="2143" t="s">
        <v>11741</v>
      </c>
      <c r="C539" s="2141" t="s">
        <v>58</v>
      </c>
      <c r="D539" s="2141" t="s">
        <v>4969</v>
      </c>
      <c r="E539" s="2766" t="s">
        <v>11744</v>
      </c>
      <c r="F539" s="2141">
        <v>2</v>
      </c>
      <c r="G539" s="2143" t="s">
        <v>5178</v>
      </c>
      <c r="H539" s="2141"/>
      <c r="I539" s="2141" t="s">
        <v>3143</v>
      </c>
      <c r="J539" s="2141" t="s">
        <v>11746</v>
      </c>
      <c r="K539" s="2144">
        <v>2580000</v>
      </c>
      <c r="L539" s="2141" t="s">
        <v>251</v>
      </c>
      <c r="M539" s="2140">
        <v>44743</v>
      </c>
      <c r="N539" s="2140">
        <v>44804</v>
      </c>
      <c r="O539" s="2140">
        <v>44845</v>
      </c>
      <c r="P539" s="2143" t="s">
        <v>13190</v>
      </c>
      <c r="Q539" s="2141"/>
      <c r="R539" s="2144">
        <v>2310400</v>
      </c>
      <c r="S539" s="2144">
        <v>2795584</v>
      </c>
      <c r="T539" s="2145"/>
      <c r="U539" s="2145"/>
      <c r="V539" s="2145"/>
      <c r="W539" s="2146">
        <v>44845</v>
      </c>
      <c r="X539" s="2260" t="s">
        <v>13246</v>
      </c>
      <c r="Y539" s="2140">
        <v>44867</v>
      </c>
      <c r="Z539" s="2140">
        <v>44879</v>
      </c>
      <c r="AA539" s="2140">
        <v>44951</v>
      </c>
      <c r="AB539" s="2109"/>
      <c r="AC539" s="2109" t="s">
        <v>1875</v>
      </c>
    </row>
    <row r="540" spans="1:32" ht="30">
      <c r="A540" s="2140">
        <v>44686</v>
      </c>
      <c r="B540" s="2143" t="s">
        <v>11741</v>
      </c>
      <c r="C540" s="2141" t="s">
        <v>9694</v>
      </c>
      <c r="D540" s="2141" t="s">
        <v>4969</v>
      </c>
      <c r="E540" s="2766" t="s">
        <v>11744</v>
      </c>
      <c r="F540" s="2141">
        <v>3</v>
      </c>
      <c r="G540" s="2143" t="s">
        <v>12106</v>
      </c>
      <c r="H540" s="2141"/>
      <c r="I540" s="2141" t="s">
        <v>3143</v>
      </c>
      <c r="J540" s="2141" t="s">
        <v>11747</v>
      </c>
      <c r="K540" s="2144">
        <v>5600000</v>
      </c>
      <c r="L540" s="2141" t="s">
        <v>251</v>
      </c>
      <c r="M540" s="2140">
        <v>44743</v>
      </c>
      <c r="N540" s="2140">
        <v>44804</v>
      </c>
      <c r="O540" s="2140">
        <v>44845</v>
      </c>
      <c r="P540" s="2143" t="s">
        <v>5809</v>
      </c>
      <c r="Q540" s="2141"/>
      <c r="R540" s="2144">
        <v>5448600</v>
      </c>
      <c r="S540" s="2144">
        <v>6592806</v>
      </c>
      <c r="T540" s="2145"/>
      <c r="U540" s="2145"/>
      <c r="V540" s="2145"/>
      <c r="W540" s="2146">
        <v>44845</v>
      </c>
      <c r="X540" s="2260" t="s">
        <v>13247</v>
      </c>
      <c r="Y540" s="2140">
        <v>44869</v>
      </c>
      <c r="Z540" s="2140">
        <v>44879</v>
      </c>
      <c r="AA540" s="2140">
        <v>44967</v>
      </c>
      <c r="AB540" s="2109"/>
      <c r="AC540" s="2109" t="s">
        <v>1875</v>
      </c>
    </row>
    <row r="541" spans="1:32" ht="30.75" thickBot="1">
      <c r="A541" s="2117">
        <v>44686</v>
      </c>
      <c r="B541" s="2120" t="s">
        <v>11741</v>
      </c>
      <c r="C541" s="2118" t="s">
        <v>9694</v>
      </c>
      <c r="D541" s="2118" t="s">
        <v>4969</v>
      </c>
      <c r="E541" s="2785" t="s">
        <v>11744</v>
      </c>
      <c r="F541" s="2118">
        <v>4</v>
      </c>
      <c r="G541" s="2120" t="s">
        <v>12107</v>
      </c>
      <c r="H541" s="2118"/>
      <c r="I541" s="2118" t="s">
        <v>3143</v>
      </c>
      <c r="J541" s="2118" t="s">
        <v>11748</v>
      </c>
      <c r="K541" s="2121">
        <v>9915243</v>
      </c>
      <c r="L541" s="2118" t="s">
        <v>251</v>
      </c>
      <c r="M541" s="2117">
        <v>44743</v>
      </c>
      <c r="N541" s="2117">
        <v>44804</v>
      </c>
      <c r="O541" s="2117">
        <v>44845</v>
      </c>
      <c r="P541" s="2120" t="s">
        <v>7928</v>
      </c>
      <c r="Q541" s="2118"/>
      <c r="R541" s="2121">
        <v>9881270</v>
      </c>
      <c r="S541" s="2121">
        <v>11956336.699999999</v>
      </c>
      <c r="T541" s="2122"/>
      <c r="U541" s="2122"/>
      <c r="V541" s="2122"/>
      <c r="W541" s="2123">
        <v>44845</v>
      </c>
      <c r="X541" s="2246" t="s">
        <v>13248</v>
      </c>
      <c r="Y541" s="2117">
        <v>44876</v>
      </c>
      <c r="Z541" s="2117">
        <v>44879</v>
      </c>
      <c r="AA541" s="2117">
        <v>45200</v>
      </c>
      <c r="AB541" s="2110"/>
      <c r="AC541" s="2110" t="s">
        <v>1875</v>
      </c>
    </row>
    <row r="542" spans="1:32" ht="30.75" thickTop="1">
      <c r="A542" s="474">
        <v>44686</v>
      </c>
      <c r="B542" s="1420" t="s">
        <v>11761</v>
      </c>
      <c r="C542" s="453" t="s">
        <v>2434</v>
      </c>
      <c r="D542" s="453" t="s">
        <v>3204</v>
      </c>
      <c r="E542" s="473" t="s">
        <v>11758</v>
      </c>
      <c r="F542" s="453">
        <v>1</v>
      </c>
      <c r="G542" s="1420" t="s">
        <v>11759</v>
      </c>
      <c r="H542" s="583"/>
      <c r="I542" s="453" t="s">
        <v>642</v>
      </c>
      <c r="J542" s="453"/>
      <c r="K542" s="457">
        <v>377100</v>
      </c>
      <c r="L542" s="453" t="s">
        <v>112</v>
      </c>
      <c r="M542" s="474">
        <v>44693</v>
      </c>
      <c r="N542" s="474">
        <v>44701</v>
      </c>
      <c r="O542" s="474">
        <v>44713</v>
      </c>
      <c r="P542" s="1420" t="s">
        <v>8793</v>
      </c>
      <c r="Q542" s="453"/>
      <c r="R542" s="457">
        <v>255000</v>
      </c>
      <c r="S542" s="457">
        <v>293250</v>
      </c>
      <c r="T542" s="1483"/>
      <c r="U542" s="1483"/>
      <c r="V542" s="1483"/>
      <c r="W542" s="570">
        <v>44713</v>
      </c>
      <c r="X542" s="1387" t="s">
        <v>12005</v>
      </c>
      <c r="Y542" s="474">
        <v>44725</v>
      </c>
      <c r="Z542" s="474">
        <v>44726</v>
      </c>
      <c r="AA542" s="474">
        <v>45455</v>
      </c>
      <c r="AB542" s="1391" t="s">
        <v>12119</v>
      </c>
      <c r="AC542" s="1391">
        <v>2023</v>
      </c>
      <c r="AD542" s="388" t="s">
        <v>12120</v>
      </c>
    </row>
    <row r="543" spans="1:32" ht="30.75" thickBot="1">
      <c r="A543" s="2117">
        <v>44686</v>
      </c>
      <c r="B543" s="2120" t="s">
        <v>11762</v>
      </c>
      <c r="C543" s="2118" t="s">
        <v>2434</v>
      </c>
      <c r="D543" s="2118" t="s">
        <v>3204</v>
      </c>
      <c r="E543" s="2119" t="s">
        <v>11758</v>
      </c>
      <c r="F543" s="2118">
        <v>2</v>
      </c>
      <c r="G543" s="2120" t="s">
        <v>11760</v>
      </c>
      <c r="H543" s="2089"/>
      <c r="I543" s="2118" t="s">
        <v>642</v>
      </c>
      <c r="J543" s="2118"/>
      <c r="K543" s="2121">
        <v>134400</v>
      </c>
      <c r="L543" s="2118" t="s">
        <v>112</v>
      </c>
      <c r="M543" s="2117">
        <v>44693</v>
      </c>
      <c r="N543" s="2117">
        <v>44701</v>
      </c>
      <c r="O543" s="2117">
        <v>44713</v>
      </c>
      <c r="P543" s="2120" t="s">
        <v>8793</v>
      </c>
      <c r="Q543" s="2118"/>
      <c r="R543" s="2121">
        <v>85000</v>
      </c>
      <c r="S543" s="2121">
        <v>97750</v>
      </c>
      <c r="T543" s="2095"/>
      <c r="U543" s="2095"/>
      <c r="V543" s="2095"/>
      <c r="W543" s="2123">
        <v>44713</v>
      </c>
      <c r="X543" s="2246" t="s">
        <v>12006</v>
      </c>
      <c r="Y543" s="2117">
        <v>44725</v>
      </c>
      <c r="Z543" s="2117">
        <v>44726</v>
      </c>
      <c r="AA543" s="2117">
        <v>45455</v>
      </c>
      <c r="AB543" s="2110" t="s">
        <v>12119</v>
      </c>
      <c r="AC543" s="2110">
        <v>2023</v>
      </c>
      <c r="AD543" s="388" t="s">
        <v>12120</v>
      </c>
    </row>
    <row r="544" spans="1:32" ht="30.75" thickTop="1">
      <c r="A544" s="474">
        <v>44686</v>
      </c>
      <c r="B544" s="1420" t="s">
        <v>11763</v>
      </c>
      <c r="C544" s="453" t="s">
        <v>2434</v>
      </c>
      <c r="D544" s="453" t="s">
        <v>3204</v>
      </c>
      <c r="E544" s="473" t="s">
        <v>11767</v>
      </c>
      <c r="F544" s="453">
        <v>1</v>
      </c>
      <c r="G544" s="1420" t="s">
        <v>11766</v>
      </c>
      <c r="H544" s="453"/>
      <c r="I544" s="453" t="s">
        <v>642</v>
      </c>
      <c r="J544" s="453"/>
      <c r="K544" s="457">
        <v>363300</v>
      </c>
      <c r="L544" s="453" t="s">
        <v>216</v>
      </c>
      <c r="M544" s="474">
        <v>44694</v>
      </c>
      <c r="N544" s="474">
        <v>44727</v>
      </c>
      <c r="O544" s="474">
        <v>44796</v>
      </c>
      <c r="P544" s="1420" t="s">
        <v>9404</v>
      </c>
      <c r="Q544" s="453"/>
      <c r="R544" s="457">
        <v>387345</v>
      </c>
      <c r="S544" s="457">
        <v>445446.75</v>
      </c>
      <c r="T544" s="1474"/>
      <c r="U544" s="1474"/>
      <c r="V544" s="1474"/>
      <c r="W544" s="570">
        <v>44796</v>
      </c>
      <c r="X544" s="1387" t="s">
        <v>12841</v>
      </c>
      <c r="Y544" s="474">
        <v>44881</v>
      </c>
      <c r="Z544" s="474">
        <v>44887</v>
      </c>
      <c r="AA544" s="474">
        <v>45611</v>
      </c>
      <c r="AB544" s="1391" t="s">
        <v>13549</v>
      </c>
      <c r="AC544" s="1391">
        <v>2023</v>
      </c>
      <c r="AD544" s="388" t="s">
        <v>10325</v>
      </c>
    </row>
    <row r="545" spans="1:32" ht="30">
      <c r="A545" s="2140">
        <v>44686</v>
      </c>
      <c r="B545" s="2143" t="s">
        <v>11764</v>
      </c>
      <c r="C545" s="2141" t="s">
        <v>2434</v>
      </c>
      <c r="D545" s="2141" t="s">
        <v>3204</v>
      </c>
      <c r="E545" s="2142" t="s">
        <v>11767</v>
      </c>
      <c r="F545" s="2141">
        <v>2</v>
      </c>
      <c r="G545" s="2143" t="s">
        <v>11769</v>
      </c>
      <c r="H545" s="2141"/>
      <c r="I545" s="2141" t="s">
        <v>642</v>
      </c>
      <c r="J545" s="2141"/>
      <c r="K545" s="2144">
        <v>1164800</v>
      </c>
      <c r="L545" s="2141" t="s">
        <v>216</v>
      </c>
      <c r="M545" s="2140">
        <v>44694</v>
      </c>
      <c r="N545" s="2140">
        <v>44727</v>
      </c>
      <c r="O545" s="2140">
        <v>44796</v>
      </c>
      <c r="P545" s="2143" t="s">
        <v>9404</v>
      </c>
      <c r="Q545" s="2141"/>
      <c r="R545" s="2144">
        <v>1164800</v>
      </c>
      <c r="S545" s="2144">
        <v>1339520</v>
      </c>
      <c r="T545" s="2145"/>
      <c r="U545" s="2145"/>
      <c r="V545" s="2145"/>
      <c r="W545" s="2146">
        <v>44796</v>
      </c>
      <c r="X545" s="2260" t="s">
        <v>12842</v>
      </c>
      <c r="Y545" s="2140">
        <v>44881</v>
      </c>
      <c r="Z545" s="2140">
        <v>44887</v>
      </c>
      <c r="AA545" s="2140">
        <v>45611</v>
      </c>
      <c r="AB545" s="2109" t="s">
        <v>13549</v>
      </c>
      <c r="AC545" s="2109">
        <v>2023</v>
      </c>
      <c r="AD545" s="388" t="s">
        <v>10325</v>
      </c>
    </row>
    <row r="546" spans="1:32" ht="30.75" thickBot="1">
      <c r="A546" s="2117">
        <v>44686</v>
      </c>
      <c r="B546" s="2120" t="s">
        <v>11765</v>
      </c>
      <c r="C546" s="2118" t="s">
        <v>2434</v>
      </c>
      <c r="D546" s="2118" t="s">
        <v>3204</v>
      </c>
      <c r="E546" s="2119" t="s">
        <v>11767</v>
      </c>
      <c r="F546" s="2118">
        <v>3</v>
      </c>
      <c r="G546" s="2120" t="s">
        <v>11768</v>
      </c>
      <c r="H546" s="2118"/>
      <c r="I546" s="2118" t="s">
        <v>642</v>
      </c>
      <c r="J546" s="2118"/>
      <c r="K546" s="2121">
        <v>459000</v>
      </c>
      <c r="L546" s="2118" t="s">
        <v>216</v>
      </c>
      <c r="M546" s="2117">
        <v>44694</v>
      </c>
      <c r="N546" s="2117">
        <v>44727</v>
      </c>
      <c r="O546" s="2117">
        <v>44796</v>
      </c>
      <c r="P546" s="2120" t="s">
        <v>9770</v>
      </c>
      <c r="Q546" s="2118"/>
      <c r="R546" s="2121">
        <v>418800</v>
      </c>
      <c r="S546" s="2121">
        <v>481620</v>
      </c>
      <c r="T546" s="2122"/>
      <c r="U546" s="2122"/>
      <c r="V546" s="2122"/>
      <c r="W546" s="2123">
        <v>44796</v>
      </c>
      <c r="X546" s="2246" t="s">
        <v>12843</v>
      </c>
      <c r="Y546" s="2117">
        <v>44858</v>
      </c>
      <c r="Z546" s="2117">
        <v>44887</v>
      </c>
      <c r="AA546" s="2117">
        <v>45588</v>
      </c>
      <c r="AB546" s="2110" t="s">
        <v>13393</v>
      </c>
      <c r="AC546" s="2110">
        <v>2023</v>
      </c>
      <c r="AD546" s="388" t="s">
        <v>13398</v>
      </c>
    </row>
    <row r="547" spans="1:32" ht="15.75" thickTop="1">
      <c r="A547" s="365">
        <v>44687</v>
      </c>
      <c r="B547" s="2661" t="s">
        <v>11783</v>
      </c>
      <c r="C547" s="2660" t="s">
        <v>6561</v>
      </c>
      <c r="D547" s="2660" t="s">
        <v>4864</v>
      </c>
      <c r="E547" s="175" t="s">
        <v>11784</v>
      </c>
      <c r="F547" s="2660"/>
      <c r="G547" s="2661"/>
      <c r="H547" s="2660"/>
      <c r="I547" s="2660" t="s">
        <v>7319</v>
      </c>
      <c r="J547" s="2660"/>
      <c r="K547" s="364">
        <v>540000</v>
      </c>
      <c r="L547" s="2660" t="s">
        <v>112</v>
      </c>
      <c r="M547" s="365">
        <v>44694</v>
      </c>
      <c r="N547" s="365">
        <v>44705</v>
      </c>
      <c r="O547" s="365">
        <v>44713</v>
      </c>
      <c r="P547" s="2661" t="s">
        <v>11976</v>
      </c>
      <c r="Q547" s="2660"/>
      <c r="R547" s="364">
        <v>768347.2</v>
      </c>
      <c r="S547" s="364">
        <v>929700.11</v>
      </c>
      <c r="T547" s="1473"/>
      <c r="U547" s="1473"/>
      <c r="V547" s="1473"/>
      <c r="W547" s="681">
        <v>44713</v>
      </c>
      <c r="X547" s="364" t="s">
        <v>12008</v>
      </c>
      <c r="Y547" s="365">
        <v>44743</v>
      </c>
      <c r="Z547" s="365">
        <v>44755</v>
      </c>
      <c r="AA547" s="365">
        <v>44803</v>
      </c>
      <c r="AB547" s="365">
        <v>44844</v>
      </c>
      <c r="AC547" s="1513"/>
    </row>
    <row r="548" spans="1:32" ht="45">
      <c r="A548" s="2140">
        <v>44683</v>
      </c>
      <c r="B548" s="2143" t="s">
        <v>11785</v>
      </c>
      <c r="C548" s="2141" t="s">
        <v>58</v>
      </c>
      <c r="D548" s="2141" t="s">
        <v>4969</v>
      </c>
      <c r="E548" s="2142" t="s">
        <v>11786</v>
      </c>
      <c r="F548" s="2141"/>
      <c r="G548" s="2143"/>
      <c r="H548" s="2141"/>
      <c r="I548" s="2141" t="s">
        <v>476</v>
      </c>
      <c r="J548" s="2141" t="s">
        <v>11787</v>
      </c>
      <c r="K548" s="2144">
        <v>3380000</v>
      </c>
      <c r="L548" s="2141" t="s">
        <v>251</v>
      </c>
      <c r="M548" s="2140">
        <v>44698</v>
      </c>
      <c r="N548" s="2140">
        <v>44733</v>
      </c>
      <c r="O548" s="2140">
        <v>44741</v>
      </c>
      <c r="P548" s="2143" t="s">
        <v>12343</v>
      </c>
      <c r="Q548" s="2141"/>
      <c r="R548" s="2144">
        <v>3349000</v>
      </c>
      <c r="S548" s="2144">
        <v>4052290</v>
      </c>
      <c r="T548" s="2145"/>
      <c r="U548" s="2145"/>
      <c r="V548" s="2145"/>
      <c r="W548" s="2146">
        <v>44741</v>
      </c>
      <c r="X548" s="2260" t="s">
        <v>12417</v>
      </c>
      <c r="Y548" s="2271">
        <v>44784</v>
      </c>
      <c r="Z548" s="2140">
        <v>44792</v>
      </c>
      <c r="AA548" s="2140">
        <v>44854</v>
      </c>
      <c r="AB548" s="2109"/>
      <c r="AC548" s="2109" t="s">
        <v>6118</v>
      </c>
    </row>
    <row r="549" spans="1:32">
      <c r="A549" s="2124">
        <v>44690</v>
      </c>
      <c r="B549" s="2127" t="s">
        <v>11793</v>
      </c>
      <c r="C549" s="2125" t="s">
        <v>69</v>
      </c>
      <c r="D549" s="2125" t="s">
        <v>70</v>
      </c>
      <c r="E549" s="2126" t="s">
        <v>11794</v>
      </c>
      <c r="F549" s="2125"/>
      <c r="G549" s="2127"/>
      <c r="H549" s="2125"/>
      <c r="I549" s="2125" t="s">
        <v>11795</v>
      </c>
      <c r="J549" s="2125"/>
      <c r="K549" s="2128">
        <v>10582800</v>
      </c>
      <c r="L549" s="2125" t="s">
        <v>251</v>
      </c>
      <c r="M549" s="2124">
        <v>44707</v>
      </c>
      <c r="N549" s="2124">
        <v>44742</v>
      </c>
      <c r="O549" s="2125"/>
      <c r="P549" s="2136" t="s">
        <v>4505</v>
      </c>
      <c r="Q549" s="2275" t="s">
        <v>12599</v>
      </c>
      <c r="R549" s="2128"/>
      <c r="S549" s="2128"/>
      <c r="T549" s="2129"/>
      <c r="U549" s="2129"/>
      <c r="V549" s="2129"/>
      <c r="W549" s="2128"/>
      <c r="X549" s="2128"/>
      <c r="Y549" s="2125"/>
      <c r="Z549" s="2124">
        <v>44761</v>
      </c>
      <c r="AA549" s="2125" t="s">
        <v>12539</v>
      </c>
      <c r="AB549" s="2125"/>
      <c r="AC549" s="2125"/>
    </row>
    <row r="550" spans="1:32" ht="30.75" thickBot="1">
      <c r="A550" s="618">
        <v>44691</v>
      </c>
      <c r="B550" s="2631" t="s">
        <v>11796</v>
      </c>
      <c r="C550" s="413" t="s">
        <v>58</v>
      </c>
      <c r="D550" s="413" t="s">
        <v>4969</v>
      </c>
      <c r="E550" s="615" t="s">
        <v>4250</v>
      </c>
      <c r="F550" s="413"/>
      <c r="G550" s="2631"/>
      <c r="H550" s="413"/>
      <c r="I550" s="413" t="s">
        <v>269</v>
      </c>
      <c r="J550" s="413" t="s">
        <v>11797</v>
      </c>
      <c r="K550" s="620">
        <v>528000</v>
      </c>
      <c r="L550" s="413" t="s">
        <v>251</v>
      </c>
      <c r="M550" s="618">
        <v>44693</v>
      </c>
      <c r="N550" s="618">
        <v>44727</v>
      </c>
      <c r="O550" s="618">
        <v>44742</v>
      </c>
      <c r="P550" s="2631" t="s">
        <v>10265</v>
      </c>
      <c r="Q550" s="413"/>
      <c r="R550" s="620">
        <v>572484</v>
      </c>
      <c r="S550" s="620">
        <v>692705.64</v>
      </c>
      <c r="T550" s="2686"/>
      <c r="U550" s="2686"/>
      <c r="V550" s="2686"/>
      <c r="W550" s="2632">
        <v>44742</v>
      </c>
      <c r="X550" s="2633" t="s">
        <v>12428</v>
      </c>
      <c r="Y550" s="618">
        <v>44763</v>
      </c>
      <c r="Z550" s="416">
        <v>44771</v>
      </c>
      <c r="AA550" s="416">
        <v>44847</v>
      </c>
      <c r="AB550" s="422"/>
      <c r="AC550" s="422" t="s">
        <v>1875</v>
      </c>
    </row>
    <row r="551" spans="1:32" ht="15.75" thickTop="1">
      <c r="A551" s="428">
        <v>44690</v>
      </c>
      <c r="B551" s="1371" t="s">
        <v>11804</v>
      </c>
      <c r="C551" s="425" t="s">
        <v>6561</v>
      </c>
      <c r="D551" s="425" t="s">
        <v>4864</v>
      </c>
      <c r="E551" s="426" t="s">
        <v>1447</v>
      </c>
      <c r="F551" s="425">
        <v>1</v>
      </c>
      <c r="G551" s="1371" t="s">
        <v>11807</v>
      </c>
      <c r="H551" s="583"/>
      <c r="I551" s="425" t="s">
        <v>1780</v>
      </c>
      <c r="J551" s="425"/>
      <c r="K551" s="429">
        <v>128250000</v>
      </c>
      <c r="L551" s="425" t="s">
        <v>251</v>
      </c>
      <c r="M551" s="428">
        <v>44784</v>
      </c>
      <c r="N551" s="428">
        <v>44860</v>
      </c>
      <c r="O551" s="428">
        <v>44911</v>
      </c>
      <c r="P551" s="1371" t="s">
        <v>13676</v>
      </c>
      <c r="Q551" s="425"/>
      <c r="R551" s="429">
        <v>107417279.38</v>
      </c>
      <c r="S551" s="429">
        <v>129974908.05</v>
      </c>
      <c r="T551" s="1483"/>
      <c r="U551" s="1483"/>
      <c r="V551" s="1483"/>
      <c r="W551" s="1384">
        <v>44911</v>
      </c>
      <c r="X551" s="429" t="s">
        <v>13774</v>
      </c>
      <c r="Y551" s="425"/>
      <c r="Z551" s="425"/>
      <c r="AA551" s="425"/>
      <c r="AB551" s="425"/>
      <c r="AC551" s="425"/>
    </row>
    <row r="552" spans="1:32">
      <c r="A552" s="2124">
        <v>44690</v>
      </c>
      <c r="B552" s="2127" t="s">
        <v>11805</v>
      </c>
      <c r="C552" s="2125" t="s">
        <v>6561</v>
      </c>
      <c r="D552" s="2125" t="s">
        <v>4864</v>
      </c>
      <c r="E552" s="2126" t="s">
        <v>1447</v>
      </c>
      <c r="F552" s="2125">
        <v>2</v>
      </c>
      <c r="G552" s="2127" t="s">
        <v>11808</v>
      </c>
      <c r="H552" s="2125"/>
      <c r="I552" s="2125" t="s">
        <v>1780</v>
      </c>
      <c r="J552" s="2125"/>
      <c r="K552" s="2128">
        <v>11700000</v>
      </c>
      <c r="L552" s="2125" t="s">
        <v>251</v>
      </c>
      <c r="M552" s="2124">
        <v>44784</v>
      </c>
      <c r="N552" s="2124">
        <v>44860</v>
      </c>
      <c r="O552" s="2125"/>
      <c r="P552" s="2136" t="s">
        <v>7449</v>
      </c>
      <c r="Q552" s="2125"/>
      <c r="R552" s="2128"/>
      <c r="S552" s="2128"/>
      <c r="T552" s="2129"/>
      <c r="U552" s="2129"/>
      <c r="V552" s="2129"/>
      <c r="W552" s="2128"/>
      <c r="X552" s="2128"/>
      <c r="Y552" s="2125"/>
      <c r="Z552" s="2124">
        <v>44904</v>
      </c>
      <c r="AA552" s="2579" t="s">
        <v>13556</v>
      </c>
      <c r="AB552" s="2125"/>
      <c r="AC552" s="2125"/>
    </row>
    <row r="553" spans="1:32" ht="15.75" thickBot="1">
      <c r="A553" s="2130">
        <v>44690</v>
      </c>
      <c r="B553" s="2133" t="s">
        <v>11806</v>
      </c>
      <c r="C553" s="2131" t="s">
        <v>6561</v>
      </c>
      <c r="D553" s="2131" t="s">
        <v>4864</v>
      </c>
      <c r="E553" s="2132" t="s">
        <v>1447</v>
      </c>
      <c r="F553" s="2131">
        <v>3</v>
      </c>
      <c r="G553" s="2133" t="s">
        <v>11809</v>
      </c>
      <c r="H553" s="2131"/>
      <c r="I553" s="2131" t="s">
        <v>1780</v>
      </c>
      <c r="J553" s="2131"/>
      <c r="K553" s="2134">
        <v>765000</v>
      </c>
      <c r="L553" s="2131" t="s">
        <v>251</v>
      </c>
      <c r="M553" s="2130">
        <v>44784</v>
      </c>
      <c r="N553" s="2130">
        <v>44860</v>
      </c>
      <c r="O553" s="2131"/>
      <c r="P553" s="2137" t="s">
        <v>304</v>
      </c>
      <c r="Q553" s="2131"/>
      <c r="R553" s="2134"/>
      <c r="S553" s="2134"/>
      <c r="T553" s="2135"/>
      <c r="U553" s="2135"/>
      <c r="V553" s="2135"/>
      <c r="W553" s="2134"/>
      <c r="X553" s="2134"/>
      <c r="Y553" s="2131"/>
      <c r="Z553" s="2130">
        <v>44904</v>
      </c>
      <c r="AA553" s="2580" t="s">
        <v>13556</v>
      </c>
      <c r="AB553" s="2131"/>
      <c r="AC553" s="2131"/>
    </row>
    <row r="554" spans="1:32" ht="30.75" thickTop="1">
      <c r="A554" s="498">
        <v>44692</v>
      </c>
      <c r="B554" s="669" t="s">
        <v>11821</v>
      </c>
      <c r="C554" s="232" t="s">
        <v>2434</v>
      </c>
      <c r="D554" s="232" t="s">
        <v>3204</v>
      </c>
      <c r="E554" s="274" t="s">
        <v>11822</v>
      </c>
      <c r="F554" s="232"/>
      <c r="G554" s="2731"/>
      <c r="H554" s="232"/>
      <c r="I554" s="232" t="s">
        <v>642</v>
      </c>
      <c r="J554" s="232"/>
      <c r="K554" s="499">
        <v>1193125</v>
      </c>
      <c r="L554" s="232" t="s">
        <v>251</v>
      </c>
      <c r="M554" s="498">
        <v>44705</v>
      </c>
      <c r="N554" s="498">
        <v>44739</v>
      </c>
      <c r="O554" s="498">
        <v>44785</v>
      </c>
      <c r="P554" s="669" t="s">
        <v>6322</v>
      </c>
      <c r="Q554" s="232"/>
      <c r="R554" s="499">
        <v>1193055.25</v>
      </c>
      <c r="S554" s="499">
        <v>1443596.85</v>
      </c>
      <c r="T554" s="1545"/>
      <c r="U554" s="1545"/>
      <c r="V554" s="1545"/>
      <c r="W554" s="682">
        <v>44785</v>
      </c>
      <c r="X554" s="1752" t="s">
        <v>12740</v>
      </c>
      <c r="Y554" s="498">
        <v>44826</v>
      </c>
      <c r="Z554" s="498">
        <v>44853</v>
      </c>
      <c r="AA554" s="498">
        <v>45921</v>
      </c>
      <c r="AB554" s="1546" t="s">
        <v>13122</v>
      </c>
      <c r="AC554" s="1546">
        <v>2023</v>
      </c>
      <c r="AD554" s="388">
        <v>2024</v>
      </c>
      <c r="AE554" s="388" t="s">
        <v>13128</v>
      </c>
    </row>
    <row r="555" spans="1:32" ht="30">
      <c r="A555" s="365">
        <v>44693</v>
      </c>
      <c r="B555" s="2667" t="s">
        <v>11818</v>
      </c>
      <c r="C555" s="2666" t="s">
        <v>58</v>
      </c>
      <c r="D555" s="2666" t="s">
        <v>4969</v>
      </c>
      <c r="E555" s="175" t="s">
        <v>11819</v>
      </c>
      <c r="F555" s="2666"/>
      <c r="G555" s="2667"/>
      <c r="H555" s="2666"/>
      <c r="I555" s="2666" t="s">
        <v>62</v>
      </c>
      <c r="J555" s="2666" t="s">
        <v>11820</v>
      </c>
      <c r="K555" s="364">
        <v>253000</v>
      </c>
      <c r="L555" s="2666" t="s">
        <v>112</v>
      </c>
      <c r="M555" s="365">
        <v>44693</v>
      </c>
      <c r="N555" s="365">
        <v>44701</v>
      </c>
      <c r="O555" s="365">
        <v>44714</v>
      </c>
      <c r="P555" s="2667" t="s">
        <v>1728</v>
      </c>
      <c r="Q555" s="2666"/>
      <c r="R555" s="364">
        <v>225670</v>
      </c>
      <c r="S555" s="364">
        <v>273060.7</v>
      </c>
      <c r="T555" s="1473"/>
      <c r="U555" s="1473"/>
      <c r="V555" s="1473"/>
      <c r="W555" s="681">
        <v>44714</v>
      </c>
      <c r="X555" s="1417" t="s">
        <v>12047</v>
      </c>
      <c r="Y555" s="365">
        <v>44746</v>
      </c>
      <c r="Z555" s="365">
        <v>44757</v>
      </c>
      <c r="AA555" s="365">
        <v>44774</v>
      </c>
      <c r="AB555" s="365">
        <v>44845</v>
      </c>
      <c r="AC555" s="451" t="s">
        <v>1875</v>
      </c>
    </row>
    <row r="556" spans="1:32">
      <c r="A556" s="2140">
        <v>44693</v>
      </c>
      <c r="B556" s="2143" t="s">
        <v>11823</v>
      </c>
      <c r="C556" s="2141" t="s">
        <v>69</v>
      </c>
      <c r="D556" s="2141" t="s">
        <v>70</v>
      </c>
      <c r="E556" s="2142" t="s">
        <v>11824</v>
      </c>
      <c r="F556" s="2141"/>
      <c r="G556" s="2143"/>
      <c r="H556" s="2141"/>
      <c r="I556" s="2141" t="s">
        <v>93</v>
      </c>
      <c r="J556" s="2141"/>
      <c r="K556" s="2144">
        <v>3913800</v>
      </c>
      <c r="L556" s="2141" t="s">
        <v>251</v>
      </c>
      <c r="M556" s="2140">
        <v>44700</v>
      </c>
      <c r="N556" s="2140">
        <v>44735</v>
      </c>
      <c r="O556" s="2140">
        <v>44757</v>
      </c>
      <c r="P556" s="2143" t="s">
        <v>576</v>
      </c>
      <c r="Q556" s="2141"/>
      <c r="R556" s="2144">
        <v>2874013.08</v>
      </c>
      <c r="S556" s="2144">
        <v>3161414.39</v>
      </c>
      <c r="T556" s="2145"/>
      <c r="U556" s="2145"/>
      <c r="V556" s="2145"/>
      <c r="W556" s="2146">
        <v>44757</v>
      </c>
      <c r="X556" s="2144" t="s">
        <v>12503</v>
      </c>
      <c r="Y556" s="2140">
        <v>44785</v>
      </c>
      <c r="Z556" s="2140">
        <v>44788</v>
      </c>
      <c r="AA556" s="2140">
        <v>45880</v>
      </c>
      <c r="AB556" s="2109" t="s">
        <v>12744</v>
      </c>
      <c r="AC556" s="2109">
        <v>2023</v>
      </c>
      <c r="AD556" s="388">
        <v>2024</v>
      </c>
      <c r="AE556" s="388" t="s">
        <v>12745</v>
      </c>
    </row>
    <row r="557" spans="1:32">
      <c r="A557" s="2140">
        <v>44693</v>
      </c>
      <c r="B557" s="2143" t="s">
        <v>11828</v>
      </c>
      <c r="C557" s="2141" t="s">
        <v>69</v>
      </c>
      <c r="D557" s="2141" t="s">
        <v>70</v>
      </c>
      <c r="E557" s="2142" t="s">
        <v>11829</v>
      </c>
      <c r="F557" s="2141"/>
      <c r="G557" s="2143"/>
      <c r="H557" s="2141"/>
      <c r="I557" s="2141" t="s">
        <v>93</v>
      </c>
      <c r="J557" s="2141"/>
      <c r="K557" s="2144">
        <v>14679615</v>
      </c>
      <c r="L557" s="2141" t="s">
        <v>251</v>
      </c>
      <c r="M557" s="2140">
        <v>44718</v>
      </c>
      <c r="N557" s="2140">
        <v>44753</v>
      </c>
      <c r="O557" s="2140">
        <v>44797</v>
      </c>
      <c r="P557" s="2143" t="s">
        <v>576</v>
      </c>
      <c r="Q557" s="2141"/>
      <c r="R557" s="2144">
        <v>14679613.039999999</v>
      </c>
      <c r="S557" s="2144">
        <v>16147574.34</v>
      </c>
      <c r="T557" s="2145"/>
      <c r="U557" s="2145"/>
      <c r="V557" s="2145"/>
      <c r="W557" s="2146">
        <v>44797</v>
      </c>
      <c r="X557" s="2144" t="s">
        <v>12870</v>
      </c>
      <c r="Y557" s="2140">
        <v>44866</v>
      </c>
      <c r="Z557" s="2140">
        <v>44872</v>
      </c>
      <c r="AA557" s="2140">
        <v>46326</v>
      </c>
      <c r="AB557" s="2109" t="s">
        <v>13445</v>
      </c>
      <c r="AC557" s="2109">
        <v>2023</v>
      </c>
      <c r="AD557" s="388">
        <v>2024</v>
      </c>
      <c r="AE557" s="388">
        <v>2025</v>
      </c>
      <c r="AF557" s="388" t="s">
        <v>13446</v>
      </c>
    </row>
    <row r="558" spans="1:32" ht="30">
      <c r="A558" s="2140">
        <v>44693</v>
      </c>
      <c r="B558" s="2143" t="s">
        <v>11831</v>
      </c>
      <c r="C558" s="2141" t="s">
        <v>58</v>
      </c>
      <c r="D558" s="2141" t="s">
        <v>4969</v>
      </c>
      <c r="E558" s="2142" t="s">
        <v>11832</v>
      </c>
      <c r="F558" s="2141"/>
      <c r="G558" s="2143"/>
      <c r="H558" s="2141"/>
      <c r="I558" s="2141" t="s">
        <v>4313</v>
      </c>
      <c r="J558" s="2141" t="s">
        <v>11833</v>
      </c>
      <c r="K558" s="2144">
        <v>255000</v>
      </c>
      <c r="L558" s="2141" t="s">
        <v>112</v>
      </c>
      <c r="M558" s="2140">
        <v>44697</v>
      </c>
      <c r="N558" s="2140">
        <v>44705</v>
      </c>
      <c r="O558" s="2140">
        <v>44714</v>
      </c>
      <c r="P558" s="2143" t="s">
        <v>11975</v>
      </c>
      <c r="Q558" s="2141"/>
      <c r="R558" s="2144">
        <v>220500</v>
      </c>
      <c r="S558" s="2144">
        <v>266805</v>
      </c>
      <c r="T558" s="2145"/>
      <c r="U558" s="2145"/>
      <c r="V558" s="2145"/>
      <c r="W558" s="2146">
        <v>44714</v>
      </c>
      <c r="X558" s="2260" t="s">
        <v>12349</v>
      </c>
      <c r="Y558" s="2140">
        <v>44739</v>
      </c>
      <c r="Z558" s="2140">
        <v>44740</v>
      </c>
      <c r="AA558" s="2140">
        <v>44769</v>
      </c>
      <c r="AB558" s="2109"/>
      <c r="AC558" s="2109" t="s">
        <v>1875</v>
      </c>
    </row>
    <row r="559" spans="1:32" ht="30.75" thickBot="1">
      <c r="A559" s="498">
        <v>44692</v>
      </c>
      <c r="B559" s="669" t="s">
        <v>11874</v>
      </c>
      <c r="C559" s="232" t="s">
        <v>2434</v>
      </c>
      <c r="D559" s="232" t="s">
        <v>3204</v>
      </c>
      <c r="E559" s="274" t="s">
        <v>11875</v>
      </c>
      <c r="F559" s="232"/>
      <c r="G559" s="669"/>
      <c r="H559" s="232"/>
      <c r="I559" s="232" t="s">
        <v>642</v>
      </c>
      <c r="J559" s="232"/>
      <c r="K559" s="499">
        <v>1083500</v>
      </c>
      <c r="L559" s="232" t="s">
        <v>251</v>
      </c>
      <c r="M559" s="498">
        <v>44706</v>
      </c>
      <c r="N559" s="498">
        <v>44740</v>
      </c>
      <c r="O559" s="498">
        <v>44796</v>
      </c>
      <c r="P559" s="669" t="s">
        <v>6322</v>
      </c>
      <c r="Q559" s="232"/>
      <c r="R559" s="499">
        <v>1083460.6000000001</v>
      </c>
      <c r="S559" s="499">
        <v>1310987.08</v>
      </c>
      <c r="T559" s="1545"/>
      <c r="U559" s="1545"/>
      <c r="V559" s="1545"/>
      <c r="W559" s="682">
        <v>44796</v>
      </c>
      <c r="X559" s="1752" t="s">
        <v>12838</v>
      </c>
      <c r="Y559" s="498">
        <v>44844</v>
      </c>
      <c r="Z559" s="498">
        <v>44869</v>
      </c>
      <c r="AA559" s="498">
        <v>45939</v>
      </c>
      <c r="AB559" s="1546" t="s">
        <v>13244</v>
      </c>
      <c r="AC559" s="1546">
        <v>2023</v>
      </c>
      <c r="AD559" s="388">
        <v>2024</v>
      </c>
      <c r="AE559" s="388" t="s">
        <v>13245</v>
      </c>
    </row>
    <row r="560" spans="1:32" ht="15.75" thickTop="1">
      <c r="A560" s="474">
        <v>44694</v>
      </c>
      <c r="B560" s="1420" t="s">
        <v>11837</v>
      </c>
      <c r="C560" s="453" t="s">
        <v>69</v>
      </c>
      <c r="D560" s="453" t="s">
        <v>70</v>
      </c>
      <c r="E560" s="473" t="s">
        <v>11838</v>
      </c>
      <c r="F560" s="453">
        <v>1</v>
      </c>
      <c r="G560" s="1420" t="s">
        <v>11158</v>
      </c>
      <c r="H560" s="453"/>
      <c r="I560" s="453" t="s">
        <v>93</v>
      </c>
      <c r="J560" s="453"/>
      <c r="K560" s="457">
        <v>112125</v>
      </c>
      <c r="L560" s="453" t="s">
        <v>251</v>
      </c>
      <c r="M560" s="474">
        <v>44705</v>
      </c>
      <c r="N560" s="474">
        <v>44753</v>
      </c>
      <c r="O560" s="474">
        <v>44796</v>
      </c>
      <c r="P560" s="1420" t="s">
        <v>2548</v>
      </c>
      <c r="Q560" s="453"/>
      <c r="R560" s="457">
        <v>111870</v>
      </c>
      <c r="S560" s="457">
        <v>123057</v>
      </c>
      <c r="T560" s="1474"/>
      <c r="U560" s="1474"/>
      <c r="V560" s="1474"/>
      <c r="W560" s="570">
        <v>44797</v>
      </c>
      <c r="X560" s="457" t="s">
        <v>12866</v>
      </c>
      <c r="Y560" s="474">
        <v>44847</v>
      </c>
      <c r="Z560" s="474">
        <v>44851</v>
      </c>
      <c r="AA560" s="474">
        <v>45942</v>
      </c>
      <c r="AB560" s="1391" t="s">
        <v>13298</v>
      </c>
      <c r="AC560" s="1391">
        <v>2023</v>
      </c>
      <c r="AD560" s="388">
        <v>2024</v>
      </c>
      <c r="AE560" s="388" t="s">
        <v>13301</v>
      </c>
    </row>
    <row r="561" spans="1:43" ht="15.75" thickBot="1">
      <c r="A561" s="2117">
        <v>44694</v>
      </c>
      <c r="B561" s="2120" t="s">
        <v>11839</v>
      </c>
      <c r="C561" s="2118" t="s">
        <v>69</v>
      </c>
      <c r="D561" s="2118" t="s">
        <v>70</v>
      </c>
      <c r="E561" s="2119" t="s">
        <v>11838</v>
      </c>
      <c r="F561" s="2118">
        <v>2</v>
      </c>
      <c r="G561" s="2120" t="s">
        <v>11840</v>
      </c>
      <c r="H561" s="2118"/>
      <c r="I561" s="2118" t="s">
        <v>93</v>
      </c>
      <c r="J561" s="2118"/>
      <c r="K561" s="2121">
        <v>2305480</v>
      </c>
      <c r="L561" s="2118" t="s">
        <v>251</v>
      </c>
      <c r="M561" s="2117">
        <v>44705</v>
      </c>
      <c r="N561" s="2117">
        <v>44753</v>
      </c>
      <c r="O561" s="2117">
        <v>44796</v>
      </c>
      <c r="P561" s="2120" t="s">
        <v>2548</v>
      </c>
      <c r="Q561" s="2118"/>
      <c r="R561" s="2121">
        <v>2222207.79</v>
      </c>
      <c r="S561" s="2121">
        <v>2444428.5699999998</v>
      </c>
      <c r="T561" s="2122"/>
      <c r="U561" s="2122"/>
      <c r="V561" s="2122"/>
      <c r="W561" s="2123">
        <v>44797</v>
      </c>
      <c r="X561" s="2121" t="s">
        <v>12867</v>
      </c>
      <c r="Y561" s="2117">
        <v>44847</v>
      </c>
      <c r="Z561" s="2117">
        <v>44851</v>
      </c>
      <c r="AA561" s="2117">
        <v>45942</v>
      </c>
      <c r="AB561" s="2110" t="s">
        <v>13298</v>
      </c>
      <c r="AC561" s="2110">
        <v>2023</v>
      </c>
      <c r="AD561" s="388">
        <v>2024</v>
      </c>
      <c r="AE561" s="388" t="s">
        <v>13301</v>
      </c>
    </row>
    <row r="562" spans="1:43" ht="15.75" thickTop="1">
      <c r="A562" s="474">
        <v>44694</v>
      </c>
      <c r="B562" s="1420" t="s">
        <v>11849</v>
      </c>
      <c r="C562" s="453" t="s">
        <v>69</v>
      </c>
      <c r="D562" s="453" t="s">
        <v>70</v>
      </c>
      <c r="E562" s="473" t="s">
        <v>11857</v>
      </c>
      <c r="F562" s="453">
        <v>1</v>
      </c>
      <c r="G562" s="1420" t="s">
        <v>11841</v>
      </c>
      <c r="H562" s="453"/>
      <c r="I562" s="453" t="s">
        <v>3237</v>
      </c>
      <c r="J562" s="453"/>
      <c r="K562" s="457">
        <v>58465</v>
      </c>
      <c r="L562" s="453" t="s">
        <v>112</v>
      </c>
      <c r="M562" s="474">
        <v>44721</v>
      </c>
      <c r="N562" s="474">
        <v>44740</v>
      </c>
      <c r="O562" s="474">
        <v>44789</v>
      </c>
      <c r="P562" s="1420" t="s">
        <v>576</v>
      </c>
      <c r="Q562" s="453"/>
      <c r="R562" s="457">
        <v>57836.32</v>
      </c>
      <c r="S562" s="457">
        <v>63619.95</v>
      </c>
      <c r="T562" s="1474"/>
      <c r="U562" s="1474"/>
      <c r="V562" s="1474"/>
      <c r="W562" s="570">
        <v>44789</v>
      </c>
      <c r="X562" s="457" t="s">
        <v>12781</v>
      </c>
      <c r="Y562" s="474">
        <v>44852</v>
      </c>
      <c r="Z562" s="474">
        <v>44854</v>
      </c>
      <c r="AA562" s="474">
        <v>46312</v>
      </c>
      <c r="AB562" s="1391" t="s">
        <v>13326</v>
      </c>
      <c r="AC562" s="1391">
        <v>2023</v>
      </c>
      <c r="AD562" s="388">
        <v>2024</v>
      </c>
      <c r="AE562" s="388">
        <v>2025</v>
      </c>
      <c r="AF562" s="388" t="s">
        <v>13334</v>
      </c>
    </row>
    <row r="563" spans="1:43">
      <c r="A563" s="2140">
        <v>44694</v>
      </c>
      <c r="B563" s="2721" t="s">
        <v>11850</v>
      </c>
      <c r="C563" s="2141" t="s">
        <v>69</v>
      </c>
      <c r="D563" s="2141" t="s">
        <v>70</v>
      </c>
      <c r="E563" s="175" t="s">
        <v>11857</v>
      </c>
      <c r="F563" s="2141">
        <v>2</v>
      </c>
      <c r="G563" s="2143" t="s">
        <v>11842</v>
      </c>
      <c r="H563" s="2141"/>
      <c r="I563" s="2141" t="s">
        <v>3237</v>
      </c>
      <c r="J563" s="2141"/>
      <c r="K563" s="2144">
        <v>42573</v>
      </c>
      <c r="L563" s="2141" t="s">
        <v>112</v>
      </c>
      <c r="M563" s="2140">
        <v>44721</v>
      </c>
      <c r="N563" s="2140">
        <v>44740</v>
      </c>
      <c r="O563" s="2140">
        <v>44789</v>
      </c>
      <c r="P563" s="2143" t="s">
        <v>2548</v>
      </c>
      <c r="Q563" s="2141"/>
      <c r="R563" s="2144">
        <v>42573</v>
      </c>
      <c r="S563" s="2144">
        <v>46830.3</v>
      </c>
      <c r="T563" s="2145"/>
      <c r="U563" s="2145"/>
      <c r="V563" s="2145"/>
      <c r="W563" s="2146">
        <v>44789</v>
      </c>
      <c r="X563" s="2144" t="s">
        <v>12782</v>
      </c>
      <c r="Y563" s="2140">
        <v>44826</v>
      </c>
      <c r="Z563" s="2140">
        <v>44826</v>
      </c>
      <c r="AA563" s="2140">
        <v>46286</v>
      </c>
      <c r="AB563" s="2109" t="s">
        <v>13122</v>
      </c>
      <c r="AC563" s="2109">
        <v>2023</v>
      </c>
      <c r="AD563" s="388">
        <v>2024</v>
      </c>
      <c r="AE563" s="388">
        <v>2025</v>
      </c>
      <c r="AF563" s="388" t="s">
        <v>13127</v>
      </c>
    </row>
    <row r="564" spans="1:43">
      <c r="A564" s="2140">
        <v>44694</v>
      </c>
      <c r="B564" s="2721" t="s">
        <v>11851</v>
      </c>
      <c r="C564" s="2141" t="s">
        <v>69</v>
      </c>
      <c r="D564" s="2141" t="s">
        <v>70</v>
      </c>
      <c r="E564" s="175" t="s">
        <v>11857</v>
      </c>
      <c r="F564" s="2141">
        <v>3</v>
      </c>
      <c r="G564" s="2143" t="s">
        <v>11843</v>
      </c>
      <c r="H564" s="2141"/>
      <c r="I564" s="2141" t="s">
        <v>3237</v>
      </c>
      <c r="J564" s="2141"/>
      <c r="K564" s="2144">
        <v>44572</v>
      </c>
      <c r="L564" s="2141" t="s">
        <v>112</v>
      </c>
      <c r="M564" s="2140">
        <v>44721</v>
      </c>
      <c r="N564" s="2140">
        <v>44740</v>
      </c>
      <c r="O564" s="2140">
        <v>44789</v>
      </c>
      <c r="P564" s="2143" t="s">
        <v>2548</v>
      </c>
      <c r="Q564" s="2141"/>
      <c r="R564" s="2144">
        <v>44561.96</v>
      </c>
      <c r="S564" s="2144">
        <v>49018.16</v>
      </c>
      <c r="T564" s="2145"/>
      <c r="U564" s="2145"/>
      <c r="V564" s="2145"/>
      <c r="W564" s="2146">
        <v>44789</v>
      </c>
      <c r="X564" s="2144" t="s">
        <v>12783</v>
      </c>
      <c r="Y564" s="2140">
        <v>44826</v>
      </c>
      <c r="Z564" s="2140">
        <v>44826</v>
      </c>
      <c r="AA564" s="2140">
        <v>46286</v>
      </c>
      <c r="AB564" s="2109" t="s">
        <v>13122</v>
      </c>
      <c r="AC564" s="2109">
        <v>2023</v>
      </c>
      <c r="AD564" s="388">
        <v>2024</v>
      </c>
      <c r="AE564" s="388">
        <v>2025</v>
      </c>
      <c r="AF564" s="388" t="s">
        <v>13127</v>
      </c>
    </row>
    <row r="565" spans="1:43">
      <c r="A565" s="2140">
        <v>44694</v>
      </c>
      <c r="B565" s="2721" t="s">
        <v>11852</v>
      </c>
      <c r="C565" s="2141" t="s">
        <v>69</v>
      </c>
      <c r="D565" s="2141" t="s">
        <v>70</v>
      </c>
      <c r="E565" s="175" t="s">
        <v>11857</v>
      </c>
      <c r="F565" s="2141">
        <v>4</v>
      </c>
      <c r="G565" s="2143" t="s">
        <v>11844</v>
      </c>
      <c r="H565" s="2141"/>
      <c r="I565" s="2141" t="s">
        <v>3237</v>
      </c>
      <c r="J565" s="2141"/>
      <c r="K565" s="2144">
        <v>100344</v>
      </c>
      <c r="L565" s="2141" t="s">
        <v>112</v>
      </c>
      <c r="M565" s="2140">
        <v>44721</v>
      </c>
      <c r="N565" s="2140">
        <v>44740</v>
      </c>
      <c r="O565" s="2140">
        <v>44789</v>
      </c>
      <c r="P565" s="2143" t="s">
        <v>2548</v>
      </c>
      <c r="Q565" s="2141"/>
      <c r="R565" s="2144">
        <v>89464.36</v>
      </c>
      <c r="S565" s="2144">
        <v>98410.8</v>
      </c>
      <c r="T565" s="2145"/>
      <c r="U565" s="2145"/>
      <c r="V565" s="2145"/>
      <c r="W565" s="2146">
        <v>44789</v>
      </c>
      <c r="X565" s="2144" t="s">
        <v>12784</v>
      </c>
      <c r="Y565" s="2140">
        <v>44826</v>
      </c>
      <c r="Z565" s="2140">
        <v>44826</v>
      </c>
      <c r="AA565" s="2140">
        <v>46286</v>
      </c>
      <c r="AB565" s="2109" t="s">
        <v>13122</v>
      </c>
      <c r="AC565" s="2109">
        <v>2023</v>
      </c>
      <c r="AD565" s="388">
        <v>2024</v>
      </c>
      <c r="AE565" s="388">
        <v>2025</v>
      </c>
      <c r="AF565" s="388" t="s">
        <v>13127</v>
      </c>
    </row>
    <row r="566" spans="1:43">
      <c r="A566" s="2140">
        <v>44694</v>
      </c>
      <c r="B566" s="2721" t="s">
        <v>11853</v>
      </c>
      <c r="C566" s="2141" t="s">
        <v>69</v>
      </c>
      <c r="D566" s="2141" t="s">
        <v>70</v>
      </c>
      <c r="E566" s="175" t="s">
        <v>11857</v>
      </c>
      <c r="F566" s="2141">
        <v>5</v>
      </c>
      <c r="G566" s="2143" t="s">
        <v>11845</v>
      </c>
      <c r="H566" s="2141"/>
      <c r="I566" s="2141" t="s">
        <v>3237</v>
      </c>
      <c r="J566" s="2141"/>
      <c r="K566" s="2144">
        <v>957957</v>
      </c>
      <c r="L566" s="2141" t="s">
        <v>112</v>
      </c>
      <c r="M566" s="2140">
        <v>44721</v>
      </c>
      <c r="N566" s="2140">
        <v>44740</v>
      </c>
      <c r="O566" s="2140">
        <v>44789</v>
      </c>
      <c r="P566" s="2143" t="s">
        <v>2548</v>
      </c>
      <c r="Q566" s="2141"/>
      <c r="R566" s="2144">
        <v>957955.4</v>
      </c>
      <c r="S566" s="2144">
        <v>1053750.94</v>
      </c>
      <c r="T566" s="2145"/>
      <c r="U566" s="2145"/>
      <c r="V566" s="2145"/>
      <c r="W566" s="2146">
        <v>44789</v>
      </c>
      <c r="X566" s="2144" t="s">
        <v>12785</v>
      </c>
      <c r="Y566" s="2140">
        <v>44826</v>
      </c>
      <c r="Z566" s="2140">
        <v>44826</v>
      </c>
      <c r="AA566" s="2140">
        <v>46286</v>
      </c>
      <c r="AB566" s="2109" t="s">
        <v>13122</v>
      </c>
      <c r="AC566" s="2109">
        <v>2023</v>
      </c>
      <c r="AD566" s="388">
        <v>2024</v>
      </c>
      <c r="AE566" s="388">
        <v>2025</v>
      </c>
      <c r="AF566" s="388" t="s">
        <v>13127</v>
      </c>
    </row>
    <row r="567" spans="1:43">
      <c r="A567" s="2140">
        <v>44694</v>
      </c>
      <c r="B567" s="2721" t="s">
        <v>11854</v>
      </c>
      <c r="C567" s="2141" t="s">
        <v>69</v>
      </c>
      <c r="D567" s="2141" t="s">
        <v>70</v>
      </c>
      <c r="E567" s="175" t="s">
        <v>11857</v>
      </c>
      <c r="F567" s="2141">
        <v>6</v>
      </c>
      <c r="G567" s="2143" t="s">
        <v>11846</v>
      </c>
      <c r="H567" s="2141"/>
      <c r="I567" s="2141" t="s">
        <v>3237</v>
      </c>
      <c r="J567" s="2141"/>
      <c r="K567" s="2144">
        <v>349305</v>
      </c>
      <c r="L567" s="2141" t="s">
        <v>112</v>
      </c>
      <c r="M567" s="2140">
        <v>44721</v>
      </c>
      <c r="N567" s="2140">
        <v>44740</v>
      </c>
      <c r="O567" s="2140">
        <v>44789</v>
      </c>
      <c r="P567" s="2143" t="s">
        <v>2548</v>
      </c>
      <c r="Q567" s="2141"/>
      <c r="R567" s="2144">
        <v>349066</v>
      </c>
      <c r="S567" s="2144">
        <v>383972.6</v>
      </c>
      <c r="T567" s="2145"/>
      <c r="U567" s="2145"/>
      <c r="V567" s="2145"/>
      <c r="W567" s="2146">
        <v>44789</v>
      </c>
      <c r="X567" s="2144" t="s">
        <v>12786</v>
      </c>
      <c r="Y567" s="2140">
        <v>44826</v>
      </c>
      <c r="Z567" s="2140">
        <v>44826</v>
      </c>
      <c r="AA567" s="2140">
        <v>46286</v>
      </c>
      <c r="AB567" s="2109" t="s">
        <v>13122</v>
      </c>
      <c r="AC567" s="2109">
        <v>2023</v>
      </c>
      <c r="AD567" s="388">
        <v>2024</v>
      </c>
      <c r="AE567" s="388">
        <v>2025</v>
      </c>
      <c r="AF567" s="388" t="s">
        <v>13127</v>
      </c>
    </row>
    <row r="568" spans="1:43">
      <c r="A568" s="2140">
        <v>44694</v>
      </c>
      <c r="B568" s="2721" t="s">
        <v>11855</v>
      </c>
      <c r="C568" s="2141" t="s">
        <v>69</v>
      </c>
      <c r="D568" s="2141" t="s">
        <v>70</v>
      </c>
      <c r="E568" s="175" t="s">
        <v>11857</v>
      </c>
      <c r="F568" s="2141">
        <v>7</v>
      </c>
      <c r="G568" s="2143" t="s">
        <v>11847</v>
      </c>
      <c r="H568" s="2141"/>
      <c r="I568" s="2141" t="s">
        <v>3237</v>
      </c>
      <c r="J568" s="2141"/>
      <c r="K568" s="2144">
        <v>86076</v>
      </c>
      <c r="L568" s="2141" t="s">
        <v>112</v>
      </c>
      <c r="M568" s="2140">
        <v>44721</v>
      </c>
      <c r="N568" s="2140">
        <v>44740</v>
      </c>
      <c r="O568" s="2140">
        <v>44789</v>
      </c>
      <c r="P568" s="2143" t="s">
        <v>2548</v>
      </c>
      <c r="Q568" s="2141"/>
      <c r="R568" s="2144">
        <v>86075.92</v>
      </c>
      <c r="S568" s="2144">
        <v>94683.51</v>
      </c>
      <c r="T568" s="2145"/>
      <c r="U568" s="2145"/>
      <c r="V568" s="2145"/>
      <c r="W568" s="2146">
        <v>44789</v>
      </c>
      <c r="X568" s="2144" t="s">
        <v>12787</v>
      </c>
      <c r="Y568" s="2140">
        <v>44826</v>
      </c>
      <c r="Z568" s="2140">
        <v>44826</v>
      </c>
      <c r="AA568" s="2140">
        <v>46286</v>
      </c>
      <c r="AB568" s="2109" t="s">
        <v>13122</v>
      </c>
      <c r="AC568" s="2109">
        <v>2023</v>
      </c>
      <c r="AD568" s="388">
        <v>2024</v>
      </c>
      <c r="AE568" s="388">
        <v>2025</v>
      </c>
      <c r="AF568" s="388" t="s">
        <v>13127</v>
      </c>
    </row>
    <row r="569" spans="1:43" ht="15.75" thickBot="1">
      <c r="A569" s="2117">
        <v>44694</v>
      </c>
      <c r="B569" s="1983" t="s">
        <v>11856</v>
      </c>
      <c r="C569" s="2118" t="s">
        <v>69</v>
      </c>
      <c r="D569" s="2118" t="s">
        <v>70</v>
      </c>
      <c r="E569" s="672" t="s">
        <v>11857</v>
      </c>
      <c r="F569" s="2118">
        <v>8</v>
      </c>
      <c r="G569" s="2120" t="s">
        <v>11848</v>
      </c>
      <c r="H569" s="2118"/>
      <c r="I569" s="2118" t="s">
        <v>3237</v>
      </c>
      <c r="J569" s="2118"/>
      <c r="K569" s="2121">
        <v>81585</v>
      </c>
      <c r="L569" s="2118" t="s">
        <v>112</v>
      </c>
      <c r="M569" s="2117">
        <v>44721</v>
      </c>
      <c r="N569" s="2117">
        <v>44740</v>
      </c>
      <c r="O569" s="2117">
        <v>44789</v>
      </c>
      <c r="P569" s="2120" t="s">
        <v>576</v>
      </c>
      <c r="Q569" s="2118"/>
      <c r="R569" s="2121">
        <v>72999.12</v>
      </c>
      <c r="S569" s="2121">
        <v>80299.03</v>
      </c>
      <c r="T569" s="2122"/>
      <c r="U569" s="2122"/>
      <c r="V569" s="2122"/>
      <c r="W569" s="2123">
        <v>44789</v>
      </c>
      <c r="X569" s="2121" t="s">
        <v>12788</v>
      </c>
      <c r="Y569" s="2117">
        <v>44852</v>
      </c>
      <c r="Z569" s="2117">
        <v>44854</v>
      </c>
      <c r="AA569" s="2117">
        <v>46312</v>
      </c>
      <c r="AB569" s="2110" t="s">
        <v>13326</v>
      </c>
      <c r="AC569" s="2110">
        <v>2023</v>
      </c>
      <c r="AD569" s="388">
        <v>2024</v>
      </c>
      <c r="AE569" s="388">
        <v>2025</v>
      </c>
      <c r="AF569" s="388" t="s">
        <v>13334</v>
      </c>
    </row>
    <row r="570" spans="1:43" ht="15.75" thickTop="1">
      <c r="A570" s="474">
        <v>44694</v>
      </c>
      <c r="B570" s="1420" t="s">
        <v>11863</v>
      </c>
      <c r="C570" s="453" t="s">
        <v>69</v>
      </c>
      <c r="D570" s="453" t="s">
        <v>70</v>
      </c>
      <c r="E570" s="473" t="s">
        <v>11869</v>
      </c>
      <c r="F570" s="453">
        <v>1</v>
      </c>
      <c r="G570" s="1420" t="s">
        <v>10963</v>
      </c>
      <c r="H570" s="453"/>
      <c r="I570" s="453" t="s">
        <v>814</v>
      </c>
      <c r="J570" s="453"/>
      <c r="K570" s="457">
        <v>270516</v>
      </c>
      <c r="L570" s="453" t="s">
        <v>251</v>
      </c>
      <c r="M570" s="474">
        <v>44739</v>
      </c>
      <c r="N570" s="474">
        <v>44774</v>
      </c>
      <c r="O570" s="474">
        <v>44855</v>
      </c>
      <c r="P570" s="1420" t="s">
        <v>2548</v>
      </c>
      <c r="Q570" s="453"/>
      <c r="R570" s="457">
        <v>268169.40000000002</v>
      </c>
      <c r="S570" s="457">
        <v>294986.34000000003</v>
      </c>
      <c r="T570" s="1474"/>
      <c r="U570" s="1474"/>
      <c r="V570" s="1474"/>
      <c r="W570" s="570">
        <v>44855</v>
      </c>
      <c r="X570" s="457" t="s">
        <v>13380</v>
      </c>
      <c r="Y570" s="474">
        <v>44893</v>
      </c>
      <c r="Z570" s="474">
        <v>44901</v>
      </c>
      <c r="AA570" s="474">
        <v>45988</v>
      </c>
      <c r="AB570" s="1391" t="s">
        <v>13635</v>
      </c>
      <c r="AC570" s="1391">
        <v>2023</v>
      </c>
      <c r="AD570" s="388">
        <v>2024</v>
      </c>
      <c r="AE570" s="388" t="s">
        <v>13636</v>
      </c>
    </row>
    <row r="571" spans="1:43">
      <c r="A571" s="2140">
        <v>44694</v>
      </c>
      <c r="B571" s="2788" t="s">
        <v>11864</v>
      </c>
      <c r="C571" s="2141" t="s">
        <v>69</v>
      </c>
      <c r="D571" s="2141" t="s">
        <v>70</v>
      </c>
      <c r="E571" s="175" t="s">
        <v>11869</v>
      </c>
      <c r="F571" s="2141">
        <v>2</v>
      </c>
      <c r="G571" s="2143" t="s">
        <v>11858</v>
      </c>
      <c r="H571" s="2141"/>
      <c r="I571" s="2141" t="s">
        <v>814</v>
      </c>
      <c r="J571" s="2141"/>
      <c r="K571" s="2144">
        <v>701408</v>
      </c>
      <c r="L571" s="2141" t="s">
        <v>251</v>
      </c>
      <c r="M571" s="2140">
        <v>44739</v>
      </c>
      <c r="N571" s="2140">
        <v>44774</v>
      </c>
      <c r="O571" s="2140">
        <v>44855</v>
      </c>
      <c r="P571" s="2143" t="s">
        <v>16350</v>
      </c>
      <c r="Q571" s="2141"/>
      <c r="R571" s="2144">
        <v>665585.81999999995</v>
      </c>
      <c r="S571" s="2144">
        <v>732144.4</v>
      </c>
      <c r="T571" s="2145"/>
      <c r="U571" s="2145"/>
      <c r="V571" s="2145"/>
      <c r="W571" s="2146">
        <v>44855</v>
      </c>
      <c r="X571" s="2144" t="s">
        <v>13381</v>
      </c>
      <c r="Y571" s="2140">
        <v>44889</v>
      </c>
      <c r="Z571" s="2140">
        <v>44901</v>
      </c>
      <c r="AA571" s="2140">
        <v>45984</v>
      </c>
      <c r="AB571" s="2109" t="s">
        <v>13632</v>
      </c>
      <c r="AC571" s="2109">
        <v>2023</v>
      </c>
      <c r="AD571" s="388">
        <v>2024</v>
      </c>
      <c r="AE571" s="388" t="s">
        <v>13633</v>
      </c>
    </row>
    <row r="572" spans="1:43">
      <c r="A572" s="365">
        <v>44694</v>
      </c>
      <c r="B572" s="2788" t="s">
        <v>11865</v>
      </c>
      <c r="C572" s="2141" t="s">
        <v>69</v>
      </c>
      <c r="D572" s="2141" t="s">
        <v>70</v>
      </c>
      <c r="E572" s="175" t="s">
        <v>11869</v>
      </c>
      <c r="F572" s="2141">
        <v>3</v>
      </c>
      <c r="G572" s="2143" t="s">
        <v>11859</v>
      </c>
      <c r="H572" s="2141"/>
      <c r="I572" s="2787" t="s">
        <v>814</v>
      </c>
      <c r="J572" s="2141"/>
      <c r="K572" s="2144">
        <v>101354</v>
      </c>
      <c r="L572" s="2141" t="s">
        <v>251</v>
      </c>
      <c r="M572" s="2140">
        <v>44739</v>
      </c>
      <c r="N572" s="2140">
        <v>44774</v>
      </c>
      <c r="O572" s="2140">
        <v>44855</v>
      </c>
      <c r="P572" s="2143" t="s">
        <v>576</v>
      </c>
      <c r="Q572" s="2141"/>
      <c r="R572" s="2144">
        <v>90465.45</v>
      </c>
      <c r="S572" s="2144">
        <v>99512</v>
      </c>
      <c r="T572" s="2145"/>
      <c r="U572" s="2145"/>
      <c r="V572" s="2145"/>
      <c r="W572" s="2146">
        <v>44855</v>
      </c>
      <c r="X572" s="2144" t="s">
        <v>13382</v>
      </c>
      <c r="Y572" s="2140">
        <v>44893</v>
      </c>
      <c r="Z572" s="2140">
        <v>44901</v>
      </c>
      <c r="AA572" s="2140">
        <v>45988</v>
      </c>
      <c r="AB572" s="2109" t="s">
        <v>13635</v>
      </c>
      <c r="AC572" s="2109">
        <v>2023</v>
      </c>
      <c r="AD572" s="388">
        <v>2024</v>
      </c>
      <c r="AE572" s="388" t="s">
        <v>13636</v>
      </c>
    </row>
    <row r="573" spans="1:43" s="1747" customFormat="1">
      <c r="A573" s="2582">
        <v>44694</v>
      </c>
      <c r="B573" s="2329" t="s">
        <v>11866</v>
      </c>
      <c r="C573" s="2583" t="s">
        <v>69</v>
      </c>
      <c r="D573" s="2583" t="s">
        <v>70</v>
      </c>
      <c r="E573" s="2328" t="s">
        <v>11869</v>
      </c>
      <c r="F573" s="2583">
        <v>4</v>
      </c>
      <c r="G573" s="2514" t="s">
        <v>11860</v>
      </c>
      <c r="H573" s="2583"/>
      <c r="I573" s="2583" t="s">
        <v>814</v>
      </c>
      <c r="J573" s="2583"/>
      <c r="K573" s="2585">
        <v>1485341</v>
      </c>
      <c r="L573" s="2583" t="s">
        <v>251</v>
      </c>
      <c r="M573" s="2582">
        <v>44739</v>
      </c>
      <c r="N573" s="2582">
        <v>44774</v>
      </c>
      <c r="O573" s="2582"/>
      <c r="P573" s="2586" t="s">
        <v>13517</v>
      </c>
      <c r="Q573" s="2583"/>
      <c r="R573" s="2585"/>
      <c r="S573" s="2585"/>
      <c r="T573" s="2775"/>
      <c r="U573" s="2775"/>
      <c r="V573" s="2775"/>
      <c r="W573" s="2776"/>
      <c r="X573" s="2585"/>
      <c r="Y573" s="2583"/>
      <c r="Z573" s="2582">
        <v>44901</v>
      </c>
      <c r="AA573" s="2583" t="s">
        <v>13640</v>
      </c>
      <c r="AB573" s="2583"/>
      <c r="AC573" s="2583"/>
      <c r="AD573" s="359"/>
      <c r="AE573" s="359"/>
      <c r="AF573" s="1746"/>
      <c r="AG573" s="1746"/>
      <c r="AH573" s="1746"/>
      <c r="AI573" s="1746"/>
      <c r="AJ573" s="1746"/>
      <c r="AK573" s="1746"/>
      <c r="AL573" s="1746"/>
      <c r="AM573" s="1746"/>
      <c r="AN573" s="1746"/>
      <c r="AO573" s="1746"/>
      <c r="AP573" s="1746"/>
      <c r="AQ573" s="1746"/>
    </row>
    <row r="574" spans="1:43">
      <c r="A574" s="470">
        <v>44694</v>
      </c>
      <c r="B574" s="654" t="s">
        <v>11867</v>
      </c>
      <c r="C574" s="2125" t="s">
        <v>69</v>
      </c>
      <c r="D574" s="2125" t="s">
        <v>70</v>
      </c>
      <c r="E574" s="467" t="s">
        <v>11869</v>
      </c>
      <c r="F574" s="2125">
        <v>5</v>
      </c>
      <c r="G574" s="2127" t="s">
        <v>11861</v>
      </c>
      <c r="H574" s="2085"/>
      <c r="I574" s="466" t="s">
        <v>814</v>
      </c>
      <c r="J574" s="2125"/>
      <c r="K574" s="2128">
        <v>175924</v>
      </c>
      <c r="L574" s="2125" t="s">
        <v>251</v>
      </c>
      <c r="M574" s="2124">
        <v>44739</v>
      </c>
      <c r="N574" s="2124">
        <v>44774</v>
      </c>
      <c r="O574" s="2125"/>
      <c r="P574" s="2136" t="s">
        <v>304</v>
      </c>
      <c r="Q574" s="2125"/>
      <c r="R574" s="2128"/>
      <c r="S574" s="2128"/>
      <c r="T574" s="2094"/>
      <c r="U574" s="2094"/>
      <c r="V574" s="2094"/>
      <c r="W574" s="2128"/>
      <c r="X574" s="2128"/>
      <c r="Y574" s="2125"/>
      <c r="Z574" s="2124">
        <v>44880</v>
      </c>
      <c r="AA574" s="2125" t="s">
        <v>13384</v>
      </c>
      <c r="AB574" s="2125"/>
      <c r="AC574" s="2125"/>
    </row>
    <row r="575" spans="1:43" ht="15.75" thickBot="1">
      <c r="A575" s="2130">
        <v>44694</v>
      </c>
      <c r="B575" s="2273" t="s">
        <v>11868</v>
      </c>
      <c r="C575" s="2131" t="s">
        <v>69</v>
      </c>
      <c r="D575" s="2131" t="s">
        <v>70</v>
      </c>
      <c r="E575" s="844" t="s">
        <v>11869</v>
      </c>
      <c r="F575" s="2131">
        <v>6</v>
      </c>
      <c r="G575" s="2133" t="s">
        <v>11862</v>
      </c>
      <c r="H575" s="2131"/>
      <c r="I575" s="2131" t="s">
        <v>814</v>
      </c>
      <c r="J575" s="2131"/>
      <c r="K575" s="2134">
        <v>877813</v>
      </c>
      <c r="L575" s="2131" t="s">
        <v>251</v>
      </c>
      <c r="M575" s="2130">
        <v>44739</v>
      </c>
      <c r="N575" s="2130">
        <v>44774</v>
      </c>
      <c r="O575" s="2130">
        <v>44855</v>
      </c>
      <c r="P575" s="2137" t="s">
        <v>13681</v>
      </c>
      <c r="Q575" s="2131"/>
      <c r="R575" s="2134">
        <v>857190.15</v>
      </c>
      <c r="S575" s="2134">
        <v>942909.17</v>
      </c>
      <c r="T575" s="2135"/>
      <c r="U575" s="2135"/>
      <c r="V575" s="2135"/>
      <c r="W575" s="2163">
        <v>44855</v>
      </c>
      <c r="X575" s="2134" t="s">
        <v>13383</v>
      </c>
      <c r="Y575" s="2131"/>
      <c r="Z575" s="2130">
        <v>44901</v>
      </c>
      <c r="AA575" s="2131" t="s">
        <v>13736</v>
      </c>
      <c r="AB575" s="2131"/>
      <c r="AC575" s="2131"/>
    </row>
    <row r="576" spans="1:43" ht="45.75" thickTop="1">
      <c r="A576" s="365">
        <v>44687</v>
      </c>
      <c r="B576" s="2714" t="s">
        <v>11879</v>
      </c>
      <c r="C576" s="2713" t="s">
        <v>58</v>
      </c>
      <c r="D576" s="2713" t="s">
        <v>4969</v>
      </c>
      <c r="E576" s="175" t="s">
        <v>11880</v>
      </c>
      <c r="F576" s="2713"/>
      <c r="G576" s="2714"/>
      <c r="H576" s="2713"/>
      <c r="I576" s="2713" t="s">
        <v>421</v>
      </c>
      <c r="J576" s="2713"/>
      <c r="K576" s="364">
        <v>1727250</v>
      </c>
      <c r="L576" s="2713" t="s">
        <v>251</v>
      </c>
      <c r="M576" s="365">
        <v>44719</v>
      </c>
      <c r="N576" s="365">
        <v>44754</v>
      </c>
      <c r="O576" s="365">
        <v>44771</v>
      </c>
      <c r="P576" s="2714" t="s">
        <v>4315</v>
      </c>
      <c r="Q576" s="2713"/>
      <c r="R576" s="364">
        <v>1675938</v>
      </c>
      <c r="S576" s="364">
        <v>2033208.98</v>
      </c>
      <c r="T576" s="1473"/>
      <c r="U576" s="1473"/>
      <c r="V576" s="1473"/>
      <c r="W576" s="681">
        <v>44771</v>
      </c>
      <c r="X576" s="1417" t="s">
        <v>13072</v>
      </c>
      <c r="Y576" s="2716">
        <v>44819</v>
      </c>
      <c r="Z576" s="365">
        <v>44838</v>
      </c>
      <c r="AA576" s="365">
        <v>44903</v>
      </c>
      <c r="AB576" s="451"/>
      <c r="AC576" s="451" t="s">
        <v>6118</v>
      </c>
    </row>
    <row r="577" spans="1:33">
      <c r="A577" s="2140">
        <v>44693</v>
      </c>
      <c r="B577" s="2143" t="s">
        <v>11881</v>
      </c>
      <c r="C577" s="2141" t="s">
        <v>14</v>
      </c>
      <c r="D577" s="2141" t="s">
        <v>13</v>
      </c>
      <c r="E577" s="2538" t="s">
        <v>11882</v>
      </c>
      <c r="F577" s="2141"/>
      <c r="G577" s="2143"/>
      <c r="H577" s="2085"/>
      <c r="I577" s="2141" t="s">
        <v>39</v>
      </c>
      <c r="J577" s="2141"/>
      <c r="K577" s="2144">
        <v>396000</v>
      </c>
      <c r="L577" s="2141" t="s">
        <v>112</v>
      </c>
      <c r="M577" s="2140">
        <v>44700</v>
      </c>
      <c r="N577" s="2140">
        <v>44708</v>
      </c>
      <c r="O577" s="2140">
        <v>44714</v>
      </c>
      <c r="P577" s="2143" t="s">
        <v>12007</v>
      </c>
      <c r="Q577" s="2141"/>
      <c r="R577" s="2144">
        <v>396000</v>
      </c>
      <c r="S577" s="2144">
        <v>479160</v>
      </c>
      <c r="T577" s="2094"/>
      <c r="U577" s="2094"/>
      <c r="V577" s="2094"/>
      <c r="W577" s="2146">
        <v>44714</v>
      </c>
      <c r="X577" s="2144" t="s">
        <v>12018</v>
      </c>
      <c r="Y577" s="2140">
        <v>44733</v>
      </c>
      <c r="Z577" s="2140">
        <v>44735</v>
      </c>
      <c r="AA577" s="2141" t="s">
        <v>4096</v>
      </c>
      <c r="AB577" s="2109" t="s">
        <v>12288</v>
      </c>
      <c r="AC577" s="2109">
        <v>2023</v>
      </c>
      <c r="AD577" s="388">
        <v>2024</v>
      </c>
      <c r="AE577" s="388">
        <v>2025</v>
      </c>
      <c r="AF577" s="388">
        <v>2026</v>
      </c>
      <c r="AG577" s="388" t="s">
        <v>4435</v>
      </c>
    </row>
    <row r="578" spans="1:33">
      <c r="A578" s="2141" t="s">
        <v>3585</v>
      </c>
      <c r="B578" s="2143" t="s">
        <v>11887</v>
      </c>
      <c r="C578" s="2141" t="s">
        <v>289</v>
      </c>
      <c r="D578" s="2141" t="s">
        <v>6509</v>
      </c>
      <c r="E578" s="2142" t="s">
        <v>11888</v>
      </c>
      <c r="F578" s="2141"/>
      <c r="G578" s="2143"/>
      <c r="H578" s="2141"/>
      <c r="I578" s="2141" t="s">
        <v>11551</v>
      </c>
      <c r="J578" s="2141" t="s">
        <v>11552</v>
      </c>
      <c r="K578" s="2144">
        <v>1239669</v>
      </c>
      <c r="L578" s="2141" t="s">
        <v>112</v>
      </c>
      <c r="M578" s="2140">
        <v>44700</v>
      </c>
      <c r="N578" s="2140">
        <v>44714</v>
      </c>
      <c r="O578" s="2140">
        <v>44722</v>
      </c>
      <c r="P578" s="2143" t="s">
        <v>12088</v>
      </c>
      <c r="Q578" s="2141"/>
      <c r="R578" s="2144">
        <v>1223140.5</v>
      </c>
      <c r="S578" s="2144">
        <v>1480000</v>
      </c>
      <c r="T578" s="2145"/>
      <c r="U578" s="2145"/>
      <c r="V578" s="2145"/>
      <c r="W578" s="2146">
        <v>44722</v>
      </c>
      <c r="X578" s="2144" t="s">
        <v>12117</v>
      </c>
      <c r="Y578" s="2140">
        <v>44756</v>
      </c>
      <c r="Z578" s="2140">
        <v>44757</v>
      </c>
      <c r="AA578" s="2140">
        <v>44996</v>
      </c>
      <c r="AB578" s="2109"/>
      <c r="AC578" s="2106"/>
    </row>
    <row r="579" spans="1:33" ht="30">
      <c r="A579" s="2140">
        <v>44697</v>
      </c>
      <c r="B579" s="2143" t="s">
        <v>11890</v>
      </c>
      <c r="C579" s="2141" t="s">
        <v>58</v>
      </c>
      <c r="D579" s="2141" t="s">
        <v>4969</v>
      </c>
      <c r="E579" s="2142" t="s">
        <v>11934</v>
      </c>
      <c r="F579" s="2141"/>
      <c r="G579" s="2143"/>
      <c r="H579" s="2141"/>
      <c r="I579" s="2141" t="s">
        <v>1159</v>
      </c>
      <c r="J579" s="2141" t="s">
        <v>11891</v>
      </c>
      <c r="K579" s="2144">
        <v>58000</v>
      </c>
      <c r="L579" s="2141" t="s">
        <v>112</v>
      </c>
      <c r="M579" s="2140">
        <v>44705</v>
      </c>
      <c r="N579" s="2140">
        <v>44714</v>
      </c>
      <c r="O579" s="2140">
        <v>44728</v>
      </c>
      <c r="P579" s="2143" t="s">
        <v>7642</v>
      </c>
      <c r="Q579" s="2141"/>
      <c r="R579" s="2144">
        <v>68800</v>
      </c>
      <c r="S579" s="2144">
        <v>83248</v>
      </c>
      <c r="T579" s="2145"/>
      <c r="U579" s="2145"/>
      <c r="V579" s="2145"/>
      <c r="W579" s="2146">
        <v>44728</v>
      </c>
      <c r="X579" s="2260" t="s">
        <v>12249</v>
      </c>
      <c r="Y579" s="2140">
        <v>44767</v>
      </c>
      <c r="Z579" s="2140">
        <v>44768</v>
      </c>
      <c r="AA579" s="2140">
        <v>44823</v>
      </c>
      <c r="AB579" s="2140">
        <v>44844</v>
      </c>
      <c r="AC579" s="2109" t="s">
        <v>1875</v>
      </c>
    </row>
    <row r="580" spans="1:33">
      <c r="A580" s="2140">
        <v>44697</v>
      </c>
      <c r="B580" s="2143" t="s">
        <v>11892</v>
      </c>
      <c r="C580" s="2141" t="s">
        <v>2434</v>
      </c>
      <c r="D580" s="2141" t="s">
        <v>219</v>
      </c>
      <c r="E580" s="2142" t="s">
        <v>13134</v>
      </c>
      <c r="F580" s="2141"/>
      <c r="G580" s="2143"/>
      <c r="H580" s="2141"/>
      <c r="I580" s="2141" t="s">
        <v>3271</v>
      </c>
      <c r="J580" s="2141"/>
      <c r="K580" s="2144">
        <v>6170016.7999999998</v>
      </c>
      <c r="L580" s="2141" t="s">
        <v>251</v>
      </c>
      <c r="M580" s="2140">
        <v>44707</v>
      </c>
      <c r="N580" s="2140">
        <v>44741</v>
      </c>
      <c r="O580" s="2140">
        <v>44774</v>
      </c>
      <c r="P580" s="2143" t="s">
        <v>3154</v>
      </c>
      <c r="Q580" s="2141"/>
      <c r="R580" s="2144">
        <v>6170016.7999999998</v>
      </c>
      <c r="S580" s="2144">
        <v>7095520</v>
      </c>
      <c r="T580" s="2145"/>
      <c r="U580" s="2145"/>
      <c r="V580" s="2145"/>
      <c r="W580" s="2146">
        <v>44777</v>
      </c>
      <c r="X580" s="2144" t="s">
        <v>12634</v>
      </c>
      <c r="Y580" s="2140">
        <v>44819</v>
      </c>
      <c r="Z580" s="2140">
        <v>44844</v>
      </c>
      <c r="AA580" s="2140">
        <v>45914</v>
      </c>
      <c r="AB580" s="2109" t="s">
        <v>13129</v>
      </c>
      <c r="AC580" s="2109">
        <v>2023</v>
      </c>
      <c r="AD580" s="388">
        <v>2024</v>
      </c>
      <c r="AE580" s="388" t="s">
        <v>13130</v>
      </c>
    </row>
    <row r="581" spans="1:33" ht="30">
      <c r="A581" s="2141" t="s">
        <v>3585</v>
      </c>
      <c r="B581" s="2143" t="s">
        <v>11894</v>
      </c>
      <c r="C581" s="2141" t="s">
        <v>9694</v>
      </c>
      <c r="D581" s="2141" t="s">
        <v>4969</v>
      </c>
      <c r="E581" s="2142" t="s">
        <v>11895</v>
      </c>
      <c r="F581" s="2141"/>
      <c r="G581" s="2143"/>
      <c r="H581" s="2141"/>
      <c r="I581" s="2141" t="s">
        <v>275</v>
      </c>
      <c r="J581" s="2141" t="s">
        <v>11139</v>
      </c>
      <c r="K581" s="2144">
        <v>545000</v>
      </c>
      <c r="L581" s="2141" t="s">
        <v>251</v>
      </c>
      <c r="M581" s="2140">
        <v>44728</v>
      </c>
      <c r="N581" s="2140">
        <v>44763</v>
      </c>
      <c r="O581" s="2140">
        <v>44778</v>
      </c>
      <c r="P581" s="2143" t="s">
        <v>12635</v>
      </c>
      <c r="Q581" s="2141"/>
      <c r="R581" s="2144">
        <v>449365</v>
      </c>
      <c r="S581" s="2144">
        <v>543731.65</v>
      </c>
      <c r="T581" s="2145"/>
      <c r="U581" s="2145"/>
      <c r="V581" s="2145"/>
      <c r="W581" s="2146">
        <v>44781</v>
      </c>
      <c r="X581" s="2260" t="s">
        <v>12664</v>
      </c>
      <c r="Y581" s="2140">
        <v>44820</v>
      </c>
      <c r="Z581" s="2140">
        <v>44833</v>
      </c>
      <c r="AA581" s="2140">
        <v>44862</v>
      </c>
      <c r="AB581" s="2109"/>
      <c r="AC581" s="2109" t="s">
        <v>1875</v>
      </c>
    </row>
    <row r="582" spans="1:33">
      <c r="A582" s="2636">
        <v>44697</v>
      </c>
      <c r="B582" s="2639" t="s">
        <v>11897</v>
      </c>
      <c r="C582" s="2637" t="s">
        <v>1032</v>
      </c>
      <c r="D582" s="2637" t="s">
        <v>361</v>
      </c>
      <c r="E582" s="2638" t="s">
        <v>11898</v>
      </c>
      <c r="F582" s="2637"/>
      <c r="G582" s="2639"/>
      <c r="H582" s="2085"/>
      <c r="I582" s="2637" t="s">
        <v>2457</v>
      </c>
      <c r="J582" s="2637"/>
      <c r="K582" s="2640">
        <v>4100000</v>
      </c>
      <c r="L582" s="2637" t="s">
        <v>112</v>
      </c>
      <c r="M582" s="2636">
        <v>44706</v>
      </c>
      <c r="N582" s="2636">
        <v>44715</v>
      </c>
      <c r="O582" s="2637"/>
      <c r="P582" s="2641" t="s">
        <v>12309</v>
      </c>
      <c r="Q582" s="2637"/>
      <c r="R582" s="2640"/>
      <c r="S582" s="2640"/>
      <c r="T582" s="2094"/>
      <c r="U582" s="2094"/>
      <c r="V582" s="2094"/>
      <c r="W582" s="2640"/>
      <c r="X582" s="2640"/>
      <c r="Y582" s="2637"/>
      <c r="Z582" s="2636">
        <v>44735</v>
      </c>
      <c r="AA582" s="2637"/>
      <c r="AB582" s="2637"/>
      <c r="AC582" s="2637"/>
    </row>
    <row r="583" spans="1:33" ht="45">
      <c r="A583" s="2140">
        <v>44697</v>
      </c>
      <c r="B583" s="2143" t="s">
        <v>11899</v>
      </c>
      <c r="C583" s="2141" t="s">
        <v>58</v>
      </c>
      <c r="D583" s="2141" t="s">
        <v>4969</v>
      </c>
      <c r="E583" s="2142" t="s">
        <v>11900</v>
      </c>
      <c r="F583" s="2141"/>
      <c r="G583" s="2143"/>
      <c r="H583" s="2141"/>
      <c r="I583" s="2141" t="s">
        <v>260</v>
      </c>
      <c r="J583" s="2141" t="s">
        <v>11901</v>
      </c>
      <c r="K583" s="2144">
        <v>5200000</v>
      </c>
      <c r="L583" s="2141" t="s">
        <v>251</v>
      </c>
      <c r="M583" s="2140">
        <v>44714</v>
      </c>
      <c r="N583" s="2140">
        <v>44750</v>
      </c>
      <c r="O583" s="2140">
        <v>44802</v>
      </c>
      <c r="P583" s="2143" t="s">
        <v>12765</v>
      </c>
      <c r="Q583" s="2141"/>
      <c r="R583" s="2144">
        <v>4995900</v>
      </c>
      <c r="S583" s="2144">
        <v>6045039</v>
      </c>
      <c r="T583" s="2145"/>
      <c r="U583" s="2145"/>
      <c r="V583" s="2145"/>
      <c r="W583" s="2146">
        <v>44802</v>
      </c>
      <c r="X583" s="2260" t="s">
        <v>12903</v>
      </c>
      <c r="Y583" s="2140">
        <v>44860</v>
      </c>
      <c r="Z583" s="2140">
        <v>44861</v>
      </c>
      <c r="AA583" s="2140">
        <v>44888</v>
      </c>
      <c r="AB583" s="2109"/>
      <c r="AC583" s="2109" t="s">
        <v>6118</v>
      </c>
    </row>
    <row r="584" spans="1:33">
      <c r="A584" s="2124">
        <v>44693</v>
      </c>
      <c r="B584" s="2127" t="s">
        <v>11903</v>
      </c>
      <c r="C584" s="2125" t="s">
        <v>3678</v>
      </c>
      <c r="D584" s="2125" t="s">
        <v>918</v>
      </c>
      <c r="E584" s="2126" t="s">
        <v>11904</v>
      </c>
      <c r="F584" s="2125"/>
      <c r="G584" s="2127"/>
      <c r="H584" s="2125"/>
      <c r="I584" s="2125" t="s">
        <v>1518</v>
      </c>
      <c r="J584" s="2125"/>
      <c r="K584" s="2128">
        <v>980000</v>
      </c>
      <c r="L584" s="2125" t="s">
        <v>112</v>
      </c>
      <c r="M584" s="2124">
        <v>44706</v>
      </c>
      <c r="N584" s="2124">
        <v>44715</v>
      </c>
      <c r="O584" s="2125"/>
      <c r="P584" s="2136" t="s">
        <v>304</v>
      </c>
      <c r="Q584" s="2125"/>
      <c r="R584" s="2128"/>
      <c r="S584" s="2128"/>
      <c r="T584" s="2129"/>
      <c r="U584" s="2129"/>
      <c r="V584" s="2129"/>
      <c r="W584" s="2128"/>
      <c r="X584" s="2128"/>
      <c r="Y584" s="2125"/>
      <c r="Z584" s="2124">
        <v>44715</v>
      </c>
      <c r="AA584" s="2125"/>
      <c r="AB584" s="2125"/>
      <c r="AC584" s="2125"/>
    </row>
    <row r="585" spans="1:33" ht="45">
      <c r="A585" s="2140" t="s">
        <v>3585</v>
      </c>
      <c r="B585" s="2143" t="s">
        <v>11912</v>
      </c>
      <c r="C585" s="2141" t="s">
        <v>9694</v>
      </c>
      <c r="D585" s="2141" t="s">
        <v>4969</v>
      </c>
      <c r="E585" s="2142" t="s">
        <v>11913</v>
      </c>
      <c r="F585" s="2141"/>
      <c r="G585" s="2143"/>
      <c r="H585" s="2141"/>
      <c r="I585" s="2141" t="s">
        <v>292</v>
      </c>
      <c r="J585" s="2141" t="s">
        <v>11914</v>
      </c>
      <c r="K585" s="2144">
        <v>810167</v>
      </c>
      <c r="L585" s="2141" t="s">
        <v>251</v>
      </c>
      <c r="M585" s="2140">
        <v>44714</v>
      </c>
      <c r="N585" s="2140">
        <v>44750</v>
      </c>
      <c r="O585" s="2140">
        <v>44774</v>
      </c>
      <c r="P585" s="2143" t="s">
        <v>637</v>
      </c>
      <c r="Q585" s="2141"/>
      <c r="R585" s="2144">
        <v>1343330</v>
      </c>
      <c r="S585" s="2144">
        <v>1625429.3</v>
      </c>
      <c r="T585" s="2145"/>
      <c r="U585" s="2145"/>
      <c r="V585" s="2145"/>
      <c r="W585" s="2146">
        <v>44774</v>
      </c>
      <c r="X585" s="2260" t="s">
        <v>12619</v>
      </c>
      <c r="Y585" s="2140">
        <v>44799</v>
      </c>
      <c r="Z585" s="2140">
        <v>44811</v>
      </c>
      <c r="AA585" s="2140">
        <v>44865</v>
      </c>
      <c r="AB585" s="2140">
        <v>44872</v>
      </c>
      <c r="AC585" s="2109" t="s">
        <v>1875</v>
      </c>
    </row>
    <row r="586" spans="1:33">
      <c r="A586" s="2636">
        <v>44697</v>
      </c>
      <c r="B586" s="2639" t="s">
        <v>11915</v>
      </c>
      <c r="C586" s="2637" t="s">
        <v>2434</v>
      </c>
      <c r="D586" s="2637" t="s">
        <v>219</v>
      </c>
      <c r="E586" s="2638" t="s">
        <v>11916</v>
      </c>
      <c r="F586" s="2637"/>
      <c r="G586" s="2639"/>
      <c r="H586" s="2085"/>
      <c r="I586" s="2637" t="s">
        <v>642</v>
      </c>
      <c r="J586" s="2637"/>
      <c r="K586" s="2640">
        <v>1683470.4</v>
      </c>
      <c r="L586" s="2637" t="s">
        <v>112</v>
      </c>
      <c r="M586" s="2636">
        <v>44705</v>
      </c>
      <c r="N586" s="2636">
        <v>44713</v>
      </c>
      <c r="O586" s="2637"/>
      <c r="P586" s="2641" t="s">
        <v>12004</v>
      </c>
      <c r="Q586" s="2275" t="s">
        <v>12055</v>
      </c>
      <c r="R586" s="2640"/>
      <c r="S586" s="2640"/>
      <c r="T586" s="2094"/>
      <c r="U586" s="2094"/>
      <c r="V586" s="2094"/>
      <c r="W586" s="2640"/>
      <c r="X586" s="2640"/>
      <c r="Y586" s="2637"/>
      <c r="Z586" s="2636">
        <v>44713</v>
      </c>
      <c r="AA586" s="2637"/>
      <c r="AB586" s="2637"/>
      <c r="AC586" s="2637"/>
    </row>
    <row r="587" spans="1:33">
      <c r="A587" s="416">
        <v>44700</v>
      </c>
      <c r="B587" s="630" t="s">
        <v>11932</v>
      </c>
      <c r="C587" s="411" t="s">
        <v>1032</v>
      </c>
      <c r="D587" s="411" t="s">
        <v>361</v>
      </c>
      <c r="E587" s="412" t="s">
        <v>11933</v>
      </c>
      <c r="F587" s="411"/>
      <c r="G587" s="630"/>
      <c r="H587" s="411"/>
      <c r="I587" s="411" t="s">
        <v>7263</v>
      </c>
      <c r="J587" s="411"/>
      <c r="K587" s="417">
        <v>21500000</v>
      </c>
      <c r="L587" s="411" t="s">
        <v>216</v>
      </c>
      <c r="M587" s="416">
        <v>44712</v>
      </c>
      <c r="N587" s="416">
        <v>44736</v>
      </c>
      <c r="O587" s="416">
        <v>44757</v>
      </c>
      <c r="P587" s="630" t="s">
        <v>10171</v>
      </c>
      <c r="Q587" s="411"/>
      <c r="R587" s="417">
        <v>18334232.02</v>
      </c>
      <c r="S587" s="417">
        <v>22184420.739999998</v>
      </c>
      <c r="T587" s="1480"/>
      <c r="U587" s="1480"/>
      <c r="V587" s="1480"/>
      <c r="W587" s="513">
        <v>44761</v>
      </c>
      <c r="X587" s="417" t="s">
        <v>12542</v>
      </c>
      <c r="Y587" s="416">
        <v>44839</v>
      </c>
      <c r="Z587" s="416">
        <v>44848</v>
      </c>
      <c r="AA587" s="411"/>
      <c r="AB587" s="422"/>
      <c r="AC587" s="967"/>
    </row>
    <row r="588" spans="1:33" ht="15.75" thickBot="1">
      <c r="A588" s="2140">
        <v>44704</v>
      </c>
      <c r="B588" s="2143" t="s">
        <v>11944</v>
      </c>
      <c r="C588" s="2141" t="s">
        <v>2111</v>
      </c>
      <c r="D588" s="2141" t="s">
        <v>9080</v>
      </c>
      <c r="E588" s="2142" t="s">
        <v>11945</v>
      </c>
      <c r="F588" s="2141"/>
      <c r="G588" s="2143"/>
      <c r="H588" s="2141"/>
      <c r="I588" s="2141" t="s">
        <v>2113</v>
      </c>
      <c r="J588" s="2141"/>
      <c r="K588" s="2144">
        <v>850000</v>
      </c>
      <c r="L588" s="2141" t="s">
        <v>112</v>
      </c>
      <c r="M588" s="2140">
        <v>44706</v>
      </c>
      <c r="N588" s="2140">
        <v>44715</v>
      </c>
      <c r="O588" s="2140">
        <v>44722</v>
      </c>
      <c r="P588" s="2143" t="s">
        <v>12083</v>
      </c>
      <c r="Q588" s="2141"/>
      <c r="R588" s="2144">
        <v>596870</v>
      </c>
      <c r="S588" s="2144">
        <v>722212.7</v>
      </c>
      <c r="T588" s="2145"/>
      <c r="U588" s="2145"/>
      <c r="V588" s="2145"/>
      <c r="W588" s="2146">
        <v>44722</v>
      </c>
      <c r="X588" s="2144" t="s">
        <v>12118</v>
      </c>
      <c r="Y588" s="2140">
        <v>44743</v>
      </c>
      <c r="Z588" s="2140">
        <v>44755</v>
      </c>
      <c r="AA588" s="2140">
        <v>44805</v>
      </c>
      <c r="AB588" s="2109"/>
      <c r="AC588" s="2106"/>
    </row>
    <row r="589" spans="1:33" ht="15.75" thickTop="1">
      <c r="A589" s="443">
        <v>44699</v>
      </c>
      <c r="B589" s="1431" t="s">
        <v>11938</v>
      </c>
      <c r="C589" s="439" t="s">
        <v>58</v>
      </c>
      <c r="D589" s="439" t="s">
        <v>4969</v>
      </c>
      <c r="E589" s="440" t="s">
        <v>4251</v>
      </c>
      <c r="F589" s="439">
        <v>1</v>
      </c>
      <c r="G589" s="1431" t="s">
        <v>11950</v>
      </c>
      <c r="H589" s="439"/>
      <c r="I589" s="439" t="s">
        <v>1159</v>
      </c>
      <c r="J589" s="439" t="s">
        <v>11941</v>
      </c>
      <c r="K589" s="444">
        <v>304000</v>
      </c>
      <c r="L589" s="439" t="s">
        <v>251</v>
      </c>
      <c r="M589" s="443">
        <v>44718</v>
      </c>
      <c r="N589" s="443">
        <v>44750</v>
      </c>
      <c r="O589" s="439"/>
      <c r="P589" s="753" t="s">
        <v>4505</v>
      </c>
      <c r="Q589" s="2015" t="s">
        <v>13121</v>
      </c>
      <c r="R589" s="444"/>
      <c r="S589" s="444"/>
      <c r="T589" s="1481"/>
      <c r="U589" s="1481"/>
      <c r="V589" s="1481"/>
      <c r="W589" s="444"/>
      <c r="X589" s="444"/>
      <c r="Y589" s="439"/>
      <c r="Z589" s="443">
        <v>44792</v>
      </c>
      <c r="AA589" s="1431" t="s">
        <v>12686</v>
      </c>
      <c r="AB589" s="439"/>
      <c r="AC589" s="439"/>
    </row>
    <row r="590" spans="1:33" ht="30">
      <c r="A590" s="2140">
        <v>44699</v>
      </c>
      <c r="B590" s="2143" t="s">
        <v>11939</v>
      </c>
      <c r="C590" s="2141" t="s">
        <v>58</v>
      </c>
      <c r="D590" s="2141" t="s">
        <v>4969</v>
      </c>
      <c r="E590" s="2142" t="s">
        <v>4251</v>
      </c>
      <c r="F590" s="2141">
        <v>2</v>
      </c>
      <c r="G590" s="2143" t="s">
        <v>11951</v>
      </c>
      <c r="H590" s="2141"/>
      <c r="I590" s="2141" t="s">
        <v>1159</v>
      </c>
      <c r="J590" s="2141" t="s">
        <v>11942</v>
      </c>
      <c r="K590" s="2144">
        <v>138000</v>
      </c>
      <c r="L590" s="2141" t="s">
        <v>251</v>
      </c>
      <c r="M590" s="2140">
        <v>44718</v>
      </c>
      <c r="N590" s="2140">
        <v>44750</v>
      </c>
      <c r="O590" s="2140">
        <v>44784</v>
      </c>
      <c r="P590" s="2143" t="s">
        <v>11658</v>
      </c>
      <c r="Q590" s="2141"/>
      <c r="R590" s="2144">
        <v>105030</v>
      </c>
      <c r="S590" s="2144">
        <v>127086.3</v>
      </c>
      <c r="T590" s="2145"/>
      <c r="U590" s="2145"/>
      <c r="V590" s="2145"/>
      <c r="W590" s="2146">
        <v>44785</v>
      </c>
      <c r="X590" s="2260" t="s">
        <v>12741</v>
      </c>
      <c r="Y590" s="2140">
        <v>44818</v>
      </c>
      <c r="Z590" s="2140">
        <v>44838</v>
      </c>
      <c r="AA590" s="2140">
        <v>44902</v>
      </c>
      <c r="AB590" s="2109"/>
      <c r="AC590" s="2109" t="s">
        <v>1875</v>
      </c>
    </row>
    <row r="591" spans="1:33" ht="45.75" thickBot="1">
      <c r="A591" s="2117">
        <v>44699</v>
      </c>
      <c r="B591" s="2120" t="s">
        <v>11940</v>
      </c>
      <c r="C591" s="2118" t="s">
        <v>58</v>
      </c>
      <c r="D591" s="2118" t="s">
        <v>4969</v>
      </c>
      <c r="E591" s="2119" t="s">
        <v>4251</v>
      </c>
      <c r="F591" s="2118">
        <v>3</v>
      </c>
      <c r="G591" s="2120" t="s">
        <v>11952</v>
      </c>
      <c r="H591" s="2118"/>
      <c r="I591" s="2118" t="s">
        <v>1159</v>
      </c>
      <c r="J591" s="2118" t="s">
        <v>11943</v>
      </c>
      <c r="K591" s="2121">
        <v>7376000</v>
      </c>
      <c r="L591" s="2118" t="s">
        <v>251</v>
      </c>
      <c r="M591" s="2117">
        <v>44718</v>
      </c>
      <c r="N591" s="2117">
        <v>44750</v>
      </c>
      <c r="O591" s="2117">
        <v>44784</v>
      </c>
      <c r="P591" s="2120" t="s">
        <v>13131</v>
      </c>
      <c r="Q591" s="2118"/>
      <c r="R591" s="2121">
        <v>3621100</v>
      </c>
      <c r="S591" s="2121">
        <v>4381531</v>
      </c>
      <c r="T591" s="2122"/>
      <c r="U591" s="2122"/>
      <c r="V591" s="2122"/>
      <c r="W591" s="2123">
        <v>44785</v>
      </c>
      <c r="X591" s="2246" t="s">
        <v>12742</v>
      </c>
      <c r="Y591" s="2715">
        <v>44816</v>
      </c>
      <c r="Z591" s="2117">
        <v>44838</v>
      </c>
      <c r="AA591" s="2117">
        <v>44844</v>
      </c>
      <c r="AB591" s="2110"/>
      <c r="AC591" s="2110" t="s">
        <v>6118</v>
      </c>
    </row>
    <row r="592" spans="1:33" ht="30.75" thickTop="1">
      <c r="A592" s="365">
        <v>44697</v>
      </c>
      <c r="B592" s="2707" t="s">
        <v>11953</v>
      </c>
      <c r="C592" s="2706" t="s">
        <v>2434</v>
      </c>
      <c r="D592" s="2706" t="s">
        <v>219</v>
      </c>
      <c r="E592" s="175" t="s">
        <v>11954</v>
      </c>
      <c r="F592" s="2706"/>
      <c r="G592" s="2707"/>
      <c r="H592" s="2706"/>
      <c r="I592" s="2706" t="s">
        <v>2844</v>
      </c>
      <c r="J592" s="2706"/>
      <c r="K592" s="364">
        <v>8243460</v>
      </c>
      <c r="L592" s="2706" t="s">
        <v>251</v>
      </c>
      <c r="M592" s="365">
        <v>44715</v>
      </c>
      <c r="N592" s="365">
        <v>44750</v>
      </c>
      <c r="O592" s="365">
        <v>44774</v>
      </c>
      <c r="P592" s="2707" t="s">
        <v>6763</v>
      </c>
      <c r="Q592" s="2706"/>
      <c r="R592" s="364">
        <v>8243460</v>
      </c>
      <c r="S592" s="364">
        <v>9479979</v>
      </c>
      <c r="T592" s="1473"/>
      <c r="U592" s="1473"/>
      <c r="V592" s="1473"/>
      <c r="W592" s="681">
        <v>44776</v>
      </c>
      <c r="X592" s="1417" t="s">
        <v>12951</v>
      </c>
      <c r="Y592" s="365">
        <v>44804</v>
      </c>
      <c r="Z592" s="365">
        <v>44833</v>
      </c>
      <c r="AA592" s="365">
        <v>45899</v>
      </c>
      <c r="AB592" s="451" t="s">
        <v>12930</v>
      </c>
      <c r="AC592" s="451">
        <v>2023</v>
      </c>
      <c r="AD592" s="388">
        <v>2024</v>
      </c>
      <c r="AE592" s="388" t="s">
        <v>12950</v>
      </c>
    </row>
    <row r="593" spans="1:33">
      <c r="A593" s="2141" t="s">
        <v>3585</v>
      </c>
      <c r="B593" s="2143" t="s">
        <v>11955</v>
      </c>
      <c r="C593" s="2141" t="s">
        <v>2434</v>
      </c>
      <c r="D593" s="2141" t="s">
        <v>219</v>
      </c>
      <c r="E593" s="2142" t="s">
        <v>11956</v>
      </c>
      <c r="F593" s="2141"/>
      <c r="G593" s="2143"/>
      <c r="H593" s="2141"/>
      <c r="I593" s="2141" t="s">
        <v>642</v>
      </c>
      <c r="J593" s="2141"/>
      <c r="K593" s="2144">
        <v>505325</v>
      </c>
      <c r="L593" s="2141" t="s">
        <v>112</v>
      </c>
      <c r="M593" s="2140">
        <v>44711</v>
      </c>
      <c r="N593" s="2140">
        <v>44719</v>
      </c>
      <c r="O593" s="2140">
        <v>44729</v>
      </c>
      <c r="P593" s="2143" t="s">
        <v>5321</v>
      </c>
      <c r="Q593" s="2141"/>
      <c r="R593" s="2144">
        <v>505690.5</v>
      </c>
      <c r="S593" s="2144">
        <v>611885.51</v>
      </c>
      <c r="T593" s="2145"/>
      <c r="U593" s="2145"/>
      <c r="V593" s="2145"/>
      <c r="W593" s="2146">
        <v>44729</v>
      </c>
      <c r="X593" s="2144" t="s">
        <v>12259</v>
      </c>
      <c r="Y593" s="2140">
        <v>44750</v>
      </c>
      <c r="Z593" s="2140">
        <v>44757</v>
      </c>
      <c r="AA593" s="2140">
        <v>45291</v>
      </c>
      <c r="AB593" s="2109" t="s">
        <v>12515</v>
      </c>
      <c r="AC593" s="2109">
        <v>2023</v>
      </c>
    </row>
    <row r="594" spans="1:33" ht="45">
      <c r="A594" s="2140">
        <v>44706</v>
      </c>
      <c r="B594" s="2143" t="s">
        <v>11961</v>
      </c>
      <c r="C594" s="2141" t="s">
        <v>9694</v>
      </c>
      <c r="D594" s="2141" t="s">
        <v>4969</v>
      </c>
      <c r="E594" s="2142" t="s">
        <v>4222</v>
      </c>
      <c r="F594" s="2141"/>
      <c r="G594" s="2143"/>
      <c r="H594" s="2141"/>
      <c r="I594" s="2141" t="s">
        <v>196</v>
      </c>
      <c r="J594" s="2141" t="s">
        <v>11962</v>
      </c>
      <c r="K594" s="2144">
        <v>8740000</v>
      </c>
      <c r="L594" s="2141" t="s">
        <v>251</v>
      </c>
      <c r="M594" s="2140">
        <v>44732</v>
      </c>
      <c r="N594" s="2140">
        <v>44768</v>
      </c>
      <c r="O594" s="2140">
        <v>44791</v>
      </c>
      <c r="P594" s="2143" t="s">
        <v>11196</v>
      </c>
      <c r="Q594" s="2141"/>
      <c r="R594" s="2144">
        <v>8614208.1999999993</v>
      </c>
      <c r="S594" s="2144">
        <v>10423191.92</v>
      </c>
      <c r="T594" s="2145"/>
      <c r="U594" s="2145"/>
      <c r="V594" s="2145"/>
      <c r="W594" s="2146">
        <v>44791</v>
      </c>
      <c r="X594" s="2260" t="s">
        <v>12803</v>
      </c>
      <c r="Y594" s="2140">
        <v>44837</v>
      </c>
      <c r="Z594" s="2140">
        <v>44844</v>
      </c>
      <c r="AA594" s="2140">
        <v>44865</v>
      </c>
      <c r="AB594" s="2109"/>
      <c r="AC594" s="2109" t="s">
        <v>1875</v>
      </c>
    </row>
    <row r="595" spans="1:33">
      <c r="A595" s="2153">
        <v>44691</v>
      </c>
      <c r="B595" s="2156" t="s">
        <v>11957</v>
      </c>
      <c r="C595" s="2154" t="s">
        <v>69</v>
      </c>
      <c r="D595" s="2154" t="s">
        <v>70</v>
      </c>
      <c r="E595" s="2155" t="s">
        <v>11958</v>
      </c>
      <c r="F595" s="2154"/>
      <c r="G595" s="2156"/>
      <c r="H595" s="2085"/>
      <c r="I595" s="2154" t="s">
        <v>671</v>
      </c>
      <c r="J595" s="2154"/>
      <c r="K595" s="2157">
        <v>8949024</v>
      </c>
      <c r="L595" s="2154" t="s">
        <v>251</v>
      </c>
      <c r="M595" s="2153">
        <v>44725</v>
      </c>
      <c r="N595" s="2153">
        <v>44774</v>
      </c>
      <c r="O595" s="2153">
        <v>44823</v>
      </c>
      <c r="P595" s="2156" t="s">
        <v>13092</v>
      </c>
      <c r="Q595" s="2154"/>
      <c r="R595" s="2157">
        <v>8949024</v>
      </c>
      <c r="S595" s="2157">
        <v>9843926.4000000004</v>
      </c>
      <c r="T595" s="2094"/>
      <c r="U595" s="2094"/>
      <c r="V595" s="2094"/>
      <c r="W595" s="2160">
        <v>44823</v>
      </c>
      <c r="X595" s="2157" t="s">
        <v>13093</v>
      </c>
      <c r="Y595" s="2154"/>
      <c r="Z595" s="2154"/>
      <c r="AA595" s="2154"/>
      <c r="AB595" s="2154"/>
      <c r="AC595" s="2154"/>
    </row>
    <row r="596" spans="1:33" ht="30">
      <c r="A596" s="2140">
        <v>44706</v>
      </c>
      <c r="B596" s="2143" t="s">
        <v>11963</v>
      </c>
      <c r="C596" s="2141" t="s">
        <v>58</v>
      </c>
      <c r="D596" s="2141" t="s">
        <v>4969</v>
      </c>
      <c r="E596" s="2142" t="s">
        <v>11964</v>
      </c>
      <c r="F596" s="2141"/>
      <c r="G596" s="2143"/>
      <c r="H596" s="2141"/>
      <c r="I596" s="2141" t="s">
        <v>396</v>
      </c>
      <c r="J596" s="2141" t="s">
        <v>11965</v>
      </c>
      <c r="K596" s="2144">
        <v>540000</v>
      </c>
      <c r="L596" s="2141" t="s">
        <v>112</v>
      </c>
      <c r="M596" s="2140">
        <v>44712</v>
      </c>
      <c r="N596" s="2140">
        <v>44721</v>
      </c>
      <c r="O596" s="2140">
        <v>44733</v>
      </c>
      <c r="P596" s="2143" t="s">
        <v>11196</v>
      </c>
      <c r="Q596" s="2141"/>
      <c r="R596" s="2144">
        <v>504640</v>
      </c>
      <c r="S596" s="2144">
        <v>610614.4</v>
      </c>
      <c r="T596" s="2145"/>
      <c r="U596" s="2145"/>
      <c r="V596" s="2145"/>
      <c r="W596" s="2146">
        <v>44733</v>
      </c>
      <c r="X596" s="2260" t="s">
        <v>12306</v>
      </c>
      <c r="Y596" s="2140">
        <v>44777</v>
      </c>
      <c r="Z596" s="2140">
        <v>44782</v>
      </c>
      <c r="AA596" s="2140">
        <v>44861</v>
      </c>
      <c r="AB596" s="2140">
        <v>44865</v>
      </c>
      <c r="AC596" s="2109" t="s">
        <v>1875</v>
      </c>
    </row>
    <row r="597" spans="1:33">
      <c r="A597" s="2140">
        <v>44706</v>
      </c>
      <c r="B597" s="2143" t="s">
        <v>11959</v>
      </c>
      <c r="C597" s="2141" t="s">
        <v>69</v>
      </c>
      <c r="D597" s="2141" t="s">
        <v>70</v>
      </c>
      <c r="E597" s="2142" t="s">
        <v>11960</v>
      </c>
      <c r="F597" s="2141"/>
      <c r="G597" s="2143"/>
      <c r="H597" s="2141"/>
      <c r="I597" s="2141" t="s">
        <v>68</v>
      </c>
      <c r="J597" s="2141"/>
      <c r="K597" s="2144">
        <v>132187891</v>
      </c>
      <c r="L597" s="2141" t="s">
        <v>251</v>
      </c>
      <c r="M597" s="2140">
        <v>44718</v>
      </c>
      <c r="N597" s="2140">
        <v>44753</v>
      </c>
      <c r="O597" s="2140">
        <v>44805</v>
      </c>
      <c r="P597" s="2143" t="s">
        <v>2548</v>
      </c>
      <c r="Q597" s="2141"/>
      <c r="R597" s="2144">
        <v>129813155.92</v>
      </c>
      <c r="S597" s="2144">
        <v>142794471.50999999</v>
      </c>
      <c r="T597" s="2145"/>
      <c r="U597" s="2145"/>
      <c r="V597" s="2145"/>
      <c r="W597" s="2146">
        <v>44805</v>
      </c>
      <c r="X597" s="2144" t="s">
        <v>12954</v>
      </c>
      <c r="Y597" s="2140">
        <v>44858</v>
      </c>
      <c r="Z597" s="2140">
        <v>44860</v>
      </c>
      <c r="AA597" s="2140">
        <v>46318</v>
      </c>
      <c r="AB597" s="2109" t="s">
        <v>13393</v>
      </c>
      <c r="AC597" s="2109">
        <v>2023</v>
      </c>
      <c r="AD597" s="388">
        <v>2024</v>
      </c>
      <c r="AE597" s="388">
        <v>2025</v>
      </c>
      <c r="AF597" s="388" t="s">
        <v>13394</v>
      </c>
    </row>
    <row r="598" spans="1:33">
      <c r="A598" s="2124">
        <v>44708</v>
      </c>
      <c r="B598" s="2127" t="s">
        <v>11977</v>
      </c>
      <c r="C598" s="2125" t="s">
        <v>14</v>
      </c>
      <c r="D598" s="2125" t="s">
        <v>1753</v>
      </c>
      <c r="E598" s="2796" t="s">
        <v>11978</v>
      </c>
      <c r="F598" s="2796"/>
      <c r="G598" s="2127"/>
      <c r="H598" s="2125"/>
      <c r="I598" s="2125" t="s">
        <v>1784</v>
      </c>
      <c r="J598" s="2125"/>
      <c r="K598" s="2128">
        <v>80680000</v>
      </c>
      <c r="L598" s="2125" t="s">
        <v>251</v>
      </c>
      <c r="M598" s="2124">
        <v>44743</v>
      </c>
      <c r="N598" s="2124">
        <v>44844</v>
      </c>
      <c r="O598" s="2125"/>
      <c r="P598" s="2136" t="s">
        <v>14190</v>
      </c>
      <c r="Q598" s="2125"/>
      <c r="R598" s="2128"/>
      <c r="S598" s="2128"/>
      <c r="T598" s="2129"/>
      <c r="U598" s="2129"/>
      <c r="V598" s="2129"/>
      <c r="W598" s="2128"/>
      <c r="X598" s="2128"/>
      <c r="Y598" s="2125"/>
      <c r="Z598" s="2124">
        <v>44938</v>
      </c>
      <c r="AA598" s="2125" t="s">
        <v>13824</v>
      </c>
      <c r="AB598" s="2125"/>
      <c r="AC598" s="2125"/>
    </row>
    <row r="599" spans="1:33">
      <c r="A599" s="2140">
        <v>44708</v>
      </c>
      <c r="B599" s="2143" t="s">
        <v>11982</v>
      </c>
      <c r="C599" s="2141" t="s">
        <v>289</v>
      </c>
      <c r="D599" s="2141" t="s">
        <v>6509</v>
      </c>
      <c r="E599" s="2142" t="s">
        <v>4843</v>
      </c>
      <c r="F599" s="2141"/>
      <c r="G599" s="2143"/>
      <c r="H599" s="2141"/>
      <c r="I599" s="2141" t="s">
        <v>455</v>
      </c>
      <c r="J599" s="2141"/>
      <c r="K599" s="2144">
        <v>600000</v>
      </c>
      <c r="L599" s="2141" t="s">
        <v>112</v>
      </c>
      <c r="M599" s="2140">
        <v>44712</v>
      </c>
      <c r="N599" s="2140">
        <v>44725</v>
      </c>
      <c r="O599" s="2140">
        <v>44728</v>
      </c>
      <c r="P599" s="2143" t="s">
        <v>12182</v>
      </c>
      <c r="Q599" s="2141"/>
      <c r="R599" s="2144">
        <v>611374</v>
      </c>
      <c r="S599" s="2144">
        <v>739762.54</v>
      </c>
      <c r="T599" s="2145"/>
      <c r="U599" s="2145"/>
      <c r="V599" s="2145"/>
      <c r="W599" s="2146">
        <v>44728</v>
      </c>
      <c r="X599" s="2144" t="s">
        <v>12250</v>
      </c>
      <c r="Y599" s="2140">
        <v>44756</v>
      </c>
      <c r="Z599" s="2140">
        <v>44757</v>
      </c>
      <c r="AA599" s="2140">
        <v>45486</v>
      </c>
      <c r="AB599" s="2109" t="s">
        <v>12513</v>
      </c>
      <c r="AC599" s="2109">
        <v>2023</v>
      </c>
      <c r="AD599" s="388" t="s">
        <v>12514</v>
      </c>
    </row>
    <row r="600" spans="1:33">
      <c r="A600" s="2140">
        <v>44711</v>
      </c>
      <c r="B600" s="2143" t="s">
        <v>11984</v>
      </c>
      <c r="C600" s="2141" t="s">
        <v>52</v>
      </c>
      <c r="D600" s="2141" t="s">
        <v>10114</v>
      </c>
      <c r="E600" s="2142" t="s">
        <v>11985</v>
      </c>
      <c r="F600" s="2141"/>
      <c r="G600" s="2143"/>
      <c r="H600" s="2141"/>
      <c r="I600" s="2141" t="s">
        <v>484</v>
      </c>
      <c r="J600" s="2141" t="s">
        <v>11986</v>
      </c>
      <c r="K600" s="2144">
        <v>450000</v>
      </c>
      <c r="L600" s="2141" t="s">
        <v>112</v>
      </c>
      <c r="M600" s="2140">
        <v>44714</v>
      </c>
      <c r="N600" s="2140">
        <v>44722</v>
      </c>
      <c r="O600" s="2140">
        <v>44734</v>
      </c>
      <c r="P600" s="2143" t="s">
        <v>9274</v>
      </c>
      <c r="Q600" s="2141"/>
      <c r="R600" s="2144">
        <v>964000</v>
      </c>
      <c r="S600" s="2144">
        <v>1166440</v>
      </c>
      <c r="T600" s="2145"/>
      <c r="U600" s="2145"/>
      <c r="V600" s="2145"/>
      <c r="W600" s="2146">
        <v>44734</v>
      </c>
      <c r="X600" s="2144" t="s">
        <v>12318</v>
      </c>
      <c r="Y600" s="2140">
        <v>44756</v>
      </c>
      <c r="Z600" s="2140">
        <v>44761</v>
      </c>
      <c r="AA600" s="2140">
        <v>44846</v>
      </c>
      <c r="AB600" s="2109"/>
      <c r="AC600" s="2106"/>
    </row>
    <row r="601" spans="1:33">
      <c r="A601" s="2140">
        <v>44706</v>
      </c>
      <c r="B601" s="2143" t="s">
        <v>11994</v>
      </c>
      <c r="C601" s="2141" t="s">
        <v>1032</v>
      </c>
      <c r="D601" s="2141" t="s">
        <v>361</v>
      </c>
      <c r="E601" s="2142" t="s">
        <v>11995</v>
      </c>
      <c r="F601" s="2141"/>
      <c r="G601" s="2143"/>
      <c r="H601" s="2141"/>
      <c r="I601" s="2141" t="s">
        <v>48</v>
      </c>
      <c r="J601" s="2141"/>
      <c r="K601" s="2144">
        <v>1980000</v>
      </c>
      <c r="L601" s="2141" t="s">
        <v>216</v>
      </c>
      <c r="M601" s="2140">
        <v>44728</v>
      </c>
      <c r="N601" s="2140">
        <v>44753</v>
      </c>
      <c r="O601" s="2140">
        <v>44770</v>
      </c>
      <c r="P601" s="2143" t="s">
        <v>333</v>
      </c>
      <c r="Q601" s="2141"/>
      <c r="R601" s="2144">
        <v>1977000</v>
      </c>
      <c r="S601" s="2144">
        <v>2392170</v>
      </c>
      <c r="T601" s="2145"/>
      <c r="U601" s="2145"/>
      <c r="V601" s="2145"/>
      <c r="W601" s="2146">
        <v>44770</v>
      </c>
      <c r="X601" s="2144" t="s">
        <v>12606</v>
      </c>
      <c r="Y601" s="2140">
        <v>44804</v>
      </c>
      <c r="Z601" s="2140">
        <v>44810</v>
      </c>
      <c r="AA601" s="2140">
        <v>45534</v>
      </c>
      <c r="AB601" s="2109" t="s">
        <v>12930</v>
      </c>
      <c r="AC601" s="2109">
        <v>2023</v>
      </c>
      <c r="AD601" s="388" t="s">
        <v>9769</v>
      </c>
    </row>
    <row r="602" spans="1:33">
      <c r="A602" s="2140">
        <v>44712</v>
      </c>
      <c r="B602" s="2143" t="s">
        <v>11996</v>
      </c>
      <c r="C602" s="2141" t="s">
        <v>14</v>
      </c>
      <c r="D602" s="2141" t="s">
        <v>13</v>
      </c>
      <c r="E602" s="2142" t="s">
        <v>11997</v>
      </c>
      <c r="F602" s="2141"/>
      <c r="G602" s="2143"/>
      <c r="H602" s="2141"/>
      <c r="I602" s="2141" t="s">
        <v>959</v>
      </c>
      <c r="J602" s="2141" t="s">
        <v>11998</v>
      </c>
      <c r="K602" s="2144">
        <v>722400</v>
      </c>
      <c r="L602" s="2141" t="s">
        <v>112</v>
      </c>
      <c r="M602" s="2140">
        <v>44720</v>
      </c>
      <c r="N602" s="2140">
        <v>44733</v>
      </c>
      <c r="O602" s="2140">
        <v>44756</v>
      </c>
      <c r="P602" s="2143" t="s">
        <v>12532</v>
      </c>
      <c r="Q602" s="2141"/>
      <c r="R602" s="2144">
        <v>1399440</v>
      </c>
      <c r="S602" s="2144">
        <v>1693322.4</v>
      </c>
      <c r="T602" s="2145"/>
      <c r="U602" s="2145"/>
      <c r="V602" s="2145"/>
      <c r="W602" s="2146">
        <v>44756</v>
      </c>
      <c r="X602" s="2144" t="s">
        <v>12531</v>
      </c>
      <c r="Y602" s="2140">
        <v>44781</v>
      </c>
      <c r="Z602" s="2140">
        <v>44782</v>
      </c>
      <c r="AA602" s="2140">
        <v>45145</v>
      </c>
      <c r="AB602" s="2109" t="s">
        <v>12666</v>
      </c>
      <c r="AC602" s="2109" t="s">
        <v>12669</v>
      </c>
    </row>
    <row r="603" spans="1:33" ht="30">
      <c r="A603" s="2140">
        <v>44705</v>
      </c>
      <c r="B603" s="2143" t="s">
        <v>11999</v>
      </c>
      <c r="C603" s="2141" t="s">
        <v>2434</v>
      </c>
      <c r="D603" s="2141" t="s">
        <v>219</v>
      </c>
      <c r="E603" s="2142" t="s">
        <v>12000</v>
      </c>
      <c r="F603" s="2141"/>
      <c r="G603" s="2143"/>
      <c r="H603" s="2141"/>
      <c r="I603" s="2141" t="s">
        <v>642</v>
      </c>
      <c r="J603" s="2141"/>
      <c r="K603" s="2144">
        <v>2967986.78</v>
      </c>
      <c r="L603" s="2141" t="s">
        <v>216</v>
      </c>
      <c r="M603" s="2140">
        <v>44720</v>
      </c>
      <c r="N603" s="2140">
        <v>44736</v>
      </c>
      <c r="O603" s="2140">
        <v>44775</v>
      </c>
      <c r="P603" s="2143" t="s">
        <v>12544</v>
      </c>
      <c r="Q603" s="2141"/>
      <c r="R603" s="2144">
        <v>2993737.52</v>
      </c>
      <c r="S603" s="2144">
        <v>3622422.4</v>
      </c>
      <c r="T603" s="2145"/>
      <c r="U603" s="2145"/>
      <c r="V603" s="2145"/>
      <c r="W603" s="2146">
        <v>44775</v>
      </c>
      <c r="X603" s="2260" t="s">
        <v>12625</v>
      </c>
      <c r="Y603" s="2140">
        <v>44819</v>
      </c>
      <c r="Z603" s="2140">
        <v>44845</v>
      </c>
      <c r="AA603" s="2140">
        <v>46279</v>
      </c>
      <c r="AB603" s="2109" t="s">
        <v>13129</v>
      </c>
      <c r="AC603" s="2109">
        <v>2023</v>
      </c>
      <c r="AD603" s="388">
        <v>2024</v>
      </c>
      <c r="AE603" s="388">
        <v>2025</v>
      </c>
      <c r="AF603" s="388" t="s">
        <v>13132</v>
      </c>
    </row>
    <row r="604" spans="1:33">
      <c r="A604" s="2140">
        <v>44707</v>
      </c>
      <c r="B604" s="2143" t="s">
        <v>12009</v>
      </c>
      <c r="C604" s="2141" t="s">
        <v>2434</v>
      </c>
      <c r="D604" s="2141" t="s">
        <v>219</v>
      </c>
      <c r="E604" s="2142" t="s">
        <v>12010</v>
      </c>
      <c r="F604" s="2141"/>
      <c r="G604" s="2143"/>
      <c r="H604" s="2141"/>
      <c r="I604" s="2141" t="s">
        <v>642</v>
      </c>
      <c r="J604" s="2141"/>
      <c r="K604" s="2144">
        <v>13142742</v>
      </c>
      <c r="L604" s="2141" t="s">
        <v>251</v>
      </c>
      <c r="M604" s="2140">
        <v>44726</v>
      </c>
      <c r="N604" s="2140">
        <v>44760</v>
      </c>
      <c r="O604" s="2140">
        <v>44817</v>
      </c>
      <c r="P604" s="2143" t="s">
        <v>13034</v>
      </c>
      <c r="Q604" s="2141"/>
      <c r="R604" s="2144">
        <v>15536023.439999999</v>
      </c>
      <c r="S604" s="2144">
        <v>18798588.359999999</v>
      </c>
      <c r="T604" s="2145"/>
      <c r="U604" s="2145"/>
      <c r="V604" s="2145"/>
      <c r="W604" s="2146">
        <v>44817</v>
      </c>
      <c r="X604" s="2144" t="s">
        <v>13059</v>
      </c>
      <c r="Y604" s="2140">
        <v>44866</v>
      </c>
      <c r="Z604" s="2140">
        <v>44893</v>
      </c>
      <c r="AA604" s="2140">
        <v>46326</v>
      </c>
      <c r="AB604" s="2109" t="s">
        <v>13445</v>
      </c>
      <c r="AC604" s="2109">
        <v>2023</v>
      </c>
      <c r="AD604" s="388">
        <v>2024</v>
      </c>
      <c r="AE604" s="388">
        <v>2025</v>
      </c>
      <c r="AF604" s="388" t="s">
        <v>13446</v>
      </c>
    </row>
    <row r="605" spans="1:33" ht="30">
      <c r="A605" s="2140">
        <v>44712</v>
      </c>
      <c r="B605" s="2143" t="s">
        <v>12014</v>
      </c>
      <c r="C605" s="2141" t="s">
        <v>58</v>
      </c>
      <c r="D605" s="2141" t="s">
        <v>4969</v>
      </c>
      <c r="E605" s="2142" t="s">
        <v>12015</v>
      </c>
      <c r="F605" s="2141"/>
      <c r="G605" s="2143"/>
      <c r="H605" s="2141"/>
      <c r="I605" s="2141" t="s">
        <v>269</v>
      </c>
      <c r="J605" s="2141"/>
      <c r="K605" s="2144">
        <v>486300</v>
      </c>
      <c r="L605" s="2141" t="s">
        <v>251</v>
      </c>
      <c r="M605" s="2140">
        <v>44718</v>
      </c>
      <c r="N605" s="2140">
        <v>44753</v>
      </c>
      <c r="O605" s="2140">
        <v>44777</v>
      </c>
      <c r="P605" s="2143" t="s">
        <v>2793</v>
      </c>
      <c r="Q605" s="2141"/>
      <c r="R605" s="2144">
        <v>465700</v>
      </c>
      <c r="S605" s="2144">
        <v>563497</v>
      </c>
      <c r="T605" s="2145"/>
      <c r="U605" s="2145"/>
      <c r="V605" s="2145"/>
      <c r="W605" s="2146">
        <v>44777</v>
      </c>
      <c r="X605" s="2260" t="s">
        <v>12637</v>
      </c>
      <c r="Y605" s="2140">
        <v>44806</v>
      </c>
      <c r="Z605" s="2140">
        <v>44813</v>
      </c>
      <c r="AA605" s="2140">
        <v>44876</v>
      </c>
      <c r="AB605" s="2140">
        <v>44865</v>
      </c>
      <c r="AC605" s="2109" t="s">
        <v>1875</v>
      </c>
    </row>
    <row r="606" spans="1:33" ht="15.75" thickBot="1">
      <c r="A606" s="643">
        <v>44713</v>
      </c>
      <c r="B606" s="1533" t="s">
        <v>12019</v>
      </c>
      <c r="C606" s="639" t="s">
        <v>69</v>
      </c>
      <c r="D606" s="639" t="s">
        <v>70</v>
      </c>
      <c r="E606" s="640" t="s">
        <v>12020</v>
      </c>
      <c r="F606" s="639"/>
      <c r="G606" s="1533"/>
      <c r="H606" s="1437"/>
      <c r="I606" s="639" t="s">
        <v>7790</v>
      </c>
      <c r="J606" s="639"/>
      <c r="K606" s="645">
        <v>1859402</v>
      </c>
      <c r="L606" s="639" t="s">
        <v>251</v>
      </c>
      <c r="M606" s="643">
        <v>44742</v>
      </c>
      <c r="N606" s="643">
        <v>44778</v>
      </c>
      <c r="O606" s="639"/>
      <c r="P606" s="644" t="s">
        <v>304</v>
      </c>
      <c r="Q606" s="2019" t="s">
        <v>13433</v>
      </c>
      <c r="R606" s="645"/>
      <c r="S606" s="645"/>
      <c r="T606" s="1490"/>
      <c r="U606" s="1490"/>
      <c r="V606" s="1490"/>
      <c r="W606" s="645"/>
      <c r="X606" s="645"/>
      <c r="Y606" s="639"/>
      <c r="Z606" s="643">
        <v>44784</v>
      </c>
      <c r="AA606" s="1533" t="s">
        <v>12722</v>
      </c>
      <c r="AB606" s="639"/>
      <c r="AC606" s="639"/>
    </row>
    <row r="607" spans="1:33" ht="15.75" thickTop="1">
      <c r="A607" s="443">
        <v>44713</v>
      </c>
      <c r="B607" s="1431" t="s">
        <v>12022</v>
      </c>
      <c r="C607" s="439" t="s">
        <v>69</v>
      </c>
      <c r="D607" s="439" t="s">
        <v>70</v>
      </c>
      <c r="E607" s="440" t="s">
        <v>12021</v>
      </c>
      <c r="F607" s="439">
        <v>1</v>
      </c>
      <c r="G607" s="1431" t="s">
        <v>12026</v>
      </c>
      <c r="H607" s="2045"/>
      <c r="I607" s="439" t="s">
        <v>2418</v>
      </c>
      <c r="J607" s="439"/>
      <c r="K607" s="444">
        <v>164624</v>
      </c>
      <c r="L607" s="439" t="s">
        <v>251</v>
      </c>
      <c r="M607" s="443">
        <v>44725</v>
      </c>
      <c r="N607" s="443">
        <v>44775</v>
      </c>
      <c r="O607" s="439"/>
      <c r="P607" s="753" t="s">
        <v>304</v>
      </c>
      <c r="Q607" s="439"/>
      <c r="R607" s="444"/>
      <c r="S607" s="444"/>
      <c r="T607" s="2048"/>
      <c r="U607" s="2048"/>
      <c r="V607" s="2048"/>
      <c r="W607" s="444"/>
      <c r="X607" s="444"/>
      <c r="Y607" s="439"/>
      <c r="Z607" s="443">
        <v>44855</v>
      </c>
      <c r="AA607" s="1431" t="s">
        <v>13111</v>
      </c>
      <c r="AB607" s="439"/>
      <c r="AC607" s="439"/>
    </row>
    <row r="608" spans="1:33">
      <c r="A608" s="2140">
        <v>44713</v>
      </c>
      <c r="B608" s="2143" t="s">
        <v>12023</v>
      </c>
      <c r="C608" s="2141" t="s">
        <v>69</v>
      </c>
      <c r="D608" s="2141" t="s">
        <v>70</v>
      </c>
      <c r="E608" s="2142" t="s">
        <v>12021</v>
      </c>
      <c r="F608" s="2141">
        <v>2</v>
      </c>
      <c r="G608" s="2143" t="s">
        <v>12027</v>
      </c>
      <c r="H608" s="2141"/>
      <c r="I608" s="2141" t="s">
        <v>2418</v>
      </c>
      <c r="J608" s="2141"/>
      <c r="K608" s="2144">
        <v>481220</v>
      </c>
      <c r="L608" s="2141" t="s">
        <v>251</v>
      </c>
      <c r="M608" s="2140">
        <v>44725</v>
      </c>
      <c r="N608" s="2140">
        <v>44775</v>
      </c>
      <c r="O608" s="2140">
        <v>44833</v>
      </c>
      <c r="P608" s="2143" t="s">
        <v>16350</v>
      </c>
      <c r="Q608" s="2141"/>
      <c r="R608" s="2144">
        <v>478163.84</v>
      </c>
      <c r="S608" s="2144">
        <v>525980.22</v>
      </c>
      <c r="T608" s="2145"/>
      <c r="U608" s="2145"/>
      <c r="V608" s="2145"/>
      <c r="W608" s="2146">
        <v>44833</v>
      </c>
      <c r="X608" s="2144" t="s">
        <v>13162</v>
      </c>
      <c r="Y608" s="2140">
        <v>44858</v>
      </c>
      <c r="Z608" s="2140">
        <v>44865</v>
      </c>
      <c r="AA608" s="2140">
        <v>46318</v>
      </c>
      <c r="AB608" s="2109" t="s">
        <v>13393</v>
      </c>
      <c r="AC608" s="2109">
        <v>2023</v>
      </c>
      <c r="AD608" s="388">
        <v>2024</v>
      </c>
      <c r="AE608" s="388">
        <v>2025</v>
      </c>
      <c r="AF608" s="388" t="s">
        <v>13394</v>
      </c>
      <c r="AG608" s="1166" t="s">
        <v>15283</v>
      </c>
    </row>
    <row r="609" spans="1:33">
      <c r="A609" s="2124">
        <v>44713</v>
      </c>
      <c r="B609" s="2127" t="s">
        <v>12024</v>
      </c>
      <c r="C609" s="2125" t="s">
        <v>69</v>
      </c>
      <c r="D609" s="2125" t="s">
        <v>70</v>
      </c>
      <c r="E609" s="2126" t="s">
        <v>12021</v>
      </c>
      <c r="F609" s="2125">
        <v>3</v>
      </c>
      <c r="G609" s="2127" t="s">
        <v>12028</v>
      </c>
      <c r="H609" s="2079"/>
      <c r="I609" s="2125" t="s">
        <v>2418</v>
      </c>
      <c r="J609" s="2125"/>
      <c r="K609" s="2128">
        <v>5901668</v>
      </c>
      <c r="L609" s="2125" t="s">
        <v>251</v>
      </c>
      <c r="M609" s="2124">
        <v>44725</v>
      </c>
      <c r="N609" s="2124">
        <v>44775</v>
      </c>
      <c r="O609" s="2125"/>
      <c r="P609" s="2136" t="s">
        <v>304</v>
      </c>
      <c r="Q609" s="2125"/>
      <c r="R609" s="2128"/>
      <c r="S609" s="2128"/>
      <c r="T609" s="2080"/>
      <c r="U609" s="2080"/>
      <c r="V609" s="2080"/>
      <c r="W609" s="2128"/>
      <c r="X609" s="2128"/>
      <c r="Y609" s="2125"/>
      <c r="Z609" s="2124">
        <v>44855</v>
      </c>
      <c r="AA609" s="2127" t="s">
        <v>13111</v>
      </c>
      <c r="AB609" s="2125"/>
      <c r="AC609" s="2125"/>
      <c r="AG609" s="1166"/>
    </row>
    <row r="610" spans="1:33" ht="15.75" thickBot="1">
      <c r="A610" s="2117">
        <v>44713</v>
      </c>
      <c r="B610" s="2120" t="s">
        <v>12025</v>
      </c>
      <c r="C610" s="2118" t="s">
        <v>69</v>
      </c>
      <c r="D610" s="2118" t="s">
        <v>70</v>
      </c>
      <c r="E610" s="2119" t="s">
        <v>12021</v>
      </c>
      <c r="F610" s="2118">
        <v>4</v>
      </c>
      <c r="G610" s="2120" t="s">
        <v>12029</v>
      </c>
      <c r="H610" s="2118"/>
      <c r="I610" s="2118" t="s">
        <v>2418</v>
      </c>
      <c r="J610" s="2118"/>
      <c r="K610" s="2121">
        <v>2561854</v>
      </c>
      <c r="L610" s="2118" t="s">
        <v>251</v>
      </c>
      <c r="M610" s="2117">
        <v>44725</v>
      </c>
      <c r="N610" s="2117">
        <v>44775</v>
      </c>
      <c r="O610" s="2117">
        <v>44833</v>
      </c>
      <c r="P610" s="2120" t="s">
        <v>576</v>
      </c>
      <c r="Q610" s="2118"/>
      <c r="R610" s="2121">
        <v>2527505.2400000002</v>
      </c>
      <c r="S610" s="2121">
        <v>2780255.76</v>
      </c>
      <c r="T610" s="2122"/>
      <c r="U610" s="2122"/>
      <c r="V610" s="2122"/>
      <c r="W610" s="2123">
        <v>44833</v>
      </c>
      <c r="X610" s="2121" t="s">
        <v>13163</v>
      </c>
      <c r="Y610" s="2117">
        <v>44858</v>
      </c>
      <c r="Z610" s="2117">
        <v>44865</v>
      </c>
      <c r="AA610" s="2117">
        <v>46318</v>
      </c>
      <c r="AB610" s="2110" t="s">
        <v>13393</v>
      </c>
      <c r="AC610" s="2109">
        <v>2023</v>
      </c>
      <c r="AD610" s="388">
        <v>2024</v>
      </c>
      <c r="AE610" s="388">
        <v>2025</v>
      </c>
      <c r="AF610" s="388" t="s">
        <v>13394</v>
      </c>
    </row>
    <row r="611" spans="1:33" ht="15.75" thickTop="1">
      <c r="A611" s="474">
        <v>44713</v>
      </c>
      <c r="B611" s="1420" t="s">
        <v>12033</v>
      </c>
      <c r="C611" s="453" t="s">
        <v>69</v>
      </c>
      <c r="D611" s="453" t="s">
        <v>70</v>
      </c>
      <c r="E611" s="473" t="s">
        <v>12036</v>
      </c>
      <c r="F611" s="453">
        <v>1</v>
      </c>
      <c r="G611" s="1420" t="s">
        <v>12030</v>
      </c>
      <c r="H611" s="453"/>
      <c r="I611" s="453" t="s">
        <v>93</v>
      </c>
      <c r="J611" s="453"/>
      <c r="K611" s="457">
        <v>934382</v>
      </c>
      <c r="L611" s="453" t="s">
        <v>251</v>
      </c>
      <c r="M611" s="474">
        <v>44726</v>
      </c>
      <c r="N611" s="474">
        <v>44790</v>
      </c>
      <c r="O611" s="474">
        <v>44833</v>
      </c>
      <c r="P611" s="1420" t="s">
        <v>2548</v>
      </c>
      <c r="Q611" s="453"/>
      <c r="R611" s="457">
        <v>925152</v>
      </c>
      <c r="S611" s="457">
        <v>1017667.2</v>
      </c>
      <c r="T611" s="1474"/>
      <c r="U611" s="1474"/>
      <c r="V611" s="1474"/>
      <c r="W611" s="570">
        <v>44833</v>
      </c>
      <c r="X611" s="457" t="s">
        <v>13164</v>
      </c>
      <c r="Y611" s="474">
        <v>44860</v>
      </c>
      <c r="Z611" s="474">
        <v>44861</v>
      </c>
      <c r="AA611" s="474">
        <v>46320</v>
      </c>
      <c r="AB611" s="1391" t="s">
        <v>13414</v>
      </c>
      <c r="AC611" s="1391">
        <v>2023</v>
      </c>
      <c r="AD611" s="388">
        <v>2024</v>
      </c>
      <c r="AE611" s="388">
        <v>2025</v>
      </c>
      <c r="AF611" s="388" t="s">
        <v>13415</v>
      </c>
    </row>
    <row r="612" spans="1:33">
      <c r="A612" s="2140">
        <v>44713</v>
      </c>
      <c r="B612" s="2143" t="s">
        <v>12034</v>
      </c>
      <c r="C612" s="2141" t="s">
        <v>69</v>
      </c>
      <c r="D612" s="2141" t="s">
        <v>70</v>
      </c>
      <c r="E612" s="2142" t="s">
        <v>12036</v>
      </c>
      <c r="F612" s="2141">
        <v>2</v>
      </c>
      <c r="G612" s="2143" t="s">
        <v>12031</v>
      </c>
      <c r="H612" s="2141"/>
      <c r="I612" s="2141" t="s">
        <v>93</v>
      </c>
      <c r="J612" s="2141"/>
      <c r="K612" s="2144">
        <v>688631</v>
      </c>
      <c r="L612" s="2141" t="s">
        <v>251</v>
      </c>
      <c r="M612" s="2140">
        <v>44726</v>
      </c>
      <c r="N612" s="2140">
        <v>44790</v>
      </c>
      <c r="O612" s="2140">
        <v>44833</v>
      </c>
      <c r="P612" s="2143" t="s">
        <v>2548</v>
      </c>
      <c r="Q612" s="2141"/>
      <c r="R612" s="2144">
        <v>688630.32</v>
      </c>
      <c r="S612" s="2144">
        <v>757493.35</v>
      </c>
      <c r="T612" s="2145"/>
      <c r="U612" s="2145"/>
      <c r="V612" s="2145"/>
      <c r="W612" s="2146">
        <v>44833</v>
      </c>
      <c r="X612" s="2144" t="s">
        <v>13165</v>
      </c>
      <c r="Y612" s="2140">
        <v>44860</v>
      </c>
      <c r="Z612" s="2140">
        <v>44861</v>
      </c>
      <c r="AA612" s="2140">
        <v>46320</v>
      </c>
      <c r="AB612" s="2109" t="s">
        <v>13414</v>
      </c>
      <c r="AC612" s="2109">
        <v>2023</v>
      </c>
      <c r="AD612" s="388">
        <v>2024</v>
      </c>
      <c r="AE612" s="388">
        <v>2025</v>
      </c>
      <c r="AF612" s="388" t="s">
        <v>13415</v>
      </c>
    </row>
    <row r="613" spans="1:33" ht="15.75" thickBot="1">
      <c r="A613" s="2117">
        <v>44713</v>
      </c>
      <c r="B613" s="2120" t="s">
        <v>12035</v>
      </c>
      <c r="C613" s="2118" t="s">
        <v>69</v>
      </c>
      <c r="D613" s="2118" t="s">
        <v>70</v>
      </c>
      <c r="E613" s="2119" t="s">
        <v>12036</v>
      </c>
      <c r="F613" s="2118">
        <v>3</v>
      </c>
      <c r="G613" s="2120" t="s">
        <v>12032</v>
      </c>
      <c r="H613" s="2118"/>
      <c r="I613" s="2118" t="s">
        <v>93</v>
      </c>
      <c r="J613" s="2118"/>
      <c r="K613" s="2121">
        <v>910974</v>
      </c>
      <c r="L613" s="2118" t="s">
        <v>251</v>
      </c>
      <c r="M613" s="2117">
        <v>44726</v>
      </c>
      <c r="N613" s="2117">
        <v>44790</v>
      </c>
      <c r="O613" s="2117">
        <v>44833</v>
      </c>
      <c r="P613" s="2120" t="s">
        <v>2548</v>
      </c>
      <c r="Q613" s="2118"/>
      <c r="R613" s="2121">
        <v>895954.56</v>
      </c>
      <c r="S613" s="2121">
        <v>985550.02</v>
      </c>
      <c r="T613" s="2122"/>
      <c r="U613" s="2122"/>
      <c r="V613" s="2122"/>
      <c r="W613" s="2123">
        <v>44833</v>
      </c>
      <c r="X613" s="2121" t="s">
        <v>13166</v>
      </c>
      <c r="Y613" s="2117">
        <v>44860</v>
      </c>
      <c r="Z613" s="2117">
        <v>44861</v>
      </c>
      <c r="AA613" s="2117">
        <v>46320</v>
      </c>
      <c r="AB613" s="2110" t="s">
        <v>13414</v>
      </c>
      <c r="AC613" s="2110">
        <v>2023</v>
      </c>
      <c r="AD613" s="388">
        <v>2024</v>
      </c>
      <c r="AE613" s="388">
        <v>2025</v>
      </c>
      <c r="AF613" s="388" t="s">
        <v>13415</v>
      </c>
    </row>
    <row r="614" spans="1:33" ht="30.75" thickTop="1">
      <c r="A614" s="365">
        <v>44713</v>
      </c>
      <c r="B614" s="2684" t="s">
        <v>12037</v>
      </c>
      <c r="C614" s="2683" t="s">
        <v>2434</v>
      </c>
      <c r="D614" s="2683" t="s">
        <v>3204</v>
      </c>
      <c r="E614" s="175" t="s">
        <v>12038</v>
      </c>
      <c r="F614" s="2683"/>
      <c r="G614" s="2684"/>
      <c r="H614" s="2683"/>
      <c r="I614" s="2683" t="s">
        <v>642</v>
      </c>
      <c r="J614" s="2683"/>
      <c r="K614" s="364">
        <v>650000</v>
      </c>
      <c r="L614" s="2683" t="s">
        <v>112</v>
      </c>
      <c r="M614" s="365">
        <v>44720</v>
      </c>
      <c r="N614" s="365">
        <v>44729</v>
      </c>
      <c r="O614" s="365">
        <v>44741</v>
      </c>
      <c r="P614" s="2684" t="s">
        <v>9404</v>
      </c>
      <c r="Q614" s="2683"/>
      <c r="R614" s="364">
        <v>650000</v>
      </c>
      <c r="S614" s="364">
        <v>786500</v>
      </c>
      <c r="T614" s="1473"/>
      <c r="U614" s="1473"/>
      <c r="V614" s="1473"/>
      <c r="W614" s="681">
        <v>44741</v>
      </c>
      <c r="X614" s="1417" t="s">
        <v>12425</v>
      </c>
      <c r="Y614" s="365">
        <v>44768</v>
      </c>
      <c r="Z614" s="365">
        <v>44771</v>
      </c>
      <c r="AA614" s="365">
        <v>45498</v>
      </c>
      <c r="AB614" s="451" t="s">
        <v>12590</v>
      </c>
      <c r="AC614" s="451">
        <v>2023</v>
      </c>
      <c r="AD614" s="388" t="s">
        <v>12592</v>
      </c>
    </row>
    <row r="615" spans="1:33" ht="30">
      <c r="A615" s="2140">
        <v>44713</v>
      </c>
      <c r="B615" s="2143" t="s">
        <v>12039</v>
      </c>
      <c r="C615" s="2141" t="s">
        <v>12073</v>
      </c>
      <c r="D615" s="2141" t="s">
        <v>4969</v>
      </c>
      <c r="E615" s="2142" t="s">
        <v>12040</v>
      </c>
      <c r="F615" s="2141"/>
      <c r="G615" s="2143"/>
      <c r="H615" s="2141"/>
      <c r="I615" s="2141" t="s">
        <v>5760</v>
      </c>
      <c r="J615" s="2141"/>
      <c r="K615" s="2144">
        <v>2216400</v>
      </c>
      <c r="L615" s="2141" t="s">
        <v>251</v>
      </c>
      <c r="M615" s="2140">
        <v>44726</v>
      </c>
      <c r="N615" s="2140">
        <v>44761</v>
      </c>
      <c r="O615" s="2140">
        <v>44798</v>
      </c>
      <c r="P615" s="2143" t="s">
        <v>12807</v>
      </c>
      <c r="Q615" s="2141"/>
      <c r="R615" s="2144">
        <v>2215000</v>
      </c>
      <c r="S615" s="2144">
        <v>2680150</v>
      </c>
      <c r="T615" s="2145"/>
      <c r="U615" s="2145"/>
      <c r="V615" s="2145"/>
      <c r="W615" s="2146">
        <v>44798</v>
      </c>
      <c r="X615" s="2260" t="s">
        <v>12878</v>
      </c>
      <c r="Y615" s="2140">
        <v>44841</v>
      </c>
      <c r="Z615" s="2140">
        <v>44848</v>
      </c>
      <c r="AA615" s="2140">
        <v>44911</v>
      </c>
      <c r="AB615" s="2109"/>
      <c r="AC615" s="2109" t="s">
        <v>1875</v>
      </c>
    </row>
    <row r="616" spans="1:33" ht="30">
      <c r="A616" s="2140">
        <v>44714</v>
      </c>
      <c r="B616" s="2143" t="s">
        <v>12042</v>
      </c>
      <c r="C616" s="2141" t="s">
        <v>2434</v>
      </c>
      <c r="D616" s="2141" t="s">
        <v>3204</v>
      </c>
      <c r="E616" s="2142" t="s">
        <v>12043</v>
      </c>
      <c r="F616" s="2141"/>
      <c r="G616" s="2143"/>
      <c r="H616" s="2141"/>
      <c r="I616" s="2141" t="s">
        <v>5760</v>
      </c>
      <c r="J616" s="2141"/>
      <c r="K616" s="2144">
        <v>1400000</v>
      </c>
      <c r="L616" s="2141" t="s">
        <v>112</v>
      </c>
      <c r="M616" s="2140">
        <v>44719</v>
      </c>
      <c r="N616" s="2140">
        <v>44729</v>
      </c>
      <c r="O616" s="2140">
        <v>44734</v>
      </c>
      <c r="P616" s="2143" t="s">
        <v>12260</v>
      </c>
      <c r="Q616" s="2141"/>
      <c r="R616" s="2144">
        <v>1850400</v>
      </c>
      <c r="S616" s="2144">
        <v>2238984</v>
      </c>
      <c r="T616" s="2145"/>
      <c r="U616" s="2145"/>
      <c r="V616" s="2145"/>
      <c r="W616" s="2146">
        <v>44735</v>
      </c>
      <c r="X616" s="2260" t="s">
        <v>12333</v>
      </c>
      <c r="Y616" s="2140">
        <v>44756</v>
      </c>
      <c r="Z616" s="2140">
        <v>44760</v>
      </c>
      <c r="AA616" s="2140">
        <v>45486</v>
      </c>
      <c r="AB616" s="2109" t="s">
        <v>12513</v>
      </c>
      <c r="AC616" s="2109">
        <v>2023</v>
      </c>
      <c r="AD616" s="388" t="s">
        <v>12514</v>
      </c>
    </row>
    <row r="617" spans="1:33" ht="45">
      <c r="A617" s="2140" t="s">
        <v>3585</v>
      </c>
      <c r="B617" s="2143" t="s">
        <v>12048</v>
      </c>
      <c r="C617" s="2141" t="s">
        <v>9694</v>
      </c>
      <c r="D617" s="2141" t="s">
        <v>4969</v>
      </c>
      <c r="E617" s="2142" t="s">
        <v>12049</v>
      </c>
      <c r="F617" s="2141"/>
      <c r="G617" s="2143"/>
      <c r="H617" s="2141"/>
      <c r="I617" s="2141" t="s">
        <v>275</v>
      </c>
      <c r="J617" s="2141" t="s">
        <v>11102</v>
      </c>
      <c r="K617" s="2144">
        <v>3552600</v>
      </c>
      <c r="L617" s="2141" t="s">
        <v>251</v>
      </c>
      <c r="M617" s="2140">
        <v>44736</v>
      </c>
      <c r="N617" s="2140">
        <v>44771</v>
      </c>
      <c r="O617" s="2140">
        <v>44795</v>
      </c>
      <c r="P617" s="2143" t="s">
        <v>12789</v>
      </c>
      <c r="Q617" s="2141"/>
      <c r="R617" s="2144">
        <v>3588400</v>
      </c>
      <c r="S617" s="2144">
        <v>4341964</v>
      </c>
      <c r="T617" s="2145"/>
      <c r="U617" s="2145"/>
      <c r="V617" s="2145"/>
      <c r="W617" s="2146">
        <v>44795</v>
      </c>
      <c r="X617" s="2260" t="s">
        <v>12822</v>
      </c>
      <c r="Y617" s="2140">
        <v>44837</v>
      </c>
      <c r="Z617" s="2140">
        <v>44841</v>
      </c>
      <c r="AA617" s="2140">
        <v>44851</v>
      </c>
      <c r="AB617" s="2109"/>
      <c r="AC617" s="2109" t="s">
        <v>6118</v>
      </c>
    </row>
    <row r="618" spans="1:33" ht="30">
      <c r="A618" s="2140">
        <v>44714</v>
      </c>
      <c r="B618" s="2143" t="s">
        <v>12050</v>
      </c>
      <c r="C618" s="2141" t="s">
        <v>58</v>
      </c>
      <c r="D618" s="2141" t="s">
        <v>4969</v>
      </c>
      <c r="E618" s="2142" t="s">
        <v>6142</v>
      </c>
      <c r="F618" s="2141"/>
      <c r="G618" s="2143"/>
      <c r="H618" s="2141"/>
      <c r="I618" s="2141" t="s">
        <v>421</v>
      </c>
      <c r="J618" s="2141"/>
      <c r="K618" s="2144">
        <v>432578</v>
      </c>
      <c r="L618" s="2141" t="s">
        <v>112</v>
      </c>
      <c r="M618" s="2140">
        <v>44720</v>
      </c>
      <c r="N618" s="2140">
        <v>44729</v>
      </c>
      <c r="O618" s="2140">
        <v>44741</v>
      </c>
      <c r="P618" s="2143" t="s">
        <v>9134</v>
      </c>
      <c r="Q618" s="2141"/>
      <c r="R618" s="2144">
        <v>407400</v>
      </c>
      <c r="S618" s="2144">
        <v>492954</v>
      </c>
      <c r="T618" s="2145"/>
      <c r="U618" s="2145"/>
      <c r="V618" s="2145"/>
      <c r="W618" s="2146">
        <v>44741</v>
      </c>
      <c r="X618" s="2260" t="s">
        <v>12426</v>
      </c>
      <c r="Y618" s="2140">
        <v>44769</v>
      </c>
      <c r="Z618" s="2140">
        <v>44770</v>
      </c>
      <c r="AA618" s="2140">
        <v>44867</v>
      </c>
      <c r="AB618" s="2140">
        <v>44851</v>
      </c>
      <c r="AC618" s="2109" t="s">
        <v>1875</v>
      </c>
    </row>
    <row r="619" spans="1:33">
      <c r="A619" s="2140">
        <v>44713</v>
      </c>
      <c r="B619" s="2143" t="s">
        <v>12051</v>
      </c>
      <c r="C619" s="2141" t="s">
        <v>2434</v>
      </c>
      <c r="D619" s="2141" t="s">
        <v>219</v>
      </c>
      <c r="E619" s="2142" t="s">
        <v>12052</v>
      </c>
      <c r="F619" s="2141"/>
      <c r="G619" s="2143"/>
      <c r="H619" s="2141"/>
      <c r="I619" s="2141" t="s">
        <v>642</v>
      </c>
      <c r="J619" s="2141"/>
      <c r="K619" s="2144">
        <v>2747300</v>
      </c>
      <c r="L619" s="2141" t="s">
        <v>216</v>
      </c>
      <c r="M619" s="2140">
        <v>44719</v>
      </c>
      <c r="N619" s="2140">
        <v>44777</v>
      </c>
      <c r="O619" s="2140">
        <v>44820</v>
      </c>
      <c r="P619" s="2143" t="s">
        <v>7190</v>
      </c>
      <c r="Q619" s="2141"/>
      <c r="R619" s="2144">
        <v>3577320</v>
      </c>
      <c r="S619" s="2144">
        <v>4328557.2</v>
      </c>
      <c r="T619" s="2145"/>
      <c r="U619" s="2145"/>
      <c r="V619" s="2145"/>
      <c r="W619" s="2146">
        <v>44820</v>
      </c>
      <c r="X619" s="2144" t="s">
        <v>13077</v>
      </c>
      <c r="Y619" s="2140">
        <v>44902</v>
      </c>
      <c r="Z619" s="2140">
        <v>44924</v>
      </c>
      <c r="AA619" s="2140">
        <v>45632</v>
      </c>
      <c r="AB619" s="2109" t="s">
        <v>13734</v>
      </c>
      <c r="AC619" s="2109">
        <v>2023</v>
      </c>
      <c r="AD619" s="388" t="s">
        <v>10524</v>
      </c>
    </row>
    <row r="620" spans="1:33" ht="30">
      <c r="A620" s="2141" t="s">
        <v>3585</v>
      </c>
      <c r="B620" s="2143" t="s">
        <v>12053</v>
      </c>
      <c r="C620" s="2141" t="s">
        <v>2434</v>
      </c>
      <c r="D620" s="2141" t="s">
        <v>219</v>
      </c>
      <c r="E620" s="2142" t="s">
        <v>12054</v>
      </c>
      <c r="F620" s="2141"/>
      <c r="G620" s="2143"/>
      <c r="H620" s="2141"/>
      <c r="I620" s="2141" t="s">
        <v>642</v>
      </c>
      <c r="J620" s="2141"/>
      <c r="K620" s="2144">
        <v>2201652.6</v>
      </c>
      <c r="L620" s="2141" t="s">
        <v>216</v>
      </c>
      <c r="M620" s="2140">
        <v>44719</v>
      </c>
      <c r="N620" s="2140">
        <v>44736</v>
      </c>
      <c r="O620" s="2140">
        <v>44774</v>
      </c>
      <c r="P620" s="2143" t="s">
        <v>2776</v>
      </c>
      <c r="Q620" s="2141"/>
      <c r="R620" s="2144">
        <v>1919007.83</v>
      </c>
      <c r="S620" s="2144">
        <v>2322000</v>
      </c>
      <c r="T620" s="2145"/>
      <c r="U620" s="2145"/>
      <c r="V620" s="2145"/>
      <c r="W620" s="2146">
        <v>44776</v>
      </c>
      <c r="X620" s="2260" t="s">
        <v>12949</v>
      </c>
      <c r="Y620" s="2140">
        <v>44804</v>
      </c>
      <c r="Z620" s="2140">
        <v>44833</v>
      </c>
      <c r="AA620" s="2140">
        <v>45899</v>
      </c>
      <c r="AB620" s="2109" t="s">
        <v>12930</v>
      </c>
      <c r="AC620" s="2109">
        <v>2023</v>
      </c>
      <c r="AD620" s="388">
        <v>2024</v>
      </c>
      <c r="AE620" s="388" t="s">
        <v>12950</v>
      </c>
    </row>
    <row r="621" spans="1:33">
      <c r="A621" s="2140">
        <v>44718</v>
      </c>
      <c r="B621" s="2143" t="s">
        <v>12059</v>
      </c>
      <c r="C621" s="2141" t="s">
        <v>14</v>
      </c>
      <c r="D621" s="2141" t="s">
        <v>1753</v>
      </c>
      <c r="E621" s="2142" t="s">
        <v>12060</v>
      </c>
      <c r="F621" s="2141"/>
      <c r="G621" s="2143"/>
      <c r="H621" s="2141"/>
      <c r="I621" s="2141" t="s">
        <v>2327</v>
      </c>
      <c r="J621" s="2140" t="s">
        <v>11011</v>
      </c>
      <c r="K621" s="2144">
        <v>300000</v>
      </c>
      <c r="L621" s="2141" t="s">
        <v>112</v>
      </c>
      <c r="M621" s="2140">
        <v>44719</v>
      </c>
      <c r="N621" s="2140">
        <v>44728</v>
      </c>
      <c r="O621" s="2140">
        <v>44739</v>
      </c>
      <c r="P621" s="2143" t="s">
        <v>12329</v>
      </c>
      <c r="Q621" s="2141"/>
      <c r="R621" s="2144">
        <v>224518.65</v>
      </c>
      <c r="S621" s="2144">
        <v>271667.57</v>
      </c>
      <c r="T621" s="2145"/>
      <c r="U621" s="2145"/>
      <c r="V621" s="2145"/>
      <c r="W621" s="2146">
        <v>44739</v>
      </c>
      <c r="X621" s="2144" t="s">
        <v>12355</v>
      </c>
      <c r="Y621" s="2140">
        <v>44761</v>
      </c>
      <c r="Z621" s="2140">
        <v>44768</v>
      </c>
      <c r="AA621" s="2140">
        <f>Y621+30</f>
        <v>44791</v>
      </c>
      <c r="AB621" s="1560">
        <v>44844</v>
      </c>
    </row>
    <row r="622" spans="1:33" ht="45">
      <c r="A622" s="2140">
        <v>44711</v>
      </c>
      <c r="B622" s="2143" t="s">
        <v>12069</v>
      </c>
      <c r="C622" s="2141" t="s">
        <v>2434</v>
      </c>
      <c r="D622" s="2141" t="s">
        <v>219</v>
      </c>
      <c r="E622" s="2142" t="s">
        <v>12070</v>
      </c>
      <c r="F622" s="2141"/>
      <c r="G622" s="2143"/>
      <c r="H622" s="2141"/>
      <c r="I622" s="2141" t="s">
        <v>12071</v>
      </c>
      <c r="J622" s="2141"/>
      <c r="K622" s="2144">
        <v>19109990</v>
      </c>
      <c r="L622" s="2141" t="s">
        <v>251</v>
      </c>
      <c r="M622" s="2140">
        <v>44726</v>
      </c>
      <c r="N622" s="2140">
        <v>44769</v>
      </c>
      <c r="O622" s="2140">
        <v>44810</v>
      </c>
      <c r="P622" s="2143" t="s">
        <v>5696</v>
      </c>
      <c r="Q622" s="2141"/>
      <c r="R622" s="2144">
        <v>19318887.800000001</v>
      </c>
      <c r="S622" s="2144">
        <v>22216721.640000001</v>
      </c>
      <c r="T622" s="2145"/>
      <c r="U622" s="2145"/>
      <c r="V622" s="2145"/>
      <c r="W622" s="2146">
        <v>44810</v>
      </c>
      <c r="X622" s="2260" t="s">
        <v>13003</v>
      </c>
      <c r="Y622" s="2140">
        <v>44858</v>
      </c>
      <c r="Z622" s="2140">
        <v>44886</v>
      </c>
      <c r="AA622" s="2140">
        <v>46318</v>
      </c>
      <c r="AB622" s="2109" t="s">
        <v>13393</v>
      </c>
      <c r="AC622" s="2109">
        <v>2023</v>
      </c>
      <c r="AD622" s="388">
        <v>2024</v>
      </c>
      <c r="AE622" s="388">
        <v>2025</v>
      </c>
      <c r="AF622" s="388" t="s">
        <v>13394</v>
      </c>
    </row>
    <row r="623" spans="1:33" ht="30">
      <c r="A623" s="2140">
        <v>44720</v>
      </c>
      <c r="B623" s="2143" t="s">
        <v>12078</v>
      </c>
      <c r="C623" s="2141" t="s">
        <v>12073</v>
      </c>
      <c r="D623" s="2141" t="s">
        <v>4969</v>
      </c>
      <c r="E623" s="2142" t="s">
        <v>12079</v>
      </c>
      <c r="F623" s="2141"/>
      <c r="G623" s="2143"/>
      <c r="H623" s="2141"/>
      <c r="I623" s="2141" t="s">
        <v>12080</v>
      </c>
      <c r="J623" s="2141" t="s">
        <v>12081</v>
      </c>
      <c r="K623" s="2144">
        <v>728512</v>
      </c>
      <c r="L623" s="2141" t="s">
        <v>251</v>
      </c>
      <c r="M623" s="2140">
        <v>44726</v>
      </c>
      <c r="N623" s="2140">
        <v>44760</v>
      </c>
      <c r="O623" s="2140">
        <v>44834</v>
      </c>
      <c r="P623" s="2143" t="s">
        <v>10552</v>
      </c>
      <c r="Q623" s="2141"/>
      <c r="R623" s="2144">
        <v>703520</v>
      </c>
      <c r="S623" s="2144">
        <v>851259.2</v>
      </c>
      <c r="T623" s="2145"/>
      <c r="U623" s="2145"/>
      <c r="V623" s="2145"/>
      <c r="W623" s="2146">
        <v>44834</v>
      </c>
      <c r="X623" s="2260" t="s">
        <v>13169</v>
      </c>
      <c r="Y623" s="2140">
        <v>44859</v>
      </c>
      <c r="Z623" s="2140">
        <v>44861</v>
      </c>
      <c r="AA623" s="2140">
        <v>44887</v>
      </c>
      <c r="AB623" s="2109"/>
      <c r="AC623" s="2109" t="s">
        <v>1875</v>
      </c>
    </row>
    <row r="624" spans="1:33" ht="30">
      <c r="A624" s="2140">
        <v>44720</v>
      </c>
      <c r="B624" s="2143" t="s">
        <v>12082</v>
      </c>
      <c r="C624" s="2141" t="s">
        <v>58</v>
      </c>
      <c r="D624" s="2141" t="s">
        <v>4969</v>
      </c>
      <c r="E624" s="2142" t="s">
        <v>4264</v>
      </c>
      <c r="F624" s="2141"/>
      <c r="G624" s="2143"/>
      <c r="H624" s="2141"/>
      <c r="I624" s="2141" t="s">
        <v>1950</v>
      </c>
      <c r="J624" s="2141" t="s">
        <v>4265</v>
      </c>
      <c r="K624" s="2144">
        <v>307104</v>
      </c>
      <c r="L624" s="2141" t="s">
        <v>112</v>
      </c>
      <c r="M624" s="2140">
        <v>44722</v>
      </c>
      <c r="N624" s="2140">
        <v>44733</v>
      </c>
      <c r="O624" s="2140">
        <v>44741</v>
      </c>
      <c r="P624" s="2143" t="s">
        <v>12346</v>
      </c>
      <c r="Q624" s="2141"/>
      <c r="R624" s="2144">
        <v>303305.73</v>
      </c>
      <c r="S624" s="2144">
        <v>366999.88</v>
      </c>
      <c r="T624" s="2145"/>
      <c r="U624" s="2145"/>
      <c r="V624" s="2145"/>
      <c r="W624" s="2146">
        <v>44741</v>
      </c>
      <c r="X624" s="2260" t="s">
        <v>12427</v>
      </c>
      <c r="Y624" s="2140">
        <v>44777</v>
      </c>
      <c r="Z624" s="2140">
        <v>44782</v>
      </c>
      <c r="AA624" s="2140">
        <v>44889</v>
      </c>
      <c r="AB624" s="2140">
        <v>44861</v>
      </c>
      <c r="AC624" s="2109" t="s">
        <v>1875</v>
      </c>
    </row>
    <row r="625" spans="1:32" ht="45.75" thickBot="1">
      <c r="A625" s="416">
        <v>44720</v>
      </c>
      <c r="B625" s="630" t="s">
        <v>12084</v>
      </c>
      <c r="C625" s="411" t="s">
        <v>2434</v>
      </c>
      <c r="D625" s="411" t="s">
        <v>219</v>
      </c>
      <c r="E625" s="412" t="s">
        <v>12085</v>
      </c>
      <c r="F625" s="411"/>
      <c r="G625" s="630"/>
      <c r="H625" s="411"/>
      <c r="I625" s="411" t="s">
        <v>6827</v>
      </c>
      <c r="J625" s="411"/>
      <c r="K625" s="417">
        <v>31304348</v>
      </c>
      <c r="L625" s="411" t="s">
        <v>251</v>
      </c>
      <c r="M625" s="416">
        <v>44728</v>
      </c>
      <c r="N625" s="416">
        <v>44761</v>
      </c>
      <c r="O625" s="416">
        <v>44781</v>
      </c>
      <c r="P625" s="630" t="s">
        <v>7201</v>
      </c>
      <c r="Q625" s="411"/>
      <c r="R625" s="417">
        <v>31304000</v>
      </c>
      <c r="S625" s="417">
        <v>35999600</v>
      </c>
      <c r="T625" s="1480"/>
      <c r="U625" s="1480"/>
      <c r="V625" s="1480"/>
      <c r="W625" s="513">
        <v>44781</v>
      </c>
      <c r="X625" s="1553" t="s">
        <v>12670</v>
      </c>
      <c r="Y625" s="416">
        <v>44838</v>
      </c>
      <c r="Z625" s="416">
        <v>44861</v>
      </c>
      <c r="AA625" s="416">
        <v>46298</v>
      </c>
      <c r="AB625" s="422" t="s">
        <v>13192</v>
      </c>
      <c r="AC625" s="422">
        <v>2023</v>
      </c>
      <c r="AD625" s="388">
        <v>2024</v>
      </c>
      <c r="AE625" s="388">
        <v>2025</v>
      </c>
      <c r="AF625" s="388" t="s">
        <v>13193</v>
      </c>
    </row>
    <row r="626" spans="1:32" ht="30.75" thickTop="1">
      <c r="A626" s="474">
        <v>44721</v>
      </c>
      <c r="B626" s="1420" t="s">
        <v>12089</v>
      </c>
      <c r="C626" s="453" t="s">
        <v>58</v>
      </c>
      <c r="D626" s="453" t="s">
        <v>4969</v>
      </c>
      <c r="E626" s="473" t="s">
        <v>4218</v>
      </c>
      <c r="F626" s="453">
        <v>1</v>
      </c>
      <c r="G626" s="1420" t="s">
        <v>12202</v>
      </c>
      <c r="H626" s="453"/>
      <c r="I626" s="453" t="s">
        <v>86</v>
      </c>
      <c r="J626" s="453" t="s">
        <v>12093</v>
      </c>
      <c r="K626" s="457">
        <v>2700000</v>
      </c>
      <c r="L626" s="453" t="s">
        <v>251</v>
      </c>
      <c r="M626" s="474">
        <v>44729</v>
      </c>
      <c r="N626" s="474">
        <v>44767</v>
      </c>
      <c r="O626" s="474">
        <v>44803</v>
      </c>
      <c r="P626" s="1420" t="s">
        <v>383</v>
      </c>
      <c r="Q626" s="453"/>
      <c r="R626" s="457">
        <v>2544470</v>
      </c>
      <c r="S626" s="457">
        <v>3078808.7</v>
      </c>
      <c r="T626" s="1474"/>
      <c r="U626" s="1474"/>
      <c r="V626" s="1474"/>
      <c r="W626" s="570">
        <v>44803</v>
      </c>
      <c r="X626" s="1387" t="s">
        <v>12907</v>
      </c>
      <c r="Y626" s="474">
        <v>44837</v>
      </c>
      <c r="Z626" s="474">
        <v>44847</v>
      </c>
      <c r="AA626" s="474">
        <v>44963</v>
      </c>
      <c r="AB626" s="1391"/>
      <c r="AC626" s="1391" t="s">
        <v>1875</v>
      </c>
    </row>
    <row r="627" spans="1:32" ht="30">
      <c r="A627" s="2140">
        <v>44721</v>
      </c>
      <c r="B627" s="2143" t="s">
        <v>12090</v>
      </c>
      <c r="C627" s="2141" t="s">
        <v>58</v>
      </c>
      <c r="D627" s="2141" t="s">
        <v>4969</v>
      </c>
      <c r="E627" s="2142" t="s">
        <v>4218</v>
      </c>
      <c r="F627" s="2141">
        <v>2</v>
      </c>
      <c r="G627" s="2143" t="s">
        <v>12203</v>
      </c>
      <c r="H627" s="2141"/>
      <c r="I627" s="2141" t="s">
        <v>86</v>
      </c>
      <c r="J627" s="2141" t="s">
        <v>12094</v>
      </c>
      <c r="K627" s="2144">
        <v>1787603</v>
      </c>
      <c r="L627" s="2141" t="s">
        <v>251</v>
      </c>
      <c r="M627" s="2140">
        <v>44729</v>
      </c>
      <c r="N627" s="2140">
        <v>44767</v>
      </c>
      <c r="O627" s="2140">
        <v>44803</v>
      </c>
      <c r="P627" s="2143" t="s">
        <v>383</v>
      </c>
      <c r="Q627" s="2141"/>
      <c r="R627" s="2144">
        <v>1656140</v>
      </c>
      <c r="S627" s="2144">
        <v>2003929.4</v>
      </c>
      <c r="T627" s="2145"/>
      <c r="U627" s="2145"/>
      <c r="V627" s="2145"/>
      <c r="W627" s="2146">
        <v>44803</v>
      </c>
      <c r="X627" s="2260" t="s">
        <v>12908</v>
      </c>
      <c r="Y627" s="2140">
        <v>44837</v>
      </c>
      <c r="Z627" s="2140">
        <v>44847</v>
      </c>
      <c r="AA627" s="2140">
        <v>44963</v>
      </c>
      <c r="AB627" s="2109"/>
      <c r="AC627" s="2109" t="s">
        <v>1875</v>
      </c>
    </row>
    <row r="628" spans="1:32">
      <c r="A628" s="2124">
        <v>44721</v>
      </c>
      <c r="B628" s="2127" t="s">
        <v>12091</v>
      </c>
      <c r="C628" s="2125" t="s">
        <v>58</v>
      </c>
      <c r="D628" s="2125" t="s">
        <v>4969</v>
      </c>
      <c r="E628" s="2126" t="s">
        <v>4218</v>
      </c>
      <c r="F628" s="2125">
        <v>3</v>
      </c>
      <c r="G628" s="2127" t="s">
        <v>12204</v>
      </c>
      <c r="H628" s="2125"/>
      <c r="I628" s="2125" t="s">
        <v>86</v>
      </c>
      <c r="J628" s="2125" t="s">
        <v>12095</v>
      </c>
      <c r="K628" s="2128">
        <v>302000</v>
      </c>
      <c r="L628" s="2125" t="s">
        <v>251</v>
      </c>
      <c r="M628" s="2124">
        <v>44729</v>
      </c>
      <c r="N628" s="2124">
        <v>44767</v>
      </c>
      <c r="O628" s="2125"/>
      <c r="P628" s="2136" t="s">
        <v>4505</v>
      </c>
      <c r="Q628" s="2125"/>
      <c r="R628" s="2128"/>
      <c r="S628" s="2128"/>
      <c r="T628" s="2129"/>
      <c r="U628" s="2129"/>
      <c r="V628" s="2129"/>
      <c r="W628" s="2128"/>
      <c r="X628" s="2128"/>
      <c r="Y628" s="2125"/>
      <c r="Z628" s="2124">
        <v>44792</v>
      </c>
      <c r="AA628" s="2127" t="s">
        <v>12687</v>
      </c>
      <c r="AB628" s="2125"/>
      <c r="AC628" s="2125"/>
    </row>
    <row r="629" spans="1:32" ht="30.75" thickBot="1">
      <c r="A629" s="2117">
        <v>44721</v>
      </c>
      <c r="B629" s="2120" t="s">
        <v>12092</v>
      </c>
      <c r="C629" s="2118" t="s">
        <v>58</v>
      </c>
      <c r="D629" s="2118" t="s">
        <v>4969</v>
      </c>
      <c r="E629" s="2119" t="s">
        <v>4218</v>
      </c>
      <c r="F629" s="2118">
        <v>4</v>
      </c>
      <c r="G629" s="2120" t="s">
        <v>12205</v>
      </c>
      <c r="H629" s="2118"/>
      <c r="I629" s="2118" t="s">
        <v>86</v>
      </c>
      <c r="J629" s="2118" t="s">
        <v>12096</v>
      </c>
      <c r="K629" s="2121">
        <v>370000</v>
      </c>
      <c r="L629" s="2118" t="s">
        <v>251</v>
      </c>
      <c r="M629" s="2117">
        <v>44729</v>
      </c>
      <c r="N629" s="2117">
        <v>44767</v>
      </c>
      <c r="O629" s="2117">
        <v>44803</v>
      </c>
      <c r="P629" s="2120" t="s">
        <v>5726</v>
      </c>
      <c r="Q629" s="2118"/>
      <c r="R629" s="2121">
        <v>370000</v>
      </c>
      <c r="S629" s="2121">
        <v>447700</v>
      </c>
      <c r="T629" s="2122"/>
      <c r="U629" s="2122"/>
      <c r="V629" s="2122"/>
      <c r="W629" s="2123">
        <v>44803</v>
      </c>
      <c r="X629" s="2246" t="s">
        <v>12909</v>
      </c>
      <c r="Y629" s="2117">
        <v>44837</v>
      </c>
      <c r="Z629" s="2117">
        <v>44847</v>
      </c>
      <c r="AA629" s="2117">
        <v>44921</v>
      </c>
      <c r="AB629" s="2110"/>
      <c r="AC629" s="2110" t="s">
        <v>1875</v>
      </c>
    </row>
    <row r="630" spans="1:32" ht="16.5" thickTop="1" thickBot="1">
      <c r="A630" s="498">
        <v>44714</v>
      </c>
      <c r="B630" s="669" t="s">
        <v>12098</v>
      </c>
      <c r="C630" s="232" t="s">
        <v>2434</v>
      </c>
      <c r="D630" s="232" t="s">
        <v>219</v>
      </c>
      <c r="E630" s="274" t="s">
        <v>12099</v>
      </c>
      <c r="F630" s="232"/>
      <c r="G630" s="669"/>
      <c r="H630" s="232"/>
      <c r="I630" s="232" t="s">
        <v>642</v>
      </c>
      <c r="J630" s="232"/>
      <c r="K630" s="499">
        <v>6482640</v>
      </c>
      <c r="L630" s="232" t="s">
        <v>251</v>
      </c>
      <c r="M630" s="498">
        <v>44729</v>
      </c>
      <c r="N630" s="498">
        <v>44768</v>
      </c>
      <c r="O630" s="498">
        <v>44785</v>
      </c>
      <c r="P630" s="669" t="s">
        <v>4905</v>
      </c>
      <c r="Q630" s="232"/>
      <c r="R630" s="499">
        <v>6482641.2800000003</v>
      </c>
      <c r="S630" s="499">
        <v>7843996.1600000001</v>
      </c>
      <c r="T630" s="1545"/>
      <c r="U630" s="1545"/>
      <c r="V630" s="1545"/>
      <c r="W630" s="682">
        <v>44785</v>
      </c>
      <c r="X630" s="499" t="s">
        <v>12739</v>
      </c>
      <c r="Y630" s="498">
        <v>44824</v>
      </c>
      <c r="Z630" s="498">
        <v>44851</v>
      </c>
      <c r="AA630" s="498">
        <v>46284</v>
      </c>
      <c r="AB630" s="1546" t="s">
        <v>13199</v>
      </c>
      <c r="AC630" s="1546">
        <v>2023</v>
      </c>
      <c r="AD630" s="388">
        <v>2024</v>
      </c>
      <c r="AE630" s="388">
        <v>2025</v>
      </c>
      <c r="AF630" s="388" t="s">
        <v>13200</v>
      </c>
    </row>
    <row r="631" spans="1:32" ht="15.75" thickTop="1">
      <c r="A631" s="474">
        <v>44722</v>
      </c>
      <c r="B631" s="1420" t="s">
        <v>12108</v>
      </c>
      <c r="C631" s="453" t="s">
        <v>2434</v>
      </c>
      <c r="D631" s="453" t="s">
        <v>219</v>
      </c>
      <c r="E631" s="473" t="s">
        <v>12109</v>
      </c>
      <c r="F631" s="453">
        <v>1</v>
      </c>
      <c r="G631" s="1420" t="s">
        <v>12110</v>
      </c>
      <c r="H631" s="453"/>
      <c r="I631" s="453" t="s">
        <v>642</v>
      </c>
      <c r="J631" s="453"/>
      <c r="K631" s="457">
        <v>3696480</v>
      </c>
      <c r="L631" s="453" t="s">
        <v>251</v>
      </c>
      <c r="M631" s="474">
        <v>44733</v>
      </c>
      <c r="N631" s="474">
        <v>44795</v>
      </c>
      <c r="O631" s="474">
        <v>44847</v>
      </c>
      <c r="P631" s="1420" t="s">
        <v>6763</v>
      </c>
      <c r="Q631" s="453"/>
      <c r="R631" s="457">
        <v>3802500</v>
      </c>
      <c r="S631" s="457">
        <v>4601025</v>
      </c>
      <c r="T631" s="1474"/>
      <c r="U631" s="1474"/>
      <c r="V631" s="1474"/>
      <c r="W631" s="570">
        <v>44847</v>
      </c>
      <c r="X631" s="457" t="s">
        <v>13286</v>
      </c>
      <c r="Y631" s="474">
        <v>44896</v>
      </c>
      <c r="Z631" s="474">
        <v>44907</v>
      </c>
      <c r="AA631" s="474">
        <v>45991</v>
      </c>
      <c r="AB631" s="1391" t="s">
        <v>13678</v>
      </c>
      <c r="AC631" s="1391">
        <v>2023</v>
      </c>
      <c r="AD631" s="388">
        <v>2024</v>
      </c>
      <c r="AE631" s="388" t="s">
        <v>13679</v>
      </c>
    </row>
    <row r="632" spans="1:32">
      <c r="A632" s="2140">
        <v>44722</v>
      </c>
      <c r="B632" s="2143" t="s">
        <v>12111</v>
      </c>
      <c r="C632" s="2141" t="s">
        <v>2434</v>
      </c>
      <c r="D632" s="2141" t="s">
        <v>219</v>
      </c>
      <c r="E632" s="2142" t="s">
        <v>12109</v>
      </c>
      <c r="F632" s="2141">
        <v>2</v>
      </c>
      <c r="G632" s="2143" t="s">
        <v>12113</v>
      </c>
      <c r="H632" s="2141"/>
      <c r="I632" s="2141" t="s">
        <v>642</v>
      </c>
      <c r="J632" s="2141"/>
      <c r="K632" s="2144">
        <v>1715350</v>
      </c>
      <c r="L632" s="2141" t="s">
        <v>251</v>
      </c>
      <c r="M632" s="2140">
        <v>44733</v>
      </c>
      <c r="N632" s="2140">
        <v>44795</v>
      </c>
      <c r="O632" s="2140">
        <v>44847</v>
      </c>
      <c r="P632" s="2143" t="s">
        <v>4409</v>
      </c>
      <c r="Q632" s="2141"/>
      <c r="R632" s="2144">
        <v>1715345.4</v>
      </c>
      <c r="S632" s="2144">
        <v>2075567.93</v>
      </c>
      <c r="T632" s="2145"/>
      <c r="U632" s="2145"/>
      <c r="V632" s="2145"/>
      <c r="W632" s="2146">
        <v>44847</v>
      </c>
      <c r="X632" s="2144" t="s">
        <v>13287</v>
      </c>
      <c r="Y632" s="2140">
        <v>44893</v>
      </c>
      <c r="Z632" s="2140">
        <v>44907</v>
      </c>
      <c r="AA632" s="2140">
        <v>45988</v>
      </c>
      <c r="AB632" s="2109" t="s">
        <v>13635</v>
      </c>
      <c r="AC632" s="2109">
        <v>2023</v>
      </c>
      <c r="AD632" s="388">
        <v>2024</v>
      </c>
      <c r="AE632" s="388" t="s">
        <v>13636</v>
      </c>
    </row>
    <row r="633" spans="1:32" ht="15.75" thickBot="1">
      <c r="A633" s="2117">
        <v>44722</v>
      </c>
      <c r="B633" s="2120" t="s">
        <v>12112</v>
      </c>
      <c r="C633" s="2118" t="s">
        <v>2434</v>
      </c>
      <c r="D633" s="2118" t="s">
        <v>219</v>
      </c>
      <c r="E633" s="2119" t="s">
        <v>12109</v>
      </c>
      <c r="F633" s="2118">
        <v>3</v>
      </c>
      <c r="G633" s="2120" t="s">
        <v>12114</v>
      </c>
      <c r="H633" s="2118"/>
      <c r="I633" s="2118" t="s">
        <v>642</v>
      </c>
      <c r="J633" s="2118"/>
      <c r="K633" s="2121">
        <v>2075150</v>
      </c>
      <c r="L633" s="2118" t="s">
        <v>251</v>
      </c>
      <c r="M633" s="2117">
        <v>44733</v>
      </c>
      <c r="N633" s="2117">
        <v>44795</v>
      </c>
      <c r="O633" s="2117">
        <v>44847</v>
      </c>
      <c r="P633" s="2120" t="s">
        <v>1433</v>
      </c>
      <c r="Q633" s="2118"/>
      <c r="R633" s="2121">
        <v>1958239.8</v>
      </c>
      <c r="S633" s="2121">
        <v>2369471.7000000002</v>
      </c>
      <c r="T633" s="2122"/>
      <c r="U633" s="2122"/>
      <c r="V633" s="2122"/>
      <c r="W633" s="2123">
        <v>44847</v>
      </c>
      <c r="X633" s="2121" t="s">
        <v>13288</v>
      </c>
      <c r="Y633" s="2117">
        <v>44888</v>
      </c>
      <c r="Z633" s="2117">
        <v>44907</v>
      </c>
      <c r="AA633" s="2117">
        <v>45983</v>
      </c>
      <c r="AB633" s="2110" t="s">
        <v>13609</v>
      </c>
      <c r="AC633" s="2110">
        <v>2023</v>
      </c>
      <c r="AD633" s="388">
        <v>2024</v>
      </c>
      <c r="AE633" s="388" t="s">
        <v>13610</v>
      </c>
    </row>
    <row r="634" spans="1:32" ht="16.5" thickTop="1" thickBot="1">
      <c r="A634" s="1539">
        <v>44720</v>
      </c>
      <c r="B634" s="1541" t="s">
        <v>12243</v>
      </c>
      <c r="C634" s="185" t="s">
        <v>2434</v>
      </c>
      <c r="D634" s="185" t="s">
        <v>219</v>
      </c>
      <c r="E634" s="2687" t="s">
        <v>12244</v>
      </c>
      <c r="F634" s="185"/>
      <c r="G634" s="1541"/>
      <c r="H634" s="185"/>
      <c r="I634" s="185" t="s">
        <v>642</v>
      </c>
      <c r="J634" s="185"/>
      <c r="K634" s="1542">
        <v>1557945</v>
      </c>
      <c r="L634" s="185" t="s">
        <v>216</v>
      </c>
      <c r="M634" s="1539">
        <v>44729</v>
      </c>
      <c r="N634" s="1539">
        <v>44756</v>
      </c>
      <c r="O634" s="185"/>
      <c r="P634" s="2488" t="s">
        <v>4505</v>
      </c>
      <c r="Q634" s="2627" t="s">
        <v>12942</v>
      </c>
      <c r="R634" s="1542"/>
      <c r="S634" s="1542"/>
      <c r="T634" s="1543"/>
      <c r="U634" s="1543"/>
      <c r="V634" s="1543"/>
      <c r="W634" s="1542"/>
      <c r="X634" s="1542"/>
      <c r="Y634" s="185"/>
      <c r="Z634" s="1539">
        <v>44809</v>
      </c>
      <c r="AA634" s="1541" t="s">
        <v>12830</v>
      </c>
      <c r="AB634" s="185"/>
      <c r="AC634" s="185"/>
    </row>
    <row r="635" spans="1:32" ht="15.75" thickTop="1">
      <c r="A635" s="443">
        <v>44726</v>
      </c>
      <c r="B635" s="1431" t="s">
        <v>12141</v>
      </c>
      <c r="C635" s="439" t="s">
        <v>69</v>
      </c>
      <c r="D635" s="439" t="s">
        <v>70</v>
      </c>
      <c r="E635" s="440" t="s">
        <v>12144</v>
      </c>
      <c r="F635" s="439">
        <v>1</v>
      </c>
      <c r="G635" s="1887" t="s">
        <v>12156</v>
      </c>
      <c r="H635" s="583"/>
      <c r="I635" s="439" t="s">
        <v>12160</v>
      </c>
      <c r="J635" s="439"/>
      <c r="K635" s="444">
        <v>66413</v>
      </c>
      <c r="L635" s="439" t="s">
        <v>216</v>
      </c>
      <c r="M635" s="443">
        <v>44619</v>
      </c>
      <c r="N635" s="443">
        <v>44784</v>
      </c>
      <c r="O635" s="439"/>
      <c r="P635" s="753" t="s">
        <v>304</v>
      </c>
      <c r="Q635" s="439"/>
      <c r="R635" s="444"/>
      <c r="S635" s="444"/>
      <c r="T635" s="1483"/>
      <c r="U635" s="1483"/>
      <c r="V635" s="1483"/>
      <c r="W635" s="444"/>
      <c r="X635" s="444"/>
      <c r="Y635" s="439"/>
      <c r="Z635" s="443">
        <v>44880</v>
      </c>
      <c r="AA635" s="1431" t="s">
        <v>13332</v>
      </c>
      <c r="AB635" s="439"/>
      <c r="AC635" s="439"/>
    </row>
    <row r="636" spans="1:32">
      <c r="A636" s="2124">
        <v>44726</v>
      </c>
      <c r="B636" s="2127" t="s">
        <v>12142</v>
      </c>
      <c r="C636" s="2125" t="s">
        <v>69</v>
      </c>
      <c r="D636" s="2125" t="s">
        <v>70</v>
      </c>
      <c r="E636" s="2126" t="s">
        <v>12144</v>
      </c>
      <c r="F636" s="2125">
        <v>2</v>
      </c>
      <c r="G636" s="2697" t="s">
        <v>12155</v>
      </c>
      <c r="H636" s="2085"/>
      <c r="I636" s="2125" t="s">
        <v>12160</v>
      </c>
      <c r="J636" s="2125"/>
      <c r="K636" s="2128">
        <v>428134</v>
      </c>
      <c r="L636" s="2125" t="s">
        <v>216</v>
      </c>
      <c r="M636" s="2124">
        <v>44619</v>
      </c>
      <c r="N636" s="2124">
        <v>44784</v>
      </c>
      <c r="O636" s="2125"/>
      <c r="P636" s="2136" t="s">
        <v>304</v>
      </c>
      <c r="Q636" s="2125"/>
      <c r="R636" s="2128"/>
      <c r="S636" s="2128"/>
      <c r="T636" s="2094"/>
      <c r="U636" s="2094"/>
      <c r="V636" s="2094"/>
      <c r="W636" s="2128"/>
      <c r="X636" s="2128"/>
      <c r="Y636" s="2125"/>
      <c r="Z636" s="2124">
        <v>44880</v>
      </c>
      <c r="AA636" s="2127" t="s">
        <v>13332</v>
      </c>
      <c r="AB636" s="2125"/>
      <c r="AC636" s="2125"/>
    </row>
    <row r="637" spans="1:32">
      <c r="A637" s="2140">
        <v>44726</v>
      </c>
      <c r="B637" s="2143" t="s">
        <v>12143</v>
      </c>
      <c r="C637" s="2141" t="s">
        <v>69</v>
      </c>
      <c r="D637" s="2141" t="s">
        <v>70</v>
      </c>
      <c r="E637" s="2142" t="s">
        <v>12144</v>
      </c>
      <c r="F637" s="2141">
        <v>3</v>
      </c>
      <c r="G637" s="2261" t="s">
        <v>12154</v>
      </c>
      <c r="H637" s="2141"/>
      <c r="I637" s="2141" t="s">
        <v>12160</v>
      </c>
      <c r="J637" s="2141"/>
      <c r="K637" s="2144">
        <v>321110</v>
      </c>
      <c r="L637" s="2141" t="s">
        <v>216</v>
      </c>
      <c r="M637" s="2140">
        <v>44619</v>
      </c>
      <c r="N637" s="2140">
        <v>44784</v>
      </c>
      <c r="O637" s="2140">
        <v>44861</v>
      </c>
      <c r="P637" s="2143" t="s">
        <v>576</v>
      </c>
      <c r="Q637" s="2141"/>
      <c r="R637" s="2144">
        <v>316793.15999999997</v>
      </c>
      <c r="S637" s="2144">
        <v>248472.48</v>
      </c>
      <c r="T637" s="2145"/>
      <c r="U637" s="2145"/>
      <c r="V637" s="2145"/>
      <c r="W637" s="2146">
        <v>44861</v>
      </c>
      <c r="X637" s="2144" t="s">
        <v>13419</v>
      </c>
      <c r="Y637" s="2140">
        <v>44907</v>
      </c>
      <c r="Z637" s="2140">
        <v>44914</v>
      </c>
      <c r="AA637" s="2140">
        <v>46367</v>
      </c>
      <c r="AB637" s="2109" t="s">
        <v>13754</v>
      </c>
      <c r="AC637" s="2109">
        <v>2023</v>
      </c>
      <c r="AD637" s="388">
        <v>2024</v>
      </c>
      <c r="AE637" s="388">
        <v>2025</v>
      </c>
      <c r="AF637" s="388" t="s">
        <v>13756</v>
      </c>
    </row>
    <row r="638" spans="1:32">
      <c r="A638" s="2140">
        <v>44726</v>
      </c>
      <c r="B638" s="2143" t="s">
        <v>12145</v>
      </c>
      <c r="C638" s="2141" t="s">
        <v>69</v>
      </c>
      <c r="D638" s="2141" t="s">
        <v>70</v>
      </c>
      <c r="E638" s="2142" t="s">
        <v>12144</v>
      </c>
      <c r="F638" s="2141">
        <v>4</v>
      </c>
      <c r="G638" s="2143" t="s">
        <v>12151</v>
      </c>
      <c r="H638" s="2141"/>
      <c r="I638" s="2141" t="s">
        <v>12160</v>
      </c>
      <c r="J638" s="2141"/>
      <c r="K638" s="2144">
        <v>6514</v>
      </c>
      <c r="L638" s="2141" t="s">
        <v>216</v>
      </c>
      <c r="M638" s="2140">
        <v>44619</v>
      </c>
      <c r="N638" s="2140">
        <v>44784</v>
      </c>
      <c r="O638" s="2140">
        <v>44861</v>
      </c>
      <c r="P638" s="2143" t="s">
        <v>576</v>
      </c>
      <c r="Q638" s="2141"/>
      <c r="R638" s="2144">
        <v>6426.36</v>
      </c>
      <c r="S638" s="2144">
        <v>7069</v>
      </c>
      <c r="T638" s="2145"/>
      <c r="U638" s="2145"/>
      <c r="V638" s="2145"/>
      <c r="W638" s="2146">
        <v>44861</v>
      </c>
      <c r="X638" s="2144" t="s">
        <v>13420</v>
      </c>
      <c r="Y638" s="2140">
        <v>44907</v>
      </c>
      <c r="Z638" s="2140">
        <v>44914</v>
      </c>
      <c r="AA638" s="2140">
        <v>46367</v>
      </c>
      <c r="AB638" s="2109" t="s">
        <v>13754</v>
      </c>
      <c r="AC638" s="2109">
        <v>2023</v>
      </c>
      <c r="AD638" s="388">
        <v>2024</v>
      </c>
      <c r="AE638" s="388">
        <v>2025</v>
      </c>
      <c r="AF638" s="388" t="s">
        <v>13756</v>
      </c>
    </row>
    <row r="639" spans="1:32">
      <c r="A639" s="2124">
        <v>44726</v>
      </c>
      <c r="B639" s="2127" t="s">
        <v>12146</v>
      </c>
      <c r="C639" s="2125" t="s">
        <v>69</v>
      </c>
      <c r="D639" s="2125" t="s">
        <v>70</v>
      </c>
      <c r="E639" s="2126" t="s">
        <v>12144</v>
      </c>
      <c r="F639" s="2125">
        <v>5</v>
      </c>
      <c r="G639" s="2127" t="s">
        <v>12152</v>
      </c>
      <c r="H639" s="2085"/>
      <c r="I639" s="2125" t="s">
        <v>12160</v>
      </c>
      <c r="J639" s="2125"/>
      <c r="K639" s="2128">
        <v>529496</v>
      </c>
      <c r="L639" s="2125" t="s">
        <v>216</v>
      </c>
      <c r="M639" s="2124">
        <v>44619</v>
      </c>
      <c r="N639" s="2124">
        <v>44784</v>
      </c>
      <c r="O639" s="2125"/>
      <c r="P639" s="2136" t="s">
        <v>304</v>
      </c>
      <c r="Q639" s="2125"/>
      <c r="R639" s="2128"/>
      <c r="S639" s="2128"/>
      <c r="T639" s="2094"/>
      <c r="U639" s="2094"/>
      <c r="V639" s="2094"/>
      <c r="W639" s="2128"/>
      <c r="X639" s="2128"/>
      <c r="Y639" s="2125"/>
      <c r="Z639" s="2124">
        <v>44880</v>
      </c>
      <c r="AA639" s="2127" t="s">
        <v>13332</v>
      </c>
      <c r="AB639" s="2125"/>
      <c r="AC639" s="2125"/>
    </row>
    <row r="640" spans="1:32">
      <c r="A640" s="2140">
        <v>44726</v>
      </c>
      <c r="B640" s="2143" t="s">
        <v>12147</v>
      </c>
      <c r="C640" s="2141" t="s">
        <v>69</v>
      </c>
      <c r="D640" s="2141" t="s">
        <v>70</v>
      </c>
      <c r="E640" s="2142" t="s">
        <v>12144</v>
      </c>
      <c r="F640" s="2141">
        <v>6</v>
      </c>
      <c r="G640" s="2143" t="s">
        <v>12153</v>
      </c>
      <c r="H640" s="2141"/>
      <c r="I640" s="2141" t="s">
        <v>12160</v>
      </c>
      <c r="J640" s="2141"/>
      <c r="K640" s="2144">
        <v>51400</v>
      </c>
      <c r="L640" s="2141" t="s">
        <v>216</v>
      </c>
      <c r="M640" s="2140">
        <v>44619</v>
      </c>
      <c r="N640" s="2140">
        <v>44784</v>
      </c>
      <c r="O640" s="2140">
        <v>44861</v>
      </c>
      <c r="P640" s="2143" t="s">
        <v>576</v>
      </c>
      <c r="Q640" s="2141"/>
      <c r="R640" s="2144">
        <v>49526.400000000001</v>
      </c>
      <c r="S640" s="2144">
        <v>54479.040000000001</v>
      </c>
      <c r="T640" s="2145"/>
      <c r="U640" s="2145"/>
      <c r="V640" s="2145"/>
      <c r="W640" s="2146">
        <v>44861</v>
      </c>
      <c r="X640" s="2144" t="s">
        <v>13421</v>
      </c>
      <c r="Y640" s="2140">
        <v>44907</v>
      </c>
      <c r="Z640" s="2140">
        <v>44914</v>
      </c>
      <c r="AA640" s="2140">
        <v>46367</v>
      </c>
      <c r="AB640" s="2109" t="s">
        <v>13754</v>
      </c>
      <c r="AC640" s="2109">
        <v>2023</v>
      </c>
      <c r="AD640" s="388">
        <v>2024</v>
      </c>
      <c r="AE640" s="388">
        <v>2025</v>
      </c>
      <c r="AF640" s="388" t="s">
        <v>13756</v>
      </c>
    </row>
    <row r="641" spans="1:32">
      <c r="A641" s="2140">
        <v>44726</v>
      </c>
      <c r="B641" s="2143" t="s">
        <v>12148</v>
      </c>
      <c r="C641" s="2141" t="s">
        <v>69</v>
      </c>
      <c r="D641" s="2141" t="s">
        <v>70</v>
      </c>
      <c r="E641" s="2142" t="s">
        <v>12144</v>
      </c>
      <c r="F641" s="2141">
        <v>7</v>
      </c>
      <c r="G641" s="2261" t="s">
        <v>12157</v>
      </c>
      <c r="H641" s="2141"/>
      <c r="I641" s="2141" t="s">
        <v>12160</v>
      </c>
      <c r="J641" s="2141"/>
      <c r="K641" s="2144">
        <v>145866</v>
      </c>
      <c r="L641" s="2141" t="s">
        <v>216</v>
      </c>
      <c r="M641" s="2140">
        <v>44619</v>
      </c>
      <c r="N641" s="2140">
        <v>44784</v>
      </c>
      <c r="O641" s="2140">
        <v>44861</v>
      </c>
      <c r="P641" s="2143" t="s">
        <v>576</v>
      </c>
      <c r="Q641" s="2141"/>
      <c r="R641" s="2144">
        <v>143862.48000000001</v>
      </c>
      <c r="S641" s="2144">
        <v>158248.73000000001</v>
      </c>
      <c r="T641" s="2145"/>
      <c r="U641" s="2145"/>
      <c r="V641" s="2145"/>
      <c r="W641" s="2146">
        <v>44861</v>
      </c>
      <c r="X641" s="2144" t="s">
        <v>13422</v>
      </c>
      <c r="Y641" s="2140">
        <v>44907</v>
      </c>
      <c r="Z641" s="2140">
        <v>44914</v>
      </c>
      <c r="AA641" s="2140">
        <v>46367</v>
      </c>
      <c r="AB641" s="2109" t="s">
        <v>13754</v>
      </c>
      <c r="AC641" s="2109">
        <v>2023</v>
      </c>
      <c r="AD641" s="388">
        <v>2024</v>
      </c>
      <c r="AE641" s="388">
        <v>2025</v>
      </c>
      <c r="AF641" s="388" t="s">
        <v>13756</v>
      </c>
    </row>
    <row r="642" spans="1:32">
      <c r="A642" s="2140">
        <v>44726</v>
      </c>
      <c r="B642" s="2143" t="s">
        <v>12149</v>
      </c>
      <c r="C642" s="2141" t="s">
        <v>69</v>
      </c>
      <c r="D642" s="2141" t="s">
        <v>70</v>
      </c>
      <c r="E642" s="2142" t="s">
        <v>12144</v>
      </c>
      <c r="F642" s="2141">
        <v>8</v>
      </c>
      <c r="G642" s="2261" t="s">
        <v>12158</v>
      </c>
      <c r="H642" s="2141"/>
      <c r="I642" s="2141" t="s">
        <v>12160</v>
      </c>
      <c r="J642" s="2141"/>
      <c r="K642" s="2144">
        <v>592911</v>
      </c>
      <c r="L642" s="2141" t="s">
        <v>216</v>
      </c>
      <c r="M642" s="2140">
        <v>44619</v>
      </c>
      <c r="N642" s="2140">
        <v>44784</v>
      </c>
      <c r="O642" s="2140">
        <v>44861</v>
      </c>
      <c r="P642" s="2143" t="s">
        <v>576</v>
      </c>
      <c r="Q642" s="2141"/>
      <c r="R642" s="2144">
        <v>589947.19999999995</v>
      </c>
      <c r="S642" s="2144">
        <v>648941.92000000004</v>
      </c>
      <c r="T642" s="2145"/>
      <c r="U642" s="2145"/>
      <c r="V642" s="2145"/>
      <c r="W642" s="2146">
        <v>44861</v>
      </c>
      <c r="X642" s="2144" t="s">
        <v>13423</v>
      </c>
      <c r="Y642" s="2140">
        <v>44907</v>
      </c>
      <c r="Z642" s="2140">
        <v>44914</v>
      </c>
      <c r="AA642" s="2140">
        <v>46367</v>
      </c>
      <c r="AB642" s="2109" t="s">
        <v>13754</v>
      </c>
      <c r="AC642" s="2109">
        <v>2023</v>
      </c>
      <c r="AD642" s="388">
        <v>2024</v>
      </c>
      <c r="AE642" s="388">
        <v>2025</v>
      </c>
      <c r="AF642" s="388" t="s">
        <v>13756</v>
      </c>
    </row>
    <row r="643" spans="1:32" ht="15.75" thickBot="1">
      <c r="A643" s="2117">
        <v>44726</v>
      </c>
      <c r="B643" s="2120" t="s">
        <v>12150</v>
      </c>
      <c r="C643" s="2118" t="s">
        <v>69</v>
      </c>
      <c r="D643" s="2118" t="s">
        <v>70</v>
      </c>
      <c r="E643" s="2119" t="s">
        <v>12144</v>
      </c>
      <c r="F643" s="2118">
        <v>9</v>
      </c>
      <c r="G643" s="2262" t="s">
        <v>12159</v>
      </c>
      <c r="H643" s="2118"/>
      <c r="I643" s="2118" t="s">
        <v>12160</v>
      </c>
      <c r="J643" s="2118"/>
      <c r="K643" s="2121">
        <v>195280</v>
      </c>
      <c r="L643" s="2118" t="s">
        <v>216</v>
      </c>
      <c r="M643" s="2117">
        <v>44619</v>
      </c>
      <c r="N643" s="2117">
        <v>44784</v>
      </c>
      <c r="O643" s="2117">
        <v>44861</v>
      </c>
      <c r="P643" s="2120" t="s">
        <v>576</v>
      </c>
      <c r="Q643" s="2118"/>
      <c r="R643" s="2121">
        <v>143353.4</v>
      </c>
      <c r="S643" s="2121">
        <v>157688.74</v>
      </c>
      <c r="T643" s="2122"/>
      <c r="U643" s="2122"/>
      <c r="V643" s="2122"/>
      <c r="W643" s="2123">
        <v>44861</v>
      </c>
      <c r="X643" s="2121" t="s">
        <v>13424</v>
      </c>
      <c r="Y643" s="2117">
        <v>44907</v>
      </c>
      <c r="Z643" s="2117">
        <v>44914</v>
      </c>
      <c r="AA643" s="2117">
        <v>46367</v>
      </c>
      <c r="AB643" s="2110" t="s">
        <v>13754</v>
      </c>
      <c r="AC643" s="2110">
        <v>2023</v>
      </c>
      <c r="AD643" s="388">
        <v>2024</v>
      </c>
      <c r="AE643" s="388">
        <v>2025</v>
      </c>
      <c r="AF643" s="388" t="s">
        <v>13756</v>
      </c>
    </row>
    <row r="644" spans="1:32" ht="15.75" thickTop="1">
      <c r="A644" s="474">
        <v>44726</v>
      </c>
      <c r="B644" s="1420" t="s">
        <v>12133</v>
      </c>
      <c r="C644" s="453" t="s">
        <v>69</v>
      </c>
      <c r="D644" s="453" t="s">
        <v>70</v>
      </c>
      <c r="E644" s="473" t="s">
        <v>12124</v>
      </c>
      <c r="F644" s="453">
        <v>1</v>
      </c>
      <c r="G644" s="1420" t="s">
        <v>12125</v>
      </c>
      <c r="H644" s="453"/>
      <c r="I644" s="453" t="s">
        <v>3187</v>
      </c>
      <c r="J644" s="453"/>
      <c r="K644" s="457">
        <v>1246269</v>
      </c>
      <c r="L644" s="453" t="s">
        <v>251</v>
      </c>
      <c r="M644" s="474">
        <v>44739</v>
      </c>
      <c r="N644" s="474">
        <v>44788</v>
      </c>
      <c r="O644" s="474">
        <v>44845</v>
      </c>
      <c r="P644" s="1420" t="s">
        <v>576</v>
      </c>
      <c r="Q644" s="453"/>
      <c r="R644" s="457">
        <v>1226851.2</v>
      </c>
      <c r="S644" s="457">
        <v>1349536.32</v>
      </c>
      <c r="T644" s="1474"/>
      <c r="U644" s="1474"/>
      <c r="V644" s="1474"/>
      <c r="W644" s="570">
        <v>44845</v>
      </c>
      <c r="X644" s="457" t="s">
        <v>13250</v>
      </c>
      <c r="Y644" s="474">
        <v>44875</v>
      </c>
      <c r="Z644" s="474">
        <v>44900</v>
      </c>
      <c r="AA644" s="474">
        <v>46335</v>
      </c>
      <c r="AB644" s="1391" t="s">
        <v>13521</v>
      </c>
      <c r="AC644" s="1391">
        <v>2023</v>
      </c>
      <c r="AD644" s="388">
        <v>2024</v>
      </c>
      <c r="AE644" s="388">
        <v>2025</v>
      </c>
      <c r="AF644" s="388" t="s">
        <v>13523</v>
      </c>
    </row>
    <row r="645" spans="1:32">
      <c r="A645" s="2140">
        <v>44726</v>
      </c>
      <c r="B645" s="2143" t="s">
        <v>12134</v>
      </c>
      <c r="C645" s="2141" t="s">
        <v>69</v>
      </c>
      <c r="D645" s="2141" t="s">
        <v>70</v>
      </c>
      <c r="E645" s="2142" t="s">
        <v>12124</v>
      </c>
      <c r="F645" s="2141">
        <v>2</v>
      </c>
      <c r="G645" s="2143" t="s">
        <v>12126</v>
      </c>
      <c r="H645" s="2141"/>
      <c r="I645" s="2141" t="s">
        <v>3187</v>
      </c>
      <c r="J645" s="2141"/>
      <c r="K645" s="2144">
        <v>966768</v>
      </c>
      <c r="L645" s="2141" t="s">
        <v>251</v>
      </c>
      <c r="M645" s="2140">
        <v>44739</v>
      </c>
      <c r="N645" s="2140">
        <v>44788</v>
      </c>
      <c r="O645" s="2140">
        <v>44845</v>
      </c>
      <c r="P645" s="2143" t="s">
        <v>576</v>
      </c>
      <c r="Q645" s="2141"/>
      <c r="R645" s="2144">
        <v>964997.04</v>
      </c>
      <c r="S645" s="2144">
        <v>1061496.74</v>
      </c>
      <c r="T645" s="2145"/>
      <c r="U645" s="2145"/>
      <c r="V645" s="2145"/>
      <c r="W645" s="2146">
        <v>44845</v>
      </c>
      <c r="X645" s="2144" t="s">
        <v>13251</v>
      </c>
      <c r="Y645" s="2140">
        <v>44875</v>
      </c>
      <c r="Z645" s="2140">
        <v>44900</v>
      </c>
      <c r="AA645" s="2140">
        <v>46335</v>
      </c>
      <c r="AB645" s="2109" t="s">
        <v>13521</v>
      </c>
      <c r="AC645" s="2109">
        <v>2023</v>
      </c>
      <c r="AD645" s="388">
        <v>2024</v>
      </c>
      <c r="AE645" s="388">
        <v>2025</v>
      </c>
      <c r="AF645" s="388" t="s">
        <v>13523</v>
      </c>
    </row>
    <row r="646" spans="1:32">
      <c r="A646" s="2140">
        <v>44726</v>
      </c>
      <c r="B646" s="2143" t="s">
        <v>12135</v>
      </c>
      <c r="C646" s="2141" t="s">
        <v>69</v>
      </c>
      <c r="D646" s="2141" t="s">
        <v>70</v>
      </c>
      <c r="E646" s="2142" t="s">
        <v>12124</v>
      </c>
      <c r="F646" s="2141">
        <v>3</v>
      </c>
      <c r="G646" s="2143" t="s">
        <v>12127</v>
      </c>
      <c r="H646" s="2141"/>
      <c r="I646" s="2141" t="s">
        <v>3187</v>
      </c>
      <c r="J646" s="2141"/>
      <c r="K646" s="2144">
        <v>2599981</v>
      </c>
      <c r="L646" s="2141" t="s">
        <v>251</v>
      </c>
      <c r="M646" s="2140">
        <v>44739</v>
      </c>
      <c r="N646" s="2140">
        <v>44788</v>
      </c>
      <c r="O646" s="2140">
        <v>44845</v>
      </c>
      <c r="P646" s="2143" t="s">
        <v>576</v>
      </c>
      <c r="Q646" s="2141"/>
      <c r="R646" s="2144">
        <v>2395252.6800000002</v>
      </c>
      <c r="S646" s="2144">
        <v>2634777.9500000002</v>
      </c>
      <c r="T646" s="2145"/>
      <c r="U646" s="2145"/>
      <c r="V646" s="2145"/>
      <c r="W646" s="2146">
        <v>44845</v>
      </c>
      <c r="X646" s="2144" t="s">
        <v>13253</v>
      </c>
      <c r="Y646" s="2140">
        <v>44875</v>
      </c>
      <c r="Z646" s="2140">
        <v>44900</v>
      </c>
      <c r="AA646" s="2140">
        <v>46335</v>
      </c>
      <c r="AB646" s="2109" t="s">
        <v>13521</v>
      </c>
      <c r="AC646" s="2109">
        <v>2023</v>
      </c>
      <c r="AD646" s="388">
        <v>2024</v>
      </c>
      <c r="AE646" s="388">
        <v>2025</v>
      </c>
      <c r="AF646" s="388" t="s">
        <v>13523</v>
      </c>
    </row>
    <row r="647" spans="1:32">
      <c r="A647" s="2140">
        <v>44726</v>
      </c>
      <c r="B647" s="2143" t="s">
        <v>12136</v>
      </c>
      <c r="C647" s="2141" t="s">
        <v>69</v>
      </c>
      <c r="D647" s="2141" t="s">
        <v>70</v>
      </c>
      <c r="E647" s="2142" t="s">
        <v>12124</v>
      </c>
      <c r="F647" s="2141">
        <v>4</v>
      </c>
      <c r="G647" s="2143" t="s">
        <v>12128</v>
      </c>
      <c r="H647" s="2141"/>
      <c r="I647" s="2141" t="s">
        <v>3187</v>
      </c>
      <c r="J647" s="2141"/>
      <c r="K647" s="2144">
        <v>216084</v>
      </c>
      <c r="L647" s="2141" t="s">
        <v>251</v>
      </c>
      <c r="M647" s="2140">
        <v>44739</v>
      </c>
      <c r="N647" s="2140">
        <v>44788</v>
      </c>
      <c r="O647" s="2140">
        <v>44845</v>
      </c>
      <c r="P647" s="2143" t="s">
        <v>576</v>
      </c>
      <c r="Q647" s="2141"/>
      <c r="R647" s="2144">
        <v>180823.67999999999</v>
      </c>
      <c r="S647" s="2144">
        <v>198906.05</v>
      </c>
      <c r="T647" s="2145"/>
      <c r="U647" s="2145"/>
      <c r="V647" s="2145"/>
      <c r="W647" s="2146">
        <v>44845</v>
      </c>
      <c r="X647" s="2144" t="s">
        <v>13252</v>
      </c>
      <c r="Y647" s="2140">
        <v>44875</v>
      </c>
      <c r="Z647" s="2140">
        <v>44900</v>
      </c>
      <c r="AA647" s="2140">
        <v>46335</v>
      </c>
      <c r="AB647" s="2109" t="s">
        <v>13521</v>
      </c>
      <c r="AC647" s="2109">
        <v>2023</v>
      </c>
      <c r="AD647" s="388">
        <v>2024</v>
      </c>
      <c r="AE647" s="388">
        <v>2025</v>
      </c>
      <c r="AF647" s="388" t="s">
        <v>13523</v>
      </c>
    </row>
    <row r="648" spans="1:32">
      <c r="A648" s="2124">
        <v>44726</v>
      </c>
      <c r="B648" s="2127" t="s">
        <v>12137</v>
      </c>
      <c r="C648" s="2125" t="s">
        <v>69</v>
      </c>
      <c r="D648" s="2125" t="s">
        <v>70</v>
      </c>
      <c r="E648" s="2126" t="s">
        <v>12124</v>
      </c>
      <c r="F648" s="2125">
        <v>5</v>
      </c>
      <c r="G648" s="2127" t="s">
        <v>12129</v>
      </c>
      <c r="H648" s="2645"/>
      <c r="I648" s="2125" t="s">
        <v>3187</v>
      </c>
      <c r="J648" s="2125"/>
      <c r="K648" s="2128">
        <v>164639</v>
      </c>
      <c r="L648" s="2125" t="s">
        <v>251</v>
      </c>
      <c r="M648" s="2124">
        <v>44739</v>
      </c>
      <c r="N648" s="2124">
        <v>44788</v>
      </c>
      <c r="O648" s="2125"/>
      <c r="P648" s="2136" t="s">
        <v>304</v>
      </c>
      <c r="Q648" s="2125"/>
      <c r="R648" s="2128"/>
      <c r="S648" s="2128"/>
      <c r="T648" s="2348"/>
      <c r="U648" s="2348"/>
      <c r="V648" s="2348"/>
      <c r="W648" s="2128"/>
      <c r="X648" s="2128"/>
      <c r="Y648" s="2125"/>
      <c r="Z648" s="2124">
        <v>44872</v>
      </c>
      <c r="AA648" s="2127" t="s">
        <v>13257</v>
      </c>
      <c r="AB648" s="2125"/>
      <c r="AC648" s="2125"/>
    </row>
    <row r="649" spans="1:32">
      <c r="A649" s="2140">
        <v>44726</v>
      </c>
      <c r="B649" s="2143" t="s">
        <v>12138</v>
      </c>
      <c r="C649" s="2141" t="s">
        <v>69</v>
      </c>
      <c r="D649" s="2141" t="s">
        <v>70</v>
      </c>
      <c r="E649" s="2142" t="s">
        <v>12124</v>
      </c>
      <c r="F649" s="2141">
        <v>6</v>
      </c>
      <c r="G649" s="2143" t="s">
        <v>12130</v>
      </c>
      <c r="H649" s="2141"/>
      <c r="I649" s="2141" t="s">
        <v>3187</v>
      </c>
      <c r="J649" s="2141"/>
      <c r="K649" s="2144">
        <v>194217</v>
      </c>
      <c r="L649" s="2141" t="s">
        <v>251</v>
      </c>
      <c r="M649" s="2140">
        <v>44739</v>
      </c>
      <c r="N649" s="2140">
        <v>44788</v>
      </c>
      <c r="O649" s="2140">
        <v>44845</v>
      </c>
      <c r="P649" s="2143" t="s">
        <v>576</v>
      </c>
      <c r="Q649" s="2141"/>
      <c r="R649" s="2144">
        <v>194303.96</v>
      </c>
      <c r="S649" s="2144">
        <v>213734.36</v>
      </c>
      <c r="T649" s="2145"/>
      <c r="U649" s="2145"/>
      <c r="V649" s="2145"/>
      <c r="W649" s="2146">
        <v>44845</v>
      </c>
      <c r="X649" s="2144" t="s">
        <v>13254</v>
      </c>
      <c r="Y649" s="2140">
        <v>44876</v>
      </c>
      <c r="Z649" s="2140">
        <v>44900</v>
      </c>
      <c r="AA649" s="2140">
        <v>46336</v>
      </c>
      <c r="AB649" s="2109" t="s">
        <v>13526</v>
      </c>
      <c r="AC649" s="2109">
        <v>2023</v>
      </c>
      <c r="AD649" s="388">
        <v>2024</v>
      </c>
      <c r="AE649" s="388">
        <v>2025</v>
      </c>
      <c r="AF649" s="388" t="s">
        <v>13527</v>
      </c>
    </row>
    <row r="650" spans="1:32">
      <c r="A650" s="2140">
        <v>44726</v>
      </c>
      <c r="B650" s="2143" t="s">
        <v>12139</v>
      </c>
      <c r="C650" s="2141" t="s">
        <v>69</v>
      </c>
      <c r="D650" s="2141" t="s">
        <v>70</v>
      </c>
      <c r="E650" s="2142" t="s">
        <v>12124</v>
      </c>
      <c r="F650" s="2141">
        <v>7</v>
      </c>
      <c r="G650" s="2143" t="s">
        <v>12131</v>
      </c>
      <c r="H650" s="2141"/>
      <c r="I650" s="2141" t="s">
        <v>3187</v>
      </c>
      <c r="J650" s="2141"/>
      <c r="K650" s="2144">
        <v>3362</v>
      </c>
      <c r="L650" s="2141" t="s">
        <v>251</v>
      </c>
      <c r="M650" s="2140">
        <v>44739</v>
      </c>
      <c r="N650" s="2140">
        <v>44788</v>
      </c>
      <c r="O650" s="2140">
        <v>44845</v>
      </c>
      <c r="P650" s="2143" t="s">
        <v>576</v>
      </c>
      <c r="Q650" s="2141"/>
      <c r="R650" s="2144">
        <v>3309.8</v>
      </c>
      <c r="S650" s="2144">
        <v>3640.78</v>
      </c>
      <c r="T650" s="2145"/>
      <c r="U650" s="2145"/>
      <c r="V650" s="2145"/>
      <c r="W650" s="2146">
        <v>44845</v>
      </c>
      <c r="X650" s="2144" t="s">
        <v>13255</v>
      </c>
      <c r="Y650" s="2140">
        <v>44876</v>
      </c>
      <c r="Z650" s="2140">
        <v>44900</v>
      </c>
      <c r="AA650" s="2140">
        <v>46336</v>
      </c>
      <c r="AB650" s="2109" t="s">
        <v>13526</v>
      </c>
      <c r="AC650" s="2109">
        <v>2023</v>
      </c>
      <c r="AD650" s="388">
        <v>2024</v>
      </c>
      <c r="AE650" s="388">
        <v>2025</v>
      </c>
      <c r="AF650" s="388" t="s">
        <v>13527</v>
      </c>
    </row>
    <row r="651" spans="1:32" ht="15.75" thickBot="1">
      <c r="A651" s="2117">
        <v>44726</v>
      </c>
      <c r="B651" s="2120" t="s">
        <v>12140</v>
      </c>
      <c r="C651" s="2118" t="s">
        <v>69</v>
      </c>
      <c r="D651" s="2118" t="s">
        <v>70</v>
      </c>
      <c r="E651" s="2119" t="s">
        <v>12124</v>
      </c>
      <c r="F651" s="2118">
        <v>8</v>
      </c>
      <c r="G651" s="2120" t="s">
        <v>12132</v>
      </c>
      <c r="H651" s="2118"/>
      <c r="I651" s="2118" t="s">
        <v>3187</v>
      </c>
      <c r="J651" s="2118"/>
      <c r="K651" s="2121">
        <v>590926</v>
      </c>
      <c r="L651" s="2118" t="s">
        <v>251</v>
      </c>
      <c r="M651" s="2117">
        <v>44739</v>
      </c>
      <c r="N651" s="2117">
        <v>44788</v>
      </c>
      <c r="O651" s="2117">
        <v>44845</v>
      </c>
      <c r="P651" s="2120" t="s">
        <v>2548</v>
      </c>
      <c r="Q651" s="2118"/>
      <c r="R651" s="2121">
        <v>594649.76</v>
      </c>
      <c r="S651" s="2121">
        <v>654114.74</v>
      </c>
      <c r="T651" s="2122"/>
      <c r="U651" s="2122"/>
      <c r="V651" s="2122"/>
      <c r="W651" s="2123">
        <v>44845</v>
      </c>
      <c r="X651" s="2121" t="s">
        <v>13256</v>
      </c>
      <c r="Y651" s="2117">
        <v>44893</v>
      </c>
      <c r="Z651" s="2117">
        <v>44900</v>
      </c>
      <c r="AA651" s="2117">
        <v>46353</v>
      </c>
      <c r="AB651" s="2110" t="s">
        <v>13635</v>
      </c>
      <c r="AC651" s="2110">
        <v>2023</v>
      </c>
      <c r="AD651" s="388">
        <v>2024</v>
      </c>
      <c r="AE651" s="388">
        <v>2025</v>
      </c>
      <c r="AF651" s="388" t="s">
        <v>13637</v>
      </c>
    </row>
    <row r="652" spans="1:32" ht="15.75" thickTop="1">
      <c r="A652" s="365">
        <v>44726</v>
      </c>
      <c r="B652" s="2791" t="s">
        <v>12161</v>
      </c>
      <c r="C652" s="2790" t="s">
        <v>69</v>
      </c>
      <c r="D652" s="2790" t="s">
        <v>70</v>
      </c>
      <c r="E652" s="175" t="s">
        <v>12167</v>
      </c>
      <c r="F652" s="2790">
        <v>1</v>
      </c>
      <c r="G652" s="661" t="s">
        <v>12171</v>
      </c>
      <c r="H652" s="2790"/>
      <c r="I652" s="2790" t="s">
        <v>12172</v>
      </c>
      <c r="J652" s="2790"/>
      <c r="K652" s="364">
        <v>564798</v>
      </c>
      <c r="L652" s="2790" t="s">
        <v>251</v>
      </c>
      <c r="M652" s="365">
        <v>44742</v>
      </c>
      <c r="N652" s="365">
        <v>44791</v>
      </c>
      <c r="O652" s="365">
        <v>44855</v>
      </c>
      <c r="P652" s="2791" t="s">
        <v>2405</v>
      </c>
      <c r="Q652" s="2790"/>
      <c r="R652" s="364">
        <v>564796</v>
      </c>
      <c r="S652" s="364">
        <v>621275.6</v>
      </c>
      <c r="T652" s="1473"/>
      <c r="U652" s="1473"/>
      <c r="V652" s="1473"/>
      <c r="W652" s="681">
        <v>44855</v>
      </c>
      <c r="X652" s="364" t="s">
        <v>13374</v>
      </c>
      <c r="Y652" s="365">
        <v>44896</v>
      </c>
      <c r="Z652" s="365">
        <v>44911</v>
      </c>
      <c r="AA652" s="365">
        <v>46356</v>
      </c>
      <c r="AB652" s="451" t="s">
        <v>13678</v>
      </c>
      <c r="AC652" s="451">
        <v>2023</v>
      </c>
      <c r="AD652" s="388">
        <v>2024</v>
      </c>
      <c r="AE652" s="388">
        <v>2025</v>
      </c>
      <c r="AF652" s="388" t="s">
        <v>13680</v>
      </c>
    </row>
    <row r="653" spans="1:32">
      <c r="A653" s="2140">
        <v>44726</v>
      </c>
      <c r="B653" s="2143" t="s">
        <v>12162</v>
      </c>
      <c r="C653" s="2141" t="s">
        <v>69</v>
      </c>
      <c r="D653" s="2141" t="s">
        <v>70</v>
      </c>
      <c r="E653" s="2142" t="s">
        <v>12167</v>
      </c>
      <c r="F653" s="2141">
        <v>2</v>
      </c>
      <c r="G653" s="2143" t="s">
        <v>12169</v>
      </c>
      <c r="H653" s="2141"/>
      <c r="I653" s="2141" t="s">
        <v>12172</v>
      </c>
      <c r="J653" s="2141"/>
      <c r="K653" s="2144">
        <v>528914</v>
      </c>
      <c r="L653" s="2141" t="s">
        <v>251</v>
      </c>
      <c r="M653" s="2140">
        <v>44742</v>
      </c>
      <c r="N653" s="2140">
        <v>44791</v>
      </c>
      <c r="O653" s="2140">
        <v>44855</v>
      </c>
      <c r="P653" s="2143" t="s">
        <v>576</v>
      </c>
      <c r="Q653" s="2141"/>
      <c r="R653" s="2144">
        <v>528913.76</v>
      </c>
      <c r="S653" s="2144">
        <v>581805.14</v>
      </c>
      <c r="T653" s="2145"/>
      <c r="U653" s="2145"/>
      <c r="V653" s="2145"/>
      <c r="W653" s="2146">
        <v>44855</v>
      </c>
      <c r="X653" s="2144" t="s">
        <v>13375</v>
      </c>
      <c r="Y653" s="2140">
        <v>44893</v>
      </c>
      <c r="Z653" s="2140">
        <v>44911</v>
      </c>
      <c r="AA653" s="2140">
        <v>46353</v>
      </c>
      <c r="AB653" s="2109" t="s">
        <v>13635</v>
      </c>
      <c r="AC653" s="2109">
        <v>2023</v>
      </c>
      <c r="AD653" s="388">
        <v>2024</v>
      </c>
      <c r="AE653" s="388">
        <v>2025</v>
      </c>
      <c r="AF653" s="388" t="s">
        <v>13637</v>
      </c>
    </row>
    <row r="654" spans="1:32" ht="15.75" thickBot="1">
      <c r="A654" s="416">
        <v>44726</v>
      </c>
      <c r="B654" s="630" t="s">
        <v>12163</v>
      </c>
      <c r="C654" s="411" t="s">
        <v>69</v>
      </c>
      <c r="D654" s="411" t="s">
        <v>70</v>
      </c>
      <c r="E654" s="412" t="s">
        <v>12167</v>
      </c>
      <c r="F654" s="411">
        <v>3</v>
      </c>
      <c r="G654" s="630" t="s">
        <v>12170</v>
      </c>
      <c r="H654" s="411"/>
      <c r="I654" s="411" t="s">
        <v>12172</v>
      </c>
      <c r="J654" s="411"/>
      <c r="K654" s="417">
        <v>700255</v>
      </c>
      <c r="L654" s="411" t="s">
        <v>251</v>
      </c>
      <c r="M654" s="416">
        <v>44742</v>
      </c>
      <c r="N654" s="416">
        <v>44791</v>
      </c>
      <c r="O654" s="416">
        <v>44855</v>
      </c>
      <c r="P654" s="630" t="s">
        <v>5805</v>
      </c>
      <c r="Q654" s="411"/>
      <c r="R654" s="417">
        <v>700253.08</v>
      </c>
      <c r="S654" s="417">
        <v>770278.39</v>
      </c>
      <c r="T654" s="1480"/>
      <c r="U654" s="1480"/>
      <c r="V654" s="1480"/>
      <c r="W654" s="513">
        <v>44855</v>
      </c>
      <c r="X654" s="417" t="s">
        <v>13376</v>
      </c>
      <c r="Y654" s="416">
        <v>44908</v>
      </c>
      <c r="Z654" s="416">
        <v>44911</v>
      </c>
      <c r="AA654" s="416">
        <v>46368</v>
      </c>
      <c r="AB654" s="422" t="s">
        <v>13757</v>
      </c>
      <c r="AC654" s="422">
        <v>2023</v>
      </c>
      <c r="AD654" s="388">
        <v>2024</v>
      </c>
      <c r="AE654" s="388">
        <v>2025</v>
      </c>
      <c r="AF654" s="388" t="s">
        <v>13758</v>
      </c>
    </row>
    <row r="655" spans="1:32" ht="15.75" thickTop="1">
      <c r="A655" s="474">
        <v>44726</v>
      </c>
      <c r="B655" s="1420" t="s">
        <v>12164</v>
      </c>
      <c r="C655" s="453" t="s">
        <v>69</v>
      </c>
      <c r="D655" s="453" t="s">
        <v>70</v>
      </c>
      <c r="E655" s="473" t="s">
        <v>12168</v>
      </c>
      <c r="F655" s="453">
        <v>1</v>
      </c>
      <c r="G655" s="2043" t="s">
        <v>12175</v>
      </c>
      <c r="H655" s="453"/>
      <c r="I655" s="453" t="s">
        <v>12172</v>
      </c>
      <c r="J655" s="453"/>
      <c r="K655" s="457">
        <v>824763</v>
      </c>
      <c r="L655" s="453" t="s">
        <v>251</v>
      </c>
      <c r="M655" s="474">
        <v>44734</v>
      </c>
      <c r="N655" s="474">
        <v>44792</v>
      </c>
      <c r="O655" s="474">
        <v>44838</v>
      </c>
      <c r="P655" s="1420" t="s">
        <v>2548</v>
      </c>
      <c r="Q655" s="453"/>
      <c r="R655" s="457">
        <v>824762.56</v>
      </c>
      <c r="S655" s="457">
        <v>907238.82</v>
      </c>
      <c r="T655" s="1474"/>
      <c r="U655" s="1474"/>
      <c r="V655" s="1474"/>
      <c r="W655" s="570">
        <v>44838</v>
      </c>
      <c r="X655" s="457" t="s">
        <v>13187</v>
      </c>
      <c r="Y655" s="474">
        <v>44860</v>
      </c>
      <c r="Z655" s="474">
        <v>44887</v>
      </c>
      <c r="AA655" s="474">
        <v>46320</v>
      </c>
      <c r="AB655" s="1391" t="s">
        <v>13414</v>
      </c>
      <c r="AC655" s="1391">
        <v>2023</v>
      </c>
      <c r="AD655" s="388">
        <v>2024</v>
      </c>
      <c r="AE655" s="388">
        <v>2025</v>
      </c>
      <c r="AF655" s="388" t="s">
        <v>13415</v>
      </c>
    </row>
    <row r="656" spans="1:32">
      <c r="A656" s="2140">
        <v>44726</v>
      </c>
      <c r="B656" s="2143" t="s">
        <v>12165</v>
      </c>
      <c r="C656" s="2141" t="s">
        <v>69</v>
      </c>
      <c r="D656" s="2141" t="s">
        <v>70</v>
      </c>
      <c r="E656" s="2142" t="s">
        <v>12168</v>
      </c>
      <c r="F656" s="2141">
        <v>2</v>
      </c>
      <c r="G656" s="2143" t="s">
        <v>12173</v>
      </c>
      <c r="H656" s="2141"/>
      <c r="I656" s="2141" t="s">
        <v>12172</v>
      </c>
      <c r="J656" s="2141"/>
      <c r="K656" s="2144">
        <v>53006</v>
      </c>
      <c r="L656" s="2141" t="s">
        <v>251</v>
      </c>
      <c r="M656" s="2140">
        <v>44734</v>
      </c>
      <c r="N656" s="2140">
        <v>44792</v>
      </c>
      <c r="O656" s="2140">
        <v>44838</v>
      </c>
      <c r="P656" s="2143" t="s">
        <v>2548</v>
      </c>
      <c r="Q656" s="2141"/>
      <c r="R656" s="2144">
        <v>52360.36</v>
      </c>
      <c r="S656" s="2144">
        <v>57596.4</v>
      </c>
      <c r="T656" s="2145"/>
      <c r="U656" s="2145"/>
      <c r="V656" s="2145"/>
      <c r="W656" s="2146">
        <v>44838</v>
      </c>
      <c r="X656" s="2144" t="s">
        <v>13188</v>
      </c>
      <c r="Y656" s="2140">
        <v>44860</v>
      </c>
      <c r="Z656" s="2140">
        <v>44887</v>
      </c>
      <c r="AA656" s="2140">
        <v>46320</v>
      </c>
      <c r="AB656" s="2109" t="s">
        <v>13414</v>
      </c>
      <c r="AC656" s="2109">
        <v>2023</v>
      </c>
      <c r="AD656" s="388">
        <v>2024</v>
      </c>
      <c r="AE656" s="388">
        <v>2025</v>
      </c>
      <c r="AF656" s="388" t="s">
        <v>13415</v>
      </c>
    </row>
    <row r="657" spans="1:32" ht="15.75" thickBot="1">
      <c r="A657" s="2117">
        <v>44726</v>
      </c>
      <c r="B657" s="2120" t="s">
        <v>12166</v>
      </c>
      <c r="C657" s="2118" t="s">
        <v>69</v>
      </c>
      <c r="D657" s="2118" t="s">
        <v>70</v>
      </c>
      <c r="E657" s="2119" t="s">
        <v>12168</v>
      </c>
      <c r="F657" s="2118">
        <v>3</v>
      </c>
      <c r="G657" s="2120" t="s">
        <v>12174</v>
      </c>
      <c r="H657" s="2118"/>
      <c r="I657" s="2118" t="s">
        <v>12172</v>
      </c>
      <c r="J657" s="2118"/>
      <c r="K657" s="2121">
        <v>2105165</v>
      </c>
      <c r="L657" s="2118" t="s">
        <v>251</v>
      </c>
      <c r="M657" s="2117">
        <v>44734</v>
      </c>
      <c r="N657" s="2117">
        <v>44792</v>
      </c>
      <c r="O657" s="2117">
        <v>44838</v>
      </c>
      <c r="P657" s="2120" t="s">
        <v>16350</v>
      </c>
      <c r="Q657" s="2118"/>
      <c r="R657" s="2121">
        <v>2074201.24</v>
      </c>
      <c r="S657" s="2121">
        <v>2281621.36</v>
      </c>
      <c r="T657" s="2122"/>
      <c r="U657" s="2122"/>
      <c r="V657" s="2122"/>
      <c r="W657" s="2123">
        <v>44838</v>
      </c>
      <c r="X657" s="2121" t="s">
        <v>13189</v>
      </c>
      <c r="Y657" s="2117">
        <v>44908</v>
      </c>
      <c r="Z657" s="2117">
        <v>44910</v>
      </c>
      <c r="AA657" s="2117">
        <v>46368</v>
      </c>
      <c r="AB657" s="2110" t="s">
        <v>13757</v>
      </c>
      <c r="AC657" s="2110">
        <v>2023</v>
      </c>
      <c r="AD657" s="388">
        <v>2024</v>
      </c>
      <c r="AE657" s="388">
        <v>2025</v>
      </c>
      <c r="AF657" s="388" t="s">
        <v>13758</v>
      </c>
    </row>
    <row r="658" spans="1:32" ht="30.75" thickTop="1">
      <c r="A658" s="365">
        <v>44727</v>
      </c>
      <c r="B658" s="2702" t="s">
        <v>12183</v>
      </c>
      <c r="C658" s="2701" t="s">
        <v>58</v>
      </c>
      <c r="D658" s="2701" t="s">
        <v>4969</v>
      </c>
      <c r="E658" s="175" t="s">
        <v>12184</v>
      </c>
      <c r="F658" s="2701"/>
      <c r="G658" s="2702"/>
      <c r="H658" s="2701"/>
      <c r="I658" s="2701" t="s">
        <v>12185</v>
      </c>
      <c r="J658" s="2701" t="s">
        <v>12186</v>
      </c>
      <c r="K658" s="364">
        <v>855000</v>
      </c>
      <c r="L658" s="2701" t="s">
        <v>112</v>
      </c>
      <c r="M658" s="365">
        <v>44728</v>
      </c>
      <c r="N658" s="365">
        <v>44740</v>
      </c>
      <c r="O658" s="365">
        <v>44761</v>
      </c>
      <c r="P658" s="2702" t="s">
        <v>12540</v>
      </c>
      <c r="Q658" s="2701"/>
      <c r="R658" s="364">
        <v>840396.39</v>
      </c>
      <c r="S658" s="364">
        <v>1016880</v>
      </c>
      <c r="T658" s="1473"/>
      <c r="U658" s="1473"/>
      <c r="V658" s="1473"/>
      <c r="W658" s="681">
        <v>44761</v>
      </c>
      <c r="X658" s="1417" t="s">
        <v>12541</v>
      </c>
      <c r="Y658" s="365">
        <v>44791</v>
      </c>
      <c r="Z658" s="365">
        <v>44792</v>
      </c>
      <c r="AA658" s="365">
        <v>44819</v>
      </c>
      <c r="AB658" s="451"/>
      <c r="AC658" s="451" t="s">
        <v>1875</v>
      </c>
    </row>
    <row r="659" spans="1:32" ht="30.75" thickBot="1">
      <c r="A659" s="416">
        <v>44727</v>
      </c>
      <c r="B659" s="630" t="s">
        <v>12188</v>
      </c>
      <c r="C659" s="411" t="s">
        <v>58</v>
      </c>
      <c r="D659" s="411" t="s">
        <v>4969</v>
      </c>
      <c r="E659" s="412" t="s">
        <v>12189</v>
      </c>
      <c r="F659" s="411"/>
      <c r="G659" s="630"/>
      <c r="H659" s="411"/>
      <c r="I659" s="411" t="s">
        <v>7868</v>
      </c>
      <c r="J659" s="411" t="s">
        <v>12190</v>
      </c>
      <c r="K659" s="417">
        <v>125000</v>
      </c>
      <c r="L659" s="411" t="s">
        <v>112</v>
      </c>
      <c r="M659" s="416">
        <v>44728</v>
      </c>
      <c r="N659" s="416">
        <v>44736</v>
      </c>
      <c r="O659" s="416">
        <v>44760</v>
      </c>
      <c r="P659" s="630" t="s">
        <v>10028</v>
      </c>
      <c r="Q659" s="411"/>
      <c r="R659" s="417">
        <v>115940</v>
      </c>
      <c r="S659" s="417">
        <v>140287.4</v>
      </c>
      <c r="T659" s="1480"/>
      <c r="U659" s="1480"/>
      <c r="V659" s="1480"/>
      <c r="W659" s="513">
        <v>44760</v>
      </c>
      <c r="X659" s="1553" t="s">
        <v>12533</v>
      </c>
      <c r="Y659" s="416">
        <v>44777</v>
      </c>
      <c r="Z659" s="416">
        <v>44781</v>
      </c>
      <c r="AA659" s="416">
        <v>44798</v>
      </c>
      <c r="AB659" s="416">
        <v>44861</v>
      </c>
      <c r="AC659" s="422" t="s">
        <v>1875</v>
      </c>
    </row>
    <row r="660" spans="1:32" ht="30.75" thickTop="1">
      <c r="A660" s="474">
        <v>44727</v>
      </c>
      <c r="B660" s="1420" t="s">
        <v>12191</v>
      </c>
      <c r="C660" s="453" t="s">
        <v>58</v>
      </c>
      <c r="D660" s="453" t="s">
        <v>4969</v>
      </c>
      <c r="E660" s="473" t="s">
        <v>12193</v>
      </c>
      <c r="F660" s="453">
        <v>1</v>
      </c>
      <c r="G660" s="1420" t="s">
        <v>12195</v>
      </c>
      <c r="H660" s="453"/>
      <c r="I660" s="453" t="s">
        <v>2665</v>
      </c>
      <c r="J660" s="453" t="s">
        <v>12197</v>
      </c>
      <c r="K660" s="457">
        <v>420000</v>
      </c>
      <c r="L660" s="453" t="s">
        <v>112</v>
      </c>
      <c r="M660" s="474">
        <v>44729</v>
      </c>
      <c r="N660" s="474">
        <v>44733</v>
      </c>
      <c r="O660" s="474">
        <v>44742</v>
      </c>
      <c r="P660" s="1420" t="s">
        <v>1433</v>
      </c>
      <c r="Q660" s="453"/>
      <c r="R660" s="457">
        <v>485900</v>
      </c>
      <c r="S660" s="457">
        <v>587939</v>
      </c>
      <c r="T660" s="1474"/>
      <c r="U660" s="1474"/>
      <c r="V660" s="1474"/>
      <c r="W660" s="570">
        <v>44742</v>
      </c>
      <c r="X660" s="1387" t="s">
        <v>12429</v>
      </c>
      <c r="Y660" s="474">
        <v>44781</v>
      </c>
      <c r="Z660" s="474">
        <v>44783</v>
      </c>
      <c r="AA660" s="474">
        <v>44949</v>
      </c>
      <c r="AB660" s="1391"/>
      <c r="AC660" s="1391" t="s">
        <v>1875</v>
      </c>
    </row>
    <row r="661" spans="1:32" ht="15.75" thickBot="1">
      <c r="A661" s="2130">
        <v>44727</v>
      </c>
      <c r="B661" s="2133" t="s">
        <v>12192</v>
      </c>
      <c r="C661" s="2131" t="s">
        <v>58</v>
      </c>
      <c r="D661" s="2131" t="s">
        <v>4969</v>
      </c>
      <c r="E661" s="2132" t="s">
        <v>12194</v>
      </c>
      <c r="F661" s="2131">
        <v>2</v>
      </c>
      <c r="G661" s="2133" t="s">
        <v>12196</v>
      </c>
      <c r="H661" s="2131"/>
      <c r="I661" s="2131" t="s">
        <v>2665</v>
      </c>
      <c r="J661" s="2131" t="s">
        <v>12198</v>
      </c>
      <c r="K661" s="2134">
        <v>490000</v>
      </c>
      <c r="L661" s="2131" t="s">
        <v>112</v>
      </c>
      <c r="M661" s="2130">
        <v>44729</v>
      </c>
      <c r="N661" s="2130">
        <v>44733</v>
      </c>
      <c r="O661" s="2131"/>
      <c r="P661" s="2137" t="s">
        <v>304</v>
      </c>
      <c r="Q661" s="2287" t="s">
        <v>12579</v>
      </c>
      <c r="R661" s="2134"/>
      <c r="S661" s="2134"/>
      <c r="T661" s="2135"/>
      <c r="U661" s="2135"/>
      <c r="V661" s="2135"/>
      <c r="W661" s="2134"/>
      <c r="X661" s="2134"/>
      <c r="Y661" s="2131"/>
      <c r="Z661" s="2130">
        <v>44733</v>
      </c>
      <c r="AA661" s="2131"/>
      <c r="AB661" s="2131"/>
      <c r="AC661" s="2131"/>
    </row>
    <row r="662" spans="1:32" ht="46.5" thickTop="1" thickBot="1">
      <c r="A662" s="498">
        <v>44727</v>
      </c>
      <c r="B662" s="669" t="s">
        <v>12199</v>
      </c>
      <c r="C662" s="232" t="s">
        <v>58</v>
      </c>
      <c r="D662" s="232" t="s">
        <v>4969</v>
      </c>
      <c r="E662" s="274" t="s">
        <v>12200</v>
      </c>
      <c r="F662" s="232"/>
      <c r="G662" s="669"/>
      <c r="H662" s="232"/>
      <c r="I662" s="232" t="s">
        <v>848</v>
      </c>
      <c r="J662" s="232" t="s">
        <v>12201</v>
      </c>
      <c r="K662" s="499">
        <v>5085000</v>
      </c>
      <c r="L662" s="232" t="s">
        <v>251</v>
      </c>
      <c r="M662" s="498">
        <v>44736</v>
      </c>
      <c r="N662" s="498">
        <v>44769</v>
      </c>
      <c r="O662" s="498">
        <v>44792</v>
      </c>
      <c r="P662" s="669" t="s">
        <v>9404</v>
      </c>
      <c r="Q662" s="232"/>
      <c r="R662" s="499">
        <v>5077041</v>
      </c>
      <c r="S662" s="499">
        <v>6143219.6100000003</v>
      </c>
      <c r="T662" s="1545"/>
      <c r="U662" s="1545"/>
      <c r="V662" s="1545"/>
      <c r="W662" s="682">
        <v>44792</v>
      </c>
      <c r="X662" s="1752" t="s">
        <v>12811</v>
      </c>
      <c r="Y662" s="498">
        <v>44818</v>
      </c>
      <c r="Z662" s="498">
        <v>44838</v>
      </c>
      <c r="AA662" s="498">
        <v>44860</v>
      </c>
      <c r="AB662" s="1546"/>
      <c r="AC662" s="1546" t="s">
        <v>6118</v>
      </c>
    </row>
    <row r="663" spans="1:32" ht="15.75" thickTop="1">
      <c r="A663" s="428">
        <v>44726</v>
      </c>
      <c r="B663" s="1371" t="s">
        <v>12206</v>
      </c>
      <c r="C663" s="425" t="s">
        <v>69</v>
      </c>
      <c r="D663" s="425" t="s">
        <v>70</v>
      </c>
      <c r="E663" s="426" t="s">
        <v>12213</v>
      </c>
      <c r="F663" s="425">
        <v>1</v>
      </c>
      <c r="G663" s="1629" t="s">
        <v>12215</v>
      </c>
      <c r="H663" s="583"/>
      <c r="I663" s="425" t="s">
        <v>3225</v>
      </c>
      <c r="J663" s="425"/>
      <c r="K663" s="429">
        <v>98811586</v>
      </c>
      <c r="L663" s="425" t="s">
        <v>251</v>
      </c>
      <c r="M663" s="428">
        <v>44805</v>
      </c>
      <c r="N663" s="428">
        <v>44875</v>
      </c>
      <c r="O663" s="425"/>
      <c r="P663" s="1371"/>
      <c r="Q663" s="425"/>
      <c r="R663" s="429"/>
      <c r="S663" s="429"/>
      <c r="T663" s="1483"/>
      <c r="U663" s="1483"/>
      <c r="V663" s="1483"/>
      <c r="W663" s="429"/>
      <c r="X663" s="429"/>
      <c r="Y663" s="425"/>
      <c r="Z663" s="425"/>
      <c r="AA663" s="425"/>
      <c r="AB663" s="425"/>
      <c r="AC663" s="425"/>
    </row>
    <row r="664" spans="1:32">
      <c r="A664" s="2153">
        <v>44726</v>
      </c>
      <c r="B664" s="2156" t="s">
        <v>12207</v>
      </c>
      <c r="C664" s="2154" t="s">
        <v>69</v>
      </c>
      <c r="D664" s="2154" t="s">
        <v>70</v>
      </c>
      <c r="E664" s="2155" t="s">
        <v>12213</v>
      </c>
      <c r="F664" s="2154">
        <v>2</v>
      </c>
      <c r="G664" s="2156" t="s">
        <v>12216</v>
      </c>
      <c r="H664" s="2085"/>
      <c r="I664" s="2154" t="s">
        <v>3225</v>
      </c>
      <c r="J664" s="2154"/>
      <c r="K664" s="2157">
        <v>32346701</v>
      </c>
      <c r="L664" s="2154" t="s">
        <v>251</v>
      </c>
      <c r="M664" s="2153">
        <v>44805</v>
      </c>
      <c r="N664" s="2153">
        <v>44875</v>
      </c>
      <c r="O664" s="2154"/>
      <c r="P664" s="2156"/>
      <c r="Q664" s="2154"/>
      <c r="R664" s="2157"/>
      <c r="S664" s="2157"/>
      <c r="T664" s="2094"/>
      <c r="U664" s="2094"/>
      <c r="V664" s="2094"/>
      <c r="W664" s="2157"/>
      <c r="X664" s="2157"/>
      <c r="Y664" s="2154"/>
      <c r="Z664" s="2154"/>
      <c r="AA664" s="2154"/>
      <c r="AB664" s="2154"/>
      <c r="AC664" s="2154"/>
    </row>
    <row r="665" spans="1:32" ht="15.75" thickBot="1">
      <c r="A665" s="2152">
        <v>44726</v>
      </c>
      <c r="B665" s="2300" t="s">
        <v>12208</v>
      </c>
      <c r="C665" s="2297" t="s">
        <v>69</v>
      </c>
      <c r="D665" s="2297" t="s">
        <v>70</v>
      </c>
      <c r="E665" s="2298" t="s">
        <v>12213</v>
      </c>
      <c r="F665" s="2297">
        <v>3</v>
      </c>
      <c r="G665" s="2300" t="s">
        <v>12217</v>
      </c>
      <c r="H665" s="2089"/>
      <c r="I665" s="2297" t="s">
        <v>3225</v>
      </c>
      <c r="J665" s="2297"/>
      <c r="K665" s="2299">
        <v>105840243</v>
      </c>
      <c r="L665" s="2297" t="s">
        <v>251</v>
      </c>
      <c r="M665" s="2152">
        <v>44805</v>
      </c>
      <c r="N665" s="2152">
        <v>44875</v>
      </c>
      <c r="O665" s="2297"/>
      <c r="P665" s="2300"/>
      <c r="Q665" s="2297"/>
      <c r="R665" s="2299"/>
      <c r="S665" s="2299"/>
      <c r="T665" s="2095"/>
      <c r="U665" s="2095"/>
      <c r="V665" s="2095"/>
      <c r="W665" s="2299"/>
      <c r="X665" s="2299"/>
      <c r="Y665" s="2297"/>
      <c r="Z665" s="2297"/>
      <c r="AA665" s="2297"/>
      <c r="AB665" s="2297"/>
      <c r="AC665" s="2297"/>
    </row>
    <row r="666" spans="1:32" ht="15.75" thickTop="1">
      <c r="A666" s="428">
        <v>44726</v>
      </c>
      <c r="B666" s="1371" t="s">
        <v>12209</v>
      </c>
      <c r="C666" s="425" t="s">
        <v>69</v>
      </c>
      <c r="D666" s="425" t="s">
        <v>70</v>
      </c>
      <c r="E666" s="426" t="s">
        <v>12214</v>
      </c>
      <c r="F666" s="425">
        <v>1</v>
      </c>
      <c r="G666" s="1371" t="s">
        <v>12218</v>
      </c>
      <c r="H666" s="425"/>
      <c r="I666" s="425" t="s">
        <v>3225</v>
      </c>
      <c r="J666" s="425"/>
      <c r="K666" s="429">
        <v>14494324</v>
      </c>
      <c r="L666" s="425" t="s">
        <v>251</v>
      </c>
      <c r="M666" s="428">
        <v>44806</v>
      </c>
      <c r="N666" s="428">
        <v>44874</v>
      </c>
      <c r="O666" s="428">
        <v>44915</v>
      </c>
      <c r="P666" s="1371" t="s">
        <v>2548</v>
      </c>
      <c r="Q666" s="425"/>
      <c r="R666" s="429">
        <v>14238540.800000001</v>
      </c>
      <c r="S666" s="429">
        <v>15662394.880000001</v>
      </c>
      <c r="T666" s="1605"/>
      <c r="U666" s="1605"/>
      <c r="V666" s="1605"/>
      <c r="W666" s="1384">
        <v>44915</v>
      </c>
      <c r="X666" s="429" t="s">
        <v>13787</v>
      </c>
      <c r="Y666" s="425"/>
      <c r="Z666" s="425"/>
      <c r="AA666" s="425"/>
      <c r="AB666" s="425"/>
      <c r="AC666" s="425"/>
    </row>
    <row r="667" spans="1:32">
      <c r="A667" s="2153">
        <v>44726</v>
      </c>
      <c r="B667" s="2156" t="s">
        <v>12210</v>
      </c>
      <c r="C667" s="2154" t="s">
        <v>69</v>
      </c>
      <c r="D667" s="2154" t="s">
        <v>70</v>
      </c>
      <c r="E667" s="2155" t="s">
        <v>12214</v>
      </c>
      <c r="F667" s="2154">
        <v>2</v>
      </c>
      <c r="G667" s="2156" t="s">
        <v>12219</v>
      </c>
      <c r="H667" s="2154"/>
      <c r="I667" s="2154" t="s">
        <v>3225</v>
      </c>
      <c r="J667" s="2154"/>
      <c r="K667" s="2157">
        <v>30789264</v>
      </c>
      <c r="L667" s="2154" t="s">
        <v>251</v>
      </c>
      <c r="M667" s="2153">
        <v>44806</v>
      </c>
      <c r="N667" s="2153">
        <v>44874</v>
      </c>
      <c r="O667" s="2153">
        <v>44915</v>
      </c>
      <c r="P667" s="2156" t="s">
        <v>8542</v>
      </c>
      <c r="Q667" s="2154"/>
      <c r="R667" s="2157">
        <v>30179426.879999999</v>
      </c>
      <c r="S667" s="2157">
        <v>33197369.57</v>
      </c>
      <c r="T667" s="2415"/>
      <c r="U667" s="2415"/>
      <c r="V667" s="2415"/>
      <c r="W667" s="2160">
        <v>44915</v>
      </c>
      <c r="X667" s="2157" t="s">
        <v>13788</v>
      </c>
      <c r="Y667" s="2154"/>
      <c r="Z667" s="2154"/>
      <c r="AA667" s="2154"/>
      <c r="AB667" s="2154"/>
      <c r="AC667" s="2154"/>
    </row>
    <row r="668" spans="1:32">
      <c r="A668" s="2153">
        <v>44726</v>
      </c>
      <c r="B668" s="2156" t="s">
        <v>12211</v>
      </c>
      <c r="C668" s="2154" t="s">
        <v>69</v>
      </c>
      <c r="D668" s="2154" t="s">
        <v>70</v>
      </c>
      <c r="E668" s="2155" t="s">
        <v>12214</v>
      </c>
      <c r="F668" s="2154">
        <v>3</v>
      </c>
      <c r="G668" s="2156" t="s">
        <v>12220</v>
      </c>
      <c r="H668" s="2154"/>
      <c r="I668" s="2154" t="s">
        <v>3225</v>
      </c>
      <c r="J668" s="2154"/>
      <c r="K668" s="2157">
        <v>39348576</v>
      </c>
      <c r="L668" s="2154" t="s">
        <v>251</v>
      </c>
      <c r="M668" s="2153">
        <v>44806</v>
      </c>
      <c r="N668" s="2153">
        <v>44874</v>
      </c>
      <c r="O668" s="2153">
        <v>44915</v>
      </c>
      <c r="P668" s="2156" t="s">
        <v>8542</v>
      </c>
      <c r="Q668" s="2154"/>
      <c r="R668" s="2157">
        <v>37460291.039999999</v>
      </c>
      <c r="S668" s="2157">
        <v>41206320.140000001</v>
      </c>
      <c r="T668" s="2415"/>
      <c r="U668" s="2415"/>
      <c r="V668" s="2415"/>
      <c r="W668" s="2160">
        <v>44915</v>
      </c>
      <c r="X668" s="2157" t="s">
        <v>13789</v>
      </c>
      <c r="Y668" s="2154"/>
      <c r="Z668" s="2154"/>
      <c r="AA668" s="2154"/>
      <c r="AB668" s="2154"/>
      <c r="AC668" s="2154"/>
    </row>
    <row r="669" spans="1:32" ht="15.75" thickBot="1">
      <c r="A669" s="2130">
        <v>44726</v>
      </c>
      <c r="B669" s="2133" t="s">
        <v>12212</v>
      </c>
      <c r="C669" s="2131" t="s">
        <v>69</v>
      </c>
      <c r="D669" s="2131" t="s">
        <v>70</v>
      </c>
      <c r="E669" s="2132" t="s">
        <v>12214</v>
      </c>
      <c r="F669" s="2131">
        <v>4</v>
      </c>
      <c r="G669" s="2133" t="s">
        <v>12221</v>
      </c>
      <c r="H669" s="2131"/>
      <c r="I669" s="2131" t="s">
        <v>3225</v>
      </c>
      <c r="J669" s="2131"/>
      <c r="K669" s="2134">
        <v>2455442</v>
      </c>
      <c r="L669" s="2131" t="s">
        <v>251</v>
      </c>
      <c r="M669" s="2130">
        <v>44806</v>
      </c>
      <c r="N669" s="2130">
        <v>44874</v>
      </c>
      <c r="O669" s="2131"/>
      <c r="P669" s="2137" t="s">
        <v>304</v>
      </c>
      <c r="Q669" s="2131"/>
      <c r="R669" s="2134"/>
      <c r="S669" s="2134"/>
      <c r="T669" s="2135"/>
      <c r="U669" s="2135"/>
      <c r="V669" s="2135"/>
      <c r="W669" s="2134"/>
      <c r="X669" s="2134"/>
      <c r="Y669" s="2131"/>
      <c r="Z669" s="2130">
        <v>44916</v>
      </c>
      <c r="AA669" s="2133" t="s">
        <v>13677</v>
      </c>
      <c r="AB669" s="2131"/>
      <c r="AC669" s="2131"/>
    </row>
    <row r="670" spans="1:32" ht="15.75" thickTop="1">
      <c r="A670" s="840">
        <v>44726</v>
      </c>
      <c r="B670" s="1422" t="s">
        <v>12222</v>
      </c>
      <c r="C670" s="423" t="s">
        <v>69</v>
      </c>
      <c r="D670" s="423" t="s">
        <v>70</v>
      </c>
      <c r="E670" s="837" t="s">
        <v>12223</v>
      </c>
      <c r="F670" s="423"/>
      <c r="G670" s="1422"/>
      <c r="H670" s="423"/>
      <c r="I670" s="423" t="s">
        <v>3265</v>
      </c>
      <c r="J670" s="423"/>
      <c r="K670" s="841">
        <v>5682383</v>
      </c>
      <c r="L670" s="423" t="s">
        <v>251</v>
      </c>
      <c r="M670" s="840">
        <v>44826</v>
      </c>
      <c r="N670" s="840">
        <v>44876</v>
      </c>
      <c r="O670" s="840">
        <v>44903</v>
      </c>
      <c r="P670" s="1422" t="s">
        <v>576</v>
      </c>
      <c r="Q670" s="423"/>
      <c r="R670" s="841">
        <v>12091202.6</v>
      </c>
      <c r="S670" s="841">
        <v>13300322.859999999</v>
      </c>
      <c r="T670" s="1476"/>
      <c r="U670" s="1476"/>
      <c r="V670" s="1476"/>
      <c r="W670" s="1392">
        <v>44903</v>
      </c>
      <c r="X670" s="841" t="s">
        <v>13738</v>
      </c>
      <c r="Y670" s="423"/>
      <c r="Z670" s="423"/>
      <c r="AA670" s="423"/>
      <c r="AB670" s="423"/>
      <c r="AC670" s="423"/>
    </row>
    <row r="671" spans="1:32" ht="15.75" thickBot="1">
      <c r="A671" s="416">
        <v>44726</v>
      </c>
      <c r="B671" s="630" t="s">
        <v>12224</v>
      </c>
      <c r="C671" s="411" t="s">
        <v>69</v>
      </c>
      <c r="D671" s="411" t="s">
        <v>70</v>
      </c>
      <c r="E671" s="412" t="s">
        <v>12225</v>
      </c>
      <c r="F671" s="411"/>
      <c r="G671" s="630"/>
      <c r="H671" s="411"/>
      <c r="I671" s="411" t="s">
        <v>4273</v>
      </c>
      <c r="J671" s="411"/>
      <c r="K671" s="417">
        <v>1676573</v>
      </c>
      <c r="L671" s="411" t="s">
        <v>251</v>
      </c>
      <c r="M671" s="416">
        <v>44734</v>
      </c>
      <c r="N671" s="416">
        <v>44788</v>
      </c>
      <c r="O671" s="416">
        <v>44852</v>
      </c>
      <c r="P671" s="630" t="s">
        <v>16350</v>
      </c>
      <c r="Q671" s="411"/>
      <c r="R671" s="417">
        <v>1532512.89</v>
      </c>
      <c r="S671" s="417">
        <v>1685764.18</v>
      </c>
      <c r="T671" s="1480"/>
      <c r="U671" s="1480"/>
      <c r="V671" s="1480"/>
      <c r="W671" s="513">
        <v>44852</v>
      </c>
      <c r="X671" s="417" t="s">
        <v>13325</v>
      </c>
      <c r="Y671" s="416">
        <v>44873</v>
      </c>
      <c r="Z671" s="416">
        <v>44875</v>
      </c>
      <c r="AA671" s="416">
        <v>45968</v>
      </c>
      <c r="AB671" s="422" t="s">
        <v>13513</v>
      </c>
      <c r="AC671" s="422">
        <v>2023</v>
      </c>
      <c r="AD671" s="388">
        <v>2024</v>
      </c>
      <c r="AE671" s="388" t="s">
        <v>13514</v>
      </c>
    </row>
    <row r="672" spans="1:32" ht="15.75" thickTop="1">
      <c r="A672" s="474">
        <v>44726</v>
      </c>
      <c r="B672" s="1420" t="s">
        <v>12226</v>
      </c>
      <c r="C672" s="453" t="s">
        <v>69</v>
      </c>
      <c r="D672" s="453" t="s">
        <v>70</v>
      </c>
      <c r="E672" s="473" t="s">
        <v>12228</v>
      </c>
      <c r="F672" s="453">
        <v>1</v>
      </c>
      <c r="G672" s="1420" t="s">
        <v>12229</v>
      </c>
      <c r="H672" s="453"/>
      <c r="I672" s="453" t="s">
        <v>4273</v>
      </c>
      <c r="J672" s="453"/>
      <c r="K672" s="457">
        <v>275905</v>
      </c>
      <c r="L672" s="453" t="s">
        <v>251</v>
      </c>
      <c r="M672" s="474">
        <v>44734</v>
      </c>
      <c r="N672" s="474">
        <v>44771</v>
      </c>
      <c r="O672" s="474">
        <v>44804</v>
      </c>
      <c r="P672" s="1420" t="s">
        <v>576</v>
      </c>
      <c r="Q672" s="453"/>
      <c r="R672" s="457">
        <v>41055.18</v>
      </c>
      <c r="S672" s="457">
        <v>45160.7</v>
      </c>
      <c r="T672" s="1474"/>
      <c r="U672" s="1474"/>
      <c r="V672" s="1474"/>
      <c r="W672" s="570">
        <v>44804</v>
      </c>
      <c r="X672" s="457" t="s">
        <v>12944</v>
      </c>
      <c r="Y672" s="474">
        <v>44831</v>
      </c>
      <c r="Z672" s="474">
        <v>44833</v>
      </c>
      <c r="AA672" s="474">
        <v>45926</v>
      </c>
      <c r="AB672" s="1391" t="s">
        <v>13148</v>
      </c>
      <c r="AC672" s="1391">
        <v>2023</v>
      </c>
      <c r="AD672" s="388">
        <v>2024</v>
      </c>
      <c r="AE672" s="388" t="s">
        <v>13150</v>
      </c>
    </row>
    <row r="673" spans="1:32" ht="15.75" thickBot="1">
      <c r="A673" s="2130">
        <v>44726</v>
      </c>
      <c r="B673" s="2133" t="s">
        <v>12227</v>
      </c>
      <c r="C673" s="2131" t="s">
        <v>69</v>
      </c>
      <c r="D673" s="2131" t="s">
        <v>70</v>
      </c>
      <c r="E673" s="2132" t="s">
        <v>12228</v>
      </c>
      <c r="F673" s="2131">
        <v>2</v>
      </c>
      <c r="G673" s="2133" t="s">
        <v>10844</v>
      </c>
      <c r="H673" s="2089"/>
      <c r="I673" s="2131" t="s">
        <v>4273</v>
      </c>
      <c r="J673" s="2131"/>
      <c r="K673" s="2134">
        <v>3156828</v>
      </c>
      <c r="L673" s="2131" t="s">
        <v>251</v>
      </c>
      <c r="M673" s="2130">
        <v>44734</v>
      </c>
      <c r="N673" s="2130">
        <v>44771</v>
      </c>
      <c r="O673" s="2131"/>
      <c r="P673" s="2137" t="s">
        <v>12584</v>
      </c>
      <c r="Q673" s="2131"/>
      <c r="R673" s="2134"/>
      <c r="S673" s="2134"/>
      <c r="T673" s="2095"/>
      <c r="U673" s="2095"/>
      <c r="V673" s="2095"/>
      <c r="W673" s="2134"/>
      <c r="X673" s="2134"/>
      <c r="Y673" s="2131"/>
      <c r="Z673" s="2130">
        <v>44796</v>
      </c>
      <c r="AA673" s="2133" t="s">
        <v>12586</v>
      </c>
      <c r="AB673" s="2131"/>
      <c r="AC673" s="2131"/>
    </row>
    <row r="674" spans="1:32" ht="15.75" thickTop="1">
      <c r="A674" s="474">
        <v>44726</v>
      </c>
      <c r="B674" s="1420" t="s">
        <v>12230</v>
      </c>
      <c r="C674" s="453" t="s">
        <v>69</v>
      </c>
      <c r="D674" s="453" t="s">
        <v>70</v>
      </c>
      <c r="E674" s="473" t="s">
        <v>12236</v>
      </c>
      <c r="F674" s="453">
        <v>1</v>
      </c>
      <c r="G674" s="1420" t="s">
        <v>12237</v>
      </c>
      <c r="H674" s="453"/>
      <c r="I674" s="453" t="s">
        <v>8050</v>
      </c>
      <c r="J674" s="453"/>
      <c r="K674" s="457">
        <v>1630264</v>
      </c>
      <c r="L674" s="453" t="s">
        <v>251</v>
      </c>
      <c r="M674" s="474">
        <v>44757</v>
      </c>
      <c r="N674" s="474">
        <v>44792</v>
      </c>
      <c r="O674" s="474">
        <v>44839</v>
      </c>
      <c r="P674" s="1420" t="s">
        <v>576</v>
      </c>
      <c r="Q674" s="453"/>
      <c r="R674" s="457">
        <v>1616141.07</v>
      </c>
      <c r="S674" s="457">
        <v>1777755.18</v>
      </c>
      <c r="T674" s="1474"/>
      <c r="U674" s="1474"/>
      <c r="V674" s="1474"/>
      <c r="W674" s="570">
        <v>44840</v>
      </c>
      <c r="X674" s="457" t="s">
        <v>13219</v>
      </c>
      <c r="Y674" s="474">
        <v>44875</v>
      </c>
      <c r="Z674" s="474">
        <v>44879</v>
      </c>
      <c r="AA674" s="474">
        <v>45970</v>
      </c>
      <c r="AB674" s="1391" t="s">
        <v>13521</v>
      </c>
      <c r="AC674" s="1391">
        <v>2023</v>
      </c>
      <c r="AD674" s="388">
        <v>2024</v>
      </c>
      <c r="AE674" s="388" t="s">
        <v>13522</v>
      </c>
    </row>
    <row r="675" spans="1:32">
      <c r="A675" s="2124">
        <v>44726</v>
      </c>
      <c r="B675" s="2127" t="s">
        <v>12231</v>
      </c>
      <c r="C675" s="2125" t="s">
        <v>69</v>
      </c>
      <c r="D675" s="2125" t="s">
        <v>70</v>
      </c>
      <c r="E675" s="2126" t="s">
        <v>12236</v>
      </c>
      <c r="F675" s="2125">
        <v>2</v>
      </c>
      <c r="G675" s="2127" t="s">
        <v>12238</v>
      </c>
      <c r="H675" s="2125"/>
      <c r="I675" s="2125" t="s">
        <v>8050</v>
      </c>
      <c r="J675" s="2125"/>
      <c r="K675" s="2128">
        <v>476283</v>
      </c>
      <c r="L675" s="2125" t="s">
        <v>251</v>
      </c>
      <c r="M675" s="2124">
        <v>44757</v>
      </c>
      <c r="N675" s="2124">
        <v>44792</v>
      </c>
      <c r="O675" s="2125"/>
      <c r="P675" s="2136" t="s">
        <v>304</v>
      </c>
      <c r="Q675" s="2125"/>
      <c r="R675" s="2128"/>
      <c r="S675" s="2128"/>
      <c r="T675" s="2129"/>
      <c r="U675" s="2129"/>
      <c r="V675" s="2129"/>
      <c r="W675" s="2128"/>
      <c r="X675" s="2128"/>
      <c r="Y675" s="2125"/>
      <c r="Z675" s="2124">
        <v>44867</v>
      </c>
      <c r="AA675" s="2127" t="s">
        <v>13225</v>
      </c>
      <c r="AB675" s="2125"/>
      <c r="AC675" s="2125"/>
    </row>
    <row r="676" spans="1:32">
      <c r="A676" s="2564">
        <v>44726</v>
      </c>
      <c r="B676" s="2664" t="s">
        <v>12232</v>
      </c>
      <c r="C676" s="2779" t="s">
        <v>69</v>
      </c>
      <c r="D676" s="2779" t="s">
        <v>70</v>
      </c>
      <c r="E676" s="2780" t="s">
        <v>12236</v>
      </c>
      <c r="F676" s="2779">
        <v>3</v>
      </c>
      <c r="G676" s="2664" t="s">
        <v>12240</v>
      </c>
      <c r="H676" s="2779"/>
      <c r="I676" s="2779" t="s">
        <v>8050</v>
      </c>
      <c r="J676" s="2779"/>
      <c r="K676" s="2607">
        <v>2775077</v>
      </c>
      <c r="L676" s="2779" t="s">
        <v>251</v>
      </c>
      <c r="M676" s="2564">
        <v>44757</v>
      </c>
      <c r="N676" s="2564">
        <v>44792</v>
      </c>
      <c r="O676" s="2564">
        <v>44839</v>
      </c>
      <c r="P676" s="2664" t="s">
        <v>576</v>
      </c>
      <c r="Q676" s="2779"/>
      <c r="R676" s="2607">
        <v>3212387.1</v>
      </c>
      <c r="S676" s="2607">
        <v>3533625.81</v>
      </c>
      <c r="T676" s="2781"/>
      <c r="U676" s="2781"/>
      <c r="V676" s="2781"/>
      <c r="W676" s="2782">
        <v>44840</v>
      </c>
      <c r="X676" s="2607" t="s">
        <v>13220</v>
      </c>
      <c r="Y676" s="2564">
        <v>44875</v>
      </c>
      <c r="Z676" s="2140">
        <v>44879</v>
      </c>
      <c r="AA676" s="2140">
        <v>45970</v>
      </c>
      <c r="AB676" s="2109" t="s">
        <v>13521</v>
      </c>
      <c r="AC676" s="2109">
        <v>2023</v>
      </c>
      <c r="AD676" s="388">
        <v>2024</v>
      </c>
      <c r="AE676" s="388" t="s">
        <v>13522</v>
      </c>
    </row>
    <row r="677" spans="1:32">
      <c r="A677" s="2564">
        <v>44726</v>
      </c>
      <c r="B677" s="2664" t="s">
        <v>12233</v>
      </c>
      <c r="C677" s="2779" t="s">
        <v>69</v>
      </c>
      <c r="D677" s="2779" t="s">
        <v>70</v>
      </c>
      <c r="E677" s="2780" t="s">
        <v>12236</v>
      </c>
      <c r="F677" s="2779">
        <v>4</v>
      </c>
      <c r="G677" s="2664" t="s">
        <v>12239</v>
      </c>
      <c r="H677" s="2779"/>
      <c r="I677" s="2779" t="s">
        <v>8050</v>
      </c>
      <c r="J677" s="2779"/>
      <c r="K677" s="2607">
        <v>781037</v>
      </c>
      <c r="L677" s="2779" t="s">
        <v>251</v>
      </c>
      <c r="M677" s="2564">
        <v>44757</v>
      </c>
      <c r="N677" s="2564">
        <v>44792</v>
      </c>
      <c r="O677" s="2564">
        <v>44839</v>
      </c>
      <c r="P677" s="2664" t="s">
        <v>576</v>
      </c>
      <c r="Q677" s="2779"/>
      <c r="R677" s="2607">
        <v>605799.54</v>
      </c>
      <c r="S677" s="2607">
        <v>666379.49</v>
      </c>
      <c r="T677" s="2781"/>
      <c r="U677" s="2781"/>
      <c r="V677" s="2781"/>
      <c r="W677" s="2782">
        <v>44840</v>
      </c>
      <c r="X677" s="2607" t="s">
        <v>13221</v>
      </c>
      <c r="Y677" s="2564">
        <v>44875</v>
      </c>
      <c r="Z677" s="2140">
        <v>44879</v>
      </c>
      <c r="AA677" s="2140">
        <v>45970</v>
      </c>
      <c r="AB677" s="2109" t="s">
        <v>13521</v>
      </c>
      <c r="AC677" s="2109">
        <v>2023</v>
      </c>
      <c r="AD677" s="388">
        <v>2024</v>
      </c>
      <c r="AE677" s="388" t="s">
        <v>13522</v>
      </c>
    </row>
    <row r="678" spans="1:32">
      <c r="A678" s="2124">
        <v>44726</v>
      </c>
      <c r="B678" s="2127" t="s">
        <v>12234</v>
      </c>
      <c r="C678" s="2125" t="s">
        <v>69</v>
      </c>
      <c r="D678" s="2125" t="s">
        <v>70</v>
      </c>
      <c r="E678" s="2126" t="s">
        <v>12236</v>
      </c>
      <c r="F678" s="2125">
        <v>5</v>
      </c>
      <c r="G678" s="2127" t="s">
        <v>12241</v>
      </c>
      <c r="H678" s="2125"/>
      <c r="I678" s="2125" t="s">
        <v>8050</v>
      </c>
      <c r="J678" s="2125"/>
      <c r="K678" s="2128">
        <v>3135537</v>
      </c>
      <c r="L678" s="2125" t="s">
        <v>251</v>
      </c>
      <c r="M678" s="2124">
        <v>44757</v>
      </c>
      <c r="N678" s="2124">
        <v>44792</v>
      </c>
      <c r="O678" s="2125"/>
      <c r="P678" s="2136" t="s">
        <v>304</v>
      </c>
      <c r="Q678" s="2125"/>
      <c r="R678" s="2128"/>
      <c r="S678" s="2128"/>
      <c r="T678" s="2129"/>
      <c r="U678" s="2129"/>
      <c r="V678" s="2129"/>
      <c r="W678" s="2128"/>
      <c r="X678" s="2128"/>
      <c r="Y678" s="2125"/>
      <c r="Z678" s="2124">
        <v>44867</v>
      </c>
      <c r="AA678" s="2127" t="s">
        <v>13225</v>
      </c>
      <c r="AB678" s="2125"/>
      <c r="AC678" s="2125"/>
    </row>
    <row r="679" spans="1:32" ht="15.75" thickBot="1">
      <c r="A679" s="2130">
        <v>44726</v>
      </c>
      <c r="B679" s="2133" t="s">
        <v>12235</v>
      </c>
      <c r="C679" s="2131" t="s">
        <v>69</v>
      </c>
      <c r="D679" s="2131" t="s">
        <v>70</v>
      </c>
      <c r="E679" s="2132" t="s">
        <v>12236</v>
      </c>
      <c r="F679" s="2131">
        <v>6</v>
      </c>
      <c r="G679" s="2133" t="s">
        <v>12242</v>
      </c>
      <c r="H679" s="2131"/>
      <c r="I679" s="2131" t="s">
        <v>8050</v>
      </c>
      <c r="J679" s="2131"/>
      <c r="K679" s="2134">
        <v>781037</v>
      </c>
      <c r="L679" s="2131" t="s">
        <v>251</v>
      </c>
      <c r="M679" s="2130">
        <v>44757</v>
      </c>
      <c r="N679" s="2130">
        <v>44792</v>
      </c>
      <c r="O679" s="2131"/>
      <c r="P679" s="2137" t="s">
        <v>304</v>
      </c>
      <c r="Q679" s="2131"/>
      <c r="R679" s="2134"/>
      <c r="S679" s="2134"/>
      <c r="T679" s="2135"/>
      <c r="U679" s="2135"/>
      <c r="V679" s="2135"/>
      <c r="W679" s="2134"/>
      <c r="X679" s="2134"/>
      <c r="Y679" s="2131"/>
      <c r="Z679" s="2130">
        <v>44867</v>
      </c>
      <c r="AA679" s="2133" t="s">
        <v>13225</v>
      </c>
      <c r="AB679" s="2131"/>
      <c r="AC679" s="2131"/>
    </row>
    <row r="680" spans="1:32" ht="15.75" thickTop="1">
      <c r="A680" s="365">
        <v>44728</v>
      </c>
      <c r="B680" s="2691" t="s">
        <v>12245</v>
      </c>
      <c r="C680" s="2690" t="s">
        <v>4997</v>
      </c>
      <c r="D680" s="2690" t="s">
        <v>7475</v>
      </c>
      <c r="E680" s="175" t="s">
        <v>12246</v>
      </c>
      <c r="F680" s="2690"/>
      <c r="G680" s="2691"/>
      <c r="H680" s="2690"/>
      <c r="I680" s="2690" t="s">
        <v>2279</v>
      </c>
      <c r="J680" s="2690"/>
      <c r="K680" s="364">
        <v>650000</v>
      </c>
      <c r="L680" s="2690" t="s">
        <v>112</v>
      </c>
      <c r="M680" s="365">
        <v>44729</v>
      </c>
      <c r="N680" s="365">
        <v>44740</v>
      </c>
      <c r="O680" s="365">
        <v>44754</v>
      </c>
      <c r="P680" s="2691" t="s">
        <v>12512</v>
      </c>
      <c r="Q680" s="2690"/>
      <c r="R680" s="364">
        <v>396589</v>
      </c>
      <c r="S680" s="364">
        <v>479872.69</v>
      </c>
      <c r="T680" s="1473"/>
      <c r="U680" s="1473"/>
      <c r="V680" s="1473"/>
      <c r="W680" s="681">
        <v>44756</v>
      </c>
      <c r="X680" s="364" t="s">
        <v>12511</v>
      </c>
      <c r="Y680" s="365">
        <v>44778</v>
      </c>
      <c r="Z680" s="365">
        <v>44778</v>
      </c>
      <c r="AA680" s="2690"/>
      <c r="AB680" s="365">
        <v>44865</v>
      </c>
      <c r="AC680" s="1513"/>
    </row>
    <row r="681" spans="1:32" ht="30">
      <c r="A681" s="2140">
        <v>44727</v>
      </c>
      <c r="B681" s="2143" t="s">
        <v>12247</v>
      </c>
      <c r="C681" s="2141" t="s">
        <v>58</v>
      </c>
      <c r="D681" s="2141" t="s">
        <v>4969</v>
      </c>
      <c r="E681" s="2142" t="s">
        <v>12248</v>
      </c>
      <c r="F681" s="2141"/>
      <c r="G681" s="2143"/>
      <c r="H681" s="2141"/>
      <c r="I681" s="2141" t="s">
        <v>1159</v>
      </c>
      <c r="J681" s="2141"/>
      <c r="K681" s="2144">
        <v>229556</v>
      </c>
      <c r="L681" s="2141" t="s">
        <v>112</v>
      </c>
      <c r="M681" s="2140">
        <v>44733</v>
      </c>
      <c r="N681" s="2140">
        <v>44742</v>
      </c>
      <c r="O681" s="2140">
        <v>44763</v>
      </c>
      <c r="P681" s="2143" t="s">
        <v>11558</v>
      </c>
      <c r="Q681" s="2141"/>
      <c r="R681" s="2144">
        <v>194735</v>
      </c>
      <c r="S681" s="2144">
        <v>235629.35</v>
      </c>
      <c r="T681" s="2145"/>
      <c r="U681" s="2145"/>
      <c r="V681" s="2145"/>
      <c r="W681" s="2146">
        <v>44763</v>
      </c>
      <c r="X681" s="2260" t="s">
        <v>12577</v>
      </c>
      <c r="Y681" s="2140">
        <v>44777</v>
      </c>
      <c r="Z681" s="2140">
        <v>44781</v>
      </c>
      <c r="AA681" s="2140">
        <v>44861</v>
      </c>
      <c r="AB681" s="2140">
        <v>44872</v>
      </c>
      <c r="AC681" s="2109" t="s">
        <v>1875</v>
      </c>
    </row>
    <row r="682" spans="1:32">
      <c r="A682" s="2140">
        <v>44728</v>
      </c>
      <c r="B682" s="2143" t="s">
        <v>12251</v>
      </c>
      <c r="C682" s="2141" t="s">
        <v>2111</v>
      </c>
      <c r="D682" s="2141" t="s">
        <v>9080</v>
      </c>
      <c r="E682" s="2142" t="s">
        <v>12252</v>
      </c>
      <c r="F682" s="2141"/>
      <c r="G682" s="2143"/>
      <c r="H682" s="2141"/>
      <c r="I682" s="2141" t="s">
        <v>3495</v>
      </c>
      <c r="J682" s="2141"/>
      <c r="K682" s="2144">
        <v>955530</v>
      </c>
      <c r="L682" s="2141" t="s">
        <v>112</v>
      </c>
      <c r="M682" s="2140">
        <v>44733</v>
      </c>
      <c r="N682" s="2140">
        <v>44742</v>
      </c>
      <c r="O682" s="2140">
        <v>44762</v>
      </c>
      <c r="P682" s="2143" t="s">
        <v>12543</v>
      </c>
      <c r="Q682" s="2141"/>
      <c r="R682" s="2144">
        <v>895020</v>
      </c>
      <c r="S682" s="2144">
        <v>1082974.2</v>
      </c>
      <c r="T682" s="2145"/>
      <c r="U682" s="2145"/>
      <c r="V682" s="2145"/>
      <c r="W682" s="2146">
        <v>44762</v>
      </c>
      <c r="X682" s="2144" t="s">
        <v>12559</v>
      </c>
      <c r="Y682" s="2140">
        <v>44775</v>
      </c>
      <c r="Z682" s="2140">
        <v>44778</v>
      </c>
      <c r="AA682" s="2140">
        <v>44958</v>
      </c>
      <c r="AB682" s="2109" t="s">
        <v>12626</v>
      </c>
      <c r="AC682" s="2109" t="s">
        <v>12627</v>
      </c>
    </row>
    <row r="683" spans="1:32">
      <c r="A683" s="2140">
        <v>44728</v>
      </c>
      <c r="B683" s="2143" t="s">
        <v>12255</v>
      </c>
      <c r="C683" s="2141" t="s">
        <v>2434</v>
      </c>
      <c r="D683" s="2141" t="s">
        <v>219</v>
      </c>
      <c r="E683" s="2142" t="s">
        <v>12256</v>
      </c>
      <c r="F683" s="2141"/>
      <c r="G683" s="2143"/>
      <c r="H683" s="2141"/>
      <c r="I683" s="2141" t="s">
        <v>642</v>
      </c>
      <c r="J683" s="2141"/>
      <c r="K683" s="2144">
        <v>1673180</v>
      </c>
      <c r="L683" s="2141" t="s">
        <v>112</v>
      </c>
      <c r="M683" s="2140">
        <v>44733</v>
      </c>
      <c r="N683" s="2140">
        <v>44742</v>
      </c>
      <c r="O683" s="2140">
        <v>44761</v>
      </c>
      <c r="P683" s="2143" t="s">
        <v>1433</v>
      </c>
      <c r="Q683" s="2141"/>
      <c r="R683" s="2144">
        <v>1667592.11</v>
      </c>
      <c r="S683" s="2144">
        <v>2017786.45</v>
      </c>
      <c r="T683" s="2145"/>
      <c r="U683" s="2145"/>
      <c r="V683" s="2145"/>
      <c r="W683" s="2146">
        <v>44761</v>
      </c>
      <c r="X683" s="2144" t="s">
        <v>12537</v>
      </c>
      <c r="Y683" s="2140">
        <v>44775</v>
      </c>
      <c r="Z683" s="2140">
        <v>44781</v>
      </c>
      <c r="AA683" s="2140">
        <v>45870</v>
      </c>
      <c r="AB683" s="2109" t="s">
        <v>12628</v>
      </c>
      <c r="AC683" s="2109">
        <v>2023</v>
      </c>
      <c r="AD683" s="388">
        <v>2024</v>
      </c>
      <c r="AE683" s="388" t="s">
        <v>12629</v>
      </c>
    </row>
    <row r="684" spans="1:32" ht="15.75" thickBot="1">
      <c r="A684" s="464">
        <v>44729</v>
      </c>
      <c r="B684" s="1425" t="s">
        <v>12261</v>
      </c>
      <c r="C684" s="406" t="s">
        <v>69</v>
      </c>
      <c r="D684" s="406" t="s">
        <v>70</v>
      </c>
      <c r="E684" s="462" t="s">
        <v>12414</v>
      </c>
      <c r="F684" s="406"/>
      <c r="G684" s="1425"/>
      <c r="H684" s="1437"/>
      <c r="I684" s="406" t="s">
        <v>816</v>
      </c>
      <c r="J684" s="406"/>
      <c r="K684" s="465">
        <v>37739531</v>
      </c>
      <c r="L684" s="406" t="s">
        <v>251</v>
      </c>
      <c r="M684" s="464">
        <v>44820</v>
      </c>
      <c r="N684" s="464">
        <v>44887</v>
      </c>
      <c r="O684" s="464">
        <v>44902</v>
      </c>
      <c r="P684" s="1425" t="s">
        <v>2405</v>
      </c>
      <c r="Q684" s="406"/>
      <c r="R684" s="465">
        <v>34098438.799999997</v>
      </c>
      <c r="S684" s="465">
        <v>37508282.880000003</v>
      </c>
      <c r="T684" s="1490"/>
      <c r="U684" s="1490"/>
      <c r="V684" s="1490"/>
      <c r="W684" s="1809">
        <v>44902</v>
      </c>
      <c r="X684" s="465" t="s">
        <v>13728</v>
      </c>
      <c r="Y684" s="406"/>
      <c r="Z684" s="406"/>
      <c r="AA684" s="406"/>
      <c r="AB684" s="406"/>
      <c r="AC684" s="406"/>
    </row>
    <row r="685" spans="1:32" ht="15.75" thickTop="1">
      <c r="A685" s="474">
        <v>44732</v>
      </c>
      <c r="B685" s="1420" t="s">
        <v>12262</v>
      </c>
      <c r="C685" s="453" t="s">
        <v>69</v>
      </c>
      <c r="D685" s="453" t="s">
        <v>70</v>
      </c>
      <c r="E685" s="473" t="s">
        <v>12269</v>
      </c>
      <c r="F685" s="453">
        <v>1</v>
      </c>
      <c r="G685" s="1420" t="s">
        <v>12270</v>
      </c>
      <c r="H685" s="453"/>
      <c r="I685" s="453" t="s">
        <v>3435</v>
      </c>
      <c r="J685" s="453"/>
      <c r="K685" s="457">
        <v>736890</v>
      </c>
      <c r="L685" s="453" t="s">
        <v>216</v>
      </c>
      <c r="M685" s="474">
        <v>44749</v>
      </c>
      <c r="N685" s="474">
        <v>44769</v>
      </c>
      <c r="O685" s="474">
        <v>44817</v>
      </c>
      <c r="P685" s="1420" t="s">
        <v>16350</v>
      </c>
      <c r="Q685" s="453"/>
      <c r="R685" s="457">
        <v>385989.12</v>
      </c>
      <c r="S685" s="457">
        <v>424588.03</v>
      </c>
      <c r="T685" s="1474"/>
      <c r="U685" s="1474"/>
      <c r="V685" s="1474"/>
      <c r="W685" s="570">
        <v>44817</v>
      </c>
      <c r="X685" s="457" t="s">
        <v>13049</v>
      </c>
      <c r="Y685" s="474">
        <v>44844</v>
      </c>
      <c r="Z685" s="474">
        <v>44866</v>
      </c>
      <c r="AA685" s="474">
        <v>46304</v>
      </c>
      <c r="AB685" s="1391" t="s">
        <v>13244</v>
      </c>
      <c r="AC685" s="1391">
        <v>2023</v>
      </c>
      <c r="AD685" s="388">
        <v>2024</v>
      </c>
      <c r="AE685" s="388">
        <v>2025</v>
      </c>
      <c r="AF685" s="388" t="s">
        <v>13249</v>
      </c>
    </row>
    <row r="686" spans="1:32">
      <c r="A686" s="2140">
        <v>44732</v>
      </c>
      <c r="B686" s="2143" t="s">
        <v>12263</v>
      </c>
      <c r="C686" s="2141" t="s">
        <v>69</v>
      </c>
      <c r="D686" s="2141" t="s">
        <v>70</v>
      </c>
      <c r="E686" s="2142" t="s">
        <v>12269</v>
      </c>
      <c r="F686" s="2141">
        <v>2</v>
      </c>
      <c r="G686" s="2143" t="s">
        <v>12271</v>
      </c>
      <c r="H686" s="2141"/>
      <c r="I686" s="2141" t="s">
        <v>3435</v>
      </c>
      <c r="J686" s="2141"/>
      <c r="K686" s="2144">
        <v>690489</v>
      </c>
      <c r="L686" s="2141" t="s">
        <v>216</v>
      </c>
      <c r="M686" s="2140">
        <v>44749</v>
      </c>
      <c r="N686" s="2140">
        <v>44769</v>
      </c>
      <c r="O686" s="2140">
        <v>44817</v>
      </c>
      <c r="P686" s="2143" t="s">
        <v>16350</v>
      </c>
      <c r="Q686" s="2141"/>
      <c r="R686" s="2144">
        <v>146390.56</v>
      </c>
      <c r="S686" s="2144">
        <v>161029.62</v>
      </c>
      <c r="T686" s="2145"/>
      <c r="U686" s="2145"/>
      <c r="V686" s="2145"/>
      <c r="W686" s="2146">
        <v>44817</v>
      </c>
      <c r="X686" s="2144" t="s">
        <v>13050</v>
      </c>
      <c r="Y686" s="2140">
        <v>44844</v>
      </c>
      <c r="Z686" s="2140">
        <v>44866</v>
      </c>
      <c r="AA686" s="2140">
        <v>46304</v>
      </c>
      <c r="AB686" s="2109" t="s">
        <v>13244</v>
      </c>
      <c r="AC686" s="2109">
        <v>2023</v>
      </c>
      <c r="AD686" s="388">
        <v>2024</v>
      </c>
      <c r="AE686" s="388">
        <v>2025</v>
      </c>
      <c r="AF686" s="388" t="s">
        <v>13249</v>
      </c>
    </row>
    <row r="687" spans="1:32">
      <c r="A687" s="2140">
        <v>44732</v>
      </c>
      <c r="B687" s="2143" t="s">
        <v>12264</v>
      </c>
      <c r="C687" s="2141" t="s">
        <v>69</v>
      </c>
      <c r="D687" s="2141" t="s">
        <v>70</v>
      </c>
      <c r="E687" s="2142" t="s">
        <v>12269</v>
      </c>
      <c r="F687" s="2141">
        <v>3</v>
      </c>
      <c r="G687" s="2143" t="s">
        <v>12272</v>
      </c>
      <c r="H687" s="2141"/>
      <c r="I687" s="2141" t="s">
        <v>3435</v>
      </c>
      <c r="J687" s="2141"/>
      <c r="K687" s="2144">
        <v>172193</v>
      </c>
      <c r="L687" s="2141" t="s">
        <v>216</v>
      </c>
      <c r="M687" s="2140">
        <v>44749</v>
      </c>
      <c r="N687" s="2140">
        <v>44769</v>
      </c>
      <c r="O687" s="2140">
        <v>44817</v>
      </c>
      <c r="P687" s="2143" t="s">
        <v>16350</v>
      </c>
      <c r="Q687" s="2141"/>
      <c r="R687" s="2144">
        <v>170314.8</v>
      </c>
      <c r="S687" s="2144">
        <v>187346.28</v>
      </c>
      <c r="T687" s="2145"/>
      <c r="U687" s="2145"/>
      <c r="V687" s="2145"/>
      <c r="W687" s="2146">
        <v>44817</v>
      </c>
      <c r="X687" s="2144" t="s">
        <v>13051</v>
      </c>
      <c r="Y687" s="2140">
        <v>44844</v>
      </c>
      <c r="Z687" s="2140">
        <v>44866</v>
      </c>
      <c r="AA687" s="2140">
        <v>46304</v>
      </c>
      <c r="AB687" s="2109" t="s">
        <v>13244</v>
      </c>
      <c r="AC687" s="2109">
        <v>2023</v>
      </c>
      <c r="AD687" s="388">
        <v>2024</v>
      </c>
      <c r="AE687" s="388">
        <v>2025</v>
      </c>
      <c r="AF687" s="388" t="s">
        <v>13249</v>
      </c>
    </row>
    <row r="688" spans="1:32">
      <c r="A688" s="2124">
        <v>44732</v>
      </c>
      <c r="B688" s="2127" t="s">
        <v>12265</v>
      </c>
      <c r="C688" s="2125" t="s">
        <v>69</v>
      </c>
      <c r="D688" s="2125" t="s">
        <v>70</v>
      </c>
      <c r="E688" s="2126" t="s">
        <v>12269</v>
      </c>
      <c r="F688" s="2125">
        <v>4</v>
      </c>
      <c r="G688" s="2127" t="s">
        <v>12273</v>
      </c>
      <c r="H688" s="2125"/>
      <c r="I688" s="2125" t="s">
        <v>3435</v>
      </c>
      <c r="J688" s="2125"/>
      <c r="K688" s="2128">
        <v>111447</v>
      </c>
      <c r="L688" s="2125" t="s">
        <v>216</v>
      </c>
      <c r="M688" s="2124">
        <v>44749</v>
      </c>
      <c r="N688" s="2124">
        <v>44769</v>
      </c>
      <c r="O688" s="2125"/>
      <c r="P688" s="2136" t="s">
        <v>304</v>
      </c>
      <c r="Q688" s="2125"/>
      <c r="R688" s="2128"/>
      <c r="S688" s="2128"/>
      <c r="T688" s="2129"/>
      <c r="U688" s="2129"/>
      <c r="V688" s="2129"/>
      <c r="W688" s="2128"/>
      <c r="X688" s="2128"/>
      <c r="Y688" s="2125"/>
      <c r="Z688" s="2124">
        <v>44861</v>
      </c>
      <c r="AA688" s="2125" t="s">
        <v>12966</v>
      </c>
      <c r="AB688" s="2125"/>
      <c r="AC688" s="2125"/>
    </row>
    <row r="689" spans="1:32">
      <c r="A689" s="2140">
        <v>44732</v>
      </c>
      <c r="B689" s="2143" t="s">
        <v>12266</v>
      </c>
      <c r="C689" s="2141" t="s">
        <v>69</v>
      </c>
      <c r="D689" s="2141" t="s">
        <v>70</v>
      </c>
      <c r="E689" s="2142" t="s">
        <v>12269</v>
      </c>
      <c r="F689" s="2141">
        <v>5</v>
      </c>
      <c r="G689" s="2143" t="s">
        <v>12274</v>
      </c>
      <c r="H689" s="2141"/>
      <c r="I689" s="2141" t="s">
        <v>3435</v>
      </c>
      <c r="J689" s="2141"/>
      <c r="K689" s="2144">
        <v>246783</v>
      </c>
      <c r="L689" s="2141" t="s">
        <v>216</v>
      </c>
      <c r="M689" s="2140">
        <v>44749</v>
      </c>
      <c r="N689" s="2140">
        <v>44769</v>
      </c>
      <c r="O689" s="2140">
        <v>44817</v>
      </c>
      <c r="P689" s="2143" t="s">
        <v>16350</v>
      </c>
      <c r="Q689" s="2141"/>
      <c r="R689" s="2144">
        <v>195448.16</v>
      </c>
      <c r="S689" s="2144">
        <v>214992.98</v>
      </c>
      <c r="T689" s="2145"/>
      <c r="U689" s="2145"/>
      <c r="V689" s="2145"/>
      <c r="W689" s="2146">
        <v>44817</v>
      </c>
      <c r="X689" s="2144" t="s">
        <v>13052</v>
      </c>
      <c r="Y689" s="2140">
        <v>44844</v>
      </c>
      <c r="Z689" s="2140">
        <v>44866</v>
      </c>
      <c r="AA689" s="2140">
        <v>46304</v>
      </c>
      <c r="AB689" s="2109" t="s">
        <v>13244</v>
      </c>
      <c r="AC689" s="2109">
        <v>2023</v>
      </c>
      <c r="AD689" s="388">
        <v>2024</v>
      </c>
      <c r="AE689" s="388">
        <v>2025</v>
      </c>
      <c r="AF689" s="388" t="s">
        <v>13249</v>
      </c>
    </row>
    <row r="690" spans="1:32">
      <c r="A690" s="2140">
        <v>44732</v>
      </c>
      <c r="B690" s="2143" t="s">
        <v>12267</v>
      </c>
      <c r="C690" s="2141" t="s">
        <v>69</v>
      </c>
      <c r="D690" s="2141" t="s">
        <v>70</v>
      </c>
      <c r="E690" s="2142" t="s">
        <v>12269</v>
      </c>
      <c r="F690" s="2141">
        <v>6</v>
      </c>
      <c r="G690" s="2143" t="s">
        <v>12275</v>
      </c>
      <c r="H690" s="2141"/>
      <c r="I690" s="2141" t="s">
        <v>3435</v>
      </c>
      <c r="J690" s="2141"/>
      <c r="K690" s="2144">
        <v>128180</v>
      </c>
      <c r="L690" s="2141" t="s">
        <v>216</v>
      </c>
      <c r="M690" s="2140">
        <v>44749</v>
      </c>
      <c r="N690" s="2140">
        <v>44769</v>
      </c>
      <c r="O690" s="2140">
        <v>44817</v>
      </c>
      <c r="P690" s="2143" t="s">
        <v>16350</v>
      </c>
      <c r="Q690" s="2141"/>
      <c r="R690" s="2144">
        <v>126775.12</v>
      </c>
      <c r="S690" s="2144">
        <v>139452.63</v>
      </c>
      <c r="T690" s="2145"/>
      <c r="U690" s="2145"/>
      <c r="V690" s="2145"/>
      <c r="W690" s="2146">
        <v>44817</v>
      </c>
      <c r="X690" s="2144" t="s">
        <v>13053</v>
      </c>
      <c r="Y690" s="2140">
        <v>44844</v>
      </c>
      <c r="Z690" s="2140">
        <v>44866</v>
      </c>
      <c r="AA690" s="2140">
        <v>46304</v>
      </c>
      <c r="AB690" s="2109" t="s">
        <v>13244</v>
      </c>
      <c r="AC690" s="2109">
        <v>2023</v>
      </c>
      <c r="AD690" s="388">
        <v>2024</v>
      </c>
      <c r="AE690" s="388">
        <v>2025</v>
      </c>
      <c r="AF690" s="388" t="s">
        <v>13249</v>
      </c>
    </row>
    <row r="691" spans="1:32" ht="15.75" thickBot="1">
      <c r="A691" s="2117">
        <v>44732</v>
      </c>
      <c r="B691" s="2120" t="s">
        <v>12268</v>
      </c>
      <c r="C691" s="2118" t="s">
        <v>69</v>
      </c>
      <c r="D691" s="2118" t="s">
        <v>70</v>
      </c>
      <c r="E691" s="2119" t="s">
        <v>12269</v>
      </c>
      <c r="F691" s="2118">
        <v>7</v>
      </c>
      <c r="G691" s="2120" t="s">
        <v>12276</v>
      </c>
      <c r="H691" s="2118"/>
      <c r="I691" s="2118" t="s">
        <v>3435</v>
      </c>
      <c r="J691" s="2118"/>
      <c r="K691" s="2121">
        <v>642245</v>
      </c>
      <c r="L691" s="2118" t="s">
        <v>216</v>
      </c>
      <c r="M691" s="2117">
        <v>44749</v>
      </c>
      <c r="N691" s="2117">
        <v>44769</v>
      </c>
      <c r="O691" s="2117">
        <v>44817</v>
      </c>
      <c r="P691" s="2120" t="s">
        <v>2548</v>
      </c>
      <c r="Q691" s="2118"/>
      <c r="R691" s="2121">
        <v>635051.4</v>
      </c>
      <c r="S691" s="2121">
        <v>698556.54</v>
      </c>
      <c r="T691" s="2122"/>
      <c r="U691" s="2122"/>
      <c r="V691" s="2122"/>
      <c r="W691" s="2123">
        <v>44817</v>
      </c>
      <c r="X691" s="2121" t="s">
        <v>13054</v>
      </c>
      <c r="Y691" s="2117">
        <v>44860</v>
      </c>
      <c r="Z691" s="2117">
        <v>44866</v>
      </c>
      <c r="AA691" s="2117">
        <v>46320</v>
      </c>
      <c r="AB691" s="2110" t="s">
        <v>13414</v>
      </c>
      <c r="AC691" s="2110">
        <v>2023</v>
      </c>
      <c r="AD691" s="388">
        <v>2024</v>
      </c>
      <c r="AE691" s="388">
        <v>2025</v>
      </c>
      <c r="AF691" s="388" t="s">
        <v>13415</v>
      </c>
    </row>
    <row r="692" spans="1:32" ht="15.75" thickTop="1">
      <c r="A692" s="474">
        <v>44732</v>
      </c>
      <c r="B692" s="1420" t="s">
        <v>12278</v>
      </c>
      <c r="C692" s="453" t="s">
        <v>69</v>
      </c>
      <c r="D692" s="453" t="s">
        <v>70</v>
      </c>
      <c r="E692" s="473" t="s">
        <v>12277</v>
      </c>
      <c r="F692" s="453">
        <v>1</v>
      </c>
      <c r="G692" s="1420" t="s">
        <v>12280</v>
      </c>
      <c r="H692" s="453"/>
      <c r="I692" s="453" t="s">
        <v>93</v>
      </c>
      <c r="J692" s="453"/>
      <c r="K692" s="457">
        <v>2856528</v>
      </c>
      <c r="L692" s="453" t="s">
        <v>251</v>
      </c>
      <c r="M692" s="474">
        <v>44739</v>
      </c>
      <c r="N692" s="474">
        <v>44774</v>
      </c>
      <c r="O692" s="474">
        <v>44851</v>
      </c>
      <c r="P692" s="1420" t="s">
        <v>2548</v>
      </c>
      <c r="Q692" s="453"/>
      <c r="R692" s="457">
        <v>1516906.8</v>
      </c>
      <c r="S692" s="457">
        <v>1668597.48</v>
      </c>
      <c r="T692" s="1474"/>
      <c r="U692" s="1474"/>
      <c r="V692" s="1474"/>
      <c r="W692" s="570">
        <v>44851</v>
      </c>
      <c r="X692" s="457" t="s">
        <v>13318</v>
      </c>
      <c r="Y692" s="474">
        <v>44893</v>
      </c>
      <c r="Z692" s="474">
        <v>44895</v>
      </c>
      <c r="AA692" s="474">
        <v>45988</v>
      </c>
      <c r="AB692" s="1391" t="s">
        <v>13635</v>
      </c>
      <c r="AC692" s="1391">
        <v>2023</v>
      </c>
      <c r="AD692" s="388">
        <v>2024</v>
      </c>
      <c r="AE692" s="388" t="s">
        <v>13636</v>
      </c>
    </row>
    <row r="693" spans="1:32" ht="15.75" thickBot="1">
      <c r="A693" s="2117">
        <v>44732</v>
      </c>
      <c r="B693" s="2120" t="s">
        <v>12279</v>
      </c>
      <c r="C693" s="2118" t="s">
        <v>69</v>
      </c>
      <c r="D693" s="2118" t="s">
        <v>70</v>
      </c>
      <c r="E693" s="2119" t="s">
        <v>12277</v>
      </c>
      <c r="F693" s="2118">
        <v>2</v>
      </c>
      <c r="G693" s="2120" t="s">
        <v>8826</v>
      </c>
      <c r="H693" s="2118"/>
      <c r="I693" s="2118" t="s">
        <v>93</v>
      </c>
      <c r="J693" s="2118"/>
      <c r="K693" s="2121">
        <v>2402070</v>
      </c>
      <c r="L693" s="2118" t="s">
        <v>251</v>
      </c>
      <c r="M693" s="2117">
        <v>44739</v>
      </c>
      <c r="N693" s="2117">
        <v>44774</v>
      </c>
      <c r="O693" s="2117">
        <v>44851</v>
      </c>
      <c r="P693" s="2120" t="s">
        <v>8542</v>
      </c>
      <c r="Q693" s="2118"/>
      <c r="R693" s="2121">
        <v>228159</v>
      </c>
      <c r="S693" s="2121">
        <v>250974.9</v>
      </c>
      <c r="T693" s="2122"/>
      <c r="U693" s="2122"/>
      <c r="V693" s="2122"/>
      <c r="W693" s="2123">
        <v>44851</v>
      </c>
      <c r="X693" s="2121" t="s">
        <v>13319</v>
      </c>
      <c r="Y693" s="2117">
        <v>44881</v>
      </c>
      <c r="Z693" s="2117">
        <v>44895</v>
      </c>
      <c r="AA693" s="2117">
        <v>45976</v>
      </c>
      <c r="AB693" s="2110" t="s">
        <v>13549</v>
      </c>
      <c r="AC693" s="2110">
        <v>2023</v>
      </c>
      <c r="AD693" s="388">
        <v>2024</v>
      </c>
      <c r="AE693" s="388" t="s">
        <v>13550</v>
      </c>
    </row>
    <row r="694" spans="1:32" ht="30.75" thickTop="1">
      <c r="A694" s="365">
        <v>44733</v>
      </c>
      <c r="B694" s="2729" t="s">
        <v>12281</v>
      </c>
      <c r="C694" s="2728" t="s">
        <v>58</v>
      </c>
      <c r="D694" s="2728" t="s">
        <v>4969</v>
      </c>
      <c r="E694" s="175" t="s">
        <v>12282</v>
      </c>
      <c r="F694" s="2728"/>
      <c r="G694" s="2729"/>
      <c r="H694" s="2728"/>
      <c r="I694" s="2728" t="s">
        <v>12284</v>
      </c>
      <c r="J694" s="2728" t="s">
        <v>12283</v>
      </c>
      <c r="K694" s="364">
        <v>2030000</v>
      </c>
      <c r="L694" s="2728" t="s">
        <v>251</v>
      </c>
      <c r="M694" s="365">
        <v>44736</v>
      </c>
      <c r="N694" s="365">
        <v>44770</v>
      </c>
      <c r="O694" s="365">
        <v>44798</v>
      </c>
      <c r="P694" s="2729" t="s">
        <v>4409</v>
      </c>
      <c r="Q694" s="2728"/>
      <c r="R694" s="364">
        <v>1998192</v>
      </c>
      <c r="S694" s="364">
        <v>2417812.3199999998</v>
      </c>
      <c r="T694" s="1473"/>
      <c r="U694" s="1473"/>
      <c r="V694" s="1473"/>
      <c r="W694" s="681">
        <v>44798</v>
      </c>
      <c r="X694" s="1417" t="s">
        <v>12879</v>
      </c>
      <c r="Y694" s="365">
        <v>44839</v>
      </c>
      <c r="Z694" s="365">
        <v>44860</v>
      </c>
      <c r="AA694" s="365">
        <v>44867</v>
      </c>
      <c r="AB694" s="451"/>
      <c r="AC694" s="451" t="s">
        <v>1875</v>
      </c>
    </row>
    <row r="695" spans="1:32" ht="30">
      <c r="A695" s="2141" t="s">
        <v>3585</v>
      </c>
      <c r="B695" s="2143" t="s">
        <v>12289</v>
      </c>
      <c r="C695" s="2141" t="s">
        <v>58</v>
      </c>
      <c r="D695" s="2141" t="s">
        <v>4969</v>
      </c>
      <c r="E695" s="2142" t="s">
        <v>12290</v>
      </c>
      <c r="F695" s="2141"/>
      <c r="G695" s="2143"/>
      <c r="H695" s="2141"/>
      <c r="I695" s="2141" t="s">
        <v>2221</v>
      </c>
      <c r="J695" s="2141" t="s">
        <v>12294</v>
      </c>
      <c r="K695" s="2144">
        <v>360000</v>
      </c>
      <c r="L695" s="2141" t="s">
        <v>112</v>
      </c>
      <c r="M695" s="2140">
        <v>44739</v>
      </c>
      <c r="N695" s="2140">
        <v>44754</v>
      </c>
      <c r="O695" s="2140">
        <v>44761</v>
      </c>
      <c r="P695" s="2143" t="s">
        <v>10028</v>
      </c>
      <c r="Q695" s="2141"/>
      <c r="R695" s="2144">
        <v>351990</v>
      </c>
      <c r="S695" s="2144">
        <v>40750290</v>
      </c>
      <c r="T695" s="2145"/>
      <c r="U695" s="2145"/>
      <c r="V695" s="2145"/>
      <c r="W695" s="2146">
        <v>44761</v>
      </c>
      <c r="X695" s="2260" t="s">
        <v>12538</v>
      </c>
      <c r="Y695" s="2140">
        <v>44778</v>
      </c>
      <c r="Z695" s="2140">
        <v>44778</v>
      </c>
      <c r="AA695" s="2140">
        <v>44834</v>
      </c>
      <c r="AB695" s="2109"/>
      <c r="AC695" s="2109" t="s">
        <v>1875</v>
      </c>
    </row>
    <row r="696" spans="1:32">
      <c r="A696" s="2140">
        <v>44733</v>
      </c>
      <c r="B696" s="2143" t="s">
        <v>12291</v>
      </c>
      <c r="C696" s="2141" t="s">
        <v>12073</v>
      </c>
      <c r="D696" s="2141" t="s">
        <v>4969</v>
      </c>
      <c r="E696" s="2142" t="s">
        <v>12292</v>
      </c>
      <c r="F696" s="2141"/>
      <c r="G696" s="2143"/>
      <c r="H696" s="2141"/>
      <c r="I696" s="2141" t="s">
        <v>26</v>
      </c>
      <c r="J696" s="2141" t="s">
        <v>12293</v>
      </c>
      <c r="K696" s="2144">
        <v>1115072</v>
      </c>
      <c r="L696" s="2141" t="s">
        <v>112</v>
      </c>
      <c r="M696" s="2140">
        <v>44739</v>
      </c>
      <c r="N696" s="2140">
        <v>44754</v>
      </c>
      <c r="O696" s="2140">
        <v>44764</v>
      </c>
      <c r="P696" s="2143" t="s">
        <v>12572</v>
      </c>
      <c r="Q696" s="2141"/>
      <c r="R696" s="2144">
        <v>114869.52</v>
      </c>
      <c r="S696" s="2144">
        <v>1348992.12</v>
      </c>
      <c r="T696" s="2145"/>
      <c r="U696" s="2145"/>
      <c r="V696" s="2145"/>
      <c r="W696" s="2146">
        <v>44764</v>
      </c>
      <c r="X696" s="2144" t="s">
        <v>12573</v>
      </c>
      <c r="Y696" s="2140">
        <v>44775</v>
      </c>
      <c r="Z696" s="2140">
        <v>44778</v>
      </c>
      <c r="AA696" s="2140">
        <v>44817</v>
      </c>
      <c r="AB696" s="2140">
        <v>44865</v>
      </c>
      <c r="AC696" s="2106"/>
    </row>
    <row r="697" spans="1:32" ht="15.75" thickBot="1">
      <c r="A697" s="643">
        <v>44733</v>
      </c>
      <c r="B697" s="1533" t="s">
        <v>12295</v>
      </c>
      <c r="C697" s="639" t="s">
        <v>58</v>
      </c>
      <c r="D697" s="639" t="s">
        <v>4969</v>
      </c>
      <c r="E697" s="640" t="s">
        <v>12296</v>
      </c>
      <c r="F697" s="639"/>
      <c r="G697" s="1533"/>
      <c r="H697" s="639"/>
      <c r="I697" s="639" t="s">
        <v>1159</v>
      </c>
      <c r="J697" s="639" t="s">
        <v>12297</v>
      </c>
      <c r="K697" s="645">
        <v>1697000</v>
      </c>
      <c r="L697" s="639" t="s">
        <v>112</v>
      </c>
      <c r="M697" s="643">
        <v>44739</v>
      </c>
      <c r="N697" s="643">
        <v>44760</v>
      </c>
      <c r="O697" s="639"/>
      <c r="P697" s="644" t="s">
        <v>2635</v>
      </c>
      <c r="Q697" s="2019" t="s">
        <v>13133</v>
      </c>
      <c r="R697" s="645"/>
      <c r="S697" s="645"/>
      <c r="T697" s="1534"/>
      <c r="U697" s="1534"/>
      <c r="V697" s="1534"/>
      <c r="W697" s="645"/>
      <c r="X697" s="645"/>
      <c r="Y697" s="639"/>
      <c r="Z697" s="643">
        <v>44760</v>
      </c>
      <c r="AA697" s="639"/>
      <c r="AB697" s="639"/>
      <c r="AC697" s="639"/>
    </row>
    <row r="698" spans="1:32" ht="30.75" thickTop="1">
      <c r="A698" s="474">
        <v>44733</v>
      </c>
      <c r="B698" s="1420" t="s">
        <v>12298</v>
      </c>
      <c r="C698" s="453" t="s">
        <v>12073</v>
      </c>
      <c r="D698" s="453" t="s">
        <v>4969</v>
      </c>
      <c r="E698" s="473" t="s">
        <v>12300</v>
      </c>
      <c r="F698" s="453">
        <v>1</v>
      </c>
      <c r="G698" s="1420" t="s">
        <v>12303</v>
      </c>
      <c r="H698" s="453"/>
      <c r="I698" s="453" t="s">
        <v>8491</v>
      </c>
      <c r="J698" s="453" t="s">
        <v>12301</v>
      </c>
      <c r="K698" s="457">
        <v>670990</v>
      </c>
      <c r="L698" s="453" t="s">
        <v>251</v>
      </c>
      <c r="M698" s="474">
        <v>44740</v>
      </c>
      <c r="N698" s="474">
        <v>44774</v>
      </c>
      <c r="O698" s="474">
        <v>44805</v>
      </c>
      <c r="P698" s="1420" t="s">
        <v>12876</v>
      </c>
      <c r="Q698" s="453"/>
      <c r="R698" s="457">
        <v>659692</v>
      </c>
      <c r="S698" s="457">
        <v>798227.32</v>
      </c>
      <c r="T698" s="1474"/>
      <c r="U698" s="1474"/>
      <c r="V698" s="1474"/>
      <c r="W698" s="570">
        <v>44805</v>
      </c>
      <c r="X698" s="1387" t="s">
        <v>12957</v>
      </c>
      <c r="Y698" s="474">
        <v>44846</v>
      </c>
      <c r="Z698" s="474">
        <v>44860</v>
      </c>
      <c r="AA698" s="474">
        <v>44951</v>
      </c>
      <c r="AB698" s="1391"/>
      <c r="AC698" s="1391" t="s">
        <v>1875</v>
      </c>
    </row>
    <row r="699" spans="1:32" ht="30.75" thickBot="1">
      <c r="A699" s="2117">
        <v>44733</v>
      </c>
      <c r="B699" s="2120" t="s">
        <v>12299</v>
      </c>
      <c r="C699" s="2118" t="s">
        <v>12073</v>
      </c>
      <c r="D699" s="2118" t="s">
        <v>4969</v>
      </c>
      <c r="E699" s="2119" t="s">
        <v>12300</v>
      </c>
      <c r="F699" s="2118">
        <v>2</v>
      </c>
      <c r="G699" s="2120" t="s">
        <v>12304</v>
      </c>
      <c r="H699" s="2118"/>
      <c r="I699" s="2118" t="s">
        <v>8491</v>
      </c>
      <c r="J699" s="2118" t="s">
        <v>12302</v>
      </c>
      <c r="K699" s="2121">
        <v>601654</v>
      </c>
      <c r="L699" s="2118" t="s">
        <v>251</v>
      </c>
      <c r="M699" s="2117">
        <v>44740</v>
      </c>
      <c r="N699" s="2117">
        <v>44774</v>
      </c>
      <c r="O699" s="2117">
        <v>44805</v>
      </c>
      <c r="P699" s="2120" t="s">
        <v>12876</v>
      </c>
      <c r="Q699" s="2118"/>
      <c r="R699" s="2121">
        <v>598454</v>
      </c>
      <c r="S699" s="2121">
        <v>724129.34</v>
      </c>
      <c r="T699" s="2122"/>
      <c r="U699" s="2122"/>
      <c r="V699" s="2122"/>
      <c r="W699" s="2123">
        <v>44805</v>
      </c>
      <c r="X699" s="2246" t="s">
        <v>12958</v>
      </c>
      <c r="Y699" s="2117">
        <v>44846</v>
      </c>
      <c r="Z699" s="2117">
        <v>44860</v>
      </c>
      <c r="AA699" s="2117">
        <v>44951</v>
      </c>
      <c r="AB699" s="2110"/>
      <c r="AC699" s="2110" t="s">
        <v>1875</v>
      </c>
    </row>
    <row r="700" spans="1:32" ht="15.75" thickTop="1">
      <c r="A700" s="498">
        <v>44725</v>
      </c>
      <c r="B700" s="669" t="s">
        <v>12307</v>
      </c>
      <c r="C700" s="232" t="s">
        <v>2434</v>
      </c>
      <c r="D700" s="232" t="s">
        <v>219</v>
      </c>
      <c r="E700" s="274" t="s">
        <v>12308</v>
      </c>
      <c r="F700" s="232"/>
      <c r="G700" s="669"/>
      <c r="H700" s="232"/>
      <c r="I700" s="232" t="s">
        <v>9602</v>
      </c>
      <c r="J700" s="232"/>
      <c r="K700" s="499">
        <v>373940.73</v>
      </c>
      <c r="L700" s="232" t="s">
        <v>251</v>
      </c>
      <c r="M700" s="498">
        <v>44741</v>
      </c>
      <c r="N700" s="498">
        <v>44788</v>
      </c>
      <c r="O700" s="498">
        <v>44823</v>
      </c>
      <c r="P700" s="669" t="s">
        <v>12929</v>
      </c>
      <c r="Q700" s="232"/>
      <c r="R700" s="499">
        <v>373940.73</v>
      </c>
      <c r="S700" s="499">
        <v>430031.88</v>
      </c>
      <c r="T700" s="1545"/>
      <c r="U700" s="1545"/>
      <c r="V700" s="1545"/>
      <c r="W700" s="682">
        <v>44823</v>
      </c>
      <c r="X700" s="499" t="s">
        <v>13108</v>
      </c>
      <c r="Y700" s="498">
        <v>44847</v>
      </c>
      <c r="Z700" s="498">
        <v>44874</v>
      </c>
      <c r="AA700" s="498">
        <v>45942</v>
      </c>
      <c r="AB700" s="1546" t="s">
        <v>13298</v>
      </c>
      <c r="AC700" s="1546">
        <v>2023</v>
      </c>
      <c r="AD700" s="388">
        <v>2024</v>
      </c>
      <c r="AE700" s="388" t="s">
        <v>13301</v>
      </c>
    </row>
    <row r="701" spans="1:32" ht="15.75" thickBot="1">
      <c r="A701" s="2152" t="s">
        <v>3585</v>
      </c>
      <c r="B701" s="2300" t="s">
        <v>12367</v>
      </c>
      <c r="C701" s="2297" t="s">
        <v>69</v>
      </c>
      <c r="D701" s="2297" t="s">
        <v>70</v>
      </c>
      <c r="E701" s="2298" t="s">
        <v>12368</v>
      </c>
      <c r="F701" s="2297"/>
      <c r="G701" s="2300" t="s">
        <v>11029</v>
      </c>
      <c r="H701" s="2089"/>
      <c r="I701" s="2297" t="s">
        <v>816</v>
      </c>
      <c r="J701" s="2297"/>
      <c r="K701" s="2299">
        <v>40669427</v>
      </c>
      <c r="L701" s="2297" t="s">
        <v>251</v>
      </c>
      <c r="M701" s="2152">
        <v>44764</v>
      </c>
      <c r="N701" s="2152">
        <v>44799</v>
      </c>
      <c r="O701" s="2152">
        <v>44872</v>
      </c>
      <c r="P701" s="2300" t="s">
        <v>2534</v>
      </c>
      <c r="Q701" s="2297"/>
      <c r="R701" s="2299">
        <v>40166710.409999996</v>
      </c>
      <c r="S701" s="2299">
        <v>44183381.450000003</v>
      </c>
      <c r="T701" s="2095"/>
      <c r="U701" s="2095"/>
      <c r="V701" s="2095"/>
      <c r="W701" s="2315">
        <v>44872</v>
      </c>
      <c r="X701" s="2299" t="s">
        <v>13548</v>
      </c>
      <c r="Y701" s="2297"/>
      <c r="Z701" s="2297"/>
      <c r="AA701" s="2297"/>
      <c r="AB701" s="2297"/>
      <c r="AC701" s="2297"/>
    </row>
    <row r="702" spans="1:32" ht="30.75" thickTop="1">
      <c r="A702" s="474">
        <v>44733</v>
      </c>
      <c r="B702" s="1420" t="s">
        <v>12311</v>
      </c>
      <c r="C702" s="453" t="s">
        <v>58</v>
      </c>
      <c r="D702" s="453" t="s">
        <v>4969</v>
      </c>
      <c r="E702" s="473" t="s">
        <v>12312</v>
      </c>
      <c r="F702" s="453">
        <v>1</v>
      </c>
      <c r="G702" s="1420" t="s">
        <v>12313</v>
      </c>
      <c r="H702" s="453"/>
      <c r="I702" s="453" t="s">
        <v>845</v>
      </c>
      <c r="J702" s="453" t="s">
        <v>12314</v>
      </c>
      <c r="K702" s="457">
        <v>159415</v>
      </c>
      <c r="L702" s="453" t="s">
        <v>112</v>
      </c>
      <c r="M702" s="474">
        <v>44739</v>
      </c>
      <c r="N702" s="474">
        <v>44754</v>
      </c>
      <c r="O702" s="474">
        <v>44768</v>
      </c>
      <c r="P702" s="1420" t="s">
        <v>11876</v>
      </c>
      <c r="Q702" s="453"/>
      <c r="R702" s="457">
        <v>718600</v>
      </c>
      <c r="S702" s="457">
        <v>869506</v>
      </c>
      <c r="T702" s="1474"/>
      <c r="U702" s="1474"/>
      <c r="V702" s="1474"/>
      <c r="W702" s="570">
        <v>44768</v>
      </c>
      <c r="X702" s="1387" t="s">
        <v>12588</v>
      </c>
      <c r="Y702" s="474">
        <v>44789</v>
      </c>
      <c r="Z702" s="474">
        <v>44791</v>
      </c>
      <c r="AA702" s="474">
        <v>44873</v>
      </c>
      <c r="AB702" s="1391"/>
      <c r="AC702" s="1391" t="s">
        <v>1875</v>
      </c>
    </row>
    <row r="703" spans="1:32" ht="30.75" thickBot="1">
      <c r="A703" s="2117">
        <v>44733</v>
      </c>
      <c r="B703" s="2120" t="s">
        <v>12315</v>
      </c>
      <c r="C703" s="2118" t="s">
        <v>58</v>
      </c>
      <c r="D703" s="2118" t="s">
        <v>4969</v>
      </c>
      <c r="E703" s="2119" t="s">
        <v>12312</v>
      </c>
      <c r="F703" s="2118">
        <v>2</v>
      </c>
      <c r="G703" s="2120" t="s">
        <v>12317</v>
      </c>
      <c r="H703" s="2118"/>
      <c r="I703" s="2118" t="s">
        <v>845</v>
      </c>
      <c r="J703" s="2118" t="s">
        <v>12316</v>
      </c>
      <c r="K703" s="2121">
        <v>720000</v>
      </c>
      <c r="L703" s="2118" t="s">
        <v>112</v>
      </c>
      <c r="M703" s="2117">
        <v>44739</v>
      </c>
      <c r="N703" s="2117">
        <v>44754</v>
      </c>
      <c r="O703" s="2117">
        <v>44768</v>
      </c>
      <c r="P703" s="2120" t="s">
        <v>12583</v>
      </c>
      <c r="Q703" s="2118"/>
      <c r="R703" s="2121">
        <v>202200</v>
      </c>
      <c r="S703" s="2121">
        <v>244662</v>
      </c>
      <c r="T703" s="2122"/>
      <c r="U703" s="2122"/>
      <c r="V703" s="2122"/>
      <c r="W703" s="2123">
        <v>44768</v>
      </c>
      <c r="X703" s="2246" t="s">
        <v>12589</v>
      </c>
      <c r="Y703" s="2117">
        <v>44795</v>
      </c>
      <c r="Z703" s="2117">
        <v>44796</v>
      </c>
      <c r="AA703" s="2117">
        <v>44900</v>
      </c>
      <c r="AB703" s="2110"/>
      <c r="AC703" s="2110" t="s">
        <v>1875</v>
      </c>
    </row>
    <row r="704" spans="1:32" ht="30.75" thickTop="1">
      <c r="A704" s="474">
        <v>44733</v>
      </c>
      <c r="B704" s="1420" t="s">
        <v>12319</v>
      </c>
      <c r="C704" s="453" t="s">
        <v>2434</v>
      </c>
      <c r="D704" s="453" t="s">
        <v>751</v>
      </c>
      <c r="E704" s="473" t="s">
        <v>12320</v>
      </c>
      <c r="F704" s="453">
        <v>1</v>
      </c>
      <c r="G704" s="2043" t="s">
        <v>12324</v>
      </c>
      <c r="H704" s="453"/>
      <c r="I704" s="453" t="s">
        <v>2844</v>
      </c>
      <c r="J704" s="453"/>
      <c r="K704" s="2002">
        <v>125235000</v>
      </c>
      <c r="L704" s="453" t="s">
        <v>251</v>
      </c>
      <c r="M704" s="474">
        <v>44768</v>
      </c>
      <c r="N704" s="474">
        <v>44802</v>
      </c>
      <c r="O704" s="474">
        <v>44823</v>
      </c>
      <c r="P704" s="1420" t="s">
        <v>2776</v>
      </c>
      <c r="Q704" s="453"/>
      <c r="R704" s="457">
        <v>125235000</v>
      </c>
      <c r="S704" s="457">
        <v>144020250</v>
      </c>
      <c r="T704" s="1474"/>
      <c r="U704" s="1474"/>
      <c r="V704" s="1474"/>
      <c r="W704" s="570">
        <v>44823</v>
      </c>
      <c r="X704" s="1387" t="s">
        <v>13105</v>
      </c>
      <c r="Y704" s="474">
        <v>44852</v>
      </c>
      <c r="Z704" s="474">
        <v>44865</v>
      </c>
      <c r="AA704" s="474">
        <v>45947</v>
      </c>
      <c r="AB704" s="1391" t="s">
        <v>13326</v>
      </c>
      <c r="AC704" s="1391">
        <v>2023</v>
      </c>
      <c r="AD704" s="388">
        <v>2024</v>
      </c>
      <c r="AE704" s="388" t="s">
        <v>13327</v>
      </c>
    </row>
    <row r="705" spans="1:43" ht="30">
      <c r="A705" s="2140">
        <v>44733</v>
      </c>
      <c r="B705" s="2143" t="s">
        <v>12321</v>
      </c>
      <c r="C705" s="2141" t="s">
        <v>2434</v>
      </c>
      <c r="D705" s="2141" t="s">
        <v>751</v>
      </c>
      <c r="E705" s="2142" t="s">
        <v>12320</v>
      </c>
      <c r="F705" s="2141">
        <v>2</v>
      </c>
      <c r="G705" s="2261" t="s">
        <v>12325</v>
      </c>
      <c r="H705" s="2141"/>
      <c r="I705" s="2141" t="s">
        <v>2844</v>
      </c>
      <c r="J705" s="2141"/>
      <c r="K705" s="2607">
        <v>25047000</v>
      </c>
      <c r="L705" s="2141" t="s">
        <v>251</v>
      </c>
      <c r="M705" s="2140">
        <v>44768</v>
      </c>
      <c r="N705" s="2140">
        <v>44802</v>
      </c>
      <c r="O705" s="2140">
        <v>44866</v>
      </c>
      <c r="P705" s="2143" t="s">
        <v>8793</v>
      </c>
      <c r="Q705" s="2141"/>
      <c r="R705" s="2144">
        <v>25047000</v>
      </c>
      <c r="S705" s="2144">
        <v>30306870</v>
      </c>
      <c r="T705" s="2145"/>
      <c r="U705" s="2145"/>
      <c r="V705" s="2145"/>
      <c r="W705" s="2146">
        <v>44867</v>
      </c>
      <c r="X705" s="2260" t="s">
        <v>13469</v>
      </c>
      <c r="Y705" s="2140">
        <v>44895</v>
      </c>
      <c r="Z705" s="2140">
        <v>44924</v>
      </c>
      <c r="AA705" s="2140">
        <v>45990</v>
      </c>
      <c r="AB705" s="2109" t="s">
        <v>13662</v>
      </c>
      <c r="AC705" s="2109">
        <v>2023</v>
      </c>
      <c r="AD705" s="388">
        <v>2024</v>
      </c>
      <c r="AE705" s="388" t="s">
        <v>10482</v>
      </c>
    </row>
    <row r="706" spans="1:43" ht="30">
      <c r="A706" s="2140">
        <v>44733</v>
      </c>
      <c r="B706" s="2143" t="s">
        <v>12322</v>
      </c>
      <c r="C706" s="2141" t="s">
        <v>2434</v>
      </c>
      <c r="D706" s="2141" t="s">
        <v>751</v>
      </c>
      <c r="E706" s="2142" t="s">
        <v>12320</v>
      </c>
      <c r="F706" s="2141">
        <v>3</v>
      </c>
      <c r="G706" s="2751" t="s">
        <v>12326</v>
      </c>
      <c r="H706" s="2141"/>
      <c r="I706" s="2141" t="s">
        <v>2844</v>
      </c>
      <c r="J706" s="2141"/>
      <c r="K706" s="2607">
        <v>106212660</v>
      </c>
      <c r="L706" s="2141" t="s">
        <v>251</v>
      </c>
      <c r="M706" s="2140">
        <v>44768</v>
      </c>
      <c r="N706" s="2140">
        <v>44802</v>
      </c>
      <c r="O706" s="2140">
        <v>44823</v>
      </c>
      <c r="P706" s="2143" t="s">
        <v>6763</v>
      </c>
      <c r="Q706" s="2141"/>
      <c r="R706" s="2144">
        <v>106212660</v>
      </c>
      <c r="S706" s="2144">
        <v>122144559</v>
      </c>
      <c r="T706" s="2145"/>
      <c r="U706" s="2145"/>
      <c r="V706" s="2145"/>
      <c r="W706" s="2146">
        <v>44823</v>
      </c>
      <c r="X706" s="2260" t="s">
        <v>13106</v>
      </c>
      <c r="Y706" s="2140">
        <v>44853</v>
      </c>
      <c r="Z706" s="2140">
        <v>44865</v>
      </c>
      <c r="AA706" s="2140">
        <v>45948</v>
      </c>
      <c r="AB706" s="2109" t="s">
        <v>13341</v>
      </c>
      <c r="AC706" s="2109">
        <v>2023</v>
      </c>
      <c r="AD706" s="388">
        <v>2024</v>
      </c>
      <c r="AE706" s="388" t="s">
        <v>13342</v>
      </c>
    </row>
    <row r="707" spans="1:43" ht="30.75" thickBot="1">
      <c r="A707" s="2117">
        <v>44733</v>
      </c>
      <c r="B707" s="2120" t="s">
        <v>12323</v>
      </c>
      <c r="C707" s="2118" t="s">
        <v>2434</v>
      </c>
      <c r="D707" s="2118" t="s">
        <v>751</v>
      </c>
      <c r="E707" s="2119" t="s">
        <v>12320</v>
      </c>
      <c r="F707" s="2118">
        <v>4</v>
      </c>
      <c r="G707" s="2752" t="s">
        <v>12327</v>
      </c>
      <c r="H707" s="2118"/>
      <c r="I707" s="2118" t="s">
        <v>2844</v>
      </c>
      <c r="J707" s="2118"/>
      <c r="K707" s="2608">
        <v>67157310</v>
      </c>
      <c r="L707" s="2118" t="s">
        <v>251</v>
      </c>
      <c r="M707" s="2117">
        <v>44768</v>
      </c>
      <c r="N707" s="2117">
        <v>44802</v>
      </c>
      <c r="O707" s="2117">
        <v>44823</v>
      </c>
      <c r="P707" s="2120" t="s">
        <v>6763</v>
      </c>
      <c r="Q707" s="2118"/>
      <c r="R707" s="2121">
        <v>67157310</v>
      </c>
      <c r="S707" s="2121">
        <v>77230906.5</v>
      </c>
      <c r="T707" s="2122"/>
      <c r="U707" s="2122"/>
      <c r="V707" s="2122"/>
      <c r="W707" s="2123">
        <v>44823</v>
      </c>
      <c r="X707" s="2246" t="s">
        <v>13107</v>
      </c>
      <c r="Y707" s="2117">
        <v>44853</v>
      </c>
      <c r="Z707" s="2117">
        <v>44865</v>
      </c>
      <c r="AA707" s="2117">
        <v>45948</v>
      </c>
      <c r="AB707" s="2110" t="s">
        <v>13341</v>
      </c>
      <c r="AC707" s="2110">
        <v>2023</v>
      </c>
      <c r="AD707" s="388">
        <v>2024</v>
      </c>
      <c r="AE707" s="388" t="s">
        <v>13342</v>
      </c>
    </row>
    <row r="708" spans="1:43" ht="15.75" thickTop="1">
      <c r="A708" s="365">
        <v>44733</v>
      </c>
      <c r="B708" s="2699" t="s">
        <v>12330</v>
      </c>
      <c r="C708" s="2698" t="s">
        <v>2434</v>
      </c>
      <c r="D708" s="2698" t="s">
        <v>219</v>
      </c>
      <c r="E708" s="175" t="s">
        <v>12331</v>
      </c>
      <c r="F708" s="2698"/>
      <c r="G708" s="2699"/>
      <c r="H708" s="2698"/>
      <c r="I708" s="2698" t="s">
        <v>421</v>
      </c>
      <c r="J708" s="2698"/>
      <c r="K708" s="364">
        <v>1018000</v>
      </c>
      <c r="L708" s="2698" t="s">
        <v>112</v>
      </c>
      <c r="M708" s="365">
        <v>44736</v>
      </c>
      <c r="N708" s="365">
        <v>44754</v>
      </c>
      <c r="O708" s="365">
        <v>44760</v>
      </c>
      <c r="P708" s="2699" t="s">
        <v>12260</v>
      </c>
      <c r="Q708" s="2698"/>
      <c r="R708" s="364">
        <v>1128090</v>
      </c>
      <c r="S708" s="364">
        <v>1364988.9</v>
      </c>
      <c r="T708" s="1473"/>
      <c r="U708" s="1473"/>
      <c r="V708" s="1473"/>
      <c r="W708" s="681">
        <v>44760</v>
      </c>
      <c r="X708" s="364" t="s">
        <v>12509</v>
      </c>
      <c r="Y708" s="365">
        <v>44789</v>
      </c>
      <c r="Z708" s="365">
        <v>44790</v>
      </c>
      <c r="AA708" s="365">
        <v>44873</v>
      </c>
      <c r="AB708" s="451"/>
      <c r="AC708" s="451" t="s">
        <v>1875</v>
      </c>
    </row>
    <row r="709" spans="1:43" ht="45">
      <c r="A709" s="2140">
        <v>44735</v>
      </c>
      <c r="B709" s="2143" t="s">
        <v>12334</v>
      </c>
      <c r="C709" s="2141" t="s">
        <v>2434</v>
      </c>
      <c r="D709" s="2141" t="s">
        <v>219</v>
      </c>
      <c r="E709" s="2142" t="s">
        <v>12335</v>
      </c>
      <c r="F709" s="2141"/>
      <c r="G709" s="2143"/>
      <c r="H709" s="2141"/>
      <c r="I709" s="2141" t="s">
        <v>1880</v>
      </c>
      <c r="J709" s="2141"/>
      <c r="K709" s="2144">
        <v>17913000</v>
      </c>
      <c r="L709" s="2141" t="s">
        <v>251</v>
      </c>
      <c r="M709" s="2140">
        <v>44739</v>
      </c>
      <c r="N709" s="2140">
        <v>44771</v>
      </c>
      <c r="O709" s="2140">
        <v>44792</v>
      </c>
      <c r="P709" s="2143" t="s">
        <v>2777</v>
      </c>
      <c r="Q709" s="2141"/>
      <c r="R709" s="2144">
        <v>17913000</v>
      </c>
      <c r="S709" s="2144">
        <v>20599950</v>
      </c>
      <c r="T709" s="2145"/>
      <c r="U709" s="2145"/>
      <c r="V709" s="2145"/>
      <c r="W709" s="2146">
        <v>44792</v>
      </c>
      <c r="X709" s="2260" t="s">
        <v>12814</v>
      </c>
      <c r="Y709" s="2140">
        <v>44819</v>
      </c>
      <c r="Z709" s="2140">
        <v>44844</v>
      </c>
      <c r="AA709" s="2140">
        <v>46279</v>
      </c>
      <c r="AB709" s="2109" t="s">
        <v>13129</v>
      </c>
      <c r="AC709" s="2109">
        <v>2023</v>
      </c>
      <c r="AD709" s="388">
        <v>2024</v>
      </c>
      <c r="AE709" s="388">
        <v>2025</v>
      </c>
      <c r="AF709" s="388" t="s">
        <v>13132</v>
      </c>
    </row>
    <row r="710" spans="1:43">
      <c r="A710" s="2140">
        <v>44734</v>
      </c>
      <c r="B710" s="2143" t="s">
        <v>12341</v>
      </c>
      <c r="C710" s="2141" t="s">
        <v>2434</v>
      </c>
      <c r="D710" s="2141" t="s">
        <v>219</v>
      </c>
      <c r="E710" s="2142" t="s">
        <v>12342</v>
      </c>
      <c r="F710" s="2141"/>
      <c r="G710" s="2143"/>
      <c r="H710" s="2141"/>
      <c r="I710" s="2141" t="s">
        <v>642</v>
      </c>
      <c r="J710" s="2141"/>
      <c r="K710" s="2144">
        <v>1297500</v>
      </c>
      <c r="L710" s="2141" t="s">
        <v>112</v>
      </c>
      <c r="M710" s="2140">
        <v>44739</v>
      </c>
      <c r="N710" s="2140">
        <v>44750</v>
      </c>
      <c r="O710" s="2140">
        <v>44757</v>
      </c>
      <c r="P710" s="2143" t="s">
        <v>9404</v>
      </c>
      <c r="Q710" s="2141"/>
      <c r="R710" s="2144">
        <v>1297500</v>
      </c>
      <c r="S710" s="2144">
        <v>1569975</v>
      </c>
      <c r="T710" s="2145"/>
      <c r="U710" s="2145"/>
      <c r="V710" s="2145"/>
      <c r="W710" s="2146">
        <v>44757</v>
      </c>
      <c r="X710" s="2144" t="s">
        <v>12516</v>
      </c>
      <c r="Y710" s="2140">
        <v>44791</v>
      </c>
      <c r="Z710" s="2140">
        <v>44791</v>
      </c>
      <c r="AA710" s="2140">
        <v>45886</v>
      </c>
      <c r="AB710" s="2109" t="s">
        <v>12797</v>
      </c>
      <c r="AC710" s="2109">
        <v>2023</v>
      </c>
      <c r="AD710" s="388">
        <v>2024</v>
      </c>
      <c r="AE710" s="388" t="s">
        <v>12798</v>
      </c>
    </row>
    <row r="711" spans="1:43">
      <c r="A711" s="2124">
        <v>44734</v>
      </c>
      <c r="B711" s="2127" t="s">
        <v>12347</v>
      </c>
      <c r="C711" s="2125" t="s">
        <v>2111</v>
      </c>
      <c r="D711" s="2125" t="s">
        <v>9080</v>
      </c>
      <c r="E711" s="2126" t="s">
        <v>12348</v>
      </c>
      <c r="F711" s="2125"/>
      <c r="G711" s="2127"/>
      <c r="H711" s="2125"/>
      <c r="I711" s="2125" t="s">
        <v>2967</v>
      </c>
      <c r="J711" s="2125"/>
      <c r="K711" s="2128">
        <v>4851200</v>
      </c>
      <c r="L711" s="2125" t="s">
        <v>251</v>
      </c>
      <c r="M711" s="2124">
        <v>44743</v>
      </c>
      <c r="N711" s="2124">
        <v>44797</v>
      </c>
      <c r="O711" s="2125"/>
      <c r="P711" s="2136" t="s">
        <v>9147</v>
      </c>
      <c r="Q711" s="2739"/>
      <c r="R711" s="2128"/>
      <c r="S711" s="2128"/>
      <c r="T711" s="2129"/>
      <c r="U711" s="2129"/>
      <c r="V711" s="2129"/>
      <c r="W711" s="2128"/>
      <c r="X711" s="2128"/>
      <c r="Y711" s="2125"/>
      <c r="Z711" s="2124">
        <v>44883</v>
      </c>
      <c r="AA711" s="2127" t="s">
        <v>13417</v>
      </c>
      <c r="AB711" s="2125"/>
      <c r="AC711" s="2125"/>
    </row>
    <row r="712" spans="1:43" ht="30">
      <c r="A712" s="2140">
        <v>44739</v>
      </c>
      <c r="B712" s="2143" t="s">
        <v>12359</v>
      </c>
      <c r="C712" s="2141" t="s">
        <v>58</v>
      </c>
      <c r="D712" s="2141" t="s">
        <v>4969</v>
      </c>
      <c r="E712" s="2142" t="s">
        <v>8967</v>
      </c>
      <c r="F712" s="2141"/>
      <c r="G712" s="2143"/>
      <c r="H712" s="2141"/>
      <c r="I712" s="2141" t="s">
        <v>1924</v>
      </c>
      <c r="J712" s="2141" t="s">
        <v>12360</v>
      </c>
      <c r="K712" s="2144">
        <v>156700</v>
      </c>
      <c r="L712" s="2141" t="s">
        <v>112</v>
      </c>
      <c r="M712" s="2140">
        <v>44743</v>
      </c>
      <c r="N712" s="2140">
        <v>44756</v>
      </c>
      <c r="O712" s="2140">
        <v>44763</v>
      </c>
      <c r="P712" s="2143" t="s">
        <v>11488</v>
      </c>
      <c r="Q712" s="2141"/>
      <c r="R712" s="2144">
        <v>147050</v>
      </c>
      <c r="S712" s="2144">
        <v>177930.5</v>
      </c>
      <c r="T712" s="2145"/>
      <c r="U712" s="2145"/>
      <c r="V712" s="2145"/>
      <c r="W712" s="2146">
        <v>44763</v>
      </c>
      <c r="X712" s="2260" t="s">
        <v>12566</v>
      </c>
      <c r="Y712" s="2140">
        <v>44783</v>
      </c>
      <c r="Z712" s="2140">
        <v>44788</v>
      </c>
      <c r="AA712" s="2140" t="s">
        <v>12723</v>
      </c>
      <c r="AB712" s="2140">
        <v>44872</v>
      </c>
      <c r="AC712" s="2109" t="s">
        <v>1875</v>
      </c>
    </row>
    <row r="713" spans="1:43" s="390" customFormat="1">
      <c r="A713" s="2140">
        <v>44739</v>
      </c>
      <c r="B713" s="2143" t="s">
        <v>12364</v>
      </c>
      <c r="C713" s="2141" t="s">
        <v>14</v>
      </c>
      <c r="D713" s="2141" t="s">
        <v>13</v>
      </c>
      <c r="E713" s="2142" t="s">
        <v>12365</v>
      </c>
      <c r="F713" s="2141"/>
      <c r="G713" s="2143"/>
      <c r="H713" s="2141"/>
      <c r="I713" s="2141" t="s">
        <v>3362</v>
      </c>
      <c r="J713" s="2141" t="s">
        <v>12366</v>
      </c>
      <c r="K713" s="2144">
        <v>4620000</v>
      </c>
      <c r="L713" s="2141" t="s">
        <v>251</v>
      </c>
      <c r="M713" s="2140">
        <v>44743</v>
      </c>
      <c r="N713" s="2140">
        <v>44777</v>
      </c>
      <c r="O713" s="2140">
        <v>44788</v>
      </c>
      <c r="P713" s="2143" t="s">
        <v>3915</v>
      </c>
      <c r="Q713" s="2141"/>
      <c r="R713" s="2144">
        <v>4717616</v>
      </c>
      <c r="S713" s="2144">
        <v>5708315.3600000003</v>
      </c>
      <c r="T713" s="2145"/>
      <c r="U713" s="2145"/>
      <c r="V713" s="2145"/>
      <c r="W713" s="2146">
        <v>44788</v>
      </c>
      <c r="X713" s="2144" t="s">
        <v>12759</v>
      </c>
      <c r="Y713" s="2140">
        <v>44792</v>
      </c>
      <c r="Z713" s="2140">
        <v>44797</v>
      </c>
      <c r="AA713" s="2140">
        <v>45156</v>
      </c>
      <c r="AB713" s="2109"/>
      <c r="AC713" s="2106"/>
      <c r="AD713" s="360"/>
      <c r="AE713" s="360"/>
      <c r="AF713" s="360"/>
      <c r="AG713" s="360"/>
      <c r="AH713" s="360"/>
      <c r="AI713" s="360"/>
      <c r="AJ713" s="360"/>
      <c r="AK713" s="360"/>
      <c r="AL713" s="360"/>
      <c r="AM713" s="360"/>
      <c r="AN713" s="360"/>
      <c r="AO713" s="360"/>
      <c r="AP713" s="360"/>
      <c r="AQ713" s="360"/>
    </row>
    <row r="714" spans="1:43" ht="15.75" thickBot="1">
      <c r="A714" s="2740">
        <v>44736</v>
      </c>
      <c r="B714" s="2741" t="s">
        <v>12362</v>
      </c>
      <c r="C714" s="2742" t="s">
        <v>69</v>
      </c>
      <c r="D714" s="2742" t="s">
        <v>70</v>
      </c>
      <c r="E714" s="2743" t="s">
        <v>12363</v>
      </c>
      <c r="F714" s="2742"/>
      <c r="G714" s="2741"/>
      <c r="H714" s="2742"/>
      <c r="I714" s="2742" t="s">
        <v>42</v>
      </c>
      <c r="J714" s="2742" t="s">
        <v>12383</v>
      </c>
      <c r="K714" s="2744">
        <v>29700000</v>
      </c>
      <c r="L714" s="2742" t="s">
        <v>251</v>
      </c>
      <c r="M714" s="2740">
        <v>44806</v>
      </c>
      <c r="N714" s="2740">
        <v>44846</v>
      </c>
      <c r="O714" s="2742"/>
      <c r="P714" s="2741"/>
      <c r="Q714" s="2742"/>
      <c r="R714" s="2744"/>
      <c r="S714" s="2744"/>
      <c r="T714" s="2745"/>
      <c r="U714" s="2745"/>
      <c r="V714" s="2745"/>
      <c r="W714" s="2744"/>
      <c r="X714" s="2744"/>
      <c r="Y714" s="2742"/>
      <c r="Z714" s="2742"/>
      <c r="AA714" s="2742"/>
      <c r="AB714" s="2742"/>
      <c r="AC714" s="2742"/>
    </row>
    <row r="715" spans="1:43" ht="15.75" thickTop="1">
      <c r="A715" s="443">
        <v>44740</v>
      </c>
      <c r="B715" s="1431" t="s">
        <v>12373</v>
      </c>
      <c r="C715" s="439" t="s">
        <v>69</v>
      </c>
      <c r="D715" s="439" t="s">
        <v>70</v>
      </c>
      <c r="E715" s="440" t="s">
        <v>12377</v>
      </c>
      <c r="F715" s="439">
        <v>1</v>
      </c>
      <c r="G715" s="1431" t="s">
        <v>12378</v>
      </c>
      <c r="H715" s="583"/>
      <c r="I715" s="439" t="s">
        <v>12382</v>
      </c>
      <c r="J715" s="439"/>
      <c r="K715" s="444">
        <v>958983</v>
      </c>
      <c r="L715" s="439" t="s">
        <v>251</v>
      </c>
      <c r="M715" s="443">
        <v>44757</v>
      </c>
      <c r="N715" s="443">
        <v>44791</v>
      </c>
      <c r="O715" s="439"/>
      <c r="P715" s="753" t="s">
        <v>304</v>
      </c>
      <c r="Q715" s="439"/>
      <c r="R715" s="444"/>
      <c r="S715" s="444"/>
      <c r="T715" s="1483"/>
      <c r="U715" s="1483"/>
      <c r="V715" s="1483"/>
      <c r="W715" s="444"/>
      <c r="X715" s="444"/>
      <c r="Y715" s="439"/>
      <c r="Z715" s="443">
        <v>44847</v>
      </c>
      <c r="AA715" s="1431" t="s">
        <v>13224</v>
      </c>
      <c r="AB715" s="439"/>
      <c r="AC715" s="439"/>
    </row>
    <row r="716" spans="1:43">
      <c r="A716" s="2124">
        <v>44740</v>
      </c>
      <c r="B716" s="2127" t="s">
        <v>12374</v>
      </c>
      <c r="C716" s="2125" t="s">
        <v>69</v>
      </c>
      <c r="D716" s="2125" t="s">
        <v>70</v>
      </c>
      <c r="E716" s="2126" t="s">
        <v>12377</v>
      </c>
      <c r="F716" s="2125">
        <v>2</v>
      </c>
      <c r="G716" s="2127" t="s">
        <v>12379</v>
      </c>
      <c r="H716" s="2085"/>
      <c r="I716" s="2125" t="s">
        <v>12382</v>
      </c>
      <c r="J716" s="2125"/>
      <c r="K716" s="2128">
        <v>4291155</v>
      </c>
      <c r="L716" s="2125" t="s">
        <v>251</v>
      </c>
      <c r="M716" s="2124">
        <v>44757</v>
      </c>
      <c r="N716" s="2124">
        <v>44791</v>
      </c>
      <c r="O716" s="2125"/>
      <c r="P716" s="2136" t="s">
        <v>304</v>
      </c>
      <c r="Q716" s="2125"/>
      <c r="R716" s="2128"/>
      <c r="S716" s="2128"/>
      <c r="T716" s="2094"/>
      <c r="U716" s="2094"/>
      <c r="V716" s="2094"/>
      <c r="W716" s="2128"/>
      <c r="X716" s="2128"/>
      <c r="Y716" s="2125"/>
      <c r="Z716" s="2124">
        <v>44847</v>
      </c>
      <c r="AA716" s="2127" t="s">
        <v>13224</v>
      </c>
      <c r="AB716" s="2125"/>
      <c r="AC716" s="2125"/>
    </row>
    <row r="717" spans="1:43">
      <c r="A717" s="2140">
        <v>44740</v>
      </c>
      <c r="B717" s="2143" t="s">
        <v>12375</v>
      </c>
      <c r="C717" s="2141" t="s">
        <v>69</v>
      </c>
      <c r="D717" s="2141" t="s">
        <v>70</v>
      </c>
      <c r="E717" s="2142" t="s">
        <v>12377</v>
      </c>
      <c r="F717" s="2141">
        <v>3</v>
      </c>
      <c r="G717" s="2143" t="s">
        <v>12380</v>
      </c>
      <c r="H717" s="2141"/>
      <c r="I717" s="2141" t="s">
        <v>12382</v>
      </c>
      <c r="J717" s="2141"/>
      <c r="K717" s="2144">
        <v>1852032</v>
      </c>
      <c r="L717" s="2141" t="s">
        <v>251</v>
      </c>
      <c r="M717" s="2140">
        <v>44757</v>
      </c>
      <c r="N717" s="2140">
        <v>44791</v>
      </c>
      <c r="O717" s="2140">
        <v>44823</v>
      </c>
      <c r="P717" s="2143" t="s">
        <v>576</v>
      </c>
      <c r="Q717" s="2141"/>
      <c r="R717" s="2144">
        <v>1851866.64</v>
      </c>
      <c r="S717" s="2144">
        <v>2037053.3</v>
      </c>
      <c r="T717" s="2145"/>
      <c r="U717" s="2145"/>
      <c r="V717" s="2145"/>
      <c r="W717" s="2146">
        <v>44823</v>
      </c>
      <c r="X717" s="2144" t="s">
        <v>13090</v>
      </c>
      <c r="Y717" s="2140">
        <v>44845</v>
      </c>
      <c r="Z717" s="2140">
        <v>44847</v>
      </c>
      <c r="AA717" s="2140">
        <v>45940</v>
      </c>
      <c r="AB717" s="2109" t="s">
        <v>13278</v>
      </c>
      <c r="AC717" s="2109">
        <v>2023</v>
      </c>
      <c r="AD717" s="388">
        <v>2024</v>
      </c>
      <c r="AE717" s="388" t="s">
        <v>13279</v>
      </c>
    </row>
    <row r="718" spans="1:43" ht="15.75" thickBot="1">
      <c r="A718" s="2117">
        <v>44740</v>
      </c>
      <c r="B718" s="2120" t="s">
        <v>12376</v>
      </c>
      <c r="C718" s="2118" t="s">
        <v>69</v>
      </c>
      <c r="D718" s="2118" t="s">
        <v>70</v>
      </c>
      <c r="E718" s="2119" t="s">
        <v>12377</v>
      </c>
      <c r="F718" s="2118">
        <v>4</v>
      </c>
      <c r="G718" s="2120" t="s">
        <v>12381</v>
      </c>
      <c r="H718" s="2118"/>
      <c r="I718" s="2118" t="s">
        <v>12382</v>
      </c>
      <c r="J718" s="2118"/>
      <c r="K718" s="2121">
        <v>3157726</v>
      </c>
      <c r="L718" s="2118" t="s">
        <v>251</v>
      </c>
      <c r="M718" s="2117">
        <v>44757</v>
      </c>
      <c r="N718" s="2117">
        <v>44791</v>
      </c>
      <c r="O718" s="2117">
        <v>44823</v>
      </c>
      <c r="P718" s="2120" t="s">
        <v>576</v>
      </c>
      <c r="Q718" s="2118"/>
      <c r="R718" s="2121">
        <v>3104761.62</v>
      </c>
      <c r="S718" s="2121">
        <v>3415237.78</v>
      </c>
      <c r="T718" s="2122"/>
      <c r="U718" s="2122"/>
      <c r="V718" s="2122"/>
      <c r="W718" s="2123">
        <v>44823</v>
      </c>
      <c r="X718" s="2121" t="s">
        <v>13091</v>
      </c>
      <c r="Y718" s="2117">
        <v>44845</v>
      </c>
      <c r="Z718" s="2117">
        <v>44847</v>
      </c>
      <c r="AA718" s="2117">
        <v>45940</v>
      </c>
      <c r="AB718" s="2110" t="s">
        <v>13278</v>
      </c>
      <c r="AC718" s="2110">
        <v>2023</v>
      </c>
      <c r="AD718" s="388">
        <v>2024</v>
      </c>
      <c r="AE718" s="388" t="s">
        <v>13279</v>
      </c>
    </row>
    <row r="719" spans="1:43" ht="16.5" thickTop="1" thickBot="1">
      <c r="A719" s="498">
        <v>44740</v>
      </c>
      <c r="B719" s="669" t="s">
        <v>12384</v>
      </c>
      <c r="C719" s="232" t="s">
        <v>69</v>
      </c>
      <c r="D719" s="232" t="s">
        <v>70</v>
      </c>
      <c r="E719" s="274" t="s">
        <v>12385</v>
      </c>
      <c r="F719" s="232"/>
      <c r="G719" s="669"/>
      <c r="H719" s="232"/>
      <c r="I719" s="232" t="s">
        <v>3237</v>
      </c>
      <c r="J719" s="232"/>
      <c r="K719" s="499">
        <v>8941954</v>
      </c>
      <c r="L719" s="232" t="s">
        <v>251</v>
      </c>
      <c r="M719" s="498">
        <v>44757</v>
      </c>
      <c r="N719" s="498">
        <v>44791</v>
      </c>
      <c r="O719" s="498">
        <v>44820</v>
      </c>
      <c r="P719" s="669" t="s">
        <v>576</v>
      </c>
      <c r="Q719" s="232"/>
      <c r="R719" s="499">
        <v>8657416.5</v>
      </c>
      <c r="S719" s="499">
        <v>9523158.1500000004</v>
      </c>
      <c r="T719" s="1545"/>
      <c r="U719" s="1545"/>
      <c r="V719" s="1545"/>
      <c r="W719" s="682">
        <v>44820</v>
      </c>
      <c r="X719" s="499" t="s">
        <v>13087</v>
      </c>
      <c r="Y719" s="498">
        <v>44845</v>
      </c>
      <c r="Z719" s="498">
        <v>44846</v>
      </c>
      <c r="AA719" s="498">
        <v>45940</v>
      </c>
      <c r="AB719" s="2110" t="s">
        <v>13278</v>
      </c>
      <c r="AC719" s="2110">
        <v>2023</v>
      </c>
      <c r="AD719" s="388">
        <v>2024</v>
      </c>
      <c r="AE719" s="388" t="s">
        <v>13279</v>
      </c>
    </row>
    <row r="720" spans="1:43" ht="15.75" thickTop="1">
      <c r="A720" s="474">
        <v>44741</v>
      </c>
      <c r="B720" s="1420" t="s">
        <v>12386</v>
      </c>
      <c r="C720" s="453" t="s">
        <v>69</v>
      </c>
      <c r="D720" s="453" t="s">
        <v>70</v>
      </c>
      <c r="E720" s="473" t="s">
        <v>12388</v>
      </c>
      <c r="F720" s="453">
        <v>1</v>
      </c>
      <c r="G720" s="1420" t="s">
        <v>12389</v>
      </c>
      <c r="H720" s="453"/>
      <c r="I720" s="453" t="s">
        <v>3225</v>
      </c>
      <c r="J720" s="453"/>
      <c r="K720" s="457">
        <v>105064</v>
      </c>
      <c r="L720" s="453" t="s">
        <v>112</v>
      </c>
      <c r="M720" s="474">
        <v>44757</v>
      </c>
      <c r="N720" s="474">
        <v>44768</v>
      </c>
      <c r="O720" s="474">
        <v>44784</v>
      </c>
      <c r="P720" s="1420" t="s">
        <v>16350</v>
      </c>
      <c r="Q720" s="453"/>
      <c r="R720" s="457">
        <v>60660</v>
      </c>
      <c r="S720" s="457">
        <v>66726</v>
      </c>
      <c r="T720" s="1474"/>
      <c r="U720" s="1474"/>
      <c r="V720" s="1474"/>
      <c r="W720" s="570">
        <v>44784</v>
      </c>
      <c r="X720" s="457" t="s">
        <v>12751</v>
      </c>
      <c r="Y720" s="474">
        <v>44811</v>
      </c>
      <c r="Z720" s="474">
        <v>44816</v>
      </c>
      <c r="AA720" s="474">
        <v>45906</v>
      </c>
      <c r="AB720" s="1841">
        <v>44811</v>
      </c>
      <c r="AC720" s="1391">
        <v>2023</v>
      </c>
      <c r="AD720" s="388">
        <v>2024</v>
      </c>
      <c r="AE720" s="388" t="s">
        <v>9814</v>
      </c>
    </row>
    <row r="721" spans="1:32" ht="15.75" thickBot="1">
      <c r="A721" s="2117">
        <v>44741</v>
      </c>
      <c r="B721" s="2120" t="s">
        <v>12387</v>
      </c>
      <c r="C721" s="2118" t="s">
        <v>69</v>
      </c>
      <c r="D721" s="2118" t="s">
        <v>70</v>
      </c>
      <c r="E721" s="2119" t="s">
        <v>12388</v>
      </c>
      <c r="F721" s="2118">
        <v>2</v>
      </c>
      <c r="G721" s="2120" t="s">
        <v>12390</v>
      </c>
      <c r="H721" s="2118"/>
      <c r="I721" s="2118" t="s">
        <v>3225</v>
      </c>
      <c r="J721" s="2118"/>
      <c r="K721" s="2121">
        <v>1575000</v>
      </c>
      <c r="L721" s="2118" t="s">
        <v>112</v>
      </c>
      <c r="M721" s="2117">
        <v>44757</v>
      </c>
      <c r="N721" s="2117">
        <v>44768</v>
      </c>
      <c r="O721" s="2117">
        <v>44784</v>
      </c>
      <c r="P721" s="2120" t="s">
        <v>16350</v>
      </c>
      <c r="Q721" s="2118"/>
      <c r="R721" s="2121">
        <v>1452559.5</v>
      </c>
      <c r="S721" s="2121">
        <v>1597815.45</v>
      </c>
      <c r="T721" s="2122"/>
      <c r="U721" s="2122"/>
      <c r="V721" s="2122"/>
      <c r="W721" s="2123">
        <v>44784</v>
      </c>
      <c r="X721" s="2121" t="s">
        <v>12752</v>
      </c>
      <c r="Y721" s="2117">
        <v>44811</v>
      </c>
      <c r="Z721" s="2117">
        <v>44816</v>
      </c>
      <c r="AA721" s="2117">
        <v>45906</v>
      </c>
      <c r="AB721" s="2710">
        <v>44811</v>
      </c>
      <c r="AC721" s="2110">
        <v>2023</v>
      </c>
      <c r="AD721" s="388">
        <v>2024</v>
      </c>
      <c r="AE721" s="388" t="s">
        <v>9814</v>
      </c>
    </row>
    <row r="722" spans="1:32" ht="15.75" thickTop="1">
      <c r="A722" s="443">
        <v>44741</v>
      </c>
      <c r="B722" s="1431" t="s">
        <v>12391</v>
      </c>
      <c r="C722" s="439" t="s">
        <v>69</v>
      </c>
      <c r="D722" s="439" t="s">
        <v>70</v>
      </c>
      <c r="E722" s="440" t="s">
        <v>12396</v>
      </c>
      <c r="F722" s="439">
        <v>1</v>
      </c>
      <c r="G722" s="1431" t="s">
        <v>12397</v>
      </c>
      <c r="H722" s="583"/>
      <c r="I722" s="439" t="s">
        <v>4188</v>
      </c>
      <c r="J722" s="439"/>
      <c r="K722" s="444">
        <v>115534</v>
      </c>
      <c r="L722" s="439" t="s">
        <v>216</v>
      </c>
      <c r="M722" s="443">
        <v>44764</v>
      </c>
      <c r="N722" s="443">
        <v>44784</v>
      </c>
      <c r="O722" s="439"/>
      <c r="P722" s="753" t="s">
        <v>304</v>
      </c>
      <c r="Q722" s="439"/>
      <c r="R722" s="444"/>
      <c r="S722" s="444"/>
      <c r="T722" s="1483"/>
      <c r="U722" s="1483"/>
      <c r="V722" s="1483"/>
      <c r="W722" s="444"/>
      <c r="X722" s="444"/>
      <c r="Y722" s="439"/>
      <c r="Z722" s="443">
        <v>44868</v>
      </c>
      <c r="AA722" s="1431" t="s">
        <v>13257</v>
      </c>
      <c r="AB722" s="439"/>
      <c r="AC722" s="439"/>
    </row>
    <row r="723" spans="1:32">
      <c r="A723" s="365">
        <v>44741</v>
      </c>
      <c r="B723" s="2768" t="s">
        <v>12392</v>
      </c>
      <c r="C723" s="2141" t="s">
        <v>69</v>
      </c>
      <c r="D723" s="2141" t="s">
        <v>70</v>
      </c>
      <c r="E723" s="2142" t="s">
        <v>12396</v>
      </c>
      <c r="F723" s="2141">
        <v>2</v>
      </c>
      <c r="G723" s="2143" t="s">
        <v>12398</v>
      </c>
      <c r="H723" s="2141"/>
      <c r="I723" s="2767" t="s">
        <v>4188</v>
      </c>
      <c r="J723" s="2141"/>
      <c r="K723" s="2144">
        <v>259347</v>
      </c>
      <c r="L723" s="2141" t="s">
        <v>216</v>
      </c>
      <c r="M723" s="2140">
        <v>44764</v>
      </c>
      <c r="N723" s="2140">
        <v>44784</v>
      </c>
      <c r="O723" s="2140">
        <v>44845</v>
      </c>
      <c r="P723" s="2143" t="s">
        <v>576</v>
      </c>
      <c r="Q723" s="2141"/>
      <c r="R723" s="2144">
        <v>256413.08</v>
      </c>
      <c r="S723" s="2144">
        <v>282054.39</v>
      </c>
      <c r="T723" s="2145"/>
      <c r="U723" s="2145"/>
      <c r="V723" s="2145"/>
      <c r="W723" s="2146">
        <v>44845</v>
      </c>
      <c r="X723" s="2144" t="s">
        <v>13258</v>
      </c>
      <c r="Y723" s="2140">
        <v>44875</v>
      </c>
      <c r="Z723" s="2140">
        <v>44895</v>
      </c>
      <c r="AA723" s="2140">
        <v>46335</v>
      </c>
      <c r="AB723" s="2109" t="s">
        <v>13521</v>
      </c>
      <c r="AC723" s="2109">
        <v>2023</v>
      </c>
      <c r="AD723" s="388">
        <v>2024</v>
      </c>
      <c r="AE723" s="388">
        <v>2025</v>
      </c>
      <c r="AF723" s="388" t="s">
        <v>13523</v>
      </c>
    </row>
    <row r="724" spans="1:32">
      <c r="A724" s="365">
        <v>44741</v>
      </c>
      <c r="B724" s="2768" t="s">
        <v>12393</v>
      </c>
      <c r="C724" s="2141" t="s">
        <v>69</v>
      </c>
      <c r="D724" s="2141" t="s">
        <v>70</v>
      </c>
      <c r="E724" s="175" t="s">
        <v>12396</v>
      </c>
      <c r="F724" s="2141">
        <v>3</v>
      </c>
      <c r="G724" s="2143" t="s">
        <v>12399</v>
      </c>
      <c r="H724" s="2141"/>
      <c r="I724" s="2767" t="s">
        <v>4188</v>
      </c>
      <c r="J724" s="2141"/>
      <c r="K724" s="2144">
        <v>41288</v>
      </c>
      <c r="L724" s="2141" t="s">
        <v>216</v>
      </c>
      <c r="M724" s="2140">
        <v>44764</v>
      </c>
      <c r="N724" s="2140">
        <v>44784</v>
      </c>
      <c r="O724" s="2140">
        <v>44845</v>
      </c>
      <c r="P724" s="2143" t="s">
        <v>576</v>
      </c>
      <c r="Q724" s="2141"/>
      <c r="R724" s="2144">
        <v>40123.919999999998</v>
      </c>
      <c r="S724" s="2144">
        <v>44136.31</v>
      </c>
      <c r="T724" s="2145"/>
      <c r="U724" s="2145"/>
      <c r="V724" s="2145"/>
      <c r="W724" s="2146">
        <v>44845</v>
      </c>
      <c r="X724" s="2144" t="s">
        <v>13259</v>
      </c>
      <c r="Y724" s="2140">
        <v>44875</v>
      </c>
      <c r="Z724" s="2140">
        <v>44895</v>
      </c>
      <c r="AA724" s="2140">
        <v>46335</v>
      </c>
      <c r="AB724" s="2109" t="s">
        <v>13521</v>
      </c>
      <c r="AC724" s="2109">
        <v>2023</v>
      </c>
      <c r="AD724" s="388">
        <v>2024</v>
      </c>
      <c r="AE724" s="388">
        <v>2025</v>
      </c>
      <c r="AF724" s="388" t="s">
        <v>13523</v>
      </c>
    </row>
    <row r="725" spans="1:32">
      <c r="A725" s="365">
        <v>44741</v>
      </c>
      <c r="B725" s="2788" t="s">
        <v>12394</v>
      </c>
      <c r="C725" s="2141" t="s">
        <v>69</v>
      </c>
      <c r="D725" s="2141" t="s">
        <v>70</v>
      </c>
      <c r="E725" s="2142" t="s">
        <v>12396</v>
      </c>
      <c r="F725" s="2141">
        <v>4</v>
      </c>
      <c r="G725" s="2143" t="s">
        <v>12400</v>
      </c>
      <c r="H725" s="2141"/>
      <c r="I725" s="2787" t="s">
        <v>4188</v>
      </c>
      <c r="J725" s="2141"/>
      <c r="K725" s="2144">
        <v>471626</v>
      </c>
      <c r="L725" s="2141" t="s">
        <v>216</v>
      </c>
      <c r="M725" s="2140">
        <v>44764</v>
      </c>
      <c r="N725" s="2140">
        <v>44784</v>
      </c>
      <c r="O725" s="2140">
        <v>44845</v>
      </c>
      <c r="P725" s="2143" t="s">
        <v>2548</v>
      </c>
      <c r="Q725" s="2141"/>
      <c r="R725" s="2144">
        <v>515393.32</v>
      </c>
      <c r="S725" s="2144">
        <v>566932.65</v>
      </c>
      <c r="T725" s="2145"/>
      <c r="U725" s="2145"/>
      <c r="V725" s="2145"/>
      <c r="W725" s="2146">
        <v>44845</v>
      </c>
      <c r="X725" s="2144" t="s">
        <v>13260</v>
      </c>
      <c r="Y725" s="2140">
        <v>44893</v>
      </c>
      <c r="Z725" s="2140">
        <v>44895</v>
      </c>
      <c r="AA725" s="2140">
        <v>46353</v>
      </c>
      <c r="AB725" s="2109" t="s">
        <v>13635</v>
      </c>
      <c r="AC725" s="2109">
        <v>2023</v>
      </c>
      <c r="AD725" s="388">
        <v>2024</v>
      </c>
      <c r="AE725" s="388">
        <v>2025</v>
      </c>
      <c r="AF725" s="388" t="s">
        <v>13637</v>
      </c>
    </row>
    <row r="726" spans="1:32" ht="15.75" thickBot="1">
      <c r="A726" s="675">
        <v>44741</v>
      </c>
      <c r="B726" s="1983" t="s">
        <v>12395</v>
      </c>
      <c r="C726" s="2118" t="s">
        <v>69</v>
      </c>
      <c r="D726" s="2118" t="s">
        <v>70</v>
      </c>
      <c r="E726" s="672" t="s">
        <v>12396</v>
      </c>
      <c r="F726" s="2118">
        <v>5</v>
      </c>
      <c r="G726" s="2120" t="s">
        <v>12401</v>
      </c>
      <c r="H726" s="2118"/>
      <c r="I726" s="517" t="s">
        <v>4188</v>
      </c>
      <c r="J726" s="2118"/>
      <c r="K726" s="2121">
        <v>1392000</v>
      </c>
      <c r="L726" s="2118" t="s">
        <v>216</v>
      </c>
      <c r="M726" s="2117">
        <v>44764</v>
      </c>
      <c r="N726" s="2117">
        <v>44784</v>
      </c>
      <c r="O726" s="2117">
        <v>44845</v>
      </c>
      <c r="P726" s="2120" t="s">
        <v>8856</v>
      </c>
      <c r="Q726" s="2118"/>
      <c r="R726" s="2121">
        <v>1392000</v>
      </c>
      <c r="S726" s="2121">
        <v>1531200</v>
      </c>
      <c r="T726" s="2122"/>
      <c r="U726" s="2122"/>
      <c r="V726" s="2122"/>
      <c r="W726" s="2123">
        <v>44845</v>
      </c>
      <c r="X726" s="2121" t="s">
        <v>13261</v>
      </c>
      <c r="Y726" s="2117">
        <v>44869</v>
      </c>
      <c r="Z726" s="2117">
        <v>44895</v>
      </c>
      <c r="AA726" s="2117">
        <v>46329</v>
      </c>
      <c r="AB726" s="2110" t="s">
        <v>13485</v>
      </c>
      <c r="AC726" s="2110">
        <v>2023</v>
      </c>
      <c r="AD726" s="388">
        <v>2024</v>
      </c>
      <c r="AE726" s="388">
        <v>2025</v>
      </c>
      <c r="AF726" s="388" t="s">
        <v>13486</v>
      </c>
    </row>
    <row r="727" spans="1:32" ht="15.75" thickTop="1">
      <c r="A727" s="474" t="s">
        <v>3585</v>
      </c>
      <c r="B727" s="1420" t="s">
        <v>12411</v>
      </c>
      <c r="C727" s="453" t="s">
        <v>289</v>
      </c>
      <c r="D727" s="453" t="s">
        <v>6509</v>
      </c>
      <c r="E727" s="473" t="s">
        <v>12413</v>
      </c>
      <c r="F727" s="453">
        <v>1</v>
      </c>
      <c r="G727" s="1420" t="s">
        <v>4460</v>
      </c>
      <c r="H727" s="453"/>
      <c r="I727" s="453" t="s">
        <v>11465</v>
      </c>
      <c r="J727" s="453" t="s">
        <v>11464</v>
      </c>
      <c r="K727" s="457">
        <v>3250000</v>
      </c>
      <c r="L727" s="453" t="s">
        <v>251</v>
      </c>
      <c r="M727" s="474">
        <v>44768</v>
      </c>
      <c r="N727" s="474">
        <v>44803</v>
      </c>
      <c r="O727" s="474">
        <v>44812</v>
      </c>
      <c r="P727" s="1420" t="s">
        <v>5385</v>
      </c>
      <c r="Q727" s="453"/>
      <c r="R727" s="457">
        <v>2992000</v>
      </c>
      <c r="S727" s="457">
        <v>3620320</v>
      </c>
      <c r="T727" s="1474"/>
      <c r="U727" s="1474"/>
      <c r="V727" s="1474"/>
      <c r="W727" s="570">
        <v>44812</v>
      </c>
      <c r="X727" s="457" t="s">
        <v>13023</v>
      </c>
      <c r="Y727" s="474">
        <v>44869</v>
      </c>
      <c r="Z727" s="474">
        <v>44876</v>
      </c>
      <c r="AA727" s="474">
        <v>45234</v>
      </c>
      <c r="AB727" s="1391"/>
      <c r="AC727" s="1393"/>
    </row>
    <row r="728" spans="1:32" ht="15.75" thickBot="1">
      <c r="A728" s="2117" t="s">
        <v>3585</v>
      </c>
      <c r="B728" s="2120" t="s">
        <v>12412</v>
      </c>
      <c r="C728" s="2118" t="s">
        <v>289</v>
      </c>
      <c r="D728" s="2118" t="s">
        <v>6509</v>
      </c>
      <c r="E728" s="2119" t="s">
        <v>12413</v>
      </c>
      <c r="F728" s="2118">
        <v>2</v>
      </c>
      <c r="G728" s="2120" t="s">
        <v>12075</v>
      </c>
      <c r="H728" s="2118"/>
      <c r="I728" s="2118" t="s">
        <v>11465</v>
      </c>
      <c r="J728" s="2118" t="s">
        <v>11464</v>
      </c>
      <c r="K728" s="2121">
        <v>1708000</v>
      </c>
      <c r="L728" s="2118" t="s">
        <v>251</v>
      </c>
      <c r="M728" s="2117">
        <v>44768</v>
      </c>
      <c r="N728" s="2117">
        <v>44803</v>
      </c>
      <c r="O728" s="2117">
        <v>44812</v>
      </c>
      <c r="P728" s="2120" t="s">
        <v>5385</v>
      </c>
      <c r="Q728" s="2118"/>
      <c r="R728" s="2121">
        <v>1586000</v>
      </c>
      <c r="S728" s="2121">
        <v>1919060</v>
      </c>
      <c r="T728" s="2122"/>
      <c r="U728" s="2122"/>
      <c r="V728" s="2122"/>
      <c r="W728" s="2123">
        <v>44812</v>
      </c>
      <c r="X728" s="2121" t="s">
        <v>13024</v>
      </c>
      <c r="Y728" s="2117">
        <v>44869</v>
      </c>
      <c r="Z728" s="2117">
        <v>44876</v>
      </c>
      <c r="AA728" s="2117">
        <v>45234</v>
      </c>
      <c r="AB728" s="2110"/>
      <c r="AC728" s="2108"/>
    </row>
    <row r="729" spans="1:32" ht="16.5" thickTop="1" thickBot="1">
      <c r="A729" s="498">
        <v>44741</v>
      </c>
      <c r="B729" s="669" t="s">
        <v>12403</v>
      </c>
      <c r="C729" s="232" t="s">
        <v>69</v>
      </c>
      <c r="D729" s="232" t="s">
        <v>70</v>
      </c>
      <c r="E729" s="274" t="s">
        <v>12402</v>
      </c>
      <c r="F729" s="232"/>
      <c r="G729" s="669"/>
      <c r="H729" s="232"/>
      <c r="I729" s="232" t="s">
        <v>816</v>
      </c>
      <c r="J729" s="232"/>
      <c r="K729" s="499">
        <v>1384722</v>
      </c>
      <c r="L729" s="232" t="s">
        <v>112</v>
      </c>
      <c r="M729" s="498">
        <v>44757</v>
      </c>
      <c r="N729" s="498">
        <v>44769</v>
      </c>
      <c r="O729" s="498">
        <v>44784</v>
      </c>
      <c r="P729" s="669" t="s">
        <v>576</v>
      </c>
      <c r="Q729" s="232"/>
      <c r="R729" s="499">
        <v>1369268.64</v>
      </c>
      <c r="S729" s="499">
        <v>1506195.5</v>
      </c>
      <c r="T729" s="1545"/>
      <c r="U729" s="1545"/>
      <c r="V729" s="1545"/>
      <c r="W729" s="682">
        <v>44784</v>
      </c>
      <c r="X729" s="499" t="s">
        <v>12753</v>
      </c>
      <c r="Y729" s="498">
        <v>44811</v>
      </c>
      <c r="Z729" s="498">
        <v>44818</v>
      </c>
      <c r="AA729" s="498">
        <v>46271</v>
      </c>
      <c r="AB729" s="1546" t="s">
        <v>13008</v>
      </c>
      <c r="AC729" s="1546">
        <v>2023</v>
      </c>
      <c r="AD729" s="388">
        <v>2024</v>
      </c>
      <c r="AE729" s="388">
        <v>2025</v>
      </c>
      <c r="AF729" s="388" t="s">
        <v>13009</v>
      </c>
    </row>
    <row r="730" spans="1:32" ht="15.75" thickTop="1">
      <c r="A730" s="474">
        <v>44741</v>
      </c>
      <c r="B730" s="1420" t="s">
        <v>12404</v>
      </c>
      <c r="C730" s="453" t="s">
        <v>69</v>
      </c>
      <c r="D730" s="453" t="s">
        <v>70</v>
      </c>
      <c r="E730" s="473" t="s">
        <v>12407</v>
      </c>
      <c r="F730" s="453">
        <v>1</v>
      </c>
      <c r="G730" s="1420" t="s">
        <v>12408</v>
      </c>
      <c r="H730" s="453"/>
      <c r="I730" s="453" t="s">
        <v>93</v>
      </c>
      <c r="J730" s="453"/>
      <c r="K730" s="457">
        <v>2600111</v>
      </c>
      <c r="L730" s="453" t="s">
        <v>251</v>
      </c>
      <c r="M730" s="474">
        <v>44757</v>
      </c>
      <c r="N730" s="474">
        <v>44803</v>
      </c>
      <c r="O730" s="474">
        <v>44852</v>
      </c>
      <c r="P730" s="1420" t="s">
        <v>2548</v>
      </c>
      <c r="Q730" s="453"/>
      <c r="R730" s="457">
        <v>2374529.16</v>
      </c>
      <c r="S730" s="457">
        <v>2611982.08</v>
      </c>
      <c r="T730" s="1474"/>
      <c r="U730" s="1474"/>
      <c r="V730" s="1474"/>
      <c r="W730" s="570">
        <v>44852</v>
      </c>
      <c r="X730" s="457" t="s">
        <v>13322</v>
      </c>
      <c r="Y730" s="474">
        <v>44896</v>
      </c>
      <c r="Z730" s="474">
        <v>44900</v>
      </c>
      <c r="AA730" s="474">
        <v>46356</v>
      </c>
      <c r="AB730" s="1391" t="s">
        <v>13678</v>
      </c>
      <c r="AC730" s="1391">
        <v>2023</v>
      </c>
      <c r="AD730" s="388">
        <v>2024</v>
      </c>
      <c r="AE730" s="388">
        <v>2025</v>
      </c>
      <c r="AF730" s="388" t="s">
        <v>13680</v>
      </c>
    </row>
    <row r="731" spans="1:32">
      <c r="A731" s="2140">
        <v>44741</v>
      </c>
      <c r="B731" s="2143" t="s">
        <v>12405</v>
      </c>
      <c r="C731" s="2141" t="s">
        <v>69</v>
      </c>
      <c r="D731" s="2141" t="s">
        <v>70</v>
      </c>
      <c r="E731" s="2142" t="s">
        <v>12407</v>
      </c>
      <c r="F731" s="2141">
        <v>2</v>
      </c>
      <c r="G731" s="2143" t="s">
        <v>12409</v>
      </c>
      <c r="H731" s="2141"/>
      <c r="I731" s="2141" t="s">
        <v>93</v>
      </c>
      <c r="J731" s="2141"/>
      <c r="K731" s="2144">
        <v>2600111</v>
      </c>
      <c r="L731" s="2141" t="s">
        <v>251</v>
      </c>
      <c r="M731" s="2140">
        <v>44757</v>
      </c>
      <c r="N731" s="2140">
        <v>44803</v>
      </c>
      <c r="O731" s="2140">
        <v>44852</v>
      </c>
      <c r="P731" s="2143" t="s">
        <v>8542</v>
      </c>
      <c r="Q731" s="2141"/>
      <c r="R731" s="2144">
        <v>2548111.88</v>
      </c>
      <c r="S731" s="2144">
        <v>2802923.07</v>
      </c>
      <c r="T731" s="2145"/>
      <c r="U731" s="2145"/>
      <c r="V731" s="2145"/>
      <c r="W731" s="2146">
        <v>44852</v>
      </c>
      <c r="X731" s="2144" t="s">
        <v>13323</v>
      </c>
      <c r="Y731" s="2140">
        <v>44881</v>
      </c>
      <c r="Z731" s="2140">
        <v>44900</v>
      </c>
      <c r="AA731" s="2140">
        <v>46341</v>
      </c>
      <c r="AB731" s="2109" t="s">
        <v>13549</v>
      </c>
      <c r="AC731" s="2109">
        <v>2023</v>
      </c>
      <c r="AD731" s="388">
        <v>2024</v>
      </c>
      <c r="AE731" s="388">
        <v>2025</v>
      </c>
      <c r="AF731" s="388" t="s">
        <v>13551</v>
      </c>
    </row>
    <row r="732" spans="1:32" ht="15.75" thickBot="1">
      <c r="A732" s="2117">
        <v>44741</v>
      </c>
      <c r="B732" s="2120" t="s">
        <v>12406</v>
      </c>
      <c r="C732" s="2118" t="s">
        <v>69</v>
      </c>
      <c r="D732" s="2118" t="s">
        <v>70</v>
      </c>
      <c r="E732" s="2119" t="s">
        <v>12407</v>
      </c>
      <c r="F732" s="2118">
        <v>3</v>
      </c>
      <c r="G732" s="2120" t="s">
        <v>12410</v>
      </c>
      <c r="H732" s="2118"/>
      <c r="I732" s="2118" t="s">
        <v>93</v>
      </c>
      <c r="J732" s="2118"/>
      <c r="K732" s="2121">
        <v>567674</v>
      </c>
      <c r="L732" s="2118" t="s">
        <v>251</v>
      </c>
      <c r="M732" s="2117">
        <v>44757</v>
      </c>
      <c r="N732" s="2117">
        <v>44803</v>
      </c>
      <c r="O732" s="2117">
        <v>44852</v>
      </c>
      <c r="P732" s="2120" t="s">
        <v>2548</v>
      </c>
      <c r="Q732" s="2118"/>
      <c r="R732" s="2121">
        <v>558168</v>
      </c>
      <c r="S732" s="2121">
        <v>613984.80000000005</v>
      </c>
      <c r="T732" s="2122"/>
      <c r="U732" s="2122"/>
      <c r="V732" s="2122"/>
      <c r="W732" s="2123">
        <v>44852</v>
      </c>
      <c r="X732" s="2121" t="s">
        <v>13324</v>
      </c>
      <c r="Y732" s="2117">
        <v>44896</v>
      </c>
      <c r="Z732" s="2117">
        <v>44900</v>
      </c>
      <c r="AA732" s="2117">
        <v>46356</v>
      </c>
      <c r="AB732" s="2110" t="s">
        <v>13678</v>
      </c>
      <c r="AC732" s="2110">
        <v>2023</v>
      </c>
      <c r="AD732" s="388">
        <v>2024</v>
      </c>
      <c r="AE732" s="388">
        <v>2025</v>
      </c>
      <c r="AF732" s="388" t="s">
        <v>13680</v>
      </c>
    </row>
    <row r="733" spans="1:32" ht="15.75" thickTop="1">
      <c r="A733" s="474">
        <v>44742</v>
      </c>
      <c r="B733" s="1420" t="s">
        <v>12431</v>
      </c>
      <c r="C733" s="453" t="s">
        <v>2434</v>
      </c>
      <c r="D733" s="453" t="s">
        <v>219</v>
      </c>
      <c r="E733" s="473" t="s">
        <v>12433</v>
      </c>
      <c r="F733" s="453">
        <v>1</v>
      </c>
      <c r="G733" s="1420" t="s">
        <v>12434</v>
      </c>
      <c r="H733" s="453"/>
      <c r="I733" s="453" t="s">
        <v>3013</v>
      </c>
      <c r="J733" s="453"/>
      <c r="K733" s="457">
        <v>582348</v>
      </c>
      <c r="L733" s="453" t="s">
        <v>112</v>
      </c>
      <c r="M733" s="474">
        <v>44753</v>
      </c>
      <c r="N733" s="474">
        <v>44768</v>
      </c>
      <c r="O733" s="474">
        <v>44790</v>
      </c>
      <c r="P733" s="1420" t="s">
        <v>12760</v>
      </c>
      <c r="Q733" s="453"/>
      <c r="R733" s="457">
        <v>556311</v>
      </c>
      <c r="S733" s="457">
        <v>673136.31</v>
      </c>
      <c r="T733" s="1474"/>
      <c r="U733" s="1474"/>
      <c r="V733" s="1474"/>
      <c r="W733" s="570">
        <v>44790</v>
      </c>
      <c r="X733" s="457" t="s">
        <v>12790</v>
      </c>
      <c r="Y733" s="474">
        <v>44809</v>
      </c>
      <c r="Z733" s="474">
        <v>44813</v>
      </c>
      <c r="AA733" s="474">
        <v>45904</v>
      </c>
      <c r="AB733" s="1391" t="s">
        <v>12973</v>
      </c>
      <c r="AC733" s="1391">
        <v>2023</v>
      </c>
      <c r="AD733" s="388">
        <v>2024</v>
      </c>
      <c r="AE733" s="388" t="s">
        <v>12975</v>
      </c>
    </row>
    <row r="734" spans="1:32" ht="15.75" thickBot="1">
      <c r="A734" s="2130">
        <v>44742</v>
      </c>
      <c r="B734" s="2133" t="s">
        <v>12432</v>
      </c>
      <c r="C734" s="2131" t="s">
        <v>2434</v>
      </c>
      <c r="D734" s="2131" t="s">
        <v>219</v>
      </c>
      <c r="E734" s="2132" t="s">
        <v>12433</v>
      </c>
      <c r="F734" s="2131">
        <v>2</v>
      </c>
      <c r="G734" s="2133" t="s">
        <v>12435</v>
      </c>
      <c r="H734" s="2131"/>
      <c r="I734" s="2131" t="s">
        <v>3013</v>
      </c>
      <c r="J734" s="2131"/>
      <c r="K734" s="2134">
        <v>1079373</v>
      </c>
      <c r="L734" s="2131" t="s">
        <v>112</v>
      </c>
      <c r="M734" s="2130">
        <v>44753</v>
      </c>
      <c r="N734" s="2130">
        <v>44768</v>
      </c>
      <c r="O734" s="2131"/>
      <c r="P734" s="2137" t="s">
        <v>7449</v>
      </c>
      <c r="Q734" s="2878" t="s">
        <v>15157</v>
      </c>
      <c r="R734" s="2134"/>
      <c r="S734" s="2134"/>
      <c r="T734" s="2135"/>
      <c r="U734" s="2135"/>
      <c r="V734" s="2135"/>
      <c r="W734" s="2134"/>
      <c r="X734" s="2134"/>
      <c r="Y734" s="2131"/>
      <c r="Z734" s="2130">
        <v>44790</v>
      </c>
      <c r="AA734" s="2131"/>
      <c r="AB734" s="2131"/>
      <c r="AC734" s="2131"/>
    </row>
    <row r="735" spans="1:32" ht="30.75" thickTop="1">
      <c r="A735" s="365">
        <v>44743</v>
      </c>
      <c r="B735" s="2709" t="s">
        <v>12437</v>
      </c>
      <c r="C735" s="2708" t="s">
        <v>2434</v>
      </c>
      <c r="D735" s="2708" t="s">
        <v>3204</v>
      </c>
      <c r="E735" s="175" t="s">
        <v>12438</v>
      </c>
      <c r="F735" s="2708"/>
      <c r="G735" s="2709"/>
      <c r="H735" s="2708"/>
      <c r="I735" s="2708" t="s">
        <v>642</v>
      </c>
      <c r="J735" s="2708"/>
      <c r="K735" s="364">
        <v>1360000</v>
      </c>
      <c r="L735" s="2708" t="s">
        <v>112</v>
      </c>
      <c r="M735" s="365">
        <v>44767</v>
      </c>
      <c r="N735" s="365">
        <v>44776</v>
      </c>
      <c r="O735" s="365">
        <v>44789</v>
      </c>
      <c r="P735" s="2709" t="s">
        <v>7296</v>
      </c>
      <c r="Q735" s="2708"/>
      <c r="R735" s="364">
        <v>1360000</v>
      </c>
      <c r="S735" s="364">
        <v>1645600</v>
      </c>
      <c r="T735" s="1473"/>
      <c r="U735" s="1473"/>
      <c r="V735" s="1473"/>
      <c r="W735" s="681">
        <v>44789</v>
      </c>
      <c r="X735" s="1417" t="s">
        <v>12769</v>
      </c>
      <c r="Y735" s="365">
        <v>44809</v>
      </c>
      <c r="Z735" s="365">
        <v>44811</v>
      </c>
      <c r="AA735" s="365">
        <v>46269</v>
      </c>
      <c r="AB735" s="451" t="s">
        <v>12973</v>
      </c>
      <c r="AC735" s="451">
        <v>2023</v>
      </c>
      <c r="AD735" s="388">
        <v>2024</v>
      </c>
      <c r="AE735" s="388">
        <v>2025</v>
      </c>
      <c r="AF735" s="388" t="s">
        <v>12974</v>
      </c>
    </row>
    <row r="736" spans="1:32">
      <c r="A736" s="2140">
        <v>44749</v>
      </c>
      <c r="B736" s="2143" t="s">
        <v>12445</v>
      </c>
      <c r="C736" s="2141" t="s">
        <v>9800</v>
      </c>
      <c r="D736" s="2141" t="s">
        <v>232</v>
      </c>
      <c r="E736" s="2142" t="s">
        <v>10128</v>
      </c>
      <c r="F736" s="2141"/>
      <c r="G736" s="2143"/>
      <c r="H736" s="2141"/>
      <c r="I736" s="2141" t="s">
        <v>237</v>
      </c>
      <c r="J736" s="2141"/>
      <c r="K736" s="2144">
        <v>200000</v>
      </c>
      <c r="L736" s="2141" t="s">
        <v>112</v>
      </c>
      <c r="M736" s="2140">
        <v>44749</v>
      </c>
      <c r="N736" s="2140">
        <v>44763</v>
      </c>
      <c r="O736" s="2140">
        <v>44768</v>
      </c>
      <c r="P736" s="2143" t="s">
        <v>12578</v>
      </c>
      <c r="Q736" s="2141"/>
      <c r="R736" s="2144">
        <v>195000</v>
      </c>
      <c r="S736" s="2144">
        <v>235950</v>
      </c>
      <c r="T736" s="2145"/>
      <c r="U736" s="2145"/>
      <c r="V736" s="2145"/>
      <c r="W736" s="2146">
        <v>44768</v>
      </c>
      <c r="X736" s="2144" t="s">
        <v>12587</v>
      </c>
      <c r="Y736" s="2140">
        <v>44792</v>
      </c>
      <c r="Z736" s="2140">
        <v>44795</v>
      </c>
      <c r="AA736" s="2141"/>
      <c r="AB736" s="2109"/>
      <c r="AC736" s="2106"/>
    </row>
    <row r="737" spans="1:31">
      <c r="A737" s="2140">
        <v>44743</v>
      </c>
      <c r="B737" s="2143" t="s">
        <v>12446</v>
      </c>
      <c r="C737" s="2141" t="s">
        <v>2434</v>
      </c>
      <c r="D737" s="2141" t="s">
        <v>219</v>
      </c>
      <c r="E737" s="2142" t="s">
        <v>12447</v>
      </c>
      <c r="F737" s="2141"/>
      <c r="G737" s="2143"/>
      <c r="H737" s="2141"/>
      <c r="I737" s="2141" t="s">
        <v>3013</v>
      </c>
      <c r="J737" s="2141"/>
      <c r="K737" s="2144">
        <v>4079520</v>
      </c>
      <c r="L737" s="2141" t="s">
        <v>251</v>
      </c>
      <c r="M737" s="2140">
        <v>44757</v>
      </c>
      <c r="N737" s="2140">
        <v>44791</v>
      </c>
      <c r="O737" s="2140">
        <v>44819</v>
      </c>
      <c r="P737" s="2143" t="s">
        <v>13594</v>
      </c>
      <c r="Q737" s="2141"/>
      <c r="R737" s="2144">
        <v>4327776</v>
      </c>
      <c r="S737" s="2144">
        <v>5236608.96</v>
      </c>
      <c r="T737" s="2145"/>
      <c r="U737" s="2145"/>
      <c r="V737" s="2145"/>
      <c r="W737" s="2146">
        <v>44819</v>
      </c>
      <c r="X737" s="2144" t="s">
        <v>13070</v>
      </c>
      <c r="Y737" s="2140">
        <v>44868</v>
      </c>
      <c r="Z737" s="2140">
        <v>44876</v>
      </c>
      <c r="AA737" s="2140">
        <v>45963</v>
      </c>
      <c r="AB737" s="2109" t="s">
        <v>13479</v>
      </c>
      <c r="AC737" s="2109">
        <v>2023</v>
      </c>
      <c r="AD737" s="388">
        <v>2024</v>
      </c>
      <c r="AE737" s="388" t="s">
        <v>13480</v>
      </c>
    </row>
    <row r="738" spans="1:31" ht="30.75" thickBot="1">
      <c r="A738" s="416">
        <v>44749</v>
      </c>
      <c r="B738" s="630" t="s">
        <v>12448</v>
      </c>
      <c r="C738" s="411" t="s">
        <v>58</v>
      </c>
      <c r="D738" s="411" t="s">
        <v>4969</v>
      </c>
      <c r="E738" s="412" t="s">
        <v>12449</v>
      </c>
      <c r="F738" s="411"/>
      <c r="G738" s="630"/>
      <c r="H738" s="411"/>
      <c r="I738" s="411" t="s">
        <v>421</v>
      </c>
      <c r="J738" s="411" t="s">
        <v>12450</v>
      </c>
      <c r="K738" s="417">
        <v>150000</v>
      </c>
      <c r="L738" s="411" t="s">
        <v>251</v>
      </c>
      <c r="M738" s="416">
        <v>44757</v>
      </c>
      <c r="N738" s="416">
        <v>44791</v>
      </c>
      <c r="O738" s="416">
        <v>44806</v>
      </c>
      <c r="P738" s="630" t="s">
        <v>12260</v>
      </c>
      <c r="Q738" s="411"/>
      <c r="R738" s="417">
        <v>128440</v>
      </c>
      <c r="S738" s="417">
        <v>155412.4</v>
      </c>
      <c r="T738" s="1480"/>
      <c r="U738" s="1480"/>
      <c r="V738" s="1480"/>
      <c r="W738" s="513">
        <v>44806</v>
      </c>
      <c r="X738" s="1553" t="s">
        <v>12959</v>
      </c>
      <c r="Y738" s="416">
        <v>44852</v>
      </c>
      <c r="Z738" s="416">
        <v>44861</v>
      </c>
      <c r="AA738" s="416">
        <v>44894</v>
      </c>
      <c r="AB738" s="422"/>
      <c r="AC738" s="422" t="s">
        <v>1875</v>
      </c>
    </row>
    <row r="739" spans="1:31" ht="15.75" thickTop="1">
      <c r="A739" s="443">
        <v>44749</v>
      </c>
      <c r="B739" s="1431" t="s">
        <v>12451</v>
      </c>
      <c r="C739" s="439" t="s">
        <v>58</v>
      </c>
      <c r="D739" s="439" t="s">
        <v>4969</v>
      </c>
      <c r="E739" s="440" t="s">
        <v>12454</v>
      </c>
      <c r="F739" s="439">
        <v>1</v>
      </c>
      <c r="G739" s="1431" t="s">
        <v>12455</v>
      </c>
      <c r="H739" s="439"/>
      <c r="I739" s="439" t="s">
        <v>7065</v>
      </c>
      <c r="J739" s="439" t="s">
        <v>12458</v>
      </c>
      <c r="K739" s="444">
        <v>155300</v>
      </c>
      <c r="L739" s="439" t="s">
        <v>112</v>
      </c>
      <c r="M739" s="443">
        <v>44754</v>
      </c>
      <c r="N739" s="443">
        <v>44775</v>
      </c>
      <c r="O739" s="439"/>
      <c r="P739" s="753" t="s">
        <v>304</v>
      </c>
      <c r="Q739" s="439"/>
      <c r="R739" s="444"/>
      <c r="S739" s="444"/>
      <c r="T739" s="1481"/>
      <c r="U739" s="1481"/>
      <c r="V739" s="1481"/>
      <c r="W739" s="444"/>
      <c r="X739" s="444"/>
      <c r="Y739" s="439"/>
      <c r="Z739" s="443">
        <v>44775</v>
      </c>
      <c r="AA739" s="439"/>
      <c r="AB739" s="439"/>
      <c r="AC739" s="439"/>
    </row>
    <row r="740" spans="1:31" ht="30">
      <c r="A740" s="2140">
        <v>44749</v>
      </c>
      <c r="B740" s="2143" t="s">
        <v>12452</v>
      </c>
      <c r="C740" s="2141" t="s">
        <v>58</v>
      </c>
      <c r="D740" s="2141" t="s">
        <v>4969</v>
      </c>
      <c r="E740" s="2142" t="s">
        <v>12454</v>
      </c>
      <c r="F740" s="2141">
        <v>2</v>
      </c>
      <c r="G740" s="2143" t="s">
        <v>12456</v>
      </c>
      <c r="H740" s="2141"/>
      <c r="I740" s="2141" t="s">
        <v>7065</v>
      </c>
      <c r="J740" s="2141" t="s">
        <v>12459</v>
      </c>
      <c r="K740" s="2144">
        <v>200000</v>
      </c>
      <c r="L740" s="2141" t="s">
        <v>112</v>
      </c>
      <c r="M740" s="2140">
        <v>44754</v>
      </c>
      <c r="N740" s="2140">
        <v>44775</v>
      </c>
      <c r="O740" s="2140">
        <v>44784</v>
      </c>
      <c r="P740" s="2289" t="s">
        <v>12697</v>
      </c>
      <c r="Q740" s="2141"/>
      <c r="R740" s="2144">
        <v>100325</v>
      </c>
      <c r="S740" s="2144">
        <v>121393.25</v>
      </c>
      <c r="T740" s="2145"/>
      <c r="U740" s="2145"/>
      <c r="V740" s="2145"/>
      <c r="W740" s="2146">
        <v>44784</v>
      </c>
      <c r="X740" s="2260" t="s">
        <v>12754</v>
      </c>
      <c r="Y740" s="2140">
        <v>44847</v>
      </c>
      <c r="Z740" s="2140">
        <v>44851</v>
      </c>
      <c r="AA740" s="2140">
        <v>44861</v>
      </c>
      <c r="AB740" s="2109"/>
      <c r="AC740" s="2109" t="s">
        <v>1875</v>
      </c>
    </row>
    <row r="741" spans="1:31" ht="15.75" thickBot="1">
      <c r="A741" s="2130">
        <v>44749</v>
      </c>
      <c r="B741" s="2133" t="s">
        <v>12453</v>
      </c>
      <c r="C741" s="2131" t="s">
        <v>58</v>
      </c>
      <c r="D741" s="2131" t="s">
        <v>4969</v>
      </c>
      <c r="E741" s="2132" t="s">
        <v>12454</v>
      </c>
      <c r="F741" s="2131">
        <v>3</v>
      </c>
      <c r="G741" s="2133" t="s">
        <v>12457</v>
      </c>
      <c r="H741" s="2131"/>
      <c r="I741" s="2131" t="s">
        <v>7065</v>
      </c>
      <c r="J741" s="2131" t="s">
        <v>12460</v>
      </c>
      <c r="K741" s="2134">
        <v>135000</v>
      </c>
      <c r="L741" s="2131" t="s">
        <v>112</v>
      </c>
      <c r="M741" s="2130">
        <v>44754</v>
      </c>
      <c r="N741" s="2130">
        <v>44775</v>
      </c>
      <c r="O741" s="2131"/>
      <c r="P741" s="2137" t="s">
        <v>304</v>
      </c>
      <c r="Q741" s="2131"/>
      <c r="R741" s="2134"/>
      <c r="S741" s="2134"/>
      <c r="T741" s="2135"/>
      <c r="U741" s="2135"/>
      <c r="V741" s="2135"/>
      <c r="W741" s="2134"/>
      <c r="X741" s="2134"/>
      <c r="Y741" s="2131"/>
      <c r="Z741" s="2130">
        <v>44775</v>
      </c>
      <c r="AA741" s="2131"/>
      <c r="AB741" s="2131"/>
      <c r="AC741" s="2131"/>
    </row>
    <row r="742" spans="1:31" ht="30.75" thickTop="1">
      <c r="A742" s="365">
        <v>44749</v>
      </c>
      <c r="B742" s="2733" t="s">
        <v>12461</v>
      </c>
      <c r="C742" s="2732" t="s">
        <v>58</v>
      </c>
      <c r="D742" s="2732" t="s">
        <v>4969</v>
      </c>
      <c r="E742" s="175" t="s">
        <v>12462</v>
      </c>
      <c r="F742" s="2732"/>
      <c r="G742" s="2733"/>
      <c r="H742" s="2732"/>
      <c r="I742" s="2732" t="s">
        <v>275</v>
      </c>
      <c r="J742" s="2732" t="s">
        <v>12463</v>
      </c>
      <c r="K742" s="364">
        <v>958000</v>
      </c>
      <c r="L742" s="2732" t="s">
        <v>251</v>
      </c>
      <c r="M742" s="365">
        <v>44762</v>
      </c>
      <c r="N742" s="365">
        <v>44797</v>
      </c>
      <c r="O742" s="365">
        <v>44816</v>
      </c>
      <c r="P742" s="2733" t="s">
        <v>10534</v>
      </c>
      <c r="Q742" s="2732"/>
      <c r="R742" s="364">
        <v>847091</v>
      </c>
      <c r="S742" s="364">
        <v>1024980.11</v>
      </c>
      <c r="T742" s="1473"/>
      <c r="U742" s="1473"/>
      <c r="V742" s="1473"/>
      <c r="W742" s="681">
        <v>44817</v>
      </c>
      <c r="X742" s="1417" t="s">
        <v>13058</v>
      </c>
      <c r="Y742" s="365">
        <v>44841</v>
      </c>
      <c r="Z742" s="365">
        <v>44848</v>
      </c>
      <c r="AA742" s="365">
        <v>44946</v>
      </c>
      <c r="AB742" s="451"/>
      <c r="AC742" s="451" t="s">
        <v>1875</v>
      </c>
    </row>
    <row r="743" spans="1:31" ht="30">
      <c r="A743" s="2140">
        <v>44749</v>
      </c>
      <c r="B743" s="2143" t="s">
        <v>12465</v>
      </c>
      <c r="C743" s="2141" t="s">
        <v>58</v>
      </c>
      <c r="D743" s="2141" t="s">
        <v>4969</v>
      </c>
      <c r="E743" s="2142" t="s">
        <v>9439</v>
      </c>
      <c r="F743" s="2141"/>
      <c r="G743" s="2143"/>
      <c r="H743" s="2141"/>
      <c r="I743" s="2141" t="s">
        <v>9759</v>
      </c>
      <c r="J743" s="2141" t="s">
        <v>12464</v>
      </c>
      <c r="K743" s="2144">
        <v>935000</v>
      </c>
      <c r="L743" s="2141" t="s">
        <v>112</v>
      </c>
      <c r="M743" s="2140">
        <v>44767</v>
      </c>
      <c r="N743" s="2140">
        <v>44777</v>
      </c>
      <c r="O743" s="2140">
        <v>44784</v>
      </c>
      <c r="P743" s="2143" t="s">
        <v>12676</v>
      </c>
      <c r="Q743" s="2141"/>
      <c r="R743" s="2144">
        <v>937121</v>
      </c>
      <c r="S743" s="2144">
        <v>1133916.4099999999</v>
      </c>
      <c r="T743" s="2145"/>
      <c r="U743" s="2145"/>
      <c r="V743" s="2145"/>
      <c r="W743" s="2146">
        <v>44784</v>
      </c>
      <c r="X743" s="2260" t="s">
        <v>12755</v>
      </c>
      <c r="Y743" s="2140">
        <v>44812</v>
      </c>
      <c r="Z743" s="2140">
        <v>44816</v>
      </c>
      <c r="AA743" s="2140">
        <f>Y743+84</f>
        <v>44896</v>
      </c>
      <c r="AB743" s="2109"/>
      <c r="AC743" s="2109" t="s">
        <v>1875</v>
      </c>
    </row>
    <row r="744" spans="1:31">
      <c r="A744" s="2124">
        <v>44755</v>
      </c>
      <c r="B744" s="2127" t="s">
        <v>12474</v>
      </c>
      <c r="C744" s="2125" t="s">
        <v>2712</v>
      </c>
      <c r="D744" s="2125" t="s">
        <v>2731</v>
      </c>
      <c r="E744" s="2126" t="s">
        <v>6559</v>
      </c>
      <c r="F744" s="2125"/>
      <c r="G744" s="2127"/>
      <c r="H744" s="2125"/>
      <c r="I744" s="2125" t="s">
        <v>1422</v>
      </c>
      <c r="J744" s="2125"/>
      <c r="K744" s="2128">
        <v>750000</v>
      </c>
      <c r="L744" s="2125" t="s">
        <v>112</v>
      </c>
      <c r="M744" s="2124">
        <v>44762</v>
      </c>
      <c r="N744" s="2124">
        <v>44771</v>
      </c>
      <c r="O744" s="2125"/>
      <c r="P744" s="2136" t="s">
        <v>12665</v>
      </c>
      <c r="Q744" s="2275" t="s">
        <v>12671</v>
      </c>
      <c r="R744" s="2128"/>
      <c r="S744" s="2128"/>
      <c r="T744" s="2129"/>
      <c r="U744" s="2129"/>
      <c r="V744" s="2129"/>
      <c r="W744" s="2128"/>
      <c r="X744" s="2128"/>
      <c r="Y744" s="2125"/>
      <c r="Z744" s="2124">
        <v>44781</v>
      </c>
      <c r="AA744" s="2125"/>
      <c r="AB744" s="2125"/>
      <c r="AC744" s="2125"/>
    </row>
    <row r="745" spans="1:31" ht="30">
      <c r="A745" s="2140">
        <v>44749</v>
      </c>
      <c r="B745" s="2143" t="s">
        <v>12469</v>
      </c>
      <c r="C745" s="2141" t="s">
        <v>58</v>
      </c>
      <c r="D745" s="2141" t="s">
        <v>4969</v>
      </c>
      <c r="E745" s="2142" t="s">
        <v>12470</v>
      </c>
      <c r="F745" s="2141"/>
      <c r="G745" s="2143"/>
      <c r="H745" s="2141"/>
      <c r="I745" s="2141" t="s">
        <v>786</v>
      </c>
      <c r="J745" s="2141" t="s">
        <v>12471</v>
      </c>
      <c r="K745" s="2144">
        <v>69000</v>
      </c>
      <c r="L745" s="2141" t="s">
        <v>112</v>
      </c>
      <c r="M745" s="2140">
        <v>44756</v>
      </c>
      <c r="N745" s="2140">
        <v>44768</v>
      </c>
      <c r="O745" s="2140">
        <v>44802</v>
      </c>
      <c r="P745" s="2143" t="s">
        <v>637</v>
      </c>
      <c r="Q745" s="2141"/>
      <c r="R745" s="2144">
        <v>61956</v>
      </c>
      <c r="S745" s="2144">
        <v>74966.759999999995</v>
      </c>
      <c r="T745" s="2145"/>
      <c r="U745" s="2145"/>
      <c r="V745" s="2145"/>
      <c r="W745" s="2146">
        <v>44802</v>
      </c>
      <c r="X745" s="2260" t="s">
        <v>12890</v>
      </c>
      <c r="Y745" s="2140">
        <v>44859</v>
      </c>
      <c r="Z745" s="2140">
        <v>44865</v>
      </c>
      <c r="AA745" s="2140">
        <v>44634</v>
      </c>
      <c r="AB745" s="2109"/>
      <c r="AC745" s="2109" t="s">
        <v>1875</v>
      </c>
    </row>
    <row r="746" spans="1:31">
      <c r="A746" s="416">
        <v>44755</v>
      </c>
      <c r="B746" s="630" t="s">
        <v>12466</v>
      </c>
      <c r="C746" s="411" t="s">
        <v>52</v>
      </c>
      <c r="D746" s="411" t="s">
        <v>2588</v>
      </c>
      <c r="E746" s="412" t="s">
        <v>12467</v>
      </c>
      <c r="F746" s="411"/>
      <c r="G746" s="630"/>
      <c r="H746" s="411"/>
      <c r="I746" s="411" t="s">
        <v>484</v>
      </c>
      <c r="J746" s="414" t="s">
        <v>12468</v>
      </c>
      <c r="K746" s="417">
        <v>1200000</v>
      </c>
      <c r="L746" s="411" t="s">
        <v>216</v>
      </c>
      <c r="M746" s="416">
        <v>44757</v>
      </c>
      <c r="N746" s="416">
        <v>44775</v>
      </c>
      <c r="O746" s="416">
        <v>44777</v>
      </c>
      <c r="P746" s="2143" t="s">
        <v>12633</v>
      </c>
      <c r="Q746" s="411"/>
      <c r="R746" s="417">
        <v>1170000</v>
      </c>
      <c r="S746" s="417">
        <v>1415700</v>
      </c>
      <c r="T746" s="1480"/>
      <c r="U746" s="1480"/>
      <c r="V746" s="1480"/>
      <c r="W746" s="513">
        <v>44777</v>
      </c>
      <c r="X746" s="417" t="s">
        <v>12636</v>
      </c>
      <c r="Y746" s="416">
        <v>44799</v>
      </c>
      <c r="Z746" s="416">
        <v>44810</v>
      </c>
      <c r="AA746" s="416">
        <v>44820</v>
      </c>
      <c r="AB746" s="422"/>
      <c r="AC746" s="967"/>
    </row>
    <row r="747" spans="1:31" ht="15.75" thickBot="1">
      <c r="A747" s="416">
        <v>44754</v>
      </c>
      <c r="B747" s="630" t="s">
        <v>12500</v>
      </c>
      <c r="C747" s="411" t="s">
        <v>4997</v>
      </c>
      <c r="D747" s="411" t="s">
        <v>7475</v>
      </c>
      <c r="E747" s="412" t="s">
        <v>12501</v>
      </c>
      <c r="F747" s="411"/>
      <c r="G747" s="630"/>
      <c r="H747" s="411"/>
      <c r="I747" s="411" t="s">
        <v>1676</v>
      </c>
      <c r="J747" s="414"/>
      <c r="K747" s="417">
        <v>3500000</v>
      </c>
      <c r="L747" s="411" t="s">
        <v>112</v>
      </c>
      <c r="M747" s="416">
        <v>44761</v>
      </c>
      <c r="N747" s="416">
        <v>44782</v>
      </c>
      <c r="O747" s="416">
        <v>44791</v>
      </c>
      <c r="P747" s="630" t="s">
        <v>7915</v>
      </c>
      <c r="Q747" s="411"/>
      <c r="R747" s="417">
        <v>2648078</v>
      </c>
      <c r="S747" s="417">
        <v>3204174.38</v>
      </c>
      <c r="T747" s="1480"/>
      <c r="U747" s="1480"/>
      <c r="V747" s="1480"/>
      <c r="W747" s="513">
        <v>44791</v>
      </c>
      <c r="X747" s="417" t="s">
        <v>12799</v>
      </c>
      <c r="Y747" s="416">
        <v>44823</v>
      </c>
      <c r="Z747" s="416">
        <v>44827</v>
      </c>
      <c r="AA747" s="411"/>
      <c r="AB747" s="422"/>
      <c r="AC747" s="1926" t="s">
        <v>13537</v>
      </c>
    </row>
    <row r="748" spans="1:31" ht="15.75" thickTop="1">
      <c r="A748" s="474">
        <v>44756</v>
      </c>
      <c r="B748" s="1420" t="s">
        <v>12478</v>
      </c>
      <c r="C748" s="453" t="s">
        <v>69</v>
      </c>
      <c r="D748" s="453" t="s">
        <v>70</v>
      </c>
      <c r="E748" s="473" t="s">
        <v>12475</v>
      </c>
      <c r="F748" s="453">
        <v>1</v>
      </c>
      <c r="G748" s="1420" t="s">
        <v>12476</v>
      </c>
      <c r="H748" s="453"/>
      <c r="I748" s="453" t="s">
        <v>93</v>
      </c>
      <c r="J748" s="453"/>
      <c r="K748" s="457">
        <v>663784</v>
      </c>
      <c r="L748" s="453" t="s">
        <v>251</v>
      </c>
      <c r="M748" s="474">
        <v>44764</v>
      </c>
      <c r="N748" s="474">
        <v>44799</v>
      </c>
      <c r="O748" s="474">
        <v>44818</v>
      </c>
      <c r="P748" s="1420" t="s">
        <v>16350</v>
      </c>
      <c r="Q748" s="453"/>
      <c r="R748" s="457">
        <v>663782.01</v>
      </c>
      <c r="S748" s="457">
        <v>730160.21</v>
      </c>
      <c r="T748" s="1474"/>
      <c r="U748" s="1474"/>
      <c r="V748" s="1474"/>
      <c r="W748" s="570">
        <v>44818</v>
      </c>
      <c r="X748" s="457" t="s">
        <v>13061</v>
      </c>
      <c r="Y748" s="474">
        <v>44844</v>
      </c>
      <c r="Z748" s="474">
        <v>44846</v>
      </c>
      <c r="AA748" s="474">
        <v>45939</v>
      </c>
      <c r="AB748" s="1391" t="s">
        <v>13244</v>
      </c>
      <c r="AC748" s="1391" t="s">
        <v>13538</v>
      </c>
      <c r="AD748" s="388">
        <v>2024</v>
      </c>
      <c r="AE748" s="388" t="s">
        <v>13245</v>
      </c>
    </row>
    <row r="749" spans="1:31" ht="15.75" thickBot="1">
      <c r="A749" s="2117">
        <v>44756</v>
      </c>
      <c r="B749" s="2120" t="s">
        <v>12479</v>
      </c>
      <c r="C749" s="2118" t="s">
        <v>69</v>
      </c>
      <c r="D749" s="2118" t="s">
        <v>70</v>
      </c>
      <c r="E749" s="2119" t="s">
        <v>12475</v>
      </c>
      <c r="F749" s="2118">
        <v>2</v>
      </c>
      <c r="G749" s="2120" t="s">
        <v>12477</v>
      </c>
      <c r="H749" s="2118"/>
      <c r="I749" s="2118" t="s">
        <v>93</v>
      </c>
      <c r="J749" s="2118"/>
      <c r="K749" s="2121">
        <v>5234100</v>
      </c>
      <c r="L749" s="2118" t="s">
        <v>251</v>
      </c>
      <c r="M749" s="2117">
        <v>44764</v>
      </c>
      <c r="N749" s="2117">
        <v>44799</v>
      </c>
      <c r="O749" s="2117">
        <v>44818</v>
      </c>
      <c r="P749" s="2120" t="s">
        <v>6925</v>
      </c>
      <c r="Q749" s="2118"/>
      <c r="R749" s="2121">
        <v>5234100</v>
      </c>
      <c r="S749" s="2121">
        <v>5757510</v>
      </c>
      <c r="T749" s="2122"/>
      <c r="U749" s="2122"/>
      <c r="V749" s="2122"/>
      <c r="W749" s="2123">
        <v>44818</v>
      </c>
      <c r="X749" s="2121" t="s">
        <v>13062</v>
      </c>
      <c r="Y749" s="2117">
        <v>44841</v>
      </c>
      <c r="Z749" s="2117">
        <v>44846</v>
      </c>
      <c r="AA749" s="2117">
        <v>45936</v>
      </c>
      <c r="AB749" s="2110" t="s">
        <v>13228</v>
      </c>
      <c r="AC749" s="2110">
        <v>2023</v>
      </c>
      <c r="AD749" s="388">
        <v>2024</v>
      </c>
      <c r="AE749" s="388" t="s">
        <v>13230</v>
      </c>
    </row>
    <row r="750" spans="1:31" ht="15.75" thickTop="1">
      <c r="A750" s="474">
        <v>44756</v>
      </c>
      <c r="B750" s="1420" t="s">
        <v>12480</v>
      </c>
      <c r="C750" s="453" t="s">
        <v>69</v>
      </c>
      <c r="D750" s="453" t="s">
        <v>70</v>
      </c>
      <c r="E750" s="473" t="s">
        <v>12483</v>
      </c>
      <c r="F750" s="453">
        <v>1</v>
      </c>
      <c r="G750" s="1420" t="s">
        <v>12484</v>
      </c>
      <c r="H750" s="453"/>
      <c r="I750" s="453" t="s">
        <v>93</v>
      </c>
      <c r="J750" s="453"/>
      <c r="K750" s="457">
        <v>1769897</v>
      </c>
      <c r="L750" s="453" t="s">
        <v>251</v>
      </c>
      <c r="M750" s="474">
        <v>44768</v>
      </c>
      <c r="N750" s="474">
        <v>44802</v>
      </c>
      <c r="O750" s="474">
        <v>44853</v>
      </c>
      <c r="P750" s="1420" t="s">
        <v>576</v>
      </c>
      <c r="Q750" s="453"/>
      <c r="R750" s="457">
        <v>1769896.2</v>
      </c>
      <c r="S750" s="457">
        <v>1946885.82</v>
      </c>
      <c r="T750" s="1474"/>
      <c r="U750" s="1474"/>
      <c r="V750" s="1474"/>
      <c r="W750" s="570">
        <v>44853</v>
      </c>
      <c r="X750" s="457" t="s">
        <v>13338</v>
      </c>
      <c r="Y750" s="474">
        <v>44889</v>
      </c>
      <c r="Z750" s="474">
        <v>44914</v>
      </c>
      <c r="AA750" s="474">
        <v>45984</v>
      </c>
      <c r="AB750" s="1391" t="s">
        <v>13632</v>
      </c>
      <c r="AC750" s="1391">
        <v>2023</v>
      </c>
      <c r="AD750" s="388">
        <v>2024</v>
      </c>
      <c r="AE750" s="388" t="s">
        <v>13633</v>
      </c>
    </row>
    <row r="751" spans="1:31">
      <c r="A751" s="2153">
        <v>44756</v>
      </c>
      <c r="B751" s="1422" t="s">
        <v>12481</v>
      </c>
      <c r="C751" s="2154" t="s">
        <v>69</v>
      </c>
      <c r="D751" s="2154" t="s">
        <v>70</v>
      </c>
      <c r="E751" s="2155" t="s">
        <v>12483</v>
      </c>
      <c r="F751" s="2154">
        <v>2</v>
      </c>
      <c r="G751" s="2156" t="s">
        <v>10859</v>
      </c>
      <c r="H751" s="2085"/>
      <c r="I751" s="2154" t="s">
        <v>93</v>
      </c>
      <c r="J751" s="2154"/>
      <c r="K751" s="2157">
        <v>51429393</v>
      </c>
      <c r="L751" s="2154" t="s">
        <v>251</v>
      </c>
      <c r="M751" s="2153">
        <v>44768</v>
      </c>
      <c r="N751" s="2153">
        <v>44802</v>
      </c>
      <c r="O751" s="2153">
        <v>44853</v>
      </c>
      <c r="P751" s="2156" t="s">
        <v>6805</v>
      </c>
      <c r="Q751" s="2154"/>
      <c r="R751" s="2157">
        <v>44291583.75</v>
      </c>
      <c r="S751" s="2157">
        <v>48720742.130000003</v>
      </c>
      <c r="T751" s="2094"/>
      <c r="U751" s="2094"/>
      <c r="V751" s="2094"/>
      <c r="W751" s="2160">
        <v>44853</v>
      </c>
      <c r="X751" s="2157" t="s">
        <v>13339</v>
      </c>
      <c r="Y751" s="2154"/>
      <c r="Z751" s="2154"/>
      <c r="AA751" s="2154"/>
      <c r="AB751" s="2154"/>
      <c r="AC751" s="2154"/>
    </row>
    <row r="752" spans="1:31" ht="15.75" thickBot="1">
      <c r="A752" s="2117">
        <v>44756</v>
      </c>
      <c r="B752" s="1983" t="s">
        <v>12482</v>
      </c>
      <c r="C752" s="2118" t="s">
        <v>69</v>
      </c>
      <c r="D752" s="2118" t="s">
        <v>70</v>
      </c>
      <c r="E752" s="2119" t="s">
        <v>12483</v>
      </c>
      <c r="F752" s="2118">
        <v>3</v>
      </c>
      <c r="G752" s="2120" t="s">
        <v>12485</v>
      </c>
      <c r="H752" s="2089"/>
      <c r="I752" s="2118" t="s">
        <v>93</v>
      </c>
      <c r="J752" s="2118"/>
      <c r="K752" s="2121">
        <v>23966043</v>
      </c>
      <c r="L752" s="2118" t="s">
        <v>251</v>
      </c>
      <c r="M752" s="2117">
        <v>44768</v>
      </c>
      <c r="N752" s="2117">
        <v>44802</v>
      </c>
      <c r="O752" s="2117">
        <v>44853</v>
      </c>
      <c r="P752" s="2120" t="s">
        <v>2548</v>
      </c>
      <c r="Q752" s="2118"/>
      <c r="R752" s="2121">
        <v>23370246.120000001</v>
      </c>
      <c r="S752" s="2121">
        <v>25707270.73</v>
      </c>
      <c r="T752" s="2095"/>
      <c r="U752" s="2095"/>
      <c r="V752" s="2095"/>
      <c r="W752" s="2123">
        <v>44853</v>
      </c>
      <c r="X752" s="2121" t="s">
        <v>13340</v>
      </c>
      <c r="Y752" s="2117">
        <v>44908</v>
      </c>
      <c r="Z752" s="2117">
        <v>44914</v>
      </c>
      <c r="AA752" s="2117">
        <v>46003</v>
      </c>
      <c r="AB752" s="2110" t="s">
        <v>13757</v>
      </c>
      <c r="AC752" s="2110">
        <v>2023</v>
      </c>
      <c r="AD752" s="388">
        <v>2024</v>
      </c>
      <c r="AE752" s="388" t="s">
        <v>13759</v>
      </c>
    </row>
    <row r="753" spans="1:43" ht="15.75" thickTop="1">
      <c r="A753" s="474">
        <v>44756</v>
      </c>
      <c r="B753" s="1420" t="s">
        <v>12488</v>
      </c>
      <c r="C753" s="453" t="s">
        <v>69</v>
      </c>
      <c r="D753" s="453" t="s">
        <v>70</v>
      </c>
      <c r="E753" s="473" t="s">
        <v>12487</v>
      </c>
      <c r="F753" s="453">
        <v>1</v>
      </c>
      <c r="G753" s="1420" t="s">
        <v>12486</v>
      </c>
      <c r="H753" s="453"/>
      <c r="I753" s="453" t="s">
        <v>3436</v>
      </c>
      <c r="J753" s="453"/>
      <c r="K753" s="457">
        <v>43814660</v>
      </c>
      <c r="L753" s="453" t="s">
        <v>251</v>
      </c>
      <c r="M753" s="474">
        <v>44764</v>
      </c>
      <c r="N753" s="474">
        <v>44837</v>
      </c>
      <c r="O753" s="474">
        <v>44880</v>
      </c>
      <c r="P753" s="1420" t="s">
        <v>7327</v>
      </c>
      <c r="Q753" s="453"/>
      <c r="R753" s="457">
        <v>43814657.700000003</v>
      </c>
      <c r="S753" s="457">
        <v>48196123.469999999</v>
      </c>
      <c r="T753" s="1474"/>
      <c r="U753" s="1474"/>
      <c r="V753" s="1474"/>
      <c r="W753" s="570">
        <v>44880</v>
      </c>
      <c r="X753" s="457" t="s">
        <v>13539</v>
      </c>
      <c r="Y753" s="474">
        <v>44901</v>
      </c>
      <c r="Z753" s="474">
        <v>44917</v>
      </c>
      <c r="AA753" s="474">
        <v>45996</v>
      </c>
      <c r="AB753" s="1391" t="s">
        <v>13732</v>
      </c>
      <c r="AC753" s="1391">
        <v>2023</v>
      </c>
      <c r="AD753" s="388">
        <v>2024</v>
      </c>
      <c r="AE753" s="388" t="s">
        <v>13733</v>
      </c>
    </row>
    <row r="754" spans="1:43" ht="15.75" thickBot="1">
      <c r="A754" s="2117">
        <v>44756</v>
      </c>
      <c r="B754" s="1983" t="s">
        <v>12489</v>
      </c>
      <c r="C754" s="2118" t="s">
        <v>69</v>
      </c>
      <c r="D754" s="2118" t="s">
        <v>70</v>
      </c>
      <c r="E754" s="672" t="s">
        <v>12487</v>
      </c>
      <c r="F754" s="2118">
        <v>2</v>
      </c>
      <c r="G754" s="2120" t="s">
        <v>10460</v>
      </c>
      <c r="H754" s="2118"/>
      <c r="I754" s="2118" t="s">
        <v>68</v>
      </c>
      <c r="J754" s="2118"/>
      <c r="K754" s="2121">
        <v>24884591</v>
      </c>
      <c r="L754" s="2118" t="s">
        <v>251</v>
      </c>
      <c r="M754" s="2117">
        <v>44764</v>
      </c>
      <c r="N754" s="2117">
        <v>44837</v>
      </c>
      <c r="O754" s="2117">
        <v>44880</v>
      </c>
      <c r="P754" s="2120" t="s">
        <v>2548</v>
      </c>
      <c r="Q754" s="2118"/>
      <c r="R754" s="2121">
        <v>24884590.5</v>
      </c>
      <c r="S754" s="2121">
        <v>27373049.550000001</v>
      </c>
      <c r="T754" s="2122"/>
      <c r="U754" s="2122"/>
      <c r="V754" s="2122"/>
      <c r="W754" s="2123">
        <v>44880</v>
      </c>
      <c r="X754" s="2121" t="s">
        <v>13540</v>
      </c>
      <c r="Y754" s="2117">
        <v>44914</v>
      </c>
      <c r="Z754" s="2117">
        <v>44917</v>
      </c>
      <c r="AA754" s="2117">
        <v>46009</v>
      </c>
      <c r="AB754" s="2110" t="s">
        <v>13784</v>
      </c>
      <c r="AC754" s="2110">
        <v>2023</v>
      </c>
      <c r="AD754" s="388">
        <v>2024</v>
      </c>
      <c r="AE754" s="388" t="s">
        <v>13786</v>
      </c>
    </row>
    <row r="755" spans="1:43" ht="15.75" thickTop="1">
      <c r="A755" s="474">
        <v>44756</v>
      </c>
      <c r="B755" s="1420" t="s">
        <v>12490</v>
      </c>
      <c r="C755" s="453" t="s">
        <v>69</v>
      </c>
      <c r="D755" s="453" t="s">
        <v>70</v>
      </c>
      <c r="E755" s="473" t="s">
        <v>12492</v>
      </c>
      <c r="F755" s="453">
        <v>1</v>
      </c>
      <c r="G755" s="1420" t="s">
        <v>10456</v>
      </c>
      <c r="H755" s="453"/>
      <c r="I755" s="453" t="s">
        <v>93</v>
      </c>
      <c r="J755" s="453"/>
      <c r="K755" s="457">
        <v>4122224</v>
      </c>
      <c r="L755" s="453" t="s">
        <v>251</v>
      </c>
      <c r="M755" s="474">
        <v>44764</v>
      </c>
      <c r="N755" s="474">
        <v>44820</v>
      </c>
      <c r="O755" s="474">
        <v>44860</v>
      </c>
      <c r="P755" s="1420" t="s">
        <v>1319</v>
      </c>
      <c r="Q755" s="453"/>
      <c r="R755" s="457">
        <v>2397077.1</v>
      </c>
      <c r="S755" s="457">
        <v>2636784.81</v>
      </c>
      <c r="T755" s="1474"/>
      <c r="U755" s="1474"/>
      <c r="V755" s="1474"/>
      <c r="W755" s="570">
        <v>44860</v>
      </c>
      <c r="X755" s="457" t="s">
        <v>13409</v>
      </c>
      <c r="Y755" s="474">
        <v>44907</v>
      </c>
      <c r="Z755" s="474">
        <v>44911</v>
      </c>
      <c r="AA755" s="474">
        <v>46002</v>
      </c>
      <c r="AB755" s="1391" t="s">
        <v>13754</v>
      </c>
      <c r="AC755" s="1391">
        <v>2023</v>
      </c>
      <c r="AD755" s="388">
        <v>2024</v>
      </c>
      <c r="AE755" s="388" t="s">
        <v>13755</v>
      </c>
    </row>
    <row r="756" spans="1:43" ht="15.75" thickBot="1">
      <c r="A756" s="2117">
        <v>44756</v>
      </c>
      <c r="B756" s="1983" t="s">
        <v>12491</v>
      </c>
      <c r="C756" s="2118" t="s">
        <v>69</v>
      </c>
      <c r="D756" s="2118" t="s">
        <v>70</v>
      </c>
      <c r="E756" s="672" t="s">
        <v>12492</v>
      </c>
      <c r="F756" s="2118">
        <v>2</v>
      </c>
      <c r="G756" s="2120" t="s">
        <v>12493</v>
      </c>
      <c r="H756" s="2118"/>
      <c r="I756" s="2118" t="s">
        <v>93</v>
      </c>
      <c r="J756" s="2118"/>
      <c r="K756" s="2121">
        <v>12762744</v>
      </c>
      <c r="L756" s="2118" t="s">
        <v>251</v>
      </c>
      <c r="M756" s="2117">
        <v>44764</v>
      </c>
      <c r="N756" s="2117">
        <v>44820</v>
      </c>
      <c r="O756" s="2117">
        <v>44860</v>
      </c>
      <c r="P756" s="2120" t="s">
        <v>2548</v>
      </c>
      <c r="Q756" s="2118"/>
      <c r="R756" s="2121">
        <v>12762743.4</v>
      </c>
      <c r="S756" s="2121">
        <v>14039017.74</v>
      </c>
      <c r="T756" s="2122"/>
      <c r="U756" s="2122"/>
      <c r="V756" s="2122"/>
      <c r="W756" s="2123">
        <v>44860</v>
      </c>
      <c r="X756" s="2121" t="s">
        <v>13410</v>
      </c>
      <c r="Y756" s="2117">
        <v>44901</v>
      </c>
      <c r="Z756" s="2117">
        <v>44911</v>
      </c>
      <c r="AA756" s="2117">
        <v>45996</v>
      </c>
      <c r="AB756" s="2110" t="s">
        <v>13732</v>
      </c>
      <c r="AC756" s="2110">
        <v>2023</v>
      </c>
      <c r="AD756" s="388">
        <v>2024</v>
      </c>
      <c r="AE756" s="388" t="s">
        <v>13733</v>
      </c>
    </row>
    <row r="757" spans="1:43" ht="15.75" thickTop="1">
      <c r="A757" s="428">
        <v>44756</v>
      </c>
      <c r="B757" s="1371" t="s">
        <v>12494</v>
      </c>
      <c r="C757" s="425" t="s">
        <v>69</v>
      </c>
      <c r="D757" s="425" t="s">
        <v>70</v>
      </c>
      <c r="E757" s="426" t="s">
        <v>12506</v>
      </c>
      <c r="F757" s="425">
        <v>1</v>
      </c>
      <c r="G757" s="1371" t="s">
        <v>12497</v>
      </c>
      <c r="H757" s="425"/>
      <c r="I757" s="425" t="s">
        <v>68</v>
      </c>
      <c r="J757" s="425"/>
      <c r="K757" s="429">
        <v>917428</v>
      </c>
      <c r="L757" s="425" t="s">
        <v>251</v>
      </c>
      <c r="M757" s="428">
        <v>44796</v>
      </c>
      <c r="N757" s="428">
        <v>44874</v>
      </c>
      <c r="O757" s="425"/>
      <c r="P757" s="1371"/>
      <c r="Q757" s="425"/>
      <c r="R757" s="429"/>
      <c r="S757" s="429"/>
      <c r="T757" s="1605"/>
      <c r="U757" s="1605"/>
      <c r="V757" s="1605"/>
      <c r="W757" s="429"/>
      <c r="X757" s="429"/>
      <c r="Y757" s="425"/>
      <c r="Z757" s="425"/>
      <c r="AA757" s="425"/>
      <c r="AB757" s="425"/>
      <c r="AC757" s="425"/>
    </row>
    <row r="758" spans="1:43">
      <c r="A758" s="2153">
        <v>44756</v>
      </c>
      <c r="B758" s="1422" t="s">
        <v>12495</v>
      </c>
      <c r="C758" s="2154" t="s">
        <v>69</v>
      </c>
      <c r="D758" s="2154" t="s">
        <v>70</v>
      </c>
      <c r="E758" s="2155" t="s">
        <v>12506</v>
      </c>
      <c r="F758" s="2154">
        <v>2</v>
      </c>
      <c r="G758" s="2156" t="s">
        <v>12498</v>
      </c>
      <c r="H758" s="2154"/>
      <c r="I758" s="2154" t="s">
        <v>68</v>
      </c>
      <c r="J758" s="2154"/>
      <c r="K758" s="2157">
        <v>2337932</v>
      </c>
      <c r="L758" s="2154" t="s">
        <v>251</v>
      </c>
      <c r="M758" s="2153">
        <v>44796</v>
      </c>
      <c r="N758" s="2153">
        <v>44874</v>
      </c>
      <c r="O758" s="2154"/>
      <c r="P758" s="2156"/>
      <c r="Q758" s="2154"/>
      <c r="R758" s="2157"/>
      <c r="S758" s="2157"/>
      <c r="T758" s="2415"/>
      <c r="U758" s="2415"/>
      <c r="V758" s="2415"/>
      <c r="W758" s="2157"/>
      <c r="X758" s="2157"/>
      <c r="Y758" s="2154"/>
      <c r="Z758" s="2154"/>
      <c r="AA758" s="2154"/>
      <c r="AB758" s="2154"/>
      <c r="AC758" s="2154"/>
    </row>
    <row r="759" spans="1:43" ht="15.75" thickBot="1">
      <c r="A759" s="2152">
        <v>44756</v>
      </c>
      <c r="B759" s="2437" t="s">
        <v>12496</v>
      </c>
      <c r="C759" s="2297" t="s">
        <v>69</v>
      </c>
      <c r="D759" s="2297" t="s">
        <v>70</v>
      </c>
      <c r="E759" s="2298" t="s">
        <v>12506</v>
      </c>
      <c r="F759" s="2297">
        <v>3</v>
      </c>
      <c r="G759" s="2300" t="s">
        <v>12499</v>
      </c>
      <c r="H759" s="2297"/>
      <c r="I759" s="2297" t="s">
        <v>68</v>
      </c>
      <c r="J759" s="2297"/>
      <c r="K759" s="2299">
        <v>14089353</v>
      </c>
      <c r="L759" s="2297" t="s">
        <v>251</v>
      </c>
      <c r="M759" s="2152">
        <v>44796</v>
      </c>
      <c r="N759" s="2152">
        <v>44874</v>
      </c>
      <c r="O759" s="2297"/>
      <c r="P759" s="2300"/>
      <c r="Q759" s="2297"/>
      <c r="R759" s="2299"/>
      <c r="S759" s="2299"/>
      <c r="T759" s="2443"/>
      <c r="U759" s="2443"/>
      <c r="V759" s="2443"/>
      <c r="W759" s="2299"/>
      <c r="X759" s="2299"/>
      <c r="Y759" s="2297"/>
      <c r="Z759" s="2297"/>
      <c r="AA759" s="2297"/>
      <c r="AB759" s="2297"/>
      <c r="AC759" s="2297"/>
    </row>
    <row r="760" spans="1:43" ht="31.5" thickTop="1" thickBot="1">
      <c r="A760" s="289">
        <v>44753</v>
      </c>
      <c r="B760" s="2650" t="s">
        <v>12521</v>
      </c>
      <c r="C760" s="232" t="s">
        <v>58</v>
      </c>
      <c r="D760" s="232" t="s">
        <v>55</v>
      </c>
      <c r="E760" s="2321" t="s">
        <v>12520</v>
      </c>
      <c r="F760" s="274"/>
      <c r="G760" s="274"/>
      <c r="H760" s="274"/>
      <c r="I760" s="232" t="s">
        <v>539</v>
      </c>
      <c r="J760" s="274"/>
      <c r="K760" s="497">
        <v>1660000</v>
      </c>
      <c r="L760" s="232" t="s">
        <v>112</v>
      </c>
      <c r="M760" s="498">
        <v>44781</v>
      </c>
      <c r="N760" s="498">
        <v>44790</v>
      </c>
      <c r="O760" s="498">
        <v>44812</v>
      </c>
      <c r="P760" s="274" t="s">
        <v>3151</v>
      </c>
      <c r="Q760" s="274"/>
      <c r="R760" s="497">
        <v>1696688</v>
      </c>
      <c r="S760" s="497">
        <v>2052992.48</v>
      </c>
      <c r="T760" s="2735"/>
      <c r="U760" s="2735"/>
      <c r="V760" s="2735"/>
      <c r="W760" s="682">
        <v>44812</v>
      </c>
      <c r="X760" s="1752" t="s">
        <v>13038</v>
      </c>
      <c r="Y760" s="498">
        <v>44840</v>
      </c>
      <c r="Z760" s="498">
        <v>44851</v>
      </c>
      <c r="AA760" s="498">
        <v>44896</v>
      </c>
      <c r="AB760" s="1546"/>
      <c r="AC760" s="1546" t="s">
        <v>1875</v>
      </c>
      <c r="AD760" s="390"/>
      <c r="AE760" s="390"/>
      <c r="AF760" s="1944"/>
      <c r="AG760" s="1944"/>
      <c r="AH760" s="1944"/>
      <c r="AI760" s="1944"/>
      <c r="AJ760" s="1944"/>
      <c r="AK760" s="1944"/>
      <c r="AL760" s="1944"/>
      <c r="AM760" s="1944"/>
      <c r="AN760" s="1944"/>
      <c r="AO760" s="1944"/>
      <c r="AP760" s="1944"/>
      <c r="AQ760" s="1944"/>
    </row>
    <row r="761" spans="1:43" ht="30.75" thickTop="1">
      <c r="A761" s="474">
        <v>44740</v>
      </c>
      <c r="B761" s="1420" t="s">
        <v>12522</v>
      </c>
      <c r="C761" s="453" t="s">
        <v>2434</v>
      </c>
      <c r="D761" s="453" t="s">
        <v>3204</v>
      </c>
      <c r="E761" s="473" t="s">
        <v>12523</v>
      </c>
      <c r="F761" s="453">
        <v>1</v>
      </c>
      <c r="G761" s="1420" t="s">
        <v>6953</v>
      </c>
      <c r="H761" s="453"/>
      <c r="I761" s="453" t="s">
        <v>642</v>
      </c>
      <c r="J761" s="453"/>
      <c r="K761" s="457">
        <v>2580000</v>
      </c>
      <c r="L761" s="453" t="s">
        <v>251</v>
      </c>
      <c r="M761" s="474">
        <v>44768</v>
      </c>
      <c r="N761" s="474">
        <v>44803</v>
      </c>
      <c r="O761" s="474">
        <v>44847</v>
      </c>
      <c r="P761" s="1420" t="s">
        <v>7296</v>
      </c>
      <c r="Q761" s="453"/>
      <c r="R761" s="457">
        <v>2580000</v>
      </c>
      <c r="S761" s="457">
        <v>2967000</v>
      </c>
      <c r="T761" s="1474"/>
      <c r="U761" s="1474"/>
      <c r="V761" s="1474"/>
      <c r="W761" s="570">
        <v>44847</v>
      </c>
      <c r="X761" s="1387" t="s">
        <v>13289</v>
      </c>
      <c r="Y761" s="474">
        <v>44881</v>
      </c>
      <c r="Z761" s="474">
        <v>44904</v>
      </c>
      <c r="AA761" s="474">
        <v>45976</v>
      </c>
      <c r="AB761" s="1391" t="s">
        <v>13549</v>
      </c>
      <c r="AC761" s="1391">
        <v>2023</v>
      </c>
      <c r="AD761" s="388">
        <v>2024</v>
      </c>
      <c r="AE761" s="388" t="s">
        <v>13550</v>
      </c>
    </row>
    <row r="762" spans="1:43" ht="30">
      <c r="A762" s="2140">
        <v>44740</v>
      </c>
      <c r="B762" s="2143" t="s">
        <v>12524</v>
      </c>
      <c r="C762" s="2141" t="s">
        <v>2434</v>
      </c>
      <c r="D762" s="2141" t="s">
        <v>3204</v>
      </c>
      <c r="E762" s="2142" t="s">
        <v>12523</v>
      </c>
      <c r="F762" s="2141">
        <v>2</v>
      </c>
      <c r="G762" s="2143" t="s">
        <v>6954</v>
      </c>
      <c r="H762" s="2141"/>
      <c r="I762" s="2141" t="s">
        <v>642</v>
      </c>
      <c r="J762" s="2141"/>
      <c r="K762" s="2144">
        <v>4110000</v>
      </c>
      <c r="L762" s="2141" t="s">
        <v>251</v>
      </c>
      <c r="M762" s="2140">
        <v>44768</v>
      </c>
      <c r="N762" s="2140">
        <v>44803</v>
      </c>
      <c r="O762" s="2140">
        <v>44847</v>
      </c>
      <c r="P762" s="2143" t="s">
        <v>7296</v>
      </c>
      <c r="Q762" s="2141"/>
      <c r="R762" s="2144">
        <v>4110000</v>
      </c>
      <c r="S762" s="2144">
        <v>4726500</v>
      </c>
      <c r="T762" s="2145"/>
      <c r="U762" s="2145"/>
      <c r="V762" s="2145"/>
      <c r="W762" s="2146">
        <v>44847</v>
      </c>
      <c r="X762" s="2260" t="s">
        <v>13290</v>
      </c>
      <c r="Y762" s="2140">
        <v>44881</v>
      </c>
      <c r="Z762" s="2140">
        <v>44904</v>
      </c>
      <c r="AA762" s="2140">
        <v>45976</v>
      </c>
      <c r="AB762" s="2109" t="s">
        <v>13549</v>
      </c>
      <c r="AC762" s="2109">
        <v>2023</v>
      </c>
      <c r="AD762" s="388">
        <v>2024</v>
      </c>
      <c r="AE762" s="388" t="s">
        <v>13550</v>
      </c>
    </row>
    <row r="763" spans="1:43" ht="30">
      <c r="A763" s="2140">
        <v>44740</v>
      </c>
      <c r="B763" s="2143" t="s">
        <v>12525</v>
      </c>
      <c r="C763" s="2141" t="s">
        <v>2434</v>
      </c>
      <c r="D763" s="2141" t="s">
        <v>3204</v>
      </c>
      <c r="E763" s="2142" t="s">
        <v>12523</v>
      </c>
      <c r="F763" s="2141">
        <v>3</v>
      </c>
      <c r="G763" s="2143" t="s">
        <v>12528</v>
      </c>
      <c r="H763" s="2141"/>
      <c r="I763" s="2141" t="s">
        <v>642</v>
      </c>
      <c r="J763" s="2141"/>
      <c r="K763" s="2144">
        <v>8384200</v>
      </c>
      <c r="L763" s="2141" t="s">
        <v>251</v>
      </c>
      <c r="M763" s="2140">
        <v>44768</v>
      </c>
      <c r="N763" s="2140">
        <v>44803</v>
      </c>
      <c r="O763" s="2140">
        <v>44847</v>
      </c>
      <c r="P763" s="2143" t="s">
        <v>7296</v>
      </c>
      <c r="Q763" s="2141"/>
      <c r="R763" s="2144">
        <v>8384200</v>
      </c>
      <c r="S763" s="2144">
        <v>9641830</v>
      </c>
      <c r="T763" s="2145"/>
      <c r="U763" s="2145"/>
      <c r="V763" s="2145"/>
      <c r="W763" s="2146">
        <v>44847</v>
      </c>
      <c r="X763" s="2260" t="s">
        <v>13291</v>
      </c>
      <c r="Y763" s="2140">
        <v>44881</v>
      </c>
      <c r="Z763" s="2140">
        <v>44904</v>
      </c>
      <c r="AA763" s="2140">
        <v>45976</v>
      </c>
      <c r="AB763" s="2109" t="s">
        <v>13549</v>
      </c>
      <c r="AC763" s="2109">
        <v>2023</v>
      </c>
      <c r="AD763" s="388">
        <v>2024</v>
      </c>
      <c r="AE763" s="388" t="s">
        <v>13550</v>
      </c>
    </row>
    <row r="764" spans="1:43" ht="30">
      <c r="A764" s="2140">
        <v>44740</v>
      </c>
      <c r="B764" s="2143" t="s">
        <v>12526</v>
      </c>
      <c r="C764" s="2141" t="s">
        <v>2434</v>
      </c>
      <c r="D764" s="2141" t="s">
        <v>3204</v>
      </c>
      <c r="E764" s="2142" t="s">
        <v>12523</v>
      </c>
      <c r="F764" s="2141">
        <v>4</v>
      </c>
      <c r="G764" s="2143" t="s">
        <v>12529</v>
      </c>
      <c r="H764" s="2141"/>
      <c r="I764" s="2141" t="s">
        <v>642</v>
      </c>
      <c r="J764" s="2141"/>
      <c r="K764" s="2144">
        <v>4362500</v>
      </c>
      <c r="L764" s="2141" t="s">
        <v>251</v>
      </c>
      <c r="M764" s="2140">
        <v>44768</v>
      </c>
      <c r="N764" s="2140">
        <v>44803</v>
      </c>
      <c r="O764" s="2140">
        <v>44847</v>
      </c>
      <c r="P764" s="2143" t="s">
        <v>7296</v>
      </c>
      <c r="Q764" s="2141"/>
      <c r="R764" s="2144">
        <v>4362500</v>
      </c>
      <c r="S764" s="2144">
        <v>5016875</v>
      </c>
      <c r="T764" s="2145"/>
      <c r="U764" s="2145"/>
      <c r="V764" s="2145"/>
      <c r="W764" s="2146">
        <v>44847</v>
      </c>
      <c r="X764" s="2260" t="s">
        <v>13292</v>
      </c>
      <c r="Y764" s="2140">
        <v>44881</v>
      </c>
      <c r="Z764" s="2140">
        <v>44904</v>
      </c>
      <c r="AA764" s="2140">
        <v>45976</v>
      </c>
      <c r="AB764" s="2109" t="s">
        <v>13549</v>
      </c>
      <c r="AC764" s="2109">
        <v>2023</v>
      </c>
      <c r="AD764" s="388">
        <v>2024</v>
      </c>
      <c r="AE764" s="388" t="s">
        <v>13550</v>
      </c>
    </row>
    <row r="765" spans="1:43" ht="30.75" thickBot="1">
      <c r="A765" s="2117">
        <v>44740</v>
      </c>
      <c r="B765" s="2120" t="s">
        <v>12527</v>
      </c>
      <c r="C765" s="2118" t="s">
        <v>2434</v>
      </c>
      <c r="D765" s="2118" t="s">
        <v>3204</v>
      </c>
      <c r="E765" s="2119" t="s">
        <v>12523</v>
      </c>
      <c r="F765" s="2118">
        <v>5</v>
      </c>
      <c r="G765" s="2120" t="s">
        <v>12530</v>
      </c>
      <c r="H765" s="2118"/>
      <c r="I765" s="2118" t="s">
        <v>642</v>
      </c>
      <c r="J765" s="2118"/>
      <c r="K765" s="2121">
        <v>3785500</v>
      </c>
      <c r="L765" s="2118" t="s">
        <v>251</v>
      </c>
      <c r="M765" s="2117">
        <v>44768</v>
      </c>
      <c r="N765" s="2117">
        <v>44803</v>
      </c>
      <c r="O765" s="2117">
        <v>44847</v>
      </c>
      <c r="P765" s="2120" t="s">
        <v>7296</v>
      </c>
      <c r="Q765" s="2118"/>
      <c r="R765" s="2121">
        <v>3785500</v>
      </c>
      <c r="S765" s="2121">
        <v>4353325</v>
      </c>
      <c r="T765" s="2122"/>
      <c r="U765" s="2122"/>
      <c r="V765" s="2122"/>
      <c r="W765" s="2123">
        <v>44847</v>
      </c>
      <c r="X765" s="2246" t="s">
        <v>13293</v>
      </c>
      <c r="Y765" s="2117">
        <v>44881</v>
      </c>
      <c r="Z765" s="2117">
        <v>44904</v>
      </c>
      <c r="AA765" s="2117">
        <v>45976</v>
      </c>
      <c r="AB765" s="2110" t="s">
        <v>13549</v>
      </c>
      <c r="AC765" s="2110">
        <v>2023</v>
      </c>
      <c r="AD765" s="388">
        <v>2024</v>
      </c>
      <c r="AE765" s="388" t="s">
        <v>13550</v>
      </c>
    </row>
    <row r="766" spans="1:43" ht="45.75" thickTop="1">
      <c r="A766" s="365">
        <v>44749</v>
      </c>
      <c r="B766" s="2795" t="s">
        <v>12534</v>
      </c>
      <c r="C766" s="2794" t="s">
        <v>58</v>
      </c>
      <c r="D766" s="2794" t="s">
        <v>918</v>
      </c>
      <c r="E766" s="175" t="s">
        <v>898</v>
      </c>
      <c r="F766" s="2794"/>
      <c r="G766" s="2795"/>
      <c r="H766" s="2794"/>
      <c r="I766" s="2794" t="s">
        <v>4312</v>
      </c>
      <c r="J766" s="2794"/>
      <c r="K766" s="364">
        <v>42000000</v>
      </c>
      <c r="L766" s="2794" t="s">
        <v>251</v>
      </c>
      <c r="M766" s="365">
        <v>44806</v>
      </c>
      <c r="N766" s="365">
        <v>44840</v>
      </c>
      <c r="O766" s="365">
        <v>44869</v>
      </c>
      <c r="P766" s="2795" t="s">
        <v>993</v>
      </c>
      <c r="Q766" s="2794"/>
      <c r="R766" s="364">
        <v>55760214.439999998</v>
      </c>
      <c r="S766" s="364">
        <v>67469859.469999999</v>
      </c>
      <c r="T766" s="1473"/>
      <c r="U766" s="1473"/>
      <c r="V766" s="1473"/>
      <c r="W766" s="681">
        <v>44869</v>
      </c>
      <c r="X766" s="1417" t="s">
        <v>13491</v>
      </c>
      <c r="Y766" s="365">
        <v>44897</v>
      </c>
      <c r="Z766" s="365">
        <v>44908</v>
      </c>
      <c r="AA766" s="365">
        <v>45261</v>
      </c>
      <c r="AB766" s="451"/>
      <c r="AC766" s="451" t="s">
        <v>6118</v>
      </c>
    </row>
    <row r="767" spans="1:43" ht="30">
      <c r="A767" s="2140">
        <v>44750</v>
      </c>
      <c r="B767" s="2143" t="s">
        <v>12545</v>
      </c>
      <c r="C767" s="2141" t="s">
        <v>58</v>
      </c>
      <c r="D767" s="2141" t="s">
        <v>55</v>
      </c>
      <c r="E767" s="2142" t="s">
        <v>2969</v>
      </c>
      <c r="F767" s="2141"/>
      <c r="G767" s="2143"/>
      <c r="H767" s="2141"/>
      <c r="I767" s="2141" t="s">
        <v>12546</v>
      </c>
      <c r="J767" s="2141"/>
      <c r="K767" s="2144">
        <v>610000</v>
      </c>
      <c r="L767" s="2141" t="s">
        <v>112</v>
      </c>
      <c r="M767" s="2140">
        <v>44770</v>
      </c>
      <c r="N767" s="2140">
        <v>44783</v>
      </c>
      <c r="O767" s="2140">
        <v>44798</v>
      </c>
      <c r="P767" s="2143" t="s">
        <v>11529</v>
      </c>
      <c r="Q767" s="2141"/>
      <c r="R767" s="2144">
        <v>419582</v>
      </c>
      <c r="S767" s="2144">
        <v>507694.22</v>
      </c>
      <c r="T767" s="2145"/>
      <c r="U767" s="2145"/>
      <c r="V767" s="2145"/>
      <c r="W767" s="2146">
        <v>44798</v>
      </c>
      <c r="X767" s="2260" t="s">
        <v>12873</v>
      </c>
      <c r="Y767" s="2140">
        <v>44839</v>
      </c>
      <c r="Z767" s="2140">
        <v>44840</v>
      </c>
      <c r="AA767" s="2140">
        <v>44895</v>
      </c>
      <c r="AB767" s="2109"/>
      <c r="AC767" s="2109" t="s">
        <v>1875</v>
      </c>
    </row>
    <row r="768" spans="1:43">
      <c r="A768" s="2140">
        <v>44753</v>
      </c>
      <c r="B768" s="2143" t="s">
        <v>12547</v>
      </c>
      <c r="C768" s="2141" t="s">
        <v>1032</v>
      </c>
      <c r="D768" s="2141" t="s">
        <v>361</v>
      </c>
      <c r="E768" s="2142" t="s">
        <v>12548</v>
      </c>
      <c r="F768" s="2141"/>
      <c r="G768" s="2143"/>
      <c r="H768" s="2141"/>
      <c r="I768" s="2141" t="s">
        <v>12549</v>
      </c>
      <c r="J768" s="2141"/>
      <c r="K768" s="2144">
        <v>3200000</v>
      </c>
      <c r="L768" s="2141" t="s">
        <v>216</v>
      </c>
      <c r="M768" s="2140">
        <v>44768</v>
      </c>
      <c r="N768" s="2140">
        <v>44792</v>
      </c>
      <c r="O768" s="2140">
        <v>44813</v>
      </c>
      <c r="P768" s="2143" t="s">
        <v>12999</v>
      </c>
      <c r="Q768" s="2141"/>
      <c r="R768" s="2144">
        <v>3193800</v>
      </c>
      <c r="S768" s="2144">
        <v>3864498</v>
      </c>
      <c r="T768" s="2145"/>
      <c r="U768" s="2145"/>
      <c r="V768" s="2145"/>
      <c r="W768" s="2146">
        <v>44813</v>
      </c>
      <c r="X768" s="2144" t="s">
        <v>13039</v>
      </c>
      <c r="Y768" s="2140">
        <v>44852</v>
      </c>
      <c r="Z768" s="2140">
        <v>44861</v>
      </c>
      <c r="AA768" s="2140">
        <v>46312</v>
      </c>
      <c r="AB768" s="2109"/>
      <c r="AC768" s="2106"/>
    </row>
    <row r="769" spans="1:43" ht="30.75" thickBot="1">
      <c r="A769" s="464">
        <v>44742</v>
      </c>
      <c r="B769" s="1425" t="s">
        <v>12550</v>
      </c>
      <c r="C769" s="406" t="s">
        <v>2434</v>
      </c>
      <c r="D769" s="406" t="s">
        <v>3204</v>
      </c>
      <c r="E769" s="462" t="s">
        <v>12551</v>
      </c>
      <c r="F769" s="406"/>
      <c r="G769" s="1425"/>
      <c r="H769" s="1437"/>
      <c r="I769" s="406" t="s">
        <v>642</v>
      </c>
      <c r="J769" s="406"/>
      <c r="K769" s="465">
        <v>3841734.5</v>
      </c>
      <c r="L769" s="406" t="s">
        <v>251</v>
      </c>
      <c r="M769" s="464">
        <v>44775</v>
      </c>
      <c r="N769" s="464">
        <v>44809</v>
      </c>
      <c r="O769" s="464">
        <v>44848</v>
      </c>
      <c r="P769" s="1425" t="s">
        <v>2776</v>
      </c>
      <c r="Q769" s="406"/>
      <c r="R769" s="465">
        <v>3841694.21</v>
      </c>
      <c r="S769" s="465">
        <v>4648450</v>
      </c>
      <c r="T769" s="1490"/>
      <c r="U769" s="1490"/>
      <c r="V769" s="1490"/>
      <c r="W769" s="1809">
        <v>44848</v>
      </c>
      <c r="X769" s="1829" t="s">
        <v>13312</v>
      </c>
      <c r="Y769" s="406"/>
      <c r="Z769" s="406"/>
      <c r="AA769" s="406"/>
      <c r="AB769" s="406"/>
      <c r="AC769" s="406"/>
    </row>
    <row r="770" spans="1:43" ht="15.75" thickTop="1">
      <c r="A770" s="443">
        <v>44741</v>
      </c>
      <c r="B770" s="1431" t="s">
        <v>12552</v>
      </c>
      <c r="C770" s="439" t="s">
        <v>2434</v>
      </c>
      <c r="D770" s="439" t="s">
        <v>3204</v>
      </c>
      <c r="E770" s="440" t="s">
        <v>12553</v>
      </c>
      <c r="F770" s="439">
        <v>1</v>
      </c>
      <c r="G770" s="1431" t="s">
        <v>12555</v>
      </c>
      <c r="H770" s="439"/>
      <c r="I770" s="439" t="s">
        <v>642</v>
      </c>
      <c r="J770" s="439"/>
      <c r="K770" s="444">
        <v>23889652</v>
      </c>
      <c r="L770" s="439" t="s">
        <v>251</v>
      </c>
      <c r="M770" s="443">
        <v>44778</v>
      </c>
      <c r="N770" s="443">
        <v>44811</v>
      </c>
      <c r="O770" s="439"/>
      <c r="P770" s="753" t="s">
        <v>9147</v>
      </c>
      <c r="Q770" s="2015" t="s">
        <v>12943</v>
      </c>
      <c r="R770" s="444"/>
      <c r="S770" s="444"/>
      <c r="T770" s="1481"/>
      <c r="U770" s="1481"/>
      <c r="V770" s="1481"/>
      <c r="W770" s="444"/>
      <c r="X770" s="444"/>
      <c r="Y770" s="439"/>
      <c r="Z770" s="443">
        <v>44810</v>
      </c>
      <c r="AA770" s="1431" t="s">
        <v>12817</v>
      </c>
      <c r="AB770" s="439"/>
      <c r="AC770" s="439"/>
    </row>
    <row r="771" spans="1:43" ht="30.75" thickBot="1">
      <c r="A771" s="2152">
        <v>44741</v>
      </c>
      <c r="B771" s="2300" t="s">
        <v>12554</v>
      </c>
      <c r="C771" s="2297" t="s">
        <v>2434</v>
      </c>
      <c r="D771" s="2297" t="s">
        <v>3204</v>
      </c>
      <c r="E771" s="2298" t="s">
        <v>12553</v>
      </c>
      <c r="F771" s="2297">
        <v>2</v>
      </c>
      <c r="G771" s="2300" t="s">
        <v>12556</v>
      </c>
      <c r="H771" s="2089"/>
      <c r="I771" s="2297" t="s">
        <v>642</v>
      </c>
      <c r="J771" s="2297"/>
      <c r="K771" s="2299">
        <v>3636364</v>
      </c>
      <c r="L771" s="2297" t="s">
        <v>251</v>
      </c>
      <c r="M771" s="2152">
        <v>44778</v>
      </c>
      <c r="N771" s="2152">
        <v>44844</v>
      </c>
      <c r="O771" s="2152">
        <v>44900</v>
      </c>
      <c r="P771" s="2300" t="s">
        <v>2776</v>
      </c>
      <c r="Q771" s="2297"/>
      <c r="R771" s="2299">
        <v>3965289.26</v>
      </c>
      <c r="S771" s="2299">
        <v>4798000</v>
      </c>
      <c r="T771" s="2095"/>
      <c r="U771" s="2095"/>
      <c r="V771" s="2095"/>
      <c r="W771" s="2315">
        <v>44900</v>
      </c>
      <c r="X771" s="2341" t="s">
        <v>13703</v>
      </c>
      <c r="Y771" s="2297"/>
      <c r="Z771" s="2297"/>
      <c r="AA771" s="2297" t="s">
        <v>13530</v>
      </c>
      <c r="AB771" s="2297"/>
      <c r="AC771" s="2297"/>
    </row>
    <row r="772" spans="1:43" ht="30.75" thickTop="1">
      <c r="A772" s="365">
        <v>44762</v>
      </c>
      <c r="B772" s="2720" t="s">
        <v>12557</v>
      </c>
      <c r="C772" s="2719" t="s">
        <v>58</v>
      </c>
      <c r="D772" s="2719" t="s">
        <v>4969</v>
      </c>
      <c r="E772" s="175" t="s">
        <v>5941</v>
      </c>
      <c r="F772" s="2719"/>
      <c r="G772" s="2720"/>
      <c r="H772" s="2719"/>
      <c r="I772" s="2719" t="s">
        <v>421</v>
      </c>
      <c r="J772" s="2719" t="s">
        <v>12558</v>
      </c>
      <c r="K772" s="364">
        <v>272712</v>
      </c>
      <c r="L772" s="2719" t="s">
        <v>112</v>
      </c>
      <c r="M772" s="365">
        <v>44767</v>
      </c>
      <c r="N772" s="365">
        <v>44777</v>
      </c>
      <c r="O772" s="365">
        <v>44789</v>
      </c>
      <c r="P772" s="2720" t="s">
        <v>12771</v>
      </c>
      <c r="Q772" s="2719"/>
      <c r="R772" s="364">
        <v>229760</v>
      </c>
      <c r="S772" s="364">
        <v>278009.59999999998</v>
      </c>
      <c r="T772" s="1473"/>
      <c r="U772" s="1473"/>
      <c r="V772" s="1473"/>
      <c r="W772" s="681">
        <v>44789</v>
      </c>
      <c r="X772" s="1417" t="s">
        <v>12770</v>
      </c>
      <c r="Y772" s="365">
        <v>44818</v>
      </c>
      <c r="Z772" s="365">
        <v>44820</v>
      </c>
      <c r="AA772" s="365">
        <v>44828</v>
      </c>
      <c r="AB772" s="451"/>
      <c r="AC772" s="451" t="s">
        <v>1875</v>
      </c>
    </row>
    <row r="773" spans="1:43">
      <c r="A773" s="2124">
        <v>44762</v>
      </c>
      <c r="B773" s="2127" t="s">
        <v>12560</v>
      </c>
      <c r="C773" s="2125" t="s">
        <v>58</v>
      </c>
      <c r="D773" s="2125" t="s">
        <v>4969</v>
      </c>
      <c r="E773" s="2126" t="s">
        <v>12561</v>
      </c>
      <c r="F773" s="2125"/>
      <c r="G773" s="2127"/>
      <c r="H773" s="2125"/>
      <c r="I773" s="2125" t="s">
        <v>7065</v>
      </c>
      <c r="J773" s="2125" t="s">
        <v>12562</v>
      </c>
      <c r="K773" s="2128">
        <v>162000</v>
      </c>
      <c r="L773" s="2125" t="s">
        <v>112</v>
      </c>
      <c r="M773" s="2124">
        <v>44767</v>
      </c>
      <c r="N773" s="2124">
        <v>44776</v>
      </c>
      <c r="O773" s="2125"/>
      <c r="P773" s="2136" t="s">
        <v>9147</v>
      </c>
      <c r="Q773" s="2275" t="s">
        <v>12750</v>
      </c>
      <c r="R773" s="2128"/>
      <c r="S773" s="2128"/>
      <c r="T773" s="2129"/>
      <c r="U773" s="2129"/>
      <c r="V773" s="2129"/>
      <c r="W773" s="2128"/>
      <c r="X773" s="2128"/>
      <c r="Y773" s="2125"/>
      <c r="Z773" s="2124">
        <v>44783</v>
      </c>
      <c r="AA773" s="2125"/>
      <c r="AB773" s="2125"/>
      <c r="AC773" s="2125"/>
    </row>
    <row r="774" spans="1:43">
      <c r="A774" s="2124">
        <v>44762</v>
      </c>
      <c r="B774" s="2127" t="s">
        <v>12563</v>
      </c>
      <c r="C774" s="2125" t="s">
        <v>1032</v>
      </c>
      <c r="D774" s="2125" t="s">
        <v>361</v>
      </c>
      <c r="E774" s="2126" t="s">
        <v>3158</v>
      </c>
      <c r="F774" s="2125"/>
      <c r="G774" s="2127"/>
      <c r="H774" s="2085"/>
      <c r="I774" s="2125" t="s">
        <v>12564</v>
      </c>
      <c r="J774" s="2125"/>
      <c r="K774" s="2128">
        <v>7500000</v>
      </c>
      <c r="L774" s="2125" t="s">
        <v>216</v>
      </c>
      <c r="M774" s="2124">
        <v>44764</v>
      </c>
      <c r="N774" s="2124">
        <v>44785</v>
      </c>
      <c r="O774" s="2125"/>
      <c r="P774" s="2136" t="s">
        <v>304</v>
      </c>
      <c r="Q774" s="2275" t="s">
        <v>12768</v>
      </c>
      <c r="R774" s="2128"/>
      <c r="S774" s="2128"/>
      <c r="T774" s="2094"/>
      <c r="U774" s="2094"/>
      <c r="V774" s="2094"/>
      <c r="W774" s="2128"/>
      <c r="X774" s="2128"/>
      <c r="Y774" s="2125"/>
      <c r="Z774" s="2124">
        <v>44796</v>
      </c>
      <c r="AA774" s="2127" t="s">
        <v>12831</v>
      </c>
      <c r="AB774" s="2125"/>
      <c r="AC774" s="2125"/>
    </row>
    <row r="775" spans="1:43" ht="45">
      <c r="A775" s="2141" t="s">
        <v>3585</v>
      </c>
      <c r="B775" s="2143" t="s">
        <v>12568</v>
      </c>
      <c r="C775" s="2141" t="s">
        <v>58</v>
      </c>
      <c r="D775" s="2141" t="s">
        <v>4969</v>
      </c>
      <c r="E775" s="2142" t="s">
        <v>12567</v>
      </c>
      <c r="F775" s="2141"/>
      <c r="G775" s="2143"/>
      <c r="H775" s="2141"/>
      <c r="I775" s="2141" t="s">
        <v>1159</v>
      </c>
      <c r="J775" s="2141" t="s">
        <v>12297</v>
      </c>
      <c r="K775" s="2144">
        <v>1777000</v>
      </c>
      <c r="L775" s="2141" t="s">
        <v>112</v>
      </c>
      <c r="M775" s="2140">
        <v>44767</v>
      </c>
      <c r="N775" s="2140">
        <v>44776</v>
      </c>
      <c r="O775" s="2140">
        <v>44784</v>
      </c>
      <c r="P775" s="2143" t="s">
        <v>2498</v>
      </c>
      <c r="Q775" s="2141"/>
      <c r="R775" s="2144">
        <v>1663005.11</v>
      </c>
      <c r="S775" s="2144">
        <v>2012236.18</v>
      </c>
      <c r="T775" s="2145"/>
      <c r="U775" s="2145"/>
      <c r="V775" s="2145"/>
      <c r="W775" s="2146">
        <v>44784</v>
      </c>
      <c r="X775" s="2260" t="s">
        <v>12756</v>
      </c>
      <c r="Y775" s="2271">
        <v>44817</v>
      </c>
      <c r="Z775" s="2140">
        <v>44819</v>
      </c>
      <c r="AA775" s="2140">
        <v>44887</v>
      </c>
      <c r="AB775" s="2109"/>
      <c r="AC775" s="2109" t="s">
        <v>6118</v>
      </c>
    </row>
    <row r="776" spans="1:43">
      <c r="A776" s="2140">
        <v>44764</v>
      </c>
      <c r="B776" s="2143" t="s">
        <v>12569</v>
      </c>
      <c r="C776" s="2141" t="s">
        <v>52</v>
      </c>
      <c r="D776" s="2141" t="s">
        <v>10114</v>
      </c>
      <c r="E776" s="2142" t="s">
        <v>12570</v>
      </c>
      <c r="F776" s="2141"/>
      <c r="G776" s="2143"/>
      <c r="H776" s="2141"/>
      <c r="I776" s="2141" t="s">
        <v>12571</v>
      </c>
      <c r="J776" s="2141"/>
      <c r="K776" s="2144">
        <v>1000000</v>
      </c>
      <c r="L776" s="2141" t="s">
        <v>112</v>
      </c>
      <c r="M776" s="2140">
        <v>44767</v>
      </c>
      <c r="N776" s="2140">
        <v>44782</v>
      </c>
      <c r="O776" s="2140">
        <v>44785</v>
      </c>
      <c r="P776" s="2143" t="s">
        <v>12692</v>
      </c>
      <c r="Q776" s="2141"/>
      <c r="R776" s="2144">
        <v>751987.08</v>
      </c>
      <c r="S776" s="2144">
        <v>909904.37</v>
      </c>
      <c r="T776" s="2145"/>
      <c r="U776" s="2145"/>
      <c r="V776" s="2145"/>
      <c r="W776" s="2146">
        <v>44785</v>
      </c>
      <c r="X776" s="2144" t="s">
        <v>12749</v>
      </c>
      <c r="Y776" s="2140">
        <v>44809</v>
      </c>
      <c r="Z776" s="2140">
        <v>44813</v>
      </c>
      <c r="AA776" s="2141"/>
      <c r="AB776" s="2109"/>
      <c r="AC776" s="2106"/>
    </row>
    <row r="777" spans="1:43" ht="30">
      <c r="A777" s="2141" t="s">
        <v>3585</v>
      </c>
      <c r="B777" s="2143" t="s">
        <v>12580</v>
      </c>
      <c r="C777" s="2141" t="s">
        <v>58</v>
      </c>
      <c r="D777" s="2141" t="s">
        <v>4969</v>
      </c>
      <c r="E777" s="2142" t="s">
        <v>12196</v>
      </c>
      <c r="F777" s="2141"/>
      <c r="G777" s="2143"/>
      <c r="H777" s="2141"/>
      <c r="I777" s="2141" t="s">
        <v>2665</v>
      </c>
      <c r="J777" s="2141" t="s">
        <v>12198</v>
      </c>
      <c r="K777" s="2144">
        <v>490000</v>
      </c>
      <c r="L777" s="2141" t="s">
        <v>112</v>
      </c>
      <c r="M777" s="2140">
        <v>44768</v>
      </c>
      <c r="N777" s="2140">
        <v>44778</v>
      </c>
      <c r="O777" s="2140">
        <v>44789</v>
      </c>
      <c r="P777" s="2143" t="s">
        <v>12260</v>
      </c>
      <c r="Q777" s="2141"/>
      <c r="R777" s="2144">
        <v>455740</v>
      </c>
      <c r="S777" s="2144">
        <v>551445.4</v>
      </c>
      <c r="T777" s="2145"/>
      <c r="U777" s="2145"/>
      <c r="V777" s="2145"/>
      <c r="W777" s="2146">
        <v>44789</v>
      </c>
      <c r="X777" s="2260" t="s">
        <v>12772</v>
      </c>
      <c r="Y777" s="2140">
        <v>44813</v>
      </c>
      <c r="Z777" s="2140">
        <v>44817</v>
      </c>
      <c r="AA777" s="2140">
        <f>Y777+196</f>
        <v>45009</v>
      </c>
      <c r="AB777" s="2109"/>
      <c r="AC777" s="2109" t="s">
        <v>1875</v>
      </c>
    </row>
    <row r="778" spans="1:43">
      <c r="A778" s="2140">
        <v>44762</v>
      </c>
      <c r="B778" s="2143" t="s">
        <v>12581</v>
      </c>
      <c r="C778" s="2141" t="s">
        <v>2111</v>
      </c>
      <c r="D778" s="2141" t="s">
        <v>9080</v>
      </c>
      <c r="E778" s="2142" t="s">
        <v>12582</v>
      </c>
      <c r="F778" s="2141"/>
      <c r="G778" s="2143"/>
      <c r="H778" s="2141"/>
      <c r="I778" s="2141" t="s">
        <v>2967</v>
      </c>
      <c r="J778" s="2141"/>
      <c r="K778" s="2144">
        <v>6831616</v>
      </c>
      <c r="L778" s="2141" t="s">
        <v>251</v>
      </c>
      <c r="M778" s="2140">
        <v>44791</v>
      </c>
      <c r="N778" s="2140">
        <v>44837</v>
      </c>
      <c r="O778" s="2140">
        <v>44887</v>
      </c>
      <c r="P778" s="2143" t="s">
        <v>13594</v>
      </c>
      <c r="Q778" s="2141"/>
      <c r="R778" s="2144">
        <v>11452320</v>
      </c>
      <c r="S778" s="2144">
        <v>12038824</v>
      </c>
      <c r="T778" s="2145"/>
      <c r="U778" s="2145"/>
      <c r="V778" s="2145"/>
      <c r="W778" s="2146">
        <v>44887</v>
      </c>
      <c r="X778" s="2144" t="s">
        <v>13586</v>
      </c>
      <c r="Y778" s="2140">
        <v>44918</v>
      </c>
      <c r="Z778" s="2140">
        <v>44932</v>
      </c>
      <c r="AA778" s="2140">
        <v>46378</v>
      </c>
      <c r="AB778" s="2109" t="s">
        <v>13825</v>
      </c>
      <c r="AC778" s="2109">
        <v>2023</v>
      </c>
      <c r="AD778" s="388">
        <v>2024</v>
      </c>
      <c r="AE778" s="388">
        <v>2025</v>
      </c>
      <c r="AF778" s="388" t="s">
        <v>13826</v>
      </c>
    </row>
    <row r="779" spans="1:43">
      <c r="A779" s="2140">
        <v>44769</v>
      </c>
      <c r="B779" s="2143" t="s">
        <v>12593</v>
      </c>
      <c r="C779" s="2141" t="s">
        <v>52</v>
      </c>
      <c r="D779" s="2141" t="s">
        <v>9302</v>
      </c>
      <c r="E779" s="2142" t="s">
        <v>12594</v>
      </c>
      <c r="F779" s="2141"/>
      <c r="G779" s="2143"/>
      <c r="H779" s="2141"/>
      <c r="I779" s="2141" t="s">
        <v>12595</v>
      </c>
      <c r="J779" s="2140" t="s">
        <v>12596</v>
      </c>
      <c r="K779" s="2144">
        <v>600000</v>
      </c>
      <c r="L779" s="2141" t="s">
        <v>112</v>
      </c>
      <c r="M779" s="2140">
        <v>44774</v>
      </c>
      <c r="N779" s="2140">
        <v>44785</v>
      </c>
      <c r="O779" s="2140">
        <v>44797</v>
      </c>
      <c r="P779" s="2143" t="s">
        <v>12633</v>
      </c>
      <c r="Q779" s="2141"/>
      <c r="R779" s="2144">
        <v>1140000</v>
      </c>
      <c r="S779" s="2144">
        <v>1379400</v>
      </c>
      <c r="T779" s="2145"/>
      <c r="U779" s="2145"/>
      <c r="V779" s="2145"/>
      <c r="W779" s="2146">
        <v>44797</v>
      </c>
      <c r="X779" s="2144" t="s">
        <v>12868</v>
      </c>
      <c r="Y779" s="2140">
        <v>44852</v>
      </c>
      <c r="Z779" s="2140">
        <v>44853</v>
      </c>
      <c r="AA779" s="2141"/>
      <c r="AB779" s="2109"/>
      <c r="AC779" s="2106"/>
    </row>
    <row r="780" spans="1:43" s="390" customFormat="1">
      <c r="A780" s="2140">
        <v>44770</v>
      </c>
      <c r="B780" s="2143" t="s">
        <v>12600</v>
      </c>
      <c r="C780" s="2141" t="s">
        <v>52</v>
      </c>
      <c r="D780" s="2141" t="s">
        <v>2588</v>
      </c>
      <c r="E780" s="2142" t="s">
        <v>12601</v>
      </c>
      <c r="F780" s="2141"/>
      <c r="G780" s="2143"/>
      <c r="H780" s="2141"/>
      <c r="I780" s="2141" t="s">
        <v>12602</v>
      </c>
      <c r="J780" s="2140" t="s">
        <v>12603</v>
      </c>
      <c r="K780" s="2144">
        <v>70000000</v>
      </c>
      <c r="L780" s="2141" t="s">
        <v>251</v>
      </c>
      <c r="M780" s="2140">
        <v>44792</v>
      </c>
      <c r="N780" s="2140">
        <v>44853</v>
      </c>
      <c r="O780" s="2140">
        <v>44876</v>
      </c>
      <c r="P780" s="2143" t="s">
        <v>3375</v>
      </c>
      <c r="Q780" s="2141"/>
      <c r="R780" s="2144">
        <v>17240000.329999998</v>
      </c>
      <c r="S780" s="2144">
        <v>20860400.399999999</v>
      </c>
      <c r="T780" s="2145"/>
      <c r="U780" s="2145"/>
      <c r="V780" s="2145"/>
      <c r="W780" s="2146">
        <v>44876</v>
      </c>
      <c r="X780" s="2144" t="s">
        <v>13524</v>
      </c>
      <c r="Y780" s="2140">
        <v>44894</v>
      </c>
      <c r="Z780" s="2140">
        <v>44908</v>
      </c>
      <c r="AA780" s="2140"/>
      <c r="AB780" s="2109"/>
      <c r="AC780" s="2106"/>
      <c r="AD780" s="360"/>
      <c r="AE780" s="360"/>
      <c r="AF780" s="360"/>
      <c r="AG780" s="360"/>
      <c r="AH780" s="360"/>
      <c r="AI780" s="360"/>
      <c r="AJ780" s="360"/>
      <c r="AK780" s="360"/>
      <c r="AL780" s="360"/>
      <c r="AM780" s="360"/>
      <c r="AN780" s="360"/>
      <c r="AO780" s="360"/>
      <c r="AP780" s="360"/>
      <c r="AQ780" s="360"/>
    </row>
    <row r="781" spans="1:43">
      <c r="A781" s="2140" t="s">
        <v>3585</v>
      </c>
      <c r="B781" s="2143" t="s">
        <v>12597</v>
      </c>
      <c r="C781" s="2141" t="s">
        <v>69</v>
      </c>
      <c r="D781" s="2141" t="s">
        <v>70</v>
      </c>
      <c r="E781" s="2142" t="s">
        <v>12598</v>
      </c>
      <c r="F781" s="2141"/>
      <c r="G781" s="2143"/>
      <c r="H781" s="2141"/>
      <c r="I781" s="2141" t="s">
        <v>11795</v>
      </c>
      <c r="J781" s="2141"/>
      <c r="K781" s="2144">
        <v>10353800</v>
      </c>
      <c r="L781" s="2141" t="s">
        <v>251</v>
      </c>
      <c r="M781" s="2140">
        <v>44776</v>
      </c>
      <c r="N781" s="2140">
        <v>44809</v>
      </c>
      <c r="O781" s="2140">
        <v>44846</v>
      </c>
      <c r="P781" s="2143" t="s">
        <v>8856</v>
      </c>
      <c r="Q781" s="2141"/>
      <c r="R781" s="2144">
        <v>10353800</v>
      </c>
      <c r="S781" s="2144">
        <v>11414590</v>
      </c>
      <c r="T781" s="2145"/>
      <c r="U781" s="2145"/>
      <c r="V781" s="2145"/>
      <c r="W781" s="2146">
        <v>44846</v>
      </c>
      <c r="X781" s="2144" t="s">
        <v>13281</v>
      </c>
      <c r="Y781" s="2140">
        <v>44875</v>
      </c>
      <c r="Z781" s="2140">
        <v>44876</v>
      </c>
      <c r="AA781" s="2140">
        <v>45970</v>
      </c>
      <c r="AB781" s="2109" t="s">
        <v>13521</v>
      </c>
      <c r="AC781" s="2109">
        <v>2023</v>
      </c>
      <c r="AD781" s="388">
        <v>2024</v>
      </c>
      <c r="AE781" s="388" t="s">
        <v>13522</v>
      </c>
    </row>
    <row r="782" spans="1:43">
      <c r="A782" s="2124">
        <v>44770</v>
      </c>
      <c r="B782" s="2127" t="s">
        <v>12607</v>
      </c>
      <c r="C782" s="2125" t="s">
        <v>1032</v>
      </c>
      <c r="D782" s="2125" t="s">
        <v>361</v>
      </c>
      <c r="E782" s="2126" t="s">
        <v>12608</v>
      </c>
      <c r="F782" s="2125"/>
      <c r="G782" s="2127"/>
      <c r="H782" s="2125"/>
      <c r="I782" s="2125" t="s">
        <v>12609</v>
      </c>
      <c r="J782" s="2125" t="s">
        <v>12610</v>
      </c>
      <c r="K782" s="2128">
        <v>2100000</v>
      </c>
      <c r="L782" s="2125" t="s">
        <v>112</v>
      </c>
      <c r="M782" s="2124">
        <v>44774</v>
      </c>
      <c r="N782" s="2124">
        <v>44785</v>
      </c>
      <c r="O782" s="2125"/>
      <c r="P782" s="2136" t="s">
        <v>13035</v>
      </c>
      <c r="Q782" s="2125"/>
      <c r="R782" s="2128"/>
      <c r="S782" s="2128"/>
      <c r="T782" s="2129"/>
      <c r="U782" s="2129"/>
      <c r="V782" s="2129"/>
      <c r="W782" s="2128"/>
      <c r="X782" s="2128"/>
      <c r="Y782" s="2125"/>
      <c r="Z782" s="2124">
        <v>44812</v>
      </c>
      <c r="AA782" s="2125"/>
      <c r="AB782" s="2125"/>
      <c r="AC782" s="2125"/>
    </row>
    <row r="783" spans="1:43">
      <c r="A783" s="2140">
        <v>44769</v>
      </c>
      <c r="B783" s="2143" t="s">
        <v>12611</v>
      </c>
      <c r="C783" s="2141" t="s">
        <v>14</v>
      </c>
      <c r="D783" s="2141" t="s">
        <v>13</v>
      </c>
      <c r="E783" s="2142" t="s">
        <v>12612</v>
      </c>
      <c r="F783" s="2141"/>
      <c r="G783" s="2143"/>
      <c r="H783" s="2141"/>
      <c r="I783" s="2141" t="s">
        <v>725</v>
      </c>
      <c r="J783" s="2141" t="s">
        <v>12613</v>
      </c>
      <c r="K783" s="2144">
        <v>2200000</v>
      </c>
      <c r="L783" s="2141" t="s">
        <v>216</v>
      </c>
      <c r="M783" s="2140">
        <v>44776</v>
      </c>
      <c r="N783" s="2140">
        <v>44792</v>
      </c>
      <c r="O783" s="2140">
        <v>44804</v>
      </c>
      <c r="P783" s="2143" t="s">
        <v>12904</v>
      </c>
      <c r="Q783" s="2141"/>
      <c r="R783" s="2144">
        <v>2984535</v>
      </c>
      <c r="S783" s="2144">
        <v>3611287.35</v>
      </c>
      <c r="T783" s="2145"/>
      <c r="U783" s="2145"/>
      <c r="V783" s="2145"/>
      <c r="W783" s="2146">
        <v>44804</v>
      </c>
      <c r="X783" s="2144" t="s">
        <v>12945</v>
      </c>
      <c r="Y783" s="2140">
        <v>44823</v>
      </c>
      <c r="Z783" s="2140">
        <v>44838</v>
      </c>
      <c r="AA783" s="2140">
        <v>45187</v>
      </c>
      <c r="AB783" s="2109" t="s">
        <v>13282</v>
      </c>
      <c r="AC783" s="2109" t="s">
        <v>13283</v>
      </c>
    </row>
    <row r="784" spans="1:43">
      <c r="A784" s="2140">
        <v>44774</v>
      </c>
      <c r="B784" s="2538" t="s">
        <v>12631</v>
      </c>
      <c r="C784" s="2141" t="s">
        <v>14</v>
      </c>
      <c r="D784" s="2141" t="s">
        <v>13</v>
      </c>
      <c r="E784" s="2538" t="s">
        <v>12630</v>
      </c>
      <c r="F784" s="2141"/>
      <c r="G784" s="2143"/>
      <c r="H784" s="2141"/>
      <c r="I784" s="2141" t="s">
        <v>12632</v>
      </c>
      <c r="J784" s="2141"/>
      <c r="K784" s="2144">
        <v>400000</v>
      </c>
      <c r="L784" s="2141" t="s">
        <v>112</v>
      </c>
      <c r="M784" s="2140">
        <v>44782</v>
      </c>
      <c r="N784" s="2140">
        <v>44789</v>
      </c>
      <c r="O784" s="2140">
        <v>44792</v>
      </c>
      <c r="P784" s="2143" t="s">
        <v>12773</v>
      </c>
      <c r="Q784" s="2141"/>
      <c r="R784" s="2144">
        <v>391500</v>
      </c>
      <c r="S784" s="2144">
        <v>473715</v>
      </c>
      <c r="T784" s="2145"/>
      <c r="U784" s="2145"/>
      <c r="V784" s="2145"/>
      <c r="W784" s="2146">
        <v>44792</v>
      </c>
      <c r="X784" s="2144" t="s">
        <v>12812</v>
      </c>
      <c r="Y784" s="2140">
        <v>44819</v>
      </c>
      <c r="Z784" s="2140">
        <v>44820</v>
      </c>
      <c r="AA784" s="2141" t="s">
        <v>4096</v>
      </c>
      <c r="AB784" s="2109"/>
      <c r="AC784" s="2106"/>
    </row>
    <row r="785" spans="1:31">
      <c r="A785" s="2125" t="s">
        <v>3585</v>
      </c>
      <c r="B785" s="2127" t="s">
        <v>12638</v>
      </c>
      <c r="C785" s="2125" t="s">
        <v>9694</v>
      </c>
      <c r="D785" s="2125" t="s">
        <v>4969</v>
      </c>
      <c r="E785" s="2126" t="s">
        <v>12639</v>
      </c>
      <c r="F785" s="2125"/>
      <c r="G785" s="2127"/>
      <c r="H785" s="2125"/>
      <c r="I785" s="2125" t="s">
        <v>7069</v>
      </c>
      <c r="J785" s="2125" t="s">
        <v>10874</v>
      </c>
      <c r="K785" s="2128">
        <v>6061532</v>
      </c>
      <c r="L785" s="2125" t="s">
        <v>251</v>
      </c>
      <c r="M785" s="2124">
        <v>44806</v>
      </c>
      <c r="N785" s="2124">
        <v>44839</v>
      </c>
      <c r="O785" s="2125"/>
      <c r="P785" s="2136" t="s">
        <v>9114</v>
      </c>
      <c r="Q785" s="2275" t="s">
        <v>13266</v>
      </c>
      <c r="R785" s="2128"/>
      <c r="S785" s="2128"/>
      <c r="T785" s="2129"/>
      <c r="U785" s="2129"/>
      <c r="V785" s="2129"/>
      <c r="W785" s="2128"/>
      <c r="X785" s="2128"/>
      <c r="Y785" s="2125"/>
      <c r="Z785" s="2124">
        <v>44845</v>
      </c>
      <c r="AA785" s="2127" t="s">
        <v>13243</v>
      </c>
      <c r="AB785" s="2125"/>
      <c r="AC785" s="2125"/>
    </row>
    <row r="786" spans="1:31">
      <c r="A786" s="2140">
        <v>44771</v>
      </c>
      <c r="B786" s="2143" t="s">
        <v>12641</v>
      </c>
      <c r="C786" s="2141" t="s">
        <v>1032</v>
      </c>
      <c r="D786" s="2141" t="s">
        <v>361</v>
      </c>
      <c r="E786" s="2142" t="s">
        <v>12642</v>
      </c>
      <c r="F786" s="2141"/>
      <c r="G786" s="2143"/>
      <c r="H786" s="2141"/>
      <c r="I786" s="2141" t="s">
        <v>491</v>
      </c>
      <c r="J786" s="2141" t="s">
        <v>12643</v>
      </c>
      <c r="K786" s="2144">
        <v>900000</v>
      </c>
      <c r="L786" s="2141" t="s">
        <v>112</v>
      </c>
      <c r="M786" s="2140">
        <v>44783</v>
      </c>
      <c r="N786" s="2140">
        <v>44792</v>
      </c>
      <c r="O786" s="2140">
        <v>44818</v>
      </c>
      <c r="P786" s="2143" t="s">
        <v>13037</v>
      </c>
      <c r="Q786" s="2141"/>
      <c r="R786" s="2144">
        <v>550417.5</v>
      </c>
      <c r="S786" s="2144">
        <v>666005.18000000005</v>
      </c>
      <c r="T786" s="2145"/>
      <c r="U786" s="2145"/>
      <c r="V786" s="2145"/>
      <c r="W786" s="2146">
        <v>44818</v>
      </c>
      <c r="X786" s="2144" t="s">
        <v>13068</v>
      </c>
      <c r="Y786" s="2140">
        <v>44852</v>
      </c>
      <c r="Z786" s="2140">
        <v>44854</v>
      </c>
      <c r="AA786" s="2141"/>
      <c r="AB786" s="2109"/>
      <c r="AC786" s="2106"/>
    </row>
    <row r="787" spans="1:31" ht="30">
      <c r="A787" s="2140">
        <v>44778</v>
      </c>
      <c r="B787" s="2143" t="s">
        <v>12645</v>
      </c>
      <c r="C787" s="2141" t="s">
        <v>9694</v>
      </c>
      <c r="D787" s="2141" t="s">
        <v>4969</v>
      </c>
      <c r="E787" s="2142" t="s">
        <v>12646</v>
      </c>
      <c r="F787" s="2141"/>
      <c r="G787" s="2143"/>
      <c r="H787" s="2141"/>
      <c r="I787" s="2141" t="s">
        <v>1159</v>
      </c>
      <c r="J787" s="2141" t="s">
        <v>12647</v>
      </c>
      <c r="K787" s="2144">
        <v>4028313</v>
      </c>
      <c r="L787" s="2141" t="s">
        <v>251</v>
      </c>
      <c r="M787" s="2140">
        <v>44798</v>
      </c>
      <c r="N787" s="2140">
        <v>44846</v>
      </c>
      <c r="O787" s="2140">
        <v>44869</v>
      </c>
      <c r="P787" s="2143" t="s">
        <v>8542</v>
      </c>
      <c r="Q787" s="2141"/>
      <c r="R787" s="2144">
        <v>4643193</v>
      </c>
      <c r="S787" s="2144">
        <v>5618263.5300000003</v>
      </c>
      <c r="T787" s="2145"/>
      <c r="U787" s="2145"/>
      <c r="V787" s="2145"/>
      <c r="W787" s="2146">
        <v>44869</v>
      </c>
      <c r="X787" s="2260" t="s">
        <v>13487</v>
      </c>
      <c r="Y787" s="2140">
        <v>44890</v>
      </c>
      <c r="Z787" s="2140">
        <v>44897</v>
      </c>
      <c r="AA787" s="2140">
        <v>44910</v>
      </c>
      <c r="AB787" s="2109"/>
      <c r="AC787" s="2109" t="s">
        <v>1875</v>
      </c>
    </row>
    <row r="788" spans="1:31">
      <c r="A788" s="2124">
        <v>44777</v>
      </c>
      <c r="B788" s="2127" t="s">
        <v>12648</v>
      </c>
      <c r="C788" s="2125" t="s">
        <v>69</v>
      </c>
      <c r="D788" s="2125" t="s">
        <v>70</v>
      </c>
      <c r="E788" s="2126" t="s">
        <v>12649</v>
      </c>
      <c r="F788" s="2125"/>
      <c r="G788" s="2127"/>
      <c r="H788" s="2125"/>
      <c r="I788" s="2125" t="s">
        <v>93</v>
      </c>
      <c r="J788" s="2125"/>
      <c r="K788" s="2128">
        <v>3999478</v>
      </c>
      <c r="L788" s="2125" t="s">
        <v>251</v>
      </c>
      <c r="M788" s="2124">
        <v>44784</v>
      </c>
      <c r="N788" s="2124">
        <v>44817</v>
      </c>
      <c r="O788" s="2125"/>
      <c r="P788" s="2136" t="s">
        <v>13120</v>
      </c>
      <c r="Q788" s="2125"/>
      <c r="R788" s="2128"/>
      <c r="S788" s="2128"/>
      <c r="T788" s="2129"/>
      <c r="U788" s="2129"/>
      <c r="V788" s="2129"/>
      <c r="W788" s="2128"/>
      <c r="X788" s="2128"/>
      <c r="Y788" s="2125"/>
      <c r="Z788" s="2124">
        <v>44840</v>
      </c>
      <c r="AA788" s="2127" t="s">
        <v>13186</v>
      </c>
      <c r="AB788" s="2125"/>
      <c r="AC788" s="2125"/>
    </row>
    <row r="789" spans="1:31">
      <c r="A789" s="2140">
        <v>44777</v>
      </c>
      <c r="B789" s="2143" t="s">
        <v>12650</v>
      </c>
      <c r="C789" s="2141" t="s">
        <v>69</v>
      </c>
      <c r="D789" s="2141" t="s">
        <v>70</v>
      </c>
      <c r="E789" s="2142" t="s">
        <v>12651</v>
      </c>
      <c r="F789" s="2141"/>
      <c r="G789" s="2143"/>
      <c r="H789" s="2141"/>
      <c r="I789" s="2141" t="s">
        <v>3436</v>
      </c>
      <c r="J789" s="2141"/>
      <c r="K789" s="2144">
        <v>5905526</v>
      </c>
      <c r="L789" s="2141" t="s">
        <v>251</v>
      </c>
      <c r="M789" s="2140">
        <v>44784</v>
      </c>
      <c r="N789" s="2140">
        <v>44817</v>
      </c>
      <c r="O789" s="2140">
        <v>44866</v>
      </c>
      <c r="P789" s="2143" t="s">
        <v>1646</v>
      </c>
      <c r="Q789" s="2141"/>
      <c r="R789" s="2144">
        <v>5697882.6900000004</v>
      </c>
      <c r="S789" s="2144">
        <v>6267670.96</v>
      </c>
      <c r="T789" s="2145"/>
      <c r="U789" s="2145"/>
      <c r="V789" s="2145"/>
      <c r="W789" s="2146">
        <v>44866</v>
      </c>
      <c r="X789" s="2144" t="s">
        <v>13448</v>
      </c>
      <c r="Y789" s="2140">
        <v>44907</v>
      </c>
      <c r="Z789" s="2140">
        <v>44910</v>
      </c>
      <c r="AA789" s="2140">
        <v>46002</v>
      </c>
      <c r="AB789" s="2109" t="s">
        <v>13754</v>
      </c>
      <c r="AC789" s="2109">
        <v>2023</v>
      </c>
      <c r="AD789" s="388">
        <v>2024</v>
      </c>
      <c r="AE789" s="388" t="s">
        <v>13755</v>
      </c>
    </row>
    <row r="790" spans="1:31">
      <c r="A790" s="2124">
        <v>44775</v>
      </c>
      <c r="B790" s="2127" t="s">
        <v>12652</v>
      </c>
      <c r="C790" s="2125" t="s">
        <v>69</v>
      </c>
      <c r="D790" s="2125" t="s">
        <v>70</v>
      </c>
      <c r="E790" s="2126" t="s">
        <v>12653</v>
      </c>
      <c r="F790" s="2125"/>
      <c r="G790" s="2127"/>
      <c r="H790" s="2125"/>
      <c r="I790" s="2125" t="s">
        <v>326</v>
      </c>
      <c r="J790" s="2125"/>
      <c r="K790" s="2128">
        <v>4170600</v>
      </c>
      <c r="L790" s="2125" t="s">
        <v>251</v>
      </c>
      <c r="M790" s="2124">
        <v>44831</v>
      </c>
      <c r="N790" s="2124">
        <v>44865</v>
      </c>
      <c r="O790" s="2125"/>
      <c r="P790" s="2136" t="s">
        <v>4964</v>
      </c>
      <c r="Q790" s="2125"/>
      <c r="R790" s="2128"/>
      <c r="S790" s="2128"/>
      <c r="T790" s="2129"/>
      <c r="U790" s="2129"/>
      <c r="V790" s="2129"/>
      <c r="W790" s="2128"/>
      <c r="X790" s="2128"/>
      <c r="Y790" s="2125"/>
      <c r="Z790" s="2582">
        <v>44866</v>
      </c>
      <c r="AA790" s="2125" t="s">
        <v>13427</v>
      </c>
      <c r="AB790" s="2125"/>
      <c r="AC790" s="2125"/>
    </row>
    <row r="791" spans="1:31">
      <c r="A791" s="2084">
        <v>44774</v>
      </c>
      <c r="B791" s="2087" t="s">
        <v>12654</v>
      </c>
      <c r="C791" s="2085" t="s">
        <v>69</v>
      </c>
      <c r="D791" s="2085" t="s">
        <v>70</v>
      </c>
      <c r="E791" s="2086" t="s">
        <v>12657</v>
      </c>
      <c r="F791" s="2085"/>
      <c r="G791" s="2087"/>
      <c r="H791" s="2085"/>
      <c r="I791" s="2085" t="s">
        <v>1147</v>
      </c>
      <c r="J791" s="2085"/>
      <c r="K791" s="2092">
        <v>13613262</v>
      </c>
      <c r="L791" s="2085" t="s">
        <v>251</v>
      </c>
      <c r="M791" s="2084">
        <v>44880</v>
      </c>
      <c r="N791" s="2084">
        <v>44965</v>
      </c>
      <c r="O791" s="2085"/>
      <c r="P791" s="2087"/>
      <c r="Q791" s="2085"/>
      <c r="R791" s="2092"/>
      <c r="S791" s="2092"/>
      <c r="T791" s="2094"/>
      <c r="U791" s="2094"/>
      <c r="V791" s="2094"/>
      <c r="W791" s="2092"/>
      <c r="X791" s="2092"/>
      <c r="Y791" s="2085"/>
      <c r="Z791" s="2085"/>
      <c r="AA791" s="2085"/>
      <c r="AB791" s="2085"/>
      <c r="AC791" s="2085"/>
    </row>
    <row r="792" spans="1:31">
      <c r="A792" s="2084">
        <v>44774</v>
      </c>
      <c r="B792" s="2087" t="s">
        <v>12655</v>
      </c>
      <c r="C792" s="2085" t="s">
        <v>69</v>
      </c>
      <c r="D792" s="2085" t="s">
        <v>70</v>
      </c>
      <c r="E792" s="2086" t="s">
        <v>12658</v>
      </c>
      <c r="F792" s="2085"/>
      <c r="G792" s="2087"/>
      <c r="H792" s="2085"/>
      <c r="I792" s="2085" t="s">
        <v>3452</v>
      </c>
      <c r="J792" s="2085"/>
      <c r="K792" s="2092">
        <v>6781508</v>
      </c>
      <c r="L792" s="2085" t="s">
        <v>251</v>
      </c>
      <c r="M792" s="2084">
        <v>44887</v>
      </c>
      <c r="N792" s="2084">
        <v>44952</v>
      </c>
      <c r="O792" s="2085"/>
      <c r="P792" s="2087"/>
      <c r="Q792" s="2085"/>
      <c r="R792" s="2092"/>
      <c r="S792" s="2092"/>
      <c r="T792" s="2094"/>
      <c r="U792" s="2094"/>
      <c r="V792" s="2094"/>
      <c r="W792" s="2092"/>
      <c r="X792" s="2092"/>
      <c r="Y792" s="2085"/>
      <c r="Z792" s="2085"/>
      <c r="AA792" s="2085"/>
      <c r="AB792" s="2085"/>
      <c r="AC792" s="2085"/>
    </row>
    <row r="793" spans="1:31">
      <c r="A793" s="2153">
        <v>44774</v>
      </c>
      <c r="B793" s="2156" t="s">
        <v>12656</v>
      </c>
      <c r="C793" s="2154" t="s">
        <v>69</v>
      </c>
      <c r="D793" s="2154" t="s">
        <v>70</v>
      </c>
      <c r="E793" s="2155" t="s">
        <v>12659</v>
      </c>
      <c r="F793" s="2154"/>
      <c r="G793" s="2156"/>
      <c r="H793" s="2085"/>
      <c r="I793" s="2154" t="s">
        <v>7938</v>
      </c>
      <c r="J793" s="2154"/>
      <c r="K793" s="2157">
        <v>12495448</v>
      </c>
      <c r="L793" s="2154" t="s">
        <v>251</v>
      </c>
      <c r="M793" s="2153">
        <v>44851</v>
      </c>
      <c r="N793" s="2153">
        <v>44886</v>
      </c>
      <c r="O793" s="2153">
        <v>44916</v>
      </c>
      <c r="P793" s="2156" t="s">
        <v>2518</v>
      </c>
      <c r="Q793" s="2154"/>
      <c r="R793" s="2157">
        <v>12495435.48</v>
      </c>
      <c r="S793" s="2157">
        <v>13744979.029999999</v>
      </c>
      <c r="T793" s="2094"/>
      <c r="U793" s="2094"/>
      <c r="V793" s="2094"/>
      <c r="W793" s="2160">
        <v>44916</v>
      </c>
      <c r="X793" s="2157" t="s">
        <v>13798</v>
      </c>
      <c r="Y793" s="2154"/>
      <c r="Z793" s="2154"/>
      <c r="AA793" s="2154"/>
      <c r="AB793" s="2154"/>
      <c r="AC793" s="2154"/>
    </row>
    <row r="794" spans="1:31">
      <c r="A794" s="2141" t="s">
        <v>3585</v>
      </c>
      <c r="B794" s="2143" t="s">
        <v>12674</v>
      </c>
      <c r="C794" s="2141" t="s">
        <v>2712</v>
      </c>
      <c r="D794" s="2141" t="s">
        <v>2731</v>
      </c>
      <c r="E794" s="2142" t="s">
        <v>12675</v>
      </c>
      <c r="F794" s="2141"/>
      <c r="G794" s="2143"/>
      <c r="H794" s="2141"/>
      <c r="I794" s="2141" t="s">
        <v>1422</v>
      </c>
      <c r="J794" s="2141"/>
      <c r="K794" s="2144">
        <v>750000</v>
      </c>
      <c r="L794" s="2141" t="s">
        <v>112</v>
      </c>
      <c r="M794" s="2140">
        <v>44785</v>
      </c>
      <c r="N794" s="2140">
        <v>44791</v>
      </c>
      <c r="O794" s="2140">
        <v>44792</v>
      </c>
      <c r="P794" s="2143" t="s">
        <v>9891</v>
      </c>
      <c r="Q794" s="2141"/>
      <c r="R794" s="2144">
        <v>859438.02</v>
      </c>
      <c r="S794" s="2144">
        <v>971950</v>
      </c>
      <c r="T794" s="2145"/>
      <c r="U794" s="2145"/>
      <c r="V794" s="2145"/>
      <c r="W794" s="2146">
        <v>44792</v>
      </c>
      <c r="X794" s="2144" t="s">
        <v>12813</v>
      </c>
      <c r="Y794" s="2140">
        <v>44812</v>
      </c>
      <c r="Z794" s="2140">
        <v>44816</v>
      </c>
      <c r="AA794" s="2141"/>
      <c r="AB794" s="2109"/>
      <c r="AC794" s="2106"/>
    </row>
    <row r="795" spans="1:31">
      <c r="A795" s="2124">
        <v>44781</v>
      </c>
      <c r="B795" s="2127" t="s">
        <v>12677</v>
      </c>
      <c r="C795" s="2125" t="s">
        <v>58</v>
      </c>
      <c r="D795" s="2125" t="s">
        <v>4969</v>
      </c>
      <c r="E795" s="2126" t="s">
        <v>12678</v>
      </c>
      <c r="F795" s="2125"/>
      <c r="G795" s="2127"/>
      <c r="H795" s="2125"/>
      <c r="I795" s="2125" t="s">
        <v>1294</v>
      </c>
      <c r="J795" s="2125" t="s">
        <v>12679</v>
      </c>
      <c r="K795" s="2128">
        <v>148000</v>
      </c>
      <c r="L795" s="2125" t="s">
        <v>112</v>
      </c>
      <c r="M795" s="2124">
        <v>44785</v>
      </c>
      <c r="N795" s="2124">
        <v>44796</v>
      </c>
      <c r="O795" s="2124"/>
      <c r="P795" s="2136" t="s">
        <v>9147</v>
      </c>
      <c r="Q795" s="2275" t="s">
        <v>13746</v>
      </c>
      <c r="R795" s="2128"/>
      <c r="S795" s="2128"/>
      <c r="T795" s="2129"/>
      <c r="U795" s="2129"/>
      <c r="V795" s="2129"/>
      <c r="W795" s="2281"/>
      <c r="X795" s="2738"/>
      <c r="Y795" s="2125"/>
      <c r="Z795" s="2124">
        <v>44819</v>
      </c>
      <c r="AA795" s="2125"/>
      <c r="AB795" s="2125"/>
      <c r="AC795" s="2125"/>
    </row>
    <row r="796" spans="1:31" ht="30">
      <c r="A796" s="2141" t="s">
        <v>3585</v>
      </c>
      <c r="B796" s="2143" t="s">
        <v>12693</v>
      </c>
      <c r="C796" s="2141" t="s">
        <v>58</v>
      </c>
      <c r="D796" s="2141" t="s">
        <v>4969</v>
      </c>
      <c r="E796" s="2142" t="s">
        <v>12694</v>
      </c>
      <c r="F796" s="2141"/>
      <c r="G796" s="2143"/>
      <c r="H796" s="2141"/>
      <c r="I796" s="2141" t="s">
        <v>7065</v>
      </c>
      <c r="J796" s="2141" t="s">
        <v>12562</v>
      </c>
      <c r="K796" s="2144">
        <v>162000</v>
      </c>
      <c r="L796" s="2141" t="s">
        <v>112</v>
      </c>
      <c r="M796" s="2140">
        <v>44785</v>
      </c>
      <c r="N796" s="2140">
        <v>44796</v>
      </c>
      <c r="O796" s="2140">
        <v>44830</v>
      </c>
      <c r="P796" s="2143" t="s">
        <v>13007</v>
      </c>
      <c r="Q796" s="2141"/>
      <c r="R796" s="2144">
        <v>109500</v>
      </c>
      <c r="S796" s="2144">
        <v>126495</v>
      </c>
      <c r="T796" s="2145"/>
      <c r="U796" s="2145"/>
      <c r="V796" s="2145"/>
      <c r="W796" s="2146">
        <v>44830</v>
      </c>
      <c r="X796" s="2260" t="s">
        <v>13136</v>
      </c>
      <c r="Y796" s="2140">
        <v>44855</v>
      </c>
      <c r="Z796" s="2140">
        <v>44860</v>
      </c>
      <c r="AA796" s="2140">
        <v>44876</v>
      </c>
      <c r="AB796" s="2109"/>
      <c r="AC796" s="2109" t="s">
        <v>1875</v>
      </c>
    </row>
    <row r="797" spans="1:31" ht="15.75" thickBot="1">
      <c r="A797" s="416">
        <v>44783</v>
      </c>
      <c r="B797" s="630" t="s">
        <v>12695</v>
      </c>
      <c r="C797" s="411" t="s">
        <v>52</v>
      </c>
      <c r="D797" s="411" t="s">
        <v>7503</v>
      </c>
      <c r="E797" s="412" t="s">
        <v>12696</v>
      </c>
      <c r="F797" s="411"/>
      <c r="G797" s="630"/>
      <c r="H797" s="411"/>
      <c r="I797" s="411" t="s">
        <v>1676</v>
      </c>
      <c r="J797" s="411"/>
      <c r="K797" s="417">
        <v>2200000</v>
      </c>
      <c r="L797" s="411" t="s">
        <v>112</v>
      </c>
      <c r="M797" s="416">
        <v>44784</v>
      </c>
      <c r="N797" s="416">
        <v>44796</v>
      </c>
      <c r="O797" s="416">
        <v>44797</v>
      </c>
      <c r="P797" s="630" t="s">
        <v>10627</v>
      </c>
      <c r="Q797" s="411"/>
      <c r="R797" s="417">
        <v>2690742.63</v>
      </c>
      <c r="S797" s="417">
        <v>3255798.58</v>
      </c>
      <c r="T797" s="1480"/>
      <c r="U797" s="1480"/>
      <c r="V797" s="1480"/>
      <c r="W797" s="513">
        <v>44797</v>
      </c>
      <c r="X797" s="417" t="s">
        <v>12869</v>
      </c>
      <c r="Y797" s="416">
        <v>44839</v>
      </c>
      <c r="Z797" s="416">
        <v>44840</v>
      </c>
      <c r="AA797" s="411"/>
      <c r="AB797" s="422"/>
      <c r="AC797" s="967"/>
    </row>
    <row r="798" spans="1:31" ht="15.75" thickTop="1">
      <c r="A798" s="474">
        <v>44783</v>
      </c>
      <c r="B798" s="1420" t="s">
        <v>12703</v>
      </c>
      <c r="C798" s="453" t="s">
        <v>69</v>
      </c>
      <c r="D798" s="453" t="s">
        <v>70</v>
      </c>
      <c r="E798" s="473" t="s">
        <v>12704</v>
      </c>
      <c r="F798" s="453">
        <v>1</v>
      </c>
      <c r="G798" s="1420" t="s">
        <v>12705</v>
      </c>
      <c r="H798" s="453"/>
      <c r="I798" s="453" t="s">
        <v>3436</v>
      </c>
      <c r="J798" s="453"/>
      <c r="K798" s="457">
        <v>1456022</v>
      </c>
      <c r="L798" s="453" t="s">
        <v>251</v>
      </c>
      <c r="M798" s="474">
        <v>44792</v>
      </c>
      <c r="N798" s="474">
        <v>44827</v>
      </c>
      <c r="O798" s="474">
        <v>44873</v>
      </c>
      <c r="P798" s="1420" t="s">
        <v>2548</v>
      </c>
      <c r="Q798" s="453"/>
      <c r="R798" s="457">
        <v>735701.34</v>
      </c>
      <c r="S798" s="457">
        <v>809271.47</v>
      </c>
      <c r="T798" s="1474"/>
      <c r="U798" s="1474"/>
      <c r="V798" s="1474"/>
      <c r="W798" s="570">
        <v>44873</v>
      </c>
      <c r="X798" s="457" t="s">
        <v>13506</v>
      </c>
      <c r="Y798" s="474">
        <v>44914</v>
      </c>
      <c r="Z798" s="474">
        <v>44917</v>
      </c>
      <c r="AA798" s="474">
        <v>46009</v>
      </c>
      <c r="AB798" s="2591" t="s">
        <v>13784</v>
      </c>
      <c r="AC798" s="1391">
        <v>2023</v>
      </c>
      <c r="AD798" s="388">
        <v>2024</v>
      </c>
      <c r="AE798" s="388" t="s">
        <v>13786</v>
      </c>
    </row>
    <row r="799" spans="1:31">
      <c r="A799" s="2140">
        <v>44783</v>
      </c>
      <c r="B799" s="2143" t="s">
        <v>13328</v>
      </c>
      <c r="C799" s="2141" t="s">
        <v>69</v>
      </c>
      <c r="D799" s="2141" t="s">
        <v>70</v>
      </c>
      <c r="E799" s="2142" t="s">
        <v>12704</v>
      </c>
      <c r="F799" s="2141">
        <v>2</v>
      </c>
      <c r="G799" s="2143" t="s">
        <v>12706</v>
      </c>
      <c r="H799" s="2141"/>
      <c r="I799" s="2141" t="s">
        <v>3436</v>
      </c>
      <c r="J799" s="2141"/>
      <c r="K799" s="2144">
        <v>686894</v>
      </c>
      <c r="L799" s="2141" t="s">
        <v>251</v>
      </c>
      <c r="M799" s="2140">
        <v>44792</v>
      </c>
      <c r="N799" s="2140">
        <v>44827</v>
      </c>
      <c r="O799" s="2140">
        <v>44873</v>
      </c>
      <c r="P799" s="2143" t="s">
        <v>576</v>
      </c>
      <c r="Q799" s="2141"/>
      <c r="R799" s="2144">
        <v>686740.2</v>
      </c>
      <c r="S799" s="2144">
        <v>755414.22</v>
      </c>
      <c r="T799" s="2145"/>
      <c r="U799" s="2145"/>
      <c r="V799" s="2145"/>
      <c r="W799" s="2146">
        <v>44873</v>
      </c>
      <c r="X799" s="2144" t="s">
        <v>13507</v>
      </c>
      <c r="Y799" s="2140">
        <v>44907</v>
      </c>
      <c r="Z799" s="2140">
        <v>44917</v>
      </c>
      <c r="AA799" s="2140">
        <v>46002</v>
      </c>
      <c r="AB799" s="2109" t="s">
        <v>13754</v>
      </c>
      <c r="AC799" s="2109">
        <v>2023</v>
      </c>
      <c r="AD799" s="388">
        <v>2024</v>
      </c>
      <c r="AE799" s="388" t="s">
        <v>13755</v>
      </c>
    </row>
    <row r="800" spans="1:31">
      <c r="A800" s="2140">
        <v>44783</v>
      </c>
      <c r="B800" s="2143" t="s">
        <v>13329</v>
      </c>
      <c r="C800" s="2141" t="s">
        <v>69</v>
      </c>
      <c r="D800" s="2141" t="s">
        <v>70</v>
      </c>
      <c r="E800" s="2142" t="s">
        <v>12704</v>
      </c>
      <c r="F800" s="2141">
        <v>3</v>
      </c>
      <c r="G800" s="2143" t="s">
        <v>12707</v>
      </c>
      <c r="H800" s="2141"/>
      <c r="I800" s="2141" t="s">
        <v>3436</v>
      </c>
      <c r="J800" s="2141"/>
      <c r="K800" s="2144">
        <v>10196431</v>
      </c>
      <c r="L800" s="2141" t="s">
        <v>251</v>
      </c>
      <c r="M800" s="2140">
        <v>44792</v>
      </c>
      <c r="N800" s="2140">
        <v>44827</v>
      </c>
      <c r="O800" s="2140">
        <v>44873</v>
      </c>
      <c r="P800" s="2143" t="s">
        <v>576</v>
      </c>
      <c r="Q800" s="2141"/>
      <c r="R800" s="2144">
        <v>9307599.8100000005</v>
      </c>
      <c r="S800" s="2144">
        <v>10238359.789999999</v>
      </c>
      <c r="T800" s="2145"/>
      <c r="U800" s="2145"/>
      <c r="V800" s="2145"/>
      <c r="W800" s="2146">
        <v>44873</v>
      </c>
      <c r="X800" s="2144" t="s">
        <v>13508</v>
      </c>
      <c r="Y800" s="2140">
        <v>44907</v>
      </c>
      <c r="Z800" s="2140">
        <v>44917</v>
      </c>
      <c r="AA800" s="2140">
        <v>46002</v>
      </c>
      <c r="AB800" s="2109" t="s">
        <v>13754</v>
      </c>
      <c r="AC800" s="2109">
        <v>2023</v>
      </c>
      <c r="AD800" s="388">
        <v>2024</v>
      </c>
      <c r="AE800" s="388" t="s">
        <v>13755</v>
      </c>
    </row>
    <row r="801" spans="1:32" ht="15.75" thickBot="1">
      <c r="A801" s="2117">
        <v>44783</v>
      </c>
      <c r="B801" s="2120" t="s">
        <v>13330</v>
      </c>
      <c r="C801" s="2118" t="s">
        <v>69</v>
      </c>
      <c r="D801" s="2118" t="s">
        <v>70</v>
      </c>
      <c r="E801" s="2119" t="s">
        <v>12704</v>
      </c>
      <c r="F801" s="2118">
        <v>4</v>
      </c>
      <c r="G801" s="2120" t="s">
        <v>12708</v>
      </c>
      <c r="H801" s="2118"/>
      <c r="I801" s="2118" t="s">
        <v>3436</v>
      </c>
      <c r="J801" s="2118"/>
      <c r="K801" s="2121">
        <v>4109641</v>
      </c>
      <c r="L801" s="2118" t="s">
        <v>251</v>
      </c>
      <c r="M801" s="2117">
        <v>44792</v>
      </c>
      <c r="N801" s="2117">
        <v>44827</v>
      </c>
      <c r="O801" s="2117">
        <v>44873</v>
      </c>
      <c r="P801" s="2120" t="s">
        <v>2548</v>
      </c>
      <c r="Q801" s="2118"/>
      <c r="R801" s="2121">
        <v>2054822.94</v>
      </c>
      <c r="S801" s="2121">
        <v>2260305.23</v>
      </c>
      <c r="T801" s="2122"/>
      <c r="U801" s="2122"/>
      <c r="V801" s="2122"/>
      <c r="W801" s="2123">
        <v>44873</v>
      </c>
      <c r="X801" s="2121" t="s">
        <v>13509</v>
      </c>
      <c r="Y801" s="2117">
        <v>44914</v>
      </c>
      <c r="Z801" s="2117">
        <v>44917</v>
      </c>
      <c r="AA801" s="2117">
        <v>46009</v>
      </c>
      <c r="AB801" s="2851" t="s">
        <v>13784</v>
      </c>
      <c r="AC801" s="2110">
        <v>2023</v>
      </c>
      <c r="AD801" s="388">
        <v>2024</v>
      </c>
      <c r="AE801" s="388" t="s">
        <v>13786</v>
      </c>
    </row>
    <row r="802" spans="1:32" ht="15.75" thickTop="1">
      <c r="A802" s="840">
        <v>44783</v>
      </c>
      <c r="B802" s="1422" t="s">
        <v>12709</v>
      </c>
      <c r="C802" s="423" t="s">
        <v>69</v>
      </c>
      <c r="D802" s="423" t="s">
        <v>70</v>
      </c>
      <c r="E802" s="837" t="s">
        <v>12711</v>
      </c>
      <c r="F802" s="423"/>
      <c r="G802" s="1422"/>
      <c r="H802" s="576"/>
      <c r="I802" s="423" t="s">
        <v>12710</v>
      </c>
      <c r="J802" s="423"/>
      <c r="K802" s="841">
        <v>8136058</v>
      </c>
      <c r="L802" s="423" t="s">
        <v>251</v>
      </c>
      <c r="M802" s="840">
        <v>44820</v>
      </c>
      <c r="N802" s="840">
        <v>44861</v>
      </c>
      <c r="O802" s="840">
        <v>44894</v>
      </c>
      <c r="P802" s="1422" t="s">
        <v>2548</v>
      </c>
      <c r="Q802" s="423"/>
      <c r="R802" s="841">
        <v>8010426.2400000002</v>
      </c>
      <c r="S802" s="841">
        <v>8811468.8599999994</v>
      </c>
      <c r="T802" s="1489"/>
      <c r="U802" s="1489"/>
      <c r="V802" s="1489"/>
      <c r="W802" s="1392">
        <v>44894</v>
      </c>
      <c r="X802" s="841" t="s">
        <v>13739</v>
      </c>
      <c r="Y802" s="423"/>
      <c r="Z802" s="423"/>
      <c r="AA802" s="423"/>
      <c r="AB802" s="423"/>
      <c r="AC802" s="423"/>
    </row>
    <row r="803" spans="1:32" ht="15.75" thickBot="1">
      <c r="A803" s="464">
        <v>44783</v>
      </c>
      <c r="B803" s="1425" t="s">
        <v>12713</v>
      </c>
      <c r="C803" s="406" t="s">
        <v>69</v>
      </c>
      <c r="D803" s="406" t="s">
        <v>70</v>
      </c>
      <c r="E803" s="462" t="s">
        <v>12712</v>
      </c>
      <c r="F803" s="406"/>
      <c r="G803" s="1425"/>
      <c r="H803" s="406"/>
      <c r="I803" s="406" t="s">
        <v>72</v>
      </c>
      <c r="J803" s="406"/>
      <c r="K803" s="465">
        <v>60267982</v>
      </c>
      <c r="L803" s="406" t="s">
        <v>251</v>
      </c>
      <c r="M803" s="464">
        <v>44820</v>
      </c>
      <c r="N803" s="464">
        <v>44893</v>
      </c>
      <c r="O803" s="406"/>
      <c r="P803" s="1425"/>
      <c r="Q803" s="406"/>
      <c r="R803" s="465"/>
      <c r="S803" s="465"/>
      <c r="T803" s="1478"/>
      <c r="U803" s="1478"/>
      <c r="V803" s="1478"/>
      <c r="W803" s="465"/>
      <c r="X803" s="465"/>
      <c r="Y803" s="406"/>
      <c r="Z803" s="406"/>
      <c r="AA803" s="406"/>
      <c r="AB803" s="406"/>
      <c r="AC803" s="406"/>
    </row>
    <row r="804" spans="1:32" ht="15.75" thickTop="1">
      <c r="A804" s="443">
        <v>44783</v>
      </c>
      <c r="B804" s="1431" t="s">
        <v>12776</v>
      </c>
      <c r="C804" s="439" t="s">
        <v>69</v>
      </c>
      <c r="D804" s="439" t="s">
        <v>70</v>
      </c>
      <c r="E804" s="440" t="s">
        <v>12714</v>
      </c>
      <c r="F804" s="439">
        <v>1</v>
      </c>
      <c r="G804" s="1431" t="s">
        <v>12715</v>
      </c>
      <c r="H804" s="439"/>
      <c r="I804" s="439" t="s">
        <v>3436</v>
      </c>
      <c r="J804" s="439"/>
      <c r="K804" s="444">
        <v>426539</v>
      </c>
      <c r="L804" s="439" t="s">
        <v>251</v>
      </c>
      <c r="M804" s="443">
        <v>44792</v>
      </c>
      <c r="N804" s="443">
        <v>44861</v>
      </c>
      <c r="O804" s="443">
        <v>44881</v>
      </c>
      <c r="P804" s="753" t="s">
        <v>9937</v>
      </c>
      <c r="Q804" s="439"/>
      <c r="R804" s="444">
        <v>404439.39</v>
      </c>
      <c r="S804" s="444">
        <v>444883.33</v>
      </c>
      <c r="T804" s="1481"/>
      <c r="U804" s="1481"/>
      <c r="V804" s="1481"/>
      <c r="W804" s="1884">
        <v>44881</v>
      </c>
      <c r="X804" s="444" t="s">
        <v>13544</v>
      </c>
      <c r="Y804" s="439"/>
      <c r="Z804" s="443">
        <v>44931</v>
      </c>
      <c r="AA804" s="1431" t="s">
        <v>13838</v>
      </c>
      <c r="AB804" s="439"/>
      <c r="AC804" s="439"/>
    </row>
    <row r="805" spans="1:32">
      <c r="A805" s="2140">
        <v>44783</v>
      </c>
      <c r="B805" s="2143" t="s">
        <v>12777</v>
      </c>
      <c r="C805" s="2141" t="s">
        <v>69</v>
      </c>
      <c r="D805" s="2141" t="s">
        <v>70</v>
      </c>
      <c r="E805" s="2142" t="s">
        <v>12714</v>
      </c>
      <c r="F805" s="2141">
        <v>2</v>
      </c>
      <c r="G805" s="2143" t="s">
        <v>12716</v>
      </c>
      <c r="H805" s="2141"/>
      <c r="I805" s="2141" t="s">
        <v>3436</v>
      </c>
      <c r="J805" s="2141"/>
      <c r="K805" s="2144">
        <v>3171502</v>
      </c>
      <c r="L805" s="2141" t="s">
        <v>251</v>
      </c>
      <c r="M805" s="2140">
        <v>44792</v>
      </c>
      <c r="N805" s="2140">
        <v>44861</v>
      </c>
      <c r="O805" s="2140">
        <v>44881</v>
      </c>
      <c r="P805" s="2143" t="s">
        <v>2548</v>
      </c>
      <c r="Q805" s="2141"/>
      <c r="R805" s="2144">
        <v>2169835.08</v>
      </c>
      <c r="S805" s="2144">
        <v>1386818.59</v>
      </c>
      <c r="T805" s="2145"/>
      <c r="U805" s="2145"/>
      <c r="V805" s="2145"/>
      <c r="W805" s="2146">
        <v>44881</v>
      </c>
      <c r="X805" s="2144" t="s">
        <v>13545</v>
      </c>
      <c r="Y805" s="2140">
        <v>44914</v>
      </c>
      <c r="Z805" s="2140">
        <v>44930</v>
      </c>
      <c r="AA805" s="2140">
        <v>46009</v>
      </c>
      <c r="AB805" s="2109" t="s">
        <v>13784</v>
      </c>
      <c r="AC805" s="2109">
        <v>2023</v>
      </c>
      <c r="AD805" s="388">
        <v>2024</v>
      </c>
      <c r="AE805" s="388" t="s">
        <v>13786</v>
      </c>
    </row>
    <row r="806" spans="1:32" ht="15.75" thickBot="1">
      <c r="A806" s="2152">
        <v>44783</v>
      </c>
      <c r="B806" s="2300" t="s">
        <v>12778</v>
      </c>
      <c r="C806" s="2297" t="s">
        <v>69</v>
      </c>
      <c r="D806" s="2297" t="s">
        <v>70</v>
      </c>
      <c r="E806" s="2298" t="s">
        <v>12714</v>
      </c>
      <c r="F806" s="2297">
        <v>3</v>
      </c>
      <c r="G806" s="2300" t="s">
        <v>12717</v>
      </c>
      <c r="H806" s="2089"/>
      <c r="I806" s="2297" t="s">
        <v>3436</v>
      </c>
      <c r="J806" s="2297"/>
      <c r="K806" s="2299">
        <v>543381</v>
      </c>
      <c r="L806" s="2297" t="s">
        <v>251</v>
      </c>
      <c r="M806" s="2152">
        <v>44792</v>
      </c>
      <c r="N806" s="2152">
        <v>44861</v>
      </c>
      <c r="O806" s="2152">
        <v>44881</v>
      </c>
      <c r="P806" s="2300" t="s">
        <v>1646</v>
      </c>
      <c r="Q806" s="2297"/>
      <c r="R806" s="2299">
        <v>538305.63</v>
      </c>
      <c r="S806" s="2299">
        <v>592136.18999999994</v>
      </c>
      <c r="T806" s="2095"/>
      <c r="U806" s="2095"/>
      <c r="V806" s="2095"/>
      <c r="W806" s="2315">
        <v>44881</v>
      </c>
      <c r="X806" s="2299" t="s">
        <v>13546</v>
      </c>
      <c r="Y806" s="2297"/>
      <c r="Z806" s="2297"/>
      <c r="AA806" s="2297"/>
      <c r="AB806" s="2297"/>
      <c r="AC806" s="2297"/>
    </row>
    <row r="807" spans="1:32" ht="15.75" thickTop="1">
      <c r="A807" s="474">
        <v>44783</v>
      </c>
      <c r="B807" s="1420" t="s">
        <v>12774</v>
      </c>
      <c r="C807" s="453" t="s">
        <v>69</v>
      </c>
      <c r="D807" s="453" t="s">
        <v>70</v>
      </c>
      <c r="E807" s="473" t="s">
        <v>12718</v>
      </c>
      <c r="F807" s="453">
        <v>1</v>
      </c>
      <c r="G807" s="1420" t="s">
        <v>12719</v>
      </c>
      <c r="H807" s="453"/>
      <c r="I807" s="453" t="s">
        <v>68</v>
      </c>
      <c r="J807" s="453"/>
      <c r="K807" s="457">
        <v>215820</v>
      </c>
      <c r="L807" s="453" t="s">
        <v>251</v>
      </c>
      <c r="M807" s="474">
        <v>44796</v>
      </c>
      <c r="N807" s="474">
        <v>44831</v>
      </c>
      <c r="O807" s="474">
        <v>44894</v>
      </c>
      <c r="P807" s="1420" t="s">
        <v>16350</v>
      </c>
      <c r="Q807" s="453"/>
      <c r="R807" s="457">
        <v>164700.29999999999</v>
      </c>
      <c r="S807" s="457">
        <v>181170.33</v>
      </c>
      <c r="T807" s="1474"/>
      <c r="U807" s="1474"/>
      <c r="V807" s="1474"/>
      <c r="W807" s="570">
        <v>44894</v>
      </c>
      <c r="X807" s="457" t="s">
        <v>13752</v>
      </c>
      <c r="Y807" s="474">
        <v>44915</v>
      </c>
      <c r="Z807" s="474">
        <v>44924</v>
      </c>
      <c r="AA807" s="474">
        <v>46010</v>
      </c>
      <c r="AB807" s="1391" t="s">
        <v>13792</v>
      </c>
      <c r="AC807" s="1391">
        <v>2023</v>
      </c>
      <c r="AD807" s="388">
        <v>2024</v>
      </c>
      <c r="AE807" s="388" t="s">
        <v>13793</v>
      </c>
    </row>
    <row r="808" spans="1:32" ht="15.75" thickBot="1">
      <c r="A808" s="2117">
        <v>44783</v>
      </c>
      <c r="B808" s="2120" t="s">
        <v>12775</v>
      </c>
      <c r="C808" s="2118" t="s">
        <v>69</v>
      </c>
      <c r="D808" s="2118" t="s">
        <v>70</v>
      </c>
      <c r="E808" s="2119" t="s">
        <v>12718</v>
      </c>
      <c r="F808" s="2118">
        <v>2</v>
      </c>
      <c r="G808" s="2120" t="s">
        <v>12720</v>
      </c>
      <c r="H808" s="2118"/>
      <c r="I808" s="2118" t="s">
        <v>68</v>
      </c>
      <c r="J808" s="2118"/>
      <c r="K808" s="2121">
        <v>3516711</v>
      </c>
      <c r="L808" s="2118" t="s">
        <v>251</v>
      </c>
      <c r="M808" s="2117">
        <v>44796</v>
      </c>
      <c r="N808" s="2117">
        <v>44831</v>
      </c>
      <c r="O808" s="2117">
        <v>44894</v>
      </c>
      <c r="P808" s="2120" t="s">
        <v>8542</v>
      </c>
      <c r="Q808" s="2118"/>
      <c r="R808" s="2121">
        <v>3438567</v>
      </c>
      <c r="S808" s="2121">
        <v>3782423.7</v>
      </c>
      <c r="T808" s="2122"/>
      <c r="U808" s="2122"/>
      <c r="V808" s="2122"/>
      <c r="W808" s="2123">
        <v>44894</v>
      </c>
      <c r="X808" s="2121" t="s">
        <v>13753</v>
      </c>
      <c r="Y808" s="2117">
        <v>44915</v>
      </c>
      <c r="Z808" s="2117">
        <v>44924</v>
      </c>
      <c r="AA808" s="2117">
        <v>46010</v>
      </c>
      <c r="AB808" s="2110" t="s">
        <v>13792</v>
      </c>
      <c r="AC808" s="2110">
        <v>2023</v>
      </c>
      <c r="AD808" s="388">
        <v>2024</v>
      </c>
      <c r="AE808" s="388" t="s">
        <v>13793</v>
      </c>
    </row>
    <row r="809" spans="1:32" ht="15.75" thickTop="1">
      <c r="A809" s="365">
        <v>44783</v>
      </c>
      <c r="B809" s="2733" t="s">
        <v>12724</v>
      </c>
      <c r="C809" s="2732" t="s">
        <v>2434</v>
      </c>
      <c r="D809" s="2732" t="s">
        <v>219</v>
      </c>
      <c r="E809" s="175" t="s">
        <v>12725</v>
      </c>
      <c r="F809" s="2732"/>
      <c r="G809" s="2733"/>
      <c r="H809" s="2732"/>
      <c r="I809" s="2732" t="s">
        <v>3013</v>
      </c>
      <c r="J809" s="2732"/>
      <c r="K809" s="364">
        <v>738337</v>
      </c>
      <c r="L809" s="2732" t="s">
        <v>112</v>
      </c>
      <c r="M809" s="365">
        <v>44788</v>
      </c>
      <c r="N809" s="365">
        <v>44797</v>
      </c>
      <c r="O809" s="365">
        <v>44810</v>
      </c>
      <c r="P809" s="2733" t="s">
        <v>4326</v>
      </c>
      <c r="Q809" s="2732"/>
      <c r="R809" s="364">
        <v>843094</v>
      </c>
      <c r="S809" s="364">
        <v>1020143.74</v>
      </c>
      <c r="T809" s="1473"/>
      <c r="U809" s="1473"/>
      <c r="V809" s="1473"/>
      <c r="W809" s="681">
        <v>44810</v>
      </c>
      <c r="X809" s="364" t="s">
        <v>13002</v>
      </c>
      <c r="Y809" s="365">
        <v>44840</v>
      </c>
      <c r="Z809" s="365">
        <v>44844</v>
      </c>
      <c r="AA809" s="365">
        <v>46300</v>
      </c>
      <c r="AB809" s="451"/>
      <c r="AC809" s="1513"/>
    </row>
    <row r="810" spans="1:32" ht="45.75" thickBot="1">
      <c r="A810" s="416">
        <v>44781</v>
      </c>
      <c r="B810" s="630" t="s">
        <v>12726</v>
      </c>
      <c r="C810" s="411" t="s">
        <v>2434</v>
      </c>
      <c r="D810" s="411" t="s">
        <v>219</v>
      </c>
      <c r="E810" s="412" t="s">
        <v>12727</v>
      </c>
      <c r="F810" s="411"/>
      <c r="G810" s="630"/>
      <c r="H810" s="411"/>
      <c r="I810" s="411" t="s">
        <v>642</v>
      </c>
      <c r="J810" s="411"/>
      <c r="K810" s="417">
        <v>40000000</v>
      </c>
      <c r="L810" s="411" t="s">
        <v>251</v>
      </c>
      <c r="M810" s="416">
        <v>44795</v>
      </c>
      <c r="N810" s="416">
        <v>44830</v>
      </c>
      <c r="O810" s="416">
        <v>44851</v>
      </c>
      <c r="P810" s="630" t="s">
        <v>8542</v>
      </c>
      <c r="Q810" s="411"/>
      <c r="R810" s="417">
        <v>40000000</v>
      </c>
      <c r="S810" s="417">
        <v>46000000</v>
      </c>
      <c r="T810" s="1480"/>
      <c r="U810" s="1480"/>
      <c r="V810" s="1480"/>
      <c r="W810" s="513">
        <v>44851</v>
      </c>
      <c r="X810" s="1553" t="s">
        <v>13313</v>
      </c>
      <c r="Y810" s="416">
        <v>44876</v>
      </c>
      <c r="Z810" s="416">
        <v>44901</v>
      </c>
      <c r="AA810" s="416">
        <v>46336</v>
      </c>
      <c r="AB810" s="422" t="s">
        <v>13526</v>
      </c>
      <c r="AC810" s="422">
        <v>2023</v>
      </c>
      <c r="AD810" s="388">
        <v>2024</v>
      </c>
      <c r="AE810" s="388">
        <v>2025</v>
      </c>
      <c r="AF810" s="388" t="s">
        <v>13527</v>
      </c>
    </row>
    <row r="811" spans="1:32" ht="30.75" thickTop="1">
      <c r="A811" s="428">
        <v>44775</v>
      </c>
      <c r="B811" s="1371" t="s">
        <v>12728</v>
      </c>
      <c r="C811" s="425" t="s">
        <v>2434</v>
      </c>
      <c r="D811" s="425" t="s">
        <v>219</v>
      </c>
      <c r="E811" s="426" t="s">
        <v>12729</v>
      </c>
      <c r="F811" s="425">
        <v>1</v>
      </c>
      <c r="G811" s="1371" t="s">
        <v>10303</v>
      </c>
      <c r="H811" s="2045"/>
      <c r="I811" s="425" t="s">
        <v>642</v>
      </c>
      <c r="J811" s="425"/>
      <c r="K811" s="429">
        <v>122510</v>
      </c>
      <c r="L811" s="425" t="s">
        <v>251</v>
      </c>
      <c r="M811" s="428">
        <v>44796</v>
      </c>
      <c r="N811" s="428">
        <v>44861</v>
      </c>
      <c r="O811" s="428">
        <v>44895</v>
      </c>
      <c r="P811" s="1371" t="s">
        <v>8793</v>
      </c>
      <c r="Q811" s="425"/>
      <c r="R811" s="429">
        <v>122520</v>
      </c>
      <c r="S811" s="429">
        <v>148249.20000000001</v>
      </c>
      <c r="T811" s="2048"/>
      <c r="U811" s="2048"/>
      <c r="V811" s="2048"/>
      <c r="W811" s="1384">
        <v>44895</v>
      </c>
      <c r="X811" s="2031" t="s">
        <v>13663</v>
      </c>
      <c r="Y811" s="425"/>
      <c r="Z811" s="425"/>
      <c r="AA811" s="425"/>
      <c r="AB811" s="425"/>
      <c r="AC811" s="425"/>
    </row>
    <row r="812" spans="1:32" ht="30.75" thickBot="1">
      <c r="A812" s="2152">
        <v>44775</v>
      </c>
      <c r="B812" s="2300" t="s">
        <v>12730</v>
      </c>
      <c r="C812" s="2297" t="s">
        <v>2434</v>
      </c>
      <c r="D812" s="2297" t="s">
        <v>219</v>
      </c>
      <c r="E812" s="2298" t="s">
        <v>12729</v>
      </c>
      <c r="F812" s="2297">
        <v>2</v>
      </c>
      <c r="G812" s="2300" t="s">
        <v>12731</v>
      </c>
      <c r="H812" s="2081"/>
      <c r="I812" s="2297" t="s">
        <v>642</v>
      </c>
      <c r="J812" s="2297"/>
      <c r="K812" s="2299">
        <v>399726</v>
      </c>
      <c r="L812" s="2297" t="s">
        <v>251</v>
      </c>
      <c r="M812" s="2152">
        <v>44796</v>
      </c>
      <c r="N812" s="2152">
        <v>44861</v>
      </c>
      <c r="O812" s="2152">
        <v>44895</v>
      </c>
      <c r="P812" s="2300" t="s">
        <v>8793</v>
      </c>
      <c r="Q812" s="2297"/>
      <c r="R812" s="2299">
        <v>386654.02</v>
      </c>
      <c r="S812" s="2299">
        <v>467851.7</v>
      </c>
      <c r="T812" s="2082"/>
      <c r="U812" s="2082"/>
      <c r="V812" s="2082"/>
      <c r="W812" s="2315">
        <v>44895</v>
      </c>
      <c r="X812" s="2341" t="s">
        <v>13664</v>
      </c>
      <c r="Y812" s="2297"/>
      <c r="Z812" s="2297"/>
      <c r="AA812" s="2297"/>
      <c r="AB812" s="2297"/>
      <c r="AC812" s="2297"/>
    </row>
    <row r="813" spans="1:32" ht="45.75" thickTop="1">
      <c r="A813" s="365">
        <v>44784</v>
      </c>
      <c r="B813" s="2763" t="s">
        <v>12732</v>
      </c>
      <c r="C813" s="2762" t="s">
        <v>58</v>
      </c>
      <c r="D813" s="2762" t="s">
        <v>4969</v>
      </c>
      <c r="E813" s="175" t="s">
        <v>12733</v>
      </c>
      <c r="F813" s="2762"/>
      <c r="G813" s="2763"/>
      <c r="H813" s="2762"/>
      <c r="I813" s="2762" t="s">
        <v>260</v>
      </c>
      <c r="J813" s="2762" t="s">
        <v>12734</v>
      </c>
      <c r="K813" s="364">
        <v>12960034</v>
      </c>
      <c r="L813" s="2762" t="s">
        <v>251</v>
      </c>
      <c r="M813" s="365">
        <v>44791</v>
      </c>
      <c r="N813" s="365">
        <v>44824</v>
      </c>
      <c r="O813" s="365">
        <v>44841</v>
      </c>
      <c r="P813" s="2763" t="s">
        <v>1433</v>
      </c>
      <c r="Q813" s="2762"/>
      <c r="R813" s="364">
        <v>13710208.84</v>
      </c>
      <c r="S813" s="364">
        <v>16589352.67</v>
      </c>
      <c r="T813" s="1473"/>
      <c r="U813" s="1473"/>
      <c r="V813" s="1473"/>
      <c r="W813" s="681">
        <v>44841</v>
      </c>
      <c r="X813" s="1417" t="s">
        <v>13231</v>
      </c>
      <c r="Y813" s="365">
        <v>44867</v>
      </c>
      <c r="Z813" s="365">
        <v>44883</v>
      </c>
      <c r="AA813" s="365">
        <v>44895</v>
      </c>
      <c r="AB813" s="451"/>
      <c r="AC813" s="451" t="s">
        <v>6118</v>
      </c>
    </row>
    <row r="814" spans="1:32">
      <c r="A814" s="2140">
        <v>44784</v>
      </c>
      <c r="B814" s="2143" t="s">
        <v>12735</v>
      </c>
      <c r="C814" s="2141" t="s">
        <v>58</v>
      </c>
      <c r="D814" s="2141" t="s">
        <v>4969</v>
      </c>
      <c r="E814" s="2142" t="s">
        <v>13294</v>
      </c>
      <c r="F814" s="2141"/>
      <c r="G814" s="2143"/>
      <c r="H814" s="2141"/>
      <c r="I814" s="2141" t="s">
        <v>12736</v>
      </c>
      <c r="J814" s="2141" t="s">
        <v>12737</v>
      </c>
      <c r="K814" s="2144">
        <v>192855</v>
      </c>
      <c r="L814" s="2141" t="s">
        <v>112</v>
      </c>
      <c r="M814" s="2140">
        <v>44789</v>
      </c>
      <c r="N814" s="2140">
        <v>44798</v>
      </c>
      <c r="O814" s="2140">
        <v>44811</v>
      </c>
      <c r="P814" s="2143" t="s">
        <v>1433</v>
      </c>
      <c r="Q814" s="2141"/>
      <c r="R814" s="2144">
        <v>192855</v>
      </c>
      <c r="S814" s="2144">
        <v>233354.55</v>
      </c>
      <c r="T814" s="2145"/>
      <c r="U814" s="2145"/>
      <c r="V814" s="2145"/>
      <c r="W814" s="2146">
        <v>44811</v>
      </c>
      <c r="X814" s="2144" t="s">
        <v>13006</v>
      </c>
      <c r="Y814" s="2140">
        <v>44859</v>
      </c>
      <c r="Z814" s="2140">
        <v>44861</v>
      </c>
      <c r="AA814" s="2140">
        <v>44873</v>
      </c>
      <c r="AB814" s="2109"/>
      <c r="AC814" s="2106"/>
    </row>
    <row r="815" spans="1:32">
      <c r="A815" s="2153">
        <v>44785</v>
      </c>
      <c r="B815" s="2156" t="s">
        <v>12738</v>
      </c>
      <c r="C815" s="2154" t="s">
        <v>69</v>
      </c>
      <c r="D815" s="2154" t="s">
        <v>70</v>
      </c>
      <c r="E815" s="2155" t="s">
        <v>12758</v>
      </c>
      <c r="F815" s="2154"/>
      <c r="G815" s="2156"/>
      <c r="H815" s="2085"/>
      <c r="I815" s="2154" t="s">
        <v>3435</v>
      </c>
      <c r="J815" s="2154"/>
      <c r="K815" s="2157">
        <v>12735446</v>
      </c>
      <c r="L815" s="2154" t="s">
        <v>251</v>
      </c>
      <c r="M815" s="2153">
        <v>44855</v>
      </c>
      <c r="N815" s="2153">
        <v>44890</v>
      </c>
      <c r="O815" s="2153">
        <v>44903</v>
      </c>
      <c r="P815" s="2156" t="s">
        <v>576</v>
      </c>
      <c r="Q815" s="2154"/>
      <c r="R815" s="2157">
        <v>12504244.039999999</v>
      </c>
      <c r="S815" s="2157">
        <v>13754668.439999999</v>
      </c>
      <c r="T815" s="2094"/>
      <c r="U815" s="2094"/>
      <c r="V815" s="2094"/>
      <c r="W815" s="2160">
        <v>44903</v>
      </c>
      <c r="X815" s="2157" t="s">
        <v>13742</v>
      </c>
      <c r="Y815" s="2154"/>
      <c r="Z815" s="2154"/>
      <c r="AA815" s="2154"/>
      <c r="AB815" s="2154"/>
      <c r="AC815" s="2154"/>
    </row>
    <row r="816" spans="1:32" ht="30">
      <c r="A816" s="2141" t="s">
        <v>3585</v>
      </c>
      <c r="B816" s="2143" t="s">
        <v>12763</v>
      </c>
      <c r="C816" s="2141" t="s">
        <v>58</v>
      </c>
      <c r="D816" s="2141" t="s">
        <v>4969</v>
      </c>
      <c r="E816" s="2142" t="s">
        <v>12764</v>
      </c>
      <c r="F816" s="2141"/>
      <c r="G816" s="2143"/>
      <c r="H816" s="2141"/>
      <c r="I816" s="2141" t="s">
        <v>476</v>
      </c>
      <c r="J816" s="2141" t="s">
        <v>12762</v>
      </c>
      <c r="K816" s="2144">
        <v>214876</v>
      </c>
      <c r="L816" s="2141" t="s">
        <v>251</v>
      </c>
      <c r="M816" s="2140">
        <v>44791</v>
      </c>
      <c r="N816" s="2140">
        <v>44827</v>
      </c>
      <c r="O816" s="2140">
        <v>44868</v>
      </c>
      <c r="P816" s="2143" t="s">
        <v>2524</v>
      </c>
      <c r="Q816" s="2141"/>
      <c r="R816" s="2144">
        <v>190121.5</v>
      </c>
      <c r="S816" s="2144">
        <v>230047.02</v>
      </c>
      <c r="T816" s="2145"/>
      <c r="U816" s="2145"/>
      <c r="V816" s="2145"/>
      <c r="W816" s="2146">
        <v>44868</v>
      </c>
      <c r="X816" s="2260" t="s">
        <v>13477</v>
      </c>
      <c r="Y816" s="2140">
        <v>44896</v>
      </c>
      <c r="Z816" s="2140">
        <v>44901</v>
      </c>
      <c r="AA816" s="2140">
        <v>45064</v>
      </c>
      <c r="AB816" s="2777"/>
      <c r="AC816" s="2777" t="s">
        <v>1875</v>
      </c>
    </row>
    <row r="817" spans="1:32">
      <c r="A817" s="2141" t="s">
        <v>3585</v>
      </c>
      <c r="B817" s="2143" t="s">
        <v>12766</v>
      </c>
      <c r="C817" s="2141" t="s">
        <v>1032</v>
      </c>
      <c r="D817" s="2141" t="s">
        <v>361</v>
      </c>
      <c r="E817" s="2142" t="s">
        <v>12767</v>
      </c>
      <c r="F817" s="2141"/>
      <c r="G817" s="2143"/>
      <c r="H817" s="2141"/>
      <c r="I817" s="2141" t="s">
        <v>12564</v>
      </c>
      <c r="J817" s="2141"/>
      <c r="K817" s="2144">
        <v>7500000</v>
      </c>
      <c r="L817" s="2141" t="s">
        <v>216</v>
      </c>
      <c r="M817" s="2140">
        <v>44792</v>
      </c>
      <c r="N817" s="2140">
        <v>44810</v>
      </c>
      <c r="O817" s="2140">
        <v>44827</v>
      </c>
      <c r="P817" s="2143" t="s">
        <v>3285</v>
      </c>
      <c r="Q817" s="2141"/>
      <c r="R817" s="2144">
        <v>6476240</v>
      </c>
      <c r="S817" s="2144">
        <v>7836250.4000000004</v>
      </c>
      <c r="T817" s="2145"/>
      <c r="U817" s="2145"/>
      <c r="V817" s="2145"/>
      <c r="W817" s="2146">
        <v>44827</v>
      </c>
      <c r="X817" s="2144" t="s">
        <v>13135</v>
      </c>
      <c r="Y817" s="2140">
        <v>44869</v>
      </c>
      <c r="Z817" s="2140">
        <v>44876</v>
      </c>
      <c r="AA817" s="2140">
        <v>46025</v>
      </c>
      <c r="AB817" s="2109" t="s">
        <v>13485</v>
      </c>
      <c r="AC817" s="2109">
        <v>2023</v>
      </c>
      <c r="AD817" s="388">
        <v>2024</v>
      </c>
      <c r="AE817" s="388">
        <v>2025</v>
      </c>
      <c r="AF817" s="388" t="s">
        <v>13486</v>
      </c>
    </row>
    <row r="818" spans="1:32">
      <c r="A818" s="2124">
        <v>44789</v>
      </c>
      <c r="B818" s="2127" t="s">
        <v>12779</v>
      </c>
      <c r="C818" s="2125" t="s">
        <v>2434</v>
      </c>
      <c r="D818" s="2125" t="s">
        <v>219</v>
      </c>
      <c r="E818" s="2126" t="s">
        <v>12780</v>
      </c>
      <c r="F818" s="2125"/>
      <c r="G818" s="2127"/>
      <c r="H818" s="2125"/>
      <c r="I818" s="2125" t="s">
        <v>396</v>
      </c>
      <c r="J818" s="2125"/>
      <c r="K818" s="2128">
        <v>600000</v>
      </c>
      <c r="L818" s="2125" t="s">
        <v>112</v>
      </c>
      <c r="M818" s="2124">
        <v>44792</v>
      </c>
      <c r="N818" s="2124">
        <v>44803</v>
      </c>
      <c r="O818" s="2125"/>
      <c r="P818" s="2136" t="s">
        <v>304</v>
      </c>
      <c r="Q818" s="2275" t="s">
        <v>13147</v>
      </c>
      <c r="R818" s="2128"/>
      <c r="S818" s="2128"/>
      <c r="T818" s="2129"/>
      <c r="U818" s="2129"/>
      <c r="V818" s="2129"/>
      <c r="W818" s="2128"/>
      <c r="X818" s="2128"/>
      <c r="Y818" s="2124"/>
      <c r="Z818" s="2124">
        <v>44803</v>
      </c>
      <c r="AA818" s="2124"/>
      <c r="AB818" s="2125"/>
      <c r="AC818" s="2125"/>
    </row>
    <row r="819" spans="1:32" ht="30">
      <c r="A819" s="2154" t="s">
        <v>3585</v>
      </c>
      <c r="B819" s="2156" t="s">
        <v>12801</v>
      </c>
      <c r="C819" s="2154" t="s">
        <v>58</v>
      </c>
      <c r="D819" s="2154" t="s">
        <v>4969</v>
      </c>
      <c r="E819" s="2155" t="s">
        <v>12802</v>
      </c>
      <c r="F819" s="2154"/>
      <c r="G819" s="2156"/>
      <c r="H819" s="2154"/>
      <c r="I819" s="2154" t="s">
        <v>272</v>
      </c>
      <c r="J819" s="2154" t="s">
        <v>10916</v>
      </c>
      <c r="K819" s="2157">
        <v>1320000</v>
      </c>
      <c r="L819" s="2154" t="s">
        <v>251</v>
      </c>
      <c r="M819" s="2153">
        <v>44799</v>
      </c>
      <c r="N819" s="2153">
        <v>44831</v>
      </c>
      <c r="O819" s="2153">
        <v>44876</v>
      </c>
      <c r="P819" s="2156" t="s">
        <v>4315</v>
      </c>
      <c r="Q819" s="2154"/>
      <c r="R819" s="2157">
        <v>1560948</v>
      </c>
      <c r="S819" s="2157">
        <v>1888746.92</v>
      </c>
      <c r="T819" s="2415"/>
      <c r="U819" s="2415"/>
      <c r="V819" s="2415"/>
      <c r="W819" s="2160">
        <v>44876</v>
      </c>
      <c r="X819" s="2326" t="s">
        <v>13525</v>
      </c>
      <c r="Y819" s="2154"/>
      <c r="Z819" s="2154"/>
      <c r="AA819" s="2154"/>
      <c r="AB819" s="2154"/>
      <c r="AC819" s="2154"/>
    </row>
    <row r="820" spans="1:32" ht="30">
      <c r="A820" s="2140">
        <v>44785</v>
      </c>
      <c r="B820" s="2143" t="s">
        <v>12804</v>
      </c>
      <c r="C820" s="2141" t="s">
        <v>58</v>
      </c>
      <c r="D820" s="2141" t="s">
        <v>4969</v>
      </c>
      <c r="E820" s="2142" t="s">
        <v>12805</v>
      </c>
      <c r="F820" s="2141"/>
      <c r="G820" s="2143"/>
      <c r="H820" s="2141"/>
      <c r="I820" s="2141" t="s">
        <v>1159</v>
      </c>
      <c r="J820" s="2141" t="s">
        <v>12806</v>
      </c>
      <c r="K820" s="2144">
        <v>641000</v>
      </c>
      <c r="L820" s="2141" t="s">
        <v>251</v>
      </c>
      <c r="M820" s="2140">
        <v>44795</v>
      </c>
      <c r="N820" s="2140">
        <v>44827</v>
      </c>
      <c r="O820" s="2140">
        <v>44859</v>
      </c>
      <c r="P820" s="2143" t="s">
        <v>7642</v>
      </c>
      <c r="Q820" s="2141"/>
      <c r="R820" s="2144">
        <v>399700</v>
      </c>
      <c r="S820" s="2144">
        <v>483637</v>
      </c>
      <c r="T820" s="2145"/>
      <c r="U820" s="2145"/>
      <c r="V820" s="2145"/>
      <c r="W820" s="2146">
        <v>44859</v>
      </c>
      <c r="X820" s="2260" t="s">
        <v>13404</v>
      </c>
      <c r="Y820" s="2140">
        <v>44881</v>
      </c>
      <c r="Z820" s="2140">
        <v>44883</v>
      </c>
      <c r="AA820" s="2140">
        <v>45091</v>
      </c>
      <c r="AB820" s="2777"/>
      <c r="AC820" s="2777" t="s">
        <v>1875</v>
      </c>
    </row>
    <row r="821" spans="1:32">
      <c r="A821" s="2140">
        <v>44770</v>
      </c>
      <c r="B821" s="2143" t="s">
        <v>12819</v>
      </c>
      <c r="C821" s="2141" t="s">
        <v>1032</v>
      </c>
      <c r="D821" s="2141" t="s">
        <v>361</v>
      </c>
      <c r="E821" s="2142" t="s">
        <v>12820</v>
      </c>
      <c r="F821" s="2141"/>
      <c r="G821" s="2143"/>
      <c r="H821" s="2141"/>
      <c r="I821" s="2141" t="s">
        <v>4262</v>
      </c>
      <c r="J821" s="2141" t="s">
        <v>12821</v>
      </c>
      <c r="K821" s="2144">
        <v>2500000</v>
      </c>
      <c r="L821" s="2141" t="s">
        <v>216</v>
      </c>
      <c r="M821" s="2140">
        <v>44803</v>
      </c>
      <c r="N821" s="2140">
        <v>44820</v>
      </c>
      <c r="O821" s="2140">
        <v>44841</v>
      </c>
      <c r="P821" s="2143" t="s">
        <v>288</v>
      </c>
      <c r="Q821" s="2141"/>
      <c r="R821" s="2144">
        <v>2690000</v>
      </c>
      <c r="S821" s="2144">
        <v>3254900</v>
      </c>
      <c r="T821" s="2145"/>
      <c r="U821" s="2145"/>
      <c r="V821" s="2145"/>
      <c r="W821" s="2146">
        <v>44841</v>
      </c>
      <c r="X821" s="2144" t="s">
        <v>13232</v>
      </c>
      <c r="Y821" s="2140">
        <v>44881</v>
      </c>
      <c r="Z821" s="2140">
        <v>44883</v>
      </c>
      <c r="AA821" s="2141"/>
      <c r="AB821" s="2109"/>
      <c r="AC821" s="2106"/>
    </row>
    <row r="822" spans="1:32" ht="30">
      <c r="A822" s="2140">
        <v>44795</v>
      </c>
      <c r="B822" s="2143" t="s">
        <v>12823</v>
      </c>
      <c r="C822" s="2141" t="s">
        <v>58</v>
      </c>
      <c r="D822" s="2141" t="s">
        <v>4969</v>
      </c>
      <c r="E822" s="2142" t="s">
        <v>12824</v>
      </c>
      <c r="F822" s="2141"/>
      <c r="G822" s="2143"/>
      <c r="H822" s="2141"/>
      <c r="I822" s="2141" t="s">
        <v>77</v>
      </c>
      <c r="J822" s="2141" t="s">
        <v>12825</v>
      </c>
      <c r="K822" s="2144">
        <v>136000</v>
      </c>
      <c r="L822" s="2141" t="s">
        <v>112</v>
      </c>
      <c r="M822" s="2140">
        <v>44798</v>
      </c>
      <c r="N822" s="2140">
        <v>44810</v>
      </c>
      <c r="O822" s="2140">
        <v>44830</v>
      </c>
      <c r="P822" s="2143" t="s">
        <v>13063</v>
      </c>
      <c r="Q822" s="2141"/>
      <c r="R822" s="2144">
        <v>119200</v>
      </c>
      <c r="S822" s="2144">
        <v>144232</v>
      </c>
      <c r="T822" s="2145"/>
      <c r="U822" s="2145"/>
      <c r="V822" s="2145"/>
      <c r="W822" s="2146">
        <v>44830</v>
      </c>
      <c r="X822" s="2260" t="s">
        <v>13137</v>
      </c>
      <c r="Y822" s="2140">
        <v>44852</v>
      </c>
      <c r="Z822" s="2140">
        <v>44855</v>
      </c>
      <c r="AA822" s="2140">
        <v>44882</v>
      </c>
      <c r="AB822" s="2109"/>
      <c r="AC822" s="2109" t="s">
        <v>1875</v>
      </c>
    </row>
    <row r="823" spans="1:32" ht="30.75" thickBot="1">
      <c r="A823" s="416">
        <v>44790</v>
      </c>
      <c r="B823" s="630" t="s">
        <v>12827</v>
      </c>
      <c r="C823" s="411" t="s">
        <v>58</v>
      </c>
      <c r="D823" s="411" t="s">
        <v>4969</v>
      </c>
      <c r="E823" s="412" t="s">
        <v>12828</v>
      </c>
      <c r="F823" s="411"/>
      <c r="G823" s="630"/>
      <c r="H823" s="411"/>
      <c r="I823" s="411" t="s">
        <v>62</v>
      </c>
      <c r="J823" s="411" t="s">
        <v>12829</v>
      </c>
      <c r="K823" s="417">
        <v>3285000</v>
      </c>
      <c r="L823" s="411" t="s">
        <v>251</v>
      </c>
      <c r="M823" s="416">
        <v>44799</v>
      </c>
      <c r="N823" s="416">
        <v>44831</v>
      </c>
      <c r="O823" s="416">
        <v>44853</v>
      </c>
      <c r="P823" s="630" t="s">
        <v>11782</v>
      </c>
      <c r="Q823" s="411"/>
      <c r="R823" s="417">
        <v>3275150</v>
      </c>
      <c r="S823" s="417">
        <v>3962931.5</v>
      </c>
      <c r="T823" s="1480"/>
      <c r="U823" s="1480"/>
      <c r="V823" s="1480"/>
      <c r="W823" s="513">
        <v>44853</v>
      </c>
      <c r="X823" s="1553" t="s">
        <v>13331</v>
      </c>
      <c r="Y823" s="416">
        <v>44886</v>
      </c>
      <c r="Z823" s="416">
        <v>44908</v>
      </c>
      <c r="AA823" s="416">
        <v>45068</v>
      </c>
      <c r="AB823" s="422"/>
      <c r="AC823" s="422" t="s">
        <v>1875</v>
      </c>
    </row>
    <row r="824" spans="1:32" ht="15.75" thickTop="1">
      <c r="A824" s="587">
        <v>44795</v>
      </c>
      <c r="B824" s="1427" t="s">
        <v>12832</v>
      </c>
      <c r="C824" s="583" t="s">
        <v>69</v>
      </c>
      <c r="D824" s="583" t="s">
        <v>70</v>
      </c>
      <c r="E824" s="584" t="s">
        <v>12877</v>
      </c>
      <c r="F824" s="583">
        <v>1</v>
      </c>
      <c r="G824" s="1427" t="s">
        <v>12833</v>
      </c>
      <c r="H824" s="583"/>
      <c r="I824" s="583" t="s">
        <v>1537</v>
      </c>
      <c r="J824" s="583"/>
      <c r="K824" s="588">
        <v>3301280</v>
      </c>
      <c r="L824" s="583" t="s">
        <v>251</v>
      </c>
      <c r="M824" s="587">
        <v>44894</v>
      </c>
      <c r="N824" s="587">
        <v>44928</v>
      </c>
      <c r="O824" s="583"/>
      <c r="P824" s="1427"/>
      <c r="Q824" s="583"/>
      <c r="R824" s="588"/>
      <c r="S824" s="588"/>
      <c r="T824" s="1483"/>
      <c r="U824" s="1483"/>
      <c r="V824" s="1483"/>
      <c r="W824" s="588"/>
      <c r="X824" s="588"/>
      <c r="Y824" s="583"/>
      <c r="Z824" s="583"/>
      <c r="AA824" s="583"/>
      <c r="AB824" s="583"/>
      <c r="AC824" s="583"/>
    </row>
    <row r="825" spans="1:32">
      <c r="A825" s="2084">
        <v>44795</v>
      </c>
      <c r="B825" s="2087" t="s">
        <v>12836</v>
      </c>
      <c r="C825" s="2085" t="s">
        <v>69</v>
      </c>
      <c r="D825" s="2085" t="s">
        <v>70</v>
      </c>
      <c r="E825" s="2086" t="s">
        <v>12877</v>
      </c>
      <c r="F825" s="2085">
        <v>2</v>
      </c>
      <c r="G825" s="2087" t="s">
        <v>12834</v>
      </c>
      <c r="H825" s="2085"/>
      <c r="I825" s="2085" t="s">
        <v>1537</v>
      </c>
      <c r="J825" s="2085"/>
      <c r="K825" s="2092">
        <v>385268</v>
      </c>
      <c r="L825" s="2085" t="s">
        <v>251</v>
      </c>
      <c r="M825" s="2084">
        <v>44894</v>
      </c>
      <c r="N825" s="2084">
        <v>44928</v>
      </c>
      <c r="O825" s="2085"/>
      <c r="P825" s="2087"/>
      <c r="Q825" s="2085"/>
      <c r="R825" s="2092"/>
      <c r="S825" s="2092"/>
      <c r="T825" s="2094"/>
      <c r="U825" s="2094"/>
      <c r="V825" s="2094"/>
      <c r="W825" s="2092"/>
      <c r="X825" s="2092"/>
      <c r="Y825" s="2085"/>
      <c r="Z825" s="2085"/>
      <c r="AA825" s="2085"/>
      <c r="AB825" s="2085"/>
      <c r="AC825" s="2085"/>
    </row>
    <row r="826" spans="1:32" ht="15.75" thickBot="1">
      <c r="A826" s="2088">
        <v>44795</v>
      </c>
      <c r="B826" s="2091" t="s">
        <v>12837</v>
      </c>
      <c r="C826" s="2089" t="s">
        <v>69</v>
      </c>
      <c r="D826" s="2089" t="s">
        <v>70</v>
      </c>
      <c r="E826" s="2090" t="s">
        <v>12877</v>
      </c>
      <c r="F826" s="2089">
        <v>3</v>
      </c>
      <c r="G826" s="2091" t="s">
        <v>12835</v>
      </c>
      <c r="H826" s="2089"/>
      <c r="I826" s="2089" t="s">
        <v>1537</v>
      </c>
      <c r="J826" s="2089"/>
      <c r="K826" s="2093">
        <v>5882097</v>
      </c>
      <c r="L826" s="2089" t="s">
        <v>251</v>
      </c>
      <c r="M826" s="2088">
        <v>44894</v>
      </c>
      <c r="N826" s="2088">
        <v>44928</v>
      </c>
      <c r="O826" s="2089"/>
      <c r="P826" s="2091"/>
      <c r="Q826" s="2089"/>
      <c r="R826" s="2093"/>
      <c r="S826" s="2093"/>
      <c r="T826" s="2095"/>
      <c r="U826" s="2095"/>
      <c r="V826" s="2095"/>
      <c r="W826" s="2093"/>
      <c r="X826" s="2093"/>
      <c r="Y826" s="2089"/>
      <c r="Z826" s="2089"/>
      <c r="AA826" s="2089"/>
      <c r="AB826" s="2089"/>
      <c r="AC826" s="2089"/>
    </row>
    <row r="827" spans="1:32" ht="16.5" thickTop="1" thickBot="1">
      <c r="A827" s="498">
        <v>44796</v>
      </c>
      <c r="B827" s="669" t="s">
        <v>12844</v>
      </c>
      <c r="C827" s="232" t="s">
        <v>2712</v>
      </c>
      <c r="D827" s="232" t="s">
        <v>2731</v>
      </c>
      <c r="E827" s="274" t="s">
        <v>12845</v>
      </c>
      <c r="F827" s="232"/>
      <c r="G827" s="669"/>
      <c r="H827" s="232"/>
      <c r="I827" s="232" t="s">
        <v>1422</v>
      </c>
      <c r="J827" s="232"/>
      <c r="K827" s="499">
        <v>550000</v>
      </c>
      <c r="L827" s="232" t="s">
        <v>112</v>
      </c>
      <c r="M827" s="498">
        <v>44798</v>
      </c>
      <c r="N827" s="498">
        <v>44806</v>
      </c>
      <c r="O827" s="498">
        <v>44811</v>
      </c>
      <c r="P827" s="669" t="s">
        <v>13004</v>
      </c>
      <c r="Q827" s="232"/>
      <c r="R827" s="499">
        <v>353971.08</v>
      </c>
      <c r="S827" s="499">
        <v>404605</v>
      </c>
      <c r="T827" s="1545"/>
      <c r="U827" s="1545"/>
      <c r="V827" s="1545"/>
      <c r="W827" s="682">
        <v>44811</v>
      </c>
      <c r="X827" s="499" t="s">
        <v>13005</v>
      </c>
      <c r="Y827" s="498">
        <v>44830</v>
      </c>
      <c r="Z827" s="498">
        <v>44831</v>
      </c>
      <c r="AA827" s="232"/>
      <c r="AB827" s="232"/>
      <c r="AC827" s="232"/>
    </row>
    <row r="828" spans="1:32" ht="30.75" thickTop="1">
      <c r="A828" s="428">
        <v>44795</v>
      </c>
      <c r="B828" s="1371" t="s">
        <v>12846</v>
      </c>
      <c r="C828" s="425" t="s">
        <v>58</v>
      </c>
      <c r="D828" s="425" t="s">
        <v>4969</v>
      </c>
      <c r="E828" s="426" t="s">
        <v>12847</v>
      </c>
      <c r="F828" s="425">
        <v>1</v>
      </c>
      <c r="G828" s="1371" t="s">
        <v>12851</v>
      </c>
      <c r="H828" s="583"/>
      <c r="I828" s="425" t="s">
        <v>292</v>
      </c>
      <c r="J828" s="425" t="s">
        <v>12848</v>
      </c>
      <c r="K828" s="429">
        <v>1624113</v>
      </c>
      <c r="L828" s="425" t="s">
        <v>251</v>
      </c>
      <c r="M828" s="428">
        <v>44811</v>
      </c>
      <c r="N828" s="428">
        <v>44860</v>
      </c>
      <c r="O828" s="428">
        <v>44883</v>
      </c>
      <c r="P828" s="1371" t="s">
        <v>9936</v>
      </c>
      <c r="Q828" s="425"/>
      <c r="R828" s="429">
        <v>1630860</v>
      </c>
      <c r="S828" s="429">
        <v>1877982.6</v>
      </c>
      <c r="T828" s="1483"/>
      <c r="U828" s="1483"/>
      <c r="V828" s="1483"/>
      <c r="W828" s="1384">
        <v>44883</v>
      </c>
      <c r="X828" s="2031" t="s">
        <v>13557</v>
      </c>
      <c r="Y828" s="425"/>
      <c r="Z828" s="425"/>
      <c r="AA828" s="425"/>
      <c r="AB828" s="425"/>
      <c r="AC828" s="425"/>
    </row>
    <row r="829" spans="1:32" ht="30.75" thickBot="1">
      <c r="A829" s="2117">
        <v>44795</v>
      </c>
      <c r="B829" s="2120" t="s">
        <v>12850</v>
      </c>
      <c r="C829" s="2118" t="s">
        <v>58</v>
      </c>
      <c r="D829" s="2118" t="s">
        <v>4969</v>
      </c>
      <c r="E829" s="2119" t="s">
        <v>12847</v>
      </c>
      <c r="F829" s="2118">
        <v>2</v>
      </c>
      <c r="G829" s="2120" t="s">
        <v>12852</v>
      </c>
      <c r="H829" s="2118"/>
      <c r="I829" s="2118" t="s">
        <v>292</v>
      </c>
      <c r="J829" s="2118" t="s">
        <v>12849</v>
      </c>
      <c r="K829" s="2121">
        <v>531000</v>
      </c>
      <c r="L829" s="2118" t="s">
        <v>251</v>
      </c>
      <c r="M829" s="2117">
        <v>44811</v>
      </c>
      <c r="N829" s="2117">
        <v>44860</v>
      </c>
      <c r="O829" s="2117">
        <v>44883</v>
      </c>
      <c r="P829" s="2120" t="s">
        <v>12583</v>
      </c>
      <c r="Q829" s="2118"/>
      <c r="R829" s="2121">
        <v>510450</v>
      </c>
      <c r="S829" s="2121">
        <v>617644.5</v>
      </c>
      <c r="T829" s="2122"/>
      <c r="U829" s="2122"/>
      <c r="V829" s="2122"/>
      <c r="W829" s="2123">
        <v>44883</v>
      </c>
      <c r="X829" s="2246" t="s">
        <v>13558</v>
      </c>
      <c r="Y829" s="2117">
        <v>44910</v>
      </c>
      <c r="Z829" s="2117">
        <v>44932</v>
      </c>
      <c r="AA829" s="2117">
        <v>44980</v>
      </c>
      <c r="AB829" s="2110"/>
      <c r="AC829" s="2110" t="s">
        <v>1875</v>
      </c>
    </row>
    <row r="830" spans="1:32" ht="30.75" thickTop="1">
      <c r="A830" s="428">
        <v>44789</v>
      </c>
      <c r="B830" s="1371" t="s">
        <v>12853</v>
      </c>
      <c r="C830" s="425" t="s">
        <v>2434</v>
      </c>
      <c r="D830" s="425" t="s">
        <v>3204</v>
      </c>
      <c r="E830" s="426" t="s">
        <v>12854</v>
      </c>
      <c r="F830" s="425">
        <v>1</v>
      </c>
      <c r="G830" s="1371" t="s">
        <v>12859</v>
      </c>
      <c r="H830" s="425"/>
      <c r="I830" s="425" t="s">
        <v>642</v>
      </c>
      <c r="J830" s="425"/>
      <c r="K830" s="429">
        <v>31000</v>
      </c>
      <c r="L830" s="425" t="s">
        <v>216</v>
      </c>
      <c r="M830" s="428">
        <v>44803</v>
      </c>
      <c r="N830" s="428">
        <v>44854</v>
      </c>
      <c r="O830" s="428">
        <v>44895</v>
      </c>
      <c r="P830" s="1371" t="s">
        <v>12260</v>
      </c>
      <c r="Q830" s="425"/>
      <c r="R830" s="429">
        <v>22351</v>
      </c>
      <c r="S830" s="429">
        <v>27044.71</v>
      </c>
      <c r="T830" s="1605"/>
      <c r="U830" s="1605"/>
      <c r="V830" s="1605"/>
      <c r="W830" s="1384">
        <v>44895</v>
      </c>
      <c r="X830" s="2031" t="s">
        <v>13668</v>
      </c>
      <c r="Y830" s="425"/>
      <c r="Z830" s="425"/>
      <c r="AA830" s="425"/>
      <c r="AB830" s="425"/>
      <c r="AC830" s="425"/>
    </row>
    <row r="831" spans="1:32" ht="30">
      <c r="A831" s="840">
        <v>44790</v>
      </c>
      <c r="B831" s="1422" t="s">
        <v>12855</v>
      </c>
      <c r="C831" s="423" t="s">
        <v>2434</v>
      </c>
      <c r="D831" s="423" t="s">
        <v>3204</v>
      </c>
      <c r="E831" s="2155" t="s">
        <v>12854</v>
      </c>
      <c r="F831" s="2154">
        <v>2</v>
      </c>
      <c r="G831" s="2156" t="s">
        <v>12858</v>
      </c>
      <c r="H831" s="2154"/>
      <c r="I831" s="2154" t="s">
        <v>642</v>
      </c>
      <c r="J831" s="2154"/>
      <c r="K831" s="2157">
        <v>353400</v>
      </c>
      <c r="L831" s="2154" t="s">
        <v>216</v>
      </c>
      <c r="M831" s="2153">
        <v>44803</v>
      </c>
      <c r="N831" s="2153">
        <v>44854</v>
      </c>
      <c r="O831" s="2153">
        <v>44895</v>
      </c>
      <c r="P831" s="2156" t="s">
        <v>12260</v>
      </c>
      <c r="Q831" s="2154"/>
      <c r="R831" s="2157">
        <v>254801.4</v>
      </c>
      <c r="S831" s="2157">
        <v>308309.69</v>
      </c>
      <c r="T831" s="2415"/>
      <c r="U831" s="2415"/>
      <c r="V831" s="2415"/>
      <c r="W831" s="2160">
        <v>44895</v>
      </c>
      <c r="X831" s="2326" t="s">
        <v>13669</v>
      </c>
      <c r="Y831" s="2154"/>
      <c r="Z831" s="2154"/>
      <c r="AA831" s="2154"/>
      <c r="AB831" s="2154"/>
      <c r="AC831" s="2154"/>
    </row>
    <row r="832" spans="1:32" ht="30">
      <c r="A832" s="840">
        <v>44791</v>
      </c>
      <c r="B832" s="1422" t="s">
        <v>12856</v>
      </c>
      <c r="C832" s="423" t="s">
        <v>2434</v>
      </c>
      <c r="D832" s="423" t="s">
        <v>3204</v>
      </c>
      <c r="E832" s="2155" t="s">
        <v>12854</v>
      </c>
      <c r="F832" s="2154">
        <v>3</v>
      </c>
      <c r="G832" s="2156" t="s">
        <v>12860</v>
      </c>
      <c r="H832" s="2154"/>
      <c r="I832" s="2154" t="s">
        <v>642</v>
      </c>
      <c r="J832" s="2154"/>
      <c r="K832" s="2157">
        <v>350840</v>
      </c>
      <c r="L832" s="2154" t="s">
        <v>216</v>
      </c>
      <c r="M832" s="2153">
        <v>44803</v>
      </c>
      <c r="N832" s="2153">
        <v>44854</v>
      </c>
      <c r="O832" s="2153">
        <v>44895</v>
      </c>
      <c r="P832" s="2156" t="s">
        <v>12260</v>
      </c>
      <c r="Q832" s="2154"/>
      <c r="R832" s="2157">
        <v>219039.8</v>
      </c>
      <c r="S832" s="2157">
        <v>265038.15999999997</v>
      </c>
      <c r="T832" s="2415"/>
      <c r="U832" s="2415"/>
      <c r="V832" s="2415"/>
      <c r="W832" s="2160">
        <v>44895</v>
      </c>
      <c r="X832" s="2326" t="s">
        <v>13670</v>
      </c>
      <c r="Y832" s="2154"/>
      <c r="Z832" s="2154"/>
      <c r="AA832" s="2154"/>
      <c r="AB832" s="2154"/>
      <c r="AC832" s="2154"/>
    </row>
    <row r="833" spans="1:32" ht="30.75" thickBot="1">
      <c r="A833" s="2434">
        <v>44792</v>
      </c>
      <c r="B833" s="2437" t="s">
        <v>12857</v>
      </c>
      <c r="C833" s="2435" t="s">
        <v>2434</v>
      </c>
      <c r="D833" s="2435" t="s">
        <v>3204</v>
      </c>
      <c r="E833" s="2298" t="s">
        <v>12854</v>
      </c>
      <c r="F833" s="2297">
        <v>4</v>
      </c>
      <c r="G833" s="2300" t="s">
        <v>12861</v>
      </c>
      <c r="H833" s="2297"/>
      <c r="I833" s="2297" t="s">
        <v>642</v>
      </c>
      <c r="J833" s="2297"/>
      <c r="K833" s="2299">
        <v>1224360</v>
      </c>
      <c r="L833" s="2297" t="s">
        <v>216</v>
      </c>
      <c r="M833" s="2152">
        <v>44803</v>
      </c>
      <c r="N833" s="2152">
        <v>44854</v>
      </c>
      <c r="O833" s="2152">
        <v>44895</v>
      </c>
      <c r="P833" s="2300" t="s">
        <v>12260</v>
      </c>
      <c r="Q833" s="2297"/>
      <c r="R833" s="2299">
        <v>764404.2</v>
      </c>
      <c r="S833" s="2299">
        <v>924929.08</v>
      </c>
      <c r="T833" s="2443"/>
      <c r="U833" s="2443"/>
      <c r="V833" s="2443"/>
      <c r="W833" s="2315">
        <v>44895</v>
      </c>
      <c r="X833" s="2341" t="s">
        <v>13671</v>
      </c>
      <c r="Y833" s="2297"/>
      <c r="Z833" s="2297"/>
      <c r="AA833" s="2297"/>
      <c r="AB833" s="2297"/>
      <c r="AC833" s="2297"/>
    </row>
    <row r="834" spans="1:32" ht="30.75" thickTop="1">
      <c r="A834" s="365">
        <v>44797</v>
      </c>
      <c r="B834" s="2801" t="s">
        <v>12871</v>
      </c>
      <c r="C834" s="2800" t="s">
        <v>58</v>
      </c>
      <c r="D834" s="2800" t="s">
        <v>4969</v>
      </c>
      <c r="E834" s="175" t="s">
        <v>12872</v>
      </c>
      <c r="F834" s="2800"/>
      <c r="G834" s="2801"/>
      <c r="H834" s="2800"/>
      <c r="I834" s="2800" t="s">
        <v>269</v>
      </c>
      <c r="J834" s="2800"/>
      <c r="K834" s="364">
        <v>125000</v>
      </c>
      <c r="L834" s="2800" t="s">
        <v>251</v>
      </c>
      <c r="M834" s="365">
        <v>44806</v>
      </c>
      <c r="N834" s="365">
        <v>44838</v>
      </c>
      <c r="O834" s="365">
        <v>44860</v>
      </c>
      <c r="P834" s="2801" t="s">
        <v>12260</v>
      </c>
      <c r="Q834" s="2800"/>
      <c r="R834" s="364">
        <v>118440</v>
      </c>
      <c r="S834" s="364">
        <v>143312.4</v>
      </c>
      <c r="T834" s="1473"/>
      <c r="U834" s="1473"/>
      <c r="V834" s="1473"/>
      <c r="W834" s="681">
        <v>44860</v>
      </c>
      <c r="X834" s="1417" t="s">
        <v>13408</v>
      </c>
      <c r="Y834" s="365">
        <v>44901</v>
      </c>
      <c r="Z834" s="365">
        <v>44911</v>
      </c>
      <c r="AA834" s="365">
        <v>44943</v>
      </c>
      <c r="AB834" s="451"/>
      <c r="AC834" s="451" t="s">
        <v>1875</v>
      </c>
    </row>
    <row r="835" spans="1:32">
      <c r="A835" s="2140">
        <v>44798</v>
      </c>
      <c r="B835" s="2143" t="s">
        <v>12874</v>
      </c>
      <c r="C835" s="2141" t="s">
        <v>2434</v>
      </c>
      <c r="D835" s="2141" t="s">
        <v>219</v>
      </c>
      <c r="E835" s="2142" t="s">
        <v>12875</v>
      </c>
      <c r="F835" s="2141"/>
      <c r="G835" s="2143"/>
      <c r="H835" s="2141"/>
      <c r="I835" s="2141" t="s">
        <v>642</v>
      </c>
      <c r="J835" s="2141"/>
      <c r="K835" s="2144">
        <v>4053010</v>
      </c>
      <c r="L835" s="2141" t="s">
        <v>251</v>
      </c>
      <c r="M835" s="2140">
        <v>44810</v>
      </c>
      <c r="N835" s="2140">
        <v>44844</v>
      </c>
      <c r="O835" s="2140">
        <v>44874</v>
      </c>
      <c r="P835" s="2143" t="s">
        <v>6173</v>
      </c>
      <c r="Q835" s="2141"/>
      <c r="R835" s="2144">
        <v>4679692</v>
      </c>
      <c r="S835" s="2144">
        <v>5662427.3200000003</v>
      </c>
      <c r="T835" s="2145"/>
      <c r="U835" s="2145"/>
      <c r="V835" s="2145"/>
      <c r="W835" s="2146">
        <v>44874</v>
      </c>
      <c r="X835" s="2144" t="s">
        <v>13516</v>
      </c>
      <c r="Y835" s="2140">
        <v>44903</v>
      </c>
      <c r="Z835" s="2140">
        <v>44925</v>
      </c>
      <c r="AA835" s="2140">
        <v>46363</v>
      </c>
      <c r="AB835" s="2109" t="s">
        <v>12626</v>
      </c>
      <c r="AC835" s="2109">
        <v>2023</v>
      </c>
      <c r="AD835" s="388">
        <v>2024</v>
      </c>
      <c r="AE835" s="388">
        <v>2025</v>
      </c>
      <c r="AF835" s="388" t="s">
        <v>13740</v>
      </c>
    </row>
    <row r="836" spans="1:32">
      <c r="A836" s="2140">
        <v>44797</v>
      </c>
      <c r="B836" s="2143" t="s">
        <v>12880</v>
      </c>
      <c r="C836" s="2141" t="s">
        <v>58</v>
      </c>
      <c r="D836" s="2141" t="s">
        <v>55</v>
      </c>
      <c r="E836" s="2142" t="s">
        <v>12881</v>
      </c>
      <c r="F836" s="2141"/>
      <c r="G836" s="2143"/>
      <c r="H836" s="2141"/>
      <c r="I836" s="2141" t="s">
        <v>756</v>
      </c>
      <c r="J836" s="2141"/>
      <c r="K836" s="2144">
        <v>545000</v>
      </c>
      <c r="L836" s="2141" t="s">
        <v>112</v>
      </c>
      <c r="M836" s="2140">
        <v>44803</v>
      </c>
      <c r="N836" s="2140">
        <v>44811</v>
      </c>
      <c r="O836" s="2140">
        <v>44818</v>
      </c>
      <c r="P836" s="2143" t="s">
        <v>2285</v>
      </c>
      <c r="Q836" s="2141"/>
      <c r="R836" s="2144">
        <v>514847</v>
      </c>
      <c r="S836" s="2144">
        <v>622964.87</v>
      </c>
      <c r="T836" s="2145"/>
      <c r="U836" s="2145"/>
      <c r="V836" s="2145"/>
      <c r="W836" s="2146">
        <v>44820</v>
      </c>
      <c r="X836" s="2144" t="s">
        <v>13083</v>
      </c>
      <c r="Y836" s="2140">
        <v>44838</v>
      </c>
      <c r="Z836" s="2140">
        <v>44840</v>
      </c>
      <c r="AA836" s="2140">
        <v>44873</v>
      </c>
      <c r="AB836" s="2109"/>
      <c r="AC836" s="2106"/>
    </row>
    <row r="837" spans="1:32" ht="15.75" thickBot="1">
      <c r="A837" s="416">
        <v>44796</v>
      </c>
      <c r="B837" s="630" t="s">
        <v>12886</v>
      </c>
      <c r="C837" s="411" t="s">
        <v>2250</v>
      </c>
      <c r="D837" s="411" t="s">
        <v>12887</v>
      </c>
      <c r="E837" s="412" t="s">
        <v>12888</v>
      </c>
      <c r="F837" s="411"/>
      <c r="G837" s="630"/>
      <c r="H837" s="411"/>
      <c r="I837" s="411" t="s">
        <v>12889</v>
      </c>
      <c r="J837" s="411"/>
      <c r="K837" s="417">
        <v>1260480</v>
      </c>
      <c r="L837" s="411" t="s">
        <v>216</v>
      </c>
      <c r="M837" s="416">
        <v>44804</v>
      </c>
      <c r="N837" s="416">
        <v>44820</v>
      </c>
      <c r="O837" s="416">
        <v>44840</v>
      </c>
      <c r="P837" s="630" t="s">
        <v>13223</v>
      </c>
      <c r="Q837" s="411"/>
      <c r="R837" s="417">
        <v>1221680</v>
      </c>
      <c r="S837" s="417">
        <v>1478232.8</v>
      </c>
      <c r="T837" s="1480"/>
      <c r="U837" s="1480"/>
      <c r="V837" s="1480"/>
      <c r="W837" s="513">
        <v>44840</v>
      </c>
      <c r="X837" s="417" t="s">
        <v>13222</v>
      </c>
      <c r="Y837" s="416">
        <v>44869</v>
      </c>
      <c r="Z837" s="416">
        <v>44876</v>
      </c>
      <c r="AA837" s="411" t="s">
        <v>4096</v>
      </c>
      <c r="AB837" s="422"/>
      <c r="AC837" s="967"/>
    </row>
    <row r="838" spans="1:32" ht="15.75" thickTop="1">
      <c r="A838" s="474">
        <v>44799</v>
      </c>
      <c r="B838" s="1420" t="s">
        <v>12891</v>
      </c>
      <c r="C838" s="453" t="s">
        <v>2434</v>
      </c>
      <c r="D838" s="453" t="s">
        <v>219</v>
      </c>
      <c r="E838" s="473" t="s">
        <v>12892</v>
      </c>
      <c r="F838" s="453">
        <v>1</v>
      </c>
      <c r="G838" s="1420" t="s">
        <v>12893</v>
      </c>
      <c r="H838" s="453"/>
      <c r="I838" s="453" t="s">
        <v>12894</v>
      </c>
      <c r="J838" s="453"/>
      <c r="K838" s="457">
        <v>1044300</v>
      </c>
      <c r="L838" s="453" t="s">
        <v>112</v>
      </c>
      <c r="M838" s="474">
        <v>44804</v>
      </c>
      <c r="N838" s="474">
        <v>44812</v>
      </c>
      <c r="O838" s="474">
        <v>44820</v>
      </c>
      <c r="P838" s="1420" t="s">
        <v>993</v>
      </c>
      <c r="Q838" s="453"/>
      <c r="R838" s="457">
        <v>951303</v>
      </c>
      <c r="S838" s="457">
        <v>1151076.6299999999</v>
      </c>
      <c r="T838" s="1474"/>
      <c r="U838" s="1474"/>
      <c r="V838" s="1474"/>
      <c r="W838" s="570">
        <v>44820</v>
      </c>
      <c r="X838" s="457" t="s">
        <v>13084</v>
      </c>
      <c r="Y838" s="474">
        <v>44840</v>
      </c>
      <c r="Z838" s="474">
        <v>44844</v>
      </c>
      <c r="AA838" s="474">
        <v>44896</v>
      </c>
      <c r="AB838" s="1391"/>
      <c r="AC838" s="1393"/>
    </row>
    <row r="839" spans="1:32">
      <c r="A839" s="2140">
        <v>44799</v>
      </c>
      <c r="B839" s="2143" t="s">
        <v>12895</v>
      </c>
      <c r="C839" s="2141" t="s">
        <v>2434</v>
      </c>
      <c r="D839" s="2141" t="s">
        <v>219</v>
      </c>
      <c r="E839" s="2142" t="s">
        <v>12892</v>
      </c>
      <c r="F839" s="2141">
        <v>2</v>
      </c>
      <c r="G839" s="2143" t="s">
        <v>12897</v>
      </c>
      <c r="H839" s="2141"/>
      <c r="I839" s="2141" t="s">
        <v>12894</v>
      </c>
      <c r="J839" s="2141"/>
      <c r="K839" s="2144">
        <v>452510</v>
      </c>
      <c r="L839" s="2141" t="s">
        <v>112</v>
      </c>
      <c r="M839" s="2140">
        <v>44804</v>
      </c>
      <c r="N839" s="2140">
        <v>44812</v>
      </c>
      <c r="O839" s="2140">
        <v>44820</v>
      </c>
      <c r="P839" s="2143" t="s">
        <v>993</v>
      </c>
      <c r="Q839" s="2141"/>
      <c r="R839" s="2144">
        <v>433985</v>
      </c>
      <c r="S839" s="2144">
        <v>525121.85</v>
      </c>
      <c r="T839" s="2145"/>
      <c r="U839" s="2145"/>
      <c r="V839" s="2145"/>
      <c r="W839" s="2146">
        <v>44820</v>
      </c>
      <c r="X839" s="2144" t="s">
        <v>13085</v>
      </c>
      <c r="Y839" s="2140">
        <v>44840</v>
      </c>
      <c r="Z839" s="2140">
        <v>44844</v>
      </c>
      <c r="AA839" s="2140">
        <v>44896</v>
      </c>
      <c r="AB839" s="2109"/>
      <c r="AC839" s="2106"/>
    </row>
    <row r="840" spans="1:32" ht="15.75" thickBot="1">
      <c r="A840" s="2117">
        <v>44799</v>
      </c>
      <c r="B840" s="2120" t="s">
        <v>12896</v>
      </c>
      <c r="C840" s="2118" t="s">
        <v>2434</v>
      </c>
      <c r="D840" s="2118" t="s">
        <v>219</v>
      </c>
      <c r="E840" s="2119" t="s">
        <v>12892</v>
      </c>
      <c r="F840" s="2118">
        <v>3</v>
      </c>
      <c r="G840" s="2120" t="s">
        <v>12898</v>
      </c>
      <c r="H840" s="2118"/>
      <c r="I840" s="2118" t="s">
        <v>12899</v>
      </c>
      <c r="J840" s="2118"/>
      <c r="K840" s="2121">
        <v>10160</v>
      </c>
      <c r="L840" s="2118" t="s">
        <v>112</v>
      </c>
      <c r="M840" s="2117">
        <v>44804</v>
      </c>
      <c r="N840" s="2117">
        <v>44812</v>
      </c>
      <c r="O840" s="2117">
        <v>44820</v>
      </c>
      <c r="P840" s="2120" t="s">
        <v>993</v>
      </c>
      <c r="Q840" s="2118"/>
      <c r="R840" s="2121">
        <v>22202</v>
      </c>
      <c r="S840" s="2121">
        <v>26864.42</v>
      </c>
      <c r="T840" s="2122"/>
      <c r="U840" s="2122"/>
      <c r="V840" s="2122"/>
      <c r="W840" s="2123">
        <v>44820</v>
      </c>
      <c r="X840" s="2121" t="s">
        <v>13086</v>
      </c>
      <c r="Y840" s="2117">
        <v>44840</v>
      </c>
      <c r="Z840" s="2117">
        <v>44844</v>
      </c>
      <c r="AA840" s="2117">
        <v>44896</v>
      </c>
      <c r="AB840" s="2110"/>
      <c r="AC840" s="2108"/>
    </row>
    <row r="841" spans="1:32" ht="31.5" thickTop="1" thickBot="1">
      <c r="A841" s="498">
        <v>44799</v>
      </c>
      <c r="B841" s="669" t="s">
        <v>12900</v>
      </c>
      <c r="C841" s="232" t="s">
        <v>58</v>
      </c>
      <c r="D841" s="232" t="s">
        <v>4969</v>
      </c>
      <c r="E841" s="274" t="s">
        <v>12901</v>
      </c>
      <c r="F841" s="232"/>
      <c r="G841" s="669"/>
      <c r="H841" s="232"/>
      <c r="I841" s="232" t="s">
        <v>786</v>
      </c>
      <c r="J841" s="232" t="s">
        <v>12902</v>
      </c>
      <c r="K841" s="499">
        <v>172000</v>
      </c>
      <c r="L841" s="232" t="s">
        <v>112</v>
      </c>
      <c r="M841" s="498">
        <v>44803</v>
      </c>
      <c r="N841" s="498">
        <v>44810</v>
      </c>
      <c r="O841" s="498">
        <v>44830</v>
      </c>
      <c r="P841" s="669" t="s">
        <v>637</v>
      </c>
      <c r="Q841" s="232"/>
      <c r="R841" s="499">
        <v>112800</v>
      </c>
      <c r="S841" s="499">
        <v>136488</v>
      </c>
      <c r="T841" s="1545"/>
      <c r="U841" s="1545"/>
      <c r="V841" s="1545"/>
      <c r="W841" s="682">
        <v>44830</v>
      </c>
      <c r="X841" s="1752" t="s">
        <v>13138</v>
      </c>
      <c r="Y841" s="498">
        <v>44859</v>
      </c>
      <c r="Z841" s="498">
        <v>44861</v>
      </c>
      <c r="AA841" s="498">
        <v>44929</v>
      </c>
      <c r="AB841" s="1546"/>
      <c r="AC841" s="1546" t="s">
        <v>1875</v>
      </c>
    </row>
    <row r="842" spans="1:32" ht="30.75" thickTop="1">
      <c r="A842" s="428" t="s">
        <v>3585</v>
      </c>
      <c r="B842" s="1371" t="s">
        <v>12931</v>
      </c>
      <c r="C842" s="425" t="s">
        <v>2434</v>
      </c>
      <c r="D842" s="425" t="s">
        <v>219</v>
      </c>
      <c r="E842" s="2730" t="s">
        <v>12935</v>
      </c>
      <c r="F842" s="425">
        <v>1</v>
      </c>
      <c r="G842" s="1371" t="s">
        <v>12934</v>
      </c>
      <c r="H842" s="425"/>
      <c r="I842" s="425" t="s">
        <v>642</v>
      </c>
      <c r="J842" s="425"/>
      <c r="K842" s="429">
        <v>13001652</v>
      </c>
      <c r="L842" s="425" t="s">
        <v>251</v>
      </c>
      <c r="M842" s="428">
        <v>44806</v>
      </c>
      <c r="N842" s="428">
        <v>44839</v>
      </c>
      <c r="O842" s="428">
        <v>44881</v>
      </c>
      <c r="P842" s="1371" t="s">
        <v>2776</v>
      </c>
      <c r="Q842" s="425"/>
      <c r="R842" s="429">
        <v>14801652.890000001</v>
      </c>
      <c r="S842" s="429">
        <v>17910000</v>
      </c>
      <c r="T842" s="1605"/>
      <c r="U842" s="1605"/>
      <c r="V842" s="1605"/>
      <c r="W842" s="1384">
        <v>44881</v>
      </c>
      <c r="X842" s="2031" t="s">
        <v>13553</v>
      </c>
      <c r="Y842" s="425"/>
      <c r="Z842" s="425"/>
      <c r="AA842" s="425"/>
      <c r="AB842" s="425"/>
      <c r="AC842" s="425"/>
    </row>
    <row r="843" spans="1:32" ht="30">
      <c r="A843" s="2140" t="s">
        <v>3585</v>
      </c>
      <c r="B843" s="2143" t="s">
        <v>12932</v>
      </c>
      <c r="C843" s="2141" t="s">
        <v>2434</v>
      </c>
      <c r="D843" s="2141" t="s">
        <v>219</v>
      </c>
      <c r="E843" s="2267" t="s">
        <v>12935</v>
      </c>
      <c r="F843" s="2141">
        <v>2</v>
      </c>
      <c r="G843" s="2143" t="s">
        <v>12936</v>
      </c>
      <c r="H843" s="2141"/>
      <c r="I843" s="2141" t="s">
        <v>642</v>
      </c>
      <c r="J843" s="2141"/>
      <c r="K843" s="2144">
        <v>10488000</v>
      </c>
      <c r="L843" s="2141" t="s">
        <v>251</v>
      </c>
      <c r="M843" s="2140">
        <v>44806</v>
      </c>
      <c r="N843" s="2140">
        <v>44839</v>
      </c>
      <c r="O843" s="2140">
        <v>44881</v>
      </c>
      <c r="P843" s="2143" t="s">
        <v>13503</v>
      </c>
      <c r="Q843" s="2141"/>
      <c r="R843" s="2144">
        <v>10230000</v>
      </c>
      <c r="S843" s="2144">
        <v>12378300</v>
      </c>
      <c r="T843" s="2145"/>
      <c r="U843" s="2145"/>
      <c r="V843" s="2145"/>
      <c r="W843" s="2146">
        <v>44881</v>
      </c>
      <c r="X843" s="2260" t="s">
        <v>13554</v>
      </c>
      <c r="Y843" s="2140">
        <v>44915</v>
      </c>
      <c r="Z843" s="2140">
        <v>44939</v>
      </c>
      <c r="AA843" s="2140">
        <v>46010</v>
      </c>
      <c r="AB843" s="2109" t="s">
        <v>13792</v>
      </c>
      <c r="AC843" s="2109">
        <v>2023</v>
      </c>
      <c r="AD843" s="388">
        <v>2024</v>
      </c>
      <c r="AE843" s="388" t="s">
        <v>13793</v>
      </c>
    </row>
    <row r="844" spans="1:32" ht="30.75" thickBot="1">
      <c r="A844" s="2117" t="s">
        <v>3585</v>
      </c>
      <c r="B844" s="2120" t="s">
        <v>12933</v>
      </c>
      <c r="C844" s="2118" t="s">
        <v>2434</v>
      </c>
      <c r="D844" s="2118" t="s">
        <v>219</v>
      </c>
      <c r="E844" s="2268" t="s">
        <v>12935</v>
      </c>
      <c r="F844" s="2118">
        <v>3</v>
      </c>
      <c r="G844" s="2120" t="s">
        <v>12937</v>
      </c>
      <c r="H844" s="2118"/>
      <c r="I844" s="2118" t="s">
        <v>642</v>
      </c>
      <c r="J844" s="2118"/>
      <c r="K844" s="2121">
        <v>400000</v>
      </c>
      <c r="L844" s="2118" t="s">
        <v>251</v>
      </c>
      <c r="M844" s="2117">
        <v>44806</v>
      </c>
      <c r="N844" s="2117">
        <v>44839</v>
      </c>
      <c r="O844" s="2117">
        <v>44881</v>
      </c>
      <c r="P844" s="2120" t="s">
        <v>13503</v>
      </c>
      <c r="Q844" s="2118"/>
      <c r="R844" s="2121">
        <v>290000</v>
      </c>
      <c r="S844" s="2121">
        <v>350900</v>
      </c>
      <c r="T844" s="2122"/>
      <c r="U844" s="2122"/>
      <c r="V844" s="2122"/>
      <c r="W844" s="2123">
        <v>44881</v>
      </c>
      <c r="X844" s="2246" t="s">
        <v>13555</v>
      </c>
      <c r="Y844" s="2117">
        <v>44915</v>
      </c>
      <c r="Z844" s="2117">
        <v>44939</v>
      </c>
      <c r="AA844" s="2117">
        <v>46010</v>
      </c>
      <c r="AB844" s="2110" t="s">
        <v>13792</v>
      </c>
      <c r="AC844" s="2110">
        <v>2023</v>
      </c>
      <c r="AD844" s="388">
        <v>2024</v>
      </c>
      <c r="AE844" s="388" t="s">
        <v>13793</v>
      </c>
    </row>
    <row r="845" spans="1:32" ht="15.75" thickTop="1">
      <c r="A845" s="498">
        <v>44802</v>
      </c>
      <c r="B845" s="669" t="s">
        <v>12906</v>
      </c>
      <c r="C845" s="232" t="s">
        <v>289</v>
      </c>
      <c r="D845" s="232" t="s">
        <v>6509</v>
      </c>
      <c r="E845" s="274" t="s">
        <v>12905</v>
      </c>
      <c r="F845" s="232"/>
      <c r="G845" s="669"/>
      <c r="H845" s="232"/>
      <c r="I845" s="232" t="s">
        <v>819</v>
      </c>
      <c r="J845" s="232"/>
      <c r="K845" s="499">
        <v>2000000</v>
      </c>
      <c r="L845" s="232" t="s">
        <v>216</v>
      </c>
      <c r="M845" s="498">
        <v>44841</v>
      </c>
      <c r="N845" s="498">
        <v>44872</v>
      </c>
      <c r="O845" s="498">
        <v>44879</v>
      </c>
      <c r="P845" s="669" t="s">
        <v>2757</v>
      </c>
      <c r="Q845" s="232"/>
      <c r="R845" s="499">
        <v>2000000</v>
      </c>
      <c r="S845" s="499" t="s">
        <v>2404</v>
      </c>
      <c r="T845" s="1545"/>
      <c r="U845" s="1545"/>
      <c r="V845" s="1545"/>
      <c r="W845" s="682">
        <v>44879</v>
      </c>
      <c r="X845" s="499" t="s">
        <v>13534</v>
      </c>
      <c r="Y845" s="498">
        <v>44897</v>
      </c>
      <c r="Z845" s="498">
        <v>44908</v>
      </c>
      <c r="AA845" s="498">
        <v>46357</v>
      </c>
      <c r="AB845" s="1546" t="s">
        <v>13700</v>
      </c>
      <c r="AC845" s="1546">
        <v>2023</v>
      </c>
      <c r="AD845" s="388">
        <v>2024</v>
      </c>
      <c r="AE845" s="388">
        <v>2025</v>
      </c>
      <c r="AF845" s="388" t="s">
        <v>13701</v>
      </c>
    </row>
    <row r="846" spans="1:32" ht="15.75" thickBot="1">
      <c r="A846" s="2152">
        <v>44893</v>
      </c>
      <c r="B846" s="2300" t="s">
        <v>13641</v>
      </c>
      <c r="C846" s="2297" t="s">
        <v>4295</v>
      </c>
      <c r="D846" s="2297" t="s">
        <v>4296</v>
      </c>
      <c r="E846" s="2298" t="s">
        <v>13642</v>
      </c>
      <c r="F846" s="2297"/>
      <c r="G846" s="2300"/>
      <c r="H846" s="2297"/>
      <c r="I846" s="2297" t="s">
        <v>3034</v>
      </c>
      <c r="J846" s="2297"/>
      <c r="K846" s="2299">
        <v>1200000</v>
      </c>
      <c r="L846" s="2297" t="s">
        <v>112</v>
      </c>
      <c r="M846" s="2152">
        <v>44894</v>
      </c>
      <c r="N846" s="2152">
        <v>44901</v>
      </c>
      <c r="O846" s="2152">
        <v>44902</v>
      </c>
      <c r="P846" s="2300" t="s">
        <v>3122</v>
      </c>
      <c r="Q846" s="2297"/>
      <c r="R846" s="2299">
        <v>1140000</v>
      </c>
      <c r="S846" s="2299">
        <v>1379400</v>
      </c>
      <c r="T846" s="2443"/>
      <c r="U846" s="2443"/>
      <c r="V846" s="2443"/>
      <c r="W846" s="2315">
        <v>44903</v>
      </c>
      <c r="X846" s="2299" t="s">
        <v>13741</v>
      </c>
      <c r="Y846" s="2297"/>
      <c r="Z846" s="2297"/>
      <c r="AA846" s="2297"/>
      <c r="AB846" s="2297"/>
      <c r="AC846" s="2297"/>
    </row>
    <row r="847" spans="1:32" ht="15.75" thickTop="1">
      <c r="A847" s="428">
        <v>44803</v>
      </c>
      <c r="B847" s="1371" t="s">
        <v>12911</v>
      </c>
      <c r="C847" s="425" t="s">
        <v>69</v>
      </c>
      <c r="D847" s="425" t="s">
        <v>70</v>
      </c>
      <c r="E847" s="426" t="s">
        <v>12912</v>
      </c>
      <c r="F847" s="425">
        <v>1</v>
      </c>
      <c r="G847" s="1371" t="s">
        <v>12916</v>
      </c>
      <c r="H847" s="583"/>
      <c r="I847" s="425" t="s">
        <v>12920</v>
      </c>
      <c r="J847" s="425"/>
      <c r="K847" s="429">
        <v>12820156</v>
      </c>
      <c r="L847" s="425" t="s">
        <v>251</v>
      </c>
      <c r="M847" s="428">
        <v>44813</v>
      </c>
      <c r="N847" s="428">
        <v>44865</v>
      </c>
      <c r="O847" s="428">
        <v>44902</v>
      </c>
      <c r="P847" s="1371" t="s">
        <v>8542</v>
      </c>
      <c r="Q847" s="425"/>
      <c r="R847" s="429">
        <v>12816020</v>
      </c>
      <c r="S847" s="429">
        <v>14097622</v>
      </c>
      <c r="T847" s="1483"/>
      <c r="U847" s="1483"/>
      <c r="V847" s="1483"/>
      <c r="W847" s="1384">
        <v>44902</v>
      </c>
      <c r="X847" s="429" t="s">
        <v>13729</v>
      </c>
      <c r="Y847" s="425"/>
      <c r="Z847" s="425"/>
      <c r="AA847" s="425"/>
      <c r="AB847" s="425"/>
      <c r="AC847" s="425"/>
    </row>
    <row r="848" spans="1:32">
      <c r="A848" s="2153">
        <v>44803</v>
      </c>
      <c r="B848" s="2156" t="s">
        <v>12913</v>
      </c>
      <c r="C848" s="2154" t="s">
        <v>69</v>
      </c>
      <c r="D848" s="2154" t="s">
        <v>70</v>
      </c>
      <c r="E848" s="2155" t="s">
        <v>12912</v>
      </c>
      <c r="F848" s="2154">
        <v>2</v>
      </c>
      <c r="G848" s="2156" t="s">
        <v>12917</v>
      </c>
      <c r="H848" s="2085"/>
      <c r="I848" s="2154" t="s">
        <v>12920</v>
      </c>
      <c r="J848" s="2154"/>
      <c r="K848" s="2157">
        <v>5656061</v>
      </c>
      <c r="L848" s="2154" t="s">
        <v>251</v>
      </c>
      <c r="M848" s="2153">
        <v>44813</v>
      </c>
      <c r="N848" s="2153">
        <v>44865</v>
      </c>
      <c r="O848" s="2153">
        <v>44902</v>
      </c>
      <c r="P848" s="2156" t="s">
        <v>8542</v>
      </c>
      <c r="Q848" s="2154"/>
      <c r="R848" s="2157">
        <v>5656060.7999999998</v>
      </c>
      <c r="S848" s="2157">
        <v>6221666.8799999999</v>
      </c>
      <c r="T848" s="2094"/>
      <c r="U848" s="2094"/>
      <c r="V848" s="2094"/>
      <c r="W848" s="2157"/>
      <c r="X848" s="2157" t="s">
        <v>13737</v>
      </c>
      <c r="Y848" s="2154"/>
      <c r="Z848" s="2154"/>
      <c r="AA848" s="2154"/>
      <c r="AB848" s="2154"/>
      <c r="AC848" s="2154"/>
    </row>
    <row r="849" spans="1:31">
      <c r="A849" s="2153">
        <v>44803</v>
      </c>
      <c r="B849" s="2156" t="s">
        <v>12914</v>
      </c>
      <c r="C849" s="2154" t="s">
        <v>69</v>
      </c>
      <c r="D849" s="2154" t="s">
        <v>70</v>
      </c>
      <c r="E849" s="2155" t="s">
        <v>12912</v>
      </c>
      <c r="F849" s="2154">
        <v>3</v>
      </c>
      <c r="G849" s="2156" t="s">
        <v>12918</v>
      </c>
      <c r="H849" s="2085"/>
      <c r="I849" s="2154" t="s">
        <v>12920</v>
      </c>
      <c r="J849" s="2154"/>
      <c r="K849" s="2157">
        <v>4342169</v>
      </c>
      <c r="L849" s="2154" t="s">
        <v>251</v>
      </c>
      <c r="M849" s="2153">
        <v>44813</v>
      </c>
      <c r="N849" s="2153">
        <v>44865</v>
      </c>
      <c r="O849" s="2153">
        <v>44902</v>
      </c>
      <c r="P849" s="2156" t="s">
        <v>578</v>
      </c>
      <c r="Q849" s="2154"/>
      <c r="R849" s="2157">
        <v>4343279.3600000003</v>
      </c>
      <c r="S849" s="2157">
        <v>4777607.3</v>
      </c>
      <c r="T849" s="2094"/>
      <c r="U849" s="2094"/>
      <c r="V849" s="2094"/>
      <c r="W849" s="2160">
        <v>44902</v>
      </c>
      <c r="X849" s="2157" t="s">
        <v>13730</v>
      </c>
      <c r="Y849" s="2154"/>
      <c r="Z849" s="2154"/>
      <c r="AA849" s="2154"/>
      <c r="AB849" s="2154"/>
      <c r="AC849" s="2154"/>
    </row>
    <row r="850" spans="1:31" ht="15.75" thickBot="1">
      <c r="A850" s="2152">
        <v>44803</v>
      </c>
      <c r="B850" s="2300" t="s">
        <v>12915</v>
      </c>
      <c r="C850" s="2297" t="s">
        <v>69</v>
      </c>
      <c r="D850" s="2297" t="s">
        <v>70</v>
      </c>
      <c r="E850" s="2298" t="s">
        <v>12912</v>
      </c>
      <c r="F850" s="2297">
        <v>4</v>
      </c>
      <c r="G850" s="2300" t="s">
        <v>12919</v>
      </c>
      <c r="H850" s="2089"/>
      <c r="I850" s="2297" t="s">
        <v>12920</v>
      </c>
      <c r="J850" s="2297"/>
      <c r="K850" s="2299">
        <v>2883280</v>
      </c>
      <c r="L850" s="2297" t="s">
        <v>251</v>
      </c>
      <c r="M850" s="2152">
        <v>44813</v>
      </c>
      <c r="N850" s="2152">
        <v>44865</v>
      </c>
      <c r="O850" s="2152">
        <v>44902</v>
      </c>
      <c r="P850" s="2300" t="s">
        <v>8542</v>
      </c>
      <c r="Q850" s="2297"/>
      <c r="R850" s="2299">
        <v>2883276.4</v>
      </c>
      <c r="S850" s="2299">
        <v>3171604.04</v>
      </c>
      <c r="T850" s="2095"/>
      <c r="U850" s="2095"/>
      <c r="V850" s="2095"/>
      <c r="W850" s="2315">
        <v>44902</v>
      </c>
      <c r="X850" s="2299" t="s">
        <v>13731</v>
      </c>
      <c r="Y850" s="2297"/>
      <c r="Z850" s="2297"/>
      <c r="AA850" s="2297"/>
      <c r="AB850" s="2297"/>
      <c r="AC850" s="2297"/>
    </row>
    <row r="851" spans="1:31" ht="15.75" thickTop="1">
      <c r="A851" s="365">
        <v>44803</v>
      </c>
      <c r="B851" s="2805" t="s">
        <v>12921</v>
      </c>
      <c r="C851" s="2804" t="s">
        <v>69</v>
      </c>
      <c r="D851" s="2804" t="s">
        <v>70</v>
      </c>
      <c r="E851" s="175" t="s">
        <v>12922</v>
      </c>
      <c r="F851" s="2804"/>
      <c r="G851" s="2805"/>
      <c r="H851" s="2804"/>
      <c r="I851" s="2804" t="s">
        <v>4189</v>
      </c>
      <c r="J851" s="2804"/>
      <c r="K851" s="364">
        <v>89144987</v>
      </c>
      <c r="L851" s="2804" t="s">
        <v>251</v>
      </c>
      <c r="M851" s="365">
        <v>44809</v>
      </c>
      <c r="N851" s="365">
        <v>44844</v>
      </c>
      <c r="O851" s="365">
        <v>44858</v>
      </c>
      <c r="P851" s="2805" t="s">
        <v>2548</v>
      </c>
      <c r="Q851" s="2804"/>
      <c r="R851" s="364">
        <v>89144986.560000002</v>
      </c>
      <c r="S851" s="364">
        <v>98059485.219999999</v>
      </c>
      <c r="T851" s="1473"/>
      <c r="U851" s="1473"/>
      <c r="V851" s="1473"/>
      <c r="W851" s="681">
        <v>44858</v>
      </c>
      <c r="X851" s="364" t="s">
        <v>13400</v>
      </c>
      <c r="Y851" s="365">
        <v>44901</v>
      </c>
      <c r="Z851" s="365">
        <v>44903</v>
      </c>
      <c r="AA851" s="365">
        <v>45996</v>
      </c>
      <c r="AB851" s="451" t="s">
        <v>13732</v>
      </c>
      <c r="AC851" s="451">
        <v>2023</v>
      </c>
      <c r="AD851" s="388">
        <v>2024</v>
      </c>
      <c r="AE851" s="388" t="s">
        <v>13733</v>
      </c>
    </row>
    <row r="852" spans="1:31" ht="30">
      <c r="A852" s="2124">
        <v>44803</v>
      </c>
      <c r="B852" s="2127" t="s">
        <v>12924</v>
      </c>
      <c r="C852" s="2125" t="s">
        <v>69</v>
      </c>
      <c r="D852" s="2125" t="s">
        <v>70</v>
      </c>
      <c r="E852" s="2126" t="s">
        <v>12923</v>
      </c>
      <c r="F852" s="2125">
        <v>1</v>
      </c>
      <c r="G852" s="2697" t="s">
        <v>12926</v>
      </c>
      <c r="H852" s="2125"/>
      <c r="I852" s="2125" t="s">
        <v>12927</v>
      </c>
      <c r="J852" s="2125"/>
      <c r="K852" s="2128">
        <v>6224854</v>
      </c>
      <c r="L852" s="2125" t="s">
        <v>251</v>
      </c>
      <c r="M852" s="2124">
        <v>44854</v>
      </c>
      <c r="N852" s="2124">
        <v>44904</v>
      </c>
      <c r="O852" s="2125"/>
      <c r="P852" s="2136" t="s">
        <v>13776</v>
      </c>
      <c r="Q852" s="2125"/>
      <c r="R852" s="2128"/>
      <c r="S852" s="2128"/>
      <c r="T852" s="2129"/>
      <c r="U852" s="2129"/>
      <c r="V852" s="2129"/>
      <c r="W852" s="2128"/>
      <c r="X852" s="2128"/>
      <c r="Y852" s="2125"/>
      <c r="Z852" s="2124">
        <v>44914</v>
      </c>
      <c r="AA852" s="2125" t="s">
        <v>13772</v>
      </c>
      <c r="AB852" s="2125"/>
      <c r="AC852" s="2125"/>
    </row>
    <row r="853" spans="1:31" ht="30">
      <c r="A853" s="2153">
        <v>44803</v>
      </c>
      <c r="B853" s="2156" t="s">
        <v>12925</v>
      </c>
      <c r="C853" s="2154" t="s">
        <v>69</v>
      </c>
      <c r="D853" s="2154" t="s">
        <v>70</v>
      </c>
      <c r="E853" s="2155" t="s">
        <v>12923</v>
      </c>
      <c r="F853" s="2154">
        <v>2</v>
      </c>
      <c r="G853" s="2675" t="s">
        <v>12928</v>
      </c>
      <c r="H853" s="2154"/>
      <c r="I853" s="2154" t="s">
        <v>12927</v>
      </c>
      <c r="J853" s="2154"/>
      <c r="K853" s="2157">
        <v>5764044</v>
      </c>
      <c r="L853" s="2154" t="s">
        <v>251</v>
      </c>
      <c r="M853" s="2153">
        <v>44854</v>
      </c>
      <c r="N853" s="2153">
        <v>44904</v>
      </c>
      <c r="O853" s="2154"/>
      <c r="P853" s="2156"/>
      <c r="Q853" s="2154"/>
      <c r="R853" s="2157"/>
      <c r="S853" s="2157"/>
      <c r="T853" s="2415"/>
      <c r="U853" s="2415"/>
      <c r="V853" s="2415"/>
      <c r="W853" s="2157"/>
      <c r="X853" s="2157"/>
      <c r="Y853" s="2154"/>
      <c r="Z853" s="2154"/>
      <c r="AA853" s="2154"/>
      <c r="AB853" s="2154"/>
      <c r="AC853" s="2154"/>
    </row>
    <row r="854" spans="1:31" ht="30">
      <c r="A854" s="2140">
        <v>44798</v>
      </c>
      <c r="B854" s="2143" t="s">
        <v>12938</v>
      </c>
      <c r="C854" s="2141" t="s">
        <v>2434</v>
      </c>
      <c r="D854" s="2141" t="s">
        <v>219</v>
      </c>
      <c r="E854" s="2142" t="s">
        <v>12939</v>
      </c>
      <c r="F854" s="2141"/>
      <c r="G854" s="2143"/>
      <c r="H854" s="2141"/>
      <c r="I854" s="2141" t="s">
        <v>2844</v>
      </c>
      <c r="J854" s="2141"/>
      <c r="K854" s="2144">
        <v>1890600</v>
      </c>
      <c r="L854" s="2141" t="s">
        <v>112</v>
      </c>
      <c r="M854" s="2140">
        <v>44806</v>
      </c>
      <c r="N854" s="2140">
        <v>44817</v>
      </c>
      <c r="O854" s="2140">
        <v>44819</v>
      </c>
      <c r="P854" s="2143" t="s">
        <v>6763</v>
      </c>
      <c r="Q854" s="2141"/>
      <c r="R854" s="2144">
        <v>1695000</v>
      </c>
      <c r="S854" s="2144">
        <v>1949250</v>
      </c>
      <c r="T854" s="2145"/>
      <c r="U854" s="2145"/>
      <c r="V854" s="2145"/>
      <c r="W854" s="2146">
        <v>44819</v>
      </c>
      <c r="X854" s="2260" t="s">
        <v>13185</v>
      </c>
      <c r="Y854" s="2140">
        <v>44845</v>
      </c>
      <c r="Z854" s="2140">
        <v>44851</v>
      </c>
      <c r="AA854" s="2140">
        <v>45940</v>
      </c>
      <c r="AB854" s="2109" t="s">
        <v>13278</v>
      </c>
      <c r="AC854" s="2109">
        <v>2023</v>
      </c>
      <c r="AD854" s="388">
        <v>2024</v>
      </c>
      <c r="AE854" s="388" t="s">
        <v>13279</v>
      </c>
    </row>
    <row r="855" spans="1:31" ht="15.75" thickBot="1">
      <c r="A855" s="411" t="s">
        <v>3585</v>
      </c>
      <c r="B855" s="630" t="s">
        <v>12940</v>
      </c>
      <c r="C855" s="411" t="s">
        <v>2434</v>
      </c>
      <c r="D855" s="411" t="s">
        <v>219</v>
      </c>
      <c r="E855" s="2538" t="s">
        <v>12941</v>
      </c>
      <c r="F855" s="411"/>
      <c r="G855" s="630"/>
      <c r="H855" s="411"/>
      <c r="I855" s="411" t="s">
        <v>642</v>
      </c>
      <c r="J855" s="411"/>
      <c r="K855" s="417">
        <v>1557945</v>
      </c>
      <c r="L855" s="411" t="s">
        <v>216</v>
      </c>
      <c r="M855" s="416">
        <v>44809</v>
      </c>
      <c r="N855" s="416">
        <v>44833</v>
      </c>
      <c r="O855" s="416">
        <v>44881</v>
      </c>
      <c r="P855" s="630" t="s">
        <v>659</v>
      </c>
      <c r="Q855" s="411"/>
      <c r="R855" s="417">
        <v>3493012</v>
      </c>
      <c r="S855" s="417">
        <v>4226544.5199999996</v>
      </c>
      <c r="T855" s="1480"/>
      <c r="U855" s="1480"/>
      <c r="V855" s="1480"/>
      <c r="W855" s="513">
        <v>44881</v>
      </c>
      <c r="X855" s="417" t="s">
        <v>13547</v>
      </c>
      <c r="Y855" s="416">
        <v>44915</v>
      </c>
      <c r="Z855" s="416">
        <v>44937</v>
      </c>
      <c r="AA855" s="416">
        <v>45645</v>
      </c>
      <c r="AB855" s="422" t="s">
        <v>13792</v>
      </c>
      <c r="AC855" s="422">
        <v>2023</v>
      </c>
      <c r="AD855" s="388" t="s">
        <v>13794</v>
      </c>
    </row>
    <row r="856" spans="1:31" ht="15.75" thickTop="1">
      <c r="A856" s="587">
        <v>44799</v>
      </c>
      <c r="B856" s="1427" t="s">
        <v>12946</v>
      </c>
      <c r="C856" s="583" t="s">
        <v>69</v>
      </c>
      <c r="D856" s="583" t="s">
        <v>70</v>
      </c>
      <c r="E856" s="584" t="s">
        <v>12947</v>
      </c>
      <c r="F856" s="583">
        <v>1</v>
      </c>
      <c r="G856" s="1427" t="s">
        <v>13504</v>
      </c>
      <c r="H856" s="583"/>
      <c r="I856" s="583" t="s">
        <v>7790</v>
      </c>
      <c r="J856" s="583"/>
      <c r="K856" s="588">
        <v>7102618</v>
      </c>
      <c r="L856" s="583" t="s">
        <v>251</v>
      </c>
      <c r="M856" s="587">
        <v>44901</v>
      </c>
      <c r="N856" s="587">
        <v>44951</v>
      </c>
      <c r="O856" s="583"/>
      <c r="P856" s="1427"/>
      <c r="Q856" s="583"/>
      <c r="R856" s="588"/>
      <c r="S856" s="588"/>
      <c r="T856" s="1483"/>
      <c r="U856" s="1483"/>
      <c r="V856" s="1483"/>
      <c r="W856" s="588"/>
      <c r="X856" s="588"/>
      <c r="Y856" s="583"/>
      <c r="Z856" s="583"/>
      <c r="AA856" s="583"/>
      <c r="AB856" s="583"/>
      <c r="AC856" s="583"/>
    </row>
    <row r="857" spans="1:31" ht="15.75" thickBot="1">
      <c r="A857" s="2088">
        <v>44799</v>
      </c>
      <c r="B857" s="2091" t="s">
        <v>12948</v>
      </c>
      <c r="C857" s="2089" t="s">
        <v>69</v>
      </c>
      <c r="D857" s="2089" t="s">
        <v>70</v>
      </c>
      <c r="E857" s="2090" t="s">
        <v>12947</v>
      </c>
      <c r="F857" s="2089">
        <v>2</v>
      </c>
      <c r="G857" s="2091" t="s">
        <v>13505</v>
      </c>
      <c r="H857" s="2089"/>
      <c r="I857" s="2089" t="s">
        <v>7790</v>
      </c>
      <c r="J857" s="2089"/>
      <c r="K857" s="2093">
        <v>5723312</v>
      </c>
      <c r="L857" s="2089" t="s">
        <v>251</v>
      </c>
      <c r="M857" s="2088">
        <v>44901</v>
      </c>
      <c r="N857" s="2088">
        <v>44951</v>
      </c>
      <c r="O857" s="2089"/>
      <c r="P857" s="2091"/>
      <c r="Q857" s="2089"/>
      <c r="R857" s="2093"/>
      <c r="S857" s="2093"/>
      <c r="T857" s="2095"/>
      <c r="U857" s="2095"/>
      <c r="V857" s="2095"/>
      <c r="W857" s="2093"/>
      <c r="X857" s="2093"/>
      <c r="Y857" s="2089"/>
      <c r="Z857" s="2089"/>
      <c r="AA857" s="2089"/>
      <c r="AB857" s="2089"/>
      <c r="AC857" s="2089"/>
    </row>
    <row r="858" spans="1:31" ht="15.75" thickTop="1">
      <c r="A858" s="365">
        <v>44803</v>
      </c>
      <c r="B858" s="2756" t="s">
        <v>12955</v>
      </c>
      <c r="C858" s="2755" t="s">
        <v>2434</v>
      </c>
      <c r="D858" s="2755" t="s">
        <v>219</v>
      </c>
      <c r="E858" s="175" t="s">
        <v>12956</v>
      </c>
      <c r="F858" s="2755"/>
      <c r="G858" s="2756"/>
      <c r="H858" s="2755"/>
      <c r="I858" s="2755" t="s">
        <v>642</v>
      </c>
      <c r="J858" s="2755"/>
      <c r="K858" s="364">
        <v>537600</v>
      </c>
      <c r="L858" s="2755" t="s">
        <v>112</v>
      </c>
      <c r="M858" s="365">
        <v>44809</v>
      </c>
      <c r="N858" s="365">
        <v>44817</v>
      </c>
      <c r="O858" s="365">
        <v>44830</v>
      </c>
      <c r="P858" s="2756" t="s">
        <v>8542</v>
      </c>
      <c r="Q858" s="2755"/>
      <c r="R858" s="364">
        <v>389760</v>
      </c>
      <c r="S858" s="364">
        <v>471609.59999999998</v>
      </c>
      <c r="T858" s="1473"/>
      <c r="U858" s="1473"/>
      <c r="V858" s="1473"/>
      <c r="W858" s="681">
        <v>44830</v>
      </c>
      <c r="X858" s="364" t="s">
        <v>13139</v>
      </c>
      <c r="Y858" s="365">
        <v>44858</v>
      </c>
      <c r="Z858" s="365">
        <v>44860</v>
      </c>
      <c r="AA858" s="365">
        <v>45222</v>
      </c>
      <c r="AB858" s="451" t="s">
        <v>13393</v>
      </c>
      <c r="AC858" s="451" t="s">
        <v>13399</v>
      </c>
    </row>
    <row r="859" spans="1:31">
      <c r="A859" s="2140">
        <v>44803</v>
      </c>
      <c r="B859" s="2143" t="s">
        <v>12960</v>
      </c>
      <c r="C859" s="2141" t="s">
        <v>4997</v>
      </c>
      <c r="D859" s="2141" t="s">
        <v>7475</v>
      </c>
      <c r="E859" s="2142" t="s">
        <v>12961</v>
      </c>
      <c r="F859" s="2141"/>
      <c r="G859" s="2143"/>
      <c r="H859" s="2141"/>
      <c r="I859" s="2141" t="s">
        <v>5752</v>
      </c>
      <c r="J859" s="2141"/>
      <c r="K859" s="2144">
        <v>1000000</v>
      </c>
      <c r="L859" s="2141" t="s">
        <v>112</v>
      </c>
      <c r="M859" s="2140">
        <v>44809</v>
      </c>
      <c r="N859" s="2140">
        <v>44819</v>
      </c>
      <c r="O859" s="2140">
        <v>44833</v>
      </c>
      <c r="P859" s="2143" t="s">
        <v>13168</v>
      </c>
      <c r="Q859" s="2141"/>
      <c r="R859" s="2144">
        <v>990000</v>
      </c>
      <c r="S859" s="2144">
        <v>1197900</v>
      </c>
      <c r="T859" s="2145"/>
      <c r="U859" s="2145"/>
      <c r="V859" s="2145"/>
      <c r="W859" s="2146">
        <v>44833</v>
      </c>
      <c r="X859" s="2144" t="s">
        <v>13167</v>
      </c>
      <c r="Y859" s="2140">
        <v>44860</v>
      </c>
      <c r="Z859" s="2140">
        <v>44861</v>
      </c>
      <c r="AA859" s="2141"/>
      <c r="AB859" s="2109"/>
      <c r="AC859" s="2106"/>
    </row>
    <row r="860" spans="1:31">
      <c r="A860" s="2140">
        <v>44803</v>
      </c>
      <c r="B860" s="2143" t="s">
        <v>12962</v>
      </c>
      <c r="C860" s="2141" t="s">
        <v>4997</v>
      </c>
      <c r="D860" s="2141" t="s">
        <v>7475</v>
      </c>
      <c r="E860" s="2142" t="s">
        <v>12963</v>
      </c>
      <c r="F860" s="2141"/>
      <c r="G860" s="2143"/>
      <c r="H860" s="2141"/>
      <c r="I860" s="2141" t="s">
        <v>1676</v>
      </c>
      <c r="J860" s="2141"/>
      <c r="K860" s="2144">
        <v>350000</v>
      </c>
      <c r="L860" s="2141" t="s">
        <v>112</v>
      </c>
      <c r="M860" s="2140">
        <v>44809</v>
      </c>
      <c r="N860" s="2140">
        <v>44818</v>
      </c>
      <c r="O860" s="2140">
        <v>44830</v>
      </c>
      <c r="P860" s="2143" t="s">
        <v>13141</v>
      </c>
      <c r="Q860" s="2141"/>
      <c r="R860" s="2144">
        <v>262556.69</v>
      </c>
      <c r="S860" s="2144">
        <v>317693.59000000003</v>
      </c>
      <c r="T860" s="2145"/>
      <c r="U860" s="2145"/>
      <c r="V860" s="2145"/>
      <c r="W860" s="2146">
        <v>44830</v>
      </c>
      <c r="X860" s="2144" t="s">
        <v>13140</v>
      </c>
      <c r="Y860" s="2140">
        <v>44855</v>
      </c>
      <c r="Z860" s="2140">
        <v>44858</v>
      </c>
      <c r="AA860" s="2141"/>
      <c r="AB860" s="2109"/>
      <c r="AC860" s="2106"/>
    </row>
    <row r="861" spans="1:31">
      <c r="A861" s="2140">
        <v>44804</v>
      </c>
      <c r="B861" s="2143" t="s">
        <v>12964</v>
      </c>
      <c r="C861" s="2141" t="s">
        <v>2434</v>
      </c>
      <c r="D861" s="2141" t="s">
        <v>219</v>
      </c>
      <c r="E861" s="2142" t="s">
        <v>12965</v>
      </c>
      <c r="F861" s="2141"/>
      <c r="G861" s="2143"/>
      <c r="H861" s="2141"/>
      <c r="I861" s="2141" t="s">
        <v>642</v>
      </c>
      <c r="J861" s="2141"/>
      <c r="K861" s="2144">
        <v>1384000</v>
      </c>
      <c r="L861" s="2141" t="s">
        <v>112</v>
      </c>
      <c r="M861" s="2140">
        <v>44810</v>
      </c>
      <c r="N861" s="2140">
        <v>44817</v>
      </c>
      <c r="O861" s="2140">
        <v>44830</v>
      </c>
      <c r="P861" s="2143" t="s">
        <v>13073</v>
      </c>
      <c r="Q861" s="2141"/>
      <c r="R861" s="2144">
        <v>1453200</v>
      </c>
      <c r="S861" s="2144">
        <v>1758372</v>
      </c>
      <c r="T861" s="2145"/>
      <c r="U861" s="2145"/>
      <c r="V861" s="2145"/>
      <c r="W861" s="2146">
        <v>44830</v>
      </c>
      <c r="X861" s="2144" t="s">
        <v>13142</v>
      </c>
      <c r="Y861" s="2140">
        <v>44858</v>
      </c>
      <c r="Z861" s="2140">
        <v>44861</v>
      </c>
      <c r="AA861" s="2140">
        <v>45953</v>
      </c>
      <c r="AB861" s="2109" t="s">
        <v>13393</v>
      </c>
      <c r="AC861" s="2109">
        <v>2023</v>
      </c>
      <c r="AD861" s="388">
        <v>2024</v>
      </c>
      <c r="AE861" s="388" t="s">
        <v>13395</v>
      </c>
    </row>
    <row r="862" spans="1:31" ht="30.75" thickBot="1">
      <c r="A862" s="416">
        <v>44804</v>
      </c>
      <c r="B862" s="630" t="s">
        <v>12967</v>
      </c>
      <c r="C862" s="411" t="s">
        <v>2434</v>
      </c>
      <c r="D862" s="411" t="s">
        <v>219</v>
      </c>
      <c r="E862" s="412" t="s">
        <v>12968</v>
      </c>
      <c r="F862" s="411"/>
      <c r="G862" s="630"/>
      <c r="H862" s="411"/>
      <c r="I862" s="411" t="s">
        <v>396</v>
      </c>
      <c r="J862" s="411"/>
      <c r="K862" s="417">
        <v>1350000</v>
      </c>
      <c r="L862" s="411" t="s">
        <v>112</v>
      </c>
      <c r="M862" s="416">
        <v>44811</v>
      </c>
      <c r="N862" s="416">
        <v>44827</v>
      </c>
      <c r="O862" s="416">
        <v>44868</v>
      </c>
      <c r="P862" s="630" t="s">
        <v>13418</v>
      </c>
      <c r="Q862" s="411"/>
      <c r="R862" s="417">
        <v>1440000</v>
      </c>
      <c r="S862" s="417">
        <v>1742400</v>
      </c>
      <c r="T862" s="1480"/>
      <c r="U862" s="1480"/>
      <c r="V862" s="1480"/>
      <c r="W862" s="513">
        <v>44868</v>
      </c>
      <c r="X862" s="1553" t="s">
        <v>13475</v>
      </c>
      <c r="Y862" s="416">
        <v>44907</v>
      </c>
      <c r="Z862" s="416">
        <v>44910</v>
      </c>
      <c r="AA862" s="416">
        <v>46002</v>
      </c>
      <c r="AB862" s="422" t="s">
        <v>13754</v>
      </c>
      <c r="AC862" s="422">
        <v>2023</v>
      </c>
      <c r="AD862" s="388">
        <v>2024</v>
      </c>
      <c r="AE862" s="388" t="s">
        <v>13755</v>
      </c>
    </row>
    <row r="863" spans="1:31" ht="15.75" thickTop="1">
      <c r="A863" s="1642" t="s">
        <v>12969</v>
      </c>
      <c r="B863" s="1644" t="s">
        <v>12970</v>
      </c>
      <c r="C863" s="1642" t="s">
        <v>69</v>
      </c>
      <c r="D863" s="1642" t="s">
        <v>70</v>
      </c>
      <c r="E863" s="1643" t="s">
        <v>12972</v>
      </c>
      <c r="F863" s="1642">
        <v>1</v>
      </c>
      <c r="G863" s="1644" t="s">
        <v>9493</v>
      </c>
      <c r="H863" s="1642"/>
      <c r="I863" s="1642" t="s">
        <v>2418</v>
      </c>
      <c r="J863" s="1642"/>
      <c r="K863" s="1645">
        <v>16150450</v>
      </c>
      <c r="L863" s="1642" t="s">
        <v>251</v>
      </c>
      <c r="M863" s="1642"/>
      <c r="N863" s="1642"/>
      <c r="O863" s="1642"/>
      <c r="P863" s="2806" t="s">
        <v>13743</v>
      </c>
      <c r="Q863" s="1642"/>
      <c r="R863" s="1645"/>
      <c r="S863" s="1645"/>
      <c r="T863" s="1647"/>
      <c r="U863" s="1647"/>
      <c r="V863" s="1647"/>
      <c r="W863" s="1645"/>
      <c r="X863" s="1645"/>
      <c r="Y863" s="1642"/>
      <c r="Z863" s="1642"/>
      <c r="AA863" s="1642"/>
      <c r="AB863" s="1642"/>
      <c r="AC863" s="1642"/>
    </row>
    <row r="864" spans="1:31" ht="15.75" thickBot="1">
      <c r="A864" s="2467" t="s">
        <v>12969</v>
      </c>
      <c r="B864" s="2469" t="s">
        <v>12971</v>
      </c>
      <c r="C864" s="2467" t="s">
        <v>69</v>
      </c>
      <c r="D864" s="2467" t="s">
        <v>70</v>
      </c>
      <c r="E864" s="2468" t="s">
        <v>12972</v>
      </c>
      <c r="F864" s="2467">
        <v>2</v>
      </c>
      <c r="G864" s="2469" t="s">
        <v>9494</v>
      </c>
      <c r="H864" s="2467"/>
      <c r="I864" s="2467" t="s">
        <v>2418</v>
      </c>
      <c r="J864" s="2467"/>
      <c r="K864" s="2470">
        <v>10745827</v>
      </c>
      <c r="L864" s="2467" t="s">
        <v>251</v>
      </c>
      <c r="M864" s="2467"/>
      <c r="N864" s="2467"/>
      <c r="O864" s="2467"/>
      <c r="P864" s="2807" t="s">
        <v>13743</v>
      </c>
      <c r="Q864" s="2467"/>
      <c r="R864" s="2470"/>
      <c r="S864" s="2470"/>
      <c r="T864" s="2471"/>
      <c r="U864" s="2471"/>
      <c r="V864" s="2471"/>
      <c r="W864" s="2470"/>
      <c r="X864" s="2470"/>
      <c r="Y864" s="2467"/>
      <c r="Z864" s="2467"/>
      <c r="AA864" s="2467"/>
      <c r="AB864" s="2467"/>
      <c r="AC864" s="2467"/>
    </row>
    <row r="865" spans="1:29" ht="30.75" thickTop="1">
      <c r="A865" s="428">
        <v>44809</v>
      </c>
      <c r="B865" s="1371" t="s">
        <v>12977</v>
      </c>
      <c r="C865" s="425" t="s">
        <v>2434</v>
      </c>
      <c r="D865" s="425" t="s">
        <v>3204</v>
      </c>
      <c r="E865" s="426" t="s">
        <v>12978</v>
      </c>
      <c r="F865" s="425">
        <v>1</v>
      </c>
      <c r="G865" s="1371" t="s">
        <v>12979</v>
      </c>
      <c r="H865" s="425"/>
      <c r="I865" s="425" t="s">
        <v>642</v>
      </c>
      <c r="J865" s="425"/>
      <c r="K865" s="429">
        <v>480000</v>
      </c>
      <c r="L865" s="425" t="s">
        <v>251</v>
      </c>
      <c r="M865" s="428">
        <v>44813</v>
      </c>
      <c r="N865" s="428">
        <v>44888</v>
      </c>
      <c r="O865" s="428">
        <v>44917</v>
      </c>
      <c r="P865" s="1371" t="s">
        <v>8278</v>
      </c>
      <c r="Q865" s="425"/>
      <c r="R865" s="429">
        <v>472500</v>
      </c>
      <c r="S865" s="429">
        <v>571725</v>
      </c>
      <c r="T865" s="1605"/>
      <c r="U865" s="1605"/>
      <c r="V865" s="1605"/>
      <c r="W865" s="1384">
        <v>44917</v>
      </c>
      <c r="X865" s="2031" t="s">
        <v>13814</v>
      </c>
      <c r="Y865" s="425"/>
      <c r="Z865" s="425"/>
      <c r="AA865" s="425"/>
      <c r="AB865" s="425"/>
      <c r="AC865" s="425"/>
    </row>
    <row r="866" spans="1:29" ht="30">
      <c r="A866" s="2153">
        <v>44809</v>
      </c>
      <c r="B866" s="2156" t="s">
        <v>12980</v>
      </c>
      <c r="C866" s="2154" t="s">
        <v>2434</v>
      </c>
      <c r="D866" s="2154" t="s">
        <v>3204</v>
      </c>
      <c r="E866" s="2155" t="s">
        <v>12978</v>
      </c>
      <c r="F866" s="2154">
        <v>2</v>
      </c>
      <c r="G866" s="2156" t="s">
        <v>12990</v>
      </c>
      <c r="H866" s="2154"/>
      <c r="I866" s="2154" t="s">
        <v>642</v>
      </c>
      <c r="J866" s="2154"/>
      <c r="K866" s="2157">
        <v>4860000</v>
      </c>
      <c r="L866" s="2154" t="s">
        <v>251</v>
      </c>
      <c r="M866" s="2153">
        <v>44813</v>
      </c>
      <c r="N866" s="2153">
        <v>44888</v>
      </c>
      <c r="O866" s="2153">
        <v>44917</v>
      </c>
      <c r="P866" s="2156" t="s">
        <v>4894</v>
      </c>
      <c r="Q866" s="2154"/>
      <c r="R866" s="2157">
        <v>4860000</v>
      </c>
      <c r="S866" s="2157">
        <v>5880600</v>
      </c>
      <c r="T866" s="2415"/>
      <c r="U866" s="2415"/>
      <c r="V866" s="2415"/>
      <c r="W866" s="2160">
        <v>44917</v>
      </c>
      <c r="X866" s="2326" t="s">
        <v>13815</v>
      </c>
      <c r="Y866" s="2154"/>
      <c r="Z866" s="2154"/>
      <c r="AA866" s="2154"/>
      <c r="AB866" s="2154"/>
      <c r="AC866" s="2154"/>
    </row>
    <row r="867" spans="1:29" ht="30">
      <c r="A867" s="2153">
        <v>44809</v>
      </c>
      <c r="B867" s="2156" t="s">
        <v>12981</v>
      </c>
      <c r="C867" s="2154" t="s">
        <v>2434</v>
      </c>
      <c r="D867" s="2154" t="s">
        <v>3204</v>
      </c>
      <c r="E867" s="2155" t="s">
        <v>12978</v>
      </c>
      <c r="F867" s="2154">
        <v>3</v>
      </c>
      <c r="G867" s="2156" t="s">
        <v>12991</v>
      </c>
      <c r="H867" s="2154"/>
      <c r="I867" s="2154" t="s">
        <v>642</v>
      </c>
      <c r="J867" s="2154"/>
      <c r="K867" s="2157">
        <v>867000</v>
      </c>
      <c r="L867" s="2154" t="s">
        <v>251</v>
      </c>
      <c r="M867" s="2153">
        <v>44813</v>
      </c>
      <c r="N867" s="2153">
        <v>44888</v>
      </c>
      <c r="O867" s="2153">
        <v>44917</v>
      </c>
      <c r="P867" s="2156" t="s">
        <v>7201</v>
      </c>
      <c r="Q867" s="2154"/>
      <c r="R867" s="2157">
        <v>735000</v>
      </c>
      <c r="S867" s="2157">
        <v>889350</v>
      </c>
      <c r="T867" s="2415"/>
      <c r="U867" s="2415"/>
      <c r="V867" s="2415"/>
      <c r="W867" s="2160">
        <v>44917</v>
      </c>
      <c r="X867" s="2326" t="s">
        <v>13816</v>
      </c>
      <c r="Y867" s="2154"/>
      <c r="Z867" s="2154"/>
      <c r="AA867" s="2154"/>
      <c r="AB867" s="2154"/>
      <c r="AC867" s="2154"/>
    </row>
    <row r="868" spans="1:29">
      <c r="A868" s="2153">
        <v>44809</v>
      </c>
      <c r="B868" s="2156" t="s">
        <v>12982</v>
      </c>
      <c r="C868" s="2154" t="s">
        <v>2434</v>
      </c>
      <c r="D868" s="2154" t="s">
        <v>3204</v>
      </c>
      <c r="E868" s="2155" t="s">
        <v>12978</v>
      </c>
      <c r="F868" s="2154">
        <v>4</v>
      </c>
      <c r="G868" s="2856" t="s">
        <v>12992</v>
      </c>
      <c r="H868" s="2154"/>
      <c r="I868" s="2154" t="s">
        <v>642</v>
      </c>
      <c r="J868" s="2154"/>
      <c r="K868" s="2157">
        <v>3555000</v>
      </c>
      <c r="L868" s="2154" t="s">
        <v>251</v>
      </c>
      <c r="M868" s="2153">
        <v>44813</v>
      </c>
      <c r="N868" s="2153">
        <v>44888</v>
      </c>
      <c r="O868" s="2154"/>
      <c r="P868" s="2156" t="s">
        <v>5908</v>
      </c>
      <c r="Q868" s="2154"/>
      <c r="R868" s="2157">
        <v>3555000</v>
      </c>
      <c r="S868" s="2157">
        <v>4301550</v>
      </c>
      <c r="T868" s="2415"/>
      <c r="U868" s="2415"/>
      <c r="V868" s="2415"/>
      <c r="W868" s="2157"/>
      <c r="X868" s="2157"/>
      <c r="Y868" s="2154"/>
      <c r="Z868" s="2154"/>
      <c r="AA868" s="2154"/>
      <c r="AB868" s="2154"/>
      <c r="AC868" s="2154"/>
    </row>
    <row r="869" spans="1:29" ht="30">
      <c r="A869" s="2153">
        <v>44809</v>
      </c>
      <c r="B869" s="2156" t="s">
        <v>12983</v>
      </c>
      <c r="C869" s="2154" t="s">
        <v>2434</v>
      </c>
      <c r="D869" s="2154" t="s">
        <v>3204</v>
      </c>
      <c r="E869" s="2155" t="s">
        <v>12978</v>
      </c>
      <c r="F869" s="2154">
        <v>5</v>
      </c>
      <c r="G869" s="2156" t="s">
        <v>12993</v>
      </c>
      <c r="H869" s="2154"/>
      <c r="I869" s="2154" t="s">
        <v>642</v>
      </c>
      <c r="J869" s="2154"/>
      <c r="K869" s="2157">
        <v>13825000</v>
      </c>
      <c r="L869" s="2154" t="s">
        <v>251</v>
      </c>
      <c r="M869" s="2153">
        <v>44813</v>
      </c>
      <c r="N869" s="2153">
        <v>44888</v>
      </c>
      <c r="O869" s="2153">
        <v>44917</v>
      </c>
      <c r="P869" s="2156" t="s">
        <v>5908</v>
      </c>
      <c r="Q869" s="2154"/>
      <c r="R869" s="2157">
        <v>13825000</v>
      </c>
      <c r="S869" s="2157">
        <v>16728250</v>
      </c>
      <c r="T869" s="2415"/>
      <c r="U869" s="2415"/>
      <c r="V869" s="2415"/>
      <c r="W869" s="2160">
        <v>44917</v>
      </c>
      <c r="X869" s="2326" t="s">
        <v>13817</v>
      </c>
      <c r="Y869" s="2154"/>
      <c r="Z869" s="2154"/>
      <c r="AA869" s="2154"/>
      <c r="AB869" s="2154"/>
      <c r="AC869" s="2154"/>
    </row>
    <row r="870" spans="1:29" ht="30">
      <c r="A870" s="2153">
        <v>44809</v>
      </c>
      <c r="B870" s="2156" t="s">
        <v>12984</v>
      </c>
      <c r="C870" s="2154" t="s">
        <v>2434</v>
      </c>
      <c r="D870" s="2154" t="s">
        <v>3204</v>
      </c>
      <c r="E870" s="2155" t="s">
        <v>12978</v>
      </c>
      <c r="F870" s="2154">
        <v>6</v>
      </c>
      <c r="G870" s="2156" t="s">
        <v>12994</v>
      </c>
      <c r="H870" s="2154"/>
      <c r="I870" s="2154" t="s">
        <v>642</v>
      </c>
      <c r="J870" s="2154"/>
      <c r="K870" s="2157">
        <v>2646900</v>
      </c>
      <c r="L870" s="2154" t="s">
        <v>251</v>
      </c>
      <c r="M870" s="2153">
        <v>44813</v>
      </c>
      <c r="N870" s="2153">
        <v>44888</v>
      </c>
      <c r="O870" s="2153">
        <v>44917</v>
      </c>
      <c r="P870" s="2156" t="s">
        <v>13606</v>
      </c>
      <c r="Q870" s="2154"/>
      <c r="R870" s="2157">
        <v>2646900</v>
      </c>
      <c r="S870" s="2157">
        <v>3202749</v>
      </c>
      <c r="T870" s="2415"/>
      <c r="U870" s="2415"/>
      <c r="V870" s="2415"/>
      <c r="W870" s="2160">
        <v>44917</v>
      </c>
      <c r="X870" s="2326" t="s">
        <v>13818</v>
      </c>
      <c r="Y870" s="2154"/>
      <c r="Z870" s="2154"/>
      <c r="AA870" s="2154"/>
      <c r="AB870" s="2154"/>
      <c r="AC870" s="2154"/>
    </row>
    <row r="871" spans="1:29" ht="30">
      <c r="A871" s="2153">
        <v>44809</v>
      </c>
      <c r="B871" s="2156" t="s">
        <v>12985</v>
      </c>
      <c r="C871" s="2154" t="s">
        <v>2434</v>
      </c>
      <c r="D871" s="2154" t="s">
        <v>3204</v>
      </c>
      <c r="E871" s="2155" t="s">
        <v>12978</v>
      </c>
      <c r="F871" s="2154">
        <v>7</v>
      </c>
      <c r="G871" s="2156" t="s">
        <v>12995</v>
      </c>
      <c r="H871" s="2154"/>
      <c r="I871" s="2154" t="s">
        <v>642</v>
      </c>
      <c r="J871" s="2154"/>
      <c r="K871" s="2157">
        <v>2520000</v>
      </c>
      <c r="L871" s="2154" t="s">
        <v>251</v>
      </c>
      <c r="M871" s="2153">
        <v>44813</v>
      </c>
      <c r="N871" s="2153">
        <v>44888</v>
      </c>
      <c r="O871" s="2153">
        <v>44917</v>
      </c>
      <c r="P871" s="2156" t="s">
        <v>993</v>
      </c>
      <c r="Q871" s="2154"/>
      <c r="R871" s="2157">
        <v>2250000</v>
      </c>
      <c r="S871" s="2157">
        <v>2722500</v>
      </c>
      <c r="T871" s="2415"/>
      <c r="U871" s="2415"/>
      <c r="V871" s="2415"/>
      <c r="W871" s="2160">
        <v>44917</v>
      </c>
      <c r="X871" s="2326" t="s">
        <v>13819</v>
      </c>
      <c r="Y871" s="2154"/>
      <c r="Z871" s="2154"/>
      <c r="AA871" s="2154"/>
      <c r="AB871" s="2154"/>
      <c r="AC871" s="2154"/>
    </row>
    <row r="872" spans="1:29">
      <c r="A872" s="2124">
        <v>44809</v>
      </c>
      <c r="B872" s="2127" t="s">
        <v>12986</v>
      </c>
      <c r="C872" s="2125" t="s">
        <v>2434</v>
      </c>
      <c r="D872" s="2125" t="s">
        <v>3204</v>
      </c>
      <c r="E872" s="2126" t="s">
        <v>12978</v>
      </c>
      <c r="F872" s="2125">
        <v>8</v>
      </c>
      <c r="G872" s="2514" t="s">
        <v>13639</v>
      </c>
      <c r="H872" s="2125"/>
      <c r="I872" s="2125" t="s">
        <v>642</v>
      </c>
      <c r="J872" s="2125"/>
      <c r="K872" s="2128">
        <v>4320000</v>
      </c>
      <c r="L872" s="2125" t="s">
        <v>251</v>
      </c>
      <c r="M872" s="2124">
        <v>44813</v>
      </c>
      <c r="N872" s="2124">
        <v>44888</v>
      </c>
      <c r="O872" s="2125"/>
      <c r="P872" s="2136" t="s">
        <v>9147</v>
      </c>
      <c r="Q872" s="2125"/>
      <c r="R872" s="2128"/>
      <c r="S872" s="2128"/>
      <c r="T872" s="2129"/>
      <c r="U872" s="2129"/>
      <c r="V872" s="2129"/>
      <c r="W872" s="2128"/>
      <c r="X872" s="2128"/>
      <c r="Y872" s="2125"/>
      <c r="Z872" s="2124">
        <v>44936</v>
      </c>
      <c r="AA872" s="2125" t="s">
        <v>13772</v>
      </c>
      <c r="AB872" s="2125"/>
      <c r="AC872" s="2125"/>
    </row>
    <row r="873" spans="1:29">
      <c r="A873" s="2153">
        <v>44809</v>
      </c>
      <c r="B873" s="2156" t="s">
        <v>12987</v>
      </c>
      <c r="C873" s="2154" t="s">
        <v>2434</v>
      </c>
      <c r="D873" s="2154" t="s">
        <v>3204</v>
      </c>
      <c r="E873" s="2155" t="s">
        <v>12978</v>
      </c>
      <c r="F873" s="2154">
        <v>9</v>
      </c>
      <c r="G873" s="2856" t="s">
        <v>12996</v>
      </c>
      <c r="H873" s="2154"/>
      <c r="I873" s="2154" t="s">
        <v>642</v>
      </c>
      <c r="J873" s="2154"/>
      <c r="K873" s="2157">
        <v>540000</v>
      </c>
      <c r="L873" s="2154" t="s">
        <v>251</v>
      </c>
      <c r="M873" s="2153">
        <v>44813</v>
      </c>
      <c r="N873" s="2153">
        <v>44888</v>
      </c>
      <c r="O873" s="2154"/>
      <c r="P873" s="2156" t="s">
        <v>8278</v>
      </c>
      <c r="Q873" s="2154"/>
      <c r="R873" s="2157">
        <v>900000</v>
      </c>
      <c r="S873" s="2157">
        <v>1089000</v>
      </c>
      <c r="T873" s="2415"/>
      <c r="U873" s="2415"/>
      <c r="V873" s="2415"/>
      <c r="W873" s="2157"/>
      <c r="X873" s="2157"/>
      <c r="Y873" s="2154"/>
      <c r="Z873" s="2154"/>
      <c r="AA873" s="2154"/>
      <c r="AB873" s="2154"/>
      <c r="AC873" s="2154"/>
    </row>
    <row r="874" spans="1:29">
      <c r="A874" s="2124">
        <v>44809</v>
      </c>
      <c r="B874" s="2127" t="s">
        <v>12988</v>
      </c>
      <c r="C874" s="2125" t="s">
        <v>2434</v>
      </c>
      <c r="D874" s="2125" t="s">
        <v>3204</v>
      </c>
      <c r="E874" s="2126" t="s">
        <v>12978</v>
      </c>
      <c r="F874" s="2125">
        <v>10</v>
      </c>
      <c r="G874" s="2127" t="s">
        <v>12997</v>
      </c>
      <c r="H874" s="2125"/>
      <c r="I874" s="2125" t="s">
        <v>642</v>
      </c>
      <c r="J874" s="2125"/>
      <c r="K874" s="2128">
        <v>1249587</v>
      </c>
      <c r="L874" s="2125" t="s">
        <v>251</v>
      </c>
      <c r="M874" s="2124">
        <v>44813</v>
      </c>
      <c r="N874" s="2124">
        <v>44888</v>
      </c>
      <c r="O874" s="2125"/>
      <c r="P874" s="2136" t="s">
        <v>304</v>
      </c>
      <c r="Q874" s="2125"/>
      <c r="R874" s="2128"/>
      <c r="S874" s="2128"/>
      <c r="T874" s="2129"/>
      <c r="U874" s="2129"/>
      <c r="V874" s="2129"/>
      <c r="W874" s="2128"/>
      <c r="X874" s="2128"/>
      <c r="Y874" s="2125"/>
      <c r="Z874" s="2124">
        <v>44936</v>
      </c>
      <c r="AA874" s="2125" t="s">
        <v>13772</v>
      </c>
      <c r="AB874" s="2125"/>
      <c r="AC874" s="2125"/>
    </row>
    <row r="875" spans="1:29" ht="30.75" thickBot="1">
      <c r="A875" s="2152">
        <v>44809</v>
      </c>
      <c r="B875" s="2300" t="s">
        <v>12989</v>
      </c>
      <c r="C875" s="2297" t="s">
        <v>2434</v>
      </c>
      <c r="D875" s="2297" t="s">
        <v>3204</v>
      </c>
      <c r="E875" s="2298" t="s">
        <v>12978</v>
      </c>
      <c r="F875" s="2297">
        <v>11</v>
      </c>
      <c r="G875" s="2300" t="s">
        <v>12998</v>
      </c>
      <c r="H875" s="2297"/>
      <c r="I875" s="2297" t="s">
        <v>642</v>
      </c>
      <c r="J875" s="2297"/>
      <c r="K875" s="2299">
        <v>748000</v>
      </c>
      <c r="L875" s="2297" t="s">
        <v>251</v>
      </c>
      <c r="M875" s="2152">
        <v>44813</v>
      </c>
      <c r="N875" s="2152">
        <v>44888</v>
      </c>
      <c r="O875" s="2152">
        <v>44917</v>
      </c>
      <c r="P875" s="2300" t="s">
        <v>13607</v>
      </c>
      <c r="Q875" s="2297"/>
      <c r="R875" s="2299">
        <v>748000</v>
      </c>
      <c r="S875" s="2299">
        <v>905080</v>
      </c>
      <c r="T875" s="2443"/>
      <c r="U875" s="2443"/>
      <c r="V875" s="2443"/>
      <c r="W875" s="2315">
        <v>44917</v>
      </c>
      <c r="X875" s="2326" t="s">
        <v>13820</v>
      </c>
      <c r="Y875" s="2297"/>
      <c r="Z875" s="2297"/>
      <c r="AA875" s="2297"/>
      <c r="AB875" s="2297"/>
      <c r="AC875" s="2297"/>
    </row>
    <row r="876" spans="1:29" ht="15.75" thickTop="1">
      <c r="A876" s="428">
        <v>44810</v>
      </c>
      <c r="B876" s="1371" t="s">
        <v>13040</v>
      </c>
      <c r="C876" s="425" t="s">
        <v>2434</v>
      </c>
      <c r="D876" s="425" t="s">
        <v>219</v>
      </c>
      <c r="E876" s="426" t="s">
        <v>13069</v>
      </c>
      <c r="F876" s="425"/>
      <c r="G876" s="1371"/>
      <c r="H876" s="583"/>
      <c r="I876" s="425" t="s">
        <v>3271</v>
      </c>
      <c r="J876" s="425"/>
      <c r="K876" s="429">
        <v>1924060</v>
      </c>
      <c r="L876" s="425" t="s">
        <v>251</v>
      </c>
      <c r="M876" s="428">
        <v>44820</v>
      </c>
      <c r="N876" s="428">
        <v>44858</v>
      </c>
      <c r="O876" s="425"/>
      <c r="P876" s="1371"/>
      <c r="Q876" s="425"/>
      <c r="R876" s="429"/>
      <c r="S876" s="429"/>
      <c r="T876" s="1483"/>
      <c r="U876" s="1483"/>
      <c r="V876" s="1483"/>
      <c r="W876" s="429"/>
      <c r="X876" s="429"/>
      <c r="Y876" s="425"/>
      <c r="Z876" s="425"/>
      <c r="AA876" s="425"/>
      <c r="AB876" s="425"/>
      <c r="AC876" s="425"/>
    </row>
    <row r="877" spans="1:29" ht="30.75" thickBot="1">
      <c r="A877" s="498">
        <v>44810</v>
      </c>
      <c r="B877" s="669" t="s">
        <v>13000</v>
      </c>
      <c r="C877" s="232" t="s">
        <v>58</v>
      </c>
      <c r="D877" s="232" t="s">
        <v>4969</v>
      </c>
      <c r="E877" s="274" t="s">
        <v>13001</v>
      </c>
      <c r="F877" s="232"/>
      <c r="G877" s="669"/>
      <c r="H877" s="232"/>
      <c r="I877" s="232" t="s">
        <v>756</v>
      </c>
      <c r="J877" s="232"/>
      <c r="K877" s="499">
        <v>398800</v>
      </c>
      <c r="L877" s="232" t="s">
        <v>112</v>
      </c>
      <c r="M877" s="498">
        <v>44811</v>
      </c>
      <c r="N877" s="498">
        <v>44820</v>
      </c>
      <c r="O877" s="498">
        <v>44839</v>
      </c>
      <c r="P877" s="669" t="s">
        <v>13198</v>
      </c>
      <c r="Q877" s="232"/>
      <c r="R877" s="499">
        <v>190404</v>
      </c>
      <c r="S877" s="499">
        <v>230388.84</v>
      </c>
      <c r="T877" s="1545"/>
      <c r="U877" s="1545"/>
      <c r="V877" s="1545"/>
      <c r="W877" s="682">
        <v>44839</v>
      </c>
      <c r="X877" s="1752" t="s">
        <v>13197</v>
      </c>
      <c r="Y877" s="498">
        <v>44869</v>
      </c>
      <c r="Z877" s="498">
        <v>44872</v>
      </c>
      <c r="AA877" s="498">
        <v>44953</v>
      </c>
      <c r="AB877" s="1546"/>
      <c r="AC877" s="1546" t="s">
        <v>1875</v>
      </c>
    </row>
    <row r="878" spans="1:29" ht="15.75" thickTop="1">
      <c r="A878" s="428">
        <v>44812</v>
      </c>
      <c r="B878" s="1371" t="s">
        <v>13010</v>
      </c>
      <c r="C878" s="425" t="s">
        <v>69</v>
      </c>
      <c r="D878" s="425" t="s">
        <v>70</v>
      </c>
      <c r="E878" s="426" t="s">
        <v>13011</v>
      </c>
      <c r="F878" s="425">
        <v>1</v>
      </c>
      <c r="G878" s="1371" t="s">
        <v>13012</v>
      </c>
      <c r="H878" s="425"/>
      <c r="I878" s="425" t="s">
        <v>4276</v>
      </c>
      <c r="J878" s="425"/>
      <c r="K878" s="429">
        <v>685461</v>
      </c>
      <c r="L878" s="425" t="s">
        <v>251</v>
      </c>
      <c r="M878" s="428">
        <v>44830</v>
      </c>
      <c r="N878" s="428">
        <v>44908</v>
      </c>
      <c r="O878" s="425"/>
      <c r="P878" s="1371"/>
      <c r="Q878" s="425"/>
      <c r="R878" s="429"/>
      <c r="S878" s="429"/>
      <c r="T878" s="1605"/>
      <c r="U878" s="1605"/>
      <c r="V878" s="1605"/>
      <c r="W878" s="429"/>
      <c r="X878" s="429"/>
      <c r="Y878" s="425"/>
      <c r="Z878" s="425"/>
      <c r="AA878" s="425"/>
      <c r="AB878" s="425"/>
      <c r="AC878" s="425"/>
    </row>
    <row r="879" spans="1:29">
      <c r="A879" s="2153">
        <v>44812</v>
      </c>
      <c r="B879" s="2156" t="s">
        <v>13017</v>
      </c>
      <c r="C879" s="2154" t="s">
        <v>69</v>
      </c>
      <c r="D879" s="2154" t="s">
        <v>70</v>
      </c>
      <c r="E879" s="2155" t="s">
        <v>13011</v>
      </c>
      <c r="F879" s="2154">
        <v>2</v>
      </c>
      <c r="G879" s="2156" t="s">
        <v>13013</v>
      </c>
      <c r="H879" s="2154"/>
      <c r="I879" s="2154" t="s">
        <v>4276</v>
      </c>
      <c r="J879" s="2154"/>
      <c r="K879" s="2157">
        <v>5397006</v>
      </c>
      <c r="L879" s="2154" t="s">
        <v>251</v>
      </c>
      <c r="M879" s="2153">
        <v>44830</v>
      </c>
      <c r="N879" s="2153">
        <v>44908</v>
      </c>
      <c r="O879" s="2154"/>
      <c r="P879" s="2156"/>
      <c r="Q879" s="2154"/>
      <c r="R879" s="2157"/>
      <c r="S879" s="2157"/>
      <c r="T879" s="2415"/>
      <c r="U879" s="2415"/>
      <c r="V879" s="2415"/>
      <c r="W879" s="2157"/>
      <c r="X879" s="2157"/>
      <c r="Y879" s="2154"/>
      <c r="Z879" s="2154"/>
      <c r="AA879" s="2154"/>
      <c r="AB879" s="2154"/>
      <c r="AC879" s="2154"/>
    </row>
    <row r="880" spans="1:29">
      <c r="A880" s="2124">
        <v>44812</v>
      </c>
      <c r="B880" s="2127" t="s">
        <v>13018</v>
      </c>
      <c r="C880" s="2125" t="s">
        <v>69</v>
      </c>
      <c r="D880" s="2125" t="s">
        <v>70</v>
      </c>
      <c r="E880" s="2126" t="s">
        <v>13011</v>
      </c>
      <c r="F880" s="2125">
        <v>3</v>
      </c>
      <c r="G880" s="2127" t="s">
        <v>13014</v>
      </c>
      <c r="H880" s="2125"/>
      <c r="I880" s="2125" t="s">
        <v>4276</v>
      </c>
      <c r="J880" s="2125"/>
      <c r="K880" s="2128">
        <v>5676329</v>
      </c>
      <c r="L880" s="2125" t="s">
        <v>251</v>
      </c>
      <c r="M880" s="2124">
        <v>44830</v>
      </c>
      <c r="N880" s="2124">
        <v>44908</v>
      </c>
      <c r="O880" s="2125"/>
      <c r="P880" s="2136" t="s">
        <v>304</v>
      </c>
      <c r="Q880" s="2125"/>
      <c r="R880" s="2128"/>
      <c r="S880" s="2128"/>
      <c r="T880" s="2129"/>
      <c r="U880" s="2129"/>
      <c r="V880" s="2129"/>
      <c r="W880" s="2128"/>
      <c r="X880" s="2128"/>
      <c r="Y880" s="2125"/>
      <c r="Z880" s="2124">
        <v>44958</v>
      </c>
      <c r="AA880" s="2127" t="s">
        <v>13971</v>
      </c>
      <c r="AB880" s="2125"/>
      <c r="AC880" s="2125"/>
    </row>
    <row r="881" spans="1:43">
      <c r="A881" s="2153">
        <v>44812</v>
      </c>
      <c r="B881" s="2156" t="s">
        <v>13019</v>
      </c>
      <c r="C881" s="2154" t="s">
        <v>69</v>
      </c>
      <c r="D881" s="2154" t="s">
        <v>70</v>
      </c>
      <c r="E881" s="2155" t="s">
        <v>13011</v>
      </c>
      <c r="F881" s="2154">
        <v>4</v>
      </c>
      <c r="G881" s="2156" t="s">
        <v>13015</v>
      </c>
      <c r="H881" s="2154"/>
      <c r="I881" s="2154" t="s">
        <v>4276</v>
      </c>
      <c r="J881" s="2154"/>
      <c r="K881" s="2157">
        <v>2452725</v>
      </c>
      <c r="L881" s="2154" t="s">
        <v>251</v>
      </c>
      <c r="M881" s="2153">
        <v>44830</v>
      </c>
      <c r="N881" s="2153">
        <v>44908</v>
      </c>
      <c r="O881" s="2154"/>
      <c r="P881" s="2156"/>
      <c r="Q881" s="2154"/>
      <c r="R881" s="2157"/>
      <c r="S881" s="2157"/>
      <c r="T881" s="2415"/>
      <c r="U881" s="2415"/>
      <c r="V881" s="2415"/>
      <c r="W881" s="2157"/>
      <c r="X881" s="2157"/>
      <c r="Y881" s="2154"/>
      <c r="Z881" s="2154"/>
      <c r="AA881" s="2154"/>
      <c r="AB881" s="2154"/>
      <c r="AC881" s="2154"/>
    </row>
    <row r="882" spans="1:43" ht="15.75" thickBot="1">
      <c r="A882" s="2152">
        <v>44812</v>
      </c>
      <c r="B882" s="2300" t="s">
        <v>13020</v>
      </c>
      <c r="C882" s="2297" t="s">
        <v>69</v>
      </c>
      <c r="D882" s="2297" t="s">
        <v>70</v>
      </c>
      <c r="E882" s="2298" t="s">
        <v>13011</v>
      </c>
      <c r="F882" s="2297">
        <v>5</v>
      </c>
      <c r="G882" s="2300" t="s">
        <v>13016</v>
      </c>
      <c r="H882" s="2297"/>
      <c r="I882" s="2297" t="s">
        <v>4276</v>
      </c>
      <c r="J882" s="2297"/>
      <c r="K882" s="2299">
        <v>2713869</v>
      </c>
      <c r="L882" s="2297" t="s">
        <v>251</v>
      </c>
      <c r="M882" s="2152">
        <v>44830</v>
      </c>
      <c r="N882" s="2152">
        <v>44908</v>
      </c>
      <c r="O882" s="2297"/>
      <c r="P882" s="2300"/>
      <c r="Q882" s="2297"/>
      <c r="R882" s="2299"/>
      <c r="S882" s="2299"/>
      <c r="T882" s="2443"/>
      <c r="U882" s="2443"/>
      <c r="V882" s="2443"/>
      <c r="W882" s="2299"/>
      <c r="X882" s="2299"/>
      <c r="Y882" s="2297"/>
      <c r="Z882" s="2297"/>
      <c r="AA882" s="2297"/>
      <c r="AB882" s="2297"/>
      <c r="AC882" s="2297"/>
    </row>
    <row r="883" spans="1:43" ht="15.75" thickTop="1">
      <c r="A883" s="428">
        <v>44812</v>
      </c>
      <c r="B883" s="1371" t="s">
        <v>13029</v>
      </c>
      <c r="C883" s="425" t="s">
        <v>69</v>
      </c>
      <c r="D883" s="425" t="s">
        <v>70</v>
      </c>
      <c r="E883" s="426" t="s">
        <v>13025</v>
      </c>
      <c r="F883" s="425">
        <v>1</v>
      </c>
      <c r="G883" s="1371" t="s">
        <v>13026</v>
      </c>
      <c r="H883" s="583"/>
      <c r="I883" s="425" t="s">
        <v>3436</v>
      </c>
      <c r="J883" s="425"/>
      <c r="K883" s="429">
        <v>1329395</v>
      </c>
      <c r="L883" s="425" t="s">
        <v>251</v>
      </c>
      <c r="M883" s="428">
        <v>44869</v>
      </c>
      <c r="N883" s="428">
        <v>44904</v>
      </c>
      <c r="O883" s="425"/>
      <c r="P883" s="1371"/>
      <c r="Q883" s="425"/>
      <c r="R883" s="429"/>
      <c r="S883" s="429"/>
      <c r="T883" s="1483"/>
      <c r="U883" s="1483"/>
      <c r="V883" s="1483"/>
      <c r="W883" s="429"/>
      <c r="X883" s="429"/>
      <c r="Y883" s="425"/>
      <c r="Z883" s="425"/>
      <c r="AA883" s="425"/>
      <c r="AB883" s="425"/>
      <c r="AC883" s="425"/>
    </row>
    <row r="884" spans="1:43">
      <c r="A884" s="2153">
        <v>44812</v>
      </c>
      <c r="B884" s="1422" t="s">
        <v>13030</v>
      </c>
      <c r="C884" s="2154" t="s">
        <v>69</v>
      </c>
      <c r="D884" s="2154" t="s">
        <v>70</v>
      </c>
      <c r="E884" s="2155" t="s">
        <v>13025</v>
      </c>
      <c r="F884" s="2154">
        <v>2</v>
      </c>
      <c r="G884" s="2156" t="s">
        <v>13027</v>
      </c>
      <c r="H884" s="2085"/>
      <c r="I884" s="2154" t="s">
        <v>3436</v>
      </c>
      <c r="J884" s="2154"/>
      <c r="K884" s="2157">
        <v>2363241</v>
      </c>
      <c r="L884" s="2154" t="s">
        <v>251</v>
      </c>
      <c r="M884" s="2153">
        <v>44869</v>
      </c>
      <c r="N884" s="2153">
        <v>44904</v>
      </c>
      <c r="O884" s="2154"/>
      <c r="P884" s="2156"/>
      <c r="Q884" s="2154"/>
      <c r="R884" s="2157"/>
      <c r="S884" s="2157"/>
      <c r="T884" s="2094"/>
      <c r="U884" s="2094"/>
      <c r="V884" s="2094"/>
      <c r="W884" s="2157"/>
      <c r="X884" s="2157"/>
      <c r="Y884" s="2154"/>
      <c r="Z884" s="2154"/>
      <c r="AA884" s="2154"/>
      <c r="AB884" s="2154"/>
      <c r="AC884" s="2154"/>
    </row>
    <row r="885" spans="1:43" ht="15.75" thickBot="1">
      <c r="A885" s="2152">
        <v>44812</v>
      </c>
      <c r="B885" s="2437" t="s">
        <v>13031</v>
      </c>
      <c r="C885" s="2297" t="s">
        <v>69</v>
      </c>
      <c r="D885" s="2297" t="s">
        <v>70</v>
      </c>
      <c r="E885" s="2298" t="s">
        <v>13025</v>
      </c>
      <c r="F885" s="2297">
        <v>3</v>
      </c>
      <c r="G885" s="2300" t="s">
        <v>13028</v>
      </c>
      <c r="H885" s="2089"/>
      <c r="I885" s="2297" t="s">
        <v>3436</v>
      </c>
      <c r="J885" s="2297"/>
      <c r="K885" s="2299">
        <v>941068</v>
      </c>
      <c r="L885" s="2297" t="s">
        <v>251</v>
      </c>
      <c r="M885" s="2152">
        <v>44869</v>
      </c>
      <c r="N885" s="2152">
        <v>44904</v>
      </c>
      <c r="O885" s="2297"/>
      <c r="P885" s="2300"/>
      <c r="Q885" s="2297"/>
      <c r="R885" s="2299"/>
      <c r="S885" s="2299"/>
      <c r="T885" s="2095"/>
      <c r="U885" s="2095"/>
      <c r="V885" s="2095"/>
      <c r="W885" s="2299"/>
      <c r="X885" s="2299"/>
      <c r="Y885" s="2297"/>
      <c r="Z885" s="2297"/>
      <c r="AA885" s="2297"/>
      <c r="AB885" s="2297"/>
      <c r="AC885" s="2297"/>
    </row>
    <row r="886" spans="1:43" ht="15.75" thickTop="1">
      <c r="A886" s="470">
        <v>44812</v>
      </c>
      <c r="B886" s="654" t="s">
        <v>13033</v>
      </c>
      <c r="C886" s="466" t="s">
        <v>69</v>
      </c>
      <c r="D886" s="466" t="s">
        <v>70</v>
      </c>
      <c r="E886" s="467" t="s">
        <v>13032</v>
      </c>
      <c r="F886" s="466"/>
      <c r="G886" s="654"/>
      <c r="H886" s="466"/>
      <c r="I886" s="466" t="s">
        <v>4278</v>
      </c>
      <c r="J886" s="466"/>
      <c r="K886" s="472">
        <v>908775</v>
      </c>
      <c r="L886" s="466" t="s">
        <v>112</v>
      </c>
      <c r="M886" s="470">
        <v>44879</v>
      </c>
      <c r="N886" s="470">
        <v>44888</v>
      </c>
      <c r="O886" s="466"/>
      <c r="P886" s="471" t="s">
        <v>4830</v>
      </c>
      <c r="Q886" s="2014" t="s">
        <v>13713</v>
      </c>
      <c r="R886" s="472"/>
      <c r="S886" s="472"/>
      <c r="T886" s="1516"/>
      <c r="U886" s="1516"/>
      <c r="V886" s="1516"/>
      <c r="W886" s="472"/>
      <c r="X886" s="472"/>
      <c r="Y886" s="466"/>
      <c r="Z886" s="470">
        <v>44901</v>
      </c>
      <c r="AA886" s="466"/>
      <c r="AB886" s="466"/>
      <c r="AC886" s="466"/>
    </row>
    <row r="887" spans="1:43" ht="30">
      <c r="A887" s="2140">
        <v>44816</v>
      </c>
      <c r="B887" s="2143" t="s">
        <v>13048</v>
      </c>
      <c r="C887" s="2141" t="s">
        <v>58</v>
      </c>
      <c r="D887" s="2141" t="s">
        <v>4969</v>
      </c>
      <c r="E887" s="2142" t="s">
        <v>8967</v>
      </c>
      <c r="F887" s="2141"/>
      <c r="G887" s="2143"/>
      <c r="H887" s="2141"/>
      <c r="I887" s="2141" t="s">
        <v>1924</v>
      </c>
      <c r="J887" s="2141" t="s">
        <v>13055</v>
      </c>
      <c r="K887" s="2144">
        <v>350580</v>
      </c>
      <c r="L887" s="2141" t="s">
        <v>112</v>
      </c>
      <c r="M887" s="2140">
        <v>44819</v>
      </c>
      <c r="N887" s="2140">
        <v>44827</v>
      </c>
      <c r="O887" s="2140">
        <v>44844</v>
      </c>
      <c r="P887" s="2143" t="s">
        <v>7642</v>
      </c>
      <c r="Q887" s="2141"/>
      <c r="R887" s="2144">
        <v>343200</v>
      </c>
      <c r="S887" s="2144">
        <v>415272</v>
      </c>
      <c r="T887" s="2145"/>
      <c r="U887" s="2145"/>
      <c r="V887" s="2145"/>
      <c r="W887" s="2146">
        <v>44844</v>
      </c>
      <c r="X887" s="2260" t="s">
        <v>13242</v>
      </c>
      <c r="Y887" s="2140">
        <v>44869</v>
      </c>
      <c r="Z887" s="2140">
        <v>44872</v>
      </c>
      <c r="AA887" s="2140">
        <v>44879</v>
      </c>
      <c r="AB887" s="2109"/>
      <c r="AC887" s="2109" t="s">
        <v>1875</v>
      </c>
    </row>
    <row r="888" spans="1:43">
      <c r="A888" s="2140">
        <v>44816</v>
      </c>
      <c r="B888" s="2143" t="s">
        <v>13045</v>
      </c>
      <c r="C888" s="2141" t="s">
        <v>4997</v>
      </c>
      <c r="D888" s="2141" t="s">
        <v>7475</v>
      </c>
      <c r="E888" s="2142" t="s">
        <v>13046</v>
      </c>
      <c r="F888" s="2141"/>
      <c r="G888" s="2143"/>
      <c r="H888" s="2141"/>
      <c r="I888" s="2141" t="s">
        <v>13047</v>
      </c>
      <c r="J888" s="2141"/>
      <c r="K888" s="2144">
        <v>2300000</v>
      </c>
      <c r="L888" s="2141" t="s">
        <v>112</v>
      </c>
      <c r="M888" s="2140">
        <v>44819</v>
      </c>
      <c r="N888" s="2140">
        <v>44839</v>
      </c>
      <c r="O888" s="2140">
        <v>44855</v>
      </c>
      <c r="P888" s="2143" t="s">
        <v>13320</v>
      </c>
      <c r="Q888" s="2141"/>
      <c r="R888" s="2144">
        <v>1809160.75</v>
      </c>
      <c r="S888" s="2144">
        <v>2189084.5099999998</v>
      </c>
      <c r="T888" s="2145"/>
      <c r="U888" s="2145"/>
      <c r="V888" s="2145"/>
      <c r="W888" s="2146">
        <v>44855</v>
      </c>
      <c r="X888" s="2144" t="s">
        <v>13372</v>
      </c>
      <c r="Y888" s="2140">
        <v>44894</v>
      </c>
      <c r="Z888" s="2140">
        <v>44895</v>
      </c>
      <c r="AA888" s="2141"/>
      <c r="AB888" s="2109"/>
      <c r="AC888" s="2106"/>
    </row>
    <row r="889" spans="1:43">
      <c r="A889" s="2153">
        <v>44816</v>
      </c>
      <c r="B889" s="2156" t="s">
        <v>13115</v>
      </c>
      <c r="C889" s="2154" t="s">
        <v>2434</v>
      </c>
      <c r="D889" s="2154" t="s">
        <v>219</v>
      </c>
      <c r="E889" s="2155" t="s">
        <v>13116</v>
      </c>
      <c r="F889" s="2154"/>
      <c r="G889" s="2156"/>
      <c r="H889" s="2085"/>
      <c r="I889" s="2154" t="s">
        <v>3271</v>
      </c>
      <c r="J889" s="2154"/>
      <c r="K889" s="2157">
        <v>547820</v>
      </c>
      <c r="L889" s="2154" t="s">
        <v>251</v>
      </c>
      <c r="M889" s="2153">
        <v>44831</v>
      </c>
      <c r="N889" s="2153">
        <v>44865</v>
      </c>
      <c r="O889" s="2154"/>
      <c r="P889" s="2156"/>
      <c r="Q889" s="2154"/>
      <c r="R889" s="2157"/>
      <c r="S889" s="2157"/>
      <c r="T889" s="2094"/>
      <c r="U889" s="2094"/>
      <c r="V889" s="2094"/>
      <c r="W889" s="2157"/>
      <c r="X889" s="2157"/>
      <c r="Y889" s="2154"/>
      <c r="Z889" s="2154"/>
      <c r="AA889" s="2154"/>
      <c r="AB889" s="2154"/>
      <c r="AC889" s="2154"/>
    </row>
    <row r="890" spans="1:43">
      <c r="A890" s="2153">
        <v>44813</v>
      </c>
      <c r="B890" s="2156" t="s">
        <v>13117</v>
      </c>
      <c r="C890" s="2154" t="s">
        <v>2434</v>
      </c>
      <c r="D890" s="2154" t="s">
        <v>219</v>
      </c>
      <c r="E890" s="2155" t="s">
        <v>13118</v>
      </c>
      <c r="F890" s="2154"/>
      <c r="G890" s="2156"/>
      <c r="H890" s="2085"/>
      <c r="I890" s="2154" t="s">
        <v>13119</v>
      </c>
      <c r="J890" s="2154"/>
      <c r="K890" s="2157">
        <v>4743130</v>
      </c>
      <c r="L890" s="2154" t="s">
        <v>251</v>
      </c>
      <c r="M890" s="2153">
        <v>44831</v>
      </c>
      <c r="N890" s="2153">
        <v>44895</v>
      </c>
      <c r="O890" s="2154"/>
      <c r="P890" s="2156"/>
      <c r="Q890" s="2154"/>
      <c r="R890" s="2157"/>
      <c r="S890" s="2157"/>
      <c r="T890" s="2094"/>
      <c r="U890" s="2094"/>
      <c r="V890" s="2094"/>
      <c r="W890" s="2157"/>
      <c r="X890" s="2157"/>
      <c r="Y890" s="2154"/>
      <c r="Z890" s="2154"/>
      <c r="AA890" s="2154"/>
      <c r="AB890" s="2154"/>
      <c r="AC890" s="2154"/>
    </row>
    <row r="891" spans="1:43" ht="30">
      <c r="A891" s="2140">
        <v>44817</v>
      </c>
      <c r="B891" s="2143" t="s">
        <v>13064</v>
      </c>
      <c r="C891" s="2141" t="s">
        <v>58</v>
      </c>
      <c r="D891" s="2141" t="s">
        <v>4969</v>
      </c>
      <c r="E891" s="2142" t="s">
        <v>13056</v>
      </c>
      <c r="F891" s="2141"/>
      <c r="G891" s="2143"/>
      <c r="H891" s="2141"/>
      <c r="I891" s="2141" t="s">
        <v>80</v>
      </c>
      <c r="J891" s="2141" t="s">
        <v>13057</v>
      </c>
      <c r="K891" s="2144">
        <v>642701</v>
      </c>
      <c r="L891" s="2141" t="s">
        <v>112</v>
      </c>
      <c r="M891" s="2140">
        <v>44819</v>
      </c>
      <c r="N891" s="2140">
        <v>44831</v>
      </c>
      <c r="O891" s="2140">
        <v>44848</v>
      </c>
      <c r="P891" s="2143" t="s">
        <v>2135</v>
      </c>
      <c r="Q891" s="2141"/>
      <c r="R891" s="2144">
        <v>526197.75</v>
      </c>
      <c r="S891" s="2144">
        <v>636699.28</v>
      </c>
      <c r="T891" s="2145"/>
      <c r="U891" s="2145"/>
      <c r="V891" s="2145"/>
      <c r="W891" s="2146">
        <v>44848</v>
      </c>
      <c r="X891" s="2260" t="s">
        <v>13310</v>
      </c>
      <c r="Y891" s="2140">
        <v>44869</v>
      </c>
      <c r="Z891" s="2140">
        <v>44872</v>
      </c>
      <c r="AA891" s="2140">
        <f>Y891+70</f>
        <v>44939</v>
      </c>
      <c r="AB891" s="2109"/>
      <c r="AC891" s="2109" t="s">
        <v>1875</v>
      </c>
    </row>
    <row r="892" spans="1:43">
      <c r="A892" s="2140">
        <v>44817</v>
      </c>
      <c r="B892" s="2143" t="s">
        <v>13065</v>
      </c>
      <c r="C892" s="2141" t="s">
        <v>1032</v>
      </c>
      <c r="D892" s="2141" t="s">
        <v>361</v>
      </c>
      <c r="E892" s="2142" t="s">
        <v>13066</v>
      </c>
      <c r="F892" s="2141"/>
      <c r="G892" s="2143"/>
      <c r="H892" s="2141"/>
      <c r="I892" s="2141" t="s">
        <v>13067</v>
      </c>
      <c r="J892" s="2141"/>
      <c r="K892" s="2144">
        <v>550000</v>
      </c>
      <c r="L892" s="2141" t="s">
        <v>112</v>
      </c>
      <c r="M892" s="2140">
        <v>44819</v>
      </c>
      <c r="N892" s="2140">
        <v>44831</v>
      </c>
      <c r="O892" s="2140">
        <v>44844</v>
      </c>
      <c r="P892" s="2143" t="s">
        <v>13207</v>
      </c>
      <c r="Q892" s="2141"/>
      <c r="R892" s="2144">
        <v>375446</v>
      </c>
      <c r="S892" s="2144">
        <v>454289.67</v>
      </c>
      <c r="T892" s="2145"/>
      <c r="U892" s="2145"/>
      <c r="V892" s="2145"/>
      <c r="W892" s="2146">
        <v>44844</v>
      </c>
      <c r="X892" s="2144" t="s">
        <v>13237</v>
      </c>
      <c r="Y892" s="2140">
        <v>44872</v>
      </c>
      <c r="Z892" s="2140">
        <v>44873</v>
      </c>
      <c r="AA892" s="2141"/>
      <c r="AB892" s="2109"/>
      <c r="AC892" s="2106"/>
    </row>
    <row r="893" spans="1:43" s="390" customFormat="1" ht="30">
      <c r="A893" s="2140">
        <v>44817</v>
      </c>
      <c r="B893" s="2143" t="s">
        <v>13078</v>
      </c>
      <c r="C893" s="2141" t="s">
        <v>58</v>
      </c>
      <c r="D893" s="2141" t="s">
        <v>4969</v>
      </c>
      <c r="E893" s="2142" t="s">
        <v>13079</v>
      </c>
      <c r="F893" s="2141"/>
      <c r="G893" s="2143"/>
      <c r="H893" s="2141"/>
      <c r="I893" s="2141" t="s">
        <v>269</v>
      </c>
      <c r="J893" s="2141" t="s">
        <v>13080</v>
      </c>
      <c r="K893" s="2144">
        <v>238000</v>
      </c>
      <c r="L893" s="2141" t="s">
        <v>251</v>
      </c>
      <c r="M893" s="2140">
        <v>44826</v>
      </c>
      <c r="N893" s="2140">
        <v>44865</v>
      </c>
      <c r="O893" s="2140">
        <v>44894</v>
      </c>
      <c r="P893" s="2143" t="s">
        <v>13131</v>
      </c>
      <c r="Q893" s="2141"/>
      <c r="R893" s="2144">
        <v>302820</v>
      </c>
      <c r="S893" s="2144">
        <v>366412.2</v>
      </c>
      <c r="T893" s="2145"/>
      <c r="U893" s="2145"/>
      <c r="V893" s="2145"/>
      <c r="W893" s="2146">
        <v>44894</v>
      </c>
      <c r="X893" s="2260" t="s">
        <v>13653</v>
      </c>
      <c r="Y893" s="2140">
        <v>44922</v>
      </c>
      <c r="Z893" s="2140">
        <v>44932</v>
      </c>
      <c r="AA893" s="2140">
        <v>44950</v>
      </c>
      <c r="AB893" s="2109"/>
      <c r="AC893" s="2109" t="s">
        <v>1875</v>
      </c>
      <c r="AD893" s="360"/>
      <c r="AE893" s="360"/>
      <c r="AF893" s="360"/>
      <c r="AG893" s="360"/>
      <c r="AH893" s="360"/>
      <c r="AI893" s="360"/>
      <c r="AJ893" s="360"/>
      <c r="AK893" s="360"/>
      <c r="AL893" s="360"/>
      <c r="AM893" s="360"/>
      <c r="AN893" s="360"/>
      <c r="AO893" s="360"/>
      <c r="AP893" s="360"/>
      <c r="AQ893" s="360"/>
    </row>
    <row r="894" spans="1:43">
      <c r="A894" s="2140">
        <v>44818</v>
      </c>
      <c r="B894" s="2143" t="s">
        <v>13074</v>
      </c>
      <c r="C894" s="2141" t="s">
        <v>58</v>
      </c>
      <c r="D894" s="2141" t="s">
        <v>4969</v>
      </c>
      <c r="E894" s="2142" t="s">
        <v>13075</v>
      </c>
      <c r="F894" s="2141"/>
      <c r="G894" s="2143"/>
      <c r="H894" s="2141"/>
      <c r="I894" s="2141" t="s">
        <v>3143</v>
      </c>
      <c r="J894" s="2141" t="s">
        <v>13076</v>
      </c>
      <c r="K894" s="2144">
        <v>140000</v>
      </c>
      <c r="L894" s="2141" t="s">
        <v>112</v>
      </c>
      <c r="M894" s="2140">
        <v>44831</v>
      </c>
      <c r="N894" s="2140">
        <v>44841</v>
      </c>
      <c r="O894" s="2140">
        <v>44848</v>
      </c>
      <c r="P894" s="2143" t="s">
        <v>2780</v>
      </c>
      <c r="Q894" s="2141"/>
      <c r="R894" s="2144">
        <v>121800</v>
      </c>
      <c r="S894" s="2144">
        <v>147378</v>
      </c>
      <c r="T894" s="2145"/>
      <c r="U894" s="2145"/>
      <c r="V894" s="2145"/>
      <c r="W894" s="2146">
        <v>44848</v>
      </c>
      <c r="X894" s="2144" t="s">
        <v>13311</v>
      </c>
      <c r="Y894" s="2140">
        <v>44876</v>
      </c>
      <c r="Z894" s="2140">
        <v>44881</v>
      </c>
      <c r="AA894" s="2140">
        <v>44974</v>
      </c>
      <c r="AB894" s="2109"/>
      <c r="AC894" s="2106"/>
    </row>
    <row r="895" spans="1:43">
      <c r="A895" s="2140">
        <v>44820</v>
      </c>
      <c r="B895" s="2143" t="s">
        <v>13081</v>
      </c>
      <c r="C895" s="2141" t="s">
        <v>2434</v>
      </c>
      <c r="D895" s="2141" t="s">
        <v>219</v>
      </c>
      <c r="E895" s="2142" t="s">
        <v>13082</v>
      </c>
      <c r="F895" s="2141"/>
      <c r="G895" s="2143"/>
      <c r="H895" s="2141"/>
      <c r="I895" s="2141" t="s">
        <v>642</v>
      </c>
      <c r="J895" s="2141"/>
      <c r="K895" s="2144">
        <v>1354240</v>
      </c>
      <c r="L895" s="2141" t="s">
        <v>112</v>
      </c>
      <c r="M895" s="2140">
        <v>44830</v>
      </c>
      <c r="N895" s="2140">
        <v>44838</v>
      </c>
      <c r="O895" s="2140">
        <v>44839</v>
      </c>
      <c r="P895" s="2143" t="s">
        <v>13191</v>
      </c>
      <c r="Q895" s="2141"/>
      <c r="R895" s="2144">
        <v>1620595</v>
      </c>
      <c r="S895" s="2144">
        <v>1960919.95</v>
      </c>
      <c r="T895" s="2145"/>
      <c r="U895" s="2145"/>
      <c r="V895" s="2145"/>
      <c r="W895" s="2146">
        <v>44839</v>
      </c>
      <c r="X895" s="2144" t="s">
        <v>13201</v>
      </c>
      <c r="Y895" s="2140">
        <v>44852</v>
      </c>
      <c r="Z895" s="2140">
        <v>44855</v>
      </c>
      <c r="AA895" s="2140">
        <v>45947</v>
      </c>
      <c r="AB895" s="2109" t="s">
        <v>13326</v>
      </c>
      <c r="AC895" s="2109">
        <v>2023</v>
      </c>
      <c r="AD895" s="388">
        <v>2024</v>
      </c>
      <c r="AE895" s="388" t="s">
        <v>13327</v>
      </c>
    </row>
    <row r="896" spans="1:43">
      <c r="A896" s="643">
        <v>44818</v>
      </c>
      <c r="B896" s="1533" t="s">
        <v>13088</v>
      </c>
      <c r="C896" s="639" t="s">
        <v>2434</v>
      </c>
      <c r="D896" s="639" t="s">
        <v>9080</v>
      </c>
      <c r="E896" s="640" t="s">
        <v>13089</v>
      </c>
      <c r="F896" s="639"/>
      <c r="G896" s="1533"/>
      <c r="H896" s="639"/>
      <c r="I896" s="639" t="s">
        <v>5797</v>
      </c>
      <c r="J896" s="639"/>
      <c r="K896" s="645">
        <v>2751513</v>
      </c>
      <c r="L896" s="639" t="s">
        <v>251</v>
      </c>
      <c r="M896" s="643">
        <v>44834</v>
      </c>
      <c r="N896" s="643">
        <v>44866</v>
      </c>
      <c r="O896" s="639"/>
      <c r="P896" s="644" t="s">
        <v>9147</v>
      </c>
      <c r="Q896" s="639"/>
      <c r="R896" s="645"/>
      <c r="S896" s="645"/>
      <c r="T896" s="1534"/>
      <c r="U896" s="1534"/>
      <c r="V896" s="1534"/>
      <c r="W896" s="645"/>
      <c r="X896" s="645"/>
      <c r="Y896" s="639"/>
      <c r="Z896" s="643">
        <v>44883</v>
      </c>
      <c r="AA896" s="639" t="s">
        <v>13427</v>
      </c>
      <c r="AB896" s="639"/>
      <c r="AC896" s="639"/>
    </row>
    <row r="897" spans="1:29" ht="15.75" thickBot="1">
      <c r="A897" s="464">
        <v>44823</v>
      </c>
      <c r="B897" s="1425" t="s">
        <v>13109</v>
      </c>
      <c r="C897" s="406" t="s">
        <v>52</v>
      </c>
      <c r="D897" s="406" t="s">
        <v>2588</v>
      </c>
      <c r="E897" s="462" t="s">
        <v>13110</v>
      </c>
      <c r="F897" s="406"/>
      <c r="G897" s="1425"/>
      <c r="H897" s="1437"/>
      <c r="I897" s="406" t="s">
        <v>484</v>
      </c>
      <c r="J897" s="406"/>
      <c r="K897" s="465">
        <v>20000000</v>
      </c>
      <c r="L897" s="406" t="s">
        <v>251</v>
      </c>
      <c r="M897" s="464">
        <v>44840</v>
      </c>
      <c r="N897" s="464">
        <v>44911</v>
      </c>
      <c r="O897" s="464">
        <v>44922</v>
      </c>
      <c r="P897" s="1425" t="s">
        <v>13804</v>
      </c>
      <c r="Q897" s="406"/>
      <c r="R897" s="465">
        <v>12458000</v>
      </c>
      <c r="S897" s="465">
        <v>15074180</v>
      </c>
      <c r="T897" s="1490"/>
      <c r="U897" s="1490"/>
      <c r="V897" s="1490"/>
      <c r="W897" s="1809">
        <v>44922</v>
      </c>
      <c r="X897" s="465" t="s">
        <v>13823</v>
      </c>
      <c r="Y897" s="406"/>
      <c r="Z897" s="406"/>
      <c r="AA897" s="406"/>
      <c r="AB897" s="406"/>
      <c r="AC897" s="406"/>
    </row>
    <row r="898" spans="1:29" ht="15.75" thickTop="1">
      <c r="A898" s="428">
        <v>44823</v>
      </c>
      <c r="B898" s="1371" t="s">
        <v>13992</v>
      </c>
      <c r="C898" s="425" t="s">
        <v>69</v>
      </c>
      <c r="D898" s="425" t="s">
        <v>70</v>
      </c>
      <c r="E898" s="426" t="s">
        <v>13095</v>
      </c>
      <c r="F898" s="425">
        <v>1</v>
      </c>
      <c r="G898" s="2037" t="s">
        <v>13097</v>
      </c>
      <c r="H898" s="583"/>
      <c r="I898" s="425" t="s">
        <v>3265</v>
      </c>
      <c r="J898" s="425"/>
      <c r="K898" s="429">
        <v>2930679</v>
      </c>
      <c r="L898" s="425" t="s">
        <v>251</v>
      </c>
      <c r="M898" s="428">
        <v>44847</v>
      </c>
      <c r="N898" s="428">
        <v>44880</v>
      </c>
      <c r="O898" s="428">
        <v>44916</v>
      </c>
      <c r="P898" s="1371" t="s">
        <v>576</v>
      </c>
      <c r="Q898" s="425"/>
      <c r="R898" s="429">
        <v>2887622.4</v>
      </c>
      <c r="S898" s="429">
        <v>3176384.64</v>
      </c>
      <c r="T898" s="1483"/>
      <c r="U898" s="1483"/>
      <c r="V898" s="1483"/>
      <c r="W898" s="1384">
        <v>44916</v>
      </c>
      <c r="X898" s="429" t="s">
        <v>13799</v>
      </c>
      <c r="Y898" s="425"/>
      <c r="Z898" s="425"/>
      <c r="AA898" s="425"/>
      <c r="AB898" s="425"/>
      <c r="AC898" s="425"/>
    </row>
    <row r="899" spans="1:29">
      <c r="A899" s="2153">
        <v>44823</v>
      </c>
      <c r="B899" s="2156" t="s">
        <v>13993</v>
      </c>
      <c r="C899" s="2154" t="s">
        <v>69</v>
      </c>
      <c r="D899" s="2154" t="s">
        <v>70</v>
      </c>
      <c r="E899" s="2155" t="s">
        <v>13095</v>
      </c>
      <c r="F899" s="2154">
        <v>2</v>
      </c>
      <c r="G899" s="2675" t="s">
        <v>13098</v>
      </c>
      <c r="H899" s="2085"/>
      <c r="I899" s="2154" t="s">
        <v>3265</v>
      </c>
      <c r="J899" s="2154"/>
      <c r="K899" s="2157">
        <v>1823158</v>
      </c>
      <c r="L899" s="2154" t="s">
        <v>251</v>
      </c>
      <c r="M899" s="2153">
        <v>44847</v>
      </c>
      <c r="N899" s="2153">
        <v>44880</v>
      </c>
      <c r="O899" s="2153">
        <v>44916</v>
      </c>
      <c r="P899" s="2156" t="s">
        <v>576</v>
      </c>
      <c r="Q899" s="2154"/>
      <c r="R899" s="2157">
        <v>1765370.64</v>
      </c>
      <c r="S899" s="2157">
        <v>1941907.7</v>
      </c>
      <c r="T899" s="2094"/>
      <c r="U899" s="2094"/>
      <c r="V899" s="2094"/>
      <c r="W899" s="2160">
        <v>44916</v>
      </c>
      <c r="X899" s="2157" t="s">
        <v>13800</v>
      </c>
      <c r="Y899" s="2154"/>
      <c r="Z899" s="2154"/>
      <c r="AA899" s="2154"/>
      <c r="AB899" s="2154"/>
      <c r="AC899" s="2154"/>
    </row>
    <row r="900" spans="1:29">
      <c r="A900" s="2153">
        <v>44823</v>
      </c>
      <c r="B900" s="2156" t="s">
        <v>13994</v>
      </c>
      <c r="C900" s="2154" t="s">
        <v>69</v>
      </c>
      <c r="D900" s="2154" t="s">
        <v>70</v>
      </c>
      <c r="E900" s="2155" t="s">
        <v>13095</v>
      </c>
      <c r="F900" s="2154">
        <v>3</v>
      </c>
      <c r="G900" s="2675" t="s">
        <v>13099</v>
      </c>
      <c r="H900" s="2085"/>
      <c r="I900" s="2154" t="s">
        <v>3265</v>
      </c>
      <c r="J900" s="2154"/>
      <c r="K900" s="2157">
        <v>2357197</v>
      </c>
      <c r="L900" s="2154" t="s">
        <v>251</v>
      </c>
      <c r="M900" s="2153">
        <v>44847</v>
      </c>
      <c r="N900" s="2153">
        <v>44880</v>
      </c>
      <c r="O900" s="2153">
        <v>44916</v>
      </c>
      <c r="P900" s="2156" t="s">
        <v>13761</v>
      </c>
      <c r="Q900" s="2154"/>
      <c r="R900" s="2157">
        <v>1698102.24</v>
      </c>
      <c r="S900" s="2157">
        <v>1867912.46</v>
      </c>
      <c r="T900" s="2094"/>
      <c r="U900" s="2094"/>
      <c r="V900" s="2094"/>
      <c r="W900" s="2160">
        <v>44916</v>
      </c>
      <c r="X900" s="2157" t="s">
        <v>13801</v>
      </c>
      <c r="Y900" s="2154"/>
      <c r="Z900" s="2154"/>
      <c r="AA900" s="2154"/>
      <c r="AB900" s="2154"/>
      <c r="AC900" s="2154"/>
    </row>
    <row r="901" spans="1:29">
      <c r="A901" s="2153">
        <v>44823</v>
      </c>
      <c r="B901" s="2156" t="s">
        <v>13995</v>
      </c>
      <c r="C901" s="2154" t="s">
        <v>69</v>
      </c>
      <c r="D901" s="2154" t="s">
        <v>70</v>
      </c>
      <c r="E901" s="2155" t="s">
        <v>13095</v>
      </c>
      <c r="F901" s="2154">
        <v>4</v>
      </c>
      <c r="G901" s="2156" t="s">
        <v>13096</v>
      </c>
      <c r="H901" s="2085"/>
      <c r="I901" s="2154" t="s">
        <v>3265</v>
      </c>
      <c r="J901" s="2154"/>
      <c r="K901" s="2157">
        <v>494433</v>
      </c>
      <c r="L901" s="2154" t="s">
        <v>251</v>
      </c>
      <c r="M901" s="2153">
        <v>44847</v>
      </c>
      <c r="N901" s="2153">
        <v>44880</v>
      </c>
      <c r="O901" s="2153">
        <v>44916</v>
      </c>
      <c r="P901" s="2156" t="s">
        <v>13761</v>
      </c>
      <c r="Q901" s="2154"/>
      <c r="R901" s="2157">
        <v>491961.28</v>
      </c>
      <c r="S901" s="2157">
        <v>541157.41</v>
      </c>
      <c r="T901" s="2094"/>
      <c r="U901" s="2094"/>
      <c r="V901" s="2094"/>
      <c r="W901" s="2160">
        <v>44916</v>
      </c>
      <c r="X901" s="2157" t="s">
        <v>13802</v>
      </c>
      <c r="Y901" s="2154"/>
      <c r="Z901" s="2154"/>
      <c r="AA901" s="2154"/>
      <c r="AB901" s="2154"/>
      <c r="AC901" s="2154"/>
    </row>
    <row r="902" spans="1:29">
      <c r="A902" s="2124">
        <v>44823</v>
      </c>
      <c r="B902" s="2127" t="s">
        <v>13990</v>
      </c>
      <c r="C902" s="2125" t="s">
        <v>69</v>
      </c>
      <c r="D902" s="2125" t="s">
        <v>70</v>
      </c>
      <c r="E902" s="2126" t="s">
        <v>13095</v>
      </c>
      <c r="F902" s="2125">
        <v>5</v>
      </c>
      <c r="G902" s="2697" t="s">
        <v>13100</v>
      </c>
      <c r="H902" s="2125"/>
      <c r="I902" s="2125" t="s">
        <v>3265</v>
      </c>
      <c r="J902" s="2125"/>
      <c r="K902" s="2128">
        <v>1462800</v>
      </c>
      <c r="L902" s="2125" t="s">
        <v>251</v>
      </c>
      <c r="M902" s="2124">
        <v>44847</v>
      </c>
      <c r="N902" s="2124">
        <v>44880</v>
      </c>
      <c r="O902" s="2125"/>
      <c r="P902" s="2136" t="s">
        <v>304</v>
      </c>
      <c r="Q902" s="2125"/>
      <c r="R902" s="2128"/>
      <c r="S902" s="2128"/>
      <c r="T902" s="2129"/>
      <c r="U902" s="2129"/>
      <c r="V902" s="2129"/>
      <c r="W902" s="2128"/>
      <c r="X902" s="2128"/>
      <c r="Y902" s="2125"/>
      <c r="Z902" s="2124">
        <v>44936</v>
      </c>
      <c r="AA902" s="2125" t="s">
        <v>13764</v>
      </c>
      <c r="AB902" s="2125"/>
      <c r="AC902" s="2125"/>
    </row>
    <row r="903" spans="1:29">
      <c r="A903" s="2153">
        <v>44823</v>
      </c>
      <c r="B903" s="2156" t="s">
        <v>13996</v>
      </c>
      <c r="C903" s="2154" t="s">
        <v>69</v>
      </c>
      <c r="D903" s="2154" t="s">
        <v>70</v>
      </c>
      <c r="E903" s="2155" t="s">
        <v>13095</v>
      </c>
      <c r="F903" s="2154">
        <v>6</v>
      </c>
      <c r="G903" s="2675" t="s">
        <v>13101</v>
      </c>
      <c r="H903" s="2085"/>
      <c r="I903" s="2154" t="s">
        <v>3265</v>
      </c>
      <c r="J903" s="2154"/>
      <c r="K903" s="2157">
        <v>141314</v>
      </c>
      <c r="L903" s="2154" t="s">
        <v>251</v>
      </c>
      <c r="M903" s="2153">
        <v>44847</v>
      </c>
      <c r="N903" s="2153">
        <v>44880</v>
      </c>
      <c r="O903" s="2153">
        <v>44916</v>
      </c>
      <c r="P903" s="2156" t="s">
        <v>13761</v>
      </c>
      <c r="Q903" s="2154"/>
      <c r="R903" s="2157">
        <v>122897.36</v>
      </c>
      <c r="S903" s="2157">
        <v>135187.1</v>
      </c>
      <c r="T903" s="2094"/>
      <c r="U903" s="2094"/>
      <c r="V903" s="2094"/>
      <c r="W903" s="2160">
        <v>44916</v>
      </c>
      <c r="X903" s="2157" t="s">
        <v>13803</v>
      </c>
      <c r="Y903" s="2154"/>
      <c r="Z903" s="2154"/>
      <c r="AA903" s="2154"/>
      <c r="AB903" s="2154"/>
      <c r="AC903" s="2154"/>
    </row>
    <row r="904" spans="1:29" ht="15.75" thickBot="1">
      <c r="A904" s="2130">
        <v>44823</v>
      </c>
      <c r="B904" s="2133" t="s">
        <v>13991</v>
      </c>
      <c r="C904" s="2131" t="s">
        <v>69</v>
      </c>
      <c r="D904" s="2131" t="s">
        <v>70</v>
      </c>
      <c r="E904" s="2132" t="s">
        <v>13095</v>
      </c>
      <c r="F904" s="2131">
        <v>7</v>
      </c>
      <c r="G904" s="2812" t="s">
        <v>13102</v>
      </c>
      <c r="H904" s="2131"/>
      <c r="I904" s="2131" t="s">
        <v>3265</v>
      </c>
      <c r="J904" s="2131"/>
      <c r="K904" s="2134">
        <v>3848541</v>
      </c>
      <c r="L904" s="2131" t="s">
        <v>251</v>
      </c>
      <c r="M904" s="2130">
        <v>44847</v>
      </c>
      <c r="N904" s="2130">
        <v>44880</v>
      </c>
      <c r="O904" s="2131"/>
      <c r="P904" s="2137" t="s">
        <v>304</v>
      </c>
      <c r="Q904" s="2131"/>
      <c r="R904" s="2134"/>
      <c r="S904" s="2134"/>
      <c r="T904" s="2135"/>
      <c r="U904" s="2135"/>
      <c r="V904" s="2135"/>
      <c r="W904" s="2134"/>
      <c r="X904" s="2134"/>
      <c r="Y904" s="2131"/>
      <c r="Z904" s="2130">
        <v>44936</v>
      </c>
      <c r="AA904" s="2131" t="s">
        <v>13764</v>
      </c>
      <c r="AB904" s="2131"/>
      <c r="AC904" s="2131"/>
    </row>
    <row r="905" spans="1:29" ht="15.75" thickTop="1">
      <c r="A905" s="580">
        <v>44823</v>
      </c>
      <c r="B905" s="1828" t="s">
        <v>13103</v>
      </c>
      <c r="C905" s="576" t="s">
        <v>69</v>
      </c>
      <c r="D905" s="576" t="s">
        <v>70</v>
      </c>
      <c r="E905" s="577" t="s">
        <v>13104</v>
      </c>
      <c r="F905" s="576"/>
      <c r="G905" s="1828"/>
      <c r="H905" s="576"/>
      <c r="I905" s="576" t="s">
        <v>5244</v>
      </c>
      <c r="J905" s="576"/>
      <c r="K905" s="581">
        <v>9072548</v>
      </c>
      <c r="L905" s="576" t="s">
        <v>251</v>
      </c>
      <c r="M905" s="580">
        <v>44854</v>
      </c>
      <c r="N905" s="580">
        <v>44938</v>
      </c>
      <c r="O905" s="576"/>
      <c r="P905" s="1828"/>
      <c r="Q905" s="576"/>
      <c r="R905" s="581"/>
      <c r="S905" s="581"/>
      <c r="T905" s="1489"/>
      <c r="U905" s="1489"/>
      <c r="V905" s="1489"/>
      <c r="W905" s="581"/>
      <c r="X905" s="581"/>
      <c r="Y905" s="576"/>
      <c r="Z905" s="576"/>
      <c r="AA905" s="576"/>
      <c r="AB905" s="576"/>
      <c r="AC905" s="576"/>
    </row>
    <row r="906" spans="1:29">
      <c r="A906" s="2140">
        <v>44823</v>
      </c>
      <c r="B906" s="2143" t="s">
        <v>13113</v>
      </c>
      <c r="C906" s="2141" t="s">
        <v>58</v>
      </c>
      <c r="D906" s="2141" t="s">
        <v>4969</v>
      </c>
      <c r="E906" s="2142" t="s">
        <v>13114</v>
      </c>
      <c r="F906" s="2141"/>
      <c r="G906" s="2143"/>
      <c r="H906" s="2141"/>
      <c r="I906" s="2141" t="s">
        <v>86</v>
      </c>
      <c r="J906" s="2141"/>
      <c r="K906" s="2144">
        <v>912648</v>
      </c>
      <c r="L906" s="2141" t="s">
        <v>112</v>
      </c>
      <c r="M906" s="2140">
        <v>44830</v>
      </c>
      <c r="N906" s="2140">
        <v>44837</v>
      </c>
      <c r="O906" s="2140">
        <v>44840</v>
      </c>
      <c r="P906" s="2143" t="s">
        <v>13227</v>
      </c>
      <c r="Q906" s="2141"/>
      <c r="R906" s="2144">
        <v>276697.5</v>
      </c>
      <c r="S906" s="2144">
        <v>334803.98</v>
      </c>
      <c r="T906" s="2145"/>
      <c r="U906" s="2145"/>
      <c r="V906" s="2145"/>
      <c r="W906" s="2146">
        <v>44840</v>
      </c>
      <c r="X906" s="2144" t="s">
        <v>13226</v>
      </c>
      <c r="Y906" s="2140">
        <v>44866</v>
      </c>
      <c r="Z906" s="2140">
        <v>44867</v>
      </c>
      <c r="AA906" s="2140">
        <v>44873</v>
      </c>
      <c r="AB906" s="2109"/>
      <c r="AC906" s="2106"/>
    </row>
    <row r="907" spans="1:29">
      <c r="A907" s="2084">
        <v>44830</v>
      </c>
      <c r="B907" s="2087" t="s">
        <v>13143</v>
      </c>
      <c r="C907" s="2085" t="s">
        <v>2434</v>
      </c>
      <c r="D907" s="2085" t="s">
        <v>219</v>
      </c>
      <c r="E907" s="2086" t="s">
        <v>13144</v>
      </c>
      <c r="F907" s="2085"/>
      <c r="G907" s="2087"/>
      <c r="H907" s="2085"/>
      <c r="I907" s="2085" t="s">
        <v>3271</v>
      </c>
      <c r="J907" s="2085"/>
      <c r="K907" s="2092">
        <v>600000</v>
      </c>
      <c r="L907" s="2085" t="s">
        <v>251</v>
      </c>
      <c r="M907" s="2084">
        <v>44838</v>
      </c>
      <c r="N907" s="2084">
        <v>44931</v>
      </c>
      <c r="O907" s="2085"/>
      <c r="P907" s="2087"/>
      <c r="Q907" s="2085"/>
      <c r="R907" s="2092"/>
      <c r="S907" s="2092"/>
      <c r="T907" s="2094"/>
      <c r="U907" s="2094"/>
      <c r="V907" s="2094"/>
      <c r="W907" s="2092"/>
      <c r="X907" s="2092"/>
      <c r="Y907" s="2085"/>
      <c r="Z907" s="2085"/>
      <c r="AA907" s="2085"/>
      <c r="AB907" s="2085"/>
      <c r="AC907" s="2085"/>
    </row>
    <row r="908" spans="1:29" ht="30.75" thickBot="1">
      <c r="A908" s="416" t="s">
        <v>3585</v>
      </c>
      <c r="B908" s="630" t="s">
        <v>13145</v>
      </c>
      <c r="C908" s="411" t="s">
        <v>2434</v>
      </c>
      <c r="D908" s="411" t="s">
        <v>219</v>
      </c>
      <c r="E908" s="412" t="s">
        <v>13146</v>
      </c>
      <c r="F908" s="411"/>
      <c r="G908" s="630"/>
      <c r="H908" s="411"/>
      <c r="I908" s="411" t="s">
        <v>396</v>
      </c>
      <c r="J908" s="411"/>
      <c r="K908" s="417">
        <v>600000</v>
      </c>
      <c r="L908" s="411" t="s">
        <v>112</v>
      </c>
      <c r="M908" s="416">
        <v>44833</v>
      </c>
      <c r="N908" s="416">
        <v>44845</v>
      </c>
      <c r="O908" s="416">
        <v>44888</v>
      </c>
      <c r="P908" s="630" t="s">
        <v>9770</v>
      </c>
      <c r="Q908" s="411"/>
      <c r="R908" s="417">
        <v>792000</v>
      </c>
      <c r="S908" s="417">
        <v>958320</v>
      </c>
      <c r="T908" s="1480"/>
      <c r="U908" s="1480"/>
      <c r="V908" s="1480"/>
      <c r="W908" s="513">
        <v>44888</v>
      </c>
      <c r="X908" s="1553" t="s">
        <v>13608</v>
      </c>
      <c r="Y908" s="416">
        <v>44914</v>
      </c>
      <c r="Z908" s="416">
        <v>44929</v>
      </c>
      <c r="AA908" s="416">
        <v>45278</v>
      </c>
      <c r="AB908" s="422"/>
      <c r="AC908" s="967"/>
    </row>
    <row r="909" spans="1:29" ht="30.75" thickTop="1">
      <c r="A909" s="474">
        <v>44830</v>
      </c>
      <c r="B909" s="1420" t="s">
        <v>13153</v>
      </c>
      <c r="C909" s="453" t="s">
        <v>58</v>
      </c>
      <c r="D909" s="453" t="s">
        <v>4969</v>
      </c>
      <c r="E909" s="473" t="s">
        <v>13152</v>
      </c>
      <c r="F909" s="453">
        <v>1</v>
      </c>
      <c r="G909" s="1420" t="s">
        <v>13155</v>
      </c>
      <c r="H909" s="453"/>
      <c r="I909" s="453" t="s">
        <v>13157</v>
      </c>
      <c r="J909" s="453" t="s">
        <v>13159</v>
      </c>
      <c r="K909" s="457">
        <v>845255</v>
      </c>
      <c r="L909" s="453" t="s">
        <v>112</v>
      </c>
      <c r="M909" s="474">
        <v>44839</v>
      </c>
      <c r="N909" s="474">
        <v>44847</v>
      </c>
      <c r="O909" s="474">
        <v>44869</v>
      </c>
      <c r="P909" s="1420" t="s">
        <v>9459</v>
      </c>
      <c r="Q909" s="453"/>
      <c r="R909" s="457">
        <v>503584</v>
      </c>
      <c r="S909" s="457">
        <v>609336.64</v>
      </c>
      <c r="T909" s="1474"/>
      <c r="U909" s="1474"/>
      <c r="V909" s="1474"/>
      <c r="W909" s="570">
        <v>44869</v>
      </c>
      <c r="X909" s="1387" t="s">
        <v>13493</v>
      </c>
      <c r="Y909" s="474">
        <v>44917</v>
      </c>
      <c r="Z909" s="474">
        <v>44928</v>
      </c>
      <c r="AA909" s="474">
        <v>44987</v>
      </c>
      <c r="AB909" s="1391"/>
      <c r="AC909" s="1391" t="s">
        <v>1875</v>
      </c>
    </row>
    <row r="910" spans="1:29" ht="30.75" thickBot="1">
      <c r="A910" s="2117">
        <v>44830</v>
      </c>
      <c r="B910" s="2120" t="s">
        <v>13154</v>
      </c>
      <c r="C910" s="2118" t="s">
        <v>58</v>
      </c>
      <c r="D910" s="2118" t="s">
        <v>4969</v>
      </c>
      <c r="E910" s="2119" t="s">
        <v>13152</v>
      </c>
      <c r="F910" s="2118">
        <v>2</v>
      </c>
      <c r="G910" s="2120" t="s">
        <v>13156</v>
      </c>
      <c r="H910" s="2118"/>
      <c r="I910" s="2118" t="s">
        <v>13157</v>
      </c>
      <c r="J910" s="2118" t="s">
        <v>13158</v>
      </c>
      <c r="K910" s="2121">
        <v>310000</v>
      </c>
      <c r="L910" s="2118" t="s">
        <v>112</v>
      </c>
      <c r="M910" s="2117">
        <v>44839</v>
      </c>
      <c r="N910" s="2117">
        <v>44847</v>
      </c>
      <c r="O910" s="2117">
        <v>44869</v>
      </c>
      <c r="P910" s="2120" t="s">
        <v>9459</v>
      </c>
      <c r="Q910" s="2118"/>
      <c r="R910" s="2121">
        <v>225129</v>
      </c>
      <c r="S910" s="2121">
        <v>272406.09000000003</v>
      </c>
      <c r="T910" s="2122"/>
      <c r="U910" s="2122"/>
      <c r="V910" s="2122"/>
      <c r="W910" s="2123">
        <v>44869</v>
      </c>
      <c r="X910" s="2246" t="s">
        <v>13494</v>
      </c>
      <c r="Y910" s="2117">
        <v>44917</v>
      </c>
      <c r="Z910" s="2117">
        <v>44929</v>
      </c>
      <c r="AA910" s="2117">
        <v>44622</v>
      </c>
      <c r="AB910" s="2110"/>
      <c r="AC910" s="2110" t="s">
        <v>1875</v>
      </c>
    </row>
    <row r="911" spans="1:29" ht="15.75" thickTop="1">
      <c r="A911" s="840">
        <v>44831</v>
      </c>
      <c r="B911" s="1422" t="s">
        <v>13160</v>
      </c>
      <c r="C911" s="423" t="s">
        <v>2434</v>
      </c>
      <c r="D911" s="423" t="s">
        <v>219</v>
      </c>
      <c r="E911" s="837" t="s">
        <v>13161</v>
      </c>
      <c r="F911" s="423"/>
      <c r="G911" s="1422"/>
      <c r="H911" s="423"/>
      <c r="I911" s="423" t="s">
        <v>3271</v>
      </c>
      <c r="J911" s="423"/>
      <c r="K911" s="841">
        <v>558500</v>
      </c>
      <c r="L911" s="423" t="s">
        <v>251</v>
      </c>
      <c r="M911" s="840">
        <v>44838</v>
      </c>
      <c r="N911" s="840">
        <v>44872</v>
      </c>
      <c r="O911" s="423"/>
      <c r="P911" s="1422"/>
      <c r="Q911" s="423"/>
      <c r="R911" s="841"/>
      <c r="S911" s="841"/>
      <c r="T911" s="1476"/>
      <c r="U911" s="1476"/>
      <c r="V911" s="1476"/>
      <c r="W911" s="841"/>
      <c r="X911" s="841"/>
      <c r="Y911" s="423"/>
      <c r="Z911" s="423"/>
      <c r="AA911" s="423"/>
      <c r="AB911" s="423"/>
      <c r="AC911" s="423"/>
    </row>
    <row r="912" spans="1:29" ht="30">
      <c r="A912" s="365">
        <v>44839</v>
      </c>
      <c r="B912" s="2853" t="s">
        <v>13236</v>
      </c>
      <c r="C912" s="2852" t="s">
        <v>1897</v>
      </c>
      <c r="D912" s="2852" t="s">
        <v>55</v>
      </c>
      <c r="E912" s="175" t="s">
        <v>504</v>
      </c>
      <c r="F912" s="2852"/>
      <c r="G912" s="2853"/>
      <c r="H912" s="576"/>
      <c r="I912" s="2852" t="s">
        <v>505</v>
      </c>
      <c r="J912" s="2852"/>
      <c r="K912" s="364">
        <v>305000</v>
      </c>
      <c r="L912" s="2852" t="s">
        <v>251</v>
      </c>
      <c r="M912" s="365">
        <v>44845</v>
      </c>
      <c r="N912" s="365">
        <v>44886</v>
      </c>
      <c r="O912" s="365">
        <v>44901</v>
      </c>
      <c r="P912" s="2853" t="s">
        <v>11530</v>
      </c>
      <c r="Q912" s="2852"/>
      <c r="R912" s="364">
        <v>232336.88</v>
      </c>
      <c r="S912" s="364">
        <v>270117.81</v>
      </c>
      <c r="T912" s="1489"/>
      <c r="U912" s="1489"/>
      <c r="V912" s="1489"/>
      <c r="W912" s="681">
        <v>44901</v>
      </c>
      <c r="X912" s="1417" t="s">
        <v>13714</v>
      </c>
      <c r="Y912" s="365">
        <v>44922</v>
      </c>
      <c r="Z912" s="365">
        <v>44931</v>
      </c>
      <c r="AA912" s="365">
        <v>44978</v>
      </c>
      <c r="AB912" s="451"/>
      <c r="AC912" s="451" t="s">
        <v>1875</v>
      </c>
    </row>
    <row r="913" spans="1:29">
      <c r="A913" s="2140">
        <v>44834</v>
      </c>
      <c r="B913" s="2143" t="s">
        <v>13170</v>
      </c>
      <c r="C913" s="2141" t="s">
        <v>14</v>
      </c>
      <c r="D913" s="2141" t="s">
        <v>13</v>
      </c>
      <c r="E913" s="2142" t="s">
        <v>13171</v>
      </c>
      <c r="F913" s="2141"/>
      <c r="G913" s="2143"/>
      <c r="H913" s="2141"/>
      <c r="I913" s="2141" t="s">
        <v>13172</v>
      </c>
      <c r="J913" s="2141"/>
      <c r="K913" s="2144">
        <v>500000</v>
      </c>
      <c r="L913" s="2141" t="s">
        <v>112</v>
      </c>
      <c r="M913" s="2140">
        <v>44840</v>
      </c>
      <c r="N913" s="2140">
        <v>44852</v>
      </c>
      <c r="O913" s="2140">
        <v>44855</v>
      </c>
      <c r="P913" s="2143" t="s">
        <v>7439</v>
      </c>
      <c r="Q913" s="2141"/>
      <c r="R913" s="2144">
        <v>546000</v>
      </c>
      <c r="S913" s="2144">
        <v>660660</v>
      </c>
      <c r="T913" s="2145"/>
      <c r="U913" s="2145"/>
      <c r="V913" s="2145"/>
      <c r="W913" s="2146">
        <v>44855</v>
      </c>
      <c r="X913" s="2144" t="s">
        <v>13373</v>
      </c>
      <c r="Y913" s="2140">
        <v>44883</v>
      </c>
      <c r="Z913" s="2140">
        <v>44886</v>
      </c>
      <c r="AA913" s="2140">
        <v>45247</v>
      </c>
      <c r="AB913" s="2109"/>
      <c r="AC913" s="2106"/>
    </row>
    <row r="914" spans="1:29">
      <c r="A914" s="2140">
        <v>44834</v>
      </c>
      <c r="B914" s="2143" t="s">
        <v>13173</v>
      </c>
      <c r="C914" s="2141" t="s">
        <v>1032</v>
      </c>
      <c r="D914" s="2141" t="s">
        <v>361</v>
      </c>
      <c r="E914" s="2538" t="s">
        <v>13174</v>
      </c>
      <c r="F914" s="2141"/>
      <c r="G914" s="2143"/>
      <c r="H914" s="2141"/>
      <c r="I914" s="2141" t="s">
        <v>158</v>
      </c>
      <c r="J914" s="2141" t="s">
        <v>13175</v>
      </c>
      <c r="K914" s="2144">
        <v>420000</v>
      </c>
      <c r="L914" s="2141" t="s">
        <v>112</v>
      </c>
      <c r="M914" s="2140">
        <v>44852</v>
      </c>
      <c r="N914" s="2140">
        <v>44861</v>
      </c>
      <c r="O914" s="2140">
        <v>44872</v>
      </c>
      <c r="P914" s="2143" t="s">
        <v>967</v>
      </c>
      <c r="Q914" s="2141"/>
      <c r="R914" s="2144">
        <v>315973</v>
      </c>
      <c r="S914" s="2144">
        <v>382327.4</v>
      </c>
      <c r="T914" s="2145"/>
      <c r="U914" s="2145"/>
      <c r="V914" s="2145"/>
      <c r="W914" s="2146">
        <v>44872</v>
      </c>
      <c r="X914" s="2144" t="s">
        <v>13501</v>
      </c>
      <c r="Y914" s="2140">
        <v>44895</v>
      </c>
      <c r="Z914" s="2140">
        <v>44896</v>
      </c>
      <c r="AA914" s="2140">
        <v>44965</v>
      </c>
      <c r="AB914" s="2109"/>
      <c r="AC914" s="2106"/>
    </row>
    <row r="915" spans="1:29">
      <c r="A915" s="2084">
        <v>44834</v>
      </c>
      <c r="B915" s="2087" t="s">
        <v>13176</v>
      </c>
      <c r="C915" s="2085" t="s">
        <v>69</v>
      </c>
      <c r="D915" s="2085" t="s">
        <v>70</v>
      </c>
      <c r="E915" s="2086" t="s">
        <v>13177</v>
      </c>
      <c r="F915" s="2085"/>
      <c r="G915" s="2087"/>
      <c r="H915" s="2085"/>
      <c r="I915" s="2085" t="s">
        <v>671</v>
      </c>
      <c r="J915" s="2085"/>
      <c r="K915" s="2092">
        <v>4407468</v>
      </c>
      <c r="L915" s="2085" t="s">
        <v>251</v>
      </c>
      <c r="M915" s="2084">
        <v>44910</v>
      </c>
      <c r="N915" s="2084">
        <v>44945</v>
      </c>
      <c r="O915" s="2085"/>
      <c r="P915" s="2087"/>
      <c r="Q915" s="2085"/>
      <c r="R915" s="2092"/>
      <c r="S915" s="2092"/>
      <c r="T915" s="2094"/>
      <c r="U915" s="2094"/>
      <c r="V915" s="2094"/>
      <c r="W915" s="2092"/>
      <c r="X915" s="2092"/>
      <c r="Y915" s="2085"/>
      <c r="Z915" s="2085"/>
      <c r="AA915" s="2085"/>
      <c r="AB915" s="2085"/>
      <c r="AC915" s="2085"/>
    </row>
    <row r="916" spans="1:29">
      <c r="A916" s="2140">
        <v>44834</v>
      </c>
      <c r="B916" s="2143" t="s">
        <v>13204</v>
      </c>
      <c r="C916" s="2141" t="s">
        <v>14</v>
      </c>
      <c r="D916" s="2141" t="s">
        <v>1753</v>
      </c>
      <c r="E916" s="2142" t="s">
        <v>13205</v>
      </c>
      <c r="F916" s="2141"/>
      <c r="G916" s="2143"/>
      <c r="H916" s="2141"/>
      <c r="I916" s="2141" t="s">
        <v>7847</v>
      </c>
      <c r="J916" s="2141" t="s">
        <v>13206</v>
      </c>
      <c r="K916" s="2144">
        <v>5800000</v>
      </c>
      <c r="L916" s="2141" t="s">
        <v>251</v>
      </c>
      <c r="M916" s="2140">
        <v>44841</v>
      </c>
      <c r="N916" s="2140">
        <v>44874</v>
      </c>
      <c r="O916" s="2140">
        <v>44887</v>
      </c>
      <c r="P916" s="2143" t="s">
        <v>7439</v>
      </c>
      <c r="Q916" s="2141"/>
      <c r="R916" s="2144">
        <v>5795100</v>
      </c>
      <c r="S916" s="2144">
        <v>7012071</v>
      </c>
      <c r="T916" s="2145"/>
      <c r="U916" s="2145"/>
      <c r="V916" s="2145"/>
      <c r="W916" s="2146">
        <v>44887</v>
      </c>
      <c r="X916" s="2144" t="s">
        <v>13587</v>
      </c>
      <c r="Y916" s="2140">
        <v>44902</v>
      </c>
      <c r="Z916" s="2140">
        <v>44911</v>
      </c>
      <c r="AA916" s="2140">
        <v>45022</v>
      </c>
      <c r="AB916" s="2109"/>
      <c r="AC916" s="2106"/>
    </row>
    <row r="917" spans="1:29">
      <c r="A917" s="2141" t="s">
        <v>13178</v>
      </c>
      <c r="B917" s="2143" t="s">
        <v>13179</v>
      </c>
      <c r="C917" s="2141" t="s">
        <v>1032</v>
      </c>
      <c r="D917" s="2141" t="s">
        <v>361</v>
      </c>
      <c r="E917" s="2142" t="s">
        <v>13180</v>
      </c>
      <c r="F917" s="2141"/>
      <c r="G917" s="2143"/>
      <c r="H917" s="2141"/>
      <c r="I917" s="2141" t="s">
        <v>491</v>
      </c>
      <c r="J917" s="2141" t="s">
        <v>13181</v>
      </c>
      <c r="K917" s="2144">
        <v>1150000</v>
      </c>
      <c r="L917" s="2141" t="s">
        <v>112</v>
      </c>
      <c r="M917" s="2140">
        <v>44839</v>
      </c>
      <c r="N917" s="2140">
        <v>44848</v>
      </c>
      <c r="O917" s="2140">
        <v>44867</v>
      </c>
      <c r="P917" s="2143" t="s">
        <v>13449</v>
      </c>
      <c r="Q917" s="2141"/>
      <c r="R917" s="2144">
        <v>934136.23</v>
      </c>
      <c r="S917" s="2144">
        <v>1130304.8400000001</v>
      </c>
      <c r="T917" s="2145"/>
      <c r="U917" s="2145"/>
      <c r="V917" s="2145"/>
      <c r="W917" s="2146">
        <v>44867</v>
      </c>
      <c r="X917" s="2144" t="s">
        <v>13472</v>
      </c>
      <c r="Y917" s="2140">
        <v>44895</v>
      </c>
      <c r="Z917" s="2140">
        <v>44896</v>
      </c>
      <c r="AA917" s="2141"/>
      <c r="AB917" s="2109"/>
      <c r="AC917" s="2106"/>
    </row>
    <row r="918" spans="1:29">
      <c r="A918" s="2154" t="s">
        <v>3585</v>
      </c>
      <c r="B918" s="2156" t="s">
        <v>13182</v>
      </c>
      <c r="C918" s="2154" t="s">
        <v>69</v>
      </c>
      <c r="D918" s="2154" t="s">
        <v>70</v>
      </c>
      <c r="E918" s="2155" t="s">
        <v>13183</v>
      </c>
      <c r="F918" s="2154"/>
      <c r="G918" s="2156"/>
      <c r="H918" s="2085"/>
      <c r="I918" s="2154" t="s">
        <v>68</v>
      </c>
      <c r="J918" s="2154"/>
      <c r="K918" s="2157">
        <v>345461</v>
      </c>
      <c r="L918" s="2154" t="s">
        <v>251</v>
      </c>
      <c r="M918" s="2153">
        <v>44847</v>
      </c>
      <c r="N918" s="2153">
        <v>44880</v>
      </c>
      <c r="O918" s="2154"/>
      <c r="P918" s="2156"/>
      <c r="Q918" s="2154"/>
      <c r="R918" s="2157"/>
      <c r="S918" s="2157"/>
      <c r="T918" s="2094"/>
      <c r="U918" s="2094"/>
      <c r="V918" s="2094"/>
      <c r="W918" s="2157"/>
      <c r="X918" s="2157"/>
      <c r="Y918" s="2154"/>
      <c r="Z918" s="2154"/>
      <c r="AA918" s="2154"/>
      <c r="AB918" s="2154"/>
      <c r="AC918" s="2154"/>
    </row>
    <row r="919" spans="1:29">
      <c r="A919" s="2140">
        <v>44837</v>
      </c>
      <c r="B919" s="2143" t="s">
        <v>13195</v>
      </c>
      <c r="C919" s="2141" t="s">
        <v>14</v>
      </c>
      <c r="D919" s="2141" t="s">
        <v>13</v>
      </c>
      <c r="E919" s="2142" t="s">
        <v>13196</v>
      </c>
      <c r="F919" s="2141"/>
      <c r="G919" s="2143"/>
      <c r="H919" s="2141"/>
      <c r="I919" s="2141" t="s">
        <v>775</v>
      </c>
      <c r="J919" s="2141"/>
      <c r="K919" s="2144">
        <v>588000</v>
      </c>
      <c r="L919" s="2141" t="s">
        <v>112</v>
      </c>
      <c r="M919" s="2140">
        <v>44841</v>
      </c>
      <c r="N919" s="2140">
        <v>44852</v>
      </c>
      <c r="O919" s="2140">
        <v>44859</v>
      </c>
      <c r="P919" s="2143" t="s">
        <v>3915</v>
      </c>
      <c r="Q919" s="2141"/>
      <c r="R919" s="2144">
        <v>580000</v>
      </c>
      <c r="S919" s="2144">
        <v>701800</v>
      </c>
      <c r="T919" s="2145"/>
      <c r="U919" s="2145"/>
      <c r="V919" s="2145"/>
      <c r="W919" s="2146">
        <v>44859</v>
      </c>
      <c r="X919" s="2144" t="s">
        <v>13405</v>
      </c>
      <c r="Y919" s="2140">
        <v>44881</v>
      </c>
      <c r="Z919" s="2140">
        <v>44881</v>
      </c>
      <c r="AA919" s="2140">
        <v>45245</v>
      </c>
      <c r="AB919" s="2109"/>
      <c r="AC919" s="2106"/>
    </row>
    <row r="920" spans="1:29">
      <c r="A920" s="2140">
        <v>44839</v>
      </c>
      <c r="B920" s="2143" t="s">
        <v>13202</v>
      </c>
      <c r="C920" s="2141" t="s">
        <v>6561</v>
      </c>
      <c r="D920" s="2141" t="s">
        <v>4864</v>
      </c>
      <c r="E920" s="2142" t="s">
        <v>13203</v>
      </c>
      <c r="F920" s="2141"/>
      <c r="G920" s="2143"/>
      <c r="H920" s="2141"/>
      <c r="I920" s="2141" t="s">
        <v>7263</v>
      </c>
      <c r="J920" s="2141"/>
      <c r="K920" s="2144">
        <v>5100000</v>
      </c>
      <c r="L920" s="2141" t="s">
        <v>112</v>
      </c>
      <c r="M920" s="2140">
        <v>44846</v>
      </c>
      <c r="N920" s="2140">
        <v>44859</v>
      </c>
      <c r="O920" s="2140">
        <v>44859</v>
      </c>
      <c r="P920" s="2143" t="s">
        <v>13406</v>
      </c>
      <c r="Q920" s="2141"/>
      <c r="R920" s="2144">
        <v>5837620</v>
      </c>
      <c r="S920" s="2144">
        <v>7063520.2000000002</v>
      </c>
      <c r="T920" s="2145"/>
      <c r="U920" s="2145"/>
      <c r="V920" s="2145"/>
      <c r="W920" s="2146">
        <v>44859</v>
      </c>
      <c r="X920" s="2144" t="s">
        <v>13407</v>
      </c>
      <c r="Y920" s="2140">
        <v>44867</v>
      </c>
      <c r="Z920" s="2140">
        <v>44879</v>
      </c>
      <c r="AA920" s="2141"/>
      <c r="AB920" s="2109"/>
      <c r="AC920" s="2106"/>
    </row>
    <row r="921" spans="1:29">
      <c r="A921" s="2153">
        <v>44840</v>
      </c>
      <c r="B921" s="2156" t="s">
        <v>13208</v>
      </c>
      <c r="C921" s="2154" t="s">
        <v>69</v>
      </c>
      <c r="D921" s="2154" t="s">
        <v>70</v>
      </c>
      <c r="E921" s="2155" t="s">
        <v>13213</v>
      </c>
      <c r="F921" s="2154"/>
      <c r="G921" s="2156"/>
      <c r="H921" s="2154"/>
      <c r="I921" s="2154" t="s">
        <v>93</v>
      </c>
      <c r="J921" s="2154"/>
      <c r="K921" s="2157">
        <v>7827081</v>
      </c>
      <c r="L921" s="2154" t="s">
        <v>251</v>
      </c>
      <c r="M921" s="2153">
        <v>44855</v>
      </c>
      <c r="N921" s="2153">
        <v>44893</v>
      </c>
      <c r="O921" s="2153">
        <v>44911</v>
      </c>
      <c r="P921" s="2156" t="s">
        <v>2548</v>
      </c>
      <c r="Q921" s="2154"/>
      <c r="R921" s="2157">
        <v>7827080.6699999999</v>
      </c>
      <c r="S921" s="2157">
        <v>8609788.7400000002</v>
      </c>
      <c r="T921" s="2415"/>
      <c r="U921" s="2415"/>
      <c r="V921" s="2415"/>
      <c r="W921" s="2160">
        <v>44911</v>
      </c>
      <c r="X921" s="2157" t="s">
        <v>13775</v>
      </c>
      <c r="Y921" s="2154"/>
      <c r="Z921" s="2154"/>
      <c r="AA921" s="2154"/>
      <c r="AB921" s="2154"/>
      <c r="AC921" s="2154"/>
    </row>
    <row r="922" spans="1:29">
      <c r="A922" s="643">
        <v>44840</v>
      </c>
      <c r="B922" s="1533" t="s">
        <v>13209</v>
      </c>
      <c r="C922" s="639" t="s">
        <v>69</v>
      </c>
      <c r="D922" s="639" t="s">
        <v>70</v>
      </c>
      <c r="E922" s="640" t="s">
        <v>13214</v>
      </c>
      <c r="F922" s="639"/>
      <c r="G922" s="1533"/>
      <c r="H922" s="1437"/>
      <c r="I922" s="639" t="s">
        <v>93</v>
      </c>
      <c r="J922" s="639"/>
      <c r="K922" s="645">
        <v>96996000</v>
      </c>
      <c r="L922" s="639" t="s">
        <v>251</v>
      </c>
      <c r="M922" s="643">
        <v>44866</v>
      </c>
      <c r="N922" s="643">
        <v>44914</v>
      </c>
      <c r="O922" s="639"/>
      <c r="P922" s="1533"/>
      <c r="Q922" s="639"/>
      <c r="R922" s="645"/>
      <c r="S922" s="645"/>
      <c r="T922" s="1490"/>
      <c r="U922" s="1490"/>
      <c r="V922" s="1490"/>
      <c r="W922" s="645"/>
      <c r="X922" s="645"/>
      <c r="Y922" s="639"/>
      <c r="Z922" s="643">
        <v>44916</v>
      </c>
      <c r="AA922" s="639" t="s">
        <v>13790</v>
      </c>
      <c r="AB922" s="639"/>
      <c r="AC922" s="639"/>
    </row>
    <row r="923" spans="1:29">
      <c r="A923" s="2388">
        <v>44840</v>
      </c>
      <c r="B923" s="2386" t="s">
        <v>13210</v>
      </c>
      <c r="C923" s="2079" t="s">
        <v>69</v>
      </c>
      <c r="D923" s="2079" t="s">
        <v>70</v>
      </c>
      <c r="E923" s="2385" t="s">
        <v>13215</v>
      </c>
      <c r="F923" s="2079">
        <v>1</v>
      </c>
      <c r="G923" s="2385" t="s">
        <v>13216</v>
      </c>
      <c r="H923" s="2734"/>
      <c r="I923" s="2079" t="s">
        <v>3633</v>
      </c>
      <c r="J923" s="2079"/>
      <c r="K923" s="2387">
        <v>527402</v>
      </c>
      <c r="L923" s="2079" t="s">
        <v>216</v>
      </c>
      <c r="M923" s="2079"/>
      <c r="N923" s="2079"/>
      <c r="O923" s="2079"/>
      <c r="P923" s="2386"/>
      <c r="Q923" s="2079"/>
      <c r="R923" s="2387"/>
      <c r="S923" s="2387"/>
      <c r="T923" s="2348"/>
      <c r="U923" s="2348"/>
      <c r="V923" s="2348"/>
      <c r="W923" s="2387"/>
      <c r="X923" s="2387"/>
      <c r="Y923" s="2079"/>
      <c r="Z923" s="2079"/>
      <c r="AA923" s="2079"/>
      <c r="AB923" s="2079"/>
      <c r="AC923" s="2079"/>
    </row>
    <row r="924" spans="1:29">
      <c r="A924" s="2388">
        <v>44840</v>
      </c>
      <c r="B924" s="2386" t="s">
        <v>13211</v>
      </c>
      <c r="C924" s="2079" t="s">
        <v>69</v>
      </c>
      <c r="D924" s="2079" t="s">
        <v>70</v>
      </c>
      <c r="E924" s="2385" t="s">
        <v>13215</v>
      </c>
      <c r="F924" s="2079">
        <v>2</v>
      </c>
      <c r="G924" s="2385" t="s">
        <v>13217</v>
      </c>
      <c r="H924" s="2734"/>
      <c r="I924" s="2079" t="s">
        <v>3633</v>
      </c>
      <c r="J924" s="2079"/>
      <c r="K924" s="2387">
        <v>1081093</v>
      </c>
      <c r="L924" s="2079" t="s">
        <v>216</v>
      </c>
      <c r="M924" s="2079"/>
      <c r="N924" s="2079"/>
      <c r="O924" s="2079"/>
      <c r="P924" s="2386"/>
      <c r="Q924" s="2079"/>
      <c r="R924" s="2387"/>
      <c r="S924" s="2387"/>
      <c r="T924" s="2348"/>
      <c r="U924" s="2348"/>
      <c r="V924" s="2348"/>
      <c r="W924" s="2387"/>
      <c r="X924" s="2387"/>
      <c r="Y924" s="2079"/>
      <c r="Z924" s="2079"/>
      <c r="AA924" s="2079"/>
      <c r="AB924" s="2079"/>
      <c r="AC924" s="2079"/>
    </row>
    <row r="925" spans="1:29" ht="15.75" thickBot="1">
      <c r="A925" s="2392">
        <v>44840</v>
      </c>
      <c r="B925" s="2394" t="s">
        <v>13212</v>
      </c>
      <c r="C925" s="2081" t="s">
        <v>69</v>
      </c>
      <c r="D925" s="2081" t="s">
        <v>70</v>
      </c>
      <c r="E925" s="2393" t="s">
        <v>13215</v>
      </c>
      <c r="F925" s="2081">
        <v>3</v>
      </c>
      <c r="G925" s="2393" t="s">
        <v>13218</v>
      </c>
      <c r="H925" s="2107"/>
      <c r="I925" s="2081" t="s">
        <v>3633</v>
      </c>
      <c r="J925" s="2081"/>
      <c r="K925" s="2395">
        <v>990009</v>
      </c>
      <c r="L925" s="2081" t="s">
        <v>216</v>
      </c>
      <c r="M925" s="2081"/>
      <c r="N925" s="2081"/>
      <c r="O925" s="2081"/>
      <c r="P925" s="2394"/>
      <c r="Q925" s="2081"/>
      <c r="R925" s="2395"/>
      <c r="S925" s="2395"/>
      <c r="T925" s="2311"/>
      <c r="U925" s="2311"/>
      <c r="V925" s="2311"/>
      <c r="W925" s="2395"/>
      <c r="X925" s="2395"/>
      <c r="Y925" s="2081"/>
      <c r="Z925" s="2081"/>
      <c r="AA925" s="2081"/>
      <c r="AB925" s="2081"/>
      <c r="AC925" s="2081"/>
    </row>
    <row r="926" spans="1:29" ht="15.75" thickTop="1">
      <c r="A926" s="580">
        <v>44840</v>
      </c>
      <c r="B926" s="1828" t="s">
        <v>13233</v>
      </c>
      <c r="C926" s="576" t="s">
        <v>837</v>
      </c>
      <c r="D926" s="576" t="s">
        <v>4969</v>
      </c>
      <c r="E926" s="577" t="s">
        <v>13234</v>
      </c>
      <c r="F926" s="576"/>
      <c r="G926" s="1828"/>
      <c r="H926" s="576"/>
      <c r="I926" s="576" t="s">
        <v>13235</v>
      </c>
      <c r="J926" s="576"/>
      <c r="K926" s="581">
        <v>564800000</v>
      </c>
      <c r="L926" s="576" t="s">
        <v>251</v>
      </c>
      <c r="M926" s="580">
        <v>44888</v>
      </c>
      <c r="N926" s="580">
        <v>44939</v>
      </c>
      <c r="O926" s="576"/>
      <c r="P926" s="1828"/>
      <c r="Q926" s="576"/>
      <c r="R926" s="581"/>
      <c r="S926" s="581"/>
      <c r="T926" s="1489"/>
      <c r="U926" s="1489"/>
      <c r="V926" s="1489"/>
      <c r="W926" s="581"/>
      <c r="X926" s="581"/>
      <c r="Y926" s="576"/>
      <c r="Z926" s="576"/>
      <c r="AA926" s="576"/>
      <c r="AB926" s="576"/>
      <c r="AC926" s="576"/>
    </row>
    <row r="927" spans="1:29">
      <c r="A927" s="2140">
        <v>44841</v>
      </c>
      <c r="B927" s="2143" t="s">
        <v>13239</v>
      </c>
      <c r="C927" s="2141" t="s">
        <v>58</v>
      </c>
      <c r="D927" s="2141" t="s">
        <v>4969</v>
      </c>
      <c r="E927" s="2142" t="s">
        <v>13240</v>
      </c>
      <c r="F927" s="2141"/>
      <c r="G927" s="2143"/>
      <c r="H927" s="2141"/>
      <c r="I927" s="2141" t="s">
        <v>26</v>
      </c>
      <c r="J927" s="2141" t="s">
        <v>13241</v>
      </c>
      <c r="K927" s="2144">
        <v>125730</v>
      </c>
      <c r="L927" s="2141" t="s">
        <v>112</v>
      </c>
      <c r="M927" s="2140">
        <v>44846</v>
      </c>
      <c r="N927" s="2140">
        <v>44855</v>
      </c>
      <c r="O927" s="2140">
        <v>44868</v>
      </c>
      <c r="P927" s="2143" t="s">
        <v>13470</v>
      </c>
      <c r="Q927" s="2141"/>
      <c r="R927" s="2144">
        <v>125700</v>
      </c>
      <c r="S927" s="2144">
        <v>152097</v>
      </c>
      <c r="T927" s="2145"/>
      <c r="U927" s="2145"/>
      <c r="V927" s="2145"/>
      <c r="W927" s="2146">
        <v>44868</v>
      </c>
      <c r="X927" s="2144" t="s">
        <v>13478</v>
      </c>
      <c r="Y927" s="2140">
        <v>44901</v>
      </c>
      <c r="Z927" s="2140">
        <v>44902</v>
      </c>
      <c r="AA927" s="2140">
        <v>44961</v>
      </c>
      <c r="AB927" s="2109"/>
      <c r="AC927" s="2106"/>
    </row>
    <row r="928" spans="1:29" ht="45.75" thickBot="1">
      <c r="A928" s="406" t="s">
        <v>3585</v>
      </c>
      <c r="B928" s="1425" t="s">
        <v>13264</v>
      </c>
      <c r="C928" s="406" t="s">
        <v>9694</v>
      </c>
      <c r="D928" s="406" t="s">
        <v>4969</v>
      </c>
      <c r="E928" s="462" t="s">
        <v>13265</v>
      </c>
      <c r="F928" s="406"/>
      <c r="G928" s="1425"/>
      <c r="H928" s="406"/>
      <c r="I928" s="406" t="s">
        <v>7069</v>
      </c>
      <c r="J928" s="406" t="s">
        <v>10874</v>
      </c>
      <c r="K928" s="465">
        <v>6061532</v>
      </c>
      <c r="L928" s="406" t="s">
        <v>251</v>
      </c>
      <c r="M928" s="464">
        <v>44866</v>
      </c>
      <c r="N928" s="464">
        <v>44900</v>
      </c>
      <c r="O928" s="464">
        <v>44917</v>
      </c>
      <c r="P928" s="1425" t="s">
        <v>13750</v>
      </c>
      <c r="Q928" s="406"/>
      <c r="R928" s="465">
        <v>6316732</v>
      </c>
      <c r="S928" s="465">
        <v>7642035.7199999997</v>
      </c>
      <c r="T928" s="1478"/>
      <c r="U928" s="1478"/>
      <c r="V928" s="1478"/>
      <c r="W928" s="1809">
        <v>44917</v>
      </c>
      <c r="X928" s="1829" t="s">
        <v>13805</v>
      </c>
      <c r="Y928" s="406"/>
      <c r="Z928" s="406"/>
      <c r="AA928" s="406"/>
      <c r="AB928" s="406"/>
      <c r="AC928" s="406"/>
    </row>
    <row r="929" spans="1:31" ht="15.75" thickTop="1">
      <c r="A929" s="428">
        <v>44845</v>
      </c>
      <c r="B929" s="1371" t="s">
        <v>13267</v>
      </c>
      <c r="C929" s="425" t="s">
        <v>2434</v>
      </c>
      <c r="D929" s="425" t="s">
        <v>3204</v>
      </c>
      <c r="E929" s="426" t="s">
        <v>13268</v>
      </c>
      <c r="F929" s="425">
        <v>1</v>
      </c>
      <c r="G929" s="1371" t="s">
        <v>13271</v>
      </c>
      <c r="H929" s="425"/>
      <c r="I929" s="425" t="s">
        <v>642</v>
      </c>
      <c r="J929" s="425"/>
      <c r="K929" s="429">
        <v>1275260</v>
      </c>
      <c r="L929" s="425" t="s">
        <v>251</v>
      </c>
      <c r="M929" s="428">
        <v>44873</v>
      </c>
      <c r="N929" s="428">
        <v>44907</v>
      </c>
      <c r="O929" s="425"/>
      <c r="P929" s="1371"/>
      <c r="Q929" s="425"/>
      <c r="R929" s="429"/>
      <c r="S929" s="429"/>
      <c r="T929" s="1605"/>
      <c r="U929" s="1605"/>
      <c r="V929" s="1605"/>
      <c r="W929" s="429"/>
      <c r="X929" s="429"/>
      <c r="Y929" s="425"/>
      <c r="Z929" s="425"/>
      <c r="AA929" s="425"/>
      <c r="AB929" s="425"/>
      <c r="AC929" s="425"/>
    </row>
    <row r="930" spans="1:31">
      <c r="A930" s="2153">
        <v>44845</v>
      </c>
      <c r="B930" s="2156" t="s">
        <v>13269</v>
      </c>
      <c r="C930" s="2154" t="s">
        <v>2434</v>
      </c>
      <c r="D930" s="2154" t="s">
        <v>3204</v>
      </c>
      <c r="E930" s="2155" t="s">
        <v>13268</v>
      </c>
      <c r="F930" s="2154">
        <v>2</v>
      </c>
      <c r="G930" s="2156" t="s">
        <v>13272</v>
      </c>
      <c r="H930" s="2154"/>
      <c r="I930" s="2154" t="s">
        <v>642</v>
      </c>
      <c r="J930" s="2154"/>
      <c r="K930" s="2157">
        <v>2860000</v>
      </c>
      <c r="L930" s="2154" t="s">
        <v>251</v>
      </c>
      <c r="M930" s="2153">
        <v>44873</v>
      </c>
      <c r="N930" s="2153">
        <v>44907</v>
      </c>
      <c r="O930" s="2154"/>
      <c r="P930" s="2156"/>
      <c r="Q930" s="2154"/>
      <c r="R930" s="2157"/>
      <c r="S930" s="2157"/>
      <c r="T930" s="2415"/>
      <c r="U930" s="2415"/>
      <c r="V930" s="2415"/>
      <c r="W930" s="2157"/>
      <c r="X930" s="2157"/>
      <c r="Y930" s="2154"/>
      <c r="Z930" s="2154"/>
      <c r="AA930" s="2154"/>
      <c r="AB930" s="2154"/>
      <c r="AC930" s="2154"/>
    </row>
    <row r="931" spans="1:31" ht="15.75" thickBot="1">
      <c r="A931" s="2152">
        <v>44845</v>
      </c>
      <c r="B931" s="2300" t="s">
        <v>13270</v>
      </c>
      <c r="C931" s="2297" t="s">
        <v>2434</v>
      </c>
      <c r="D931" s="2297" t="s">
        <v>3204</v>
      </c>
      <c r="E931" s="2298" t="s">
        <v>13268</v>
      </c>
      <c r="F931" s="2297">
        <v>3</v>
      </c>
      <c r="G931" s="2300" t="s">
        <v>13273</v>
      </c>
      <c r="H931" s="2297"/>
      <c r="I931" s="2297" t="s">
        <v>642</v>
      </c>
      <c r="J931" s="2297"/>
      <c r="K931" s="2299">
        <v>5280000</v>
      </c>
      <c r="L931" s="2297" t="s">
        <v>251</v>
      </c>
      <c r="M931" s="2152">
        <v>44873</v>
      </c>
      <c r="N931" s="2152">
        <v>44907</v>
      </c>
      <c r="O931" s="2297"/>
      <c r="P931" s="2300"/>
      <c r="Q931" s="2297"/>
      <c r="R931" s="2299"/>
      <c r="S931" s="2299"/>
      <c r="T931" s="2443"/>
      <c r="U931" s="2443"/>
      <c r="V931" s="2443"/>
      <c r="W931" s="2299"/>
      <c r="X931" s="2299"/>
      <c r="Y931" s="2297"/>
      <c r="Z931" s="2297"/>
      <c r="AA931" s="2297"/>
      <c r="AB931" s="2297"/>
      <c r="AC931" s="2297"/>
    </row>
    <row r="932" spans="1:31" ht="15.75" thickTop="1">
      <c r="A932" s="840">
        <v>44845</v>
      </c>
      <c r="B932" s="1422" t="s">
        <v>13275</v>
      </c>
      <c r="C932" s="423" t="s">
        <v>58</v>
      </c>
      <c r="D932" s="423" t="s">
        <v>4969</v>
      </c>
      <c r="E932" s="837" t="s">
        <v>13276</v>
      </c>
      <c r="F932" s="423"/>
      <c r="G932" s="1422"/>
      <c r="H932" s="576"/>
      <c r="I932" s="423" t="s">
        <v>1159</v>
      </c>
      <c r="J932" s="423" t="s">
        <v>13277</v>
      </c>
      <c r="K932" s="841">
        <v>6250000</v>
      </c>
      <c r="L932" s="423" t="s">
        <v>251</v>
      </c>
      <c r="M932" s="840">
        <v>44853</v>
      </c>
      <c r="N932" s="840">
        <v>44916</v>
      </c>
      <c r="O932" s="423"/>
      <c r="P932" s="1422"/>
      <c r="Q932" s="423"/>
      <c r="R932" s="841"/>
      <c r="S932" s="841"/>
      <c r="T932" s="1489"/>
      <c r="U932" s="1489"/>
      <c r="V932" s="1489"/>
      <c r="W932" s="841"/>
      <c r="X932" s="841"/>
      <c r="Y932" s="423"/>
      <c r="Z932" s="423"/>
      <c r="AA932" s="423"/>
      <c r="AB932" s="423"/>
      <c r="AC932" s="423"/>
    </row>
    <row r="933" spans="1:31" ht="30">
      <c r="A933" s="2140">
        <v>44846</v>
      </c>
      <c r="B933" s="2143" t="s">
        <v>13284</v>
      </c>
      <c r="C933" s="2141" t="s">
        <v>2434</v>
      </c>
      <c r="D933" s="2141" t="s">
        <v>3204</v>
      </c>
      <c r="E933" s="2142" t="s">
        <v>13285</v>
      </c>
      <c r="F933" s="2141"/>
      <c r="G933" s="2143"/>
      <c r="H933" s="2141"/>
      <c r="I933" s="2141" t="s">
        <v>642</v>
      </c>
      <c r="J933" s="2141"/>
      <c r="K933" s="2144">
        <v>614400</v>
      </c>
      <c r="L933" s="2141" t="s">
        <v>112</v>
      </c>
      <c r="M933" s="2140">
        <v>44848</v>
      </c>
      <c r="N933" s="2140">
        <v>44859</v>
      </c>
      <c r="O933" s="2140">
        <v>44868</v>
      </c>
      <c r="P933" s="2143" t="s">
        <v>9770</v>
      </c>
      <c r="Q933" s="2141"/>
      <c r="R933" s="2144">
        <v>614400</v>
      </c>
      <c r="S933" s="2144">
        <v>743424</v>
      </c>
      <c r="T933" s="2145"/>
      <c r="U933" s="2145"/>
      <c r="V933" s="2145"/>
      <c r="W933" s="2146">
        <v>44868</v>
      </c>
      <c r="X933" s="2260" t="s">
        <v>13476</v>
      </c>
      <c r="Y933" s="2140">
        <v>44896</v>
      </c>
      <c r="Z933" s="2140">
        <v>44897</v>
      </c>
      <c r="AA933" s="2140">
        <v>45991</v>
      </c>
      <c r="AB933" s="2109" t="s">
        <v>13678</v>
      </c>
      <c r="AC933" s="2109">
        <v>2023</v>
      </c>
      <c r="AD933" s="388">
        <v>2024</v>
      </c>
      <c r="AE933" s="388" t="s">
        <v>13679</v>
      </c>
    </row>
    <row r="934" spans="1:31" ht="30">
      <c r="A934" s="2154" t="s">
        <v>3585</v>
      </c>
      <c r="B934" s="2156" t="s">
        <v>13295</v>
      </c>
      <c r="C934" s="2154" t="s">
        <v>9694</v>
      </c>
      <c r="D934" s="2154" t="s">
        <v>4969</v>
      </c>
      <c r="E934" s="2155" t="s">
        <v>13296</v>
      </c>
      <c r="F934" s="2154"/>
      <c r="G934" s="2156"/>
      <c r="H934" s="2154"/>
      <c r="I934" s="2154" t="s">
        <v>476</v>
      </c>
      <c r="J934" s="2154" t="s">
        <v>11452</v>
      </c>
      <c r="K934" s="2157">
        <v>713670</v>
      </c>
      <c r="L934" s="2154" t="s">
        <v>251</v>
      </c>
      <c r="M934" s="2153">
        <v>44866</v>
      </c>
      <c r="N934" s="2153">
        <v>44900</v>
      </c>
      <c r="O934" s="2153">
        <v>44914</v>
      </c>
      <c r="P934" s="2156" t="s">
        <v>4478</v>
      </c>
      <c r="Q934" s="2154"/>
      <c r="R934" s="2157">
        <v>847150</v>
      </c>
      <c r="S934" s="2157">
        <v>1025051.5</v>
      </c>
      <c r="T934" s="2415"/>
      <c r="U934" s="2415"/>
      <c r="V934" s="2415"/>
      <c r="W934" s="2160">
        <v>44914</v>
      </c>
      <c r="X934" s="2326" t="s">
        <v>13777</v>
      </c>
      <c r="Y934" s="2154"/>
      <c r="Z934" s="2154"/>
      <c r="AA934" s="2154"/>
      <c r="AB934" s="2154"/>
      <c r="AC934" s="2154"/>
    </row>
    <row r="935" spans="1:31">
      <c r="A935" s="2124">
        <v>44847</v>
      </c>
      <c r="B935" s="2127" t="s">
        <v>13302</v>
      </c>
      <c r="C935" s="2125" t="s">
        <v>1032</v>
      </c>
      <c r="D935" s="2125" t="s">
        <v>361</v>
      </c>
      <c r="E935" s="2126" t="s">
        <v>13303</v>
      </c>
      <c r="F935" s="2125"/>
      <c r="G935" s="2127"/>
      <c r="H935" s="2085"/>
      <c r="I935" s="2125" t="s">
        <v>158</v>
      </c>
      <c r="J935" s="2125" t="s">
        <v>13304</v>
      </c>
      <c r="K935" s="2128">
        <v>170000</v>
      </c>
      <c r="L935" s="2125" t="s">
        <v>112</v>
      </c>
      <c r="M935" s="2124">
        <v>44852</v>
      </c>
      <c r="N935" s="2124">
        <v>44860</v>
      </c>
      <c r="O935" s="2125"/>
      <c r="P935" s="2136" t="s">
        <v>304</v>
      </c>
      <c r="Q935" s="2275" t="s">
        <v>13436</v>
      </c>
      <c r="R935" s="2128"/>
      <c r="S935" s="2128"/>
      <c r="T935" s="2094"/>
      <c r="U935" s="2094"/>
      <c r="V935" s="2094"/>
      <c r="W935" s="2128"/>
      <c r="X935" s="2128"/>
      <c r="Y935" s="2125"/>
      <c r="Z935" s="2124">
        <v>44860</v>
      </c>
      <c r="AA935" s="2125"/>
      <c r="AB935" s="2125"/>
      <c r="AC935" s="2125"/>
    </row>
    <row r="936" spans="1:31">
      <c r="A936" s="2124">
        <v>44847</v>
      </c>
      <c r="B936" s="2127" t="s">
        <v>13305</v>
      </c>
      <c r="C936" s="2125" t="s">
        <v>6561</v>
      </c>
      <c r="D936" s="2125" t="s">
        <v>4864</v>
      </c>
      <c r="E936" s="2687" t="s">
        <v>13306</v>
      </c>
      <c r="F936" s="2125"/>
      <c r="G936" s="2127"/>
      <c r="H936" s="2085"/>
      <c r="I936" s="2125" t="s">
        <v>7319</v>
      </c>
      <c r="J936" s="2125"/>
      <c r="K936" s="2128">
        <v>550000</v>
      </c>
      <c r="L936" s="2125" t="s">
        <v>112</v>
      </c>
      <c r="M936" s="2124">
        <v>44852</v>
      </c>
      <c r="N936" s="2124">
        <v>44861</v>
      </c>
      <c r="O936" s="2125"/>
      <c r="P936" s="2789" t="s">
        <v>9147</v>
      </c>
      <c r="Q936" s="2275" t="s">
        <v>13647</v>
      </c>
      <c r="R936" s="2128"/>
      <c r="S936" s="2128"/>
      <c r="T936" s="2094"/>
      <c r="U936" s="2094"/>
      <c r="V936" s="2094"/>
      <c r="W936" s="2128"/>
      <c r="X936" s="2128"/>
      <c r="Y936" s="2125"/>
      <c r="Z936" s="2124">
        <v>44866</v>
      </c>
      <c r="AA936" s="2125"/>
      <c r="AB936" s="2125"/>
      <c r="AC936" s="2125"/>
    </row>
    <row r="937" spans="1:31">
      <c r="A937" s="2153">
        <v>44840</v>
      </c>
      <c r="B937" s="2156" t="s">
        <v>13307</v>
      </c>
      <c r="C937" s="2154" t="s">
        <v>1032</v>
      </c>
      <c r="D937" s="2154" t="s">
        <v>361</v>
      </c>
      <c r="E937" s="2155" t="s">
        <v>13308</v>
      </c>
      <c r="F937" s="2154"/>
      <c r="G937" s="2156"/>
      <c r="H937" s="2154"/>
      <c r="I937" s="2154" t="s">
        <v>13309</v>
      </c>
      <c r="J937" s="2154"/>
      <c r="K937" s="2157">
        <v>2700000</v>
      </c>
      <c r="L937" s="2154" t="s">
        <v>216</v>
      </c>
      <c r="M937" s="2153">
        <v>44865</v>
      </c>
      <c r="N937" s="2153">
        <v>44881</v>
      </c>
      <c r="O937" s="2153">
        <v>44904</v>
      </c>
      <c r="P937" s="2156" t="s">
        <v>13675</v>
      </c>
      <c r="Q937" s="2154"/>
      <c r="R937" s="2157">
        <v>4144950</v>
      </c>
      <c r="S937" s="2157">
        <v>5015389.5</v>
      </c>
      <c r="T937" s="2415"/>
      <c r="U937" s="2415"/>
      <c r="V937" s="2415"/>
      <c r="W937" s="2160">
        <v>44904</v>
      </c>
      <c r="X937" s="2157" t="s">
        <v>13749</v>
      </c>
      <c r="Y937" s="2154"/>
      <c r="Z937" s="2154"/>
      <c r="AA937" s="2154"/>
      <c r="AB937" s="2154"/>
      <c r="AC937" s="2154"/>
    </row>
    <row r="938" spans="1:31" ht="15.75" thickBot="1">
      <c r="A938" s="643">
        <v>44848</v>
      </c>
      <c r="B938" s="1533" t="s">
        <v>13314</v>
      </c>
      <c r="C938" s="639" t="s">
        <v>1032</v>
      </c>
      <c r="D938" s="639" t="s">
        <v>361</v>
      </c>
      <c r="E938" s="640" t="s">
        <v>13315</v>
      </c>
      <c r="F938" s="639"/>
      <c r="G938" s="1533"/>
      <c r="H938" s="1437"/>
      <c r="I938" s="639" t="s">
        <v>13316</v>
      </c>
      <c r="J938" s="639" t="s">
        <v>13317</v>
      </c>
      <c r="K938" s="645">
        <v>1700000</v>
      </c>
      <c r="L938" s="639" t="s">
        <v>112</v>
      </c>
      <c r="M938" s="643">
        <v>44852</v>
      </c>
      <c r="N938" s="643">
        <v>44861</v>
      </c>
      <c r="O938" s="639"/>
      <c r="P938" s="644" t="s">
        <v>1320</v>
      </c>
      <c r="Q938" s="2019" t="s">
        <v>13468</v>
      </c>
      <c r="R938" s="645"/>
      <c r="S938" s="645"/>
      <c r="T938" s="1490"/>
      <c r="U938" s="1490"/>
      <c r="V938" s="1490"/>
      <c r="W938" s="645"/>
      <c r="X938" s="645"/>
      <c r="Y938" s="639"/>
      <c r="Z938" s="643">
        <v>44861</v>
      </c>
      <c r="AA938" s="639"/>
      <c r="AB938" s="639"/>
      <c r="AC938" s="639"/>
    </row>
    <row r="939" spans="1:31" ht="15.75" thickTop="1">
      <c r="A939" s="428">
        <v>44852</v>
      </c>
      <c r="B939" s="1371" t="s">
        <v>13346</v>
      </c>
      <c r="C939" s="425" t="s">
        <v>69</v>
      </c>
      <c r="D939" s="425" t="s">
        <v>70</v>
      </c>
      <c r="E939" s="426" t="s">
        <v>11152</v>
      </c>
      <c r="F939" s="425">
        <v>1</v>
      </c>
      <c r="G939" s="1371" t="s">
        <v>13351</v>
      </c>
      <c r="H939" s="425"/>
      <c r="I939" s="425" t="s">
        <v>2173</v>
      </c>
      <c r="J939" s="425"/>
      <c r="K939" s="429">
        <v>5058793</v>
      </c>
      <c r="L939" s="425" t="s">
        <v>251</v>
      </c>
      <c r="M939" s="428">
        <v>44880</v>
      </c>
      <c r="N939" s="428">
        <v>44922</v>
      </c>
      <c r="O939" s="425"/>
      <c r="P939" s="1371"/>
      <c r="Q939" s="425"/>
      <c r="R939" s="429"/>
      <c r="S939" s="429"/>
      <c r="T939" s="1605"/>
      <c r="U939" s="1605"/>
      <c r="V939" s="1605"/>
      <c r="W939" s="429"/>
      <c r="X939" s="429"/>
      <c r="Y939" s="425"/>
      <c r="Z939" s="425"/>
      <c r="AA939" s="425"/>
      <c r="AB939" s="425"/>
      <c r="AC939" s="425"/>
    </row>
    <row r="940" spans="1:31">
      <c r="A940" s="2153">
        <v>44852</v>
      </c>
      <c r="B940" s="2156" t="s">
        <v>13347</v>
      </c>
      <c r="C940" s="2154" t="s">
        <v>69</v>
      </c>
      <c r="D940" s="2154" t="s">
        <v>70</v>
      </c>
      <c r="E940" s="2155" t="s">
        <v>11152</v>
      </c>
      <c r="F940" s="2154">
        <v>2</v>
      </c>
      <c r="G940" s="2156" t="s">
        <v>13352</v>
      </c>
      <c r="H940" s="2154"/>
      <c r="I940" s="2154" t="s">
        <v>2173</v>
      </c>
      <c r="J940" s="2154"/>
      <c r="K940" s="2157">
        <v>1899304</v>
      </c>
      <c r="L940" s="2154" t="s">
        <v>251</v>
      </c>
      <c r="M940" s="2153">
        <v>44880</v>
      </c>
      <c r="N940" s="2153">
        <v>44922</v>
      </c>
      <c r="O940" s="2154"/>
      <c r="P940" s="2156"/>
      <c r="Q940" s="2154"/>
      <c r="R940" s="2157"/>
      <c r="S940" s="2157"/>
      <c r="T940" s="2415"/>
      <c r="U940" s="2415"/>
      <c r="V940" s="2415"/>
      <c r="W940" s="2157"/>
      <c r="X940" s="2157"/>
      <c r="Y940" s="2154"/>
      <c r="Z940" s="2154"/>
      <c r="AA940" s="2154"/>
      <c r="AB940" s="2154"/>
      <c r="AC940" s="2154"/>
    </row>
    <row r="941" spans="1:31">
      <c r="A941" s="2153">
        <v>44852</v>
      </c>
      <c r="B941" s="2156" t="s">
        <v>13348</v>
      </c>
      <c r="C941" s="2154" t="s">
        <v>69</v>
      </c>
      <c r="D941" s="2154" t="s">
        <v>70</v>
      </c>
      <c r="E941" s="2155" t="s">
        <v>11152</v>
      </c>
      <c r="F941" s="2154">
        <v>3</v>
      </c>
      <c r="G941" s="2156" t="s">
        <v>13353</v>
      </c>
      <c r="H941" s="2154"/>
      <c r="I941" s="2154" t="s">
        <v>2173</v>
      </c>
      <c r="J941" s="2154"/>
      <c r="K941" s="2157">
        <v>8976917</v>
      </c>
      <c r="L941" s="2154" t="s">
        <v>251</v>
      </c>
      <c r="M941" s="2153">
        <v>44880</v>
      </c>
      <c r="N941" s="2153">
        <v>44922</v>
      </c>
      <c r="O941" s="2154"/>
      <c r="P941" s="2156"/>
      <c r="Q941" s="2154"/>
      <c r="R941" s="2157"/>
      <c r="S941" s="2157"/>
      <c r="T941" s="2415"/>
      <c r="U941" s="2415"/>
      <c r="V941" s="2415"/>
      <c r="W941" s="2157"/>
      <c r="X941" s="2157"/>
      <c r="Y941" s="2154"/>
      <c r="Z941" s="2154"/>
      <c r="AA941" s="2154"/>
      <c r="AB941" s="2154"/>
      <c r="AC941" s="2154"/>
    </row>
    <row r="942" spans="1:31">
      <c r="A942" s="2153">
        <v>44852</v>
      </c>
      <c r="B942" s="2156" t="s">
        <v>13349</v>
      </c>
      <c r="C942" s="2154" t="s">
        <v>69</v>
      </c>
      <c r="D942" s="2154" t="s">
        <v>70</v>
      </c>
      <c r="E942" s="2155" t="s">
        <v>11152</v>
      </c>
      <c r="F942" s="2154">
        <v>4</v>
      </c>
      <c r="G942" s="2156" t="s">
        <v>6106</v>
      </c>
      <c r="H942" s="2154"/>
      <c r="I942" s="2154" t="s">
        <v>2173</v>
      </c>
      <c r="J942" s="2154"/>
      <c r="K942" s="2157">
        <v>53664539</v>
      </c>
      <c r="L942" s="2154" t="s">
        <v>251</v>
      </c>
      <c r="M942" s="2153">
        <v>44880</v>
      </c>
      <c r="N942" s="2153">
        <v>44922</v>
      </c>
      <c r="O942" s="2154"/>
      <c r="P942" s="2156"/>
      <c r="Q942" s="2154"/>
      <c r="R942" s="2157"/>
      <c r="S942" s="2157"/>
      <c r="T942" s="2415"/>
      <c r="U942" s="2415"/>
      <c r="V942" s="2415"/>
      <c r="W942" s="2157"/>
      <c r="X942" s="2157"/>
      <c r="Y942" s="2154"/>
      <c r="Z942" s="2154"/>
      <c r="AA942" s="2154"/>
      <c r="AB942" s="2154"/>
      <c r="AC942" s="2154"/>
    </row>
    <row r="943" spans="1:31" ht="15.75" thickBot="1">
      <c r="A943" s="2152">
        <v>44852</v>
      </c>
      <c r="B943" s="2300" t="s">
        <v>13350</v>
      </c>
      <c r="C943" s="2297" t="s">
        <v>69</v>
      </c>
      <c r="D943" s="2297" t="s">
        <v>70</v>
      </c>
      <c r="E943" s="2298" t="s">
        <v>11152</v>
      </c>
      <c r="F943" s="2297">
        <v>5</v>
      </c>
      <c r="G943" s="2300" t="s">
        <v>13354</v>
      </c>
      <c r="H943" s="2297"/>
      <c r="I943" s="2297" t="s">
        <v>2173</v>
      </c>
      <c r="J943" s="2297"/>
      <c r="K943" s="2299">
        <v>223438</v>
      </c>
      <c r="L943" s="2297" t="s">
        <v>251</v>
      </c>
      <c r="M943" s="2152">
        <v>44880</v>
      </c>
      <c r="N943" s="2152">
        <v>44922</v>
      </c>
      <c r="O943" s="2297"/>
      <c r="P943" s="2300"/>
      <c r="Q943" s="2297"/>
      <c r="R943" s="2299"/>
      <c r="S943" s="2299"/>
      <c r="T943" s="2443"/>
      <c r="U943" s="2443"/>
      <c r="V943" s="2443"/>
      <c r="W943" s="2299"/>
      <c r="X943" s="2299"/>
      <c r="Y943" s="2297"/>
      <c r="Z943" s="2297"/>
      <c r="AA943" s="2297"/>
      <c r="AB943" s="2297"/>
      <c r="AC943" s="2297"/>
    </row>
    <row r="944" spans="1:31" ht="15.75" thickTop="1">
      <c r="A944" s="587">
        <v>44854</v>
      </c>
      <c r="B944" s="1427" t="s">
        <v>13356</v>
      </c>
      <c r="C944" s="583" t="s">
        <v>69</v>
      </c>
      <c r="D944" s="583" t="s">
        <v>70</v>
      </c>
      <c r="E944" s="584" t="s">
        <v>13357</v>
      </c>
      <c r="F944" s="583">
        <v>1</v>
      </c>
      <c r="G944" s="1427" t="s">
        <v>13358</v>
      </c>
      <c r="H944" s="583"/>
      <c r="I944" s="583" t="s">
        <v>93</v>
      </c>
      <c r="J944" s="583"/>
      <c r="K944" s="588">
        <v>8676720</v>
      </c>
      <c r="L944" s="583" t="s">
        <v>251</v>
      </c>
      <c r="M944" s="587">
        <v>44868</v>
      </c>
      <c r="N944" s="587">
        <v>44936</v>
      </c>
      <c r="O944" s="583"/>
      <c r="P944" s="1427"/>
      <c r="Q944" s="583"/>
      <c r="R944" s="588"/>
      <c r="S944" s="588"/>
      <c r="T944" s="1483"/>
      <c r="U944" s="1483"/>
      <c r="V944" s="1483"/>
      <c r="W944" s="588"/>
      <c r="X944" s="588"/>
      <c r="Y944" s="583"/>
      <c r="Z944" s="583"/>
      <c r="AA944" s="583"/>
      <c r="AB944" s="583"/>
      <c r="AC944" s="583"/>
    </row>
    <row r="945" spans="1:29">
      <c r="A945" s="2084">
        <v>44854</v>
      </c>
      <c r="B945" s="1828" t="s">
        <v>13363</v>
      </c>
      <c r="C945" s="2085" t="s">
        <v>69</v>
      </c>
      <c r="D945" s="2085" t="s">
        <v>70</v>
      </c>
      <c r="E945" s="2086" t="s">
        <v>13357</v>
      </c>
      <c r="F945" s="2085">
        <v>2</v>
      </c>
      <c r="G945" s="2680" t="s">
        <v>13359</v>
      </c>
      <c r="H945" s="2085"/>
      <c r="I945" s="2085" t="s">
        <v>93</v>
      </c>
      <c r="J945" s="2085"/>
      <c r="K945" s="2764">
        <v>4983532</v>
      </c>
      <c r="L945" s="2085" t="s">
        <v>251</v>
      </c>
      <c r="M945" s="2084">
        <v>44868</v>
      </c>
      <c r="N945" s="2084">
        <v>44936</v>
      </c>
      <c r="O945" s="2085"/>
      <c r="P945" s="2087"/>
      <c r="Q945" s="2085"/>
      <c r="R945" s="2092"/>
      <c r="S945" s="2092"/>
      <c r="T945" s="2094"/>
      <c r="U945" s="2094"/>
      <c r="V945" s="2094"/>
      <c r="W945" s="2092"/>
      <c r="X945" s="2092"/>
      <c r="Y945" s="2085"/>
      <c r="Z945" s="2085"/>
      <c r="AA945" s="2085"/>
      <c r="AB945" s="2085"/>
      <c r="AC945" s="2085"/>
    </row>
    <row r="946" spans="1:29">
      <c r="A946" s="2084">
        <v>44854</v>
      </c>
      <c r="B946" s="1828" t="s">
        <v>13364</v>
      </c>
      <c r="C946" s="2085" t="s">
        <v>69</v>
      </c>
      <c r="D946" s="2085" t="s">
        <v>70</v>
      </c>
      <c r="E946" s="2086" t="s">
        <v>13357</v>
      </c>
      <c r="F946" s="2085">
        <v>3</v>
      </c>
      <c r="G946" s="2087" t="s">
        <v>13360</v>
      </c>
      <c r="H946" s="2085"/>
      <c r="I946" s="2085" t="s">
        <v>93</v>
      </c>
      <c r="J946" s="2085"/>
      <c r="K946" s="2764">
        <v>2967085</v>
      </c>
      <c r="L946" s="2085" t="s">
        <v>251</v>
      </c>
      <c r="M946" s="2084">
        <v>44868</v>
      </c>
      <c r="N946" s="2084">
        <v>44936</v>
      </c>
      <c r="O946" s="2085"/>
      <c r="P946" s="2087"/>
      <c r="Q946" s="2085"/>
      <c r="R946" s="2092"/>
      <c r="S946" s="2092"/>
      <c r="T946" s="2094"/>
      <c r="U946" s="2094"/>
      <c r="V946" s="2094"/>
      <c r="W946" s="2092"/>
      <c r="X946" s="2092"/>
      <c r="Y946" s="2085"/>
      <c r="Z946" s="2085"/>
      <c r="AA946" s="2085"/>
      <c r="AB946" s="2085"/>
      <c r="AC946" s="2085"/>
    </row>
    <row r="947" spans="1:29">
      <c r="A947" s="2084">
        <v>44854</v>
      </c>
      <c r="B947" s="1828" t="s">
        <v>13365</v>
      </c>
      <c r="C947" s="2085" t="s">
        <v>69</v>
      </c>
      <c r="D947" s="2085" t="s">
        <v>70</v>
      </c>
      <c r="E947" s="2086" t="s">
        <v>13357</v>
      </c>
      <c r="F947" s="2085">
        <v>4</v>
      </c>
      <c r="G947" s="2087" t="s">
        <v>13361</v>
      </c>
      <c r="H947" s="2085"/>
      <c r="I947" s="2085" t="s">
        <v>93</v>
      </c>
      <c r="J947" s="2085"/>
      <c r="K947" s="2764">
        <v>59449458</v>
      </c>
      <c r="L947" s="2085" t="s">
        <v>251</v>
      </c>
      <c r="M947" s="2084">
        <v>44868</v>
      </c>
      <c r="N947" s="2084">
        <v>44936</v>
      </c>
      <c r="O947" s="2085"/>
      <c r="P947" s="2087"/>
      <c r="Q947" s="2085"/>
      <c r="R947" s="2092"/>
      <c r="S947" s="2092"/>
      <c r="T947" s="2094"/>
      <c r="U947" s="2094"/>
      <c r="V947" s="2094"/>
      <c r="W947" s="2092"/>
      <c r="X947" s="2092"/>
      <c r="Y947" s="2085"/>
      <c r="Z947" s="2085"/>
      <c r="AA947" s="2085"/>
      <c r="AB947" s="2085"/>
      <c r="AC947" s="2085"/>
    </row>
    <row r="948" spans="1:29" ht="15.75" thickBot="1">
      <c r="A948" s="2088">
        <v>44854</v>
      </c>
      <c r="B948" s="2651" t="s">
        <v>13366</v>
      </c>
      <c r="C948" s="2089" t="s">
        <v>69</v>
      </c>
      <c r="D948" s="2089" t="s">
        <v>70</v>
      </c>
      <c r="E948" s="2090" t="s">
        <v>13357</v>
      </c>
      <c r="F948" s="2089">
        <v>5</v>
      </c>
      <c r="G948" s="2091" t="s">
        <v>13362</v>
      </c>
      <c r="H948" s="2089"/>
      <c r="I948" s="2089" t="s">
        <v>93</v>
      </c>
      <c r="J948" s="2089"/>
      <c r="K948" s="2765">
        <v>6610119</v>
      </c>
      <c r="L948" s="2089" t="s">
        <v>251</v>
      </c>
      <c r="M948" s="2088">
        <v>44868</v>
      </c>
      <c r="N948" s="2088">
        <v>44936</v>
      </c>
      <c r="O948" s="2089"/>
      <c r="P948" s="2091"/>
      <c r="Q948" s="2089"/>
      <c r="R948" s="2093"/>
      <c r="S948" s="2093"/>
      <c r="T948" s="2095"/>
      <c r="U948" s="2095"/>
      <c r="V948" s="2095"/>
      <c r="W948" s="2093"/>
      <c r="X948" s="2093"/>
      <c r="Y948" s="2089"/>
      <c r="Z948" s="2089"/>
      <c r="AA948" s="2089"/>
      <c r="AB948" s="2089"/>
      <c r="AC948" s="2089"/>
    </row>
    <row r="949" spans="1:29" ht="15.75" thickTop="1">
      <c r="A949" s="470">
        <v>44853</v>
      </c>
      <c r="B949" s="654" t="s">
        <v>13367</v>
      </c>
      <c r="C949" s="466" t="s">
        <v>2434</v>
      </c>
      <c r="D949" s="466" t="s">
        <v>219</v>
      </c>
      <c r="E949" s="467" t="s">
        <v>13368</v>
      </c>
      <c r="F949" s="466"/>
      <c r="G949" s="654"/>
      <c r="H949" s="576"/>
      <c r="I949" s="466" t="s">
        <v>13369</v>
      </c>
      <c r="J949" s="466"/>
      <c r="K949" s="472">
        <v>1646340</v>
      </c>
      <c r="L949" s="466" t="s">
        <v>112</v>
      </c>
      <c r="M949" s="470">
        <v>44858</v>
      </c>
      <c r="N949" s="470">
        <v>44866</v>
      </c>
      <c r="O949" s="466"/>
      <c r="P949" s="471" t="s">
        <v>1320</v>
      </c>
      <c r="Q949" s="2014" t="s">
        <v>13489</v>
      </c>
      <c r="R949" s="472"/>
      <c r="S949" s="472"/>
      <c r="T949" s="1489"/>
      <c r="U949" s="1489"/>
      <c r="V949" s="1489"/>
      <c r="W949" s="472"/>
      <c r="X949" s="472"/>
      <c r="Y949" s="466"/>
      <c r="Z949" s="470">
        <v>44866</v>
      </c>
      <c r="AA949" s="466"/>
      <c r="AB949" s="466"/>
      <c r="AC949" s="466"/>
    </row>
    <row r="950" spans="1:29">
      <c r="A950" s="2153">
        <v>44854</v>
      </c>
      <c r="B950" s="2156" t="s">
        <v>13370</v>
      </c>
      <c r="C950" s="2154" t="s">
        <v>69</v>
      </c>
      <c r="D950" s="2154" t="s">
        <v>70</v>
      </c>
      <c r="E950" s="2155" t="s">
        <v>13371</v>
      </c>
      <c r="F950" s="2154"/>
      <c r="G950" s="2156"/>
      <c r="H950" s="2154"/>
      <c r="I950" s="2154" t="s">
        <v>3436</v>
      </c>
      <c r="J950" s="2154"/>
      <c r="K950" s="2157">
        <v>5129564</v>
      </c>
      <c r="L950" s="2154" t="s">
        <v>251</v>
      </c>
      <c r="M950" s="2153">
        <v>44865</v>
      </c>
      <c r="N950" s="2153">
        <v>44900</v>
      </c>
      <c r="O950" s="2154"/>
      <c r="P950" s="2156"/>
      <c r="Q950" s="2154"/>
      <c r="R950" s="2157"/>
      <c r="S950" s="2157"/>
      <c r="T950" s="2415"/>
      <c r="U950" s="2415"/>
      <c r="V950" s="2415"/>
      <c r="W950" s="2157"/>
      <c r="X950" s="2157"/>
      <c r="Y950" s="2154"/>
      <c r="Z950" s="2154"/>
      <c r="AA950" s="2154"/>
      <c r="AB950" s="2154"/>
      <c r="AC950" s="2154"/>
    </row>
    <row r="951" spans="1:29" ht="15.75" thickBot="1">
      <c r="A951" s="416">
        <v>44853</v>
      </c>
      <c r="B951" s="630" t="s">
        <v>13377</v>
      </c>
      <c r="C951" s="411" t="s">
        <v>14</v>
      </c>
      <c r="D951" s="411" t="s">
        <v>13</v>
      </c>
      <c r="E951" s="412" t="s">
        <v>13378</v>
      </c>
      <c r="F951" s="411"/>
      <c r="G951" s="630"/>
      <c r="H951" s="411"/>
      <c r="I951" s="411" t="s">
        <v>13379</v>
      </c>
      <c r="J951" s="411"/>
      <c r="K951" s="417">
        <v>360000</v>
      </c>
      <c r="L951" s="411" t="s">
        <v>112</v>
      </c>
      <c r="M951" s="416">
        <v>44859</v>
      </c>
      <c r="N951" s="416">
        <v>44866</v>
      </c>
      <c r="O951" s="416">
        <v>44872</v>
      </c>
      <c r="P951" s="630" t="s">
        <v>13471</v>
      </c>
      <c r="Q951" s="411"/>
      <c r="R951" s="417">
        <v>357000</v>
      </c>
      <c r="S951" s="417">
        <v>431970</v>
      </c>
      <c r="T951" s="1480"/>
      <c r="U951" s="1480"/>
      <c r="V951" s="1480"/>
      <c r="W951" s="513">
        <v>44872</v>
      </c>
      <c r="X951" s="417" t="s">
        <v>13500</v>
      </c>
      <c r="Y951" s="416">
        <v>44897</v>
      </c>
      <c r="Z951" s="416">
        <v>44900</v>
      </c>
      <c r="AA951" s="416">
        <v>45413</v>
      </c>
      <c r="AB951" s="422"/>
      <c r="AC951" s="967"/>
    </row>
    <row r="952" spans="1:29" ht="15.75" thickTop="1">
      <c r="A952" s="428">
        <v>44855</v>
      </c>
      <c r="B952" s="1371" t="s">
        <v>13388</v>
      </c>
      <c r="C952" s="425" t="s">
        <v>2434</v>
      </c>
      <c r="D952" s="425" t="s">
        <v>219</v>
      </c>
      <c r="E952" s="426" t="s">
        <v>13385</v>
      </c>
      <c r="F952" s="425">
        <v>1</v>
      </c>
      <c r="G952" s="1371" t="s">
        <v>13386</v>
      </c>
      <c r="H952" s="425"/>
      <c r="I952" s="425" t="s">
        <v>3271</v>
      </c>
      <c r="J952" s="425"/>
      <c r="K952" s="429">
        <v>623700</v>
      </c>
      <c r="L952" s="425" t="s">
        <v>251</v>
      </c>
      <c r="M952" s="428">
        <v>44865</v>
      </c>
      <c r="N952" s="428">
        <v>44900</v>
      </c>
      <c r="O952" s="425"/>
      <c r="P952" s="1371"/>
      <c r="Q952" s="425"/>
      <c r="R952" s="429"/>
      <c r="S952" s="429"/>
      <c r="T952" s="1605"/>
      <c r="U952" s="1605"/>
      <c r="V952" s="1605"/>
      <c r="W952" s="429"/>
      <c r="X952" s="429"/>
      <c r="Y952" s="425"/>
      <c r="Z952" s="425"/>
      <c r="AA952" s="1371" t="s">
        <v>13964</v>
      </c>
      <c r="AB952" s="425"/>
      <c r="AC952" s="425"/>
    </row>
    <row r="953" spans="1:29" ht="15.75" thickBot="1">
      <c r="A953" s="2130">
        <v>44855</v>
      </c>
      <c r="B953" s="2133" t="s">
        <v>13389</v>
      </c>
      <c r="C953" s="2131" t="s">
        <v>2434</v>
      </c>
      <c r="D953" s="2131" t="s">
        <v>219</v>
      </c>
      <c r="E953" s="2132" t="s">
        <v>13385</v>
      </c>
      <c r="F953" s="2131">
        <v>2</v>
      </c>
      <c r="G953" s="2133" t="s">
        <v>13387</v>
      </c>
      <c r="H953" s="2131"/>
      <c r="I953" s="2131" t="s">
        <v>3271</v>
      </c>
      <c r="J953" s="2131"/>
      <c r="K953" s="2134">
        <v>95250</v>
      </c>
      <c r="L953" s="2131" t="s">
        <v>251</v>
      </c>
      <c r="M953" s="2130">
        <v>44865</v>
      </c>
      <c r="N953" s="2130">
        <v>44900</v>
      </c>
      <c r="O953" s="2131"/>
      <c r="P953" s="2137" t="s">
        <v>304</v>
      </c>
      <c r="Q953" s="2131"/>
      <c r="R953" s="2134"/>
      <c r="S953" s="2134"/>
      <c r="T953" s="2135"/>
      <c r="U953" s="2135"/>
      <c r="V953" s="2135"/>
      <c r="W953" s="2134"/>
      <c r="X953" s="2134"/>
      <c r="Y953" s="2131"/>
      <c r="Z953" s="2130">
        <v>44936</v>
      </c>
      <c r="AA953" s="2133" t="s">
        <v>13760</v>
      </c>
      <c r="AB953" s="2131"/>
      <c r="AC953" s="2131"/>
    </row>
    <row r="954" spans="1:29" ht="15.75" thickTop="1">
      <c r="A954" s="365">
        <v>44855</v>
      </c>
      <c r="B954" s="2809" t="s">
        <v>13390</v>
      </c>
      <c r="C954" s="2808" t="s">
        <v>14</v>
      </c>
      <c r="D954" s="2808" t="s">
        <v>13</v>
      </c>
      <c r="E954" s="175" t="s">
        <v>13391</v>
      </c>
      <c r="F954" s="2808"/>
      <c r="G954" s="2809"/>
      <c r="H954" s="2808"/>
      <c r="I954" s="2808" t="s">
        <v>13392</v>
      </c>
      <c r="J954" s="2808"/>
      <c r="K954" s="364">
        <v>240000</v>
      </c>
      <c r="L954" s="2808" t="s">
        <v>235</v>
      </c>
      <c r="M954" s="365">
        <v>44866</v>
      </c>
      <c r="N954" s="365">
        <v>44879</v>
      </c>
      <c r="O954" s="365">
        <v>44887</v>
      </c>
      <c r="P954" s="2809" t="s">
        <v>6772</v>
      </c>
      <c r="Q954" s="2808"/>
      <c r="R954" s="364">
        <v>164000</v>
      </c>
      <c r="S954" s="364">
        <v>198440</v>
      </c>
      <c r="T954" s="1473"/>
      <c r="U954" s="1473"/>
      <c r="V954" s="1473"/>
      <c r="W954" s="681">
        <v>44887</v>
      </c>
      <c r="X954" s="364" t="s">
        <v>13590</v>
      </c>
      <c r="Y954" s="365">
        <v>44907</v>
      </c>
      <c r="Z954" s="365">
        <v>44910</v>
      </c>
      <c r="AA954" s="2808"/>
      <c r="AB954" s="451"/>
      <c r="AC954" s="1513"/>
    </row>
    <row r="955" spans="1:29">
      <c r="A955" s="2153">
        <v>44858</v>
      </c>
      <c r="B955" s="2156" t="s">
        <v>13401</v>
      </c>
      <c r="C955" s="2154" t="s">
        <v>1032</v>
      </c>
      <c r="D955" s="2154" t="s">
        <v>361</v>
      </c>
      <c r="E955" s="2155" t="s">
        <v>13402</v>
      </c>
      <c r="F955" s="2154"/>
      <c r="G955" s="2156"/>
      <c r="H955" s="2085"/>
      <c r="I955" s="2154" t="s">
        <v>13403</v>
      </c>
      <c r="J955" s="2154"/>
      <c r="K955" s="2157">
        <v>3000000</v>
      </c>
      <c r="L955" s="2154" t="s">
        <v>251</v>
      </c>
      <c r="M955" s="2153">
        <v>44869</v>
      </c>
      <c r="N955" s="2153">
        <v>44902</v>
      </c>
      <c r="O955" s="2153">
        <v>44911</v>
      </c>
      <c r="P955" s="2156" t="s">
        <v>5070</v>
      </c>
      <c r="Q955" s="2154"/>
      <c r="R955" s="2157">
        <v>2564878</v>
      </c>
      <c r="S955" s="2157">
        <v>3103502.38</v>
      </c>
      <c r="T955" s="2094"/>
      <c r="U955" s="2094"/>
      <c r="V955" s="2094"/>
      <c r="W955" s="2160">
        <v>44911</v>
      </c>
      <c r="X955" s="2157" t="s">
        <v>13773</v>
      </c>
      <c r="Y955" s="2154"/>
      <c r="Z955" s="2154"/>
      <c r="AA955" s="2154"/>
      <c r="AB955" s="2154"/>
      <c r="AC955" s="2154"/>
    </row>
    <row r="956" spans="1:29">
      <c r="A956" s="2153">
        <v>44859</v>
      </c>
      <c r="B956" s="2156" t="s">
        <v>13411</v>
      </c>
      <c r="C956" s="2154" t="s">
        <v>52</v>
      </c>
      <c r="D956" s="2154" t="s">
        <v>7503</v>
      </c>
      <c r="E956" s="2155" t="s">
        <v>13412</v>
      </c>
      <c r="F956" s="2154"/>
      <c r="G956" s="2156"/>
      <c r="H956" s="2154"/>
      <c r="I956" s="2154" t="s">
        <v>12595</v>
      </c>
      <c r="J956" s="2153" t="s">
        <v>13413</v>
      </c>
      <c r="K956" s="2157">
        <v>1950000</v>
      </c>
      <c r="L956" s="2154" t="s">
        <v>216</v>
      </c>
      <c r="M956" s="2153">
        <v>44867</v>
      </c>
      <c r="N956" s="2153">
        <v>44888</v>
      </c>
      <c r="O956" s="2153">
        <v>44900</v>
      </c>
      <c r="P956" s="2156" t="s">
        <v>3500</v>
      </c>
      <c r="Q956" s="2154"/>
      <c r="R956" s="2157">
        <v>1850000</v>
      </c>
      <c r="S956" s="2157">
        <v>2238500</v>
      </c>
      <c r="T956" s="2415"/>
      <c r="U956" s="2415"/>
      <c r="V956" s="2415"/>
      <c r="W956" s="2160">
        <v>44900</v>
      </c>
      <c r="X956" s="2157" t="s">
        <v>13702</v>
      </c>
      <c r="Y956" s="2154"/>
      <c r="Z956" s="2154"/>
      <c r="AA956" s="2154"/>
      <c r="AB956" s="2154"/>
      <c r="AC956" s="2154"/>
    </row>
    <row r="957" spans="1:29">
      <c r="A957" s="2153">
        <v>44861</v>
      </c>
      <c r="B957" s="2156" t="s">
        <v>13429</v>
      </c>
      <c r="C957" s="2154" t="s">
        <v>69</v>
      </c>
      <c r="D957" s="2154" t="s">
        <v>70</v>
      </c>
      <c r="E957" s="2700" t="s">
        <v>13430</v>
      </c>
      <c r="F957" s="2154"/>
      <c r="G957" s="2156"/>
      <c r="H957" s="2085"/>
      <c r="I957" s="2154" t="s">
        <v>3435</v>
      </c>
      <c r="J957" s="2154"/>
      <c r="K957" s="2157">
        <v>11105554</v>
      </c>
      <c r="L957" s="2154" t="s">
        <v>251</v>
      </c>
      <c r="M957" s="2153">
        <v>44880</v>
      </c>
      <c r="N957" s="2153">
        <v>44914</v>
      </c>
      <c r="O957" s="2154"/>
      <c r="P957" s="2156"/>
      <c r="Q957" s="2154"/>
      <c r="R957" s="2157"/>
      <c r="S957" s="2157"/>
      <c r="T957" s="2094"/>
      <c r="U957" s="2094"/>
      <c r="V957" s="2094"/>
      <c r="W957" s="2157"/>
      <c r="X957" s="2157"/>
      <c r="Y957" s="2154"/>
      <c r="Z957" s="2154"/>
      <c r="AA957" s="2154"/>
      <c r="AB957" s="2154"/>
      <c r="AC957" s="2154"/>
    </row>
    <row r="958" spans="1:29">
      <c r="A958" s="2153" t="s">
        <v>3585</v>
      </c>
      <c r="B958" s="2156" t="s">
        <v>13431</v>
      </c>
      <c r="C958" s="2154" t="s">
        <v>69</v>
      </c>
      <c r="D958" s="2154" t="s">
        <v>70</v>
      </c>
      <c r="E958" s="2155" t="s">
        <v>13432</v>
      </c>
      <c r="F958" s="2154"/>
      <c r="G958" s="2156"/>
      <c r="H958" s="2154"/>
      <c r="I958" s="2154" t="s">
        <v>7790</v>
      </c>
      <c r="J958" s="2154"/>
      <c r="K958" s="2157">
        <v>714307</v>
      </c>
      <c r="L958" s="2154" t="s">
        <v>251</v>
      </c>
      <c r="M958" s="2153">
        <v>44890</v>
      </c>
      <c r="N958" s="2153">
        <v>44922</v>
      </c>
      <c r="O958" s="2154"/>
      <c r="P958" s="2156"/>
      <c r="Q958" s="2154"/>
      <c r="R958" s="2157"/>
      <c r="S958" s="2157"/>
      <c r="T958" s="2415"/>
      <c r="U958" s="2415"/>
      <c r="V958" s="2415"/>
      <c r="W958" s="2157"/>
      <c r="X958" s="2157"/>
      <c r="Y958" s="2154"/>
      <c r="Z958" s="2154"/>
      <c r="AA958" s="2154"/>
      <c r="AB958" s="2154"/>
      <c r="AC958" s="2154"/>
    </row>
    <row r="959" spans="1:29">
      <c r="A959" s="2141" t="s">
        <v>3585</v>
      </c>
      <c r="B959" s="2143" t="s">
        <v>13434</v>
      </c>
      <c r="C959" s="2141" t="s">
        <v>1032</v>
      </c>
      <c r="D959" s="2141" t="s">
        <v>361</v>
      </c>
      <c r="E959" s="2142" t="s">
        <v>13435</v>
      </c>
      <c r="F959" s="2141"/>
      <c r="G959" s="2143"/>
      <c r="H959" s="2141"/>
      <c r="I959" s="2141" t="s">
        <v>158</v>
      </c>
      <c r="J959" s="2141" t="s">
        <v>13304</v>
      </c>
      <c r="K959" s="2144">
        <v>170000</v>
      </c>
      <c r="L959" s="2141" t="s">
        <v>112</v>
      </c>
      <c r="M959" s="2140">
        <v>44867</v>
      </c>
      <c r="N959" s="2140">
        <v>44875</v>
      </c>
      <c r="O959" s="2140">
        <v>44887</v>
      </c>
      <c r="P959" s="2143" t="s">
        <v>1733</v>
      </c>
      <c r="Q959" s="2141"/>
      <c r="R959" s="2144">
        <v>129511</v>
      </c>
      <c r="S959" s="2144">
        <v>156708.31</v>
      </c>
      <c r="T959" s="2145"/>
      <c r="U959" s="2145"/>
      <c r="V959" s="2145"/>
      <c r="W959" s="2146">
        <v>44887</v>
      </c>
      <c r="X959" s="2144" t="s">
        <v>13589</v>
      </c>
      <c r="Y959" s="2140">
        <v>44909</v>
      </c>
      <c r="Z959" s="2140">
        <v>44911</v>
      </c>
      <c r="AA959" s="2140">
        <v>44979</v>
      </c>
      <c r="AB959" s="2109"/>
      <c r="AC959" s="2106"/>
    </row>
    <row r="960" spans="1:29" ht="15.75" thickBot="1">
      <c r="A960" s="1871">
        <v>44865</v>
      </c>
      <c r="B960" s="1875" t="s">
        <v>13437</v>
      </c>
      <c r="C960" s="1437" t="s">
        <v>69</v>
      </c>
      <c r="D960" s="1437" t="s">
        <v>70</v>
      </c>
      <c r="E960" s="1873" t="s">
        <v>13438</v>
      </c>
      <c r="F960" s="1437"/>
      <c r="G960" s="1875"/>
      <c r="H960" s="1437"/>
      <c r="I960" s="1437" t="s">
        <v>816</v>
      </c>
      <c r="J960" s="1437"/>
      <c r="K960" s="1874">
        <v>3589589</v>
      </c>
      <c r="L960" s="1437" t="s">
        <v>251</v>
      </c>
      <c r="M960" s="1871">
        <v>44904</v>
      </c>
      <c r="N960" s="1871">
        <v>44939</v>
      </c>
      <c r="O960" s="1437"/>
      <c r="P960" s="1875"/>
      <c r="Q960" s="1437"/>
      <c r="R960" s="1874"/>
      <c r="S960" s="1874"/>
      <c r="T960" s="1490"/>
      <c r="U960" s="1490"/>
      <c r="V960" s="1490"/>
      <c r="W960" s="1874"/>
      <c r="X960" s="1874"/>
      <c r="Y960" s="1437"/>
      <c r="Z960" s="1437"/>
      <c r="AA960" s="1437"/>
      <c r="AB960" s="1437"/>
      <c r="AC960" s="1437"/>
    </row>
    <row r="961" spans="1:29" ht="15.75" thickTop="1">
      <c r="A961" s="443">
        <v>44865</v>
      </c>
      <c r="B961" s="1431" t="s">
        <v>13439</v>
      </c>
      <c r="C961" s="439" t="s">
        <v>69</v>
      </c>
      <c r="D961" s="439" t="s">
        <v>70</v>
      </c>
      <c r="E961" s="440" t="s">
        <v>13440</v>
      </c>
      <c r="F961" s="439">
        <v>1</v>
      </c>
      <c r="G961" s="1431" t="s">
        <v>13441</v>
      </c>
      <c r="H961" s="439"/>
      <c r="I961" s="439" t="s">
        <v>13442</v>
      </c>
      <c r="J961" s="439"/>
      <c r="K961" s="444">
        <v>8595035</v>
      </c>
      <c r="L961" s="439" t="s">
        <v>251</v>
      </c>
      <c r="M961" s="443">
        <v>44890</v>
      </c>
      <c r="N961" s="443">
        <v>44923</v>
      </c>
      <c r="O961" s="439"/>
      <c r="P961" s="753" t="s">
        <v>4964</v>
      </c>
      <c r="Q961" s="538" t="s">
        <v>14304</v>
      </c>
      <c r="R961" s="444"/>
      <c r="S961" s="444"/>
      <c r="T961" s="1481"/>
      <c r="U961" s="1481"/>
      <c r="V961" s="1481"/>
      <c r="W961" s="444"/>
      <c r="X961" s="444"/>
      <c r="Y961" s="439"/>
      <c r="Z961" s="443">
        <v>44909</v>
      </c>
      <c r="AA961" s="1431" t="s">
        <v>13760</v>
      </c>
      <c r="AB961" s="439"/>
      <c r="AC961" s="439"/>
    </row>
    <row r="962" spans="1:29" ht="15.75" thickBot="1">
      <c r="A962" s="2130">
        <v>44865</v>
      </c>
      <c r="B962" s="2133" t="s">
        <v>13444</v>
      </c>
      <c r="C962" s="2131" t="s">
        <v>69</v>
      </c>
      <c r="D962" s="2131" t="s">
        <v>70</v>
      </c>
      <c r="E962" s="2132" t="s">
        <v>13440</v>
      </c>
      <c r="F962" s="2131">
        <v>2</v>
      </c>
      <c r="G962" s="2133" t="s">
        <v>13443</v>
      </c>
      <c r="H962" s="2131"/>
      <c r="I962" s="2131" t="s">
        <v>13442</v>
      </c>
      <c r="J962" s="2131"/>
      <c r="K962" s="2134">
        <v>340117</v>
      </c>
      <c r="L962" s="2131" t="s">
        <v>251</v>
      </c>
      <c r="M962" s="2130">
        <v>44890</v>
      </c>
      <c r="N962" s="2130">
        <v>44923</v>
      </c>
      <c r="O962" s="2131"/>
      <c r="P962" s="2137" t="s">
        <v>304</v>
      </c>
      <c r="Q962" s="2878" t="s">
        <v>14305</v>
      </c>
      <c r="R962" s="2134"/>
      <c r="S962" s="2134"/>
      <c r="T962" s="2135"/>
      <c r="U962" s="2135"/>
      <c r="V962" s="2135"/>
      <c r="W962" s="2134"/>
      <c r="X962" s="2134"/>
      <c r="Y962" s="2131"/>
      <c r="Z962" s="2130">
        <v>44928</v>
      </c>
      <c r="AA962" s="2133" t="s">
        <v>13838</v>
      </c>
      <c r="AB962" s="2131"/>
      <c r="AC962" s="2131"/>
    </row>
    <row r="963" spans="1:29" ht="15.75" thickTop="1">
      <c r="A963" s="2837">
        <v>44866</v>
      </c>
      <c r="B963" s="2838" t="s">
        <v>13450</v>
      </c>
      <c r="C963" s="2839" t="s">
        <v>69</v>
      </c>
      <c r="D963" s="2839" t="s">
        <v>70</v>
      </c>
      <c r="E963" s="2840" t="s">
        <v>13451</v>
      </c>
      <c r="F963" s="824">
        <v>1</v>
      </c>
      <c r="G963" s="1565" t="s">
        <v>13452</v>
      </c>
      <c r="H963" s="824"/>
      <c r="I963" s="824" t="s">
        <v>13453</v>
      </c>
      <c r="J963" s="824"/>
      <c r="K963" s="828">
        <v>7000783</v>
      </c>
      <c r="L963" s="824" t="s">
        <v>251</v>
      </c>
      <c r="M963" s="824"/>
      <c r="N963" s="824"/>
      <c r="O963" s="824"/>
      <c r="P963" s="1565"/>
      <c r="Q963" s="824"/>
      <c r="R963" s="828"/>
      <c r="S963" s="828"/>
      <c r="T963" s="1486"/>
      <c r="U963" s="1486"/>
      <c r="V963" s="1486"/>
      <c r="W963" s="828"/>
      <c r="X963" s="828"/>
      <c r="Y963" s="824"/>
      <c r="Z963" s="824"/>
      <c r="AA963" s="824"/>
      <c r="AB963" s="824"/>
      <c r="AC963" s="824"/>
    </row>
    <row r="964" spans="1:29" ht="15.75" thickBot="1">
      <c r="A964" s="2841">
        <v>44866</v>
      </c>
      <c r="B964" s="2842" t="s">
        <v>13455</v>
      </c>
      <c r="C964" s="2843" t="s">
        <v>69</v>
      </c>
      <c r="D964" s="2843" t="s">
        <v>70</v>
      </c>
      <c r="E964" s="2844" t="s">
        <v>13451</v>
      </c>
      <c r="F964" s="2107">
        <v>2</v>
      </c>
      <c r="G964" s="2309" t="s">
        <v>13454</v>
      </c>
      <c r="H964" s="2107"/>
      <c r="I964" s="2107" t="s">
        <v>13453</v>
      </c>
      <c r="J964" s="2107"/>
      <c r="K964" s="2310">
        <v>1873944</v>
      </c>
      <c r="L964" s="2107" t="s">
        <v>251</v>
      </c>
      <c r="M964" s="2107"/>
      <c r="N964" s="2107"/>
      <c r="O964" s="2107"/>
      <c r="P964" s="2309"/>
      <c r="Q964" s="2107"/>
      <c r="R964" s="2310"/>
      <c r="S964" s="2310"/>
      <c r="T964" s="2311"/>
      <c r="U964" s="2311"/>
      <c r="V964" s="2311"/>
      <c r="W964" s="2310"/>
      <c r="X964" s="2310"/>
      <c r="Y964" s="2107"/>
      <c r="Z964" s="2107"/>
      <c r="AA964" s="2107"/>
      <c r="AB964" s="2107"/>
      <c r="AC964" s="2107"/>
    </row>
    <row r="965" spans="1:29" ht="16.5" thickTop="1" thickBot="1">
      <c r="A965" s="2845">
        <v>44866</v>
      </c>
      <c r="B965" s="2846" t="s">
        <v>13456</v>
      </c>
      <c r="C965" s="2847" t="s">
        <v>69</v>
      </c>
      <c r="D965" s="2847" t="s">
        <v>70</v>
      </c>
      <c r="E965" s="2848" t="s">
        <v>13457</v>
      </c>
      <c r="F965" s="2530"/>
      <c r="G965" s="2531"/>
      <c r="H965" s="2530"/>
      <c r="I965" s="2530" t="s">
        <v>13453</v>
      </c>
      <c r="J965" s="2530"/>
      <c r="K965" s="2760">
        <v>1483117</v>
      </c>
      <c r="L965" s="2530" t="s">
        <v>251</v>
      </c>
      <c r="M965" s="2530"/>
      <c r="N965" s="2530"/>
      <c r="O965" s="2530"/>
      <c r="P965" s="2531"/>
      <c r="Q965" s="2530"/>
      <c r="R965" s="2760"/>
      <c r="S965" s="2760"/>
      <c r="T965" s="2761"/>
      <c r="U965" s="2761"/>
      <c r="V965" s="2761"/>
      <c r="W965" s="2760"/>
      <c r="X965" s="2760"/>
      <c r="Y965" s="2530"/>
      <c r="Z965" s="2530"/>
      <c r="AA965" s="2530"/>
      <c r="AB965" s="2530"/>
      <c r="AC965" s="2530"/>
    </row>
    <row r="966" spans="1:29" ht="15.75" thickTop="1">
      <c r="A966" s="2837">
        <v>44562</v>
      </c>
      <c r="B966" s="2838" t="s">
        <v>13458</v>
      </c>
      <c r="C966" s="2839" t="s">
        <v>69</v>
      </c>
      <c r="D966" s="2839" t="s">
        <v>70</v>
      </c>
      <c r="E966" s="2849" t="s">
        <v>13459</v>
      </c>
      <c r="F966" s="824">
        <v>1</v>
      </c>
      <c r="G966" s="1565" t="s">
        <v>13460</v>
      </c>
      <c r="H966" s="824"/>
      <c r="I966" s="824" t="s">
        <v>13453</v>
      </c>
      <c r="J966" s="824"/>
      <c r="K966" s="828">
        <v>784630</v>
      </c>
      <c r="L966" s="824" t="s">
        <v>251</v>
      </c>
      <c r="M966" s="824"/>
      <c r="N966" s="824"/>
      <c r="O966" s="824"/>
      <c r="P966" s="1565"/>
      <c r="Q966" s="824"/>
      <c r="R966" s="828"/>
      <c r="S966" s="828"/>
      <c r="T966" s="1486"/>
      <c r="U966" s="1486"/>
      <c r="V966" s="1486"/>
      <c r="W966" s="828"/>
      <c r="X966" s="828"/>
      <c r="Y966" s="824"/>
      <c r="Z966" s="824"/>
      <c r="AA966" s="824"/>
      <c r="AB966" s="824"/>
      <c r="AC966" s="824"/>
    </row>
    <row r="967" spans="1:29" ht="15.75" thickBot="1">
      <c r="A967" s="2841">
        <v>44562</v>
      </c>
      <c r="B967" s="2842" t="s">
        <v>13462</v>
      </c>
      <c r="C967" s="2843" t="s">
        <v>69</v>
      </c>
      <c r="D967" s="2843" t="s">
        <v>70</v>
      </c>
      <c r="E967" s="2850" t="s">
        <v>13459</v>
      </c>
      <c r="F967" s="2107">
        <v>2</v>
      </c>
      <c r="G967" s="2309" t="s">
        <v>13461</v>
      </c>
      <c r="H967" s="2107"/>
      <c r="I967" s="2107" t="s">
        <v>13453</v>
      </c>
      <c r="J967" s="2107"/>
      <c r="K967" s="2310">
        <v>1387535</v>
      </c>
      <c r="L967" s="2107" t="s">
        <v>251</v>
      </c>
      <c r="M967" s="2107"/>
      <c r="N967" s="2107"/>
      <c r="O967" s="2107"/>
      <c r="P967" s="2309"/>
      <c r="Q967" s="2107"/>
      <c r="R967" s="2310"/>
      <c r="S967" s="2310"/>
      <c r="T967" s="2311"/>
      <c r="U967" s="2311"/>
      <c r="V967" s="2311"/>
      <c r="W967" s="2310"/>
      <c r="X967" s="2310"/>
      <c r="Y967" s="2107"/>
      <c r="Z967" s="2107"/>
      <c r="AA967" s="2107"/>
      <c r="AB967" s="2107"/>
      <c r="AC967" s="2107"/>
    </row>
    <row r="968" spans="1:29" ht="15.75" thickTop="1">
      <c r="A968" s="365">
        <v>44865</v>
      </c>
      <c r="B968" s="2805" t="s">
        <v>13463</v>
      </c>
      <c r="C968" s="2804" t="s">
        <v>4997</v>
      </c>
      <c r="D968" s="2804" t="s">
        <v>7475</v>
      </c>
      <c r="E968" s="175" t="s">
        <v>13464</v>
      </c>
      <c r="F968" s="2804"/>
      <c r="G968" s="2805"/>
      <c r="H968" s="2804"/>
      <c r="I968" s="2804" t="s">
        <v>1676</v>
      </c>
      <c r="J968" s="2804"/>
      <c r="K968" s="364">
        <v>650000</v>
      </c>
      <c r="L968" s="2804" t="s">
        <v>112</v>
      </c>
      <c r="M968" s="365">
        <v>44868</v>
      </c>
      <c r="N968" s="365">
        <v>44880</v>
      </c>
      <c r="O968" s="365">
        <v>44888</v>
      </c>
      <c r="P968" s="2805" t="s">
        <v>13588</v>
      </c>
      <c r="Q968" s="2804"/>
      <c r="R968" s="364">
        <v>584070.43000000005</v>
      </c>
      <c r="S968" s="364">
        <v>706725.22</v>
      </c>
      <c r="T968" s="1473"/>
      <c r="U968" s="1473"/>
      <c r="V968" s="1473"/>
      <c r="W968" s="681">
        <v>44888</v>
      </c>
      <c r="X968" s="364" t="s">
        <v>13597</v>
      </c>
      <c r="Y968" s="365">
        <v>44902</v>
      </c>
      <c r="Z968" s="365">
        <v>44904</v>
      </c>
      <c r="AA968" s="2804"/>
      <c r="AB968" s="451"/>
      <c r="AC968" s="1513"/>
    </row>
    <row r="969" spans="1:29">
      <c r="A969" s="2410">
        <v>44866</v>
      </c>
      <c r="B969" s="2413" t="s">
        <v>13465</v>
      </c>
      <c r="C969" s="2411" t="s">
        <v>69</v>
      </c>
      <c r="D969" s="2411" t="s">
        <v>70</v>
      </c>
      <c r="E969" s="2412" t="s">
        <v>13466</v>
      </c>
      <c r="F969" s="2589"/>
      <c r="G969" s="2346"/>
      <c r="H969" s="2589"/>
      <c r="I969" s="2753" t="s">
        <v>13453</v>
      </c>
      <c r="J969" s="2589"/>
      <c r="K969" s="2347">
        <v>3747988</v>
      </c>
      <c r="L969" s="2589" t="s">
        <v>251</v>
      </c>
      <c r="M969" s="2589"/>
      <c r="N969" s="2589"/>
      <c r="O969" s="2589"/>
      <c r="P969" s="2346"/>
      <c r="Q969" s="2589"/>
      <c r="R969" s="2347"/>
      <c r="S969" s="2347"/>
      <c r="T969" s="2348"/>
      <c r="U969" s="2348"/>
      <c r="V969" s="2348"/>
      <c r="W969" s="2347"/>
      <c r="X969" s="2347"/>
      <c r="Y969" s="2589"/>
      <c r="Z969" s="2589"/>
      <c r="AA969" s="2589"/>
      <c r="AB969" s="2589"/>
      <c r="AC969" s="2589"/>
    </row>
    <row r="970" spans="1:29">
      <c r="A970" s="2154" t="s">
        <v>3585</v>
      </c>
      <c r="B970" s="2156" t="s">
        <v>13467</v>
      </c>
      <c r="C970" s="2154" t="s">
        <v>1032</v>
      </c>
      <c r="D970" s="2154" t="s">
        <v>361</v>
      </c>
      <c r="E970" s="2155" t="s">
        <v>13315</v>
      </c>
      <c r="F970" s="2154"/>
      <c r="G970" s="2156"/>
      <c r="H970" s="2085"/>
      <c r="I970" s="2154" t="s">
        <v>13316</v>
      </c>
      <c r="J970" s="2154" t="s">
        <v>13317</v>
      </c>
      <c r="K970" s="2157">
        <v>2150000</v>
      </c>
      <c r="L970" s="2154" t="s">
        <v>216</v>
      </c>
      <c r="M970" s="2153">
        <v>44880</v>
      </c>
      <c r="N970" s="2153">
        <v>44901</v>
      </c>
      <c r="O970" s="2153">
        <v>44910</v>
      </c>
      <c r="P970" s="2156" t="s">
        <v>12361</v>
      </c>
      <c r="Q970" s="2154"/>
      <c r="R970" s="2157">
        <v>2152300</v>
      </c>
      <c r="S970" s="2157">
        <v>2604283</v>
      </c>
      <c r="T970" s="2094"/>
      <c r="U970" s="2094"/>
      <c r="V970" s="2094"/>
      <c r="W970" s="2160">
        <v>44910</v>
      </c>
      <c r="X970" s="2157" t="s">
        <v>13763</v>
      </c>
      <c r="Y970" s="2154"/>
      <c r="Z970" s="2154"/>
      <c r="AA970" s="2154"/>
      <c r="AB970" s="2154"/>
      <c r="AC970" s="2154"/>
    </row>
    <row r="971" spans="1:29">
      <c r="A971" s="2140">
        <v>44868</v>
      </c>
      <c r="B971" s="2143" t="s">
        <v>13473</v>
      </c>
      <c r="C971" s="2141" t="s">
        <v>1032</v>
      </c>
      <c r="D971" s="2141" t="s">
        <v>361</v>
      </c>
      <c r="E971" s="2142" t="s">
        <v>13474</v>
      </c>
      <c r="F971" s="2141"/>
      <c r="G971" s="2143"/>
      <c r="H971" s="2141"/>
      <c r="I971" s="2141" t="s">
        <v>1676</v>
      </c>
      <c r="J971" s="2141"/>
      <c r="K971" s="2144">
        <v>5700000</v>
      </c>
      <c r="L971" s="2141" t="s">
        <v>112</v>
      </c>
      <c r="M971" s="2140">
        <v>44869</v>
      </c>
      <c r="N971" s="2140">
        <v>44886</v>
      </c>
      <c r="O971" s="2140">
        <v>44893</v>
      </c>
      <c r="P971" s="2143" t="s">
        <v>11157</v>
      </c>
      <c r="Q971" s="2141"/>
      <c r="R971" s="2144">
        <v>4224664.22</v>
      </c>
      <c r="S971" s="2144">
        <v>5052500.58</v>
      </c>
      <c r="T971" s="2145"/>
      <c r="U971" s="2145"/>
      <c r="V971" s="2145"/>
      <c r="W971" s="2146">
        <v>44893</v>
      </c>
      <c r="X971" s="2144" t="s">
        <v>13638</v>
      </c>
      <c r="Y971" s="2140">
        <v>44911</v>
      </c>
      <c r="Z971" s="2140">
        <v>44914</v>
      </c>
      <c r="AA971" s="2141"/>
      <c r="AB971" s="2109"/>
      <c r="AC971" s="2106"/>
    </row>
    <row r="972" spans="1:29">
      <c r="A972" s="2084">
        <v>44868</v>
      </c>
      <c r="B972" s="2087" t="s">
        <v>13483</v>
      </c>
      <c r="C972" s="2085" t="s">
        <v>69</v>
      </c>
      <c r="D972" s="2085" t="s">
        <v>70</v>
      </c>
      <c r="E972" s="2086" t="s">
        <v>13484</v>
      </c>
      <c r="F972" s="2085"/>
      <c r="G972" s="2087"/>
      <c r="H972" s="2085"/>
      <c r="I972" s="2085" t="s">
        <v>42</v>
      </c>
      <c r="J972" s="2085"/>
      <c r="K972" s="2092">
        <v>52373000</v>
      </c>
      <c r="L972" s="2085" t="s">
        <v>251</v>
      </c>
      <c r="M972" s="2084">
        <v>44883</v>
      </c>
      <c r="N972" s="2084">
        <v>44943</v>
      </c>
      <c r="O972" s="2085"/>
      <c r="P972" s="2087"/>
      <c r="Q972" s="2085"/>
      <c r="R972" s="2092"/>
      <c r="S972" s="2092"/>
      <c r="T972" s="2094"/>
      <c r="U972" s="2094"/>
      <c r="V972" s="2094"/>
      <c r="W972" s="2092"/>
      <c r="X972" s="2092"/>
      <c r="Y972" s="2085"/>
      <c r="Z972" s="2085"/>
      <c r="AA972" s="2085"/>
      <c r="AB972" s="2085"/>
      <c r="AC972" s="2085"/>
    </row>
    <row r="973" spans="1:29" ht="30">
      <c r="A973" s="2154" t="s">
        <v>3585</v>
      </c>
      <c r="B973" s="2156" t="s">
        <v>13488</v>
      </c>
      <c r="C973" s="2154" t="s">
        <v>2434</v>
      </c>
      <c r="D973" s="2154" t="s">
        <v>219</v>
      </c>
      <c r="E973" s="2155" t="s">
        <v>13368</v>
      </c>
      <c r="F973" s="2154"/>
      <c r="G973" s="2156"/>
      <c r="H973" s="2085"/>
      <c r="I973" s="2154" t="s">
        <v>275</v>
      </c>
      <c r="J973" s="2154"/>
      <c r="K973" s="2157">
        <v>2873340</v>
      </c>
      <c r="L973" s="2154" t="s">
        <v>216</v>
      </c>
      <c r="M973" s="2153">
        <v>44875</v>
      </c>
      <c r="N973" s="2153">
        <v>44895</v>
      </c>
      <c r="O973" s="2153">
        <v>44918</v>
      </c>
      <c r="P973" s="2156" t="s">
        <v>13780</v>
      </c>
      <c r="Q973" s="2154"/>
      <c r="R973" s="2157">
        <v>2873340</v>
      </c>
      <c r="S973" s="2157">
        <v>3476741.4</v>
      </c>
      <c r="T973" s="2094"/>
      <c r="U973" s="2094"/>
      <c r="V973" s="2094"/>
      <c r="W973" s="2160">
        <v>44918</v>
      </c>
      <c r="X973" s="2326" t="s">
        <v>13822</v>
      </c>
      <c r="Y973" s="2154"/>
      <c r="Z973" s="2154"/>
      <c r="AA973" s="2154"/>
      <c r="AB973" s="2154"/>
      <c r="AC973" s="2154"/>
    </row>
    <row r="974" spans="1:29">
      <c r="A974" s="2769">
        <v>44872</v>
      </c>
      <c r="B974" s="2770" t="s">
        <v>13495</v>
      </c>
      <c r="C974" s="2771" t="s">
        <v>58</v>
      </c>
      <c r="D974" s="2771" t="s">
        <v>4969</v>
      </c>
      <c r="E974" s="2772" t="s">
        <v>13502</v>
      </c>
      <c r="F974" s="2771"/>
      <c r="G974" s="2770"/>
      <c r="H974" s="2771"/>
      <c r="I974" s="2771" t="s">
        <v>275</v>
      </c>
      <c r="J974" s="2771" t="s">
        <v>13496</v>
      </c>
      <c r="K974" s="2773">
        <v>185000</v>
      </c>
      <c r="L974" s="2771" t="s">
        <v>251</v>
      </c>
      <c r="M974" s="2769">
        <v>44874</v>
      </c>
      <c r="N974" s="2769">
        <v>44937</v>
      </c>
      <c r="O974" s="2771"/>
      <c r="P974" s="2770"/>
      <c r="Q974" s="2771"/>
      <c r="R974" s="2773"/>
      <c r="S974" s="2773"/>
      <c r="T974" s="2774"/>
      <c r="U974" s="2774"/>
      <c r="V974" s="2774"/>
      <c r="W974" s="2773"/>
      <c r="X974" s="2773"/>
      <c r="Y974" s="2771"/>
      <c r="Z974" s="2771"/>
      <c r="AA974" s="2771"/>
      <c r="AB974" s="2771"/>
      <c r="AC974" s="2771"/>
    </row>
    <row r="975" spans="1:29" ht="30">
      <c r="A975" s="618">
        <v>44872</v>
      </c>
      <c r="B975" s="2631" t="s">
        <v>13497</v>
      </c>
      <c r="C975" s="413" t="s">
        <v>58</v>
      </c>
      <c r="D975" s="413" t="s">
        <v>4969</v>
      </c>
      <c r="E975" s="615" t="s">
        <v>13498</v>
      </c>
      <c r="F975" s="413"/>
      <c r="G975" s="2631"/>
      <c r="H975" s="2783"/>
      <c r="I975" s="413" t="s">
        <v>3423</v>
      </c>
      <c r="J975" s="413" t="s">
        <v>13499</v>
      </c>
      <c r="K975" s="620">
        <v>120000</v>
      </c>
      <c r="L975" s="413" t="s">
        <v>112</v>
      </c>
      <c r="M975" s="618">
        <v>44876</v>
      </c>
      <c r="N975" s="618">
        <v>44887</v>
      </c>
      <c r="O975" s="618">
        <v>44894</v>
      </c>
      <c r="P975" s="2631" t="s">
        <v>13634</v>
      </c>
      <c r="Q975" s="413"/>
      <c r="R975" s="620">
        <v>73208</v>
      </c>
      <c r="S975" s="620">
        <v>88581.68</v>
      </c>
      <c r="T975" s="2784"/>
      <c r="U975" s="2784"/>
      <c r="V975" s="2784"/>
      <c r="W975" s="2632">
        <v>44894</v>
      </c>
      <c r="X975" s="2633" t="s">
        <v>13654</v>
      </c>
      <c r="Y975" s="618">
        <v>44922</v>
      </c>
      <c r="Z975" s="618">
        <v>44929</v>
      </c>
      <c r="AA975" s="618">
        <v>44978</v>
      </c>
      <c r="AB975" s="2630"/>
      <c r="AC975" s="2630" t="s">
        <v>1875</v>
      </c>
    </row>
    <row r="976" spans="1:29">
      <c r="A976" s="2153">
        <v>44868</v>
      </c>
      <c r="B976" s="2156" t="s">
        <v>13518</v>
      </c>
      <c r="C976" s="2154" t="s">
        <v>2434</v>
      </c>
      <c r="D976" s="2154" t="s">
        <v>3204</v>
      </c>
      <c r="E976" s="2155" t="s">
        <v>7291</v>
      </c>
      <c r="F976" s="2154"/>
      <c r="G976" s="2156"/>
      <c r="H976" s="2154"/>
      <c r="I976" s="2154" t="s">
        <v>642</v>
      </c>
      <c r="J976" s="2154"/>
      <c r="K976" s="2157">
        <v>6763420</v>
      </c>
      <c r="L976" s="2154" t="s">
        <v>251</v>
      </c>
      <c r="M976" s="2153">
        <v>44890</v>
      </c>
      <c r="N976" s="2153">
        <v>44924</v>
      </c>
      <c r="O976" s="2154"/>
      <c r="P976" s="2156"/>
      <c r="Q976" s="2154"/>
      <c r="R976" s="2157"/>
      <c r="S976" s="2157"/>
      <c r="T976" s="2415"/>
      <c r="U976" s="2415"/>
      <c r="V976" s="2415"/>
      <c r="W976" s="2157"/>
      <c r="X976" s="2157"/>
      <c r="Y976" s="2154"/>
      <c r="Z976" s="2154"/>
      <c r="AA976" s="2154"/>
      <c r="AB976" s="2154"/>
      <c r="AC976" s="2154"/>
    </row>
    <row r="977" spans="1:29">
      <c r="A977" s="580">
        <v>44872</v>
      </c>
      <c r="B977" s="1828" t="s">
        <v>13510</v>
      </c>
      <c r="C977" s="576" t="s">
        <v>52</v>
      </c>
      <c r="D977" s="576" t="s">
        <v>7503</v>
      </c>
      <c r="E977" s="577" t="s">
        <v>13511</v>
      </c>
      <c r="F977" s="576"/>
      <c r="G977" s="1828"/>
      <c r="H977" s="576"/>
      <c r="I977" s="576" t="s">
        <v>13512</v>
      </c>
      <c r="J977" s="576"/>
      <c r="K977" s="581">
        <v>85000000</v>
      </c>
      <c r="L977" s="576" t="s">
        <v>251</v>
      </c>
      <c r="M977" s="580">
        <v>44881</v>
      </c>
      <c r="N977" s="580">
        <v>44937</v>
      </c>
      <c r="O977" s="576"/>
      <c r="P977" s="1828"/>
      <c r="Q977" s="576"/>
      <c r="R977" s="581"/>
      <c r="S977" s="581"/>
      <c r="T977" s="1489"/>
      <c r="U977" s="1489"/>
      <c r="V977" s="1489"/>
      <c r="W977" s="581"/>
      <c r="X977" s="581"/>
      <c r="Y977" s="576"/>
      <c r="Z977" s="576"/>
      <c r="AA977" s="576"/>
      <c r="AB977" s="576"/>
      <c r="AC977" s="576"/>
    </row>
    <row r="978" spans="1:29" ht="30">
      <c r="A978" s="2153">
        <v>44873</v>
      </c>
      <c r="B978" s="2156" t="s">
        <v>13515</v>
      </c>
      <c r="C978" s="2154" t="s">
        <v>58</v>
      </c>
      <c r="D978" s="2154" t="s">
        <v>4969</v>
      </c>
      <c r="E978" s="2155" t="s">
        <v>3955</v>
      </c>
      <c r="F978" s="2154"/>
      <c r="G978" s="2616"/>
      <c r="H978" s="2085"/>
      <c r="I978" s="2154" t="s">
        <v>3956</v>
      </c>
      <c r="J978" s="2154"/>
      <c r="K978" s="2157">
        <v>1999500</v>
      </c>
      <c r="L978" s="2154" t="s">
        <v>112</v>
      </c>
      <c r="M978" s="2153">
        <v>44883</v>
      </c>
      <c r="N978" s="2153">
        <v>44894</v>
      </c>
      <c r="O978" s="2153">
        <v>44902</v>
      </c>
      <c r="P978" s="2156" t="s">
        <v>11876</v>
      </c>
      <c r="Q978" s="2154"/>
      <c r="R978" s="2157">
        <v>1570600</v>
      </c>
      <c r="S978" s="2157">
        <v>1900426</v>
      </c>
      <c r="T978" s="2094"/>
      <c r="U978" s="2094"/>
      <c r="V978" s="2094"/>
      <c r="W978" s="2160">
        <v>44902</v>
      </c>
      <c r="X978" s="2326" t="s">
        <v>13726</v>
      </c>
      <c r="Y978" s="2154"/>
      <c r="Z978" s="2154"/>
      <c r="AA978" s="2154"/>
      <c r="AB978" s="2154"/>
      <c r="AC978" s="2154"/>
    </row>
    <row r="979" spans="1:29">
      <c r="A979" s="2084">
        <v>44874</v>
      </c>
      <c r="B979" s="2087" t="s">
        <v>13519</v>
      </c>
      <c r="C979" s="2085" t="s">
        <v>2434</v>
      </c>
      <c r="D979" s="2085" t="s">
        <v>219</v>
      </c>
      <c r="E979" s="2086" t="s">
        <v>13520</v>
      </c>
      <c r="F979" s="2085"/>
      <c r="G979" s="2087"/>
      <c r="H979" s="2085"/>
      <c r="I979" s="2085" t="s">
        <v>3271</v>
      </c>
      <c r="J979" s="2085"/>
      <c r="K979" s="2092">
        <v>506580</v>
      </c>
      <c r="L979" s="2085" t="s">
        <v>251</v>
      </c>
      <c r="M979" s="2084">
        <v>44893</v>
      </c>
      <c r="N979" s="2084">
        <v>44944</v>
      </c>
      <c r="O979" s="2085"/>
      <c r="P979" s="2087"/>
      <c r="Q979" s="2085"/>
      <c r="R979" s="2092"/>
      <c r="S979" s="2092"/>
      <c r="T979" s="2094"/>
      <c r="U979" s="2094"/>
      <c r="V979" s="2094"/>
      <c r="W979" s="2092"/>
      <c r="X979" s="2092"/>
      <c r="Y979" s="2085"/>
      <c r="Z979" s="2085"/>
      <c r="AA979" s="2085"/>
      <c r="AB979" s="2085"/>
      <c r="AC979" s="2085"/>
    </row>
    <row r="980" spans="1:29">
      <c r="A980" s="2084">
        <v>44874</v>
      </c>
      <c r="B980" s="2087" t="s">
        <v>13528</v>
      </c>
      <c r="C980" s="2085" t="s">
        <v>3678</v>
      </c>
      <c r="D980" s="2085" t="s">
        <v>918</v>
      </c>
      <c r="E980" s="2086" t="s">
        <v>13529</v>
      </c>
      <c r="F980" s="2085"/>
      <c r="G980" s="2087"/>
      <c r="H980" s="2085"/>
      <c r="I980" s="2085" t="s">
        <v>1518</v>
      </c>
      <c r="J980" s="2085"/>
      <c r="K980" s="2092">
        <v>27200000</v>
      </c>
      <c r="L980" s="2085" t="s">
        <v>251</v>
      </c>
      <c r="M980" s="2084">
        <v>44897</v>
      </c>
      <c r="N980" s="2084">
        <v>44928</v>
      </c>
      <c r="O980" s="2085"/>
      <c r="P980" s="2087"/>
      <c r="Q980" s="2085"/>
      <c r="R980" s="2092"/>
      <c r="S980" s="2092"/>
      <c r="T980" s="2094"/>
      <c r="U980" s="2094"/>
      <c r="V980" s="2094"/>
      <c r="W980" s="2092"/>
      <c r="X980" s="2092"/>
      <c r="Y980" s="2085"/>
      <c r="Z980" s="2085"/>
      <c r="AA980" s="2085"/>
      <c r="AB980" s="2085"/>
      <c r="AC980" s="2085"/>
    </row>
    <row r="981" spans="1:29">
      <c r="A981" s="2153">
        <v>44876</v>
      </c>
      <c r="B981" s="2156" t="s">
        <v>13532</v>
      </c>
      <c r="C981" s="2154" t="s">
        <v>4997</v>
      </c>
      <c r="D981" s="2154" t="s">
        <v>7475</v>
      </c>
      <c r="E981" s="2155" t="s">
        <v>13533</v>
      </c>
      <c r="F981" s="2154"/>
      <c r="G981" s="2156"/>
      <c r="H981" s="2154"/>
      <c r="I981" s="2154" t="s">
        <v>5752</v>
      </c>
      <c r="J981" s="2154"/>
      <c r="K981" s="2157">
        <v>5500000</v>
      </c>
      <c r="L981" s="2154" t="s">
        <v>112</v>
      </c>
      <c r="M981" s="2153">
        <v>44881</v>
      </c>
      <c r="N981" s="2153">
        <v>44889</v>
      </c>
      <c r="O981" s="2153">
        <v>44901</v>
      </c>
      <c r="P981" s="2156" t="s">
        <v>13672</v>
      </c>
      <c r="Q981" s="2154"/>
      <c r="R981" s="2157">
        <v>2899000</v>
      </c>
      <c r="S981" s="2157">
        <v>3507790</v>
      </c>
      <c r="T981" s="2415"/>
      <c r="U981" s="2415"/>
      <c r="V981" s="2415"/>
      <c r="W981" s="2160">
        <v>44901</v>
      </c>
      <c r="X981" s="2157" t="s">
        <v>13718</v>
      </c>
      <c r="Y981" s="2154"/>
      <c r="Z981" s="2154"/>
      <c r="AA981" s="2154"/>
      <c r="AB981" s="2154"/>
      <c r="AC981" s="2154"/>
    </row>
    <row r="982" spans="1:29">
      <c r="A982" s="2124">
        <v>44881</v>
      </c>
      <c r="B982" s="2127" t="s">
        <v>13541</v>
      </c>
      <c r="C982" s="2125" t="s">
        <v>6561</v>
      </c>
      <c r="D982" s="2125" t="s">
        <v>4864</v>
      </c>
      <c r="E982" s="2126" t="s">
        <v>13542</v>
      </c>
      <c r="F982" s="2125"/>
      <c r="G982" s="2127"/>
      <c r="H982" s="2125"/>
      <c r="I982" s="2125" t="s">
        <v>4867</v>
      </c>
      <c r="J982" s="2125"/>
      <c r="K982" s="2128">
        <v>380000</v>
      </c>
      <c r="L982" s="2125" t="s">
        <v>112</v>
      </c>
      <c r="M982" s="2124">
        <v>44883</v>
      </c>
      <c r="N982" s="2124">
        <v>44894</v>
      </c>
      <c r="O982" s="2125"/>
      <c r="P982" s="2136" t="s">
        <v>13779</v>
      </c>
      <c r="Q982" s="2275" t="s">
        <v>14186</v>
      </c>
      <c r="R982" s="2128">
        <v>448040</v>
      </c>
      <c r="S982" s="2128">
        <v>542128.4</v>
      </c>
      <c r="T982" s="2129"/>
      <c r="U982" s="2129"/>
      <c r="V982" s="2129"/>
      <c r="W982" s="2128"/>
      <c r="X982" s="2128"/>
      <c r="Y982" s="2125"/>
      <c r="Z982" s="2124">
        <v>44915</v>
      </c>
      <c r="AA982" s="2125"/>
      <c r="AB982" s="2125"/>
      <c r="AC982" s="2125"/>
    </row>
    <row r="983" spans="1:29">
      <c r="A983" s="2084">
        <v>44883</v>
      </c>
      <c r="B983" s="2087" t="s">
        <v>13559</v>
      </c>
      <c r="C983" s="2085" t="s">
        <v>52</v>
      </c>
      <c r="D983" s="2085" t="s">
        <v>10114</v>
      </c>
      <c r="E983" s="2086" t="s">
        <v>13560</v>
      </c>
      <c r="F983" s="2085"/>
      <c r="G983" s="2087"/>
      <c r="H983" s="2085"/>
      <c r="I983" s="2085" t="s">
        <v>484</v>
      </c>
      <c r="J983" s="2085"/>
      <c r="K983" s="2092">
        <v>15000000</v>
      </c>
      <c r="L983" s="2085" t="s">
        <v>251</v>
      </c>
      <c r="M983" s="2084">
        <v>44895</v>
      </c>
      <c r="N983" s="2084">
        <v>44930</v>
      </c>
      <c r="O983" s="2085"/>
      <c r="P983" s="2087"/>
      <c r="Q983" s="2085"/>
      <c r="R983" s="2092"/>
      <c r="S983" s="2092"/>
      <c r="T983" s="2094"/>
      <c r="U983" s="2094"/>
      <c r="V983" s="2094"/>
      <c r="W983" s="2092"/>
      <c r="X983" s="2092"/>
      <c r="Y983" s="2085"/>
      <c r="Z983" s="2085"/>
      <c r="AA983" s="2085"/>
      <c r="AB983" s="2085"/>
      <c r="AC983" s="2085"/>
    </row>
    <row r="984" spans="1:29" ht="30.75" thickBot="1">
      <c r="A984" s="464">
        <v>44886</v>
      </c>
      <c r="B984" s="1425" t="s">
        <v>13562</v>
      </c>
      <c r="C984" s="406" t="s">
        <v>58</v>
      </c>
      <c r="D984" s="406" t="s">
        <v>4969</v>
      </c>
      <c r="E984" s="462" t="s">
        <v>13563</v>
      </c>
      <c r="F984" s="406"/>
      <c r="G984" s="1425"/>
      <c r="H984" s="406"/>
      <c r="I984" s="406" t="s">
        <v>2665</v>
      </c>
      <c r="J984" s="406" t="s">
        <v>13564</v>
      </c>
      <c r="K984" s="465">
        <v>487087</v>
      </c>
      <c r="L984" s="406" t="s">
        <v>112</v>
      </c>
      <c r="M984" s="464">
        <v>44888</v>
      </c>
      <c r="N984" s="464">
        <v>44896</v>
      </c>
      <c r="O984" s="464">
        <v>44907</v>
      </c>
      <c r="P984" s="1425" t="s">
        <v>10214</v>
      </c>
      <c r="Q984" s="406"/>
      <c r="R984" s="465">
        <v>478746.7</v>
      </c>
      <c r="S984" s="465">
        <v>579283.51</v>
      </c>
      <c r="T984" s="1478"/>
      <c r="U984" s="1478"/>
      <c r="V984" s="1478"/>
      <c r="W984" s="1809">
        <v>44907</v>
      </c>
      <c r="X984" s="1829" t="s">
        <v>13751</v>
      </c>
      <c r="Y984" s="406"/>
      <c r="Z984" s="406"/>
      <c r="AA984" s="406"/>
      <c r="AB984" s="406"/>
      <c r="AC984" s="406"/>
    </row>
    <row r="985" spans="1:29" ht="30.75" thickTop="1">
      <c r="A985" s="587">
        <v>44886</v>
      </c>
      <c r="B985" s="1427" t="s">
        <v>13565</v>
      </c>
      <c r="C985" s="583" t="s">
        <v>2434</v>
      </c>
      <c r="D985" s="583" t="s">
        <v>3204</v>
      </c>
      <c r="E985" s="584" t="s">
        <v>3510</v>
      </c>
      <c r="F985" s="583">
        <v>1</v>
      </c>
      <c r="G985" s="2581" t="s">
        <v>13566</v>
      </c>
      <c r="H985" s="583"/>
      <c r="I985" s="583" t="s">
        <v>7092</v>
      </c>
      <c r="J985" s="583"/>
      <c r="K985" s="588">
        <v>4746000</v>
      </c>
      <c r="L985" s="583" t="s">
        <v>251</v>
      </c>
      <c r="M985" s="587">
        <v>44890</v>
      </c>
      <c r="N985" s="587">
        <v>44932</v>
      </c>
      <c r="O985" s="583"/>
      <c r="P985" s="1427"/>
      <c r="Q985" s="583"/>
      <c r="R985" s="588"/>
      <c r="S985" s="588"/>
      <c r="T985" s="1483"/>
      <c r="U985" s="1483"/>
      <c r="V985" s="1483"/>
      <c r="W985" s="588"/>
      <c r="X985" s="588"/>
      <c r="Y985" s="583"/>
      <c r="Z985" s="583"/>
      <c r="AA985" s="583"/>
      <c r="AB985" s="583"/>
      <c r="AC985" s="583"/>
    </row>
    <row r="986" spans="1:29">
      <c r="A986" s="2084">
        <v>44886</v>
      </c>
      <c r="B986" s="2087" t="s">
        <v>13570</v>
      </c>
      <c r="C986" s="2085" t="s">
        <v>2434</v>
      </c>
      <c r="D986" s="2085" t="s">
        <v>3204</v>
      </c>
      <c r="E986" s="2086" t="s">
        <v>3510</v>
      </c>
      <c r="F986" s="2085">
        <v>2</v>
      </c>
      <c r="G986" s="2680" t="s">
        <v>13567</v>
      </c>
      <c r="H986" s="2085"/>
      <c r="I986" s="2454" t="s">
        <v>7092</v>
      </c>
      <c r="J986" s="2085"/>
      <c r="K986" s="2092">
        <v>17280000</v>
      </c>
      <c r="L986" s="2085" t="s">
        <v>251</v>
      </c>
      <c r="M986" s="2084">
        <v>44890</v>
      </c>
      <c r="N986" s="2084">
        <v>44932</v>
      </c>
      <c r="O986" s="2085"/>
      <c r="P986" s="2087"/>
      <c r="Q986" s="2085"/>
      <c r="R986" s="2092"/>
      <c r="S986" s="2092"/>
      <c r="T986" s="2094"/>
      <c r="U986" s="2094"/>
      <c r="V986" s="2094"/>
      <c r="W986" s="2092"/>
      <c r="X986" s="2092"/>
      <c r="Y986" s="2085"/>
      <c r="Z986" s="2085"/>
      <c r="AA986" s="2085"/>
      <c r="AB986" s="2085"/>
      <c r="AC986" s="2085"/>
    </row>
    <row r="987" spans="1:29" ht="29.25" customHeight="1">
      <c r="A987" s="2084">
        <v>44886</v>
      </c>
      <c r="B987" s="2087" t="s">
        <v>13571</v>
      </c>
      <c r="C987" s="2085" t="s">
        <v>2434</v>
      </c>
      <c r="D987" s="2085" t="s">
        <v>3204</v>
      </c>
      <c r="E987" s="2086" t="s">
        <v>3510</v>
      </c>
      <c r="F987" s="2085">
        <v>3</v>
      </c>
      <c r="G987" s="2680" t="s">
        <v>7150</v>
      </c>
      <c r="H987" s="2085"/>
      <c r="I987" s="2454" t="s">
        <v>7092</v>
      </c>
      <c r="J987" s="2085"/>
      <c r="K987" s="2092">
        <v>2251680</v>
      </c>
      <c r="L987" s="2085" t="s">
        <v>251</v>
      </c>
      <c r="M987" s="2084">
        <v>44890</v>
      </c>
      <c r="N987" s="2084">
        <v>44932</v>
      </c>
      <c r="O987" s="2085"/>
      <c r="P987" s="2087"/>
      <c r="Q987" s="2085"/>
      <c r="R987" s="2092"/>
      <c r="S987" s="2092"/>
      <c r="T987" s="2094"/>
      <c r="U987" s="2094"/>
      <c r="V987" s="2094"/>
      <c r="W987" s="2092"/>
      <c r="X987" s="2092"/>
      <c r="Y987" s="2085"/>
      <c r="Z987" s="2085"/>
      <c r="AA987" s="2085"/>
      <c r="AB987" s="2085"/>
      <c r="AC987" s="2085"/>
    </row>
    <row r="988" spans="1:29" ht="21" customHeight="1">
      <c r="A988" s="2084">
        <v>44886</v>
      </c>
      <c r="B988" s="2087" t="s">
        <v>13572</v>
      </c>
      <c r="C988" s="2085" t="s">
        <v>2434</v>
      </c>
      <c r="D988" s="2085" t="s">
        <v>3204</v>
      </c>
      <c r="E988" s="2086" t="s">
        <v>3510</v>
      </c>
      <c r="F988" s="2085">
        <v>4</v>
      </c>
      <c r="G988" s="2680" t="s">
        <v>7151</v>
      </c>
      <c r="H988" s="2085"/>
      <c r="I988" s="2085" t="s">
        <v>642</v>
      </c>
      <c r="J988" s="2085"/>
      <c r="K988" s="2092">
        <v>2388000</v>
      </c>
      <c r="L988" s="2085" t="s">
        <v>251</v>
      </c>
      <c r="M988" s="2084">
        <v>44890</v>
      </c>
      <c r="N988" s="2084">
        <v>44932</v>
      </c>
      <c r="O988" s="2085"/>
      <c r="P988" s="2087"/>
      <c r="Q988" s="2085"/>
      <c r="R988" s="2092"/>
      <c r="S988" s="2092"/>
      <c r="T988" s="2094"/>
      <c r="U988" s="2094"/>
      <c r="V988" s="2094"/>
      <c r="W988" s="2092"/>
      <c r="X988" s="2092"/>
      <c r="Y988" s="2085"/>
      <c r="Z988" s="2085"/>
      <c r="AA988" s="2085"/>
      <c r="AB988" s="2085"/>
      <c r="AC988" s="2085"/>
    </row>
    <row r="989" spans="1:29" ht="26.25" customHeight="1">
      <c r="A989" s="2084">
        <v>44886</v>
      </c>
      <c r="B989" s="2087" t="s">
        <v>13573</v>
      </c>
      <c r="C989" s="2085" t="s">
        <v>2434</v>
      </c>
      <c r="D989" s="2085" t="s">
        <v>3204</v>
      </c>
      <c r="E989" s="2086" t="s">
        <v>3510</v>
      </c>
      <c r="F989" s="2085">
        <v>5</v>
      </c>
      <c r="G989" s="2680" t="s">
        <v>7152</v>
      </c>
      <c r="H989" s="2085"/>
      <c r="I989" s="2085" t="s">
        <v>642</v>
      </c>
      <c r="J989" s="2085"/>
      <c r="K989" s="2092">
        <v>2350000</v>
      </c>
      <c r="L989" s="2085" t="s">
        <v>251</v>
      </c>
      <c r="M989" s="2084">
        <v>44890</v>
      </c>
      <c r="N989" s="2084">
        <v>44932</v>
      </c>
      <c r="O989" s="2085"/>
      <c r="P989" s="2087"/>
      <c r="Q989" s="2085"/>
      <c r="R989" s="2092"/>
      <c r="S989" s="2092"/>
      <c r="T989" s="2094"/>
      <c r="U989" s="2094"/>
      <c r="V989" s="2094"/>
      <c r="W989" s="2092"/>
      <c r="X989" s="2092"/>
      <c r="Y989" s="2085"/>
      <c r="Z989" s="2085"/>
      <c r="AA989" s="2085"/>
      <c r="AB989" s="2085"/>
      <c r="AC989" s="2085"/>
    </row>
    <row r="990" spans="1:29" ht="30">
      <c r="A990" s="2084">
        <v>44886</v>
      </c>
      <c r="B990" s="2087" t="s">
        <v>13574</v>
      </c>
      <c r="C990" s="2085" t="s">
        <v>2434</v>
      </c>
      <c r="D990" s="2085" t="s">
        <v>3204</v>
      </c>
      <c r="E990" s="2086" t="s">
        <v>3510</v>
      </c>
      <c r="F990" s="2085">
        <v>6</v>
      </c>
      <c r="G990" s="2680" t="s">
        <v>7153</v>
      </c>
      <c r="H990" s="2085"/>
      <c r="I990" s="2085" t="s">
        <v>642</v>
      </c>
      <c r="J990" s="2085"/>
      <c r="K990" s="2092">
        <v>3412500</v>
      </c>
      <c r="L990" s="2085" t="s">
        <v>251</v>
      </c>
      <c r="M990" s="2084">
        <v>44890</v>
      </c>
      <c r="N990" s="2084">
        <v>44932</v>
      </c>
      <c r="O990" s="2085"/>
      <c r="P990" s="2087"/>
      <c r="Q990" s="2085"/>
      <c r="R990" s="2092"/>
      <c r="S990" s="2092"/>
      <c r="T990" s="2094"/>
      <c r="U990" s="2094"/>
      <c r="V990" s="2094"/>
      <c r="W990" s="2092"/>
      <c r="X990" s="2092"/>
      <c r="Y990" s="2085"/>
      <c r="Z990" s="2085"/>
      <c r="AA990" s="2085"/>
      <c r="AB990" s="2085"/>
      <c r="AC990" s="2085"/>
    </row>
    <row r="991" spans="1:29" ht="45">
      <c r="A991" s="2084">
        <v>44886</v>
      </c>
      <c r="B991" s="2087" t="s">
        <v>13575</v>
      </c>
      <c r="C991" s="2085" t="s">
        <v>2434</v>
      </c>
      <c r="D991" s="2085" t="s">
        <v>3204</v>
      </c>
      <c r="E991" s="2086" t="s">
        <v>3510</v>
      </c>
      <c r="F991" s="2085">
        <v>7</v>
      </c>
      <c r="G991" s="2680" t="s">
        <v>7154</v>
      </c>
      <c r="H991" s="2085"/>
      <c r="I991" s="2085" t="s">
        <v>642</v>
      </c>
      <c r="J991" s="2085"/>
      <c r="K991" s="2092">
        <v>21800000</v>
      </c>
      <c r="L991" s="2085" t="s">
        <v>251</v>
      </c>
      <c r="M991" s="2084">
        <v>44890</v>
      </c>
      <c r="N991" s="2084">
        <v>44932</v>
      </c>
      <c r="O991" s="2085"/>
      <c r="P991" s="2087"/>
      <c r="Q991" s="2085"/>
      <c r="R991" s="2092"/>
      <c r="S991" s="2092"/>
      <c r="T991" s="2094"/>
      <c r="U991" s="2094"/>
      <c r="V991" s="2094"/>
      <c r="W991" s="2092"/>
      <c r="X991" s="2092"/>
      <c r="Y991" s="2085"/>
      <c r="Z991" s="2085"/>
      <c r="AA991" s="2085"/>
      <c r="AB991" s="2085"/>
      <c r="AC991" s="2085"/>
    </row>
    <row r="992" spans="1:29" ht="30">
      <c r="A992" s="2084">
        <v>44886</v>
      </c>
      <c r="B992" s="2087" t="s">
        <v>13576</v>
      </c>
      <c r="C992" s="2085" t="s">
        <v>2434</v>
      </c>
      <c r="D992" s="2085" t="s">
        <v>3204</v>
      </c>
      <c r="E992" s="2086" t="s">
        <v>3510</v>
      </c>
      <c r="F992" s="2085">
        <v>8</v>
      </c>
      <c r="G992" s="2680" t="s">
        <v>7155</v>
      </c>
      <c r="H992" s="2085"/>
      <c r="I992" s="2085" t="s">
        <v>642</v>
      </c>
      <c r="J992" s="2085"/>
      <c r="K992" s="2092">
        <v>1720000</v>
      </c>
      <c r="L992" s="2085" t="s">
        <v>251</v>
      </c>
      <c r="M992" s="2084">
        <v>44890</v>
      </c>
      <c r="N992" s="2084">
        <v>44932</v>
      </c>
      <c r="O992" s="2085"/>
      <c r="P992" s="2087"/>
      <c r="Q992" s="2085"/>
      <c r="R992" s="2092"/>
      <c r="S992" s="2092"/>
      <c r="T992" s="2094"/>
      <c r="U992" s="2094"/>
      <c r="V992" s="2094"/>
      <c r="W992" s="2092"/>
      <c r="X992" s="2092"/>
      <c r="Y992" s="2085"/>
      <c r="Z992" s="2085"/>
      <c r="AA992" s="2085"/>
      <c r="AB992" s="2085"/>
      <c r="AC992" s="2085"/>
    </row>
    <row r="993" spans="1:29" ht="30">
      <c r="A993" s="2084">
        <v>44886</v>
      </c>
      <c r="B993" s="2087" t="s">
        <v>13577</v>
      </c>
      <c r="C993" s="2085" t="s">
        <v>2434</v>
      </c>
      <c r="D993" s="2085" t="s">
        <v>3204</v>
      </c>
      <c r="E993" s="2086" t="s">
        <v>3510</v>
      </c>
      <c r="F993" s="2085">
        <v>9</v>
      </c>
      <c r="G993" s="2680" t="s">
        <v>7156</v>
      </c>
      <c r="H993" s="2085"/>
      <c r="I993" s="2085" t="s">
        <v>642</v>
      </c>
      <c r="J993" s="2085"/>
      <c r="K993" s="2092">
        <v>2184000</v>
      </c>
      <c r="L993" s="2085" t="s">
        <v>251</v>
      </c>
      <c r="M993" s="2084">
        <v>44890</v>
      </c>
      <c r="N993" s="2084">
        <v>44932</v>
      </c>
      <c r="O993" s="2085"/>
      <c r="P993" s="2087"/>
      <c r="Q993" s="2085"/>
      <c r="R993" s="2092"/>
      <c r="S993" s="2092"/>
      <c r="T993" s="2094"/>
      <c r="U993" s="2094"/>
      <c r="V993" s="2094"/>
      <c r="W993" s="2092"/>
      <c r="X993" s="2092"/>
      <c r="Y993" s="2085"/>
      <c r="Z993" s="2085"/>
      <c r="AA993" s="2085"/>
      <c r="AB993" s="2085"/>
      <c r="AC993" s="2085"/>
    </row>
    <row r="994" spans="1:29" ht="30">
      <c r="A994" s="2084">
        <v>44886</v>
      </c>
      <c r="B994" s="2087" t="s">
        <v>13578</v>
      </c>
      <c r="C994" s="2085" t="s">
        <v>2434</v>
      </c>
      <c r="D994" s="2085" t="s">
        <v>3204</v>
      </c>
      <c r="E994" s="2086" t="s">
        <v>3510</v>
      </c>
      <c r="F994" s="2085">
        <v>10</v>
      </c>
      <c r="G994" s="2680" t="s">
        <v>7158</v>
      </c>
      <c r="H994" s="2085"/>
      <c r="I994" s="2085" t="s">
        <v>642</v>
      </c>
      <c r="J994" s="2085"/>
      <c r="K994" s="2092">
        <v>2260000</v>
      </c>
      <c r="L994" s="2085" t="s">
        <v>251</v>
      </c>
      <c r="M994" s="2084">
        <v>44890</v>
      </c>
      <c r="N994" s="2084">
        <v>44932</v>
      </c>
      <c r="O994" s="2085"/>
      <c r="P994" s="2087"/>
      <c r="Q994" s="2085"/>
      <c r="R994" s="2092"/>
      <c r="S994" s="2092"/>
      <c r="T994" s="2094"/>
      <c r="U994" s="2094"/>
      <c r="V994" s="2094"/>
      <c r="W994" s="2092"/>
      <c r="X994" s="2092"/>
      <c r="Y994" s="2085"/>
      <c r="Z994" s="2085"/>
      <c r="AA994" s="2085"/>
      <c r="AB994" s="2085"/>
      <c r="AC994" s="2085"/>
    </row>
    <row r="995" spans="1:29">
      <c r="A995" s="2084">
        <v>44886</v>
      </c>
      <c r="B995" s="2087" t="s">
        <v>13579</v>
      </c>
      <c r="C995" s="2085" t="s">
        <v>2434</v>
      </c>
      <c r="D995" s="2085" t="s">
        <v>3204</v>
      </c>
      <c r="E995" s="2086" t="s">
        <v>3510</v>
      </c>
      <c r="F995" s="2085">
        <v>11</v>
      </c>
      <c r="G995" s="2680" t="s">
        <v>7159</v>
      </c>
      <c r="H995" s="2085"/>
      <c r="I995" s="2085" t="s">
        <v>642</v>
      </c>
      <c r="J995" s="2085"/>
      <c r="K995" s="2092">
        <v>4140000</v>
      </c>
      <c r="L995" s="2085" t="s">
        <v>251</v>
      </c>
      <c r="M995" s="2084">
        <v>44890</v>
      </c>
      <c r="N995" s="2084">
        <v>44932</v>
      </c>
      <c r="O995" s="2085"/>
      <c r="P995" s="2087"/>
      <c r="Q995" s="2085"/>
      <c r="R995" s="2092"/>
      <c r="S995" s="2092"/>
      <c r="T995" s="2094"/>
      <c r="U995" s="2094"/>
      <c r="V995" s="2094"/>
      <c r="W995" s="2092"/>
      <c r="X995" s="2092"/>
      <c r="Y995" s="2085"/>
      <c r="Z995" s="2085"/>
      <c r="AA995" s="2085"/>
      <c r="AB995" s="2085"/>
      <c r="AC995" s="2085"/>
    </row>
    <row r="996" spans="1:29">
      <c r="A996" s="2084">
        <v>44886</v>
      </c>
      <c r="B996" s="2087" t="s">
        <v>13580</v>
      </c>
      <c r="C996" s="2085" t="s">
        <v>2434</v>
      </c>
      <c r="D996" s="2085" t="s">
        <v>3204</v>
      </c>
      <c r="E996" s="2086" t="s">
        <v>3510</v>
      </c>
      <c r="F996" s="2085">
        <v>12</v>
      </c>
      <c r="G996" s="2680" t="s">
        <v>13568</v>
      </c>
      <c r="H996" s="2085"/>
      <c r="I996" s="2085" t="s">
        <v>642</v>
      </c>
      <c r="J996" s="2085"/>
      <c r="K996" s="2092">
        <v>4504700</v>
      </c>
      <c r="L996" s="2085" t="s">
        <v>251</v>
      </c>
      <c r="M996" s="2084">
        <v>44890</v>
      </c>
      <c r="N996" s="2084">
        <v>44932</v>
      </c>
      <c r="O996" s="2085"/>
      <c r="P996" s="2087"/>
      <c r="Q996" s="2085"/>
      <c r="R996" s="2092"/>
      <c r="S996" s="2092"/>
      <c r="T996" s="2094"/>
      <c r="U996" s="2094"/>
      <c r="V996" s="2094"/>
      <c r="W996" s="2092"/>
      <c r="X996" s="2092"/>
      <c r="Y996" s="2085"/>
      <c r="Z996" s="2085"/>
      <c r="AA996" s="2085"/>
      <c r="AB996" s="2085"/>
      <c r="AC996" s="2085"/>
    </row>
    <row r="997" spans="1:29" ht="15.75" thickBot="1">
      <c r="A997" s="2088">
        <v>44886</v>
      </c>
      <c r="B997" s="2091" t="s">
        <v>13581</v>
      </c>
      <c r="C997" s="2089" t="s">
        <v>2434</v>
      </c>
      <c r="D997" s="2089" t="s">
        <v>3204</v>
      </c>
      <c r="E997" s="2090" t="s">
        <v>3510</v>
      </c>
      <c r="F997" s="2089">
        <v>13</v>
      </c>
      <c r="G997" s="2681" t="s">
        <v>13569</v>
      </c>
      <c r="H997" s="2089"/>
      <c r="I997" s="2089" t="s">
        <v>642</v>
      </c>
      <c r="J997" s="2089"/>
      <c r="K997" s="2093">
        <v>3504160</v>
      </c>
      <c r="L997" s="2089" t="s">
        <v>251</v>
      </c>
      <c r="M997" s="2088">
        <v>44890</v>
      </c>
      <c r="N997" s="2088">
        <v>44932</v>
      </c>
      <c r="O997" s="2089"/>
      <c r="P997" s="2091"/>
      <c r="Q997" s="2089"/>
      <c r="R997" s="2093"/>
      <c r="S997" s="2093"/>
      <c r="T997" s="2095"/>
      <c r="U997" s="2095"/>
      <c r="V997" s="2095"/>
      <c r="W997" s="2093"/>
      <c r="X997" s="2093"/>
      <c r="Y997" s="2089"/>
      <c r="Z997" s="2089"/>
      <c r="AA997" s="2089"/>
      <c r="AB997" s="2089"/>
      <c r="AC997" s="2089"/>
    </row>
    <row r="998" spans="1:29" ht="15.75" thickTop="1">
      <c r="A998" s="840">
        <v>44886</v>
      </c>
      <c r="B998" s="1422" t="s">
        <v>13584</v>
      </c>
      <c r="C998" s="423" t="s">
        <v>2434</v>
      </c>
      <c r="D998" s="423" t="s">
        <v>219</v>
      </c>
      <c r="E998" s="837" t="s">
        <v>13585</v>
      </c>
      <c r="F998" s="423"/>
      <c r="G998" s="1422"/>
      <c r="H998" s="423"/>
      <c r="I998" s="423" t="s">
        <v>642</v>
      </c>
      <c r="J998" s="423"/>
      <c r="K998" s="841">
        <v>529200</v>
      </c>
      <c r="L998" s="423" t="s">
        <v>112</v>
      </c>
      <c r="M998" s="840">
        <v>44890</v>
      </c>
      <c r="N998" s="840">
        <v>44903</v>
      </c>
      <c r="O998" s="840">
        <v>44910</v>
      </c>
      <c r="P998" s="1422" t="s">
        <v>3059</v>
      </c>
      <c r="Q998" s="423"/>
      <c r="R998" s="841">
        <v>529200</v>
      </c>
      <c r="S998" s="841">
        <v>640332</v>
      </c>
      <c r="T998" s="1476"/>
      <c r="U998" s="1476"/>
      <c r="V998" s="1476"/>
      <c r="W998" s="1392">
        <v>44910</v>
      </c>
      <c r="X998" s="841" t="s">
        <v>13765</v>
      </c>
      <c r="Y998" s="423"/>
      <c r="Z998" s="423"/>
      <c r="AA998" s="423"/>
      <c r="AB998" s="423"/>
      <c r="AC998" s="423"/>
    </row>
    <row r="999" spans="1:29" ht="45">
      <c r="A999" s="2153">
        <v>44887</v>
      </c>
      <c r="B999" s="2156" t="s">
        <v>13591</v>
      </c>
      <c r="C999" s="2154" t="s">
        <v>58</v>
      </c>
      <c r="D999" s="2154" t="s">
        <v>4969</v>
      </c>
      <c r="E999" s="2155" t="s">
        <v>13592</v>
      </c>
      <c r="F999" s="2154"/>
      <c r="G999" s="2156"/>
      <c r="H999" s="2154"/>
      <c r="I999" s="2154" t="s">
        <v>4272</v>
      </c>
      <c r="J999" s="2154" t="s">
        <v>13593</v>
      </c>
      <c r="K999" s="2157">
        <v>492000</v>
      </c>
      <c r="L999" s="2154" t="s">
        <v>112</v>
      </c>
      <c r="M999" s="2153">
        <v>44889</v>
      </c>
      <c r="N999" s="2153">
        <v>44897</v>
      </c>
      <c r="O999" s="2153">
        <v>44910</v>
      </c>
      <c r="P999" s="2156" t="s">
        <v>3479</v>
      </c>
      <c r="Q999" s="2154"/>
      <c r="R999" s="2157">
        <v>411280.32</v>
      </c>
      <c r="S999" s="2157">
        <v>497649.19</v>
      </c>
      <c r="T999" s="2415"/>
      <c r="U999" s="2415"/>
      <c r="V999" s="2415"/>
      <c r="W999" s="2160">
        <v>44910</v>
      </c>
      <c r="X999" s="2326" t="s">
        <v>13766</v>
      </c>
      <c r="Y999" s="2154"/>
      <c r="Z999" s="2154"/>
      <c r="AA999" s="2154"/>
      <c r="AB999" s="2154"/>
      <c r="AC999" s="2154"/>
    </row>
    <row r="1000" spans="1:29">
      <c r="A1000" s="2153">
        <v>44888</v>
      </c>
      <c r="B1000" s="2156" t="s">
        <v>13595</v>
      </c>
      <c r="C1000" s="2154" t="s">
        <v>2434</v>
      </c>
      <c r="D1000" s="2154" t="s">
        <v>219</v>
      </c>
      <c r="E1000" s="2155" t="s">
        <v>13596</v>
      </c>
      <c r="F1000" s="2154"/>
      <c r="G1000" s="2156"/>
      <c r="H1000" s="2085"/>
      <c r="I1000" s="2154" t="s">
        <v>642</v>
      </c>
      <c r="J1000" s="2154"/>
      <c r="K1000" s="2157">
        <v>2589000</v>
      </c>
      <c r="L1000" s="2154" t="s">
        <v>216</v>
      </c>
      <c r="M1000" s="2153">
        <v>44894</v>
      </c>
      <c r="N1000" s="2153">
        <v>44911</v>
      </c>
      <c r="O1000" s="2154"/>
      <c r="P1000" s="2156" t="s">
        <v>3154</v>
      </c>
      <c r="Q1000" s="2154"/>
      <c r="R1000" s="2157">
        <v>2589000</v>
      </c>
      <c r="S1000" s="2157">
        <v>2977350</v>
      </c>
      <c r="T1000" s="2094"/>
      <c r="U1000" s="2094"/>
      <c r="V1000" s="2094"/>
      <c r="W1000" s="2157"/>
      <c r="X1000" s="2157"/>
      <c r="Y1000" s="2154"/>
      <c r="Z1000" s="2154"/>
      <c r="AA1000" s="2154"/>
      <c r="AB1000" s="2154"/>
      <c r="AC1000" s="2154"/>
    </row>
    <row r="1001" spans="1:29" ht="30">
      <c r="A1001" s="2153">
        <v>44888</v>
      </c>
      <c r="B1001" s="2156" t="s">
        <v>13598</v>
      </c>
      <c r="C1001" s="2154" t="s">
        <v>58</v>
      </c>
      <c r="D1001" s="2154" t="s">
        <v>4969</v>
      </c>
      <c r="E1001" s="2155" t="s">
        <v>13599</v>
      </c>
      <c r="F1001" s="2154"/>
      <c r="G1001" s="2156"/>
      <c r="H1001" s="2085"/>
      <c r="I1001" s="2154" t="s">
        <v>13157</v>
      </c>
      <c r="J1001" s="2154" t="s">
        <v>13600</v>
      </c>
      <c r="K1001" s="2157">
        <v>300000</v>
      </c>
      <c r="L1001" s="2154" t="s">
        <v>112</v>
      </c>
      <c r="M1001" s="2153">
        <v>44893</v>
      </c>
      <c r="N1001" s="2153">
        <v>44901</v>
      </c>
      <c r="O1001" s="2153">
        <v>44917</v>
      </c>
      <c r="P1001" s="2156" t="s">
        <v>16353</v>
      </c>
      <c r="Q1001" s="2154"/>
      <c r="R1001" s="2157">
        <v>239620</v>
      </c>
      <c r="S1001" s="2157">
        <v>289940.2</v>
      </c>
      <c r="T1001" s="2094"/>
      <c r="U1001" s="2094"/>
      <c r="V1001" s="2094"/>
      <c r="W1001" s="2160">
        <v>44917</v>
      </c>
      <c r="X1001" s="2326" t="s">
        <v>13806</v>
      </c>
      <c r="Y1001" s="2154"/>
      <c r="Z1001" s="2154"/>
      <c r="AA1001" s="2154"/>
      <c r="AB1001" s="2154"/>
      <c r="AC1001" s="2154"/>
    </row>
    <row r="1002" spans="1:29">
      <c r="A1002" s="2084">
        <v>44888</v>
      </c>
      <c r="B1002" s="2087" t="s">
        <v>13604</v>
      </c>
      <c r="C1002" s="2085" t="s">
        <v>2434</v>
      </c>
      <c r="D1002" s="2085" t="s">
        <v>3204</v>
      </c>
      <c r="E1002" s="2086" t="s">
        <v>13605</v>
      </c>
      <c r="F1002" s="2085"/>
      <c r="G1002" s="2087"/>
      <c r="H1002" s="2085"/>
      <c r="I1002" s="2085" t="s">
        <v>642</v>
      </c>
      <c r="J1002" s="2085"/>
      <c r="K1002" s="2092">
        <v>4850000</v>
      </c>
      <c r="L1002" s="2085" t="s">
        <v>251</v>
      </c>
      <c r="M1002" s="2084">
        <v>44896</v>
      </c>
      <c r="N1002" s="2084">
        <v>44949</v>
      </c>
      <c r="O1002" s="2084"/>
      <c r="P1002" s="2087"/>
      <c r="Q1002" s="2085"/>
      <c r="R1002" s="2092"/>
      <c r="S1002" s="2092"/>
      <c r="T1002" s="2094"/>
      <c r="U1002" s="2094"/>
      <c r="V1002" s="2094"/>
      <c r="W1002" s="2092"/>
      <c r="X1002" s="2092"/>
      <c r="Y1002" s="2085"/>
      <c r="Z1002" s="2085"/>
      <c r="AA1002" s="2085"/>
      <c r="AB1002" s="2085"/>
      <c r="AC1002" s="2085"/>
    </row>
    <row r="1003" spans="1:29">
      <c r="A1003" s="2084">
        <v>44888</v>
      </c>
      <c r="B1003" s="2087" t="s">
        <v>13614</v>
      </c>
      <c r="C1003" s="2085" t="s">
        <v>2434</v>
      </c>
      <c r="D1003" s="2085" t="s">
        <v>219</v>
      </c>
      <c r="E1003" s="2086" t="s">
        <v>13613</v>
      </c>
      <c r="F1003" s="2085"/>
      <c r="G1003" s="2087"/>
      <c r="H1003" s="2085"/>
      <c r="I1003" s="2085" t="s">
        <v>4312</v>
      </c>
      <c r="J1003" s="2085"/>
      <c r="K1003" s="2092">
        <v>2900000</v>
      </c>
      <c r="L1003" s="2085" t="s">
        <v>216</v>
      </c>
      <c r="M1003" s="2084">
        <v>44893</v>
      </c>
      <c r="N1003" s="2084">
        <v>44942</v>
      </c>
      <c r="O1003" s="2084"/>
      <c r="P1003" s="2087"/>
      <c r="Q1003" s="2085"/>
      <c r="R1003" s="2092"/>
      <c r="S1003" s="2092"/>
      <c r="T1003" s="2094"/>
      <c r="U1003" s="2094"/>
      <c r="V1003" s="2094"/>
      <c r="W1003" s="2092"/>
      <c r="X1003" s="2092"/>
      <c r="Y1003" s="2085"/>
      <c r="Z1003" s="2085"/>
      <c r="AA1003" s="2085"/>
      <c r="AB1003" s="2085"/>
      <c r="AC1003" s="2085"/>
    </row>
    <row r="1004" spans="1:29">
      <c r="A1004" s="2153">
        <v>44888</v>
      </c>
      <c r="B1004" s="2156" t="s">
        <v>13615</v>
      </c>
      <c r="C1004" s="2154" t="s">
        <v>3678</v>
      </c>
      <c r="D1004" s="2154" t="s">
        <v>918</v>
      </c>
      <c r="E1004" s="2155" t="s">
        <v>13616</v>
      </c>
      <c r="F1004" s="2154"/>
      <c r="G1004" s="2156"/>
      <c r="H1004" s="2154"/>
      <c r="I1004" s="2154" t="s">
        <v>1244</v>
      </c>
      <c r="J1004" s="2154"/>
      <c r="K1004" s="2157">
        <v>420000</v>
      </c>
      <c r="L1004" s="2154" t="s">
        <v>112</v>
      </c>
      <c r="M1004" s="2153">
        <v>44897</v>
      </c>
      <c r="N1004" s="2153">
        <v>44908</v>
      </c>
      <c r="O1004" s="2153">
        <v>44917</v>
      </c>
      <c r="P1004" s="2156" t="s">
        <v>1319</v>
      </c>
      <c r="Q1004" s="2154"/>
      <c r="R1004" s="2157">
        <v>472000</v>
      </c>
      <c r="S1004" s="2157">
        <v>571120</v>
      </c>
      <c r="T1004" s="2415"/>
      <c r="U1004" s="2415"/>
      <c r="V1004" s="2415"/>
      <c r="W1004" s="2160">
        <v>44917</v>
      </c>
      <c r="X1004" s="2157" t="s">
        <v>13807</v>
      </c>
      <c r="Y1004" s="2154"/>
      <c r="Z1004" s="2154"/>
      <c r="AA1004" s="2154"/>
      <c r="AB1004" s="2154"/>
      <c r="AC1004" s="2154"/>
    </row>
    <row r="1005" spans="1:29">
      <c r="A1005" s="2124">
        <v>44888</v>
      </c>
      <c r="B1005" s="2127" t="s">
        <v>13617</v>
      </c>
      <c r="C1005" s="2125" t="s">
        <v>2111</v>
      </c>
      <c r="D1005" s="2125" t="s">
        <v>9080</v>
      </c>
      <c r="E1005" s="2126" t="s">
        <v>13618</v>
      </c>
      <c r="F1005" s="2125"/>
      <c r="G1005" s="2127"/>
      <c r="H1005" s="2125"/>
      <c r="I1005" s="2125" t="s">
        <v>13619</v>
      </c>
      <c r="J1005" s="2125"/>
      <c r="K1005" s="2128">
        <v>559800</v>
      </c>
      <c r="L1005" s="2125" t="s">
        <v>112</v>
      </c>
      <c r="M1005" s="2124">
        <v>44897</v>
      </c>
      <c r="N1005" s="2124">
        <v>44908</v>
      </c>
      <c r="O1005" s="2125"/>
      <c r="P1005" s="2136" t="s">
        <v>4505</v>
      </c>
      <c r="Q1005" s="2275" t="s">
        <v>13841</v>
      </c>
      <c r="R1005" s="2128"/>
      <c r="S1005" s="2128"/>
      <c r="T1005" s="2129"/>
      <c r="U1005" s="2129"/>
      <c r="V1005" s="2129"/>
      <c r="W1005" s="2128"/>
      <c r="X1005" s="2128"/>
      <c r="Y1005" s="2125"/>
      <c r="Z1005" s="2124">
        <v>44917</v>
      </c>
      <c r="AA1005" s="2125"/>
      <c r="AB1005" s="2125"/>
      <c r="AC1005" s="2125"/>
    </row>
    <row r="1006" spans="1:29" ht="15.75" thickBot="1">
      <c r="A1006" s="1871">
        <v>44889</v>
      </c>
      <c r="B1006" s="1875" t="s">
        <v>13620</v>
      </c>
      <c r="C1006" s="1437" t="s">
        <v>2434</v>
      </c>
      <c r="D1006" s="1437" t="s">
        <v>219</v>
      </c>
      <c r="E1006" s="1873" t="s">
        <v>3270</v>
      </c>
      <c r="F1006" s="1437"/>
      <c r="G1006" s="1875"/>
      <c r="H1006" s="1437"/>
      <c r="I1006" s="1437" t="s">
        <v>3271</v>
      </c>
      <c r="J1006" s="1437"/>
      <c r="K1006" s="1874">
        <v>20034600</v>
      </c>
      <c r="L1006" s="1437" t="s">
        <v>251</v>
      </c>
      <c r="M1006" s="1871">
        <v>44911</v>
      </c>
      <c r="N1006" s="1871">
        <v>44944</v>
      </c>
      <c r="O1006" s="1437"/>
      <c r="P1006" s="1875"/>
      <c r="Q1006" s="1437"/>
      <c r="R1006" s="1874"/>
      <c r="S1006" s="1874"/>
      <c r="T1006" s="1490"/>
      <c r="U1006" s="1490"/>
      <c r="V1006" s="1490"/>
      <c r="W1006" s="1874"/>
      <c r="X1006" s="1874"/>
      <c r="Y1006" s="1437"/>
      <c r="Z1006" s="1437"/>
      <c r="AA1006" s="1437"/>
      <c r="AB1006" s="1437"/>
      <c r="AC1006" s="1437"/>
    </row>
    <row r="1007" spans="1:29" ht="15.75" thickTop="1">
      <c r="A1007" s="2813">
        <v>44889</v>
      </c>
      <c r="B1007" s="2007" t="s">
        <v>13621</v>
      </c>
      <c r="C1007" s="2045" t="s">
        <v>2434</v>
      </c>
      <c r="D1007" s="2045" t="s">
        <v>3204</v>
      </c>
      <c r="E1007" s="2046" t="s">
        <v>13622</v>
      </c>
      <c r="F1007" s="2045">
        <v>1</v>
      </c>
      <c r="G1007" s="2007" t="s">
        <v>13623</v>
      </c>
      <c r="H1007" s="2045"/>
      <c r="I1007" s="2045" t="s">
        <v>642</v>
      </c>
      <c r="J1007" s="2814"/>
      <c r="K1007" s="2047">
        <v>4292500</v>
      </c>
      <c r="L1007" s="2045" t="s">
        <v>251</v>
      </c>
      <c r="M1007" s="2045"/>
      <c r="N1007" s="2045"/>
      <c r="O1007" s="2045"/>
      <c r="P1007" s="2007"/>
      <c r="Q1007" s="2045"/>
      <c r="R1007" s="2047"/>
      <c r="S1007" s="2047"/>
      <c r="T1007" s="2048"/>
      <c r="U1007" s="2048"/>
      <c r="V1007" s="2048"/>
      <c r="W1007" s="2047"/>
      <c r="X1007" s="2047"/>
      <c r="Y1007" s="2045"/>
      <c r="Z1007" s="2045"/>
      <c r="AA1007" s="2045"/>
      <c r="AB1007" s="2045"/>
      <c r="AC1007" s="2815"/>
    </row>
    <row r="1008" spans="1:29">
      <c r="A1008" s="2816">
        <v>44889</v>
      </c>
      <c r="B1008" s="2386" t="s">
        <v>13624</v>
      </c>
      <c r="C1008" s="2079" t="s">
        <v>2434</v>
      </c>
      <c r="D1008" s="2079" t="s">
        <v>3204</v>
      </c>
      <c r="E1008" s="2385" t="s">
        <v>13622</v>
      </c>
      <c r="F1008" s="2079">
        <v>2</v>
      </c>
      <c r="G1008" s="2386" t="s">
        <v>13628</v>
      </c>
      <c r="H1008" s="2079"/>
      <c r="I1008" s="2079" t="s">
        <v>642</v>
      </c>
      <c r="J1008" s="2079"/>
      <c r="K1008" s="2387">
        <v>248000</v>
      </c>
      <c r="L1008" s="2079" t="s">
        <v>251</v>
      </c>
      <c r="M1008" s="2079"/>
      <c r="N1008" s="2079"/>
      <c r="O1008" s="2079"/>
      <c r="P1008" s="2386"/>
      <c r="Q1008" s="2079"/>
      <c r="R1008" s="2387"/>
      <c r="S1008" s="2387"/>
      <c r="T1008" s="2080"/>
      <c r="U1008" s="2080"/>
      <c r="V1008" s="2080"/>
      <c r="W1008" s="2387"/>
      <c r="X1008" s="2387"/>
      <c r="Y1008" s="2079"/>
      <c r="Z1008" s="2079"/>
      <c r="AA1008" s="2079"/>
      <c r="AB1008" s="2079"/>
      <c r="AC1008" s="2817"/>
    </row>
    <row r="1009" spans="1:29" ht="30">
      <c r="A1009" s="2816">
        <v>44889</v>
      </c>
      <c r="B1009" s="2386" t="s">
        <v>13625</v>
      </c>
      <c r="C1009" s="2079" t="s">
        <v>2434</v>
      </c>
      <c r="D1009" s="2079" t="s">
        <v>3204</v>
      </c>
      <c r="E1009" s="2385" t="s">
        <v>13622</v>
      </c>
      <c r="F1009" s="2079">
        <v>3</v>
      </c>
      <c r="G1009" s="2818" t="s">
        <v>13629</v>
      </c>
      <c r="H1009" s="2079"/>
      <c r="I1009" s="2079" t="s">
        <v>642</v>
      </c>
      <c r="J1009" s="2079"/>
      <c r="K1009" s="2387">
        <v>6435000</v>
      </c>
      <c r="L1009" s="2079" t="s">
        <v>251</v>
      </c>
      <c r="M1009" s="2079"/>
      <c r="N1009" s="2079"/>
      <c r="O1009" s="2079"/>
      <c r="P1009" s="2386"/>
      <c r="Q1009" s="2079"/>
      <c r="R1009" s="2387"/>
      <c r="S1009" s="2387"/>
      <c r="T1009" s="2080"/>
      <c r="U1009" s="2080"/>
      <c r="V1009" s="2080"/>
      <c r="W1009" s="2387"/>
      <c r="X1009" s="2387"/>
      <c r="Y1009" s="2079"/>
      <c r="Z1009" s="2079"/>
      <c r="AA1009" s="2079"/>
      <c r="AB1009" s="2079"/>
      <c r="AC1009" s="2817"/>
    </row>
    <row r="1010" spans="1:29">
      <c r="A1010" s="2816">
        <v>44889</v>
      </c>
      <c r="B1010" s="2386" t="s">
        <v>13626</v>
      </c>
      <c r="C1010" s="2079" t="s">
        <v>2434</v>
      </c>
      <c r="D1010" s="2079" t="s">
        <v>3204</v>
      </c>
      <c r="E1010" s="2385" t="s">
        <v>13622</v>
      </c>
      <c r="F1010" s="2079">
        <v>4</v>
      </c>
      <c r="G1010" s="2386" t="s">
        <v>13630</v>
      </c>
      <c r="H1010" s="2079"/>
      <c r="I1010" s="2079" t="s">
        <v>642</v>
      </c>
      <c r="J1010" s="2079"/>
      <c r="K1010" s="2387">
        <v>1895000</v>
      </c>
      <c r="L1010" s="2079" t="s">
        <v>251</v>
      </c>
      <c r="M1010" s="2079"/>
      <c r="N1010" s="2079"/>
      <c r="O1010" s="2079"/>
      <c r="P1010" s="2386"/>
      <c r="Q1010" s="2079"/>
      <c r="R1010" s="2387"/>
      <c r="S1010" s="2387"/>
      <c r="T1010" s="2080"/>
      <c r="U1010" s="2080"/>
      <c r="V1010" s="2080"/>
      <c r="W1010" s="2387"/>
      <c r="X1010" s="2387"/>
      <c r="Y1010" s="2079"/>
      <c r="Z1010" s="2079"/>
      <c r="AA1010" s="2079"/>
      <c r="AB1010" s="2079"/>
      <c r="AC1010" s="2817"/>
    </row>
    <row r="1011" spans="1:29">
      <c r="A1011" s="2816">
        <v>44889</v>
      </c>
      <c r="B1011" s="2386" t="s">
        <v>13627</v>
      </c>
      <c r="C1011" s="2079" t="s">
        <v>2434</v>
      </c>
      <c r="D1011" s="2079" t="s">
        <v>3204</v>
      </c>
      <c r="E1011" s="2385" t="s">
        <v>13622</v>
      </c>
      <c r="F1011" s="2079">
        <v>5</v>
      </c>
      <c r="G1011" s="2819" t="s">
        <v>13631</v>
      </c>
      <c r="H1011" s="2079"/>
      <c r="I1011" s="2079" t="s">
        <v>642</v>
      </c>
      <c r="J1011" s="2079"/>
      <c r="K1011" s="2387">
        <v>1525000</v>
      </c>
      <c r="L1011" s="2079" t="s">
        <v>251</v>
      </c>
      <c r="M1011" s="2079"/>
      <c r="N1011" s="2079"/>
      <c r="O1011" s="2079"/>
      <c r="P1011" s="2386"/>
      <c r="Q1011" s="2079"/>
      <c r="R1011" s="2387"/>
      <c r="S1011" s="2387"/>
      <c r="T1011" s="2080"/>
      <c r="U1011" s="2080"/>
      <c r="V1011" s="2080"/>
      <c r="W1011" s="2387"/>
      <c r="X1011" s="2387"/>
      <c r="Y1011" s="2079"/>
      <c r="Z1011" s="2079"/>
      <c r="AA1011" s="2079"/>
      <c r="AB1011" s="2079"/>
      <c r="AC1011" s="2817"/>
    </row>
    <row r="1012" spans="1:29">
      <c r="A1012" s="2820" t="s">
        <v>3585</v>
      </c>
      <c r="B1012" s="2386" t="s">
        <v>13706</v>
      </c>
      <c r="C1012" s="2079" t="s">
        <v>2434</v>
      </c>
      <c r="D1012" s="2079" t="s">
        <v>3204</v>
      </c>
      <c r="E1012" s="2385" t="s">
        <v>13622</v>
      </c>
      <c r="F1012" s="2076">
        <v>6</v>
      </c>
      <c r="G1012" s="2821" t="s">
        <v>13710</v>
      </c>
      <c r="H1012" s="2076"/>
      <c r="I1012" s="2079" t="s">
        <v>642</v>
      </c>
      <c r="J1012" s="2076"/>
      <c r="K1012" s="2811">
        <v>2736000</v>
      </c>
      <c r="L1012" s="2076" t="s">
        <v>251</v>
      </c>
      <c r="M1012" s="2076"/>
      <c r="N1012" s="2076"/>
      <c r="O1012" s="2076"/>
      <c r="P1012" s="2810"/>
      <c r="Q1012" s="2076"/>
      <c r="R1012" s="2811"/>
      <c r="S1012" s="2811"/>
      <c r="T1012" s="2077"/>
      <c r="U1012" s="2077"/>
      <c r="V1012" s="2077"/>
      <c r="W1012" s="2811"/>
      <c r="X1012" s="2811"/>
      <c r="Y1012" s="2076"/>
      <c r="Z1012" s="2076"/>
      <c r="AA1012" s="2076"/>
      <c r="AB1012" s="2076"/>
      <c r="AC1012" s="2822"/>
    </row>
    <row r="1013" spans="1:29">
      <c r="A1013" s="2820" t="s">
        <v>3585</v>
      </c>
      <c r="B1013" s="2386" t="s">
        <v>13707</v>
      </c>
      <c r="C1013" s="2079" t="s">
        <v>2434</v>
      </c>
      <c r="D1013" s="2079" t="s">
        <v>3204</v>
      </c>
      <c r="E1013" s="2385" t="s">
        <v>13622</v>
      </c>
      <c r="F1013" s="2076">
        <v>7</v>
      </c>
      <c r="G1013" s="2821" t="s">
        <v>13711</v>
      </c>
      <c r="H1013" s="2076"/>
      <c r="I1013" s="2079" t="s">
        <v>642</v>
      </c>
      <c r="J1013" s="2076"/>
      <c r="K1013" s="2811">
        <v>1200000</v>
      </c>
      <c r="L1013" s="2076" t="s">
        <v>251</v>
      </c>
      <c r="M1013" s="2076"/>
      <c r="N1013" s="2076"/>
      <c r="O1013" s="2076"/>
      <c r="P1013" s="2810"/>
      <c r="Q1013" s="2076"/>
      <c r="R1013" s="2811"/>
      <c r="S1013" s="2811"/>
      <c r="T1013" s="2077"/>
      <c r="U1013" s="2077"/>
      <c r="V1013" s="2077"/>
      <c r="W1013" s="2811"/>
      <c r="X1013" s="2811"/>
      <c r="Y1013" s="2076"/>
      <c r="Z1013" s="2076"/>
      <c r="AA1013" s="2076"/>
      <c r="AB1013" s="2076"/>
      <c r="AC1013" s="2822"/>
    </row>
    <row r="1014" spans="1:29">
      <c r="A1014" s="2820" t="s">
        <v>3585</v>
      </c>
      <c r="B1014" s="2386" t="s">
        <v>13708</v>
      </c>
      <c r="C1014" s="2079" t="s">
        <v>2434</v>
      </c>
      <c r="D1014" s="2079" t="s">
        <v>3204</v>
      </c>
      <c r="E1014" s="2385" t="s">
        <v>13622</v>
      </c>
      <c r="F1014" s="2076">
        <v>8</v>
      </c>
      <c r="G1014" s="2821" t="s">
        <v>13712</v>
      </c>
      <c r="H1014" s="2076"/>
      <c r="I1014" s="2079" t="s">
        <v>642</v>
      </c>
      <c r="J1014" s="2076"/>
      <c r="K1014" s="2811">
        <v>1440000</v>
      </c>
      <c r="L1014" s="2076" t="s">
        <v>251</v>
      </c>
      <c r="M1014" s="2076"/>
      <c r="N1014" s="2076"/>
      <c r="O1014" s="2076"/>
      <c r="P1014" s="2810"/>
      <c r="Q1014" s="2076"/>
      <c r="R1014" s="2811"/>
      <c r="S1014" s="2811"/>
      <c r="T1014" s="2077"/>
      <c r="U1014" s="2077"/>
      <c r="V1014" s="2077"/>
      <c r="W1014" s="2811"/>
      <c r="X1014" s="2811"/>
      <c r="Y1014" s="2076"/>
      <c r="Z1014" s="2076"/>
      <c r="AA1014" s="2076"/>
      <c r="AB1014" s="2076"/>
      <c r="AC1014" s="2822"/>
    </row>
    <row r="1015" spans="1:29" ht="15.75" thickBot="1">
      <c r="A1015" s="2823" t="s">
        <v>3585</v>
      </c>
      <c r="B1015" s="2824" t="s">
        <v>13709</v>
      </c>
      <c r="C1015" s="2825" t="s">
        <v>2434</v>
      </c>
      <c r="D1015" s="2825" t="s">
        <v>3204</v>
      </c>
      <c r="E1015" s="2826" t="s">
        <v>13622</v>
      </c>
      <c r="F1015" s="2825">
        <v>9</v>
      </c>
      <c r="G1015" s="2827" t="s">
        <v>12997</v>
      </c>
      <c r="H1015" s="2825"/>
      <c r="I1015" s="2825" t="s">
        <v>642</v>
      </c>
      <c r="J1015" s="2825"/>
      <c r="K1015" s="2828">
        <v>1249587</v>
      </c>
      <c r="L1015" s="2081" t="s">
        <v>251</v>
      </c>
      <c r="M1015" s="2081"/>
      <c r="N1015" s="2081"/>
      <c r="O1015" s="2081"/>
      <c r="P1015" s="2394"/>
      <c r="Q1015" s="2081"/>
      <c r="R1015" s="2395"/>
      <c r="S1015" s="2395"/>
      <c r="T1015" s="2082"/>
      <c r="U1015" s="2082"/>
      <c r="V1015" s="2082"/>
      <c r="W1015" s="2395"/>
      <c r="X1015" s="2395"/>
      <c r="Y1015" s="2081"/>
      <c r="Z1015" s="2081"/>
      <c r="AA1015" s="2081"/>
      <c r="AB1015" s="2081"/>
      <c r="AC1015" s="2829"/>
    </row>
    <row r="1016" spans="1:29" ht="15.75" thickTop="1">
      <c r="A1016" s="2830">
        <v>44893</v>
      </c>
      <c r="B1016" s="2831" t="s">
        <v>13643</v>
      </c>
      <c r="C1016" s="2832" t="s">
        <v>58</v>
      </c>
      <c r="D1016" s="2832" t="s">
        <v>4969</v>
      </c>
      <c r="E1016" s="2833" t="s">
        <v>13644</v>
      </c>
      <c r="F1016" s="2832"/>
      <c r="G1016" s="2831"/>
      <c r="H1016" s="2832"/>
      <c r="I1016" s="2832" t="s">
        <v>13645</v>
      </c>
      <c r="J1016" s="2832" t="s">
        <v>13646</v>
      </c>
      <c r="K1016" s="2834">
        <v>692781</v>
      </c>
      <c r="L1016" s="2832" t="s">
        <v>112</v>
      </c>
      <c r="M1016" s="2832"/>
      <c r="N1016" s="2832"/>
      <c r="O1016" s="2832"/>
      <c r="P1016" s="2831"/>
      <c r="Q1016" s="2832"/>
      <c r="R1016" s="2834"/>
      <c r="S1016" s="2834"/>
      <c r="T1016" s="2835"/>
      <c r="U1016" s="2835"/>
      <c r="V1016" s="2835"/>
      <c r="W1016" s="2834"/>
      <c r="X1016" s="2834"/>
      <c r="Y1016" s="2832"/>
      <c r="Z1016" s="2832"/>
      <c r="AA1016" s="2832"/>
      <c r="AB1016" s="2832"/>
      <c r="AC1016" s="2832"/>
    </row>
    <row r="1017" spans="1:29">
      <c r="A1017" s="2141" t="s">
        <v>3585</v>
      </c>
      <c r="B1017" s="2143" t="s">
        <v>13648</v>
      </c>
      <c r="C1017" s="2141" t="s">
        <v>6561</v>
      </c>
      <c r="D1017" s="2141" t="s">
        <v>4864</v>
      </c>
      <c r="E1017" s="2142" t="s">
        <v>13649</v>
      </c>
      <c r="F1017" s="2141"/>
      <c r="G1017" s="2143"/>
      <c r="H1017" s="2141"/>
      <c r="I1017" s="2141" t="s">
        <v>7319</v>
      </c>
      <c r="J1017" s="2141"/>
      <c r="K1017" s="2144">
        <v>550000</v>
      </c>
      <c r="L1017" s="2141" t="s">
        <v>112</v>
      </c>
      <c r="M1017" s="2140">
        <v>44897</v>
      </c>
      <c r="N1017" s="2140">
        <v>44909</v>
      </c>
      <c r="O1017" s="2140">
        <v>44914</v>
      </c>
      <c r="P1017" s="2143" t="s">
        <v>2162</v>
      </c>
      <c r="Q1017" s="2141"/>
      <c r="R1017" s="2144">
        <v>498638</v>
      </c>
      <c r="S1017" s="2144">
        <v>603351.98</v>
      </c>
      <c r="T1017" s="2145"/>
      <c r="U1017" s="2145"/>
      <c r="V1017" s="2145"/>
      <c r="W1017" s="2146">
        <v>44914</v>
      </c>
      <c r="X1017" s="2144" t="s">
        <v>13778</v>
      </c>
      <c r="Y1017" s="2140">
        <v>44918</v>
      </c>
      <c r="Z1017" s="2140">
        <v>44931</v>
      </c>
      <c r="AA1017" s="2141"/>
      <c r="AB1017" s="2109"/>
      <c r="AC1017" s="2106"/>
    </row>
    <row r="1018" spans="1:29">
      <c r="A1018" s="2085" t="s">
        <v>3585</v>
      </c>
      <c r="B1018" s="2087" t="s">
        <v>13651</v>
      </c>
      <c r="C1018" s="2085" t="s">
        <v>58</v>
      </c>
      <c r="D1018" s="2085" t="s">
        <v>4969</v>
      </c>
      <c r="E1018" s="2086" t="s">
        <v>13652</v>
      </c>
      <c r="F1018" s="2085"/>
      <c r="G1018" s="2087"/>
      <c r="H1018" s="2085"/>
      <c r="I1018" s="2085" t="s">
        <v>4267</v>
      </c>
      <c r="J1018" s="2085"/>
      <c r="K1018" s="2092">
        <v>290000</v>
      </c>
      <c r="L1018" s="2085" t="s">
        <v>251</v>
      </c>
      <c r="M1018" s="2084">
        <v>44896</v>
      </c>
      <c r="N1018" s="2084">
        <v>44930</v>
      </c>
      <c r="O1018" s="2085"/>
      <c r="P1018" s="2087"/>
      <c r="Q1018" s="2085"/>
      <c r="R1018" s="2092"/>
      <c r="S1018" s="2092"/>
      <c r="T1018" s="2094"/>
      <c r="U1018" s="2094"/>
      <c r="V1018" s="2094"/>
      <c r="W1018" s="2092"/>
      <c r="X1018" s="2092"/>
      <c r="Y1018" s="2085"/>
      <c r="Z1018" s="2085"/>
      <c r="AA1018" s="2085"/>
      <c r="AB1018" s="2085"/>
      <c r="AC1018" s="2085"/>
    </row>
    <row r="1019" spans="1:29">
      <c r="A1019" s="2084">
        <v>44893</v>
      </c>
      <c r="B1019" s="2087" t="s">
        <v>13655</v>
      </c>
      <c r="C1019" s="2085" t="s">
        <v>2434</v>
      </c>
      <c r="D1019" s="2085" t="s">
        <v>219</v>
      </c>
      <c r="E1019" s="2086" t="s">
        <v>13656</v>
      </c>
      <c r="F1019" s="2085"/>
      <c r="G1019" s="2087"/>
      <c r="H1019" s="2085"/>
      <c r="I1019" s="2085" t="s">
        <v>3271</v>
      </c>
      <c r="J1019" s="2085"/>
      <c r="K1019" s="2092">
        <v>1096600</v>
      </c>
      <c r="L1019" s="2085" t="s">
        <v>251</v>
      </c>
      <c r="M1019" s="2084">
        <v>44897</v>
      </c>
      <c r="N1019" s="2084">
        <v>44931</v>
      </c>
      <c r="O1019" s="2085"/>
      <c r="P1019" s="2087"/>
      <c r="Q1019" s="2085"/>
      <c r="R1019" s="2092"/>
      <c r="S1019" s="2092"/>
      <c r="T1019" s="2094"/>
      <c r="U1019" s="2094"/>
      <c r="V1019" s="2094"/>
      <c r="W1019" s="2092"/>
      <c r="X1019" s="2092"/>
      <c r="Y1019" s="2085"/>
      <c r="Z1019" s="2085"/>
      <c r="AA1019" s="2085"/>
      <c r="AB1019" s="2085"/>
      <c r="AC1019" s="2085"/>
    </row>
    <row r="1020" spans="1:29">
      <c r="A1020" s="2153">
        <v>44895</v>
      </c>
      <c r="B1020" s="2156" t="s">
        <v>13657</v>
      </c>
      <c r="C1020" s="2154" t="s">
        <v>58</v>
      </c>
      <c r="D1020" s="2154" t="s">
        <v>4969</v>
      </c>
      <c r="E1020" s="2155" t="s">
        <v>13658</v>
      </c>
      <c r="F1020" s="2154"/>
      <c r="G1020" s="2156"/>
      <c r="H1020" s="2085"/>
      <c r="I1020" s="2154" t="s">
        <v>4312</v>
      </c>
      <c r="J1020" s="2154" t="s">
        <v>13659</v>
      </c>
      <c r="K1020" s="2157">
        <v>166400</v>
      </c>
      <c r="L1020" s="2154" t="s">
        <v>112</v>
      </c>
      <c r="M1020" s="2153">
        <v>44896</v>
      </c>
      <c r="N1020" s="2153">
        <v>44904</v>
      </c>
      <c r="O1020" s="2154"/>
      <c r="P1020" s="2156"/>
      <c r="Q1020" s="2154"/>
      <c r="R1020" s="2157"/>
      <c r="S1020" s="2157"/>
      <c r="T1020" s="2094"/>
      <c r="U1020" s="2094"/>
      <c r="V1020" s="2094"/>
      <c r="W1020" s="2157"/>
      <c r="X1020" s="2157"/>
      <c r="Y1020" s="2154"/>
      <c r="Z1020" s="2154"/>
      <c r="AA1020" s="2154"/>
      <c r="AB1020" s="2154"/>
      <c r="AC1020" s="2154"/>
    </row>
    <row r="1021" spans="1:29">
      <c r="A1021" s="2084">
        <v>44895</v>
      </c>
      <c r="B1021" s="2087" t="s">
        <v>13660</v>
      </c>
      <c r="C1021" s="2085" t="s">
        <v>58</v>
      </c>
      <c r="D1021" s="2085" t="s">
        <v>4969</v>
      </c>
      <c r="E1021" s="2086" t="s">
        <v>652</v>
      </c>
      <c r="F1021" s="2085"/>
      <c r="G1021" s="2087"/>
      <c r="H1021" s="2085"/>
      <c r="I1021" s="2085" t="s">
        <v>737</v>
      </c>
      <c r="J1021" s="2085" t="s">
        <v>13661</v>
      </c>
      <c r="K1021" s="2092">
        <v>31962689</v>
      </c>
      <c r="L1021" s="2085" t="s">
        <v>251</v>
      </c>
      <c r="M1021" s="2084">
        <v>44908</v>
      </c>
      <c r="N1021" s="2084">
        <v>44942</v>
      </c>
      <c r="O1021" s="2085"/>
      <c r="P1021" s="2087"/>
      <c r="Q1021" s="2085"/>
      <c r="R1021" s="2092"/>
      <c r="S1021" s="2092"/>
      <c r="T1021" s="2094"/>
      <c r="U1021" s="2094"/>
      <c r="V1021" s="2094"/>
      <c r="W1021" s="2092"/>
      <c r="X1021" s="2092"/>
      <c r="Y1021" s="2085"/>
      <c r="Z1021" s="2085"/>
      <c r="AA1021" s="2085"/>
      <c r="AB1021" s="2085"/>
      <c r="AC1021" s="2085"/>
    </row>
    <row r="1022" spans="1:29">
      <c r="A1022" s="2084">
        <v>44888</v>
      </c>
      <c r="B1022" s="2087" t="s">
        <v>13666</v>
      </c>
      <c r="C1022" s="2085" t="s">
        <v>52</v>
      </c>
      <c r="D1022" s="2085" t="s">
        <v>5894</v>
      </c>
      <c r="E1022" s="2086" t="s">
        <v>13667</v>
      </c>
      <c r="F1022" s="2085"/>
      <c r="G1022" s="2087"/>
      <c r="H1022" s="2085"/>
      <c r="I1022" s="2085" t="s">
        <v>1708</v>
      </c>
      <c r="J1022" s="2085"/>
      <c r="K1022" s="2092">
        <v>7500000</v>
      </c>
      <c r="L1022" s="2085" t="s">
        <v>251</v>
      </c>
      <c r="M1022" s="2084">
        <v>44909</v>
      </c>
      <c r="N1022" s="2084">
        <v>44942</v>
      </c>
      <c r="O1022" s="2085"/>
      <c r="P1022" s="2087"/>
      <c r="Q1022" s="2085"/>
      <c r="R1022" s="2092"/>
      <c r="S1022" s="2092"/>
      <c r="T1022" s="2094"/>
      <c r="U1022" s="2094"/>
      <c r="V1022" s="2094"/>
      <c r="W1022" s="2092"/>
      <c r="X1022" s="2092"/>
      <c r="Y1022" s="2085"/>
      <c r="Z1022" s="2085"/>
      <c r="AA1022" s="2085"/>
      <c r="AB1022" s="2085"/>
      <c r="AC1022" s="2085"/>
    </row>
    <row r="1023" spans="1:29" ht="15.75" thickBot="1">
      <c r="A1023" s="1871">
        <v>44894</v>
      </c>
      <c r="B1023" s="1875" t="s">
        <v>13673</v>
      </c>
      <c r="C1023" s="1437" t="s">
        <v>2434</v>
      </c>
      <c r="D1023" s="1437" t="s">
        <v>3204</v>
      </c>
      <c r="E1023" s="1873" t="s">
        <v>13674</v>
      </c>
      <c r="F1023" s="1437"/>
      <c r="G1023" s="1875"/>
      <c r="H1023" s="1437"/>
      <c r="I1023" s="1437" t="s">
        <v>642</v>
      </c>
      <c r="J1023" s="1437"/>
      <c r="K1023" s="1874">
        <v>2786400</v>
      </c>
      <c r="L1023" s="1437" t="s">
        <v>216</v>
      </c>
      <c r="M1023" s="1871">
        <v>44902</v>
      </c>
      <c r="N1023" s="1871">
        <v>44939</v>
      </c>
      <c r="O1023" s="1437"/>
      <c r="P1023" s="1875"/>
      <c r="Q1023" s="1437"/>
      <c r="R1023" s="1874"/>
      <c r="S1023" s="1874"/>
      <c r="T1023" s="1490"/>
      <c r="U1023" s="1490"/>
      <c r="V1023" s="1490"/>
      <c r="W1023" s="1874"/>
      <c r="X1023" s="1874"/>
      <c r="Y1023" s="1437"/>
      <c r="Z1023" s="1437"/>
      <c r="AA1023" s="1437"/>
      <c r="AB1023" s="1437"/>
      <c r="AC1023" s="1437"/>
    </row>
    <row r="1024" spans="1:29" ht="15.75" thickTop="1">
      <c r="A1024" s="2044">
        <v>44896</v>
      </c>
      <c r="B1024" s="2007" t="s">
        <v>13682</v>
      </c>
      <c r="C1024" s="2045" t="s">
        <v>69</v>
      </c>
      <c r="D1024" s="2045" t="s">
        <v>70</v>
      </c>
      <c r="E1024" s="2046" t="s">
        <v>13683</v>
      </c>
      <c r="F1024" s="2045">
        <v>1</v>
      </c>
      <c r="G1024" s="2007" t="s">
        <v>13686</v>
      </c>
      <c r="H1024" s="2045"/>
      <c r="I1024" s="2045" t="s">
        <v>12920</v>
      </c>
      <c r="J1024" s="2045"/>
      <c r="K1024" s="2047">
        <v>820500</v>
      </c>
      <c r="L1024" s="2045" t="s">
        <v>251</v>
      </c>
      <c r="M1024" s="2045"/>
      <c r="N1024" s="2045"/>
      <c r="O1024" s="2045"/>
      <c r="P1024" s="2007"/>
      <c r="Q1024" s="2045"/>
      <c r="R1024" s="2047"/>
      <c r="S1024" s="2047"/>
      <c r="T1024" s="2048"/>
      <c r="U1024" s="2048"/>
      <c r="V1024" s="2048"/>
      <c r="W1024" s="2047"/>
      <c r="X1024" s="2047"/>
      <c r="Y1024" s="2045"/>
      <c r="Z1024" s="2045"/>
      <c r="AA1024" s="2045"/>
      <c r="AB1024" s="2045"/>
      <c r="AC1024" s="2045"/>
    </row>
    <row r="1025" spans="1:29">
      <c r="A1025" s="2388">
        <v>44896</v>
      </c>
      <c r="B1025" s="2386" t="s">
        <v>13684</v>
      </c>
      <c r="C1025" s="2079" t="s">
        <v>69</v>
      </c>
      <c r="D1025" s="2079" t="s">
        <v>70</v>
      </c>
      <c r="E1025" s="2385" t="s">
        <v>13683</v>
      </c>
      <c r="F1025" s="2079">
        <v>2</v>
      </c>
      <c r="G1025" s="2386" t="s">
        <v>13687</v>
      </c>
      <c r="H1025" s="2079"/>
      <c r="I1025" s="2079" t="s">
        <v>12920</v>
      </c>
      <c r="J1025" s="2079"/>
      <c r="K1025" s="2387">
        <v>200910</v>
      </c>
      <c r="L1025" s="2079" t="s">
        <v>251</v>
      </c>
      <c r="M1025" s="2079"/>
      <c r="N1025" s="2079"/>
      <c r="O1025" s="2079"/>
      <c r="P1025" s="2386"/>
      <c r="Q1025" s="2079"/>
      <c r="R1025" s="2387"/>
      <c r="S1025" s="2387"/>
      <c r="T1025" s="2080"/>
      <c r="U1025" s="2080"/>
      <c r="V1025" s="2080"/>
      <c r="W1025" s="2387"/>
      <c r="X1025" s="2387"/>
      <c r="Y1025" s="2079"/>
      <c r="Z1025" s="2079"/>
      <c r="AA1025" s="2079"/>
      <c r="AB1025" s="2079"/>
      <c r="AC1025" s="2079"/>
    </row>
    <row r="1026" spans="1:29" ht="15.75" thickBot="1">
      <c r="A1026" s="2392">
        <v>44896</v>
      </c>
      <c r="B1026" s="2394" t="s">
        <v>13685</v>
      </c>
      <c r="C1026" s="2081" t="s">
        <v>69</v>
      </c>
      <c r="D1026" s="2081" t="s">
        <v>70</v>
      </c>
      <c r="E1026" s="2393" t="s">
        <v>13683</v>
      </c>
      <c r="F1026" s="2081">
        <v>3</v>
      </c>
      <c r="G1026" s="2394" t="s">
        <v>13688</v>
      </c>
      <c r="H1026" s="2081"/>
      <c r="I1026" s="2081" t="s">
        <v>12920</v>
      </c>
      <c r="J1026" s="2081"/>
      <c r="K1026" s="2395">
        <v>1001570</v>
      </c>
      <c r="L1026" s="2081" t="s">
        <v>251</v>
      </c>
      <c r="M1026" s="2081"/>
      <c r="N1026" s="2081"/>
      <c r="O1026" s="2081"/>
      <c r="P1026" s="2394"/>
      <c r="Q1026" s="2081"/>
      <c r="R1026" s="2395"/>
      <c r="S1026" s="2395"/>
      <c r="T1026" s="2082"/>
      <c r="U1026" s="2082"/>
      <c r="V1026" s="2082"/>
      <c r="W1026" s="2395"/>
      <c r="X1026" s="2395"/>
      <c r="Y1026" s="2081"/>
      <c r="Z1026" s="2081"/>
      <c r="AA1026" s="2081"/>
      <c r="AB1026" s="2081"/>
      <c r="AC1026" s="2081"/>
    </row>
    <row r="1027" spans="1:29" ht="15.75" thickTop="1">
      <c r="A1027" s="2857">
        <v>44896</v>
      </c>
      <c r="B1027" s="2404" t="s">
        <v>13689</v>
      </c>
      <c r="C1027" s="2304" t="s">
        <v>69</v>
      </c>
      <c r="D1027" s="2304" t="s">
        <v>70</v>
      </c>
      <c r="E1027" s="2403" t="s">
        <v>13693</v>
      </c>
      <c r="F1027" s="2304">
        <v>1</v>
      </c>
      <c r="G1027" s="2404" t="s">
        <v>13694</v>
      </c>
      <c r="H1027" s="2304"/>
      <c r="I1027" s="2304" t="s">
        <v>3436</v>
      </c>
      <c r="J1027" s="2304"/>
      <c r="K1027" s="2405">
        <v>3197700</v>
      </c>
      <c r="L1027" s="2304" t="s">
        <v>251</v>
      </c>
      <c r="M1027" s="2304"/>
      <c r="N1027" s="2304"/>
      <c r="O1027" s="2304"/>
      <c r="P1027" s="2404"/>
      <c r="Q1027" s="2304"/>
      <c r="R1027" s="2405"/>
      <c r="S1027" s="2405"/>
      <c r="T1027" s="2305"/>
      <c r="U1027" s="2305"/>
      <c r="V1027" s="2305"/>
      <c r="W1027" s="2405"/>
      <c r="X1027" s="2405"/>
      <c r="Y1027" s="2304"/>
      <c r="Z1027" s="2304"/>
      <c r="AA1027" s="2304"/>
      <c r="AB1027" s="2304"/>
      <c r="AC1027" s="2304"/>
    </row>
    <row r="1028" spans="1:29" ht="15.75" thickBot="1">
      <c r="A1028" s="2858">
        <v>44896</v>
      </c>
      <c r="B1028" s="2810" t="s">
        <v>13690</v>
      </c>
      <c r="C1028" s="2076" t="s">
        <v>69</v>
      </c>
      <c r="D1028" s="2076" t="s">
        <v>70</v>
      </c>
      <c r="E1028" s="2859" t="s">
        <v>13693</v>
      </c>
      <c r="F1028" s="2076">
        <v>2</v>
      </c>
      <c r="G1028" s="2810" t="s">
        <v>13695</v>
      </c>
      <c r="H1028" s="2076"/>
      <c r="I1028" s="2076" t="s">
        <v>3436</v>
      </c>
      <c r="J1028" s="2076"/>
      <c r="K1028" s="2811">
        <v>686464</v>
      </c>
      <c r="L1028" s="2076" t="s">
        <v>251</v>
      </c>
      <c r="M1028" s="2076"/>
      <c r="N1028" s="2076"/>
      <c r="O1028" s="2076"/>
      <c r="P1028" s="2810"/>
      <c r="Q1028" s="2076"/>
      <c r="R1028" s="2811"/>
      <c r="S1028" s="2811"/>
      <c r="T1028" s="2077"/>
      <c r="U1028" s="2077"/>
      <c r="V1028" s="2077"/>
      <c r="W1028" s="2811"/>
      <c r="X1028" s="2811"/>
      <c r="Y1028" s="2076"/>
      <c r="Z1028" s="2076"/>
      <c r="AA1028" s="2076"/>
      <c r="AB1028" s="2076"/>
      <c r="AC1028" s="2076"/>
    </row>
    <row r="1029" spans="1:29" ht="15.75" thickTop="1">
      <c r="A1029" s="2044">
        <v>44896</v>
      </c>
      <c r="B1029" s="2007" t="s">
        <v>13691</v>
      </c>
      <c r="C1029" s="2045" t="s">
        <v>69</v>
      </c>
      <c r="D1029" s="2045" t="s">
        <v>70</v>
      </c>
      <c r="E1029" s="2046" t="s">
        <v>13697</v>
      </c>
      <c r="F1029" s="2045">
        <v>1</v>
      </c>
      <c r="G1029" s="2007" t="s">
        <v>13698</v>
      </c>
      <c r="H1029" s="2045"/>
      <c r="I1029" s="2045" t="s">
        <v>3436</v>
      </c>
      <c r="J1029" s="2045"/>
      <c r="K1029" s="2047">
        <v>9752898</v>
      </c>
      <c r="L1029" s="2045" t="s">
        <v>251</v>
      </c>
      <c r="M1029" s="2045"/>
      <c r="N1029" s="2045"/>
      <c r="O1029" s="2045"/>
      <c r="P1029" s="2007"/>
      <c r="Q1029" s="2045"/>
      <c r="R1029" s="2047"/>
      <c r="S1029" s="2047"/>
      <c r="T1029" s="2048"/>
      <c r="U1029" s="2048"/>
      <c r="V1029" s="2048"/>
      <c r="W1029" s="2047"/>
      <c r="X1029" s="2047"/>
      <c r="Y1029" s="2045"/>
      <c r="Z1029" s="2045"/>
      <c r="AA1029" s="2045"/>
      <c r="AB1029" s="2045"/>
      <c r="AC1029" s="2045"/>
    </row>
    <row r="1030" spans="1:29" ht="15.75" thickBot="1">
      <c r="A1030" s="2392">
        <v>44896</v>
      </c>
      <c r="B1030" s="2394" t="s">
        <v>13692</v>
      </c>
      <c r="C1030" s="2081" t="s">
        <v>69</v>
      </c>
      <c r="D1030" s="2081" t="s">
        <v>70</v>
      </c>
      <c r="E1030" s="2393" t="s">
        <v>13696</v>
      </c>
      <c r="F1030" s="2081">
        <v>2</v>
      </c>
      <c r="G1030" s="2394" t="s">
        <v>13699</v>
      </c>
      <c r="H1030" s="2081"/>
      <c r="I1030" s="2081" t="s">
        <v>3436</v>
      </c>
      <c r="J1030" s="2081"/>
      <c r="K1030" s="2395">
        <v>114943847</v>
      </c>
      <c r="L1030" s="2081" t="s">
        <v>251</v>
      </c>
      <c r="M1030" s="2081"/>
      <c r="N1030" s="2081"/>
      <c r="O1030" s="2081"/>
      <c r="P1030" s="2394"/>
      <c r="Q1030" s="2081"/>
      <c r="R1030" s="2395"/>
      <c r="S1030" s="2395"/>
      <c r="T1030" s="2082"/>
      <c r="U1030" s="2082"/>
      <c r="V1030" s="2082"/>
      <c r="W1030" s="2395"/>
      <c r="X1030" s="2395"/>
      <c r="Y1030" s="2081"/>
      <c r="Z1030" s="2081"/>
      <c r="AA1030" s="2081"/>
      <c r="AB1030" s="2081"/>
      <c r="AC1030" s="2081"/>
    </row>
    <row r="1031" spans="1:29" ht="15.75" thickTop="1">
      <c r="A1031" s="2830">
        <v>44900</v>
      </c>
      <c r="B1031" s="2831" t="s">
        <v>13704</v>
      </c>
      <c r="C1031" s="2832" t="s">
        <v>69</v>
      </c>
      <c r="D1031" s="2832" t="s">
        <v>70</v>
      </c>
      <c r="E1031" s="2833" t="s">
        <v>13705</v>
      </c>
      <c r="F1031" s="2832"/>
      <c r="G1031" s="2836" t="s">
        <v>13771</v>
      </c>
      <c r="H1031" s="2832"/>
      <c r="I1031" s="2832" t="s">
        <v>13442</v>
      </c>
      <c r="J1031" s="2832"/>
      <c r="K1031" s="2834">
        <v>1605569</v>
      </c>
      <c r="L1031" s="2832" t="s">
        <v>251</v>
      </c>
      <c r="M1031" s="2832"/>
      <c r="N1031" s="2832"/>
      <c r="O1031" s="2832"/>
      <c r="P1031" s="2831"/>
      <c r="Q1031" s="2832"/>
      <c r="R1031" s="2834"/>
      <c r="S1031" s="2834"/>
      <c r="T1031" s="2835"/>
      <c r="U1031" s="2835"/>
      <c r="V1031" s="2835"/>
      <c r="W1031" s="2834"/>
      <c r="X1031" s="2834"/>
      <c r="Y1031" s="2832"/>
      <c r="Z1031" s="2832"/>
      <c r="AA1031" s="2832"/>
      <c r="AB1031" s="2832"/>
      <c r="AC1031" s="2832"/>
    </row>
    <row r="1032" spans="1:29">
      <c r="A1032" s="2154" t="s">
        <v>3585</v>
      </c>
      <c r="B1032" s="2156" t="s">
        <v>13715</v>
      </c>
      <c r="C1032" s="2154" t="s">
        <v>69</v>
      </c>
      <c r="D1032" s="2154" t="s">
        <v>70</v>
      </c>
      <c r="E1032" s="2155" t="s">
        <v>13716</v>
      </c>
      <c r="F1032" s="2154"/>
      <c r="G1032" s="2156"/>
      <c r="H1032" s="2085"/>
      <c r="I1032" s="2154" t="s">
        <v>4278</v>
      </c>
      <c r="J1032" s="2154"/>
      <c r="K1032" s="2157">
        <v>697450</v>
      </c>
      <c r="L1032" s="2154" t="s">
        <v>112</v>
      </c>
      <c r="M1032" s="2153">
        <v>44902</v>
      </c>
      <c r="N1032" s="2153">
        <v>44911</v>
      </c>
      <c r="O1032" s="2153">
        <v>44917</v>
      </c>
      <c r="P1032" s="2156" t="s">
        <v>13791</v>
      </c>
      <c r="Q1032" s="2154"/>
      <c r="R1032" s="2157">
        <v>617752.05000000005</v>
      </c>
      <c r="S1032" s="2157">
        <v>679527.26</v>
      </c>
      <c r="T1032" s="2094"/>
      <c r="U1032" s="2094"/>
      <c r="V1032" s="2094"/>
      <c r="W1032" s="2160">
        <v>44917</v>
      </c>
      <c r="X1032" s="2157" t="s">
        <v>13808</v>
      </c>
      <c r="Y1032" s="2154"/>
      <c r="Z1032" s="2154"/>
      <c r="AA1032" s="2154"/>
      <c r="AB1032" s="2154"/>
      <c r="AC1032" s="2154"/>
    </row>
    <row r="1033" spans="1:29">
      <c r="A1033" s="2153">
        <v>44901</v>
      </c>
      <c r="B1033" s="2156" t="s">
        <v>13717</v>
      </c>
      <c r="C1033" s="2154" t="s">
        <v>2434</v>
      </c>
      <c r="D1033" s="2154" t="s">
        <v>219</v>
      </c>
      <c r="E1033" s="2155" t="s">
        <v>3382</v>
      </c>
      <c r="F1033" s="2154"/>
      <c r="G1033" s="2156"/>
      <c r="H1033" s="2085"/>
      <c r="I1033" s="2154" t="s">
        <v>642</v>
      </c>
      <c r="J1033" s="2154"/>
      <c r="K1033" s="2157">
        <v>1992000</v>
      </c>
      <c r="L1033" s="2154" t="s">
        <v>216</v>
      </c>
      <c r="M1033" s="2153">
        <v>44903</v>
      </c>
      <c r="N1033" s="2153">
        <v>44923</v>
      </c>
      <c r="O1033" s="2154"/>
      <c r="P1033" s="2156"/>
      <c r="Q1033" s="2154"/>
      <c r="R1033" s="2157"/>
      <c r="S1033" s="2157"/>
      <c r="T1033" s="2094"/>
      <c r="U1033" s="2094"/>
      <c r="V1033" s="2094"/>
      <c r="W1033" s="2157"/>
      <c r="X1033" s="2157"/>
      <c r="Y1033" s="2154"/>
      <c r="Z1033" s="2154"/>
      <c r="AA1033" s="2154"/>
      <c r="AB1033" s="2154"/>
      <c r="AC1033" s="2154"/>
    </row>
    <row r="1034" spans="1:29" ht="15.75" thickBot="1">
      <c r="A1034" s="464">
        <v>44902</v>
      </c>
      <c r="B1034" s="1425" t="s">
        <v>13720</v>
      </c>
      <c r="C1034" s="406" t="s">
        <v>2111</v>
      </c>
      <c r="D1034" s="406" t="s">
        <v>9080</v>
      </c>
      <c r="E1034" s="462" t="s">
        <v>13721</v>
      </c>
      <c r="F1034" s="406"/>
      <c r="G1034" s="1425"/>
      <c r="H1034" s="1437"/>
      <c r="I1034" s="406" t="s">
        <v>9412</v>
      </c>
      <c r="J1034" s="406"/>
      <c r="K1034" s="465">
        <v>1303917</v>
      </c>
      <c r="L1034" s="406" t="s">
        <v>112</v>
      </c>
      <c r="M1034" s="464">
        <v>44903</v>
      </c>
      <c r="N1034" s="464">
        <v>44915</v>
      </c>
      <c r="O1034" s="406"/>
      <c r="P1034" s="1425"/>
      <c r="Q1034" s="406"/>
      <c r="R1034" s="465"/>
      <c r="S1034" s="465"/>
      <c r="T1034" s="1490"/>
      <c r="U1034" s="1490"/>
      <c r="V1034" s="1490"/>
      <c r="W1034" s="465"/>
      <c r="X1034" s="465"/>
      <c r="Y1034" s="406"/>
      <c r="Z1034" s="406"/>
      <c r="AA1034" s="406"/>
      <c r="AB1034" s="406"/>
      <c r="AC1034" s="406"/>
    </row>
    <row r="1035" spans="1:29" ht="15.75" thickTop="1">
      <c r="A1035" s="443">
        <v>44901</v>
      </c>
      <c r="B1035" s="1431" t="s">
        <v>13722</v>
      </c>
      <c r="C1035" s="439" t="s">
        <v>2434</v>
      </c>
      <c r="D1035" s="439" t="s">
        <v>219</v>
      </c>
      <c r="E1035" s="2854" t="s">
        <v>8437</v>
      </c>
      <c r="F1035" s="439">
        <v>1</v>
      </c>
      <c r="G1035" s="1431" t="s">
        <v>13724</v>
      </c>
      <c r="H1035" s="439"/>
      <c r="I1035" s="439" t="s">
        <v>642</v>
      </c>
      <c r="J1035" s="439"/>
      <c r="K1035" s="444">
        <v>403700</v>
      </c>
      <c r="L1035" s="439" t="s">
        <v>112</v>
      </c>
      <c r="M1035" s="443">
        <v>44908</v>
      </c>
      <c r="N1035" s="443">
        <v>44916</v>
      </c>
      <c r="O1035" s="439"/>
      <c r="P1035" s="753" t="s">
        <v>304</v>
      </c>
      <c r="Q1035" s="2015" t="s">
        <v>13831</v>
      </c>
      <c r="R1035" s="444"/>
      <c r="S1035" s="444"/>
      <c r="T1035" s="1481"/>
      <c r="U1035" s="1481"/>
      <c r="V1035" s="1481"/>
      <c r="W1035" s="444"/>
      <c r="X1035" s="444"/>
      <c r="Y1035" s="439"/>
      <c r="Z1035" s="443">
        <v>44916</v>
      </c>
      <c r="AA1035" s="439"/>
      <c r="AB1035" s="439"/>
      <c r="AC1035" s="439"/>
    </row>
    <row r="1036" spans="1:29" ht="15.75" thickBot="1">
      <c r="A1036" s="2152">
        <v>44901</v>
      </c>
      <c r="B1036" s="2300" t="s">
        <v>13723</v>
      </c>
      <c r="C1036" s="2297" t="s">
        <v>2434</v>
      </c>
      <c r="D1036" s="2297" t="s">
        <v>219</v>
      </c>
      <c r="E1036" s="2685" t="s">
        <v>8437</v>
      </c>
      <c r="F1036" s="2297">
        <v>2</v>
      </c>
      <c r="G1036" s="2300" t="s">
        <v>13725</v>
      </c>
      <c r="H1036" s="2089"/>
      <c r="I1036" s="2297" t="s">
        <v>642</v>
      </c>
      <c r="J1036" s="2297"/>
      <c r="K1036" s="2299">
        <v>1053360</v>
      </c>
      <c r="L1036" s="2297" t="s">
        <v>112</v>
      </c>
      <c r="M1036" s="2152">
        <v>44908</v>
      </c>
      <c r="N1036" s="2152">
        <v>44916</v>
      </c>
      <c r="O1036" s="2297"/>
      <c r="P1036" s="2300" t="s">
        <v>6763</v>
      </c>
      <c r="Q1036" s="2297"/>
      <c r="R1036" s="2299">
        <v>877800</v>
      </c>
      <c r="S1036" s="2299">
        <v>1062138</v>
      </c>
      <c r="T1036" s="2095"/>
      <c r="U1036" s="2095"/>
      <c r="V1036" s="2095"/>
      <c r="W1036" s="2299"/>
      <c r="X1036" s="2299"/>
      <c r="Y1036" s="2297"/>
      <c r="Z1036" s="2297"/>
      <c r="AA1036" s="2297"/>
      <c r="AB1036" s="2297"/>
      <c r="AC1036" s="2297"/>
    </row>
    <row r="1037" spans="1:29" ht="15.75" thickTop="1">
      <c r="A1037" s="580">
        <v>44903</v>
      </c>
      <c r="B1037" s="1828" t="s">
        <v>13744</v>
      </c>
      <c r="C1037" s="576" t="s">
        <v>2434</v>
      </c>
      <c r="D1037" s="576" t="s">
        <v>3204</v>
      </c>
      <c r="E1037" s="2446" t="s">
        <v>13745</v>
      </c>
      <c r="F1037" s="576"/>
      <c r="G1037" s="1828"/>
      <c r="H1037" s="576"/>
      <c r="I1037" s="576" t="s">
        <v>642</v>
      </c>
      <c r="J1037" s="576"/>
      <c r="K1037" s="581">
        <v>36939130.399999999</v>
      </c>
      <c r="L1037" s="576" t="s">
        <v>251</v>
      </c>
      <c r="M1037" s="580">
        <v>44908</v>
      </c>
      <c r="N1037" s="580">
        <v>44942</v>
      </c>
      <c r="O1037" s="576"/>
      <c r="P1037" s="1828"/>
      <c r="Q1037" s="576"/>
      <c r="R1037" s="581"/>
      <c r="S1037" s="581"/>
      <c r="T1037" s="1489"/>
      <c r="U1037" s="1489"/>
      <c r="V1037" s="1489"/>
      <c r="W1037" s="581"/>
      <c r="X1037" s="581"/>
      <c r="Y1037" s="576"/>
      <c r="Z1037" s="576"/>
      <c r="AA1037" s="576"/>
      <c r="AB1037" s="576"/>
      <c r="AC1037" s="576"/>
    </row>
    <row r="1038" spans="1:29">
      <c r="A1038" s="2154" t="s">
        <v>3585</v>
      </c>
      <c r="B1038" s="2156" t="s">
        <v>13747</v>
      </c>
      <c r="C1038" s="2154" t="s">
        <v>58</v>
      </c>
      <c r="D1038" s="2154" t="s">
        <v>4969</v>
      </c>
      <c r="E1038" s="2155" t="s">
        <v>13748</v>
      </c>
      <c r="F1038" s="2154"/>
      <c r="G1038" s="2156"/>
      <c r="H1038" s="2085"/>
      <c r="I1038" s="2154" t="s">
        <v>1294</v>
      </c>
      <c r="J1038" s="2154" t="s">
        <v>12679</v>
      </c>
      <c r="K1038" s="2157">
        <v>148000</v>
      </c>
      <c r="L1038" s="2154" t="s">
        <v>112</v>
      </c>
      <c r="M1038" s="2153">
        <v>44908</v>
      </c>
      <c r="N1038" s="2153">
        <v>44916</v>
      </c>
      <c r="O1038" s="2154"/>
      <c r="P1038" s="2156"/>
      <c r="Q1038" s="2154"/>
      <c r="R1038" s="2157"/>
      <c r="S1038" s="2157"/>
      <c r="T1038" s="2094"/>
      <c r="U1038" s="2094"/>
      <c r="V1038" s="2094"/>
      <c r="W1038" s="2157"/>
      <c r="X1038" s="2157"/>
      <c r="Y1038" s="2154"/>
      <c r="Z1038" s="2154"/>
      <c r="AA1038" s="2154"/>
      <c r="AB1038" s="2154"/>
      <c r="AC1038" s="2154"/>
    </row>
    <row r="1039" spans="1:29">
      <c r="A1039" s="2084">
        <v>44910</v>
      </c>
      <c r="B1039" s="2087" t="s">
        <v>13769</v>
      </c>
      <c r="C1039" s="2085" t="s">
        <v>2434</v>
      </c>
      <c r="D1039" s="2085" t="s">
        <v>3204</v>
      </c>
      <c r="E1039" s="2086" t="s">
        <v>13770</v>
      </c>
      <c r="F1039" s="2085"/>
      <c r="G1039" s="2087"/>
      <c r="H1039" s="2085"/>
      <c r="I1039" s="2085" t="s">
        <v>7092</v>
      </c>
      <c r="J1039" s="2085"/>
      <c r="K1039" s="2092">
        <v>2012800</v>
      </c>
      <c r="L1039" s="2085" t="s">
        <v>216</v>
      </c>
      <c r="M1039" s="2084">
        <v>44917</v>
      </c>
      <c r="N1039" s="2084">
        <v>44937</v>
      </c>
      <c r="O1039" s="2085"/>
      <c r="P1039" s="2087"/>
      <c r="Q1039" s="2085"/>
      <c r="R1039" s="2092"/>
      <c r="S1039" s="2092"/>
      <c r="T1039" s="2094"/>
      <c r="U1039" s="2094"/>
      <c r="V1039" s="2094"/>
      <c r="W1039" s="2092"/>
      <c r="X1039" s="2092"/>
      <c r="Y1039" s="2085"/>
      <c r="Z1039" s="2085"/>
      <c r="AA1039" s="2085"/>
      <c r="AB1039" s="2085"/>
      <c r="AC1039" s="2085"/>
    </row>
    <row r="1040" spans="1:29">
      <c r="A1040" s="2084">
        <v>44909</v>
      </c>
      <c r="B1040" s="2087" t="s">
        <v>13781</v>
      </c>
      <c r="C1040" s="2085" t="s">
        <v>2434</v>
      </c>
      <c r="D1040" s="2085" t="s">
        <v>3204</v>
      </c>
      <c r="E1040" s="2086" t="s">
        <v>8420</v>
      </c>
      <c r="F1040" s="2085"/>
      <c r="G1040" s="2087"/>
      <c r="H1040" s="2085"/>
      <c r="I1040" s="2085" t="s">
        <v>7092</v>
      </c>
      <c r="J1040" s="2085"/>
      <c r="K1040" s="2092">
        <v>2392000</v>
      </c>
      <c r="L1040" s="2085" t="s">
        <v>216</v>
      </c>
      <c r="M1040" s="2084">
        <v>44917</v>
      </c>
      <c r="N1040" s="2084">
        <v>44937</v>
      </c>
      <c r="O1040" s="2085"/>
      <c r="P1040" s="2087"/>
      <c r="Q1040" s="2085"/>
      <c r="R1040" s="2092"/>
      <c r="S1040" s="2092"/>
      <c r="T1040" s="2094"/>
      <c r="U1040" s="2094"/>
      <c r="V1040" s="2094"/>
      <c r="W1040" s="2092"/>
      <c r="X1040" s="2092"/>
      <c r="Y1040" s="2085"/>
      <c r="Z1040" s="2085"/>
      <c r="AA1040" s="2085"/>
      <c r="AB1040" s="2085"/>
      <c r="AC1040" s="2085"/>
    </row>
    <row r="1041" spans="1:29">
      <c r="A1041" s="2084">
        <v>44916</v>
      </c>
      <c r="B1041" s="2087" t="s">
        <v>13812</v>
      </c>
      <c r="C1041" s="2085" t="s">
        <v>2111</v>
      </c>
      <c r="D1041" s="2085" t="s">
        <v>9080</v>
      </c>
      <c r="E1041" s="2086" t="s">
        <v>13813</v>
      </c>
      <c r="F1041" s="2085"/>
      <c r="G1041" s="2087"/>
      <c r="H1041" s="2085"/>
      <c r="I1041" s="2085" t="s">
        <v>2113</v>
      </c>
      <c r="J1041" s="2085"/>
      <c r="K1041" s="2092">
        <v>4130812</v>
      </c>
      <c r="L1041" s="2085" t="s">
        <v>251</v>
      </c>
      <c r="M1041" s="2084">
        <v>44922</v>
      </c>
      <c r="N1041" s="2084">
        <v>44963</v>
      </c>
      <c r="O1041" s="2085"/>
      <c r="P1041" s="2087"/>
      <c r="Q1041" s="2085"/>
      <c r="R1041" s="2092"/>
      <c r="S1041" s="2092"/>
      <c r="T1041" s="2094"/>
      <c r="U1041" s="2094"/>
      <c r="V1041" s="2094"/>
      <c r="W1041" s="2092"/>
      <c r="X1041" s="2092"/>
      <c r="Y1041" s="2085"/>
      <c r="Z1041" s="2085"/>
      <c r="AA1041" s="2085"/>
      <c r="AB1041" s="2085"/>
      <c r="AC1041" s="2085"/>
    </row>
    <row r="1042" spans="1:29">
      <c r="A1042" s="2084">
        <v>44916</v>
      </c>
      <c r="B1042" s="2087" t="s">
        <v>13795</v>
      </c>
      <c r="C1042" s="2085" t="s">
        <v>58</v>
      </c>
      <c r="D1042" s="2085" t="s">
        <v>4969</v>
      </c>
      <c r="E1042" s="2086" t="s">
        <v>13796</v>
      </c>
      <c r="F1042" s="2085"/>
      <c r="G1042" s="2087"/>
      <c r="H1042" s="2085"/>
      <c r="I1042" s="2085" t="s">
        <v>86</v>
      </c>
      <c r="J1042" s="2085" t="s">
        <v>13797</v>
      </c>
      <c r="K1042" s="2092">
        <v>230000</v>
      </c>
      <c r="L1042" s="2085" t="s">
        <v>112</v>
      </c>
      <c r="M1042" s="2084">
        <v>44924</v>
      </c>
      <c r="N1042" s="2084">
        <v>44936</v>
      </c>
      <c r="O1042" s="2085"/>
      <c r="P1042" s="2087"/>
      <c r="Q1042" s="2085"/>
      <c r="R1042" s="2092"/>
      <c r="S1042" s="2092"/>
      <c r="T1042" s="2094"/>
      <c r="U1042" s="2094"/>
      <c r="V1042" s="2094"/>
      <c r="W1042" s="2092"/>
      <c r="X1042" s="2092"/>
      <c r="Y1042" s="2085"/>
      <c r="Z1042" s="2085"/>
      <c r="AA1042" s="2085"/>
      <c r="AB1042" s="2085"/>
      <c r="AC1042" s="2085"/>
    </row>
    <row r="1043" spans="1:29">
      <c r="A1043" s="2388">
        <v>44914</v>
      </c>
      <c r="B1043" s="2386" t="s">
        <v>13809</v>
      </c>
      <c r="C1043" s="2079" t="s">
        <v>1032</v>
      </c>
      <c r="D1043" s="2079" t="s">
        <v>361</v>
      </c>
      <c r="E1043" s="2385" t="s">
        <v>13810</v>
      </c>
      <c r="F1043" s="2079"/>
      <c r="G1043" s="2386"/>
      <c r="H1043" s="2589"/>
      <c r="I1043" s="2079" t="s">
        <v>13811</v>
      </c>
      <c r="J1043" s="2079"/>
      <c r="K1043" s="2387">
        <v>5500000</v>
      </c>
      <c r="L1043" s="2079" t="s">
        <v>251</v>
      </c>
      <c r="M1043" s="2079"/>
      <c r="N1043" s="2079"/>
      <c r="O1043" s="2079"/>
      <c r="P1043" s="2386"/>
      <c r="Q1043" s="2079"/>
      <c r="R1043" s="2387"/>
      <c r="S1043" s="2387"/>
      <c r="T1043" s="2348"/>
      <c r="U1043" s="2348"/>
      <c r="V1043" s="2348"/>
      <c r="W1043" s="2387"/>
      <c r="X1043" s="2387"/>
      <c r="Y1043" s="2079"/>
      <c r="Z1043" s="2079"/>
      <c r="AA1043" s="2079"/>
      <c r="AB1043" s="2079"/>
      <c r="AC1043" s="2079"/>
    </row>
    <row r="1044" spans="1:29">
      <c r="A1044" s="2079" t="s">
        <v>3585</v>
      </c>
      <c r="B1044" s="2386" t="s">
        <v>13829</v>
      </c>
      <c r="C1044" s="2079" t="s">
        <v>2434</v>
      </c>
      <c r="D1044" s="2079" t="s">
        <v>219</v>
      </c>
      <c r="E1044" s="2385" t="s">
        <v>13830</v>
      </c>
      <c r="F1044" s="2079"/>
      <c r="G1044" s="2386"/>
      <c r="H1044" s="2079"/>
      <c r="I1044" s="2079" t="s">
        <v>642</v>
      </c>
      <c r="J1044" s="2079"/>
      <c r="K1044" s="2387">
        <v>403700</v>
      </c>
      <c r="L1044" s="2079" t="s">
        <v>112</v>
      </c>
      <c r="M1044" s="2079"/>
      <c r="N1044" s="2079"/>
      <c r="O1044" s="2079"/>
      <c r="P1044" s="2386"/>
      <c r="Q1044" s="2079"/>
      <c r="R1044" s="2387"/>
      <c r="S1044" s="2387"/>
      <c r="T1044" s="2080"/>
      <c r="U1044" s="2080"/>
      <c r="V1044" s="2080"/>
      <c r="W1044" s="2387"/>
      <c r="X1044" s="2387"/>
      <c r="Y1044" s="2079"/>
      <c r="Z1044" s="2079"/>
      <c r="AA1044" s="2079"/>
      <c r="AB1044" s="2079"/>
      <c r="AC1044" s="2079"/>
    </row>
    <row r="1045" spans="1:29">
      <c r="A1045" s="2388">
        <v>44911</v>
      </c>
      <c r="B1045" s="2386" t="s">
        <v>13832</v>
      </c>
      <c r="C1045" s="2079" t="s">
        <v>69</v>
      </c>
      <c r="D1045" s="2079" t="s">
        <v>70</v>
      </c>
      <c r="E1045" s="2385" t="s">
        <v>13833</v>
      </c>
      <c r="F1045" s="2079"/>
      <c r="G1045" s="2386"/>
      <c r="H1045" s="2079"/>
      <c r="I1045" s="2079" t="s">
        <v>1658</v>
      </c>
      <c r="J1045" s="2079"/>
      <c r="K1045" s="2387">
        <v>1806250</v>
      </c>
      <c r="L1045" s="2079" t="s">
        <v>112</v>
      </c>
      <c r="M1045" s="2079"/>
      <c r="N1045" s="2079"/>
      <c r="O1045" s="2079"/>
      <c r="P1045" s="2386"/>
      <c r="Q1045" s="2079"/>
      <c r="R1045" s="2387"/>
      <c r="S1045" s="2387"/>
      <c r="T1045" s="2080"/>
      <c r="U1045" s="2080"/>
      <c r="V1045" s="2080"/>
      <c r="W1045" s="2387"/>
      <c r="X1045" s="2387"/>
      <c r="Y1045" s="2079"/>
      <c r="Z1045" s="2079"/>
      <c r="AA1045" s="2079"/>
      <c r="AB1045" s="2079"/>
      <c r="AC1045" s="2079"/>
    </row>
    <row r="1046" spans="1:29">
      <c r="A1046" s="2344">
        <v>44915</v>
      </c>
      <c r="B1046" s="2346" t="s">
        <v>13835</v>
      </c>
      <c r="C1046" s="2799" t="s">
        <v>52</v>
      </c>
      <c r="D1046" s="2799" t="s">
        <v>3089</v>
      </c>
      <c r="E1046" s="2345" t="s">
        <v>13836</v>
      </c>
      <c r="F1046" s="2799"/>
      <c r="G1046" s="2346"/>
      <c r="H1046" s="2799"/>
      <c r="I1046" s="2799" t="s">
        <v>2113</v>
      </c>
      <c r="J1046" s="2799"/>
      <c r="K1046" s="2347">
        <v>2500000</v>
      </c>
      <c r="L1046" s="2799" t="s">
        <v>216</v>
      </c>
      <c r="M1046" s="2799"/>
      <c r="N1046" s="2799"/>
      <c r="O1046" s="2799"/>
      <c r="P1046" s="2346"/>
      <c r="Q1046" s="2589"/>
      <c r="R1046" s="2347"/>
      <c r="S1046" s="2347"/>
      <c r="T1046" s="2348"/>
      <c r="U1046" s="2348"/>
      <c r="V1046" s="2348"/>
      <c r="W1046" s="2347"/>
      <c r="X1046" s="2347"/>
      <c r="Y1046" s="2589"/>
      <c r="Z1046" s="2589"/>
      <c r="AA1046" s="2589"/>
      <c r="AB1046" s="2589"/>
      <c r="AC1046" s="2589"/>
    </row>
    <row r="1047" spans="1:29">
      <c r="A1047" s="2344"/>
      <c r="B1047" s="2346"/>
      <c r="C1047" s="2589"/>
      <c r="D1047" s="2589"/>
      <c r="E1047" s="2345"/>
      <c r="F1047" s="2589"/>
      <c r="G1047" s="2346"/>
      <c r="H1047" s="2589"/>
      <c r="I1047" s="2589"/>
      <c r="J1047" s="2589"/>
      <c r="K1047" s="2347"/>
      <c r="L1047" s="2589"/>
      <c r="M1047" s="2589"/>
      <c r="N1047" s="2589"/>
      <c r="O1047" s="2589"/>
      <c r="P1047" s="2346"/>
      <c r="Q1047" s="2589"/>
      <c r="R1047" s="2347"/>
      <c r="S1047" s="2347"/>
      <c r="T1047" s="2348"/>
      <c r="U1047" s="2348"/>
      <c r="V1047" s="2348"/>
      <c r="W1047" s="2347"/>
      <c r="X1047" s="2347"/>
      <c r="Y1047" s="2589"/>
      <c r="Z1047" s="2589"/>
      <c r="AA1047" s="2589"/>
      <c r="AB1047" s="2589"/>
      <c r="AC1047" s="2589"/>
    </row>
    <row r="1048" spans="1:29">
      <c r="A1048" s="2589"/>
      <c r="B1048" s="2346"/>
      <c r="C1048" s="2589"/>
      <c r="D1048" s="2589"/>
      <c r="E1048" s="2345"/>
      <c r="F1048" s="2589"/>
      <c r="G1048" s="2346"/>
      <c r="H1048" s="2589"/>
      <c r="I1048" s="2589"/>
      <c r="J1048" s="2589"/>
      <c r="K1048" s="2347"/>
      <c r="L1048" s="2589"/>
      <c r="M1048" s="2589"/>
      <c r="N1048" s="2589"/>
      <c r="O1048" s="2589"/>
      <c r="P1048" s="2346"/>
      <c r="Q1048" s="2589"/>
      <c r="R1048" s="2347"/>
      <c r="S1048" s="2347"/>
      <c r="T1048" s="2348"/>
      <c r="U1048" s="2348"/>
      <c r="V1048" s="2348"/>
      <c r="W1048" s="2347"/>
      <c r="X1048" s="2347"/>
      <c r="Y1048" s="2589"/>
      <c r="Z1048" s="2589"/>
      <c r="AA1048" s="2589"/>
      <c r="AB1048" s="2589"/>
      <c r="AC1048" s="2589"/>
    </row>
    <row r="1049" spans="1:29">
      <c r="A1049" s="2589"/>
      <c r="B1049" s="2346"/>
      <c r="C1049" s="2589"/>
      <c r="D1049" s="2589"/>
      <c r="E1049" s="2345"/>
      <c r="F1049" s="2589"/>
      <c r="G1049" s="2346"/>
      <c r="H1049" s="2589"/>
      <c r="I1049" s="2589"/>
      <c r="J1049" s="2589"/>
      <c r="K1049" s="2347"/>
      <c r="L1049" s="2589"/>
      <c r="M1049" s="2589"/>
      <c r="N1049" s="2589"/>
      <c r="O1049" s="2589"/>
      <c r="P1049" s="2346"/>
      <c r="Q1049" s="2589"/>
      <c r="R1049" s="2347"/>
      <c r="S1049" s="2347"/>
      <c r="T1049" s="2348"/>
      <c r="U1049" s="2348"/>
      <c r="V1049" s="2348"/>
      <c r="W1049" s="2347"/>
      <c r="X1049" s="2347"/>
      <c r="Y1049" s="2589"/>
      <c r="Z1049" s="2589"/>
      <c r="AA1049" s="2589"/>
      <c r="AB1049" s="2589"/>
      <c r="AC1049" s="2589"/>
    </row>
    <row r="1050" spans="1:29">
      <c r="A1050" s="2589"/>
      <c r="B1050" s="2346"/>
      <c r="C1050" s="2589"/>
      <c r="D1050" s="2589"/>
      <c r="E1050" s="2345"/>
      <c r="F1050" s="2589"/>
      <c r="G1050" s="2346"/>
      <c r="H1050" s="2589"/>
      <c r="I1050" s="2589"/>
      <c r="J1050" s="2589"/>
      <c r="K1050" s="2347"/>
      <c r="L1050" s="2589"/>
      <c r="M1050" s="2589"/>
      <c r="N1050" s="2589"/>
      <c r="O1050" s="2589"/>
      <c r="P1050" s="2346"/>
      <c r="Q1050" s="2589"/>
      <c r="R1050" s="2347"/>
      <c r="S1050" s="2347"/>
      <c r="T1050" s="2348"/>
      <c r="U1050" s="2348"/>
      <c r="V1050" s="2348"/>
      <c r="W1050" s="2347"/>
      <c r="X1050" s="2347"/>
      <c r="Y1050" s="2589"/>
      <c r="Z1050" s="2589"/>
      <c r="AA1050" s="2589"/>
      <c r="AB1050" s="2589"/>
      <c r="AC1050" s="2589"/>
    </row>
    <row r="1051" spans="1:29">
      <c r="A1051" s="2589"/>
      <c r="B1051" s="2346"/>
      <c r="C1051" s="2589"/>
      <c r="D1051" s="2589"/>
      <c r="E1051" s="2345"/>
      <c r="F1051" s="2589"/>
      <c r="G1051" s="2346"/>
      <c r="H1051" s="2589"/>
      <c r="I1051" s="2589"/>
      <c r="J1051" s="2589"/>
      <c r="K1051" s="2347"/>
      <c r="L1051" s="2589"/>
      <c r="M1051" s="2589"/>
      <c r="N1051" s="2589"/>
      <c r="O1051" s="2589"/>
      <c r="P1051" s="2346"/>
      <c r="Q1051" s="2589"/>
      <c r="R1051" s="2347"/>
      <c r="S1051" s="2347"/>
      <c r="T1051" s="2348"/>
      <c r="U1051" s="2348"/>
      <c r="V1051" s="2348"/>
      <c r="W1051" s="2347"/>
      <c r="X1051" s="2347"/>
      <c r="Y1051" s="2589"/>
      <c r="Z1051" s="2589"/>
      <c r="AA1051" s="2589"/>
      <c r="AB1051" s="2589"/>
      <c r="AC1051" s="2589"/>
    </row>
    <row r="1052" spans="1:29">
      <c r="A1052" s="2589"/>
      <c r="B1052" s="2346"/>
      <c r="C1052" s="2589"/>
      <c r="D1052" s="2589"/>
      <c r="E1052" s="2345"/>
      <c r="F1052" s="2589"/>
      <c r="G1052" s="2346"/>
      <c r="H1052" s="2589"/>
      <c r="I1052" s="2589"/>
      <c r="J1052" s="2589"/>
      <c r="K1052" s="2347"/>
      <c r="L1052" s="2589"/>
      <c r="M1052" s="2589"/>
      <c r="N1052" s="2589"/>
      <c r="O1052" s="2589"/>
      <c r="P1052" s="2346"/>
      <c r="Q1052" s="2589"/>
      <c r="R1052" s="2347"/>
      <c r="S1052" s="2347"/>
      <c r="T1052" s="2348"/>
      <c r="U1052" s="2348"/>
      <c r="V1052" s="2348"/>
      <c r="W1052" s="2347"/>
      <c r="X1052" s="2347"/>
      <c r="Y1052" s="2589"/>
      <c r="Z1052" s="2589"/>
      <c r="AA1052" s="2589"/>
      <c r="AB1052" s="2589"/>
      <c r="AC1052" s="2589"/>
    </row>
    <row r="1053" spans="1:29">
      <c r="A1053" s="2589"/>
      <c r="B1053" s="2346"/>
      <c r="C1053" s="2589"/>
      <c r="D1053" s="2589"/>
      <c r="E1053" s="2345"/>
      <c r="F1053" s="2589"/>
      <c r="G1053" s="2346"/>
      <c r="H1053" s="2589"/>
      <c r="I1053" s="2589"/>
      <c r="J1053" s="2589"/>
      <c r="K1053" s="2347"/>
      <c r="L1053" s="2589"/>
      <c r="M1053" s="2589"/>
      <c r="N1053" s="2589"/>
      <c r="O1053" s="2589"/>
      <c r="P1053" s="2346"/>
      <c r="Q1053" s="2589"/>
      <c r="R1053" s="2347"/>
      <c r="S1053" s="2347"/>
      <c r="T1053" s="2348"/>
      <c r="U1053" s="2348"/>
      <c r="V1053" s="2348"/>
      <c r="W1053" s="2347"/>
      <c r="X1053" s="2347"/>
      <c r="Y1053" s="2589"/>
      <c r="Z1053" s="2589"/>
      <c r="AA1053" s="2589"/>
      <c r="AB1053" s="2589"/>
      <c r="AC1053" s="2589"/>
    </row>
    <row r="1054" spans="1:29">
      <c r="A1054" s="2589"/>
      <c r="B1054" s="2346"/>
      <c r="C1054" s="2589"/>
      <c r="D1054" s="2589"/>
      <c r="E1054" s="2345"/>
      <c r="F1054" s="2589"/>
      <c r="G1054" s="2346"/>
      <c r="H1054" s="2589"/>
      <c r="I1054" s="2589"/>
      <c r="J1054" s="2589"/>
      <c r="K1054" s="2347"/>
      <c r="L1054" s="2589"/>
      <c r="M1054" s="2589"/>
      <c r="N1054" s="2589"/>
      <c r="O1054" s="2589"/>
      <c r="P1054" s="2346"/>
      <c r="Q1054" s="2589"/>
      <c r="R1054" s="2347"/>
      <c r="S1054" s="2347"/>
      <c r="T1054" s="2348"/>
      <c r="U1054" s="2348"/>
      <c r="V1054" s="2348"/>
      <c r="W1054" s="2347"/>
      <c r="X1054" s="2347"/>
      <c r="Y1054" s="2589"/>
      <c r="Z1054" s="2589"/>
      <c r="AA1054" s="2589"/>
      <c r="AB1054" s="2589"/>
      <c r="AC1054" s="2589"/>
    </row>
    <row r="1055" spans="1:29">
      <c r="A1055" s="2589"/>
      <c r="B1055" s="2346"/>
      <c r="C1055" s="2589"/>
      <c r="D1055" s="2589"/>
      <c r="E1055" s="2345"/>
      <c r="F1055" s="2589"/>
      <c r="G1055" s="2346"/>
      <c r="H1055" s="2589"/>
      <c r="I1055" s="2589"/>
      <c r="J1055" s="2589"/>
      <c r="K1055" s="2347"/>
      <c r="L1055" s="2589"/>
      <c r="M1055" s="2589"/>
      <c r="N1055" s="2589"/>
      <c r="O1055" s="2589"/>
      <c r="P1055" s="2346"/>
      <c r="Q1055" s="2589"/>
      <c r="R1055" s="2347"/>
      <c r="S1055" s="2347"/>
      <c r="T1055" s="2348"/>
      <c r="U1055" s="2348"/>
      <c r="V1055" s="2348"/>
      <c r="W1055" s="2347"/>
      <c r="X1055" s="2347"/>
      <c r="Y1055" s="2589"/>
      <c r="Z1055" s="2589"/>
      <c r="AA1055" s="2589"/>
      <c r="AB1055" s="2589"/>
      <c r="AC1055" s="2589"/>
    </row>
    <row r="1056" spans="1:29">
      <c r="A1056" s="2589"/>
      <c r="B1056" s="2346"/>
      <c r="C1056" s="2589"/>
      <c r="D1056" s="2589"/>
      <c r="E1056" s="2345"/>
      <c r="F1056" s="2589"/>
      <c r="G1056" s="2346"/>
      <c r="H1056" s="2589"/>
      <c r="I1056" s="2589"/>
      <c r="J1056" s="2589"/>
      <c r="K1056" s="2347"/>
      <c r="L1056" s="2589"/>
      <c r="M1056" s="2589"/>
      <c r="N1056" s="2589"/>
      <c r="O1056" s="2589"/>
      <c r="P1056" s="2346"/>
      <c r="Q1056" s="2589"/>
      <c r="R1056" s="2347"/>
      <c r="S1056" s="2347"/>
      <c r="T1056" s="2348"/>
      <c r="U1056" s="2348"/>
      <c r="V1056" s="2348"/>
      <c r="W1056" s="2347"/>
      <c r="X1056" s="2347"/>
      <c r="Y1056" s="2589"/>
      <c r="Z1056" s="2589"/>
      <c r="AA1056" s="2589"/>
      <c r="AB1056" s="2589"/>
      <c r="AC1056" s="2589"/>
    </row>
    <row r="1057" spans="1:29">
      <c r="A1057" s="2589"/>
      <c r="B1057" s="2346"/>
      <c r="C1057" s="2589"/>
      <c r="D1057" s="2589"/>
      <c r="E1057" s="2345"/>
      <c r="F1057" s="2589"/>
      <c r="G1057" s="2346"/>
      <c r="H1057" s="2589"/>
      <c r="I1057" s="2589"/>
      <c r="J1057" s="2589"/>
      <c r="K1057" s="2347"/>
      <c r="L1057" s="2589"/>
      <c r="M1057" s="2589"/>
      <c r="N1057" s="2589"/>
      <c r="O1057" s="2589"/>
      <c r="P1057" s="2346"/>
      <c r="Q1057" s="2589"/>
      <c r="R1057" s="2347"/>
      <c r="S1057" s="2347"/>
      <c r="T1057" s="2348"/>
      <c r="U1057" s="2348"/>
      <c r="V1057" s="2348"/>
      <c r="W1057" s="2347"/>
      <c r="X1057" s="2865"/>
      <c r="Y1057" s="2589"/>
      <c r="Z1057" s="2589"/>
      <c r="AA1057" s="2589"/>
      <c r="AB1057" s="2589"/>
      <c r="AC1057" s="2589"/>
    </row>
    <row r="1058" spans="1:29">
      <c r="A1058" s="2589"/>
      <c r="B1058" s="2346"/>
      <c r="C1058" s="2589"/>
      <c r="D1058" s="2589"/>
      <c r="E1058" s="2345"/>
      <c r="F1058" s="2589"/>
      <c r="G1058" s="2346"/>
      <c r="H1058" s="2589"/>
      <c r="I1058" s="2589"/>
      <c r="J1058" s="2589"/>
      <c r="K1058" s="2347"/>
      <c r="L1058" s="2589"/>
      <c r="M1058" s="2589"/>
      <c r="N1058" s="2589"/>
      <c r="O1058" s="2589"/>
      <c r="P1058" s="2346"/>
      <c r="Q1058" s="2589"/>
      <c r="R1058" s="2347"/>
      <c r="S1058" s="2347"/>
      <c r="T1058" s="2348"/>
      <c r="U1058" s="2348"/>
      <c r="V1058" s="2348"/>
      <c r="W1058" s="2347"/>
      <c r="X1058" s="2865"/>
      <c r="Y1058" s="2589"/>
      <c r="Z1058" s="2589"/>
      <c r="AA1058" s="2589"/>
      <c r="AB1058" s="2589"/>
      <c r="AC1058" s="2589"/>
    </row>
    <row r="1059" spans="1:29">
      <c r="A1059" s="2589"/>
      <c r="B1059" s="2346"/>
      <c r="C1059" s="2589"/>
      <c r="D1059" s="2589"/>
      <c r="E1059" s="2345"/>
      <c r="F1059" s="2589"/>
      <c r="G1059" s="2346"/>
      <c r="H1059" s="2589"/>
      <c r="I1059" s="2589"/>
      <c r="J1059" s="2589"/>
      <c r="K1059" s="2347"/>
      <c r="L1059" s="2589"/>
      <c r="M1059" s="2589"/>
      <c r="N1059" s="2589"/>
      <c r="O1059" s="2589"/>
      <c r="P1059" s="2346"/>
      <c r="Q1059" s="2589"/>
      <c r="R1059" s="2347"/>
      <c r="S1059" s="2347"/>
      <c r="T1059" s="2348"/>
      <c r="U1059" s="2348"/>
      <c r="V1059" s="2348"/>
      <c r="W1059" s="2347"/>
      <c r="X1059" s="2347"/>
      <c r="Y1059" s="2589"/>
      <c r="Z1059" s="2589"/>
      <c r="AA1059" s="2589"/>
      <c r="AB1059" s="2589"/>
      <c r="AC1059" s="2589"/>
    </row>
    <row r="1060" spans="1:29">
      <c r="A1060" s="2589"/>
      <c r="B1060" s="2346"/>
      <c r="C1060" s="2589"/>
      <c r="D1060" s="2589"/>
      <c r="E1060" s="2345"/>
      <c r="F1060" s="2589"/>
      <c r="G1060" s="2346"/>
      <c r="H1060" s="2589"/>
      <c r="I1060" s="2589"/>
      <c r="J1060" s="2589"/>
      <c r="K1060" s="2347"/>
      <c r="L1060" s="2589"/>
      <c r="M1060" s="2589"/>
      <c r="N1060" s="2589"/>
      <c r="O1060" s="2589"/>
      <c r="P1060" s="2346"/>
      <c r="Q1060" s="2589"/>
      <c r="R1060" s="2347"/>
      <c r="S1060" s="2347"/>
      <c r="T1060" s="2348"/>
      <c r="U1060" s="2348"/>
      <c r="V1060" s="2348"/>
      <c r="W1060" s="2347"/>
      <c r="X1060" s="2347"/>
      <c r="Y1060" s="2589"/>
      <c r="Z1060" s="2589"/>
      <c r="AA1060" s="2589"/>
      <c r="AB1060" s="2589"/>
      <c r="AC1060" s="2589"/>
    </row>
    <row r="1061" spans="1:29">
      <c r="A1061" s="2589"/>
      <c r="B1061" s="2346"/>
      <c r="C1061" s="2589"/>
      <c r="D1061" s="2589"/>
      <c r="E1061" s="2345"/>
      <c r="F1061" s="2589"/>
      <c r="G1061" s="2346"/>
      <c r="H1061" s="2589"/>
      <c r="I1061" s="2589"/>
      <c r="J1061" s="2589"/>
      <c r="K1061" s="2347"/>
      <c r="L1061" s="2589"/>
      <c r="M1061" s="2589"/>
      <c r="N1061" s="2589"/>
      <c r="O1061" s="2589"/>
      <c r="P1061" s="2346"/>
      <c r="Q1061" s="2589"/>
      <c r="R1061" s="2347"/>
      <c r="S1061" s="2347"/>
      <c r="T1061" s="2348"/>
      <c r="U1061" s="2348"/>
      <c r="V1061" s="2348"/>
      <c r="W1061" s="2347"/>
      <c r="X1061" s="2347"/>
      <c r="Y1061" s="2589"/>
      <c r="Z1061" s="2589"/>
      <c r="AA1061" s="2589"/>
      <c r="AB1061" s="2589"/>
      <c r="AC1061" s="2589"/>
    </row>
    <row r="1062" spans="1:29">
      <c r="A1062" s="2589"/>
      <c r="B1062" s="2346"/>
      <c r="C1062" s="2589"/>
      <c r="D1062" s="2589"/>
      <c r="E1062" s="2345"/>
      <c r="F1062" s="2589"/>
      <c r="G1062" s="2346"/>
      <c r="H1062" s="2589"/>
      <c r="I1062" s="2589"/>
      <c r="J1062" s="2589"/>
      <c r="K1062" s="2347"/>
      <c r="L1062" s="2589"/>
      <c r="M1062" s="2589"/>
      <c r="N1062" s="2589"/>
      <c r="O1062" s="2589"/>
      <c r="P1062" s="2346"/>
      <c r="Q1062" s="2589"/>
      <c r="R1062" s="2347"/>
      <c r="S1062" s="2347"/>
      <c r="T1062" s="2348"/>
      <c r="U1062" s="2348"/>
      <c r="V1062" s="2348"/>
      <c r="W1062" s="2347"/>
      <c r="X1062" s="2347"/>
      <c r="Y1062" s="2589"/>
      <c r="Z1062" s="2589"/>
      <c r="AA1062" s="2589"/>
      <c r="AB1062" s="2589"/>
      <c r="AC1062" s="2589"/>
    </row>
    <row r="1063" spans="1:29">
      <c r="A1063" s="2589"/>
      <c r="B1063" s="2346"/>
      <c r="C1063" s="2589"/>
      <c r="D1063" s="2589"/>
      <c r="E1063" s="2345"/>
      <c r="F1063" s="2589"/>
      <c r="G1063" s="2346"/>
      <c r="H1063" s="2589"/>
      <c r="I1063" s="2589"/>
      <c r="J1063" s="2589"/>
      <c r="K1063" s="2347"/>
      <c r="L1063" s="2589"/>
      <c r="M1063" s="2589"/>
      <c r="N1063" s="2589"/>
      <c r="O1063" s="2589"/>
      <c r="P1063" s="2346"/>
      <c r="Q1063" s="2589"/>
      <c r="R1063" s="2347"/>
      <c r="S1063" s="2347"/>
      <c r="T1063" s="2348"/>
      <c r="U1063" s="2348"/>
      <c r="V1063" s="2348"/>
      <c r="W1063" s="2347"/>
      <c r="X1063" s="2347"/>
      <c r="Y1063" s="2589"/>
      <c r="Z1063" s="2589"/>
      <c r="AA1063" s="2589"/>
      <c r="AB1063" s="2589"/>
      <c r="AC1063" s="2589"/>
    </row>
    <row r="1064" spans="1:29">
      <c r="A1064" s="2589"/>
      <c r="B1064" s="2346"/>
      <c r="C1064" s="2589"/>
      <c r="D1064" s="2589"/>
      <c r="E1064" s="2345"/>
      <c r="F1064" s="2589"/>
      <c r="G1064" s="2346"/>
      <c r="H1064" s="2589"/>
      <c r="I1064" s="2589"/>
      <c r="J1064" s="2589"/>
      <c r="K1064" s="2347"/>
      <c r="L1064" s="2589"/>
      <c r="M1064" s="2589"/>
      <c r="N1064" s="2589"/>
      <c r="O1064" s="2589"/>
      <c r="P1064" s="2346"/>
      <c r="Q1064" s="2589"/>
      <c r="R1064" s="2347"/>
      <c r="S1064" s="2347"/>
      <c r="T1064" s="2348"/>
      <c r="U1064" s="2348"/>
      <c r="V1064" s="2348"/>
      <c r="W1064" s="2347"/>
      <c r="X1064" s="2347"/>
      <c r="Y1064" s="2589"/>
      <c r="Z1064" s="2589"/>
      <c r="AA1064" s="2589"/>
      <c r="AB1064" s="2589"/>
      <c r="AC1064" s="2589"/>
    </row>
    <row r="1065" spans="1:29">
      <c r="A1065" s="2589"/>
      <c r="B1065" s="2346"/>
      <c r="C1065" s="2589"/>
      <c r="D1065" s="2589"/>
      <c r="E1065" s="2345"/>
      <c r="F1065" s="2589"/>
      <c r="G1065" s="2346"/>
      <c r="H1065" s="2589"/>
      <c r="I1065" s="2589"/>
      <c r="J1065" s="2589"/>
      <c r="K1065" s="2347"/>
      <c r="L1065" s="2589"/>
      <c r="M1065" s="2589"/>
      <c r="N1065" s="2589"/>
      <c r="O1065" s="2589"/>
      <c r="P1065" s="2346"/>
      <c r="Q1065" s="2589"/>
      <c r="R1065" s="2347"/>
      <c r="S1065" s="2347"/>
      <c r="T1065" s="2348"/>
      <c r="U1065" s="2348"/>
      <c r="V1065" s="2348"/>
      <c r="W1065" s="2347"/>
      <c r="X1065" s="2347"/>
      <c r="Y1065" s="2589"/>
      <c r="Z1065" s="2589"/>
      <c r="AA1065" s="2589"/>
      <c r="AB1065" s="2589"/>
      <c r="AC1065" s="2589"/>
    </row>
    <row r="1066" spans="1:29">
      <c r="A1066" s="2589"/>
      <c r="B1066" s="2346"/>
      <c r="C1066" s="2589"/>
      <c r="D1066" s="2589"/>
      <c r="E1066" s="2345"/>
      <c r="F1066" s="2589"/>
      <c r="G1066" s="2346"/>
      <c r="H1066" s="2589"/>
      <c r="I1066" s="2589"/>
      <c r="J1066" s="2589"/>
      <c r="K1066" s="2347"/>
      <c r="L1066" s="2589"/>
      <c r="M1066" s="2589"/>
      <c r="N1066" s="2589"/>
      <c r="O1066" s="2589"/>
      <c r="P1066" s="2346"/>
      <c r="Q1066" s="2589"/>
      <c r="R1066" s="2347"/>
      <c r="S1066" s="2347"/>
      <c r="T1066" s="2348"/>
      <c r="U1066" s="2348"/>
      <c r="V1066" s="2348"/>
      <c r="W1066" s="2347"/>
      <c r="X1066" s="2347"/>
      <c r="Y1066" s="2589"/>
      <c r="Z1066" s="2589"/>
      <c r="AA1066" s="2589"/>
      <c r="AB1066" s="2589"/>
      <c r="AC1066" s="2589"/>
    </row>
    <row r="1067" spans="1:29">
      <c r="A1067" s="2589"/>
      <c r="B1067" s="2346"/>
      <c r="C1067" s="2589"/>
      <c r="D1067" s="2589"/>
      <c r="E1067" s="2345"/>
      <c r="F1067" s="2589"/>
      <c r="G1067" s="2346"/>
      <c r="H1067" s="2589"/>
      <c r="I1067" s="2589"/>
      <c r="J1067" s="2589"/>
      <c r="K1067" s="2347"/>
      <c r="L1067" s="2589"/>
      <c r="M1067" s="2589"/>
      <c r="N1067" s="2589"/>
      <c r="O1067" s="2589"/>
      <c r="P1067" s="2346"/>
      <c r="Q1067" s="2589"/>
      <c r="R1067" s="2347"/>
      <c r="S1067" s="2347"/>
      <c r="T1067" s="2348"/>
      <c r="U1067" s="2348"/>
      <c r="V1067" s="2348"/>
      <c r="W1067" s="2347"/>
      <c r="X1067" s="2347"/>
      <c r="Y1067" s="2589"/>
      <c r="Z1067" s="2589"/>
      <c r="AA1067" s="2589"/>
      <c r="AB1067" s="2589"/>
      <c r="AC1067" s="2589"/>
    </row>
    <row r="1068" spans="1:29">
      <c r="A1068" s="2589"/>
      <c r="B1068" s="2346"/>
      <c r="C1068" s="2589"/>
      <c r="D1068" s="2589"/>
      <c r="E1068" s="2345"/>
      <c r="F1068" s="2589"/>
      <c r="G1068" s="2346"/>
      <c r="H1068" s="2589"/>
      <c r="I1068" s="2589"/>
      <c r="J1068" s="2589"/>
      <c r="K1068" s="2347"/>
      <c r="L1068" s="2589"/>
      <c r="M1068" s="2589"/>
      <c r="N1068" s="2589"/>
      <c r="O1068" s="2589"/>
      <c r="P1068" s="2346"/>
      <c r="Q1068" s="2589"/>
      <c r="R1068" s="2347"/>
      <c r="S1068" s="2347"/>
      <c r="T1068" s="2348"/>
      <c r="U1068" s="2348"/>
      <c r="V1068" s="2348"/>
      <c r="W1068" s="2347"/>
      <c r="X1068" s="2347"/>
      <c r="Y1068" s="2589"/>
      <c r="Z1068" s="2589"/>
      <c r="AA1068" s="2589"/>
      <c r="AB1068" s="2589"/>
      <c r="AC1068" s="2589"/>
    </row>
    <row r="1069" spans="1:29">
      <c r="A1069" s="2589"/>
      <c r="B1069" s="2346"/>
      <c r="C1069" s="2589"/>
      <c r="D1069" s="2589"/>
      <c r="E1069" s="2345"/>
      <c r="F1069" s="2589"/>
      <c r="G1069" s="2346"/>
      <c r="H1069" s="2589"/>
      <c r="I1069" s="2589"/>
      <c r="J1069" s="2589"/>
      <c r="K1069" s="2347"/>
      <c r="L1069" s="2589"/>
      <c r="M1069" s="2589"/>
      <c r="N1069" s="2589"/>
      <c r="O1069" s="2589"/>
      <c r="P1069" s="2346"/>
      <c r="Q1069" s="2589"/>
      <c r="R1069" s="2347"/>
      <c r="S1069" s="2347"/>
      <c r="T1069" s="2348"/>
      <c r="U1069" s="2348"/>
      <c r="V1069" s="2348"/>
      <c r="W1069" s="2347"/>
      <c r="X1069" s="2347"/>
      <c r="Y1069" s="2589"/>
      <c r="Z1069" s="2589"/>
      <c r="AA1069" s="2589"/>
      <c r="AB1069" s="2589"/>
      <c r="AC1069" s="2589"/>
    </row>
    <row r="1070" spans="1:29">
      <c r="A1070" s="2589"/>
      <c r="B1070" s="2346"/>
      <c r="C1070" s="2589"/>
      <c r="D1070" s="2589"/>
      <c r="E1070" s="2345"/>
      <c r="F1070" s="2589"/>
      <c r="G1070" s="2346"/>
      <c r="H1070" s="2589"/>
      <c r="I1070" s="2589"/>
      <c r="J1070" s="2589"/>
      <c r="K1070" s="2347"/>
      <c r="L1070" s="2589"/>
      <c r="M1070" s="2589"/>
      <c r="N1070" s="2589"/>
      <c r="O1070" s="2589"/>
      <c r="P1070" s="2346"/>
      <c r="Q1070" s="2589"/>
      <c r="R1070" s="2347"/>
      <c r="S1070" s="2347"/>
      <c r="T1070" s="2348"/>
      <c r="U1070" s="2348"/>
      <c r="V1070" s="2348"/>
      <c r="W1070" s="2347"/>
      <c r="X1070" s="2347"/>
      <c r="Y1070" s="2589"/>
      <c r="Z1070" s="2589"/>
      <c r="AA1070" s="2589"/>
      <c r="AB1070" s="2589"/>
      <c r="AC1070" s="2589"/>
    </row>
    <row r="1071" spans="1:29">
      <c r="A1071" s="2589"/>
      <c r="B1071" s="2346"/>
      <c r="C1071" s="2589"/>
      <c r="D1071" s="2589"/>
      <c r="E1071" s="2345"/>
      <c r="F1071" s="2589"/>
      <c r="G1071" s="2346"/>
      <c r="H1071" s="2589"/>
      <c r="I1071" s="2589"/>
      <c r="J1071" s="2589"/>
      <c r="K1071" s="2347"/>
      <c r="L1071" s="2589"/>
      <c r="M1071" s="2589"/>
      <c r="N1071" s="2589"/>
      <c r="O1071" s="2589"/>
      <c r="P1071" s="2346"/>
      <c r="Q1071" s="2589"/>
      <c r="R1071" s="2347"/>
      <c r="S1071" s="2347"/>
      <c r="T1071" s="2348"/>
      <c r="U1071" s="2348"/>
      <c r="V1071" s="2348"/>
      <c r="W1071" s="2347"/>
      <c r="X1071" s="2347"/>
      <c r="Y1071" s="2589"/>
      <c r="Z1071" s="2589"/>
      <c r="AA1071" s="2589"/>
      <c r="AB1071" s="2589"/>
      <c r="AC1071" s="2589"/>
    </row>
    <row r="1072" spans="1:29">
      <c r="A1072" s="2589"/>
      <c r="B1072" s="2346"/>
      <c r="C1072" s="2589"/>
      <c r="D1072" s="2589"/>
      <c r="E1072" s="2345"/>
      <c r="F1072" s="2589"/>
      <c r="G1072" s="2346"/>
      <c r="H1072" s="2589"/>
      <c r="I1072" s="2589"/>
      <c r="J1072" s="2589"/>
      <c r="K1072" s="2347"/>
      <c r="L1072" s="2589"/>
      <c r="M1072" s="2589"/>
      <c r="N1072" s="2589"/>
      <c r="O1072" s="2589"/>
      <c r="P1072" s="2346"/>
      <c r="Q1072" s="2589"/>
      <c r="R1072" s="2347"/>
      <c r="S1072" s="2347"/>
      <c r="T1072" s="2348"/>
      <c r="U1072" s="2348"/>
      <c r="V1072" s="2348"/>
      <c r="W1072" s="2347"/>
      <c r="X1072" s="2347"/>
      <c r="Y1072" s="2589"/>
      <c r="Z1072" s="2589"/>
      <c r="AA1072" s="2589"/>
      <c r="AB1072" s="2589"/>
      <c r="AC1072" s="2589"/>
    </row>
    <row r="1073" spans="1:29">
      <c r="A1073" s="2589"/>
      <c r="B1073" s="2346"/>
      <c r="C1073" s="2589"/>
      <c r="D1073" s="2589"/>
      <c r="E1073" s="2345"/>
      <c r="F1073" s="2589"/>
      <c r="G1073" s="2346"/>
      <c r="H1073" s="2589"/>
      <c r="I1073" s="2589"/>
      <c r="J1073" s="2589"/>
      <c r="K1073" s="2347"/>
      <c r="L1073" s="2589"/>
      <c r="M1073" s="2589"/>
      <c r="N1073" s="2589"/>
      <c r="O1073" s="2589"/>
      <c r="P1073" s="2346"/>
      <c r="Q1073" s="2589"/>
      <c r="R1073" s="2347"/>
      <c r="S1073" s="2347"/>
      <c r="T1073" s="2348"/>
      <c r="U1073" s="2348"/>
      <c r="V1073" s="2348"/>
      <c r="W1073" s="2347"/>
      <c r="X1073" s="2347"/>
      <c r="Y1073" s="2589"/>
      <c r="Z1073" s="2589"/>
      <c r="AA1073" s="2589"/>
      <c r="AB1073" s="2589"/>
      <c r="AC1073" s="2589"/>
    </row>
    <row r="1074" spans="1:29">
      <c r="A1074" s="2589"/>
      <c r="B1074" s="2346"/>
      <c r="C1074" s="2589"/>
      <c r="D1074" s="2589"/>
      <c r="E1074" s="2345"/>
      <c r="F1074" s="2589"/>
      <c r="G1074" s="2346"/>
      <c r="H1074" s="2589"/>
      <c r="I1074" s="2589"/>
      <c r="J1074" s="2589"/>
      <c r="K1074" s="2347"/>
      <c r="L1074" s="2589"/>
      <c r="M1074" s="2589"/>
      <c r="N1074" s="2589"/>
      <c r="O1074" s="2589"/>
      <c r="P1074" s="2346"/>
      <c r="Q1074" s="2589"/>
      <c r="R1074" s="2347"/>
      <c r="S1074" s="2347"/>
      <c r="T1074" s="2348"/>
      <c r="U1074" s="2348"/>
      <c r="V1074" s="2348"/>
      <c r="W1074" s="2347"/>
      <c r="X1074" s="2347"/>
      <c r="Y1074" s="2589"/>
      <c r="Z1074" s="2589"/>
      <c r="AA1074" s="2589"/>
      <c r="AB1074" s="2589"/>
      <c r="AC1074" s="2589"/>
    </row>
    <row r="1075" spans="1:29">
      <c r="A1075" s="2589"/>
      <c r="B1075" s="2346"/>
      <c r="C1075" s="2589"/>
      <c r="D1075" s="2589"/>
      <c r="E1075" s="2345"/>
      <c r="F1075" s="2589"/>
      <c r="G1075" s="2346"/>
      <c r="H1075" s="2589"/>
      <c r="I1075" s="2589"/>
      <c r="J1075" s="2589"/>
      <c r="K1075" s="2347"/>
      <c r="L1075" s="2589"/>
      <c r="M1075" s="2589"/>
      <c r="N1075" s="2589"/>
      <c r="O1075" s="2589"/>
      <c r="P1075" s="2346"/>
      <c r="Q1075" s="2589"/>
      <c r="R1075" s="2347"/>
      <c r="S1075" s="2347"/>
      <c r="T1075" s="2348"/>
      <c r="U1075" s="2348"/>
      <c r="V1075" s="2348"/>
      <c r="W1075" s="2347"/>
      <c r="X1075" s="2347"/>
      <c r="Y1075" s="2589"/>
      <c r="Z1075" s="2589"/>
      <c r="AA1075" s="2589"/>
      <c r="AB1075" s="2589"/>
      <c r="AC1075" s="2589"/>
    </row>
    <row r="1076" spans="1:29">
      <c r="A1076" s="2589"/>
      <c r="B1076" s="2346"/>
      <c r="C1076" s="2589"/>
      <c r="D1076" s="2589"/>
      <c r="E1076" s="2345"/>
      <c r="F1076" s="2589"/>
      <c r="G1076" s="2346"/>
      <c r="H1076" s="2589"/>
      <c r="I1076" s="2589"/>
      <c r="J1076" s="2589"/>
      <c r="K1076" s="2347"/>
      <c r="L1076" s="2589"/>
      <c r="M1076" s="2589"/>
      <c r="N1076" s="2589"/>
      <c r="O1076" s="2589"/>
      <c r="P1076" s="2346"/>
      <c r="Q1076" s="2589"/>
      <c r="R1076" s="2347"/>
      <c r="S1076" s="2347"/>
      <c r="T1076" s="2348"/>
      <c r="U1076" s="2348"/>
      <c r="V1076" s="2348"/>
      <c r="W1076" s="2347"/>
      <c r="X1076" s="2347"/>
      <c r="Y1076" s="2589"/>
      <c r="Z1076" s="2589"/>
      <c r="AA1076" s="2589"/>
      <c r="AB1076" s="2589"/>
      <c r="AC1076" s="2589"/>
    </row>
    <row r="1077" spans="1:29">
      <c r="A1077" s="2589"/>
      <c r="B1077" s="2346"/>
      <c r="C1077" s="2589"/>
      <c r="D1077" s="2589"/>
      <c r="E1077" s="2345"/>
      <c r="F1077" s="2589"/>
      <c r="G1077" s="2346"/>
      <c r="H1077" s="2589"/>
      <c r="I1077" s="2589"/>
      <c r="J1077" s="2589"/>
      <c r="K1077" s="2347"/>
      <c r="L1077" s="2589"/>
      <c r="M1077" s="2589"/>
      <c r="N1077" s="2589"/>
      <c r="O1077" s="2589"/>
      <c r="P1077" s="2346"/>
      <c r="Q1077" s="2589"/>
      <c r="R1077" s="2347"/>
      <c r="S1077" s="2347"/>
      <c r="T1077" s="2348"/>
      <c r="U1077" s="2348"/>
      <c r="V1077" s="2348"/>
      <c r="W1077" s="2347"/>
      <c r="X1077" s="2347"/>
      <c r="Y1077" s="2589"/>
      <c r="Z1077" s="2589"/>
      <c r="AA1077" s="2589"/>
      <c r="AB1077" s="2589"/>
      <c r="AC1077" s="2589"/>
    </row>
    <row r="1078" spans="1:29">
      <c r="A1078" s="2589"/>
      <c r="B1078" s="2346"/>
      <c r="C1078" s="2589"/>
      <c r="D1078" s="2589"/>
      <c r="E1078" s="2345"/>
      <c r="F1078" s="2589"/>
      <c r="G1078" s="2346"/>
      <c r="H1078" s="2589"/>
      <c r="I1078" s="2589"/>
      <c r="J1078" s="2589"/>
      <c r="K1078" s="2347"/>
      <c r="L1078" s="2589"/>
      <c r="M1078" s="2589"/>
      <c r="N1078" s="2589"/>
      <c r="O1078" s="2589"/>
      <c r="P1078" s="2346"/>
      <c r="Q1078" s="2589"/>
      <c r="R1078" s="2347"/>
      <c r="S1078" s="2347"/>
      <c r="T1078" s="2348"/>
      <c r="U1078" s="2348"/>
      <c r="V1078" s="2348"/>
      <c r="W1078" s="2347"/>
      <c r="X1078" s="2347"/>
      <c r="Y1078" s="2589"/>
      <c r="Z1078" s="2589"/>
      <c r="AA1078" s="2589"/>
      <c r="AB1078" s="2589"/>
      <c r="AC1078" s="2589"/>
    </row>
    <row r="1079" spans="1:29">
      <c r="A1079" s="2589"/>
      <c r="B1079" s="2346"/>
      <c r="C1079" s="2589"/>
      <c r="D1079" s="2589"/>
      <c r="E1079" s="2345"/>
      <c r="F1079" s="2589"/>
      <c r="G1079" s="2346"/>
      <c r="H1079" s="2589"/>
      <c r="I1079" s="2589"/>
      <c r="J1079" s="2589"/>
      <c r="K1079" s="2347"/>
      <c r="L1079" s="2589"/>
      <c r="M1079" s="2589"/>
      <c r="N1079" s="2589"/>
      <c r="O1079" s="2589"/>
      <c r="P1079" s="2346"/>
      <c r="Q1079" s="2589"/>
      <c r="R1079" s="2347"/>
      <c r="S1079" s="2347"/>
      <c r="T1079" s="2348"/>
      <c r="U1079" s="2348"/>
      <c r="V1079" s="2348"/>
      <c r="W1079" s="2347"/>
      <c r="X1079" s="2347"/>
      <c r="Y1079" s="2589"/>
      <c r="Z1079" s="2589"/>
      <c r="AA1079" s="2589"/>
      <c r="AB1079" s="2589"/>
      <c r="AC1079" s="2589"/>
    </row>
    <row r="1080" spans="1:29">
      <c r="A1080" s="2589"/>
      <c r="B1080" s="2346"/>
      <c r="C1080" s="2589"/>
      <c r="D1080" s="2589"/>
      <c r="E1080" s="2345"/>
      <c r="F1080" s="2589"/>
      <c r="G1080" s="2346"/>
      <c r="H1080" s="2589"/>
      <c r="I1080" s="2589"/>
      <c r="J1080" s="2589"/>
      <c r="K1080" s="2347"/>
      <c r="L1080" s="2589"/>
      <c r="M1080" s="2589"/>
      <c r="N1080" s="2589"/>
      <c r="O1080" s="2589"/>
      <c r="P1080" s="2346"/>
      <c r="Q1080" s="2589"/>
      <c r="R1080" s="2347"/>
      <c r="S1080" s="2347"/>
      <c r="T1080" s="2348"/>
      <c r="U1080" s="2348"/>
      <c r="V1080" s="2348"/>
      <c r="W1080" s="2347"/>
      <c r="X1080" s="2347"/>
      <c r="Y1080" s="2589"/>
      <c r="Z1080" s="2589"/>
      <c r="AA1080" s="2589"/>
      <c r="AB1080" s="2589"/>
      <c r="AC1080" s="2589"/>
    </row>
    <row r="1081" spans="1:29">
      <c r="A1081" s="2589"/>
      <c r="B1081" s="2346"/>
      <c r="C1081" s="2589"/>
      <c r="D1081" s="2589"/>
      <c r="E1081" s="2345"/>
      <c r="F1081" s="2589"/>
      <c r="G1081" s="2346"/>
      <c r="H1081" s="2589"/>
      <c r="I1081" s="2589"/>
      <c r="J1081" s="2589"/>
      <c r="K1081" s="2347"/>
      <c r="L1081" s="2589"/>
      <c r="M1081" s="2589"/>
      <c r="N1081" s="2589"/>
      <c r="O1081" s="2589"/>
      <c r="P1081" s="2346"/>
      <c r="Q1081" s="2589"/>
      <c r="R1081" s="2347"/>
      <c r="S1081" s="2347"/>
      <c r="T1081" s="2348"/>
      <c r="U1081" s="2348"/>
      <c r="V1081" s="2348"/>
      <c r="W1081" s="2347"/>
      <c r="X1081" s="2347"/>
      <c r="Y1081" s="2589"/>
      <c r="Z1081" s="2589"/>
      <c r="AA1081" s="2589"/>
      <c r="AB1081" s="2589"/>
      <c r="AC1081" s="2589"/>
    </row>
    <row r="1082" spans="1:29">
      <c r="A1082" s="2589"/>
      <c r="B1082" s="2346"/>
      <c r="C1082" s="2589"/>
      <c r="D1082" s="2589"/>
      <c r="E1082" s="2345"/>
      <c r="F1082" s="2589"/>
      <c r="G1082" s="2346"/>
      <c r="H1082" s="2589"/>
      <c r="I1082" s="2589"/>
      <c r="J1082" s="2589"/>
      <c r="K1082" s="2347"/>
      <c r="L1082" s="2589"/>
      <c r="M1082" s="2589"/>
      <c r="N1082" s="2589"/>
      <c r="O1082" s="2589"/>
      <c r="P1082" s="2346"/>
      <c r="Q1082" s="2589"/>
      <c r="R1082" s="2347"/>
      <c r="S1082" s="2347"/>
      <c r="T1082" s="2348"/>
      <c r="U1082" s="2348"/>
      <c r="V1082" s="2348"/>
      <c r="W1082" s="2347"/>
      <c r="X1082" s="2347"/>
      <c r="Y1082" s="2589"/>
      <c r="Z1082" s="2589"/>
      <c r="AA1082" s="2589"/>
      <c r="AB1082" s="2589"/>
      <c r="AC1082" s="2589"/>
    </row>
    <row r="1083" spans="1:29">
      <c r="A1083" s="2589"/>
      <c r="B1083" s="2346"/>
      <c r="C1083" s="2589"/>
      <c r="D1083" s="2589"/>
      <c r="E1083" s="2345"/>
      <c r="F1083" s="2589"/>
      <c r="G1083" s="2346"/>
      <c r="H1083" s="2589"/>
      <c r="I1083" s="2589"/>
      <c r="J1083" s="2589"/>
      <c r="K1083" s="2347"/>
      <c r="L1083" s="2589"/>
      <c r="M1083" s="2589"/>
      <c r="N1083" s="2589"/>
      <c r="O1083" s="2589"/>
      <c r="P1083" s="2346"/>
      <c r="Q1083" s="2589"/>
      <c r="R1083" s="2347"/>
      <c r="S1083" s="2347"/>
      <c r="T1083" s="2348"/>
      <c r="U1083" s="2348"/>
      <c r="V1083" s="2348"/>
      <c r="W1083" s="2347"/>
      <c r="X1083" s="2347"/>
      <c r="Y1083" s="2589"/>
      <c r="Z1083" s="2589"/>
      <c r="AA1083" s="2589"/>
      <c r="AB1083" s="2589"/>
      <c r="AC1083" s="2589"/>
    </row>
    <row r="1084" spans="1:29">
      <c r="A1084" s="2589"/>
      <c r="B1084" s="2346"/>
      <c r="C1084" s="2589"/>
      <c r="D1084" s="2589"/>
      <c r="E1084" s="2345"/>
      <c r="F1084" s="2589"/>
      <c r="G1084" s="2346"/>
      <c r="H1084" s="2589"/>
      <c r="I1084" s="2589"/>
      <c r="J1084" s="2589"/>
      <c r="K1084" s="2347"/>
      <c r="L1084" s="2589"/>
      <c r="M1084" s="2589"/>
      <c r="N1084" s="2589"/>
      <c r="O1084" s="2589"/>
      <c r="P1084" s="2346"/>
      <c r="Q1084" s="2589"/>
      <c r="R1084" s="2347"/>
      <c r="S1084" s="2347"/>
      <c r="T1084" s="2348"/>
      <c r="U1084" s="2348"/>
      <c r="V1084" s="2348"/>
      <c r="W1084" s="2347"/>
      <c r="X1084" s="2347"/>
      <c r="Y1084" s="2589"/>
      <c r="Z1084" s="2589"/>
      <c r="AA1084" s="2589"/>
      <c r="AB1084" s="2589"/>
      <c r="AC1084" s="2589"/>
    </row>
    <row r="1085" spans="1:29">
      <c r="A1085" s="2589"/>
      <c r="B1085" s="2346"/>
      <c r="C1085" s="2589"/>
      <c r="D1085" s="2589"/>
      <c r="E1085" s="2345"/>
      <c r="F1085" s="2589"/>
      <c r="G1085" s="2346"/>
      <c r="H1085" s="2589"/>
      <c r="I1085" s="2589"/>
      <c r="J1085" s="2589"/>
      <c r="K1085" s="2347"/>
      <c r="L1085" s="2589"/>
      <c r="M1085" s="2589"/>
      <c r="N1085" s="2589"/>
      <c r="O1085" s="2589"/>
      <c r="P1085" s="2346"/>
      <c r="Q1085" s="2589"/>
      <c r="R1085" s="2347"/>
      <c r="S1085" s="2347"/>
      <c r="T1085" s="2348"/>
      <c r="U1085" s="2348"/>
      <c r="V1085" s="2348"/>
      <c r="W1085" s="2347"/>
      <c r="X1085" s="2347"/>
      <c r="Y1085" s="2589"/>
      <c r="Z1085" s="2589"/>
      <c r="AA1085" s="2589"/>
      <c r="AB1085" s="2589"/>
      <c r="AC1085" s="2589"/>
    </row>
    <row r="1086" spans="1:29">
      <c r="A1086" s="2589"/>
      <c r="B1086" s="2346"/>
      <c r="C1086" s="2589"/>
      <c r="D1086" s="2589"/>
      <c r="E1086" s="2345"/>
      <c r="F1086" s="2589"/>
      <c r="G1086" s="2346"/>
      <c r="H1086" s="2589"/>
      <c r="I1086" s="2589"/>
      <c r="J1086" s="2589"/>
      <c r="K1086" s="2347"/>
      <c r="L1086" s="2589"/>
      <c r="M1086" s="2589"/>
      <c r="N1086" s="2589"/>
      <c r="O1086" s="2589"/>
      <c r="P1086" s="2346"/>
      <c r="Q1086" s="2589"/>
      <c r="R1086" s="2347"/>
      <c r="S1086" s="2347"/>
      <c r="T1086" s="2348"/>
      <c r="U1086" s="2348"/>
      <c r="V1086" s="2348"/>
      <c r="W1086" s="2347"/>
      <c r="X1086" s="2347"/>
      <c r="Y1086" s="2589"/>
      <c r="Z1086" s="2589"/>
      <c r="AA1086" s="2589"/>
      <c r="AB1086" s="2589"/>
      <c r="AC1086" s="2589"/>
    </row>
    <row r="1087" spans="1:29">
      <c r="A1087" s="2589"/>
      <c r="B1087" s="2346"/>
      <c r="C1087" s="2589"/>
      <c r="D1087" s="2589"/>
      <c r="E1087" s="2345"/>
      <c r="F1087" s="2589"/>
      <c r="G1087" s="2346"/>
      <c r="H1087" s="2589"/>
      <c r="I1087" s="2589"/>
      <c r="J1087" s="2589"/>
      <c r="K1087" s="2347"/>
      <c r="L1087" s="2589"/>
      <c r="M1087" s="2589"/>
      <c r="N1087" s="2589"/>
      <c r="O1087" s="2589"/>
      <c r="P1087" s="2346"/>
      <c r="Q1087" s="2589"/>
      <c r="R1087" s="2347"/>
      <c r="S1087" s="2347"/>
      <c r="T1087" s="2348"/>
      <c r="U1087" s="2348"/>
      <c r="V1087" s="2348"/>
      <c r="W1087" s="2347"/>
      <c r="X1087" s="2347"/>
      <c r="Y1087" s="2589"/>
      <c r="Z1087" s="2589"/>
      <c r="AA1087" s="2589"/>
      <c r="AB1087" s="2589"/>
      <c r="AC1087" s="2589"/>
    </row>
    <row r="1088" spans="1:29">
      <c r="A1088" s="2589"/>
      <c r="B1088" s="2346"/>
      <c r="C1088" s="2589"/>
      <c r="D1088" s="2589"/>
      <c r="E1088" s="2345"/>
      <c r="F1088" s="2589"/>
      <c r="G1088" s="2346"/>
      <c r="H1088" s="2589"/>
      <c r="I1088" s="2589"/>
      <c r="J1088" s="2589"/>
      <c r="K1088" s="2347"/>
      <c r="L1088" s="2589"/>
      <c r="M1088" s="2589"/>
      <c r="N1088" s="2589"/>
      <c r="O1088" s="2589"/>
      <c r="P1088" s="2346"/>
      <c r="Q1088" s="2589"/>
      <c r="R1088" s="2347"/>
      <c r="S1088" s="2347"/>
      <c r="T1088" s="2348"/>
      <c r="U1088" s="2348"/>
      <c r="V1088" s="2348"/>
      <c r="W1088" s="2347"/>
      <c r="X1088" s="2347"/>
      <c r="Y1088" s="2589"/>
      <c r="Z1088" s="2589"/>
      <c r="AA1088" s="2589"/>
      <c r="AB1088" s="2589"/>
      <c r="AC1088" s="2589"/>
    </row>
    <row r="1089" spans="1:29">
      <c r="A1089" s="2589"/>
      <c r="B1089" s="2346"/>
      <c r="C1089" s="2589"/>
      <c r="D1089" s="2589"/>
      <c r="E1089" s="2345"/>
      <c r="F1089" s="2589"/>
      <c r="G1089" s="2346"/>
      <c r="H1089" s="2589"/>
      <c r="I1089" s="2589"/>
      <c r="J1089" s="2589"/>
      <c r="K1089" s="2347"/>
      <c r="L1089" s="2589"/>
      <c r="M1089" s="2589"/>
      <c r="N1089" s="2589"/>
      <c r="O1089" s="2589"/>
      <c r="P1089" s="2346"/>
      <c r="Q1089" s="2589"/>
      <c r="R1089" s="2347"/>
      <c r="S1089" s="2347"/>
      <c r="T1089" s="2348"/>
      <c r="U1089" s="2348"/>
      <c r="V1089" s="2348"/>
      <c r="W1089" s="2347"/>
      <c r="X1089" s="2347"/>
      <c r="Y1089" s="2589"/>
      <c r="Z1089" s="2589"/>
      <c r="AA1089" s="2589"/>
      <c r="AB1089" s="2589"/>
      <c r="AC1089" s="2589"/>
    </row>
    <row r="1090" spans="1:29">
      <c r="A1090" s="2589"/>
      <c r="B1090" s="2346"/>
      <c r="C1090" s="2589"/>
      <c r="D1090" s="2589"/>
      <c r="E1090" s="2345"/>
      <c r="F1090" s="2589"/>
      <c r="G1090" s="2346"/>
      <c r="H1090" s="2589"/>
      <c r="I1090" s="2589"/>
      <c r="J1090" s="2589"/>
      <c r="K1090" s="2347"/>
      <c r="L1090" s="2589"/>
      <c r="M1090" s="2589"/>
      <c r="N1090" s="2589"/>
      <c r="O1090" s="2589"/>
      <c r="P1090" s="2346"/>
      <c r="Q1090" s="2589"/>
      <c r="R1090" s="2347"/>
      <c r="S1090" s="2347"/>
      <c r="T1090" s="2348"/>
      <c r="U1090" s="2348"/>
      <c r="V1090" s="2348"/>
      <c r="W1090" s="2347"/>
      <c r="X1090" s="2347"/>
      <c r="Y1090" s="2589"/>
      <c r="Z1090" s="2589"/>
      <c r="AA1090" s="2589"/>
      <c r="AB1090" s="2589"/>
      <c r="AC1090" s="2589"/>
    </row>
    <row r="1091" spans="1:29">
      <c r="A1091" s="2589"/>
      <c r="B1091" s="2346"/>
      <c r="C1091" s="2589"/>
      <c r="D1091" s="2589"/>
      <c r="E1091" s="2345"/>
      <c r="F1091" s="2589"/>
      <c r="G1091" s="2346"/>
      <c r="H1091" s="2589"/>
      <c r="I1091" s="2589"/>
      <c r="J1091" s="2589"/>
      <c r="K1091" s="2347"/>
      <c r="L1091" s="2589"/>
      <c r="M1091" s="2589"/>
      <c r="N1091" s="2589"/>
      <c r="O1091" s="2589"/>
      <c r="P1091" s="2346"/>
      <c r="Q1091" s="2589"/>
      <c r="R1091" s="2347"/>
      <c r="S1091" s="2347"/>
      <c r="T1091" s="2348"/>
      <c r="U1091" s="2348"/>
      <c r="V1091" s="2348"/>
      <c r="W1091" s="2347"/>
      <c r="X1091" s="2347"/>
      <c r="Y1091" s="2589"/>
      <c r="Z1091" s="2589"/>
      <c r="AA1091" s="2589"/>
      <c r="AB1091" s="2589"/>
      <c r="AC1091" s="2589"/>
    </row>
    <row r="1092" spans="1:29">
      <c r="A1092" s="2589"/>
      <c r="B1092" s="2346"/>
      <c r="C1092" s="2589"/>
      <c r="D1092" s="2589"/>
      <c r="E1092" s="2345"/>
      <c r="F1092" s="2589"/>
      <c r="G1092" s="2346"/>
      <c r="H1092" s="2589"/>
      <c r="I1092" s="2589"/>
      <c r="J1092" s="2589"/>
      <c r="K1092" s="2347"/>
      <c r="L1092" s="2589"/>
      <c r="M1092" s="2589"/>
      <c r="N1092" s="2589"/>
      <c r="O1092" s="2589"/>
      <c r="P1092" s="2346"/>
      <c r="Q1092" s="2589"/>
      <c r="R1092" s="2347"/>
      <c r="S1092" s="2347"/>
      <c r="T1092" s="2348"/>
      <c r="U1092" s="2348"/>
      <c r="V1092" s="2348"/>
      <c r="W1092" s="2347"/>
      <c r="X1092" s="2347"/>
      <c r="Y1092" s="2589"/>
      <c r="Z1092" s="2589"/>
      <c r="AA1092" s="2589"/>
      <c r="AB1092" s="2589"/>
      <c r="AC1092" s="2589"/>
    </row>
    <row r="1093" spans="1:29">
      <c r="A1093" s="2589"/>
      <c r="B1093" s="2346"/>
      <c r="C1093" s="2589"/>
      <c r="D1093" s="2589"/>
      <c r="E1093" s="2345"/>
      <c r="F1093" s="2589"/>
      <c r="G1093" s="2346"/>
      <c r="H1093" s="2589"/>
      <c r="I1093" s="2589"/>
      <c r="J1093" s="2589"/>
      <c r="K1093" s="2347"/>
      <c r="L1093" s="2589"/>
      <c r="M1093" s="2589"/>
      <c r="N1093" s="2589"/>
      <c r="O1093" s="2589"/>
      <c r="P1093" s="2346"/>
      <c r="Q1093" s="2589"/>
      <c r="R1093" s="2347"/>
      <c r="S1093" s="2347"/>
      <c r="T1093" s="2348"/>
      <c r="U1093" s="2348"/>
      <c r="V1093" s="2348"/>
      <c r="W1093" s="2347"/>
      <c r="X1093" s="2347"/>
      <c r="Y1093" s="2589"/>
      <c r="Z1093" s="2589"/>
      <c r="AA1093" s="2589"/>
      <c r="AB1093" s="2589"/>
      <c r="AC1093" s="2589"/>
    </row>
    <row r="1094" spans="1:29">
      <c r="A1094" s="2589"/>
      <c r="B1094" s="2346"/>
      <c r="C1094" s="2589"/>
      <c r="D1094" s="2589"/>
      <c r="E1094" s="2345"/>
      <c r="F1094" s="2589"/>
      <c r="G1094" s="2346"/>
      <c r="H1094" s="2589"/>
      <c r="I1094" s="2589"/>
      <c r="J1094" s="2589"/>
      <c r="K1094" s="2347"/>
      <c r="L1094" s="2589"/>
      <c r="M1094" s="2589"/>
      <c r="N1094" s="2589"/>
      <c r="O1094" s="2589"/>
      <c r="P1094" s="2346"/>
      <c r="Q1094" s="2589"/>
      <c r="R1094" s="2347"/>
      <c r="S1094" s="2347"/>
      <c r="T1094" s="2348"/>
      <c r="U1094" s="2348"/>
      <c r="V1094" s="2348"/>
      <c r="W1094" s="2347"/>
      <c r="X1094" s="2347"/>
      <c r="Y1094" s="2589"/>
      <c r="Z1094" s="2589"/>
      <c r="AA1094" s="2589"/>
      <c r="AB1094" s="2589"/>
      <c r="AC1094" s="2589"/>
    </row>
    <row r="1095" spans="1:29">
      <c r="A1095" s="2589"/>
      <c r="B1095" s="2346"/>
      <c r="C1095" s="2589"/>
      <c r="D1095" s="2589"/>
      <c r="E1095" s="2345"/>
      <c r="F1095" s="2589"/>
      <c r="G1095" s="2346"/>
      <c r="H1095" s="2589"/>
      <c r="I1095" s="2589"/>
      <c r="J1095" s="2589"/>
      <c r="K1095" s="2347"/>
      <c r="L1095" s="2589"/>
      <c r="M1095" s="2589"/>
      <c r="N1095" s="2589"/>
      <c r="O1095" s="2589"/>
      <c r="P1095" s="2346"/>
      <c r="Q1095" s="2589"/>
      <c r="R1095" s="2347"/>
      <c r="S1095" s="2347"/>
      <c r="T1095" s="2348"/>
      <c r="U1095" s="2348"/>
      <c r="V1095" s="2348"/>
      <c r="W1095" s="2347"/>
      <c r="X1095" s="2347"/>
      <c r="Y1095" s="2589"/>
      <c r="Z1095" s="2589"/>
      <c r="AA1095" s="2589"/>
      <c r="AB1095" s="2589"/>
      <c r="AC1095" s="2589"/>
    </row>
    <row r="1096" spans="1:29">
      <c r="A1096" s="2589"/>
      <c r="B1096" s="2346"/>
      <c r="C1096" s="2589"/>
      <c r="D1096" s="2589"/>
      <c r="E1096" s="2345"/>
      <c r="F1096" s="2589"/>
      <c r="G1096" s="2346"/>
      <c r="H1096" s="2589"/>
      <c r="I1096" s="2589"/>
      <c r="J1096" s="2589"/>
      <c r="K1096" s="2347"/>
      <c r="L1096" s="2589"/>
      <c r="M1096" s="2589"/>
      <c r="N1096" s="2589"/>
      <c r="O1096" s="2589"/>
      <c r="P1096" s="2346"/>
      <c r="Q1096" s="2589"/>
      <c r="R1096" s="2347"/>
      <c r="S1096" s="2347"/>
      <c r="T1096" s="2348"/>
      <c r="U1096" s="2348"/>
      <c r="V1096" s="2348"/>
      <c r="W1096" s="2347"/>
      <c r="X1096" s="2347"/>
      <c r="Y1096" s="2589"/>
      <c r="Z1096" s="2589"/>
      <c r="AA1096" s="2589"/>
      <c r="AB1096" s="2589"/>
      <c r="AC1096" s="2589"/>
    </row>
    <row r="1097" spans="1:29">
      <c r="A1097" s="2589"/>
      <c r="B1097" s="2346"/>
      <c r="C1097" s="2589"/>
      <c r="D1097" s="2589"/>
      <c r="E1097" s="2345"/>
      <c r="F1097" s="2589"/>
      <c r="G1097" s="2346"/>
      <c r="H1097" s="2589"/>
      <c r="I1097" s="2589"/>
      <c r="J1097" s="2589"/>
      <c r="K1097" s="2347"/>
      <c r="L1097" s="2589"/>
      <c r="M1097" s="2589"/>
      <c r="N1097" s="2589"/>
      <c r="O1097" s="2589"/>
      <c r="P1097" s="2346"/>
      <c r="Q1097" s="2589"/>
      <c r="R1097" s="2347"/>
      <c r="S1097" s="2347"/>
      <c r="T1097" s="2348"/>
      <c r="U1097" s="2348"/>
      <c r="V1097" s="2348"/>
      <c r="W1097" s="2347"/>
      <c r="X1097" s="2347"/>
      <c r="Y1097" s="2589"/>
      <c r="Z1097" s="2589"/>
      <c r="AA1097" s="2589"/>
      <c r="AB1097" s="2589"/>
      <c r="AC1097" s="2589"/>
    </row>
    <row r="1098" spans="1:29">
      <c r="A1098" s="2589"/>
      <c r="B1098" s="2346"/>
      <c r="C1098" s="2589"/>
      <c r="D1098" s="2589"/>
      <c r="E1098" s="2345"/>
      <c r="F1098" s="2589"/>
      <c r="G1098" s="2346"/>
      <c r="H1098" s="2589"/>
      <c r="I1098" s="2589"/>
      <c r="J1098" s="2589"/>
      <c r="K1098" s="2347"/>
      <c r="L1098" s="2589"/>
      <c r="M1098" s="2589"/>
      <c r="N1098" s="2589"/>
      <c r="O1098" s="2589"/>
      <c r="P1098" s="2346"/>
      <c r="Q1098" s="2589"/>
      <c r="R1098" s="2347"/>
      <c r="S1098" s="2347"/>
      <c r="T1098" s="2348"/>
      <c r="U1098" s="2348"/>
      <c r="V1098" s="2348"/>
      <c r="W1098" s="2347"/>
      <c r="X1098" s="2347"/>
      <c r="Y1098" s="2589"/>
      <c r="Z1098" s="2589"/>
      <c r="AA1098" s="2589"/>
      <c r="AB1098" s="2589"/>
      <c r="AC1098" s="2589"/>
    </row>
    <row r="1099" spans="1:29">
      <c r="A1099" s="2589"/>
      <c r="B1099" s="2346"/>
      <c r="C1099" s="2589"/>
      <c r="D1099" s="2589"/>
      <c r="E1099" s="2345"/>
      <c r="F1099" s="2589"/>
      <c r="G1099" s="2346"/>
      <c r="H1099" s="2589"/>
      <c r="I1099" s="2589"/>
      <c r="J1099" s="2589"/>
      <c r="K1099" s="2347"/>
      <c r="L1099" s="2589"/>
      <c r="M1099" s="2589"/>
      <c r="N1099" s="2589"/>
      <c r="O1099" s="2589"/>
      <c r="P1099" s="2346"/>
      <c r="Q1099" s="2589"/>
      <c r="R1099" s="2347"/>
      <c r="S1099" s="2347"/>
      <c r="T1099" s="2348"/>
      <c r="U1099" s="2348"/>
      <c r="V1099" s="2348"/>
      <c r="W1099" s="2347"/>
      <c r="X1099" s="2347"/>
      <c r="Y1099" s="2589"/>
      <c r="Z1099" s="2589"/>
      <c r="AA1099" s="2589"/>
      <c r="AB1099" s="2589"/>
      <c r="AC1099" s="2589"/>
    </row>
    <row r="1100" spans="1:29">
      <c r="A1100" s="2589"/>
      <c r="B1100" s="2346"/>
      <c r="C1100" s="2589"/>
      <c r="D1100" s="2589"/>
      <c r="E1100" s="2345"/>
      <c r="F1100" s="2589"/>
      <c r="G1100" s="2346"/>
      <c r="H1100" s="2589"/>
      <c r="I1100" s="2589"/>
      <c r="J1100" s="2589"/>
      <c r="K1100" s="2347"/>
      <c r="L1100" s="2589"/>
      <c r="M1100" s="2589"/>
      <c r="N1100" s="2589"/>
      <c r="O1100" s="2589"/>
      <c r="P1100" s="2346"/>
      <c r="Q1100" s="2589"/>
      <c r="R1100" s="2347"/>
      <c r="S1100" s="2347"/>
      <c r="T1100" s="2348"/>
      <c r="U1100" s="2348"/>
      <c r="V1100" s="2348"/>
      <c r="W1100" s="2347"/>
      <c r="X1100" s="2347"/>
      <c r="Y1100" s="2589"/>
      <c r="Z1100" s="2589"/>
      <c r="AA1100" s="2589"/>
      <c r="AB1100" s="2589"/>
      <c r="AC1100" s="2589"/>
    </row>
    <row r="1101" spans="1:29">
      <c r="A1101" s="2589"/>
      <c r="B1101" s="2346"/>
      <c r="C1101" s="2589"/>
      <c r="D1101" s="2589"/>
      <c r="E1101" s="2345"/>
      <c r="F1101" s="2589"/>
      <c r="G1101" s="2346"/>
      <c r="H1101" s="2589"/>
      <c r="I1101" s="2589"/>
      <c r="J1101" s="2589"/>
      <c r="K1101" s="2347"/>
      <c r="L1101" s="2589"/>
      <c r="M1101" s="2589"/>
      <c r="N1101" s="2589"/>
      <c r="O1101" s="2589"/>
      <c r="P1101" s="2346"/>
      <c r="Q1101" s="2589"/>
      <c r="R1101" s="2347"/>
      <c r="S1101" s="2347"/>
      <c r="T1101" s="2348"/>
      <c r="U1101" s="2348"/>
      <c r="V1101" s="2348"/>
      <c r="W1101" s="2347"/>
      <c r="X1101" s="2347"/>
      <c r="Y1101" s="2589"/>
      <c r="Z1101" s="2589"/>
      <c r="AA1101" s="2589"/>
      <c r="AB1101" s="2589"/>
      <c r="AC1101" s="2589"/>
    </row>
    <row r="1102" spans="1:29">
      <c r="A1102" s="2589"/>
      <c r="B1102" s="2346"/>
      <c r="C1102" s="2589"/>
      <c r="D1102" s="2589"/>
      <c r="E1102" s="2345"/>
      <c r="F1102" s="2589"/>
      <c r="G1102" s="2346"/>
      <c r="H1102" s="2589"/>
      <c r="I1102" s="2589"/>
      <c r="J1102" s="2589"/>
      <c r="K1102" s="2347"/>
      <c r="L1102" s="2589"/>
      <c r="M1102" s="2589"/>
      <c r="N1102" s="2589"/>
      <c r="O1102" s="2589"/>
      <c r="P1102" s="2346"/>
      <c r="Q1102" s="2589"/>
      <c r="R1102" s="2347"/>
      <c r="S1102" s="2347"/>
      <c r="T1102" s="2348"/>
      <c r="U1102" s="2348"/>
      <c r="V1102" s="2348"/>
      <c r="W1102" s="2347"/>
      <c r="X1102" s="2347"/>
      <c r="Y1102" s="2589"/>
      <c r="Z1102" s="2589"/>
      <c r="AA1102" s="2589"/>
      <c r="AB1102" s="2589"/>
      <c r="AC1102" s="2589"/>
    </row>
    <row r="1103" spans="1:29">
      <c r="A1103" s="2589"/>
      <c r="B1103" s="2346"/>
      <c r="C1103" s="2589"/>
      <c r="D1103" s="2589"/>
      <c r="E1103" s="2345"/>
      <c r="F1103" s="2589"/>
      <c r="G1103" s="2346"/>
      <c r="H1103" s="2589"/>
      <c r="I1103" s="2589"/>
      <c r="J1103" s="2589"/>
      <c r="K1103" s="2347"/>
      <c r="L1103" s="2589"/>
      <c r="M1103" s="2589"/>
      <c r="N1103" s="2589"/>
      <c r="O1103" s="2589"/>
      <c r="P1103" s="2346"/>
      <c r="Q1103" s="2589"/>
      <c r="R1103" s="2347"/>
      <c r="S1103" s="2347"/>
      <c r="T1103" s="2348"/>
      <c r="U1103" s="2348"/>
      <c r="V1103" s="2348"/>
      <c r="W1103" s="2347"/>
      <c r="X1103" s="2347"/>
      <c r="Y1103" s="2589"/>
      <c r="Z1103" s="2589"/>
      <c r="AA1103" s="2589"/>
      <c r="AB1103" s="2589"/>
      <c r="AC1103" s="2589"/>
    </row>
    <row r="1104" spans="1:29">
      <c r="A1104" s="2589"/>
      <c r="B1104" s="2346"/>
      <c r="C1104" s="2589"/>
      <c r="D1104" s="2589"/>
      <c r="E1104" s="2345"/>
      <c r="F1104" s="2589"/>
      <c r="G1104" s="2346"/>
      <c r="H1104" s="2589"/>
      <c r="I1104" s="2589"/>
      <c r="J1104" s="2589"/>
      <c r="K1104" s="2347"/>
      <c r="L1104" s="2589"/>
      <c r="M1104" s="2589"/>
      <c r="N1104" s="2589"/>
      <c r="O1104" s="2589"/>
      <c r="P1104" s="2346"/>
      <c r="Q1104" s="2589"/>
      <c r="R1104" s="2347"/>
      <c r="S1104" s="2347"/>
      <c r="T1104" s="2348"/>
      <c r="U1104" s="2348"/>
      <c r="V1104" s="2348"/>
      <c r="W1104" s="2347"/>
      <c r="X1104" s="2347"/>
      <c r="Y1104" s="2589"/>
      <c r="Z1104" s="2589"/>
      <c r="AA1104" s="2589"/>
      <c r="AB1104" s="2589"/>
      <c r="AC1104" s="2589"/>
    </row>
    <row r="1105" spans="1:29">
      <c r="A1105" s="2589"/>
      <c r="B1105" s="2346"/>
      <c r="C1105" s="2589"/>
      <c r="D1105" s="2589"/>
      <c r="E1105" s="2345"/>
      <c r="F1105" s="2589"/>
      <c r="G1105" s="2346"/>
      <c r="H1105" s="2589"/>
      <c r="I1105" s="2589"/>
      <c r="J1105" s="2589"/>
      <c r="K1105" s="2347"/>
      <c r="L1105" s="2589"/>
      <c r="M1105" s="2589"/>
      <c r="N1105" s="2589"/>
      <c r="O1105" s="2589"/>
      <c r="P1105" s="2346"/>
      <c r="Q1105" s="2589"/>
      <c r="R1105" s="2347"/>
      <c r="S1105" s="2347"/>
      <c r="T1105" s="2348"/>
      <c r="U1105" s="2348"/>
      <c r="V1105" s="2348"/>
      <c r="W1105" s="2347"/>
      <c r="X1105" s="2347"/>
      <c r="Y1105" s="2589"/>
      <c r="Z1105" s="2589"/>
      <c r="AA1105" s="2589"/>
      <c r="AB1105" s="2589"/>
      <c r="AC1105" s="2589"/>
    </row>
    <row r="1106" spans="1:29">
      <c r="A1106" s="2589"/>
      <c r="B1106" s="2346"/>
      <c r="C1106" s="2589"/>
      <c r="D1106" s="2589"/>
      <c r="E1106" s="2345"/>
      <c r="F1106" s="2589"/>
      <c r="G1106" s="2346"/>
      <c r="H1106" s="2589"/>
      <c r="I1106" s="2589"/>
      <c r="J1106" s="2589"/>
      <c r="K1106" s="2347"/>
      <c r="L1106" s="2589"/>
      <c r="M1106" s="2589"/>
      <c r="N1106" s="2589"/>
      <c r="O1106" s="2589"/>
      <c r="P1106" s="2346"/>
      <c r="Q1106" s="2589"/>
      <c r="R1106" s="2347"/>
      <c r="S1106" s="2347"/>
      <c r="T1106" s="2348"/>
      <c r="U1106" s="2348"/>
      <c r="V1106" s="2348"/>
      <c r="W1106" s="2347"/>
      <c r="X1106" s="2347"/>
      <c r="Y1106" s="2589"/>
      <c r="Z1106" s="2589"/>
      <c r="AA1106" s="2589"/>
      <c r="AB1106" s="2589"/>
      <c r="AC1106" s="2589"/>
    </row>
    <row r="1107" spans="1:29">
      <c r="A1107" s="2589"/>
      <c r="B1107" s="2346"/>
      <c r="C1107" s="2589"/>
      <c r="D1107" s="2589"/>
      <c r="E1107" s="2345"/>
      <c r="F1107" s="2589"/>
      <c r="G1107" s="2346"/>
      <c r="H1107" s="2589"/>
      <c r="I1107" s="2589"/>
      <c r="J1107" s="2589"/>
      <c r="K1107" s="2347"/>
      <c r="L1107" s="2589"/>
      <c r="M1107" s="2589"/>
      <c r="N1107" s="2589"/>
      <c r="O1107" s="2589"/>
      <c r="P1107" s="2346"/>
      <c r="Q1107" s="2589"/>
      <c r="R1107" s="2347"/>
      <c r="S1107" s="2347"/>
      <c r="T1107" s="2348"/>
      <c r="U1107" s="2348"/>
      <c r="V1107" s="2348"/>
      <c r="W1107" s="2347"/>
      <c r="X1107" s="2347"/>
      <c r="Y1107" s="2589"/>
      <c r="Z1107" s="2589"/>
      <c r="AA1107" s="2589"/>
      <c r="AB1107" s="2589"/>
      <c r="AC1107" s="2589"/>
    </row>
    <row r="1108" spans="1:29">
      <c r="A1108" s="2589"/>
      <c r="B1108" s="2346"/>
      <c r="C1108" s="2589"/>
      <c r="D1108" s="2589"/>
      <c r="E1108" s="2345"/>
      <c r="F1108" s="2589"/>
      <c r="G1108" s="2346"/>
      <c r="H1108" s="2589"/>
      <c r="I1108" s="2589"/>
      <c r="J1108" s="2589"/>
      <c r="K1108" s="2347"/>
      <c r="L1108" s="2589"/>
      <c r="M1108" s="2589"/>
      <c r="N1108" s="2589"/>
      <c r="O1108" s="2589"/>
      <c r="P1108" s="2346"/>
      <c r="Q1108" s="2589"/>
      <c r="R1108" s="2347"/>
      <c r="S1108" s="2347"/>
      <c r="T1108" s="2348"/>
      <c r="U1108" s="2348"/>
      <c r="V1108" s="2348"/>
      <c r="W1108" s="2347"/>
      <c r="X1108" s="2347"/>
      <c r="Y1108" s="2589"/>
      <c r="Z1108" s="2589"/>
      <c r="AA1108" s="2589"/>
      <c r="AB1108" s="2589"/>
      <c r="AC1108" s="2589"/>
    </row>
    <row r="1109" spans="1:29">
      <c r="A1109" s="2589"/>
      <c r="B1109" s="2346"/>
      <c r="C1109" s="2589"/>
      <c r="D1109" s="2589"/>
      <c r="E1109" s="2345"/>
      <c r="F1109" s="2589"/>
      <c r="G1109" s="2346"/>
      <c r="H1109" s="2589"/>
      <c r="I1109" s="2589"/>
      <c r="J1109" s="2589"/>
      <c r="K1109" s="2347"/>
      <c r="L1109" s="2589"/>
      <c r="M1109" s="2589"/>
      <c r="N1109" s="2589"/>
      <c r="O1109" s="2589"/>
      <c r="P1109" s="2346"/>
      <c r="Q1109" s="2589"/>
      <c r="R1109" s="2347"/>
      <c r="S1109" s="2347"/>
      <c r="T1109" s="2348"/>
      <c r="U1109" s="2348"/>
      <c r="V1109" s="2348"/>
      <c r="W1109" s="2347"/>
      <c r="X1109" s="2347"/>
      <c r="Y1109" s="2589"/>
      <c r="Z1109" s="2589"/>
      <c r="AA1109" s="2589"/>
      <c r="AB1109" s="2589"/>
      <c r="AC1109" s="2589"/>
    </row>
    <row r="1110" spans="1:29">
      <c r="A1110" s="2589"/>
      <c r="B1110" s="2346"/>
      <c r="C1110" s="2589"/>
      <c r="D1110" s="2589"/>
      <c r="E1110" s="2345"/>
      <c r="F1110" s="2589"/>
      <c r="G1110" s="2346"/>
      <c r="H1110" s="2589"/>
      <c r="I1110" s="2589"/>
      <c r="J1110" s="2589"/>
      <c r="K1110" s="2347"/>
      <c r="L1110" s="2589"/>
      <c r="M1110" s="2589"/>
      <c r="N1110" s="2589"/>
      <c r="O1110" s="2589"/>
      <c r="P1110" s="2346"/>
      <c r="Q1110" s="2589"/>
      <c r="R1110" s="2347"/>
      <c r="S1110" s="2347"/>
      <c r="T1110" s="2348"/>
      <c r="U1110" s="2348"/>
      <c r="V1110" s="2348"/>
      <c r="W1110" s="2347"/>
      <c r="X1110" s="2347"/>
      <c r="Y1110" s="2589"/>
      <c r="Z1110" s="2589"/>
      <c r="AA1110" s="2589"/>
      <c r="AB1110" s="2589"/>
      <c r="AC1110" s="2589"/>
    </row>
    <row r="1111" spans="1:29">
      <c r="A1111" s="2589"/>
      <c r="B1111" s="2346"/>
      <c r="C1111" s="2589"/>
      <c r="D1111" s="2589"/>
      <c r="E1111" s="2345"/>
      <c r="F1111" s="2589"/>
      <c r="G1111" s="2346"/>
      <c r="H1111" s="2589"/>
      <c r="I1111" s="2589"/>
      <c r="J1111" s="2589"/>
      <c r="K1111" s="2347"/>
      <c r="L1111" s="2589"/>
      <c r="M1111" s="2589"/>
      <c r="N1111" s="2589"/>
      <c r="O1111" s="2589"/>
      <c r="P1111" s="2346"/>
      <c r="Q1111" s="2589"/>
      <c r="R1111" s="2347"/>
      <c r="S1111" s="2347"/>
      <c r="T1111" s="2348"/>
      <c r="U1111" s="2348"/>
      <c r="V1111" s="2348"/>
      <c r="W1111" s="2347"/>
      <c r="X1111" s="2347"/>
      <c r="Y1111" s="2589"/>
      <c r="Z1111" s="2589"/>
      <c r="AA1111" s="2589"/>
      <c r="AB1111" s="2589"/>
      <c r="AC1111" s="2589"/>
    </row>
    <row r="1112" spans="1:29">
      <c r="A1112" s="2589"/>
      <c r="B1112" s="2346"/>
      <c r="C1112" s="2589"/>
      <c r="D1112" s="2589"/>
      <c r="E1112" s="2345"/>
      <c r="F1112" s="2589"/>
      <c r="G1112" s="2346"/>
      <c r="H1112" s="2589"/>
      <c r="I1112" s="2589"/>
      <c r="J1112" s="2589"/>
      <c r="K1112" s="2347"/>
      <c r="L1112" s="2589"/>
      <c r="M1112" s="2589"/>
      <c r="N1112" s="2589"/>
      <c r="O1112" s="2589"/>
      <c r="P1112" s="2346"/>
      <c r="Q1112" s="2589"/>
      <c r="R1112" s="2347"/>
      <c r="S1112" s="2347"/>
      <c r="T1112" s="2348"/>
      <c r="U1112" s="2348"/>
      <c r="V1112" s="2348"/>
      <c r="W1112" s="2347"/>
      <c r="X1112" s="2347"/>
      <c r="Y1112" s="2589"/>
      <c r="Z1112" s="2589"/>
      <c r="AA1112" s="2589"/>
      <c r="AB1112" s="2589"/>
      <c r="AC1112" s="2589"/>
    </row>
    <row r="1113" spans="1:29">
      <c r="A1113" s="2589"/>
      <c r="B1113" s="2346"/>
      <c r="C1113" s="2589"/>
      <c r="D1113" s="2589"/>
      <c r="E1113" s="2345"/>
      <c r="F1113" s="2589"/>
      <c r="G1113" s="2346"/>
      <c r="H1113" s="2589"/>
      <c r="I1113" s="2589"/>
      <c r="J1113" s="2589"/>
      <c r="K1113" s="2347"/>
      <c r="L1113" s="2589"/>
      <c r="M1113" s="2589"/>
      <c r="N1113" s="2589"/>
      <c r="O1113" s="2589"/>
      <c r="P1113" s="2346"/>
      <c r="Q1113" s="2589"/>
      <c r="R1113" s="2347"/>
      <c r="S1113" s="2347"/>
      <c r="T1113" s="2348"/>
      <c r="U1113" s="2348"/>
      <c r="V1113" s="2348"/>
      <c r="W1113" s="2347"/>
      <c r="X1113" s="2347"/>
      <c r="Y1113" s="2589"/>
      <c r="Z1113" s="2589"/>
      <c r="AA1113" s="2589"/>
      <c r="AB1113" s="2589"/>
      <c r="AC1113" s="2589"/>
    </row>
    <row r="1114" spans="1:29">
      <c r="A1114" s="2589"/>
      <c r="B1114" s="2346"/>
      <c r="C1114" s="2589"/>
      <c r="D1114" s="2589"/>
      <c r="E1114" s="2345"/>
      <c r="F1114" s="2589"/>
      <c r="G1114" s="2346"/>
      <c r="H1114" s="2589"/>
      <c r="I1114" s="2589"/>
      <c r="J1114" s="2589"/>
      <c r="K1114" s="2347"/>
      <c r="L1114" s="2589"/>
      <c r="M1114" s="2589"/>
      <c r="N1114" s="2589"/>
      <c r="O1114" s="2589"/>
      <c r="P1114" s="2346"/>
      <c r="Q1114" s="2589"/>
      <c r="R1114" s="2347"/>
      <c r="S1114" s="2347"/>
      <c r="T1114" s="2348"/>
      <c r="U1114" s="2348"/>
      <c r="V1114" s="2348"/>
      <c r="W1114" s="2347"/>
      <c r="X1114" s="2347"/>
      <c r="Y1114" s="2589"/>
      <c r="Z1114" s="2589"/>
      <c r="AA1114" s="2589"/>
      <c r="AB1114" s="2589"/>
      <c r="AC1114" s="2589"/>
    </row>
    <row r="1115" spans="1:29">
      <c r="A1115" s="2589"/>
      <c r="B1115" s="2346"/>
      <c r="C1115" s="2589"/>
      <c r="D1115" s="2589"/>
      <c r="E1115" s="2345"/>
      <c r="F1115" s="2589"/>
      <c r="G1115" s="2346"/>
      <c r="H1115" s="2589"/>
      <c r="I1115" s="2589"/>
      <c r="J1115" s="2589"/>
      <c r="K1115" s="2347"/>
      <c r="L1115" s="2589"/>
      <c r="M1115" s="2589"/>
      <c r="N1115" s="2589"/>
      <c r="O1115" s="2589"/>
      <c r="P1115" s="2346"/>
      <c r="Q1115" s="2589"/>
      <c r="R1115" s="2347"/>
      <c r="S1115" s="2347"/>
      <c r="T1115" s="2348"/>
      <c r="U1115" s="2348"/>
      <c r="V1115" s="2348"/>
      <c r="W1115" s="2347"/>
      <c r="X1115" s="2347"/>
      <c r="Y1115" s="2589"/>
      <c r="Z1115" s="2589"/>
      <c r="AA1115" s="2589"/>
      <c r="AB1115" s="2589"/>
      <c r="AC1115" s="2589"/>
    </row>
    <row r="1116" spans="1:29">
      <c r="A1116" s="2589"/>
      <c r="B1116" s="2346"/>
      <c r="C1116" s="2589"/>
      <c r="D1116" s="2589"/>
      <c r="E1116" s="2345"/>
      <c r="F1116" s="2589"/>
      <c r="G1116" s="2346"/>
      <c r="H1116" s="2589"/>
      <c r="I1116" s="2589"/>
      <c r="J1116" s="2589"/>
      <c r="K1116" s="2347"/>
      <c r="L1116" s="2589"/>
      <c r="M1116" s="2589"/>
      <c r="N1116" s="2589"/>
      <c r="O1116" s="2589"/>
      <c r="P1116" s="2346"/>
      <c r="Q1116" s="2589"/>
      <c r="R1116" s="2347"/>
      <c r="S1116" s="2347"/>
      <c r="T1116" s="2348"/>
      <c r="U1116" s="2348"/>
      <c r="V1116" s="2348"/>
      <c r="W1116" s="2347"/>
      <c r="X1116" s="2347"/>
      <c r="Y1116" s="2589"/>
      <c r="Z1116" s="2589"/>
      <c r="AA1116" s="2589"/>
      <c r="AB1116" s="2589"/>
      <c r="AC1116" s="2589"/>
    </row>
    <row r="1117" spans="1:29">
      <c r="A1117" s="2589"/>
      <c r="B1117" s="2346"/>
      <c r="C1117" s="2589"/>
      <c r="D1117" s="2589"/>
      <c r="E1117" s="2345"/>
      <c r="F1117" s="2589"/>
      <c r="G1117" s="2346"/>
      <c r="H1117" s="2589"/>
      <c r="I1117" s="2589"/>
      <c r="J1117" s="2589"/>
      <c r="K1117" s="2347"/>
      <c r="L1117" s="2589"/>
      <c r="M1117" s="2589"/>
      <c r="N1117" s="2589"/>
      <c r="O1117" s="2589"/>
      <c r="P1117" s="2346"/>
      <c r="Q1117" s="2589"/>
      <c r="R1117" s="2347"/>
      <c r="S1117" s="2347"/>
      <c r="T1117" s="2348"/>
      <c r="U1117" s="2348"/>
      <c r="V1117" s="2348"/>
      <c r="W1117" s="2347"/>
      <c r="X1117" s="2347"/>
      <c r="Y1117" s="2589"/>
      <c r="Z1117" s="2589"/>
      <c r="AA1117" s="2589"/>
      <c r="AB1117" s="2589"/>
      <c r="AC1117" s="2589"/>
    </row>
    <row r="1118" spans="1:29">
      <c r="A1118" s="2589"/>
      <c r="B1118" s="2346"/>
      <c r="C1118" s="2589"/>
      <c r="D1118" s="2589"/>
      <c r="E1118" s="2345"/>
      <c r="F1118" s="2589"/>
      <c r="G1118" s="2346"/>
      <c r="H1118" s="2589"/>
      <c r="I1118" s="2589"/>
      <c r="J1118" s="2589"/>
      <c r="K1118" s="2347"/>
      <c r="L1118" s="2589"/>
      <c r="M1118" s="2589"/>
      <c r="N1118" s="2589"/>
      <c r="O1118" s="2589"/>
      <c r="P1118" s="2346"/>
      <c r="Q1118" s="2589"/>
      <c r="R1118" s="2347"/>
      <c r="S1118" s="2347"/>
      <c r="T1118" s="2348"/>
      <c r="U1118" s="2348"/>
      <c r="V1118" s="2348"/>
      <c r="W1118" s="2347"/>
      <c r="X1118" s="2347"/>
      <c r="Y1118" s="2589"/>
      <c r="Z1118" s="2589"/>
      <c r="AA1118" s="2589"/>
      <c r="AB1118" s="2589"/>
      <c r="AC1118" s="2589"/>
    </row>
    <row r="1119" spans="1:29">
      <c r="A1119" s="2589"/>
      <c r="B1119" s="2346"/>
      <c r="C1119" s="2589"/>
      <c r="D1119" s="2589"/>
      <c r="E1119" s="2345"/>
      <c r="F1119" s="2589"/>
      <c r="G1119" s="2346"/>
      <c r="H1119" s="2589"/>
      <c r="I1119" s="2589"/>
      <c r="J1119" s="2589"/>
      <c r="K1119" s="2347"/>
      <c r="L1119" s="2589"/>
      <c r="M1119" s="2589"/>
      <c r="N1119" s="2589"/>
      <c r="O1119" s="2589"/>
      <c r="P1119" s="2346"/>
      <c r="Q1119" s="2589"/>
      <c r="R1119" s="2347"/>
      <c r="S1119" s="2347"/>
      <c r="T1119" s="2348"/>
      <c r="U1119" s="2348"/>
      <c r="V1119" s="2348"/>
      <c r="W1119" s="2347"/>
      <c r="X1119" s="2347"/>
      <c r="Y1119" s="2589"/>
      <c r="Z1119" s="2589"/>
      <c r="AA1119" s="2589"/>
      <c r="AB1119" s="2589"/>
      <c r="AC1119" s="2589"/>
    </row>
    <row r="1120" spans="1:29">
      <c r="A1120" s="2589"/>
      <c r="B1120" s="2346"/>
      <c r="C1120" s="2589"/>
      <c r="D1120" s="2589"/>
      <c r="E1120" s="2345"/>
      <c r="F1120" s="2589"/>
      <c r="G1120" s="2346"/>
      <c r="H1120" s="2589"/>
      <c r="I1120" s="2589"/>
      <c r="J1120" s="2589"/>
      <c r="K1120" s="2347"/>
      <c r="L1120" s="2589"/>
      <c r="M1120" s="2589"/>
      <c r="N1120" s="2589"/>
      <c r="O1120" s="2589"/>
      <c r="P1120" s="2346"/>
      <c r="Q1120" s="2589"/>
      <c r="R1120" s="2347"/>
      <c r="S1120" s="2347"/>
      <c r="T1120" s="2348"/>
      <c r="U1120" s="2348"/>
      <c r="V1120" s="2348"/>
      <c r="W1120" s="2347"/>
      <c r="X1120" s="2347"/>
      <c r="Y1120" s="2589"/>
      <c r="Z1120" s="2589"/>
      <c r="AA1120" s="2589"/>
      <c r="AB1120" s="2589"/>
      <c r="AC1120" s="2589"/>
    </row>
    <row r="1121" spans="1:29">
      <c r="A1121" s="2589"/>
      <c r="B1121" s="2346"/>
      <c r="C1121" s="2589"/>
      <c r="D1121" s="2589"/>
      <c r="E1121" s="2345"/>
      <c r="F1121" s="2589"/>
      <c r="G1121" s="2346"/>
      <c r="H1121" s="2589"/>
      <c r="I1121" s="2589"/>
      <c r="J1121" s="2589"/>
      <c r="K1121" s="2347"/>
      <c r="L1121" s="2589"/>
      <c r="M1121" s="2589"/>
      <c r="N1121" s="2589"/>
      <c r="O1121" s="2589"/>
      <c r="P1121" s="2346"/>
      <c r="Q1121" s="2589"/>
      <c r="R1121" s="2347"/>
      <c r="S1121" s="2347"/>
      <c r="T1121" s="2348"/>
      <c r="U1121" s="2348"/>
      <c r="V1121" s="2348"/>
      <c r="W1121" s="2347"/>
      <c r="X1121" s="2347"/>
      <c r="Y1121" s="2589"/>
      <c r="Z1121" s="2589"/>
      <c r="AA1121" s="2589"/>
      <c r="AB1121" s="2589"/>
      <c r="AC1121" s="2589"/>
    </row>
    <row r="1122" spans="1:29">
      <c r="A1122" s="2589"/>
      <c r="B1122" s="2346"/>
      <c r="C1122" s="2589"/>
      <c r="D1122" s="2589"/>
      <c r="E1122" s="2345"/>
      <c r="F1122" s="2589"/>
      <c r="G1122" s="2346"/>
      <c r="H1122" s="2589"/>
      <c r="I1122" s="2589"/>
      <c r="J1122" s="2589"/>
      <c r="K1122" s="2347"/>
      <c r="L1122" s="2589"/>
      <c r="M1122" s="2589"/>
      <c r="N1122" s="2589"/>
      <c r="O1122" s="2589"/>
      <c r="P1122" s="2346"/>
      <c r="Q1122" s="2589"/>
      <c r="R1122" s="2347"/>
      <c r="S1122" s="2347"/>
      <c r="T1122" s="2348"/>
      <c r="U1122" s="2348"/>
      <c r="V1122" s="2348"/>
      <c r="W1122" s="2347"/>
      <c r="X1122" s="2347"/>
      <c r="Y1122" s="2589"/>
      <c r="Z1122" s="2589"/>
      <c r="AA1122" s="2589"/>
      <c r="AB1122" s="2589"/>
      <c r="AC1122" s="2589"/>
    </row>
    <row r="1123" spans="1:29">
      <c r="A1123" s="2589"/>
      <c r="B1123" s="2346"/>
      <c r="C1123" s="2589"/>
      <c r="D1123" s="2589"/>
      <c r="E1123" s="2345"/>
      <c r="F1123" s="2589"/>
      <c r="G1123" s="2346"/>
      <c r="H1123" s="2589"/>
      <c r="I1123" s="2589"/>
      <c r="J1123" s="2589"/>
      <c r="K1123" s="2347"/>
      <c r="L1123" s="2589"/>
      <c r="M1123" s="2589"/>
      <c r="N1123" s="2589"/>
      <c r="O1123" s="2589"/>
      <c r="P1123" s="2346"/>
      <c r="Q1123" s="2589"/>
      <c r="R1123" s="2347"/>
      <c r="S1123" s="2347"/>
      <c r="T1123" s="2348"/>
      <c r="U1123" s="2348"/>
      <c r="V1123" s="2348"/>
      <c r="W1123" s="2347"/>
      <c r="X1123" s="2347"/>
      <c r="Y1123" s="2589"/>
      <c r="Z1123" s="2589"/>
      <c r="AA1123" s="2589"/>
      <c r="AB1123" s="2589"/>
      <c r="AC1123" s="2589"/>
    </row>
    <row r="1124" spans="1:29">
      <c r="A1124" s="2589"/>
      <c r="B1124" s="2346"/>
      <c r="C1124" s="2589"/>
      <c r="D1124" s="2589"/>
      <c r="E1124" s="2345"/>
      <c r="F1124" s="2589"/>
      <c r="G1124" s="2346"/>
      <c r="H1124" s="2589"/>
      <c r="I1124" s="2589"/>
      <c r="J1124" s="2589"/>
      <c r="K1124" s="2347"/>
      <c r="L1124" s="2589"/>
      <c r="M1124" s="2589"/>
      <c r="N1124" s="2589"/>
      <c r="O1124" s="2589"/>
      <c r="P1124" s="2346"/>
      <c r="Q1124" s="2589"/>
      <c r="R1124" s="2347"/>
      <c r="S1124" s="2347"/>
      <c r="T1124" s="2348"/>
      <c r="U1124" s="2348"/>
      <c r="V1124" s="2348"/>
      <c r="W1124" s="2347"/>
      <c r="X1124" s="2347"/>
      <c r="Y1124" s="2589"/>
      <c r="Z1124" s="2589"/>
      <c r="AA1124" s="2589"/>
      <c r="AB1124" s="2589"/>
      <c r="AC1124" s="2589"/>
    </row>
    <row r="1125" spans="1:29">
      <c r="A1125" s="2589"/>
      <c r="B1125" s="2346"/>
      <c r="C1125" s="2589"/>
      <c r="D1125" s="2589"/>
      <c r="E1125" s="2345"/>
      <c r="F1125" s="2589"/>
      <c r="G1125" s="2346"/>
      <c r="H1125" s="2589"/>
      <c r="I1125" s="2589"/>
      <c r="J1125" s="2589"/>
      <c r="K1125" s="2347"/>
      <c r="L1125" s="2589"/>
      <c r="M1125" s="2589"/>
      <c r="N1125" s="2589"/>
      <c r="O1125" s="2589"/>
      <c r="P1125" s="2346"/>
      <c r="Q1125" s="2589"/>
      <c r="R1125" s="2347"/>
      <c r="S1125" s="2347"/>
      <c r="T1125" s="2348"/>
      <c r="U1125" s="2348"/>
      <c r="V1125" s="2348"/>
      <c r="W1125" s="2347"/>
      <c r="X1125" s="2347"/>
      <c r="Y1125" s="2589"/>
      <c r="Z1125" s="2589"/>
      <c r="AA1125" s="2589"/>
      <c r="AB1125" s="2589"/>
      <c r="AC1125" s="2589"/>
    </row>
    <row r="1126" spans="1:29">
      <c r="A1126" s="2589"/>
      <c r="B1126" s="2346"/>
      <c r="C1126" s="2589"/>
      <c r="D1126" s="2589"/>
      <c r="E1126" s="2345"/>
      <c r="F1126" s="2589"/>
      <c r="G1126" s="2346"/>
      <c r="H1126" s="2589"/>
      <c r="I1126" s="2589"/>
      <c r="J1126" s="2589"/>
      <c r="K1126" s="2347"/>
      <c r="L1126" s="2589"/>
      <c r="M1126" s="2589"/>
      <c r="N1126" s="2589"/>
      <c r="O1126" s="2589"/>
      <c r="P1126" s="2346"/>
      <c r="Q1126" s="2589"/>
      <c r="R1126" s="2347"/>
      <c r="S1126" s="2347"/>
      <c r="T1126" s="2348"/>
      <c r="U1126" s="2348"/>
      <c r="V1126" s="2348"/>
      <c r="W1126" s="2347"/>
      <c r="X1126" s="2347"/>
      <c r="Y1126" s="2589"/>
      <c r="Z1126" s="2589"/>
      <c r="AA1126" s="2589"/>
      <c r="AB1126" s="2589"/>
      <c r="AC1126" s="2589"/>
    </row>
    <row r="1127" spans="1:29">
      <c r="A1127" s="2589"/>
      <c r="B1127" s="2346"/>
      <c r="C1127" s="2589"/>
      <c r="D1127" s="2589"/>
      <c r="E1127" s="2345"/>
      <c r="F1127" s="2589"/>
      <c r="G1127" s="2346"/>
      <c r="H1127" s="2589"/>
      <c r="I1127" s="2589"/>
      <c r="J1127" s="2589"/>
      <c r="K1127" s="2347"/>
      <c r="L1127" s="2589"/>
      <c r="M1127" s="2589"/>
      <c r="N1127" s="2589"/>
      <c r="O1127" s="2589"/>
      <c r="P1127" s="2346"/>
      <c r="Q1127" s="2589"/>
      <c r="R1127" s="2347"/>
      <c r="S1127" s="2347"/>
      <c r="T1127" s="2348"/>
      <c r="U1127" s="2348"/>
      <c r="V1127" s="2348"/>
      <c r="W1127" s="2347"/>
      <c r="X1127" s="2347"/>
      <c r="Y1127" s="2589"/>
      <c r="Z1127" s="2589"/>
      <c r="AA1127" s="2589"/>
      <c r="AB1127" s="2589"/>
      <c r="AC1127" s="2589"/>
    </row>
    <row r="1128" spans="1:29">
      <c r="A1128" s="2589"/>
      <c r="B1128" s="2346"/>
      <c r="C1128" s="2589"/>
      <c r="D1128" s="2589"/>
      <c r="E1128" s="2345"/>
      <c r="F1128" s="2589"/>
      <c r="G1128" s="2346"/>
      <c r="H1128" s="2589"/>
      <c r="I1128" s="2589"/>
      <c r="J1128" s="2589"/>
      <c r="K1128" s="2347"/>
      <c r="L1128" s="2589"/>
      <c r="M1128" s="2589"/>
      <c r="N1128" s="2589"/>
      <c r="O1128" s="2589"/>
      <c r="P1128" s="2346"/>
      <c r="Q1128" s="2589"/>
      <c r="R1128" s="2347"/>
      <c r="S1128" s="2347"/>
      <c r="T1128" s="2348"/>
      <c r="U1128" s="2348"/>
      <c r="V1128" s="2348"/>
      <c r="W1128" s="2347"/>
      <c r="X1128" s="2347"/>
      <c r="Y1128" s="2589"/>
      <c r="Z1128" s="2589"/>
      <c r="AA1128" s="2589"/>
      <c r="AB1128" s="2589"/>
      <c r="AC1128" s="2589"/>
    </row>
    <row r="1129" spans="1:29">
      <c r="A1129" s="2589"/>
      <c r="B1129" s="2346"/>
      <c r="C1129" s="2589"/>
      <c r="D1129" s="2589"/>
      <c r="E1129" s="2345"/>
      <c r="F1129" s="2589"/>
      <c r="G1129" s="2346"/>
      <c r="H1129" s="2589"/>
      <c r="I1129" s="2589"/>
      <c r="J1129" s="2589"/>
      <c r="K1129" s="2347"/>
      <c r="L1129" s="2589"/>
      <c r="M1129" s="2589"/>
      <c r="N1129" s="2589"/>
      <c r="O1129" s="2589"/>
      <c r="P1129" s="2346"/>
      <c r="Q1129" s="2589"/>
      <c r="R1129" s="2347"/>
      <c r="S1129" s="2347"/>
      <c r="T1129" s="2348"/>
      <c r="U1129" s="2348"/>
      <c r="V1129" s="2348"/>
      <c r="W1129" s="2347"/>
      <c r="X1129" s="2347"/>
      <c r="Y1129" s="2589"/>
      <c r="Z1129" s="2589"/>
      <c r="AA1129" s="2589"/>
      <c r="AB1129" s="2589"/>
      <c r="AC1129" s="2589"/>
    </row>
    <row r="1130" spans="1:29">
      <c r="A1130" s="2589"/>
      <c r="B1130" s="2346"/>
      <c r="C1130" s="2589"/>
      <c r="D1130" s="2589"/>
      <c r="E1130" s="2345"/>
      <c r="F1130" s="2589"/>
      <c r="G1130" s="2346"/>
      <c r="H1130" s="2589"/>
      <c r="I1130" s="2589"/>
      <c r="J1130" s="2589"/>
      <c r="K1130" s="2347"/>
      <c r="L1130" s="2589"/>
      <c r="M1130" s="2589"/>
      <c r="N1130" s="2589"/>
      <c r="O1130" s="2589"/>
      <c r="P1130" s="2346"/>
      <c r="Q1130" s="2589"/>
      <c r="R1130" s="2347"/>
      <c r="S1130" s="2347"/>
      <c r="T1130" s="2348"/>
      <c r="U1130" s="2348"/>
      <c r="V1130" s="2348"/>
      <c r="W1130" s="2347"/>
      <c r="X1130" s="2347"/>
      <c r="Y1130" s="2589"/>
      <c r="Z1130" s="2589"/>
      <c r="AA1130" s="2589"/>
      <c r="AB1130" s="2589"/>
      <c r="AC1130" s="2589"/>
    </row>
    <row r="1131" spans="1:29">
      <c r="A1131" s="2589"/>
      <c r="B1131" s="2346"/>
      <c r="C1131" s="2589"/>
      <c r="D1131" s="2589"/>
      <c r="E1131" s="2345"/>
      <c r="F1131" s="2589"/>
      <c r="G1131" s="2346"/>
      <c r="H1131" s="2589"/>
      <c r="I1131" s="2589"/>
      <c r="J1131" s="2589"/>
      <c r="K1131" s="2347"/>
      <c r="L1131" s="2589"/>
      <c r="M1131" s="2589"/>
      <c r="N1131" s="2589"/>
      <c r="O1131" s="2589"/>
      <c r="P1131" s="2346"/>
      <c r="Q1131" s="2589"/>
      <c r="R1131" s="2347"/>
      <c r="S1131" s="2347"/>
      <c r="T1131" s="2348"/>
      <c r="U1131" s="2348"/>
      <c r="V1131" s="2348"/>
      <c r="W1131" s="2347"/>
      <c r="X1131" s="2347"/>
      <c r="Y1131" s="2589"/>
      <c r="Z1131" s="2589"/>
      <c r="AA1131" s="2589"/>
      <c r="AB1131" s="2589"/>
      <c r="AC1131" s="2589"/>
    </row>
    <row r="1132" spans="1:29">
      <c r="A1132" s="2589"/>
      <c r="B1132" s="2346"/>
      <c r="C1132" s="2589"/>
      <c r="D1132" s="2589"/>
      <c r="E1132" s="2345"/>
      <c r="F1132" s="2589"/>
      <c r="G1132" s="2346"/>
      <c r="H1132" s="2589"/>
      <c r="I1132" s="2589"/>
      <c r="J1132" s="2589"/>
      <c r="K1132" s="2347"/>
      <c r="L1132" s="2589"/>
      <c r="M1132" s="2589"/>
      <c r="N1132" s="2589"/>
      <c r="O1132" s="2589"/>
      <c r="P1132" s="2346"/>
      <c r="Q1132" s="2589"/>
      <c r="R1132" s="2347"/>
      <c r="S1132" s="2347"/>
      <c r="T1132" s="2348"/>
      <c r="U1132" s="2348"/>
      <c r="V1132" s="2348"/>
      <c r="W1132" s="2347"/>
      <c r="X1132" s="2347"/>
      <c r="Y1132" s="2589"/>
      <c r="Z1132" s="2589"/>
      <c r="AA1132" s="2589"/>
      <c r="AB1132" s="2589"/>
      <c r="AC1132" s="2589"/>
    </row>
    <row r="1133" spans="1:29">
      <c r="A1133" s="2589"/>
      <c r="B1133" s="2346"/>
      <c r="C1133" s="2589"/>
      <c r="D1133" s="2589"/>
      <c r="E1133" s="2345"/>
      <c r="F1133" s="2589"/>
      <c r="G1133" s="2346"/>
      <c r="H1133" s="2589"/>
      <c r="I1133" s="2589"/>
      <c r="J1133" s="2589"/>
      <c r="K1133" s="2347"/>
      <c r="L1133" s="2589"/>
      <c r="M1133" s="2589"/>
      <c r="N1133" s="2589"/>
      <c r="O1133" s="2589"/>
      <c r="P1133" s="2346"/>
      <c r="Q1133" s="2589"/>
      <c r="R1133" s="2347"/>
      <c r="S1133" s="2347"/>
      <c r="T1133" s="2348"/>
      <c r="U1133" s="2348"/>
      <c r="V1133" s="2348"/>
      <c r="W1133" s="2347"/>
      <c r="X1133" s="2347"/>
      <c r="Y1133" s="2589"/>
      <c r="Z1133" s="2589"/>
      <c r="AA1133" s="2589"/>
      <c r="AB1133" s="2589"/>
      <c r="AC1133" s="2589"/>
    </row>
    <row r="1134" spans="1:29">
      <c r="A1134" s="2589"/>
      <c r="B1134" s="2346"/>
      <c r="C1134" s="2589"/>
      <c r="D1134" s="2589"/>
      <c r="E1134" s="2345"/>
      <c r="F1134" s="2589"/>
      <c r="G1134" s="2346"/>
      <c r="H1134" s="2589"/>
      <c r="I1134" s="2589"/>
      <c r="J1134" s="2589"/>
      <c r="K1134" s="2347"/>
      <c r="L1134" s="2589"/>
      <c r="M1134" s="2589"/>
      <c r="N1134" s="2589"/>
      <c r="O1134" s="2589"/>
      <c r="P1134" s="2346"/>
      <c r="Q1134" s="2589"/>
      <c r="R1134" s="2347"/>
      <c r="S1134" s="2347"/>
      <c r="T1134" s="2348"/>
      <c r="U1134" s="2348"/>
      <c r="V1134" s="2348"/>
      <c r="W1134" s="2347"/>
      <c r="X1134" s="2347"/>
      <c r="Y1134" s="2589"/>
      <c r="Z1134" s="2589"/>
      <c r="AA1134" s="2589"/>
      <c r="AB1134" s="2589"/>
      <c r="AC1134" s="2589"/>
    </row>
    <row r="1135" spans="1:29">
      <c r="A1135" s="2589"/>
      <c r="B1135" s="2346"/>
      <c r="C1135" s="2589"/>
      <c r="D1135" s="2589"/>
      <c r="E1135" s="2345"/>
      <c r="F1135" s="2589"/>
      <c r="G1135" s="2346"/>
      <c r="H1135" s="2589"/>
      <c r="I1135" s="2589"/>
      <c r="J1135" s="2589"/>
      <c r="K1135" s="2347"/>
      <c r="L1135" s="2589"/>
      <c r="M1135" s="2589"/>
      <c r="N1135" s="2589"/>
      <c r="O1135" s="2589"/>
      <c r="P1135" s="2346"/>
      <c r="Q1135" s="2589"/>
      <c r="R1135" s="2347"/>
      <c r="S1135" s="2347"/>
      <c r="T1135" s="2348"/>
      <c r="U1135" s="2348"/>
      <c r="V1135" s="2348"/>
      <c r="W1135" s="2347"/>
      <c r="X1135" s="2347"/>
      <c r="Y1135" s="2589"/>
      <c r="Z1135" s="2589"/>
      <c r="AA1135" s="2589"/>
      <c r="AB1135" s="2589"/>
      <c r="AC1135" s="2589"/>
    </row>
    <row r="1136" spans="1:29">
      <c r="A1136" s="2589"/>
      <c r="B1136" s="2346"/>
      <c r="C1136" s="2589"/>
      <c r="D1136" s="2589"/>
      <c r="E1136" s="2345"/>
      <c r="F1136" s="2589"/>
      <c r="G1136" s="2346"/>
      <c r="H1136" s="2589"/>
      <c r="I1136" s="2589"/>
      <c r="J1136" s="2589"/>
      <c r="K1136" s="2347"/>
      <c r="L1136" s="2589"/>
      <c r="M1136" s="2589"/>
      <c r="N1136" s="2589"/>
      <c r="O1136" s="2589"/>
      <c r="P1136" s="2346"/>
      <c r="Q1136" s="2589"/>
      <c r="R1136" s="2347"/>
      <c r="S1136" s="2347"/>
      <c r="T1136" s="2348"/>
      <c r="U1136" s="2348"/>
      <c r="V1136" s="2348"/>
      <c r="W1136" s="2347"/>
      <c r="X1136" s="2347"/>
      <c r="Y1136" s="2589"/>
      <c r="Z1136" s="2589"/>
      <c r="AA1136" s="2589"/>
      <c r="AB1136" s="2589"/>
      <c r="AC1136" s="2589"/>
    </row>
    <row r="1137" spans="1:29">
      <c r="A1137" s="2589"/>
      <c r="B1137" s="2346"/>
      <c r="C1137" s="2589"/>
      <c r="D1137" s="2589"/>
      <c r="E1137" s="2345"/>
      <c r="F1137" s="2589"/>
      <c r="G1137" s="2346"/>
      <c r="H1137" s="2589"/>
      <c r="I1137" s="2589"/>
      <c r="J1137" s="2589"/>
      <c r="K1137" s="2347"/>
      <c r="L1137" s="2589"/>
      <c r="M1137" s="2589"/>
      <c r="N1137" s="2589"/>
      <c r="O1137" s="2589"/>
      <c r="P1137" s="2346"/>
      <c r="Q1137" s="2589"/>
      <c r="R1137" s="2347"/>
      <c r="S1137" s="2347"/>
      <c r="T1137" s="2348"/>
      <c r="U1137" s="2348"/>
      <c r="V1137" s="2348"/>
      <c r="W1137" s="2347"/>
      <c r="X1137" s="2347"/>
      <c r="Y1137" s="2589"/>
      <c r="Z1137" s="2589"/>
      <c r="AA1137" s="2589"/>
      <c r="AB1137" s="2589"/>
      <c r="AC1137" s="2589"/>
    </row>
    <row r="1138" spans="1:29">
      <c r="A1138" s="2589"/>
      <c r="B1138" s="2346"/>
      <c r="C1138" s="2589"/>
      <c r="D1138" s="2589"/>
      <c r="E1138" s="2345"/>
      <c r="F1138" s="2589"/>
      <c r="G1138" s="2346"/>
      <c r="H1138" s="2589"/>
      <c r="I1138" s="2589"/>
      <c r="J1138" s="2589"/>
      <c r="K1138" s="2347"/>
      <c r="L1138" s="2589"/>
      <c r="M1138" s="2589"/>
      <c r="N1138" s="2589"/>
      <c r="O1138" s="2589"/>
      <c r="P1138" s="2346"/>
      <c r="Q1138" s="2589"/>
      <c r="R1138" s="2347"/>
      <c r="S1138" s="2347"/>
      <c r="T1138" s="2348"/>
      <c r="U1138" s="2348"/>
      <c r="V1138" s="2348"/>
      <c r="W1138" s="2347"/>
      <c r="X1138" s="2347"/>
      <c r="Y1138" s="2589"/>
      <c r="Z1138" s="2589"/>
      <c r="AA1138" s="2589"/>
      <c r="AB1138" s="2589"/>
      <c r="AC1138" s="2589"/>
    </row>
    <row r="1139" spans="1:29">
      <c r="A1139" s="2589"/>
      <c r="B1139" s="2346"/>
      <c r="C1139" s="2589"/>
      <c r="D1139" s="2589"/>
      <c r="E1139" s="2345"/>
      <c r="F1139" s="2589"/>
      <c r="G1139" s="2346"/>
      <c r="H1139" s="2589"/>
      <c r="I1139" s="2589"/>
      <c r="J1139" s="2589"/>
      <c r="K1139" s="2347"/>
      <c r="L1139" s="2589"/>
      <c r="M1139" s="2589"/>
      <c r="N1139" s="2589"/>
      <c r="O1139" s="2589"/>
      <c r="P1139" s="2346"/>
      <c r="Q1139" s="2589"/>
      <c r="R1139" s="2347"/>
      <c r="S1139" s="2347"/>
      <c r="T1139" s="2348"/>
      <c r="U1139" s="2348"/>
      <c r="V1139" s="2348"/>
      <c r="W1139" s="2347"/>
      <c r="X1139" s="2347"/>
      <c r="Y1139" s="2589"/>
      <c r="Z1139" s="2589"/>
      <c r="AA1139" s="2589"/>
      <c r="AB1139" s="2589"/>
      <c r="AC1139" s="2589"/>
    </row>
    <row r="1140" spans="1:29">
      <c r="A1140" s="2589"/>
      <c r="B1140" s="2346"/>
      <c r="C1140" s="2589"/>
      <c r="D1140" s="2589"/>
      <c r="E1140" s="2345"/>
      <c r="F1140" s="2589"/>
      <c r="G1140" s="2346"/>
      <c r="H1140" s="2589"/>
      <c r="I1140" s="2589"/>
      <c r="J1140" s="2589"/>
      <c r="K1140" s="2347"/>
      <c r="L1140" s="2589"/>
      <c r="M1140" s="2589"/>
      <c r="N1140" s="2589"/>
      <c r="O1140" s="2589"/>
      <c r="P1140" s="2346"/>
      <c r="Q1140" s="2589"/>
      <c r="R1140" s="2347"/>
      <c r="S1140" s="2347"/>
      <c r="T1140" s="2348"/>
      <c r="U1140" s="2348"/>
      <c r="V1140" s="2348"/>
      <c r="W1140" s="2347"/>
      <c r="X1140" s="2347"/>
      <c r="Y1140" s="2589"/>
      <c r="Z1140" s="2589"/>
      <c r="AA1140" s="2589"/>
      <c r="AB1140" s="2589"/>
      <c r="AC1140" s="2589"/>
    </row>
    <row r="1141" spans="1:29">
      <c r="A1141" s="2589"/>
      <c r="B1141" s="2346"/>
      <c r="C1141" s="2589"/>
      <c r="D1141" s="2589"/>
      <c r="E1141" s="2345"/>
      <c r="F1141" s="2589"/>
      <c r="G1141" s="2346"/>
      <c r="H1141" s="2589"/>
      <c r="I1141" s="2589"/>
      <c r="J1141" s="2589"/>
      <c r="K1141" s="2347"/>
      <c r="L1141" s="2589"/>
      <c r="M1141" s="2589"/>
      <c r="N1141" s="2589"/>
      <c r="O1141" s="2589"/>
      <c r="P1141" s="2346"/>
      <c r="Q1141" s="2589"/>
      <c r="R1141" s="2347"/>
      <c r="S1141" s="2347"/>
      <c r="T1141" s="2348"/>
      <c r="U1141" s="2348"/>
      <c r="V1141" s="2348"/>
      <c r="W1141" s="2347"/>
      <c r="X1141" s="2347"/>
      <c r="Y1141" s="2589"/>
      <c r="Z1141" s="2589"/>
      <c r="AA1141" s="2589"/>
      <c r="AB1141" s="2589"/>
      <c r="AC1141" s="2589"/>
    </row>
    <row r="1142" spans="1:29">
      <c r="A1142" s="2589"/>
      <c r="B1142" s="2346"/>
      <c r="C1142" s="2589"/>
      <c r="D1142" s="2589"/>
      <c r="E1142" s="2345"/>
      <c r="F1142" s="2589"/>
      <c r="G1142" s="2346"/>
      <c r="H1142" s="2589"/>
      <c r="I1142" s="2589"/>
      <c r="J1142" s="2589"/>
      <c r="K1142" s="2347"/>
      <c r="L1142" s="2589"/>
      <c r="M1142" s="2589"/>
      <c r="N1142" s="2589"/>
      <c r="O1142" s="2589"/>
      <c r="P1142" s="2346"/>
      <c r="Q1142" s="2589"/>
      <c r="R1142" s="2347"/>
      <c r="S1142" s="2347"/>
      <c r="T1142" s="2348"/>
      <c r="U1142" s="2348"/>
      <c r="V1142" s="2348"/>
      <c r="W1142" s="2347"/>
      <c r="X1142" s="2347"/>
      <c r="Y1142" s="2589"/>
      <c r="Z1142" s="2589"/>
      <c r="AA1142" s="2589"/>
      <c r="AB1142" s="2589"/>
      <c r="AC1142" s="2589"/>
    </row>
    <row r="1143" spans="1:29">
      <c r="A1143" s="2589"/>
      <c r="B1143" s="2346"/>
      <c r="C1143" s="2589"/>
      <c r="D1143" s="2589"/>
      <c r="E1143" s="2345"/>
      <c r="F1143" s="2589"/>
      <c r="G1143" s="2346"/>
      <c r="H1143" s="2589"/>
      <c r="I1143" s="2589"/>
      <c r="J1143" s="2589"/>
      <c r="K1143" s="2347"/>
      <c r="L1143" s="2589"/>
      <c r="M1143" s="2589"/>
      <c r="N1143" s="2589"/>
      <c r="O1143" s="2589"/>
      <c r="P1143" s="2346"/>
      <c r="Q1143" s="2589"/>
      <c r="R1143" s="2347"/>
      <c r="S1143" s="2347"/>
      <c r="T1143" s="2348"/>
      <c r="U1143" s="2348"/>
      <c r="V1143" s="2348"/>
      <c r="W1143" s="2347"/>
      <c r="X1143" s="2347"/>
      <c r="Y1143" s="2589"/>
      <c r="Z1143" s="2589"/>
      <c r="AA1143" s="2589"/>
      <c r="AB1143" s="2589"/>
      <c r="AC1143" s="2589"/>
    </row>
    <row r="1144" spans="1:29">
      <c r="A1144" s="2589"/>
      <c r="B1144" s="2346"/>
      <c r="C1144" s="2589"/>
      <c r="D1144" s="2589"/>
      <c r="E1144" s="2345"/>
      <c r="F1144" s="2589"/>
      <c r="G1144" s="2346"/>
      <c r="H1144" s="2589"/>
      <c r="I1144" s="2589"/>
      <c r="J1144" s="2589"/>
      <c r="K1144" s="2347"/>
      <c r="L1144" s="2589"/>
      <c r="M1144" s="2589"/>
      <c r="N1144" s="2589"/>
      <c r="O1144" s="2589"/>
      <c r="P1144" s="2346"/>
      <c r="Q1144" s="2589"/>
      <c r="R1144" s="2347"/>
      <c r="S1144" s="2347"/>
      <c r="T1144" s="2348"/>
      <c r="U1144" s="2348"/>
      <c r="V1144" s="2348"/>
      <c r="W1144" s="2347"/>
      <c r="X1144" s="2347"/>
      <c r="Y1144" s="2589"/>
      <c r="Z1144" s="2589"/>
      <c r="AA1144" s="2589"/>
      <c r="AB1144" s="2589"/>
      <c r="AC1144" s="2589"/>
    </row>
    <row r="1145" spans="1:29">
      <c r="A1145" s="2589"/>
      <c r="B1145" s="2346"/>
      <c r="C1145" s="2589"/>
      <c r="D1145" s="2589"/>
      <c r="E1145" s="2345"/>
      <c r="F1145" s="2589"/>
      <c r="G1145" s="2346"/>
      <c r="H1145" s="2589"/>
      <c r="I1145" s="2589"/>
      <c r="J1145" s="2589"/>
      <c r="K1145" s="2347"/>
      <c r="L1145" s="2589"/>
      <c r="M1145" s="2589"/>
      <c r="N1145" s="2589"/>
      <c r="O1145" s="2589"/>
      <c r="P1145" s="2346"/>
      <c r="Q1145" s="2589"/>
      <c r="R1145" s="2347"/>
      <c r="S1145" s="2347"/>
      <c r="T1145" s="2348"/>
      <c r="U1145" s="2348"/>
      <c r="V1145" s="2348"/>
      <c r="W1145" s="2347"/>
      <c r="X1145" s="2347"/>
      <c r="Y1145" s="2589"/>
      <c r="Z1145" s="2589"/>
      <c r="AA1145" s="2589"/>
      <c r="AB1145" s="2589"/>
      <c r="AC1145" s="2589"/>
    </row>
    <row r="1146" spans="1:29">
      <c r="A1146" s="2589"/>
      <c r="B1146" s="2346"/>
      <c r="C1146" s="2589"/>
      <c r="D1146" s="2589"/>
      <c r="E1146" s="2345"/>
      <c r="F1146" s="2589"/>
      <c r="G1146" s="2346"/>
      <c r="H1146" s="2589"/>
      <c r="I1146" s="2589"/>
      <c r="J1146" s="2589"/>
      <c r="K1146" s="2347"/>
      <c r="L1146" s="2589"/>
      <c r="M1146" s="2589"/>
      <c r="N1146" s="2589"/>
      <c r="O1146" s="2589"/>
      <c r="P1146" s="2346"/>
      <c r="Q1146" s="2589"/>
      <c r="R1146" s="2347"/>
      <c r="S1146" s="2347"/>
      <c r="T1146" s="2348"/>
      <c r="U1146" s="2348"/>
      <c r="V1146" s="2348"/>
      <c r="W1146" s="2347"/>
      <c r="X1146" s="2347"/>
      <c r="Y1146" s="2589"/>
      <c r="Z1146" s="2589"/>
      <c r="AA1146" s="2589"/>
      <c r="AB1146" s="2589"/>
      <c r="AC1146" s="2589"/>
    </row>
    <row r="1147" spans="1:29">
      <c r="A1147" s="2589"/>
      <c r="B1147" s="2346"/>
      <c r="C1147" s="2589"/>
      <c r="D1147" s="2589"/>
      <c r="E1147" s="2345"/>
      <c r="F1147" s="2589"/>
      <c r="G1147" s="2346"/>
      <c r="H1147" s="2589"/>
      <c r="I1147" s="2589"/>
      <c r="J1147" s="2589"/>
      <c r="K1147" s="2347"/>
      <c r="L1147" s="2589"/>
      <c r="M1147" s="2589"/>
      <c r="N1147" s="2589"/>
      <c r="O1147" s="2589"/>
      <c r="P1147" s="2346"/>
      <c r="Q1147" s="2589"/>
      <c r="R1147" s="2347"/>
      <c r="S1147" s="2347"/>
      <c r="T1147" s="2348"/>
      <c r="U1147" s="2348"/>
      <c r="V1147" s="2348"/>
      <c r="W1147" s="2347"/>
      <c r="X1147" s="2347"/>
      <c r="Y1147" s="2589"/>
      <c r="Z1147" s="2589"/>
      <c r="AA1147" s="2589"/>
      <c r="AB1147" s="2589"/>
      <c r="AC1147" s="2589"/>
    </row>
    <row r="1148" spans="1:29">
      <c r="A1148" s="2589"/>
      <c r="B1148" s="2346"/>
      <c r="C1148" s="2589"/>
      <c r="D1148" s="2589"/>
      <c r="E1148" s="2345"/>
      <c r="F1148" s="2589"/>
      <c r="G1148" s="2346"/>
      <c r="H1148" s="2589"/>
      <c r="I1148" s="2589"/>
      <c r="J1148" s="2589"/>
      <c r="K1148" s="2347"/>
      <c r="L1148" s="2589"/>
      <c r="M1148" s="2589"/>
      <c r="N1148" s="2589"/>
      <c r="O1148" s="2589"/>
      <c r="P1148" s="2346"/>
      <c r="Q1148" s="2589"/>
      <c r="R1148" s="2347"/>
      <c r="S1148" s="2347"/>
      <c r="T1148" s="2348"/>
      <c r="U1148" s="2348"/>
      <c r="V1148" s="2348"/>
      <c r="W1148" s="2347"/>
      <c r="X1148" s="2347"/>
      <c r="Y1148" s="2589"/>
      <c r="Z1148" s="2589"/>
      <c r="AA1148" s="2589"/>
      <c r="AB1148" s="2589"/>
      <c r="AC1148" s="2589"/>
    </row>
    <row r="1149" spans="1:29">
      <c r="A1149" s="2589"/>
      <c r="B1149" s="2346"/>
      <c r="C1149" s="2589"/>
      <c r="D1149" s="2589"/>
      <c r="E1149" s="2345"/>
      <c r="F1149" s="2589"/>
      <c r="G1149" s="2346"/>
      <c r="H1149" s="2589"/>
      <c r="I1149" s="2589"/>
      <c r="J1149" s="2589"/>
      <c r="K1149" s="2347"/>
      <c r="L1149" s="2589"/>
      <c r="M1149" s="2589"/>
      <c r="N1149" s="2589"/>
      <c r="O1149" s="2589"/>
      <c r="P1149" s="2346"/>
      <c r="Q1149" s="2589"/>
      <c r="R1149" s="2347"/>
      <c r="S1149" s="2347"/>
      <c r="T1149" s="2348"/>
      <c r="U1149" s="2348"/>
      <c r="V1149" s="2348"/>
      <c r="W1149" s="2347"/>
      <c r="X1149" s="2347"/>
      <c r="Y1149" s="2589"/>
      <c r="Z1149" s="2589"/>
      <c r="AA1149" s="2589"/>
      <c r="AB1149" s="2589"/>
      <c r="AC1149" s="2589"/>
    </row>
    <row r="1150" spans="1:29">
      <c r="A1150" s="2589"/>
      <c r="B1150" s="2346"/>
      <c r="C1150" s="2589"/>
      <c r="D1150" s="2589"/>
      <c r="E1150" s="2345"/>
      <c r="F1150" s="2589"/>
      <c r="G1150" s="2346"/>
      <c r="H1150" s="2589"/>
      <c r="I1150" s="2589"/>
      <c r="J1150" s="2589"/>
      <c r="K1150" s="2347"/>
      <c r="L1150" s="2589"/>
      <c r="M1150" s="2589"/>
      <c r="N1150" s="2589"/>
      <c r="O1150" s="2589"/>
      <c r="P1150" s="2346"/>
      <c r="Q1150" s="2589"/>
      <c r="R1150" s="2347"/>
      <c r="S1150" s="2347"/>
      <c r="T1150" s="2348"/>
      <c r="U1150" s="2348"/>
      <c r="V1150" s="2348"/>
      <c r="W1150" s="2347"/>
      <c r="X1150" s="2347"/>
      <c r="Y1150" s="2589"/>
      <c r="Z1150" s="2589"/>
      <c r="AA1150" s="2589"/>
      <c r="AB1150" s="2589"/>
      <c r="AC1150" s="2589"/>
    </row>
    <row r="1151" spans="1:29">
      <c r="A1151" s="2589"/>
      <c r="B1151" s="2346"/>
      <c r="C1151" s="2589"/>
      <c r="D1151" s="2589"/>
      <c r="E1151" s="2345"/>
      <c r="F1151" s="2589"/>
      <c r="G1151" s="2346"/>
      <c r="H1151" s="2589"/>
      <c r="I1151" s="2589"/>
      <c r="J1151" s="2589"/>
      <c r="K1151" s="2347"/>
      <c r="L1151" s="2589"/>
      <c r="M1151" s="2589"/>
      <c r="N1151" s="2589"/>
      <c r="O1151" s="2589"/>
      <c r="P1151" s="2346"/>
      <c r="Q1151" s="2589"/>
      <c r="R1151" s="2347"/>
      <c r="S1151" s="2347"/>
      <c r="T1151" s="2348"/>
      <c r="U1151" s="2348"/>
      <c r="V1151" s="2348"/>
      <c r="W1151" s="2347"/>
      <c r="X1151" s="2347"/>
      <c r="Y1151" s="2589"/>
      <c r="Z1151" s="2589"/>
      <c r="AA1151" s="2589"/>
      <c r="AB1151" s="2589"/>
      <c r="AC1151" s="2589"/>
    </row>
    <row r="1152" spans="1:29">
      <c r="A1152" s="2589"/>
      <c r="B1152" s="2346"/>
      <c r="C1152" s="2589"/>
      <c r="D1152" s="2589"/>
      <c r="E1152" s="2345"/>
      <c r="F1152" s="2589"/>
      <c r="G1152" s="2346"/>
      <c r="H1152" s="2589"/>
      <c r="I1152" s="2589"/>
      <c r="J1152" s="2589"/>
      <c r="K1152" s="2347"/>
      <c r="L1152" s="2589"/>
      <c r="M1152" s="2589"/>
      <c r="N1152" s="2589"/>
      <c r="O1152" s="2589"/>
      <c r="P1152" s="2346"/>
      <c r="Q1152" s="2589"/>
      <c r="R1152" s="2347"/>
      <c r="S1152" s="2347"/>
      <c r="T1152" s="2348"/>
      <c r="U1152" s="2348"/>
      <c r="V1152" s="2348"/>
      <c r="W1152" s="2347"/>
      <c r="X1152" s="2347"/>
      <c r="Y1152" s="2589"/>
      <c r="Z1152" s="2589"/>
      <c r="AA1152" s="2589"/>
      <c r="AB1152" s="2589"/>
      <c r="AC1152" s="2589"/>
    </row>
    <row r="1153" spans="1:29">
      <c r="A1153" s="2589"/>
      <c r="B1153" s="2346"/>
      <c r="C1153" s="2589"/>
      <c r="D1153" s="2589"/>
      <c r="E1153" s="2345"/>
      <c r="F1153" s="2589"/>
      <c r="G1153" s="2346"/>
      <c r="H1153" s="2589"/>
      <c r="I1153" s="2589"/>
      <c r="J1153" s="2589"/>
      <c r="K1153" s="2347"/>
      <c r="L1153" s="2589"/>
      <c r="M1153" s="2589"/>
      <c r="N1153" s="2589"/>
      <c r="O1153" s="2589"/>
      <c r="P1153" s="2346"/>
      <c r="Q1153" s="2589"/>
      <c r="R1153" s="2347"/>
      <c r="S1153" s="2347"/>
      <c r="T1153" s="2348"/>
      <c r="U1153" s="2348"/>
      <c r="V1153" s="2348"/>
      <c r="W1153" s="2347"/>
      <c r="X1153" s="2347"/>
      <c r="Y1153" s="2589"/>
      <c r="Z1153" s="2589"/>
      <c r="AA1153" s="2589"/>
      <c r="AB1153" s="2589"/>
      <c r="AC1153" s="2589"/>
    </row>
    <row r="1154" spans="1:29">
      <c r="A1154" s="2589"/>
      <c r="B1154" s="2346"/>
      <c r="C1154" s="2589"/>
      <c r="D1154" s="2589"/>
      <c r="E1154" s="2345"/>
      <c r="F1154" s="2589"/>
      <c r="G1154" s="2346"/>
      <c r="H1154" s="2589"/>
      <c r="I1154" s="2589"/>
      <c r="J1154" s="2589"/>
      <c r="K1154" s="2347"/>
      <c r="L1154" s="2589"/>
      <c r="M1154" s="2589"/>
      <c r="N1154" s="2589"/>
      <c r="O1154" s="2589"/>
      <c r="P1154" s="2346"/>
      <c r="Q1154" s="2589"/>
      <c r="R1154" s="2347"/>
      <c r="S1154" s="2347"/>
      <c r="T1154" s="2348"/>
      <c r="U1154" s="2348"/>
      <c r="V1154" s="2348"/>
      <c r="W1154" s="2347"/>
      <c r="X1154" s="2347"/>
      <c r="Y1154" s="2589"/>
      <c r="Z1154" s="2589"/>
      <c r="AA1154" s="2589"/>
      <c r="AB1154" s="2589"/>
      <c r="AC1154" s="2589"/>
    </row>
    <row r="1155" spans="1:29">
      <c r="A1155" s="2589"/>
      <c r="B1155" s="2346"/>
      <c r="C1155" s="2589"/>
      <c r="D1155" s="2589"/>
      <c r="E1155" s="2345"/>
      <c r="F1155" s="2589"/>
      <c r="G1155" s="2346"/>
      <c r="H1155" s="2589"/>
      <c r="I1155" s="2589"/>
      <c r="J1155" s="2589"/>
      <c r="K1155" s="2347"/>
      <c r="L1155" s="2589"/>
      <c r="M1155" s="2589"/>
      <c r="N1155" s="2589"/>
      <c r="O1155" s="2589"/>
      <c r="P1155" s="2346"/>
      <c r="Q1155" s="2589"/>
      <c r="R1155" s="2347"/>
      <c r="S1155" s="2347"/>
      <c r="T1155" s="2348"/>
      <c r="U1155" s="2348"/>
      <c r="V1155" s="2348"/>
      <c r="W1155" s="2347"/>
      <c r="X1155" s="2347"/>
      <c r="Y1155" s="2589"/>
      <c r="Z1155" s="2589"/>
      <c r="AA1155" s="2589"/>
      <c r="AB1155" s="2589"/>
      <c r="AC1155" s="2589"/>
    </row>
    <row r="1156" spans="1:29">
      <c r="A1156" s="2589"/>
      <c r="B1156" s="2346"/>
      <c r="C1156" s="2589"/>
      <c r="D1156" s="2589"/>
      <c r="E1156" s="2345"/>
      <c r="F1156" s="2589"/>
      <c r="G1156" s="2346"/>
      <c r="H1156" s="2589"/>
      <c r="I1156" s="2589"/>
      <c r="J1156" s="2589"/>
      <c r="K1156" s="2347"/>
      <c r="L1156" s="2589"/>
      <c r="M1156" s="2589"/>
      <c r="N1156" s="2589"/>
      <c r="O1156" s="2589"/>
      <c r="P1156" s="2346"/>
      <c r="Q1156" s="2589"/>
      <c r="R1156" s="2347"/>
      <c r="S1156" s="2347"/>
      <c r="T1156" s="2348"/>
      <c r="U1156" s="2348"/>
      <c r="V1156" s="2348"/>
      <c r="W1156" s="2347"/>
      <c r="X1156" s="2347"/>
      <c r="Y1156" s="2589"/>
      <c r="Z1156" s="2589"/>
      <c r="AA1156" s="2589"/>
      <c r="AB1156" s="2589"/>
      <c r="AC1156" s="2589"/>
    </row>
    <row r="1157" spans="1:29">
      <c r="A1157" s="2589"/>
      <c r="B1157" s="2346"/>
      <c r="C1157" s="2589"/>
      <c r="D1157" s="2589"/>
      <c r="E1157" s="2345"/>
      <c r="F1157" s="2589"/>
      <c r="G1157" s="2346"/>
      <c r="H1157" s="2589"/>
      <c r="I1157" s="2589"/>
      <c r="J1157" s="2589"/>
      <c r="K1157" s="2347"/>
      <c r="L1157" s="2589"/>
      <c r="M1157" s="2589"/>
      <c r="N1157" s="2589"/>
      <c r="O1157" s="2589"/>
      <c r="P1157" s="2346"/>
      <c r="Q1157" s="2589"/>
      <c r="R1157" s="2347"/>
      <c r="S1157" s="2347"/>
      <c r="T1157" s="2348"/>
      <c r="U1157" s="2348"/>
      <c r="V1157" s="2348"/>
      <c r="W1157" s="2347"/>
      <c r="X1157" s="2347"/>
      <c r="Y1157" s="2589"/>
      <c r="Z1157" s="2589"/>
      <c r="AA1157" s="2589"/>
      <c r="AB1157" s="2589"/>
      <c r="AC1157" s="2589"/>
    </row>
    <row r="1158" spans="1:29">
      <c r="A1158" s="2589"/>
      <c r="B1158" s="2346"/>
      <c r="C1158" s="2589"/>
      <c r="D1158" s="2589"/>
      <c r="E1158" s="2345"/>
      <c r="F1158" s="2589"/>
      <c r="G1158" s="2346"/>
      <c r="H1158" s="2589"/>
      <c r="I1158" s="2589"/>
      <c r="J1158" s="2589"/>
      <c r="K1158" s="2347"/>
      <c r="L1158" s="2589"/>
      <c r="M1158" s="2589"/>
      <c r="N1158" s="2589"/>
      <c r="O1158" s="2589"/>
      <c r="P1158" s="2346"/>
      <c r="Q1158" s="2589"/>
      <c r="R1158" s="2347"/>
      <c r="S1158" s="2347"/>
      <c r="T1158" s="2348"/>
      <c r="U1158" s="2348"/>
      <c r="V1158" s="2348"/>
      <c r="W1158" s="2347"/>
      <c r="X1158" s="2347"/>
      <c r="Y1158" s="2589"/>
      <c r="Z1158" s="2589"/>
      <c r="AA1158" s="2589"/>
      <c r="AB1158" s="2589"/>
      <c r="AC1158" s="2589"/>
    </row>
    <row r="1159" spans="1:29">
      <c r="A1159" s="2589"/>
      <c r="B1159" s="2346"/>
      <c r="C1159" s="2589"/>
      <c r="D1159" s="2589"/>
      <c r="E1159" s="2345"/>
      <c r="F1159" s="2589"/>
      <c r="G1159" s="2346"/>
      <c r="H1159" s="2589"/>
      <c r="I1159" s="2589"/>
      <c r="J1159" s="2589"/>
      <c r="K1159" s="2347"/>
      <c r="L1159" s="2589"/>
      <c r="M1159" s="2589"/>
      <c r="N1159" s="2589"/>
      <c r="O1159" s="2589"/>
      <c r="P1159" s="2346"/>
      <c r="Q1159" s="2589"/>
      <c r="R1159" s="2347"/>
      <c r="S1159" s="2347"/>
      <c r="T1159" s="2348"/>
      <c r="U1159" s="2348"/>
      <c r="V1159" s="2348"/>
      <c r="W1159" s="2347"/>
      <c r="X1159" s="2347"/>
      <c r="Y1159" s="2589"/>
      <c r="Z1159" s="2589"/>
      <c r="AA1159" s="2589"/>
      <c r="AB1159" s="2589"/>
      <c r="AC1159" s="2589"/>
    </row>
    <row r="1160" spans="1:29">
      <c r="A1160" s="2589"/>
      <c r="B1160" s="2346"/>
      <c r="C1160" s="2589"/>
      <c r="D1160" s="2589"/>
      <c r="E1160" s="2345"/>
      <c r="F1160" s="2589"/>
      <c r="G1160" s="2346"/>
      <c r="H1160" s="2589"/>
      <c r="I1160" s="2589"/>
      <c r="J1160" s="2589"/>
      <c r="K1160" s="2347"/>
      <c r="L1160" s="2589"/>
      <c r="M1160" s="2589"/>
      <c r="N1160" s="2589"/>
      <c r="O1160" s="2589"/>
      <c r="P1160" s="2346"/>
      <c r="Q1160" s="2589"/>
      <c r="R1160" s="2347"/>
      <c r="S1160" s="2347"/>
      <c r="T1160" s="2348"/>
      <c r="U1160" s="2348"/>
      <c r="V1160" s="2348"/>
      <c r="W1160" s="2347"/>
      <c r="X1160" s="2347"/>
      <c r="Y1160" s="2589"/>
      <c r="Z1160" s="2589"/>
      <c r="AA1160" s="2589"/>
      <c r="AB1160" s="2589"/>
      <c r="AC1160" s="2589"/>
    </row>
    <row r="1161" spans="1:29">
      <c r="A1161" s="2589"/>
      <c r="B1161" s="2346"/>
      <c r="C1161" s="2589"/>
      <c r="D1161" s="2589"/>
      <c r="E1161" s="2345"/>
      <c r="F1161" s="2589"/>
      <c r="G1161" s="2346"/>
      <c r="H1161" s="2589"/>
      <c r="I1161" s="2589"/>
      <c r="J1161" s="2589"/>
      <c r="K1161" s="2347"/>
      <c r="L1161" s="2589"/>
      <c r="M1161" s="2589"/>
      <c r="N1161" s="2589"/>
      <c r="O1161" s="2589"/>
      <c r="P1161" s="2346"/>
      <c r="Q1161" s="2589"/>
      <c r="R1161" s="2347"/>
      <c r="S1161" s="2347"/>
      <c r="T1161" s="2348"/>
      <c r="U1161" s="2348"/>
      <c r="V1161" s="2348"/>
      <c r="W1161" s="2347"/>
      <c r="X1161" s="2347"/>
      <c r="Y1161" s="2589"/>
      <c r="Z1161" s="2589"/>
      <c r="AA1161" s="2589"/>
      <c r="AB1161" s="2589"/>
      <c r="AC1161" s="2589"/>
    </row>
    <row r="1162" spans="1:29">
      <c r="A1162" s="2589"/>
      <c r="B1162" s="2346"/>
      <c r="C1162" s="2589"/>
      <c r="D1162" s="2589"/>
      <c r="E1162" s="2345"/>
      <c r="F1162" s="2589"/>
      <c r="G1162" s="2346"/>
      <c r="H1162" s="2589"/>
      <c r="I1162" s="2589"/>
      <c r="J1162" s="2589"/>
      <c r="K1162" s="2347"/>
      <c r="L1162" s="2589"/>
      <c r="M1162" s="2589"/>
      <c r="N1162" s="2589"/>
      <c r="O1162" s="2589"/>
      <c r="P1162" s="2346"/>
      <c r="Q1162" s="2589"/>
      <c r="R1162" s="2347"/>
      <c r="S1162" s="2347"/>
      <c r="T1162" s="2348"/>
      <c r="U1162" s="2348"/>
      <c r="V1162" s="2348"/>
      <c r="W1162" s="2347"/>
      <c r="X1162" s="2347"/>
      <c r="Y1162" s="2589"/>
      <c r="Z1162" s="2589"/>
      <c r="AA1162" s="2589"/>
      <c r="AB1162" s="2589"/>
      <c r="AC1162" s="2589"/>
    </row>
    <row r="1163" spans="1:29">
      <c r="A1163" s="2589"/>
      <c r="B1163" s="2346"/>
      <c r="C1163" s="2589"/>
      <c r="D1163" s="2589"/>
      <c r="E1163" s="2345"/>
      <c r="F1163" s="2589"/>
      <c r="G1163" s="2346"/>
      <c r="H1163" s="2589"/>
      <c r="I1163" s="2589"/>
      <c r="J1163" s="2589"/>
      <c r="K1163" s="2347"/>
      <c r="L1163" s="2589"/>
      <c r="M1163" s="2589"/>
      <c r="N1163" s="2589"/>
      <c r="O1163" s="2589"/>
      <c r="P1163" s="2346"/>
      <c r="Q1163" s="2589"/>
      <c r="R1163" s="2347"/>
      <c r="S1163" s="2347"/>
      <c r="T1163" s="2348"/>
      <c r="U1163" s="2348"/>
      <c r="V1163" s="2348"/>
      <c r="W1163" s="2347"/>
      <c r="X1163" s="2347"/>
      <c r="Y1163" s="2589"/>
      <c r="Z1163" s="2589"/>
      <c r="AA1163" s="2589"/>
      <c r="AB1163" s="2589"/>
      <c r="AC1163" s="2589"/>
    </row>
    <row r="1164" spans="1:29">
      <c r="A1164" s="2589"/>
      <c r="B1164" s="2346"/>
      <c r="C1164" s="2589"/>
      <c r="D1164" s="2589"/>
      <c r="E1164" s="2345"/>
      <c r="F1164" s="2589"/>
      <c r="G1164" s="2346"/>
      <c r="H1164" s="2589"/>
      <c r="I1164" s="2589"/>
      <c r="J1164" s="2589"/>
      <c r="K1164" s="2347"/>
      <c r="L1164" s="2589"/>
      <c r="M1164" s="2589"/>
      <c r="N1164" s="2589"/>
      <c r="O1164" s="2589"/>
      <c r="P1164" s="2346"/>
      <c r="Q1164" s="2589"/>
      <c r="R1164" s="2347"/>
      <c r="S1164" s="2347"/>
      <c r="T1164" s="2348"/>
      <c r="U1164" s="2348"/>
      <c r="V1164" s="2348"/>
      <c r="W1164" s="2347"/>
      <c r="X1164" s="2347"/>
      <c r="Y1164" s="2589"/>
      <c r="Z1164" s="2589"/>
      <c r="AA1164" s="2589"/>
      <c r="AB1164" s="2589"/>
      <c r="AC1164" s="2589"/>
    </row>
    <row r="1165" spans="1:29">
      <c r="A1165" s="2589"/>
      <c r="B1165" s="2346"/>
      <c r="C1165" s="2589"/>
      <c r="D1165" s="2589"/>
      <c r="E1165" s="2345"/>
      <c r="F1165" s="2589"/>
      <c r="G1165" s="2346"/>
      <c r="H1165" s="2589"/>
      <c r="I1165" s="2589"/>
      <c r="J1165" s="2589"/>
      <c r="K1165" s="2347"/>
      <c r="L1165" s="2589"/>
      <c r="M1165" s="2589"/>
      <c r="N1165" s="2589"/>
      <c r="O1165" s="2589"/>
      <c r="P1165" s="2346"/>
      <c r="Q1165" s="2589"/>
      <c r="R1165" s="2347"/>
      <c r="S1165" s="2347"/>
      <c r="T1165" s="2348"/>
      <c r="U1165" s="2348"/>
      <c r="V1165" s="2348"/>
      <c r="W1165" s="2347"/>
      <c r="X1165" s="2347"/>
      <c r="Y1165" s="2589"/>
      <c r="Z1165" s="2589"/>
      <c r="AA1165" s="2589"/>
      <c r="AB1165" s="2589"/>
      <c r="AC1165" s="2589"/>
    </row>
    <row r="1166" spans="1:29">
      <c r="A1166" s="2589"/>
      <c r="B1166" s="2346"/>
      <c r="C1166" s="2589"/>
      <c r="D1166" s="2589"/>
      <c r="E1166" s="2345"/>
      <c r="F1166" s="2589"/>
      <c r="G1166" s="2346"/>
      <c r="H1166" s="2589"/>
      <c r="I1166" s="2589"/>
      <c r="J1166" s="2589"/>
      <c r="K1166" s="2347"/>
      <c r="L1166" s="2589"/>
      <c r="M1166" s="2589"/>
      <c r="N1166" s="2589"/>
      <c r="O1166" s="2589"/>
      <c r="P1166" s="2346"/>
      <c r="Q1166" s="2589"/>
      <c r="R1166" s="2347"/>
      <c r="S1166" s="2347"/>
      <c r="T1166" s="2348"/>
      <c r="U1166" s="2348"/>
      <c r="V1166" s="2348"/>
      <c r="W1166" s="2347"/>
      <c r="X1166" s="2347"/>
      <c r="Y1166" s="2589"/>
      <c r="Z1166" s="2589"/>
      <c r="AA1166" s="2589"/>
      <c r="AB1166" s="2589"/>
      <c r="AC1166" s="2589"/>
    </row>
    <row r="1167" spans="1:29">
      <c r="A1167" s="2589"/>
      <c r="B1167" s="2346"/>
      <c r="C1167" s="2589"/>
      <c r="D1167" s="2589"/>
      <c r="E1167" s="2345"/>
      <c r="F1167" s="2589"/>
      <c r="G1167" s="2346"/>
      <c r="H1167" s="2589"/>
      <c r="I1167" s="2589"/>
      <c r="J1167" s="2589"/>
      <c r="K1167" s="2347"/>
      <c r="L1167" s="2589"/>
      <c r="M1167" s="2589"/>
      <c r="N1167" s="2589"/>
      <c r="O1167" s="2589"/>
      <c r="P1167" s="2346"/>
      <c r="Q1167" s="2589"/>
      <c r="R1167" s="2347"/>
      <c r="S1167" s="2347"/>
      <c r="T1167" s="2348"/>
      <c r="U1167" s="2348"/>
      <c r="V1167" s="2348"/>
      <c r="W1167" s="2347"/>
      <c r="X1167" s="2347"/>
      <c r="Y1167" s="2589"/>
      <c r="Z1167" s="2589"/>
      <c r="AA1167" s="2589"/>
      <c r="AB1167" s="2589"/>
      <c r="AC1167" s="2589"/>
    </row>
    <row r="1168" spans="1:29">
      <c r="A1168" s="2589"/>
      <c r="B1168" s="2346"/>
      <c r="C1168" s="2589"/>
      <c r="D1168" s="2589"/>
      <c r="E1168" s="2345"/>
      <c r="F1168" s="2589"/>
      <c r="G1168" s="2346"/>
      <c r="H1168" s="2589"/>
      <c r="I1168" s="2589"/>
      <c r="J1168" s="2589"/>
      <c r="K1168" s="2347"/>
      <c r="L1168" s="2589"/>
      <c r="M1168" s="2589"/>
      <c r="N1168" s="2589"/>
      <c r="O1168" s="2589"/>
      <c r="P1168" s="2346"/>
      <c r="Q1168" s="2589"/>
      <c r="R1168" s="2347"/>
      <c r="S1168" s="2347"/>
      <c r="T1168" s="2348"/>
      <c r="U1168" s="2348"/>
      <c r="V1168" s="2348"/>
      <c r="W1168" s="2347"/>
      <c r="X1168" s="2347"/>
      <c r="Y1168" s="2589"/>
      <c r="Z1168" s="2589"/>
      <c r="AA1168" s="2589"/>
      <c r="AB1168" s="2589"/>
      <c r="AC1168" s="2589"/>
    </row>
    <row r="1169" spans="1:29">
      <c r="A1169" s="2589"/>
      <c r="B1169" s="2346"/>
      <c r="C1169" s="2589"/>
      <c r="D1169" s="2589"/>
      <c r="E1169" s="2345"/>
      <c r="F1169" s="2589"/>
      <c r="G1169" s="2346"/>
      <c r="H1169" s="2589"/>
      <c r="I1169" s="2589"/>
      <c r="J1169" s="2589"/>
      <c r="K1169" s="2347"/>
      <c r="L1169" s="2589"/>
      <c r="M1169" s="2589"/>
      <c r="N1169" s="2589"/>
      <c r="O1169" s="2589"/>
      <c r="P1169" s="2346"/>
      <c r="Q1169" s="2589"/>
      <c r="R1169" s="2347"/>
      <c r="S1169" s="2347"/>
      <c r="T1169" s="2348"/>
      <c r="U1169" s="2348"/>
      <c r="V1169" s="2348"/>
      <c r="W1169" s="2347"/>
      <c r="X1169" s="2347"/>
      <c r="Y1169" s="2589"/>
      <c r="Z1169" s="2589"/>
      <c r="AA1169" s="2589"/>
      <c r="AB1169" s="2589"/>
      <c r="AC1169" s="2589"/>
    </row>
    <row r="1170" spans="1:29">
      <c r="A1170" s="2589"/>
      <c r="B1170" s="2346"/>
      <c r="C1170" s="2589"/>
      <c r="D1170" s="2589"/>
      <c r="E1170" s="2345"/>
      <c r="F1170" s="2589"/>
      <c r="G1170" s="2346"/>
      <c r="H1170" s="2589"/>
      <c r="I1170" s="2589"/>
      <c r="J1170" s="2589"/>
      <c r="K1170" s="2347"/>
      <c r="L1170" s="2589"/>
      <c r="M1170" s="2589"/>
      <c r="N1170" s="2589"/>
      <c r="O1170" s="2589"/>
      <c r="P1170" s="2346"/>
      <c r="Q1170" s="2589"/>
      <c r="R1170" s="2347"/>
      <c r="S1170" s="2347"/>
      <c r="T1170" s="2348"/>
      <c r="U1170" s="2348"/>
      <c r="V1170" s="2348"/>
      <c r="W1170" s="2347"/>
      <c r="X1170" s="2347"/>
      <c r="Y1170" s="2589"/>
      <c r="Z1170" s="2589"/>
      <c r="AA1170" s="2589"/>
      <c r="AB1170" s="2589"/>
      <c r="AC1170" s="2589"/>
    </row>
    <row r="1171" spans="1:29">
      <c r="A1171" s="2589"/>
      <c r="B1171" s="2346"/>
      <c r="C1171" s="2589"/>
      <c r="D1171" s="2589"/>
      <c r="E1171" s="2345"/>
      <c r="F1171" s="2589"/>
      <c r="G1171" s="2346"/>
      <c r="H1171" s="2589"/>
      <c r="I1171" s="2589"/>
      <c r="J1171" s="2589"/>
      <c r="K1171" s="2347"/>
      <c r="L1171" s="2589"/>
      <c r="M1171" s="2589"/>
      <c r="N1171" s="2589"/>
      <c r="O1171" s="2589"/>
      <c r="P1171" s="2346"/>
      <c r="Q1171" s="2589"/>
      <c r="R1171" s="2347"/>
      <c r="S1171" s="2347"/>
      <c r="T1171" s="2348"/>
      <c r="U1171" s="2348"/>
      <c r="V1171" s="2348"/>
      <c r="W1171" s="2347"/>
      <c r="X1171" s="2347"/>
      <c r="Y1171" s="2589"/>
      <c r="Z1171" s="2589"/>
      <c r="AA1171" s="2589"/>
      <c r="AB1171" s="2589"/>
      <c r="AC1171" s="2589"/>
    </row>
    <row r="1172" spans="1:29">
      <c r="A1172" s="2589"/>
      <c r="B1172" s="2346"/>
      <c r="C1172" s="2589"/>
      <c r="D1172" s="2589"/>
      <c r="E1172" s="2345"/>
      <c r="F1172" s="2589"/>
      <c r="G1172" s="2346"/>
      <c r="H1172" s="2589"/>
      <c r="I1172" s="2589"/>
      <c r="J1172" s="2589"/>
      <c r="K1172" s="2347"/>
      <c r="L1172" s="2589"/>
      <c r="M1172" s="2589"/>
      <c r="N1172" s="2589"/>
      <c r="O1172" s="2589"/>
      <c r="P1172" s="2346"/>
      <c r="Q1172" s="2589"/>
      <c r="R1172" s="2347"/>
      <c r="S1172" s="2347"/>
      <c r="T1172" s="2348"/>
      <c r="U1172" s="2348"/>
      <c r="V1172" s="2348"/>
      <c r="W1172" s="2347"/>
      <c r="X1172" s="2347"/>
      <c r="Y1172" s="2589"/>
      <c r="Z1172" s="2589"/>
      <c r="AA1172" s="2589"/>
      <c r="AB1172" s="2589"/>
      <c r="AC1172" s="2589"/>
    </row>
    <row r="1173" spans="1:29">
      <c r="A1173" s="2589"/>
      <c r="B1173" s="2346"/>
      <c r="C1173" s="2589"/>
      <c r="D1173" s="2589"/>
      <c r="E1173" s="2345"/>
      <c r="F1173" s="2589"/>
      <c r="G1173" s="2346"/>
      <c r="H1173" s="2589"/>
      <c r="I1173" s="2589"/>
      <c r="J1173" s="2589"/>
      <c r="K1173" s="2347"/>
      <c r="L1173" s="2589"/>
      <c r="M1173" s="2589"/>
      <c r="N1173" s="2589"/>
      <c r="O1173" s="2589"/>
      <c r="P1173" s="2346"/>
      <c r="Q1173" s="2589"/>
      <c r="R1173" s="2347"/>
      <c r="S1173" s="2347"/>
      <c r="T1173" s="2348"/>
      <c r="U1173" s="2348"/>
      <c r="V1173" s="2348"/>
      <c r="W1173" s="2347"/>
      <c r="X1173" s="2347"/>
      <c r="Y1173" s="2589"/>
      <c r="Z1173" s="2589"/>
      <c r="AA1173" s="2589"/>
      <c r="AB1173" s="2589"/>
      <c r="AC1173" s="2589"/>
    </row>
    <row r="1174" spans="1:29">
      <c r="A1174" s="2589"/>
      <c r="B1174" s="2346"/>
      <c r="C1174" s="2589"/>
      <c r="D1174" s="2589"/>
      <c r="E1174" s="2345"/>
      <c r="F1174" s="2589"/>
      <c r="G1174" s="2346"/>
      <c r="H1174" s="2589"/>
      <c r="I1174" s="2589"/>
      <c r="J1174" s="2589"/>
      <c r="K1174" s="2347"/>
      <c r="L1174" s="2589"/>
      <c r="M1174" s="2589"/>
      <c r="N1174" s="2589"/>
      <c r="O1174" s="2589"/>
      <c r="P1174" s="2346"/>
      <c r="Q1174" s="2589"/>
      <c r="R1174" s="2347"/>
      <c r="S1174" s="2347"/>
      <c r="T1174" s="2348"/>
      <c r="U1174" s="2348"/>
      <c r="V1174" s="2348"/>
      <c r="W1174" s="2347"/>
      <c r="X1174" s="2347"/>
      <c r="Y1174" s="2589"/>
      <c r="Z1174" s="2589"/>
      <c r="AA1174" s="2589"/>
      <c r="AB1174" s="2589"/>
      <c r="AC1174" s="2589"/>
    </row>
    <row r="1175" spans="1:29">
      <c r="A1175" s="2589"/>
      <c r="B1175" s="2346"/>
      <c r="C1175" s="2589"/>
      <c r="D1175" s="2589"/>
      <c r="E1175" s="2345"/>
      <c r="F1175" s="2589"/>
      <c r="G1175" s="2346"/>
      <c r="H1175" s="2589"/>
      <c r="I1175" s="2589"/>
      <c r="J1175" s="2589"/>
      <c r="K1175" s="2347"/>
      <c r="L1175" s="2589"/>
      <c r="M1175" s="2589"/>
      <c r="N1175" s="2589"/>
      <c r="O1175" s="2589"/>
      <c r="P1175" s="2346"/>
      <c r="Q1175" s="2589"/>
      <c r="R1175" s="2347"/>
      <c r="S1175" s="2347"/>
      <c r="T1175" s="2348"/>
      <c r="U1175" s="2348"/>
      <c r="V1175" s="2348"/>
      <c r="W1175" s="2347"/>
      <c r="X1175" s="2347"/>
      <c r="Y1175" s="2589"/>
      <c r="Z1175" s="2589"/>
      <c r="AA1175" s="2589"/>
      <c r="AB1175" s="2589"/>
      <c r="AC1175" s="2589"/>
    </row>
    <row r="1176" spans="1:29">
      <c r="A1176" s="2589"/>
      <c r="B1176" s="2346"/>
      <c r="C1176" s="2589"/>
      <c r="D1176" s="2589"/>
      <c r="E1176" s="2345"/>
      <c r="F1176" s="2589"/>
      <c r="G1176" s="2346"/>
      <c r="H1176" s="2589"/>
      <c r="I1176" s="2589"/>
      <c r="J1176" s="2589"/>
      <c r="K1176" s="2347"/>
      <c r="L1176" s="2589"/>
      <c r="M1176" s="2589"/>
      <c r="N1176" s="2589"/>
      <c r="O1176" s="2589"/>
      <c r="P1176" s="2346"/>
      <c r="Q1176" s="2589"/>
      <c r="R1176" s="2347"/>
      <c r="S1176" s="2347"/>
      <c r="T1176" s="2348"/>
      <c r="U1176" s="2348"/>
      <c r="V1176" s="2348"/>
      <c r="W1176" s="2347"/>
      <c r="X1176" s="2347"/>
      <c r="Y1176" s="2589"/>
      <c r="Z1176" s="2589"/>
      <c r="AA1176" s="2589"/>
      <c r="AB1176" s="2589"/>
      <c r="AC1176" s="2589"/>
    </row>
    <row r="1177" spans="1:29">
      <c r="A1177" s="2589"/>
      <c r="B1177" s="2346"/>
      <c r="C1177" s="2589"/>
      <c r="D1177" s="2589"/>
      <c r="E1177" s="2345"/>
      <c r="F1177" s="2589"/>
      <c r="G1177" s="2346"/>
      <c r="H1177" s="2589"/>
      <c r="I1177" s="2589"/>
      <c r="J1177" s="2589"/>
      <c r="K1177" s="2347"/>
      <c r="L1177" s="2589"/>
      <c r="M1177" s="2589"/>
      <c r="N1177" s="2589"/>
      <c r="O1177" s="2589"/>
      <c r="P1177" s="2346"/>
      <c r="Q1177" s="2589"/>
      <c r="R1177" s="2347"/>
      <c r="S1177" s="2347"/>
      <c r="T1177" s="2348"/>
      <c r="U1177" s="2348"/>
      <c r="V1177" s="2348"/>
      <c r="W1177" s="2347"/>
      <c r="X1177" s="2347"/>
      <c r="Y1177" s="2589"/>
      <c r="Z1177" s="2589"/>
      <c r="AA1177" s="2589"/>
      <c r="AB1177" s="2589"/>
      <c r="AC1177" s="2589"/>
    </row>
    <row r="1178" spans="1:29">
      <c r="A1178" s="2589"/>
      <c r="B1178" s="2346"/>
      <c r="C1178" s="2589"/>
      <c r="D1178" s="2589"/>
      <c r="E1178" s="2345"/>
      <c r="F1178" s="2589"/>
      <c r="G1178" s="2346"/>
      <c r="H1178" s="2589"/>
      <c r="I1178" s="2589"/>
      <c r="J1178" s="2589"/>
      <c r="K1178" s="2347"/>
      <c r="L1178" s="2589"/>
      <c r="M1178" s="2589"/>
      <c r="N1178" s="2589"/>
      <c r="O1178" s="2589"/>
      <c r="P1178" s="2346"/>
      <c r="Q1178" s="2589"/>
      <c r="R1178" s="2347"/>
      <c r="S1178" s="2347"/>
      <c r="T1178" s="2348"/>
      <c r="U1178" s="2348"/>
      <c r="V1178" s="2348"/>
      <c r="W1178" s="2347"/>
      <c r="X1178" s="2347"/>
      <c r="Y1178" s="2589"/>
      <c r="Z1178" s="2589"/>
      <c r="AA1178" s="2589"/>
      <c r="AB1178" s="2589"/>
      <c r="AC1178" s="2589"/>
    </row>
    <row r="1179" spans="1:29">
      <c r="A1179" s="2589"/>
      <c r="B1179" s="2346"/>
      <c r="C1179" s="2589"/>
      <c r="D1179" s="2589"/>
      <c r="E1179" s="2345"/>
      <c r="F1179" s="2589"/>
      <c r="G1179" s="2346"/>
      <c r="H1179" s="2589"/>
      <c r="I1179" s="2589"/>
      <c r="J1179" s="2589"/>
      <c r="K1179" s="2347"/>
      <c r="L1179" s="2589"/>
      <c r="M1179" s="2589"/>
      <c r="N1179" s="2589"/>
      <c r="O1179" s="2589"/>
      <c r="P1179" s="2346"/>
      <c r="Q1179" s="2589"/>
      <c r="R1179" s="2347"/>
      <c r="S1179" s="2347"/>
      <c r="T1179" s="2348"/>
      <c r="U1179" s="2348"/>
      <c r="V1179" s="2348"/>
      <c r="W1179" s="2347"/>
      <c r="X1179" s="2347"/>
      <c r="Y1179" s="2589"/>
      <c r="Z1179" s="2589"/>
      <c r="AA1179" s="2589"/>
      <c r="AB1179" s="2589"/>
      <c r="AC1179" s="2589"/>
    </row>
    <row r="1180" spans="1:29">
      <c r="A1180" s="2589"/>
      <c r="B1180" s="2346"/>
      <c r="C1180" s="2589"/>
      <c r="D1180" s="2589"/>
      <c r="E1180" s="2345"/>
      <c r="F1180" s="2589"/>
      <c r="G1180" s="2346"/>
      <c r="H1180" s="2589"/>
      <c r="I1180" s="2589"/>
      <c r="J1180" s="2589"/>
      <c r="K1180" s="2347"/>
      <c r="L1180" s="2589"/>
      <c r="M1180" s="2589"/>
      <c r="N1180" s="2589"/>
      <c r="O1180" s="2589"/>
      <c r="P1180" s="2346"/>
      <c r="Q1180" s="2589"/>
      <c r="R1180" s="2347"/>
      <c r="S1180" s="2347"/>
      <c r="T1180" s="2348"/>
      <c r="U1180" s="2348"/>
      <c r="V1180" s="2348"/>
      <c r="W1180" s="2347"/>
      <c r="X1180" s="2347"/>
      <c r="Y1180" s="2589"/>
      <c r="Z1180" s="2589"/>
      <c r="AA1180" s="2589"/>
      <c r="AB1180" s="2589"/>
      <c r="AC1180" s="2589"/>
    </row>
    <row r="1181" spans="1:29">
      <c r="A1181" s="2589"/>
      <c r="B1181" s="2346"/>
      <c r="C1181" s="2589"/>
      <c r="D1181" s="2589"/>
      <c r="E1181" s="2345"/>
      <c r="F1181" s="2589"/>
      <c r="G1181" s="2346"/>
      <c r="H1181" s="2589"/>
      <c r="I1181" s="2589"/>
      <c r="J1181" s="2589"/>
      <c r="K1181" s="2347"/>
      <c r="L1181" s="2589"/>
      <c r="M1181" s="2589"/>
      <c r="N1181" s="2589"/>
      <c r="O1181" s="2589"/>
      <c r="P1181" s="2346"/>
      <c r="Q1181" s="2589"/>
      <c r="R1181" s="2347"/>
      <c r="S1181" s="2347"/>
      <c r="T1181" s="2348"/>
      <c r="U1181" s="2348"/>
      <c r="V1181" s="2348"/>
      <c r="W1181" s="2347"/>
      <c r="X1181" s="2347"/>
      <c r="Y1181" s="2589"/>
      <c r="Z1181" s="2589"/>
      <c r="AA1181" s="2589"/>
      <c r="AB1181" s="2589"/>
      <c r="AC1181" s="2589"/>
    </row>
    <row r="1182" spans="1:29">
      <c r="A1182" s="2589"/>
      <c r="B1182" s="2346"/>
      <c r="C1182" s="2589"/>
      <c r="D1182" s="2589"/>
      <c r="E1182" s="2345"/>
      <c r="F1182" s="2589"/>
      <c r="G1182" s="2346"/>
      <c r="H1182" s="2589"/>
      <c r="I1182" s="2589"/>
      <c r="J1182" s="2589"/>
      <c r="K1182" s="2347"/>
      <c r="L1182" s="2589"/>
      <c r="M1182" s="2589"/>
      <c r="N1182" s="2589"/>
      <c r="O1182" s="2589"/>
      <c r="P1182" s="2346"/>
      <c r="Q1182" s="2589"/>
      <c r="R1182" s="2347"/>
      <c r="S1182" s="2347"/>
      <c r="T1182" s="2348"/>
      <c r="U1182" s="2348"/>
      <c r="V1182" s="2348"/>
      <c r="W1182" s="2347"/>
      <c r="X1182" s="2347"/>
      <c r="Y1182" s="2589"/>
      <c r="Z1182" s="2589"/>
      <c r="AA1182" s="2589"/>
      <c r="AB1182" s="2589"/>
      <c r="AC1182" s="2589"/>
    </row>
    <row r="1183" spans="1:29">
      <c r="A1183" s="2589"/>
      <c r="B1183" s="2346"/>
      <c r="C1183" s="2589"/>
      <c r="D1183" s="2589"/>
      <c r="E1183" s="2345"/>
      <c r="F1183" s="2589"/>
      <c r="G1183" s="2346"/>
      <c r="H1183" s="2589"/>
      <c r="I1183" s="2589"/>
      <c r="J1183" s="2589"/>
      <c r="K1183" s="2347"/>
      <c r="L1183" s="2589"/>
      <c r="M1183" s="2589"/>
      <c r="N1183" s="2589"/>
      <c r="O1183" s="2589"/>
      <c r="P1183" s="2346"/>
      <c r="Q1183" s="2589"/>
      <c r="R1183" s="2347"/>
      <c r="S1183" s="2347"/>
      <c r="T1183" s="2348"/>
      <c r="U1183" s="2348"/>
      <c r="V1183" s="2348"/>
      <c r="W1183" s="2347"/>
      <c r="X1183" s="2347"/>
      <c r="Y1183" s="2589"/>
      <c r="Z1183" s="2589"/>
      <c r="AA1183" s="2589"/>
      <c r="AB1183" s="2589"/>
      <c r="AC1183" s="2589"/>
    </row>
    <row r="1184" spans="1:29">
      <c r="A1184" s="2589"/>
      <c r="B1184" s="2346"/>
      <c r="C1184" s="2589"/>
      <c r="D1184" s="2589"/>
      <c r="E1184" s="2345"/>
      <c r="F1184" s="2589"/>
      <c r="G1184" s="2346"/>
      <c r="H1184" s="2589"/>
      <c r="I1184" s="2589"/>
      <c r="J1184" s="2589"/>
      <c r="K1184" s="2347"/>
      <c r="L1184" s="2589"/>
      <c r="M1184" s="2589"/>
      <c r="N1184" s="2589"/>
      <c r="O1184" s="2589"/>
      <c r="P1184" s="2346"/>
      <c r="Q1184" s="2589"/>
      <c r="R1184" s="2347"/>
      <c r="S1184" s="2347"/>
      <c r="T1184" s="2348"/>
      <c r="U1184" s="2348"/>
      <c r="V1184" s="2348"/>
      <c r="W1184" s="2347"/>
      <c r="X1184" s="2347"/>
      <c r="Y1184" s="2589"/>
      <c r="Z1184" s="2589"/>
      <c r="AA1184" s="2589"/>
      <c r="AB1184" s="2589"/>
      <c r="AC1184" s="2589"/>
    </row>
    <row r="1185" spans="1:29">
      <c r="A1185" s="2589"/>
      <c r="B1185" s="2346"/>
      <c r="C1185" s="2589"/>
      <c r="D1185" s="2589"/>
      <c r="E1185" s="2345"/>
      <c r="F1185" s="2589"/>
      <c r="G1185" s="2346"/>
      <c r="H1185" s="2589"/>
      <c r="I1185" s="2589"/>
      <c r="J1185" s="2589"/>
      <c r="K1185" s="2347"/>
      <c r="L1185" s="2589"/>
      <c r="M1185" s="2589"/>
      <c r="N1185" s="2589"/>
      <c r="O1185" s="2589"/>
      <c r="P1185" s="2346"/>
      <c r="Q1185" s="2589"/>
      <c r="R1185" s="2347"/>
      <c r="S1185" s="2347"/>
      <c r="T1185" s="2348"/>
      <c r="U1185" s="2348"/>
      <c r="V1185" s="2348"/>
      <c r="W1185" s="2347"/>
      <c r="X1185" s="2347"/>
      <c r="Y1185" s="2589"/>
      <c r="Z1185" s="2589"/>
      <c r="AA1185" s="2589"/>
      <c r="AB1185" s="2589"/>
      <c r="AC1185" s="2589"/>
    </row>
    <row r="1186" spans="1:29">
      <c r="A1186" s="2589"/>
      <c r="B1186" s="2346"/>
      <c r="C1186" s="2589"/>
      <c r="D1186" s="2589"/>
      <c r="E1186" s="2345"/>
      <c r="F1186" s="2589"/>
      <c r="G1186" s="2346"/>
      <c r="H1186" s="2589"/>
      <c r="I1186" s="2589"/>
      <c r="J1186" s="2589"/>
      <c r="K1186" s="2347"/>
      <c r="L1186" s="2589"/>
      <c r="M1186" s="2589"/>
      <c r="N1186" s="2589"/>
      <c r="O1186" s="2589"/>
      <c r="P1186" s="2346"/>
      <c r="Q1186" s="2589"/>
      <c r="R1186" s="2347"/>
      <c r="S1186" s="2347"/>
      <c r="T1186" s="2348"/>
      <c r="U1186" s="2348"/>
      <c r="V1186" s="2348"/>
      <c r="W1186" s="2347"/>
      <c r="X1186" s="2347"/>
      <c r="Y1186" s="2589"/>
      <c r="Z1186" s="2589"/>
      <c r="AA1186" s="2589"/>
      <c r="AB1186" s="2589"/>
      <c r="AC1186" s="2589"/>
    </row>
    <row r="1187" spans="1:29">
      <c r="A1187" s="2589"/>
      <c r="B1187" s="2346"/>
      <c r="C1187" s="2589"/>
      <c r="D1187" s="2589"/>
      <c r="E1187" s="2345"/>
      <c r="F1187" s="2589"/>
      <c r="G1187" s="2346"/>
      <c r="H1187" s="2589"/>
      <c r="I1187" s="2589"/>
      <c r="J1187" s="2589"/>
      <c r="K1187" s="2347"/>
      <c r="L1187" s="2589"/>
      <c r="M1187" s="2589"/>
      <c r="N1187" s="2589"/>
      <c r="O1187" s="2589"/>
      <c r="P1187" s="2346"/>
      <c r="Q1187" s="2589"/>
      <c r="R1187" s="2347"/>
      <c r="S1187" s="2347"/>
      <c r="T1187" s="2348"/>
      <c r="U1187" s="2348"/>
      <c r="V1187" s="2348"/>
      <c r="W1187" s="2347"/>
      <c r="X1187" s="2347"/>
      <c r="Y1187" s="2589"/>
      <c r="Z1187" s="2589"/>
      <c r="AA1187" s="2589"/>
      <c r="AB1187" s="2589"/>
      <c r="AC1187" s="2589"/>
    </row>
    <row r="1188" spans="1:29">
      <c r="A1188" s="2589"/>
      <c r="B1188" s="2346"/>
      <c r="C1188" s="2589"/>
      <c r="D1188" s="2589"/>
      <c r="E1188" s="2345"/>
      <c r="F1188" s="2589"/>
      <c r="G1188" s="2346"/>
      <c r="H1188" s="2589"/>
      <c r="I1188" s="2589"/>
      <c r="J1188" s="2589"/>
      <c r="K1188" s="2347"/>
      <c r="L1188" s="2589"/>
      <c r="M1188" s="2589"/>
      <c r="N1188" s="2589"/>
      <c r="O1188" s="2589"/>
      <c r="P1188" s="2346"/>
      <c r="Q1188" s="2589"/>
      <c r="R1188" s="2347"/>
      <c r="S1188" s="2347"/>
      <c r="T1188" s="2348"/>
      <c r="U1188" s="2348"/>
      <c r="V1188" s="2348"/>
      <c r="W1188" s="2347"/>
      <c r="X1188" s="2347"/>
      <c r="Y1188" s="2589"/>
      <c r="Z1188" s="2589"/>
      <c r="AA1188" s="2589"/>
      <c r="AB1188" s="2589"/>
      <c r="AC1188" s="2589"/>
    </row>
    <row r="1189" spans="1:29">
      <c r="A1189" s="2589"/>
      <c r="B1189" s="2346"/>
      <c r="C1189" s="2589"/>
      <c r="D1189" s="2589"/>
      <c r="E1189" s="2345"/>
      <c r="F1189" s="2589"/>
      <c r="G1189" s="2346"/>
      <c r="H1189" s="2589"/>
      <c r="I1189" s="2589"/>
      <c r="J1189" s="2589"/>
      <c r="K1189" s="2347"/>
      <c r="L1189" s="2589"/>
      <c r="M1189" s="2589"/>
      <c r="N1189" s="2589"/>
      <c r="O1189" s="2589"/>
      <c r="P1189" s="2346"/>
      <c r="Q1189" s="2589"/>
      <c r="R1189" s="2347"/>
      <c r="S1189" s="2347"/>
      <c r="T1189" s="2348"/>
      <c r="U1189" s="2348"/>
      <c r="V1189" s="2348"/>
      <c r="W1189" s="2347"/>
      <c r="X1189" s="2347"/>
      <c r="Y1189" s="2589"/>
      <c r="Z1189" s="2589"/>
      <c r="AA1189" s="2589"/>
      <c r="AB1189" s="2589"/>
      <c r="AC1189" s="2589"/>
    </row>
    <row r="1190" spans="1:29">
      <c r="A1190" s="2589"/>
      <c r="B1190" s="2346"/>
      <c r="C1190" s="2589"/>
      <c r="D1190" s="2589"/>
      <c r="E1190" s="2345"/>
      <c r="F1190" s="2589"/>
      <c r="G1190" s="2346"/>
      <c r="H1190" s="2589"/>
      <c r="I1190" s="2589"/>
      <c r="J1190" s="2589"/>
      <c r="K1190" s="2347"/>
      <c r="L1190" s="2589"/>
      <c r="M1190" s="2589"/>
      <c r="N1190" s="2589"/>
      <c r="O1190" s="2589"/>
      <c r="P1190" s="2346"/>
      <c r="Q1190" s="2589"/>
      <c r="R1190" s="2347"/>
      <c r="S1190" s="2347"/>
      <c r="T1190" s="2348"/>
      <c r="U1190" s="2348"/>
      <c r="V1190" s="2348"/>
      <c r="W1190" s="2347"/>
      <c r="X1190" s="2347"/>
      <c r="Y1190" s="2589"/>
      <c r="Z1190" s="2589"/>
      <c r="AA1190" s="2589"/>
      <c r="AB1190" s="2589"/>
      <c r="AC1190" s="2589"/>
    </row>
    <row r="1191" spans="1:29">
      <c r="A1191" s="2589"/>
      <c r="B1191" s="2346"/>
      <c r="C1191" s="2589"/>
      <c r="D1191" s="2589"/>
      <c r="E1191" s="2345"/>
      <c r="F1191" s="2589"/>
      <c r="G1191" s="2346"/>
      <c r="H1191" s="2589"/>
      <c r="I1191" s="2589"/>
      <c r="J1191" s="2589"/>
      <c r="K1191" s="2347"/>
      <c r="L1191" s="2589"/>
      <c r="M1191" s="2589"/>
      <c r="N1191" s="2589"/>
      <c r="O1191" s="2589"/>
      <c r="P1191" s="2346"/>
      <c r="Q1191" s="2589"/>
      <c r="R1191" s="2347"/>
      <c r="S1191" s="2347"/>
      <c r="T1191" s="2348"/>
      <c r="U1191" s="2348"/>
      <c r="V1191" s="2348"/>
      <c r="W1191" s="2347"/>
      <c r="X1191" s="2347"/>
      <c r="Y1191" s="2589"/>
      <c r="Z1191" s="2589"/>
      <c r="AA1191" s="2589"/>
      <c r="AB1191" s="2589"/>
      <c r="AC1191" s="2589"/>
    </row>
    <row r="1192" spans="1:29">
      <c r="A1192" s="2589"/>
      <c r="B1192" s="2346"/>
      <c r="C1192" s="2589"/>
      <c r="D1192" s="2589"/>
      <c r="E1192" s="2345"/>
      <c r="F1192" s="2589"/>
      <c r="G1192" s="2346"/>
      <c r="H1192" s="2589"/>
      <c r="I1192" s="2589"/>
      <c r="J1192" s="2589"/>
      <c r="K1192" s="2347"/>
      <c r="L1192" s="2589"/>
      <c r="M1192" s="2589"/>
      <c r="N1192" s="2589"/>
      <c r="O1192" s="2589"/>
      <c r="P1192" s="2346"/>
      <c r="Q1192" s="2589"/>
      <c r="R1192" s="2347"/>
      <c r="S1192" s="2347"/>
      <c r="T1192" s="2348"/>
      <c r="U1192" s="2348"/>
      <c r="V1192" s="2348"/>
      <c r="W1192" s="2347"/>
      <c r="X1192" s="2347"/>
      <c r="Y1192" s="2589"/>
      <c r="Z1192" s="2589"/>
      <c r="AA1192" s="2589"/>
      <c r="AB1192" s="2589"/>
      <c r="AC1192" s="2589"/>
    </row>
    <row r="1193" spans="1:29">
      <c r="A1193" s="2589"/>
      <c r="B1193" s="2346"/>
      <c r="C1193" s="2589"/>
      <c r="D1193" s="2589"/>
      <c r="E1193" s="2345"/>
      <c r="F1193" s="2589"/>
      <c r="G1193" s="2346"/>
      <c r="H1193" s="2589"/>
      <c r="I1193" s="2589"/>
      <c r="J1193" s="2589"/>
      <c r="K1193" s="2347"/>
      <c r="L1193" s="2589"/>
      <c r="M1193" s="2589"/>
      <c r="N1193" s="2589"/>
      <c r="O1193" s="2589"/>
      <c r="P1193" s="2346"/>
      <c r="Q1193" s="2589"/>
      <c r="R1193" s="2347"/>
      <c r="S1193" s="2347"/>
      <c r="T1193" s="2348"/>
      <c r="U1193" s="2348"/>
      <c r="V1193" s="2348"/>
      <c r="W1193" s="2347"/>
      <c r="X1193" s="2347"/>
      <c r="Y1193" s="2589"/>
      <c r="Z1193" s="2589"/>
      <c r="AA1193" s="2589"/>
      <c r="AB1193" s="2589"/>
      <c r="AC1193" s="2589"/>
    </row>
    <row r="1194" spans="1:29">
      <c r="A1194" s="2589"/>
      <c r="B1194" s="2346"/>
      <c r="C1194" s="2589"/>
      <c r="D1194" s="2589"/>
      <c r="E1194" s="2345"/>
      <c r="F1194" s="2589"/>
      <c r="G1194" s="2346"/>
      <c r="H1194" s="2589"/>
      <c r="I1194" s="2589"/>
      <c r="J1194" s="2589"/>
      <c r="K1194" s="2347"/>
      <c r="L1194" s="2589"/>
      <c r="M1194" s="2589"/>
      <c r="N1194" s="2589"/>
      <c r="O1194" s="2589"/>
      <c r="P1194" s="2346"/>
      <c r="Q1194" s="2589"/>
      <c r="R1194" s="2347"/>
      <c r="S1194" s="2347"/>
      <c r="T1194" s="2348"/>
      <c r="U1194" s="2348"/>
      <c r="V1194" s="2348"/>
      <c r="W1194" s="2347"/>
      <c r="X1194" s="2347"/>
      <c r="Y1194" s="2589"/>
      <c r="Z1194" s="2589"/>
      <c r="AA1194" s="2589"/>
      <c r="AB1194" s="2589"/>
      <c r="AC1194" s="2589"/>
    </row>
    <row r="1195" spans="1:29">
      <c r="A1195" s="2589"/>
      <c r="B1195" s="2346"/>
      <c r="C1195" s="2589"/>
      <c r="D1195" s="2589"/>
      <c r="E1195" s="2345"/>
      <c r="F1195" s="2589"/>
      <c r="G1195" s="2346"/>
      <c r="H1195" s="2589"/>
      <c r="I1195" s="2589"/>
      <c r="J1195" s="2589"/>
      <c r="K1195" s="2347"/>
      <c r="L1195" s="2589"/>
      <c r="M1195" s="2589"/>
      <c r="N1195" s="2589"/>
      <c r="O1195" s="2589"/>
      <c r="P1195" s="2346"/>
      <c r="Q1195" s="2589"/>
      <c r="R1195" s="2347"/>
      <c r="S1195" s="2347"/>
      <c r="T1195" s="2348"/>
      <c r="U1195" s="2348"/>
      <c r="V1195" s="2348"/>
      <c r="W1195" s="2347"/>
      <c r="X1195" s="2347"/>
      <c r="Y1195" s="2589"/>
      <c r="Z1195" s="2589"/>
      <c r="AA1195" s="2589"/>
      <c r="AB1195" s="2589"/>
      <c r="AC1195" s="2589"/>
    </row>
    <row r="1196" spans="1:29">
      <c r="A1196" s="2589"/>
      <c r="B1196" s="2346"/>
      <c r="C1196" s="2589"/>
      <c r="D1196" s="2589"/>
      <c r="E1196" s="2345"/>
      <c r="F1196" s="2589"/>
      <c r="G1196" s="2346"/>
      <c r="H1196" s="2589"/>
      <c r="I1196" s="2589"/>
      <c r="J1196" s="2589"/>
      <c r="K1196" s="2347"/>
      <c r="L1196" s="2589"/>
      <c r="M1196" s="2589"/>
      <c r="N1196" s="2589"/>
      <c r="O1196" s="2589"/>
      <c r="P1196" s="2346"/>
      <c r="Q1196" s="2589"/>
      <c r="R1196" s="2347"/>
      <c r="S1196" s="2347"/>
      <c r="T1196" s="2348"/>
      <c r="U1196" s="2348"/>
      <c r="V1196" s="2348"/>
      <c r="W1196" s="2347"/>
      <c r="X1196" s="2347"/>
      <c r="Y1196" s="2589"/>
      <c r="Z1196" s="2589"/>
      <c r="AA1196" s="2589"/>
      <c r="AB1196" s="2589"/>
      <c r="AC1196" s="2589"/>
    </row>
    <row r="1197" spans="1:29">
      <c r="A1197" s="2589"/>
      <c r="B1197" s="2346"/>
      <c r="C1197" s="2589"/>
      <c r="D1197" s="2589"/>
      <c r="E1197" s="2345"/>
      <c r="F1197" s="2589"/>
      <c r="G1197" s="2346"/>
      <c r="H1197" s="2589"/>
      <c r="I1197" s="2589"/>
      <c r="J1197" s="2589"/>
      <c r="K1197" s="2347"/>
      <c r="L1197" s="2589"/>
      <c r="M1197" s="2589"/>
      <c r="N1197" s="2589"/>
      <c r="O1197" s="2589"/>
      <c r="P1197" s="2346"/>
      <c r="Q1197" s="2589"/>
      <c r="R1197" s="2347"/>
      <c r="S1197" s="2347"/>
      <c r="T1197" s="2348"/>
      <c r="U1197" s="2348"/>
      <c r="V1197" s="2348"/>
      <c r="W1197" s="2347"/>
      <c r="X1197" s="2347"/>
      <c r="Y1197" s="2589"/>
      <c r="Z1197" s="2589"/>
      <c r="AA1197" s="2589"/>
      <c r="AB1197" s="2589"/>
      <c r="AC1197" s="2589"/>
    </row>
    <row r="1198" spans="1:29">
      <c r="A1198" s="2589"/>
      <c r="B1198" s="2346"/>
      <c r="C1198" s="2589"/>
      <c r="D1198" s="2589"/>
      <c r="E1198" s="2345"/>
      <c r="F1198" s="2589"/>
      <c r="G1198" s="2346"/>
      <c r="H1198" s="2589"/>
      <c r="I1198" s="2589"/>
      <c r="J1198" s="2589"/>
      <c r="K1198" s="2347"/>
      <c r="L1198" s="2589"/>
      <c r="M1198" s="2589"/>
      <c r="N1198" s="2589"/>
      <c r="O1198" s="2589"/>
      <c r="P1198" s="2346"/>
      <c r="Q1198" s="2589"/>
      <c r="R1198" s="2347"/>
      <c r="S1198" s="2347"/>
      <c r="T1198" s="2348"/>
      <c r="U1198" s="2348"/>
      <c r="V1198" s="2348"/>
      <c r="W1198" s="2347"/>
      <c r="X1198" s="2347"/>
      <c r="Y1198" s="2589"/>
      <c r="Z1198" s="2589"/>
      <c r="AA1198" s="2589"/>
      <c r="AB1198" s="2589"/>
      <c r="AC1198" s="2589"/>
    </row>
    <row r="1199" spans="1:29">
      <c r="A1199" s="2589"/>
      <c r="B1199" s="2346"/>
      <c r="C1199" s="2589"/>
      <c r="D1199" s="2589"/>
      <c r="E1199" s="2345"/>
      <c r="F1199" s="2589"/>
      <c r="G1199" s="2346"/>
      <c r="H1199" s="2589"/>
      <c r="I1199" s="2589"/>
      <c r="J1199" s="2589"/>
      <c r="K1199" s="2347"/>
      <c r="L1199" s="2589"/>
      <c r="M1199" s="2589"/>
      <c r="N1199" s="2589"/>
      <c r="O1199" s="2589"/>
      <c r="P1199" s="2346"/>
      <c r="Q1199" s="2589"/>
      <c r="R1199" s="2347"/>
      <c r="S1199" s="2347"/>
      <c r="T1199" s="2348"/>
      <c r="U1199" s="2348"/>
      <c r="V1199" s="2348"/>
      <c r="W1199" s="2347"/>
      <c r="X1199" s="2347"/>
      <c r="Y1199" s="2589"/>
      <c r="Z1199" s="2589"/>
      <c r="AA1199" s="2589"/>
      <c r="AB1199" s="2589"/>
      <c r="AC1199" s="2589"/>
    </row>
    <row r="1200" spans="1:29">
      <c r="A1200" s="2589"/>
      <c r="B1200" s="2346"/>
      <c r="C1200" s="2589"/>
      <c r="D1200" s="2589"/>
      <c r="E1200" s="2345"/>
      <c r="F1200" s="2589"/>
      <c r="G1200" s="2346"/>
      <c r="H1200" s="2589"/>
      <c r="I1200" s="2589"/>
      <c r="J1200" s="2589"/>
      <c r="K1200" s="2347"/>
      <c r="L1200" s="2589"/>
      <c r="M1200" s="2589"/>
      <c r="N1200" s="2589"/>
      <c r="O1200" s="2589"/>
      <c r="P1200" s="2346"/>
      <c r="Q1200" s="2589"/>
      <c r="R1200" s="2347"/>
      <c r="S1200" s="2347"/>
      <c r="T1200" s="2348"/>
      <c r="U1200" s="2348"/>
      <c r="V1200" s="2348"/>
      <c r="W1200" s="2347"/>
      <c r="X1200" s="2347"/>
      <c r="Y1200" s="2589"/>
      <c r="Z1200" s="2589"/>
      <c r="AA1200" s="2589"/>
      <c r="AB1200" s="2589"/>
      <c r="AC1200" s="2589"/>
    </row>
    <row r="1201" spans="1:29">
      <c r="A1201" s="2589"/>
      <c r="B1201" s="2346"/>
      <c r="C1201" s="2589"/>
      <c r="D1201" s="2589"/>
      <c r="E1201" s="2345"/>
      <c r="F1201" s="2589"/>
      <c r="G1201" s="2346"/>
      <c r="H1201" s="2589"/>
      <c r="I1201" s="2589"/>
      <c r="J1201" s="2589"/>
      <c r="K1201" s="2347"/>
      <c r="L1201" s="2589"/>
      <c r="M1201" s="2589"/>
      <c r="N1201" s="2589"/>
      <c r="O1201" s="2589"/>
      <c r="P1201" s="2346"/>
      <c r="Q1201" s="2589"/>
      <c r="R1201" s="2347"/>
      <c r="S1201" s="2347"/>
      <c r="T1201" s="2348"/>
      <c r="U1201" s="2348"/>
      <c r="V1201" s="2348"/>
      <c r="W1201" s="2347"/>
      <c r="X1201" s="2347"/>
      <c r="Y1201" s="2589"/>
      <c r="Z1201" s="2589"/>
      <c r="AA1201" s="2589"/>
      <c r="AB1201" s="2589"/>
      <c r="AC1201" s="2589"/>
    </row>
    <row r="1202" spans="1:29">
      <c r="A1202" s="2589"/>
      <c r="B1202" s="2346"/>
      <c r="C1202" s="2589"/>
      <c r="D1202" s="2589"/>
      <c r="E1202" s="2345"/>
      <c r="F1202" s="2589"/>
      <c r="G1202" s="2346"/>
      <c r="H1202" s="2589"/>
      <c r="I1202" s="2589"/>
      <c r="J1202" s="2589"/>
      <c r="K1202" s="2347"/>
      <c r="L1202" s="2589"/>
      <c r="M1202" s="2589"/>
      <c r="N1202" s="2589"/>
      <c r="O1202" s="2589"/>
      <c r="P1202" s="2346"/>
      <c r="Q1202" s="2589"/>
      <c r="R1202" s="2347"/>
      <c r="S1202" s="2347"/>
      <c r="T1202" s="2348"/>
      <c r="U1202" s="2348"/>
      <c r="V1202" s="2348"/>
      <c r="W1202" s="2347"/>
      <c r="X1202" s="2347"/>
      <c r="Y1202" s="2589"/>
      <c r="Z1202" s="2589"/>
      <c r="AA1202" s="2589"/>
      <c r="AB1202" s="2589"/>
      <c r="AC1202" s="2589"/>
    </row>
    <row r="1203" spans="1:29">
      <c r="A1203" s="2589"/>
      <c r="B1203" s="2346"/>
      <c r="C1203" s="2589"/>
      <c r="D1203" s="2589"/>
      <c r="E1203" s="2345"/>
      <c r="F1203" s="2589"/>
      <c r="G1203" s="2346"/>
      <c r="H1203" s="2589"/>
      <c r="I1203" s="2589"/>
      <c r="J1203" s="2589"/>
      <c r="K1203" s="2347"/>
      <c r="L1203" s="2589"/>
      <c r="M1203" s="2589"/>
      <c r="N1203" s="2589"/>
      <c r="O1203" s="2589"/>
      <c r="P1203" s="2346"/>
      <c r="Q1203" s="2589"/>
      <c r="R1203" s="2347"/>
      <c r="S1203" s="2347"/>
      <c r="T1203" s="2348"/>
      <c r="U1203" s="2348"/>
      <c r="V1203" s="2348"/>
      <c r="W1203" s="2347"/>
      <c r="X1203" s="2347"/>
      <c r="Y1203" s="2589"/>
      <c r="Z1203" s="2589"/>
      <c r="AA1203" s="2589"/>
      <c r="AB1203" s="2589"/>
      <c r="AC1203" s="2589"/>
    </row>
    <row r="1204" spans="1:29">
      <c r="A1204" s="2589"/>
      <c r="B1204" s="2346"/>
      <c r="C1204" s="2589"/>
      <c r="D1204" s="2589"/>
      <c r="E1204" s="2345"/>
      <c r="F1204" s="2589"/>
      <c r="G1204" s="2346"/>
      <c r="H1204" s="2589"/>
      <c r="I1204" s="2589"/>
      <c r="J1204" s="2589"/>
      <c r="K1204" s="2347"/>
      <c r="L1204" s="2589"/>
      <c r="M1204" s="2589"/>
      <c r="N1204" s="2589"/>
      <c r="O1204" s="2589"/>
      <c r="P1204" s="2346"/>
      <c r="Q1204" s="2589"/>
      <c r="R1204" s="2347"/>
      <c r="S1204" s="2347"/>
      <c r="T1204" s="2348"/>
      <c r="U1204" s="2348"/>
      <c r="V1204" s="2348"/>
      <c r="W1204" s="2347"/>
      <c r="X1204" s="2347"/>
      <c r="Y1204" s="2589"/>
      <c r="Z1204" s="2589"/>
      <c r="AA1204" s="2589"/>
      <c r="AB1204" s="2589"/>
      <c r="AC1204" s="2589"/>
    </row>
    <row r="1205" spans="1:29">
      <c r="A1205" s="2589"/>
      <c r="B1205" s="2346"/>
      <c r="C1205" s="2589"/>
      <c r="D1205" s="2589"/>
      <c r="E1205" s="2345"/>
      <c r="F1205" s="2589"/>
      <c r="G1205" s="2346"/>
      <c r="H1205" s="2589"/>
      <c r="I1205" s="2589"/>
      <c r="J1205" s="2589"/>
      <c r="K1205" s="2347"/>
      <c r="L1205" s="2589"/>
      <c r="M1205" s="2589"/>
      <c r="N1205" s="2589"/>
      <c r="O1205" s="2589"/>
      <c r="P1205" s="2346"/>
      <c r="Q1205" s="2589"/>
      <c r="R1205" s="2347"/>
      <c r="S1205" s="2347"/>
      <c r="T1205" s="2348"/>
      <c r="U1205" s="2348"/>
      <c r="V1205" s="2348"/>
      <c r="W1205" s="2347"/>
      <c r="X1205" s="2347"/>
      <c r="Y1205" s="2589"/>
      <c r="Z1205" s="2589"/>
      <c r="AA1205" s="2589"/>
      <c r="AB1205" s="2589"/>
      <c r="AC1205" s="2589"/>
    </row>
    <row r="1206" spans="1:29">
      <c r="A1206" s="2589"/>
      <c r="B1206" s="2346"/>
      <c r="C1206" s="2589"/>
      <c r="D1206" s="2589"/>
      <c r="E1206" s="2345"/>
      <c r="F1206" s="2589"/>
      <c r="G1206" s="2346"/>
      <c r="H1206" s="2589"/>
      <c r="I1206" s="2589"/>
      <c r="J1206" s="2589"/>
      <c r="K1206" s="2347"/>
      <c r="L1206" s="2589"/>
      <c r="M1206" s="2589"/>
      <c r="N1206" s="2589"/>
      <c r="O1206" s="2589"/>
      <c r="P1206" s="2346"/>
      <c r="Q1206" s="2589"/>
      <c r="R1206" s="2347"/>
      <c r="S1206" s="2347"/>
      <c r="T1206" s="2348"/>
      <c r="U1206" s="2348"/>
      <c r="V1206" s="2348"/>
      <c r="W1206" s="2347"/>
      <c r="X1206" s="2347"/>
      <c r="Y1206" s="2589"/>
      <c r="Z1206" s="2589"/>
      <c r="AA1206" s="2589"/>
      <c r="AB1206" s="2589"/>
      <c r="AC1206" s="2589"/>
    </row>
    <row r="1207" spans="1:29">
      <c r="A1207" s="2589"/>
      <c r="B1207" s="2346"/>
      <c r="C1207" s="2589"/>
      <c r="D1207" s="2589"/>
      <c r="E1207" s="2345"/>
      <c r="F1207" s="2589"/>
      <c r="G1207" s="2346"/>
      <c r="H1207" s="2589"/>
      <c r="I1207" s="2589"/>
      <c r="J1207" s="2589"/>
      <c r="K1207" s="2347"/>
      <c r="L1207" s="2589"/>
      <c r="M1207" s="2589"/>
      <c r="N1207" s="2589"/>
      <c r="O1207" s="2589"/>
      <c r="P1207" s="2346"/>
      <c r="Q1207" s="2589"/>
      <c r="R1207" s="2347"/>
      <c r="S1207" s="2347"/>
      <c r="T1207" s="2348"/>
      <c r="U1207" s="2348"/>
      <c r="V1207" s="2348"/>
      <c r="W1207" s="2347"/>
      <c r="X1207" s="2347"/>
      <c r="Y1207" s="2589"/>
      <c r="Z1207" s="2589"/>
      <c r="AA1207" s="2589"/>
      <c r="AB1207" s="2589"/>
      <c r="AC1207" s="2589"/>
    </row>
    <row r="1208" spans="1:29">
      <c r="A1208" s="2589"/>
      <c r="B1208" s="2346"/>
      <c r="C1208" s="2589"/>
      <c r="D1208" s="2589"/>
      <c r="E1208" s="2345"/>
      <c r="F1208" s="2589"/>
      <c r="G1208" s="2346"/>
      <c r="H1208" s="2589"/>
      <c r="I1208" s="2589"/>
      <c r="J1208" s="2589"/>
      <c r="K1208" s="2347"/>
      <c r="L1208" s="2589"/>
      <c r="M1208" s="2589"/>
      <c r="N1208" s="2589"/>
      <c r="O1208" s="2589"/>
      <c r="P1208" s="2346"/>
      <c r="Q1208" s="2589"/>
      <c r="R1208" s="2347"/>
      <c r="S1208" s="2347"/>
      <c r="T1208" s="2348"/>
      <c r="U1208" s="2348"/>
      <c r="V1208" s="2348"/>
      <c r="W1208" s="2347"/>
      <c r="X1208" s="2347"/>
      <c r="Y1208" s="2589"/>
      <c r="Z1208" s="2589"/>
      <c r="AA1208" s="2589"/>
      <c r="AB1208" s="2589"/>
      <c r="AC1208" s="2589"/>
    </row>
    <row r="1209" spans="1:29">
      <c r="A1209" s="2589"/>
      <c r="B1209" s="2346"/>
      <c r="C1209" s="2589"/>
      <c r="D1209" s="2589"/>
      <c r="E1209" s="2345"/>
      <c r="F1209" s="2589"/>
      <c r="G1209" s="2346"/>
      <c r="H1209" s="2589"/>
      <c r="I1209" s="2589"/>
      <c r="J1209" s="2589"/>
      <c r="K1209" s="2347"/>
      <c r="L1209" s="2589"/>
      <c r="M1209" s="2589"/>
      <c r="N1209" s="2589"/>
      <c r="O1209" s="2589"/>
      <c r="P1209" s="2346"/>
      <c r="Q1209" s="2589"/>
      <c r="R1209" s="2347"/>
      <c r="S1209" s="2347"/>
      <c r="T1209" s="2348"/>
      <c r="U1209" s="2348"/>
      <c r="V1209" s="2348"/>
      <c r="W1209" s="2347"/>
      <c r="X1209" s="2347"/>
      <c r="Y1209" s="2589"/>
      <c r="Z1209" s="2589"/>
      <c r="AA1209" s="2589"/>
      <c r="AB1209" s="2589"/>
      <c r="AC1209" s="2589"/>
    </row>
    <row r="1210" spans="1:29">
      <c r="A1210" s="2589"/>
      <c r="B1210" s="2346"/>
      <c r="C1210" s="2589"/>
      <c r="D1210" s="2589"/>
      <c r="E1210" s="2345"/>
      <c r="F1210" s="2589"/>
      <c r="G1210" s="2346"/>
      <c r="H1210" s="2589"/>
      <c r="I1210" s="2589"/>
      <c r="J1210" s="2589"/>
      <c r="K1210" s="2347"/>
      <c r="L1210" s="2589"/>
      <c r="M1210" s="2589"/>
      <c r="N1210" s="2589"/>
      <c r="O1210" s="2589"/>
      <c r="P1210" s="2346"/>
      <c r="Q1210" s="2589"/>
      <c r="R1210" s="2347"/>
      <c r="S1210" s="2347"/>
      <c r="T1210" s="2348"/>
      <c r="U1210" s="2348"/>
      <c r="V1210" s="2348"/>
      <c r="W1210" s="2347"/>
      <c r="X1210" s="2347"/>
      <c r="Y1210" s="2589"/>
      <c r="Z1210" s="2589"/>
      <c r="AA1210" s="2589"/>
      <c r="AB1210" s="2589"/>
      <c r="AC1210" s="2589"/>
    </row>
    <row r="1211" spans="1:29">
      <c r="A1211" s="2589"/>
      <c r="B1211" s="2346"/>
      <c r="C1211" s="2589"/>
      <c r="D1211" s="2589"/>
      <c r="E1211" s="2345"/>
      <c r="F1211" s="2589"/>
      <c r="G1211" s="2346"/>
      <c r="H1211" s="2589"/>
      <c r="I1211" s="2589"/>
      <c r="J1211" s="2589"/>
      <c r="K1211" s="2347"/>
      <c r="L1211" s="2589"/>
      <c r="M1211" s="2589"/>
      <c r="N1211" s="2589"/>
      <c r="O1211" s="2589"/>
      <c r="P1211" s="2346"/>
      <c r="Q1211" s="2589"/>
      <c r="R1211" s="2347"/>
      <c r="S1211" s="2347"/>
      <c r="T1211" s="2348"/>
      <c r="U1211" s="2348"/>
      <c r="V1211" s="2348"/>
      <c r="W1211" s="2347"/>
      <c r="X1211" s="2347"/>
      <c r="Y1211" s="2589"/>
      <c r="Z1211" s="2589"/>
      <c r="AA1211" s="2589"/>
      <c r="AB1211" s="2589"/>
      <c r="AC1211" s="2589"/>
    </row>
    <row r="1212" spans="1:29">
      <c r="A1212" s="2589"/>
      <c r="B1212" s="2346"/>
      <c r="C1212" s="2589"/>
      <c r="D1212" s="2589"/>
      <c r="E1212" s="2345"/>
      <c r="F1212" s="2589"/>
      <c r="G1212" s="2346"/>
      <c r="H1212" s="2589"/>
      <c r="I1212" s="2589"/>
      <c r="J1212" s="2589"/>
      <c r="K1212" s="2347"/>
      <c r="L1212" s="2589"/>
      <c r="M1212" s="2589"/>
      <c r="N1212" s="2589"/>
      <c r="O1212" s="2589"/>
      <c r="P1212" s="2346"/>
      <c r="Q1212" s="2589"/>
      <c r="R1212" s="2347"/>
      <c r="S1212" s="2347"/>
      <c r="T1212" s="2348"/>
      <c r="U1212" s="2348"/>
      <c r="V1212" s="2348"/>
      <c r="W1212" s="2347"/>
      <c r="X1212" s="2347"/>
      <c r="Y1212" s="2589"/>
      <c r="Z1212" s="2589"/>
      <c r="AA1212" s="2589"/>
      <c r="AB1212" s="2589"/>
      <c r="AC1212" s="2589"/>
    </row>
    <row r="1213" spans="1:29">
      <c r="A1213" s="2589"/>
      <c r="B1213" s="2346"/>
      <c r="C1213" s="2589"/>
      <c r="D1213" s="2589"/>
      <c r="E1213" s="2345"/>
      <c r="F1213" s="2589"/>
      <c r="G1213" s="2346"/>
      <c r="H1213" s="2589"/>
      <c r="I1213" s="2589"/>
      <c r="J1213" s="2589"/>
      <c r="K1213" s="2347"/>
      <c r="L1213" s="2589"/>
      <c r="M1213" s="2589"/>
      <c r="N1213" s="2589"/>
      <c r="O1213" s="2589"/>
      <c r="P1213" s="2346"/>
      <c r="Q1213" s="2589"/>
      <c r="R1213" s="2347"/>
      <c r="S1213" s="2347"/>
      <c r="T1213" s="2348"/>
      <c r="U1213" s="2348"/>
      <c r="V1213" s="2348"/>
      <c r="W1213" s="2347"/>
      <c r="X1213" s="2347"/>
      <c r="Y1213" s="2589"/>
      <c r="Z1213" s="2589"/>
      <c r="AA1213" s="2589"/>
      <c r="AB1213" s="2589"/>
      <c r="AC1213" s="2589"/>
    </row>
    <row r="1214" spans="1:29">
      <c r="A1214" s="2589"/>
      <c r="B1214" s="2346"/>
      <c r="C1214" s="2589"/>
      <c r="D1214" s="2589"/>
      <c r="E1214" s="2345"/>
      <c r="F1214" s="2589"/>
      <c r="G1214" s="2346"/>
      <c r="H1214" s="2589"/>
      <c r="I1214" s="2589"/>
      <c r="J1214" s="2589"/>
      <c r="K1214" s="2347"/>
      <c r="L1214" s="2589"/>
      <c r="M1214" s="2589"/>
      <c r="N1214" s="2589"/>
      <c r="O1214" s="2589"/>
      <c r="P1214" s="2346"/>
      <c r="Q1214" s="2589"/>
      <c r="R1214" s="2347"/>
      <c r="S1214" s="2347"/>
      <c r="T1214" s="2348"/>
      <c r="U1214" s="2348"/>
      <c r="V1214" s="2348"/>
      <c r="W1214" s="2347"/>
      <c r="X1214" s="2347"/>
      <c r="Y1214" s="2589"/>
      <c r="Z1214" s="2589"/>
      <c r="AA1214" s="2589"/>
      <c r="AB1214" s="2589"/>
      <c r="AC1214" s="2589"/>
    </row>
    <row r="1215" spans="1:29">
      <c r="A1215" s="2589"/>
      <c r="B1215" s="2346"/>
      <c r="C1215" s="2589"/>
      <c r="D1215" s="2589"/>
      <c r="E1215" s="2345"/>
      <c r="F1215" s="2589"/>
      <c r="G1215" s="2346"/>
      <c r="H1215" s="2589"/>
      <c r="I1215" s="2589"/>
      <c r="J1215" s="2589"/>
      <c r="K1215" s="2347"/>
      <c r="L1215" s="2589"/>
      <c r="M1215" s="2589"/>
      <c r="N1215" s="2589"/>
      <c r="O1215" s="2589"/>
      <c r="P1215" s="2346"/>
      <c r="Q1215" s="2589"/>
      <c r="R1215" s="2347"/>
      <c r="S1215" s="2347"/>
      <c r="T1215" s="2348"/>
      <c r="U1215" s="2348"/>
      <c r="V1215" s="2348"/>
      <c r="W1215" s="2347"/>
      <c r="X1215" s="2347"/>
      <c r="Y1215" s="2589"/>
      <c r="Z1215" s="2589"/>
      <c r="AA1215" s="2589"/>
      <c r="AB1215" s="2589"/>
      <c r="AC1215" s="2589"/>
    </row>
    <row r="1216" spans="1:29">
      <c r="A1216" s="2589"/>
      <c r="B1216" s="2346"/>
      <c r="C1216" s="2589"/>
      <c r="D1216" s="2589"/>
      <c r="E1216" s="2345"/>
      <c r="F1216" s="2589"/>
      <c r="G1216" s="2346"/>
      <c r="H1216" s="2589"/>
      <c r="I1216" s="2589"/>
      <c r="J1216" s="2589"/>
      <c r="K1216" s="2347"/>
      <c r="L1216" s="2589"/>
      <c r="M1216" s="2589"/>
      <c r="N1216" s="2589"/>
      <c r="O1216" s="2589"/>
      <c r="P1216" s="2346"/>
      <c r="Q1216" s="2589"/>
      <c r="R1216" s="2347"/>
      <c r="S1216" s="2347"/>
      <c r="T1216" s="2348"/>
      <c r="U1216" s="2348"/>
      <c r="V1216" s="2348"/>
      <c r="W1216" s="2347"/>
      <c r="X1216" s="2347"/>
      <c r="Y1216" s="2589"/>
      <c r="Z1216" s="2589"/>
      <c r="AA1216" s="2589"/>
      <c r="AB1216" s="2589"/>
      <c r="AC1216" s="2589"/>
    </row>
    <row r="1217" spans="1:29">
      <c r="A1217" s="2589"/>
      <c r="B1217" s="2346"/>
      <c r="C1217" s="2589"/>
      <c r="D1217" s="2589"/>
      <c r="E1217" s="2345"/>
      <c r="F1217" s="2589"/>
      <c r="G1217" s="2346"/>
      <c r="H1217" s="2589"/>
      <c r="I1217" s="2589"/>
      <c r="J1217" s="2589"/>
      <c r="K1217" s="2347"/>
      <c r="L1217" s="2589"/>
      <c r="M1217" s="2589"/>
      <c r="N1217" s="2589"/>
      <c r="O1217" s="2589"/>
      <c r="P1217" s="2346"/>
      <c r="Q1217" s="2589"/>
      <c r="R1217" s="2347"/>
      <c r="S1217" s="2347"/>
      <c r="T1217" s="2348"/>
      <c r="U1217" s="2348"/>
      <c r="V1217" s="2348"/>
      <c r="W1217" s="2347"/>
      <c r="X1217" s="2347"/>
      <c r="Y1217" s="2589"/>
      <c r="Z1217" s="2589"/>
      <c r="AA1217" s="2589"/>
      <c r="AB1217" s="2589"/>
      <c r="AC1217" s="2589"/>
    </row>
    <row r="1218" spans="1:29">
      <c r="A1218" s="2589"/>
      <c r="B1218" s="2346"/>
      <c r="C1218" s="2589"/>
      <c r="D1218" s="2589"/>
      <c r="E1218" s="2345"/>
      <c r="F1218" s="2589"/>
      <c r="G1218" s="2346"/>
      <c r="H1218" s="2589"/>
      <c r="I1218" s="2589"/>
      <c r="J1218" s="2589"/>
      <c r="K1218" s="2347"/>
      <c r="L1218" s="2589"/>
      <c r="M1218" s="2589"/>
      <c r="N1218" s="2589"/>
      <c r="O1218" s="2589"/>
      <c r="P1218" s="2346"/>
      <c r="Q1218" s="2589"/>
      <c r="R1218" s="2347"/>
      <c r="S1218" s="2347"/>
      <c r="T1218" s="2348"/>
      <c r="U1218" s="2348"/>
      <c r="V1218" s="2348"/>
      <c r="W1218" s="2347"/>
      <c r="X1218" s="2347"/>
      <c r="Y1218" s="2589"/>
      <c r="Z1218" s="2589"/>
      <c r="AA1218" s="2589"/>
      <c r="AB1218" s="2589"/>
      <c r="AC1218" s="2589"/>
    </row>
    <row r="1219" spans="1:29">
      <c r="A1219" s="2589"/>
      <c r="B1219" s="2346"/>
      <c r="C1219" s="2589"/>
      <c r="D1219" s="2589"/>
      <c r="E1219" s="2345"/>
      <c r="F1219" s="2589"/>
      <c r="G1219" s="2346"/>
      <c r="H1219" s="2589"/>
      <c r="I1219" s="2589"/>
      <c r="J1219" s="2589"/>
      <c r="K1219" s="2347"/>
      <c r="L1219" s="2589"/>
      <c r="M1219" s="2589"/>
      <c r="N1219" s="2589"/>
      <c r="O1219" s="2589"/>
      <c r="P1219" s="2346"/>
      <c r="Q1219" s="2589"/>
      <c r="R1219" s="2347"/>
      <c r="S1219" s="2347"/>
      <c r="T1219" s="2348"/>
      <c r="U1219" s="2348"/>
      <c r="V1219" s="2348"/>
      <c r="W1219" s="2347"/>
      <c r="X1219" s="2347"/>
      <c r="Y1219" s="2589"/>
      <c r="Z1219" s="2589"/>
      <c r="AA1219" s="2589"/>
      <c r="AB1219" s="2589"/>
      <c r="AC1219" s="2589"/>
    </row>
    <row r="1220" spans="1:29">
      <c r="A1220" s="2589"/>
      <c r="B1220" s="2346"/>
      <c r="C1220" s="2589"/>
      <c r="D1220" s="2589"/>
      <c r="E1220" s="2345"/>
      <c r="F1220" s="2589"/>
      <c r="G1220" s="2346"/>
      <c r="H1220" s="2589"/>
      <c r="I1220" s="2589"/>
      <c r="J1220" s="2589"/>
      <c r="K1220" s="2347"/>
      <c r="L1220" s="2589"/>
      <c r="M1220" s="2589"/>
      <c r="N1220" s="2589"/>
      <c r="O1220" s="2589"/>
      <c r="P1220" s="2346"/>
      <c r="Q1220" s="2589"/>
      <c r="R1220" s="2347"/>
      <c r="S1220" s="2347"/>
      <c r="T1220" s="2348"/>
      <c r="U1220" s="2348"/>
      <c r="V1220" s="2348"/>
      <c r="W1220" s="2347"/>
      <c r="X1220" s="2347"/>
      <c r="Y1220" s="2589"/>
      <c r="Z1220" s="2589"/>
      <c r="AA1220" s="2589"/>
      <c r="AB1220" s="2589"/>
      <c r="AC1220" s="2589"/>
    </row>
    <row r="1221" spans="1:29">
      <c r="A1221" s="2589"/>
      <c r="B1221" s="2346"/>
      <c r="C1221" s="2589"/>
      <c r="D1221" s="2589"/>
      <c r="E1221" s="2345"/>
      <c r="F1221" s="2589"/>
      <c r="G1221" s="2346"/>
      <c r="H1221" s="2589"/>
      <c r="I1221" s="2589"/>
      <c r="J1221" s="2589"/>
      <c r="K1221" s="2347"/>
      <c r="L1221" s="2589"/>
      <c r="M1221" s="2589"/>
      <c r="N1221" s="2589"/>
      <c r="O1221" s="2589"/>
      <c r="P1221" s="2346"/>
      <c r="Q1221" s="2589"/>
      <c r="R1221" s="2347"/>
      <c r="S1221" s="2347"/>
      <c r="T1221" s="2348"/>
      <c r="U1221" s="2348"/>
      <c r="V1221" s="2348"/>
      <c r="W1221" s="2347"/>
      <c r="X1221" s="2347"/>
      <c r="Y1221" s="2589"/>
      <c r="Z1221" s="2589"/>
      <c r="AA1221" s="2589"/>
      <c r="AB1221" s="2589"/>
      <c r="AC1221" s="2589"/>
    </row>
    <row r="1222" spans="1:29">
      <c r="A1222" s="2589"/>
      <c r="B1222" s="2346"/>
      <c r="C1222" s="2589"/>
      <c r="D1222" s="2589"/>
      <c r="E1222" s="2345"/>
      <c r="F1222" s="2589"/>
      <c r="G1222" s="2346"/>
      <c r="H1222" s="2589"/>
      <c r="I1222" s="2589"/>
      <c r="J1222" s="2589"/>
      <c r="K1222" s="2347"/>
      <c r="L1222" s="2589"/>
      <c r="M1222" s="2589"/>
      <c r="N1222" s="2589"/>
      <c r="O1222" s="2589"/>
      <c r="P1222" s="2346"/>
      <c r="Q1222" s="2589"/>
      <c r="R1222" s="2347"/>
      <c r="S1222" s="2347"/>
      <c r="T1222" s="2348"/>
      <c r="U1222" s="2348"/>
      <c r="V1222" s="2348"/>
      <c r="W1222" s="2347"/>
      <c r="X1222" s="2347"/>
      <c r="Y1222" s="2589"/>
      <c r="Z1222" s="2589"/>
      <c r="AA1222" s="2589"/>
      <c r="AB1222" s="2589"/>
      <c r="AC1222" s="2589"/>
    </row>
    <row r="1223" spans="1:29">
      <c r="A1223" s="2589"/>
      <c r="B1223" s="2346"/>
      <c r="C1223" s="2589"/>
      <c r="D1223" s="2589"/>
      <c r="E1223" s="2345"/>
      <c r="F1223" s="2589"/>
      <c r="G1223" s="2346"/>
      <c r="H1223" s="2589"/>
      <c r="I1223" s="2589"/>
      <c r="J1223" s="2589"/>
      <c r="K1223" s="2347"/>
      <c r="L1223" s="2589"/>
      <c r="M1223" s="2589"/>
      <c r="N1223" s="2589"/>
      <c r="O1223" s="2589"/>
      <c r="P1223" s="2346"/>
      <c r="Q1223" s="2589"/>
      <c r="R1223" s="2347"/>
      <c r="S1223" s="2347"/>
      <c r="T1223" s="2348"/>
      <c r="U1223" s="2348"/>
      <c r="V1223" s="2348"/>
      <c r="W1223" s="2347"/>
      <c r="X1223" s="2347"/>
      <c r="Y1223" s="2589"/>
      <c r="Z1223" s="2589"/>
      <c r="AA1223" s="2589"/>
      <c r="AB1223" s="2589"/>
      <c r="AC1223" s="2589"/>
    </row>
    <row r="1224" spans="1:29">
      <c r="A1224" s="2589"/>
      <c r="B1224" s="2346"/>
      <c r="C1224" s="2589"/>
      <c r="D1224" s="2589"/>
      <c r="E1224" s="2345"/>
      <c r="F1224" s="2589"/>
      <c r="G1224" s="2346"/>
      <c r="H1224" s="2589"/>
      <c r="I1224" s="2589"/>
      <c r="J1224" s="2589"/>
      <c r="K1224" s="2347"/>
      <c r="L1224" s="2589"/>
      <c r="M1224" s="2589"/>
      <c r="N1224" s="2589"/>
      <c r="O1224" s="2589"/>
      <c r="P1224" s="2346"/>
      <c r="Q1224" s="2589"/>
      <c r="R1224" s="2347"/>
      <c r="S1224" s="2347"/>
      <c r="T1224" s="2348"/>
      <c r="U1224" s="2348"/>
      <c r="V1224" s="2348"/>
      <c r="W1224" s="2347"/>
      <c r="X1224" s="2347"/>
      <c r="Y1224" s="2589"/>
      <c r="Z1224" s="2589"/>
      <c r="AA1224" s="2589"/>
      <c r="AB1224" s="2589"/>
      <c r="AC1224" s="2589"/>
    </row>
    <row r="1225" spans="1:29">
      <c r="A1225" s="2589"/>
      <c r="B1225" s="2346"/>
      <c r="C1225" s="2589"/>
      <c r="D1225" s="2589"/>
      <c r="E1225" s="2345"/>
      <c r="F1225" s="2589"/>
      <c r="G1225" s="2346"/>
      <c r="H1225" s="2589"/>
      <c r="I1225" s="2589"/>
      <c r="J1225" s="2589"/>
      <c r="K1225" s="2347"/>
      <c r="L1225" s="2589"/>
      <c r="M1225" s="2589"/>
      <c r="N1225" s="2589"/>
      <c r="O1225" s="2589"/>
      <c r="P1225" s="2346"/>
      <c r="Q1225" s="2589"/>
      <c r="R1225" s="2347"/>
      <c r="S1225" s="2347"/>
      <c r="T1225" s="2348"/>
      <c r="U1225" s="2348"/>
      <c r="V1225" s="2348"/>
      <c r="W1225" s="2347"/>
      <c r="X1225" s="2347"/>
      <c r="Y1225" s="2589"/>
      <c r="Z1225" s="2589"/>
      <c r="AA1225" s="2589"/>
      <c r="AB1225" s="2589"/>
      <c r="AC1225" s="2589"/>
    </row>
    <row r="1226" spans="1:29">
      <c r="A1226" s="2589"/>
      <c r="B1226" s="2346"/>
      <c r="C1226" s="2589"/>
      <c r="D1226" s="2589"/>
      <c r="E1226" s="2345"/>
      <c r="F1226" s="2589"/>
      <c r="G1226" s="2346"/>
      <c r="H1226" s="2589"/>
      <c r="I1226" s="2589"/>
      <c r="J1226" s="2589"/>
      <c r="K1226" s="2347"/>
      <c r="L1226" s="2589"/>
      <c r="M1226" s="2589"/>
      <c r="N1226" s="2589"/>
      <c r="O1226" s="2589"/>
      <c r="P1226" s="2346"/>
      <c r="Q1226" s="2589"/>
      <c r="R1226" s="2347"/>
      <c r="S1226" s="2347"/>
      <c r="T1226" s="2348"/>
      <c r="U1226" s="2348"/>
      <c r="V1226" s="2348"/>
      <c r="W1226" s="2347"/>
      <c r="X1226" s="2347"/>
      <c r="Y1226" s="2589"/>
      <c r="Z1226" s="2589"/>
      <c r="AA1226" s="2589"/>
      <c r="AB1226" s="2589"/>
      <c r="AC1226" s="2589"/>
    </row>
    <row r="1227" spans="1:29">
      <c r="A1227" s="2589"/>
      <c r="B1227" s="2346"/>
      <c r="C1227" s="2589"/>
      <c r="D1227" s="2589"/>
      <c r="E1227" s="2345"/>
      <c r="F1227" s="2589"/>
      <c r="G1227" s="2346"/>
      <c r="H1227" s="2589"/>
      <c r="I1227" s="2589"/>
      <c r="J1227" s="2589"/>
      <c r="K1227" s="2347"/>
      <c r="L1227" s="2589"/>
      <c r="M1227" s="2589"/>
      <c r="N1227" s="2589"/>
      <c r="O1227" s="2589"/>
      <c r="P1227" s="2346"/>
      <c r="Q1227" s="2589"/>
      <c r="R1227" s="2347"/>
      <c r="S1227" s="2347"/>
      <c r="T1227" s="2348"/>
      <c r="U1227" s="2348"/>
      <c r="V1227" s="2348"/>
      <c r="W1227" s="2347"/>
      <c r="X1227" s="2347"/>
      <c r="Y1227" s="2589"/>
      <c r="Z1227" s="2589"/>
      <c r="AA1227" s="2589"/>
      <c r="AB1227" s="2589"/>
      <c r="AC1227" s="2589"/>
    </row>
    <row r="1228" spans="1:29">
      <c r="A1228" s="2589"/>
      <c r="B1228" s="2346"/>
      <c r="C1228" s="2589"/>
      <c r="D1228" s="2589"/>
      <c r="E1228" s="2345"/>
      <c r="F1228" s="2589"/>
      <c r="G1228" s="2346"/>
      <c r="H1228" s="2589"/>
      <c r="I1228" s="2589"/>
      <c r="J1228" s="2589"/>
      <c r="K1228" s="2347"/>
      <c r="L1228" s="2589"/>
      <c r="M1228" s="2589"/>
      <c r="N1228" s="2589"/>
      <c r="O1228" s="2589"/>
      <c r="P1228" s="2346"/>
      <c r="Q1228" s="2589"/>
      <c r="R1228" s="2347"/>
      <c r="S1228" s="2347"/>
      <c r="T1228" s="2348"/>
      <c r="U1228" s="2348"/>
      <c r="V1228" s="2348"/>
      <c r="W1228" s="2347"/>
      <c r="X1228" s="2347"/>
      <c r="Y1228" s="2589"/>
      <c r="Z1228" s="2589"/>
      <c r="AA1228" s="2589"/>
      <c r="AB1228" s="2589"/>
      <c r="AC1228" s="2589"/>
    </row>
    <row r="1229" spans="1:29">
      <c r="A1229" s="2589"/>
      <c r="B1229" s="2346"/>
      <c r="C1229" s="2589"/>
      <c r="D1229" s="2589"/>
      <c r="E1229" s="2345"/>
      <c r="F1229" s="2589"/>
      <c r="G1229" s="2346"/>
      <c r="H1229" s="2589"/>
      <c r="I1229" s="2589"/>
      <c r="J1229" s="2589"/>
      <c r="K1229" s="2347"/>
      <c r="L1229" s="2589"/>
      <c r="M1229" s="2589"/>
      <c r="N1229" s="2589"/>
      <c r="O1229" s="2589"/>
      <c r="P1229" s="2346"/>
      <c r="Q1229" s="2589"/>
      <c r="R1229" s="2347"/>
      <c r="S1229" s="2347"/>
      <c r="T1229" s="2348"/>
      <c r="U1229" s="2348"/>
      <c r="V1229" s="2348"/>
      <c r="W1229" s="2347"/>
      <c r="X1229" s="2347"/>
      <c r="Y1229" s="2589"/>
      <c r="Z1229" s="2589"/>
      <c r="AA1229" s="2589"/>
      <c r="AB1229" s="2589"/>
      <c r="AC1229" s="2589"/>
    </row>
    <row r="1230" spans="1:29">
      <c r="A1230" s="2589"/>
      <c r="B1230" s="2346"/>
      <c r="C1230" s="2589"/>
      <c r="D1230" s="2589"/>
      <c r="E1230" s="2345"/>
      <c r="F1230" s="2589"/>
      <c r="G1230" s="2346"/>
      <c r="H1230" s="2589"/>
      <c r="I1230" s="2589"/>
      <c r="J1230" s="2589"/>
      <c r="K1230" s="2347"/>
      <c r="L1230" s="2589"/>
      <c r="M1230" s="2589"/>
      <c r="N1230" s="2589"/>
      <c r="O1230" s="2589"/>
      <c r="P1230" s="2346"/>
      <c r="Q1230" s="2589"/>
      <c r="R1230" s="2347"/>
      <c r="S1230" s="2347"/>
      <c r="T1230" s="2348"/>
      <c r="U1230" s="2348"/>
      <c r="V1230" s="2348"/>
      <c r="W1230" s="2347"/>
      <c r="X1230" s="2347"/>
      <c r="Y1230" s="2589"/>
      <c r="Z1230" s="2589"/>
      <c r="AA1230" s="2589"/>
      <c r="AB1230" s="2589"/>
      <c r="AC1230" s="2589"/>
    </row>
    <row r="1231" spans="1:29">
      <c r="A1231" s="2589"/>
      <c r="B1231" s="2346"/>
      <c r="C1231" s="2589"/>
      <c r="D1231" s="2589"/>
      <c r="E1231" s="2345"/>
      <c r="F1231" s="2589"/>
      <c r="G1231" s="2346"/>
      <c r="H1231" s="2589"/>
      <c r="I1231" s="2589"/>
      <c r="J1231" s="2589"/>
      <c r="K1231" s="2347"/>
      <c r="L1231" s="2589"/>
      <c r="M1231" s="2589"/>
      <c r="N1231" s="2589"/>
      <c r="O1231" s="2589"/>
      <c r="P1231" s="2346"/>
      <c r="Q1231" s="2589"/>
      <c r="R1231" s="2347"/>
      <c r="S1231" s="2347"/>
      <c r="T1231" s="2348"/>
      <c r="U1231" s="2348"/>
      <c r="V1231" s="2348"/>
      <c r="W1231" s="2347"/>
      <c r="X1231" s="2347"/>
      <c r="Y1231" s="2589"/>
      <c r="Z1231" s="2589"/>
      <c r="AA1231" s="2589"/>
      <c r="AB1231" s="2589"/>
      <c r="AC1231" s="2589"/>
    </row>
    <row r="1232" spans="1:29">
      <c r="A1232" s="2589"/>
      <c r="B1232" s="2346"/>
      <c r="C1232" s="2589"/>
      <c r="D1232" s="2589"/>
      <c r="E1232" s="2345"/>
      <c r="F1232" s="2589"/>
      <c r="G1232" s="2346"/>
      <c r="H1232" s="2589"/>
      <c r="I1232" s="2589"/>
      <c r="J1232" s="2589"/>
      <c r="K1232" s="2347"/>
      <c r="L1232" s="2589"/>
      <c r="M1232" s="2589"/>
      <c r="N1232" s="2589"/>
      <c r="O1232" s="2589"/>
      <c r="P1232" s="2346"/>
      <c r="Q1232" s="2589"/>
      <c r="R1232" s="2347"/>
      <c r="S1232" s="2347"/>
      <c r="T1232" s="2348"/>
      <c r="U1232" s="2348"/>
      <c r="V1232" s="2348"/>
      <c r="W1232" s="2347"/>
      <c r="X1232" s="2347"/>
      <c r="Y1232" s="2589"/>
      <c r="Z1232" s="2589"/>
      <c r="AA1232" s="2589"/>
      <c r="AB1232" s="2589"/>
      <c r="AC1232" s="2589"/>
    </row>
    <row r="1233" spans="1:29">
      <c r="A1233" s="2589"/>
      <c r="B1233" s="2346"/>
      <c r="C1233" s="2589"/>
      <c r="D1233" s="2589"/>
      <c r="E1233" s="2345"/>
      <c r="F1233" s="2589"/>
      <c r="G1233" s="2346"/>
      <c r="H1233" s="2589"/>
      <c r="I1233" s="2589"/>
      <c r="J1233" s="2589"/>
      <c r="K1233" s="2347"/>
      <c r="L1233" s="2589"/>
      <c r="M1233" s="2589"/>
      <c r="N1233" s="2589"/>
      <c r="O1233" s="2589"/>
      <c r="P1233" s="2346"/>
      <c r="Q1233" s="2589"/>
      <c r="R1233" s="2347"/>
      <c r="S1233" s="2347"/>
      <c r="T1233" s="2348"/>
      <c r="U1233" s="2348"/>
      <c r="V1233" s="2348"/>
      <c r="W1233" s="2347"/>
      <c r="X1233" s="2347"/>
      <c r="Y1233" s="2589"/>
      <c r="Z1233" s="2589"/>
      <c r="AA1233" s="2589"/>
      <c r="AB1233" s="2589"/>
      <c r="AC1233" s="2589"/>
    </row>
    <row r="1234" spans="1:29">
      <c r="A1234" s="2589"/>
      <c r="B1234" s="2346"/>
      <c r="C1234" s="2589"/>
      <c r="D1234" s="2589"/>
      <c r="E1234" s="2345"/>
      <c r="F1234" s="2589"/>
      <c r="G1234" s="2346"/>
      <c r="H1234" s="2589"/>
      <c r="I1234" s="2589"/>
      <c r="J1234" s="2589"/>
      <c r="K1234" s="2347"/>
      <c r="L1234" s="2589"/>
      <c r="M1234" s="2589"/>
      <c r="N1234" s="2589"/>
      <c r="O1234" s="2589"/>
      <c r="P1234" s="2346"/>
      <c r="Q1234" s="2589"/>
      <c r="R1234" s="2347"/>
      <c r="S1234" s="2347"/>
      <c r="T1234" s="2348"/>
      <c r="U1234" s="2348"/>
      <c r="V1234" s="2348"/>
      <c r="W1234" s="2347"/>
      <c r="X1234" s="2347"/>
      <c r="Y1234" s="2589"/>
      <c r="Z1234" s="2589"/>
      <c r="AA1234" s="2589"/>
      <c r="AB1234" s="2589"/>
      <c r="AC1234" s="2589"/>
    </row>
    <row r="1235" spans="1:29">
      <c r="A1235" s="2589"/>
      <c r="B1235" s="2346"/>
      <c r="C1235" s="2589"/>
      <c r="D1235" s="2589"/>
      <c r="E1235" s="2345"/>
      <c r="F1235" s="2589"/>
      <c r="G1235" s="2346"/>
      <c r="H1235" s="2589"/>
      <c r="I1235" s="2589"/>
      <c r="J1235" s="2589"/>
      <c r="K1235" s="2347"/>
      <c r="L1235" s="2589"/>
      <c r="M1235" s="2589"/>
      <c r="N1235" s="2589"/>
      <c r="O1235" s="2589"/>
      <c r="P1235" s="2346"/>
      <c r="Q1235" s="2589"/>
      <c r="R1235" s="2347"/>
      <c r="S1235" s="2347"/>
      <c r="T1235" s="2348"/>
      <c r="U1235" s="2348"/>
      <c r="V1235" s="2348"/>
      <c r="W1235" s="2347"/>
      <c r="X1235" s="2347"/>
      <c r="Y1235" s="2589"/>
      <c r="Z1235" s="2589"/>
      <c r="AA1235" s="2589"/>
      <c r="AB1235" s="2589"/>
      <c r="AC1235" s="2589"/>
    </row>
    <row r="1236" spans="1:29">
      <c r="A1236" s="2589"/>
      <c r="B1236" s="2346"/>
      <c r="C1236" s="2589"/>
      <c r="D1236" s="2589"/>
      <c r="E1236" s="2345"/>
      <c r="F1236" s="2589"/>
      <c r="G1236" s="2346"/>
      <c r="H1236" s="2589"/>
      <c r="I1236" s="2589"/>
      <c r="J1236" s="2589"/>
      <c r="K1236" s="2347"/>
      <c r="L1236" s="2589"/>
      <c r="M1236" s="2589"/>
      <c r="N1236" s="2589"/>
      <c r="O1236" s="2589"/>
      <c r="P1236" s="2346"/>
      <c r="Q1236" s="2589"/>
      <c r="R1236" s="2347"/>
      <c r="S1236" s="2347"/>
      <c r="T1236" s="2348"/>
      <c r="U1236" s="2348"/>
      <c r="V1236" s="2348"/>
      <c r="W1236" s="2347"/>
      <c r="X1236" s="2347"/>
      <c r="Y1236" s="2589"/>
      <c r="Z1236" s="2589"/>
      <c r="AA1236" s="2589"/>
      <c r="AB1236" s="2589"/>
      <c r="AC1236" s="2589"/>
    </row>
    <row r="1237" spans="1:29">
      <c r="A1237" s="2589"/>
      <c r="B1237" s="2346"/>
      <c r="C1237" s="2589"/>
      <c r="D1237" s="2589"/>
      <c r="E1237" s="2345"/>
      <c r="F1237" s="2589"/>
      <c r="G1237" s="2346"/>
      <c r="H1237" s="2589"/>
      <c r="I1237" s="2589"/>
      <c r="J1237" s="2589"/>
      <c r="K1237" s="2347"/>
      <c r="L1237" s="2589"/>
      <c r="M1237" s="2589"/>
      <c r="N1237" s="2589"/>
      <c r="O1237" s="2589"/>
      <c r="P1237" s="2346"/>
      <c r="Q1237" s="2589"/>
      <c r="R1237" s="2347"/>
      <c r="S1237" s="2347"/>
      <c r="T1237" s="2348"/>
      <c r="U1237" s="2348"/>
      <c r="V1237" s="2348"/>
      <c r="W1237" s="2347"/>
      <c r="X1237" s="2347"/>
      <c r="Y1237" s="2589"/>
      <c r="Z1237" s="2589"/>
      <c r="AA1237" s="2589"/>
      <c r="AB1237" s="2589"/>
      <c r="AC1237" s="2589"/>
    </row>
    <row r="1238" spans="1:29">
      <c r="A1238" s="2589"/>
      <c r="B1238" s="2346"/>
      <c r="C1238" s="2589"/>
      <c r="D1238" s="2589"/>
      <c r="E1238" s="2345"/>
      <c r="F1238" s="2589"/>
      <c r="G1238" s="2346"/>
      <c r="H1238" s="2589"/>
      <c r="I1238" s="2589"/>
      <c r="J1238" s="2589"/>
      <c r="K1238" s="2347"/>
      <c r="L1238" s="2589"/>
      <c r="M1238" s="2589"/>
      <c r="N1238" s="2589"/>
      <c r="O1238" s="2589"/>
      <c r="P1238" s="2346"/>
      <c r="Q1238" s="2589"/>
      <c r="R1238" s="2347"/>
      <c r="S1238" s="2347"/>
      <c r="T1238" s="2348"/>
      <c r="U1238" s="2348"/>
      <c r="V1238" s="2348"/>
      <c r="W1238" s="2347"/>
      <c r="X1238" s="2347"/>
      <c r="Y1238" s="2589"/>
      <c r="Z1238" s="2589"/>
      <c r="AA1238" s="2589"/>
      <c r="AB1238" s="2589"/>
      <c r="AC1238" s="2589"/>
    </row>
    <row r="1239" spans="1:29">
      <c r="A1239" s="2589"/>
      <c r="B1239" s="2346"/>
      <c r="C1239" s="2589"/>
      <c r="D1239" s="2589"/>
      <c r="E1239" s="2345"/>
      <c r="F1239" s="2589"/>
      <c r="G1239" s="2346"/>
      <c r="H1239" s="2589"/>
      <c r="I1239" s="2589"/>
      <c r="J1239" s="2589"/>
      <c r="K1239" s="2347"/>
      <c r="L1239" s="2589"/>
      <c r="M1239" s="2589"/>
      <c r="N1239" s="2589"/>
      <c r="O1239" s="2589"/>
      <c r="P1239" s="2346"/>
      <c r="Q1239" s="2589"/>
      <c r="R1239" s="2347"/>
      <c r="S1239" s="2347"/>
      <c r="T1239" s="2348"/>
      <c r="U1239" s="2348"/>
      <c r="V1239" s="2348"/>
      <c r="W1239" s="2347"/>
      <c r="X1239" s="2347"/>
      <c r="Y1239" s="2589"/>
      <c r="Z1239" s="2589"/>
      <c r="AA1239" s="2589"/>
      <c r="AB1239" s="2589"/>
      <c r="AC1239" s="2589"/>
    </row>
    <row r="1240" spans="1:29">
      <c r="A1240" s="2589"/>
      <c r="B1240" s="2346"/>
      <c r="C1240" s="2589"/>
      <c r="D1240" s="2589"/>
      <c r="E1240" s="2345"/>
      <c r="F1240" s="2589"/>
      <c r="G1240" s="2346"/>
      <c r="H1240" s="2589"/>
      <c r="I1240" s="2589"/>
      <c r="J1240" s="2589"/>
      <c r="K1240" s="2347"/>
      <c r="L1240" s="2589"/>
      <c r="M1240" s="2589"/>
      <c r="N1240" s="2589"/>
      <c r="O1240" s="2589"/>
      <c r="P1240" s="2346"/>
      <c r="Q1240" s="2589"/>
      <c r="R1240" s="2347"/>
      <c r="S1240" s="2347"/>
      <c r="T1240" s="2348"/>
      <c r="U1240" s="2348"/>
      <c r="V1240" s="2348"/>
      <c r="W1240" s="2347"/>
      <c r="X1240" s="2347"/>
      <c r="Y1240" s="2589"/>
      <c r="Z1240" s="2589"/>
      <c r="AA1240" s="2589"/>
      <c r="AB1240" s="2589"/>
      <c r="AC1240" s="2589"/>
    </row>
    <row r="1241" spans="1:29">
      <c r="A1241" s="2589"/>
      <c r="B1241" s="2346"/>
      <c r="C1241" s="2589"/>
      <c r="D1241" s="2589"/>
      <c r="E1241" s="2345"/>
      <c r="F1241" s="2589"/>
      <c r="G1241" s="2346"/>
      <c r="H1241" s="2589"/>
      <c r="I1241" s="2589"/>
      <c r="J1241" s="2589"/>
      <c r="K1241" s="2347"/>
      <c r="L1241" s="2589"/>
      <c r="M1241" s="2589"/>
      <c r="N1241" s="2589"/>
      <c r="O1241" s="2589"/>
      <c r="P1241" s="2346"/>
      <c r="Q1241" s="2589"/>
      <c r="R1241" s="2347"/>
      <c r="S1241" s="2347"/>
      <c r="T1241" s="2348"/>
      <c r="U1241" s="2348"/>
      <c r="V1241" s="2348"/>
      <c r="W1241" s="2347"/>
      <c r="X1241" s="2347"/>
      <c r="Y1241" s="2589"/>
      <c r="Z1241" s="2589"/>
      <c r="AA1241" s="2589"/>
      <c r="AB1241" s="2589"/>
      <c r="AC1241" s="2589"/>
    </row>
    <row r="1242" spans="1:29">
      <c r="A1242" s="2589"/>
      <c r="B1242" s="2346"/>
      <c r="C1242" s="2589"/>
      <c r="D1242" s="2589"/>
      <c r="E1242" s="2345"/>
      <c r="F1242" s="2589"/>
      <c r="G1242" s="2346"/>
      <c r="H1242" s="2589"/>
      <c r="I1242" s="2589"/>
      <c r="J1242" s="2589"/>
      <c r="K1242" s="2347"/>
      <c r="L1242" s="2589"/>
      <c r="M1242" s="2589"/>
      <c r="N1242" s="2589"/>
      <c r="O1242" s="2589"/>
      <c r="P1242" s="2346"/>
      <c r="Q1242" s="2589"/>
      <c r="R1242" s="2347"/>
      <c r="S1242" s="2347"/>
      <c r="T1242" s="2348"/>
      <c r="U1242" s="2348"/>
      <c r="V1242" s="2348"/>
      <c r="W1242" s="2347"/>
      <c r="X1242" s="2347"/>
      <c r="Y1242" s="2589"/>
      <c r="Z1242" s="2589"/>
      <c r="AA1242" s="2589"/>
      <c r="AB1242" s="2589"/>
      <c r="AC1242" s="2589"/>
    </row>
    <row r="1243" spans="1:29">
      <c r="A1243" s="2589"/>
      <c r="B1243" s="2346"/>
      <c r="C1243" s="2589"/>
      <c r="D1243" s="2589"/>
      <c r="E1243" s="2345"/>
      <c r="F1243" s="2589"/>
      <c r="G1243" s="2346"/>
      <c r="H1243" s="2589"/>
      <c r="I1243" s="2589"/>
      <c r="J1243" s="2589"/>
      <c r="K1243" s="2347"/>
      <c r="L1243" s="2589"/>
      <c r="M1243" s="2589"/>
      <c r="N1243" s="2589"/>
      <c r="O1243" s="2589"/>
      <c r="P1243" s="2346"/>
      <c r="Q1243" s="2589"/>
      <c r="R1243" s="2347"/>
      <c r="S1243" s="2347"/>
      <c r="T1243" s="2348"/>
      <c r="U1243" s="2348"/>
      <c r="V1243" s="2348"/>
      <c r="W1243" s="2347"/>
      <c r="X1243" s="2347"/>
      <c r="Y1243" s="2589"/>
      <c r="Z1243" s="2589"/>
      <c r="AA1243" s="2589"/>
      <c r="AB1243" s="2589"/>
      <c r="AC1243" s="2589"/>
    </row>
    <row r="1244" spans="1:29">
      <c r="A1244" s="2589"/>
      <c r="B1244" s="2346"/>
      <c r="C1244" s="2589"/>
      <c r="D1244" s="2589"/>
      <c r="E1244" s="2345"/>
      <c r="F1244" s="2589"/>
      <c r="G1244" s="2346"/>
      <c r="H1244" s="2589"/>
      <c r="I1244" s="2589"/>
      <c r="J1244" s="2589"/>
      <c r="K1244" s="2347"/>
      <c r="L1244" s="2589"/>
      <c r="M1244" s="2589"/>
      <c r="N1244" s="2589"/>
      <c r="O1244" s="2589"/>
      <c r="P1244" s="2346"/>
      <c r="Q1244" s="2589"/>
      <c r="R1244" s="2347"/>
      <c r="S1244" s="2347"/>
      <c r="T1244" s="2348"/>
      <c r="U1244" s="2348"/>
      <c r="V1244" s="2348"/>
      <c r="W1244" s="2347"/>
      <c r="X1244" s="2347"/>
      <c r="Y1244" s="2589"/>
      <c r="Z1244" s="2589"/>
      <c r="AA1244" s="2589"/>
      <c r="AB1244" s="2589"/>
      <c r="AC1244" s="2589"/>
    </row>
    <row r="1245" spans="1:29">
      <c r="A1245" s="2589"/>
      <c r="B1245" s="2346"/>
      <c r="C1245" s="2589"/>
      <c r="D1245" s="2589"/>
      <c r="E1245" s="2345"/>
      <c r="F1245" s="2589"/>
      <c r="G1245" s="2346"/>
      <c r="H1245" s="2589"/>
      <c r="I1245" s="2589"/>
      <c r="J1245" s="2589"/>
      <c r="K1245" s="2347"/>
      <c r="L1245" s="2589"/>
      <c r="M1245" s="2589"/>
      <c r="N1245" s="2589"/>
      <c r="O1245" s="2589"/>
      <c r="P1245" s="2346"/>
      <c r="Q1245" s="2589"/>
      <c r="R1245" s="2347"/>
      <c r="S1245" s="2347"/>
      <c r="T1245" s="2348"/>
      <c r="U1245" s="2348"/>
      <c r="V1245" s="2348"/>
      <c r="W1245" s="2347"/>
      <c r="X1245" s="2347"/>
      <c r="Y1245" s="2589"/>
      <c r="Z1245" s="2589"/>
      <c r="AA1245" s="2589"/>
      <c r="AB1245" s="2589"/>
      <c r="AC1245" s="2589"/>
    </row>
    <row r="1246" spans="1:29">
      <c r="A1246" s="2589"/>
      <c r="B1246" s="2346"/>
      <c r="C1246" s="2589"/>
      <c r="D1246" s="2589"/>
      <c r="E1246" s="2345"/>
      <c r="F1246" s="2589"/>
      <c r="G1246" s="2346"/>
      <c r="H1246" s="2589"/>
      <c r="I1246" s="2589"/>
      <c r="J1246" s="2589"/>
      <c r="K1246" s="2347"/>
      <c r="L1246" s="2589"/>
      <c r="M1246" s="2589"/>
      <c r="N1246" s="2589"/>
      <c r="O1246" s="2589"/>
      <c r="P1246" s="2346"/>
      <c r="Q1246" s="2589"/>
      <c r="R1246" s="2347"/>
      <c r="S1246" s="2347"/>
      <c r="T1246" s="2348"/>
      <c r="U1246" s="2348"/>
      <c r="V1246" s="2348"/>
      <c r="W1246" s="2347"/>
      <c r="X1246" s="2347"/>
      <c r="Y1246" s="2589"/>
      <c r="Z1246" s="2589"/>
      <c r="AA1246" s="2589"/>
      <c r="AB1246" s="2589"/>
      <c r="AC1246" s="2589"/>
    </row>
    <row r="1247" spans="1:29">
      <c r="A1247" s="2589"/>
      <c r="B1247" s="2346"/>
      <c r="C1247" s="2589"/>
      <c r="D1247" s="2589"/>
      <c r="E1247" s="2345"/>
      <c r="F1247" s="2589"/>
      <c r="G1247" s="2346"/>
      <c r="H1247" s="2589"/>
      <c r="I1247" s="2589"/>
      <c r="J1247" s="2589"/>
      <c r="K1247" s="2347"/>
      <c r="L1247" s="2589"/>
      <c r="M1247" s="2589"/>
      <c r="N1247" s="2589"/>
      <c r="O1247" s="2589"/>
      <c r="P1247" s="2346"/>
      <c r="Q1247" s="2589"/>
      <c r="R1247" s="2347"/>
      <c r="S1247" s="2347"/>
      <c r="T1247" s="2348"/>
      <c r="U1247" s="2348"/>
      <c r="V1247" s="2348"/>
      <c r="W1247" s="2347"/>
      <c r="X1247" s="2347"/>
      <c r="Y1247" s="2589"/>
      <c r="Z1247" s="2589"/>
      <c r="AA1247" s="2589"/>
      <c r="AB1247" s="2589"/>
      <c r="AC1247" s="2589"/>
    </row>
    <row r="1248" spans="1:29">
      <c r="A1248" s="2589"/>
      <c r="B1248" s="2346"/>
      <c r="C1248" s="2589"/>
      <c r="D1248" s="2589"/>
      <c r="E1248" s="2345"/>
      <c r="F1248" s="2589"/>
      <c r="G1248" s="2346"/>
      <c r="H1248" s="2589"/>
      <c r="I1248" s="2589"/>
      <c r="J1248" s="2589"/>
      <c r="K1248" s="2347"/>
      <c r="L1248" s="2589"/>
      <c r="M1248" s="2589"/>
      <c r="N1248" s="2589"/>
      <c r="O1248" s="2589"/>
      <c r="P1248" s="2346"/>
      <c r="Q1248" s="2589"/>
      <c r="R1248" s="2347"/>
      <c r="S1248" s="2347"/>
      <c r="T1248" s="2348"/>
      <c r="U1248" s="2348"/>
      <c r="V1248" s="2348"/>
      <c r="W1248" s="2347"/>
      <c r="X1248" s="2347"/>
      <c r="Y1248" s="2589"/>
      <c r="Z1248" s="2589"/>
      <c r="AA1248" s="2589"/>
      <c r="AB1248" s="2589"/>
      <c r="AC1248" s="2589"/>
    </row>
    <row r="1249" spans="1:29">
      <c r="A1249" s="2589"/>
      <c r="B1249" s="2346"/>
      <c r="C1249" s="2589"/>
      <c r="D1249" s="2589"/>
      <c r="E1249" s="2345"/>
      <c r="F1249" s="2589"/>
      <c r="G1249" s="2346"/>
      <c r="H1249" s="2589"/>
      <c r="I1249" s="2589"/>
      <c r="J1249" s="2589"/>
      <c r="K1249" s="2347"/>
      <c r="L1249" s="2589"/>
      <c r="M1249" s="2589"/>
      <c r="N1249" s="2589"/>
      <c r="O1249" s="2589"/>
      <c r="P1249" s="2346"/>
      <c r="Q1249" s="2589"/>
      <c r="R1249" s="2347"/>
      <c r="S1249" s="2347"/>
      <c r="T1249" s="2348"/>
      <c r="U1249" s="2348"/>
      <c r="V1249" s="2348"/>
      <c r="W1249" s="2347"/>
      <c r="X1249" s="2347"/>
      <c r="Y1249" s="2589"/>
      <c r="Z1249" s="2589"/>
      <c r="AA1249" s="2589"/>
      <c r="AB1249" s="2589"/>
      <c r="AC1249" s="2589"/>
    </row>
    <row r="1250" spans="1:29">
      <c r="A1250" s="2589"/>
      <c r="B1250" s="2346"/>
      <c r="C1250" s="2589"/>
      <c r="D1250" s="2589"/>
      <c r="E1250" s="2345"/>
      <c r="F1250" s="2589"/>
      <c r="G1250" s="2346"/>
      <c r="H1250" s="2589"/>
      <c r="I1250" s="2589"/>
      <c r="J1250" s="2589"/>
      <c r="K1250" s="2347"/>
      <c r="L1250" s="2589"/>
      <c r="M1250" s="2589"/>
      <c r="N1250" s="2589"/>
      <c r="O1250" s="2589"/>
      <c r="P1250" s="2346"/>
      <c r="Q1250" s="2589"/>
      <c r="R1250" s="2347"/>
      <c r="S1250" s="2347"/>
      <c r="T1250" s="2348"/>
      <c r="U1250" s="2348"/>
      <c r="V1250" s="2348"/>
      <c r="W1250" s="2347"/>
      <c r="X1250" s="2347"/>
      <c r="Y1250" s="2589"/>
      <c r="Z1250" s="2589"/>
      <c r="AA1250" s="2589"/>
      <c r="AB1250" s="2589"/>
      <c r="AC1250" s="2589"/>
    </row>
    <row r="1251" spans="1:29">
      <c r="A1251" s="2589"/>
      <c r="B1251" s="2346"/>
      <c r="C1251" s="2589"/>
      <c r="D1251" s="2589"/>
      <c r="E1251" s="2345"/>
      <c r="F1251" s="2589"/>
      <c r="G1251" s="2346"/>
      <c r="H1251" s="2589"/>
      <c r="I1251" s="2589"/>
      <c r="J1251" s="2589"/>
      <c r="K1251" s="2347"/>
      <c r="L1251" s="2589"/>
      <c r="M1251" s="2589"/>
      <c r="N1251" s="2589"/>
      <c r="O1251" s="2589"/>
      <c r="P1251" s="2346"/>
      <c r="Q1251" s="2589"/>
      <c r="R1251" s="2347"/>
      <c r="S1251" s="2347"/>
      <c r="T1251" s="2348"/>
      <c r="U1251" s="2348"/>
      <c r="V1251" s="2348"/>
      <c r="W1251" s="2347"/>
      <c r="X1251" s="2347"/>
      <c r="Y1251" s="2589"/>
      <c r="Z1251" s="2589"/>
      <c r="AA1251" s="2589"/>
      <c r="AB1251" s="2589"/>
      <c r="AC1251" s="2589"/>
    </row>
    <row r="1252" spans="1:29">
      <c r="A1252" s="2589"/>
      <c r="B1252" s="2346"/>
      <c r="C1252" s="2589"/>
      <c r="D1252" s="2589"/>
      <c r="E1252" s="2345"/>
      <c r="F1252" s="2589"/>
      <c r="G1252" s="2346"/>
      <c r="H1252" s="2589"/>
      <c r="I1252" s="2589"/>
      <c r="J1252" s="2589"/>
      <c r="K1252" s="2347"/>
      <c r="L1252" s="2589"/>
      <c r="M1252" s="2589"/>
      <c r="N1252" s="2589"/>
      <c r="O1252" s="2589"/>
      <c r="P1252" s="2346"/>
      <c r="Q1252" s="2589"/>
      <c r="R1252" s="2347"/>
      <c r="S1252" s="2347"/>
      <c r="T1252" s="2348"/>
      <c r="U1252" s="2348"/>
      <c r="V1252" s="2348"/>
      <c r="W1252" s="2347"/>
      <c r="X1252" s="2347"/>
      <c r="Y1252" s="2589"/>
      <c r="Z1252" s="2589"/>
      <c r="AA1252" s="2589"/>
      <c r="AB1252" s="2589"/>
      <c r="AC1252" s="2589"/>
    </row>
    <row r="1253" spans="1:29">
      <c r="A1253" s="2589"/>
      <c r="B1253" s="2346"/>
      <c r="C1253" s="2589"/>
      <c r="D1253" s="2589"/>
      <c r="E1253" s="2345"/>
      <c r="F1253" s="2589"/>
      <c r="G1253" s="2346"/>
      <c r="H1253" s="2589"/>
      <c r="I1253" s="2589"/>
      <c r="J1253" s="2589"/>
      <c r="K1253" s="2347"/>
      <c r="L1253" s="2589"/>
      <c r="M1253" s="2589"/>
      <c r="N1253" s="2589"/>
      <c r="O1253" s="2589"/>
      <c r="P1253" s="2346"/>
      <c r="Q1253" s="2589"/>
      <c r="R1253" s="2347"/>
      <c r="S1253" s="2347"/>
      <c r="T1253" s="2348"/>
      <c r="U1253" s="2348"/>
      <c r="V1253" s="2348"/>
      <c r="W1253" s="2347"/>
      <c r="X1253" s="2347"/>
      <c r="Y1253" s="2589"/>
      <c r="Z1253" s="2589"/>
      <c r="AA1253" s="2589"/>
      <c r="AB1253" s="2589"/>
      <c r="AC1253" s="2589"/>
    </row>
    <row r="1254" spans="1:29">
      <c r="A1254" s="2589"/>
      <c r="B1254" s="2346"/>
      <c r="C1254" s="2589"/>
      <c r="D1254" s="2589"/>
      <c r="E1254" s="2345"/>
      <c r="F1254" s="2589"/>
      <c r="G1254" s="2346"/>
      <c r="H1254" s="2589"/>
      <c r="I1254" s="2589"/>
      <c r="J1254" s="2589"/>
      <c r="K1254" s="2347"/>
      <c r="L1254" s="2589"/>
      <c r="M1254" s="2589"/>
      <c r="N1254" s="2589"/>
      <c r="O1254" s="2589"/>
      <c r="P1254" s="2346"/>
      <c r="Q1254" s="2589"/>
      <c r="R1254" s="2347"/>
      <c r="S1254" s="2347"/>
      <c r="T1254" s="2348"/>
      <c r="U1254" s="2348"/>
      <c r="V1254" s="2348"/>
      <c r="W1254" s="2347"/>
      <c r="X1254" s="2347"/>
      <c r="Y1254" s="2589"/>
      <c r="Z1254" s="2589"/>
      <c r="AA1254" s="2589"/>
      <c r="AB1254" s="2589"/>
      <c r="AC1254" s="2589"/>
    </row>
    <row r="1255" spans="1:29">
      <c r="A1255" s="2589"/>
      <c r="B1255" s="2346"/>
      <c r="C1255" s="2589"/>
      <c r="D1255" s="2589"/>
      <c r="E1255" s="2345"/>
      <c r="F1255" s="2589"/>
      <c r="G1255" s="2346"/>
      <c r="H1255" s="2589"/>
      <c r="I1255" s="2589"/>
      <c r="J1255" s="2589"/>
      <c r="K1255" s="2347"/>
      <c r="L1255" s="2589"/>
      <c r="M1255" s="2589"/>
      <c r="N1255" s="2589"/>
      <c r="O1255" s="2589"/>
      <c r="P1255" s="2346"/>
      <c r="Q1255" s="2589"/>
      <c r="R1255" s="2347"/>
      <c r="S1255" s="2347"/>
      <c r="T1255" s="2348"/>
      <c r="U1255" s="2348"/>
      <c r="V1255" s="2348"/>
      <c r="W1255" s="2347"/>
      <c r="X1255" s="2347"/>
      <c r="Y1255" s="2589"/>
      <c r="Z1255" s="2589"/>
      <c r="AA1255" s="2589"/>
      <c r="AB1255" s="2589"/>
      <c r="AC1255" s="2589"/>
    </row>
    <row r="1256" spans="1:29">
      <c r="A1256" s="2589"/>
      <c r="B1256" s="2346"/>
      <c r="C1256" s="2589"/>
      <c r="D1256" s="2589"/>
      <c r="E1256" s="2345"/>
      <c r="F1256" s="2589"/>
      <c r="G1256" s="2346"/>
      <c r="H1256" s="2589"/>
      <c r="I1256" s="2589"/>
      <c r="J1256" s="2589"/>
      <c r="K1256" s="2347"/>
      <c r="L1256" s="2589"/>
      <c r="M1256" s="2589"/>
      <c r="N1256" s="2589"/>
      <c r="O1256" s="2589"/>
      <c r="P1256" s="2346"/>
      <c r="Q1256" s="2589"/>
      <c r="R1256" s="2347"/>
      <c r="S1256" s="2347"/>
      <c r="T1256" s="2348"/>
      <c r="U1256" s="2348"/>
      <c r="V1256" s="2348"/>
      <c r="W1256" s="2347"/>
      <c r="X1256" s="2347"/>
      <c r="Y1256" s="2589"/>
      <c r="Z1256" s="2589"/>
      <c r="AA1256" s="2589"/>
      <c r="AB1256" s="2589"/>
      <c r="AC1256" s="2589"/>
    </row>
    <row r="1257" spans="1:29">
      <c r="A1257" s="2589"/>
      <c r="B1257" s="2346"/>
      <c r="C1257" s="2589"/>
      <c r="D1257" s="2589"/>
      <c r="E1257" s="2345"/>
      <c r="F1257" s="2589"/>
      <c r="G1257" s="2346"/>
      <c r="H1257" s="2589"/>
      <c r="I1257" s="2589"/>
      <c r="J1257" s="2589"/>
      <c r="K1257" s="2347"/>
      <c r="L1257" s="2589"/>
      <c r="M1257" s="2589"/>
      <c r="N1257" s="2589"/>
      <c r="O1257" s="2589"/>
      <c r="P1257" s="2346"/>
      <c r="Q1257" s="2589"/>
      <c r="R1257" s="2347"/>
      <c r="S1257" s="2347"/>
      <c r="T1257" s="2348"/>
      <c r="U1257" s="2348"/>
      <c r="V1257" s="2348"/>
      <c r="W1257" s="2347"/>
      <c r="X1257" s="2347"/>
      <c r="Y1257" s="2589"/>
      <c r="Z1257" s="2589"/>
      <c r="AA1257" s="2589"/>
      <c r="AB1257" s="2589"/>
      <c r="AC1257" s="2589"/>
    </row>
    <row r="1258" spans="1:29">
      <c r="A1258" s="2589"/>
      <c r="B1258" s="2346"/>
      <c r="C1258" s="2589"/>
      <c r="D1258" s="2589"/>
      <c r="E1258" s="2345"/>
      <c r="F1258" s="2589"/>
      <c r="G1258" s="2346"/>
      <c r="H1258" s="2589"/>
      <c r="I1258" s="2589"/>
      <c r="J1258" s="2589"/>
      <c r="K1258" s="2347"/>
      <c r="L1258" s="2589"/>
      <c r="M1258" s="2589"/>
      <c r="N1258" s="2589"/>
      <c r="O1258" s="2589"/>
      <c r="P1258" s="2346"/>
      <c r="Q1258" s="2589"/>
      <c r="R1258" s="2347"/>
      <c r="S1258" s="2347"/>
      <c r="T1258" s="2348"/>
      <c r="U1258" s="2348"/>
      <c r="V1258" s="2348"/>
      <c r="W1258" s="2347"/>
      <c r="X1258" s="2347"/>
      <c r="Y1258" s="2589"/>
      <c r="Z1258" s="2589"/>
      <c r="AA1258" s="2589"/>
      <c r="AB1258" s="2589"/>
      <c r="AC1258" s="2589"/>
    </row>
    <row r="1259" spans="1:29">
      <c r="A1259" s="2589"/>
      <c r="B1259" s="2346"/>
      <c r="C1259" s="2589"/>
      <c r="D1259" s="2589"/>
      <c r="E1259" s="2345"/>
      <c r="F1259" s="2589"/>
      <c r="G1259" s="2346"/>
      <c r="H1259" s="2589"/>
      <c r="I1259" s="2589"/>
      <c r="J1259" s="2589"/>
      <c r="K1259" s="2347"/>
      <c r="L1259" s="2589"/>
      <c r="M1259" s="2589"/>
      <c r="N1259" s="2589"/>
      <c r="O1259" s="2589"/>
      <c r="P1259" s="2346"/>
      <c r="Q1259" s="2589"/>
      <c r="R1259" s="2347"/>
      <c r="S1259" s="2347"/>
      <c r="T1259" s="2348"/>
      <c r="U1259" s="2348"/>
      <c r="V1259" s="2348"/>
      <c r="W1259" s="2347"/>
      <c r="X1259" s="2347"/>
      <c r="Y1259" s="2589"/>
      <c r="Z1259" s="2589"/>
      <c r="AA1259" s="2589"/>
      <c r="AB1259" s="2589"/>
      <c r="AC1259" s="2589"/>
    </row>
    <row r="1260" spans="1:29">
      <c r="A1260" s="2589"/>
      <c r="B1260" s="2346"/>
      <c r="C1260" s="2589"/>
      <c r="D1260" s="2589"/>
      <c r="E1260" s="2345"/>
      <c r="F1260" s="2589"/>
      <c r="G1260" s="2346"/>
      <c r="H1260" s="2589"/>
      <c r="I1260" s="2589"/>
      <c r="J1260" s="2589"/>
      <c r="K1260" s="2347"/>
      <c r="L1260" s="2589"/>
      <c r="M1260" s="2589"/>
      <c r="N1260" s="2589"/>
      <c r="O1260" s="2589"/>
      <c r="P1260" s="2346"/>
      <c r="Q1260" s="2589"/>
      <c r="R1260" s="2347"/>
      <c r="S1260" s="2347"/>
      <c r="T1260" s="2348"/>
      <c r="U1260" s="2348"/>
      <c r="V1260" s="2348"/>
      <c r="W1260" s="2347"/>
      <c r="X1260" s="2347"/>
      <c r="Y1260" s="2589"/>
      <c r="Z1260" s="2589"/>
      <c r="AA1260" s="2589"/>
      <c r="AB1260" s="2589"/>
      <c r="AC1260" s="2589"/>
    </row>
    <row r="1261" spans="1:29">
      <c r="A1261" s="2589"/>
      <c r="B1261" s="2346"/>
      <c r="C1261" s="2589"/>
      <c r="D1261" s="2589"/>
      <c r="E1261" s="2345"/>
      <c r="F1261" s="2589"/>
      <c r="G1261" s="2346"/>
      <c r="H1261" s="2589"/>
      <c r="I1261" s="2589"/>
      <c r="J1261" s="2589"/>
      <c r="K1261" s="2347"/>
      <c r="L1261" s="2589"/>
      <c r="M1261" s="2589"/>
      <c r="N1261" s="2589"/>
      <c r="O1261" s="2589"/>
      <c r="P1261" s="2346"/>
      <c r="Q1261" s="2589"/>
      <c r="R1261" s="2347"/>
      <c r="S1261" s="2347"/>
      <c r="T1261" s="2348"/>
      <c r="U1261" s="2348"/>
      <c r="V1261" s="2348"/>
      <c r="W1261" s="2347"/>
      <c r="X1261" s="2347"/>
      <c r="Y1261" s="2589"/>
      <c r="Z1261" s="2589"/>
      <c r="AA1261" s="2589"/>
      <c r="AB1261" s="2589"/>
      <c r="AC1261" s="2589"/>
    </row>
    <row r="1262" spans="1:29">
      <c r="A1262" s="2589"/>
      <c r="B1262" s="2346"/>
      <c r="C1262" s="2589"/>
      <c r="D1262" s="2589"/>
      <c r="E1262" s="2345"/>
      <c r="F1262" s="2589"/>
      <c r="G1262" s="2346"/>
      <c r="H1262" s="2589"/>
      <c r="I1262" s="2589"/>
      <c r="J1262" s="2589"/>
      <c r="K1262" s="2347"/>
      <c r="L1262" s="2589"/>
      <c r="M1262" s="2589"/>
      <c r="N1262" s="2589"/>
      <c r="O1262" s="2589"/>
      <c r="P1262" s="2346"/>
      <c r="Q1262" s="2589"/>
      <c r="R1262" s="2347"/>
      <c r="S1262" s="2347"/>
      <c r="T1262" s="2348"/>
      <c r="U1262" s="2348"/>
      <c r="V1262" s="2348"/>
      <c r="W1262" s="2347"/>
      <c r="X1262" s="2347"/>
      <c r="Y1262" s="2589"/>
      <c r="Z1262" s="2589"/>
      <c r="AA1262" s="2589"/>
      <c r="AB1262" s="2589"/>
      <c r="AC1262" s="2589"/>
    </row>
    <row r="1263" spans="1:29">
      <c r="A1263" s="2589"/>
      <c r="B1263" s="2346"/>
      <c r="C1263" s="2589"/>
      <c r="D1263" s="2589"/>
      <c r="E1263" s="2345"/>
      <c r="F1263" s="2589"/>
      <c r="G1263" s="2346"/>
      <c r="H1263" s="2589"/>
      <c r="I1263" s="2589"/>
      <c r="J1263" s="2589"/>
      <c r="K1263" s="2347"/>
      <c r="L1263" s="2589"/>
      <c r="M1263" s="2589"/>
      <c r="N1263" s="2589"/>
      <c r="O1263" s="2589"/>
      <c r="P1263" s="2346"/>
      <c r="Q1263" s="2589"/>
      <c r="R1263" s="2347"/>
      <c r="S1263" s="2347"/>
      <c r="T1263" s="2348"/>
      <c r="U1263" s="2348"/>
      <c r="V1263" s="2348"/>
      <c r="W1263" s="2347"/>
      <c r="X1263" s="2347"/>
      <c r="Y1263" s="2589"/>
      <c r="Z1263" s="2589"/>
      <c r="AA1263" s="2589"/>
      <c r="AB1263" s="2589"/>
      <c r="AC1263" s="2589"/>
    </row>
    <row r="1264" spans="1:29">
      <c r="A1264" s="2589"/>
      <c r="B1264" s="2346"/>
      <c r="C1264" s="2589"/>
      <c r="D1264" s="2589"/>
      <c r="E1264" s="2345"/>
      <c r="F1264" s="2589"/>
      <c r="G1264" s="2346"/>
      <c r="H1264" s="2589"/>
      <c r="I1264" s="2589"/>
      <c r="J1264" s="2589"/>
      <c r="K1264" s="2347"/>
      <c r="L1264" s="2589"/>
      <c r="M1264" s="2589"/>
      <c r="N1264" s="2589"/>
      <c r="O1264" s="2589"/>
      <c r="P1264" s="2346"/>
      <c r="Q1264" s="2589"/>
      <c r="R1264" s="2347"/>
      <c r="S1264" s="2347"/>
      <c r="T1264" s="2348"/>
      <c r="U1264" s="2348"/>
      <c r="V1264" s="2348"/>
      <c r="W1264" s="2347"/>
      <c r="X1264" s="2347"/>
      <c r="Y1264" s="2589"/>
      <c r="Z1264" s="2589"/>
      <c r="AA1264" s="2589"/>
      <c r="AB1264" s="2589"/>
      <c r="AC1264" s="2589"/>
    </row>
    <row r="1265" spans="1:29">
      <c r="A1265" s="2589"/>
      <c r="B1265" s="2346"/>
      <c r="C1265" s="2589"/>
      <c r="D1265" s="2589"/>
      <c r="E1265" s="2345"/>
      <c r="F1265" s="2589"/>
      <c r="G1265" s="2346"/>
      <c r="H1265" s="2589"/>
      <c r="I1265" s="2589"/>
      <c r="J1265" s="2589"/>
      <c r="K1265" s="2347"/>
      <c r="L1265" s="2589"/>
      <c r="M1265" s="2589"/>
      <c r="N1265" s="2589"/>
      <c r="O1265" s="2589"/>
      <c r="P1265" s="2346"/>
      <c r="Q1265" s="2589"/>
      <c r="R1265" s="2347"/>
      <c r="S1265" s="2347"/>
      <c r="T1265" s="2348"/>
      <c r="U1265" s="2348"/>
      <c r="V1265" s="2348"/>
      <c r="W1265" s="2347"/>
      <c r="X1265" s="2347"/>
      <c r="Y1265" s="2589"/>
      <c r="Z1265" s="2589"/>
      <c r="AA1265" s="2589"/>
      <c r="AB1265" s="2589"/>
      <c r="AC1265" s="2589"/>
    </row>
    <row r="1266" spans="1:29">
      <c r="A1266" s="2589"/>
      <c r="B1266" s="2346"/>
      <c r="C1266" s="2589"/>
      <c r="D1266" s="2589"/>
      <c r="E1266" s="2345"/>
      <c r="F1266" s="2589"/>
      <c r="G1266" s="2346"/>
      <c r="H1266" s="2589"/>
      <c r="I1266" s="2589"/>
      <c r="J1266" s="2589"/>
      <c r="K1266" s="2347"/>
      <c r="L1266" s="2589"/>
      <c r="M1266" s="2589"/>
      <c r="N1266" s="2589"/>
      <c r="O1266" s="2589"/>
      <c r="P1266" s="2346"/>
      <c r="Q1266" s="2589"/>
      <c r="R1266" s="2347"/>
      <c r="S1266" s="2347"/>
      <c r="T1266" s="2348"/>
      <c r="U1266" s="2348"/>
      <c r="V1266" s="2348"/>
      <c r="W1266" s="2347"/>
      <c r="X1266" s="2347"/>
      <c r="Y1266" s="2589"/>
      <c r="Z1266" s="2589"/>
      <c r="AA1266" s="2589"/>
      <c r="AB1266" s="2589"/>
      <c r="AC1266" s="2589"/>
    </row>
    <row r="1267" spans="1:29">
      <c r="A1267" s="2589"/>
      <c r="B1267" s="2346"/>
      <c r="C1267" s="2589"/>
      <c r="D1267" s="2589"/>
      <c r="E1267" s="2345"/>
      <c r="F1267" s="2589"/>
      <c r="G1267" s="2346"/>
      <c r="H1267" s="2589"/>
      <c r="I1267" s="2589"/>
      <c r="J1267" s="2589"/>
      <c r="K1267" s="2347"/>
      <c r="L1267" s="2589"/>
      <c r="M1267" s="2589"/>
      <c r="N1267" s="2589"/>
      <c r="O1267" s="2589"/>
      <c r="P1267" s="2346"/>
      <c r="Q1267" s="2589"/>
      <c r="R1267" s="2347"/>
      <c r="S1267" s="2347"/>
      <c r="T1267" s="2348"/>
      <c r="U1267" s="2348"/>
      <c r="V1267" s="2348"/>
      <c r="W1267" s="2347"/>
      <c r="X1267" s="2347"/>
      <c r="Y1267" s="2589"/>
      <c r="Z1267" s="2589"/>
      <c r="AA1267" s="2589"/>
      <c r="AB1267" s="2589"/>
      <c r="AC1267" s="2589"/>
    </row>
    <row r="1268" spans="1:29">
      <c r="A1268" s="2589"/>
      <c r="B1268" s="2346"/>
      <c r="C1268" s="2589"/>
      <c r="D1268" s="2589"/>
      <c r="E1268" s="2345"/>
      <c r="F1268" s="2589"/>
      <c r="G1268" s="2346"/>
      <c r="H1268" s="2589"/>
      <c r="I1268" s="2589"/>
      <c r="J1268" s="2589"/>
      <c r="K1268" s="2347"/>
      <c r="L1268" s="2589"/>
      <c r="M1268" s="2589"/>
      <c r="N1268" s="2589"/>
      <c r="O1268" s="2589"/>
      <c r="P1268" s="2346"/>
      <c r="Q1268" s="2589"/>
      <c r="R1268" s="2347"/>
      <c r="S1268" s="2347"/>
      <c r="T1268" s="2348"/>
      <c r="U1268" s="2348"/>
      <c r="V1268" s="2348"/>
      <c r="W1268" s="2347"/>
      <c r="X1268" s="2347"/>
      <c r="Y1268" s="2589"/>
      <c r="Z1268" s="2589"/>
      <c r="AA1268" s="2589"/>
      <c r="AB1268" s="2589"/>
      <c r="AC1268" s="2589"/>
    </row>
    <row r="1269" spans="1:29">
      <c r="A1269" s="2589"/>
      <c r="B1269" s="2346"/>
      <c r="C1269" s="2589"/>
      <c r="D1269" s="2589"/>
      <c r="E1269" s="2345"/>
      <c r="F1269" s="2589"/>
      <c r="G1269" s="2346"/>
      <c r="H1269" s="2589"/>
      <c r="I1269" s="2589"/>
      <c r="J1269" s="2589"/>
      <c r="K1269" s="2347"/>
      <c r="L1269" s="2589"/>
      <c r="M1269" s="2589"/>
      <c r="N1269" s="2589"/>
      <c r="O1269" s="2589"/>
      <c r="P1269" s="2346"/>
      <c r="Q1269" s="2589"/>
      <c r="R1269" s="2347"/>
      <c r="S1269" s="2347"/>
      <c r="T1269" s="2348"/>
      <c r="U1269" s="2348"/>
      <c r="V1269" s="2348"/>
      <c r="W1269" s="2347"/>
      <c r="X1269" s="2347"/>
      <c r="Y1269" s="2589"/>
      <c r="Z1269" s="2589"/>
      <c r="AA1269" s="2589"/>
      <c r="AB1269" s="2589"/>
      <c r="AC1269" s="2589"/>
    </row>
    <row r="1270" spans="1:29">
      <c r="A1270" s="2589"/>
      <c r="B1270" s="2346"/>
      <c r="C1270" s="2589"/>
      <c r="D1270" s="2589"/>
      <c r="E1270" s="2345"/>
      <c r="F1270" s="2589"/>
      <c r="G1270" s="2346"/>
      <c r="H1270" s="2589"/>
      <c r="I1270" s="2589"/>
      <c r="J1270" s="2589"/>
      <c r="K1270" s="2347"/>
      <c r="L1270" s="2589"/>
      <c r="M1270" s="2589"/>
      <c r="N1270" s="2589"/>
      <c r="O1270" s="2589"/>
      <c r="P1270" s="2346"/>
      <c r="Q1270" s="2589"/>
      <c r="R1270" s="2347"/>
      <c r="S1270" s="2347"/>
      <c r="T1270" s="2348"/>
      <c r="U1270" s="2348"/>
      <c r="V1270" s="2348"/>
      <c r="W1270" s="2347"/>
      <c r="X1270" s="2347"/>
      <c r="Y1270" s="2589"/>
      <c r="Z1270" s="2589"/>
      <c r="AA1270" s="2589"/>
      <c r="AB1270" s="2589"/>
      <c r="AC1270" s="2589"/>
    </row>
    <row r="1271" spans="1:29">
      <c r="A1271" s="2589"/>
      <c r="B1271" s="2346"/>
      <c r="C1271" s="2589"/>
      <c r="D1271" s="2589"/>
      <c r="E1271" s="2345"/>
      <c r="F1271" s="2589"/>
      <c r="G1271" s="2346"/>
      <c r="H1271" s="2589"/>
      <c r="I1271" s="2589"/>
      <c r="J1271" s="2589"/>
      <c r="K1271" s="2347"/>
      <c r="L1271" s="2589"/>
      <c r="M1271" s="2589"/>
      <c r="N1271" s="2589"/>
      <c r="O1271" s="2589"/>
      <c r="P1271" s="2346"/>
      <c r="Q1271" s="2589"/>
      <c r="R1271" s="2347"/>
      <c r="S1271" s="2347"/>
      <c r="T1271" s="2348"/>
      <c r="U1271" s="2348"/>
      <c r="V1271" s="2348"/>
      <c r="W1271" s="2347"/>
      <c r="X1271" s="2347"/>
      <c r="Y1271" s="2589"/>
      <c r="Z1271" s="2589"/>
      <c r="AA1271" s="2589"/>
      <c r="AB1271" s="2589"/>
      <c r="AC1271" s="2589"/>
    </row>
    <row r="1272" spans="1:29">
      <c r="A1272" s="2589"/>
      <c r="B1272" s="2346"/>
      <c r="C1272" s="2589"/>
      <c r="D1272" s="2589"/>
      <c r="E1272" s="2345"/>
      <c r="F1272" s="2589"/>
      <c r="G1272" s="2346"/>
      <c r="H1272" s="2589"/>
      <c r="I1272" s="2589"/>
      <c r="J1272" s="2589"/>
      <c r="K1272" s="2347"/>
      <c r="L1272" s="2589"/>
      <c r="M1272" s="2589"/>
      <c r="N1272" s="2589"/>
      <c r="O1272" s="2589"/>
      <c r="P1272" s="2346"/>
      <c r="Q1272" s="2589"/>
      <c r="R1272" s="2347"/>
      <c r="S1272" s="2347"/>
      <c r="T1272" s="2348"/>
      <c r="U1272" s="2348"/>
      <c r="V1272" s="2348"/>
      <c r="W1272" s="2347"/>
      <c r="X1272" s="2347"/>
      <c r="Y1272" s="2589"/>
      <c r="Z1272" s="2589"/>
      <c r="AA1272" s="2589"/>
      <c r="AB1272" s="2589"/>
      <c r="AC1272" s="2589"/>
    </row>
    <row r="1273" spans="1:29">
      <c r="A1273" s="2589"/>
      <c r="B1273" s="2346"/>
      <c r="C1273" s="2589"/>
      <c r="D1273" s="2589"/>
      <c r="E1273" s="2345"/>
      <c r="F1273" s="2589"/>
      <c r="G1273" s="2346"/>
      <c r="H1273" s="2589"/>
      <c r="I1273" s="2589"/>
      <c r="J1273" s="2589"/>
      <c r="K1273" s="2347"/>
      <c r="L1273" s="2589"/>
      <c r="M1273" s="2589"/>
      <c r="N1273" s="2589"/>
      <c r="O1273" s="2589"/>
      <c r="P1273" s="2346"/>
      <c r="Q1273" s="2589"/>
      <c r="R1273" s="2347"/>
      <c r="S1273" s="2347"/>
      <c r="T1273" s="2348"/>
      <c r="U1273" s="2348"/>
      <c r="V1273" s="2348"/>
      <c r="W1273" s="2347"/>
      <c r="X1273" s="2347"/>
      <c r="Y1273" s="2589"/>
      <c r="Z1273" s="2589"/>
      <c r="AA1273" s="2589"/>
      <c r="AB1273" s="2589"/>
      <c r="AC1273" s="2589"/>
    </row>
    <row r="1274" spans="1:29">
      <c r="A1274" s="2589"/>
      <c r="B1274" s="2346"/>
      <c r="C1274" s="2589"/>
      <c r="D1274" s="2589"/>
      <c r="E1274" s="2345"/>
      <c r="F1274" s="2589"/>
      <c r="G1274" s="2346"/>
      <c r="H1274" s="2589"/>
      <c r="I1274" s="2589"/>
      <c r="J1274" s="2589"/>
      <c r="K1274" s="2347"/>
      <c r="L1274" s="2589"/>
      <c r="M1274" s="2589"/>
      <c r="N1274" s="2589"/>
      <c r="O1274" s="2589"/>
      <c r="P1274" s="2346"/>
      <c r="Q1274" s="2589"/>
      <c r="R1274" s="2347"/>
      <c r="S1274" s="2347"/>
      <c r="T1274" s="2348"/>
      <c r="U1274" s="2348"/>
      <c r="V1274" s="2348"/>
      <c r="W1274" s="2347"/>
      <c r="X1274" s="2347"/>
      <c r="Y1274" s="2589"/>
      <c r="Z1274" s="2589"/>
      <c r="AA1274" s="2589"/>
      <c r="AB1274" s="2589"/>
      <c r="AC1274" s="2589"/>
    </row>
    <row r="1275" spans="1:29">
      <c r="A1275" s="2589"/>
      <c r="B1275" s="2346"/>
      <c r="C1275" s="2589"/>
      <c r="D1275" s="2589"/>
      <c r="E1275" s="2345"/>
      <c r="F1275" s="2589"/>
      <c r="G1275" s="2346"/>
      <c r="H1275" s="2589"/>
      <c r="I1275" s="2589"/>
      <c r="J1275" s="2589"/>
      <c r="K1275" s="2347"/>
      <c r="L1275" s="2589"/>
      <c r="M1275" s="2589"/>
      <c r="N1275" s="2589"/>
      <c r="O1275" s="2589"/>
      <c r="P1275" s="2346"/>
      <c r="Q1275" s="2589"/>
      <c r="R1275" s="2347"/>
      <c r="S1275" s="2347"/>
      <c r="T1275" s="2348"/>
      <c r="U1275" s="2348"/>
      <c r="V1275" s="2348"/>
      <c r="W1275" s="2347"/>
      <c r="X1275" s="2347"/>
      <c r="Y1275" s="2589"/>
      <c r="Z1275" s="2589"/>
      <c r="AA1275" s="2589"/>
      <c r="AB1275" s="2589"/>
      <c r="AC1275" s="2589"/>
    </row>
    <row r="1276" spans="1:29">
      <c r="A1276" s="2589"/>
      <c r="B1276" s="2346"/>
      <c r="C1276" s="2589"/>
      <c r="D1276" s="2589"/>
      <c r="E1276" s="2345"/>
      <c r="F1276" s="2589"/>
      <c r="G1276" s="2346"/>
      <c r="H1276" s="2589"/>
      <c r="I1276" s="2589"/>
      <c r="J1276" s="2589"/>
      <c r="K1276" s="2347"/>
      <c r="L1276" s="2589"/>
      <c r="M1276" s="2589"/>
      <c r="N1276" s="2589"/>
      <c r="O1276" s="2589"/>
      <c r="P1276" s="2346"/>
      <c r="Q1276" s="2589"/>
      <c r="R1276" s="2347"/>
      <c r="S1276" s="2347"/>
      <c r="T1276" s="2348"/>
      <c r="U1276" s="2348"/>
      <c r="V1276" s="2348"/>
      <c r="W1276" s="2347"/>
      <c r="X1276" s="2347"/>
      <c r="Y1276" s="2589"/>
      <c r="Z1276" s="2589"/>
      <c r="AA1276" s="2589"/>
      <c r="AB1276" s="2589"/>
      <c r="AC1276" s="2589"/>
    </row>
    <row r="1277" spans="1:29">
      <c r="A1277" s="2589"/>
      <c r="B1277" s="2346"/>
      <c r="C1277" s="2589"/>
      <c r="D1277" s="2589"/>
      <c r="E1277" s="2345"/>
      <c r="F1277" s="2589"/>
      <c r="G1277" s="2346"/>
      <c r="H1277" s="2589"/>
      <c r="I1277" s="2589"/>
      <c r="J1277" s="2589"/>
      <c r="K1277" s="2347"/>
      <c r="L1277" s="2589"/>
      <c r="M1277" s="2589"/>
      <c r="N1277" s="2589"/>
      <c r="O1277" s="2589"/>
      <c r="P1277" s="2346"/>
      <c r="Q1277" s="2589"/>
      <c r="R1277" s="2347"/>
      <c r="S1277" s="2347"/>
      <c r="T1277" s="2348"/>
      <c r="U1277" s="2348"/>
      <c r="V1277" s="2348"/>
      <c r="W1277" s="2347"/>
      <c r="X1277" s="2347"/>
      <c r="Y1277" s="2589"/>
      <c r="Z1277" s="2589"/>
      <c r="AA1277" s="2589"/>
      <c r="AB1277" s="2589"/>
      <c r="AC1277" s="2589"/>
    </row>
    <row r="1278" spans="1:29">
      <c r="A1278" s="2589"/>
      <c r="B1278" s="2346"/>
      <c r="C1278" s="2589"/>
      <c r="D1278" s="2589"/>
      <c r="E1278" s="2345"/>
      <c r="F1278" s="2589"/>
      <c r="G1278" s="2346"/>
      <c r="H1278" s="2589"/>
      <c r="I1278" s="2589"/>
      <c r="J1278" s="2589"/>
      <c r="K1278" s="2347"/>
      <c r="L1278" s="2589"/>
      <c r="M1278" s="2589"/>
      <c r="N1278" s="2589"/>
      <c r="O1278" s="2589"/>
      <c r="P1278" s="2346"/>
      <c r="Q1278" s="2589"/>
      <c r="R1278" s="2347"/>
      <c r="S1278" s="2347"/>
      <c r="T1278" s="2348"/>
      <c r="U1278" s="2348"/>
      <c r="V1278" s="2348"/>
      <c r="W1278" s="2347"/>
      <c r="X1278" s="2347"/>
      <c r="Y1278" s="2589"/>
      <c r="Z1278" s="2589"/>
      <c r="AA1278" s="2589"/>
      <c r="AB1278" s="2589"/>
      <c r="AC1278" s="2589"/>
    </row>
    <row r="1279" spans="1:29">
      <c r="A1279" s="2589"/>
      <c r="B1279" s="2346"/>
      <c r="C1279" s="2589"/>
      <c r="D1279" s="2589"/>
      <c r="E1279" s="2345"/>
      <c r="F1279" s="2589"/>
      <c r="G1279" s="2346"/>
      <c r="H1279" s="2589"/>
      <c r="I1279" s="2589"/>
      <c r="J1279" s="2589"/>
      <c r="K1279" s="2347"/>
      <c r="L1279" s="2589"/>
      <c r="M1279" s="2589"/>
      <c r="N1279" s="2589"/>
      <c r="O1279" s="2589"/>
      <c r="P1279" s="2346"/>
      <c r="Q1279" s="2589"/>
      <c r="R1279" s="2347"/>
      <c r="S1279" s="2347"/>
      <c r="T1279" s="2348"/>
      <c r="U1279" s="2348"/>
      <c r="V1279" s="2348"/>
      <c r="W1279" s="2347"/>
      <c r="X1279" s="2347"/>
      <c r="Y1279" s="2589"/>
      <c r="Z1279" s="2589"/>
      <c r="AA1279" s="2589"/>
      <c r="AB1279" s="2589"/>
      <c r="AC1279" s="2589"/>
    </row>
    <row r="1280" spans="1:29">
      <c r="A1280" s="2589"/>
      <c r="B1280" s="2346"/>
      <c r="C1280" s="2589"/>
      <c r="D1280" s="2589"/>
      <c r="E1280" s="2345"/>
      <c r="F1280" s="2589"/>
      <c r="G1280" s="2346"/>
      <c r="H1280" s="2589"/>
      <c r="I1280" s="2589"/>
      <c r="J1280" s="2589"/>
      <c r="K1280" s="2347"/>
      <c r="L1280" s="2589"/>
      <c r="M1280" s="2589"/>
      <c r="N1280" s="2589"/>
      <c r="O1280" s="2589"/>
      <c r="P1280" s="2346"/>
      <c r="Q1280" s="2589"/>
      <c r="R1280" s="2347"/>
      <c r="S1280" s="2347"/>
      <c r="T1280" s="2348"/>
      <c r="U1280" s="2348"/>
      <c r="V1280" s="2348"/>
      <c r="W1280" s="2347"/>
      <c r="X1280" s="2347"/>
      <c r="Y1280" s="2589"/>
      <c r="Z1280" s="2589"/>
      <c r="AA1280" s="2589"/>
      <c r="AB1280" s="2589"/>
      <c r="AC1280" s="2589"/>
    </row>
    <row r="1281" spans="1:29">
      <c r="A1281" s="2589"/>
      <c r="B1281" s="2346"/>
      <c r="C1281" s="2589"/>
      <c r="D1281" s="2589"/>
      <c r="E1281" s="2345"/>
      <c r="F1281" s="2589"/>
      <c r="G1281" s="2346"/>
      <c r="H1281" s="2589"/>
      <c r="I1281" s="2589"/>
      <c r="J1281" s="2589"/>
      <c r="K1281" s="2347"/>
      <c r="L1281" s="2589"/>
      <c r="M1281" s="2589"/>
      <c r="N1281" s="2589"/>
      <c r="O1281" s="2589"/>
      <c r="P1281" s="2346"/>
      <c r="Q1281" s="2589"/>
      <c r="R1281" s="2347"/>
      <c r="S1281" s="2347"/>
      <c r="T1281" s="2348"/>
      <c r="U1281" s="2348"/>
      <c r="V1281" s="2348"/>
      <c r="W1281" s="2347"/>
      <c r="X1281" s="2347"/>
      <c r="Y1281" s="2589"/>
      <c r="Z1281" s="2589"/>
      <c r="AA1281" s="2589"/>
      <c r="AB1281" s="2589"/>
      <c r="AC1281" s="2589"/>
    </row>
    <row r="1282" spans="1:29">
      <c r="A1282" s="2589"/>
      <c r="B1282" s="2346"/>
      <c r="C1282" s="2589"/>
      <c r="D1282" s="2589"/>
      <c r="E1282" s="2345"/>
      <c r="F1282" s="2589"/>
      <c r="G1282" s="2346"/>
      <c r="H1282" s="2589"/>
      <c r="I1282" s="2589"/>
      <c r="J1282" s="2589"/>
      <c r="K1282" s="2347"/>
      <c r="L1282" s="2589"/>
      <c r="M1282" s="2589"/>
      <c r="N1282" s="2589"/>
      <c r="O1282" s="2589"/>
      <c r="P1282" s="2346"/>
      <c r="Q1282" s="2589"/>
      <c r="R1282" s="2347"/>
      <c r="S1282" s="2347"/>
      <c r="T1282" s="2348"/>
      <c r="U1282" s="2348"/>
      <c r="V1282" s="2348"/>
      <c r="W1282" s="2347"/>
      <c r="X1282" s="2347"/>
      <c r="Y1282" s="2589"/>
      <c r="Z1282" s="2589"/>
      <c r="AA1282" s="2589"/>
      <c r="AB1282" s="2589"/>
      <c r="AC1282" s="2589"/>
    </row>
    <row r="1283" spans="1:29">
      <c r="A1283" s="2589"/>
      <c r="B1283" s="2346"/>
      <c r="C1283" s="2589"/>
      <c r="D1283" s="2589"/>
      <c r="E1283" s="2345"/>
      <c r="F1283" s="2589"/>
      <c r="G1283" s="2346"/>
      <c r="H1283" s="2589"/>
      <c r="I1283" s="2589"/>
      <c r="J1283" s="2589"/>
      <c r="K1283" s="2347"/>
      <c r="L1283" s="2589"/>
      <c r="M1283" s="2589"/>
      <c r="N1283" s="2589"/>
      <c r="O1283" s="2589"/>
      <c r="P1283" s="2346"/>
      <c r="Q1283" s="2589"/>
      <c r="R1283" s="2347"/>
      <c r="S1283" s="2347"/>
      <c r="T1283" s="2348"/>
      <c r="U1283" s="2348"/>
      <c r="V1283" s="2348"/>
      <c r="W1283" s="2347"/>
      <c r="X1283" s="2347"/>
      <c r="Y1283" s="2589"/>
      <c r="Z1283" s="2589"/>
      <c r="AA1283" s="2589"/>
      <c r="AB1283" s="2589"/>
      <c r="AC1283" s="2589"/>
    </row>
    <row r="1284" spans="1:29">
      <c r="A1284" s="2589"/>
      <c r="B1284" s="2346"/>
      <c r="C1284" s="2589"/>
      <c r="D1284" s="2589"/>
      <c r="E1284" s="2345"/>
      <c r="F1284" s="2589"/>
      <c r="G1284" s="2346"/>
      <c r="H1284" s="2589"/>
      <c r="I1284" s="2589"/>
      <c r="J1284" s="2589"/>
      <c r="K1284" s="2347"/>
      <c r="L1284" s="2589"/>
      <c r="M1284" s="2589"/>
      <c r="N1284" s="2589"/>
      <c r="O1284" s="2589"/>
      <c r="P1284" s="2346"/>
      <c r="Q1284" s="2589"/>
      <c r="R1284" s="2347"/>
      <c r="S1284" s="2347"/>
      <c r="T1284" s="2348"/>
      <c r="U1284" s="2348"/>
      <c r="V1284" s="2348"/>
      <c r="W1284" s="2347"/>
      <c r="X1284" s="2347"/>
      <c r="Y1284" s="2589"/>
      <c r="Z1284" s="2589"/>
      <c r="AA1284" s="2589"/>
      <c r="AB1284" s="2589"/>
      <c r="AC1284" s="2589"/>
    </row>
    <row r="1285" spans="1:29">
      <c r="A1285" s="2589"/>
      <c r="B1285" s="2346"/>
      <c r="C1285" s="2589"/>
      <c r="D1285" s="2589"/>
      <c r="E1285" s="2345"/>
      <c r="F1285" s="2589"/>
      <c r="G1285" s="2346"/>
      <c r="H1285" s="2589"/>
      <c r="I1285" s="2589"/>
      <c r="J1285" s="2589"/>
      <c r="K1285" s="2347"/>
      <c r="L1285" s="2589"/>
      <c r="M1285" s="2589"/>
      <c r="N1285" s="2589"/>
      <c r="O1285" s="2589"/>
      <c r="P1285" s="2346"/>
      <c r="Q1285" s="2589"/>
      <c r="R1285" s="2347"/>
      <c r="S1285" s="2347"/>
      <c r="T1285" s="2348"/>
      <c r="U1285" s="2348"/>
      <c r="V1285" s="2348"/>
      <c r="W1285" s="2347"/>
      <c r="X1285" s="2347"/>
      <c r="Y1285" s="2589"/>
      <c r="Z1285" s="2589"/>
      <c r="AA1285" s="2589"/>
      <c r="AB1285" s="2589"/>
      <c r="AC1285" s="2589"/>
    </row>
    <row r="1286" spans="1:29">
      <c r="A1286" s="2589"/>
      <c r="B1286" s="2346"/>
      <c r="C1286" s="2589"/>
      <c r="D1286" s="2589"/>
      <c r="E1286" s="2345"/>
      <c r="F1286" s="2589"/>
      <c r="G1286" s="2346"/>
      <c r="H1286" s="2589"/>
      <c r="I1286" s="2589"/>
      <c r="J1286" s="2589"/>
      <c r="K1286" s="2347"/>
      <c r="L1286" s="2589"/>
      <c r="M1286" s="2589"/>
      <c r="N1286" s="2589"/>
      <c r="O1286" s="2589"/>
      <c r="P1286" s="2346"/>
      <c r="Q1286" s="2589"/>
      <c r="R1286" s="2347"/>
      <c r="S1286" s="2347"/>
      <c r="T1286" s="2348"/>
      <c r="U1286" s="2348"/>
      <c r="V1286" s="2348"/>
      <c r="W1286" s="2347"/>
      <c r="X1286" s="2347"/>
      <c r="Y1286" s="2589"/>
      <c r="Z1286" s="2589"/>
      <c r="AA1286" s="2589"/>
      <c r="AB1286" s="2589"/>
      <c r="AC1286" s="2589"/>
    </row>
    <row r="1287" spans="1:29">
      <c r="A1287" s="2589"/>
      <c r="B1287" s="2346"/>
      <c r="C1287" s="2589"/>
      <c r="D1287" s="2589"/>
      <c r="E1287" s="2345"/>
      <c r="F1287" s="2589"/>
      <c r="G1287" s="2346"/>
      <c r="H1287" s="2589"/>
      <c r="I1287" s="2589"/>
      <c r="J1287" s="2589"/>
      <c r="K1287" s="2347"/>
      <c r="L1287" s="2589"/>
      <c r="M1287" s="2589"/>
      <c r="N1287" s="2589"/>
      <c r="O1287" s="2589"/>
      <c r="P1287" s="2346"/>
      <c r="Q1287" s="2589"/>
      <c r="R1287" s="2347"/>
      <c r="S1287" s="2347"/>
      <c r="T1287" s="2348"/>
      <c r="U1287" s="2348"/>
      <c r="V1287" s="2348"/>
      <c r="W1287" s="2347"/>
      <c r="X1287" s="2347"/>
      <c r="Y1287" s="2589"/>
      <c r="Z1287" s="2589"/>
      <c r="AA1287" s="2589"/>
      <c r="AB1287" s="2589"/>
      <c r="AC1287" s="2589"/>
    </row>
    <row r="1288" spans="1:29">
      <c r="A1288" s="2589"/>
      <c r="B1288" s="2346"/>
      <c r="C1288" s="2589"/>
      <c r="D1288" s="2589"/>
      <c r="E1288" s="2345"/>
      <c r="F1288" s="2589"/>
      <c r="G1288" s="2346"/>
      <c r="H1288" s="2589"/>
      <c r="I1288" s="2589"/>
      <c r="J1288" s="2589"/>
      <c r="K1288" s="2347"/>
      <c r="L1288" s="2589"/>
      <c r="M1288" s="2589"/>
      <c r="N1288" s="2589"/>
      <c r="O1288" s="2589"/>
      <c r="P1288" s="2346"/>
      <c r="Q1288" s="2589"/>
      <c r="R1288" s="2347"/>
      <c r="S1288" s="2347"/>
      <c r="T1288" s="2348"/>
      <c r="U1288" s="2348"/>
      <c r="V1288" s="2348"/>
      <c r="W1288" s="2347"/>
      <c r="X1288" s="2347"/>
      <c r="Y1288" s="2589"/>
      <c r="Z1288" s="2589"/>
      <c r="AA1288" s="2589"/>
      <c r="AB1288" s="2589"/>
      <c r="AC1288" s="2589"/>
    </row>
    <row r="1289" spans="1:29">
      <c r="A1289" s="2589"/>
      <c r="B1289" s="2346"/>
      <c r="C1289" s="2589"/>
      <c r="D1289" s="2589"/>
      <c r="E1289" s="2345"/>
      <c r="F1289" s="2589"/>
      <c r="G1289" s="2346"/>
      <c r="H1289" s="2589"/>
      <c r="I1289" s="2589"/>
      <c r="J1289" s="2589"/>
      <c r="K1289" s="2347"/>
      <c r="L1289" s="2589"/>
      <c r="M1289" s="2589"/>
      <c r="N1289" s="2589"/>
      <c r="O1289" s="2589"/>
      <c r="P1289" s="2346"/>
      <c r="Q1289" s="2589"/>
      <c r="R1289" s="2347"/>
      <c r="S1289" s="2347"/>
      <c r="T1289" s="2348"/>
      <c r="U1289" s="2348"/>
      <c r="V1289" s="2348"/>
      <c r="W1289" s="2347"/>
      <c r="X1289" s="2347"/>
      <c r="Y1289" s="2589"/>
      <c r="Z1289" s="2589"/>
      <c r="AA1289" s="2589"/>
      <c r="AB1289" s="2589"/>
      <c r="AC1289" s="2589"/>
    </row>
    <row r="1290" spans="1:29">
      <c r="A1290" s="2589"/>
      <c r="B1290" s="2346"/>
      <c r="C1290" s="2589"/>
      <c r="D1290" s="2589"/>
      <c r="E1290" s="2345"/>
      <c r="F1290" s="2589"/>
      <c r="G1290" s="2346"/>
      <c r="H1290" s="2589"/>
      <c r="I1290" s="2589"/>
      <c r="J1290" s="2589"/>
      <c r="K1290" s="2347"/>
      <c r="L1290" s="2589"/>
      <c r="M1290" s="2589"/>
      <c r="N1290" s="2589"/>
      <c r="O1290" s="2589"/>
      <c r="P1290" s="2346"/>
      <c r="Q1290" s="2589"/>
      <c r="R1290" s="2347"/>
      <c r="S1290" s="2347"/>
      <c r="T1290" s="2348"/>
      <c r="U1290" s="2348"/>
      <c r="V1290" s="2348"/>
      <c r="W1290" s="2347"/>
      <c r="X1290" s="2347"/>
      <c r="Y1290" s="2589"/>
      <c r="Z1290" s="2589"/>
      <c r="AA1290" s="2589"/>
      <c r="AB1290" s="2589"/>
      <c r="AC1290" s="2589"/>
    </row>
    <row r="1291" spans="1:29">
      <c r="A1291" s="2589"/>
      <c r="B1291" s="2346"/>
      <c r="C1291" s="2589"/>
      <c r="D1291" s="2589"/>
      <c r="E1291" s="2345"/>
      <c r="F1291" s="2589"/>
      <c r="G1291" s="2346"/>
      <c r="H1291" s="2589"/>
      <c r="I1291" s="2589"/>
      <c r="J1291" s="2589"/>
      <c r="K1291" s="2347"/>
      <c r="L1291" s="2589"/>
      <c r="M1291" s="2589"/>
      <c r="N1291" s="2589"/>
      <c r="O1291" s="2589"/>
      <c r="P1291" s="2346"/>
      <c r="Q1291" s="2589"/>
      <c r="R1291" s="2347"/>
      <c r="S1291" s="2347"/>
      <c r="T1291" s="2348"/>
      <c r="U1291" s="2348"/>
      <c r="V1291" s="2348"/>
      <c r="W1291" s="2347"/>
      <c r="X1291" s="2347"/>
      <c r="Y1291" s="2589"/>
      <c r="Z1291" s="2589"/>
      <c r="AA1291" s="2589"/>
      <c r="AB1291" s="2589"/>
      <c r="AC1291" s="2589"/>
    </row>
    <row r="1292" spans="1:29">
      <c r="A1292" s="2589"/>
      <c r="B1292" s="2346"/>
      <c r="C1292" s="2589"/>
      <c r="D1292" s="2589"/>
      <c r="E1292" s="2345"/>
      <c r="F1292" s="2589"/>
      <c r="G1292" s="2346"/>
      <c r="H1292" s="2589"/>
      <c r="I1292" s="2589"/>
      <c r="J1292" s="2589"/>
      <c r="K1292" s="2347"/>
      <c r="L1292" s="2589"/>
      <c r="M1292" s="2589"/>
      <c r="N1292" s="2589"/>
      <c r="O1292" s="2589"/>
      <c r="P1292" s="2346"/>
      <c r="Q1292" s="2589"/>
      <c r="R1292" s="2347"/>
      <c r="S1292" s="2347"/>
      <c r="T1292" s="2348"/>
      <c r="U1292" s="2348"/>
      <c r="V1292" s="2348"/>
      <c r="W1292" s="2347"/>
      <c r="X1292" s="2347"/>
      <c r="Y1292" s="2589"/>
      <c r="Z1292" s="2589"/>
      <c r="AA1292" s="2589"/>
      <c r="AB1292" s="2589"/>
      <c r="AC1292" s="2589"/>
    </row>
    <row r="1293" spans="1:29">
      <c r="A1293" s="2589"/>
      <c r="B1293" s="2346"/>
      <c r="C1293" s="2589"/>
      <c r="D1293" s="2589"/>
      <c r="E1293" s="2345"/>
      <c r="F1293" s="2589"/>
      <c r="G1293" s="2346"/>
      <c r="H1293" s="2589"/>
      <c r="I1293" s="2589"/>
      <c r="J1293" s="2589"/>
      <c r="K1293" s="2347"/>
      <c r="L1293" s="2589"/>
      <c r="M1293" s="2589"/>
      <c r="N1293" s="2589"/>
      <c r="O1293" s="2589"/>
      <c r="P1293" s="2346"/>
      <c r="Q1293" s="2589"/>
      <c r="R1293" s="2347"/>
      <c r="S1293" s="2347"/>
      <c r="T1293" s="2348"/>
      <c r="U1293" s="2348"/>
      <c r="V1293" s="2348"/>
      <c r="W1293" s="2347"/>
      <c r="X1293" s="2347"/>
      <c r="Y1293" s="2589"/>
      <c r="Z1293" s="2589"/>
      <c r="AA1293" s="2589"/>
      <c r="AB1293" s="2589"/>
      <c r="AC1293" s="2589"/>
    </row>
    <row r="1294" spans="1:29">
      <c r="A1294" s="2589"/>
      <c r="B1294" s="2346"/>
      <c r="C1294" s="2589"/>
      <c r="D1294" s="2589"/>
      <c r="E1294" s="2345"/>
      <c r="F1294" s="2589"/>
      <c r="G1294" s="2346"/>
      <c r="H1294" s="2589"/>
      <c r="I1294" s="2589"/>
      <c r="J1294" s="2589"/>
      <c r="K1294" s="2347"/>
      <c r="L1294" s="2589"/>
      <c r="M1294" s="2589"/>
      <c r="N1294" s="2589"/>
      <c r="O1294" s="2589"/>
      <c r="P1294" s="2346"/>
      <c r="Q1294" s="2589"/>
      <c r="R1294" s="2347"/>
      <c r="S1294" s="2347"/>
      <c r="T1294" s="2348"/>
      <c r="U1294" s="2348"/>
      <c r="V1294" s="2348"/>
      <c r="W1294" s="2347"/>
      <c r="X1294" s="2347"/>
      <c r="Y1294" s="2589"/>
      <c r="Z1294" s="2589"/>
      <c r="AA1294" s="2589"/>
      <c r="AB1294" s="2589"/>
      <c r="AC1294" s="2589"/>
    </row>
    <row r="1295" spans="1:29">
      <c r="A1295" s="2589"/>
      <c r="B1295" s="2346"/>
      <c r="C1295" s="2589"/>
      <c r="D1295" s="2589"/>
      <c r="E1295" s="2345"/>
      <c r="F1295" s="2589"/>
      <c r="G1295" s="2346"/>
      <c r="H1295" s="2589"/>
      <c r="I1295" s="2589"/>
      <c r="J1295" s="2589"/>
      <c r="K1295" s="2347"/>
      <c r="L1295" s="2589"/>
      <c r="M1295" s="2589"/>
      <c r="N1295" s="2589"/>
      <c r="O1295" s="2589"/>
      <c r="P1295" s="2346"/>
      <c r="Q1295" s="2589"/>
      <c r="R1295" s="2347"/>
      <c r="S1295" s="2347"/>
      <c r="T1295" s="2348"/>
      <c r="U1295" s="2348"/>
      <c r="V1295" s="2348"/>
      <c r="W1295" s="2347"/>
      <c r="X1295" s="2347"/>
      <c r="Y1295" s="2589"/>
      <c r="Z1295" s="2589"/>
      <c r="AA1295" s="2589"/>
      <c r="AB1295" s="2589"/>
      <c r="AC1295" s="2589"/>
    </row>
    <row r="1296" spans="1:29">
      <c r="A1296" s="2589"/>
      <c r="B1296" s="2346"/>
      <c r="C1296" s="2589"/>
      <c r="D1296" s="2589"/>
      <c r="E1296" s="2345"/>
      <c r="F1296" s="2589"/>
      <c r="G1296" s="2346"/>
      <c r="H1296" s="2589"/>
      <c r="I1296" s="2589"/>
      <c r="J1296" s="2589"/>
      <c r="K1296" s="2347"/>
      <c r="L1296" s="2589"/>
      <c r="M1296" s="2589"/>
      <c r="N1296" s="2589"/>
      <c r="O1296" s="2589"/>
      <c r="P1296" s="2346"/>
      <c r="Q1296" s="2589"/>
      <c r="R1296" s="2347"/>
      <c r="S1296" s="2347"/>
      <c r="T1296" s="2348"/>
      <c r="U1296" s="2348"/>
      <c r="V1296" s="2348"/>
      <c r="W1296" s="2347"/>
      <c r="X1296" s="2347"/>
      <c r="Y1296" s="2589"/>
      <c r="Z1296" s="2589"/>
      <c r="AA1296" s="2589"/>
      <c r="AB1296" s="2589"/>
      <c r="AC1296" s="2589"/>
    </row>
    <row r="1297" spans="1:29">
      <c r="A1297" s="2589"/>
      <c r="B1297" s="2346"/>
      <c r="C1297" s="2589"/>
      <c r="D1297" s="2589"/>
      <c r="E1297" s="2345"/>
      <c r="F1297" s="2589"/>
      <c r="G1297" s="2346"/>
      <c r="H1297" s="2589"/>
      <c r="I1297" s="2589"/>
      <c r="J1297" s="2589"/>
      <c r="K1297" s="2347"/>
      <c r="L1297" s="2589"/>
      <c r="M1297" s="2589"/>
      <c r="N1297" s="2589"/>
      <c r="O1297" s="2589"/>
      <c r="P1297" s="2346"/>
      <c r="Q1297" s="2589"/>
      <c r="R1297" s="2347"/>
      <c r="S1297" s="2347"/>
      <c r="T1297" s="2348"/>
      <c r="U1297" s="2348"/>
      <c r="V1297" s="2348"/>
      <c r="W1297" s="2347"/>
      <c r="X1297" s="2347"/>
      <c r="Y1297" s="2589"/>
      <c r="Z1297" s="2589"/>
      <c r="AA1297" s="2589"/>
      <c r="AB1297" s="2589"/>
      <c r="AC1297" s="2589"/>
    </row>
    <row r="1298" spans="1:29">
      <c r="A1298" s="2589"/>
      <c r="B1298" s="2346"/>
      <c r="C1298" s="2589"/>
      <c r="D1298" s="2589"/>
      <c r="E1298" s="2345"/>
      <c r="F1298" s="2589"/>
      <c r="G1298" s="2346"/>
      <c r="H1298" s="2589"/>
      <c r="I1298" s="2589"/>
      <c r="J1298" s="2589"/>
      <c r="K1298" s="2347"/>
      <c r="L1298" s="2589"/>
      <c r="M1298" s="2589"/>
      <c r="N1298" s="2589"/>
      <c r="O1298" s="2589"/>
      <c r="P1298" s="2346"/>
      <c r="Q1298" s="2589"/>
      <c r="R1298" s="2347"/>
      <c r="S1298" s="2347"/>
      <c r="T1298" s="2348"/>
      <c r="U1298" s="2348"/>
      <c r="V1298" s="2348"/>
      <c r="W1298" s="2347"/>
      <c r="X1298" s="2347"/>
      <c r="Y1298" s="2589"/>
      <c r="Z1298" s="2589"/>
      <c r="AA1298" s="2589"/>
      <c r="AB1298" s="2589"/>
      <c r="AC1298" s="2589"/>
    </row>
    <row r="1299" spans="1:29">
      <c r="A1299" s="2589"/>
      <c r="B1299" s="2346"/>
      <c r="C1299" s="2589"/>
      <c r="D1299" s="2589"/>
      <c r="E1299" s="2345"/>
      <c r="F1299" s="2589"/>
      <c r="G1299" s="2346"/>
      <c r="H1299" s="2589"/>
      <c r="I1299" s="2589"/>
      <c r="J1299" s="2589"/>
      <c r="K1299" s="2347"/>
      <c r="L1299" s="2589"/>
      <c r="M1299" s="2589"/>
      <c r="N1299" s="2589"/>
      <c r="O1299" s="2589"/>
      <c r="P1299" s="2346"/>
      <c r="Q1299" s="2589"/>
      <c r="R1299" s="2347"/>
      <c r="S1299" s="2347"/>
      <c r="T1299" s="2348"/>
      <c r="U1299" s="2348"/>
      <c r="V1299" s="2348"/>
      <c r="W1299" s="2347"/>
      <c r="X1299" s="2347"/>
      <c r="Y1299" s="2589"/>
      <c r="Z1299" s="2589"/>
      <c r="AA1299" s="2589"/>
      <c r="AB1299" s="2589"/>
      <c r="AC1299" s="2589"/>
    </row>
    <row r="1300" spans="1:29">
      <c r="A1300" s="2589"/>
      <c r="B1300" s="2346"/>
      <c r="C1300" s="2589"/>
      <c r="D1300" s="2589"/>
      <c r="E1300" s="2345"/>
      <c r="F1300" s="2589"/>
      <c r="G1300" s="2346"/>
      <c r="H1300" s="2589"/>
      <c r="I1300" s="2589"/>
      <c r="J1300" s="2589"/>
      <c r="K1300" s="2347"/>
      <c r="L1300" s="2589"/>
      <c r="M1300" s="2589"/>
      <c r="N1300" s="2589"/>
      <c r="O1300" s="2589"/>
      <c r="P1300" s="2346"/>
      <c r="Q1300" s="2589"/>
      <c r="R1300" s="2347"/>
      <c r="S1300" s="2347"/>
      <c r="T1300" s="2348"/>
      <c r="U1300" s="2348"/>
      <c r="V1300" s="2348"/>
      <c r="W1300" s="2347"/>
      <c r="X1300" s="2347"/>
      <c r="Y1300" s="2589"/>
      <c r="Z1300" s="2589"/>
      <c r="AA1300" s="2589"/>
      <c r="AB1300" s="2589"/>
      <c r="AC1300" s="2589"/>
    </row>
    <row r="1301" spans="1:29">
      <c r="A1301" s="2589"/>
      <c r="B1301" s="2346"/>
      <c r="C1301" s="2589"/>
      <c r="D1301" s="2589"/>
      <c r="E1301" s="2345"/>
      <c r="F1301" s="2589"/>
      <c r="G1301" s="2346"/>
      <c r="H1301" s="2589"/>
      <c r="I1301" s="2589"/>
      <c r="J1301" s="2589"/>
      <c r="K1301" s="2347"/>
      <c r="L1301" s="2589"/>
      <c r="M1301" s="2589"/>
      <c r="N1301" s="2589"/>
      <c r="O1301" s="2589"/>
      <c r="P1301" s="2346"/>
      <c r="Q1301" s="2589"/>
      <c r="R1301" s="2347"/>
      <c r="S1301" s="2347"/>
      <c r="T1301" s="2348"/>
      <c r="U1301" s="2348"/>
      <c r="V1301" s="2348"/>
      <c r="W1301" s="2347"/>
      <c r="X1301" s="2347"/>
      <c r="Y1301" s="2589"/>
      <c r="Z1301" s="2589"/>
      <c r="AA1301" s="2589"/>
      <c r="AB1301" s="2589"/>
      <c r="AC1301" s="2589"/>
    </row>
    <row r="1302" spans="1:29">
      <c r="A1302" s="2589"/>
      <c r="B1302" s="2346"/>
      <c r="C1302" s="2589"/>
      <c r="D1302" s="2589"/>
      <c r="E1302" s="2345"/>
      <c r="F1302" s="2589"/>
      <c r="G1302" s="2346"/>
      <c r="H1302" s="2589"/>
      <c r="I1302" s="2589"/>
      <c r="J1302" s="2589"/>
      <c r="K1302" s="2347"/>
      <c r="L1302" s="2589"/>
      <c r="M1302" s="2589"/>
      <c r="N1302" s="2589"/>
      <c r="O1302" s="2589"/>
      <c r="P1302" s="2346"/>
      <c r="Q1302" s="2589"/>
      <c r="R1302" s="2347"/>
      <c r="S1302" s="2347"/>
      <c r="T1302" s="2348"/>
      <c r="U1302" s="2348"/>
      <c r="V1302" s="2348"/>
      <c r="W1302" s="2347"/>
      <c r="X1302" s="2347"/>
      <c r="Y1302" s="2589"/>
      <c r="Z1302" s="2589"/>
      <c r="AA1302" s="2589"/>
      <c r="AB1302" s="2589"/>
      <c r="AC1302" s="2589"/>
    </row>
    <row r="1303" spans="1:29">
      <c r="A1303" s="2589"/>
      <c r="B1303" s="2346"/>
      <c r="C1303" s="2589"/>
      <c r="D1303" s="2589"/>
      <c r="E1303" s="2345"/>
      <c r="F1303" s="2589"/>
      <c r="G1303" s="2346"/>
      <c r="H1303" s="2589"/>
      <c r="I1303" s="2589"/>
      <c r="J1303" s="2589"/>
      <c r="K1303" s="2347"/>
      <c r="L1303" s="2589"/>
      <c r="M1303" s="2589"/>
      <c r="N1303" s="2589"/>
      <c r="O1303" s="2589"/>
      <c r="P1303" s="2346"/>
      <c r="Q1303" s="2589"/>
      <c r="R1303" s="2347"/>
      <c r="S1303" s="2347"/>
      <c r="T1303" s="2348"/>
      <c r="U1303" s="2348"/>
      <c r="V1303" s="2348"/>
      <c r="W1303" s="2347"/>
      <c r="X1303" s="2347"/>
      <c r="Y1303" s="2589"/>
      <c r="Z1303" s="2589"/>
      <c r="AA1303" s="2589"/>
      <c r="AB1303" s="2589"/>
      <c r="AC1303" s="2589"/>
    </row>
    <row r="1304" spans="1:29">
      <c r="A1304" s="2589"/>
      <c r="B1304" s="2346"/>
      <c r="C1304" s="2589"/>
      <c r="D1304" s="2589"/>
      <c r="E1304" s="2345"/>
      <c r="F1304" s="2589"/>
      <c r="G1304" s="2346"/>
      <c r="H1304" s="2589"/>
      <c r="I1304" s="2589"/>
      <c r="J1304" s="2589"/>
      <c r="K1304" s="2347"/>
      <c r="L1304" s="2589"/>
      <c r="M1304" s="2589"/>
      <c r="N1304" s="2589"/>
      <c r="O1304" s="2589"/>
      <c r="P1304" s="2346"/>
      <c r="Q1304" s="2589"/>
      <c r="R1304" s="2347"/>
      <c r="S1304" s="2347"/>
      <c r="T1304" s="2348"/>
      <c r="U1304" s="2348"/>
      <c r="V1304" s="2348"/>
      <c r="W1304" s="2347"/>
      <c r="X1304" s="2347"/>
      <c r="Y1304" s="2589"/>
      <c r="Z1304" s="2589"/>
      <c r="AA1304" s="2589"/>
      <c r="AB1304" s="2589"/>
      <c r="AC1304" s="2589"/>
    </row>
    <row r="1305" spans="1:29">
      <c r="A1305" s="2589"/>
      <c r="B1305" s="2346"/>
      <c r="C1305" s="2589"/>
      <c r="D1305" s="2589"/>
      <c r="E1305" s="2345"/>
      <c r="F1305" s="2589"/>
      <c r="G1305" s="2346"/>
      <c r="H1305" s="2589"/>
      <c r="I1305" s="2589"/>
      <c r="J1305" s="2589"/>
      <c r="K1305" s="2347"/>
      <c r="L1305" s="2589"/>
      <c r="M1305" s="2589"/>
      <c r="N1305" s="2589"/>
      <c r="O1305" s="2589"/>
      <c r="P1305" s="2346"/>
      <c r="Q1305" s="2589"/>
      <c r="R1305" s="2347"/>
      <c r="S1305" s="2347"/>
      <c r="T1305" s="2348"/>
      <c r="U1305" s="2348"/>
      <c r="V1305" s="2348"/>
      <c r="W1305" s="2347"/>
      <c r="X1305" s="2347"/>
      <c r="Y1305" s="2589"/>
      <c r="Z1305" s="2589"/>
      <c r="AA1305" s="2589"/>
      <c r="AB1305" s="2589"/>
      <c r="AC1305" s="2589"/>
    </row>
    <row r="1306" spans="1:29">
      <c r="A1306" s="2589"/>
      <c r="B1306" s="2346"/>
      <c r="C1306" s="2589"/>
      <c r="D1306" s="2589"/>
      <c r="E1306" s="2345"/>
      <c r="F1306" s="2589"/>
      <c r="G1306" s="2346"/>
      <c r="H1306" s="2589"/>
      <c r="I1306" s="2589"/>
      <c r="J1306" s="2589"/>
      <c r="K1306" s="2347"/>
      <c r="L1306" s="2589"/>
      <c r="M1306" s="2589"/>
      <c r="N1306" s="2589"/>
      <c r="O1306" s="2589"/>
      <c r="P1306" s="2346"/>
      <c r="Q1306" s="2589"/>
      <c r="R1306" s="2347"/>
      <c r="S1306" s="2347"/>
      <c r="T1306" s="2348"/>
      <c r="U1306" s="2348"/>
      <c r="V1306" s="2348"/>
      <c r="W1306" s="2347"/>
      <c r="X1306" s="2347"/>
      <c r="Y1306" s="2589"/>
      <c r="Z1306" s="2589"/>
      <c r="AA1306" s="2589"/>
      <c r="AB1306" s="2589"/>
      <c r="AC1306" s="2589"/>
    </row>
    <row r="1307" spans="1:29">
      <c r="A1307" s="2589"/>
      <c r="B1307" s="2346"/>
      <c r="C1307" s="2589"/>
      <c r="D1307" s="2589"/>
      <c r="E1307" s="2345"/>
      <c r="F1307" s="2589"/>
      <c r="G1307" s="2346"/>
      <c r="H1307" s="2589"/>
      <c r="I1307" s="2589"/>
      <c r="J1307" s="2589"/>
      <c r="K1307" s="2347"/>
      <c r="L1307" s="2589"/>
      <c r="M1307" s="2589"/>
      <c r="N1307" s="2589"/>
      <c r="O1307" s="2589"/>
      <c r="P1307" s="2346"/>
      <c r="Q1307" s="2589"/>
      <c r="R1307" s="2347"/>
      <c r="S1307" s="2347"/>
      <c r="T1307" s="2348"/>
      <c r="U1307" s="2348"/>
      <c r="V1307" s="2348"/>
      <c r="W1307" s="2347"/>
      <c r="X1307" s="2347"/>
      <c r="Y1307" s="2589"/>
      <c r="Z1307" s="2589"/>
      <c r="AA1307" s="2589"/>
      <c r="AB1307" s="2589"/>
      <c r="AC1307" s="2589"/>
    </row>
    <row r="1308" spans="1:29">
      <c r="A1308" s="2589"/>
      <c r="B1308" s="2346"/>
      <c r="C1308" s="2589"/>
      <c r="D1308" s="2589"/>
      <c r="E1308" s="2345"/>
      <c r="F1308" s="2589"/>
      <c r="G1308" s="2346"/>
      <c r="H1308" s="2589"/>
      <c r="I1308" s="2589"/>
      <c r="J1308" s="2589"/>
      <c r="K1308" s="2347"/>
      <c r="L1308" s="2589"/>
      <c r="M1308" s="2589"/>
      <c r="N1308" s="2589"/>
      <c r="O1308" s="2589"/>
      <c r="P1308" s="2346"/>
      <c r="Q1308" s="2589"/>
      <c r="R1308" s="2347"/>
      <c r="S1308" s="2347"/>
      <c r="T1308" s="2348"/>
      <c r="U1308" s="2348"/>
      <c r="V1308" s="2348"/>
      <c r="W1308" s="2347"/>
      <c r="X1308" s="2347"/>
      <c r="Y1308" s="2589"/>
      <c r="Z1308" s="2589"/>
      <c r="AA1308" s="2589"/>
      <c r="AB1308" s="2589"/>
      <c r="AC1308" s="2589"/>
    </row>
    <row r="1309" spans="1:29">
      <c r="A1309" s="2589"/>
      <c r="B1309" s="2346"/>
      <c r="C1309" s="2589"/>
      <c r="D1309" s="2589"/>
      <c r="E1309" s="2345"/>
      <c r="F1309" s="2589"/>
      <c r="G1309" s="2346"/>
      <c r="H1309" s="2589"/>
      <c r="I1309" s="2589"/>
      <c r="J1309" s="2589"/>
      <c r="K1309" s="2347"/>
      <c r="L1309" s="2589"/>
      <c r="M1309" s="2589"/>
      <c r="N1309" s="2589"/>
      <c r="O1309" s="2589"/>
      <c r="P1309" s="2346"/>
      <c r="Q1309" s="2589"/>
      <c r="R1309" s="2347"/>
      <c r="S1309" s="2347"/>
      <c r="T1309" s="2348"/>
      <c r="U1309" s="2348"/>
      <c r="V1309" s="2348"/>
      <c r="W1309" s="2347"/>
      <c r="X1309" s="2347"/>
      <c r="Y1309" s="2589"/>
      <c r="Z1309" s="2589"/>
      <c r="AA1309" s="2589"/>
      <c r="AB1309" s="2589"/>
      <c r="AC1309" s="2589"/>
    </row>
    <row r="1310" spans="1:29">
      <c r="A1310" s="2589"/>
      <c r="B1310" s="2346"/>
      <c r="C1310" s="2589"/>
      <c r="D1310" s="2589"/>
      <c r="E1310" s="2345"/>
      <c r="F1310" s="2589"/>
      <c r="G1310" s="2346"/>
      <c r="H1310" s="2589"/>
      <c r="I1310" s="2589"/>
      <c r="J1310" s="2589"/>
      <c r="K1310" s="2347"/>
      <c r="L1310" s="2589"/>
      <c r="M1310" s="2589"/>
      <c r="N1310" s="2589"/>
      <c r="O1310" s="2589"/>
      <c r="P1310" s="2346"/>
      <c r="Q1310" s="2589"/>
      <c r="R1310" s="2347"/>
      <c r="S1310" s="2347"/>
      <c r="T1310" s="2348"/>
      <c r="U1310" s="2348"/>
      <c r="V1310" s="2348"/>
      <c r="W1310" s="2347"/>
      <c r="X1310" s="2347"/>
      <c r="Y1310" s="2589"/>
      <c r="Z1310" s="2589"/>
      <c r="AA1310" s="2589"/>
      <c r="AB1310" s="2589"/>
      <c r="AC1310" s="2589"/>
    </row>
    <row r="1311" spans="1:29">
      <c r="A1311" s="2589"/>
      <c r="B1311" s="2346"/>
      <c r="C1311" s="2589"/>
      <c r="D1311" s="2589"/>
      <c r="E1311" s="2345"/>
      <c r="F1311" s="2589"/>
      <c r="G1311" s="2346"/>
      <c r="H1311" s="2589"/>
      <c r="I1311" s="2589"/>
      <c r="J1311" s="2589"/>
      <c r="K1311" s="2347"/>
      <c r="L1311" s="2589"/>
      <c r="M1311" s="2589"/>
      <c r="N1311" s="2589"/>
      <c r="O1311" s="2589"/>
      <c r="P1311" s="2346"/>
      <c r="Q1311" s="2589"/>
      <c r="R1311" s="2347"/>
      <c r="S1311" s="2347"/>
      <c r="T1311" s="2348"/>
      <c r="U1311" s="2348"/>
      <c r="V1311" s="2348"/>
      <c r="W1311" s="2347"/>
      <c r="X1311" s="2347"/>
      <c r="Y1311" s="2589"/>
      <c r="Z1311" s="2589"/>
      <c r="AA1311" s="2589"/>
      <c r="AB1311" s="2589"/>
      <c r="AC1311" s="2589"/>
    </row>
    <row r="1312" spans="1:29">
      <c r="A1312" s="2589"/>
      <c r="B1312" s="2346"/>
      <c r="C1312" s="2589"/>
      <c r="D1312" s="2589"/>
      <c r="E1312" s="2345"/>
      <c r="F1312" s="2589"/>
      <c r="G1312" s="2346"/>
      <c r="H1312" s="2589"/>
      <c r="I1312" s="2589"/>
      <c r="J1312" s="2589"/>
      <c r="K1312" s="2347"/>
      <c r="L1312" s="2589"/>
      <c r="M1312" s="2589"/>
      <c r="N1312" s="2589"/>
      <c r="O1312" s="2589"/>
      <c r="P1312" s="2346"/>
      <c r="Q1312" s="2589"/>
      <c r="R1312" s="2347"/>
      <c r="S1312" s="2347"/>
      <c r="T1312" s="2348"/>
      <c r="U1312" s="2348"/>
      <c r="V1312" s="2348"/>
      <c r="W1312" s="2347"/>
      <c r="X1312" s="2347"/>
      <c r="Y1312" s="2589"/>
      <c r="Z1312" s="2589"/>
      <c r="AA1312" s="2589"/>
      <c r="AB1312" s="2589"/>
      <c r="AC1312" s="2589"/>
    </row>
    <row r="1313" spans="1:29">
      <c r="A1313" s="2589"/>
      <c r="B1313" s="2346"/>
      <c r="C1313" s="2589"/>
      <c r="D1313" s="2589"/>
      <c r="E1313" s="2345"/>
      <c r="F1313" s="2589"/>
      <c r="G1313" s="2346"/>
      <c r="H1313" s="2589"/>
      <c r="I1313" s="2589"/>
      <c r="J1313" s="2589"/>
      <c r="K1313" s="2347"/>
      <c r="L1313" s="2589"/>
      <c r="M1313" s="2589"/>
      <c r="N1313" s="2589"/>
      <c r="O1313" s="2589"/>
      <c r="P1313" s="2346"/>
      <c r="Q1313" s="2589"/>
      <c r="R1313" s="2347"/>
      <c r="S1313" s="2347"/>
      <c r="T1313" s="2348"/>
      <c r="U1313" s="2348"/>
      <c r="V1313" s="2348"/>
      <c r="W1313" s="2347"/>
      <c r="X1313" s="2347"/>
      <c r="Y1313" s="2589"/>
      <c r="Z1313" s="2589"/>
      <c r="AA1313" s="2589"/>
      <c r="AB1313" s="2589"/>
      <c r="AC1313" s="2589"/>
    </row>
    <row r="1314" spans="1:29">
      <c r="A1314" s="2589"/>
      <c r="B1314" s="2346"/>
      <c r="C1314" s="2589"/>
      <c r="D1314" s="2589"/>
      <c r="E1314" s="2345"/>
      <c r="F1314" s="2589"/>
      <c r="G1314" s="2346"/>
      <c r="H1314" s="2589"/>
      <c r="I1314" s="2589"/>
      <c r="J1314" s="2589"/>
      <c r="K1314" s="2347"/>
      <c r="L1314" s="2589"/>
      <c r="M1314" s="2589"/>
      <c r="N1314" s="2589"/>
      <c r="O1314" s="2589"/>
      <c r="P1314" s="2346"/>
      <c r="Q1314" s="2589"/>
      <c r="R1314" s="2347"/>
      <c r="S1314" s="2347"/>
      <c r="T1314" s="2348"/>
      <c r="U1314" s="2348"/>
      <c r="V1314" s="2348"/>
      <c r="W1314" s="2347"/>
      <c r="X1314" s="2347"/>
      <c r="Y1314" s="2589"/>
      <c r="Z1314" s="2589"/>
      <c r="AA1314" s="2589"/>
      <c r="AB1314" s="2589"/>
      <c r="AC1314" s="2589"/>
    </row>
    <row r="1315" spans="1:29">
      <c r="A1315" s="2589"/>
      <c r="B1315" s="2346"/>
      <c r="C1315" s="2589"/>
      <c r="D1315" s="2589"/>
      <c r="E1315" s="2345"/>
      <c r="F1315" s="2589"/>
      <c r="G1315" s="2346"/>
      <c r="H1315" s="2589"/>
      <c r="I1315" s="2589"/>
      <c r="J1315" s="2589"/>
      <c r="K1315" s="2347"/>
      <c r="L1315" s="2589"/>
      <c r="M1315" s="2589"/>
      <c r="N1315" s="2589"/>
      <c r="O1315" s="2589"/>
      <c r="P1315" s="2346"/>
      <c r="Q1315" s="2589"/>
      <c r="R1315" s="2347"/>
      <c r="S1315" s="2347"/>
      <c r="T1315" s="2348"/>
      <c r="U1315" s="2348"/>
      <c r="V1315" s="2348"/>
      <c r="W1315" s="2347"/>
      <c r="X1315" s="2347"/>
      <c r="Y1315" s="2589"/>
      <c r="Z1315" s="2589"/>
      <c r="AA1315" s="2589"/>
      <c r="AB1315" s="2589"/>
      <c r="AC1315" s="2589"/>
    </row>
    <row r="1316" spans="1:29">
      <c r="A1316" s="2589"/>
      <c r="B1316" s="2346"/>
      <c r="C1316" s="2589"/>
      <c r="D1316" s="2589"/>
      <c r="E1316" s="2345"/>
      <c r="F1316" s="2589"/>
      <c r="G1316" s="2346"/>
      <c r="H1316" s="2589"/>
      <c r="I1316" s="2589"/>
      <c r="J1316" s="2589"/>
      <c r="K1316" s="2347"/>
      <c r="L1316" s="2589"/>
      <c r="M1316" s="2589"/>
      <c r="N1316" s="2589"/>
      <c r="O1316" s="2589"/>
      <c r="P1316" s="2346"/>
      <c r="Q1316" s="2589"/>
      <c r="R1316" s="2347"/>
      <c r="S1316" s="2347"/>
      <c r="T1316" s="2348"/>
      <c r="U1316" s="2348"/>
      <c r="V1316" s="2348"/>
      <c r="W1316" s="2347"/>
      <c r="X1316" s="2347"/>
      <c r="Y1316" s="2589"/>
      <c r="Z1316" s="2589"/>
      <c r="AA1316" s="2589"/>
      <c r="AB1316" s="2589"/>
      <c r="AC1316" s="2589"/>
    </row>
    <row r="1317" spans="1:29">
      <c r="A1317" s="2589"/>
      <c r="B1317" s="2346"/>
      <c r="C1317" s="2589"/>
      <c r="D1317" s="2589"/>
      <c r="E1317" s="2345"/>
      <c r="F1317" s="2589"/>
      <c r="G1317" s="2346"/>
      <c r="H1317" s="2589"/>
      <c r="I1317" s="2589"/>
      <c r="J1317" s="2589"/>
      <c r="K1317" s="2347"/>
      <c r="L1317" s="2589"/>
      <c r="M1317" s="2589"/>
      <c r="N1317" s="2589"/>
      <c r="O1317" s="2589"/>
      <c r="P1317" s="2346"/>
      <c r="Q1317" s="2589"/>
      <c r="R1317" s="2347"/>
      <c r="S1317" s="2347"/>
      <c r="T1317" s="2348"/>
      <c r="U1317" s="2348"/>
      <c r="V1317" s="2348"/>
      <c r="W1317" s="2347"/>
      <c r="X1317" s="2347"/>
      <c r="Y1317" s="2589"/>
      <c r="Z1317" s="2589"/>
      <c r="AA1317" s="2589"/>
      <c r="AB1317" s="2589"/>
      <c r="AC1317" s="2589"/>
    </row>
    <row r="1318" spans="1:29">
      <c r="A1318" s="2589"/>
      <c r="B1318" s="2346"/>
      <c r="C1318" s="2589"/>
      <c r="D1318" s="2589"/>
      <c r="E1318" s="2345"/>
      <c r="F1318" s="2589"/>
      <c r="G1318" s="2346"/>
      <c r="H1318" s="2589"/>
      <c r="I1318" s="2589"/>
      <c r="J1318" s="2589"/>
      <c r="K1318" s="2347"/>
      <c r="L1318" s="2589"/>
      <c r="M1318" s="2589"/>
      <c r="N1318" s="2589"/>
      <c r="O1318" s="2589"/>
      <c r="P1318" s="2346"/>
      <c r="Q1318" s="2589"/>
      <c r="R1318" s="2347"/>
      <c r="S1318" s="2347"/>
      <c r="T1318" s="2348"/>
      <c r="U1318" s="2348"/>
      <c r="V1318" s="2348"/>
      <c r="W1318" s="2347"/>
      <c r="X1318" s="2347"/>
      <c r="Y1318" s="2589"/>
      <c r="Z1318" s="2589"/>
      <c r="AA1318" s="2589"/>
      <c r="AB1318" s="2589"/>
      <c r="AC1318" s="2589"/>
    </row>
    <row r="1319" spans="1:29">
      <c r="A1319" s="2589"/>
      <c r="B1319" s="2346"/>
      <c r="C1319" s="2589"/>
      <c r="D1319" s="2589"/>
      <c r="E1319" s="2345"/>
      <c r="F1319" s="2589"/>
      <c r="G1319" s="2346"/>
      <c r="H1319" s="2589"/>
      <c r="I1319" s="2589"/>
      <c r="J1319" s="2589"/>
      <c r="K1319" s="2347"/>
      <c r="L1319" s="2589"/>
      <c r="M1319" s="2589"/>
      <c r="N1319" s="2589"/>
      <c r="O1319" s="2589"/>
      <c r="P1319" s="2346"/>
      <c r="Q1319" s="2589"/>
      <c r="R1319" s="2347"/>
      <c r="S1319" s="2347"/>
      <c r="T1319" s="2348"/>
      <c r="U1319" s="2348"/>
      <c r="V1319" s="2348"/>
      <c r="W1319" s="2347"/>
      <c r="X1319" s="2347"/>
      <c r="Y1319" s="2589"/>
      <c r="Z1319" s="2589"/>
      <c r="AA1319" s="2589"/>
      <c r="AB1319" s="2589"/>
      <c r="AC1319" s="2589"/>
    </row>
    <row r="1320" spans="1:29">
      <c r="A1320" s="2589"/>
      <c r="B1320" s="2346"/>
      <c r="C1320" s="2589"/>
      <c r="D1320" s="2589"/>
      <c r="E1320" s="2345"/>
      <c r="F1320" s="2589"/>
      <c r="G1320" s="2346"/>
      <c r="H1320" s="2589"/>
      <c r="I1320" s="2589"/>
      <c r="J1320" s="2589"/>
      <c r="K1320" s="2347"/>
      <c r="L1320" s="2589"/>
      <c r="M1320" s="2589"/>
      <c r="N1320" s="2589"/>
      <c r="O1320" s="2589"/>
      <c r="P1320" s="2346"/>
      <c r="Q1320" s="2589"/>
      <c r="R1320" s="2347"/>
      <c r="S1320" s="2347"/>
      <c r="T1320" s="2348"/>
      <c r="U1320" s="2348"/>
      <c r="V1320" s="2348"/>
      <c r="W1320" s="2347"/>
      <c r="X1320" s="2347"/>
      <c r="Y1320" s="2589"/>
      <c r="Z1320" s="2589"/>
      <c r="AA1320" s="2589"/>
      <c r="AB1320" s="2589"/>
      <c r="AC1320" s="2589"/>
    </row>
    <row r="1321" spans="1:29">
      <c r="A1321" s="2589"/>
      <c r="B1321" s="2346"/>
      <c r="C1321" s="2589"/>
      <c r="D1321" s="2589"/>
      <c r="E1321" s="2345"/>
      <c r="F1321" s="2589"/>
      <c r="G1321" s="2346"/>
      <c r="H1321" s="2589"/>
      <c r="I1321" s="2589"/>
      <c r="J1321" s="2589"/>
      <c r="K1321" s="2347"/>
      <c r="L1321" s="2589"/>
      <c r="M1321" s="2589"/>
      <c r="N1321" s="2589"/>
      <c r="O1321" s="2589"/>
      <c r="P1321" s="2346"/>
      <c r="Q1321" s="2589"/>
      <c r="R1321" s="2347"/>
      <c r="S1321" s="2347"/>
      <c r="T1321" s="2348"/>
      <c r="U1321" s="2348"/>
      <c r="V1321" s="2348"/>
      <c r="W1321" s="2347"/>
      <c r="X1321" s="2347"/>
      <c r="Y1321" s="2589"/>
      <c r="Z1321" s="2589"/>
      <c r="AA1321" s="2589"/>
      <c r="AB1321" s="2589"/>
      <c r="AC1321" s="2589"/>
    </row>
    <row r="1322" spans="1:29">
      <c r="A1322" s="2589"/>
      <c r="B1322" s="2346"/>
      <c r="C1322" s="2589"/>
      <c r="D1322" s="2589"/>
      <c r="E1322" s="2345"/>
      <c r="F1322" s="2589"/>
      <c r="G1322" s="2346"/>
      <c r="H1322" s="2589"/>
      <c r="I1322" s="2589"/>
      <c r="J1322" s="2589"/>
      <c r="K1322" s="2347"/>
      <c r="L1322" s="2589"/>
      <c r="M1322" s="2589"/>
      <c r="N1322" s="2589"/>
      <c r="O1322" s="2589"/>
      <c r="P1322" s="2346"/>
      <c r="Q1322" s="2589"/>
      <c r="R1322" s="2347"/>
      <c r="S1322" s="2347"/>
      <c r="T1322" s="2348"/>
      <c r="U1322" s="2348"/>
      <c r="V1322" s="2348"/>
      <c r="W1322" s="2347"/>
      <c r="X1322" s="2347"/>
      <c r="Y1322" s="2589"/>
      <c r="Z1322" s="2589"/>
      <c r="AA1322" s="2589"/>
      <c r="AB1322" s="2589"/>
      <c r="AC1322" s="2589"/>
    </row>
    <row r="1323" spans="1:29">
      <c r="A1323" s="2589"/>
      <c r="B1323" s="2346"/>
      <c r="C1323" s="2589"/>
      <c r="D1323" s="2589"/>
      <c r="E1323" s="2345"/>
      <c r="F1323" s="2589"/>
      <c r="G1323" s="2346"/>
      <c r="H1323" s="2589"/>
      <c r="I1323" s="2589"/>
      <c r="J1323" s="2589"/>
      <c r="K1323" s="2347"/>
      <c r="L1323" s="2589"/>
      <c r="M1323" s="2589"/>
      <c r="N1323" s="2589"/>
      <c r="O1323" s="2589"/>
      <c r="P1323" s="2346"/>
      <c r="Q1323" s="2589"/>
      <c r="R1323" s="2347"/>
      <c r="S1323" s="2347"/>
      <c r="T1323" s="2348"/>
      <c r="U1323" s="2348"/>
      <c r="V1323" s="2348"/>
      <c r="W1323" s="2347"/>
      <c r="X1323" s="2347"/>
      <c r="Y1323" s="2589"/>
      <c r="Z1323" s="2589"/>
      <c r="AA1323" s="2589"/>
      <c r="AB1323" s="2589"/>
      <c r="AC1323" s="2589"/>
    </row>
    <row r="1324" spans="1:29">
      <c r="A1324" s="2589"/>
      <c r="B1324" s="2346"/>
      <c r="C1324" s="2589"/>
      <c r="D1324" s="2589"/>
      <c r="E1324" s="2345"/>
      <c r="F1324" s="2589"/>
      <c r="G1324" s="2346"/>
      <c r="H1324" s="2589"/>
      <c r="I1324" s="2589"/>
      <c r="J1324" s="2589"/>
      <c r="K1324" s="2347"/>
      <c r="L1324" s="2589"/>
      <c r="M1324" s="2589"/>
      <c r="N1324" s="2589"/>
      <c r="O1324" s="2589"/>
      <c r="P1324" s="2346"/>
      <c r="Q1324" s="2589"/>
      <c r="R1324" s="2347"/>
      <c r="S1324" s="2347"/>
      <c r="T1324" s="2348"/>
      <c r="U1324" s="2348"/>
      <c r="V1324" s="2348"/>
      <c r="W1324" s="2347"/>
      <c r="X1324" s="2347"/>
      <c r="Y1324" s="2589"/>
      <c r="Z1324" s="2589"/>
      <c r="AA1324" s="2589"/>
      <c r="AB1324" s="2589"/>
      <c r="AC1324" s="2589"/>
    </row>
    <row r="1325" spans="1:29">
      <c r="A1325" s="2589"/>
      <c r="B1325" s="2346"/>
      <c r="C1325" s="2589"/>
      <c r="D1325" s="2589"/>
      <c r="E1325" s="2345"/>
      <c r="F1325" s="2589"/>
      <c r="G1325" s="2346"/>
      <c r="H1325" s="2589"/>
      <c r="I1325" s="2589"/>
      <c r="J1325" s="2589"/>
      <c r="K1325" s="2347"/>
      <c r="L1325" s="2589"/>
      <c r="M1325" s="2589"/>
      <c r="N1325" s="2589"/>
      <c r="O1325" s="2589"/>
      <c r="P1325" s="2346"/>
      <c r="Q1325" s="2589"/>
      <c r="R1325" s="2347"/>
      <c r="S1325" s="2347"/>
      <c r="T1325" s="2348"/>
      <c r="U1325" s="2348"/>
      <c r="V1325" s="2348"/>
      <c r="W1325" s="2347"/>
      <c r="X1325" s="2347"/>
      <c r="Y1325" s="2589"/>
      <c r="Z1325" s="2589"/>
      <c r="AA1325" s="2589"/>
      <c r="AB1325" s="2589"/>
      <c r="AC1325" s="2589"/>
    </row>
    <row r="1326" spans="1:29">
      <c r="A1326" s="2589"/>
      <c r="B1326" s="2346"/>
      <c r="C1326" s="2589"/>
      <c r="D1326" s="2589"/>
      <c r="E1326" s="2345"/>
      <c r="F1326" s="2589"/>
      <c r="G1326" s="2346"/>
      <c r="H1326" s="2589"/>
      <c r="I1326" s="2589"/>
      <c r="J1326" s="2589"/>
      <c r="K1326" s="2347"/>
      <c r="L1326" s="2589"/>
      <c r="M1326" s="2589"/>
      <c r="N1326" s="2589"/>
      <c r="O1326" s="2589"/>
      <c r="P1326" s="2346"/>
      <c r="Q1326" s="2589"/>
      <c r="R1326" s="2347"/>
      <c r="S1326" s="2347"/>
      <c r="T1326" s="2348"/>
      <c r="U1326" s="2348"/>
      <c r="V1326" s="2348"/>
      <c r="W1326" s="2347"/>
      <c r="X1326" s="2347"/>
      <c r="Y1326" s="2589"/>
      <c r="Z1326" s="2589"/>
      <c r="AA1326" s="2589"/>
      <c r="AB1326" s="2589"/>
      <c r="AC1326" s="2589"/>
    </row>
    <row r="1327" spans="1:29">
      <c r="A1327" s="2589"/>
      <c r="B1327" s="2346"/>
      <c r="C1327" s="2589"/>
      <c r="D1327" s="2589"/>
      <c r="E1327" s="2345"/>
      <c r="F1327" s="2589"/>
      <c r="G1327" s="2346"/>
      <c r="H1327" s="2589"/>
      <c r="I1327" s="2589"/>
      <c r="J1327" s="2589"/>
      <c r="K1327" s="2347"/>
      <c r="L1327" s="2589"/>
      <c r="M1327" s="2589"/>
      <c r="N1327" s="2589"/>
      <c r="O1327" s="2589"/>
      <c r="P1327" s="2346"/>
      <c r="Q1327" s="2589"/>
      <c r="R1327" s="2347"/>
      <c r="S1327" s="2347"/>
      <c r="T1327" s="2348"/>
      <c r="U1327" s="2348"/>
      <c r="V1327" s="2348"/>
      <c r="W1327" s="2347"/>
      <c r="X1327" s="2347"/>
      <c r="Y1327" s="2589"/>
      <c r="Z1327" s="2589"/>
      <c r="AA1327" s="2589"/>
      <c r="AB1327" s="2589"/>
      <c r="AC1327" s="2589"/>
    </row>
    <row r="1328" spans="1:29">
      <c r="A1328" s="2589"/>
      <c r="B1328" s="2346"/>
      <c r="C1328" s="2589"/>
      <c r="D1328" s="2589"/>
      <c r="E1328" s="2345"/>
      <c r="F1328" s="2589"/>
      <c r="G1328" s="2346"/>
      <c r="H1328" s="2589"/>
      <c r="I1328" s="2589"/>
      <c r="J1328" s="2589"/>
      <c r="K1328" s="2347"/>
      <c r="L1328" s="2589"/>
      <c r="M1328" s="2589"/>
      <c r="N1328" s="2589"/>
      <c r="O1328" s="2589"/>
      <c r="P1328" s="2346"/>
      <c r="Q1328" s="2589"/>
      <c r="R1328" s="2347"/>
      <c r="S1328" s="2347"/>
      <c r="T1328" s="2348"/>
      <c r="U1328" s="2348"/>
      <c r="V1328" s="2348"/>
      <c r="W1328" s="2347"/>
      <c r="X1328" s="2347"/>
      <c r="Y1328" s="2589"/>
      <c r="Z1328" s="2589"/>
      <c r="AA1328" s="2589"/>
      <c r="AB1328" s="2589"/>
      <c r="AC1328" s="2589"/>
    </row>
    <row r="1329" spans="1:29">
      <c r="A1329" s="2589"/>
      <c r="B1329" s="2346"/>
      <c r="C1329" s="2589"/>
      <c r="D1329" s="2589"/>
      <c r="E1329" s="2345"/>
      <c r="F1329" s="2589"/>
      <c r="G1329" s="2346"/>
      <c r="H1329" s="2589"/>
      <c r="I1329" s="2589"/>
      <c r="J1329" s="2589"/>
      <c r="K1329" s="2347"/>
      <c r="L1329" s="2589"/>
      <c r="M1329" s="2589"/>
      <c r="N1329" s="2589"/>
      <c r="O1329" s="2589"/>
      <c r="P1329" s="2346"/>
      <c r="Q1329" s="2589"/>
      <c r="R1329" s="2347"/>
      <c r="S1329" s="2347"/>
      <c r="T1329" s="2348"/>
      <c r="U1329" s="2348"/>
      <c r="V1329" s="2348"/>
      <c r="W1329" s="2347"/>
      <c r="X1329" s="2347"/>
      <c r="Y1329" s="2589"/>
      <c r="Z1329" s="2589"/>
      <c r="AA1329" s="2589"/>
      <c r="AB1329" s="2589"/>
      <c r="AC1329" s="2589"/>
    </row>
    <row r="1330" spans="1:29">
      <c r="A1330" s="2589"/>
      <c r="B1330" s="2346"/>
      <c r="C1330" s="2589"/>
      <c r="D1330" s="2589"/>
      <c r="E1330" s="2345"/>
      <c r="F1330" s="2589"/>
      <c r="G1330" s="2346"/>
      <c r="H1330" s="2589"/>
      <c r="I1330" s="2589"/>
      <c r="J1330" s="2589"/>
      <c r="K1330" s="2347"/>
      <c r="L1330" s="2589"/>
      <c r="M1330" s="2589"/>
      <c r="N1330" s="2589"/>
      <c r="O1330" s="2589"/>
      <c r="P1330" s="2346"/>
      <c r="Q1330" s="2589"/>
      <c r="R1330" s="2347"/>
      <c r="S1330" s="2347"/>
      <c r="T1330" s="2348"/>
      <c r="U1330" s="2348"/>
      <c r="V1330" s="2348"/>
      <c r="W1330" s="2347"/>
      <c r="X1330" s="2347"/>
      <c r="Y1330" s="2589"/>
      <c r="Z1330" s="2589"/>
      <c r="AA1330" s="2589"/>
      <c r="AB1330" s="2589"/>
      <c r="AC1330" s="2589"/>
    </row>
    <row r="1331" spans="1:29">
      <c r="A1331" s="2589"/>
      <c r="B1331" s="2346"/>
      <c r="C1331" s="2589"/>
      <c r="D1331" s="2589"/>
      <c r="E1331" s="2345"/>
      <c r="F1331" s="2589"/>
      <c r="G1331" s="2346"/>
      <c r="H1331" s="2589"/>
      <c r="I1331" s="2589"/>
      <c r="J1331" s="2589"/>
      <c r="K1331" s="2347"/>
      <c r="L1331" s="2589"/>
      <c r="M1331" s="2589"/>
      <c r="N1331" s="2589"/>
      <c r="O1331" s="2589"/>
      <c r="P1331" s="2346"/>
      <c r="Q1331" s="2589"/>
      <c r="R1331" s="2347"/>
      <c r="S1331" s="2347"/>
      <c r="T1331" s="2348"/>
      <c r="U1331" s="2348"/>
      <c r="V1331" s="2348"/>
      <c r="W1331" s="2347"/>
      <c r="X1331" s="2347"/>
      <c r="Y1331" s="2589"/>
      <c r="Z1331" s="2589"/>
      <c r="AA1331" s="2589"/>
      <c r="AB1331" s="2589"/>
      <c r="AC1331" s="2589"/>
    </row>
    <row r="1332" spans="1:29">
      <c r="A1332" s="2589"/>
      <c r="B1332" s="2346"/>
      <c r="C1332" s="2589"/>
      <c r="D1332" s="2589"/>
      <c r="E1332" s="2345"/>
      <c r="F1332" s="2589"/>
      <c r="G1332" s="2346"/>
      <c r="H1332" s="2589"/>
      <c r="I1332" s="2589"/>
      <c r="J1332" s="2589"/>
      <c r="K1332" s="2347"/>
      <c r="L1332" s="2589"/>
      <c r="M1332" s="2589"/>
      <c r="N1332" s="2589"/>
      <c r="O1332" s="2589"/>
      <c r="P1332" s="2346"/>
      <c r="Q1332" s="2589"/>
      <c r="R1332" s="2347"/>
      <c r="S1332" s="2347"/>
      <c r="T1332" s="2348"/>
      <c r="U1332" s="2348"/>
      <c r="V1332" s="2348"/>
      <c r="W1332" s="2347"/>
      <c r="X1332" s="2347"/>
      <c r="Y1332" s="2589"/>
      <c r="Z1332" s="2589"/>
      <c r="AA1332" s="2589"/>
      <c r="AB1332" s="2589"/>
      <c r="AC1332" s="2589"/>
    </row>
    <row r="1333" spans="1:29">
      <c r="A1333" s="2589"/>
      <c r="B1333" s="2346"/>
      <c r="C1333" s="2589"/>
      <c r="D1333" s="2589"/>
      <c r="E1333" s="2345"/>
      <c r="F1333" s="2589"/>
      <c r="G1333" s="2346"/>
      <c r="H1333" s="2589"/>
      <c r="I1333" s="2589"/>
      <c r="J1333" s="2589"/>
      <c r="K1333" s="2347"/>
      <c r="L1333" s="2589"/>
      <c r="M1333" s="2589"/>
      <c r="N1333" s="2589"/>
      <c r="O1333" s="2589"/>
      <c r="P1333" s="2346"/>
      <c r="Q1333" s="2589"/>
      <c r="R1333" s="2347"/>
      <c r="S1333" s="2347"/>
      <c r="T1333" s="2348"/>
      <c r="U1333" s="2348"/>
      <c r="V1333" s="2348"/>
      <c r="W1333" s="2347"/>
      <c r="X1333" s="2347"/>
      <c r="Y1333" s="2589"/>
      <c r="Z1333" s="2589"/>
      <c r="AA1333" s="2589"/>
      <c r="AB1333" s="2589"/>
      <c r="AC1333" s="2589"/>
    </row>
    <row r="1334" spans="1:29">
      <c r="A1334" s="2589"/>
      <c r="B1334" s="2346"/>
      <c r="C1334" s="2589"/>
      <c r="D1334" s="2589"/>
      <c r="E1334" s="2345"/>
      <c r="F1334" s="2589"/>
      <c r="G1334" s="2346"/>
      <c r="H1334" s="2589"/>
      <c r="I1334" s="2589"/>
      <c r="J1334" s="2589"/>
      <c r="K1334" s="2347"/>
      <c r="L1334" s="2589"/>
      <c r="M1334" s="2589"/>
      <c r="N1334" s="2589"/>
      <c r="O1334" s="2589"/>
      <c r="P1334" s="2346"/>
      <c r="Q1334" s="2589"/>
      <c r="R1334" s="2347"/>
      <c r="S1334" s="2347"/>
      <c r="T1334" s="2348"/>
      <c r="U1334" s="2348"/>
      <c r="V1334" s="2348"/>
      <c r="W1334" s="2347"/>
      <c r="X1334" s="2347"/>
      <c r="Y1334" s="2589"/>
      <c r="Z1334" s="2589"/>
      <c r="AA1334" s="2589"/>
      <c r="AB1334" s="2589"/>
      <c r="AC1334" s="2589"/>
    </row>
    <row r="1335" spans="1:29">
      <c r="A1335" s="2589"/>
      <c r="B1335" s="2346"/>
      <c r="C1335" s="2589"/>
      <c r="D1335" s="2589"/>
      <c r="E1335" s="2345"/>
      <c r="F1335" s="2589"/>
      <c r="G1335" s="2346"/>
      <c r="H1335" s="2589"/>
      <c r="I1335" s="2589"/>
      <c r="J1335" s="2589"/>
      <c r="K1335" s="2347"/>
      <c r="L1335" s="2589"/>
      <c r="M1335" s="2589"/>
      <c r="N1335" s="2589"/>
      <c r="O1335" s="2589"/>
      <c r="P1335" s="2346"/>
      <c r="Q1335" s="2589"/>
      <c r="R1335" s="2347"/>
      <c r="S1335" s="2347"/>
      <c r="T1335" s="2348"/>
      <c r="U1335" s="2348"/>
      <c r="V1335" s="2348"/>
      <c r="W1335" s="2347"/>
      <c r="X1335" s="2347"/>
      <c r="Y1335" s="2589"/>
      <c r="Z1335" s="2589"/>
      <c r="AA1335" s="2589"/>
      <c r="AB1335" s="2589"/>
      <c r="AC1335" s="2589"/>
    </row>
    <row r="1336" spans="1:29">
      <c r="A1336" s="2589"/>
      <c r="B1336" s="2346"/>
      <c r="C1336" s="2589"/>
      <c r="D1336" s="2589"/>
      <c r="E1336" s="2345"/>
      <c r="F1336" s="2589"/>
      <c r="G1336" s="2346"/>
      <c r="H1336" s="2589"/>
      <c r="I1336" s="2589"/>
      <c r="J1336" s="2589"/>
      <c r="K1336" s="2347"/>
      <c r="L1336" s="2589"/>
      <c r="M1336" s="2589"/>
      <c r="N1336" s="2589"/>
      <c r="O1336" s="2589"/>
      <c r="P1336" s="2346"/>
      <c r="Q1336" s="2589"/>
      <c r="R1336" s="2347"/>
      <c r="S1336" s="2347"/>
      <c r="T1336" s="2348"/>
      <c r="U1336" s="2348"/>
      <c r="V1336" s="2348"/>
      <c r="W1336" s="2347"/>
      <c r="X1336" s="2347"/>
      <c r="Y1336" s="2589"/>
      <c r="Z1336" s="2589"/>
      <c r="AA1336" s="2589"/>
      <c r="AB1336" s="2589"/>
      <c r="AC1336" s="2589"/>
    </row>
    <row r="1337" spans="1:29">
      <c r="A1337" s="2589"/>
      <c r="B1337" s="2346"/>
      <c r="C1337" s="2589"/>
      <c r="D1337" s="2589"/>
      <c r="E1337" s="2345"/>
      <c r="F1337" s="2589"/>
      <c r="G1337" s="2346"/>
      <c r="H1337" s="2589"/>
      <c r="I1337" s="2589"/>
      <c r="J1337" s="2589"/>
      <c r="K1337" s="2347"/>
      <c r="L1337" s="2589"/>
      <c r="M1337" s="2589"/>
      <c r="N1337" s="2589"/>
      <c r="O1337" s="2589"/>
      <c r="P1337" s="2346"/>
      <c r="Q1337" s="2589"/>
      <c r="R1337" s="2347"/>
      <c r="S1337" s="2347"/>
      <c r="T1337" s="2348"/>
      <c r="U1337" s="2348"/>
      <c r="V1337" s="2348"/>
      <c r="W1337" s="2347"/>
      <c r="X1337" s="2347"/>
      <c r="Y1337" s="2589"/>
      <c r="Z1337" s="2589"/>
      <c r="AA1337" s="2589"/>
      <c r="AB1337" s="2589"/>
      <c r="AC1337" s="2589"/>
    </row>
    <row r="1338" spans="1:29">
      <c r="A1338" s="2589"/>
      <c r="B1338" s="2346"/>
      <c r="C1338" s="2589"/>
      <c r="D1338" s="2589"/>
      <c r="E1338" s="2345"/>
      <c r="F1338" s="2589"/>
      <c r="G1338" s="2346"/>
      <c r="H1338" s="2589"/>
      <c r="I1338" s="2589"/>
      <c r="J1338" s="2589"/>
      <c r="K1338" s="2347"/>
      <c r="L1338" s="2589"/>
      <c r="M1338" s="2589"/>
      <c r="N1338" s="2589"/>
      <c r="O1338" s="2589"/>
      <c r="P1338" s="2346"/>
      <c r="Q1338" s="2589"/>
      <c r="R1338" s="2347"/>
      <c r="S1338" s="2347"/>
      <c r="T1338" s="2348"/>
      <c r="U1338" s="2348"/>
      <c r="V1338" s="2348"/>
      <c r="W1338" s="2347"/>
      <c r="X1338" s="2347"/>
      <c r="Y1338" s="2589"/>
      <c r="Z1338" s="2589"/>
      <c r="AA1338" s="2589"/>
      <c r="AB1338" s="2589"/>
      <c r="AC1338" s="2589"/>
    </row>
    <row r="1339" spans="1:29">
      <c r="A1339" s="2589"/>
      <c r="B1339" s="2346"/>
      <c r="C1339" s="2589"/>
      <c r="D1339" s="2589"/>
      <c r="E1339" s="2345"/>
      <c r="F1339" s="2589"/>
      <c r="G1339" s="2346"/>
      <c r="H1339" s="2589"/>
      <c r="I1339" s="2589"/>
      <c r="J1339" s="2589"/>
      <c r="K1339" s="2347"/>
      <c r="L1339" s="2589"/>
      <c r="M1339" s="2589"/>
      <c r="N1339" s="2589"/>
      <c r="O1339" s="2589"/>
      <c r="P1339" s="2346"/>
      <c r="Q1339" s="2589"/>
      <c r="R1339" s="2347"/>
      <c r="S1339" s="2347"/>
      <c r="T1339" s="2348"/>
      <c r="U1339" s="2348"/>
      <c r="V1339" s="2348"/>
      <c r="W1339" s="2347"/>
      <c r="X1339" s="2347"/>
      <c r="Y1339" s="2589"/>
      <c r="Z1339" s="2589"/>
      <c r="AA1339" s="2589"/>
      <c r="AB1339" s="2589"/>
      <c r="AC1339" s="2589"/>
    </row>
    <row r="1340" spans="1:29">
      <c r="A1340" s="2589"/>
      <c r="B1340" s="2346"/>
      <c r="C1340" s="2589"/>
      <c r="D1340" s="2589"/>
      <c r="E1340" s="2345"/>
      <c r="F1340" s="2589"/>
      <c r="G1340" s="2346"/>
      <c r="H1340" s="2589"/>
      <c r="I1340" s="2589"/>
      <c r="J1340" s="2589"/>
      <c r="K1340" s="2347"/>
      <c r="L1340" s="2589"/>
      <c r="M1340" s="2589"/>
      <c r="N1340" s="2589"/>
      <c r="O1340" s="2589"/>
      <c r="P1340" s="2346"/>
      <c r="Q1340" s="2589"/>
      <c r="R1340" s="2347"/>
      <c r="S1340" s="2347"/>
      <c r="T1340" s="2348"/>
      <c r="U1340" s="2348"/>
      <c r="V1340" s="2348"/>
      <c r="W1340" s="2347"/>
      <c r="X1340" s="2347"/>
      <c r="Y1340" s="2589"/>
      <c r="Z1340" s="2589"/>
      <c r="AA1340" s="2589"/>
      <c r="AB1340" s="2589"/>
      <c r="AC1340" s="2589"/>
    </row>
    <row r="1341" spans="1:29">
      <c r="A1341" s="2589"/>
      <c r="B1341" s="2346"/>
      <c r="C1341" s="2589"/>
      <c r="D1341" s="2589"/>
      <c r="E1341" s="2345"/>
      <c r="F1341" s="2589"/>
      <c r="G1341" s="2346"/>
      <c r="H1341" s="2589"/>
      <c r="I1341" s="2589"/>
      <c r="J1341" s="2589"/>
      <c r="K1341" s="2347"/>
      <c r="L1341" s="2589"/>
      <c r="M1341" s="2589"/>
      <c r="N1341" s="2589"/>
      <c r="O1341" s="2589"/>
      <c r="P1341" s="2346"/>
      <c r="Q1341" s="2589"/>
      <c r="R1341" s="2347"/>
      <c r="S1341" s="2347"/>
      <c r="T1341" s="2348"/>
      <c r="U1341" s="2348"/>
      <c r="V1341" s="2348"/>
      <c r="W1341" s="2347"/>
      <c r="X1341" s="2347"/>
      <c r="Y1341" s="2589"/>
      <c r="Z1341" s="2589"/>
      <c r="AA1341" s="2589"/>
      <c r="AB1341" s="2589"/>
      <c r="AC1341" s="2589"/>
    </row>
    <row r="1342" spans="1:29">
      <c r="A1342" s="2589"/>
      <c r="B1342" s="2346"/>
      <c r="C1342" s="2589"/>
      <c r="D1342" s="2589"/>
      <c r="E1342" s="2345"/>
      <c r="F1342" s="2589"/>
      <c r="G1342" s="2346"/>
      <c r="H1342" s="2589"/>
      <c r="I1342" s="2589"/>
      <c r="J1342" s="2589"/>
      <c r="K1342" s="2347"/>
      <c r="L1342" s="2589"/>
      <c r="M1342" s="2589"/>
      <c r="N1342" s="2589"/>
      <c r="O1342" s="2589"/>
      <c r="P1342" s="2346"/>
      <c r="Q1342" s="2589"/>
      <c r="R1342" s="2347"/>
      <c r="S1342" s="2347"/>
      <c r="T1342" s="2348"/>
      <c r="U1342" s="2348"/>
      <c r="V1342" s="2348"/>
      <c r="W1342" s="2347"/>
      <c r="X1342" s="2347"/>
      <c r="Y1342" s="2589"/>
      <c r="Z1342" s="2589"/>
      <c r="AA1342" s="2589"/>
      <c r="AB1342" s="2589"/>
      <c r="AC1342" s="2589"/>
    </row>
    <row r="1343" spans="1:29">
      <c r="A1343" s="2589"/>
      <c r="B1343" s="2346"/>
      <c r="C1343" s="2589"/>
      <c r="D1343" s="2589"/>
      <c r="E1343" s="2345"/>
      <c r="F1343" s="2589"/>
      <c r="G1343" s="2346"/>
      <c r="H1343" s="2589"/>
      <c r="I1343" s="2589"/>
      <c r="J1343" s="2589"/>
      <c r="K1343" s="2347"/>
      <c r="L1343" s="2589"/>
      <c r="M1343" s="2589"/>
      <c r="N1343" s="2589"/>
      <c r="O1343" s="2589"/>
      <c r="P1343" s="2346"/>
      <c r="Q1343" s="2589"/>
      <c r="R1343" s="2347"/>
      <c r="S1343" s="2347"/>
      <c r="T1343" s="2348"/>
      <c r="U1343" s="2348"/>
      <c r="V1343" s="2348"/>
      <c r="W1343" s="2347"/>
      <c r="X1343" s="2347"/>
      <c r="Y1343" s="2589"/>
      <c r="Z1343" s="2589"/>
      <c r="AA1343" s="2589"/>
      <c r="AB1343" s="2589"/>
      <c r="AC1343" s="2589"/>
    </row>
    <row r="1344" spans="1:29">
      <c r="A1344" s="2589"/>
      <c r="B1344" s="2346"/>
      <c r="C1344" s="2589"/>
      <c r="D1344" s="2589"/>
      <c r="E1344" s="2345"/>
      <c r="F1344" s="2589"/>
      <c r="G1344" s="2346"/>
      <c r="H1344" s="2589"/>
      <c r="I1344" s="2589"/>
      <c r="J1344" s="2589"/>
      <c r="K1344" s="2347"/>
      <c r="L1344" s="2589"/>
      <c r="M1344" s="2589"/>
      <c r="N1344" s="2589"/>
      <c r="O1344" s="2589"/>
      <c r="P1344" s="2346"/>
      <c r="Q1344" s="2589"/>
      <c r="R1344" s="2347"/>
      <c r="S1344" s="2347"/>
      <c r="T1344" s="2348"/>
      <c r="U1344" s="2348"/>
      <c r="V1344" s="2348"/>
      <c r="W1344" s="2347"/>
      <c r="X1344" s="2347"/>
      <c r="Y1344" s="2589"/>
      <c r="Z1344" s="2589"/>
      <c r="AA1344" s="2589"/>
      <c r="AB1344" s="2589"/>
      <c r="AC1344" s="2589"/>
    </row>
    <row r="1345" spans="1:29">
      <c r="A1345" s="2589"/>
      <c r="B1345" s="2346"/>
      <c r="C1345" s="2589"/>
      <c r="D1345" s="2589"/>
      <c r="E1345" s="2345"/>
      <c r="F1345" s="2589"/>
      <c r="G1345" s="2346"/>
      <c r="H1345" s="2589"/>
      <c r="I1345" s="2589"/>
      <c r="J1345" s="2589"/>
      <c r="K1345" s="2347"/>
      <c r="L1345" s="2589"/>
      <c r="M1345" s="2589"/>
      <c r="N1345" s="2589"/>
      <c r="O1345" s="2589"/>
      <c r="P1345" s="2346"/>
      <c r="Q1345" s="2589"/>
      <c r="R1345" s="2347"/>
      <c r="S1345" s="2347"/>
      <c r="T1345" s="2348"/>
      <c r="U1345" s="2348"/>
      <c r="V1345" s="2348"/>
      <c r="W1345" s="2347"/>
      <c r="X1345" s="2347"/>
      <c r="Y1345" s="2589"/>
      <c r="Z1345" s="2589"/>
      <c r="AA1345" s="2589"/>
      <c r="AB1345" s="2589"/>
      <c r="AC1345" s="2589"/>
    </row>
    <row r="1346" spans="1:29">
      <c r="A1346" s="2589"/>
      <c r="B1346" s="2346"/>
      <c r="C1346" s="2589"/>
      <c r="D1346" s="2589"/>
      <c r="E1346" s="2345"/>
      <c r="F1346" s="2589"/>
      <c r="G1346" s="2346"/>
      <c r="H1346" s="2589"/>
      <c r="I1346" s="2589"/>
      <c r="J1346" s="2589"/>
      <c r="K1346" s="2347"/>
      <c r="L1346" s="2589"/>
      <c r="M1346" s="2589"/>
      <c r="N1346" s="2589"/>
      <c r="O1346" s="2589"/>
      <c r="P1346" s="2346"/>
      <c r="Q1346" s="2589"/>
      <c r="R1346" s="2347"/>
      <c r="S1346" s="2347"/>
      <c r="T1346" s="2348"/>
      <c r="U1346" s="2348"/>
      <c r="V1346" s="2348"/>
      <c r="W1346" s="2347"/>
      <c r="X1346" s="2347"/>
      <c r="Y1346" s="2589"/>
      <c r="Z1346" s="2589"/>
      <c r="AA1346" s="2589"/>
      <c r="AB1346" s="2589"/>
      <c r="AC1346" s="2589"/>
    </row>
    <row r="1347" spans="1:29">
      <c r="A1347" s="2589"/>
      <c r="B1347" s="2346"/>
      <c r="C1347" s="2589"/>
      <c r="D1347" s="2589"/>
      <c r="E1347" s="2345"/>
      <c r="F1347" s="2589"/>
      <c r="G1347" s="2346"/>
      <c r="H1347" s="2589"/>
      <c r="I1347" s="2589"/>
      <c r="J1347" s="2589"/>
      <c r="K1347" s="2347"/>
      <c r="L1347" s="2589"/>
      <c r="M1347" s="2589"/>
      <c r="N1347" s="2589"/>
      <c r="O1347" s="2589"/>
      <c r="P1347" s="2346"/>
      <c r="Q1347" s="2589"/>
      <c r="R1347" s="2347"/>
      <c r="S1347" s="2347"/>
      <c r="T1347" s="2348"/>
      <c r="U1347" s="2348"/>
      <c r="V1347" s="2348"/>
      <c r="W1347" s="2347"/>
      <c r="X1347" s="2347"/>
      <c r="Y1347" s="2589"/>
      <c r="Z1347" s="2589"/>
      <c r="AA1347" s="2589"/>
      <c r="AB1347" s="2589"/>
      <c r="AC1347" s="2589"/>
    </row>
    <row r="1348" spans="1:29">
      <c r="A1348" s="2589"/>
      <c r="B1348" s="2346"/>
      <c r="C1348" s="2589"/>
      <c r="D1348" s="2589"/>
      <c r="E1348" s="2345"/>
      <c r="F1348" s="2589"/>
      <c r="G1348" s="2346"/>
      <c r="H1348" s="2589"/>
      <c r="I1348" s="2589"/>
      <c r="J1348" s="2589"/>
      <c r="K1348" s="2347"/>
      <c r="L1348" s="2589"/>
      <c r="M1348" s="2589"/>
      <c r="N1348" s="2589"/>
      <c r="O1348" s="2589"/>
      <c r="P1348" s="2346"/>
      <c r="Q1348" s="2589"/>
      <c r="R1348" s="2347"/>
      <c r="S1348" s="2347"/>
      <c r="T1348" s="2348"/>
      <c r="U1348" s="2348"/>
      <c r="V1348" s="2348"/>
      <c r="W1348" s="2347"/>
      <c r="X1348" s="2347"/>
      <c r="Y1348" s="2589"/>
      <c r="Z1348" s="2589"/>
      <c r="AA1348" s="2589"/>
      <c r="AB1348" s="2589"/>
      <c r="AC1348" s="2589"/>
    </row>
    <row r="1349" spans="1:29">
      <c r="A1349" s="2589"/>
      <c r="B1349" s="2346"/>
      <c r="C1349" s="2589"/>
      <c r="D1349" s="2589"/>
      <c r="E1349" s="2345"/>
      <c r="F1349" s="2589"/>
      <c r="G1349" s="2346"/>
      <c r="H1349" s="2589"/>
      <c r="I1349" s="2589"/>
      <c r="J1349" s="2589"/>
      <c r="K1349" s="2347"/>
      <c r="L1349" s="2589"/>
      <c r="M1349" s="2589"/>
      <c r="N1349" s="2589"/>
      <c r="O1349" s="2589"/>
      <c r="P1349" s="2346"/>
      <c r="Q1349" s="2589"/>
      <c r="R1349" s="2347"/>
      <c r="S1349" s="2347"/>
      <c r="T1349" s="2348"/>
      <c r="U1349" s="2348"/>
      <c r="V1349" s="2348"/>
      <c r="W1349" s="2347"/>
      <c r="X1349" s="2347"/>
      <c r="Y1349" s="2589"/>
      <c r="Z1349" s="2589"/>
      <c r="AA1349" s="2589"/>
      <c r="AB1349" s="2589"/>
      <c r="AC1349" s="2589"/>
    </row>
    <row r="1350" spans="1:29">
      <c r="A1350" s="2589"/>
      <c r="B1350" s="2346"/>
      <c r="C1350" s="2589"/>
      <c r="D1350" s="2589"/>
      <c r="E1350" s="2345"/>
      <c r="F1350" s="2589"/>
      <c r="G1350" s="2346"/>
      <c r="H1350" s="2589"/>
      <c r="I1350" s="2589"/>
      <c r="J1350" s="2589"/>
      <c r="K1350" s="2347"/>
      <c r="L1350" s="2589"/>
      <c r="M1350" s="2589"/>
      <c r="N1350" s="2589"/>
      <c r="O1350" s="2589"/>
      <c r="P1350" s="2346"/>
      <c r="Q1350" s="2589"/>
      <c r="R1350" s="2347"/>
      <c r="S1350" s="2347"/>
      <c r="T1350" s="2348"/>
      <c r="U1350" s="2348"/>
      <c r="V1350" s="2348"/>
      <c r="W1350" s="2347"/>
      <c r="X1350" s="2347"/>
      <c r="Y1350" s="2589"/>
      <c r="Z1350" s="2589"/>
      <c r="AA1350" s="2589"/>
      <c r="AB1350" s="2589"/>
      <c r="AC1350" s="2589"/>
    </row>
    <row r="1351" spans="1:29">
      <c r="A1351" s="2589"/>
      <c r="B1351" s="2346"/>
      <c r="C1351" s="2589"/>
      <c r="D1351" s="2589"/>
      <c r="E1351" s="2345"/>
      <c r="F1351" s="2589"/>
      <c r="G1351" s="2346"/>
      <c r="H1351" s="2589"/>
      <c r="I1351" s="2589"/>
      <c r="J1351" s="2589"/>
      <c r="K1351" s="2347"/>
      <c r="L1351" s="2589"/>
      <c r="M1351" s="2589"/>
      <c r="N1351" s="2589"/>
      <c r="O1351" s="2589"/>
      <c r="P1351" s="2346"/>
      <c r="Q1351" s="2589"/>
      <c r="R1351" s="2347"/>
      <c r="S1351" s="2347"/>
      <c r="T1351" s="2348"/>
      <c r="U1351" s="2348"/>
      <c r="V1351" s="2348"/>
      <c r="W1351" s="2347"/>
      <c r="X1351" s="2347"/>
      <c r="Y1351" s="2589"/>
      <c r="Z1351" s="2589"/>
      <c r="AA1351" s="2589"/>
      <c r="AB1351" s="2589"/>
      <c r="AC1351" s="2589"/>
    </row>
    <row r="1352" spans="1:29">
      <c r="A1352" s="2589"/>
      <c r="B1352" s="2346"/>
      <c r="C1352" s="2589"/>
      <c r="D1352" s="2589"/>
      <c r="E1352" s="2345"/>
      <c r="F1352" s="2589"/>
      <c r="G1352" s="2346"/>
      <c r="H1352" s="2589"/>
      <c r="I1352" s="2589"/>
      <c r="J1352" s="2589"/>
      <c r="K1352" s="2347"/>
      <c r="L1352" s="2589"/>
      <c r="M1352" s="2589"/>
      <c r="N1352" s="2589"/>
      <c r="O1352" s="2589"/>
      <c r="P1352" s="2346"/>
      <c r="Q1352" s="2589"/>
      <c r="R1352" s="2347"/>
      <c r="S1352" s="2347"/>
      <c r="T1352" s="2348"/>
      <c r="U1352" s="2348"/>
      <c r="V1352" s="2348"/>
      <c r="W1352" s="2347"/>
      <c r="X1352" s="2347"/>
      <c r="Y1352" s="2589"/>
      <c r="Z1352" s="2589"/>
      <c r="AA1352" s="2589"/>
      <c r="AB1352" s="2589"/>
      <c r="AC1352" s="2589"/>
    </row>
    <row r="1353" spans="1:29">
      <c r="A1353" s="2589"/>
      <c r="B1353" s="2346"/>
      <c r="C1353" s="2589"/>
      <c r="D1353" s="2589"/>
      <c r="E1353" s="2345"/>
      <c r="F1353" s="2589"/>
      <c r="G1353" s="2346"/>
      <c r="H1353" s="2589"/>
      <c r="I1353" s="2589"/>
      <c r="J1353" s="2589"/>
      <c r="K1353" s="2347"/>
      <c r="L1353" s="2589"/>
      <c r="M1353" s="2589"/>
      <c r="N1353" s="2589"/>
      <c r="O1353" s="2589"/>
      <c r="P1353" s="2346"/>
      <c r="Q1353" s="2589"/>
      <c r="R1353" s="2347"/>
      <c r="S1353" s="2347"/>
      <c r="T1353" s="2348"/>
      <c r="U1353" s="2348"/>
      <c r="V1353" s="2348"/>
      <c r="W1353" s="2347"/>
      <c r="X1353" s="2347"/>
      <c r="Y1353" s="2589"/>
      <c r="Z1353" s="2589"/>
      <c r="AA1353" s="2589"/>
      <c r="AB1353" s="2589"/>
      <c r="AC1353" s="2589"/>
    </row>
    <row r="1354" spans="1:29">
      <c r="A1354" s="2589"/>
      <c r="B1354" s="2346"/>
      <c r="C1354" s="2589"/>
      <c r="D1354" s="2589"/>
      <c r="E1354" s="2345"/>
      <c r="F1354" s="2589"/>
      <c r="G1354" s="2346"/>
      <c r="H1354" s="2589"/>
      <c r="I1354" s="2589"/>
      <c r="J1354" s="2589"/>
      <c r="K1354" s="2347"/>
      <c r="L1354" s="2589"/>
      <c r="M1354" s="2589"/>
      <c r="N1354" s="2589"/>
      <c r="O1354" s="2589"/>
      <c r="P1354" s="2346"/>
      <c r="Q1354" s="2589"/>
      <c r="R1354" s="2347"/>
      <c r="S1354" s="2347"/>
      <c r="T1354" s="2348"/>
      <c r="U1354" s="2348"/>
      <c r="V1354" s="2348"/>
      <c r="W1354" s="2347"/>
      <c r="X1354" s="2347"/>
      <c r="Y1354" s="2589"/>
      <c r="Z1354" s="2589"/>
      <c r="AA1354" s="2589"/>
      <c r="AB1354" s="2589"/>
      <c r="AC1354" s="2589"/>
    </row>
    <row r="1355" spans="1:29">
      <c r="A1355" s="2589"/>
      <c r="B1355" s="2346"/>
      <c r="C1355" s="2589"/>
      <c r="D1355" s="2589"/>
      <c r="E1355" s="2345"/>
      <c r="F1355" s="2589"/>
      <c r="G1355" s="2346"/>
      <c r="H1355" s="2589"/>
      <c r="I1355" s="2589"/>
      <c r="J1355" s="2589"/>
      <c r="K1355" s="2347"/>
      <c r="L1355" s="2589"/>
      <c r="M1355" s="2589"/>
      <c r="N1355" s="2589"/>
      <c r="O1355" s="2589"/>
      <c r="P1355" s="2346"/>
      <c r="Q1355" s="2589"/>
      <c r="R1355" s="2347"/>
      <c r="S1355" s="2347"/>
      <c r="T1355" s="2348"/>
      <c r="U1355" s="2348"/>
      <c r="V1355" s="2348"/>
      <c r="W1355" s="2347"/>
      <c r="X1355" s="2347"/>
      <c r="Y1355" s="2589"/>
      <c r="Z1355" s="2589"/>
      <c r="AA1355" s="2589"/>
      <c r="AB1355" s="2589"/>
      <c r="AC1355" s="2589"/>
    </row>
    <row r="1356" spans="1:29">
      <c r="A1356" s="2589"/>
      <c r="B1356" s="2346"/>
      <c r="C1356" s="2589"/>
      <c r="D1356" s="2589"/>
      <c r="E1356" s="2345"/>
      <c r="F1356" s="2589"/>
      <c r="G1356" s="2346"/>
      <c r="H1356" s="2589"/>
      <c r="I1356" s="2589"/>
      <c r="J1356" s="2589"/>
      <c r="K1356" s="2347"/>
      <c r="L1356" s="2589"/>
      <c r="M1356" s="2589"/>
      <c r="N1356" s="2589"/>
      <c r="O1356" s="2589"/>
      <c r="P1356" s="2346"/>
      <c r="Q1356" s="2589"/>
      <c r="R1356" s="2347"/>
      <c r="S1356" s="2347"/>
      <c r="T1356" s="2348"/>
      <c r="U1356" s="2348"/>
      <c r="V1356" s="2348"/>
      <c r="W1356" s="2347"/>
      <c r="X1356" s="2347"/>
      <c r="Y1356" s="2589"/>
      <c r="Z1356" s="2589"/>
      <c r="AA1356" s="2589"/>
      <c r="AB1356" s="2589"/>
      <c r="AC1356" s="2589"/>
    </row>
    <row r="1357" spans="1:29">
      <c r="A1357" s="2589"/>
      <c r="B1357" s="2346"/>
      <c r="C1357" s="2589"/>
      <c r="D1357" s="2589"/>
      <c r="E1357" s="2345"/>
      <c r="F1357" s="2589"/>
      <c r="G1357" s="2346"/>
      <c r="H1357" s="2589"/>
      <c r="I1357" s="2589"/>
      <c r="J1357" s="2589"/>
      <c r="K1357" s="2347"/>
      <c r="L1357" s="2589"/>
      <c r="M1357" s="2589"/>
      <c r="N1357" s="2589"/>
      <c r="O1357" s="2589"/>
      <c r="P1357" s="2346"/>
      <c r="Q1357" s="2589"/>
      <c r="R1357" s="2347"/>
      <c r="S1357" s="2347"/>
      <c r="T1357" s="2348"/>
      <c r="U1357" s="2348"/>
      <c r="V1357" s="2348"/>
      <c r="W1357" s="2347"/>
      <c r="X1357" s="2347"/>
      <c r="Y1357" s="2589"/>
      <c r="Z1357" s="2589"/>
      <c r="AA1357" s="2589"/>
      <c r="AB1357" s="2589"/>
      <c r="AC1357" s="2589"/>
    </row>
    <row r="1358" spans="1:29">
      <c r="A1358" s="2589"/>
      <c r="B1358" s="2346"/>
      <c r="C1358" s="2589"/>
      <c r="D1358" s="2589"/>
      <c r="E1358" s="2345"/>
      <c r="F1358" s="2589"/>
      <c r="G1358" s="2346"/>
      <c r="H1358" s="2589"/>
      <c r="I1358" s="2589"/>
      <c r="J1358" s="2589"/>
      <c r="K1358" s="2347"/>
      <c r="L1358" s="2589"/>
      <c r="M1358" s="2589"/>
      <c r="N1358" s="2589"/>
      <c r="O1358" s="2589"/>
      <c r="P1358" s="2346"/>
      <c r="Q1358" s="2589"/>
      <c r="R1358" s="2347"/>
      <c r="S1358" s="2347"/>
      <c r="T1358" s="2348"/>
      <c r="U1358" s="2348"/>
      <c r="V1358" s="2348"/>
      <c r="W1358" s="2347"/>
      <c r="X1358" s="2347"/>
      <c r="Y1358" s="2589"/>
      <c r="Z1358" s="2589"/>
      <c r="AA1358" s="2589"/>
      <c r="AB1358" s="2589"/>
      <c r="AC1358" s="2589"/>
    </row>
    <row r="1359" spans="1:29">
      <c r="A1359" s="2589"/>
      <c r="B1359" s="2346"/>
      <c r="C1359" s="2589"/>
      <c r="D1359" s="2589"/>
      <c r="E1359" s="2345"/>
      <c r="F1359" s="2589"/>
      <c r="G1359" s="2346"/>
      <c r="H1359" s="2589"/>
      <c r="I1359" s="2589"/>
      <c r="J1359" s="2589"/>
      <c r="K1359" s="2347"/>
      <c r="L1359" s="2589"/>
      <c r="M1359" s="2589"/>
      <c r="N1359" s="2589"/>
      <c r="O1359" s="2589"/>
      <c r="P1359" s="2346"/>
      <c r="Q1359" s="2589"/>
      <c r="R1359" s="2347"/>
      <c r="S1359" s="2347"/>
      <c r="T1359" s="2348"/>
      <c r="U1359" s="2348"/>
      <c r="V1359" s="2348"/>
      <c r="W1359" s="2347"/>
      <c r="X1359" s="2347"/>
      <c r="Y1359" s="2589"/>
      <c r="Z1359" s="2589"/>
      <c r="AA1359" s="2589"/>
      <c r="AB1359" s="2589"/>
      <c r="AC1359" s="2589"/>
    </row>
    <row r="1360" spans="1:29">
      <c r="A1360" s="2589"/>
      <c r="B1360" s="2346"/>
      <c r="C1360" s="2589"/>
      <c r="D1360" s="2589"/>
      <c r="E1360" s="2345"/>
      <c r="F1360" s="2589"/>
      <c r="G1360" s="2346"/>
      <c r="H1360" s="2589"/>
      <c r="I1360" s="2589"/>
      <c r="J1360" s="2589"/>
      <c r="K1360" s="2347"/>
      <c r="L1360" s="2589"/>
      <c r="M1360" s="2589"/>
      <c r="N1360" s="2589"/>
      <c r="O1360" s="2589"/>
      <c r="P1360" s="2346"/>
      <c r="Q1360" s="2589"/>
      <c r="R1360" s="2347"/>
      <c r="S1360" s="2347"/>
      <c r="T1360" s="2348"/>
      <c r="U1360" s="2348"/>
      <c r="V1360" s="2348"/>
      <c r="W1360" s="2347"/>
      <c r="X1360" s="2347"/>
      <c r="Y1360" s="2589"/>
      <c r="Z1360" s="2589"/>
      <c r="AA1360" s="2589"/>
      <c r="AB1360" s="2589"/>
      <c r="AC1360" s="2589"/>
    </row>
    <row r="1361" spans="1:29">
      <c r="A1361" s="2589"/>
      <c r="B1361" s="2346"/>
      <c r="C1361" s="2589"/>
      <c r="D1361" s="2589"/>
      <c r="E1361" s="2345"/>
      <c r="F1361" s="2589"/>
      <c r="G1361" s="2346"/>
      <c r="H1361" s="2589"/>
      <c r="I1361" s="2589"/>
      <c r="J1361" s="2589"/>
      <c r="K1361" s="2347"/>
      <c r="L1361" s="2589"/>
      <c r="M1361" s="2589"/>
      <c r="N1361" s="2589"/>
      <c r="O1361" s="2589"/>
      <c r="P1361" s="2346"/>
      <c r="Q1361" s="2589"/>
      <c r="R1361" s="2347"/>
      <c r="S1361" s="2347"/>
      <c r="T1361" s="2348"/>
      <c r="U1361" s="2348"/>
      <c r="V1361" s="2348"/>
      <c r="W1361" s="2347"/>
      <c r="X1361" s="2347"/>
      <c r="Y1361" s="2589"/>
      <c r="Z1361" s="2589"/>
      <c r="AA1361" s="2589"/>
      <c r="AB1361" s="2589"/>
      <c r="AC1361" s="2589"/>
    </row>
    <row r="1362" spans="1:29">
      <c r="A1362" s="2589"/>
      <c r="B1362" s="2346"/>
      <c r="C1362" s="2589"/>
      <c r="D1362" s="2589"/>
      <c r="E1362" s="2345"/>
      <c r="F1362" s="2589"/>
      <c r="G1362" s="2346"/>
      <c r="H1362" s="2589"/>
      <c r="I1362" s="2589"/>
      <c r="J1362" s="2589"/>
      <c r="K1362" s="2347"/>
      <c r="L1362" s="2589"/>
      <c r="M1362" s="2589"/>
      <c r="N1362" s="2589"/>
      <c r="O1362" s="2589"/>
      <c r="P1362" s="2346"/>
      <c r="Q1362" s="2589"/>
      <c r="R1362" s="2347"/>
      <c r="S1362" s="2347"/>
      <c r="T1362" s="2348"/>
      <c r="U1362" s="2348"/>
      <c r="V1362" s="2348"/>
      <c r="W1362" s="2347"/>
      <c r="X1362" s="2347"/>
      <c r="Y1362" s="2589"/>
      <c r="Z1362" s="2589"/>
      <c r="AA1362" s="2589"/>
      <c r="AB1362" s="2589"/>
      <c r="AC1362" s="2589"/>
    </row>
    <row r="1363" spans="1:29">
      <c r="A1363" s="2589"/>
      <c r="B1363" s="2346"/>
      <c r="C1363" s="2589"/>
      <c r="D1363" s="2589"/>
      <c r="E1363" s="2345"/>
      <c r="F1363" s="2589"/>
      <c r="G1363" s="2346"/>
      <c r="H1363" s="2589"/>
      <c r="I1363" s="2589"/>
      <c r="J1363" s="2589"/>
      <c r="K1363" s="2347"/>
      <c r="L1363" s="2589"/>
      <c r="M1363" s="2589"/>
      <c r="N1363" s="2589"/>
      <c r="O1363" s="2589"/>
      <c r="P1363" s="2346"/>
      <c r="Q1363" s="2589"/>
      <c r="R1363" s="2347"/>
      <c r="S1363" s="2347"/>
      <c r="T1363" s="2348"/>
      <c r="U1363" s="2348"/>
      <c r="V1363" s="2348"/>
      <c r="W1363" s="2347"/>
      <c r="X1363" s="2347"/>
      <c r="Y1363" s="2589"/>
      <c r="Z1363" s="2589"/>
      <c r="AA1363" s="2589"/>
      <c r="AB1363" s="2589"/>
      <c r="AC1363" s="2589"/>
    </row>
    <row r="1364" spans="1:29">
      <c r="A1364" s="2589"/>
      <c r="B1364" s="2346"/>
      <c r="C1364" s="2589"/>
      <c r="D1364" s="2589"/>
      <c r="E1364" s="2345"/>
      <c r="F1364" s="2589"/>
      <c r="G1364" s="2346"/>
      <c r="H1364" s="2589"/>
      <c r="I1364" s="2589"/>
      <c r="J1364" s="2589"/>
      <c r="K1364" s="2347"/>
      <c r="L1364" s="2589"/>
      <c r="M1364" s="2589"/>
      <c r="N1364" s="2589"/>
      <c r="O1364" s="2589"/>
      <c r="P1364" s="2346"/>
      <c r="Q1364" s="2589"/>
      <c r="R1364" s="2347"/>
      <c r="S1364" s="2347"/>
      <c r="T1364" s="2348"/>
      <c r="U1364" s="2348"/>
      <c r="V1364" s="2348"/>
      <c r="W1364" s="2347"/>
      <c r="X1364" s="2347"/>
      <c r="Y1364" s="2589"/>
      <c r="Z1364" s="2589"/>
      <c r="AA1364" s="2589"/>
      <c r="AB1364" s="2589"/>
      <c r="AC1364" s="2589"/>
    </row>
    <row r="1365" spans="1:29">
      <c r="A1365" s="2589"/>
      <c r="B1365" s="2346"/>
      <c r="C1365" s="2589"/>
      <c r="D1365" s="2589"/>
      <c r="E1365" s="2345"/>
      <c r="F1365" s="2589"/>
      <c r="G1365" s="2346"/>
      <c r="H1365" s="2589"/>
      <c r="I1365" s="2589"/>
      <c r="J1365" s="2589"/>
      <c r="K1365" s="2347"/>
      <c r="L1365" s="2589"/>
      <c r="M1365" s="2589"/>
      <c r="N1365" s="2589"/>
      <c r="O1365" s="2589"/>
      <c r="P1365" s="2346"/>
      <c r="Q1365" s="2589"/>
      <c r="R1365" s="2347"/>
      <c r="S1365" s="2347"/>
      <c r="T1365" s="2348"/>
      <c r="U1365" s="2348"/>
      <c r="V1365" s="2348"/>
      <c r="W1365" s="2347"/>
      <c r="X1365" s="2347"/>
      <c r="Y1365" s="2589"/>
      <c r="Z1365" s="2589"/>
      <c r="AA1365" s="2589"/>
      <c r="AB1365" s="2589"/>
      <c r="AC1365" s="2589"/>
    </row>
    <row r="1366" spans="1:29">
      <c r="A1366" s="2589"/>
      <c r="B1366" s="2346"/>
      <c r="C1366" s="2589"/>
      <c r="D1366" s="2589"/>
      <c r="E1366" s="2345"/>
      <c r="F1366" s="2589"/>
      <c r="G1366" s="2346"/>
      <c r="H1366" s="2589"/>
      <c r="I1366" s="2589"/>
      <c r="J1366" s="2589"/>
      <c r="K1366" s="2347"/>
      <c r="L1366" s="2589"/>
      <c r="M1366" s="2589"/>
      <c r="N1366" s="2589"/>
      <c r="O1366" s="2589"/>
      <c r="P1366" s="2346"/>
      <c r="Q1366" s="2589"/>
      <c r="R1366" s="2347"/>
      <c r="S1366" s="2347"/>
      <c r="T1366" s="2348"/>
      <c r="U1366" s="2348"/>
      <c r="V1366" s="2348"/>
      <c r="W1366" s="2347"/>
      <c r="X1366" s="2347"/>
      <c r="Y1366" s="2589"/>
      <c r="Z1366" s="2589"/>
      <c r="AA1366" s="2589"/>
      <c r="AB1366" s="2589"/>
      <c r="AC1366" s="2589"/>
    </row>
    <row r="1367" spans="1:29">
      <c r="A1367" s="2589"/>
      <c r="B1367" s="2346"/>
      <c r="C1367" s="2589"/>
      <c r="D1367" s="2589"/>
      <c r="E1367" s="2345"/>
      <c r="F1367" s="2589"/>
      <c r="G1367" s="2346"/>
      <c r="H1367" s="2589"/>
      <c r="I1367" s="2589"/>
      <c r="J1367" s="2589"/>
      <c r="K1367" s="2347"/>
      <c r="L1367" s="2589"/>
      <c r="M1367" s="2589"/>
      <c r="N1367" s="2589"/>
      <c r="O1367" s="2589"/>
      <c r="P1367" s="2346"/>
      <c r="Q1367" s="2589"/>
      <c r="R1367" s="2347"/>
      <c r="S1367" s="2347"/>
      <c r="T1367" s="2348"/>
      <c r="U1367" s="2348"/>
      <c r="V1367" s="2348"/>
      <c r="W1367" s="2347"/>
      <c r="X1367" s="2347"/>
      <c r="Y1367" s="2589"/>
      <c r="Z1367" s="2589"/>
      <c r="AA1367" s="2589"/>
      <c r="AB1367" s="2589"/>
      <c r="AC1367" s="2589"/>
    </row>
    <row r="1368" spans="1:29">
      <c r="A1368" s="2589"/>
      <c r="B1368" s="2346"/>
      <c r="C1368" s="2589"/>
      <c r="D1368" s="2589"/>
      <c r="E1368" s="2345"/>
      <c r="F1368" s="2589"/>
      <c r="G1368" s="2346"/>
      <c r="H1368" s="2589"/>
      <c r="I1368" s="2589"/>
      <c r="J1368" s="2589"/>
      <c r="K1368" s="2347"/>
      <c r="L1368" s="2589"/>
      <c r="M1368" s="2589"/>
      <c r="N1368" s="2589"/>
      <c r="O1368" s="2589"/>
      <c r="P1368" s="2346"/>
      <c r="Q1368" s="2589"/>
      <c r="R1368" s="2347"/>
      <c r="S1368" s="2347"/>
      <c r="T1368" s="2348"/>
      <c r="U1368" s="2348"/>
      <c r="V1368" s="2348"/>
      <c r="W1368" s="2347"/>
      <c r="X1368" s="2347"/>
      <c r="Y1368" s="2589"/>
      <c r="Z1368" s="2589"/>
      <c r="AA1368" s="2589"/>
      <c r="AB1368" s="2589"/>
      <c r="AC1368" s="2589"/>
    </row>
    <row r="1369" spans="1:29">
      <c r="A1369" s="2589"/>
      <c r="B1369" s="2346"/>
      <c r="C1369" s="2589"/>
      <c r="D1369" s="2589"/>
      <c r="E1369" s="2345"/>
      <c r="F1369" s="2589"/>
      <c r="G1369" s="2346"/>
      <c r="H1369" s="2589"/>
      <c r="I1369" s="2589"/>
      <c r="J1369" s="2589"/>
      <c r="K1369" s="2347"/>
      <c r="L1369" s="2589"/>
      <c r="M1369" s="2589"/>
      <c r="N1369" s="2589"/>
      <c r="O1369" s="2589"/>
      <c r="P1369" s="2346"/>
      <c r="Q1369" s="2589"/>
      <c r="R1369" s="2347"/>
      <c r="S1369" s="2347"/>
      <c r="T1369" s="2348"/>
      <c r="U1369" s="2348"/>
      <c r="V1369" s="2348"/>
      <c r="W1369" s="2347"/>
      <c r="X1369" s="2347"/>
      <c r="Y1369" s="2589"/>
      <c r="Z1369" s="2589"/>
      <c r="AA1369" s="2589"/>
      <c r="AB1369" s="2589"/>
      <c r="AC1369" s="2589"/>
    </row>
    <row r="1370" spans="1:29">
      <c r="A1370" s="2589"/>
      <c r="B1370" s="2346"/>
      <c r="C1370" s="2589"/>
      <c r="D1370" s="2589"/>
      <c r="E1370" s="2345"/>
      <c r="F1370" s="2589"/>
      <c r="G1370" s="2346"/>
      <c r="H1370" s="2589"/>
      <c r="I1370" s="2589"/>
      <c r="J1370" s="2589"/>
      <c r="K1370" s="2347"/>
      <c r="L1370" s="2589"/>
      <c r="M1370" s="2589"/>
      <c r="N1370" s="2589"/>
      <c r="O1370" s="2589"/>
      <c r="P1370" s="2346"/>
      <c r="Q1370" s="2589"/>
      <c r="R1370" s="2347"/>
      <c r="S1370" s="2347"/>
      <c r="T1370" s="2348"/>
      <c r="U1370" s="2348"/>
      <c r="V1370" s="2348"/>
      <c r="W1370" s="2347"/>
      <c r="X1370" s="2347"/>
      <c r="Y1370" s="2589"/>
      <c r="Z1370" s="2589"/>
      <c r="AA1370" s="2589"/>
      <c r="AB1370" s="2589"/>
      <c r="AC1370" s="2589"/>
    </row>
    <row r="1371" spans="1:29">
      <c r="A1371" s="2589"/>
      <c r="B1371" s="2346"/>
      <c r="C1371" s="2589"/>
      <c r="D1371" s="2589"/>
      <c r="E1371" s="2345"/>
      <c r="F1371" s="2589"/>
      <c r="G1371" s="2346"/>
      <c r="H1371" s="2589"/>
      <c r="I1371" s="2589"/>
      <c r="J1371" s="2589"/>
      <c r="K1371" s="2347"/>
      <c r="L1371" s="2589"/>
      <c r="M1371" s="2589"/>
      <c r="N1371" s="2589"/>
      <c r="O1371" s="2589"/>
      <c r="P1371" s="2346"/>
      <c r="Q1371" s="2589"/>
      <c r="R1371" s="2347"/>
      <c r="S1371" s="2347"/>
      <c r="T1371" s="2348"/>
      <c r="U1371" s="2348"/>
      <c r="V1371" s="2348"/>
      <c r="W1371" s="2347"/>
      <c r="X1371" s="2347"/>
      <c r="Y1371" s="2589"/>
      <c r="Z1371" s="2589"/>
      <c r="AA1371" s="2589"/>
      <c r="AB1371" s="2589"/>
      <c r="AC1371" s="2589"/>
    </row>
    <row r="1372" spans="1:29">
      <c r="A1372" s="2589"/>
      <c r="B1372" s="2346"/>
      <c r="C1372" s="2589"/>
      <c r="D1372" s="2589"/>
      <c r="E1372" s="2345"/>
      <c r="F1372" s="2589"/>
      <c r="G1372" s="2346"/>
      <c r="H1372" s="2589"/>
      <c r="I1372" s="2589"/>
      <c r="J1372" s="2589"/>
      <c r="K1372" s="2347"/>
      <c r="L1372" s="2589"/>
      <c r="M1372" s="2589"/>
      <c r="N1372" s="2589"/>
      <c r="O1372" s="2589"/>
      <c r="P1372" s="2346"/>
      <c r="Q1372" s="2589"/>
      <c r="R1372" s="2347"/>
      <c r="S1372" s="2347"/>
      <c r="T1372" s="2348"/>
      <c r="U1372" s="2348"/>
      <c r="V1372" s="2348"/>
      <c r="W1372" s="2347"/>
      <c r="X1372" s="2347"/>
      <c r="Y1372" s="2589"/>
      <c r="Z1372" s="2589"/>
      <c r="AA1372" s="2589"/>
      <c r="AB1372" s="2589"/>
      <c r="AC1372" s="2589"/>
    </row>
    <row r="1373" spans="1:29">
      <c r="A1373" s="2589"/>
      <c r="B1373" s="2346"/>
      <c r="C1373" s="2589"/>
      <c r="D1373" s="2589"/>
      <c r="E1373" s="2345"/>
      <c r="F1373" s="2589"/>
      <c r="G1373" s="2346"/>
      <c r="H1373" s="2589"/>
      <c r="I1373" s="2589"/>
      <c r="J1373" s="2589"/>
      <c r="K1373" s="2347"/>
      <c r="L1373" s="2589"/>
      <c r="M1373" s="2589"/>
      <c r="N1373" s="2589"/>
      <c r="O1373" s="2589"/>
      <c r="P1373" s="2346"/>
      <c r="Q1373" s="2589"/>
      <c r="R1373" s="2347"/>
      <c r="S1373" s="2347"/>
      <c r="T1373" s="2348"/>
      <c r="U1373" s="2348"/>
      <c r="V1373" s="2348"/>
      <c r="W1373" s="2347"/>
      <c r="X1373" s="2347"/>
      <c r="Y1373" s="2589"/>
      <c r="Z1373" s="2589"/>
      <c r="AA1373" s="2589"/>
      <c r="AB1373" s="2589"/>
      <c r="AC1373" s="2589"/>
    </row>
    <row r="1374" spans="1:29">
      <c r="A1374" s="2589"/>
      <c r="B1374" s="2346"/>
      <c r="C1374" s="2589"/>
      <c r="D1374" s="2589"/>
      <c r="E1374" s="2345"/>
      <c r="F1374" s="2589"/>
      <c r="G1374" s="2346"/>
      <c r="H1374" s="2589"/>
      <c r="I1374" s="2589"/>
      <c r="J1374" s="2589"/>
      <c r="K1374" s="2347"/>
      <c r="L1374" s="2589"/>
      <c r="M1374" s="2589"/>
      <c r="N1374" s="2589"/>
      <c r="O1374" s="2589"/>
      <c r="P1374" s="2346"/>
      <c r="Q1374" s="2589"/>
      <c r="R1374" s="2347"/>
      <c r="S1374" s="2347"/>
      <c r="T1374" s="2348"/>
      <c r="U1374" s="2348"/>
      <c r="V1374" s="2348"/>
      <c r="W1374" s="2347"/>
      <c r="X1374" s="2347"/>
      <c r="Y1374" s="2589"/>
      <c r="Z1374" s="2589"/>
      <c r="AA1374" s="2589"/>
      <c r="AB1374" s="2589"/>
      <c r="AC1374" s="2589"/>
    </row>
    <row r="1375" spans="1:29">
      <c r="A1375" s="2589"/>
      <c r="B1375" s="2346"/>
      <c r="C1375" s="2589"/>
      <c r="D1375" s="2589"/>
      <c r="E1375" s="2345"/>
      <c r="F1375" s="2589"/>
      <c r="G1375" s="2346"/>
      <c r="H1375" s="2589"/>
      <c r="I1375" s="2589"/>
      <c r="J1375" s="2589"/>
      <c r="K1375" s="2347"/>
      <c r="L1375" s="2589"/>
      <c r="M1375" s="2589"/>
      <c r="N1375" s="2589"/>
      <c r="O1375" s="2589"/>
      <c r="P1375" s="2346"/>
      <c r="Q1375" s="2589"/>
      <c r="R1375" s="2347"/>
      <c r="S1375" s="2347"/>
      <c r="T1375" s="2348"/>
      <c r="U1375" s="2348"/>
      <c r="V1375" s="2348"/>
      <c r="W1375" s="2347"/>
      <c r="X1375" s="2347"/>
      <c r="Y1375" s="2589"/>
      <c r="Z1375" s="2589"/>
      <c r="AA1375" s="2589"/>
      <c r="AB1375" s="2589"/>
      <c r="AC1375" s="2589"/>
    </row>
    <row r="1376" spans="1:29">
      <c r="A1376" s="2589"/>
      <c r="B1376" s="2346"/>
      <c r="C1376" s="2589"/>
      <c r="D1376" s="2589"/>
      <c r="E1376" s="2345"/>
      <c r="F1376" s="2589"/>
      <c r="G1376" s="2346"/>
      <c r="H1376" s="2589"/>
      <c r="I1376" s="2589"/>
      <c r="J1376" s="2589"/>
      <c r="K1376" s="2347"/>
      <c r="L1376" s="2589"/>
      <c r="M1376" s="2589"/>
      <c r="N1376" s="2589"/>
      <c r="O1376" s="2589"/>
      <c r="P1376" s="2346"/>
      <c r="Q1376" s="2589"/>
      <c r="R1376" s="2347"/>
      <c r="S1376" s="2347"/>
      <c r="T1376" s="2348"/>
      <c r="U1376" s="2348"/>
      <c r="V1376" s="2348"/>
      <c r="W1376" s="2347"/>
      <c r="X1376" s="2347"/>
      <c r="Y1376" s="2589"/>
      <c r="Z1376" s="2589"/>
      <c r="AA1376" s="2589"/>
      <c r="AB1376" s="2589"/>
      <c r="AC1376" s="2589"/>
    </row>
    <row r="1377" spans="1:29">
      <c r="A1377" s="2589"/>
      <c r="B1377" s="2346"/>
      <c r="C1377" s="2589"/>
      <c r="D1377" s="2589"/>
      <c r="E1377" s="2345"/>
      <c r="F1377" s="2589"/>
      <c r="G1377" s="2346"/>
      <c r="H1377" s="2589"/>
      <c r="I1377" s="2589"/>
      <c r="J1377" s="2589"/>
      <c r="K1377" s="2347"/>
      <c r="L1377" s="2589"/>
      <c r="M1377" s="2589"/>
      <c r="N1377" s="2589"/>
      <c r="O1377" s="2589"/>
      <c r="P1377" s="2346"/>
      <c r="Q1377" s="2589"/>
      <c r="R1377" s="2347"/>
      <c r="S1377" s="2347"/>
      <c r="T1377" s="2348"/>
      <c r="U1377" s="2348"/>
      <c r="V1377" s="2348"/>
      <c r="W1377" s="2347"/>
      <c r="X1377" s="2347"/>
      <c r="Y1377" s="2589"/>
      <c r="Z1377" s="2589"/>
      <c r="AA1377" s="2589"/>
      <c r="AB1377" s="2589"/>
      <c r="AC1377" s="2589"/>
    </row>
    <row r="1378" spans="1:29">
      <c r="A1378" s="2589"/>
      <c r="B1378" s="2346"/>
      <c r="C1378" s="2589"/>
      <c r="D1378" s="2589"/>
      <c r="E1378" s="2345"/>
      <c r="F1378" s="2589"/>
      <c r="G1378" s="2346"/>
      <c r="H1378" s="2589"/>
      <c r="I1378" s="2589"/>
      <c r="J1378" s="2589"/>
      <c r="K1378" s="2347"/>
      <c r="L1378" s="2589"/>
      <c r="M1378" s="2589"/>
      <c r="N1378" s="2589"/>
      <c r="O1378" s="2589"/>
      <c r="P1378" s="2346"/>
      <c r="Q1378" s="2589"/>
      <c r="R1378" s="2347"/>
      <c r="S1378" s="2347"/>
      <c r="T1378" s="2348"/>
      <c r="U1378" s="2348"/>
      <c r="V1378" s="2348"/>
      <c r="W1378" s="2347"/>
      <c r="X1378" s="2347"/>
      <c r="Y1378" s="2589"/>
      <c r="Z1378" s="2589"/>
      <c r="AA1378" s="2589"/>
      <c r="AB1378" s="2589"/>
      <c r="AC1378" s="2589"/>
    </row>
    <row r="1379" spans="1:29">
      <c r="A1379" s="2589"/>
      <c r="B1379" s="2346"/>
      <c r="C1379" s="2589"/>
      <c r="D1379" s="2589"/>
      <c r="E1379" s="2345"/>
      <c r="F1379" s="2589"/>
      <c r="G1379" s="2346"/>
      <c r="H1379" s="2589"/>
      <c r="I1379" s="2589"/>
      <c r="J1379" s="2589"/>
      <c r="K1379" s="2347"/>
      <c r="L1379" s="2589"/>
      <c r="M1379" s="2589"/>
      <c r="N1379" s="2589"/>
      <c r="O1379" s="2589"/>
      <c r="P1379" s="2346"/>
      <c r="Q1379" s="2589"/>
      <c r="R1379" s="2347"/>
      <c r="S1379" s="2347"/>
      <c r="T1379" s="2348"/>
      <c r="U1379" s="2348"/>
      <c r="V1379" s="2348"/>
      <c r="W1379" s="2347"/>
      <c r="X1379" s="2347"/>
      <c r="Y1379" s="2589"/>
      <c r="Z1379" s="2589"/>
      <c r="AA1379" s="2589"/>
      <c r="AB1379" s="2589"/>
      <c r="AC1379" s="2589"/>
    </row>
    <row r="1380" spans="1:29">
      <c r="A1380" s="2589"/>
      <c r="B1380" s="2346"/>
      <c r="C1380" s="2589"/>
      <c r="D1380" s="2589"/>
      <c r="E1380" s="2345"/>
      <c r="F1380" s="2589"/>
      <c r="G1380" s="2346"/>
      <c r="H1380" s="2589"/>
      <c r="I1380" s="2589"/>
      <c r="J1380" s="2589"/>
      <c r="K1380" s="2347"/>
      <c r="L1380" s="2589"/>
      <c r="M1380" s="2589"/>
      <c r="N1380" s="2589"/>
      <c r="O1380" s="2589"/>
      <c r="P1380" s="2346"/>
      <c r="Q1380" s="2589"/>
      <c r="R1380" s="2347"/>
      <c r="S1380" s="2347"/>
      <c r="T1380" s="2348"/>
      <c r="U1380" s="2348"/>
      <c r="V1380" s="2348"/>
      <c r="W1380" s="2347"/>
      <c r="X1380" s="2347"/>
      <c r="Y1380" s="2589"/>
      <c r="Z1380" s="2589"/>
      <c r="AA1380" s="2589"/>
      <c r="AB1380" s="2589"/>
      <c r="AC1380" s="2589"/>
    </row>
    <row r="1381" spans="1:29">
      <c r="A1381" s="2589"/>
      <c r="B1381" s="2346"/>
      <c r="C1381" s="2589"/>
      <c r="D1381" s="2589"/>
      <c r="E1381" s="2345"/>
      <c r="F1381" s="2589"/>
      <c r="G1381" s="2346"/>
      <c r="H1381" s="2589"/>
      <c r="I1381" s="2589"/>
      <c r="J1381" s="2589"/>
      <c r="K1381" s="2347"/>
      <c r="L1381" s="2589"/>
      <c r="M1381" s="2589"/>
      <c r="N1381" s="2589"/>
      <c r="O1381" s="2589"/>
      <c r="P1381" s="2346"/>
      <c r="Q1381" s="2589"/>
      <c r="R1381" s="2347"/>
      <c r="S1381" s="2347"/>
      <c r="T1381" s="2348"/>
      <c r="U1381" s="2348"/>
      <c r="V1381" s="2348"/>
      <c r="W1381" s="2347"/>
      <c r="X1381" s="2347"/>
      <c r="Y1381" s="2589"/>
      <c r="Z1381" s="2589"/>
      <c r="AA1381" s="2589"/>
      <c r="AB1381" s="2589"/>
      <c r="AC1381" s="2589"/>
    </row>
    <row r="1382" spans="1:29">
      <c r="A1382" s="2589"/>
      <c r="B1382" s="2346"/>
      <c r="C1382" s="2589"/>
      <c r="D1382" s="2589"/>
      <c r="E1382" s="2345"/>
      <c r="F1382" s="2589"/>
      <c r="G1382" s="2346"/>
      <c r="H1382" s="2589"/>
      <c r="I1382" s="2589"/>
      <c r="J1382" s="2589"/>
      <c r="K1382" s="2347"/>
      <c r="L1382" s="2589"/>
      <c r="M1382" s="2589"/>
      <c r="N1382" s="2589"/>
      <c r="O1382" s="2589"/>
      <c r="P1382" s="2346"/>
      <c r="Q1382" s="2589"/>
      <c r="R1382" s="2347"/>
      <c r="S1382" s="2347"/>
      <c r="T1382" s="2348"/>
      <c r="U1382" s="2348"/>
      <c r="V1382" s="2348"/>
      <c r="W1382" s="2347"/>
      <c r="X1382" s="2347"/>
      <c r="Y1382" s="2589"/>
      <c r="Z1382" s="2589"/>
      <c r="AA1382" s="2589"/>
      <c r="AB1382" s="2589"/>
      <c r="AC1382" s="2589"/>
    </row>
    <row r="1383" spans="1:29">
      <c r="A1383" s="2589"/>
      <c r="B1383" s="2346"/>
      <c r="C1383" s="2589"/>
      <c r="D1383" s="2589"/>
      <c r="E1383" s="2345"/>
      <c r="F1383" s="2589"/>
      <c r="G1383" s="2346"/>
      <c r="H1383" s="2589"/>
      <c r="I1383" s="2589"/>
      <c r="J1383" s="2589"/>
      <c r="K1383" s="2347"/>
      <c r="L1383" s="2589"/>
      <c r="M1383" s="2589"/>
      <c r="N1383" s="2589"/>
      <c r="O1383" s="2589"/>
      <c r="P1383" s="2346"/>
      <c r="Q1383" s="2589"/>
      <c r="R1383" s="2347"/>
      <c r="S1383" s="2347"/>
      <c r="T1383" s="2348"/>
      <c r="U1383" s="2348"/>
      <c r="V1383" s="2348"/>
      <c r="W1383" s="2347"/>
      <c r="X1383" s="2347"/>
      <c r="Y1383" s="2589"/>
      <c r="Z1383" s="2589"/>
      <c r="AA1383" s="2589"/>
      <c r="AB1383" s="2589"/>
      <c r="AC1383" s="2589"/>
    </row>
    <row r="1384" spans="1:29">
      <c r="A1384" s="2589"/>
      <c r="B1384" s="2346"/>
      <c r="C1384" s="2589"/>
      <c r="D1384" s="2589"/>
      <c r="E1384" s="2345"/>
      <c r="F1384" s="2589"/>
      <c r="G1384" s="2346"/>
      <c r="H1384" s="2589"/>
      <c r="I1384" s="2589"/>
      <c r="J1384" s="2589"/>
      <c r="K1384" s="2347"/>
      <c r="L1384" s="2589"/>
      <c r="M1384" s="2589"/>
      <c r="N1384" s="2589"/>
      <c r="O1384" s="2589"/>
      <c r="P1384" s="2346"/>
      <c r="Q1384" s="2589"/>
      <c r="R1384" s="2347"/>
      <c r="S1384" s="2347"/>
      <c r="T1384" s="2348"/>
      <c r="U1384" s="2348"/>
      <c r="V1384" s="2348"/>
      <c r="W1384" s="2347"/>
      <c r="X1384" s="2347"/>
      <c r="Y1384" s="2589"/>
      <c r="Z1384" s="2589"/>
      <c r="AA1384" s="2589"/>
      <c r="AB1384" s="2589"/>
      <c r="AC1384" s="2589"/>
    </row>
    <row r="1385" spans="1:29">
      <c r="A1385" s="2589"/>
      <c r="B1385" s="2346"/>
      <c r="C1385" s="2589"/>
      <c r="D1385" s="2589"/>
      <c r="E1385" s="2345"/>
      <c r="F1385" s="2589"/>
      <c r="G1385" s="2346"/>
      <c r="H1385" s="2589"/>
      <c r="I1385" s="2589"/>
      <c r="J1385" s="2589"/>
      <c r="K1385" s="2347"/>
      <c r="L1385" s="2589"/>
      <c r="M1385" s="2589"/>
      <c r="N1385" s="2589"/>
      <c r="O1385" s="2589"/>
      <c r="P1385" s="2346"/>
      <c r="Q1385" s="2589"/>
      <c r="R1385" s="2347"/>
      <c r="S1385" s="2347"/>
      <c r="T1385" s="2348"/>
      <c r="U1385" s="2348"/>
      <c r="V1385" s="2348"/>
      <c r="W1385" s="2347"/>
      <c r="X1385" s="2347"/>
      <c r="Y1385" s="2589"/>
      <c r="Z1385" s="2589"/>
      <c r="AA1385" s="2589"/>
      <c r="AB1385" s="2589"/>
      <c r="AC1385" s="2589"/>
    </row>
    <row r="1386" spans="1:29">
      <c r="A1386" s="2589"/>
      <c r="B1386" s="2346"/>
      <c r="C1386" s="2589"/>
      <c r="D1386" s="2589"/>
      <c r="E1386" s="2345"/>
      <c r="F1386" s="2589"/>
      <c r="G1386" s="2346"/>
      <c r="H1386" s="2589"/>
      <c r="I1386" s="2589"/>
      <c r="J1386" s="2589"/>
      <c r="K1386" s="2347"/>
      <c r="L1386" s="2589"/>
      <c r="M1386" s="2589"/>
      <c r="N1386" s="2589"/>
      <c r="O1386" s="2589"/>
      <c r="P1386" s="2346"/>
      <c r="Q1386" s="2589"/>
      <c r="R1386" s="2347"/>
      <c r="S1386" s="2347"/>
      <c r="T1386" s="2348"/>
      <c r="U1386" s="2348"/>
      <c r="V1386" s="2348"/>
      <c r="W1386" s="2347"/>
      <c r="X1386" s="2347"/>
      <c r="Y1386" s="2589"/>
      <c r="Z1386" s="2589"/>
      <c r="AA1386" s="2589"/>
      <c r="AB1386" s="2589"/>
      <c r="AC1386" s="2589"/>
    </row>
    <row r="1387" spans="1:29">
      <c r="A1387" s="2589"/>
      <c r="B1387" s="2346"/>
      <c r="C1387" s="2589"/>
      <c r="D1387" s="2589"/>
      <c r="E1387" s="2345"/>
      <c r="F1387" s="2589"/>
      <c r="G1387" s="2346"/>
      <c r="H1387" s="2589"/>
      <c r="I1387" s="2589"/>
      <c r="J1387" s="2589"/>
      <c r="K1387" s="2347"/>
      <c r="L1387" s="2589"/>
      <c r="M1387" s="2589"/>
      <c r="N1387" s="2589"/>
      <c r="O1387" s="2589"/>
      <c r="P1387" s="2346"/>
      <c r="Q1387" s="2589"/>
      <c r="R1387" s="2347"/>
      <c r="S1387" s="2347"/>
      <c r="T1387" s="2348"/>
      <c r="U1387" s="2348"/>
      <c r="V1387" s="2348"/>
      <c r="W1387" s="2347"/>
      <c r="X1387" s="2347"/>
      <c r="Y1387" s="2589"/>
      <c r="Z1387" s="2589"/>
      <c r="AA1387" s="2589"/>
      <c r="AB1387" s="2589"/>
      <c r="AC1387" s="2589"/>
    </row>
    <row r="1388" spans="1:29">
      <c r="A1388" s="2589"/>
      <c r="B1388" s="2346"/>
      <c r="C1388" s="2589"/>
      <c r="D1388" s="2589"/>
      <c r="E1388" s="2345"/>
      <c r="F1388" s="2589"/>
      <c r="G1388" s="2346"/>
      <c r="H1388" s="2589"/>
      <c r="I1388" s="2589"/>
      <c r="J1388" s="2589"/>
      <c r="K1388" s="2347"/>
      <c r="L1388" s="2589"/>
      <c r="M1388" s="2589"/>
      <c r="N1388" s="2589"/>
      <c r="O1388" s="2589"/>
      <c r="P1388" s="2346"/>
      <c r="Q1388" s="2589"/>
      <c r="R1388" s="2347"/>
      <c r="S1388" s="2347"/>
      <c r="T1388" s="2348"/>
      <c r="U1388" s="2348"/>
      <c r="V1388" s="2348"/>
      <c r="W1388" s="2347"/>
      <c r="X1388" s="2347"/>
      <c r="Y1388" s="2589"/>
      <c r="Z1388" s="2589"/>
      <c r="AA1388" s="2589"/>
      <c r="AB1388" s="2589"/>
      <c r="AC1388" s="2589"/>
    </row>
    <row r="1389" spans="1:29">
      <c r="A1389" s="2589"/>
      <c r="B1389" s="2346"/>
      <c r="C1389" s="2589"/>
      <c r="D1389" s="2589"/>
      <c r="E1389" s="2345"/>
      <c r="F1389" s="2589"/>
      <c r="G1389" s="2346"/>
      <c r="H1389" s="2589"/>
      <c r="I1389" s="2589"/>
      <c r="J1389" s="2589"/>
      <c r="K1389" s="2347"/>
      <c r="L1389" s="2589"/>
      <c r="M1389" s="2589"/>
      <c r="N1389" s="2589"/>
      <c r="O1389" s="2589"/>
      <c r="P1389" s="2346"/>
      <c r="Q1389" s="2589"/>
      <c r="R1389" s="2347"/>
      <c r="S1389" s="2347"/>
      <c r="T1389" s="2348"/>
      <c r="U1389" s="2348"/>
      <c r="V1389" s="2348"/>
      <c r="W1389" s="2347"/>
      <c r="X1389" s="2347"/>
      <c r="Y1389" s="2589"/>
      <c r="Z1389" s="2589"/>
      <c r="AA1389" s="2589"/>
      <c r="AB1389" s="2589"/>
      <c r="AC1389" s="2589"/>
    </row>
    <row r="1390" spans="1:29">
      <c r="A1390" s="2589"/>
      <c r="B1390" s="2346"/>
      <c r="C1390" s="2589"/>
      <c r="D1390" s="2589"/>
      <c r="E1390" s="2345"/>
      <c r="F1390" s="2589"/>
      <c r="G1390" s="2346"/>
      <c r="H1390" s="2589"/>
      <c r="I1390" s="2589"/>
      <c r="J1390" s="2589"/>
      <c r="K1390" s="2347"/>
      <c r="L1390" s="2589"/>
      <c r="M1390" s="2589"/>
      <c r="N1390" s="2589"/>
      <c r="O1390" s="2589"/>
      <c r="P1390" s="2346"/>
      <c r="Q1390" s="2589"/>
      <c r="R1390" s="2347"/>
      <c r="S1390" s="2347"/>
      <c r="T1390" s="2348"/>
      <c r="U1390" s="2348"/>
      <c r="V1390" s="2348"/>
      <c r="W1390" s="2347"/>
      <c r="X1390" s="2347"/>
      <c r="Y1390" s="2589"/>
      <c r="Z1390" s="2589"/>
      <c r="AA1390" s="2589"/>
      <c r="AB1390" s="2589"/>
      <c r="AC1390" s="2589"/>
    </row>
    <row r="1391" spans="1:29">
      <c r="A1391" s="2589"/>
      <c r="B1391" s="2346"/>
      <c r="C1391" s="2589"/>
      <c r="D1391" s="2589"/>
      <c r="E1391" s="2345"/>
      <c r="F1391" s="2589"/>
      <c r="G1391" s="2346"/>
      <c r="H1391" s="2589"/>
      <c r="I1391" s="2589"/>
      <c r="J1391" s="2589"/>
      <c r="K1391" s="2347"/>
      <c r="L1391" s="2589"/>
      <c r="M1391" s="2589"/>
      <c r="N1391" s="2589"/>
      <c r="O1391" s="2589"/>
      <c r="P1391" s="2346"/>
      <c r="Q1391" s="2589"/>
      <c r="R1391" s="2347"/>
      <c r="S1391" s="2347"/>
      <c r="T1391" s="2348"/>
      <c r="U1391" s="2348"/>
      <c r="V1391" s="2348"/>
      <c r="W1391" s="2347"/>
      <c r="X1391" s="2347"/>
      <c r="Y1391" s="2589"/>
      <c r="Z1391" s="2589"/>
      <c r="AA1391" s="2589"/>
      <c r="AB1391" s="2589"/>
      <c r="AC1391" s="2589"/>
    </row>
    <row r="1392" spans="1:29">
      <c r="A1392" s="2589"/>
      <c r="B1392" s="2346"/>
      <c r="C1392" s="2589"/>
      <c r="D1392" s="2589"/>
      <c r="E1392" s="2345"/>
      <c r="F1392" s="2589"/>
      <c r="G1392" s="2346"/>
      <c r="H1392" s="2589"/>
      <c r="I1392" s="2589"/>
      <c r="J1392" s="2589"/>
      <c r="K1392" s="2347"/>
      <c r="L1392" s="2589"/>
      <c r="M1392" s="2589"/>
      <c r="N1392" s="2589"/>
      <c r="O1392" s="2589"/>
      <c r="P1392" s="2346"/>
      <c r="Q1392" s="2589"/>
      <c r="R1392" s="2347"/>
      <c r="S1392" s="2347"/>
      <c r="T1392" s="2348"/>
      <c r="U1392" s="2348"/>
      <c r="V1392" s="2348"/>
      <c r="W1392" s="2347"/>
      <c r="X1392" s="2347"/>
      <c r="Y1392" s="2589"/>
      <c r="Z1392" s="2589"/>
      <c r="AA1392" s="2589"/>
      <c r="AB1392" s="2589"/>
      <c r="AC1392" s="2589"/>
    </row>
    <row r="1393" spans="1:29">
      <c r="A1393" s="2589"/>
      <c r="B1393" s="2346"/>
      <c r="C1393" s="2589"/>
      <c r="D1393" s="2589"/>
      <c r="E1393" s="2345"/>
      <c r="F1393" s="2589"/>
      <c r="G1393" s="2346"/>
      <c r="H1393" s="2589"/>
      <c r="I1393" s="2589"/>
      <c r="J1393" s="2589"/>
      <c r="K1393" s="2347"/>
      <c r="L1393" s="2589"/>
      <c r="M1393" s="2589"/>
      <c r="N1393" s="2589"/>
      <c r="O1393" s="2589"/>
      <c r="P1393" s="2346"/>
      <c r="Q1393" s="2589"/>
      <c r="R1393" s="2347"/>
      <c r="S1393" s="2347"/>
      <c r="T1393" s="2348"/>
      <c r="U1393" s="2348"/>
      <c r="V1393" s="2348"/>
      <c r="W1393" s="2347"/>
      <c r="X1393" s="2347"/>
      <c r="Y1393" s="2589"/>
      <c r="Z1393" s="2589"/>
      <c r="AA1393" s="2589"/>
      <c r="AB1393" s="2589"/>
      <c r="AC1393" s="2589"/>
    </row>
    <row r="1394" spans="1:29">
      <c r="A1394" s="2589"/>
      <c r="B1394" s="2346"/>
      <c r="C1394" s="2589"/>
      <c r="D1394" s="2589"/>
      <c r="E1394" s="2345"/>
      <c r="F1394" s="2589"/>
      <c r="G1394" s="2346"/>
      <c r="H1394" s="2589"/>
      <c r="I1394" s="2589"/>
      <c r="J1394" s="2589"/>
      <c r="K1394" s="2347"/>
      <c r="L1394" s="2589"/>
      <c r="M1394" s="2589"/>
      <c r="N1394" s="2589"/>
      <c r="O1394" s="2589"/>
      <c r="P1394" s="2346"/>
      <c r="Q1394" s="2589"/>
      <c r="R1394" s="2347"/>
      <c r="S1394" s="2347"/>
      <c r="T1394" s="2348"/>
      <c r="U1394" s="2348"/>
      <c r="V1394" s="2348"/>
      <c r="W1394" s="2347"/>
      <c r="X1394" s="2347"/>
      <c r="Y1394" s="2589"/>
      <c r="Z1394" s="2589"/>
      <c r="AA1394" s="2589"/>
      <c r="AB1394" s="2589"/>
      <c r="AC1394" s="2589"/>
    </row>
    <row r="1395" spans="1:29">
      <c r="A1395" s="2589"/>
      <c r="B1395" s="2346"/>
      <c r="C1395" s="2589"/>
      <c r="D1395" s="2589"/>
      <c r="E1395" s="2345"/>
      <c r="F1395" s="2589"/>
      <c r="G1395" s="2346"/>
      <c r="H1395" s="2589"/>
      <c r="I1395" s="2589"/>
      <c r="J1395" s="2589"/>
      <c r="K1395" s="2347"/>
      <c r="L1395" s="2589"/>
      <c r="M1395" s="2589"/>
      <c r="N1395" s="2589"/>
      <c r="O1395" s="2589"/>
      <c r="P1395" s="2346"/>
      <c r="Q1395" s="2589"/>
      <c r="R1395" s="2347"/>
      <c r="S1395" s="2347"/>
      <c r="T1395" s="2348"/>
      <c r="U1395" s="2348"/>
      <c r="V1395" s="2348"/>
      <c r="W1395" s="2347"/>
      <c r="X1395" s="2347"/>
      <c r="Y1395" s="2589"/>
      <c r="Z1395" s="2589"/>
      <c r="AA1395" s="2589"/>
      <c r="AB1395" s="2589"/>
      <c r="AC1395" s="2589"/>
    </row>
    <row r="1396" spans="1:29">
      <c r="A1396" s="2589"/>
      <c r="B1396" s="2346"/>
      <c r="C1396" s="2589"/>
      <c r="D1396" s="2589"/>
      <c r="E1396" s="2345"/>
      <c r="F1396" s="2589"/>
      <c r="G1396" s="2346"/>
      <c r="H1396" s="2589"/>
      <c r="I1396" s="2589"/>
      <c r="J1396" s="2589"/>
      <c r="K1396" s="2347"/>
      <c r="L1396" s="2589"/>
      <c r="M1396" s="2589"/>
      <c r="N1396" s="2589"/>
      <c r="O1396" s="2589"/>
      <c r="P1396" s="2346"/>
      <c r="Q1396" s="2589"/>
      <c r="R1396" s="2347"/>
      <c r="S1396" s="2347"/>
      <c r="T1396" s="2348"/>
      <c r="U1396" s="2348"/>
      <c r="V1396" s="2348"/>
      <c r="W1396" s="2347"/>
      <c r="X1396" s="2347"/>
      <c r="Y1396" s="2589"/>
      <c r="Z1396" s="2589"/>
      <c r="AA1396" s="2589"/>
      <c r="AB1396" s="2589"/>
      <c r="AC1396" s="2589"/>
    </row>
    <row r="1397" spans="1:29">
      <c r="A1397" s="2589"/>
      <c r="B1397" s="2346"/>
      <c r="C1397" s="2589"/>
      <c r="D1397" s="2589"/>
      <c r="E1397" s="2345"/>
      <c r="F1397" s="2589"/>
      <c r="G1397" s="2346"/>
      <c r="H1397" s="2589"/>
      <c r="I1397" s="2589"/>
      <c r="J1397" s="2589"/>
      <c r="K1397" s="2347"/>
      <c r="L1397" s="2589"/>
      <c r="M1397" s="2589"/>
      <c r="N1397" s="2589"/>
      <c r="O1397" s="2589"/>
      <c r="P1397" s="2346"/>
      <c r="Q1397" s="2589"/>
      <c r="R1397" s="2347"/>
      <c r="S1397" s="2347"/>
      <c r="T1397" s="2348"/>
      <c r="U1397" s="2348"/>
      <c r="V1397" s="2348"/>
      <c r="W1397" s="2347"/>
      <c r="X1397" s="2347"/>
      <c r="Y1397" s="2589"/>
      <c r="Z1397" s="2589"/>
      <c r="AA1397" s="2589"/>
      <c r="AB1397" s="2589"/>
      <c r="AC1397" s="2589"/>
    </row>
    <row r="1398" spans="1:29">
      <c r="A1398" s="2589"/>
      <c r="B1398" s="2346"/>
      <c r="C1398" s="2589"/>
      <c r="D1398" s="2589"/>
      <c r="E1398" s="2345"/>
      <c r="F1398" s="2589"/>
      <c r="G1398" s="2346"/>
      <c r="H1398" s="2589"/>
      <c r="I1398" s="2589"/>
      <c r="J1398" s="2589"/>
      <c r="K1398" s="2347"/>
      <c r="L1398" s="2589"/>
      <c r="M1398" s="2589"/>
      <c r="N1398" s="2589"/>
      <c r="O1398" s="2589"/>
      <c r="P1398" s="2346"/>
      <c r="Q1398" s="2589"/>
      <c r="R1398" s="2347"/>
      <c r="S1398" s="2347"/>
      <c r="T1398" s="2348"/>
      <c r="U1398" s="2348"/>
      <c r="V1398" s="2348"/>
      <c r="W1398" s="2347"/>
      <c r="X1398" s="2347"/>
      <c r="Y1398" s="2589"/>
      <c r="Z1398" s="2589"/>
      <c r="AA1398" s="2589"/>
      <c r="AB1398" s="2589"/>
      <c r="AC1398" s="2589"/>
    </row>
    <row r="1399" spans="1:29">
      <c r="A1399" s="2589"/>
      <c r="B1399" s="2346"/>
      <c r="C1399" s="2589"/>
      <c r="D1399" s="2589"/>
      <c r="E1399" s="2345"/>
      <c r="F1399" s="2589"/>
      <c r="G1399" s="2346"/>
      <c r="H1399" s="2589"/>
      <c r="I1399" s="2589"/>
      <c r="J1399" s="2589"/>
      <c r="K1399" s="2347"/>
      <c r="L1399" s="2589"/>
      <c r="M1399" s="2589"/>
      <c r="N1399" s="2589"/>
      <c r="O1399" s="2589"/>
      <c r="P1399" s="2346"/>
      <c r="Q1399" s="2589"/>
      <c r="R1399" s="2347"/>
      <c r="S1399" s="2347"/>
      <c r="T1399" s="2348"/>
      <c r="U1399" s="2348"/>
      <c r="V1399" s="2348"/>
      <c r="W1399" s="2347"/>
      <c r="X1399" s="2347"/>
      <c r="Y1399" s="2589"/>
      <c r="Z1399" s="2589"/>
      <c r="AA1399" s="2589"/>
      <c r="AB1399" s="2589"/>
      <c r="AC1399" s="2589"/>
    </row>
    <row r="1400" spans="1:29">
      <c r="A1400" s="2589"/>
      <c r="B1400" s="2346"/>
      <c r="C1400" s="2589"/>
      <c r="D1400" s="2589"/>
      <c r="E1400" s="2345"/>
      <c r="F1400" s="2589"/>
      <c r="G1400" s="2346"/>
      <c r="H1400" s="2589"/>
      <c r="I1400" s="2589"/>
      <c r="J1400" s="2589"/>
      <c r="K1400" s="2347"/>
      <c r="L1400" s="2589"/>
      <c r="M1400" s="2589"/>
      <c r="N1400" s="2589"/>
      <c r="O1400" s="2589"/>
      <c r="P1400" s="2346"/>
      <c r="Q1400" s="2589"/>
      <c r="R1400" s="2347"/>
      <c r="S1400" s="2347"/>
      <c r="T1400" s="2348"/>
      <c r="U1400" s="2348"/>
      <c r="V1400" s="2348"/>
      <c r="W1400" s="2347"/>
      <c r="X1400" s="2347"/>
      <c r="Y1400" s="2589"/>
      <c r="Z1400" s="2589"/>
      <c r="AA1400" s="2589"/>
      <c r="AB1400" s="2589"/>
      <c r="AC1400" s="2589"/>
    </row>
    <row r="1401" spans="1:29">
      <c r="A1401" s="2589"/>
      <c r="B1401" s="2346"/>
      <c r="C1401" s="2589"/>
      <c r="D1401" s="2589"/>
      <c r="E1401" s="2345"/>
      <c r="F1401" s="2589"/>
      <c r="G1401" s="2346"/>
      <c r="H1401" s="2589"/>
      <c r="I1401" s="2589"/>
      <c r="J1401" s="2589"/>
      <c r="K1401" s="2347"/>
      <c r="L1401" s="2589"/>
      <c r="M1401" s="2589"/>
      <c r="N1401" s="2589"/>
      <c r="O1401" s="2589"/>
      <c r="P1401" s="2346"/>
      <c r="Q1401" s="2589"/>
      <c r="R1401" s="2347"/>
      <c r="S1401" s="2347"/>
      <c r="T1401" s="2348"/>
      <c r="U1401" s="2348"/>
      <c r="V1401" s="2348"/>
      <c r="W1401" s="2347"/>
      <c r="X1401" s="2347"/>
      <c r="Y1401" s="2589"/>
      <c r="Z1401" s="2589"/>
      <c r="AA1401" s="2589"/>
      <c r="AB1401" s="2589"/>
      <c r="AC1401" s="2589"/>
    </row>
    <row r="1402" spans="1:29">
      <c r="A1402" s="2589"/>
      <c r="B1402" s="2346"/>
      <c r="C1402" s="2589"/>
      <c r="D1402" s="2589"/>
      <c r="E1402" s="2345"/>
      <c r="F1402" s="2589"/>
      <c r="G1402" s="2346"/>
      <c r="H1402" s="2589"/>
      <c r="I1402" s="2589"/>
      <c r="J1402" s="2589"/>
      <c r="K1402" s="2347"/>
      <c r="L1402" s="2589"/>
      <c r="M1402" s="2589"/>
      <c r="N1402" s="2589"/>
      <c r="O1402" s="2589"/>
      <c r="P1402" s="2346"/>
      <c r="Q1402" s="2589"/>
      <c r="R1402" s="2347"/>
      <c r="S1402" s="2347"/>
      <c r="T1402" s="2348"/>
      <c r="U1402" s="2348"/>
      <c r="V1402" s="2348"/>
      <c r="W1402" s="2347"/>
      <c r="X1402" s="2347"/>
      <c r="Y1402" s="2589"/>
      <c r="Z1402" s="2589"/>
      <c r="AA1402" s="2589"/>
      <c r="AB1402" s="2589"/>
      <c r="AC1402" s="2589"/>
    </row>
    <row r="1403" spans="1:29">
      <c r="A1403" s="2589"/>
      <c r="B1403" s="2346"/>
      <c r="C1403" s="2589"/>
      <c r="D1403" s="2589"/>
      <c r="E1403" s="2345"/>
      <c r="F1403" s="2589"/>
      <c r="G1403" s="2346"/>
      <c r="H1403" s="2589"/>
      <c r="I1403" s="2589"/>
      <c r="J1403" s="2589"/>
      <c r="K1403" s="2347"/>
      <c r="L1403" s="2589"/>
      <c r="M1403" s="2589"/>
      <c r="N1403" s="2589"/>
      <c r="O1403" s="2589"/>
      <c r="P1403" s="2346"/>
      <c r="Q1403" s="2589"/>
      <c r="R1403" s="2347"/>
      <c r="S1403" s="2347"/>
      <c r="T1403" s="2348"/>
      <c r="U1403" s="2348"/>
      <c r="V1403" s="2348"/>
      <c r="W1403" s="2347"/>
      <c r="X1403" s="2347"/>
      <c r="Y1403" s="2589"/>
      <c r="Z1403" s="2589"/>
      <c r="AA1403" s="2589"/>
      <c r="AB1403" s="2589"/>
      <c r="AC1403" s="2589"/>
    </row>
    <row r="1404" spans="1:29">
      <c r="A1404" s="2589"/>
      <c r="B1404" s="2346"/>
      <c r="C1404" s="2589"/>
      <c r="D1404" s="2589"/>
      <c r="E1404" s="2345"/>
      <c r="F1404" s="2589"/>
      <c r="G1404" s="2346"/>
      <c r="H1404" s="2589"/>
      <c r="I1404" s="2589"/>
      <c r="J1404" s="2589"/>
      <c r="K1404" s="2347"/>
      <c r="L1404" s="2589"/>
      <c r="M1404" s="2589"/>
      <c r="N1404" s="2589"/>
      <c r="O1404" s="2589"/>
      <c r="P1404" s="2346"/>
      <c r="Q1404" s="2589"/>
      <c r="R1404" s="2347"/>
      <c r="S1404" s="2347"/>
      <c r="T1404" s="2348"/>
      <c r="U1404" s="2348"/>
      <c r="V1404" s="2348"/>
      <c r="W1404" s="2347"/>
      <c r="X1404" s="2347"/>
      <c r="Y1404" s="2589"/>
      <c r="Z1404" s="2589"/>
      <c r="AA1404" s="2589"/>
      <c r="AB1404" s="2589"/>
      <c r="AC1404" s="2589"/>
    </row>
    <row r="1405" spans="1:29">
      <c r="A1405" s="2589"/>
      <c r="B1405" s="2346"/>
      <c r="C1405" s="2589"/>
      <c r="D1405" s="2589"/>
      <c r="E1405" s="2345"/>
      <c r="F1405" s="2589"/>
      <c r="G1405" s="2346"/>
      <c r="H1405" s="2589"/>
      <c r="I1405" s="2589"/>
      <c r="J1405" s="2589"/>
      <c r="K1405" s="2347"/>
      <c r="L1405" s="2589"/>
      <c r="M1405" s="2589"/>
      <c r="N1405" s="2589"/>
      <c r="O1405" s="2589"/>
      <c r="P1405" s="2346"/>
      <c r="Q1405" s="2589"/>
      <c r="R1405" s="2347"/>
      <c r="S1405" s="2347"/>
      <c r="T1405" s="2348"/>
      <c r="U1405" s="2348"/>
      <c r="V1405" s="2348"/>
      <c r="W1405" s="2347"/>
      <c r="X1405" s="2347"/>
      <c r="Y1405" s="2589"/>
      <c r="Z1405" s="2589"/>
      <c r="AA1405" s="2589"/>
      <c r="AB1405" s="2589"/>
      <c r="AC1405" s="2589"/>
    </row>
    <row r="1406" spans="1:29">
      <c r="A1406" s="2589"/>
      <c r="B1406" s="2346"/>
      <c r="C1406" s="2589"/>
      <c r="D1406" s="2589"/>
      <c r="E1406" s="2345"/>
      <c r="F1406" s="2589"/>
      <c r="G1406" s="2346"/>
      <c r="H1406" s="2589"/>
      <c r="I1406" s="2589"/>
      <c r="J1406" s="2589"/>
      <c r="K1406" s="2347"/>
      <c r="L1406" s="2589"/>
      <c r="M1406" s="2589"/>
      <c r="N1406" s="2589"/>
      <c r="O1406" s="2589"/>
      <c r="P1406" s="2346"/>
      <c r="Q1406" s="2589"/>
      <c r="R1406" s="2347"/>
      <c r="S1406" s="2347"/>
      <c r="T1406" s="2348"/>
      <c r="U1406" s="2348"/>
      <c r="V1406" s="2348"/>
      <c r="W1406" s="2347"/>
      <c r="X1406" s="2347"/>
      <c r="Y1406" s="2589"/>
      <c r="Z1406" s="2589"/>
      <c r="AA1406" s="2589"/>
      <c r="AB1406" s="2589"/>
      <c r="AC1406" s="2589"/>
    </row>
    <row r="1407" spans="1:29">
      <c r="A1407" s="2589"/>
      <c r="B1407" s="2346"/>
      <c r="C1407" s="2589"/>
      <c r="D1407" s="2589"/>
      <c r="E1407" s="2345"/>
      <c r="F1407" s="2589"/>
      <c r="G1407" s="2346"/>
      <c r="H1407" s="2589"/>
      <c r="I1407" s="2589"/>
      <c r="J1407" s="2589"/>
      <c r="K1407" s="2347"/>
      <c r="L1407" s="2589"/>
      <c r="M1407" s="2589"/>
      <c r="N1407" s="2589"/>
      <c r="O1407" s="2589"/>
      <c r="P1407" s="2346"/>
      <c r="Q1407" s="2589"/>
      <c r="R1407" s="2347"/>
      <c r="S1407" s="2347"/>
      <c r="T1407" s="2348"/>
      <c r="U1407" s="2348"/>
      <c r="V1407" s="2348"/>
      <c r="W1407" s="2347"/>
      <c r="X1407" s="2347"/>
      <c r="Y1407" s="2589"/>
      <c r="Z1407" s="2589"/>
      <c r="AA1407" s="2589"/>
      <c r="AB1407" s="2589"/>
      <c r="AC1407" s="2589"/>
    </row>
    <row r="1408" spans="1:29">
      <c r="A1408" s="2589"/>
      <c r="B1408" s="2346"/>
      <c r="C1408" s="2589"/>
      <c r="D1408" s="2589"/>
      <c r="E1408" s="2345"/>
      <c r="F1408" s="2589"/>
      <c r="G1408" s="2346"/>
      <c r="H1408" s="2589"/>
      <c r="I1408" s="2589"/>
      <c r="J1408" s="2589"/>
      <c r="K1408" s="2347"/>
      <c r="L1408" s="2589"/>
      <c r="M1408" s="2589"/>
      <c r="N1408" s="2589"/>
      <c r="O1408" s="2589"/>
      <c r="P1408" s="2346"/>
      <c r="Q1408" s="2589"/>
      <c r="R1408" s="2347"/>
      <c r="S1408" s="2347"/>
      <c r="T1408" s="2348"/>
      <c r="U1408" s="2348"/>
      <c r="V1408" s="2348"/>
      <c r="W1408" s="2347"/>
      <c r="X1408" s="2347"/>
      <c r="Y1408" s="2589"/>
      <c r="Z1408" s="2589"/>
      <c r="AA1408" s="2589"/>
      <c r="AB1408" s="2589"/>
      <c r="AC1408" s="2589"/>
    </row>
    <row r="1409" spans="1:29">
      <c r="A1409" s="2589"/>
      <c r="B1409" s="2346"/>
      <c r="C1409" s="2589"/>
      <c r="D1409" s="2589"/>
      <c r="E1409" s="2345"/>
      <c r="F1409" s="2589"/>
      <c r="G1409" s="2346"/>
      <c r="H1409" s="2589"/>
      <c r="I1409" s="2589"/>
      <c r="J1409" s="2589"/>
      <c r="K1409" s="2347"/>
      <c r="L1409" s="2589"/>
      <c r="M1409" s="2589"/>
      <c r="N1409" s="2589"/>
      <c r="O1409" s="2589"/>
      <c r="P1409" s="2346"/>
      <c r="Q1409" s="2589"/>
      <c r="R1409" s="2347"/>
      <c r="S1409" s="2347"/>
      <c r="T1409" s="2348"/>
      <c r="U1409" s="2348"/>
      <c r="V1409" s="2348"/>
      <c r="W1409" s="2347"/>
      <c r="X1409" s="2347"/>
      <c r="Y1409" s="2589"/>
      <c r="Z1409" s="2589"/>
      <c r="AA1409" s="2589"/>
      <c r="AB1409" s="2589"/>
      <c r="AC1409" s="2589"/>
    </row>
    <row r="1410" spans="1:29">
      <c r="A1410" s="2589"/>
      <c r="B1410" s="2346"/>
      <c r="C1410" s="2589"/>
      <c r="D1410" s="2589"/>
      <c r="E1410" s="2345"/>
      <c r="F1410" s="2589"/>
      <c r="G1410" s="2346"/>
      <c r="H1410" s="2589"/>
      <c r="I1410" s="2589"/>
      <c r="J1410" s="2589"/>
      <c r="K1410" s="2347"/>
      <c r="L1410" s="2589"/>
      <c r="M1410" s="2589"/>
      <c r="N1410" s="2589"/>
      <c r="O1410" s="2589"/>
      <c r="P1410" s="2346"/>
      <c r="Q1410" s="2589"/>
      <c r="R1410" s="2347"/>
      <c r="S1410" s="2347"/>
      <c r="T1410" s="2348"/>
      <c r="U1410" s="2348"/>
      <c r="V1410" s="2348"/>
      <c r="W1410" s="2347"/>
      <c r="X1410" s="2347"/>
      <c r="Y1410" s="2589"/>
      <c r="Z1410" s="2589"/>
      <c r="AA1410" s="2589"/>
      <c r="AB1410" s="2589"/>
      <c r="AC1410" s="2589"/>
    </row>
    <row r="1411" spans="1:29">
      <c r="A1411" s="2589"/>
      <c r="B1411" s="2346"/>
      <c r="C1411" s="2589"/>
      <c r="D1411" s="2589"/>
      <c r="E1411" s="2345"/>
      <c r="F1411" s="2589"/>
      <c r="G1411" s="2346"/>
      <c r="H1411" s="2589"/>
      <c r="I1411" s="2589"/>
      <c r="J1411" s="2589"/>
      <c r="K1411" s="2347"/>
      <c r="L1411" s="2589"/>
      <c r="M1411" s="2589"/>
      <c r="N1411" s="2589"/>
      <c r="O1411" s="2589"/>
      <c r="P1411" s="2346"/>
      <c r="Q1411" s="2589"/>
      <c r="R1411" s="2347"/>
      <c r="S1411" s="2347"/>
      <c r="T1411" s="2348"/>
      <c r="U1411" s="2348"/>
      <c r="V1411" s="2348"/>
      <c r="W1411" s="2347"/>
      <c r="X1411" s="2347"/>
      <c r="Y1411" s="2589"/>
      <c r="Z1411" s="2589"/>
      <c r="AA1411" s="2589"/>
      <c r="AB1411" s="2589"/>
      <c r="AC1411" s="2589"/>
    </row>
    <row r="1412" spans="1:29">
      <c r="A1412" s="2589"/>
      <c r="B1412" s="2346"/>
      <c r="C1412" s="2589"/>
      <c r="D1412" s="2589"/>
      <c r="E1412" s="2345"/>
      <c r="F1412" s="2589"/>
      <c r="G1412" s="2346"/>
      <c r="H1412" s="2589"/>
      <c r="I1412" s="2589"/>
      <c r="J1412" s="2589"/>
      <c r="K1412" s="2347"/>
      <c r="L1412" s="2589"/>
      <c r="M1412" s="2589"/>
      <c r="N1412" s="2589"/>
      <c r="O1412" s="2589"/>
      <c r="P1412" s="2346"/>
      <c r="Q1412" s="2589"/>
      <c r="R1412" s="2347"/>
      <c r="S1412" s="2347"/>
      <c r="T1412" s="2348"/>
      <c r="U1412" s="2348"/>
      <c r="V1412" s="2348"/>
      <c r="W1412" s="2347"/>
      <c r="X1412" s="2347"/>
      <c r="Y1412" s="2589"/>
      <c r="Z1412" s="2589"/>
      <c r="AA1412" s="2589"/>
      <c r="AB1412" s="2589"/>
      <c r="AC1412" s="2589"/>
    </row>
    <row r="1413" spans="1:29">
      <c r="A1413" s="2589"/>
      <c r="B1413" s="2346"/>
      <c r="C1413" s="2589"/>
      <c r="D1413" s="2589"/>
      <c r="E1413" s="2345"/>
      <c r="F1413" s="2589"/>
      <c r="G1413" s="2346"/>
      <c r="H1413" s="2589"/>
      <c r="I1413" s="2589"/>
      <c r="J1413" s="2589"/>
      <c r="K1413" s="2347"/>
      <c r="L1413" s="2589"/>
      <c r="M1413" s="2589"/>
      <c r="N1413" s="2589"/>
      <c r="O1413" s="2589"/>
      <c r="P1413" s="2346"/>
      <c r="Q1413" s="2589"/>
      <c r="R1413" s="2347"/>
      <c r="S1413" s="2347"/>
      <c r="T1413" s="2348"/>
      <c r="U1413" s="2348"/>
      <c r="V1413" s="2348"/>
      <c r="W1413" s="2347"/>
      <c r="X1413" s="2347"/>
      <c r="Y1413" s="2589"/>
      <c r="Z1413" s="2589"/>
      <c r="AA1413" s="2589"/>
      <c r="AB1413" s="2589"/>
      <c r="AC1413" s="2589"/>
    </row>
    <row r="1414" spans="1:29">
      <c r="A1414" s="2589"/>
      <c r="B1414" s="2346"/>
      <c r="C1414" s="2589"/>
      <c r="D1414" s="2589"/>
      <c r="E1414" s="2345"/>
      <c r="F1414" s="2589"/>
      <c r="G1414" s="2346"/>
      <c r="H1414" s="2589"/>
      <c r="I1414" s="2589"/>
      <c r="J1414" s="2589"/>
      <c r="K1414" s="2347"/>
      <c r="L1414" s="2589"/>
      <c r="M1414" s="2589"/>
      <c r="N1414" s="2589"/>
      <c r="O1414" s="2589"/>
      <c r="P1414" s="2346"/>
      <c r="Q1414" s="2589"/>
      <c r="R1414" s="2347"/>
      <c r="S1414" s="2347"/>
      <c r="T1414" s="2348"/>
      <c r="U1414" s="2348"/>
      <c r="V1414" s="2348"/>
      <c r="W1414" s="2347"/>
      <c r="X1414" s="2347"/>
      <c r="Y1414" s="2589"/>
      <c r="Z1414" s="2589"/>
      <c r="AA1414" s="2589"/>
      <c r="AB1414" s="2589"/>
      <c r="AC1414" s="2589"/>
    </row>
    <row r="1415" spans="1:29">
      <c r="A1415" s="2589"/>
      <c r="B1415" s="2346"/>
      <c r="C1415" s="2589"/>
      <c r="D1415" s="2589"/>
      <c r="E1415" s="2345"/>
      <c r="F1415" s="2589"/>
      <c r="G1415" s="2346"/>
      <c r="H1415" s="2589"/>
      <c r="I1415" s="2589"/>
      <c r="J1415" s="2589"/>
      <c r="K1415" s="2347"/>
      <c r="L1415" s="2589"/>
      <c r="M1415" s="2589"/>
      <c r="N1415" s="2589"/>
      <c r="O1415" s="2589"/>
      <c r="P1415" s="2346"/>
      <c r="Q1415" s="2589"/>
      <c r="R1415" s="2347"/>
      <c r="S1415" s="2347"/>
      <c r="T1415" s="2348"/>
      <c r="U1415" s="2348"/>
      <c r="V1415" s="2348"/>
      <c r="W1415" s="2347"/>
      <c r="X1415" s="2347"/>
      <c r="Y1415" s="2589"/>
      <c r="Z1415" s="2589"/>
      <c r="AA1415" s="2589"/>
      <c r="AB1415" s="2589"/>
      <c r="AC1415" s="2589"/>
    </row>
    <row r="1416" spans="1:29">
      <c r="A1416" s="2589"/>
      <c r="B1416" s="2346"/>
      <c r="C1416" s="2589"/>
      <c r="D1416" s="2589"/>
      <c r="E1416" s="2345"/>
      <c r="F1416" s="2589"/>
      <c r="G1416" s="2346"/>
      <c r="H1416" s="2589"/>
      <c r="I1416" s="2589"/>
      <c r="J1416" s="2589"/>
      <c r="K1416" s="2347"/>
      <c r="L1416" s="2589"/>
      <c r="M1416" s="2589"/>
      <c r="N1416" s="2589"/>
      <c r="O1416" s="2589"/>
      <c r="P1416" s="2346"/>
      <c r="Q1416" s="2589"/>
      <c r="R1416" s="2347"/>
      <c r="S1416" s="2347"/>
      <c r="T1416" s="2348"/>
      <c r="U1416" s="2348"/>
      <c r="V1416" s="2348"/>
      <c r="W1416" s="2347"/>
      <c r="X1416" s="2347"/>
      <c r="Y1416" s="2589"/>
      <c r="Z1416" s="2589"/>
      <c r="AA1416" s="2589"/>
      <c r="AB1416" s="2589"/>
      <c r="AC1416" s="2589"/>
    </row>
    <row r="1417" spans="1:29">
      <c r="A1417" s="2589"/>
      <c r="B1417" s="2346"/>
      <c r="C1417" s="2589"/>
      <c r="D1417" s="2589"/>
      <c r="E1417" s="2345"/>
      <c r="F1417" s="2589"/>
      <c r="G1417" s="2346"/>
      <c r="H1417" s="2589"/>
      <c r="I1417" s="2589"/>
      <c r="J1417" s="2589"/>
      <c r="K1417" s="2347"/>
      <c r="L1417" s="2589"/>
      <c r="M1417" s="2589"/>
      <c r="N1417" s="2589"/>
      <c r="O1417" s="2589"/>
      <c r="P1417" s="2346"/>
      <c r="Q1417" s="2589"/>
      <c r="R1417" s="2347"/>
      <c r="S1417" s="2347"/>
      <c r="T1417" s="2348"/>
      <c r="U1417" s="2348"/>
      <c r="V1417" s="2348"/>
      <c r="W1417" s="2347"/>
      <c r="X1417" s="2347"/>
      <c r="Y1417" s="2589"/>
      <c r="Z1417" s="2589"/>
      <c r="AA1417" s="2589"/>
      <c r="AB1417" s="2589"/>
      <c r="AC1417" s="2589"/>
    </row>
    <row r="1418" spans="1:29">
      <c r="A1418" s="2589"/>
      <c r="B1418" s="2346"/>
      <c r="C1418" s="2589"/>
      <c r="D1418" s="2589"/>
      <c r="E1418" s="2345"/>
      <c r="F1418" s="2589"/>
      <c r="G1418" s="2346"/>
      <c r="H1418" s="2589"/>
      <c r="I1418" s="2589"/>
      <c r="J1418" s="2589"/>
      <c r="K1418" s="2347"/>
      <c r="L1418" s="2589"/>
      <c r="M1418" s="2589"/>
      <c r="N1418" s="2589"/>
      <c r="O1418" s="2589"/>
      <c r="P1418" s="2346"/>
      <c r="Q1418" s="2589"/>
      <c r="R1418" s="2347"/>
      <c r="S1418" s="2347"/>
      <c r="T1418" s="2348"/>
      <c r="U1418" s="2348"/>
      <c r="V1418" s="2348"/>
      <c r="W1418" s="2347"/>
      <c r="X1418" s="2347"/>
      <c r="Y1418" s="2589"/>
      <c r="Z1418" s="2589"/>
      <c r="AA1418" s="2589"/>
      <c r="AB1418" s="2589"/>
      <c r="AC1418" s="2589"/>
    </row>
    <row r="1419" spans="1:29">
      <c r="A1419" s="2589"/>
      <c r="B1419" s="2346"/>
      <c r="C1419" s="2589"/>
      <c r="D1419" s="2589"/>
      <c r="E1419" s="2345"/>
      <c r="F1419" s="2589"/>
      <c r="G1419" s="2346"/>
      <c r="H1419" s="2589"/>
      <c r="I1419" s="2589"/>
      <c r="J1419" s="2589"/>
      <c r="K1419" s="2347"/>
      <c r="L1419" s="2589"/>
      <c r="M1419" s="2589"/>
      <c r="N1419" s="2589"/>
      <c r="O1419" s="2589"/>
      <c r="P1419" s="2346"/>
      <c r="Q1419" s="2589"/>
      <c r="R1419" s="2347"/>
      <c r="S1419" s="2347"/>
      <c r="T1419" s="2348"/>
      <c r="U1419" s="2348"/>
      <c r="V1419" s="2348"/>
      <c r="W1419" s="2347"/>
      <c r="X1419" s="2347"/>
      <c r="Y1419" s="2589"/>
      <c r="Z1419" s="2589"/>
      <c r="AA1419" s="2589"/>
      <c r="AB1419" s="2589"/>
      <c r="AC1419" s="2589"/>
    </row>
    <row r="1420" spans="1:29">
      <c r="A1420" s="2589"/>
      <c r="B1420" s="2346"/>
      <c r="C1420" s="2589"/>
      <c r="D1420" s="2589"/>
      <c r="E1420" s="2345"/>
      <c r="F1420" s="2589"/>
      <c r="G1420" s="2346"/>
      <c r="H1420" s="2589"/>
      <c r="I1420" s="2589"/>
      <c r="J1420" s="2589"/>
      <c r="K1420" s="2347"/>
      <c r="L1420" s="2589"/>
      <c r="M1420" s="2589"/>
      <c r="N1420" s="2589"/>
      <c r="O1420" s="2589"/>
      <c r="P1420" s="2346"/>
      <c r="Q1420" s="2589"/>
      <c r="R1420" s="2347"/>
      <c r="S1420" s="2347"/>
      <c r="T1420" s="2348"/>
      <c r="U1420" s="2348"/>
      <c r="V1420" s="2348"/>
      <c r="W1420" s="2347"/>
      <c r="X1420" s="2347"/>
      <c r="Y1420" s="2589"/>
      <c r="Z1420" s="2589"/>
      <c r="AA1420" s="2589"/>
      <c r="AB1420" s="2589"/>
      <c r="AC1420" s="2589"/>
    </row>
    <row r="1421" spans="1:29">
      <c r="A1421" s="2589"/>
      <c r="B1421" s="2346"/>
      <c r="C1421" s="2589"/>
      <c r="D1421" s="2589"/>
      <c r="E1421" s="2345"/>
      <c r="F1421" s="2589"/>
      <c r="G1421" s="2346"/>
      <c r="H1421" s="2589"/>
      <c r="I1421" s="2589"/>
      <c r="J1421" s="2589"/>
      <c r="K1421" s="2347"/>
      <c r="L1421" s="2589"/>
      <c r="M1421" s="2589"/>
      <c r="N1421" s="2589"/>
      <c r="O1421" s="2589"/>
      <c r="P1421" s="2346"/>
      <c r="Q1421" s="2589"/>
      <c r="R1421" s="2347"/>
      <c r="S1421" s="2347"/>
      <c r="T1421" s="2348"/>
      <c r="U1421" s="2348"/>
      <c r="V1421" s="2348"/>
      <c r="W1421" s="2347"/>
      <c r="X1421" s="2347"/>
      <c r="Y1421" s="2589"/>
      <c r="Z1421" s="2589"/>
      <c r="AA1421" s="2589"/>
      <c r="AB1421" s="2589"/>
      <c r="AC1421" s="2589"/>
    </row>
    <row r="1422" spans="1:29">
      <c r="A1422" s="2589"/>
      <c r="B1422" s="2346"/>
      <c r="C1422" s="2589"/>
      <c r="D1422" s="2589"/>
      <c r="E1422" s="2345"/>
      <c r="F1422" s="2589"/>
      <c r="G1422" s="2346"/>
      <c r="H1422" s="2589"/>
      <c r="I1422" s="2589"/>
      <c r="J1422" s="2589"/>
      <c r="K1422" s="2347"/>
      <c r="L1422" s="2589"/>
      <c r="M1422" s="2589"/>
      <c r="N1422" s="2589"/>
      <c r="O1422" s="2589"/>
      <c r="P1422" s="2346"/>
      <c r="Q1422" s="2589"/>
      <c r="R1422" s="2347"/>
      <c r="S1422" s="2347"/>
      <c r="T1422" s="2348"/>
      <c r="U1422" s="2348"/>
      <c r="V1422" s="2348"/>
      <c r="W1422" s="2347"/>
      <c r="X1422" s="2347"/>
      <c r="Y1422" s="2589"/>
      <c r="Z1422" s="2589"/>
      <c r="AA1422" s="2589"/>
      <c r="AB1422" s="2589"/>
      <c r="AC1422" s="2589"/>
    </row>
    <row r="1423" spans="1:29">
      <c r="A1423" s="2589"/>
      <c r="B1423" s="2346"/>
      <c r="C1423" s="2589"/>
      <c r="D1423" s="2589"/>
      <c r="E1423" s="2345"/>
      <c r="F1423" s="2589"/>
      <c r="G1423" s="2346"/>
      <c r="H1423" s="2589"/>
      <c r="I1423" s="2589"/>
      <c r="J1423" s="2589"/>
      <c r="K1423" s="2347"/>
      <c r="L1423" s="2589"/>
      <c r="M1423" s="2589"/>
      <c r="N1423" s="2589"/>
      <c r="O1423" s="2589"/>
      <c r="P1423" s="2346"/>
      <c r="Q1423" s="2589"/>
      <c r="R1423" s="2347"/>
      <c r="S1423" s="2347"/>
      <c r="T1423" s="2348"/>
      <c r="U1423" s="2348"/>
      <c r="V1423" s="2348"/>
      <c r="W1423" s="2347"/>
      <c r="X1423" s="2347"/>
      <c r="Y1423" s="2589"/>
      <c r="Z1423" s="2589"/>
      <c r="AA1423" s="2589"/>
      <c r="AB1423" s="2589"/>
      <c r="AC1423" s="2589"/>
    </row>
    <row r="1424" spans="1:29">
      <c r="A1424" s="2589"/>
      <c r="B1424" s="2346"/>
      <c r="C1424" s="2589"/>
      <c r="D1424" s="2589"/>
      <c r="E1424" s="2345"/>
      <c r="F1424" s="2589"/>
      <c r="G1424" s="2346"/>
      <c r="H1424" s="2589"/>
      <c r="I1424" s="2589"/>
      <c r="J1424" s="2589"/>
      <c r="K1424" s="2347"/>
      <c r="L1424" s="2589"/>
      <c r="M1424" s="2589"/>
      <c r="N1424" s="2589"/>
      <c r="O1424" s="2589"/>
      <c r="P1424" s="2346"/>
      <c r="Q1424" s="2589"/>
      <c r="R1424" s="2347"/>
      <c r="S1424" s="2347"/>
      <c r="T1424" s="2348"/>
      <c r="U1424" s="2348"/>
      <c r="V1424" s="2348"/>
      <c r="W1424" s="2347"/>
      <c r="X1424" s="2347"/>
      <c r="Y1424" s="2589"/>
      <c r="Z1424" s="2589"/>
      <c r="AA1424" s="2589"/>
      <c r="AB1424" s="2589"/>
      <c r="AC1424" s="2589"/>
    </row>
    <row r="1425" spans="1:29">
      <c r="A1425" s="2589"/>
      <c r="B1425" s="2346"/>
      <c r="C1425" s="2589"/>
      <c r="D1425" s="2589"/>
      <c r="E1425" s="2345"/>
      <c r="F1425" s="2589"/>
      <c r="G1425" s="2346"/>
      <c r="H1425" s="2589"/>
      <c r="I1425" s="2589"/>
      <c r="J1425" s="2589"/>
      <c r="K1425" s="2347"/>
      <c r="L1425" s="2589"/>
      <c r="M1425" s="2589"/>
      <c r="N1425" s="2589"/>
      <c r="O1425" s="2589"/>
      <c r="P1425" s="2346"/>
      <c r="Q1425" s="2589"/>
      <c r="R1425" s="2347"/>
      <c r="S1425" s="2347"/>
      <c r="T1425" s="2348"/>
      <c r="U1425" s="2348"/>
      <c r="V1425" s="2348"/>
      <c r="W1425" s="2347"/>
      <c r="X1425" s="2347"/>
      <c r="Y1425" s="2589"/>
      <c r="Z1425" s="2589"/>
      <c r="AA1425" s="2589"/>
      <c r="AB1425" s="2589"/>
      <c r="AC1425" s="2589"/>
    </row>
    <row r="1426" spans="1:29">
      <c r="A1426" s="2589"/>
      <c r="B1426" s="2346"/>
      <c r="C1426" s="2589"/>
      <c r="D1426" s="2589"/>
      <c r="E1426" s="2345"/>
      <c r="F1426" s="2589"/>
      <c r="G1426" s="2346"/>
      <c r="H1426" s="2589"/>
      <c r="I1426" s="2589"/>
      <c r="J1426" s="2589"/>
      <c r="K1426" s="2347"/>
      <c r="L1426" s="2589"/>
      <c r="M1426" s="2589"/>
      <c r="N1426" s="2589"/>
      <c r="O1426" s="2589"/>
      <c r="P1426" s="2346"/>
      <c r="Q1426" s="2589"/>
      <c r="R1426" s="2347"/>
      <c r="S1426" s="2347"/>
      <c r="T1426" s="2348"/>
      <c r="U1426" s="2348"/>
      <c r="V1426" s="2348"/>
      <c r="W1426" s="2347"/>
      <c r="X1426" s="2347"/>
      <c r="Y1426" s="2589"/>
      <c r="Z1426" s="2589"/>
      <c r="AA1426" s="2589"/>
      <c r="AB1426" s="2589"/>
      <c r="AC1426" s="2589"/>
    </row>
    <row r="1427" spans="1:29">
      <c r="A1427" s="2589"/>
      <c r="B1427" s="2346"/>
      <c r="C1427" s="2589"/>
      <c r="D1427" s="2589"/>
      <c r="E1427" s="2345"/>
      <c r="F1427" s="2589"/>
      <c r="G1427" s="2346"/>
      <c r="H1427" s="2589"/>
      <c r="I1427" s="2589"/>
      <c r="J1427" s="2589"/>
      <c r="K1427" s="2347"/>
      <c r="L1427" s="2589"/>
      <c r="M1427" s="2589"/>
      <c r="N1427" s="2589"/>
      <c r="O1427" s="2589"/>
      <c r="P1427" s="2346"/>
      <c r="Q1427" s="2589"/>
      <c r="R1427" s="2347"/>
      <c r="S1427" s="2347"/>
      <c r="T1427" s="2348"/>
      <c r="U1427" s="2348"/>
      <c r="V1427" s="2348"/>
      <c r="W1427" s="2347"/>
      <c r="X1427" s="2347"/>
      <c r="Y1427" s="2589"/>
      <c r="Z1427" s="2589"/>
      <c r="AA1427" s="2589"/>
      <c r="AB1427" s="2589"/>
      <c r="AC1427" s="2589"/>
    </row>
    <row r="1428" spans="1:29">
      <c r="A1428" s="2589"/>
      <c r="B1428" s="2346"/>
      <c r="C1428" s="2589"/>
      <c r="D1428" s="2589"/>
      <c r="E1428" s="2345"/>
      <c r="F1428" s="2589"/>
      <c r="G1428" s="2346"/>
      <c r="H1428" s="2589"/>
      <c r="I1428" s="2589"/>
      <c r="J1428" s="2589"/>
      <c r="K1428" s="2347"/>
      <c r="L1428" s="2589"/>
      <c r="M1428" s="2589"/>
      <c r="N1428" s="2589"/>
      <c r="O1428" s="2589"/>
      <c r="P1428" s="2346"/>
      <c r="Q1428" s="2589"/>
      <c r="R1428" s="2347"/>
      <c r="S1428" s="2347"/>
      <c r="T1428" s="2348"/>
      <c r="U1428" s="2348"/>
      <c r="V1428" s="2348"/>
      <c r="W1428" s="2347"/>
      <c r="X1428" s="2347"/>
      <c r="Y1428" s="2589"/>
      <c r="Z1428" s="2589"/>
      <c r="AA1428" s="2589"/>
      <c r="AB1428" s="2589"/>
      <c r="AC1428" s="2589"/>
    </row>
    <row r="1429" spans="1:29">
      <c r="A1429" s="2589"/>
      <c r="B1429" s="2346"/>
      <c r="C1429" s="2589"/>
      <c r="D1429" s="2589"/>
      <c r="E1429" s="2345"/>
      <c r="F1429" s="2589"/>
      <c r="G1429" s="2346"/>
      <c r="H1429" s="2589"/>
      <c r="I1429" s="2589"/>
      <c r="J1429" s="2589"/>
      <c r="K1429" s="2347"/>
      <c r="L1429" s="2589"/>
      <c r="M1429" s="2589"/>
      <c r="N1429" s="2589"/>
      <c r="O1429" s="2589"/>
      <c r="P1429" s="2346"/>
      <c r="Q1429" s="2589"/>
      <c r="R1429" s="2347"/>
      <c r="S1429" s="2347"/>
      <c r="T1429" s="2348"/>
      <c r="U1429" s="2348"/>
      <c r="V1429" s="2348"/>
      <c r="W1429" s="2347"/>
      <c r="X1429" s="2347"/>
      <c r="Y1429" s="2589"/>
      <c r="Z1429" s="2589"/>
      <c r="AA1429" s="2589"/>
      <c r="AB1429" s="2589"/>
      <c r="AC1429" s="2589"/>
    </row>
    <row r="1430" spans="1:29">
      <c r="A1430" s="2589"/>
      <c r="B1430" s="2346"/>
      <c r="C1430" s="2589"/>
      <c r="D1430" s="2589"/>
      <c r="E1430" s="2345"/>
      <c r="F1430" s="2589"/>
      <c r="G1430" s="2346"/>
      <c r="H1430" s="2589"/>
      <c r="I1430" s="2589"/>
      <c r="J1430" s="2589"/>
      <c r="K1430" s="2347"/>
      <c r="L1430" s="2589"/>
      <c r="M1430" s="2589"/>
      <c r="N1430" s="2589"/>
      <c r="O1430" s="2589"/>
      <c r="P1430" s="2346"/>
      <c r="Q1430" s="2589"/>
      <c r="R1430" s="2347"/>
      <c r="S1430" s="2347"/>
      <c r="T1430" s="2348"/>
      <c r="U1430" s="2348"/>
      <c r="V1430" s="2348"/>
      <c r="W1430" s="2347"/>
      <c r="X1430" s="2347"/>
      <c r="Y1430" s="2589"/>
      <c r="Z1430" s="2589"/>
      <c r="AA1430" s="2589"/>
      <c r="AB1430" s="2589"/>
      <c r="AC1430" s="2589"/>
    </row>
    <row r="1431" spans="1:29">
      <c r="A1431" s="2589"/>
      <c r="B1431" s="2346"/>
      <c r="C1431" s="2589"/>
      <c r="D1431" s="2589"/>
      <c r="E1431" s="2345"/>
      <c r="F1431" s="2589"/>
      <c r="G1431" s="2346"/>
      <c r="H1431" s="2589"/>
      <c r="I1431" s="2589"/>
      <c r="J1431" s="2589"/>
      <c r="K1431" s="2347"/>
      <c r="L1431" s="2589"/>
      <c r="M1431" s="2589"/>
      <c r="N1431" s="2589"/>
      <c r="O1431" s="2589"/>
      <c r="P1431" s="2346"/>
      <c r="Q1431" s="2589"/>
      <c r="R1431" s="2347"/>
      <c r="S1431" s="2347"/>
      <c r="T1431" s="2348"/>
      <c r="U1431" s="2348"/>
      <c r="V1431" s="2348"/>
      <c r="W1431" s="2347"/>
      <c r="X1431" s="2347"/>
      <c r="Y1431" s="2589"/>
      <c r="Z1431" s="2589"/>
      <c r="AA1431" s="2589"/>
      <c r="AB1431" s="2589"/>
      <c r="AC1431" s="2589"/>
    </row>
    <row r="1432" spans="1:29">
      <c r="A1432" s="2589"/>
      <c r="B1432" s="2346"/>
      <c r="C1432" s="2589"/>
      <c r="D1432" s="2589"/>
      <c r="E1432" s="2345"/>
      <c r="F1432" s="2589"/>
      <c r="G1432" s="2346"/>
      <c r="H1432" s="2589"/>
      <c r="I1432" s="2589"/>
      <c r="J1432" s="2589"/>
      <c r="K1432" s="2347"/>
      <c r="L1432" s="2589"/>
      <c r="M1432" s="2589"/>
      <c r="N1432" s="2589"/>
      <c r="O1432" s="2589"/>
      <c r="P1432" s="2346"/>
      <c r="Q1432" s="2589"/>
      <c r="R1432" s="2347"/>
      <c r="S1432" s="2347"/>
      <c r="T1432" s="2348"/>
      <c r="U1432" s="2348"/>
      <c r="V1432" s="2348"/>
      <c r="W1432" s="2347"/>
      <c r="X1432" s="2347"/>
      <c r="Y1432" s="2589"/>
      <c r="Z1432" s="2589"/>
      <c r="AA1432" s="2589"/>
      <c r="AB1432" s="2589"/>
      <c r="AC1432" s="2589"/>
    </row>
    <row r="1433" spans="1:29">
      <c r="A1433" s="2589"/>
      <c r="B1433" s="2346"/>
      <c r="C1433" s="2589"/>
      <c r="D1433" s="2589"/>
      <c r="E1433" s="2345"/>
      <c r="F1433" s="2589"/>
      <c r="G1433" s="2346"/>
      <c r="H1433" s="2589"/>
      <c r="I1433" s="2589"/>
      <c r="J1433" s="2589"/>
      <c r="K1433" s="2347"/>
      <c r="L1433" s="2589"/>
      <c r="M1433" s="2589"/>
      <c r="N1433" s="2589"/>
      <c r="O1433" s="2589"/>
      <c r="P1433" s="2346"/>
      <c r="Q1433" s="2589"/>
      <c r="R1433" s="2347"/>
      <c r="S1433" s="2347"/>
      <c r="T1433" s="2348"/>
      <c r="U1433" s="2348"/>
      <c r="V1433" s="2348"/>
      <c r="W1433" s="2347"/>
      <c r="X1433" s="2347"/>
      <c r="Y1433" s="2589"/>
      <c r="Z1433" s="2589"/>
      <c r="AA1433" s="2589"/>
      <c r="AB1433" s="2589"/>
      <c r="AC1433" s="2589"/>
    </row>
    <row r="1434" spans="1:29">
      <c r="A1434" s="2589"/>
      <c r="B1434" s="2346"/>
      <c r="C1434" s="2589"/>
      <c r="D1434" s="2589"/>
      <c r="E1434" s="2345"/>
      <c r="F1434" s="2589"/>
      <c r="G1434" s="2346"/>
      <c r="H1434" s="2589"/>
      <c r="I1434" s="2589"/>
      <c r="J1434" s="2589"/>
      <c r="K1434" s="2347"/>
      <c r="L1434" s="2589"/>
      <c r="M1434" s="2589"/>
      <c r="N1434" s="2589"/>
      <c r="O1434" s="2589"/>
      <c r="P1434" s="2346"/>
      <c r="Q1434" s="2589"/>
      <c r="R1434" s="2347"/>
      <c r="S1434" s="2347"/>
      <c r="T1434" s="2348"/>
      <c r="U1434" s="2348"/>
      <c r="V1434" s="2348"/>
      <c r="W1434" s="2347"/>
      <c r="X1434" s="2347"/>
      <c r="Y1434" s="2589"/>
      <c r="Z1434" s="2589"/>
      <c r="AA1434" s="2589"/>
      <c r="AB1434" s="2589"/>
      <c r="AC1434" s="2589"/>
    </row>
    <row r="1435" spans="1:29">
      <c r="A1435" s="2589"/>
      <c r="B1435" s="2346"/>
      <c r="C1435" s="2589"/>
      <c r="D1435" s="2589"/>
      <c r="E1435" s="2345"/>
      <c r="F1435" s="2589"/>
      <c r="G1435" s="2346"/>
      <c r="H1435" s="2589"/>
      <c r="I1435" s="2589"/>
      <c r="J1435" s="2589"/>
      <c r="K1435" s="2347"/>
      <c r="L1435" s="2589"/>
      <c r="M1435" s="2589"/>
      <c r="N1435" s="2589"/>
      <c r="O1435" s="2589"/>
      <c r="P1435" s="2346"/>
      <c r="Q1435" s="2589"/>
      <c r="R1435" s="2347"/>
      <c r="S1435" s="2347"/>
      <c r="T1435" s="2348"/>
      <c r="U1435" s="2348"/>
      <c r="V1435" s="2348"/>
      <c r="W1435" s="2347"/>
      <c r="X1435" s="2347"/>
      <c r="Y1435" s="2589"/>
      <c r="Z1435" s="2589"/>
      <c r="AA1435" s="2589"/>
      <c r="AB1435" s="2589"/>
      <c r="AC1435" s="2589"/>
    </row>
    <row r="1436" spans="1:29">
      <c r="A1436" s="2589"/>
      <c r="B1436" s="2346"/>
      <c r="C1436" s="2589"/>
      <c r="D1436" s="2589"/>
      <c r="E1436" s="2345"/>
      <c r="F1436" s="2589"/>
      <c r="G1436" s="2346"/>
      <c r="H1436" s="2589"/>
      <c r="I1436" s="2589"/>
      <c r="J1436" s="2589"/>
      <c r="K1436" s="2347"/>
      <c r="L1436" s="2589"/>
      <c r="M1436" s="2589"/>
      <c r="N1436" s="2589"/>
      <c r="O1436" s="2589"/>
      <c r="P1436" s="2346"/>
      <c r="Q1436" s="2589"/>
      <c r="R1436" s="2347"/>
      <c r="S1436" s="2347"/>
      <c r="T1436" s="2348"/>
      <c r="U1436" s="2348"/>
      <c r="V1436" s="2348"/>
      <c r="W1436" s="2347"/>
      <c r="X1436" s="2347"/>
      <c r="Y1436" s="2589"/>
      <c r="Z1436" s="2589"/>
      <c r="AA1436" s="2589"/>
      <c r="AB1436" s="2589"/>
      <c r="AC1436" s="2589"/>
    </row>
    <row r="1437" spans="1:29">
      <c r="A1437" s="2589"/>
      <c r="B1437" s="2346"/>
      <c r="C1437" s="2589"/>
      <c r="D1437" s="2589"/>
      <c r="E1437" s="2345"/>
      <c r="F1437" s="2589"/>
      <c r="G1437" s="2346"/>
      <c r="H1437" s="2589"/>
      <c r="I1437" s="2589"/>
      <c r="J1437" s="2589"/>
      <c r="K1437" s="2347"/>
      <c r="L1437" s="2589"/>
      <c r="M1437" s="2589"/>
      <c r="N1437" s="2589"/>
      <c r="O1437" s="2589"/>
      <c r="P1437" s="2346"/>
      <c r="Q1437" s="2589"/>
      <c r="R1437" s="2347"/>
      <c r="S1437" s="2347"/>
      <c r="T1437" s="2348"/>
      <c r="U1437" s="2348"/>
      <c r="V1437" s="2348"/>
      <c r="W1437" s="2347"/>
      <c r="X1437" s="2347"/>
      <c r="Y1437" s="2589"/>
      <c r="Z1437" s="2589"/>
      <c r="AA1437" s="2589"/>
      <c r="AB1437" s="2589"/>
      <c r="AC1437" s="2589"/>
    </row>
    <row r="1438" spans="1:29">
      <c r="A1438" s="2589"/>
      <c r="B1438" s="2346"/>
      <c r="C1438" s="2589"/>
      <c r="D1438" s="2589"/>
      <c r="E1438" s="2345"/>
      <c r="F1438" s="2589"/>
      <c r="G1438" s="2346"/>
      <c r="H1438" s="2589"/>
      <c r="I1438" s="2589"/>
      <c r="J1438" s="2589"/>
      <c r="K1438" s="2347"/>
      <c r="L1438" s="2589"/>
      <c r="M1438" s="2589"/>
      <c r="N1438" s="2589"/>
      <c r="O1438" s="2589"/>
      <c r="P1438" s="2346"/>
      <c r="Q1438" s="2589"/>
      <c r="R1438" s="2347"/>
      <c r="S1438" s="2347"/>
      <c r="T1438" s="2348"/>
      <c r="U1438" s="2348"/>
      <c r="V1438" s="2348"/>
      <c r="W1438" s="2347"/>
      <c r="X1438" s="2347"/>
      <c r="Y1438" s="2589"/>
      <c r="Z1438" s="2589"/>
      <c r="AA1438" s="2589"/>
      <c r="AB1438" s="2589"/>
      <c r="AC1438" s="2589"/>
    </row>
    <row r="1439" spans="1:29">
      <c r="A1439" s="2589"/>
      <c r="B1439" s="2346"/>
      <c r="C1439" s="2589"/>
      <c r="D1439" s="2589"/>
      <c r="E1439" s="2345"/>
      <c r="F1439" s="2589"/>
      <c r="G1439" s="2346"/>
      <c r="H1439" s="2589"/>
      <c r="I1439" s="2589"/>
      <c r="J1439" s="2589"/>
      <c r="K1439" s="2347"/>
      <c r="L1439" s="2589"/>
      <c r="M1439" s="2589"/>
      <c r="N1439" s="2589"/>
      <c r="O1439" s="2589"/>
      <c r="P1439" s="2346"/>
      <c r="Q1439" s="2589"/>
      <c r="R1439" s="2347"/>
      <c r="S1439" s="2347"/>
      <c r="T1439" s="2348"/>
      <c r="U1439" s="2348"/>
      <c r="V1439" s="2348"/>
      <c r="W1439" s="2347"/>
      <c r="X1439" s="2347"/>
      <c r="Y1439" s="2589"/>
      <c r="Z1439" s="2589"/>
      <c r="AA1439" s="2589"/>
      <c r="AB1439" s="2589"/>
      <c r="AC1439" s="2589"/>
    </row>
    <row r="1440" spans="1:29">
      <c r="A1440" s="2589"/>
      <c r="B1440" s="2346"/>
      <c r="C1440" s="2589"/>
      <c r="D1440" s="2589"/>
      <c r="E1440" s="2345"/>
      <c r="F1440" s="2589"/>
      <c r="G1440" s="2346"/>
      <c r="H1440" s="2589"/>
      <c r="I1440" s="2589"/>
      <c r="J1440" s="2589"/>
      <c r="K1440" s="2347"/>
      <c r="L1440" s="2589"/>
      <c r="M1440" s="2589"/>
      <c r="N1440" s="2589"/>
      <c r="O1440" s="2589"/>
      <c r="P1440" s="2346"/>
      <c r="Q1440" s="2589"/>
      <c r="R1440" s="2347"/>
      <c r="S1440" s="2347"/>
      <c r="T1440" s="2348"/>
      <c r="U1440" s="2348"/>
      <c r="V1440" s="2348"/>
      <c r="W1440" s="2347"/>
      <c r="X1440" s="2347"/>
      <c r="Y1440" s="2589"/>
      <c r="Z1440" s="2589"/>
      <c r="AA1440" s="2589"/>
      <c r="AB1440" s="2589"/>
      <c r="AC1440" s="2589"/>
    </row>
    <row r="1441" spans="1:29">
      <c r="A1441" s="2589"/>
      <c r="B1441" s="2346"/>
      <c r="C1441" s="2589"/>
      <c r="D1441" s="2589"/>
      <c r="E1441" s="2345"/>
      <c r="F1441" s="2589"/>
      <c r="G1441" s="2346"/>
      <c r="H1441" s="2589"/>
      <c r="I1441" s="2589"/>
      <c r="J1441" s="2589"/>
      <c r="K1441" s="2347"/>
      <c r="L1441" s="2589"/>
      <c r="M1441" s="2589"/>
      <c r="N1441" s="2589"/>
      <c r="O1441" s="2589"/>
      <c r="P1441" s="2346"/>
      <c r="Q1441" s="2589"/>
      <c r="R1441" s="2347"/>
      <c r="S1441" s="2347"/>
      <c r="T1441" s="2348"/>
      <c r="U1441" s="2348"/>
      <c r="V1441" s="2348"/>
      <c r="W1441" s="2347"/>
      <c r="X1441" s="2347"/>
      <c r="Y1441" s="2589"/>
      <c r="Z1441" s="2589"/>
      <c r="AA1441" s="2589"/>
      <c r="AB1441" s="2589"/>
      <c r="AC1441" s="2589"/>
    </row>
    <row r="1442" spans="1:29">
      <c r="A1442" s="2589"/>
      <c r="B1442" s="2346"/>
      <c r="C1442" s="2589"/>
      <c r="D1442" s="2589"/>
      <c r="E1442" s="2345"/>
      <c r="F1442" s="2589"/>
      <c r="G1442" s="2346"/>
      <c r="H1442" s="2589"/>
      <c r="I1442" s="2589"/>
      <c r="J1442" s="2589"/>
      <c r="K1442" s="2347"/>
      <c r="L1442" s="2589"/>
      <c r="M1442" s="2589"/>
      <c r="N1442" s="2589"/>
      <c r="O1442" s="2589"/>
      <c r="P1442" s="2346"/>
      <c r="Q1442" s="2589"/>
      <c r="R1442" s="2347"/>
      <c r="S1442" s="2347"/>
      <c r="T1442" s="2348"/>
      <c r="U1442" s="2348"/>
      <c r="V1442" s="2348"/>
      <c r="W1442" s="2347"/>
      <c r="X1442" s="2347"/>
      <c r="Y1442" s="2589"/>
      <c r="Z1442" s="2589"/>
      <c r="AA1442" s="2589"/>
      <c r="AB1442" s="2589"/>
      <c r="AC1442" s="2589"/>
    </row>
    <row r="1443" spans="1:29">
      <c r="A1443" s="2589"/>
      <c r="B1443" s="2346"/>
      <c r="C1443" s="2589"/>
      <c r="D1443" s="2589"/>
      <c r="E1443" s="2345"/>
      <c r="F1443" s="2589"/>
      <c r="G1443" s="2346"/>
      <c r="H1443" s="2589"/>
      <c r="I1443" s="2589"/>
      <c r="J1443" s="2589"/>
      <c r="K1443" s="2347"/>
      <c r="L1443" s="2589"/>
      <c r="M1443" s="2589"/>
      <c r="N1443" s="2589"/>
      <c r="O1443" s="2589"/>
      <c r="P1443" s="2346"/>
      <c r="Q1443" s="2589"/>
      <c r="R1443" s="2347"/>
      <c r="S1443" s="2347"/>
      <c r="T1443" s="2348"/>
      <c r="U1443" s="2348"/>
      <c r="V1443" s="2348"/>
      <c r="W1443" s="2347"/>
      <c r="X1443" s="2347"/>
      <c r="Y1443" s="2589"/>
      <c r="Z1443" s="2589"/>
      <c r="AA1443" s="2589"/>
      <c r="AB1443" s="2589"/>
      <c r="AC1443" s="2589"/>
    </row>
    <row r="1444" spans="1:29">
      <c r="A1444" s="2589"/>
      <c r="B1444" s="2346"/>
      <c r="C1444" s="2589"/>
      <c r="D1444" s="2589"/>
      <c r="E1444" s="2345"/>
      <c r="F1444" s="2589"/>
      <c r="G1444" s="2346"/>
      <c r="H1444" s="2589"/>
      <c r="I1444" s="2589"/>
      <c r="J1444" s="2589"/>
      <c r="K1444" s="2347"/>
      <c r="L1444" s="2589"/>
      <c r="M1444" s="2589"/>
      <c r="N1444" s="2589"/>
      <c r="O1444" s="2589"/>
      <c r="P1444" s="2346"/>
      <c r="Q1444" s="2589"/>
      <c r="R1444" s="2347"/>
      <c r="S1444" s="2347"/>
      <c r="T1444" s="2348"/>
      <c r="U1444" s="2348"/>
      <c r="V1444" s="2348"/>
      <c r="W1444" s="2347"/>
      <c r="X1444" s="2347"/>
      <c r="Y1444" s="2589"/>
      <c r="Z1444" s="2589"/>
      <c r="AA1444" s="2589"/>
      <c r="AB1444" s="2589"/>
      <c r="AC1444" s="2589"/>
    </row>
    <row r="1445" spans="1:29">
      <c r="A1445" s="2589"/>
      <c r="B1445" s="2346"/>
      <c r="C1445" s="2589"/>
      <c r="D1445" s="2589"/>
      <c r="E1445" s="2345"/>
      <c r="F1445" s="2589"/>
      <c r="G1445" s="2346"/>
      <c r="H1445" s="2589"/>
      <c r="I1445" s="2589"/>
      <c r="J1445" s="2589"/>
      <c r="K1445" s="2347"/>
      <c r="L1445" s="2589"/>
      <c r="M1445" s="2589"/>
      <c r="N1445" s="2589"/>
      <c r="O1445" s="2589"/>
      <c r="P1445" s="2346"/>
      <c r="Q1445" s="2589"/>
      <c r="R1445" s="2347"/>
      <c r="S1445" s="2347"/>
      <c r="T1445" s="2348"/>
      <c r="U1445" s="2348"/>
      <c r="V1445" s="2348"/>
      <c r="W1445" s="2347"/>
      <c r="X1445" s="2347"/>
      <c r="Y1445" s="2589"/>
      <c r="Z1445" s="2589"/>
      <c r="AA1445" s="2589"/>
      <c r="AB1445" s="2589"/>
      <c r="AC1445" s="2589"/>
    </row>
    <row r="1446" spans="1:29">
      <c r="A1446" s="2589"/>
      <c r="B1446" s="2346"/>
      <c r="C1446" s="2589"/>
      <c r="D1446" s="2589"/>
      <c r="E1446" s="2345"/>
      <c r="F1446" s="2589"/>
      <c r="G1446" s="2346"/>
      <c r="H1446" s="2589"/>
      <c r="I1446" s="2589"/>
      <c r="J1446" s="2589"/>
      <c r="K1446" s="2347"/>
      <c r="L1446" s="2589"/>
      <c r="M1446" s="2589"/>
      <c r="N1446" s="2589"/>
      <c r="O1446" s="2589"/>
      <c r="P1446" s="2346"/>
      <c r="Q1446" s="2589"/>
      <c r="R1446" s="2347"/>
      <c r="S1446" s="2347"/>
      <c r="T1446" s="2348"/>
      <c r="U1446" s="2348"/>
      <c r="V1446" s="2348"/>
      <c r="W1446" s="2347"/>
      <c r="X1446" s="2347"/>
      <c r="Y1446" s="2589"/>
      <c r="Z1446" s="2589"/>
      <c r="AA1446" s="2589"/>
      <c r="AB1446" s="2589"/>
      <c r="AC1446" s="2589"/>
    </row>
    <row r="1447" spans="1:29">
      <c r="A1447" s="2589"/>
      <c r="B1447" s="2346"/>
      <c r="C1447" s="2589"/>
      <c r="D1447" s="2589"/>
      <c r="E1447" s="2345"/>
      <c r="F1447" s="2589"/>
      <c r="G1447" s="2346"/>
      <c r="H1447" s="2589"/>
      <c r="I1447" s="2589"/>
      <c r="J1447" s="2589"/>
      <c r="K1447" s="2347"/>
      <c r="L1447" s="2589"/>
      <c r="M1447" s="2589"/>
      <c r="N1447" s="2589"/>
      <c r="O1447" s="2589"/>
      <c r="P1447" s="2346"/>
      <c r="Q1447" s="2589"/>
      <c r="R1447" s="2347"/>
      <c r="S1447" s="2347"/>
      <c r="T1447" s="2348"/>
      <c r="U1447" s="2348"/>
      <c r="V1447" s="2348"/>
      <c r="W1447" s="2347"/>
      <c r="X1447" s="2347"/>
      <c r="Y1447" s="2589"/>
      <c r="Z1447" s="2589"/>
      <c r="AA1447" s="2589"/>
      <c r="AB1447" s="2589"/>
      <c r="AC1447" s="2589"/>
    </row>
    <row r="1448" spans="1:29">
      <c r="A1448" s="2589"/>
      <c r="B1448" s="2346"/>
      <c r="C1448" s="2589"/>
      <c r="D1448" s="2589"/>
      <c r="E1448" s="2345"/>
      <c r="F1448" s="2589"/>
      <c r="G1448" s="2346"/>
      <c r="H1448" s="2589"/>
      <c r="I1448" s="2589"/>
      <c r="J1448" s="2589"/>
      <c r="K1448" s="2347"/>
      <c r="L1448" s="2589"/>
      <c r="M1448" s="2589"/>
      <c r="N1448" s="2589"/>
      <c r="O1448" s="2589"/>
      <c r="P1448" s="2346"/>
      <c r="Q1448" s="2589"/>
      <c r="R1448" s="2347"/>
      <c r="S1448" s="2347"/>
      <c r="T1448" s="2348"/>
      <c r="U1448" s="2348"/>
      <c r="V1448" s="2348"/>
      <c r="W1448" s="2347"/>
      <c r="X1448" s="2347"/>
      <c r="Y1448" s="2589"/>
      <c r="Z1448" s="2589"/>
      <c r="AA1448" s="2589"/>
      <c r="AB1448" s="2589"/>
      <c r="AC1448" s="2589"/>
    </row>
    <row r="1449" spans="1:29">
      <c r="A1449" s="2589"/>
      <c r="B1449" s="2346"/>
      <c r="C1449" s="2589"/>
      <c r="D1449" s="2589"/>
      <c r="E1449" s="2345"/>
      <c r="F1449" s="2589"/>
      <c r="G1449" s="2346"/>
      <c r="H1449" s="2589"/>
      <c r="I1449" s="2589"/>
      <c r="J1449" s="2589"/>
      <c r="K1449" s="2347"/>
      <c r="L1449" s="2589"/>
      <c r="M1449" s="2589"/>
      <c r="N1449" s="2589"/>
      <c r="O1449" s="2589"/>
      <c r="P1449" s="2346"/>
      <c r="Q1449" s="2589"/>
      <c r="R1449" s="2347"/>
      <c r="S1449" s="2347"/>
      <c r="T1449" s="2348"/>
      <c r="U1449" s="2348"/>
      <c r="V1449" s="2348"/>
      <c r="W1449" s="2347"/>
      <c r="X1449" s="2347"/>
      <c r="Y1449" s="2589"/>
      <c r="Z1449" s="2589"/>
      <c r="AA1449" s="2589"/>
      <c r="AB1449" s="2589"/>
      <c r="AC1449" s="2589"/>
    </row>
    <row r="1450" spans="1:29">
      <c r="A1450" s="2589"/>
      <c r="B1450" s="2346"/>
      <c r="C1450" s="2589"/>
      <c r="D1450" s="2589"/>
      <c r="E1450" s="2345"/>
      <c r="F1450" s="2589"/>
      <c r="G1450" s="2346"/>
      <c r="H1450" s="2589"/>
      <c r="I1450" s="2589"/>
      <c r="J1450" s="2589"/>
      <c r="K1450" s="2347"/>
      <c r="L1450" s="2589"/>
      <c r="M1450" s="2589"/>
      <c r="N1450" s="2589"/>
      <c r="O1450" s="2589"/>
      <c r="P1450" s="2346"/>
      <c r="Q1450" s="2589"/>
      <c r="R1450" s="2347"/>
      <c r="S1450" s="2347"/>
      <c r="T1450" s="2348"/>
      <c r="U1450" s="2348"/>
      <c r="V1450" s="2348"/>
      <c r="W1450" s="2347"/>
      <c r="X1450" s="2347"/>
      <c r="Y1450" s="2589"/>
      <c r="Z1450" s="2589"/>
      <c r="AA1450" s="2589"/>
      <c r="AB1450" s="2589"/>
      <c r="AC1450" s="2589"/>
    </row>
    <row r="1451" spans="1:29">
      <c r="A1451" s="2589"/>
      <c r="B1451" s="2346"/>
      <c r="C1451" s="2589"/>
      <c r="D1451" s="2589"/>
      <c r="E1451" s="2345"/>
      <c r="F1451" s="2589"/>
      <c r="G1451" s="2346"/>
      <c r="H1451" s="2589"/>
      <c r="I1451" s="2589"/>
      <c r="J1451" s="2589"/>
      <c r="K1451" s="2347"/>
      <c r="L1451" s="2589"/>
      <c r="M1451" s="2589"/>
      <c r="N1451" s="2589"/>
      <c r="O1451" s="2589"/>
      <c r="P1451" s="2346"/>
      <c r="Q1451" s="2589"/>
      <c r="R1451" s="2347"/>
      <c r="S1451" s="2347"/>
      <c r="T1451" s="2348"/>
      <c r="U1451" s="2348"/>
      <c r="V1451" s="2348"/>
      <c r="W1451" s="2347"/>
      <c r="X1451" s="2347"/>
      <c r="Y1451" s="2589"/>
      <c r="Z1451" s="2589"/>
      <c r="AA1451" s="2589"/>
      <c r="AB1451" s="2589"/>
      <c r="AC1451" s="2589"/>
    </row>
    <row r="1452" spans="1:29">
      <c r="A1452" s="2589"/>
      <c r="B1452" s="2346"/>
      <c r="C1452" s="2589"/>
      <c r="D1452" s="2589"/>
      <c r="E1452" s="2345"/>
      <c r="F1452" s="2589"/>
      <c r="G1452" s="2346"/>
      <c r="H1452" s="2589"/>
      <c r="I1452" s="2589"/>
      <c r="J1452" s="2589"/>
      <c r="K1452" s="2347"/>
      <c r="L1452" s="2589"/>
      <c r="M1452" s="2589"/>
      <c r="N1452" s="2589"/>
      <c r="O1452" s="2589"/>
      <c r="P1452" s="2346"/>
      <c r="Q1452" s="2589"/>
      <c r="R1452" s="2347"/>
      <c r="S1452" s="2347"/>
      <c r="T1452" s="2348"/>
      <c r="U1452" s="2348"/>
      <c r="V1452" s="2348"/>
      <c r="W1452" s="2347"/>
      <c r="X1452" s="2347"/>
      <c r="Y1452" s="2589"/>
      <c r="Z1452" s="2589"/>
      <c r="AA1452" s="2589"/>
      <c r="AB1452" s="2589"/>
      <c r="AC1452" s="2589"/>
    </row>
    <row r="1453" spans="1:29">
      <c r="A1453" s="2589"/>
      <c r="B1453" s="2346"/>
      <c r="C1453" s="2589"/>
      <c r="D1453" s="2589"/>
      <c r="E1453" s="2345"/>
      <c r="F1453" s="2589"/>
      <c r="G1453" s="2346"/>
      <c r="H1453" s="2589"/>
      <c r="I1453" s="2589"/>
      <c r="J1453" s="2589"/>
      <c r="K1453" s="2347"/>
      <c r="L1453" s="2589"/>
      <c r="M1453" s="2589"/>
      <c r="N1453" s="2589"/>
      <c r="O1453" s="2589"/>
      <c r="P1453" s="2346"/>
      <c r="Q1453" s="2589"/>
      <c r="R1453" s="2347"/>
      <c r="S1453" s="2347"/>
      <c r="T1453" s="2348"/>
      <c r="U1453" s="2348"/>
      <c r="V1453" s="2348"/>
      <c r="W1453" s="2347"/>
      <c r="X1453" s="2347"/>
      <c r="Y1453" s="2589"/>
      <c r="Z1453" s="2589"/>
      <c r="AA1453" s="2589"/>
      <c r="AB1453" s="2589"/>
      <c r="AC1453" s="2589"/>
    </row>
    <row r="1454" spans="1:29">
      <c r="A1454" s="2589"/>
      <c r="B1454" s="2346"/>
      <c r="C1454" s="2589"/>
      <c r="D1454" s="2589"/>
      <c r="E1454" s="2345"/>
      <c r="F1454" s="2589"/>
      <c r="G1454" s="2346"/>
      <c r="H1454" s="2589"/>
      <c r="I1454" s="2589"/>
      <c r="J1454" s="2589"/>
      <c r="K1454" s="2347"/>
      <c r="L1454" s="2589"/>
      <c r="M1454" s="2589"/>
      <c r="N1454" s="2589"/>
      <c r="O1454" s="2589"/>
      <c r="P1454" s="2346"/>
      <c r="Q1454" s="2589"/>
      <c r="R1454" s="2347"/>
      <c r="S1454" s="2347"/>
      <c r="T1454" s="2348"/>
      <c r="U1454" s="2348"/>
      <c r="V1454" s="2348"/>
      <c r="W1454" s="2347"/>
      <c r="X1454" s="2347"/>
      <c r="Y1454" s="2589"/>
      <c r="Z1454" s="2589"/>
      <c r="AA1454" s="2589"/>
      <c r="AB1454" s="2589"/>
      <c r="AC1454" s="2589"/>
    </row>
    <row r="1455" spans="1:29">
      <c r="A1455" s="2589"/>
      <c r="B1455" s="2346"/>
      <c r="C1455" s="2589"/>
      <c r="D1455" s="2589"/>
      <c r="E1455" s="2345"/>
      <c r="F1455" s="2589"/>
      <c r="G1455" s="2346"/>
      <c r="H1455" s="2589"/>
      <c r="I1455" s="2589"/>
      <c r="J1455" s="2589"/>
      <c r="K1455" s="2347"/>
      <c r="L1455" s="2589"/>
      <c r="M1455" s="2589"/>
      <c r="N1455" s="2589"/>
      <c r="O1455" s="2589"/>
      <c r="P1455" s="2346"/>
      <c r="Q1455" s="2589"/>
      <c r="R1455" s="2347"/>
      <c r="S1455" s="2347"/>
      <c r="T1455" s="2348"/>
      <c r="U1455" s="2348"/>
      <c r="V1455" s="2348"/>
      <c r="W1455" s="2347"/>
      <c r="X1455" s="2347"/>
      <c r="Y1455" s="2589"/>
      <c r="Z1455" s="2589"/>
      <c r="AA1455" s="2589"/>
      <c r="AB1455" s="2589"/>
      <c r="AC1455" s="2589"/>
    </row>
    <row r="1456" spans="1:29">
      <c r="A1456" s="2589"/>
      <c r="B1456" s="2346"/>
      <c r="C1456" s="2589"/>
      <c r="D1456" s="2589"/>
      <c r="E1456" s="2345"/>
      <c r="F1456" s="2589"/>
      <c r="G1456" s="2346"/>
      <c r="H1456" s="2589"/>
      <c r="I1456" s="2589"/>
      <c r="J1456" s="2589"/>
      <c r="K1456" s="2347"/>
      <c r="L1456" s="2589"/>
      <c r="M1456" s="2589"/>
      <c r="N1456" s="2589"/>
      <c r="O1456" s="2589"/>
      <c r="P1456" s="2346"/>
      <c r="Q1456" s="2589"/>
      <c r="R1456" s="2347"/>
      <c r="S1456" s="2347"/>
      <c r="T1456" s="2348"/>
      <c r="U1456" s="2348"/>
      <c r="V1456" s="2348"/>
      <c r="W1456" s="2347"/>
      <c r="X1456" s="2347"/>
      <c r="Y1456" s="2589"/>
      <c r="Z1456" s="2589"/>
      <c r="AA1456" s="2589"/>
      <c r="AB1456" s="2589"/>
      <c r="AC1456" s="2589"/>
    </row>
    <row r="1457" spans="1:29">
      <c r="A1457" s="2589"/>
      <c r="B1457" s="2346"/>
      <c r="C1457" s="2589"/>
      <c r="D1457" s="2589"/>
      <c r="E1457" s="2345"/>
      <c r="F1457" s="2589"/>
      <c r="G1457" s="2346"/>
      <c r="H1457" s="2589"/>
      <c r="I1457" s="2589"/>
      <c r="J1457" s="2589"/>
      <c r="K1457" s="2347"/>
      <c r="L1457" s="2589"/>
      <c r="M1457" s="2589"/>
      <c r="N1457" s="2589"/>
      <c r="O1457" s="2589"/>
      <c r="P1457" s="2346"/>
      <c r="Q1457" s="2589"/>
      <c r="R1457" s="2347"/>
      <c r="S1457" s="2347"/>
      <c r="T1457" s="2348"/>
      <c r="U1457" s="2348"/>
      <c r="V1457" s="2348"/>
      <c r="W1457" s="2347"/>
      <c r="X1457" s="2347"/>
      <c r="Y1457" s="2589"/>
      <c r="Z1457" s="2589"/>
      <c r="AA1457" s="2589"/>
      <c r="AB1457" s="2589"/>
      <c r="AC1457" s="2589"/>
    </row>
    <row r="1458" spans="1:29">
      <c r="A1458" s="2589"/>
      <c r="B1458" s="2346"/>
      <c r="C1458" s="2589"/>
      <c r="D1458" s="2589"/>
      <c r="E1458" s="2345"/>
      <c r="F1458" s="2589"/>
      <c r="G1458" s="2346"/>
      <c r="H1458" s="2589"/>
      <c r="I1458" s="2589"/>
      <c r="J1458" s="2589"/>
      <c r="K1458" s="2347"/>
      <c r="L1458" s="2589"/>
      <c r="M1458" s="2589"/>
      <c r="N1458" s="2589"/>
      <c r="O1458" s="2589"/>
      <c r="P1458" s="2346"/>
      <c r="Q1458" s="2589"/>
      <c r="R1458" s="2347"/>
      <c r="S1458" s="2347"/>
      <c r="T1458" s="2348"/>
      <c r="U1458" s="2348"/>
      <c r="V1458" s="2348"/>
      <c r="W1458" s="2347"/>
      <c r="X1458" s="2347"/>
      <c r="Y1458" s="2589"/>
      <c r="Z1458" s="2589"/>
      <c r="AA1458" s="2589"/>
      <c r="AB1458" s="2589"/>
      <c r="AC1458" s="2589"/>
    </row>
    <row r="1459" spans="1:29">
      <c r="A1459" s="2589"/>
      <c r="B1459" s="2346"/>
      <c r="C1459" s="2589"/>
      <c r="D1459" s="2589"/>
      <c r="E1459" s="2345"/>
      <c r="F1459" s="2589"/>
      <c r="G1459" s="2346"/>
      <c r="H1459" s="2589"/>
      <c r="I1459" s="2589"/>
      <c r="J1459" s="2589"/>
      <c r="K1459" s="2347"/>
      <c r="L1459" s="2589"/>
      <c r="M1459" s="2589"/>
      <c r="N1459" s="2589"/>
      <c r="O1459" s="2589"/>
      <c r="P1459" s="2346"/>
      <c r="Q1459" s="2589"/>
      <c r="R1459" s="2347"/>
      <c r="S1459" s="2347"/>
      <c r="T1459" s="2348"/>
      <c r="U1459" s="2348"/>
      <c r="V1459" s="2348"/>
      <c r="W1459" s="2347"/>
      <c r="X1459" s="2347"/>
      <c r="Y1459" s="2589"/>
      <c r="Z1459" s="2589"/>
      <c r="AA1459" s="2589"/>
      <c r="AB1459" s="2589"/>
      <c r="AC1459" s="2589"/>
    </row>
    <row r="1460" spans="1:29">
      <c r="A1460" s="2589"/>
      <c r="B1460" s="2346"/>
      <c r="C1460" s="2589"/>
      <c r="D1460" s="2589"/>
      <c r="E1460" s="2345"/>
      <c r="F1460" s="2589"/>
      <c r="G1460" s="2346"/>
      <c r="H1460" s="2589"/>
      <c r="I1460" s="2589"/>
      <c r="J1460" s="2589"/>
      <c r="K1460" s="2347"/>
      <c r="L1460" s="2589"/>
      <c r="M1460" s="2589"/>
      <c r="N1460" s="2589"/>
      <c r="O1460" s="2589"/>
      <c r="P1460" s="2346"/>
      <c r="Q1460" s="2589"/>
      <c r="R1460" s="2347"/>
      <c r="S1460" s="2347"/>
      <c r="T1460" s="2348"/>
      <c r="U1460" s="2348"/>
      <c r="V1460" s="2348"/>
      <c r="W1460" s="2347"/>
      <c r="X1460" s="2347"/>
      <c r="Y1460" s="2589"/>
      <c r="Z1460" s="2589"/>
      <c r="AA1460" s="2589"/>
      <c r="AB1460" s="2589"/>
      <c r="AC1460" s="2589"/>
    </row>
    <row r="1461" spans="1:29">
      <c r="A1461" s="2589"/>
      <c r="B1461" s="2346"/>
      <c r="C1461" s="2589"/>
      <c r="D1461" s="2589"/>
      <c r="E1461" s="2345"/>
      <c r="F1461" s="2589"/>
      <c r="G1461" s="2346"/>
      <c r="H1461" s="2589"/>
      <c r="I1461" s="2589"/>
      <c r="J1461" s="2589"/>
      <c r="K1461" s="2347"/>
      <c r="L1461" s="2589"/>
      <c r="M1461" s="2589"/>
      <c r="N1461" s="2589"/>
      <c r="O1461" s="2589"/>
      <c r="P1461" s="2346"/>
      <c r="Q1461" s="2589"/>
      <c r="R1461" s="2347"/>
      <c r="S1461" s="2347"/>
      <c r="T1461" s="2348"/>
      <c r="U1461" s="2348"/>
      <c r="V1461" s="2348"/>
      <c r="W1461" s="2347"/>
      <c r="X1461" s="2347"/>
      <c r="Y1461" s="2589"/>
      <c r="Z1461" s="2589"/>
      <c r="AA1461" s="2589"/>
      <c r="AB1461" s="2589"/>
      <c r="AC1461" s="2589"/>
    </row>
    <row r="1462" spans="1:29">
      <c r="A1462" s="2589"/>
      <c r="B1462" s="2346"/>
      <c r="C1462" s="2589"/>
      <c r="D1462" s="2589"/>
      <c r="E1462" s="2345"/>
      <c r="F1462" s="2589"/>
      <c r="G1462" s="2346"/>
      <c r="H1462" s="2589"/>
      <c r="I1462" s="2589"/>
      <c r="J1462" s="2589"/>
      <c r="K1462" s="2347"/>
      <c r="L1462" s="2589"/>
      <c r="M1462" s="2589"/>
      <c r="N1462" s="2589"/>
      <c r="O1462" s="2589"/>
      <c r="P1462" s="2346"/>
      <c r="Q1462" s="2589"/>
      <c r="R1462" s="2347"/>
      <c r="S1462" s="2347"/>
      <c r="T1462" s="2348"/>
      <c r="U1462" s="2348"/>
      <c r="V1462" s="2348"/>
      <c r="W1462" s="2347"/>
      <c r="X1462" s="2347"/>
      <c r="Y1462" s="2589"/>
      <c r="Z1462" s="2589"/>
      <c r="AA1462" s="2589"/>
      <c r="AB1462" s="2589"/>
      <c r="AC1462" s="2589"/>
    </row>
    <row r="1463" spans="1:29">
      <c r="A1463" s="2589"/>
      <c r="B1463" s="2346"/>
      <c r="C1463" s="2589"/>
      <c r="D1463" s="2589"/>
      <c r="E1463" s="2345"/>
      <c r="F1463" s="2589"/>
      <c r="G1463" s="2346"/>
      <c r="H1463" s="2589"/>
      <c r="I1463" s="2589"/>
      <c r="J1463" s="2589"/>
      <c r="K1463" s="2347"/>
      <c r="L1463" s="2589"/>
      <c r="M1463" s="2589"/>
      <c r="N1463" s="2589"/>
      <c r="O1463" s="2589"/>
      <c r="P1463" s="2346"/>
      <c r="Q1463" s="2589"/>
      <c r="R1463" s="2347"/>
      <c r="S1463" s="2347"/>
      <c r="T1463" s="2348"/>
      <c r="U1463" s="2348"/>
      <c r="V1463" s="2348"/>
      <c r="W1463" s="2347"/>
      <c r="X1463" s="2347"/>
      <c r="Y1463" s="2589"/>
      <c r="Z1463" s="2589"/>
      <c r="AA1463" s="2589"/>
      <c r="AB1463" s="2589"/>
      <c r="AC1463" s="2589"/>
    </row>
    <row r="1464" spans="1:29">
      <c r="A1464" s="2589"/>
      <c r="B1464" s="2346"/>
      <c r="C1464" s="2589"/>
      <c r="D1464" s="2589"/>
      <c r="E1464" s="2345"/>
      <c r="F1464" s="2589"/>
      <c r="G1464" s="2346"/>
      <c r="H1464" s="2589"/>
      <c r="I1464" s="2589"/>
      <c r="J1464" s="2589"/>
      <c r="K1464" s="2347"/>
      <c r="L1464" s="2589"/>
      <c r="M1464" s="2589"/>
      <c r="N1464" s="2589"/>
      <c r="O1464" s="2589"/>
      <c r="P1464" s="2346"/>
      <c r="Q1464" s="2589"/>
      <c r="R1464" s="2347"/>
      <c r="S1464" s="2347"/>
      <c r="T1464" s="2348"/>
      <c r="U1464" s="2348"/>
      <c r="V1464" s="2348"/>
      <c r="W1464" s="2347"/>
      <c r="X1464" s="2347"/>
      <c r="Y1464" s="2589"/>
      <c r="Z1464" s="2589"/>
      <c r="AA1464" s="2589"/>
      <c r="AB1464" s="2589"/>
      <c r="AC1464" s="2589"/>
    </row>
    <row r="1465" spans="1:29">
      <c r="A1465" s="2589"/>
      <c r="B1465" s="2346"/>
      <c r="C1465" s="2589"/>
      <c r="D1465" s="2589"/>
      <c r="E1465" s="2345"/>
      <c r="F1465" s="2589"/>
      <c r="G1465" s="2346"/>
      <c r="H1465" s="2589"/>
      <c r="I1465" s="2589"/>
      <c r="J1465" s="2589"/>
      <c r="K1465" s="2347"/>
      <c r="L1465" s="2589"/>
      <c r="M1465" s="2589"/>
      <c r="N1465" s="2589"/>
      <c r="O1465" s="2589"/>
      <c r="P1465" s="2346"/>
      <c r="Q1465" s="2589"/>
      <c r="R1465" s="2347"/>
      <c r="S1465" s="2347"/>
      <c r="T1465" s="2348"/>
      <c r="U1465" s="2348"/>
      <c r="V1465" s="2348"/>
      <c r="W1465" s="2347"/>
      <c r="X1465" s="2347"/>
      <c r="Y1465" s="2589"/>
      <c r="Z1465" s="2589"/>
      <c r="AA1465" s="2589"/>
      <c r="AB1465" s="2589"/>
      <c r="AC1465" s="2589"/>
    </row>
    <row r="1466" spans="1:29">
      <c r="A1466" s="2589"/>
      <c r="B1466" s="2346"/>
      <c r="C1466" s="2589"/>
      <c r="D1466" s="2589"/>
      <c r="E1466" s="2345"/>
      <c r="F1466" s="2589"/>
      <c r="G1466" s="2346"/>
      <c r="H1466" s="2589"/>
      <c r="I1466" s="2589"/>
      <c r="J1466" s="2589"/>
      <c r="K1466" s="2347"/>
      <c r="L1466" s="2589"/>
      <c r="M1466" s="2589"/>
      <c r="N1466" s="2589"/>
      <c r="O1466" s="2589"/>
      <c r="P1466" s="2346"/>
      <c r="Q1466" s="2589"/>
      <c r="R1466" s="2347"/>
      <c r="S1466" s="2347"/>
      <c r="T1466" s="2348"/>
      <c r="U1466" s="2348"/>
      <c r="V1466" s="2348"/>
      <c r="W1466" s="2347"/>
      <c r="X1466" s="2347"/>
      <c r="Y1466" s="2589"/>
      <c r="Z1466" s="2589"/>
      <c r="AA1466" s="2589"/>
      <c r="AB1466" s="2589"/>
      <c r="AC1466" s="2589"/>
    </row>
    <row r="1467" spans="1:29">
      <c r="A1467" s="2589"/>
      <c r="B1467" s="2346"/>
      <c r="C1467" s="2589"/>
      <c r="D1467" s="2589"/>
      <c r="E1467" s="2345"/>
      <c r="F1467" s="2589"/>
      <c r="G1467" s="2346"/>
      <c r="H1467" s="2589"/>
      <c r="I1467" s="2589"/>
      <c r="J1467" s="2589"/>
      <c r="K1467" s="2347"/>
      <c r="L1467" s="2589"/>
      <c r="M1467" s="2589"/>
      <c r="N1467" s="2589"/>
      <c r="O1467" s="2589"/>
      <c r="P1467" s="2346"/>
      <c r="Q1467" s="2589"/>
      <c r="R1467" s="2347"/>
      <c r="S1467" s="2347"/>
      <c r="T1467" s="2348"/>
      <c r="U1467" s="2348"/>
      <c r="V1467" s="2348"/>
      <c r="W1467" s="2347"/>
      <c r="X1467" s="2347"/>
      <c r="Y1467" s="2589"/>
      <c r="Z1467" s="2589"/>
      <c r="AA1467" s="2589"/>
      <c r="AB1467" s="2589"/>
      <c r="AC1467" s="2589"/>
    </row>
    <row r="1468" spans="1:29">
      <c r="A1468" s="2589"/>
      <c r="B1468" s="2346"/>
      <c r="C1468" s="2589"/>
      <c r="D1468" s="2589"/>
      <c r="E1468" s="2345"/>
      <c r="F1468" s="2589"/>
      <c r="G1468" s="2346"/>
      <c r="H1468" s="2589"/>
      <c r="I1468" s="2589"/>
      <c r="J1468" s="2589"/>
      <c r="K1468" s="2347"/>
      <c r="L1468" s="2589"/>
      <c r="M1468" s="2589"/>
      <c r="N1468" s="2589"/>
      <c r="O1468" s="2589"/>
      <c r="P1468" s="2346"/>
      <c r="Q1468" s="2589"/>
      <c r="R1468" s="2347"/>
      <c r="S1468" s="2347"/>
      <c r="T1468" s="2348"/>
      <c r="U1468" s="2348"/>
      <c r="V1468" s="2348"/>
      <c r="W1468" s="2347"/>
      <c r="X1468" s="2347"/>
      <c r="Y1468" s="2589"/>
      <c r="Z1468" s="2589"/>
      <c r="AA1468" s="2589"/>
      <c r="AB1468" s="2589"/>
      <c r="AC1468" s="2589"/>
    </row>
    <row r="1469" spans="1:29">
      <c r="A1469" s="2589"/>
      <c r="B1469" s="2346"/>
      <c r="C1469" s="2589"/>
      <c r="D1469" s="2589"/>
      <c r="E1469" s="2345"/>
      <c r="F1469" s="2589"/>
      <c r="G1469" s="2346"/>
      <c r="H1469" s="2589"/>
      <c r="I1469" s="2589"/>
      <c r="J1469" s="2589"/>
      <c r="K1469" s="2347"/>
      <c r="L1469" s="2589"/>
      <c r="M1469" s="2589"/>
      <c r="N1469" s="2589"/>
      <c r="O1469" s="2589"/>
      <c r="P1469" s="2346"/>
      <c r="Q1469" s="2589"/>
      <c r="R1469" s="2347"/>
      <c r="S1469" s="2347"/>
      <c r="T1469" s="2348"/>
      <c r="U1469" s="2348"/>
      <c r="V1469" s="2348"/>
      <c r="W1469" s="2347"/>
      <c r="X1469" s="2347"/>
      <c r="Y1469" s="2589"/>
      <c r="Z1469" s="2589"/>
      <c r="AA1469" s="2589"/>
      <c r="AB1469" s="2589"/>
      <c r="AC1469" s="2589"/>
    </row>
    <row r="1470" spans="1:29">
      <c r="A1470" s="2589"/>
      <c r="B1470" s="2346"/>
      <c r="C1470" s="2589"/>
      <c r="D1470" s="2589"/>
      <c r="E1470" s="2345"/>
      <c r="F1470" s="2589"/>
      <c r="G1470" s="2346"/>
      <c r="H1470" s="2589"/>
      <c r="I1470" s="2589"/>
      <c r="J1470" s="2589"/>
      <c r="K1470" s="2347"/>
      <c r="L1470" s="2589"/>
      <c r="M1470" s="2589"/>
      <c r="N1470" s="2589"/>
      <c r="O1470" s="2589"/>
      <c r="P1470" s="2346"/>
      <c r="Q1470" s="2589"/>
      <c r="R1470" s="2347"/>
      <c r="S1470" s="2347"/>
      <c r="T1470" s="2348"/>
      <c r="U1470" s="2348"/>
      <c r="V1470" s="2348"/>
      <c r="W1470" s="2347"/>
      <c r="X1470" s="2347"/>
      <c r="Y1470" s="2589"/>
      <c r="Z1470" s="2589"/>
      <c r="AA1470" s="2589"/>
      <c r="AB1470" s="2589"/>
      <c r="AC1470" s="2589"/>
    </row>
    <row r="1471" spans="1:29">
      <c r="A1471" s="2589"/>
      <c r="B1471" s="2346"/>
      <c r="C1471" s="2589"/>
      <c r="D1471" s="2589"/>
      <c r="E1471" s="2345"/>
      <c r="F1471" s="2589"/>
      <c r="G1471" s="2346"/>
      <c r="H1471" s="2589"/>
      <c r="I1471" s="2589"/>
      <c r="J1471" s="2589"/>
      <c r="K1471" s="2347"/>
      <c r="L1471" s="2589"/>
      <c r="M1471" s="2589"/>
      <c r="N1471" s="2589"/>
      <c r="O1471" s="2589"/>
      <c r="P1471" s="2346"/>
      <c r="Q1471" s="2589"/>
      <c r="R1471" s="2347"/>
      <c r="S1471" s="2347"/>
      <c r="T1471" s="2348"/>
      <c r="U1471" s="2348"/>
      <c r="V1471" s="2348"/>
      <c r="W1471" s="2347"/>
      <c r="X1471" s="2347"/>
      <c r="Y1471" s="2589"/>
      <c r="Z1471" s="2589"/>
      <c r="AA1471" s="2589"/>
      <c r="AB1471" s="2589"/>
      <c r="AC1471" s="2589"/>
    </row>
    <row r="1472" spans="1:29">
      <c r="A1472" s="2589"/>
      <c r="B1472" s="2346"/>
      <c r="C1472" s="2589"/>
      <c r="D1472" s="2589"/>
      <c r="E1472" s="2345"/>
      <c r="F1472" s="2589"/>
      <c r="G1472" s="2346"/>
      <c r="H1472" s="2589"/>
      <c r="I1472" s="2589"/>
      <c r="J1472" s="2589"/>
      <c r="K1472" s="2347"/>
      <c r="L1472" s="2589"/>
      <c r="M1472" s="2589"/>
      <c r="N1472" s="2589"/>
      <c r="O1472" s="2589"/>
      <c r="P1472" s="2346"/>
      <c r="Q1472" s="2589"/>
      <c r="R1472" s="2347"/>
      <c r="S1472" s="2347"/>
      <c r="T1472" s="2348"/>
      <c r="U1472" s="2348"/>
      <c r="V1472" s="2348"/>
      <c r="W1472" s="2347"/>
      <c r="X1472" s="2347"/>
      <c r="Y1472" s="2589"/>
      <c r="Z1472" s="2589"/>
      <c r="AA1472" s="2589"/>
      <c r="AB1472" s="2589"/>
      <c r="AC1472" s="2589"/>
    </row>
    <row r="1473" spans="1:29">
      <c r="A1473" s="2589"/>
      <c r="B1473" s="2346"/>
      <c r="C1473" s="2589"/>
      <c r="D1473" s="2589"/>
      <c r="E1473" s="2345"/>
      <c r="F1473" s="2589"/>
      <c r="G1473" s="2346"/>
      <c r="H1473" s="2589"/>
      <c r="I1473" s="2589"/>
      <c r="J1473" s="2589"/>
      <c r="K1473" s="2347"/>
      <c r="L1473" s="2589"/>
      <c r="M1473" s="2589"/>
      <c r="N1473" s="2589"/>
      <c r="O1473" s="2589"/>
      <c r="P1473" s="2346"/>
      <c r="Q1473" s="2589"/>
      <c r="R1473" s="2347"/>
      <c r="S1473" s="2347"/>
      <c r="T1473" s="2348"/>
      <c r="U1473" s="2348"/>
      <c r="V1473" s="2348"/>
      <c r="W1473" s="2347"/>
      <c r="X1473" s="2347"/>
      <c r="Y1473" s="2589"/>
      <c r="Z1473" s="2589"/>
      <c r="AA1473" s="2589"/>
      <c r="AB1473" s="2589"/>
      <c r="AC1473" s="2589"/>
    </row>
    <row r="1474" spans="1:29">
      <c r="A1474" s="2589"/>
      <c r="B1474" s="2346"/>
      <c r="C1474" s="2589"/>
      <c r="D1474" s="2589"/>
      <c r="E1474" s="2345"/>
      <c r="F1474" s="2589"/>
      <c r="G1474" s="2346"/>
      <c r="H1474" s="2589"/>
      <c r="I1474" s="2589"/>
      <c r="J1474" s="2589"/>
      <c r="K1474" s="2347"/>
      <c r="L1474" s="2589"/>
      <c r="M1474" s="2589"/>
      <c r="N1474" s="2589"/>
      <c r="O1474" s="2589"/>
      <c r="P1474" s="2346"/>
      <c r="Q1474" s="2589"/>
      <c r="R1474" s="2347"/>
      <c r="S1474" s="2347"/>
      <c r="T1474" s="2348"/>
      <c r="U1474" s="2348"/>
      <c r="V1474" s="2348"/>
      <c r="W1474" s="2347"/>
      <c r="X1474" s="2347"/>
      <c r="Y1474" s="2589"/>
      <c r="Z1474" s="2589"/>
      <c r="AA1474" s="2589"/>
      <c r="AB1474" s="2589"/>
      <c r="AC1474" s="2589"/>
    </row>
    <row r="1475" spans="1:29">
      <c r="A1475" s="2589"/>
      <c r="B1475" s="2346"/>
      <c r="C1475" s="2589"/>
      <c r="D1475" s="2589"/>
      <c r="E1475" s="2345"/>
      <c r="F1475" s="2589"/>
      <c r="G1475" s="2346"/>
      <c r="H1475" s="2589"/>
      <c r="I1475" s="2589"/>
      <c r="J1475" s="2589"/>
      <c r="K1475" s="2347"/>
      <c r="L1475" s="2589"/>
      <c r="M1475" s="2589"/>
      <c r="N1475" s="2589"/>
      <c r="O1475" s="2589"/>
      <c r="P1475" s="2346"/>
      <c r="Q1475" s="2589"/>
      <c r="R1475" s="2347"/>
      <c r="S1475" s="2347"/>
      <c r="T1475" s="2348"/>
      <c r="U1475" s="2348"/>
      <c r="V1475" s="2348"/>
      <c r="W1475" s="2347"/>
      <c r="X1475" s="2347"/>
      <c r="Y1475" s="2589"/>
      <c r="Z1475" s="2589"/>
      <c r="AA1475" s="2589"/>
      <c r="AB1475" s="2589"/>
      <c r="AC1475" s="2589"/>
    </row>
    <row r="1476" spans="1:29">
      <c r="A1476" s="2589"/>
      <c r="B1476" s="2346"/>
      <c r="C1476" s="2589"/>
      <c r="D1476" s="2589"/>
      <c r="E1476" s="2345"/>
      <c r="F1476" s="2589"/>
      <c r="G1476" s="2346"/>
      <c r="H1476" s="2589"/>
      <c r="I1476" s="2589"/>
      <c r="J1476" s="2589"/>
      <c r="K1476" s="2347"/>
      <c r="L1476" s="2589"/>
      <c r="M1476" s="2589"/>
      <c r="N1476" s="2589"/>
      <c r="O1476" s="2589"/>
      <c r="P1476" s="2346"/>
      <c r="Q1476" s="2589"/>
      <c r="R1476" s="2347"/>
      <c r="S1476" s="2347"/>
      <c r="T1476" s="2348"/>
      <c r="U1476" s="2348"/>
      <c r="V1476" s="2348"/>
      <c r="W1476" s="2347"/>
      <c r="X1476" s="2347"/>
      <c r="Y1476" s="2589"/>
      <c r="Z1476" s="2589"/>
      <c r="AA1476" s="2589"/>
      <c r="AB1476" s="2589"/>
      <c r="AC1476" s="2589"/>
    </row>
    <row r="1477" spans="1:29">
      <c r="A1477" s="2589"/>
      <c r="B1477" s="2346"/>
      <c r="C1477" s="2589"/>
      <c r="D1477" s="2589"/>
      <c r="E1477" s="2345"/>
      <c r="F1477" s="2589"/>
      <c r="G1477" s="2346"/>
      <c r="H1477" s="2589"/>
      <c r="I1477" s="2589"/>
      <c r="J1477" s="2589"/>
      <c r="K1477" s="2347"/>
      <c r="L1477" s="2589"/>
      <c r="M1477" s="2589"/>
      <c r="N1477" s="2589"/>
      <c r="O1477" s="2589"/>
      <c r="P1477" s="2346"/>
      <c r="Q1477" s="2589"/>
      <c r="R1477" s="2347"/>
      <c r="S1477" s="2347"/>
      <c r="T1477" s="2348"/>
      <c r="U1477" s="2348"/>
      <c r="V1477" s="2348"/>
      <c r="W1477" s="2347"/>
      <c r="X1477" s="2347"/>
      <c r="Y1477" s="2589"/>
      <c r="Z1477" s="2589"/>
      <c r="AA1477" s="2589"/>
      <c r="AB1477" s="2589"/>
      <c r="AC1477" s="2589"/>
    </row>
    <row r="1478" spans="1:29">
      <c r="A1478" s="2589"/>
      <c r="B1478" s="2346"/>
      <c r="C1478" s="2589"/>
      <c r="D1478" s="2589"/>
      <c r="E1478" s="2345"/>
      <c r="F1478" s="2589"/>
      <c r="G1478" s="2346"/>
      <c r="H1478" s="2589"/>
      <c r="I1478" s="2589"/>
      <c r="J1478" s="2589"/>
      <c r="K1478" s="2347"/>
      <c r="L1478" s="2589"/>
      <c r="M1478" s="2589"/>
      <c r="N1478" s="2589"/>
      <c r="O1478" s="2589"/>
      <c r="P1478" s="2346"/>
      <c r="Q1478" s="2589"/>
      <c r="R1478" s="2347"/>
      <c r="S1478" s="2347"/>
      <c r="T1478" s="2348"/>
      <c r="U1478" s="2348"/>
      <c r="V1478" s="2348"/>
      <c r="W1478" s="2347"/>
      <c r="X1478" s="2347"/>
      <c r="Y1478" s="2589"/>
      <c r="Z1478" s="2589"/>
      <c r="AA1478" s="2589"/>
      <c r="AB1478" s="2589"/>
      <c r="AC1478" s="2589"/>
    </row>
    <row r="1479" spans="1:29">
      <c r="A1479" s="2589"/>
      <c r="B1479" s="2346"/>
      <c r="C1479" s="2589"/>
      <c r="D1479" s="2589"/>
      <c r="E1479" s="2345"/>
      <c r="F1479" s="2589"/>
      <c r="G1479" s="2346"/>
      <c r="H1479" s="2589"/>
      <c r="I1479" s="2589"/>
      <c r="J1479" s="2589"/>
      <c r="K1479" s="2347"/>
      <c r="L1479" s="2589"/>
      <c r="M1479" s="2589"/>
      <c r="N1479" s="2589"/>
      <c r="O1479" s="2589"/>
      <c r="P1479" s="2346"/>
      <c r="Q1479" s="2589"/>
      <c r="R1479" s="2347"/>
      <c r="S1479" s="2347"/>
      <c r="T1479" s="2348"/>
      <c r="U1479" s="2348"/>
      <c r="V1479" s="2348"/>
      <c r="W1479" s="2347"/>
      <c r="X1479" s="2347"/>
      <c r="Y1479" s="2589"/>
      <c r="Z1479" s="2589"/>
      <c r="AA1479" s="2589"/>
      <c r="AB1479" s="2589"/>
      <c r="AC1479" s="2589"/>
    </row>
    <row r="1480" spans="1:29">
      <c r="A1480" s="2589"/>
      <c r="B1480" s="2346"/>
      <c r="C1480" s="2589"/>
      <c r="D1480" s="2589"/>
      <c r="E1480" s="2345"/>
      <c r="F1480" s="2589"/>
      <c r="G1480" s="2346"/>
      <c r="H1480" s="2589"/>
      <c r="I1480" s="2589"/>
      <c r="J1480" s="2589"/>
      <c r="K1480" s="2347"/>
      <c r="L1480" s="2589"/>
      <c r="M1480" s="2589"/>
      <c r="N1480" s="2589"/>
      <c r="O1480" s="2589"/>
      <c r="P1480" s="2346"/>
      <c r="Q1480" s="2589"/>
      <c r="R1480" s="2347"/>
      <c r="S1480" s="2347"/>
      <c r="T1480" s="2348"/>
      <c r="U1480" s="2348"/>
      <c r="V1480" s="2348"/>
      <c r="W1480" s="2347"/>
      <c r="X1480" s="2347"/>
      <c r="Y1480" s="2589"/>
      <c r="Z1480" s="2589"/>
      <c r="AA1480" s="2589"/>
      <c r="AB1480" s="2589"/>
      <c r="AC1480" s="2589"/>
    </row>
    <row r="1481" spans="1:29">
      <c r="A1481" s="2589"/>
      <c r="B1481" s="2346"/>
      <c r="C1481" s="2589"/>
      <c r="D1481" s="2589"/>
      <c r="E1481" s="2345"/>
      <c r="F1481" s="2589"/>
      <c r="G1481" s="2346"/>
      <c r="H1481" s="2589"/>
      <c r="I1481" s="2589"/>
      <c r="J1481" s="2589"/>
      <c r="K1481" s="2347"/>
      <c r="L1481" s="2589"/>
      <c r="M1481" s="2589"/>
      <c r="N1481" s="2589"/>
      <c r="O1481" s="2589"/>
      <c r="P1481" s="2346"/>
      <c r="Q1481" s="2589"/>
      <c r="R1481" s="2347"/>
      <c r="S1481" s="2347"/>
      <c r="T1481" s="2348"/>
      <c r="U1481" s="2348"/>
      <c r="V1481" s="2348"/>
      <c r="W1481" s="2347"/>
      <c r="X1481" s="2347"/>
      <c r="Y1481" s="2589"/>
      <c r="Z1481" s="2589"/>
      <c r="AA1481" s="2589"/>
      <c r="AB1481" s="2589"/>
      <c r="AC1481" s="2589"/>
    </row>
    <row r="1482" spans="1:29">
      <c r="A1482" s="2589"/>
      <c r="B1482" s="2346"/>
      <c r="C1482" s="2589"/>
      <c r="D1482" s="2589"/>
      <c r="E1482" s="2345"/>
      <c r="F1482" s="2589"/>
      <c r="G1482" s="2346"/>
      <c r="H1482" s="2589"/>
      <c r="I1482" s="2589"/>
      <c r="J1482" s="2589"/>
      <c r="K1482" s="2347"/>
      <c r="L1482" s="2589"/>
      <c r="M1482" s="2589"/>
      <c r="N1482" s="2589"/>
      <c r="O1482" s="2589"/>
      <c r="P1482" s="2346"/>
      <c r="Q1482" s="2589"/>
      <c r="R1482" s="2347"/>
      <c r="S1482" s="2347"/>
      <c r="T1482" s="2348"/>
      <c r="U1482" s="2348"/>
      <c r="V1482" s="2348"/>
      <c r="W1482" s="2347"/>
      <c r="X1482" s="2347"/>
      <c r="Y1482" s="2589"/>
      <c r="Z1482" s="2589"/>
      <c r="AA1482" s="2589"/>
      <c r="AB1482" s="2589"/>
      <c r="AC1482" s="2589"/>
    </row>
    <row r="1483" spans="1:29">
      <c r="A1483" s="2589"/>
      <c r="B1483" s="2346"/>
      <c r="C1483" s="2589"/>
      <c r="D1483" s="2589"/>
      <c r="E1483" s="2345"/>
      <c r="F1483" s="2589"/>
      <c r="G1483" s="2346"/>
      <c r="H1483" s="2589"/>
      <c r="I1483" s="2589"/>
      <c r="J1483" s="2589"/>
      <c r="K1483" s="2347"/>
      <c r="L1483" s="2589"/>
      <c r="M1483" s="2589"/>
      <c r="N1483" s="2589"/>
      <c r="O1483" s="2589"/>
      <c r="P1483" s="2346"/>
      <c r="Q1483" s="2589"/>
      <c r="R1483" s="2347"/>
      <c r="S1483" s="2347"/>
      <c r="T1483" s="2348"/>
      <c r="U1483" s="2348"/>
      <c r="V1483" s="2348"/>
      <c r="W1483" s="2347"/>
      <c r="X1483" s="2347"/>
      <c r="Y1483" s="2589"/>
      <c r="Z1483" s="2589"/>
      <c r="AA1483" s="2589"/>
      <c r="AB1483" s="2589"/>
      <c r="AC1483" s="2589"/>
    </row>
    <row r="1484" spans="1:29">
      <c r="A1484" s="2589"/>
      <c r="B1484" s="2346"/>
      <c r="C1484" s="2589"/>
      <c r="D1484" s="2589"/>
      <c r="E1484" s="2345"/>
      <c r="F1484" s="2589"/>
      <c r="G1484" s="2346"/>
      <c r="H1484" s="2589"/>
      <c r="I1484" s="2589"/>
      <c r="J1484" s="2589"/>
      <c r="K1484" s="2347"/>
      <c r="L1484" s="2589"/>
      <c r="M1484" s="2589"/>
      <c r="N1484" s="2589"/>
      <c r="O1484" s="2589"/>
      <c r="P1484" s="2346"/>
      <c r="Q1484" s="2589"/>
      <c r="R1484" s="2347"/>
      <c r="S1484" s="2347"/>
      <c r="T1484" s="2348"/>
      <c r="U1484" s="2348"/>
      <c r="V1484" s="2348"/>
      <c r="W1484" s="2347"/>
      <c r="X1484" s="2347"/>
      <c r="Y1484" s="2589"/>
      <c r="Z1484" s="2589"/>
      <c r="AA1484" s="2589"/>
      <c r="AB1484" s="2589"/>
      <c r="AC1484" s="2589"/>
    </row>
    <row r="1485" spans="1:29">
      <c r="A1485" s="2589"/>
      <c r="B1485" s="2346"/>
      <c r="C1485" s="2589"/>
      <c r="D1485" s="2589"/>
      <c r="E1485" s="2345"/>
      <c r="F1485" s="2589"/>
      <c r="G1485" s="2346"/>
      <c r="H1485" s="2589"/>
      <c r="I1485" s="2589"/>
      <c r="J1485" s="2589"/>
      <c r="K1485" s="2347"/>
      <c r="L1485" s="2589"/>
      <c r="M1485" s="2589"/>
      <c r="N1485" s="2589"/>
      <c r="O1485" s="2589"/>
      <c r="P1485" s="2346"/>
      <c r="Q1485" s="2589"/>
      <c r="R1485" s="2347"/>
      <c r="S1485" s="2347"/>
      <c r="T1485" s="2348"/>
      <c r="U1485" s="2348"/>
      <c r="V1485" s="2348"/>
      <c r="W1485" s="2347"/>
      <c r="X1485" s="2347"/>
      <c r="Y1485" s="2589"/>
      <c r="Z1485" s="2589"/>
      <c r="AA1485" s="2589"/>
      <c r="AB1485" s="2589"/>
      <c r="AC1485" s="2589"/>
    </row>
    <row r="1486" spans="1:29">
      <c r="A1486" s="2589"/>
      <c r="B1486" s="2346"/>
      <c r="C1486" s="2589"/>
      <c r="D1486" s="2589"/>
      <c r="E1486" s="2345"/>
      <c r="F1486" s="2589"/>
      <c r="G1486" s="2346"/>
      <c r="H1486" s="2589"/>
      <c r="I1486" s="2589"/>
      <c r="J1486" s="2589"/>
      <c r="K1486" s="2347"/>
      <c r="L1486" s="2589"/>
      <c r="M1486" s="2589"/>
      <c r="N1486" s="2589"/>
      <c r="O1486" s="2589"/>
      <c r="P1486" s="2346"/>
      <c r="Q1486" s="2589"/>
      <c r="R1486" s="2347"/>
      <c r="S1486" s="2347"/>
      <c r="T1486" s="2348"/>
      <c r="U1486" s="2348"/>
      <c r="V1486" s="2348"/>
      <c r="W1486" s="2347"/>
      <c r="X1486" s="2347"/>
      <c r="Y1486" s="2589"/>
      <c r="Z1486" s="2589"/>
      <c r="AA1486" s="2589"/>
      <c r="AB1486" s="2589"/>
      <c r="AC1486" s="2589"/>
    </row>
    <row r="1487" spans="1:29">
      <c r="A1487" s="2589"/>
      <c r="B1487" s="2346"/>
      <c r="C1487" s="2589"/>
      <c r="D1487" s="2589"/>
      <c r="E1487" s="2345"/>
      <c r="F1487" s="2589"/>
      <c r="G1487" s="2346"/>
      <c r="H1487" s="2589"/>
      <c r="I1487" s="2589"/>
      <c r="J1487" s="2589"/>
      <c r="K1487" s="2347"/>
      <c r="L1487" s="2589"/>
      <c r="M1487" s="2589"/>
      <c r="N1487" s="2589"/>
      <c r="O1487" s="2589"/>
      <c r="P1487" s="2346"/>
      <c r="Q1487" s="2589"/>
      <c r="R1487" s="2347"/>
      <c r="S1487" s="2347"/>
      <c r="T1487" s="2348"/>
      <c r="U1487" s="2348"/>
      <c r="V1487" s="2348"/>
      <c r="W1487" s="2347"/>
      <c r="X1487" s="2347"/>
      <c r="Y1487" s="2589"/>
      <c r="Z1487" s="2589"/>
      <c r="AA1487" s="2589"/>
      <c r="AB1487" s="2589"/>
      <c r="AC1487" s="2589"/>
    </row>
    <row r="1488" spans="1:29">
      <c r="A1488" s="2589"/>
      <c r="B1488" s="2346"/>
      <c r="C1488" s="2589"/>
      <c r="D1488" s="2589"/>
      <c r="E1488" s="2345"/>
      <c r="F1488" s="2589"/>
      <c r="G1488" s="2346"/>
      <c r="H1488" s="2589"/>
      <c r="I1488" s="2589"/>
      <c r="J1488" s="2589"/>
      <c r="K1488" s="2347"/>
      <c r="L1488" s="2589"/>
      <c r="M1488" s="2589"/>
      <c r="N1488" s="2589"/>
      <c r="O1488" s="2589"/>
      <c r="P1488" s="2346"/>
      <c r="Q1488" s="2589"/>
      <c r="R1488" s="2347"/>
      <c r="S1488" s="2347"/>
      <c r="T1488" s="2348"/>
      <c r="U1488" s="2348"/>
      <c r="V1488" s="2348"/>
      <c r="W1488" s="2347"/>
      <c r="X1488" s="2347"/>
      <c r="Y1488" s="2589"/>
      <c r="Z1488" s="2589"/>
      <c r="AA1488" s="2589"/>
      <c r="AB1488" s="2589"/>
      <c r="AC1488" s="2589"/>
    </row>
    <row r="1489" spans="1:29">
      <c r="A1489" s="2589"/>
      <c r="B1489" s="2346"/>
      <c r="C1489" s="2589"/>
      <c r="D1489" s="2589"/>
      <c r="E1489" s="2345"/>
      <c r="F1489" s="2589"/>
      <c r="G1489" s="2346"/>
      <c r="H1489" s="2589"/>
      <c r="I1489" s="2589"/>
      <c r="J1489" s="2589"/>
      <c r="K1489" s="2347"/>
      <c r="L1489" s="2589"/>
      <c r="M1489" s="2589"/>
      <c r="N1489" s="2589"/>
      <c r="O1489" s="2589"/>
      <c r="P1489" s="2346"/>
      <c r="Q1489" s="2589"/>
      <c r="R1489" s="2347"/>
      <c r="S1489" s="2347"/>
      <c r="T1489" s="2348"/>
      <c r="U1489" s="2348"/>
      <c r="V1489" s="2348"/>
      <c r="W1489" s="2347"/>
      <c r="X1489" s="2347"/>
      <c r="Y1489" s="2589"/>
      <c r="Z1489" s="2589"/>
      <c r="AA1489" s="2589"/>
      <c r="AB1489" s="2589"/>
      <c r="AC1489" s="2589"/>
    </row>
    <row r="1490" spans="1:29">
      <c r="A1490" s="2589"/>
      <c r="B1490" s="2346"/>
      <c r="C1490" s="2589"/>
      <c r="D1490" s="2589"/>
      <c r="E1490" s="2345"/>
      <c r="F1490" s="2589"/>
      <c r="G1490" s="2346"/>
      <c r="H1490" s="2589"/>
      <c r="I1490" s="2589"/>
      <c r="J1490" s="2589"/>
      <c r="K1490" s="2347"/>
      <c r="L1490" s="2589"/>
      <c r="M1490" s="2589"/>
      <c r="N1490" s="2589"/>
      <c r="O1490" s="2589"/>
      <c r="P1490" s="2346"/>
      <c r="Q1490" s="2589"/>
      <c r="R1490" s="2347"/>
      <c r="S1490" s="2347"/>
      <c r="T1490" s="2348"/>
      <c r="U1490" s="2348"/>
      <c r="V1490" s="2348"/>
      <c r="W1490" s="2347"/>
      <c r="X1490" s="2347"/>
      <c r="Y1490" s="2589"/>
      <c r="Z1490" s="2589"/>
      <c r="AA1490" s="2589"/>
      <c r="AB1490" s="2589"/>
      <c r="AC1490" s="2589"/>
    </row>
    <row r="1491" spans="1:29">
      <c r="A1491" s="2589"/>
      <c r="B1491" s="2346"/>
      <c r="C1491" s="2589"/>
      <c r="D1491" s="2589"/>
      <c r="E1491" s="2345"/>
      <c r="F1491" s="2589"/>
      <c r="G1491" s="2346"/>
      <c r="H1491" s="2589"/>
      <c r="I1491" s="2589"/>
      <c r="J1491" s="2589"/>
      <c r="K1491" s="2347"/>
      <c r="L1491" s="2589"/>
      <c r="M1491" s="2589"/>
      <c r="N1491" s="2589"/>
      <c r="O1491" s="2589"/>
      <c r="P1491" s="2346"/>
      <c r="Q1491" s="2589"/>
      <c r="R1491" s="2347"/>
      <c r="S1491" s="2347"/>
      <c r="T1491" s="2348"/>
      <c r="U1491" s="2348"/>
      <c r="V1491" s="2348"/>
      <c r="W1491" s="2347"/>
      <c r="X1491" s="2347"/>
      <c r="Y1491" s="2589"/>
      <c r="Z1491" s="2589"/>
      <c r="AA1491" s="2589"/>
      <c r="AB1491" s="2589"/>
      <c r="AC1491" s="2589"/>
    </row>
    <row r="1492" spans="1:29">
      <c r="A1492" s="2589"/>
      <c r="B1492" s="2346"/>
      <c r="C1492" s="2589"/>
      <c r="D1492" s="2589"/>
      <c r="E1492" s="2345"/>
      <c r="F1492" s="2589"/>
      <c r="G1492" s="2346"/>
      <c r="H1492" s="2589"/>
      <c r="I1492" s="2589"/>
      <c r="J1492" s="2589"/>
      <c r="K1492" s="2347"/>
      <c r="L1492" s="2589"/>
      <c r="M1492" s="2589"/>
      <c r="N1492" s="2589"/>
      <c r="O1492" s="2589"/>
      <c r="P1492" s="2346"/>
      <c r="Q1492" s="2589"/>
      <c r="R1492" s="2347"/>
      <c r="S1492" s="2347"/>
      <c r="T1492" s="2348"/>
      <c r="U1492" s="2348"/>
      <c r="V1492" s="2348"/>
      <c r="W1492" s="2347"/>
      <c r="X1492" s="2347"/>
      <c r="Y1492" s="2589"/>
      <c r="Z1492" s="2589"/>
      <c r="AA1492" s="2589"/>
      <c r="AB1492" s="2589"/>
      <c r="AC1492" s="2589"/>
    </row>
    <row r="1493" spans="1:29">
      <c r="A1493" s="2589"/>
      <c r="B1493" s="2346"/>
      <c r="C1493" s="2589"/>
      <c r="D1493" s="2589"/>
      <c r="E1493" s="2345"/>
      <c r="F1493" s="2589"/>
      <c r="G1493" s="2346"/>
      <c r="H1493" s="2589"/>
      <c r="I1493" s="2589"/>
      <c r="J1493" s="2589"/>
      <c r="K1493" s="2347"/>
      <c r="L1493" s="2589"/>
      <c r="M1493" s="2589"/>
      <c r="N1493" s="2589"/>
      <c r="O1493" s="2589"/>
      <c r="P1493" s="2346"/>
      <c r="Q1493" s="2589"/>
      <c r="R1493" s="2347"/>
      <c r="S1493" s="2347"/>
      <c r="T1493" s="2348"/>
      <c r="U1493" s="2348"/>
      <c r="V1493" s="2348"/>
      <c r="W1493" s="2347"/>
      <c r="X1493" s="2347"/>
      <c r="Y1493" s="2589"/>
      <c r="Z1493" s="2589"/>
      <c r="AA1493" s="2589"/>
      <c r="AB1493" s="2589"/>
      <c r="AC1493" s="2589"/>
    </row>
    <row r="1494" spans="1:29">
      <c r="A1494" s="2589"/>
      <c r="B1494" s="2346"/>
      <c r="C1494" s="2589"/>
      <c r="D1494" s="2589"/>
      <c r="E1494" s="2345"/>
      <c r="F1494" s="2589"/>
      <c r="G1494" s="2346"/>
      <c r="H1494" s="2589"/>
      <c r="I1494" s="2589"/>
      <c r="J1494" s="2589"/>
      <c r="K1494" s="2347"/>
      <c r="L1494" s="2589"/>
      <c r="M1494" s="2589"/>
      <c r="N1494" s="2589"/>
      <c r="O1494" s="2589"/>
      <c r="P1494" s="2346"/>
      <c r="Q1494" s="2589"/>
      <c r="R1494" s="2347"/>
      <c r="S1494" s="2347"/>
      <c r="T1494" s="2348"/>
      <c r="U1494" s="2348"/>
      <c r="V1494" s="2348"/>
      <c r="W1494" s="2347"/>
      <c r="X1494" s="2347"/>
      <c r="Y1494" s="2589"/>
      <c r="Z1494" s="2589"/>
      <c r="AA1494" s="2589"/>
      <c r="AB1494" s="2589"/>
      <c r="AC1494" s="2589"/>
    </row>
    <row r="1495" spans="1:29">
      <c r="A1495" s="2589"/>
      <c r="B1495" s="2346"/>
      <c r="C1495" s="2589"/>
      <c r="D1495" s="2589"/>
      <c r="E1495" s="2345"/>
      <c r="F1495" s="2589"/>
      <c r="G1495" s="2346"/>
      <c r="H1495" s="2589"/>
      <c r="I1495" s="2589"/>
      <c r="J1495" s="2589"/>
      <c r="K1495" s="2347"/>
      <c r="L1495" s="2589"/>
      <c r="M1495" s="2589"/>
      <c r="N1495" s="2589"/>
      <c r="O1495" s="2589"/>
      <c r="P1495" s="2346"/>
      <c r="Q1495" s="2589"/>
      <c r="R1495" s="2347"/>
      <c r="S1495" s="2347"/>
      <c r="T1495" s="2348"/>
      <c r="U1495" s="2348"/>
      <c r="V1495" s="2348"/>
      <c r="W1495" s="2347"/>
      <c r="X1495" s="2347"/>
      <c r="Y1495" s="2589"/>
      <c r="Z1495" s="2589"/>
      <c r="AA1495" s="2589"/>
      <c r="AB1495" s="2589"/>
      <c r="AC1495" s="2589"/>
    </row>
    <row r="1496" spans="1:29">
      <c r="A1496" s="2589"/>
      <c r="B1496" s="2346"/>
      <c r="C1496" s="2589"/>
      <c r="D1496" s="2589"/>
      <c r="E1496" s="2345"/>
      <c r="F1496" s="2589"/>
      <c r="G1496" s="2346"/>
      <c r="H1496" s="2589"/>
      <c r="I1496" s="2589"/>
      <c r="J1496" s="2589"/>
      <c r="K1496" s="2347"/>
      <c r="L1496" s="2589"/>
      <c r="M1496" s="2589"/>
      <c r="N1496" s="2589"/>
      <c r="O1496" s="2589"/>
      <c r="P1496" s="2346"/>
      <c r="Q1496" s="2589"/>
      <c r="R1496" s="2347"/>
      <c r="S1496" s="2347"/>
      <c r="T1496" s="2348"/>
      <c r="U1496" s="2348"/>
      <c r="V1496" s="2348"/>
      <c r="W1496" s="2347"/>
      <c r="X1496" s="2347"/>
      <c r="Y1496" s="2589"/>
      <c r="Z1496" s="2589"/>
      <c r="AA1496" s="2589"/>
      <c r="AB1496" s="2589"/>
      <c r="AC1496" s="2589"/>
    </row>
    <row r="1497" spans="1:29">
      <c r="A1497" s="2589"/>
      <c r="B1497" s="2346"/>
      <c r="C1497" s="2589"/>
      <c r="D1497" s="2589"/>
      <c r="E1497" s="2345"/>
      <c r="F1497" s="2589"/>
      <c r="G1497" s="2346"/>
      <c r="H1497" s="2589"/>
      <c r="I1497" s="2589"/>
      <c r="J1497" s="2589"/>
      <c r="K1497" s="2347"/>
      <c r="L1497" s="2589"/>
      <c r="M1497" s="2589"/>
      <c r="N1497" s="2589"/>
      <c r="O1497" s="2589"/>
      <c r="P1497" s="2346"/>
      <c r="Q1497" s="2589"/>
      <c r="R1497" s="2347"/>
      <c r="S1497" s="2347"/>
      <c r="T1497" s="2348"/>
      <c r="U1497" s="2348"/>
      <c r="V1497" s="2348"/>
      <c r="W1497" s="2347"/>
      <c r="X1497" s="2347"/>
      <c r="Y1497" s="2589"/>
      <c r="Z1497" s="2589"/>
      <c r="AA1497" s="2589"/>
      <c r="AB1497" s="2589"/>
      <c r="AC1497" s="2589"/>
    </row>
    <row r="1498" spans="1:29">
      <c r="A1498" s="2589"/>
      <c r="B1498" s="2346"/>
      <c r="C1498" s="2589"/>
      <c r="D1498" s="2589"/>
      <c r="E1498" s="2345"/>
      <c r="F1498" s="2589"/>
      <c r="G1498" s="2346"/>
      <c r="H1498" s="2589"/>
      <c r="I1498" s="2589"/>
      <c r="J1498" s="2589"/>
      <c r="K1498" s="2347"/>
      <c r="L1498" s="2589"/>
      <c r="M1498" s="2589"/>
      <c r="N1498" s="2589"/>
      <c r="O1498" s="2589"/>
      <c r="P1498" s="2346"/>
      <c r="Q1498" s="2589"/>
      <c r="R1498" s="2347"/>
      <c r="S1498" s="2347"/>
      <c r="T1498" s="2348"/>
      <c r="U1498" s="2348"/>
      <c r="V1498" s="2348"/>
      <c r="W1498" s="2347"/>
      <c r="X1498" s="2347"/>
      <c r="Y1498" s="2589"/>
      <c r="Z1498" s="2589"/>
      <c r="AA1498" s="2589"/>
      <c r="AB1498" s="2589"/>
      <c r="AC1498" s="2589"/>
    </row>
    <row r="1499" spans="1:29">
      <c r="A1499" s="2589"/>
      <c r="B1499" s="2346"/>
      <c r="C1499" s="2589"/>
      <c r="D1499" s="2589"/>
      <c r="E1499" s="2345"/>
      <c r="F1499" s="2589"/>
      <c r="G1499" s="2346"/>
      <c r="H1499" s="2589"/>
      <c r="I1499" s="2589"/>
      <c r="J1499" s="2589"/>
      <c r="K1499" s="2347"/>
      <c r="L1499" s="2589"/>
      <c r="M1499" s="2589"/>
      <c r="N1499" s="2589"/>
      <c r="O1499" s="2589"/>
      <c r="P1499" s="2346"/>
      <c r="Q1499" s="2589"/>
      <c r="R1499" s="2347"/>
      <c r="S1499" s="2347"/>
      <c r="T1499" s="2348"/>
      <c r="U1499" s="2348"/>
      <c r="V1499" s="2348"/>
      <c r="W1499" s="2347"/>
      <c r="X1499" s="2347"/>
      <c r="Y1499" s="2589"/>
      <c r="Z1499" s="2589"/>
      <c r="AA1499" s="2589"/>
      <c r="AB1499" s="2589"/>
      <c r="AC1499" s="2589"/>
    </row>
    <row r="1500" spans="1:29">
      <c r="A1500" s="2589"/>
      <c r="B1500" s="2346"/>
      <c r="C1500" s="2589"/>
      <c r="D1500" s="2589"/>
      <c r="E1500" s="2345"/>
      <c r="F1500" s="2589"/>
      <c r="G1500" s="2346"/>
      <c r="H1500" s="2589"/>
      <c r="I1500" s="2589"/>
      <c r="J1500" s="2589"/>
      <c r="K1500" s="2347"/>
      <c r="L1500" s="2589"/>
      <c r="M1500" s="2589"/>
      <c r="N1500" s="2589"/>
      <c r="O1500" s="2589"/>
      <c r="P1500" s="2346"/>
      <c r="Q1500" s="2589"/>
      <c r="R1500" s="2347"/>
      <c r="S1500" s="2347"/>
      <c r="T1500" s="2348"/>
      <c r="U1500" s="2348"/>
      <c r="V1500" s="2348"/>
      <c r="W1500" s="2347"/>
      <c r="X1500" s="2347"/>
      <c r="Y1500" s="2589"/>
      <c r="Z1500" s="2589"/>
      <c r="AA1500" s="2589"/>
      <c r="AB1500" s="2589"/>
      <c r="AC1500" s="2589"/>
    </row>
    <row r="1501" spans="1:29">
      <c r="A1501" s="2589"/>
      <c r="B1501" s="2346"/>
      <c r="C1501" s="2589"/>
      <c r="D1501" s="2589"/>
      <c r="E1501" s="2345"/>
      <c r="F1501" s="2589"/>
      <c r="G1501" s="2346"/>
      <c r="H1501" s="2589"/>
      <c r="I1501" s="2589"/>
      <c r="J1501" s="2589"/>
      <c r="K1501" s="2347"/>
      <c r="L1501" s="2589"/>
      <c r="M1501" s="2589"/>
      <c r="N1501" s="2589"/>
      <c r="O1501" s="2589"/>
      <c r="P1501" s="2346"/>
      <c r="Q1501" s="2589"/>
      <c r="R1501" s="2347"/>
      <c r="S1501" s="2347"/>
      <c r="T1501" s="2348"/>
      <c r="U1501" s="2348"/>
      <c r="V1501" s="2348"/>
      <c r="W1501" s="2347"/>
      <c r="X1501" s="2347"/>
      <c r="Y1501" s="2589"/>
      <c r="Z1501" s="2589"/>
      <c r="AA1501" s="2589"/>
      <c r="AB1501" s="2589"/>
      <c r="AC1501" s="2589"/>
    </row>
    <row r="1502" spans="1:29">
      <c r="A1502" s="2589"/>
      <c r="B1502" s="2346"/>
      <c r="C1502" s="2589"/>
      <c r="D1502" s="2589"/>
      <c r="E1502" s="2345"/>
      <c r="F1502" s="2589"/>
      <c r="G1502" s="2346"/>
      <c r="H1502" s="2589"/>
      <c r="I1502" s="2589"/>
      <c r="J1502" s="2589"/>
      <c r="K1502" s="2347"/>
      <c r="L1502" s="2589"/>
      <c r="M1502" s="2589"/>
      <c r="N1502" s="2589"/>
      <c r="O1502" s="2589"/>
      <c r="P1502" s="2346"/>
      <c r="Q1502" s="2589"/>
      <c r="R1502" s="2347"/>
      <c r="S1502" s="2347"/>
      <c r="T1502" s="2348"/>
      <c r="U1502" s="2348"/>
      <c r="V1502" s="2348"/>
      <c r="W1502" s="2347"/>
      <c r="X1502" s="2347"/>
      <c r="Y1502" s="2589"/>
      <c r="Z1502" s="2589"/>
      <c r="AA1502" s="2589"/>
      <c r="AB1502" s="2589"/>
      <c r="AC1502" s="2589"/>
    </row>
    <row r="1503" spans="1:29">
      <c r="A1503" s="2589"/>
      <c r="B1503" s="2346"/>
      <c r="C1503" s="2589"/>
      <c r="D1503" s="2589"/>
      <c r="E1503" s="2345"/>
      <c r="F1503" s="2589"/>
      <c r="G1503" s="2346"/>
      <c r="H1503" s="2589"/>
      <c r="I1503" s="2589"/>
      <c r="J1503" s="2589"/>
      <c r="K1503" s="2347"/>
      <c r="L1503" s="2589"/>
      <c r="M1503" s="2589"/>
      <c r="N1503" s="2589"/>
      <c r="O1503" s="2589"/>
      <c r="P1503" s="2346"/>
      <c r="Q1503" s="2589"/>
      <c r="R1503" s="2347"/>
      <c r="S1503" s="2347"/>
      <c r="T1503" s="2348"/>
      <c r="U1503" s="2348"/>
      <c r="V1503" s="2348"/>
      <c r="W1503" s="2347"/>
      <c r="X1503" s="2347"/>
      <c r="Y1503" s="2589"/>
      <c r="Z1503" s="2589"/>
      <c r="AA1503" s="2589"/>
      <c r="AB1503" s="2589"/>
      <c r="AC1503" s="2589"/>
    </row>
    <row r="1504" spans="1:29">
      <c r="A1504" s="2589"/>
      <c r="B1504" s="2346"/>
      <c r="C1504" s="2589"/>
      <c r="D1504" s="2589"/>
      <c r="E1504" s="2345"/>
      <c r="F1504" s="2589"/>
      <c r="G1504" s="2346"/>
      <c r="H1504" s="2589"/>
      <c r="I1504" s="2589"/>
      <c r="J1504" s="2589"/>
      <c r="K1504" s="2347"/>
      <c r="L1504" s="2589"/>
      <c r="M1504" s="2589"/>
      <c r="N1504" s="2589"/>
      <c r="O1504" s="2589"/>
      <c r="P1504" s="2346"/>
      <c r="Q1504" s="2589"/>
      <c r="R1504" s="2347"/>
      <c r="S1504" s="2347"/>
      <c r="T1504" s="2348"/>
      <c r="U1504" s="2348"/>
      <c r="V1504" s="2348"/>
      <c r="W1504" s="2347"/>
      <c r="X1504" s="2347"/>
      <c r="Y1504" s="2589"/>
      <c r="Z1504" s="2589"/>
      <c r="AA1504" s="2589"/>
      <c r="AB1504" s="2589"/>
      <c r="AC1504" s="2589"/>
    </row>
    <row r="1505" spans="1:29">
      <c r="A1505" s="2589"/>
      <c r="B1505" s="2346"/>
      <c r="C1505" s="2589"/>
      <c r="D1505" s="2589"/>
      <c r="E1505" s="2345"/>
      <c r="F1505" s="2589"/>
      <c r="G1505" s="2346"/>
      <c r="H1505" s="2589"/>
      <c r="I1505" s="2589"/>
      <c r="J1505" s="2589"/>
      <c r="K1505" s="2347"/>
      <c r="L1505" s="2589"/>
      <c r="M1505" s="2589"/>
      <c r="N1505" s="2589"/>
      <c r="O1505" s="2589"/>
      <c r="P1505" s="2346"/>
      <c r="Q1505" s="2589"/>
      <c r="R1505" s="2347"/>
      <c r="S1505" s="2347"/>
      <c r="T1505" s="2348"/>
      <c r="U1505" s="2348"/>
      <c r="V1505" s="2348"/>
      <c r="W1505" s="2347"/>
      <c r="X1505" s="2347"/>
      <c r="Y1505" s="2589"/>
      <c r="Z1505" s="2589"/>
      <c r="AA1505" s="2589"/>
      <c r="AB1505" s="2589"/>
      <c r="AC1505" s="2589"/>
    </row>
    <row r="1506" spans="1:29">
      <c r="A1506" s="2589"/>
      <c r="B1506" s="2346"/>
      <c r="C1506" s="2589"/>
      <c r="D1506" s="2589"/>
      <c r="E1506" s="2345"/>
      <c r="F1506" s="2589"/>
      <c r="G1506" s="2346"/>
      <c r="H1506" s="2589"/>
      <c r="I1506" s="2589"/>
      <c r="J1506" s="2589"/>
      <c r="K1506" s="2347"/>
      <c r="L1506" s="2589"/>
      <c r="M1506" s="2589"/>
      <c r="N1506" s="2589"/>
      <c r="O1506" s="2589"/>
      <c r="P1506" s="2346"/>
      <c r="Q1506" s="2589"/>
      <c r="R1506" s="2347"/>
      <c r="S1506" s="2347"/>
      <c r="T1506" s="2348"/>
      <c r="U1506" s="2348"/>
      <c r="V1506" s="2348"/>
      <c r="W1506" s="2347"/>
      <c r="X1506" s="2347"/>
      <c r="Y1506" s="2589"/>
      <c r="Z1506" s="2589"/>
      <c r="AA1506" s="2589"/>
      <c r="AB1506" s="2589"/>
      <c r="AC1506" s="2589"/>
    </row>
    <row r="1507" spans="1:29">
      <c r="A1507" s="2589"/>
      <c r="B1507" s="2346"/>
      <c r="C1507" s="2589"/>
      <c r="D1507" s="2589"/>
      <c r="E1507" s="2345"/>
      <c r="F1507" s="2589"/>
      <c r="G1507" s="2346"/>
      <c r="H1507" s="2589"/>
      <c r="I1507" s="2589"/>
      <c r="J1507" s="2589"/>
      <c r="K1507" s="2347"/>
      <c r="L1507" s="2589"/>
      <c r="M1507" s="2589"/>
      <c r="N1507" s="2589"/>
      <c r="O1507" s="2589"/>
      <c r="P1507" s="2346"/>
      <c r="Q1507" s="2589"/>
      <c r="R1507" s="2347"/>
      <c r="S1507" s="2347"/>
      <c r="T1507" s="2348"/>
      <c r="U1507" s="2348"/>
      <c r="V1507" s="2348"/>
      <c r="W1507" s="2347"/>
      <c r="X1507" s="2347"/>
      <c r="Y1507" s="2589"/>
      <c r="Z1507" s="2589"/>
      <c r="AA1507" s="2589"/>
      <c r="AB1507" s="2589"/>
      <c r="AC1507" s="2589"/>
    </row>
    <row r="1508" spans="1:29">
      <c r="A1508" s="2589"/>
      <c r="B1508" s="2346"/>
      <c r="C1508" s="2589"/>
      <c r="D1508" s="2589"/>
      <c r="E1508" s="2345"/>
      <c r="F1508" s="2589"/>
      <c r="G1508" s="2346"/>
      <c r="H1508" s="2589"/>
      <c r="I1508" s="2589"/>
      <c r="J1508" s="2589"/>
      <c r="K1508" s="2347"/>
      <c r="L1508" s="2589"/>
      <c r="M1508" s="2589"/>
      <c r="N1508" s="2589"/>
      <c r="O1508" s="2589"/>
      <c r="P1508" s="2346"/>
      <c r="Q1508" s="2589"/>
      <c r="R1508" s="2347"/>
      <c r="S1508" s="2347"/>
      <c r="T1508" s="2348"/>
      <c r="U1508" s="2348"/>
      <c r="V1508" s="2348"/>
      <c r="W1508" s="2347"/>
      <c r="X1508" s="2347"/>
      <c r="Y1508" s="2589"/>
      <c r="Z1508" s="2589"/>
      <c r="AA1508" s="2589"/>
      <c r="AB1508" s="2589"/>
      <c r="AC1508" s="2589"/>
    </row>
    <row r="1509" spans="1:29">
      <c r="A1509" s="2589"/>
      <c r="B1509" s="2346"/>
      <c r="C1509" s="2589"/>
      <c r="D1509" s="2589"/>
      <c r="E1509" s="2345"/>
      <c r="F1509" s="2589"/>
      <c r="G1509" s="2346"/>
      <c r="H1509" s="2589"/>
      <c r="I1509" s="2589"/>
      <c r="J1509" s="2589"/>
      <c r="K1509" s="2347"/>
      <c r="L1509" s="2589"/>
      <c r="M1509" s="2589"/>
      <c r="N1509" s="2589"/>
      <c r="O1509" s="2589"/>
      <c r="P1509" s="2346"/>
      <c r="Q1509" s="2589"/>
      <c r="R1509" s="2347"/>
      <c r="S1509" s="2347"/>
      <c r="T1509" s="2348"/>
      <c r="U1509" s="2348"/>
      <c r="V1509" s="2348"/>
      <c r="W1509" s="2347"/>
      <c r="X1509" s="2347"/>
      <c r="Y1509" s="2589"/>
      <c r="Z1509" s="2589"/>
      <c r="AA1509" s="2589"/>
      <c r="AB1509" s="2589"/>
      <c r="AC1509" s="2589"/>
    </row>
    <row r="1510" spans="1:29">
      <c r="A1510" s="2589"/>
      <c r="B1510" s="2346"/>
      <c r="C1510" s="2589"/>
      <c r="D1510" s="2589"/>
      <c r="E1510" s="2345"/>
      <c r="F1510" s="2589"/>
      <c r="G1510" s="2346"/>
      <c r="H1510" s="2589"/>
      <c r="I1510" s="2589"/>
      <c r="J1510" s="2589"/>
      <c r="K1510" s="2347"/>
      <c r="L1510" s="2589"/>
      <c r="M1510" s="2589"/>
      <c r="N1510" s="2589"/>
      <c r="O1510" s="2589"/>
      <c r="P1510" s="2346"/>
      <c r="Q1510" s="2589"/>
      <c r="R1510" s="2347"/>
      <c r="S1510" s="2347"/>
      <c r="T1510" s="2348"/>
      <c r="U1510" s="2348"/>
      <c r="V1510" s="2348"/>
      <c r="W1510" s="2347"/>
      <c r="X1510" s="2347"/>
      <c r="Y1510" s="2589"/>
      <c r="Z1510" s="2589"/>
      <c r="AA1510" s="2589"/>
      <c r="AB1510" s="2589"/>
      <c r="AC1510" s="2589"/>
    </row>
    <row r="1511" spans="1:29">
      <c r="A1511" s="2589"/>
      <c r="B1511" s="2346"/>
      <c r="C1511" s="2589"/>
      <c r="D1511" s="2589"/>
      <c r="E1511" s="2345"/>
      <c r="F1511" s="2589"/>
      <c r="G1511" s="2346"/>
      <c r="H1511" s="2589"/>
      <c r="I1511" s="2589"/>
      <c r="J1511" s="2589"/>
      <c r="K1511" s="2347"/>
      <c r="L1511" s="2589"/>
      <c r="M1511" s="2589"/>
      <c r="N1511" s="2589"/>
      <c r="O1511" s="2589"/>
      <c r="P1511" s="2346"/>
      <c r="Q1511" s="2589"/>
      <c r="R1511" s="2347"/>
      <c r="S1511" s="2347"/>
      <c r="T1511" s="2348"/>
      <c r="U1511" s="2348"/>
      <c r="V1511" s="2348"/>
      <c r="W1511" s="2347"/>
      <c r="X1511" s="2347"/>
      <c r="Y1511" s="2589"/>
      <c r="Z1511" s="2589"/>
      <c r="AA1511" s="2589"/>
      <c r="AB1511" s="2589"/>
      <c r="AC1511" s="2589"/>
    </row>
    <row r="1512" spans="1:29">
      <c r="A1512" s="2589"/>
      <c r="B1512" s="2346"/>
      <c r="C1512" s="2589"/>
      <c r="D1512" s="2589"/>
      <c r="E1512" s="2345"/>
      <c r="F1512" s="2589"/>
      <c r="G1512" s="2346"/>
      <c r="H1512" s="2589"/>
      <c r="I1512" s="2589"/>
      <c r="J1512" s="2589"/>
      <c r="K1512" s="2347"/>
      <c r="L1512" s="2589"/>
      <c r="M1512" s="2589"/>
      <c r="N1512" s="2589"/>
      <c r="O1512" s="2589"/>
      <c r="P1512" s="2346"/>
      <c r="Q1512" s="2589"/>
      <c r="R1512" s="2347"/>
      <c r="S1512" s="2347"/>
      <c r="T1512" s="2348"/>
      <c r="U1512" s="2348"/>
      <c r="V1512" s="2348"/>
      <c r="W1512" s="2347"/>
      <c r="X1512" s="2347"/>
      <c r="Y1512" s="2589"/>
      <c r="Z1512" s="2589"/>
      <c r="AA1512" s="2589"/>
      <c r="AB1512" s="2589"/>
      <c r="AC1512" s="2589"/>
    </row>
    <row r="1513" spans="1:29">
      <c r="A1513" s="2589"/>
      <c r="B1513" s="2346"/>
      <c r="C1513" s="2589"/>
      <c r="D1513" s="2589"/>
      <c r="E1513" s="2345"/>
      <c r="F1513" s="2589"/>
      <c r="G1513" s="2346"/>
      <c r="H1513" s="2589"/>
      <c r="I1513" s="2589"/>
      <c r="J1513" s="2589"/>
      <c r="K1513" s="2347"/>
      <c r="L1513" s="2589"/>
      <c r="M1513" s="2589"/>
      <c r="N1513" s="2589"/>
      <c r="O1513" s="2589"/>
      <c r="P1513" s="2346"/>
      <c r="Q1513" s="2589"/>
      <c r="R1513" s="2347"/>
      <c r="S1513" s="2347"/>
      <c r="T1513" s="2348"/>
      <c r="U1513" s="2348"/>
      <c r="V1513" s="2348"/>
      <c r="W1513" s="2347"/>
      <c r="X1513" s="2347"/>
      <c r="Y1513" s="2589"/>
      <c r="Z1513" s="2589"/>
      <c r="AA1513" s="2589"/>
      <c r="AB1513" s="2589"/>
      <c r="AC1513" s="2589"/>
    </row>
    <row r="1514" spans="1:29">
      <c r="A1514" s="2589"/>
      <c r="B1514" s="2346"/>
      <c r="C1514" s="2589"/>
      <c r="D1514" s="2589"/>
      <c r="E1514" s="2345"/>
      <c r="F1514" s="2589"/>
      <c r="G1514" s="2346"/>
      <c r="H1514" s="2589"/>
      <c r="I1514" s="2589"/>
      <c r="J1514" s="2589"/>
      <c r="K1514" s="2347"/>
      <c r="L1514" s="2589"/>
      <c r="M1514" s="2589"/>
      <c r="N1514" s="2589"/>
      <c r="O1514" s="2589"/>
      <c r="P1514" s="2346"/>
      <c r="Q1514" s="2589"/>
      <c r="R1514" s="2347"/>
      <c r="S1514" s="2347"/>
      <c r="T1514" s="2348"/>
      <c r="U1514" s="2348"/>
      <c r="V1514" s="2348"/>
      <c r="W1514" s="2347"/>
      <c r="X1514" s="2347"/>
      <c r="Y1514" s="2589"/>
      <c r="Z1514" s="2589"/>
      <c r="AA1514" s="2589"/>
      <c r="AB1514" s="2589"/>
      <c r="AC1514" s="2589"/>
    </row>
    <row r="1515" spans="1:29">
      <c r="A1515" s="2589"/>
      <c r="B1515" s="2346"/>
      <c r="C1515" s="2589"/>
      <c r="D1515" s="2589"/>
      <c r="E1515" s="2345"/>
      <c r="F1515" s="2589"/>
      <c r="G1515" s="2346"/>
      <c r="H1515" s="2589"/>
      <c r="I1515" s="2589"/>
      <c r="J1515" s="2589"/>
      <c r="K1515" s="2347"/>
      <c r="L1515" s="2589"/>
      <c r="M1515" s="2589"/>
      <c r="N1515" s="2589"/>
      <c r="O1515" s="2589"/>
      <c r="P1515" s="2346"/>
      <c r="Q1515" s="2589"/>
      <c r="R1515" s="2347"/>
      <c r="S1515" s="2347"/>
      <c r="T1515" s="2348"/>
      <c r="U1515" s="2348"/>
      <c r="V1515" s="2348"/>
      <c r="W1515" s="2347"/>
      <c r="X1515" s="2347"/>
      <c r="Y1515" s="2589"/>
      <c r="Z1515" s="2589"/>
      <c r="AA1515" s="2589"/>
      <c r="AB1515" s="2589"/>
      <c r="AC1515" s="2589"/>
    </row>
    <row r="1516" spans="1:29">
      <c r="A1516" s="2589"/>
      <c r="B1516" s="2346"/>
      <c r="C1516" s="2589"/>
      <c r="D1516" s="2589"/>
      <c r="E1516" s="2345"/>
      <c r="F1516" s="2589"/>
      <c r="G1516" s="2346"/>
      <c r="H1516" s="2589"/>
      <c r="I1516" s="2589"/>
      <c r="J1516" s="2589"/>
      <c r="K1516" s="2347"/>
      <c r="L1516" s="2589"/>
      <c r="M1516" s="2589"/>
      <c r="N1516" s="2589"/>
      <c r="O1516" s="2589"/>
      <c r="P1516" s="2346"/>
      <c r="Q1516" s="2589"/>
      <c r="R1516" s="2347"/>
      <c r="S1516" s="2347"/>
      <c r="T1516" s="2348"/>
      <c r="U1516" s="2348"/>
      <c r="V1516" s="2348"/>
      <c r="W1516" s="2347"/>
      <c r="X1516" s="2347"/>
      <c r="Y1516" s="2589"/>
      <c r="Z1516" s="2589"/>
      <c r="AA1516" s="2589"/>
      <c r="AB1516" s="2589"/>
      <c r="AC1516" s="2589"/>
    </row>
    <row r="1517" spans="1:29">
      <c r="A1517" s="2589"/>
      <c r="B1517" s="2346"/>
      <c r="C1517" s="2589"/>
      <c r="D1517" s="2589"/>
      <c r="E1517" s="2345"/>
      <c r="F1517" s="2589"/>
      <c r="G1517" s="2346"/>
      <c r="H1517" s="2589"/>
      <c r="I1517" s="2589"/>
      <c r="J1517" s="2589"/>
      <c r="K1517" s="2347"/>
      <c r="L1517" s="2589"/>
      <c r="M1517" s="2589"/>
      <c r="N1517" s="2589"/>
      <c r="O1517" s="2589"/>
      <c r="P1517" s="2346"/>
      <c r="Q1517" s="2589"/>
      <c r="R1517" s="2347"/>
      <c r="S1517" s="2347"/>
      <c r="T1517" s="2348"/>
      <c r="U1517" s="2348"/>
      <c r="V1517" s="2348"/>
      <c r="W1517" s="2347"/>
      <c r="X1517" s="2347"/>
      <c r="Y1517" s="2589"/>
      <c r="Z1517" s="2589"/>
      <c r="AA1517" s="2589"/>
      <c r="AB1517" s="2589"/>
      <c r="AC1517" s="2589"/>
    </row>
    <row r="1518" spans="1:29">
      <c r="A1518" s="2589"/>
      <c r="B1518" s="2346"/>
      <c r="C1518" s="2589"/>
      <c r="D1518" s="2589"/>
      <c r="E1518" s="2345"/>
      <c r="F1518" s="2589"/>
      <c r="G1518" s="2346"/>
      <c r="H1518" s="2589"/>
      <c r="I1518" s="2589"/>
      <c r="J1518" s="2589"/>
      <c r="K1518" s="2347"/>
      <c r="L1518" s="2589"/>
      <c r="M1518" s="2589"/>
      <c r="N1518" s="2589"/>
      <c r="O1518" s="2589"/>
      <c r="P1518" s="2346"/>
      <c r="Q1518" s="2589"/>
      <c r="R1518" s="2347"/>
      <c r="S1518" s="2347"/>
      <c r="T1518" s="2348"/>
      <c r="U1518" s="2348"/>
      <c r="V1518" s="2348"/>
      <c r="W1518" s="2347"/>
      <c r="X1518" s="2347"/>
      <c r="Y1518" s="2589"/>
      <c r="Z1518" s="2589"/>
      <c r="AA1518" s="2589"/>
      <c r="AB1518" s="2589"/>
      <c r="AC1518" s="2589"/>
    </row>
    <row r="1519" spans="1:29">
      <c r="A1519" s="2589"/>
      <c r="B1519" s="2346"/>
      <c r="C1519" s="2589"/>
      <c r="D1519" s="2589"/>
      <c r="E1519" s="2345"/>
      <c r="F1519" s="2589"/>
      <c r="G1519" s="2346"/>
      <c r="H1519" s="2589"/>
      <c r="I1519" s="2589"/>
      <c r="J1519" s="2589"/>
      <c r="K1519" s="2347"/>
      <c r="L1519" s="2589"/>
      <c r="M1519" s="2589"/>
      <c r="N1519" s="2589"/>
      <c r="O1519" s="2589"/>
      <c r="P1519" s="2346"/>
      <c r="Q1519" s="2589"/>
      <c r="R1519" s="2347"/>
      <c r="S1519" s="2347"/>
      <c r="T1519" s="2348"/>
      <c r="U1519" s="2348"/>
      <c r="V1519" s="2348"/>
      <c r="W1519" s="2347"/>
      <c r="X1519" s="2347"/>
      <c r="Y1519" s="2589"/>
      <c r="Z1519" s="2589"/>
      <c r="AA1519" s="2589"/>
      <c r="AB1519" s="2589"/>
      <c r="AC1519" s="2589"/>
    </row>
    <row r="1520" spans="1:29">
      <c r="A1520" s="2589"/>
      <c r="B1520" s="2346"/>
      <c r="C1520" s="2589"/>
      <c r="D1520" s="2589"/>
      <c r="E1520" s="2345"/>
      <c r="F1520" s="2589"/>
      <c r="G1520" s="2346"/>
      <c r="H1520" s="2589"/>
      <c r="I1520" s="2589"/>
      <c r="J1520" s="2589"/>
      <c r="K1520" s="2347"/>
      <c r="L1520" s="2589"/>
      <c r="M1520" s="2589"/>
      <c r="N1520" s="2589"/>
      <c r="O1520" s="2589"/>
      <c r="P1520" s="2346"/>
      <c r="Q1520" s="2589"/>
      <c r="R1520" s="2347"/>
      <c r="S1520" s="2347"/>
      <c r="T1520" s="2348"/>
      <c r="U1520" s="2348"/>
      <c r="V1520" s="2348"/>
      <c r="W1520" s="2347"/>
      <c r="X1520" s="2347"/>
      <c r="Y1520" s="2589"/>
      <c r="Z1520" s="2589"/>
      <c r="AA1520" s="2589"/>
      <c r="AB1520" s="2589"/>
      <c r="AC1520" s="2589"/>
    </row>
    <row r="1521" spans="1:29">
      <c r="A1521" s="2589"/>
      <c r="B1521" s="2346"/>
      <c r="C1521" s="2589"/>
      <c r="D1521" s="2589"/>
      <c r="E1521" s="2345"/>
      <c r="F1521" s="2589"/>
      <c r="G1521" s="2346"/>
      <c r="H1521" s="2589"/>
      <c r="I1521" s="2589"/>
      <c r="J1521" s="2589"/>
      <c r="K1521" s="2347"/>
      <c r="L1521" s="2589"/>
      <c r="M1521" s="2589"/>
      <c r="N1521" s="2589"/>
      <c r="O1521" s="2589"/>
      <c r="P1521" s="2346"/>
      <c r="Q1521" s="2589"/>
      <c r="R1521" s="2347"/>
      <c r="S1521" s="2347"/>
      <c r="T1521" s="2348"/>
      <c r="U1521" s="2348"/>
      <c r="V1521" s="2348"/>
      <c r="W1521" s="2347"/>
      <c r="X1521" s="2347"/>
      <c r="Y1521" s="2589"/>
      <c r="Z1521" s="2589"/>
      <c r="AA1521" s="2589"/>
      <c r="AB1521" s="2589"/>
      <c r="AC1521" s="2589"/>
    </row>
    <row r="1522" spans="1:29">
      <c r="A1522" s="2589"/>
      <c r="B1522" s="2346"/>
      <c r="C1522" s="2589"/>
      <c r="D1522" s="2589"/>
      <c r="E1522" s="2345"/>
      <c r="F1522" s="2589"/>
      <c r="G1522" s="2346"/>
      <c r="H1522" s="2589"/>
      <c r="I1522" s="2589"/>
      <c r="J1522" s="2589"/>
      <c r="K1522" s="2347"/>
      <c r="L1522" s="2589"/>
      <c r="M1522" s="2589"/>
      <c r="N1522" s="2589"/>
      <c r="O1522" s="2589"/>
      <c r="P1522" s="2346"/>
      <c r="Q1522" s="2589"/>
      <c r="R1522" s="2347"/>
      <c r="S1522" s="2347"/>
      <c r="T1522" s="2348"/>
      <c r="U1522" s="2348"/>
      <c r="V1522" s="2348"/>
      <c r="W1522" s="2347"/>
      <c r="X1522" s="2347"/>
      <c r="Y1522" s="2589"/>
      <c r="Z1522" s="2589"/>
      <c r="AA1522" s="2589"/>
      <c r="AB1522" s="2589"/>
      <c r="AC1522" s="2589"/>
    </row>
    <row r="1523" spans="1:29">
      <c r="A1523" s="2589"/>
      <c r="B1523" s="2346"/>
      <c r="C1523" s="2589"/>
      <c r="D1523" s="2589"/>
      <c r="E1523" s="2345"/>
      <c r="F1523" s="2589"/>
      <c r="G1523" s="2346"/>
      <c r="H1523" s="2589"/>
      <c r="I1523" s="2589"/>
      <c r="J1523" s="2589"/>
      <c r="K1523" s="2347"/>
      <c r="L1523" s="2589"/>
      <c r="M1523" s="2589"/>
      <c r="N1523" s="2589"/>
      <c r="O1523" s="2589"/>
      <c r="P1523" s="2346"/>
      <c r="Q1523" s="2589"/>
      <c r="R1523" s="2347"/>
      <c r="S1523" s="2347"/>
      <c r="T1523" s="2348"/>
      <c r="U1523" s="2348"/>
      <c r="V1523" s="2348"/>
      <c r="W1523" s="2347"/>
      <c r="X1523" s="2347"/>
      <c r="Y1523" s="2589"/>
      <c r="Z1523" s="2589"/>
      <c r="AA1523" s="2589"/>
      <c r="AB1523" s="2589"/>
      <c r="AC1523" s="2589"/>
    </row>
    <row r="1524" spans="1:29">
      <c r="A1524" s="2589"/>
      <c r="B1524" s="2346"/>
      <c r="C1524" s="2589"/>
      <c r="D1524" s="2589"/>
      <c r="E1524" s="2345"/>
      <c r="F1524" s="2589"/>
      <c r="G1524" s="2346"/>
      <c r="H1524" s="2589"/>
      <c r="I1524" s="2589"/>
      <c r="J1524" s="2589"/>
      <c r="K1524" s="2347"/>
      <c r="L1524" s="2589"/>
      <c r="M1524" s="2589"/>
      <c r="N1524" s="2589"/>
      <c r="O1524" s="2589"/>
      <c r="P1524" s="2346"/>
      <c r="Q1524" s="2589"/>
      <c r="R1524" s="2347"/>
      <c r="S1524" s="2347"/>
      <c r="T1524" s="2348"/>
      <c r="U1524" s="2348"/>
      <c r="V1524" s="2348"/>
      <c r="W1524" s="2347"/>
      <c r="X1524" s="2347"/>
      <c r="Y1524" s="2589"/>
      <c r="Z1524" s="2589"/>
      <c r="AA1524" s="2589"/>
      <c r="AB1524" s="2589"/>
      <c r="AC1524" s="2589"/>
    </row>
    <row r="1525" spans="1:29">
      <c r="A1525" s="2589"/>
      <c r="B1525" s="2346"/>
      <c r="C1525" s="2589"/>
      <c r="D1525" s="2589"/>
      <c r="E1525" s="2345"/>
      <c r="F1525" s="2589"/>
      <c r="G1525" s="2346"/>
      <c r="H1525" s="2589"/>
      <c r="I1525" s="2589"/>
      <c r="J1525" s="2589"/>
      <c r="K1525" s="2347"/>
      <c r="L1525" s="2589"/>
      <c r="M1525" s="2589"/>
      <c r="N1525" s="2589"/>
      <c r="O1525" s="2589"/>
      <c r="P1525" s="2346"/>
      <c r="Q1525" s="2589"/>
      <c r="R1525" s="2347"/>
      <c r="S1525" s="2347"/>
      <c r="T1525" s="2348"/>
      <c r="U1525" s="2348"/>
      <c r="V1525" s="2348"/>
      <c r="W1525" s="2347"/>
      <c r="X1525" s="2347"/>
      <c r="Y1525" s="2589"/>
      <c r="Z1525" s="2589"/>
      <c r="AA1525" s="2589"/>
      <c r="AB1525" s="2589"/>
      <c r="AC1525" s="2589"/>
    </row>
    <row r="1526" spans="1:29">
      <c r="A1526" s="2589"/>
      <c r="B1526" s="2346"/>
      <c r="C1526" s="2589"/>
      <c r="D1526" s="2589"/>
      <c r="E1526" s="2345"/>
      <c r="F1526" s="2589"/>
      <c r="G1526" s="2346"/>
      <c r="H1526" s="2589"/>
      <c r="I1526" s="2589"/>
      <c r="J1526" s="2589"/>
      <c r="K1526" s="2347"/>
      <c r="L1526" s="2589"/>
      <c r="M1526" s="2589"/>
      <c r="N1526" s="2589"/>
      <c r="O1526" s="2589"/>
      <c r="P1526" s="2346"/>
      <c r="Q1526" s="2589"/>
      <c r="R1526" s="2347"/>
      <c r="S1526" s="2347"/>
      <c r="T1526" s="2348"/>
      <c r="U1526" s="2348"/>
      <c r="V1526" s="2348"/>
      <c r="W1526" s="2347"/>
      <c r="X1526" s="2347"/>
      <c r="Y1526" s="2589"/>
      <c r="Z1526" s="2589"/>
      <c r="AA1526" s="2589"/>
      <c r="AB1526" s="2589"/>
      <c r="AC1526" s="2589"/>
    </row>
    <row r="1527" spans="1:29">
      <c r="A1527" s="2589"/>
      <c r="B1527" s="2346"/>
      <c r="C1527" s="2589"/>
      <c r="D1527" s="2589"/>
      <c r="E1527" s="2345"/>
      <c r="F1527" s="2589"/>
      <c r="G1527" s="2346"/>
      <c r="H1527" s="2589"/>
      <c r="I1527" s="2589"/>
      <c r="J1527" s="2589"/>
      <c r="K1527" s="2347"/>
      <c r="L1527" s="2589"/>
      <c r="M1527" s="2589"/>
      <c r="N1527" s="2589"/>
      <c r="O1527" s="2589"/>
      <c r="P1527" s="2346"/>
      <c r="Q1527" s="2589"/>
      <c r="R1527" s="2347"/>
      <c r="S1527" s="2347"/>
      <c r="T1527" s="2348"/>
      <c r="U1527" s="2348"/>
      <c r="V1527" s="2348"/>
      <c r="W1527" s="2347"/>
      <c r="X1527" s="2347"/>
      <c r="Y1527" s="2589"/>
      <c r="Z1527" s="2589"/>
      <c r="AA1527" s="2589"/>
      <c r="AB1527" s="2589"/>
      <c r="AC1527" s="2589"/>
    </row>
    <row r="1528" spans="1:29">
      <c r="A1528" s="2589"/>
      <c r="B1528" s="2346"/>
      <c r="C1528" s="2589"/>
      <c r="D1528" s="2589"/>
      <c r="E1528" s="2345"/>
      <c r="F1528" s="2589"/>
      <c r="G1528" s="2346"/>
      <c r="H1528" s="2589"/>
      <c r="I1528" s="2589"/>
      <c r="J1528" s="2589"/>
      <c r="K1528" s="2347"/>
      <c r="L1528" s="2589"/>
      <c r="M1528" s="2589"/>
      <c r="N1528" s="2589"/>
      <c r="O1528" s="2589"/>
      <c r="P1528" s="2346"/>
      <c r="Q1528" s="2589"/>
      <c r="R1528" s="2347"/>
      <c r="S1528" s="2347"/>
      <c r="T1528" s="2348"/>
      <c r="U1528" s="2348"/>
      <c r="V1528" s="2348"/>
      <c r="W1528" s="2347"/>
      <c r="X1528" s="2347"/>
      <c r="Y1528" s="2589"/>
      <c r="Z1528" s="2589"/>
      <c r="AA1528" s="2589"/>
      <c r="AB1528" s="2589"/>
      <c r="AC1528" s="2589"/>
    </row>
    <row r="1529" spans="1:29">
      <c r="A1529" s="2589"/>
      <c r="B1529" s="2346"/>
      <c r="C1529" s="2589"/>
      <c r="D1529" s="2589"/>
      <c r="E1529" s="2345"/>
      <c r="F1529" s="2589"/>
      <c r="G1529" s="2346"/>
      <c r="H1529" s="2589"/>
      <c r="I1529" s="2589"/>
      <c r="J1529" s="2589"/>
      <c r="K1529" s="2347"/>
      <c r="L1529" s="2589"/>
      <c r="M1529" s="2589"/>
      <c r="N1529" s="2589"/>
      <c r="O1529" s="2589"/>
      <c r="P1529" s="2346"/>
      <c r="Q1529" s="2589"/>
      <c r="R1529" s="2347"/>
      <c r="S1529" s="2347"/>
      <c r="T1529" s="2348"/>
      <c r="U1529" s="2348"/>
      <c r="V1529" s="2348"/>
      <c r="W1529" s="2347"/>
      <c r="X1529" s="2347"/>
      <c r="Y1529" s="2589"/>
      <c r="Z1529" s="2589"/>
      <c r="AA1529" s="2589"/>
      <c r="AB1529" s="2589"/>
      <c r="AC1529" s="2589"/>
    </row>
    <row r="1530" spans="1:29">
      <c r="A1530" s="2589"/>
      <c r="B1530" s="2346"/>
      <c r="C1530" s="2589"/>
      <c r="D1530" s="2589"/>
      <c r="E1530" s="2345"/>
      <c r="F1530" s="2589"/>
      <c r="G1530" s="2346"/>
      <c r="H1530" s="2589"/>
      <c r="I1530" s="2589"/>
      <c r="J1530" s="2589"/>
      <c r="K1530" s="2347"/>
      <c r="L1530" s="2589"/>
      <c r="M1530" s="2589"/>
      <c r="N1530" s="2589"/>
      <c r="O1530" s="2589"/>
      <c r="P1530" s="2346"/>
      <c r="Q1530" s="2589"/>
      <c r="R1530" s="2347"/>
      <c r="S1530" s="2347"/>
      <c r="T1530" s="2348"/>
      <c r="U1530" s="2348"/>
      <c r="V1530" s="2348"/>
      <c r="W1530" s="2347"/>
      <c r="X1530" s="2347"/>
      <c r="Y1530" s="2589"/>
      <c r="Z1530" s="2589"/>
      <c r="AA1530" s="2589"/>
      <c r="AB1530" s="2589"/>
      <c r="AC1530" s="2589"/>
    </row>
    <row r="1531" spans="1:29">
      <c r="A1531" s="2589"/>
      <c r="B1531" s="2346"/>
      <c r="C1531" s="2589"/>
      <c r="D1531" s="2589"/>
      <c r="E1531" s="2345"/>
      <c r="F1531" s="2589"/>
      <c r="G1531" s="2346"/>
      <c r="H1531" s="2589"/>
      <c r="I1531" s="2589"/>
      <c r="J1531" s="2589"/>
      <c r="K1531" s="2347"/>
      <c r="L1531" s="2589"/>
      <c r="M1531" s="2589"/>
      <c r="N1531" s="2589"/>
      <c r="O1531" s="2589"/>
      <c r="P1531" s="2346"/>
      <c r="Q1531" s="2589"/>
      <c r="R1531" s="2347"/>
      <c r="S1531" s="2347"/>
      <c r="T1531" s="2348"/>
      <c r="U1531" s="2348"/>
      <c r="V1531" s="2348"/>
      <c r="W1531" s="2347"/>
      <c r="X1531" s="2347"/>
      <c r="Y1531" s="2589"/>
      <c r="Z1531" s="2589"/>
      <c r="AA1531" s="2589"/>
      <c r="AB1531" s="2589"/>
      <c r="AC1531" s="2589"/>
    </row>
    <row r="1532" spans="1:29">
      <c r="A1532" s="2589"/>
      <c r="B1532" s="2346"/>
      <c r="C1532" s="2589"/>
      <c r="D1532" s="2589"/>
      <c r="E1532" s="2345"/>
      <c r="F1532" s="2589"/>
      <c r="G1532" s="2346"/>
      <c r="H1532" s="2589"/>
      <c r="I1532" s="2589"/>
      <c r="J1532" s="2589"/>
      <c r="K1532" s="2347"/>
      <c r="L1532" s="2589"/>
      <c r="M1532" s="2589"/>
      <c r="N1532" s="2589"/>
      <c r="O1532" s="2589"/>
      <c r="P1532" s="2346"/>
      <c r="Q1532" s="2589"/>
      <c r="R1532" s="2347"/>
      <c r="S1532" s="2347"/>
      <c r="T1532" s="2348"/>
      <c r="U1532" s="2348"/>
      <c r="V1532" s="2348"/>
      <c r="W1532" s="2347"/>
      <c r="X1532" s="2347"/>
      <c r="Y1532" s="2589"/>
      <c r="Z1532" s="2589"/>
      <c r="AA1532" s="2589"/>
      <c r="AB1532" s="2589"/>
      <c r="AC1532" s="2589"/>
    </row>
    <row r="1533" spans="1:29">
      <c r="A1533" s="2589"/>
      <c r="B1533" s="2346"/>
      <c r="C1533" s="2589"/>
      <c r="D1533" s="2589"/>
      <c r="E1533" s="2345"/>
      <c r="F1533" s="2589"/>
      <c r="G1533" s="2346"/>
      <c r="H1533" s="2589"/>
      <c r="I1533" s="2589"/>
      <c r="J1533" s="2589"/>
      <c r="K1533" s="2347"/>
      <c r="L1533" s="2589"/>
      <c r="M1533" s="2589"/>
      <c r="N1533" s="2589"/>
      <c r="O1533" s="2589"/>
      <c r="P1533" s="2346"/>
      <c r="Q1533" s="2589"/>
      <c r="R1533" s="2347"/>
      <c r="S1533" s="2347"/>
      <c r="T1533" s="2348"/>
      <c r="U1533" s="2348"/>
      <c r="V1533" s="2348"/>
      <c r="W1533" s="2347"/>
      <c r="X1533" s="2347"/>
      <c r="Y1533" s="2589"/>
      <c r="Z1533" s="2589"/>
      <c r="AA1533" s="2589"/>
      <c r="AB1533" s="2589"/>
      <c r="AC1533" s="2589"/>
    </row>
    <row r="1534" spans="1:29">
      <c r="A1534" s="2589"/>
      <c r="B1534" s="2346"/>
      <c r="C1534" s="2589"/>
      <c r="D1534" s="2589"/>
      <c r="E1534" s="2345"/>
      <c r="F1534" s="2589"/>
      <c r="G1534" s="2346"/>
      <c r="H1534" s="2589"/>
      <c r="I1534" s="2589"/>
      <c r="J1534" s="2589"/>
      <c r="K1534" s="2347"/>
      <c r="L1534" s="2589"/>
      <c r="M1534" s="2589"/>
      <c r="N1534" s="2589"/>
      <c r="O1534" s="2589"/>
      <c r="P1534" s="2346"/>
      <c r="Q1534" s="2589"/>
      <c r="R1534" s="2347"/>
      <c r="S1534" s="2347"/>
      <c r="T1534" s="2348"/>
      <c r="U1534" s="2348"/>
      <c r="V1534" s="2348"/>
      <c r="W1534" s="2347"/>
      <c r="X1534" s="2347"/>
      <c r="Y1534" s="2589"/>
      <c r="Z1534" s="2589"/>
      <c r="AA1534" s="2589"/>
      <c r="AB1534" s="2589"/>
      <c r="AC1534" s="2589"/>
    </row>
    <row r="1535" spans="1:29">
      <c r="A1535" s="2589"/>
      <c r="B1535" s="2346"/>
      <c r="C1535" s="2589"/>
      <c r="D1535" s="2589"/>
      <c r="E1535" s="2345"/>
      <c r="F1535" s="2589"/>
      <c r="G1535" s="2346"/>
      <c r="H1535" s="2589"/>
      <c r="I1535" s="2589"/>
      <c r="J1535" s="2589"/>
      <c r="K1535" s="2347"/>
      <c r="L1535" s="2589"/>
      <c r="M1535" s="2589"/>
      <c r="N1535" s="2589"/>
      <c r="O1535" s="2589"/>
      <c r="P1535" s="2346"/>
      <c r="Q1535" s="2589"/>
      <c r="R1535" s="2347"/>
      <c r="S1535" s="2347"/>
      <c r="T1535" s="2348"/>
      <c r="U1535" s="2348"/>
      <c r="V1535" s="2348"/>
      <c r="W1535" s="2347"/>
      <c r="X1535" s="2347"/>
      <c r="Y1535" s="2589"/>
      <c r="Z1535" s="2589"/>
      <c r="AA1535" s="2589"/>
      <c r="AB1535" s="2589"/>
      <c r="AC1535" s="2589"/>
    </row>
    <row r="1536" spans="1:29">
      <c r="A1536" s="2589"/>
      <c r="B1536" s="2346"/>
      <c r="C1536" s="2589"/>
      <c r="D1536" s="2589"/>
      <c r="E1536" s="2345"/>
      <c r="F1536" s="2589"/>
      <c r="G1536" s="2346"/>
      <c r="H1536" s="2589"/>
      <c r="I1536" s="2589"/>
      <c r="J1536" s="2589"/>
      <c r="K1536" s="2347"/>
      <c r="L1536" s="2589"/>
      <c r="M1536" s="2589"/>
      <c r="N1536" s="2589"/>
      <c r="O1536" s="2589"/>
      <c r="P1536" s="2346"/>
      <c r="Q1536" s="2589"/>
      <c r="R1536" s="2347"/>
      <c r="S1536" s="2347"/>
      <c r="T1536" s="2348"/>
      <c r="U1536" s="2348"/>
      <c r="V1536" s="2348"/>
      <c r="W1536" s="2347"/>
      <c r="X1536" s="2347"/>
      <c r="Y1536" s="2589"/>
      <c r="Z1536" s="2589"/>
      <c r="AA1536" s="2589"/>
      <c r="AB1536" s="2589"/>
      <c r="AC1536" s="2589"/>
    </row>
    <row r="1537" spans="1:29">
      <c r="A1537" s="2589"/>
      <c r="B1537" s="2346"/>
      <c r="C1537" s="2589"/>
      <c r="D1537" s="2589"/>
      <c r="E1537" s="2345"/>
      <c r="F1537" s="2589"/>
      <c r="G1537" s="2346"/>
      <c r="H1537" s="2589"/>
      <c r="I1537" s="2589"/>
      <c r="J1537" s="2589"/>
      <c r="K1537" s="2347"/>
      <c r="L1537" s="2589"/>
      <c r="M1537" s="2589"/>
      <c r="N1537" s="2589"/>
      <c r="O1537" s="2589"/>
      <c r="P1537" s="2346"/>
      <c r="Q1537" s="2589"/>
      <c r="R1537" s="2347"/>
      <c r="S1537" s="2347"/>
      <c r="T1537" s="2348"/>
      <c r="U1537" s="2348"/>
      <c r="V1537" s="2348"/>
      <c r="W1537" s="2347"/>
      <c r="X1537" s="2347"/>
      <c r="Y1537" s="2589"/>
      <c r="Z1537" s="2589"/>
      <c r="AA1537" s="2589"/>
      <c r="AB1537" s="2589"/>
      <c r="AC1537" s="2589"/>
    </row>
    <row r="1538" spans="1:29">
      <c r="A1538" s="2589"/>
      <c r="B1538" s="2346"/>
      <c r="C1538" s="2589"/>
      <c r="D1538" s="2589"/>
      <c r="E1538" s="2345"/>
      <c r="F1538" s="2589"/>
      <c r="G1538" s="2346"/>
      <c r="H1538" s="2589"/>
      <c r="I1538" s="2589"/>
      <c r="J1538" s="2589"/>
      <c r="K1538" s="2347"/>
      <c r="L1538" s="2589"/>
      <c r="M1538" s="2589"/>
      <c r="N1538" s="2589"/>
      <c r="O1538" s="2589"/>
      <c r="P1538" s="2346"/>
      <c r="Q1538" s="2589"/>
      <c r="R1538" s="2347"/>
      <c r="S1538" s="2347"/>
      <c r="T1538" s="2348"/>
      <c r="U1538" s="2348"/>
      <c r="V1538" s="2348"/>
      <c r="W1538" s="2347"/>
      <c r="X1538" s="2347"/>
      <c r="Y1538" s="2589"/>
      <c r="Z1538" s="2589"/>
      <c r="AA1538" s="2589"/>
      <c r="AB1538" s="2589"/>
      <c r="AC1538" s="2589"/>
    </row>
    <row r="1539" spans="1:29">
      <c r="A1539" s="2589"/>
      <c r="B1539" s="2346"/>
      <c r="C1539" s="2589"/>
      <c r="D1539" s="2589"/>
      <c r="E1539" s="2345"/>
      <c r="F1539" s="2589"/>
      <c r="G1539" s="2346"/>
      <c r="H1539" s="2589"/>
      <c r="I1539" s="2589"/>
      <c r="J1539" s="2589"/>
      <c r="K1539" s="2347"/>
      <c r="L1539" s="2589"/>
      <c r="M1539" s="2589"/>
      <c r="N1539" s="2589"/>
      <c r="O1539" s="2589"/>
      <c r="P1539" s="2346"/>
      <c r="Q1539" s="2589"/>
      <c r="R1539" s="2347"/>
      <c r="S1539" s="2347"/>
      <c r="T1539" s="2348"/>
      <c r="U1539" s="2348"/>
      <c r="V1539" s="2348"/>
      <c r="W1539" s="2347"/>
      <c r="X1539" s="2347"/>
      <c r="Y1539" s="2589"/>
      <c r="Z1539" s="2589"/>
      <c r="AA1539" s="2589"/>
      <c r="AB1539" s="2589"/>
      <c r="AC1539" s="2589"/>
    </row>
    <row r="1540" spans="1:29">
      <c r="A1540" s="2589"/>
      <c r="B1540" s="2346"/>
      <c r="C1540" s="2589"/>
      <c r="D1540" s="2589"/>
      <c r="E1540" s="2345"/>
      <c r="F1540" s="2589"/>
      <c r="G1540" s="2346"/>
      <c r="H1540" s="2589"/>
      <c r="I1540" s="2589"/>
      <c r="J1540" s="2589"/>
      <c r="K1540" s="2347"/>
      <c r="L1540" s="2589"/>
      <c r="M1540" s="2589"/>
      <c r="N1540" s="2589"/>
      <c r="O1540" s="2589"/>
      <c r="P1540" s="2346"/>
      <c r="Q1540" s="2589"/>
      <c r="R1540" s="2347"/>
      <c r="S1540" s="2347"/>
      <c r="T1540" s="2348"/>
      <c r="U1540" s="2348"/>
      <c r="V1540" s="2348"/>
      <c r="W1540" s="2347"/>
      <c r="X1540" s="2347"/>
      <c r="Y1540" s="2589"/>
      <c r="Z1540" s="2589"/>
      <c r="AA1540" s="2589"/>
      <c r="AB1540" s="2589"/>
      <c r="AC1540" s="2589"/>
    </row>
    <row r="1541" spans="1:29">
      <c r="A1541" s="2589"/>
      <c r="B1541" s="2346"/>
      <c r="C1541" s="2589"/>
      <c r="D1541" s="2589"/>
      <c r="E1541" s="2345"/>
      <c r="F1541" s="2589"/>
      <c r="G1541" s="2346"/>
      <c r="H1541" s="2589"/>
      <c r="I1541" s="2589"/>
      <c r="J1541" s="2589"/>
      <c r="K1541" s="2347"/>
      <c r="L1541" s="2589"/>
      <c r="M1541" s="2589"/>
      <c r="N1541" s="2589"/>
      <c r="O1541" s="2589"/>
      <c r="P1541" s="2346"/>
      <c r="Q1541" s="2589"/>
      <c r="R1541" s="2347"/>
      <c r="S1541" s="2347"/>
      <c r="T1541" s="2348"/>
      <c r="U1541" s="2348"/>
      <c r="V1541" s="2348"/>
      <c r="W1541" s="2347"/>
      <c r="X1541" s="2347"/>
      <c r="Y1541" s="2589"/>
      <c r="Z1541" s="2589"/>
      <c r="AA1541" s="2589"/>
      <c r="AB1541" s="2589"/>
      <c r="AC1541" s="2589"/>
    </row>
    <row r="1542" spans="1:29">
      <c r="A1542" s="2589"/>
      <c r="B1542" s="2346"/>
      <c r="C1542" s="2589"/>
      <c r="D1542" s="2589"/>
      <c r="E1542" s="2345"/>
      <c r="F1542" s="2589"/>
      <c r="G1542" s="2346"/>
      <c r="H1542" s="2589"/>
      <c r="I1542" s="2589"/>
      <c r="J1542" s="2589"/>
      <c r="K1542" s="2347"/>
      <c r="L1542" s="2589"/>
      <c r="M1542" s="2589"/>
      <c r="N1542" s="2589"/>
      <c r="O1542" s="2589"/>
      <c r="P1542" s="2346"/>
      <c r="Q1542" s="2589"/>
      <c r="R1542" s="2347"/>
      <c r="S1542" s="2347"/>
      <c r="T1542" s="2348"/>
      <c r="U1542" s="2348"/>
      <c r="V1542" s="2348"/>
      <c r="W1542" s="2347"/>
      <c r="X1542" s="2347"/>
      <c r="Y1542" s="2589"/>
      <c r="Z1542" s="2589"/>
      <c r="AA1542" s="2589"/>
      <c r="AB1542" s="2589"/>
      <c r="AC1542" s="2589"/>
    </row>
    <row r="1543" spans="1:29">
      <c r="A1543" s="2589"/>
      <c r="B1543" s="2346"/>
      <c r="C1543" s="2589"/>
      <c r="D1543" s="2589"/>
      <c r="E1543" s="2345"/>
      <c r="F1543" s="2589"/>
      <c r="G1543" s="2346"/>
      <c r="H1543" s="2589"/>
      <c r="I1543" s="2589"/>
      <c r="J1543" s="2589"/>
      <c r="K1543" s="2347"/>
      <c r="L1543" s="2589"/>
      <c r="M1543" s="2589"/>
      <c r="N1543" s="2589"/>
      <c r="O1543" s="2589"/>
      <c r="P1543" s="2346"/>
      <c r="Q1543" s="2589"/>
      <c r="R1543" s="2347"/>
      <c r="S1543" s="2347"/>
      <c r="T1543" s="2348"/>
      <c r="U1543" s="2348"/>
      <c r="V1543" s="2348"/>
      <c r="W1543" s="2347"/>
      <c r="X1543" s="2347"/>
      <c r="Y1543" s="2589"/>
      <c r="Z1543" s="2589"/>
      <c r="AA1543" s="2589"/>
      <c r="AB1543" s="2589"/>
      <c r="AC1543" s="2589"/>
    </row>
    <row r="1544" spans="1:29">
      <c r="A1544" s="2589"/>
      <c r="B1544" s="2346"/>
      <c r="C1544" s="2589"/>
      <c r="D1544" s="2589"/>
      <c r="E1544" s="2345"/>
      <c r="F1544" s="2589"/>
      <c r="G1544" s="2346"/>
      <c r="H1544" s="2589"/>
      <c r="I1544" s="2589"/>
      <c r="J1544" s="2589"/>
      <c r="K1544" s="2347"/>
      <c r="L1544" s="2589"/>
      <c r="M1544" s="2589"/>
      <c r="N1544" s="2589"/>
      <c r="O1544" s="2589"/>
      <c r="P1544" s="2346"/>
      <c r="Q1544" s="2589"/>
      <c r="R1544" s="2347"/>
      <c r="S1544" s="2347"/>
      <c r="T1544" s="2348"/>
      <c r="U1544" s="2348"/>
      <c r="V1544" s="2348"/>
      <c r="W1544" s="2347"/>
      <c r="X1544" s="2347"/>
      <c r="Y1544" s="2589"/>
      <c r="Z1544" s="2589"/>
      <c r="AA1544" s="2589"/>
      <c r="AB1544" s="2589"/>
      <c r="AC1544" s="2589"/>
    </row>
    <row r="1545" spans="1:29">
      <c r="A1545" s="2589"/>
      <c r="B1545" s="2346"/>
      <c r="C1545" s="2589"/>
      <c r="D1545" s="2589"/>
      <c r="E1545" s="2345"/>
      <c r="F1545" s="2589"/>
      <c r="G1545" s="2346"/>
      <c r="H1545" s="2589"/>
      <c r="I1545" s="2589"/>
      <c r="J1545" s="2589"/>
      <c r="K1545" s="2347"/>
      <c r="L1545" s="2589"/>
      <c r="M1545" s="2589"/>
      <c r="N1545" s="2589"/>
      <c r="O1545" s="2589"/>
      <c r="P1545" s="2346"/>
      <c r="Q1545" s="2589"/>
      <c r="R1545" s="2347"/>
      <c r="S1545" s="2347"/>
      <c r="T1545" s="2348"/>
      <c r="U1545" s="2348"/>
      <c r="V1545" s="2348"/>
      <c r="W1545" s="2347"/>
      <c r="X1545" s="2347"/>
      <c r="Y1545" s="2589"/>
      <c r="Z1545" s="2589"/>
      <c r="AA1545" s="2589"/>
      <c r="AB1545" s="2589"/>
      <c r="AC1545" s="2589"/>
    </row>
    <row r="1546" spans="1:29">
      <c r="A1546" s="2589"/>
      <c r="B1546" s="2346"/>
      <c r="C1546" s="2589"/>
      <c r="D1546" s="2589"/>
      <c r="E1546" s="2345"/>
      <c r="F1546" s="2589"/>
      <c r="G1546" s="2346"/>
      <c r="H1546" s="2589"/>
      <c r="I1546" s="2589"/>
      <c r="J1546" s="2589"/>
      <c r="K1546" s="2347"/>
      <c r="L1546" s="2589"/>
      <c r="M1546" s="2589"/>
      <c r="N1546" s="2589"/>
      <c r="O1546" s="2589"/>
      <c r="P1546" s="2346"/>
      <c r="Q1546" s="2589"/>
      <c r="R1546" s="2347"/>
      <c r="S1546" s="2347"/>
      <c r="T1546" s="2348"/>
      <c r="U1546" s="2348"/>
      <c r="V1546" s="2348"/>
      <c r="W1546" s="2347"/>
      <c r="X1546" s="2347"/>
      <c r="Y1546" s="2589"/>
      <c r="Z1546" s="2589"/>
      <c r="AA1546" s="2589"/>
      <c r="AB1546" s="2589"/>
      <c r="AC1546" s="2589"/>
    </row>
    <row r="1547" spans="1:29">
      <c r="A1547" s="2589"/>
      <c r="B1547" s="2346"/>
      <c r="C1547" s="2589"/>
      <c r="D1547" s="2589"/>
      <c r="E1547" s="2345"/>
      <c r="F1547" s="2589"/>
      <c r="G1547" s="2346"/>
      <c r="H1547" s="2589"/>
      <c r="I1547" s="2589"/>
      <c r="J1547" s="2589"/>
      <c r="K1547" s="2347"/>
      <c r="L1547" s="2589"/>
      <c r="M1547" s="2589"/>
      <c r="N1547" s="2589"/>
      <c r="O1547" s="2589"/>
      <c r="P1547" s="2346"/>
      <c r="Q1547" s="2589"/>
      <c r="R1547" s="2347"/>
      <c r="S1547" s="2347"/>
      <c r="T1547" s="2348"/>
      <c r="U1547" s="2348"/>
      <c r="V1547" s="2348"/>
      <c r="W1547" s="2347"/>
      <c r="X1547" s="2347"/>
      <c r="Y1547" s="2589"/>
      <c r="Z1547" s="2589"/>
      <c r="AA1547" s="2589"/>
      <c r="AB1547" s="2589"/>
      <c r="AC1547" s="2589"/>
    </row>
    <row r="1548" spans="1:29">
      <c r="A1548" s="2589"/>
      <c r="B1548" s="2346"/>
      <c r="C1548" s="2589"/>
      <c r="D1548" s="2589"/>
      <c r="E1548" s="2345"/>
      <c r="F1548" s="2589"/>
      <c r="G1548" s="2346"/>
      <c r="H1548" s="2589"/>
      <c r="I1548" s="2589"/>
      <c r="J1548" s="2589"/>
      <c r="K1548" s="2347"/>
      <c r="L1548" s="2589"/>
      <c r="M1548" s="2589"/>
      <c r="N1548" s="2589"/>
      <c r="O1548" s="2589"/>
      <c r="P1548" s="2346"/>
      <c r="Q1548" s="2589"/>
      <c r="R1548" s="2347"/>
      <c r="S1548" s="2347"/>
      <c r="T1548" s="2348"/>
      <c r="U1548" s="2348"/>
      <c r="V1548" s="2348"/>
      <c r="W1548" s="2347"/>
      <c r="X1548" s="2347"/>
      <c r="Y1548" s="2589"/>
      <c r="Z1548" s="2589"/>
      <c r="AA1548" s="2589"/>
      <c r="AB1548" s="2589"/>
      <c r="AC1548" s="2589"/>
    </row>
    <row r="1549" spans="1:29">
      <c r="A1549" s="2589"/>
      <c r="B1549" s="2346"/>
      <c r="C1549" s="2589"/>
      <c r="D1549" s="2589"/>
      <c r="E1549" s="2345"/>
      <c r="F1549" s="2589"/>
      <c r="G1549" s="2346"/>
      <c r="H1549" s="2589"/>
      <c r="I1549" s="2589"/>
      <c r="J1549" s="2589"/>
      <c r="K1549" s="2347"/>
      <c r="L1549" s="2589"/>
      <c r="M1549" s="2589"/>
      <c r="N1549" s="2589"/>
      <c r="O1549" s="2589"/>
      <c r="P1549" s="2346"/>
      <c r="Q1549" s="2589"/>
      <c r="R1549" s="2347"/>
      <c r="S1549" s="2347"/>
      <c r="T1549" s="2348"/>
      <c r="U1549" s="2348"/>
      <c r="V1549" s="2348"/>
      <c r="W1549" s="2347"/>
      <c r="X1549" s="2347"/>
      <c r="Y1549" s="2589"/>
      <c r="Z1549" s="2589"/>
      <c r="AA1549" s="2589"/>
      <c r="AB1549" s="2589"/>
      <c r="AC1549" s="2589"/>
    </row>
    <row r="1550" spans="1:29">
      <c r="A1550" s="2589"/>
      <c r="B1550" s="2346"/>
      <c r="C1550" s="2589"/>
      <c r="D1550" s="2589"/>
      <c r="E1550" s="2345"/>
      <c r="F1550" s="2589"/>
      <c r="G1550" s="2346"/>
      <c r="H1550" s="2589"/>
      <c r="I1550" s="2589"/>
      <c r="J1550" s="2589"/>
      <c r="K1550" s="2347"/>
      <c r="L1550" s="2589"/>
      <c r="M1550" s="2589"/>
      <c r="N1550" s="2589"/>
      <c r="O1550" s="2589"/>
      <c r="P1550" s="2346"/>
      <c r="Q1550" s="2589"/>
      <c r="R1550" s="2347"/>
      <c r="S1550" s="2347"/>
      <c r="T1550" s="2348"/>
      <c r="U1550" s="2348"/>
      <c r="V1550" s="2348"/>
      <c r="W1550" s="2347"/>
      <c r="X1550" s="2347"/>
      <c r="Y1550" s="2589"/>
      <c r="Z1550" s="2589"/>
      <c r="AA1550" s="2589"/>
      <c r="AB1550" s="2589"/>
      <c r="AC1550" s="2589"/>
    </row>
    <row r="1551" spans="1:29">
      <c r="A1551" s="2589"/>
      <c r="B1551" s="2346"/>
      <c r="C1551" s="2589"/>
      <c r="D1551" s="2589"/>
      <c r="E1551" s="2345"/>
      <c r="F1551" s="2589"/>
      <c r="G1551" s="2346"/>
      <c r="H1551" s="2589"/>
      <c r="I1551" s="2589"/>
      <c r="J1551" s="2589"/>
      <c r="K1551" s="2347"/>
      <c r="L1551" s="2589"/>
      <c r="M1551" s="2589"/>
      <c r="N1551" s="2589"/>
      <c r="O1551" s="2589"/>
      <c r="P1551" s="2346"/>
      <c r="Q1551" s="2589"/>
      <c r="R1551" s="2347"/>
      <c r="S1551" s="2347"/>
      <c r="T1551" s="2348"/>
      <c r="U1551" s="2348"/>
      <c r="V1551" s="2348"/>
      <c r="W1551" s="2347"/>
      <c r="X1551" s="2347"/>
      <c r="Y1551" s="2589"/>
      <c r="Z1551" s="2589"/>
      <c r="AA1551" s="2589"/>
      <c r="AB1551" s="2589"/>
      <c r="AC1551" s="2589"/>
    </row>
    <row r="1552" spans="1:29">
      <c r="A1552" s="2589"/>
      <c r="B1552" s="2346"/>
      <c r="C1552" s="2589"/>
      <c r="D1552" s="2589"/>
      <c r="E1552" s="2345"/>
      <c r="F1552" s="2589"/>
      <c r="G1552" s="2346"/>
      <c r="H1552" s="2589"/>
      <c r="I1552" s="2589"/>
      <c r="J1552" s="2589"/>
      <c r="K1552" s="2347"/>
      <c r="L1552" s="2589"/>
      <c r="M1552" s="2589"/>
      <c r="N1552" s="2589"/>
      <c r="O1552" s="2589"/>
      <c r="P1552" s="2346"/>
      <c r="Q1552" s="2589"/>
      <c r="R1552" s="2347"/>
      <c r="S1552" s="2347"/>
      <c r="T1552" s="2348"/>
      <c r="U1552" s="2348"/>
      <c r="V1552" s="2348"/>
      <c r="W1552" s="2347"/>
      <c r="X1552" s="2347"/>
      <c r="Y1552" s="2589"/>
      <c r="Z1552" s="2589"/>
      <c r="AA1552" s="2589"/>
      <c r="AB1552" s="2589"/>
      <c r="AC1552" s="2589"/>
    </row>
    <row r="1553" spans="1:29">
      <c r="A1553" s="2589"/>
      <c r="B1553" s="2346"/>
      <c r="C1553" s="2589"/>
      <c r="D1553" s="2589"/>
      <c r="E1553" s="2345"/>
      <c r="F1553" s="2589"/>
      <c r="G1553" s="2346"/>
      <c r="H1553" s="2589"/>
      <c r="I1553" s="2589"/>
      <c r="J1553" s="2589"/>
      <c r="K1553" s="2347"/>
      <c r="L1553" s="2589"/>
      <c r="M1553" s="2589"/>
      <c r="N1553" s="2589"/>
      <c r="O1553" s="2589"/>
      <c r="P1553" s="2346"/>
      <c r="Q1553" s="2589"/>
      <c r="R1553" s="2347"/>
      <c r="S1553" s="2347"/>
      <c r="T1553" s="2348"/>
      <c r="U1553" s="2348"/>
      <c r="V1553" s="2348"/>
      <c r="W1553" s="2347"/>
      <c r="X1553" s="2347"/>
      <c r="Y1553" s="2589"/>
      <c r="Z1553" s="2589"/>
      <c r="AA1553" s="2589"/>
      <c r="AB1553" s="2589"/>
      <c r="AC1553" s="2589"/>
    </row>
    <row r="1554" spans="1:29">
      <c r="A1554" s="2589"/>
      <c r="B1554" s="2346"/>
      <c r="C1554" s="2589"/>
      <c r="D1554" s="2589"/>
      <c r="E1554" s="2345"/>
      <c r="F1554" s="2589"/>
      <c r="G1554" s="2346"/>
      <c r="H1554" s="2589"/>
      <c r="I1554" s="2589"/>
      <c r="J1554" s="2589"/>
      <c r="K1554" s="2347"/>
      <c r="L1554" s="2589"/>
      <c r="M1554" s="2589"/>
      <c r="N1554" s="2589"/>
      <c r="O1554" s="2589"/>
      <c r="P1554" s="2346"/>
      <c r="Q1554" s="2589"/>
      <c r="R1554" s="2347"/>
      <c r="S1554" s="2347"/>
      <c r="T1554" s="2348"/>
      <c r="U1554" s="2348"/>
      <c r="V1554" s="2348"/>
      <c r="W1554" s="2347"/>
      <c r="X1554" s="2347"/>
      <c r="Y1554" s="2589"/>
      <c r="Z1554" s="2589"/>
      <c r="AA1554" s="2589"/>
      <c r="AB1554" s="2589"/>
      <c r="AC1554" s="2589"/>
    </row>
    <row r="1555" spans="1:29">
      <c r="A1555" s="2589"/>
      <c r="B1555" s="2346"/>
      <c r="C1555" s="2589"/>
      <c r="D1555" s="2589"/>
      <c r="E1555" s="2345"/>
      <c r="F1555" s="2589"/>
      <c r="G1555" s="2346"/>
      <c r="H1555" s="2589"/>
      <c r="I1555" s="2589"/>
      <c r="J1555" s="2589"/>
      <c r="K1555" s="2347"/>
      <c r="L1555" s="2589"/>
      <c r="M1555" s="2589"/>
      <c r="N1555" s="2589"/>
      <c r="O1555" s="2589"/>
      <c r="P1555" s="2346"/>
      <c r="Q1555" s="2589"/>
      <c r="R1555" s="2347"/>
      <c r="S1555" s="2347"/>
      <c r="T1555" s="2348"/>
      <c r="U1555" s="2348"/>
      <c r="V1555" s="2348"/>
      <c r="W1555" s="2347"/>
      <c r="X1555" s="2347"/>
      <c r="Y1555" s="2589"/>
      <c r="Z1555" s="2589"/>
      <c r="AA1555" s="2589"/>
      <c r="AB1555" s="2589"/>
      <c r="AC1555" s="2589"/>
    </row>
    <row r="1556" spans="1:29">
      <c r="A1556" s="2589"/>
      <c r="B1556" s="2346"/>
      <c r="C1556" s="2589"/>
      <c r="D1556" s="2589"/>
      <c r="E1556" s="2345"/>
      <c r="F1556" s="2589"/>
      <c r="G1556" s="2346"/>
      <c r="H1556" s="2589"/>
      <c r="I1556" s="2589"/>
      <c r="J1556" s="2589"/>
      <c r="K1556" s="2347"/>
      <c r="L1556" s="2589"/>
      <c r="M1556" s="2589"/>
      <c r="N1556" s="2589"/>
      <c r="O1556" s="2589"/>
      <c r="P1556" s="2346"/>
      <c r="Q1556" s="2589"/>
      <c r="R1556" s="2347"/>
      <c r="S1556" s="2347"/>
      <c r="T1556" s="2348"/>
      <c r="U1556" s="2348"/>
      <c r="V1556" s="2348"/>
      <c r="W1556" s="2347"/>
      <c r="X1556" s="2347"/>
      <c r="Y1556" s="2589"/>
      <c r="Z1556" s="2589"/>
      <c r="AA1556" s="2589"/>
      <c r="AB1556" s="2589"/>
      <c r="AC1556" s="2589"/>
    </row>
    <row r="1557" spans="1:29">
      <c r="A1557" s="2589"/>
      <c r="B1557" s="2346"/>
      <c r="C1557" s="2589"/>
      <c r="D1557" s="2589"/>
      <c r="E1557" s="2345"/>
      <c r="F1557" s="2589"/>
      <c r="G1557" s="2346"/>
      <c r="H1557" s="2589"/>
      <c r="I1557" s="2589"/>
      <c r="J1557" s="2589"/>
      <c r="K1557" s="2347"/>
      <c r="L1557" s="2589"/>
      <c r="M1557" s="2589"/>
      <c r="N1557" s="2589"/>
      <c r="O1557" s="2589"/>
      <c r="P1557" s="2346"/>
      <c r="Q1557" s="2589"/>
      <c r="R1557" s="2347"/>
      <c r="S1557" s="2347"/>
      <c r="T1557" s="2348"/>
      <c r="U1557" s="2348"/>
      <c r="V1557" s="2348"/>
      <c r="W1557" s="2347"/>
      <c r="X1557" s="2347"/>
      <c r="Y1557" s="2589"/>
      <c r="Z1557" s="2589"/>
      <c r="AA1557" s="2589"/>
      <c r="AB1557" s="2589"/>
      <c r="AC1557" s="2589"/>
    </row>
    <row r="1558" spans="1:29">
      <c r="A1558" s="2589"/>
      <c r="B1558" s="2346"/>
      <c r="C1558" s="2589"/>
      <c r="D1558" s="2589"/>
      <c r="E1558" s="2345"/>
      <c r="F1558" s="2589"/>
      <c r="G1558" s="2346"/>
      <c r="H1558" s="2589"/>
      <c r="I1558" s="2589"/>
      <c r="J1558" s="2589"/>
      <c r="K1558" s="2347"/>
      <c r="L1558" s="2589"/>
      <c r="M1558" s="2589"/>
      <c r="N1558" s="2589"/>
      <c r="O1558" s="2589"/>
      <c r="P1558" s="2346"/>
      <c r="Q1558" s="2589"/>
      <c r="R1558" s="2347"/>
      <c r="S1558" s="2347"/>
      <c r="T1558" s="2348"/>
      <c r="U1558" s="2348"/>
      <c r="V1558" s="2348"/>
      <c r="W1558" s="2347"/>
      <c r="X1558" s="2347"/>
      <c r="Y1558" s="2589"/>
      <c r="Z1558" s="2589"/>
      <c r="AA1558" s="2589"/>
      <c r="AB1558" s="2589"/>
      <c r="AC1558" s="2589"/>
    </row>
    <row r="1559" spans="1:29">
      <c r="A1559" s="2589"/>
      <c r="B1559" s="2346"/>
      <c r="C1559" s="2589"/>
      <c r="D1559" s="2589"/>
      <c r="E1559" s="2345"/>
      <c r="F1559" s="2589"/>
      <c r="G1559" s="2346"/>
      <c r="H1559" s="2589"/>
      <c r="I1559" s="2589"/>
      <c r="J1559" s="2589"/>
      <c r="K1559" s="2347"/>
      <c r="L1559" s="2589"/>
      <c r="M1559" s="2589"/>
      <c r="N1559" s="2589"/>
      <c r="O1559" s="2589"/>
      <c r="P1559" s="2346"/>
      <c r="Q1559" s="2589"/>
      <c r="R1559" s="2347"/>
      <c r="S1559" s="2347"/>
      <c r="T1559" s="2348"/>
      <c r="U1559" s="2348"/>
      <c r="V1559" s="2348"/>
      <c r="W1559" s="2347"/>
      <c r="X1559" s="2347"/>
      <c r="Y1559" s="2589"/>
      <c r="Z1559" s="2589"/>
      <c r="AA1559" s="2589"/>
      <c r="AB1559" s="2589"/>
      <c r="AC1559" s="2589"/>
    </row>
    <row r="1560" spans="1:29">
      <c r="A1560" s="2589"/>
      <c r="B1560" s="2346"/>
      <c r="C1560" s="2589"/>
      <c r="D1560" s="2589"/>
      <c r="E1560" s="2345"/>
      <c r="F1560" s="2589"/>
      <c r="G1560" s="2346"/>
      <c r="H1560" s="2589"/>
      <c r="I1560" s="2589"/>
      <c r="J1560" s="2589"/>
      <c r="K1560" s="2347"/>
      <c r="L1560" s="2589"/>
      <c r="M1560" s="2589"/>
      <c r="N1560" s="2589"/>
      <c r="O1560" s="2589"/>
      <c r="P1560" s="2346"/>
      <c r="Q1560" s="2589"/>
      <c r="R1560" s="2347"/>
      <c r="S1560" s="2347"/>
      <c r="T1560" s="2348"/>
      <c r="U1560" s="2348"/>
      <c r="V1560" s="2348"/>
      <c r="W1560" s="2347"/>
      <c r="X1560" s="2347"/>
      <c r="Y1560" s="2589"/>
      <c r="Z1560" s="2589"/>
      <c r="AA1560" s="2589"/>
      <c r="AB1560" s="2589"/>
      <c r="AC1560" s="2589"/>
    </row>
    <row r="1561" spans="1:29">
      <c r="A1561" s="2589"/>
      <c r="B1561" s="2346"/>
      <c r="C1561" s="2589"/>
      <c r="D1561" s="2589"/>
      <c r="E1561" s="2345"/>
      <c r="F1561" s="2589"/>
      <c r="G1561" s="2346"/>
      <c r="H1561" s="2589"/>
      <c r="I1561" s="2589"/>
      <c r="J1561" s="2589"/>
      <c r="K1561" s="2347"/>
      <c r="L1561" s="2589"/>
      <c r="M1561" s="2589"/>
      <c r="N1561" s="2589"/>
      <c r="O1561" s="2589"/>
      <c r="P1561" s="2346"/>
      <c r="Q1561" s="2589"/>
      <c r="R1561" s="2347"/>
      <c r="S1561" s="2347"/>
      <c r="T1561" s="2348"/>
      <c r="U1561" s="2348"/>
      <c r="V1561" s="2348"/>
      <c r="W1561" s="2347"/>
      <c r="X1561" s="2347"/>
      <c r="Y1561" s="2589"/>
      <c r="Z1561" s="2589"/>
      <c r="AA1561" s="2589"/>
      <c r="AB1561" s="2589"/>
      <c r="AC1561" s="2589"/>
    </row>
    <row r="1562" spans="1:29">
      <c r="A1562" s="2589"/>
      <c r="B1562" s="2346"/>
      <c r="C1562" s="2589"/>
      <c r="D1562" s="2589"/>
      <c r="E1562" s="2345"/>
      <c r="F1562" s="2589"/>
      <c r="G1562" s="2346"/>
      <c r="H1562" s="2589"/>
      <c r="I1562" s="2589"/>
      <c r="J1562" s="2589"/>
      <c r="K1562" s="2347"/>
      <c r="L1562" s="2589"/>
      <c r="M1562" s="2589"/>
      <c r="N1562" s="2589"/>
      <c r="O1562" s="2589"/>
      <c r="P1562" s="2346"/>
      <c r="Q1562" s="2589"/>
      <c r="R1562" s="2347"/>
      <c r="S1562" s="2347"/>
      <c r="T1562" s="2348"/>
      <c r="U1562" s="2348"/>
      <c r="V1562" s="2348"/>
      <c r="W1562" s="2347"/>
      <c r="X1562" s="2347"/>
      <c r="Y1562" s="2589"/>
      <c r="Z1562" s="2589"/>
      <c r="AA1562" s="2589"/>
      <c r="AB1562" s="2589"/>
      <c r="AC1562" s="2589"/>
    </row>
    <row r="1563" spans="1:29">
      <c r="A1563" s="2589"/>
      <c r="B1563" s="2346"/>
      <c r="C1563" s="2589"/>
      <c r="D1563" s="2589"/>
      <c r="E1563" s="2345"/>
      <c r="F1563" s="2589"/>
      <c r="G1563" s="2346"/>
      <c r="H1563" s="2589"/>
      <c r="I1563" s="2589"/>
      <c r="J1563" s="2589"/>
      <c r="K1563" s="2347"/>
      <c r="L1563" s="2589"/>
      <c r="M1563" s="2589"/>
      <c r="N1563" s="2589"/>
      <c r="O1563" s="2589"/>
      <c r="P1563" s="2346"/>
      <c r="Q1563" s="2589"/>
      <c r="R1563" s="2347"/>
      <c r="S1563" s="2347"/>
      <c r="T1563" s="2348"/>
      <c r="U1563" s="2348"/>
      <c r="V1563" s="2348"/>
      <c r="W1563" s="2347"/>
      <c r="X1563" s="2347"/>
      <c r="Y1563" s="2589"/>
      <c r="Z1563" s="2589"/>
      <c r="AA1563" s="2589"/>
      <c r="AB1563" s="2589"/>
      <c r="AC1563" s="2589"/>
    </row>
    <row r="1564" spans="1:29">
      <c r="A1564" s="2589"/>
      <c r="B1564" s="2346"/>
      <c r="C1564" s="2589"/>
      <c r="D1564" s="2589"/>
      <c r="E1564" s="2345"/>
      <c r="F1564" s="2589"/>
      <c r="G1564" s="2346"/>
      <c r="H1564" s="2589"/>
      <c r="I1564" s="2589"/>
      <c r="J1564" s="2589"/>
      <c r="K1564" s="2347"/>
      <c r="L1564" s="2589"/>
      <c r="M1564" s="2589"/>
      <c r="N1564" s="2589"/>
      <c r="O1564" s="2589"/>
      <c r="P1564" s="2346"/>
      <c r="Q1564" s="2589"/>
      <c r="R1564" s="2347"/>
      <c r="S1564" s="2347"/>
      <c r="T1564" s="2348"/>
      <c r="U1564" s="2348"/>
      <c r="V1564" s="2348"/>
      <c r="W1564" s="2347"/>
      <c r="X1564" s="2347"/>
      <c r="Y1564" s="2589"/>
      <c r="Z1564" s="2589"/>
      <c r="AA1564" s="2589"/>
      <c r="AB1564" s="2589"/>
      <c r="AC1564" s="2589"/>
    </row>
    <row r="1565" spans="1:29">
      <c r="A1565" s="2589"/>
      <c r="B1565" s="2346"/>
      <c r="C1565" s="2589"/>
      <c r="D1565" s="2589"/>
      <c r="E1565" s="2345"/>
      <c r="F1565" s="2589"/>
      <c r="G1565" s="2346"/>
      <c r="H1565" s="2589"/>
      <c r="I1565" s="2589"/>
      <c r="J1565" s="2589"/>
      <c r="K1565" s="2347"/>
      <c r="L1565" s="2589"/>
      <c r="M1565" s="2589"/>
      <c r="N1565" s="2589"/>
      <c r="O1565" s="2589"/>
      <c r="P1565" s="2346"/>
      <c r="Q1565" s="2589"/>
      <c r="R1565" s="2347"/>
      <c r="S1565" s="2347"/>
      <c r="T1565" s="2348"/>
      <c r="U1565" s="2348"/>
      <c r="V1565" s="2348"/>
      <c r="W1565" s="2347"/>
      <c r="X1565" s="2347"/>
      <c r="Y1565" s="2589"/>
      <c r="Z1565" s="2589"/>
      <c r="AA1565" s="2589"/>
      <c r="AB1565" s="2589"/>
      <c r="AC1565" s="2589"/>
    </row>
    <row r="1566" spans="1:29">
      <c r="A1566" s="2589"/>
      <c r="B1566" s="2346"/>
      <c r="C1566" s="2589"/>
      <c r="D1566" s="2589"/>
      <c r="E1566" s="2345"/>
      <c r="F1566" s="2589"/>
      <c r="G1566" s="2346"/>
      <c r="H1566" s="2589"/>
      <c r="I1566" s="2589"/>
      <c r="J1566" s="2589"/>
      <c r="K1566" s="2347"/>
      <c r="L1566" s="2589"/>
      <c r="M1566" s="2589"/>
      <c r="N1566" s="2589"/>
      <c r="O1566" s="2589"/>
      <c r="P1566" s="2346"/>
      <c r="Q1566" s="2589"/>
      <c r="R1566" s="2347"/>
      <c r="S1566" s="2347"/>
      <c r="T1566" s="2348"/>
      <c r="U1566" s="2348"/>
      <c r="V1566" s="2348"/>
      <c r="W1566" s="2347"/>
      <c r="X1566" s="2347"/>
      <c r="Y1566" s="2589"/>
      <c r="Z1566" s="2589"/>
      <c r="AA1566" s="2589"/>
      <c r="AB1566" s="2589"/>
      <c r="AC1566" s="2589"/>
    </row>
    <row r="1567" spans="1:29">
      <c r="A1567" s="2589"/>
      <c r="B1567" s="2346"/>
      <c r="C1567" s="2589"/>
      <c r="D1567" s="2589"/>
      <c r="E1567" s="2345"/>
      <c r="F1567" s="2589"/>
      <c r="G1567" s="2346"/>
      <c r="H1567" s="2589"/>
      <c r="I1567" s="2589"/>
      <c r="J1567" s="2589"/>
      <c r="K1567" s="2347"/>
      <c r="L1567" s="2589"/>
      <c r="M1567" s="2589"/>
      <c r="N1567" s="2589"/>
      <c r="O1567" s="2589"/>
      <c r="P1567" s="2346"/>
      <c r="Q1567" s="2589"/>
      <c r="R1567" s="2347"/>
      <c r="S1567" s="2347"/>
      <c r="T1567" s="2348"/>
      <c r="U1567" s="2348"/>
      <c r="V1567" s="2348"/>
      <c r="W1567" s="2347"/>
      <c r="X1567" s="2347"/>
      <c r="Y1567" s="2589"/>
      <c r="Z1567" s="2589"/>
      <c r="AA1567" s="2589"/>
      <c r="AB1567" s="2589"/>
      <c r="AC1567" s="2589"/>
    </row>
    <row r="1568" spans="1:29">
      <c r="A1568" s="2589"/>
      <c r="B1568" s="2346"/>
      <c r="C1568" s="2589"/>
      <c r="D1568" s="2589"/>
      <c r="E1568" s="2345"/>
      <c r="F1568" s="2589"/>
      <c r="G1568" s="2346"/>
      <c r="H1568" s="2589"/>
      <c r="I1568" s="2589"/>
      <c r="J1568" s="2589"/>
      <c r="K1568" s="2347"/>
      <c r="L1568" s="2589"/>
      <c r="M1568" s="2589"/>
      <c r="N1568" s="2589"/>
      <c r="O1568" s="2589"/>
      <c r="P1568" s="2346"/>
      <c r="Q1568" s="2589"/>
      <c r="R1568" s="2347"/>
      <c r="S1568" s="2347"/>
      <c r="T1568" s="2348"/>
      <c r="U1568" s="2348"/>
      <c r="V1568" s="2348"/>
      <c r="W1568" s="2347"/>
      <c r="X1568" s="2347"/>
      <c r="Y1568" s="2589"/>
      <c r="Z1568" s="2589"/>
      <c r="AA1568" s="2589"/>
      <c r="AB1568" s="2589"/>
      <c r="AC1568" s="2589"/>
    </row>
    <row r="1569" spans="1:29">
      <c r="A1569" s="2589"/>
      <c r="B1569" s="2346"/>
      <c r="C1569" s="2589"/>
      <c r="D1569" s="2589"/>
      <c r="E1569" s="2345"/>
      <c r="F1569" s="2589"/>
      <c r="G1569" s="2346"/>
      <c r="H1569" s="2589"/>
      <c r="I1569" s="2589"/>
      <c r="J1569" s="2589"/>
      <c r="K1569" s="2347"/>
      <c r="L1569" s="2589"/>
      <c r="M1569" s="2589"/>
      <c r="N1569" s="2589"/>
      <c r="O1569" s="2589"/>
      <c r="P1569" s="2346"/>
      <c r="Q1569" s="2589"/>
      <c r="R1569" s="2347"/>
      <c r="S1569" s="2347"/>
      <c r="T1569" s="2348"/>
      <c r="U1569" s="2348"/>
      <c r="V1569" s="2348"/>
      <c r="W1569" s="2347"/>
      <c r="X1569" s="2347"/>
      <c r="Y1569" s="2589"/>
      <c r="Z1569" s="2589"/>
      <c r="AA1569" s="2589"/>
      <c r="AB1569" s="2589"/>
      <c r="AC1569" s="2589"/>
    </row>
    <row r="1570" spans="1:29">
      <c r="A1570" s="2589"/>
      <c r="B1570" s="2346"/>
      <c r="C1570" s="2589"/>
      <c r="D1570" s="2589"/>
      <c r="E1570" s="2345"/>
      <c r="F1570" s="2589"/>
      <c r="G1570" s="2346"/>
      <c r="H1570" s="2589"/>
      <c r="I1570" s="2589"/>
      <c r="J1570" s="2589"/>
      <c r="K1570" s="2347"/>
      <c r="L1570" s="2589"/>
      <c r="M1570" s="2589"/>
      <c r="N1570" s="2589"/>
      <c r="O1570" s="2589"/>
      <c r="P1570" s="2346"/>
      <c r="Q1570" s="2589"/>
      <c r="R1570" s="2347"/>
      <c r="S1570" s="2347"/>
      <c r="T1570" s="2348"/>
      <c r="U1570" s="2348"/>
      <c r="V1570" s="2348"/>
      <c r="W1570" s="2347"/>
      <c r="X1570" s="2347"/>
      <c r="Y1570" s="2589"/>
      <c r="Z1570" s="2589"/>
      <c r="AA1570" s="2589"/>
      <c r="AB1570" s="2589"/>
      <c r="AC1570" s="2589"/>
    </row>
    <row r="1571" spans="1:29">
      <c r="A1571" s="2589"/>
      <c r="B1571" s="2346"/>
      <c r="C1571" s="2589"/>
      <c r="D1571" s="2589"/>
      <c r="E1571" s="2345"/>
      <c r="F1571" s="2589"/>
      <c r="G1571" s="2346"/>
      <c r="H1571" s="2589"/>
      <c r="I1571" s="2589"/>
      <c r="J1571" s="2589"/>
      <c r="K1571" s="2347"/>
      <c r="L1571" s="2589"/>
      <c r="M1571" s="2589"/>
      <c r="N1571" s="2589"/>
      <c r="O1571" s="2589"/>
      <c r="P1571" s="2346"/>
      <c r="Q1571" s="2589"/>
      <c r="R1571" s="2347"/>
      <c r="S1571" s="2347"/>
      <c r="T1571" s="2348"/>
      <c r="U1571" s="2348"/>
      <c r="V1571" s="2348"/>
      <c r="W1571" s="2347"/>
      <c r="X1571" s="2347"/>
      <c r="Y1571" s="2589"/>
      <c r="Z1571" s="2589"/>
      <c r="AA1571" s="2589"/>
      <c r="AB1571" s="2589"/>
      <c r="AC1571" s="2589"/>
    </row>
    <row r="1572" spans="1:29">
      <c r="A1572" s="2589"/>
      <c r="B1572" s="2346"/>
      <c r="C1572" s="2589"/>
      <c r="D1572" s="2589"/>
      <c r="E1572" s="2345"/>
      <c r="F1572" s="2589"/>
      <c r="G1572" s="2346"/>
      <c r="H1572" s="2589"/>
      <c r="I1572" s="2589"/>
      <c r="J1572" s="2589"/>
      <c r="K1572" s="2347"/>
      <c r="L1572" s="2589"/>
      <c r="M1572" s="2589"/>
      <c r="N1572" s="2589"/>
      <c r="O1572" s="2589"/>
      <c r="P1572" s="2346"/>
      <c r="Q1572" s="2589"/>
      <c r="R1572" s="2347"/>
      <c r="S1572" s="2347"/>
      <c r="T1572" s="2348"/>
      <c r="U1572" s="2348"/>
      <c r="V1572" s="2348"/>
      <c r="W1572" s="2347"/>
      <c r="X1572" s="2347"/>
      <c r="Y1572" s="2589"/>
      <c r="Z1572" s="2589"/>
      <c r="AA1572" s="2589"/>
      <c r="AB1572" s="2589"/>
      <c r="AC1572" s="2589"/>
    </row>
    <row r="1573" spans="1:29">
      <c r="A1573" s="2589"/>
      <c r="B1573" s="2346"/>
      <c r="C1573" s="2589"/>
      <c r="D1573" s="2589"/>
      <c r="E1573" s="2345"/>
      <c r="F1573" s="2589"/>
      <c r="G1573" s="2346"/>
      <c r="H1573" s="2589"/>
      <c r="I1573" s="2589"/>
      <c r="J1573" s="2589"/>
      <c r="K1573" s="2347"/>
      <c r="L1573" s="2589"/>
      <c r="M1573" s="2589"/>
      <c r="N1573" s="2589"/>
      <c r="O1573" s="2589"/>
      <c r="P1573" s="2346"/>
      <c r="Q1573" s="2589"/>
      <c r="R1573" s="2347"/>
      <c r="S1573" s="2347"/>
      <c r="T1573" s="2348"/>
      <c r="U1573" s="2348"/>
      <c r="V1573" s="2348"/>
      <c r="W1573" s="2347"/>
      <c r="X1573" s="2347"/>
      <c r="Y1573" s="2589"/>
      <c r="Z1573" s="2589"/>
      <c r="AA1573" s="2589"/>
      <c r="AB1573" s="2589"/>
      <c r="AC1573" s="2589"/>
    </row>
    <row r="1574" spans="1:29">
      <c r="A1574" s="2589"/>
      <c r="B1574" s="2346"/>
      <c r="C1574" s="2589"/>
      <c r="D1574" s="2589"/>
      <c r="E1574" s="2345"/>
      <c r="F1574" s="2589"/>
      <c r="G1574" s="2346"/>
      <c r="H1574" s="2589"/>
      <c r="I1574" s="2589"/>
      <c r="J1574" s="2589"/>
      <c r="K1574" s="2347"/>
      <c r="L1574" s="2589"/>
      <c r="M1574" s="2589"/>
      <c r="N1574" s="2589"/>
      <c r="O1574" s="2589"/>
      <c r="P1574" s="2346"/>
      <c r="Q1574" s="2589"/>
      <c r="R1574" s="2347"/>
      <c r="S1574" s="2347"/>
      <c r="T1574" s="2348"/>
      <c r="U1574" s="2348"/>
      <c r="V1574" s="2348"/>
      <c r="W1574" s="2347"/>
      <c r="X1574" s="2347"/>
      <c r="Y1574" s="2589"/>
      <c r="Z1574" s="2589"/>
      <c r="AA1574" s="2589"/>
      <c r="AB1574" s="2589"/>
      <c r="AC1574" s="2589"/>
    </row>
    <row r="1575" spans="1:29">
      <c r="A1575" s="2589"/>
      <c r="B1575" s="2346"/>
      <c r="C1575" s="2589"/>
      <c r="D1575" s="2589"/>
      <c r="E1575" s="2345"/>
      <c r="F1575" s="2589"/>
      <c r="G1575" s="2346"/>
      <c r="H1575" s="2589"/>
      <c r="I1575" s="2589"/>
      <c r="J1575" s="2589"/>
      <c r="K1575" s="2347"/>
      <c r="L1575" s="2589"/>
      <c r="M1575" s="2589"/>
      <c r="N1575" s="2589"/>
      <c r="O1575" s="2589"/>
      <c r="P1575" s="2346"/>
      <c r="Q1575" s="2589"/>
      <c r="R1575" s="2347"/>
      <c r="S1575" s="2347"/>
      <c r="T1575" s="2348"/>
      <c r="U1575" s="2348"/>
      <c r="V1575" s="2348"/>
      <c r="W1575" s="2347"/>
      <c r="X1575" s="2347"/>
      <c r="Y1575" s="2589"/>
      <c r="Z1575" s="2589"/>
      <c r="AA1575" s="2589"/>
      <c r="AB1575" s="2589"/>
      <c r="AC1575" s="2589"/>
    </row>
    <row r="1576" spans="1:29">
      <c r="A1576" s="2589"/>
      <c r="B1576" s="2346"/>
      <c r="C1576" s="2589"/>
      <c r="D1576" s="2589"/>
      <c r="E1576" s="2345"/>
      <c r="F1576" s="2589"/>
      <c r="G1576" s="2346"/>
      <c r="H1576" s="2589"/>
      <c r="I1576" s="2589"/>
      <c r="J1576" s="2589"/>
      <c r="K1576" s="2347"/>
      <c r="L1576" s="2589"/>
      <c r="M1576" s="2589"/>
      <c r="N1576" s="2589"/>
      <c r="O1576" s="2589"/>
      <c r="P1576" s="2346"/>
      <c r="Q1576" s="2589"/>
      <c r="R1576" s="2347"/>
      <c r="S1576" s="2347"/>
      <c r="T1576" s="2348"/>
      <c r="U1576" s="2348"/>
      <c r="V1576" s="2348"/>
      <c r="W1576" s="2347"/>
      <c r="X1576" s="2347"/>
      <c r="Y1576" s="2589"/>
      <c r="Z1576" s="2589"/>
      <c r="AA1576" s="2589"/>
      <c r="AB1576" s="2589"/>
      <c r="AC1576" s="2589"/>
    </row>
    <row r="1577" spans="1:29">
      <c r="A1577" s="2589"/>
      <c r="B1577" s="2346"/>
      <c r="C1577" s="2589"/>
      <c r="D1577" s="2589"/>
      <c r="E1577" s="2345"/>
      <c r="F1577" s="2589"/>
      <c r="G1577" s="2346"/>
      <c r="H1577" s="2589"/>
      <c r="I1577" s="2589"/>
      <c r="J1577" s="2589"/>
      <c r="K1577" s="2347"/>
      <c r="L1577" s="2589"/>
      <c r="M1577" s="2589"/>
      <c r="N1577" s="2589"/>
      <c r="O1577" s="2589"/>
      <c r="P1577" s="2346"/>
      <c r="Q1577" s="2589"/>
      <c r="R1577" s="2347"/>
      <c r="S1577" s="2347"/>
      <c r="T1577" s="2348"/>
      <c r="U1577" s="2348"/>
      <c r="V1577" s="2348"/>
      <c r="W1577" s="2347"/>
      <c r="X1577" s="2347"/>
      <c r="Y1577" s="2589"/>
      <c r="Z1577" s="2589"/>
      <c r="AA1577" s="2589"/>
      <c r="AB1577" s="2589"/>
      <c r="AC1577" s="2589"/>
    </row>
    <row r="1578" spans="1:29">
      <c r="A1578" s="2589"/>
      <c r="B1578" s="2346"/>
      <c r="C1578" s="2589"/>
      <c r="D1578" s="2589"/>
      <c r="E1578" s="2345"/>
      <c r="F1578" s="2589"/>
      <c r="G1578" s="2346"/>
      <c r="H1578" s="2589"/>
      <c r="I1578" s="2589"/>
      <c r="J1578" s="2589"/>
      <c r="K1578" s="2347"/>
      <c r="L1578" s="2589"/>
      <c r="M1578" s="2589"/>
      <c r="N1578" s="2589"/>
      <c r="O1578" s="2589"/>
      <c r="P1578" s="2346"/>
      <c r="Q1578" s="2589"/>
      <c r="R1578" s="2347"/>
      <c r="S1578" s="2347"/>
      <c r="T1578" s="2348"/>
      <c r="U1578" s="2348"/>
      <c r="V1578" s="2348"/>
      <c r="W1578" s="2347"/>
      <c r="X1578" s="2347"/>
      <c r="Y1578" s="2589"/>
      <c r="Z1578" s="2589"/>
      <c r="AA1578" s="2589"/>
      <c r="AB1578" s="2589"/>
      <c r="AC1578" s="2589"/>
    </row>
    <row r="1579" spans="1:29">
      <c r="A1579" s="2589"/>
      <c r="B1579" s="2346"/>
      <c r="C1579" s="2589"/>
      <c r="D1579" s="2589"/>
      <c r="E1579" s="2345"/>
      <c r="F1579" s="2589"/>
      <c r="G1579" s="2346"/>
      <c r="H1579" s="2589"/>
      <c r="I1579" s="2589"/>
      <c r="J1579" s="2589"/>
      <c r="K1579" s="2347"/>
      <c r="L1579" s="2589"/>
      <c r="M1579" s="2589"/>
      <c r="N1579" s="2589"/>
      <c r="O1579" s="2589"/>
      <c r="P1579" s="2346"/>
      <c r="Q1579" s="2589"/>
      <c r="R1579" s="2347"/>
      <c r="S1579" s="2347"/>
      <c r="T1579" s="2348"/>
      <c r="U1579" s="2348"/>
      <c r="V1579" s="2348"/>
      <c r="W1579" s="2347"/>
      <c r="X1579" s="2347"/>
      <c r="Y1579" s="2589"/>
      <c r="Z1579" s="2589"/>
      <c r="AA1579" s="2589"/>
      <c r="AB1579" s="2589"/>
      <c r="AC1579" s="2589"/>
    </row>
    <row r="1580" spans="1:29">
      <c r="A1580" s="2589"/>
      <c r="B1580" s="2346"/>
      <c r="C1580" s="2589"/>
      <c r="D1580" s="2589"/>
      <c r="E1580" s="2345"/>
      <c r="F1580" s="2589"/>
      <c r="G1580" s="2346"/>
      <c r="H1580" s="2589"/>
      <c r="I1580" s="2589"/>
      <c r="J1580" s="2589"/>
      <c r="K1580" s="2347"/>
      <c r="L1580" s="2589"/>
      <c r="M1580" s="2589"/>
      <c r="N1580" s="2589"/>
      <c r="O1580" s="2589"/>
      <c r="P1580" s="2346"/>
      <c r="Q1580" s="2589"/>
      <c r="R1580" s="2347"/>
      <c r="S1580" s="2347"/>
      <c r="T1580" s="2348"/>
      <c r="U1580" s="2348"/>
      <c r="V1580" s="2348"/>
      <c r="W1580" s="2347"/>
      <c r="X1580" s="2347"/>
      <c r="Y1580" s="2589"/>
      <c r="Z1580" s="2589"/>
      <c r="AA1580" s="2589"/>
      <c r="AB1580" s="2589"/>
      <c r="AC1580" s="2589"/>
    </row>
    <row r="1581" spans="1:29">
      <c r="A1581" s="2589"/>
      <c r="B1581" s="2346"/>
      <c r="C1581" s="2589"/>
      <c r="D1581" s="2589"/>
      <c r="E1581" s="2345"/>
      <c r="F1581" s="2589"/>
      <c r="G1581" s="2346"/>
      <c r="H1581" s="2589"/>
      <c r="I1581" s="2589"/>
      <c r="J1581" s="2589"/>
      <c r="K1581" s="2347"/>
      <c r="L1581" s="2589"/>
      <c r="M1581" s="2589"/>
      <c r="N1581" s="2589"/>
      <c r="O1581" s="2589"/>
      <c r="P1581" s="2346"/>
      <c r="Q1581" s="2589"/>
      <c r="R1581" s="2347"/>
      <c r="S1581" s="2347"/>
      <c r="T1581" s="2348"/>
      <c r="U1581" s="2348"/>
      <c r="V1581" s="2348"/>
      <c r="W1581" s="2347"/>
      <c r="X1581" s="2347"/>
      <c r="Y1581" s="2589"/>
      <c r="Z1581" s="2589"/>
      <c r="AA1581" s="2589"/>
      <c r="AB1581" s="2589"/>
      <c r="AC1581" s="2589"/>
    </row>
    <row r="1582" spans="1:29">
      <c r="A1582" s="2589"/>
      <c r="B1582" s="2346"/>
      <c r="C1582" s="2589"/>
      <c r="D1582" s="2589"/>
      <c r="E1582" s="2345"/>
      <c r="F1582" s="2589"/>
      <c r="G1582" s="2346"/>
      <c r="H1582" s="2589"/>
      <c r="I1582" s="2589"/>
      <c r="J1582" s="2589"/>
      <c r="K1582" s="2347"/>
      <c r="L1582" s="2589"/>
      <c r="M1582" s="2589"/>
      <c r="N1582" s="2589"/>
      <c r="O1582" s="2589"/>
      <c r="P1582" s="2346"/>
      <c r="Q1582" s="2589"/>
      <c r="R1582" s="2347"/>
      <c r="S1582" s="2347"/>
      <c r="T1582" s="2348"/>
      <c r="U1582" s="2348"/>
      <c r="V1582" s="2348"/>
      <c r="W1582" s="2347"/>
      <c r="X1582" s="2347"/>
      <c r="Y1582" s="2589"/>
      <c r="Z1582" s="2589"/>
      <c r="AA1582" s="2589"/>
      <c r="AB1582" s="2589"/>
      <c r="AC1582" s="2589"/>
    </row>
    <row r="1583" spans="1:29">
      <c r="A1583" s="2589"/>
      <c r="B1583" s="2346"/>
      <c r="C1583" s="2589"/>
      <c r="D1583" s="2589"/>
      <c r="E1583" s="2345"/>
      <c r="F1583" s="2589"/>
      <c r="G1583" s="2346"/>
      <c r="H1583" s="2589"/>
      <c r="I1583" s="2589"/>
      <c r="J1583" s="2589"/>
      <c r="K1583" s="2347"/>
      <c r="L1583" s="2589"/>
      <c r="M1583" s="2589"/>
      <c r="N1583" s="2589"/>
      <c r="O1583" s="2589"/>
      <c r="P1583" s="2346"/>
      <c r="Q1583" s="2589"/>
      <c r="R1583" s="2347"/>
      <c r="S1583" s="2347"/>
      <c r="T1583" s="2348"/>
      <c r="U1583" s="2348"/>
      <c r="V1583" s="2348"/>
      <c r="W1583" s="2347"/>
      <c r="X1583" s="2347"/>
      <c r="Y1583" s="2589"/>
      <c r="Z1583" s="2589"/>
      <c r="AA1583" s="2589"/>
      <c r="AB1583" s="2589"/>
      <c r="AC1583" s="2589"/>
    </row>
    <row r="1584" spans="1:29">
      <c r="A1584" s="2589"/>
      <c r="B1584" s="2346"/>
      <c r="C1584" s="2589"/>
      <c r="D1584" s="2589"/>
      <c r="E1584" s="2345"/>
      <c r="F1584" s="2589"/>
      <c r="G1584" s="2346"/>
      <c r="H1584" s="2589"/>
      <c r="I1584" s="2589"/>
      <c r="J1584" s="2589"/>
      <c r="K1584" s="2347"/>
      <c r="L1584" s="2589"/>
      <c r="M1584" s="2589"/>
      <c r="N1584" s="2589"/>
      <c r="O1584" s="2589"/>
      <c r="P1584" s="2346"/>
      <c r="Q1584" s="2589"/>
      <c r="R1584" s="2347"/>
      <c r="S1584" s="2347"/>
      <c r="T1584" s="2348"/>
      <c r="U1584" s="2348"/>
      <c r="V1584" s="2348"/>
      <c r="W1584" s="2347"/>
      <c r="X1584" s="2347"/>
      <c r="Y1584" s="2589"/>
      <c r="Z1584" s="2589"/>
      <c r="AA1584" s="2589"/>
      <c r="AB1584" s="2589"/>
      <c r="AC1584" s="2589"/>
    </row>
    <row r="1585" spans="1:29">
      <c r="A1585" s="2589"/>
      <c r="B1585" s="2346"/>
      <c r="C1585" s="2589"/>
      <c r="D1585" s="2589"/>
      <c r="E1585" s="2345"/>
      <c r="F1585" s="2589"/>
      <c r="G1585" s="2346"/>
      <c r="H1585" s="2589"/>
      <c r="I1585" s="2589"/>
      <c r="J1585" s="2589"/>
      <c r="K1585" s="2347"/>
      <c r="L1585" s="2589"/>
      <c r="M1585" s="2589"/>
      <c r="N1585" s="2589"/>
      <c r="O1585" s="2589"/>
      <c r="P1585" s="2346"/>
      <c r="Q1585" s="2589"/>
      <c r="R1585" s="2347"/>
      <c r="S1585" s="2347"/>
      <c r="T1585" s="2348"/>
      <c r="U1585" s="2348"/>
      <c r="V1585" s="2348"/>
      <c r="W1585" s="2347"/>
      <c r="X1585" s="2347"/>
      <c r="Y1585" s="2589"/>
      <c r="Z1585" s="2589"/>
      <c r="AA1585" s="2589"/>
      <c r="AB1585" s="2589"/>
      <c r="AC1585" s="2589"/>
    </row>
    <row r="1586" spans="1:29">
      <c r="A1586" s="2589"/>
      <c r="B1586" s="2346"/>
      <c r="C1586" s="2589"/>
      <c r="D1586" s="2589"/>
      <c r="E1586" s="2345"/>
      <c r="F1586" s="2589"/>
      <c r="G1586" s="2346"/>
      <c r="H1586" s="2589"/>
      <c r="I1586" s="2589"/>
      <c r="J1586" s="2589"/>
      <c r="K1586" s="2347"/>
      <c r="L1586" s="2589"/>
      <c r="M1586" s="2589"/>
      <c r="N1586" s="2589"/>
      <c r="O1586" s="2589"/>
      <c r="P1586" s="2346"/>
      <c r="Q1586" s="2589"/>
      <c r="R1586" s="2347"/>
      <c r="S1586" s="2347"/>
      <c r="T1586" s="2348"/>
      <c r="U1586" s="2348"/>
      <c r="V1586" s="2348"/>
      <c r="W1586" s="2347"/>
      <c r="X1586" s="2347"/>
      <c r="Y1586" s="2589"/>
      <c r="Z1586" s="2589"/>
      <c r="AA1586" s="2589"/>
      <c r="AB1586" s="2589"/>
      <c r="AC1586" s="2589"/>
    </row>
    <row r="1587" spans="1:29">
      <c r="A1587" s="2589"/>
      <c r="B1587" s="2346"/>
      <c r="C1587" s="2589"/>
      <c r="D1587" s="2589"/>
      <c r="E1587" s="2345"/>
      <c r="F1587" s="2589"/>
      <c r="G1587" s="2346"/>
      <c r="H1587" s="2589"/>
      <c r="I1587" s="2589"/>
      <c r="J1587" s="2589"/>
      <c r="K1587" s="2347"/>
      <c r="L1587" s="2589"/>
      <c r="M1587" s="2589"/>
      <c r="N1587" s="2589"/>
      <c r="O1587" s="2589"/>
      <c r="P1587" s="2346"/>
      <c r="Q1587" s="2589"/>
      <c r="R1587" s="2347"/>
      <c r="S1587" s="2347"/>
      <c r="T1587" s="2348"/>
      <c r="U1587" s="2348"/>
      <c r="V1587" s="2348"/>
      <c r="W1587" s="2347"/>
      <c r="X1587" s="2347"/>
      <c r="Y1587" s="2589"/>
      <c r="Z1587" s="2589"/>
      <c r="AA1587" s="2589"/>
      <c r="AB1587" s="2589"/>
      <c r="AC1587" s="2589"/>
    </row>
    <row r="1588" spans="1:29">
      <c r="A1588" s="2589"/>
      <c r="B1588" s="2346"/>
      <c r="C1588" s="2589"/>
      <c r="D1588" s="2589"/>
      <c r="E1588" s="2345"/>
      <c r="F1588" s="2589"/>
      <c r="G1588" s="2346"/>
      <c r="H1588" s="2589"/>
      <c r="I1588" s="2589"/>
      <c r="J1588" s="2589"/>
      <c r="K1588" s="2347"/>
      <c r="L1588" s="2589"/>
      <c r="M1588" s="2589"/>
      <c r="N1588" s="2589"/>
      <c r="O1588" s="2589"/>
      <c r="P1588" s="2346"/>
      <c r="Q1588" s="2589"/>
      <c r="R1588" s="2347"/>
      <c r="S1588" s="2347"/>
      <c r="T1588" s="2348"/>
      <c r="U1588" s="2348"/>
      <c r="V1588" s="2348"/>
      <c r="W1588" s="2347"/>
      <c r="X1588" s="2347"/>
      <c r="Y1588" s="2589"/>
      <c r="Z1588" s="2589"/>
      <c r="AA1588" s="2589"/>
      <c r="AB1588" s="2589"/>
      <c r="AC1588" s="2589"/>
    </row>
    <row r="1589" spans="1:29">
      <c r="A1589" s="2589"/>
      <c r="B1589" s="2346"/>
      <c r="C1589" s="2589"/>
      <c r="D1589" s="2589"/>
      <c r="E1589" s="2345"/>
      <c r="F1589" s="2589"/>
      <c r="G1589" s="2346"/>
      <c r="H1589" s="2589"/>
      <c r="I1589" s="2589"/>
      <c r="J1589" s="2589"/>
      <c r="K1589" s="2347"/>
      <c r="L1589" s="2589"/>
      <c r="M1589" s="2589"/>
      <c r="N1589" s="2589"/>
      <c r="O1589" s="2589"/>
      <c r="P1589" s="2346"/>
      <c r="Q1589" s="2589"/>
      <c r="R1589" s="2347"/>
      <c r="S1589" s="2347"/>
      <c r="T1589" s="2348"/>
      <c r="U1589" s="2348"/>
      <c r="V1589" s="2348"/>
      <c r="W1589" s="2347"/>
      <c r="X1589" s="2347"/>
      <c r="Y1589" s="2589"/>
      <c r="Z1589" s="2589"/>
      <c r="AA1589" s="2589"/>
      <c r="AB1589" s="2589"/>
      <c r="AC1589" s="2589"/>
    </row>
    <row r="1590" spans="1:29">
      <c r="A1590" s="2589"/>
      <c r="B1590" s="2346"/>
      <c r="C1590" s="2589"/>
      <c r="D1590" s="2589"/>
      <c r="E1590" s="2345"/>
      <c r="F1590" s="2589"/>
      <c r="G1590" s="2346"/>
      <c r="H1590" s="2589"/>
      <c r="I1590" s="2589"/>
      <c r="J1590" s="2589"/>
      <c r="K1590" s="2347"/>
      <c r="L1590" s="2589"/>
      <c r="M1590" s="2589"/>
      <c r="N1590" s="2589"/>
      <c r="O1590" s="2589"/>
      <c r="P1590" s="2346"/>
      <c r="Q1590" s="2589"/>
      <c r="R1590" s="2347"/>
      <c r="S1590" s="2347"/>
      <c r="T1590" s="2348"/>
      <c r="U1590" s="2348"/>
      <c r="V1590" s="2348"/>
      <c r="W1590" s="2347"/>
      <c r="X1590" s="2347"/>
      <c r="Y1590" s="2589"/>
      <c r="Z1590" s="2589"/>
      <c r="AA1590" s="2589"/>
      <c r="AB1590" s="2589"/>
      <c r="AC1590" s="2589"/>
    </row>
    <row r="1591" spans="1:29">
      <c r="A1591" s="2589"/>
      <c r="B1591" s="2346"/>
      <c r="C1591" s="2589"/>
      <c r="D1591" s="2589"/>
      <c r="E1591" s="2345"/>
      <c r="F1591" s="2589"/>
      <c r="G1591" s="2346"/>
      <c r="H1591" s="2589"/>
      <c r="I1591" s="2589"/>
      <c r="J1591" s="2589"/>
      <c r="K1591" s="2347"/>
      <c r="L1591" s="2589"/>
      <c r="M1591" s="2589"/>
      <c r="N1591" s="2589"/>
      <c r="O1591" s="2589"/>
      <c r="P1591" s="2346"/>
      <c r="Q1591" s="2589"/>
      <c r="R1591" s="2347"/>
      <c r="S1591" s="2347"/>
      <c r="T1591" s="2348"/>
      <c r="U1591" s="2348"/>
      <c r="V1591" s="2348"/>
      <c r="W1591" s="2347"/>
      <c r="X1591" s="2347"/>
      <c r="Y1591" s="2589"/>
      <c r="Z1591" s="2589"/>
      <c r="AA1591" s="2589"/>
      <c r="AB1591" s="2589"/>
      <c r="AC1591" s="2589"/>
    </row>
    <row r="1592" spans="1:29">
      <c r="A1592" s="2589"/>
      <c r="B1592" s="2346"/>
      <c r="C1592" s="2589"/>
      <c r="D1592" s="2589"/>
      <c r="E1592" s="2345"/>
      <c r="F1592" s="2589"/>
      <c r="G1592" s="2346"/>
      <c r="H1592" s="2589"/>
      <c r="I1592" s="2589"/>
      <c r="J1592" s="2589"/>
      <c r="K1592" s="2347"/>
      <c r="L1592" s="2589"/>
      <c r="M1592" s="2589"/>
      <c r="N1592" s="2589"/>
      <c r="O1592" s="2589"/>
      <c r="P1592" s="2346"/>
      <c r="Q1592" s="2589"/>
      <c r="R1592" s="2347"/>
      <c r="S1592" s="2347"/>
      <c r="T1592" s="2348"/>
      <c r="U1592" s="2348"/>
      <c r="V1592" s="2348"/>
      <c r="W1592" s="2347"/>
      <c r="X1592" s="2347"/>
      <c r="Y1592" s="2589"/>
      <c r="Z1592" s="2589"/>
      <c r="AA1592" s="2589"/>
      <c r="AB1592" s="2589"/>
      <c r="AC1592" s="2589"/>
    </row>
    <row r="1593" spans="1:29">
      <c r="A1593" s="2589"/>
      <c r="B1593" s="2346"/>
      <c r="C1593" s="2589"/>
      <c r="D1593" s="2589"/>
      <c r="E1593" s="2345"/>
      <c r="F1593" s="2589"/>
      <c r="G1593" s="2346"/>
      <c r="H1593" s="2589"/>
      <c r="I1593" s="2589"/>
      <c r="J1593" s="2589"/>
      <c r="K1593" s="2347"/>
      <c r="L1593" s="2589"/>
      <c r="M1593" s="2589"/>
      <c r="N1593" s="2589"/>
      <c r="O1593" s="2589"/>
      <c r="P1593" s="2346"/>
      <c r="Q1593" s="2589"/>
      <c r="R1593" s="2347"/>
      <c r="S1593" s="2347"/>
      <c r="T1593" s="2348"/>
      <c r="U1593" s="2348"/>
      <c r="V1593" s="2348"/>
      <c r="W1593" s="2347"/>
      <c r="X1593" s="2347"/>
      <c r="Y1593" s="2589"/>
      <c r="Z1593" s="2589"/>
      <c r="AA1593" s="2589"/>
      <c r="AB1593" s="2589"/>
      <c r="AC1593" s="2589"/>
    </row>
    <row r="1594" spans="1:29">
      <c r="A1594" s="2589"/>
      <c r="B1594" s="2346"/>
      <c r="C1594" s="2589"/>
      <c r="D1594" s="2589"/>
      <c r="E1594" s="2345"/>
      <c r="F1594" s="2589"/>
      <c r="G1594" s="2346"/>
      <c r="H1594" s="2589"/>
      <c r="I1594" s="2589"/>
      <c r="J1594" s="2589"/>
      <c r="K1594" s="2347"/>
      <c r="L1594" s="2589"/>
      <c r="M1594" s="2589"/>
      <c r="N1594" s="2589"/>
      <c r="O1594" s="2589"/>
      <c r="P1594" s="2346"/>
      <c r="Q1594" s="2589"/>
      <c r="R1594" s="2347"/>
      <c r="S1594" s="2347"/>
      <c r="T1594" s="2348"/>
      <c r="U1594" s="2348"/>
      <c r="V1594" s="2348"/>
      <c r="W1594" s="2347"/>
      <c r="X1594" s="2347"/>
      <c r="Y1594" s="2589"/>
      <c r="Z1594" s="2589"/>
      <c r="AA1594" s="2589"/>
      <c r="AB1594" s="2589"/>
      <c r="AC1594" s="2589"/>
    </row>
    <row r="1595" spans="1:29">
      <c r="A1595" s="2589"/>
      <c r="B1595" s="2346"/>
      <c r="C1595" s="2589"/>
      <c r="D1595" s="2589"/>
      <c r="E1595" s="2345"/>
      <c r="F1595" s="2589"/>
      <c r="G1595" s="2346"/>
      <c r="H1595" s="2589"/>
      <c r="I1595" s="2589"/>
      <c r="J1595" s="2589"/>
      <c r="K1595" s="2347"/>
      <c r="L1595" s="2589"/>
      <c r="M1595" s="2589"/>
      <c r="N1595" s="2589"/>
      <c r="O1595" s="2589"/>
      <c r="P1595" s="2346"/>
      <c r="Q1595" s="2589"/>
      <c r="R1595" s="2347"/>
      <c r="S1595" s="2347"/>
      <c r="T1595" s="2348"/>
      <c r="U1595" s="2348"/>
      <c r="V1595" s="2348"/>
      <c r="W1595" s="2347"/>
      <c r="X1595" s="2347"/>
      <c r="Y1595" s="2589"/>
      <c r="Z1595" s="2589"/>
      <c r="AA1595" s="2589"/>
      <c r="AB1595" s="2589"/>
      <c r="AC1595" s="2589"/>
    </row>
    <row r="1596" spans="1:29">
      <c r="A1596" s="2589"/>
      <c r="B1596" s="2346"/>
      <c r="C1596" s="2589"/>
      <c r="D1596" s="2589"/>
      <c r="E1596" s="2345"/>
      <c r="F1596" s="2589"/>
      <c r="G1596" s="2346"/>
      <c r="H1596" s="2589"/>
      <c r="I1596" s="2589"/>
      <c r="J1596" s="2589"/>
      <c r="K1596" s="2347"/>
      <c r="L1596" s="2589"/>
      <c r="M1596" s="2589"/>
      <c r="N1596" s="2589"/>
      <c r="O1596" s="2589"/>
      <c r="P1596" s="2346"/>
      <c r="Q1596" s="2589"/>
      <c r="R1596" s="2347"/>
      <c r="S1596" s="2347"/>
      <c r="T1596" s="2348"/>
      <c r="U1596" s="2348"/>
      <c r="V1596" s="2348"/>
      <c r="W1596" s="2347"/>
      <c r="X1596" s="2347"/>
      <c r="Y1596" s="2589"/>
      <c r="Z1596" s="2589"/>
      <c r="AA1596" s="2589"/>
      <c r="AB1596" s="2589"/>
      <c r="AC1596" s="2589"/>
    </row>
    <row r="1597" spans="1:29">
      <c r="A1597" s="2589"/>
      <c r="B1597" s="2346"/>
      <c r="C1597" s="2589"/>
      <c r="D1597" s="2589"/>
      <c r="E1597" s="2345"/>
      <c r="F1597" s="2589"/>
      <c r="G1597" s="2346"/>
      <c r="H1597" s="2589"/>
      <c r="I1597" s="2589"/>
      <c r="J1597" s="2589"/>
      <c r="K1597" s="2347"/>
      <c r="L1597" s="2589"/>
      <c r="M1597" s="2589"/>
      <c r="N1597" s="2589"/>
      <c r="O1597" s="2589"/>
      <c r="P1597" s="2346"/>
      <c r="Q1597" s="2589"/>
      <c r="R1597" s="2347"/>
      <c r="S1597" s="2347"/>
      <c r="T1597" s="2348"/>
      <c r="U1597" s="2348"/>
      <c r="V1597" s="2348"/>
      <c r="W1597" s="2347"/>
      <c r="X1597" s="2347"/>
      <c r="Y1597" s="2589"/>
      <c r="Z1597" s="2589"/>
      <c r="AA1597" s="2589"/>
      <c r="AB1597" s="2589"/>
      <c r="AC1597" s="2589"/>
    </row>
    <row r="1598" spans="1:29">
      <c r="A1598" s="2589"/>
      <c r="B1598" s="2346"/>
      <c r="C1598" s="2589"/>
      <c r="D1598" s="2589"/>
      <c r="E1598" s="2345"/>
      <c r="F1598" s="2589"/>
      <c r="G1598" s="2346"/>
      <c r="H1598" s="2589"/>
      <c r="I1598" s="2589"/>
      <c r="J1598" s="2589"/>
      <c r="K1598" s="2347"/>
      <c r="L1598" s="2589"/>
      <c r="M1598" s="2589"/>
      <c r="N1598" s="2589"/>
      <c r="O1598" s="2589"/>
      <c r="P1598" s="2346"/>
      <c r="Q1598" s="2589"/>
      <c r="R1598" s="2347"/>
      <c r="S1598" s="2347"/>
      <c r="T1598" s="2348"/>
      <c r="U1598" s="2348"/>
      <c r="V1598" s="2348"/>
      <c r="W1598" s="2347"/>
      <c r="X1598" s="2347"/>
      <c r="Y1598" s="2589"/>
      <c r="Z1598" s="2589"/>
      <c r="AA1598" s="2589"/>
      <c r="AB1598" s="2589"/>
      <c r="AC1598" s="2589"/>
    </row>
    <row r="1599" spans="1:29">
      <c r="A1599" s="2589"/>
      <c r="B1599" s="2346"/>
      <c r="C1599" s="2589"/>
      <c r="D1599" s="2589"/>
      <c r="E1599" s="2345"/>
      <c r="F1599" s="2589"/>
      <c r="G1599" s="2346"/>
      <c r="H1599" s="2589"/>
      <c r="I1599" s="2589"/>
      <c r="J1599" s="2589"/>
      <c r="K1599" s="2347"/>
      <c r="L1599" s="2589"/>
      <c r="M1599" s="2589"/>
      <c r="N1599" s="2589"/>
      <c r="O1599" s="2589"/>
      <c r="P1599" s="2346"/>
      <c r="Q1599" s="2589"/>
      <c r="R1599" s="2347"/>
      <c r="S1599" s="2347"/>
      <c r="T1599" s="2348"/>
      <c r="U1599" s="2348"/>
      <c r="V1599" s="2348"/>
      <c r="W1599" s="2347"/>
      <c r="X1599" s="2347"/>
      <c r="Y1599" s="2589"/>
      <c r="Z1599" s="2589"/>
      <c r="AA1599" s="2589"/>
      <c r="AB1599" s="2589"/>
      <c r="AC1599" s="2589"/>
    </row>
    <row r="1600" spans="1:29">
      <c r="A1600" s="2589"/>
      <c r="B1600" s="2346"/>
      <c r="C1600" s="2589"/>
      <c r="D1600" s="2589"/>
      <c r="E1600" s="2345"/>
      <c r="F1600" s="2589"/>
      <c r="G1600" s="2346"/>
      <c r="H1600" s="2589"/>
      <c r="I1600" s="2589"/>
      <c r="J1600" s="2589"/>
      <c r="K1600" s="2347"/>
      <c r="L1600" s="2589"/>
      <c r="M1600" s="2589"/>
      <c r="N1600" s="2589"/>
      <c r="O1600" s="2589"/>
      <c r="P1600" s="2346"/>
      <c r="Q1600" s="2589"/>
      <c r="R1600" s="2347"/>
      <c r="S1600" s="2347"/>
      <c r="T1600" s="2348"/>
      <c r="U1600" s="2348"/>
      <c r="V1600" s="2348"/>
      <c r="W1600" s="2347"/>
      <c r="X1600" s="2347"/>
      <c r="Y1600" s="2589"/>
      <c r="Z1600" s="2589"/>
      <c r="AA1600" s="2589"/>
      <c r="AB1600" s="2589"/>
      <c r="AC1600" s="2589"/>
    </row>
    <row r="1601" spans="1:29">
      <c r="A1601" s="2589"/>
      <c r="B1601" s="2346"/>
      <c r="C1601" s="2589"/>
      <c r="D1601" s="2589"/>
      <c r="E1601" s="2345"/>
      <c r="F1601" s="2589"/>
      <c r="G1601" s="2346"/>
      <c r="H1601" s="2589"/>
      <c r="I1601" s="2589"/>
      <c r="J1601" s="2589"/>
      <c r="K1601" s="2347"/>
      <c r="L1601" s="2589"/>
      <c r="M1601" s="2589"/>
      <c r="N1601" s="2589"/>
      <c r="O1601" s="2589"/>
      <c r="P1601" s="2346"/>
      <c r="Q1601" s="2589"/>
      <c r="R1601" s="2347"/>
      <c r="S1601" s="2347"/>
      <c r="T1601" s="2348"/>
      <c r="U1601" s="2348"/>
      <c r="V1601" s="2348"/>
      <c r="W1601" s="2347"/>
      <c r="X1601" s="2347"/>
      <c r="Y1601" s="2589"/>
      <c r="Z1601" s="2589"/>
      <c r="AA1601" s="2589"/>
      <c r="AB1601" s="2589"/>
      <c r="AC1601" s="2589"/>
    </row>
    <row r="1602" spans="1:29">
      <c r="A1602" s="2589"/>
      <c r="B1602" s="2346"/>
      <c r="C1602" s="2589"/>
      <c r="D1602" s="2589"/>
      <c r="E1602" s="2345"/>
      <c r="F1602" s="2589"/>
      <c r="G1602" s="2346"/>
      <c r="H1602" s="2589"/>
      <c r="I1602" s="2589"/>
      <c r="J1602" s="2589"/>
      <c r="K1602" s="2347"/>
      <c r="L1602" s="2589"/>
      <c r="M1602" s="2589"/>
      <c r="N1602" s="2589"/>
      <c r="O1602" s="2589"/>
      <c r="P1602" s="2346"/>
      <c r="Q1602" s="2589"/>
      <c r="R1602" s="2347"/>
      <c r="S1602" s="2347"/>
      <c r="T1602" s="2348"/>
      <c r="U1602" s="2348"/>
      <c r="V1602" s="2348"/>
      <c r="W1602" s="2347"/>
      <c r="X1602" s="2347"/>
      <c r="Y1602" s="2589"/>
      <c r="Z1602" s="2589"/>
      <c r="AA1602" s="2589"/>
      <c r="AB1602" s="2589"/>
      <c r="AC1602" s="2589"/>
    </row>
    <row r="1603" spans="1:29">
      <c r="A1603" s="2589"/>
      <c r="B1603" s="2346"/>
      <c r="C1603" s="2589"/>
      <c r="D1603" s="2589"/>
      <c r="E1603" s="2345"/>
      <c r="F1603" s="2589"/>
      <c r="G1603" s="2346"/>
      <c r="H1603" s="2589"/>
      <c r="I1603" s="2589"/>
      <c r="J1603" s="2589"/>
      <c r="K1603" s="2347"/>
      <c r="L1603" s="2589"/>
      <c r="M1603" s="2589"/>
      <c r="N1603" s="2589"/>
      <c r="O1603" s="2589"/>
      <c r="P1603" s="2346"/>
      <c r="Q1603" s="2589"/>
      <c r="R1603" s="2347"/>
      <c r="S1603" s="2347"/>
      <c r="T1603" s="2348"/>
      <c r="U1603" s="2348"/>
      <c r="V1603" s="2348"/>
      <c r="W1603" s="2347"/>
      <c r="X1603" s="2347"/>
      <c r="Y1603" s="2589"/>
      <c r="Z1603" s="2589"/>
      <c r="AA1603" s="2589"/>
      <c r="AB1603" s="2589"/>
      <c r="AC1603" s="2589"/>
    </row>
    <row r="1604" spans="1:29">
      <c r="A1604" s="2589"/>
      <c r="B1604" s="2346"/>
      <c r="C1604" s="2589"/>
      <c r="D1604" s="2589"/>
      <c r="E1604" s="2345"/>
      <c r="F1604" s="2589"/>
      <c r="G1604" s="2346"/>
      <c r="H1604" s="2589"/>
      <c r="I1604" s="2589"/>
      <c r="J1604" s="2589"/>
      <c r="K1604" s="2347"/>
      <c r="L1604" s="2589"/>
      <c r="M1604" s="2589"/>
      <c r="N1604" s="2589"/>
      <c r="O1604" s="2589"/>
      <c r="P1604" s="2346"/>
      <c r="Q1604" s="2589"/>
      <c r="R1604" s="2347"/>
      <c r="S1604" s="2347"/>
      <c r="T1604" s="2348"/>
      <c r="U1604" s="2348"/>
      <c r="V1604" s="2348"/>
      <c r="W1604" s="2347"/>
      <c r="X1604" s="2347"/>
      <c r="Y1604" s="2589"/>
      <c r="Z1604" s="2589"/>
      <c r="AA1604" s="2589"/>
      <c r="AB1604" s="2589"/>
      <c r="AC1604" s="2589"/>
    </row>
    <row r="1605" spans="1:29">
      <c r="A1605" s="2589"/>
      <c r="B1605" s="2346"/>
      <c r="C1605" s="2589"/>
      <c r="D1605" s="2589"/>
      <c r="E1605" s="2345"/>
      <c r="F1605" s="2589"/>
      <c r="G1605" s="2346"/>
      <c r="H1605" s="2589"/>
      <c r="I1605" s="2589"/>
      <c r="J1605" s="2589"/>
      <c r="K1605" s="2347"/>
      <c r="L1605" s="2589"/>
      <c r="M1605" s="2589"/>
      <c r="N1605" s="2589"/>
      <c r="O1605" s="2589"/>
      <c r="P1605" s="2346"/>
      <c r="Q1605" s="2589"/>
      <c r="R1605" s="2347"/>
      <c r="S1605" s="2347"/>
      <c r="T1605" s="2348"/>
      <c r="U1605" s="2348"/>
      <c r="V1605" s="2348"/>
      <c r="W1605" s="2347"/>
      <c r="X1605" s="2347"/>
      <c r="Y1605" s="2589"/>
      <c r="Z1605" s="2589"/>
      <c r="AA1605" s="2589"/>
      <c r="AB1605" s="2589"/>
      <c r="AC1605" s="2589"/>
    </row>
    <row r="1606" spans="1:29">
      <c r="A1606" s="2589"/>
      <c r="B1606" s="2346"/>
      <c r="C1606" s="2589"/>
      <c r="D1606" s="2589"/>
      <c r="E1606" s="2345"/>
      <c r="F1606" s="2589"/>
      <c r="G1606" s="2346"/>
      <c r="H1606" s="2589"/>
      <c r="I1606" s="2589"/>
      <c r="J1606" s="2589"/>
      <c r="K1606" s="2347"/>
      <c r="L1606" s="2589"/>
      <c r="M1606" s="2589"/>
      <c r="N1606" s="2589"/>
      <c r="O1606" s="2589"/>
      <c r="P1606" s="2346"/>
      <c r="Q1606" s="2589"/>
      <c r="R1606" s="2347"/>
      <c r="S1606" s="2347"/>
      <c r="T1606" s="2348"/>
      <c r="U1606" s="2348"/>
      <c r="V1606" s="2348"/>
      <c r="W1606" s="2347"/>
      <c r="X1606" s="2347"/>
      <c r="Y1606" s="2589"/>
      <c r="Z1606" s="2589"/>
      <c r="AA1606" s="2589"/>
      <c r="AB1606" s="2589"/>
      <c r="AC1606" s="2589"/>
    </row>
    <row r="1607" spans="1:29">
      <c r="A1607" s="2589"/>
      <c r="B1607" s="2346"/>
      <c r="C1607" s="2589"/>
      <c r="D1607" s="2589"/>
      <c r="E1607" s="2345"/>
      <c r="F1607" s="2589"/>
      <c r="G1607" s="2346"/>
      <c r="H1607" s="2589"/>
      <c r="I1607" s="2589"/>
      <c r="J1607" s="2589"/>
      <c r="K1607" s="2347"/>
      <c r="L1607" s="2589"/>
      <c r="M1607" s="2589"/>
      <c r="N1607" s="2589"/>
      <c r="O1607" s="2589"/>
      <c r="P1607" s="2346"/>
      <c r="Q1607" s="2589"/>
      <c r="R1607" s="2347"/>
      <c r="S1607" s="2347"/>
      <c r="T1607" s="2348"/>
      <c r="U1607" s="2348"/>
      <c r="V1607" s="2348"/>
      <c r="W1607" s="2347"/>
      <c r="X1607" s="2347"/>
      <c r="Y1607" s="2589"/>
      <c r="Z1607" s="2589"/>
      <c r="AA1607" s="2589"/>
      <c r="AB1607" s="2589"/>
      <c r="AC1607" s="2589"/>
    </row>
    <row r="1608" spans="1:29">
      <c r="A1608" s="2589"/>
      <c r="B1608" s="2346"/>
      <c r="C1608" s="2589"/>
      <c r="D1608" s="2589"/>
      <c r="E1608" s="2345"/>
      <c r="F1608" s="2589"/>
      <c r="G1608" s="2346"/>
      <c r="H1608" s="2589"/>
      <c r="I1608" s="2589"/>
      <c r="J1608" s="2589"/>
      <c r="K1608" s="2347"/>
      <c r="L1608" s="2589"/>
      <c r="M1608" s="2589"/>
      <c r="N1608" s="2589"/>
      <c r="O1608" s="2589"/>
      <c r="P1608" s="2346"/>
      <c r="Q1608" s="2589"/>
      <c r="R1608" s="2347"/>
      <c r="S1608" s="2347"/>
      <c r="T1608" s="2348"/>
      <c r="U1608" s="2348"/>
      <c r="V1608" s="2348"/>
      <c r="W1608" s="2347"/>
      <c r="X1608" s="2347"/>
      <c r="Y1608" s="2589"/>
      <c r="Z1608" s="2589"/>
      <c r="AA1608" s="2589"/>
      <c r="AB1608" s="2589"/>
      <c r="AC1608" s="2589"/>
    </row>
    <row r="1609" spans="1:29">
      <c r="A1609" s="2589"/>
      <c r="B1609" s="2346"/>
      <c r="C1609" s="2589"/>
      <c r="D1609" s="2589"/>
      <c r="E1609" s="2345"/>
      <c r="F1609" s="2589"/>
      <c r="G1609" s="2346"/>
      <c r="H1609" s="2589"/>
      <c r="I1609" s="2589"/>
      <c r="J1609" s="2589"/>
      <c r="K1609" s="2347"/>
      <c r="L1609" s="2589"/>
      <c r="M1609" s="2589"/>
      <c r="N1609" s="2589"/>
      <c r="O1609" s="2589"/>
      <c r="P1609" s="2346"/>
      <c r="Q1609" s="2589"/>
      <c r="R1609" s="2347"/>
      <c r="S1609" s="2347"/>
      <c r="T1609" s="2348"/>
      <c r="U1609" s="2348"/>
      <c r="V1609" s="2348"/>
      <c r="W1609" s="2347"/>
      <c r="X1609" s="2347"/>
      <c r="Y1609" s="2589"/>
      <c r="Z1609" s="2589"/>
      <c r="AA1609" s="2589"/>
      <c r="AB1609" s="2589"/>
      <c r="AC1609" s="2589"/>
    </row>
    <row r="1610" spans="1:29">
      <c r="A1610" s="2589"/>
      <c r="B1610" s="2346"/>
      <c r="C1610" s="2589"/>
      <c r="D1610" s="2589"/>
      <c r="E1610" s="2345"/>
      <c r="F1610" s="2589"/>
      <c r="G1610" s="2346"/>
      <c r="H1610" s="2589"/>
      <c r="I1610" s="2589"/>
      <c r="J1610" s="2589"/>
      <c r="K1610" s="2347"/>
      <c r="L1610" s="2589"/>
      <c r="M1610" s="2589"/>
      <c r="N1610" s="2589"/>
      <c r="O1610" s="2589"/>
      <c r="P1610" s="2346"/>
      <c r="Q1610" s="2589"/>
      <c r="R1610" s="2347"/>
      <c r="S1610" s="2347"/>
      <c r="T1610" s="2348"/>
      <c r="U1610" s="2348"/>
      <c r="V1610" s="2348"/>
      <c r="W1610" s="2347"/>
      <c r="X1610" s="2347"/>
      <c r="Y1610" s="2589"/>
      <c r="Z1610" s="2589"/>
      <c r="AA1610" s="2589"/>
      <c r="AB1610" s="2589"/>
      <c r="AC1610" s="2589"/>
    </row>
    <row r="1611" spans="1:29">
      <c r="A1611" s="2589"/>
      <c r="B1611" s="2346"/>
      <c r="C1611" s="2589"/>
      <c r="D1611" s="2589"/>
      <c r="E1611" s="2345"/>
      <c r="F1611" s="2589"/>
      <c r="G1611" s="2346"/>
      <c r="H1611" s="2589"/>
      <c r="I1611" s="2589"/>
      <c r="J1611" s="2589"/>
      <c r="K1611" s="2347"/>
      <c r="L1611" s="2589"/>
      <c r="M1611" s="2589"/>
      <c r="N1611" s="2589"/>
      <c r="O1611" s="2589"/>
      <c r="P1611" s="2346"/>
      <c r="Q1611" s="2589"/>
      <c r="R1611" s="2347"/>
      <c r="S1611" s="2347"/>
      <c r="T1611" s="2348"/>
      <c r="U1611" s="2348"/>
      <c r="V1611" s="2348"/>
      <c r="W1611" s="2347"/>
      <c r="X1611" s="2347"/>
      <c r="Y1611" s="2589"/>
      <c r="Z1611" s="2589"/>
      <c r="AA1611" s="2589"/>
      <c r="AB1611" s="2589"/>
      <c r="AC1611" s="2589"/>
    </row>
    <row r="1612" spans="1:29">
      <c r="A1612" s="2589"/>
      <c r="B1612" s="2346"/>
      <c r="C1612" s="2589"/>
      <c r="D1612" s="2589"/>
      <c r="E1612" s="2345"/>
      <c r="F1612" s="2589"/>
      <c r="G1612" s="2346"/>
      <c r="H1612" s="2589"/>
      <c r="I1612" s="2589"/>
      <c r="J1612" s="2589"/>
      <c r="K1612" s="2347"/>
      <c r="L1612" s="2589"/>
      <c r="M1612" s="2589"/>
      <c r="N1612" s="2589"/>
      <c r="O1612" s="2589"/>
      <c r="P1612" s="2346"/>
      <c r="Q1612" s="2589"/>
      <c r="R1612" s="2347"/>
      <c r="S1612" s="2347"/>
      <c r="T1612" s="2348"/>
      <c r="U1612" s="2348"/>
      <c r="V1612" s="2348"/>
      <c r="W1612" s="2347"/>
      <c r="X1612" s="2347"/>
      <c r="Y1612" s="2589"/>
      <c r="Z1612" s="2589"/>
      <c r="AA1612" s="2589"/>
      <c r="AB1612" s="2589"/>
      <c r="AC1612" s="2589"/>
    </row>
    <row r="1613" spans="1:29">
      <c r="A1613" s="2589"/>
      <c r="B1613" s="2346"/>
      <c r="C1613" s="2589"/>
      <c r="D1613" s="2589"/>
      <c r="E1613" s="2345"/>
      <c r="F1613" s="2589"/>
      <c r="G1613" s="2346"/>
      <c r="H1613" s="2589"/>
      <c r="I1613" s="2589"/>
      <c r="J1613" s="2589"/>
      <c r="K1613" s="2347"/>
      <c r="L1613" s="2589"/>
      <c r="M1613" s="2589"/>
      <c r="N1613" s="2589"/>
      <c r="O1613" s="2589"/>
      <c r="P1613" s="2346"/>
      <c r="Q1613" s="2589"/>
      <c r="R1613" s="2347"/>
      <c r="S1613" s="2347"/>
      <c r="T1613" s="2348"/>
      <c r="U1613" s="2348"/>
      <c r="V1613" s="2348"/>
      <c r="W1613" s="2347"/>
      <c r="X1613" s="2347"/>
      <c r="Y1613" s="2589"/>
      <c r="Z1613" s="2589"/>
      <c r="AA1613" s="2589"/>
      <c r="AB1613" s="2589"/>
      <c r="AC1613" s="2589"/>
    </row>
    <row r="1614" spans="1:29">
      <c r="A1614" s="2589"/>
      <c r="B1614" s="2346"/>
      <c r="C1614" s="2589"/>
      <c r="D1614" s="2589"/>
      <c r="E1614" s="2345"/>
      <c r="F1614" s="2589"/>
      <c r="G1614" s="2346"/>
      <c r="H1614" s="2589"/>
      <c r="I1614" s="2589"/>
      <c r="J1614" s="2589"/>
      <c r="K1614" s="2347"/>
      <c r="L1614" s="2589"/>
      <c r="M1614" s="2589"/>
      <c r="N1614" s="2589"/>
      <c r="O1614" s="2589"/>
      <c r="P1614" s="2346"/>
      <c r="Q1614" s="2589"/>
      <c r="R1614" s="2347"/>
      <c r="S1614" s="2347"/>
      <c r="T1614" s="2348"/>
      <c r="U1614" s="2348"/>
      <c r="V1614" s="2348"/>
      <c r="W1614" s="2347"/>
      <c r="X1614" s="2347"/>
      <c r="Y1614" s="2589"/>
      <c r="Z1614" s="2589"/>
      <c r="AA1614" s="2589"/>
      <c r="AB1614" s="2589"/>
      <c r="AC1614" s="2589"/>
    </row>
    <row r="1615" spans="1:29">
      <c r="A1615" s="2589"/>
      <c r="B1615" s="2346"/>
      <c r="C1615" s="2589"/>
      <c r="D1615" s="2589"/>
      <c r="E1615" s="2345"/>
      <c r="F1615" s="2589"/>
      <c r="G1615" s="2346"/>
      <c r="H1615" s="2589"/>
      <c r="I1615" s="2589"/>
      <c r="J1615" s="2589"/>
      <c r="K1615" s="2347"/>
      <c r="L1615" s="2589"/>
      <c r="M1615" s="2589"/>
      <c r="N1615" s="2589"/>
      <c r="O1615" s="2589"/>
      <c r="P1615" s="2346"/>
      <c r="Q1615" s="2589"/>
      <c r="R1615" s="2347"/>
      <c r="S1615" s="2347"/>
      <c r="T1615" s="2348"/>
      <c r="U1615" s="2348"/>
      <c r="V1615" s="2348"/>
      <c r="W1615" s="2347"/>
      <c r="X1615" s="2347"/>
      <c r="Y1615" s="2589"/>
      <c r="Z1615" s="2589"/>
      <c r="AA1615" s="2589"/>
      <c r="AB1615" s="2589"/>
      <c r="AC1615" s="2589"/>
    </row>
    <row r="1616" spans="1:29">
      <c r="A1616" s="2589"/>
      <c r="B1616" s="2346"/>
      <c r="C1616" s="2589"/>
      <c r="D1616" s="2589"/>
      <c r="E1616" s="2345"/>
      <c r="F1616" s="2589"/>
      <c r="G1616" s="2346"/>
      <c r="H1616" s="2589"/>
      <c r="I1616" s="2589"/>
      <c r="J1616" s="2589"/>
      <c r="K1616" s="2347"/>
      <c r="L1616" s="2589"/>
      <c r="M1616" s="2589"/>
      <c r="N1616" s="2589"/>
      <c r="O1616" s="2589"/>
      <c r="P1616" s="2346"/>
      <c r="Q1616" s="2589"/>
      <c r="R1616" s="2347"/>
      <c r="S1616" s="2347"/>
      <c r="T1616" s="2348"/>
      <c r="U1616" s="2348"/>
      <c r="V1616" s="2348"/>
      <c r="W1616" s="2347"/>
      <c r="X1616" s="2347"/>
      <c r="Y1616" s="2589"/>
      <c r="Z1616" s="2589"/>
      <c r="AA1616" s="2589"/>
      <c r="AB1616" s="2589"/>
      <c r="AC1616" s="2589"/>
    </row>
    <row r="1617" spans="1:29">
      <c r="A1617" s="2589"/>
      <c r="B1617" s="2346"/>
      <c r="C1617" s="2589"/>
      <c r="D1617" s="2589"/>
      <c r="E1617" s="2345"/>
      <c r="F1617" s="2589"/>
      <c r="G1617" s="2346"/>
      <c r="H1617" s="2589"/>
      <c r="I1617" s="2589"/>
      <c r="J1617" s="2589"/>
      <c r="K1617" s="2347"/>
      <c r="L1617" s="2589"/>
      <c r="M1617" s="2589"/>
      <c r="N1617" s="2589"/>
      <c r="O1617" s="2589"/>
      <c r="P1617" s="2346"/>
      <c r="Q1617" s="2589"/>
      <c r="R1617" s="2347"/>
      <c r="S1617" s="2347"/>
      <c r="T1617" s="2348"/>
      <c r="U1617" s="2348"/>
      <c r="V1617" s="2348"/>
      <c r="W1617" s="2347"/>
      <c r="X1617" s="2347"/>
      <c r="Y1617" s="2589"/>
      <c r="Z1617" s="2589"/>
      <c r="AA1617" s="2589"/>
      <c r="AB1617" s="2589"/>
      <c r="AC1617" s="2589"/>
    </row>
    <row r="1618" spans="1:29">
      <c r="A1618" s="2589"/>
      <c r="B1618" s="2346"/>
      <c r="C1618" s="2589"/>
      <c r="D1618" s="2589"/>
      <c r="E1618" s="2345"/>
      <c r="F1618" s="2589"/>
      <c r="G1618" s="2346"/>
      <c r="H1618" s="2589"/>
      <c r="I1618" s="2589"/>
      <c r="J1618" s="2589"/>
      <c r="K1618" s="2347"/>
      <c r="L1618" s="2589"/>
      <c r="M1618" s="2589"/>
      <c r="N1618" s="2589"/>
      <c r="O1618" s="2589"/>
      <c r="P1618" s="2346"/>
      <c r="Q1618" s="2589"/>
      <c r="R1618" s="2347"/>
      <c r="S1618" s="2347"/>
      <c r="T1618" s="2348"/>
      <c r="U1618" s="2348"/>
      <c r="V1618" s="2348"/>
      <c r="W1618" s="2347"/>
      <c r="X1618" s="2347"/>
      <c r="Y1618" s="2589"/>
      <c r="Z1618" s="2589"/>
      <c r="AA1618" s="2589"/>
      <c r="AB1618" s="2589"/>
      <c r="AC1618" s="2589"/>
    </row>
    <row r="1619" spans="1:29">
      <c r="A1619" s="2589"/>
      <c r="B1619" s="2346"/>
      <c r="C1619" s="2589"/>
      <c r="D1619" s="2589"/>
      <c r="E1619" s="2345"/>
      <c r="F1619" s="2589"/>
      <c r="G1619" s="2346"/>
      <c r="H1619" s="2589"/>
      <c r="I1619" s="2589"/>
      <c r="J1619" s="2589"/>
      <c r="K1619" s="2347"/>
      <c r="L1619" s="2589"/>
      <c r="M1619" s="2589"/>
      <c r="N1619" s="2589"/>
      <c r="O1619" s="2589"/>
      <c r="P1619" s="2346"/>
      <c r="Q1619" s="2589"/>
      <c r="R1619" s="2347"/>
      <c r="S1619" s="2347"/>
      <c r="T1619" s="2348"/>
      <c r="U1619" s="2348"/>
      <c r="V1619" s="2348"/>
      <c r="W1619" s="2347"/>
      <c r="X1619" s="2347"/>
      <c r="Y1619" s="2589"/>
      <c r="Z1619" s="2589"/>
      <c r="AA1619" s="2589"/>
      <c r="AB1619" s="2589"/>
      <c r="AC1619" s="2589"/>
    </row>
    <row r="1620" spans="1:29">
      <c r="A1620" s="2589"/>
      <c r="B1620" s="2346"/>
      <c r="C1620" s="2589"/>
      <c r="D1620" s="2589"/>
      <c r="E1620" s="2345"/>
      <c r="F1620" s="2589"/>
      <c r="G1620" s="2346"/>
      <c r="H1620" s="2589"/>
      <c r="I1620" s="2589"/>
      <c r="J1620" s="2589"/>
      <c r="K1620" s="2347"/>
      <c r="L1620" s="2589"/>
      <c r="M1620" s="2589"/>
      <c r="N1620" s="2589"/>
      <c r="O1620" s="2589"/>
      <c r="P1620" s="2346"/>
      <c r="Q1620" s="2589"/>
      <c r="R1620" s="2347"/>
      <c r="S1620" s="2347"/>
      <c r="T1620" s="2348"/>
      <c r="U1620" s="2348"/>
      <c r="V1620" s="2348"/>
      <c r="W1620" s="2347"/>
      <c r="X1620" s="2347"/>
      <c r="Y1620" s="2589"/>
      <c r="Z1620" s="2589"/>
      <c r="AA1620" s="2589"/>
      <c r="AB1620" s="2589"/>
      <c r="AC1620" s="2589"/>
    </row>
    <row r="1621" spans="1:29">
      <c r="A1621" s="2589"/>
      <c r="B1621" s="2346"/>
      <c r="C1621" s="2589"/>
      <c r="D1621" s="2589"/>
      <c r="E1621" s="2345"/>
      <c r="F1621" s="2589"/>
      <c r="G1621" s="2346"/>
      <c r="H1621" s="2589"/>
      <c r="I1621" s="2589"/>
      <c r="J1621" s="2589"/>
      <c r="K1621" s="2347"/>
      <c r="L1621" s="2589"/>
      <c r="M1621" s="2589"/>
      <c r="N1621" s="2589"/>
      <c r="O1621" s="2589"/>
      <c r="P1621" s="2346"/>
      <c r="Q1621" s="2589"/>
      <c r="R1621" s="2347"/>
      <c r="S1621" s="2347"/>
      <c r="T1621" s="2348"/>
      <c r="U1621" s="2348"/>
      <c r="V1621" s="2348"/>
      <c r="W1621" s="2347"/>
      <c r="X1621" s="2347"/>
      <c r="Y1621" s="2589"/>
      <c r="Z1621" s="2589"/>
      <c r="AA1621" s="2589"/>
      <c r="AB1621" s="2589"/>
      <c r="AC1621" s="2589"/>
    </row>
    <row r="1622" spans="1:29">
      <c r="A1622" s="2589"/>
      <c r="B1622" s="2346"/>
      <c r="C1622" s="2589"/>
      <c r="D1622" s="2589"/>
      <c r="E1622" s="2345"/>
      <c r="F1622" s="2589"/>
      <c r="G1622" s="2346"/>
      <c r="H1622" s="2589"/>
      <c r="I1622" s="2589"/>
      <c r="J1622" s="2589"/>
      <c r="K1622" s="2347"/>
      <c r="L1622" s="2589"/>
      <c r="M1622" s="2589"/>
      <c r="N1622" s="2589"/>
      <c r="O1622" s="2589"/>
      <c r="P1622" s="2346"/>
      <c r="Q1622" s="2589"/>
      <c r="R1622" s="2347"/>
      <c r="S1622" s="2347"/>
      <c r="T1622" s="2348"/>
      <c r="U1622" s="2348"/>
      <c r="V1622" s="2348"/>
      <c r="W1622" s="2347"/>
      <c r="X1622" s="2347"/>
      <c r="Y1622" s="2589"/>
      <c r="Z1622" s="2589"/>
      <c r="AA1622" s="2589"/>
      <c r="AB1622" s="2589"/>
      <c r="AC1622" s="2589"/>
    </row>
    <row r="1623" spans="1:29">
      <c r="A1623" s="2589"/>
      <c r="B1623" s="2346"/>
      <c r="C1623" s="2589"/>
      <c r="D1623" s="2589"/>
      <c r="E1623" s="2345"/>
      <c r="F1623" s="2589"/>
      <c r="G1623" s="2346"/>
      <c r="H1623" s="2589"/>
      <c r="I1623" s="2589"/>
      <c r="J1623" s="2589"/>
      <c r="K1623" s="2347"/>
      <c r="L1623" s="2589"/>
      <c r="M1623" s="2589"/>
      <c r="N1623" s="2589"/>
      <c r="O1623" s="2589"/>
      <c r="P1623" s="2346"/>
      <c r="Q1623" s="2589"/>
      <c r="R1623" s="2347"/>
      <c r="S1623" s="2347"/>
      <c r="T1623" s="2348"/>
      <c r="U1623" s="2348"/>
      <c r="V1623" s="2348"/>
      <c r="W1623" s="2347"/>
      <c r="X1623" s="2347"/>
      <c r="Y1623" s="2589"/>
      <c r="Z1623" s="2589"/>
      <c r="AA1623" s="2589"/>
      <c r="AB1623" s="2589"/>
      <c r="AC1623" s="2589"/>
    </row>
    <row r="1624" spans="1:29">
      <c r="A1624" s="2589"/>
      <c r="B1624" s="2346"/>
      <c r="C1624" s="2589"/>
      <c r="D1624" s="2589"/>
      <c r="E1624" s="2345"/>
      <c r="F1624" s="2589"/>
      <c r="G1624" s="2346"/>
      <c r="H1624" s="2589"/>
      <c r="I1624" s="2589"/>
      <c r="J1624" s="2589"/>
      <c r="K1624" s="2347"/>
      <c r="L1624" s="2589"/>
      <c r="M1624" s="2589"/>
      <c r="N1624" s="2589"/>
      <c r="O1624" s="2589"/>
      <c r="P1624" s="2346"/>
      <c r="Q1624" s="2589"/>
      <c r="R1624" s="2347"/>
      <c r="S1624" s="2347"/>
      <c r="T1624" s="2348"/>
      <c r="U1624" s="2348"/>
      <c r="V1624" s="2348"/>
      <c r="W1624" s="2347"/>
      <c r="X1624" s="2347"/>
      <c r="Y1624" s="2589"/>
      <c r="Z1624" s="2589"/>
      <c r="AA1624" s="2589"/>
      <c r="AB1624" s="2589"/>
      <c r="AC1624" s="2589"/>
    </row>
    <row r="1625" spans="1:29">
      <c r="A1625" s="2589"/>
      <c r="B1625" s="2346"/>
      <c r="C1625" s="2589"/>
      <c r="D1625" s="2589"/>
      <c r="E1625" s="2345"/>
      <c r="F1625" s="2589"/>
      <c r="G1625" s="2346"/>
      <c r="H1625" s="2589"/>
      <c r="I1625" s="2589"/>
      <c r="J1625" s="2589"/>
      <c r="K1625" s="2347"/>
      <c r="L1625" s="2589"/>
      <c r="M1625" s="2589"/>
      <c r="N1625" s="2589"/>
      <c r="O1625" s="2589"/>
      <c r="P1625" s="2346"/>
      <c r="Q1625" s="2589"/>
      <c r="R1625" s="2347"/>
      <c r="S1625" s="2347"/>
      <c r="T1625" s="2348"/>
      <c r="U1625" s="2348"/>
      <c r="V1625" s="2348"/>
      <c r="W1625" s="2347"/>
      <c r="X1625" s="2347"/>
      <c r="Y1625" s="2589"/>
      <c r="Z1625" s="2589"/>
      <c r="AA1625" s="2589"/>
      <c r="AB1625" s="2589"/>
      <c r="AC1625" s="2589"/>
    </row>
    <row r="1626" spans="1:29">
      <c r="A1626" s="2589"/>
      <c r="B1626" s="2346"/>
      <c r="C1626" s="2589"/>
      <c r="D1626" s="2589"/>
      <c r="E1626" s="2345"/>
      <c r="F1626" s="2589"/>
      <c r="G1626" s="2346"/>
      <c r="H1626" s="2589"/>
      <c r="I1626" s="2589"/>
      <c r="J1626" s="2589"/>
      <c r="K1626" s="2347"/>
      <c r="L1626" s="2589"/>
      <c r="M1626" s="2589"/>
      <c r="N1626" s="2589"/>
      <c r="O1626" s="2589"/>
      <c r="P1626" s="2346"/>
      <c r="Q1626" s="2589"/>
      <c r="R1626" s="2347"/>
      <c r="S1626" s="2347"/>
      <c r="T1626" s="2348"/>
      <c r="U1626" s="2348"/>
      <c r="V1626" s="2348"/>
      <c r="W1626" s="2347"/>
      <c r="X1626" s="2347"/>
      <c r="Y1626" s="2589"/>
      <c r="Z1626" s="2589"/>
      <c r="AA1626" s="2589"/>
      <c r="AB1626" s="2589"/>
      <c r="AC1626" s="2589"/>
    </row>
    <row r="1627" spans="1:29">
      <c r="A1627" s="2589"/>
      <c r="B1627" s="2346"/>
      <c r="C1627" s="2589"/>
      <c r="D1627" s="2589"/>
      <c r="E1627" s="2345"/>
      <c r="F1627" s="2589"/>
      <c r="G1627" s="2346"/>
      <c r="H1627" s="2589"/>
      <c r="I1627" s="2589"/>
      <c r="J1627" s="2589"/>
      <c r="K1627" s="2347"/>
      <c r="L1627" s="2589"/>
      <c r="M1627" s="2589"/>
      <c r="N1627" s="2589"/>
      <c r="O1627" s="2589"/>
      <c r="P1627" s="2346"/>
      <c r="Q1627" s="2589"/>
      <c r="R1627" s="2347"/>
      <c r="S1627" s="2347"/>
      <c r="T1627" s="2348"/>
      <c r="U1627" s="2348"/>
      <c r="V1627" s="2348"/>
      <c r="W1627" s="2347"/>
      <c r="X1627" s="2347"/>
      <c r="Y1627" s="2589"/>
      <c r="Z1627" s="2589"/>
      <c r="AA1627" s="2589"/>
      <c r="AB1627" s="2589"/>
      <c r="AC1627" s="2589"/>
    </row>
    <row r="1628" spans="1:29">
      <c r="A1628" s="2589"/>
      <c r="B1628" s="2346"/>
      <c r="C1628" s="2589"/>
      <c r="D1628" s="2589"/>
      <c r="E1628" s="2345"/>
      <c r="F1628" s="2589"/>
      <c r="G1628" s="2346"/>
      <c r="H1628" s="2589"/>
      <c r="I1628" s="2589"/>
      <c r="J1628" s="2589"/>
      <c r="K1628" s="2347"/>
      <c r="L1628" s="2589"/>
      <c r="M1628" s="2589"/>
      <c r="N1628" s="2589"/>
      <c r="O1628" s="2589"/>
      <c r="P1628" s="2346"/>
      <c r="Q1628" s="2589"/>
      <c r="R1628" s="2347"/>
      <c r="S1628" s="2347"/>
      <c r="T1628" s="2348"/>
      <c r="U1628" s="2348"/>
      <c r="V1628" s="2348"/>
      <c r="W1628" s="2347"/>
      <c r="X1628" s="2347"/>
      <c r="Y1628" s="2589"/>
      <c r="Z1628" s="2589"/>
      <c r="AA1628" s="2589"/>
      <c r="AB1628" s="2589"/>
      <c r="AC1628" s="2589"/>
    </row>
    <row r="1629" spans="1:29">
      <c r="A1629" s="2589"/>
      <c r="B1629" s="2346"/>
      <c r="C1629" s="2589"/>
      <c r="D1629" s="2589"/>
      <c r="E1629" s="2345"/>
      <c r="F1629" s="2589"/>
      <c r="G1629" s="2346"/>
      <c r="H1629" s="2589"/>
      <c r="I1629" s="2589"/>
      <c r="J1629" s="2589"/>
      <c r="K1629" s="2347"/>
      <c r="L1629" s="2589"/>
      <c r="M1629" s="2589"/>
      <c r="N1629" s="2589"/>
      <c r="O1629" s="2589"/>
      <c r="P1629" s="2346"/>
      <c r="Q1629" s="2589"/>
      <c r="R1629" s="2347"/>
      <c r="S1629" s="2347"/>
      <c r="T1629" s="2348"/>
      <c r="U1629" s="2348"/>
      <c r="V1629" s="2348"/>
      <c r="W1629" s="2347"/>
      <c r="X1629" s="2347"/>
      <c r="Y1629" s="2589"/>
      <c r="Z1629" s="2589"/>
      <c r="AA1629" s="2589"/>
      <c r="AB1629" s="2589"/>
      <c r="AC1629" s="2589"/>
    </row>
    <row r="1630" spans="1:29">
      <c r="A1630" s="2589"/>
      <c r="B1630" s="2346"/>
      <c r="C1630" s="2589"/>
      <c r="D1630" s="2589"/>
      <c r="E1630" s="2345"/>
      <c r="F1630" s="2589"/>
      <c r="G1630" s="2346"/>
      <c r="H1630" s="2589"/>
      <c r="I1630" s="2589"/>
      <c r="J1630" s="2589"/>
      <c r="K1630" s="2347"/>
      <c r="L1630" s="2589"/>
      <c r="M1630" s="2589"/>
      <c r="N1630" s="2589"/>
      <c r="O1630" s="2589"/>
      <c r="P1630" s="2346"/>
      <c r="Q1630" s="2589"/>
      <c r="R1630" s="2347"/>
      <c r="S1630" s="2347"/>
      <c r="T1630" s="2348"/>
      <c r="U1630" s="2348"/>
      <c r="V1630" s="2348"/>
      <c r="W1630" s="2347"/>
      <c r="X1630" s="2347"/>
      <c r="Y1630" s="2589"/>
      <c r="Z1630" s="2589"/>
      <c r="AA1630" s="2589"/>
      <c r="AB1630" s="2589"/>
      <c r="AC1630" s="2589"/>
    </row>
    <row r="1631" spans="1:29">
      <c r="A1631" s="2589"/>
      <c r="B1631" s="2346"/>
      <c r="C1631" s="2589"/>
      <c r="D1631" s="2589"/>
      <c r="E1631" s="2345"/>
      <c r="F1631" s="2589"/>
      <c r="G1631" s="2346"/>
      <c r="H1631" s="2589"/>
      <c r="I1631" s="2589"/>
      <c r="J1631" s="2589"/>
      <c r="K1631" s="2347"/>
      <c r="L1631" s="2589"/>
      <c r="M1631" s="2589"/>
      <c r="N1631" s="2589"/>
      <c r="O1631" s="2589"/>
      <c r="P1631" s="2346"/>
      <c r="Q1631" s="2589"/>
      <c r="R1631" s="2347"/>
      <c r="S1631" s="2347"/>
      <c r="T1631" s="2348"/>
      <c r="U1631" s="2348"/>
      <c r="V1631" s="2348"/>
      <c r="W1631" s="2347"/>
      <c r="X1631" s="2347"/>
      <c r="Y1631" s="2589"/>
      <c r="Z1631" s="2589"/>
      <c r="AA1631" s="2589"/>
      <c r="AB1631" s="2589"/>
      <c r="AC1631" s="2589"/>
    </row>
    <row r="1632" spans="1:29">
      <c r="A1632" s="2589"/>
      <c r="B1632" s="2346"/>
      <c r="C1632" s="2589"/>
      <c r="D1632" s="2589"/>
      <c r="E1632" s="2345"/>
      <c r="F1632" s="2589"/>
      <c r="G1632" s="2346"/>
      <c r="H1632" s="2589"/>
      <c r="I1632" s="2589"/>
      <c r="J1632" s="2589"/>
      <c r="K1632" s="2347"/>
      <c r="L1632" s="2589"/>
      <c r="M1632" s="2589"/>
      <c r="N1632" s="2589"/>
      <c r="O1632" s="2589"/>
      <c r="P1632" s="2346"/>
      <c r="Q1632" s="2589"/>
      <c r="R1632" s="2347"/>
      <c r="S1632" s="2347"/>
      <c r="T1632" s="2348"/>
      <c r="U1632" s="2348"/>
      <c r="V1632" s="2348"/>
      <c r="W1632" s="2347"/>
      <c r="X1632" s="2347"/>
      <c r="Y1632" s="2589"/>
      <c r="Z1632" s="2589"/>
      <c r="AA1632" s="2589"/>
      <c r="AB1632" s="2589"/>
      <c r="AC1632" s="2589"/>
    </row>
    <row r="1633" spans="1:29">
      <c r="A1633" s="2589"/>
      <c r="B1633" s="2346"/>
      <c r="C1633" s="2589"/>
      <c r="D1633" s="2589"/>
      <c r="E1633" s="2345"/>
      <c r="F1633" s="2589"/>
      <c r="G1633" s="2346"/>
      <c r="H1633" s="2589"/>
      <c r="I1633" s="2589"/>
      <c r="J1633" s="2589"/>
      <c r="K1633" s="2347"/>
      <c r="L1633" s="2589"/>
      <c r="M1633" s="2589"/>
      <c r="N1633" s="2589"/>
      <c r="O1633" s="2589"/>
      <c r="P1633" s="2346"/>
      <c r="Q1633" s="2589"/>
      <c r="R1633" s="2347"/>
      <c r="S1633" s="2347"/>
      <c r="T1633" s="2348"/>
      <c r="U1633" s="2348"/>
      <c r="V1633" s="2348"/>
      <c r="W1633" s="2347"/>
      <c r="X1633" s="2347"/>
      <c r="Y1633" s="2589"/>
      <c r="Z1633" s="2589"/>
      <c r="AA1633" s="2589"/>
      <c r="AB1633" s="2589"/>
      <c r="AC1633" s="2589"/>
    </row>
    <row r="1634" spans="1:29">
      <c r="A1634" s="2589"/>
      <c r="B1634" s="2346"/>
      <c r="C1634" s="2589"/>
      <c r="D1634" s="2589"/>
      <c r="E1634" s="2345"/>
      <c r="F1634" s="2589"/>
      <c r="G1634" s="2346"/>
      <c r="H1634" s="2589"/>
      <c r="I1634" s="2589"/>
      <c r="J1634" s="2589"/>
      <c r="K1634" s="2347"/>
      <c r="L1634" s="2589"/>
      <c r="M1634" s="2589"/>
      <c r="N1634" s="2589"/>
      <c r="O1634" s="2589"/>
      <c r="P1634" s="2346"/>
      <c r="Q1634" s="2589"/>
      <c r="R1634" s="2347"/>
      <c r="S1634" s="2347"/>
      <c r="T1634" s="2348"/>
      <c r="U1634" s="2348"/>
      <c r="V1634" s="2348"/>
      <c r="W1634" s="2347"/>
      <c r="X1634" s="2347"/>
      <c r="Y1634" s="2589"/>
      <c r="Z1634" s="2589"/>
      <c r="AA1634" s="2589"/>
      <c r="AB1634" s="2589"/>
      <c r="AC1634" s="2589"/>
    </row>
    <row r="1635" spans="1:29">
      <c r="A1635" s="2589"/>
      <c r="B1635" s="2346"/>
      <c r="C1635" s="2589"/>
      <c r="D1635" s="2589"/>
      <c r="E1635" s="2345"/>
      <c r="F1635" s="2589"/>
      <c r="G1635" s="2346"/>
      <c r="H1635" s="2589"/>
      <c r="I1635" s="2589"/>
      <c r="J1635" s="2589"/>
      <c r="K1635" s="2347"/>
      <c r="L1635" s="2589"/>
      <c r="M1635" s="2589"/>
      <c r="N1635" s="2589"/>
      <c r="O1635" s="2589"/>
      <c r="P1635" s="2346"/>
      <c r="Q1635" s="2589"/>
      <c r="R1635" s="2347"/>
      <c r="S1635" s="2347"/>
      <c r="T1635" s="2348"/>
      <c r="U1635" s="2348"/>
      <c r="V1635" s="2348"/>
      <c r="W1635" s="2347"/>
      <c r="X1635" s="2347"/>
      <c r="Y1635" s="2589"/>
      <c r="Z1635" s="2589"/>
      <c r="AA1635" s="2589"/>
      <c r="AB1635" s="2589"/>
      <c r="AC1635" s="2589"/>
    </row>
    <row r="1636" spans="1:29">
      <c r="A1636" s="2589"/>
      <c r="B1636" s="2346"/>
      <c r="C1636" s="2589"/>
      <c r="D1636" s="2589"/>
      <c r="E1636" s="2345"/>
      <c r="F1636" s="2589"/>
      <c r="G1636" s="2346"/>
      <c r="H1636" s="2589"/>
      <c r="I1636" s="2589"/>
      <c r="J1636" s="2589"/>
      <c r="K1636" s="2347"/>
      <c r="L1636" s="2589"/>
      <c r="M1636" s="2589"/>
      <c r="N1636" s="2589"/>
      <c r="O1636" s="2589"/>
      <c r="P1636" s="2346"/>
      <c r="Q1636" s="2589"/>
      <c r="R1636" s="2347"/>
      <c r="S1636" s="2347"/>
      <c r="T1636" s="2348"/>
      <c r="U1636" s="2348"/>
      <c r="V1636" s="2348"/>
      <c r="W1636" s="2347"/>
      <c r="X1636" s="2347"/>
      <c r="Y1636" s="2589"/>
      <c r="Z1636" s="2589"/>
      <c r="AA1636" s="2589"/>
      <c r="AB1636" s="2589"/>
      <c r="AC1636" s="2589"/>
    </row>
    <row r="1637" spans="1:29">
      <c r="A1637" s="2589"/>
      <c r="B1637" s="2346"/>
      <c r="C1637" s="2589"/>
      <c r="D1637" s="2589"/>
      <c r="E1637" s="2345"/>
      <c r="F1637" s="2589"/>
      <c r="G1637" s="2346"/>
      <c r="H1637" s="2589"/>
      <c r="I1637" s="2589"/>
      <c r="J1637" s="2589"/>
      <c r="K1637" s="2347"/>
      <c r="L1637" s="2589"/>
      <c r="M1637" s="2589"/>
      <c r="N1637" s="2589"/>
      <c r="O1637" s="2589"/>
      <c r="P1637" s="2346"/>
      <c r="Q1637" s="2589"/>
      <c r="R1637" s="2347"/>
      <c r="S1637" s="2347"/>
      <c r="T1637" s="2348"/>
      <c r="U1637" s="2348"/>
      <c r="V1637" s="2348"/>
      <c r="W1637" s="2347"/>
      <c r="X1637" s="2347"/>
      <c r="Y1637" s="2589"/>
      <c r="Z1637" s="2589"/>
      <c r="AA1637" s="2589"/>
      <c r="AB1637" s="2589"/>
      <c r="AC1637" s="2589"/>
    </row>
    <row r="1638" spans="1:29">
      <c r="A1638" s="2589"/>
      <c r="B1638" s="2346"/>
      <c r="C1638" s="2589"/>
      <c r="D1638" s="2589"/>
      <c r="E1638" s="2345"/>
      <c r="F1638" s="2589"/>
      <c r="G1638" s="2346"/>
      <c r="H1638" s="2589"/>
      <c r="I1638" s="2589"/>
      <c r="J1638" s="2589"/>
      <c r="K1638" s="2347"/>
      <c r="L1638" s="2589"/>
      <c r="M1638" s="2589"/>
      <c r="N1638" s="2589"/>
      <c r="O1638" s="2589"/>
      <c r="P1638" s="2346"/>
      <c r="Q1638" s="2589"/>
      <c r="R1638" s="2347"/>
      <c r="S1638" s="2347"/>
      <c r="T1638" s="2348"/>
      <c r="U1638" s="2348"/>
      <c r="V1638" s="2348"/>
      <c r="W1638" s="2347"/>
      <c r="X1638" s="2347"/>
      <c r="Y1638" s="2589"/>
      <c r="Z1638" s="2589"/>
      <c r="AA1638" s="2589"/>
      <c r="AB1638" s="2589"/>
      <c r="AC1638" s="2589"/>
    </row>
    <row r="1639" spans="1:29">
      <c r="A1639" s="2589"/>
      <c r="B1639" s="2346"/>
      <c r="C1639" s="2589"/>
      <c r="D1639" s="2589"/>
      <c r="E1639" s="2345"/>
      <c r="F1639" s="2589"/>
      <c r="G1639" s="2346"/>
      <c r="H1639" s="2589"/>
      <c r="I1639" s="2589"/>
      <c r="J1639" s="2589"/>
      <c r="K1639" s="2347"/>
      <c r="L1639" s="2589"/>
      <c r="M1639" s="2589"/>
      <c r="N1639" s="2589"/>
      <c r="O1639" s="2589"/>
      <c r="P1639" s="2346"/>
      <c r="Q1639" s="2589"/>
      <c r="R1639" s="2347"/>
      <c r="S1639" s="2347"/>
      <c r="T1639" s="2348"/>
      <c r="U1639" s="2348"/>
      <c r="V1639" s="2348"/>
      <c r="W1639" s="2347"/>
      <c r="X1639" s="2347"/>
      <c r="Y1639" s="2589"/>
      <c r="Z1639" s="2589"/>
      <c r="AA1639" s="2589"/>
      <c r="AB1639" s="2589"/>
      <c r="AC1639" s="2589"/>
    </row>
    <row r="1640" spans="1:29">
      <c r="A1640" s="2589"/>
      <c r="B1640" s="2346"/>
      <c r="C1640" s="2589"/>
      <c r="D1640" s="2589"/>
      <c r="E1640" s="2345"/>
      <c r="F1640" s="2589"/>
      <c r="G1640" s="2346"/>
      <c r="H1640" s="2589"/>
      <c r="I1640" s="2589"/>
      <c r="J1640" s="2589"/>
      <c r="K1640" s="2347"/>
      <c r="L1640" s="2589"/>
      <c r="M1640" s="2589"/>
      <c r="N1640" s="2589"/>
      <c r="O1640" s="2589"/>
      <c r="P1640" s="2346"/>
      <c r="Q1640" s="2589"/>
      <c r="R1640" s="2347"/>
      <c r="S1640" s="2347"/>
      <c r="T1640" s="2348"/>
      <c r="U1640" s="2348"/>
      <c r="V1640" s="2348"/>
      <c r="W1640" s="2347"/>
      <c r="X1640" s="2347"/>
      <c r="Y1640" s="2589"/>
      <c r="Z1640" s="2589"/>
      <c r="AA1640" s="2589"/>
      <c r="AB1640" s="2589"/>
      <c r="AC1640" s="2589"/>
    </row>
    <row r="1641" spans="1:29">
      <c r="A1641" s="2589"/>
      <c r="B1641" s="2346"/>
      <c r="C1641" s="2589"/>
      <c r="D1641" s="2589"/>
      <c r="E1641" s="2345"/>
      <c r="F1641" s="2589"/>
      <c r="G1641" s="2346"/>
      <c r="H1641" s="2589"/>
      <c r="I1641" s="2589"/>
      <c r="J1641" s="2589"/>
      <c r="K1641" s="2347"/>
      <c r="L1641" s="2589"/>
      <c r="M1641" s="2589"/>
      <c r="N1641" s="2589"/>
      <c r="O1641" s="2589"/>
      <c r="P1641" s="2346"/>
      <c r="Q1641" s="2589"/>
      <c r="R1641" s="2347"/>
      <c r="S1641" s="2347"/>
      <c r="T1641" s="2348"/>
      <c r="U1641" s="2348"/>
      <c r="V1641" s="2348"/>
      <c r="W1641" s="2347"/>
      <c r="X1641" s="2347"/>
      <c r="Y1641" s="2589"/>
      <c r="Z1641" s="2589"/>
      <c r="AA1641" s="2589"/>
      <c r="AB1641" s="2589"/>
      <c r="AC1641" s="2589"/>
    </row>
    <row r="1642" spans="1:29">
      <c r="A1642" s="2589"/>
      <c r="B1642" s="2346"/>
      <c r="C1642" s="2589"/>
      <c r="D1642" s="2589"/>
      <c r="E1642" s="2345"/>
      <c r="F1642" s="2589"/>
      <c r="G1642" s="2346"/>
      <c r="H1642" s="2589"/>
      <c r="I1642" s="2589"/>
      <c r="J1642" s="2589"/>
      <c r="K1642" s="2347"/>
      <c r="L1642" s="2589"/>
      <c r="M1642" s="2589"/>
      <c r="N1642" s="2589"/>
      <c r="O1642" s="2589"/>
      <c r="P1642" s="2346"/>
      <c r="Q1642" s="2589"/>
      <c r="R1642" s="2347"/>
      <c r="S1642" s="2347"/>
      <c r="T1642" s="2348"/>
      <c r="U1642" s="2348"/>
      <c r="V1642" s="2348"/>
      <c r="W1642" s="2347"/>
      <c r="X1642" s="2347"/>
      <c r="Y1642" s="2589"/>
      <c r="Z1642" s="2589"/>
      <c r="AA1642" s="2589"/>
      <c r="AB1642" s="2589"/>
      <c r="AC1642" s="2589"/>
    </row>
    <row r="1643" spans="1:29">
      <c r="A1643" s="2589"/>
      <c r="B1643" s="2346"/>
      <c r="C1643" s="2589"/>
      <c r="D1643" s="2589"/>
      <c r="E1643" s="2345"/>
      <c r="F1643" s="2589"/>
      <c r="G1643" s="2346"/>
      <c r="H1643" s="2589"/>
      <c r="I1643" s="2589"/>
      <c r="J1643" s="2589"/>
      <c r="K1643" s="2347"/>
      <c r="L1643" s="2589"/>
      <c r="M1643" s="2589"/>
      <c r="N1643" s="2589"/>
      <c r="O1643" s="2589"/>
      <c r="P1643" s="2346"/>
      <c r="Q1643" s="2589"/>
      <c r="R1643" s="2347"/>
      <c r="S1643" s="2347"/>
      <c r="T1643" s="2348"/>
      <c r="U1643" s="2348"/>
      <c r="V1643" s="2348"/>
      <c r="W1643" s="2347"/>
      <c r="X1643" s="2347"/>
      <c r="Y1643" s="2589"/>
      <c r="Z1643" s="2589"/>
      <c r="AA1643" s="2589"/>
      <c r="AB1643" s="2589"/>
      <c r="AC1643" s="2589"/>
    </row>
    <row r="1644" spans="1:29">
      <c r="A1644" s="2589"/>
      <c r="B1644" s="2346"/>
      <c r="C1644" s="2589"/>
      <c r="D1644" s="2589"/>
      <c r="E1644" s="2345"/>
      <c r="F1644" s="2589"/>
      <c r="G1644" s="2346"/>
      <c r="H1644" s="2589"/>
      <c r="I1644" s="2589"/>
      <c r="J1644" s="2589"/>
      <c r="K1644" s="2347"/>
      <c r="L1644" s="2589"/>
      <c r="M1644" s="2589"/>
      <c r="N1644" s="2589"/>
      <c r="O1644" s="2589"/>
      <c r="P1644" s="2346"/>
      <c r="Q1644" s="2589"/>
      <c r="R1644" s="2347"/>
      <c r="S1644" s="2347"/>
      <c r="T1644" s="2348"/>
      <c r="U1644" s="2348"/>
      <c r="V1644" s="2348"/>
      <c r="W1644" s="2347"/>
      <c r="X1644" s="2347"/>
      <c r="Y1644" s="2589"/>
      <c r="Z1644" s="2589"/>
      <c r="AA1644" s="2589"/>
      <c r="AB1644" s="2589"/>
      <c r="AC1644" s="2589"/>
    </row>
    <row r="1645" spans="1:29">
      <c r="A1645" s="2589"/>
      <c r="B1645" s="2346"/>
      <c r="C1645" s="2589"/>
      <c r="D1645" s="2589"/>
      <c r="E1645" s="2345"/>
      <c r="F1645" s="2589"/>
      <c r="G1645" s="2346"/>
      <c r="H1645" s="2589"/>
      <c r="I1645" s="2589"/>
      <c r="J1645" s="2589"/>
      <c r="K1645" s="2347"/>
      <c r="L1645" s="2589"/>
      <c r="M1645" s="2589"/>
      <c r="N1645" s="2589"/>
      <c r="O1645" s="2589"/>
      <c r="P1645" s="2346"/>
      <c r="Q1645" s="2589"/>
      <c r="R1645" s="2347"/>
      <c r="S1645" s="2347"/>
      <c r="T1645" s="2348"/>
      <c r="U1645" s="2348"/>
      <c r="V1645" s="2348"/>
      <c r="W1645" s="2347"/>
      <c r="X1645" s="2347"/>
      <c r="Y1645" s="2589"/>
      <c r="Z1645" s="2589"/>
      <c r="AA1645" s="2589"/>
      <c r="AB1645" s="2589"/>
      <c r="AC1645" s="2589"/>
    </row>
    <row r="1646" spans="1:29">
      <c r="A1646" s="2589"/>
      <c r="B1646" s="2346"/>
      <c r="C1646" s="2589"/>
      <c r="D1646" s="2589"/>
      <c r="E1646" s="2345"/>
      <c r="F1646" s="2589"/>
      <c r="G1646" s="2346"/>
      <c r="H1646" s="2589"/>
      <c r="I1646" s="2589"/>
      <c r="J1646" s="2589"/>
      <c r="K1646" s="2347"/>
      <c r="L1646" s="2589"/>
      <c r="M1646" s="2589"/>
      <c r="N1646" s="2589"/>
      <c r="O1646" s="2589"/>
      <c r="P1646" s="2346"/>
      <c r="Q1646" s="2589"/>
      <c r="R1646" s="2347"/>
      <c r="S1646" s="2347"/>
      <c r="T1646" s="2348"/>
      <c r="U1646" s="2348"/>
      <c r="V1646" s="2348"/>
      <c r="W1646" s="2347"/>
      <c r="X1646" s="2347"/>
      <c r="Y1646" s="2589"/>
      <c r="Z1646" s="2589"/>
      <c r="AA1646" s="2589"/>
      <c r="AB1646" s="2589"/>
      <c r="AC1646" s="2589"/>
    </row>
  </sheetData>
  <autoFilter ref="A8:AC1046" xr:uid="{9928708F-7881-45C8-B39E-804B30324889}">
    <filterColumn colId="27" showButton="0"/>
  </autoFilter>
  <mergeCells count="1">
    <mergeCell ref="AB8:AC8"/>
  </mergeCells>
  <pageMargins left="0" right="0" top="0.78740157480314965" bottom="0.78740157480314965" header="0.31496062992125984" footer="0.31496062992125984"/>
  <pageSetup paperSize="9" scale="64" fitToHeight="5" orientation="landscape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B3805-8E51-454E-A7B9-3BCF04E267B5}">
  <sheetPr filterMode="1"/>
  <dimension ref="A1:R1261"/>
  <sheetViews>
    <sheetView topLeftCell="A3" workbookViewId="0">
      <pane ySplit="7" topLeftCell="A11" activePane="bottomLeft" state="frozen"/>
      <selection activeCell="A3" sqref="A3"/>
      <selection pane="bottomLeft" activeCell="P27" sqref="P27"/>
    </sheetView>
  </sheetViews>
  <sheetFormatPr defaultColWidth="9.140625" defaultRowHeight="15"/>
  <cols>
    <col min="1" max="1" width="13.5703125" style="374" customWidth="1"/>
    <col min="2" max="2" width="16.28515625" style="374" customWidth="1"/>
    <col min="3" max="3" width="7.42578125" style="374" customWidth="1"/>
    <col min="4" max="4" width="20.7109375" style="371" customWidth="1"/>
    <col min="5" max="5" width="7.85546875" style="374" customWidth="1"/>
    <col min="6" max="7" width="13" style="374" customWidth="1"/>
    <col min="8" max="8" width="13.42578125" style="374" customWidth="1"/>
    <col min="9" max="9" width="21.28515625" style="1469" hidden="1" customWidth="1"/>
    <col min="10" max="10" width="18.28515625" style="1469" hidden="1" customWidth="1"/>
    <col min="11" max="11" width="20.28515625" style="1469" hidden="1" customWidth="1"/>
    <col min="12" max="12" width="13.85546875" style="371" customWidth="1"/>
    <col min="13" max="13" width="15.5703125" style="374" bestFit="1" customWidth="1"/>
    <col min="14" max="14" width="13.7109375" style="2503" customWidth="1"/>
    <col min="15" max="17" width="9.140625" style="2503"/>
    <col min="18" max="18" width="13.42578125" style="2503" customWidth="1"/>
    <col min="19" max="16384" width="9.140625" style="1944"/>
  </cols>
  <sheetData>
    <row r="1" spans="1:18">
      <c r="C1" s="358"/>
    </row>
    <row r="2" spans="1:18">
      <c r="C2" s="359"/>
    </row>
    <row r="3" spans="1:18">
      <c r="C3" s="360"/>
    </row>
    <row r="4" spans="1:18">
      <c r="C4" s="360"/>
    </row>
    <row r="5" spans="1:18">
      <c r="C5" s="360"/>
    </row>
    <row r="6" spans="1:18">
      <c r="C6" s="360"/>
    </row>
    <row r="7" spans="1:18">
      <c r="C7" s="360"/>
    </row>
    <row r="8" spans="1:18" ht="75">
      <c r="A8" s="2498" t="s">
        <v>3484</v>
      </c>
      <c r="B8" s="2498" t="s">
        <v>11</v>
      </c>
      <c r="C8" s="2498" t="s">
        <v>1164</v>
      </c>
      <c r="D8" s="1194" t="s">
        <v>15</v>
      </c>
      <c r="E8" s="1192" t="s">
        <v>3</v>
      </c>
      <c r="F8" s="2498" t="s">
        <v>4</v>
      </c>
      <c r="G8" s="2498" t="s">
        <v>6</v>
      </c>
      <c r="H8" s="2498" t="s">
        <v>3485</v>
      </c>
      <c r="I8" s="1528" t="s">
        <v>3491</v>
      </c>
      <c r="J8" s="1528" t="s">
        <v>3492</v>
      </c>
      <c r="K8" s="1528" t="s">
        <v>3493</v>
      </c>
      <c r="L8" s="1194" t="s">
        <v>3486</v>
      </c>
      <c r="M8" s="2498" t="s">
        <v>10</v>
      </c>
      <c r="N8" s="2502" t="s">
        <v>10896</v>
      </c>
      <c r="O8" s="2502" t="s">
        <v>10897</v>
      </c>
      <c r="P8" s="2502" t="s">
        <v>10898</v>
      </c>
      <c r="Q8" s="2502" t="s">
        <v>10899</v>
      </c>
      <c r="R8" s="2502" t="s">
        <v>10900</v>
      </c>
    </row>
    <row r="9" spans="1:18" hidden="1">
      <c r="A9" s="491" t="s">
        <v>239</v>
      </c>
      <c r="B9" s="1373" t="s">
        <v>6247</v>
      </c>
      <c r="C9" s="491" t="s">
        <v>69</v>
      </c>
      <c r="D9" s="536">
        <v>150000000</v>
      </c>
      <c r="E9" s="491" t="s">
        <v>251</v>
      </c>
      <c r="F9" s="537">
        <v>43861</v>
      </c>
      <c r="G9" s="537">
        <v>43943</v>
      </c>
      <c r="H9" s="537">
        <v>44222</v>
      </c>
      <c r="I9" s="1471"/>
      <c r="J9" s="1471"/>
      <c r="K9" s="1471"/>
      <c r="L9" s="573">
        <v>44222</v>
      </c>
      <c r="M9" s="537">
        <v>44264</v>
      </c>
      <c r="N9" s="2501" t="s">
        <v>10901</v>
      </c>
      <c r="O9" s="2501"/>
      <c r="P9" s="2501"/>
      <c r="R9" s="2501"/>
    </row>
    <row r="10" spans="1:18" hidden="1">
      <c r="A10" s="491" t="s">
        <v>3585</v>
      </c>
      <c r="B10" s="1373" t="s">
        <v>6294</v>
      </c>
      <c r="C10" s="491" t="s">
        <v>58</v>
      </c>
      <c r="D10" s="536">
        <v>431388000</v>
      </c>
      <c r="E10" s="491" t="s">
        <v>251</v>
      </c>
      <c r="F10" s="537">
        <v>43895</v>
      </c>
      <c r="G10" s="537">
        <v>43930</v>
      </c>
      <c r="H10" s="537">
        <v>43990</v>
      </c>
      <c r="I10" s="1471"/>
      <c r="J10" s="1471"/>
      <c r="K10" s="1471"/>
      <c r="L10" s="573">
        <v>43991</v>
      </c>
      <c r="M10" s="537">
        <v>44222</v>
      </c>
      <c r="N10" s="2501"/>
      <c r="O10" s="2501"/>
      <c r="P10" s="2501"/>
      <c r="Q10" s="2501"/>
      <c r="R10" s="2501"/>
    </row>
    <row r="11" spans="1:18">
      <c r="A11" s="537">
        <v>44025</v>
      </c>
      <c r="B11" s="1373" t="s">
        <v>7146</v>
      </c>
      <c r="C11" s="491" t="s">
        <v>2434</v>
      </c>
      <c r="D11" s="536">
        <v>274000</v>
      </c>
      <c r="E11" s="491" t="s">
        <v>251</v>
      </c>
      <c r="F11" s="537">
        <v>44061</v>
      </c>
      <c r="G11" s="537">
        <v>44120</v>
      </c>
      <c r="H11" s="537">
        <v>44179</v>
      </c>
      <c r="I11" s="1471"/>
      <c r="J11" s="1471"/>
      <c r="K11" s="1471"/>
      <c r="L11" s="573">
        <v>44180</v>
      </c>
      <c r="M11" s="537">
        <v>44231</v>
      </c>
      <c r="N11" s="2503">
        <f t="shared" ref="N11:N25" si="0">F11-A11</f>
        <v>36</v>
      </c>
      <c r="O11" s="2503">
        <f t="shared" ref="O11:O25" si="1">G11-F11</f>
        <v>59</v>
      </c>
      <c r="P11" s="2503">
        <f t="shared" ref="P11:P25" si="2">H11-G11</f>
        <v>59</v>
      </c>
      <c r="Q11" s="2503">
        <f t="shared" ref="Q11:Q25" si="3">M11-H11</f>
        <v>52</v>
      </c>
      <c r="R11" s="2503">
        <f t="shared" ref="R11:R25" si="4">M11-A11</f>
        <v>206</v>
      </c>
    </row>
    <row r="12" spans="1:18">
      <c r="A12" s="537">
        <v>44025</v>
      </c>
      <c r="B12" s="1373" t="s">
        <v>7146</v>
      </c>
      <c r="C12" s="491" t="s">
        <v>2434</v>
      </c>
      <c r="D12" s="536">
        <v>5400000</v>
      </c>
      <c r="E12" s="491" t="s">
        <v>251</v>
      </c>
      <c r="F12" s="537">
        <v>44061</v>
      </c>
      <c r="G12" s="537">
        <v>44120</v>
      </c>
      <c r="H12" s="537">
        <v>44179</v>
      </c>
      <c r="I12" s="1471"/>
      <c r="J12" s="1471"/>
      <c r="K12" s="1471"/>
      <c r="L12" s="573">
        <v>44180</v>
      </c>
      <c r="M12" s="537">
        <v>44217</v>
      </c>
      <c r="N12" s="2503">
        <f t="shared" si="0"/>
        <v>36</v>
      </c>
      <c r="O12" s="2503">
        <f t="shared" si="1"/>
        <v>59</v>
      </c>
      <c r="P12" s="2503">
        <f t="shared" si="2"/>
        <v>59</v>
      </c>
      <c r="Q12" s="2503">
        <f t="shared" si="3"/>
        <v>38</v>
      </c>
      <c r="R12" s="2503">
        <f t="shared" si="4"/>
        <v>192</v>
      </c>
    </row>
    <row r="13" spans="1:18">
      <c r="A13" s="537">
        <v>44025</v>
      </c>
      <c r="B13" s="1373" t="s">
        <v>7146</v>
      </c>
      <c r="C13" s="491" t="s">
        <v>2434</v>
      </c>
      <c r="D13" s="536">
        <v>964000</v>
      </c>
      <c r="E13" s="491" t="s">
        <v>251</v>
      </c>
      <c r="F13" s="537">
        <v>44061</v>
      </c>
      <c r="G13" s="537">
        <v>44120</v>
      </c>
      <c r="H13" s="537">
        <v>44179</v>
      </c>
      <c r="I13" s="1471"/>
      <c r="J13" s="1471"/>
      <c r="K13" s="1471"/>
      <c r="L13" s="573">
        <v>44180</v>
      </c>
      <c r="M13" s="537">
        <v>44231</v>
      </c>
      <c r="N13" s="2503">
        <f t="shared" si="0"/>
        <v>36</v>
      </c>
      <c r="O13" s="2503">
        <f t="shared" si="1"/>
        <v>59</v>
      </c>
      <c r="P13" s="2503">
        <f t="shared" si="2"/>
        <v>59</v>
      </c>
      <c r="Q13" s="2503">
        <f t="shared" si="3"/>
        <v>52</v>
      </c>
      <c r="R13" s="2503">
        <f t="shared" si="4"/>
        <v>206</v>
      </c>
    </row>
    <row r="14" spans="1:18">
      <c r="A14" s="537">
        <v>44025</v>
      </c>
      <c r="B14" s="1373" t="s">
        <v>7146</v>
      </c>
      <c r="C14" s="491" t="s">
        <v>2434</v>
      </c>
      <c r="D14" s="536">
        <v>995000</v>
      </c>
      <c r="E14" s="491" t="s">
        <v>251</v>
      </c>
      <c r="F14" s="537">
        <v>44061</v>
      </c>
      <c r="G14" s="537">
        <v>44120</v>
      </c>
      <c r="H14" s="537">
        <v>44179</v>
      </c>
      <c r="I14" s="1484"/>
      <c r="J14" s="1484"/>
      <c r="K14" s="1484"/>
      <c r="L14" s="573">
        <v>44180</v>
      </c>
      <c r="M14" s="537">
        <v>44217</v>
      </c>
      <c r="N14" s="2503">
        <f t="shared" si="0"/>
        <v>36</v>
      </c>
      <c r="O14" s="2503">
        <f t="shared" si="1"/>
        <v>59</v>
      </c>
      <c r="P14" s="2503">
        <f t="shared" si="2"/>
        <v>59</v>
      </c>
      <c r="Q14" s="2503">
        <f t="shared" si="3"/>
        <v>38</v>
      </c>
      <c r="R14" s="2503">
        <f t="shared" si="4"/>
        <v>192</v>
      </c>
    </row>
    <row r="15" spans="1:18">
      <c r="A15" s="537">
        <v>44025</v>
      </c>
      <c r="B15" s="1373" t="s">
        <v>7146</v>
      </c>
      <c r="C15" s="491" t="s">
        <v>2434</v>
      </c>
      <c r="D15" s="536">
        <v>2820000</v>
      </c>
      <c r="E15" s="491" t="s">
        <v>251</v>
      </c>
      <c r="F15" s="537">
        <v>44061</v>
      </c>
      <c r="G15" s="537">
        <v>44120</v>
      </c>
      <c r="H15" s="537">
        <v>44179</v>
      </c>
      <c r="I15" s="1484"/>
      <c r="J15" s="1484"/>
      <c r="K15" s="1484"/>
      <c r="L15" s="573">
        <v>44180</v>
      </c>
      <c r="M15" s="537">
        <v>44217</v>
      </c>
      <c r="N15" s="2503">
        <f t="shared" si="0"/>
        <v>36</v>
      </c>
      <c r="O15" s="2503">
        <f t="shared" si="1"/>
        <v>59</v>
      </c>
      <c r="P15" s="2503">
        <f t="shared" si="2"/>
        <v>59</v>
      </c>
      <c r="Q15" s="2503">
        <f t="shared" si="3"/>
        <v>38</v>
      </c>
      <c r="R15" s="2503">
        <f t="shared" si="4"/>
        <v>192</v>
      </c>
    </row>
    <row r="16" spans="1:18">
      <c r="A16" s="537">
        <v>44025</v>
      </c>
      <c r="B16" s="1373" t="s">
        <v>7146</v>
      </c>
      <c r="C16" s="491" t="s">
        <v>2434</v>
      </c>
      <c r="D16" s="536">
        <v>1365043</v>
      </c>
      <c r="E16" s="491" t="s">
        <v>251</v>
      </c>
      <c r="F16" s="537">
        <v>44061</v>
      </c>
      <c r="G16" s="537">
        <v>44120</v>
      </c>
      <c r="H16" s="537">
        <v>44179</v>
      </c>
      <c r="I16" s="1484"/>
      <c r="J16" s="1484"/>
      <c r="K16" s="1484"/>
      <c r="L16" s="573">
        <v>44180</v>
      </c>
      <c r="M16" s="537">
        <v>44217</v>
      </c>
      <c r="N16" s="2503">
        <f t="shared" si="0"/>
        <v>36</v>
      </c>
      <c r="O16" s="2503">
        <f t="shared" si="1"/>
        <v>59</v>
      </c>
      <c r="P16" s="2503">
        <f t="shared" si="2"/>
        <v>59</v>
      </c>
      <c r="Q16" s="2503">
        <f t="shared" si="3"/>
        <v>38</v>
      </c>
      <c r="R16" s="2503">
        <f t="shared" si="4"/>
        <v>192</v>
      </c>
    </row>
    <row r="17" spans="1:18">
      <c r="A17" s="537">
        <v>44025</v>
      </c>
      <c r="B17" s="1373" t="s">
        <v>7146</v>
      </c>
      <c r="C17" s="491" t="s">
        <v>2434</v>
      </c>
      <c r="D17" s="536">
        <v>7630000</v>
      </c>
      <c r="E17" s="491" t="s">
        <v>251</v>
      </c>
      <c r="F17" s="537">
        <v>44061</v>
      </c>
      <c r="G17" s="537">
        <v>44120</v>
      </c>
      <c r="H17" s="537">
        <v>44179</v>
      </c>
      <c r="I17" s="1484"/>
      <c r="J17" s="1484"/>
      <c r="K17" s="1484"/>
      <c r="L17" s="573">
        <v>44180</v>
      </c>
      <c r="M17" s="537">
        <v>44217</v>
      </c>
      <c r="N17" s="2503">
        <f t="shared" si="0"/>
        <v>36</v>
      </c>
      <c r="O17" s="2503">
        <f t="shared" si="1"/>
        <v>59</v>
      </c>
      <c r="P17" s="2503">
        <f t="shared" si="2"/>
        <v>59</v>
      </c>
      <c r="Q17" s="2503">
        <f t="shared" si="3"/>
        <v>38</v>
      </c>
      <c r="R17" s="2503">
        <f t="shared" si="4"/>
        <v>192</v>
      </c>
    </row>
    <row r="18" spans="1:18">
      <c r="A18" s="537">
        <v>44025</v>
      </c>
      <c r="B18" s="1373" t="s">
        <v>7146</v>
      </c>
      <c r="C18" s="491" t="s">
        <v>2434</v>
      </c>
      <c r="D18" s="536">
        <v>1800000</v>
      </c>
      <c r="E18" s="491" t="s">
        <v>251</v>
      </c>
      <c r="F18" s="537">
        <v>44061</v>
      </c>
      <c r="G18" s="537">
        <v>44120</v>
      </c>
      <c r="H18" s="537">
        <v>44179</v>
      </c>
      <c r="I18" s="1484"/>
      <c r="J18" s="1484"/>
      <c r="K18" s="1484"/>
      <c r="L18" s="573">
        <v>44180</v>
      </c>
      <c r="M18" s="537">
        <v>44217</v>
      </c>
      <c r="N18" s="2503">
        <f t="shared" si="0"/>
        <v>36</v>
      </c>
      <c r="O18" s="2503">
        <f t="shared" si="1"/>
        <v>59</v>
      </c>
      <c r="P18" s="2503">
        <f t="shared" si="2"/>
        <v>59</v>
      </c>
      <c r="Q18" s="2503">
        <f t="shared" si="3"/>
        <v>38</v>
      </c>
      <c r="R18" s="2503">
        <f t="shared" si="4"/>
        <v>192</v>
      </c>
    </row>
    <row r="19" spans="1:18">
      <c r="A19" s="537">
        <v>44025</v>
      </c>
      <c r="B19" s="1373" t="s">
        <v>7146</v>
      </c>
      <c r="C19" s="491" t="s">
        <v>2434</v>
      </c>
      <c r="D19" s="536">
        <v>3460000</v>
      </c>
      <c r="E19" s="491" t="s">
        <v>251</v>
      </c>
      <c r="F19" s="537">
        <v>44061</v>
      </c>
      <c r="G19" s="537">
        <v>44120</v>
      </c>
      <c r="H19" s="537">
        <v>44179</v>
      </c>
      <c r="I19" s="1471"/>
      <c r="J19" s="1471"/>
      <c r="K19" s="1471"/>
      <c r="L19" s="573">
        <v>44181</v>
      </c>
      <c r="M19" s="537">
        <v>44231</v>
      </c>
      <c r="N19" s="2503">
        <f t="shared" si="0"/>
        <v>36</v>
      </c>
      <c r="O19" s="2503">
        <f t="shared" si="1"/>
        <v>59</v>
      </c>
      <c r="P19" s="2503">
        <f t="shared" si="2"/>
        <v>59</v>
      </c>
      <c r="Q19" s="2503">
        <f t="shared" si="3"/>
        <v>52</v>
      </c>
      <c r="R19" s="2503">
        <f t="shared" si="4"/>
        <v>206</v>
      </c>
    </row>
    <row r="20" spans="1:18">
      <c r="A20" s="537">
        <v>44025</v>
      </c>
      <c r="B20" s="1373" t="s">
        <v>7146</v>
      </c>
      <c r="C20" s="491" t="s">
        <v>2434</v>
      </c>
      <c r="D20" s="536">
        <v>2778000</v>
      </c>
      <c r="E20" s="491" t="s">
        <v>251</v>
      </c>
      <c r="F20" s="537">
        <v>44061</v>
      </c>
      <c r="G20" s="537">
        <v>44120</v>
      </c>
      <c r="H20" s="537">
        <v>44179</v>
      </c>
      <c r="I20" s="1484"/>
      <c r="J20" s="1484"/>
      <c r="K20" s="1484"/>
      <c r="L20" s="573">
        <v>44181</v>
      </c>
      <c r="M20" s="537">
        <v>44217</v>
      </c>
      <c r="N20" s="2503">
        <f t="shared" si="0"/>
        <v>36</v>
      </c>
      <c r="O20" s="2503">
        <f t="shared" si="1"/>
        <v>59</v>
      </c>
      <c r="P20" s="2503">
        <f t="shared" si="2"/>
        <v>59</v>
      </c>
      <c r="Q20" s="2503">
        <f t="shared" si="3"/>
        <v>38</v>
      </c>
      <c r="R20" s="2503">
        <f t="shared" si="4"/>
        <v>192</v>
      </c>
    </row>
    <row r="21" spans="1:18">
      <c r="A21" s="537">
        <v>44025</v>
      </c>
      <c r="B21" s="1373" t="s">
        <v>7146</v>
      </c>
      <c r="C21" s="491" t="s">
        <v>2434</v>
      </c>
      <c r="D21" s="536">
        <v>2260000</v>
      </c>
      <c r="E21" s="491" t="s">
        <v>251</v>
      </c>
      <c r="F21" s="537">
        <v>44061</v>
      </c>
      <c r="G21" s="537">
        <v>44120</v>
      </c>
      <c r="H21" s="537">
        <v>44179</v>
      </c>
      <c r="I21" s="1471"/>
      <c r="J21" s="1471"/>
      <c r="K21" s="1471"/>
      <c r="L21" s="573">
        <v>44181</v>
      </c>
      <c r="M21" s="537">
        <v>44231</v>
      </c>
      <c r="N21" s="2503">
        <f t="shared" si="0"/>
        <v>36</v>
      </c>
      <c r="O21" s="2503">
        <f t="shared" si="1"/>
        <v>59</v>
      </c>
      <c r="P21" s="2503">
        <f t="shared" si="2"/>
        <v>59</v>
      </c>
      <c r="Q21" s="2503">
        <f t="shared" si="3"/>
        <v>52</v>
      </c>
      <c r="R21" s="2503">
        <f t="shared" si="4"/>
        <v>206</v>
      </c>
    </row>
    <row r="22" spans="1:18" ht="15.75" thickBot="1">
      <c r="A22" s="1380">
        <v>44025</v>
      </c>
      <c r="B22" s="1377" t="s">
        <v>7146</v>
      </c>
      <c r="C22" s="1376" t="s">
        <v>2434</v>
      </c>
      <c r="D22" s="1379">
        <v>2070000</v>
      </c>
      <c r="E22" s="1376" t="s">
        <v>251</v>
      </c>
      <c r="F22" s="1380">
        <v>44061</v>
      </c>
      <c r="G22" s="1380">
        <v>44120</v>
      </c>
      <c r="H22" s="1380">
        <v>44179</v>
      </c>
      <c r="I22" s="1485"/>
      <c r="J22" s="1485"/>
      <c r="K22" s="1485"/>
      <c r="L22" s="1388">
        <v>44181</v>
      </c>
      <c r="M22" s="1380">
        <v>44217</v>
      </c>
      <c r="N22" s="2503">
        <f t="shared" si="0"/>
        <v>36</v>
      </c>
      <c r="O22" s="2503">
        <f t="shared" si="1"/>
        <v>59</v>
      </c>
      <c r="P22" s="2503">
        <f t="shared" si="2"/>
        <v>59</v>
      </c>
      <c r="Q22" s="2503">
        <f t="shared" si="3"/>
        <v>38</v>
      </c>
      <c r="R22" s="2503">
        <f t="shared" si="4"/>
        <v>192</v>
      </c>
    </row>
    <row r="23" spans="1:18" ht="15.75" thickTop="1">
      <c r="A23" s="537">
        <v>44050</v>
      </c>
      <c r="B23" s="1373" t="s">
        <v>7312</v>
      </c>
      <c r="C23" s="491" t="s">
        <v>69</v>
      </c>
      <c r="D23" s="536">
        <v>4474683</v>
      </c>
      <c r="E23" s="491" t="s">
        <v>251</v>
      </c>
      <c r="F23" s="537">
        <v>44057</v>
      </c>
      <c r="G23" s="537">
        <v>44091</v>
      </c>
      <c r="H23" s="537">
        <v>44182</v>
      </c>
      <c r="I23" s="1471"/>
      <c r="J23" s="1471"/>
      <c r="K23" s="1471"/>
      <c r="L23" s="573">
        <v>44183</v>
      </c>
      <c r="M23" s="537">
        <v>44225</v>
      </c>
      <c r="N23" s="2503">
        <f t="shared" si="0"/>
        <v>7</v>
      </c>
      <c r="O23" s="2503">
        <f t="shared" si="1"/>
        <v>34</v>
      </c>
      <c r="P23" s="2503">
        <f t="shared" si="2"/>
        <v>91</v>
      </c>
      <c r="Q23" s="2503">
        <f t="shared" si="3"/>
        <v>43</v>
      </c>
      <c r="R23" s="2503">
        <f t="shared" si="4"/>
        <v>175</v>
      </c>
    </row>
    <row r="24" spans="1:18">
      <c r="A24" s="537">
        <v>44050</v>
      </c>
      <c r="B24" s="1373" t="s">
        <v>7312</v>
      </c>
      <c r="C24" s="491" t="s">
        <v>69</v>
      </c>
      <c r="D24" s="536">
        <v>1138770</v>
      </c>
      <c r="E24" s="491" t="s">
        <v>251</v>
      </c>
      <c r="F24" s="537">
        <v>44057</v>
      </c>
      <c r="G24" s="537">
        <v>44091</v>
      </c>
      <c r="H24" s="537">
        <v>44182</v>
      </c>
      <c r="I24" s="1471"/>
      <c r="J24" s="1471"/>
      <c r="K24" s="1471"/>
      <c r="L24" s="573">
        <v>44183</v>
      </c>
      <c r="M24" s="537">
        <v>44225</v>
      </c>
      <c r="N24" s="2503">
        <f t="shared" si="0"/>
        <v>7</v>
      </c>
      <c r="O24" s="2503">
        <f t="shared" si="1"/>
        <v>34</v>
      </c>
      <c r="P24" s="2503">
        <f t="shared" si="2"/>
        <v>91</v>
      </c>
      <c r="Q24" s="2503">
        <f t="shared" si="3"/>
        <v>43</v>
      </c>
      <c r="R24" s="2503">
        <f t="shared" si="4"/>
        <v>175</v>
      </c>
    </row>
    <row r="25" spans="1:18" ht="15.75" thickBot="1">
      <c r="A25" s="1380">
        <v>44050</v>
      </c>
      <c r="B25" s="1377" t="s">
        <v>7312</v>
      </c>
      <c r="C25" s="1376" t="s">
        <v>69</v>
      </c>
      <c r="D25" s="1379">
        <v>933372</v>
      </c>
      <c r="E25" s="1376" t="s">
        <v>251</v>
      </c>
      <c r="F25" s="1380">
        <v>44057</v>
      </c>
      <c r="G25" s="1380">
        <v>44091</v>
      </c>
      <c r="H25" s="1380">
        <v>44174</v>
      </c>
      <c r="I25" s="1475"/>
      <c r="J25" s="1475"/>
      <c r="K25" s="1475"/>
      <c r="L25" s="1388">
        <v>44174</v>
      </c>
      <c r="M25" s="1380">
        <v>44225</v>
      </c>
      <c r="N25" s="2503">
        <f t="shared" si="0"/>
        <v>7</v>
      </c>
      <c r="O25" s="2503">
        <f t="shared" si="1"/>
        <v>34</v>
      </c>
      <c r="P25" s="2503">
        <f t="shared" si="2"/>
        <v>83</v>
      </c>
      <c r="Q25" s="2503">
        <f t="shared" si="3"/>
        <v>51</v>
      </c>
      <c r="R25" s="2503">
        <f t="shared" si="4"/>
        <v>175</v>
      </c>
    </row>
    <row r="26" spans="1:18" ht="15.75" hidden="1" thickTop="1">
      <c r="A26" s="643">
        <v>44057</v>
      </c>
      <c r="B26" s="639" t="s">
        <v>7374</v>
      </c>
      <c r="C26" s="639" t="s">
        <v>52</v>
      </c>
      <c r="D26" s="645">
        <v>62500000</v>
      </c>
      <c r="E26" s="639" t="s">
        <v>251</v>
      </c>
      <c r="F26" s="643">
        <v>44147</v>
      </c>
      <c r="G26" s="643">
        <v>44179</v>
      </c>
      <c r="H26" s="639"/>
      <c r="I26" s="1534"/>
      <c r="J26" s="1534"/>
      <c r="K26" s="1534"/>
      <c r="L26" s="645"/>
      <c r="M26" s="639"/>
      <c r="N26" s="2501"/>
      <c r="O26" s="2501"/>
      <c r="P26" s="2501"/>
      <c r="Q26" s="2501"/>
      <c r="R26" s="2501"/>
    </row>
    <row r="27" spans="1:18" ht="15.75" thickTop="1">
      <c r="A27" s="537">
        <v>44068</v>
      </c>
      <c r="B27" s="491" t="s">
        <v>7455</v>
      </c>
      <c r="C27" s="491" t="s">
        <v>1032</v>
      </c>
      <c r="D27" s="536">
        <v>8650000</v>
      </c>
      <c r="E27" s="491" t="s">
        <v>216</v>
      </c>
      <c r="F27" s="537">
        <v>44089</v>
      </c>
      <c r="G27" s="537">
        <v>44112</v>
      </c>
      <c r="H27" s="537">
        <v>44147</v>
      </c>
      <c r="I27" s="1471"/>
      <c r="J27" s="1471"/>
      <c r="K27" s="1471"/>
      <c r="L27" s="573">
        <v>44148</v>
      </c>
      <c r="M27" s="537">
        <v>44208</v>
      </c>
      <c r="N27" s="2503">
        <f t="shared" ref="N27:N28" si="5">F27-A27</f>
        <v>21</v>
      </c>
      <c r="O27" s="2503">
        <f t="shared" ref="O27:O28" si="6">G27-F27</f>
        <v>23</v>
      </c>
      <c r="P27" s="2503">
        <f t="shared" ref="P27:P28" si="7">H27-G27</f>
        <v>35</v>
      </c>
      <c r="Q27" s="2503">
        <f t="shared" ref="Q27:Q28" si="8">M27-H27</f>
        <v>61</v>
      </c>
      <c r="R27" s="2503">
        <f t="shared" ref="R27:R28" si="9">M27-A27</f>
        <v>140</v>
      </c>
    </row>
    <row r="28" spans="1:18">
      <c r="A28" s="537">
        <v>44069</v>
      </c>
      <c r="B28" s="491" t="s">
        <v>7462</v>
      </c>
      <c r="C28" s="491" t="s">
        <v>52</v>
      </c>
      <c r="D28" s="536">
        <v>40000000</v>
      </c>
      <c r="E28" s="491" t="s">
        <v>251</v>
      </c>
      <c r="F28" s="537">
        <v>44078</v>
      </c>
      <c r="G28" s="537">
        <v>44137</v>
      </c>
      <c r="H28" s="537">
        <v>44232</v>
      </c>
      <c r="I28" s="1471"/>
      <c r="J28" s="1471"/>
      <c r="K28" s="1471"/>
      <c r="L28" s="573">
        <v>44232</v>
      </c>
      <c r="M28" s="537">
        <v>44267</v>
      </c>
      <c r="N28" s="2503">
        <f t="shared" si="5"/>
        <v>9</v>
      </c>
      <c r="O28" s="2503">
        <f t="shared" si="6"/>
        <v>59</v>
      </c>
      <c r="P28" s="2503">
        <f t="shared" si="7"/>
        <v>95</v>
      </c>
      <c r="Q28" s="2503">
        <f t="shared" si="8"/>
        <v>35</v>
      </c>
      <c r="R28" s="2503">
        <f t="shared" si="9"/>
        <v>198</v>
      </c>
    </row>
    <row r="29" spans="1:18" hidden="1">
      <c r="A29" s="510">
        <v>44075</v>
      </c>
      <c r="B29" s="506" t="s">
        <v>7482</v>
      </c>
      <c r="C29" s="506" t="s">
        <v>52</v>
      </c>
      <c r="D29" s="511">
        <v>40000000</v>
      </c>
      <c r="E29" s="506" t="s">
        <v>251</v>
      </c>
      <c r="F29" s="510">
        <v>44081</v>
      </c>
      <c r="G29" s="510">
        <v>44141</v>
      </c>
      <c r="H29" s="506"/>
      <c r="I29" s="1470"/>
      <c r="J29" s="1470"/>
      <c r="K29" s="1470"/>
      <c r="L29" s="511"/>
      <c r="M29" s="506"/>
    </row>
    <row r="30" spans="1:18" ht="15.75" thickBot="1">
      <c r="A30" s="537">
        <v>44075</v>
      </c>
      <c r="B30" s="491" t="s">
        <v>7485</v>
      </c>
      <c r="C30" s="491" t="s">
        <v>58</v>
      </c>
      <c r="D30" s="536">
        <v>100000000</v>
      </c>
      <c r="E30" s="491" t="s">
        <v>251</v>
      </c>
      <c r="F30" s="537">
        <v>44182</v>
      </c>
      <c r="G30" s="537">
        <v>44225</v>
      </c>
      <c r="H30" s="537">
        <v>44246</v>
      </c>
      <c r="I30" s="1471"/>
      <c r="J30" s="1471"/>
      <c r="K30" s="1471"/>
      <c r="L30" s="573">
        <v>44249</v>
      </c>
      <c r="M30" s="537">
        <v>44280</v>
      </c>
      <c r="N30" s="2503">
        <f t="shared" ref="N30:N46" si="10">F30-A30</f>
        <v>107</v>
      </c>
      <c r="O30" s="2503">
        <f t="shared" ref="O30:O46" si="11">G30-F30</f>
        <v>43</v>
      </c>
      <c r="P30" s="2503">
        <f t="shared" ref="P30:P46" si="12">H30-G30</f>
        <v>21</v>
      </c>
      <c r="Q30" s="2503">
        <f t="shared" ref="Q30:Q46" si="13">M30-H30</f>
        <v>34</v>
      </c>
      <c r="R30" s="2503">
        <f t="shared" ref="R30:R46" si="14">M30-A30</f>
        <v>205</v>
      </c>
    </row>
    <row r="31" spans="1:18" ht="15.75" thickTop="1">
      <c r="A31" s="474">
        <v>44078</v>
      </c>
      <c r="B31" s="453" t="s">
        <v>7529</v>
      </c>
      <c r="C31" s="453" t="s">
        <v>69</v>
      </c>
      <c r="D31" s="457">
        <v>17281625</v>
      </c>
      <c r="E31" s="453" t="s">
        <v>251</v>
      </c>
      <c r="F31" s="474">
        <v>44081</v>
      </c>
      <c r="G31" s="474">
        <v>44151</v>
      </c>
      <c r="H31" s="474">
        <v>44183</v>
      </c>
      <c r="I31" s="1474"/>
      <c r="J31" s="1474"/>
      <c r="K31" s="1474"/>
      <c r="L31" s="570">
        <v>44183</v>
      </c>
      <c r="M31" s="474">
        <v>44204</v>
      </c>
      <c r="N31" s="2503">
        <f t="shared" si="10"/>
        <v>3</v>
      </c>
      <c r="O31" s="2503">
        <f t="shared" si="11"/>
        <v>70</v>
      </c>
      <c r="P31" s="2503">
        <f t="shared" si="12"/>
        <v>32</v>
      </c>
      <c r="Q31" s="2503">
        <f t="shared" si="13"/>
        <v>21</v>
      </c>
      <c r="R31" s="2503">
        <f t="shared" si="14"/>
        <v>126</v>
      </c>
    </row>
    <row r="32" spans="1:18">
      <c r="A32" s="537">
        <v>44078</v>
      </c>
      <c r="B32" s="491" t="s">
        <v>7529</v>
      </c>
      <c r="C32" s="491" t="s">
        <v>69</v>
      </c>
      <c r="D32" s="536">
        <v>1223550</v>
      </c>
      <c r="E32" s="491" t="s">
        <v>251</v>
      </c>
      <c r="F32" s="537">
        <v>44081</v>
      </c>
      <c r="G32" s="537">
        <v>44151</v>
      </c>
      <c r="H32" s="537">
        <v>44183</v>
      </c>
      <c r="I32" s="1471"/>
      <c r="J32" s="1471"/>
      <c r="K32" s="1471"/>
      <c r="L32" s="573">
        <v>44183</v>
      </c>
      <c r="M32" s="537">
        <v>44204</v>
      </c>
      <c r="N32" s="2503">
        <f t="shared" si="10"/>
        <v>3</v>
      </c>
      <c r="O32" s="2503">
        <f t="shared" si="11"/>
        <v>70</v>
      </c>
      <c r="P32" s="2503">
        <f t="shared" si="12"/>
        <v>32</v>
      </c>
      <c r="Q32" s="2503">
        <f t="shared" si="13"/>
        <v>21</v>
      </c>
      <c r="R32" s="2503">
        <f t="shared" si="14"/>
        <v>126</v>
      </c>
    </row>
    <row r="33" spans="1:18" ht="15.75" thickBot="1">
      <c r="A33" s="1380">
        <v>44078</v>
      </c>
      <c r="B33" s="1376" t="s">
        <v>7529</v>
      </c>
      <c r="C33" s="1376" t="s">
        <v>69</v>
      </c>
      <c r="D33" s="1379">
        <v>98897533</v>
      </c>
      <c r="E33" s="1376" t="s">
        <v>251</v>
      </c>
      <c r="F33" s="1380">
        <v>44081</v>
      </c>
      <c r="G33" s="1380">
        <v>44151</v>
      </c>
      <c r="H33" s="1380">
        <v>44183</v>
      </c>
      <c r="I33" s="1475"/>
      <c r="J33" s="1475"/>
      <c r="K33" s="1475"/>
      <c r="L33" s="1388">
        <v>44183</v>
      </c>
      <c r="M33" s="1380">
        <v>44204</v>
      </c>
      <c r="N33" s="2503">
        <f t="shared" si="10"/>
        <v>3</v>
      </c>
      <c r="O33" s="2503">
        <f t="shared" si="11"/>
        <v>70</v>
      </c>
      <c r="P33" s="2503">
        <f t="shared" si="12"/>
        <v>32</v>
      </c>
      <c r="Q33" s="2503">
        <f t="shared" si="13"/>
        <v>21</v>
      </c>
      <c r="R33" s="2503">
        <f t="shared" si="14"/>
        <v>126</v>
      </c>
    </row>
    <row r="34" spans="1:18" ht="15.75" thickTop="1">
      <c r="A34" s="474">
        <v>44078</v>
      </c>
      <c r="B34" s="453" t="s">
        <v>7530</v>
      </c>
      <c r="C34" s="453" t="s">
        <v>69</v>
      </c>
      <c r="D34" s="457">
        <v>26177675</v>
      </c>
      <c r="E34" s="453" t="s">
        <v>251</v>
      </c>
      <c r="F34" s="474">
        <v>44084</v>
      </c>
      <c r="G34" s="474">
        <v>44118</v>
      </c>
      <c r="H34" s="474">
        <v>44160</v>
      </c>
      <c r="I34" s="1474"/>
      <c r="J34" s="1474"/>
      <c r="K34" s="1474"/>
      <c r="L34" s="570">
        <v>44161</v>
      </c>
      <c r="M34" s="474">
        <v>44209</v>
      </c>
      <c r="N34" s="2503">
        <f t="shared" si="10"/>
        <v>6</v>
      </c>
      <c r="O34" s="2503">
        <f t="shared" si="11"/>
        <v>34</v>
      </c>
      <c r="P34" s="2503">
        <f t="shared" si="12"/>
        <v>42</v>
      </c>
      <c r="Q34" s="2503">
        <f t="shared" si="13"/>
        <v>49</v>
      </c>
      <c r="R34" s="2503">
        <f t="shared" si="14"/>
        <v>131</v>
      </c>
    </row>
    <row r="35" spans="1:18" ht="15.75" thickBot="1">
      <c r="A35" s="365">
        <v>44078</v>
      </c>
      <c r="B35" s="2497" t="s">
        <v>7535</v>
      </c>
      <c r="C35" s="2497" t="s">
        <v>69</v>
      </c>
      <c r="D35" s="364">
        <v>8423486</v>
      </c>
      <c r="E35" s="2497" t="s">
        <v>251</v>
      </c>
      <c r="F35" s="365">
        <v>44162</v>
      </c>
      <c r="G35" s="365">
        <v>44249</v>
      </c>
      <c r="H35" s="365">
        <v>44270</v>
      </c>
      <c r="I35" s="1473"/>
      <c r="J35" s="1473"/>
      <c r="K35" s="1473"/>
      <c r="L35" s="681">
        <v>44270</v>
      </c>
      <c r="M35" s="365">
        <v>44294</v>
      </c>
      <c r="N35" s="2503">
        <f t="shared" si="10"/>
        <v>84</v>
      </c>
      <c r="O35" s="2503">
        <f t="shared" si="11"/>
        <v>87</v>
      </c>
      <c r="P35" s="2503">
        <f t="shared" si="12"/>
        <v>21</v>
      </c>
      <c r="Q35" s="2503">
        <f t="shared" si="13"/>
        <v>24</v>
      </c>
      <c r="R35" s="2503">
        <f t="shared" si="14"/>
        <v>216</v>
      </c>
    </row>
    <row r="36" spans="1:18" ht="15.75" thickTop="1">
      <c r="A36" s="474">
        <v>44082</v>
      </c>
      <c r="B36" s="453" t="s">
        <v>7549</v>
      </c>
      <c r="C36" s="453" t="s">
        <v>69</v>
      </c>
      <c r="D36" s="457">
        <v>15458000</v>
      </c>
      <c r="E36" s="453" t="s">
        <v>251</v>
      </c>
      <c r="F36" s="474">
        <v>44091</v>
      </c>
      <c r="G36" s="474">
        <v>44123</v>
      </c>
      <c r="H36" s="474">
        <v>44166</v>
      </c>
      <c r="I36" s="1474"/>
      <c r="J36" s="1474"/>
      <c r="K36" s="1474"/>
      <c r="L36" s="570">
        <v>44166</v>
      </c>
      <c r="M36" s="474">
        <v>44193</v>
      </c>
      <c r="N36" s="2503">
        <f t="shared" si="10"/>
        <v>9</v>
      </c>
      <c r="O36" s="2503">
        <f t="shared" si="11"/>
        <v>32</v>
      </c>
      <c r="P36" s="2503">
        <f t="shared" si="12"/>
        <v>43</v>
      </c>
      <c r="Q36" s="2503">
        <f t="shared" si="13"/>
        <v>27</v>
      </c>
      <c r="R36" s="2503">
        <f t="shared" si="14"/>
        <v>111</v>
      </c>
    </row>
    <row r="37" spans="1:18">
      <c r="A37" s="365">
        <v>44078</v>
      </c>
      <c r="B37" s="2497" t="s">
        <v>7554</v>
      </c>
      <c r="C37" s="2497" t="s">
        <v>14</v>
      </c>
      <c r="D37" s="364">
        <v>4960000</v>
      </c>
      <c r="E37" s="2497" t="s">
        <v>251</v>
      </c>
      <c r="F37" s="365">
        <v>44113</v>
      </c>
      <c r="G37" s="365">
        <v>44209</v>
      </c>
      <c r="H37" s="365">
        <v>44236</v>
      </c>
      <c r="I37" s="1473"/>
      <c r="J37" s="1473"/>
      <c r="K37" s="1473"/>
      <c r="L37" s="681">
        <v>44236</v>
      </c>
      <c r="M37" s="365">
        <v>44258</v>
      </c>
      <c r="N37" s="2503">
        <f t="shared" si="10"/>
        <v>35</v>
      </c>
      <c r="O37" s="2503">
        <f t="shared" si="11"/>
        <v>96</v>
      </c>
      <c r="P37" s="2503">
        <f t="shared" si="12"/>
        <v>27</v>
      </c>
      <c r="Q37" s="2503">
        <f t="shared" si="13"/>
        <v>22</v>
      </c>
      <c r="R37" s="2503">
        <f t="shared" si="14"/>
        <v>180</v>
      </c>
    </row>
    <row r="38" spans="1:18">
      <c r="A38" s="537">
        <v>44089</v>
      </c>
      <c r="B38" s="491" t="s">
        <v>7591</v>
      </c>
      <c r="C38" s="491" t="s">
        <v>14</v>
      </c>
      <c r="D38" s="536">
        <v>7319250</v>
      </c>
      <c r="E38" s="491" t="s">
        <v>251</v>
      </c>
      <c r="F38" s="537">
        <v>44096</v>
      </c>
      <c r="G38" s="537">
        <v>44165</v>
      </c>
      <c r="H38" s="537">
        <v>43873</v>
      </c>
      <c r="I38" s="1471"/>
      <c r="J38" s="1471"/>
      <c r="K38" s="1471"/>
      <c r="L38" s="573">
        <v>43876</v>
      </c>
      <c r="M38" s="537">
        <v>44287</v>
      </c>
      <c r="N38" s="2503">
        <f t="shared" si="10"/>
        <v>7</v>
      </c>
      <c r="O38" s="2503">
        <f t="shared" si="11"/>
        <v>69</v>
      </c>
      <c r="P38" s="2503">
        <f t="shared" si="12"/>
        <v>-292</v>
      </c>
      <c r="Q38" s="2503">
        <f t="shared" si="13"/>
        <v>414</v>
      </c>
      <c r="R38" s="2503">
        <f t="shared" si="14"/>
        <v>198</v>
      </c>
    </row>
    <row r="39" spans="1:18" ht="15.75" thickBot="1">
      <c r="A39" s="537">
        <v>44081</v>
      </c>
      <c r="B39" s="491" t="s">
        <v>7590</v>
      </c>
      <c r="C39" s="491" t="s">
        <v>1032</v>
      </c>
      <c r="D39" s="536">
        <v>3500000</v>
      </c>
      <c r="E39" s="491" t="s">
        <v>251</v>
      </c>
      <c r="F39" s="537">
        <v>44110</v>
      </c>
      <c r="G39" s="537">
        <v>44173</v>
      </c>
      <c r="H39" s="537">
        <v>44200</v>
      </c>
      <c r="I39" s="1471"/>
      <c r="J39" s="1471"/>
      <c r="K39" s="1471"/>
      <c r="L39" s="573">
        <v>44200</v>
      </c>
      <c r="M39" s="537">
        <v>44286</v>
      </c>
      <c r="N39" s="2503">
        <f t="shared" si="10"/>
        <v>29</v>
      </c>
      <c r="O39" s="2503">
        <f t="shared" si="11"/>
        <v>63</v>
      </c>
      <c r="P39" s="2503">
        <f t="shared" si="12"/>
        <v>27</v>
      </c>
      <c r="Q39" s="2503">
        <f t="shared" si="13"/>
        <v>86</v>
      </c>
      <c r="R39" s="2503">
        <f t="shared" si="14"/>
        <v>205</v>
      </c>
    </row>
    <row r="40" spans="1:18" ht="15.75" thickTop="1">
      <c r="A40" s="474">
        <v>44090</v>
      </c>
      <c r="B40" s="453" t="s">
        <v>7598</v>
      </c>
      <c r="C40" s="453" t="s">
        <v>69</v>
      </c>
      <c r="D40" s="457">
        <v>39747523</v>
      </c>
      <c r="E40" s="453" t="s">
        <v>251</v>
      </c>
      <c r="F40" s="474">
        <v>44096</v>
      </c>
      <c r="G40" s="474">
        <v>44130</v>
      </c>
      <c r="H40" s="474">
        <v>44167</v>
      </c>
      <c r="I40" s="1474"/>
      <c r="J40" s="1474"/>
      <c r="K40" s="1474"/>
      <c r="L40" s="570">
        <v>44167</v>
      </c>
      <c r="M40" s="474">
        <v>44214</v>
      </c>
      <c r="N40" s="2503">
        <f t="shared" si="10"/>
        <v>6</v>
      </c>
      <c r="O40" s="2503">
        <f t="shared" si="11"/>
        <v>34</v>
      </c>
      <c r="P40" s="2503">
        <f t="shared" si="12"/>
        <v>37</v>
      </c>
      <c r="Q40" s="2503">
        <f t="shared" si="13"/>
        <v>47</v>
      </c>
      <c r="R40" s="2503">
        <f t="shared" si="14"/>
        <v>124</v>
      </c>
    </row>
    <row r="41" spans="1:18">
      <c r="A41" s="537">
        <v>44090</v>
      </c>
      <c r="B41" s="491" t="s">
        <v>7598</v>
      </c>
      <c r="C41" s="491" t="s">
        <v>69</v>
      </c>
      <c r="D41" s="536">
        <v>2834659</v>
      </c>
      <c r="E41" s="491" t="s">
        <v>251</v>
      </c>
      <c r="F41" s="537">
        <v>44096</v>
      </c>
      <c r="G41" s="537">
        <v>44130</v>
      </c>
      <c r="H41" s="537">
        <v>44167</v>
      </c>
      <c r="I41" s="1471"/>
      <c r="J41" s="1471"/>
      <c r="K41" s="1471"/>
      <c r="L41" s="573">
        <v>44167</v>
      </c>
      <c r="M41" s="537">
        <v>44214</v>
      </c>
      <c r="N41" s="2503">
        <f t="shared" si="10"/>
        <v>6</v>
      </c>
      <c r="O41" s="2503">
        <f t="shared" si="11"/>
        <v>34</v>
      </c>
      <c r="P41" s="2503">
        <f t="shared" si="12"/>
        <v>37</v>
      </c>
      <c r="Q41" s="2503">
        <f t="shared" si="13"/>
        <v>47</v>
      </c>
      <c r="R41" s="2503">
        <f t="shared" si="14"/>
        <v>124</v>
      </c>
    </row>
    <row r="42" spans="1:18">
      <c r="A42" s="537">
        <v>44090</v>
      </c>
      <c r="B42" s="491" t="s">
        <v>7598</v>
      </c>
      <c r="C42" s="491" t="s">
        <v>69</v>
      </c>
      <c r="D42" s="536">
        <v>3091238</v>
      </c>
      <c r="E42" s="491" t="s">
        <v>251</v>
      </c>
      <c r="F42" s="537">
        <v>44096</v>
      </c>
      <c r="G42" s="537">
        <v>44130</v>
      </c>
      <c r="H42" s="537">
        <v>44167</v>
      </c>
      <c r="I42" s="1471"/>
      <c r="J42" s="1471"/>
      <c r="K42" s="1471"/>
      <c r="L42" s="573">
        <v>44167</v>
      </c>
      <c r="M42" s="537">
        <v>44214</v>
      </c>
      <c r="N42" s="2503">
        <f t="shared" si="10"/>
        <v>6</v>
      </c>
      <c r="O42" s="2503">
        <f t="shared" si="11"/>
        <v>34</v>
      </c>
      <c r="P42" s="2503">
        <f t="shared" si="12"/>
        <v>37</v>
      </c>
      <c r="Q42" s="2503">
        <f t="shared" si="13"/>
        <v>47</v>
      </c>
      <c r="R42" s="2503">
        <f t="shared" si="14"/>
        <v>124</v>
      </c>
    </row>
    <row r="43" spans="1:18">
      <c r="A43" s="537">
        <v>44090</v>
      </c>
      <c r="B43" s="491" t="s">
        <v>7598</v>
      </c>
      <c r="C43" s="491" t="s">
        <v>69</v>
      </c>
      <c r="D43" s="536">
        <v>4157967</v>
      </c>
      <c r="E43" s="491" t="s">
        <v>251</v>
      </c>
      <c r="F43" s="537">
        <v>44096</v>
      </c>
      <c r="G43" s="537">
        <v>44130</v>
      </c>
      <c r="H43" s="537">
        <v>44167</v>
      </c>
      <c r="I43" s="1471"/>
      <c r="J43" s="1471"/>
      <c r="K43" s="1471"/>
      <c r="L43" s="573">
        <v>44167</v>
      </c>
      <c r="M43" s="537">
        <v>44214</v>
      </c>
      <c r="N43" s="2503">
        <f t="shared" si="10"/>
        <v>6</v>
      </c>
      <c r="O43" s="2503">
        <f t="shared" si="11"/>
        <v>34</v>
      </c>
      <c r="P43" s="2503">
        <f t="shared" si="12"/>
        <v>37</v>
      </c>
      <c r="Q43" s="2503">
        <f t="shared" si="13"/>
        <v>47</v>
      </c>
      <c r="R43" s="2503">
        <f t="shared" si="14"/>
        <v>124</v>
      </c>
    </row>
    <row r="44" spans="1:18">
      <c r="A44" s="537">
        <v>44090</v>
      </c>
      <c r="B44" s="491" t="s">
        <v>7598</v>
      </c>
      <c r="C44" s="491" t="s">
        <v>69</v>
      </c>
      <c r="D44" s="536">
        <v>1749662</v>
      </c>
      <c r="E44" s="491" t="s">
        <v>251</v>
      </c>
      <c r="F44" s="537">
        <v>44096</v>
      </c>
      <c r="G44" s="537">
        <v>44130</v>
      </c>
      <c r="H44" s="537">
        <v>44167</v>
      </c>
      <c r="I44" s="1471"/>
      <c r="J44" s="1471"/>
      <c r="K44" s="1471"/>
      <c r="L44" s="573">
        <v>44167</v>
      </c>
      <c r="M44" s="537">
        <v>44214</v>
      </c>
      <c r="N44" s="2503">
        <f t="shared" si="10"/>
        <v>6</v>
      </c>
      <c r="O44" s="2503">
        <f t="shared" si="11"/>
        <v>34</v>
      </c>
      <c r="P44" s="2503">
        <f t="shared" si="12"/>
        <v>37</v>
      </c>
      <c r="Q44" s="2503">
        <f t="shared" si="13"/>
        <v>47</v>
      </c>
      <c r="R44" s="2503">
        <f t="shared" si="14"/>
        <v>124</v>
      </c>
    </row>
    <row r="45" spans="1:18" ht="15.75" thickBot="1">
      <c r="A45" s="1380">
        <v>44090</v>
      </c>
      <c r="B45" s="1376" t="s">
        <v>7598</v>
      </c>
      <c r="C45" s="1376" t="s">
        <v>69</v>
      </c>
      <c r="D45" s="1379">
        <v>4479566</v>
      </c>
      <c r="E45" s="1376" t="s">
        <v>251</v>
      </c>
      <c r="F45" s="1380">
        <v>44096</v>
      </c>
      <c r="G45" s="1380">
        <v>44130</v>
      </c>
      <c r="H45" s="1380">
        <v>44167</v>
      </c>
      <c r="I45" s="1475"/>
      <c r="J45" s="1475"/>
      <c r="K45" s="1475"/>
      <c r="L45" s="1388">
        <v>44167</v>
      </c>
      <c r="M45" s="1380">
        <v>44209</v>
      </c>
      <c r="N45" s="2503">
        <f t="shared" si="10"/>
        <v>6</v>
      </c>
      <c r="O45" s="2503">
        <f t="shared" si="11"/>
        <v>34</v>
      </c>
      <c r="P45" s="2503">
        <f t="shared" si="12"/>
        <v>37</v>
      </c>
      <c r="Q45" s="2503">
        <f t="shared" si="13"/>
        <v>42</v>
      </c>
      <c r="R45" s="2503">
        <f t="shared" si="14"/>
        <v>119</v>
      </c>
    </row>
    <row r="46" spans="1:18" ht="15.75" thickTop="1">
      <c r="A46" s="365">
        <v>44082</v>
      </c>
      <c r="B46" s="2497" t="s">
        <v>7612</v>
      </c>
      <c r="C46" s="2497" t="s">
        <v>3678</v>
      </c>
      <c r="D46" s="364">
        <v>3000000</v>
      </c>
      <c r="E46" s="2497" t="s">
        <v>216</v>
      </c>
      <c r="F46" s="365">
        <v>44096</v>
      </c>
      <c r="G46" s="365">
        <v>44118</v>
      </c>
      <c r="H46" s="365">
        <v>44145</v>
      </c>
      <c r="I46" s="1473"/>
      <c r="J46" s="1473"/>
      <c r="K46" s="1473"/>
      <c r="L46" s="681">
        <v>44146</v>
      </c>
      <c r="M46" s="365">
        <v>44210</v>
      </c>
      <c r="N46" s="2503">
        <f t="shared" si="10"/>
        <v>14</v>
      </c>
      <c r="O46" s="2503">
        <f t="shared" si="11"/>
        <v>22</v>
      </c>
      <c r="P46" s="2503">
        <f t="shared" si="12"/>
        <v>27</v>
      </c>
      <c r="Q46" s="2503">
        <f t="shared" si="13"/>
        <v>65</v>
      </c>
      <c r="R46" s="2503">
        <f t="shared" si="14"/>
        <v>128</v>
      </c>
    </row>
    <row r="47" spans="1:18" hidden="1">
      <c r="A47" s="491" t="s">
        <v>3585</v>
      </c>
      <c r="B47" s="491" t="s">
        <v>7617</v>
      </c>
      <c r="C47" s="491" t="s">
        <v>58</v>
      </c>
      <c r="D47" s="536">
        <v>3542148</v>
      </c>
      <c r="E47" s="491" t="s">
        <v>216</v>
      </c>
      <c r="F47" s="537">
        <v>44096</v>
      </c>
      <c r="G47" s="537">
        <v>44119</v>
      </c>
      <c r="H47" s="537">
        <v>44232</v>
      </c>
      <c r="I47" s="1471"/>
      <c r="J47" s="1471"/>
      <c r="K47" s="1471"/>
      <c r="L47" s="573">
        <v>44232</v>
      </c>
      <c r="M47" s="537">
        <v>44357</v>
      </c>
    </row>
    <row r="48" spans="1:18">
      <c r="A48" s="537">
        <v>44088</v>
      </c>
      <c r="B48" s="491" t="s">
        <v>7626</v>
      </c>
      <c r="C48" s="491" t="s">
        <v>1032</v>
      </c>
      <c r="D48" s="536">
        <v>5800000</v>
      </c>
      <c r="E48" s="491" t="s">
        <v>251</v>
      </c>
      <c r="F48" s="537">
        <v>44111</v>
      </c>
      <c r="G48" s="537">
        <v>44153</v>
      </c>
      <c r="H48" s="537">
        <v>44165</v>
      </c>
      <c r="I48" s="1471"/>
      <c r="J48" s="1471"/>
      <c r="K48" s="1471"/>
      <c r="L48" s="573">
        <v>44165</v>
      </c>
      <c r="M48" s="537">
        <v>44222</v>
      </c>
      <c r="N48" s="2503">
        <f t="shared" ref="N48:N51" si="15">F48-A48</f>
        <v>23</v>
      </c>
      <c r="O48" s="2503">
        <f t="shared" ref="O48:O51" si="16">G48-F48</f>
        <v>42</v>
      </c>
      <c r="P48" s="2503">
        <f t="shared" ref="P48:P51" si="17">H48-G48</f>
        <v>12</v>
      </c>
      <c r="Q48" s="2503">
        <f t="shared" ref="Q48:Q51" si="18">M48-H48</f>
        <v>57</v>
      </c>
      <c r="R48" s="2503">
        <f t="shared" ref="R48:R51" si="19">M48-A48</f>
        <v>134</v>
      </c>
    </row>
    <row r="49" spans="1:18" ht="15.75" thickBot="1">
      <c r="A49" s="537">
        <v>44085</v>
      </c>
      <c r="B49" s="491" t="s">
        <v>7628</v>
      </c>
      <c r="C49" s="491" t="s">
        <v>52</v>
      </c>
      <c r="D49" s="536">
        <v>60000000</v>
      </c>
      <c r="E49" s="491" t="s">
        <v>251</v>
      </c>
      <c r="F49" s="537">
        <v>44097</v>
      </c>
      <c r="G49" s="537">
        <v>44134</v>
      </c>
      <c r="H49" s="537">
        <v>44158</v>
      </c>
      <c r="I49" s="1471"/>
      <c r="J49" s="1471"/>
      <c r="K49" s="1471"/>
      <c r="L49" s="573">
        <v>44158</v>
      </c>
      <c r="M49" s="537">
        <v>44209</v>
      </c>
      <c r="N49" s="2503">
        <f t="shared" si="15"/>
        <v>12</v>
      </c>
      <c r="O49" s="2503">
        <f t="shared" si="16"/>
        <v>37</v>
      </c>
      <c r="P49" s="2503">
        <f t="shared" si="17"/>
        <v>24</v>
      </c>
      <c r="Q49" s="2503">
        <f t="shared" si="18"/>
        <v>51</v>
      </c>
      <c r="R49" s="2503">
        <f t="shared" si="19"/>
        <v>124</v>
      </c>
    </row>
    <row r="50" spans="1:18" ht="15.75" thickTop="1">
      <c r="A50" s="474">
        <v>44095</v>
      </c>
      <c r="B50" s="453" t="s">
        <v>7650</v>
      </c>
      <c r="C50" s="453" t="s">
        <v>2434</v>
      </c>
      <c r="D50" s="457">
        <v>13712000</v>
      </c>
      <c r="E50" s="453" t="s">
        <v>251</v>
      </c>
      <c r="F50" s="474">
        <v>44113</v>
      </c>
      <c r="G50" s="474">
        <v>44146</v>
      </c>
      <c r="H50" s="474">
        <v>44166</v>
      </c>
      <c r="I50" s="1474"/>
      <c r="J50" s="1474"/>
      <c r="K50" s="1474"/>
      <c r="L50" s="570">
        <v>44167</v>
      </c>
      <c r="M50" s="474">
        <v>44217</v>
      </c>
      <c r="N50" s="2503">
        <f t="shared" si="15"/>
        <v>18</v>
      </c>
      <c r="O50" s="2503">
        <f t="shared" si="16"/>
        <v>33</v>
      </c>
      <c r="P50" s="2503">
        <f t="shared" si="17"/>
        <v>20</v>
      </c>
      <c r="Q50" s="2503">
        <f t="shared" si="18"/>
        <v>51</v>
      </c>
      <c r="R50" s="2503">
        <f t="shared" si="19"/>
        <v>122</v>
      </c>
    </row>
    <row r="51" spans="1:18" ht="32.25" customHeight="1">
      <c r="A51" s="537">
        <v>44095</v>
      </c>
      <c r="B51" s="491" t="s">
        <v>7650</v>
      </c>
      <c r="C51" s="491" t="s">
        <v>2434</v>
      </c>
      <c r="D51" s="536">
        <v>82786000</v>
      </c>
      <c r="E51" s="491" t="s">
        <v>251</v>
      </c>
      <c r="F51" s="537">
        <v>44113</v>
      </c>
      <c r="G51" s="537">
        <v>44146</v>
      </c>
      <c r="H51" s="537">
        <v>44166</v>
      </c>
      <c r="I51" s="1471"/>
      <c r="J51" s="1471"/>
      <c r="K51" s="1471"/>
      <c r="L51" s="573">
        <v>44167</v>
      </c>
      <c r="M51" s="537">
        <v>44217</v>
      </c>
      <c r="N51" s="2503">
        <f t="shared" si="15"/>
        <v>18</v>
      </c>
      <c r="O51" s="2503">
        <f t="shared" si="16"/>
        <v>33</v>
      </c>
      <c r="P51" s="2503">
        <f t="shared" si="17"/>
        <v>20</v>
      </c>
      <c r="Q51" s="2503">
        <f t="shared" si="18"/>
        <v>51</v>
      </c>
      <c r="R51" s="2503">
        <f t="shared" si="19"/>
        <v>122</v>
      </c>
    </row>
    <row r="52" spans="1:18" hidden="1">
      <c r="A52" s="510">
        <v>44095</v>
      </c>
      <c r="B52" s="506" t="s">
        <v>7650</v>
      </c>
      <c r="C52" s="506" t="s">
        <v>2434</v>
      </c>
      <c r="D52" s="511">
        <v>38800000</v>
      </c>
      <c r="E52" s="506" t="s">
        <v>251</v>
      </c>
      <c r="F52" s="510">
        <v>44113</v>
      </c>
      <c r="G52" s="510">
        <v>44146</v>
      </c>
      <c r="H52" s="510"/>
      <c r="I52" s="1484"/>
      <c r="J52" s="1484"/>
      <c r="K52" s="1484"/>
      <c r="L52" s="1398"/>
      <c r="M52" s="506"/>
    </row>
    <row r="53" spans="1:18" hidden="1">
      <c r="A53" s="510">
        <v>44095</v>
      </c>
      <c r="B53" s="506" t="s">
        <v>7650</v>
      </c>
      <c r="C53" s="506" t="s">
        <v>2434</v>
      </c>
      <c r="D53" s="511">
        <v>7344000</v>
      </c>
      <c r="E53" s="506" t="s">
        <v>251</v>
      </c>
      <c r="F53" s="510">
        <v>44113</v>
      </c>
      <c r="G53" s="510">
        <v>44146</v>
      </c>
      <c r="H53" s="510"/>
      <c r="I53" s="1484"/>
      <c r="J53" s="1484"/>
      <c r="K53" s="1484"/>
      <c r="L53" s="1398"/>
      <c r="M53" s="506"/>
    </row>
    <row r="54" spans="1:18" ht="15.75" hidden="1" thickBot="1">
      <c r="A54" s="1414">
        <v>44095</v>
      </c>
      <c r="B54" s="1410" t="s">
        <v>7650</v>
      </c>
      <c r="C54" s="1410" t="s">
        <v>2434</v>
      </c>
      <c r="D54" s="1413">
        <v>11816000</v>
      </c>
      <c r="E54" s="1410" t="s">
        <v>251</v>
      </c>
      <c r="F54" s="1414">
        <v>44113</v>
      </c>
      <c r="G54" s="1414">
        <v>44146</v>
      </c>
      <c r="H54" s="1414"/>
      <c r="I54" s="1485"/>
      <c r="J54" s="1485"/>
      <c r="K54" s="1485"/>
      <c r="L54" s="1569"/>
      <c r="M54" s="1410"/>
    </row>
    <row r="55" spans="1:18">
      <c r="A55" s="537">
        <v>44105</v>
      </c>
      <c r="B55" s="491" t="s">
        <v>7690</v>
      </c>
      <c r="C55" s="491" t="s">
        <v>69</v>
      </c>
      <c r="D55" s="536">
        <v>27930766</v>
      </c>
      <c r="E55" s="491" t="s">
        <v>251</v>
      </c>
      <c r="F55" s="537">
        <v>44161</v>
      </c>
      <c r="G55" s="537">
        <v>44193</v>
      </c>
      <c r="H55" s="537">
        <v>44216</v>
      </c>
      <c r="I55" s="1471"/>
      <c r="J55" s="1471"/>
      <c r="K55" s="1471"/>
      <c r="L55" s="573">
        <v>44216</v>
      </c>
      <c r="M55" s="537">
        <v>44278</v>
      </c>
      <c r="N55" s="2503">
        <f t="shared" ref="N55:N61" si="20">F55-A55</f>
        <v>56</v>
      </c>
      <c r="O55" s="2503">
        <f t="shared" ref="O55:O61" si="21">G55-F55</f>
        <v>32</v>
      </c>
      <c r="P55" s="2503">
        <f t="shared" ref="P55:P61" si="22">H55-G55</f>
        <v>23</v>
      </c>
      <c r="Q55" s="2503">
        <f t="shared" ref="Q55:Q61" si="23">M55-H55</f>
        <v>62</v>
      </c>
      <c r="R55" s="2503">
        <f t="shared" ref="R55:R61" si="24">M55-A55</f>
        <v>173</v>
      </c>
    </row>
    <row r="56" spans="1:18">
      <c r="A56" s="537">
        <v>44105</v>
      </c>
      <c r="B56" s="491" t="s">
        <v>7692</v>
      </c>
      <c r="C56" s="491" t="s">
        <v>69</v>
      </c>
      <c r="D56" s="536">
        <v>77771612</v>
      </c>
      <c r="E56" s="491" t="s">
        <v>251</v>
      </c>
      <c r="F56" s="537">
        <v>44159</v>
      </c>
      <c r="G56" s="537">
        <v>44221</v>
      </c>
      <c r="H56" s="537">
        <v>44249</v>
      </c>
      <c r="I56" s="1471"/>
      <c r="J56" s="1471"/>
      <c r="K56" s="1471"/>
      <c r="L56" s="573">
        <v>44249</v>
      </c>
      <c r="M56" s="537">
        <v>44278</v>
      </c>
      <c r="N56" s="2503">
        <f t="shared" si="20"/>
        <v>54</v>
      </c>
      <c r="O56" s="2503">
        <f t="shared" si="21"/>
        <v>62</v>
      </c>
      <c r="P56" s="2503">
        <f t="shared" si="22"/>
        <v>28</v>
      </c>
      <c r="Q56" s="2503">
        <f t="shared" si="23"/>
        <v>29</v>
      </c>
      <c r="R56" s="2503">
        <f t="shared" si="24"/>
        <v>173</v>
      </c>
    </row>
    <row r="57" spans="1:18">
      <c r="A57" s="537">
        <v>44103</v>
      </c>
      <c r="B57" s="491" t="s">
        <v>7717</v>
      </c>
      <c r="C57" s="491" t="s">
        <v>7718</v>
      </c>
      <c r="D57" s="536">
        <v>1500000</v>
      </c>
      <c r="E57" s="491" t="s">
        <v>112</v>
      </c>
      <c r="F57" s="537">
        <v>44155</v>
      </c>
      <c r="G57" s="537">
        <v>44172</v>
      </c>
      <c r="H57" s="537">
        <v>44182</v>
      </c>
      <c r="I57" s="1471"/>
      <c r="J57" s="1471"/>
      <c r="K57" s="1471"/>
      <c r="L57" s="573">
        <v>44182</v>
      </c>
      <c r="M57" s="537">
        <v>44200</v>
      </c>
      <c r="N57" s="2503">
        <f t="shared" si="20"/>
        <v>52</v>
      </c>
      <c r="O57" s="2503">
        <f t="shared" si="21"/>
        <v>17</v>
      </c>
      <c r="P57" s="2503">
        <f t="shared" si="22"/>
        <v>10</v>
      </c>
      <c r="Q57" s="2503">
        <f t="shared" si="23"/>
        <v>18</v>
      </c>
      <c r="R57" s="2503">
        <f t="shared" si="24"/>
        <v>97</v>
      </c>
    </row>
    <row r="58" spans="1:18">
      <c r="A58" s="537">
        <v>44088</v>
      </c>
      <c r="B58" s="491" t="s">
        <v>7740</v>
      </c>
      <c r="C58" s="491" t="s">
        <v>1032</v>
      </c>
      <c r="D58" s="536">
        <v>5160000</v>
      </c>
      <c r="E58" s="491" t="s">
        <v>251</v>
      </c>
      <c r="F58" s="537">
        <v>44123</v>
      </c>
      <c r="G58" s="537">
        <v>44167</v>
      </c>
      <c r="H58" s="537">
        <v>44208</v>
      </c>
      <c r="I58" s="1471"/>
      <c r="J58" s="1471"/>
      <c r="K58" s="1471"/>
      <c r="L58" s="573">
        <v>44208</v>
      </c>
      <c r="M58" s="537">
        <v>44274</v>
      </c>
      <c r="N58" s="2503">
        <f t="shared" si="20"/>
        <v>35</v>
      </c>
      <c r="O58" s="2503">
        <f t="shared" si="21"/>
        <v>44</v>
      </c>
      <c r="P58" s="2503">
        <f t="shared" si="22"/>
        <v>41</v>
      </c>
      <c r="Q58" s="2503">
        <f t="shared" si="23"/>
        <v>66</v>
      </c>
      <c r="R58" s="2503">
        <f t="shared" si="24"/>
        <v>186</v>
      </c>
    </row>
    <row r="59" spans="1:18">
      <c r="A59" s="537">
        <v>44120</v>
      </c>
      <c r="B59" s="491" t="s">
        <v>7756</v>
      </c>
      <c r="C59" s="491" t="s">
        <v>4997</v>
      </c>
      <c r="D59" s="536">
        <v>2700000</v>
      </c>
      <c r="E59" s="491" t="s">
        <v>112</v>
      </c>
      <c r="F59" s="537">
        <v>44127</v>
      </c>
      <c r="G59" s="537">
        <v>44138</v>
      </c>
      <c r="H59" s="537">
        <v>44158</v>
      </c>
      <c r="I59" s="1471"/>
      <c r="J59" s="1471"/>
      <c r="K59" s="1471"/>
      <c r="L59" s="573">
        <v>44158</v>
      </c>
      <c r="M59" s="537">
        <v>44224</v>
      </c>
      <c r="N59" s="2503">
        <f t="shared" si="20"/>
        <v>7</v>
      </c>
      <c r="O59" s="2503">
        <f t="shared" si="21"/>
        <v>11</v>
      </c>
      <c r="P59" s="2503">
        <f t="shared" si="22"/>
        <v>20</v>
      </c>
      <c r="Q59" s="2503">
        <f t="shared" si="23"/>
        <v>66</v>
      </c>
      <c r="R59" s="2503">
        <f t="shared" si="24"/>
        <v>104</v>
      </c>
    </row>
    <row r="60" spans="1:18">
      <c r="A60" s="537">
        <v>44165</v>
      </c>
      <c r="B60" s="491" t="s">
        <v>7774</v>
      </c>
      <c r="C60" s="491" t="s">
        <v>58</v>
      </c>
      <c r="D60" s="536">
        <v>1282000</v>
      </c>
      <c r="E60" s="491" t="s">
        <v>112</v>
      </c>
      <c r="F60" s="537">
        <v>44167</v>
      </c>
      <c r="G60" s="537">
        <v>44183</v>
      </c>
      <c r="H60" s="537">
        <v>44235</v>
      </c>
      <c r="I60" s="1471"/>
      <c r="J60" s="1471"/>
      <c r="K60" s="1471"/>
      <c r="L60" s="573">
        <v>44235</v>
      </c>
      <c r="M60" s="537">
        <v>44258</v>
      </c>
      <c r="N60" s="2503">
        <f t="shared" si="20"/>
        <v>2</v>
      </c>
      <c r="O60" s="2503">
        <f t="shared" si="21"/>
        <v>16</v>
      </c>
      <c r="P60" s="2503">
        <f t="shared" si="22"/>
        <v>52</v>
      </c>
      <c r="Q60" s="2503">
        <f t="shared" si="23"/>
        <v>23</v>
      </c>
      <c r="R60" s="2503">
        <f t="shared" si="24"/>
        <v>93</v>
      </c>
    </row>
    <row r="61" spans="1:18" ht="15.75" thickBot="1">
      <c r="A61" s="537">
        <v>44158</v>
      </c>
      <c r="B61" s="491" t="s">
        <v>7775</v>
      </c>
      <c r="C61" s="491" t="s">
        <v>58</v>
      </c>
      <c r="D61" s="536">
        <v>330000</v>
      </c>
      <c r="E61" s="491" t="s">
        <v>112</v>
      </c>
      <c r="F61" s="537">
        <v>44160</v>
      </c>
      <c r="G61" s="537">
        <v>44174</v>
      </c>
      <c r="H61" s="537">
        <v>44207</v>
      </c>
      <c r="I61" s="1471"/>
      <c r="J61" s="1471"/>
      <c r="K61" s="1471"/>
      <c r="L61" s="573">
        <v>44207</v>
      </c>
      <c r="M61" s="537">
        <v>44224</v>
      </c>
      <c r="N61" s="2503">
        <f t="shared" si="20"/>
        <v>2</v>
      </c>
      <c r="O61" s="2503">
        <f t="shared" si="21"/>
        <v>14</v>
      </c>
      <c r="P61" s="2503">
        <f t="shared" si="22"/>
        <v>33</v>
      </c>
      <c r="Q61" s="2503">
        <f t="shared" si="23"/>
        <v>17</v>
      </c>
      <c r="R61" s="2503">
        <f t="shared" si="24"/>
        <v>66</v>
      </c>
    </row>
    <row r="62" spans="1:18" ht="15.75" hidden="1" thickBot="1">
      <c r="A62" s="643">
        <v>44161</v>
      </c>
      <c r="B62" s="639" t="s">
        <v>7776</v>
      </c>
      <c r="C62" s="639" t="s">
        <v>58</v>
      </c>
      <c r="D62" s="645">
        <v>727000</v>
      </c>
      <c r="E62" s="639" t="s">
        <v>112</v>
      </c>
      <c r="F62" s="643">
        <v>44166</v>
      </c>
      <c r="G62" s="643">
        <v>44176</v>
      </c>
      <c r="H62" s="639"/>
      <c r="I62" s="1534"/>
      <c r="J62" s="1534"/>
      <c r="K62" s="1534"/>
      <c r="L62" s="645"/>
      <c r="M62" s="639"/>
    </row>
    <row r="63" spans="1:18" ht="15.75" thickTop="1">
      <c r="A63" s="474">
        <v>44123</v>
      </c>
      <c r="B63" s="453" t="s">
        <v>7781</v>
      </c>
      <c r="C63" s="453" t="s">
        <v>69</v>
      </c>
      <c r="D63" s="457">
        <v>3271950</v>
      </c>
      <c r="E63" s="453" t="s">
        <v>251</v>
      </c>
      <c r="F63" s="474">
        <v>44127</v>
      </c>
      <c r="G63" s="474">
        <v>44188</v>
      </c>
      <c r="H63" s="474">
        <v>44228</v>
      </c>
      <c r="I63" s="1474"/>
      <c r="J63" s="1474"/>
      <c r="K63" s="1474"/>
      <c r="L63" s="570">
        <v>44228</v>
      </c>
      <c r="M63" s="474">
        <v>44273</v>
      </c>
      <c r="N63" s="2503">
        <f t="shared" ref="N63:N72" si="25">F63-A63</f>
        <v>4</v>
      </c>
      <c r="O63" s="2503">
        <f t="shared" ref="O63:O72" si="26">G63-F63</f>
        <v>61</v>
      </c>
      <c r="P63" s="2503">
        <f t="shared" ref="P63:P72" si="27">H63-G63</f>
        <v>40</v>
      </c>
      <c r="Q63" s="2503">
        <f t="shared" ref="Q63:Q72" si="28">M63-H63</f>
        <v>45</v>
      </c>
      <c r="R63" s="2503">
        <f t="shared" ref="R63:R72" si="29">M63-A63</f>
        <v>150</v>
      </c>
    </row>
    <row r="64" spans="1:18">
      <c r="A64" s="537">
        <v>44123</v>
      </c>
      <c r="B64" s="491" t="s">
        <v>7781</v>
      </c>
      <c r="C64" s="491" t="s">
        <v>69</v>
      </c>
      <c r="D64" s="536">
        <v>1306500</v>
      </c>
      <c r="E64" s="491" t="s">
        <v>251</v>
      </c>
      <c r="F64" s="537">
        <v>44127</v>
      </c>
      <c r="G64" s="537">
        <v>44188</v>
      </c>
      <c r="H64" s="537">
        <v>44228</v>
      </c>
      <c r="I64" s="1471"/>
      <c r="J64" s="1471"/>
      <c r="K64" s="1471"/>
      <c r="L64" s="573">
        <v>44228</v>
      </c>
      <c r="M64" s="537">
        <v>44273</v>
      </c>
      <c r="N64" s="2503">
        <f t="shared" si="25"/>
        <v>4</v>
      </c>
      <c r="O64" s="2503">
        <f t="shared" si="26"/>
        <v>61</v>
      </c>
      <c r="P64" s="2503">
        <f t="shared" si="27"/>
        <v>40</v>
      </c>
      <c r="Q64" s="2503">
        <f t="shared" si="28"/>
        <v>45</v>
      </c>
      <c r="R64" s="2503">
        <f t="shared" si="29"/>
        <v>150</v>
      </c>
    </row>
    <row r="65" spans="1:18">
      <c r="A65" s="537">
        <v>44123</v>
      </c>
      <c r="B65" s="491" t="s">
        <v>7781</v>
      </c>
      <c r="C65" s="491" t="s">
        <v>69</v>
      </c>
      <c r="D65" s="536">
        <v>1129930</v>
      </c>
      <c r="E65" s="491" t="s">
        <v>251</v>
      </c>
      <c r="F65" s="537">
        <v>44127</v>
      </c>
      <c r="G65" s="537">
        <v>44188</v>
      </c>
      <c r="H65" s="537">
        <v>44270</v>
      </c>
      <c r="I65" s="1471"/>
      <c r="J65" s="1471"/>
      <c r="K65" s="1471"/>
      <c r="L65" s="573">
        <v>44270</v>
      </c>
      <c r="M65" s="537">
        <v>44294</v>
      </c>
      <c r="N65" s="2503">
        <f t="shared" si="25"/>
        <v>4</v>
      </c>
      <c r="O65" s="2503">
        <f t="shared" si="26"/>
        <v>61</v>
      </c>
      <c r="P65" s="2503">
        <f t="shared" si="27"/>
        <v>82</v>
      </c>
      <c r="Q65" s="2503">
        <f t="shared" si="28"/>
        <v>24</v>
      </c>
      <c r="R65" s="2503">
        <f t="shared" si="29"/>
        <v>171</v>
      </c>
    </row>
    <row r="66" spans="1:18">
      <c r="A66" s="537">
        <v>44123</v>
      </c>
      <c r="B66" s="491" t="s">
        <v>7781</v>
      </c>
      <c r="C66" s="491" t="s">
        <v>69</v>
      </c>
      <c r="D66" s="536">
        <v>1966708</v>
      </c>
      <c r="E66" s="491" t="s">
        <v>251</v>
      </c>
      <c r="F66" s="537">
        <v>44127</v>
      </c>
      <c r="G66" s="537">
        <v>44188</v>
      </c>
      <c r="H66" s="537">
        <v>44228</v>
      </c>
      <c r="I66" s="1471"/>
      <c r="J66" s="1471"/>
      <c r="K66" s="1471"/>
      <c r="L66" s="573">
        <v>44228</v>
      </c>
      <c r="M66" s="537">
        <v>44273</v>
      </c>
      <c r="N66" s="2503">
        <f t="shared" si="25"/>
        <v>4</v>
      </c>
      <c r="O66" s="2503">
        <f t="shared" si="26"/>
        <v>61</v>
      </c>
      <c r="P66" s="2503">
        <f t="shared" si="27"/>
        <v>40</v>
      </c>
      <c r="Q66" s="2503">
        <f t="shared" si="28"/>
        <v>45</v>
      </c>
      <c r="R66" s="2503">
        <f t="shared" si="29"/>
        <v>150</v>
      </c>
    </row>
    <row r="67" spans="1:18">
      <c r="A67" s="537">
        <v>44123</v>
      </c>
      <c r="B67" s="491" t="s">
        <v>7781</v>
      </c>
      <c r="C67" s="491" t="s">
        <v>69</v>
      </c>
      <c r="D67" s="536">
        <v>10607165</v>
      </c>
      <c r="E67" s="491" t="s">
        <v>251</v>
      </c>
      <c r="F67" s="537">
        <v>44127</v>
      </c>
      <c r="G67" s="537">
        <v>44188</v>
      </c>
      <c r="H67" s="537">
        <v>44228</v>
      </c>
      <c r="I67" s="1471"/>
      <c r="J67" s="1471"/>
      <c r="K67" s="1471"/>
      <c r="L67" s="573">
        <v>44228</v>
      </c>
      <c r="M67" s="537">
        <v>44273</v>
      </c>
      <c r="N67" s="2503">
        <f t="shared" si="25"/>
        <v>4</v>
      </c>
      <c r="O67" s="2503">
        <f t="shared" si="26"/>
        <v>61</v>
      </c>
      <c r="P67" s="2503">
        <f t="shared" si="27"/>
        <v>40</v>
      </c>
      <c r="Q67" s="2503">
        <f t="shared" si="28"/>
        <v>45</v>
      </c>
      <c r="R67" s="2503">
        <f t="shared" si="29"/>
        <v>150</v>
      </c>
    </row>
    <row r="68" spans="1:18" ht="15.75" thickBot="1">
      <c r="A68" s="1380">
        <v>44123</v>
      </c>
      <c r="B68" s="1376" t="s">
        <v>7781</v>
      </c>
      <c r="C68" s="1376" t="s">
        <v>69</v>
      </c>
      <c r="D68" s="1379">
        <v>339465</v>
      </c>
      <c r="E68" s="1376" t="s">
        <v>251</v>
      </c>
      <c r="F68" s="1380">
        <v>44127</v>
      </c>
      <c r="G68" s="1380">
        <v>44188</v>
      </c>
      <c r="H68" s="1380">
        <v>44228</v>
      </c>
      <c r="I68" s="1475"/>
      <c r="J68" s="1475"/>
      <c r="K68" s="1475"/>
      <c r="L68" s="1388">
        <v>44228</v>
      </c>
      <c r="M68" s="1380">
        <v>44265</v>
      </c>
      <c r="N68" s="2503">
        <f t="shared" si="25"/>
        <v>4</v>
      </c>
      <c r="O68" s="2503">
        <f t="shared" si="26"/>
        <v>61</v>
      </c>
      <c r="P68" s="2503">
        <f t="shared" si="27"/>
        <v>40</v>
      </c>
      <c r="Q68" s="2503">
        <f t="shared" si="28"/>
        <v>37</v>
      </c>
      <c r="R68" s="2503">
        <f t="shared" si="29"/>
        <v>142</v>
      </c>
    </row>
    <row r="69" spans="1:18" ht="15.75" thickTop="1">
      <c r="A69" s="474">
        <v>44123</v>
      </c>
      <c r="B69" s="453" t="s">
        <v>7782</v>
      </c>
      <c r="C69" s="453" t="s">
        <v>69</v>
      </c>
      <c r="D69" s="457">
        <v>125530696</v>
      </c>
      <c r="E69" s="453" t="s">
        <v>251</v>
      </c>
      <c r="F69" s="474">
        <v>44127</v>
      </c>
      <c r="G69" s="474">
        <v>44193</v>
      </c>
      <c r="H69" s="474">
        <v>44232</v>
      </c>
      <c r="I69" s="1474"/>
      <c r="J69" s="1474"/>
      <c r="K69" s="1474"/>
      <c r="L69" s="570">
        <v>44232</v>
      </c>
      <c r="M69" s="474">
        <v>44292</v>
      </c>
      <c r="N69" s="2503">
        <f t="shared" si="25"/>
        <v>4</v>
      </c>
      <c r="O69" s="2503">
        <f t="shared" si="26"/>
        <v>66</v>
      </c>
      <c r="P69" s="2503">
        <f t="shared" si="27"/>
        <v>39</v>
      </c>
      <c r="Q69" s="2503">
        <f t="shared" si="28"/>
        <v>60</v>
      </c>
      <c r="R69" s="2503">
        <f t="shared" si="29"/>
        <v>169</v>
      </c>
    </row>
    <row r="70" spans="1:18" ht="15.75" thickBot="1">
      <c r="A70" s="1380">
        <v>44123</v>
      </c>
      <c r="B70" s="1376" t="s">
        <v>7782</v>
      </c>
      <c r="C70" s="1376" t="s">
        <v>69</v>
      </c>
      <c r="D70" s="1379">
        <v>41843610</v>
      </c>
      <c r="E70" s="1376" t="s">
        <v>251</v>
      </c>
      <c r="F70" s="1380">
        <v>44127</v>
      </c>
      <c r="G70" s="1380">
        <v>44193</v>
      </c>
      <c r="H70" s="1380">
        <v>44232</v>
      </c>
      <c r="I70" s="1475"/>
      <c r="J70" s="1475"/>
      <c r="K70" s="1475"/>
      <c r="L70" s="1388">
        <v>44232</v>
      </c>
      <c r="M70" s="1380">
        <v>44266</v>
      </c>
      <c r="N70" s="2503">
        <f t="shared" si="25"/>
        <v>4</v>
      </c>
      <c r="O70" s="2503">
        <f t="shared" si="26"/>
        <v>66</v>
      </c>
      <c r="P70" s="2503">
        <f t="shared" si="27"/>
        <v>39</v>
      </c>
      <c r="Q70" s="2503">
        <f t="shared" si="28"/>
        <v>34</v>
      </c>
      <c r="R70" s="2503">
        <f t="shared" si="29"/>
        <v>143</v>
      </c>
    </row>
    <row r="71" spans="1:18" ht="15.75" thickTop="1">
      <c r="A71" s="537">
        <v>44117</v>
      </c>
      <c r="B71" s="491" t="s">
        <v>7803</v>
      </c>
      <c r="C71" s="491" t="s">
        <v>58</v>
      </c>
      <c r="D71" s="536">
        <v>2010000</v>
      </c>
      <c r="E71" s="491" t="s">
        <v>216</v>
      </c>
      <c r="F71" s="537">
        <v>44134</v>
      </c>
      <c r="G71" s="537">
        <v>44153</v>
      </c>
      <c r="H71" s="537">
        <v>44218</v>
      </c>
      <c r="I71" s="1471"/>
      <c r="J71" s="1471"/>
      <c r="K71" s="1471"/>
      <c r="L71" s="573">
        <v>44218</v>
      </c>
      <c r="M71" s="537">
        <v>44257</v>
      </c>
      <c r="N71" s="2503">
        <f t="shared" si="25"/>
        <v>17</v>
      </c>
      <c r="O71" s="2503">
        <f t="shared" si="26"/>
        <v>19</v>
      </c>
      <c r="P71" s="2503">
        <f t="shared" si="27"/>
        <v>65</v>
      </c>
      <c r="Q71" s="2503">
        <f t="shared" si="28"/>
        <v>39</v>
      </c>
      <c r="R71" s="2503">
        <f t="shared" si="29"/>
        <v>140</v>
      </c>
    </row>
    <row r="72" spans="1:18">
      <c r="A72" s="537">
        <v>44117</v>
      </c>
      <c r="B72" s="491" t="s">
        <v>7810</v>
      </c>
      <c r="C72" s="491" t="s">
        <v>52</v>
      </c>
      <c r="D72" s="536">
        <v>40000000</v>
      </c>
      <c r="E72" s="491" t="s">
        <v>216</v>
      </c>
      <c r="F72" s="537">
        <v>44141</v>
      </c>
      <c r="G72" s="537">
        <v>44167</v>
      </c>
      <c r="H72" s="537">
        <v>44183</v>
      </c>
      <c r="I72" s="1471"/>
      <c r="J72" s="1471"/>
      <c r="K72" s="1471"/>
      <c r="L72" s="573">
        <v>44183</v>
      </c>
      <c r="M72" s="537">
        <v>44253</v>
      </c>
      <c r="N72" s="2503">
        <f t="shared" si="25"/>
        <v>24</v>
      </c>
      <c r="O72" s="2503">
        <f t="shared" si="26"/>
        <v>26</v>
      </c>
      <c r="P72" s="2503">
        <f t="shared" si="27"/>
        <v>16</v>
      </c>
      <c r="Q72" s="2503">
        <f t="shared" si="28"/>
        <v>70</v>
      </c>
      <c r="R72" s="2503">
        <f t="shared" si="29"/>
        <v>136</v>
      </c>
    </row>
    <row r="73" spans="1:18" hidden="1">
      <c r="A73" s="510">
        <v>44120</v>
      </c>
      <c r="B73" s="506" t="s">
        <v>7823</v>
      </c>
      <c r="C73" s="506" t="s">
        <v>52</v>
      </c>
      <c r="D73" s="511">
        <v>106000000</v>
      </c>
      <c r="E73" s="506" t="s">
        <v>251</v>
      </c>
      <c r="F73" s="510">
        <v>44137</v>
      </c>
      <c r="G73" s="510">
        <v>44207</v>
      </c>
      <c r="H73" s="510">
        <v>44218</v>
      </c>
      <c r="I73" s="1470"/>
      <c r="J73" s="1470"/>
      <c r="K73" s="1470"/>
      <c r="L73" s="1398">
        <v>44218</v>
      </c>
      <c r="M73" s="506"/>
    </row>
    <row r="74" spans="1:18" hidden="1">
      <c r="A74" s="491" t="s">
        <v>3585</v>
      </c>
      <c r="B74" s="491" t="s">
        <v>7837</v>
      </c>
      <c r="C74" s="491" t="s">
        <v>1032</v>
      </c>
      <c r="D74" s="536">
        <v>476720</v>
      </c>
      <c r="E74" s="491" t="s">
        <v>112</v>
      </c>
      <c r="F74" s="537">
        <v>44139</v>
      </c>
      <c r="G74" s="537">
        <v>44148</v>
      </c>
      <c r="H74" s="537">
        <v>44153</v>
      </c>
      <c r="I74" s="1471"/>
      <c r="J74" s="1471"/>
      <c r="K74" s="1471"/>
      <c r="L74" s="573">
        <v>44153</v>
      </c>
      <c r="M74" s="537">
        <v>44230</v>
      </c>
    </row>
    <row r="75" spans="1:18">
      <c r="A75" s="537">
        <v>44133</v>
      </c>
      <c r="B75" s="491" t="s">
        <v>7849</v>
      </c>
      <c r="C75" s="491" t="s">
        <v>2434</v>
      </c>
      <c r="D75" s="536">
        <v>816000</v>
      </c>
      <c r="E75" s="491" t="s">
        <v>251</v>
      </c>
      <c r="F75" s="537">
        <v>44144</v>
      </c>
      <c r="G75" s="537">
        <v>44200</v>
      </c>
      <c r="H75" s="537">
        <v>44306</v>
      </c>
      <c r="I75" s="1471"/>
      <c r="J75" s="1471"/>
      <c r="K75" s="1471"/>
      <c r="L75" s="573">
        <v>44306</v>
      </c>
      <c r="M75" s="537">
        <v>44336</v>
      </c>
      <c r="N75" s="2503">
        <f t="shared" ref="N75:N84" si="30">F75-A75</f>
        <v>11</v>
      </c>
      <c r="O75" s="2503">
        <f t="shared" ref="O75:O84" si="31">G75-F75</f>
        <v>56</v>
      </c>
      <c r="P75" s="2503">
        <f t="shared" ref="P75:P84" si="32">H75-G75</f>
        <v>106</v>
      </c>
      <c r="Q75" s="2503">
        <f t="shared" ref="Q75:Q84" si="33">M75-H75</f>
        <v>30</v>
      </c>
      <c r="R75" s="2503">
        <f t="shared" ref="R75:R84" si="34">M75-A75</f>
        <v>203</v>
      </c>
    </row>
    <row r="76" spans="1:18">
      <c r="A76" s="537">
        <v>44133</v>
      </c>
      <c r="B76" s="491" t="s">
        <v>7849</v>
      </c>
      <c r="C76" s="491" t="s">
        <v>2434</v>
      </c>
      <c r="D76" s="536">
        <v>3659405</v>
      </c>
      <c r="E76" s="491" t="s">
        <v>251</v>
      </c>
      <c r="F76" s="537">
        <v>44144</v>
      </c>
      <c r="G76" s="537">
        <v>44200</v>
      </c>
      <c r="H76" s="537">
        <v>44306</v>
      </c>
      <c r="I76" s="1471"/>
      <c r="J76" s="1471"/>
      <c r="K76" s="1471"/>
      <c r="L76" s="573">
        <v>44306</v>
      </c>
      <c r="M76" s="537">
        <v>44336</v>
      </c>
      <c r="N76" s="2503">
        <f t="shared" si="30"/>
        <v>11</v>
      </c>
      <c r="O76" s="2503">
        <f t="shared" si="31"/>
        <v>56</v>
      </c>
      <c r="P76" s="2503">
        <f t="shared" si="32"/>
        <v>106</v>
      </c>
      <c r="Q76" s="2503">
        <f t="shared" si="33"/>
        <v>30</v>
      </c>
      <c r="R76" s="2503">
        <f t="shared" si="34"/>
        <v>203</v>
      </c>
    </row>
    <row r="77" spans="1:18">
      <c r="A77" s="537">
        <v>44133</v>
      </c>
      <c r="B77" s="491" t="s">
        <v>7849</v>
      </c>
      <c r="C77" s="491" t="s">
        <v>2434</v>
      </c>
      <c r="D77" s="536">
        <v>26000</v>
      </c>
      <c r="E77" s="491" t="s">
        <v>251</v>
      </c>
      <c r="F77" s="537">
        <v>44144</v>
      </c>
      <c r="G77" s="537">
        <v>44200</v>
      </c>
      <c r="H77" s="537">
        <v>44306</v>
      </c>
      <c r="I77" s="1471"/>
      <c r="J77" s="1471"/>
      <c r="K77" s="1471"/>
      <c r="L77" s="573">
        <v>44306</v>
      </c>
      <c r="M77" s="537">
        <v>44327</v>
      </c>
      <c r="N77" s="2503">
        <f t="shared" si="30"/>
        <v>11</v>
      </c>
      <c r="O77" s="2503">
        <f t="shared" si="31"/>
        <v>56</v>
      </c>
      <c r="P77" s="2503">
        <f t="shared" si="32"/>
        <v>106</v>
      </c>
      <c r="Q77" s="2503">
        <f t="shared" si="33"/>
        <v>21</v>
      </c>
      <c r="R77" s="2503">
        <f t="shared" si="34"/>
        <v>194</v>
      </c>
    </row>
    <row r="78" spans="1:18">
      <c r="A78" s="537">
        <v>44133</v>
      </c>
      <c r="B78" s="491" t="s">
        <v>7849</v>
      </c>
      <c r="C78" s="491" t="s">
        <v>2434</v>
      </c>
      <c r="D78" s="536">
        <v>72000</v>
      </c>
      <c r="E78" s="491" t="s">
        <v>251</v>
      </c>
      <c r="F78" s="537">
        <v>44144</v>
      </c>
      <c r="G78" s="537">
        <v>44200</v>
      </c>
      <c r="H78" s="537">
        <v>44264</v>
      </c>
      <c r="I78" s="1471"/>
      <c r="J78" s="1471"/>
      <c r="K78" s="1471"/>
      <c r="L78" s="573">
        <v>44264</v>
      </c>
      <c r="M78" s="537">
        <v>44300</v>
      </c>
      <c r="N78" s="2503">
        <f t="shared" si="30"/>
        <v>11</v>
      </c>
      <c r="O78" s="2503">
        <f t="shared" si="31"/>
        <v>56</v>
      </c>
      <c r="P78" s="2503">
        <f t="shared" si="32"/>
        <v>64</v>
      </c>
      <c r="Q78" s="2503">
        <f t="shared" si="33"/>
        <v>36</v>
      </c>
      <c r="R78" s="2503">
        <f t="shared" si="34"/>
        <v>167</v>
      </c>
    </row>
    <row r="79" spans="1:18">
      <c r="A79" s="537">
        <v>44133</v>
      </c>
      <c r="B79" s="491" t="s">
        <v>7849</v>
      </c>
      <c r="C79" s="491" t="s">
        <v>2434</v>
      </c>
      <c r="D79" s="536">
        <v>105000</v>
      </c>
      <c r="E79" s="491" t="s">
        <v>251</v>
      </c>
      <c r="F79" s="537">
        <v>44144</v>
      </c>
      <c r="G79" s="537">
        <v>44200</v>
      </c>
      <c r="H79" s="537">
        <v>44264</v>
      </c>
      <c r="I79" s="1471"/>
      <c r="J79" s="1471"/>
      <c r="K79" s="1471"/>
      <c r="L79" s="573">
        <v>44264</v>
      </c>
      <c r="M79" s="537">
        <v>44300</v>
      </c>
      <c r="N79" s="2503">
        <f t="shared" si="30"/>
        <v>11</v>
      </c>
      <c r="O79" s="2503">
        <f t="shared" si="31"/>
        <v>56</v>
      </c>
      <c r="P79" s="2503">
        <f t="shared" si="32"/>
        <v>64</v>
      </c>
      <c r="Q79" s="2503">
        <f t="shared" si="33"/>
        <v>36</v>
      </c>
      <c r="R79" s="2503">
        <f t="shared" si="34"/>
        <v>167</v>
      </c>
    </row>
    <row r="80" spans="1:18">
      <c r="A80" s="537">
        <v>44133</v>
      </c>
      <c r="B80" s="491" t="s">
        <v>7849</v>
      </c>
      <c r="C80" s="491" t="s">
        <v>2434</v>
      </c>
      <c r="D80" s="536">
        <v>337000</v>
      </c>
      <c r="E80" s="491" t="s">
        <v>251</v>
      </c>
      <c r="F80" s="537">
        <v>44144</v>
      </c>
      <c r="G80" s="537">
        <v>44200</v>
      </c>
      <c r="H80" s="537">
        <v>44306</v>
      </c>
      <c r="I80" s="1471"/>
      <c r="J80" s="1471"/>
      <c r="K80" s="1471"/>
      <c r="L80" s="573">
        <v>44306</v>
      </c>
      <c r="M80" s="537">
        <v>44328</v>
      </c>
      <c r="N80" s="2503">
        <f t="shared" si="30"/>
        <v>11</v>
      </c>
      <c r="O80" s="2503">
        <f t="shared" si="31"/>
        <v>56</v>
      </c>
      <c r="P80" s="2503">
        <f t="shared" si="32"/>
        <v>106</v>
      </c>
      <c r="Q80" s="2503">
        <f t="shared" si="33"/>
        <v>22</v>
      </c>
      <c r="R80" s="2503">
        <f t="shared" si="34"/>
        <v>195</v>
      </c>
    </row>
    <row r="81" spans="1:18">
      <c r="A81" s="537">
        <v>44133</v>
      </c>
      <c r="B81" s="491" t="s">
        <v>7849</v>
      </c>
      <c r="C81" s="491" t="s">
        <v>2434</v>
      </c>
      <c r="D81" s="536">
        <v>330000</v>
      </c>
      <c r="E81" s="491" t="s">
        <v>251</v>
      </c>
      <c r="F81" s="537">
        <v>44144</v>
      </c>
      <c r="G81" s="537">
        <v>44200</v>
      </c>
      <c r="H81" s="537">
        <v>44281</v>
      </c>
      <c r="I81" s="1471"/>
      <c r="J81" s="1471"/>
      <c r="K81" s="1471"/>
      <c r="L81" s="573">
        <v>44281</v>
      </c>
      <c r="M81" s="537">
        <v>44320</v>
      </c>
      <c r="N81" s="2503">
        <f t="shared" si="30"/>
        <v>11</v>
      </c>
      <c r="O81" s="2503">
        <f t="shared" si="31"/>
        <v>56</v>
      </c>
      <c r="P81" s="2503">
        <f t="shared" si="32"/>
        <v>81</v>
      </c>
      <c r="Q81" s="2503">
        <f t="shared" si="33"/>
        <v>39</v>
      </c>
      <c r="R81" s="2503">
        <f t="shared" si="34"/>
        <v>187</v>
      </c>
    </row>
    <row r="82" spans="1:18">
      <c r="A82" s="2140">
        <v>44131</v>
      </c>
      <c r="B82" s="2141" t="s">
        <v>7857</v>
      </c>
      <c r="C82" s="2141" t="s">
        <v>14</v>
      </c>
      <c r="D82" s="2144">
        <v>1035000</v>
      </c>
      <c r="E82" s="2141" t="s">
        <v>251</v>
      </c>
      <c r="F82" s="2140">
        <v>44148</v>
      </c>
      <c r="G82" s="2140">
        <v>44196</v>
      </c>
      <c r="H82" s="2140">
        <v>44204</v>
      </c>
      <c r="I82" s="2145"/>
      <c r="J82" s="2145"/>
      <c r="K82" s="2145"/>
      <c r="L82" s="2146">
        <v>44204</v>
      </c>
      <c r="M82" s="2140">
        <v>44229</v>
      </c>
      <c r="N82" s="2503">
        <f t="shared" si="30"/>
        <v>17</v>
      </c>
      <c r="O82" s="2503">
        <f t="shared" si="31"/>
        <v>48</v>
      </c>
      <c r="P82" s="2503">
        <f t="shared" si="32"/>
        <v>8</v>
      </c>
      <c r="Q82" s="2503">
        <f t="shared" si="33"/>
        <v>25</v>
      </c>
      <c r="R82" s="2503">
        <f t="shared" si="34"/>
        <v>98</v>
      </c>
    </row>
    <row r="83" spans="1:18" ht="15.75" thickBot="1">
      <c r="A83" s="2117">
        <v>44146</v>
      </c>
      <c r="B83" s="2118" t="s">
        <v>7872</v>
      </c>
      <c r="C83" s="2118" t="s">
        <v>14</v>
      </c>
      <c r="D83" s="2121">
        <v>813800</v>
      </c>
      <c r="E83" s="2118" t="s">
        <v>112</v>
      </c>
      <c r="F83" s="2117">
        <v>44151</v>
      </c>
      <c r="G83" s="2117">
        <v>44167</v>
      </c>
      <c r="H83" s="2117">
        <v>44186</v>
      </c>
      <c r="I83" s="2122"/>
      <c r="J83" s="2122"/>
      <c r="K83" s="2122"/>
      <c r="L83" s="2123">
        <v>44186</v>
      </c>
      <c r="M83" s="2117">
        <v>44216</v>
      </c>
      <c r="N83" s="2503">
        <f t="shared" si="30"/>
        <v>5</v>
      </c>
      <c r="O83" s="2503">
        <f t="shared" si="31"/>
        <v>16</v>
      </c>
      <c r="P83" s="2503">
        <f t="shared" si="32"/>
        <v>19</v>
      </c>
      <c r="Q83" s="2503">
        <f t="shared" si="33"/>
        <v>30</v>
      </c>
      <c r="R83" s="2503">
        <f t="shared" si="34"/>
        <v>70</v>
      </c>
    </row>
    <row r="84" spans="1:18" ht="15.75" thickTop="1">
      <c r="A84" s="474">
        <v>44147</v>
      </c>
      <c r="B84" s="453" t="s">
        <v>7875</v>
      </c>
      <c r="C84" s="453" t="s">
        <v>69</v>
      </c>
      <c r="D84" s="457">
        <v>1887318</v>
      </c>
      <c r="E84" s="453" t="s">
        <v>251</v>
      </c>
      <c r="F84" s="474">
        <v>44193</v>
      </c>
      <c r="G84" s="474">
        <v>44263</v>
      </c>
      <c r="H84" s="474">
        <v>44295</v>
      </c>
      <c r="I84" s="1474"/>
      <c r="J84" s="1474"/>
      <c r="K84" s="1474"/>
      <c r="L84" s="570">
        <v>44295</v>
      </c>
      <c r="M84" s="474">
        <v>44320</v>
      </c>
      <c r="N84" s="2503">
        <f t="shared" si="30"/>
        <v>46</v>
      </c>
      <c r="O84" s="2503">
        <f t="shared" si="31"/>
        <v>70</v>
      </c>
      <c r="P84" s="2503">
        <f t="shared" si="32"/>
        <v>32</v>
      </c>
      <c r="Q84" s="2503">
        <f t="shared" si="33"/>
        <v>25</v>
      </c>
      <c r="R84" s="2503">
        <f t="shared" si="34"/>
        <v>173</v>
      </c>
    </row>
    <row r="85" spans="1:18" hidden="1">
      <c r="A85" s="2124">
        <v>44147</v>
      </c>
      <c r="B85" s="2125" t="s">
        <v>7875</v>
      </c>
      <c r="C85" s="2125" t="s">
        <v>69</v>
      </c>
      <c r="D85" s="2128">
        <v>3638257</v>
      </c>
      <c r="E85" s="2125" t="s">
        <v>251</v>
      </c>
      <c r="F85" s="2124">
        <v>44193</v>
      </c>
      <c r="G85" s="2124">
        <v>44263</v>
      </c>
      <c r="H85" s="2125"/>
      <c r="I85" s="2129"/>
      <c r="J85" s="2129"/>
      <c r="K85" s="2129"/>
      <c r="L85" s="2128"/>
      <c r="M85" s="2125"/>
    </row>
    <row r="86" spans="1:18">
      <c r="A86" s="2140">
        <v>44147</v>
      </c>
      <c r="B86" s="2141" t="s">
        <v>7875</v>
      </c>
      <c r="C86" s="2141" t="s">
        <v>69</v>
      </c>
      <c r="D86" s="2144">
        <v>3777877</v>
      </c>
      <c r="E86" s="2141" t="s">
        <v>251</v>
      </c>
      <c r="F86" s="2140">
        <v>44193</v>
      </c>
      <c r="G86" s="2140">
        <v>44263</v>
      </c>
      <c r="H86" s="2140">
        <v>44295</v>
      </c>
      <c r="I86" s="2145"/>
      <c r="J86" s="2145"/>
      <c r="K86" s="2145"/>
      <c r="L86" s="2146">
        <v>44295</v>
      </c>
      <c r="M86" s="2140">
        <v>44320</v>
      </c>
      <c r="N86" s="2503">
        <f t="shared" ref="N86:N102" si="35">F86-A86</f>
        <v>46</v>
      </c>
      <c r="O86" s="2503">
        <f t="shared" ref="O86:O102" si="36">G86-F86</f>
        <v>70</v>
      </c>
      <c r="P86" s="2503">
        <f t="shared" ref="P86:P102" si="37">H86-G86</f>
        <v>32</v>
      </c>
      <c r="Q86" s="2503">
        <f t="shared" ref="Q86:Q102" si="38">M86-H86</f>
        <v>25</v>
      </c>
      <c r="R86" s="2503">
        <f t="shared" ref="R86:R102" si="39">M86-A86</f>
        <v>173</v>
      </c>
    </row>
    <row r="87" spans="1:18">
      <c r="A87" s="2140">
        <v>44147</v>
      </c>
      <c r="B87" s="2141" t="s">
        <v>7875</v>
      </c>
      <c r="C87" s="2141" t="s">
        <v>69</v>
      </c>
      <c r="D87" s="2144">
        <v>1920000</v>
      </c>
      <c r="E87" s="2141" t="s">
        <v>251</v>
      </c>
      <c r="F87" s="2140">
        <v>44193</v>
      </c>
      <c r="G87" s="2140">
        <v>44263</v>
      </c>
      <c r="H87" s="2140">
        <v>44295</v>
      </c>
      <c r="I87" s="2145"/>
      <c r="J87" s="2145"/>
      <c r="K87" s="2145"/>
      <c r="L87" s="2146">
        <v>44295</v>
      </c>
      <c r="M87" s="2140">
        <v>44328</v>
      </c>
      <c r="N87" s="2503">
        <f t="shared" si="35"/>
        <v>46</v>
      </c>
      <c r="O87" s="2503">
        <f t="shared" si="36"/>
        <v>70</v>
      </c>
      <c r="P87" s="2503">
        <f t="shared" si="37"/>
        <v>32</v>
      </c>
      <c r="Q87" s="2503">
        <f t="shared" si="38"/>
        <v>33</v>
      </c>
      <c r="R87" s="2503">
        <f t="shared" si="39"/>
        <v>181</v>
      </c>
    </row>
    <row r="88" spans="1:18">
      <c r="A88" s="2140">
        <v>44147</v>
      </c>
      <c r="B88" s="2141" t="s">
        <v>7875</v>
      </c>
      <c r="C88" s="2141" t="s">
        <v>69</v>
      </c>
      <c r="D88" s="2144">
        <v>1622291</v>
      </c>
      <c r="E88" s="2141" t="s">
        <v>251</v>
      </c>
      <c r="F88" s="2140">
        <v>44193</v>
      </c>
      <c r="G88" s="2140">
        <v>44263</v>
      </c>
      <c r="H88" s="2140">
        <v>44295</v>
      </c>
      <c r="I88" s="2145"/>
      <c r="J88" s="2145"/>
      <c r="K88" s="2145"/>
      <c r="L88" s="2146">
        <v>44295</v>
      </c>
      <c r="M88" s="2140">
        <v>44320</v>
      </c>
      <c r="N88" s="2503">
        <f t="shared" si="35"/>
        <v>46</v>
      </c>
      <c r="O88" s="2503">
        <f t="shared" si="36"/>
        <v>70</v>
      </c>
      <c r="P88" s="2503">
        <f t="shared" si="37"/>
        <v>32</v>
      </c>
      <c r="Q88" s="2503">
        <f t="shared" si="38"/>
        <v>25</v>
      </c>
      <c r="R88" s="2503">
        <f t="shared" si="39"/>
        <v>173</v>
      </c>
    </row>
    <row r="89" spans="1:18" ht="15.75" thickBot="1">
      <c r="A89" s="2117">
        <v>44147</v>
      </c>
      <c r="B89" s="2118" t="s">
        <v>7875</v>
      </c>
      <c r="C89" s="2118" t="s">
        <v>69</v>
      </c>
      <c r="D89" s="2121">
        <v>2338034</v>
      </c>
      <c r="E89" s="2118" t="s">
        <v>251</v>
      </c>
      <c r="F89" s="2117">
        <v>44193</v>
      </c>
      <c r="G89" s="2117">
        <v>44263</v>
      </c>
      <c r="H89" s="2117">
        <v>44295</v>
      </c>
      <c r="I89" s="2122"/>
      <c r="J89" s="2122"/>
      <c r="K89" s="2122"/>
      <c r="L89" s="2123">
        <v>44295</v>
      </c>
      <c r="M89" s="2117">
        <v>44320</v>
      </c>
      <c r="N89" s="2503">
        <f t="shared" si="35"/>
        <v>46</v>
      </c>
      <c r="O89" s="2503">
        <f t="shared" si="36"/>
        <v>70</v>
      </c>
      <c r="P89" s="2503">
        <f t="shared" si="37"/>
        <v>32</v>
      </c>
      <c r="Q89" s="2503">
        <f t="shared" si="38"/>
        <v>25</v>
      </c>
      <c r="R89" s="2503">
        <f t="shared" si="39"/>
        <v>173</v>
      </c>
    </row>
    <row r="90" spans="1:18" ht="15.75" thickTop="1">
      <c r="A90" s="365">
        <v>44147</v>
      </c>
      <c r="B90" s="2497" t="s">
        <v>7883</v>
      </c>
      <c r="C90" s="2497" t="s">
        <v>69</v>
      </c>
      <c r="D90" s="364">
        <v>2465378</v>
      </c>
      <c r="E90" s="2497" t="s">
        <v>251</v>
      </c>
      <c r="F90" s="365">
        <v>44169</v>
      </c>
      <c r="G90" s="365">
        <v>44202</v>
      </c>
      <c r="H90" s="365">
        <v>44250</v>
      </c>
      <c r="I90" s="1473"/>
      <c r="J90" s="1473"/>
      <c r="K90" s="1473"/>
      <c r="L90" s="681">
        <v>44250</v>
      </c>
      <c r="M90" s="365">
        <v>44278</v>
      </c>
      <c r="N90" s="2503">
        <f t="shared" si="35"/>
        <v>22</v>
      </c>
      <c r="O90" s="2503">
        <f t="shared" si="36"/>
        <v>33</v>
      </c>
      <c r="P90" s="2503">
        <f t="shared" si="37"/>
        <v>48</v>
      </c>
      <c r="Q90" s="2503">
        <f t="shared" si="38"/>
        <v>28</v>
      </c>
      <c r="R90" s="2503">
        <f t="shared" si="39"/>
        <v>131</v>
      </c>
    </row>
    <row r="91" spans="1:18">
      <c r="A91" s="537">
        <v>44147</v>
      </c>
      <c r="B91" s="491" t="s">
        <v>7883</v>
      </c>
      <c r="C91" s="491" t="s">
        <v>69</v>
      </c>
      <c r="D91" s="536">
        <v>7121640</v>
      </c>
      <c r="E91" s="491" t="s">
        <v>251</v>
      </c>
      <c r="F91" s="537">
        <v>44169</v>
      </c>
      <c r="G91" s="537">
        <v>44202</v>
      </c>
      <c r="H91" s="537">
        <v>44250</v>
      </c>
      <c r="I91" s="1471"/>
      <c r="J91" s="1471"/>
      <c r="K91" s="1471"/>
      <c r="L91" s="573">
        <v>44250</v>
      </c>
      <c r="M91" s="537">
        <v>44270</v>
      </c>
      <c r="N91" s="2503">
        <f t="shared" si="35"/>
        <v>22</v>
      </c>
      <c r="O91" s="2503">
        <f t="shared" si="36"/>
        <v>33</v>
      </c>
      <c r="P91" s="2503">
        <f t="shared" si="37"/>
        <v>48</v>
      </c>
      <c r="Q91" s="2503">
        <f t="shared" si="38"/>
        <v>20</v>
      </c>
      <c r="R91" s="2503">
        <f t="shared" si="39"/>
        <v>123</v>
      </c>
    </row>
    <row r="92" spans="1:18">
      <c r="A92" s="537">
        <v>44147</v>
      </c>
      <c r="B92" s="491" t="s">
        <v>7883</v>
      </c>
      <c r="C92" s="491" t="s">
        <v>69</v>
      </c>
      <c r="D92" s="536">
        <v>2157101</v>
      </c>
      <c r="E92" s="491" t="s">
        <v>251</v>
      </c>
      <c r="F92" s="537">
        <v>44169</v>
      </c>
      <c r="G92" s="537">
        <v>44202</v>
      </c>
      <c r="H92" s="537">
        <v>44250</v>
      </c>
      <c r="I92" s="1471"/>
      <c r="J92" s="1471"/>
      <c r="K92" s="1471"/>
      <c r="L92" s="573">
        <v>44250</v>
      </c>
      <c r="M92" s="537">
        <v>44284</v>
      </c>
      <c r="N92" s="2503">
        <f t="shared" si="35"/>
        <v>22</v>
      </c>
      <c r="O92" s="2503">
        <f t="shared" si="36"/>
        <v>33</v>
      </c>
      <c r="P92" s="2503">
        <f t="shared" si="37"/>
        <v>48</v>
      </c>
      <c r="Q92" s="2503">
        <f t="shared" si="38"/>
        <v>34</v>
      </c>
      <c r="R92" s="2503">
        <f t="shared" si="39"/>
        <v>137</v>
      </c>
    </row>
    <row r="93" spans="1:18">
      <c r="A93" s="537">
        <v>44147</v>
      </c>
      <c r="B93" s="491" t="s">
        <v>7883</v>
      </c>
      <c r="C93" s="491" t="s">
        <v>69</v>
      </c>
      <c r="D93" s="536">
        <v>1789080</v>
      </c>
      <c r="E93" s="491" t="s">
        <v>251</v>
      </c>
      <c r="F93" s="537">
        <v>44169</v>
      </c>
      <c r="G93" s="537">
        <v>44202</v>
      </c>
      <c r="H93" s="537">
        <v>44250</v>
      </c>
      <c r="I93" s="1471"/>
      <c r="J93" s="1471"/>
      <c r="K93" s="1471"/>
      <c r="L93" s="573">
        <v>44250</v>
      </c>
      <c r="M93" s="537">
        <v>44273</v>
      </c>
      <c r="N93" s="2503">
        <f t="shared" si="35"/>
        <v>22</v>
      </c>
      <c r="O93" s="2503">
        <f t="shared" si="36"/>
        <v>33</v>
      </c>
      <c r="P93" s="2503">
        <f t="shared" si="37"/>
        <v>48</v>
      </c>
      <c r="Q93" s="2503">
        <f t="shared" si="38"/>
        <v>23</v>
      </c>
      <c r="R93" s="2503">
        <f t="shared" si="39"/>
        <v>126</v>
      </c>
    </row>
    <row r="94" spans="1:18">
      <c r="A94" s="537">
        <v>44147</v>
      </c>
      <c r="B94" s="491" t="s">
        <v>7883</v>
      </c>
      <c r="C94" s="491" t="s">
        <v>69</v>
      </c>
      <c r="D94" s="536">
        <v>1317252</v>
      </c>
      <c r="E94" s="491" t="s">
        <v>251</v>
      </c>
      <c r="F94" s="537">
        <v>44169</v>
      </c>
      <c r="G94" s="537">
        <v>44202</v>
      </c>
      <c r="H94" s="537">
        <v>44250</v>
      </c>
      <c r="I94" s="1471"/>
      <c r="J94" s="1471"/>
      <c r="K94" s="1471"/>
      <c r="L94" s="573">
        <v>44250</v>
      </c>
      <c r="M94" s="537">
        <v>44270</v>
      </c>
      <c r="N94" s="2503">
        <f t="shared" si="35"/>
        <v>22</v>
      </c>
      <c r="O94" s="2503">
        <f t="shared" si="36"/>
        <v>33</v>
      </c>
      <c r="P94" s="2503">
        <f t="shared" si="37"/>
        <v>48</v>
      </c>
      <c r="Q94" s="2503">
        <f t="shared" si="38"/>
        <v>20</v>
      </c>
      <c r="R94" s="2503">
        <f t="shared" si="39"/>
        <v>123</v>
      </c>
    </row>
    <row r="95" spans="1:18" ht="15.75" thickBot="1">
      <c r="A95" s="537">
        <v>44147</v>
      </c>
      <c r="B95" s="491" t="s">
        <v>7883</v>
      </c>
      <c r="C95" s="491" t="s">
        <v>69</v>
      </c>
      <c r="D95" s="536">
        <v>5475600</v>
      </c>
      <c r="E95" s="491" t="s">
        <v>251</v>
      </c>
      <c r="F95" s="537">
        <v>44169</v>
      </c>
      <c r="G95" s="537">
        <v>44202</v>
      </c>
      <c r="H95" s="537">
        <v>44250</v>
      </c>
      <c r="I95" s="1471"/>
      <c r="J95" s="1471"/>
      <c r="K95" s="1471"/>
      <c r="L95" s="573">
        <v>44250</v>
      </c>
      <c r="M95" s="537">
        <v>44278</v>
      </c>
      <c r="N95" s="2503">
        <f t="shared" si="35"/>
        <v>22</v>
      </c>
      <c r="O95" s="2503">
        <f t="shared" si="36"/>
        <v>33</v>
      </c>
      <c r="P95" s="2503">
        <f t="shared" si="37"/>
        <v>48</v>
      </c>
      <c r="Q95" s="2503">
        <f t="shared" si="38"/>
        <v>28</v>
      </c>
      <c r="R95" s="2503">
        <f t="shared" si="39"/>
        <v>131</v>
      </c>
    </row>
    <row r="96" spans="1:18" ht="15.75" thickTop="1">
      <c r="A96" s="474">
        <v>44147</v>
      </c>
      <c r="B96" s="453" t="s">
        <v>7893</v>
      </c>
      <c r="C96" s="453" t="s">
        <v>69</v>
      </c>
      <c r="D96" s="457">
        <v>1551621</v>
      </c>
      <c r="E96" s="453" t="s">
        <v>251</v>
      </c>
      <c r="F96" s="474">
        <v>44169</v>
      </c>
      <c r="G96" s="474">
        <v>44202</v>
      </c>
      <c r="H96" s="474">
        <v>44249</v>
      </c>
      <c r="I96" s="1474"/>
      <c r="J96" s="1474"/>
      <c r="K96" s="1474"/>
      <c r="L96" s="570">
        <v>44249</v>
      </c>
      <c r="M96" s="474">
        <v>44266</v>
      </c>
      <c r="N96" s="2503">
        <f t="shared" si="35"/>
        <v>22</v>
      </c>
      <c r="O96" s="2503">
        <f t="shared" si="36"/>
        <v>33</v>
      </c>
      <c r="P96" s="2503">
        <f t="shared" si="37"/>
        <v>47</v>
      </c>
      <c r="Q96" s="2503">
        <f t="shared" si="38"/>
        <v>17</v>
      </c>
      <c r="R96" s="2503">
        <f t="shared" si="39"/>
        <v>119</v>
      </c>
    </row>
    <row r="97" spans="1:18">
      <c r="A97" s="537">
        <v>44147</v>
      </c>
      <c r="B97" s="491" t="s">
        <v>7893</v>
      </c>
      <c r="C97" s="491" t="s">
        <v>69</v>
      </c>
      <c r="D97" s="536">
        <v>419556</v>
      </c>
      <c r="E97" s="491" t="s">
        <v>251</v>
      </c>
      <c r="F97" s="537">
        <v>44169</v>
      </c>
      <c r="G97" s="537">
        <v>44202</v>
      </c>
      <c r="H97" s="537">
        <v>44249</v>
      </c>
      <c r="I97" s="1471"/>
      <c r="J97" s="1471"/>
      <c r="K97" s="1471"/>
      <c r="L97" s="573">
        <v>44249</v>
      </c>
      <c r="M97" s="537">
        <v>44266</v>
      </c>
      <c r="N97" s="2503">
        <f t="shared" si="35"/>
        <v>22</v>
      </c>
      <c r="O97" s="2503">
        <f t="shared" si="36"/>
        <v>33</v>
      </c>
      <c r="P97" s="2503">
        <f t="shared" si="37"/>
        <v>47</v>
      </c>
      <c r="Q97" s="2503">
        <f t="shared" si="38"/>
        <v>17</v>
      </c>
      <c r="R97" s="2503">
        <f t="shared" si="39"/>
        <v>119</v>
      </c>
    </row>
    <row r="98" spans="1:18">
      <c r="A98" s="537">
        <v>44147</v>
      </c>
      <c r="B98" s="491" t="s">
        <v>7893</v>
      </c>
      <c r="C98" s="491" t="s">
        <v>69</v>
      </c>
      <c r="D98" s="536">
        <v>1811917</v>
      </c>
      <c r="E98" s="491" t="s">
        <v>251</v>
      </c>
      <c r="F98" s="537">
        <v>44169</v>
      </c>
      <c r="G98" s="537">
        <v>44202</v>
      </c>
      <c r="H98" s="537">
        <v>44249</v>
      </c>
      <c r="I98" s="1471"/>
      <c r="J98" s="1471"/>
      <c r="K98" s="1471"/>
      <c r="L98" s="573">
        <v>44249</v>
      </c>
      <c r="M98" s="537">
        <v>44273</v>
      </c>
      <c r="N98" s="2503">
        <f t="shared" si="35"/>
        <v>22</v>
      </c>
      <c r="O98" s="2503">
        <f t="shared" si="36"/>
        <v>33</v>
      </c>
      <c r="P98" s="2503">
        <f t="shared" si="37"/>
        <v>47</v>
      </c>
      <c r="Q98" s="2503">
        <f t="shared" si="38"/>
        <v>24</v>
      </c>
      <c r="R98" s="2503">
        <f t="shared" si="39"/>
        <v>126</v>
      </c>
    </row>
    <row r="99" spans="1:18">
      <c r="A99" s="537">
        <v>44147</v>
      </c>
      <c r="B99" s="491" t="s">
        <v>7893</v>
      </c>
      <c r="C99" s="491" t="s">
        <v>69</v>
      </c>
      <c r="D99" s="536">
        <v>7429475</v>
      </c>
      <c r="E99" s="491" t="s">
        <v>251</v>
      </c>
      <c r="F99" s="537">
        <v>44169</v>
      </c>
      <c r="G99" s="537">
        <v>44202</v>
      </c>
      <c r="H99" s="537">
        <v>44249</v>
      </c>
      <c r="I99" s="1471"/>
      <c r="J99" s="1471"/>
      <c r="K99" s="1471"/>
      <c r="L99" s="573">
        <v>44249</v>
      </c>
      <c r="M99" s="537">
        <v>44278</v>
      </c>
      <c r="N99" s="2503">
        <f t="shared" si="35"/>
        <v>22</v>
      </c>
      <c r="O99" s="2503">
        <f t="shared" si="36"/>
        <v>33</v>
      </c>
      <c r="P99" s="2503">
        <f t="shared" si="37"/>
        <v>47</v>
      </c>
      <c r="Q99" s="2503">
        <f t="shared" si="38"/>
        <v>29</v>
      </c>
      <c r="R99" s="2503">
        <f t="shared" si="39"/>
        <v>131</v>
      </c>
    </row>
    <row r="100" spans="1:18">
      <c r="A100" s="537">
        <v>44147</v>
      </c>
      <c r="B100" s="491" t="s">
        <v>7893</v>
      </c>
      <c r="C100" s="491" t="s">
        <v>69</v>
      </c>
      <c r="D100" s="536">
        <v>4344271</v>
      </c>
      <c r="E100" s="491" t="s">
        <v>251</v>
      </c>
      <c r="F100" s="537">
        <v>44169</v>
      </c>
      <c r="G100" s="537">
        <v>44202</v>
      </c>
      <c r="H100" s="537">
        <v>44249</v>
      </c>
      <c r="I100" s="1471"/>
      <c r="J100" s="1471"/>
      <c r="K100" s="1471"/>
      <c r="L100" s="573">
        <v>44249</v>
      </c>
      <c r="M100" s="537">
        <v>44266</v>
      </c>
      <c r="N100" s="2503">
        <f t="shared" si="35"/>
        <v>22</v>
      </c>
      <c r="O100" s="2503">
        <f t="shared" si="36"/>
        <v>33</v>
      </c>
      <c r="P100" s="2503">
        <f t="shared" si="37"/>
        <v>47</v>
      </c>
      <c r="Q100" s="2503">
        <f t="shared" si="38"/>
        <v>17</v>
      </c>
      <c r="R100" s="2503">
        <f t="shared" si="39"/>
        <v>119</v>
      </c>
    </row>
    <row r="101" spans="1:18">
      <c r="A101" s="537">
        <v>44147</v>
      </c>
      <c r="B101" s="491" t="s">
        <v>7893</v>
      </c>
      <c r="C101" s="491" t="s">
        <v>69</v>
      </c>
      <c r="D101" s="536">
        <v>2837161</v>
      </c>
      <c r="E101" s="491" t="s">
        <v>251</v>
      </c>
      <c r="F101" s="537">
        <v>44169</v>
      </c>
      <c r="G101" s="537">
        <v>44202</v>
      </c>
      <c r="H101" s="537">
        <v>44249</v>
      </c>
      <c r="I101" s="1471"/>
      <c r="J101" s="1471"/>
      <c r="K101" s="1471"/>
      <c r="L101" s="573">
        <v>44249</v>
      </c>
      <c r="M101" s="537">
        <v>44266</v>
      </c>
      <c r="N101" s="2503">
        <f t="shared" si="35"/>
        <v>22</v>
      </c>
      <c r="O101" s="2503">
        <f t="shared" si="36"/>
        <v>33</v>
      </c>
      <c r="P101" s="2503">
        <f t="shared" si="37"/>
        <v>47</v>
      </c>
      <c r="Q101" s="2503">
        <f t="shared" si="38"/>
        <v>17</v>
      </c>
      <c r="R101" s="2503">
        <f t="shared" si="39"/>
        <v>119</v>
      </c>
    </row>
    <row r="102" spans="1:18" ht="15.75" thickBot="1">
      <c r="A102" s="1380">
        <v>44147</v>
      </c>
      <c r="B102" s="1376" t="s">
        <v>7893</v>
      </c>
      <c r="C102" s="1376" t="s">
        <v>69</v>
      </c>
      <c r="D102" s="1379">
        <v>2236892</v>
      </c>
      <c r="E102" s="1376" t="s">
        <v>251</v>
      </c>
      <c r="F102" s="1380">
        <v>44169</v>
      </c>
      <c r="G102" s="1380">
        <v>44202</v>
      </c>
      <c r="H102" s="1380">
        <v>44249</v>
      </c>
      <c r="I102" s="1475"/>
      <c r="J102" s="1475"/>
      <c r="K102" s="1475"/>
      <c r="L102" s="1388">
        <v>44249</v>
      </c>
      <c r="M102" s="1380">
        <v>44266</v>
      </c>
      <c r="N102" s="2503">
        <f t="shared" si="35"/>
        <v>22</v>
      </c>
      <c r="O102" s="2503">
        <f t="shared" si="36"/>
        <v>33</v>
      </c>
      <c r="P102" s="2503">
        <f t="shared" si="37"/>
        <v>47</v>
      </c>
      <c r="Q102" s="2503">
        <f t="shared" si="38"/>
        <v>17</v>
      </c>
      <c r="R102" s="2503">
        <f t="shared" si="39"/>
        <v>119</v>
      </c>
    </row>
    <row r="103" spans="1:18" ht="15.75" hidden="1" thickTop="1">
      <c r="A103" s="2497" t="s">
        <v>3585</v>
      </c>
      <c r="B103" s="2497" t="s">
        <v>7909</v>
      </c>
      <c r="C103" s="2497" t="s">
        <v>2434</v>
      </c>
      <c r="D103" s="364">
        <v>2116000</v>
      </c>
      <c r="E103" s="2497" t="s">
        <v>216</v>
      </c>
      <c r="F103" s="365">
        <v>44158</v>
      </c>
      <c r="G103" s="365">
        <v>44174</v>
      </c>
      <c r="H103" s="365">
        <v>44202</v>
      </c>
      <c r="I103" s="1473"/>
      <c r="J103" s="1473"/>
      <c r="K103" s="1473"/>
      <c r="L103" s="681">
        <v>44202</v>
      </c>
      <c r="M103" s="365">
        <v>44230</v>
      </c>
    </row>
    <row r="104" spans="1:18" ht="15.75" thickTop="1">
      <c r="A104" s="537">
        <v>44151</v>
      </c>
      <c r="B104" s="491" t="s">
        <v>7910</v>
      </c>
      <c r="C104" s="491" t="s">
        <v>6561</v>
      </c>
      <c r="D104" s="536">
        <v>1350000</v>
      </c>
      <c r="E104" s="491" t="s">
        <v>112</v>
      </c>
      <c r="F104" s="537">
        <v>44158</v>
      </c>
      <c r="G104" s="537">
        <v>44168</v>
      </c>
      <c r="H104" s="537">
        <v>44181</v>
      </c>
      <c r="I104" s="1471"/>
      <c r="J104" s="1471"/>
      <c r="K104" s="1471"/>
      <c r="L104" s="573">
        <v>44181</v>
      </c>
      <c r="M104" s="537">
        <v>44218</v>
      </c>
      <c r="N104" s="2503">
        <f t="shared" ref="N104:N105" si="40">F104-A104</f>
        <v>7</v>
      </c>
      <c r="O104" s="2503">
        <f t="shared" ref="O104:O105" si="41">G104-F104</f>
        <v>10</v>
      </c>
      <c r="P104" s="2503">
        <f t="shared" ref="P104:P105" si="42">H104-G104</f>
        <v>13</v>
      </c>
      <c r="Q104" s="2503">
        <f t="shared" ref="Q104:Q105" si="43">M104-H104</f>
        <v>37</v>
      </c>
      <c r="R104" s="2503">
        <f t="shared" ref="R104:R105" si="44">M104-A104</f>
        <v>67</v>
      </c>
    </row>
    <row r="105" spans="1:18" ht="15.75" thickBot="1">
      <c r="A105" s="537">
        <v>44148</v>
      </c>
      <c r="B105" s="491" t="s">
        <v>8072</v>
      </c>
      <c r="C105" s="491" t="s">
        <v>1032</v>
      </c>
      <c r="D105" s="536">
        <v>720000</v>
      </c>
      <c r="E105" s="491" t="s">
        <v>112</v>
      </c>
      <c r="F105" s="537">
        <v>44158</v>
      </c>
      <c r="G105" s="537">
        <v>44168</v>
      </c>
      <c r="H105" s="537">
        <v>44173</v>
      </c>
      <c r="I105" s="1471"/>
      <c r="J105" s="1471"/>
      <c r="K105" s="1471"/>
      <c r="L105" s="573">
        <v>44174</v>
      </c>
      <c r="M105" s="537">
        <v>44203</v>
      </c>
      <c r="N105" s="2503">
        <f t="shared" si="40"/>
        <v>10</v>
      </c>
      <c r="O105" s="2503">
        <f t="shared" si="41"/>
        <v>10</v>
      </c>
      <c r="P105" s="2503">
        <f t="shared" si="42"/>
        <v>5</v>
      </c>
      <c r="Q105" s="2503">
        <f t="shared" si="43"/>
        <v>30</v>
      </c>
      <c r="R105" s="2503">
        <f t="shared" si="44"/>
        <v>55</v>
      </c>
    </row>
    <row r="106" spans="1:18" ht="15.75" hidden="1" thickBot="1">
      <c r="A106" s="411" t="s">
        <v>3585</v>
      </c>
      <c r="B106" s="411" t="s">
        <v>7922</v>
      </c>
      <c r="C106" s="411" t="s">
        <v>58</v>
      </c>
      <c r="D106" s="417">
        <v>10100000</v>
      </c>
      <c r="E106" s="411" t="s">
        <v>251</v>
      </c>
      <c r="F106" s="416">
        <v>44159</v>
      </c>
      <c r="G106" s="416">
        <v>44193</v>
      </c>
      <c r="H106" s="416">
        <v>44204</v>
      </c>
      <c r="I106" s="1480"/>
      <c r="J106" s="1480"/>
      <c r="K106" s="1480"/>
      <c r="L106" s="513">
        <v>44204</v>
      </c>
      <c r="M106" s="416">
        <v>44251</v>
      </c>
    </row>
    <row r="107" spans="1:18" ht="15.75" thickTop="1">
      <c r="A107" s="474">
        <v>44155</v>
      </c>
      <c r="B107" s="453" t="s">
        <v>7935</v>
      </c>
      <c r="C107" s="453" t="s">
        <v>69</v>
      </c>
      <c r="D107" s="457">
        <v>1082451</v>
      </c>
      <c r="E107" s="453" t="s">
        <v>251</v>
      </c>
      <c r="F107" s="474">
        <v>44200</v>
      </c>
      <c r="G107" s="474">
        <v>44309</v>
      </c>
      <c r="H107" s="474">
        <v>44323</v>
      </c>
      <c r="I107" s="1474"/>
      <c r="J107" s="1474"/>
      <c r="K107" s="1474"/>
      <c r="L107" s="570">
        <v>44323</v>
      </c>
      <c r="M107" s="474">
        <v>44342</v>
      </c>
      <c r="N107" s="2503">
        <f t="shared" ref="N107:N108" si="45">F107-A107</f>
        <v>45</v>
      </c>
      <c r="O107" s="2503">
        <f t="shared" ref="O107:O108" si="46">G107-F107</f>
        <v>109</v>
      </c>
      <c r="P107" s="2503">
        <f t="shared" ref="P107:P108" si="47">H107-G107</f>
        <v>14</v>
      </c>
      <c r="Q107" s="2503">
        <f t="shared" ref="Q107:Q108" si="48">M107-H107</f>
        <v>19</v>
      </c>
      <c r="R107" s="2503">
        <f t="shared" ref="R107:R108" si="49">M107-A107</f>
        <v>187</v>
      </c>
    </row>
    <row r="108" spans="1:18">
      <c r="A108" s="537">
        <v>44155</v>
      </c>
      <c r="B108" s="491" t="s">
        <v>7935</v>
      </c>
      <c r="C108" s="491" t="s">
        <v>69</v>
      </c>
      <c r="D108" s="536">
        <v>7967688</v>
      </c>
      <c r="E108" s="491" t="s">
        <v>251</v>
      </c>
      <c r="F108" s="537">
        <v>44200</v>
      </c>
      <c r="G108" s="537">
        <v>44309</v>
      </c>
      <c r="H108" s="537">
        <v>44323</v>
      </c>
      <c r="I108" s="1471"/>
      <c r="J108" s="1471"/>
      <c r="K108" s="1471"/>
      <c r="L108" s="573">
        <v>44323</v>
      </c>
      <c r="M108" s="537">
        <v>44357</v>
      </c>
      <c r="N108" s="2503">
        <f t="shared" si="45"/>
        <v>45</v>
      </c>
      <c r="O108" s="2503">
        <f t="shared" si="46"/>
        <v>109</v>
      </c>
      <c r="P108" s="2503">
        <f t="shared" si="47"/>
        <v>14</v>
      </c>
      <c r="Q108" s="2503">
        <f t="shared" si="48"/>
        <v>34</v>
      </c>
      <c r="R108" s="2503">
        <f t="shared" si="49"/>
        <v>202</v>
      </c>
    </row>
    <row r="109" spans="1:18" hidden="1">
      <c r="A109" s="470">
        <v>44159</v>
      </c>
      <c r="B109" s="466" t="s">
        <v>7940</v>
      </c>
      <c r="C109" s="466" t="s">
        <v>2434</v>
      </c>
      <c r="D109" s="472">
        <v>5785125</v>
      </c>
      <c r="E109" s="466" t="s">
        <v>251</v>
      </c>
      <c r="F109" s="470">
        <v>44168</v>
      </c>
      <c r="G109" s="470">
        <v>44201</v>
      </c>
      <c r="H109" s="466"/>
      <c r="I109" s="1516"/>
      <c r="J109" s="1516"/>
      <c r="K109" s="1516"/>
      <c r="L109" s="472"/>
      <c r="M109" s="466"/>
    </row>
    <row r="110" spans="1:18">
      <c r="A110" s="537">
        <v>44155</v>
      </c>
      <c r="B110" s="491" t="s">
        <v>7942</v>
      </c>
      <c r="C110" s="491" t="s">
        <v>2434</v>
      </c>
      <c r="D110" s="536">
        <v>19019100</v>
      </c>
      <c r="E110" s="491" t="s">
        <v>251</v>
      </c>
      <c r="F110" s="537">
        <v>44173</v>
      </c>
      <c r="G110" s="537">
        <v>44207</v>
      </c>
      <c r="H110" s="537">
        <v>44232</v>
      </c>
      <c r="I110" s="1471"/>
      <c r="J110" s="1471"/>
      <c r="K110" s="1471"/>
      <c r="L110" s="573">
        <v>44232</v>
      </c>
      <c r="M110" s="537">
        <v>44270</v>
      </c>
      <c r="N110" s="2503">
        <f t="shared" ref="N110:N111" si="50">F110-A110</f>
        <v>18</v>
      </c>
      <c r="O110" s="2503">
        <f t="shared" ref="O110:O111" si="51">G110-F110</f>
        <v>34</v>
      </c>
      <c r="P110" s="2503">
        <f t="shared" ref="P110:P111" si="52">H110-G110</f>
        <v>25</v>
      </c>
      <c r="Q110" s="2503">
        <f t="shared" ref="Q110:Q111" si="53">M110-H110</f>
        <v>38</v>
      </c>
      <c r="R110" s="2503">
        <f t="shared" ref="R110:R111" si="54">M110-A110</f>
        <v>115</v>
      </c>
    </row>
    <row r="111" spans="1:18">
      <c r="A111" s="416">
        <v>44159</v>
      </c>
      <c r="B111" s="411" t="s">
        <v>7946</v>
      </c>
      <c r="C111" s="411" t="s">
        <v>4997</v>
      </c>
      <c r="D111" s="417">
        <v>850000</v>
      </c>
      <c r="E111" s="411" t="s">
        <v>112</v>
      </c>
      <c r="F111" s="416">
        <v>44166</v>
      </c>
      <c r="G111" s="416">
        <v>44176</v>
      </c>
      <c r="H111" s="416">
        <v>44187</v>
      </c>
      <c r="I111" s="1480"/>
      <c r="J111" s="1480"/>
      <c r="K111" s="1480"/>
      <c r="L111" s="513">
        <v>44187</v>
      </c>
      <c r="M111" s="416">
        <v>44215</v>
      </c>
      <c r="N111" s="2503">
        <f t="shared" si="50"/>
        <v>7</v>
      </c>
      <c r="O111" s="2503">
        <f t="shared" si="51"/>
        <v>10</v>
      </c>
      <c r="P111" s="2503">
        <f t="shared" si="52"/>
        <v>11</v>
      </c>
      <c r="Q111" s="2503">
        <f t="shared" si="53"/>
        <v>28</v>
      </c>
      <c r="R111" s="2503">
        <f t="shared" si="54"/>
        <v>56</v>
      </c>
    </row>
    <row r="112" spans="1:18" ht="15.75" hidden="1" thickTop="1">
      <c r="A112" s="443">
        <v>44161</v>
      </c>
      <c r="B112" s="439" t="s">
        <v>7948</v>
      </c>
      <c r="C112" s="439" t="s">
        <v>69</v>
      </c>
      <c r="D112" s="444">
        <v>1012484</v>
      </c>
      <c r="E112" s="439" t="s">
        <v>251</v>
      </c>
      <c r="F112" s="443">
        <v>44172</v>
      </c>
      <c r="G112" s="443">
        <v>44204</v>
      </c>
      <c r="H112" s="439"/>
      <c r="I112" s="1481"/>
      <c r="J112" s="1481"/>
      <c r="K112" s="1481"/>
      <c r="L112" s="444"/>
      <c r="M112" s="439"/>
    </row>
    <row r="113" spans="1:18">
      <c r="A113" s="537">
        <v>44161</v>
      </c>
      <c r="B113" s="491" t="s">
        <v>7948</v>
      </c>
      <c r="C113" s="491" t="s">
        <v>69</v>
      </c>
      <c r="D113" s="536">
        <v>292383</v>
      </c>
      <c r="E113" s="491" t="s">
        <v>251</v>
      </c>
      <c r="F113" s="537">
        <v>44172</v>
      </c>
      <c r="G113" s="537">
        <v>44204</v>
      </c>
      <c r="H113" s="537">
        <v>44215</v>
      </c>
      <c r="I113" s="1471"/>
      <c r="J113" s="1471"/>
      <c r="K113" s="1471"/>
      <c r="L113" s="573">
        <v>44215</v>
      </c>
      <c r="M113" s="537">
        <v>44249</v>
      </c>
      <c r="N113" s="2503">
        <f t="shared" ref="N113:N115" si="55">F113-A113</f>
        <v>11</v>
      </c>
      <c r="O113" s="2503">
        <f t="shared" ref="O113:O115" si="56">G113-F113</f>
        <v>32</v>
      </c>
      <c r="P113" s="2503">
        <f t="shared" ref="P113:P115" si="57">H113-G113</f>
        <v>11</v>
      </c>
      <c r="Q113" s="2503">
        <f t="shared" ref="Q113:Q115" si="58">M113-H113</f>
        <v>34</v>
      </c>
      <c r="R113" s="2503">
        <f t="shared" ref="R113:R115" si="59">M113-A113</f>
        <v>88</v>
      </c>
    </row>
    <row r="114" spans="1:18">
      <c r="A114" s="537">
        <v>44161</v>
      </c>
      <c r="B114" s="491" t="s">
        <v>7948</v>
      </c>
      <c r="C114" s="491" t="s">
        <v>69</v>
      </c>
      <c r="D114" s="536">
        <v>7136766</v>
      </c>
      <c r="E114" s="491" t="s">
        <v>251</v>
      </c>
      <c r="F114" s="537">
        <v>44172</v>
      </c>
      <c r="G114" s="537">
        <v>44204</v>
      </c>
      <c r="H114" s="537">
        <v>44215</v>
      </c>
      <c r="I114" s="1471"/>
      <c r="J114" s="1471"/>
      <c r="K114" s="1471"/>
      <c r="L114" s="573">
        <v>44215</v>
      </c>
      <c r="M114" s="537">
        <v>44249</v>
      </c>
      <c r="N114" s="2503">
        <f t="shared" si="55"/>
        <v>11</v>
      </c>
      <c r="O114" s="2503">
        <f t="shared" si="56"/>
        <v>32</v>
      </c>
      <c r="P114" s="2503">
        <f t="shared" si="57"/>
        <v>11</v>
      </c>
      <c r="Q114" s="2503">
        <f t="shared" si="58"/>
        <v>34</v>
      </c>
      <c r="R114" s="2503">
        <f t="shared" si="59"/>
        <v>88</v>
      </c>
    </row>
    <row r="115" spans="1:18" ht="15.75" thickBot="1">
      <c r="A115" s="1380">
        <v>44161</v>
      </c>
      <c r="B115" s="1376" t="s">
        <v>7948</v>
      </c>
      <c r="C115" s="1376" t="s">
        <v>69</v>
      </c>
      <c r="D115" s="1379">
        <v>2915317</v>
      </c>
      <c r="E115" s="1376" t="s">
        <v>251</v>
      </c>
      <c r="F115" s="1380">
        <v>44172</v>
      </c>
      <c r="G115" s="1380">
        <v>44204</v>
      </c>
      <c r="H115" s="1380">
        <v>44215</v>
      </c>
      <c r="I115" s="1475"/>
      <c r="J115" s="1475"/>
      <c r="K115" s="1475"/>
      <c r="L115" s="1388">
        <v>44215</v>
      </c>
      <c r="M115" s="1380">
        <v>44249</v>
      </c>
      <c r="N115" s="2503">
        <f t="shared" si="55"/>
        <v>11</v>
      </c>
      <c r="O115" s="2503">
        <f t="shared" si="56"/>
        <v>32</v>
      </c>
      <c r="P115" s="2503">
        <f t="shared" si="57"/>
        <v>11</v>
      </c>
      <c r="Q115" s="2503">
        <f t="shared" si="58"/>
        <v>34</v>
      </c>
      <c r="R115" s="2503">
        <f t="shared" si="59"/>
        <v>88</v>
      </c>
    </row>
    <row r="116" spans="1:18" ht="15.75" hidden="1" thickTop="1">
      <c r="A116" s="443">
        <v>44161</v>
      </c>
      <c r="B116" s="439" t="s">
        <v>7949</v>
      </c>
      <c r="C116" s="439" t="s">
        <v>69</v>
      </c>
      <c r="D116" s="444">
        <v>1519736</v>
      </c>
      <c r="E116" s="439" t="s">
        <v>251</v>
      </c>
      <c r="F116" s="443">
        <v>44173</v>
      </c>
      <c r="G116" s="443">
        <v>44222</v>
      </c>
      <c r="H116" s="439"/>
      <c r="I116" s="1481"/>
      <c r="J116" s="1481"/>
      <c r="K116" s="1481"/>
      <c r="L116" s="444"/>
      <c r="M116" s="439"/>
    </row>
    <row r="117" spans="1:18" ht="15.75" thickTop="1">
      <c r="A117" s="537">
        <v>44161</v>
      </c>
      <c r="B117" s="491" t="s">
        <v>7949</v>
      </c>
      <c r="C117" s="491" t="s">
        <v>69</v>
      </c>
      <c r="D117" s="536">
        <v>961257</v>
      </c>
      <c r="E117" s="491" t="s">
        <v>251</v>
      </c>
      <c r="F117" s="537">
        <v>44173</v>
      </c>
      <c r="G117" s="537">
        <v>44222</v>
      </c>
      <c r="H117" s="537">
        <v>44253</v>
      </c>
      <c r="I117" s="1471"/>
      <c r="J117" s="1471"/>
      <c r="K117" s="1471"/>
      <c r="L117" s="573">
        <v>44253</v>
      </c>
      <c r="M117" s="537">
        <v>44278</v>
      </c>
      <c r="N117" s="2503">
        <f t="shared" ref="N117:N123" si="60">F117-A117</f>
        <v>12</v>
      </c>
      <c r="O117" s="2503">
        <f t="shared" ref="O117:O123" si="61">G117-F117</f>
        <v>49</v>
      </c>
      <c r="P117" s="2503">
        <f t="shared" ref="P117:P123" si="62">H117-G117</f>
        <v>31</v>
      </c>
      <c r="Q117" s="2503">
        <f t="shared" ref="Q117:Q123" si="63">M117-H117</f>
        <v>25</v>
      </c>
      <c r="R117" s="2503">
        <f t="shared" ref="R117:R123" si="64">M117-A117</f>
        <v>117</v>
      </c>
    </row>
    <row r="118" spans="1:18">
      <c r="A118" s="537">
        <v>44161</v>
      </c>
      <c r="B118" s="491" t="s">
        <v>7949</v>
      </c>
      <c r="C118" s="491" t="s">
        <v>69</v>
      </c>
      <c r="D118" s="536">
        <v>758692</v>
      </c>
      <c r="E118" s="491" t="s">
        <v>251</v>
      </c>
      <c r="F118" s="537">
        <v>44173</v>
      </c>
      <c r="G118" s="537">
        <v>44222</v>
      </c>
      <c r="H118" s="537">
        <v>44253</v>
      </c>
      <c r="I118" s="1471"/>
      <c r="J118" s="1471"/>
      <c r="K118" s="1471"/>
      <c r="L118" s="573">
        <v>44253</v>
      </c>
      <c r="M118" s="537">
        <v>44273</v>
      </c>
      <c r="N118" s="2503">
        <f t="shared" si="60"/>
        <v>12</v>
      </c>
      <c r="O118" s="2503">
        <f t="shared" si="61"/>
        <v>49</v>
      </c>
      <c r="P118" s="2503">
        <f t="shared" si="62"/>
        <v>31</v>
      </c>
      <c r="Q118" s="2503">
        <f t="shared" si="63"/>
        <v>20</v>
      </c>
      <c r="R118" s="2503">
        <f t="shared" si="64"/>
        <v>112</v>
      </c>
    </row>
    <row r="119" spans="1:18">
      <c r="A119" s="537">
        <v>44161</v>
      </c>
      <c r="B119" s="491" t="s">
        <v>7949</v>
      </c>
      <c r="C119" s="491" t="s">
        <v>69</v>
      </c>
      <c r="D119" s="536">
        <v>325365</v>
      </c>
      <c r="E119" s="491" t="s">
        <v>251</v>
      </c>
      <c r="F119" s="537">
        <v>44173</v>
      </c>
      <c r="G119" s="537">
        <v>44222</v>
      </c>
      <c r="H119" s="537">
        <v>44253</v>
      </c>
      <c r="I119" s="1471"/>
      <c r="J119" s="1471"/>
      <c r="K119" s="1471"/>
      <c r="L119" s="573">
        <v>44253</v>
      </c>
      <c r="M119" s="537">
        <v>44278</v>
      </c>
      <c r="N119" s="2503">
        <f t="shared" si="60"/>
        <v>12</v>
      </c>
      <c r="O119" s="2503">
        <f t="shared" si="61"/>
        <v>49</v>
      </c>
      <c r="P119" s="2503">
        <f t="shared" si="62"/>
        <v>31</v>
      </c>
      <c r="Q119" s="2503">
        <f t="shared" si="63"/>
        <v>25</v>
      </c>
      <c r="R119" s="2503">
        <f t="shared" si="64"/>
        <v>117</v>
      </c>
    </row>
    <row r="120" spans="1:18" ht="15.75" thickBot="1">
      <c r="A120" s="1380">
        <v>44161</v>
      </c>
      <c r="B120" s="1376" t="s">
        <v>7949</v>
      </c>
      <c r="C120" s="1376" t="s">
        <v>69</v>
      </c>
      <c r="D120" s="1379">
        <v>3438683</v>
      </c>
      <c r="E120" s="1376" t="s">
        <v>251</v>
      </c>
      <c r="F120" s="1380">
        <v>44173</v>
      </c>
      <c r="G120" s="1380">
        <v>44222</v>
      </c>
      <c r="H120" s="1380">
        <v>44253</v>
      </c>
      <c r="I120" s="1475"/>
      <c r="J120" s="1475"/>
      <c r="K120" s="1475"/>
      <c r="L120" s="1388">
        <v>44253</v>
      </c>
      <c r="M120" s="1380">
        <v>44314</v>
      </c>
      <c r="N120" s="2503">
        <f t="shared" si="60"/>
        <v>12</v>
      </c>
      <c r="O120" s="2503">
        <f t="shared" si="61"/>
        <v>49</v>
      </c>
      <c r="P120" s="2503">
        <f t="shared" si="62"/>
        <v>31</v>
      </c>
      <c r="Q120" s="2503">
        <f t="shared" si="63"/>
        <v>61</v>
      </c>
      <c r="R120" s="2503">
        <f t="shared" si="64"/>
        <v>153</v>
      </c>
    </row>
    <row r="121" spans="1:18" ht="15.75" thickTop="1">
      <c r="A121" s="365">
        <v>44162</v>
      </c>
      <c r="B121" s="2497" t="s">
        <v>7967</v>
      </c>
      <c r="C121" s="2497" t="s">
        <v>52</v>
      </c>
      <c r="D121" s="364">
        <v>3500000</v>
      </c>
      <c r="E121" s="2497" t="s">
        <v>112</v>
      </c>
      <c r="F121" s="365">
        <v>44167</v>
      </c>
      <c r="G121" s="365">
        <v>44180</v>
      </c>
      <c r="H121" s="365">
        <v>44182</v>
      </c>
      <c r="I121" s="1473"/>
      <c r="J121" s="1473"/>
      <c r="K121" s="1473"/>
      <c r="L121" s="681">
        <v>44182</v>
      </c>
      <c r="M121" s="365">
        <v>44228</v>
      </c>
      <c r="N121" s="2503">
        <f t="shared" si="60"/>
        <v>5</v>
      </c>
      <c r="O121" s="2503">
        <f t="shared" si="61"/>
        <v>13</v>
      </c>
      <c r="P121" s="2503">
        <f t="shared" si="62"/>
        <v>2</v>
      </c>
      <c r="Q121" s="2503">
        <f t="shared" si="63"/>
        <v>46</v>
      </c>
      <c r="R121" s="2503">
        <f t="shared" si="64"/>
        <v>66</v>
      </c>
    </row>
    <row r="122" spans="1:18">
      <c r="A122" s="537">
        <v>44162</v>
      </c>
      <c r="B122" s="491" t="s">
        <v>7971</v>
      </c>
      <c r="C122" s="491" t="s">
        <v>69</v>
      </c>
      <c r="D122" s="536">
        <v>5019815</v>
      </c>
      <c r="E122" s="491" t="s">
        <v>251</v>
      </c>
      <c r="F122" s="537">
        <v>44172</v>
      </c>
      <c r="G122" s="537">
        <v>44204</v>
      </c>
      <c r="H122" s="537">
        <v>44232</v>
      </c>
      <c r="I122" s="1471"/>
      <c r="J122" s="1471"/>
      <c r="K122" s="1471"/>
      <c r="L122" s="573">
        <v>44232</v>
      </c>
      <c r="M122" s="537">
        <v>44252</v>
      </c>
      <c r="N122" s="2503">
        <f t="shared" si="60"/>
        <v>10</v>
      </c>
      <c r="O122" s="2503">
        <f t="shared" si="61"/>
        <v>32</v>
      </c>
      <c r="P122" s="2503">
        <f t="shared" si="62"/>
        <v>28</v>
      </c>
      <c r="Q122" s="2503">
        <f t="shared" si="63"/>
        <v>20</v>
      </c>
      <c r="R122" s="2503">
        <f t="shared" si="64"/>
        <v>90</v>
      </c>
    </row>
    <row r="123" spans="1:18">
      <c r="A123" s="537">
        <v>44162</v>
      </c>
      <c r="B123" s="491" t="s">
        <v>7971</v>
      </c>
      <c r="C123" s="491" t="s">
        <v>69</v>
      </c>
      <c r="D123" s="536">
        <v>3706073</v>
      </c>
      <c r="E123" s="491" t="s">
        <v>251</v>
      </c>
      <c r="F123" s="537">
        <v>44172</v>
      </c>
      <c r="G123" s="537">
        <v>44204</v>
      </c>
      <c r="H123" s="537">
        <v>44232</v>
      </c>
      <c r="I123" s="1471"/>
      <c r="J123" s="1471"/>
      <c r="K123" s="1471"/>
      <c r="L123" s="573">
        <v>44232</v>
      </c>
      <c r="M123" s="537">
        <v>44252</v>
      </c>
      <c r="N123" s="2503">
        <f t="shared" si="60"/>
        <v>10</v>
      </c>
      <c r="O123" s="2503">
        <f t="shared" si="61"/>
        <v>32</v>
      </c>
      <c r="P123" s="2503">
        <f t="shared" si="62"/>
        <v>28</v>
      </c>
      <c r="Q123" s="2503">
        <f t="shared" si="63"/>
        <v>20</v>
      </c>
      <c r="R123" s="2503">
        <f t="shared" si="64"/>
        <v>90</v>
      </c>
    </row>
    <row r="124" spans="1:18" hidden="1">
      <c r="A124" s="491" t="s">
        <v>3585</v>
      </c>
      <c r="B124" s="491" t="s">
        <v>7997</v>
      </c>
      <c r="C124" s="491" t="s">
        <v>2434</v>
      </c>
      <c r="D124" s="536">
        <v>3103825</v>
      </c>
      <c r="E124" s="491" t="s">
        <v>251</v>
      </c>
      <c r="F124" s="537">
        <v>44180</v>
      </c>
      <c r="G124" s="537">
        <v>44214</v>
      </c>
      <c r="H124" s="537">
        <v>44218</v>
      </c>
      <c r="I124" s="1471"/>
      <c r="J124" s="1471"/>
      <c r="K124" s="1471"/>
      <c r="L124" s="573">
        <v>44218</v>
      </c>
      <c r="M124" s="537">
        <v>44264</v>
      </c>
    </row>
    <row r="125" spans="1:18" hidden="1">
      <c r="A125" s="411" t="s">
        <v>3585</v>
      </c>
      <c r="B125" s="411" t="s">
        <v>7998</v>
      </c>
      <c r="C125" s="411" t="s">
        <v>2434</v>
      </c>
      <c r="D125" s="417">
        <v>25040000</v>
      </c>
      <c r="E125" s="411" t="s">
        <v>251</v>
      </c>
      <c r="F125" s="416">
        <v>44181</v>
      </c>
      <c r="G125" s="416">
        <v>44214</v>
      </c>
      <c r="H125" s="416">
        <v>44218</v>
      </c>
      <c r="I125" s="1471"/>
      <c r="J125" s="1471"/>
      <c r="K125" s="1471"/>
      <c r="L125" s="513">
        <v>44221</v>
      </c>
      <c r="M125" s="416">
        <v>44264</v>
      </c>
    </row>
    <row r="126" spans="1:18" ht="15.75" hidden="1" thickTop="1">
      <c r="A126" s="453" t="s">
        <v>3585</v>
      </c>
      <c r="B126" s="453" t="s">
        <v>8009</v>
      </c>
      <c r="C126" s="453" t="s">
        <v>2434</v>
      </c>
      <c r="D126" s="457">
        <v>2762500</v>
      </c>
      <c r="E126" s="453" t="s">
        <v>251</v>
      </c>
      <c r="F126" s="474">
        <v>44175</v>
      </c>
      <c r="G126" s="474">
        <v>44207</v>
      </c>
      <c r="H126" s="474">
        <v>44246</v>
      </c>
      <c r="I126" s="2162"/>
      <c r="J126" s="1471"/>
      <c r="K126" s="1471"/>
      <c r="L126" s="570">
        <v>44246</v>
      </c>
      <c r="M126" s="474">
        <v>44266</v>
      </c>
    </row>
    <row r="127" spans="1:18" hidden="1">
      <c r="A127" s="491" t="s">
        <v>3585</v>
      </c>
      <c r="B127" s="491" t="s">
        <v>8009</v>
      </c>
      <c r="C127" s="491" t="s">
        <v>2434</v>
      </c>
      <c r="D127" s="536">
        <v>264000</v>
      </c>
      <c r="E127" s="491" t="s">
        <v>251</v>
      </c>
      <c r="F127" s="537">
        <v>44175</v>
      </c>
      <c r="G127" s="537">
        <v>44207</v>
      </c>
      <c r="H127" s="537">
        <v>44246</v>
      </c>
      <c r="I127" s="2162"/>
      <c r="J127" s="1471"/>
      <c r="K127" s="1471"/>
      <c r="L127" s="573">
        <v>44246</v>
      </c>
      <c r="M127" s="537">
        <v>44266</v>
      </c>
    </row>
    <row r="128" spans="1:18" hidden="1">
      <c r="A128" s="491" t="s">
        <v>3585</v>
      </c>
      <c r="B128" s="491" t="s">
        <v>8009</v>
      </c>
      <c r="C128" s="491" t="s">
        <v>2434</v>
      </c>
      <c r="D128" s="536">
        <v>4290000</v>
      </c>
      <c r="E128" s="491" t="s">
        <v>251</v>
      </c>
      <c r="F128" s="537">
        <v>44175</v>
      </c>
      <c r="G128" s="537">
        <v>44207</v>
      </c>
      <c r="H128" s="537">
        <v>44246</v>
      </c>
      <c r="I128" s="2162"/>
      <c r="J128" s="1471"/>
      <c r="K128" s="1471"/>
      <c r="L128" s="573">
        <v>44246</v>
      </c>
      <c r="M128" s="537">
        <v>44266</v>
      </c>
    </row>
    <row r="129" spans="1:18" hidden="1">
      <c r="A129" s="491" t="s">
        <v>3585</v>
      </c>
      <c r="B129" s="491" t="s">
        <v>8009</v>
      </c>
      <c r="C129" s="491" t="s">
        <v>2434</v>
      </c>
      <c r="D129" s="536">
        <v>1326500</v>
      </c>
      <c r="E129" s="491" t="s">
        <v>251</v>
      </c>
      <c r="F129" s="537">
        <v>44175</v>
      </c>
      <c r="G129" s="537">
        <v>44207</v>
      </c>
      <c r="H129" s="537">
        <v>44246</v>
      </c>
      <c r="I129" s="2162"/>
      <c r="J129" s="1471"/>
      <c r="K129" s="1471"/>
      <c r="L129" s="573">
        <v>44246</v>
      </c>
      <c r="M129" s="537">
        <v>44266</v>
      </c>
    </row>
    <row r="130" spans="1:18" hidden="1">
      <c r="A130" s="506" t="s">
        <v>3585</v>
      </c>
      <c r="B130" s="506" t="s">
        <v>8009</v>
      </c>
      <c r="C130" s="506" t="s">
        <v>2434</v>
      </c>
      <c r="D130" s="511">
        <v>875000</v>
      </c>
      <c r="E130" s="506" t="s">
        <v>251</v>
      </c>
      <c r="F130" s="510">
        <v>44175</v>
      </c>
      <c r="G130" s="510">
        <v>44207</v>
      </c>
      <c r="H130" s="506"/>
      <c r="I130" s="2158"/>
      <c r="J130" s="1470"/>
      <c r="K130" s="1470"/>
      <c r="L130" s="511"/>
      <c r="M130" s="506"/>
    </row>
    <row r="131" spans="1:18" ht="15.75" hidden="1" thickBot="1">
      <c r="A131" s="1376" t="s">
        <v>3585</v>
      </c>
      <c r="B131" s="1376" t="s">
        <v>8009</v>
      </c>
      <c r="C131" s="1376" t="s">
        <v>2434</v>
      </c>
      <c r="D131" s="1379">
        <v>1008000</v>
      </c>
      <c r="E131" s="1376" t="s">
        <v>251</v>
      </c>
      <c r="F131" s="1380">
        <v>44175</v>
      </c>
      <c r="G131" s="1380">
        <v>44207</v>
      </c>
      <c r="H131" s="1380">
        <v>44246</v>
      </c>
      <c r="I131" s="2162"/>
      <c r="J131" s="1471"/>
      <c r="K131" s="1471"/>
      <c r="L131" s="1388">
        <v>44246</v>
      </c>
      <c r="M131" s="1380">
        <v>44266</v>
      </c>
    </row>
    <row r="132" spans="1:18">
      <c r="A132" s="365">
        <v>44174</v>
      </c>
      <c r="B132" s="2497" t="s">
        <v>8030</v>
      </c>
      <c r="C132" s="2497" t="s">
        <v>69</v>
      </c>
      <c r="D132" s="364">
        <v>15250000</v>
      </c>
      <c r="E132" s="2497" t="s">
        <v>251</v>
      </c>
      <c r="F132" s="365">
        <v>44181</v>
      </c>
      <c r="G132" s="365">
        <v>44214</v>
      </c>
      <c r="H132" s="365">
        <v>44232</v>
      </c>
      <c r="I132" s="1471"/>
      <c r="J132" s="1471"/>
      <c r="K132" s="1471"/>
      <c r="L132" s="681">
        <v>44232</v>
      </c>
      <c r="M132" s="365">
        <v>44245</v>
      </c>
      <c r="N132" s="2503">
        <f t="shared" ref="N132:N133" si="65">F132-A132</f>
        <v>7</v>
      </c>
      <c r="O132" s="2503">
        <f t="shared" ref="O132:O133" si="66">G132-F132</f>
        <v>33</v>
      </c>
      <c r="P132" s="2503">
        <f t="shared" ref="P132:P133" si="67">H132-G132</f>
        <v>18</v>
      </c>
      <c r="Q132" s="2503">
        <f t="shared" ref="Q132:Q133" si="68">M132-H132</f>
        <v>13</v>
      </c>
      <c r="R132" s="2503">
        <f t="shared" ref="R132:R133" si="69">M132-A132</f>
        <v>71</v>
      </c>
    </row>
    <row r="133" spans="1:18">
      <c r="A133" s="416">
        <v>44166</v>
      </c>
      <c r="B133" s="411" t="s">
        <v>8036</v>
      </c>
      <c r="C133" s="411" t="s">
        <v>52</v>
      </c>
      <c r="D133" s="417">
        <v>15000000</v>
      </c>
      <c r="E133" s="411" t="s">
        <v>251</v>
      </c>
      <c r="F133" s="416">
        <v>44183</v>
      </c>
      <c r="G133" s="416">
        <v>44216</v>
      </c>
      <c r="H133" s="416">
        <v>44218</v>
      </c>
      <c r="I133" s="1480"/>
      <c r="J133" s="1480"/>
      <c r="K133" s="1480"/>
      <c r="L133" s="513">
        <v>44218</v>
      </c>
      <c r="M133" s="416">
        <v>44251</v>
      </c>
      <c r="N133" s="2503">
        <f t="shared" si="65"/>
        <v>17</v>
      </c>
      <c r="O133" s="2503">
        <f t="shared" si="66"/>
        <v>33</v>
      </c>
      <c r="P133" s="2503">
        <f t="shared" si="67"/>
        <v>2</v>
      </c>
      <c r="Q133" s="2503">
        <f t="shared" si="68"/>
        <v>33</v>
      </c>
      <c r="R133" s="2503">
        <f t="shared" si="69"/>
        <v>85</v>
      </c>
    </row>
    <row r="134" spans="1:18" ht="15.75" hidden="1" thickTop="1">
      <c r="A134" s="443">
        <v>44180</v>
      </c>
      <c r="B134" s="439" t="s">
        <v>8048</v>
      </c>
      <c r="C134" s="439" t="s">
        <v>69</v>
      </c>
      <c r="D134" s="444">
        <v>1879678</v>
      </c>
      <c r="E134" s="439" t="s">
        <v>251</v>
      </c>
      <c r="F134" s="443">
        <v>44183</v>
      </c>
      <c r="G134" s="443">
        <v>44216</v>
      </c>
      <c r="H134" s="443">
        <v>44232</v>
      </c>
      <c r="I134" s="1481"/>
      <c r="J134" s="1481"/>
      <c r="K134" s="1481"/>
      <c r="L134" s="1884">
        <v>44232</v>
      </c>
      <c r="M134" s="439"/>
    </row>
    <row r="135" spans="1:18">
      <c r="A135" s="537">
        <v>44180</v>
      </c>
      <c r="B135" s="491" t="s">
        <v>8048</v>
      </c>
      <c r="C135" s="491" t="s">
        <v>69</v>
      </c>
      <c r="D135" s="536">
        <v>3048116</v>
      </c>
      <c r="E135" s="491" t="s">
        <v>251</v>
      </c>
      <c r="F135" s="537">
        <v>44183</v>
      </c>
      <c r="G135" s="537">
        <v>44216</v>
      </c>
      <c r="H135" s="537">
        <v>44232</v>
      </c>
      <c r="I135" s="1471"/>
      <c r="J135" s="1471"/>
      <c r="K135" s="1471"/>
      <c r="L135" s="573">
        <v>44232</v>
      </c>
      <c r="M135" s="537">
        <v>44264</v>
      </c>
      <c r="N135" s="2503">
        <f>F135-A135</f>
        <v>3</v>
      </c>
      <c r="O135" s="2503">
        <f>G135-F135</f>
        <v>33</v>
      </c>
      <c r="P135" s="2503">
        <f>H135-G135</f>
        <v>16</v>
      </c>
      <c r="Q135" s="2503">
        <f>M135-H135</f>
        <v>32</v>
      </c>
      <c r="R135" s="2503">
        <f>M135-A135</f>
        <v>84</v>
      </c>
    </row>
    <row r="136" spans="1:18" hidden="1">
      <c r="A136" s="510">
        <v>44180</v>
      </c>
      <c r="B136" s="506" t="s">
        <v>8048</v>
      </c>
      <c r="C136" s="506" t="s">
        <v>69</v>
      </c>
      <c r="D136" s="511">
        <v>596452</v>
      </c>
      <c r="E136" s="506" t="s">
        <v>251</v>
      </c>
      <c r="F136" s="510">
        <v>44183</v>
      </c>
      <c r="G136" s="510">
        <v>44216</v>
      </c>
      <c r="H136" s="510">
        <v>44232</v>
      </c>
      <c r="I136" s="1470"/>
      <c r="J136" s="1470"/>
      <c r="K136" s="1470"/>
      <c r="L136" s="1398">
        <v>44232</v>
      </c>
      <c r="M136" s="506"/>
    </row>
    <row r="137" spans="1:18" hidden="1">
      <c r="A137" s="510">
        <v>44180</v>
      </c>
      <c r="B137" s="506" t="s">
        <v>8048</v>
      </c>
      <c r="C137" s="506" t="s">
        <v>69</v>
      </c>
      <c r="D137" s="511">
        <v>2702846</v>
      </c>
      <c r="E137" s="506" t="s">
        <v>251</v>
      </c>
      <c r="F137" s="510">
        <v>44183</v>
      </c>
      <c r="G137" s="510">
        <v>44216</v>
      </c>
      <c r="H137" s="506"/>
      <c r="I137" s="1470"/>
      <c r="J137" s="1470"/>
      <c r="K137" s="1470"/>
      <c r="L137" s="511"/>
      <c r="M137" s="506"/>
    </row>
    <row r="138" spans="1:18" ht="15.75" thickBot="1">
      <c r="A138" s="537">
        <v>44180</v>
      </c>
      <c r="B138" s="491" t="s">
        <v>8048</v>
      </c>
      <c r="C138" s="491" t="s">
        <v>69</v>
      </c>
      <c r="D138" s="536">
        <v>705451</v>
      </c>
      <c r="E138" s="491" t="s">
        <v>251</v>
      </c>
      <c r="F138" s="537">
        <v>44183</v>
      </c>
      <c r="G138" s="537">
        <v>44216</v>
      </c>
      <c r="H138" s="537">
        <v>44232</v>
      </c>
      <c r="I138" s="1471"/>
      <c r="J138" s="1471"/>
      <c r="K138" s="1471"/>
      <c r="L138" s="573">
        <v>44232</v>
      </c>
      <c r="M138" s="537">
        <v>44273</v>
      </c>
      <c r="N138" s="2503">
        <f>F138-A138</f>
        <v>3</v>
      </c>
      <c r="O138" s="2503">
        <f>G138-F138</f>
        <v>33</v>
      </c>
      <c r="P138" s="2503">
        <f>H138-G138</f>
        <v>16</v>
      </c>
      <c r="Q138" s="2503">
        <f>M138-H138</f>
        <v>41</v>
      </c>
      <c r="R138" s="2503">
        <f>M138-A138</f>
        <v>93</v>
      </c>
    </row>
    <row r="139" spans="1:18" ht="15.75" hidden="1" thickBot="1">
      <c r="A139" s="510">
        <v>44180</v>
      </c>
      <c r="B139" s="506" t="s">
        <v>8048</v>
      </c>
      <c r="C139" s="506" t="s">
        <v>69</v>
      </c>
      <c r="D139" s="511">
        <v>691921</v>
      </c>
      <c r="E139" s="506" t="s">
        <v>251</v>
      </c>
      <c r="F139" s="510">
        <v>44183</v>
      </c>
      <c r="G139" s="510">
        <v>44216</v>
      </c>
      <c r="H139" s="506"/>
      <c r="I139" s="1470"/>
      <c r="J139" s="1470"/>
      <c r="K139" s="1470"/>
      <c r="L139" s="511"/>
      <c r="M139" s="506"/>
    </row>
    <row r="140" spans="1:18" ht="15.75" hidden="1" thickBot="1">
      <c r="A140" s="1414">
        <v>44180</v>
      </c>
      <c r="B140" s="1410" t="s">
        <v>8048</v>
      </c>
      <c r="C140" s="1410" t="s">
        <v>69</v>
      </c>
      <c r="D140" s="1413">
        <v>755060</v>
      </c>
      <c r="E140" s="1410" t="s">
        <v>251</v>
      </c>
      <c r="F140" s="1414">
        <v>44183</v>
      </c>
      <c r="G140" s="1414">
        <v>44216</v>
      </c>
      <c r="H140" s="1410"/>
      <c r="I140" s="1479"/>
      <c r="J140" s="1479"/>
      <c r="K140" s="1479"/>
      <c r="L140" s="1413"/>
      <c r="M140" s="1410"/>
    </row>
    <row r="141" spans="1:18" ht="15.75" thickTop="1">
      <c r="A141" s="474">
        <v>44180</v>
      </c>
      <c r="B141" s="453" t="s">
        <v>8051</v>
      </c>
      <c r="C141" s="453" t="s">
        <v>69</v>
      </c>
      <c r="D141" s="457">
        <v>1228500</v>
      </c>
      <c r="E141" s="453" t="s">
        <v>251</v>
      </c>
      <c r="F141" s="474">
        <v>44183</v>
      </c>
      <c r="G141" s="474">
        <v>44236</v>
      </c>
      <c r="H141" s="474">
        <v>44257</v>
      </c>
      <c r="I141" s="1474"/>
      <c r="J141" s="1474"/>
      <c r="K141" s="1474"/>
      <c r="L141" s="570">
        <v>44257</v>
      </c>
      <c r="M141" s="474">
        <v>44294</v>
      </c>
      <c r="N141" s="2503">
        <f t="shared" ref="N141:N143" si="70">F141-A141</f>
        <v>3</v>
      </c>
      <c r="O141" s="2503">
        <f t="shared" ref="O141:O143" si="71">G141-F141</f>
        <v>53</v>
      </c>
      <c r="P141" s="2503">
        <f t="shared" ref="P141:P143" si="72">H141-G141</f>
        <v>21</v>
      </c>
      <c r="Q141" s="2503">
        <f t="shared" ref="Q141:Q143" si="73">M141-H141</f>
        <v>37</v>
      </c>
      <c r="R141" s="2503">
        <f t="shared" ref="R141:R143" si="74">M141-A141</f>
        <v>114</v>
      </c>
    </row>
    <row r="142" spans="1:18">
      <c r="A142" s="2140">
        <v>44180</v>
      </c>
      <c r="B142" s="2141" t="s">
        <v>8051</v>
      </c>
      <c r="C142" s="2141" t="s">
        <v>69</v>
      </c>
      <c r="D142" s="2144">
        <v>2403469</v>
      </c>
      <c r="E142" s="2141" t="s">
        <v>251</v>
      </c>
      <c r="F142" s="2140">
        <v>44183</v>
      </c>
      <c r="G142" s="2140">
        <v>44236</v>
      </c>
      <c r="H142" s="2140">
        <v>44257</v>
      </c>
      <c r="I142" s="2145"/>
      <c r="J142" s="2145"/>
      <c r="K142" s="2145"/>
      <c r="L142" s="2146">
        <v>44257</v>
      </c>
      <c r="M142" s="2140">
        <v>44294</v>
      </c>
      <c r="N142" s="2503">
        <f t="shared" si="70"/>
        <v>3</v>
      </c>
      <c r="O142" s="2503">
        <f t="shared" si="71"/>
        <v>53</v>
      </c>
      <c r="P142" s="2503">
        <f t="shared" si="72"/>
        <v>21</v>
      </c>
      <c r="Q142" s="2503">
        <f t="shared" si="73"/>
        <v>37</v>
      </c>
      <c r="R142" s="2503">
        <f t="shared" si="74"/>
        <v>114</v>
      </c>
    </row>
    <row r="143" spans="1:18">
      <c r="A143" s="2140">
        <v>44180</v>
      </c>
      <c r="B143" s="2141" t="s">
        <v>8051</v>
      </c>
      <c r="C143" s="2141" t="s">
        <v>69</v>
      </c>
      <c r="D143" s="2144">
        <v>700714</v>
      </c>
      <c r="E143" s="2141" t="s">
        <v>251</v>
      </c>
      <c r="F143" s="2140">
        <v>44183</v>
      </c>
      <c r="G143" s="2140">
        <v>44236</v>
      </c>
      <c r="H143" s="2140">
        <v>44257</v>
      </c>
      <c r="I143" s="2145"/>
      <c r="J143" s="2145"/>
      <c r="K143" s="2145"/>
      <c r="L143" s="2146">
        <v>44257</v>
      </c>
      <c r="M143" s="2140">
        <v>44294</v>
      </c>
      <c r="N143" s="2503">
        <f t="shared" si="70"/>
        <v>3</v>
      </c>
      <c r="O143" s="2503">
        <f t="shared" si="71"/>
        <v>53</v>
      </c>
      <c r="P143" s="2503">
        <f t="shared" si="72"/>
        <v>21</v>
      </c>
      <c r="Q143" s="2503">
        <f t="shared" si="73"/>
        <v>37</v>
      </c>
      <c r="R143" s="2503">
        <f t="shared" si="74"/>
        <v>114</v>
      </c>
    </row>
    <row r="144" spans="1:18" ht="15.75" hidden="1" thickBot="1">
      <c r="A144" s="2130">
        <v>44180</v>
      </c>
      <c r="B144" s="2131" t="s">
        <v>8051</v>
      </c>
      <c r="C144" s="2131" t="s">
        <v>69</v>
      </c>
      <c r="D144" s="2134">
        <v>3508066</v>
      </c>
      <c r="E144" s="2131" t="s">
        <v>251</v>
      </c>
      <c r="F144" s="2130">
        <v>44183</v>
      </c>
      <c r="G144" s="2130">
        <v>44236</v>
      </c>
      <c r="H144" s="2130">
        <v>44257</v>
      </c>
      <c r="I144" s="2135"/>
      <c r="J144" s="2135"/>
      <c r="K144" s="2135"/>
      <c r="L144" s="2163">
        <v>44257</v>
      </c>
      <c r="M144" s="2131"/>
    </row>
    <row r="145" spans="1:18">
      <c r="A145" s="365">
        <v>44180</v>
      </c>
      <c r="B145" s="2497" t="s">
        <v>8069</v>
      </c>
      <c r="C145" s="2497" t="s">
        <v>2111</v>
      </c>
      <c r="D145" s="364">
        <v>2200000</v>
      </c>
      <c r="E145" s="2497" t="s">
        <v>216</v>
      </c>
      <c r="F145" s="365">
        <v>44182</v>
      </c>
      <c r="G145" s="365">
        <v>44217</v>
      </c>
      <c r="H145" s="365">
        <v>44229</v>
      </c>
      <c r="I145" s="1473"/>
      <c r="J145" s="1473"/>
      <c r="K145" s="1473"/>
      <c r="L145" s="681">
        <v>44230</v>
      </c>
      <c r="M145" s="365">
        <v>44251</v>
      </c>
      <c r="N145" s="2503">
        <f t="shared" ref="N145:N146" si="75">F145-A145</f>
        <v>2</v>
      </c>
      <c r="O145" s="2503">
        <f t="shared" ref="O145:O146" si="76">G145-F145</f>
        <v>35</v>
      </c>
      <c r="P145" s="2503">
        <f t="shared" ref="P145:P146" si="77">H145-G145</f>
        <v>12</v>
      </c>
      <c r="Q145" s="2503">
        <f t="shared" ref="Q145:Q146" si="78">M145-H145</f>
        <v>22</v>
      </c>
      <c r="R145" s="2503">
        <f t="shared" ref="R145:R146" si="79">M145-A145</f>
        <v>71</v>
      </c>
    </row>
    <row r="146" spans="1:18" ht="15.75" thickBot="1">
      <c r="A146" s="416">
        <v>44182</v>
      </c>
      <c r="B146" s="411" t="s">
        <v>8082</v>
      </c>
      <c r="C146" s="411" t="s">
        <v>2434</v>
      </c>
      <c r="D146" s="417">
        <v>30000000</v>
      </c>
      <c r="E146" s="411" t="s">
        <v>251</v>
      </c>
      <c r="F146" s="416">
        <v>44183</v>
      </c>
      <c r="G146" s="416">
        <v>44215</v>
      </c>
      <c r="H146" s="416">
        <v>44239</v>
      </c>
      <c r="I146" s="1480"/>
      <c r="J146" s="1480"/>
      <c r="K146" s="1480"/>
      <c r="L146" s="513">
        <v>44239</v>
      </c>
      <c r="M146" s="416">
        <v>44270</v>
      </c>
      <c r="N146" s="2503">
        <f t="shared" si="75"/>
        <v>1</v>
      </c>
      <c r="O146" s="2503">
        <f t="shared" si="76"/>
        <v>32</v>
      </c>
      <c r="P146" s="2503">
        <f t="shared" si="77"/>
        <v>24</v>
      </c>
      <c r="Q146" s="2503">
        <f t="shared" si="78"/>
        <v>31</v>
      </c>
      <c r="R146" s="2503">
        <f t="shared" si="79"/>
        <v>88</v>
      </c>
    </row>
    <row r="147" spans="1:18" s="2101" customFormat="1" ht="15.75" hidden="1" thickBot="1">
      <c r="A147" s="379" t="s">
        <v>3585</v>
      </c>
      <c r="B147" s="379" t="s">
        <v>8101</v>
      </c>
      <c r="C147" s="379" t="s">
        <v>58</v>
      </c>
      <c r="D147" s="386">
        <v>320000</v>
      </c>
      <c r="E147" s="379" t="s">
        <v>112</v>
      </c>
      <c r="F147" s="387">
        <v>44196</v>
      </c>
      <c r="G147" s="387">
        <v>44208</v>
      </c>
      <c r="H147" s="387">
        <v>44211</v>
      </c>
      <c r="I147" s="2148"/>
      <c r="J147" s="2148"/>
      <c r="K147" s="2148"/>
      <c r="L147" s="2149">
        <v>44211</v>
      </c>
      <c r="M147" s="387">
        <v>44231</v>
      </c>
      <c r="N147" s="2505"/>
      <c r="O147" s="2505"/>
      <c r="P147" s="2505"/>
      <c r="Q147" s="2505"/>
      <c r="R147" s="2506"/>
    </row>
    <row r="148" spans="1:18" ht="15.75" thickTop="1">
      <c r="A148" s="2251">
        <v>44195</v>
      </c>
      <c r="B148" s="2253" t="s">
        <v>8103</v>
      </c>
      <c r="C148" s="2253" t="s">
        <v>69</v>
      </c>
      <c r="D148" s="2255">
        <v>48576</v>
      </c>
      <c r="E148" s="2253" t="s">
        <v>251</v>
      </c>
      <c r="F148" s="2251">
        <v>44202</v>
      </c>
      <c r="G148" s="2251">
        <v>44264</v>
      </c>
      <c r="H148" s="2251">
        <v>44322</v>
      </c>
      <c r="I148" s="2256"/>
      <c r="J148" s="2256"/>
      <c r="K148" s="2256"/>
      <c r="L148" s="2257">
        <v>44322</v>
      </c>
      <c r="M148" s="2251">
        <v>44342</v>
      </c>
      <c r="N148" s="2503">
        <f t="shared" ref="N148:N150" si="80">F148-A148</f>
        <v>7</v>
      </c>
      <c r="O148" s="2503">
        <f t="shared" ref="O148:O150" si="81">G148-F148</f>
        <v>62</v>
      </c>
      <c r="P148" s="2503">
        <f t="shared" ref="P148:P150" si="82">H148-G148</f>
        <v>58</v>
      </c>
      <c r="Q148" s="2503">
        <f t="shared" ref="Q148:Q150" si="83">M148-H148</f>
        <v>20</v>
      </c>
      <c r="R148" s="2503">
        <f t="shared" ref="R148:R150" si="84">M148-A148</f>
        <v>147</v>
      </c>
    </row>
    <row r="149" spans="1:18">
      <c r="A149" s="2140">
        <v>44195</v>
      </c>
      <c r="B149" s="2141" t="s">
        <v>8103</v>
      </c>
      <c r="C149" s="2141" t="s">
        <v>69</v>
      </c>
      <c r="D149" s="2144">
        <v>6626722</v>
      </c>
      <c r="E149" s="2141" t="s">
        <v>251</v>
      </c>
      <c r="F149" s="2140">
        <v>44202</v>
      </c>
      <c r="G149" s="2140">
        <v>44264</v>
      </c>
      <c r="H149" s="2140">
        <v>44322</v>
      </c>
      <c r="I149" s="2145"/>
      <c r="J149" s="2145"/>
      <c r="K149" s="2145"/>
      <c r="L149" s="2146">
        <v>44322</v>
      </c>
      <c r="M149" s="2140">
        <v>44342</v>
      </c>
      <c r="N149" s="2503">
        <f t="shared" si="80"/>
        <v>7</v>
      </c>
      <c r="O149" s="2503">
        <f t="shared" si="81"/>
        <v>62</v>
      </c>
      <c r="P149" s="2503">
        <f t="shared" si="82"/>
        <v>58</v>
      </c>
      <c r="Q149" s="2503">
        <f t="shared" si="83"/>
        <v>20</v>
      </c>
      <c r="R149" s="2503">
        <f t="shared" si="84"/>
        <v>147</v>
      </c>
    </row>
    <row r="150" spans="1:18" ht="15.75" thickBot="1">
      <c r="A150" s="2117">
        <v>44195</v>
      </c>
      <c r="B150" s="2118" t="s">
        <v>8103</v>
      </c>
      <c r="C150" s="2118" t="s">
        <v>69</v>
      </c>
      <c r="D150" s="2121">
        <v>20300627</v>
      </c>
      <c r="E150" s="2118" t="s">
        <v>251</v>
      </c>
      <c r="F150" s="2117">
        <v>44202</v>
      </c>
      <c r="G150" s="2117">
        <v>44264</v>
      </c>
      <c r="H150" s="2117">
        <v>44322</v>
      </c>
      <c r="I150" s="2122"/>
      <c r="J150" s="2122"/>
      <c r="K150" s="2122"/>
      <c r="L150" s="2123">
        <v>44322</v>
      </c>
      <c r="M150" s="2117">
        <v>44342</v>
      </c>
      <c r="N150" s="2503">
        <f t="shared" si="80"/>
        <v>7</v>
      </c>
      <c r="O150" s="2503">
        <f t="shared" si="81"/>
        <v>62</v>
      </c>
      <c r="P150" s="2503">
        <f t="shared" si="82"/>
        <v>58</v>
      </c>
      <c r="Q150" s="2503">
        <f t="shared" si="83"/>
        <v>20</v>
      </c>
      <c r="R150" s="2503">
        <f t="shared" si="84"/>
        <v>147</v>
      </c>
    </row>
    <row r="151" spans="1:18" ht="15.75" hidden="1" thickTop="1">
      <c r="A151" s="443">
        <v>44200</v>
      </c>
      <c r="B151" s="439" t="s">
        <v>8108</v>
      </c>
      <c r="C151" s="439" t="s">
        <v>69</v>
      </c>
      <c r="D151" s="444">
        <v>197507</v>
      </c>
      <c r="E151" s="439" t="s">
        <v>251</v>
      </c>
      <c r="F151" s="443">
        <v>44250</v>
      </c>
      <c r="G151" s="443">
        <v>44307</v>
      </c>
      <c r="H151" s="439"/>
      <c r="I151" s="1481"/>
      <c r="J151" s="1481"/>
      <c r="K151" s="1481"/>
      <c r="L151" s="444"/>
      <c r="M151" s="439"/>
    </row>
    <row r="152" spans="1:18" ht="15.75" thickTop="1">
      <c r="A152" s="2140">
        <v>44200</v>
      </c>
      <c r="B152" s="2141" t="s">
        <v>8108</v>
      </c>
      <c r="C152" s="2141" t="s">
        <v>69</v>
      </c>
      <c r="D152" s="2144">
        <v>24729</v>
      </c>
      <c r="E152" s="2141" t="s">
        <v>251</v>
      </c>
      <c r="F152" s="2140">
        <v>44250</v>
      </c>
      <c r="G152" s="2140">
        <v>44307</v>
      </c>
      <c r="H152" s="2140">
        <v>44364</v>
      </c>
      <c r="I152" s="2145"/>
      <c r="J152" s="2145"/>
      <c r="K152" s="2145"/>
      <c r="L152" s="2146">
        <v>44364</v>
      </c>
      <c r="M152" s="2140">
        <v>44393</v>
      </c>
      <c r="N152" s="2503">
        <f>F152-A152</f>
        <v>50</v>
      </c>
      <c r="O152" s="2503">
        <f>G152-F152</f>
        <v>57</v>
      </c>
      <c r="P152" s="2503">
        <f>H152-G152</f>
        <v>57</v>
      </c>
      <c r="Q152" s="2503">
        <f>M152-H152</f>
        <v>29</v>
      </c>
      <c r="R152" s="2503">
        <f>M152-A152</f>
        <v>193</v>
      </c>
    </row>
    <row r="153" spans="1:18" hidden="1">
      <c r="A153" s="2124">
        <v>44200</v>
      </c>
      <c r="B153" s="2125" t="s">
        <v>8108</v>
      </c>
      <c r="C153" s="2125" t="s">
        <v>69</v>
      </c>
      <c r="D153" s="2128">
        <v>268724</v>
      </c>
      <c r="E153" s="2125" t="s">
        <v>251</v>
      </c>
      <c r="F153" s="2124">
        <v>44250</v>
      </c>
      <c r="G153" s="2124">
        <v>44307</v>
      </c>
      <c r="H153" s="2124">
        <v>44364</v>
      </c>
      <c r="I153" s="2129"/>
      <c r="J153" s="2129"/>
      <c r="K153" s="2129"/>
      <c r="L153" s="2281">
        <v>44364</v>
      </c>
      <c r="M153" s="2125"/>
    </row>
    <row r="154" spans="1:18" hidden="1">
      <c r="A154" s="2124">
        <v>44200</v>
      </c>
      <c r="B154" s="2125" t="s">
        <v>8108</v>
      </c>
      <c r="C154" s="2125" t="s">
        <v>69</v>
      </c>
      <c r="D154" s="2128">
        <v>785490</v>
      </c>
      <c r="E154" s="2125" t="s">
        <v>251</v>
      </c>
      <c r="F154" s="2124">
        <v>44250</v>
      </c>
      <c r="G154" s="2124">
        <v>44307</v>
      </c>
      <c r="H154" s="2125"/>
      <c r="I154" s="2129"/>
      <c r="J154" s="2129"/>
      <c r="K154" s="2129"/>
      <c r="L154" s="2128"/>
      <c r="M154" s="2125"/>
    </row>
    <row r="155" spans="1:18">
      <c r="A155" s="2140">
        <v>44200</v>
      </c>
      <c r="B155" s="2141" t="s">
        <v>8108</v>
      </c>
      <c r="C155" s="2141" t="s">
        <v>69</v>
      </c>
      <c r="D155" s="2144">
        <v>1090405</v>
      </c>
      <c r="E155" s="2141" t="s">
        <v>251</v>
      </c>
      <c r="F155" s="2140">
        <v>44250</v>
      </c>
      <c r="G155" s="2140">
        <v>44307</v>
      </c>
      <c r="H155" s="2140">
        <v>44364</v>
      </c>
      <c r="I155" s="2145"/>
      <c r="J155" s="2145"/>
      <c r="K155" s="2145"/>
      <c r="L155" s="2146">
        <v>44364</v>
      </c>
      <c r="M155" s="2140">
        <v>44390</v>
      </c>
      <c r="N155" s="2503">
        <f>F155-A155</f>
        <v>50</v>
      </c>
      <c r="O155" s="2503">
        <f>G155-F155</f>
        <v>57</v>
      </c>
      <c r="P155" s="2503">
        <f>H155-G155</f>
        <v>57</v>
      </c>
      <c r="Q155" s="2503">
        <f>M155-H155</f>
        <v>26</v>
      </c>
      <c r="R155" s="2503">
        <f>M155-A155</f>
        <v>190</v>
      </c>
    </row>
    <row r="156" spans="1:18" hidden="1">
      <c r="A156" s="2124">
        <v>44200</v>
      </c>
      <c r="B156" s="2125" t="s">
        <v>8108</v>
      </c>
      <c r="C156" s="2125" t="s">
        <v>69</v>
      </c>
      <c r="D156" s="2128">
        <v>493445</v>
      </c>
      <c r="E156" s="2125" t="s">
        <v>251</v>
      </c>
      <c r="F156" s="2124">
        <v>44250</v>
      </c>
      <c r="G156" s="2124">
        <v>44307</v>
      </c>
      <c r="H156" s="2125"/>
      <c r="I156" s="2129"/>
      <c r="J156" s="2129"/>
      <c r="K156" s="2129"/>
      <c r="L156" s="2128"/>
      <c r="M156" s="2125"/>
    </row>
    <row r="157" spans="1:18" ht="15.75" thickBot="1">
      <c r="A157" s="2117">
        <v>44200</v>
      </c>
      <c r="B157" s="2118" t="s">
        <v>8108</v>
      </c>
      <c r="C157" s="2118" t="s">
        <v>69</v>
      </c>
      <c r="D157" s="2121">
        <v>944148</v>
      </c>
      <c r="E157" s="2118" t="s">
        <v>251</v>
      </c>
      <c r="F157" s="2117">
        <v>44250</v>
      </c>
      <c r="G157" s="2117">
        <v>44307</v>
      </c>
      <c r="H157" s="2117">
        <v>44364</v>
      </c>
      <c r="I157" s="2122"/>
      <c r="J157" s="2122"/>
      <c r="K157" s="2122"/>
      <c r="L157" s="2123">
        <v>44364</v>
      </c>
      <c r="M157" s="2117">
        <v>44396</v>
      </c>
      <c r="N157" s="2503">
        <f t="shared" ref="N157:N158" si="85">F157-A157</f>
        <v>50</v>
      </c>
      <c r="O157" s="2503">
        <f t="shared" ref="O157:O158" si="86">G157-F157</f>
        <v>57</v>
      </c>
      <c r="P157" s="2503">
        <f t="shared" ref="P157:P158" si="87">H157-G157</f>
        <v>57</v>
      </c>
      <c r="Q157" s="2503">
        <f t="shared" ref="Q157:Q158" si="88">M157-H157</f>
        <v>32</v>
      </c>
      <c r="R157" s="2503">
        <f t="shared" ref="R157:R158" si="89">M157-A157</f>
        <v>196</v>
      </c>
    </row>
    <row r="158" spans="1:18" ht="15.75" thickTop="1">
      <c r="A158" s="498">
        <v>44201</v>
      </c>
      <c r="B158" s="232" t="s">
        <v>8118</v>
      </c>
      <c r="C158" s="232" t="s">
        <v>2434</v>
      </c>
      <c r="D158" s="499">
        <v>3111334</v>
      </c>
      <c r="E158" s="232" t="s">
        <v>216</v>
      </c>
      <c r="F158" s="498">
        <v>44214</v>
      </c>
      <c r="G158" s="498">
        <v>44238</v>
      </c>
      <c r="H158" s="498">
        <v>44252</v>
      </c>
      <c r="I158" s="1545"/>
      <c r="J158" s="1545"/>
      <c r="K158" s="1545"/>
      <c r="L158" s="682">
        <v>44253</v>
      </c>
      <c r="M158" s="498">
        <v>44314</v>
      </c>
      <c r="N158" s="2503">
        <f t="shared" si="85"/>
        <v>13</v>
      </c>
      <c r="O158" s="2503">
        <f t="shared" si="86"/>
        <v>24</v>
      </c>
      <c r="P158" s="2503">
        <f t="shared" si="87"/>
        <v>14</v>
      </c>
      <c r="Q158" s="2503">
        <f t="shared" si="88"/>
        <v>62</v>
      </c>
      <c r="R158" s="2503">
        <f t="shared" si="89"/>
        <v>113</v>
      </c>
    </row>
    <row r="159" spans="1:18" ht="15.75" hidden="1" thickTop="1">
      <c r="A159" s="443">
        <v>44203</v>
      </c>
      <c r="B159" s="439" t="s">
        <v>8126</v>
      </c>
      <c r="C159" s="439" t="s">
        <v>58</v>
      </c>
      <c r="D159" s="444">
        <v>124000</v>
      </c>
      <c r="E159" s="439" t="s">
        <v>112</v>
      </c>
      <c r="F159" s="443">
        <v>44208</v>
      </c>
      <c r="G159" s="443">
        <v>44218</v>
      </c>
      <c r="H159" s="439"/>
      <c r="I159" s="1481"/>
      <c r="J159" s="1481"/>
      <c r="K159" s="1481"/>
      <c r="L159" s="444"/>
      <c r="M159" s="439"/>
    </row>
    <row r="160" spans="1:18" hidden="1">
      <c r="A160" s="2124">
        <v>44203</v>
      </c>
      <c r="B160" s="2125" t="s">
        <v>8126</v>
      </c>
      <c r="C160" s="2125" t="s">
        <v>58</v>
      </c>
      <c r="D160" s="2128">
        <v>132000</v>
      </c>
      <c r="E160" s="2125" t="s">
        <v>112</v>
      </c>
      <c r="F160" s="2124">
        <v>44208</v>
      </c>
      <c r="G160" s="2124">
        <v>44218</v>
      </c>
      <c r="H160" s="2125"/>
      <c r="I160" s="2129"/>
      <c r="J160" s="2129"/>
      <c r="K160" s="2129"/>
      <c r="L160" s="2128"/>
      <c r="M160" s="2125"/>
    </row>
    <row r="161" spans="1:18" hidden="1">
      <c r="A161" s="2124">
        <v>44203</v>
      </c>
      <c r="B161" s="2125" t="s">
        <v>8126</v>
      </c>
      <c r="C161" s="2125" t="s">
        <v>58</v>
      </c>
      <c r="D161" s="2128">
        <v>157000</v>
      </c>
      <c r="E161" s="2125" t="s">
        <v>112</v>
      </c>
      <c r="F161" s="2124">
        <v>44208</v>
      </c>
      <c r="G161" s="2124">
        <v>44218</v>
      </c>
      <c r="H161" s="2125"/>
      <c r="I161" s="2129"/>
      <c r="J161" s="2129"/>
      <c r="K161" s="2129"/>
      <c r="L161" s="2128"/>
      <c r="M161" s="2125"/>
    </row>
    <row r="162" spans="1:18" hidden="1">
      <c r="A162" s="2124">
        <v>44203</v>
      </c>
      <c r="B162" s="2125" t="s">
        <v>8126</v>
      </c>
      <c r="C162" s="2125" t="s">
        <v>58</v>
      </c>
      <c r="D162" s="2128">
        <v>82000</v>
      </c>
      <c r="E162" s="2125" t="s">
        <v>112</v>
      </c>
      <c r="F162" s="2124">
        <v>44208</v>
      </c>
      <c r="G162" s="2124">
        <v>44218</v>
      </c>
      <c r="H162" s="2125"/>
      <c r="I162" s="2129"/>
      <c r="J162" s="2129"/>
      <c r="K162" s="2129"/>
      <c r="L162" s="2128"/>
      <c r="M162" s="2125"/>
    </row>
    <row r="163" spans="1:18" ht="15.75" hidden="1" thickBot="1">
      <c r="A163" s="2130">
        <v>44203</v>
      </c>
      <c r="B163" s="2131" t="s">
        <v>8126</v>
      </c>
      <c r="C163" s="2131" t="s">
        <v>58</v>
      </c>
      <c r="D163" s="2134">
        <v>74000</v>
      </c>
      <c r="E163" s="2131" t="s">
        <v>112</v>
      </c>
      <c r="F163" s="2130">
        <v>44208</v>
      </c>
      <c r="G163" s="2130">
        <v>44218</v>
      </c>
      <c r="H163" s="2131"/>
      <c r="I163" s="2135"/>
      <c r="J163" s="2135"/>
      <c r="K163" s="2135"/>
      <c r="L163" s="2134"/>
      <c r="M163" s="2131"/>
    </row>
    <row r="164" spans="1:18">
      <c r="A164" s="365">
        <v>44195</v>
      </c>
      <c r="B164" s="2497" t="s">
        <v>8129</v>
      </c>
      <c r="C164" s="2497" t="s">
        <v>14</v>
      </c>
      <c r="D164" s="364">
        <v>825000</v>
      </c>
      <c r="E164" s="2497" t="s">
        <v>112</v>
      </c>
      <c r="F164" s="365">
        <v>44209</v>
      </c>
      <c r="G164" s="365">
        <v>44216</v>
      </c>
      <c r="H164" s="365">
        <v>44221</v>
      </c>
      <c r="I164" s="1473"/>
      <c r="J164" s="1473"/>
      <c r="K164" s="1473"/>
      <c r="L164" s="681">
        <v>44221</v>
      </c>
      <c r="M164" s="365">
        <v>44245</v>
      </c>
      <c r="N164" s="2503">
        <f t="shared" ref="N164:N170" si="90">F164-A164</f>
        <v>14</v>
      </c>
      <c r="O164" s="2503">
        <f t="shared" ref="O164:O170" si="91">G164-F164</f>
        <v>7</v>
      </c>
      <c r="P164" s="2503">
        <f t="shared" ref="P164:P170" si="92">H164-G164</f>
        <v>5</v>
      </c>
      <c r="Q164" s="2503">
        <f t="shared" ref="Q164:Q170" si="93">M164-H164</f>
        <v>24</v>
      </c>
      <c r="R164" s="2503">
        <f t="shared" ref="R164:R170" si="94">M164-A164</f>
        <v>50</v>
      </c>
    </row>
    <row r="165" spans="1:18">
      <c r="A165" s="537">
        <v>44203</v>
      </c>
      <c r="B165" s="491" t="s">
        <v>8134</v>
      </c>
      <c r="C165" s="491" t="s">
        <v>58</v>
      </c>
      <c r="D165" s="536">
        <v>10657000</v>
      </c>
      <c r="E165" s="491" t="s">
        <v>251</v>
      </c>
      <c r="F165" s="537">
        <v>44214</v>
      </c>
      <c r="G165" s="537">
        <v>44246</v>
      </c>
      <c r="H165" s="537">
        <v>44298</v>
      </c>
      <c r="I165" s="1471"/>
      <c r="J165" s="1471"/>
      <c r="K165" s="1471"/>
      <c r="L165" s="573">
        <v>44298</v>
      </c>
      <c r="M165" s="537">
        <v>44327</v>
      </c>
      <c r="N165" s="2503">
        <f t="shared" si="90"/>
        <v>11</v>
      </c>
      <c r="O165" s="2503">
        <f t="shared" si="91"/>
        <v>32</v>
      </c>
      <c r="P165" s="2503">
        <f t="shared" si="92"/>
        <v>52</v>
      </c>
      <c r="Q165" s="2503">
        <f t="shared" si="93"/>
        <v>29</v>
      </c>
      <c r="R165" s="2503">
        <f t="shared" si="94"/>
        <v>124</v>
      </c>
    </row>
    <row r="166" spans="1:18">
      <c r="A166" s="537">
        <v>44209</v>
      </c>
      <c r="B166" s="491" t="s">
        <v>8138</v>
      </c>
      <c r="C166" s="491" t="s">
        <v>4997</v>
      </c>
      <c r="D166" s="536">
        <v>950000</v>
      </c>
      <c r="E166" s="491" t="s">
        <v>112</v>
      </c>
      <c r="F166" s="537">
        <v>44211</v>
      </c>
      <c r="G166" s="537">
        <v>44224</v>
      </c>
      <c r="H166" s="537">
        <v>44231</v>
      </c>
      <c r="I166" s="1471"/>
      <c r="J166" s="1471"/>
      <c r="K166" s="1471"/>
      <c r="L166" s="573">
        <v>44231</v>
      </c>
      <c r="M166" s="537">
        <v>44251</v>
      </c>
      <c r="N166" s="2503">
        <f t="shared" si="90"/>
        <v>2</v>
      </c>
      <c r="O166" s="2503">
        <f t="shared" si="91"/>
        <v>13</v>
      </c>
      <c r="P166" s="2503">
        <f t="shared" si="92"/>
        <v>7</v>
      </c>
      <c r="Q166" s="2503">
        <f t="shared" si="93"/>
        <v>20</v>
      </c>
      <c r="R166" s="2503">
        <f t="shared" si="94"/>
        <v>42</v>
      </c>
    </row>
    <row r="167" spans="1:18">
      <c r="A167" s="537">
        <v>44203</v>
      </c>
      <c r="B167" s="491" t="s">
        <v>8141</v>
      </c>
      <c r="C167" s="491" t="s">
        <v>2434</v>
      </c>
      <c r="D167" s="536">
        <v>3702123.85</v>
      </c>
      <c r="E167" s="491" t="s">
        <v>251</v>
      </c>
      <c r="F167" s="537">
        <v>44235</v>
      </c>
      <c r="G167" s="537">
        <v>44267</v>
      </c>
      <c r="H167" s="537">
        <v>44292</v>
      </c>
      <c r="I167" s="1471"/>
      <c r="J167" s="1471"/>
      <c r="K167" s="1471"/>
      <c r="L167" s="573">
        <v>44292</v>
      </c>
      <c r="M167" s="537">
        <v>44320</v>
      </c>
      <c r="N167" s="2503">
        <f t="shared" si="90"/>
        <v>32</v>
      </c>
      <c r="O167" s="2503">
        <f t="shared" si="91"/>
        <v>32</v>
      </c>
      <c r="P167" s="2503">
        <f t="shared" si="92"/>
        <v>25</v>
      </c>
      <c r="Q167" s="2503">
        <f t="shared" si="93"/>
        <v>28</v>
      </c>
      <c r="R167" s="2503">
        <f t="shared" si="94"/>
        <v>117</v>
      </c>
    </row>
    <row r="168" spans="1:18">
      <c r="A168" s="537">
        <v>44210</v>
      </c>
      <c r="B168" s="491" t="s">
        <v>8144</v>
      </c>
      <c r="C168" s="491" t="s">
        <v>2434</v>
      </c>
      <c r="D168" s="536">
        <v>1553400</v>
      </c>
      <c r="E168" s="491" t="s">
        <v>112</v>
      </c>
      <c r="F168" s="537">
        <v>44216</v>
      </c>
      <c r="G168" s="537">
        <v>44224</v>
      </c>
      <c r="H168" s="537">
        <v>44228</v>
      </c>
      <c r="I168" s="1471"/>
      <c r="J168" s="1471"/>
      <c r="K168" s="1471"/>
      <c r="L168" s="573">
        <v>44228</v>
      </c>
      <c r="M168" s="537">
        <v>44252</v>
      </c>
      <c r="N168" s="2503">
        <f t="shared" si="90"/>
        <v>6</v>
      </c>
      <c r="O168" s="2503">
        <f t="shared" si="91"/>
        <v>8</v>
      </c>
      <c r="P168" s="2503">
        <f t="shared" si="92"/>
        <v>4</v>
      </c>
      <c r="Q168" s="2503">
        <f t="shared" si="93"/>
        <v>24</v>
      </c>
      <c r="R168" s="2503">
        <f t="shared" si="94"/>
        <v>42</v>
      </c>
    </row>
    <row r="169" spans="1:18">
      <c r="A169" s="537">
        <v>44210</v>
      </c>
      <c r="B169" s="491" t="s">
        <v>8149</v>
      </c>
      <c r="C169" s="491" t="s">
        <v>2434</v>
      </c>
      <c r="D169" s="536">
        <v>1950000</v>
      </c>
      <c r="E169" s="491" t="s">
        <v>216</v>
      </c>
      <c r="F169" s="537">
        <v>44216</v>
      </c>
      <c r="G169" s="537">
        <v>44232</v>
      </c>
      <c r="H169" s="537">
        <v>44316</v>
      </c>
      <c r="I169" s="1471"/>
      <c r="J169" s="1471"/>
      <c r="K169" s="1471"/>
      <c r="L169" s="573">
        <v>44316</v>
      </c>
      <c r="M169" s="537">
        <v>44349</v>
      </c>
      <c r="N169" s="2503">
        <f t="shared" si="90"/>
        <v>6</v>
      </c>
      <c r="O169" s="2503">
        <f t="shared" si="91"/>
        <v>16</v>
      </c>
      <c r="P169" s="2503">
        <f t="shared" si="92"/>
        <v>84</v>
      </c>
      <c r="Q169" s="2503">
        <f t="shared" si="93"/>
        <v>33</v>
      </c>
      <c r="R169" s="2503">
        <f t="shared" si="94"/>
        <v>139</v>
      </c>
    </row>
    <row r="170" spans="1:18" ht="15.75" thickBot="1">
      <c r="A170" s="537">
        <v>44216</v>
      </c>
      <c r="B170" s="491" t="s">
        <v>8157</v>
      </c>
      <c r="C170" s="491" t="s">
        <v>52</v>
      </c>
      <c r="D170" s="536">
        <v>800000</v>
      </c>
      <c r="E170" s="491" t="s">
        <v>112</v>
      </c>
      <c r="F170" s="537">
        <v>44221</v>
      </c>
      <c r="G170" s="537">
        <v>44236</v>
      </c>
      <c r="H170" s="537">
        <v>44249</v>
      </c>
      <c r="I170" s="1471"/>
      <c r="J170" s="1471"/>
      <c r="K170" s="1471"/>
      <c r="L170" s="573">
        <v>44249</v>
      </c>
      <c r="M170" s="537">
        <v>44267</v>
      </c>
      <c r="N170" s="2503">
        <f t="shared" si="90"/>
        <v>5</v>
      </c>
      <c r="O170" s="2503">
        <f t="shared" si="91"/>
        <v>15</v>
      </c>
      <c r="P170" s="2503">
        <f t="shared" si="92"/>
        <v>13</v>
      </c>
      <c r="Q170" s="2503">
        <f t="shared" si="93"/>
        <v>18</v>
      </c>
      <c r="R170" s="2503">
        <f t="shared" si="94"/>
        <v>51</v>
      </c>
    </row>
    <row r="171" spans="1:18" ht="15.75" hidden="1" thickBot="1">
      <c r="A171" s="411" t="s">
        <v>3585</v>
      </c>
      <c r="B171" s="411" t="s">
        <v>8160</v>
      </c>
      <c r="C171" s="411" t="s">
        <v>2434</v>
      </c>
      <c r="D171" s="499">
        <v>5785125</v>
      </c>
      <c r="E171" s="232" t="s">
        <v>251</v>
      </c>
      <c r="F171" s="416">
        <v>44221</v>
      </c>
      <c r="G171" s="416">
        <v>44253</v>
      </c>
      <c r="H171" s="416">
        <v>44265</v>
      </c>
      <c r="I171" s="1480"/>
      <c r="J171" s="1480"/>
      <c r="K171" s="1480"/>
      <c r="L171" s="513">
        <v>44265</v>
      </c>
      <c r="M171" s="416">
        <v>44298</v>
      </c>
    </row>
    <row r="172" spans="1:18" ht="15.75" thickTop="1">
      <c r="A172" s="474">
        <v>44217</v>
      </c>
      <c r="B172" s="453" t="s">
        <v>8162</v>
      </c>
      <c r="C172" s="453" t="s">
        <v>2434</v>
      </c>
      <c r="D172" s="457">
        <v>36046000</v>
      </c>
      <c r="E172" s="453" t="s">
        <v>251</v>
      </c>
      <c r="F172" s="474">
        <v>44237</v>
      </c>
      <c r="G172" s="474">
        <v>44274</v>
      </c>
      <c r="H172" s="474">
        <v>44298</v>
      </c>
      <c r="I172" s="1474"/>
      <c r="J172" s="1474"/>
      <c r="K172" s="1474"/>
      <c r="L172" s="570">
        <v>44299</v>
      </c>
      <c r="M172" s="474">
        <v>44362</v>
      </c>
      <c r="N172" s="2503">
        <f t="shared" ref="N172:N179" si="95">F172-A172</f>
        <v>20</v>
      </c>
      <c r="O172" s="2503">
        <f t="shared" ref="O172:O179" si="96">G172-F172</f>
        <v>37</v>
      </c>
      <c r="P172" s="2503">
        <f t="shared" ref="P172:P179" si="97">H172-G172</f>
        <v>24</v>
      </c>
      <c r="Q172" s="2503">
        <f t="shared" ref="Q172:Q179" si="98">M172-H172</f>
        <v>64</v>
      </c>
      <c r="R172" s="2503">
        <f t="shared" ref="R172:R179" si="99">M172-A172</f>
        <v>145</v>
      </c>
    </row>
    <row r="173" spans="1:18">
      <c r="A173" s="2140">
        <v>44217</v>
      </c>
      <c r="B173" s="2141" t="s">
        <v>8162</v>
      </c>
      <c r="C173" s="2141" t="s">
        <v>2434</v>
      </c>
      <c r="D173" s="2144">
        <v>7960000</v>
      </c>
      <c r="E173" s="2141" t="s">
        <v>251</v>
      </c>
      <c r="F173" s="2140">
        <v>44237</v>
      </c>
      <c r="G173" s="2140">
        <v>44274</v>
      </c>
      <c r="H173" s="2140">
        <v>44298</v>
      </c>
      <c r="I173" s="2145"/>
      <c r="J173" s="2145"/>
      <c r="K173" s="2145"/>
      <c r="L173" s="2146">
        <v>44299</v>
      </c>
      <c r="M173" s="2140">
        <v>44362</v>
      </c>
      <c r="N173" s="2503">
        <f t="shared" si="95"/>
        <v>20</v>
      </c>
      <c r="O173" s="2503">
        <f t="shared" si="96"/>
        <v>37</v>
      </c>
      <c r="P173" s="2503">
        <f t="shared" si="97"/>
        <v>24</v>
      </c>
      <c r="Q173" s="2503">
        <f t="shared" si="98"/>
        <v>64</v>
      </c>
      <c r="R173" s="2503">
        <f t="shared" si="99"/>
        <v>145</v>
      </c>
    </row>
    <row r="174" spans="1:18">
      <c r="A174" s="2140">
        <v>44217</v>
      </c>
      <c r="B174" s="2141" t="s">
        <v>8162</v>
      </c>
      <c r="C174" s="2141" t="s">
        <v>2434</v>
      </c>
      <c r="D174" s="2144">
        <v>19255000</v>
      </c>
      <c r="E174" s="2141" t="s">
        <v>251</v>
      </c>
      <c r="F174" s="2140">
        <v>44237</v>
      </c>
      <c r="G174" s="2140">
        <v>44274</v>
      </c>
      <c r="H174" s="2140">
        <v>44298</v>
      </c>
      <c r="I174" s="2145"/>
      <c r="J174" s="2145"/>
      <c r="K174" s="2145"/>
      <c r="L174" s="2146">
        <v>44299</v>
      </c>
      <c r="M174" s="2140">
        <v>44362</v>
      </c>
      <c r="N174" s="2503">
        <f t="shared" si="95"/>
        <v>20</v>
      </c>
      <c r="O174" s="2503">
        <f t="shared" si="96"/>
        <v>37</v>
      </c>
      <c r="P174" s="2503">
        <f t="shared" si="97"/>
        <v>24</v>
      </c>
      <c r="Q174" s="2503">
        <f t="shared" si="98"/>
        <v>64</v>
      </c>
      <c r="R174" s="2503">
        <f t="shared" si="99"/>
        <v>145</v>
      </c>
    </row>
    <row r="175" spans="1:18" ht="15.75" thickBot="1">
      <c r="A175" s="2117">
        <v>44217</v>
      </c>
      <c r="B175" s="2118" t="s">
        <v>8162</v>
      </c>
      <c r="C175" s="2118" t="s">
        <v>2434</v>
      </c>
      <c r="D175" s="2121">
        <v>900000</v>
      </c>
      <c r="E175" s="2118" t="s">
        <v>251</v>
      </c>
      <c r="F175" s="2117">
        <v>44237</v>
      </c>
      <c r="G175" s="2117">
        <v>44274</v>
      </c>
      <c r="H175" s="2117">
        <v>44298</v>
      </c>
      <c r="I175" s="2122"/>
      <c r="J175" s="2122"/>
      <c r="K175" s="2122"/>
      <c r="L175" s="2123">
        <v>44299</v>
      </c>
      <c r="M175" s="2117">
        <v>44326</v>
      </c>
      <c r="N175" s="2503">
        <f t="shared" si="95"/>
        <v>20</v>
      </c>
      <c r="O175" s="2503">
        <f t="shared" si="96"/>
        <v>37</v>
      </c>
      <c r="P175" s="2503">
        <f t="shared" si="97"/>
        <v>24</v>
      </c>
      <c r="Q175" s="2503">
        <f t="shared" si="98"/>
        <v>28</v>
      </c>
      <c r="R175" s="2503">
        <f t="shared" si="99"/>
        <v>109</v>
      </c>
    </row>
    <row r="176" spans="1:18" ht="15.75" thickTop="1">
      <c r="A176" s="365">
        <v>44218</v>
      </c>
      <c r="B176" s="2497" t="s">
        <v>8172</v>
      </c>
      <c r="C176" s="2497" t="s">
        <v>2434</v>
      </c>
      <c r="D176" s="364">
        <v>764400</v>
      </c>
      <c r="E176" s="2497" t="s">
        <v>112</v>
      </c>
      <c r="F176" s="365">
        <v>44222</v>
      </c>
      <c r="G176" s="365">
        <v>44231</v>
      </c>
      <c r="H176" s="365">
        <v>44249</v>
      </c>
      <c r="I176" s="1473"/>
      <c r="J176" s="1473"/>
      <c r="K176" s="1473"/>
      <c r="L176" s="681">
        <v>44249</v>
      </c>
      <c r="M176" s="365">
        <v>44265</v>
      </c>
      <c r="N176" s="2503">
        <f t="shared" si="95"/>
        <v>4</v>
      </c>
      <c r="O176" s="2503">
        <f t="shared" si="96"/>
        <v>9</v>
      </c>
      <c r="P176" s="2503">
        <f t="shared" si="97"/>
        <v>18</v>
      </c>
      <c r="Q176" s="2503">
        <f t="shared" si="98"/>
        <v>16</v>
      </c>
      <c r="R176" s="2503">
        <f t="shared" si="99"/>
        <v>47</v>
      </c>
    </row>
    <row r="177" spans="1:18" ht="15.75" thickBot="1">
      <c r="A177" s="416">
        <v>44221</v>
      </c>
      <c r="B177" s="411" t="s">
        <v>8174</v>
      </c>
      <c r="C177" s="411" t="s">
        <v>9694</v>
      </c>
      <c r="D177" s="417">
        <v>26070000</v>
      </c>
      <c r="E177" s="411" t="s">
        <v>251</v>
      </c>
      <c r="F177" s="416">
        <v>44223</v>
      </c>
      <c r="G177" s="416">
        <v>44259</v>
      </c>
      <c r="H177" s="416">
        <v>44270</v>
      </c>
      <c r="I177" s="1480"/>
      <c r="J177" s="1480"/>
      <c r="K177" s="1480"/>
      <c r="L177" s="513">
        <v>44271</v>
      </c>
      <c r="M177" s="416">
        <v>44309</v>
      </c>
      <c r="N177" s="2503">
        <f t="shared" si="95"/>
        <v>2</v>
      </c>
      <c r="O177" s="2503">
        <f t="shared" si="96"/>
        <v>36</v>
      </c>
      <c r="P177" s="2503">
        <f t="shared" si="97"/>
        <v>11</v>
      </c>
      <c r="Q177" s="2503">
        <f t="shared" si="98"/>
        <v>39</v>
      </c>
      <c r="R177" s="2503">
        <f t="shared" si="99"/>
        <v>88</v>
      </c>
    </row>
    <row r="178" spans="1:18" ht="15.75" thickTop="1">
      <c r="A178" s="474">
        <v>44218</v>
      </c>
      <c r="B178" s="453" t="s">
        <v>8177</v>
      </c>
      <c r="C178" s="453" t="s">
        <v>2434</v>
      </c>
      <c r="D178" s="457">
        <v>331200</v>
      </c>
      <c r="E178" s="453" t="s">
        <v>112</v>
      </c>
      <c r="F178" s="474">
        <v>44223</v>
      </c>
      <c r="G178" s="474">
        <v>44232</v>
      </c>
      <c r="H178" s="474">
        <v>44249</v>
      </c>
      <c r="I178" s="1474"/>
      <c r="J178" s="1474"/>
      <c r="K178" s="1474"/>
      <c r="L178" s="570">
        <v>44250</v>
      </c>
      <c r="M178" s="474">
        <v>44270</v>
      </c>
      <c r="N178" s="2503">
        <f t="shared" si="95"/>
        <v>5</v>
      </c>
      <c r="O178" s="2503">
        <f t="shared" si="96"/>
        <v>9</v>
      </c>
      <c r="P178" s="2503">
        <f t="shared" si="97"/>
        <v>17</v>
      </c>
      <c r="Q178" s="2503">
        <f t="shared" si="98"/>
        <v>21</v>
      </c>
      <c r="R178" s="2503">
        <f t="shared" si="99"/>
        <v>52</v>
      </c>
    </row>
    <row r="179" spans="1:18" ht="15.75" thickBot="1">
      <c r="A179" s="2117">
        <v>44218</v>
      </c>
      <c r="B179" s="2118" t="s">
        <v>8177</v>
      </c>
      <c r="C179" s="2118" t="s">
        <v>2434</v>
      </c>
      <c r="D179" s="2121">
        <v>542640</v>
      </c>
      <c r="E179" s="2118" t="s">
        <v>112</v>
      </c>
      <c r="F179" s="2117">
        <v>44223</v>
      </c>
      <c r="G179" s="2117">
        <v>44232</v>
      </c>
      <c r="H179" s="2117">
        <v>44249</v>
      </c>
      <c r="I179" s="2122"/>
      <c r="J179" s="2122"/>
      <c r="K179" s="2122"/>
      <c r="L179" s="2123">
        <v>44250</v>
      </c>
      <c r="M179" s="2117">
        <v>44278</v>
      </c>
      <c r="N179" s="2503">
        <f t="shared" si="95"/>
        <v>5</v>
      </c>
      <c r="O179" s="2503">
        <f t="shared" si="96"/>
        <v>9</v>
      </c>
      <c r="P179" s="2503">
        <f t="shared" si="97"/>
        <v>17</v>
      </c>
      <c r="Q179" s="2503">
        <f t="shared" si="98"/>
        <v>29</v>
      </c>
      <c r="R179" s="2503">
        <f t="shared" si="99"/>
        <v>60</v>
      </c>
    </row>
    <row r="180" spans="1:18" ht="15.75" hidden="1" thickTop="1">
      <c r="A180" s="2497" t="s">
        <v>3585</v>
      </c>
      <c r="B180" s="2497" t="s">
        <v>8182</v>
      </c>
      <c r="C180" s="2497" t="s">
        <v>2434</v>
      </c>
      <c r="D180" s="364">
        <v>188928000</v>
      </c>
      <c r="E180" s="2497" t="s">
        <v>251</v>
      </c>
      <c r="F180" s="365">
        <v>44239</v>
      </c>
      <c r="G180" s="365">
        <v>44312</v>
      </c>
      <c r="H180" s="365">
        <v>44351</v>
      </c>
      <c r="I180" s="1473"/>
      <c r="J180" s="1473"/>
      <c r="K180" s="1473"/>
      <c r="L180" s="681">
        <v>44351</v>
      </c>
      <c r="M180" s="365">
        <v>44391</v>
      </c>
    </row>
    <row r="181" spans="1:18" ht="15.75" hidden="1" thickTop="1">
      <c r="A181" s="2497" t="s">
        <v>3585</v>
      </c>
      <c r="B181" s="2497" t="s">
        <v>8182</v>
      </c>
      <c r="C181" s="2497" t="s">
        <v>2434</v>
      </c>
      <c r="D181" s="364">
        <v>44550000</v>
      </c>
      <c r="E181" s="2497" t="s">
        <v>251</v>
      </c>
      <c r="F181" s="365">
        <v>44239</v>
      </c>
      <c r="G181" s="365">
        <v>44312</v>
      </c>
      <c r="H181" s="365">
        <v>44351</v>
      </c>
      <c r="I181" s="1473"/>
      <c r="J181" s="1473"/>
      <c r="K181" s="1473"/>
      <c r="L181" s="681">
        <v>44351</v>
      </c>
      <c r="M181" s="365">
        <v>44391</v>
      </c>
    </row>
    <row r="182" spans="1:18" ht="15.75" hidden="1" thickTop="1">
      <c r="A182" s="466" t="s">
        <v>3585</v>
      </c>
      <c r="B182" s="466" t="s">
        <v>8182</v>
      </c>
      <c r="C182" s="466" t="s">
        <v>2434</v>
      </c>
      <c r="D182" s="472">
        <v>29719080</v>
      </c>
      <c r="E182" s="466" t="s">
        <v>251</v>
      </c>
      <c r="F182" s="470">
        <v>44239</v>
      </c>
      <c r="G182" s="470">
        <v>44340</v>
      </c>
      <c r="H182" s="466"/>
      <c r="I182" s="1516"/>
      <c r="J182" s="1516"/>
      <c r="K182" s="1516"/>
      <c r="L182" s="472"/>
      <c r="M182" s="466"/>
    </row>
    <row r="183" spans="1:18" ht="15.75" thickTop="1">
      <c r="A183" s="537">
        <v>44222</v>
      </c>
      <c r="B183" s="491" t="s">
        <v>8185</v>
      </c>
      <c r="C183" s="491" t="s">
        <v>52</v>
      </c>
      <c r="D183" s="536">
        <v>850000</v>
      </c>
      <c r="E183" s="491" t="s">
        <v>112</v>
      </c>
      <c r="F183" s="537">
        <v>44230</v>
      </c>
      <c r="G183" s="537">
        <v>44243</v>
      </c>
      <c r="H183" s="537">
        <v>44253</v>
      </c>
      <c r="I183" s="1471"/>
      <c r="J183" s="1471"/>
      <c r="K183" s="1471"/>
      <c r="L183" s="573">
        <v>44253</v>
      </c>
      <c r="M183" s="537">
        <v>44267</v>
      </c>
      <c r="N183" s="2503">
        <f t="shared" ref="N183:N189" si="100">F183-A183</f>
        <v>8</v>
      </c>
      <c r="O183" s="2503">
        <f t="shared" ref="O183:O189" si="101">G183-F183</f>
        <v>13</v>
      </c>
      <c r="P183" s="2503">
        <f t="shared" ref="P183:P189" si="102">H183-G183</f>
        <v>10</v>
      </c>
      <c r="Q183" s="2503">
        <f t="shared" ref="Q183:Q189" si="103">M183-H183</f>
        <v>14</v>
      </c>
      <c r="R183" s="2503">
        <f t="shared" ref="R183:R189" si="104">M183-A183</f>
        <v>45</v>
      </c>
    </row>
    <row r="184" spans="1:18">
      <c r="A184" s="2140">
        <v>44238</v>
      </c>
      <c r="B184" s="2141" t="s">
        <v>8281</v>
      </c>
      <c r="C184" s="2141" t="s">
        <v>8282</v>
      </c>
      <c r="D184" s="2144">
        <v>1950000</v>
      </c>
      <c r="E184" s="2141" t="s">
        <v>112</v>
      </c>
      <c r="F184" s="2140">
        <v>44251</v>
      </c>
      <c r="G184" s="2140">
        <v>44260</v>
      </c>
      <c r="H184" s="2140">
        <v>44354</v>
      </c>
      <c r="I184" s="2145"/>
      <c r="J184" s="2145"/>
      <c r="K184" s="2145"/>
      <c r="L184" s="2146">
        <v>44354</v>
      </c>
      <c r="M184" s="2140">
        <v>44372</v>
      </c>
      <c r="N184" s="2503">
        <f t="shared" si="100"/>
        <v>13</v>
      </c>
      <c r="O184" s="2503">
        <f t="shared" si="101"/>
        <v>9</v>
      </c>
      <c r="P184" s="2503">
        <f t="shared" si="102"/>
        <v>94</v>
      </c>
      <c r="Q184" s="2503">
        <f t="shared" si="103"/>
        <v>18</v>
      </c>
      <c r="R184" s="2503">
        <f t="shared" si="104"/>
        <v>134</v>
      </c>
    </row>
    <row r="185" spans="1:18">
      <c r="A185" s="537">
        <v>44222</v>
      </c>
      <c r="B185" s="491" t="s">
        <v>8188</v>
      </c>
      <c r="C185" s="491" t="s">
        <v>2111</v>
      </c>
      <c r="D185" s="536">
        <v>1400000</v>
      </c>
      <c r="E185" s="491" t="s">
        <v>112</v>
      </c>
      <c r="F185" s="537">
        <v>44224</v>
      </c>
      <c r="G185" s="537">
        <v>44239</v>
      </c>
      <c r="H185" s="537">
        <v>44245</v>
      </c>
      <c r="I185" s="1471"/>
      <c r="J185" s="1471"/>
      <c r="K185" s="1471"/>
      <c r="L185" s="573">
        <v>44245</v>
      </c>
      <c r="M185" s="537">
        <v>44274</v>
      </c>
      <c r="N185" s="2503">
        <f t="shared" si="100"/>
        <v>2</v>
      </c>
      <c r="O185" s="2503">
        <f t="shared" si="101"/>
        <v>15</v>
      </c>
      <c r="P185" s="2503">
        <f t="shared" si="102"/>
        <v>6</v>
      </c>
      <c r="Q185" s="2503">
        <f t="shared" si="103"/>
        <v>29</v>
      </c>
      <c r="R185" s="2503">
        <f t="shared" si="104"/>
        <v>52</v>
      </c>
    </row>
    <row r="186" spans="1:18">
      <c r="A186" s="537">
        <v>44218</v>
      </c>
      <c r="B186" s="491" t="s">
        <v>8193</v>
      </c>
      <c r="C186" s="491" t="s">
        <v>2434</v>
      </c>
      <c r="D186" s="536">
        <v>9596059.4900000002</v>
      </c>
      <c r="E186" s="491" t="s">
        <v>251</v>
      </c>
      <c r="F186" s="537">
        <v>44230</v>
      </c>
      <c r="G186" s="537">
        <v>44263</v>
      </c>
      <c r="H186" s="537">
        <v>44272</v>
      </c>
      <c r="I186" s="1471"/>
      <c r="J186" s="1471"/>
      <c r="K186" s="1471"/>
      <c r="L186" s="573">
        <v>44272</v>
      </c>
      <c r="M186" s="537">
        <v>44312</v>
      </c>
      <c r="N186" s="2503">
        <f t="shared" si="100"/>
        <v>12</v>
      </c>
      <c r="O186" s="2503">
        <f t="shared" si="101"/>
        <v>33</v>
      </c>
      <c r="P186" s="2503">
        <f t="shared" si="102"/>
        <v>9</v>
      </c>
      <c r="Q186" s="2503">
        <f t="shared" si="103"/>
        <v>40</v>
      </c>
      <c r="R186" s="2503">
        <f t="shared" si="104"/>
        <v>94</v>
      </c>
    </row>
    <row r="187" spans="1:18">
      <c r="A187" s="537">
        <v>44228</v>
      </c>
      <c r="B187" s="491" t="s">
        <v>8201</v>
      </c>
      <c r="C187" s="491" t="s">
        <v>1450</v>
      </c>
      <c r="D187" s="536">
        <v>200000</v>
      </c>
      <c r="E187" s="491" t="s">
        <v>112</v>
      </c>
      <c r="F187" s="537">
        <v>44230</v>
      </c>
      <c r="G187" s="537">
        <v>44238</v>
      </c>
      <c r="H187" s="537">
        <v>44245</v>
      </c>
      <c r="I187" s="1471"/>
      <c r="J187" s="1471"/>
      <c r="K187" s="1471"/>
      <c r="L187" s="573">
        <v>44245</v>
      </c>
      <c r="M187" s="537">
        <v>44270</v>
      </c>
      <c r="N187" s="2503">
        <f t="shared" si="100"/>
        <v>2</v>
      </c>
      <c r="O187" s="2503">
        <f t="shared" si="101"/>
        <v>8</v>
      </c>
      <c r="P187" s="2503">
        <f t="shared" si="102"/>
        <v>7</v>
      </c>
      <c r="Q187" s="2503">
        <f t="shared" si="103"/>
        <v>25</v>
      </c>
      <c r="R187" s="2503">
        <f t="shared" si="104"/>
        <v>42</v>
      </c>
    </row>
    <row r="188" spans="1:18">
      <c r="A188" s="537">
        <v>44229</v>
      </c>
      <c r="B188" s="491" t="s">
        <v>8203</v>
      </c>
      <c r="C188" s="491" t="s">
        <v>1032</v>
      </c>
      <c r="D188" s="536">
        <v>350000</v>
      </c>
      <c r="E188" s="491" t="s">
        <v>112</v>
      </c>
      <c r="F188" s="537">
        <v>44252</v>
      </c>
      <c r="G188" s="537">
        <v>44265</v>
      </c>
      <c r="H188" s="537">
        <v>44278</v>
      </c>
      <c r="I188" s="1471"/>
      <c r="J188" s="1471"/>
      <c r="K188" s="1471"/>
      <c r="L188" s="573">
        <v>44278</v>
      </c>
      <c r="M188" s="537">
        <v>44307</v>
      </c>
      <c r="N188" s="2503">
        <f t="shared" si="100"/>
        <v>23</v>
      </c>
      <c r="O188" s="2503">
        <f t="shared" si="101"/>
        <v>13</v>
      </c>
      <c r="P188" s="2503">
        <f t="shared" si="102"/>
        <v>13</v>
      </c>
      <c r="Q188" s="2503">
        <f t="shared" si="103"/>
        <v>29</v>
      </c>
      <c r="R188" s="2503">
        <f t="shared" si="104"/>
        <v>78</v>
      </c>
    </row>
    <row r="189" spans="1:18">
      <c r="A189" s="416">
        <v>44217</v>
      </c>
      <c r="B189" s="411" t="s">
        <v>8208</v>
      </c>
      <c r="C189" s="411" t="s">
        <v>58</v>
      </c>
      <c r="D189" s="417">
        <v>8400000</v>
      </c>
      <c r="E189" s="411" t="s">
        <v>251</v>
      </c>
      <c r="F189" s="416">
        <v>44253</v>
      </c>
      <c r="G189" s="416">
        <v>44361</v>
      </c>
      <c r="H189" s="416">
        <v>44391</v>
      </c>
      <c r="I189" s="1480"/>
      <c r="J189" s="1480"/>
      <c r="K189" s="1480"/>
      <c r="L189" s="513">
        <v>44398</v>
      </c>
      <c r="M189" s="416">
        <v>44431</v>
      </c>
      <c r="N189" s="2503">
        <f t="shared" si="100"/>
        <v>36</v>
      </c>
      <c r="O189" s="2503">
        <f t="shared" si="101"/>
        <v>108</v>
      </c>
      <c r="P189" s="2503">
        <f t="shared" si="102"/>
        <v>30</v>
      </c>
      <c r="Q189" s="2503">
        <f t="shared" si="103"/>
        <v>40</v>
      </c>
      <c r="R189" s="2503">
        <f t="shared" si="104"/>
        <v>214</v>
      </c>
    </row>
    <row r="190" spans="1:18" ht="15.75" hidden="1" thickTop="1">
      <c r="A190" s="453" t="s">
        <v>3585</v>
      </c>
      <c r="B190" s="453" t="s">
        <v>8213</v>
      </c>
      <c r="C190" s="453" t="s">
        <v>2434</v>
      </c>
      <c r="D190" s="457">
        <v>38800000</v>
      </c>
      <c r="E190" s="453" t="s">
        <v>251</v>
      </c>
      <c r="F190" s="474">
        <v>44253</v>
      </c>
      <c r="G190" s="474">
        <v>44308</v>
      </c>
      <c r="H190" s="474">
        <v>44327</v>
      </c>
      <c r="I190" s="1474"/>
      <c r="J190" s="1474"/>
      <c r="K190" s="1474"/>
      <c r="L190" s="570">
        <v>44328</v>
      </c>
      <c r="M190" s="474">
        <v>44349</v>
      </c>
    </row>
    <row r="191" spans="1:18" hidden="1">
      <c r="A191" s="2141" t="s">
        <v>3585</v>
      </c>
      <c r="B191" s="2141" t="s">
        <v>8213</v>
      </c>
      <c r="C191" s="2141" t="s">
        <v>2434</v>
      </c>
      <c r="D191" s="2144">
        <v>7344000</v>
      </c>
      <c r="E191" s="2141" t="s">
        <v>251</v>
      </c>
      <c r="F191" s="2140">
        <v>44253</v>
      </c>
      <c r="G191" s="2140">
        <v>44308</v>
      </c>
      <c r="H191" s="2140">
        <v>44327</v>
      </c>
      <c r="I191" s="2145"/>
      <c r="J191" s="2145"/>
      <c r="K191" s="2145"/>
      <c r="L191" s="2146">
        <v>44328</v>
      </c>
      <c r="M191" s="2140">
        <v>44349</v>
      </c>
    </row>
    <row r="192" spans="1:18" ht="15.75" hidden="1" thickBot="1">
      <c r="A192" s="2118" t="s">
        <v>3585</v>
      </c>
      <c r="B192" s="2118" t="s">
        <v>8213</v>
      </c>
      <c r="C192" s="2118" t="s">
        <v>2434</v>
      </c>
      <c r="D192" s="2121">
        <v>11816000</v>
      </c>
      <c r="E192" s="2118" t="s">
        <v>251</v>
      </c>
      <c r="F192" s="2117">
        <v>44253</v>
      </c>
      <c r="G192" s="2117">
        <v>44308</v>
      </c>
      <c r="H192" s="2117">
        <v>44327</v>
      </c>
      <c r="I192" s="2122"/>
      <c r="J192" s="2122"/>
      <c r="K192" s="2122"/>
      <c r="L192" s="2123">
        <v>44328</v>
      </c>
      <c r="M192" s="2117">
        <v>44349</v>
      </c>
    </row>
    <row r="193" spans="1:18" hidden="1">
      <c r="A193" s="470">
        <v>44232</v>
      </c>
      <c r="B193" s="466" t="s">
        <v>8220</v>
      </c>
      <c r="C193" s="466" t="s">
        <v>4997</v>
      </c>
      <c r="D193" s="472">
        <v>300000</v>
      </c>
      <c r="E193" s="466" t="s">
        <v>112</v>
      </c>
      <c r="F193" s="470">
        <v>44237</v>
      </c>
      <c r="G193" s="470">
        <v>44245</v>
      </c>
      <c r="H193" s="470">
        <v>44263</v>
      </c>
      <c r="I193" s="1516"/>
      <c r="J193" s="1516"/>
      <c r="K193" s="1516"/>
      <c r="L193" s="1547">
        <v>44263</v>
      </c>
      <c r="M193" s="466"/>
    </row>
    <row r="194" spans="1:18">
      <c r="A194" s="537">
        <v>44232</v>
      </c>
      <c r="B194" s="491" t="s">
        <v>8222</v>
      </c>
      <c r="C194" s="491" t="s">
        <v>9694</v>
      </c>
      <c r="D194" s="536">
        <v>2400000</v>
      </c>
      <c r="E194" s="491" t="s">
        <v>216</v>
      </c>
      <c r="F194" s="537">
        <v>44238</v>
      </c>
      <c r="G194" s="537">
        <v>44256</v>
      </c>
      <c r="H194" s="537">
        <v>44294</v>
      </c>
      <c r="I194" s="1471"/>
      <c r="J194" s="1471"/>
      <c r="K194" s="1471"/>
      <c r="L194" s="573">
        <v>44294</v>
      </c>
      <c r="M194" s="537">
        <v>44315</v>
      </c>
      <c r="N194" s="2503">
        <f t="shared" ref="N194:N195" si="105">F194-A194</f>
        <v>6</v>
      </c>
      <c r="O194" s="2503">
        <f t="shared" ref="O194:O195" si="106">G194-F194</f>
        <v>18</v>
      </c>
      <c r="P194" s="2503">
        <f t="shared" ref="P194:P195" si="107">H194-G194</f>
        <v>38</v>
      </c>
      <c r="Q194" s="2503">
        <f t="shared" ref="Q194:Q195" si="108">M194-H194</f>
        <v>21</v>
      </c>
      <c r="R194" s="2503">
        <f t="shared" ref="R194:R195" si="109">M194-A194</f>
        <v>83</v>
      </c>
    </row>
    <row r="195" spans="1:18">
      <c r="A195" s="537">
        <v>44232</v>
      </c>
      <c r="B195" s="491" t="s">
        <v>8222</v>
      </c>
      <c r="C195" s="491" t="s">
        <v>9694</v>
      </c>
      <c r="D195" s="536">
        <v>1094000</v>
      </c>
      <c r="E195" s="491" t="s">
        <v>216</v>
      </c>
      <c r="F195" s="537">
        <v>44238</v>
      </c>
      <c r="G195" s="537">
        <v>44256</v>
      </c>
      <c r="H195" s="537">
        <v>44294</v>
      </c>
      <c r="I195" s="1471"/>
      <c r="J195" s="1471"/>
      <c r="K195" s="1471"/>
      <c r="L195" s="573">
        <v>44294</v>
      </c>
      <c r="M195" s="537">
        <v>44315</v>
      </c>
      <c r="N195" s="2503">
        <f t="shared" si="105"/>
        <v>6</v>
      </c>
      <c r="O195" s="2503">
        <f t="shared" si="106"/>
        <v>18</v>
      </c>
      <c r="P195" s="2503">
        <f t="shared" si="107"/>
        <v>38</v>
      </c>
      <c r="Q195" s="2503">
        <f t="shared" si="108"/>
        <v>21</v>
      </c>
      <c r="R195" s="2503">
        <f t="shared" si="109"/>
        <v>83</v>
      </c>
    </row>
    <row r="196" spans="1:18" hidden="1">
      <c r="A196" s="491" t="s">
        <v>3585</v>
      </c>
      <c r="B196" s="491" t="s">
        <v>8235</v>
      </c>
      <c r="C196" s="491" t="s">
        <v>52</v>
      </c>
      <c r="D196" s="536">
        <v>62500000</v>
      </c>
      <c r="E196" s="491" t="s">
        <v>251</v>
      </c>
      <c r="F196" s="537">
        <v>44355</v>
      </c>
      <c r="G196" s="537">
        <v>44403</v>
      </c>
      <c r="H196" s="537">
        <v>44407</v>
      </c>
      <c r="I196" s="1471"/>
      <c r="J196" s="1471"/>
      <c r="K196" s="1471"/>
      <c r="L196" s="573">
        <v>44407</v>
      </c>
      <c r="M196" s="537">
        <v>44505</v>
      </c>
    </row>
    <row r="197" spans="1:18">
      <c r="A197" s="537">
        <v>44237</v>
      </c>
      <c r="B197" s="491" t="s">
        <v>8247</v>
      </c>
      <c r="C197" s="491" t="s">
        <v>2434</v>
      </c>
      <c r="D197" s="536">
        <v>2425000</v>
      </c>
      <c r="E197" s="491" t="s">
        <v>216</v>
      </c>
      <c r="F197" s="537">
        <v>44242</v>
      </c>
      <c r="G197" s="537">
        <v>44265</v>
      </c>
      <c r="H197" s="537">
        <v>44270</v>
      </c>
      <c r="I197" s="1471"/>
      <c r="J197" s="1471"/>
      <c r="K197" s="1471"/>
      <c r="L197" s="573">
        <v>44271</v>
      </c>
      <c r="M197" s="537">
        <v>44300</v>
      </c>
      <c r="N197" s="2503">
        <f t="shared" ref="N197:N202" si="110">F197-A197</f>
        <v>5</v>
      </c>
      <c r="O197" s="2503">
        <f t="shared" ref="O197:O202" si="111">G197-F197</f>
        <v>23</v>
      </c>
      <c r="P197" s="2503">
        <f t="shared" ref="P197:P202" si="112">H197-G197</f>
        <v>5</v>
      </c>
      <c r="Q197" s="2503">
        <f t="shared" ref="Q197:Q202" si="113">M197-H197</f>
        <v>30</v>
      </c>
      <c r="R197" s="2503">
        <f t="shared" ref="R197:R202" si="114">M197-A197</f>
        <v>63</v>
      </c>
    </row>
    <row r="198" spans="1:18">
      <c r="A198" s="537">
        <v>44237</v>
      </c>
      <c r="B198" s="491" t="s">
        <v>8246</v>
      </c>
      <c r="C198" s="491" t="s">
        <v>2434</v>
      </c>
      <c r="D198" s="536">
        <v>1250000</v>
      </c>
      <c r="E198" s="491" t="s">
        <v>112</v>
      </c>
      <c r="F198" s="537">
        <v>44242</v>
      </c>
      <c r="G198" s="537">
        <v>44250</v>
      </c>
      <c r="H198" s="537">
        <v>44515</v>
      </c>
      <c r="I198" s="1471"/>
      <c r="J198" s="1471"/>
      <c r="K198" s="1471"/>
      <c r="L198" s="573">
        <v>44515</v>
      </c>
      <c r="M198" s="537">
        <v>44537</v>
      </c>
      <c r="N198" s="2503">
        <f t="shared" si="110"/>
        <v>5</v>
      </c>
      <c r="O198" s="2503">
        <f t="shared" si="111"/>
        <v>8</v>
      </c>
      <c r="P198" s="2503">
        <f t="shared" si="112"/>
        <v>265</v>
      </c>
      <c r="Q198" s="2503">
        <f t="shared" si="113"/>
        <v>22</v>
      </c>
      <c r="R198" s="2503">
        <f t="shared" si="114"/>
        <v>300</v>
      </c>
    </row>
    <row r="199" spans="1:18">
      <c r="A199" s="537">
        <v>44238</v>
      </c>
      <c r="B199" s="491" t="s">
        <v>8249</v>
      </c>
      <c r="C199" s="491" t="s">
        <v>9694</v>
      </c>
      <c r="D199" s="536">
        <v>400000</v>
      </c>
      <c r="E199" s="491" t="s">
        <v>112</v>
      </c>
      <c r="F199" s="537">
        <v>44242</v>
      </c>
      <c r="G199" s="537">
        <v>44253</v>
      </c>
      <c r="H199" s="537">
        <v>44321</v>
      </c>
      <c r="I199" s="1471"/>
      <c r="J199" s="1471"/>
      <c r="K199" s="1471"/>
      <c r="L199" s="573">
        <v>44322</v>
      </c>
      <c r="M199" s="537">
        <v>44358</v>
      </c>
      <c r="N199" s="2503">
        <f t="shared" si="110"/>
        <v>4</v>
      </c>
      <c r="O199" s="2503">
        <f t="shared" si="111"/>
        <v>11</v>
      </c>
      <c r="P199" s="2503">
        <f t="shared" si="112"/>
        <v>68</v>
      </c>
      <c r="Q199" s="2503">
        <f t="shared" si="113"/>
        <v>37</v>
      </c>
      <c r="R199" s="2503">
        <f t="shared" si="114"/>
        <v>120</v>
      </c>
    </row>
    <row r="200" spans="1:18" ht="15.75" thickBot="1">
      <c r="A200" s="416">
        <v>44238</v>
      </c>
      <c r="B200" s="411" t="s">
        <v>8249</v>
      </c>
      <c r="C200" s="411" t="s">
        <v>9694</v>
      </c>
      <c r="D200" s="417">
        <v>508220</v>
      </c>
      <c r="E200" s="411" t="s">
        <v>112</v>
      </c>
      <c r="F200" s="416">
        <v>44242</v>
      </c>
      <c r="G200" s="416">
        <v>44253</v>
      </c>
      <c r="H200" s="416">
        <v>44274</v>
      </c>
      <c r="I200" s="1480"/>
      <c r="J200" s="1480"/>
      <c r="K200" s="1480"/>
      <c r="L200" s="513">
        <v>44274</v>
      </c>
      <c r="M200" s="416">
        <v>44309</v>
      </c>
      <c r="N200" s="2503">
        <f t="shared" si="110"/>
        <v>4</v>
      </c>
      <c r="O200" s="2503">
        <f t="shared" si="111"/>
        <v>11</v>
      </c>
      <c r="P200" s="2503">
        <f t="shared" si="112"/>
        <v>21</v>
      </c>
      <c r="Q200" s="2503">
        <f t="shared" si="113"/>
        <v>35</v>
      </c>
      <c r="R200" s="2503">
        <f t="shared" si="114"/>
        <v>71</v>
      </c>
    </row>
    <row r="201" spans="1:18" ht="15.75" thickTop="1">
      <c r="A201" s="474">
        <v>44236</v>
      </c>
      <c r="B201" s="453" t="s">
        <v>8260</v>
      </c>
      <c r="C201" s="453" t="s">
        <v>69</v>
      </c>
      <c r="D201" s="457">
        <v>28008028</v>
      </c>
      <c r="E201" s="453" t="s">
        <v>251</v>
      </c>
      <c r="F201" s="474">
        <v>44250</v>
      </c>
      <c r="G201" s="474">
        <v>44299</v>
      </c>
      <c r="H201" s="474">
        <v>44337</v>
      </c>
      <c r="I201" s="1474"/>
      <c r="J201" s="1474"/>
      <c r="K201" s="1474"/>
      <c r="L201" s="570">
        <v>44337</v>
      </c>
      <c r="M201" s="474">
        <v>44357</v>
      </c>
      <c r="N201" s="2503">
        <f t="shared" si="110"/>
        <v>14</v>
      </c>
      <c r="O201" s="2503">
        <f t="shared" si="111"/>
        <v>49</v>
      </c>
      <c r="P201" s="2503">
        <f t="shared" si="112"/>
        <v>38</v>
      </c>
      <c r="Q201" s="2503">
        <f t="shared" si="113"/>
        <v>20</v>
      </c>
      <c r="R201" s="2503">
        <f t="shared" si="114"/>
        <v>121</v>
      </c>
    </row>
    <row r="202" spans="1:18">
      <c r="A202" s="2140">
        <v>44236</v>
      </c>
      <c r="B202" s="2141" t="s">
        <v>8260</v>
      </c>
      <c r="C202" s="2141" t="s">
        <v>69</v>
      </c>
      <c r="D202" s="2144">
        <v>20218545</v>
      </c>
      <c r="E202" s="2141" t="s">
        <v>251</v>
      </c>
      <c r="F202" s="2140">
        <v>44250</v>
      </c>
      <c r="G202" s="2140">
        <v>44299</v>
      </c>
      <c r="H202" s="2140">
        <v>44322</v>
      </c>
      <c r="I202" s="2145"/>
      <c r="J202" s="2145"/>
      <c r="K202" s="2145"/>
      <c r="L202" s="2146">
        <v>44322</v>
      </c>
      <c r="M202" s="2140">
        <v>44342</v>
      </c>
      <c r="N202" s="2503">
        <f t="shared" si="110"/>
        <v>14</v>
      </c>
      <c r="O202" s="2503">
        <f t="shared" si="111"/>
        <v>49</v>
      </c>
      <c r="P202" s="2503">
        <f t="shared" si="112"/>
        <v>23</v>
      </c>
      <c r="Q202" s="2503">
        <f t="shared" si="113"/>
        <v>20</v>
      </c>
      <c r="R202" s="2503">
        <f t="shared" si="114"/>
        <v>106</v>
      </c>
    </row>
    <row r="203" spans="1:18" hidden="1">
      <c r="A203" s="2124">
        <v>44236</v>
      </c>
      <c r="B203" s="2125" t="s">
        <v>8260</v>
      </c>
      <c r="C203" s="2125" t="s">
        <v>69</v>
      </c>
      <c r="D203" s="2128">
        <v>7757532</v>
      </c>
      <c r="E203" s="2125" t="s">
        <v>251</v>
      </c>
      <c r="F203" s="2124">
        <v>44250</v>
      </c>
      <c r="G203" s="2124">
        <v>44299</v>
      </c>
      <c r="H203" s="2125"/>
      <c r="I203" s="2094"/>
      <c r="J203" s="2094"/>
      <c r="K203" s="2094"/>
      <c r="L203" s="2128"/>
      <c r="M203" s="2125"/>
    </row>
    <row r="204" spans="1:18">
      <c r="A204" s="2140">
        <v>44236</v>
      </c>
      <c r="B204" s="2141" t="s">
        <v>8260</v>
      </c>
      <c r="C204" s="2141" t="s">
        <v>69</v>
      </c>
      <c r="D204" s="2144">
        <v>4652062</v>
      </c>
      <c r="E204" s="2141" t="s">
        <v>251</v>
      </c>
      <c r="F204" s="2140">
        <v>44250</v>
      </c>
      <c r="G204" s="2140">
        <v>44299</v>
      </c>
      <c r="H204" s="2140">
        <v>44322</v>
      </c>
      <c r="I204" s="2145"/>
      <c r="J204" s="2145"/>
      <c r="K204" s="2145"/>
      <c r="L204" s="2146">
        <v>44322</v>
      </c>
      <c r="M204" s="2140">
        <v>44342</v>
      </c>
      <c r="N204" s="2503">
        <f t="shared" ref="N204:N206" si="115">F204-A204</f>
        <v>14</v>
      </c>
      <c r="O204" s="2503">
        <f t="shared" ref="O204:O206" si="116">G204-F204</f>
        <v>49</v>
      </c>
      <c r="P204" s="2503">
        <f t="shared" ref="P204:P206" si="117">H204-G204</f>
        <v>23</v>
      </c>
      <c r="Q204" s="2503">
        <f t="shared" ref="Q204:Q206" si="118">M204-H204</f>
        <v>20</v>
      </c>
      <c r="R204" s="2503">
        <f t="shared" ref="R204:R206" si="119">M204-A204</f>
        <v>106</v>
      </c>
    </row>
    <row r="205" spans="1:18" ht="15.75" thickBot="1">
      <c r="A205" s="2117">
        <v>44236</v>
      </c>
      <c r="B205" s="2118" t="s">
        <v>8260</v>
      </c>
      <c r="C205" s="2118" t="s">
        <v>69</v>
      </c>
      <c r="D205" s="2121">
        <v>6760421</v>
      </c>
      <c r="E205" s="2118" t="s">
        <v>251</v>
      </c>
      <c r="F205" s="2117">
        <v>44250</v>
      </c>
      <c r="G205" s="2117">
        <v>44299</v>
      </c>
      <c r="H205" s="2117">
        <v>44322</v>
      </c>
      <c r="I205" s="2122"/>
      <c r="J205" s="2122"/>
      <c r="K205" s="2122"/>
      <c r="L205" s="2123">
        <v>44322</v>
      </c>
      <c r="M205" s="2117">
        <v>44350</v>
      </c>
      <c r="N205" s="2503">
        <f t="shared" si="115"/>
        <v>14</v>
      </c>
      <c r="O205" s="2503">
        <f t="shared" si="116"/>
        <v>49</v>
      </c>
      <c r="P205" s="2503">
        <f t="shared" si="117"/>
        <v>23</v>
      </c>
      <c r="Q205" s="2503">
        <f t="shared" si="118"/>
        <v>28</v>
      </c>
      <c r="R205" s="2503">
        <f t="shared" si="119"/>
        <v>114</v>
      </c>
    </row>
    <row r="206" spans="1:18" ht="15.75" thickTop="1">
      <c r="A206" s="498">
        <v>44242</v>
      </c>
      <c r="B206" s="232" t="s">
        <v>8267</v>
      </c>
      <c r="C206" s="232" t="s">
        <v>14</v>
      </c>
      <c r="D206" s="499">
        <v>1160000</v>
      </c>
      <c r="E206" s="232" t="s">
        <v>112</v>
      </c>
      <c r="F206" s="498">
        <v>44245</v>
      </c>
      <c r="G206" s="498">
        <v>44257</v>
      </c>
      <c r="H206" s="498">
        <v>44259</v>
      </c>
      <c r="I206" s="1545"/>
      <c r="J206" s="1545"/>
      <c r="K206" s="1545"/>
      <c r="L206" s="682">
        <v>44259</v>
      </c>
      <c r="M206" s="498">
        <v>44272</v>
      </c>
      <c r="N206" s="2503">
        <f t="shared" si="115"/>
        <v>3</v>
      </c>
      <c r="O206" s="2503">
        <f t="shared" si="116"/>
        <v>12</v>
      </c>
      <c r="P206" s="2503">
        <f t="shared" si="117"/>
        <v>2</v>
      </c>
      <c r="Q206" s="2503">
        <f t="shared" si="118"/>
        <v>13</v>
      </c>
      <c r="R206" s="2503">
        <f t="shared" si="119"/>
        <v>30</v>
      </c>
    </row>
    <row r="207" spans="1:18" ht="15.75" hidden="1" thickTop="1">
      <c r="A207" s="443">
        <v>44236</v>
      </c>
      <c r="B207" s="439" t="s">
        <v>8274</v>
      </c>
      <c r="C207" s="439" t="s">
        <v>69</v>
      </c>
      <c r="D207" s="444">
        <v>2968517</v>
      </c>
      <c r="E207" s="439" t="s">
        <v>251</v>
      </c>
      <c r="F207" s="443">
        <v>44250</v>
      </c>
      <c r="G207" s="443">
        <v>44284</v>
      </c>
      <c r="H207" s="439"/>
      <c r="I207" s="1481"/>
      <c r="J207" s="1481"/>
      <c r="K207" s="1481"/>
      <c r="L207" s="444"/>
      <c r="M207" s="439"/>
    </row>
    <row r="208" spans="1:18" hidden="1">
      <c r="A208" s="2124">
        <v>44236</v>
      </c>
      <c r="B208" s="2125" t="s">
        <v>8274</v>
      </c>
      <c r="C208" s="2125" t="s">
        <v>69</v>
      </c>
      <c r="D208" s="2128">
        <v>73696560</v>
      </c>
      <c r="E208" s="2125" t="s">
        <v>251</v>
      </c>
      <c r="F208" s="2124">
        <v>44250</v>
      </c>
      <c r="G208" s="2124">
        <v>44284</v>
      </c>
      <c r="H208" s="2125"/>
      <c r="I208" s="2129"/>
      <c r="J208" s="2129"/>
      <c r="K208" s="2129"/>
      <c r="L208" s="2128"/>
      <c r="M208" s="2125"/>
    </row>
    <row r="209" spans="1:18">
      <c r="A209" s="2140">
        <v>44236</v>
      </c>
      <c r="B209" s="2141" t="s">
        <v>8274</v>
      </c>
      <c r="C209" s="2141" t="s">
        <v>69</v>
      </c>
      <c r="D209" s="2144">
        <v>58973556</v>
      </c>
      <c r="E209" s="2141" t="s">
        <v>251</v>
      </c>
      <c r="F209" s="2140">
        <v>44250</v>
      </c>
      <c r="G209" s="2140">
        <v>44284</v>
      </c>
      <c r="H209" s="2140">
        <v>44309</v>
      </c>
      <c r="I209" s="2145"/>
      <c r="J209" s="2145"/>
      <c r="K209" s="2145"/>
      <c r="L209" s="2146">
        <v>44309</v>
      </c>
      <c r="M209" s="2140">
        <v>44329</v>
      </c>
      <c r="N209" s="2503">
        <f t="shared" ref="N209:N210" si="120">F209-A209</f>
        <v>14</v>
      </c>
      <c r="O209" s="2503">
        <f t="shared" ref="O209:O210" si="121">G209-F209</f>
        <v>34</v>
      </c>
      <c r="P209" s="2503">
        <f t="shared" ref="P209:P210" si="122">H209-G209</f>
        <v>25</v>
      </c>
      <c r="Q209" s="2503">
        <f t="shared" ref="Q209:Q210" si="123">M209-H209</f>
        <v>20</v>
      </c>
      <c r="R209" s="2503">
        <f t="shared" ref="R209:R210" si="124">M209-A209</f>
        <v>93</v>
      </c>
    </row>
    <row r="210" spans="1:18" ht="15.75" thickBot="1">
      <c r="A210" s="2117">
        <v>44236</v>
      </c>
      <c r="B210" s="2118" t="s">
        <v>8274</v>
      </c>
      <c r="C210" s="2118" t="s">
        <v>69</v>
      </c>
      <c r="D210" s="2121">
        <v>35710072</v>
      </c>
      <c r="E210" s="2118" t="s">
        <v>251</v>
      </c>
      <c r="F210" s="2117">
        <v>44250</v>
      </c>
      <c r="G210" s="2117">
        <v>44284</v>
      </c>
      <c r="H210" s="2117">
        <v>44309</v>
      </c>
      <c r="I210" s="2122"/>
      <c r="J210" s="2122"/>
      <c r="K210" s="2122"/>
      <c r="L210" s="2123">
        <v>44309</v>
      </c>
      <c r="M210" s="2117">
        <v>44336</v>
      </c>
      <c r="N210" s="2503">
        <f t="shared" si="120"/>
        <v>14</v>
      </c>
      <c r="O210" s="2503">
        <f t="shared" si="121"/>
        <v>34</v>
      </c>
      <c r="P210" s="2503">
        <f t="shared" si="122"/>
        <v>25</v>
      </c>
      <c r="Q210" s="2503">
        <f t="shared" si="123"/>
        <v>27</v>
      </c>
      <c r="R210" s="2503">
        <f t="shared" si="124"/>
        <v>100</v>
      </c>
    </row>
    <row r="211" spans="1:18" ht="15.75" hidden="1" thickTop="1">
      <c r="A211" s="470">
        <v>44239</v>
      </c>
      <c r="B211" s="466" t="s">
        <v>8275</v>
      </c>
      <c r="C211" s="466" t="s">
        <v>58</v>
      </c>
      <c r="D211" s="472">
        <v>3150000</v>
      </c>
      <c r="E211" s="466" t="s">
        <v>216</v>
      </c>
      <c r="F211" s="470">
        <v>44252</v>
      </c>
      <c r="G211" s="470">
        <v>44271</v>
      </c>
      <c r="H211" s="466"/>
      <c r="I211" s="1489"/>
      <c r="J211" s="1489"/>
      <c r="K211" s="1489"/>
      <c r="L211" s="472"/>
      <c r="M211" s="466"/>
    </row>
    <row r="212" spans="1:18" ht="15.75" hidden="1" thickTop="1">
      <c r="A212" s="491" t="s">
        <v>3585</v>
      </c>
      <c r="B212" s="491" t="s">
        <v>8279</v>
      </c>
      <c r="C212" s="491" t="s">
        <v>52</v>
      </c>
      <c r="D212" s="536">
        <v>106000000</v>
      </c>
      <c r="E212" s="491" t="s">
        <v>251</v>
      </c>
      <c r="F212" s="537">
        <v>44259</v>
      </c>
      <c r="G212" s="537">
        <v>44316</v>
      </c>
      <c r="H212" s="537">
        <v>44323</v>
      </c>
      <c r="I212" s="1471"/>
      <c r="J212" s="1471"/>
      <c r="K212" s="1471"/>
      <c r="L212" s="573">
        <v>44323</v>
      </c>
      <c r="M212" s="537">
        <v>44361</v>
      </c>
    </row>
    <row r="213" spans="1:18" ht="15.75" hidden="1" thickTop="1">
      <c r="A213" s="491" t="s">
        <v>3585</v>
      </c>
      <c r="B213" s="491" t="s">
        <v>8286</v>
      </c>
      <c r="C213" s="491" t="s">
        <v>1032</v>
      </c>
      <c r="D213" s="536">
        <v>3000000</v>
      </c>
      <c r="E213" s="491" t="s">
        <v>216</v>
      </c>
      <c r="F213" s="537">
        <v>44249</v>
      </c>
      <c r="G213" s="537">
        <v>44266</v>
      </c>
      <c r="H213" s="537">
        <v>44280</v>
      </c>
      <c r="I213" s="1471"/>
      <c r="J213" s="1471"/>
      <c r="K213" s="1471"/>
      <c r="L213" s="573">
        <v>44280</v>
      </c>
      <c r="M213" s="537">
        <v>44335</v>
      </c>
    </row>
    <row r="214" spans="1:18" ht="15.75" thickTop="1">
      <c r="A214" s="537">
        <v>44244</v>
      </c>
      <c r="B214" s="491" t="s">
        <v>8289</v>
      </c>
      <c r="C214" s="491" t="s">
        <v>2434</v>
      </c>
      <c r="D214" s="536">
        <v>2590000</v>
      </c>
      <c r="E214" s="491" t="s">
        <v>216</v>
      </c>
      <c r="F214" s="537">
        <v>44249</v>
      </c>
      <c r="G214" s="537">
        <v>44266</v>
      </c>
      <c r="H214" s="537">
        <v>44272</v>
      </c>
      <c r="I214" s="1471"/>
      <c r="J214" s="1471"/>
      <c r="K214" s="1471"/>
      <c r="L214" s="573">
        <v>44272</v>
      </c>
      <c r="M214" s="537">
        <v>44307</v>
      </c>
      <c r="N214" s="2503">
        <f>F214-A214</f>
        <v>5</v>
      </c>
      <c r="O214" s="2503">
        <f>G214-F214</f>
        <v>17</v>
      </c>
      <c r="P214" s="2503">
        <f>H214-G214</f>
        <v>6</v>
      </c>
      <c r="Q214" s="2503">
        <f>M214-H214</f>
        <v>35</v>
      </c>
      <c r="R214" s="2503">
        <f>M214-A214</f>
        <v>63</v>
      </c>
    </row>
    <row r="215" spans="1:18" hidden="1">
      <c r="A215" s="510">
        <v>44245</v>
      </c>
      <c r="B215" s="506" t="s">
        <v>8294</v>
      </c>
      <c r="C215" s="506" t="s">
        <v>58</v>
      </c>
      <c r="D215" s="511">
        <v>348000</v>
      </c>
      <c r="E215" s="506" t="s">
        <v>112</v>
      </c>
      <c r="F215" s="510">
        <v>44249</v>
      </c>
      <c r="G215" s="510">
        <v>44260</v>
      </c>
      <c r="H215" s="506"/>
      <c r="I215" s="1470"/>
      <c r="J215" s="1470"/>
      <c r="K215" s="1470"/>
      <c r="L215" s="511"/>
      <c r="M215" s="506"/>
    </row>
    <row r="216" spans="1:18">
      <c r="A216" s="537">
        <v>44246</v>
      </c>
      <c r="B216" s="491" t="s">
        <v>8302</v>
      </c>
      <c r="C216" s="491" t="s">
        <v>1032</v>
      </c>
      <c r="D216" s="536">
        <v>450000</v>
      </c>
      <c r="E216" s="491" t="s">
        <v>112</v>
      </c>
      <c r="F216" s="537">
        <v>44251</v>
      </c>
      <c r="G216" s="537">
        <v>44265</v>
      </c>
      <c r="H216" s="537">
        <v>44267</v>
      </c>
      <c r="I216" s="1471"/>
      <c r="J216" s="1471"/>
      <c r="K216" s="1471"/>
      <c r="L216" s="573">
        <v>44267</v>
      </c>
      <c r="M216" s="537">
        <v>44284</v>
      </c>
      <c r="N216" s="2503">
        <f>F216-A216</f>
        <v>5</v>
      </c>
      <c r="O216" s="2503">
        <f>G216-F216</f>
        <v>14</v>
      </c>
      <c r="P216" s="2503">
        <f>H216-G216</f>
        <v>2</v>
      </c>
      <c r="Q216" s="2503">
        <f>M216-H216</f>
        <v>17</v>
      </c>
      <c r="R216" s="2503">
        <f>M216-A216</f>
        <v>38</v>
      </c>
    </row>
    <row r="217" spans="1:18" hidden="1">
      <c r="A217" s="491" t="s">
        <v>3585</v>
      </c>
      <c r="B217" s="491" t="s">
        <v>8316</v>
      </c>
      <c r="C217" s="491" t="s">
        <v>58</v>
      </c>
      <c r="D217" s="536">
        <v>727000</v>
      </c>
      <c r="E217" s="491" t="s">
        <v>112</v>
      </c>
      <c r="F217" s="537">
        <v>44257</v>
      </c>
      <c r="G217" s="537">
        <v>44267</v>
      </c>
      <c r="H217" s="537">
        <v>44371</v>
      </c>
      <c r="I217" s="1471"/>
      <c r="J217" s="1471"/>
      <c r="K217" s="1471"/>
      <c r="L217" s="573">
        <v>44371</v>
      </c>
      <c r="M217" s="537">
        <v>44399</v>
      </c>
    </row>
    <row r="218" spans="1:18" hidden="1">
      <c r="A218" s="510">
        <v>44250</v>
      </c>
      <c r="B218" s="506" t="s">
        <v>8322</v>
      </c>
      <c r="C218" s="506" t="s">
        <v>14</v>
      </c>
      <c r="D218" s="511">
        <v>851900</v>
      </c>
      <c r="E218" s="506" t="s">
        <v>112</v>
      </c>
      <c r="F218" s="510">
        <v>44253</v>
      </c>
      <c r="G218" s="510">
        <v>44265</v>
      </c>
      <c r="H218" s="506"/>
      <c r="I218" s="1470"/>
      <c r="J218" s="1470"/>
      <c r="K218" s="1470"/>
      <c r="L218" s="511"/>
      <c r="M218" s="506"/>
    </row>
    <row r="219" spans="1:18">
      <c r="A219" s="537">
        <v>44249</v>
      </c>
      <c r="B219" s="491" t="s">
        <v>8331</v>
      </c>
      <c r="C219" s="491" t="s">
        <v>2434</v>
      </c>
      <c r="D219" s="536">
        <v>3260870</v>
      </c>
      <c r="E219" s="491" t="s">
        <v>251</v>
      </c>
      <c r="F219" s="537">
        <v>44253</v>
      </c>
      <c r="G219" s="537">
        <v>44287</v>
      </c>
      <c r="H219" s="537">
        <v>44299</v>
      </c>
      <c r="I219" s="1471"/>
      <c r="J219" s="1471"/>
      <c r="K219" s="1471"/>
      <c r="L219" s="573">
        <v>44299</v>
      </c>
      <c r="M219" s="537">
        <v>44321</v>
      </c>
      <c r="N219" s="2503">
        <f t="shared" ref="N219:N230" si="125">F219-A219</f>
        <v>4</v>
      </c>
      <c r="O219" s="2503">
        <f t="shared" ref="O219:O230" si="126">G219-F219</f>
        <v>34</v>
      </c>
      <c r="P219" s="2503">
        <f t="shared" ref="P219:P230" si="127">H219-G219</f>
        <v>12</v>
      </c>
      <c r="Q219" s="2503">
        <f t="shared" ref="Q219:Q230" si="128">M219-H219</f>
        <v>22</v>
      </c>
      <c r="R219" s="2503">
        <f t="shared" ref="R219:R230" si="129">M219-A219</f>
        <v>72</v>
      </c>
    </row>
    <row r="220" spans="1:18">
      <c r="A220" s="537">
        <v>44250</v>
      </c>
      <c r="B220" s="491" t="s">
        <v>8333</v>
      </c>
      <c r="C220" s="491" t="s">
        <v>2434</v>
      </c>
      <c r="D220" s="536">
        <v>1772680</v>
      </c>
      <c r="E220" s="491" t="s">
        <v>112</v>
      </c>
      <c r="F220" s="537">
        <v>44253</v>
      </c>
      <c r="G220" s="537">
        <v>44265</v>
      </c>
      <c r="H220" s="537">
        <v>44270</v>
      </c>
      <c r="I220" s="1471"/>
      <c r="J220" s="1471"/>
      <c r="K220" s="1471"/>
      <c r="L220" s="573">
        <v>44270</v>
      </c>
      <c r="M220" s="537">
        <v>44286</v>
      </c>
      <c r="N220" s="2503">
        <f t="shared" si="125"/>
        <v>3</v>
      </c>
      <c r="O220" s="2503">
        <f t="shared" si="126"/>
        <v>12</v>
      </c>
      <c r="P220" s="2503">
        <f t="shared" si="127"/>
        <v>5</v>
      </c>
      <c r="Q220" s="2503">
        <f t="shared" si="128"/>
        <v>16</v>
      </c>
      <c r="R220" s="2503">
        <f t="shared" si="129"/>
        <v>36</v>
      </c>
    </row>
    <row r="221" spans="1:18">
      <c r="A221" s="537">
        <v>44249</v>
      </c>
      <c r="B221" s="491" t="s">
        <v>8336</v>
      </c>
      <c r="C221" s="491" t="s">
        <v>2434</v>
      </c>
      <c r="D221" s="536">
        <v>7302500</v>
      </c>
      <c r="E221" s="491" t="s">
        <v>251</v>
      </c>
      <c r="F221" s="537">
        <v>44253</v>
      </c>
      <c r="G221" s="537">
        <v>44287</v>
      </c>
      <c r="H221" s="537">
        <v>44320</v>
      </c>
      <c r="I221" s="1470"/>
      <c r="J221" s="1470"/>
      <c r="K221" s="1470"/>
      <c r="L221" s="573">
        <v>44320</v>
      </c>
      <c r="M221" s="537">
        <v>44344</v>
      </c>
      <c r="N221" s="2503">
        <f t="shared" si="125"/>
        <v>4</v>
      </c>
      <c r="O221" s="2503">
        <f t="shared" si="126"/>
        <v>34</v>
      </c>
      <c r="P221" s="2503">
        <f t="shared" si="127"/>
        <v>33</v>
      </c>
      <c r="Q221" s="2503">
        <f t="shared" si="128"/>
        <v>24</v>
      </c>
      <c r="R221" s="2503">
        <f t="shared" si="129"/>
        <v>95</v>
      </c>
    </row>
    <row r="222" spans="1:18" ht="15.75" thickBot="1">
      <c r="A222" s="416">
        <v>44244</v>
      </c>
      <c r="B222" s="411" t="s">
        <v>8337</v>
      </c>
      <c r="C222" s="411" t="s">
        <v>58</v>
      </c>
      <c r="D222" s="417">
        <v>9350000</v>
      </c>
      <c r="E222" s="411" t="s">
        <v>251</v>
      </c>
      <c r="F222" s="416">
        <v>44260</v>
      </c>
      <c r="G222" s="416">
        <v>44385</v>
      </c>
      <c r="H222" s="416">
        <v>44396</v>
      </c>
      <c r="I222" s="1480"/>
      <c r="J222" s="1480"/>
      <c r="K222" s="1480"/>
      <c r="L222" s="513">
        <v>44396</v>
      </c>
      <c r="M222" s="416">
        <v>44433</v>
      </c>
      <c r="N222" s="2503">
        <f t="shared" si="125"/>
        <v>16</v>
      </c>
      <c r="O222" s="2503">
        <f t="shared" si="126"/>
        <v>125</v>
      </c>
      <c r="P222" s="2503">
        <f t="shared" si="127"/>
        <v>11</v>
      </c>
      <c r="Q222" s="2503">
        <f t="shared" si="128"/>
        <v>37</v>
      </c>
      <c r="R222" s="2503">
        <f t="shared" si="129"/>
        <v>189</v>
      </c>
    </row>
    <row r="223" spans="1:18" ht="15.75" thickTop="1">
      <c r="A223" s="474">
        <v>44250</v>
      </c>
      <c r="B223" s="453" t="s">
        <v>8353</v>
      </c>
      <c r="C223" s="453" t="s">
        <v>2434</v>
      </c>
      <c r="D223" s="457">
        <v>9012000</v>
      </c>
      <c r="E223" s="453" t="s">
        <v>251</v>
      </c>
      <c r="F223" s="474">
        <v>44277</v>
      </c>
      <c r="G223" s="474">
        <v>44309</v>
      </c>
      <c r="H223" s="474">
        <v>44341</v>
      </c>
      <c r="I223" s="1483"/>
      <c r="J223" s="1483"/>
      <c r="K223" s="1483"/>
      <c r="L223" s="570">
        <v>44342</v>
      </c>
      <c r="M223" s="474">
        <v>44370</v>
      </c>
      <c r="N223" s="2503">
        <f t="shared" si="125"/>
        <v>27</v>
      </c>
      <c r="O223" s="2503">
        <f t="shared" si="126"/>
        <v>32</v>
      </c>
      <c r="P223" s="2503">
        <f t="shared" si="127"/>
        <v>32</v>
      </c>
      <c r="Q223" s="2503">
        <f t="shared" si="128"/>
        <v>29</v>
      </c>
      <c r="R223" s="2503">
        <f t="shared" si="129"/>
        <v>120</v>
      </c>
    </row>
    <row r="224" spans="1:18">
      <c r="A224" s="2140">
        <v>44250</v>
      </c>
      <c r="B224" s="2141" t="s">
        <v>8353</v>
      </c>
      <c r="C224" s="2141" t="s">
        <v>2434</v>
      </c>
      <c r="D224" s="2144">
        <v>4170000</v>
      </c>
      <c r="E224" s="2141" t="s">
        <v>251</v>
      </c>
      <c r="F224" s="2140">
        <v>44277</v>
      </c>
      <c r="G224" s="2140">
        <v>44309</v>
      </c>
      <c r="H224" s="2140">
        <v>44341</v>
      </c>
      <c r="I224" s="2094"/>
      <c r="J224" s="2094"/>
      <c r="K224" s="2094"/>
      <c r="L224" s="2146">
        <v>44342</v>
      </c>
      <c r="M224" s="2140">
        <v>44370</v>
      </c>
      <c r="N224" s="2503">
        <f t="shared" si="125"/>
        <v>27</v>
      </c>
      <c r="O224" s="2503">
        <f t="shared" si="126"/>
        <v>32</v>
      </c>
      <c r="P224" s="2503">
        <f t="shared" si="127"/>
        <v>32</v>
      </c>
      <c r="Q224" s="2503">
        <f t="shared" si="128"/>
        <v>29</v>
      </c>
      <c r="R224" s="2503">
        <f t="shared" si="129"/>
        <v>120</v>
      </c>
    </row>
    <row r="225" spans="1:18">
      <c r="A225" s="2140">
        <v>44250</v>
      </c>
      <c r="B225" s="2141" t="s">
        <v>8353</v>
      </c>
      <c r="C225" s="2141" t="s">
        <v>2434</v>
      </c>
      <c r="D225" s="2144">
        <v>619800</v>
      </c>
      <c r="E225" s="2141" t="s">
        <v>251</v>
      </c>
      <c r="F225" s="2140">
        <v>44277</v>
      </c>
      <c r="G225" s="2140">
        <v>44309</v>
      </c>
      <c r="H225" s="2140">
        <v>44341</v>
      </c>
      <c r="I225" s="2145"/>
      <c r="J225" s="2145"/>
      <c r="K225" s="2145"/>
      <c r="L225" s="2146">
        <v>44342</v>
      </c>
      <c r="M225" s="2140">
        <v>44363</v>
      </c>
      <c r="N225" s="2503">
        <f t="shared" si="125"/>
        <v>27</v>
      </c>
      <c r="O225" s="2503">
        <f t="shared" si="126"/>
        <v>32</v>
      </c>
      <c r="P225" s="2503">
        <f t="shared" si="127"/>
        <v>32</v>
      </c>
      <c r="Q225" s="2503">
        <f t="shared" si="128"/>
        <v>22</v>
      </c>
      <c r="R225" s="2503">
        <f t="shared" si="129"/>
        <v>113</v>
      </c>
    </row>
    <row r="226" spans="1:18">
      <c r="A226" s="2140">
        <v>44250</v>
      </c>
      <c r="B226" s="2141" t="s">
        <v>8353</v>
      </c>
      <c r="C226" s="2141" t="s">
        <v>2434</v>
      </c>
      <c r="D226" s="2144">
        <v>9705000</v>
      </c>
      <c r="E226" s="2141" t="s">
        <v>251</v>
      </c>
      <c r="F226" s="2140">
        <v>44277</v>
      </c>
      <c r="G226" s="2140">
        <v>44309</v>
      </c>
      <c r="H226" s="2140">
        <v>44341</v>
      </c>
      <c r="I226" s="2094"/>
      <c r="J226" s="2094"/>
      <c r="K226" s="2094"/>
      <c r="L226" s="2146">
        <v>44342</v>
      </c>
      <c r="M226" s="2140">
        <v>44370</v>
      </c>
      <c r="N226" s="2503">
        <f t="shared" si="125"/>
        <v>27</v>
      </c>
      <c r="O226" s="2503">
        <f t="shared" si="126"/>
        <v>32</v>
      </c>
      <c r="P226" s="2503">
        <f t="shared" si="127"/>
        <v>32</v>
      </c>
      <c r="Q226" s="2503">
        <f t="shared" si="128"/>
        <v>29</v>
      </c>
      <c r="R226" s="2503">
        <f t="shared" si="129"/>
        <v>120</v>
      </c>
    </row>
    <row r="227" spans="1:18">
      <c r="A227" s="2140">
        <v>44250</v>
      </c>
      <c r="B227" s="2141" t="s">
        <v>8353</v>
      </c>
      <c r="C227" s="2141" t="s">
        <v>2434</v>
      </c>
      <c r="D227" s="2144">
        <v>3378990</v>
      </c>
      <c r="E227" s="2141" t="s">
        <v>251</v>
      </c>
      <c r="F227" s="2140">
        <v>44277</v>
      </c>
      <c r="G227" s="2140">
        <v>44309</v>
      </c>
      <c r="H227" s="2140">
        <v>44341</v>
      </c>
      <c r="I227" s="2145"/>
      <c r="J227" s="2145"/>
      <c r="K227" s="2145"/>
      <c r="L227" s="2146">
        <v>44342</v>
      </c>
      <c r="M227" s="2140">
        <v>44363</v>
      </c>
      <c r="N227" s="2503">
        <f t="shared" si="125"/>
        <v>27</v>
      </c>
      <c r="O227" s="2503">
        <f t="shared" si="126"/>
        <v>32</v>
      </c>
      <c r="P227" s="2503">
        <f t="shared" si="127"/>
        <v>32</v>
      </c>
      <c r="Q227" s="2503">
        <f t="shared" si="128"/>
        <v>22</v>
      </c>
      <c r="R227" s="2503">
        <f t="shared" si="129"/>
        <v>113</v>
      </c>
    </row>
    <row r="228" spans="1:18">
      <c r="A228" s="2140">
        <v>44250</v>
      </c>
      <c r="B228" s="2141" t="s">
        <v>8353</v>
      </c>
      <c r="C228" s="2141" t="s">
        <v>2434</v>
      </c>
      <c r="D228" s="2144">
        <v>26578800</v>
      </c>
      <c r="E228" s="2141" t="s">
        <v>251</v>
      </c>
      <c r="F228" s="2140">
        <v>44277</v>
      </c>
      <c r="G228" s="2140">
        <v>44309</v>
      </c>
      <c r="H228" s="2140">
        <v>44341</v>
      </c>
      <c r="I228" s="2145"/>
      <c r="J228" s="2145"/>
      <c r="K228" s="2145"/>
      <c r="L228" s="2146">
        <v>44342</v>
      </c>
      <c r="M228" s="2140">
        <v>44363</v>
      </c>
      <c r="N228" s="2503">
        <f t="shared" si="125"/>
        <v>27</v>
      </c>
      <c r="O228" s="2503">
        <f t="shared" si="126"/>
        <v>32</v>
      </c>
      <c r="P228" s="2503">
        <f t="shared" si="127"/>
        <v>32</v>
      </c>
      <c r="Q228" s="2503">
        <f t="shared" si="128"/>
        <v>22</v>
      </c>
      <c r="R228" s="2503">
        <f t="shared" si="129"/>
        <v>113</v>
      </c>
    </row>
    <row r="229" spans="1:18">
      <c r="A229" s="2140">
        <v>44250</v>
      </c>
      <c r="B229" s="2141" t="s">
        <v>8353</v>
      </c>
      <c r="C229" s="2141" t="s">
        <v>2434</v>
      </c>
      <c r="D229" s="2144">
        <v>6840000</v>
      </c>
      <c r="E229" s="2141" t="s">
        <v>251</v>
      </c>
      <c r="F229" s="2140">
        <v>44277</v>
      </c>
      <c r="G229" s="2140">
        <v>44309</v>
      </c>
      <c r="H229" s="2140">
        <v>44341</v>
      </c>
      <c r="I229" s="2145"/>
      <c r="J229" s="2145"/>
      <c r="K229" s="2145"/>
      <c r="L229" s="2146">
        <v>44342</v>
      </c>
      <c r="M229" s="2140">
        <v>44363</v>
      </c>
      <c r="N229" s="2503">
        <f t="shared" si="125"/>
        <v>27</v>
      </c>
      <c r="O229" s="2503">
        <f t="shared" si="126"/>
        <v>32</v>
      </c>
      <c r="P229" s="2503">
        <f t="shared" si="127"/>
        <v>32</v>
      </c>
      <c r="Q229" s="2503">
        <f t="shared" si="128"/>
        <v>22</v>
      </c>
      <c r="R229" s="2503">
        <f t="shared" si="129"/>
        <v>113</v>
      </c>
    </row>
    <row r="230" spans="1:18" ht="15.75" thickBot="1">
      <c r="A230" s="2117">
        <v>44250</v>
      </c>
      <c r="B230" s="2118" t="s">
        <v>8353</v>
      </c>
      <c r="C230" s="2118" t="s">
        <v>2434</v>
      </c>
      <c r="D230" s="2121">
        <v>28925000</v>
      </c>
      <c r="E230" s="2118" t="s">
        <v>251</v>
      </c>
      <c r="F230" s="2117">
        <v>44277</v>
      </c>
      <c r="G230" s="2117">
        <v>44309</v>
      </c>
      <c r="H230" s="2117">
        <v>44341</v>
      </c>
      <c r="I230" s="2122"/>
      <c r="J230" s="2122"/>
      <c r="K230" s="2122"/>
      <c r="L230" s="2123">
        <v>44342</v>
      </c>
      <c r="M230" s="2117">
        <v>44368</v>
      </c>
      <c r="N230" s="2503">
        <f t="shared" si="125"/>
        <v>27</v>
      </c>
      <c r="O230" s="2503">
        <f t="shared" si="126"/>
        <v>32</v>
      </c>
      <c r="P230" s="2503">
        <f t="shared" si="127"/>
        <v>32</v>
      </c>
      <c r="Q230" s="2503">
        <f t="shared" si="128"/>
        <v>27</v>
      </c>
      <c r="R230" s="2503">
        <f t="shared" si="129"/>
        <v>118</v>
      </c>
    </row>
    <row r="231" spans="1:18" ht="15.75" hidden="1" thickTop="1">
      <c r="A231" s="443">
        <v>44252</v>
      </c>
      <c r="B231" s="439" t="s">
        <v>8348</v>
      </c>
      <c r="C231" s="439" t="s">
        <v>69</v>
      </c>
      <c r="D231" s="444">
        <v>60243750</v>
      </c>
      <c r="E231" s="439" t="s">
        <v>251</v>
      </c>
      <c r="F231" s="443">
        <v>44263</v>
      </c>
      <c r="G231" s="443">
        <v>44326</v>
      </c>
      <c r="H231" s="439"/>
      <c r="I231" s="1481"/>
      <c r="J231" s="1481"/>
      <c r="K231" s="1481"/>
      <c r="L231" s="444"/>
      <c r="M231" s="439"/>
    </row>
    <row r="232" spans="1:18" ht="15.75" thickTop="1">
      <c r="A232" s="2140">
        <v>44252</v>
      </c>
      <c r="B232" s="2141" t="s">
        <v>8348</v>
      </c>
      <c r="C232" s="2141" t="s">
        <v>69</v>
      </c>
      <c r="D232" s="2144">
        <v>5469639</v>
      </c>
      <c r="E232" s="2141" t="s">
        <v>251</v>
      </c>
      <c r="F232" s="2140">
        <v>44263</v>
      </c>
      <c r="G232" s="2140">
        <v>44326</v>
      </c>
      <c r="H232" s="2140">
        <v>44344</v>
      </c>
      <c r="I232" s="2094"/>
      <c r="J232" s="2094"/>
      <c r="K232" s="2094"/>
      <c r="L232" s="2146">
        <v>44344</v>
      </c>
      <c r="M232" s="2140">
        <v>44370</v>
      </c>
      <c r="N232" s="2503">
        <f t="shared" ref="N232:N235" si="130">F232-A232</f>
        <v>11</v>
      </c>
      <c r="O232" s="2503">
        <f t="shared" ref="O232:O235" si="131">G232-F232</f>
        <v>63</v>
      </c>
      <c r="P232" s="2503">
        <f t="shared" ref="P232:P235" si="132">H232-G232</f>
        <v>18</v>
      </c>
      <c r="Q232" s="2503">
        <f t="shared" ref="Q232:Q235" si="133">M232-H232</f>
        <v>26</v>
      </c>
      <c r="R232" s="2503">
        <f t="shared" ref="R232:R235" si="134">M232-A232</f>
        <v>118</v>
      </c>
    </row>
    <row r="233" spans="1:18">
      <c r="A233" s="2140">
        <v>44252</v>
      </c>
      <c r="B233" s="2141" t="s">
        <v>8348</v>
      </c>
      <c r="C233" s="2141" t="s">
        <v>69</v>
      </c>
      <c r="D233" s="2144">
        <v>5831317</v>
      </c>
      <c r="E233" s="2141" t="s">
        <v>251</v>
      </c>
      <c r="F233" s="2140">
        <v>44263</v>
      </c>
      <c r="G233" s="2140">
        <v>44326</v>
      </c>
      <c r="H233" s="2140">
        <v>44344</v>
      </c>
      <c r="I233" s="2145"/>
      <c r="J233" s="2145"/>
      <c r="K233" s="2145"/>
      <c r="L233" s="2146">
        <v>44344</v>
      </c>
      <c r="M233" s="2140">
        <v>44368</v>
      </c>
      <c r="N233" s="2503">
        <f t="shared" si="130"/>
        <v>11</v>
      </c>
      <c r="O233" s="2503">
        <f t="shared" si="131"/>
        <v>63</v>
      </c>
      <c r="P233" s="2503">
        <f t="shared" si="132"/>
        <v>18</v>
      </c>
      <c r="Q233" s="2503">
        <f t="shared" si="133"/>
        <v>24</v>
      </c>
      <c r="R233" s="2503">
        <f t="shared" si="134"/>
        <v>116</v>
      </c>
    </row>
    <row r="234" spans="1:18">
      <c r="A234" s="2140">
        <v>44252</v>
      </c>
      <c r="B234" s="2141" t="s">
        <v>8348</v>
      </c>
      <c r="C234" s="2141" t="s">
        <v>69</v>
      </c>
      <c r="D234" s="2144">
        <v>8011033</v>
      </c>
      <c r="E234" s="2141" t="s">
        <v>251</v>
      </c>
      <c r="F234" s="2140">
        <v>44263</v>
      </c>
      <c r="G234" s="2140">
        <v>44326</v>
      </c>
      <c r="H234" s="2140">
        <v>44344</v>
      </c>
      <c r="I234" s="2145"/>
      <c r="J234" s="2145"/>
      <c r="K234" s="2145"/>
      <c r="L234" s="2146">
        <v>44344</v>
      </c>
      <c r="M234" s="2140">
        <v>44375</v>
      </c>
      <c r="N234" s="2503">
        <f t="shared" si="130"/>
        <v>11</v>
      </c>
      <c r="O234" s="2503">
        <f t="shared" si="131"/>
        <v>63</v>
      </c>
      <c r="P234" s="2503">
        <f t="shared" si="132"/>
        <v>18</v>
      </c>
      <c r="Q234" s="2503">
        <f t="shared" si="133"/>
        <v>31</v>
      </c>
      <c r="R234" s="2503">
        <f t="shared" si="134"/>
        <v>123</v>
      </c>
    </row>
    <row r="235" spans="1:18" ht="15.75" thickBot="1">
      <c r="A235" s="2117">
        <v>44252</v>
      </c>
      <c r="B235" s="2118" t="s">
        <v>8348</v>
      </c>
      <c r="C235" s="2118" t="s">
        <v>69</v>
      </c>
      <c r="D235" s="2121">
        <v>4417024</v>
      </c>
      <c r="E235" s="2118" t="s">
        <v>251</v>
      </c>
      <c r="F235" s="2117">
        <v>44263</v>
      </c>
      <c r="G235" s="2117">
        <v>44326</v>
      </c>
      <c r="H235" s="2117">
        <v>44344</v>
      </c>
      <c r="I235" s="2095"/>
      <c r="J235" s="2095"/>
      <c r="K235" s="2095"/>
      <c r="L235" s="2123">
        <v>44344</v>
      </c>
      <c r="M235" s="2117">
        <v>44370</v>
      </c>
      <c r="N235" s="2503">
        <f t="shared" si="130"/>
        <v>11</v>
      </c>
      <c r="O235" s="2503">
        <f t="shared" si="131"/>
        <v>63</v>
      </c>
      <c r="P235" s="2503">
        <f t="shared" si="132"/>
        <v>18</v>
      </c>
      <c r="Q235" s="2503">
        <f t="shared" si="133"/>
        <v>26</v>
      </c>
      <c r="R235" s="2503">
        <f t="shared" si="134"/>
        <v>118</v>
      </c>
    </row>
    <row r="236" spans="1:18" ht="15.75" hidden="1" thickTop="1">
      <c r="A236" s="443">
        <v>44252</v>
      </c>
      <c r="B236" s="439" t="s">
        <v>8355</v>
      </c>
      <c r="C236" s="439" t="s">
        <v>69</v>
      </c>
      <c r="D236" s="444">
        <v>69447975</v>
      </c>
      <c r="E236" s="439" t="s">
        <v>251</v>
      </c>
      <c r="F236" s="443">
        <v>44264</v>
      </c>
      <c r="G236" s="443">
        <v>44299</v>
      </c>
      <c r="H236" s="439"/>
      <c r="I236" s="1483"/>
      <c r="J236" s="1483"/>
      <c r="K236" s="1483"/>
      <c r="L236" s="444"/>
      <c r="M236" s="439"/>
    </row>
    <row r="237" spans="1:18" ht="16.5" thickTop="1" thickBot="1">
      <c r="A237" s="2117">
        <v>44252</v>
      </c>
      <c r="B237" s="2118" t="s">
        <v>8355</v>
      </c>
      <c r="C237" s="2118" t="s">
        <v>69</v>
      </c>
      <c r="D237" s="2121">
        <v>23806615</v>
      </c>
      <c r="E237" s="2118" t="s">
        <v>251</v>
      </c>
      <c r="F237" s="2117">
        <v>44264</v>
      </c>
      <c r="G237" s="2117">
        <v>44299</v>
      </c>
      <c r="H237" s="2117">
        <v>44322</v>
      </c>
      <c r="I237" s="2122"/>
      <c r="J237" s="2122"/>
      <c r="K237" s="2122"/>
      <c r="L237" s="2123">
        <v>44322</v>
      </c>
      <c r="M237" s="2117">
        <v>44343</v>
      </c>
      <c r="N237" s="2503">
        <f t="shared" ref="N237:N242" si="135">F237-A237</f>
        <v>12</v>
      </c>
      <c r="O237" s="2503">
        <f t="shared" ref="O237:O242" si="136">G237-F237</f>
        <v>35</v>
      </c>
      <c r="P237" s="2503">
        <f t="shared" ref="P237:P242" si="137">H237-G237</f>
        <v>23</v>
      </c>
      <c r="Q237" s="2503">
        <f t="shared" ref="Q237:Q242" si="138">M237-H237</f>
        <v>21</v>
      </c>
      <c r="R237" s="2503">
        <f t="shared" ref="R237:R242" si="139">M237-A237</f>
        <v>91</v>
      </c>
    </row>
    <row r="238" spans="1:18" ht="15.75" thickTop="1">
      <c r="A238" s="474">
        <v>44252</v>
      </c>
      <c r="B238" s="453" t="s">
        <v>8359</v>
      </c>
      <c r="C238" s="453" t="s">
        <v>69</v>
      </c>
      <c r="D238" s="457">
        <v>49309756</v>
      </c>
      <c r="E238" s="453" t="s">
        <v>251</v>
      </c>
      <c r="F238" s="474">
        <v>44258</v>
      </c>
      <c r="G238" s="474">
        <v>44305</v>
      </c>
      <c r="H238" s="474">
        <v>44322</v>
      </c>
      <c r="I238" s="1474"/>
      <c r="J238" s="1474"/>
      <c r="K238" s="1474"/>
      <c r="L238" s="570">
        <v>44322</v>
      </c>
      <c r="M238" s="474">
        <v>44342</v>
      </c>
      <c r="N238" s="2503">
        <f t="shared" si="135"/>
        <v>6</v>
      </c>
      <c r="O238" s="2503">
        <f t="shared" si="136"/>
        <v>47</v>
      </c>
      <c r="P238" s="2503">
        <f t="shared" si="137"/>
        <v>17</v>
      </c>
      <c r="Q238" s="2503">
        <f t="shared" si="138"/>
        <v>20</v>
      </c>
      <c r="R238" s="2503">
        <f t="shared" si="139"/>
        <v>90</v>
      </c>
    </row>
    <row r="239" spans="1:18" ht="15.75" thickBot="1">
      <c r="A239" s="2117">
        <v>44252</v>
      </c>
      <c r="B239" s="2118" t="s">
        <v>8359</v>
      </c>
      <c r="C239" s="2118" t="s">
        <v>69</v>
      </c>
      <c r="D239" s="2121">
        <v>14263044</v>
      </c>
      <c r="E239" s="2118" t="s">
        <v>251</v>
      </c>
      <c r="F239" s="2117">
        <v>44258</v>
      </c>
      <c r="G239" s="2117">
        <v>44305</v>
      </c>
      <c r="H239" s="2117">
        <v>44322</v>
      </c>
      <c r="I239" s="2122"/>
      <c r="J239" s="2122"/>
      <c r="K239" s="2122"/>
      <c r="L239" s="2123">
        <v>44322</v>
      </c>
      <c r="M239" s="2117">
        <v>44350</v>
      </c>
      <c r="N239" s="2503">
        <f t="shared" si="135"/>
        <v>6</v>
      </c>
      <c r="O239" s="2503">
        <f t="shared" si="136"/>
        <v>47</v>
      </c>
      <c r="P239" s="2503">
        <f t="shared" si="137"/>
        <v>17</v>
      </c>
      <c r="Q239" s="2503">
        <f t="shared" si="138"/>
        <v>28</v>
      </c>
      <c r="R239" s="2503">
        <f t="shared" si="139"/>
        <v>98</v>
      </c>
    </row>
    <row r="240" spans="1:18" ht="15.75" thickTop="1">
      <c r="A240" s="474">
        <v>44252</v>
      </c>
      <c r="B240" s="453" t="s">
        <v>8363</v>
      </c>
      <c r="C240" s="453" t="s">
        <v>69</v>
      </c>
      <c r="D240" s="457">
        <v>38164742</v>
      </c>
      <c r="E240" s="453" t="s">
        <v>251</v>
      </c>
      <c r="F240" s="474">
        <v>44270</v>
      </c>
      <c r="G240" s="474">
        <v>44305</v>
      </c>
      <c r="H240" s="474">
        <v>44309</v>
      </c>
      <c r="I240" s="1474"/>
      <c r="J240" s="1474"/>
      <c r="K240" s="1474"/>
      <c r="L240" s="570">
        <v>44309</v>
      </c>
      <c r="M240" s="474">
        <v>44329</v>
      </c>
      <c r="N240" s="2503">
        <f t="shared" si="135"/>
        <v>18</v>
      </c>
      <c r="O240" s="2503">
        <f t="shared" si="136"/>
        <v>35</v>
      </c>
      <c r="P240" s="2503">
        <f t="shared" si="137"/>
        <v>4</v>
      </c>
      <c r="Q240" s="2503">
        <f t="shared" si="138"/>
        <v>20</v>
      </c>
      <c r="R240" s="2503">
        <f t="shared" si="139"/>
        <v>77</v>
      </c>
    </row>
    <row r="241" spans="1:18" ht="15.75" thickBot="1">
      <c r="A241" s="2117">
        <v>44252</v>
      </c>
      <c r="B241" s="2118" t="s">
        <v>8363</v>
      </c>
      <c r="C241" s="2118" t="s">
        <v>69</v>
      </c>
      <c r="D241" s="2121">
        <v>22873184</v>
      </c>
      <c r="E241" s="2118" t="s">
        <v>251</v>
      </c>
      <c r="F241" s="2117">
        <v>44270</v>
      </c>
      <c r="G241" s="2117">
        <v>44305</v>
      </c>
      <c r="H241" s="2117">
        <v>44309</v>
      </c>
      <c r="I241" s="2122"/>
      <c r="J241" s="2122"/>
      <c r="K241" s="2122"/>
      <c r="L241" s="2123">
        <v>44309</v>
      </c>
      <c r="M241" s="2117">
        <v>44336</v>
      </c>
      <c r="N241" s="2503">
        <f t="shared" si="135"/>
        <v>18</v>
      </c>
      <c r="O241" s="2503">
        <f t="shared" si="136"/>
        <v>35</v>
      </c>
      <c r="P241" s="2503">
        <f t="shared" si="137"/>
        <v>4</v>
      </c>
      <c r="Q241" s="2503">
        <f t="shared" si="138"/>
        <v>27</v>
      </c>
      <c r="R241" s="2503">
        <f t="shared" si="139"/>
        <v>84</v>
      </c>
    </row>
    <row r="242" spans="1:18" ht="15.75" thickTop="1">
      <c r="A242" s="498">
        <v>44252</v>
      </c>
      <c r="B242" s="232" t="s">
        <v>8367</v>
      </c>
      <c r="C242" s="232" t="s">
        <v>69</v>
      </c>
      <c r="D242" s="499">
        <v>16200760</v>
      </c>
      <c r="E242" s="232" t="s">
        <v>251</v>
      </c>
      <c r="F242" s="498">
        <v>44266</v>
      </c>
      <c r="G242" s="498">
        <v>44300</v>
      </c>
      <c r="H242" s="498">
        <v>44309</v>
      </c>
      <c r="I242" s="1545"/>
      <c r="J242" s="1545"/>
      <c r="K242" s="1545"/>
      <c r="L242" s="682">
        <v>44309</v>
      </c>
      <c r="M242" s="498">
        <v>44333</v>
      </c>
      <c r="N242" s="2503">
        <f t="shared" si="135"/>
        <v>14</v>
      </c>
      <c r="O242" s="2503">
        <f t="shared" si="136"/>
        <v>34</v>
      </c>
      <c r="P242" s="2503">
        <f t="shared" si="137"/>
        <v>9</v>
      </c>
      <c r="Q242" s="2503">
        <f t="shared" si="138"/>
        <v>24</v>
      </c>
      <c r="R242" s="2503">
        <f t="shared" si="139"/>
        <v>81</v>
      </c>
    </row>
    <row r="243" spans="1:18" ht="15.75" hidden="1" thickTop="1">
      <c r="A243" s="443">
        <v>44252</v>
      </c>
      <c r="B243" s="439" t="s">
        <v>8381</v>
      </c>
      <c r="C243" s="439" t="s">
        <v>69</v>
      </c>
      <c r="D243" s="444">
        <v>278112</v>
      </c>
      <c r="E243" s="439" t="s">
        <v>112</v>
      </c>
      <c r="F243" s="443">
        <v>44259</v>
      </c>
      <c r="G243" s="443">
        <v>44270</v>
      </c>
      <c r="H243" s="439"/>
      <c r="I243" s="1481"/>
      <c r="J243" s="1481"/>
      <c r="K243" s="1481"/>
      <c r="L243" s="444"/>
      <c r="M243" s="439"/>
    </row>
    <row r="244" spans="1:18" hidden="1">
      <c r="A244" s="2124">
        <v>44252</v>
      </c>
      <c r="B244" s="2125" t="s">
        <v>8381</v>
      </c>
      <c r="C244" s="2125" t="s">
        <v>69</v>
      </c>
      <c r="D244" s="2128">
        <v>385472</v>
      </c>
      <c r="E244" s="2125" t="s">
        <v>112</v>
      </c>
      <c r="F244" s="2124">
        <v>44259</v>
      </c>
      <c r="G244" s="2124">
        <v>44270</v>
      </c>
      <c r="H244" s="2125"/>
      <c r="I244" s="2129"/>
      <c r="J244" s="2129"/>
      <c r="K244" s="2129"/>
      <c r="L244" s="2128"/>
      <c r="M244" s="2125"/>
    </row>
    <row r="245" spans="1:18" hidden="1">
      <c r="A245" s="2124">
        <v>44252</v>
      </c>
      <c r="B245" s="2125" t="s">
        <v>8381</v>
      </c>
      <c r="C245" s="2125" t="s">
        <v>69</v>
      </c>
      <c r="D245" s="2128">
        <v>61696</v>
      </c>
      <c r="E245" s="2125" t="s">
        <v>112</v>
      </c>
      <c r="F245" s="2124">
        <v>44259</v>
      </c>
      <c r="G245" s="2124">
        <v>44270</v>
      </c>
      <c r="H245" s="2125"/>
      <c r="I245" s="2129"/>
      <c r="J245" s="2129"/>
      <c r="K245" s="2129"/>
      <c r="L245" s="2128"/>
      <c r="M245" s="2125"/>
    </row>
    <row r="246" spans="1:18" hidden="1">
      <c r="A246" s="2124">
        <v>44252</v>
      </c>
      <c r="B246" s="2125" t="s">
        <v>8381</v>
      </c>
      <c r="C246" s="2125" t="s">
        <v>69</v>
      </c>
      <c r="D246" s="2128">
        <v>148093</v>
      </c>
      <c r="E246" s="2125" t="s">
        <v>112</v>
      </c>
      <c r="F246" s="2124">
        <v>44259</v>
      </c>
      <c r="G246" s="2124">
        <v>44270</v>
      </c>
      <c r="H246" s="2125"/>
      <c r="I246" s="2129"/>
      <c r="J246" s="2129"/>
      <c r="K246" s="2129"/>
      <c r="L246" s="2128"/>
      <c r="M246" s="2125"/>
    </row>
    <row r="247" spans="1:18" hidden="1">
      <c r="A247" s="2124">
        <v>44252</v>
      </c>
      <c r="B247" s="2125" t="s">
        <v>8381</v>
      </c>
      <c r="C247" s="2125" t="s">
        <v>69</v>
      </c>
      <c r="D247" s="2128">
        <v>61226</v>
      </c>
      <c r="E247" s="2125" t="s">
        <v>112</v>
      </c>
      <c r="F247" s="2124">
        <v>44259</v>
      </c>
      <c r="G247" s="2124">
        <v>44270</v>
      </c>
      <c r="H247" s="2125"/>
      <c r="I247" s="2129"/>
      <c r="J247" s="2129"/>
      <c r="K247" s="2129"/>
      <c r="L247" s="2128"/>
      <c r="M247" s="2125"/>
    </row>
    <row r="248" spans="1:18" ht="15.75" hidden="1" thickBot="1">
      <c r="A248" s="2130">
        <v>44252</v>
      </c>
      <c r="B248" s="2131" t="s">
        <v>8381</v>
      </c>
      <c r="C248" s="2131" t="s">
        <v>69</v>
      </c>
      <c r="D248" s="2134">
        <v>11880</v>
      </c>
      <c r="E248" s="2131" t="s">
        <v>112</v>
      </c>
      <c r="F248" s="2130">
        <v>44259</v>
      </c>
      <c r="G248" s="2130">
        <v>44270</v>
      </c>
      <c r="H248" s="2131"/>
      <c r="I248" s="2135"/>
      <c r="J248" s="2135"/>
      <c r="K248" s="2135"/>
      <c r="L248" s="2134"/>
      <c r="M248" s="2131"/>
    </row>
    <row r="249" spans="1:18">
      <c r="A249" s="365">
        <v>44256</v>
      </c>
      <c r="B249" s="2497" t="s">
        <v>8382</v>
      </c>
      <c r="C249" s="2497" t="s">
        <v>14</v>
      </c>
      <c r="D249" s="364">
        <v>1850000</v>
      </c>
      <c r="E249" s="2497" t="s">
        <v>112</v>
      </c>
      <c r="F249" s="365">
        <v>44264</v>
      </c>
      <c r="G249" s="365">
        <v>44274</v>
      </c>
      <c r="H249" s="365">
        <v>44340</v>
      </c>
      <c r="I249" s="1489"/>
      <c r="J249" s="1489"/>
      <c r="K249" s="1489"/>
      <c r="L249" s="681">
        <v>44340</v>
      </c>
      <c r="M249" s="365">
        <v>44350</v>
      </c>
      <c r="N249" s="2503">
        <f t="shared" ref="N249:N251" si="140">F249-A249</f>
        <v>8</v>
      </c>
      <c r="O249" s="2503">
        <f t="shared" ref="O249:O251" si="141">G249-F249</f>
        <v>10</v>
      </c>
      <c r="P249" s="2503">
        <f t="shared" ref="P249:P251" si="142">H249-G249</f>
        <v>66</v>
      </c>
      <c r="Q249" s="2503">
        <f t="shared" ref="Q249:Q251" si="143">M249-H249</f>
        <v>10</v>
      </c>
      <c r="R249" s="2503">
        <f t="shared" ref="R249:R251" si="144">M249-A249</f>
        <v>94</v>
      </c>
    </row>
    <row r="250" spans="1:18">
      <c r="A250" s="537">
        <v>44256</v>
      </c>
      <c r="B250" s="491" t="s">
        <v>8384</v>
      </c>
      <c r="C250" s="491" t="s">
        <v>2434</v>
      </c>
      <c r="D250" s="536">
        <v>1331404</v>
      </c>
      <c r="E250" s="491" t="s">
        <v>112</v>
      </c>
      <c r="F250" s="537">
        <v>44264</v>
      </c>
      <c r="G250" s="537">
        <v>44273</v>
      </c>
      <c r="H250" s="537">
        <v>44278</v>
      </c>
      <c r="I250" s="1471"/>
      <c r="J250" s="1471"/>
      <c r="K250" s="1471"/>
      <c r="L250" s="573">
        <v>44278</v>
      </c>
      <c r="M250" s="537">
        <v>44294</v>
      </c>
      <c r="N250" s="2503">
        <f t="shared" si="140"/>
        <v>8</v>
      </c>
      <c r="O250" s="2503">
        <f t="shared" si="141"/>
        <v>9</v>
      </c>
      <c r="P250" s="2503">
        <f t="shared" si="142"/>
        <v>5</v>
      </c>
      <c r="Q250" s="2503">
        <f t="shared" si="143"/>
        <v>16</v>
      </c>
      <c r="R250" s="2503">
        <f t="shared" si="144"/>
        <v>38</v>
      </c>
    </row>
    <row r="251" spans="1:18">
      <c r="A251" s="537">
        <v>44258</v>
      </c>
      <c r="B251" s="491" t="s">
        <v>8394</v>
      </c>
      <c r="C251" s="491" t="s">
        <v>2434</v>
      </c>
      <c r="D251" s="536">
        <v>4164271</v>
      </c>
      <c r="E251" s="491" t="s">
        <v>251</v>
      </c>
      <c r="F251" s="537">
        <v>44264</v>
      </c>
      <c r="G251" s="537">
        <v>44298</v>
      </c>
      <c r="H251" s="537">
        <v>44301</v>
      </c>
      <c r="I251" s="1471"/>
      <c r="J251" s="1471"/>
      <c r="K251" s="1471"/>
      <c r="L251" s="573">
        <v>44301</v>
      </c>
      <c r="M251" s="537">
        <v>44321</v>
      </c>
      <c r="N251" s="2503">
        <f t="shared" si="140"/>
        <v>6</v>
      </c>
      <c r="O251" s="2503">
        <f t="shared" si="141"/>
        <v>34</v>
      </c>
      <c r="P251" s="2503">
        <f t="shared" si="142"/>
        <v>3</v>
      </c>
      <c r="Q251" s="2503">
        <f t="shared" si="143"/>
        <v>20</v>
      </c>
      <c r="R251" s="2503">
        <f t="shared" si="144"/>
        <v>63</v>
      </c>
    </row>
    <row r="252" spans="1:18" hidden="1">
      <c r="A252" s="510">
        <v>44257</v>
      </c>
      <c r="B252" s="506" t="s">
        <v>8396</v>
      </c>
      <c r="C252" s="506" t="s">
        <v>58</v>
      </c>
      <c r="D252" s="511">
        <v>336000</v>
      </c>
      <c r="E252" s="506" t="s">
        <v>112</v>
      </c>
      <c r="F252" s="510">
        <v>44266</v>
      </c>
      <c r="G252" s="510">
        <v>44278</v>
      </c>
      <c r="H252" s="506"/>
      <c r="I252" s="1484"/>
      <c r="J252" s="1484"/>
      <c r="K252" s="1484"/>
      <c r="L252" s="511"/>
      <c r="M252" s="506"/>
    </row>
    <row r="253" spans="1:18">
      <c r="A253" s="537">
        <v>44263</v>
      </c>
      <c r="B253" s="491" t="s">
        <v>8403</v>
      </c>
      <c r="C253" s="491" t="s">
        <v>2434</v>
      </c>
      <c r="D253" s="536">
        <v>1220260</v>
      </c>
      <c r="E253" s="491" t="s">
        <v>112</v>
      </c>
      <c r="F253" s="537">
        <v>44267</v>
      </c>
      <c r="G253" s="537">
        <v>44279</v>
      </c>
      <c r="H253" s="537">
        <v>44298</v>
      </c>
      <c r="I253" s="1471"/>
      <c r="J253" s="1471"/>
      <c r="K253" s="1471"/>
      <c r="L253" s="573">
        <v>44298</v>
      </c>
      <c r="M253" s="537">
        <v>44313</v>
      </c>
      <c r="N253" s="2503">
        <f t="shared" ref="N253:N259" si="145">F253-A253</f>
        <v>4</v>
      </c>
      <c r="O253" s="2503">
        <f t="shared" ref="O253:O259" si="146">G253-F253</f>
        <v>12</v>
      </c>
      <c r="P253" s="2503">
        <f t="shared" ref="P253:P259" si="147">H253-G253</f>
        <v>19</v>
      </c>
      <c r="Q253" s="2503">
        <f t="shared" ref="Q253:Q259" si="148">M253-H253</f>
        <v>15</v>
      </c>
      <c r="R253" s="2503">
        <f t="shared" ref="R253:R259" si="149">M253-A253</f>
        <v>50</v>
      </c>
    </row>
    <row r="254" spans="1:18" ht="15.75" thickBot="1">
      <c r="A254" s="416">
        <v>44253</v>
      </c>
      <c r="B254" s="411" t="s">
        <v>8409</v>
      </c>
      <c r="C254" s="411" t="s">
        <v>58</v>
      </c>
      <c r="D254" s="417">
        <v>3646523</v>
      </c>
      <c r="E254" s="411" t="s">
        <v>251</v>
      </c>
      <c r="F254" s="416">
        <v>44302</v>
      </c>
      <c r="G254" s="416">
        <v>44336</v>
      </c>
      <c r="H254" s="416">
        <v>44371</v>
      </c>
      <c r="I254" s="1480"/>
      <c r="J254" s="1480"/>
      <c r="K254" s="1480"/>
      <c r="L254" s="513">
        <v>44371</v>
      </c>
      <c r="M254" s="416">
        <v>44399</v>
      </c>
      <c r="N254" s="2503">
        <f t="shared" si="145"/>
        <v>49</v>
      </c>
      <c r="O254" s="2503">
        <f t="shared" si="146"/>
        <v>34</v>
      </c>
      <c r="P254" s="2503">
        <f t="shared" si="147"/>
        <v>35</v>
      </c>
      <c r="Q254" s="2503">
        <f t="shared" si="148"/>
        <v>28</v>
      </c>
      <c r="R254" s="2503">
        <f t="shared" si="149"/>
        <v>146</v>
      </c>
    </row>
    <row r="255" spans="1:18" ht="15.75" thickTop="1">
      <c r="A255" s="474">
        <v>44264</v>
      </c>
      <c r="B255" s="453" t="s">
        <v>8413</v>
      </c>
      <c r="C255" s="453" t="s">
        <v>58</v>
      </c>
      <c r="D255" s="457">
        <v>448200</v>
      </c>
      <c r="E255" s="453" t="s">
        <v>251</v>
      </c>
      <c r="F255" s="474">
        <v>44270</v>
      </c>
      <c r="G255" s="474">
        <v>44305</v>
      </c>
      <c r="H255" s="474">
        <v>44329</v>
      </c>
      <c r="I255" s="1474"/>
      <c r="J255" s="1474"/>
      <c r="K255" s="1474"/>
      <c r="L255" s="570">
        <v>44329</v>
      </c>
      <c r="M255" s="474">
        <v>44369</v>
      </c>
      <c r="N255" s="2503">
        <f t="shared" si="145"/>
        <v>6</v>
      </c>
      <c r="O255" s="2503">
        <f t="shared" si="146"/>
        <v>35</v>
      </c>
      <c r="P255" s="2503">
        <f t="shared" si="147"/>
        <v>24</v>
      </c>
      <c r="Q255" s="2503">
        <f t="shared" si="148"/>
        <v>40</v>
      </c>
      <c r="R255" s="2503">
        <f t="shared" si="149"/>
        <v>105</v>
      </c>
    </row>
    <row r="256" spans="1:18" ht="15.75" thickBot="1">
      <c r="A256" s="2117">
        <v>44264</v>
      </c>
      <c r="B256" s="2118" t="s">
        <v>8413</v>
      </c>
      <c r="C256" s="2118" t="s">
        <v>58</v>
      </c>
      <c r="D256" s="2121">
        <v>1035000</v>
      </c>
      <c r="E256" s="2118" t="s">
        <v>251</v>
      </c>
      <c r="F256" s="2117">
        <v>44270</v>
      </c>
      <c r="G256" s="2117">
        <v>44305</v>
      </c>
      <c r="H256" s="2117">
        <v>44329</v>
      </c>
      <c r="I256" s="2122"/>
      <c r="J256" s="2122"/>
      <c r="K256" s="2122"/>
      <c r="L256" s="2123">
        <v>44329</v>
      </c>
      <c r="M256" s="2117">
        <v>44369</v>
      </c>
      <c r="N256" s="2503">
        <f t="shared" si="145"/>
        <v>6</v>
      </c>
      <c r="O256" s="2503">
        <f t="shared" si="146"/>
        <v>35</v>
      </c>
      <c r="P256" s="2503">
        <f t="shared" si="147"/>
        <v>24</v>
      </c>
      <c r="Q256" s="2503">
        <f t="shared" si="148"/>
        <v>40</v>
      </c>
      <c r="R256" s="2503">
        <f t="shared" si="149"/>
        <v>105</v>
      </c>
    </row>
    <row r="257" spans="1:18" ht="15.75" thickTop="1">
      <c r="A257" s="365">
        <v>44263</v>
      </c>
      <c r="B257" s="2497" t="s">
        <v>8419</v>
      </c>
      <c r="C257" s="2497" t="s">
        <v>2434</v>
      </c>
      <c r="D257" s="364">
        <v>1823900</v>
      </c>
      <c r="E257" s="2497" t="s">
        <v>112</v>
      </c>
      <c r="F257" s="365">
        <v>44267</v>
      </c>
      <c r="G257" s="365">
        <v>44278</v>
      </c>
      <c r="H257" s="365">
        <v>44284</v>
      </c>
      <c r="I257" s="1473"/>
      <c r="J257" s="1473"/>
      <c r="K257" s="1473"/>
      <c r="L257" s="681">
        <v>44284</v>
      </c>
      <c r="M257" s="365">
        <v>44300</v>
      </c>
      <c r="N257" s="2503">
        <f t="shared" si="145"/>
        <v>4</v>
      </c>
      <c r="O257" s="2503">
        <f t="shared" si="146"/>
        <v>11</v>
      </c>
      <c r="P257" s="2503">
        <f t="shared" si="147"/>
        <v>6</v>
      </c>
      <c r="Q257" s="2503">
        <f t="shared" si="148"/>
        <v>16</v>
      </c>
      <c r="R257" s="2503">
        <f t="shared" si="149"/>
        <v>37</v>
      </c>
    </row>
    <row r="258" spans="1:18">
      <c r="A258" s="537">
        <v>44260</v>
      </c>
      <c r="B258" s="491" t="s">
        <v>8424</v>
      </c>
      <c r="C258" s="491" t="s">
        <v>58</v>
      </c>
      <c r="D258" s="536">
        <v>6589000</v>
      </c>
      <c r="E258" s="491" t="s">
        <v>251</v>
      </c>
      <c r="F258" s="537">
        <v>44313</v>
      </c>
      <c r="G258" s="537">
        <v>44368</v>
      </c>
      <c r="H258" s="537">
        <v>44418</v>
      </c>
      <c r="I258" s="1471"/>
      <c r="J258" s="1471"/>
      <c r="K258" s="1471"/>
      <c r="L258" s="573">
        <v>44418</v>
      </c>
      <c r="M258" s="537">
        <v>44475</v>
      </c>
      <c r="N258" s="2503">
        <f t="shared" si="145"/>
        <v>53</v>
      </c>
      <c r="O258" s="2503">
        <f t="shared" si="146"/>
        <v>55</v>
      </c>
      <c r="P258" s="2503">
        <f t="shared" si="147"/>
        <v>50</v>
      </c>
      <c r="Q258" s="2503">
        <f t="shared" si="148"/>
        <v>57</v>
      </c>
      <c r="R258" s="2503">
        <f t="shared" si="149"/>
        <v>215</v>
      </c>
    </row>
    <row r="259" spans="1:18">
      <c r="A259" s="537">
        <v>44267</v>
      </c>
      <c r="B259" s="491" t="s">
        <v>8432</v>
      </c>
      <c r="C259" s="491" t="s">
        <v>14</v>
      </c>
      <c r="D259" s="536">
        <v>1100000</v>
      </c>
      <c r="E259" s="491" t="s">
        <v>112</v>
      </c>
      <c r="F259" s="537">
        <v>44272</v>
      </c>
      <c r="G259" s="537">
        <v>44281</v>
      </c>
      <c r="H259" s="537">
        <v>44284</v>
      </c>
      <c r="I259" s="1471"/>
      <c r="J259" s="1471"/>
      <c r="K259" s="1471"/>
      <c r="L259" s="573">
        <v>44284</v>
      </c>
      <c r="M259" s="537">
        <v>44300</v>
      </c>
      <c r="N259" s="2503">
        <f t="shared" si="145"/>
        <v>5</v>
      </c>
      <c r="O259" s="2503">
        <f t="shared" si="146"/>
        <v>9</v>
      </c>
      <c r="P259" s="2503">
        <f t="shared" si="147"/>
        <v>3</v>
      </c>
      <c r="Q259" s="2503">
        <f t="shared" si="148"/>
        <v>16</v>
      </c>
      <c r="R259" s="2503">
        <f t="shared" si="149"/>
        <v>33</v>
      </c>
    </row>
    <row r="260" spans="1:18" s="390" customFormat="1" hidden="1">
      <c r="A260" s="2140" t="s">
        <v>3585</v>
      </c>
      <c r="B260" s="2141" t="s">
        <v>8446</v>
      </c>
      <c r="C260" s="2141" t="s">
        <v>58</v>
      </c>
      <c r="D260" s="2144">
        <v>3150000</v>
      </c>
      <c r="E260" s="2141" t="s">
        <v>216</v>
      </c>
      <c r="F260" s="2140">
        <v>44274</v>
      </c>
      <c r="G260" s="2140">
        <v>44295</v>
      </c>
      <c r="H260" s="2140">
        <v>44323</v>
      </c>
      <c r="I260" s="2145"/>
      <c r="J260" s="2145"/>
      <c r="K260" s="2145"/>
      <c r="L260" s="2146">
        <v>44323</v>
      </c>
      <c r="M260" s="2140">
        <v>44347</v>
      </c>
      <c r="N260" s="2504"/>
      <c r="O260" s="2504"/>
      <c r="P260" s="2504"/>
      <c r="Q260" s="2504"/>
      <c r="R260" s="2504"/>
    </row>
    <row r="261" spans="1:18" s="390" customFormat="1" ht="15.75" thickBot="1">
      <c r="A261" s="416">
        <v>44271</v>
      </c>
      <c r="B261" s="411" t="s">
        <v>8450</v>
      </c>
      <c r="C261" s="411" t="s">
        <v>9694</v>
      </c>
      <c r="D261" s="417">
        <v>1724380</v>
      </c>
      <c r="E261" s="411" t="s">
        <v>112</v>
      </c>
      <c r="F261" s="416">
        <v>44277</v>
      </c>
      <c r="G261" s="416">
        <v>44287</v>
      </c>
      <c r="H261" s="416">
        <v>44323</v>
      </c>
      <c r="I261" s="1480"/>
      <c r="J261" s="1480"/>
      <c r="K261" s="1480"/>
      <c r="L261" s="513">
        <v>44323</v>
      </c>
      <c r="M261" s="416">
        <v>44355</v>
      </c>
      <c r="N261" s="2503">
        <f t="shared" ref="N261:N275" si="150">F261-A261</f>
        <v>6</v>
      </c>
      <c r="O261" s="2503">
        <f t="shared" ref="O261:O275" si="151">G261-F261</f>
        <v>10</v>
      </c>
      <c r="P261" s="2503">
        <f t="shared" ref="P261:P275" si="152">H261-G261</f>
        <v>36</v>
      </c>
      <c r="Q261" s="2503">
        <f t="shared" ref="Q261:Q275" si="153">M261-H261</f>
        <v>32</v>
      </c>
      <c r="R261" s="2503">
        <f t="shared" ref="R261:R275" si="154">M261-A261</f>
        <v>84</v>
      </c>
    </row>
    <row r="262" spans="1:18" s="390" customFormat="1" ht="15.75" thickTop="1">
      <c r="A262" s="474">
        <v>44272</v>
      </c>
      <c r="B262" s="453" t="s">
        <v>8452</v>
      </c>
      <c r="C262" s="453" t="s">
        <v>2434</v>
      </c>
      <c r="D262" s="457">
        <v>1270000</v>
      </c>
      <c r="E262" s="453" t="s">
        <v>216</v>
      </c>
      <c r="F262" s="474">
        <v>44292</v>
      </c>
      <c r="G262" s="474">
        <v>44309</v>
      </c>
      <c r="H262" s="474">
        <v>44321</v>
      </c>
      <c r="I262" s="1474"/>
      <c r="J262" s="1474"/>
      <c r="K262" s="1474"/>
      <c r="L262" s="570">
        <v>44322</v>
      </c>
      <c r="M262" s="474">
        <v>44341</v>
      </c>
      <c r="N262" s="2503">
        <f t="shared" si="150"/>
        <v>20</v>
      </c>
      <c r="O262" s="2503">
        <f t="shared" si="151"/>
        <v>17</v>
      </c>
      <c r="P262" s="2503">
        <f t="shared" si="152"/>
        <v>12</v>
      </c>
      <c r="Q262" s="2503">
        <f t="shared" si="153"/>
        <v>20</v>
      </c>
      <c r="R262" s="2503">
        <f t="shared" si="154"/>
        <v>69</v>
      </c>
    </row>
    <row r="263" spans="1:18" s="390" customFormat="1">
      <c r="A263" s="2140">
        <v>44272</v>
      </c>
      <c r="B263" s="2141" t="s">
        <v>8452</v>
      </c>
      <c r="C263" s="2141" t="s">
        <v>2434</v>
      </c>
      <c r="D263" s="2144">
        <v>665000</v>
      </c>
      <c r="E263" s="2141" t="s">
        <v>216</v>
      </c>
      <c r="F263" s="2140">
        <v>44292</v>
      </c>
      <c r="G263" s="2140">
        <v>44309</v>
      </c>
      <c r="H263" s="2140">
        <v>44321</v>
      </c>
      <c r="I263" s="2145"/>
      <c r="J263" s="2145"/>
      <c r="K263" s="2145"/>
      <c r="L263" s="2146">
        <v>44322</v>
      </c>
      <c r="M263" s="2140">
        <v>44347</v>
      </c>
      <c r="N263" s="2503">
        <f t="shared" si="150"/>
        <v>20</v>
      </c>
      <c r="O263" s="2503">
        <f t="shared" si="151"/>
        <v>17</v>
      </c>
      <c r="P263" s="2503">
        <f t="shared" si="152"/>
        <v>12</v>
      </c>
      <c r="Q263" s="2503">
        <f t="shared" si="153"/>
        <v>26</v>
      </c>
      <c r="R263" s="2503">
        <f t="shared" si="154"/>
        <v>75</v>
      </c>
    </row>
    <row r="264" spans="1:18" s="390" customFormat="1" ht="15.75" thickBot="1">
      <c r="A264" s="2117">
        <v>44272</v>
      </c>
      <c r="B264" s="2118" t="s">
        <v>8452</v>
      </c>
      <c r="C264" s="2118" t="s">
        <v>2434</v>
      </c>
      <c r="D264" s="2121">
        <v>490000</v>
      </c>
      <c r="E264" s="2118" t="s">
        <v>216</v>
      </c>
      <c r="F264" s="2117">
        <v>44292</v>
      </c>
      <c r="G264" s="2117">
        <v>44309</v>
      </c>
      <c r="H264" s="2117">
        <v>44321</v>
      </c>
      <c r="I264" s="2122"/>
      <c r="J264" s="2122"/>
      <c r="K264" s="2122"/>
      <c r="L264" s="2123">
        <v>44322</v>
      </c>
      <c r="M264" s="2117">
        <v>44341</v>
      </c>
      <c r="N264" s="2503">
        <f t="shared" si="150"/>
        <v>20</v>
      </c>
      <c r="O264" s="2503">
        <f t="shared" si="151"/>
        <v>17</v>
      </c>
      <c r="P264" s="2503">
        <f t="shared" si="152"/>
        <v>12</v>
      </c>
      <c r="Q264" s="2503">
        <f t="shared" si="153"/>
        <v>20</v>
      </c>
      <c r="R264" s="2503">
        <f t="shared" si="154"/>
        <v>69</v>
      </c>
    </row>
    <row r="265" spans="1:18" ht="15.75" thickTop="1">
      <c r="A265" s="365">
        <v>44271</v>
      </c>
      <c r="B265" s="2497" t="s">
        <v>8454</v>
      </c>
      <c r="C265" s="2497" t="s">
        <v>1032</v>
      </c>
      <c r="D265" s="364">
        <v>1450000</v>
      </c>
      <c r="E265" s="2497" t="s">
        <v>112</v>
      </c>
      <c r="F265" s="365">
        <v>44279</v>
      </c>
      <c r="G265" s="365">
        <v>44293</v>
      </c>
      <c r="H265" s="365">
        <v>44334</v>
      </c>
      <c r="I265" s="1473"/>
      <c r="J265" s="1473"/>
      <c r="K265" s="1473"/>
      <c r="L265" s="681">
        <v>44334</v>
      </c>
      <c r="M265" s="365">
        <v>44351</v>
      </c>
      <c r="N265" s="2503">
        <f t="shared" si="150"/>
        <v>8</v>
      </c>
      <c r="O265" s="2503">
        <f t="shared" si="151"/>
        <v>14</v>
      </c>
      <c r="P265" s="2503">
        <f t="shared" si="152"/>
        <v>41</v>
      </c>
      <c r="Q265" s="2503">
        <f t="shared" si="153"/>
        <v>17</v>
      </c>
      <c r="R265" s="2503">
        <f t="shared" si="154"/>
        <v>80</v>
      </c>
    </row>
    <row r="266" spans="1:18">
      <c r="A266" s="537">
        <v>44272</v>
      </c>
      <c r="B266" s="491" t="s">
        <v>8458</v>
      </c>
      <c r="C266" s="491" t="s">
        <v>1032</v>
      </c>
      <c r="D266" s="536">
        <v>1150000</v>
      </c>
      <c r="E266" s="491" t="s">
        <v>112</v>
      </c>
      <c r="F266" s="537">
        <v>44285</v>
      </c>
      <c r="G266" s="537">
        <v>44295</v>
      </c>
      <c r="H266" s="537">
        <v>44302</v>
      </c>
      <c r="I266" s="1471"/>
      <c r="J266" s="1471"/>
      <c r="K266" s="1471"/>
      <c r="L266" s="573">
        <v>44302</v>
      </c>
      <c r="M266" s="537">
        <v>44333</v>
      </c>
      <c r="N266" s="2503">
        <f t="shared" si="150"/>
        <v>13</v>
      </c>
      <c r="O266" s="2503">
        <f t="shared" si="151"/>
        <v>10</v>
      </c>
      <c r="P266" s="2503">
        <f t="shared" si="152"/>
        <v>7</v>
      </c>
      <c r="Q266" s="2503">
        <f t="shared" si="153"/>
        <v>31</v>
      </c>
      <c r="R266" s="2503">
        <f t="shared" si="154"/>
        <v>61</v>
      </c>
    </row>
    <row r="267" spans="1:18" ht="15.75" thickBot="1">
      <c r="A267" s="416">
        <v>44273</v>
      </c>
      <c r="B267" s="411" t="s">
        <v>8461</v>
      </c>
      <c r="C267" s="411" t="s">
        <v>2434</v>
      </c>
      <c r="D267" s="417">
        <v>1186800</v>
      </c>
      <c r="E267" s="411" t="s">
        <v>112</v>
      </c>
      <c r="F267" s="416">
        <v>44277</v>
      </c>
      <c r="G267" s="416">
        <v>44286</v>
      </c>
      <c r="H267" s="416">
        <v>44294</v>
      </c>
      <c r="I267" s="1480"/>
      <c r="J267" s="1480"/>
      <c r="K267" s="1480"/>
      <c r="L267" s="513">
        <v>44294</v>
      </c>
      <c r="M267" s="416">
        <v>44314</v>
      </c>
      <c r="N267" s="2503">
        <f t="shared" si="150"/>
        <v>4</v>
      </c>
      <c r="O267" s="2503">
        <f t="shared" si="151"/>
        <v>9</v>
      </c>
      <c r="P267" s="2503">
        <f t="shared" si="152"/>
        <v>8</v>
      </c>
      <c r="Q267" s="2503">
        <f t="shared" si="153"/>
        <v>20</v>
      </c>
      <c r="R267" s="2503">
        <f t="shared" si="154"/>
        <v>41</v>
      </c>
    </row>
    <row r="268" spans="1:18" ht="15.75" thickTop="1">
      <c r="A268" s="474">
        <v>44273</v>
      </c>
      <c r="B268" s="453" t="s">
        <v>8466</v>
      </c>
      <c r="C268" s="453" t="s">
        <v>69</v>
      </c>
      <c r="D268" s="457">
        <v>5912121</v>
      </c>
      <c r="E268" s="453" t="s">
        <v>251</v>
      </c>
      <c r="F268" s="474">
        <v>44278</v>
      </c>
      <c r="G268" s="474">
        <v>44312</v>
      </c>
      <c r="H268" s="474">
        <v>44330</v>
      </c>
      <c r="I268" s="1474"/>
      <c r="J268" s="1474"/>
      <c r="K268" s="1474"/>
      <c r="L268" s="570">
        <v>44330</v>
      </c>
      <c r="M268" s="474">
        <v>44363</v>
      </c>
      <c r="N268" s="2503">
        <f t="shared" si="150"/>
        <v>5</v>
      </c>
      <c r="O268" s="2503">
        <f t="shared" si="151"/>
        <v>34</v>
      </c>
      <c r="P268" s="2503">
        <f t="shared" si="152"/>
        <v>18</v>
      </c>
      <c r="Q268" s="2503">
        <f t="shared" si="153"/>
        <v>33</v>
      </c>
      <c r="R268" s="2503">
        <f t="shared" si="154"/>
        <v>90</v>
      </c>
    </row>
    <row r="269" spans="1:18">
      <c r="A269" s="2140">
        <v>44273</v>
      </c>
      <c r="B269" s="2141" t="s">
        <v>8466</v>
      </c>
      <c r="C269" s="2141" t="s">
        <v>69</v>
      </c>
      <c r="D269" s="2144">
        <v>14394333</v>
      </c>
      <c r="E269" s="2141" t="s">
        <v>251</v>
      </c>
      <c r="F269" s="2140">
        <v>44278</v>
      </c>
      <c r="G269" s="2140">
        <v>44312</v>
      </c>
      <c r="H269" s="2140">
        <v>44330</v>
      </c>
      <c r="I269" s="2145"/>
      <c r="J269" s="2145"/>
      <c r="K269" s="2145"/>
      <c r="L269" s="2146">
        <v>44330</v>
      </c>
      <c r="M269" s="2140">
        <v>44363</v>
      </c>
      <c r="N269" s="2503">
        <f t="shared" si="150"/>
        <v>5</v>
      </c>
      <c r="O269" s="2503">
        <f t="shared" si="151"/>
        <v>34</v>
      </c>
      <c r="P269" s="2503">
        <f t="shared" si="152"/>
        <v>18</v>
      </c>
      <c r="Q269" s="2503">
        <f t="shared" si="153"/>
        <v>33</v>
      </c>
      <c r="R269" s="2503">
        <f t="shared" si="154"/>
        <v>90</v>
      </c>
    </row>
    <row r="270" spans="1:18" ht="15.75" thickBot="1">
      <c r="A270" s="2117">
        <v>44273</v>
      </c>
      <c r="B270" s="2118" t="s">
        <v>8466</v>
      </c>
      <c r="C270" s="2118" t="s">
        <v>69</v>
      </c>
      <c r="D270" s="2121">
        <v>12807940</v>
      </c>
      <c r="E270" s="2118" t="s">
        <v>251</v>
      </c>
      <c r="F270" s="2117">
        <v>44278</v>
      </c>
      <c r="G270" s="2117">
        <v>44312</v>
      </c>
      <c r="H270" s="2117">
        <v>44330</v>
      </c>
      <c r="I270" s="2122"/>
      <c r="J270" s="2122"/>
      <c r="K270" s="2122"/>
      <c r="L270" s="2123">
        <v>44330</v>
      </c>
      <c r="M270" s="2117">
        <v>44354</v>
      </c>
      <c r="N270" s="2503">
        <f t="shared" si="150"/>
        <v>5</v>
      </c>
      <c r="O270" s="2503">
        <f t="shared" si="151"/>
        <v>34</v>
      </c>
      <c r="P270" s="2503">
        <f t="shared" si="152"/>
        <v>18</v>
      </c>
      <c r="Q270" s="2503">
        <f t="shared" si="153"/>
        <v>24</v>
      </c>
      <c r="R270" s="2503">
        <f t="shared" si="154"/>
        <v>81</v>
      </c>
    </row>
    <row r="271" spans="1:18" ht="16.5" thickTop="1" thickBot="1">
      <c r="A271" s="498">
        <v>44277</v>
      </c>
      <c r="B271" s="232" t="s">
        <v>8471</v>
      </c>
      <c r="C271" s="232" t="s">
        <v>69</v>
      </c>
      <c r="D271" s="499">
        <v>31038378</v>
      </c>
      <c r="E271" s="232" t="s">
        <v>251</v>
      </c>
      <c r="F271" s="498">
        <v>44279</v>
      </c>
      <c r="G271" s="498">
        <v>44342</v>
      </c>
      <c r="H271" s="498">
        <v>44361</v>
      </c>
      <c r="I271" s="1545"/>
      <c r="J271" s="1545"/>
      <c r="K271" s="1545"/>
      <c r="L271" s="682">
        <v>44361</v>
      </c>
      <c r="M271" s="498">
        <v>44385</v>
      </c>
      <c r="N271" s="2503">
        <f t="shared" si="150"/>
        <v>2</v>
      </c>
      <c r="O271" s="2503">
        <f t="shared" si="151"/>
        <v>63</v>
      </c>
      <c r="P271" s="2503">
        <f t="shared" si="152"/>
        <v>19</v>
      </c>
      <c r="Q271" s="2503">
        <f t="shared" si="153"/>
        <v>24</v>
      </c>
      <c r="R271" s="2503">
        <f t="shared" si="154"/>
        <v>108</v>
      </c>
    </row>
    <row r="272" spans="1:18" ht="15.75" thickTop="1">
      <c r="A272" s="474">
        <v>44277</v>
      </c>
      <c r="B272" s="453" t="s">
        <v>8473</v>
      </c>
      <c r="C272" s="453" t="s">
        <v>69</v>
      </c>
      <c r="D272" s="457">
        <v>11685000</v>
      </c>
      <c r="E272" s="453" t="s">
        <v>251</v>
      </c>
      <c r="F272" s="474">
        <v>44298</v>
      </c>
      <c r="G272" s="474">
        <v>44330</v>
      </c>
      <c r="H272" s="474">
        <v>44369</v>
      </c>
      <c r="I272" s="1474"/>
      <c r="J272" s="1474"/>
      <c r="K272" s="1474"/>
      <c r="L272" s="570">
        <v>44369</v>
      </c>
      <c r="M272" s="474">
        <v>44404</v>
      </c>
      <c r="N272" s="2503">
        <f t="shared" si="150"/>
        <v>21</v>
      </c>
      <c r="O272" s="2503">
        <f t="shared" si="151"/>
        <v>32</v>
      </c>
      <c r="P272" s="2503">
        <f t="shared" si="152"/>
        <v>39</v>
      </c>
      <c r="Q272" s="2503">
        <f t="shared" si="153"/>
        <v>35</v>
      </c>
      <c r="R272" s="2503">
        <f t="shared" si="154"/>
        <v>127</v>
      </c>
    </row>
    <row r="273" spans="1:18">
      <c r="A273" s="2140">
        <v>44277</v>
      </c>
      <c r="B273" s="2141" t="s">
        <v>8473</v>
      </c>
      <c r="C273" s="2141" t="s">
        <v>69</v>
      </c>
      <c r="D273" s="2144">
        <v>3349210</v>
      </c>
      <c r="E273" s="2141" t="s">
        <v>251</v>
      </c>
      <c r="F273" s="2140">
        <v>44298</v>
      </c>
      <c r="G273" s="2140">
        <v>44330</v>
      </c>
      <c r="H273" s="2140">
        <v>44369</v>
      </c>
      <c r="I273" s="2145"/>
      <c r="J273" s="2145"/>
      <c r="K273" s="2145"/>
      <c r="L273" s="2146">
        <v>44369</v>
      </c>
      <c r="M273" s="2140">
        <v>44417</v>
      </c>
      <c r="N273" s="2503">
        <f t="shared" si="150"/>
        <v>21</v>
      </c>
      <c r="O273" s="2503">
        <f t="shared" si="151"/>
        <v>32</v>
      </c>
      <c r="P273" s="2503">
        <f t="shared" si="152"/>
        <v>39</v>
      </c>
      <c r="Q273" s="2503">
        <f t="shared" si="153"/>
        <v>48</v>
      </c>
      <c r="R273" s="2503">
        <f t="shared" si="154"/>
        <v>140</v>
      </c>
    </row>
    <row r="274" spans="1:18">
      <c r="A274" s="2140">
        <v>44277</v>
      </c>
      <c r="B274" s="2141" t="s">
        <v>8473</v>
      </c>
      <c r="C274" s="2141" t="s">
        <v>69</v>
      </c>
      <c r="D274" s="2144">
        <v>545408</v>
      </c>
      <c r="E274" s="2141" t="s">
        <v>251</v>
      </c>
      <c r="F274" s="2140">
        <v>44298</v>
      </c>
      <c r="G274" s="2140">
        <v>44330</v>
      </c>
      <c r="H274" s="2140">
        <v>44369</v>
      </c>
      <c r="I274" s="2145"/>
      <c r="J274" s="2145"/>
      <c r="K274" s="2145"/>
      <c r="L274" s="2146">
        <v>44369</v>
      </c>
      <c r="M274" s="2140">
        <v>44392</v>
      </c>
      <c r="N274" s="2503">
        <f t="shared" si="150"/>
        <v>21</v>
      </c>
      <c r="O274" s="2503">
        <f t="shared" si="151"/>
        <v>32</v>
      </c>
      <c r="P274" s="2503">
        <f t="shared" si="152"/>
        <v>39</v>
      </c>
      <c r="Q274" s="2503">
        <f t="shared" si="153"/>
        <v>23</v>
      </c>
      <c r="R274" s="2503">
        <f t="shared" si="154"/>
        <v>115</v>
      </c>
    </row>
    <row r="275" spans="1:18" ht="15.75" thickBot="1">
      <c r="A275" s="2117">
        <v>44277</v>
      </c>
      <c r="B275" s="2118" t="s">
        <v>8473</v>
      </c>
      <c r="C275" s="2118" t="s">
        <v>69</v>
      </c>
      <c r="D275" s="2121">
        <v>659364</v>
      </c>
      <c r="E275" s="2118" t="s">
        <v>251</v>
      </c>
      <c r="F275" s="2117">
        <v>44298</v>
      </c>
      <c r="G275" s="2117">
        <v>44330</v>
      </c>
      <c r="H275" s="2117">
        <v>44369</v>
      </c>
      <c r="I275" s="2122"/>
      <c r="J275" s="2122"/>
      <c r="K275" s="2122"/>
      <c r="L275" s="2123">
        <v>44369</v>
      </c>
      <c r="M275" s="2117">
        <v>44392</v>
      </c>
      <c r="N275" s="2503">
        <f t="shared" si="150"/>
        <v>21</v>
      </c>
      <c r="O275" s="2503">
        <f t="shared" si="151"/>
        <v>32</v>
      </c>
      <c r="P275" s="2503">
        <f t="shared" si="152"/>
        <v>39</v>
      </c>
      <c r="Q275" s="2503">
        <f t="shared" si="153"/>
        <v>23</v>
      </c>
      <c r="R275" s="2503">
        <f t="shared" si="154"/>
        <v>115</v>
      </c>
    </row>
    <row r="276" spans="1:18" ht="15.75" hidden="1" thickTop="1">
      <c r="A276" s="470">
        <v>44277</v>
      </c>
      <c r="B276" s="466" t="s">
        <v>8481</v>
      </c>
      <c r="C276" s="466" t="s">
        <v>2434</v>
      </c>
      <c r="D276" s="472">
        <v>26658887.460000001</v>
      </c>
      <c r="E276" s="466" t="s">
        <v>251</v>
      </c>
      <c r="F276" s="470">
        <v>44295</v>
      </c>
      <c r="G276" s="470">
        <v>44358</v>
      </c>
      <c r="H276" s="466"/>
      <c r="I276" s="1516"/>
      <c r="J276" s="1516"/>
      <c r="K276" s="1516"/>
      <c r="L276" s="472"/>
      <c r="M276" s="466"/>
    </row>
    <row r="277" spans="1:18" ht="15.75" thickTop="1">
      <c r="A277" s="537">
        <v>44278</v>
      </c>
      <c r="B277" s="491" t="s">
        <v>8489</v>
      </c>
      <c r="C277" s="491" t="s">
        <v>58</v>
      </c>
      <c r="D277" s="536">
        <v>634653</v>
      </c>
      <c r="E277" s="491" t="s">
        <v>112</v>
      </c>
      <c r="F277" s="537">
        <v>44280</v>
      </c>
      <c r="G277" s="537">
        <v>44294</v>
      </c>
      <c r="H277" s="537">
        <v>44306</v>
      </c>
      <c r="I277" s="1471"/>
      <c r="J277" s="1471"/>
      <c r="K277" s="1471"/>
      <c r="L277" s="573">
        <v>44307</v>
      </c>
      <c r="M277" s="537">
        <v>44377</v>
      </c>
      <c r="N277" s="2503">
        <f t="shared" ref="N277:N282" si="155">F277-A277</f>
        <v>2</v>
      </c>
      <c r="O277" s="2503">
        <f t="shared" ref="O277:O282" si="156">G277-F277</f>
        <v>14</v>
      </c>
      <c r="P277" s="2503">
        <f t="shared" ref="P277:P282" si="157">H277-G277</f>
        <v>12</v>
      </c>
      <c r="Q277" s="2503">
        <f t="shared" ref="Q277:Q282" si="158">M277-H277</f>
        <v>71</v>
      </c>
      <c r="R277" s="2503">
        <f t="shared" ref="R277:R282" si="159">M277-A277</f>
        <v>99</v>
      </c>
    </row>
    <row r="278" spans="1:18">
      <c r="A278" s="537">
        <v>44278</v>
      </c>
      <c r="B278" s="491" t="s">
        <v>8494</v>
      </c>
      <c r="C278" s="491" t="s">
        <v>58</v>
      </c>
      <c r="D278" s="536">
        <v>1294000</v>
      </c>
      <c r="E278" s="491" t="s">
        <v>112</v>
      </c>
      <c r="F278" s="537">
        <v>44313</v>
      </c>
      <c r="G278" s="537">
        <v>44328</v>
      </c>
      <c r="H278" s="537">
        <v>44391</v>
      </c>
      <c r="I278" s="1471"/>
      <c r="J278" s="1471"/>
      <c r="K278" s="1471"/>
      <c r="L278" s="573">
        <v>44391</v>
      </c>
      <c r="M278" s="537">
        <v>44400</v>
      </c>
      <c r="N278" s="2503">
        <f t="shared" si="155"/>
        <v>35</v>
      </c>
      <c r="O278" s="2503">
        <f t="shared" si="156"/>
        <v>15</v>
      </c>
      <c r="P278" s="2503">
        <f t="shared" si="157"/>
        <v>63</v>
      </c>
      <c r="Q278" s="2503">
        <f t="shared" si="158"/>
        <v>9</v>
      </c>
      <c r="R278" s="2503">
        <f t="shared" si="159"/>
        <v>122</v>
      </c>
    </row>
    <row r="279" spans="1:18">
      <c r="A279" s="537">
        <v>44279</v>
      </c>
      <c r="B279" s="491" t="s">
        <v>8497</v>
      </c>
      <c r="C279" s="491" t="s">
        <v>52</v>
      </c>
      <c r="D279" s="536">
        <v>15000000</v>
      </c>
      <c r="E279" s="491" t="s">
        <v>216</v>
      </c>
      <c r="F279" s="537">
        <v>44284</v>
      </c>
      <c r="G279" s="537">
        <v>44306</v>
      </c>
      <c r="H279" s="537">
        <v>44316</v>
      </c>
      <c r="I279" s="1471"/>
      <c r="J279" s="1471"/>
      <c r="K279" s="1471"/>
      <c r="L279" s="573">
        <v>44319</v>
      </c>
      <c r="M279" s="537">
        <v>44358</v>
      </c>
      <c r="N279" s="2503">
        <f t="shared" si="155"/>
        <v>5</v>
      </c>
      <c r="O279" s="2503">
        <f t="shared" si="156"/>
        <v>22</v>
      </c>
      <c r="P279" s="2503">
        <f t="shared" si="157"/>
        <v>10</v>
      </c>
      <c r="Q279" s="2503">
        <f t="shared" si="158"/>
        <v>42</v>
      </c>
      <c r="R279" s="2503">
        <f t="shared" si="159"/>
        <v>79</v>
      </c>
    </row>
    <row r="280" spans="1:18">
      <c r="A280" s="537">
        <v>44280</v>
      </c>
      <c r="B280" s="491" t="s">
        <v>8500</v>
      </c>
      <c r="C280" s="491" t="s">
        <v>52</v>
      </c>
      <c r="D280" s="536">
        <v>33000000</v>
      </c>
      <c r="E280" s="491" t="s">
        <v>216</v>
      </c>
      <c r="F280" s="537">
        <v>44287</v>
      </c>
      <c r="G280" s="537">
        <v>44309</v>
      </c>
      <c r="H280" s="537">
        <v>44313</v>
      </c>
      <c r="I280" s="1471"/>
      <c r="J280" s="1471"/>
      <c r="K280" s="1471"/>
      <c r="L280" s="573">
        <v>44313</v>
      </c>
      <c r="M280" s="537">
        <v>44348</v>
      </c>
      <c r="N280" s="2503">
        <f t="shared" si="155"/>
        <v>7</v>
      </c>
      <c r="O280" s="2503">
        <f t="shared" si="156"/>
        <v>22</v>
      </c>
      <c r="P280" s="2503">
        <f t="shared" si="157"/>
        <v>4</v>
      </c>
      <c r="Q280" s="2503">
        <f t="shared" si="158"/>
        <v>35</v>
      </c>
      <c r="R280" s="2503">
        <f t="shared" si="159"/>
        <v>68</v>
      </c>
    </row>
    <row r="281" spans="1:18">
      <c r="A281" s="537">
        <v>44279</v>
      </c>
      <c r="B281" s="491" t="s">
        <v>8505</v>
      </c>
      <c r="C281" s="491" t="s">
        <v>2434</v>
      </c>
      <c r="D281" s="536">
        <v>1720000</v>
      </c>
      <c r="E281" s="491" t="s">
        <v>112</v>
      </c>
      <c r="F281" s="537">
        <v>44284</v>
      </c>
      <c r="G281" s="537">
        <v>44294</v>
      </c>
      <c r="H281" s="537">
        <v>44302</v>
      </c>
      <c r="I281" s="1471"/>
      <c r="J281" s="1471"/>
      <c r="K281" s="1471"/>
      <c r="L281" s="573">
        <v>44302</v>
      </c>
      <c r="M281" s="537">
        <v>44321</v>
      </c>
      <c r="N281" s="2503">
        <f t="shared" si="155"/>
        <v>5</v>
      </c>
      <c r="O281" s="2503">
        <f t="shared" si="156"/>
        <v>10</v>
      </c>
      <c r="P281" s="2503">
        <f t="shared" si="157"/>
        <v>8</v>
      </c>
      <c r="Q281" s="2503">
        <f t="shared" si="158"/>
        <v>19</v>
      </c>
      <c r="R281" s="2503">
        <f t="shared" si="159"/>
        <v>42</v>
      </c>
    </row>
    <row r="282" spans="1:18">
      <c r="A282" s="537">
        <v>44280</v>
      </c>
      <c r="B282" s="491" t="s">
        <v>8507</v>
      </c>
      <c r="C282" s="491" t="s">
        <v>2434</v>
      </c>
      <c r="D282" s="536">
        <v>1026400</v>
      </c>
      <c r="E282" s="491" t="s">
        <v>112</v>
      </c>
      <c r="F282" s="537">
        <v>44284</v>
      </c>
      <c r="G282" s="537">
        <v>44294</v>
      </c>
      <c r="H282" s="537">
        <v>44307</v>
      </c>
      <c r="I282" s="1471"/>
      <c r="J282" s="1471"/>
      <c r="K282" s="1471"/>
      <c r="L282" s="573">
        <v>44308</v>
      </c>
      <c r="M282" s="537">
        <v>44329</v>
      </c>
      <c r="N282" s="2503">
        <f t="shared" si="155"/>
        <v>4</v>
      </c>
      <c r="O282" s="2503">
        <f t="shared" si="156"/>
        <v>10</v>
      </c>
      <c r="P282" s="2503">
        <f t="shared" si="157"/>
        <v>13</v>
      </c>
      <c r="Q282" s="2503">
        <f t="shared" si="158"/>
        <v>22</v>
      </c>
      <c r="R282" s="2503">
        <f t="shared" si="159"/>
        <v>49</v>
      </c>
    </row>
    <row r="283" spans="1:18" hidden="1">
      <c r="A283" s="491" t="s">
        <v>3585</v>
      </c>
      <c r="B283" s="491" t="s">
        <v>8511</v>
      </c>
      <c r="C283" s="491" t="s">
        <v>4997</v>
      </c>
      <c r="D283" s="536">
        <v>300000</v>
      </c>
      <c r="E283" s="491" t="s">
        <v>112</v>
      </c>
      <c r="F283" s="537">
        <v>44286</v>
      </c>
      <c r="G283" s="537">
        <v>44299</v>
      </c>
      <c r="H283" s="537">
        <v>44307</v>
      </c>
      <c r="I283" s="1471"/>
      <c r="J283" s="1471"/>
      <c r="K283" s="1471"/>
      <c r="L283" s="573">
        <v>44307</v>
      </c>
      <c r="M283" s="537">
        <v>44320</v>
      </c>
    </row>
    <row r="284" spans="1:18">
      <c r="A284" s="537">
        <v>44284</v>
      </c>
      <c r="B284" s="491" t="s">
        <v>8516</v>
      </c>
      <c r="C284" s="491" t="s">
        <v>2434</v>
      </c>
      <c r="D284" s="536">
        <v>26078250</v>
      </c>
      <c r="E284" s="491" t="s">
        <v>251</v>
      </c>
      <c r="F284" s="537">
        <v>44292</v>
      </c>
      <c r="G284" s="537">
        <v>44326</v>
      </c>
      <c r="H284" s="537">
        <v>44334</v>
      </c>
      <c r="I284" s="1471"/>
      <c r="J284" s="1471"/>
      <c r="K284" s="1471"/>
      <c r="L284" s="573">
        <v>44334</v>
      </c>
      <c r="M284" s="537">
        <v>44357</v>
      </c>
      <c r="N284" s="2503">
        <f t="shared" ref="N284:N289" si="160">F284-A284</f>
        <v>8</v>
      </c>
      <c r="O284" s="2503">
        <f t="shared" ref="O284:O289" si="161">G284-F284</f>
        <v>34</v>
      </c>
      <c r="P284" s="2503">
        <f t="shared" ref="P284:P289" si="162">H284-G284</f>
        <v>8</v>
      </c>
      <c r="Q284" s="2503">
        <f t="shared" ref="Q284:Q289" si="163">M284-H284</f>
        <v>23</v>
      </c>
      <c r="R284" s="2503">
        <f t="shared" ref="R284:R289" si="164">M284-A284</f>
        <v>73</v>
      </c>
    </row>
    <row r="285" spans="1:18">
      <c r="A285" s="537">
        <v>44286</v>
      </c>
      <c r="B285" s="491" t="s">
        <v>8520</v>
      </c>
      <c r="C285" s="491" t="s">
        <v>2712</v>
      </c>
      <c r="D285" s="536">
        <v>400000</v>
      </c>
      <c r="E285" s="491" t="s">
        <v>112</v>
      </c>
      <c r="F285" s="537">
        <v>44293</v>
      </c>
      <c r="G285" s="537">
        <v>44302</v>
      </c>
      <c r="H285" s="537">
        <v>44306</v>
      </c>
      <c r="I285" s="1471"/>
      <c r="J285" s="1471"/>
      <c r="K285" s="1471"/>
      <c r="L285" s="573">
        <v>44306</v>
      </c>
      <c r="M285" s="537">
        <v>44341</v>
      </c>
      <c r="N285" s="2503">
        <f t="shared" si="160"/>
        <v>7</v>
      </c>
      <c r="O285" s="2503">
        <f t="shared" si="161"/>
        <v>9</v>
      </c>
      <c r="P285" s="2503">
        <f t="shared" si="162"/>
        <v>4</v>
      </c>
      <c r="Q285" s="2503">
        <f t="shared" si="163"/>
        <v>35</v>
      </c>
      <c r="R285" s="2503">
        <f t="shared" si="164"/>
        <v>55</v>
      </c>
    </row>
    <row r="286" spans="1:18">
      <c r="A286" s="537">
        <v>44286</v>
      </c>
      <c r="B286" s="491" t="s">
        <v>8527</v>
      </c>
      <c r="C286" s="491" t="s">
        <v>69</v>
      </c>
      <c r="D286" s="536">
        <v>4144896</v>
      </c>
      <c r="E286" s="491" t="s">
        <v>251</v>
      </c>
      <c r="F286" s="537">
        <v>44314</v>
      </c>
      <c r="G286" s="537">
        <v>44347</v>
      </c>
      <c r="H286" s="537">
        <v>44425</v>
      </c>
      <c r="I286" s="1471"/>
      <c r="J286" s="1471"/>
      <c r="K286" s="1471"/>
      <c r="L286" s="573">
        <v>44425</v>
      </c>
      <c r="M286" s="537">
        <v>44463</v>
      </c>
      <c r="N286" s="2503">
        <f t="shared" si="160"/>
        <v>28</v>
      </c>
      <c r="O286" s="2503">
        <f t="shared" si="161"/>
        <v>33</v>
      </c>
      <c r="P286" s="2503">
        <f t="shared" si="162"/>
        <v>78</v>
      </c>
      <c r="Q286" s="2503">
        <f t="shared" si="163"/>
        <v>38</v>
      </c>
      <c r="R286" s="2503">
        <f t="shared" si="164"/>
        <v>177</v>
      </c>
    </row>
    <row r="287" spans="1:18">
      <c r="A287" s="537">
        <v>44286</v>
      </c>
      <c r="B287" s="491" t="s">
        <v>8527</v>
      </c>
      <c r="C287" s="491" t="s">
        <v>69</v>
      </c>
      <c r="D287" s="536">
        <v>63362375</v>
      </c>
      <c r="E287" s="491" t="s">
        <v>251</v>
      </c>
      <c r="F287" s="537">
        <v>44314</v>
      </c>
      <c r="G287" s="537">
        <v>44347</v>
      </c>
      <c r="H287" s="537">
        <v>44425</v>
      </c>
      <c r="I287" s="1471"/>
      <c r="J287" s="1471"/>
      <c r="K287" s="1471"/>
      <c r="L287" s="573">
        <v>44425</v>
      </c>
      <c r="M287" s="537">
        <v>44455</v>
      </c>
      <c r="N287" s="2503">
        <f t="shared" si="160"/>
        <v>28</v>
      </c>
      <c r="O287" s="2503">
        <f t="shared" si="161"/>
        <v>33</v>
      </c>
      <c r="P287" s="2503">
        <f t="shared" si="162"/>
        <v>78</v>
      </c>
      <c r="Q287" s="2503">
        <f t="shared" si="163"/>
        <v>30</v>
      </c>
      <c r="R287" s="2503">
        <f t="shared" si="164"/>
        <v>169</v>
      </c>
    </row>
    <row r="288" spans="1:18">
      <c r="A288" s="537">
        <v>44287</v>
      </c>
      <c r="B288" s="491" t="s">
        <v>8531</v>
      </c>
      <c r="C288" s="491" t="s">
        <v>14</v>
      </c>
      <c r="D288" s="536">
        <v>575200</v>
      </c>
      <c r="E288" s="491" t="s">
        <v>112</v>
      </c>
      <c r="F288" s="537">
        <v>44295</v>
      </c>
      <c r="G288" s="537">
        <v>44320</v>
      </c>
      <c r="H288" s="537">
        <v>44337</v>
      </c>
      <c r="I288" s="1471"/>
      <c r="J288" s="1471"/>
      <c r="K288" s="1471"/>
      <c r="L288" s="573">
        <v>44337</v>
      </c>
      <c r="M288" s="537">
        <v>44372</v>
      </c>
      <c r="N288" s="2503">
        <f t="shared" si="160"/>
        <v>8</v>
      </c>
      <c r="O288" s="2503">
        <f t="shared" si="161"/>
        <v>25</v>
      </c>
      <c r="P288" s="2503">
        <f t="shared" si="162"/>
        <v>17</v>
      </c>
      <c r="Q288" s="2503">
        <f t="shared" si="163"/>
        <v>35</v>
      </c>
      <c r="R288" s="2503">
        <f t="shared" si="164"/>
        <v>85</v>
      </c>
    </row>
    <row r="289" spans="1:18">
      <c r="A289" s="537">
        <v>44287</v>
      </c>
      <c r="B289" s="491" t="s">
        <v>8533</v>
      </c>
      <c r="C289" s="491" t="s">
        <v>2434</v>
      </c>
      <c r="D289" s="536">
        <v>3564039</v>
      </c>
      <c r="E289" s="491" t="s">
        <v>216</v>
      </c>
      <c r="F289" s="537">
        <v>44295</v>
      </c>
      <c r="G289" s="537">
        <v>44314</v>
      </c>
      <c r="H289" s="537">
        <v>44336</v>
      </c>
      <c r="I289" s="1471"/>
      <c r="J289" s="1471"/>
      <c r="K289" s="1471"/>
      <c r="L289" s="573">
        <v>44336</v>
      </c>
      <c r="M289" s="537">
        <v>44361</v>
      </c>
      <c r="N289" s="2503">
        <f t="shared" si="160"/>
        <v>8</v>
      </c>
      <c r="O289" s="2503">
        <f t="shared" si="161"/>
        <v>19</v>
      </c>
      <c r="P289" s="2503">
        <f t="shared" si="162"/>
        <v>22</v>
      </c>
      <c r="Q289" s="2503">
        <f t="shared" si="163"/>
        <v>25</v>
      </c>
      <c r="R289" s="2503">
        <f t="shared" si="164"/>
        <v>74</v>
      </c>
    </row>
    <row r="290" spans="1:18" hidden="1">
      <c r="A290" s="544">
        <v>44287</v>
      </c>
      <c r="B290" s="540" t="s">
        <v>8535</v>
      </c>
      <c r="C290" s="540" t="s">
        <v>2434</v>
      </c>
      <c r="D290" s="545">
        <v>81184000</v>
      </c>
      <c r="E290" s="540" t="s">
        <v>251</v>
      </c>
      <c r="F290" s="544">
        <v>44313</v>
      </c>
      <c r="G290" s="544">
        <v>44389</v>
      </c>
      <c r="H290" s="544">
        <v>44545</v>
      </c>
      <c r="I290" s="1484"/>
      <c r="J290" s="1484"/>
      <c r="K290" s="1484"/>
      <c r="L290" s="1385">
        <v>44546</v>
      </c>
      <c r="M290" s="540"/>
    </row>
    <row r="291" spans="1:18" ht="15.75" thickBot="1">
      <c r="A291" s="537">
        <v>44292</v>
      </c>
      <c r="B291" s="491" t="s">
        <v>8537</v>
      </c>
      <c r="C291" s="491" t="s">
        <v>2434</v>
      </c>
      <c r="D291" s="536">
        <v>1250550</v>
      </c>
      <c r="E291" s="491" t="s">
        <v>112</v>
      </c>
      <c r="F291" s="537">
        <v>44299</v>
      </c>
      <c r="G291" s="537">
        <v>44308</v>
      </c>
      <c r="H291" s="537">
        <v>44309</v>
      </c>
      <c r="I291" s="1471"/>
      <c r="J291" s="1471"/>
      <c r="K291" s="1471"/>
      <c r="L291" s="573">
        <v>44309</v>
      </c>
      <c r="M291" s="537">
        <v>44330</v>
      </c>
      <c r="N291" s="2503">
        <f>F291-A291</f>
        <v>7</v>
      </c>
      <c r="O291" s="2503">
        <f>G291-F291</f>
        <v>9</v>
      </c>
      <c r="P291" s="2503">
        <f>H291-G291</f>
        <v>1</v>
      </c>
      <c r="Q291" s="2503">
        <f>M291-H291</f>
        <v>21</v>
      </c>
      <c r="R291" s="2503">
        <f>M291-A291</f>
        <v>38</v>
      </c>
    </row>
    <row r="292" spans="1:18" ht="15.75" hidden="1" thickBot="1">
      <c r="A292" s="411" t="s">
        <v>3585</v>
      </c>
      <c r="B292" s="411" t="s">
        <v>8544</v>
      </c>
      <c r="C292" s="411" t="s">
        <v>2434</v>
      </c>
      <c r="D292" s="417">
        <v>536400</v>
      </c>
      <c r="E292" s="411" t="s">
        <v>112</v>
      </c>
      <c r="F292" s="416">
        <v>44295</v>
      </c>
      <c r="G292" s="416">
        <v>44306</v>
      </c>
      <c r="H292" s="416">
        <v>44308</v>
      </c>
      <c r="I292" s="1480"/>
      <c r="J292" s="1480"/>
      <c r="K292" s="1480"/>
      <c r="L292" s="513">
        <v>44308</v>
      </c>
      <c r="M292" s="416">
        <v>44326</v>
      </c>
    </row>
    <row r="293" spans="1:18" ht="15.75" thickTop="1">
      <c r="A293" s="474">
        <v>44293</v>
      </c>
      <c r="B293" s="453" t="s">
        <v>8548</v>
      </c>
      <c r="C293" s="453" t="s">
        <v>2434</v>
      </c>
      <c r="D293" s="457">
        <v>2303400</v>
      </c>
      <c r="E293" s="453" t="s">
        <v>251</v>
      </c>
      <c r="F293" s="474">
        <v>44309</v>
      </c>
      <c r="G293" s="474">
        <v>44342</v>
      </c>
      <c r="H293" s="474">
        <v>44377</v>
      </c>
      <c r="I293" s="1483"/>
      <c r="J293" s="1483"/>
      <c r="K293" s="1483"/>
      <c r="L293" s="570">
        <v>44378</v>
      </c>
      <c r="M293" s="474">
        <v>44420</v>
      </c>
      <c r="N293" s="2503">
        <f t="shared" ref="N293:N294" si="165">F293-A293</f>
        <v>16</v>
      </c>
      <c r="O293" s="2503">
        <f t="shared" ref="O293:O294" si="166">G293-F293</f>
        <v>33</v>
      </c>
      <c r="P293" s="2503">
        <f t="shared" ref="P293:P294" si="167">H293-G293</f>
        <v>35</v>
      </c>
      <c r="Q293" s="2503">
        <f t="shared" ref="Q293:Q294" si="168">M293-H293</f>
        <v>43</v>
      </c>
      <c r="R293" s="2503">
        <f t="shared" ref="R293:R294" si="169">M293-A293</f>
        <v>127</v>
      </c>
    </row>
    <row r="294" spans="1:18">
      <c r="A294" s="2140">
        <v>44293</v>
      </c>
      <c r="B294" s="2141" t="s">
        <v>8548</v>
      </c>
      <c r="C294" s="2141" t="s">
        <v>2434</v>
      </c>
      <c r="D294" s="2144">
        <v>525000</v>
      </c>
      <c r="E294" s="2141" t="s">
        <v>251</v>
      </c>
      <c r="F294" s="2140">
        <v>44309</v>
      </c>
      <c r="G294" s="2140">
        <v>44342</v>
      </c>
      <c r="H294" s="2140">
        <v>44377</v>
      </c>
      <c r="I294" s="2094"/>
      <c r="J294" s="2094"/>
      <c r="K294" s="2094"/>
      <c r="L294" s="2146">
        <v>44378</v>
      </c>
      <c r="M294" s="2140">
        <v>44420</v>
      </c>
      <c r="N294" s="2503">
        <f t="shared" si="165"/>
        <v>16</v>
      </c>
      <c r="O294" s="2503">
        <f t="shared" si="166"/>
        <v>33</v>
      </c>
      <c r="P294" s="2503">
        <f t="shared" si="167"/>
        <v>35</v>
      </c>
      <c r="Q294" s="2503">
        <f t="shared" si="168"/>
        <v>43</v>
      </c>
      <c r="R294" s="2503">
        <f t="shared" si="169"/>
        <v>127</v>
      </c>
    </row>
    <row r="295" spans="1:18" hidden="1">
      <c r="A295" s="2124">
        <v>44293</v>
      </c>
      <c r="B295" s="2125" t="s">
        <v>8548</v>
      </c>
      <c r="C295" s="2125" t="s">
        <v>2434</v>
      </c>
      <c r="D295" s="2128">
        <v>230000</v>
      </c>
      <c r="E295" s="2125" t="s">
        <v>251</v>
      </c>
      <c r="F295" s="2124">
        <v>44309</v>
      </c>
      <c r="G295" s="2124">
        <v>44342</v>
      </c>
      <c r="H295" s="2125"/>
      <c r="I295" s="2129"/>
      <c r="J295" s="2129"/>
      <c r="K295" s="2129"/>
      <c r="L295" s="2128"/>
      <c r="M295" s="2125"/>
    </row>
    <row r="296" spans="1:18" hidden="1">
      <c r="A296" s="2124">
        <v>44293</v>
      </c>
      <c r="B296" s="2125" t="s">
        <v>8548</v>
      </c>
      <c r="C296" s="2125" t="s">
        <v>2434</v>
      </c>
      <c r="D296" s="2128">
        <v>230000</v>
      </c>
      <c r="E296" s="2125" t="s">
        <v>251</v>
      </c>
      <c r="F296" s="2124">
        <v>44309</v>
      </c>
      <c r="G296" s="2124">
        <v>44342</v>
      </c>
      <c r="H296" s="2125"/>
      <c r="I296" s="2129"/>
      <c r="J296" s="2129"/>
      <c r="K296" s="2129"/>
      <c r="L296" s="2128"/>
      <c r="M296" s="2125"/>
    </row>
    <row r="297" spans="1:18" ht="15.75" hidden="1" thickBot="1">
      <c r="A297" s="2130">
        <v>44293</v>
      </c>
      <c r="B297" s="2131" t="s">
        <v>8548</v>
      </c>
      <c r="C297" s="2131" t="s">
        <v>2434</v>
      </c>
      <c r="D297" s="2134">
        <v>690000</v>
      </c>
      <c r="E297" s="2131" t="s">
        <v>251</v>
      </c>
      <c r="F297" s="2130">
        <v>44309</v>
      </c>
      <c r="G297" s="2130">
        <v>44342</v>
      </c>
      <c r="H297" s="2131"/>
      <c r="I297" s="2122"/>
      <c r="J297" s="2122"/>
      <c r="K297" s="2122"/>
      <c r="L297" s="2134"/>
      <c r="M297" s="2131"/>
    </row>
    <row r="298" spans="1:18">
      <c r="A298" s="365">
        <v>44294</v>
      </c>
      <c r="B298" s="2497" t="s">
        <v>8556</v>
      </c>
      <c r="C298" s="2497" t="s">
        <v>2434</v>
      </c>
      <c r="D298" s="364">
        <v>1820160</v>
      </c>
      <c r="E298" s="2497" t="s">
        <v>112</v>
      </c>
      <c r="F298" s="365">
        <v>44298</v>
      </c>
      <c r="G298" s="365">
        <v>44313</v>
      </c>
      <c r="H298" s="365">
        <v>44320</v>
      </c>
      <c r="I298" s="1473"/>
      <c r="J298" s="1473"/>
      <c r="K298" s="1473"/>
      <c r="L298" s="681">
        <v>44320</v>
      </c>
      <c r="M298" s="365">
        <v>44343</v>
      </c>
      <c r="N298" s="2503">
        <f>F298-A298</f>
        <v>4</v>
      </c>
      <c r="O298" s="2503">
        <f>G298-F298</f>
        <v>15</v>
      </c>
      <c r="P298" s="2503">
        <f>H298-G298</f>
        <v>7</v>
      </c>
      <c r="Q298" s="2503">
        <f>M298-H298</f>
        <v>23</v>
      </c>
      <c r="R298" s="2503">
        <f>M298-A298</f>
        <v>49</v>
      </c>
    </row>
    <row r="299" spans="1:18" hidden="1">
      <c r="A299" s="510">
        <v>44294</v>
      </c>
      <c r="B299" s="506" t="s">
        <v>8553</v>
      </c>
      <c r="C299" s="506" t="s">
        <v>69</v>
      </c>
      <c r="D299" s="511">
        <v>2357310</v>
      </c>
      <c r="E299" s="506" t="s">
        <v>216</v>
      </c>
      <c r="F299" s="510">
        <v>44320</v>
      </c>
      <c r="G299" s="510">
        <v>44349</v>
      </c>
      <c r="H299" s="506"/>
      <c r="I299" s="1470"/>
      <c r="J299" s="1470"/>
      <c r="K299" s="1470"/>
      <c r="L299" s="511"/>
      <c r="M299" s="506"/>
    </row>
    <row r="300" spans="1:18">
      <c r="A300" s="537">
        <v>44294</v>
      </c>
      <c r="B300" s="491" t="s">
        <v>8557</v>
      </c>
      <c r="C300" s="491" t="s">
        <v>2434</v>
      </c>
      <c r="D300" s="536">
        <v>1138000</v>
      </c>
      <c r="E300" s="491" t="s">
        <v>112</v>
      </c>
      <c r="F300" s="537">
        <v>44298</v>
      </c>
      <c r="G300" s="537">
        <v>44309</v>
      </c>
      <c r="H300" s="537">
        <v>44314</v>
      </c>
      <c r="I300" s="1471"/>
      <c r="J300" s="1471"/>
      <c r="K300" s="1471"/>
      <c r="L300" s="573">
        <v>44314</v>
      </c>
      <c r="M300" s="537">
        <v>44341</v>
      </c>
      <c r="N300" s="2503">
        <f>F300-A300</f>
        <v>4</v>
      </c>
      <c r="O300" s="2503">
        <f>G300-F300</f>
        <v>11</v>
      </c>
      <c r="P300" s="2503">
        <f>H300-G300</f>
        <v>5</v>
      </c>
      <c r="Q300" s="2503">
        <f>M300-H300</f>
        <v>27</v>
      </c>
      <c r="R300" s="2503">
        <f>M300-A300</f>
        <v>47</v>
      </c>
    </row>
    <row r="301" spans="1:18" hidden="1">
      <c r="A301" s="510">
        <v>44293</v>
      </c>
      <c r="B301" s="506" t="s">
        <v>8559</v>
      </c>
      <c r="C301" s="506" t="s">
        <v>2434</v>
      </c>
      <c r="D301" s="511">
        <v>1185000</v>
      </c>
      <c r="E301" s="506" t="s">
        <v>112</v>
      </c>
      <c r="F301" s="510">
        <v>44302</v>
      </c>
      <c r="G301" s="510">
        <v>44316</v>
      </c>
      <c r="H301" s="506"/>
      <c r="I301" s="1470"/>
      <c r="J301" s="1470"/>
      <c r="K301" s="1470"/>
      <c r="L301" s="511"/>
      <c r="M301" s="506"/>
    </row>
    <row r="302" spans="1:18">
      <c r="A302" s="537">
        <v>44294</v>
      </c>
      <c r="B302" s="491" t="s">
        <v>8569</v>
      </c>
      <c r="C302" s="491" t="s">
        <v>58</v>
      </c>
      <c r="D302" s="536">
        <v>1033058</v>
      </c>
      <c r="E302" s="491" t="s">
        <v>112</v>
      </c>
      <c r="F302" s="537">
        <v>44301</v>
      </c>
      <c r="G302" s="537">
        <v>44313</v>
      </c>
      <c r="H302" s="537">
        <v>44340</v>
      </c>
      <c r="I302" s="1471"/>
      <c r="J302" s="1471"/>
      <c r="K302" s="1471"/>
      <c r="L302" s="573">
        <v>44340</v>
      </c>
      <c r="M302" s="537">
        <v>44377</v>
      </c>
      <c r="N302" s="2503">
        <f t="shared" ref="N302:N303" si="170">F302-A302</f>
        <v>7</v>
      </c>
      <c r="O302" s="2503">
        <f t="shared" ref="O302:O303" si="171">G302-F302</f>
        <v>12</v>
      </c>
      <c r="P302" s="2503">
        <f t="shared" ref="P302:P303" si="172">H302-G302</f>
        <v>27</v>
      </c>
      <c r="Q302" s="2503">
        <f t="shared" ref="Q302:Q303" si="173">M302-H302</f>
        <v>37</v>
      </c>
      <c r="R302" s="2503">
        <f t="shared" ref="R302:R303" si="174">M302-A302</f>
        <v>83</v>
      </c>
    </row>
    <row r="303" spans="1:18">
      <c r="A303" s="537">
        <v>44298</v>
      </c>
      <c r="B303" s="491" t="s">
        <v>8572</v>
      </c>
      <c r="C303" s="491" t="s">
        <v>6561</v>
      </c>
      <c r="D303" s="536">
        <v>500000</v>
      </c>
      <c r="E303" s="491" t="s">
        <v>112</v>
      </c>
      <c r="F303" s="537">
        <v>44300</v>
      </c>
      <c r="G303" s="537">
        <v>44305</v>
      </c>
      <c r="H303" s="537">
        <v>44307</v>
      </c>
      <c r="I303" s="1471"/>
      <c r="J303" s="1471"/>
      <c r="K303" s="1471"/>
      <c r="L303" s="573">
        <v>44307</v>
      </c>
      <c r="M303" s="537">
        <v>44307</v>
      </c>
      <c r="N303" s="2503">
        <f t="shared" si="170"/>
        <v>2</v>
      </c>
      <c r="O303" s="2503">
        <f t="shared" si="171"/>
        <v>5</v>
      </c>
      <c r="P303" s="2503">
        <f t="shared" si="172"/>
        <v>2</v>
      </c>
      <c r="Q303" s="2503">
        <f t="shared" si="173"/>
        <v>0</v>
      </c>
      <c r="R303" s="2503">
        <f t="shared" si="174"/>
        <v>9</v>
      </c>
    </row>
    <row r="304" spans="1:18" hidden="1">
      <c r="A304" s="491" t="s">
        <v>3585</v>
      </c>
      <c r="B304" s="491" t="s">
        <v>8576</v>
      </c>
      <c r="C304" s="491" t="s">
        <v>58</v>
      </c>
      <c r="D304" s="536">
        <v>348000</v>
      </c>
      <c r="E304" s="491" t="s">
        <v>112</v>
      </c>
      <c r="F304" s="537">
        <v>44301</v>
      </c>
      <c r="G304" s="537">
        <v>44312</v>
      </c>
      <c r="H304" s="537">
        <v>44321</v>
      </c>
      <c r="I304" s="1471"/>
      <c r="J304" s="1471"/>
      <c r="K304" s="1471"/>
      <c r="L304" s="573">
        <v>44321</v>
      </c>
      <c r="M304" s="537">
        <v>44364</v>
      </c>
    </row>
    <row r="305" spans="1:18">
      <c r="A305" s="537">
        <v>44299</v>
      </c>
      <c r="B305" s="491" t="s">
        <v>8587</v>
      </c>
      <c r="C305" s="491" t="s">
        <v>1032</v>
      </c>
      <c r="D305" s="536">
        <v>15500000</v>
      </c>
      <c r="E305" s="491" t="s">
        <v>216</v>
      </c>
      <c r="F305" s="537">
        <v>44319</v>
      </c>
      <c r="G305" s="537">
        <v>44335</v>
      </c>
      <c r="H305" s="537">
        <v>44343</v>
      </c>
      <c r="I305" s="1471"/>
      <c r="J305" s="1471"/>
      <c r="K305" s="1471"/>
      <c r="L305" s="573">
        <v>44343</v>
      </c>
      <c r="M305" s="537">
        <v>44377</v>
      </c>
      <c r="N305" s="2503">
        <f t="shared" ref="N305:N310" si="175">F305-A305</f>
        <v>20</v>
      </c>
      <c r="O305" s="2503">
        <f t="shared" ref="O305:O310" si="176">G305-F305</f>
        <v>16</v>
      </c>
      <c r="P305" s="2503">
        <f t="shared" ref="P305:P310" si="177">H305-G305</f>
        <v>8</v>
      </c>
      <c r="Q305" s="2503">
        <f t="shared" ref="Q305:Q310" si="178">M305-H305</f>
        <v>34</v>
      </c>
      <c r="R305" s="2503">
        <f t="shared" ref="R305:R310" si="179">M305-A305</f>
        <v>78</v>
      </c>
    </row>
    <row r="306" spans="1:18">
      <c r="A306" s="537">
        <v>44300</v>
      </c>
      <c r="B306" s="491" t="s">
        <v>8589</v>
      </c>
      <c r="C306" s="491" t="s">
        <v>2434</v>
      </c>
      <c r="D306" s="536">
        <v>2100000</v>
      </c>
      <c r="E306" s="491" t="s">
        <v>216</v>
      </c>
      <c r="F306" s="537">
        <v>44308</v>
      </c>
      <c r="G306" s="537">
        <v>44327</v>
      </c>
      <c r="H306" s="537">
        <v>44334</v>
      </c>
      <c r="I306" s="1471"/>
      <c r="J306" s="1471"/>
      <c r="K306" s="1471"/>
      <c r="L306" s="573">
        <v>44334</v>
      </c>
      <c r="M306" s="537">
        <v>44363</v>
      </c>
      <c r="N306" s="2503">
        <f t="shared" si="175"/>
        <v>8</v>
      </c>
      <c r="O306" s="2503">
        <f t="shared" si="176"/>
        <v>19</v>
      </c>
      <c r="P306" s="2503">
        <f t="shared" si="177"/>
        <v>7</v>
      </c>
      <c r="Q306" s="2503">
        <f t="shared" si="178"/>
        <v>29</v>
      </c>
      <c r="R306" s="2503">
        <f t="shared" si="179"/>
        <v>63</v>
      </c>
    </row>
    <row r="307" spans="1:18">
      <c r="A307" s="537">
        <v>44300</v>
      </c>
      <c r="B307" s="491" t="s">
        <v>8590</v>
      </c>
      <c r="C307" s="491" t="s">
        <v>2434</v>
      </c>
      <c r="D307" s="536">
        <v>2066400</v>
      </c>
      <c r="E307" s="491" t="s">
        <v>216</v>
      </c>
      <c r="F307" s="537">
        <v>44308</v>
      </c>
      <c r="G307" s="537">
        <v>44327</v>
      </c>
      <c r="H307" s="537">
        <v>44334</v>
      </c>
      <c r="I307" s="1471"/>
      <c r="J307" s="1471"/>
      <c r="K307" s="1471"/>
      <c r="L307" s="573">
        <v>44334</v>
      </c>
      <c r="M307" s="537">
        <v>44363</v>
      </c>
      <c r="N307" s="2503">
        <f t="shared" si="175"/>
        <v>8</v>
      </c>
      <c r="O307" s="2503">
        <f t="shared" si="176"/>
        <v>19</v>
      </c>
      <c r="P307" s="2503">
        <f t="shared" si="177"/>
        <v>7</v>
      </c>
      <c r="Q307" s="2503">
        <f t="shared" si="178"/>
        <v>29</v>
      </c>
      <c r="R307" s="2503">
        <f t="shared" si="179"/>
        <v>63</v>
      </c>
    </row>
    <row r="308" spans="1:18">
      <c r="A308" s="537">
        <v>44300</v>
      </c>
      <c r="B308" s="491" t="s">
        <v>8593</v>
      </c>
      <c r="C308" s="491" t="s">
        <v>2434</v>
      </c>
      <c r="D308" s="536">
        <v>524480</v>
      </c>
      <c r="E308" s="491" t="s">
        <v>112</v>
      </c>
      <c r="F308" s="537">
        <v>44302</v>
      </c>
      <c r="G308" s="537">
        <v>44313</v>
      </c>
      <c r="H308" s="537">
        <v>44319</v>
      </c>
      <c r="I308" s="1471"/>
      <c r="J308" s="1471"/>
      <c r="K308" s="1471"/>
      <c r="L308" s="573">
        <v>44319</v>
      </c>
      <c r="M308" s="537">
        <v>44329</v>
      </c>
      <c r="N308" s="2503">
        <f t="shared" si="175"/>
        <v>2</v>
      </c>
      <c r="O308" s="2503">
        <f t="shared" si="176"/>
        <v>11</v>
      </c>
      <c r="P308" s="2503">
        <f t="shared" si="177"/>
        <v>6</v>
      </c>
      <c r="Q308" s="2503">
        <f t="shared" si="178"/>
        <v>10</v>
      </c>
      <c r="R308" s="2503">
        <f t="shared" si="179"/>
        <v>29</v>
      </c>
    </row>
    <row r="309" spans="1:18">
      <c r="A309" s="537">
        <v>44300</v>
      </c>
      <c r="B309" s="491" t="s">
        <v>8594</v>
      </c>
      <c r="C309" s="491" t="s">
        <v>2434</v>
      </c>
      <c r="D309" s="536">
        <v>661500</v>
      </c>
      <c r="E309" s="491" t="s">
        <v>112</v>
      </c>
      <c r="F309" s="537">
        <v>44302</v>
      </c>
      <c r="G309" s="537">
        <v>44313</v>
      </c>
      <c r="H309" s="537">
        <v>44319</v>
      </c>
      <c r="I309" s="1484"/>
      <c r="J309" s="1484"/>
      <c r="K309" s="1484"/>
      <c r="L309" s="573">
        <v>44319</v>
      </c>
      <c r="M309" s="537">
        <v>44344</v>
      </c>
      <c r="N309" s="2503">
        <f t="shared" si="175"/>
        <v>2</v>
      </c>
      <c r="O309" s="2503">
        <f t="shared" si="176"/>
        <v>11</v>
      </c>
      <c r="P309" s="2503">
        <f t="shared" si="177"/>
        <v>6</v>
      </c>
      <c r="Q309" s="2503">
        <f t="shared" si="178"/>
        <v>25</v>
      </c>
      <c r="R309" s="2503">
        <f t="shared" si="179"/>
        <v>44</v>
      </c>
    </row>
    <row r="310" spans="1:18">
      <c r="A310" s="537">
        <v>44301</v>
      </c>
      <c r="B310" s="491" t="s">
        <v>8597</v>
      </c>
      <c r="C310" s="491" t="s">
        <v>69</v>
      </c>
      <c r="D310" s="536">
        <v>47769150</v>
      </c>
      <c r="E310" s="491" t="s">
        <v>251</v>
      </c>
      <c r="F310" s="537">
        <v>44305</v>
      </c>
      <c r="G310" s="537">
        <v>44392</v>
      </c>
      <c r="H310" s="537">
        <v>44456</v>
      </c>
      <c r="I310" s="1471"/>
      <c r="J310" s="1471"/>
      <c r="K310" s="1471"/>
      <c r="L310" s="573">
        <v>44456</v>
      </c>
      <c r="M310" s="537">
        <v>44482</v>
      </c>
      <c r="N310" s="2503">
        <f t="shared" si="175"/>
        <v>4</v>
      </c>
      <c r="O310" s="2503">
        <f t="shared" si="176"/>
        <v>87</v>
      </c>
      <c r="P310" s="2503">
        <f t="shared" si="177"/>
        <v>64</v>
      </c>
      <c r="Q310" s="2503">
        <f t="shared" si="178"/>
        <v>26</v>
      </c>
      <c r="R310" s="2503">
        <f t="shared" si="179"/>
        <v>181</v>
      </c>
    </row>
    <row r="311" spans="1:18" hidden="1">
      <c r="A311" s="491" t="s">
        <v>3585</v>
      </c>
      <c r="B311" s="491" t="s">
        <v>8599</v>
      </c>
      <c r="C311" s="491" t="s">
        <v>69</v>
      </c>
      <c r="D311" s="536">
        <v>73696560</v>
      </c>
      <c r="E311" s="491" t="s">
        <v>251</v>
      </c>
      <c r="F311" s="537">
        <v>44308</v>
      </c>
      <c r="G311" s="537">
        <v>44342</v>
      </c>
      <c r="H311" s="537">
        <v>44361</v>
      </c>
      <c r="I311" s="1471"/>
      <c r="J311" s="1471"/>
      <c r="K311" s="1471"/>
      <c r="L311" s="573">
        <v>44361</v>
      </c>
      <c r="M311" s="537">
        <v>44385</v>
      </c>
    </row>
    <row r="312" spans="1:18">
      <c r="A312" s="537">
        <v>44301</v>
      </c>
      <c r="B312" s="491" t="s">
        <v>8605</v>
      </c>
      <c r="C312" s="491" t="s">
        <v>69</v>
      </c>
      <c r="D312" s="536">
        <v>3111822</v>
      </c>
      <c r="E312" s="491" t="s">
        <v>251</v>
      </c>
      <c r="F312" s="537">
        <v>44305</v>
      </c>
      <c r="G312" s="537">
        <v>44384</v>
      </c>
      <c r="H312" s="537">
        <v>44417</v>
      </c>
      <c r="I312" s="1471"/>
      <c r="J312" s="1471"/>
      <c r="K312" s="1471"/>
      <c r="L312" s="573">
        <v>44418</v>
      </c>
      <c r="M312" s="537">
        <v>44440</v>
      </c>
      <c r="N312" s="2503">
        <f t="shared" ref="N312:N313" si="180">F312-A312</f>
        <v>4</v>
      </c>
      <c r="O312" s="2503">
        <f t="shared" ref="O312:O313" si="181">G312-F312</f>
        <v>79</v>
      </c>
      <c r="P312" s="2503">
        <f t="shared" ref="P312:P313" si="182">H312-G312</f>
        <v>33</v>
      </c>
      <c r="Q312" s="2503">
        <f t="shared" ref="Q312:Q313" si="183">M312-H312</f>
        <v>23</v>
      </c>
      <c r="R312" s="2503">
        <f t="shared" ref="R312:R313" si="184">M312-A312</f>
        <v>139</v>
      </c>
    </row>
    <row r="313" spans="1:18">
      <c r="A313" s="537">
        <v>44301</v>
      </c>
      <c r="B313" s="491" t="s">
        <v>8605</v>
      </c>
      <c r="C313" s="491" t="s">
        <v>69</v>
      </c>
      <c r="D313" s="536">
        <v>10122390</v>
      </c>
      <c r="E313" s="491" t="s">
        <v>251</v>
      </c>
      <c r="F313" s="537">
        <v>44305</v>
      </c>
      <c r="G313" s="537">
        <v>44384</v>
      </c>
      <c r="H313" s="537">
        <v>44417</v>
      </c>
      <c r="I313" s="1471"/>
      <c r="J313" s="1471"/>
      <c r="K313" s="1471"/>
      <c r="L313" s="573">
        <v>44418</v>
      </c>
      <c r="M313" s="537">
        <v>44440</v>
      </c>
      <c r="N313" s="2503">
        <f t="shared" si="180"/>
        <v>4</v>
      </c>
      <c r="O313" s="2503">
        <f t="shared" si="181"/>
        <v>79</v>
      </c>
      <c r="P313" s="2503">
        <f t="shared" si="182"/>
        <v>33</v>
      </c>
      <c r="Q313" s="2503">
        <f t="shared" si="183"/>
        <v>23</v>
      </c>
      <c r="R313" s="2503">
        <f t="shared" si="184"/>
        <v>139</v>
      </c>
    </row>
    <row r="314" spans="1:18" hidden="1">
      <c r="A314" s="510">
        <v>44301</v>
      </c>
      <c r="B314" s="506" t="s">
        <v>8607</v>
      </c>
      <c r="C314" s="506" t="s">
        <v>1032</v>
      </c>
      <c r="D314" s="511">
        <v>4600000</v>
      </c>
      <c r="E314" s="506" t="s">
        <v>251</v>
      </c>
      <c r="F314" s="510">
        <v>44307</v>
      </c>
      <c r="G314" s="510">
        <v>44340</v>
      </c>
      <c r="H314" s="510"/>
      <c r="I314" s="1470"/>
      <c r="J314" s="1470"/>
      <c r="K314" s="1470"/>
      <c r="L314" s="1398"/>
      <c r="M314" s="506"/>
    </row>
    <row r="315" spans="1:18" s="390" customFormat="1">
      <c r="A315" s="2140">
        <v>44308</v>
      </c>
      <c r="B315" s="2141" t="s">
        <v>8780</v>
      </c>
      <c r="C315" s="2141" t="s">
        <v>2434</v>
      </c>
      <c r="D315" s="2144">
        <v>595548</v>
      </c>
      <c r="E315" s="2141" t="s">
        <v>112</v>
      </c>
      <c r="F315" s="2140">
        <v>44313</v>
      </c>
      <c r="G315" s="2140">
        <v>44327</v>
      </c>
      <c r="H315" s="2140">
        <v>44336</v>
      </c>
      <c r="I315" s="2145"/>
      <c r="J315" s="2145"/>
      <c r="K315" s="2145"/>
      <c r="L315" s="2146">
        <v>44336</v>
      </c>
      <c r="M315" s="2140">
        <v>44354</v>
      </c>
      <c r="N315" s="2503">
        <f t="shared" ref="N315:N318" si="185">F315-A315</f>
        <v>5</v>
      </c>
      <c r="O315" s="2503">
        <f t="shared" ref="O315:O318" si="186">G315-F315</f>
        <v>14</v>
      </c>
      <c r="P315" s="2503">
        <f t="shared" ref="P315:P318" si="187">H315-G315</f>
        <v>9</v>
      </c>
      <c r="Q315" s="2503">
        <f t="shared" ref="Q315:Q318" si="188">M315-H315</f>
        <v>18</v>
      </c>
      <c r="R315" s="2503">
        <f t="shared" ref="R315:R318" si="189">M315-A315</f>
        <v>46</v>
      </c>
    </row>
    <row r="316" spans="1:18">
      <c r="A316" s="537">
        <v>44305</v>
      </c>
      <c r="B316" s="491" t="s">
        <v>8777</v>
      </c>
      <c r="C316" s="491" t="s">
        <v>58</v>
      </c>
      <c r="D316" s="536">
        <v>3465000</v>
      </c>
      <c r="E316" s="491" t="s">
        <v>251</v>
      </c>
      <c r="F316" s="537">
        <v>44313</v>
      </c>
      <c r="G316" s="537">
        <v>44348</v>
      </c>
      <c r="H316" s="537">
        <v>44365</v>
      </c>
      <c r="I316" s="1471"/>
      <c r="J316" s="1471"/>
      <c r="K316" s="1471"/>
      <c r="L316" s="573">
        <v>44365</v>
      </c>
      <c r="M316" s="537">
        <v>44390</v>
      </c>
      <c r="N316" s="2503">
        <f t="shared" si="185"/>
        <v>8</v>
      </c>
      <c r="O316" s="2503">
        <f t="shared" si="186"/>
        <v>35</v>
      </c>
      <c r="P316" s="2503">
        <f t="shared" si="187"/>
        <v>17</v>
      </c>
      <c r="Q316" s="2503">
        <f t="shared" si="188"/>
        <v>25</v>
      </c>
      <c r="R316" s="2503">
        <f t="shared" si="189"/>
        <v>85</v>
      </c>
    </row>
    <row r="317" spans="1:18" s="390" customFormat="1">
      <c r="A317" s="2140">
        <v>44442</v>
      </c>
      <c r="B317" s="2141" t="s">
        <v>9782</v>
      </c>
      <c r="C317" s="2141" t="s">
        <v>3032</v>
      </c>
      <c r="D317" s="2144">
        <v>450000</v>
      </c>
      <c r="E317" s="2141" t="s">
        <v>112</v>
      </c>
      <c r="F317" s="2140">
        <v>44446</v>
      </c>
      <c r="G317" s="2140">
        <v>44454</v>
      </c>
      <c r="H317" s="2140">
        <v>44469</v>
      </c>
      <c r="I317" s="2145"/>
      <c r="J317" s="2145"/>
      <c r="K317" s="2145"/>
      <c r="L317" s="2146">
        <v>44469</v>
      </c>
      <c r="M317" s="2140">
        <v>44480</v>
      </c>
      <c r="N317" s="2503">
        <f t="shared" si="185"/>
        <v>4</v>
      </c>
      <c r="O317" s="2503">
        <f t="shared" si="186"/>
        <v>8</v>
      </c>
      <c r="P317" s="2503">
        <f t="shared" si="187"/>
        <v>15</v>
      </c>
      <c r="Q317" s="2503">
        <f t="shared" si="188"/>
        <v>11</v>
      </c>
      <c r="R317" s="2503">
        <f t="shared" si="189"/>
        <v>38</v>
      </c>
    </row>
    <row r="318" spans="1:18">
      <c r="A318" s="537">
        <v>44309</v>
      </c>
      <c r="B318" s="491" t="s">
        <v>8794</v>
      </c>
      <c r="C318" s="491" t="s">
        <v>2434</v>
      </c>
      <c r="D318" s="536">
        <v>623200</v>
      </c>
      <c r="E318" s="491" t="s">
        <v>112</v>
      </c>
      <c r="F318" s="537">
        <v>44313</v>
      </c>
      <c r="G318" s="537">
        <v>44327</v>
      </c>
      <c r="H318" s="537">
        <v>44333</v>
      </c>
      <c r="I318" s="1471"/>
      <c r="J318" s="1471"/>
      <c r="K318" s="1471"/>
      <c r="L318" s="573">
        <v>44334</v>
      </c>
      <c r="M318" s="537">
        <v>44349</v>
      </c>
      <c r="N318" s="2503">
        <f t="shared" si="185"/>
        <v>4</v>
      </c>
      <c r="O318" s="2503">
        <f t="shared" si="186"/>
        <v>14</v>
      </c>
      <c r="P318" s="2503">
        <f t="shared" si="187"/>
        <v>6</v>
      </c>
      <c r="Q318" s="2503">
        <f t="shared" si="188"/>
        <v>16</v>
      </c>
      <c r="R318" s="2503">
        <f t="shared" si="189"/>
        <v>40</v>
      </c>
    </row>
    <row r="319" spans="1:18" hidden="1">
      <c r="A319" s="491" t="s">
        <v>3585</v>
      </c>
      <c r="B319" s="491" t="s">
        <v>8796</v>
      </c>
      <c r="C319" s="491" t="s">
        <v>58</v>
      </c>
      <c r="D319" s="536">
        <v>340000</v>
      </c>
      <c r="E319" s="491" t="s">
        <v>112</v>
      </c>
      <c r="F319" s="537">
        <v>44313</v>
      </c>
      <c r="G319" s="537">
        <v>44323</v>
      </c>
      <c r="H319" s="537">
        <v>44340</v>
      </c>
      <c r="I319" s="1471"/>
      <c r="J319" s="1471"/>
      <c r="K319" s="1471"/>
      <c r="L319" s="573">
        <v>44340</v>
      </c>
      <c r="M319" s="537">
        <v>44357</v>
      </c>
    </row>
    <row r="320" spans="1:18">
      <c r="A320" s="537">
        <v>44308</v>
      </c>
      <c r="B320" s="491" t="s">
        <v>8812</v>
      </c>
      <c r="C320" s="491" t="s">
        <v>58</v>
      </c>
      <c r="D320" s="536">
        <v>720000</v>
      </c>
      <c r="E320" s="491" t="s">
        <v>112</v>
      </c>
      <c r="F320" s="537">
        <v>44315</v>
      </c>
      <c r="G320" s="537">
        <v>44329</v>
      </c>
      <c r="H320" s="537">
        <v>44340</v>
      </c>
      <c r="I320" s="1471"/>
      <c r="J320" s="1471"/>
      <c r="K320" s="1471"/>
      <c r="L320" s="573">
        <v>44340</v>
      </c>
      <c r="M320" s="537">
        <v>44354</v>
      </c>
      <c r="N320" s="2503">
        <f t="shared" ref="N320:N322" si="190">F320-A320</f>
        <v>7</v>
      </c>
      <c r="O320" s="2503">
        <f t="shared" ref="O320:O322" si="191">G320-F320</f>
        <v>14</v>
      </c>
      <c r="P320" s="2503">
        <f t="shared" ref="P320:P322" si="192">H320-G320</f>
        <v>11</v>
      </c>
      <c r="Q320" s="2503">
        <f t="shared" ref="Q320:Q322" si="193">M320-H320</f>
        <v>14</v>
      </c>
      <c r="R320" s="2503">
        <f t="shared" ref="R320:R322" si="194">M320-A320</f>
        <v>46</v>
      </c>
    </row>
    <row r="321" spans="1:18">
      <c r="A321" s="537">
        <v>44312</v>
      </c>
      <c r="B321" s="491" t="s">
        <v>8815</v>
      </c>
      <c r="C321" s="491" t="s">
        <v>2434</v>
      </c>
      <c r="D321" s="536">
        <v>540000</v>
      </c>
      <c r="E321" s="491" t="s">
        <v>112</v>
      </c>
      <c r="F321" s="537">
        <v>44316</v>
      </c>
      <c r="G321" s="537">
        <v>44328</v>
      </c>
      <c r="H321" s="537">
        <v>44334</v>
      </c>
      <c r="I321" s="1471"/>
      <c r="J321" s="1471"/>
      <c r="K321" s="1471"/>
      <c r="L321" s="573">
        <v>44334</v>
      </c>
      <c r="M321" s="537">
        <v>44347</v>
      </c>
      <c r="N321" s="2503">
        <f t="shared" si="190"/>
        <v>4</v>
      </c>
      <c r="O321" s="2503">
        <f t="shared" si="191"/>
        <v>12</v>
      </c>
      <c r="P321" s="2503">
        <f t="shared" si="192"/>
        <v>6</v>
      </c>
      <c r="Q321" s="2503">
        <f t="shared" si="193"/>
        <v>13</v>
      </c>
      <c r="R321" s="2503">
        <f t="shared" si="194"/>
        <v>35</v>
      </c>
    </row>
    <row r="322" spans="1:18" ht="15.75" thickBot="1">
      <c r="A322" s="537">
        <v>44313</v>
      </c>
      <c r="B322" s="491" t="s">
        <v>8819</v>
      </c>
      <c r="C322" s="491" t="s">
        <v>2434</v>
      </c>
      <c r="D322" s="536">
        <v>21132446.100000001</v>
      </c>
      <c r="E322" s="491" t="s">
        <v>251</v>
      </c>
      <c r="F322" s="537">
        <v>44427</v>
      </c>
      <c r="G322" s="537">
        <v>44476</v>
      </c>
      <c r="H322" s="537">
        <v>44495</v>
      </c>
      <c r="I322" s="1471"/>
      <c r="J322" s="1471"/>
      <c r="K322" s="1471"/>
      <c r="L322" s="573">
        <v>44495</v>
      </c>
      <c r="M322" s="537">
        <v>44518</v>
      </c>
      <c r="N322" s="2503">
        <f t="shared" si="190"/>
        <v>114</v>
      </c>
      <c r="O322" s="2503">
        <f t="shared" si="191"/>
        <v>49</v>
      </c>
      <c r="P322" s="2503">
        <f t="shared" si="192"/>
        <v>19</v>
      </c>
      <c r="Q322" s="2503">
        <f t="shared" si="193"/>
        <v>23</v>
      </c>
      <c r="R322" s="2503">
        <f t="shared" si="194"/>
        <v>205</v>
      </c>
    </row>
    <row r="323" spans="1:18" ht="15.75" hidden="1" thickBot="1">
      <c r="A323" s="643">
        <v>44312</v>
      </c>
      <c r="B323" s="639" t="s">
        <v>8821</v>
      </c>
      <c r="C323" s="639" t="s">
        <v>14</v>
      </c>
      <c r="D323" s="645">
        <v>851900</v>
      </c>
      <c r="E323" s="639" t="s">
        <v>112</v>
      </c>
      <c r="F323" s="643">
        <v>44316</v>
      </c>
      <c r="G323" s="643">
        <v>44329</v>
      </c>
      <c r="H323" s="639"/>
      <c r="I323" s="1534"/>
      <c r="J323" s="1534"/>
      <c r="K323" s="1534"/>
      <c r="L323" s="645"/>
      <c r="M323" s="639"/>
    </row>
    <row r="324" spans="1:18" ht="15.75" thickTop="1">
      <c r="A324" s="474">
        <v>44313</v>
      </c>
      <c r="B324" s="453" t="s">
        <v>8822</v>
      </c>
      <c r="C324" s="453" t="s">
        <v>69</v>
      </c>
      <c r="D324" s="457">
        <v>112572</v>
      </c>
      <c r="E324" s="453" t="s">
        <v>251</v>
      </c>
      <c r="F324" s="474">
        <v>44321</v>
      </c>
      <c r="G324" s="474">
        <v>44354</v>
      </c>
      <c r="H324" s="474">
        <v>44372</v>
      </c>
      <c r="I324" s="1474"/>
      <c r="J324" s="1474"/>
      <c r="K324" s="1474"/>
      <c r="L324" s="570">
        <v>44372</v>
      </c>
      <c r="M324" s="474">
        <v>44398</v>
      </c>
      <c r="N324" s="2503">
        <f>F324-A324</f>
        <v>8</v>
      </c>
      <c r="O324" s="2503">
        <f>G324-F324</f>
        <v>33</v>
      </c>
      <c r="P324" s="2503">
        <f>H324-G324</f>
        <v>18</v>
      </c>
      <c r="Q324" s="2503">
        <f>M324-H324</f>
        <v>26</v>
      </c>
      <c r="R324" s="2503">
        <f>M324-A324</f>
        <v>85</v>
      </c>
    </row>
    <row r="325" spans="1:18" hidden="1">
      <c r="A325" s="2124">
        <v>44313</v>
      </c>
      <c r="B325" s="2125" t="s">
        <v>8822</v>
      </c>
      <c r="C325" s="2125" t="s">
        <v>69</v>
      </c>
      <c r="D325" s="2128">
        <v>260591</v>
      </c>
      <c r="E325" s="2125" t="s">
        <v>251</v>
      </c>
      <c r="F325" s="2124">
        <v>44321</v>
      </c>
      <c r="G325" s="2124">
        <v>44354</v>
      </c>
      <c r="H325" s="2125"/>
      <c r="I325" s="2129"/>
      <c r="J325" s="2129"/>
      <c r="K325" s="2129"/>
      <c r="L325" s="2128"/>
      <c r="M325" s="2125"/>
    </row>
    <row r="326" spans="1:18" ht="15.75" thickBot="1">
      <c r="A326" s="2117">
        <v>44313</v>
      </c>
      <c r="B326" s="2118" t="s">
        <v>8822</v>
      </c>
      <c r="C326" s="2118" t="s">
        <v>69</v>
      </c>
      <c r="D326" s="2121">
        <v>15790500</v>
      </c>
      <c r="E326" s="2118" t="s">
        <v>251</v>
      </c>
      <c r="F326" s="2117">
        <v>44321</v>
      </c>
      <c r="G326" s="2117">
        <v>44354</v>
      </c>
      <c r="H326" s="2117">
        <v>44372</v>
      </c>
      <c r="I326" s="2122"/>
      <c r="J326" s="2122"/>
      <c r="K326" s="2122"/>
      <c r="L326" s="2123">
        <v>44372</v>
      </c>
      <c r="M326" s="2117">
        <v>44398</v>
      </c>
      <c r="N326" s="2503">
        <f t="shared" ref="N326:N327" si="195">F326-A326</f>
        <v>8</v>
      </c>
      <c r="O326" s="2503">
        <f t="shared" ref="O326:O327" si="196">G326-F326</f>
        <v>33</v>
      </c>
      <c r="P326" s="2503">
        <f t="shared" ref="P326:P327" si="197">H326-G326</f>
        <v>18</v>
      </c>
      <c r="Q326" s="2503">
        <f t="shared" ref="Q326:Q327" si="198">M326-H326</f>
        <v>26</v>
      </c>
      <c r="R326" s="2503">
        <f t="shared" ref="R326:R327" si="199">M326-A326</f>
        <v>85</v>
      </c>
    </row>
    <row r="327" spans="1:18" ht="15.75" thickTop="1">
      <c r="A327" s="474">
        <v>44313</v>
      </c>
      <c r="B327" s="453" t="s">
        <v>8828</v>
      </c>
      <c r="C327" s="453" t="s">
        <v>69</v>
      </c>
      <c r="D327" s="457">
        <v>20937833</v>
      </c>
      <c r="E327" s="453" t="s">
        <v>251</v>
      </c>
      <c r="F327" s="474">
        <v>44320</v>
      </c>
      <c r="G327" s="474">
        <v>44369</v>
      </c>
      <c r="H327" s="474">
        <v>44390</v>
      </c>
      <c r="I327" s="1474"/>
      <c r="J327" s="1474"/>
      <c r="K327" s="1474"/>
      <c r="L327" s="570">
        <v>44390</v>
      </c>
      <c r="M327" s="474">
        <v>44417</v>
      </c>
      <c r="N327" s="2503">
        <f t="shared" si="195"/>
        <v>7</v>
      </c>
      <c r="O327" s="2503">
        <f t="shared" si="196"/>
        <v>49</v>
      </c>
      <c r="P327" s="2503">
        <f t="shared" si="197"/>
        <v>21</v>
      </c>
      <c r="Q327" s="2503">
        <f t="shared" si="198"/>
        <v>27</v>
      </c>
      <c r="R327" s="2503">
        <f t="shared" si="199"/>
        <v>104</v>
      </c>
    </row>
    <row r="328" spans="1:18" hidden="1">
      <c r="A328" s="2124">
        <v>44313</v>
      </c>
      <c r="B328" s="2125" t="s">
        <v>8828</v>
      </c>
      <c r="C328" s="2125" t="s">
        <v>69</v>
      </c>
      <c r="D328" s="2128">
        <v>62307846</v>
      </c>
      <c r="E328" s="2125" t="s">
        <v>251</v>
      </c>
      <c r="F328" s="2124">
        <v>44320</v>
      </c>
      <c r="G328" s="2124">
        <v>44369</v>
      </c>
      <c r="H328" s="2125"/>
      <c r="I328" s="2129"/>
      <c r="J328" s="2129"/>
      <c r="K328" s="2129"/>
      <c r="L328" s="2128"/>
      <c r="M328" s="2125"/>
    </row>
    <row r="329" spans="1:18">
      <c r="A329" s="2140">
        <v>44313</v>
      </c>
      <c r="B329" s="2141" t="s">
        <v>8828</v>
      </c>
      <c r="C329" s="2141" t="s">
        <v>69</v>
      </c>
      <c r="D329" s="2144">
        <v>40221720</v>
      </c>
      <c r="E329" s="2141" t="s">
        <v>251</v>
      </c>
      <c r="F329" s="2140">
        <v>44320</v>
      </c>
      <c r="G329" s="2140">
        <v>44369</v>
      </c>
      <c r="H329" s="2140">
        <v>44390</v>
      </c>
      <c r="I329" s="2145"/>
      <c r="J329" s="2145"/>
      <c r="K329" s="2145"/>
      <c r="L329" s="2146">
        <v>44390</v>
      </c>
      <c r="M329" s="2140">
        <v>44414</v>
      </c>
      <c r="N329" s="2503">
        <f t="shared" ref="N329:N338" si="200">F329-A329</f>
        <v>7</v>
      </c>
      <c r="O329" s="2503">
        <f t="shared" ref="O329:O338" si="201">G329-F329</f>
        <v>49</v>
      </c>
      <c r="P329" s="2503">
        <f t="shared" ref="P329:P338" si="202">H329-G329</f>
        <v>21</v>
      </c>
      <c r="Q329" s="2503">
        <f t="shared" ref="Q329:Q338" si="203">M329-H329</f>
        <v>24</v>
      </c>
      <c r="R329" s="2503">
        <f t="shared" ref="R329:R338" si="204">M329-A329</f>
        <v>101</v>
      </c>
    </row>
    <row r="330" spans="1:18" ht="15.75" thickBot="1">
      <c r="A330" s="2117">
        <v>44313</v>
      </c>
      <c r="B330" s="2118" t="s">
        <v>8828</v>
      </c>
      <c r="C330" s="2118" t="s">
        <v>69</v>
      </c>
      <c r="D330" s="2121">
        <v>15164580</v>
      </c>
      <c r="E330" s="2118" t="s">
        <v>251</v>
      </c>
      <c r="F330" s="2117">
        <v>44320</v>
      </c>
      <c r="G330" s="2117">
        <v>44369</v>
      </c>
      <c r="H330" s="2117">
        <v>44390</v>
      </c>
      <c r="I330" s="2122"/>
      <c r="J330" s="2122"/>
      <c r="K330" s="2122"/>
      <c r="L330" s="2123">
        <v>44390</v>
      </c>
      <c r="M330" s="2117">
        <v>44414</v>
      </c>
      <c r="N330" s="2503">
        <f t="shared" si="200"/>
        <v>7</v>
      </c>
      <c r="O330" s="2503">
        <f t="shared" si="201"/>
        <v>49</v>
      </c>
      <c r="P330" s="2503">
        <f t="shared" si="202"/>
        <v>21</v>
      </c>
      <c r="Q330" s="2503">
        <f t="shared" si="203"/>
        <v>24</v>
      </c>
      <c r="R330" s="2503">
        <f t="shared" si="204"/>
        <v>101</v>
      </c>
    </row>
    <row r="331" spans="1:18" ht="15.75" thickTop="1">
      <c r="A331" s="365">
        <v>44300</v>
      </c>
      <c r="B331" s="2497" t="s">
        <v>8834</v>
      </c>
      <c r="C331" s="2497" t="s">
        <v>2434</v>
      </c>
      <c r="D331" s="364">
        <v>1266840</v>
      </c>
      <c r="E331" s="2497" t="s">
        <v>251</v>
      </c>
      <c r="F331" s="365">
        <v>44320</v>
      </c>
      <c r="G331" s="365">
        <v>44354</v>
      </c>
      <c r="H331" s="365">
        <v>44369</v>
      </c>
      <c r="I331" s="1473"/>
      <c r="J331" s="1473"/>
      <c r="K331" s="1473"/>
      <c r="L331" s="681">
        <v>44369</v>
      </c>
      <c r="M331" s="365">
        <v>44405</v>
      </c>
      <c r="N331" s="2503">
        <f t="shared" si="200"/>
        <v>20</v>
      </c>
      <c r="O331" s="2503">
        <f t="shared" si="201"/>
        <v>34</v>
      </c>
      <c r="P331" s="2503">
        <f t="shared" si="202"/>
        <v>15</v>
      </c>
      <c r="Q331" s="2503">
        <f t="shared" si="203"/>
        <v>36</v>
      </c>
      <c r="R331" s="2503">
        <f t="shared" si="204"/>
        <v>105</v>
      </c>
    </row>
    <row r="332" spans="1:18">
      <c r="A332" s="537">
        <v>44312</v>
      </c>
      <c r="B332" s="491" t="s">
        <v>8836</v>
      </c>
      <c r="C332" s="491" t="s">
        <v>2434</v>
      </c>
      <c r="D332" s="536">
        <v>1212000</v>
      </c>
      <c r="E332" s="491" t="s">
        <v>112</v>
      </c>
      <c r="F332" s="537">
        <v>44315</v>
      </c>
      <c r="G332" s="537">
        <v>44326</v>
      </c>
      <c r="H332" s="537">
        <v>44333</v>
      </c>
      <c r="I332" s="1471"/>
      <c r="J332" s="1471"/>
      <c r="K332" s="1471"/>
      <c r="L332" s="573">
        <v>44334</v>
      </c>
      <c r="M332" s="537">
        <v>44354</v>
      </c>
      <c r="N332" s="2503">
        <f t="shared" si="200"/>
        <v>3</v>
      </c>
      <c r="O332" s="2503">
        <f t="shared" si="201"/>
        <v>11</v>
      </c>
      <c r="P332" s="2503">
        <f t="shared" si="202"/>
        <v>7</v>
      </c>
      <c r="Q332" s="2503">
        <f t="shared" si="203"/>
        <v>21</v>
      </c>
      <c r="R332" s="2503">
        <f t="shared" si="204"/>
        <v>42</v>
      </c>
    </row>
    <row r="333" spans="1:18">
      <c r="A333" s="537">
        <v>44315</v>
      </c>
      <c r="B333" s="491" t="s">
        <v>8840</v>
      </c>
      <c r="C333" s="491" t="s">
        <v>58</v>
      </c>
      <c r="D333" s="536">
        <v>575780</v>
      </c>
      <c r="E333" s="491" t="s">
        <v>112</v>
      </c>
      <c r="F333" s="537">
        <v>44321</v>
      </c>
      <c r="G333" s="537">
        <v>44333</v>
      </c>
      <c r="H333" s="537">
        <v>44340</v>
      </c>
      <c r="I333" s="1471"/>
      <c r="J333" s="1471"/>
      <c r="K333" s="1471"/>
      <c r="L333" s="573">
        <v>44340</v>
      </c>
      <c r="M333" s="537">
        <v>44358</v>
      </c>
      <c r="N333" s="2503">
        <f t="shared" si="200"/>
        <v>6</v>
      </c>
      <c r="O333" s="2503">
        <f t="shared" si="201"/>
        <v>12</v>
      </c>
      <c r="P333" s="2503">
        <f t="shared" si="202"/>
        <v>7</v>
      </c>
      <c r="Q333" s="2503">
        <f t="shared" si="203"/>
        <v>18</v>
      </c>
      <c r="R333" s="2503">
        <f t="shared" si="204"/>
        <v>43</v>
      </c>
    </row>
    <row r="334" spans="1:18" ht="15.75" thickBot="1">
      <c r="A334" s="416">
        <v>44319</v>
      </c>
      <c r="B334" s="411" t="s">
        <v>8849</v>
      </c>
      <c r="C334" s="411" t="s">
        <v>52</v>
      </c>
      <c r="D334" s="417">
        <v>600000</v>
      </c>
      <c r="E334" s="411" t="s">
        <v>112</v>
      </c>
      <c r="F334" s="416">
        <v>44320</v>
      </c>
      <c r="G334" s="416">
        <v>44330</v>
      </c>
      <c r="H334" s="416">
        <v>44375</v>
      </c>
      <c r="I334" s="1480"/>
      <c r="J334" s="1480"/>
      <c r="K334" s="1480"/>
      <c r="L334" s="513">
        <v>44375</v>
      </c>
      <c r="M334" s="416">
        <v>44391</v>
      </c>
      <c r="N334" s="2503">
        <f t="shared" si="200"/>
        <v>1</v>
      </c>
      <c r="O334" s="2503">
        <f t="shared" si="201"/>
        <v>10</v>
      </c>
      <c r="P334" s="2503">
        <f t="shared" si="202"/>
        <v>45</v>
      </c>
      <c r="Q334" s="2503">
        <f t="shared" si="203"/>
        <v>16</v>
      </c>
      <c r="R334" s="2503">
        <f t="shared" si="204"/>
        <v>72</v>
      </c>
    </row>
    <row r="335" spans="1:18" ht="15.75" thickTop="1">
      <c r="A335" s="474">
        <v>44319</v>
      </c>
      <c r="B335" s="453" t="s">
        <v>8852</v>
      </c>
      <c r="C335" s="453" t="s">
        <v>2434</v>
      </c>
      <c r="D335" s="457">
        <v>496000</v>
      </c>
      <c r="E335" s="453" t="s">
        <v>216</v>
      </c>
      <c r="F335" s="474">
        <v>44322</v>
      </c>
      <c r="G335" s="474">
        <v>44355</v>
      </c>
      <c r="H335" s="474">
        <v>44390</v>
      </c>
      <c r="I335" s="1474"/>
      <c r="J335" s="1474"/>
      <c r="K335" s="1474"/>
      <c r="L335" s="570">
        <v>44390</v>
      </c>
      <c r="M335" s="474">
        <v>44417</v>
      </c>
      <c r="N335" s="2503">
        <f t="shared" si="200"/>
        <v>3</v>
      </c>
      <c r="O335" s="2503">
        <f t="shared" si="201"/>
        <v>33</v>
      </c>
      <c r="P335" s="2503">
        <f t="shared" si="202"/>
        <v>35</v>
      </c>
      <c r="Q335" s="2503">
        <f t="shared" si="203"/>
        <v>27</v>
      </c>
      <c r="R335" s="2503">
        <f t="shared" si="204"/>
        <v>98</v>
      </c>
    </row>
    <row r="336" spans="1:18">
      <c r="A336" s="2140">
        <v>44319</v>
      </c>
      <c r="B336" s="2141" t="s">
        <v>8852</v>
      </c>
      <c r="C336" s="2141" t="s">
        <v>2434</v>
      </c>
      <c r="D336" s="2144">
        <v>2797500</v>
      </c>
      <c r="E336" s="2141" t="s">
        <v>216</v>
      </c>
      <c r="F336" s="2140">
        <v>44322</v>
      </c>
      <c r="G336" s="2140">
        <v>44355</v>
      </c>
      <c r="H336" s="2140">
        <v>44411</v>
      </c>
      <c r="I336" s="2145"/>
      <c r="J336" s="2145"/>
      <c r="K336" s="2145"/>
      <c r="L336" s="2146">
        <v>44411</v>
      </c>
      <c r="M336" s="2140">
        <v>44438</v>
      </c>
      <c r="N336" s="2503">
        <f t="shared" si="200"/>
        <v>3</v>
      </c>
      <c r="O336" s="2503">
        <f t="shared" si="201"/>
        <v>33</v>
      </c>
      <c r="P336" s="2503">
        <f t="shared" si="202"/>
        <v>56</v>
      </c>
      <c r="Q336" s="2503">
        <f t="shared" si="203"/>
        <v>27</v>
      </c>
      <c r="R336" s="2503">
        <f t="shared" si="204"/>
        <v>119</v>
      </c>
    </row>
    <row r="337" spans="1:18" ht="15.75" thickBot="1">
      <c r="A337" s="2117">
        <v>44319</v>
      </c>
      <c r="B337" s="2118" t="s">
        <v>8852</v>
      </c>
      <c r="C337" s="2118" t="s">
        <v>2434</v>
      </c>
      <c r="D337" s="2121">
        <v>220000</v>
      </c>
      <c r="E337" s="2118" t="s">
        <v>216</v>
      </c>
      <c r="F337" s="2117">
        <v>44322</v>
      </c>
      <c r="G337" s="2117">
        <v>44355</v>
      </c>
      <c r="H337" s="2117">
        <v>44390</v>
      </c>
      <c r="I337" s="2122"/>
      <c r="J337" s="2122"/>
      <c r="K337" s="2122"/>
      <c r="L337" s="2123">
        <v>44390</v>
      </c>
      <c r="M337" s="2117">
        <v>44417</v>
      </c>
      <c r="N337" s="2503">
        <f t="shared" si="200"/>
        <v>3</v>
      </c>
      <c r="O337" s="2503">
        <f t="shared" si="201"/>
        <v>33</v>
      </c>
      <c r="P337" s="2503">
        <f t="shared" si="202"/>
        <v>35</v>
      </c>
      <c r="Q337" s="2503">
        <f t="shared" si="203"/>
        <v>27</v>
      </c>
      <c r="R337" s="2503">
        <f t="shared" si="204"/>
        <v>98</v>
      </c>
    </row>
    <row r="338" spans="1:18" ht="15.75" thickTop="1">
      <c r="A338" s="365">
        <v>44313</v>
      </c>
      <c r="B338" s="2497" t="s">
        <v>8857</v>
      </c>
      <c r="C338" s="2497" t="s">
        <v>2434</v>
      </c>
      <c r="D338" s="364">
        <v>534100</v>
      </c>
      <c r="E338" s="2497" t="s">
        <v>112</v>
      </c>
      <c r="F338" s="365">
        <v>44322</v>
      </c>
      <c r="G338" s="365">
        <v>44330</v>
      </c>
      <c r="H338" s="365">
        <v>44333</v>
      </c>
      <c r="I338" s="1473"/>
      <c r="J338" s="1473"/>
      <c r="K338" s="1473"/>
      <c r="L338" s="681">
        <v>44334</v>
      </c>
      <c r="M338" s="365">
        <v>44354</v>
      </c>
      <c r="N338" s="2503">
        <f t="shared" si="200"/>
        <v>9</v>
      </c>
      <c r="O338" s="2503">
        <f t="shared" si="201"/>
        <v>8</v>
      </c>
      <c r="P338" s="2503">
        <f t="shared" si="202"/>
        <v>3</v>
      </c>
      <c r="Q338" s="2503">
        <f t="shared" si="203"/>
        <v>21</v>
      </c>
      <c r="R338" s="2503">
        <f t="shared" si="204"/>
        <v>41</v>
      </c>
    </row>
    <row r="339" spans="1:18" hidden="1">
      <c r="A339" s="510">
        <v>44319</v>
      </c>
      <c r="B339" s="506" t="s">
        <v>8861</v>
      </c>
      <c r="C339" s="506" t="s">
        <v>58</v>
      </c>
      <c r="D339" s="511">
        <v>178000</v>
      </c>
      <c r="E339" s="506" t="s">
        <v>112</v>
      </c>
      <c r="F339" s="510">
        <v>44322</v>
      </c>
      <c r="G339" s="510">
        <v>44330</v>
      </c>
      <c r="H339" s="506"/>
      <c r="I339" s="1484"/>
      <c r="J339" s="1484"/>
      <c r="K339" s="1484"/>
      <c r="L339" s="511"/>
      <c r="M339" s="506"/>
    </row>
    <row r="340" spans="1:18">
      <c r="A340" s="537">
        <v>44320</v>
      </c>
      <c r="B340" s="491" t="s">
        <v>8863</v>
      </c>
      <c r="C340" s="491" t="s">
        <v>58</v>
      </c>
      <c r="D340" s="536">
        <v>161600</v>
      </c>
      <c r="E340" s="491" t="s">
        <v>112</v>
      </c>
      <c r="F340" s="537">
        <v>44326</v>
      </c>
      <c r="G340" s="537">
        <v>44336</v>
      </c>
      <c r="H340" s="537">
        <v>44340</v>
      </c>
      <c r="I340" s="1471"/>
      <c r="J340" s="1471"/>
      <c r="K340" s="1471"/>
      <c r="L340" s="573">
        <v>44340</v>
      </c>
      <c r="M340" s="537">
        <v>44357</v>
      </c>
      <c r="N340" s="2503">
        <f t="shared" ref="N340:N346" si="205">F340-A340</f>
        <v>6</v>
      </c>
      <c r="O340" s="2503">
        <f t="shared" ref="O340:O346" si="206">G340-F340</f>
        <v>10</v>
      </c>
      <c r="P340" s="2503">
        <f t="shared" ref="P340:P346" si="207">H340-G340</f>
        <v>4</v>
      </c>
      <c r="Q340" s="2503">
        <f t="shared" ref="Q340:Q346" si="208">M340-H340</f>
        <v>17</v>
      </c>
      <c r="R340" s="2503">
        <f t="shared" ref="R340:R346" si="209">M340-A340</f>
        <v>37</v>
      </c>
    </row>
    <row r="341" spans="1:18" ht="15.75" thickBot="1">
      <c r="A341" s="416">
        <v>44321</v>
      </c>
      <c r="B341" s="355" t="s">
        <v>8873</v>
      </c>
      <c r="C341" s="411" t="s">
        <v>69</v>
      </c>
      <c r="D341" s="417">
        <v>13901319</v>
      </c>
      <c r="E341" s="411" t="s">
        <v>251</v>
      </c>
      <c r="F341" s="416">
        <v>44323</v>
      </c>
      <c r="G341" s="416">
        <v>44364</v>
      </c>
      <c r="H341" s="416">
        <v>44376</v>
      </c>
      <c r="I341" s="1480"/>
      <c r="J341" s="1480"/>
      <c r="K341" s="1480"/>
      <c r="L341" s="513">
        <v>44376</v>
      </c>
      <c r="M341" s="416">
        <v>44398</v>
      </c>
      <c r="N341" s="2503">
        <f t="shared" si="205"/>
        <v>2</v>
      </c>
      <c r="O341" s="2503">
        <f t="shared" si="206"/>
        <v>41</v>
      </c>
      <c r="P341" s="2503">
        <f t="shared" si="207"/>
        <v>12</v>
      </c>
      <c r="Q341" s="2503">
        <f t="shared" si="208"/>
        <v>22</v>
      </c>
      <c r="R341" s="2503">
        <f t="shared" si="209"/>
        <v>77</v>
      </c>
    </row>
    <row r="342" spans="1:18" ht="15.75" thickTop="1">
      <c r="A342" s="474">
        <v>44321</v>
      </c>
      <c r="B342" s="453" t="s">
        <v>8876</v>
      </c>
      <c r="C342" s="453" t="s">
        <v>69</v>
      </c>
      <c r="D342" s="457">
        <v>1288350</v>
      </c>
      <c r="E342" s="453" t="s">
        <v>251</v>
      </c>
      <c r="F342" s="474">
        <v>44323</v>
      </c>
      <c r="G342" s="474">
        <v>44358</v>
      </c>
      <c r="H342" s="474">
        <v>44372</v>
      </c>
      <c r="I342" s="1474"/>
      <c r="J342" s="1474"/>
      <c r="K342" s="1474"/>
      <c r="L342" s="570">
        <v>44372</v>
      </c>
      <c r="M342" s="474">
        <v>44398</v>
      </c>
      <c r="N342" s="2503">
        <f t="shared" si="205"/>
        <v>2</v>
      </c>
      <c r="O342" s="2503">
        <f t="shared" si="206"/>
        <v>35</v>
      </c>
      <c r="P342" s="2503">
        <f t="shared" si="207"/>
        <v>14</v>
      </c>
      <c r="Q342" s="2503">
        <f t="shared" si="208"/>
        <v>26</v>
      </c>
      <c r="R342" s="2503">
        <f t="shared" si="209"/>
        <v>77</v>
      </c>
    </row>
    <row r="343" spans="1:18">
      <c r="A343" s="2140">
        <v>44321</v>
      </c>
      <c r="B343" s="2141" t="s">
        <v>8876</v>
      </c>
      <c r="C343" s="2141" t="s">
        <v>69</v>
      </c>
      <c r="D343" s="2144">
        <v>2552160</v>
      </c>
      <c r="E343" s="2141" t="s">
        <v>251</v>
      </c>
      <c r="F343" s="2140">
        <v>44323</v>
      </c>
      <c r="G343" s="2140">
        <v>44358</v>
      </c>
      <c r="H343" s="2140">
        <v>44372</v>
      </c>
      <c r="I343" s="2145"/>
      <c r="J343" s="2145"/>
      <c r="K343" s="2145"/>
      <c r="L343" s="2146">
        <v>44372</v>
      </c>
      <c r="M343" s="2140">
        <v>44398</v>
      </c>
      <c r="N343" s="2503">
        <f t="shared" si="205"/>
        <v>2</v>
      </c>
      <c r="O343" s="2503">
        <f t="shared" si="206"/>
        <v>35</v>
      </c>
      <c r="P343" s="2503">
        <f t="shared" si="207"/>
        <v>14</v>
      </c>
      <c r="Q343" s="2503">
        <f t="shared" si="208"/>
        <v>26</v>
      </c>
      <c r="R343" s="2503">
        <f t="shared" si="209"/>
        <v>77</v>
      </c>
    </row>
    <row r="344" spans="1:18" ht="15.75" thickBot="1">
      <c r="A344" s="2117">
        <v>44321</v>
      </c>
      <c r="B344" s="2118" t="s">
        <v>8876</v>
      </c>
      <c r="C344" s="2118" t="s">
        <v>69</v>
      </c>
      <c r="D344" s="2121">
        <v>245400</v>
      </c>
      <c r="E344" s="2118" t="s">
        <v>251</v>
      </c>
      <c r="F344" s="2117">
        <v>44323</v>
      </c>
      <c r="G344" s="2117">
        <v>44358</v>
      </c>
      <c r="H344" s="2117">
        <v>44372</v>
      </c>
      <c r="I344" s="2122"/>
      <c r="J344" s="2122"/>
      <c r="K344" s="2122"/>
      <c r="L344" s="2123">
        <v>44372</v>
      </c>
      <c r="M344" s="2117">
        <v>44398</v>
      </c>
      <c r="N344" s="2503">
        <f t="shared" si="205"/>
        <v>2</v>
      </c>
      <c r="O344" s="2503">
        <f t="shared" si="206"/>
        <v>35</v>
      </c>
      <c r="P344" s="2503">
        <f t="shared" si="207"/>
        <v>14</v>
      </c>
      <c r="Q344" s="2503">
        <f t="shared" si="208"/>
        <v>26</v>
      </c>
      <c r="R344" s="2503">
        <f t="shared" si="209"/>
        <v>77</v>
      </c>
    </row>
    <row r="345" spans="1:18" ht="15.75" thickTop="1">
      <c r="A345" s="365">
        <v>44321</v>
      </c>
      <c r="B345" s="2497" t="s">
        <v>8880</v>
      </c>
      <c r="C345" s="2497" t="s">
        <v>69</v>
      </c>
      <c r="D345" s="364">
        <v>9855928</v>
      </c>
      <c r="E345" s="2497" t="s">
        <v>251</v>
      </c>
      <c r="F345" s="474">
        <v>44323</v>
      </c>
      <c r="G345" s="474">
        <v>44358</v>
      </c>
      <c r="H345" s="365">
        <v>44376</v>
      </c>
      <c r="I345" s="1473"/>
      <c r="J345" s="1473"/>
      <c r="K345" s="1473"/>
      <c r="L345" s="681">
        <v>44376</v>
      </c>
      <c r="M345" s="365">
        <v>44398</v>
      </c>
      <c r="N345" s="2503">
        <f t="shared" si="205"/>
        <v>2</v>
      </c>
      <c r="O345" s="2503">
        <f t="shared" si="206"/>
        <v>35</v>
      </c>
      <c r="P345" s="2503">
        <f t="shared" si="207"/>
        <v>18</v>
      </c>
      <c r="Q345" s="2503">
        <f t="shared" si="208"/>
        <v>22</v>
      </c>
      <c r="R345" s="2503">
        <f t="shared" si="209"/>
        <v>77</v>
      </c>
    </row>
    <row r="346" spans="1:18" ht="15.75" thickBot="1">
      <c r="A346" s="537">
        <v>44320</v>
      </c>
      <c r="B346" s="491" t="s">
        <v>8889</v>
      </c>
      <c r="C346" s="491" t="s">
        <v>6561</v>
      </c>
      <c r="D346" s="536">
        <v>600000</v>
      </c>
      <c r="E346" s="491" t="s">
        <v>112</v>
      </c>
      <c r="F346" s="537">
        <v>44365</v>
      </c>
      <c r="G346" s="537">
        <v>44379</v>
      </c>
      <c r="H346" s="537">
        <v>44396</v>
      </c>
      <c r="I346" s="1471"/>
      <c r="J346" s="1471"/>
      <c r="K346" s="1471"/>
      <c r="L346" s="573">
        <v>44397</v>
      </c>
      <c r="M346" s="537">
        <v>44462</v>
      </c>
      <c r="N346" s="2503">
        <f t="shared" si="205"/>
        <v>45</v>
      </c>
      <c r="O346" s="2503">
        <f t="shared" si="206"/>
        <v>14</v>
      </c>
      <c r="P346" s="2503">
        <f t="shared" si="207"/>
        <v>17</v>
      </c>
      <c r="Q346" s="2503">
        <f t="shared" si="208"/>
        <v>66</v>
      </c>
      <c r="R346" s="2503">
        <f t="shared" si="209"/>
        <v>142</v>
      </c>
    </row>
    <row r="347" spans="1:18" ht="15.75" hidden="1" thickBot="1">
      <c r="A347" s="643">
        <v>44323</v>
      </c>
      <c r="B347" s="639" t="s">
        <v>8907</v>
      </c>
      <c r="C347" s="639" t="s">
        <v>2434</v>
      </c>
      <c r="D347" s="645">
        <v>1573900</v>
      </c>
      <c r="E347" s="639" t="s">
        <v>112</v>
      </c>
      <c r="F347" s="643">
        <v>44329</v>
      </c>
      <c r="G347" s="643">
        <v>44342</v>
      </c>
      <c r="H347" s="639"/>
      <c r="I347" s="1534"/>
      <c r="J347" s="1534"/>
      <c r="K347" s="1534"/>
      <c r="L347" s="645"/>
      <c r="M347" s="639"/>
    </row>
    <row r="348" spans="1:18" ht="15.75" thickTop="1">
      <c r="A348" s="474">
        <v>44322</v>
      </c>
      <c r="B348" s="453" t="s">
        <v>8914</v>
      </c>
      <c r="C348" s="453" t="s">
        <v>58</v>
      </c>
      <c r="D348" s="457">
        <v>124000</v>
      </c>
      <c r="E348" s="453" t="s">
        <v>112</v>
      </c>
      <c r="F348" s="474">
        <v>44328</v>
      </c>
      <c r="G348" s="474">
        <v>44341</v>
      </c>
      <c r="H348" s="474">
        <v>44365</v>
      </c>
      <c r="I348" s="1474"/>
      <c r="J348" s="1474"/>
      <c r="K348" s="1474"/>
      <c r="L348" s="570">
        <v>44365</v>
      </c>
      <c r="M348" s="474">
        <v>44385</v>
      </c>
      <c r="N348" s="2503">
        <f t="shared" ref="N348:N349" si="210">F348-A348</f>
        <v>6</v>
      </c>
      <c r="O348" s="2503">
        <f t="shared" ref="O348:O349" si="211">G348-F348</f>
        <v>13</v>
      </c>
      <c r="P348" s="2503">
        <f t="shared" ref="P348:P349" si="212">H348-G348</f>
        <v>24</v>
      </c>
      <c r="Q348" s="2503">
        <f t="shared" ref="Q348:Q349" si="213">M348-H348</f>
        <v>20</v>
      </c>
      <c r="R348" s="2503">
        <f t="shared" ref="R348:R349" si="214">M348-A348</f>
        <v>63</v>
      </c>
    </row>
    <row r="349" spans="1:18">
      <c r="A349" s="2140">
        <v>44322</v>
      </c>
      <c r="B349" s="2141" t="s">
        <v>8914</v>
      </c>
      <c r="C349" s="2141" t="s">
        <v>58</v>
      </c>
      <c r="D349" s="2144">
        <v>132000</v>
      </c>
      <c r="E349" s="2141" t="s">
        <v>112</v>
      </c>
      <c r="F349" s="2140">
        <v>44328</v>
      </c>
      <c r="G349" s="2140">
        <v>44341</v>
      </c>
      <c r="H349" s="2140">
        <v>44365</v>
      </c>
      <c r="I349" s="2145"/>
      <c r="J349" s="2145"/>
      <c r="K349" s="2145"/>
      <c r="L349" s="2146">
        <v>44365</v>
      </c>
      <c r="M349" s="2140">
        <v>44385</v>
      </c>
      <c r="N349" s="2503">
        <f t="shared" si="210"/>
        <v>6</v>
      </c>
      <c r="O349" s="2503">
        <f t="shared" si="211"/>
        <v>13</v>
      </c>
      <c r="P349" s="2503">
        <f t="shared" si="212"/>
        <v>24</v>
      </c>
      <c r="Q349" s="2503">
        <f t="shared" si="213"/>
        <v>20</v>
      </c>
      <c r="R349" s="2503">
        <f t="shared" si="214"/>
        <v>63</v>
      </c>
    </row>
    <row r="350" spans="1:18" hidden="1">
      <c r="A350" s="2124">
        <v>44322</v>
      </c>
      <c r="B350" s="2125" t="s">
        <v>8914</v>
      </c>
      <c r="C350" s="2125" t="s">
        <v>58</v>
      </c>
      <c r="D350" s="2128">
        <v>157000</v>
      </c>
      <c r="E350" s="2125" t="s">
        <v>112</v>
      </c>
      <c r="F350" s="2124">
        <v>44328</v>
      </c>
      <c r="G350" s="2124">
        <v>44341</v>
      </c>
      <c r="H350" s="2125"/>
      <c r="I350" s="2129"/>
      <c r="J350" s="2129"/>
      <c r="K350" s="2129"/>
      <c r="L350" s="2128"/>
      <c r="M350" s="2125"/>
    </row>
    <row r="351" spans="1:18">
      <c r="A351" s="2140">
        <v>44322</v>
      </c>
      <c r="B351" s="2141" t="s">
        <v>8914</v>
      </c>
      <c r="C351" s="2141" t="s">
        <v>58</v>
      </c>
      <c r="D351" s="2144">
        <v>82000</v>
      </c>
      <c r="E351" s="2141" t="s">
        <v>112</v>
      </c>
      <c r="F351" s="2140">
        <v>44328</v>
      </c>
      <c r="G351" s="2140">
        <v>44341</v>
      </c>
      <c r="H351" s="2140">
        <v>44365</v>
      </c>
      <c r="I351" s="2145"/>
      <c r="J351" s="2145"/>
      <c r="K351" s="2145"/>
      <c r="L351" s="2146">
        <v>44365</v>
      </c>
      <c r="M351" s="2140">
        <v>44385</v>
      </c>
      <c r="N351" s="2503">
        <f t="shared" ref="N351:N353" si="215">F351-A351</f>
        <v>6</v>
      </c>
      <c r="O351" s="2503">
        <f t="shared" ref="O351:O353" si="216">G351-F351</f>
        <v>13</v>
      </c>
      <c r="P351" s="2503">
        <f t="shared" ref="P351:P353" si="217">H351-G351</f>
        <v>24</v>
      </c>
      <c r="Q351" s="2503">
        <f t="shared" ref="Q351:Q353" si="218">M351-H351</f>
        <v>20</v>
      </c>
      <c r="R351" s="2503">
        <f t="shared" ref="R351:R353" si="219">M351-A351</f>
        <v>63</v>
      </c>
    </row>
    <row r="352" spans="1:18" ht="15.75" thickBot="1">
      <c r="A352" s="2117">
        <v>44322</v>
      </c>
      <c r="B352" s="2118" t="s">
        <v>8914</v>
      </c>
      <c r="C352" s="2118" t="s">
        <v>58</v>
      </c>
      <c r="D352" s="2121">
        <v>150000</v>
      </c>
      <c r="E352" s="2118" t="s">
        <v>112</v>
      </c>
      <c r="F352" s="2117">
        <v>44328</v>
      </c>
      <c r="G352" s="2117">
        <v>44341</v>
      </c>
      <c r="H352" s="2117">
        <v>44365</v>
      </c>
      <c r="I352" s="2122"/>
      <c r="J352" s="2122"/>
      <c r="K352" s="2122"/>
      <c r="L352" s="2123">
        <v>44365</v>
      </c>
      <c r="M352" s="2117">
        <v>44385</v>
      </c>
      <c r="N352" s="2503">
        <f t="shared" si="215"/>
        <v>6</v>
      </c>
      <c r="O352" s="2503">
        <f t="shared" si="216"/>
        <v>13</v>
      </c>
      <c r="P352" s="2503">
        <f t="shared" si="217"/>
        <v>24</v>
      </c>
      <c r="Q352" s="2503">
        <f t="shared" si="218"/>
        <v>20</v>
      </c>
      <c r="R352" s="2503">
        <f t="shared" si="219"/>
        <v>63</v>
      </c>
    </row>
    <row r="353" spans="1:18" ht="15.75" thickTop="1">
      <c r="A353" s="365">
        <v>44326</v>
      </c>
      <c r="B353" s="2497" t="s">
        <v>8918</v>
      </c>
      <c r="C353" s="2497" t="s">
        <v>58</v>
      </c>
      <c r="D353" s="364">
        <v>41500000</v>
      </c>
      <c r="E353" s="2497" t="s">
        <v>251</v>
      </c>
      <c r="F353" s="365">
        <v>44334</v>
      </c>
      <c r="G353" s="365">
        <v>44379</v>
      </c>
      <c r="H353" s="365">
        <v>44433</v>
      </c>
      <c r="I353" s="1473"/>
      <c r="J353" s="1473"/>
      <c r="K353" s="1473"/>
      <c r="L353" s="681">
        <v>44433</v>
      </c>
      <c r="M353" s="365">
        <v>44480</v>
      </c>
      <c r="N353" s="2503">
        <f t="shared" si="215"/>
        <v>8</v>
      </c>
      <c r="O353" s="2503">
        <f t="shared" si="216"/>
        <v>45</v>
      </c>
      <c r="P353" s="2503">
        <f t="shared" si="217"/>
        <v>54</v>
      </c>
      <c r="Q353" s="2503">
        <f t="shared" si="218"/>
        <v>47</v>
      </c>
      <c r="R353" s="2503">
        <f t="shared" si="219"/>
        <v>154</v>
      </c>
    </row>
    <row r="354" spans="1:18" hidden="1">
      <c r="A354" s="510">
        <v>44322</v>
      </c>
      <c r="B354" s="506" t="s">
        <v>8919</v>
      </c>
      <c r="C354" s="506" t="s">
        <v>58</v>
      </c>
      <c r="D354" s="511">
        <v>620000</v>
      </c>
      <c r="E354" s="506" t="s">
        <v>112</v>
      </c>
      <c r="F354" s="510">
        <v>44333</v>
      </c>
      <c r="G354" s="510">
        <v>44342</v>
      </c>
      <c r="H354" s="506"/>
      <c r="I354" s="1484"/>
      <c r="J354" s="1484"/>
      <c r="K354" s="1484"/>
      <c r="L354" s="511"/>
      <c r="M354" s="506"/>
    </row>
    <row r="355" spans="1:18" ht="15.75" thickBot="1">
      <c r="A355" s="416">
        <v>44322</v>
      </c>
      <c r="B355" s="411" t="s">
        <v>8923</v>
      </c>
      <c r="C355" s="411" t="s">
        <v>4997</v>
      </c>
      <c r="D355" s="417">
        <v>550000</v>
      </c>
      <c r="E355" s="411" t="s">
        <v>112</v>
      </c>
      <c r="F355" s="416">
        <v>44329</v>
      </c>
      <c r="G355" s="416">
        <v>44341</v>
      </c>
      <c r="H355" s="416">
        <v>44347</v>
      </c>
      <c r="I355" s="1480"/>
      <c r="J355" s="1480"/>
      <c r="K355" s="1480"/>
      <c r="L355" s="513">
        <v>44347</v>
      </c>
      <c r="M355" s="416">
        <v>44379</v>
      </c>
      <c r="N355" s="2503">
        <f t="shared" ref="N355:N360" si="220">F355-A355</f>
        <v>7</v>
      </c>
      <c r="O355" s="2503">
        <f t="shared" ref="O355:O360" si="221">G355-F355</f>
        <v>12</v>
      </c>
      <c r="P355" s="2503">
        <f t="shared" ref="P355:P360" si="222">H355-G355</f>
        <v>6</v>
      </c>
      <c r="Q355" s="2503">
        <f t="shared" ref="Q355:Q360" si="223">M355-H355</f>
        <v>32</v>
      </c>
      <c r="R355" s="2503">
        <f t="shared" ref="R355:R360" si="224">M355-A355</f>
        <v>57</v>
      </c>
    </row>
    <row r="356" spans="1:18" ht="15.75" thickTop="1">
      <c r="A356" s="474">
        <v>44327</v>
      </c>
      <c r="B356" s="453" t="s">
        <v>8928</v>
      </c>
      <c r="C356" s="453" t="s">
        <v>69</v>
      </c>
      <c r="D356" s="457">
        <v>2346916</v>
      </c>
      <c r="E356" s="453" t="s">
        <v>251</v>
      </c>
      <c r="F356" s="474">
        <v>44330</v>
      </c>
      <c r="G356" s="474">
        <v>44363</v>
      </c>
      <c r="H356" s="474">
        <v>44390</v>
      </c>
      <c r="I356" s="1483"/>
      <c r="J356" s="1483"/>
      <c r="K356" s="1483"/>
      <c r="L356" s="570">
        <v>44390</v>
      </c>
      <c r="M356" s="474">
        <v>44438</v>
      </c>
      <c r="N356" s="2503">
        <f t="shared" si="220"/>
        <v>3</v>
      </c>
      <c r="O356" s="2503">
        <f t="shared" si="221"/>
        <v>33</v>
      </c>
      <c r="P356" s="2503">
        <f t="shared" si="222"/>
        <v>27</v>
      </c>
      <c r="Q356" s="2503">
        <f t="shared" si="223"/>
        <v>48</v>
      </c>
      <c r="R356" s="2503">
        <f t="shared" si="224"/>
        <v>111</v>
      </c>
    </row>
    <row r="357" spans="1:18">
      <c r="A357" s="2140">
        <v>44327</v>
      </c>
      <c r="B357" s="2141" t="s">
        <v>8928</v>
      </c>
      <c r="C357" s="2141" t="s">
        <v>69</v>
      </c>
      <c r="D357" s="2144">
        <v>340647</v>
      </c>
      <c r="E357" s="2141" t="s">
        <v>251</v>
      </c>
      <c r="F357" s="2140">
        <v>44330</v>
      </c>
      <c r="G357" s="2140">
        <v>44363</v>
      </c>
      <c r="H357" s="2140">
        <v>44390</v>
      </c>
      <c r="I357" s="2094"/>
      <c r="J357" s="2094"/>
      <c r="K357" s="2094"/>
      <c r="L357" s="2146">
        <v>44390</v>
      </c>
      <c r="M357" s="2140">
        <v>44438</v>
      </c>
      <c r="N357" s="2503">
        <f t="shared" si="220"/>
        <v>3</v>
      </c>
      <c r="O357" s="2503">
        <f t="shared" si="221"/>
        <v>33</v>
      </c>
      <c r="P357" s="2503">
        <f t="shared" si="222"/>
        <v>27</v>
      </c>
      <c r="Q357" s="2503">
        <f t="shared" si="223"/>
        <v>48</v>
      </c>
      <c r="R357" s="2503">
        <f t="shared" si="224"/>
        <v>111</v>
      </c>
    </row>
    <row r="358" spans="1:18" ht="15.75" thickBot="1">
      <c r="A358" s="2117">
        <v>44327</v>
      </c>
      <c r="B358" s="2118" t="s">
        <v>8928</v>
      </c>
      <c r="C358" s="2118" t="s">
        <v>69</v>
      </c>
      <c r="D358" s="2121">
        <v>9686186</v>
      </c>
      <c r="E358" s="2118" t="s">
        <v>251</v>
      </c>
      <c r="F358" s="2117">
        <v>44330</v>
      </c>
      <c r="G358" s="2117">
        <v>44363</v>
      </c>
      <c r="H358" s="2117">
        <v>44390</v>
      </c>
      <c r="I358" s="2122"/>
      <c r="J358" s="2122"/>
      <c r="K358" s="2122"/>
      <c r="L358" s="2123">
        <v>44390</v>
      </c>
      <c r="M358" s="2117">
        <v>44414</v>
      </c>
      <c r="N358" s="2503">
        <f t="shared" si="220"/>
        <v>3</v>
      </c>
      <c r="O358" s="2503">
        <f t="shared" si="221"/>
        <v>33</v>
      </c>
      <c r="P358" s="2503">
        <f t="shared" si="222"/>
        <v>27</v>
      </c>
      <c r="Q358" s="2503">
        <f t="shared" si="223"/>
        <v>24</v>
      </c>
      <c r="R358" s="2503">
        <f t="shared" si="224"/>
        <v>87</v>
      </c>
    </row>
    <row r="359" spans="1:18" ht="15.75" thickTop="1">
      <c r="A359" s="365">
        <v>44327</v>
      </c>
      <c r="B359" s="2497" t="s">
        <v>8933</v>
      </c>
      <c r="C359" s="2497" t="s">
        <v>69</v>
      </c>
      <c r="D359" s="364">
        <v>5721024</v>
      </c>
      <c r="E359" s="2497" t="s">
        <v>251</v>
      </c>
      <c r="F359" s="365">
        <v>44330</v>
      </c>
      <c r="G359" s="365">
        <v>44362</v>
      </c>
      <c r="H359" s="365">
        <v>44392</v>
      </c>
      <c r="I359" s="1473"/>
      <c r="J359" s="1473"/>
      <c r="K359" s="1473"/>
      <c r="L359" s="681">
        <v>44392</v>
      </c>
      <c r="M359" s="365">
        <v>44417</v>
      </c>
      <c r="N359" s="2503">
        <f t="shared" si="220"/>
        <v>3</v>
      </c>
      <c r="O359" s="2503">
        <f t="shared" si="221"/>
        <v>32</v>
      </c>
      <c r="P359" s="2503">
        <f t="shared" si="222"/>
        <v>30</v>
      </c>
      <c r="Q359" s="2503">
        <f t="shared" si="223"/>
        <v>25</v>
      </c>
      <c r="R359" s="2503">
        <f t="shared" si="224"/>
        <v>90</v>
      </c>
    </row>
    <row r="360" spans="1:18">
      <c r="A360" s="537">
        <v>44327</v>
      </c>
      <c r="B360" s="491" t="s">
        <v>8935</v>
      </c>
      <c r="C360" s="491" t="s">
        <v>69</v>
      </c>
      <c r="D360" s="536">
        <v>6555000</v>
      </c>
      <c r="E360" s="491" t="s">
        <v>251</v>
      </c>
      <c r="F360" s="537">
        <v>44330</v>
      </c>
      <c r="G360" s="537">
        <v>44384</v>
      </c>
      <c r="H360" s="537">
        <v>44424</v>
      </c>
      <c r="I360" s="1471"/>
      <c r="J360" s="1471"/>
      <c r="K360" s="1471"/>
      <c r="L360" s="573">
        <v>44424</v>
      </c>
      <c r="M360" s="537">
        <v>44452</v>
      </c>
      <c r="N360" s="2503">
        <f t="shared" si="220"/>
        <v>3</v>
      </c>
      <c r="O360" s="2503">
        <f t="shared" si="221"/>
        <v>54</v>
      </c>
      <c r="P360" s="2503">
        <f t="shared" si="222"/>
        <v>40</v>
      </c>
      <c r="Q360" s="2503">
        <f t="shared" si="223"/>
        <v>28</v>
      </c>
      <c r="R360" s="2503">
        <f t="shared" si="224"/>
        <v>125</v>
      </c>
    </row>
    <row r="361" spans="1:18" hidden="1">
      <c r="A361" s="510">
        <v>44333</v>
      </c>
      <c r="B361" s="506" t="s">
        <v>8954</v>
      </c>
      <c r="C361" s="506" t="s">
        <v>2434</v>
      </c>
      <c r="D361" s="511">
        <v>6640000</v>
      </c>
      <c r="E361" s="506" t="s">
        <v>251</v>
      </c>
      <c r="F361" s="510">
        <v>44336</v>
      </c>
      <c r="G361" s="510">
        <v>44398</v>
      </c>
      <c r="H361" s="506"/>
      <c r="I361" s="1470"/>
      <c r="J361" s="1470"/>
      <c r="K361" s="1470"/>
      <c r="L361" s="511"/>
      <c r="M361" s="506"/>
    </row>
    <row r="362" spans="1:18">
      <c r="A362" s="537">
        <v>44330</v>
      </c>
      <c r="B362" s="491" t="s">
        <v>8956</v>
      </c>
      <c r="C362" s="491" t="s">
        <v>2434</v>
      </c>
      <c r="D362" s="536">
        <v>1185000</v>
      </c>
      <c r="E362" s="491" t="s">
        <v>112</v>
      </c>
      <c r="F362" s="537">
        <v>44334</v>
      </c>
      <c r="G362" s="537">
        <v>44343</v>
      </c>
      <c r="H362" s="537">
        <v>44348</v>
      </c>
      <c r="I362" s="1471"/>
      <c r="J362" s="1471"/>
      <c r="K362" s="1471"/>
      <c r="L362" s="573">
        <v>44348</v>
      </c>
      <c r="M362" s="537">
        <v>44397</v>
      </c>
      <c r="N362" s="2503">
        <f t="shared" ref="N362:N370" si="225">F362-A362</f>
        <v>4</v>
      </c>
      <c r="O362" s="2503">
        <f t="shared" ref="O362:O370" si="226">G362-F362</f>
        <v>9</v>
      </c>
      <c r="P362" s="2503">
        <f t="shared" ref="P362:P370" si="227">H362-G362</f>
        <v>5</v>
      </c>
      <c r="Q362" s="2503">
        <f t="shared" ref="Q362:Q370" si="228">M362-H362</f>
        <v>49</v>
      </c>
      <c r="R362" s="2503">
        <f t="shared" ref="R362:R370" si="229">M362-A362</f>
        <v>67</v>
      </c>
    </row>
    <row r="363" spans="1:18">
      <c r="A363" s="537">
        <v>44327</v>
      </c>
      <c r="B363" s="491" t="s">
        <v>8959</v>
      </c>
      <c r="C363" s="491" t="s">
        <v>58</v>
      </c>
      <c r="D363" s="536">
        <v>247500</v>
      </c>
      <c r="E363" s="491" t="s">
        <v>112</v>
      </c>
      <c r="F363" s="537">
        <v>44334</v>
      </c>
      <c r="G363" s="537">
        <v>44350</v>
      </c>
      <c r="H363" s="537">
        <v>44358</v>
      </c>
      <c r="I363" s="1471"/>
      <c r="J363" s="1471"/>
      <c r="K363" s="1471"/>
      <c r="L363" s="573">
        <v>44358</v>
      </c>
      <c r="M363" s="537">
        <v>44399</v>
      </c>
      <c r="N363" s="2503">
        <f t="shared" si="225"/>
        <v>7</v>
      </c>
      <c r="O363" s="2503">
        <f t="shared" si="226"/>
        <v>16</v>
      </c>
      <c r="P363" s="2503">
        <f t="shared" si="227"/>
        <v>8</v>
      </c>
      <c r="Q363" s="2503">
        <f t="shared" si="228"/>
        <v>41</v>
      </c>
      <c r="R363" s="2503">
        <f t="shared" si="229"/>
        <v>72</v>
      </c>
    </row>
    <row r="364" spans="1:18">
      <c r="A364" s="537">
        <v>44327</v>
      </c>
      <c r="B364" s="491" t="s">
        <v>8963</v>
      </c>
      <c r="C364" s="491" t="s">
        <v>58</v>
      </c>
      <c r="D364" s="536">
        <v>51900</v>
      </c>
      <c r="E364" s="491" t="s">
        <v>112</v>
      </c>
      <c r="F364" s="537">
        <v>44334</v>
      </c>
      <c r="G364" s="537">
        <v>44343</v>
      </c>
      <c r="H364" s="537">
        <v>44349</v>
      </c>
      <c r="I364" s="1471"/>
      <c r="J364" s="1471"/>
      <c r="K364" s="1471"/>
      <c r="L364" s="573">
        <v>44350</v>
      </c>
      <c r="M364" s="537">
        <v>44369</v>
      </c>
      <c r="N364" s="2503">
        <f t="shared" si="225"/>
        <v>7</v>
      </c>
      <c r="O364" s="2503">
        <f t="shared" si="226"/>
        <v>9</v>
      </c>
      <c r="P364" s="2503">
        <f t="shared" si="227"/>
        <v>6</v>
      </c>
      <c r="Q364" s="2503">
        <f t="shared" si="228"/>
        <v>20</v>
      </c>
      <c r="R364" s="2503">
        <f t="shared" si="229"/>
        <v>42</v>
      </c>
    </row>
    <row r="365" spans="1:18">
      <c r="A365" s="537">
        <v>44327</v>
      </c>
      <c r="B365" s="491" t="s">
        <v>8966</v>
      </c>
      <c r="C365" s="491" t="s">
        <v>58</v>
      </c>
      <c r="D365" s="536">
        <v>335000</v>
      </c>
      <c r="E365" s="491" t="s">
        <v>112</v>
      </c>
      <c r="F365" s="537">
        <v>44334</v>
      </c>
      <c r="G365" s="537">
        <v>44344</v>
      </c>
      <c r="H365" s="537">
        <v>44358</v>
      </c>
      <c r="I365" s="1471"/>
      <c r="J365" s="1471"/>
      <c r="K365" s="1471"/>
      <c r="L365" s="573">
        <v>44358</v>
      </c>
      <c r="M365" s="537">
        <v>44385</v>
      </c>
      <c r="N365" s="2503">
        <f t="shared" si="225"/>
        <v>7</v>
      </c>
      <c r="O365" s="2503">
        <f t="shared" si="226"/>
        <v>10</v>
      </c>
      <c r="P365" s="2503">
        <f t="shared" si="227"/>
        <v>14</v>
      </c>
      <c r="Q365" s="2503">
        <f t="shared" si="228"/>
        <v>27</v>
      </c>
      <c r="R365" s="2503">
        <f t="shared" si="229"/>
        <v>58</v>
      </c>
    </row>
    <row r="366" spans="1:18">
      <c r="A366" s="537">
        <v>44327</v>
      </c>
      <c r="B366" s="491" t="s">
        <v>8966</v>
      </c>
      <c r="C366" s="491" t="s">
        <v>58</v>
      </c>
      <c r="D366" s="536">
        <v>87000</v>
      </c>
      <c r="E366" s="491" t="s">
        <v>112</v>
      </c>
      <c r="F366" s="537">
        <v>44334</v>
      </c>
      <c r="G366" s="537">
        <v>44344</v>
      </c>
      <c r="H366" s="537">
        <v>44358</v>
      </c>
      <c r="I366" s="1471"/>
      <c r="J366" s="1471"/>
      <c r="K366" s="1471"/>
      <c r="L366" s="573">
        <v>44358</v>
      </c>
      <c r="M366" s="537">
        <v>44385</v>
      </c>
      <c r="N366" s="2503">
        <f t="shared" si="225"/>
        <v>7</v>
      </c>
      <c r="O366" s="2503">
        <f t="shared" si="226"/>
        <v>10</v>
      </c>
      <c r="P366" s="2503">
        <f t="shared" si="227"/>
        <v>14</v>
      </c>
      <c r="Q366" s="2503">
        <f t="shared" si="228"/>
        <v>27</v>
      </c>
      <c r="R366" s="2503">
        <f t="shared" si="229"/>
        <v>58</v>
      </c>
    </row>
    <row r="367" spans="1:18">
      <c r="A367" s="537">
        <v>44333</v>
      </c>
      <c r="B367" s="491" t="s">
        <v>8980</v>
      </c>
      <c r="C367" s="491" t="s">
        <v>2434</v>
      </c>
      <c r="D367" s="536">
        <v>607500</v>
      </c>
      <c r="E367" s="491" t="s">
        <v>112</v>
      </c>
      <c r="F367" s="537">
        <v>44337</v>
      </c>
      <c r="G367" s="537">
        <v>44349</v>
      </c>
      <c r="H367" s="537">
        <v>44354</v>
      </c>
      <c r="I367" s="1471"/>
      <c r="J367" s="1471"/>
      <c r="K367" s="1471"/>
      <c r="L367" s="573">
        <v>44355</v>
      </c>
      <c r="M367" s="537">
        <v>44377</v>
      </c>
      <c r="N367" s="2503">
        <f t="shared" si="225"/>
        <v>4</v>
      </c>
      <c r="O367" s="2503">
        <f t="shared" si="226"/>
        <v>12</v>
      </c>
      <c r="P367" s="2503">
        <f t="shared" si="227"/>
        <v>5</v>
      </c>
      <c r="Q367" s="2503">
        <f t="shared" si="228"/>
        <v>23</v>
      </c>
      <c r="R367" s="2503">
        <f t="shared" si="229"/>
        <v>44</v>
      </c>
    </row>
    <row r="368" spans="1:18" s="390" customFormat="1">
      <c r="A368" s="2140">
        <v>44335</v>
      </c>
      <c r="B368" s="2141" t="s">
        <v>8996</v>
      </c>
      <c r="C368" s="2141" t="s">
        <v>2434</v>
      </c>
      <c r="D368" s="2144">
        <v>2788800</v>
      </c>
      <c r="E368" s="2141" t="s">
        <v>216</v>
      </c>
      <c r="F368" s="2140">
        <v>44341</v>
      </c>
      <c r="G368" s="2140">
        <v>44399</v>
      </c>
      <c r="H368" s="2140">
        <v>44442</v>
      </c>
      <c r="I368" s="2145"/>
      <c r="J368" s="2145"/>
      <c r="K368" s="2145"/>
      <c r="L368" s="2146">
        <v>44442</v>
      </c>
      <c r="M368" s="2140">
        <v>44462</v>
      </c>
      <c r="N368" s="2503">
        <f t="shared" si="225"/>
        <v>6</v>
      </c>
      <c r="O368" s="2503">
        <f t="shared" si="226"/>
        <v>58</v>
      </c>
      <c r="P368" s="2503">
        <f t="shared" si="227"/>
        <v>43</v>
      </c>
      <c r="Q368" s="2503">
        <f t="shared" si="228"/>
        <v>20</v>
      </c>
      <c r="R368" s="2503">
        <f t="shared" si="229"/>
        <v>127</v>
      </c>
    </row>
    <row r="369" spans="1:18">
      <c r="A369" s="537">
        <v>44334</v>
      </c>
      <c r="B369" s="491" t="s">
        <v>8986</v>
      </c>
      <c r="C369" s="491" t="s">
        <v>2434</v>
      </c>
      <c r="D369" s="536">
        <v>513000</v>
      </c>
      <c r="E369" s="491" t="s">
        <v>112</v>
      </c>
      <c r="F369" s="537">
        <v>44337</v>
      </c>
      <c r="G369" s="537">
        <v>44349</v>
      </c>
      <c r="H369" s="537">
        <v>44354</v>
      </c>
      <c r="I369" s="1471"/>
      <c r="J369" s="1471"/>
      <c r="K369" s="1471"/>
      <c r="L369" s="573">
        <v>44355</v>
      </c>
      <c r="M369" s="537">
        <v>44377</v>
      </c>
      <c r="N369" s="2503">
        <f t="shared" si="225"/>
        <v>3</v>
      </c>
      <c r="O369" s="2503">
        <f t="shared" si="226"/>
        <v>12</v>
      </c>
      <c r="P369" s="2503">
        <f t="shared" si="227"/>
        <v>5</v>
      </c>
      <c r="Q369" s="2503">
        <f t="shared" si="228"/>
        <v>23</v>
      </c>
      <c r="R369" s="2503">
        <f t="shared" si="229"/>
        <v>43</v>
      </c>
    </row>
    <row r="370" spans="1:18">
      <c r="A370" s="537">
        <v>44335</v>
      </c>
      <c r="B370" s="491" t="s">
        <v>8988</v>
      </c>
      <c r="C370" s="491" t="s">
        <v>58</v>
      </c>
      <c r="D370" s="536">
        <v>360000</v>
      </c>
      <c r="E370" s="491" t="s">
        <v>112</v>
      </c>
      <c r="F370" s="537">
        <v>44340</v>
      </c>
      <c r="G370" s="537">
        <v>44348</v>
      </c>
      <c r="H370" s="537">
        <v>44358</v>
      </c>
      <c r="I370" s="1471"/>
      <c r="J370" s="1471"/>
      <c r="K370" s="1471"/>
      <c r="L370" s="573">
        <v>44358</v>
      </c>
      <c r="M370" s="537">
        <v>44379</v>
      </c>
      <c r="N370" s="2503">
        <f t="shared" si="225"/>
        <v>5</v>
      </c>
      <c r="O370" s="2503">
        <f t="shared" si="226"/>
        <v>8</v>
      </c>
      <c r="P370" s="2503">
        <f t="shared" si="227"/>
        <v>10</v>
      </c>
      <c r="Q370" s="2503">
        <f t="shared" si="228"/>
        <v>21</v>
      </c>
      <c r="R370" s="2503">
        <f t="shared" si="229"/>
        <v>44</v>
      </c>
    </row>
    <row r="371" spans="1:18" hidden="1">
      <c r="A371" s="510">
        <v>44335</v>
      </c>
      <c r="B371" s="506" t="s">
        <v>8991</v>
      </c>
      <c r="C371" s="506" t="s">
        <v>2434</v>
      </c>
      <c r="D371" s="511">
        <v>1457850</v>
      </c>
      <c r="E371" s="506" t="s">
        <v>112</v>
      </c>
      <c r="F371" s="510">
        <v>44350</v>
      </c>
      <c r="G371" s="510">
        <v>44361</v>
      </c>
      <c r="H371" s="506"/>
      <c r="I371" s="1470"/>
      <c r="J371" s="1470"/>
      <c r="K371" s="1470"/>
      <c r="L371" s="511"/>
      <c r="M371" s="506"/>
    </row>
    <row r="372" spans="1:18">
      <c r="A372" s="537">
        <v>44335</v>
      </c>
      <c r="B372" s="491" t="s">
        <v>8993</v>
      </c>
      <c r="C372" s="491" t="s">
        <v>14</v>
      </c>
      <c r="D372" s="536">
        <v>2650000</v>
      </c>
      <c r="E372" s="491" t="s">
        <v>216</v>
      </c>
      <c r="F372" s="537">
        <v>44341</v>
      </c>
      <c r="G372" s="537">
        <v>44358</v>
      </c>
      <c r="H372" s="537">
        <v>44372</v>
      </c>
      <c r="I372" s="1471"/>
      <c r="J372" s="1471"/>
      <c r="K372" s="1471"/>
      <c r="L372" s="573">
        <v>44372</v>
      </c>
      <c r="M372" s="537">
        <v>44397</v>
      </c>
      <c r="N372" s="2503">
        <f t="shared" ref="N372:N376" si="230">F372-A372</f>
        <v>6</v>
      </c>
      <c r="O372" s="2503">
        <f t="shared" ref="O372:O376" si="231">G372-F372</f>
        <v>17</v>
      </c>
      <c r="P372" s="2503">
        <f t="shared" ref="P372:P376" si="232">H372-G372</f>
        <v>14</v>
      </c>
      <c r="Q372" s="2503">
        <f t="shared" ref="Q372:Q376" si="233">M372-H372</f>
        <v>25</v>
      </c>
      <c r="R372" s="2503">
        <f t="shared" ref="R372:R376" si="234">M372-A372</f>
        <v>62</v>
      </c>
    </row>
    <row r="373" spans="1:18">
      <c r="A373" s="537">
        <v>44335</v>
      </c>
      <c r="B373" s="491" t="s">
        <v>9118</v>
      </c>
      <c r="C373" s="491" t="s">
        <v>58</v>
      </c>
      <c r="D373" s="536">
        <v>220000</v>
      </c>
      <c r="E373" s="491" t="s">
        <v>112</v>
      </c>
      <c r="F373" s="537">
        <v>44340</v>
      </c>
      <c r="G373" s="537">
        <v>44349</v>
      </c>
      <c r="H373" s="537">
        <v>44358</v>
      </c>
      <c r="I373" s="1471"/>
      <c r="J373" s="1471"/>
      <c r="K373" s="1471"/>
      <c r="L373" s="573">
        <v>44358</v>
      </c>
      <c r="M373" s="537">
        <v>44379</v>
      </c>
      <c r="N373" s="2503">
        <f t="shared" si="230"/>
        <v>5</v>
      </c>
      <c r="O373" s="2503">
        <f t="shared" si="231"/>
        <v>9</v>
      </c>
      <c r="P373" s="2503">
        <f t="shared" si="232"/>
        <v>9</v>
      </c>
      <c r="Q373" s="2503">
        <f t="shared" si="233"/>
        <v>21</v>
      </c>
      <c r="R373" s="2503">
        <f t="shared" si="234"/>
        <v>44</v>
      </c>
    </row>
    <row r="374" spans="1:18">
      <c r="A374" s="537">
        <v>44337</v>
      </c>
      <c r="B374" s="491" t="s">
        <v>9006</v>
      </c>
      <c r="C374" s="491" t="s">
        <v>9007</v>
      </c>
      <c r="D374" s="536">
        <v>466557</v>
      </c>
      <c r="E374" s="491" t="s">
        <v>112</v>
      </c>
      <c r="F374" s="537">
        <v>44398</v>
      </c>
      <c r="G374" s="537">
        <v>44407</v>
      </c>
      <c r="H374" s="537">
        <v>44420</v>
      </c>
      <c r="I374" s="1471"/>
      <c r="J374" s="1471"/>
      <c r="K374" s="1471"/>
      <c r="L374" s="573">
        <v>44420</v>
      </c>
      <c r="M374" s="537">
        <v>44454</v>
      </c>
      <c r="N374" s="2503">
        <f t="shared" si="230"/>
        <v>61</v>
      </c>
      <c r="O374" s="2503">
        <f t="shared" si="231"/>
        <v>9</v>
      </c>
      <c r="P374" s="2503">
        <f t="shared" si="232"/>
        <v>13</v>
      </c>
      <c r="Q374" s="2503">
        <f t="shared" si="233"/>
        <v>34</v>
      </c>
      <c r="R374" s="2503">
        <f t="shared" si="234"/>
        <v>117</v>
      </c>
    </row>
    <row r="375" spans="1:18">
      <c r="A375" s="537">
        <v>44337</v>
      </c>
      <c r="B375" s="491" t="s">
        <v>9016</v>
      </c>
      <c r="C375" s="491" t="s">
        <v>1032</v>
      </c>
      <c r="D375" s="536">
        <v>6500000</v>
      </c>
      <c r="E375" s="491" t="s">
        <v>251</v>
      </c>
      <c r="F375" s="537">
        <v>44344</v>
      </c>
      <c r="G375" s="537">
        <v>44410</v>
      </c>
      <c r="H375" s="537">
        <v>44420</v>
      </c>
      <c r="I375" s="1484"/>
      <c r="J375" s="1484"/>
      <c r="K375" s="1484"/>
      <c r="L375" s="573">
        <v>44420</v>
      </c>
      <c r="M375" s="537">
        <v>44446</v>
      </c>
      <c r="N375" s="2503">
        <f t="shared" si="230"/>
        <v>7</v>
      </c>
      <c r="O375" s="2503">
        <f t="shared" si="231"/>
        <v>66</v>
      </c>
      <c r="P375" s="2503">
        <f t="shared" si="232"/>
        <v>10</v>
      </c>
      <c r="Q375" s="2503">
        <f t="shared" si="233"/>
        <v>26</v>
      </c>
      <c r="R375" s="2503">
        <f t="shared" si="234"/>
        <v>109</v>
      </c>
    </row>
    <row r="376" spans="1:18">
      <c r="A376" s="416">
        <v>44341</v>
      </c>
      <c r="B376" s="411" t="s">
        <v>9025</v>
      </c>
      <c r="C376" s="411" t="s">
        <v>58</v>
      </c>
      <c r="D376" s="417">
        <v>151000</v>
      </c>
      <c r="E376" s="411" t="s">
        <v>112</v>
      </c>
      <c r="F376" s="416">
        <v>44343</v>
      </c>
      <c r="G376" s="416">
        <v>44355</v>
      </c>
      <c r="H376" s="416">
        <v>44365</v>
      </c>
      <c r="I376" s="1480"/>
      <c r="J376" s="1480"/>
      <c r="K376" s="1480"/>
      <c r="L376" s="513">
        <v>44365</v>
      </c>
      <c r="M376" s="416">
        <v>44379</v>
      </c>
      <c r="N376" s="2503">
        <f t="shared" si="230"/>
        <v>2</v>
      </c>
      <c r="O376" s="2503">
        <f t="shared" si="231"/>
        <v>12</v>
      </c>
      <c r="P376" s="2503">
        <f t="shared" si="232"/>
        <v>10</v>
      </c>
      <c r="Q376" s="2503">
        <f t="shared" si="233"/>
        <v>14</v>
      </c>
      <c r="R376" s="2503">
        <f t="shared" si="234"/>
        <v>38</v>
      </c>
    </row>
    <row r="377" spans="1:18" ht="15.75" hidden="1" thickTop="1">
      <c r="A377" s="443">
        <v>44341</v>
      </c>
      <c r="B377" s="439" t="s">
        <v>9029</v>
      </c>
      <c r="C377" s="439" t="s">
        <v>58</v>
      </c>
      <c r="D377" s="444">
        <v>132000</v>
      </c>
      <c r="E377" s="439" t="s">
        <v>112</v>
      </c>
      <c r="F377" s="443">
        <v>44343</v>
      </c>
      <c r="G377" s="443">
        <v>44351</v>
      </c>
      <c r="H377" s="439"/>
      <c r="I377" s="1481"/>
      <c r="J377" s="1481"/>
      <c r="K377" s="1481"/>
      <c r="L377" s="444"/>
      <c r="M377" s="439"/>
    </row>
    <row r="378" spans="1:18" ht="15.75" hidden="1" thickBot="1">
      <c r="A378" s="2130">
        <v>44341</v>
      </c>
      <c r="B378" s="2131" t="s">
        <v>9029</v>
      </c>
      <c r="C378" s="2131" t="s">
        <v>58</v>
      </c>
      <c r="D378" s="2134">
        <v>221000</v>
      </c>
      <c r="E378" s="2131" t="s">
        <v>112</v>
      </c>
      <c r="F378" s="2130">
        <v>44343</v>
      </c>
      <c r="G378" s="2130">
        <v>44351</v>
      </c>
      <c r="H378" s="2131"/>
      <c r="I378" s="2135"/>
      <c r="J378" s="2135"/>
      <c r="K378" s="2135"/>
      <c r="L378" s="2134"/>
      <c r="M378" s="2131"/>
    </row>
    <row r="379" spans="1:18">
      <c r="A379" s="365">
        <v>44343</v>
      </c>
      <c r="B379" s="2497" t="s">
        <v>9056</v>
      </c>
      <c r="C379" s="2497" t="s">
        <v>2434</v>
      </c>
      <c r="D379" s="364">
        <v>1035150</v>
      </c>
      <c r="E379" s="2497" t="s">
        <v>112</v>
      </c>
      <c r="F379" s="365">
        <v>44349</v>
      </c>
      <c r="G379" s="365">
        <v>44358</v>
      </c>
      <c r="H379" s="365">
        <v>44363</v>
      </c>
      <c r="I379" s="1473"/>
      <c r="J379" s="1473"/>
      <c r="K379" s="1473"/>
      <c r="L379" s="681">
        <v>44364</v>
      </c>
      <c r="M379" s="365">
        <v>44396</v>
      </c>
      <c r="N379" s="2503">
        <f t="shared" ref="N379:N380" si="235">F379-A379</f>
        <v>6</v>
      </c>
      <c r="O379" s="2503">
        <f t="shared" ref="O379:O380" si="236">G379-F379</f>
        <v>9</v>
      </c>
      <c r="P379" s="2503">
        <f t="shared" ref="P379:P380" si="237">H379-G379</f>
        <v>5</v>
      </c>
      <c r="Q379" s="2503">
        <f t="shared" ref="Q379:Q380" si="238">M379-H379</f>
        <v>33</v>
      </c>
      <c r="R379" s="2503">
        <f t="shared" ref="R379:R380" si="239">M379-A379</f>
        <v>53</v>
      </c>
    </row>
    <row r="380" spans="1:18">
      <c r="A380" s="365">
        <v>44343</v>
      </c>
      <c r="B380" s="2497" t="s">
        <v>9056</v>
      </c>
      <c r="C380" s="2497" t="s">
        <v>2434</v>
      </c>
      <c r="D380" s="536">
        <v>496000</v>
      </c>
      <c r="E380" s="491" t="s">
        <v>112</v>
      </c>
      <c r="F380" s="537">
        <v>44349</v>
      </c>
      <c r="G380" s="537">
        <v>44358</v>
      </c>
      <c r="H380" s="537">
        <v>44363</v>
      </c>
      <c r="I380" s="1471"/>
      <c r="J380" s="1471"/>
      <c r="K380" s="1471"/>
      <c r="L380" s="573">
        <v>44364</v>
      </c>
      <c r="M380" s="537">
        <v>44396</v>
      </c>
      <c r="N380" s="2503">
        <f t="shared" si="235"/>
        <v>6</v>
      </c>
      <c r="O380" s="2503">
        <f t="shared" si="236"/>
        <v>9</v>
      </c>
      <c r="P380" s="2503">
        <f t="shared" si="237"/>
        <v>5</v>
      </c>
      <c r="Q380" s="2503">
        <f t="shared" si="238"/>
        <v>33</v>
      </c>
      <c r="R380" s="2503">
        <f t="shared" si="239"/>
        <v>53</v>
      </c>
    </row>
    <row r="381" spans="1:18" hidden="1">
      <c r="A381" s="491" t="s">
        <v>3585</v>
      </c>
      <c r="B381" s="491" t="s">
        <v>9067</v>
      </c>
      <c r="C381" s="491" t="s">
        <v>2434</v>
      </c>
      <c r="D381" s="536">
        <v>1535064.27</v>
      </c>
      <c r="E381" s="491" t="s">
        <v>112</v>
      </c>
      <c r="F381" s="537">
        <v>44349</v>
      </c>
      <c r="G381" s="537">
        <v>44358</v>
      </c>
      <c r="H381" s="537">
        <v>44362</v>
      </c>
      <c r="I381" s="1471"/>
      <c r="J381" s="1471"/>
      <c r="K381" s="1471"/>
      <c r="L381" s="573">
        <v>44363</v>
      </c>
      <c r="M381" s="537">
        <v>44379</v>
      </c>
    </row>
    <row r="382" spans="1:18" hidden="1">
      <c r="A382" s="506" t="s">
        <v>3585</v>
      </c>
      <c r="B382" s="506" t="s">
        <v>9071</v>
      </c>
      <c r="C382" s="506" t="s">
        <v>52</v>
      </c>
      <c r="D382" s="511">
        <v>40000000</v>
      </c>
      <c r="E382" s="506" t="s">
        <v>251</v>
      </c>
      <c r="F382" s="510">
        <v>44356</v>
      </c>
      <c r="G382" s="510">
        <v>44391</v>
      </c>
      <c r="H382" s="506"/>
      <c r="I382" s="1470"/>
      <c r="J382" s="1470"/>
      <c r="K382" s="1470"/>
      <c r="L382" s="511"/>
      <c r="M382" s="506"/>
    </row>
    <row r="383" spans="1:18" hidden="1">
      <c r="A383" s="491" t="s">
        <v>3585</v>
      </c>
      <c r="B383" s="491" t="s">
        <v>9073</v>
      </c>
      <c r="C383" s="491" t="s">
        <v>2434</v>
      </c>
      <c r="D383" s="536">
        <v>29719080</v>
      </c>
      <c r="E383" s="491" t="s">
        <v>251</v>
      </c>
      <c r="F383" s="537">
        <v>44363</v>
      </c>
      <c r="G383" s="537">
        <v>44396</v>
      </c>
      <c r="H383" s="537">
        <v>44405</v>
      </c>
      <c r="I383" s="1471"/>
      <c r="J383" s="1471"/>
      <c r="K383" s="1471"/>
      <c r="L383" s="573">
        <v>44405</v>
      </c>
      <c r="M383" s="537">
        <v>44452</v>
      </c>
    </row>
    <row r="384" spans="1:18">
      <c r="A384" s="416">
        <v>44347</v>
      </c>
      <c r="B384" s="411" t="s">
        <v>9079</v>
      </c>
      <c r="C384" s="411" t="s">
        <v>2111</v>
      </c>
      <c r="D384" s="417">
        <v>835000</v>
      </c>
      <c r="E384" s="411" t="s">
        <v>112</v>
      </c>
      <c r="F384" s="416">
        <v>44355</v>
      </c>
      <c r="G384" s="416">
        <v>44365</v>
      </c>
      <c r="H384" s="416">
        <v>44390</v>
      </c>
      <c r="I384" s="1480"/>
      <c r="J384" s="1480"/>
      <c r="K384" s="1480"/>
      <c r="L384" s="513">
        <v>44390</v>
      </c>
      <c r="M384" s="416">
        <v>44427</v>
      </c>
      <c r="N384" s="2503">
        <f>F384-A384</f>
        <v>8</v>
      </c>
      <c r="O384" s="2503">
        <f>G384-F384</f>
        <v>10</v>
      </c>
      <c r="P384" s="2503">
        <f>H384-G384</f>
        <v>25</v>
      </c>
      <c r="Q384" s="2503">
        <f>M384-H384</f>
        <v>37</v>
      </c>
      <c r="R384" s="2503">
        <f>M384-A384</f>
        <v>80</v>
      </c>
    </row>
    <row r="385" spans="1:18" ht="15.75" hidden="1" thickTop="1">
      <c r="A385" s="453" t="s">
        <v>3585</v>
      </c>
      <c r="B385" s="453" t="s">
        <v>9082</v>
      </c>
      <c r="C385" s="453" t="s">
        <v>2434</v>
      </c>
      <c r="D385" s="457">
        <v>230000</v>
      </c>
      <c r="E385" s="453" t="s">
        <v>251</v>
      </c>
      <c r="F385" s="474">
        <v>44385</v>
      </c>
      <c r="G385" s="474">
        <v>44418</v>
      </c>
      <c r="H385" s="474">
        <v>44454</v>
      </c>
      <c r="I385" s="1474"/>
      <c r="J385" s="1474"/>
      <c r="K385" s="1474"/>
      <c r="L385" s="570">
        <v>44454</v>
      </c>
      <c r="M385" s="474">
        <v>44475</v>
      </c>
    </row>
    <row r="386" spans="1:18" hidden="1">
      <c r="A386" s="2141" t="s">
        <v>3585</v>
      </c>
      <c r="B386" s="2141" t="s">
        <v>9082</v>
      </c>
      <c r="C386" s="2141" t="s">
        <v>2434</v>
      </c>
      <c r="D386" s="2144">
        <v>230000</v>
      </c>
      <c r="E386" s="2141" t="s">
        <v>251</v>
      </c>
      <c r="F386" s="2140">
        <v>44385</v>
      </c>
      <c r="G386" s="2140">
        <v>44418</v>
      </c>
      <c r="H386" s="2140">
        <v>44454</v>
      </c>
      <c r="I386" s="2145"/>
      <c r="J386" s="2145"/>
      <c r="K386" s="2145"/>
      <c r="L386" s="2146">
        <v>44454</v>
      </c>
      <c r="M386" s="2140">
        <v>44475</v>
      </c>
    </row>
    <row r="387" spans="1:18" ht="15.75" hidden="1" thickBot="1">
      <c r="A387" s="2118" t="s">
        <v>3585</v>
      </c>
      <c r="B387" s="2118" t="s">
        <v>9082</v>
      </c>
      <c r="C387" s="2118" t="s">
        <v>2434</v>
      </c>
      <c r="D387" s="2121">
        <v>690000</v>
      </c>
      <c r="E387" s="2118" t="s">
        <v>251</v>
      </c>
      <c r="F387" s="2117">
        <v>44385</v>
      </c>
      <c r="G387" s="2117">
        <v>44418</v>
      </c>
      <c r="H387" s="2117">
        <v>44454</v>
      </c>
      <c r="I387" s="2122"/>
      <c r="J387" s="2122"/>
      <c r="K387" s="2122"/>
      <c r="L387" s="2123">
        <v>44454</v>
      </c>
      <c r="M387" s="2117">
        <v>44475</v>
      </c>
    </row>
    <row r="388" spans="1:18">
      <c r="A388" s="365">
        <v>44349</v>
      </c>
      <c r="B388" s="2497" t="s">
        <v>9084</v>
      </c>
      <c r="C388" s="2497" t="s">
        <v>9085</v>
      </c>
      <c r="D388" s="364">
        <v>334710</v>
      </c>
      <c r="E388" s="2497" t="s">
        <v>112</v>
      </c>
      <c r="F388" s="365">
        <v>44354</v>
      </c>
      <c r="G388" s="365">
        <v>44362</v>
      </c>
      <c r="H388" s="365">
        <v>44389</v>
      </c>
      <c r="I388" s="1473"/>
      <c r="J388" s="1473"/>
      <c r="K388" s="1473"/>
      <c r="L388" s="681">
        <v>44390</v>
      </c>
      <c r="M388" s="365">
        <v>44427</v>
      </c>
      <c r="N388" s="2503">
        <f t="shared" ref="N388:N392" si="240">F388-A388</f>
        <v>5</v>
      </c>
      <c r="O388" s="2503">
        <f t="shared" ref="O388:O392" si="241">G388-F388</f>
        <v>8</v>
      </c>
      <c r="P388" s="2503">
        <f t="shared" ref="P388:P392" si="242">H388-G388</f>
        <v>27</v>
      </c>
      <c r="Q388" s="2503">
        <f t="shared" ref="Q388:Q392" si="243">M388-H388</f>
        <v>38</v>
      </c>
      <c r="R388" s="2503">
        <f t="shared" ref="R388:R392" si="244">M388-A388</f>
        <v>78</v>
      </c>
    </row>
    <row r="389" spans="1:18">
      <c r="A389" s="537">
        <v>44349</v>
      </c>
      <c r="B389" s="491" t="s">
        <v>9088</v>
      </c>
      <c r="C389" s="491" t="s">
        <v>58</v>
      </c>
      <c r="D389" s="536">
        <v>223400</v>
      </c>
      <c r="E389" s="491" t="s">
        <v>112</v>
      </c>
      <c r="F389" s="537">
        <v>44354</v>
      </c>
      <c r="G389" s="537">
        <v>44363</v>
      </c>
      <c r="H389" s="537">
        <v>44371</v>
      </c>
      <c r="I389" s="1471"/>
      <c r="J389" s="1471"/>
      <c r="K389" s="1471"/>
      <c r="L389" s="573">
        <v>44371</v>
      </c>
      <c r="M389" s="537">
        <v>44399</v>
      </c>
      <c r="N389" s="2503">
        <f t="shared" si="240"/>
        <v>5</v>
      </c>
      <c r="O389" s="2503">
        <f t="shared" si="241"/>
        <v>9</v>
      </c>
      <c r="P389" s="2503">
        <f t="shared" si="242"/>
        <v>8</v>
      </c>
      <c r="Q389" s="2503">
        <f t="shared" si="243"/>
        <v>28</v>
      </c>
      <c r="R389" s="2503">
        <f t="shared" si="244"/>
        <v>50</v>
      </c>
    </row>
    <row r="390" spans="1:18">
      <c r="A390" s="537">
        <v>44349</v>
      </c>
      <c r="B390" s="491" t="s">
        <v>9091</v>
      </c>
      <c r="C390" s="491" t="s">
        <v>58</v>
      </c>
      <c r="D390" s="536">
        <v>46800</v>
      </c>
      <c r="E390" s="491" t="s">
        <v>112</v>
      </c>
      <c r="F390" s="537">
        <v>44351</v>
      </c>
      <c r="G390" s="537">
        <v>44363</v>
      </c>
      <c r="H390" s="537">
        <v>44371</v>
      </c>
      <c r="I390" s="1471"/>
      <c r="J390" s="1471"/>
      <c r="K390" s="1471"/>
      <c r="L390" s="573">
        <v>44371</v>
      </c>
      <c r="M390" s="537">
        <v>44390</v>
      </c>
      <c r="N390" s="2503">
        <f t="shared" si="240"/>
        <v>2</v>
      </c>
      <c r="O390" s="2503">
        <f t="shared" si="241"/>
        <v>12</v>
      </c>
      <c r="P390" s="2503">
        <f t="shared" si="242"/>
        <v>8</v>
      </c>
      <c r="Q390" s="2503">
        <f t="shared" si="243"/>
        <v>19</v>
      </c>
      <c r="R390" s="2503">
        <f t="shared" si="244"/>
        <v>41</v>
      </c>
    </row>
    <row r="391" spans="1:18">
      <c r="A391" s="537">
        <v>44349</v>
      </c>
      <c r="B391" s="491" t="s">
        <v>9096</v>
      </c>
      <c r="C391" s="491" t="s">
        <v>69</v>
      </c>
      <c r="D391" s="536">
        <v>14752194</v>
      </c>
      <c r="E391" s="491" t="s">
        <v>251</v>
      </c>
      <c r="F391" s="537">
        <v>44393</v>
      </c>
      <c r="G391" s="537">
        <v>44426</v>
      </c>
      <c r="H391" s="537">
        <v>44491</v>
      </c>
      <c r="I391" s="1471"/>
      <c r="J391" s="1471"/>
      <c r="K391" s="1471"/>
      <c r="L391" s="573">
        <v>44491</v>
      </c>
      <c r="M391" s="537">
        <v>44530</v>
      </c>
      <c r="N391" s="2503">
        <f t="shared" si="240"/>
        <v>44</v>
      </c>
      <c r="O391" s="2503">
        <f t="shared" si="241"/>
        <v>33</v>
      </c>
      <c r="P391" s="2503">
        <f t="shared" si="242"/>
        <v>65</v>
      </c>
      <c r="Q391" s="2503">
        <f t="shared" si="243"/>
        <v>39</v>
      </c>
      <c r="R391" s="2503">
        <f t="shared" si="244"/>
        <v>181</v>
      </c>
    </row>
    <row r="392" spans="1:18" ht="15.75" thickBot="1">
      <c r="A392" s="537">
        <v>44349</v>
      </c>
      <c r="B392" s="491" t="s">
        <v>9099</v>
      </c>
      <c r="C392" s="491" t="s">
        <v>69</v>
      </c>
      <c r="D392" s="536">
        <v>9567471</v>
      </c>
      <c r="E392" s="491" t="s">
        <v>251</v>
      </c>
      <c r="F392" s="537">
        <v>44356</v>
      </c>
      <c r="G392" s="537">
        <v>44389</v>
      </c>
      <c r="H392" s="537">
        <v>44417</v>
      </c>
      <c r="I392" s="1471"/>
      <c r="J392" s="1471"/>
      <c r="K392" s="1471"/>
      <c r="L392" s="573">
        <v>44418</v>
      </c>
      <c r="M392" s="537">
        <v>44442</v>
      </c>
      <c r="N392" s="2503">
        <f t="shared" si="240"/>
        <v>7</v>
      </c>
      <c r="O392" s="2503">
        <f t="shared" si="241"/>
        <v>33</v>
      </c>
      <c r="P392" s="2503">
        <f t="shared" si="242"/>
        <v>28</v>
      </c>
      <c r="Q392" s="2503">
        <f t="shared" si="243"/>
        <v>25</v>
      </c>
      <c r="R392" s="2503">
        <f t="shared" si="244"/>
        <v>93</v>
      </c>
    </row>
    <row r="393" spans="1:18" ht="15.75" hidden="1" thickBot="1">
      <c r="A393" s="464">
        <v>44349</v>
      </c>
      <c r="B393" s="406" t="s">
        <v>9101</v>
      </c>
      <c r="C393" s="406" t="s">
        <v>69</v>
      </c>
      <c r="D393" s="465">
        <v>29548800</v>
      </c>
      <c r="E393" s="406" t="s">
        <v>251</v>
      </c>
      <c r="F393" s="464">
        <v>44425</v>
      </c>
      <c r="G393" s="464">
        <v>44481</v>
      </c>
      <c r="H393" s="464">
        <v>44526</v>
      </c>
      <c r="I393" s="1490"/>
      <c r="J393" s="1490"/>
      <c r="K393" s="1490"/>
      <c r="L393" s="1809">
        <v>44526</v>
      </c>
      <c r="M393" s="406"/>
    </row>
    <row r="394" spans="1:18" ht="15.75" thickTop="1">
      <c r="A394" s="474">
        <v>44350</v>
      </c>
      <c r="B394" s="453" t="s">
        <v>9110</v>
      </c>
      <c r="C394" s="453" t="s">
        <v>2434</v>
      </c>
      <c r="D394" s="457">
        <v>10047872</v>
      </c>
      <c r="E394" s="453" t="s">
        <v>251</v>
      </c>
      <c r="F394" s="474">
        <v>44363</v>
      </c>
      <c r="G394" s="474">
        <v>44396</v>
      </c>
      <c r="H394" s="474">
        <v>44433</v>
      </c>
      <c r="I394" s="1474"/>
      <c r="J394" s="1474"/>
      <c r="K394" s="1474"/>
      <c r="L394" s="570">
        <v>44434</v>
      </c>
      <c r="M394" s="474">
        <v>44454</v>
      </c>
      <c r="N394" s="2503">
        <f t="shared" ref="N394:N397" si="245">F394-A394</f>
        <v>13</v>
      </c>
      <c r="O394" s="2503">
        <f t="shared" ref="O394:O397" si="246">G394-F394</f>
        <v>33</v>
      </c>
      <c r="P394" s="2503">
        <f t="shared" ref="P394:P397" si="247">H394-G394</f>
        <v>37</v>
      </c>
      <c r="Q394" s="2503">
        <f t="shared" ref="Q394:Q397" si="248">M394-H394</f>
        <v>21</v>
      </c>
      <c r="R394" s="2503">
        <f t="shared" ref="R394:R397" si="249">M394-A394</f>
        <v>104</v>
      </c>
    </row>
    <row r="395" spans="1:18">
      <c r="A395" s="365">
        <v>44351</v>
      </c>
      <c r="B395" s="2497" t="s">
        <v>9116</v>
      </c>
      <c r="C395" s="2497" t="s">
        <v>52</v>
      </c>
      <c r="D395" s="364">
        <v>3200000</v>
      </c>
      <c r="E395" s="2497" t="s">
        <v>112</v>
      </c>
      <c r="F395" s="365">
        <v>44355</v>
      </c>
      <c r="G395" s="365">
        <v>44363</v>
      </c>
      <c r="H395" s="365">
        <v>44364</v>
      </c>
      <c r="I395" s="1473"/>
      <c r="J395" s="1473"/>
      <c r="K395" s="1473"/>
      <c r="L395" s="681">
        <v>44365</v>
      </c>
      <c r="M395" s="365">
        <v>44391</v>
      </c>
      <c r="N395" s="2503">
        <f t="shared" si="245"/>
        <v>4</v>
      </c>
      <c r="O395" s="2503">
        <f t="shared" si="246"/>
        <v>8</v>
      </c>
      <c r="P395" s="2503">
        <f t="shared" si="247"/>
        <v>1</v>
      </c>
      <c r="Q395" s="2503">
        <f t="shared" si="248"/>
        <v>27</v>
      </c>
      <c r="R395" s="2503">
        <f t="shared" si="249"/>
        <v>40</v>
      </c>
    </row>
    <row r="396" spans="1:18">
      <c r="A396" s="537">
        <v>44351</v>
      </c>
      <c r="B396" s="491" t="s">
        <v>9124</v>
      </c>
      <c r="C396" s="491" t="s">
        <v>58</v>
      </c>
      <c r="D396" s="536">
        <v>153330</v>
      </c>
      <c r="E396" s="491" t="s">
        <v>112</v>
      </c>
      <c r="F396" s="537">
        <v>44356</v>
      </c>
      <c r="G396" s="537">
        <v>44365</v>
      </c>
      <c r="H396" s="537">
        <v>44371</v>
      </c>
      <c r="I396" s="1471"/>
      <c r="J396" s="1471"/>
      <c r="K396" s="1471"/>
      <c r="L396" s="573">
        <v>44371</v>
      </c>
      <c r="M396" s="537">
        <v>44400</v>
      </c>
      <c r="N396" s="2503">
        <f t="shared" si="245"/>
        <v>5</v>
      </c>
      <c r="O396" s="2503">
        <f t="shared" si="246"/>
        <v>9</v>
      </c>
      <c r="P396" s="2503">
        <f t="shared" si="247"/>
        <v>6</v>
      </c>
      <c r="Q396" s="2503">
        <f t="shared" si="248"/>
        <v>29</v>
      </c>
      <c r="R396" s="2503">
        <f t="shared" si="249"/>
        <v>49</v>
      </c>
    </row>
    <row r="397" spans="1:18">
      <c r="A397" s="537">
        <v>44351</v>
      </c>
      <c r="B397" s="491" t="s">
        <v>9137</v>
      </c>
      <c r="C397" s="491" t="s">
        <v>58</v>
      </c>
      <c r="D397" s="536">
        <v>281900</v>
      </c>
      <c r="E397" s="491" t="s">
        <v>112</v>
      </c>
      <c r="F397" s="537">
        <v>44357</v>
      </c>
      <c r="G397" s="537">
        <v>44369</v>
      </c>
      <c r="H397" s="537">
        <v>44378</v>
      </c>
      <c r="I397" s="1471"/>
      <c r="J397" s="1471"/>
      <c r="K397" s="1471"/>
      <c r="L397" s="573">
        <v>44379</v>
      </c>
      <c r="M397" s="537">
        <v>44398</v>
      </c>
      <c r="N397" s="2503">
        <f t="shared" si="245"/>
        <v>6</v>
      </c>
      <c r="O397" s="2503">
        <f t="shared" si="246"/>
        <v>12</v>
      </c>
      <c r="P397" s="2503">
        <f t="shared" si="247"/>
        <v>9</v>
      </c>
      <c r="Q397" s="2503">
        <f t="shared" si="248"/>
        <v>20</v>
      </c>
      <c r="R397" s="2503">
        <f t="shared" si="249"/>
        <v>47</v>
      </c>
    </row>
    <row r="398" spans="1:18" hidden="1">
      <c r="A398" s="464">
        <v>44356</v>
      </c>
      <c r="B398" s="406" t="s">
        <v>9140</v>
      </c>
      <c r="C398" s="406" t="s">
        <v>52</v>
      </c>
      <c r="D398" s="465">
        <v>2300000</v>
      </c>
      <c r="E398" s="406" t="s">
        <v>216</v>
      </c>
      <c r="F398" s="464">
        <v>44456</v>
      </c>
      <c r="G398" s="464">
        <v>44475</v>
      </c>
      <c r="H398" s="464">
        <v>44524</v>
      </c>
      <c r="I398" s="1484"/>
      <c r="J398" s="1484"/>
      <c r="K398" s="1484"/>
      <c r="L398" s="1809">
        <v>44524</v>
      </c>
      <c r="M398" s="406"/>
    </row>
    <row r="399" spans="1:18" ht="15.75" hidden="1" thickTop="1">
      <c r="A399" s="439" t="s">
        <v>3585</v>
      </c>
      <c r="B399" s="439" t="s">
        <v>9143</v>
      </c>
      <c r="C399" s="439" t="s">
        <v>58</v>
      </c>
      <c r="D399" s="444">
        <v>132000</v>
      </c>
      <c r="E399" s="439" t="s">
        <v>112</v>
      </c>
      <c r="F399" s="443">
        <v>44357</v>
      </c>
      <c r="G399" s="443">
        <v>44369</v>
      </c>
      <c r="H399" s="439"/>
      <c r="I399" s="1470"/>
      <c r="J399" s="1470"/>
      <c r="K399" s="1470"/>
      <c r="L399" s="444"/>
      <c r="M399" s="439"/>
    </row>
    <row r="400" spans="1:18" hidden="1">
      <c r="A400" s="639" t="s">
        <v>3585</v>
      </c>
      <c r="B400" s="639" t="s">
        <v>9143</v>
      </c>
      <c r="C400" s="639" t="s">
        <v>58</v>
      </c>
      <c r="D400" s="645">
        <v>221000</v>
      </c>
      <c r="E400" s="639" t="s">
        <v>112</v>
      </c>
      <c r="F400" s="643">
        <v>44357</v>
      </c>
      <c r="G400" s="643">
        <v>44369</v>
      </c>
      <c r="H400" s="639"/>
      <c r="I400" s="1534"/>
      <c r="J400" s="1534"/>
      <c r="K400" s="1534"/>
      <c r="L400" s="645"/>
      <c r="M400" s="639"/>
    </row>
    <row r="401" spans="1:18" ht="15.75" hidden="1" thickTop="1">
      <c r="A401" s="443">
        <v>44356</v>
      </c>
      <c r="B401" s="439" t="s">
        <v>9153</v>
      </c>
      <c r="C401" s="439" t="s">
        <v>69</v>
      </c>
      <c r="D401" s="444">
        <v>2006548</v>
      </c>
      <c r="E401" s="439" t="s">
        <v>216</v>
      </c>
      <c r="F401" s="443">
        <v>44370</v>
      </c>
      <c r="G401" s="443">
        <v>44390</v>
      </c>
      <c r="H401" s="439"/>
      <c r="I401" s="1483"/>
      <c r="J401" s="1483"/>
      <c r="K401" s="1483"/>
      <c r="L401" s="444"/>
      <c r="M401" s="439"/>
    </row>
    <row r="402" spans="1:18" hidden="1">
      <c r="A402" s="470">
        <v>44356</v>
      </c>
      <c r="B402" s="466" t="s">
        <v>9153</v>
      </c>
      <c r="C402" s="466" t="s">
        <v>69</v>
      </c>
      <c r="D402" s="2128">
        <v>1149222</v>
      </c>
      <c r="E402" s="2125" t="s">
        <v>216</v>
      </c>
      <c r="F402" s="2124">
        <v>44370</v>
      </c>
      <c r="G402" s="2124">
        <v>44390</v>
      </c>
      <c r="H402" s="2125"/>
      <c r="I402" s="2094"/>
      <c r="J402" s="2094"/>
      <c r="K402" s="2094"/>
      <c r="L402" s="2128"/>
      <c r="M402" s="2125"/>
    </row>
    <row r="403" spans="1:18" hidden="1">
      <c r="A403" s="470">
        <v>44356</v>
      </c>
      <c r="B403" s="466" t="s">
        <v>9153</v>
      </c>
      <c r="C403" s="466" t="s">
        <v>69</v>
      </c>
      <c r="D403" s="2128">
        <v>54000</v>
      </c>
      <c r="E403" s="2125" t="s">
        <v>216</v>
      </c>
      <c r="F403" s="2124">
        <v>44370</v>
      </c>
      <c r="G403" s="2124">
        <v>44390</v>
      </c>
      <c r="H403" s="2125"/>
      <c r="I403" s="2094"/>
      <c r="J403" s="2094"/>
      <c r="K403" s="2094"/>
      <c r="L403" s="2128"/>
      <c r="M403" s="2125"/>
    </row>
    <row r="404" spans="1:18" ht="15.75" hidden="1" thickBot="1">
      <c r="A404" s="847">
        <v>44356</v>
      </c>
      <c r="B404" s="843" t="s">
        <v>9153</v>
      </c>
      <c r="C404" s="843" t="s">
        <v>69</v>
      </c>
      <c r="D404" s="2134">
        <v>184158</v>
      </c>
      <c r="E404" s="2131" t="s">
        <v>216</v>
      </c>
      <c r="F404" s="2130">
        <v>44370</v>
      </c>
      <c r="G404" s="2130">
        <v>44390</v>
      </c>
      <c r="H404" s="2131"/>
      <c r="I404" s="2095"/>
      <c r="J404" s="2095"/>
      <c r="K404" s="2095"/>
      <c r="L404" s="2134"/>
      <c r="M404" s="2131"/>
    </row>
    <row r="405" spans="1:18" hidden="1">
      <c r="A405" s="470">
        <v>44357</v>
      </c>
      <c r="B405" s="466" t="s">
        <v>9154</v>
      </c>
      <c r="C405" s="466" t="s">
        <v>2434</v>
      </c>
      <c r="D405" s="472">
        <v>2876000</v>
      </c>
      <c r="E405" s="466" t="s">
        <v>216</v>
      </c>
      <c r="F405" s="470">
        <v>44363</v>
      </c>
      <c r="G405" s="470">
        <v>44397</v>
      </c>
      <c r="H405" s="466"/>
      <c r="I405" s="1516"/>
      <c r="J405" s="1516"/>
      <c r="K405" s="1516"/>
      <c r="L405" s="472"/>
      <c r="M405" s="466"/>
    </row>
    <row r="406" spans="1:18">
      <c r="A406" s="537">
        <v>44357</v>
      </c>
      <c r="B406" s="491" t="s">
        <v>9155</v>
      </c>
      <c r="C406" s="491" t="s">
        <v>2434</v>
      </c>
      <c r="D406" s="536">
        <v>18347040</v>
      </c>
      <c r="E406" s="491" t="s">
        <v>251</v>
      </c>
      <c r="F406" s="537">
        <v>44371</v>
      </c>
      <c r="G406" s="537">
        <v>44404</v>
      </c>
      <c r="H406" s="537">
        <v>44431</v>
      </c>
      <c r="I406" s="1471"/>
      <c r="J406" s="1471"/>
      <c r="K406" s="1471"/>
      <c r="L406" s="573">
        <v>44431</v>
      </c>
      <c r="M406" s="537">
        <v>44473</v>
      </c>
      <c r="N406" s="2503">
        <f>F406-A406</f>
        <v>14</v>
      </c>
      <c r="O406" s="2503">
        <f>G406-F406</f>
        <v>33</v>
      </c>
      <c r="P406" s="2503">
        <f>H406-G406</f>
        <v>27</v>
      </c>
      <c r="Q406" s="2503">
        <f>M406-H406</f>
        <v>42</v>
      </c>
      <c r="R406" s="2503">
        <f>M406-A406</f>
        <v>116</v>
      </c>
    </row>
    <row r="407" spans="1:18" hidden="1">
      <c r="A407" s="510">
        <v>44356</v>
      </c>
      <c r="B407" s="356" t="s">
        <v>9164</v>
      </c>
      <c r="C407" s="506" t="s">
        <v>2111</v>
      </c>
      <c r="D407" s="511">
        <v>1100000</v>
      </c>
      <c r="E407" s="506" t="s">
        <v>112</v>
      </c>
      <c r="F407" s="510">
        <v>44365</v>
      </c>
      <c r="G407" s="510">
        <v>44375</v>
      </c>
      <c r="H407" s="506"/>
      <c r="I407" s="1470"/>
      <c r="J407" s="1470"/>
      <c r="K407" s="1470"/>
      <c r="L407" s="511"/>
      <c r="M407" s="506"/>
    </row>
    <row r="408" spans="1:18" hidden="1">
      <c r="A408" s="510">
        <v>44357</v>
      </c>
      <c r="B408" s="506" t="s">
        <v>9166</v>
      </c>
      <c r="C408" s="506" t="s">
        <v>58</v>
      </c>
      <c r="D408" s="511">
        <v>1305785</v>
      </c>
      <c r="E408" s="506" t="s">
        <v>112</v>
      </c>
      <c r="F408" s="510">
        <v>44363</v>
      </c>
      <c r="G408" s="510">
        <v>44372</v>
      </c>
      <c r="H408" s="506"/>
      <c r="I408" s="1470"/>
      <c r="J408" s="1470"/>
      <c r="K408" s="1470"/>
      <c r="L408" s="511"/>
      <c r="M408" s="506"/>
    </row>
    <row r="409" spans="1:18">
      <c r="A409" s="537">
        <v>44357</v>
      </c>
      <c r="B409" s="491" t="s">
        <v>9168</v>
      </c>
      <c r="C409" s="491" t="s">
        <v>58</v>
      </c>
      <c r="D409" s="536">
        <v>966942</v>
      </c>
      <c r="E409" s="491" t="s">
        <v>112</v>
      </c>
      <c r="F409" s="537">
        <v>44363</v>
      </c>
      <c r="G409" s="537">
        <v>44376</v>
      </c>
      <c r="H409" s="537">
        <v>44392</v>
      </c>
      <c r="I409" s="1471"/>
      <c r="J409" s="1471"/>
      <c r="K409" s="1471"/>
      <c r="L409" s="573">
        <v>44392</v>
      </c>
      <c r="M409" s="537">
        <v>44419</v>
      </c>
      <c r="N409" s="2503">
        <f>F409-A409</f>
        <v>6</v>
      </c>
      <c r="O409" s="2503">
        <f>G409-F409</f>
        <v>13</v>
      </c>
      <c r="P409" s="2503">
        <f>H409-G409</f>
        <v>16</v>
      </c>
      <c r="Q409" s="2503">
        <f>M409-H409</f>
        <v>27</v>
      </c>
      <c r="R409" s="2503">
        <f>M409-A409</f>
        <v>62</v>
      </c>
    </row>
    <row r="410" spans="1:18" hidden="1">
      <c r="A410" s="510">
        <v>44357</v>
      </c>
      <c r="B410" s="506" t="s">
        <v>9171</v>
      </c>
      <c r="C410" s="506" t="s">
        <v>2111</v>
      </c>
      <c r="D410" s="511">
        <v>1998000</v>
      </c>
      <c r="E410" s="506" t="s">
        <v>112</v>
      </c>
      <c r="F410" s="510">
        <v>44390</v>
      </c>
      <c r="G410" s="510">
        <v>44399</v>
      </c>
      <c r="H410" s="506"/>
      <c r="I410" s="1470"/>
      <c r="J410" s="1470"/>
      <c r="K410" s="1470"/>
      <c r="L410" s="511"/>
      <c r="M410" s="506"/>
    </row>
    <row r="411" spans="1:18" hidden="1">
      <c r="A411" s="491" t="s">
        <v>3585</v>
      </c>
      <c r="B411" s="491" t="s">
        <v>9177</v>
      </c>
      <c r="C411" s="491" t="s">
        <v>2434</v>
      </c>
      <c r="D411" s="536">
        <v>1457850</v>
      </c>
      <c r="E411" s="491" t="s">
        <v>112</v>
      </c>
      <c r="F411" s="537">
        <v>44363</v>
      </c>
      <c r="G411" s="537">
        <v>44375</v>
      </c>
      <c r="H411" s="537">
        <v>44390</v>
      </c>
      <c r="I411" s="1471"/>
      <c r="J411" s="1471"/>
      <c r="K411" s="1471"/>
      <c r="L411" s="573">
        <v>44390</v>
      </c>
      <c r="M411" s="537">
        <v>44454</v>
      </c>
    </row>
    <row r="412" spans="1:18" hidden="1">
      <c r="A412" s="510">
        <v>44356</v>
      </c>
      <c r="B412" s="506" t="s">
        <v>9192</v>
      </c>
      <c r="C412" s="506" t="s">
        <v>9800</v>
      </c>
      <c r="D412" s="511">
        <v>200000</v>
      </c>
      <c r="E412" s="506" t="s">
        <v>112</v>
      </c>
      <c r="F412" s="510">
        <v>44442</v>
      </c>
      <c r="G412" s="510">
        <v>44459</v>
      </c>
      <c r="H412" s="506"/>
      <c r="I412" s="1484"/>
      <c r="J412" s="1484"/>
      <c r="K412" s="1484"/>
      <c r="L412" s="511"/>
      <c r="M412" s="506"/>
    </row>
    <row r="413" spans="1:18">
      <c r="A413" s="537">
        <v>44358</v>
      </c>
      <c r="B413" s="491" t="s">
        <v>9194</v>
      </c>
      <c r="C413" s="491" t="s">
        <v>52</v>
      </c>
      <c r="D413" s="536">
        <v>1950000</v>
      </c>
      <c r="E413" s="491" t="s">
        <v>112</v>
      </c>
      <c r="F413" s="537">
        <v>44364</v>
      </c>
      <c r="G413" s="537">
        <v>44375</v>
      </c>
      <c r="H413" s="537">
        <v>44389</v>
      </c>
      <c r="I413" s="1471"/>
      <c r="J413" s="1471"/>
      <c r="K413" s="1471"/>
      <c r="L413" s="573">
        <v>44390</v>
      </c>
      <c r="M413" s="537">
        <v>44407</v>
      </c>
      <c r="N413" s="2503">
        <f>F413-A413</f>
        <v>6</v>
      </c>
      <c r="O413" s="2503">
        <f>G413-F413</f>
        <v>11</v>
      </c>
      <c r="P413" s="2503">
        <f>H413-G413</f>
        <v>14</v>
      </c>
      <c r="Q413" s="2503">
        <f>M413-H413</f>
        <v>18</v>
      </c>
      <c r="R413" s="2503">
        <f>M413-A413</f>
        <v>49</v>
      </c>
    </row>
    <row r="414" spans="1:18" hidden="1">
      <c r="A414" s="2084">
        <v>44543</v>
      </c>
      <c r="B414" s="2085" t="s">
        <v>9488</v>
      </c>
      <c r="C414" s="2085" t="s">
        <v>69</v>
      </c>
      <c r="D414" s="2092">
        <v>10955758</v>
      </c>
      <c r="E414" s="2085" t="s">
        <v>251</v>
      </c>
      <c r="F414" s="2084">
        <v>44553</v>
      </c>
      <c r="G414" s="2084">
        <v>44588</v>
      </c>
      <c r="H414" s="2084"/>
      <c r="I414" s="2094"/>
      <c r="J414" s="2094"/>
      <c r="K414" s="2094"/>
      <c r="L414" s="2456"/>
      <c r="M414" s="2085"/>
    </row>
    <row r="415" spans="1:18" hidden="1">
      <c r="A415" s="2084">
        <v>44543</v>
      </c>
      <c r="B415" s="2085" t="s">
        <v>9488</v>
      </c>
      <c r="C415" s="2085" t="s">
        <v>69</v>
      </c>
      <c r="D415" s="2092">
        <v>16521989</v>
      </c>
      <c r="E415" s="2085" t="s">
        <v>251</v>
      </c>
      <c r="F415" s="2084">
        <v>44553</v>
      </c>
      <c r="G415" s="2084">
        <v>44588</v>
      </c>
      <c r="H415" s="2084"/>
      <c r="I415" s="2094"/>
      <c r="J415" s="2094"/>
      <c r="K415" s="2094"/>
      <c r="L415" s="2456"/>
      <c r="M415" s="2085"/>
    </row>
    <row r="416" spans="1:18">
      <c r="A416" s="537">
        <v>44361</v>
      </c>
      <c r="B416" s="491" t="s">
        <v>9198</v>
      </c>
      <c r="C416" s="491" t="s">
        <v>58</v>
      </c>
      <c r="D416" s="536">
        <v>1080000</v>
      </c>
      <c r="E416" s="491" t="s">
        <v>112</v>
      </c>
      <c r="F416" s="537">
        <v>44370</v>
      </c>
      <c r="G416" s="537">
        <v>44391</v>
      </c>
      <c r="H416" s="537">
        <v>44404</v>
      </c>
      <c r="I416" s="1471"/>
      <c r="J416" s="1471"/>
      <c r="K416" s="1471"/>
      <c r="L416" s="573">
        <v>44404</v>
      </c>
      <c r="M416" s="537">
        <v>44424</v>
      </c>
      <c r="N416" s="2503">
        <f>F416-A416</f>
        <v>9</v>
      </c>
      <c r="O416" s="2503">
        <f>G416-F416</f>
        <v>21</v>
      </c>
      <c r="P416" s="2503">
        <f>H416-G416</f>
        <v>13</v>
      </c>
      <c r="Q416" s="2503">
        <f>M416-H416</f>
        <v>20</v>
      </c>
      <c r="R416" s="2503">
        <f>M416-A416</f>
        <v>63</v>
      </c>
    </row>
    <row r="417" spans="1:18" hidden="1">
      <c r="A417" s="506" t="s">
        <v>3585</v>
      </c>
      <c r="B417" s="506" t="s">
        <v>9201</v>
      </c>
      <c r="C417" s="506" t="s">
        <v>6561</v>
      </c>
      <c r="D417" s="511">
        <v>5800000</v>
      </c>
      <c r="E417" s="506" t="s">
        <v>112</v>
      </c>
      <c r="F417" s="510">
        <v>44372</v>
      </c>
      <c r="G417" s="510">
        <v>44386</v>
      </c>
      <c r="H417" s="506"/>
      <c r="I417" s="1484"/>
      <c r="J417" s="1484"/>
      <c r="K417" s="1484"/>
      <c r="L417" s="511"/>
      <c r="M417" s="506"/>
    </row>
    <row r="418" spans="1:18" hidden="1">
      <c r="A418" s="510">
        <v>44362</v>
      </c>
      <c r="B418" s="506" t="s">
        <v>9211</v>
      </c>
      <c r="C418" s="506" t="s">
        <v>58</v>
      </c>
      <c r="D418" s="511">
        <v>457851</v>
      </c>
      <c r="E418" s="506" t="s">
        <v>112</v>
      </c>
      <c r="F418" s="510">
        <v>44390</v>
      </c>
      <c r="G418" s="510">
        <v>44404</v>
      </c>
      <c r="H418" s="506"/>
      <c r="I418" s="1470"/>
      <c r="J418" s="1470"/>
      <c r="K418" s="1470"/>
      <c r="L418" s="511"/>
      <c r="M418" s="506"/>
    </row>
    <row r="419" spans="1:18" hidden="1">
      <c r="A419" s="510">
        <v>44362</v>
      </c>
      <c r="B419" s="506" t="s">
        <v>9213</v>
      </c>
      <c r="C419" s="506" t="s">
        <v>58</v>
      </c>
      <c r="D419" s="511">
        <v>6420000</v>
      </c>
      <c r="E419" s="506" t="s">
        <v>251</v>
      </c>
      <c r="F419" s="510">
        <v>44393</v>
      </c>
      <c r="G419" s="510">
        <v>44431</v>
      </c>
      <c r="H419" s="506"/>
      <c r="I419" s="1470"/>
      <c r="J419" s="1470"/>
      <c r="K419" s="1470"/>
      <c r="L419" s="511"/>
      <c r="M419" s="506"/>
    </row>
    <row r="420" spans="1:18">
      <c r="A420" s="537">
        <v>44362</v>
      </c>
      <c r="B420" s="491" t="s">
        <v>9216</v>
      </c>
      <c r="C420" s="491" t="s">
        <v>58</v>
      </c>
      <c r="D420" s="536">
        <v>1080000</v>
      </c>
      <c r="E420" s="491" t="s">
        <v>112</v>
      </c>
      <c r="F420" s="537">
        <v>44369</v>
      </c>
      <c r="G420" s="537">
        <v>44379</v>
      </c>
      <c r="H420" s="537">
        <v>44399</v>
      </c>
      <c r="I420" s="1471"/>
      <c r="J420" s="1471"/>
      <c r="K420" s="1471"/>
      <c r="L420" s="573">
        <v>44399</v>
      </c>
      <c r="M420" s="537">
        <v>44418</v>
      </c>
      <c r="N420" s="2503">
        <f t="shared" ref="N420:N427" si="250">F420-A420</f>
        <v>7</v>
      </c>
      <c r="O420" s="2503">
        <f t="shared" ref="O420:O427" si="251">G420-F420</f>
        <v>10</v>
      </c>
      <c r="P420" s="2503">
        <f t="shared" ref="P420:P427" si="252">H420-G420</f>
        <v>20</v>
      </c>
      <c r="Q420" s="2503">
        <f t="shared" ref="Q420:Q427" si="253">M420-H420</f>
        <v>19</v>
      </c>
      <c r="R420" s="2503">
        <f t="shared" ref="R420:R427" si="254">M420-A420</f>
        <v>56</v>
      </c>
    </row>
    <row r="421" spans="1:18">
      <c r="A421" s="537">
        <v>44362</v>
      </c>
      <c r="B421" s="491" t="s">
        <v>9219</v>
      </c>
      <c r="C421" s="491" t="s">
        <v>58</v>
      </c>
      <c r="D421" s="536">
        <v>1350000</v>
      </c>
      <c r="E421" s="491" t="s">
        <v>112</v>
      </c>
      <c r="F421" s="537">
        <v>44370</v>
      </c>
      <c r="G421" s="537">
        <v>44379</v>
      </c>
      <c r="H421" s="537">
        <v>44399</v>
      </c>
      <c r="I421" s="1471"/>
      <c r="J421" s="1471"/>
      <c r="K421" s="1471"/>
      <c r="L421" s="573">
        <v>44399</v>
      </c>
      <c r="M421" s="537">
        <v>44440</v>
      </c>
      <c r="N421" s="2503">
        <f t="shared" si="250"/>
        <v>8</v>
      </c>
      <c r="O421" s="2503">
        <f t="shared" si="251"/>
        <v>9</v>
      </c>
      <c r="P421" s="2503">
        <f t="shared" si="252"/>
        <v>20</v>
      </c>
      <c r="Q421" s="2503">
        <f t="shared" si="253"/>
        <v>41</v>
      </c>
      <c r="R421" s="2503">
        <f t="shared" si="254"/>
        <v>78</v>
      </c>
    </row>
    <row r="422" spans="1:18">
      <c r="A422" s="537">
        <v>44356</v>
      </c>
      <c r="B422" s="491" t="s">
        <v>9221</v>
      </c>
      <c r="C422" s="491" t="s">
        <v>1032</v>
      </c>
      <c r="D422" s="536">
        <v>3000000</v>
      </c>
      <c r="E422" s="491" t="s">
        <v>216</v>
      </c>
      <c r="F422" s="537">
        <v>44369</v>
      </c>
      <c r="G422" s="537">
        <v>44390</v>
      </c>
      <c r="H422" s="537">
        <v>44404</v>
      </c>
      <c r="I422" s="1471"/>
      <c r="J422" s="1471"/>
      <c r="K422" s="1471"/>
      <c r="L422" s="573">
        <v>44404</v>
      </c>
      <c r="M422" s="537">
        <v>44452</v>
      </c>
      <c r="N422" s="2503">
        <f t="shared" si="250"/>
        <v>13</v>
      </c>
      <c r="O422" s="2503">
        <f t="shared" si="251"/>
        <v>21</v>
      </c>
      <c r="P422" s="2503">
        <f t="shared" si="252"/>
        <v>14</v>
      </c>
      <c r="Q422" s="2503">
        <f t="shared" si="253"/>
        <v>48</v>
      </c>
      <c r="R422" s="2503">
        <f t="shared" si="254"/>
        <v>96</v>
      </c>
    </row>
    <row r="423" spans="1:18">
      <c r="A423" s="537">
        <v>44368</v>
      </c>
      <c r="B423" s="491" t="s">
        <v>9233</v>
      </c>
      <c r="C423" s="491" t="s">
        <v>4997</v>
      </c>
      <c r="D423" s="536">
        <v>1200000</v>
      </c>
      <c r="E423" s="491" t="s">
        <v>112</v>
      </c>
      <c r="F423" s="537">
        <v>44369</v>
      </c>
      <c r="G423" s="537">
        <v>44376</v>
      </c>
      <c r="H423" s="537">
        <v>44389</v>
      </c>
      <c r="I423" s="1471"/>
      <c r="J423" s="1471"/>
      <c r="K423" s="1471"/>
      <c r="L423" s="573">
        <v>44390</v>
      </c>
      <c r="M423" s="537">
        <v>44427</v>
      </c>
      <c r="N423" s="2503">
        <f t="shared" si="250"/>
        <v>1</v>
      </c>
      <c r="O423" s="2503">
        <f t="shared" si="251"/>
        <v>7</v>
      </c>
      <c r="P423" s="2503">
        <f t="shared" si="252"/>
        <v>13</v>
      </c>
      <c r="Q423" s="2503">
        <f t="shared" si="253"/>
        <v>38</v>
      </c>
      <c r="R423" s="2503">
        <f t="shared" si="254"/>
        <v>59</v>
      </c>
    </row>
    <row r="424" spans="1:18" ht="15.75" thickBot="1">
      <c r="A424" s="416">
        <v>44365</v>
      </c>
      <c r="B424" s="411" t="s">
        <v>9243</v>
      </c>
      <c r="C424" s="411" t="s">
        <v>58</v>
      </c>
      <c r="D424" s="417">
        <v>325000</v>
      </c>
      <c r="E424" s="411" t="s">
        <v>112</v>
      </c>
      <c r="F424" s="416">
        <v>44372</v>
      </c>
      <c r="G424" s="416">
        <v>44385</v>
      </c>
      <c r="H424" s="416">
        <v>44399</v>
      </c>
      <c r="I424" s="1480"/>
      <c r="J424" s="1480"/>
      <c r="K424" s="1480"/>
      <c r="L424" s="513">
        <v>44399</v>
      </c>
      <c r="M424" s="416">
        <v>44418</v>
      </c>
      <c r="N424" s="2503">
        <f t="shared" si="250"/>
        <v>7</v>
      </c>
      <c r="O424" s="2503">
        <f t="shared" si="251"/>
        <v>13</v>
      </c>
      <c r="P424" s="2503">
        <f t="shared" si="252"/>
        <v>14</v>
      </c>
      <c r="Q424" s="2503">
        <f t="shared" si="253"/>
        <v>19</v>
      </c>
      <c r="R424" s="2503">
        <f t="shared" si="254"/>
        <v>53</v>
      </c>
    </row>
    <row r="425" spans="1:18" ht="15.75" thickTop="1">
      <c r="A425" s="474">
        <v>44371</v>
      </c>
      <c r="B425" s="453" t="s">
        <v>9249</v>
      </c>
      <c r="C425" s="453" t="s">
        <v>2434</v>
      </c>
      <c r="D425" s="457">
        <v>3882950</v>
      </c>
      <c r="E425" s="453" t="s">
        <v>251</v>
      </c>
      <c r="F425" s="474">
        <v>44399</v>
      </c>
      <c r="G425" s="474">
        <v>44474</v>
      </c>
      <c r="H425" s="474">
        <v>44503</v>
      </c>
      <c r="I425" s="1474"/>
      <c r="J425" s="1474"/>
      <c r="K425" s="1474"/>
      <c r="L425" s="570">
        <v>44503</v>
      </c>
      <c r="M425" s="474">
        <v>44543</v>
      </c>
      <c r="N425" s="2503">
        <f t="shared" si="250"/>
        <v>28</v>
      </c>
      <c r="O425" s="2503">
        <f t="shared" si="251"/>
        <v>75</v>
      </c>
      <c r="P425" s="2503">
        <f t="shared" si="252"/>
        <v>29</v>
      </c>
      <c r="Q425" s="2503">
        <f t="shared" si="253"/>
        <v>40</v>
      </c>
      <c r="R425" s="2503">
        <f t="shared" si="254"/>
        <v>172</v>
      </c>
    </row>
    <row r="426" spans="1:18">
      <c r="A426" s="2140">
        <v>44371</v>
      </c>
      <c r="B426" s="2141" t="s">
        <v>9249</v>
      </c>
      <c r="C426" s="2141" t="s">
        <v>2434</v>
      </c>
      <c r="D426" s="2144">
        <v>2969250</v>
      </c>
      <c r="E426" s="2141" t="s">
        <v>251</v>
      </c>
      <c r="F426" s="2140">
        <v>44399</v>
      </c>
      <c r="G426" s="2140">
        <v>44474</v>
      </c>
      <c r="H426" s="2140">
        <v>44503</v>
      </c>
      <c r="I426" s="2145"/>
      <c r="J426" s="2145"/>
      <c r="K426" s="2145"/>
      <c r="L426" s="2146">
        <v>44503</v>
      </c>
      <c r="M426" s="2140">
        <v>44545</v>
      </c>
      <c r="N426" s="2503">
        <f t="shared" si="250"/>
        <v>28</v>
      </c>
      <c r="O426" s="2503">
        <f t="shared" si="251"/>
        <v>75</v>
      </c>
      <c r="P426" s="2503">
        <f t="shared" si="252"/>
        <v>29</v>
      </c>
      <c r="Q426" s="2503">
        <f t="shared" si="253"/>
        <v>42</v>
      </c>
      <c r="R426" s="2503">
        <f t="shared" si="254"/>
        <v>174</v>
      </c>
    </row>
    <row r="427" spans="1:18">
      <c r="A427" s="2140">
        <v>44371</v>
      </c>
      <c r="B427" s="2141" t="s">
        <v>9249</v>
      </c>
      <c r="C427" s="2141" t="s">
        <v>2434</v>
      </c>
      <c r="D427" s="2144">
        <v>2354100</v>
      </c>
      <c r="E427" s="2141" t="s">
        <v>251</v>
      </c>
      <c r="F427" s="2140">
        <v>44399</v>
      </c>
      <c r="G427" s="2140">
        <v>44474</v>
      </c>
      <c r="H427" s="2140">
        <v>44503</v>
      </c>
      <c r="I427" s="2145"/>
      <c r="J427" s="2145"/>
      <c r="K427" s="2145"/>
      <c r="L427" s="2146">
        <v>44503</v>
      </c>
      <c r="M427" s="2140">
        <v>44543</v>
      </c>
      <c r="N427" s="2503">
        <f t="shared" si="250"/>
        <v>28</v>
      </c>
      <c r="O427" s="2503">
        <f t="shared" si="251"/>
        <v>75</v>
      </c>
      <c r="P427" s="2503">
        <f t="shared" si="252"/>
        <v>29</v>
      </c>
      <c r="Q427" s="2503">
        <f t="shared" si="253"/>
        <v>40</v>
      </c>
      <c r="R427" s="2503">
        <f t="shared" si="254"/>
        <v>172</v>
      </c>
    </row>
    <row r="428" spans="1:18" hidden="1">
      <c r="A428" s="2153">
        <v>44371</v>
      </c>
      <c r="B428" s="2154" t="s">
        <v>9249</v>
      </c>
      <c r="C428" s="2154" t="s">
        <v>2434</v>
      </c>
      <c r="D428" s="2157">
        <v>1333620</v>
      </c>
      <c r="E428" s="2154" t="s">
        <v>251</v>
      </c>
      <c r="F428" s="2153">
        <v>44399</v>
      </c>
      <c r="G428" s="2153">
        <v>44474</v>
      </c>
      <c r="H428" s="2154"/>
      <c r="I428" s="2094"/>
      <c r="J428" s="2094"/>
      <c r="K428" s="2094"/>
      <c r="L428" s="2157"/>
      <c r="M428" s="2154"/>
    </row>
    <row r="429" spans="1:18" hidden="1">
      <c r="A429" s="2124">
        <v>44371</v>
      </c>
      <c r="B429" s="2125" t="s">
        <v>9249</v>
      </c>
      <c r="C429" s="2125" t="s">
        <v>2434</v>
      </c>
      <c r="D429" s="2128">
        <v>884120</v>
      </c>
      <c r="E429" s="2125" t="s">
        <v>251</v>
      </c>
      <c r="F429" s="2124">
        <v>44399</v>
      </c>
      <c r="G429" s="2124">
        <v>44474</v>
      </c>
      <c r="H429" s="2125"/>
      <c r="I429" s="2129"/>
      <c r="J429" s="2129"/>
      <c r="K429" s="2129"/>
      <c r="L429" s="2128"/>
      <c r="M429" s="2125"/>
    </row>
    <row r="430" spans="1:18" hidden="1">
      <c r="A430" s="2153">
        <v>44371</v>
      </c>
      <c r="B430" s="2154" t="s">
        <v>9249</v>
      </c>
      <c r="C430" s="2154" t="s">
        <v>2434</v>
      </c>
      <c r="D430" s="2157">
        <v>2837580</v>
      </c>
      <c r="E430" s="2154" t="s">
        <v>251</v>
      </c>
      <c r="F430" s="2153">
        <v>44399</v>
      </c>
      <c r="G430" s="2153">
        <v>44474</v>
      </c>
      <c r="H430" s="2154"/>
      <c r="I430" s="2094"/>
      <c r="J430" s="2094"/>
      <c r="K430" s="2094"/>
      <c r="L430" s="2157"/>
      <c r="M430" s="2154"/>
    </row>
    <row r="431" spans="1:18" hidden="1">
      <c r="A431" s="2153">
        <v>44371</v>
      </c>
      <c r="B431" s="2154" t="s">
        <v>9249</v>
      </c>
      <c r="C431" s="2154" t="s">
        <v>2434</v>
      </c>
      <c r="D431" s="2157">
        <v>2514360</v>
      </c>
      <c r="E431" s="2154" t="s">
        <v>251</v>
      </c>
      <c r="F431" s="2153">
        <v>44399</v>
      </c>
      <c r="G431" s="2153">
        <v>44474</v>
      </c>
      <c r="H431" s="2154"/>
      <c r="I431" s="2094"/>
      <c r="J431" s="2094"/>
      <c r="K431" s="2094"/>
      <c r="L431" s="2157"/>
      <c r="M431" s="2154"/>
    </row>
    <row r="432" spans="1:18" hidden="1">
      <c r="A432" s="2124">
        <v>44371</v>
      </c>
      <c r="B432" s="2125" t="s">
        <v>9249</v>
      </c>
      <c r="C432" s="2125" t="s">
        <v>2434</v>
      </c>
      <c r="D432" s="2128">
        <v>4106830</v>
      </c>
      <c r="E432" s="2125" t="s">
        <v>251</v>
      </c>
      <c r="F432" s="2124">
        <v>44399</v>
      </c>
      <c r="G432" s="2124">
        <v>44474</v>
      </c>
      <c r="H432" s="2125"/>
      <c r="I432" s="2129"/>
      <c r="J432" s="2129"/>
      <c r="K432" s="2129"/>
      <c r="L432" s="2128"/>
      <c r="M432" s="2125"/>
    </row>
    <row r="433" spans="1:18" hidden="1">
      <c r="A433" s="2153">
        <v>44371</v>
      </c>
      <c r="B433" s="2154" t="s">
        <v>9249</v>
      </c>
      <c r="C433" s="2154" t="s">
        <v>2434</v>
      </c>
      <c r="D433" s="2157">
        <v>717830</v>
      </c>
      <c r="E433" s="2154" t="s">
        <v>251</v>
      </c>
      <c r="F433" s="2153">
        <v>44399</v>
      </c>
      <c r="G433" s="2153">
        <v>44474</v>
      </c>
      <c r="H433" s="2153">
        <v>44531</v>
      </c>
      <c r="I433" s="2094"/>
      <c r="J433" s="2094"/>
      <c r="K433" s="2094"/>
      <c r="L433" s="2160">
        <v>44531</v>
      </c>
      <c r="M433" s="2154"/>
    </row>
    <row r="434" spans="1:18" ht="15.75" hidden="1" thickBot="1">
      <c r="A434" s="2152">
        <v>44371</v>
      </c>
      <c r="B434" s="2297" t="s">
        <v>9249</v>
      </c>
      <c r="C434" s="2297" t="s">
        <v>2434</v>
      </c>
      <c r="D434" s="2299">
        <v>991250</v>
      </c>
      <c r="E434" s="2297" t="s">
        <v>251</v>
      </c>
      <c r="F434" s="2152">
        <v>44399</v>
      </c>
      <c r="G434" s="2152">
        <v>44474</v>
      </c>
      <c r="H434" s="2297"/>
      <c r="I434" s="2095"/>
      <c r="J434" s="2095"/>
      <c r="K434" s="2095"/>
      <c r="L434" s="2299"/>
      <c r="M434" s="2297"/>
    </row>
    <row r="435" spans="1:18">
      <c r="A435" s="365">
        <v>44372</v>
      </c>
      <c r="B435" s="2497" t="s">
        <v>9280</v>
      </c>
      <c r="C435" s="2497" t="s">
        <v>2434</v>
      </c>
      <c r="D435" s="364">
        <v>2819340</v>
      </c>
      <c r="E435" s="2497" t="s">
        <v>216</v>
      </c>
      <c r="F435" s="365">
        <v>44378</v>
      </c>
      <c r="G435" s="365">
        <v>44399</v>
      </c>
      <c r="H435" s="365">
        <v>44420</v>
      </c>
      <c r="I435" s="1473"/>
      <c r="J435" s="1473"/>
      <c r="K435" s="1473"/>
      <c r="L435" s="681">
        <v>44420</v>
      </c>
      <c r="M435" s="365">
        <v>44440</v>
      </c>
      <c r="N435" s="2503">
        <f t="shared" ref="N435:N436" si="255">F435-A435</f>
        <v>6</v>
      </c>
      <c r="O435" s="2503">
        <f t="shared" ref="O435:O436" si="256">G435-F435</f>
        <v>21</v>
      </c>
      <c r="P435" s="2503">
        <f t="shared" ref="P435:P436" si="257">H435-G435</f>
        <v>21</v>
      </c>
      <c r="Q435" s="2503">
        <f t="shared" ref="Q435:Q436" si="258">M435-H435</f>
        <v>20</v>
      </c>
      <c r="R435" s="2503">
        <f t="shared" ref="R435:R436" si="259">M435-A435</f>
        <v>68</v>
      </c>
    </row>
    <row r="436" spans="1:18">
      <c r="A436" s="537">
        <v>44376</v>
      </c>
      <c r="B436" s="491" t="s">
        <v>9284</v>
      </c>
      <c r="C436" s="491" t="s">
        <v>2434</v>
      </c>
      <c r="D436" s="536">
        <v>2170000</v>
      </c>
      <c r="E436" s="491" t="s">
        <v>216</v>
      </c>
      <c r="F436" s="537">
        <v>44384</v>
      </c>
      <c r="G436" s="537">
        <v>44420</v>
      </c>
      <c r="H436" s="537">
        <v>44442</v>
      </c>
      <c r="I436" s="1471"/>
      <c r="J436" s="1471"/>
      <c r="K436" s="1471"/>
      <c r="L436" s="573">
        <v>44442</v>
      </c>
      <c r="M436" s="537">
        <v>44462</v>
      </c>
      <c r="N436" s="2503">
        <f t="shared" si="255"/>
        <v>8</v>
      </c>
      <c r="O436" s="2503">
        <f t="shared" si="256"/>
        <v>36</v>
      </c>
      <c r="P436" s="2503">
        <f t="shared" si="257"/>
        <v>22</v>
      </c>
      <c r="Q436" s="2503">
        <f t="shared" si="258"/>
        <v>20</v>
      </c>
      <c r="R436" s="2503">
        <f t="shared" si="259"/>
        <v>86</v>
      </c>
    </row>
    <row r="437" spans="1:18" hidden="1">
      <c r="A437" s="510">
        <v>44377</v>
      </c>
      <c r="B437" s="506" t="s">
        <v>9296</v>
      </c>
      <c r="C437" s="506" t="s">
        <v>2434</v>
      </c>
      <c r="D437" s="511">
        <v>2484000</v>
      </c>
      <c r="E437" s="506" t="s">
        <v>216</v>
      </c>
      <c r="F437" s="510">
        <v>44390</v>
      </c>
      <c r="G437" s="510">
        <v>44424</v>
      </c>
      <c r="H437" s="506"/>
      <c r="I437" s="1470"/>
      <c r="J437" s="1470"/>
      <c r="K437" s="1470"/>
      <c r="L437" s="511"/>
      <c r="M437" s="506"/>
    </row>
    <row r="438" spans="1:18">
      <c r="A438" s="537">
        <v>44379</v>
      </c>
      <c r="B438" s="491" t="s">
        <v>9298</v>
      </c>
      <c r="C438" s="491" t="s">
        <v>58</v>
      </c>
      <c r="D438" s="536">
        <v>570000</v>
      </c>
      <c r="E438" s="491" t="s">
        <v>112</v>
      </c>
      <c r="F438" s="537">
        <v>44384</v>
      </c>
      <c r="G438" s="537">
        <v>44392</v>
      </c>
      <c r="H438" s="537">
        <v>44399</v>
      </c>
      <c r="I438" s="1471"/>
      <c r="J438" s="1471"/>
      <c r="K438" s="1471"/>
      <c r="L438" s="573">
        <v>44399</v>
      </c>
      <c r="M438" s="537">
        <v>44424</v>
      </c>
      <c r="N438" s="2503">
        <f t="shared" ref="N438:N443" si="260">F438-A438</f>
        <v>5</v>
      </c>
      <c r="O438" s="2503">
        <f t="shared" ref="O438:O443" si="261">G438-F438</f>
        <v>8</v>
      </c>
      <c r="P438" s="2503">
        <f t="shared" ref="P438:P443" si="262">H438-G438</f>
        <v>7</v>
      </c>
      <c r="Q438" s="2503">
        <f t="shared" ref="Q438:Q443" si="263">M438-H438</f>
        <v>25</v>
      </c>
      <c r="R438" s="2503">
        <f t="shared" ref="R438:R443" si="264">M438-A438</f>
        <v>45</v>
      </c>
    </row>
    <row r="439" spans="1:18">
      <c r="A439" s="537">
        <v>44379</v>
      </c>
      <c r="B439" s="491" t="s">
        <v>9301</v>
      </c>
      <c r="C439" s="491" t="s">
        <v>52</v>
      </c>
      <c r="D439" s="536">
        <v>475000</v>
      </c>
      <c r="E439" s="491" t="s">
        <v>112</v>
      </c>
      <c r="F439" s="537">
        <v>44392</v>
      </c>
      <c r="G439" s="537">
        <v>44404</v>
      </c>
      <c r="H439" s="537">
        <v>44412</v>
      </c>
      <c r="I439" s="1471"/>
      <c r="J439" s="1471"/>
      <c r="K439" s="1471"/>
      <c r="L439" s="573">
        <v>44412</v>
      </c>
      <c r="M439" s="537">
        <v>44431</v>
      </c>
      <c r="N439" s="2503">
        <f t="shared" si="260"/>
        <v>13</v>
      </c>
      <c r="O439" s="2503">
        <f t="shared" si="261"/>
        <v>12</v>
      </c>
      <c r="P439" s="2503">
        <f t="shared" si="262"/>
        <v>8</v>
      </c>
      <c r="Q439" s="2503">
        <f t="shared" si="263"/>
        <v>19</v>
      </c>
      <c r="R439" s="2503">
        <f t="shared" si="264"/>
        <v>52</v>
      </c>
    </row>
    <row r="440" spans="1:18">
      <c r="A440" s="537">
        <v>44376</v>
      </c>
      <c r="B440" s="491" t="s">
        <v>9305</v>
      </c>
      <c r="C440" s="491" t="s">
        <v>2434</v>
      </c>
      <c r="D440" s="536">
        <v>1428000</v>
      </c>
      <c r="E440" s="491" t="s">
        <v>112</v>
      </c>
      <c r="F440" s="537">
        <v>44390</v>
      </c>
      <c r="G440" s="537">
        <v>44407</v>
      </c>
      <c r="H440" s="537">
        <v>44418</v>
      </c>
      <c r="I440" s="1471"/>
      <c r="J440" s="1471"/>
      <c r="K440" s="1471"/>
      <c r="L440" s="573">
        <v>44418</v>
      </c>
      <c r="M440" s="537">
        <v>44439</v>
      </c>
      <c r="N440" s="2503">
        <f t="shared" si="260"/>
        <v>14</v>
      </c>
      <c r="O440" s="2503">
        <f t="shared" si="261"/>
        <v>17</v>
      </c>
      <c r="P440" s="2503">
        <f t="shared" si="262"/>
        <v>11</v>
      </c>
      <c r="Q440" s="2503">
        <f t="shared" si="263"/>
        <v>21</v>
      </c>
      <c r="R440" s="2503">
        <f t="shared" si="264"/>
        <v>63</v>
      </c>
    </row>
    <row r="441" spans="1:18">
      <c r="A441" s="537">
        <v>44378</v>
      </c>
      <c r="B441" s="491" t="s">
        <v>9307</v>
      </c>
      <c r="C441" s="491" t="s">
        <v>2434</v>
      </c>
      <c r="D441" s="536">
        <v>1350000</v>
      </c>
      <c r="E441" s="491" t="s">
        <v>112</v>
      </c>
      <c r="F441" s="537">
        <v>44390</v>
      </c>
      <c r="G441" s="537">
        <v>44407</v>
      </c>
      <c r="H441" s="537">
        <v>44488</v>
      </c>
      <c r="I441" s="1471"/>
      <c r="J441" s="1471"/>
      <c r="K441" s="1471"/>
      <c r="L441" s="573">
        <v>44489</v>
      </c>
      <c r="M441" s="537">
        <v>44508</v>
      </c>
      <c r="N441" s="2503">
        <f t="shared" si="260"/>
        <v>12</v>
      </c>
      <c r="O441" s="2503">
        <f t="shared" si="261"/>
        <v>17</v>
      </c>
      <c r="P441" s="2503">
        <f t="shared" si="262"/>
        <v>81</v>
      </c>
      <c r="Q441" s="2503">
        <f t="shared" si="263"/>
        <v>20</v>
      </c>
      <c r="R441" s="2503">
        <f t="shared" si="264"/>
        <v>130</v>
      </c>
    </row>
    <row r="442" spans="1:18">
      <c r="A442" s="537">
        <v>44379</v>
      </c>
      <c r="B442" s="491" t="s">
        <v>9309</v>
      </c>
      <c r="C442" s="491" t="s">
        <v>58</v>
      </c>
      <c r="D442" s="536">
        <v>171000</v>
      </c>
      <c r="E442" s="491" t="s">
        <v>112</v>
      </c>
      <c r="F442" s="537">
        <v>44390</v>
      </c>
      <c r="G442" s="537">
        <v>44403</v>
      </c>
      <c r="H442" s="537">
        <v>44410</v>
      </c>
      <c r="I442" s="1471"/>
      <c r="J442" s="1471"/>
      <c r="K442" s="1471"/>
      <c r="L442" s="573">
        <v>44410</v>
      </c>
      <c r="M442" s="537">
        <v>44431</v>
      </c>
      <c r="N442" s="2503">
        <f t="shared" si="260"/>
        <v>11</v>
      </c>
      <c r="O442" s="2503">
        <f t="shared" si="261"/>
        <v>13</v>
      </c>
      <c r="P442" s="2503">
        <f t="shared" si="262"/>
        <v>7</v>
      </c>
      <c r="Q442" s="2503">
        <f t="shared" si="263"/>
        <v>21</v>
      </c>
      <c r="R442" s="2503">
        <f t="shared" si="264"/>
        <v>52</v>
      </c>
    </row>
    <row r="443" spans="1:18">
      <c r="A443" s="416">
        <v>44384</v>
      </c>
      <c r="B443" s="411" t="s">
        <v>9318</v>
      </c>
      <c r="C443" s="411" t="s">
        <v>58</v>
      </c>
      <c r="D443" s="417">
        <v>354000</v>
      </c>
      <c r="E443" s="411" t="s">
        <v>112</v>
      </c>
      <c r="F443" s="416">
        <v>44391</v>
      </c>
      <c r="G443" s="416">
        <v>44404</v>
      </c>
      <c r="H443" s="416">
        <v>44410</v>
      </c>
      <c r="I443" s="1480"/>
      <c r="J443" s="1480"/>
      <c r="K443" s="1480"/>
      <c r="L443" s="513">
        <v>44410</v>
      </c>
      <c r="M443" s="416">
        <v>44425</v>
      </c>
      <c r="N443" s="2503">
        <f t="shared" si="260"/>
        <v>7</v>
      </c>
      <c r="O443" s="2503">
        <f t="shared" si="261"/>
        <v>13</v>
      </c>
      <c r="P443" s="2503">
        <f t="shared" si="262"/>
        <v>6</v>
      </c>
      <c r="Q443" s="2503">
        <f t="shared" si="263"/>
        <v>15</v>
      </c>
      <c r="R443" s="2503">
        <f t="shared" si="264"/>
        <v>41</v>
      </c>
    </row>
    <row r="444" spans="1:18" ht="15.75" hidden="1" thickTop="1">
      <c r="A444" s="453" t="s">
        <v>3585</v>
      </c>
      <c r="B444" s="453" t="s">
        <v>9321</v>
      </c>
      <c r="C444" s="453" t="s">
        <v>69</v>
      </c>
      <c r="D444" s="457">
        <v>1830352</v>
      </c>
      <c r="E444" s="453" t="s">
        <v>216</v>
      </c>
      <c r="F444" s="474">
        <v>44391</v>
      </c>
      <c r="G444" s="474">
        <v>44407</v>
      </c>
      <c r="H444" s="474">
        <v>44431</v>
      </c>
      <c r="I444" s="1474"/>
      <c r="J444" s="1474"/>
      <c r="K444" s="1474"/>
      <c r="L444" s="570">
        <v>44431</v>
      </c>
      <c r="M444" s="474">
        <v>44480</v>
      </c>
    </row>
    <row r="445" spans="1:18" hidden="1">
      <c r="A445" s="2141" t="s">
        <v>3585</v>
      </c>
      <c r="B445" s="2141" t="s">
        <v>9321</v>
      </c>
      <c r="C445" s="2141" t="s">
        <v>69</v>
      </c>
      <c r="D445" s="2144">
        <v>1149222</v>
      </c>
      <c r="E445" s="2141" t="s">
        <v>216</v>
      </c>
      <c r="F445" s="2140">
        <v>44391</v>
      </c>
      <c r="G445" s="2140">
        <v>44407</v>
      </c>
      <c r="H445" s="2140">
        <v>44431</v>
      </c>
      <c r="I445" s="2145"/>
      <c r="J445" s="2145"/>
      <c r="K445" s="2145"/>
      <c r="L445" s="2146">
        <v>44431</v>
      </c>
      <c r="M445" s="2140">
        <v>44508</v>
      </c>
    </row>
    <row r="446" spans="1:18" hidden="1">
      <c r="A446" s="2125" t="s">
        <v>3585</v>
      </c>
      <c r="B446" s="2125" t="s">
        <v>9321</v>
      </c>
      <c r="C446" s="2125" t="s">
        <v>69</v>
      </c>
      <c r="D446" s="2128">
        <v>54000</v>
      </c>
      <c r="E446" s="2125" t="s">
        <v>216</v>
      </c>
      <c r="F446" s="2124">
        <v>44391</v>
      </c>
      <c r="G446" s="2124">
        <v>44407</v>
      </c>
      <c r="H446" s="2125"/>
      <c r="I446" s="2094"/>
      <c r="J446" s="2094"/>
      <c r="K446" s="2094"/>
      <c r="L446" s="2128"/>
      <c r="M446" s="2125"/>
    </row>
    <row r="447" spans="1:18" ht="15.75" hidden="1" thickBot="1">
      <c r="A447" s="2118" t="s">
        <v>3585</v>
      </c>
      <c r="B447" s="2118" t="s">
        <v>9321</v>
      </c>
      <c r="C447" s="2118" t="s">
        <v>69</v>
      </c>
      <c r="D447" s="2121">
        <v>184158</v>
      </c>
      <c r="E447" s="2118" t="s">
        <v>216</v>
      </c>
      <c r="F447" s="2117">
        <v>44391</v>
      </c>
      <c r="G447" s="2117">
        <v>44407</v>
      </c>
      <c r="H447" s="2117">
        <v>44431</v>
      </c>
      <c r="I447" s="2122"/>
      <c r="J447" s="2122"/>
      <c r="K447" s="2122"/>
      <c r="L447" s="2123">
        <v>44431</v>
      </c>
      <c r="M447" s="2117">
        <v>44475</v>
      </c>
    </row>
    <row r="448" spans="1:18" ht="15.75" thickBot="1">
      <c r="A448" s="365">
        <v>44377</v>
      </c>
      <c r="B448" s="2497" t="s">
        <v>9343</v>
      </c>
      <c r="C448" s="2497" t="s">
        <v>58</v>
      </c>
      <c r="D448" s="364">
        <v>75000</v>
      </c>
      <c r="E448" s="2497" t="s">
        <v>112</v>
      </c>
      <c r="F448" s="365">
        <v>44393</v>
      </c>
      <c r="G448" s="365">
        <v>44405</v>
      </c>
      <c r="H448" s="365">
        <v>44418</v>
      </c>
      <c r="I448" s="1489"/>
      <c r="J448" s="1489"/>
      <c r="K448" s="1489"/>
      <c r="L448" s="681">
        <v>44418</v>
      </c>
      <c r="M448" s="365">
        <v>44438</v>
      </c>
      <c r="N448" s="2503">
        <f>F448-A448</f>
        <v>16</v>
      </c>
      <c r="O448" s="2503">
        <f>G448-F448</f>
        <v>12</v>
      </c>
      <c r="P448" s="2503">
        <f>H448-G448</f>
        <v>13</v>
      </c>
      <c r="Q448" s="2503">
        <f>M448-H448</f>
        <v>20</v>
      </c>
      <c r="R448" s="2503">
        <f>M448-A448</f>
        <v>61</v>
      </c>
    </row>
    <row r="449" spans="1:18" ht="15.75" hidden="1" thickBot="1">
      <c r="A449" s="510">
        <v>44391</v>
      </c>
      <c r="B449" s="506" t="s">
        <v>9348</v>
      </c>
      <c r="C449" s="506" t="s">
        <v>2111</v>
      </c>
      <c r="D449" s="511">
        <v>4512000</v>
      </c>
      <c r="E449" s="506" t="s">
        <v>251</v>
      </c>
      <c r="F449" s="510">
        <v>44406</v>
      </c>
      <c r="G449" s="510">
        <v>44454</v>
      </c>
      <c r="H449" s="506"/>
      <c r="I449" s="1484"/>
      <c r="J449" s="1484"/>
      <c r="K449" s="1484"/>
      <c r="L449" s="511"/>
      <c r="M449" s="506"/>
    </row>
    <row r="450" spans="1:18" ht="15.75" hidden="1" thickBot="1">
      <c r="A450" s="510">
        <v>44391</v>
      </c>
      <c r="B450" s="506" t="s">
        <v>9348</v>
      </c>
      <c r="C450" s="506" t="s">
        <v>2111</v>
      </c>
      <c r="D450" s="2128">
        <v>3216000</v>
      </c>
      <c r="E450" s="2125" t="s">
        <v>251</v>
      </c>
      <c r="F450" s="2124">
        <v>44406</v>
      </c>
      <c r="G450" s="2124">
        <v>44454</v>
      </c>
      <c r="H450" s="2125"/>
      <c r="I450" s="2129"/>
      <c r="J450" s="2129"/>
      <c r="K450" s="2129"/>
      <c r="L450" s="2128"/>
      <c r="M450" s="2125"/>
    </row>
    <row r="451" spans="1:18" ht="15.75" hidden="1" thickBot="1">
      <c r="A451" s="544">
        <v>44391</v>
      </c>
      <c r="B451" s="540" t="s">
        <v>9351</v>
      </c>
      <c r="C451" s="540" t="s">
        <v>58</v>
      </c>
      <c r="D451" s="545">
        <v>12450000</v>
      </c>
      <c r="E451" s="540" t="s">
        <v>251</v>
      </c>
      <c r="F451" s="544">
        <v>44440</v>
      </c>
      <c r="G451" s="544">
        <v>44488</v>
      </c>
      <c r="H451" s="540"/>
      <c r="I451" s="1484"/>
      <c r="J451" s="1484"/>
      <c r="K451" s="1484"/>
      <c r="L451" s="545"/>
      <c r="M451" s="540"/>
    </row>
    <row r="452" spans="1:18" ht="15.75" hidden="1" thickBot="1">
      <c r="A452" s="544">
        <v>44391</v>
      </c>
      <c r="B452" s="540" t="s">
        <v>9351</v>
      </c>
      <c r="C452" s="540" t="s">
        <v>58</v>
      </c>
      <c r="D452" s="465">
        <v>4938843</v>
      </c>
      <c r="E452" s="406" t="s">
        <v>251</v>
      </c>
      <c r="F452" s="464">
        <v>44440</v>
      </c>
      <c r="G452" s="464">
        <v>44488</v>
      </c>
      <c r="H452" s="406"/>
      <c r="I452" s="1490"/>
      <c r="J452" s="1490"/>
      <c r="K452" s="1490"/>
      <c r="L452" s="465"/>
      <c r="M452" s="406"/>
    </row>
    <row r="453" spans="1:18" ht="15.75" hidden="1" thickBot="1">
      <c r="A453" s="406" t="s">
        <v>3585</v>
      </c>
      <c r="B453" s="406" t="s">
        <v>9354</v>
      </c>
      <c r="C453" s="406" t="s">
        <v>52</v>
      </c>
      <c r="D453" s="465">
        <v>40000000</v>
      </c>
      <c r="E453" s="406" t="s">
        <v>251</v>
      </c>
      <c r="F453" s="464">
        <v>44413</v>
      </c>
      <c r="G453" s="464">
        <v>44446</v>
      </c>
      <c r="H453" s="464">
        <v>44505</v>
      </c>
      <c r="I453" s="1490"/>
      <c r="J453" s="1490"/>
      <c r="K453" s="1490"/>
      <c r="L453" s="1809">
        <v>44505</v>
      </c>
      <c r="M453" s="406"/>
    </row>
    <row r="454" spans="1:18" ht="15.75" thickTop="1">
      <c r="A454" s="474">
        <v>44391</v>
      </c>
      <c r="B454" s="453" t="s">
        <v>9359</v>
      </c>
      <c r="C454" s="453" t="s">
        <v>58</v>
      </c>
      <c r="D454" s="457">
        <v>100870000</v>
      </c>
      <c r="E454" s="453" t="s">
        <v>251</v>
      </c>
      <c r="F454" s="474">
        <v>44405</v>
      </c>
      <c r="G454" s="474">
        <v>44474</v>
      </c>
      <c r="H454" s="474">
        <v>44509</v>
      </c>
      <c r="I454" s="1474"/>
      <c r="J454" s="1474"/>
      <c r="K454" s="1474"/>
      <c r="L454" s="570">
        <v>44509</v>
      </c>
      <c r="M454" s="474">
        <v>44516</v>
      </c>
      <c r="N454" s="2503">
        <f t="shared" ref="N454:N459" si="265">F454-A454</f>
        <v>14</v>
      </c>
      <c r="O454" s="2503">
        <f t="shared" ref="O454:O459" si="266">G454-F454</f>
        <v>69</v>
      </c>
      <c r="P454" s="2503">
        <f t="shared" ref="P454:P459" si="267">H454-G454</f>
        <v>35</v>
      </c>
      <c r="Q454" s="2503">
        <f t="shared" ref="Q454:Q459" si="268">M454-H454</f>
        <v>7</v>
      </c>
      <c r="R454" s="2503">
        <f t="shared" ref="R454:R459" si="269">M454-A454</f>
        <v>125</v>
      </c>
    </row>
    <row r="455" spans="1:18">
      <c r="A455" s="2140">
        <v>44391</v>
      </c>
      <c r="B455" s="2141" t="s">
        <v>9359</v>
      </c>
      <c r="C455" s="2141" t="s">
        <v>58</v>
      </c>
      <c r="D455" s="2144">
        <v>1500000</v>
      </c>
      <c r="E455" s="2141" t="s">
        <v>251</v>
      </c>
      <c r="F455" s="2140">
        <v>44405</v>
      </c>
      <c r="G455" s="2140">
        <v>44474</v>
      </c>
      <c r="H455" s="2140">
        <v>44509</v>
      </c>
      <c r="I455" s="2145"/>
      <c r="J455" s="2145"/>
      <c r="K455" s="2145"/>
      <c r="L455" s="2146">
        <v>44509</v>
      </c>
      <c r="M455" s="2140">
        <v>44543</v>
      </c>
      <c r="N455" s="2503">
        <f t="shared" si="265"/>
        <v>14</v>
      </c>
      <c r="O455" s="2503">
        <f t="shared" si="266"/>
        <v>69</v>
      </c>
      <c r="P455" s="2503">
        <f t="shared" si="267"/>
        <v>35</v>
      </c>
      <c r="Q455" s="2503">
        <f t="shared" si="268"/>
        <v>34</v>
      </c>
      <c r="R455" s="2503">
        <f t="shared" si="269"/>
        <v>152</v>
      </c>
    </row>
    <row r="456" spans="1:18" ht="15.75" thickBot="1">
      <c r="A456" s="2117">
        <v>44391</v>
      </c>
      <c r="B456" s="2118" t="s">
        <v>9359</v>
      </c>
      <c r="C456" s="2118" t="s">
        <v>58</v>
      </c>
      <c r="D456" s="2121">
        <v>16770000</v>
      </c>
      <c r="E456" s="2118" t="s">
        <v>251</v>
      </c>
      <c r="F456" s="2117">
        <v>44405</v>
      </c>
      <c r="G456" s="2117">
        <v>44474</v>
      </c>
      <c r="H456" s="2117">
        <v>44509</v>
      </c>
      <c r="I456" s="2122"/>
      <c r="J456" s="2122"/>
      <c r="K456" s="2122"/>
      <c r="L456" s="2123">
        <v>44509</v>
      </c>
      <c r="M456" s="2117">
        <v>44543</v>
      </c>
      <c r="N456" s="2503">
        <f t="shared" si="265"/>
        <v>14</v>
      </c>
      <c r="O456" s="2503">
        <f t="shared" si="266"/>
        <v>69</v>
      </c>
      <c r="P456" s="2503">
        <f t="shared" si="267"/>
        <v>35</v>
      </c>
      <c r="Q456" s="2503">
        <f t="shared" si="268"/>
        <v>34</v>
      </c>
      <c r="R456" s="2503">
        <f t="shared" si="269"/>
        <v>152</v>
      </c>
    </row>
    <row r="457" spans="1:18" ht="15.75" thickTop="1">
      <c r="A457" s="365">
        <v>44386</v>
      </c>
      <c r="B457" s="2497" t="s">
        <v>9368</v>
      </c>
      <c r="C457" s="2497" t="s">
        <v>58</v>
      </c>
      <c r="D457" s="364">
        <v>192000</v>
      </c>
      <c r="E457" s="2497" t="s">
        <v>112</v>
      </c>
      <c r="F457" s="365">
        <v>44396</v>
      </c>
      <c r="G457" s="365">
        <v>44407</v>
      </c>
      <c r="H457" s="365">
        <v>44418</v>
      </c>
      <c r="I457" s="1473"/>
      <c r="J457" s="1473"/>
      <c r="K457" s="1473"/>
      <c r="L457" s="681">
        <v>44418</v>
      </c>
      <c r="M457" s="365">
        <v>44434</v>
      </c>
      <c r="N457" s="2503">
        <f t="shared" si="265"/>
        <v>10</v>
      </c>
      <c r="O457" s="2503">
        <f t="shared" si="266"/>
        <v>11</v>
      </c>
      <c r="P457" s="2503">
        <f t="shared" si="267"/>
        <v>11</v>
      </c>
      <c r="Q457" s="2503">
        <f t="shared" si="268"/>
        <v>16</v>
      </c>
      <c r="R457" s="2503">
        <f t="shared" si="269"/>
        <v>48</v>
      </c>
    </row>
    <row r="458" spans="1:18">
      <c r="A458" s="537">
        <v>44386</v>
      </c>
      <c r="B458" s="491" t="s">
        <v>9368</v>
      </c>
      <c r="C458" s="491" t="s">
        <v>58</v>
      </c>
      <c r="D458" s="536">
        <v>175000</v>
      </c>
      <c r="E458" s="491" t="s">
        <v>112</v>
      </c>
      <c r="F458" s="537">
        <v>44396</v>
      </c>
      <c r="G458" s="537">
        <v>44407</v>
      </c>
      <c r="H458" s="537">
        <v>44418</v>
      </c>
      <c r="I458" s="1471"/>
      <c r="J458" s="1471"/>
      <c r="K458" s="1471"/>
      <c r="L458" s="573">
        <v>44418</v>
      </c>
      <c r="M458" s="537">
        <v>44434</v>
      </c>
      <c r="N458" s="2503">
        <f t="shared" si="265"/>
        <v>10</v>
      </c>
      <c r="O458" s="2503">
        <f t="shared" si="266"/>
        <v>11</v>
      </c>
      <c r="P458" s="2503">
        <f t="shared" si="267"/>
        <v>11</v>
      </c>
      <c r="Q458" s="2503">
        <f t="shared" si="268"/>
        <v>16</v>
      </c>
      <c r="R458" s="2503">
        <f t="shared" si="269"/>
        <v>48</v>
      </c>
    </row>
    <row r="459" spans="1:18">
      <c r="A459" s="537">
        <v>44386</v>
      </c>
      <c r="B459" s="491" t="s">
        <v>9374</v>
      </c>
      <c r="C459" s="491" t="s">
        <v>58</v>
      </c>
      <c r="D459" s="536">
        <v>87000</v>
      </c>
      <c r="E459" s="491" t="s">
        <v>112</v>
      </c>
      <c r="F459" s="537">
        <v>44396</v>
      </c>
      <c r="G459" s="537">
        <v>44405</v>
      </c>
      <c r="H459" s="537">
        <v>44417</v>
      </c>
      <c r="I459" s="1471"/>
      <c r="J459" s="1471"/>
      <c r="K459" s="1471"/>
      <c r="L459" s="573">
        <v>44417</v>
      </c>
      <c r="M459" s="537">
        <v>44449</v>
      </c>
      <c r="N459" s="2503">
        <f t="shared" si="265"/>
        <v>10</v>
      </c>
      <c r="O459" s="2503">
        <f t="shared" si="266"/>
        <v>9</v>
      </c>
      <c r="P459" s="2503">
        <f t="shared" si="267"/>
        <v>12</v>
      </c>
      <c r="Q459" s="2503">
        <f t="shared" si="268"/>
        <v>32</v>
      </c>
      <c r="R459" s="2503">
        <f t="shared" si="269"/>
        <v>63</v>
      </c>
    </row>
    <row r="460" spans="1:18" hidden="1">
      <c r="A460" s="491" t="s">
        <v>3585</v>
      </c>
      <c r="B460" s="491" t="s">
        <v>9377</v>
      </c>
      <c r="C460" s="491" t="s">
        <v>58</v>
      </c>
      <c r="D460" s="536">
        <v>1497521</v>
      </c>
      <c r="E460" s="491" t="s">
        <v>112</v>
      </c>
      <c r="F460" s="537">
        <v>44399</v>
      </c>
      <c r="G460" s="537">
        <v>44411</v>
      </c>
      <c r="H460" s="537">
        <v>44441</v>
      </c>
      <c r="I460" s="1471"/>
      <c r="J460" s="1471"/>
      <c r="K460" s="1471"/>
      <c r="L460" s="573">
        <v>44442</v>
      </c>
      <c r="M460" s="537">
        <v>44462</v>
      </c>
    </row>
    <row r="461" spans="1:18">
      <c r="A461" s="537">
        <v>44391</v>
      </c>
      <c r="B461" s="491" t="s">
        <v>9381</v>
      </c>
      <c r="C461" s="491" t="s">
        <v>2434</v>
      </c>
      <c r="D461" s="536">
        <v>1973190</v>
      </c>
      <c r="E461" s="491" t="s">
        <v>112</v>
      </c>
      <c r="F461" s="537">
        <v>44396</v>
      </c>
      <c r="G461" s="537">
        <v>44406</v>
      </c>
      <c r="H461" s="537">
        <v>44418</v>
      </c>
      <c r="I461" s="1484"/>
      <c r="J461" s="1484"/>
      <c r="K461" s="1484"/>
      <c r="L461" s="573">
        <v>44420</v>
      </c>
      <c r="M461" s="537">
        <v>44439</v>
      </c>
      <c r="N461" s="2503">
        <f>F461-A461</f>
        <v>5</v>
      </c>
      <c r="O461" s="2503">
        <f>G461-F461</f>
        <v>10</v>
      </c>
      <c r="P461" s="2503">
        <f>H461-G461</f>
        <v>12</v>
      </c>
      <c r="Q461" s="2503">
        <f>M461-H461</f>
        <v>21</v>
      </c>
      <c r="R461" s="2503">
        <f>M461-A461</f>
        <v>48</v>
      </c>
    </row>
    <row r="462" spans="1:18" hidden="1">
      <c r="A462" s="506" t="s">
        <v>3585</v>
      </c>
      <c r="B462" s="506" t="s">
        <v>9382</v>
      </c>
      <c r="C462" s="506" t="s">
        <v>2111</v>
      </c>
      <c r="D462" s="511">
        <v>1100000</v>
      </c>
      <c r="E462" s="506" t="s">
        <v>112</v>
      </c>
      <c r="F462" s="510">
        <v>44396</v>
      </c>
      <c r="G462" s="510">
        <v>44406</v>
      </c>
      <c r="H462" s="506"/>
      <c r="I462" s="1484"/>
      <c r="J462" s="1484"/>
      <c r="K462" s="1484"/>
      <c r="L462" s="511"/>
      <c r="M462" s="506"/>
    </row>
    <row r="463" spans="1:18" hidden="1">
      <c r="A463" s="510">
        <v>44391</v>
      </c>
      <c r="B463" s="506" t="s">
        <v>9385</v>
      </c>
      <c r="C463" s="506" t="s">
        <v>58</v>
      </c>
      <c r="D463" s="511">
        <v>1481625</v>
      </c>
      <c r="E463" s="506" t="s">
        <v>112</v>
      </c>
      <c r="F463" s="510">
        <v>44398</v>
      </c>
      <c r="G463" s="510">
        <v>44407</v>
      </c>
      <c r="H463" s="506"/>
      <c r="I463" s="1470"/>
      <c r="J463" s="1470"/>
      <c r="K463" s="1470"/>
      <c r="L463" s="511"/>
      <c r="M463" s="506"/>
    </row>
    <row r="464" spans="1:18" ht="15.75" thickBot="1">
      <c r="A464" s="416">
        <v>44393</v>
      </c>
      <c r="B464" s="411" t="s">
        <v>9388</v>
      </c>
      <c r="C464" s="411" t="s">
        <v>69</v>
      </c>
      <c r="D464" s="417">
        <v>1477522</v>
      </c>
      <c r="E464" s="411" t="s">
        <v>112</v>
      </c>
      <c r="F464" s="416">
        <v>44412</v>
      </c>
      <c r="G464" s="416">
        <v>44421</v>
      </c>
      <c r="H464" s="416">
        <v>44431</v>
      </c>
      <c r="I464" s="1480"/>
      <c r="J464" s="1480"/>
      <c r="K464" s="1480"/>
      <c r="L464" s="513">
        <v>44431</v>
      </c>
      <c r="M464" s="416">
        <v>44474</v>
      </c>
      <c r="N464" s="2503">
        <f t="shared" ref="N464:N467" si="270">F464-A464</f>
        <v>19</v>
      </c>
      <c r="O464" s="2503">
        <f t="shared" ref="O464:O467" si="271">G464-F464</f>
        <v>9</v>
      </c>
      <c r="P464" s="2503">
        <f t="shared" ref="P464:P467" si="272">H464-G464</f>
        <v>10</v>
      </c>
      <c r="Q464" s="2503">
        <f t="shared" ref="Q464:Q467" si="273">M464-H464</f>
        <v>43</v>
      </c>
      <c r="R464" s="2503">
        <f t="shared" ref="R464:R467" si="274">M464-A464</f>
        <v>81</v>
      </c>
    </row>
    <row r="465" spans="1:18" ht="15.75" thickTop="1">
      <c r="A465" s="474">
        <v>44393</v>
      </c>
      <c r="B465" s="453" t="s">
        <v>9391</v>
      </c>
      <c r="C465" s="453" t="s">
        <v>69</v>
      </c>
      <c r="D465" s="457">
        <v>4341599</v>
      </c>
      <c r="E465" s="453" t="s">
        <v>251</v>
      </c>
      <c r="F465" s="474">
        <v>44400</v>
      </c>
      <c r="G465" s="474">
        <v>44435</v>
      </c>
      <c r="H465" s="474">
        <v>44460</v>
      </c>
      <c r="I465" s="1474"/>
      <c r="J465" s="1474"/>
      <c r="K465" s="1474"/>
      <c r="L465" s="570">
        <v>44460</v>
      </c>
      <c r="M465" s="474">
        <v>44510</v>
      </c>
      <c r="N465" s="2503">
        <f t="shared" si="270"/>
        <v>7</v>
      </c>
      <c r="O465" s="2503">
        <f t="shared" si="271"/>
        <v>35</v>
      </c>
      <c r="P465" s="2503">
        <f t="shared" si="272"/>
        <v>25</v>
      </c>
      <c r="Q465" s="2503">
        <f t="shared" si="273"/>
        <v>50</v>
      </c>
      <c r="R465" s="2503">
        <f t="shared" si="274"/>
        <v>117</v>
      </c>
    </row>
    <row r="466" spans="1:18" ht="15.75" thickBot="1">
      <c r="A466" s="2117">
        <v>44393</v>
      </c>
      <c r="B466" s="2118" t="s">
        <v>9391</v>
      </c>
      <c r="C466" s="2118" t="s">
        <v>69</v>
      </c>
      <c r="D466" s="2121">
        <v>2791686</v>
      </c>
      <c r="E466" s="2118" t="s">
        <v>251</v>
      </c>
      <c r="F466" s="2117">
        <v>44400</v>
      </c>
      <c r="G466" s="2117">
        <v>44435</v>
      </c>
      <c r="H466" s="2117">
        <v>44460</v>
      </c>
      <c r="I466" s="2122"/>
      <c r="J466" s="2122"/>
      <c r="K466" s="2122"/>
      <c r="L466" s="2123">
        <v>44460</v>
      </c>
      <c r="M466" s="2117">
        <v>44510</v>
      </c>
      <c r="N466" s="2503">
        <f t="shared" si="270"/>
        <v>7</v>
      </c>
      <c r="O466" s="2503">
        <f t="shared" si="271"/>
        <v>35</v>
      </c>
      <c r="P466" s="2503">
        <f t="shared" si="272"/>
        <v>25</v>
      </c>
      <c r="Q466" s="2503">
        <f t="shared" si="273"/>
        <v>50</v>
      </c>
      <c r="R466" s="2503">
        <f t="shared" si="274"/>
        <v>117</v>
      </c>
    </row>
    <row r="467" spans="1:18" ht="15.75" thickTop="1">
      <c r="A467" s="474">
        <v>44393</v>
      </c>
      <c r="B467" s="453" t="s">
        <v>9394</v>
      </c>
      <c r="C467" s="453" t="s">
        <v>69</v>
      </c>
      <c r="D467" s="457">
        <v>1051199</v>
      </c>
      <c r="E467" s="453" t="s">
        <v>251</v>
      </c>
      <c r="F467" s="474">
        <v>44399</v>
      </c>
      <c r="G467" s="474">
        <v>44461</v>
      </c>
      <c r="H467" s="474">
        <v>44531</v>
      </c>
      <c r="I467" s="1474"/>
      <c r="J467" s="1474"/>
      <c r="K467" s="1474"/>
      <c r="L467" s="570">
        <v>44531</v>
      </c>
      <c r="M467" s="474">
        <v>44553</v>
      </c>
      <c r="N467" s="2503">
        <f t="shared" si="270"/>
        <v>6</v>
      </c>
      <c r="O467" s="2503">
        <f t="shared" si="271"/>
        <v>62</v>
      </c>
      <c r="P467" s="2503">
        <f t="shared" si="272"/>
        <v>70</v>
      </c>
      <c r="Q467" s="2503">
        <f t="shared" si="273"/>
        <v>22</v>
      </c>
      <c r="R467" s="2503">
        <f t="shared" si="274"/>
        <v>160</v>
      </c>
    </row>
    <row r="468" spans="1:18" hidden="1">
      <c r="A468" s="2124">
        <v>44393</v>
      </c>
      <c r="B468" s="2125" t="s">
        <v>9394</v>
      </c>
      <c r="C468" s="2125" t="s">
        <v>69</v>
      </c>
      <c r="D468" s="2128">
        <v>103138</v>
      </c>
      <c r="E468" s="2125" t="s">
        <v>251</v>
      </c>
      <c r="F468" s="2124">
        <v>44399</v>
      </c>
      <c r="G468" s="2124">
        <v>44461</v>
      </c>
      <c r="H468" s="2125"/>
      <c r="I468" s="2094"/>
      <c r="J468" s="2094"/>
      <c r="K468" s="2094"/>
      <c r="L468" s="2128"/>
      <c r="M468" s="2125"/>
    </row>
    <row r="469" spans="1:18">
      <c r="A469" s="2140">
        <v>44393</v>
      </c>
      <c r="B469" s="2141" t="s">
        <v>9394</v>
      </c>
      <c r="C469" s="2141" t="s">
        <v>69</v>
      </c>
      <c r="D469" s="2144">
        <v>2295855</v>
      </c>
      <c r="E469" s="2141" t="s">
        <v>251</v>
      </c>
      <c r="F469" s="2140">
        <v>44399</v>
      </c>
      <c r="G469" s="2140">
        <v>44461</v>
      </c>
      <c r="H469" s="2140">
        <v>44531</v>
      </c>
      <c r="I469" s="2145"/>
      <c r="J469" s="2145"/>
      <c r="K469" s="2145"/>
      <c r="L469" s="2146">
        <v>44531</v>
      </c>
      <c r="M469" s="2140">
        <v>44552</v>
      </c>
      <c r="N469" s="2503">
        <f>F469-A469</f>
        <v>6</v>
      </c>
      <c r="O469" s="2503">
        <f>G469-F469</f>
        <v>62</v>
      </c>
      <c r="P469" s="2503">
        <f>H469-G469</f>
        <v>70</v>
      </c>
      <c r="Q469" s="2503">
        <f>M469-H469</f>
        <v>21</v>
      </c>
      <c r="R469" s="2503">
        <f>M469-A469</f>
        <v>159</v>
      </c>
    </row>
    <row r="470" spans="1:18" hidden="1">
      <c r="A470" s="2124">
        <v>44393</v>
      </c>
      <c r="B470" s="2125" t="s">
        <v>9394</v>
      </c>
      <c r="C470" s="2125" t="s">
        <v>69</v>
      </c>
      <c r="D470" s="2128">
        <v>60840</v>
      </c>
      <c r="E470" s="2125" t="s">
        <v>251</v>
      </c>
      <c r="F470" s="2124">
        <v>44399</v>
      </c>
      <c r="G470" s="2124">
        <v>44461</v>
      </c>
      <c r="H470" s="2125"/>
      <c r="I470" s="2129"/>
      <c r="J470" s="2129"/>
      <c r="K470" s="2129"/>
      <c r="L470" s="2128"/>
      <c r="M470" s="2125"/>
    </row>
    <row r="471" spans="1:18">
      <c r="A471" s="2140">
        <v>44393</v>
      </c>
      <c r="B471" s="2141" t="s">
        <v>9394</v>
      </c>
      <c r="C471" s="2141" t="s">
        <v>69</v>
      </c>
      <c r="D471" s="2144">
        <v>1251266</v>
      </c>
      <c r="E471" s="2141" t="s">
        <v>251</v>
      </c>
      <c r="F471" s="2140">
        <v>44399</v>
      </c>
      <c r="G471" s="2140">
        <v>44461</v>
      </c>
      <c r="H471" s="2140">
        <v>44531</v>
      </c>
      <c r="I471" s="2145"/>
      <c r="J471" s="2145"/>
      <c r="K471" s="2145"/>
      <c r="L471" s="2146">
        <v>44531</v>
      </c>
      <c r="M471" s="2140">
        <v>44553</v>
      </c>
      <c r="N471" s="2503">
        <f>F471-A471</f>
        <v>6</v>
      </c>
      <c r="O471" s="2503">
        <f>G471-F471</f>
        <v>62</v>
      </c>
      <c r="P471" s="2503">
        <f>H471-G471</f>
        <v>70</v>
      </c>
      <c r="Q471" s="2503">
        <f>M471-H471</f>
        <v>22</v>
      </c>
      <c r="R471" s="2503">
        <f>M471-A471</f>
        <v>160</v>
      </c>
    </row>
    <row r="472" spans="1:18" hidden="1">
      <c r="A472" s="2124">
        <v>44393</v>
      </c>
      <c r="B472" s="2125" t="s">
        <v>9394</v>
      </c>
      <c r="C472" s="2125" t="s">
        <v>69</v>
      </c>
      <c r="D472" s="2128">
        <v>289927</v>
      </c>
      <c r="E472" s="2125" t="s">
        <v>251</v>
      </c>
      <c r="F472" s="2124">
        <v>44399</v>
      </c>
      <c r="G472" s="2124">
        <v>44461</v>
      </c>
      <c r="H472" s="2125"/>
      <c r="I472" s="2094"/>
      <c r="J472" s="2094"/>
      <c r="K472" s="2094"/>
      <c r="L472" s="2128"/>
      <c r="M472" s="2125"/>
    </row>
    <row r="473" spans="1:18" hidden="1">
      <c r="A473" s="2124">
        <v>44393</v>
      </c>
      <c r="B473" s="2125" t="s">
        <v>9394</v>
      </c>
      <c r="C473" s="2125" t="s">
        <v>69</v>
      </c>
      <c r="D473" s="2128">
        <v>1699203</v>
      </c>
      <c r="E473" s="2125" t="s">
        <v>251</v>
      </c>
      <c r="F473" s="2124">
        <v>44399</v>
      </c>
      <c r="G473" s="2124">
        <v>44461</v>
      </c>
      <c r="H473" s="2125"/>
      <c r="I473" s="2129"/>
      <c r="J473" s="2129"/>
      <c r="K473" s="2129"/>
      <c r="L473" s="2128"/>
      <c r="M473" s="2125"/>
    </row>
    <row r="474" spans="1:18">
      <c r="A474" s="2140">
        <v>44393</v>
      </c>
      <c r="B474" s="2141" t="s">
        <v>9394</v>
      </c>
      <c r="C474" s="2141" t="s">
        <v>69</v>
      </c>
      <c r="D474" s="2144">
        <v>7665209</v>
      </c>
      <c r="E474" s="2141" t="s">
        <v>251</v>
      </c>
      <c r="F474" s="2140">
        <v>44399</v>
      </c>
      <c r="G474" s="2140">
        <v>44461</v>
      </c>
      <c r="H474" s="2140">
        <v>44531</v>
      </c>
      <c r="I474" s="2145"/>
      <c r="J474" s="2145"/>
      <c r="K474" s="2145"/>
      <c r="L474" s="2146">
        <v>44531</v>
      </c>
      <c r="M474" s="2140">
        <v>44553</v>
      </c>
      <c r="N474" s="2503">
        <f t="shared" ref="N474:N478" si="275">F474-A474</f>
        <v>6</v>
      </c>
      <c r="O474" s="2503">
        <f t="shared" ref="O474:O478" si="276">G474-F474</f>
        <v>62</v>
      </c>
      <c r="P474" s="2503">
        <f t="shared" ref="P474:P478" si="277">H474-G474</f>
        <v>70</v>
      </c>
      <c r="Q474" s="2503">
        <f t="shared" ref="Q474:Q478" si="278">M474-H474</f>
        <v>22</v>
      </c>
      <c r="R474" s="2503">
        <f t="shared" ref="R474:R478" si="279">M474-A474</f>
        <v>160</v>
      </c>
    </row>
    <row r="475" spans="1:18" ht="15.75" thickBot="1">
      <c r="A475" s="2117">
        <v>44393</v>
      </c>
      <c r="B475" s="2118" t="s">
        <v>9394</v>
      </c>
      <c r="C475" s="2118" t="s">
        <v>69</v>
      </c>
      <c r="D475" s="2121">
        <v>264900</v>
      </c>
      <c r="E475" s="2118" t="s">
        <v>251</v>
      </c>
      <c r="F475" s="2117">
        <v>44399</v>
      </c>
      <c r="G475" s="2117">
        <v>44461</v>
      </c>
      <c r="H475" s="2117">
        <v>44531</v>
      </c>
      <c r="I475" s="2122"/>
      <c r="J475" s="2122"/>
      <c r="K475" s="2122"/>
      <c r="L475" s="2123">
        <v>44531</v>
      </c>
      <c r="M475" s="2117">
        <v>44552</v>
      </c>
      <c r="N475" s="2503">
        <f t="shared" si="275"/>
        <v>6</v>
      </c>
      <c r="O475" s="2503">
        <f t="shared" si="276"/>
        <v>62</v>
      </c>
      <c r="P475" s="2503">
        <f t="shared" si="277"/>
        <v>70</v>
      </c>
      <c r="Q475" s="2503">
        <f t="shared" si="278"/>
        <v>21</v>
      </c>
      <c r="R475" s="2503">
        <f t="shared" si="279"/>
        <v>159</v>
      </c>
    </row>
    <row r="476" spans="1:18" ht="16.5" thickTop="1" thickBot="1">
      <c r="A476" s="498">
        <v>44391</v>
      </c>
      <c r="B476" s="232" t="s">
        <v>9413</v>
      </c>
      <c r="C476" s="232" t="s">
        <v>2111</v>
      </c>
      <c r="D476" s="499">
        <v>700992.1</v>
      </c>
      <c r="E476" s="232" t="s">
        <v>112</v>
      </c>
      <c r="F476" s="498">
        <v>44398</v>
      </c>
      <c r="G476" s="498">
        <v>44411</v>
      </c>
      <c r="H476" s="498">
        <v>44459</v>
      </c>
      <c r="I476" s="1545"/>
      <c r="J476" s="1545"/>
      <c r="K476" s="1545"/>
      <c r="L476" s="682">
        <v>44460</v>
      </c>
      <c r="M476" s="498">
        <v>44480</v>
      </c>
      <c r="N476" s="2503">
        <f t="shared" si="275"/>
        <v>7</v>
      </c>
      <c r="O476" s="2503">
        <f t="shared" si="276"/>
        <v>13</v>
      </c>
      <c r="P476" s="2503">
        <f t="shared" si="277"/>
        <v>48</v>
      </c>
      <c r="Q476" s="2503">
        <f t="shared" si="278"/>
        <v>21</v>
      </c>
      <c r="R476" s="2503">
        <f t="shared" si="279"/>
        <v>89</v>
      </c>
    </row>
    <row r="477" spans="1:18" ht="15.75" thickTop="1">
      <c r="A477" s="474">
        <v>44391</v>
      </c>
      <c r="B477" s="453" t="s">
        <v>9410</v>
      </c>
      <c r="C477" s="453" t="s">
        <v>2434</v>
      </c>
      <c r="D477" s="2401">
        <v>1555743</v>
      </c>
      <c r="E477" s="453" t="s">
        <v>251</v>
      </c>
      <c r="F477" s="474">
        <v>44404</v>
      </c>
      <c r="G477" s="474">
        <v>44438</v>
      </c>
      <c r="H477" s="474">
        <v>44488</v>
      </c>
      <c r="I477" s="1474"/>
      <c r="J477" s="1474"/>
      <c r="K477" s="1474"/>
      <c r="L477" s="570">
        <v>44488</v>
      </c>
      <c r="M477" s="474">
        <v>44516</v>
      </c>
      <c r="N477" s="2503">
        <f t="shared" si="275"/>
        <v>13</v>
      </c>
      <c r="O477" s="2503">
        <f t="shared" si="276"/>
        <v>34</v>
      </c>
      <c r="P477" s="2503">
        <f t="shared" si="277"/>
        <v>50</v>
      </c>
      <c r="Q477" s="2503">
        <f t="shared" si="278"/>
        <v>28</v>
      </c>
      <c r="R477" s="2503">
        <f t="shared" si="279"/>
        <v>125</v>
      </c>
    </row>
    <row r="478" spans="1:18">
      <c r="A478" s="2140">
        <v>44391</v>
      </c>
      <c r="B478" s="2141" t="s">
        <v>9410</v>
      </c>
      <c r="C478" s="2141" t="s">
        <v>2434</v>
      </c>
      <c r="D478" s="2400">
        <v>3097774</v>
      </c>
      <c r="E478" s="2141" t="s">
        <v>251</v>
      </c>
      <c r="F478" s="2140">
        <v>44404</v>
      </c>
      <c r="G478" s="2140">
        <v>44438</v>
      </c>
      <c r="H478" s="2140">
        <v>44488</v>
      </c>
      <c r="I478" s="2145"/>
      <c r="J478" s="2145"/>
      <c r="K478" s="2145"/>
      <c r="L478" s="2146">
        <v>44488</v>
      </c>
      <c r="M478" s="2140">
        <v>44515</v>
      </c>
      <c r="N478" s="2503">
        <f t="shared" si="275"/>
        <v>13</v>
      </c>
      <c r="O478" s="2503">
        <f t="shared" si="276"/>
        <v>34</v>
      </c>
      <c r="P478" s="2503">
        <f t="shared" si="277"/>
        <v>50</v>
      </c>
      <c r="Q478" s="2503">
        <f t="shared" si="278"/>
        <v>27</v>
      </c>
      <c r="R478" s="2503">
        <f t="shared" si="279"/>
        <v>124</v>
      </c>
    </row>
    <row r="479" spans="1:18" hidden="1">
      <c r="A479" s="2124">
        <v>44391</v>
      </c>
      <c r="B479" s="2125" t="s">
        <v>9410</v>
      </c>
      <c r="C479" s="2125" t="s">
        <v>2434</v>
      </c>
      <c r="D479" s="2356">
        <v>192063</v>
      </c>
      <c r="E479" s="2125" t="s">
        <v>251</v>
      </c>
      <c r="F479" s="2124">
        <v>44404</v>
      </c>
      <c r="G479" s="2124">
        <v>44438</v>
      </c>
      <c r="H479" s="2125"/>
      <c r="I479" s="2129"/>
      <c r="J479" s="2129"/>
      <c r="K479" s="2129"/>
      <c r="L479" s="2128"/>
      <c r="M479" s="2125"/>
    </row>
    <row r="480" spans="1:18" ht="15.75" thickBot="1">
      <c r="A480" s="2117">
        <v>44391</v>
      </c>
      <c r="B480" s="2118" t="s">
        <v>9410</v>
      </c>
      <c r="C480" s="2118" t="s">
        <v>2434</v>
      </c>
      <c r="D480" s="2399">
        <v>64800</v>
      </c>
      <c r="E480" s="2118" t="s">
        <v>251</v>
      </c>
      <c r="F480" s="2117">
        <v>44404</v>
      </c>
      <c r="G480" s="2117">
        <v>44438</v>
      </c>
      <c r="H480" s="2117">
        <v>44488</v>
      </c>
      <c r="I480" s="2122"/>
      <c r="J480" s="2122"/>
      <c r="K480" s="2122"/>
      <c r="L480" s="2123">
        <v>44488</v>
      </c>
      <c r="M480" s="2117">
        <v>44515</v>
      </c>
      <c r="N480" s="2503">
        <f t="shared" ref="N480:N484" si="280">F480-A480</f>
        <v>13</v>
      </c>
      <c r="O480" s="2503">
        <f t="shared" ref="O480:O484" si="281">G480-F480</f>
        <v>34</v>
      </c>
      <c r="P480" s="2503">
        <f t="shared" ref="P480:P484" si="282">H480-G480</f>
        <v>50</v>
      </c>
      <c r="Q480" s="2503">
        <f t="shared" ref="Q480:Q484" si="283">M480-H480</f>
        <v>27</v>
      </c>
      <c r="R480" s="2503">
        <f t="shared" ref="R480:R484" si="284">M480-A480</f>
        <v>124</v>
      </c>
    </row>
    <row r="481" spans="1:18" ht="15.75" thickTop="1">
      <c r="A481" s="365">
        <v>44392</v>
      </c>
      <c r="B481" s="2497" t="s">
        <v>9420</v>
      </c>
      <c r="C481" s="2497" t="s">
        <v>14</v>
      </c>
      <c r="D481" s="364">
        <v>574500</v>
      </c>
      <c r="E481" s="2497" t="s">
        <v>112</v>
      </c>
      <c r="F481" s="365">
        <v>44404</v>
      </c>
      <c r="G481" s="365">
        <v>44414</v>
      </c>
      <c r="H481" s="365">
        <v>44419</v>
      </c>
      <c r="I481" s="1473"/>
      <c r="J481" s="1473"/>
      <c r="K481" s="1473"/>
      <c r="L481" s="681">
        <v>44420</v>
      </c>
      <c r="M481" s="365">
        <v>44433</v>
      </c>
      <c r="N481" s="2503">
        <f t="shared" si="280"/>
        <v>12</v>
      </c>
      <c r="O481" s="2503">
        <f t="shared" si="281"/>
        <v>10</v>
      </c>
      <c r="P481" s="2503">
        <f t="shared" si="282"/>
        <v>5</v>
      </c>
      <c r="Q481" s="2503">
        <f t="shared" si="283"/>
        <v>14</v>
      </c>
      <c r="R481" s="2503">
        <f t="shared" si="284"/>
        <v>41</v>
      </c>
    </row>
    <row r="482" spans="1:18">
      <c r="A482" s="537">
        <v>44392</v>
      </c>
      <c r="B482" s="491" t="s">
        <v>9425</v>
      </c>
      <c r="C482" s="491" t="s">
        <v>1032</v>
      </c>
      <c r="D482" s="536">
        <v>6000000</v>
      </c>
      <c r="E482" s="491" t="s">
        <v>251</v>
      </c>
      <c r="F482" s="537">
        <v>44406</v>
      </c>
      <c r="G482" s="537">
        <v>44441</v>
      </c>
      <c r="H482" s="537">
        <v>44461</v>
      </c>
      <c r="I482" s="1471"/>
      <c r="J482" s="1471"/>
      <c r="K482" s="1471"/>
      <c r="L482" s="573">
        <v>44461</v>
      </c>
      <c r="M482" s="537">
        <v>44509</v>
      </c>
      <c r="N482" s="2503">
        <f t="shared" si="280"/>
        <v>14</v>
      </c>
      <c r="O482" s="2503">
        <f t="shared" si="281"/>
        <v>35</v>
      </c>
      <c r="P482" s="2503">
        <f t="shared" si="282"/>
        <v>20</v>
      </c>
      <c r="Q482" s="2503">
        <f t="shared" si="283"/>
        <v>48</v>
      </c>
      <c r="R482" s="2503">
        <f t="shared" si="284"/>
        <v>117</v>
      </c>
    </row>
    <row r="483" spans="1:18">
      <c r="A483" s="537">
        <v>44392</v>
      </c>
      <c r="B483" s="491" t="s">
        <v>9426</v>
      </c>
      <c r="C483" s="491" t="s">
        <v>14</v>
      </c>
      <c r="D483" s="536">
        <v>1430000</v>
      </c>
      <c r="E483" s="491" t="s">
        <v>112</v>
      </c>
      <c r="F483" s="537">
        <v>44404</v>
      </c>
      <c r="G483" s="537">
        <v>44414</v>
      </c>
      <c r="H483" s="537">
        <v>44420</v>
      </c>
      <c r="I483" s="1471"/>
      <c r="J483" s="1471"/>
      <c r="K483" s="1471"/>
      <c r="L483" s="573">
        <v>44420</v>
      </c>
      <c r="M483" s="537">
        <v>44438</v>
      </c>
      <c r="N483" s="2503">
        <f t="shared" si="280"/>
        <v>12</v>
      </c>
      <c r="O483" s="2503">
        <f t="shared" si="281"/>
        <v>10</v>
      </c>
      <c r="P483" s="2503">
        <f t="shared" si="282"/>
        <v>6</v>
      </c>
      <c r="Q483" s="2503">
        <f t="shared" si="283"/>
        <v>18</v>
      </c>
      <c r="R483" s="2503">
        <f t="shared" si="284"/>
        <v>46</v>
      </c>
    </row>
    <row r="484" spans="1:18">
      <c r="A484" s="537">
        <v>44384</v>
      </c>
      <c r="B484" s="491" t="s">
        <v>9438</v>
      </c>
      <c r="C484" s="491" t="s">
        <v>58</v>
      </c>
      <c r="D484" s="536">
        <v>2250000</v>
      </c>
      <c r="E484" s="491" t="s">
        <v>216</v>
      </c>
      <c r="F484" s="537">
        <v>44406</v>
      </c>
      <c r="G484" s="537">
        <v>44432</v>
      </c>
      <c r="H484" s="537">
        <v>44449</v>
      </c>
      <c r="I484" s="1471"/>
      <c r="J484" s="1471"/>
      <c r="K484" s="1471"/>
      <c r="L484" s="573">
        <v>44449</v>
      </c>
      <c r="M484" s="537">
        <v>44489</v>
      </c>
      <c r="N484" s="2503">
        <f t="shared" si="280"/>
        <v>22</v>
      </c>
      <c r="O484" s="2503">
        <f t="shared" si="281"/>
        <v>26</v>
      </c>
      <c r="P484" s="2503">
        <f t="shared" si="282"/>
        <v>17</v>
      </c>
      <c r="Q484" s="2503">
        <f t="shared" si="283"/>
        <v>40</v>
      </c>
      <c r="R484" s="2503">
        <f t="shared" si="284"/>
        <v>105</v>
      </c>
    </row>
    <row r="485" spans="1:18" hidden="1">
      <c r="A485" s="510">
        <v>44399</v>
      </c>
      <c r="B485" s="506" t="s">
        <v>9443</v>
      </c>
      <c r="C485" s="506" t="s">
        <v>69</v>
      </c>
      <c r="D485" s="511">
        <v>211954416</v>
      </c>
      <c r="E485" s="506" t="s">
        <v>251</v>
      </c>
      <c r="F485" s="510">
        <v>44404</v>
      </c>
      <c r="G485" s="510">
        <v>44441</v>
      </c>
      <c r="H485" s="506"/>
      <c r="I485" s="1470"/>
      <c r="J485" s="1470"/>
      <c r="K485" s="1470"/>
      <c r="L485" s="511"/>
      <c r="M485" s="506"/>
    </row>
    <row r="486" spans="1:18">
      <c r="A486" s="416">
        <v>44389</v>
      </c>
      <c r="B486" s="411" t="s">
        <v>9445</v>
      </c>
      <c r="C486" s="411" t="s">
        <v>58</v>
      </c>
      <c r="D486" s="417">
        <v>777455</v>
      </c>
      <c r="E486" s="411" t="s">
        <v>112</v>
      </c>
      <c r="F486" s="416">
        <v>44403</v>
      </c>
      <c r="G486" s="416">
        <v>44412</v>
      </c>
      <c r="H486" s="416">
        <v>44424</v>
      </c>
      <c r="I486" s="1480"/>
      <c r="J486" s="1480"/>
      <c r="K486" s="1480"/>
      <c r="L486" s="513">
        <v>44424</v>
      </c>
      <c r="M486" s="416">
        <v>44452</v>
      </c>
      <c r="N486" s="2503">
        <f>F486-A486</f>
        <v>14</v>
      </c>
      <c r="O486" s="2503">
        <f>G486-F486</f>
        <v>9</v>
      </c>
      <c r="P486" s="2503">
        <f>H486-G486</f>
        <v>12</v>
      </c>
      <c r="Q486" s="2503">
        <f>M486-H486</f>
        <v>28</v>
      </c>
      <c r="R486" s="2503">
        <f>M486-A486</f>
        <v>63</v>
      </c>
    </row>
    <row r="487" spans="1:18" ht="15.75" hidden="1" thickTop="1">
      <c r="A487" s="443">
        <v>44399</v>
      </c>
      <c r="B487" s="439" t="s">
        <v>9448</v>
      </c>
      <c r="C487" s="439" t="s">
        <v>69</v>
      </c>
      <c r="D487" s="444">
        <v>4337280</v>
      </c>
      <c r="E487" s="439" t="s">
        <v>251</v>
      </c>
      <c r="F487" s="443">
        <v>44404</v>
      </c>
      <c r="G487" s="443">
        <v>44438</v>
      </c>
      <c r="H487" s="439"/>
      <c r="I487" s="1481"/>
      <c r="J487" s="1481"/>
      <c r="K487" s="1481"/>
      <c r="L487" s="444"/>
      <c r="M487" s="439"/>
    </row>
    <row r="488" spans="1:18" ht="15.75" thickBot="1">
      <c r="A488" s="2117">
        <v>44399</v>
      </c>
      <c r="B488" s="2118" t="s">
        <v>9448</v>
      </c>
      <c r="C488" s="2118" t="s">
        <v>69</v>
      </c>
      <c r="D488" s="2121">
        <v>20330627</v>
      </c>
      <c r="E488" s="2118" t="s">
        <v>251</v>
      </c>
      <c r="F488" s="2117">
        <v>44404</v>
      </c>
      <c r="G488" s="2117">
        <v>44438</v>
      </c>
      <c r="H488" s="2117">
        <v>44460</v>
      </c>
      <c r="I488" s="2122"/>
      <c r="J488" s="2122"/>
      <c r="K488" s="2122"/>
      <c r="L488" s="2123">
        <v>44460</v>
      </c>
      <c r="M488" s="2117">
        <v>44484</v>
      </c>
      <c r="N488" s="2503">
        <f>F488-A488</f>
        <v>5</v>
      </c>
      <c r="O488" s="2503">
        <f>G488-F488</f>
        <v>34</v>
      </c>
      <c r="P488" s="2503">
        <f>H488-G488</f>
        <v>22</v>
      </c>
      <c r="Q488" s="2503">
        <f>M488-H488</f>
        <v>24</v>
      </c>
      <c r="R488" s="2503">
        <f>M488-A488</f>
        <v>85</v>
      </c>
    </row>
    <row r="489" spans="1:18" ht="15.75" hidden="1" thickTop="1">
      <c r="A489" s="470">
        <v>44397</v>
      </c>
      <c r="B489" s="466" t="s">
        <v>9454</v>
      </c>
      <c r="C489" s="466" t="s">
        <v>58</v>
      </c>
      <c r="D489" s="472">
        <v>159000</v>
      </c>
      <c r="E489" s="466" t="s">
        <v>112</v>
      </c>
      <c r="F489" s="470">
        <v>44404</v>
      </c>
      <c r="G489" s="470">
        <v>44412</v>
      </c>
      <c r="H489" s="466"/>
      <c r="I489" s="1489"/>
      <c r="J489" s="1489"/>
      <c r="K489" s="1489"/>
      <c r="L489" s="472"/>
      <c r="M489" s="466"/>
    </row>
    <row r="490" spans="1:18" ht="15.75" thickTop="1">
      <c r="A490" s="537">
        <v>44393</v>
      </c>
      <c r="B490" s="491" t="s">
        <v>9456</v>
      </c>
      <c r="C490" s="491" t="s">
        <v>58</v>
      </c>
      <c r="D490" s="536">
        <v>130000</v>
      </c>
      <c r="E490" s="491" t="s">
        <v>112</v>
      </c>
      <c r="F490" s="537">
        <v>44404</v>
      </c>
      <c r="G490" s="537">
        <v>44412</v>
      </c>
      <c r="H490" s="537">
        <v>44424</v>
      </c>
      <c r="I490" s="1471"/>
      <c r="J490" s="1471"/>
      <c r="K490" s="1471"/>
      <c r="L490" s="573">
        <v>44424</v>
      </c>
      <c r="M490" s="537">
        <v>44440</v>
      </c>
      <c r="N490" s="2503">
        <f t="shared" ref="N490:N493" si="285">F490-A490</f>
        <v>11</v>
      </c>
      <c r="O490" s="2503">
        <f t="shared" ref="O490:O493" si="286">G490-F490</f>
        <v>8</v>
      </c>
      <c r="P490" s="2503">
        <f t="shared" ref="P490:P493" si="287">H490-G490</f>
        <v>12</v>
      </c>
      <c r="Q490" s="2503">
        <f t="shared" ref="Q490:Q493" si="288">M490-H490</f>
        <v>16</v>
      </c>
      <c r="R490" s="2503">
        <f t="shared" ref="R490:R493" si="289">M490-A490</f>
        <v>47</v>
      </c>
    </row>
    <row r="491" spans="1:18">
      <c r="A491" s="537">
        <v>44400</v>
      </c>
      <c r="B491" s="491" t="s">
        <v>9462</v>
      </c>
      <c r="C491" s="491" t="s">
        <v>58</v>
      </c>
      <c r="D491" s="536">
        <v>305000</v>
      </c>
      <c r="E491" s="491" t="s">
        <v>112</v>
      </c>
      <c r="F491" s="537">
        <v>44405</v>
      </c>
      <c r="G491" s="537">
        <v>44417</v>
      </c>
      <c r="H491" s="537">
        <v>44424</v>
      </c>
      <c r="I491" s="1471"/>
      <c r="J491" s="1471"/>
      <c r="K491" s="1471"/>
      <c r="L491" s="573">
        <v>44424</v>
      </c>
      <c r="M491" s="537">
        <v>44442</v>
      </c>
      <c r="N491" s="2503">
        <f t="shared" si="285"/>
        <v>5</v>
      </c>
      <c r="O491" s="2503">
        <f t="shared" si="286"/>
        <v>12</v>
      </c>
      <c r="P491" s="2503">
        <f t="shared" si="287"/>
        <v>7</v>
      </c>
      <c r="Q491" s="2503">
        <f t="shared" si="288"/>
        <v>18</v>
      </c>
      <c r="R491" s="2503">
        <f t="shared" si="289"/>
        <v>42</v>
      </c>
    </row>
    <row r="492" spans="1:18" ht="15.75" thickBot="1">
      <c r="A492" s="416">
        <v>44404</v>
      </c>
      <c r="B492" s="411" t="s">
        <v>9470</v>
      </c>
      <c r="C492" s="411" t="s">
        <v>58</v>
      </c>
      <c r="D492" s="417">
        <v>256818</v>
      </c>
      <c r="E492" s="411" t="s">
        <v>112</v>
      </c>
      <c r="F492" s="416">
        <v>44406</v>
      </c>
      <c r="G492" s="416">
        <v>44418</v>
      </c>
      <c r="H492" s="416">
        <v>44424</v>
      </c>
      <c r="I492" s="1480"/>
      <c r="J492" s="1480"/>
      <c r="K492" s="1480"/>
      <c r="L492" s="513">
        <v>44424</v>
      </c>
      <c r="M492" s="416">
        <v>44460</v>
      </c>
      <c r="N492" s="2503">
        <f t="shared" si="285"/>
        <v>2</v>
      </c>
      <c r="O492" s="2503">
        <f t="shared" si="286"/>
        <v>12</v>
      </c>
      <c r="P492" s="2503">
        <f t="shared" si="287"/>
        <v>6</v>
      </c>
      <c r="Q492" s="2503">
        <f t="shared" si="288"/>
        <v>36</v>
      </c>
      <c r="R492" s="2503">
        <f t="shared" si="289"/>
        <v>56</v>
      </c>
    </row>
    <row r="493" spans="1:18" ht="15.75" thickTop="1">
      <c r="A493" s="474">
        <v>44396</v>
      </c>
      <c r="B493" s="453" t="s">
        <v>9473</v>
      </c>
      <c r="C493" s="453" t="s">
        <v>2434</v>
      </c>
      <c r="D493" s="457">
        <v>3043930</v>
      </c>
      <c r="E493" s="453" t="s">
        <v>251</v>
      </c>
      <c r="F493" s="474">
        <v>44407</v>
      </c>
      <c r="G493" s="474">
        <v>44442</v>
      </c>
      <c r="H493" s="474">
        <v>44460</v>
      </c>
      <c r="I493" s="1474"/>
      <c r="J493" s="1474"/>
      <c r="K493" s="1474"/>
      <c r="L493" s="570">
        <v>44461</v>
      </c>
      <c r="M493" s="474">
        <v>44482</v>
      </c>
      <c r="N493" s="2503">
        <f t="shared" si="285"/>
        <v>11</v>
      </c>
      <c r="O493" s="2503">
        <f t="shared" si="286"/>
        <v>35</v>
      </c>
      <c r="P493" s="2503">
        <f t="shared" si="287"/>
        <v>18</v>
      </c>
      <c r="Q493" s="2503">
        <f t="shared" si="288"/>
        <v>22</v>
      </c>
      <c r="R493" s="2503">
        <f t="shared" si="289"/>
        <v>86</v>
      </c>
    </row>
    <row r="494" spans="1:18" hidden="1">
      <c r="A494" s="2124">
        <v>44396</v>
      </c>
      <c r="B494" s="2125" t="s">
        <v>9473</v>
      </c>
      <c r="C494" s="2125" t="s">
        <v>2434</v>
      </c>
      <c r="D494" s="2128">
        <v>48999.5</v>
      </c>
      <c r="E494" s="2125" t="s">
        <v>251</v>
      </c>
      <c r="F494" s="2124">
        <v>44407</v>
      </c>
      <c r="G494" s="2124">
        <v>44442</v>
      </c>
      <c r="H494" s="2125"/>
      <c r="I494" s="2094"/>
      <c r="J494" s="2094"/>
      <c r="K494" s="2094"/>
      <c r="L494" s="2128"/>
      <c r="M494" s="2125"/>
    </row>
    <row r="495" spans="1:18" hidden="1">
      <c r="A495" s="2124">
        <v>44396</v>
      </c>
      <c r="B495" s="2125" t="s">
        <v>9473</v>
      </c>
      <c r="C495" s="2125" t="s">
        <v>2434</v>
      </c>
      <c r="D495" s="2128">
        <v>3036180</v>
      </c>
      <c r="E495" s="2125" t="s">
        <v>251</v>
      </c>
      <c r="F495" s="2124">
        <v>44407</v>
      </c>
      <c r="G495" s="2124">
        <v>44442</v>
      </c>
      <c r="H495" s="2125"/>
      <c r="I495" s="2094"/>
      <c r="J495" s="2094"/>
      <c r="K495" s="2094"/>
      <c r="L495" s="2128"/>
      <c r="M495" s="2125"/>
    </row>
    <row r="496" spans="1:18" hidden="1">
      <c r="A496" s="2124">
        <v>44396</v>
      </c>
      <c r="B496" s="2125" t="s">
        <v>9473</v>
      </c>
      <c r="C496" s="2125" t="s">
        <v>2434</v>
      </c>
      <c r="D496" s="2128">
        <v>829400</v>
      </c>
      <c r="E496" s="2125" t="s">
        <v>251</v>
      </c>
      <c r="F496" s="2124">
        <v>44407</v>
      </c>
      <c r="G496" s="2124">
        <v>44442</v>
      </c>
      <c r="H496" s="2125"/>
      <c r="I496" s="2094"/>
      <c r="J496" s="2094"/>
      <c r="K496" s="2094"/>
      <c r="L496" s="2128"/>
      <c r="M496" s="2125"/>
    </row>
    <row r="497" spans="1:18" ht="15.75" hidden="1" thickBot="1">
      <c r="A497" s="2130">
        <v>44396</v>
      </c>
      <c r="B497" s="2131" t="s">
        <v>9473</v>
      </c>
      <c r="C497" s="2131" t="s">
        <v>2434</v>
      </c>
      <c r="D497" s="2134">
        <v>209626.5</v>
      </c>
      <c r="E497" s="2131" t="s">
        <v>251</v>
      </c>
      <c r="F497" s="2130">
        <v>44407</v>
      </c>
      <c r="G497" s="2130">
        <v>44442</v>
      </c>
      <c r="H497" s="2131"/>
      <c r="I497" s="2095"/>
      <c r="J497" s="2095"/>
      <c r="K497" s="2095"/>
      <c r="L497" s="2134"/>
      <c r="M497" s="2131"/>
    </row>
    <row r="498" spans="1:18" ht="15.75" hidden="1" thickTop="1">
      <c r="A498" s="453" t="s">
        <v>3585</v>
      </c>
      <c r="B498" s="453" t="s">
        <v>9480</v>
      </c>
      <c r="C498" s="453" t="s">
        <v>58</v>
      </c>
      <c r="D498" s="457">
        <v>91000</v>
      </c>
      <c r="E498" s="453" t="s">
        <v>112</v>
      </c>
      <c r="F498" s="474">
        <v>44406</v>
      </c>
      <c r="G498" s="474">
        <v>44418</v>
      </c>
      <c r="H498" s="474">
        <v>44470</v>
      </c>
      <c r="I498" s="1474"/>
      <c r="J498" s="1474"/>
      <c r="K498" s="1474"/>
      <c r="L498" s="570">
        <v>44470</v>
      </c>
      <c r="M498" s="474">
        <v>44489</v>
      </c>
    </row>
    <row r="499" spans="1:18" ht="15.75" hidden="1" thickBot="1">
      <c r="A499" s="2131" t="s">
        <v>3585</v>
      </c>
      <c r="B499" s="2131" t="s">
        <v>9480</v>
      </c>
      <c r="C499" s="2131" t="s">
        <v>58</v>
      </c>
      <c r="D499" s="2134">
        <v>180000</v>
      </c>
      <c r="E499" s="2131" t="s">
        <v>112</v>
      </c>
      <c r="F499" s="2130">
        <v>44406</v>
      </c>
      <c r="G499" s="2130">
        <v>44418</v>
      </c>
      <c r="H499" s="2131"/>
      <c r="I499" s="2135"/>
      <c r="J499" s="2135"/>
      <c r="K499" s="2135"/>
      <c r="L499" s="2134"/>
      <c r="M499" s="2131"/>
    </row>
    <row r="500" spans="1:18" hidden="1">
      <c r="A500" s="470">
        <v>44435</v>
      </c>
      <c r="B500" s="466" t="s">
        <v>9483</v>
      </c>
      <c r="C500" s="466" t="s">
        <v>4997</v>
      </c>
      <c r="D500" s="472">
        <v>5900000</v>
      </c>
      <c r="E500" s="466" t="s">
        <v>112</v>
      </c>
      <c r="F500" s="470">
        <v>44406</v>
      </c>
      <c r="G500" s="470">
        <v>44418</v>
      </c>
      <c r="H500" s="470">
        <v>44438</v>
      </c>
      <c r="I500" s="1516"/>
      <c r="J500" s="1516"/>
      <c r="K500" s="1516"/>
      <c r="L500" s="1547">
        <v>44438</v>
      </c>
      <c r="M500" s="466"/>
    </row>
    <row r="501" spans="1:18" ht="15.75" thickBot="1">
      <c r="A501" s="416">
        <v>44400</v>
      </c>
      <c r="B501" s="411" t="s">
        <v>9485</v>
      </c>
      <c r="C501" s="411" t="s">
        <v>58</v>
      </c>
      <c r="D501" s="417">
        <v>1980000</v>
      </c>
      <c r="E501" s="411" t="s">
        <v>251</v>
      </c>
      <c r="F501" s="416">
        <v>44407</v>
      </c>
      <c r="G501" s="416">
        <v>44442</v>
      </c>
      <c r="H501" s="416">
        <v>44461</v>
      </c>
      <c r="I501" s="1480"/>
      <c r="J501" s="1480"/>
      <c r="K501" s="1480"/>
      <c r="L501" s="513">
        <v>44461</v>
      </c>
      <c r="M501" s="416">
        <v>44484</v>
      </c>
      <c r="N501" s="2503">
        <f t="shared" ref="N501:N503" si="290">F501-A501</f>
        <v>7</v>
      </c>
      <c r="O501" s="2503">
        <f t="shared" ref="O501:O503" si="291">G501-F501</f>
        <v>35</v>
      </c>
      <c r="P501" s="2503">
        <f t="shared" ref="P501:P503" si="292">H501-G501</f>
        <v>19</v>
      </c>
      <c r="Q501" s="2503">
        <f t="shared" ref="Q501:Q503" si="293">M501-H501</f>
        <v>23</v>
      </c>
      <c r="R501" s="2503">
        <f t="shared" ref="R501:R503" si="294">M501-A501</f>
        <v>84</v>
      </c>
    </row>
    <row r="502" spans="1:18" ht="15.75" thickTop="1">
      <c r="A502" s="474">
        <v>44405</v>
      </c>
      <c r="B502" s="453" t="s">
        <v>9519</v>
      </c>
      <c r="C502" s="453" t="s">
        <v>2434</v>
      </c>
      <c r="D502" s="457">
        <v>696600</v>
      </c>
      <c r="E502" s="453" t="s">
        <v>251</v>
      </c>
      <c r="F502" s="474">
        <v>44413</v>
      </c>
      <c r="G502" s="474">
        <v>44446</v>
      </c>
      <c r="H502" s="474">
        <v>44469</v>
      </c>
      <c r="I502" s="1474"/>
      <c r="J502" s="1474"/>
      <c r="K502" s="1474"/>
      <c r="L502" s="570">
        <v>44469</v>
      </c>
      <c r="M502" s="474">
        <v>44494</v>
      </c>
      <c r="N502" s="2503">
        <f t="shared" si="290"/>
        <v>8</v>
      </c>
      <c r="O502" s="2503">
        <f t="shared" si="291"/>
        <v>33</v>
      </c>
      <c r="P502" s="2503">
        <f t="shared" si="292"/>
        <v>23</v>
      </c>
      <c r="Q502" s="2503">
        <f t="shared" si="293"/>
        <v>25</v>
      </c>
      <c r="R502" s="2503">
        <f t="shared" si="294"/>
        <v>89</v>
      </c>
    </row>
    <row r="503" spans="1:18">
      <c r="A503" s="2140">
        <v>44405</v>
      </c>
      <c r="B503" s="2141" t="s">
        <v>9519</v>
      </c>
      <c r="C503" s="2141" t="s">
        <v>2434</v>
      </c>
      <c r="D503" s="2144">
        <v>2626140</v>
      </c>
      <c r="E503" s="2141" t="s">
        <v>251</v>
      </c>
      <c r="F503" s="2140">
        <v>44413</v>
      </c>
      <c r="G503" s="2140">
        <v>44446</v>
      </c>
      <c r="H503" s="2140">
        <v>44469</v>
      </c>
      <c r="I503" s="2145"/>
      <c r="J503" s="2145"/>
      <c r="K503" s="2145"/>
      <c r="L503" s="2146">
        <v>44469</v>
      </c>
      <c r="M503" s="2140">
        <v>44494</v>
      </c>
      <c r="N503" s="2503">
        <f t="shared" si="290"/>
        <v>8</v>
      </c>
      <c r="O503" s="2503">
        <f t="shared" si="291"/>
        <v>33</v>
      </c>
      <c r="P503" s="2503">
        <f t="shared" si="292"/>
        <v>23</v>
      </c>
      <c r="Q503" s="2503">
        <f t="shared" si="293"/>
        <v>25</v>
      </c>
      <c r="R503" s="2503">
        <f t="shared" si="294"/>
        <v>89</v>
      </c>
    </row>
    <row r="504" spans="1:18" hidden="1">
      <c r="A504" s="2124">
        <v>44405</v>
      </c>
      <c r="B504" s="2125" t="s">
        <v>9519</v>
      </c>
      <c r="C504" s="2125" t="s">
        <v>2434</v>
      </c>
      <c r="D504" s="2128">
        <v>840000</v>
      </c>
      <c r="E504" s="2125" t="s">
        <v>251</v>
      </c>
      <c r="F504" s="2124">
        <v>44413</v>
      </c>
      <c r="G504" s="2124">
        <v>44446</v>
      </c>
      <c r="H504" s="2125"/>
      <c r="I504" s="2094"/>
      <c r="J504" s="2094"/>
      <c r="K504" s="2094"/>
      <c r="L504" s="2128"/>
      <c r="M504" s="2125"/>
    </row>
    <row r="505" spans="1:18">
      <c r="A505" s="2140">
        <v>44405</v>
      </c>
      <c r="B505" s="2141" t="s">
        <v>9519</v>
      </c>
      <c r="C505" s="2141" t="s">
        <v>2434</v>
      </c>
      <c r="D505" s="2144">
        <v>2782400</v>
      </c>
      <c r="E505" s="2141" t="s">
        <v>251</v>
      </c>
      <c r="F505" s="2140">
        <v>44413</v>
      </c>
      <c r="G505" s="2140">
        <v>44446</v>
      </c>
      <c r="H505" s="2140">
        <v>44469</v>
      </c>
      <c r="I505" s="2145"/>
      <c r="J505" s="2145"/>
      <c r="K505" s="2145"/>
      <c r="L505" s="2146">
        <v>44469</v>
      </c>
      <c r="M505" s="2140">
        <v>44494</v>
      </c>
      <c r="N505" s="2503">
        <f t="shared" ref="N505:N507" si="295">F505-A505</f>
        <v>8</v>
      </c>
      <c r="O505" s="2503">
        <f t="shared" ref="O505:O507" si="296">G505-F505</f>
        <v>33</v>
      </c>
      <c r="P505" s="2503">
        <f t="shared" ref="P505:P507" si="297">H505-G505</f>
        <v>23</v>
      </c>
      <c r="Q505" s="2503">
        <f t="shared" ref="Q505:Q507" si="298">M505-H505</f>
        <v>25</v>
      </c>
      <c r="R505" s="2503">
        <f t="shared" ref="R505:R507" si="299">M505-A505</f>
        <v>89</v>
      </c>
    </row>
    <row r="506" spans="1:18" ht="15.75" thickBot="1">
      <c r="A506" s="2117">
        <v>44405</v>
      </c>
      <c r="B506" s="2118" t="s">
        <v>9519</v>
      </c>
      <c r="C506" s="2118" t="s">
        <v>2434</v>
      </c>
      <c r="D506" s="2121">
        <v>9576025</v>
      </c>
      <c r="E506" s="2118" t="s">
        <v>251</v>
      </c>
      <c r="F506" s="2117">
        <v>44413</v>
      </c>
      <c r="G506" s="2117">
        <v>44446</v>
      </c>
      <c r="H506" s="2117">
        <v>44469</v>
      </c>
      <c r="I506" s="2122"/>
      <c r="J506" s="2122"/>
      <c r="K506" s="2122"/>
      <c r="L506" s="2123">
        <v>44469</v>
      </c>
      <c r="M506" s="2117">
        <v>44494</v>
      </c>
      <c r="N506" s="2503">
        <f t="shared" si="295"/>
        <v>8</v>
      </c>
      <c r="O506" s="2503">
        <f t="shared" si="296"/>
        <v>33</v>
      </c>
      <c r="P506" s="2503">
        <f t="shared" si="297"/>
        <v>23</v>
      </c>
      <c r="Q506" s="2503">
        <f t="shared" si="298"/>
        <v>25</v>
      </c>
      <c r="R506" s="2503">
        <f t="shared" si="299"/>
        <v>89</v>
      </c>
    </row>
    <row r="507" spans="1:18" ht="15.75" thickTop="1">
      <c r="A507" s="498">
        <v>44410</v>
      </c>
      <c r="B507" s="232" t="s">
        <v>9532</v>
      </c>
      <c r="C507" s="232" t="s">
        <v>2434</v>
      </c>
      <c r="D507" s="499">
        <v>3769850</v>
      </c>
      <c r="E507" s="232" t="s">
        <v>251</v>
      </c>
      <c r="F507" s="498">
        <v>44417</v>
      </c>
      <c r="G507" s="498">
        <v>44449</v>
      </c>
      <c r="H507" s="498">
        <v>44461</v>
      </c>
      <c r="I507" s="1545"/>
      <c r="J507" s="1545"/>
      <c r="K507" s="1545"/>
      <c r="L507" s="682">
        <v>44461</v>
      </c>
      <c r="M507" s="498">
        <v>44484</v>
      </c>
      <c r="N507" s="2503">
        <f t="shared" si="295"/>
        <v>7</v>
      </c>
      <c r="O507" s="2503">
        <f t="shared" si="296"/>
        <v>32</v>
      </c>
      <c r="P507" s="2503">
        <f t="shared" si="297"/>
        <v>12</v>
      </c>
      <c r="Q507" s="2503">
        <f t="shared" si="298"/>
        <v>23</v>
      </c>
      <c r="R507" s="2503">
        <f t="shared" si="299"/>
        <v>74</v>
      </c>
    </row>
    <row r="508" spans="1:18" ht="15.75" hidden="1" thickTop="1">
      <c r="A508" s="2306">
        <v>44410</v>
      </c>
      <c r="B508" s="824" t="s">
        <v>9491</v>
      </c>
      <c r="C508" s="824" t="s">
        <v>69</v>
      </c>
      <c r="D508" s="828">
        <v>9222167</v>
      </c>
      <c r="E508" s="824" t="s">
        <v>251</v>
      </c>
      <c r="F508" s="824"/>
      <c r="G508" s="824"/>
      <c r="H508" s="824"/>
      <c r="I508" s="1486"/>
      <c r="J508" s="1486"/>
      <c r="K508" s="1486"/>
      <c r="L508" s="828"/>
      <c r="M508" s="824"/>
    </row>
    <row r="509" spans="1:18" ht="15.75" hidden="1" thickBot="1">
      <c r="A509" s="2307">
        <v>44410</v>
      </c>
      <c r="B509" s="2107" t="s">
        <v>9491</v>
      </c>
      <c r="C509" s="2107" t="s">
        <v>69</v>
      </c>
      <c r="D509" s="2310">
        <v>5034951</v>
      </c>
      <c r="E509" s="2107" t="s">
        <v>251</v>
      </c>
      <c r="F509" s="2107"/>
      <c r="G509" s="2107"/>
      <c r="H509" s="2107"/>
      <c r="I509" s="2311"/>
      <c r="J509" s="2311"/>
      <c r="K509" s="2311"/>
      <c r="L509" s="2310"/>
      <c r="M509" s="2107"/>
    </row>
    <row r="510" spans="1:18" hidden="1">
      <c r="A510" s="1877">
        <v>44410</v>
      </c>
      <c r="B510" s="1878" t="s">
        <v>9495</v>
      </c>
      <c r="C510" s="1878" t="s">
        <v>69</v>
      </c>
      <c r="D510" s="1880">
        <v>22443749</v>
      </c>
      <c r="E510" s="1878" t="s">
        <v>251</v>
      </c>
      <c r="F510" s="1877">
        <v>44418</v>
      </c>
      <c r="G510" s="1877">
        <v>44452</v>
      </c>
      <c r="H510" s="1877">
        <v>44523</v>
      </c>
      <c r="I510" s="1537"/>
      <c r="J510" s="1537"/>
      <c r="K510" s="1537"/>
      <c r="L510" s="2343">
        <v>44523</v>
      </c>
      <c r="M510" s="1878"/>
    </row>
    <row r="511" spans="1:18" ht="15.75" hidden="1" thickTop="1">
      <c r="A511" s="428">
        <v>44410</v>
      </c>
      <c r="B511" s="425" t="s">
        <v>9498</v>
      </c>
      <c r="C511" s="425" t="s">
        <v>69</v>
      </c>
      <c r="D511" s="429">
        <v>9228142</v>
      </c>
      <c r="E511" s="425" t="s">
        <v>251</v>
      </c>
      <c r="F511" s="428">
        <v>44412</v>
      </c>
      <c r="G511" s="428">
        <v>44469</v>
      </c>
      <c r="H511" s="428">
        <v>44502</v>
      </c>
      <c r="I511" s="1483"/>
      <c r="J511" s="1483"/>
      <c r="K511" s="1483"/>
      <c r="L511" s="1384">
        <v>44502</v>
      </c>
      <c r="M511" s="425"/>
    </row>
    <row r="512" spans="1:18" ht="15.75" thickBot="1">
      <c r="A512" s="2117">
        <v>44410</v>
      </c>
      <c r="B512" s="2118" t="s">
        <v>9498</v>
      </c>
      <c r="C512" s="2118" t="s">
        <v>69</v>
      </c>
      <c r="D512" s="2121">
        <v>1051472</v>
      </c>
      <c r="E512" s="2118" t="s">
        <v>251</v>
      </c>
      <c r="F512" s="2117">
        <v>44412</v>
      </c>
      <c r="G512" s="2117">
        <v>44469</v>
      </c>
      <c r="H512" s="2117">
        <v>44502</v>
      </c>
      <c r="I512" s="2122"/>
      <c r="J512" s="2122"/>
      <c r="K512" s="2122"/>
      <c r="L512" s="2123">
        <v>44502</v>
      </c>
      <c r="M512" s="2117">
        <v>44530</v>
      </c>
      <c r="N512" s="2503">
        <f t="shared" ref="N512:N513" si="300">F512-A512</f>
        <v>2</v>
      </c>
      <c r="O512" s="2503">
        <f t="shared" ref="O512:O513" si="301">G512-F512</f>
        <v>57</v>
      </c>
      <c r="P512" s="2503">
        <f t="shared" ref="P512:P513" si="302">H512-G512</f>
        <v>33</v>
      </c>
      <c r="Q512" s="2503">
        <f t="shared" ref="Q512:Q513" si="303">M512-H512</f>
        <v>28</v>
      </c>
      <c r="R512" s="2503">
        <f t="shared" ref="R512:R513" si="304">M512-A512</f>
        <v>120</v>
      </c>
    </row>
    <row r="513" spans="1:18" ht="15.75" thickTop="1">
      <c r="A513" s="498">
        <v>44410</v>
      </c>
      <c r="B513" s="232" t="s">
        <v>9501</v>
      </c>
      <c r="C513" s="232" t="s">
        <v>69</v>
      </c>
      <c r="D513" s="499">
        <v>8392785</v>
      </c>
      <c r="E513" s="232" t="s">
        <v>251</v>
      </c>
      <c r="F513" s="498">
        <v>44411</v>
      </c>
      <c r="G513" s="498">
        <v>44445</v>
      </c>
      <c r="H513" s="498">
        <v>44461</v>
      </c>
      <c r="I513" s="1545"/>
      <c r="J513" s="1545"/>
      <c r="K513" s="1545"/>
      <c r="L513" s="682">
        <v>44461</v>
      </c>
      <c r="M513" s="498">
        <v>44482</v>
      </c>
      <c r="N513" s="2503">
        <f t="shared" si="300"/>
        <v>1</v>
      </c>
      <c r="O513" s="2503">
        <f t="shared" si="301"/>
        <v>34</v>
      </c>
      <c r="P513" s="2503">
        <f t="shared" si="302"/>
        <v>16</v>
      </c>
      <c r="Q513" s="2503">
        <f t="shared" si="303"/>
        <v>21</v>
      </c>
      <c r="R513" s="2503">
        <f t="shared" si="304"/>
        <v>72</v>
      </c>
    </row>
    <row r="514" spans="1:18" ht="15.75" hidden="1" thickTop="1">
      <c r="A514" s="443">
        <v>44405</v>
      </c>
      <c r="B514" s="439" t="s">
        <v>9504</v>
      </c>
      <c r="C514" s="439" t="s">
        <v>69</v>
      </c>
      <c r="D514" s="444">
        <v>157378</v>
      </c>
      <c r="E514" s="439" t="s">
        <v>251</v>
      </c>
      <c r="F514" s="443">
        <v>44432</v>
      </c>
      <c r="G514" s="443">
        <v>44466</v>
      </c>
      <c r="H514" s="439"/>
      <c r="I514" s="1483"/>
      <c r="J514" s="1483"/>
      <c r="K514" s="1483"/>
      <c r="L514" s="444"/>
      <c r="M514" s="439"/>
    </row>
    <row r="515" spans="1:18" hidden="1">
      <c r="A515" s="2124">
        <v>44405</v>
      </c>
      <c r="B515" s="2125" t="s">
        <v>9504</v>
      </c>
      <c r="C515" s="2125" t="s">
        <v>69</v>
      </c>
      <c r="D515" s="2128">
        <v>785490</v>
      </c>
      <c r="E515" s="2125" t="s">
        <v>251</v>
      </c>
      <c r="F515" s="2124">
        <v>44432</v>
      </c>
      <c r="G515" s="2124">
        <v>44466</v>
      </c>
      <c r="H515" s="2125"/>
      <c r="I515" s="2094"/>
      <c r="J515" s="2094"/>
      <c r="K515" s="2094"/>
      <c r="L515" s="2128"/>
      <c r="M515" s="2125"/>
    </row>
    <row r="516" spans="1:18" hidden="1">
      <c r="A516" s="2124">
        <v>44405</v>
      </c>
      <c r="B516" s="2125" t="s">
        <v>9504</v>
      </c>
      <c r="C516" s="2125" t="s">
        <v>69</v>
      </c>
      <c r="D516" s="2128">
        <v>493445</v>
      </c>
      <c r="E516" s="2125" t="s">
        <v>251</v>
      </c>
      <c r="F516" s="2124">
        <v>44432</v>
      </c>
      <c r="G516" s="2124">
        <v>44466</v>
      </c>
      <c r="H516" s="2125"/>
      <c r="I516" s="2094"/>
      <c r="J516" s="2094"/>
      <c r="K516" s="2094"/>
      <c r="L516" s="2128"/>
      <c r="M516" s="2125"/>
    </row>
    <row r="517" spans="1:18" ht="15.75" thickBot="1">
      <c r="A517" s="2117">
        <v>44405</v>
      </c>
      <c r="B517" s="2118" t="s">
        <v>9504</v>
      </c>
      <c r="C517" s="2118" t="s">
        <v>69</v>
      </c>
      <c r="D517" s="2121">
        <v>268724</v>
      </c>
      <c r="E517" s="2118" t="s">
        <v>251</v>
      </c>
      <c r="F517" s="2117">
        <v>44432</v>
      </c>
      <c r="G517" s="2117">
        <v>44466</v>
      </c>
      <c r="H517" s="2117">
        <v>44487</v>
      </c>
      <c r="I517" s="2122"/>
      <c r="J517" s="2122"/>
      <c r="K517" s="2122"/>
      <c r="L517" s="2123">
        <v>44487</v>
      </c>
      <c r="M517" s="2117">
        <v>44519</v>
      </c>
      <c r="N517" s="2503">
        <f>F517-A517</f>
        <v>27</v>
      </c>
      <c r="O517" s="2503">
        <f>G517-F517</f>
        <v>34</v>
      </c>
      <c r="P517" s="2503">
        <f>H517-G517</f>
        <v>21</v>
      </c>
      <c r="Q517" s="2503">
        <f>M517-H517</f>
        <v>32</v>
      </c>
      <c r="R517" s="2503">
        <f>M517-A517</f>
        <v>114</v>
      </c>
    </row>
    <row r="518" spans="1:18" ht="15.75" hidden="1" thickTop="1">
      <c r="A518" s="1877">
        <v>44410</v>
      </c>
      <c r="B518" s="1878" t="s">
        <v>9508</v>
      </c>
      <c r="C518" s="1878" t="s">
        <v>69</v>
      </c>
      <c r="D518" s="1880">
        <v>10670760</v>
      </c>
      <c r="E518" s="1878" t="s">
        <v>251</v>
      </c>
      <c r="F518" s="1877">
        <v>44455</v>
      </c>
      <c r="G518" s="1877">
        <v>44490</v>
      </c>
      <c r="H518" s="1877">
        <v>44523</v>
      </c>
      <c r="I518" s="2339"/>
      <c r="J518" s="2339"/>
      <c r="K518" s="2339"/>
      <c r="L518" s="2343">
        <v>44523</v>
      </c>
      <c r="M518" s="1878"/>
    </row>
    <row r="519" spans="1:18" ht="15.75" hidden="1" thickTop="1">
      <c r="A519" s="428">
        <v>44410</v>
      </c>
      <c r="B519" s="425" t="s">
        <v>9510</v>
      </c>
      <c r="C519" s="425" t="s">
        <v>69</v>
      </c>
      <c r="D519" s="429">
        <v>1306314</v>
      </c>
      <c r="E519" s="425" t="s">
        <v>251</v>
      </c>
      <c r="F519" s="428">
        <v>44455</v>
      </c>
      <c r="G519" s="428">
        <v>44542</v>
      </c>
      <c r="H519" s="425"/>
      <c r="I519" s="1605"/>
      <c r="J519" s="1605"/>
      <c r="K519" s="1605"/>
      <c r="L519" s="429"/>
      <c r="M519" s="425"/>
    </row>
    <row r="520" spans="1:18" ht="15.75" hidden="1" thickTop="1">
      <c r="A520" s="2153">
        <v>44410</v>
      </c>
      <c r="B520" s="2154" t="s">
        <v>9510</v>
      </c>
      <c r="C520" s="2154" t="s">
        <v>69</v>
      </c>
      <c r="D520" s="2157">
        <v>4717059</v>
      </c>
      <c r="E520" s="2154" t="s">
        <v>251</v>
      </c>
      <c r="F520" s="2153">
        <v>44455</v>
      </c>
      <c r="G520" s="2153">
        <v>44542</v>
      </c>
      <c r="H520" s="2154"/>
      <c r="I520" s="2415"/>
      <c r="J520" s="2415"/>
      <c r="K520" s="2415"/>
      <c r="L520" s="2157"/>
      <c r="M520" s="2154"/>
    </row>
    <row r="521" spans="1:18" ht="15.75" hidden="1" thickTop="1">
      <c r="A521" s="2153">
        <v>44410</v>
      </c>
      <c r="B521" s="2154" t="s">
        <v>9510</v>
      </c>
      <c r="C521" s="2154" t="s">
        <v>69</v>
      </c>
      <c r="D521" s="2157">
        <v>7695003</v>
      </c>
      <c r="E521" s="2154" t="s">
        <v>251</v>
      </c>
      <c r="F521" s="2153">
        <v>44455</v>
      </c>
      <c r="G521" s="2153">
        <v>44542</v>
      </c>
      <c r="H521" s="2154"/>
      <c r="I521" s="2415"/>
      <c r="J521" s="2415"/>
      <c r="K521" s="2415"/>
      <c r="L521" s="2157"/>
      <c r="M521" s="2154"/>
    </row>
    <row r="522" spans="1:18" ht="16.5" hidden="1" thickTop="1" thickBot="1">
      <c r="A522" s="2152">
        <v>44410</v>
      </c>
      <c r="B522" s="2297" t="s">
        <v>9510</v>
      </c>
      <c r="C522" s="2297" t="s">
        <v>69</v>
      </c>
      <c r="D522" s="2299">
        <v>10242662</v>
      </c>
      <c r="E522" s="2297" t="s">
        <v>251</v>
      </c>
      <c r="F522" s="2152">
        <v>44455</v>
      </c>
      <c r="G522" s="2152">
        <v>44542</v>
      </c>
      <c r="H522" s="2297"/>
      <c r="I522" s="2443"/>
      <c r="J522" s="2443"/>
      <c r="K522" s="2443"/>
      <c r="L522" s="2299"/>
      <c r="M522" s="2297"/>
    </row>
    <row r="523" spans="1:18" ht="16.5" thickTop="1" thickBot="1">
      <c r="A523" s="498">
        <v>44406</v>
      </c>
      <c r="B523" s="232" t="s">
        <v>9516</v>
      </c>
      <c r="C523" s="232" t="s">
        <v>58</v>
      </c>
      <c r="D523" s="499">
        <v>14159500</v>
      </c>
      <c r="E523" s="232" t="s">
        <v>251</v>
      </c>
      <c r="F523" s="498">
        <v>44419</v>
      </c>
      <c r="G523" s="498">
        <v>44453</v>
      </c>
      <c r="H523" s="498">
        <v>44459</v>
      </c>
      <c r="I523" s="1545"/>
      <c r="J523" s="1545"/>
      <c r="K523" s="1545"/>
      <c r="L523" s="682">
        <v>44459</v>
      </c>
      <c r="M523" s="498">
        <v>44483</v>
      </c>
      <c r="N523" s="2503">
        <f t="shared" ref="N523:N526" si="305">F523-A523</f>
        <v>13</v>
      </c>
      <c r="O523" s="2503">
        <f t="shared" ref="O523:O526" si="306">G523-F523</f>
        <v>34</v>
      </c>
      <c r="P523" s="2503">
        <f t="shared" ref="P523:P526" si="307">H523-G523</f>
        <v>6</v>
      </c>
      <c r="Q523" s="2503">
        <f t="shared" ref="Q523:Q526" si="308">M523-H523</f>
        <v>24</v>
      </c>
      <c r="R523" s="2503">
        <f t="shared" ref="R523:R526" si="309">M523-A523</f>
        <v>77</v>
      </c>
    </row>
    <row r="524" spans="1:18" ht="15.75" thickTop="1">
      <c r="A524" s="474">
        <v>44406</v>
      </c>
      <c r="B524" s="453" t="s">
        <v>9549</v>
      </c>
      <c r="C524" s="453" t="s">
        <v>2434</v>
      </c>
      <c r="D524" s="457">
        <v>118000</v>
      </c>
      <c r="E524" s="453" t="s">
        <v>112</v>
      </c>
      <c r="F524" s="474">
        <v>44412</v>
      </c>
      <c r="G524" s="474">
        <v>44432</v>
      </c>
      <c r="H524" s="474">
        <v>44505</v>
      </c>
      <c r="I524" s="1474"/>
      <c r="J524" s="1474"/>
      <c r="K524" s="1474"/>
      <c r="L524" s="570">
        <v>44505</v>
      </c>
      <c r="M524" s="474">
        <v>44529</v>
      </c>
      <c r="N524" s="2503">
        <f t="shared" si="305"/>
        <v>6</v>
      </c>
      <c r="O524" s="2503">
        <f t="shared" si="306"/>
        <v>20</v>
      </c>
      <c r="P524" s="2503">
        <f t="shared" si="307"/>
        <v>73</v>
      </c>
      <c r="Q524" s="2503">
        <f t="shared" si="308"/>
        <v>24</v>
      </c>
      <c r="R524" s="2503">
        <f t="shared" si="309"/>
        <v>123</v>
      </c>
    </row>
    <row r="525" spans="1:18">
      <c r="A525" s="2140">
        <v>44406</v>
      </c>
      <c r="B525" s="2141" t="s">
        <v>9549</v>
      </c>
      <c r="C525" s="2141" t="s">
        <v>2434</v>
      </c>
      <c r="D525" s="2144">
        <v>164000</v>
      </c>
      <c r="E525" s="2141" t="s">
        <v>112</v>
      </c>
      <c r="F525" s="2140">
        <v>44412</v>
      </c>
      <c r="G525" s="2140">
        <v>44432</v>
      </c>
      <c r="H525" s="2140">
        <v>44505</v>
      </c>
      <c r="I525" s="2145"/>
      <c r="J525" s="2145"/>
      <c r="K525" s="2145"/>
      <c r="L525" s="2146">
        <v>44505</v>
      </c>
      <c r="M525" s="2140">
        <v>44529</v>
      </c>
      <c r="N525" s="2503">
        <f t="shared" si="305"/>
        <v>6</v>
      </c>
      <c r="O525" s="2503">
        <f t="shared" si="306"/>
        <v>20</v>
      </c>
      <c r="P525" s="2503">
        <f t="shared" si="307"/>
        <v>73</v>
      </c>
      <c r="Q525" s="2503">
        <f t="shared" si="308"/>
        <v>24</v>
      </c>
      <c r="R525" s="2503">
        <f t="shared" si="309"/>
        <v>123</v>
      </c>
    </row>
    <row r="526" spans="1:18" ht="15.75" thickBot="1">
      <c r="A526" s="2117">
        <v>44406</v>
      </c>
      <c r="B526" s="2118" t="s">
        <v>9549</v>
      </c>
      <c r="C526" s="2118" t="s">
        <v>2434</v>
      </c>
      <c r="D526" s="2121">
        <v>495000</v>
      </c>
      <c r="E526" s="2118" t="s">
        <v>112</v>
      </c>
      <c r="F526" s="2117">
        <v>44412</v>
      </c>
      <c r="G526" s="2117">
        <v>44432</v>
      </c>
      <c r="H526" s="2117">
        <v>44505</v>
      </c>
      <c r="I526" s="2122"/>
      <c r="J526" s="2122"/>
      <c r="K526" s="2122"/>
      <c r="L526" s="2123">
        <v>44505</v>
      </c>
      <c r="M526" s="2117">
        <v>44543</v>
      </c>
      <c r="N526" s="2503">
        <f t="shared" si="305"/>
        <v>6</v>
      </c>
      <c r="O526" s="2503">
        <f t="shared" si="306"/>
        <v>20</v>
      </c>
      <c r="P526" s="2503">
        <f t="shared" si="307"/>
        <v>73</v>
      </c>
      <c r="Q526" s="2503">
        <f t="shared" si="308"/>
        <v>38</v>
      </c>
      <c r="R526" s="2503">
        <f t="shared" si="309"/>
        <v>137</v>
      </c>
    </row>
    <row r="527" spans="1:18" ht="15.75" hidden="1" thickTop="1">
      <c r="A527" s="365" t="s">
        <v>3585</v>
      </c>
      <c r="B527" s="2497" t="s">
        <v>9545</v>
      </c>
      <c r="C527" s="2497" t="s">
        <v>2111</v>
      </c>
      <c r="D527" s="364">
        <v>1100000</v>
      </c>
      <c r="E527" s="2497" t="s">
        <v>112</v>
      </c>
      <c r="F527" s="365">
        <v>44412</v>
      </c>
      <c r="G527" s="365">
        <v>44421</v>
      </c>
      <c r="H527" s="365">
        <v>44459</v>
      </c>
      <c r="I527" s="2305"/>
      <c r="J527" s="2305"/>
      <c r="K527" s="2305"/>
      <c r="L527" s="681">
        <v>44460</v>
      </c>
      <c r="M527" s="365">
        <v>44484</v>
      </c>
    </row>
    <row r="528" spans="1:18" ht="15.75" thickTop="1">
      <c r="A528" s="537">
        <v>44410</v>
      </c>
      <c r="B528" s="491" t="s">
        <v>9528</v>
      </c>
      <c r="C528" s="491" t="s">
        <v>14</v>
      </c>
      <c r="D528" s="536">
        <v>440000</v>
      </c>
      <c r="E528" s="491" t="s">
        <v>112</v>
      </c>
      <c r="F528" s="537">
        <v>44414</v>
      </c>
      <c r="G528" s="537">
        <v>44425</v>
      </c>
      <c r="H528" s="537">
        <v>44441</v>
      </c>
      <c r="I528" s="1471"/>
      <c r="J528" s="1471"/>
      <c r="K528" s="1471"/>
      <c r="L528" s="573">
        <v>44442</v>
      </c>
      <c r="M528" s="537">
        <v>44460</v>
      </c>
      <c r="N528" s="2503">
        <f>F528-A528</f>
        <v>4</v>
      </c>
      <c r="O528" s="2503">
        <f>G528-F528</f>
        <v>11</v>
      </c>
      <c r="P528" s="2503">
        <f>H528-G528</f>
        <v>16</v>
      </c>
      <c r="Q528" s="2503">
        <f>M528-H528</f>
        <v>19</v>
      </c>
      <c r="R528" s="2503">
        <f>M528-A528</f>
        <v>50</v>
      </c>
    </row>
    <row r="529" spans="1:18" hidden="1">
      <c r="A529" s="2140" t="s">
        <v>3585</v>
      </c>
      <c r="B529" s="2141" t="s">
        <v>9543</v>
      </c>
      <c r="C529" s="2141" t="s">
        <v>58</v>
      </c>
      <c r="D529" s="364">
        <v>159000</v>
      </c>
      <c r="E529" s="2141" t="s">
        <v>112</v>
      </c>
      <c r="F529" s="2140">
        <v>44414</v>
      </c>
      <c r="G529" s="2140">
        <v>44425</v>
      </c>
      <c r="H529" s="2140">
        <v>44441</v>
      </c>
      <c r="I529" s="2145"/>
      <c r="J529" s="2145"/>
      <c r="K529" s="2145"/>
      <c r="L529" s="2146">
        <v>44445</v>
      </c>
      <c r="M529" s="2140">
        <v>44475</v>
      </c>
    </row>
    <row r="530" spans="1:18">
      <c r="A530" s="537">
        <v>44410</v>
      </c>
      <c r="B530" s="491" t="s">
        <v>9530</v>
      </c>
      <c r="C530" s="491" t="s">
        <v>58</v>
      </c>
      <c r="D530" s="536">
        <v>198000</v>
      </c>
      <c r="E530" s="491" t="s">
        <v>112</v>
      </c>
      <c r="F530" s="537">
        <v>44414</v>
      </c>
      <c r="G530" s="537">
        <v>44425</v>
      </c>
      <c r="H530" s="537">
        <v>44438</v>
      </c>
      <c r="I530" s="1471"/>
      <c r="J530" s="1471"/>
      <c r="K530" s="1471"/>
      <c r="L530" s="573">
        <v>44438</v>
      </c>
      <c r="M530" s="537">
        <v>44468</v>
      </c>
      <c r="N530" s="2503">
        <f t="shared" ref="N530:N537" si="310">F530-A530</f>
        <v>4</v>
      </c>
      <c r="O530" s="2503">
        <f t="shared" ref="O530:O537" si="311">G530-F530</f>
        <v>11</v>
      </c>
      <c r="P530" s="2503">
        <f t="shared" ref="P530:P537" si="312">H530-G530</f>
        <v>13</v>
      </c>
      <c r="Q530" s="2503">
        <f t="shared" ref="Q530:Q537" si="313">M530-H530</f>
        <v>30</v>
      </c>
      <c r="R530" s="2503">
        <f t="shared" ref="R530:R537" si="314">M530-A530</f>
        <v>58</v>
      </c>
    </row>
    <row r="531" spans="1:18">
      <c r="A531" s="537">
        <v>44412</v>
      </c>
      <c r="B531" s="491" t="s">
        <v>9535</v>
      </c>
      <c r="C531" s="491" t="s">
        <v>58</v>
      </c>
      <c r="D531" s="536">
        <v>200000</v>
      </c>
      <c r="E531" s="491" t="s">
        <v>112</v>
      </c>
      <c r="F531" s="537">
        <v>44414</v>
      </c>
      <c r="G531" s="537">
        <v>44425</v>
      </c>
      <c r="H531" s="537">
        <v>44438</v>
      </c>
      <c r="I531" s="1471"/>
      <c r="J531" s="1471"/>
      <c r="K531" s="1471"/>
      <c r="L531" s="573">
        <v>44438</v>
      </c>
      <c r="M531" s="537">
        <v>44462</v>
      </c>
      <c r="N531" s="2503">
        <f t="shared" si="310"/>
        <v>2</v>
      </c>
      <c r="O531" s="2503">
        <f t="shared" si="311"/>
        <v>11</v>
      </c>
      <c r="P531" s="2503">
        <f t="shared" si="312"/>
        <v>13</v>
      </c>
      <c r="Q531" s="2503">
        <f t="shared" si="313"/>
        <v>24</v>
      </c>
      <c r="R531" s="2503">
        <f t="shared" si="314"/>
        <v>50</v>
      </c>
    </row>
    <row r="532" spans="1:18">
      <c r="A532" s="537">
        <v>44412</v>
      </c>
      <c r="B532" s="491" t="s">
        <v>9536</v>
      </c>
      <c r="C532" s="491" t="s">
        <v>58</v>
      </c>
      <c r="D532" s="536">
        <v>127000</v>
      </c>
      <c r="E532" s="491" t="s">
        <v>112</v>
      </c>
      <c r="F532" s="537">
        <v>44414</v>
      </c>
      <c r="G532" s="537">
        <v>44425</v>
      </c>
      <c r="H532" s="537">
        <v>44441</v>
      </c>
      <c r="I532" s="1471"/>
      <c r="J532" s="1471"/>
      <c r="K532" s="1471"/>
      <c r="L532" s="573">
        <v>44441</v>
      </c>
      <c r="M532" s="537">
        <v>44475</v>
      </c>
      <c r="N532" s="2503">
        <f t="shared" si="310"/>
        <v>2</v>
      </c>
      <c r="O532" s="2503">
        <f t="shared" si="311"/>
        <v>11</v>
      </c>
      <c r="P532" s="2503">
        <f t="shared" si="312"/>
        <v>16</v>
      </c>
      <c r="Q532" s="2503">
        <f t="shared" si="313"/>
        <v>34</v>
      </c>
      <c r="R532" s="2503">
        <f t="shared" si="314"/>
        <v>63</v>
      </c>
    </row>
    <row r="533" spans="1:18">
      <c r="A533" s="537">
        <v>44412</v>
      </c>
      <c r="B533" s="491" t="s">
        <v>9538</v>
      </c>
      <c r="C533" s="491" t="s">
        <v>58</v>
      </c>
      <c r="D533" s="536">
        <v>1293000</v>
      </c>
      <c r="E533" s="491" t="s">
        <v>112</v>
      </c>
      <c r="F533" s="537">
        <v>44417</v>
      </c>
      <c r="G533" s="537">
        <v>44425</v>
      </c>
      <c r="H533" s="537">
        <v>44432</v>
      </c>
      <c r="I533" s="1471"/>
      <c r="J533" s="1471"/>
      <c r="K533" s="1471"/>
      <c r="L533" s="573">
        <v>44432</v>
      </c>
      <c r="M533" s="537">
        <v>44463</v>
      </c>
      <c r="N533" s="2503">
        <f t="shared" si="310"/>
        <v>5</v>
      </c>
      <c r="O533" s="2503">
        <f t="shared" si="311"/>
        <v>8</v>
      </c>
      <c r="P533" s="2503">
        <f t="shared" si="312"/>
        <v>7</v>
      </c>
      <c r="Q533" s="2503">
        <f t="shared" si="313"/>
        <v>31</v>
      </c>
      <c r="R533" s="2503">
        <f t="shared" si="314"/>
        <v>51</v>
      </c>
    </row>
    <row r="534" spans="1:18">
      <c r="A534" s="537">
        <v>44410</v>
      </c>
      <c r="B534" s="491" t="s">
        <v>9527</v>
      </c>
      <c r="C534" s="491" t="s">
        <v>2434</v>
      </c>
      <c r="D534" s="536">
        <v>4347826</v>
      </c>
      <c r="E534" s="491" t="s">
        <v>251</v>
      </c>
      <c r="F534" s="537">
        <v>44418</v>
      </c>
      <c r="G534" s="537">
        <v>44459</v>
      </c>
      <c r="H534" s="537">
        <v>44470</v>
      </c>
      <c r="I534" s="1471"/>
      <c r="J534" s="1471"/>
      <c r="K534" s="1471"/>
      <c r="L534" s="573">
        <v>44470</v>
      </c>
      <c r="M534" s="537">
        <v>44501</v>
      </c>
      <c r="N534" s="2503">
        <f t="shared" si="310"/>
        <v>8</v>
      </c>
      <c r="O534" s="2503">
        <f t="shared" si="311"/>
        <v>41</v>
      </c>
      <c r="P534" s="2503">
        <f t="shared" si="312"/>
        <v>11</v>
      </c>
      <c r="Q534" s="2503">
        <f t="shared" si="313"/>
        <v>31</v>
      </c>
      <c r="R534" s="2503">
        <f t="shared" si="314"/>
        <v>91</v>
      </c>
    </row>
    <row r="535" spans="1:18">
      <c r="A535" s="537">
        <v>44412</v>
      </c>
      <c r="B535" s="491" t="s">
        <v>9540</v>
      </c>
      <c r="C535" s="491" t="s">
        <v>58</v>
      </c>
      <c r="D535" s="536">
        <v>1200000</v>
      </c>
      <c r="E535" s="491" t="s">
        <v>112</v>
      </c>
      <c r="F535" s="537">
        <v>44419</v>
      </c>
      <c r="G535" s="537">
        <v>44428</v>
      </c>
      <c r="H535" s="537">
        <v>44439</v>
      </c>
      <c r="I535" s="1471"/>
      <c r="J535" s="1471"/>
      <c r="K535" s="1471"/>
      <c r="L535" s="573">
        <v>44440</v>
      </c>
      <c r="M535" s="537">
        <v>44462</v>
      </c>
      <c r="N535" s="2503">
        <f t="shared" si="310"/>
        <v>7</v>
      </c>
      <c r="O535" s="2503">
        <f t="shared" si="311"/>
        <v>9</v>
      </c>
      <c r="P535" s="2503">
        <f t="shared" si="312"/>
        <v>11</v>
      </c>
      <c r="Q535" s="2503">
        <f t="shared" si="313"/>
        <v>23</v>
      </c>
      <c r="R535" s="2503">
        <f t="shared" si="314"/>
        <v>50</v>
      </c>
    </row>
    <row r="536" spans="1:18">
      <c r="A536" s="537">
        <v>44414</v>
      </c>
      <c r="B536" s="491" t="s">
        <v>9560</v>
      </c>
      <c r="C536" s="491" t="s">
        <v>2434</v>
      </c>
      <c r="D536" s="536">
        <v>2646000</v>
      </c>
      <c r="E536" s="491" t="s">
        <v>216</v>
      </c>
      <c r="F536" s="537">
        <v>44418</v>
      </c>
      <c r="G536" s="537">
        <v>44459</v>
      </c>
      <c r="H536" s="537">
        <v>44495</v>
      </c>
      <c r="I536" s="1471"/>
      <c r="J536" s="1471"/>
      <c r="K536" s="1471"/>
      <c r="L536" s="573">
        <v>44495</v>
      </c>
      <c r="M536" s="537">
        <v>44516</v>
      </c>
      <c r="N536" s="2503">
        <f t="shared" si="310"/>
        <v>4</v>
      </c>
      <c r="O536" s="2503">
        <f t="shared" si="311"/>
        <v>41</v>
      </c>
      <c r="P536" s="2503">
        <f t="shared" si="312"/>
        <v>36</v>
      </c>
      <c r="Q536" s="2503">
        <f t="shared" si="313"/>
        <v>21</v>
      </c>
      <c r="R536" s="2503">
        <f t="shared" si="314"/>
        <v>102</v>
      </c>
    </row>
    <row r="537" spans="1:18">
      <c r="A537" s="537">
        <v>44414</v>
      </c>
      <c r="B537" s="491" t="s">
        <v>9562</v>
      </c>
      <c r="C537" s="491" t="s">
        <v>2434</v>
      </c>
      <c r="D537" s="536">
        <v>3600000</v>
      </c>
      <c r="E537" s="491" t="s">
        <v>251</v>
      </c>
      <c r="F537" s="537">
        <v>44421</v>
      </c>
      <c r="G537" s="537">
        <v>44494</v>
      </c>
      <c r="H537" s="537">
        <v>44509</v>
      </c>
      <c r="I537" s="1471"/>
      <c r="J537" s="1471"/>
      <c r="K537" s="1471"/>
      <c r="L537" s="573">
        <v>44509</v>
      </c>
      <c r="M537" s="537">
        <v>44539</v>
      </c>
      <c r="N537" s="2503">
        <f t="shared" si="310"/>
        <v>7</v>
      </c>
      <c r="O537" s="2503">
        <f t="shared" si="311"/>
        <v>73</v>
      </c>
      <c r="P537" s="2503">
        <f t="shared" si="312"/>
        <v>15</v>
      </c>
      <c r="Q537" s="2503">
        <f t="shared" si="313"/>
        <v>30</v>
      </c>
      <c r="R537" s="2503">
        <f t="shared" si="314"/>
        <v>125</v>
      </c>
    </row>
    <row r="538" spans="1:18" hidden="1">
      <c r="A538" s="491" t="s">
        <v>3585</v>
      </c>
      <c r="B538" s="491" t="s">
        <v>9564</v>
      </c>
      <c r="C538" s="491" t="s">
        <v>58</v>
      </c>
      <c r="D538" s="536">
        <v>615000</v>
      </c>
      <c r="E538" s="491" t="s">
        <v>112</v>
      </c>
      <c r="F538" s="537">
        <v>44419</v>
      </c>
      <c r="G538" s="537">
        <v>44428</v>
      </c>
      <c r="H538" s="537">
        <v>44432</v>
      </c>
      <c r="I538" s="1471"/>
      <c r="J538" s="1471"/>
      <c r="K538" s="1471"/>
      <c r="L538" s="573">
        <v>44432</v>
      </c>
      <c r="M538" s="537">
        <v>44459</v>
      </c>
    </row>
    <row r="539" spans="1:18" ht="15.75" thickBot="1">
      <c r="A539" s="537">
        <v>44414</v>
      </c>
      <c r="B539" s="491" t="s">
        <v>9591</v>
      </c>
      <c r="C539" s="491" t="s">
        <v>1032</v>
      </c>
      <c r="D539" s="536">
        <v>665000</v>
      </c>
      <c r="E539" s="491" t="s">
        <v>112</v>
      </c>
      <c r="F539" s="537">
        <v>44424</v>
      </c>
      <c r="G539" s="537">
        <v>44442</v>
      </c>
      <c r="H539" s="537">
        <v>44447</v>
      </c>
      <c r="I539" s="1471"/>
      <c r="J539" s="1471"/>
      <c r="K539" s="1471"/>
      <c r="L539" s="573">
        <v>44448</v>
      </c>
      <c r="M539" s="537">
        <v>44480</v>
      </c>
      <c r="N539" s="2503">
        <f>F539-A539</f>
        <v>10</v>
      </c>
      <c r="O539" s="2503">
        <f>G539-F539</f>
        <v>18</v>
      </c>
      <c r="P539" s="2503">
        <f>H539-G539</f>
        <v>5</v>
      </c>
      <c r="Q539" s="2503">
        <f>M539-H539</f>
        <v>33</v>
      </c>
      <c r="R539" s="2503">
        <f>M539-A539</f>
        <v>66</v>
      </c>
    </row>
    <row r="540" spans="1:18" ht="15.75" hidden="1" thickBot="1">
      <c r="A540" s="643">
        <v>44413</v>
      </c>
      <c r="B540" s="639" t="s">
        <v>9593</v>
      </c>
      <c r="C540" s="639" t="s">
        <v>4997</v>
      </c>
      <c r="D540" s="645">
        <v>2200000</v>
      </c>
      <c r="E540" s="639" t="s">
        <v>112</v>
      </c>
      <c r="F540" s="643">
        <v>44424</v>
      </c>
      <c r="G540" s="643">
        <v>44432</v>
      </c>
      <c r="H540" s="639"/>
      <c r="I540" s="1534"/>
      <c r="J540" s="1534"/>
      <c r="K540" s="1534"/>
      <c r="L540" s="645"/>
      <c r="M540" s="639"/>
    </row>
    <row r="541" spans="1:18" ht="15.75" thickTop="1">
      <c r="A541" s="474">
        <v>44420</v>
      </c>
      <c r="B541" s="453" t="s">
        <v>9596</v>
      </c>
      <c r="C541" s="453" t="s">
        <v>2434</v>
      </c>
      <c r="D541" s="457">
        <v>766927</v>
      </c>
      <c r="E541" s="453" t="s">
        <v>251</v>
      </c>
      <c r="F541" s="474">
        <v>44426</v>
      </c>
      <c r="G541" s="474">
        <v>44460</v>
      </c>
      <c r="H541" s="474">
        <v>44509</v>
      </c>
      <c r="I541" s="1474"/>
      <c r="J541" s="1474"/>
      <c r="K541" s="1474"/>
      <c r="L541" s="570">
        <v>44509</v>
      </c>
      <c r="M541" s="474">
        <v>44551</v>
      </c>
      <c r="N541" s="2503">
        <f>F541-A541</f>
        <v>6</v>
      </c>
      <c r="O541" s="2503">
        <f>G541-F541</f>
        <v>34</v>
      </c>
      <c r="P541" s="2503">
        <f>H541-G541</f>
        <v>49</v>
      </c>
      <c r="Q541" s="2503">
        <f>M541-H541</f>
        <v>42</v>
      </c>
      <c r="R541" s="2503">
        <f>M541-A541</f>
        <v>131</v>
      </c>
    </row>
    <row r="542" spans="1:18" hidden="1">
      <c r="A542" s="2124">
        <v>44420</v>
      </c>
      <c r="B542" s="2125" t="s">
        <v>9596</v>
      </c>
      <c r="C542" s="2125" t="s">
        <v>2434</v>
      </c>
      <c r="D542" s="2128">
        <v>62856</v>
      </c>
      <c r="E542" s="2125" t="s">
        <v>251</v>
      </c>
      <c r="F542" s="2124">
        <v>44426</v>
      </c>
      <c r="G542" s="2124">
        <v>44460</v>
      </c>
      <c r="H542" s="2125"/>
      <c r="I542" s="2129"/>
      <c r="J542" s="2129"/>
      <c r="K542" s="2129"/>
      <c r="L542" s="2128"/>
      <c r="M542" s="2125"/>
    </row>
    <row r="543" spans="1:18" hidden="1">
      <c r="A543" s="2124">
        <v>44420</v>
      </c>
      <c r="B543" s="2125" t="s">
        <v>9596</v>
      </c>
      <c r="C543" s="2125" t="s">
        <v>2434</v>
      </c>
      <c r="D543" s="2128">
        <v>1989243</v>
      </c>
      <c r="E543" s="2125" t="s">
        <v>251</v>
      </c>
      <c r="F543" s="2124">
        <v>44426</v>
      </c>
      <c r="G543" s="2124">
        <v>44460</v>
      </c>
      <c r="H543" s="2125"/>
      <c r="I543" s="2129"/>
      <c r="J543" s="2129"/>
      <c r="K543" s="2129"/>
      <c r="L543" s="2128"/>
      <c r="M543" s="2125"/>
    </row>
    <row r="544" spans="1:18" hidden="1">
      <c r="A544" s="2124">
        <v>44420</v>
      </c>
      <c r="B544" s="2125" t="s">
        <v>9596</v>
      </c>
      <c r="C544" s="2125" t="s">
        <v>2434</v>
      </c>
      <c r="D544" s="2128">
        <v>46480</v>
      </c>
      <c r="E544" s="2125" t="s">
        <v>251</v>
      </c>
      <c r="F544" s="2124">
        <v>44426</v>
      </c>
      <c r="G544" s="2124">
        <v>44460</v>
      </c>
      <c r="H544" s="2125"/>
      <c r="I544" s="2129"/>
      <c r="J544" s="2129"/>
      <c r="K544" s="2129"/>
      <c r="L544" s="2128"/>
      <c r="M544" s="2125"/>
    </row>
    <row r="545" spans="1:18" ht="15.75" hidden="1" thickBot="1">
      <c r="A545" s="2130">
        <v>44420</v>
      </c>
      <c r="B545" s="2131" t="s">
        <v>9596</v>
      </c>
      <c r="C545" s="2131" t="s">
        <v>2434</v>
      </c>
      <c r="D545" s="2134">
        <v>2940912</v>
      </c>
      <c r="E545" s="2131" t="s">
        <v>251</v>
      </c>
      <c r="F545" s="2130">
        <v>44426</v>
      </c>
      <c r="G545" s="2130">
        <v>44460</v>
      </c>
      <c r="H545" s="2131"/>
      <c r="I545" s="2135"/>
      <c r="J545" s="2135"/>
      <c r="K545" s="2135"/>
      <c r="L545" s="2134"/>
      <c r="M545" s="2131"/>
    </row>
    <row r="546" spans="1:18" hidden="1">
      <c r="A546" s="470">
        <v>44412</v>
      </c>
      <c r="B546" s="466" t="s">
        <v>9605</v>
      </c>
      <c r="C546" s="466" t="s">
        <v>58</v>
      </c>
      <c r="D546" s="472">
        <v>260000</v>
      </c>
      <c r="E546" s="466" t="s">
        <v>112</v>
      </c>
      <c r="F546" s="470">
        <v>44424</v>
      </c>
      <c r="G546" s="470">
        <v>44432</v>
      </c>
      <c r="H546" s="466"/>
      <c r="I546" s="1516"/>
      <c r="J546" s="1516"/>
      <c r="K546" s="1516"/>
      <c r="L546" s="472"/>
      <c r="M546" s="466"/>
    </row>
    <row r="547" spans="1:18" hidden="1">
      <c r="A547" s="643">
        <v>44413</v>
      </c>
      <c r="B547" s="639" t="s">
        <v>9608</v>
      </c>
      <c r="C547" s="639" t="s">
        <v>69</v>
      </c>
      <c r="D547" s="645">
        <v>2742831</v>
      </c>
      <c r="E547" s="639" t="s">
        <v>216</v>
      </c>
      <c r="F547" s="643">
        <v>44463</v>
      </c>
      <c r="G547" s="643">
        <v>44483</v>
      </c>
      <c r="H547" s="639"/>
      <c r="I547" s="1534"/>
      <c r="J547" s="1534"/>
      <c r="K547" s="1534"/>
      <c r="L547" s="645"/>
      <c r="M547" s="639"/>
    </row>
    <row r="548" spans="1:18" ht="15.75" hidden="1" thickTop="1">
      <c r="A548" s="443">
        <v>44413</v>
      </c>
      <c r="B548" s="439" t="s">
        <v>9611</v>
      </c>
      <c r="C548" s="439" t="s">
        <v>69</v>
      </c>
      <c r="D548" s="444">
        <v>67032</v>
      </c>
      <c r="E548" s="439" t="s">
        <v>112</v>
      </c>
      <c r="F548" s="443">
        <v>44432</v>
      </c>
      <c r="G548" s="443">
        <v>44447</v>
      </c>
      <c r="H548" s="439"/>
      <c r="I548" s="1481"/>
      <c r="J548" s="1481"/>
      <c r="K548" s="1481"/>
      <c r="L548" s="444"/>
      <c r="M548" s="439"/>
    </row>
    <row r="549" spans="1:18" hidden="1">
      <c r="A549" s="2124">
        <v>44413</v>
      </c>
      <c r="B549" s="2125" t="s">
        <v>9611</v>
      </c>
      <c r="C549" s="2125" t="s">
        <v>69</v>
      </c>
      <c r="D549" s="2128">
        <v>848811</v>
      </c>
      <c r="E549" s="2125" t="s">
        <v>112</v>
      </c>
      <c r="F549" s="2124">
        <v>44432</v>
      </c>
      <c r="G549" s="2124">
        <v>44447</v>
      </c>
      <c r="H549" s="2125"/>
      <c r="I549" s="2129"/>
      <c r="J549" s="2129"/>
      <c r="K549" s="2129"/>
      <c r="L549" s="2128"/>
      <c r="M549" s="2125"/>
    </row>
    <row r="550" spans="1:18">
      <c r="A550" s="2140">
        <v>44413</v>
      </c>
      <c r="B550" s="2141" t="s">
        <v>9611</v>
      </c>
      <c r="C550" s="2141" t="s">
        <v>69</v>
      </c>
      <c r="D550" s="2144">
        <v>63800</v>
      </c>
      <c r="E550" s="2141" t="s">
        <v>112</v>
      </c>
      <c r="F550" s="2140">
        <v>44432</v>
      </c>
      <c r="G550" s="2140">
        <v>44447</v>
      </c>
      <c r="H550" s="2140">
        <v>44475</v>
      </c>
      <c r="I550" s="2145"/>
      <c r="J550" s="2145"/>
      <c r="K550" s="2145"/>
      <c r="L550" s="2146">
        <v>44475</v>
      </c>
      <c r="M550" s="2140">
        <v>44494</v>
      </c>
      <c r="N550" s="2503">
        <f>F550-A550</f>
        <v>19</v>
      </c>
      <c r="O550" s="2503">
        <f>G550-F550</f>
        <v>15</v>
      </c>
      <c r="P550" s="2503">
        <f>H550-G550</f>
        <v>28</v>
      </c>
      <c r="Q550" s="2503">
        <f>M550-H550</f>
        <v>19</v>
      </c>
      <c r="R550" s="2503">
        <f>M550-A550</f>
        <v>81</v>
      </c>
    </row>
    <row r="551" spans="1:18" hidden="1">
      <c r="A551" s="2124">
        <v>44413</v>
      </c>
      <c r="B551" s="2125" t="s">
        <v>9611</v>
      </c>
      <c r="C551" s="2125" t="s">
        <v>69</v>
      </c>
      <c r="D551" s="2128">
        <v>22300</v>
      </c>
      <c r="E551" s="2125" t="s">
        <v>112</v>
      </c>
      <c r="F551" s="2124">
        <v>44432</v>
      </c>
      <c r="G551" s="2124">
        <v>44447</v>
      </c>
      <c r="H551" s="2125"/>
      <c r="I551" s="2129"/>
      <c r="J551" s="2129"/>
      <c r="K551" s="2129"/>
      <c r="L551" s="2128"/>
      <c r="M551" s="2125"/>
    </row>
    <row r="552" spans="1:18" hidden="1">
      <c r="A552" s="2124">
        <v>44413</v>
      </c>
      <c r="B552" s="2125" t="s">
        <v>9611</v>
      </c>
      <c r="C552" s="2125" t="s">
        <v>69</v>
      </c>
      <c r="D552" s="2128">
        <v>58921</v>
      </c>
      <c r="E552" s="2125" t="s">
        <v>112</v>
      </c>
      <c r="F552" s="2124">
        <v>44432</v>
      </c>
      <c r="G552" s="2124">
        <v>44447</v>
      </c>
      <c r="H552" s="2125"/>
      <c r="I552" s="2129"/>
      <c r="J552" s="2129"/>
      <c r="K552" s="2129"/>
      <c r="L552" s="2128"/>
      <c r="M552" s="2125"/>
    </row>
    <row r="553" spans="1:18" hidden="1">
      <c r="A553" s="2124">
        <v>44413</v>
      </c>
      <c r="B553" s="2125" t="s">
        <v>9611</v>
      </c>
      <c r="C553" s="2125" t="s">
        <v>69</v>
      </c>
      <c r="D553" s="2128">
        <v>63800</v>
      </c>
      <c r="E553" s="2125" t="s">
        <v>112</v>
      </c>
      <c r="F553" s="2124">
        <v>44432</v>
      </c>
      <c r="G553" s="2124">
        <v>44447</v>
      </c>
      <c r="H553" s="2125"/>
      <c r="I553" s="2129"/>
      <c r="J553" s="2129"/>
      <c r="K553" s="2129"/>
      <c r="L553" s="2128"/>
      <c r="M553" s="2125"/>
    </row>
    <row r="554" spans="1:18" ht="15.75" thickBot="1">
      <c r="A554" s="2117">
        <v>44413</v>
      </c>
      <c r="B554" s="2118" t="s">
        <v>9611</v>
      </c>
      <c r="C554" s="2118" t="s">
        <v>69</v>
      </c>
      <c r="D554" s="2121">
        <v>36159</v>
      </c>
      <c r="E554" s="2118" t="s">
        <v>112</v>
      </c>
      <c r="F554" s="2117">
        <v>44432</v>
      </c>
      <c r="G554" s="2117">
        <v>44447</v>
      </c>
      <c r="H554" s="2117">
        <v>44475</v>
      </c>
      <c r="I554" s="2122"/>
      <c r="J554" s="2122"/>
      <c r="K554" s="2122"/>
      <c r="L554" s="2123">
        <v>44475</v>
      </c>
      <c r="M554" s="2117">
        <v>44494</v>
      </c>
      <c r="N554" s="2503">
        <f>F554-A554</f>
        <v>19</v>
      </c>
      <c r="O554" s="2503">
        <f>G554-F554</f>
        <v>15</v>
      </c>
      <c r="P554" s="2503">
        <f>H554-G554</f>
        <v>28</v>
      </c>
      <c r="Q554" s="2503">
        <f>M554-H554</f>
        <v>19</v>
      </c>
      <c r="R554" s="2503">
        <f>M554-A554</f>
        <v>81</v>
      </c>
    </row>
    <row r="555" spans="1:18" ht="15.75" hidden="1" thickTop="1">
      <c r="A555" s="470">
        <v>44413</v>
      </c>
      <c r="B555" s="470" t="s">
        <v>9619</v>
      </c>
      <c r="C555" s="466" t="s">
        <v>69</v>
      </c>
      <c r="D555" s="472">
        <v>780693</v>
      </c>
      <c r="E555" s="466" t="s">
        <v>112</v>
      </c>
      <c r="F555" s="470">
        <v>44441</v>
      </c>
      <c r="G555" s="470">
        <v>44459</v>
      </c>
      <c r="H555" s="466"/>
      <c r="I555" s="1489"/>
      <c r="J555" s="1489"/>
      <c r="K555" s="1489"/>
      <c r="L555" s="472"/>
      <c r="M555" s="466"/>
    </row>
    <row r="556" spans="1:18" ht="15.75" hidden="1" thickTop="1">
      <c r="A556" s="510">
        <v>44413</v>
      </c>
      <c r="B556" s="510" t="s">
        <v>9619</v>
      </c>
      <c r="C556" s="506" t="s">
        <v>69</v>
      </c>
      <c r="D556" s="511">
        <v>102837</v>
      </c>
      <c r="E556" s="506" t="s">
        <v>112</v>
      </c>
      <c r="F556" s="510">
        <v>44441</v>
      </c>
      <c r="G556" s="510">
        <v>44459</v>
      </c>
      <c r="H556" s="506"/>
      <c r="I556" s="1470"/>
      <c r="J556" s="1470"/>
      <c r="K556" s="1470"/>
      <c r="L556" s="511"/>
      <c r="M556" s="506"/>
    </row>
    <row r="557" spans="1:18" ht="15.75" hidden="1" thickTop="1">
      <c r="A557" s="510">
        <v>44413</v>
      </c>
      <c r="B557" s="510" t="s">
        <v>9619</v>
      </c>
      <c r="C557" s="506" t="s">
        <v>69</v>
      </c>
      <c r="D557" s="511">
        <v>52000</v>
      </c>
      <c r="E557" s="506" t="s">
        <v>112</v>
      </c>
      <c r="F557" s="510">
        <v>44441</v>
      </c>
      <c r="G557" s="510">
        <v>44459</v>
      </c>
      <c r="H557" s="506"/>
      <c r="I557" s="1484"/>
      <c r="J557" s="1484"/>
      <c r="K557" s="1484"/>
      <c r="L557" s="511"/>
      <c r="M557" s="506"/>
    </row>
    <row r="558" spans="1:18" ht="15.75" hidden="1" thickTop="1">
      <c r="A558" s="510">
        <v>44413</v>
      </c>
      <c r="B558" s="510" t="s">
        <v>9619</v>
      </c>
      <c r="C558" s="506" t="s">
        <v>69</v>
      </c>
      <c r="D558" s="511">
        <v>287058</v>
      </c>
      <c r="E558" s="506" t="s">
        <v>112</v>
      </c>
      <c r="F558" s="510">
        <v>44441</v>
      </c>
      <c r="G558" s="510">
        <v>44459</v>
      </c>
      <c r="H558" s="506"/>
      <c r="I558" s="1470"/>
      <c r="J558" s="1470"/>
      <c r="K558" s="1470"/>
      <c r="L558" s="511"/>
      <c r="M558" s="506"/>
    </row>
    <row r="559" spans="1:18" ht="15.75" hidden="1" thickTop="1">
      <c r="A559" s="643">
        <v>44413</v>
      </c>
      <c r="B559" s="643" t="s">
        <v>9619</v>
      </c>
      <c r="C559" s="639" t="s">
        <v>69</v>
      </c>
      <c r="D559" s="645">
        <v>393592</v>
      </c>
      <c r="E559" s="639" t="s">
        <v>112</v>
      </c>
      <c r="F559" s="643">
        <v>44441</v>
      </c>
      <c r="G559" s="643">
        <v>44459</v>
      </c>
      <c r="H559" s="639"/>
      <c r="I559" s="1490"/>
      <c r="J559" s="1490"/>
      <c r="K559" s="1490"/>
      <c r="L559" s="645"/>
      <c r="M559" s="639"/>
    </row>
    <row r="560" spans="1:18" ht="15.75" hidden="1" thickTop="1">
      <c r="A560" s="443">
        <v>44413</v>
      </c>
      <c r="B560" s="439" t="s">
        <v>9627</v>
      </c>
      <c r="C560" s="439" t="s">
        <v>69</v>
      </c>
      <c r="D560" s="444">
        <v>547196</v>
      </c>
      <c r="E560" s="439" t="s">
        <v>112</v>
      </c>
      <c r="F560" s="443">
        <v>44432</v>
      </c>
      <c r="G560" s="443">
        <v>44452</v>
      </c>
      <c r="H560" s="439"/>
      <c r="I560" s="1481"/>
      <c r="J560" s="1481"/>
      <c r="K560" s="1481"/>
      <c r="L560" s="444"/>
      <c r="M560" s="439"/>
    </row>
    <row r="561" spans="1:18" ht="15.75" hidden="1" thickTop="1">
      <c r="A561" s="2124">
        <v>44413</v>
      </c>
      <c r="B561" s="2125" t="s">
        <v>9627</v>
      </c>
      <c r="C561" s="2125" t="s">
        <v>69</v>
      </c>
      <c r="D561" s="2128">
        <v>908400</v>
      </c>
      <c r="E561" s="2125" t="s">
        <v>112</v>
      </c>
      <c r="F561" s="2124">
        <v>44432</v>
      </c>
      <c r="G561" s="2124">
        <v>44452</v>
      </c>
      <c r="H561" s="2125"/>
      <c r="I561" s="2129"/>
      <c r="J561" s="2129"/>
      <c r="K561" s="2129"/>
      <c r="L561" s="2128"/>
      <c r="M561" s="2125"/>
    </row>
    <row r="562" spans="1:18" ht="15.75" thickTop="1">
      <c r="A562" s="2140">
        <v>44413</v>
      </c>
      <c r="B562" s="2141" t="s">
        <v>9627</v>
      </c>
      <c r="C562" s="2141" t="s">
        <v>69</v>
      </c>
      <c r="D562" s="2144">
        <v>476120</v>
      </c>
      <c r="E562" s="2141" t="s">
        <v>112</v>
      </c>
      <c r="F562" s="2140">
        <v>44432</v>
      </c>
      <c r="G562" s="2140">
        <v>44452</v>
      </c>
      <c r="H562" s="2140">
        <v>44469</v>
      </c>
      <c r="I562" s="2145"/>
      <c r="J562" s="2145"/>
      <c r="K562" s="2145"/>
      <c r="L562" s="2146">
        <v>44469</v>
      </c>
      <c r="M562" s="2140">
        <v>44484</v>
      </c>
      <c r="N562" s="2503">
        <f>F562-A562</f>
        <v>19</v>
      </c>
      <c r="O562" s="2503">
        <f>G562-F562</f>
        <v>20</v>
      </c>
      <c r="P562" s="2503">
        <f>H562-G562</f>
        <v>17</v>
      </c>
      <c r="Q562" s="2503">
        <f>M562-H562</f>
        <v>15</v>
      </c>
      <c r="R562" s="2503">
        <f>M562-A562</f>
        <v>71</v>
      </c>
    </row>
    <row r="563" spans="1:18" ht="15.75" hidden="1" thickBot="1">
      <c r="A563" s="2130">
        <v>44413</v>
      </c>
      <c r="B563" s="2131" t="s">
        <v>9627</v>
      </c>
      <c r="C563" s="2131" t="s">
        <v>69</v>
      </c>
      <c r="D563" s="2134">
        <v>54000</v>
      </c>
      <c r="E563" s="2131" t="s">
        <v>112</v>
      </c>
      <c r="F563" s="2130">
        <v>44432</v>
      </c>
      <c r="G563" s="2130">
        <v>44452</v>
      </c>
      <c r="H563" s="2131"/>
      <c r="I563" s="2135"/>
      <c r="J563" s="2135"/>
      <c r="K563" s="2135"/>
      <c r="L563" s="2134"/>
      <c r="M563" s="2131"/>
    </row>
    <row r="564" spans="1:18" hidden="1">
      <c r="A564" s="1556">
        <v>44413</v>
      </c>
      <c r="B564" s="2327" t="s">
        <v>9633</v>
      </c>
      <c r="C564" s="2327" t="s">
        <v>69</v>
      </c>
      <c r="D564" s="2330">
        <v>486884</v>
      </c>
      <c r="E564" s="2327" t="s">
        <v>216</v>
      </c>
      <c r="F564" s="1556">
        <v>44432</v>
      </c>
      <c r="G564" s="1556">
        <v>44463</v>
      </c>
      <c r="H564" s="2327"/>
      <c r="I564" s="2331"/>
      <c r="J564" s="2331"/>
      <c r="K564" s="2331"/>
      <c r="L564" s="2330"/>
      <c r="M564" s="2327"/>
    </row>
    <row r="565" spans="1:18" hidden="1">
      <c r="A565" s="2332">
        <v>44413</v>
      </c>
      <c r="B565" s="2333" t="s">
        <v>9633</v>
      </c>
      <c r="C565" s="2333" t="s">
        <v>69</v>
      </c>
      <c r="D565" s="2336">
        <v>70812</v>
      </c>
      <c r="E565" s="2333" t="s">
        <v>216</v>
      </c>
      <c r="F565" s="2332">
        <v>44432</v>
      </c>
      <c r="G565" s="2332">
        <v>44463</v>
      </c>
      <c r="H565" s="2333"/>
      <c r="I565" s="2337"/>
      <c r="J565" s="2337"/>
      <c r="K565" s="2337"/>
      <c r="L565" s="2336"/>
      <c r="M565" s="2333"/>
    </row>
    <row r="566" spans="1:18">
      <c r="A566" s="2140">
        <v>44413</v>
      </c>
      <c r="B566" s="2141" t="s">
        <v>9637</v>
      </c>
      <c r="C566" s="2141" t="s">
        <v>69</v>
      </c>
      <c r="D566" s="2144">
        <v>355660</v>
      </c>
      <c r="E566" s="2141" t="s">
        <v>216</v>
      </c>
      <c r="F566" s="2140">
        <v>44452</v>
      </c>
      <c r="G566" s="2140">
        <v>44469</v>
      </c>
      <c r="H566" s="2140">
        <v>44509</v>
      </c>
      <c r="I566" s="2145"/>
      <c r="J566" s="2145"/>
      <c r="K566" s="2145"/>
      <c r="L566" s="2146">
        <v>44509</v>
      </c>
      <c r="M566" s="2140">
        <v>44536</v>
      </c>
      <c r="N566" s="2503">
        <f t="shared" ref="N566:N567" si="315">F566-A566</f>
        <v>39</v>
      </c>
      <c r="O566" s="2503">
        <f t="shared" ref="O566:O567" si="316">G566-F566</f>
        <v>17</v>
      </c>
      <c r="P566" s="2503">
        <f t="shared" ref="P566:P567" si="317">H566-G566</f>
        <v>40</v>
      </c>
      <c r="Q566" s="2503">
        <f t="shared" ref="Q566:Q567" si="318">M566-H566</f>
        <v>27</v>
      </c>
      <c r="R566" s="2503">
        <f t="shared" ref="R566:R567" si="319">M566-A566</f>
        <v>123</v>
      </c>
    </row>
    <row r="567" spans="1:18">
      <c r="A567" s="2140">
        <v>44413</v>
      </c>
      <c r="B567" s="2141" t="s">
        <v>9637</v>
      </c>
      <c r="C567" s="2141" t="s">
        <v>69</v>
      </c>
      <c r="D567" s="2144">
        <v>1149222</v>
      </c>
      <c r="E567" s="2141" t="s">
        <v>216</v>
      </c>
      <c r="F567" s="2140">
        <v>44452</v>
      </c>
      <c r="G567" s="2140">
        <v>44469</v>
      </c>
      <c r="H567" s="2140">
        <v>44509</v>
      </c>
      <c r="I567" s="2145"/>
      <c r="J567" s="2145"/>
      <c r="K567" s="2145"/>
      <c r="L567" s="2146">
        <v>44509</v>
      </c>
      <c r="M567" s="2140">
        <v>44544</v>
      </c>
      <c r="N567" s="2503">
        <f t="shared" si="315"/>
        <v>39</v>
      </c>
      <c r="O567" s="2503">
        <f t="shared" si="316"/>
        <v>17</v>
      </c>
      <c r="P567" s="2503">
        <f t="shared" si="317"/>
        <v>40</v>
      </c>
      <c r="Q567" s="2503">
        <f t="shared" si="318"/>
        <v>35</v>
      </c>
      <c r="R567" s="2503">
        <f t="shared" si="319"/>
        <v>131</v>
      </c>
    </row>
    <row r="568" spans="1:18" ht="15.75" hidden="1" thickBot="1">
      <c r="A568" s="2130">
        <v>44413</v>
      </c>
      <c r="B568" s="2131" t="s">
        <v>9637</v>
      </c>
      <c r="C568" s="2131" t="s">
        <v>69</v>
      </c>
      <c r="D568" s="2134">
        <v>571720</v>
      </c>
      <c r="E568" s="2131" t="s">
        <v>216</v>
      </c>
      <c r="F568" s="2130">
        <v>44452</v>
      </c>
      <c r="G568" s="2130">
        <v>44469</v>
      </c>
      <c r="H568" s="2131"/>
      <c r="I568" s="2095"/>
      <c r="J568" s="2095"/>
      <c r="K568" s="2095"/>
      <c r="L568" s="2134"/>
      <c r="M568" s="2131"/>
    </row>
    <row r="569" spans="1:18" ht="15.75" thickBot="1">
      <c r="A569" s="498">
        <v>44420</v>
      </c>
      <c r="B569" s="232" t="s">
        <v>9642</v>
      </c>
      <c r="C569" s="232" t="s">
        <v>69</v>
      </c>
      <c r="D569" s="499">
        <v>5035780</v>
      </c>
      <c r="E569" s="232" t="s">
        <v>251</v>
      </c>
      <c r="F569" s="498">
        <v>44426</v>
      </c>
      <c r="G569" s="498">
        <v>44460</v>
      </c>
      <c r="H569" s="498">
        <v>44469</v>
      </c>
      <c r="I569" s="1545"/>
      <c r="J569" s="1545"/>
      <c r="K569" s="1545"/>
      <c r="L569" s="682">
        <v>44469</v>
      </c>
      <c r="M569" s="498">
        <v>44501</v>
      </c>
      <c r="N569" s="2503">
        <f t="shared" ref="N569:N573" si="320">F569-A569</f>
        <v>6</v>
      </c>
      <c r="O569" s="2503">
        <f t="shared" ref="O569:O573" si="321">G569-F569</f>
        <v>34</v>
      </c>
      <c r="P569" s="2503">
        <f t="shared" ref="P569:P573" si="322">H569-G569</f>
        <v>9</v>
      </c>
      <c r="Q569" s="2503">
        <f t="shared" ref="Q569:Q573" si="323">M569-H569</f>
        <v>32</v>
      </c>
      <c r="R569" s="2503">
        <f t="shared" ref="R569:R573" si="324">M569-A569</f>
        <v>81</v>
      </c>
    </row>
    <row r="570" spans="1:18" ht="15.75" thickTop="1">
      <c r="A570" s="474">
        <v>44420</v>
      </c>
      <c r="B570" s="453" t="s">
        <v>9645</v>
      </c>
      <c r="C570" s="453" t="s">
        <v>69</v>
      </c>
      <c r="D570" s="457">
        <v>43696800</v>
      </c>
      <c r="E570" s="453" t="s">
        <v>251</v>
      </c>
      <c r="F570" s="474">
        <v>44431</v>
      </c>
      <c r="G570" s="474">
        <v>44466</v>
      </c>
      <c r="H570" s="474">
        <v>44495</v>
      </c>
      <c r="I570" s="1474"/>
      <c r="J570" s="1474"/>
      <c r="K570" s="1474"/>
      <c r="L570" s="570">
        <v>44495</v>
      </c>
      <c r="M570" s="474">
        <v>44530</v>
      </c>
      <c r="N570" s="2503">
        <f t="shared" si="320"/>
        <v>11</v>
      </c>
      <c r="O570" s="2503">
        <f t="shared" si="321"/>
        <v>35</v>
      </c>
      <c r="P570" s="2503">
        <f t="shared" si="322"/>
        <v>29</v>
      </c>
      <c r="Q570" s="2503">
        <f t="shared" si="323"/>
        <v>35</v>
      </c>
      <c r="R570" s="2503">
        <f t="shared" si="324"/>
        <v>110</v>
      </c>
    </row>
    <row r="571" spans="1:18" ht="15.75" thickBot="1">
      <c r="A571" s="2117">
        <v>44420</v>
      </c>
      <c r="B571" s="2118" t="s">
        <v>9645</v>
      </c>
      <c r="C571" s="2118" t="s">
        <v>69</v>
      </c>
      <c r="D571" s="2121">
        <v>3195881</v>
      </c>
      <c r="E571" s="2118" t="s">
        <v>251</v>
      </c>
      <c r="F571" s="2117">
        <v>44431</v>
      </c>
      <c r="G571" s="2117">
        <v>44466</v>
      </c>
      <c r="H571" s="2117">
        <v>44495</v>
      </c>
      <c r="I571" s="2122"/>
      <c r="J571" s="2122"/>
      <c r="K571" s="2122"/>
      <c r="L571" s="2123">
        <v>44495</v>
      </c>
      <c r="M571" s="2117">
        <v>44544</v>
      </c>
      <c r="N571" s="2503">
        <f t="shared" si="320"/>
        <v>11</v>
      </c>
      <c r="O571" s="2503">
        <f t="shared" si="321"/>
        <v>35</v>
      </c>
      <c r="P571" s="2503">
        <f t="shared" si="322"/>
        <v>29</v>
      </c>
      <c r="Q571" s="2503">
        <f t="shared" si="323"/>
        <v>49</v>
      </c>
      <c r="R571" s="2503">
        <f t="shared" si="324"/>
        <v>124</v>
      </c>
    </row>
    <row r="572" spans="1:18" ht="15.75" thickTop="1">
      <c r="A572" s="365">
        <v>44420</v>
      </c>
      <c r="B572" s="2497" t="s">
        <v>9648</v>
      </c>
      <c r="C572" s="2497" t="s">
        <v>69</v>
      </c>
      <c r="D572" s="364">
        <v>4482965</v>
      </c>
      <c r="E572" s="2497" t="s">
        <v>251</v>
      </c>
      <c r="F572" s="365">
        <v>44426</v>
      </c>
      <c r="G572" s="365">
        <v>44461</v>
      </c>
      <c r="H572" s="365">
        <v>44482</v>
      </c>
      <c r="I572" s="1473"/>
      <c r="J572" s="1473"/>
      <c r="K572" s="1473"/>
      <c r="L572" s="681">
        <v>44482</v>
      </c>
      <c r="M572" s="365">
        <v>44510</v>
      </c>
      <c r="N572" s="2503">
        <f t="shared" si="320"/>
        <v>6</v>
      </c>
      <c r="O572" s="2503">
        <f t="shared" si="321"/>
        <v>35</v>
      </c>
      <c r="P572" s="2503">
        <f t="shared" si="322"/>
        <v>21</v>
      </c>
      <c r="Q572" s="2503">
        <f t="shared" si="323"/>
        <v>28</v>
      </c>
      <c r="R572" s="2503">
        <f t="shared" si="324"/>
        <v>90</v>
      </c>
    </row>
    <row r="573" spans="1:18">
      <c r="A573" s="537">
        <v>44420</v>
      </c>
      <c r="B573" s="491" t="s">
        <v>9648</v>
      </c>
      <c r="C573" s="491" t="s">
        <v>69</v>
      </c>
      <c r="D573" s="536">
        <v>100263</v>
      </c>
      <c r="E573" s="491" t="s">
        <v>251</v>
      </c>
      <c r="F573" s="537">
        <v>44426</v>
      </c>
      <c r="G573" s="537">
        <v>44461</v>
      </c>
      <c r="H573" s="537">
        <v>44482</v>
      </c>
      <c r="I573" s="1471"/>
      <c r="J573" s="1471"/>
      <c r="K573" s="1471"/>
      <c r="L573" s="573">
        <v>44482</v>
      </c>
      <c r="M573" s="537">
        <v>44510</v>
      </c>
      <c r="N573" s="2503">
        <f t="shared" si="320"/>
        <v>6</v>
      </c>
      <c r="O573" s="2503">
        <f t="shared" si="321"/>
        <v>35</v>
      </c>
      <c r="P573" s="2503">
        <f t="shared" si="322"/>
        <v>21</v>
      </c>
      <c r="Q573" s="2503">
        <f t="shared" si="323"/>
        <v>28</v>
      </c>
      <c r="R573" s="2503">
        <f t="shared" si="324"/>
        <v>90</v>
      </c>
    </row>
    <row r="574" spans="1:18" hidden="1">
      <c r="A574" s="510">
        <v>44420</v>
      </c>
      <c r="B574" s="506" t="s">
        <v>9648</v>
      </c>
      <c r="C574" s="506" t="s">
        <v>69</v>
      </c>
      <c r="D574" s="511">
        <v>1437240</v>
      </c>
      <c r="E574" s="506" t="s">
        <v>251</v>
      </c>
      <c r="F574" s="510">
        <v>44426</v>
      </c>
      <c r="G574" s="510">
        <v>44461</v>
      </c>
      <c r="H574" s="506"/>
      <c r="I574" s="1470"/>
      <c r="J574" s="1470"/>
      <c r="K574" s="1470"/>
      <c r="L574" s="511"/>
      <c r="M574" s="506"/>
    </row>
    <row r="575" spans="1:18" hidden="1">
      <c r="A575" s="510">
        <v>44420</v>
      </c>
      <c r="B575" s="506" t="s">
        <v>9648</v>
      </c>
      <c r="C575" s="506" t="s">
        <v>69</v>
      </c>
      <c r="D575" s="511">
        <v>12470963</v>
      </c>
      <c r="E575" s="506" t="s">
        <v>251</v>
      </c>
      <c r="F575" s="510">
        <v>44426</v>
      </c>
      <c r="G575" s="510">
        <v>44461</v>
      </c>
      <c r="H575" s="506"/>
      <c r="I575" s="1470"/>
      <c r="J575" s="1470"/>
      <c r="K575" s="1470"/>
      <c r="L575" s="511"/>
      <c r="M575" s="506"/>
    </row>
    <row r="576" spans="1:18" hidden="1">
      <c r="A576" s="510">
        <v>44420</v>
      </c>
      <c r="B576" s="506" t="s">
        <v>9648</v>
      </c>
      <c r="C576" s="506" t="s">
        <v>69</v>
      </c>
      <c r="D576" s="511">
        <v>368784</v>
      </c>
      <c r="E576" s="506" t="s">
        <v>251</v>
      </c>
      <c r="F576" s="510">
        <v>44426</v>
      </c>
      <c r="G576" s="510">
        <v>44461</v>
      </c>
      <c r="H576" s="506"/>
      <c r="I576" s="1470"/>
      <c r="J576" s="1470"/>
      <c r="K576" s="1470"/>
      <c r="L576" s="511"/>
      <c r="M576" s="506"/>
    </row>
    <row r="577" spans="1:18">
      <c r="A577" s="537">
        <v>44420</v>
      </c>
      <c r="B577" s="491" t="s">
        <v>9648</v>
      </c>
      <c r="C577" s="491" t="s">
        <v>69</v>
      </c>
      <c r="D577" s="536">
        <v>3451390</v>
      </c>
      <c r="E577" s="491" t="s">
        <v>251</v>
      </c>
      <c r="F577" s="537">
        <v>44426</v>
      </c>
      <c r="G577" s="537">
        <v>44461</v>
      </c>
      <c r="H577" s="537">
        <v>44482</v>
      </c>
      <c r="I577" s="1471"/>
      <c r="J577" s="1471"/>
      <c r="K577" s="1471"/>
      <c r="L577" s="573">
        <v>44482</v>
      </c>
      <c r="M577" s="537">
        <v>44504</v>
      </c>
      <c r="N577" s="2503">
        <f t="shared" ref="N577:N582" si="325">F577-A577</f>
        <v>6</v>
      </c>
      <c r="O577" s="2503">
        <f t="shared" ref="O577:O582" si="326">G577-F577</f>
        <v>35</v>
      </c>
      <c r="P577" s="2503">
        <f t="shared" ref="P577:P582" si="327">H577-G577</f>
        <v>21</v>
      </c>
      <c r="Q577" s="2503">
        <f t="shared" ref="Q577:Q582" si="328">M577-H577</f>
        <v>22</v>
      </c>
      <c r="R577" s="2503">
        <f t="shared" ref="R577:R582" si="329">M577-A577</f>
        <v>84</v>
      </c>
    </row>
    <row r="578" spans="1:18">
      <c r="A578" s="537">
        <v>44420</v>
      </c>
      <c r="B578" s="491" t="s">
        <v>9648</v>
      </c>
      <c r="C578" s="491" t="s">
        <v>69</v>
      </c>
      <c r="D578" s="536">
        <v>8302868</v>
      </c>
      <c r="E578" s="491" t="s">
        <v>251</v>
      </c>
      <c r="F578" s="537">
        <v>44426</v>
      </c>
      <c r="G578" s="537">
        <v>44461</v>
      </c>
      <c r="H578" s="537">
        <v>44482</v>
      </c>
      <c r="I578" s="1471"/>
      <c r="J578" s="1471"/>
      <c r="K578" s="1471"/>
      <c r="L578" s="573">
        <v>44482</v>
      </c>
      <c r="M578" s="537">
        <v>44508</v>
      </c>
      <c r="N578" s="2503">
        <f t="shared" si="325"/>
        <v>6</v>
      </c>
      <c r="O578" s="2503">
        <f t="shared" si="326"/>
        <v>35</v>
      </c>
      <c r="P578" s="2503">
        <f t="shared" si="327"/>
        <v>21</v>
      </c>
      <c r="Q578" s="2503">
        <f t="shared" si="328"/>
        <v>26</v>
      </c>
      <c r="R578" s="2503">
        <f t="shared" si="329"/>
        <v>88</v>
      </c>
    </row>
    <row r="579" spans="1:18" ht="15.75" thickBot="1">
      <c r="A579" s="416">
        <v>44420</v>
      </c>
      <c r="B579" s="411" t="s">
        <v>9648</v>
      </c>
      <c r="C579" s="411" t="s">
        <v>69</v>
      </c>
      <c r="D579" s="417">
        <v>365338</v>
      </c>
      <c r="E579" s="411" t="s">
        <v>251</v>
      </c>
      <c r="F579" s="416">
        <v>44426</v>
      </c>
      <c r="G579" s="416">
        <v>44461</v>
      </c>
      <c r="H579" s="416">
        <v>44482</v>
      </c>
      <c r="I579" s="1480"/>
      <c r="J579" s="1480"/>
      <c r="K579" s="1480"/>
      <c r="L579" s="513">
        <v>44482</v>
      </c>
      <c r="M579" s="416">
        <v>44504</v>
      </c>
      <c r="N579" s="2503">
        <f t="shared" si="325"/>
        <v>6</v>
      </c>
      <c r="O579" s="2503">
        <f t="shared" si="326"/>
        <v>35</v>
      </c>
      <c r="P579" s="2503">
        <f t="shared" si="327"/>
        <v>21</v>
      </c>
      <c r="Q579" s="2503">
        <f t="shared" si="328"/>
        <v>22</v>
      </c>
      <c r="R579" s="2503">
        <f t="shared" si="329"/>
        <v>84</v>
      </c>
    </row>
    <row r="580" spans="1:18" ht="15.75" thickTop="1">
      <c r="A580" s="474">
        <v>44420</v>
      </c>
      <c r="B580" s="453" t="s">
        <v>9658</v>
      </c>
      <c r="C580" s="453" t="s">
        <v>69</v>
      </c>
      <c r="D580" s="457">
        <v>31368194</v>
      </c>
      <c r="E580" s="453" t="s">
        <v>251</v>
      </c>
      <c r="F580" s="474">
        <v>44425</v>
      </c>
      <c r="G580" s="474">
        <v>44463</v>
      </c>
      <c r="H580" s="474">
        <v>44483</v>
      </c>
      <c r="I580" s="1474"/>
      <c r="J580" s="1474"/>
      <c r="K580" s="1474"/>
      <c r="L580" s="570">
        <v>44483</v>
      </c>
      <c r="M580" s="474">
        <v>44525</v>
      </c>
      <c r="N580" s="2503">
        <f t="shared" si="325"/>
        <v>5</v>
      </c>
      <c r="O580" s="2503">
        <f t="shared" si="326"/>
        <v>38</v>
      </c>
      <c r="P580" s="2503">
        <f t="shared" si="327"/>
        <v>20</v>
      </c>
      <c r="Q580" s="2503">
        <f t="shared" si="328"/>
        <v>42</v>
      </c>
      <c r="R580" s="2503">
        <f t="shared" si="329"/>
        <v>105</v>
      </c>
    </row>
    <row r="581" spans="1:18">
      <c r="A581" s="2140">
        <v>44420</v>
      </c>
      <c r="B581" s="2141" t="s">
        <v>9658</v>
      </c>
      <c r="C581" s="2141" t="s">
        <v>69</v>
      </c>
      <c r="D581" s="2144">
        <v>8730573</v>
      </c>
      <c r="E581" s="2141" t="s">
        <v>251</v>
      </c>
      <c r="F581" s="2140">
        <v>44425</v>
      </c>
      <c r="G581" s="2140">
        <v>44463</v>
      </c>
      <c r="H581" s="2140">
        <v>44483</v>
      </c>
      <c r="I581" s="2145"/>
      <c r="J581" s="2145"/>
      <c r="K581" s="2145"/>
      <c r="L581" s="2146">
        <v>44483</v>
      </c>
      <c r="M581" s="2140">
        <v>44529</v>
      </c>
      <c r="N581" s="2503">
        <f t="shared" si="325"/>
        <v>5</v>
      </c>
      <c r="O581" s="2503">
        <f t="shared" si="326"/>
        <v>38</v>
      </c>
      <c r="P581" s="2503">
        <f t="shared" si="327"/>
        <v>20</v>
      </c>
      <c r="Q581" s="2503">
        <f t="shared" si="328"/>
        <v>46</v>
      </c>
      <c r="R581" s="2503">
        <f t="shared" si="329"/>
        <v>109</v>
      </c>
    </row>
    <row r="582" spans="1:18">
      <c r="A582" s="2140">
        <v>44420</v>
      </c>
      <c r="B582" s="2141" t="s">
        <v>9658</v>
      </c>
      <c r="C582" s="2141" t="s">
        <v>69</v>
      </c>
      <c r="D582" s="2144">
        <v>43022990</v>
      </c>
      <c r="E582" s="2141" t="s">
        <v>251</v>
      </c>
      <c r="F582" s="2140">
        <v>44425</v>
      </c>
      <c r="G582" s="2140">
        <v>44463</v>
      </c>
      <c r="H582" s="2140">
        <v>44483</v>
      </c>
      <c r="I582" s="2145"/>
      <c r="J582" s="2145"/>
      <c r="K582" s="2145"/>
      <c r="L582" s="2146">
        <v>44483</v>
      </c>
      <c r="M582" s="2140">
        <v>44529</v>
      </c>
      <c r="N582" s="2503">
        <f t="shared" si="325"/>
        <v>5</v>
      </c>
      <c r="O582" s="2503">
        <f t="shared" si="326"/>
        <v>38</v>
      </c>
      <c r="P582" s="2503">
        <f t="shared" si="327"/>
        <v>20</v>
      </c>
      <c r="Q582" s="2503">
        <f t="shared" si="328"/>
        <v>46</v>
      </c>
      <c r="R582" s="2503">
        <f t="shared" si="329"/>
        <v>109</v>
      </c>
    </row>
    <row r="583" spans="1:18" ht="15.75" hidden="1" thickBot="1">
      <c r="A583" s="2130">
        <v>44420</v>
      </c>
      <c r="B583" s="2131" t="s">
        <v>9658</v>
      </c>
      <c r="C583" s="2131" t="s">
        <v>69</v>
      </c>
      <c r="D583" s="2134">
        <v>5171688</v>
      </c>
      <c r="E583" s="2131" t="s">
        <v>251</v>
      </c>
      <c r="F583" s="2130">
        <v>44425</v>
      </c>
      <c r="G583" s="2130">
        <v>44463</v>
      </c>
      <c r="H583" s="2131"/>
      <c r="I583" s="2095"/>
      <c r="J583" s="2095"/>
      <c r="K583" s="2095"/>
      <c r="L583" s="2134"/>
      <c r="M583" s="2131"/>
    </row>
    <row r="584" spans="1:18" hidden="1">
      <c r="A584" s="470">
        <v>44412</v>
      </c>
      <c r="B584" s="466" t="s">
        <v>9669</v>
      </c>
      <c r="C584" s="466" t="s">
        <v>2434</v>
      </c>
      <c r="D584" s="472">
        <v>700000</v>
      </c>
      <c r="E584" s="466" t="s">
        <v>112</v>
      </c>
      <c r="F584" s="470">
        <v>44426</v>
      </c>
      <c r="G584" s="470">
        <v>44442</v>
      </c>
      <c r="H584" s="466"/>
      <c r="I584" s="1516"/>
      <c r="J584" s="1516"/>
      <c r="K584" s="1516"/>
      <c r="L584" s="472"/>
      <c r="M584" s="466"/>
    </row>
    <row r="585" spans="1:18">
      <c r="A585" s="537">
        <v>44420</v>
      </c>
      <c r="B585" s="491" t="s">
        <v>9672</v>
      </c>
      <c r="C585" s="491" t="s">
        <v>14</v>
      </c>
      <c r="D585" s="536">
        <v>843000</v>
      </c>
      <c r="E585" s="491" t="s">
        <v>112</v>
      </c>
      <c r="F585" s="537">
        <v>44426</v>
      </c>
      <c r="G585" s="537">
        <v>44439</v>
      </c>
      <c r="H585" s="537">
        <v>44496</v>
      </c>
      <c r="I585" s="1471"/>
      <c r="J585" s="1471"/>
      <c r="K585" s="1471"/>
      <c r="L585" s="573">
        <v>44496</v>
      </c>
      <c r="M585" s="537">
        <v>44522</v>
      </c>
      <c r="N585" s="2503">
        <f t="shared" ref="N585:N586" si="330">F585-A585</f>
        <v>6</v>
      </c>
      <c r="O585" s="2503">
        <f t="shared" ref="O585:O586" si="331">G585-F585</f>
        <v>13</v>
      </c>
      <c r="P585" s="2503">
        <f t="shared" ref="P585:P586" si="332">H585-G585</f>
        <v>57</v>
      </c>
      <c r="Q585" s="2503">
        <f t="shared" ref="Q585:Q586" si="333">M585-H585</f>
        <v>26</v>
      </c>
      <c r="R585" s="2503">
        <f t="shared" ref="R585:R586" si="334">M585-A585</f>
        <v>102</v>
      </c>
    </row>
    <row r="586" spans="1:18">
      <c r="A586" s="537">
        <v>44420</v>
      </c>
      <c r="B586" s="491" t="s">
        <v>9675</v>
      </c>
      <c r="C586" s="491" t="s">
        <v>58</v>
      </c>
      <c r="D586" s="536">
        <v>939600</v>
      </c>
      <c r="E586" s="491" t="s">
        <v>112</v>
      </c>
      <c r="F586" s="537">
        <v>44428</v>
      </c>
      <c r="G586" s="537">
        <v>44445</v>
      </c>
      <c r="H586" s="537">
        <v>44480</v>
      </c>
      <c r="I586" s="1471"/>
      <c r="J586" s="1471"/>
      <c r="K586" s="1471"/>
      <c r="L586" s="573">
        <v>44480</v>
      </c>
      <c r="M586" s="537">
        <v>44494</v>
      </c>
      <c r="N586" s="2503">
        <f t="shared" si="330"/>
        <v>8</v>
      </c>
      <c r="O586" s="2503">
        <f t="shared" si="331"/>
        <v>17</v>
      </c>
      <c r="P586" s="2503">
        <f t="shared" si="332"/>
        <v>35</v>
      </c>
      <c r="Q586" s="2503">
        <f t="shared" si="333"/>
        <v>14</v>
      </c>
      <c r="R586" s="2503">
        <f t="shared" si="334"/>
        <v>74</v>
      </c>
    </row>
    <row r="587" spans="1:18" hidden="1">
      <c r="A587" s="544">
        <v>44424</v>
      </c>
      <c r="B587" s="540" t="s">
        <v>9677</v>
      </c>
      <c r="C587" s="540" t="s">
        <v>52</v>
      </c>
      <c r="D587" s="545">
        <v>137766923.69999999</v>
      </c>
      <c r="E587" s="540" t="s">
        <v>251</v>
      </c>
      <c r="F587" s="544">
        <v>44460</v>
      </c>
      <c r="G587" s="544">
        <v>44496</v>
      </c>
      <c r="H587" s="544">
        <v>44509</v>
      </c>
      <c r="I587" s="1484"/>
      <c r="J587" s="1484"/>
      <c r="K587" s="1484"/>
      <c r="L587" s="1385">
        <v>44509</v>
      </c>
      <c r="M587" s="540"/>
    </row>
    <row r="588" spans="1:18" hidden="1">
      <c r="A588" s="491" t="s">
        <v>3585</v>
      </c>
      <c r="B588" s="491" t="s">
        <v>9683</v>
      </c>
      <c r="C588" s="491" t="s">
        <v>58</v>
      </c>
      <c r="D588" s="536">
        <v>255800</v>
      </c>
      <c r="E588" s="491" t="s">
        <v>112</v>
      </c>
      <c r="F588" s="537">
        <v>44427</v>
      </c>
      <c r="G588" s="537">
        <v>44439</v>
      </c>
      <c r="H588" s="537">
        <v>44449</v>
      </c>
      <c r="I588" s="1471"/>
      <c r="J588" s="1471"/>
      <c r="K588" s="1471"/>
      <c r="L588" s="573">
        <v>44449</v>
      </c>
      <c r="M588" s="537">
        <v>44470</v>
      </c>
    </row>
    <row r="589" spans="1:18" ht="15.75" thickBot="1">
      <c r="A589" s="537">
        <v>44425</v>
      </c>
      <c r="B589" s="491" t="s">
        <v>9685</v>
      </c>
      <c r="C589" s="491" t="s">
        <v>2434</v>
      </c>
      <c r="D589" s="536">
        <v>2653260</v>
      </c>
      <c r="E589" s="491" t="s">
        <v>216</v>
      </c>
      <c r="F589" s="537">
        <v>44433</v>
      </c>
      <c r="G589" s="537">
        <v>44452</v>
      </c>
      <c r="H589" s="537">
        <v>44474</v>
      </c>
      <c r="I589" s="1471"/>
      <c r="J589" s="1471"/>
      <c r="K589" s="1471"/>
      <c r="L589" s="573">
        <v>44474</v>
      </c>
      <c r="M589" s="537">
        <v>44501</v>
      </c>
      <c r="N589" s="2503">
        <f>F589-A589</f>
        <v>8</v>
      </c>
      <c r="O589" s="2503">
        <f>G589-F589</f>
        <v>19</v>
      </c>
      <c r="P589" s="2503">
        <f>H589-G589</f>
        <v>22</v>
      </c>
      <c r="Q589" s="2503">
        <f>M589-H589</f>
        <v>27</v>
      </c>
      <c r="R589" s="2503">
        <f>M589-A589</f>
        <v>76</v>
      </c>
    </row>
    <row r="590" spans="1:18" ht="15.75" hidden="1" thickBot="1">
      <c r="A590" s="464">
        <v>44425</v>
      </c>
      <c r="B590" s="406" t="s">
        <v>9688</v>
      </c>
      <c r="C590" s="406" t="s">
        <v>2434</v>
      </c>
      <c r="D590" s="465">
        <v>55920000</v>
      </c>
      <c r="E590" s="406" t="s">
        <v>251</v>
      </c>
      <c r="F590" s="464">
        <v>44431</v>
      </c>
      <c r="G590" s="464">
        <v>44489</v>
      </c>
      <c r="H590" s="406"/>
      <c r="I590" s="1490"/>
      <c r="J590" s="1490"/>
      <c r="K590" s="1490"/>
      <c r="L590" s="465"/>
      <c r="M590" s="406"/>
    </row>
    <row r="591" spans="1:18" ht="15.75" hidden="1" thickBot="1">
      <c r="A591" s="510">
        <v>44442</v>
      </c>
      <c r="B591" s="506" t="s">
        <v>9784</v>
      </c>
      <c r="C591" s="506" t="s">
        <v>2712</v>
      </c>
      <c r="D591" s="511">
        <v>750000</v>
      </c>
      <c r="E591" s="506" t="s">
        <v>112</v>
      </c>
      <c r="F591" s="510">
        <v>44445</v>
      </c>
      <c r="G591" s="510">
        <v>44449</v>
      </c>
      <c r="H591" s="506"/>
      <c r="I591" s="1470"/>
      <c r="J591" s="1470"/>
      <c r="K591" s="1470"/>
      <c r="L591" s="511"/>
      <c r="M591" s="506"/>
    </row>
    <row r="592" spans="1:18" ht="16.5" hidden="1" thickTop="1" thickBot="1">
      <c r="A592" s="428">
        <v>44427</v>
      </c>
      <c r="B592" s="425" t="s">
        <v>9693</v>
      </c>
      <c r="C592" s="425" t="s">
        <v>58</v>
      </c>
      <c r="D592" s="429">
        <v>1651500</v>
      </c>
      <c r="E592" s="425" t="s">
        <v>251</v>
      </c>
      <c r="F592" s="428">
        <v>44475</v>
      </c>
      <c r="G592" s="428">
        <v>44509</v>
      </c>
      <c r="H592" s="428">
        <v>44546</v>
      </c>
      <c r="I592" s="1483"/>
      <c r="J592" s="1483"/>
      <c r="K592" s="1483"/>
      <c r="L592" s="1384">
        <v>44546</v>
      </c>
      <c r="M592" s="425"/>
    </row>
    <row r="593" spans="1:18" ht="15.75" hidden="1" thickBot="1">
      <c r="A593" s="2153">
        <v>44427</v>
      </c>
      <c r="B593" s="2154" t="s">
        <v>9693</v>
      </c>
      <c r="C593" s="2154" t="s">
        <v>9694</v>
      </c>
      <c r="D593" s="2157">
        <v>2035000</v>
      </c>
      <c r="E593" s="2154" t="s">
        <v>251</v>
      </c>
      <c r="F593" s="2153">
        <v>44475</v>
      </c>
      <c r="G593" s="2153">
        <v>44509</v>
      </c>
      <c r="H593" s="2153">
        <v>44546</v>
      </c>
      <c r="I593" s="2094"/>
      <c r="J593" s="2094"/>
      <c r="K593" s="2094"/>
      <c r="L593" s="2160">
        <v>44546</v>
      </c>
      <c r="M593" s="2154"/>
    </row>
    <row r="594" spans="1:18" ht="15.75" hidden="1" thickBot="1">
      <c r="A594" s="2153">
        <v>44427</v>
      </c>
      <c r="B594" s="2154" t="s">
        <v>9693</v>
      </c>
      <c r="C594" s="2154" t="s">
        <v>9694</v>
      </c>
      <c r="D594" s="2157">
        <v>4194500</v>
      </c>
      <c r="E594" s="2154" t="s">
        <v>251</v>
      </c>
      <c r="F594" s="2153">
        <v>44475</v>
      </c>
      <c r="G594" s="2153">
        <v>44509</v>
      </c>
      <c r="H594" s="2153">
        <v>44546</v>
      </c>
      <c r="I594" s="2094"/>
      <c r="J594" s="2094"/>
      <c r="K594" s="2094"/>
      <c r="L594" s="2160">
        <v>44546</v>
      </c>
      <c r="M594" s="2154"/>
    </row>
    <row r="595" spans="1:18" ht="15.75" hidden="1" thickBot="1">
      <c r="A595" s="2153">
        <v>44427</v>
      </c>
      <c r="B595" s="2154" t="s">
        <v>9693</v>
      </c>
      <c r="C595" s="2154" t="s">
        <v>58</v>
      </c>
      <c r="D595" s="2157">
        <v>125000</v>
      </c>
      <c r="E595" s="2154" t="s">
        <v>251</v>
      </c>
      <c r="F595" s="2153">
        <v>44475</v>
      </c>
      <c r="G595" s="2153">
        <v>44509</v>
      </c>
      <c r="H595" s="2153">
        <v>44546</v>
      </c>
      <c r="I595" s="2094"/>
      <c r="J595" s="2094"/>
      <c r="K595" s="2094"/>
      <c r="L595" s="2160">
        <v>44546</v>
      </c>
      <c r="M595" s="2154"/>
    </row>
    <row r="596" spans="1:18" ht="15.75" hidden="1" thickBot="1">
      <c r="A596" s="2152">
        <v>44427</v>
      </c>
      <c r="B596" s="2297" t="s">
        <v>9693</v>
      </c>
      <c r="C596" s="2297" t="s">
        <v>58</v>
      </c>
      <c r="D596" s="2299">
        <v>1770000</v>
      </c>
      <c r="E596" s="2297" t="s">
        <v>251</v>
      </c>
      <c r="F596" s="2152">
        <v>44475</v>
      </c>
      <c r="G596" s="2152">
        <v>44509</v>
      </c>
      <c r="H596" s="2152">
        <v>44546</v>
      </c>
      <c r="I596" s="2095"/>
      <c r="J596" s="2095"/>
      <c r="K596" s="2095"/>
      <c r="L596" s="2315">
        <v>44546</v>
      </c>
      <c r="M596" s="2297"/>
    </row>
    <row r="597" spans="1:18" ht="15.75" thickTop="1">
      <c r="A597" s="474">
        <v>44427</v>
      </c>
      <c r="B597" s="453" t="s">
        <v>9703</v>
      </c>
      <c r="C597" s="453" t="s">
        <v>9694</v>
      </c>
      <c r="D597" s="457">
        <v>2585185</v>
      </c>
      <c r="E597" s="453" t="s">
        <v>251</v>
      </c>
      <c r="F597" s="474">
        <v>44463</v>
      </c>
      <c r="G597" s="474">
        <v>44496</v>
      </c>
      <c r="H597" s="474">
        <v>44525</v>
      </c>
      <c r="I597" s="1474"/>
      <c r="J597" s="1474"/>
      <c r="K597" s="1474"/>
      <c r="L597" s="570">
        <v>44525</v>
      </c>
      <c r="M597" s="474">
        <v>44557</v>
      </c>
      <c r="N597" s="2503">
        <f t="shared" ref="N597:N598" si="335">F597-A597</f>
        <v>36</v>
      </c>
      <c r="O597" s="2503">
        <f t="shared" ref="O597:O598" si="336">G597-F597</f>
        <v>33</v>
      </c>
      <c r="P597" s="2503">
        <f t="shared" ref="P597:P598" si="337">H597-G597</f>
        <v>29</v>
      </c>
      <c r="Q597" s="2503">
        <f t="shared" ref="Q597:Q598" si="338">M597-H597</f>
        <v>32</v>
      </c>
      <c r="R597" s="2503">
        <f t="shared" ref="R597:R598" si="339">M597-A597</f>
        <v>130</v>
      </c>
    </row>
    <row r="598" spans="1:18" ht="15.75" thickBot="1">
      <c r="A598" s="2117">
        <v>44427</v>
      </c>
      <c r="B598" s="2118" t="s">
        <v>9703</v>
      </c>
      <c r="C598" s="2118" t="s">
        <v>58</v>
      </c>
      <c r="D598" s="2121">
        <v>255000</v>
      </c>
      <c r="E598" s="2118" t="s">
        <v>251</v>
      </c>
      <c r="F598" s="2117">
        <v>44463</v>
      </c>
      <c r="G598" s="2117">
        <v>44496</v>
      </c>
      <c r="H598" s="2117">
        <v>44525</v>
      </c>
      <c r="I598" s="2122"/>
      <c r="J598" s="2122"/>
      <c r="K598" s="2122"/>
      <c r="L598" s="2123">
        <v>44525</v>
      </c>
      <c r="M598" s="2117">
        <v>44557</v>
      </c>
      <c r="N598" s="2503">
        <f t="shared" si="335"/>
        <v>36</v>
      </c>
      <c r="O598" s="2503">
        <f t="shared" si="336"/>
        <v>33</v>
      </c>
      <c r="P598" s="2503">
        <f t="shared" si="337"/>
        <v>29</v>
      </c>
      <c r="Q598" s="2503">
        <f t="shared" si="338"/>
        <v>32</v>
      </c>
      <c r="R598" s="2503">
        <f t="shared" si="339"/>
        <v>130</v>
      </c>
    </row>
    <row r="599" spans="1:18" ht="15.75" hidden="1" thickTop="1">
      <c r="A599" s="428">
        <v>44425</v>
      </c>
      <c r="B599" s="425" t="s">
        <v>9727</v>
      </c>
      <c r="C599" s="425" t="s">
        <v>1032</v>
      </c>
      <c r="D599" s="429">
        <v>4600000</v>
      </c>
      <c r="E599" s="425" t="s">
        <v>251</v>
      </c>
      <c r="F599" s="428">
        <v>44445</v>
      </c>
      <c r="G599" s="428">
        <v>44480</v>
      </c>
      <c r="H599" s="428">
        <v>44524</v>
      </c>
      <c r="I599" s="1483"/>
      <c r="J599" s="1483"/>
      <c r="K599" s="1483"/>
      <c r="L599" s="1384">
        <v>44524</v>
      </c>
      <c r="M599" s="425"/>
    </row>
    <row r="600" spans="1:18" ht="16.5" hidden="1" thickTop="1" thickBot="1">
      <c r="A600" s="2152">
        <v>44425</v>
      </c>
      <c r="B600" s="2297" t="s">
        <v>9727</v>
      </c>
      <c r="C600" s="2297" t="s">
        <v>1032</v>
      </c>
      <c r="D600" s="2299">
        <v>1600000</v>
      </c>
      <c r="E600" s="2297" t="s">
        <v>251</v>
      </c>
      <c r="F600" s="2152">
        <v>44445</v>
      </c>
      <c r="G600" s="2152">
        <v>44480</v>
      </c>
      <c r="H600" s="2152">
        <v>44524</v>
      </c>
      <c r="I600" s="2095"/>
      <c r="J600" s="2095"/>
      <c r="K600" s="2095"/>
      <c r="L600" s="2315">
        <v>44524</v>
      </c>
      <c r="M600" s="2297"/>
    </row>
    <row r="601" spans="1:18" ht="15.75" hidden="1" thickTop="1">
      <c r="A601" s="840">
        <v>44425</v>
      </c>
      <c r="B601" s="423" t="s">
        <v>9731</v>
      </c>
      <c r="C601" s="423" t="s">
        <v>2434</v>
      </c>
      <c r="D601" s="841">
        <v>8723460</v>
      </c>
      <c r="E601" s="423" t="s">
        <v>251</v>
      </c>
      <c r="F601" s="840">
        <v>44462</v>
      </c>
      <c r="G601" s="840">
        <v>44495</v>
      </c>
      <c r="H601" s="840">
        <v>44539</v>
      </c>
      <c r="I601" s="1489"/>
      <c r="J601" s="1489"/>
      <c r="K601" s="1489"/>
      <c r="L601" s="1392">
        <v>44539</v>
      </c>
      <c r="M601" s="423"/>
    </row>
    <row r="602" spans="1:18" ht="15.75" hidden="1" thickTop="1">
      <c r="A602" s="510">
        <v>44439</v>
      </c>
      <c r="B602" s="506" t="s">
        <v>9743</v>
      </c>
      <c r="C602" s="506" t="s">
        <v>69</v>
      </c>
      <c r="D602" s="511">
        <v>1888200</v>
      </c>
      <c r="E602" s="506" t="s">
        <v>112</v>
      </c>
      <c r="F602" s="510">
        <v>44440</v>
      </c>
      <c r="G602" s="510">
        <v>44446</v>
      </c>
      <c r="H602" s="506"/>
      <c r="I602" s="1484"/>
      <c r="J602" s="1484"/>
      <c r="K602" s="1484"/>
      <c r="L602" s="511"/>
      <c r="M602" s="506"/>
    </row>
    <row r="603" spans="1:18" s="390" customFormat="1" ht="15.75" hidden="1" thickTop="1">
      <c r="A603" s="2349">
        <v>44425</v>
      </c>
      <c r="B603" s="2350" t="s">
        <v>9748</v>
      </c>
      <c r="C603" s="2350" t="s">
        <v>4997</v>
      </c>
      <c r="D603" s="2353">
        <v>3000000</v>
      </c>
      <c r="E603" s="2350" t="s">
        <v>112</v>
      </c>
      <c r="F603" s="2349"/>
      <c r="G603" s="2349"/>
      <c r="H603" s="2350"/>
      <c r="I603" s="2355"/>
      <c r="J603" s="2355"/>
      <c r="K603" s="2355"/>
      <c r="L603" s="2353"/>
      <c r="M603" s="2350"/>
      <c r="N603" s="2504"/>
      <c r="O603" s="2504"/>
      <c r="P603" s="2504"/>
      <c r="Q603" s="2504"/>
      <c r="R603" s="2504"/>
    </row>
    <row r="604" spans="1:18" s="390" customFormat="1" ht="15.75" hidden="1" thickTop="1">
      <c r="A604" s="2140" t="s">
        <v>3585</v>
      </c>
      <c r="B604" s="2141" t="s">
        <v>9750</v>
      </c>
      <c r="C604" s="2141" t="s">
        <v>2111</v>
      </c>
      <c r="D604" s="2144">
        <v>1998000</v>
      </c>
      <c r="E604" s="2141" t="s">
        <v>112</v>
      </c>
      <c r="F604" s="2140">
        <v>44442</v>
      </c>
      <c r="G604" s="2140">
        <v>44452</v>
      </c>
      <c r="H604" s="2140">
        <v>44462</v>
      </c>
      <c r="I604" s="2145"/>
      <c r="J604" s="2145"/>
      <c r="K604" s="2145"/>
      <c r="L604" s="2146">
        <v>44462</v>
      </c>
      <c r="M604" s="2140">
        <v>44475</v>
      </c>
      <c r="N604" s="2504"/>
      <c r="O604" s="2504"/>
      <c r="P604" s="2504"/>
      <c r="Q604" s="2504"/>
      <c r="R604" s="2504"/>
    </row>
    <row r="605" spans="1:18" s="390" customFormat="1" ht="15.75" hidden="1" thickTop="1">
      <c r="A605" s="2124" t="s">
        <v>3585</v>
      </c>
      <c r="B605" s="2125" t="s">
        <v>9753</v>
      </c>
      <c r="C605" s="2125" t="s">
        <v>4997</v>
      </c>
      <c r="D605" s="2128">
        <v>2200000</v>
      </c>
      <c r="E605" s="2125" t="s">
        <v>112</v>
      </c>
      <c r="F605" s="2124">
        <v>44446</v>
      </c>
      <c r="G605" s="2124">
        <v>44455</v>
      </c>
      <c r="H605" s="2125"/>
      <c r="I605" s="2129"/>
      <c r="J605" s="2129"/>
      <c r="K605" s="2129"/>
      <c r="L605" s="2128"/>
      <c r="M605" s="2125"/>
      <c r="N605" s="2504"/>
      <c r="O605" s="2504"/>
      <c r="P605" s="2504"/>
      <c r="Q605" s="2504"/>
      <c r="R605" s="2504"/>
    </row>
    <row r="606" spans="1:18" s="390" customFormat="1" ht="15.75" hidden="1" thickTop="1">
      <c r="A606" s="2140" t="s">
        <v>3585</v>
      </c>
      <c r="B606" s="2141" t="s">
        <v>9756</v>
      </c>
      <c r="C606" s="2141" t="s">
        <v>58</v>
      </c>
      <c r="D606" s="2144">
        <v>133000</v>
      </c>
      <c r="E606" s="2141" t="s">
        <v>112</v>
      </c>
      <c r="F606" s="2140">
        <v>44442</v>
      </c>
      <c r="G606" s="2140">
        <v>44455</v>
      </c>
      <c r="H606" s="2140">
        <v>44470</v>
      </c>
      <c r="I606" s="2145"/>
      <c r="J606" s="2145"/>
      <c r="K606" s="2145"/>
      <c r="L606" s="2146">
        <v>44470</v>
      </c>
      <c r="M606" s="2140">
        <v>44501</v>
      </c>
      <c r="N606" s="2504"/>
      <c r="O606" s="2504"/>
      <c r="P606" s="2504"/>
      <c r="Q606" s="2504"/>
      <c r="R606" s="2504"/>
    </row>
    <row r="607" spans="1:18" ht="15.75" thickTop="1">
      <c r="A607" s="537">
        <v>44433</v>
      </c>
      <c r="B607" s="491" t="s">
        <v>9746</v>
      </c>
      <c r="C607" s="491" t="s">
        <v>58</v>
      </c>
      <c r="D607" s="536">
        <v>119885</v>
      </c>
      <c r="E607" s="491" t="s">
        <v>112</v>
      </c>
      <c r="F607" s="537">
        <v>44442</v>
      </c>
      <c r="G607" s="537">
        <v>44455</v>
      </c>
      <c r="H607" s="537">
        <v>44470</v>
      </c>
      <c r="I607" s="1471"/>
      <c r="J607" s="1471"/>
      <c r="K607" s="1471"/>
      <c r="L607" s="573">
        <v>44474</v>
      </c>
      <c r="M607" s="537">
        <v>44505</v>
      </c>
      <c r="N607" s="2503">
        <f t="shared" ref="N607:N608" si="340">F607-A607</f>
        <v>9</v>
      </c>
      <c r="O607" s="2503">
        <f t="shared" ref="O607:O608" si="341">G607-F607</f>
        <v>13</v>
      </c>
      <c r="P607" s="2503">
        <f t="shared" ref="P607:P608" si="342">H607-G607</f>
        <v>15</v>
      </c>
      <c r="Q607" s="2503">
        <f t="shared" ref="Q607:Q608" si="343">M607-H607</f>
        <v>35</v>
      </c>
      <c r="R607" s="2503">
        <f t="shared" ref="R607:R608" si="344">M607-A607</f>
        <v>72</v>
      </c>
    </row>
    <row r="608" spans="1:18">
      <c r="A608" s="537">
        <v>44439</v>
      </c>
      <c r="B608" s="491" t="s">
        <v>9761</v>
      </c>
      <c r="C608" s="491" t="s">
        <v>2434</v>
      </c>
      <c r="D608" s="536">
        <v>2096620</v>
      </c>
      <c r="E608" s="491" t="s">
        <v>216</v>
      </c>
      <c r="F608" s="537">
        <v>44445</v>
      </c>
      <c r="G608" s="537">
        <v>44461</v>
      </c>
      <c r="H608" s="537">
        <v>44470</v>
      </c>
      <c r="I608" s="1471"/>
      <c r="J608" s="1471"/>
      <c r="K608" s="1471"/>
      <c r="L608" s="573">
        <v>44470</v>
      </c>
      <c r="M608" s="537">
        <v>44494</v>
      </c>
      <c r="N608" s="2503">
        <f t="shared" si="340"/>
        <v>6</v>
      </c>
      <c r="O608" s="2503">
        <f t="shared" si="341"/>
        <v>16</v>
      </c>
      <c r="P608" s="2503">
        <f t="shared" si="342"/>
        <v>9</v>
      </c>
      <c r="Q608" s="2503">
        <f t="shared" si="343"/>
        <v>24</v>
      </c>
      <c r="R608" s="2503">
        <f t="shared" si="344"/>
        <v>55</v>
      </c>
    </row>
    <row r="609" spans="1:18" hidden="1">
      <c r="A609" s="491" t="s">
        <v>3585</v>
      </c>
      <c r="B609" s="491" t="s">
        <v>9764</v>
      </c>
      <c r="C609" s="491" t="s">
        <v>2434</v>
      </c>
      <c r="D609" s="536">
        <v>2100000</v>
      </c>
      <c r="E609" s="491" t="s">
        <v>216</v>
      </c>
      <c r="F609" s="537">
        <v>44453</v>
      </c>
      <c r="G609" s="537">
        <v>44494</v>
      </c>
      <c r="H609" s="537">
        <v>44504</v>
      </c>
      <c r="I609" s="1471"/>
      <c r="J609" s="1471"/>
      <c r="K609" s="1471"/>
      <c r="L609" s="573">
        <v>44504</v>
      </c>
      <c r="M609" s="537">
        <v>44537</v>
      </c>
    </row>
    <row r="610" spans="1:18">
      <c r="A610" s="537">
        <v>44433</v>
      </c>
      <c r="B610" s="491" t="s">
        <v>9771</v>
      </c>
      <c r="C610" s="491" t="s">
        <v>58</v>
      </c>
      <c r="D610" s="536">
        <v>524800</v>
      </c>
      <c r="E610" s="491" t="s">
        <v>112</v>
      </c>
      <c r="F610" s="537">
        <v>44445</v>
      </c>
      <c r="G610" s="537">
        <v>44455</v>
      </c>
      <c r="H610" s="537">
        <v>44470</v>
      </c>
      <c r="I610" s="1471"/>
      <c r="J610" s="1471"/>
      <c r="K610" s="1471"/>
      <c r="L610" s="573">
        <v>44470</v>
      </c>
      <c r="M610" s="537">
        <v>44512</v>
      </c>
      <c r="N610" s="2503">
        <f>F610-A610</f>
        <v>12</v>
      </c>
      <c r="O610" s="2503">
        <f>G610-F610</f>
        <v>10</v>
      </c>
      <c r="P610" s="2503">
        <f>H610-G610</f>
        <v>15</v>
      </c>
      <c r="Q610" s="2503">
        <f>M610-H610</f>
        <v>42</v>
      </c>
      <c r="R610" s="2503">
        <f>M610-A610</f>
        <v>79</v>
      </c>
    </row>
    <row r="611" spans="1:18" hidden="1">
      <c r="A611" s="491" t="s">
        <v>3585</v>
      </c>
      <c r="B611" s="491" t="s">
        <v>9774</v>
      </c>
      <c r="C611" s="491" t="s">
        <v>58</v>
      </c>
      <c r="D611" s="536">
        <v>6420000</v>
      </c>
      <c r="E611" s="491" t="s">
        <v>251</v>
      </c>
      <c r="F611" s="537">
        <v>44442</v>
      </c>
      <c r="G611" s="537">
        <v>44474</v>
      </c>
      <c r="H611" s="537">
        <v>44483</v>
      </c>
      <c r="I611" s="1471"/>
      <c r="J611" s="1471"/>
      <c r="K611" s="1471"/>
      <c r="L611" s="573">
        <v>44483</v>
      </c>
      <c r="M611" s="537">
        <v>44516</v>
      </c>
    </row>
    <row r="612" spans="1:18">
      <c r="A612" s="537">
        <v>44433</v>
      </c>
      <c r="B612" s="491" t="s">
        <v>9777</v>
      </c>
      <c r="C612" s="491" t="s">
        <v>4997</v>
      </c>
      <c r="D612" s="536">
        <v>26000000</v>
      </c>
      <c r="E612" s="491" t="s">
        <v>216</v>
      </c>
      <c r="F612" s="537">
        <v>44461</v>
      </c>
      <c r="G612" s="537">
        <v>44482</v>
      </c>
      <c r="H612" s="537">
        <v>44503</v>
      </c>
      <c r="I612" s="1471"/>
      <c r="J612" s="1471"/>
      <c r="K612" s="1471"/>
      <c r="L612" s="573">
        <v>44503</v>
      </c>
      <c r="M612" s="537">
        <v>44533</v>
      </c>
      <c r="N612" s="2503">
        <f t="shared" ref="N612:N613" si="345">F612-A612</f>
        <v>28</v>
      </c>
      <c r="O612" s="2503">
        <f t="shared" ref="O612:O613" si="346">G612-F612</f>
        <v>21</v>
      </c>
      <c r="P612" s="2503">
        <f t="shared" ref="P612:P613" si="347">H612-G612</f>
        <v>21</v>
      </c>
      <c r="Q612" s="2503">
        <f t="shared" ref="Q612:Q613" si="348">M612-H612</f>
        <v>30</v>
      </c>
      <c r="R612" s="2503">
        <f t="shared" ref="R612:R613" si="349">M612-A612</f>
        <v>100</v>
      </c>
    </row>
    <row r="613" spans="1:18">
      <c r="A613" s="537">
        <v>44435</v>
      </c>
      <c r="B613" s="491" t="s">
        <v>9785</v>
      </c>
      <c r="C613" s="491" t="s">
        <v>2111</v>
      </c>
      <c r="D613" s="536">
        <v>2477400</v>
      </c>
      <c r="E613" s="491" t="s">
        <v>216</v>
      </c>
      <c r="F613" s="537">
        <v>44447</v>
      </c>
      <c r="G613" s="537">
        <v>44469</v>
      </c>
      <c r="H613" s="537">
        <v>44487</v>
      </c>
      <c r="I613" s="1471"/>
      <c r="J613" s="1471"/>
      <c r="K613" s="1471"/>
      <c r="L613" s="573">
        <v>44487</v>
      </c>
      <c r="M613" s="537">
        <v>44511</v>
      </c>
      <c r="N613" s="2503">
        <f t="shared" si="345"/>
        <v>12</v>
      </c>
      <c r="O613" s="2503">
        <f t="shared" si="346"/>
        <v>22</v>
      </c>
      <c r="P613" s="2503">
        <f t="shared" si="347"/>
        <v>18</v>
      </c>
      <c r="Q613" s="2503">
        <f t="shared" si="348"/>
        <v>24</v>
      </c>
      <c r="R613" s="2503">
        <f t="shared" si="349"/>
        <v>76</v>
      </c>
    </row>
    <row r="614" spans="1:18" hidden="1">
      <c r="A614" s="510">
        <v>44425</v>
      </c>
      <c r="B614" s="506" t="s">
        <v>9787</v>
      </c>
      <c r="C614" s="506" t="s">
        <v>289</v>
      </c>
      <c r="D614" s="511">
        <v>150000</v>
      </c>
      <c r="E614" s="506" t="s">
        <v>112</v>
      </c>
      <c r="F614" s="510">
        <v>44447</v>
      </c>
      <c r="G614" s="510">
        <v>44456</v>
      </c>
      <c r="H614" s="506"/>
      <c r="I614" s="1484"/>
      <c r="J614" s="1484"/>
      <c r="K614" s="1484"/>
      <c r="L614" s="511"/>
      <c r="M614" s="506"/>
    </row>
    <row r="615" spans="1:18" hidden="1">
      <c r="A615" s="510">
        <v>44435</v>
      </c>
      <c r="B615" s="506" t="s">
        <v>9791</v>
      </c>
      <c r="C615" s="506" t="s">
        <v>4997</v>
      </c>
      <c r="D615" s="511">
        <v>450000</v>
      </c>
      <c r="E615" s="506" t="s">
        <v>112</v>
      </c>
      <c r="F615" s="510">
        <v>44446</v>
      </c>
      <c r="G615" s="510">
        <v>44455</v>
      </c>
      <c r="H615" s="506"/>
      <c r="I615" s="1470"/>
      <c r="J615" s="1470"/>
      <c r="K615" s="1470"/>
      <c r="L615" s="511"/>
      <c r="M615" s="506"/>
    </row>
    <row r="616" spans="1:18">
      <c r="A616" s="537">
        <v>44428</v>
      </c>
      <c r="B616" s="491" t="s">
        <v>9802</v>
      </c>
      <c r="C616" s="491" t="s">
        <v>289</v>
      </c>
      <c r="D616" s="536">
        <v>495000</v>
      </c>
      <c r="E616" s="491" t="s">
        <v>112</v>
      </c>
      <c r="F616" s="537">
        <v>44461</v>
      </c>
      <c r="G616" s="537">
        <v>44477</v>
      </c>
      <c r="H616" s="537">
        <v>44483</v>
      </c>
      <c r="I616" s="1471"/>
      <c r="J616" s="1471"/>
      <c r="K616" s="1471"/>
      <c r="L616" s="573">
        <v>44484</v>
      </c>
      <c r="M616" s="537">
        <v>44511</v>
      </c>
      <c r="N616" s="2503">
        <f>F616-A616</f>
        <v>33</v>
      </c>
      <c r="O616" s="2503">
        <f>G616-F616</f>
        <v>16</v>
      </c>
      <c r="P616" s="2503">
        <f>H616-G616</f>
        <v>6</v>
      </c>
      <c r="Q616" s="2503">
        <f>M616-H616</f>
        <v>28</v>
      </c>
      <c r="R616" s="2503">
        <f>M616-A616</f>
        <v>83</v>
      </c>
    </row>
    <row r="617" spans="1:18" hidden="1">
      <c r="A617" s="510">
        <v>44440</v>
      </c>
      <c r="B617" s="506" t="s">
        <v>9806</v>
      </c>
      <c r="C617" s="506" t="s">
        <v>58</v>
      </c>
      <c r="D617" s="511">
        <v>360000</v>
      </c>
      <c r="E617" s="506" t="s">
        <v>112</v>
      </c>
      <c r="F617" s="510">
        <v>44483</v>
      </c>
      <c r="G617" s="510">
        <v>44496</v>
      </c>
      <c r="H617" s="506"/>
      <c r="I617" s="1484"/>
      <c r="J617" s="1484"/>
      <c r="K617" s="1484"/>
      <c r="L617" s="511"/>
      <c r="M617" s="506"/>
    </row>
    <row r="618" spans="1:18">
      <c r="A618" s="537">
        <v>44445</v>
      </c>
      <c r="B618" s="491" t="s">
        <v>9812</v>
      </c>
      <c r="C618" s="491" t="s">
        <v>58</v>
      </c>
      <c r="D618" s="536">
        <v>4847000</v>
      </c>
      <c r="E618" s="491" t="s">
        <v>251</v>
      </c>
      <c r="F618" s="537">
        <v>44452</v>
      </c>
      <c r="G618" s="537">
        <v>44484</v>
      </c>
      <c r="H618" s="537">
        <v>44511</v>
      </c>
      <c r="I618" s="1471"/>
      <c r="J618" s="1471"/>
      <c r="K618" s="1471"/>
      <c r="L618" s="573">
        <v>44511</v>
      </c>
      <c r="M618" s="537">
        <v>44557</v>
      </c>
      <c r="N618" s="2503">
        <f t="shared" ref="N618:N619" si="350">F618-A618</f>
        <v>7</v>
      </c>
      <c r="O618" s="2503">
        <f t="shared" ref="O618:O619" si="351">G618-F618</f>
        <v>32</v>
      </c>
      <c r="P618" s="2503">
        <f t="shared" ref="P618:P619" si="352">H618-G618</f>
        <v>27</v>
      </c>
      <c r="Q618" s="2503">
        <f t="shared" ref="Q618:Q619" si="353">M618-H618</f>
        <v>46</v>
      </c>
      <c r="R618" s="2503">
        <f t="shared" ref="R618:R619" si="354">M618-A618</f>
        <v>112</v>
      </c>
    </row>
    <row r="619" spans="1:18" ht="15.75" thickBot="1">
      <c r="A619" s="537">
        <v>44445</v>
      </c>
      <c r="B619" s="491" t="s">
        <v>9812</v>
      </c>
      <c r="C619" s="491" t="s">
        <v>58</v>
      </c>
      <c r="D619" s="417">
        <v>878000</v>
      </c>
      <c r="E619" s="411" t="s">
        <v>251</v>
      </c>
      <c r="F619" s="416">
        <v>44452</v>
      </c>
      <c r="G619" s="416">
        <v>44484</v>
      </c>
      <c r="H619" s="416">
        <v>44511</v>
      </c>
      <c r="I619" s="1480"/>
      <c r="J619" s="1480"/>
      <c r="K619" s="1480"/>
      <c r="L619" s="513">
        <v>44511</v>
      </c>
      <c r="M619" s="416">
        <v>44557</v>
      </c>
      <c r="N619" s="2503">
        <f t="shared" si="350"/>
        <v>7</v>
      </c>
      <c r="O619" s="2503">
        <f t="shared" si="351"/>
        <v>32</v>
      </c>
      <c r="P619" s="2503">
        <f t="shared" si="352"/>
        <v>27</v>
      </c>
      <c r="Q619" s="2503">
        <f t="shared" si="353"/>
        <v>46</v>
      </c>
      <c r="R619" s="2503">
        <f t="shared" si="354"/>
        <v>112</v>
      </c>
    </row>
    <row r="620" spans="1:18" ht="15.75" hidden="1" thickBot="1">
      <c r="A620" s="464">
        <v>44439</v>
      </c>
      <c r="B620" s="406" t="s">
        <v>9815</v>
      </c>
      <c r="C620" s="406" t="s">
        <v>69</v>
      </c>
      <c r="D620" s="465">
        <v>6988880</v>
      </c>
      <c r="E620" s="406" t="s">
        <v>251</v>
      </c>
      <c r="F620" s="464">
        <v>44488</v>
      </c>
      <c r="G620" s="464">
        <v>44546</v>
      </c>
      <c r="H620" s="406"/>
      <c r="I620" s="1490"/>
      <c r="J620" s="1490"/>
      <c r="K620" s="1490"/>
      <c r="L620" s="465"/>
      <c r="M620" s="406"/>
    </row>
    <row r="621" spans="1:18" ht="15.75" thickTop="1">
      <c r="A621" s="474">
        <v>44439</v>
      </c>
      <c r="B621" s="453" t="s">
        <v>9818</v>
      </c>
      <c r="C621" s="453" t="s">
        <v>58</v>
      </c>
      <c r="D621" s="457">
        <v>1675000</v>
      </c>
      <c r="E621" s="453" t="s">
        <v>216</v>
      </c>
      <c r="F621" s="474">
        <v>44462</v>
      </c>
      <c r="G621" s="474">
        <v>44483</v>
      </c>
      <c r="H621" s="474">
        <v>44508</v>
      </c>
      <c r="I621" s="1474"/>
      <c r="J621" s="1474"/>
      <c r="K621" s="1474"/>
      <c r="L621" s="570">
        <v>44509</v>
      </c>
      <c r="M621" s="474">
        <v>44538</v>
      </c>
      <c r="N621" s="2503">
        <f t="shared" ref="N621:N622" si="355">F621-A621</f>
        <v>23</v>
      </c>
      <c r="O621" s="2503">
        <f t="shared" ref="O621:O622" si="356">G621-F621</f>
        <v>21</v>
      </c>
      <c r="P621" s="2503">
        <f t="shared" ref="P621:P622" si="357">H621-G621</f>
        <v>25</v>
      </c>
      <c r="Q621" s="2503">
        <f t="shared" ref="Q621:Q622" si="358">M621-H621</f>
        <v>30</v>
      </c>
      <c r="R621" s="2503">
        <f t="shared" ref="R621:R622" si="359">M621-A621</f>
        <v>99</v>
      </c>
    </row>
    <row r="622" spans="1:18">
      <c r="A622" s="2140">
        <v>44439</v>
      </c>
      <c r="B622" s="2141" t="s">
        <v>9818</v>
      </c>
      <c r="C622" s="2141" t="s">
        <v>58</v>
      </c>
      <c r="D622" s="2144">
        <v>383500</v>
      </c>
      <c r="E622" s="2141" t="s">
        <v>216</v>
      </c>
      <c r="F622" s="2140">
        <v>44462</v>
      </c>
      <c r="G622" s="2140">
        <v>44483</v>
      </c>
      <c r="H622" s="2140">
        <v>44508</v>
      </c>
      <c r="I622" s="2145"/>
      <c r="J622" s="2145"/>
      <c r="K622" s="2145"/>
      <c r="L622" s="2146">
        <v>44509</v>
      </c>
      <c r="M622" s="2140">
        <v>44537</v>
      </c>
      <c r="N622" s="2503">
        <f t="shared" si="355"/>
        <v>23</v>
      </c>
      <c r="O622" s="2503">
        <f t="shared" si="356"/>
        <v>21</v>
      </c>
      <c r="P622" s="2503">
        <f t="shared" si="357"/>
        <v>25</v>
      </c>
      <c r="Q622" s="2503">
        <f t="shared" si="358"/>
        <v>29</v>
      </c>
      <c r="R622" s="2503">
        <f t="shared" si="359"/>
        <v>98</v>
      </c>
    </row>
    <row r="623" spans="1:18" hidden="1">
      <c r="A623" s="1877">
        <v>44439</v>
      </c>
      <c r="B623" s="1878" t="s">
        <v>9824</v>
      </c>
      <c r="C623" s="1878" t="s">
        <v>58</v>
      </c>
      <c r="D623" s="1880">
        <v>6363636</v>
      </c>
      <c r="E623" s="1878" t="s">
        <v>251</v>
      </c>
      <c r="F623" s="1877">
        <v>44475</v>
      </c>
      <c r="G623" s="1877">
        <v>44508</v>
      </c>
      <c r="H623" s="1878"/>
      <c r="I623" s="1537"/>
      <c r="J623" s="1537"/>
      <c r="K623" s="1537"/>
      <c r="L623" s="1880"/>
      <c r="M623" s="1878"/>
    </row>
    <row r="624" spans="1:18" ht="15.75" hidden="1" thickTop="1">
      <c r="A624" s="2044">
        <v>44441</v>
      </c>
      <c r="B624" s="2045" t="s">
        <v>9826</v>
      </c>
      <c r="C624" s="2045" t="s">
        <v>9694</v>
      </c>
      <c r="D624" s="2047">
        <v>4639115</v>
      </c>
      <c r="E624" s="2045" t="s">
        <v>251</v>
      </c>
      <c r="F624" s="2045"/>
      <c r="G624" s="2045"/>
      <c r="H624" s="2045"/>
      <c r="I624" s="2048"/>
      <c r="J624" s="2048"/>
      <c r="K624" s="2048"/>
      <c r="L624" s="2047"/>
      <c r="M624" s="2045"/>
    </row>
    <row r="625" spans="1:18" hidden="1">
      <c r="A625" s="2388">
        <v>44441</v>
      </c>
      <c r="B625" s="2079" t="s">
        <v>9826</v>
      </c>
      <c r="C625" s="2079" t="s">
        <v>58</v>
      </c>
      <c r="D625" s="2387">
        <v>1230000</v>
      </c>
      <c r="E625" s="2079" t="s">
        <v>251</v>
      </c>
      <c r="F625" s="2079"/>
      <c r="G625" s="2079"/>
      <c r="H625" s="2079"/>
      <c r="I625" s="2080"/>
      <c r="J625" s="2080"/>
      <c r="K625" s="2080"/>
      <c r="L625" s="2387"/>
      <c r="M625" s="2079"/>
    </row>
    <row r="626" spans="1:18" ht="15.75" hidden="1" thickBot="1">
      <c r="A626" s="2392">
        <v>44441</v>
      </c>
      <c r="B626" s="2081" t="s">
        <v>9826</v>
      </c>
      <c r="C626" s="2081" t="s">
        <v>9694</v>
      </c>
      <c r="D626" s="2395">
        <v>882167</v>
      </c>
      <c r="E626" s="2081" t="s">
        <v>251</v>
      </c>
      <c r="F626" s="2081"/>
      <c r="G626" s="2081"/>
      <c r="H626" s="2081"/>
      <c r="I626" s="2082"/>
      <c r="J626" s="2082"/>
      <c r="K626" s="2082"/>
      <c r="L626" s="2395"/>
      <c r="M626" s="2081"/>
    </row>
    <row r="627" spans="1:18">
      <c r="A627" s="365">
        <v>44447</v>
      </c>
      <c r="B627" s="2497" t="s">
        <v>9836</v>
      </c>
      <c r="C627" s="2497" t="s">
        <v>69</v>
      </c>
      <c r="D627" s="364">
        <v>336824673</v>
      </c>
      <c r="E627" s="2497" t="s">
        <v>251</v>
      </c>
      <c r="F627" s="365">
        <v>44456</v>
      </c>
      <c r="G627" s="365">
        <v>44489</v>
      </c>
      <c r="H627" s="365">
        <v>44516</v>
      </c>
      <c r="I627" s="1473"/>
      <c r="J627" s="1473"/>
      <c r="K627" s="1473"/>
      <c r="L627" s="681">
        <v>44516</v>
      </c>
      <c r="M627" s="365">
        <v>44537</v>
      </c>
      <c r="N627" s="2503">
        <f t="shared" ref="N627:N628" si="360">F627-A627</f>
        <v>9</v>
      </c>
      <c r="O627" s="2503">
        <f t="shared" ref="O627:O628" si="361">G627-F627</f>
        <v>33</v>
      </c>
      <c r="P627" s="2503">
        <f t="shared" ref="P627:P628" si="362">H627-G627</f>
        <v>27</v>
      </c>
      <c r="Q627" s="2503">
        <f t="shared" ref="Q627:Q628" si="363">M627-H627</f>
        <v>21</v>
      </c>
      <c r="R627" s="2503">
        <f t="shared" ref="R627:R628" si="364">M627-A627</f>
        <v>90</v>
      </c>
    </row>
    <row r="628" spans="1:18">
      <c r="A628" s="416">
        <v>44447</v>
      </c>
      <c r="B628" s="411" t="s">
        <v>9843</v>
      </c>
      <c r="C628" s="411" t="s">
        <v>69</v>
      </c>
      <c r="D628" s="417">
        <v>13230342</v>
      </c>
      <c r="E628" s="411" t="s">
        <v>251</v>
      </c>
      <c r="F628" s="416">
        <v>44456</v>
      </c>
      <c r="G628" s="416">
        <v>44490</v>
      </c>
      <c r="H628" s="416">
        <v>44530</v>
      </c>
      <c r="I628" s="1471"/>
      <c r="J628" s="1471"/>
      <c r="K628" s="1471"/>
      <c r="L628" s="513">
        <v>44530</v>
      </c>
      <c r="M628" s="416">
        <v>44551</v>
      </c>
      <c r="N628" s="2503">
        <f t="shared" si="360"/>
        <v>9</v>
      </c>
      <c r="O628" s="2503">
        <f t="shared" si="361"/>
        <v>34</v>
      </c>
      <c r="P628" s="2503">
        <f t="shared" si="362"/>
        <v>40</v>
      </c>
      <c r="Q628" s="2503">
        <f t="shared" si="363"/>
        <v>21</v>
      </c>
      <c r="R628" s="2503">
        <f t="shared" si="364"/>
        <v>104</v>
      </c>
    </row>
    <row r="629" spans="1:18" ht="15.75" hidden="1" thickTop="1">
      <c r="A629" s="439" t="s">
        <v>3585</v>
      </c>
      <c r="B629" s="439" t="s">
        <v>9849</v>
      </c>
      <c r="C629" s="439" t="s">
        <v>2434</v>
      </c>
      <c r="D629" s="444">
        <v>48999.5</v>
      </c>
      <c r="E629" s="439" t="s">
        <v>251</v>
      </c>
      <c r="F629" s="443">
        <v>44463</v>
      </c>
      <c r="G629" s="443">
        <v>44496</v>
      </c>
      <c r="H629" s="439"/>
      <c r="I629" s="1470"/>
      <c r="J629" s="1470"/>
      <c r="K629" s="1470"/>
      <c r="L629" s="444"/>
      <c r="M629" s="439"/>
    </row>
    <row r="630" spans="1:18" hidden="1">
      <c r="A630" s="2141" t="s">
        <v>3585</v>
      </c>
      <c r="B630" s="2141" t="s">
        <v>9849</v>
      </c>
      <c r="C630" s="2141" t="s">
        <v>2434</v>
      </c>
      <c r="D630" s="2144">
        <v>3036180</v>
      </c>
      <c r="E630" s="2141" t="s">
        <v>251</v>
      </c>
      <c r="F630" s="2140">
        <v>44463</v>
      </c>
      <c r="G630" s="2140">
        <v>44496</v>
      </c>
      <c r="H630" s="2140">
        <v>44509</v>
      </c>
      <c r="I630" s="1471"/>
      <c r="J630" s="1471"/>
      <c r="K630" s="1471"/>
      <c r="L630" s="2146">
        <v>44509</v>
      </c>
      <c r="M630" s="2140">
        <v>44529</v>
      </c>
    </row>
    <row r="631" spans="1:18" hidden="1">
      <c r="A631" s="2141" t="s">
        <v>3585</v>
      </c>
      <c r="B631" s="2141" t="s">
        <v>9849</v>
      </c>
      <c r="C631" s="2141" t="s">
        <v>2434</v>
      </c>
      <c r="D631" s="2144">
        <v>829400</v>
      </c>
      <c r="E631" s="2141" t="s">
        <v>251</v>
      </c>
      <c r="F631" s="2140">
        <v>44463</v>
      </c>
      <c r="G631" s="2140">
        <v>44496</v>
      </c>
      <c r="H631" s="2140">
        <v>44509</v>
      </c>
      <c r="I631" s="1471"/>
      <c r="J631" s="1471"/>
      <c r="K631" s="1471"/>
      <c r="L631" s="2146">
        <v>44509</v>
      </c>
      <c r="M631" s="2140">
        <v>44529</v>
      </c>
    </row>
    <row r="632" spans="1:18" hidden="1">
      <c r="A632" s="411" t="s">
        <v>3585</v>
      </c>
      <c r="B632" s="411" t="s">
        <v>9849</v>
      </c>
      <c r="C632" s="411" t="s">
        <v>2434</v>
      </c>
      <c r="D632" s="417">
        <v>209626.5</v>
      </c>
      <c r="E632" s="411" t="s">
        <v>251</v>
      </c>
      <c r="F632" s="416">
        <v>44463</v>
      </c>
      <c r="G632" s="416">
        <v>44496</v>
      </c>
      <c r="H632" s="416">
        <v>44509</v>
      </c>
      <c r="I632" s="1480"/>
      <c r="J632" s="1480"/>
      <c r="K632" s="1480"/>
      <c r="L632" s="513">
        <v>44509</v>
      </c>
      <c r="M632" s="416">
        <v>44529</v>
      </c>
    </row>
    <row r="633" spans="1:18" ht="15.75" hidden="1" thickTop="1">
      <c r="A633" s="428">
        <v>44452</v>
      </c>
      <c r="B633" s="425" t="s">
        <v>9854</v>
      </c>
      <c r="C633" s="425" t="s">
        <v>2434</v>
      </c>
      <c r="D633" s="429">
        <v>1500000</v>
      </c>
      <c r="E633" s="425" t="s">
        <v>251</v>
      </c>
      <c r="F633" s="428">
        <v>44462</v>
      </c>
      <c r="G633" s="428">
        <v>44516</v>
      </c>
      <c r="H633" s="428">
        <v>44531</v>
      </c>
      <c r="I633" s="1483"/>
      <c r="J633" s="1483"/>
      <c r="K633" s="1483"/>
      <c r="L633" s="1384">
        <v>44531</v>
      </c>
      <c r="M633" s="425"/>
    </row>
    <row r="634" spans="1:18" hidden="1">
      <c r="A634" s="2153">
        <v>44452</v>
      </c>
      <c r="B634" s="2154" t="s">
        <v>9854</v>
      </c>
      <c r="C634" s="2154" t="s">
        <v>2434</v>
      </c>
      <c r="D634" s="2157">
        <v>189800</v>
      </c>
      <c r="E634" s="2154" t="s">
        <v>251</v>
      </c>
      <c r="F634" s="2153">
        <v>44462</v>
      </c>
      <c r="G634" s="2153">
        <v>44516</v>
      </c>
      <c r="H634" s="2153">
        <v>44531</v>
      </c>
      <c r="I634" s="2094"/>
      <c r="J634" s="2094"/>
      <c r="K634" s="2094"/>
      <c r="L634" s="2160">
        <v>44531</v>
      </c>
      <c r="M634" s="2154"/>
    </row>
    <row r="635" spans="1:18" hidden="1">
      <c r="A635" s="2153">
        <v>44452</v>
      </c>
      <c r="B635" s="2154" t="s">
        <v>9854</v>
      </c>
      <c r="C635" s="2154" t="s">
        <v>2434</v>
      </c>
      <c r="D635" s="2157">
        <v>1635000</v>
      </c>
      <c r="E635" s="2154" t="s">
        <v>251</v>
      </c>
      <c r="F635" s="2153">
        <v>44462</v>
      </c>
      <c r="G635" s="2153">
        <v>44516</v>
      </c>
      <c r="H635" s="2153">
        <v>44531</v>
      </c>
      <c r="I635" s="2094"/>
      <c r="J635" s="2094"/>
      <c r="K635" s="2094"/>
      <c r="L635" s="2160">
        <v>44531</v>
      </c>
      <c r="M635" s="2154"/>
    </row>
    <row r="636" spans="1:18" hidden="1">
      <c r="A636" s="2124">
        <v>44452</v>
      </c>
      <c r="B636" s="2125" t="s">
        <v>9854</v>
      </c>
      <c r="C636" s="2125" t="s">
        <v>2434</v>
      </c>
      <c r="D636" s="2128">
        <v>342600</v>
      </c>
      <c r="E636" s="2125" t="s">
        <v>251</v>
      </c>
      <c r="F636" s="2124">
        <v>44462</v>
      </c>
      <c r="G636" s="2124">
        <v>44516</v>
      </c>
      <c r="H636" s="2125"/>
      <c r="I636" s="2129"/>
      <c r="J636" s="2129"/>
      <c r="K636" s="2129"/>
      <c r="L636" s="2128"/>
      <c r="M636" s="2125"/>
    </row>
    <row r="637" spans="1:18" hidden="1">
      <c r="A637" s="2153">
        <v>44452</v>
      </c>
      <c r="B637" s="2154" t="s">
        <v>9854</v>
      </c>
      <c r="C637" s="2154" t="s">
        <v>2434</v>
      </c>
      <c r="D637" s="2157">
        <v>528000</v>
      </c>
      <c r="E637" s="2154" t="s">
        <v>251</v>
      </c>
      <c r="F637" s="2153">
        <v>44462</v>
      </c>
      <c r="G637" s="2153">
        <v>44516</v>
      </c>
      <c r="H637" s="2153">
        <v>44531</v>
      </c>
      <c r="I637" s="2094"/>
      <c r="J637" s="2094"/>
      <c r="K637" s="2094"/>
      <c r="L637" s="2160">
        <v>44531</v>
      </c>
      <c r="M637" s="2154"/>
    </row>
    <row r="638" spans="1:18" hidden="1">
      <c r="A638" s="2153">
        <v>44452</v>
      </c>
      <c r="B638" s="2154" t="s">
        <v>9854</v>
      </c>
      <c r="C638" s="2154" t="s">
        <v>2434</v>
      </c>
      <c r="D638" s="2157">
        <v>652170</v>
      </c>
      <c r="E638" s="2154" t="s">
        <v>251</v>
      </c>
      <c r="F638" s="2153">
        <v>44462</v>
      </c>
      <c r="G638" s="2153">
        <v>44516</v>
      </c>
      <c r="H638" s="2153">
        <v>44531</v>
      </c>
      <c r="I638" s="2094"/>
      <c r="J638" s="2094"/>
      <c r="K638" s="2094"/>
      <c r="L638" s="2160">
        <v>44531</v>
      </c>
      <c r="M638" s="2154"/>
    </row>
    <row r="639" spans="1:18" ht="15.75" hidden="1" thickBot="1">
      <c r="A639" s="2152">
        <v>44452</v>
      </c>
      <c r="B639" s="2297" t="s">
        <v>9854</v>
      </c>
      <c r="C639" s="2297" t="s">
        <v>2434</v>
      </c>
      <c r="D639" s="2299">
        <v>26578800</v>
      </c>
      <c r="E639" s="2297" t="s">
        <v>251</v>
      </c>
      <c r="F639" s="2152">
        <v>44462</v>
      </c>
      <c r="G639" s="2152">
        <v>44516</v>
      </c>
      <c r="H639" s="2152">
        <v>44531</v>
      </c>
      <c r="I639" s="2095"/>
      <c r="J639" s="2095"/>
      <c r="K639" s="2095"/>
      <c r="L639" s="2315">
        <v>44531</v>
      </c>
      <c r="M639" s="2297"/>
    </row>
    <row r="640" spans="1:18" hidden="1">
      <c r="A640" s="470">
        <v>44449</v>
      </c>
      <c r="B640" s="466" t="s">
        <v>9864</v>
      </c>
      <c r="C640" s="466" t="s">
        <v>2250</v>
      </c>
      <c r="D640" s="472">
        <v>500000</v>
      </c>
      <c r="E640" s="466" t="s">
        <v>112</v>
      </c>
      <c r="F640" s="470">
        <v>44459</v>
      </c>
      <c r="G640" s="470">
        <v>44468</v>
      </c>
      <c r="H640" s="470">
        <v>44480</v>
      </c>
      <c r="I640" s="1516"/>
      <c r="J640" s="1516"/>
      <c r="K640" s="1516"/>
      <c r="L640" s="1547">
        <v>44480</v>
      </c>
      <c r="M640" s="466"/>
    </row>
    <row r="641" spans="1:18" hidden="1">
      <c r="A641" s="491" t="s">
        <v>3585</v>
      </c>
      <c r="B641" s="491" t="s">
        <v>9865</v>
      </c>
      <c r="C641" s="491" t="s">
        <v>2712</v>
      </c>
      <c r="D641" s="536">
        <v>610000</v>
      </c>
      <c r="E641" s="491" t="s">
        <v>112</v>
      </c>
      <c r="F641" s="537">
        <v>44455</v>
      </c>
      <c r="G641" s="537">
        <v>44460</v>
      </c>
      <c r="H641" s="537">
        <v>44461</v>
      </c>
      <c r="I641" s="1471"/>
      <c r="J641" s="1471"/>
      <c r="K641" s="1471"/>
      <c r="L641" s="573">
        <v>44461</v>
      </c>
      <c r="M641" s="537">
        <v>44473</v>
      </c>
    </row>
    <row r="642" spans="1:18">
      <c r="A642" s="537">
        <v>44455</v>
      </c>
      <c r="B642" s="491" t="s">
        <v>9875</v>
      </c>
      <c r="C642" s="491" t="s">
        <v>1032</v>
      </c>
      <c r="D642" s="536">
        <v>1050000</v>
      </c>
      <c r="E642" s="491" t="s">
        <v>112</v>
      </c>
      <c r="F642" s="537">
        <v>44462</v>
      </c>
      <c r="G642" s="537">
        <v>44476</v>
      </c>
      <c r="H642" s="537">
        <v>44489</v>
      </c>
      <c r="I642" s="1471"/>
      <c r="J642" s="1471"/>
      <c r="K642" s="1471"/>
      <c r="L642" s="573">
        <v>44489</v>
      </c>
      <c r="M642" s="537">
        <v>44511</v>
      </c>
      <c r="N642" s="2503">
        <f>F642-A642</f>
        <v>7</v>
      </c>
      <c r="O642" s="2503">
        <f>G642-F642</f>
        <v>14</v>
      </c>
      <c r="P642" s="2503">
        <f>H642-G642</f>
        <v>13</v>
      </c>
      <c r="Q642" s="2503">
        <f>M642-H642</f>
        <v>22</v>
      </c>
      <c r="R642" s="2503">
        <f>M642-A642</f>
        <v>56</v>
      </c>
    </row>
    <row r="643" spans="1:18" hidden="1">
      <c r="A643" s="506" t="s">
        <v>3585</v>
      </c>
      <c r="B643" s="506" t="s">
        <v>9877</v>
      </c>
      <c r="C643" s="506" t="s">
        <v>69</v>
      </c>
      <c r="D643" s="511">
        <v>1936800</v>
      </c>
      <c r="E643" s="506" t="s">
        <v>112</v>
      </c>
      <c r="F643" s="510">
        <v>44460</v>
      </c>
      <c r="G643" s="510">
        <v>44463</v>
      </c>
      <c r="H643" s="506"/>
      <c r="I643" s="1470"/>
      <c r="J643" s="1470"/>
      <c r="K643" s="1470"/>
      <c r="L643" s="511"/>
      <c r="M643" s="506"/>
    </row>
    <row r="644" spans="1:18" hidden="1">
      <c r="A644" s="510">
        <v>44446</v>
      </c>
      <c r="B644" s="506" t="s">
        <v>9880</v>
      </c>
      <c r="C644" s="506" t="s">
        <v>4997</v>
      </c>
      <c r="D644" s="511">
        <v>1300000</v>
      </c>
      <c r="E644" s="506" t="s">
        <v>112</v>
      </c>
      <c r="F644" s="510">
        <v>44462</v>
      </c>
      <c r="G644" s="510">
        <v>44474</v>
      </c>
      <c r="H644" s="506"/>
      <c r="I644" s="1484"/>
      <c r="J644" s="1484"/>
      <c r="K644" s="1484"/>
      <c r="L644" s="511"/>
      <c r="M644" s="506"/>
    </row>
    <row r="645" spans="1:18">
      <c r="A645" s="416">
        <v>44440</v>
      </c>
      <c r="B645" s="411" t="s">
        <v>9885</v>
      </c>
      <c r="C645" s="411" t="s">
        <v>58</v>
      </c>
      <c r="D645" s="417">
        <v>5089000</v>
      </c>
      <c r="E645" s="411" t="s">
        <v>251</v>
      </c>
      <c r="F645" s="416">
        <v>44462</v>
      </c>
      <c r="G645" s="416">
        <v>44515</v>
      </c>
      <c r="H645" s="416">
        <v>44533</v>
      </c>
      <c r="I645" s="1480"/>
      <c r="J645" s="1480"/>
      <c r="K645" s="1480"/>
      <c r="L645" s="513">
        <v>44533</v>
      </c>
      <c r="M645" s="416">
        <v>44557</v>
      </c>
      <c r="N645" s="2503">
        <f>F645-A645</f>
        <v>22</v>
      </c>
      <c r="O645" s="2503">
        <f>G645-F645</f>
        <v>53</v>
      </c>
      <c r="P645" s="2503">
        <f>H645-G645</f>
        <v>18</v>
      </c>
      <c r="Q645" s="2503">
        <f>M645-H645</f>
        <v>24</v>
      </c>
      <c r="R645" s="2503">
        <f>M645-A645</f>
        <v>117</v>
      </c>
    </row>
    <row r="646" spans="1:18" ht="15.75" hidden="1" thickTop="1">
      <c r="A646" s="443">
        <v>44460</v>
      </c>
      <c r="B646" s="439" t="s">
        <v>9897</v>
      </c>
      <c r="C646" s="439" t="s">
        <v>1032</v>
      </c>
      <c r="D646" s="444">
        <v>5500000</v>
      </c>
      <c r="E646" s="439" t="s">
        <v>216</v>
      </c>
      <c r="F646" s="443">
        <v>44466</v>
      </c>
      <c r="G646" s="443">
        <v>44491</v>
      </c>
      <c r="H646" s="439"/>
      <c r="I646" s="1481"/>
      <c r="J646" s="1481"/>
      <c r="K646" s="1481"/>
      <c r="L646" s="444"/>
      <c r="M646" s="439"/>
    </row>
    <row r="647" spans="1:18" hidden="1">
      <c r="A647" s="2124">
        <v>44460</v>
      </c>
      <c r="B647" s="2125" t="s">
        <v>9897</v>
      </c>
      <c r="C647" s="2125" t="s">
        <v>1032</v>
      </c>
      <c r="D647" s="2128">
        <v>2600000</v>
      </c>
      <c r="E647" s="2125" t="s">
        <v>216</v>
      </c>
      <c r="F647" s="2124">
        <v>44466</v>
      </c>
      <c r="G647" s="2124">
        <v>44491</v>
      </c>
      <c r="H647" s="2125"/>
      <c r="I647" s="2129"/>
      <c r="J647" s="2129"/>
      <c r="K647" s="2129"/>
      <c r="L647" s="2128"/>
      <c r="M647" s="2125"/>
    </row>
    <row r="648" spans="1:18" hidden="1">
      <c r="A648" s="2124">
        <v>44460</v>
      </c>
      <c r="B648" s="2125" t="s">
        <v>9897</v>
      </c>
      <c r="C648" s="2125" t="s">
        <v>1032</v>
      </c>
      <c r="D648" s="2128">
        <v>7900000</v>
      </c>
      <c r="E648" s="2125" t="s">
        <v>216</v>
      </c>
      <c r="F648" s="2124">
        <v>44466</v>
      </c>
      <c r="G648" s="2124">
        <v>44491</v>
      </c>
      <c r="H648" s="2125"/>
      <c r="I648" s="2129"/>
      <c r="J648" s="2129"/>
      <c r="K648" s="2129"/>
      <c r="L648" s="2128"/>
      <c r="M648" s="2125"/>
    </row>
    <row r="649" spans="1:18" ht="15.75" hidden="1" thickBot="1">
      <c r="A649" s="2130">
        <v>44460</v>
      </c>
      <c r="B649" s="2131" t="s">
        <v>9897</v>
      </c>
      <c r="C649" s="2131" t="s">
        <v>1032</v>
      </c>
      <c r="D649" s="2134">
        <v>15200000</v>
      </c>
      <c r="E649" s="2131" t="s">
        <v>216</v>
      </c>
      <c r="F649" s="2130">
        <v>44466</v>
      </c>
      <c r="G649" s="2130">
        <v>44491</v>
      </c>
      <c r="H649" s="2131"/>
      <c r="I649" s="2135"/>
      <c r="J649" s="2135"/>
      <c r="K649" s="2135"/>
      <c r="L649" s="2134"/>
      <c r="M649" s="2131"/>
    </row>
    <row r="650" spans="1:18">
      <c r="A650" s="365">
        <v>44441</v>
      </c>
      <c r="B650" s="2497" t="s">
        <v>9903</v>
      </c>
      <c r="C650" s="2497" t="s">
        <v>58</v>
      </c>
      <c r="D650" s="364">
        <v>711120</v>
      </c>
      <c r="E650" s="2497" t="s">
        <v>112</v>
      </c>
      <c r="F650" s="365">
        <v>44463</v>
      </c>
      <c r="G650" s="365">
        <v>44476</v>
      </c>
      <c r="H650" s="365">
        <v>44487</v>
      </c>
      <c r="I650" s="1473"/>
      <c r="J650" s="1473"/>
      <c r="K650" s="1473"/>
      <c r="L650" s="681">
        <v>44488</v>
      </c>
      <c r="M650" s="365">
        <v>44538</v>
      </c>
      <c r="N650" s="2503">
        <f t="shared" ref="N650:N653" si="365">F650-A650</f>
        <v>22</v>
      </c>
      <c r="O650" s="2503">
        <f t="shared" ref="O650:O653" si="366">G650-F650</f>
        <v>13</v>
      </c>
      <c r="P650" s="2503">
        <f t="shared" ref="P650:P653" si="367">H650-G650</f>
        <v>11</v>
      </c>
      <c r="Q650" s="2503">
        <f t="shared" ref="Q650:Q653" si="368">M650-H650</f>
        <v>51</v>
      </c>
      <c r="R650" s="2503">
        <f t="shared" ref="R650:R653" si="369">M650-A650</f>
        <v>97</v>
      </c>
    </row>
    <row r="651" spans="1:18" ht="15.75" thickBot="1">
      <c r="A651" s="416">
        <v>44435</v>
      </c>
      <c r="B651" s="411" t="s">
        <v>9906</v>
      </c>
      <c r="C651" s="411" t="s">
        <v>58</v>
      </c>
      <c r="D651" s="417">
        <v>921000</v>
      </c>
      <c r="E651" s="411" t="s">
        <v>112</v>
      </c>
      <c r="F651" s="416">
        <v>44475</v>
      </c>
      <c r="G651" s="416">
        <v>44487</v>
      </c>
      <c r="H651" s="416">
        <v>44502</v>
      </c>
      <c r="I651" s="1480"/>
      <c r="J651" s="1480"/>
      <c r="K651" s="1480"/>
      <c r="L651" s="513">
        <v>44502</v>
      </c>
      <c r="M651" s="416">
        <v>44543</v>
      </c>
      <c r="N651" s="2503">
        <f t="shared" si="365"/>
        <v>40</v>
      </c>
      <c r="O651" s="2503">
        <f t="shared" si="366"/>
        <v>12</v>
      </c>
      <c r="P651" s="2503">
        <f t="shared" si="367"/>
        <v>15</v>
      </c>
      <c r="Q651" s="2503">
        <f t="shared" si="368"/>
        <v>41</v>
      </c>
      <c r="R651" s="2503">
        <f t="shared" si="369"/>
        <v>108</v>
      </c>
    </row>
    <row r="652" spans="1:18" ht="15.75" thickTop="1">
      <c r="A652" s="474">
        <v>44453</v>
      </c>
      <c r="B652" s="453" t="s">
        <v>9909</v>
      </c>
      <c r="C652" s="453" t="s">
        <v>2434</v>
      </c>
      <c r="D652" s="457">
        <v>341520</v>
      </c>
      <c r="E652" s="453" t="s">
        <v>112</v>
      </c>
      <c r="F652" s="474">
        <v>44477</v>
      </c>
      <c r="G652" s="474">
        <v>44488</v>
      </c>
      <c r="H652" s="474">
        <v>44496</v>
      </c>
      <c r="I652" s="1474"/>
      <c r="J652" s="1474"/>
      <c r="K652" s="1474"/>
      <c r="L652" s="570">
        <v>44498</v>
      </c>
      <c r="M652" s="474">
        <v>44516</v>
      </c>
      <c r="N652" s="2503">
        <f t="shared" si="365"/>
        <v>24</v>
      </c>
      <c r="O652" s="2503">
        <f t="shared" si="366"/>
        <v>11</v>
      </c>
      <c r="P652" s="2503">
        <f t="shared" si="367"/>
        <v>8</v>
      </c>
      <c r="Q652" s="2503">
        <f t="shared" si="368"/>
        <v>20</v>
      </c>
      <c r="R652" s="2503">
        <f t="shared" si="369"/>
        <v>63</v>
      </c>
    </row>
    <row r="653" spans="1:18">
      <c r="A653" s="2140">
        <v>44453</v>
      </c>
      <c r="B653" s="2141" t="s">
        <v>9909</v>
      </c>
      <c r="C653" s="2141" t="s">
        <v>2434</v>
      </c>
      <c r="D653" s="2144">
        <v>92560</v>
      </c>
      <c r="E653" s="2141" t="s">
        <v>112</v>
      </c>
      <c r="F653" s="2140">
        <v>44477</v>
      </c>
      <c r="G653" s="2140">
        <v>44488</v>
      </c>
      <c r="H653" s="2140">
        <v>44496</v>
      </c>
      <c r="I653" s="2145"/>
      <c r="J653" s="2145"/>
      <c r="K653" s="2145"/>
      <c r="L653" s="2146">
        <v>44498</v>
      </c>
      <c r="M653" s="2140">
        <v>44516</v>
      </c>
      <c r="N653" s="2503">
        <f t="shared" si="365"/>
        <v>24</v>
      </c>
      <c r="O653" s="2503">
        <f t="shared" si="366"/>
        <v>11</v>
      </c>
      <c r="P653" s="2503">
        <f t="shared" si="367"/>
        <v>8</v>
      </c>
      <c r="Q653" s="2503">
        <f t="shared" si="368"/>
        <v>20</v>
      </c>
      <c r="R653" s="2503">
        <f t="shared" si="369"/>
        <v>63</v>
      </c>
    </row>
    <row r="654" spans="1:18" ht="15.75" hidden="1" thickBot="1">
      <c r="A654" s="2130">
        <v>44453</v>
      </c>
      <c r="B654" s="2131" t="s">
        <v>9909</v>
      </c>
      <c r="C654" s="2131" t="s">
        <v>2434</v>
      </c>
      <c r="D654" s="2134">
        <v>335440</v>
      </c>
      <c r="E654" s="2131" t="s">
        <v>112</v>
      </c>
      <c r="F654" s="2130">
        <v>44477</v>
      </c>
      <c r="G654" s="2130">
        <v>44488</v>
      </c>
      <c r="H654" s="2130">
        <v>44496</v>
      </c>
      <c r="I654" s="2135"/>
      <c r="J654" s="2135"/>
      <c r="K654" s="2135"/>
      <c r="L654" s="2163">
        <v>44498</v>
      </c>
      <c r="M654" s="2131"/>
    </row>
    <row r="655" spans="1:18" ht="15.75" thickBot="1">
      <c r="A655" s="498">
        <v>44454</v>
      </c>
      <c r="B655" s="232" t="s">
        <v>9910</v>
      </c>
      <c r="C655" s="232" t="s">
        <v>58</v>
      </c>
      <c r="D655" s="499">
        <v>570000</v>
      </c>
      <c r="E655" s="232" t="s">
        <v>112</v>
      </c>
      <c r="F655" s="498">
        <v>44469</v>
      </c>
      <c r="G655" s="498">
        <v>44477</v>
      </c>
      <c r="H655" s="498">
        <v>44487</v>
      </c>
      <c r="I655" s="1545"/>
      <c r="J655" s="1545"/>
      <c r="K655" s="1545"/>
      <c r="L655" s="682">
        <v>44488</v>
      </c>
      <c r="M655" s="498">
        <v>44516</v>
      </c>
      <c r="N655" s="2503">
        <f t="shared" ref="N655:N660" si="370">F655-A655</f>
        <v>15</v>
      </c>
      <c r="O655" s="2503">
        <f t="shared" ref="O655:O660" si="371">G655-F655</f>
        <v>8</v>
      </c>
      <c r="P655" s="2503">
        <f t="shared" ref="P655:P660" si="372">H655-G655</f>
        <v>10</v>
      </c>
      <c r="Q655" s="2503">
        <f t="shared" ref="Q655:Q660" si="373">M655-H655</f>
        <v>29</v>
      </c>
      <c r="R655" s="2503">
        <f t="shared" ref="R655:R660" si="374">M655-A655</f>
        <v>62</v>
      </c>
    </row>
    <row r="656" spans="1:18" ht="15.75" thickTop="1">
      <c r="A656" s="474">
        <v>44452</v>
      </c>
      <c r="B656" s="453" t="s">
        <v>9913</v>
      </c>
      <c r="C656" s="453" t="s">
        <v>2434</v>
      </c>
      <c r="D656" s="457">
        <v>2054660</v>
      </c>
      <c r="E656" s="453" t="s">
        <v>216</v>
      </c>
      <c r="F656" s="474">
        <v>44474</v>
      </c>
      <c r="G656" s="474">
        <v>44491</v>
      </c>
      <c r="H656" s="474">
        <v>44509</v>
      </c>
      <c r="I656" s="1474"/>
      <c r="J656" s="1474"/>
      <c r="K656" s="1474"/>
      <c r="L656" s="570">
        <v>44509</v>
      </c>
      <c r="M656" s="474">
        <v>44529</v>
      </c>
      <c r="N656" s="2503">
        <f t="shared" si="370"/>
        <v>22</v>
      </c>
      <c r="O656" s="2503">
        <f t="shared" si="371"/>
        <v>17</v>
      </c>
      <c r="P656" s="2503">
        <f t="shared" si="372"/>
        <v>18</v>
      </c>
      <c r="Q656" s="2503">
        <f t="shared" si="373"/>
        <v>20</v>
      </c>
      <c r="R656" s="2503">
        <f t="shared" si="374"/>
        <v>77</v>
      </c>
    </row>
    <row r="657" spans="1:18">
      <c r="A657" s="365">
        <v>44452</v>
      </c>
      <c r="B657" s="2497" t="s">
        <v>9914</v>
      </c>
      <c r="C657" s="2497" t="s">
        <v>2434</v>
      </c>
      <c r="D657" s="364">
        <v>640000</v>
      </c>
      <c r="E657" s="2497" t="s">
        <v>112</v>
      </c>
      <c r="F657" s="365">
        <v>44469</v>
      </c>
      <c r="G657" s="365">
        <v>44481</v>
      </c>
      <c r="H657" s="365">
        <v>44483</v>
      </c>
      <c r="I657" s="1473"/>
      <c r="J657" s="1473"/>
      <c r="K657" s="1473"/>
      <c r="L657" s="681">
        <v>44487</v>
      </c>
      <c r="M657" s="365">
        <v>44502</v>
      </c>
      <c r="N657" s="2503">
        <f t="shared" si="370"/>
        <v>17</v>
      </c>
      <c r="O657" s="2503">
        <f t="shared" si="371"/>
        <v>12</v>
      </c>
      <c r="P657" s="2503">
        <f t="shared" si="372"/>
        <v>2</v>
      </c>
      <c r="Q657" s="2503">
        <f t="shared" si="373"/>
        <v>19</v>
      </c>
      <c r="R657" s="2503">
        <f t="shared" si="374"/>
        <v>50</v>
      </c>
    </row>
    <row r="658" spans="1:18">
      <c r="A658" s="416">
        <v>44445</v>
      </c>
      <c r="B658" s="411" t="s">
        <v>9916</v>
      </c>
      <c r="C658" s="411" t="s">
        <v>58</v>
      </c>
      <c r="D658" s="417">
        <v>913200</v>
      </c>
      <c r="E658" s="411" t="s">
        <v>112</v>
      </c>
      <c r="F658" s="416">
        <v>44469</v>
      </c>
      <c r="G658" s="416">
        <v>44480</v>
      </c>
      <c r="H658" s="416">
        <v>44502</v>
      </c>
      <c r="I658" s="1480"/>
      <c r="J658" s="1480"/>
      <c r="K658" s="1480"/>
      <c r="L658" s="513">
        <v>44502</v>
      </c>
      <c r="M658" s="416">
        <v>44532</v>
      </c>
      <c r="N658" s="2503">
        <f t="shared" si="370"/>
        <v>24</v>
      </c>
      <c r="O658" s="2503">
        <f t="shared" si="371"/>
        <v>11</v>
      </c>
      <c r="P658" s="2503">
        <f t="shared" si="372"/>
        <v>22</v>
      </c>
      <c r="Q658" s="2503">
        <f t="shared" si="373"/>
        <v>30</v>
      </c>
      <c r="R658" s="2503">
        <f t="shared" si="374"/>
        <v>87</v>
      </c>
    </row>
    <row r="659" spans="1:18">
      <c r="A659" s="2140">
        <v>44453</v>
      </c>
      <c r="B659" s="2141" t="s">
        <v>9915</v>
      </c>
      <c r="C659" s="2141" t="s">
        <v>2434</v>
      </c>
      <c r="D659" s="2144">
        <v>1346520</v>
      </c>
      <c r="E659" s="2141" t="s">
        <v>112</v>
      </c>
      <c r="F659" s="2140">
        <v>44469</v>
      </c>
      <c r="G659" s="2140">
        <v>44484</v>
      </c>
      <c r="H659" s="2140">
        <v>44489</v>
      </c>
      <c r="I659" s="2145"/>
      <c r="J659" s="2145"/>
      <c r="K659" s="2145"/>
      <c r="L659" s="2146">
        <v>44490</v>
      </c>
      <c r="M659" s="2140">
        <v>44516</v>
      </c>
      <c r="N659" s="2503">
        <f t="shared" si="370"/>
        <v>16</v>
      </c>
      <c r="O659" s="2503">
        <f t="shared" si="371"/>
        <v>15</v>
      </c>
      <c r="P659" s="2503">
        <f t="shared" si="372"/>
        <v>5</v>
      </c>
      <c r="Q659" s="2503">
        <f t="shared" si="373"/>
        <v>27</v>
      </c>
      <c r="R659" s="2503">
        <f t="shared" si="374"/>
        <v>63</v>
      </c>
    </row>
    <row r="660" spans="1:18">
      <c r="A660" s="365">
        <v>44445</v>
      </c>
      <c r="B660" s="2497" t="s">
        <v>9919</v>
      </c>
      <c r="C660" s="2497" t="s">
        <v>58</v>
      </c>
      <c r="D660" s="364">
        <v>324000</v>
      </c>
      <c r="E660" s="2497" t="s">
        <v>112</v>
      </c>
      <c r="F660" s="365">
        <v>44473</v>
      </c>
      <c r="G660" s="365">
        <v>44483</v>
      </c>
      <c r="H660" s="365">
        <v>44496</v>
      </c>
      <c r="I660" s="1473"/>
      <c r="J660" s="1473"/>
      <c r="K660" s="1473"/>
      <c r="L660" s="681">
        <v>44496</v>
      </c>
      <c r="M660" s="365">
        <v>44529</v>
      </c>
      <c r="N660" s="2503">
        <f t="shared" si="370"/>
        <v>28</v>
      </c>
      <c r="O660" s="2503">
        <f t="shared" si="371"/>
        <v>10</v>
      </c>
      <c r="P660" s="2503">
        <f t="shared" si="372"/>
        <v>13</v>
      </c>
      <c r="Q660" s="2503">
        <f t="shared" si="373"/>
        <v>33</v>
      </c>
      <c r="R660" s="2503">
        <f t="shared" si="374"/>
        <v>84</v>
      </c>
    </row>
    <row r="661" spans="1:18" hidden="1">
      <c r="A661" s="510">
        <v>44462</v>
      </c>
      <c r="B661" s="506" t="s">
        <v>9922</v>
      </c>
      <c r="C661" s="506" t="s">
        <v>69</v>
      </c>
      <c r="D661" s="511">
        <v>4650131</v>
      </c>
      <c r="E661" s="506" t="s">
        <v>251</v>
      </c>
      <c r="F661" s="510">
        <v>44466</v>
      </c>
      <c r="G661" s="510">
        <v>44501</v>
      </c>
      <c r="H661" s="506"/>
      <c r="I661" s="1470"/>
      <c r="J661" s="1470"/>
      <c r="K661" s="1470"/>
      <c r="L661" s="511"/>
      <c r="M661" s="506"/>
    </row>
    <row r="662" spans="1:18">
      <c r="A662" s="537">
        <v>44460</v>
      </c>
      <c r="B662" s="491" t="s">
        <v>9925</v>
      </c>
      <c r="C662" s="491" t="s">
        <v>1032</v>
      </c>
      <c r="D662" s="536">
        <v>4700000</v>
      </c>
      <c r="E662" s="491" t="s">
        <v>112</v>
      </c>
      <c r="F662" s="537">
        <v>44470</v>
      </c>
      <c r="G662" s="537">
        <v>44482</v>
      </c>
      <c r="H662" s="537">
        <v>44502</v>
      </c>
      <c r="I662" s="1471"/>
      <c r="J662" s="1471"/>
      <c r="K662" s="1471"/>
      <c r="L662" s="573">
        <v>44503</v>
      </c>
      <c r="M662" s="537">
        <v>44526</v>
      </c>
      <c r="N662" s="2503">
        <f t="shared" ref="N662:N663" si="375">F662-A662</f>
        <v>10</v>
      </c>
      <c r="O662" s="2503">
        <f t="shared" ref="O662:O663" si="376">G662-F662</f>
        <v>12</v>
      </c>
      <c r="P662" s="2503">
        <f t="shared" ref="P662:P663" si="377">H662-G662</f>
        <v>20</v>
      </c>
      <c r="Q662" s="2503">
        <f t="shared" ref="Q662:Q663" si="378">M662-H662</f>
        <v>24</v>
      </c>
      <c r="R662" s="2503">
        <f t="shared" ref="R662:R663" si="379">M662-A662</f>
        <v>66</v>
      </c>
    </row>
    <row r="663" spans="1:18">
      <c r="A663" s="537">
        <v>44460</v>
      </c>
      <c r="B663" s="491" t="s">
        <v>9927</v>
      </c>
      <c r="C663" s="491" t="s">
        <v>1032</v>
      </c>
      <c r="D663" s="536">
        <v>2500000</v>
      </c>
      <c r="E663" s="491" t="s">
        <v>112</v>
      </c>
      <c r="F663" s="537">
        <v>44469</v>
      </c>
      <c r="G663" s="537">
        <v>44481</v>
      </c>
      <c r="H663" s="537">
        <v>44496</v>
      </c>
      <c r="I663" s="1471"/>
      <c r="J663" s="1471"/>
      <c r="K663" s="1471"/>
      <c r="L663" s="573">
        <v>44498</v>
      </c>
      <c r="M663" s="537">
        <v>44523</v>
      </c>
      <c r="N663" s="2503">
        <f t="shared" si="375"/>
        <v>9</v>
      </c>
      <c r="O663" s="2503">
        <f t="shared" si="376"/>
        <v>12</v>
      </c>
      <c r="P663" s="2503">
        <f t="shared" si="377"/>
        <v>15</v>
      </c>
      <c r="Q663" s="2503">
        <f t="shared" si="378"/>
        <v>27</v>
      </c>
      <c r="R663" s="2503">
        <f t="shared" si="379"/>
        <v>63</v>
      </c>
    </row>
    <row r="664" spans="1:18" hidden="1">
      <c r="A664" s="464">
        <v>44459</v>
      </c>
      <c r="B664" s="406" t="s">
        <v>9929</v>
      </c>
      <c r="C664" s="406" t="s">
        <v>2111</v>
      </c>
      <c r="D664" s="465">
        <v>3299200</v>
      </c>
      <c r="E664" s="406" t="s">
        <v>216</v>
      </c>
      <c r="F664" s="464">
        <v>44484</v>
      </c>
      <c r="G664" s="464">
        <v>44510</v>
      </c>
      <c r="H664" s="464">
        <v>44539</v>
      </c>
      <c r="I664" s="1490"/>
      <c r="J664" s="1490"/>
      <c r="K664" s="1490"/>
      <c r="L664" s="1809">
        <v>44539</v>
      </c>
      <c r="M664" s="406"/>
    </row>
    <row r="665" spans="1:18" ht="15.75" hidden="1" thickTop="1">
      <c r="A665" s="443">
        <v>44463</v>
      </c>
      <c r="B665" s="439" t="s">
        <v>9931</v>
      </c>
      <c r="C665" s="439" t="s">
        <v>69</v>
      </c>
      <c r="D665" s="444">
        <v>79105740</v>
      </c>
      <c r="E665" s="439" t="s">
        <v>251</v>
      </c>
      <c r="F665" s="443">
        <v>44469</v>
      </c>
      <c r="G665" s="443">
        <v>44502</v>
      </c>
      <c r="H665" s="439"/>
      <c r="I665" s="1481"/>
      <c r="J665" s="1481"/>
      <c r="K665" s="1481"/>
      <c r="L665" s="444"/>
      <c r="M665" s="439"/>
    </row>
    <row r="666" spans="1:18" hidden="1">
      <c r="A666" s="2153">
        <v>44463</v>
      </c>
      <c r="B666" s="2154" t="s">
        <v>9931</v>
      </c>
      <c r="C666" s="2154" t="s">
        <v>69</v>
      </c>
      <c r="D666" s="2157">
        <v>370986</v>
      </c>
      <c r="E666" s="2154" t="s">
        <v>251</v>
      </c>
      <c r="F666" s="2153">
        <v>44469</v>
      </c>
      <c r="G666" s="2153">
        <v>44502</v>
      </c>
      <c r="H666" s="2153">
        <v>44531</v>
      </c>
      <c r="I666" s="2094"/>
      <c r="J666" s="2094"/>
      <c r="K666" s="2094"/>
      <c r="L666" s="2160">
        <v>44531</v>
      </c>
      <c r="M666" s="2154"/>
    </row>
    <row r="667" spans="1:18" ht="15.75" hidden="1" thickBot="1">
      <c r="A667" s="2152">
        <v>44463</v>
      </c>
      <c r="B667" s="2297" t="s">
        <v>9931</v>
      </c>
      <c r="C667" s="2297" t="s">
        <v>69</v>
      </c>
      <c r="D667" s="2299">
        <v>52685673</v>
      </c>
      <c r="E667" s="2297" t="s">
        <v>251</v>
      </c>
      <c r="F667" s="2152">
        <v>44469</v>
      </c>
      <c r="G667" s="2152">
        <v>44502</v>
      </c>
      <c r="H667" s="2152">
        <v>44531</v>
      </c>
      <c r="I667" s="2095"/>
      <c r="J667" s="2095"/>
      <c r="K667" s="2095"/>
      <c r="L667" s="2315">
        <v>44531</v>
      </c>
      <c r="M667" s="2297"/>
    </row>
    <row r="668" spans="1:18">
      <c r="A668" s="365">
        <v>44460</v>
      </c>
      <c r="B668" s="2497" t="s">
        <v>9939</v>
      </c>
      <c r="C668" s="2497" t="s">
        <v>1032</v>
      </c>
      <c r="D668" s="364">
        <v>2100000</v>
      </c>
      <c r="E668" s="2497" t="s">
        <v>112</v>
      </c>
      <c r="F668" s="365">
        <v>44469</v>
      </c>
      <c r="G668" s="365">
        <v>44477</v>
      </c>
      <c r="H668" s="365">
        <v>44483</v>
      </c>
      <c r="I668" s="1473"/>
      <c r="J668" s="1473"/>
      <c r="K668" s="1473"/>
      <c r="L668" s="681">
        <v>44483</v>
      </c>
      <c r="M668" s="365">
        <v>44502</v>
      </c>
      <c r="N668" s="2503">
        <f>F668-A668</f>
        <v>9</v>
      </c>
      <c r="O668" s="2503">
        <f>G668-F668</f>
        <v>8</v>
      </c>
      <c r="P668" s="2503">
        <f>H668-G668</f>
        <v>6</v>
      </c>
      <c r="Q668" s="2503">
        <f>M668-H668</f>
        <v>19</v>
      </c>
      <c r="R668" s="2503">
        <f>M668-A668</f>
        <v>42</v>
      </c>
    </row>
    <row r="669" spans="1:18" hidden="1">
      <c r="A669" s="2141" t="s">
        <v>3585</v>
      </c>
      <c r="B669" s="2141" t="s">
        <v>9941</v>
      </c>
      <c r="C669" s="2141" t="s">
        <v>4997</v>
      </c>
      <c r="D669" s="2144">
        <v>450000</v>
      </c>
      <c r="E669" s="2141" t="s">
        <v>112</v>
      </c>
      <c r="F669" s="2140">
        <v>44469</v>
      </c>
      <c r="G669" s="2140">
        <v>44477</v>
      </c>
      <c r="H669" s="2140">
        <v>44483</v>
      </c>
      <c r="I669" s="2145"/>
      <c r="J669" s="2145"/>
      <c r="K669" s="2145"/>
      <c r="L669" s="2146">
        <v>44484</v>
      </c>
      <c r="M669" s="2140">
        <v>44515</v>
      </c>
    </row>
    <row r="670" spans="1:18">
      <c r="A670" s="2140">
        <v>44461</v>
      </c>
      <c r="B670" s="2141" t="s">
        <v>9946</v>
      </c>
      <c r="C670" s="2141" t="s">
        <v>1032</v>
      </c>
      <c r="D670" s="2144">
        <v>500000</v>
      </c>
      <c r="E670" s="2141" t="s">
        <v>112</v>
      </c>
      <c r="F670" s="2140">
        <v>44470</v>
      </c>
      <c r="G670" s="2140">
        <v>44482</v>
      </c>
      <c r="H670" s="2140">
        <v>44516</v>
      </c>
      <c r="I670" s="2145"/>
      <c r="J670" s="2145"/>
      <c r="K670" s="2145"/>
      <c r="L670" s="2146">
        <v>44516</v>
      </c>
      <c r="M670" s="2140">
        <v>44538</v>
      </c>
      <c r="N670" s="2503">
        <f>F670-A670</f>
        <v>9</v>
      </c>
      <c r="O670" s="2503">
        <f>G670-F670</f>
        <v>12</v>
      </c>
      <c r="P670" s="2503">
        <f>H670-G670</f>
        <v>34</v>
      </c>
      <c r="Q670" s="2503">
        <f>M670-H670</f>
        <v>22</v>
      </c>
      <c r="R670" s="2503">
        <f>M670-A670</f>
        <v>77</v>
      </c>
    </row>
    <row r="671" spans="1:18" hidden="1">
      <c r="A671" s="1617"/>
      <c r="B671" s="810" t="s">
        <v>9954</v>
      </c>
      <c r="C671" s="810" t="s">
        <v>69</v>
      </c>
      <c r="D671" s="814">
        <v>23130000</v>
      </c>
      <c r="E671" s="810" t="s">
        <v>251</v>
      </c>
      <c r="F671" s="810"/>
      <c r="G671" s="810"/>
      <c r="H671" s="810"/>
      <c r="I671" s="1620"/>
      <c r="J671" s="1620"/>
      <c r="K671" s="1620"/>
      <c r="L671" s="814"/>
      <c r="M671" s="810"/>
    </row>
    <row r="672" spans="1:18" ht="15.75" hidden="1" thickTop="1">
      <c r="A672" s="428">
        <v>44463</v>
      </c>
      <c r="B672" s="425" t="s">
        <v>9956</v>
      </c>
      <c r="C672" s="425" t="s">
        <v>69</v>
      </c>
      <c r="D672" s="429">
        <v>1724688</v>
      </c>
      <c r="E672" s="425" t="s">
        <v>251</v>
      </c>
      <c r="F672" s="428">
        <v>44475</v>
      </c>
      <c r="G672" s="428">
        <v>44551</v>
      </c>
      <c r="H672" s="425"/>
      <c r="I672" s="1483"/>
      <c r="J672" s="1483"/>
      <c r="K672" s="1483"/>
      <c r="L672" s="429"/>
      <c r="M672" s="425"/>
    </row>
    <row r="673" spans="1:13" hidden="1">
      <c r="A673" s="2153">
        <v>44463</v>
      </c>
      <c r="B673" s="2154" t="s">
        <v>9956</v>
      </c>
      <c r="C673" s="2154" t="s">
        <v>69</v>
      </c>
      <c r="D673" s="2157">
        <v>1365165</v>
      </c>
      <c r="E673" s="2154" t="s">
        <v>251</v>
      </c>
      <c r="F673" s="2153">
        <v>44475</v>
      </c>
      <c r="G673" s="2153">
        <v>44551</v>
      </c>
      <c r="H673" s="2154"/>
      <c r="I673" s="2094"/>
      <c r="J673" s="2094"/>
      <c r="K673" s="2094"/>
      <c r="L673" s="2157"/>
      <c r="M673" s="2154"/>
    </row>
    <row r="674" spans="1:13" hidden="1">
      <c r="A674" s="2153">
        <v>44463</v>
      </c>
      <c r="B674" s="2154" t="s">
        <v>9956</v>
      </c>
      <c r="C674" s="2154" t="s">
        <v>69</v>
      </c>
      <c r="D674" s="2157">
        <v>1365165</v>
      </c>
      <c r="E674" s="2154" t="s">
        <v>251</v>
      </c>
      <c r="F674" s="2153">
        <v>44475</v>
      </c>
      <c r="G674" s="2153">
        <v>44551</v>
      </c>
      <c r="H674" s="2154"/>
      <c r="I674" s="2094"/>
      <c r="J674" s="2094"/>
      <c r="K674" s="2094"/>
      <c r="L674" s="2157"/>
      <c r="M674" s="2154"/>
    </row>
    <row r="675" spans="1:13" hidden="1">
      <c r="A675" s="2153">
        <v>44463</v>
      </c>
      <c r="B675" s="2154" t="s">
        <v>9956</v>
      </c>
      <c r="C675" s="2154" t="s">
        <v>69</v>
      </c>
      <c r="D675" s="2157">
        <v>1365165</v>
      </c>
      <c r="E675" s="2154" t="s">
        <v>251</v>
      </c>
      <c r="F675" s="2153">
        <v>44475</v>
      </c>
      <c r="G675" s="2153">
        <v>44551</v>
      </c>
      <c r="H675" s="2154"/>
      <c r="I675" s="2094"/>
      <c r="J675" s="2094"/>
      <c r="K675" s="2094"/>
      <c r="L675" s="2157"/>
      <c r="M675" s="2154"/>
    </row>
    <row r="676" spans="1:13" hidden="1">
      <c r="A676" s="2153">
        <v>44463</v>
      </c>
      <c r="B676" s="2154" t="s">
        <v>9956</v>
      </c>
      <c r="C676" s="2154" t="s">
        <v>69</v>
      </c>
      <c r="D676" s="2157">
        <v>72594</v>
      </c>
      <c r="E676" s="2154" t="s">
        <v>251</v>
      </c>
      <c r="F676" s="2153">
        <v>44475</v>
      </c>
      <c r="G676" s="2153">
        <v>44551</v>
      </c>
      <c r="H676" s="2154"/>
      <c r="I676" s="2094"/>
      <c r="J676" s="2094"/>
      <c r="K676" s="2094"/>
      <c r="L676" s="2157"/>
      <c r="M676" s="2154"/>
    </row>
    <row r="677" spans="1:13" hidden="1">
      <c r="A677" s="2153">
        <v>44463</v>
      </c>
      <c r="B677" s="2154" t="s">
        <v>9956</v>
      </c>
      <c r="C677" s="2154" t="s">
        <v>69</v>
      </c>
      <c r="D677" s="2157">
        <v>1365165</v>
      </c>
      <c r="E677" s="2154" t="s">
        <v>251</v>
      </c>
      <c r="F677" s="2153">
        <v>44475</v>
      </c>
      <c r="G677" s="2153">
        <v>44551</v>
      </c>
      <c r="H677" s="2154"/>
      <c r="I677" s="2094"/>
      <c r="J677" s="2094"/>
      <c r="K677" s="2094"/>
      <c r="L677" s="2157"/>
      <c r="M677" s="2154"/>
    </row>
    <row r="678" spans="1:13" hidden="1">
      <c r="A678" s="2153">
        <v>44463</v>
      </c>
      <c r="B678" s="2154" t="s">
        <v>9956</v>
      </c>
      <c r="C678" s="2154" t="s">
        <v>69</v>
      </c>
      <c r="D678" s="2157">
        <v>1365165</v>
      </c>
      <c r="E678" s="2154" t="s">
        <v>251</v>
      </c>
      <c r="F678" s="2153">
        <v>44475</v>
      </c>
      <c r="G678" s="2153">
        <v>44551</v>
      </c>
      <c r="H678" s="2154"/>
      <c r="I678" s="2094"/>
      <c r="J678" s="2094"/>
      <c r="K678" s="2094"/>
      <c r="L678" s="2157"/>
      <c r="M678" s="2154"/>
    </row>
    <row r="679" spans="1:13" ht="15.75" hidden="1" thickBot="1">
      <c r="A679" s="2152">
        <v>44463</v>
      </c>
      <c r="B679" s="2297" t="s">
        <v>9956</v>
      </c>
      <c r="C679" s="2297" t="s">
        <v>69</v>
      </c>
      <c r="D679" s="2299">
        <v>224649</v>
      </c>
      <c r="E679" s="2297" t="s">
        <v>251</v>
      </c>
      <c r="F679" s="2152">
        <v>44475</v>
      </c>
      <c r="G679" s="2152">
        <v>44551</v>
      </c>
      <c r="H679" s="2297"/>
      <c r="I679" s="2095"/>
      <c r="J679" s="2095"/>
      <c r="K679" s="2095"/>
      <c r="L679" s="2299"/>
      <c r="M679" s="2297"/>
    </row>
    <row r="680" spans="1:13" hidden="1">
      <c r="A680" s="2497" t="s">
        <v>3585</v>
      </c>
      <c r="B680" s="2497" t="s">
        <v>9965</v>
      </c>
      <c r="C680" s="2497" t="s">
        <v>69</v>
      </c>
      <c r="D680" s="364">
        <v>1918200</v>
      </c>
      <c r="E680" s="2497" t="s">
        <v>112</v>
      </c>
      <c r="F680" s="365">
        <v>44476</v>
      </c>
      <c r="G680" s="365">
        <v>44482</v>
      </c>
      <c r="H680" s="365">
        <v>44490</v>
      </c>
      <c r="I680" s="1473"/>
      <c r="J680" s="1473"/>
      <c r="K680" s="1473"/>
      <c r="L680" s="681">
        <v>44490</v>
      </c>
      <c r="M680" s="365">
        <v>44508</v>
      </c>
    </row>
    <row r="681" spans="1:13" hidden="1">
      <c r="A681" s="2124">
        <v>44460</v>
      </c>
      <c r="B681" s="2125" t="s">
        <v>9967</v>
      </c>
      <c r="C681" s="2125" t="s">
        <v>2434</v>
      </c>
      <c r="D681" s="2128">
        <v>6336997</v>
      </c>
      <c r="E681" s="2125" t="s">
        <v>251</v>
      </c>
      <c r="F681" s="2124">
        <v>44475</v>
      </c>
      <c r="G681" s="2124">
        <v>44508</v>
      </c>
      <c r="H681" s="2125"/>
      <c r="I681" s="2129"/>
      <c r="J681" s="2129"/>
      <c r="K681" s="2129"/>
      <c r="L681" s="2128"/>
      <c r="M681" s="2125"/>
    </row>
    <row r="682" spans="1:13" hidden="1">
      <c r="A682" s="639" t="s">
        <v>3585</v>
      </c>
      <c r="B682" s="639" t="s">
        <v>9971</v>
      </c>
      <c r="C682" s="639" t="s">
        <v>6561</v>
      </c>
      <c r="D682" s="645">
        <v>5800000</v>
      </c>
      <c r="E682" s="639" t="s">
        <v>112</v>
      </c>
      <c r="F682" s="643">
        <v>44470</v>
      </c>
      <c r="G682" s="643">
        <v>44496</v>
      </c>
      <c r="H682" s="639"/>
      <c r="I682" s="1534"/>
      <c r="J682" s="1534"/>
      <c r="K682" s="1534"/>
      <c r="L682" s="645"/>
      <c r="M682" s="639"/>
    </row>
    <row r="683" spans="1:13" ht="15.75" hidden="1" thickTop="1">
      <c r="A683" s="428">
        <v>44469</v>
      </c>
      <c r="B683" s="425" t="s">
        <v>9979</v>
      </c>
      <c r="C683" s="425" t="s">
        <v>69</v>
      </c>
      <c r="D683" s="429">
        <v>695760</v>
      </c>
      <c r="E683" s="425" t="s">
        <v>251</v>
      </c>
      <c r="F683" s="428">
        <v>44475</v>
      </c>
      <c r="G683" s="428">
        <v>44557</v>
      </c>
      <c r="H683" s="425"/>
      <c r="I683" s="1483"/>
      <c r="J683" s="1483"/>
      <c r="K683" s="1483"/>
      <c r="L683" s="429"/>
      <c r="M683" s="425"/>
    </row>
    <row r="684" spans="1:13" hidden="1">
      <c r="A684" s="2153">
        <v>44469</v>
      </c>
      <c r="B684" s="2154" t="s">
        <v>9979</v>
      </c>
      <c r="C684" s="2154" t="s">
        <v>69</v>
      </c>
      <c r="D684" s="2157">
        <v>553461</v>
      </c>
      <c r="E684" s="2154" t="s">
        <v>251</v>
      </c>
      <c r="F684" s="2153">
        <v>44475</v>
      </c>
      <c r="G684" s="2153">
        <v>44557</v>
      </c>
      <c r="H684" s="2154"/>
      <c r="I684" s="2094"/>
      <c r="J684" s="2094"/>
      <c r="K684" s="2094"/>
      <c r="L684" s="2157"/>
      <c r="M684" s="2154"/>
    </row>
    <row r="685" spans="1:13" hidden="1">
      <c r="A685" s="2153">
        <v>44469</v>
      </c>
      <c r="B685" s="2154" t="s">
        <v>9979</v>
      </c>
      <c r="C685" s="2154" t="s">
        <v>69</v>
      </c>
      <c r="D685" s="2157">
        <v>1970539</v>
      </c>
      <c r="E685" s="2154" t="s">
        <v>251</v>
      </c>
      <c r="F685" s="2153">
        <v>44475</v>
      </c>
      <c r="G685" s="2153">
        <v>44557</v>
      </c>
      <c r="H685" s="2154"/>
      <c r="I685" s="2094"/>
      <c r="J685" s="2094"/>
      <c r="K685" s="2094"/>
      <c r="L685" s="2157"/>
      <c r="M685" s="2154"/>
    </row>
    <row r="686" spans="1:13" hidden="1">
      <c r="A686" s="2153">
        <v>44469</v>
      </c>
      <c r="B686" s="2154" t="s">
        <v>9979</v>
      </c>
      <c r="C686" s="2154" t="s">
        <v>69</v>
      </c>
      <c r="D686" s="2157">
        <v>1744029</v>
      </c>
      <c r="E686" s="2154" t="s">
        <v>251</v>
      </c>
      <c r="F686" s="2153">
        <v>44475</v>
      </c>
      <c r="G686" s="2153">
        <v>44557</v>
      </c>
      <c r="H686" s="2154"/>
      <c r="I686" s="2094"/>
      <c r="J686" s="2094"/>
      <c r="K686" s="2094"/>
      <c r="L686" s="2157"/>
      <c r="M686" s="2154"/>
    </row>
    <row r="687" spans="1:13" hidden="1">
      <c r="A687" s="2153">
        <v>44469</v>
      </c>
      <c r="B687" s="2154" t="s">
        <v>9979</v>
      </c>
      <c r="C687" s="2154" t="s">
        <v>69</v>
      </c>
      <c r="D687" s="2157">
        <v>1335396</v>
      </c>
      <c r="E687" s="2154" t="s">
        <v>251</v>
      </c>
      <c r="F687" s="2153">
        <v>44475</v>
      </c>
      <c r="G687" s="2153">
        <v>44557</v>
      </c>
      <c r="H687" s="2154"/>
      <c r="I687" s="2094"/>
      <c r="J687" s="2094"/>
      <c r="K687" s="2094"/>
      <c r="L687" s="2157"/>
      <c r="M687" s="2154"/>
    </row>
    <row r="688" spans="1:13" ht="15.75" hidden="1" thickBot="1">
      <c r="A688" s="2130">
        <v>44469</v>
      </c>
      <c r="B688" s="2131" t="s">
        <v>9979</v>
      </c>
      <c r="C688" s="2131" t="s">
        <v>69</v>
      </c>
      <c r="D688" s="2134">
        <v>4776300</v>
      </c>
      <c r="E688" s="2131" t="s">
        <v>251</v>
      </c>
      <c r="F688" s="2130">
        <v>44475</v>
      </c>
      <c r="G688" s="2130">
        <v>44557</v>
      </c>
      <c r="H688" s="2131"/>
      <c r="I688" s="2095"/>
      <c r="J688" s="2095"/>
      <c r="K688" s="2095"/>
      <c r="L688" s="2134"/>
      <c r="M688" s="2131"/>
    </row>
    <row r="689" spans="1:18" hidden="1">
      <c r="A689" s="580">
        <v>44469</v>
      </c>
      <c r="B689" s="576" t="s">
        <v>9988</v>
      </c>
      <c r="C689" s="576" t="s">
        <v>9694</v>
      </c>
      <c r="D689" s="581">
        <v>160000000</v>
      </c>
      <c r="E689" s="576" t="s">
        <v>251</v>
      </c>
      <c r="F689" s="580">
        <v>44547</v>
      </c>
      <c r="G689" s="580">
        <v>44581</v>
      </c>
      <c r="H689" s="576"/>
      <c r="I689" s="1489"/>
      <c r="J689" s="1489"/>
      <c r="K689" s="1489"/>
      <c r="L689" s="581"/>
      <c r="M689" s="576"/>
    </row>
    <row r="690" spans="1:18" hidden="1">
      <c r="A690" s="2153">
        <v>44453</v>
      </c>
      <c r="B690" s="2154" t="s">
        <v>9991</v>
      </c>
      <c r="C690" s="2154" t="s">
        <v>58</v>
      </c>
      <c r="D690" s="2157">
        <v>2800000</v>
      </c>
      <c r="E690" s="2154" t="s">
        <v>251</v>
      </c>
      <c r="F690" s="2153">
        <v>44480</v>
      </c>
      <c r="G690" s="2153">
        <v>44512</v>
      </c>
      <c r="H690" s="2153">
        <v>44553</v>
      </c>
      <c r="I690" s="2094"/>
      <c r="J690" s="2094"/>
      <c r="K690" s="2094"/>
      <c r="L690" s="2160">
        <v>44553</v>
      </c>
      <c r="M690" s="2154"/>
    </row>
    <row r="691" spans="1:18" hidden="1">
      <c r="A691" s="2125" t="s">
        <v>3585</v>
      </c>
      <c r="B691" s="2125" t="s">
        <v>10001</v>
      </c>
      <c r="C691" s="2125" t="s">
        <v>289</v>
      </c>
      <c r="D691" s="2128">
        <v>150000</v>
      </c>
      <c r="E691" s="2125" t="s">
        <v>112</v>
      </c>
      <c r="F691" s="2124">
        <v>44475</v>
      </c>
      <c r="G691" s="2124">
        <v>44483</v>
      </c>
      <c r="H691" s="2125"/>
      <c r="I691" s="2129"/>
      <c r="J691" s="2129"/>
      <c r="K691" s="2129"/>
      <c r="L691" s="2128"/>
      <c r="M691" s="2125"/>
    </row>
    <row r="692" spans="1:18">
      <c r="A692" s="416">
        <v>44469</v>
      </c>
      <c r="B692" s="411" t="s">
        <v>10004</v>
      </c>
      <c r="C692" s="411" t="s">
        <v>1032</v>
      </c>
      <c r="D692" s="417">
        <v>590000</v>
      </c>
      <c r="E692" s="411" t="s">
        <v>112</v>
      </c>
      <c r="F692" s="416">
        <v>44474</v>
      </c>
      <c r="G692" s="416">
        <v>44491</v>
      </c>
      <c r="H692" s="416">
        <v>44502</v>
      </c>
      <c r="I692" s="2145"/>
      <c r="J692" s="2145"/>
      <c r="K692" s="2145"/>
      <c r="L692" s="513">
        <v>44502</v>
      </c>
      <c r="M692" s="416">
        <v>44522</v>
      </c>
      <c r="N692" s="2503">
        <f>F692-A692</f>
        <v>5</v>
      </c>
      <c r="O692" s="2503">
        <f>G692-F692</f>
        <v>17</v>
      </c>
      <c r="P692" s="2503">
        <f>H692-G692</f>
        <v>11</v>
      </c>
      <c r="Q692" s="2503">
        <f>M692-H692</f>
        <v>20</v>
      </c>
      <c r="R692" s="2503">
        <f>M692-A692</f>
        <v>53</v>
      </c>
    </row>
    <row r="693" spans="1:18" ht="15.75" hidden="1" thickTop="1">
      <c r="A693" s="425" t="s">
        <v>3585</v>
      </c>
      <c r="B693" s="425" t="s">
        <v>10006</v>
      </c>
      <c r="C693" s="425" t="s">
        <v>69</v>
      </c>
      <c r="D693" s="429">
        <v>733738</v>
      </c>
      <c r="E693" s="425" t="s">
        <v>112</v>
      </c>
      <c r="F693" s="428">
        <v>44480</v>
      </c>
      <c r="G693" s="428">
        <v>44487</v>
      </c>
      <c r="H693" s="425" t="s">
        <v>10595</v>
      </c>
      <c r="I693" s="2094"/>
      <c r="J693" s="2094"/>
      <c r="K693" s="2094"/>
      <c r="L693" s="1384">
        <v>44546</v>
      </c>
      <c r="M693" s="425"/>
    </row>
    <row r="694" spans="1:18" hidden="1">
      <c r="A694" s="2154" t="s">
        <v>3585</v>
      </c>
      <c r="B694" s="2154" t="s">
        <v>10006</v>
      </c>
      <c r="C694" s="2154" t="s">
        <v>69</v>
      </c>
      <c r="D694" s="2157">
        <v>102837</v>
      </c>
      <c r="E694" s="2154" t="s">
        <v>112</v>
      </c>
      <c r="F694" s="2153">
        <v>44480</v>
      </c>
      <c r="G694" s="2153">
        <v>44487</v>
      </c>
      <c r="H694" s="2154"/>
      <c r="I694" s="2094"/>
      <c r="J694" s="2094"/>
      <c r="K694" s="2094"/>
      <c r="L694" s="2157"/>
      <c r="M694" s="2154"/>
    </row>
    <row r="695" spans="1:18" hidden="1">
      <c r="A695" s="2125" t="s">
        <v>3585</v>
      </c>
      <c r="B695" s="2125" t="s">
        <v>10006</v>
      </c>
      <c r="C695" s="2125" t="s">
        <v>69</v>
      </c>
      <c r="D695" s="2128">
        <v>52000</v>
      </c>
      <c r="E695" s="2125" t="s">
        <v>112</v>
      </c>
      <c r="F695" s="2124">
        <v>44480</v>
      </c>
      <c r="G695" s="2124">
        <v>44487</v>
      </c>
      <c r="H695" s="2125"/>
      <c r="I695" s="2129"/>
      <c r="J695" s="2129"/>
      <c r="K695" s="2129"/>
      <c r="L695" s="2128"/>
      <c r="M695" s="2125"/>
    </row>
    <row r="696" spans="1:18" hidden="1">
      <c r="A696" s="2154" t="s">
        <v>3585</v>
      </c>
      <c r="B696" s="2154" t="s">
        <v>10006</v>
      </c>
      <c r="C696" s="2154" t="s">
        <v>69</v>
      </c>
      <c r="D696" s="2157">
        <v>287058</v>
      </c>
      <c r="E696" s="2154" t="s">
        <v>112</v>
      </c>
      <c r="F696" s="2153">
        <v>44480</v>
      </c>
      <c r="G696" s="2153">
        <v>44487</v>
      </c>
      <c r="H696" s="2154" t="s">
        <v>10595</v>
      </c>
      <c r="I696" s="2094"/>
      <c r="J696" s="2094"/>
      <c r="K696" s="2094"/>
      <c r="L696" s="2160">
        <v>44546</v>
      </c>
      <c r="M696" s="2154"/>
    </row>
    <row r="697" spans="1:18" ht="15.75" hidden="1" thickBot="1">
      <c r="A697" s="2131" t="s">
        <v>3585</v>
      </c>
      <c r="B697" s="2131" t="s">
        <v>10006</v>
      </c>
      <c r="C697" s="2131" t="s">
        <v>69</v>
      </c>
      <c r="D697" s="2134">
        <v>195234</v>
      </c>
      <c r="E697" s="2131" t="s">
        <v>112</v>
      </c>
      <c r="F697" s="2130">
        <v>44480</v>
      </c>
      <c r="G697" s="2130">
        <v>44487</v>
      </c>
      <c r="H697" s="2131"/>
      <c r="I697" s="2129"/>
      <c r="J697" s="2129"/>
      <c r="K697" s="2129"/>
      <c r="L697" s="2134"/>
      <c r="M697" s="2131"/>
    </row>
    <row r="698" spans="1:18" hidden="1">
      <c r="A698" s="840">
        <v>44470</v>
      </c>
      <c r="B698" s="423" t="s">
        <v>10008</v>
      </c>
      <c r="C698" s="423" t="s">
        <v>2434</v>
      </c>
      <c r="D698" s="841">
        <v>4914000</v>
      </c>
      <c r="E698" s="423" t="s">
        <v>251</v>
      </c>
      <c r="F698" s="840">
        <v>44487</v>
      </c>
      <c r="G698" s="840">
        <v>44522</v>
      </c>
      <c r="H698" s="840">
        <v>44546</v>
      </c>
      <c r="I698" s="2094"/>
      <c r="J698" s="2094"/>
      <c r="K698" s="2094"/>
      <c r="L698" s="1392">
        <v>44546</v>
      </c>
      <c r="M698" s="423"/>
    </row>
    <row r="699" spans="1:18" hidden="1">
      <c r="A699" s="2153">
        <v>44473</v>
      </c>
      <c r="B699" s="2154" t="s">
        <v>10010</v>
      </c>
      <c r="C699" s="2154" t="s">
        <v>2434</v>
      </c>
      <c r="D699" s="2157">
        <v>3311000</v>
      </c>
      <c r="E699" s="2154" t="s">
        <v>251</v>
      </c>
      <c r="F699" s="2153">
        <v>44481</v>
      </c>
      <c r="G699" s="2153">
        <v>44516</v>
      </c>
      <c r="H699" s="2153">
        <v>44531</v>
      </c>
      <c r="I699" s="2094"/>
      <c r="J699" s="2094"/>
      <c r="K699" s="2094"/>
      <c r="L699" s="2160">
        <v>44531</v>
      </c>
      <c r="M699" s="2154"/>
    </row>
    <row r="700" spans="1:18" hidden="1">
      <c r="A700" s="464">
        <v>44473</v>
      </c>
      <c r="B700" s="406" t="s">
        <v>10010</v>
      </c>
      <c r="C700" s="406" t="s">
        <v>2434</v>
      </c>
      <c r="D700" s="465">
        <v>5213900</v>
      </c>
      <c r="E700" s="406" t="s">
        <v>251</v>
      </c>
      <c r="F700" s="464">
        <v>44481</v>
      </c>
      <c r="G700" s="464">
        <v>44516</v>
      </c>
      <c r="H700" s="464">
        <v>44531</v>
      </c>
      <c r="I700" s="1490"/>
      <c r="J700" s="1490"/>
      <c r="K700" s="1490"/>
      <c r="L700" s="1809">
        <v>44531</v>
      </c>
      <c r="M700" s="406"/>
    </row>
    <row r="701" spans="1:18" ht="15.75" hidden="1" thickTop="1">
      <c r="A701" s="428">
        <v>44473</v>
      </c>
      <c r="B701" s="425" t="s">
        <v>10013</v>
      </c>
      <c r="C701" s="425" t="s">
        <v>2434</v>
      </c>
      <c r="D701" s="429">
        <v>681480</v>
      </c>
      <c r="E701" s="425" t="s">
        <v>251</v>
      </c>
      <c r="F701" s="428">
        <v>44481</v>
      </c>
      <c r="G701" s="428">
        <v>44515</v>
      </c>
      <c r="H701" s="428">
        <v>44539</v>
      </c>
      <c r="I701" s="1483"/>
      <c r="J701" s="1483"/>
      <c r="K701" s="1483"/>
      <c r="L701" s="1384">
        <v>44539</v>
      </c>
      <c r="M701" s="425"/>
    </row>
    <row r="702" spans="1:18" hidden="1">
      <c r="A702" s="2124">
        <v>44473</v>
      </c>
      <c r="B702" s="2125" t="s">
        <v>10013</v>
      </c>
      <c r="C702" s="2125" t="s">
        <v>2434</v>
      </c>
      <c r="D702" s="2128">
        <v>1400000</v>
      </c>
      <c r="E702" s="2125" t="s">
        <v>251</v>
      </c>
      <c r="F702" s="2124">
        <v>44481</v>
      </c>
      <c r="G702" s="2124">
        <v>44515</v>
      </c>
      <c r="H702" s="2125"/>
      <c r="I702" s="2129"/>
      <c r="J702" s="2129"/>
      <c r="K702" s="2129"/>
      <c r="L702" s="2128"/>
      <c r="M702" s="2125"/>
    </row>
    <row r="703" spans="1:18" hidden="1">
      <c r="A703" s="2153">
        <v>44473</v>
      </c>
      <c r="B703" s="2154" t="s">
        <v>10013</v>
      </c>
      <c r="C703" s="2154" t="s">
        <v>2434</v>
      </c>
      <c r="D703" s="2157">
        <v>120600</v>
      </c>
      <c r="E703" s="2154" t="s">
        <v>251</v>
      </c>
      <c r="F703" s="2153">
        <v>44481</v>
      </c>
      <c r="G703" s="2153">
        <v>44515</v>
      </c>
      <c r="H703" s="2153">
        <v>44539</v>
      </c>
      <c r="I703" s="2094"/>
      <c r="J703" s="2094"/>
      <c r="K703" s="2094"/>
      <c r="L703" s="2160">
        <v>44539</v>
      </c>
      <c r="M703" s="2154"/>
    </row>
    <row r="704" spans="1:18" hidden="1">
      <c r="A704" s="2124">
        <v>44473</v>
      </c>
      <c r="B704" s="2125" t="s">
        <v>10013</v>
      </c>
      <c r="C704" s="2125" t="s">
        <v>2434</v>
      </c>
      <c r="D704" s="2128">
        <v>125160</v>
      </c>
      <c r="E704" s="2125" t="s">
        <v>251</v>
      </c>
      <c r="F704" s="2124">
        <v>44481</v>
      </c>
      <c r="G704" s="2124">
        <v>44515</v>
      </c>
      <c r="H704" s="2125"/>
      <c r="I704" s="2129"/>
      <c r="J704" s="2129"/>
      <c r="K704" s="2129"/>
      <c r="L704" s="2128"/>
      <c r="M704" s="2125"/>
    </row>
    <row r="705" spans="1:18" ht="15.75" hidden="1" thickBot="1">
      <c r="A705" s="2130">
        <v>44473</v>
      </c>
      <c r="B705" s="2131" t="s">
        <v>10013</v>
      </c>
      <c r="C705" s="2131" t="s">
        <v>2434</v>
      </c>
      <c r="D705" s="2134">
        <v>2080500</v>
      </c>
      <c r="E705" s="2131" t="s">
        <v>251</v>
      </c>
      <c r="F705" s="2130">
        <v>44481</v>
      </c>
      <c r="G705" s="2130">
        <v>44515</v>
      </c>
      <c r="H705" s="2131"/>
      <c r="I705" s="2135"/>
      <c r="J705" s="2135"/>
      <c r="K705" s="2135"/>
      <c r="L705" s="2134"/>
      <c r="M705" s="2131"/>
    </row>
    <row r="706" spans="1:18" hidden="1">
      <c r="A706" s="840">
        <v>44473</v>
      </c>
      <c r="B706" s="423" t="s">
        <v>10019</v>
      </c>
      <c r="C706" s="423" t="s">
        <v>2434</v>
      </c>
      <c r="D706" s="841">
        <v>3561600</v>
      </c>
      <c r="E706" s="423" t="s">
        <v>251</v>
      </c>
      <c r="F706" s="840">
        <v>44482</v>
      </c>
      <c r="G706" s="840">
        <v>44525</v>
      </c>
      <c r="H706" s="423"/>
      <c r="I706" s="1489"/>
      <c r="J706" s="1489"/>
      <c r="K706" s="1489"/>
      <c r="L706" s="841"/>
      <c r="M706" s="423"/>
    </row>
    <row r="707" spans="1:18" hidden="1">
      <c r="A707" s="2125" t="s">
        <v>3585</v>
      </c>
      <c r="B707" s="2125" t="s">
        <v>10023</v>
      </c>
      <c r="C707" s="2125" t="s">
        <v>9800</v>
      </c>
      <c r="D707" s="2128">
        <v>200000</v>
      </c>
      <c r="E707" s="2125" t="s">
        <v>112</v>
      </c>
      <c r="F707" s="2124">
        <v>44474</v>
      </c>
      <c r="G707" s="2124">
        <v>44480</v>
      </c>
      <c r="H707" s="2125"/>
      <c r="I707" s="2348"/>
      <c r="J707" s="2348"/>
      <c r="K707" s="2348"/>
      <c r="L707" s="2128"/>
      <c r="M707" s="356"/>
    </row>
    <row r="708" spans="1:18" hidden="1">
      <c r="A708" s="2124">
        <v>44445</v>
      </c>
      <c r="B708" s="2125" t="s">
        <v>10032</v>
      </c>
      <c r="C708" s="2125" t="s">
        <v>58</v>
      </c>
      <c r="D708" s="2128">
        <v>330000</v>
      </c>
      <c r="E708" s="2125" t="s">
        <v>112</v>
      </c>
      <c r="F708" s="2124">
        <v>44481</v>
      </c>
      <c r="G708" s="2124">
        <v>44490</v>
      </c>
      <c r="H708" s="2125"/>
      <c r="I708" s="2094"/>
      <c r="J708" s="2094"/>
      <c r="K708" s="2094"/>
      <c r="L708" s="2128"/>
      <c r="M708" s="2125"/>
    </row>
    <row r="709" spans="1:18" s="390" customFormat="1" hidden="1">
      <c r="A709" s="2084">
        <v>44516</v>
      </c>
      <c r="B709" s="2085" t="s">
        <v>10401</v>
      </c>
      <c r="C709" s="2085" t="s">
        <v>69</v>
      </c>
      <c r="D709" s="2092">
        <v>7471900</v>
      </c>
      <c r="E709" s="2085" t="s">
        <v>251</v>
      </c>
      <c r="F709" s="2084">
        <v>44536</v>
      </c>
      <c r="G709" s="2084">
        <v>44571</v>
      </c>
      <c r="H709" s="2085"/>
      <c r="I709" s="2094"/>
      <c r="J709" s="2094"/>
      <c r="K709" s="2094"/>
      <c r="L709" s="2092"/>
      <c r="M709" s="2085"/>
      <c r="N709" s="2504"/>
      <c r="O709" s="2504"/>
      <c r="P709" s="2504"/>
      <c r="Q709" s="2504"/>
      <c r="R709" s="2504"/>
    </row>
    <row r="710" spans="1:18">
      <c r="A710" s="2140">
        <v>44469</v>
      </c>
      <c r="B710" s="2141" t="s">
        <v>10044</v>
      </c>
      <c r="C710" s="2141" t="s">
        <v>58</v>
      </c>
      <c r="D710" s="2144">
        <v>1329000</v>
      </c>
      <c r="E710" s="2141" t="s">
        <v>112</v>
      </c>
      <c r="F710" s="2140">
        <v>44494</v>
      </c>
      <c r="G710" s="2140">
        <v>44509</v>
      </c>
      <c r="H710" s="2140">
        <v>44516</v>
      </c>
      <c r="I710" s="2145"/>
      <c r="J710" s="2145"/>
      <c r="K710" s="2145"/>
      <c r="L710" s="2146">
        <v>44516</v>
      </c>
      <c r="M710" s="2140">
        <v>44530</v>
      </c>
      <c r="N710" s="2503">
        <f t="shared" ref="N710:N714" si="380">F710-A710</f>
        <v>25</v>
      </c>
      <c r="O710" s="2503">
        <f t="shared" ref="O710:O714" si="381">G710-F710</f>
        <v>15</v>
      </c>
      <c r="P710" s="2503">
        <f t="shared" ref="P710:P714" si="382">H710-G710</f>
        <v>7</v>
      </c>
      <c r="Q710" s="2503">
        <f t="shared" ref="Q710:Q714" si="383">M710-H710</f>
        <v>14</v>
      </c>
      <c r="R710" s="2503">
        <f t="shared" ref="R710:R714" si="384">M710-A710</f>
        <v>61</v>
      </c>
    </row>
    <row r="711" spans="1:18" ht="15.75" thickBot="1">
      <c r="A711" s="416">
        <v>44460</v>
      </c>
      <c r="B711" s="411" t="s">
        <v>10045</v>
      </c>
      <c r="C711" s="411" t="s">
        <v>58</v>
      </c>
      <c r="D711" s="417">
        <v>1767000</v>
      </c>
      <c r="E711" s="411" t="s">
        <v>112</v>
      </c>
      <c r="F711" s="416">
        <v>44483</v>
      </c>
      <c r="G711" s="416">
        <v>44494</v>
      </c>
      <c r="H711" s="416">
        <v>44508</v>
      </c>
      <c r="I711" s="1480"/>
      <c r="J711" s="1480"/>
      <c r="K711" s="1480"/>
      <c r="L711" s="513">
        <v>44509</v>
      </c>
      <c r="M711" s="416">
        <v>44537</v>
      </c>
      <c r="N711" s="2503">
        <f t="shared" si="380"/>
        <v>23</v>
      </c>
      <c r="O711" s="2503">
        <f t="shared" si="381"/>
        <v>11</v>
      </c>
      <c r="P711" s="2503">
        <f t="shared" si="382"/>
        <v>14</v>
      </c>
      <c r="Q711" s="2503">
        <f t="shared" si="383"/>
        <v>29</v>
      </c>
      <c r="R711" s="2503">
        <f t="shared" si="384"/>
        <v>77</v>
      </c>
    </row>
    <row r="712" spans="1:18" ht="15.75" thickTop="1">
      <c r="A712" s="474">
        <v>44463</v>
      </c>
      <c r="B712" s="453" t="s">
        <v>10050</v>
      </c>
      <c r="C712" s="453" t="s">
        <v>58</v>
      </c>
      <c r="D712" s="457">
        <v>880000</v>
      </c>
      <c r="E712" s="453" t="s">
        <v>112</v>
      </c>
      <c r="F712" s="474">
        <v>44484</v>
      </c>
      <c r="G712" s="474">
        <v>44495</v>
      </c>
      <c r="H712" s="474">
        <v>44515</v>
      </c>
      <c r="I712" s="1474"/>
      <c r="J712" s="1474"/>
      <c r="K712" s="1474"/>
      <c r="L712" s="570">
        <v>44515</v>
      </c>
      <c r="M712" s="474">
        <v>44538</v>
      </c>
      <c r="N712" s="2503">
        <f t="shared" si="380"/>
        <v>21</v>
      </c>
      <c r="O712" s="2503">
        <f t="shared" si="381"/>
        <v>11</v>
      </c>
      <c r="P712" s="2503">
        <f t="shared" si="382"/>
        <v>20</v>
      </c>
      <c r="Q712" s="2503">
        <f t="shared" si="383"/>
        <v>23</v>
      </c>
      <c r="R712" s="2503">
        <f t="shared" si="384"/>
        <v>75</v>
      </c>
    </row>
    <row r="713" spans="1:18">
      <c r="A713" s="2140">
        <v>44463</v>
      </c>
      <c r="B713" s="2141" t="s">
        <v>10050</v>
      </c>
      <c r="C713" s="2141" t="s">
        <v>58</v>
      </c>
      <c r="D713" s="2144">
        <v>370400</v>
      </c>
      <c r="E713" s="2141" t="s">
        <v>112</v>
      </c>
      <c r="F713" s="2140">
        <v>44484</v>
      </c>
      <c r="G713" s="2140">
        <v>44495</v>
      </c>
      <c r="H713" s="2140">
        <v>44515</v>
      </c>
      <c r="I713" s="2145"/>
      <c r="J713" s="2145"/>
      <c r="K713" s="2145"/>
      <c r="L713" s="2146">
        <v>44515</v>
      </c>
      <c r="M713" s="2140">
        <v>44533</v>
      </c>
      <c r="N713" s="2503">
        <f t="shared" si="380"/>
        <v>21</v>
      </c>
      <c r="O713" s="2503">
        <f t="shared" si="381"/>
        <v>11</v>
      </c>
      <c r="P713" s="2503">
        <f t="shared" si="382"/>
        <v>20</v>
      </c>
      <c r="Q713" s="2503">
        <f t="shared" si="383"/>
        <v>18</v>
      </c>
      <c r="R713" s="2503">
        <f t="shared" si="384"/>
        <v>70</v>
      </c>
    </row>
    <row r="714" spans="1:18" ht="15.75" thickBot="1">
      <c r="A714" s="2117">
        <v>44463</v>
      </c>
      <c r="B714" s="2118" t="s">
        <v>10050</v>
      </c>
      <c r="C714" s="2118" t="s">
        <v>58</v>
      </c>
      <c r="D714" s="2121">
        <v>560000</v>
      </c>
      <c r="E714" s="2118" t="s">
        <v>112</v>
      </c>
      <c r="F714" s="2117">
        <v>44484</v>
      </c>
      <c r="G714" s="2117">
        <v>44495</v>
      </c>
      <c r="H714" s="2117">
        <v>44515</v>
      </c>
      <c r="I714" s="2122"/>
      <c r="J714" s="2122"/>
      <c r="K714" s="2122"/>
      <c r="L714" s="2123">
        <v>44515</v>
      </c>
      <c r="M714" s="2117">
        <v>44538</v>
      </c>
      <c r="N714" s="2503">
        <f t="shared" si="380"/>
        <v>21</v>
      </c>
      <c r="O714" s="2503">
        <f t="shared" si="381"/>
        <v>11</v>
      </c>
      <c r="P714" s="2503">
        <f t="shared" si="382"/>
        <v>20</v>
      </c>
      <c r="Q714" s="2503">
        <f t="shared" si="383"/>
        <v>23</v>
      </c>
      <c r="R714" s="2503">
        <f t="shared" si="384"/>
        <v>75</v>
      </c>
    </row>
    <row r="715" spans="1:18" ht="15.75" hidden="1" thickTop="1">
      <c r="A715" s="840">
        <v>44482</v>
      </c>
      <c r="B715" s="423" t="s">
        <v>10053</v>
      </c>
      <c r="C715" s="423" t="s">
        <v>52</v>
      </c>
      <c r="D715" s="841">
        <v>40000000</v>
      </c>
      <c r="E715" s="423" t="s">
        <v>216</v>
      </c>
      <c r="F715" s="840">
        <v>44491</v>
      </c>
      <c r="G715" s="840">
        <v>44525</v>
      </c>
      <c r="H715" s="840">
        <v>44553</v>
      </c>
      <c r="I715" s="1489"/>
      <c r="J715" s="1489"/>
      <c r="K715" s="1489"/>
      <c r="L715" s="1392">
        <v>44553</v>
      </c>
      <c r="M715" s="423"/>
    </row>
    <row r="716" spans="1:18" ht="15.75" thickTop="1">
      <c r="A716" s="2140">
        <v>44475</v>
      </c>
      <c r="B716" s="2141" t="s">
        <v>10066</v>
      </c>
      <c r="C716" s="2141" t="s">
        <v>58</v>
      </c>
      <c r="D716" s="2144">
        <v>350900</v>
      </c>
      <c r="E716" s="2141" t="s">
        <v>112</v>
      </c>
      <c r="F716" s="2140">
        <v>44484</v>
      </c>
      <c r="G716" s="2140">
        <v>44498</v>
      </c>
      <c r="H716" s="2140">
        <v>44515</v>
      </c>
      <c r="I716" s="2145"/>
      <c r="J716" s="2145"/>
      <c r="K716" s="2145"/>
      <c r="L716" s="2146">
        <v>44515</v>
      </c>
      <c r="M716" s="2140">
        <v>44538</v>
      </c>
      <c r="N716" s="2503">
        <f t="shared" ref="N716:N719" si="385">F716-A716</f>
        <v>9</v>
      </c>
      <c r="O716" s="2503">
        <f t="shared" ref="O716:O719" si="386">G716-F716</f>
        <v>14</v>
      </c>
      <c r="P716" s="2503">
        <f t="shared" ref="P716:P719" si="387">H716-G716</f>
        <v>17</v>
      </c>
      <c r="Q716" s="2503">
        <f t="shared" ref="Q716:Q719" si="388">M716-H716</f>
        <v>23</v>
      </c>
      <c r="R716" s="2503">
        <f t="shared" ref="R716:R719" si="389">M716-A716</f>
        <v>63</v>
      </c>
    </row>
    <row r="717" spans="1:18">
      <c r="A717" s="2140">
        <v>44463</v>
      </c>
      <c r="B717" s="2141" t="s">
        <v>10076</v>
      </c>
      <c r="C717" s="2141" t="s">
        <v>58</v>
      </c>
      <c r="D717" s="2144">
        <v>392900</v>
      </c>
      <c r="E717" s="2141" t="s">
        <v>112</v>
      </c>
      <c r="F717" s="2140">
        <v>44487</v>
      </c>
      <c r="G717" s="2140">
        <v>44496</v>
      </c>
      <c r="H717" s="2140">
        <v>44508</v>
      </c>
      <c r="I717" s="2145"/>
      <c r="J717" s="2145"/>
      <c r="K717" s="2145"/>
      <c r="L717" s="2146">
        <v>44509</v>
      </c>
      <c r="M717" s="2140">
        <v>44532</v>
      </c>
      <c r="N717" s="2503">
        <f t="shared" si="385"/>
        <v>24</v>
      </c>
      <c r="O717" s="2503">
        <f t="shared" si="386"/>
        <v>9</v>
      </c>
      <c r="P717" s="2503">
        <f t="shared" si="387"/>
        <v>12</v>
      </c>
      <c r="Q717" s="2503">
        <f t="shared" si="388"/>
        <v>24</v>
      </c>
      <c r="R717" s="2503">
        <f t="shared" si="389"/>
        <v>69</v>
      </c>
    </row>
    <row r="718" spans="1:18">
      <c r="A718" s="2140">
        <v>44483</v>
      </c>
      <c r="B718" s="2141" t="s">
        <v>10079</v>
      </c>
      <c r="C718" s="2141" t="s">
        <v>69</v>
      </c>
      <c r="D718" s="2144">
        <v>1301900</v>
      </c>
      <c r="E718" s="2141" t="s">
        <v>112</v>
      </c>
      <c r="F718" s="2140">
        <v>44488</v>
      </c>
      <c r="G718" s="2140">
        <v>44495</v>
      </c>
      <c r="H718" s="2140">
        <v>44519</v>
      </c>
      <c r="I718" s="2145"/>
      <c r="J718" s="2145"/>
      <c r="K718" s="2145"/>
      <c r="L718" s="2146">
        <v>44519</v>
      </c>
      <c r="M718" s="2140">
        <v>44551</v>
      </c>
      <c r="N718" s="2503">
        <f t="shared" si="385"/>
        <v>5</v>
      </c>
      <c r="O718" s="2503">
        <f t="shared" si="386"/>
        <v>7</v>
      </c>
      <c r="P718" s="2503">
        <f t="shared" si="387"/>
        <v>24</v>
      </c>
      <c r="Q718" s="2503">
        <f t="shared" si="388"/>
        <v>32</v>
      </c>
      <c r="R718" s="2503">
        <f t="shared" si="389"/>
        <v>68</v>
      </c>
    </row>
    <row r="719" spans="1:18">
      <c r="A719" s="2140">
        <v>44483</v>
      </c>
      <c r="B719" s="2141" t="s">
        <v>10081</v>
      </c>
      <c r="C719" s="2141" t="s">
        <v>69</v>
      </c>
      <c r="D719" s="2144">
        <v>1386789</v>
      </c>
      <c r="E719" s="2141" t="s">
        <v>112</v>
      </c>
      <c r="F719" s="2140">
        <v>44488</v>
      </c>
      <c r="G719" s="2140">
        <v>44495</v>
      </c>
      <c r="H719" s="2140">
        <v>44519</v>
      </c>
      <c r="I719" s="2145"/>
      <c r="J719" s="2145"/>
      <c r="K719" s="2145"/>
      <c r="L719" s="2146">
        <v>44519</v>
      </c>
      <c r="M719" s="2140">
        <v>44551</v>
      </c>
      <c r="N719" s="2503">
        <f t="shared" si="385"/>
        <v>5</v>
      </c>
      <c r="O719" s="2503">
        <f t="shared" si="386"/>
        <v>7</v>
      </c>
      <c r="P719" s="2503">
        <f t="shared" si="387"/>
        <v>24</v>
      </c>
      <c r="Q719" s="2503">
        <f t="shared" si="388"/>
        <v>32</v>
      </c>
      <c r="R719" s="2503">
        <f t="shared" si="389"/>
        <v>68</v>
      </c>
    </row>
    <row r="720" spans="1:18" hidden="1">
      <c r="A720" s="2153">
        <v>44483</v>
      </c>
      <c r="B720" s="2154" t="s">
        <v>10081</v>
      </c>
      <c r="C720" s="2154" t="s">
        <v>69</v>
      </c>
      <c r="D720" s="2157">
        <v>197787</v>
      </c>
      <c r="E720" s="2154" t="s">
        <v>112</v>
      </c>
      <c r="F720" s="2153">
        <v>44488</v>
      </c>
      <c r="G720" s="2153">
        <v>44495</v>
      </c>
      <c r="H720" s="2153">
        <v>44519</v>
      </c>
      <c r="I720" s="2094"/>
      <c r="J720" s="2094"/>
      <c r="K720" s="2094"/>
      <c r="L720" s="2160">
        <v>44519</v>
      </c>
      <c r="M720" s="2154"/>
    </row>
    <row r="721" spans="1:18" hidden="1">
      <c r="A721" s="2153">
        <v>44483</v>
      </c>
      <c r="B721" s="2154" t="s">
        <v>10086</v>
      </c>
      <c r="C721" s="2154" t="s">
        <v>6561</v>
      </c>
      <c r="D721" s="2157">
        <v>7600000</v>
      </c>
      <c r="E721" s="2154" t="s">
        <v>216</v>
      </c>
      <c r="F721" s="2153">
        <v>44495</v>
      </c>
      <c r="G721" s="2153">
        <v>44530</v>
      </c>
      <c r="H721" s="2153">
        <v>44546</v>
      </c>
      <c r="I721" s="2094"/>
      <c r="J721" s="2094"/>
      <c r="K721" s="2094"/>
      <c r="L721" s="2160">
        <v>44546</v>
      </c>
      <c r="M721" s="2154"/>
    </row>
    <row r="722" spans="1:18">
      <c r="A722" s="2140">
        <v>44475</v>
      </c>
      <c r="B722" s="2141" t="s">
        <v>10091</v>
      </c>
      <c r="C722" s="2141" t="s">
        <v>58</v>
      </c>
      <c r="D722" s="2144">
        <v>534000</v>
      </c>
      <c r="E722" s="2141" t="s">
        <v>112</v>
      </c>
      <c r="F722" s="2140">
        <v>44489</v>
      </c>
      <c r="G722" s="2140">
        <v>44501</v>
      </c>
      <c r="H722" s="2140">
        <v>44516</v>
      </c>
      <c r="I722" s="2145"/>
      <c r="J722" s="2145"/>
      <c r="K722" s="2145"/>
      <c r="L722" s="2146">
        <v>44516</v>
      </c>
      <c r="M722" s="2140">
        <v>44557</v>
      </c>
      <c r="N722" s="2503">
        <f t="shared" ref="N722:N723" si="390">F722-A722</f>
        <v>14</v>
      </c>
      <c r="O722" s="2503">
        <f t="shared" ref="O722:O723" si="391">G722-F722</f>
        <v>12</v>
      </c>
      <c r="P722" s="2503">
        <f t="shared" ref="P722:P723" si="392">H722-G722</f>
        <v>15</v>
      </c>
      <c r="Q722" s="2503">
        <f t="shared" ref="Q722:Q723" si="393">M722-H722</f>
        <v>41</v>
      </c>
      <c r="R722" s="2503">
        <f t="shared" ref="R722:R723" si="394">M722-A722</f>
        <v>82</v>
      </c>
    </row>
    <row r="723" spans="1:18">
      <c r="A723" s="416">
        <v>44445</v>
      </c>
      <c r="B723" s="411" t="s">
        <v>10094</v>
      </c>
      <c r="C723" s="411" t="s">
        <v>58</v>
      </c>
      <c r="D723" s="417">
        <v>230000</v>
      </c>
      <c r="E723" s="411" t="s">
        <v>112</v>
      </c>
      <c r="F723" s="416">
        <v>44490</v>
      </c>
      <c r="G723" s="416">
        <v>44502</v>
      </c>
      <c r="H723" s="416">
        <v>44523</v>
      </c>
      <c r="I723" s="1480"/>
      <c r="J723" s="1480"/>
      <c r="K723" s="1480"/>
      <c r="L723" s="513">
        <v>44524</v>
      </c>
      <c r="M723" s="416">
        <v>44550</v>
      </c>
      <c r="N723" s="2503">
        <f t="shared" si="390"/>
        <v>45</v>
      </c>
      <c r="O723" s="2503">
        <f t="shared" si="391"/>
        <v>12</v>
      </c>
      <c r="P723" s="2503">
        <f t="shared" si="392"/>
        <v>21</v>
      </c>
      <c r="Q723" s="2503">
        <f t="shared" si="393"/>
        <v>27</v>
      </c>
      <c r="R723" s="2503">
        <f t="shared" si="394"/>
        <v>105</v>
      </c>
    </row>
    <row r="724" spans="1:18" ht="15.75" hidden="1" thickBot="1">
      <c r="A724" s="2117" t="s">
        <v>3585</v>
      </c>
      <c r="B724" s="2118" t="s">
        <v>10138</v>
      </c>
      <c r="C724" s="2118" t="s">
        <v>4997</v>
      </c>
      <c r="D724" s="2121">
        <v>2200000</v>
      </c>
      <c r="E724" s="2118" t="s">
        <v>112</v>
      </c>
      <c r="F724" s="2117">
        <v>44491</v>
      </c>
      <c r="G724" s="2117">
        <v>44504</v>
      </c>
      <c r="H724" s="2117">
        <v>44525</v>
      </c>
      <c r="I724" s="2095"/>
      <c r="J724" s="2095"/>
      <c r="K724" s="2095"/>
      <c r="L724" s="2123">
        <v>44525</v>
      </c>
      <c r="M724" s="2117">
        <v>44547</v>
      </c>
    </row>
    <row r="725" spans="1:18" ht="15.75" hidden="1" thickTop="1">
      <c r="A725" s="428">
        <v>44484</v>
      </c>
      <c r="B725" s="425" t="s">
        <v>10097</v>
      </c>
      <c r="C725" s="425" t="s">
        <v>69</v>
      </c>
      <c r="D725" s="429">
        <v>1276147</v>
      </c>
      <c r="E725" s="425" t="s">
        <v>251</v>
      </c>
      <c r="F725" s="428">
        <v>44490</v>
      </c>
      <c r="G725" s="428">
        <v>44560</v>
      </c>
      <c r="H725" s="425"/>
      <c r="I725" s="1483"/>
      <c r="J725" s="1483"/>
      <c r="K725" s="1483"/>
      <c r="L725" s="429"/>
      <c r="M725" s="425"/>
    </row>
    <row r="726" spans="1:18" hidden="1">
      <c r="A726" s="2153">
        <v>44484</v>
      </c>
      <c r="B726" s="2154" t="s">
        <v>10097</v>
      </c>
      <c r="C726" s="2154" t="s">
        <v>69</v>
      </c>
      <c r="D726" s="2157">
        <v>1972042</v>
      </c>
      <c r="E726" s="2154" t="s">
        <v>251</v>
      </c>
      <c r="F726" s="2153">
        <v>44490</v>
      </c>
      <c r="G726" s="2153">
        <v>44560</v>
      </c>
      <c r="H726" s="2154"/>
      <c r="I726" s="2094"/>
      <c r="J726" s="2094"/>
      <c r="K726" s="2094"/>
      <c r="L726" s="2157"/>
      <c r="M726" s="2154"/>
    </row>
    <row r="727" spans="1:18" hidden="1">
      <c r="A727" s="2153">
        <v>44484</v>
      </c>
      <c r="B727" s="2154" t="s">
        <v>10097</v>
      </c>
      <c r="C727" s="2154" t="s">
        <v>69</v>
      </c>
      <c r="D727" s="2157">
        <v>2877337</v>
      </c>
      <c r="E727" s="2154" t="s">
        <v>251</v>
      </c>
      <c r="F727" s="2153">
        <v>44490</v>
      </c>
      <c r="G727" s="2153">
        <v>44560</v>
      </c>
      <c r="H727" s="2154"/>
      <c r="I727" s="2094"/>
      <c r="J727" s="2094"/>
      <c r="K727" s="2094"/>
      <c r="L727" s="2157"/>
      <c r="M727" s="2154"/>
    </row>
    <row r="728" spans="1:18" hidden="1">
      <c r="A728" s="2153">
        <v>44484</v>
      </c>
      <c r="B728" s="2154" t="s">
        <v>10097</v>
      </c>
      <c r="C728" s="2154" t="s">
        <v>69</v>
      </c>
      <c r="D728" s="2157">
        <v>684637</v>
      </c>
      <c r="E728" s="2154" t="s">
        <v>251</v>
      </c>
      <c r="F728" s="2153">
        <v>44490</v>
      </c>
      <c r="G728" s="2153">
        <v>44560</v>
      </c>
      <c r="H728" s="2154"/>
      <c r="I728" s="2094"/>
      <c r="J728" s="2094"/>
      <c r="K728" s="2094"/>
      <c r="L728" s="2157"/>
      <c r="M728" s="2154"/>
    </row>
    <row r="729" spans="1:18" hidden="1">
      <c r="A729" s="2153">
        <v>44484</v>
      </c>
      <c r="B729" s="2154" t="s">
        <v>10097</v>
      </c>
      <c r="C729" s="2154" t="s">
        <v>69</v>
      </c>
      <c r="D729" s="2157">
        <v>1216758</v>
      </c>
      <c r="E729" s="2154" t="s">
        <v>251</v>
      </c>
      <c r="F729" s="2153">
        <v>44490</v>
      </c>
      <c r="G729" s="2153">
        <v>44560</v>
      </c>
      <c r="H729" s="2154"/>
      <c r="I729" s="2094"/>
      <c r="J729" s="2094"/>
      <c r="K729" s="2094"/>
      <c r="L729" s="2157"/>
      <c r="M729" s="2154"/>
    </row>
    <row r="730" spans="1:18" hidden="1">
      <c r="A730" s="2153">
        <v>44484</v>
      </c>
      <c r="B730" s="2154" t="s">
        <v>10097</v>
      </c>
      <c r="C730" s="2154" t="s">
        <v>69</v>
      </c>
      <c r="D730" s="2157">
        <v>7116805</v>
      </c>
      <c r="E730" s="2154" t="s">
        <v>251</v>
      </c>
      <c r="F730" s="2153">
        <v>44490</v>
      </c>
      <c r="G730" s="2153">
        <v>44560</v>
      </c>
      <c r="H730" s="2154"/>
      <c r="I730" s="2094"/>
      <c r="J730" s="2094"/>
      <c r="K730" s="2094"/>
      <c r="L730" s="2157"/>
      <c r="M730" s="2154"/>
    </row>
    <row r="731" spans="1:18" ht="15.75" hidden="1" thickBot="1">
      <c r="A731" s="2152">
        <v>44484</v>
      </c>
      <c r="B731" s="2297" t="s">
        <v>10097</v>
      </c>
      <c r="C731" s="2297" t="s">
        <v>69</v>
      </c>
      <c r="D731" s="2299">
        <v>3120030</v>
      </c>
      <c r="E731" s="2297" t="s">
        <v>251</v>
      </c>
      <c r="F731" s="2152">
        <v>44490</v>
      </c>
      <c r="G731" s="2152">
        <v>44560</v>
      </c>
      <c r="H731" s="2297"/>
      <c r="I731" s="2095"/>
      <c r="J731" s="2095"/>
      <c r="K731" s="2095"/>
      <c r="L731" s="2299"/>
      <c r="M731" s="2297"/>
    </row>
    <row r="732" spans="1:18" ht="15.75" hidden="1" thickTop="1">
      <c r="A732" s="587">
        <v>44484</v>
      </c>
      <c r="B732" s="583" t="s">
        <v>10107</v>
      </c>
      <c r="C732" s="583" t="s">
        <v>69</v>
      </c>
      <c r="D732" s="588">
        <v>21966219</v>
      </c>
      <c r="E732" s="583" t="s">
        <v>251</v>
      </c>
      <c r="F732" s="587">
        <v>44525</v>
      </c>
      <c r="G732" s="587">
        <v>44566</v>
      </c>
      <c r="H732" s="583"/>
      <c r="I732" s="1483"/>
      <c r="J732" s="1483"/>
      <c r="K732" s="1483"/>
      <c r="L732" s="588"/>
      <c r="M732" s="583"/>
    </row>
    <row r="733" spans="1:18" hidden="1">
      <c r="A733" s="840">
        <v>44487</v>
      </c>
      <c r="B733" s="423" t="s">
        <v>10113</v>
      </c>
      <c r="C733" s="423" t="s">
        <v>52</v>
      </c>
      <c r="D733" s="841">
        <v>95000000</v>
      </c>
      <c r="E733" s="423" t="s">
        <v>251</v>
      </c>
      <c r="F733" s="840">
        <v>44491</v>
      </c>
      <c r="G733" s="840">
        <v>44550</v>
      </c>
      <c r="H733" s="423"/>
      <c r="I733" s="1489"/>
      <c r="J733" s="1489"/>
      <c r="K733" s="1489"/>
      <c r="L733" s="841"/>
      <c r="M733" s="423"/>
    </row>
    <row r="734" spans="1:18">
      <c r="A734" s="2140">
        <v>44488</v>
      </c>
      <c r="B734" s="2141" t="s">
        <v>10117</v>
      </c>
      <c r="C734" s="2141" t="s">
        <v>14</v>
      </c>
      <c r="D734" s="2144">
        <v>600000</v>
      </c>
      <c r="E734" s="2141" t="s">
        <v>112</v>
      </c>
      <c r="F734" s="2140">
        <v>44488</v>
      </c>
      <c r="G734" s="2140">
        <v>44491</v>
      </c>
      <c r="H734" s="2140">
        <v>44494</v>
      </c>
      <c r="I734" s="2145"/>
      <c r="J734" s="2145"/>
      <c r="K734" s="2145"/>
      <c r="L734" s="2146">
        <v>44494</v>
      </c>
      <c r="M734" s="2140">
        <v>44511</v>
      </c>
      <c r="N734" s="2503">
        <f>F734-A734</f>
        <v>0</v>
      </c>
      <c r="O734" s="2503">
        <f>G734-F734</f>
        <v>3</v>
      </c>
      <c r="P734" s="2503">
        <f>H734-G734</f>
        <v>3</v>
      </c>
      <c r="Q734" s="2503">
        <f>M734-H734</f>
        <v>17</v>
      </c>
      <c r="R734" s="2503">
        <f>M734-A734</f>
        <v>23</v>
      </c>
    </row>
    <row r="735" spans="1:18" hidden="1">
      <c r="A735" s="2125" t="s">
        <v>3585</v>
      </c>
      <c r="B735" s="2125" t="s">
        <v>10127</v>
      </c>
      <c r="C735" s="2125" t="s">
        <v>9800</v>
      </c>
      <c r="D735" s="2128">
        <v>200000</v>
      </c>
      <c r="E735" s="2125" t="s">
        <v>112</v>
      </c>
      <c r="F735" s="2124">
        <v>44490</v>
      </c>
      <c r="G735" s="2124">
        <v>44496</v>
      </c>
      <c r="H735" s="2125"/>
      <c r="I735" s="2129"/>
      <c r="J735" s="2129"/>
      <c r="K735" s="2129"/>
      <c r="L735" s="2128"/>
      <c r="M735" s="2124"/>
    </row>
    <row r="736" spans="1:18" hidden="1">
      <c r="A736" s="464">
        <v>44484</v>
      </c>
      <c r="B736" s="406" t="s">
        <v>10130</v>
      </c>
      <c r="C736" s="406" t="s">
        <v>52</v>
      </c>
      <c r="D736" s="465">
        <v>825000</v>
      </c>
      <c r="E736" s="406" t="s">
        <v>112</v>
      </c>
      <c r="F736" s="464">
        <v>44491</v>
      </c>
      <c r="G736" s="464">
        <v>44503</v>
      </c>
      <c r="H736" s="464">
        <v>44516</v>
      </c>
      <c r="I736" s="1490"/>
      <c r="J736" s="1490"/>
      <c r="K736" s="1490"/>
      <c r="L736" s="1809">
        <v>44516</v>
      </c>
      <c r="M736" s="406"/>
    </row>
    <row r="737" spans="1:18" ht="15.75" hidden="1" thickTop="1">
      <c r="A737" s="587">
        <v>44488</v>
      </c>
      <c r="B737" s="583" t="s">
        <v>10133</v>
      </c>
      <c r="C737" s="583" t="s">
        <v>2434</v>
      </c>
      <c r="D737" s="588">
        <v>219000</v>
      </c>
      <c r="E737" s="583" t="s">
        <v>251</v>
      </c>
      <c r="F737" s="587">
        <v>44496</v>
      </c>
      <c r="G737" s="587">
        <v>44579</v>
      </c>
      <c r="H737" s="583"/>
      <c r="I737" s="1483"/>
      <c r="J737" s="1483"/>
      <c r="K737" s="1483"/>
      <c r="L737" s="588"/>
      <c r="M737" s="583"/>
    </row>
    <row r="738" spans="1:18" hidden="1">
      <c r="A738" s="2084">
        <v>44488</v>
      </c>
      <c r="B738" s="2085" t="s">
        <v>10133</v>
      </c>
      <c r="C738" s="2085" t="s">
        <v>2434</v>
      </c>
      <c r="D738" s="2092">
        <v>5617423</v>
      </c>
      <c r="E738" s="2085" t="s">
        <v>251</v>
      </c>
      <c r="F738" s="2084">
        <v>44496</v>
      </c>
      <c r="G738" s="2084">
        <v>44579</v>
      </c>
      <c r="H738" s="2085"/>
      <c r="I738" s="2094"/>
      <c r="J738" s="2094"/>
      <c r="K738" s="2094"/>
      <c r="L738" s="2092"/>
      <c r="M738" s="2085"/>
    </row>
    <row r="739" spans="1:18" hidden="1">
      <c r="A739" s="2084">
        <v>44488</v>
      </c>
      <c r="B739" s="2085" t="s">
        <v>10133</v>
      </c>
      <c r="C739" s="2085" t="s">
        <v>2434</v>
      </c>
      <c r="D739" s="2092">
        <v>674133</v>
      </c>
      <c r="E739" s="2085" t="s">
        <v>251</v>
      </c>
      <c r="F739" s="2084">
        <v>44496</v>
      </c>
      <c r="G739" s="2084">
        <v>44579</v>
      </c>
      <c r="H739" s="2085"/>
      <c r="I739" s="2094"/>
      <c r="J739" s="2094"/>
      <c r="K739" s="2094"/>
      <c r="L739" s="2092"/>
      <c r="M739" s="2085"/>
    </row>
    <row r="740" spans="1:18" hidden="1">
      <c r="A740" s="2084">
        <v>44488</v>
      </c>
      <c r="B740" s="2085" t="s">
        <v>10133</v>
      </c>
      <c r="C740" s="2085" t="s">
        <v>2434</v>
      </c>
      <c r="D740" s="2092">
        <v>1167300</v>
      </c>
      <c r="E740" s="2085" t="s">
        <v>251</v>
      </c>
      <c r="F740" s="2084">
        <v>44496</v>
      </c>
      <c r="G740" s="2084">
        <v>44579</v>
      </c>
      <c r="H740" s="2085"/>
      <c r="I740" s="2094"/>
      <c r="J740" s="2094"/>
      <c r="K740" s="2094"/>
      <c r="L740" s="2092"/>
      <c r="M740" s="2085"/>
    </row>
    <row r="741" spans="1:18" hidden="1">
      <c r="A741" s="2084">
        <v>44488</v>
      </c>
      <c r="B741" s="2085" t="s">
        <v>10133</v>
      </c>
      <c r="C741" s="2085" t="s">
        <v>2434</v>
      </c>
      <c r="D741" s="2092">
        <v>1129933</v>
      </c>
      <c r="E741" s="2085" t="s">
        <v>251</v>
      </c>
      <c r="F741" s="2084">
        <v>44496</v>
      </c>
      <c r="G741" s="2084">
        <v>44579</v>
      </c>
      <c r="H741" s="2085"/>
      <c r="I741" s="2094"/>
      <c r="J741" s="2094"/>
      <c r="K741" s="2094"/>
      <c r="L741" s="2092"/>
      <c r="M741" s="2085"/>
    </row>
    <row r="742" spans="1:18" ht="15.75" hidden="1" thickBot="1">
      <c r="A742" s="2088">
        <v>44488</v>
      </c>
      <c r="B742" s="2089" t="s">
        <v>10133</v>
      </c>
      <c r="C742" s="2089" t="s">
        <v>2434</v>
      </c>
      <c r="D742" s="2093">
        <v>609420</v>
      </c>
      <c r="E742" s="2089" t="s">
        <v>251</v>
      </c>
      <c r="F742" s="2088">
        <v>44496</v>
      </c>
      <c r="G742" s="2088">
        <v>44579</v>
      </c>
      <c r="H742" s="2089"/>
      <c r="I742" s="2095"/>
      <c r="J742" s="2095"/>
      <c r="K742" s="2095"/>
      <c r="L742" s="2093"/>
      <c r="M742" s="2089"/>
    </row>
    <row r="743" spans="1:18">
      <c r="A743" s="365">
        <v>44484</v>
      </c>
      <c r="B743" s="2497" t="s">
        <v>10134</v>
      </c>
      <c r="C743" s="2497" t="s">
        <v>1032</v>
      </c>
      <c r="D743" s="364">
        <v>500000</v>
      </c>
      <c r="E743" s="2497" t="s">
        <v>112</v>
      </c>
      <c r="F743" s="365">
        <v>44494</v>
      </c>
      <c r="G743" s="365">
        <v>44505</v>
      </c>
      <c r="H743" s="365">
        <v>44512</v>
      </c>
      <c r="I743" s="1473"/>
      <c r="J743" s="1473"/>
      <c r="K743" s="1473"/>
      <c r="L743" s="681">
        <v>44512</v>
      </c>
      <c r="M743" s="365">
        <v>44533</v>
      </c>
      <c r="N743" s="2503">
        <f>F743-A743</f>
        <v>10</v>
      </c>
      <c r="O743" s="2503">
        <f>G743-F743</f>
        <v>11</v>
      </c>
      <c r="P743" s="2503">
        <f>H743-G743</f>
        <v>7</v>
      </c>
      <c r="Q743" s="2503">
        <f>M743-H743</f>
        <v>21</v>
      </c>
      <c r="R743" s="2503">
        <f>M743-A743</f>
        <v>49</v>
      </c>
    </row>
    <row r="744" spans="1:18" hidden="1">
      <c r="A744" s="2084">
        <v>44490</v>
      </c>
      <c r="B744" s="2085" t="s">
        <v>10143</v>
      </c>
      <c r="C744" s="2085" t="s">
        <v>69</v>
      </c>
      <c r="D744" s="2092">
        <v>4203966</v>
      </c>
      <c r="E744" s="2085" t="s">
        <v>251</v>
      </c>
      <c r="F744" s="2084">
        <v>44539</v>
      </c>
      <c r="G744" s="2084">
        <v>44573</v>
      </c>
      <c r="H744" s="2085"/>
      <c r="I744" s="2094"/>
      <c r="J744" s="2094"/>
      <c r="K744" s="2094"/>
      <c r="L744" s="2092"/>
      <c r="M744" s="2085"/>
    </row>
    <row r="745" spans="1:18" hidden="1">
      <c r="A745" s="2084">
        <v>44490</v>
      </c>
      <c r="B745" s="2085" t="s">
        <v>10146</v>
      </c>
      <c r="C745" s="2085" t="s">
        <v>69</v>
      </c>
      <c r="D745" s="2092">
        <v>9139774</v>
      </c>
      <c r="E745" s="2085" t="s">
        <v>251</v>
      </c>
      <c r="F745" s="2084">
        <v>44539</v>
      </c>
      <c r="G745" s="2084">
        <v>44573</v>
      </c>
      <c r="H745" s="2085"/>
      <c r="I745" s="2094"/>
      <c r="J745" s="2094"/>
      <c r="K745" s="2094"/>
      <c r="L745" s="2092"/>
      <c r="M745" s="2085"/>
    </row>
    <row r="746" spans="1:18" hidden="1">
      <c r="A746" s="2141" t="s">
        <v>3585</v>
      </c>
      <c r="B746" s="2141" t="s">
        <v>10149</v>
      </c>
      <c r="C746" s="2141" t="s">
        <v>2434</v>
      </c>
      <c r="D746" s="2144">
        <v>700000</v>
      </c>
      <c r="E746" s="2141" t="s">
        <v>112</v>
      </c>
      <c r="F746" s="2140">
        <v>44494</v>
      </c>
      <c r="G746" s="2140">
        <v>44503</v>
      </c>
      <c r="H746" s="2140">
        <v>44509</v>
      </c>
      <c r="I746" s="2145"/>
      <c r="J746" s="2145"/>
      <c r="K746" s="2145"/>
      <c r="L746" s="2146">
        <v>44510</v>
      </c>
      <c r="M746" s="2140">
        <v>44543</v>
      </c>
    </row>
    <row r="747" spans="1:18">
      <c r="A747" s="416">
        <v>44474</v>
      </c>
      <c r="B747" s="411" t="s">
        <v>10158</v>
      </c>
      <c r="C747" s="411" t="s">
        <v>2434</v>
      </c>
      <c r="D747" s="417">
        <v>1881000</v>
      </c>
      <c r="E747" s="411" t="s">
        <v>112</v>
      </c>
      <c r="F747" s="416">
        <v>44494</v>
      </c>
      <c r="G747" s="416">
        <v>44503</v>
      </c>
      <c r="H747" s="416">
        <v>44509</v>
      </c>
      <c r="I747" s="1480"/>
      <c r="J747" s="1480"/>
      <c r="K747" s="1480"/>
      <c r="L747" s="513">
        <v>44510</v>
      </c>
      <c r="M747" s="416">
        <v>44530</v>
      </c>
      <c r="N747" s="2503">
        <f>F747-A747</f>
        <v>20</v>
      </c>
      <c r="O747" s="2503">
        <f>G747-F747</f>
        <v>9</v>
      </c>
      <c r="P747" s="2503">
        <f>H747-G747</f>
        <v>6</v>
      </c>
      <c r="Q747" s="2503">
        <f>M747-H747</f>
        <v>21</v>
      </c>
      <c r="R747" s="2503">
        <f>M747-A747</f>
        <v>56</v>
      </c>
    </row>
    <row r="748" spans="1:18" ht="15.75" hidden="1" thickTop="1">
      <c r="A748" s="428">
        <v>44488</v>
      </c>
      <c r="B748" s="425" t="s">
        <v>10160</v>
      </c>
      <c r="C748" s="425" t="s">
        <v>2434</v>
      </c>
      <c r="D748" s="429">
        <v>1244469</v>
      </c>
      <c r="E748" s="425" t="s">
        <v>112</v>
      </c>
      <c r="F748" s="428">
        <v>44495</v>
      </c>
      <c r="G748" s="428">
        <v>44509</v>
      </c>
      <c r="H748" s="428">
        <v>44540</v>
      </c>
      <c r="I748" s="1483"/>
      <c r="J748" s="1483"/>
      <c r="K748" s="1483"/>
      <c r="L748" s="1384">
        <v>44543</v>
      </c>
      <c r="M748" s="425"/>
    </row>
    <row r="749" spans="1:18" ht="15.75" hidden="1" thickBot="1">
      <c r="A749" s="2130">
        <v>44488</v>
      </c>
      <c r="B749" s="2131" t="s">
        <v>10160</v>
      </c>
      <c r="C749" s="2131" t="s">
        <v>2434</v>
      </c>
      <c r="D749" s="2134">
        <v>386194</v>
      </c>
      <c r="E749" s="2131" t="s">
        <v>112</v>
      </c>
      <c r="F749" s="2130">
        <v>44495</v>
      </c>
      <c r="G749" s="2130">
        <v>44509</v>
      </c>
      <c r="H749" s="2131"/>
      <c r="I749" s="2135"/>
      <c r="J749" s="2135"/>
      <c r="K749" s="2135"/>
      <c r="L749" s="2134"/>
      <c r="M749" s="2131"/>
    </row>
    <row r="750" spans="1:18">
      <c r="A750" s="365">
        <v>44490</v>
      </c>
      <c r="B750" s="2497" t="s">
        <v>10164</v>
      </c>
      <c r="C750" s="2497" t="s">
        <v>1032</v>
      </c>
      <c r="D750" s="364">
        <v>600000</v>
      </c>
      <c r="E750" s="2497" t="s">
        <v>112</v>
      </c>
      <c r="F750" s="365">
        <v>44522</v>
      </c>
      <c r="G750" s="365">
        <v>44530</v>
      </c>
      <c r="H750" s="365">
        <v>44538</v>
      </c>
      <c r="I750" s="1473"/>
      <c r="J750" s="1473"/>
      <c r="K750" s="1473"/>
      <c r="L750" s="681">
        <v>44538</v>
      </c>
      <c r="M750" s="365">
        <v>44546</v>
      </c>
      <c r="N750" s="2503">
        <f>F750-A750</f>
        <v>32</v>
      </c>
      <c r="O750" s="2503">
        <f>G750-F750</f>
        <v>8</v>
      </c>
      <c r="P750" s="2503">
        <f>H750-G750</f>
        <v>8</v>
      </c>
      <c r="Q750" s="2503">
        <f>M750-H750</f>
        <v>8</v>
      </c>
      <c r="R750" s="2503">
        <f>M750-A750</f>
        <v>56</v>
      </c>
    </row>
    <row r="751" spans="1:18" hidden="1">
      <c r="A751" s="411" t="s">
        <v>3585</v>
      </c>
      <c r="B751" s="411" t="s">
        <v>10182</v>
      </c>
      <c r="C751" s="411" t="s">
        <v>58</v>
      </c>
      <c r="D751" s="417">
        <v>330000</v>
      </c>
      <c r="E751" s="411" t="s">
        <v>112</v>
      </c>
      <c r="F751" s="416">
        <v>44502</v>
      </c>
      <c r="G751" s="416">
        <v>44509</v>
      </c>
      <c r="H751" s="416">
        <v>44523</v>
      </c>
      <c r="I751" s="1480"/>
      <c r="J751" s="1480"/>
      <c r="K751" s="1480"/>
      <c r="L751" s="513">
        <v>44524</v>
      </c>
      <c r="M751" s="416">
        <v>44557</v>
      </c>
    </row>
    <row r="752" spans="1:18" ht="15.75" hidden="1" thickTop="1">
      <c r="A752" s="428">
        <v>44490</v>
      </c>
      <c r="B752" s="425" t="s">
        <v>10193</v>
      </c>
      <c r="C752" s="425" t="s">
        <v>2434</v>
      </c>
      <c r="D752" s="429">
        <v>640000</v>
      </c>
      <c r="E752" s="425" t="s">
        <v>251</v>
      </c>
      <c r="F752" s="428">
        <v>44503</v>
      </c>
      <c r="G752" s="428">
        <v>44537</v>
      </c>
      <c r="H752" s="428">
        <v>44552</v>
      </c>
      <c r="I752" s="1605"/>
      <c r="J752" s="1605"/>
      <c r="K752" s="1605"/>
      <c r="L752" s="1384">
        <v>44552</v>
      </c>
      <c r="M752" s="425"/>
    </row>
    <row r="753" spans="1:18" hidden="1">
      <c r="A753" s="2153">
        <v>44490</v>
      </c>
      <c r="B753" s="2154" t="s">
        <v>10193</v>
      </c>
      <c r="C753" s="2154" t="s">
        <v>2434</v>
      </c>
      <c r="D753" s="2157">
        <v>1935000</v>
      </c>
      <c r="E753" s="2154" t="s">
        <v>251</v>
      </c>
      <c r="F753" s="2153">
        <v>44503</v>
      </c>
      <c r="G753" s="2153">
        <v>44537</v>
      </c>
      <c r="H753" s="2153">
        <v>44552</v>
      </c>
      <c r="I753" s="2415"/>
      <c r="J753" s="2415"/>
      <c r="K753" s="2415"/>
      <c r="L753" s="2160">
        <v>44552</v>
      </c>
      <c r="M753" s="2154"/>
    </row>
    <row r="754" spans="1:18" hidden="1">
      <c r="A754" s="2153">
        <v>44490</v>
      </c>
      <c r="B754" s="2154" t="s">
        <v>10193</v>
      </c>
      <c r="C754" s="2154" t="s">
        <v>2434</v>
      </c>
      <c r="D754" s="2157">
        <v>113300</v>
      </c>
      <c r="E754" s="2154" t="s">
        <v>251</v>
      </c>
      <c r="F754" s="2153">
        <v>44503</v>
      </c>
      <c r="G754" s="2153">
        <v>44537</v>
      </c>
      <c r="H754" s="2153">
        <v>44552</v>
      </c>
      <c r="I754" s="2415"/>
      <c r="J754" s="2415"/>
      <c r="K754" s="2415"/>
      <c r="L754" s="2160">
        <v>44552</v>
      </c>
      <c r="M754" s="2154"/>
    </row>
    <row r="755" spans="1:18" hidden="1">
      <c r="A755" s="2153">
        <v>44490</v>
      </c>
      <c r="B755" s="2154" t="s">
        <v>10193</v>
      </c>
      <c r="C755" s="2154" t="s">
        <v>2434</v>
      </c>
      <c r="D755" s="2157">
        <v>292875</v>
      </c>
      <c r="E755" s="2154" t="s">
        <v>251</v>
      </c>
      <c r="F755" s="2153">
        <v>44503</v>
      </c>
      <c r="G755" s="2153">
        <v>44537</v>
      </c>
      <c r="H755" s="2153">
        <v>44552</v>
      </c>
      <c r="I755" s="2415"/>
      <c r="J755" s="2415"/>
      <c r="K755" s="2415"/>
      <c r="L755" s="2160">
        <v>44552</v>
      </c>
      <c r="M755" s="2154"/>
    </row>
    <row r="756" spans="1:18" hidden="1">
      <c r="A756" s="2153">
        <v>44490</v>
      </c>
      <c r="B756" s="2154" t="s">
        <v>10193</v>
      </c>
      <c r="C756" s="2154" t="s">
        <v>2434</v>
      </c>
      <c r="D756" s="2157">
        <v>921800</v>
      </c>
      <c r="E756" s="2154" t="s">
        <v>251</v>
      </c>
      <c r="F756" s="2153">
        <v>44503</v>
      </c>
      <c r="G756" s="2153">
        <v>44537</v>
      </c>
      <c r="H756" s="2153">
        <v>44552</v>
      </c>
      <c r="I756" s="2415"/>
      <c r="J756" s="2415"/>
      <c r="K756" s="2415"/>
      <c r="L756" s="2160">
        <v>44552</v>
      </c>
      <c r="M756" s="2154"/>
    </row>
    <row r="757" spans="1:18" ht="15.75" hidden="1" thickBot="1">
      <c r="A757" s="2152">
        <v>44490</v>
      </c>
      <c r="B757" s="2297" t="s">
        <v>10193</v>
      </c>
      <c r="C757" s="2297" t="s">
        <v>2434</v>
      </c>
      <c r="D757" s="2299">
        <v>4415340</v>
      </c>
      <c r="E757" s="2297" t="s">
        <v>251</v>
      </c>
      <c r="F757" s="2152">
        <v>44503</v>
      </c>
      <c r="G757" s="2152">
        <v>44537</v>
      </c>
      <c r="H757" s="2152">
        <v>44552</v>
      </c>
      <c r="I757" s="2443"/>
      <c r="J757" s="2443"/>
      <c r="K757" s="2443"/>
      <c r="L757" s="2315">
        <v>44552</v>
      </c>
      <c r="M757" s="2297"/>
    </row>
    <row r="758" spans="1:18" hidden="1">
      <c r="A758" s="580">
        <v>44533</v>
      </c>
      <c r="B758" s="576" t="s">
        <v>10206</v>
      </c>
      <c r="C758" s="576" t="s">
        <v>69</v>
      </c>
      <c r="D758" s="581">
        <v>4716408</v>
      </c>
      <c r="E758" s="576" t="s">
        <v>251</v>
      </c>
      <c r="F758" s="580">
        <v>44550</v>
      </c>
      <c r="G758" s="580">
        <v>44607</v>
      </c>
      <c r="H758" s="576"/>
      <c r="I758" s="1489"/>
      <c r="J758" s="1489"/>
      <c r="K758" s="1489"/>
      <c r="L758" s="581"/>
      <c r="M758" s="576"/>
    </row>
    <row r="759" spans="1:18" hidden="1">
      <c r="A759" s="2153">
        <v>44490</v>
      </c>
      <c r="B759" s="2154" t="s">
        <v>10234</v>
      </c>
      <c r="C759" s="2154" t="s">
        <v>2434</v>
      </c>
      <c r="D759" s="2157">
        <v>4090909</v>
      </c>
      <c r="E759" s="2154" t="s">
        <v>251</v>
      </c>
      <c r="F759" s="2153">
        <v>44505</v>
      </c>
      <c r="G759" s="2153">
        <v>44539</v>
      </c>
      <c r="H759" s="2154"/>
      <c r="I759" s="2094"/>
      <c r="J759" s="2094"/>
      <c r="K759" s="2094"/>
      <c r="L759" s="2157"/>
      <c r="M759" s="2154"/>
    </row>
    <row r="760" spans="1:18" hidden="1">
      <c r="A760" s="2154" t="s">
        <v>3585</v>
      </c>
      <c r="B760" s="2154" t="s">
        <v>10225</v>
      </c>
      <c r="C760" s="2154" t="s">
        <v>6561</v>
      </c>
      <c r="D760" s="2157">
        <v>7730000</v>
      </c>
      <c r="E760" s="2154" t="s">
        <v>251</v>
      </c>
      <c r="F760" s="2153">
        <v>44504</v>
      </c>
      <c r="G760" s="2153">
        <v>44539</v>
      </c>
      <c r="H760" s="2154"/>
      <c r="I760" s="2094"/>
      <c r="J760" s="2094"/>
      <c r="K760" s="2094"/>
      <c r="L760" s="2157"/>
      <c r="M760" s="2154"/>
    </row>
    <row r="761" spans="1:18" hidden="1">
      <c r="A761" s="2153">
        <v>44502</v>
      </c>
      <c r="B761" s="2154" t="s">
        <v>10227</v>
      </c>
      <c r="C761" s="2154" t="s">
        <v>1032</v>
      </c>
      <c r="D761" s="2157">
        <v>7300000</v>
      </c>
      <c r="E761" s="2154" t="s">
        <v>216</v>
      </c>
      <c r="F761" s="2153">
        <v>44505</v>
      </c>
      <c r="G761" s="2153">
        <v>44525</v>
      </c>
      <c r="H761" s="2153">
        <v>44546</v>
      </c>
      <c r="I761" s="2094"/>
      <c r="J761" s="2094"/>
      <c r="K761" s="2094"/>
      <c r="L761" s="2160">
        <v>44546</v>
      </c>
      <c r="M761" s="2154"/>
    </row>
    <row r="762" spans="1:18" hidden="1">
      <c r="A762" s="2153">
        <v>44503</v>
      </c>
      <c r="B762" s="2154" t="s">
        <v>10229</v>
      </c>
      <c r="C762" s="2154" t="s">
        <v>4997</v>
      </c>
      <c r="D762" s="2157">
        <v>6500000</v>
      </c>
      <c r="E762" s="2154" t="s">
        <v>216</v>
      </c>
      <c r="F762" s="2153">
        <v>44526</v>
      </c>
      <c r="G762" s="2153">
        <v>44545</v>
      </c>
      <c r="H762" s="2154"/>
      <c r="I762" s="2094"/>
      <c r="J762" s="2094"/>
      <c r="K762" s="2094"/>
      <c r="L762" s="2157"/>
      <c r="M762" s="2154"/>
    </row>
    <row r="763" spans="1:18" hidden="1">
      <c r="A763" s="2153">
        <v>44494</v>
      </c>
      <c r="B763" s="2154" t="s">
        <v>10231</v>
      </c>
      <c r="C763" s="2154" t="s">
        <v>58</v>
      </c>
      <c r="D763" s="2157">
        <v>1950000</v>
      </c>
      <c r="E763" s="2154" t="s">
        <v>112</v>
      </c>
      <c r="F763" s="2153">
        <v>44508</v>
      </c>
      <c r="G763" s="2153">
        <v>44516</v>
      </c>
      <c r="H763" s="2154"/>
      <c r="I763" s="2094"/>
      <c r="J763" s="2094"/>
      <c r="K763" s="2094"/>
      <c r="L763" s="2157"/>
      <c r="M763" s="2154"/>
    </row>
    <row r="764" spans="1:18" hidden="1">
      <c r="A764" s="2153">
        <v>44477</v>
      </c>
      <c r="B764" s="2154" t="s">
        <v>10238</v>
      </c>
      <c r="C764" s="2154" t="s">
        <v>58</v>
      </c>
      <c r="D764" s="2157">
        <v>190000</v>
      </c>
      <c r="E764" s="2154" t="s">
        <v>112</v>
      </c>
      <c r="F764" s="2153">
        <v>44508</v>
      </c>
      <c r="G764" s="2153">
        <v>44516</v>
      </c>
      <c r="H764" s="2153">
        <v>44533</v>
      </c>
      <c r="I764" s="2094"/>
      <c r="J764" s="2094"/>
      <c r="K764" s="2094"/>
      <c r="L764" s="2160">
        <v>44536</v>
      </c>
      <c r="M764" s="2154"/>
    </row>
    <row r="765" spans="1:18" hidden="1">
      <c r="A765" s="2154" t="s">
        <v>3585</v>
      </c>
      <c r="B765" s="2154" t="s">
        <v>10241</v>
      </c>
      <c r="C765" s="2154" t="s">
        <v>2434</v>
      </c>
      <c r="D765" s="2157">
        <v>840000</v>
      </c>
      <c r="E765" s="2154" t="s">
        <v>251</v>
      </c>
      <c r="F765" s="2153">
        <v>44509</v>
      </c>
      <c r="G765" s="2153">
        <v>44543</v>
      </c>
      <c r="H765" s="2153">
        <v>44552</v>
      </c>
      <c r="I765" s="2094"/>
      <c r="J765" s="2094"/>
      <c r="K765" s="2094"/>
      <c r="L765" s="2160">
        <v>44552</v>
      </c>
      <c r="M765" s="2154"/>
    </row>
    <row r="766" spans="1:18" hidden="1">
      <c r="A766" s="2124">
        <v>44481</v>
      </c>
      <c r="B766" s="2125" t="s">
        <v>10257</v>
      </c>
      <c r="C766" s="2125" t="s">
        <v>58</v>
      </c>
      <c r="D766" s="2128">
        <v>124000</v>
      </c>
      <c r="E766" s="2125" t="s">
        <v>112</v>
      </c>
      <c r="F766" s="2124">
        <v>44511</v>
      </c>
      <c r="G766" s="2124">
        <v>44525</v>
      </c>
      <c r="H766" s="2125"/>
      <c r="I766" s="2129"/>
      <c r="J766" s="2129"/>
      <c r="K766" s="2129"/>
      <c r="L766" s="2128"/>
      <c r="M766" s="2125"/>
    </row>
    <row r="767" spans="1:18" hidden="1">
      <c r="A767" s="2125" t="s">
        <v>3585</v>
      </c>
      <c r="B767" s="2125" t="s">
        <v>10281</v>
      </c>
      <c r="C767" s="2125" t="s">
        <v>2434</v>
      </c>
      <c r="D767" s="2128">
        <v>6336997</v>
      </c>
      <c r="E767" s="2125" t="s">
        <v>251</v>
      </c>
      <c r="F767" s="2124">
        <v>44523</v>
      </c>
      <c r="G767" s="2124">
        <v>44557</v>
      </c>
      <c r="H767" s="2125"/>
      <c r="I767" s="2094"/>
      <c r="J767" s="2094"/>
      <c r="K767" s="2094"/>
      <c r="L767" s="2128"/>
      <c r="M767" s="2125"/>
    </row>
    <row r="768" spans="1:18">
      <c r="A768" s="2140">
        <v>44453</v>
      </c>
      <c r="B768" s="2141" t="s">
        <v>10284</v>
      </c>
      <c r="C768" s="2141" t="s">
        <v>58</v>
      </c>
      <c r="D768" s="2144">
        <v>139000</v>
      </c>
      <c r="E768" s="2141" t="s">
        <v>112</v>
      </c>
      <c r="F768" s="2140">
        <v>44515</v>
      </c>
      <c r="G768" s="2140">
        <v>44523</v>
      </c>
      <c r="H768" s="2140">
        <v>44533</v>
      </c>
      <c r="I768" s="2145"/>
      <c r="J768" s="2145"/>
      <c r="K768" s="2145"/>
      <c r="L768" s="2146">
        <v>44536</v>
      </c>
      <c r="M768" s="2140">
        <v>44561</v>
      </c>
      <c r="N768" s="2503">
        <f t="shared" ref="N768:N769" si="395">F768-A768</f>
        <v>62</v>
      </c>
      <c r="O768" s="2503">
        <f t="shared" ref="O768:O769" si="396">G768-F768</f>
        <v>8</v>
      </c>
      <c r="P768" s="2503">
        <f t="shared" ref="P768:P769" si="397">H768-G768</f>
        <v>10</v>
      </c>
      <c r="Q768" s="2503">
        <f t="shared" ref="Q768:Q769" si="398">M768-H768</f>
        <v>28</v>
      </c>
      <c r="R768" s="2503">
        <f t="shared" ref="R768:R769" si="399">M768-A768</f>
        <v>108</v>
      </c>
    </row>
    <row r="769" spans="1:18">
      <c r="A769" s="416">
        <v>44511</v>
      </c>
      <c r="B769" s="411" t="s">
        <v>10294</v>
      </c>
      <c r="C769" s="411" t="s">
        <v>58</v>
      </c>
      <c r="D769" s="417">
        <v>973000</v>
      </c>
      <c r="E769" s="411" t="s">
        <v>112</v>
      </c>
      <c r="F769" s="416">
        <v>44512</v>
      </c>
      <c r="G769" s="416">
        <v>44519</v>
      </c>
      <c r="H769" s="416">
        <v>44523</v>
      </c>
      <c r="I769" s="1480"/>
      <c r="J769" s="1480"/>
      <c r="K769" s="1480"/>
      <c r="L769" s="513">
        <v>44524</v>
      </c>
      <c r="M769" s="416">
        <v>44546</v>
      </c>
      <c r="N769" s="2503">
        <f t="shared" si="395"/>
        <v>1</v>
      </c>
      <c r="O769" s="2503">
        <f t="shared" si="396"/>
        <v>7</v>
      </c>
      <c r="P769" s="2503">
        <f t="shared" si="397"/>
        <v>4</v>
      </c>
      <c r="Q769" s="2503">
        <f t="shared" si="398"/>
        <v>23</v>
      </c>
      <c r="R769" s="2503">
        <f t="shared" si="399"/>
        <v>35</v>
      </c>
    </row>
    <row r="770" spans="1:18" ht="15.75" hidden="1" thickTop="1">
      <c r="A770" s="428">
        <v>44503</v>
      </c>
      <c r="B770" s="425" t="s">
        <v>10295</v>
      </c>
      <c r="C770" s="425" t="s">
        <v>2434</v>
      </c>
      <c r="D770" s="429">
        <v>3683250</v>
      </c>
      <c r="E770" s="425" t="s">
        <v>251</v>
      </c>
      <c r="F770" s="428">
        <v>44519</v>
      </c>
      <c r="G770" s="428">
        <v>44561</v>
      </c>
      <c r="H770" s="425"/>
      <c r="I770" s="1483"/>
      <c r="J770" s="1483"/>
      <c r="K770" s="1483"/>
      <c r="L770" s="429"/>
      <c r="M770" s="425"/>
    </row>
    <row r="771" spans="1:18" hidden="1">
      <c r="A771" s="2153">
        <v>44503</v>
      </c>
      <c r="B771" s="2154" t="s">
        <v>10295</v>
      </c>
      <c r="C771" s="2154" t="s">
        <v>2434</v>
      </c>
      <c r="D771" s="2157">
        <v>720000</v>
      </c>
      <c r="E771" s="2154" t="s">
        <v>251</v>
      </c>
      <c r="F771" s="2153">
        <v>44519</v>
      </c>
      <c r="G771" s="2153">
        <v>44561</v>
      </c>
      <c r="H771" s="2154"/>
      <c r="I771" s="2094"/>
      <c r="J771" s="2094"/>
      <c r="K771" s="2094"/>
      <c r="L771" s="2157"/>
      <c r="M771" s="2154"/>
    </row>
    <row r="772" spans="1:18" hidden="1">
      <c r="A772" s="2153">
        <v>44503</v>
      </c>
      <c r="B772" s="2154" t="s">
        <v>10295</v>
      </c>
      <c r="C772" s="2154" t="s">
        <v>2434</v>
      </c>
      <c r="D772" s="2157">
        <v>367500</v>
      </c>
      <c r="E772" s="2154" t="s">
        <v>251</v>
      </c>
      <c r="F772" s="2153">
        <v>44519</v>
      </c>
      <c r="G772" s="2153">
        <v>44561</v>
      </c>
      <c r="H772" s="2154"/>
      <c r="I772" s="2094"/>
      <c r="J772" s="2094"/>
      <c r="K772" s="2094"/>
      <c r="L772" s="2157"/>
      <c r="M772" s="2154"/>
    </row>
    <row r="773" spans="1:18" hidden="1">
      <c r="A773" s="2153">
        <v>44503</v>
      </c>
      <c r="B773" s="2154" t="s">
        <v>10295</v>
      </c>
      <c r="C773" s="2154" t="s">
        <v>2434</v>
      </c>
      <c r="D773" s="2157">
        <v>2451600</v>
      </c>
      <c r="E773" s="2154" t="s">
        <v>251</v>
      </c>
      <c r="F773" s="2153">
        <v>44519</v>
      </c>
      <c r="G773" s="2153">
        <v>44561</v>
      </c>
      <c r="H773" s="2154"/>
      <c r="I773" s="2094"/>
      <c r="J773" s="2094"/>
      <c r="K773" s="2094"/>
      <c r="L773" s="2157"/>
      <c r="M773" s="2154"/>
    </row>
    <row r="774" spans="1:18" hidden="1">
      <c r="A774" s="2153">
        <v>44503</v>
      </c>
      <c r="B774" s="2154" t="s">
        <v>10295</v>
      </c>
      <c r="C774" s="2154" t="s">
        <v>2434</v>
      </c>
      <c r="D774" s="2157">
        <v>1320000</v>
      </c>
      <c r="E774" s="2154" t="s">
        <v>251</v>
      </c>
      <c r="F774" s="2153">
        <v>44519</v>
      </c>
      <c r="G774" s="2153">
        <v>44561</v>
      </c>
      <c r="H774" s="2154"/>
      <c r="I774" s="2094"/>
      <c r="J774" s="2094"/>
      <c r="K774" s="2094"/>
      <c r="L774" s="2157"/>
      <c r="M774" s="2154"/>
    </row>
    <row r="775" spans="1:18" hidden="1">
      <c r="A775" s="2153">
        <v>44503</v>
      </c>
      <c r="B775" s="2154" t="s">
        <v>10295</v>
      </c>
      <c r="C775" s="2154" t="s">
        <v>2434</v>
      </c>
      <c r="D775" s="2157">
        <v>934800</v>
      </c>
      <c r="E775" s="2154" t="s">
        <v>251</v>
      </c>
      <c r="F775" s="2153">
        <v>44519</v>
      </c>
      <c r="G775" s="2153">
        <v>44561</v>
      </c>
      <c r="H775" s="2154"/>
      <c r="I775" s="2094"/>
      <c r="J775" s="2094"/>
      <c r="K775" s="2094"/>
      <c r="L775" s="2157"/>
      <c r="M775" s="2154"/>
    </row>
    <row r="776" spans="1:18" hidden="1">
      <c r="A776" s="2153">
        <v>44503</v>
      </c>
      <c r="B776" s="2154" t="s">
        <v>10295</v>
      </c>
      <c r="C776" s="2154" t="s">
        <v>2434</v>
      </c>
      <c r="D776" s="2157">
        <v>364140</v>
      </c>
      <c r="E776" s="2154" t="s">
        <v>251</v>
      </c>
      <c r="F776" s="2153">
        <v>44519</v>
      </c>
      <c r="G776" s="2153">
        <v>44561</v>
      </c>
      <c r="H776" s="2154"/>
      <c r="I776" s="2094"/>
      <c r="J776" s="2094"/>
      <c r="K776" s="2094"/>
      <c r="L776" s="2157"/>
      <c r="M776" s="2154"/>
    </row>
    <row r="777" spans="1:18" hidden="1">
      <c r="A777" s="2153">
        <v>44503</v>
      </c>
      <c r="B777" s="2154" t="s">
        <v>10295</v>
      </c>
      <c r="C777" s="2154" t="s">
        <v>2434</v>
      </c>
      <c r="D777" s="2157">
        <v>122510</v>
      </c>
      <c r="E777" s="2154" t="s">
        <v>251</v>
      </c>
      <c r="F777" s="2153">
        <v>44519</v>
      </c>
      <c r="G777" s="2153">
        <v>44561</v>
      </c>
      <c r="H777" s="2154"/>
      <c r="I777" s="2094"/>
      <c r="J777" s="2094"/>
      <c r="K777" s="2094"/>
      <c r="L777" s="2157"/>
      <c r="M777" s="2154"/>
    </row>
    <row r="778" spans="1:18" ht="15.75" hidden="1" thickBot="1">
      <c r="A778" s="2152">
        <v>44503</v>
      </c>
      <c r="B778" s="2297" t="s">
        <v>10295</v>
      </c>
      <c r="C778" s="2297" t="s">
        <v>2434</v>
      </c>
      <c r="D778" s="2299">
        <v>399726</v>
      </c>
      <c r="E778" s="2297" t="s">
        <v>251</v>
      </c>
      <c r="F778" s="2152">
        <v>44519</v>
      </c>
      <c r="G778" s="2152">
        <v>44561</v>
      </c>
      <c r="H778" s="2297"/>
      <c r="I778" s="2095"/>
      <c r="J778" s="2095"/>
      <c r="K778" s="2095"/>
      <c r="L778" s="2299"/>
      <c r="M778" s="2297"/>
    </row>
    <row r="779" spans="1:18" ht="15.75" hidden="1" thickTop="1">
      <c r="A779" s="428">
        <v>44510</v>
      </c>
      <c r="B779" s="425" t="s">
        <v>10305</v>
      </c>
      <c r="C779" s="425" t="s">
        <v>58</v>
      </c>
      <c r="D779" s="429">
        <v>185000</v>
      </c>
      <c r="E779" s="425" t="s">
        <v>112</v>
      </c>
      <c r="F779" s="428">
        <v>44524</v>
      </c>
      <c r="G779" s="428">
        <v>44532</v>
      </c>
      <c r="H779" s="428">
        <v>44546</v>
      </c>
      <c r="I779" s="1483"/>
      <c r="J779" s="1483"/>
      <c r="K779" s="1483"/>
      <c r="L779" s="1384">
        <v>44547</v>
      </c>
      <c r="M779" s="425"/>
    </row>
    <row r="780" spans="1:18" ht="15.75" hidden="1" thickBot="1">
      <c r="A780" s="2434">
        <v>44510</v>
      </c>
      <c r="B780" s="2435" t="s">
        <v>10305</v>
      </c>
      <c r="C780" s="2435" t="s">
        <v>58</v>
      </c>
      <c r="D780" s="2438">
        <v>698300</v>
      </c>
      <c r="E780" s="2435" t="s">
        <v>112</v>
      </c>
      <c r="F780" s="2434">
        <v>44524</v>
      </c>
      <c r="G780" s="2434">
        <v>44532</v>
      </c>
      <c r="H780" s="2450">
        <v>44546</v>
      </c>
      <c r="I780" s="2417"/>
      <c r="J780" s="2417"/>
      <c r="K780" s="2417"/>
      <c r="L780" s="2451">
        <v>44547</v>
      </c>
      <c r="M780" s="2435"/>
    </row>
    <row r="781" spans="1:18" hidden="1">
      <c r="A781" s="840">
        <v>44509</v>
      </c>
      <c r="B781" s="423" t="s">
        <v>10307</v>
      </c>
      <c r="C781" s="423" t="s">
        <v>2434</v>
      </c>
      <c r="D781" s="841">
        <v>13891304.4</v>
      </c>
      <c r="E781" s="423" t="s">
        <v>251</v>
      </c>
      <c r="F781" s="840">
        <v>44524</v>
      </c>
      <c r="G781" s="840">
        <v>44557</v>
      </c>
      <c r="H781" s="423"/>
      <c r="I781" s="1489"/>
      <c r="J781" s="1489"/>
      <c r="K781" s="1489"/>
      <c r="L781" s="841"/>
      <c r="M781" s="423"/>
    </row>
    <row r="782" spans="1:18" hidden="1">
      <c r="A782" s="2410">
        <v>44511</v>
      </c>
      <c r="B782" s="2411" t="s">
        <v>10333</v>
      </c>
      <c r="C782" s="2411" t="s">
        <v>1032</v>
      </c>
      <c r="D782" s="2414">
        <v>1950000</v>
      </c>
      <c r="E782" s="2411" t="s">
        <v>112</v>
      </c>
      <c r="F782" s="2105"/>
      <c r="G782" s="2105"/>
      <c r="H782" s="2105"/>
      <c r="I782" s="2348"/>
      <c r="J782" s="2348"/>
      <c r="K782" s="2348"/>
      <c r="L782" s="2347"/>
      <c r="M782" s="2105"/>
    </row>
    <row r="783" spans="1:18" hidden="1">
      <c r="A783" s="2084">
        <v>44531</v>
      </c>
      <c r="B783" s="2085" t="s">
        <v>10317</v>
      </c>
      <c r="C783" s="2085" t="s">
        <v>69</v>
      </c>
      <c r="D783" s="2092">
        <v>4403200</v>
      </c>
      <c r="E783" s="2085" t="s">
        <v>251</v>
      </c>
      <c r="F783" s="2084">
        <v>44550</v>
      </c>
      <c r="G783" s="2084">
        <v>44585</v>
      </c>
      <c r="H783" s="2085"/>
      <c r="I783" s="2094"/>
      <c r="J783" s="2094"/>
      <c r="K783" s="2094"/>
      <c r="L783" s="2092"/>
      <c r="M783" s="2085"/>
    </row>
    <row r="784" spans="1:18" hidden="1">
      <c r="A784" s="810"/>
      <c r="B784" s="810" t="s">
        <v>10319</v>
      </c>
      <c r="C784" s="810" t="s">
        <v>69</v>
      </c>
      <c r="D784" s="814">
        <v>46443000</v>
      </c>
      <c r="E784" s="810" t="s">
        <v>251</v>
      </c>
      <c r="F784" s="810"/>
      <c r="G784" s="810"/>
      <c r="H784" s="810"/>
      <c r="I784" s="1620"/>
      <c r="J784" s="1620"/>
      <c r="K784" s="1620"/>
      <c r="L784" s="814"/>
      <c r="M784" s="810"/>
    </row>
    <row r="785" spans="1:13" ht="15.75" hidden="1" thickTop="1">
      <c r="A785" s="428">
        <v>44512</v>
      </c>
      <c r="B785" s="425" t="s">
        <v>10367</v>
      </c>
      <c r="C785" s="425" t="s">
        <v>2434</v>
      </c>
      <c r="D785" s="429">
        <v>4002000</v>
      </c>
      <c r="E785" s="425" t="s">
        <v>251</v>
      </c>
      <c r="F785" s="428">
        <v>44526</v>
      </c>
      <c r="G785" s="428">
        <v>44559</v>
      </c>
      <c r="H785" s="425"/>
      <c r="I785" s="1483"/>
      <c r="J785" s="1483"/>
      <c r="K785" s="1483"/>
      <c r="L785" s="429"/>
      <c r="M785" s="425"/>
    </row>
    <row r="786" spans="1:13" ht="15.75" hidden="1" thickBot="1">
      <c r="A786" s="2152">
        <v>44512</v>
      </c>
      <c r="B786" s="2297" t="s">
        <v>10367</v>
      </c>
      <c r="C786" s="2297" t="s">
        <v>2434</v>
      </c>
      <c r="D786" s="2299">
        <v>850000</v>
      </c>
      <c r="E786" s="2297" t="s">
        <v>251</v>
      </c>
      <c r="F786" s="2152">
        <v>44526</v>
      </c>
      <c r="G786" s="2152">
        <v>44559</v>
      </c>
      <c r="H786" s="2297"/>
      <c r="I786" s="2095"/>
      <c r="J786" s="2095"/>
      <c r="K786" s="2095"/>
      <c r="L786" s="2299"/>
      <c r="M786" s="2297"/>
    </row>
    <row r="787" spans="1:13" hidden="1">
      <c r="A787" s="580">
        <v>44501</v>
      </c>
      <c r="B787" s="576" t="s">
        <v>10370</v>
      </c>
      <c r="C787" s="576" t="s">
        <v>58</v>
      </c>
      <c r="D787" s="581">
        <v>1050000</v>
      </c>
      <c r="E787" s="576" t="s">
        <v>251</v>
      </c>
      <c r="F787" s="580">
        <v>44525</v>
      </c>
      <c r="G787" s="580">
        <v>44578</v>
      </c>
      <c r="H787" s="576"/>
      <c r="I787" s="1489"/>
      <c r="J787" s="1489"/>
      <c r="K787" s="1489"/>
      <c r="L787" s="581"/>
      <c r="M787" s="576"/>
    </row>
    <row r="788" spans="1:13" hidden="1">
      <c r="A788" s="2153">
        <v>44515</v>
      </c>
      <c r="B788" s="2154" t="s">
        <v>10373</v>
      </c>
      <c r="C788" s="2154" t="s">
        <v>58</v>
      </c>
      <c r="D788" s="2157">
        <v>493223</v>
      </c>
      <c r="E788" s="2154" t="s">
        <v>112</v>
      </c>
      <c r="F788" s="2153">
        <v>44524</v>
      </c>
      <c r="G788" s="2153">
        <v>44532</v>
      </c>
      <c r="H788" s="2154"/>
      <c r="I788" s="2094"/>
      <c r="J788" s="2094"/>
      <c r="K788" s="2094"/>
      <c r="L788" s="2157"/>
      <c r="M788" s="2154"/>
    </row>
    <row r="789" spans="1:13" hidden="1">
      <c r="A789" s="464">
        <v>44515</v>
      </c>
      <c r="B789" s="406" t="s">
        <v>10376</v>
      </c>
      <c r="C789" s="406" t="s">
        <v>1032</v>
      </c>
      <c r="D789" s="465">
        <v>320000</v>
      </c>
      <c r="E789" s="406" t="s">
        <v>112</v>
      </c>
      <c r="F789" s="464">
        <v>44526</v>
      </c>
      <c r="G789" s="464">
        <v>44536</v>
      </c>
      <c r="H789" s="464">
        <v>44546</v>
      </c>
      <c r="I789" s="1490"/>
      <c r="J789" s="1490"/>
      <c r="K789" s="1490"/>
      <c r="L789" s="1809">
        <v>44546</v>
      </c>
      <c r="M789" s="406"/>
    </row>
    <row r="790" spans="1:13" ht="15.75" hidden="1" thickTop="1">
      <c r="A790" s="587">
        <v>44515</v>
      </c>
      <c r="B790" s="583" t="s">
        <v>10382</v>
      </c>
      <c r="C790" s="583" t="s">
        <v>69</v>
      </c>
      <c r="D790" s="588">
        <v>4334535</v>
      </c>
      <c r="E790" s="583" t="s">
        <v>251</v>
      </c>
      <c r="F790" s="587">
        <v>44525</v>
      </c>
      <c r="G790" s="587">
        <v>44566</v>
      </c>
      <c r="H790" s="583"/>
      <c r="I790" s="1483"/>
      <c r="J790" s="1483"/>
      <c r="K790" s="1483"/>
      <c r="L790" s="588"/>
      <c r="M790" s="583"/>
    </row>
    <row r="791" spans="1:13" hidden="1">
      <c r="A791" s="2084">
        <v>44515</v>
      </c>
      <c r="B791" s="2085" t="s">
        <v>10382</v>
      </c>
      <c r="C791" s="2085" t="s">
        <v>69</v>
      </c>
      <c r="D791" s="2092">
        <v>1391250</v>
      </c>
      <c r="E791" s="2085" t="s">
        <v>251</v>
      </c>
      <c r="F791" s="2084">
        <v>44525</v>
      </c>
      <c r="G791" s="2084">
        <v>44566</v>
      </c>
      <c r="H791" s="2085"/>
      <c r="I791" s="2094"/>
      <c r="J791" s="2094"/>
      <c r="K791" s="2094"/>
      <c r="L791" s="2092"/>
      <c r="M791" s="2085"/>
    </row>
    <row r="792" spans="1:13" hidden="1">
      <c r="A792" s="2084">
        <v>44515</v>
      </c>
      <c r="B792" s="2085" t="s">
        <v>10382</v>
      </c>
      <c r="C792" s="2085" t="s">
        <v>69</v>
      </c>
      <c r="D792" s="2092">
        <v>1064952</v>
      </c>
      <c r="E792" s="2085" t="s">
        <v>251</v>
      </c>
      <c r="F792" s="2084">
        <v>44525</v>
      </c>
      <c r="G792" s="2084">
        <v>44566</v>
      </c>
      <c r="H792" s="2085"/>
      <c r="I792" s="2094"/>
      <c r="J792" s="2094"/>
      <c r="K792" s="2094"/>
      <c r="L792" s="2092"/>
      <c r="M792" s="2085"/>
    </row>
    <row r="793" spans="1:13" ht="15.75" hidden="1" thickBot="1">
      <c r="A793" s="2088">
        <v>44515</v>
      </c>
      <c r="B793" s="2089" t="s">
        <v>10382</v>
      </c>
      <c r="C793" s="2089" t="s">
        <v>69</v>
      </c>
      <c r="D793" s="2093">
        <v>55224</v>
      </c>
      <c r="E793" s="2089" t="s">
        <v>251</v>
      </c>
      <c r="F793" s="2088">
        <v>44525</v>
      </c>
      <c r="G793" s="2088">
        <v>44566</v>
      </c>
      <c r="H793" s="2089"/>
      <c r="I793" s="2095"/>
      <c r="J793" s="2095"/>
      <c r="K793" s="2095"/>
      <c r="L793" s="2093"/>
      <c r="M793" s="2089"/>
    </row>
    <row r="794" spans="1:13" hidden="1">
      <c r="A794" s="2304" t="s">
        <v>3585</v>
      </c>
      <c r="B794" s="2304" t="s">
        <v>10384</v>
      </c>
      <c r="C794" s="2304" t="s">
        <v>58</v>
      </c>
      <c r="D794" s="2405">
        <v>360000</v>
      </c>
      <c r="E794" s="2304" t="s">
        <v>112</v>
      </c>
      <c r="F794" s="2304"/>
      <c r="G794" s="2304"/>
      <c r="H794" s="2304"/>
      <c r="I794" s="2305"/>
      <c r="J794" s="2305"/>
      <c r="K794" s="2305"/>
      <c r="L794" s="2405"/>
      <c r="M794" s="2304"/>
    </row>
    <row r="795" spans="1:13" hidden="1">
      <c r="A795" s="2344">
        <v>44453</v>
      </c>
      <c r="B795" s="2105" t="s">
        <v>10388</v>
      </c>
      <c r="C795" s="2105" t="s">
        <v>6561</v>
      </c>
      <c r="D795" s="2347">
        <v>4000000</v>
      </c>
      <c r="E795" s="2105" t="s">
        <v>251</v>
      </c>
      <c r="F795" s="2105"/>
      <c r="G795" s="2105"/>
      <c r="H795" s="2105"/>
      <c r="I795" s="2348"/>
      <c r="J795" s="2348"/>
      <c r="K795" s="2348"/>
      <c r="L795" s="2347"/>
      <c r="M795" s="2105"/>
    </row>
    <row r="796" spans="1:13" hidden="1">
      <c r="A796" s="2153">
        <v>44519</v>
      </c>
      <c r="B796" s="2154" t="s">
        <v>10392</v>
      </c>
      <c r="C796" s="2154" t="s">
        <v>14</v>
      </c>
      <c r="D796" s="2157">
        <v>1470000</v>
      </c>
      <c r="E796" s="2154" t="s">
        <v>112</v>
      </c>
      <c r="F796" s="2153">
        <v>44529</v>
      </c>
      <c r="G796" s="2153">
        <v>44538</v>
      </c>
      <c r="H796" s="2153">
        <v>44546</v>
      </c>
      <c r="I796" s="2094"/>
      <c r="J796" s="2094"/>
      <c r="K796" s="2094"/>
      <c r="L796" s="2160">
        <v>44547</v>
      </c>
      <c r="M796" s="2154"/>
    </row>
    <row r="797" spans="1:13" hidden="1">
      <c r="A797" s="2153">
        <v>44524</v>
      </c>
      <c r="B797" s="2154" t="s">
        <v>10468</v>
      </c>
      <c r="C797" s="2154" t="s">
        <v>2111</v>
      </c>
      <c r="D797" s="2157">
        <v>780000</v>
      </c>
      <c r="E797" s="2154" t="s">
        <v>112</v>
      </c>
      <c r="F797" s="2153">
        <v>44532</v>
      </c>
      <c r="G797" s="2153">
        <v>44538</v>
      </c>
      <c r="H797" s="2153">
        <v>44545</v>
      </c>
      <c r="I797" s="2094"/>
      <c r="J797" s="2094"/>
      <c r="K797" s="2094"/>
      <c r="L797" s="2160">
        <v>44545</v>
      </c>
      <c r="M797" s="2154"/>
    </row>
    <row r="798" spans="1:13" hidden="1">
      <c r="A798" s="2153">
        <v>44512</v>
      </c>
      <c r="B798" s="2154" t="s">
        <v>10406</v>
      </c>
      <c r="C798" s="2154" t="s">
        <v>4997</v>
      </c>
      <c r="D798" s="2157">
        <v>350000</v>
      </c>
      <c r="E798" s="2154" t="s">
        <v>112</v>
      </c>
      <c r="F798" s="2153">
        <v>44526</v>
      </c>
      <c r="G798" s="2153">
        <v>44536</v>
      </c>
      <c r="H798" s="2153">
        <v>44546</v>
      </c>
      <c r="I798" s="2094"/>
      <c r="J798" s="2094"/>
      <c r="K798" s="2094"/>
      <c r="L798" s="2160">
        <v>44546</v>
      </c>
      <c r="M798" s="2154"/>
    </row>
    <row r="799" spans="1:13" hidden="1">
      <c r="A799" s="464">
        <v>44475</v>
      </c>
      <c r="B799" s="406" t="s">
        <v>10411</v>
      </c>
      <c r="C799" s="406" t="s">
        <v>58</v>
      </c>
      <c r="D799" s="465">
        <v>59000</v>
      </c>
      <c r="E799" s="406" t="s">
        <v>112</v>
      </c>
      <c r="F799" s="464">
        <v>44530</v>
      </c>
      <c r="G799" s="464">
        <v>44540</v>
      </c>
      <c r="H799" s="464">
        <v>44546</v>
      </c>
      <c r="I799" s="1490"/>
      <c r="J799" s="1490"/>
      <c r="K799" s="1490"/>
      <c r="L799" s="1809">
        <v>44546</v>
      </c>
      <c r="M799" s="406"/>
    </row>
    <row r="800" spans="1:13" ht="15.75" hidden="1" thickTop="1">
      <c r="A800" s="1640">
        <v>44524</v>
      </c>
      <c r="B800" s="1642" t="s">
        <v>10416</v>
      </c>
      <c r="C800" s="1642" t="s">
        <v>9694</v>
      </c>
      <c r="D800" s="1645">
        <v>1786211</v>
      </c>
      <c r="E800" s="1642" t="s">
        <v>251</v>
      </c>
      <c r="F800" s="1642"/>
      <c r="G800" s="1642"/>
      <c r="H800" s="1642"/>
      <c r="I800" s="1647"/>
      <c r="J800" s="1647"/>
      <c r="K800" s="1647"/>
      <c r="L800" s="1645"/>
      <c r="M800" s="1642"/>
    </row>
    <row r="801" spans="1:13" hidden="1">
      <c r="A801" s="2349">
        <v>44524</v>
      </c>
      <c r="B801" s="2350" t="s">
        <v>10416</v>
      </c>
      <c r="C801" s="2350" t="s">
        <v>9694</v>
      </c>
      <c r="D801" s="2353">
        <v>102536</v>
      </c>
      <c r="E801" s="2350" t="s">
        <v>251</v>
      </c>
      <c r="F801" s="2350"/>
      <c r="G801" s="2350"/>
      <c r="H801" s="2350"/>
      <c r="I801" s="2355"/>
      <c r="J801" s="2355"/>
      <c r="K801" s="2355"/>
      <c r="L801" s="2353"/>
      <c r="M801" s="2350"/>
    </row>
    <row r="802" spans="1:13" ht="15.75" hidden="1" thickBot="1">
      <c r="A802" s="2466">
        <v>44524</v>
      </c>
      <c r="B802" s="2467" t="s">
        <v>10416</v>
      </c>
      <c r="C802" s="2467" t="s">
        <v>9694</v>
      </c>
      <c r="D802" s="2470">
        <v>195162</v>
      </c>
      <c r="E802" s="2467" t="s">
        <v>251</v>
      </c>
      <c r="F802" s="2467"/>
      <c r="G802" s="2467"/>
      <c r="H802" s="2467"/>
      <c r="I802" s="2471"/>
      <c r="J802" s="2471"/>
      <c r="K802" s="2471"/>
      <c r="L802" s="2470"/>
      <c r="M802" s="2467"/>
    </row>
    <row r="803" spans="1:13" hidden="1">
      <c r="A803" s="423" t="s">
        <v>3585</v>
      </c>
      <c r="B803" s="423" t="s">
        <v>10421</v>
      </c>
      <c r="C803" s="423" t="s">
        <v>2434</v>
      </c>
      <c r="D803" s="841">
        <v>335440</v>
      </c>
      <c r="E803" s="423" t="s">
        <v>112</v>
      </c>
      <c r="F803" s="840">
        <v>44536</v>
      </c>
      <c r="G803" s="840">
        <v>44543</v>
      </c>
      <c r="H803" s="840">
        <v>44546</v>
      </c>
      <c r="I803" s="1489"/>
      <c r="J803" s="1489"/>
      <c r="K803" s="1489"/>
      <c r="L803" s="1392">
        <v>44547</v>
      </c>
      <c r="M803" s="423"/>
    </row>
    <row r="804" spans="1:13" hidden="1">
      <c r="A804" s="2153">
        <v>44525</v>
      </c>
      <c r="B804" s="2154" t="s">
        <v>10426</v>
      </c>
      <c r="C804" s="2154" t="s">
        <v>52</v>
      </c>
      <c r="D804" s="2157">
        <v>35000000</v>
      </c>
      <c r="E804" s="2154" t="s">
        <v>216</v>
      </c>
      <c r="F804" s="2153">
        <v>44530</v>
      </c>
      <c r="G804" s="2153">
        <v>44547</v>
      </c>
      <c r="H804" s="2154"/>
      <c r="I804" s="2094"/>
      <c r="J804" s="2094"/>
      <c r="K804" s="2094"/>
      <c r="L804" s="2157"/>
      <c r="M804" s="2154"/>
    </row>
    <row r="805" spans="1:13" hidden="1">
      <c r="A805" s="464">
        <v>44525</v>
      </c>
      <c r="B805" s="406" t="s">
        <v>10431</v>
      </c>
      <c r="C805" s="406" t="s">
        <v>2111</v>
      </c>
      <c r="D805" s="465">
        <v>1100000</v>
      </c>
      <c r="E805" s="406" t="s">
        <v>112</v>
      </c>
      <c r="F805" s="464">
        <v>44526</v>
      </c>
      <c r="G805" s="464">
        <v>44547</v>
      </c>
      <c r="H805" s="406"/>
      <c r="I805" s="1490"/>
      <c r="J805" s="1490"/>
      <c r="K805" s="1490"/>
      <c r="L805" s="465"/>
      <c r="M805" s="406"/>
    </row>
    <row r="806" spans="1:13" ht="15.75" hidden="1" thickTop="1">
      <c r="A806" s="1640">
        <v>44526</v>
      </c>
      <c r="B806" s="1642" t="s">
        <v>10433</v>
      </c>
      <c r="C806" s="1642" t="s">
        <v>58</v>
      </c>
      <c r="D806" s="1645">
        <v>750000</v>
      </c>
      <c r="E806" s="1642" t="s">
        <v>251</v>
      </c>
      <c r="F806" s="1642"/>
      <c r="G806" s="1642"/>
      <c r="H806" s="1642"/>
      <c r="I806" s="1647"/>
      <c r="J806" s="1647"/>
      <c r="K806" s="1647"/>
      <c r="L806" s="1645"/>
      <c r="M806" s="1642"/>
    </row>
    <row r="807" spans="1:13" ht="15.75" hidden="1" thickBot="1">
      <c r="A807" s="2466">
        <v>44526</v>
      </c>
      <c r="B807" s="2467" t="s">
        <v>10433</v>
      </c>
      <c r="C807" s="2467" t="s">
        <v>58</v>
      </c>
      <c r="D807" s="2470">
        <v>850000</v>
      </c>
      <c r="E807" s="2467" t="s">
        <v>251</v>
      </c>
      <c r="F807" s="2467"/>
      <c r="G807" s="2467"/>
      <c r="H807" s="2467"/>
      <c r="I807" s="2471"/>
      <c r="J807" s="2471"/>
      <c r="K807" s="2471"/>
      <c r="L807" s="2470"/>
      <c r="M807" s="2467"/>
    </row>
    <row r="808" spans="1:13" hidden="1">
      <c r="A808" s="1730">
        <v>44516</v>
      </c>
      <c r="B808" s="1550" t="s">
        <v>10469</v>
      </c>
      <c r="C808" s="1550" t="s">
        <v>2434</v>
      </c>
      <c r="D808" s="1734">
        <v>5986475</v>
      </c>
      <c r="E808" s="1550" t="s">
        <v>251</v>
      </c>
      <c r="F808" s="1730">
        <v>44532</v>
      </c>
      <c r="G808" s="1730">
        <v>44565</v>
      </c>
      <c r="H808" s="1550"/>
      <c r="I808" s="1537"/>
      <c r="J808" s="1537"/>
      <c r="K808" s="1537"/>
      <c r="L808" s="1734"/>
      <c r="M808" s="1550"/>
    </row>
    <row r="809" spans="1:13" ht="15.75" hidden="1" thickTop="1">
      <c r="A809" s="2306">
        <v>44524</v>
      </c>
      <c r="B809" s="824" t="s">
        <v>10443</v>
      </c>
      <c r="C809" s="824" t="s">
        <v>69</v>
      </c>
      <c r="D809" s="828">
        <v>10941317</v>
      </c>
      <c r="E809" s="824" t="s">
        <v>251</v>
      </c>
      <c r="F809" s="824"/>
      <c r="G809" s="824"/>
      <c r="H809" s="824"/>
      <c r="I809" s="1486"/>
      <c r="J809" s="1486"/>
      <c r="K809" s="1486"/>
      <c r="L809" s="828"/>
      <c r="M809" s="824"/>
    </row>
    <row r="810" spans="1:13" hidden="1">
      <c r="A810" s="1602">
        <v>44524</v>
      </c>
      <c r="B810" s="817" t="s">
        <v>10443</v>
      </c>
      <c r="C810" s="817" t="s">
        <v>69</v>
      </c>
      <c r="D810" s="2347">
        <v>901115</v>
      </c>
      <c r="E810" s="2105" t="s">
        <v>251</v>
      </c>
      <c r="F810" s="2105"/>
      <c r="G810" s="2105"/>
      <c r="H810" s="2105"/>
      <c r="I810" s="2348"/>
      <c r="J810" s="2348"/>
      <c r="K810" s="2348"/>
      <c r="L810" s="2347"/>
      <c r="M810" s="2105"/>
    </row>
    <row r="811" spans="1:13" ht="15.75" hidden="1" thickBot="1">
      <c r="A811" s="2422">
        <v>44524</v>
      </c>
      <c r="B811" s="2423" t="s">
        <v>10443</v>
      </c>
      <c r="C811" s="2423" t="s">
        <v>69</v>
      </c>
      <c r="D811" s="2310">
        <v>15078150</v>
      </c>
      <c r="E811" s="2107" t="s">
        <v>251</v>
      </c>
      <c r="F811" s="2107"/>
      <c r="G811" s="2107"/>
      <c r="H811" s="2107"/>
      <c r="I811" s="2311"/>
      <c r="J811" s="2311"/>
      <c r="K811" s="2311"/>
      <c r="L811" s="2310"/>
      <c r="M811" s="2107"/>
    </row>
    <row r="812" spans="1:13" ht="15.75" hidden="1" thickTop="1">
      <c r="A812" s="587">
        <v>44524</v>
      </c>
      <c r="B812" s="583" t="s">
        <v>10447</v>
      </c>
      <c r="C812" s="583" t="s">
        <v>69</v>
      </c>
      <c r="D812" s="588">
        <v>2227932</v>
      </c>
      <c r="E812" s="583" t="s">
        <v>251</v>
      </c>
      <c r="F812" s="587">
        <v>44536</v>
      </c>
      <c r="G812" s="587">
        <v>44581</v>
      </c>
      <c r="H812" s="583"/>
      <c r="I812" s="1483"/>
      <c r="J812" s="1483"/>
      <c r="K812" s="1483"/>
      <c r="L812" s="588"/>
      <c r="M812" s="583"/>
    </row>
    <row r="813" spans="1:13" hidden="1">
      <c r="A813" s="2084">
        <v>44524</v>
      </c>
      <c r="B813" s="2085" t="s">
        <v>10447</v>
      </c>
      <c r="C813" s="2085" t="s">
        <v>69</v>
      </c>
      <c r="D813" s="2092">
        <v>8217507</v>
      </c>
      <c r="E813" s="2085" t="s">
        <v>251</v>
      </c>
      <c r="F813" s="2084">
        <v>44536</v>
      </c>
      <c r="G813" s="2084">
        <v>44581</v>
      </c>
      <c r="H813" s="2085"/>
      <c r="I813" s="2094"/>
      <c r="J813" s="2094"/>
      <c r="K813" s="2094"/>
      <c r="L813" s="2092"/>
      <c r="M813" s="2085"/>
    </row>
    <row r="814" spans="1:13" hidden="1">
      <c r="A814" s="2084">
        <v>44524</v>
      </c>
      <c r="B814" s="2085" t="s">
        <v>10447</v>
      </c>
      <c r="C814" s="2085" t="s">
        <v>69</v>
      </c>
      <c r="D814" s="2092">
        <v>28045433</v>
      </c>
      <c r="E814" s="2085" t="s">
        <v>251</v>
      </c>
      <c r="F814" s="2084">
        <v>44536</v>
      </c>
      <c r="G814" s="2084">
        <v>44581</v>
      </c>
      <c r="H814" s="2085"/>
      <c r="I814" s="2094"/>
      <c r="J814" s="2094"/>
      <c r="K814" s="2094"/>
      <c r="L814" s="2092"/>
      <c r="M814" s="2085"/>
    </row>
    <row r="815" spans="1:13" hidden="1">
      <c r="A815" s="2084">
        <v>44524</v>
      </c>
      <c r="B815" s="2085" t="s">
        <v>10447</v>
      </c>
      <c r="C815" s="2085" t="s">
        <v>69</v>
      </c>
      <c r="D815" s="2092">
        <v>27775405</v>
      </c>
      <c r="E815" s="2085" t="s">
        <v>251</v>
      </c>
      <c r="F815" s="2084">
        <v>44536</v>
      </c>
      <c r="G815" s="2084">
        <v>44581</v>
      </c>
      <c r="H815" s="2085"/>
      <c r="I815" s="2094"/>
      <c r="J815" s="2094"/>
      <c r="K815" s="2094"/>
      <c r="L815" s="2092"/>
      <c r="M815" s="2085"/>
    </row>
    <row r="816" spans="1:13" hidden="1">
      <c r="A816" s="2084">
        <v>44524</v>
      </c>
      <c r="B816" s="2085" t="s">
        <v>10447</v>
      </c>
      <c r="C816" s="2085" t="s">
        <v>69</v>
      </c>
      <c r="D816" s="2092">
        <v>17089758</v>
      </c>
      <c r="E816" s="2085" t="s">
        <v>251</v>
      </c>
      <c r="F816" s="2084">
        <v>44536</v>
      </c>
      <c r="G816" s="2084">
        <v>44581</v>
      </c>
      <c r="H816" s="2085"/>
      <c r="I816" s="2094"/>
      <c r="J816" s="2094"/>
      <c r="K816" s="2094"/>
      <c r="L816" s="2092"/>
      <c r="M816" s="2085"/>
    </row>
    <row r="817" spans="1:13" hidden="1">
      <c r="A817" s="2084">
        <v>44524</v>
      </c>
      <c r="B817" s="2085" t="s">
        <v>10447</v>
      </c>
      <c r="C817" s="2085" t="s">
        <v>69</v>
      </c>
      <c r="D817" s="2092">
        <v>12126777</v>
      </c>
      <c r="E817" s="2085" t="s">
        <v>251</v>
      </c>
      <c r="F817" s="2084">
        <v>44536</v>
      </c>
      <c r="G817" s="2084">
        <v>44581</v>
      </c>
      <c r="H817" s="2085"/>
      <c r="I817" s="2094"/>
      <c r="J817" s="2094"/>
      <c r="K817" s="2094"/>
      <c r="L817" s="2092"/>
      <c r="M817" s="2085"/>
    </row>
    <row r="818" spans="1:13" hidden="1">
      <c r="A818" s="2084">
        <v>44524</v>
      </c>
      <c r="B818" s="2085" t="s">
        <v>10447</v>
      </c>
      <c r="C818" s="2085" t="s">
        <v>69</v>
      </c>
      <c r="D818" s="2092">
        <v>45734721</v>
      </c>
      <c r="E818" s="2085" t="s">
        <v>251</v>
      </c>
      <c r="F818" s="2084">
        <v>44536</v>
      </c>
      <c r="G818" s="2084">
        <v>44581</v>
      </c>
      <c r="H818" s="2085"/>
      <c r="I818" s="2094"/>
      <c r="J818" s="2094"/>
      <c r="K818" s="2094"/>
      <c r="L818" s="2092"/>
      <c r="M818" s="2085"/>
    </row>
    <row r="819" spans="1:13" ht="15.75" hidden="1" thickBot="1">
      <c r="A819" s="2088">
        <v>44524</v>
      </c>
      <c r="B819" s="2089" t="s">
        <v>10447</v>
      </c>
      <c r="C819" s="2089" t="s">
        <v>69</v>
      </c>
      <c r="D819" s="2093">
        <v>13490912</v>
      </c>
      <c r="E819" s="2089" t="s">
        <v>251</v>
      </c>
      <c r="F819" s="2088">
        <v>44536</v>
      </c>
      <c r="G819" s="2088">
        <v>44581</v>
      </c>
      <c r="H819" s="2089"/>
      <c r="I819" s="2095"/>
      <c r="J819" s="2095"/>
      <c r="K819" s="2095"/>
      <c r="L819" s="2093"/>
      <c r="M819" s="2089"/>
    </row>
    <row r="820" spans="1:13" ht="15.75" hidden="1" thickTop="1">
      <c r="A820" s="587">
        <v>44524</v>
      </c>
      <c r="B820" s="583" t="s">
        <v>10457</v>
      </c>
      <c r="C820" s="583" t="s">
        <v>69</v>
      </c>
      <c r="D820" s="588">
        <v>2605479</v>
      </c>
      <c r="E820" s="583" t="s">
        <v>251</v>
      </c>
      <c r="F820" s="587">
        <v>44532</v>
      </c>
      <c r="G820" s="587">
        <v>44578</v>
      </c>
      <c r="H820" s="583"/>
      <c r="I820" s="1483"/>
      <c r="J820" s="1483"/>
      <c r="K820" s="1483"/>
      <c r="L820" s="588"/>
      <c r="M820" s="583"/>
    </row>
    <row r="821" spans="1:13" hidden="1">
      <c r="A821" s="2084">
        <v>44524</v>
      </c>
      <c r="B821" s="2085" t="s">
        <v>10457</v>
      </c>
      <c r="C821" s="2085" t="s">
        <v>69</v>
      </c>
      <c r="D821" s="2092">
        <v>7299480</v>
      </c>
      <c r="E821" s="2085" t="s">
        <v>251</v>
      </c>
      <c r="F821" s="2084">
        <v>44532</v>
      </c>
      <c r="G821" s="2084">
        <v>44578</v>
      </c>
      <c r="H821" s="2085"/>
      <c r="I821" s="2094"/>
      <c r="J821" s="2094"/>
      <c r="K821" s="2094"/>
      <c r="L821" s="2092"/>
      <c r="M821" s="2085"/>
    </row>
    <row r="822" spans="1:13" hidden="1">
      <c r="A822" s="2084">
        <v>44524</v>
      </c>
      <c r="B822" s="2085" t="s">
        <v>10457</v>
      </c>
      <c r="C822" s="2085" t="s">
        <v>69</v>
      </c>
      <c r="D822" s="2092">
        <v>2022861</v>
      </c>
      <c r="E822" s="2085" t="s">
        <v>251</v>
      </c>
      <c r="F822" s="2084">
        <v>44532</v>
      </c>
      <c r="G822" s="2084">
        <v>44578</v>
      </c>
      <c r="H822" s="2085"/>
      <c r="I822" s="2094"/>
      <c r="J822" s="2094"/>
      <c r="K822" s="2094"/>
      <c r="L822" s="2092"/>
      <c r="M822" s="2085"/>
    </row>
    <row r="823" spans="1:13" hidden="1">
      <c r="A823" s="2084">
        <v>44524</v>
      </c>
      <c r="B823" s="2085" t="s">
        <v>10457</v>
      </c>
      <c r="C823" s="2085" t="s">
        <v>69</v>
      </c>
      <c r="D823" s="2092">
        <v>518517</v>
      </c>
      <c r="E823" s="2085" t="s">
        <v>251</v>
      </c>
      <c r="F823" s="2084">
        <v>44532</v>
      </c>
      <c r="G823" s="2084">
        <v>44578</v>
      </c>
      <c r="H823" s="2085"/>
      <c r="I823" s="2094"/>
      <c r="J823" s="2094"/>
      <c r="K823" s="2094"/>
      <c r="L823" s="2092"/>
      <c r="M823" s="2085"/>
    </row>
    <row r="824" spans="1:13" ht="15.75" hidden="1" thickBot="1">
      <c r="A824" s="2088">
        <v>44524</v>
      </c>
      <c r="B824" s="2089" t="s">
        <v>10457</v>
      </c>
      <c r="C824" s="2089" t="s">
        <v>69</v>
      </c>
      <c r="D824" s="2093">
        <v>55000062</v>
      </c>
      <c r="E824" s="2089" t="s">
        <v>251</v>
      </c>
      <c r="F824" s="2088">
        <v>44532</v>
      </c>
      <c r="G824" s="2088">
        <v>44578</v>
      </c>
      <c r="H824" s="2089"/>
      <c r="I824" s="2095"/>
      <c r="J824" s="2095"/>
      <c r="K824" s="2095"/>
      <c r="L824" s="2093"/>
      <c r="M824" s="2089"/>
    </row>
    <row r="825" spans="1:13" ht="15.75" hidden="1" thickTop="1">
      <c r="A825" s="428">
        <v>44533</v>
      </c>
      <c r="B825" s="425" t="s">
        <v>10531</v>
      </c>
      <c r="C825" s="425" t="s">
        <v>4997</v>
      </c>
      <c r="D825" s="429">
        <v>500000</v>
      </c>
      <c r="E825" s="425" t="s">
        <v>112</v>
      </c>
      <c r="F825" s="428">
        <v>44544</v>
      </c>
      <c r="G825" s="428">
        <v>44559</v>
      </c>
      <c r="H825" s="425"/>
      <c r="I825" s="1483"/>
      <c r="J825" s="1483"/>
      <c r="K825" s="1483"/>
      <c r="L825" s="429"/>
      <c r="M825" s="425"/>
    </row>
    <row r="826" spans="1:13" hidden="1">
      <c r="A826" s="2349">
        <v>44526</v>
      </c>
      <c r="B826" s="2350" t="s">
        <v>10464</v>
      </c>
      <c r="C826" s="2350" t="s">
        <v>58</v>
      </c>
      <c r="D826" s="2353">
        <v>10200000</v>
      </c>
      <c r="E826" s="2350" t="s">
        <v>251</v>
      </c>
      <c r="F826" s="2350"/>
      <c r="G826" s="2350"/>
      <c r="H826" s="2350"/>
      <c r="I826" s="2355"/>
      <c r="J826" s="2355"/>
      <c r="K826" s="2355"/>
      <c r="L826" s="2353"/>
      <c r="M826" s="2350"/>
    </row>
    <row r="827" spans="1:13" hidden="1">
      <c r="A827" s="2153">
        <v>44525</v>
      </c>
      <c r="B827" s="2154" t="s">
        <v>10471</v>
      </c>
      <c r="C827" s="2154" t="s">
        <v>2434</v>
      </c>
      <c r="D827" s="2157">
        <v>2549860</v>
      </c>
      <c r="E827" s="2154" t="s">
        <v>216</v>
      </c>
      <c r="F827" s="2153">
        <v>44532</v>
      </c>
      <c r="G827" s="2153">
        <v>44557</v>
      </c>
      <c r="H827" s="2154"/>
      <c r="I827" s="2094"/>
      <c r="J827" s="2094"/>
      <c r="K827" s="2094"/>
      <c r="L827" s="2157"/>
      <c r="M827" s="2154"/>
    </row>
    <row r="828" spans="1:13" hidden="1">
      <c r="A828" s="2085" t="s">
        <v>3585</v>
      </c>
      <c r="B828" s="2085" t="s">
        <v>10474</v>
      </c>
      <c r="C828" s="2085" t="s">
        <v>69</v>
      </c>
      <c r="D828" s="2092">
        <v>4650131</v>
      </c>
      <c r="E828" s="2085" t="s">
        <v>251</v>
      </c>
      <c r="F828" s="2084">
        <v>44537</v>
      </c>
      <c r="G828" s="2084">
        <v>44571</v>
      </c>
      <c r="H828" s="2085"/>
      <c r="I828" s="2094"/>
      <c r="J828" s="2094"/>
      <c r="K828" s="2094"/>
      <c r="L828" s="2092"/>
      <c r="M828" s="2085"/>
    </row>
    <row r="829" spans="1:13" hidden="1">
      <c r="A829" s="2084">
        <v>44529</v>
      </c>
      <c r="B829" s="2085" t="s">
        <v>10483</v>
      </c>
      <c r="C829" s="2085" t="s">
        <v>69</v>
      </c>
      <c r="D829" s="2092">
        <v>32332000</v>
      </c>
      <c r="E829" s="2085" t="s">
        <v>645</v>
      </c>
      <c r="F829" s="2084">
        <v>44533</v>
      </c>
      <c r="G829" s="2084">
        <v>44566</v>
      </c>
      <c r="H829" s="2085"/>
      <c r="I829" s="2094"/>
      <c r="J829" s="2094"/>
      <c r="K829" s="2094"/>
      <c r="L829" s="2092"/>
      <c r="M829" s="2085"/>
    </row>
    <row r="830" spans="1:13" hidden="1">
      <c r="A830" s="1871">
        <v>44530</v>
      </c>
      <c r="B830" s="1437" t="s">
        <v>10477</v>
      </c>
      <c r="C830" s="1437" t="s">
        <v>69</v>
      </c>
      <c r="D830" s="1874">
        <v>11814000</v>
      </c>
      <c r="E830" s="1437" t="s">
        <v>251</v>
      </c>
      <c r="F830" s="1871">
        <v>44547</v>
      </c>
      <c r="G830" s="1871">
        <v>44581</v>
      </c>
      <c r="H830" s="1437"/>
      <c r="I830" s="2094"/>
      <c r="J830" s="2094"/>
      <c r="K830" s="2094"/>
      <c r="L830" s="1874"/>
      <c r="M830" s="1437"/>
    </row>
    <row r="831" spans="1:13" ht="15.75" hidden="1" thickTop="1">
      <c r="A831" s="587">
        <v>44501</v>
      </c>
      <c r="B831" s="583" t="s">
        <v>10500</v>
      </c>
      <c r="C831" s="583" t="s">
        <v>2434</v>
      </c>
      <c r="D831" s="588">
        <v>1154583</v>
      </c>
      <c r="E831" s="583" t="s">
        <v>251</v>
      </c>
      <c r="F831" s="587">
        <v>44539</v>
      </c>
      <c r="G831" s="587">
        <v>44573</v>
      </c>
      <c r="H831" s="583"/>
      <c r="I831" s="2094"/>
      <c r="J831" s="2094"/>
      <c r="K831" s="2094"/>
      <c r="L831" s="588"/>
      <c r="M831" s="583"/>
    </row>
    <row r="832" spans="1:13" hidden="1">
      <c r="A832" s="2084" t="s">
        <v>3585</v>
      </c>
      <c r="B832" s="2085" t="s">
        <v>10500</v>
      </c>
      <c r="C832" s="2085" t="s">
        <v>2434</v>
      </c>
      <c r="D832" s="2092">
        <v>89870</v>
      </c>
      <c r="E832" s="2085" t="s">
        <v>251</v>
      </c>
      <c r="F832" s="2084">
        <v>44539</v>
      </c>
      <c r="G832" s="2084">
        <v>44573</v>
      </c>
      <c r="H832" s="2085"/>
      <c r="I832" s="2094"/>
      <c r="J832" s="2094"/>
      <c r="K832" s="2094"/>
      <c r="L832" s="2092"/>
      <c r="M832" s="2085"/>
    </row>
    <row r="833" spans="1:13" hidden="1">
      <c r="A833" s="2084" t="s">
        <v>3585</v>
      </c>
      <c r="B833" s="2085" t="s">
        <v>10500</v>
      </c>
      <c r="C833" s="2085" t="s">
        <v>2434</v>
      </c>
      <c r="D833" s="2092">
        <v>1827770</v>
      </c>
      <c r="E833" s="2085" t="s">
        <v>251</v>
      </c>
      <c r="F833" s="2084">
        <v>44539</v>
      </c>
      <c r="G833" s="2084">
        <v>44573</v>
      </c>
      <c r="H833" s="2085"/>
      <c r="I833" s="2094"/>
      <c r="J833" s="2094"/>
      <c r="K833" s="2094"/>
      <c r="L833" s="2092"/>
      <c r="M833" s="2085"/>
    </row>
    <row r="834" spans="1:13" hidden="1">
      <c r="A834" s="2084" t="s">
        <v>3585</v>
      </c>
      <c r="B834" s="2085" t="s">
        <v>10500</v>
      </c>
      <c r="C834" s="2085" t="s">
        <v>2434</v>
      </c>
      <c r="D834" s="2092">
        <v>56870</v>
      </c>
      <c r="E834" s="2085" t="s">
        <v>251</v>
      </c>
      <c r="F834" s="2084">
        <v>44539</v>
      </c>
      <c r="G834" s="2084">
        <v>44573</v>
      </c>
      <c r="H834" s="2085"/>
      <c r="I834" s="2094"/>
      <c r="J834" s="2094"/>
      <c r="K834" s="2094"/>
      <c r="L834" s="2092"/>
      <c r="M834" s="2085"/>
    </row>
    <row r="835" spans="1:13" ht="15.75" hidden="1" thickBot="1">
      <c r="A835" s="2088" t="s">
        <v>3585</v>
      </c>
      <c r="B835" s="2089" t="s">
        <v>10500</v>
      </c>
      <c r="C835" s="2089" t="s">
        <v>2434</v>
      </c>
      <c r="D835" s="2093">
        <v>2835100</v>
      </c>
      <c r="E835" s="2089" t="s">
        <v>251</v>
      </c>
      <c r="F835" s="2088">
        <v>44539</v>
      </c>
      <c r="G835" s="2088">
        <v>44573</v>
      </c>
      <c r="H835" s="2089"/>
      <c r="I835" s="2094"/>
      <c r="J835" s="2094"/>
      <c r="K835" s="2094"/>
      <c r="L835" s="2093"/>
      <c r="M835" s="2089"/>
    </row>
    <row r="836" spans="1:13" hidden="1">
      <c r="A836" s="1730">
        <v>44532</v>
      </c>
      <c r="B836" s="1550" t="s">
        <v>10503</v>
      </c>
      <c r="C836" s="1550" t="s">
        <v>69</v>
      </c>
      <c r="D836" s="1734">
        <v>1610000</v>
      </c>
      <c r="E836" s="1550" t="s">
        <v>216</v>
      </c>
      <c r="F836" s="1730">
        <v>44539</v>
      </c>
      <c r="G836" s="1730">
        <v>44565</v>
      </c>
      <c r="H836" s="1550"/>
      <c r="I836" s="1490"/>
      <c r="J836" s="1490"/>
      <c r="K836" s="1490"/>
      <c r="L836" s="1734"/>
      <c r="M836" s="1550"/>
    </row>
    <row r="837" spans="1:13" ht="15.75" hidden="1" thickTop="1">
      <c r="A837" s="587">
        <v>44532</v>
      </c>
      <c r="B837" s="583" t="s">
        <v>10505</v>
      </c>
      <c r="C837" s="583" t="s">
        <v>69</v>
      </c>
      <c r="D837" s="588">
        <v>7836762</v>
      </c>
      <c r="E837" s="583" t="s">
        <v>251</v>
      </c>
      <c r="F837" s="587">
        <v>44538</v>
      </c>
      <c r="G837" s="587">
        <v>44599</v>
      </c>
      <c r="H837" s="583"/>
      <c r="I837" s="1483"/>
      <c r="J837" s="1483"/>
      <c r="K837" s="1483"/>
      <c r="L837" s="588"/>
      <c r="M837" s="583"/>
    </row>
    <row r="838" spans="1:13" hidden="1">
      <c r="A838" s="2084">
        <v>44532</v>
      </c>
      <c r="B838" s="2085" t="s">
        <v>10505</v>
      </c>
      <c r="C838" s="2085" t="s">
        <v>69</v>
      </c>
      <c r="D838" s="2092">
        <v>1166820</v>
      </c>
      <c r="E838" s="2085" t="s">
        <v>251</v>
      </c>
      <c r="F838" s="2084">
        <v>44538</v>
      </c>
      <c r="G838" s="2084">
        <v>44599</v>
      </c>
      <c r="H838" s="2085"/>
      <c r="I838" s="2094"/>
      <c r="J838" s="2094"/>
      <c r="K838" s="2094"/>
      <c r="L838" s="2092"/>
      <c r="M838" s="2085"/>
    </row>
    <row r="839" spans="1:13" hidden="1">
      <c r="A839" s="2084">
        <v>44532</v>
      </c>
      <c r="B839" s="2085" t="s">
        <v>10505</v>
      </c>
      <c r="C839" s="2085" t="s">
        <v>69</v>
      </c>
      <c r="D839" s="2092">
        <v>2563207</v>
      </c>
      <c r="E839" s="2085" t="s">
        <v>251</v>
      </c>
      <c r="F839" s="2084">
        <v>44538</v>
      </c>
      <c r="G839" s="2084">
        <v>44599</v>
      </c>
      <c r="H839" s="2085"/>
      <c r="I839" s="2094"/>
      <c r="J839" s="2094"/>
      <c r="K839" s="2094"/>
      <c r="L839" s="2092"/>
      <c r="M839" s="2085"/>
    </row>
    <row r="840" spans="1:13" hidden="1">
      <c r="A840" s="2084">
        <v>44532</v>
      </c>
      <c r="B840" s="2085" t="s">
        <v>10505</v>
      </c>
      <c r="C840" s="2085" t="s">
        <v>69</v>
      </c>
      <c r="D840" s="2092">
        <v>10710000</v>
      </c>
      <c r="E840" s="2085" t="s">
        <v>251</v>
      </c>
      <c r="F840" s="2084">
        <v>44538</v>
      </c>
      <c r="G840" s="2084">
        <v>44599</v>
      </c>
      <c r="H840" s="2085"/>
      <c r="I840" s="2094"/>
      <c r="J840" s="2094"/>
      <c r="K840" s="2094"/>
      <c r="L840" s="2092"/>
      <c r="M840" s="2085"/>
    </row>
    <row r="841" spans="1:13" hidden="1">
      <c r="A841" s="2084">
        <v>44532</v>
      </c>
      <c r="B841" s="2085" t="s">
        <v>10505</v>
      </c>
      <c r="C841" s="2085" t="s">
        <v>69</v>
      </c>
      <c r="D841" s="2092">
        <v>7435918</v>
      </c>
      <c r="E841" s="2085" t="s">
        <v>251</v>
      </c>
      <c r="F841" s="2084">
        <v>44538</v>
      </c>
      <c r="G841" s="2084">
        <v>44599</v>
      </c>
      <c r="H841" s="2085"/>
      <c r="I841" s="2094"/>
      <c r="J841" s="2094"/>
      <c r="K841" s="2094"/>
      <c r="L841" s="2092"/>
      <c r="M841" s="2085"/>
    </row>
    <row r="842" spans="1:13" hidden="1">
      <c r="A842" s="2084">
        <v>44532</v>
      </c>
      <c r="B842" s="2085" t="s">
        <v>10505</v>
      </c>
      <c r="C842" s="2085" t="s">
        <v>69</v>
      </c>
      <c r="D842" s="2092">
        <v>46702858</v>
      </c>
      <c r="E842" s="2085" t="s">
        <v>251</v>
      </c>
      <c r="F842" s="2084">
        <v>44538</v>
      </c>
      <c r="G842" s="2084">
        <v>44599</v>
      </c>
      <c r="H842" s="2085"/>
      <c r="I842" s="2094"/>
      <c r="J842" s="2094"/>
      <c r="K842" s="2094"/>
      <c r="L842" s="2092"/>
      <c r="M842" s="2085"/>
    </row>
    <row r="843" spans="1:13" hidden="1">
      <c r="A843" s="2084">
        <v>44532</v>
      </c>
      <c r="B843" s="2085" t="s">
        <v>10505</v>
      </c>
      <c r="C843" s="2085" t="s">
        <v>69</v>
      </c>
      <c r="D843" s="2092">
        <v>18432258</v>
      </c>
      <c r="E843" s="2085" t="s">
        <v>251</v>
      </c>
      <c r="F843" s="2084">
        <v>44538</v>
      </c>
      <c r="G843" s="2084">
        <v>44599</v>
      </c>
      <c r="H843" s="2085"/>
      <c r="I843" s="2094"/>
      <c r="J843" s="2094"/>
      <c r="K843" s="2094"/>
      <c r="L843" s="2092"/>
      <c r="M843" s="2085"/>
    </row>
    <row r="844" spans="1:13" ht="15.75" hidden="1" thickBot="1">
      <c r="A844" s="2088">
        <v>44532</v>
      </c>
      <c r="B844" s="2089" t="s">
        <v>10505</v>
      </c>
      <c r="C844" s="2089" t="s">
        <v>69</v>
      </c>
      <c r="D844" s="2093">
        <v>15523659</v>
      </c>
      <c r="E844" s="2089" t="s">
        <v>251</v>
      </c>
      <c r="F844" s="2088">
        <v>44538</v>
      </c>
      <c r="G844" s="2088">
        <v>44599</v>
      </c>
      <c r="H844" s="2089"/>
      <c r="I844" s="2095"/>
      <c r="J844" s="2095"/>
      <c r="K844" s="2095"/>
      <c r="L844" s="2093"/>
      <c r="M844" s="2089"/>
    </row>
    <row r="845" spans="1:13" hidden="1">
      <c r="A845" s="1730">
        <v>44533</v>
      </c>
      <c r="B845" s="1550" t="s">
        <v>10510</v>
      </c>
      <c r="C845" s="1550" t="s">
        <v>69</v>
      </c>
      <c r="D845" s="1734">
        <v>4200000</v>
      </c>
      <c r="E845" s="1550" t="s">
        <v>251</v>
      </c>
      <c r="F845" s="1730">
        <v>44550</v>
      </c>
      <c r="G845" s="1730">
        <v>44585</v>
      </c>
      <c r="H845" s="1550"/>
      <c r="I845" s="1537"/>
      <c r="J845" s="1537"/>
      <c r="K845" s="1537"/>
      <c r="L845" s="1734"/>
      <c r="M845" s="1550"/>
    </row>
    <row r="846" spans="1:13" ht="15.75" hidden="1" thickTop="1">
      <c r="A846" s="583" t="s">
        <v>3585</v>
      </c>
      <c r="B846" s="583" t="s">
        <v>10515</v>
      </c>
      <c r="C846" s="583" t="s">
        <v>2434</v>
      </c>
      <c r="D846" s="588">
        <v>1220800</v>
      </c>
      <c r="E846" s="583" t="s">
        <v>251</v>
      </c>
      <c r="F846" s="587">
        <v>44539</v>
      </c>
      <c r="G846" s="587">
        <v>44572</v>
      </c>
      <c r="H846" s="583"/>
      <c r="I846" s="1483"/>
      <c r="J846" s="1483"/>
      <c r="K846" s="1483"/>
      <c r="L846" s="588"/>
      <c r="M846" s="583"/>
    </row>
    <row r="847" spans="1:13" hidden="1">
      <c r="A847" s="2085" t="s">
        <v>3585</v>
      </c>
      <c r="B847" s="2085" t="s">
        <v>10515</v>
      </c>
      <c r="C847" s="2085" t="s">
        <v>2434</v>
      </c>
      <c r="D847" s="2092">
        <v>125160</v>
      </c>
      <c r="E847" s="2085" t="s">
        <v>251</v>
      </c>
      <c r="F847" s="2084">
        <v>44539</v>
      </c>
      <c r="G847" s="2084">
        <v>44572</v>
      </c>
      <c r="H847" s="2085"/>
      <c r="I847" s="2094"/>
      <c r="J847" s="2094"/>
      <c r="K847" s="2094"/>
      <c r="L847" s="2092"/>
      <c r="M847" s="2085"/>
    </row>
    <row r="848" spans="1:13" ht="15.75" hidden="1" thickBot="1">
      <c r="A848" s="2089" t="s">
        <v>3585</v>
      </c>
      <c r="B848" s="2089" t="s">
        <v>10515</v>
      </c>
      <c r="C848" s="2089" t="s">
        <v>2434</v>
      </c>
      <c r="D848" s="2093">
        <v>2080500</v>
      </c>
      <c r="E848" s="2089" t="s">
        <v>251</v>
      </c>
      <c r="F848" s="2088">
        <v>44539</v>
      </c>
      <c r="G848" s="2088">
        <v>44572</v>
      </c>
      <c r="H848" s="2089"/>
      <c r="I848" s="2095"/>
      <c r="J848" s="2095"/>
      <c r="K848" s="2095"/>
      <c r="L848" s="2093"/>
      <c r="M848" s="2089"/>
    </row>
    <row r="849" spans="1:13" hidden="1">
      <c r="A849" s="580">
        <v>44537</v>
      </c>
      <c r="B849" s="576" t="s">
        <v>10518</v>
      </c>
      <c r="C849" s="576" t="s">
        <v>2434</v>
      </c>
      <c r="D849" s="581">
        <v>2883740</v>
      </c>
      <c r="E849" s="576" t="s">
        <v>216</v>
      </c>
      <c r="F849" s="580">
        <v>44540</v>
      </c>
      <c r="G849" s="580">
        <v>44564</v>
      </c>
      <c r="H849" s="576"/>
      <c r="I849" s="1489"/>
      <c r="J849" s="1489"/>
      <c r="K849" s="1489"/>
      <c r="L849" s="581"/>
      <c r="M849" s="576"/>
    </row>
    <row r="850" spans="1:13" hidden="1">
      <c r="A850" s="2153">
        <v>44533</v>
      </c>
      <c r="B850" s="2461" t="s">
        <v>10521</v>
      </c>
      <c r="C850" s="2154" t="s">
        <v>2434</v>
      </c>
      <c r="D850" s="2157">
        <v>2014020</v>
      </c>
      <c r="E850" s="2154" t="s">
        <v>216</v>
      </c>
      <c r="F850" s="2153">
        <v>44540</v>
      </c>
      <c r="G850" s="2153">
        <v>44560</v>
      </c>
      <c r="H850" s="2154"/>
      <c r="I850" s="2094"/>
      <c r="J850" s="2094"/>
      <c r="K850" s="2094"/>
      <c r="L850" s="2157"/>
      <c r="M850" s="2154"/>
    </row>
    <row r="851" spans="1:13" hidden="1">
      <c r="A851" s="2349">
        <v>44532</v>
      </c>
      <c r="B851" s="2350" t="s">
        <v>10526</v>
      </c>
      <c r="C851" s="2350" t="s">
        <v>58</v>
      </c>
      <c r="D851" s="2353">
        <v>129000000</v>
      </c>
      <c r="E851" s="2350" t="s">
        <v>251</v>
      </c>
      <c r="F851" s="2350"/>
      <c r="G851" s="2350"/>
      <c r="H851" s="2350"/>
      <c r="I851" s="2355"/>
      <c r="J851" s="2355"/>
      <c r="K851" s="2355"/>
      <c r="L851" s="2353"/>
      <c r="M851" s="2350"/>
    </row>
    <row r="852" spans="1:13" hidden="1">
      <c r="A852" s="2084">
        <v>44536</v>
      </c>
      <c r="B852" s="2085" t="s">
        <v>10535</v>
      </c>
      <c r="C852" s="2085" t="s">
        <v>9694</v>
      </c>
      <c r="D852" s="2092">
        <v>390000</v>
      </c>
      <c r="E852" s="2085" t="s">
        <v>112</v>
      </c>
      <c r="F852" s="2084">
        <v>44553</v>
      </c>
      <c r="G852" s="2084">
        <v>44572</v>
      </c>
      <c r="H852" s="2085"/>
      <c r="I852" s="2094"/>
      <c r="J852" s="2094"/>
      <c r="K852" s="2094"/>
      <c r="L852" s="2092"/>
      <c r="M852" s="2085"/>
    </row>
    <row r="853" spans="1:13" hidden="1">
      <c r="A853" s="2153">
        <v>44539</v>
      </c>
      <c r="B853" s="2154" t="s">
        <v>10539</v>
      </c>
      <c r="C853" s="2154" t="s">
        <v>69</v>
      </c>
      <c r="D853" s="2157">
        <v>3123851</v>
      </c>
      <c r="E853" s="2154" t="s">
        <v>216</v>
      </c>
      <c r="F853" s="2153">
        <v>44540</v>
      </c>
      <c r="G853" s="2153">
        <v>44560</v>
      </c>
      <c r="H853" s="2154"/>
      <c r="I853" s="2094"/>
      <c r="J853" s="2094"/>
      <c r="K853" s="2094"/>
      <c r="L853" s="2157"/>
      <c r="M853" s="2154"/>
    </row>
    <row r="854" spans="1:13" hidden="1">
      <c r="A854" s="2154" t="s">
        <v>3585</v>
      </c>
      <c r="B854" s="2154" t="s">
        <v>10548</v>
      </c>
      <c r="C854" s="2154" t="s">
        <v>2434</v>
      </c>
      <c r="D854" s="2157">
        <v>386194</v>
      </c>
      <c r="E854" s="2154" t="s">
        <v>112</v>
      </c>
      <c r="F854" s="2153">
        <v>44544</v>
      </c>
      <c r="G854" s="2153">
        <v>44552</v>
      </c>
      <c r="H854" s="2154"/>
      <c r="I854" s="2094"/>
      <c r="J854" s="2094"/>
      <c r="K854" s="2094"/>
      <c r="L854" s="2157"/>
      <c r="M854" s="2154"/>
    </row>
    <row r="855" spans="1:13" hidden="1">
      <c r="A855" s="464">
        <v>44525</v>
      </c>
      <c r="B855" s="406" t="s">
        <v>10553</v>
      </c>
      <c r="C855" s="406" t="s">
        <v>2434</v>
      </c>
      <c r="D855" s="465">
        <v>1056000</v>
      </c>
      <c r="E855" s="406" t="s">
        <v>112</v>
      </c>
      <c r="F855" s="464">
        <v>44544</v>
      </c>
      <c r="G855" s="464">
        <v>44552</v>
      </c>
      <c r="H855" s="464">
        <v>44559</v>
      </c>
      <c r="I855" s="1478"/>
      <c r="J855" s="1478"/>
      <c r="K855" s="1478"/>
      <c r="L855" s="1809">
        <v>44559</v>
      </c>
      <c r="M855" s="406"/>
    </row>
    <row r="856" spans="1:13" ht="15.75" hidden="1" thickTop="1">
      <c r="A856" s="587">
        <v>44531</v>
      </c>
      <c r="B856" s="583" t="s">
        <v>10555</v>
      </c>
      <c r="C856" s="583" t="s">
        <v>9800</v>
      </c>
      <c r="D856" s="588">
        <v>350000</v>
      </c>
      <c r="E856" s="583" t="s">
        <v>112</v>
      </c>
      <c r="F856" s="587">
        <v>44559</v>
      </c>
      <c r="G856" s="587">
        <v>44568</v>
      </c>
      <c r="H856" s="583"/>
      <c r="I856" s="1483"/>
      <c r="J856" s="1483"/>
      <c r="K856" s="1483"/>
      <c r="L856" s="588"/>
      <c r="M856" s="583"/>
    </row>
    <row r="857" spans="1:13" hidden="1">
      <c r="A857" s="2084">
        <v>44531</v>
      </c>
      <c r="B857" s="2085" t="s">
        <v>10555</v>
      </c>
      <c r="C857" s="2085" t="s">
        <v>9800</v>
      </c>
      <c r="D857" s="2092">
        <v>200000</v>
      </c>
      <c r="E857" s="2085" t="s">
        <v>112</v>
      </c>
      <c r="F857" s="2084">
        <v>44559</v>
      </c>
      <c r="G857" s="2084">
        <v>44568</v>
      </c>
      <c r="H857" s="2085"/>
      <c r="I857" s="2094"/>
      <c r="J857" s="2094"/>
      <c r="K857" s="2094"/>
      <c r="L857" s="2092"/>
      <c r="M857" s="2085"/>
    </row>
    <row r="858" spans="1:13" ht="15.75" hidden="1" thickBot="1">
      <c r="A858" s="2088">
        <v>44531</v>
      </c>
      <c r="B858" s="2089" t="s">
        <v>10555</v>
      </c>
      <c r="C858" s="2089" t="s">
        <v>9800</v>
      </c>
      <c r="D858" s="2093">
        <v>150000</v>
      </c>
      <c r="E858" s="2089" t="s">
        <v>112</v>
      </c>
      <c r="F858" s="2088">
        <v>44559</v>
      </c>
      <c r="G858" s="2088">
        <v>44568</v>
      </c>
      <c r="H858" s="2089"/>
      <c r="I858" s="2095"/>
      <c r="J858" s="2095"/>
      <c r="K858" s="2095"/>
      <c r="L858" s="2093"/>
      <c r="M858" s="2089"/>
    </row>
    <row r="859" spans="1:13" hidden="1">
      <c r="A859" s="580">
        <v>44536</v>
      </c>
      <c r="B859" s="576" t="s">
        <v>10566</v>
      </c>
      <c r="C859" s="576" t="s">
        <v>58</v>
      </c>
      <c r="D859" s="581">
        <v>472240</v>
      </c>
      <c r="E859" s="576" t="s">
        <v>112</v>
      </c>
      <c r="F859" s="580">
        <v>44553</v>
      </c>
      <c r="G859" s="580">
        <v>44568</v>
      </c>
      <c r="H859" s="576"/>
      <c r="I859" s="1489"/>
      <c r="J859" s="1489"/>
      <c r="K859" s="1489"/>
      <c r="L859" s="581"/>
      <c r="M859" s="576"/>
    </row>
    <row r="860" spans="1:13" hidden="1">
      <c r="A860" s="2084">
        <v>44538</v>
      </c>
      <c r="B860" s="2085" t="s">
        <v>10573</v>
      </c>
      <c r="C860" s="2085" t="s">
        <v>58</v>
      </c>
      <c r="D860" s="2092">
        <v>1040500</v>
      </c>
      <c r="E860" s="2085" t="s">
        <v>112</v>
      </c>
      <c r="F860" s="2084">
        <v>44553</v>
      </c>
      <c r="G860" s="2084">
        <v>44568</v>
      </c>
      <c r="H860" s="2085"/>
      <c r="I860" s="2094"/>
      <c r="J860" s="2094"/>
      <c r="K860" s="2094"/>
      <c r="L860" s="2092"/>
      <c r="M860" s="2085"/>
    </row>
    <row r="861" spans="1:13" hidden="1">
      <c r="A861" s="1871">
        <v>44546</v>
      </c>
      <c r="B861" s="1437" t="s">
        <v>10599</v>
      </c>
      <c r="C861" s="1437" t="s">
        <v>69</v>
      </c>
      <c r="D861" s="1874">
        <v>3833895</v>
      </c>
      <c r="E861" s="1437" t="s">
        <v>251</v>
      </c>
      <c r="F861" s="1871">
        <v>44551</v>
      </c>
      <c r="G861" s="1871">
        <v>44585</v>
      </c>
      <c r="H861" s="1437"/>
      <c r="I861" s="1490"/>
      <c r="J861" s="1490"/>
      <c r="K861" s="1490"/>
      <c r="L861" s="1874"/>
      <c r="M861" s="1437"/>
    </row>
    <row r="862" spans="1:13" ht="15.75" hidden="1" thickTop="1">
      <c r="A862" s="587">
        <v>44546</v>
      </c>
      <c r="B862" s="583" t="s">
        <v>10600</v>
      </c>
      <c r="C862" s="583" t="s">
        <v>69</v>
      </c>
      <c r="D862" s="588">
        <v>10393222</v>
      </c>
      <c r="E862" s="583" t="s">
        <v>251</v>
      </c>
      <c r="F862" s="587">
        <v>44553</v>
      </c>
      <c r="G862" s="587">
        <v>44588</v>
      </c>
      <c r="H862" s="583"/>
      <c r="I862" s="1483"/>
      <c r="J862" s="1483"/>
      <c r="K862" s="1483"/>
      <c r="L862" s="588"/>
      <c r="M862" s="583"/>
    </row>
    <row r="863" spans="1:13" hidden="1">
      <c r="A863" s="2084">
        <v>44546</v>
      </c>
      <c r="B863" s="2085" t="s">
        <v>10600</v>
      </c>
      <c r="C863" s="2085" t="s">
        <v>69</v>
      </c>
      <c r="D863" s="2092">
        <v>13524393</v>
      </c>
      <c r="E863" s="2085" t="s">
        <v>251</v>
      </c>
      <c r="F863" s="2084">
        <v>44553</v>
      </c>
      <c r="G863" s="2084">
        <v>44588</v>
      </c>
      <c r="H863" s="2085"/>
      <c r="I863" s="2094"/>
      <c r="J863" s="2094"/>
      <c r="K863" s="2094"/>
      <c r="L863" s="2092"/>
      <c r="M863" s="2085"/>
    </row>
    <row r="864" spans="1:13" hidden="1">
      <c r="A864" s="2084">
        <v>44546</v>
      </c>
      <c r="B864" s="2085" t="s">
        <v>10600</v>
      </c>
      <c r="C864" s="2085" t="s">
        <v>69</v>
      </c>
      <c r="D864" s="2092">
        <v>5983454</v>
      </c>
      <c r="E864" s="2085" t="s">
        <v>251</v>
      </c>
      <c r="F864" s="2084">
        <v>44553</v>
      </c>
      <c r="G864" s="2084">
        <v>44588</v>
      </c>
      <c r="H864" s="2085"/>
      <c r="I864" s="2094"/>
      <c r="J864" s="2094"/>
      <c r="K864" s="2094"/>
      <c r="L864" s="2092"/>
      <c r="M864" s="2085"/>
    </row>
    <row r="865" spans="1:18" ht="15.75" hidden="1" thickBot="1">
      <c r="A865" s="2088">
        <v>44546</v>
      </c>
      <c r="B865" s="2089" t="s">
        <v>10600</v>
      </c>
      <c r="C865" s="2089" t="s">
        <v>69</v>
      </c>
      <c r="D865" s="2093">
        <v>7206684</v>
      </c>
      <c r="E865" s="2089" t="s">
        <v>251</v>
      </c>
      <c r="F865" s="2088">
        <v>44553</v>
      </c>
      <c r="G865" s="2088">
        <v>44588</v>
      </c>
      <c r="H865" s="2089"/>
      <c r="I865" s="2095"/>
      <c r="J865" s="2095"/>
      <c r="K865" s="2095"/>
      <c r="L865" s="2093"/>
      <c r="M865" s="2089"/>
    </row>
    <row r="866" spans="1:18" ht="15.75" hidden="1" thickTop="1">
      <c r="A866" s="587">
        <v>44546</v>
      </c>
      <c r="B866" s="583" t="s">
        <v>10601</v>
      </c>
      <c r="C866" s="583" t="s">
        <v>69</v>
      </c>
      <c r="D866" s="588">
        <v>504160</v>
      </c>
      <c r="E866" s="583" t="s">
        <v>251</v>
      </c>
      <c r="F866" s="587">
        <v>44551</v>
      </c>
      <c r="G866" s="587">
        <v>44585</v>
      </c>
      <c r="H866" s="583"/>
      <c r="I866" s="1483"/>
      <c r="J866" s="1483"/>
      <c r="K866" s="1483"/>
      <c r="L866" s="588"/>
      <c r="M866" s="583"/>
    </row>
    <row r="867" spans="1:18" hidden="1">
      <c r="A867" s="2084">
        <v>44546</v>
      </c>
      <c r="B867" s="2085" t="s">
        <v>10601</v>
      </c>
      <c r="C867" s="2085" t="s">
        <v>69</v>
      </c>
      <c r="D867" s="2092">
        <v>2473707</v>
      </c>
      <c r="E867" s="2085" t="s">
        <v>251</v>
      </c>
      <c r="F867" s="2084">
        <v>44551</v>
      </c>
      <c r="G867" s="2084">
        <v>44585</v>
      </c>
      <c r="H867" s="2085"/>
      <c r="I867" s="2094"/>
      <c r="J867" s="2094"/>
      <c r="K867" s="2094"/>
      <c r="L867" s="2092"/>
      <c r="M867" s="2085"/>
    </row>
    <row r="868" spans="1:18" hidden="1">
      <c r="A868" s="2084">
        <v>44546</v>
      </c>
      <c r="B868" s="2085" t="s">
        <v>10601</v>
      </c>
      <c r="C868" s="2085" t="s">
        <v>69</v>
      </c>
      <c r="D868" s="2092">
        <v>1853837</v>
      </c>
      <c r="E868" s="2085" t="s">
        <v>251</v>
      </c>
      <c r="F868" s="2084">
        <v>44551</v>
      </c>
      <c r="G868" s="2084">
        <v>44585</v>
      </c>
      <c r="H868" s="2085"/>
      <c r="I868" s="2094"/>
      <c r="J868" s="2094"/>
      <c r="K868" s="2094"/>
      <c r="L868" s="2092"/>
      <c r="M868" s="2085"/>
    </row>
    <row r="869" spans="1:18" hidden="1">
      <c r="A869" s="2084">
        <v>44546</v>
      </c>
      <c r="B869" s="2085" t="s">
        <v>10601</v>
      </c>
      <c r="C869" s="2085" t="s">
        <v>69</v>
      </c>
      <c r="D869" s="2092">
        <v>1895882</v>
      </c>
      <c r="E869" s="2085" t="s">
        <v>251</v>
      </c>
      <c r="F869" s="2084">
        <v>44551</v>
      </c>
      <c r="G869" s="2084">
        <v>44585</v>
      </c>
      <c r="H869" s="2085"/>
      <c r="I869" s="2094"/>
      <c r="J869" s="2094"/>
      <c r="K869" s="2094"/>
      <c r="L869" s="2092"/>
      <c r="M869" s="2085"/>
    </row>
    <row r="870" spans="1:18" hidden="1">
      <c r="A870" s="2084">
        <v>44546</v>
      </c>
      <c r="B870" s="2085" t="s">
        <v>10601</v>
      </c>
      <c r="C870" s="2085" t="s">
        <v>69</v>
      </c>
      <c r="D870" s="2092">
        <v>1544455</v>
      </c>
      <c r="E870" s="2085" t="s">
        <v>251</v>
      </c>
      <c r="F870" s="2084">
        <v>44551</v>
      </c>
      <c r="G870" s="2084">
        <v>44585</v>
      </c>
      <c r="H870" s="2085"/>
      <c r="I870" s="2094"/>
      <c r="J870" s="2094"/>
      <c r="K870" s="2094"/>
      <c r="L870" s="2092"/>
      <c r="M870" s="2085"/>
    </row>
    <row r="871" spans="1:18" hidden="1">
      <c r="A871" s="2084">
        <v>44546</v>
      </c>
      <c r="B871" s="2085" t="s">
        <v>10601</v>
      </c>
      <c r="C871" s="2085" t="s">
        <v>69</v>
      </c>
      <c r="D871" s="2092">
        <v>2890813</v>
      </c>
      <c r="E871" s="2085" t="s">
        <v>251</v>
      </c>
      <c r="F871" s="2084">
        <v>44551</v>
      </c>
      <c r="G871" s="2084">
        <v>44585</v>
      </c>
      <c r="H871" s="2085"/>
      <c r="I871" s="2094"/>
      <c r="J871" s="2094"/>
      <c r="K871" s="2094"/>
      <c r="L871" s="2092"/>
      <c r="M871" s="2085"/>
    </row>
    <row r="872" spans="1:18" ht="15.75" hidden="1" thickBot="1">
      <c r="A872" s="2088">
        <v>44546</v>
      </c>
      <c r="B872" s="2089" t="s">
        <v>10601</v>
      </c>
      <c r="C872" s="2089" t="s">
        <v>69</v>
      </c>
      <c r="D872" s="2093">
        <v>6193398</v>
      </c>
      <c r="E872" s="2089" t="s">
        <v>251</v>
      </c>
      <c r="F872" s="2088">
        <v>44551</v>
      </c>
      <c r="G872" s="2088">
        <v>44585</v>
      </c>
      <c r="H872" s="2089"/>
      <c r="I872" s="2095"/>
      <c r="J872" s="2095"/>
      <c r="K872" s="2095"/>
      <c r="L872" s="2093"/>
      <c r="M872" s="2089"/>
    </row>
    <row r="873" spans="1:18" hidden="1">
      <c r="A873" s="580">
        <v>44546</v>
      </c>
      <c r="B873" s="576" t="s">
        <v>10602</v>
      </c>
      <c r="C873" s="576" t="s">
        <v>69</v>
      </c>
      <c r="D873" s="581">
        <v>1454316</v>
      </c>
      <c r="E873" s="576" t="s">
        <v>251</v>
      </c>
      <c r="F873" s="580">
        <v>44547</v>
      </c>
      <c r="G873" s="580">
        <v>44581</v>
      </c>
      <c r="H873" s="576"/>
      <c r="I873" s="1489"/>
      <c r="J873" s="1489"/>
      <c r="K873" s="1489"/>
      <c r="L873" s="581"/>
      <c r="M873" s="576"/>
    </row>
    <row r="874" spans="1:18" hidden="1">
      <c r="A874" s="2388">
        <v>44547</v>
      </c>
      <c r="B874" s="2079" t="s">
        <v>10624</v>
      </c>
      <c r="C874" s="2079" t="s">
        <v>2434</v>
      </c>
      <c r="D874" s="2387">
        <v>2294037</v>
      </c>
      <c r="E874" s="2079" t="s">
        <v>251</v>
      </c>
      <c r="F874" s="2079"/>
      <c r="G874" s="2079"/>
      <c r="H874" s="2079"/>
      <c r="I874" s="2080"/>
      <c r="J874" s="2080"/>
      <c r="K874" s="2080"/>
      <c r="L874" s="2387"/>
      <c r="M874" s="2079"/>
    </row>
    <row r="875" spans="1:18" hidden="1">
      <c r="A875" s="2344">
        <v>44559</v>
      </c>
      <c r="B875" s="2105" t="s">
        <v>10631</v>
      </c>
      <c r="C875" s="2105" t="s">
        <v>69</v>
      </c>
      <c r="D875" s="2347">
        <v>63821520</v>
      </c>
      <c r="E875" s="2105" t="s">
        <v>251</v>
      </c>
      <c r="F875" s="2344"/>
      <c r="G875" s="2344"/>
      <c r="H875" s="2105"/>
      <c r="I875" s="2348"/>
      <c r="J875" s="2348"/>
      <c r="K875" s="2348"/>
      <c r="L875" s="2347"/>
      <c r="M875" s="2105"/>
    </row>
    <row r="876" spans="1:18" hidden="1">
      <c r="A876" s="2105"/>
      <c r="B876" s="2105"/>
      <c r="C876" s="2105"/>
      <c r="D876" s="2347"/>
      <c r="E876" s="2105"/>
      <c r="F876" s="2105"/>
      <c r="G876" s="2105"/>
      <c r="H876" s="2105"/>
      <c r="I876" s="2348"/>
      <c r="J876" s="2348"/>
      <c r="K876" s="2348"/>
      <c r="L876" s="2347"/>
      <c r="M876" s="2105"/>
      <c r="N876" s="2503">
        <f>SUBTOTAL(9,N10:N769)</f>
        <v>6016</v>
      </c>
      <c r="O876" s="2503">
        <f>SUBTOTAL(9,O10:O769)</f>
        <v>13344</v>
      </c>
      <c r="P876" s="2503">
        <f>SUBTOTAL(9,P10:P769)</f>
        <v>11429</v>
      </c>
      <c r="Q876" s="2503">
        <f>SUBTOTAL(9,Q10:Q769)</f>
        <v>13040</v>
      </c>
      <c r="R876" s="2503">
        <f>SUBTOTAL(9,R10:R769)</f>
        <v>43829</v>
      </c>
    </row>
    <row r="877" spans="1:18" hidden="1">
      <c r="A877" s="2105"/>
      <c r="B877" s="2105"/>
      <c r="C877" s="2105"/>
      <c r="D877" s="2347"/>
      <c r="E877" s="2105"/>
      <c r="F877" s="2105"/>
      <c r="G877" s="2105"/>
      <c r="H877" s="2105"/>
      <c r="I877" s="2348"/>
      <c r="J877" s="2348"/>
      <c r="K877" s="2348"/>
      <c r="L877" s="2347"/>
      <c r="M877" s="2105"/>
      <c r="N877" s="2503">
        <f>COUNT(N10:N769)</f>
        <v>430</v>
      </c>
      <c r="O877" s="2503">
        <f>COUNT(O10:O769)</f>
        <v>430</v>
      </c>
      <c r="P877" s="2503">
        <f>COUNT(P10:P769)</f>
        <v>430</v>
      </c>
      <c r="Q877" s="2503">
        <f>COUNT(Q10:Q769)</f>
        <v>430</v>
      </c>
      <c r="R877" s="2503">
        <f>COUNT(R10:R769)</f>
        <v>430</v>
      </c>
    </row>
    <row r="878" spans="1:18" hidden="1">
      <c r="A878" s="2105"/>
      <c r="B878" s="2105"/>
      <c r="C878" s="2105"/>
      <c r="D878" s="2347"/>
      <c r="E878" s="2105"/>
      <c r="F878" s="2105"/>
      <c r="G878" s="2105"/>
      <c r="H878" s="2105"/>
      <c r="I878" s="2348"/>
      <c r="J878" s="2348"/>
      <c r="K878" s="2348"/>
      <c r="L878" s="2347"/>
      <c r="M878" s="2105"/>
      <c r="N878" s="2503">
        <f>N876/N877</f>
        <v>13.990697674418605</v>
      </c>
      <c r="O878" s="2503">
        <f t="shared" ref="O878:R878" si="400">O876/O877</f>
        <v>31.032558139534885</v>
      </c>
      <c r="P878" s="2503">
        <f t="shared" si="400"/>
        <v>26.579069767441862</v>
      </c>
      <c r="Q878" s="2503">
        <f t="shared" si="400"/>
        <v>30.325581395348838</v>
      </c>
      <c r="R878" s="2503">
        <f t="shared" si="400"/>
        <v>101.92790697674418</v>
      </c>
    </row>
    <row r="879" spans="1:18">
      <c r="A879" s="2105"/>
      <c r="B879" s="2105"/>
      <c r="C879" s="2105"/>
      <c r="D879" s="2347"/>
      <c r="E879" s="2105"/>
      <c r="F879" s="2105"/>
      <c r="G879" s="2105"/>
      <c r="H879" s="2105"/>
      <c r="I879" s="2348"/>
      <c r="J879" s="2348"/>
      <c r="K879" s="2348"/>
      <c r="L879" s="2347"/>
      <c r="M879" s="2105"/>
    </row>
    <row r="880" spans="1:18">
      <c r="A880" s="2105"/>
      <c r="B880" s="2105"/>
      <c r="C880" s="2105"/>
      <c r="D880" s="2347"/>
      <c r="E880" s="2105"/>
      <c r="F880" s="2105"/>
      <c r="G880" s="2105"/>
      <c r="H880" s="2105"/>
      <c r="I880" s="2348"/>
      <c r="J880" s="2348"/>
      <c r="K880" s="2348"/>
      <c r="L880" s="2347"/>
      <c r="M880" s="2105"/>
    </row>
    <row r="881" spans="1:13">
      <c r="A881" s="2105"/>
      <c r="B881" s="2105"/>
      <c r="C881" s="2105"/>
      <c r="D881" s="2347"/>
      <c r="E881" s="2105"/>
      <c r="F881" s="2105"/>
      <c r="G881" s="2105"/>
      <c r="H881" s="2105"/>
      <c r="I881" s="2348"/>
      <c r="J881" s="2348"/>
      <c r="K881" s="2348"/>
      <c r="L881" s="2347"/>
      <c r="M881" s="2105"/>
    </row>
    <row r="882" spans="1:13">
      <c r="A882" s="2105"/>
      <c r="B882" s="2105"/>
      <c r="C882" s="2105"/>
      <c r="D882" s="2347"/>
      <c r="E882" s="2105"/>
      <c r="F882" s="2105"/>
      <c r="G882" s="2105"/>
      <c r="H882" s="2105"/>
      <c r="I882" s="2348"/>
      <c r="J882" s="2348"/>
      <c r="K882" s="2348"/>
      <c r="L882" s="2347"/>
      <c r="M882" s="2105"/>
    </row>
    <row r="883" spans="1:13">
      <c r="A883" s="2105"/>
      <c r="B883" s="2105"/>
      <c r="C883" s="2105"/>
      <c r="D883" s="2347"/>
      <c r="E883" s="2105"/>
      <c r="F883" s="2105"/>
      <c r="G883" s="2105"/>
      <c r="H883" s="2105"/>
      <c r="I883" s="2348"/>
      <c r="J883" s="2348"/>
      <c r="K883" s="2348"/>
      <c r="L883" s="2347"/>
      <c r="M883" s="2105"/>
    </row>
    <row r="884" spans="1:13">
      <c r="A884" s="2105"/>
      <c r="B884" s="2105"/>
      <c r="C884" s="2105"/>
      <c r="D884" s="2347"/>
      <c r="E884" s="2105"/>
      <c r="F884" s="2105"/>
      <c r="G884" s="2105"/>
      <c r="H884" s="2105"/>
      <c r="I884" s="2348"/>
      <c r="J884" s="2348"/>
      <c r="K884" s="2348"/>
      <c r="L884" s="2347"/>
      <c r="M884" s="2105"/>
    </row>
    <row r="885" spans="1:13">
      <c r="A885" s="2105"/>
      <c r="B885" s="2105"/>
      <c r="C885" s="2105"/>
      <c r="D885" s="2347"/>
      <c r="E885" s="2105"/>
      <c r="F885" s="2105"/>
      <c r="G885" s="2105"/>
      <c r="H885" s="2105"/>
      <c r="I885" s="2348"/>
      <c r="J885" s="2348"/>
      <c r="K885" s="2348"/>
      <c r="L885" s="2347"/>
      <c r="M885" s="2105"/>
    </row>
    <row r="886" spans="1:13">
      <c r="A886" s="2105"/>
      <c r="B886" s="2105"/>
      <c r="C886" s="2105"/>
      <c r="D886" s="2347"/>
      <c r="E886" s="2105"/>
      <c r="F886" s="2105"/>
      <c r="G886" s="2105"/>
      <c r="H886" s="2105"/>
      <c r="I886" s="2348"/>
      <c r="J886" s="2348"/>
      <c r="K886" s="2348"/>
      <c r="L886" s="2347"/>
      <c r="M886" s="2105"/>
    </row>
    <row r="887" spans="1:13">
      <c r="A887" s="2105"/>
      <c r="B887" s="2105"/>
      <c r="C887" s="2105"/>
      <c r="D887" s="2347"/>
      <c r="E887" s="2105"/>
      <c r="F887" s="2105"/>
      <c r="G887" s="2105"/>
      <c r="H887" s="2105"/>
      <c r="I887" s="2348"/>
      <c r="J887" s="2348"/>
      <c r="K887" s="2348"/>
      <c r="L887" s="2347"/>
      <c r="M887" s="2105"/>
    </row>
    <row r="888" spans="1:13">
      <c r="A888" s="2105"/>
      <c r="B888" s="2105"/>
      <c r="C888" s="2105"/>
      <c r="D888" s="2347"/>
      <c r="E888" s="2105"/>
      <c r="F888" s="2105"/>
      <c r="G888" s="2105"/>
      <c r="H888" s="2105"/>
      <c r="I888" s="2348"/>
      <c r="J888" s="2348"/>
      <c r="K888" s="2348"/>
      <c r="L888" s="2347"/>
      <c r="M888" s="2105"/>
    </row>
    <row r="889" spans="1:13">
      <c r="A889" s="2105"/>
      <c r="B889" s="2105"/>
      <c r="C889" s="2105"/>
      <c r="D889" s="2347"/>
      <c r="E889" s="2105"/>
      <c r="F889" s="2105"/>
      <c r="G889" s="2105"/>
      <c r="H889" s="2105"/>
      <c r="I889" s="2348"/>
      <c r="J889" s="2348"/>
      <c r="K889" s="2348"/>
      <c r="L889" s="2347"/>
      <c r="M889" s="2105"/>
    </row>
    <row r="890" spans="1:13">
      <c r="A890" s="2105"/>
      <c r="B890" s="2105"/>
      <c r="C890" s="2105"/>
      <c r="D890" s="2347"/>
      <c r="E890" s="2105"/>
      <c r="F890" s="2105"/>
      <c r="G890" s="2105"/>
      <c r="H890" s="2105"/>
      <c r="I890" s="2348"/>
      <c r="J890" s="2348"/>
      <c r="K890" s="2348"/>
      <c r="L890" s="2347"/>
      <c r="M890" s="2105"/>
    </row>
    <row r="891" spans="1:13">
      <c r="A891" s="2105"/>
      <c r="B891" s="2105"/>
      <c r="C891" s="2105"/>
      <c r="D891" s="2347"/>
      <c r="E891" s="2105"/>
      <c r="F891" s="2105"/>
      <c r="G891" s="2105"/>
      <c r="H891" s="2105"/>
      <c r="I891" s="2348"/>
      <c r="J891" s="2348"/>
      <c r="K891" s="2348"/>
      <c r="L891" s="2347"/>
      <c r="M891" s="2105"/>
    </row>
    <row r="892" spans="1:13">
      <c r="A892" s="2105"/>
      <c r="B892" s="2105"/>
      <c r="C892" s="2105"/>
      <c r="D892" s="2347"/>
      <c r="E892" s="2105"/>
      <c r="F892" s="2105"/>
      <c r="G892" s="2105"/>
      <c r="H892" s="2105"/>
      <c r="I892" s="2348"/>
      <c r="J892" s="2348"/>
      <c r="K892" s="2348"/>
      <c r="L892" s="2347"/>
      <c r="M892" s="2105"/>
    </row>
    <row r="893" spans="1:13">
      <c r="A893" s="2105"/>
      <c r="B893" s="2105"/>
      <c r="C893" s="2105"/>
      <c r="D893" s="2347"/>
      <c r="E893" s="2105"/>
      <c r="F893" s="2105"/>
      <c r="G893" s="2105"/>
      <c r="H893" s="2105"/>
      <c r="I893" s="2348"/>
      <c r="J893" s="2348"/>
      <c r="K893" s="2348"/>
      <c r="L893" s="2347"/>
      <c r="M893" s="2105"/>
    </row>
    <row r="894" spans="1:13">
      <c r="A894" s="2105"/>
      <c r="B894" s="2105"/>
      <c r="C894" s="2105"/>
      <c r="D894" s="2347"/>
      <c r="E894" s="2105"/>
      <c r="F894" s="2105"/>
      <c r="G894" s="2105"/>
      <c r="H894" s="2105"/>
      <c r="I894" s="2348"/>
      <c r="J894" s="2348"/>
      <c r="K894" s="2348"/>
      <c r="L894" s="2347"/>
      <c r="M894" s="2105"/>
    </row>
    <row r="895" spans="1:13">
      <c r="A895" s="2105"/>
      <c r="B895" s="2105"/>
      <c r="C895" s="2105"/>
      <c r="D895" s="2347"/>
      <c r="E895" s="2105"/>
      <c r="F895" s="2105"/>
      <c r="G895" s="2105"/>
      <c r="H895" s="2105"/>
      <c r="I895" s="2348"/>
      <c r="J895" s="2348"/>
      <c r="K895" s="2348"/>
      <c r="L895" s="2347"/>
      <c r="M895" s="2105"/>
    </row>
    <row r="896" spans="1:13">
      <c r="A896" s="2105"/>
      <c r="B896" s="2105"/>
      <c r="C896" s="2105"/>
      <c r="D896" s="2347"/>
      <c r="E896" s="2105"/>
      <c r="F896" s="2105"/>
      <c r="G896" s="2105"/>
      <c r="H896" s="2105"/>
      <c r="I896" s="2348"/>
      <c r="J896" s="2348"/>
      <c r="K896" s="2348"/>
      <c r="L896" s="2347"/>
      <c r="M896" s="2105"/>
    </row>
    <row r="897" spans="1:13">
      <c r="A897" s="2105"/>
      <c r="B897" s="2105"/>
      <c r="C897" s="2105"/>
      <c r="D897" s="2347"/>
      <c r="E897" s="2105"/>
      <c r="F897" s="2105"/>
      <c r="G897" s="2105"/>
      <c r="H897" s="2105"/>
      <c r="I897" s="2348"/>
      <c r="J897" s="2348"/>
      <c r="K897" s="2348"/>
      <c r="L897" s="2347"/>
      <c r="M897" s="2105"/>
    </row>
    <row r="898" spans="1:13">
      <c r="A898" s="2105"/>
      <c r="B898" s="2105"/>
      <c r="C898" s="2105"/>
      <c r="D898" s="2347"/>
      <c r="E898" s="2105"/>
      <c r="F898" s="2105"/>
      <c r="G898" s="2105"/>
      <c r="H898" s="2105"/>
      <c r="I898" s="2348"/>
      <c r="J898" s="2348"/>
      <c r="K898" s="2348"/>
      <c r="L898" s="2347"/>
      <c r="M898" s="2105"/>
    </row>
    <row r="899" spans="1:13">
      <c r="A899" s="2105"/>
      <c r="B899" s="2105"/>
      <c r="C899" s="2105"/>
      <c r="D899" s="2347"/>
      <c r="E899" s="2105"/>
      <c r="F899" s="2105"/>
      <c r="G899" s="2105"/>
      <c r="H899" s="2105"/>
      <c r="I899" s="2348"/>
      <c r="J899" s="2348"/>
      <c r="K899" s="2348"/>
      <c r="L899" s="2347"/>
      <c r="M899" s="2105"/>
    </row>
    <row r="900" spans="1:13">
      <c r="A900" s="2105"/>
      <c r="B900" s="2105"/>
      <c r="C900" s="2105"/>
      <c r="D900" s="2347"/>
      <c r="E900" s="2105"/>
      <c r="F900" s="2105"/>
      <c r="G900" s="2105"/>
      <c r="H900" s="2105"/>
      <c r="I900" s="2348"/>
      <c r="J900" s="2348"/>
      <c r="K900" s="2348"/>
      <c r="L900" s="2347"/>
      <c r="M900" s="2105"/>
    </row>
    <row r="901" spans="1:13">
      <c r="A901" s="2105"/>
      <c r="B901" s="2105"/>
      <c r="C901" s="2105"/>
      <c r="D901" s="2347"/>
      <c r="E901" s="2105"/>
      <c r="F901" s="2105"/>
      <c r="G901" s="2105"/>
      <c r="H901" s="2105"/>
      <c r="I901" s="2348"/>
      <c r="J901" s="2348"/>
      <c r="K901" s="2348"/>
      <c r="L901" s="2347"/>
      <c r="M901" s="2105"/>
    </row>
    <row r="902" spans="1:13">
      <c r="A902" s="2105"/>
      <c r="B902" s="2105"/>
      <c r="C902" s="2105"/>
      <c r="D902" s="2347"/>
      <c r="E902" s="2105"/>
      <c r="F902" s="2105"/>
      <c r="G902" s="2105"/>
      <c r="H902" s="2105"/>
      <c r="I902" s="2348"/>
      <c r="J902" s="2348"/>
      <c r="K902" s="2348"/>
      <c r="L902" s="2347"/>
      <c r="M902" s="2105"/>
    </row>
    <row r="903" spans="1:13">
      <c r="A903" s="2105"/>
      <c r="B903" s="2105"/>
      <c r="C903" s="2105"/>
      <c r="D903" s="2347"/>
      <c r="E903" s="2105"/>
      <c r="F903" s="2105"/>
      <c r="G903" s="2105"/>
      <c r="H903" s="2105"/>
      <c r="I903" s="2348"/>
      <c r="J903" s="2348"/>
      <c r="K903" s="2348"/>
      <c r="L903" s="2347"/>
      <c r="M903" s="2105"/>
    </row>
    <row r="904" spans="1:13">
      <c r="A904" s="2105"/>
      <c r="B904" s="2105"/>
      <c r="C904" s="2105"/>
      <c r="D904" s="2347"/>
      <c r="E904" s="2105"/>
      <c r="F904" s="2105"/>
      <c r="G904" s="2105"/>
      <c r="H904" s="2105"/>
      <c r="I904" s="2348"/>
      <c r="J904" s="2348"/>
      <c r="K904" s="2348"/>
      <c r="L904" s="2347"/>
      <c r="M904" s="2105"/>
    </row>
    <row r="905" spans="1:13">
      <c r="A905" s="2105"/>
      <c r="B905" s="2105"/>
      <c r="C905" s="2105"/>
      <c r="D905" s="2347"/>
      <c r="E905" s="2105"/>
      <c r="F905" s="2105"/>
      <c r="G905" s="2105"/>
      <c r="H905" s="2105"/>
      <c r="I905" s="2348"/>
      <c r="J905" s="2348"/>
      <c r="K905" s="2348"/>
      <c r="L905" s="2347"/>
      <c r="M905" s="2105"/>
    </row>
    <row r="906" spans="1:13">
      <c r="A906" s="2105"/>
      <c r="B906" s="2105"/>
      <c r="C906" s="2105"/>
      <c r="D906" s="2347"/>
      <c r="E906" s="2105"/>
      <c r="F906" s="2105"/>
      <c r="G906" s="2105"/>
      <c r="H906" s="2105"/>
      <c r="I906" s="2348"/>
      <c r="J906" s="2348"/>
      <c r="K906" s="2348"/>
      <c r="L906" s="2347"/>
      <c r="M906" s="2105"/>
    </row>
    <row r="907" spans="1:13">
      <c r="A907" s="2105"/>
      <c r="B907" s="2105"/>
      <c r="C907" s="2105"/>
      <c r="D907" s="2347"/>
      <c r="E907" s="2105"/>
      <c r="F907" s="2105"/>
      <c r="G907" s="2105"/>
      <c r="H907" s="2105"/>
      <c r="I907" s="2348"/>
      <c r="J907" s="2348"/>
      <c r="K907" s="2348"/>
      <c r="L907" s="2347"/>
      <c r="M907" s="2105"/>
    </row>
    <row r="908" spans="1:13">
      <c r="A908" s="2105"/>
      <c r="B908" s="2105"/>
      <c r="C908" s="2105"/>
      <c r="D908" s="2347"/>
      <c r="E908" s="2105"/>
      <c r="F908" s="2105"/>
      <c r="G908" s="2105"/>
      <c r="H908" s="2105"/>
      <c r="I908" s="2348"/>
      <c r="J908" s="2348"/>
      <c r="K908" s="2348"/>
      <c r="L908" s="2347"/>
      <c r="M908" s="2105"/>
    </row>
    <row r="909" spans="1:13">
      <c r="A909" s="2105"/>
      <c r="B909" s="2105"/>
      <c r="C909" s="2105"/>
      <c r="D909" s="2347"/>
      <c r="E909" s="2105"/>
      <c r="F909" s="2105"/>
      <c r="G909" s="2105"/>
      <c r="H909" s="2105"/>
      <c r="I909" s="2348"/>
      <c r="J909" s="2348"/>
      <c r="K909" s="2348"/>
      <c r="L909" s="2347"/>
      <c r="M909" s="2105"/>
    </row>
    <row r="910" spans="1:13">
      <c r="A910" s="2105"/>
      <c r="B910" s="2105"/>
      <c r="C910" s="2105"/>
      <c r="D910" s="2347"/>
      <c r="E910" s="2105"/>
      <c r="F910" s="2105"/>
      <c r="G910" s="2105"/>
      <c r="H910" s="2105"/>
      <c r="I910" s="2348"/>
      <c r="J910" s="2348"/>
      <c r="K910" s="2348"/>
      <c r="L910" s="2347"/>
      <c r="M910" s="2105"/>
    </row>
    <row r="911" spans="1:13">
      <c r="A911" s="2105"/>
      <c r="B911" s="2105"/>
      <c r="C911" s="2105"/>
      <c r="D911" s="2347"/>
      <c r="E911" s="2105"/>
      <c r="F911" s="2105"/>
      <c r="G911" s="2105"/>
      <c r="H911" s="2105"/>
      <c r="I911" s="2348"/>
      <c r="J911" s="2348"/>
      <c r="K911" s="2348"/>
      <c r="L911" s="2347"/>
      <c r="M911" s="2105"/>
    </row>
    <row r="912" spans="1:13">
      <c r="A912" s="2105"/>
      <c r="B912" s="2105"/>
      <c r="C912" s="2105"/>
      <c r="D912" s="2347"/>
      <c r="E912" s="2105"/>
      <c r="F912" s="2105"/>
      <c r="G912" s="2105"/>
      <c r="H912" s="2105"/>
      <c r="I912" s="2348"/>
      <c r="J912" s="2348"/>
      <c r="K912" s="2348"/>
      <c r="L912" s="2347"/>
      <c r="M912" s="2105"/>
    </row>
    <row r="913" spans="1:13">
      <c r="A913" s="2105"/>
      <c r="B913" s="2105"/>
      <c r="C913" s="2105"/>
      <c r="D913" s="2347"/>
      <c r="E913" s="2105"/>
      <c r="F913" s="2105"/>
      <c r="G913" s="2105"/>
      <c r="H913" s="2105"/>
      <c r="I913" s="2348"/>
      <c r="J913" s="2348"/>
      <c r="K913" s="2348"/>
      <c r="L913" s="2347"/>
      <c r="M913" s="2105"/>
    </row>
    <row r="914" spans="1:13">
      <c r="A914" s="2105"/>
      <c r="B914" s="2105"/>
      <c r="C914" s="2105"/>
      <c r="D914" s="2347"/>
      <c r="E914" s="2105"/>
      <c r="F914" s="2105"/>
      <c r="G914" s="2105"/>
      <c r="H914" s="2105"/>
      <c r="I914" s="2348"/>
      <c r="J914" s="2348"/>
      <c r="K914" s="2348"/>
      <c r="L914" s="2347"/>
      <c r="M914" s="2105"/>
    </row>
    <row r="915" spans="1:13">
      <c r="A915" s="2105"/>
      <c r="B915" s="2105"/>
      <c r="C915" s="2105"/>
      <c r="D915" s="2347"/>
      <c r="E915" s="2105"/>
      <c r="F915" s="2105"/>
      <c r="G915" s="2105"/>
      <c r="H915" s="2105"/>
      <c r="I915" s="2348"/>
      <c r="J915" s="2348"/>
      <c r="K915" s="2348"/>
      <c r="L915" s="2347"/>
      <c r="M915" s="2105"/>
    </row>
    <row r="916" spans="1:13">
      <c r="A916" s="2105"/>
      <c r="B916" s="2105"/>
      <c r="C916" s="2105"/>
      <c r="D916" s="2347"/>
      <c r="E916" s="2105"/>
      <c r="F916" s="2105"/>
      <c r="G916" s="2105"/>
      <c r="H916" s="2105"/>
      <c r="I916" s="2348"/>
      <c r="J916" s="2348"/>
      <c r="K916" s="2348"/>
      <c r="L916" s="2347"/>
      <c r="M916" s="2105"/>
    </row>
    <row r="917" spans="1:13">
      <c r="A917" s="2105"/>
      <c r="B917" s="2105"/>
      <c r="C917" s="2105"/>
      <c r="D917" s="2347"/>
      <c r="E917" s="2105"/>
      <c r="F917" s="2105"/>
      <c r="G917" s="2105"/>
      <c r="H917" s="2105"/>
      <c r="I917" s="2348"/>
      <c r="J917" s="2348"/>
      <c r="K917" s="2348"/>
      <c r="L917" s="2347"/>
      <c r="M917" s="2105"/>
    </row>
    <row r="918" spans="1:13">
      <c r="A918" s="2105"/>
      <c r="B918" s="2105"/>
      <c r="C918" s="2105"/>
      <c r="D918" s="2347"/>
      <c r="E918" s="2105"/>
      <c r="F918" s="2105"/>
      <c r="G918" s="2105"/>
      <c r="H918" s="2105"/>
      <c r="I918" s="2348"/>
      <c r="J918" s="2348"/>
      <c r="K918" s="2348"/>
      <c r="L918" s="2347"/>
      <c r="M918" s="2105"/>
    </row>
    <row r="919" spans="1:13">
      <c r="A919" s="2105"/>
      <c r="B919" s="2105"/>
      <c r="C919" s="2105"/>
      <c r="D919" s="2347"/>
      <c r="E919" s="2105"/>
      <c r="F919" s="2105"/>
      <c r="G919" s="2105"/>
      <c r="H919" s="2105"/>
      <c r="I919" s="2348"/>
      <c r="J919" s="2348"/>
      <c r="K919" s="2348"/>
      <c r="L919" s="2347"/>
      <c r="M919" s="2105"/>
    </row>
    <row r="920" spans="1:13">
      <c r="A920" s="2105"/>
      <c r="B920" s="2105"/>
      <c r="C920" s="2105"/>
      <c r="D920" s="2347"/>
      <c r="E920" s="2105"/>
      <c r="F920" s="2105"/>
      <c r="G920" s="2105"/>
      <c r="H920" s="2105"/>
      <c r="I920" s="2348"/>
      <c r="J920" s="2348"/>
      <c r="K920" s="2348"/>
      <c r="L920" s="2347"/>
      <c r="M920" s="2105"/>
    </row>
    <row r="921" spans="1:13">
      <c r="A921" s="2105"/>
      <c r="B921" s="2105"/>
      <c r="C921" s="2105"/>
      <c r="D921" s="2347"/>
      <c r="E921" s="2105"/>
      <c r="F921" s="2105"/>
      <c r="G921" s="2105"/>
      <c r="H921" s="2105"/>
      <c r="I921" s="2348"/>
      <c r="J921" s="2348"/>
      <c r="K921" s="2348"/>
      <c r="L921" s="2347"/>
      <c r="M921" s="2105"/>
    </row>
    <row r="922" spans="1:13">
      <c r="A922" s="2105"/>
      <c r="B922" s="2105"/>
      <c r="C922" s="2105"/>
      <c r="D922" s="2347"/>
      <c r="E922" s="2105"/>
      <c r="F922" s="2105"/>
      <c r="G922" s="2105"/>
      <c r="H922" s="2105"/>
      <c r="I922" s="2348"/>
      <c r="J922" s="2348"/>
      <c r="K922" s="2348"/>
      <c r="L922" s="2347"/>
      <c r="M922" s="2105"/>
    </row>
    <row r="923" spans="1:13">
      <c r="A923" s="2105"/>
      <c r="B923" s="2105"/>
      <c r="C923" s="2105"/>
      <c r="D923" s="2347"/>
      <c r="E923" s="2105"/>
      <c r="F923" s="2105"/>
      <c r="G923" s="2105"/>
      <c r="H923" s="2105"/>
      <c r="I923" s="2348"/>
      <c r="J923" s="2348"/>
      <c r="K923" s="2348"/>
      <c r="L923" s="2347"/>
      <c r="M923" s="2105"/>
    </row>
    <row r="924" spans="1:13">
      <c r="A924" s="2105"/>
      <c r="B924" s="2105"/>
      <c r="C924" s="2105"/>
      <c r="D924" s="2347"/>
      <c r="E924" s="2105"/>
      <c r="F924" s="2105"/>
      <c r="G924" s="2105"/>
      <c r="H924" s="2105"/>
      <c r="I924" s="2348"/>
      <c r="J924" s="2348"/>
      <c r="K924" s="2348"/>
      <c r="L924" s="2347"/>
      <c r="M924" s="2105"/>
    </row>
    <row r="925" spans="1:13">
      <c r="A925" s="2105"/>
      <c r="B925" s="2105"/>
      <c r="C925" s="2105"/>
      <c r="D925" s="2347"/>
      <c r="E925" s="2105"/>
      <c r="F925" s="2105"/>
      <c r="G925" s="2105"/>
      <c r="H925" s="2105"/>
      <c r="I925" s="2348"/>
      <c r="J925" s="2348"/>
      <c r="K925" s="2348"/>
      <c r="L925" s="2347"/>
      <c r="M925" s="2105"/>
    </row>
    <row r="926" spans="1:13">
      <c r="A926" s="2105"/>
      <c r="B926" s="2105"/>
      <c r="C926" s="2105"/>
      <c r="D926" s="2347"/>
      <c r="E926" s="2105"/>
      <c r="F926" s="2105"/>
      <c r="G926" s="2105"/>
      <c r="H926" s="2105"/>
      <c r="I926" s="2348"/>
      <c r="J926" s="2348"/>
      <c r="K926" s="2348"/>
      <c r="L926" s="2347"/>
      <c r="M926" s="2105"/>
    </row>
    <row r="927" spans="1:13">
      <c r="A927" s="2105"/>
      <c r="B927" s="2105"/>
      <c r="C927" s="2105"/>
      <c r="D927" s="2347"/>
      <c r="E927" s="2105"/>
      <c r="F927" s="2105"/>
      <c r="G927" s="2105"/>
      <c r="H927" s="2105"/>
      <c r="I927" s="2348"/>
      <c r="J927" s="2348"/>
      <c r="K927" s="2348"/>
      <c r="L927" s="2347"/>
      <c r="M927" s="2105"/>
    </row>
    <row r="928" spans="1:13">
      <c r="A928" s="2105"/>
      <c r="B928" s="2105"/>
      <c r="C928" s="2105"/>
      <c r="D928" s="2347"/>
      <c r="E928" s="2105"/>
      <c r="F928" s="2105"/>
      <c r="G928" s="2105"/>
      <c r="H928" s="2105"/>
      <c r="I928" s="2348"/>
      <c r="J928" s="2348"/>
      <c r="K928" s="2348"/>
      <c r="L928" s="2347"/>
      <c r="M928" s="2105"/>
    </row>
    <row r="929" spans="1:13">
      <c r="A929" s="2105"/>
      <c r="B929" s="2105"/>
      <c r="C929" s="2105"/>
      <c r="D929" s="2347"/>
      <c r="E929" s="2105"/>
      <c r="F929" s="2105"/>
      <c r="G929" s="2105"/>
      <c r="H929" s="2105"/>
      <c r="I929" s="2348"/>
      <c r="J929" s="2348"/>
      <c r="K929" s="2348"/>
      <c r="L929" s="2347"/>
      <c r="M929" s="2105"/>
    </row>
    <row r="930" spans="1:13">
      <c r="A930" s="2105"/>
      <c r="B930" s="2105"/>
      <c r="C930" s="2105"/>
      <c r="D930" s="2347"/>
      <c r="E930" s="2105"/>
      <c r="F930" s="2105"/>
      <c r="G930" s="2105"/>
      <c r="H930" s="2105"/>
      <c r="I930" s="2348"/>
      <c r="J930" s="2348"/>
      <c r="K930" s="2348"/>
      <c r="L930" s="2347"/>
      <c r="M930" s="2105"/>
    </row>
    <row r="931" spans="1:13">
      <c r="A931" s="2105"/>
      <c r="B931" s="2105"/>
      <c r="C931" s="2105"/>
      <c r="D931" s="2347"/>
      <c r="E931" s="2105"/>
      <c r="F931" s="2105"/>
      <c r="G931" s="2105"/>
      <c r="H931" s="2105"/>
      <c r="I931" s="2348"/>
      <c r="J931" s="2348"/>
      <c r="K931" s="2348"/>
      <c r="L931" s="2347"/>
      <c r="M931" s="2105"/>
    </row>
    <row r="932" spans="1:13">
      <c r="A932" s="2105"/>
      <c r="B932" s="2105"/>
      <c r="C932" s="2105"/>
      <c r="D932" s="2347"/>
      <c r="E932" s="2105"/>
      <c r="F932" s="2105"/>
      <c r="G932" s="2105"/>
      <c r="H932" s="2105"/>
      <c r="I932" s="2348"/>
      <c r="J932" s="2348"/>
      <c r="K932" s="2348"/>
      <c r="L932" s="2347"/>
      <c r="M932" s="2105"/>
    </row>
    <row r="933" spans="1:13">
      <c r="A933" s="2105"/>
      <c r="B933" s="2105"/>
      <c r="C933" s="2105"/>
      <c r="D933" s="2347"/>
      <c r="E933" s="2105"/>
      <c r="F933" s="2105"/>
      <c r="G933" s="2105"/>
      <c r="H933" s="2105"/>
      <c r="I933" s="2348"/>
      <c r="J933" s="2348"/>
      <c r="K933" s="2348"/>
      <c r="L933" s="2347"/>
      <c r="M933" s="2105"/>
    </row>
    <row r="934" spans="1:13">
      <c r="A934" s="2105"/>
      <c r="B934" s="2105"/>
      <c r="C934" s="2105"/>
      <c r="D934" s="2347"/>
      <c r="E934" s="2105"/>
      <c r="F934" s="2105"/>
      <c r="G934" s="2105"/>
      <c r="H934" s="2105"/>
      <c r="I934" s="2348"/>
      <c r="J934" s="2348"/>
      <c r="K934" s="2348"/>
      <c r="L934" s="2347"/>
      <c r="M934" s="2105"/>
    </row>
    <row r="935" spans="1:13">
      <c r="A935" s="2105"/>
      <c r="B935" s="2105"/>
      <c r="C935" s="2105"/>
      <c r="D935" s="2347"/>
      <c r="E935" s="2105"/>
      <c r="F935" s="2105"/>
      <c r="G935" s="2105"/>
      <c r="H935" s="2105"/>
      <c r="I935" s="2348"/>
      <c r="J935" s="2348"/>
      <c r="K935" s="2348"/>
      <c r="L935" s="2347"/>
      <c r="M935" s="2105"/>
    </row>
    <row r="936" spans="1:13">
      <c r="A936" s="2105"/>
      <c r="B936" s="2105"/>
      <c r="C936" s="2105"/>
      <c r="D936" s="2347"/>
      <c r="E936" s="2105"/>
      <c r="F936" s="2105"/>
      <c r="G936" s="2105"/>
      <c r="H936" s="2105"/>
      <c r="I936" s="2348"/>
      <c r="J936" s="2348"/>
      <c r="K936" s="2348"/>
      <c r="L936" s="2347"/>
      <c r="M936" s="2105"/>
    </row>
    <row r="937" spans="1:13">
      <c r="A937" s="2105"/>
      <c r="B937" s="2105"/>
      <c r="C937" s="2105"/>
      <c r="D937" s="2347"/>
      <c r="E937" s="2105"/>
      <c r="F937" s="2105"/>
      <c r="G937" s="2105"/>
      <c r="H937" s="2105"/>
      <c r="I937" s="2348"/>
      <c r="J937" s="2348"/>
      <c r="K937" s="2348"/>
      <c r="L937" s="2347"/>
      <c r="M937" s="2105"/>
    </row>
    <row r="938" spans="1:13">
      <c r="A938" s="2105"/>
      <c r="B938" s="2105"/>
      <c r="C938" s="2105"/>
      <c r="D938" s="2347"/>
      <c r="E938" s="2105"/>
      <c r="F938" s="2105"/>
      <c r="G938" s="2105"/>
      <c r="H938" s="2105"/>
      <c r="I938" s="2348"/>
      <c r="J938" s="2348"/>
      <c r="K938" s="2348"/>
      <c r="L938" s="2347"/>
      <c r="M938" s="2105"/>
    </row>
    <row r="939" spans="1:13">
      <c r="A939" s="2105"/>
      <c r="B939" s="2105"/>
      <c r="C939" s="2105"/>
      <c r="D939" s="2347"/>
      <c r="E939" s="2105"/>
      <c r="F939" s="2105"/>
      <c r="G939" s="2105"/>
      <c r="H939" s="2105"/>
      <c r="I939" s="2348"/>
      <c r="J939" s="2348"/>
      <c r="K939" s="2348"/>
      <c r="L939" s="2347"/>
      <c r="M939" s="2105"/>
    </row>
    <row r="940" spans="1:13">
      <c r="A940" s="2105"/>
      <c r="B940" s="2105"/>
      <c r="C940" s="2105"/>
      <c r="D940" s="2347"/>
      <c r="E940" s="2105"/>
      <c r="F940" s="2105"/>
      <c r="G940" s="2105"/>
      <c r="H940" s="2105"/>
      <c r="I940" s="2348"/>
      <c r="J940" s="2348"/>
      <c r="K940" s="2348"/>
      <c r="L940" s="2347"/>
      <c r="M940" s="2105"/>
    </row>
    <row r="941" spans="1:13">
      <c r="A941" s="2105"/>
      <c r="B941" s="2105"/>
      <c r="C941" s="2105"/>
      <c r="D941" s="2347"/>
      <c r="E941" s="2105"/>
      <c r="F941" s="2105"/>
      <c r="G941" s="2105"/>
      <c r="H941" s="2105"/>
      <c r="I941" s="2348"/>
      <c r="J941" s="2348"/>
      <c r="K941" s="2348"/>
      <c r="L941" s="2347"/>
      <c r="M941" s="2105"/>
    </row>
    <row r="942" spans="1:13">
      <c r="A942" s="2105"/>
      <c r="B942" s="2105"/>
      <c r="C942" s="2105"/>
      <c r="D942" s="2347"/>
      <c r="E942" s="2105"/>
      <c r="F942" s="2105"/>
      <c r="G942" s="2105"/>
      <c r="H942" s="2105"/>
      <c r="I942" s="2348"/>
      <c r="J942" s="2348"/>
      <c r="K942" s="2348"/>
      <c r="L942" s="2347"/>
      <c r="M942" s="2105"/>
    </row>
    <row r="943" spans="1:13">
      <c r="A943" s="2105"/>
      <c r="B943" s="2105"/>
      <c r="C943" s="2105"/>
      <c r="D943" s="2347"/>
      <c r="E943" s="2105"/>
      <c r="F943" s="2105"/>
      <c r="G943" s="2105"/>
      <c r="H943" s="2105"/>
      <c r="I943" s="2348"/>
      <c r="J943" s="2348"/>
      <c r="K943" s="2348"/>
      <c r="L943" s="2347"/>
      <c r="M943" s="2105"/>
    </row>
    <row r="944" spans="1:13">
      <c r="A944" s="2105"/>
      <c r="B944" s="2105"/>
      <c r="C944" s="2105"/>
      <c r="D944" s="2347"/>
      <c r="E944" s="2105"/>
      <c r="F944" s="2105"/>
      <c r="G944" s="2105"/>
      <c r="H944" s="2105"/>
      <c r="I944" s="2348"/>
      <c r="J944" s="2348"/>
      <c r="K944" s="2348"/>
      <c r="L944" s="2347"/>
      <c r="M944" s="2105"/>
    </row>
    <row r="945" spans="1:13">
      <c r="A945" s="2105"/>
      <c r="B945" s="2105"/>
      <c r="C945" s="2105"/>
      <c r="D945" s="2347"/>
      <c r="E945" s="2105"/>
      <c r="F945" s="2105"/>
      <c r="G945" s="2105"/>
      <c r="H945" s="2105"/>
      <c r="I945" s="2348"/>
      <c r="J945" s="2348"/>
      <c r="K945" s="2348"/>
      <c r="L945" s="2347"/>
      <c r="M945" s="2105"/>
    </row>
    <row r="946" spans="1:13">
      <c r="A946" s="2105"/>
      <c r="B946" s="2105"/>
      <c r="C946" s="2105"/>
      <c r="D946" s="2347"/>
      <c r="E946" s="2105"/>
      <c r="F946" s="2105"/>
      <c r="G946" s="2105"/>
      <c r="H946" s="2105"/>
      <c r="I946" s="2348"/>
      <c r="J946" s="2348"/>
      <c r="K946" s="2348"/>
      <c r="L946" s="2347"/>
      <c r="M946" s="2105"/>
    </row>
    <row r="947" spans="1:13">
      <c r="A947" s="2105"/>
      <c r="B947" s="2105"/>
      <c r="C947" s="2105"/>
      <c r="D947" s="2347"/>
      <c r="E947" s="2105"/>
      <c r="F947" s="2105"/>
      <c r="G947" s="2105"/>
      <c r="H947" s="2105"/>
      <c r="I947" s="2348"/>
      <c r="J947" s="2348"/>
      <c r="K947" s="2348"/>
      <c r="L947" s="2347"/>
      <c r="M947" s="2105"/>
    </row>
    <row r="948" spans="1:13">
      <c r="A948" s="2105"/>
      <c r="B948" s="2105"/>
      <c r="C948" s="2105"/>
      <c r="D948" s="2347"/>
      <c r="E948" s="2105"/>
      <c r="F948" s="2105"/>
      <c r="G948" s="2105"/>
      <c r="H948" s="2105"/>
      <c r="I948" s="2348"/>
      <c r="J948" s="2348"/>
      <c r="K948" s="2348"/>
      <c r="L948" s="2347"/>
      <c r="M948" s="2105"/>
    </row>
    <row r="949" spans="1:13">
      <c r="A949" s="2105"/>
      <c r="B949" s="2105"/>
      <c r="C949" s="2105"/>
      <c r="D949" s="2347"/>
      <c r="E949" s="2105"/>
      <c r="F949" s="2105"/>
      <c r="G949" s="2105"/>
      <c r="H949" s="2105"/>
      <c r="I949" s="2348"/>
      <c r="J949" s="2348"/>
      <c r="K949" s="2348"/>
      <c r="L949" s="2347"/>
      <c r="M949" s="2105"/>
    </row>
    <row r="950" spans="1:13">
      <c r="A950" s="2105"/>
      <c r="B950" s="2105"/>
      <c r="C950" s="2105"/>
      <c r="D950" s="2347"/>
      <c r="E950" s="2105"/>
      <c r="F950" s="2105"/>
      <c r="G950" s="2105"/>
      <c r="H950" s="2105"/>
      <c r="I950" s="2348"/>
      <c r="J950" s="2348"/>
      <c r="K950" s="2348"/>
      <c r="L950" s="2347"/>
      <c r="M950" s="2105"/>
    </row>
    <row r="951" spans="1:13">
      <c r="A951" s="2105"/>
      <c r="B951" s="2105"/>
      <c r="C951" s="2105"/>
      <c r="D951" s="2347"/>
      <c r="E951" s="2105"/>
      <c r="F951" s="2105"/>
      <c r="G951" s="2105"/>
      <c r="H951" s="2105"/>
      <c r="I951" s="2348"/>
      <c r="J951" s="2348"/>
      <c r="K951" s="2348"/>
      <c r="L951" s="2347"/>
      <c r="M951" s="2105"/>
    </row>
    <row r="952" spans="1:13">
      <c r="A952" s="2105"/>
      <c r="B952" s="2105"/>
      <c r="C952" s="2105"/>
      <c r="D952" s="2347"/>
      <c r="E952" s="2105"/>
      <c r="F952" s="2105"/>
      <c r="G952" s="2105"/>
      <c r="H952" s="2105"/>
      <c r="I952" s="2348"/>
      <c r="J952" s="2348"/>
      <c r="K952" s="2348"/>
      <c r="L952" s="2347"/>
      <c r="M952" s="2105"/>
    </row>
    <row r="953" spans="1:13">
      <c r="A953" s="2105"/>
      <c r="B953" s="2105"/>
      <c r="C953" s="2105"/>
      <c r="D953" s="2347"/>
      <c r="E953" s="2105"/>
      <c r="F953" s="2105"/>
      <c r="G953" s="2105"/>
      <c r="H953" s="2105"/>
      <c r="I953" s="2348"/>
      <c r="J953" s="2348"/>
      <c r="K953" s="2348"/>
      <c r="L953" s="2347"/>
      <c r="M953" s="2105"/>
    </row>
    <row r="954" spans="1:13">
      <c r="A954" s="2105"/>
      <c r="B954" s="2105"/>
      <c r="C954" s="2105"/>
      <c r="D954" s="2347"/>
      <c r="E954" s="2105"/>
      <c r="F954" s="2105"/>
      <c r="G954" s="2105"/>
      <c r="H954" s="2105"/>
      <c r="I954" s="2348"/>
      <c r="J954" s="2348"/>
      <c r="K954" s="2348"/>
      <c r="L954" s="2347"/>
      <c r="M954" s="2105"/>
    </row>
    <row r="955" spans="1:13">
      <c r="A955" s="2105"/>
      <c r="B955" s="2105"/>
      <c r="C955" s="2105"/>
      <c r="D955" s="2347"/>
      <c r="E955" s="2105"/>
      <c r="F955" s="2105"/>
      <c r="G955" s="2105"/>
      <c r="H955" s="2105"/>
      <c r="I955" s="2348"/>
      <c r="J955" s="2348"/>
      <c r="K955" s="2348"/>
      <c r="L955" s="2347"/>
      <c r="M955" s="2105"/>
    </row>
    <row r="956" spans="1:13">
      <c r="A956" s="2105"/>
      <c r="B956" s="2105"/>
      <c r="C956" s="2105"/>
      <c r="D956" s="2347"/>
      <c r="E956" s="2105"/>
      <c r="F956" s="2105"/>
      <c r="G956" s="2105"/>
      <c r="H956" s="2105"/>
      <c r="I956" s="2348"/>
      <c r="J956" s="2348"/>
      <c r="K956" s="2348"/>
      <c r="L956" s="2347"/>
      <c r="M956" s="2105"/>
    </row>
    <row r="957" spans="1:13">
      <c r="A957" s="2105"/>
      <c r="B957" s="2105"/>
      <c r="C957" s="2105"/>
      <c r="D957" s="2347"/>
      <c r="E957" s="2105"/>
      <c r="F957" s="2105"/>
      <c r="G957" s="2105"/>
      <c r="H957" s="2105"/>
      <c r="I957" s="2348"/>
      <c r="J957" s="2348"/>
      <c r="K957" s="2348"/>
      <c r="L957" s="2347"/>
      <c r="M957" s="2105"/>
    </row>
    <row r="958" spans="1:13">
      <c r="A958" s="2105"/>
      <c r="B958" s="2105"/>
      <c r="C958" s="2105"/>
      <c r="D958" s="2347"/>
      <c r="E958" s="2105"/>
      <c r="F958" s="2105"/>
      <c r="G958" s="2105"/>
      <c r="H958" s="2105"/>
      <c r="I958" s="2348"/>
      <c r="J958" s="2348"/>
      <c r="K958" s="2348"/>
      <c r="L958" s="2347"/>
      <c r="M958" s="2105"/>
    </row>
    <row r="959" spans="1:13">
      <c r="A959" s="2105"/>
      <c r="B959" s="2105"/>
      <c r="C959" s="2105"/>
      <c r="D959" s="2347"/>
      <c r="E959" s="2105"/>
      <c r="F959" s="2105"/>
      <c r="G959" s="2105"/>
      <c r="H959" s="2105"/>
      <c r="I959" s="2348"/>
      <c r="J959" s="2348"/>
      <c r="K959" s="2348"/>
      <c r="L959" s="2347"/>
      <c r="M959" s="2105"/>
    </row>
    <row r="960" spans="1:13">
      <c r="A960" s="2105"/>
      <c r="B960" s="2105"/>
      <c r="C960" s="2105"/>
      <c r="D960" s="2347"/>
      <c r="E960" s="2105"/>
      <c r="F960" s="2105"/>
      <c r="G960" s="2105"/>
      <c r="H960" s="2105"/>
      <c r="I960" s="2348"/>
      <c r="J960" s="2348"/>
      <c r="K960" s="2348"/>
      <c r="L960" s="2347"/>
      <c r="M960" s="2105"/>
    </row>
    <row r="961" spans="1:13">
      <c r="A961" s="2105"/>
      <c r="B961" s="2105"/>
      <c r="C961" s="2105"/>
      <c r="D961" s="2347"/>
      <c r="E961" s="2105"/>
      <c r="F961" s="2105"/>
      <c r="G961" s="2105"/>
      <c r="H961" s="2105"/>
      <c r="I961" s="2348"/>
      <c r="J961" s="2348"/>
      <c r="K961" s="2348"/>
      <c r="L961" s="2347"/>
      <c r="M961" s="2105"/>
    </row>
    <row r="962" spans="1:13">
      <c r="A962" s="2105"/>
      <c r="B962" s="2105"/>
      <c r="C962" s="2105"/>
      <c r="D962" s="2347"/>
      <c r="E962" s="2105"/>
      <c r="F962" s="2105"/>
      <c r="G962" s="2105"/>
      <c r="H962" s="2105"/>
      <c r="I962" s="2348"/>
      <c r="J962" s="2348"/>
      <c r="K962" s="2348"/>
      <c r="L962" s="2347"/>
      <c r="M962" s="2105"/>
    </row>
    <row r="963" spans="1:13">
      <c r="A963" s="2105"/>
      <c r="B963" s="2105"/>
      <c r="C963" s="2105"/>
      <c r="D963" s="2347"/>
      <c r="E963" s="2105"/>
      <c r="F963" s="2105"/>
      <c r="G963" s="2105"/>
      <c r="H963" s="2105"/>
      <c r="I963" s="2348"/>
      <c r="J963" s="2348"/>
      <c r="K963" s="2348"/>
      <c r="L963" s="2347"/>
      <c r="M963" s="2105"/>
    </row>
    <row r="964" spans="1:13">
      <c r="A964" s="2105"/>
      <c r="B964" s="2105"/>
      <c r="C964" s="2105"/>
      <c r="D964" s="2347"/>
      <c r="E964" s="2105"/>
      <c r="F964" s="2105"/>
      <c r="G964" s="2105"/>
      <c r="H964" s="2105"/>
      <c r="I964" s="2348"/>
      <c r="J964" s="2348"/>
      <c r="K964" s="2348"/>
      <c r="L964" s="2347"/>
      <c r="M964" s="2105"/>
    </row>
    <row r="965" spans="1:13">
      <c r="A965" s="2105"/>
      <c r="B965" s="2105"/>
      <c r="C965" s="2105"/>
      <c r="D965" s="2347"/>
      <c r="E965" s="2105"/>
      <c r="F965" s="2105"/>
      <c r="G965" s="2105"/>
      <c r="H965" s="2105"/>
      <c r="I965" s="2348"/>
      <c r="J965" s="2348"/>
      <c r="K965" s="2348"/>
      <c r="L965" s="2347"/>
      <c r="M965" s="2105"/>
    </row>
    <row r="966" spans="1:13">
      <c r="A966" s="2105"/>
      <c r="B966" s="2105"/>
      <c r="C966" s="2105"/>
      <c r="D966" s="2347"/>
      <c r="E966" s="2105"/>
      <c r="F966" s="2105"/>
      <c r="G966" s="2105"/>
      <c r="H966" s="2105"/>
      <c r="I966" s="2348"/>
      <c r="J966" s="2348"/>
      <c r="K966" s="2348"/>
      <c r="L966" s="2347"/>
      <c r="M966" s="2105"/>
    </row>
    <row r="967" spans="1:13">
      <c r="A967" s="2105"/>
      <c r="B967" s="2105"/>
      <c r="C967" s="2105"/>
      <c r="D967" s="2347"/>
      <c r="E967" s="2105"/>
      <c r="F967" s="2105"/>
      <c r="G967" s="2105"/>
      <c r="H967" s="2105"/>
      <c r="I967" s="2348"/>
      <c r="J967" s="2348"/>
      <c r="K967" s="2348"/>
      <c r="L967" s="2347"/>
      <c r="M967" s="2105"/>
    </row>
    <row r="968" spans="1:13">
      <c r="A968" s="2105"/>
      <c r="B968" s="2105"/>
      <c r="C968" s="2105"/>
      <c r="D968" s="2347"/>
      <c r="E968" s="2105"/>
      <c r="F968" s="2105"/>
      <c r="G968" s="2105"/>
      <c r="H968" s="2105"/>
      <c r="I968" s="2348"/>
      <c r="J968" s="2348"/>
      <c r="K968" s="2348"/>
      <c r="L968" s="2347"/>
      <c r="M968" s="2105"/>
    </row>
    <row r="969" spans="1:13">
      <c r="A969" s="2105"/>
      <c r="B969" s="2105"/>
      <c r="C969" s="2105"/>
      <c r="D969" s="2347"/>
      <c r="E969" s="2105"/>
      <c r="F969" s="2105"/>
      <c r="G969" s="2105"/>
      <c r="H969" s="2105"/>
      <c r="I969" s="2348"/>
      <c r="J969" s="2348"/>
      <c r="K969" s="2348"/>
      <c r="L969" s="2347"/>
      <c r="M969" s="2105"/>
    </row>
    <row r="970" spans="1:13">
      <c r="A970" s="2105"/>
      <c r="B970" s="2105"/>
      <c r="C970" s="2105"/>
      <c r="D970" s="2347"/>
      <c r="E970" s="2105"/>
      <c r="F970" s="2105"/>
      <c r="G970" s="2105"/>
      <c r="H970" s="2105"/>
      <c r="I970" s="2348"/>
      <c r="J970" s="2348"/>
      <c r="K970" s="2348"/>
      <c r="L970" s="2347"/>
      <c r="M970" s="2105"/>
    </row>
    <row r="971" spans="1:13">
      <c r="A971" s="2105"/>
      <c r="B971" s="2105"/>
      <c r="C971" s="2105"/>
      <c r="D971" s="2347"/>
      <c r="E971" s="2105"/>
      <c r="F971" s="2105"/>
      <c r="G971" s="2105"/>
      <c r="H971" s="2105"/>
      <c r="I971" s="2348"/>
      <c r="J971" s="2348"/>
      <c r="K971" s="2348"/>
      <c r="L971" s="2347"/>
      <c r="M971" s="2105"/>
    </row>
    <row r="972" spans="1:13">
      <c r="A972" s="2105"/>
      <c r="B972" s="2105"/>
      <c r="C972" s="2105"/>
      <c r="D972" s="2347"/>
      <c r="E972" s="2105"/>
      <c r="F972" s="2105"/>
      <c r="G972" s="2105"/>
      <c r="H972" s="2105"/>
      <c r="I972" s="2348"/>
      <c r="J972" s="2348"/>
      <c r="K972" s="2348"/>
      <c r="L972" s="2347"/>
      <c r="M972" s="2105"/>
    </row>
    <row r="973" spans="1:13">
      <c r="A973" s="2105"/>
      <c r="B973" s="2105"/>
      <c r="C973" s="2105"/>
      <c r="D973" s="2347"/>
      <c r="E973" s="2105"/>
      <c r="F973" s="2105"/>
      <c r="G973" s="2105"/>
      <c r="H973" s="2105"/>
      <c r="I973" s="2348"/>
      <c r="J973" s="2348"/>
      <c r="K973" s="2348"/>
      <c r="L973" s="2347"/>
      <c r="M973" s="2105"/>
    </row>
    <row r="974" spans="1:13">
      <c r="A974" s="2105"/>
      <c r="B974" s="2105"/>
      <c r="C974" s="2105"/>
      <c r="D974" s="2347"/>
      <c r="E974" s="2105"/>
      <c r="F974" s="2105"/>
      <c r="G974" s="2105"/>
      <c r="H974" s="2105"/>
      <c r="I974" s="2348"/>
      <c r="J974" s="2348"/>
      <c r="K974" s="2348"/>
      <c r="L974" s="2347"/>
      <c r="M974" s="2105"/>
    </row>
    <row r="975" spans="1:13">
      <c r="A975" s="2105"/>
      <c r="B975" s="2105"/>
      <c r="C975" s="2105"/>
      <c r="D975" s="2347"/>
      <c r="E975" s="2105"/>
      <c r="F975" s="2105"/>
      <c r="G975" s="2105"/>
      <c r="H975" s="2105"/>
      <c r="I975" s="2348"/>
      <c r="J975" s="2348"/>
      <c r="K975" s="2348"/>
      <c r="L975" s="2347"/>
      <c r="M975" s="2105"/>
    </row>
    <row r="976" spans="1:13">
      <c r="A976" s="2105"/>
      <c r="B976" s="2105"/>
      <c r="C976" s="2105"/>
      <c r="D976" s="2347"/>
      <c r="E976" s="2105"/>
      <c r="F976" s="2105"/>
      <c r="G976" s="2105"/>
      <c r="H976" s="2105"/>
      <c r="I976" s="2348"/>
      <c r="J976" s="2348"/>
      <c r="K976" s="2348"/>
      <c r="L976" s="2347"/>
      <c r="M976" s="2105"/>
    </row>
    <row r="977" spans="1:13">
      <c r="A977" s="2105"/>
      <c r="B977" s="2105"/>
      <c r="C977" s="2105"/>
      <c r="D977" s="2347"/>
      <c r="E977" s="2105"/>
      <c r="F977" s="2105"/>
      <c r="G977" s="2105"/>
      <c r="H977" s="2105"/>
      <c r="I977" s="2348"/>
      <c r="J977" s="2348"/>
      <c r="K977" s="2348"/>
      <c r="L977" s="2347"/>
      <c r="M977" s="2105"/>
    </row>
    <row r="978" spans="1:13">
      <c r="A978" s="2105"/>
      <c r="B978" s="2105"/>
      <c r="C978" s="2105"/>
      <c r="D978" s="2347"/>
      <c r="E978" s="2105"/>
      <c r="F978" s="2105"/>
      <c r="G978" s="2105"/>
      <c r="H978" s="2105"/>
      <c r="I978" s="2348"/>
      <c r="J978" s="2348"/>
      <c r="K978" s="2348"/>
      <c r="L978" s="2347"/>
      <c r="M978" s="2105"/>
    </row>
    <row r="979" spans="1:13">
      <c r="A979" s="2105"/>
      <c r="B979" s="2105"/>
      <c r="C979" s="2105"/>
      <c r="D979" s="2347"/>
      <c r="E979" s="2105"/>
      <c r="F979" s="2105"/>
      <c r="G979" s="2105"/>
      <c r="H979" s="2105"/>
      <c r="I979" s="2348"/>
      <c r="J979" s="2348"/>
      <c r="K979" s="2348"/>
      <c r="L979" s="2347"/>
      <c r="M979" s="2105"/>
    </row>
    <row r="980" spans="1:13">
      <c r="A980" s="2105"/>
      <c r="B980" s="2105"/>
      <c r="C980" s="2105"/>
      <c r="D980" s="2347"/>
      <c r="E980" s="2105"/>
      <c r="F980" s="2105"/>
      <c r="G980" s="2105"/>
      <c r="H980" s="2105"/>
      <c r="I980" s="2348"/>
      <c r="J980" s="2348"/>
      <c r="K980" s="2348"/>
      <c r="L980" s="2347"/>
      <c r="M980" s="2105"/>
    </row>
    <row r="981" spans="1:13">
      <c r="A981" s="2105"/>
      <c r="B981" s="2105"/>
      <c r="C981" s="2105"/>
      <c r="D981" s="2347"/>
      <c r="E981" s="2105"/>
      <c r="F981" s="2105"/>
      <c r="G981" s="2105"/>
      <c r="H981" s="2105"/>
      <c r="I981" s="2348"/>
      <c r="J981" s="2348"/>
      <c r="K981" s="2348"/>
      <c r="L981" s="2347"/>
      <c r="M981" s="2105"/>
    </row>
    <row r="982" spans="1:13">
      <c r="A982" s="2105"/>
      <c r="B982" s="2105"/>
      <c r="C982" s="2105"/>
      <c r="D982" s="2347"/>
      <c r="E982" s="2105"/>
      <c r="F982" s="2105"/>
      <c r="G982" s="2105"/>
      <c r="H982" s="2105"/>
      <c r="I982" s="2348"/>
      <c r="J982" s="2348"/>
      <c r="K982" s="2348"/>
      <c r="L982" s="2347"/>
      <c r="M982" s="2105"/>
    </row>
    <row r="983" spans="1:13">
      <c r="A983" s="2105"/>
      <c r="B983" s="2105"/>
      <c r="C983" s="2105"/>
      <c r="D983" s="2347"/>
      <c r="E983" s="2105"/>
      <c r="F983" s="2105"/>
      <c r="G983" s="2105"/>
      <c r="H983" s="2105"/>
      <c r="I983" s="2348"/>
      <c r="J983" s="2348"/>
      <c r="K983" s="2348"/>
      <c r="L983" s="2347"/>
      <c r="M983" s="2105"/>
    </row>
    <row r="984" spans="1:13">
      <c r="A984" s="2105"/>
      <c r="B984" s="2105"/>
      <c r="C984" s="2105"/>
      <c r="D984" s="2347"/>
      <c r="E984" s="2105"/>
      <c r="F984" s="2105"/>
      <c r="G984" s="2105"/>
      <c r="H984" s="2105"/>
      <c r="I984" s="2348"/>
      <c r="J984" s="2348"/>
      <c r="K984" s="2348"/>
      <c r="L984" s="2347"/>
      <c r="M984" s="2105"/>
    </row>
    <row r="985" spans="1:13">
      <c r="A985" s="2105"/>
      <c r="B985" s="2105"/>
      <c r="C985" s="2105"/>
      <c r="D985" s="2347"/>
      <c r="E985" s="2105"/>
      <c r="F985" s="2105"/>
      <c r="G985" s="2105"/>
      <c r="H985" s="2105"/>
      <c r="I985" s="2348"/>
      <c r="J985" s="2348"/>
      <c r="K985" s="2348"/>
      <c r="L985" s="2347"/>
      <c r="M985" s="2105"/>
    </row>
    <row r="986" spans="1:13">
      <c r="A986" s="2105"/>
      <c r="B986" s="2105"/>
      <c r="C986" s="2105"/>
      <c r="D986" s="2347"/>
      <c r="E986" s="2105"/>
      <c r="F986" s="2105"/>
      <c r="G986" s="2105"/>
      <c r="H986" s="2105"/>
      <c r="I986" s="2348"/>
      <c r="J986" s="2348"/>
      <c r="K986" s="2348"/>
      <c r="L986" s="2347"/>
      <c r="M986" s="2105"/>
    </row>
    <row r="987" spans="1:13">
      <c r="A987" s="2105"/>
      <c r="B987" s="2105"/>
      <c r="C987" s="2105"/>
      <c r="D987" s="2347"/>
      <c r="E987" s="2105"/>
      <c r="F987" s="2105"/>
      <c r="G987" s="2105"/>
      <c r="H987" s="2105"/>
      <c r="I987" s="2348"/>
      <c r="J987" s="2348"/>
      <c r="K987" s="2348"/>
      <c r="L987" s="2347"/>
      <c r="M987" s="2105"/>
    </row>
    <row r="988" spans="1:13">
      <c r="A988" s="2105"/>
      <c r="B988" s="2105"/>
      <c r="C988" s="2105"/>
      <c r="D988" s="2347"/>
      <c r="E988" s="2105"/>
      <c r="F988" s="2105"/>
      <c r="G988" s="2105"/>
      <c r="H988" s="2105"/>
      <c r="I988" s="2348"/>
      <c r="J988" s="2348"/>
      <c r="K988" s="2348"/>
      <c r="L988" s="2347"/>
      <c r="M988" s="2105"/>
    </row>
    <row r="989" spans="1:13">
      <c r="A989" s="2105"/>
      <c r="B989" s="2105"/>
      <c r="C989" s="2105"/>
      <c r="D989" s="2347"/>
      <c r="E989" s="2105"/>
      <c r="F989" s="2105"/>
      <c r="G989" s="2105"/>
      <c r="H989" s="2105"/>
      <c r="I989" s="2348"/>
      <c r="J989" s="2348"/>
      <c r="K989" s="2348"/>
      <c r="L989" s="2347"/>
      <c r="M989" s="2105"/>
    </row>
    <row r="990" spans="1:13">
      <c r="A990" s="2105"/>
      <c r="B990" s="2105"/>
      <c r="C990" s="2105"/>
      <c r="D990" s="2347"/>
      <c r="E990" s="2105"/>
      <c r="F990" s="2105"/>
      <c r="G990" s="2105"/>
      <c r="H990" s="2105"/>
      <c r="I990" s="2348"/>
      <c r="J990" s="2348"/>
      <c r="K990" s="2348"/>
      <c r="L990" s="2347"/>
      <c r="M990" s="2105"/>
    </row>
    <row r="991" spans="1:13">
      <c r="A991" s="2105"/>
      <c r="B991" s="2105"/>
      <c r="C991" s="2105"/>
      <c r="D991" s="2347"/>
      <c r="E991" s="2105"/>
      <c r="F991" s="2105"/>
      <c r="G991" s="2105"/>
      <c r="H991" s="2105"/>
      <c r="I991" s="2348"/>
      <c r="J991" s="2348"/>
      <c r="K991" s="2348"/>
      <c r="L991" s="2347"/>
      <c r="M991" s="2105"/>
    </row>
    <row r="992" spans="1:13">
      <c r="A992" s="2105"/>
      <c r="B992" s="2105"/>
      <c r="C992" s="2105"/>
      <c r="D992" s="2347"/>
      <c r="E992" s="2105"/>
      <c r="F992" s="2105"/>
      <c r="G992" s="2105"/>
      <c r="H992" s="2105"/>
      <c r="I992" s="2348"/>
      <c r="J992" s="2348"/>
      <c r="K992" s="2348"/>
      <c r="L992" s="2347"/>
      <c r="M992" s="2105"/>
    </row>
    <row r="993" spans="1:13">
      <c r="A993" s="2105"/>
      <c r="B993" s="2105"/>
      <c r="C993" s="2105"/>
      <c r="D993" s="2347"/>
      <c r="E993" s="2105"/>
      <c r="F993" s="2105"/>
      <c r="G993" s="2105"/>
      <c r="H993" s="2105"/>
      <c r="I993" s="2348"/>
      <c r="J993" s="2348"/>
      <c r="K993" s="2348"/>
      <c r="L993" s="2347"/>
      <c r="M993" s="2105"/>
    </row>
    <row r="994" spans="1:13">
      <c r="A994" s="2105"/>
      <c r="B994" s="2105"/>
      <c r="C994" s="2105"/>
      <c r="D994" s="2347"/>
      <c r="E994" s="2105"/>
      <c r="F994" s="2105"/>
      <c r="G994" s="2105"/>
      <c r="H994" s="2105"/>
      <c r="I994" s="2348"/>
      <c r="J994" s="2348"/>
      <c r="K994" s="2348"/>
      <c r="L994" s="2347"/>
      <c r="M994" s="2105"/>
    </row>
    <row r="995" spans="1:13">
      <c r="A995" s="2105"/>
      <c r="B995" s="2105"/>
      <c r="C995" s="2105"/>
      <c r="D995" s="2347"/>
      <c r="E995" s="2105"/>
      <c r="F995" s="2105"/>
      <c r="G995" s="2105"/>
      <c r="H995" s="2105"/>
      <c r="I995" s="2348"/>
      <c r="J995" s="2348"/>
      <c r="K995" s="2348"/>
      <c r="L995" s="2347"/>
      <c r="M995" s="2105"/>
    </row>
    <row r="996" spans="1:13">
      <c r="A996" s="2105"/>
      <c r="B996" s="2105"/>
      <c r="C996" s="2105"/>
      <c r="D996" s="2347"/>
      <c r="E996" s="2105"/>
      <c r="F996" s="2105"/>
      <c r="G996" s="2105"/>
      <c r="H996" s="2105"/>
      <c r="I996" s="2348"/>
      <c r="J996" s="2348"/>
      <c r="K996" s="2348"/>
      <c r="L996" s="2347"/>
      <c r="M996" s="2105"/>
    </row>
    <row r="997" spans="1:13">
      <c r="A997" s="2105"/>
      <c r="B997" s="2105"/>
      <c r="C997" s="2105"/>
      <c r="D997" s="2347"/>
      <c r="E997" s="2105"/>
      <c r="F997" s="2105"/>
      <c r="G997" s="2105"/>
      <c r="H997" s="2105"/>
      <c r="I997" s="2348"/>
      <c r="J997" s="2348"/>
      <c r="K997" s="2348"/>
      <c r="L997" s="2347"/>
      <c r="M997" s="2105"/>
    </row>
    <row r="998" spans="1:13">
      <c r="A998" s="2105"/>
      <c r="B998" s="2105"/>
      <c r="C998" s="2105"/>
      <c r="D998" s="2347"/>
      <c r="E998" s="2105"/>
      <c r="F998" s="2105"/>
      <c r="G998" s="2105"/>
      <c r="H998" s="2105"/>
      <c r="I998" s="2348"/>
      <c r="J998" s="2348"/>
      <c r="K998" s="2348"/>
      <c r="L998" s="2347"/>
      <c r="M998" s="2105"/>
    </row>
    <row r="999" spans="1:13">
      <c r="A999" s="2105"/>
      <c r="B999" s="2105"/>
      <c r="C999" s="2105"/>
      <c r="D999" s="2347"/>
      <c r="E999" s="2105"/>
      <c r="F999" s="2105"/>
      <c r="G999" s="2105"/>
      <c r="H999" s="2105"/>
      <c r="I999" s="2348"/>
      <c r="J999" s="2348"/>
      <c r="K999" s="2348"/>
      <c r="L999" s="2347"/>
      <c r="M999" s="2105"/>
    </row>
    <row r="1000" spans="1:13">
      <c r="A1000" s="2105"/>
      <c r="B1000" s="2105"/>
      <c r="C1000" s="2105"/>
      <c r="D1000" s="2347"/>
      <c r="E1000" s="2105"/>
      <c r="F1000" s="2105"/>
      <c r="G1000" s="2105"/>
      <c r="H1000" s="2105"/>
      <c r="I1000" s="2348"/>
      <c r="J1000" s="2348"/>
      <c r="K1000" s="2348"/>
      <c r="L1000" s="2347"/>
      <c r="M1000" s="2105"/>
    </row>
    <row r="1001" spans="1:13">
      <c r="A1001" s="2105"/>
      <c r="B1001" s="2105"/>
      <c r="C1001" s="2105"/>
      <c r="D1001" s="2347"/>
      <c r="E1001" s="2105"/>
      <c r="F1001" s="2105"/>
      <c r="G1001" s="2105"/>
      <c r="H1001" s="2105"/>
      <c r="I1001" s="2348"/>
      <c r="J1001" s="2348"/>
      <c r="K1001" s="2348"/>
      <c r="L1001" s="2347"/>
      <c r="M1001" s="2105"/>
    </row>
    <row r="1002" spans="1:13">
      <c r="A1002" s="2105"/>
      <c r="B1002" s="2105"/>
      <c r="C1002" s="2105"/>
      <c r="D1002" s="2347"/>
      <c r="E1002" s="2105"/>
      <c r="F1002" s="2105"/>
      <c r="G1002" s="2105"/>
      <c r="H1002" s="2105"/>
      <c r="I1002" s="2348"/>
      <c r="J1002" s="2348"/>
      <c r="K1002" s="2348"/>
      <c r="L1002" s="2347"/>
      <c r="M1002" s="2105"/>
    </row>
    <row r="1003" spans="1:13">
      <c r="A1003" s="2105"/>
      <c r="B1003" s="2105"/>
      <c r="C1003" s="2105"/>
      <c r="D1003" s="2347"/>
      <c r="E1003" s="2105"/>
      <c r="F1003" s="2105"/>
      <c r="G1003" s="2105"/>
      <c r="H1003" s="2105"/>
      <c r="I1003" s="2348"/>
      <c r="J1003" s="2348"/>
      <c r="K1003" s="2348"/>
      <c r="L1003" s="2347"/>
      <c r="M1003" s="2105"/>
    </row>
    <row r="1004" spans="1:13">
      <c r="A1004" s="2105"/>
      <c r="B1004" s="2105"/>
      <c r="C1004" s="2105"/>
      <c r="D1004" s="2347"/>
      <c r="E1004" s="2105"/>
      <c r="F1004" s="2105"/>
      <c r="G1004" s="2105"/>
      <c r="H1004" s="2105"/>
      <c r="I1004" s="2348"/>
      <c r="J1004" s="2348"/>
      <c r="K1004" s="2348"/>
      <c r="L1004" s="2347"/>
      <c r="M1004" s="2105"/>
    </row>
    <row r="1005" spans="1:13">
      <c r="A1005" s="2105"/>
      <c r="B1005" s="2105"/>
      <c r="C1005" s="2105"/>
      <c r="D1005" s="2347"/>
      <c r="E1005" s="2105"/>
      <c r="F1005" s="2105"/>
      <c r="G1005" s="2105"/>
      <c r="H1005" s="2105"/>
      <c r="I1005" s="2348"/>
      <c r="J1005" s="2348"/>
      <c r="K1005" s="2348"/>
      <c r="L1005" s="2347"/>
      <c r="M1005" s="2105"/>
    </row>
    <row r="1006" spans="1:13">
      <c r="A1006" s="2105"/>
      <c r="B1006" s="2105"/>
      <c r="C1006" s="2105"/>
      <c r="D1006" s="2347"/>
      <c r="E1006" s="2105"/>
      <c r="F1006" s="2105"/>
      <c r="G1006" s="2105"/>
      <c r="H1006" s="2105"/>
      <c r="I1006" s="2348"/>
      <c r="J1006" s="2348"/>
      <c r="K1006" s="2348"/>
      <c r="L1006" s="2347"/>
      <c r="M1006" s="2105"/>
    </row>
    <row r="1007" spans="1:13">
      <c r="A1007" s="2105"/>
      <c r="B1007" s="2105"/>
      <c r="C1007" s="2105"/>
      <c r="D1007" s="2347"/>
      <c r="E1007" s="2105"/>
      <c r="F1007" s="2105"/>
      <c r="G1007" s="2105"/>
      <c r="H1007" s="2105"/>
      <c r="I1007" s="2348"/>
      <c r="J1007" s="2348"/>
      <c r="K1007" s="2348"/>
      <c r="L1007" s="2347"/>
      <c r="M1007" s="2105"/>
    </row>
    <row r="1008" spans="1:13">
      <c r="A1008" s="2105"/>
      <c r="B1008" s="2105"/>
      <c r="C1008" s="2105"/>
      <c r="D1008" s="2347"/>
      <c r="E1008" s="2105"/>
      <c r="F1008" s="2105"/>
      <c r="G1008" s="2105"/>
      <c r="H1008" s="2105"/>
      <c r="I1008" s="2348"/>
      <c r="J1008" s="2348"/>
      <c r="K1008" s="2348"/>
      <c r="L1008" s="2347"/>
      <c r="M1008" s="2105"/>
    </row>
    <row r="1009" spans="1:13">
      <c r="A1009" s="2105"/>
      <c r="B1009" s="2105"/>
      <c r="C1009" s="2105"/>
      <c r="D1009" s="2347"/>
      <c r="E1009" s="2105"/>
      <c r="F1009" s="2105"/>
      <c r="G1009" s="2105"/>
      <c r="H1009" s="2105"/>
      <c r="I1009" s="2348"/>
      <c r="J1009" s="2348"/>
      <c r="K1009" s="2348"/>
      <c r="L1009" s="2347"/>
      <c r="M1009" s="2105"/>
    </row>
    <row r="1010" spans="1:13">
      <c r="A1010" s="2105"/>
      <c r="B1010" s="2105"/>
      <c r="C1010" s="2105"/>
      <c r="D1010" s="2347"/>
      <c r="E1010" s="2105"/>
      <c r="F1010" s="2105"/>
      <c r="G1010" s="2105"/>
      <c r="H1010" s="2105"/>
      <c r="I1010" s="2348"/>
      <c r="J1010" s="2348"/>
      <c r="K1010" s="2348"/>
      <c r="L1010" s="2347"/>
      <c r="M1010" s="2105"/>
    </row>
    <row r="1011" spans="1:13">
      <c r="A1011" s="2105"/>
      <c r="B1011" s="2105"/>
      <c r="C1011" s="2105"/>
      <c r="D1011" s="2347"/>
      <c r="E1011" s="2105"/>
      <c r="F1011" s="2105"/>
      <c r="G1011" s="2105"/>
      <c r="H1011" s="2105"/>
      <c r="I1011" s="2348"/>
      <c r="J1011" s="2348"/>
      <c r="K1011" s="2348"/>
      <c r="L1011" s="2347"/>
      <c r="M1011" s="2105"/>
    </row>
    <row r="1012" spans="1:13">
      <c r="A1012" s="2105"/>
      <c r="B1012" s="2105"/>
      <c r="C1012" s="2105"/>
      <c r="D1012" s="2347"/>
      <c r="E1012" s="2105"/>
      <c r="F1012" s="2105"/>
      <c r="G1012" s="2105"/>
      <c r="H1012" s="2105"/>
      <c r="I1012" s="2348"/>
      <c r="J1012" s="2348"/>
      <c r="K1012" s="2348"/>
      <c r="L1012" s="2347"/>
      <c r="M1012" s="2105"/>
    </row>
    <row r="1013" spans="1:13">
      <c r="A1013" s="2105"/>
      <c r="B1013" s="2105"/>
      <c r="C1013" s="2105"/>
      <c r="D1013" s="2347"/>
      <c r="E1013" s="2105"/>
      <c r="F1013" s="2105"/>
      <c r="G1013" s="2105"/>
      <c r="H1013" s="2105"/>
      <c r="I1013" s="2348"/>
      <c r="J1013" s="2348"/>
      <c r="K1013" s="2348"/>
      <c r="L1013" s="2347"/>
      <c r="M1013" s="2105"/>
    </row>
    <row r="1014" spans="1:13">
      <c r="A1014" s="2105"/>
      <c r="B1014" s="2105"/>
      <c r="C1014" s="2105"/>
      <c r="D1014" s="2347"/>
      <c r="E1014" s="2105"/>
      <c r="F1014" s="2105"/>
      <c r="G1014" s="2105"/>
      <c r="H1014" s="2105"/>
      <c r="I1014" s="2348"/>
      <c r="J1014" s="2348"/>
      <c r="K1014" s="2348"/>
      <c r="L1014" s="2347"/>
      <c r="M1014" s="2105"/>
    </row>
    <row r="1015" spans="1:13">
      <c r="A1015" s="2105"/>
      <c r="B1015" s="2105"/>
      <c r="C1015" s="2105"/>
      <c r="D1015" s="2347"/>
      <c r="E1015" s="2105"/>
      <c r="F1015" s="2105"/>
      <c r="G1015" s="2105"/>
      <c r="H1015" s="2105"/>
      <c r="I1015" s="2348"/>
      <c r="J1015" s="2348"/>
      <c r="K1015" s="2348"/>
      <c r="L1015" s="2347"/>
      <c r="M1015" s="2105"/>
    </row>
    <row r="1016" spans="1:13">
      <c r="A1016" s="2105"/>
      <c r="B1016" s="2105"/>
      <c r="C1016" s="2105"/>
      <c r="D1016" s="2347"/>
      <c r="E1016" s="2105"/>
      <c r="F1016" s="2105"/>
      <c r="G1016" s="2105"/>
      <c r="H1016" s="2105"/>
      <c r="I1016" s="2348"/>
      <c r="J1016" s="2348"/>
      <c r="K1016" s="2348"/>
      <c r="L1016" s="2347"/>
      <c r="M1016" s="2105"/>
    </row>
    <row r="1017" spans="1:13">
      <c r="A1017" s="2105"/>
      <c r="B1017" s="2105"/>
      <c r="C1017" s="2105"/>
      <c r="D1017" s="2347"/>
      <c r="E1017" s="2105"/>
      <c r="F1017" s="2105"/>
      <c r="G1017" s="2105"/>
      <c r="H1017" s="2105"/>
      <c r="I1017" s="2348"/>
      <c r="J1017" s="2348"/>
      <c r="K1017" s="2348"/>
      <c r="L1017" s="2347"/>
      <c r="M1017" s="2105"/>
    </row>
    <row r="1018" spans="1:13">
      <c r="A1018" s="2105"/>
      <c r="B1018" s="2105"/>
      <c r="C1018" s="2105"/>
      <c r="D1018" s="2347"/>
      <c r="E1018" s="2105"/>
      <c r="F1018" s="2105"/>
      <c r="G1018" s="2105"/>
      <c r="H1018" s="2105"/>
      <c r="I1018" s="2348"/>
      <c r="J1018" s="2348"/>
      <c r="K1018" s="2348"/>
      <c r="L1018" s="2347"/>
      <c r="M1018" s="2105"/>
    </row>
    <row r="1019" spans="1:13">
      <c r="A1019" s="2105"/>
      <c r="B1019" s="2105"/>
      <c r="C1019" s="2105"/>
      <c r="D1019" s="2347"/>
      <c r="E1019" s="2105"/>
      <c r="F1019" s="2105"/>
      <c r="G1019" s="2105"/>
      <c r="H1019" s="2105"/>
      <c r="I1019" s="2348"/>
      <c r="J1019" s="2348"/>
      <c r="K1019" s="2348"/>
      <c r="L1019" s="2347"/>
      <c r="M1019" s="2105"/>
    </row>
    <row r="1020" spans="1:13">
      <c r="A1020" s="2105"/>
      <c r="B1020" s="2105"/>
      <c r="C1020" s="2105"/>
      <c r="D1020" s="2347"/>
      <c r="E1020" s="2105"/>
      <c r="F1020" s="2105"/>
      <c r="G1020" s="2105"/>
      <c r="H1020" s="2105"/>
      <c r="I1020" s="2348"/>
      <c r="J1020" s="2348"/>
      <c r="K1020" s="2348"/>
      <c r="L1020" s="2347"/>
      <c r="M1020" s="2105"/>
    </row>
    <row r="1021" spans="1:13">
      <c r="A1021" s="2105"/>
      <c r="B1021" s="2105"/>
      <c r="C1021" s="2105"/>
      <c r="D1021" s="2347"/>
      <c r="E1021" s="2105"/>
      <c r="F1021" s="2105"/>
      <c r="G1021" s="2105"/>
      <c r="H1021" s="2105"/>
      <c r="I1021" s="2348"/>
      <c r="J1021" s="2348"/>
      <c r="K1021" s="2348"/>
      <c r="L1021" s="2347"/>
      <c r="M1021" s="2105"/>
    </row>
    <row r="1022" spans="1:13">
      <c r="A1022" s="2105"/>
      <c r="B1022" s="2105"/>
      <c r="C1022" s="2105"/>
      <c r="D1022" s="2347"/>
      <c r="E1022" s="2105"/>
      <c r="F1022" s="2105"/>
      <c r="G1022" s="2105"/>
      <c r="H1022" s="2105"/>
      <c r="I1022" s="2348"/>
      <c r="J1022" s="2348"/>
      <c r="K1022" s="2348"/>
      <c r="L1022" s="2347"/>
      <c r="M1022" s="2105"/>
    </row>
    <row r="1023" spans="1:13">
      <c r="A1023" s="2105"/>
      <c r="B1023" s="2105"/>
      <c r="C1023" s="2105"/>
      <c r="D1023" s="2347"/>
      <c r="E1023" s="2105"/>
      <c r="F1023" s="2105"/>
      <c r="G1023" s="2105"/>
      <c r="H1023" s="2105"/>
      <c r="I1023" s="2348"/>
      <c r="J1023" s="2348"/>
      <c r="K1023" s="2348"/>
      <c r="L1023" s="2347"/>
      <c r="M1023" s="2105"/>
    </row>
    <row r="1024" spans="1:13">
      <c r="A1024" s="2105"/>
      <c r="B1024" s="2105"/>
      <c r="C1024" s="2105"/>
      <c r="D1024" s="2347"/>
      <c r="E1024" s="2105"/>
      <c r="F1024" s="2105"/>
      <c r="G1024" s="2105"/>
      <c r="H1024" s="2105"/>
      <c r="I1024" s="2348"/>
      <c r="J1024" s="2348"/>
      <c r="K1024" s="2348"/>
      <c r="L1024" s="2347"/>
      <c r="M1024" s="2105"/>
    </row>
    <row r="1025" spans="1:13">
      <c r="A1025" s="2105"/>
      <c r="B1025" s="2105"/>
      <c r="C1025" s="2105"/>
      <c r="D1025" s="2347"/>
      <c r="E1025" s="2105"/>
      <c r="F1025" s="2105"/>
      <c r="G1025" s="2105"/>
      <c r="H1025" s="2105"/>
      <c r="I1025" s="2348"/>
      <c r="J1025" s="2348"/>
      <c r="K1025" s="2348"/>
      <c r="L1025" s="2347"/>
      <c r="M1025" s="2105"/>
    </row>
    <row r="1026" spans="1:13">
      <c r="A1026" s="2105"/>
      <c r="B1026" s="2105"/>
      <c r="C1026" s="2105"/>
      <c r="D1026" s="2347"/>
      <c r="E1026" s="2105"/>
      <c r="F1026" s="2105"/>
      <c r="G1026" s="2105"/>
      <c r="H1026" s="2105"/>
      <c r="I1026" s="2348"/>
      <c r="J1026" s="2348"/>
      <c r="K1026" s="2348"/>
      <c r="L1026" s="2347"/>
      <c r="M1026" s="2105"/>
    </row>
    <row r="1027" spans="1:13">
      <c r="A1027" s="2105"/>
      <c r="B1027" s="2105"/>
      <c r="C1027" s="2105"/>
      <c r="D1027" s="2347"/>
      <c r="E1027" s="2105"/>
      <c r="F1027" s="2105"/>
      <c r="G1027" s="2105"/>
      <c r="H1027" s="2105"/>
      <c r="I1027" s="2348"/>
      <c r="J1027" s="2348"/>
      <c r="K1027" s="2348"/>
      <c r="L1027" s="2347"/>
      <c r="M1027" s="2105"/>
    </row>
    <row r="1028" spans="1:13">
      <c r="A1028" s="2105"/>
      <c r="B1028" s="2105"/>
      <c r="C1028" s="2105"/>
      <c r="D1028" s="2347"/>
      <c r="E1028" s="2105"/>
      <c r="F1028" s="2105"/>
      <c r="G1028" s="2105"/>
      <c r="H1028" s="2105"/>
      <c r="I1028" s="2348"/>
      <c r="J1028" s="2348"/>
      <c r="K1028" s="2348"/>
      <c r="L1028" s="2347"/>
      <c r="M1028" s="2105"/>
    </row>
    <row r="1029" spans="1:13">
      <c r="A1029" s="2105"/>
      <c r="B1029" s="2105"/>
      <c r="C1029" s="2105"/>
      <c r="D1029" s="2347"/>
      <c r="E1029" s="2105"/>
      <c r="F1029" s="2105"/>
      <c r="G1029" s="2105"/>
      <c r="H1029" s="2105"/>
      <c r="I1029" s="2348"/>
      <c r="J1029" s="2348"/>
      <c r="K1029" s="2348"/>
      <c r="L1029" s="2347"/>
      <c r="M1029" s="2105"/>
    </row>
    <row r="1030" spans="1:13">
      <c r="A1030" s="2105"/>
      <c r="B1030" s="2105"/>
      <c r="C1030" s="2105"/>
      <c r="D1030" s="2347"/>
      <c r="E1030" s="2105"/>
      <c r="F1030" s="2105"/>
      <c r="G1030" s="2105"/>
      <c r="H1030" s="2105"/>
      <c r="I1030" s="2348"/>
      <c r="J1030" s="2348"/>
      <c r="K1030" s="2348"/>
      <c r="L1030" s="2347"/>
      <c r="M1030" s="2105"/>
    </row>
    <row r="1031" spans="1:13">
      <c r="A1031" s="2105"/>
      <c r="B1031" s="2105"/>
      <c r="C1031" s="2105"/>
      <c r="D1031" s="2347"/>
      <c r="E1031" s="2105"/>
      <c r="F1031" s="2105"/>
      <c r="G1031" s="2105"/>
      <c r="H1031" s="2105"/>
      <c r="I1031" s="2348"/>
      <c r="J1031" s="2348"/>
      <c r="K1031" s="2348"/>
      <c r="L1031" s="2347"/>
      <c r="M1031" s="2105"/>
    </row>
    <row r="1032" spans="1:13">
      <c r="A1032" s="2105"/>
      <c r="B1032" s="2105"/>
      <c r="C1032" s="2105"/>
      <c r="D1032" s="2347"/>
      <c r="E1032" s="2105"/>
      <c r="F1032" s="2105"/>
      <c r="G1032" s="2105"/>
      <c r="H1032" s="2105"/>
      <c r="I1032" s="2348"/>
      <c r="J1032" s="2348"/>
      <c r="K1032" s="2348"/>
      <c r="L1032" s="2347"/>
      <c r="M1032" s="2105"/>
    </row>
    <row r="1033" spans="1:13">
      <c r="A1033" s="2105"/>
      <c r="B1033" s="2105"/>
      <c r="C1033" s="2105"/>
      <c r="D1033" s="2347"/>
      <c r="E1033" s="2105"/>
      <c r="F1033" s="2105"/>
      <c r="G1033" s="2105"/>
      <c r="H1033" s="2105"/>
      <c r="I1033" s="2348"/>
      <c r="J1033" s="2348"/>
      <c r="K1033" s="2348"/>
      <c r="L1033" s="2347"/>
      <c r="M1033" s="2105"/>
    </row>
    <row r="1034" spans="1:13">
      <c r="A1034" s="2105"/>
      <c r="B1034" s="2105"/>
      <c r="C1034" s="2105"/>
      <c r="D1034" s="2347"/>
      <c r="E1034" s="2105"/>
      <c r="F1034" s="2105"/>
      <c r="G1034" s="2105"/>
      <c r="H1034" s="2105"/>
      <c r="I1034" s="2348"/>
      <c r="J1034" s="2348"/>
      <c r="K1034" s="2348"/>
      <c r="L1034" s="2347"/>
      <c r="M1034" s="2105"/>
    </row>
    <row r="1035" spans="1:13">
      <c r="A1035" s="2105"/>
      <c r="B1035" s="2105"/>
      <c r="C1035" s="2105"/>
      <c r="D1035" s="2347"/>
      <c r="E1035" s="2105"/>
      <c r="F1035" s="2105"/>
      <c r="G1035" s="2105"/>
      <c r="H1035" s="2105"/>
      <c r="I1035" s="2348"/>
      <c r="J1035" s="2348"/>
      <c r="K1035" s="2348"/>
      <c r="L1035" s="2347"/>
      <c r="M1035" s="2105"/>
    </row>
    <row r="1036" spans="1:13">
      <c r="A1036" s="2105"/>
      <c r="B1036" s="2105"/>
      <c r="C1036" s="2105"/>
      <c r="D1036" s="2347"/>
      <c r="E1036" s="2105"/>
      <c r="F1036" s="2105"/>
      <c r="G1036" s="2105"/>
      <c r="H1036" s="2105"/>
      <c r="I1036" s="2348"/>
      <c r="J1036" s="2348"/>
      <c r="K1036" s="2348"/>
      <c r="L1036" s="2347"/>
      <c r="M1036" s="2105"/>
    </row>
    <row r="1037" spans="1:13">
      <c r="A1037" s="2105"/>
      <c r="B1037" s="2105"/>
      <c r="C1037" s="2105"/>
      <c r="D1037" s="2347"/>
      <c r="E1037" s="2105"/>
      <c r="F1037" s="2105"/>
      <c r="G1037" s="2105"/>
      <c r="H1037" s="2105"/>
      <c r="I1037" s="2348"/>
      <c r="J1037" s="2348"/>
      <c r="K1037" s="2348"/>
      <c r="L1037" s="2347"/>
      <c r="M1037" s="2105"/>
    </row>
    <row r="1038" spans="1:13">
      <c r="A1038" s="2105"/>
      <c r="B1038" s="2105"/>
      <c r="C1038" s="2105"/>
      <c r="D1038" s="2347"/>
      <c r="E1038" s="2105"/>
      <c r="F1038" s="2105"/>
      <c r="G1038" s="2105"/>
      <c r="H1038" s="2105"/>
      <c r="I1038" s="2348"/>
      <c r="J1038" s="2348"/>
      <c r="K1038" s="2348"/>
      <c r="L1038" s="2347"/>
      <c r="M1038" s="2105"/>
    </row>
    <row r="1039" spans="1:13">
      <c r="A1039" s="2105"/>
      <c r="B1039" s="2105"/>
      <c r="C1039" s="2105"/>
      <c r="D1039" s="2347"/>
      <c r="E1039" s="2105"/>
      <c r="F1039" s="2105"/>
      <c r="G1039" s="2105"/>
      <c r="H1039" s="2105"/>
      <c r="I1039" s="2348"/>
      <c r="J1039" s="2348"/>
      <c r="K1039" s="2348"/>
      <c r="L1039" s="2347"/>
      <c r="M1039" s="2105"/>
    </row>
    <row r="1040" spans="1:13">
      <c r="A1040" s="2105"/>
      <c r="B1040" s="2105"/>
      <c r="C1040" s="2105"/>
      <c r="D1040" s="2347"/>
      <c r="E1040" s="2105"/>
      <c r="F1040" s="2105"/>
      <c r="G1040" s="2105"/>
      <c r="H1040" s="2105"/>
      <c r="I1040" s="2348"/>
      <c r="J1040" s="2348"/>
      <c r="K1040" s="2348"/>
      <c r="L1040" s="2347"/>
      <c r="M1040" s="2105"/>
    </row>
    <row r="1041" spans="1:13">
      <c r="A1041" s="2105"/>
      <c r="B1041" s="2105"/>
      <c r="C1041" s="2105"/>
      <c r="D1041" s="2347"/>
      <c r="E1041" s="2105"/>
      <c r="F1041" s="2105"/>
      <c r="G1041" s="2105"/>
      <c r="H1041" s="2105"/>
      <c r="I1041" s="2348"/>
      <c r="J1041" s="2348"/>
      <c r="K1041" s="2348"/>
      <c r="L1041" s="2347"/>
      <c r="M1041" s="2105"/>
    </row>
    <row r="1042" spans="1:13">
      <c r="A1042" s="2105"/>
      <c r="B1042" s="2105"/>
      <c r="C1042" s="2105"/>
      <c r="D1042" s="2347"/>
      <c r="E1042" s="2105"/>
      <c r="F1042" s="2105"/>
      <c r="G1042" s="2105"/>
      <c r="H1042" s="2105"/>
      <c r="I1042" s="2348"/>
      <c r="J1042" s="2348"/>
      <c r="K1042" s="2348"/>
      <c r="L1042" s="2347"/>
      <c r="M1042" s="2105"/>
    </row>
    <row r="1043" spans="1:13">
      <c r="A1043" s="2105"/>
      <c r="B1043" s="2105"/>
      <c r="C1043" s="2105"/>
      <c r="D1043" s="2347"/>
      <c r="E1043" s="2105"/>
      <c r="F1043" s="2105"/>
      <c r="G1043" s="2105"/>
      <c r="H1043" s="2105"/>
      <c r="I1043" s="2348"/>
      <c r="J1043" s="2348"/>
      <c r="K1043" s="2348"/>
      <c r="L1043" s="2347"/>
      <c r="M1043" s="2105"/>
    </row>
    <row r="1044" spans="1:13">
      <c r="A1044" s="2105"/>
      <c r="B1044" s="2105"/>
      <c r="C1044" s="2105"/>
      <c r="D1044" s="2347"/>
      <c r="E1044" s="2105"/>
      <c r="F1044" s="2105"/>
      <c r="G1044" s="2105"/>
      <c r="H1044" s="2105"/>
      <c r="I1044" s="2348"/>
      <c r="J1044" s="2348"/>
      <c r="K1044" s="2348"/>
      <c r="L1044" s="2347"/>
      <c r="M1044" s="2105"/>
    </row>
    <row r="1045" spans="1:13">
      <c r="A1045" s="2105"/>
      <c r="B1045" s="2105"/>
      <c r="C1045" s="2105"/>
      <c r="D1045" s="2347"/>
      <c r="E1045" s="2105"/>
      <c r="F1045" s="2105"/>
      <c r="G1045" s="2105"/>
      <c r="H1045" s="2105"/>
      <c r="I1045" s="2348"/>
      <c r="J1045" s="2348"/>
      <c r="K1045" s="2348"/>
      <c r="L1045" s="2347"/>
      <c r="M1045" s="2105"/>
    </row>
    <row r="1046" spans="1:13">
      <c r="A1046" s="2105"/>
      <c r="B1046" s="2105"/>
      <c r="C1046" s="2105"/>
      <c r="D1046" s="2347"/>
      <c r="E1046" s="2105"/>
      <c r="F1046" s="2105"/>
      <c r="G1046" s="2105"/>
      <c r="H1046" s="2105"/>
      <c r="I1046" s="2348"/>
      <c r="J1046" s="2348"/>
      <c r="K1046" s="2348"/>
      <c r="L1046" s="2347"/>
      <c r="M1046" s="2105"/>
    </row>
    <row r="1047" spans="1:13">
      <c r="A1047" s="2105"/>
      <c r="B1047" s="2105"/>
      <c r="C1047" s="2105"/>
      <c r="D1047" s="2347"/>
      <c r="E1047" s="2105"/>
      <c r="F1047" s="2105"/>
      <c r="G1047" s="2105"/>
      <c r="H1047" s="2105"/>
      <c r="I1047" s="2348"/>
      <c r="J1047" s="2348"/>
      <c r="K1047" s="2348"/>
      <c r="L1047" s="2347"/>
      <c r="M1047" s="2105"/>
    </row>
    <row r="1048" spans="1:13">
      <c r="A1048" s="2105"/>
      <c r="B1048" s="2105"/>
      <c r="C1048" s="2105"/>
      <c r="D1048" s="2347"/>
      <c r="E1048" s="2105"/>
      <c r="F1048" s="2105"/>
      <c r="G1048" s="2105"/>
      <c r="H1048" s="2105"/>
      <c r="I1048" s="2348"/>
      <c r="J1048" s="2348"/>
      <c r="K1048" s="2348"/>
      <c r="L1048" s="2347"/>
      <c r="M1048" s="2105"/>
    </row>
    <row r="1049" spans="1:13">
      <c r="A1049" s="2105"/>
      <c r="B1049" s="2105"/>
      <c r="C1049" s="2105"/>
      <c r="D1049" s="2347"/>
      <c r="E1049" s="2105"/>
      <c r="F1049" s="2105"/>
      <c r="G1049" s="2105"/>
      <c r="H1049" s="2105"/>
      <c r="I1049" s="2348"/>
      <c r="J1049" s="2348"/>
      <c r="K1049" s="2348"/>
      <c r="L1049" s="2347"/>
      <c r="M1049" s="2105"/>
    </row>
    <row r="1050" spans="1:13">
      <c r="A1050" s="2105"/>
      <c r="B1050" s="2105"/>
      <c r="C1050" s="2105"/>
      <c r="D1050" s="2347"/>
      <c r="E1050" s="2105"/>
      <c r="F1050" s="2105"/>
      <c r="G1050" s="2105"/>
      <c r="H1050" s="2105"/>
      <c r="I1050" s="2348"/>
      <c r="J1050" s="2348"/>
      <c r="K1050" s="2348"/>
      <c r="L1050" s="2347"/>
      <c r="M1050" s="2105"/>
    </row>
    <row r="1051" spans="1:13">
      <c r="A1051" s="2105"/>
      <c r="B1051" s="2105"/>
      <c r="C1051" s="2105"/>
      <c r="D1051" s="2347"/>
      <c r="E1051" s="2105"/>
      <c r="F1051" s="2105"/>
      <c r="G1051" s="2105"/>
      <c r="H1051" s="2105"/>
      <c r="I1051" s="2348"/>
      <c r="J1051" s="2348"/>
      <c r="K1051" s="2348"/>
      <c r="L1051" s="2347"/>
      <c r="M1051" s="2105"/>
    </row>
    <row r="1052" spans="1:13">
      <c r="A1052" s="2105"/>
      <c r="B1052" s="2105"/>
      <c r="C1052" s="2105"/>
      <c r="D1052" s="2347"/>
      <c r="E1052" s="2105"/>
      <c r="F1052" s="2105"/>
      <c r="G1052" s="2105"/>
      <c r="H1052" s="2105"/>
      <c r="I1052" s="2348"/>
      <c r="J1052" s="2348"/>
      <c r="K1052" s="2348"/>
      <c r="L1052" s="2347"/>
      <c r="M1052" s="2105"/>
    </row>
    <row r="1053" spans="1:13">
      <c r="A1053" s="2105"/>
      <c r="B1053" s="2105"/>
      <c r="C1053" s="2105"/>
      <c r="D1053" s="2347"/>
      <c r="E1053" s="2105"/>
      <c r="F1053" s="2105"/>
      <c r="G1053" s="2105"/>
      <c r="H1053" s="2105"/>
      <c r="I1053" s="2348"/>
      <c r="J1053" s="2348"/>
      <c r="K1053" s="2348"/>
      <c r="L1053" s="2347"/>
      <c r="M1053" s="2105"/>
    </row>
    <row r="1054" spans="1:13">
      <c r="A1054" s="2105"/>
      <c r="B1054" s="2105"/>
      <c r="C1054" s="2105"/>
      <c r="D1054" s="2347"/>
      <c r="E1054" s="2105"/>
      <c r="F1054" s="2105"/>
      <c r="G1054" s="2105"/>
      <c r="H1054" s="2105"/>
      <c r="I1054" s="2348"/>
      <c r="J1054" s="2348"/>
      <c r="K1054" s="2348"/>
      <c r="L1054" s="2347"/>
      <c r="M1054" s="2105"/>
    </row>
    <row r="1055" spans="1:13">
      <c r="A1055" s="2105"/>
      <c r="B1055" s="2105"/>
      <c r="C1055" s="2105"/>
      <c r="D1055" s="2347"/>
      <c r="E1055" s="2105"/>
      <c r="F1055" s="2105"/>
      <c r="G1055" s="2105"/>
      <c r="H1055" s="2105"/>
      <c r="I1055" s="2348"/>
      <c r="J1055" s="2348"/>
      <c r="K1055" s="2348"/>
      <c r="L1055" s="2347"/>
      <c r="M1055" s="2105"/>
    </row>
    <row r="1056" spans="1:13">
      <c r="A1056" s="2105"/>
      <c r="B1056" s="2105"/>
      <c r="C1056" s="2105"/>
      <c r="D1056" s="2347"/>
      <c r="E1056" s="2105"/>
      <c r="F1056" s="2105"/>
      <c r="G1056" s="2105"/>
      <c r="H1056" s="2105"/>
      <c r="I1056" s="2348"/>
      <c r="J1056" s="2348"/>
      <c r="K1056" s="2348"/>
      <c r="L1056" s="2347"/>
      <c r="M1056" s="2105"/>
    </row>
    <row r="1057" spans="1:13">
      <c r="A1057" s="2105"/>
      <c r="B1057" s="2105"/>
      <c r="C1057" s="2105"/>
      <c r="D1057" s="2347"/>
      <c r="E1057" s="2105"/>
      <c r="F1057" s="2105"/>
      <c r="G1057" s="2105"/>
      <c r="H1057" s="2105"/>
      <c r="I1057" s="2348"/>
      <c r="J1057" s="2348"/>
      <c r="K1057" s="2348"/>
      <c r="L1057" s="2347"/>
      <c r="M1057" s="2105"/>
    </row>
    <row r="1058" spans="1:13">
      <c r="A1058" s="2105"/>
      <c r="B1058" s="2105"/>
      <c r="C1058" s="2105"/>
      <c r="D1058" s="2347"/>
      <c r="E1058" s="2105"/>
      <c r="F1058" s="2105"/>
      <c r="G1058" s="2105"/>
      <c r="H1058" s="2105"/>
      <c r="I1058" s="2348"/>
      <c r="J1058" s="2348"/>
      <c r="K1058" s="2348"/>
      <c r="L1058" s="2347"/>
      <c r="M1058" s="2105"/>
    </row>
    <row r="1059" spans="1:13">
      <c r="A1059" s="2105"/>
      <c r="B1059" s="2105"/>
      <c r="C1059" s="2105"/>
      <c r="D1059" s="2347"/>
      <c r="E1059" s="2105"/>
      <c r="F1059" s="2105"/>
      <c r="G1059" s="2105"/>
      <c r="H1059" s="2105"/>
      <c r="I1059" s="2348"/>
      <c r="J1059" s="2348"/>
      <c r="K1059" s="2348"/>
      <c r="L1059" s="2347"/>
      <c r="M1059" s="2105"/>
    </row>
    <row r="1060" spans="1:13">
      <c r="A1060" s="2105"/>
      <c r="B1060" s="2105"/>
      <c r="C1060" s="2105"/>
      <c r="D1060" s="2347"/>
      <c r="E1060" s="2105"/>
      <c r="F1060" s="2105"/>
      <c r="G1060" s="2105"/>
      <c r="H1060" s="2105"/>
      <c r="I1060" s="2348"/>
      <c r="J1060" s="2348"/>
      <c r="K1060" s="2348"/>
      <c r="L1060" s="2347"/>
      <c r="M1060" s="2105"/>
    </row>
    <row r="1061" spans="1:13">
      <c r="A1061" s="2105"/>
      <c r="B1061" s="2105"/>
      <c r="C1061" s="2105"/>
      <c r="D1061" s="2347"/>
      <c r="E1061" s="2105"/>
      <c r="F1061" s="2105"/>
      <c r="G1061" s="2105"/>
      <c r="H1061" s="2105"/>
      <c r="I1061" s="2348"/>
      <c r="J1061" s="2348"/>
      <c r="K1061" s="2348"/>
      <c r="L1061" s="2347"/>
      <c r="M1061" s="2105"/>
    </row>
    <row r="1062" spans="1:13">
      <c r="A1062" s="2105"/>
      <c r="B1062" s="2105"/>
      <c r="C1062" s="2105"/>
      <c r="D1062" s="2347"/>
      <c r="E1062" s="2105"/>
      <c r="F1062" s="2105"/>
      <c r="G1062" s="2105"/>
      <c r="H1062" s="2105"/>
      <c r="I1062" s="2348"/>
      <c r="J1062" s="2348"/>
      <c r="K1062" s="2348"/>
      <c r="L1062" s="2347"/>
      <c r="M1062" s="2105"/>
    </row>
    <row r="1063" spans="1:13">
      <c r="A1063" s="2105"/>
      <c r="B1063" s="2105"/>
      <c r="C1063" s="2105"/>
      <c r="D1063" s="2347"/>
      <c r="E1063" s="2105"/>
      <c r="F1063" s="2105"/>
      <c r="G1063" s="2105"/>
      <c r="H1063" s="2105"/>
      <c r="I1063" s="2348"/>
      <c r="J1063" s="2348"/>
      <c r="K1063" s="2348"/>
      <c r="L1063" s="2347"/>
      <c r="M1063" s="2105"/>
    </row>
    <row r="1064" spans="1:13">
      <c r="A1064" s="2105"/>
      <c r="B1064" s="2105"/>
      <c r="C1064" s="2105"/>
      <c r="D1064" s="2347"/>
      <c r="E1064" s="2105"/>
      <c r="F1064" s="2105"/>
      <c r="G1064" s="2105"/>
      <c r="H1064" s="2105"/>
      <c r="I1064" s="2348"/>
      <c r="J1064" s="2348"/>
      <c r="K1064" s="2348"/>
      <c r="L1064" s="2347"/>
      <c r="M1064" s="2105"/>
    </row>
    <row r="1065" spans="1:13">
      <c r="A1065" s="2105"/>
      <c r="B1065" s="2105"/>
      <c r="C1065" s="2105"/>
      <c r="D1065" s="2347"/>
      <c r="E1065" s="2105"/>
      <c r="F1065" s="2105"/>
      <c r="G1065" s="2105"/>
      <c r="H1065" s="2105"/>
      <c r="I1065" s="2348"/>
      <c r="J1065" s="2348"/>
      <c r="K1065" s="2348"/>
      <c r="L1065" s="2347"/>
      <c r="M1065" s="2105"/>
    </row>
    <row r="1066" spans="1:13">
      <c r="A1066" s="2105"/>
      <c r="B1066" s="2105"/>
      <c r="C1066" s="2105"/>
      <c r="D1066" s="2347"/>
      <c r="E1066" s="2105"/>
      <c r="F1066" s="2105"/>
      <c r="G1066" s="2105"/>
      <c r="H1066" s="2105"/>
      <c r="I1066" s="2348"/>
      <c r="J1066" s="2348"/>
      <c r="K1066" s="2348"/>
      <c r="L1066" s="2347"/>
      <c r="M1066" s="2105"/>
    </row>
    <row r="1067" spans="1:13">
      <c r="A1067" s="2105"/>
      <c r="B1067" s="2105"/>
      <c r="C1067" s="2105"/>
      <c r="D1067" s="2347"/>
      <c r="E1067" s="2105"/>
      <c r="F1067" s="2105"/>
      <c r="G1067" s="2105"/>
      <c r="H1067" s="2105"/>
      <c r="I1067" s="2348"/>
      <c r="J1067" s="2348"/>
      <c r="K1067" s="2348"/>
      <c r="L1067" s="2347"/>
      <c r="M1067" s="2105"/>
    </row>
    <row r="1068" spans="1:13">
      <c r="A1068" s="2105"/>
      <c r="B1068" s="2105"/>
      <c r="C1068" s="2105"/>
      <c r="D1068" s="2347"/>
      <c r="E1068" s="2105"/>
      <c r="F1068" s="2105"/>
      <c r="G1068" s="2105"/>
      <c r="H1068" s="2105"/>
      <c r="I1068" s="2348"/>
      <c r="J1068" s="2348"/>
      <c r="K1068" s="2348"/>
      <c r="L1068" s="2347"/>
      <c r="M1068" s="2105"/>
    </row>
    <row r="1069" spans="1:13">
      <c r="A1069" s="2105"/>
      <c r="B1069" s="2105"/>
      <c r="C1069" s="2105"/>
      <c r="D1069" s="2347"/>
      <c r="E1069" s="2105"/>
      <c r="F1069" s="2105"/>
      <c r="G1069" s="2105"/>
      <c r="H1069" s="2105"/>
      <c r="I1069" s="2348"/>
      <c r="J1069" s="2348"/>
      <c r="K1069" s="2348"/>
      <c r="L1069" s="2347"/>
      <c r="M1069" s="2105"/>
    </row>
    <row r="1070" spans="1:13">
      <c r="A1070" s="2105"/>
      <c r="B1070" s="2105"/>
      <c r="C1070" s="2105"/>
      <c r="D1070" s="2347"/>
      <c r="E1070" s="2105"/>
      <c r="F1070" s="2105"/>
      <c r="G1070" s="2105"/>
      <c r="H1070" s="2105"/>
      <c r="I1070" s="2348"/>
      <c r="J1070" s="2348"/>
      <c r="K1070" s="2348"/>
      <c r="L1070" s="2347"/>
      <c r="M1070" s="2105"/>
    </row>
    <row r="1071" spans="1:13">
      <c r="A1071" s="2105"/>
      <c r="B1071" s="2105"/>
      <c r="C1071" s="2105"/>
      <c r="D1071" s="2347"/>
      <c r="E1071" s="2105"/>
      <c r="F1071" s="2105"/>
      <c r="G1071" s="2105"/>
      <c r="H1071" s="2105"/>
      <c r="I1071" s="2348"/>
      <c r="J1071" s="2348"/>
      <c r="K1071" s="2348"/>
      <c r="L1071" s="2347"/>
      <c r="M1071" s="2105"/>
    </row>
    <row r="1072" spans="1:13">
      <c r="A1072" s="2105"/>
      <c r="B1072" s="2105"/>
      <c r="C1072" s="2105"/>
      <c r="D1072" s="2347"/>
      <c r="E1072" s="2105"/>
      <c r="F1072" s="2105"/>
      <c r="G1072" s="2105"/>
      <c r="H1072" s="2105"/>
      <c r="I1072" s="2348"/>
      <c r="J1072" s="2348"/>
      <c r="K1072" s="2348"/>
      <c r="L1072" s="2347"/>
      <c r="M1072" s="2105"/>
    </row>
    <row r="1073" spans="1:13">
      <c r="A1073" s="2105"/>
      <c r="B1073" s="2105"/>
      <c r="C1073" s="2105"/>
      <c r="D1073" s="2347"/>
      <c r="E1073" s="2105"/>
      <c r="F1073" s="2105"/>
      <c r="G1073" s="2105"/>
      <c r="H1073" s="2105"/>
      <c r="I1073" s="2348"/>
      <c r="J1073" s="2348"/>
      <c r="K1073" s="2348"/>
      <c r="L1073" s="2347"/>
      <c r="M1073" s="2105"/>
    </row>
    <row r="1074" spans="1:13">
      <c r="A1074" s="2105"/>
      <c r="B1074" s="2105"/>
      <c r="C1074" s="2105"/>
      <c r="D1074" s="2347"/>
      <c r="E1074" s="2105"/>
      <c r="F1074" s="2105"/>
      <c r="G1074" s="2105"/>
      <c r="H1074" s="2105"/>
      <c r="I1074" s="2348"/>
      <c r="J1074" s="2348"/>
      <c r="K1074" s="2348"/>
      <c r="L1074" s="2347"/>
      <c r="M1074" s="2105"/>
    </row>
    <row r="1075" spans="1:13">
      <c r="A1075" s="2105"/>
      <c r="B1075" s="2105"/>
      <c r="C1075" s="2105"/>
      <c r="D1075" s="2347"/>
      <c r="E1075" s="2105"/>
      <c r="F1075" s="2105"/>
      <c r="G1075" s="2105"/>
      <c r="H1075" s="2105"/>
      <c r="I1075" s="2348"/>
      <c r="J1075" s="2348"/>
      <c r="K1075" s="2348"/>
      <c r="L1075" s="2347"/>
      <c r="M1075" s="2105"/>
    </row>
    <row r="1076" spans="1:13">
      <c r="A1076" s="2105"/>
      <c r="B1076" s="2105"/>
      <c r="C1076" s="2105"/>
      <c r="D1076" s="2347"/>
      <c r="E1076" s="2105"/>
      <c r="F1076" s="2105"/>
      <c r="G1076" s="2105"/>
      <c r="H1076" s="2105"/>
      <c r="I1076" s="2348"/>
      <c r="J1076" s="2348"/>
      <c r="K1076" s="2348"/>
      <c r="L1076" s="2347"/>
      <c r="M1076" s="2105"/>
    </row>
    <row r="1077" spans="1:13">
      <c r="A1077" s="2105"/>
      <c r="B1077" s="2105"/>
      <c r="C1077" s="2105"/>
      <c r="D1077" s="2347"/>
      <c r="E1077" s="2105"/>
      <c r="F1077" s="2105"/>
      <c r="G1077" s="2105"/>
      <c r="H1077" s="2105"/>
      <c r="I1077" s="2348"/>
      <c r="J1077" s="2348"/>
      <c r="K1077" s="2348"/>
      <c r="L1077" s="2347"/>
      <c r="M1077" s="2105"/>
    </row>
    <row r="1078" spans="1:13">
      <c r="A1078" s="2105"/>
      <c r="B1078" s="2105"/>
      <c r="C1078" s="2105"/>
      <c r="D1078" s="2347"/>
      <c r="E1078" s="2105"/>
      <c r="F1078" s="2105"/>
      <c r="G1078" s="2105"/>
      <c r="H1078" s="2105"/>
      <c r="I1078" s="2348"/>
      <c r="J1078" s="2348"/>
      <c r="K1078" s="2348"/>
      <c r="L1078" s="2347"/>
      <c r="M1078" s="2105"/>
    </row>
    <row r="1079" spans="1:13">
      <c r="A1079" s="2105"/>
      <c r="B1079" s="2105"/>
      <c r="C1079" s="2105"/>
      <c r="D1079" s="2347"/>
      <c r="E1079" s="2105"/>
      <c r="F1079" s="2105"/>
      <c r="G1079" s="2105"/>
      <c r="H1079" s="2105"/>
      <c r="I1079" s="2348"/>
      <c r="J1079" s="2348"/>
      <c r="K1079" s="2348"/>
      <c r="L1079" s="2347"/>
      <c r="M1079" s="2105"/>
    </row>
    <row r="1080" spans="1:13">
      <c r="A1080" s="2105"/>
      <c r="B1080" s="2105"/>
      <c r="C1080" s="2105"/>
      <c r="D1080" s="2347"/>
      <c r="E1080" s="2105"/>
      <c r="F1080" s="2105"/>
      <c r="G1080" s="2105"/>
      <c r="H1080" s="2105"/>
      <c r="I1080" s="2348"/>
      <c r="J1080" s="2348"/>
      <c r="K1080" s="2348"/>
      <c r="L1080" s="2347"/>
      <c r="M1080" s="2105"/>
    </row>
    <row r="1081" spans="1:13">
      <c r="A1081" s="2105"/>
      <c r="B1081" s="2105"/>
      <c r="C1081" s="2105"/>
      <c r="D1081" s="2347"/>
      <c r="E1081" s="2105"/>
      <c r="F1081" s="2105"/>
      <c r="G1081" s="2105"/>
      <c r="H1081" s="2105"/>
      <c r="I1081" s="2348"/>
      <c r="J1081" s="2348"/>
      <c r="K1081" s="2348"/>
      <c r="L1081" s="2347"/>
      <c r="M1081" s="2105"/>
    </row>
    <row r="1082" spans="1:13">
      <c r="A1082" s="2105"/>
      <c r="B1082" s="2105"/>
      <c r="C1082" s="2105"/>
      <c r="D1082" s="2347"/>
      <c r="E1082" s="2105"/>
      <c r="F1082" s="2105"/>
      <c r="G1082" s="2105"/>
      <c r="H1082" s="2105"/>
      <c r="I1082" s="2348"/>
      <c r="J1082" s="2348"/>
      <c r="K1082" s="2348"/>
      <c r="L1082" s="2347"/>
      <c r="M1082" s="2105"/>
    </row>
    <row r="1083" spans="1:13">
      <c r="A1083" s="2105"/>
      <c r="B1083" s="2105"/>
      <c r="C1083" s="2105"/>
      <c r="D1083" s="2347"/>
      <c r="E1083" s="2105"/>
      <c r="F1083" s="2105"/>
      <c r="G1083" s="2105"/>
      <c r="H1083" s="2105"/>
      <c r="I1083" s="2348"/>
      <c r="J1083" s="2348"/>
      <c r="K1083" s="2348"/>
      <c r="L1083" s="2347"/>
      <c r="M1083" s="2105"/>
    </row>
    <row r="1084" spans="1:13">
      <c r="A1084" s="2105"/>
      <c r="B1084" s="2105"/>
      <c r="C1084" s="2105"/>
      <c r="D1084" s="2347"/>
      <c r="E1084" s="2105"/>
      <c r="F1084" s="2105"/>
      <c r="G1084" s="2105"/>
      <c r="H1084" s="2105"/>
      <c r="I1084" s="2348"/>
      <c r="J1084" s="2348"/>
      <c r="K1084" s="2348"/>
      <c r="L1084" s="2347"/>
      <c r="M1084" s="2105"/>
    </row>
    <row r="1085" spans="1:13">
      <c r="A1085" s="2105"/>
      <c r="B1085" s="2105"/>
      <c r="C1085" s="2105"/>
      <c r="D1085" s="2347"/>
      <c r="E1085" s="2105"/>
      <c r="F1085" s="2105"/>
      <c r="G1085" s="2105"/>
      <c r="H1085" s="2105"/>
      <c r="I1085" s="2348"/>
      <c r="J1085" s="2348"/>
      <c r="K1085" s="2348"/>
      <c r="L1085" s="2347"/>
      <c r="M1085" s="2105"/>
    </row>
    <row r="1086" spans="1:13">
      <c r="A1086" s="2105"/>
      <c r="B1086" s="2105"/>
      <c r="C1086" s="2105"/>
      <c r="D1086" s="2347"/>
      <c r="E1086" s="2105"/>
      <c r="F1086" s="2105"/>
      <c r="G1086" s="2105"/>
      <c r="H1086" s="2105"/>
      <c r="I1086" s="2348"/>
      <c r="J1086" s="2348"/>
      <c r="K1086" s="2348"/>
      <c r="L1086" s="2347"/>
      <c r="M1086" s="2105"/>
    </row>
    <row r="1087" spans="1:13">
      <c r="A1087" s="2105"/>
      <c r="B1087" s="2105"/>
      <c r="C1087" s="2105"/>
      <c r="D1087" s="2347"/>
      <c r="E1087" s="2105"/>
      <c r="F1087" s="2105"/>
      <c r="G1087" s="2105"/>
      <c r="H1087" s="2105"/>
      <c r="I1087" s="2348"/>
      <c r="J1087" s="2348"/>
      <c r="K1087" s="2348"/>
      <c r="L1087" s="2347"/>
      <c r="M1087" s="2105"/>
    </row>
    <row r="1088" spans="1:13">
      <c r="A1088" s="2105"/>
      <c r="B1088" s="2105"/>
      <c r="C1088" s="2105"/>
      <c r="D1088" s="2347"/>
      <c r="E1088" s="2105"/>
      <c r="F1088" s="2105"/>
      <c r="G1088" s="2105"/>
      <c r="H1088" s="2105"/>
      <c r="I1088" s="2348"/>
      <c r="J1088" s="2348"/>
      <c r="K1088" s="2348"/>
      <c r="L1088" s="2347"/>
      <c r="M1088" s="2105"/>
    </row>
    <row r="1089" spans="1:13">
      <c r="A1089" s="2105"/>
      <c r="B1089" s="2105"/>
      <c r="C1089" s="2105"/>
      <c r="D1089" s="2347"/>
      <c r="E1089" s="2105"/>
      <c r="F1089" s="2105"/>
      <c r="G1089" s="2105"/>
      <c r="H1089" s="2105"/>
      <c r="I1089" s="2348"/>
      <c r="J1089" s="2348"/>
      <c r="K1089" s="2348"/>
      <c r="L1089" s="2347"/>
      <c r="M1089" s="2105"/>
    </row>
    <row r="1090" spans="1:13">
      <c r="A1090" s="2105"/>
      <c r="B1090" s="2105"/>
      <c r="C1090" s="2105"/>
      <c r="D1090" s="2347"/>
      <c r="E1090" s="2105"/>
      <c r="F1090" s="2105"/>
      <c r="G1090" s="2105"/>
      <c r="H1090" s="2105"/>
      <c r="I1090" s="2348"/>
      <c r="J1090" s="2348"/>
      <c r="K1090" s="2348"/>
      <c r="L1090" s="2347"/>
      <c r="M1090" s="2105"/>
    </row>
    <row r="1091" spans="1:13">
      <c r="A1091" s="2105"/>
      <c r="B1091" s="2105"/>
      <c r="C1091" s="2105"/>
      <c r="D1091" s="2347"/>
      <c r="E1091" s="2105"/>
      <c r="F1091" s="2105"/>
      <c r="G1091" s="2105"/>
      <c r="H1091" s="2105"/>
      <c r="I1091" s="2348"/>
      <c r="J1091" s="2348"/>
      <c r="K1091" s="2348"/>
      <c r="L1091" s="2347"/>
      <c r="M1091" s="2105"/>
    </row>
    <row r="1092" spans="1:13">
      <c r="A1092" s="2105"/>
      <c r="B1092" s="2105"/>
      <c r="C1092" s="2105"/>
      <c r="D1092" s="2347"/>
      <c r="E1092" s="2105"/>
      <c r="F1092" s="2105"/>
      <c r="G1092" s="2105"/>
      <c r="H1092" s="2105"/>
      <c r="I1092" s="2348"/>
      <c r="J1092" s="2348"/>
      <c r="K1092" s="2348"/>
      <c r="L1092" s="2347"/>
      <c r="M1092" s="2105"/>
    </row>
    <row r="1093" spans="1:13">
      <c r="A1093" s="2105"/>
      <c r="B1093" s="2105"/>
      <c r="C1093" s="2105"/>
      <c r="D1093" s="2347"/>
      <c r="E1093" s="2105"/>
      <c r="F1093" s="2105"/>
      <c r="G1093" s="2105"/>
      <c r="H1093" s="2105"/>
      <c r="I1093" s="2348"/>
      <c r="J1093" s="2348"/>
      <c r="K1093" s="2348"/>
      <c r="L1093" s="2347"/>
      <c r="M1093" s="2105"/>
    </row>
    <row r="1094" spans="1:13">
      <c r="A1094" s="2105"/>
      <c r="B1094" s="2105"/>
      <c r="C1094" s="2105"/>
      <c r="D1094" s="2347"/>
      <c r="E1094" s="2105"/>
      <c r="F1094" s="2105"/>
      <c r="G1094" s="2105"/>
      <c r="H1094" s="2105"/>
      <c r="I1094" s="2348"/>
      <c r="J1094" s="2348"/>
      <c r="K1094" s="2348"/>
      <c r="L1094" s="2347"/>
      <c r="M1094" s="2105"/>
    </row>
    <row r="1095" spans="1:13">
      <c r="A1095" s="2105"/>
      <c r="B1095" s="2105"/>
      <c r="C1095" s="2105"/>
      <c r="D1095" s="2347"/>
      <c r="E1095" s="2105"/>
      <c r="F1095" s="2105"/>
      <c r="G1095" s="2105"/>
      <c r="H1095" s="2105"/>
      <c r="I1095" s="2348"/>
      <c r="J1095" s="2348"/>
      <c r="K1095" s="2348"/>
      <c r="L1095" s="2347"/>
      <c r="M1095" s="2105"/>
    </row>
    <row r="1096" spans="1:13">
      <c r="A1096" s="2105"/>
      <c r="B1096" s="2105"/>
      <c r="C1096" s="2105"/>
      <c r="D1096" s="2347"/>
      <c r="E1096" s="2105"/>
      <c r="F1096" s="2105"/>
      <c r="G1096" s="2105"/>
      <c r="H1096" s="2105"/>
      <c r="I1096" s="2348"/>
      <c r="J1096" s="2348"/>
      <c r="K1096" s="2348"/>
      <c r="L1096" s="2347"/>
      <c r="M1096" s="2105"/>
    </row>
    <row r="1097" spans="1:13">
      <c r="A1097" s="2105"/>
      <c r="B1097" s="2105"/>
      <c r="C1097" s="2105"/>
      <c r="D1097" s="2347"/>
      <c r="E1097" s="2105"/>
      <c r="F1097" s="2105"/>
      <c r="G1097" s="2105"/>
      <c r="H1097" s="2105"/>
      <c r="I1097" s="2348"/>
      <c r="J1097" s="2348"/>
      <c r="K1097" s="2348"/>
      <c r="L1097" s="2347"/>
      <c r="M1097" s="2105"/>
    </row>
    <row r="1098" spans="1:13">
      <c r="A1098" s="2105"/>
      <c r="B1098" s="2105"/>
      <c r="C1098" s="2105"/>
      <c r="D1098" s="2347"/>
      <c r="E1098" s="2105"/>
      <c r="F1098" s="2105"/>
      <c r="G1098" s="2105"/>
      <c r="H1098" s="2105"/>
      <c r="I1098" s="2348"/>
      <c r="J1098" s="2348"/>
      <c r="K1098" s="2348"/>
      <c r="L1098" s="2347"/>
      <c r="M1098" s="2105"/>
    </row>
    <row r="1099" spans="1:13">
      <c r="A1099" s="2105"/>
      <c r="B1099" s="2105"/>
      <c r="C1099" s="2105"/>
      <c r="D1099" s="2347"/>
      <c r="E1099" s="2105"/>
      <c r="F1099" s="2105"/>
      <c r="G1099" s="2105"/>
      <c r="H1099" s="2105"/>
      <c r="I1099" s="2348"/>
      <c r="J1099" s="2348"/>
      <c r="K1099" s="2348"/>
      <c r="L1099" s="2347"/>
      <c r="M1099" s="2105"/>
    </row>
    <row r="1100" spans="1:13">
      <c r="A1100" s="2105"/>
      <c r="B1100" s="2105"/>
      <c r="C1100" s="2105"/>
      <c r="D1100" s="2347"/>
      <c r="E1100" s="2105"/>
      <c r="F1100" s="2105"/>
      <c r="G1100" s="2105"/>
      <c r="H1100" s="2105"/>
      <c r="I1100" s="2348"/>
      <c r="J1100" s="2348"/>
      <c r="K1100" s="2348"/>
      <c r="L1100" s="2347"/>
      <c r="M1100" s="2105"/>
    </row>
    <row r="1101" spans="1:13">
      <c r="A1101" s="2105"/>
      <c r="B1101" s="2105"/>
      <c r="C1101" s="2105"/>
      <c r="D1101" s="2347"/>
      <c r="E1101" s="2105"/>
      <c r="F1101" s="2105"/>
      <c r="G1101" s="2105"/>
      <c r="H1101" s="2105"/>
      <c r="I1101" s="2348"/>
      <c r="J1101" s="2348"/>
      <c r="K1101" s="2348"/>
      <c r="L1101" s="2347"/>
      <c r="M1101" s="2105"/>
    </row>
    <row r="1102" spans="1:13">
      <c r="A1102" s="2105"/>
      <c r="B1102" s="2105"/>
      <c r="C1102" s="2105"/>
      <c r="D1102" s="2347"/>
      <c r="E1102" s="2105"/>
      <c r="F1102" s="2105"/>
      <c r="G1102" s="2105"/>
      <c r="H1102" s="2105"/>
      <c r="I1102" s="2348"/>
      <c r="J1102" s="2348"/>
      <c r="K1102" s="2348"/>
      <c r="L1102" s="2347"/>
      <c r="M1102" s="2105"/>
    </row>
    <row r="1103" spans="1:13">
      <c r="A1103" s="2105"/>
      <c r="B1103" s="2105"/>
      <c r="C1103" s="2105"/>
      <c r="D1103" s="2347"/>
      <c r="E1103" s="2105"/>
      <c r="F1103" s="2105"/>
      <c r="G1103" s="2105"/>
      <c r="H1103" s="2105"/>
      <c r="I1103" s="2348"/>
      <c r="J1103" s="2348"/>
      <c r="K1103" s="2348"/>
      <c r="L1103" s="2347"/>
      <c r="M1103" s="2105"/>
    </row>
    <row r="1104" spans="1:13">
      <c r="A1104" s="2105"/>
      <c r="B1104" s="2105"/>
      <c r="C1104" s="2105"/>
      <c r="D1104" s="2347"/>
      <c r="E1104" s="2105"/>
      <c r="F1104" s="2105"/>
      <c r="G1104" s="2105"/>
      <c r="H1104" s="2105"/>
      <c r="I1104" s="2348"/>
      <c r="J1104" s="2348"/>
      <c r="K1104" s="2348"/>
      <c r="L1104" s="2347"/>
      <c r="M1104" s="2105"/>
    </row>
    <row r="1105" spans="1:13">
      <c r="A1105" s="2105"/>
      <c r="B1105" s="2105"/>
      <c r="C1105" s="2105"/>
      <c r="D1105" s="2347"/>
      <c r="E1105" s="2105"/>
      <c r="F1105" s="2105"/>
      <c r="G1105" s="2105"/>
      <c r="H1105" s="2105"/>
      <c r="I1105" s="2348"/>
      <c r="J1105" s="2348"/>
      <c r="K1105" s="2348"/>
      <c r="L1105" s="2347"/>
      <c r="M1105" s="2105"/>
    </row>
    <row r="1106" spans="1:13">
      <c r="A1106" s="2105"/>
      <c r="B1106" s="2105"/>
      <c r="C1106" s="2105"/>
      <c r="D1106" s="2347"/>
      <c r="E1106" s="2105"/>
      <c r="F1106" s="2105"/>
      <c r="G1106" s="2105"/>
      <c r="H1106" s="2105"/>
      <c r="I1106" s="2348"/>
      <c r="J1106" s="2348"/>
      <c r="K1106" s="2348"/>
      <c r="L1106" s="2347"/>
      <c r="M1106" s="2105"/>
    </row>
    <row r="1107" spans="1:13">
      <c r="A1107" s="2105"/>
      <c r="B1107" s="2105"/>
      <c r="C1107" s="2105"/>
      <c r="D1107" s="2347"/>
      <c r="E1107" s="2105"/>
      <c r="F1107" s="2105"/>
      <c r="G1107" s="2105"/>
      <c r="H1107" s="2105"/>
      <c r="I1107" s="2348"/>
      <c r="J1107" s="2348"/>
      <c r="K1107" s="2348"/>
      <c r="L1107" s="2347"/>
      <c r="M1107" s="2105"/>
    </row>
    <row r="1108" spans="1:13">
      <c r="A1108" s="2105"/>
      <c r="B1108" s="2105"/>
      <c r="C1108" s="2105"/>
      <c r="D1108" s="2347"/>
      <c r="E1108" s="2105"/>
      <c r="F1108" s="2105"/>
      <c r="G1108" s="2105"/>
      <c r="H1108" s="2105"/>
      <c r="I1108" s="2348"/>
      <c r="J1108" s="2348"/>
      <c r="K1108" s="2348"/>
      <c r="L1108" s="2347"/>
      <c r="M1108" s="2105"/>
    </row>
    <row r="1109" spans="1:13">
      <c r="A1109" s="2105"/>
      <c r="B1109" s="2105"/>
      <c r="C1109" s="2105"/>
      <c r="D1109" s="2347"/>
      <c r="E1109" s="2105"/>
      <c r="F1109" s="2105"/>
      <c r="G1109" s="2105"/>
      <c r="H1109" s="2105"/>
      <c r="I1109" s="2348"/>
      <c r="J1109" s="2348"/>
      <c r="K1109" s="2348"/>
      <c r="L1109" s="2347"/>
      <c r="M1109" s="2105"/>
    </row>
    <row r="1110" spans="1:13">
      <c r="A1110" s="2105"/>
      <c r="B1110" s="2105"/>
      <c r="C1110" s="2105"/>
      <c r="D1110" s="2347"/>
      <c r="E1110" s="2105"/>
      <c r="F1110" s="2105"/>
      <c r="G1110" s="2105"/>
      <c r="H1110" s="2105"/>
      <c r="I1110" s="2348"/>
      <c r="J1110" s="2348"/>
      <c r="K1110" s="2348"/>
      <c r="L1110" s="2347"/>
      <c r="M1110" s="2105"/>
    </row>
    <row r="1111" spans="1:13">
      <c r="A1111" s="2105"/>
      <c r="B1111" s="2105"/>
      <c r="C1111" s="2105"/>
      <c r="D1111" s="2347"/>
      <c r="E1111" s="2105"/>
      <c r="F1111" s="2105"/>
      <c r="G1111" s="2105"/>
      <c r="H1111" s="2105"/>
      <c r="I1111" s="2348"/>
      <c r="J1111" s="2348"/>
      <c r="K1111" s="2348"/>
      <c r="L1111" s="2347"/>
      <c r="M1111" s="2105"/>
    </row>
    <row r="1112" spans="1:13">
      <c r="A1112" s="2105"/>
      <c r="B1112" s="2105"/>
      <c r="C1112" s="2105"/>
      <c r="D1112" s="2347"/>
      <c r="E1112" s="2105"/>
      <c r="F1112" s="2105"/>
      <c r="G1112" s="2105"/>
      <c r="H1112" s="2105"/>
      <c r="I1112" s="2348"/>
      <c r="J1112" s="2348"/>
      <c r="K1112" s="2348"/>
      <c r="L1112" s="2347"/>
      <c r="M1112" s="2105"/>
    </row>
    <row r="1113" spans="1:13">
      <c r="A1113" s="2105"/>
      <c r="B1113" s="2105"/>
      <c r="C1113" s="2105"/>
      <c r="D1113" s="2347"/>
      <c r="E1113" s="2105"/>
      <c r="F1113" s="2105"/>
      <c r="G1113" s="2105"/>
      <c r="H1113" s="2105"/>
      <c r="I1113" s="2348"/>
      <c r="J1113" s="2348"/>
      <c r="K1113" s="2348"/>
      <c r="L1113" s="2347"/>
      <c r="M1113" s="2105"/>
    </row>
    <row r="1114" spans="1:13">
      <c r="A1114" s="2105"/>
      <c r="B1114" s="2105"/>
      <c r="C1114" s="2105"/>
      <c r="D1114" s="2347"/>
      <c r="E1114" s="2105"/>
      <c r="F1114" s="2105"/>
      <c r="G1114" s="2105"/>
      <c r="H1114" s="2105"/>
      <c r="I1114" s="2348"/>
      <c r="J1114" s="2348"/>
      <c r="K1114" s="2348"/>
      <c r="L1114" s="2347"/>
      <c r="M1114" s="2105"/>
    </row>
    <row r="1115" spans="1:13">
      <c r="A1115" s="2105"/>
      <c r="B1115" s="2105"/>
      <c r="C1115" s="2105"/>
      <c r="D1115" s="2347"/>
      <c r="E1115" s="2105"/>
      <c r="F1115" s="2105"/>
      <c r="G1115" s="2105"/>
      <c r="H1115" s="2105"/>
      <c r="I1115" s="2348"/>
      <c r="J1115" s="2348"/>
      <c r="K1115" s="2348"/>
      <c r="L1115" s="2347"/>
      <c r="M1115" s="2105"/>
    </row>
    <row r="1116" spans="1:13">
      <c r="A1116" s="2105"/>
      <c r="B1116" s="2105"/>
      <c r="C1116" s="2105"/>
      <c r="D1116" s="2347"/>
      <c r="E1116" s="2105"/>
      <c r="F1116" s="2105"/>
      <c r="G1116" s="2105"/>
      <c r="H1116" s="2105"/>
      <c r="I1116" s="2348"/>
      <c r="J1116" s="2348"/>
      <c r="K1116" s="2348"/>
      <c r="L1116" s="2347"/>
      <c r="M1116" s="2105"/>
    </row>
    <row r="1117" spans="1:13">
      <c r="A1117" s="2105"/>
      <c r="B1117" s="2105"/>
      <c r="C1117" s="2105"/>
      <c r="D1117" s="2347"/>
      <c r="E1117" s="2105"/>
      <c r="F1117" s="2105"/>
      <c r="G1117" s="2105"/>
      <c r="H1117" s="2105"/>
      <c r="I1117" s="2348"/>
      <c r="J1117" s="2348"/>
      <c r="K1117" s="2348"/>
      <c r="L1117" s="2347"/>
      <c r="M1117" s="2105"/>
    </row>
    <row r="1118" spans="1:13">
      <c r="A1118" s="2105"/>
      <c r="B1118" s="2105"/>
      <c r="C1118" s="2105"/>
      <c r="D1118" s="2347"/>
      <c r="E1118" s="2105"/>
      <c r="F1118" s="2105"/>
      <c r="G1118" s="2105"/>
      <c r="H1118" s="2105"/>
      <c r="I1118" s="2348"/>
      <c r="J1118" s="2348"/>
      <c r="K1118" s="2348"/>
      <c r="L1118" s="2347"/>
      <c r="M1118" s="2105"/>
    </row>
    <row r="1119" spans="1:13">
      <c r="A1119" s="2105"/>
      <c r="B1119" s="2105"/>
      <c r="C1119" s="2105"/>
      <c r="D1119" s="2347"/>
      <c r="E1119" s="2105"/>
      <c r="F1119" s="2105"/>
      <c r="G1119" s="2105"/>
      <c r="H1119" s="2105"/>
      <c r="I1119" s="2348"/>
      <c r="J1119" s="2348"/>
      <c r="K1119" s="2348"/>
      <c r="L1119" s="2347"/>
      <c r="M1119" s="2105"/>
    </row>
    <row r="1120" spans="1:13">
      <c r="A1120" s="2105"/>
      <c r="B1120" s="2105"/>
      <c r="C1120" s="2105"/>
      <c r="D1120" s="2347"/>
      <c r="E1120" s="2105"/>
      <c r="F1120" s="2105"/>
      <c r="G1120" s="2105"/>
      <c r="H1120" s="2105"/>
      <c r="I1120" s="2348"/>
      <c r="J1120" s="2348"/>
      <c r="K1120" s="2348"/>
      <c r="L1120" s="2347"/>
      <c r="M1120" s="2105"/>
    </row>
    <row r="1121" spans="1:13">
      <c r="A1121" s="2105"/>
      <c r="B1121" s="2105"/>
      <c r="C1121" s="2105"/>
      <c r="D1121" s="2347"/>
      <c r="E1121" s="2105"/>
      <c r="F1121" s="2105"/>
      <c r="G1121" s="2105"/>
      <c r="H1121" s="2105"/>
      <c r="I1121" s="2348"/>
      <c r="J1121" s="2348"/>
      <c r="K1121" s="2348"/>
      <c r="L1121" s="2347"/>
      <c r="M1121" s="2105"/>
    </row>
    <row r="1122" spans="1:13">
      <c r="A1122" s="2105"/>
      <c r="B1122" s="2105"/>
      <c r="C1122" s="2105"/>
      <c r="D1122" s="2347"/>
      <c r="E1122" s="2105"/>
      <c r="F1122" s="2105"/>
      <c r="G1122" s="2105"/>
      <c r="H1122" s="2105"/>
      <c r="I1122" s="2348"/>
      <c r="J1122" s="2348"/>
      <c r="K1122" s="2348"/>
      <c r="L1122" s="2347"/>
      <c r="M1122" s="2105"/>
    </row>
    <row r="1123" spans="1:13">
      <c r="A1123" s="2105"/>
      <c r="B1123" s="2105"/>
      <c r="C1123" s="2105"/>
      <c r="D1123" s="2347"/>
      <c r="E1123" s="2105"/>
      <c r="F1123" s="2105"/>
      <c r="G1123" s="2105"/>
      <c r="H1123" s="2105"/>
      <c r="I1123" s="2348"/>
      <c r="J1123" s="2348"/>
      <c r="K1123" s="2348"/>
      <c r="L1123" s="2347"/>
      <c r="M1123" s="2105"/>
    </row>
    <row r="1124" spans="1:13">
      <c r="A1124" s="2105"/>
      <c r="B1124" s="2105"/>
      <c r="C1124" s="2105"/>
      <c r="D1124" s="2347"/>
      <c r="E1124" s="2105"/>
      <c r="F1124" s="2105"/>
      <c r="G1124" s="2105"/>
      <c r="H1124" s="2105"/>
      <c r="I1124" s="2348"/>
      <c r="J1124" s="2348"/>
      <c r="K1124" s="2348"/>
      <c r="L1124" s="2347"/>
      <c r="M1124" s="2105"/>
    </row>
    <row r="1125" spans="1:13">
      <c r="A1125" s="2105"/>
      <c r="B1125" s="2105"/>
      <c r="C1125" s="2105"/>
      <c r="D1125" s="2347"/>
      <c r="E1125" s="2105"/>
      <c r="F1125" s="2105"/>
      <c r="G1125" s="2105"/>
      <c r="H1125" s="2105"/>
      <c r="I1125" s="2348"/>
      <c r="J1125" s="2348"/>
      <c r="K1125" s="2348"/>
      <c r="L1125" s="2347"/>
      <c r="M1125" s="2105"/>
    </row>
    <row r="1126" spans="1:13">
      <c r="A1126" s="2105"/>
      <c r="B1126" s="2105"/>
      <c r="C1126" s="2105"/>
      <c r="D1126" s="2347"/>
      <c r="E1126" s="2105"/>
      <c r="F1126" s="2105"/>
      <c r="G1126" s="2105"/>
      <c r="H1126" s="2105"/>
      <c r="I1126" s="2348"/>
      <c r="J1126" s="2348"/>
      <c r="K1126" s="2348"/>
      <c r="L1126" s="2347"/>
      <c r="M1126" s="2105"/>
    </row>
    <row r="1127" spans="1:13">
      <c r="A1127" s="2105"/>
      <c r="B1127" s="2105"/>
      <c r="C1127" s="2105"/>
      <c r="D1127" s="2347"/>
      <c r="E1127" s="2105"/>
      <c r="F1127" s="2105"/>
      <c r="G1127" s="2105"/>
      <c r="H1127" s="2105"/>
      <c r="I1127" s="2348"/>
      <c r="J1127" s="2348"/>
      <c r="K1127" s="2348"/>
      <c r="L1127" s="2347"/>
      <c r="M1127" s="2105"/>
    </row>
    <row r="1128" spans="1:13">
      <c r="A1128" s="2105"/>
      <c r="B1128" s="2105"/>
      <c r="C1128" s="2105"/>
      <c r="D1128" s="2347"/>
      <c r="E1128" s="2105"/>
      <c r="F1128" s="2105"/>
      <c r="G1128" s="2105"/>
      <c r="H1128" s="2105"/>
      <c r="I1128" s="2348"/>
      <c r="J1128" s="2348"/>
      <c r="K1128" s="2348"/>
      <c r="L1128" s="2347"/>
      <c r="M1128" s="2105"/>
    </row>
    <row r="1129" spans="1:13">
      <c r="A1129" s="2105"/>
      <c r="B1129" s="2105"/>
      <c r="C1129" s="2105"/>
      <c r="D1129" s="2347"/>
      <c r="E1129" s="2105"/>
      <c r="F1129" s="2105"/>
      <c r="G1129" s="2105"/>
      <c r="H1129" s="2105"/>
      <c r="I1129" s="2348"/>
      <c r="J1129" s="2348"/>
      <c r="K1129" s="2348"/>
      <c r="L1129" s="2347"/>
      <c r="M1129" s="2105"/>
    </row>
    <row r="1130" spans="1:13">
      <c r="A1130" s="2105"/>
      <c r="B1130" s="2105"/>
      <c r="C1130" s="2105"/>
      <c r="D1130" s="2347"/>
      <c r="E1130" s="2105"/>
      <c r="F1130" s="2105"/>
      <c r="G1130" s="2105"/>
      <c r="H1130" s="2105"/>
      <c r="I1130" s="2348"/>
      <c r="J1130" s="2348"/>
      <c r="K1130" s="2348"/>
      <c r="L1130" s="2347"/>
      <c r="M1130" s="2105"/>
    </row>
    <row r="1131" spans="1:13">
      <c r="A1131" s="2105"/>
      <c r="B1131" s="2105"/>
      <c r="C1131" s="2105"/>
      <c r="D1131" s="2347"/>
      <c r="E1131" s="2105"/>
      <c r="F1131" s="2105"/>
      <c r="G1131" s="2105"/>
      <c r="H1131" s="2105"/>
      <c r="I1131" s="2348"/>
      <c r="J1131" s="2348"/>
      <c r="K1131" s="2348"/>
      <c r="L1131" s="2347"/>
      <c r="M1131" s="2105"/>
    </row>
    <row r="1132" spans="1:13">
      <c r="A1132" s="2105"/>
      <c r="B1132" s="2105"/>
      <c r="C1132" s="2105"/>
      <c r="D1132" s="2347"/>
      <c r="E1132" s="2105"/>
      <c r="F1132" s="2105"/>
      <c r="G1132" s="2105"/>
      <c r="H1132" s="2105"/>
      <c r="I1132" s="2348"/>
      <c r="J1132" s="2348"/>
      <c r="K1132" s="2348"/>
      <c r="L1132" s="2347"/>
      <c r="M1132" s="2105"/>
    </row>
    <row r="1133" spans="1:13">
      <c r="A1133" s="2105"/>
      <c r="B1133" s="2105"/>
      <c r="C1133" s="2105"/>
      <c r="D1133" s="2347"/>
      <c r="E1133" s="2105"/>
      <c r="F1133" s="2105"/>
      <c r="G1133" s="2105"/>
      <c r="H1133" s="2105"/>
      <c r="I1133" s="2348"/>
      <c r="J1133" s="2348"/>
      <c r="K1133" s="2348"/>
      <c r="L1133" s="2347"/>
      <c r="M1133" s="2105"/>
    </row>
    <row r="1134" spans="1:13">
      <c r="A1134" s="2105"/>
      <c r="B1134" s="2105"/>
      <c r="C1134" s="2105"/>
      <c r="D1134" s="2347"/>
      <c r="E1134" s="2105"/>
      <c r="F1134" s="2105"/>
      <c r="G1134" s="2105"/>
      <c r="H1134" s="2105"/>
      <c r="I1134" s="2348"/>
      <c r="J1134" s="2348"/>
      <c r="K1134" s="2348"/>
      <c r="L1134" s="2347"/>
      <c r="M1134" s="2105"/>
    </row>
    <row r="1135" spans="1:13">
      <c r="A1135" s="2105"/>
      <c r="B1135" s="2105"/>
      <c r="C1135" s="2105"/>
      <c r="D1135" s="2347"/>
      <c r="E1135" s="2105"/>
      <c r="F1135" s="2105"/>
      <c r="G1135" s="2105"/>
      <c r="H1135" s="2105"/>
      <c r="I1135" s="2348"/>
      <c r="J1135" s="2348"/>
      <c r="K1135" s="2348"/>
      <c r="L1135" s="2347"/>
      <c r="M1135" s="2105"/>
    </row>
    <row r="1136" spans="1:13">
      <c r="A1136" s="2105"/>
      <c r="B1136" s="2105"/>
      <c r="C1136" s="2105"/>
      <c r="D1136" s="2347"/>
      <c r="E1136" s="2105"/>
      <c r="F1136" s="2105"/>
      <c r="G1136" s="2105"/>
      <c r="H1136" s="2105"/>
      <c r="I1136" s="2348"/>
      <c r="J1136" s="2348"/>
      <c r="K1136" s="2348"/>
      <c r="L1136" s="2347"/>
      <c r="M1136" s="2105"/>
    </row>
    <row r="1137" spans="1:13">
      <c r="A1137" s="2105"/>
      <c r="B1137" s="2105"/>
      <c r="C1137" s="2105"/>
      <c r="D1137" s="2347"/>
      <c r="E1137" s="2105"/>
      <c r="F1137" s="2105"/>
      <c r="G1137" s="2105"/>
      <c r="H1137" s="2105"/>
      <c r="I1137" s="2348"/>
      <c r="J1137" s="2348"/>
      <c r="K1137" s="2348"/>
      <c r="L1137" s="2347"/>
      <c r="M1137" s="2105"/>
    </row>
    <row r="1138" spans="1:13">
      <c r="A1138" s="2105"/>
      <c r="B1138" s="2105"/>
      <c r="C1138" s="2105"/>
      <c r="D1138" s="2347"/>
      <c r="E1138" s="2105"/>
      <c r="F1138" s="2105"/>
      <c r="G1138" s="2105"/>
      <c r="H1138" s="2105"/>
      <c r="I1138" s="2348"/>
      <c r="J1138" s="2348"/>
      <c r="K1138" s="2348"/>
      <c r="L1138" s="2347"/>
      <c r="M1138" s="2105"/>
    </row>
    <row r="1139" spans="1:13">
      <c r="A1139" s="2105"/>
      <c r="B1139" s="2105"/>
      <c r="C1139" s="2105"/>
      <c r="D1139" s="2347"/>
      <c r="E1139" s="2105"/>
      <c r="F1139" s="2105"/>
      <c r="G1139" s="2105"/>
      <c r="H1139" s="2105"/>
      <c r="I1139" s="2348"/>
      <c r="J1139" s="2348"/>
      <c r="K1139" s="2348"/>
      <c r="L1139" s="2347"/>
      <c r="M1139" s="2105"/>
    </row>
    <row r="1140" spans="1:13">
      <c r="A1140" s="2105"/>
      <c r="B1140" s="2105"/>
      <c r="C1140" s="2105"/>
      <c r="D1140" s="2347"/>
      <c r="E1140" s="2105"/>
      <c r="F1140" s="2105"/>
      <c r="G1140" s="2105"/>
      <c r="H1140" s="2105"/>
      <c r="I1140" s="2348"/>
      <c r="J1140" s="2348"/>
      <c r="K1140" s="2348"/>
      <c r="L1140" s="2347"/>
      <c r="M1140" s="2105"/>
    </row>
    <row r="1141" spans="1:13">
      <c r="A1141" s="2105"/>
      <c r="B1141" s="2105"/>
      <c r="C1141" s="2105"/>
      <c r="D1141" s="2347"/>
      <c r="E1141" s="2105"/>
      <c r="F1141" s="2105"/>
      <c r="G1141" s="2105"/>
      <c r="H1141" s="2105"/>
      <c r="I1141" s="2348"/>
      <c r="J1141" s="2348"/>
      <c r="K1141" s="2348"/>
      <c r="L1141" s="2347"/>
      <c r="M1141" s="2105"/>
    </row>
    <row r="1142" spans="1:13">
      <c r="A1142" s="2105"/>
      <c r="B1142" s="2105"/>
      <c r="C1142" s="2105"/>
      <c r="D1142" s="2347"/>
      <c r="E1142" s="2105"/>
      <c r="F1142" s="2105"/>
      <c r="G1142" s="2105"/>
      <c r="H1142" s="2105"/>
      <c r="I1142" s="2348"/>
      <c r="J1142" s="2348"/>
      <c r="K1142" s="2348"/>
      <c r="L1142" s="2347"/>
      <c r="M1142" s="2105"/>
    </row>
    <row r="1143" spans="1:13">
      <c r="A1143" s="2105"/>
      <c r="B1143" s="2105"/>
      <c r="C1143" s="2105"/>
      <c r="D1143" s="2347"/>
      <c r="E1143" s="2105"/>
      <c r="F1143" s="2105"/>
      <c r="G1143" s="2105"/>
      <c r="H1143" s="2105"/>
      <c r="I1143" s="2348"/>
      <c r="J1143" s="2348"/>
      <c r="K1143" s="2348"/>
      <c r="L1143" s="2347"/>
      <c r="M1143" s="2105"/>
    </row>
    <row r="1144" spans="1:13">
      <c r="A1144" s="2105"/>
      <c r="B1144" s="2105"/>
      <c r="C1144" s="2105"/>
      <c r="D1144" s="2347"/>
      <c r="E1144" s="2105"/>
      <c r="F1144" s="2105"/>
      <c r="G1144" s="2105"/>
      <c r="H1144" s="2105"/>
      <c r="I1144" s="2348"/>
      <c r="J1144" s="2348"/>
      <c r="K1144" s="2348"/>
      <c r="L1144" s="2347"/>
      <c r="M1144" s="2105"/>
    </row>
    <row r="1145" spans="1:13">
      <c r="A1145" s="2105"/>
      <c r="B1145" s="2105"/>
      <c r="C1145" s="2105"/>
      <c r="D1145" s="2347"/>
      <c r="E1145" s="2105"/>
      <c r="F1145" s="2105"/>
      <c r="G1145" s="2105"/>
      <c r="H1145" s="2105"/>
      <c r="I1145" s="2348"/>
      <c r="J1145" s="2348"/>
      <c r="K1145" s="2348"/>
      <c r="L1145" s="2347"/>
      <c r="M1145" s="2105"/>
    </row>
    <row r="1146" spans="1:13">
      <c r="A1146" s="2105"/>
      <c r="B1146" s="2105"/>
      <c r="C1146" s="2105"/>
      <c r="D1146" s="2347"/>
      <c r="E1146" s="2105"/>
      <c r="F1146" s="2105"/>
      <c r="G1146" s="2105"/>
      <c r="H1146" s="2105"/>
      <c r="I1146" s="2348"/>
      <c r="J1146" s="2348"/>
      <c r="K1146" s="2348"/>
      <c r="L1146" s="2347"/>
      <c r="M1146" s="2105"/>
    </row>
    <row r="1147" spans="1:13">
      <c r="A1147" s="2105"/>
      <c r="B1147" s="2105"/>
      <c r="C1147" s="2105"/>
      <c r="D1147" s="2347"/>
      <c r="E1147" s="2105"/>
      <c r="F1147" s="2105"/>
      <c r="G1147" s="2105"/>
      <c r="H1147" s="2105"/>
      <c r="I1147" s="2348"/>
      <c r="J1147" s="2348"/>
      <c r="K1147" s="2348"/>
      <c r="L1147" s="2347"/>
      <c r="M1147" s="2105"/>
    </row>
    <row r="1148" spans="1:13">
      <c r="A1148" s="2105"/>
      <c r="B1148" s="2105"/>
      <c r="C1148" s="2105"/>
      <c r="D1148" s="2347"/>
      <c r="E1148" s="2105"/>
      <c r="F1148" s="2105"/>
      <c r="G1148" s="2105"/>
      <c r="H1148" s="2105"/>
      <c r="I1148" s="2348"/>
      <c r="J1148" s="2348"/>
      <c r="K1148" s="2348"/>
      <c r="L1148" s="2347"/>
      <c r="M1148" s="2105"/>
    </row>
    <row r="1149" spans="1:13">
      <c r="A1149" s="2105"/>
      <c r="B1149" s="2105"/>
      <c r="C1149" s="2105"/>
      <c r="D1149" s="2347"/>
      <c r="E1149" s="2105"/>
      <c r="F1149" s="2105"/>
      <c r="G1149" s="2105"/>
      <c r="H1149" s="2105"/>
      <c r="I1149" s="2348"/>
      <c r="J1149" s="2348"/>
      <c r="K1149" s="2348"/>
      <c r="L1149" s="2347"/>
      <c r="M1149" s="2105"/>
    </row>
    <row r="1150" spans="1:13">
      <c r="A1150" s="2105"/>
      <c r="B1150" s="2105"/>
      <c r="C1150" s="2105"/>
      <c r="D1150" s="2347"/>
      <c r="E1150" s="2105"/>
      <c r="F1150" s="2105"/>
      <c r="G1150" s="2105"/>
      <c r="H1150" s="2105"/>
      <c r="I1150" s="2348"/>
      <c r="J1150" s="2348"/>
      <c r="K1150" s="2348"/>
      <c r="L1150" s="2347"/>
      <c r="M1150" s="2105"/>
    </row>
    <row r="1151" spans="1:13">
      <c r="A1151" s="2105"/>
      <c r="B1151" s="2105"/>
      <c r="C1151" s="2105"/>
      <c r="D1151" s="2347"/>
      <c r="E1151" s="2105"/>
      <c r="F1151" s="2105"/>
      <c r="G1151" s="2105"/>
      <c r="H1151" s="2105"/>
      <c r="I1151" s="2348"/>
      <c r="J1151" s="2348"/>
      <c r="K1151" s="2348"/>
      <c r="L1151" s="2347"/>
      <c r="M1151" s="2105"/>
    </row>
    <row r="1152" spans="1:13">
      <c r="A1152" s="2105"/>
      <c r="B1152" s="2105"/>
      <c r="C1152" s="2105"/>
      <c r="D1152" s="2347"/>
      <c r="E1152" s="2105"/>
      <c r="F1152" s="2105"/>
      <c r="G1152" s="2105"/>
      <c r="H1152" s="2105"/>
      <c r="I1152" s="2348"/>
      <c r="J1152" s="2348"/>
      <c r="K1152" s="2348"/>
      <c r="L1152" s="2347"/>
      <c r="M1152" s="2105"/>
    </row>
    <row r="1153" spans="1:13">
      <c r="A1153" s="2105"/>
      <c r="B1153" s="2105"/>
      <c r="C1153" s="2105"/>
      <c r="D1153" s="2347"/>
      <c r="E1153" s="2105"/>
      <c r="F1153" s="2105"/>
      <c r="G1153" s="2105"/>
      <c r="H1153" s="2105"/>
      <c r="I1153" s="2348"/>
      <c r="J1153" s="2348"/>
      <c r="K1153" s="2348"/>
      <c r="L1153" s="2347"/>
      <c r="M1153" s="2105"/>
    </row>
    <row r="1154" spans="1:13">
      <c r="A1154" s="2105"/>
      <c r="B1154" s="2105"/>
      <c r="C1154" s="2105"/>
      <c r="D1154" s="2347"/>
      <c r="E1154" s="2105"/>
      <c r="F1154" s="2105"/>
      <c r="G1154" s="2105"/>
      <c r="H1154" s="2105"/>
      <c r="I1154" s="2348"/>
      <c r="J1154" s="2348"/>
      <c r="K1154" s="2348"/>
      <c r="L1154" s="2347"/>
      <c r="M1154" s="2105"/>
    </row>
    <row r="1155" spans="1:13">
      <c r="A1155" s="2105"/>
      <c r="B1155" s="2105"/>
      <c r="C1155" s="2105"/>
      <c r="D1155" s="2347"/>
      <c r="E1155" s="2105"/>
      <c r="F1155" s="2105"/>
      <c r="G1155" s="2105"/>
      <c r="H1155" s="2105"/>
      <c r="I1155" s="2348"/>
      <c r="J1155" s="2348"/>
      <c r="K1155" s="2348"/>
      <c r="L1155" s="2347"/>
      <c r="M1155" s="2105"/>
    </row>
    <row r="1156" spans="1:13">
      <c r="A1156" s="2105"/>
      <c r="B1156" s="2105"/>
      <c r="C1156" s="2105"/>
      <c r="D1156" s="2347"/>
      <c r="E1156" s="2105"/>
      <c r="F1156" s="2105"/>
      <c r="G1156" s="2105"/>
      <c r="H1156" s="2105"/>
      <c r="I1156" s="2348"/>
      <c r="J1156" s="2348"/>
      <c r="K1156" s="2348"/>
      <c r="L1156" s="2347"/>
      <c r="M1156" s="2105"/>
    </row>
    <row r="1157" spans="1:13">
      <c r="A1157" s="2105"/>
      <c r="B1157" s="2105"/>
      <c r="C1157" s="2105"/>
      <c r="D1157" s="2347"/>
      <c r="E1157" s="2105"/>
      <c r="F1157" s="2105"/>
      <c r="G1157" s="2105"/>
      <c r="H1157" s="2105"/>
      <c r="I1157" s="2348"/>
      <c r="J1157" s="2348"/>
      <c r="K1157" s="2348"/>
      <c r="L1157" s="2347"/>
      <c r="M1157" s="2105"/>
    </row>
    <row r="1158" spans="1:13">
      <c r="A1158" s="2105"/>
      <c r="B1158" s="2105"/>
      <c r="C1158" s="2105"/>
      <c r="D1158" s="2347"/>
      <c r="E1158" s="2105"/>
      <c r="F1158" s="2105"/>
      <c r="G1158" s="2105"/>
      <c r="H1158" s="2105"/>
      <c r="I1158" s="2348"/>
      <c r="J1158" s="2348"/>
      <c r="K1158" s="2348"/>
      <c r="L1158" s="2347"/>
      <c r="M1158" s="2105"/>
    </row>
    <row r="1159" spans="1:13">
      <c r="A1159" s="2105"/>
      <c r="B1159" s="2105"/>
      <c r="C1159" s="2105"/>
      <c r="D1159" s="2347"/>
      <c r="E1159" s="2105"/>
      <c r="F1159" s="2105"/>
      <c r="G1159" s="2105"/>
      <c r="H1159" s="2105"/>
      <c r="I1159" s="2348"/>
      <c r="J1159" s="2348"/>
      <c r="K1159" s="2348"/>
      <c r="L1159" s="2347"/>
      <c r="M1159" s="2105"/>
    </row>
    <row r="1160" spans="1:13">
      <c r="A1160" s="2105"/>
      <c r="B1160" s="2105"/>
      <c r="C1160" s="2105"/>
      <c r="D1160" s="2347"/>
      <c r="E1160" s="2105"/>
      <c r="F1160" s="2105"/>
      <c r="G1160" s="2105"/>
      <c r="H1160" s="2105"/>
      <c r="I1160" s="2348"/>
      <c r="J1160" s="2348"/>
      <c r="K1160" s="2348"/>
      <c r="L1160" s="2347"/>
      <c r="M1160" s="2105"/>
    </row>
    <row r="1161" spans="1:13">
      <c r="A1161" s="2105"/>
      <c r="B1161" s="2105"/>
      <c r="C1161" s="2105"/>
      <c r="D1161" s="2347"/>
      <c r="E1161" s="2105"/>
      <c r="F1161" s="2105"/>
      <c r="G1161" s="2105"/>
      <c r="H1161" s="2105"/>
      <c r="I1161" s="2348"/>
      <c r="J1161" s="2348"/>
      <c r="K1161" s="2348"/>
      <c r="L1161" s="2347"/>
      <c r="M1161" s="2105"/>
    </row>
    <row r="1162" spans="1:13">
      <c r="A1162" s="2105"/>
      <c r="B1162" s="2105"/>
      <c r="C1162" s="2105"/>
      <c r="D1162" s="2347"/>
      <c r="E1162" s="2105"/>
      <c r="F1162" s="2105"/>
      <c r="G1162" s="2105"/>
      <c r="H1162" s="2105"/>
      <c r="I1162" s="2348"/>
      <c r="J1162" s="2348"/>
      <c r="K1162" s="2348"/>
      <c r="L1162" s="2347"/>
      <c r="M1162" s="2105"/>
    </row>
    <row r="1163" spans="1:13">
      <c r="A1163" s="2105"/>
      <c r="B1163" s="2105"/>
      <c r="C1163" s="2105"/>
      <c r="D1163" s="2347"/>
      <c r="E1163" s="2105"/>
      <c r="F1163" s="2105"/>
      <c r="G1163" s="2105"/>
      <c r="H1163" s="2105"/>
      <c r="I1163" s="2348"/>
      <c r="J1163" s="2348"/>
      <c r="K1163" s="2348"/>
      <c r="L1163" s="2347"/>
      <c r="M1163" s="2105"/>
    </row>
    <row r="1164" spans="1:13">
      <c r="A1164" s="2105"/>
      <c r="B1164" s="2105"/>
      <c r="C1164" s="2105"/>
      <c r="D1164" s="2347"/>
      <c r="E1164" s="2105"/>
      <c r="F1164" s="2105"/>
      <c r="G1164" s="2105"/>
      <c r="H1164" s="2105"/>
      <c r="I1164" s="2348"/>
      <c r="J1164" s="2348"/>
      <c r="K1164" s="2348"/>
      <c r="L1164" s="2347"/>
      <c r="M1164" s="2105"/>
    </row>
    <row r="1165" spans="1:13">
      <c r="A1165" s="2105"/>
      <c r="B1165" s="2105"/>
      <c r="C1165" s="2105"/>
      <c r="D1165" s="2347"/>
      <c r="E1165" s="2105"/>
      <c r="F1165" s="2105"/>
      <c r="G1165" s="2105"/>
      <c r="H1165" s="2105"/>
      <c r="I1165" s="2348"/>
      <c r="J1165" s="2348"/>
      <c r="K1165" s="2348"/>
      <c r="L1165" s="2347"/>
      <c r="M1165" s="2105"/>
    </row>
    <row r="1166" spans="1:13">
      <c r="A1166" s="2105"/>
      <c r="B1166" s="2105"/>
      <c r="C1166" s="2105"/>
      <c r="D1166" s="2347"/>
      <c r="E1166" s="2105"/>
      <c r="F1166" s="2105"/>
      <c r="G1166" s="2105"/>
      <c r="H1166" s="2105"/>
      <c r="I1166" s="2348"/>
      <c r="J1166" s="2348"/>
      <c r="K1166" s="2348"/>
      <c r="L1166" s="2347"/>
      <c r="M1166" s="2105"/>
    </row>
    <row r="1167" spans="1:13">
      <c r="A1167" s="2105"/>
      <c r="B1167" s="2105"/>
      <c r="C1167" s="2105"/>
      <c r="D1167" s="2347"/>
      <c r="E1167" s="2105"/>
      <c r="F1167" s="2105"/>
      <c r="G1167" s="2105"/>
      <c r="H1167" s="2105"/>
      <c r="I1167" s="2348"/>
      <c r="J1167" s="2348"/>
      <c r="K1167" s="2348"/>
      <c r="L1167" s="2347"/>
      <c r="M1167" s="2105"/>
    </row>
    <row r="1168" spans="1:13">
      <c r="A1168" s="2105"/>
      <c r="B1168" s="2105"/>
      <c r="C1168" s="2105"/>
      <c r="D1168" s="2347"/>
      <c r="E1168" s="2105"/>
      <c r="F1168" s="2105"/>
      <c r="G1168" s="2105"/>
      <c r="H1168" s="2105"/>
      <c r="I1168" s="2348"/>
      <c r="J1168" s="2348"/>
      <c r="K1168" s="2348"/>
      <c r="L1168" s="2347"/>
      <c r="M1168" s="2105"/>
    </row>
    <row r="1169" spans="1:13">
      <c r="A1169" s="2105"/>
      <c r="B1169" s="2105"/>
      <c r="C1169" s="2105"/>
      <c r="D1169" s="2347"/>
      <c r="E1169" s="2105"/>
      <c r="F1169" s="2105"/>
      <c r="G1169" s="2105"/>
      <c r="H1169" s="2105"/>
      <c r="I1169" s="2348"/>
      <c r="J1169" s="2348"/>
      <c r="K1169" s="2348"/>
      <c r="L1169" s="2347"/>
      <c r="M1169" s="2105"/>
    </row>
    <row r="1170" spans="1:13">
      <c r="A1170" s="2105"/>
      <c r="B1170" s="2105"/>
      <c r="C1170" s="2105"/>
      <c r="D1170" s="2347"/>
      <c r="E1170" s="2105"/>
      <c r="F1170" s="2105"/>
      <c r="G1170" s="2105"/>
      <c r="H1170" s="2105"/>
      <c r="I1170" s="2348"/>
      <c r="J1170" s="2348"/>
      <c r="K1170" s="2348"/>
      <c r="L1170" s="2347"/>
      <c r="M1170" s="2105"/>
    </row>
    <row r="1171" spans="1:13">
      <c r="A1171" s="2105"/>
      <c r="B1171" s="2105"/>
      <c r="C1171" s="2105"/>
      <c r="D1171" s="2347"/>
      <c r="E1171" s="2105"/>
      <c r="F1171" s="2105"/>
      <c r="G1171" s="2105"/>
      <c r="H1171" s="2105"/>
      <c r="I1171" s="2348"/>
      <c r="J1171" s="2348"/>
      <c r="K1171" s="2348"/>
      <c r="L1171" s="2347"/>
      <c r="M1171" s="2105"/>
    </row>
    <row r="1172" spans="1:13">
      <c r="A1172" s="2105"/>
      <c r="B1172" s="2105"/>
      <c r="C1172" s="2105"/>
      <c r="D1172" s="2347"/>
      <c r="E1172" s="2105"/>
      <c r="F1172" s="2105"/>
      <c r="G1172" s="2105"/>
      <c r="H1172" s="2105"/>
      <c r="I1172" s="2348"/>
      <c r="J1172" s="2348"/>
      <c r="K1172" s="2348"/>
      <c r="L1172" s="2347"/>
      <c r="M1172" s="2105"/>
    </row>
    <row r="1173" spans="1:13">
      <c r="A1173" s="2105"/>
      <c r="B1173" s="2105"/>
      <c r="C1173" s="2105"/>
      <c r="D1173" s="2347"/>
      <c r="E1173" s="2105"/>
      <c r="F1173" s="2105"/>
      <c r="G1173" s="2105"/>
      <c r="H1173" s="2105"/>
      <c r="I1173" s="2348"/>
      <c r="J1173" s="2348"/>
      <c r="K1173" s="2348"/>
      <c r="L1173" s="2347"/>
      <c r="M1173" s="2105"/>
    </row>
    <row r="1174" spans="1:13">
      <c r="A1174" s="2105"/>
      <c r="B1174" s="2105"/>
      <c r="C1174" s="2105"/>
      <c r="D1174" s="2347"/>
      <c r="E1174" s="2105"/>
      <c r="F1174" s="2105"/>
      <c r="G1174" s="2105"/>
      <c r="H1174" s="2105"/>
      <c r="I1174" s="2348"/>
      <c r="J1174" s="2348"/>
      <c r="K1174" s="2348"/>
      <c r="L1174" s="2347"/>
      <c r="M1174" s="2105"/>
    </row>
    <row r="1175" spans="1:13">
      <c r="A1175" s="2105"/>
      <c r="B1175" s="2105"/>
      <c r="C1175" s="2105"/>
      <c r="D1175" s="2347"/>
      <c r="E1175" s="2105"/>
      <c r="F1175" s="2105"/>
      <c r="G1175" s="2105"/>
      <c r="H1175" s="2105"/>
      <c r="I1175" s="2348"/>
      <c r="J1175" s="2348"/>
      <c r="K1175" s="2348"/>
      <c r="L1175" s="2347"/>
      <c r="M1175" s="2105"/>
    </row>
    <row r="1176" spans="1:13">
      <c r="A1176" s="2105"/>
      <c r="B1176" s="2105"/>
      <c r="C1176" s="2105"/>
      <c r="D1176" s="2347"/>
      <c r="E1176" s="2105"/>
      <c r="F1176" s="2105"/>
      <c r="G1176" s="2105"/>
      <c r="H1176" s="2105"/>
      <c r="I1176" s="2348"/>
      <c r="J1176" s="2348"/>
      <c r="K1176" s="2348"/>
      <c r="L1176" s="2347"/>
      <c r="M1176" s="2105"/>
    </row>
    <row r="1177" spans="1:13">
      <c r="A1177" s="2105"/>
      <c r="B1177" s="2105"/>
      <c r="C1177" s="2105"/>
      <c r="D1177" s="2347"/>
      <c r="E1177" s="2105"/>
      <c r="F1177" s="2105"/>
      <c r="G1177" s="2105"/>
      <c r="H1177" s="2105"/>
      <c r="I1177" s="2348"/>
      <c r="J1177" s="2348"/>
      <c r="K1177" s="2348"/>
      <c r="L1177" s="2347"/>
      <c r="M1177" s="2105"/>
    </row>
    <row r="1178" spans="1:13">
      <c r="A1178" s="2105"/>
      <c r="B1178" s="2105"/>
      <c r="C1178" s="2105"/>
      <c r="D1178" s="2347"/>
      <c r="E1178" s="2105"/>
      <c r="F1178" s="2105"/>
      <c r="G1178" s="2105"/>
      <c r="H1178" s="2105"/>
      <c r="I1178" s="2348"/>
      <c r="J1178" s="2348"/>
      <c r="K1178" s="2348"/>
      <c r="L1178" s="2347"/>
      <c r="M1178" s="2105"/>
    </row>
    <row r="1179" spans="1:13">
      <c r="A1179" s="2105"/>
      <c r="B1179" s="2105"/>
      <c r="C1179" s="2105"/>
      <c r="D1179" s="2347"/>
      <c r="E1179" s="2105"/>
      <c r="F1179" s="2105"/>
      <c r="G1179" s="2105"/>
      <c r="H1179" s="2105"/>
      <c r="I1179" s="2348"/>
      <c r="J1179" s="2348"/>
      <c r="K1179" s="2348"/>
      <c r="L1179" s="2347"/>
      <c r="M1179" s="2105"/>
    </row>
    <row r="1180" spans="1:13">
      <c r="A1180" s="2105"/>
      <c r="B1180" s="2105"/>
      <c r="C1180" s="2105"/>
      <c r="D1180" s="2347"/>
      <c r="E1180" s="2105"/>
      <c r="F1180" s="2105"/>
      <c r="G1180" s="2105"/>
      <c r="H1180" s="2105"/>
      <c r="I1180" s="2348"/>
      <c r="J1180" s="2348"/>
      <c r="K1180" s="2348"/>
      <c r="L1180" s="2347"/>
      <c r="M1180" s="2105"/>
    </row>
    <row r="1181" spans="1:13">
      <c r="A1181" s="2105"/>
      <c r="B1181" s="2105"/>
      <c r="C1181" s="2105"/>
      <c r="D1181" s="2347"/>
      <c r="E1181" s="2105"/>
      <c r="F1181" s="2105"/>
      <c r="G1181" s="2105"/>
      <c r="H1181" s="2105"/>
      <c r="I1181" s="2348"/>
      <c r="J1181" s="2348"/>
      <c r="K1181" s="2348"/>
      <c r="L1181" s="2347"/>
      <c r="M1181" s="2105"/>
    </row>
    <row r="1182" spans="1:13">
      <c r="A1182" s="2105"/>
      <c r="B1182" s="2105"/>
      <c r="C1182" s="2105"/>
      <c r="D1182" s="2347"/>
      <c r="E1182" s="2105"/>
      <c r="F1182" s="2105"/>
      <c r="G1182" s="2105"/>
      <c r="H1182" s="2105"/>
      <c r="I1182" s="2348"/>
      <c r="J1182" s="2348"/>
      <c r="K1182" s="2348"/>
      <c r="L1182" s="2347"/>
      <c r="M1182" s="2105"/>
    </row>
    <row r="1183" spans="1:13">
      <c r="A1183" s="2105"/>
      <c r="B1183" s="2105"/>
      <c r="C1183" s="2105"/>
      <c r="D1183" s="2347"/>
      <c r="E1183" s="2105"/>
      <c r="F1183" s="2105"/>
      <c r="G1183" s="2105"/>
      <c r="H1183" s="2105"/>
      <c r="I1183" s="2348"/>
      <c r="J1183" s="2348"/>
      <c r="K1183" s="2348"/>
      <c r="L1183" s="2347"/>
      <c r="M1183" s="2105"/>
    </row>
    <row r="1184" spans="1:13">
      <c r="A1184" s="2105"/>
      <c r="B1184" s="2105"/>
      <c r="C1184" s="2105"/>
      <c r="D1184" s="2347"/>
      <c r="E1184" s="2105"/>
      <c r="F1184" s="2105"/>
      <c r="G1184" s="2105"/>
      <c r="H1184" s="2105"/>
      <c r="I1184" s="2348"/>
      <c r="J1184" s="2348"/>
      <c r="K1184" s="2348"/>
      <c r="L1184" s="2347"/>
      <c r="M1184" s="2105"/>
    </row>
    <row r="1185" spans="1:13">
      <c r="A1185" s="2105"/>
      <c r="B1185" s="2105"/>
      <c r="C1185" s="2105"/>
      <c r="D1185" s="2347"/>
      <c r="E1185" s="2105"/>
      <c r="F1185" s="2105"/>
      <c r="G1185" s="2105"/>
      <c r="H1185" s="2105"/>
      <c r="I1185" s="2348"/>
      <c r="J1185" s="2348"/>
      <c r="K1185" s="2348"/>
      <c r="L1185" s="2347"/>
      <c r="M1185" s="2105"/>
    </row>
    <row r="1186" spans="1:13">
      <c r="A1186" s="2105"/>
      <c r="B1186" s="2105"/>
      <c r="C1186" s="2105"/>
      <c r="D1186" s="2347"/>
      <c r="E1186" s="2105"/>
      <c r="F1186" s="2105"/>
      <c r="G1186" s="2105"/>
      <c r="H1186" s="2105"/>
      <c r="I1186" s="2348"/>
      <c r="J1186" s="2348"/>
      <c r="K1186" s="2348"/>
      <c r="L1186" s="2347"/>
      <c r="M1186" s="2105"/>
    </row>
    <row r="1187" spans="1:13">
      <c r="A1187" s="2105"/>
      <c r="B1187" s="2105"/>
      <c r="C1187" s="2105"/>
      <c r="D1187" s="2347"/>
      <c r="E1187" s="2105"/>
      <c r="F1187" s="2105"/>
      <c r="G1187" s="2105"/>
      <c r="H1187" s="2105"/>
      <c r="I1187" s="2348"/>
      <c r="J1187" s="2348"/>
      <c r="K1187" s="2348"/>
      <c r="L1187" s="2347"/>
      <c r="M1187" s="2105"/>
    </row>
    <row r="1188" spans="1:13">
      <c r="A1188" s="2105"/>
      <c r="B1188" s="2105"/>
      <c r="C1188" s="2105"/>
      <c r="D1188" s="2347"/>
      <c r="E1188" s="2105"/>
      <c r="F1188" s="2105"/>
      <c r="G1188" s="2105"/>
      <c r="H1188" s="2105"/>
      <c r="I1188" s="2348"/>
      <c r="J1188" s="2348"/>
      <c r="K1188" s="2348"/>
      <c r="L1188" s="2347"/>
      <c r="M1188" s="2105"/>
    </row>
    <row r="1189" spans="1:13">
      <c r="A1189" s="2105"/>
      <c r="B1189" s="2105"/>
      <c r="C1189" s="2105"/>
      <c r="D1189" s="2347"/>
      <c r="E1189" s="2105"/>
      <c r="F1189" s="2105"/>
      <c r="G1189" s="2105"/>
      <c r="H1189" s="2105"/>
      <c r="I1189" s="2348"/>
      <c r="J1189" s="2348"/>
      <c r="K1189" s="2348"/>
      <c r="L1189" s="2347"/>
      <c r="M1189" s="2105"/>
    </row>
    <row r="1190" spans="1:13">
      <c r="A1190" s="2105"/>
      <c r="B1190" s="2105"/>
      <c r="C1190" s="2105"/>
      <c r="D1190" s="2347"/>
      <c r="E1190" s="2105"/>
      <c r="F1190" s="2105"/>
      <c r="G1190" s="2105"/>
      <c r="H1190" s="2105"/>
      <c r="I1190" s="2348"/>
      <c r="J1190" s="2348"/>
      <c r="K1190" s="2348"/>
      <c r="L1190" s="2347"/>
      <c r="M1190" s="2105"/>
    </row>
    <row r="1191" spans="1:13">
      <c r="A1191" s="2105"/>
      <c r="B1191" s="2105"/>
      <c r="C1191" s="2105"/>
      <c r="D1191" s="2347"/>
      <c r="E1191" s="2105"/>
      <c r="F1191" s="2105"/>
      <c r="G1191" s="2105"/>
      <c r="H1191" s="2105"/>
      <c r="I1191" s="2348"/>
      <c r="J1191" s="2348"/>
      <c r="K1191" s="2348"/>
      <c r="L1191" s="2347"/>
      <c r="M1191" s="2105"/>
    </row>
    <row r="1192" spans="1:13">
      <c r="A1192" s="2105"/>
      <c r="B1192" s="2105"/>
      <c r="C1192" s="2105"/>
      <c r="D1192" s="2347"/>
      <c r="E1192" s="2105"/>
      <c r="F1192" s="2105"/>
      <c r="G1192" s="2105"/>
      <c r="H1192" s="2105"/>
      <c r="I1192" s="2348"/>
      <c r="J1192" s="2348"/>
      <c r="K1192" s="2348"/>
      <c r="L1192" s="2347"/>
      <c r="M1192" s="2105"/>
    </row>
    <row r="1193" spans="1:13">
      <c r="A1193" s="2105"/>
      <c r="B1193" s="2105"/>
      <c r="C1193" s="2105"/>
      <c r="D1193" s="2347"/>
      <c r="E1193" s="2105"/>
      <c r="F1193" s="2105"/>
      <c r="G1193" s="2105"/>
      <c r="H1193" s="2105"/>
      <c r="I1193" s="2348"/>
      <c r="J1193" s="2348"/>
      <c r="K1193" s="2348"/>
      <c r="L1193" s="2347"/>
      <c r="M1193" s="2105"/>
    </row>
    <row r="1194" spans="1:13">
      <c r="A1194" s="2105"/>
      <c r="B1194" s="2105"/>
      <c r="C1194" s="2105"/>
      <c r="D1194" s="2347"/>
      <c r="E1194" s="2105"/>
      <c r="F1194" s="2105"/>
      <c r="G1194" s="2105"/>
      <c r="H1194" s="2105"/>
      <c r="I1194" s="2348"/>
      <c r="J1194" s="2348"/>
      <c r="K1194" s="2348"/>
      <c r="L1194" s="2347"/>
      <c r="M1194" s="2105"/>
    </row>
    <row r="1195" spans="1:13">
      <c r="A1195" s="2105"/>
      <c r="B1195" s="2105"/>
      <c r="C1195" s="2105"/>
      <c r="D1195" s="2347"/>
      <c r="E1195" s="2105"/>
      <c r="F1195" s="2105"/>
      <c r="G1195" s="2105"/>
      <c r="H1195" s="2105"/>
      <c r="I1195" s="2348"/>
      <c r="J1195" s="2348"/>
      <c r="K1195" s="2348"/>
      <c r="L1195" s="2347"/>
      <c r="M1195" s="2105"/>
    </row>
    <row r="1196" spans="1:13">
      <c r="A1196" s="2105"/>
      <c r="B1196" s="2105"/>
      <c r="C1196" s="2105"/>
      <c r="D1196" s="2347"/>
      <c r="E1196" s="2105"/>
      <c r="F1196" s="2105"/>
      <c r="G1196" s="2105"/>
      <c r="H1196" s="2105"/>
      <c r="I1196" s="2348"/>
      <c r="J1196" s="2348"/>
      <c r="K1196" s="2348"/>
      <c r="L1196" s="2347"/>
      <c r="M1196" s="2105"/>
    </row>
    <row r="1197" spans="1:13">
      <c r="A1197" s="2105"/>
      <c r="B1197" s="2105"/>
      <c r="C1197" s="2105"/>
      <c r="D1197" s="2347"/>
      <c r="E1197" s="2105"/>
      <c r="F1197" s="2105"/>
      <c r="G1197" s="2105"/>
      <c r="H1197" s="2105"/>
      <c r="I1197" s="2348"/>
      <c r="J1197" s="2348"/>
      <c r="K1197" s="2348"/>
      <c r="L1197" s="2347"/>
      <c r="M1197" s="2105"/>
    </row>
    <row r="1198" spans="1:13">
      <c r="A1198" s="2105"/>
      <c r="B1198" s="2105"/>
      <c r="C1198" s="2105"/>
      <c r="D1198" s="2347"/>
      <c r="E1198" s="2105"/>
      <c r="F1198" s="2105"/>
      <c r="G1198" s="2105"/>
      <c r="H1198" s="2105"/>
      <c r="I1198" s="2348"/>
      <c r="J1198" s="2348"/>
      <c r="K1198" s="2348"/>
      <c r="L1198" s="2347"/>
      <c r="M1198" s="2105"/>
    </row>
    <row r="1199" spans="1:13">
      <c r="A1199" s="2105"/>
      <c r="B1199" s="2105"/>
      <c r="C1199" s="2105"/>
      <c r="D1199" s="2347"/>
      <c r="E1199" s="2105"/>
      <c r="F1199" s="2105"/>
      <c r="G1199" s="2105"/>
      <c r="H1199" s="2105"/>
      <c r="I1199" s="2348"/>
      <c r="J1199" s="2348"/>
      <c r="K1199" s="2348"/>
      <c r="L1199" s="2347"/>
      <c r="M1199" s="2105"/>
    </row>
    <row r="1200" spans="1:13">
      <c r="A1200" s="2105"/>
      <c r="B1200" s="2105"/>
      <c r="C1200" s="2105"/>
      <c r="D1200" s="2347"/>
      <c r="E1200" s="2105"/>
      <c r="F1200" s="2105"/>
      <c r="G1200" s="2105"/>
      <c r="H1200" s="2105"/>
      <c r="I1200" s="2348"/>
      <c r="J1200" s="2348"/>
      <c r="K1200" s="2348"/>
      <c r="L1200" s="2347"/>
      <c r="M1200" s="2105"/>
    </row>
    <row r="1201" spans="1:13">
      <c r="A1201" s="2105"/>
      <c r="B1201" s="2105"/>
      <c r="C1201" s="2105"/>
      <c r="D1201" s="2347"/>
      <c r="E1201" s="2105"/>
      <c r="F1201" s="2105"/>
      <c r="G1201" s="2105"/>
      <c r="H1201" s="2105"/>
      <c r="I1201" s="2348"/>
      <c r="J1201" s="2348"/>
      <c r="K1201" s="2348"/>
      <c r="L1201" s="2347"/>
      <c r="M1201" s="2105"/>
    </row>
    <row r="1202" spans="1:13">
      <c r="A1202" s="2105"/>
      <c r="B1202" s="2105"/>
      <c r="C1202" s="2105"/>
      <c r="D1202" s="2347"/>
      <c r="E1202" s="2105"/>
      <c r="F1202" s="2105"/>
      <c r="G1202" s="2105"/>
      <c r="H1202" s="2105"/>
      <c r="I1202" s="2348"/>
      <c r="J1202" s="2348"/>
      <c r="K1202" s="2348"/>
      <c r="L1202" s="2347"/>
      <c r="M1202" s="2105"/>
    </row>
    <row r="1203" spans="1:13">
      <c r="A1203" s="2105"/>
      <c r="B1203" s="2105"/>
      <c r="C1203" s="2105"/>
      <c r="D1203" s="2347"/>
      <c r="E1203" s="2105"/>
      <c r="F1203" s="2105"/>
      <c r="G1203" s="2105"/>
      <c r="H1203" s="2105"/>
      <c r="I1203" s="2348"/>
      <c r="J1203" s="2348"/>
      <c r="K1203" s="2348"/>
      <c r="L1203" s="2347"/>
      <c r="M1203" s="2105"/>
    </row>
    <row r="1204" spans="1:13">
      <c r="A1204" s="2105"/>
      <c r="B1204" s="2105"/>
      <c r="C1204" s="2105"/>
      <c r="D1204" s="2347"/>
      <c r="E1204" s="2105"/>
      <c r="F1204" s="2105"/>
      <c r="G1204" s="2105"/>
      <c r="H1204" s="2105"/>
      <c r="I1204" s="2348"/>
      <c r="J1204" s="2348"/>
      <c r="K1204" s="2348"/>
      <c r="L1204" s="2347"/>
      <c r="M1204" s="2105"/>
    </row>
    <row r="1205" spans="1:13">
      <c r="A1205" s="2105"/>
      <c r="B1205" s="2105"/>
      <c r="C1205" s="2105"/>
      <c r="D1205" s="2347"/>
      <c r="E1205" s="2105"/>
      <c r="F1205" s="2105"/>
      <c r="G1205" s="2105"/>
      <c r="H1205" s="2105"/>
      <c r="I1205" s="2348"/>
      <c r="J1205" s="2348"/>
      <c r="K1205" s="2348"/>
      <c r="L1205" s="2347"/>
      <c r="M1205" s="2105"/>
    </row>
    <row r="1206" spans="1:13">
      <c r="A1206" s="2105"/>
      <c r="B1206" s="2105"/>
      <c r="C1206" s="2105"/>
      <c r="D1206" s="2347"/>
      <c r="E1206" s="2105"/>
      <c r="F1206" s="2105"/>
      <c r="G1206" s="2105"/>
      <c r="H1206" s="2105"/>
      <c r="I1206" s="2348"/>
      <c r="J1206" s="2348"/>
      <c r="K1206" s="2348"/>
      <c r="L1206" s="2347"/>
      <c r="M1206" s="2105"/>
    </row>
    <row r="1207" spans="1:13">
      <c r="A1207" s="2105"/>
      <c r="B1207" s="2105"/>
      <c r="C1207" s="2105"/>
      <c r="D1207" s="2347"/>
      <c r="E1207" s="2105"/>
      <c r="F1207" s="2105"/>
      <c r="G1207" s="2105"/>
      <c r="H1207" s="2105"/>
      <c r="I1207" s="2348"/>
      <c r="J1207" s="2348"/>
      <c r="K1207" s="2348"/>
      <c r="L1207" s="2347"/>
      <c r="M1207" s="2105"/>
    </row>
    <row r="1208" spans="1:13">
      <c r="A1208" s="2105"/>
      <c r="B1208" s="2105"/>
      <c r="C1208" s="2105"/>
      <c r="D1208" s="2347"/>
      <c r="E1208" s="2105"/>
      <c r="F1208" s="2105"/>
      <c r="G1208" s="2105"/>
      <c r="H1208" s="2105"/>
      <c r="I1208" s="2348"/>
      <c r="J1208" s="2348"/>
      <c r="K1208" s="2348"/>
      <c r="L1208" s="2347"/>
      <c r="M1208" s="2105"/>
    </row>
    <row r="1209" spans="1:13">
      <c r="A1209" s="2105"/>
      <c r="B1209" s="2105"/>
      <c r="C1209" s="2105"/>
      <c r="D1209" s="2347"/>
      <c r="E1209" s="2105"/>
      <c r="F1209" s="2105"/>
      <c r="G1209" s="2105"/>
      <c r="H1209" s="2105"/>
      <c r="I1209" s="2348"/>
      <c r="J1209" s="2348"/>
      <c r="K1209" s="2348"/>
      <c r="L1209" s="2347"/>
      <c r="M1209" s="2105"/>
    </row>
    <row r="1210" spans="1:13">
      <c r="A1210" s="2105"/>
      <c r="B1210" s="2105"/>
      <c r="C1210" s="2105"/>
      <c r="D1210" s="2347"/>
      <c r="E1210" s="2105"/>
      <c r="F1210" s="2105"/>
      <c r="G1210" s="2105"/>
      <c r="H1210" s="2105"/>
      <c r="I1210" s="2348"/>
      <c r="J1210" s="2348"/>
      <c r="K1210" s="2348"/>
      <c r="L1210" s="2347"/>
      <c r="M1210" s="2105"/>
    </row>
    <row r="1211" spans="1:13">
      <c r="A1211" s="2105"/>
      <c r="B1211" s="2105"/>
      <c r="C1211" s="2105"/>
      <c r="D1211" s="2347"/>
      <c r="E1211" s="2105"/>
      <c r="F1211" s="2105"/>
      <c r="G1211" s="2105"/>
      <c r="H1211" s="2105"/>
      <c r="I1211" s="2348"/>
      <c r="J1211" s="2348"/>
      <c r="K1211" s="2348"/>
      <c r="L1211" s="2347"/>
      <c r="M1211" s="2105"/>
    </row>
    <row r="1212" spans="1:13">
      <c r="A1212" s="2105"/>
      <c r="B1212" s="2105"/>
      <c r="C1212" s="2105"/>
      <c r="D1212" s="2347"/>
      <c r="E1212" s="2105"/>
      <c r="F1212" s="2105"/>
      <c r="G1212" s="2105"/>
      <c r="H1212" s="2105"/>
      <c r="I1212" s="2348"/>
      <c r="J1212" s="2348"/>
      <c r="K1212" s="2348"/>
      <c r="L1212" s="2347"/>
      <c r="M1212" s="2105"/>
    </row>
    <row r="1213" spans="1:13">
      <c r="A1213" s="2105"/>
      <c r="B1213" s="2105"/>
      <c r="C1213" s="2105"/>
      <c r="D1213" s="2347"/>
      <c r="E1213" s="2105"/>
      <c r="F1213" s="2105"/>
      <c r="G1213" s="2105"/>
      <c r="H1213" s="2105"/>
      <c r="I1213" s="2348"/>
      <c r="J1213" s="2348"/>
      <c r="K1213" s="2348"/>
      <c r="L1213" s="2347"/>
      <c r="M1213" s="2105"/>
    </row>
    <row r="1214" spans="1:13">
      <c r="A1214" s="2105"/>
      <c r="B1214" s="2105"/>
      <c r="C1214" s="2105"/>
      <c r="D1214" s="2347"/>
      <c r="E1214" s="2105"/>
      <c r="F1214" s="2105"/>
      <c r="G1214" s="2105"/>
      <c r="H1214" s="2105"/>
      <c r="I1214" s="2348"/>
      <c r="J1214" s="2348"/>
      <c r="K1214" s="2348"/>
      <c r="L1214" s="2347"/>
      <c r="M1214" s="2105"/>
    </row>
    <row r="1215" spans="1:13">
      <c r="A1215" s="2105"/>
      <c r="B1215" s="2105"/>
      <c r="C1215" s="2105"/>
      <c r="D1215" s="2347"/>
      <c r="E1215" s="2105"/>
      <c r="F1215" s="2105"/>
      <c r="G1215" s="2105"/>
      <c r="H1215" s="2105"/>
      <c r="I1215" s="2348"/>
      <c r="J1215" s="2348"/>
      <c r="K1215" s="2348"/>
      <c r="L1215" s="2347"/>
      <c r="M1215" s="2105"/>
    </row>
    <row r="1216" spans="1:13">
      <c r="A1216" s="2105"/>
      <c r="B1216" s="2105"/>
      <c r="C1216" s="2105"/>
      <c r="D1216" s="2347"/>
      <c r="E1216" s="2105"/>
      <c r="F1216" s="2105"/>
      <c r="G1216" s="2105"/>
      <c r="H1216" s="2105"/>
      <c r="I1216" s="2348"/>
      <c r="J1216" s="2348"/>
      <c r="K1216" s="2348"/>
      <c r="L1216" s="2347"/>
      <c r="M1216" s="2105"/>
    </row>
    <row r="1217" spans="1:13">
      <c r="A1217" s="2105"/>
      <c r="B1217" s="2105"/>
      <c r="C1217" s="2105"/>
      <c r="D1217" s="2347"/>
      <c r="E1217" s="2105"/>
      <c r="F1217" s="2105"/>
      <c r="G1217" s="2105"/>
      <c r="H1217" s="2105"/>
      <c r="I1217" s="2348"/>
      <c r="J1217" s="2348"/>
      <c r="K1217" s="2348"/>
      <c r="L1217" s="2347"/>
      <c r="M1217" s="2105"/>
    </row>
    <row r="1218" spans="1:13">
      <c r="A1218" s="2105"/>
      <c r="B1218" s="2105"/>
      <c r="C1218" s="2105"/>
      <c r="D1218" s="2347"/>
      <c r="E1218" s="2105"/>
      <c r="F1218" s="2105"/>
      <c r="G1218" s="2105"/>
      <c r="H1218" s="2105"/>
      <c r="I1218" s="2348"/>
      <c r="J1218" s="2348"/>
      <c r="K1218" s="2348"/>
      <c r="L1218" s="2347"/>
      <c r="M1218" s="2105"/>
    </row>
    <row r="1219" spans="1:13">
      <c r="A1219" s="2105"/>
      <c r="B1219" s="2105"/>
      <c r="C1219" s="2105"/>
      <c r="D1219" s="2347"/>
      <c r="E1219" s="2105"/>
      <c r="F1219" s="2105"/>
      <c r="G1219" s="2105"/>
      <c r="H1219" s="2105"/>
      <c r="I1219" s="2348"/>
      <c r="J1219" s="2348"/>
      <c r="K1219" s="2348"/>
      <c r="L1219" s="2347"/>
      <c r="M1219" s="2105"/>
    </row>
    <row r="1220" spans="1:13">
      <c r="A1220" s="2105"/>
      <c r="B1220" s="2105"/>
      <c r="C1220" s="2105"/>
      <c r="D1220" s="2347"/>
      <c r="E1220" s="2105"/>
      <c r="F1220" s="2105"/>
      <c r="G1220" s="2105"/>
      <c r="H1220" s="2105"/>
      <c r="I1220" s="2348"/>
      <c r="J1220" s="2348"/>
      <c r="K1220" s="2348"/>
      <c r="L1220" s="2347"/>
      <c r="M1220" s="2105"/>
    </row>
    <row r="1221" spans="1:13">
      <c r="A1221" s="2105"/>
      <c r="B1221" s="2105"/>
      <c r="C1221" s="2105"/>
      <c r="D1221" s="2347"/>
      <c r="E1221" s="2105"/>
      <c r="F1221" s="2105"/>
      <c r="G1221" s="2105"/>
      <c r="H1221" s="2105"/>
      <c r="I1221" s="2348"/>
      <c r="J1221" s="2348"/>
      <c r="K1221" s="2348"/>
      <c r="L1221" s="2347"/>
      <c r="M1221" s="2105"/>
    </row>
    <row r="1222" spans="1:13">
      <c r="A1222" s="2105"/>
      <c r="B1222" s="2105"/>
      <c r="C1222" s="2105"/>
      <c r="D1222" s="2347"/>
      <c r="E1222" s="2105"/>
      <c r="F1222" s="2105"/>
      <c r="G1222" s="2105"/>
      <c r="H1222" s="2105"/>
      <c r="I1222" s="2348"/>
      <c r="J1222" s="2348"/>
      <c r="K1222" s="2348"/>
      <c r="L1222" s="2347"/>
      <c r="M1222" s="2105"/>
    </row>
    <row r="1223" spans="1:13">
      <c r="A1223" s="2105"/>
      <c r="B1223" s="2105"/>
      <c r="C1223" s="2105"/>
      <c r="D1223" s="2347"/>
      <c r="E1223" s="2105"/>
      <c r="F1223" s="2105"/>
      <c r="G1223" s="2105"/>
      <c r="H1223" s="2105"/>
      <c r="I1223" s="2348"/>
      <c r="J1223" s="2348"/>
      <c r="K1223" s="2348"/>
      <c r="L1223" s="2347"/>
      <c r="M1223" s="2105"/>
    </row>
    <row r="1224" spans="1:13">
      <c r="A1224" s="2105"/>
      <c r="B1224" s="2105"/>
      <c r="C1224" s="2105"/>
      <c r="D1224" s="2347"/>
      <c r="E1224" s="2105"/>
      <c r="F1224" s="2105"/>
      <c r="G1224" s="2105"/>
      <c r="H1224" s="2105"/>
      <c r="I1224" s="2348"/>
      <c r="J1224" s="2348"/>
      <c r="K1224" s="2348"/>
      <c r="L1224" s="2347"/>
      <c r="M1224" s="2105"/>
    </row>
    <row r="1225" spans="1:13">
      <c r="A1225" s="2105"/>
      <c r="B1225" s="2105"/>
      <c r="C1225" s="2105"/>
      <c r="D1225" s="2347"/>
      <c r="E1225" s="2105"/>
      <c r="F1225" s="2105"/>
      <c r="G1225" s="2105"/>
      <c r="H1225" s="2105"/>
      <c r="I1225" s="2348"/>
      <c r="J1225" s="2348"/>
      <c r="K1225" s="2348"/>
      <c r="L1225" s="2347"/>
      <c r="M1225" s="2105"/>
    </row>
    <row r="1226" spans="1:13">
      <c r="A1226" s="2105"/>
      <c r="B1226" s="2105"/>
      <c r="C1226" s="2105"/>
      <c r="D1226" s="2347"/>
      <c r="E1226" s="2105"/>
      <c r="F1226" s="2105"/>
      <c r="G1226" s="2105"/>
      <c r="H1226" s="2105"/>
      <c r="I1226" s="2348"/>
      <c r="J1226" s="2348"/>
      <c r="K1226" s="2348"/>
      <c r="L1226" s="2347"/>
      <c r="M1226" s="2105"/>
    </row>
    <row r="1227" spans="1:13">
      <c r="A1227" s="2105"/>
      <c r="B1227" s="2105"/>
      <c r="C1227" s="2105"/>
      <c r="D1227" s="2347"/>
      <c r="E1227" s="2105"/>
      <c r="F1227" s="2105"/>
      <c r="G1227" s="2105"/>
      <c r="H1227" s="2105"/>
      <c r="I1227" s="2348"/>
      <c r="J1227" s="2348"/>
      <c r="K1227" s="2348"/>
      <c r="L1227" s="2347"/>
      <c r="M1227" s="2105"/>
    </row>
    <row r="1228" spans="1:13">
      <c r="A1228" s="2105"/>
      <c r="B1228" s="2105"/>
      <c r="C1228" s="2105"/>
      <c r="D1228" s="2347"/>
      <c r="E1228" s="2105"/>
      <c r="F1228" s="2105"/>
      <c r="G1228" s="2105"/>
      <c r="H1228" s="2105"/>
      <c r="I1228" s="2348"/>
      <c r="J1228" s="2348"/>
      <c r="K1228" s="2348"/>
      <c r="L1228" s="2347"/>
      <c r="M1228" s="2105"/>
    </row>
    <row r="1229" spans="1:13">
      <c r="A1229" s="2105"/>
      <c r="B1229" s="2105"/>
      <c r="C1229" s="2105"/>
      <c r="D1229" s="2347"/>
      <c r="E1229" s="2105"/>
      <c r="F1229" s="2105"/>
      <c r="G1229" s="2105"/>
      <c r="H1229" s="2105"/>
      <c r="I1229" s="2348"/>
      <c r="J1229" s="2348"/>
      <c r="K1229" s="2348"/>
      <c r="L1229" s="2347"/>
      <c r="M1229" s="2105"/>
    </row>
    <row r="1230" spans="1:13">
      <c r="A1230" s="2105"/>
      <c r="B1230" s="2105"/>
      <c r="C1230" s="2105"/>
      <c r="D1230" s="2347"/>
      <c r="E1230" s="2105"/>
      <c r="F1230" s="2105"/>
      <c r="G1230" s="2105"/>
      <c r="H1230" s="2105"/>
      <c r="I1230" s="2348"/>
      <c r="J1230" s="2348"/>
      <c r="K1230" s="2348"/>
      <c r="L1230" s="2347"/>
      <c r="M1230" s="2105"/>
    </row>
    <row r="1231" spans="1:13">
      <c r="A1231" s="2105"/>
      <c r="B1231" s="2105"/>
      <c r="C1231" s="2105"/>
      <c r="D1231" s="2347"/>
      <c r="E1231" s="2105"/>
      <c r="F1231" s="2105"/>
      <c r="G1231" s="2105"/>
      <c r="H1231" s="2105"/>
      <c r="I1231" s="2348"/>
      <c r="J1231" s="2348"/>
      <c r="K1231" s="2348"/>
      <c r="L1231" s="2347"/>
      <c r="M1231" s="2105"/>
    </row>
    <row r="1232" spans="1:13">
      <c r="A1232" s="2105"/>
      <c r="B1232" s="2105"/>
      <c r="C1232" s="2105"/>
      <c r="D1232" s="2347"/>
      <c r="E1232" s="2105"/>
      <c r="F1232" s="2105"/>
      <c r="G1232" s="2105"/>
      <c r="H1232" s="2105"/>
      <c r="I1232" s="2348"/>
      <c r="J1232" s="2348"/>
      <c r="K1232" s="2348"/>
      <c r="L1232" s="2347"/>
      <c r="M1232" s="2105"/>
    </row>
    <row r="1233" spans="1:13">
      <c r="A1233" s="2105"/>
      <c r="B1233" s="2105"/>
      <c r="C1233" s="2105"/>
      <c r="D1233" s="2347"/>
      <c r="E1233" s="2105"/>
      <c r="F1233" s="2105"/>
      <c r="G1233" s="2105"/>
      <c r="H1233" s="2105"/>
      <c r="I1233" s="2348"/>
      <c r="J1233" s="2348"/>
      <c r="K1233" s="2348"/>
      <c r="L1233" s="2347"/>
      <c r="M1233" s="2105"/>
    </row>
    <row r="1234" spans="1:13">
      <c r="A1234" s="2105"/>
      <c r="B1234" s="2105"/>
      <c r="C1234" s="2105"/>
      <c r="D1234" s="2347"/>
      <c r="E1234" s="2105"/>
      <c r="F1234" s="2105"/>
      <c r="G1234" s="2105"/>
      <c r="H1234" s="2105"/>
      <c r="I1234" s="2348"/>
      <c r="J1234" s="2348"/>
      <c r="K1234" s="2348"/>
      <c r="L1234" s="2347"/>
      <c r="M1234" s="2105"/>
    </row>
    <row r="1235" spans="1:13">
      <c r="A1235" s="2105"/>
      <c r="B1235" s="2105"/>
      <c r="C1235" s="2105"/>
      <c r="D1235" s="2347"/>
      <c r="E1235" s="2105"/>
      <c r="F1235" s="2105"/>
      <c r="G1235" s="2105"/>
      <c r="H1235" s="2105"/>
      <c r="I1235" s="2348"/>
      <c r="J1235" s="2348"/>
      <c r="K1235" s="2348"/>
      <c r="L1235" s="2347"/>
      <c r="M1235" s="2105"/>
    </row>
    <row r="1236" spans="1:13">
      <c r="A1236" s="2105"/>
      <c r="B1236" s="2105"/>
      <c r="C1236" s="2105"/>
      <c r="D1236" s="2347"/>
      <c r="E1236" s="2105"/>
      <c r="F1236" s="2105"/>
      <c r="G1236" s="2105"/>
      <c r="H1236" s="2105"/>
      <c r="I1236" s="2348"/>
      <c r="J1236" s="2348"/>
      <c r="K1236" s="2348"/>
      <c r="L1236" s="2347"/>
      <c r="M1236" s="2105"/>
    </row>
    <row r="1237" spans="1:13">
      <c r="A1237" s="2105"/>
      <c r="B1237" s="2105"/>
      <c r="C1237" s="2105"/>
      <c r="D1237" s="2347"/>
      <c r="E1237" s="2105"/>
      <c r="F1237" s="2105"/>
      <c r="G1237" s="2105"/>
      <c r="H1237" s="2105"/>
      <c r="I1237" s="2348"/>
      <c r="J1237" s="2348"/>
      <c r="K1237" s="2348"/>
      <c r="L1237" s="2347"/>
      <c r="M1237" s="2105"/>
    </row>
    <row r="1238" spans="1:13">
      <c r="A1238" s="2105"/>
      <c r="B1238" s="2105"/>
      <c r="C1238" s="2105"/>
      <c r="D1238" s="2347"/>
      <c r="E1238" s="2105"/>
      <c r="F1238" s="2105"/>
      <c r="G1238" s="2105"/>
      <c r="H1238" s="2105"/>
      <c r="I1238" s="2348"/>
      <c r="J1238" s="2348"/>
      <c r="K1238" s="2348"/>
      <c r="L1238" s="2347"/>
      <c r="M1238" s="2105"/>
    </row>
    <row r="1239" spans="1:13">
      <c r="A1239" s="2105"/>
      <c r="B1239" s="2105"/>
      <c r="C1239" s="2105"/>
      <c r="D1239" s="2347"/>
      <c r="E1239" s="2105"/>
      <c r="F1239" s="2105"/>
      <c r="G1239" s="2105"/>
      <c r="H1239" s="2105"/>
      <c r="I1239" s="2348"/>
      <c r="J1239" s="2348"/>
      <c r="K1239" s="2348"/>
      <c r="L1239" s="2347"/>
      <c r="M1239" s="2105"/>
    </row>
    <row r="1240" spans="1:13">
      <c r="A1240" s="2105"/>
      <c r="B1240" s="2105"/>
      <c r="C1240" s="2105"/>
      <c r="D1240" s="2347"/>
      <c r="E1240" s="2105"/>
      <c r="F1240" s="2105"/>
      <c r="G1240" s="2105"/>
      <c r="H1240" s="2105"/>
      <c r="I1240" s="2348"/>
      <c r="J1240" s="2348"/>
      <c r="K1240" s="2348"/>
      <c r="L1240" s="2347"/>
      <c r="M1240" s="2105"/>
    </row>
    <row r="1241" spans="1:13">
      <c r="A1241" s="2105"/>
      <c r="B1241" s="2105"/>
      <c r="C1241" s="2105"/>
      <c r="D1241" s="2347"/>
      <c r="E1241" s="2105"/>
      <c r="F1241" s="2105"/>
      <c r="G1241" s="2105"/>
      <c r="H1241" s="2105"/>
      <c r="I1241" s="2348"/>
      <c r="J1241" s="2348"/>
      <c r="K1241" s="2348"/>
      <c r="L1241" s="2347"/>
      <c r="M1241" s="2105"/>
    </row>
    <row r="1242" spans="1:13">
      <c r="A1242" s="2105"/>
      <c r="B1242" s="2105"/>
      <c r="C1242" s="2105"/>
      <c r="D1242" s="2347"/>
      <c r="E1242" s="2105"/>
      <c r="F1242" s="2105"/>
      <c r="G1242" s="2105"/>
      <c r="H1242" s="2105"/>
      <c r="I1242" s="2348"/>
      <c r="J1242" s="2348"/>
      <c r="K1242" s="2348"/>
      <c r="L1242" s="2347"/>
      <c r="M1242" s="2105"/>
    </row>
    <row r="1243" spans="1:13">
      <c r="A1243" s="2105"/>
      <c r="B1243" s="2105"/>
      <c r="C1243" s="2105"/>
      <c r="D1243" s="2347"/>
      <c r="E1243" s="2105"/>
      <c r="F1243" s="2105"/>
      <c r="G1243" s="2105"/>
      <c r="H1243" s="2105"/>
      <c r="I1243" s="2348"/>
      <c r="J1243" s="2348"/>
      <c r="K1243" s="2348"/>
      <c r="L1243" s="2347"/>
      <c r="M1243" s="2105"/>
    </row>
    <row r="1244" spans="1:13">
      <c r="A1244" s="2105"/>
      <c r="B1244" s="2105"/>
      <c r="C1244" s="2105"/>
      <c r="D1244" s="2347"/>
      <c r="E1244" s="2105"/>
      <c r="F1244" s="2105"/>
      <c r="G1244" s="2105"/>
      <c r="H1244" s="2105"/>
      <c r="I1244" s="2348"/>
      <c r="J1244" s="2348"/>
      <c r="K1244" s="2348"/>
      <c r="L1244" s="2347"/>
      <c r="M1244" s="2105"/>
    </row>
    <row r="1245" spans="1:13">
      <c r="A1245" s="2105"/>
      <c r="B1245" s="2105"/>
      <c r="C1245" s="2105"/>
      <c r="D1245" s="2347"/>
      <c r="E1245" s="2105"/>
      <c r="F1245" s="2105"/>
      <c r="G1245" s="2105"/>
      <c r="H1245" s="2105"/>
      <c r="I1245" s="2348"/>
      <c r="J1245" s="2348"/>
      <c r="K1245" s="2348"/>
      <c r="L1245" s="2347"/>
      <c r="M1245" s="2105"/>
    </row>
    <row r="1246" spans="1:13">
      <c r="A1246" s="2105"/>
      <c r="B1246" s="2105"/>
      <c r="C1246" s="2105"/>
      <c r="D1246" s="2347"/>
      <c r="E1246" s="2105"/>
      <c r="F1246" s="2105"/>
      <c r="G1246" s="2105"/>
      <c r="H1246" s="2105"/>
      <c r="I1246" s="2348"/>
      <c r="J1246" s="2348"/>
      <c r="K1246" s="2348"/>
      <c r="L1246" s="2347"/>
      <c r="M1246" s="2105"/>
    </row>
    <row r="1247" spans="1:13">
      <c r="A1247" s="2105"/>
      <c r="B1247" s="2105"/>
      <c r="C1247" s="2105"/>
      <c r="D1247" s="2347"/>
      <c r="E1247" s="2105"/>
      <c r="F1247" s="2105"/>
      <c r="G1247" s="2105"/>
      <c r="H1247" s="2105"/>
      <c r="I1247" s="2348"/>
      <c r="J1247" s="2348"/>
      <c r="K1247" s="2348"/>
      <c r="L1247" s="2347"/>
      <c r="M1247" s="2105"/>
    </row>
    <row r="1248" spans="1:13">
      <c r="A1248" s="2105"/>
      <c r="B1248" s="2105"/>
      <c r="C1248" s="2105"/>
      <c r="D1248" s="2347"/>
      <c r="E1248" s="2105"/>
      <c r="F1248" s="2105"/>
      <c r="G1248" s="2105"/>
      <c r="H1248" s="2105"/>
      <c r="I1248" s="2348"/>
      <c r="J1248" s="2348"/>
      <c r="K1248" s="2348"/>
      <c r="L1248" s="2347"/>
      <c r="M1248" s="2105"/>
    </row>
    <row r="1249" spans="1:13">
      <c r="A1249" s="2105"/>
      <c r="B1249" s="2105"/>
      <c r="C1249" s="2105"/>
      <c r="D1249" s="2347"/>
      <c r="E1249" s="2105"/>
      <c r="F1249" s="2105"/>
      <c r="G1249" s="2105"/>
      <c r="H1249" s="2105"/>
      <c r="I1249" s="2348"/>
      <c r="J1249" s="2348"/>
      <c r="K1249" s="2348"/>
      <c r="L1249" s="2347"/>
      <c r="M1249" s="2105"/>
    </row>
    <row r="1250" spans="1:13">
      <c r="A1250" s="2105"/>
      <c r="B1250" s="2105"/>
      <c r="C1250" s="2105"/>
      <c r="D1250" s="2347"/>
      <c r="E1250" s="2105"/>
      <c r="F1250" s="2105"/>
      <c r="G1250" s="2105"/>
      <c r="H1250" s="2105"/>
      <c r="I1250" s="2348"/>
      <c r="J1250" s="2348"/>
      <c r="K1250" s="2348"/>
      <c r="L1250" s="2347"/>
      <c r="M1250" s="2105"/>
    </row>
    <row r="1251" spans="1:13">
      <c r="A1251" s="2105"/>
      <c r="B1251" s="2105"/>
      <c r="C1251" s="2105"/>
      <c r="D1251" s="2347"/>
      <c r="E1251" s="2105"/>
      <c r="F1251" s="2105"/>
      <c r="G1251" s="2105"/>
      <c r="H1251" s="2105"/>
      <c r="I1251" s="2348"/>
      <c r="J1251" s="2348"/>
      <c r="K1251" s="2348"/>
      <c r="L1251" s="2347"/>
      <c r="M1251" s="2105"/>
    </row>
    <row r="1252" spans="1:13">
      <c r="A1252" s="2105"/>
      <c r="B1252" s="2105"/>
      <c r="C1252" s="2105"/>
      <c r="D1252" s="2347"/>
      <c r="E1252" s="2105"/>
      <c r="F1252" s="2105"/>
      <c r="G1252" s="2105"/>
      <c r="H1252" s="2105"/>
      <c r="I1252" s="2348"/>
      <c r="J1252" s="2348"/>
      <c r="K1252" s="2348"/>
      <c r="L1252" s="2347"/>
      <c r="M1252" s="2105"/>
    </row>
    <row r="1253" spans="1:13">
      <c r="A1253" s="2105"/>
      <c r="B1253" s="2105"/>
      <c r="C1253" s="2105"/>
      <c r="D1253" s="2347"/>
      <c r="E1253" s="2105"/>
      <c r="F1253" s="2105"/>
      <c r="G1253" s="2105"/>
      <c r="H1253" s="2105"/>
      <c r="I1253" s="2348"/>
      <c r="J1253" s="2348"/>
      <c r="K1253" s="2348"/>
      <c r="L1253" s="2347"/>
      <c r="M1253" s="2105"/>
    </row>
    <row r="1254" spans="1:13">
      <c r="A1254" s="2105"/>
      <c r="B1254" s="2105"/>
      <c r="C1254" s="2105"/>
      <c r="D1254" s="2347"/>
      <c r="E1254" s="2105"/>
      <c r="F1254" s="2105"/>
      <c r="G1254" s="2105"/>
      <c r="H1254" s="2105"/>
      <c r="I1254" s="2348"/>
      <c r="J1254" s="2348"/>
      <c r="K1254" s="2348"/>
      <c r="L1254" s="2347"/>
      <c r="M1254" s="2105"/>
    </row>
    <row r="1255" spans="1:13">
      <c r="A1255" s="2105"/>
      <c r="B1255" s="2105"/>
      <c r="C1255" s="2105"/>
      <c r="D1255" s="2347"/>
      <c r="E1255" s="2105"/>
      <c r="F1255" s="2105"/>
      <c r="G1255" s="2105"/>
      <c r="H1255" s="2105"/>
      <c r="I1255" s="2348"/>
      <c r="J1255" s="2348"/>
      <c r="K1255" s="2348"/>
      <c r="L1255" s="2347"/>
      <c r="M1255" s="2105"/>
    </row>
    <row r="1256" spans="1:13">
      <c r="A1256" s="2105"/>
      <c r="B1256" s="2105"/>
      <c r="C1256" s="2105"/>
      <c r="D1256" s="2347"/>
      <c r="E1256" s="2105"/>
      <c r="F1256" s="2105"/>
      <c r="G1256" s="2105"/>
      <c r="H1256" s="2105"/>
      <c r="I1256" s="2348"/>
      <c r="J1256" s="2348"/>
      <c r="K1256" s="2348"/>
      <c r="L1256" s="2347"/>
      <c r="M1256" s="2105"/>
    </row>
    <row r="1257" spans="1:13">
      <c r="A1257" s="2105"/>
      <c r="B1257" s="2105"/>
      <c r="C1257" s="2105"/>
      <c r="D1257" s="2347"/>
      <c r="E1257" s="2105"/>
      <c r="F1257" s="2105"/>
      <c r="G1257" s="2105"/>
      <c r="H1257" s="2105"/>
      <c r="I1257" s="2348"/>
      <c r="J1257" s="2348"/>
      <c r="K1257" s="2348"/>
      <c r="L1257" s="2347"/>
      <c r="M1257" s="2105"/>
    </row>
    <row r="1258" spans="1:13">
      <c r="A1258" s="2105"/>
      <c r="B1258" s="2105"/>
      <c r="C1258" s="2105"/>
      <c r="D1258" s="2347"/>
      <c r="E1258" s="2105"/>
      <c r="F1258" s="2105"/>
      <c r="G1258" s="2105"/>
      <c r="H1258" s="2105"/>
      <c r="I1258" s="2348"/>
      <c r="J1258" s="2348"/>
      <c r="K1258" s="2348"/>
      <c r="L1258" s="2347"/>
      <c r="M1258" s="2105"/>
    </row>
    <row r="1259" spans="1:13">
      <c r="A1259" s="2105"/>
      <c r="B1259" s="2105"/>
      <c r="C1259" s="2105"/>
      <c r="D1259" s="2347"/>
      <c r="E1259" s="2105"/>
      <c r="F1259" s="2105"/>
      <c r="G1259" s="2105"/>
      <c r="H1259" s="2105"/>
      <c r="I1259" s="2348"/>
      <c r="J1259" s="2348"/>
      <c r="K1259" s="2348"/>
      <c r="L1259" s="2347"/>
      <c r="M1259" s="2105"/>
    </row>
    <row r="1260" spans="1:13">
      <c r="A1260" s="2105"/>
      <c r="B1260" s="2105"/>
      <c r="C1260" s="2105"/>
      <c r="D1260" s="2347"/>
      <c r="E1260" s="2105"/>
      <c r="F1260" s="2105"/>
      <c r="G1260" s="2105"/>
      <c r="H1260" s="2105"/>
      <c r="I1260" s="2348"/>
      <c r="J1260" s="2348"/>
      <c r="K1260" s="2348"/>
      <c r="L1260" s="2347"/>
      <c r="M1260" s="2105"/>
    </row>
    <row r="1261" spans="1:13">
      <c r="A1261" s="2105"/>
      <c r="B1261" s="2105"/>
      <c r="C1261" s="2105"/>
      <c r="D1261" s="2347"/>
      <c r="E1261" s="2105"/>
      <c r="F1261" s="2105"/>
      <c r="G1261" s="2105"/>
      <c r="H1261" s="2105"/>
      <c r="I1261" s="2348"/>
      <c r="J1261" s="2348"/>
      <c r="K1261" s="2348"/>
      <c r="L1261" s="2347"/>
      <c r="M1261" s="2105"/>
    </row>
  </sheetData>
  <autoFilter ref="A8:M878" xr:uid="{BE41A626-F20C-457A-A63F-E757D06F7E29}">
    <filterColumn colId="0">
      <filters>
        <dateGroupItem year="2021" dateTimeGrouping="year"/>
        <dateGroupItem year="2020" dateTimeGrouping="year"/>
        <dateGroupItem year="2019" dateTimeGrouping="year"/>
      </filters>
    </filterColumn>
    <filterColumn colId="1">
      <colorFilter dxfId="62"/>
    </filterColumn>
  </autoFilter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00360-94F4-41A3-8776-8794CD9B8CB0}">
  <dimension ref="A1:F47"/>
  <sheetViews>
    <sheetView workbookViewId="0">
      <selection activeCell="D5" sqref="D5"/>
    </sheetView>
  </sheetViews>
  <sheetFormatPr defaultRowHeight="15"/>
  <cols>
    <col min="1" max="1" width="15.7109375" bestFit="1" customWidth="1"/>
    <col min="2" max="2" width="14" style="2507" bestFit="1" customWidth="1"/>
    <col min="3" max="3" width="10.42578125" style="2507" bestFit="1" customWidth="1"/>
    <col min="4" max="4" width="12.42578125" style="2507" bestFit="1" customWidth="1"/>
    <col min="5" max="5" width="15.28515625" style="2507" bestFit="1" customWidth="1"/>
    <col min="6" max="6" width="16.5703125" style="2507" bestFit="1" customWidth="1"/>
    <col min="7" max="7" width="4" bestFit="1" customWidth="1"/>
    <col min="8" max="9" width="3" bestFit="1" customWidth="1"/>
    <col min="10" max="10" width="4" bestFit="1" customWidth="1"/>
    <col min="11" max="11" width="3" bestFit="1" customWidth="1"/>
    <col min="12" max="12" width="4" bestFit="1" customWidth="1"/>
    <col min="13" max="13" width="6" bestFit="1" customWidth="1"/>
    <col min="14" max="14" width="4" bestFit="1" customWidth="1"/>
    <col min="15" max="15" width="3" bestFit="1" customWidth="1"/>
    <col min="16" max="16" width="4" bestFit="1" customWidth="1"/>
    <col min="17" max="17" width="3" bestFit="1" customWidth="1"/>
    <col min="18" max="18" width="5" bestFit="1" customWidth="1"/>
    <col min="19" max="19" width="12" bestFit="1" customWidth="1"/>
    <col min="20" max="20" width="4" bestFit="1" customWidth="1"/>
    <col min="21" max="21" width="12" bestFit="1" customWidth="1"/>
    <col min="22" max="22" width="3" bestFit="1" customWidth="1"/>
    <col min="23" max="23" width="5" bestFit="1" customWidth="1"/>
    <col min="24" max="24" width="3" bestFit="1" customWidth="1"/>
    <col min="25" max="25" width="12" bestFit="1" customWidth="1"/>
    <col min="26" max="26" width="5" bestFit="1" customWidth="1"/>
    <col min="27" max="31" width="3" bestFit="1" customWidth="1"/>
    <col min="32" max="32" width="5" bestFit="1" customWidth="1"/>
    <col min="33" max="33" width="12" bestFit="1" customWidth="1"/>
    <col min="34" max="34" width="5" bestFit="1" customWidth="1"/>
    <col min="35" max="35" width="4" bestFit="1" customWidth="1"/>
    <col min="36" max="36" width="5" bestFit="1" customWidth="1"/>
    <col min="37" max="37" width="12" bestFit="1" customWidth="1"/>
    <col min="38" max="38" width="3" bestFit="1" customWidth="1"/>
    <col min="39" max="39" width="5" bestFit="1" customWidth="1"/>
    <col min="40" max="40" width="12" bestFit="1" customWidth="1"/>
    <col min="41" max="41" width="3" bestFit="1" customWidth="1"/>
    <col min="42" max="43" width="12" bestFit="1" customWidth="1"/>
    <col min="44" max="44" width="3" bestFit="1" customWidth="1"/>
    <col min="45" max="45" width="12" bestFit="1" customWidth="1"/>
    <col min="46" max="46" width="3" bestFit="1" customWidth="1"/>
    <col min="47" max="47" width="4" bestFit="1" customWidth="1"/>
    <col min="48" max="48" width="3" bestFit="1" customWidth="1"/>
    <col min="49" max="49" width="12" bestFit="1" customWidth="1"/>
    <col min="50" max="51" width="3" bestFit="1" customWidth="1"/>
    <col min="52" max="52" width="12" bestFit="1" customWidth="1"/>
    <col min="53" max="54" width="4" bestFit="1" customWidth="1"/>
    <col min="55" max="55" width="5" bestFit="1" customWidth="1"/>
    <col min="56" max="56" width="3" bestFit="1" customWidth="1"/>
    <col min="57" max="57" width="4" bestFit="1" customWidth="1"/>
    <col min="58" max="58" width="12" bestFit="1" customWidth="1"/>
    <col min="59" max="59" width="3" bestFit="1" customWidth="1"/>
    <col min="60" max="60" width="4" bestFit="1" customWidth="1"/>
    <col min="61" max="64" width="3" bestFit="1" customWidth="1"/>
    <col min="65" max="65" width="12" bestFit="1" customWidth="1"/>
    <col min="66" max="66" width="5" bestFit="1" customWidth="1"/>
    <col min="67" max="69" width="4" bestFit="1" customWidth="1"/>
    <col min="70" max="71" width="12" bestFit="1" customWidth="1"/>
    <col min="72" max="72" width="4" bestFit="1" customWidth="1"/>
    <col min="73" max="73" width="12" bestFit="1" customWidth="1"/>
    <col min="74" max="74" width="5" bestFit="1" customWidth="1"/>
    <col min="75" max="76" width="4" bestFit="1" customWidth="1"/>
    <col min="77" max="77" width="12" bestFit="1" customWidth="1"/>
    <col min="78" max="78" width="5" bestFit="1" customWidth="1"/>
    <col min="79" max="80" width="4" bestFit="1" customWidth="1"/>
    <col min="81" max="81" width="5" bestFit="1" customWidth="1"/>
    <col min="82" max="84" width="12" bestFit="1" customWidth="1"/>
    <col min="85" max="85" width="6" bestFit="1" customWidth="1"/>
    <col min="86" max="86" width="4" bestFit="1" customWidth="1"/>
    <col min="87" max="88" width="12" bestFit="1" customWidth="1"/>
    <col min="89" max="89" width="4" bestFit="1" customWidth="1"/>
    <col min="90" max="91" width="5" bestFit="1" customWidth="1"/>
    <col min="92" max="92" width="12" bestFit="1" customWidth="1"/>
    <col min="93" max="94" width="4" bestFit="1" customWidth="1"/>
    <col min="95" max="95" width="5" bestFit="1" customWidth="1"/>
    <col min="96" max="98" width="4" bestFit="1" customWidth="1"/>
    <col min="99" max="100" width="12" bestFit="1" customWidth="1"/>
    <col min="101" max="101" width="5" bestFit="1" customWidth="1"/>
    <col min="102" max="120" width="4" bestFit="1" customWidth="1"/>
    <col min="121" max="121" width="12" bestFit="1" customWidth="1"/>
    <col min="122" max="133" width="4" bestFit="1" customWidth="1"/>
    <col min="134" max="134" width="12" bestFit="1" customWidth="1"/>
    <col min="135" max="140" width="4" bestFit="1" customWidth="1"/>
    <col min="141" max="141" width="16.5703125" bestFit="1" customWidth="1"/>
    <col min="142" max="142" width="14.42578125" bestFit="1" customWidth="1"/>
    <col min="143" max="143" width="3" bestFit="1" customWidth="1"/>
    <col min="144" max="151" width="4" bestFit="1" customWidth="1"/>
    <col min="152" max="152" width="12" bestFit="1" customWidth="1"/>
    <col min="153" max="153" width="4.85546875" bestFit="1" customWidth="1"/>
    <col min="154" max="162" width="3" bestFit="1" customWidth="1"/>
    <col min="163" max="164" width="4" bestFit="1" customWidth="1"/>
    <col min="165" max="165" width="12" bestFit="1" customWidth="1"/>
    <col min="166" max="166" width="4.85546875" bestFit="1" customWidth="1"/>
    <col min="167" max="169" width="3" bestFit="1" customWidth="1"/>
    <col min="170" max="174" width="4" bestFit="1" customWidth="1"/>
    <col min="175" max="175" width="12" bestFit="1" customWidth="1"/>
    <col min="176" max="176" width="4.85546875" bestFit="1" customWidth="1"/>
    <col min="177" max="179" width="3" bestFit="1" customWidth="1"/>
    <col min="180" max="180" width="5" bestFit="1" customWidth="1"/>
    <col min="181" max="183" width="3" bestFit="1" customWidth="1"/>
    <col min="184" max="191" width="4" bestFit="1" customWidth="1"/>
    <col min="192" max="192" width="12" bestFit="1" customWidth="1"/>
    <col min="193" max="193" width="4.85546875" bestFit="1" customWidth="1"/>
    <col min="194" max="198" width="3" bestFit="1" customWidth="1"/>
    <col min="199" max="206" width="4" bestFit="1" customWidth="1"/>
    <col min="207" max="207" width="12" bestFit="1" customWidth="1"/>
    <col min="208" max="208" width="4.85546875" bestFit="1" customWidth="1"/>
    <col min="209" max="215" width="3" bestFit="1" customWidth="1"/>
    <col min="216" max="220" width="4" bestFit="1" customWidth="1"/>
    <col min="221" max="221" width="12" bestFit="1" customWidth="1"/>
    <col min="222" max="222" width="4.85546875" bestFit="1" customWidth="1"/>
    <col min="223" max="227" width="3" bestFit="1" customWidth="1"/>
    <col min="228" max="231" width="4" bestFit="1" customWidth="1"/>
    <col min="232" max="232" width="12" bestFit="1" customWidth="1"/>
    <col min="233" max="233" width="4.85546875" bestFit="1" customWidth="1"/>
    <col min="234" max="236" width="3" bestFit="1" customWidth="1"/>
    <col min="237" max="237" width="4" bestFit="1" customWidth="1"/>
    <col min="238" max="238" width="12" bestFit="1" customWidth="1"/>
    <col min="239" max="239" width="4.85546875" bestFit="1" customWidth="1"/>
    <col min="240" max="242" width="3" bestFit="1" customWidth="1"/>
    <col min="243" max="246" width="4" bestFit="1" customWidth="1"/>
    <col min="247" max="247" width="12" bestFit="1" customWidth="1"/>
    <col min="248" max="248" width="4.85546875" bestFit="1" customWidth="1"/>
    <col min="249" max="252" width="3" bestFit="1" customWidth="1"/>
    <col min="253" max="254" width="4" bestFit="1" customWidth="1"/>
    <col min="255" max="255" width="12" bestFit="1" customWidth="1"/>
    <col min="256" max="256" width="4.85546875" bestFit="1" customWidth="1"/>
    <col min="257" max="258" width="3" bestFit="1" customWidth="1"/>
    <col min="259" max="264" width="4" bestFit="1" customWidth="1"/>
    <col min="265" max="265" width="12" bestFit="1" customWidth="1"/>
    <col min="266" max="266" width="4.85546875" bestFit="1" customWidth="1"/>
    <col min="267" max="271" width="3" bestFit="1" customWidth="1"/>
    <col min="272" max="275" width="4" bestFit="1" customWidth="1"/>
    <col min="276" max="276" width="12" bestFit="1" customWidth="1"/>
    <col min="277" max="277" width="4.85546875" bestFit="1" customWidth="1"/>
    <col min="278" max="279" width="4" bestFit="1" customWidth="1"/>
    <col min="280" max="280" width="10.140625" bestFit="1" customWidth="1"/>
    <col min="281" max="281" width="4.85546875" bestFit="1" customWidth="1"/>
    <col min="282" max="283" width="3" bestFit="1" customWidth="1"/>
    <col min="284" max="287" width="4" bestFit="1" customWidth="1"/>
    <col min="288" max="288" width="12" bestFit="1" customWidth="1"/>
    <col min="289" max="289" width="4.85546875" bestFit="1" customWidth="1"/>
    <col min="290" max="290" width="3" bestFit="1" customWidth="1"/>
    <col min="291" max="294" width="4" bestFit="1" customWidth="1"/>
    <col min="295" max="295" width="12" bestFit="1" customWidth="1"/>
    <col min="296" max="296" width="4.85546875" bestFit="1" customWidth="1"/>
    <col min="297" max="299" width="4" bestFit="1" customWidth="1"/>
    <col min="300" max="300" width="10.140625" bestFit="1" customWidth="1"/>
    <col min="301" max="301" width="4.85546875" bestFit="1" customWidth="1"/>
    <col min="302" max="302" width="12" bestFit="1" customWidth="1"/>
    <col min="303" max="304" width="4" bestFit="1" customWidth="1"/>
    <col min="305" max="305" width="12" bestFit="1" customWidth="1"/>
    <col min="306" max="306" width="4.85546875" bestFit="1" customWidth="1"/>
    <col min="307" max="309" width="3" bestFit="1" customWidth="1"/>
    <col min="310" max="310" width="4" bestFit="1" customWidth="1"/>
    <col min="311" max="311" width="10.140625" bestFit="1" customWidth="1"/>
    <col min="312" max="312" width="4.85546875" bestFit="1" customWidth="1"/>
    <col min="313" max="317" width="4" bestFit="1" customWidth="1"/>
    <col min="318" max="318" width="12" bestFit="1" customWidth="1"/>
    <col min="319" max="319" width="4.85546875" bestFit="1" customWidth="1"/>
    <col min="320" max="321" width="4" bestFit="1" customWidth="1"/>
    <col min="322" max="322" width="10.140625" bestFit="1" customWidth="1"/>
    <col min="323" max="323" width="4.85546875" bestFit="1" customWidth="1"/>
    <col min="324" max="324" width="10.140625" bestFit="1" customWidth="1"/>
    <col min="325" max="325" width="4.85546875" bestFit="1" customWidth="1"/>
    <col min="326" max="327" width="4" bestFit="1" customWidth="1"/>
    <col min="328" max="328" width="10.140625" bestFit="1" customWidth="1"/>
    <col min="329" max="329" width="4.85546875" bestFit="1" customWidth="1"/>
    <col min="330" max="330" width="4" bestFit="1" customWidth="1"/>
    <col min="331" max="331" width="12" bestFit="1" customWidth="1"/>
    <col min="332" max="332" width="4.85546875" bestFit="1" customWidth="1"/>
    <col min="333" max="335" width="4" bestFit="1" customWidth="1"/>
    <col min="336" max="336" width="10.140625" bestFit="1" customWidth="1"/>
    <col min="337" max="337" width="4.85546875" bestFit="1" customWidth="1"/>
    <col min="338" max="339" width="4" bestFit="1" customWidth="1"/>
    <col min="340" max="340" width="10.140625" bestFit="1" customWidth="1"/>
    <col min="341" max="341" width="4.85546875" bestFit="1" customWidth="1"/>
    <col min="342" max="342" width="10.140625" bestFit="1" customWidth="1"/>
    <col min="343" max="343" width="4.85546875" bestFit="1" customWidth="1"/>
    <col min="344" max="346" width="4" bestFit="1" customWidth="1"/>
    <col min="347" max="347" width="10.140625" bestFit="1" customWidth="1"/>
    <col min="348" max="348" width="4.85546875" bestFit="1" customWidth="1"/>
    <col min="349" max="349" width="10.140625" bestFit="1" customWidth="1"/>
    <col min="350" max="350" width="4.85546875" bestFit="1" customWidth="1"/>
    <col min="351" max="351" width="4" bestFit="1" customWidth="1"/>
    <col min="352" max="352" width="10.140625" bestFit="1" customWidth="1"/>
    <col min="353" max="353" width="4.85546875" bestFit="1" customWidth="1"/>
    <col min="354" max="354" width="10.140625" bestFit="1" customWidth="1"/>
    <col min="355" max="355" width="4.85546875" bestFit="1" customWidth="1"/>
    <col min="356" max="356" width="4" bestFit="1" customWidth="1"/>
    <col min="357" max="357" width="10.140625" bestFit="1" customWidth="1"/>
    <col min="358" max="358" width="4.85546875" bestFit="1" customWidth="1"/>
    <col min="359" max="359" width="4" bestFit="1" customWidth="1"/>
    <col min="360" max="360" width="10.140625" bestFit="1" customWidth="1"/>
    <col min="361" max="361" width="4.85546875" bestFit="1" customWidth="1"/>
    <col min="362" max="362" width="10.140625" bestFit="1" customWidth="1"/>
    <col min="363" max="363" width="4.85546875" bestFit="1" customWidth="1"/>
    <col min="364" max="364" width="10.140625" bestFit="1" customWidth="1"/>
    <col min="365" max="365" width="4.85546875" bestFit="1" customWidth="1"/>
    <col min="366" max="367" width="4" bestFit="1" customWidth="1"/>
    <col min="368" max="368" width="10.140625" bestFit="1" customWidth="1"/>
    <col min="369" max="369" width="4.85546875" bestFit="1" customWidth="1"/>
    <col min="370" max="370" width="4" bestFit="1" customWidth="1"/>
    <col min="371" max="371" width="10.140625" bestFit="1" customWidth="1"/>
    <col min="372" max="372" width="4.85546875" bestFit="1" customWidth="1"/>
    <col min="373" max="373" width="10.140625" bestFit="1" customWidth="1"/>
    <col min="374" max="374" width="4.85546875" bestFit="1" customWidth="1"/>
    <col min="375" max="375" width="10.140625" bestFit="1" customWidth="1"/>
    <col min="376" max="376" width="5.85546875" bestFit="1" customWidth="1"/>
    <col min="377" max="377" width="11.140625" bestFit="1" customWidth="1"/>
    <col min="378" max="378" width="16.5703125" bestFit="1" customWidth="1"/>
    <col min="379" max="379" width="16.85546875" bestFit="1" customWidth="1"/>
    <col min="380" max="380" width="14.42578125" bestFit="1" customWidth="1"/>
    <col min="381" max="381" width="4" bestFit="1" customWidth="1"/>
    <col min="382" max="382" width="10.140625" bestFit="1" customWidth="1"/>
    <col min="383" max="383" width="4.85546875" bestFit="1" customWidth="1"/>
    <col min="384" max="384" width="10.140625" bestFit="1" customWidth="1"/>
    <col min="385" max="385" width="4.85546875" bestFit="1" customWidth="1"/>
    <col min="386" max="386" width="10.140625" bestFit="1" customWidth="1"/>
    <col min="387" max="387" width="4.85546875" bestFit="1" customWidth="1"/>
    <col min="388" max="388" width="10.140625" bestFit="1" customWidth="1"/>
    <col min="389" max="389" width="4.85546875" bestFit="1" customWidth="1"/>
    <col min="390" max="390" width="10.140625" bestFit="1" customWidth="1"/>
    <col min="391" max="391" width="4.85546875" bestFit="1" customWidth="1"/>
    <col min="392" max="392" width="10.140625" bestFit="1" customWidth="1"/>
    <col min="393" max="393" width="4.85546875" bestFit="1" customWidth="1"/>
    <col min="394" max="394" width="10.140625" bestFit="1" customWidth="1"/>
    <col min="395" max="395" width="12" bestFit="1" customWidth="1"/>
    <col min="396" max="396" width="4.85546875" bestFit="1" customWidth="1"/>
    <col min="397" max="397" width="10.140625" bestFit="1" customWidth="1"/>
    <col min="398" max="398" width="4.85546875" bestFit="1" customWidth="1"/>
    <col min="399" max="399" width="10.140625" bestFit="1" customWidth="1"/>
    <col min="400" max="400" width="4.85546875" bestFit="1" customWidth="1"/>
    <col min="401" max="401" width="10.140625" bestFit="1" customWidth="1"/>
    <col min="402" max="402" width="4.85546875" bestFit="1" customWidth="1"/>
    <col min="403" max="403" width="10.140625" bestFit="1" customWidth="1"/>
    <col min="404" max="404" width="4.85546875" bestFit="1" customWidth="1"/>
    <col min="405" max="406" width="10.140625" bestFit="1" customWidth="1"/>
    <col min="407" max="407" width="4.85546875" bestFit="1" customWidth="1"/>
    <col min="408" max="408" width="10.140625" bestFit="1" customWidth="1"/>
    <col min="409" max="409" width="4.85546875" bestFit="1" customWidth="1"/>
    <col min="410" max="410" width="10.140625" bestFit="1" customWidth="1"/>
    <col min="411" max="411" width="4.85546875" bestFit="1" customWidth="1"/>
    <col min="412" max="412" width="10.140625" bestFit="1" customWidth="1"/>
    <col min="413" max="413" width="4.85546875" bestFit="1" customWidth="1"/>
    <col min="414" max="414" width="10.140625" bestFit="1" customWidth="1"/>
    <col min="415" max="415" width="4.85546875" bestFit="1" customWidth="1"/>
    <col min="416" max="416" width="10.140625" bestFit="1" customWidth="1"/>
    <col min="417" max="417" width="12" bestFit="1" customWidth="1"/>
    <col min="418" max="418" width="4.85546875" bestFit="1" customWidth="1"/>
    <col min="419" max="419" width="10.140625" bestFit="1" customWidth="1"/>
    <col min="420" max="420" width="4.85546875" bestFit="1" customWidth="1"/>
    <col min="421" max="421" width="10.140625" bestFit="1" customWidth="1"/>
    <col min="422" max="422" width="4.85546875" bestFit="1" customWidth="1"/>
    <col min="423" max="423" width="10.140625" bestFit="1" customWidth="1"/>
    <col min="424" max="424" width="4.85546875" bestFit="1" customWidth="1"/>
    <col min="425" max="425" width="10.140625" bestFit="1" customWidth="1"/>
    <col min="426" max="426" width="4.85546875" bestFit="1" customWidth="1"/>
    <col min="427" max="427" width="10.140625" bestFit="1" customWidth="1"/>
    <col min="428" max="428" width="4.85546875" bestFit="1" customWidth="1"/>
    <col min="429" max="429" width="10.140625" bestFit="1" customWidth="1"/>
    <col min="430" max="430" width="4.85546875" bestFit="1" customWidth="1"/>
    <col min="431" max="431" width="10.140625" bestFit="1" customWidth="1"/>
    <col min="432" max="432" width="12" bestFit="1" customWidth="1"/>
    <col min="433" max="433" width="4.85546875" bestFit="1" customWidth="1"/>
    <col min="434" max="434" width="10.140625" bestFit="1" customWidth="1"/>
    <col min="435" max="435" width="4.85546875" bestFit="1" customWidth="1"/>
    <col min="436" max="436" width="10.140625" bestFit="1" customWidth="1"/>
    <col min="437" max="437" width="4.85546875" bestFit="1" customWidth="1"/>
    <col min="438" max="438" width="10.140625" bestFit="1" customWidth="1"/>
    <col min="439" max="439" width="4.85546875" bestFit="1" customWidth="1"/>
    <col min="440" max="440" width="10.140625" bestFit="1" customWidth="1"/>
    <col min="441" max="441" width="4.85546875" bestFit="1" customWidth="1"/>
    <col min="442" max="442" width="10.140625" bestFit="1" customWidth="1"/>
    <col min="443" max="443" width="4.85546875" bestFit="1" customWidth="1"/>
    <col min="444" max="444" width="10.140625" bestFit="1" customWidth="1"/>
    <col min="445" max="445" width="4.85546875" bestFit="1" customWidth="1"/>
    <col min="446" max="446" width="10.140625" bestFit="1" customWidth="1"/>
    <col min="447" max="447" width="4.85546875" bestFit="1" customWidth="1"/>
    <col min="448" max="448" width="10.140625" bestFit="1" customWidth="1"/>
    <col min="449" max="449" width="12" bestFit="1" customWidth="1"/>
    <col min="450" max="450" width="4.85546875" bestFit="1" customWidth="1"/>
    <col min="451" max="451" width="10.140625" bestFit="1" customWidth="1"/>
    <col min="452" max="452" width="4.85546875" bestFit="1" customWidth="1"/>
    <col min="453" max="453" width="10.140625" bestFit="1" customWidth="1"/>
    <col min="454" max="454" width="4.85546875" bestFit="1" customWidth="1"/>
    <col min="455" max="455" width="10.140625" bestFit="1" customWidth="1"/>
    <col min="456" max="456" width="4.85546875" bestFit="1" customWidth="1"/>
    <col min="457" max="457" width="10.140625" bestFit="1" customWidth="1"/>
    <col min="458" max="458" width="4.85546875" bestFit="1" customWidth="1"/>
    <col min="459" max="459" width="10.140625" bestFit="1" customWidth="1"/>
    <col min="460" max="460" width="4.85546875" bestFit="1" customWidth="1"/>
    <col min="461" max="461" width="10.140625" bestFit="1" customWidth="1"/>
    <col min="462" max="462" width="4.85546875" bestFit="1" customWidth="1"/>
    <col min="463" max="463" width="10.140625" bestFit="1" customWidth="1"/>
    <col min="464" max="464" width="4.85546875" bestFit="1" customWidth="1"/>
    <col min="465" max="465" width="10.140625" bestFit="1" customWidth="1"/>
    <col min="466" max="466" width="4.85546875" bestFit="1" customWidth="1"/>
    <col min="467" max="467" width="10.140625" bestFit="1" customWidth="1"/>
    <col min="468" max="468" width="4.85546875" bestFit="1" customWidth="1"/>
    <col min="469" max="469" width="10.140625" bestFit="1" customWidth="1"/>
    <col min="470" max="470" width="12" bestFit="1" customWidth="1"/>
    <col min="471" max="471" width="4.85546875" bestFit="1" customWidth="1"/>
    <col min="472" max="472" width="10.140625" bestFit="1" customWidth="1"/>
    <col min="473" max="473" width="4.85546875" bestFit="1" customWidth="1"/>
    <col min="474" max="474" width="10.140625" bestFit="1" customWidth="1"/>
    <col min="475" max="475" width="4.85546875" bestFit="1" customWidth="1"/>
    <col min="476" max="476" width="10.140625" bestFit="1" customWidth="1"/>
    <col min="477" max="477" width="4.85546875" bestFit="1" customWidth="1"/>
    <col min="478" max="478" width="10.140625" bestFit="1" customWidth="1"/>
    <col min="479" max="479" width="12" bestFit="1" customWidth="1"/>
    <col min="480" max="480" width="4.85546875" bestFit="1" customWidth="1"/>
    <col min="481" max="481" width="10.140625" bestFit="1" customWidth="1"/>
    <col min="482" max="482" width="4.85546875" bestFit="1" customWidth="1"/>
    <col min="483" max="483" width="10.140625" bestFit="1" customWidth="1"/>
    <col min="484" max="484" width="4.85546875" bestFit="1" customWidth="1"/>
    <col min="485" max="485" width="10.140625" bestFit="1" customWidth="1"/>
    <col min="486" max="486" width="4.85546875" bestFit="1" customWidth="1"/>
    <col min="487" max="487" width="10.140625" bestFit="1" customWidth="1"/>
    <col min="488" max="488" width="4.85546875" bestFit="1" customWidth="1"/>
    <col min="489" max="489" width="10.140625" bestFit="1" customWidth="1"/>
    <col min="490" max="490" width="12" bestFit="1" customWidth="1"/>
    <col min="491" max="491" width="4.85546875" bestFit="1" customWidth="1"/>
    <col min="492" max="492" width="10.140625" bestFit="1" customWidth="1"/>
    <col min="493" max="493" width="4.85546875" bestFit="1" customWidth="1"/>
    <col min="494" max="495" width="10.140625" bestFit="1" customWidth="1"/>
    <col min="496" max="496" width="4.85546875" bestFit="1" customWidth="1"/>
    <col min="497" max="497" width="10.140625" bestFit="1" customWidth="1"/>
    <col min="498" max="498" width="4.85546875" bestFit="1" customWidth="1"/>
    <col min="499" max="499" width="10.140625" bestFit="1" customWidth="1"/>
    <col min="500" max="500" width="4.85546875" bestFit="1" customWidth="1"/>
    <col min="501" max="502" width="10.140625" bestFit="1" customWidth="1"/>
    <col min="503" max="503" width="4.85546875" bestFit="1" customWidth="1"/>
    <col min="504" max="504" width="10.140625" bestFit="1" customWidth="1"/>
    <col min="505" max="505" width="4.85546875" bestFit="1" customWidth="1"/>
    <col min="506" max="506" width="10.140625" bestFit="1" customWidth="1"/>
    <col min="507" max="507" width="4.85546875" bestFit="1" customWidth="1"/>
    <col min="508" max="508" width="10.140625" bestFit="1" customWidth="1"/>
    <col min="509" max="509" width="4.85546875" bestFit="1" customWidth="1"/>
    <col min="510" max="510" width="10.140625" bestFit="1" customWidth="1"/>
    <col min="511" max="511" width="4.85546875" bestFit="1" customWidth="1"/>
    <col min="512" max="512" width="10.140625" bestFit="1" customWidth="1"/>
    <col min="513" max="513" width="4.85546875" bestFit="1" customWidth="1"/>
    <col min="514" max="515" width="10.140625" bestFit="1" customWidth="1"/>
    <col min="516" max="516" width="4.85546875" bestFit="1" customWidth="1"/>
    <col min="517" max="517" width="10.140625" bestFit="1" customWidth="1"/>
    <col min="518" max="518" width="4.85546875" bestFit="1" customWidth="1"/>
    <col min="519" max="519" width="10.140625" bestFit="1" customWidth="1"/>
    <col min="520" max="520" width="4.85546875" bestFit="1" customWidth="1"/>
    <col min="521" max="521" width="10.140625" bestFit="1" customWidth="1"/>
    <col min="522" max="522" width="4.85546875" bestFit="1" customWidth="1"/>
    <col min="523" max="524" width="10.140625" bestFit="1" customWidth="1"/>
    <col min="525" max="525" width="4.85546875" bestFit="1" customWidth="1"/>
    <col min="526" max="527" width="10.140625" bestFit="1" customWidth="1"/>
    <col min="528" max="528" width="4.85546875" bestFit="1" customWidth="1"/>
    <col min="529" max="529" width="9.140625" bestFit="1" customWidth="1"/>
    <col min="530" max="530" width="4.85546875" bestFit="1" customWidth="1"/>
    <col min="531" max="531" width="10.140625" bestFit="1" customWidth="1"/>
    <col min="532" max="532" width="4.85546875" bestFit="1" customWidth="1"/>
    <col min="533" max="533" width="10.140625" bestFit="1" customWidth="1"/>
    <col min="534" max="534" width="4.85546875" bestFit="1" customWidth="1"/>
    <col min="535" max="535" width="10.140625" bestFit="1" customWidth="1"/>
    <col min="536" max="536" width="4.85546875" bestFit="1" customWidth="1"/>
    <col min="537" max="537" width="10.140625" bestFit="1" customWidth="1"/>
    <col min="538" max="538" width="4.85546875" bestFit="1" customWidth="1"/>
    <col min="539" max="539" width="10.140625" bestFit="1" customWidth="1"/>
    <col min="540" max="540" width="4.85546875" bestFit="1" customWidth="1"/>
    <col min="541" max="542" width="10.140625" bestFit="1" customWidth="1"/>
    <col min="543" max="543" width="4.85546875" bestFit="1" customWidth="1"/>
    <col min="544" max="544" width="10.140625" bestFit="1" customWidth="1"/>
    <col min="545" max="545" width="4.85546875" bestFit="1" customWidth="1"/>
    <col min="546" max="547" width="10.140625" bestFit="1" customWidth="1"/>
    <col min="548" max="548" width="4.85546875" bestFit="1" customWidth="1"/>
    <col min="549" max="549" width="10.140625" bestFit="1" customWidth="1"/>
    <col min="550" max="550" width="4.85546875" bestFit="1" customWidth="1"/>
    <col min="551" max="551" width="10.140625" bestFit="1" customWidth="1"/>
    <col min="552" max="552" width="4.85546875" bestFit="1" customWidth="1"/>
    <col min="553" max="554" width="10.140625" bestFit="1" customWidth="1"/>
    <col min="555" max="555" width="4.85546875" bestFit="1" customWidth="1"/>
    <col min="556" max="556" width="10.140625" bestFit="1" customWidth="1"/>
    <col min="557" max="557" width="4.85546875" bestFit="1" customWidth="1"/>
    <col min="558" max="558" width="10.140625" bestFit="1" customWidth="1"/>
    <col min="559" max="559" width="12" bestFit="1" customWidth="1"/>
    <col min="560" max="560" width="4.85546875" bestFit="1" customWidth="1"/>
    <col min="561" max="561" width="10.140625" bestFit="1" customWidth="1"/>
    <col min="562" max="562" width="4.85546875" bestFit="1" customWidth="1"/>
    <col min="563" max="563" width="10.140625" bestFit="1" customWidth="1"/>
    <col min="564" max="564" width="4.85546875" bestFit="1" customWidth="1"/>
    <col min="565" max="565" width="10.140625" bestFit="1" customWidth="1"/>
    <col min="566" max="566" width="4.85546875" bestFit="1" customWidth="1"/>
    <col min="567" max="567" width="10.140625" bestFit="1" customWidth="1"/>
    <col min="568" max="568" width="4.85546875" bestFit="1" customWidth="1"/>
    <col min="569" max="569" width="10.140625" bestFit="1" customWidth="1"/>
    <col min="570" max="570" width="12" bestFit="1" customWidth="1"/>
    <col min="571" max="571" width="4.85546875" bestFit="1" customWidth="1"/>
    <col min="572" max="572" width="10.140625" bestFit="1" customWidth="1"/>
    <col min="573" max="573" width="4.85546875" bestFit="1" customWidth="1"/>
    <col min="574" max="574" width="10.140625" bestFit="1" customWidth="1"/>
    <col min="575" max="575" width="4.85546875" bestFit="1" customWidth="1"/>
    <col min="576" max="576" width="10.140625" bestFit="1" customWidth="1"/>
    <col min="577" max="577" width="4.85546875" bestFit="1" customWidth="1"/>
    <col min="578" max="578" width="10.140625" bestFit="1" customWidth="1"/>
    <col min="579" max="579" width="4.85546875" bestFit="1" customWidth="1"/>
    <col min="580" max="580" width="10.140625" bestFit="1" customWidth="1"/>
    <col min="581" max="581" width="4.85546875" bestFit="1" customWidth="1"/>
    <col min="582" max="582" width="10.140625" bestFit="1" customWidth="1"/>
    <col min="583" max="583" width="12" bestFit="1" customWidth="1"/>
    <col min="584" max="584" width="4.85546875" bestFit="1" customWidth="1"/>
    <col min="585" max="585" width="10.140625" bestFit="1" customWidth="1"/>
    <col min="586" max="586" width="4.85546875" bestFit="1" customWidth="1"/>
    <col min="587" max="588" width="10.140625" bestFit="1" customWidth="1"/>
    <col min="589" max="589" width="4.85546875" bestFit="1" customWidth="1"/>
    <col min="590" max="591" width="10.140625" bestFit="1" customWidth="1"/>
    <col min="592" max="592" width="4.85546875" bestFit="1" customWidth="1"/>
    <col min="593" max="593" width="10.140625" bestFit="1" customWidth="1"/>
    <col min="594" max="594" width="4.85546875" bestFit="1" customWidth="1"/>
    <col min="595" max="596" width="10.140625" bestFit="1" customWidth="1"/>
    <col min="597" max="597" width="4.85546875" bestFit="1" customWidth="1"/>
    <col min="598" max="599" width="10.140625" bestFit="1" customWidth="1"/>
    <col min="600" max="600" width="4.85546875" bestFit="1" customWidth="1"/>
    <col min="601" max="601" width="10.140625" bestFit="1" customWidth="1"/>
    <col min="602" max="602" width="4.85546875" bestFit="1" customWidth="1"/>
    <col min="603" max="603" width="10.140625" bestFit="1" customWidth="1"/>
    <col min="604" max="604" width="4.85546875" bestFit="1" customWidth="1"/>
    <col min="605" max="606" width="10.140625" bestFit="1" customWidth="1"/>
    <col min="607" max="607" width="4.85546875" bestFit="1" customWidth="1"/>
    <col min="608" max="608" width="10.140625" bestFit="1" customWidth="1"/>
    <col min="609" max="609" width="4.85546875" bestFit="1" customWidth="1"/>
    <col min="610" max="610" width="10.140625" bestFit="1" customWidth="1"/>
    <col min="611" max="611" width="4.85546875" bestFit="1" customWidth="1"/>
    <col min="612" max="612" width="10.140625" bestFit="1" customWidth="1"/>
    <col min="613" max="613" width="4.85546875" bestFit="1" customWidth="1"/>
    <col min="614" max="614" width="10.140625" bestFit="1" customWidth="1"/>
    <col min="615" max="615" width="4.85546875" bestFit="1" customWidth="1"/>
    <col min="616" max="616" width="10.140625" bestFit="1" customWidth="1"/>
    <col min="617" max="617" width="12" bestFit="1" customWidth="1"/>
    <col min="618" max="618" width="4.85546875" bestFit="1" customWidth="1"/>
    <col min="619" max="620" width="10.140625" bestFit="1" customWidth="1"/>
    <col min="621" max="621" width="4.85546875" bestFit="1" customWidth="1"/>
    <col min="622" max="622" width="10.140625" bestFit="1" customWidth="1"/>
    <col min="623" max="623" width="4.85546875" bestFit="1" customWidth="1"/>
    <col min="624" max="624" width="10.140625" bestFit="1" customWidth="1"/>
    <col min="625" max="625" width="4.85546875" bestFit="1" customWidth="1"/>
    <col min="626" max="627" width="10.140625" bestFit="1" customWidth="1"/>
    <col min="628" max="628" width="4.85546875" bestFit="1" customWidth="1"/>
    <col min="629" max="629" width="10.140625" bestFit="1" customWidth="1"/>
    <col min="630" max="630" width="4.85546875" bestFit="1" customWidth="1"/>
    <col min="631" max="632" width="10.140625" bestFit="1" customWidth="1"/>
    <col min="633" max="633" width="4.85546875" bestFit="1" customWidth="1"/>
    <col min="634" max="635" width="10.140625" bestFit="1" customWidth="1"/>
    <col min="636" max="636" width="4.85546875" bestFit="1" customWidth="1"/>
    <col min="637" max="638" width="10.140625" bestFit="1" customWidth="1"/>
    <col min="639" max="639" width="4.85546875" bestFit="1" customWidth="1"/>
    <col min="640" max="640" width="4" bestFit="1" customWidth="1"/>
    <col min="641" max="641" width="10.140625" bestFit="1" customWidth="1"/>
    <col min="642" max="642" width="4.85546875" bestFit="1" customWidth="1"/>
    <col min="643" max="643" width="10.140625" bestFit="1" customWidth="1"/>
    <col min="644" max="644" width="4.85546875" bestFit="1" customWidth="1"/>
    <col min="645" max="646" width="10.140625" bestFit="1" customWidth="1"/>
    <col min="647" max="647" width="4.85546875" bestFit="1" customWidth="1"/>
    <col min="648" max="649" width="10.140625" bestFit="1" customWidth="1"/>
    <col min="650" max="650" width="4.85546875" bestFit="1" customWidth="1"/>
    <col min="651" max="651" width="10.140625" bestFit="1" customWidth="1"/>
    <col min="652" max="652" width="4.85546875" bestFit="1" customWidth="1"/>
    <col min="653" max="654" width="10.140625" bestFit="1" customWidth="1"/>
    <col min="655" max="655" width="4.85546875" bestFit="1" customWidth="1"/>
    <col min="656" max="656" width="9.140625" bestFit="1" customWidth="1"/>
    <col min="657" max="657" width="10.140625" bestFit="1" customWidth="1"/>
    <col min="658" max="658" width="4.85546875" bestFit="1" customWidth="1"/>
    <col min="659" max="659" width="10.140625" bestFit="1" customWidth="1"/>
    <col min="660" max="660" width="4.85546875" bestFit="1" customWidth="1"/>
    <col min="661" max="661" width="10.140625" bestFit="1" customWidth="1"/>
    <col min="662" max="662" width="12" bestFit="1" customWidth="1"/>
    <col min="663" max="663" width="4.85546875" bestFit="1" customWidth="1"/>
    <col min="664" max="664" width="4" bestFit="1" customWidth="1"/>
    <col min="665" max="666" width="10.140625" bestFit="1" customWidth="1"/>
    <col min="667" max="667" width="4.85546875" bestFit="1" customWidth="1"/>
    <col min="668" max="669" width="10.140625" bestFit="1" customWidth="1"/>
    <col min="670" max="670" width="4.85546875" bestFit="1" customWidth="1"/>
    <col min="671" max="672" width="10.140625" bestFit="1" customWidth="1"/>
    <col min="673" max="673" width="4.85546875" bestFit="1" customWidth="1"/>
    <col min="674" max="674" width="10.140625" bestFit="1" customWidth="1"/>
    <col min="675" max="675" width="4.85546875" bestFit="1" customWidth="1"/>
    <col min="676" max="677" width="10.140625" bestFit="1" customWidth="1"/>
    <col min="678" max="678" width="4.85546875" bestFit="1" customWidth="1"/>
    <col min="679" max="679" width="10.140625" bestFit="1" customWidth="1"/>
    <col min="680" max="680" width="4.85546875" bestFit="1" customWidth="1"/>
    <col min="681" max="682" width="10.140625" bestFit="1" customWidth="1"/>
    <col min="683" max="683" width="4.85546875" bestFit="1" customWidth="1"/>
    <col min="684" max="684" width="10.140625" bestFit="1" customWidth="1"/>
    <col min="685" max="685" width="4.85546875" bestFit="1" customWidth="1"/>
    <col min="686" max="687" width="10.140625" bestFit="1" customWidth="1"/>
    <col min="688" max="688" width="4.85546875" bestFit="1" customWidth="1"/>
    <col min="689" max="689" width="10.140625" bestFit="1" customWidth="1"/>
    <col min="690" max="690" width="4.85546875" bestFit="1" customWidth="1"/>
    <col min="691" max="692" width="10.140625" bestFit="1" customWidth="1"/>
    <col min="693" max="693" width="4.85546875" bestFit="1" customWidth="1"/>
    <col min="694" max="695" width="10.140625" bestFit="1" customWidth="1"/>
    <col min="696" max="696" width="4.85546875" bestFit="1" customWidth="1"/>
    <col min="697" max="698" width="10.140625" bestFit="1" customWidth="1"/>
    <col min="699" max="699" width="4.85546875" bestFit="1" customWidth="1"/>
    <col min="700" max="701" width="10.140625" bestFit="1" customWidth="1"/>
    <col min="702" max="702" width="4.85546875" bestFit="1" customWidth="1"/>
    <col min="703" max="704" width="10.140625" bestFit="1" customWidth="1"/>
    <col min="705" max="705" width="4.85546875" bestFit="1" customWidth="1"/>
    <col min="706" max="707" width="10.140625" bestFit="1" customWidth="1"/>
    <col min="708" max="708" width="4.85546875" bestFit="1" customWidth="1"/>
    <col min="709" max="710" width="10.140625" bestFit="1" customWidth="1"/>
    <col min="711" max="711" width="5.85546875" bestFit="1" customWidth="1"/>
    <col min="712" max="712" width="10.140625" bestFit="1" customWidth="1"/>
    <col min="713" max="713" width="4.85546875" bestFit="1" customWidth="1"/>
    <col min="714" max="714" width="10.140625" bestFit="1" customWidth="1"/>
    <col min="715" max="715" width="4.85546875" bestFit="1" customWidth="1"/>
    <col min="716" max="716" width="10.140625" bestFit="1" customWidth="1"/>
    <col min="717" max="717" width="11.140625" bestFit="1" customWidth="1"/>
    <col min="718" max="718" width="5.85546875" bestFit="1" customWidth="1"/>
    <col min="719" max="719" width="10.140625" bestFit="1" customWidth="1"/>
    <col min="720" max="720" width="11.140625" bestFit="1" customWidth="1"/>
    <col min="721" max="721" width="5.85546875" bestFit="1" customWidth="1"/>
    <col min="722" max="722" width="10.140625" bestFit="1" customWidth="1"/>
    <col min="723" max="723" width="11.140625" bestFit="1" customWidth="1"/>
    <col min="724" max="724" width="16.5703125" bestFit="1" customWidth="1"/>
    <col min="725" max="726" width="16.85546875" bestFit="1" customWidth="1"/>
    <col min="727" max="727" width="14.42578125" bestFit="1" customWidth="1"/>
    <col min="728" max="728" width="10.140625" bestFit="1" customWidth="1"/>
    <col min="729" max="729" width="4.85546875" bestFit="1" customWidth="1"/>
    <col min="730" max="730" width="10.140625" bestFit="1" customWidth="1"/>
    <col min="731" max="731" width="4.85546875" bestFit="1" customWidth="1"/>
    <col min="732" max="733" width="10.140625" bestFit="1" customWidth="1"/>
    <col min="734" max="734" width="4.85546875" bestFit="1" customWidth="1"/>
    <col min="735" max="736" width="10.140625" bestFit="1" customWidth="1"/>
    <col min="737" max="737" width="4.85546875" bestFit="1" customWidth="1"/>
    <col min="738" max="739" width="10.140625" bestFit="1" customWidth="1"/>
    <col min="740" max="740" width="4.85546875" bestFit="1" customWidth="1"/>
    <col min="741" max="742" width="10.140625" bestFit="1" customWidth="1"/>
    <col min="743" max="743" width="4.85546875" bestFit="1" customWidth="1"/>
    <col min="744" max="744" width="10.140625" bestFit="1" customWidth="1"/>
    <col min="745" max="745" width="4.85546875" bestFit="1" customWidth="1"/>
    <col min="746" max="747" width="10.140625" bestFit="1" customWidth="1"/>
    <col min="748" max="748" width="12" bestFit="1" customWidth="1"/>
    <col min="749" max="749" width="4.85546875" bestFit="1" customWidth="1"/>
    <col min="750" max="751" width="10.140625" bestFit="1" customWidth="1"/>
    <col min="752" max="752" width="4.85546875" bestFit="1" customWidth="1"/>
    <col min="753" max="755" width="10.140625" bestFit="1" customWidth="1"/>
    <col min="756" max="756" width="4.85546875" bestFit="1" customWidth="1"/>
    <col min="757" max="757" width="10.140625" bestFit="1" customWidth="1"/>
    <col min="758" max="758" width="4.85546875" bestFit="1" customWidth="1"/>
    <col min="759" max="759" width="10.140625" bestFit="1" customWidth="1"/>
    <col min="760" max="760" width="4.85546875" bestFit="1" customWidth="1"/>
    <col min="761" max="763" width="10.140625" bestFit="1" customWidth="1"/>
    <col min="764" max="764" width="4.85546875" bestFit="1" customWidth="1"/>
    <col min="765" max="765" width="10.140625" bestFit="1" customWidth="1"/>
    <col min="766" max="766" width="4.85546875" bestFit="1" customWidth="1"/>
    <col min="767" max="769" width="10.140625" bestFit="1" customWidth="1"/>
    <col min="770" max="770" width="4.85546875" bestFit="1" customWidth="1"/>
    <col min="771" max="772" width="10.140625" bestFit="1" customWidth="1"/>
    <col min="773" max="773" width="4.85546875" bestFit="1" customWidth="1"/>
    <col min="774" max="775" width="10.140625" bestFit="1" customWidth="1"/>
    <col min="776" max="776" width="4.85546875" bestFit="1" customWidth="1"/>
    <col min="777" max="778" width="10.140625" bestFit="1" customWidth="1"/>
    <col min="779" max="779" width="12" bestFit="1" customWidth="1"/>
    <col min="780" max="780" width="4.85546875" bestFit="1" customWidth="1"/>
    <col min="781" max="783" width="10.140625" bestFit="1" customWidth="1"/>
    <col min="784" max="784" width="4.85546875" bestFit="1" customWidth="1"/>
    <col min="785" max="787" width="10.140625" bestFit="1" customWidth="1"/>
    <col min="788" max="788" width="4.85546875" bestFit="1" customWidth="1"/>
    <col min="789" max="791" width="10.140625" bestFit="1" customWidth="1"/>
    <col min="792" max="792" width="4.85546875" bestFit="1" customWidth="1"/>
    <col min="793" max="795" width="10.140625" bestFit="1" customWidth="1"/>
    <col min="796" max="796" width="4.85546875" bestFit="1" customWidth="1"/>
    <col min="797" max="797" width="10.140625" bestFit="1" customWidth="1"/>
    <col min="798" max="798" width="4.85546875" bestFit="1" customWidth="1"/>
    <col min="799" max="801" width="10.140625" bestFit="1" customWidth="1"/>
    <col min="802" max="802" width="4.85546875" bestFit="1" customWidth="1"/>
    <col min="803" max="803" width="10.140625" bestFit="1" customWidth="1"/>
    <col min="804" max="804" width="9.140625" bestFit="1" customWidth="1"/>
    <col min="805" max="805" width="10.140625" bestFit="1" customWidth="1"/>
    <col min="806" max="806" width="4.85546875" bestFit="1" customWidth="1"/>
    <col min="807" max="808" width="10.140625" bestFit="1" customWidth="1"/>
    <col min="809" max="809" width="4.85546875" bestFit="1" customWidth="1"/>
    <col min="810" max="810" width="10.140625" bestFit="1" customWidth="1"/>
    <col min="811" max="811" width="4.85546875" bestFit="1" customWidth="1"/>
    <col min="812" max="813" width="10.140625" bestFit="1" customWidth="1"/>
    <col min="814" max="814" width="4.85546875" bestFit="1" customWidth="1"/>
    <col min="815" max="815" width="10.140625" bestFit="1" customWidth="1"/>
    <col min="816" max="816" width="4.85546875" bestFit="1" customWidth="1"/>
    <col min="817" max="818" width="10.140625" bestFit="1" customWidth="1"/>
    <col min="819" max="819" width="4.85546875" bestFit="1" customWidth="1"/>
    <col min="820" max="820" width="10.140625" bestFit="1" customWidth="1"/>
    <col min="821" max="821" width="4.85546875" bestFit="1" customWidth="1"/>
    <col min="822" max="822" width="10.140625" bestFit="1" customWidth="1"/>
    <col min="823" max="823" width="4.85546875" bestFit="1" customWidth="1"/>
    <col min="824" max="825" width="10.140625" bestFit="1" customWidth="1"/>
    <col min="826" max="826" width="4.85546875" bestFit="1" customWidth="1"/>
    <col min="827" max="828" width="10.140625" bestFit="1" customWidth="1"/>
    <col min="829" max="829" width="5.85546875" bestFit="1" customWidth="1"/>
    <col min="830" max="830" width="10.140625" bestFit="1" customWidth="1"/>
    <col min="831" max="831" width="11.140625" bestFit="1" customWidth="1"/>
    <col min="832" max="832" width="12" bestFit="1" customWidth="1"/>
    <col min="833" max="833" width="4.85546875" bestFit="1" customWidth="1"/>
    <col min="834" max="835" width="10.140625" bestFit="1" customWidth="1"/>
    <col min="836" max="836" width="4.85546875" bestFit="1" customWidth="1"/>
    <col min="837" max="839" width="10.140625" bestFit="1" customWidth="1"/>
    <col min="840" max="840" width="4.85546875" bestFit="1" customWidth="1"/>
    <col min="841" max="843" width="10.140625" bestFit="1" customWidth="1"/>
    <col min="844" max="844" width="4.85546875" bestFit="1" customWidth="1"/>
    <col min="845" max="847" width="10.140625" bestFit="1" customWidth="1"/>
    <col min="848" max="848" width="4.85546875" bestFit="1" customWidth="1"/>
    <col min="849" max="850" width="10.140625" bestFit="1" customWidth="1"/>
    <col min="851" max="851" width="4.85546875" bestFit="1" customWidth="1"/>
    <col min="852" max="853" width="10.140625" bestFit="1" customWidth="1"/>
    <col min="854" max="854" width="5.85546875" bestFit="1" customWidth="1"/>
    <col min="855" max="855" width="10.140625" bestFit="1" customWidth="1"/>
    <col min="856" max="856" width="4.85546875" bestFit="1" customWidth="1"/>
    <col min="857" max="857" width="10.140625" bestFit="1" customWidth="1"/>
    <col min="858" max="858" width="4.85546875" bestFit="1" customWidth="1"/>
    <col min="859" max="859" width="10.140625" bestFit="1" customWidth="1"/>
    <col min="860" max="860" width="11.140625" bestFit="1" customWidth="1"/>
    <col min="861" max="861" width="10.140625" bestFit="1" customWidth="1"/>
    <col min="862" max="862" width="4.85546875" bestFit="1" customWidth="1"/>
    <col min="863" max="864" width="10.140625" bestFit="1" customWidth="1"/>
    <col min="865" max="865" width="4.85546875" bestFit="1" customWidth="1"/>
    <col min="866" max="866" width="10.140625" bestFit="1" customWidth="1"/>
    <col min="867" max="867" width="4.85546875" bestFit="1" customWidth="1"/>
    <col min="868" max="868" width="10.140625" bestFit="1" customWidth="1"/>
    <col min="869" max="869" width="4.85546875" bestFit="1" customWidth="1"/>
    <col min="870" max="872" width="10.140625" bestFit="1" customWidth="1"/>
    <col min="873" max="873" width="4.85546875" bestFit="1" customWidth="1"/>
    <col min="874" max="876" width="10.140625" bestFit="1" customWidth="1"/>
    <col min="877" max="877" width="4.85546875" bestFit="1" customWidth="1"/>
    <col min="878" max="878" width="10.140625" bestFit="1" customWidth="1"/>
    <col min="879" max="879" width="4.85546875" bestFit="1" customWidth="1"/>
    <col min="880" max="881" width="10.140625" bestFit="1" customWidth="1"/>
    <col min="882" max="882" width="4.85546875" bestFit="1" customWidth="1"/>
    <col min="883" max="884" width="10.140625" bestFit="1" customWidth="1"/>
    <col min="885" max="885" width="12" bestFit="1" customWidth="1"/>
    <col min="886" max="886" width="4.85546875" bestFit="1" customWidth="1"/>
    <col min="887" max="887" width="10.140625" bestFit="1" customWidth="1"/>
    <col min="888" max="888" width="4.85546875" bestFit="1" customWidth="1"/>
    <col min="889" max="890" width="10.140625" bestFit="1" customWidth="1"/>
    <col min="891" max="891" width="4.85546875" bestFit="1" customWidth="1"/>
    <col min="892" max="894" width="10.140625" bestFit="1" customWidth="1"/>
    <col min="895" max="895" width="4.85546875" bestFit="1" customWidth="1"/>
    <col min="896" max="897" width="10.140625" bestFit="1" customWidth="1"/>
    <col min="898" max="898" width="4.85546875" bestFit="1" customWidth="1"/>
    <col min="899" max="900" width="10.140625" bestFit="1" customWidth="1"/>
    <col min="901" max="901" width="4.85546875" bestFit="1" customWidth="1"/>
    <col min="902" max="902" width="10.140625" bestFit="1" customWidth="1"/>
    <col min="903" max="903" width="4.85546875" bestFit="1" customWidth="1"/>
    <col min="904" max="905" width="10.140625" bestFit="1" customWidth="1"/>
    <col min="906" max="906" width="12" bestFit="1" customWidth="1"/>
    <col min="907" max="907" width="4.85546875" bestFit="1" customWidth="1"/>
    <col min="908" max="908" width="10.140625" bestFit="1" customWidth="1"/>
    <col min="909" max="909" width="4.85546875" bestFit="1" customWidth="1"/>
    <col min="910" max="910" width="10.140625" bestFit="1" customWidth="1"/>
    <col min="911" max="911" width="4.85546875" bestFit="1" customWidth="1"/>
    <col min="912" max="913" width="10.140625" bestFit="1" customWidth="1"/>
    <col min="914" max="914" width="4.85546875" bestFit="1" customWidth="1"/>
    <col min="915" max="916" width="10.140625" bestFit="1" customWidth="1"/>
    <col min="917" max="917" width="4.85546875" bestFit="1" customWidth="1"/>
    <col min="918" max="920" width="10.140625" bestFit="1" customWidth="1"/>
    <col min="921" max="921" width="4.85546875" bestFit="1" customWidth="1"/>
    <col min="922" max="923" width="10.140625" bestFit="1" customWidth="1"/>
    <col min="924" max="924" width="4.85546875" bestFit="1" customWidth="1"/>
    <col min="925" max="925" width="10.140625" bestFit="1" customWidth="1"/>
    <col min="926" max="926" width="4.85546875" bestFit="1" customWidth="1"/>
    <col min="927" max="929" width="10.140625" bestFit="1" customWidth="1"/>
    <col min="930" max="930" width="6.5703125" bestFit="1" customWidth="1"/>
    <col min="931" max="931" width="11.140625" bestFit="1" customWidth="1"/>
    <col min="932" max="932" width="11.85546875" bestFit="1" customWidth="1"/>
    <col min="933" max="933" width="4.85546875" bestFit="1" customWidth="1"/>
    <col min="934" max="934" width="9.140625" bestFit="1" customWidth="1"/>
    <col min="935" max="935" width="4.85546875" bestFit="1" customWidth="1"/>
    <col min="936" max="938" width="10.140625" bestFit="1" customWidth="1"/>
    <col min="939" max="939" width="4.85546875" bestFit="1" customWidth="1"/>
    <col min="940" max="940" width="10.140625" bestFit="1" customWidth="1"/>
    <col min="941" max="941" width="4.85546875" bestFit="1" customWidth="1"/>
    <col min="942" max="942" width="10.140625" bestFit="1" customWidth="1"/>
    <col min="943" max="943" width="4.85546875" bestFit="1" customWidth="1"/>
    <col min="944" max="946" width="10.140625" bestFit="1" customWidth="1"/>
    <col min="947" max="947" width="4.85546875" bestFit="1" customWidth="1"/>
    <col min="948" max="950" width="10.140625" bestFit="1" customWidth="1"/>
    <col min="951" max="951" width="4.85546875" bestFit="1" customWidth="1"/>
    <col min="952" max="952" width="10.140625" bestFit="1" customWidth="1"/>
    <col min="953" max="953" width="4.85546875" bestFit="1" customWidth="1"/>
    <col min="954" max="956" width="10.140625" bestFit="1" customWidth="1"/>
    <col min="957" max="957" width="4.85546875" bestFit="1" customWidth="1"/>
    <col min="958" max="960" width="10.140625" bestFit="1" customWidth="1"/>
    <col min="961" max="961" width="4.85546875" bestFit="1" customWidth="1"/>
    <col min="962" max="963" width="10.140625" bestFit="1" customWidth="1"/>
    <col min="964" max="964" width="4.85546875" bestFit="1" customWidth="1"/>
    <col min="965" max="967" width="10.140625" bestFit="1" customWidth="1"/>
    <col min="968" max="968" width="4.85546875" bestFit="1" customWidth="1"/>
    <col min="969" max="971" width="10.140625" bestFit="1" customWidth="1"/>
    <col min="972" max="972" width="5.85546875" bestFit="1" customWidth="1"/>
    <col min="973" max="974" width="10.140625" bestFit="1" customWidth="1"/>
    <col min="975" max="975" width="11.140625" bestFit="1" customWidth="1"/>
    <col min="976" max="976" width="5.85546875" bestFit="1" customWidth="1"/>
    <col min="977" max="977" width="10.140625" bestFit="1" customWidth="1"/>
    <col min="978" max="978" width="4.85546875" bestFit="1" customWidth="1"/>
    <col min="979" max="980" width="10.140625" bestFit="1" customWidth="1"/>
    <col min="981" max="981" width="11.140625" bestFit="1" customWidth="1"/>
    <col min="982" max="982" width="5.85546875" bestFit="1" customWidth="1"/>
    <col min="983" max="984" width="10.140625" bestFit="1" customWidth="1"/>
    <col min="985" max="985" width="11.140625" bestFit="1" customWidth="1"/>
    <col min="986" max="986" width="16.5703125" bestFit="1" customWidth="1"/>
    <col min="987" max="989" width="16.85546875" bestFit="1" customWidth="1"/>
    <col min="990" max="990" width="14.42578125" bestFit="1" customWidth="1"/>
    <col min="991" max="991" width="4.85546875" bestFit="1" customWidth="1"/>
    <col min="992" max="994" width="10.140625" bestFit="1" customWidth="1"/>
    <col min="995" max="995" width="4.85546875" bestFit="1" customWidth="1"/>
    <col min="996" max="996" width="10.140625" bestFit="1" customWidth="1"/>
    <col min="997" max="997" width="4.85546875" bestFit="1" customWidth="1"/>
    <col min="998" max="998" width="10.140625" bestFit="1" customWidth="1"/>
    <col min="999" max="999" width="4.85546875" bestFit="1" customWidth="1"/>
    <col min="1000" max="1001" width="10.140625" bestFit="1" customWidth="1"/>
    <col min="1002" max="1002" width="4.85546875" bestFit="1" customWidth="1"/>
    <col min="1003" max="1003" width="10.140625" bestFit="1" customWidth="1"/>
    <col min="1004" max="1004" width="4.85546875" bestFit="1" customWidth="1"/>
    <col min="1005" max="1005" width="10.140625" bestFit="1" customWidth="1"/>
    <col min="1006" max="1006" width="4.85546875" bestFit="1" customWidth="1"/>
    <col min="1007" max="1007" width="10.140625" bestFit="1" customWidth="1"/>
    <col min="1008" max="1008" width="4.85546875" bestFit="1" customWidth="1"/>
    <col min="1009" max="1011" width="10.140625" bestFit="1" customWidth="1"/>
    <col min="1012" max="1012" width="4.85546875" bestFit="1" customWidth="1"/>
    <col min="1013" max="1016" width="10.140625" bestFit="1" customWidth="1"/>
    <col min="1017" max="1017" width="4.85546875" bestFit="1" customWidth="1"/>
    <col min="1018" max="1020" width="10.140625" bestFit="1" customWidth="1"/>
    <col min="1021" max="1021" width="4.85546875" bestFit="1" customWidth="1"/>
    <col min="1022" max="1024" width="10.140625" bestFit="1" customWidth="1"/>
    <col min="1025" max="1025" width="4.85546875" bestFit="1" customWidth="1"/>
    <col min="1026" max="1026" width="10.140625" bestFit="1" customWidth="1"/>
    <col min="1027" max="1027" width="4.85546875" bestFit="1" customWidth="1"/>
    <col min="1028" max="1030" width="10.140625" bestFit="1" customWidth="1"/>
    <col min="1031" max="1031" width="4.85546875" bestFit="1" customWidth="1"/>
    <col min="1032" max="1035" width="10.140625" bestFit="1" customWidth="1"/>
    <col min="1036" max="1036" width="4.85546875" bestFit="1" customWidth="1"/>
    <col min="1037" max="1038" width="10.140625" bestFit="1" customWidth="1"/>
    <col min="1039" max="1039" width="9.140625" bestFit="1" customWidth="1"/>
    <col min="1040" max="1040" width="4.85546875" bestFit="1" customWidth="1"/>
    <col min="1041" max="1041" width="10.140625" bestFit="1" customWidth="1"/>
    <col min="1042" max="1042" width="9.140625" bestFit="1" customWidth="1"/>
    <col min="1043" max="1043" width="4.85546875" bestFit="1" customWidth="1"/>
    <col min="1044" max="1046" width="10.140625" bestFit="1" customWidth="1"/>
    <col min="1047" max="1047" width="4.85546875" bestFit="1" customWidth="1"/>
    <col min="1048" max="1051" width="10.140625" bestFit="1" customWidth="1"/>
    <col min="1052" max="1052" width="4.85546875" bestFit="1" customWidth="1"/>
    <col min="1053" max="1053" width="10.140625" bestFit="1" customWidth="1"/>
    <col min="1054" max="1054" width="9.140625" bestFit="1" customWidth="1"/>
    <col min="1055" max="1056" width="10.140625" bestFit="1" customWidth="1"/>
    <col min="1057" max="1057" width="4.85546875" bestFit="1" customWidth="1"/>
    <col min="1058" max="1058" width="10.140625" bestFit="1" customWidth="1"/>
    <col min="1059" max="1059" width="4.85546875" bestFit="1" customWidth="1"/>
    <col min="1060" max="1060" width="10.140625" bestFit="1" customWidth="1"/>
    <col min="1061" max="1061" width="4.85546875" bestFit="1" customWidth="1"/>
    <col min="1062" max="1064" width="10.140625" bestFit="1" customWidth="1"/>
    <col min="1065" max="1065" width="4.85546875" bestFit="1" customWidth="1"/>
    <col min="1066" max="1069" width="10.140625" bestFit="1" customWidth="1"/>
    <col min="1070" max="1070" width="4.85546875" bestFit="1" customWidth="1"/>
    <col min="1071" max="1073" width="10.140625" bestFit="1" customWidth="1"/>
    <col min="1074" max="1074" width="4.85546875" bestFit="1" customWidth="1"/>
    <col min="1075" max="1077" width="10.140625" bestFit="1" customWidth="1"/>
    <col min="1078" max="1078" width="4.85546875" bestFit="1" customWidth="1"/>
    <col min="1079" max="1079" width="10.140625" bestFit="1" customWidth="1"/>
    <col min="1080" max="1080" width="4.85546875" bestFit="1" customWidth="1"/>
    <col min="1081" max="1083" width="10.140625" bestFit="1" customWidth="1"/>
    <col min="1084" max="1084" width="4.85546875" bestFit="1" customWidth="1"/>
    <col min="1085" max="1085" width="10.140625" bestFit="1" customWidth="1"/>
    <col min="1086" max="1086" width="4.85546875" bestFit="1" customWidth="1"/>
    <col min="1087" max="1090" width="10.140625" bestFit="1" customWidth="1"/>
    <col min="1091" max="1091" width="4.85546875" bestFit="1" customWidth="1"/>
    <col min="1092" max="1095" width="10.140625" bestFit="1" customWidth="1"/>
    <col min="1096" max="1096" width="4.85546875" bestFit="1" customWidth="1"/>
    <col min="1099" max="1099" width="9.140625" bestFit="1" customWidth="1"/>
    <col min="1100" max="1100" width="4.85546875" bestFit="1" customWidth="1"/>
    <col min="1101" max="1104" width="10.140625" bestFit="1" customWidth="1"/>
    <col min="1105" max="1105" width="4.85546875" bestFit="1" customWidth="1"/>
    <col min="1106" max="1106" width="10.140625" bestFit="1" customWidth="1"/>
    <col min="1107" max="1107" width="9.140625" bestFit="1" customWidth="1"/>
    <col min="1108" max="1109" width="10.140625" bestFit="1" customWidth="1"/>
    <col min="1110" max="1110" width="4.85546875" bestFit="1" customWidth="1"/>
    <col min="1111" max="1111" width="9.140625" bestFit="1" customWidth="1"/>
    <col min="1112" max="1113" width="10.140625" bestFit="1" customWidth="1"/>
    <col min="1114" max="1114" width="4.85546875" bestFit="1" customWidth="1"/>
    <col min="1115" max="1117" width="10.140625" bestFit="1" customWidth="1"/>
    <col min="1118" max="1118" width="4.85546875" bestFit="1" customWidth="1"/>
    <col min="1119" max="1122" width="10.140625" bestFit="1" customWidth="1"/>
    <col min="1123" max="1123" width="4.85546875" bestFit="1" customWidth="1"/>
    <col min="1124" max="1126" width="10.140625" bestFit="1" customWidth="1"/>
    <col min="1127" max="1127" width="4.85546875" bestFit="1" customWidth="1"/>
    <col min="1128" max="1128" width="10.140625" bestFit="1" customWidth="1"/>
    <col min="1129" max="1129" width="4.85546875" bestFit="1" customWidth="1"/>
    <col min="1130" max="1132" width="10.140625" bestFit="1" customWidth="1"/>
    <col min="1133" max="1133" width="5.85546875" bestFit="1" customWidth="1"/>
    <col min="1134" max="1135" width="10.140625" bestFit="1" customWidth="1"/>
    <col min="1136" max="1136" width="11.140625" bestFit="1" customWidth="1"/>
    <col min="1137" max="1137" width="10.140625" bestFit="1" customWidth="1"/>
    <col min="1138" max="1138" width="4.85546875" bestFit="1" customWidth="1"/>
    <col min="1139" max="1139" width="10.140625" bestFit="1" customWidth="1"/>
    <col min="1140" max="1140" width="4.85546875" bestFit="1" customWidth="1"/>
    <col min="1141" max="1144" width="10.140625" bestFit="1" customWidth="1"/>
    <col min="1145" max="1145" width="4.85546875" bestFit="1" customWidth="1"/>
    <col min="1146" max="1149" width="10.140625" bestFit="1" customWidth="1"/>
    <col min="1150" max="1150" width="4.85546875" bestFit="1" customWidth="1"/>
    <col min="1151" max="1154" width="10.140625" bestFit="1" customWidth="1"/>
    <col min="1155" max="1155" width="4.85546875" bestFit="1" customWidth="1"/>
    <col min="1156" max="1158" width="10.140625" bestFit="1" customWidth="1"/>
    <col min="1159" max="1159" width="4.85546875" bestFit="1" customWidth="1"/>
    <col min="1160" max="1162" width="10.140625" bestFit="1" customWidth="1"/>
    <col min="1163" max="1163" width="5.85546875" bestFit="1" customWidth="1"/>
    <col min="1164" max="1164" width="10.140625" bestFit="1" customWidth="1"/>
    <col min="1165" max="1165" width="4.85546875" bestFit="1" customWidth="1"/>
    <col min="1166" max="1167" width="10.140625" bestFit="1" customWidth="1"/>
    <col min="1168" max="1168" width="11.140625" bestFit="1" customWidth="1"/>
    <col min="1169" max="1169" width="10.140625" bestFit="1" customWidth="1"/>
    <col min="1170" max="1170" width="4.85546875" bestFit="1" customWidth="1"/>
    <col min="1171" max="1171" width="10.140625" bestFit="1" customWidth="1"/>
    <col min="1172" max="1172" width="4.85546875" bestFit="1" customWidth="1"/>
    <col min="1173" max="1176" width="10.140625" bestFit="1" customWidth="1"/>
    <col min="1177" max="1177" width="4.85546875" bestFit="1" customWidth="1"/>
    <col min="1178" max="1181" width="10.140625" bestFit="1" customWidth="1"/>
    <col min="1182" max="1182" width="4.85546875" bestFit="1" customWidth="1"/>
    <col min="1183" max="1183" width="10.140625" bestFit="1" customWidth="1"/>
    <col min="1184" max="1184" width="4.85546875" bestFit="1" customWidth="1"/>
    <col min="1185" max="1185" width="10.140625" bestFit="1" customWidth="1"/>
    <col min="1186" max="1186" width="4.85546875" bestFit="1" customWidth="1"/>
    <col min="1187" max="1190" width="10.140625" bestFit="1" customWidth="1"/>
    <col min="1191" max="1191" width="4.85546875" bestFit="1" customWidth="1"/>
    <col min="1192" max="1195" width="10.140625" bestFit="1" customWidth="1"/>
    <col min="1196" max="1196" width="4.85546875" bestFit="1" customWidth="1"/>
    <col min="1197" max="1200" width="10.140625" bestFit="1" customWidth="1"/>
    <col min="1201" max="1201" width="4.85546875" bestFit="1" customWidth="1"/>
    <col min="1202" max="1205" width="10.140625" bestFit="1" customWidth="1"/>
    <col min="1206" max="1206" width="4.85546875" bestFit="1" customWidth="1"/>
    <col min="1207" max="1210" width="10.140625" bestFit="1" customWidth="1"/>
    <col min="1211" max="1211" width="4.85546875" bestFit="1" customWidth="1"/>
    <col min="1212" max="1213" width="10.140625" bestFit="1" customWidth="1"/>
    <col min="1214" max="1214" width="9.140625" bestFit="1" customWidth="1"/>
    <col min="1215" max="1215" width="10.140625" bestFit="1" customWidth="1"/>
    <col min="1216" max="1216" width="4.85546875" bestFit="1" customWidth="1"/>
    <col min="1217" max="1218" width="10.140625" bestFit="1" customWidth="1"/>
    <col min="1219" max="1219" width="9.140625" bestFit="1" customWidth="1"/>
    <col min="1220" max="1220" width="10.140625" bestFit="1" customWidth="1"/>
    <col min="1221" max="1221" width="4.85546875" bestFit="1" customWidth="1"/>
    <col min="1222" max="1225" width="10.140625" bestFit="1" customWidth="1"/>
    <col min="1226" max="1226" width="5.85546875" bestFit="1" customWidth="1"/>
    <col min="1227" max="1229" width="10.140625" bestFit="1" customWidth="1"/>
    <col min="1230" max="1230" width="11.140625" bestFit="1" customWidth="1"/>
    <col min="1231" max="1231" width="5.85546875" bestFit="1" customWidth="1"/>
    <col min="1232" max="1234" width="10.140625" bestFit="1" customWidth="1"/>
    <col min="1235" max="1235" width="11.140625" bestFit="1" customWidth="1"/>
    <col min="1236" max="1236" width="5.85546875" bestFit="1" customWidth="1"/>
    <col min="1237" max="1237" width="10.140625" bestFit="1" customWidth="1"/>
    <col min="1238" max="1238" width="11.140625" bestFit="1" customWidth="1"/>
    <col min="1239" max="1239" width="10.140625" bestFit="1" customWidth="1"/>
    <col min="1240" max="1240" width="11.140625" bestFit="1" customWidth="1"/>
    <col min="1241" max="1241" width="11.42578125" bestFit="1" customWidth="1"/>
    <col min="1242" max="1244" width="16.85546875" bestFit="1" customWidth="1"/>
    <col min="1245" max="1245" width="9.140625" bestFit="1" customWidth="1"/>
    <col min="1246" max="1246" width="11.42578125" bestFit="1" customWidth="1"/>
    <col min="1247" max="1250" width="16.85546875" bestFit="1" customWidth="1"/>
    <col min="1251" max="1251" width="14.42578125" bestFit="1" customWidth="1"/>
  </cols>
  <sheetData>
    <row r="1" spans="1:6">
      <c r="A1" s="2861" t="s">
        <v>1164</v>
      </c>
      <c r="B1" s="2507" t="s">
        <v>2502</v>
      </c>
    </row>
    <row r="3" spans="1:6" ht="63" customHeight="1">
      <c r="A3" s="2861" t="s">
        <v>739</v>
      </c>
      <c r="B3" s="2509" t="s">
        <v>10902</v>
      </c>
      <c r="C3" s="2509" t="s">
        <v>10903</v>
      </c>
      <c r="D3" s="2509" t="s">
        <v>10904</v>
      </c>
      <c r="E3" s="2509" t="s">
        <v>10905</v>
      </c>
      <c r="F3" s="2509" t="s">
        <v>10906</v>
      </c>
    </row>
    <row r="4" spans="1:6">
      <c r="A4" s="2862" t="s">
        <v>251</v>
      </c>
      <c r="B4" s="2507">
        <v>16.743478260869566</v>
      </c>
      <c r="C4" s="2507">
        <v>46.026086956521738</v>
      </c>
      <c r="D4" s="2507">
        <v>33.204347826086959</v>
      </c>
      <c r="E4" s="2507">
        <v>33.895652173913042</v>
      </c>
      <c r="F4" s="2507">
        <v>129.86956521739131</v>
      </c>
    </row>
    <row r="5" spans="1:6">
      <c r="A5" s="2862" t="s">
        <v>112</v>
      </c>
      <c r="B5" s="2507">
        <v>10.285714285714286</v>
      </c>
      <c r="C5" s="2507">
        <v>11.546583850931677</v>
      </c>
      <c r="D5" s="2507">
        <v>17.683229813664596</v>
      </c>
      <c r="E5" s="2507">
        <v>24.869565217391305</v>
      </c>
      <c r="F5" s="2507">
        <v>64.385093167701868</v>
      </c>
    </row>
    <row r="6" spans="1:6">
      <c r="A6" s="2862" t="s">
        <v>216</v>
      </c>
      <c r="B6" s="2507">
        <v>13.051282051282051</v>
      </c>
      <c r="C6" s="2507">
        <v>23.051282051282051</v>
      </c>
      <c r="D6" s="2507">
        <v>24.23076923076923</v>
      </c>
      <c r="E6" s="2507">
        <v>31.794871794871796</v>
      </c>
      <c r="F6" s="2507">
        <v>92.128205128205124</v>
      </c>
    </row>
    <row r="7" spans="1:6">
      <c r="A7" s="2862" t="s">
        <v>740</v>
      </c>
      <c r="B7" s="2507">
        <v>13.990697674418605</v>
      </c>
      <c r="C7" s="2507">
        <v>31.032558139534885</v>
      </c>
      <c r="D7" s="2507">
        <v>26.579069767441862</v>
      </c>
      <c r="E7" s="2507">
        <v>30.325581395348838</v>
      </c>
      <c r="F7" s="2507">
        <v>101.92790697674418</v>
      </c>
    </row>
    <row r="8" spans="1:6">
      <c r="B8"/>
      <c r="C8"/>
      <c r="D8"/>
      <c r="E8"/>
      <c r="F8"/>
    </row>
    <row r="9" spans="1:6" ht="60">
      <c r="A9" s="2499" t="s">
        <v>739</v>
      </c>
      <c r="B9" s="2510" t="s">
        <v>10902</v>
      </c>
      <c r="C9" s="2510" t="s">
        <v>10903</v>
      </c>
      <c r="D9" s="2510" t="s">
        <v>10904</v>
      </c>
      <c r="E9" s="2510" t="s">
        <v>10905</v>
      </c>
      <c r="F9" s="2510" t="s">
        <v>10906</v>
      </c>
    </row>
    <row r="10" spans="1:6">
      <c r="A10" s="372" t="s">
        <v>251</v>
      </c>
      <c r="B10" s="2507">
        <v>13.683823529411764</v>
      </c>
      <c r="C10" s="2507">
        <v>45.779411764705884</v>
      </c>
      <c r="D10" s="2507">
        <v>33.823529411764703</v>
      </c>
      <c r="E10" s="2507">
        <v>29.992647058823529</v>
      </c>
      <c r="F10" s="2507">
        <v>123.27941176470588</v>
      </c>
    </row>
    <row r="11" spans="1:6">
      <c r="A11" s="372" t="s">
        <v>112</v>
      </c>
      <c r="B11" s="2507">
        <v>14.333333333333334</v>
      </c>
      <c r="C11" s="2507">
        <v>12.166666666666666</v>
      </c>
      <c r="D11" s="2507">
        <v>21.833333333333332</v>
      </c>
      <c r="E11" s="2507">
        <v>26.666666666666668</v>
      </c>
      <c r="F11" s="2507">
        <v>75</v>
      </c>
    </row>
    <row r="12" spans="1:6">
      <c r="A12" s="372" t="s">
        <v>216</v>
      </c>
      <c r="B12" s="2507">
        <v>39</v>
      </c>
      <c r="C12" s="2507">
        <v>17</v>
      </c>
      <c r="D12" s="2507">
        <v>40</v>
      </c>
      <c r="E12" s="2507">
        <v>31</v>
      </c>
      <c r="F12" s="2507">
        <v>127</v>
      </c>
    </row>
    <row r="13" spans="1:6">
      <c r="A13" s="2500" t="s">
        <v>740</v>
      </c>
      <c r="B13" s="2508">
        <v>14.0625</v>
      </c>
      <c r="C13" s="2508">
        <v>43.979166666666664</v>
      </c>
      <c r="D13" s="2508">
        <v>33.409722222222221</v>
      </c>
      <c r="E13" s="2508">
        <v>29.868055555555557</v>
      </c>
      <c r="F13" s="2508">
        <v>121.31944444444444</v>
      </c>
    </row>
    <row r="14" spans="1:6">
      <c r="B14"/>
      <c r="C14"/>
      <c r="D14"/>
      <c r="E14"/>
      <c r="F14"/>
    </row>
    <row r="15" spans="1:6" ht="60">
      <c r="A15" s="2499" t="s">
        <v>739</v>
      </c>
      <c r="B15" s="2510" t="s">
        <v>10902</v>
      </c>
      <c r="C15" s="2510" t="s">
        <v>10903</v>
      </c>
      <c r="D15" s="2510" t="s">
        <v>10904</v>
      </c>
      <c r="E15" s="2510" t="s">
        <v>10905</v>
      </c>
      <c r="F15" s="2510" t="s">
        <v>10906</v>
      </c>
    </row>
    <row r="16" spans="1:6">
      <c r="A16" s="372" t="s">
        <v>251</v>
      </c>
      <c r="B16" s="2507">
        <v>24.031746031746032</v>
      </c>
      <c r="C16" s="2507">
        <v>44.047619047619051</v>
      </c>
      <c r="D16" s="2507">
        <v>44.936507936507937</v>
      </c>
      <c r="E16" s="2507">
        <v>35.015873015873019</v>
      </c>
      <c r="F16" s="2507">
        <v>148.03174603174602</v>
      </c>
    </row>
    <row r="17" spans="1:6">
      <c r="A17" s="372" t="s">
        <v>112</v>
      </c>
      <c r="B17" s="2507">
        <v>7.2105263157894735</v>
      </c>
      <c r="C17" s="2507">
        <v>11.710526315789474</v>
      </c>
      <c r="D17" s="2507">
        <v>21.526315789473685</v>
      </c>
      <c r="E17" s="2507">
        <v>22.289473684210527</v>
      </c>
      <c r="F17" s="2507">
        <v>62.736842105263158</v>
      </c>
    </row>
    <row r="18" spans="1:6">
      <c r="A18" s="372" t="s">
        <v>216</v>
      </c>
      <c r="B18" s="2507">
        <v>9.1</v>
      </c>
      <c r="C18" s="2507">
        <v>24.75</v>
      </c>
      <c r="D18" s="2507">
        <v>23.9</v>
      </c>
      <c r="E18" s="2507">
        <v>27.1</v>
      </c>
      <c r="F18" s="2507">
        <v>84.85</v>
      </c>
    </row>
    <row r="19" spans="1:6">
      <c r="A19" s="2500" t="s">
        <v>740</v>
      </c>
      <c r="B19" s="2508">
        <v>16.280991735537189</v>
      </c>
      <c r="C19" s="2508">
        <v>30.702479338842974</v>
      </c>
      <c r="D19" s="2508">
        <v>34.107438016528924</v>
      </c>
      <c r="E19" s="2508">
        <v>29.710743801652892</v>
      </c>
      <c r="F19" s="2508">
        <v>110.80165289256199</v>
      </c>
    </row>
    <row r="20" spans="1:6">
      <c r="B20"/>
      <c r="C20"/>
      <c r="D20"/>
      <c r="E20"/>
      <c r="F20"/>
    </row>
    <row r="21" spans="1:6" ht="60">
      <c r="A21" s="2499" t="s">
        <v>739</v>
      </c>
      <c r="B21" s="2510" t="s">
        <v>10902</v>
      </c>
      <c r="C21" s="2510" t="s">
        <v>10903</v>
      </c>
      <c r="D21" s="2510" t="s">
        <v>10904</v>
      </c>
      <c r="E21" s="2510" t="s">
        <v>10905</v>
      </c>
      <c r="F21" s="2510" t="s">
        <v>10906</v>
      </c>
    </row>
    <row r="22" spans="1:6">
      <c r="A22" s="372" t="s">
        <v>251</v>
      </c>
      <c r="B22" s="2507">
        <v>22.842105263157894</v>
      </c>
      <c r="C22" s="2507">
        <v>51.210526315789473</v>
      </c>
      <c r="D22" s="2507">
        <v>28.894736842105264</v>
      </c>
      <c r="E22" s="2507">
        <v>34.05263157894737</v>
      </c>
      <c r="F22" s="2507">
        <v>137</v>
      </c>
    </row>
    <row r="23" spans="1:6">
      <c r="A23" s="372" t="s">
        <v>112</v>
      </c>
      <c r="B23" s="2507">
        <v>11.603174603174603</v>
      </c>
      <c r="C23" s="2507">
        <v>11.492063492063492</v>
      </c>
      <c r="D23" s="2507">
        <v>15.079365079365079</v>
      </c>
      <c r="E23" s="2507">
        <v>25.587301587301589</v>
      </c>
      <c r="F23" s="2507">
        <v>63.761904761904759</v>
      </c>
    </row>
    <row r="24" spans="1:6">
      <c r="A24" s="372" t="s">
        <v>216</v>
      </c>
      <c r="B24" s="2507">
        <v>21.25</v>
      </c>
      <c r="C24" s="2507">
        <v>21.75</v>
      </c>
      <c r="D24" s="2507">
        <v>33</v>
      </c>
      <c r="E24" s="2507">
        <v>34.5</v>
      </c>
      <c r="F24" s="2507">
        <v>110.5</v>
      </c>
    </row>
    <row r="25" spans="1:6">
      <c r="A25" s="2500" t="s">
        <v>740</v>
      </c>
      <c r="B25" s="2508">
        <v>14.534883720930232</v>
      </c>
      <c r="C25" s="2508">
        <v>20.744186046511629</v>
      </c>
      <c r="D25" s="2508">
        <v>18.965116279069768</v>
      </c>
      <c r="E25" s="2508">
        <v>27.872093023255815</v>
      </c>
      <c r="F25" s="2508">
        <v>82.116279069767444</v>
      </c>
    </row>
    <row r="26" spans="1:6">
      <c r="B26"/>
      <c r="C26"/>
      <c r="D26"/>
      <c r="E26"/>
      <c r="F26"/>
    </row>
    <row r="27" spans="1:6">
      <c r="B27"/>
      <c r="C27"/>
      <c r="D27"/>
      <c r="E27"/>
      <c r="F27"/>
    </row>
    <row r="28" spans="1:6">
      <c r="B28"/>
      <c r="C28"/>
      <c r="D28"/>
      <c r="E28"/>
      <c r="F28"/>
    </row>
    <row r="29" spans="1:6">
      <c r="B29"/>
      <c r="C29"/>
      <c r="D29"/>
      <c r="E29"/>
      <c r="F29"/>
    </row>
    <row r="30" spans="1:6">
      <c r="B30"/>
      <c r="C30"/>
      <c r="D30"/>
      <c r="E30"/>
      <c r="F30"/>
    </row>
    <row r="31" spans="1:6">
      <c r="B31"/>
      <c r="C31"/>
      <c r="D31"/>
      <c r="E31"/>
      <c r="F31"/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</sheetData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E9B14-0640-4D8F-8219-2CD68D412D15}">
  <dimension ref="A1:E231"/>
  <sheetViews>
    <sheetView workbookViewId="0">
      <selection activeCell="D29" sqref="D29"/>
    </sheetView>
  </sheetViews>
  <sheetFormatPr defaultRowHeight="15"/>
  <cols>
    <col min="1" max="1" width="19" bestFit="1" customWidth="1"/>
    <col min="2" max="2" width="13.42578125" bestFit="1" customWidth="1"/>
    <col min="3" max="3" width="8.5703125" bestFit="1" customWidth="1"/>
    <col min="4" max="4" width="18.5703125" style="373" bestFit="1" customWidth="1"/>
    <col min="5" max="5" width="15" style="373" bestFit="1" customWidth="1"/>
  </cols>
  <sheetData>
    <row r="1" spans="1:5">
      <c r="A1" s="2057" t="s">
        <v>10</v>
      </c>
      <c r="B1" s="2863" t="s">
        <v>2502</v>
      </c>
    </row>
    <row r="3" spans="1:5" s="2196" customFormat="1" ht="60">
      <c r="A3" s="2078" t="s">
        <v>739</v>
      </c>
      <c r="B3" s="2798" t="s">
        <v>1191</v>
      </c>
      <c r="C3" s="2798" t="s">
        <v>744</v>
      </c>
      <c r="D3" s="2460" t="s">
        <v>741</v>
      </c>
      <c r="E3" s="2460" t="s">
        <v>6216</v>
      </c>
    </row>
    <row r="4" spans="1:5">
      <c r="A4" s="2058" t="s">
        <v>645</v>
      </c>
      <c r="B4" s="2059">
        <v>2</v>
      </c>
      <c r="C4" s="2059">
        <v>2</v>
      </c>
      <c r="D4" s="2754">
        <v>38853834</v>
      </c>
      <c r="E4" s="2754">
        <v>89389</v>
      </c>
    </row>
    <row r="5" spans="1:5">
      <c r="A5" s="2058" t="s">
        <v>251</v>
      </c>
      <c r="B5" s="2059">
        <v>724</v>
      </c>
      <c r="C5" s="2059">
        <v>469</v>
      </c>
      <c r="D5" s="2754">
        <v>9542186282.5100002</v>
      </c>
      <c r="E5" s="2754">
        <v>20987484</v>
      </c>
    </row>
    <row r="6" spans="1:5">
      <c r="A6" s="2058" t="s">
        <v>112</v>
      </c>
      <c r="B6" s="2059">
        <v>234</v>
      </c>
      <c r="C6" s="2059">
        <v>185</v>
      </c>
      <c r="D6" s="2754">
        <v>186692987.40000001</v>
      </c>
      <c r="E6" s="2754">
        <v>8278218</v>
      </c>
    </row>
    <row r="7" spans="1:5">
      <c r="A7" s="2759" t="s">
        <v>6561</v>
      </c>
      <c r="B7" s="2059">
        <v>5</v>
      </c>
      <c r="C7" s="2059">
        <v>3</v>
      </c>
      <c r="D7" s="2754">
        <v>7120000</v>
      </c>
      <c r="E7" s="2754">
        <v>134528</v>
      </c>
    </row>
    <row r="8" spans="1:5">
      <c r="A8" s="2759" t="s">
        <v>1032</v>
      </c>
      <c r="B8" s="2059">
        <v>15</v>
      </c>
      <c r="C8" s="2059">
        <v>11</v>
      </c>
      <c r="D8" s="2754">
        <v>27530000</v>
      </c>
      <c r="E8" s="2754">
        <v>492497</v>
      </c>
    </row>
    <row r="9" spans="1:5">
      <c r="A9" s="2759" t="s">
        <v>14</v>
      </c>
      <c r="B9" s="2059">
        <v>13</v>
      </c>
      <c r="C9" s="2059">
        <v>12</v>
      </c>
      <c r="D9" s="2754">
        <v>11112400</v>
      </c>
      <c r="E9" s="2754">
        <v>536951</v>
      </c>
    </row>
    <row r="10" spans="1:5">
      <c r="A10" s="2759" t="s">
        <v>52</v>
      </c>
      <c r="B10" s="2059">
        <v>7</v>
      </c>
      <c r="C10" s="2059">
        <v>7</v>
      </c>
      <c r="D10" s="2754">
        <v>7135000</v>
      </c>
      <c r="E10" s="2754">
        <v>313163</v>
      </c>
    </row>
    <row r="11" spans="1:5">
      <c r="A11" s="2759" t="s">
        <v>9800</v>
      </c>
      <c r="B11" s="2059">
        <v>4</v>
      </c>
      <c r="C11" s="2059">
        <v>4</v>
      </c>
      <c r="D11" s="2754">
        <v>900000</v>
      </c>
      <c r="E11" s="2754">
        <v>178640</v>
      </c>
    </row>
    <row r="12" spans="1:5">
      <c r="A12" s="2759" t="s">
        <v>69</v>
      </c>
      <c r="B12" s="2059">
        <v>18</v>
      </c>
      <c r="C12" s="2059">
        <v>15</v>
      </c>
      <c r="D12" s="2754">
        <v>9519558</v>
      </c>
      <c r="E12" s="2754">
        <v>671453</v>
      </c>
    </row>
    <row r="13" spans="1:5">
      <c r="A13" s="2759" t="s">
        <v>4997</v>
      </c>
      <c r="B13" s="2059">
        <v>12</v>
      </c>
      <c r="C13" s="2059">
        <v>10</v>
      </c>
      <c r="D13" s="2754">
        <v>18650000</v>
      </c>
      <c r="E13" s="2754">
        <v>447661</v>
      </c>
    </row>
    <row r="14" spans="1:5">
      <c r="A14" s="2759" t="s">
        <v>2111</v>
      </c>
      <c r="B14" s="2059">
        <v>8</v>
      </c>
      <c r="C14" s="2059">
        <v>6</v>
      </c>
      <c r="D14" s="2754">
        <v>8078447</v>
      </c>
      <c r="E14" s="2754">
        <v>268019</v>
      </c>
    </row>
    <row r="15" spans="1:5">
      <c r="A15" s="2759" t="s">
        <v>2434</v>
      </c>
      <c r="B15" s="2059">
        <v>48</v>
      </c>
      <c r="C15" s="2059">
        <v>39</v>
      </c>
      <c r="D15" s="2754">
        <v>44744778.399999999</v>
      </c>
      <c r="E15" s="2754">
        <v>1744629</v>
      </c>
    </row>
    <row r="16" spans="1:5">
      <c r="A16" s="2759" t="s">
        <v>58</v>
      </c>
      <c r="B16" s="2059">
        <v>88</v>
      </c>
      <c r="C16" s="2059">
        <v>67</v>
      </c>
      <c r="D16" s="2754">
        <v>39308394</v>
      </c>
      <c r="E16" s="2754">
        <v>2998779</v>
      </c>
    </row>
    <row r="17" spans="1:5">
      <c r="A17" s="2759" t="s">
        <v>166</v>
      </c>
      <c r="B17" s="2059">
        <v>1</v>
      </c>
      <c r="C17" s="2059">
        <v>1</v>
      </c>
      <c r="D17" s="2754">
        <v>900000</v>
      </c>
      <c r="E17" s="2754">
        <v>44623</v>
      </c>
    </row>
    <row r="18" spans="1:5">
      <c r="A18" s="2759" t="s">
        <v>10762</v>
      </c>
      <c r="B18" s="2059">
        <v>1</v>
      </c>
      <c r="C18" s="2059">
        <v>1</v>
      </c>
      <c r="D18" s="2754">
        <v>390000</v>
      </c>
      <c r="E18" s="2754">
        <v>44607</v>
      </c>
    </row>
    <row r="19" spans="1:5">
      <c r="A19" s="2759" t="s">
        <v>4295</v>
      </c>
      <c r="B19" s="2059">
        <v>2</v>
      </c>
      <c r="C19" s="2059">
        <v>1</v>
      </c>
      <c r="D19" s="2754">
        <v>2160000</v>
      </c>
      <c r="E19" s="2754">
        <v>44623</v>
      </c>
    </row>
    <row r="20" spans="1:5">
      <c r="A20" s="2759" t="s">
        <v>2712</v>
      </c>
      <c r="B20" s="2059">
        <v>4</v>
      </c>
      <c r="C20" s="2059">
        <v>3</v>
      </c>
      <c r="D20" s="2754">
        <v>2750000</v>
      </c>
      <c r="E20" s="2754">
        <v>134299</v>
      </c>
    </row>
    <row r="21" spans="1:5">
      <c r="A21" s="2759" t="s">
        <v>289</v>
      </c>
      <c r="B21" s="2059">
        <v>3</v>
      </c>
      <c r="C21" s="2059">
        <v>2</v>
      </c>
      <c r="D21" s="2754">
        <v>3079338</v>
      </c>
      <c r="E21" s="2754">
        <v>89512</v>
      </c>
    </row>
    <row r="22" spans="1:5">
      <c r="A22" s="2759" t="s">
        <v>2250</v>
      </c>
      <c r="B22" s="2059">
        <v>1</v>
      </c>
      <c r="C22" s="2059">
        <v>1</v>
      </c>
      <c r="D22" s="2754">
        <v>600000</v>
      </c>
      <c r="E22" s="2754">
        <v>44713</v>
      </c>
    </row>
    <row r="23" spans="1:5">
      <c r="A23" s="2759" t="s">
        <v>11687</v>
      </c>
      <c r="B23" s="2059">
        <v>1</v>
      </c>
      <c r="C23" s="2059">
        <v>1</v>
      </c>
      <c r="D23" s="2754">
        <v>200000</v>
      </c>
      <c r="E23" s="2754">
        <v>44746</v>
      </c>
    </row>
    <row r="24" spans="1:5">
      <c r="A24" s="2759" t="s">
        <v>3678</v>
      </c>
      <c r="B24" s="2059">
        <v>2</v>
      </c>
      <c r="C24" s="2059"/>
      <c r="D24" s="2754">
        <v>1400000</v>
      </c>
      <c r="E24" s="2754"/>
    </row>
    <row r="25" spans="1:5">
      <c r="A25" s="2759" t="s">
        <v>12073</v>
      </c>
      <c r="B25" s="2059">
        <v>1</v>
      </c>
      <c r="C25" s="2059">
        <v>1</v>
      </c>
      <c r="D25" s="2754">
        <v>1115072</v>
      </c>
      <c r="E25" s="2754">
        <v>44775</v>
      </c>
    </row>
    <row r="26" spans="1:5">
      <c r="A26" s="2058" t="s">
        <v>216</v>
      </c>
      <c r="B26" s="2059">
        <v>77</v>
      </c>
      <c r="C26" s="2059">
        <v>49</v>
      </c>
      <c r="D26" s="2754">
        <v>240383569.38</v>
      </c>
      <c r="E26" s="2754">
        <v>2194839</v>
      </c>
    </row>
    <row r="27" spans="1:5">
      <c r="A27" s="2058" t="s">
        <v>9690</v>
      </c>
      <c r="B27" s="2059"/>
      <c r="C27" s="2059"/>
      <c r="D27" s="2754"/>
      <c r="E27" s="2754"/>
    </row>
    <row r="28" spans="1:5">
      <c r="A28" s="2058" t="s">
        <v>235</v>
      </c>
      <c r="B28" s="2059">
        <v>1</v>
      </c>
      <c r="C28" s="2059">
        <v>1</v>
      </c>
      <c r="D28" s="2754">
        <v>240000</v>
      </c>
      <c r="E28" s="2754">
        <v>44907</v>
      </c>
    </row>
    <row r="29" spans="1:5">
      <c r="A29" s="2058" t="s">
        <v>740</v>
      </c>
      <c r="B29" s="2059">
        <v>1038</v>
      </c>
      <c r="C29" s="2059">
        <v>706</v>
      </c>
      <c r="D29" s="2754">
        <v>10008356673.290001</v>
      </c>
      <c r="E29" s="2754">
        <v>31594837</v>
      </c>
    </row>
    <row r="30" spans="1:5">
      <c r="D30"/>
      <c r="E30"/>
    </row>
    <row r="31" spans="1:5">
      <c r="D31"/>
      <c r="E31"/>
    </row>
    <row r="32" spans="1:5">
      <c r="D32"/>
      <c r="E32"/>
    </row>
    <row r="33" spans="4:5">
      <c r="D33"/>
      <c r="E33"/>
    </row>
    <row r="34" spans="4:5">
      <c r="D34"/>
      <c r="E34"/>
    </row>
    <row r="35" spans="4:5">
      <c r="D35"/>
      <c r="E35"/>
    </row>
    <row r="36" spans="4:5">
      <c r="D36"/>
      <c r="E36"/>
    </row>
    <row r="37" spans="4:5">
      <c r="D37"/>
      <c r="E37"/>
    </row>
    <row r="38" spans="4:5">
      <c r="D38"/>
      <c r="E38"/>
    </row>
    <row r="39" spans="4:5">
      <c r="D39"/>
      <c r="E39"/>
    </row>
    <row r="40" spans="4:5">
      <c r="D40"/>
      <c r="E40"/>
    </row>
    <row r="41" spans="4:5">
      <c r="D41"/>
      <c r="E41"/>
    </row>
    <row r="42" spans="4:5">
      <c r="D42"/>
      <c r="E42"/>
    </row>
    <row r="43" spans="4:5">
      <c r="D43"/>
      <c r="E43"/>
    </row>
    <row r="44" spans="4:5">
      <c r="D44"/>
      <c r="E44"/>
    </row>
    <row r="45" spans="4:5">
      <c r="D45"/>
      <c r="E45"/>
    </row>
    <row r="46" spans="4:5">
      <c r="D46"/>
      <c r="E46"/>
    </row>
    <row r="47" spans="4:5">
      <c r="D47"/>
      <c r="E47"/>
    </row>
    <row r="48" spans="4:5">
      <c r="D48"/>
      <c r="E48"/>
    </row>
    <row r="49" spans="4:5">
      <c r="D49"/>
      <c r="E49"/>
    </row>
    <row r="50" spans="4:5">
      <c r="D50"/>
      <c r="E50"/>
    </row>
    <row r="51" spans="4:5">
      <c r="D51"/>
      <c r="E51"/>
    </row>
    <row r="52" spans="4:5">
      <c r="D52"/>
      <c r="E52"/>
    </row>
    <row r="53" spans="4:5">
      <c r="D53"/>
      <c r="E53"/>
    </row>
    <row r="54" spans="4:5">
      <c r="D54"/>
      <c r="E54"/>
    </row>
    <row r="55" spans="4:5">
      <c r="D55"/>
      <c r="E55"/>
    </row>
    <row r="56" spans="4:5">
      <c r="D56"/>
      <c r="E56"/>
    </row>
    <row r="57" spans="4:5">
      <c r="D57"/>
      <c r="E57"/>
    </row>
    <row r="58" spans="4:5">
      <c r="D58"/>
      <c r="E58"/>
    </row>
    <row r="59" spans="4:5">
      <c r="D59"/>
      <c r="E59"/>
    </row>
    <row r="60" spans="4:5">
      <c r="D60"/>
      <c r="E60"/>
    </row>
    <row r="61" spans="4:5">
      <c r="D61"/>
      <c r="E61"/>
    </row>
    <row r="62" spans="4:5">
      <c r="D62"/>
      <c r="E62"/>
    </row>
    <row r="63" spans="4:5">
      <c r="D63"/>
      <c r="E63"/>
    </row>
    <row r="64" spans="4:5">
      <c r="D64"/>
      <c r="E64"/>
    </row>
    <row r="65" spans="4:5">
      <c r="D65"/>
      <c r="E65"/>
    </row>
    <row r="66" spans="4:5">
      <c r="D66"/>
      <c r="E66"/>
    </row>
    <row r="67" spans="4:5">
      <c r="D67"/>
      <c r="E67"/>
    </row>
    <row r="68" spans="4:5">
      <c r="D68"/>
      <c r="E68"/>
    </row>
    <row r="69" spans="4:5">
      <c r="D69"/>
      <c r="E69"/>
    </row>
    <row r="70" spans="4:5">
      <c r="D70"/>
      <c r="E70"/>
    </row>
    <row r="71" spans="4:5">
      <c r="D71"/>
      <c r="E71"/>
    </row>
    <row r="72" spans="4:5">
      <c r="D72"/>
      <c r="E72"/>
    </row>
    <row r="73" spans="4:5">
      <c r="D73"/>
      <c r="E73"/>
    </row>
    <row r="74" spans="4:5">
      <c r="D74"/>
      <c r="E74"/>
    </row>
    <row r="75" spans="4:5">
      <c r="D75"/>
      <c r="E75"/>
    </row>
    <row r="76" spans="4:5">
      <c r="D76"/>
      <c r="E76"/>
    </row>
    <row r="77" spans="4:5">
      <c r="D77"/>
      <c r="E77"/>
    </row>
    <row r="78" spans="4:5">
      <c r="D78"/>
      <c r="E78"/>
    </row>
    <row r="79" spans="4:5">
      <c r="D79"/>
      <c r="E79"/>
    </row>
    <row r="80" spans="4:5">
      <c r="D80"/>
      <c r="E80"/>
    </row>
    <row r="81" spans="4:5">
      <c r="D81"/>
      <c r="E81"/>
    </row>
    <row r="82" spans="4:5">
      <c r="D82"/>
      <c r="E82"/>
    </row>
    <row r="83" spans="4:5">
      <c r="D83"/>
      <c r="E83"/>
    </row>
    <row r="84" spans="4:5">
      <c r="D84"/>
      <c r="E84"/>
    </row>
    <row r="85" spans="4:5">
      <c r="D85"/>
      <c r="E85"/>
    </row>
    <row r="86" spans="4:5">
      <c r="D86"/>
      <c r="E86"/>
    </row>
    <row r="87" spans="4:5">
      <c r="D87"/>
      <c r="E87"/>
    </row>
    <row r="88" spans="4:5">
      <c r="D88"/>
      <c r="E88"/>
    </row>
    <row r="89" spans="4:5">
      <c r="D89"/>
      <c r="E89"/>
    </row>
    <row r="90" spans="4:5">
      <c r="D90"/>
      <c r="E90"/>
    </row>
    <row r="91" spans="4:5">
      <c r="D91"/>
      <c r="E91"/>
    </row>
    <row r="92" spans="4:5">
      <c r="D92"/>
      <c r="E92"/>
    </row>
    <row r="93" spans="4:5">
      <c r="D93"/>
      <c r="E93"/>
    </row>
    <row r="94" spans="4:5">
      <c r="D94"/>
      <c r="E94"/>
    </row>
    <row r="95" spans="4:5">
      <c r="D95"/>
      <c r="E95"/>
    </row>
    <row r="96" spans="4:5">
      <c r="D96"/>
      <c r="E96"/>
    </row>
    <row r="97" spans="4:5">
      <c r="D97"/>
      <c r="E97"/>
    </row>
    <row r="98" spans="4:5">
      <c r="D98"/>
      <c r="E98"/>
    </row>
    <row r="99" spans="4:5">
      <c r="D99"/>
      <c r="E99"/>
    </row>
    <row r="100" spans="4:5">
      <c r="D100"/>
      <c r="E100"/>
    </row>
    <row r="101" spans="4:5">
      <c r="D101"/>
      <c r="E101"/>
    </row>
    <row r="102" spans="4:5">
      <c r="D102"/>
      <c r="E102"/>
    </row>
    <row r="103" spans="4:5">
      <c r="D103"/>
      <c r="E103"/>
    </row>
    <row r="104" spans="4:5">
      <c r="D104"/>
      <c r="E104"/>
    </row>
    <row r="105" spans="4:5">
      <c r="D105"/>
      <c r="E105"/>
    </row>
    <row r="106" spans="4:5">
      <c r="D106"/>
      <c r="E106"/>
    </row>
    <row r="107" spans="4:5">
      <c r="D107"/>
      <c r="E107"/>
    </row>
    <row r="108" spans="4:5">
      <c r="D108"/>
      <c r="E108"/>
    </row>
    <row r="109" spans="4:5">
      <c r="D109"/>
      <c r="E109"/>
    </row>
    <row r="110" spans="4:5">
      <c r="D110"/>
      <c r="E110"/>
    </row>
    <row r="111" spans="4:5">
      <c r="D111"/>
      <c r="E111"/>
    </row>
    <row r="112" spans="4:5">
      <c r="D112"/>
      <c r="E112"/>
    </row>
    <row r="113" spans="4:5">
      <c r="D113"/>
      <c r="E113"/>
    </row>
    <row r="114" spans="4:5">
      <c r="D114"/>
      <c r="E114"/>
    </row>
    <row r="115" spans="4:5">
      <c r="D115"/>
      <c r="E115"/>
    </row>
    <row r="116" spans="4:5">
      <c r="D116"/>
      <c r="E116"/>
    </row>
    <row r="117" spans="4:5">
      <c r="D117"/>
      <c r="E117"/>
    </row>
    <row r="118" spans="4:5">
      <c r="D118"/>
      <c r="E118"/>
    </row>
    <row r="119" spans="4:5">
      <c r="D119"/>
      <c r="E119"/>
    </row>
    <row r="120" spans="4:5">
      <c r="D120"/>
      <c r="E120"/>
    </row>
    <row r="121" spans="4:5">
      <c r="D121"/>
      <c r="E121"/>
    </row>
    <row r="122" spans="4:5">
      <c r="D122"/>
      <c r="E122"/>
    </row>
    <row r="123" spans="4:5">
      <c r="D123"/>
      <c r="E123"/>
    </row>
    <row r="124" spans="4:5">
      <c r="D124"/>
      <c r="E124"/>
    </row>
    <row r="125" spans="4:5">
      <c r="D125"/>
      <c r="E125"/>
    </row>
    <row r="126" spans="4:5">
      <c r="D126"/>
      <c r="E126"/>
    </row>
    <row r="127" spans="4:5">
      <c r="D127"/>
      <c r="E127"/>
    </row>
    <row r="128" spans="4:5">
      <c r="D128"/>
      <c r="E128"/>
    </row>
    <row r="129" spans="4:5">
      <c r="D129"/>
      <c r="E129"/>
    </row>
    <row r="130" spans="4:5">
      <c r="D130"/>
      <c r="E130"/>
    </row>
    <row r="131" spans="4:5">
      <c r="D131"/>
      <c r="E131"/>
    </row>
    <row r="132" spans="4:5">
      <c r="D132"/>
      <c r="E132"/>
    </row>
    <row r="133" spans="4:5">
      <c r="D133"/>
      <c r="E133"/>
    </row>
    <row r="134" spans="4:5">
      <c r="D134"/>
      <c r="E134"/>
    </row>
    <row r="135" spans="4:5">
      <c r="D135"/>
      <c r="E135"/>
    </row>
    <row r="136" spans="4:5">
      <c r="D136"/>
      <c r="E136"/>
    </row>
    <row r="137" spans="4:5">
      <c r="D137"/>
      <c r="E137"/>
    </row>
    <row r="138" spans="4:5">
      <c r="D138"/>
      <c r="E138"/>
    </row>
    <row r="139" spans="4:5">
      <c r="D139"/>
      <c r="E139"/>
    </row>
    <row r="140" spans="4:5">
      <c r="D140"/>
      <c r="E140"/>
    </row>
    <row r="141" spans="4:5">
      <c r="D141"/>
      <c r="E141"/>
    </row>
    <row r="142" spans="4:5">
      <c r="D142"/>
      <c r="E142"/>
    </row>
    <row r="143" spans="4:5">
      <c r="D143"/>
      <c r="E143"/>
    </row>
    <row r="144" spans="4:5">
      <c r="D144"/>
      <c r="E144"/>
    </row>
    <row r="145" spans="4:5">
      <c r="D145"/>
      <c r="E145"/>
    </row>
    <row r="146" spans="4:5">
      <c r="D146"/>
      <c r="E146"/>
    </row>
    <row r="147" spans="4:5">
      <c r="D147"/>
      <c r="E147"/>
    </row>
    <row r="148" spans="4:5">
      <c r="D148"/>
      <c r="E148"/>
    </row>
    <row r="149" spans="4:5">
      <c r="D149"/>
      <c r="E149"/>
    </row>
    <row r="150" spans="4:5">
      <c r="D150"/>
      <c r="E150"/>
    </row>
    <row r="151" spans="4:5">
      <c r="D151"/>
      <c r="E151"/>
    </row>
    <row r="152" spans="4:5">
      <c r="D152"/>
      <c r="E152"/>
    </row>
    <row r="153" spans="4:5">
      <c r="D153"/>
      <c r="E153"/>
    </row>
    <row r="154" spans="4:5">
      <c r="D154"/>
      <c r="E154"/>
    </row>
    <row r="155" spans="4:5">
      <c r="D155"/>
      <c r="E155"/>
    </row>
    <row r="156" spans="4:5">
      <c r="D156"/>
      <c r="E156"/>
    </row>
    <row r="157" spans="4:5">
      <c r="D157"/>
      <c r="E157"/>
    </row>
    <row r="158" spans="4:5">
      <c r="D158"/>
      <c r="E158"/>
    </row>
    <row r="159" spans="4:5">
      <c r="D159"/>
      <c r="E159"/>
    </row>
    <row r="160" spans="4:5">
      <c r="D160"/>
      <c r="E160"/>
    </row>
    <row r="161" spans="4:5">
      <c r="D161"/>
      <c r="E161"/>
    </row>
    <row r="162" spans="4:5">
      <c r="D162"/>
      <c r="E162"/>
    </row>
    <row r="163" spans="4:5">
      <c r="D163"/>
      <c r="E163"/>
    </row>
    <row r="164" spans="4:5">
      <c r="D164"/>
      <c r="E164"/>
    </row>
    <row r="165" spans="4:5">
      <c r="D165"/>
      <c r="E165"/>
    </row>
    <row r="166" spans="4:5">
      <c r="D166"/>
      <c r="E166"/>
    </row>
    <row r="167" spans="4:5">
      <c r="D167"/>
      <c r="E167"/>
    </row>
    <row r="168" spans="4:5">
      <c r="D168"/>
      <c r="E168"/>
    </row>
    <row r="169" spans="4:5">
      <c r="D169"/>
      <c r="E169"/>
    </row>
    <row r="170" spans="4:5">
      <c r="D170"/>
      <c r="E170"/>
    </row>
    <row r="171" spans="4:5">
      <c r="D171"/>
      <c r="E171"/>
    </row>
    <row r="172" spans="4:5">
      <c r="D172"/>
      <c r="E172"/>
    </row>
    <row r="173" spans="4:5">
      <c r="D173"/>
      <c r="E173"/>
    </row>
    <row r="174" spans="4:5">
      <c r="D174"/>
      <c r="E174"/>
    </row>
    <row r="175" spans="4:5">
      <c r="D175"/>
      <c r="E175"/>
    </row>
    <row r="176" spans="4:5">
      <c r="D176"/>
      <c r="E176"/>
    </row>
    <row r="177" spans="4:5">
      <c r="D177"/>
      <c r="E177"/>
    </row>
    <row r="178" spans="4:5">
      <c r="D178"/>
      <c r="E178"/>
    </row>
    <row r="179" spans="4:5">
      <c r="D179"/>
      <c r="E179"/>
    </row>
    <row r="180" spans="4:5">
      <c r="D180"/>
      <c r="E180"/>
    </row>
    <row r="181" spans="4:5">
      <c r="D181"/>
      <c r="E181"/>
    </row>
    <row r="182" spans="4:5">
      <c r="D182"/>
      <c r="E182"/>
    </row>
    <row r="183" spans="4:5">
      <c r="D183"/>
      <c r="E183"/>
    </row>
    <row r="184" spans="4:5">
      <c r="D184"/>
      <c r="E184"/>
    </row>
    <row r="185" spans="4:5">
      <c r="D185"/>
      <c r="E185"/>
    </row>
    <row r="186" spans="4:5">
      <c r="D186"/>
      <c r="E186"/>
    </row>
    <row r="187" spans="4:5">
      <c r="D187"/>
      <c r="E187"/>
    </row>
    <row r="188" spans="4:5">
      <c r="D188"/>
      <c r="E188"/>
    </row>
    <row r="189" spans="4:5">
      <c r="D189"/>
      <c r="E189"/>
    </row>
    <row r="190" spans="4:5">
      <c r="D190"/>
      <c r="E190"/>
    </row>
    <row r="191" spans="4:5">
      <c r="D191"/>
      <c r="E191"/>
    </row>
    <row r="192" spans="4:5">
      <c r="D192"/>
      <c r="E192"/>
    </row>
    <row r="193" spans="4:5">
      <c r="D193"/>
      <c r="E193"/>
    </row>
    <row r="194" spans="4:5">
      <c r="D194"/>
      <c r="E194"/>
    </row>
    <row r="195" spans="4:5">
      <c r="D195"/>
      <c r="E195"/>
    </row>
    <row r="196" spans="4:5">
      <c r="D196"/>
      <c r="E196"/>
    </row>
    <row r="197" spans="4:5">
      <c r="D197"/>
      <c r="E197"/>
    </row>
    <row r="198" spans="4:5">
      <c r="D198"/>
      <c r="E198"/>
    </row>
    <row r="199" spans="4:5">
      <c r="D199"/>
      <c r="E199"/>
    </row>
    <row r="200" spans="4:5">
      <c r="D200"/>
      <c r="E200"/>
    </row>
    <row r="201" spans="4:5">
      <c r="D201"/>
      <c r="E201"/>
    </row>
    <row r="202" spans="4:5">
      <c r="D202"/>
      <c r="E202"/>
    </row>
    <row r="203" spans="4:5">
      <c r="D203"/>
      <c r="E203"/>
    </row>
    <row r="204" spans="4:5">
      <c r="D204"/>
      <c r="E204"/>
    </row>
    <row r="205" spans="4:5">
      <c r="D205"/>
      <c r="E205"/>
    </row>
    <row r="206" spans="4:5">
      <c r="D206"/>
      <c r="E206"/>
    </row>
    <row r="207" spans="4:5">
      <c r="D207"/>
      <c r="E207"/>
    </row>
    <row r="208" spans="4:5">
      <c r="D208"/>
      <c r="E208"/>
    </row>
    <row r="209" spans="4:5">
      <c r="D209"/>
      <c r="E209"/>
    </row>
    <row r="210" spans="4:5">
      <c r="D210"/>
      <c r="E210"/>
    </row>
    <row r="211" spans="4:5">
      <c r="D211"/>
      <c r="E211"/>
    </row>
    <row r="212" spans="4:5">
      <c r="D212"/>
      <c r="E212"/>
    </row>
    <row r="213" spans="4:5">
      <c r="D213"/>
      <c r="E213"/>
    </row>
    <row r="214" spans="4:5">
      <c r="D214"/>
      <c r="E214"/>
    </row>
    <row r="215" spans="4:5">
      <c r="D215"/>
      <c r="E215"/>
    </row>
    <row r="216" spans="4:5">
      <c r="D216"/>
      <c r="E216"/>
    </row>
    <row r="217" spans="4:5">
      <c r="D217"/>
      <c r="E217"/>
    </row>
    <row r="218" spans="4:5">
      <c r="D218"/>
      <c r="E218"/>
    </row>
    <row r="219" spans="4:5">
      <c r="D219"/>
      <c r="E219"/>
    </row>
    <row r="220" spans="4:5">
      <c r="D220"/>
      <c r="E220"/>
    </row>
    <row r="221" spans="4:5">
      <c r="D221"/>
      <c r="E221"/>
    </row>
    <row r="222" spans="4:5">
      <c r="D222"/>
      <c r="E222"/>
    </row>
    <row r="223" spans="4:5">
      <c r="D223"/>
      <c r="E223"/>
    </row>
    <row r="224" spans="4:5">
      <c r="D224"/>
      <c r="E224"/>
    </row>
    <row r="225" spans="4:5">
      <c r="D225"/>
      <c r="E225"/>
    </row>
    <row r="226" spans="4:5">
      <c r="D226"/>
      <c r="E226"/>
    </row>
    <row r="227" spans="4:5">
      <c r="D227"/>
      <c r="E227"/>
    </row>
    <row r="228" spans="4:5">
      <c r="D228"/>
      <c r="E228"/>
    </row>
    <row r="229" spans="4:5">
      <c r="D229"/>
      <c r="E229"/>
    </row>
    <row r="230" spans="4:5">
      <c r="D230"/>
      <c r="E230"/>
    </row>
    <row r="231" spans="4:5">
      <c r="D231"/>
      <c r="E231"/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33441-0BE9-4B4D-9C14-A59063C06088}">
  <dimension ref="A1:C101"/>
  <sheetViews>
    <sheetView workbookViewId="0">
      <selection activeCell="N513" sqref="N513:N514"/>
    </sheetView>
  </sheetViews>
  <sheetFormatPr defaultRowHeight="15"/>
  <cols>
    <col min="1" max="1" width="19" bestFit="1" customWidth="1"/>
    <col min="2" max="3" width="17.5703125" style="373" bestFit="1" customWidth="1"/>
  </cols>
  <sheetData>
    <row r="1" spans="1:3">
      <c r="A1" s="2057" t="s">
        <v>10</v>
      </c>
      <c r="B1" s="2754" t="s">
        <v>745</v>
      </c>
    </row>
    <row r="3" spans="1:3" s="500" customFormat="1" ht="60">
      <c r="A3" s="2078" t="s">
        <v>739</v>
      </c>
      <c r="B3" s="2460" t="s">
        <v>741</v>
      </c>
      <c r="C3" s="2460" t="s">
        <v>743</v>
      </c>
    </row>
    <row r="4" spans="1:3">
      <c r="A4" s="2058" t="s">
        <v>645</v>
      </c>
      <c r="B4" s="2754">
        <v>38853834</v>
      </c>
      <c r="C4" s="2754">
        <v>38853834</v>
      </c>
    </row>
    <row r="5" spans="1:3">
      <c r="A5" s="2058" t="s">
        <v>251</v>
      </c>
      <c r="B5" s="2754">
        <v>5612779496.1799994</v>
      </c>
      <c r="C5" s="2754">
        <v>5402941884.0399981</v>
      </c>
    </row>
    <row r="6" spans="1:3">
      <c r="A6" s="2058" t="s">
        <v>112</v>
      </c>
      <c r="B6" s="2754">
        <v>139578815</v>
      </c>
      <c r="C6" s="2754">
        <v>132957009.55999999</v>
      </c>
    </row>
    <row r="7" spans="1:3">
      <c r="A7" s="2058" t="s">
        <v>216</v>
      </c>
      <c r="B7" s="2754">
        <v>182490956.38</v>
      </c>
      <c r="C7" s="2754">
        <v>185755693.65000004</v>
      </c>
    </row>
    <row r="8" spans="1:3">
      <c r="A8" s="2058" t="s">
        <v>235</v>
      </c>
      <c r="B8" s="2754">
        <v>240000</v>
      </c>
      <c r="C8" s="2754">
        <v>164000</v>
      </c>
    </row>
    <row r="9" spans="1:3">
      <c r="A9" s="2058" t="s">
        <v>740</v>
      </c>
      <c r="B9" s="2754">
        <v>5973943101.5599995</v>
      </c>
      <c r="C9" s="2754">
        <v>5760672421.2499981</v>
      </c>
    </row>
    <row r="10" spans="1:3">
      <c r="B10"/>
      <c r="C10"/>
    </row>
    <row r="11" spans="1:3">
      <c r="B11"/>
      <c r="C11"/>
    </row>
    <row r="12" spans="1:3">
      <c r="B12"/>
      <c r="C12"/>
    </row>
    <row r="13" spans="1:3">
      <c r="B13"/>
      <c r="C13"/>
    </row>
    <row r="14" spans="1:3">
      <c r="B14"/>
      <c r="C14"/>
    </row>
    <row r="15" spans="1:3">
      <c r="B15"/>
      <c r="C15"/>
    </row>
    <row r="16" spans="1:3">
      <c r="B16"/>
      <c r="C16"/>
    </row>
    <row r="17" spans="2:3">
      <c r="B17"/>
      <c r="C17"/>
    </row>
    <row r="18" spans="2:3">
      <c r="B18"/>
      <c r="C18"/>
    </row>
    <row r="19" spans="2:3">
      <c r="B19"/>
      <c r="C19"/>
    </row>
    <row r="20" spans="2:3">
      <c r="B20"/>
      <c r="C20"/>
    </row>
    <row r="21" spans="2:3">
      <c r="B21"/>
      <c r="C21"/>
    </row>
    <row r="22" spans="2:3">
      <c r="B22"/>
      <c r="C22"/>
    </row>
    <row r="23" spans="2:3">
      <c r="B23"/>
      <c r="C23"/>
    </row>
    <row r="24" spans="2:3">
      <c r="B24"/>
      <c r="C24"/>
    </row>
    <row r="25" spans="2:3">
      <c r="B25"/>
      <c r="C25"/>
    </row>
    <row r="26" spans="2:3">
      <c r="B26"/>
      <c r="C26"/>
    </row>
    <row r="27" spans="2:3">
      <c r="B27"/>
      <c r="C27"/>
    </row>
    <row r="28" spans="2:3">
      <c r="B28"/>
      <c r="C28"/>
    </row>
    <row r="29" spans="2:3">
      <c r="B29"/>
      <c r="C29"/>
    </row>
    <row r="30" spans="2:3">
      <c r="B30"/>
      <c r="C30"/>
    </row>
    <row r="31" spans="2:3">
      <c r="B31"/>
      <c r="C31"/>
    </row>
    <row r="32" spans="2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</sheetData>
  <pageMargins left="0.7" right="0.7" top="0.78740157499999996" bottom="0.78740157499999996" header="0.3" footer="0.3"/>
  <pageSetup paperSize="9" orientation="portrait" verticalDpi="0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DD498-1F41-4F9E-B78B-917C8202FBA4}">
  <sheetPr>
    <pageSetUpPr fitToPage="1"/>
  </sheetPr>
  <dimension ref="A1:AR937"/>
  <sheetViews>
    <sheetView zoomScale="90" zoomScaleNormal="90" workbookViewId="0">
      <pane xSplit="12" ySplit="8" topLeftCell="M9" activePane="bottomRight" state="frozen"/>
      <selection pane="topRight" activeCell="L1" sqref="L1"/>
      <selection pane="bottomLeft" activeCell="A9" sqref="A9"/>
      <selection pane="bottomRight" activeCell="F30" sqref="F30"/>
    </sheetView>
  </sheetViews>
  <sheetFormatPr defaultColWidth="9.140625" defaultRowHeight="15"/>
  <cols>
    <col min="1" max="1" width="18.28515625" style="374" customWidth="1"/>
    <col min="2" max="2" width="18.5703125" style="1166" customWidth="1"/>
    <col min="3" max="3" width="8.42578125" style="374" customWidth="1"/>
    <col min="4" max="5" width="13" style="374" customWidth="1"/>
    <col min="6" max="6" width="56.28515625" style="1944" customWidth="1"/>
    <col min="7" max="7" width="5.42578125" style="374" customWidth="1"/>
    <col min="8" max="8" width="47.85546875" style="1166" customWidth="1"/>
    <col min="9" max="9" width="18.85546875" style="1166" bestFit="1" customWidth="1"/>
    <col min="10" max="10" width="13.140625" style="374" customWidth="1"/>
    <col min="11" max="11" width="9.7109375" style="374" customWidth="1"/>
    <col min="12" max="12" width="20.7109375" style="371" customWidth="1"/>
    <col min="13" max="13" width="7.85546875" style="374" customWidth="1"/>
    <col min="14" max="15" width="13" style="374" customWidth="1"/>
    <col min="16" max="16" width="13.42578125" style="374" customWidth="1"/>
    <col min="17" max="17" width="26.42578125" style="1166" customWidth="1"/>
    <col min="18" max="18" width="25.28515625" style="374" customWidth="1"/>
    <col min="19" max="20" width="20.85546875" style="371" customWidth="1"/>
    <col min="21" max="21" width="21.28515625" style="1469" hidden="1" customWidth="1"/>
    <col min="22" max="22" width="18.28515625" style="1469" hidden="1" customWidth="1"/>
    <col min="23" max="23" width="20.28515625" style="1469" hidden="1" customWidth="1"/>
    <col min="24" max="24" width="13.85546875" style="371" customWidth="1"/>
    <col min="25" max="25" width="24.42578125" style="371" bestFit="1" customWidth="1"/>
    <col min="26" max="26" width="15.5703125" style="374" bestFit="1" customWidth="1"/>
    <col min="27" max="27" width="17.7109375" style="374" customWidth="1"/>
    <col min="28" max="28" width="18.7109375" style="374" customWidth="1"/>
    <col min="29" max="29" width="16.5703125" style="374" hidden="1" customWidth="1"/>
    <col min="30" max="30" width="17.7109375" style="374" hidden="1" customWidth="1"/>
    <col min="31" max="31" width="24.85546875" style="360" customWidth="1"/>
    <col min="32" max="32" width="21.42578125" style="360" customWidth="1"/>
    <col min="33" max="33" width="14.85546875" style="374" customWidth="1"/>
    <col min="34" max="34" width="15" style="374" customWidth="1"/>
    <col min="35" max="35" width="15.140625" style="374" customWidth="1"/>
    <col min="36" max="37" width="13.5703125" style="374" bestFit="1" customWidth="1"/>
    <col min="38" max="43" width="9.140625" style="374"/>
    <col min="44" max="44" width="13.42578125" style="374" customWidth="1"/>
    <col min="45" max="16384" width="9.140625" style="1944"/>
  </cols>
  <sheetData>
    <row r="1" spans="1:31">
      <c r="C1" s="358"/>
      <c r="F1" s="491" t="s">
        <v>222</v>
      </c>
      <c r="K1" s="370"/>
    </row>
    <row r="2" spans="1:31">
      <c r="C2" s="359"/>
      <c r="F2" s="506" t="s">
        <v>223</v>
      </c>
      <c r="K2" s="370"/>
    </row>
    <row r="3" spans="1:31">
      <c r="C3" s="360"/>
      <c r="F3" s="540" t="s">
        <v>4837</v>
      </c>
      <c r="K3" s="370"/>
    </row>
    <row r="4" spans="1:31">
      <c r="C4" s="360"/>
      <c r="F4" s="590" t="s">
        <v>225</v>
      </c>
      <c r="K4" s="370"/>
    </row>
    <row r="5" spans="1:31">
      <c r="C5" s="360"/>
      <c r="F5" s="1552" t="s">
        <v>4709</v>
      </c>
      <c r="K5" s="370"/>
    </row>
    <row r="6" spans="1:31">
      <c r="C6" s="360"/>
      <c r="D6" s="796"/>
      <c r="E6" s="796"/>
      <c r="F6" s="1102" t="s">
        <v>226</v>
      </c>
      <c r="G6" s="1351"/>
      <c r="H6" s="1418"/>
      <c r="I6" s="1418"/>
      <c r="K6" s="370"/>
    </row>
    <row r="7" spans="1:31">
      <c r="C7" s="360"/>
      <c r="D7" s="796"/>
      <c r="E7" s="796"/>
      <c r="F7" s="1639" t="s">
        <v>5393</v>
      </c>
      <c r="G7" s="1351"/>
      <c r="H7" s="1418"/>
      <c r="I7" s="1418"/>
      <c r="K7" s="370"/>
    </row>
    <row r="8" spans="1:31" ht="60.75" thickBot="1">
      <c r="A8" s="2900" t="s">
        <v>3484</v>
      </c>
      <c r="B8" s="2900" t="s">
        <v>11</v>
      </c>
      <c r="C8" s="2900" t="s">
        <v>1164</v>
      </c>
      <c r="D8" s="2900" t="s">
        <v>0</v>
      </c>
      <c r="E8" s="2900" t="s">
        <v>13947</v>
      </c>
      <c r="F8" s="1192" t="s">
        <v>1</v>
      </c>
      <c r="G8" s="1192" t="s">
        <v>3684</v>
      </c>
      <c r="H8" s="1527" t="s">
        <v>3489</v>
      </c>
      <c r="I8" s="1192" t="s">
        <v>15372</v>
      </c>
      <c r="J8" s="1192" t="s">
        <v>2</v>
      </c>
      <c r="K8" s="1193" t="s">
        <v>5</v>
      </c>
      <c r="L8" s="1194" t="s">
        <v>15</v>
      </c>
      <c r="M8" s="1192" t="s">
        <v>3</v>
      </c>
      <c r="N8" s="2900" t="s">
        <v>4</v>
      </c>
      <c r="O8" s="2900" t="s">
        <v>6</v>
      </c>
      <c r="P8" s="2900" t="s">
        <v>3485</v>
      </c>
      <c r="Q8" s="1706" t="s">
        <v>5486</v>
      </c>
      <c r="R8" s="2900" t="s">
        <v>5487</v>
      </c>
      <c r="S8" s="1194" t="s">
        <v>8</v>
      </c>
      <c r="T8" s="1194" t="s">
        <v>9</v>
      </c>
      <c r="U8" s="1528" t="s">
        <v>3491</v>
      </c>
      <c r="V8" s="1528" t="s">
        <v>3492</v>
      </c>
      <c r="W8" s="1528" t="s">
        <v>3493</v>
      </c>
      <c r="X8" s="1194" t="s">
        <v>3486</v>
      </c>
      <c r="Y8" s="1194" t="s">
        <v>3487</v>
      </c>
      <c r="Z8" s="2900" t="s">
        <v>10</v>
      </c>
      <c r="AA8" s="2900" t="s">
        <v>334</v>
      </c>
      <c r="AB8" s="2900" t="s">
        <v>3488</v>
      </c>
      <c r="AC8" s="3454" t="s">
        <v>220</v>
      </c>
      <c r="AD8" s="3455"/>
    </row>
    <row r="9" spans="1:31" ht="15.75" thickTop="1">
      <c r="A9" s="474">
        <v>44600</v>
      </c>
      <c r="B9" s="1420" t="s">
        <v>11018</v>
      </c>
      <c r="C9" s="453" t="s">
        <v>69</v>
      </c>
      <c r="D9" s="453" t="s">
        <v>70</v>
      </c>
      <c r="E9" s="453" t="s">
        <v>13949</v>
      </c>
      <c r="F9" s="473" t="s">
        <v>11176</v>
      </c>
      <c r="G9" s="453">
        <v>1</v>
      </c>
      <c r="H9" s="1420" t="s">
        <v>11019</v>
      </c>
      <c r="I9" s="1420" t="s">
        <v>15369</v>
      </c>
      <c r="J9" s="453" t="s">
        <v>3438</v>
      </c>
      <c r="K9" s="453"/>
      <c r="L9" s="457">
        <v>554723</v>
      </c>
      <c r="M9" s="453" t="s">
        <v>251</v>
      </c>
      <c r="N9" s="474">
        <v>44838</v>
      </c>
      <c r="O9" s="474">
        <v>44901</v>
      </c>
      <c r="P9" s="474">
        <v>44956</v>
      </c>
      <c r="Q9" s="1420" t="s">
        <v>5805</v>
      </c>
      <c r="R9" s="453"/>
      <c r="S9" s="457">
        <v>554677.19999999995</v>
      </c>
      <c r="T9" s="457">
        <v>610144.92000000004</v>
      </c>
      <c r="U9" s="1474"/>
      <c r="V9" s="1474"/>
      <c r="W9" s="1474"/>
      <c r="X9" s="570">
        <v>44956</v>
      </c>
      <c r="Y9" s="457" t="s">
        <v>14119</v>
      </c>
      <c r="Z9" s="474">
        <v>44992</v>
      </c>
      <c r="AA9" s="474">
        <v>45009</v>
      </c>
      <c r="AB9" s="453" t="s">
        <v>14322</v>
      </c>
      <c r="AC9" s="425"/>
      <c r="AD9" s="425"/>
    </row>
    <row r="10" spans="1:31">
      <c r="A10" s="2140">
        <v>44600</v>
      </c>
      <c r="B10" s="2143" t="s">
        <v>11018</v>
      </c>
      <c r="C10" s="2141" t="s">
        <v>69</v>
      </c>
      <c r="D10" s="2141" t="s">
        <v>70</v>
      </c>
      <c r="E10" s="2141" t="s">
        <v>13949</v>
      </c>
      <c r="F10" s="2142" t="s">
        <v>11176</v>
      </c>
      <c r="G10" s="2141">
        <v>2</v>
      </c>
      <c r="H10" s="2143" t="s">
        <v>11020</v>
      </c>
      <c r="I10" s="2143" t="s">
        <v>15369</v>
      </c>
      <c r="J10" s="2141" t="s">
        <v>3438</v>
      </c>
      <c r="K10" s="2141"/>
      <c r="L10" s="2144">
        <v>14578</v>
      </c>
      <c r="M10" s="2141" t="s">
        <v>251</v>
      </c>
      <c r="N10" s="2140">
        <v>44838</v>
      </c>
      <c r="O10" s="2140">
        <v>44901</v>
      </c>
      <c r="P10" s="2140">
        <v>44956</v>
      </c>
      <c r="Q10" s="2143" t="s">
        <v>576</v>
      </c>
      <c r="R10" s="2141"/>
      <c r="S10" s="2144">
        <v>14548.8</v>
      </c>
      <c r="T10" s="2144">
        <v>16003.68</v>
      </c>
      <c r="U10" s="2145"/>
      <c r="V10" s="2145"/>
      <c r="W10" s="2145"/>
      <c r="X10" s="2146">
        <v>44956</v>
      </c>
      <c r="Y10" s="2144" t="s">
        <v>14120</v>
      </c>
      <c r="Z10" s="2140">
        <v>44991</v>
      </c>
      <c r="AA10" s="2140">
        <v>45009</v>
      </c>
      <c r="AB10" s="2140">
        <v>46451</v>
      </c>
      <c r="AC10" s="2154"/>
      <c r="AD10" s="2154"/>
    </row>
    <row r="11" spans="1:31" ht="15.75" thickBot="1">
      <c r="A11" s="2117">
        <v>44600</v>
      </c>
      <c r="B11" s="2120" t="s">
        <v>11018</v>
      </c>
      <c r="C11" s="2118" t="s">
        <v>69</v>
      </c>
      <c r="D11" s="2118" t="s">
        <v>70</v>
      </c>
      <c r="E11" s="2118" t="s">
        <v>13949</v>
      </c>
      <c r="F11" s="2119" t="s">
        <v>11176</v>
      </c>
      <c r="G11" s="2118">
        <v>3</v>
      </c>
      <c r="H11" s="2120" t="s">
        <v>11021</v>
      </c>
      <c r="I11" s="2120" t="s">
        <v>15369</v>
      </c>
      <c r="J11" s="2118" t="s">
        <v>3438</v>
      </c>
      <c r="K11" s="2118"/>
      <c r="L11" s="2121">
        <v>8497243</v>
      </c>
      <c r="M11" s="2118" t="s">
        <v>251</v>
      </c>
      <c r="N11" s="2117">
        <v>44838</v>
      </c>
      <c r="O11" s="2117">
        <v>44901</v>
      </c>
      <c r="P11" s="2117">
        <v>44956</v>
      </c>
      <c r="Q11" s="2120" t="s">
        <v>5805</v>
      </c>
      <c r="R11" s="2118"/>
      <c r="S11" s="2121">
        <v>8500952.5199999996</v>
      </c>
      <c r="T11" s="2121">
        <v>9351047.7699999996</v>
      </c>
      <c r="U11" s="2122"/>
      <c r="V11" s="2122"/>
      <c r="W11" s="2122"/>
      <c r="X11" s="2123">
        <v>44956</v>
      </c>
      <c r="Y11" s="2121" t="s">
        <v>14121</v>
      </c>
      <c r="Z11" s="2117">
        <v>44992</v>
      </c>
      <c r="AA11" s="2117">
        <v>45009</v>
      </c>
      <c r="AB11" s="2117">
        <v>46452</v>
      </c>
      <c r="AC11" s="2297"/>
      <c r="AD11" s="2297"/>
    </row>
    <row r="12" spans="1:31" ht="15.75" thickTop="1">
      <c r="A12" s="2140">
        <v>44601</v>
      </c>
      <c r="B12" s="2143" t="s">
        <v>11025</v>
      </c>
      <c r="C12" s="2141" t="s">
        <v>69</v>
      </c>
      <c r="D12" s="2141" t="s">
        <v>70</v>
      </c>
      <c r="E12" s="2141" t="s">
        <v>13949</v>
      </c>
      <c r="F12" s="2142" t="s">
        <v>11174</v>
      </c>
      <c r="G12" s="2141"/>
      <c r="H12" s="2143" t="s">
        <v>11026</v>
      </c>
      <c r="I12" s="2143" t="s">
        <v>15369</v>
      </c>
      <c r="J12" s="2141" t="s">
        <v>93</v>
      </c>
      <c r="K12" s="2141"/>
      <c r="L12" s="2144">
        <v>91899879</v>
      </c>
      <c r="M12" s="2141" t="s">
        <v>251</v>
      </c>
      <c r="N12" s="2140">
        <v>44854</v>
      </c>
      <c r="O12" s="2140">
        <v>44930</v>
      </c>
      <c r="P12" s="2140">
        <v>44966</v>
      </c>
      <c r="Q12" s="2143" t="s">
        <v>13761</v>
      </c>
      <c r="R12" s="2141"/>
      <c r="S12" s="2144">
        <v>91899878.400000006</v>
      </c>
      <c r="T12" s="2144">
        <v>101089866.23999999</v>
      </c>
      <c r="U12" s="2094"/>
      <c r="V12" s="2094"/>
      <c r="W12" s="2094"/>
      <c r="X12" s="2146">
        <v>44966</v>
      </c>
      <c r="Y12" s="2144" t="s">
        <v>14179</v>
      </c>
      <c r="Z12" s="2140">
        <v>45007</v>
      </c>
      <c r="AA12" s="2140">
        <v>45028</v>
      </c>
      <c r="AB12" s="2140">
        <v>46467</v>
      </c>
      <c r="AC12" s="2085"/>
      <c r="AD12" s="2085"/>
    </row>
    <row r="13" spans="1:31">
      <c r="A13" s="2564">
        <v>44607</v>
      </c>
      <c r="B13" s="2664" t="s">
        <v>11080</v>
      </c>
      <c r="C13" s="2779" t="s">
        <v>69</v>
      </c>
      <c r="D13" s="2779" t="s">
        <v>70</v>
      </c>
      <c r="E13" s="2779" t="s">
        <v>13949</v>
      </c>
      <c r="F13" s="2780" t="s">
        <v>14516</v>
      </c>
      <c r="G13" s="2779"/>
      <c r="H13" s="2664" t="s">
        <v>11081</v>
      </c>
      <c r="I13" s="2289" t="s">
        <v>15369</v>
      </c>
      <c r="J13" s="2779" t="s">
        <v>68</v>
      </c>
      <c r="K13" s="2779"/>
      <c r="L13" s="2607">
        <v>11500873</v>
      </c>
      <c r="M13" s="2779" t="s">
        <v>251</v>
      </c>
      <c r="N13" s="2564">
        <v>44893</v>
      </c>
      <c r="O13" s="2564">
        <v>44946</v>
      </c>
      <c r="P13" s="2564">
        <v>44979</v>
      </c>
      <c r="Q13" s="2664" t="s">
        <v>5566</v>
      </c>
      <c r="R13" s="2779"/>
      <c r="S13" s="2607">
        <v>11351349.039999999</v>
      </c>
      <c r="T13" s="2607">
        <v>12486483.939999999</v>
      </c>
      <c r="U13" s="2781"/>
      <c r="V13" s="2781"/>
      <c r="W13" s="2781"/>
      <c r="X13" s="2782">
        <v>44979</v>
      </c>
      <c r="Y13" s="2607" t="s">
        <v>14239</v>
      </c>
      <c r="Z13" s="2564">
        <v>45015</v>
      </c>
      <c r="AA13" s="2140">
        <v>45029</v>
      </c>
      <c r="AB13" s="2140">
        <v>46475</v>
      </c>
      <c r="AC13" s="2085"/>
      <c r="AD13" s="2085"/>
    </row>
    <row r="14" spans="1:31">
      <c r="A14" s="2140">
        <v>44607</v>
      </c>
      <c r="B14" s="2143" t="s">
        <v>11082</v>
      </c>
      <c r="C14" s="2141" t="s">
        <v>69</v>
      </c>
      <c r="D14" s="2141" t="s">
        <v>70</v>
      </c>
      <c r="E14" s="2141" t="s">
        <v>13949</v>
      </c>
      <c r="F14" s="2142" t="s">
        <v>11172</v>
      </c>
      <c r="G14" s="2141"/>
      <c r="H14" s="2143" t="s">
        <v>4873</v>
      </c>
      <c r="I14" s="2143" t="s">
        <v>15369</v>
      </c>
      <c r="J14" s="2141" t="s">
        <v>68</v>
      </c>
      <c r="K14" s="2141"/>
      <c r="L14" s="2144">
        <v>25726680</v>
      </c>
      <c r="M14" s="2141" t="s">
        <v>251</v>
      </c>
      <c r="N14" s="2140">
        <v>44887</v>
      </c>
      <c r="O14" s="2140">
        <v>44922</v>
      </c>
      <c r="P14" s="2140">
        <v>44939</v>
      </c>
      <c r="Q14" s="2143" t="s">
        <v>5774</v>
      </c>
      <c r="R14" s="2141"/>
      <c r="S14" s="2144">
        <v>25483506.399999999</v>
      </c>
      <c r="T14" s="2144">
        <v>28031857.039999999</v>
      </c>
      <c r="U14" s="2145"/>
      <c r="V14" s="2145"/>
      <c r="W14" s="2145"/>
      <c r="X14" s="2146">
        <v>44939</v>
      </c>
      <c r="Y14" s="2144" t="s">
        <v>14012</v>
      </c>
      <c r="Z14" s="2140">
        <v>44958</v>
      </c>
      <c r="AA14" s="2140">
        <v>44995</v>
      </c>
      <c r="AB14" s="2140">
        <v>46418</v>
      </c>
      <c r="AC14" s="2154"/>
      <c r="AD14" s="2154"/>
    </row>
    <row r="15" spans="1:31">
      <c r="A15" s="2140">
        <v>44610</v>
      </c>
      <c r="B15" s="2143" t="s">
        <v>11086</v>
      </c>
      <c r="C15" s="2141" t="s">
        <v>69</v>
      </c>
      <c r="D15" s="2141" t="s">
        <v>70</v>
      </c>
      <c r="E15" s="2141" t="s">
        <v>13949</v>
      </c>
      <c r="F15" s="2142" t="s">
        <v>11168</v>
      </c>
      <c r="G15" s="2141"/>
      <c r="H15" s="2143" t="s">
        <v>11087</v>
      </c>
      <c r="I15" s="2143" t="s">
        <v>15369</v>
      </c>
      <c r="J15" s="2141" t="s">
        <v>93</v>
      </c>
      <c r="K15" s="2141"/>
      <c r="L15" s="2144">
        <v>134757341</v>
      </c>
      <c r="M15" s="2141" t="s">
        <v>251</v>
      </c>
      <c r="N15" s="2140">
        <v>44806</v>
      </c>
      <c r="O15" s="2140">
        <v>44865</v>
      </c>
      <c r="P15" s="2140">
        <v>44889</v>
      </c>
      <c r="Q15" s="2143" t="s">
        <v>13761</v>
      </c>
      <c r="R15" s="2141"/>
      <c r="S15" s="2144">
        <v>117573518.40000001</v>
      </c>
      <c r="T15" s="2144">
        <v>129330870.23999999</v>
      </c>
      <c r="U15" s="2145"/>
      <c r="V15" s="2145"/>
      <c r="W15" s="2145"/>
      <c r="X15" s="2146">
        <v>44889</v>
      </c>
      <c r="Y15" s="2144" t="s">
        <v>13611</v>
      </c>
      <c r="Z15" s="2140">
        <v>44936</v>
      </c>
      <c r="AA15" s="2140">
        <v>44944</v>
      </c>
      <c r="AB15" s="2140">
        <v>46396</v>
      </c>
      <c r="AC15" s="2154"/>
      <c r="AD15" s="2154"/>
      <c r="AE15" s="2882" t="s">
        <v>14737</v>
      </c>
    </row>
    <row r="16" spans="1:31">
      <c r="A16" s="2140">
        <v>44610</v>
      </c>
      <c r="B16" s="2143" t="s">
        <v>11088</v>
      </c>
      <c r="C16" s="2141" t="s">
        <v>69</v>
      </c>
      <c r="D16" s="2141" t="s">
        <v>70</v>
      </c>
      <c r="E16" s="2141" t="s">
        <v>13949</v>
      </c>
      <c r="F16" s="2142" t="s">
        <v>11169</v>
      </c>
      <c r="G16" s="2141"/>
      <c r="H16" s="2143" t="s">
        <v>11089</v>
      </c>
      <c r="I16" s="2143" t="s">
        <v>15369</v>
      </c>
      <c r="J16" s="2141" t="s">
        <v>93</v>
      </c>
      <c r="K16" s="2141"/>
      <c r="L16" s="2144">
        <v>133903759</v>
      </c>
      <c r="M16" s="2141" t="s">
        <v>251</v>
      </c>
      <c r="N16" s="2140">
        <v>44834</v>
      </c>
      <c r="O16" s="2140">
        <v>44869</v>
      </c>
      <c r="P16" s="2140">
        <v>44910</v>
      </c>
      <c r="Q16" s="2143" t="s">
        <v>576</v>
      </c>
      <c r="R16" s="2141"/>
      <c r="S16" s="2144">
        <v>133497916.56</v>
      </c>
      <c r="T16" s="2144">
        <v>146847708.22</v>
      </c>
      <c r="U16" s="2145"/>
      <c r="V16" s="2145"/>
      <c r="W16" s="2145"/>
      <c r="X16" s="2146">
        <v>44910</v>
      </c>
      <c r="Y16" s="2144" t="s">
        <v>13762</v>
      </c>
      <c r="Z16" s="2140">
        <v>44963</v>
      </c>
      <c r="AA16" s="2140">
        <v>44978</v>
      </c>
      <c r="AB16" s="2140">
        <v>46423</v>
      </c>
      <c r="AC16" s="406"/>
      <c r="AD16" s="406"/>
    </row>
    <row r="17" spans="1:30">
      <c r="A17" s="2140">
        <v>44642</v>
      </c>
      <c r="B17" s="2143" t="s">
        <v>11405</v>
      </c>
      <c r="C17" s="2141" t="s">
        <v>69</v>
      </c>
      <c r="D17" s="2141" t="s">
        <v>70</v>
      </c>
      <c r="E17" s="2141" t="s">
        <v>13949</v>
      </c>
      <c r="F17" s="2142" t="s">
        <v>11948</v>
      </c>
      <c r="G17" s="2141">
        <v>1</v>
      </c>
      <c r="H17" s="2143" t="s">
        <v>11406</v>
      </c>
      <c r="I17" s="2143" t="s">
        <v>15369</v>
      </c>
      <c r="J17" s="2141" t="s">
        <v>68</v>
      </c>
      <c r="K17" s="2141"/>
      <c r="L17" s="2144">
        <v>74511965</v>
      </c>
      <c r="M17" s="2141" t="s">
        <v>251</v>
      </c>
      <c r="N17" s="2140">
        <v>44858</v>
      </c>
      <c r="O17" s="2140">
        <v>44915</v>
      </c>
      <c r="P17" s="2140">
        <v>44942</v>
      </c>
      <c r="Q17" s="2143" t="s">
        <v>576</v>
      </c>
      <c r="R17" s="2141"/>
      <c r="S17" s="2144">
        <v>74511964.799999997</v>
      </c>
      <c r="T17" s="2144">
        <v>81963161.280000001</v>
      </c>
      <c r="U17" s="2145"/>
      <c r="V17" s="2145"/>
      <c r="W17" s="2145"/>
      <c r="X17" s="2146">
        <v>44942</v>
      </c>
      <c r="Y17" s="2144" t="s">
        <v>14019</v>
      </c>
      <c r="Z17" s="2140">
        <v>44970</v>
      </c>
      <c r="AA17" s="2140">
        <v>44981</v>
      </c>
      <c r="AB17" s="2140">
        <v>46430</v>
      </c>
      <c r="AC17" s="1878"/>
      <c r="AD17" s="1878"/>
    </row>
    <row r="18" spans="1:30">
      <c r="A18" s="416">
        <v>44642</v>
      </c>
      <c r="B18" s="630" t="s">
        <v>11413</v>
      </c>
      <c r="C18" s="411" t="s">
        <v>69</v>
      </c>
      <c r="D18" s="411" t="s">
        <v>70</v>
      </c>
      <c r="E18" s="411" t="s">
        <v>13949</v>
      </c>
      <c r="F18" s="412" t="s">
        <v>11949</v>
      </c>
      <c r="G18" s="411">
        <v>1</v>
      </c>
      <c r="H18" s="630" t="s">
        <v>11414</v>
      </c>
      <c r="I18" s="630" t="s">
        <v>15369</v>
      </c>
      <c r="J18" s="411" t="s">
        <v>68</v>
      </c>
      <c r="K18" s="411"/>
      <c r="L18" s="417">
        <v>270538297</v>
      </c>
      <c r="M18" s="411" t="s">
        <v>251</v>
      </c>
      <c r="N18" s="416">
        <v>44805</v>
      </c>
      <c r="O18" s="416">
        <v>44865</v>
      </c>
      <c r="P18" s="416">
        <v>44902</v>
      </c>
      <c r="Q18" s="630" t="s">
        <v>13761</v>
      </c>
      <c r="R18" s="411"/>
      <c r="S18" s="417">
        <v>264954457.31999999</v>
      </c>
      <c r="T18" s="417">
        <v>291449903.05000001</v>
      </c>
      <c r="U18" s="1480"/>
      <c r="V18" s="1480"/>
      <c r="W18" s="1480"/>
      <c r="X18" s="513">
        <v>44902</v>
      </c>
      <c r="Y18" s="417" t="s">
        <v>13727</v>
      </c>
      <c r="Z18" s="416">
        <v>44965</v>
      </c>
      <c r="AA18" s="416">
        <v>44979</v>
      </c>
      <c r="AB18" s="416">
        <v>46425</v>
      </c>
      <c r="AC18" s="406"/>
      <c r="AD18" s="406"/>
    </row>
    <row r="19" spans="1:30">
      <c r="A19" s="2140">
        <v>44650</v>
      </c>
      <c r="B19" s="2143" t="s">
        <v>11482</v>
      </c>
      <c r="C19" s="2141" t="s">
        <v>69</v>
      </c>
      <c r="D19" s="2141" t="s">
        <v>70</v>
      </c>
      <c r="E19" s="2141" t="s">
        <v>13949</v>
      </c>
      <c r="F19" s="2142" t="s">
        <v>11483</v>
      </c>
      <c r="G19" s="2141">
        <v>3</v>
      </c>
      <c r="H19" s="2143" t="s">
        <v>11484</v>
      </c>
      <c r="I19" s="2143" t="s">
        <v>15369</v>
      </c>
      <c r="J19" s="2141" t="s">
        <v>72</v>
      </c>
      <c r="K19" s="2141"/>
      <c r="L19" s="2144">
        <v>174580</v>
      </c>
      <c r="M19" s="2141" t="s">
        <v>251</v>
      </c>
      <c r="N19" s="2140">
        <v>44662</v>
      </c>
      <c r="O19" s="2140">
        <v>44762</v>
      </c>
      <c r="P19" s="2140">
        <v>44853</v>
      </c>
      <c r="Q19" s="2143" t="s">
        <v>1646</v>
      </c>
      <c r="R19" s="2141"/>
      <c r="S19" s="2144">
        <v>174537</v>
      </c>
      <c r="T19" s="2144">
        <v>191990.7</v>
      </c>
      <c r="U19" s="2145"/>
      <c r="V19" s="2145"/>
      <c r="W19" s="2145"/>
      <c r="X19" s="2146">
        <v>44853</v>
      </c>
      <c r="Y19" s="2144" t="s">
        <v>13337</v>
      </c>
      <c r="Z19" s="2140">
        <v>44939</v>
      </c>
      <c r="AA19" s="2140">
        <v>44943</v>
      </c>
      <c r="AB19" s="2140">
        <v>46399</v>
      </c>
      <c r="AC19" s="2154"/>
      <c r="AD19" s="2154"/>
    </row>
    <row r="20" spans="1:30" ht="15.75" thickBot="1">
      <c r="A20" s="2130">
        <v>44650</v>
      </c>
      <c r="B20" s="2133" t="s">
        <v>11482</v>
      </c>
      <c r="C20" s="2131" t="s">
        <v>69</v>
      </c>
      <c r="D20" s="2131" t="s">
        <v>70</v>
      </c>
      <c r="E20" s="2131" t="s">
        <v>13949</v>
      </c>
      <c r="F20" s="2132" t="s">
        <v>11483</v>
      </c>
      <c r="G20" s="2131">
        <v>4</v>
      </c>
      <c r="H20" s="2133" t="s">
        <v>11485</v>
      </c>
      <c r="I20" s="2133" t="s">
        <v>242</v>
      </c>
      <c r="J20" s="2131" t="s">
        <v>72</v>
      </c>
      <c r="K20" s="2131"/>
      <c r="L20" s="2134">
        <v>3277224</v>
      </c>
      <c r="M20" s="2131" t="s">
        <v>251</v>
      </c>
      <c r="N20" s="2130">
        <v>44662</v>
      </c>
      <c r="O20" s="2130">
        <v>44762</v>
      </c>
      <c r="P20" s="2130">
        <v>44924</v>
      </c>
      <c r="Q20" s="2137" t="s">
        <v>15805</v>
      </c>
      <c r="R20" s="2131"/>
      <c r="S20" s="2134">
        <v>3277224</v>
      </c>
      <c r="T20" s="2134">
        <v>3604946.4</v>
      </c>
      <c r="U20" s="2135"/>
      <c r="V20" s="2135"/>
      <c r="W20" s="2135"/>
      <c r="X20" s="2163">
        <v>44924</v>
      </c>
      <c r="Y20" s="2134" t="s">
        <v>13834</v>
      </c>
      <c r="Z20" s="2131"/>
      <c r="AA20" s="2130">
        <v>45202</v>
      </c>
      <c r="AB20" s="2133" t="s">
        <v>15913</v>
      </c>
      <c r="AC20" s="2297"/>
      <c r="AD20" s="2297"/>
    </row>
    <row r="21" spans="1:30" ht="15.75" thickTop="1">
      <c r="A21" s="474">
        <v>44690</v>
      </c>
      <c r="B21" s="1420" t="s">
        <v>11804</v>
      </c>
      <c r="C21" s="453" t="s">
        <v>6561</v>
      </c>
      <c r="D21" s="453" t="s">
        <v>4864</v>
      </c>
      <c r="E21" s="453" t="s">
        <v>13950</v>
      </c>
      <c r="F21" s="473" t="s">
        <v>1447</v>
      </c>
      <c r="G21" s="453">
        <v>1</v>
      </c>
      <c r="H21" s="1420" t="s">
        <v>11807</v>
      </c>
      <c r="I21" s="1420" t="s">
        <v>15369</v>
      </c>
      <c r="J21" s="453" t="s">
        <v>1780</v>
      </c>
      <c r="K21" s="453"/>
      <c r="L21" s="457">
        <v>128250000</v>
      </c>
      <c r="M21" s="453" t="s">
        <v>251</v>
      </c>
      <c r="N21" s="474">
        <v>44784</v>
      </c>
      <c r="O21" s="474">
        <v>44860</v>
      </c>
      <c r="P21" s="474">
        <v>44911</v>
      </c>
      <c r="Q21" s="1420" t="s">
        <v>13676</v>
      </c>
      <c r="R21" s="453"/>
      <c r="S21" s="457">
        <v>107417279.38</v>
      </c>
      <c r="T21" s="457">
        <v>129974908.05</v>
      </c>
      <c r="U21" s="1474"/>
      <c r="V21" s="1474"/>
      <c r="W21" s="1474"/>
      <c r="X21" s="570">
        <v>44911</v>
      </c>
      <c r="Y21" s="457" t="s">
        <v>13774</v>
      </c>
      <c r="Z21" s="474">
        <v>44958</v>
      </c>
      <c r="AA21" s="474">
        <v>44993</v>
      </c>
      <c r="AB21" s="474">
        <v>48244</v>
      </c>
      <c r="AC21" s="425"/>
      <c r="AD21" s="425"/>
    </row>
    <row r="22" spans="1:30" ht="15.75" thickBot="1">
      <c r="A22" s="2140">
        <v>44691</v>
      </c>
      <c r="B22" s="2143" t="s">
        <v>11957</v>
      </c>
      <c r="C22" s="2141" t="s">
        <v>69</v>
      </c>
      <c r="D22" s="2141" t="s">
        <v>70</v>
      </c>
      <c r="E22" s="2141" t="s">
        <v>13949</v>
      </c>
      <c r="F22" s="2142" t="s">
        <v>11958</v>
      </c>
      <c r="G22" s="2141"/>
      <c r="H22" s="2143"/>
      <c r="I22" s="2143" t="s">
        <v>15369</v>
      </c>
      <c r="J22" s="2141" t="s">
        <v>671</v>
      </c>
      <c r="K22" s="2141"/>
      <c r="L22" s="2144">
        <v>8949024</v>
      </c>
      <c r="M22" s="2141" t="s">
        <v>251</v>
      </c>
      <c r="N22" s="2140">
        <v>44725</v>
      </c>
      <c r="O22" s="2140">
        <v>44774</v>
      </c>
      <c r="P22" s="2140">
        <v>44823</v>
      </c>
      <c r="Q22" s="2143" t="s">
        <v>13092</v>
      </c>
      <c r="R22" s="2141"/>
      <c r="S22" s="2144">
        <v>8949024</v>
      </c>
      <c r="T22" s="2144">
        <v>9843926.4000000004</v>
      </c>
      <c r="U22" s="2145"/>
      <c r="V22" s="2145"/>
      <c r="W22" s="2145"/>
      <c r="X22" s="2146">
        <v>44823</v>
      </c>
      <c r="Y22" s="2144" t="s">
        <v>13093</v>
      </c>
      <c r="Z22" s="2140">
        <v>44946</v>
      </c>
      <c r="AA22" s="2140">
        <v>44950</v>
      </c>
      <c r="AB22" s="2140">
        <v>45676</v>
      </c>
      <c r="AC22" s="2154"/>
      <c r="AD22" s="2154"/>
    </row>
    <row r="23" spans="1:30" ht="15.75" thickTop="1">
      <c r="A23" s="474">
        <v>44726</v>
      </c>
      <c r="B23" s="1420" t="s">
        <v>12206</v>
      </c>
      <c r="C23" s="453" t="s">
        <v>69</v>
      </c>
      <c r="D23" s="453" t="s">
        <v>70</v>
      </c>
      <c r="E23" s="453" t="s">
        <v>13949</v>
      </c>
      <c r="F23" s="473" t="s">
        <v>12213</v>
      </c>
      <c r="G23" s="453">
        <v>1</v>
      </c>
      <c r="H23" s="2001" t="s">
        <v>12215</v>
      </c>
      <c r="I23" s="2292" t="s">
        <v>15369</v>
      </c>
      <c r="J23" s="453" t="s">
        <v>3225</v>
      </c>
      <c r="K23" s="453"/>
      <c r="L23" s="457">
        <v>98811586</v>
      </c>
      <c r="M23" s="453" t="s">
        <v>251</v>
      </c>
      <c r="N23" s="474">
        <v>44805</v>
      </c>
      <c r="O23" s="474">
        <v>44875</v>
      </c>
      <c r="P23" s="474">
        <v>44938</v>
      </c>
      <c r="Q23" s="1420" t="s">
        <v>576</v>
      </c>
      <c r="R23" s="453"/>
      <c r="S23" s="457">
        <v>90767363.040000007</v>
      </c>
      <c r="T23" s="457">
        <v>99844099.340000004</v>
      </c>
      <c r="U23" s="1474"/>
      <c r="V23" s="1474"/>
      <c r="W23" s="1474"/>
      <c r="X23" s="570">
        <v>44938</v>
      </c>
      <c r="Y23" s="457" t="s">
        <v>14008</v>
      </c>
      <c r="Z23" s="474">
        <v>44960</v>
      </c>
      <c r="AA23" s="474">
        <v>44971</v>
      </c>
      <c r="AB23" s="474">
        <v>46396</v>
      </c>
      <c r="AC23" s="425"/>
      <c r="AD23" s="425"/>
    </row>
    <row r="24" spans="1:30">
      <c r="A24" s="2140">
        <v>44726</v>
      </c>
      <c r="B24" s="2143" t="s">
        <v>12207</v>
      </c>
      <c r="C24" s="2141" t="s">
        <v>69</v>
      </c>
      <c r="D24" s="2141" t="s">
        <v>70</v>
      </c>
      <c r="E24" s="2141" t="s">
        <v>13949</v>
      </c>
      <c r="F24" s="2142" t="s">
        <v>12213</v>
      </c>
      <c r="G24" s="2141">
        <v>2</v>
      </c>
      <c r="H24" s="2143" t="s">
        <v>12216</v>
      </c>
      <c r="I24" s="2143" t="s">
        <v>15369</v>
      </c>
      <c r="J24" s="2141" t="s">
        <v>3225</v>
      </c>
      <c r="K24" s="2141"/>
      <c r="L24" s="2144">
        <v>32346701</v>
      </c>
      <c r="M24" s="2141" t="s">
        <v>251</v>
      </c>
      <c r="N24" s="2140">
        <v>44805</v>
      </c>
      <c r="O24" s="2140">
        <v>44875</v>
      </c>
      <c r="P24" s="2140">
        <v>44938</v>
      </c>
      <c r="Q24" s="2143" t="s">
        <v>576</v>
      </c>
      <c r="R24" s="2141"/>
      <c r="S24" s="2144">
        <v>31919808.48</v>
      </c>
      <c r="T24" s="2144">
        <v>35111789.329999998</v>
      </c>
      <c r="U24" s="2145"/>
      <c r="V24" s="2145"/>
      <c r="W24" s="2145"/>
      <c r="X24" s="2146">
        <v>44938</v>
      </c>
      <c r="Y24" s="2144" t="s">
        <v>14009</v>
      </c>
      <c r="Z24" s="2140">
        <v>44960</v>
      </c>
      <c r="AA24" s="2140">
        <v>44971</v>
      </c>
      <c r="AB24" s="2140">
        <v>46396</v>
      </c>
      <c r="AC24" s="2154"/>
      <c r="AD24" s="2154"/>
    </row>
    <row r="25" spans="1:30" ht="15.75" thickBot="1">
      <c r="A25" s="2117">
        <v>44726</v>
      </c>
      <c r="B25" s="2120" t="s">
        <v>12208</v>
      </c>
      <c r="C25" s="2118" t="s">
        <v>69</v>
      </c>
      <c r="D25" s="2118" t="s">
        <v>70</v>
      </c>
      <c r="E25" s="2118" t="s">
        <v>13949</v>
      </c>
      <c r="F25" s="2119" t="s">
        <v>12213</v>
      </c>
      <c r="G25" s="2118">
        <v>3</v>
      </c>
      <c r="H25" s="2120" t="s">
        <v>12217</v>
      </c>
      <c r="I25" s="2120" t="s">
        <v>15369</v>
      </c>
      <c r="J25" s="2118" t="s">
        <v>3225</v>
      </c>
      <c r="K25" s="2118"/>
      <c r="L25" s="2121">
        <v>105840243</v>
      </c>
      <c r="M25" s="2118" t="s">
        <v>251</v>
      </c>
      <c r="N25" s="2117">
        <v>44805</v>
      </c>
      <c r="O25" s="2117">
        <v>44875</v>
      </c>
      <c r="P25" s="2117">
        <v>44938</v>
      </c>
      <c r="Q25" s="2120" t="s">
        <v>576</v>
      </c>
      <c r="R25" s="2118"/>
      <c r="S25" s="2121">
        <v>103962059.56</v>
      </c>
      <c r="T25" s="2121">
        <v>114358265.52</v>
      </c>
      <c r="U25" s="2122"/>
      <c r="V25" s="2122"/>
      <c r="W25" s="2122"/>
      <c r="X25" s="2123">
        <v>44938</v>
      </c>
      <c r="Y25" s="2121" t="s">
        <v>14011</v>
      </c>
      <c r="Z25" s="2117">
        <v>44960</v>
      </c>
      <c r="AA25" s="2117">
        <v>44971</v>
      </c>
      <c r="AB25" s="2117">
        <v>46396</v>
      </c>
      <c r="AC25" s="2297"/>
      <c r="AD25" s="2297"/>
    </row>
    <row r="26" spans="1:30" ht="15.75" thickTop="1">
      <c r="A26" s="474">
        <v>44726</v>
      </c>
      <c r="B26" s="1420" t="s">
        <v>12209</v>
      </c>
      <c r="C26" s="453" t="s">
        <v>69</v>
      </c>
      <c r="D26" s="453" t="s">
        <v>70</v>
      </c>
      <c r="E26" s="453" t="s">
        <v>13949</v>
      </c>
      <c r="F26" s="473" t="s">
        <v>12214</v>
      </c>
      <c r="G26" s="453">
        <v>1</v>
      </c>
      <c r="H26" s="1420" t="s">
        <v>12218</v>
      </c>
      <c r="I26" s="1420" t="s">
        <v>15369</v>
      </c>
      <c r="J26" s="453" t="s">
        <v>3225</v>
      </c>
      <c r="K26" s="453"/>
      <c r="L26" s="457">
        <v>14494324</v>
      </c>
      <c r="M26" s="453" t="s">
        <v>251</v>
      </c>
      <c r="N26" s="474">
        <v>44806</v>
      </c>
      <c r="O26" s="474">
        <v>44874</v>
      </c>
      <c r="P26" s="474">
        <v>44915</v>
      </c>
      <c r="Q26" s="1420" t="s">
        <v>13761</v>
      </c>
      <c r="R26" s="453"/>
      <c r="S26" s="457">
        <v>14238540.800000001</v>
      </c>
      <c r="T26" s="457">
        <v>15662394.880000001</v>
      </c>
      <c r="U26" s="1474"/>
      <c r="V26" s="1474"/>
      <c r="W26" s="1474"/>
      <c r="X26" s="570">
        <v>44915</v>
      </c>
      <c r="Y26" s="457" t="s">
        <v>13787</v>
      </c>
      <c r="Z26" s="474">
        <v>44952</v>
      </c>
      <c r="AA26" s="474">
        <v>44959</v>
      </c>
      <c r="AB26" s="474">
        <v>46412</v>
      </c>
      <c r="AC26" s="425"/>
      <c r="AD26" s="425"/>
    </row>
    <row r="27" spans="1:30">
      <c r="A27" s="2140">
        <v>44726</v>
      </c>
      <c r="B27" s="2143" t="s">
        <v>12210</v>
      </c>
      <c r="C27" s="2141" t="s">
        <v>69</v>
      </c>
      <c r="D27" s="2141" t="s">
        <v>70</v>
      </c>
      <c r="E27" s="2141" t="s">
        <v>13949</v>
      </c>
      <c r="F27" s="2142" t="s">
        <v>12214</v>
      </c>
      <c r="G27" s="2141">
        <v>2</v>
      </c>
      <c r="H27" s="2143" t="s">
        <v>12219</v>
      </c>
      <c r="I27" s="2143" t="s">
        <v>15369</v>
      </c>
      <c r="J27" s="2141" t="s">
        <v>3225</v>
      </c>
      <c r="K27" s="2141"/>
      <c r="L27" s="2144">
        <v>30789264</v>
      </c>
      <c r="M27" s="2141" t="s">
        <v>251</v>
      </c>
      <c r="N27" s="2140">
        <v>44806</v>
      </c>
      <c r="O27" s="2140">
        <v>44874</v>
      </c>
      <c r="P27" s="2140">
        <v>44915</v>
      </c>
      <c r="Q27" s="2143" t="s">
        <v>8542</v>
      </c>
      <c r="R27" s="2141"/>
      <c r="S27" s="2144">
        <v>30179426.879999999</v>
      </c>
      <c r="T27" s="2144">
        <v>33197369.57</v>
      </c>
      <c r="U27" s="2145"/>
      <c r="V27" s="2145"/>
      <c r="W27" s="2145"/>
      <c r="X27" s="2146">
        <v>44915</v>
      </c>
      <c r="Y27" s="2144" t="s">
        <v>13788</v>
      </c>
      <c r="Z27" s="2140">
        <v>44946</v>
      </c>
      <c r="AA27" s="2140">
        <v>44959</v>
      </c>
      <c r="AB27" s="2140">
        <v>46406</v>
      </c>
      <c r="AC27" s="2154"/>
      <c r="AD27" s="2154"/>
    </row>
    <row r="28" spans="1:30">
      <c r="A28" s="2140">
        <v>44726</v>
      </c>
      <c r="B28" s="2143" t="s">
        <v>12211</v>
      </c>
      <c r="C28" s="2141" t="s">
        <v>69</v>
      </c>
      <c r="D28" s="2141" t="s">
        <v>70</v>
      </c>
      <c r="E28" s="2141" t="s">
        <v>13949</v>
      </c>
      <c r="F28" s="2142" t="s">
        <v>12214</v>
      </c>
      <c r="G28" s="2141">
        <v>3</v>
      </c>
      <c r="H28" s="2143" t="s">
        <v>12220</v>
      </c>
      <c r="I28" s="2143" t="s">
        <v>15369</v>
      </c>
      <c r="J28" s="2141" t="s">
        <v>3225</v>
      </c>
      <c r="K28" s="2141"/>
      <c r="L28" s="2144">
        <v>39348576</v>
      </c>
      <c r="M28" s="2141" t="s">
        <v>251</v>
      </c>
      <c r="N28" s="2140">
        <v>44806</v>
      </c>
      <c r="O28" s="2140">
        <v>44874</v>
      </c>
      <c r="P28" s="2140">
        <v>44915</v>
      </c>
      <c r="Q28" s="2143" t="s">
        <v>8542</v>
      </c>
      <c r="R28" s="2141"/>
      <c r="S28" s="2144">
        <v>37460291.039999999</v>
      </c>
      <c r="T28" s="2144">
        <v>41206320.140000001</v>
      </c>
      <c r="U28" s="2145"/>
      <c r="V28" s="2145"/>
      <c r="W28" s="2145"/>
      <c r="X28" s="2146">
        <v>44915</v>
      </c>
      <c r="Y28" s="2144" t="s">
        <v>13789</v>
      </c>
      <c r="Z28" s="2140">
        <v>44946</v>
      </c>
      <c r="AA28" s="2140">
        <v>44959</v>
      </c>
      <c r="AB28" s="2140">
        <v>46406</v>
      </c>
      <c r="AC28" s="2154"/>
      <c r="AD28" s="2154"/>
    </row>
    <row r="29" spans="1:30">
      <c r="A29" s="365">
        <v>44726</v>
      </c>
      <c r="B29" s="3192" t="s">
        <v>12222</v>
      </c>
      <c r="C29" s="3191" t="s">
        <v>69</v>
      </c>
      <c r="D29" s="3191" t="s">
        <v>70</v>
      </c>
      <c r="E29" s="3191" t="s">
        <v>13949</v>
      </c>
      <c r="F29" s="175" t="s">
        <v>12223</v>
      </c>
      <c r="G29" s="3191"/>
      <c r="H29" s="3192"/>
      <c r="I29" s="3192" t="s">
        <v>15369</v>
      </c>
      <c r="J29" s="3191" t="s">
        <v>3265</v>
      </c>
      <c r="K29" s="3191"/>
      <c r="L29" s="364">
        <v>5682383</v>
      </c>
      <c r="M29" s="3191" t="s">
        <v>251</v>
      </c>
      <c r="N29" s="365">
        <v>44826</v>
      </c>
      <c r="O29" s="365">
        <v>44876</v>
      </c>
      <c r="P29" s="365">
        <v>44903</v>
      </c>
      <c r="Q29" s="3192" t="s">
        <v>576</v>
      </c>
      <c r="R29" s="3191"/>
      <c r="S29" s="364">
        <v>12091202.6</v>
      </c>
      <c r="T29" s="364">
        <v>13300322.859999999</v>
      </c>
      <c r="U29" s="1473"/>
      <c r="V29" s="1473"/>
      <c r="W29" s="1473"/>
      <c r="X29" s="681">
        <v>44903</v>
      </c>
      <c r="Y29" s="364" t="s">
        <v>13738</v>
      </c>
      <c r="Z29" s="365">
        <v>44939</v>
      </c>
      <c r="AA29" s="365">
        <v>44944</v>
      </c>
      <c r="AB29" s="365">
        <v>46399</v>
      </c>
      <c r="AC29" s="423"/>
      <c r="AD29" s="423"/>
    </row>
    <row r="30" spans="1:30">
      <c r="A30" s="416">
        <v>44729</v>
      </c>
      <c r="B30" s="630" t="s">
        <v>12261</v>
      </c>
      <c r="C30" s="411" t="s">
        <v>69</v>
      </c>
      <c r="D30" s="411" t="s">
        <v>70</v>
      </c>
      <c r="E30" s="411" t="s">
        <v>13949</v>
      </c>
      <c r="F30" s="412" t="s">
        <v>12414</v>
      </c>
      <c r="G30" s="411"/>
      <c r="H30" s="630"/>
      <c r="I30" s="630" t="s">
        <v>15369</v>
      </c>
      <c r="J30" s="411" t="s">
        <v>816</v>
      </c>
      <c r="K30" s="411"/>
      <c r="L30" s="417">
        <v>37739531</v>
      </c>
      <c r="M30" s="411" t="s">
        <v>251</v>
      </c>
      <c r="N30" s="416">
        <v>44820</v>
      </c>
      <c r="O30" s="416">
        <v>44887</v>
      </c>
      <c r="P30" s="416">
        <v>44902</v>
      </c>
      <c r="Q30" s="630" t="s">
        <v>2405</v>
      </c>
      <c r="R30" s="411"/>
      <c r="S30" s="417">
        <v>34098438.799999997</v>
      </c>
      <c r="T30" s="417">
        <v>37508282.880000003</v>
      </c>
      <c r="U30" s="1480"/>
      <c r="V30" s="1480"/>
      <c r="W30" s="1480"/>
      <c r="X30" s="513">
        <v>44902</v>
      </c>
      <c r="Y30" s="417" t="s">
        <v>13728</v>
      </c>
      <c r="Z30" s="416">
        <v>44939</v>
      </c>
      <c r="AA30" s="416">
        <v>44946</v>
      </c>
      <c r="AB30" s="416">
        <v>46399</v>
      </c>
      <c r="AC30" s="406"/>
      <c r="AD30" s="406"/>
    </row>
    <row r="31" spans="1:30" ht="15.75" thickBot="1">
      <c r="A31" s="2117" t="s">
        <v>3585</v>
      </c>
      <c r="B31" s="2120" t="s">
        <v>12367</v>
      </c>
      <c r="C31" s="2118" t="s">
        <v>69</v>
      </c>
      <c r="D31" s="2118" t="s">
        <v>70</v>
      </c>
      <c r="E31" s="2118" t="s">
        <v>13949</v>
      </c>
      <c r="F31" s="2119" t="s">
        <v>12368</v>
      </c>
      <c r="G31" s="2118"/>
      <c r="H31" s="2120" t="s">
        <v>11029</v>
      </c>
      <c r="I31" s="2120" t="s">
        <v>15369</v>
      </c>
      <c r="J31" s="2118" t="s">
        <v>816</v>
      </c>
      <c r="K31" s="2118"/>
      <c r="L31" s="2121">
        <v>40669427</v>
      </c>
      <c r="M31" s="2118" t="s">
        <v>251</v>
      </c>
      <c r="N31" s="2117">
        <v>44764</v>
      </c>
      <c r="O31" s="2117">
        <v>44799</v>
      </c>
      <c r="P31" s="2117">
        <v>44872</v>
      </c>
      <c r="Q31" s="2120" t="s">
        <v>2534</v>
      </c>
      <c r="R31" s="2118"/>
      <c r="S31" s="2121">
        <v>40166710.409999996</v>
      </c>
      <c r="T31" s="2121">
        <v>44183381.450000003</v>
      </c>
      <c r="U31" s="2122"/>
      <c r="V31" s="2122"/>
      <c r="W31" s="2122"/>
      <c r="X31" s="2123">
        <v>44872</v>
      </c>
      <c r="Y31" s="2121" t="s">
        <v>13548</v>
      </c>
      <c r="Z31" s="2117">
        <v>44929</v>
      </c>
      <c r="AA31" s="2117">
        <v>44930</v>
      </c>
      <c r="AB31" s="2117">
        <v>46024</v>
      </c>
      <c r="AC31" s="2297"/>
      <c r="AD31" s="2297"/>
    </row>
    <row r="32" spans="1:30" ht="30.75" thickTop="1">
      <c r="A32" s="618">
        <v>44736</v>
      </c>
      <c r="B32" s="2001" t="s">
        <v>12362</v>
      </c>
      <c r="C32" s="413" t="s">
        <v>69</v>
      </c>
      <c r="D32" s="413" t="s">
        <v>70</v>
      </c>
      <c r="E32" s="413" t="s">
        <v>13949</v>
      </c>
      <c r="F32" s="615" t="s">
        <v>12363</v>
      </c>
      <c r="G32" s="413"/>
      <c r="H32" s="2631"/>
      <c r="I32" s="2911" t="s">
        <v>15369</v>
      </c>
      <c r="J32" s="413" t="s">
        <v>42</v>
      </c>
      <c r="K32" s="413" t="s">
        <v>12383</v>
      </c>
      <c r="L32" s="620">
        <v>29700000</v>
      </c>
      <c r="M32" s="413" t="s">
        <v>251</v>
      </c>
      <c r="N32" s="618">
        <v>44806</v>
      </c>
      <c r="O32" s="618">
        <v>44846</v>
      </c>
      <c r="P32" s="618">
        <v>44950</v>
      </c>
      <c r="Q32" s="2631" t="s">
        <v>1319</v>
      </c>
      <c r="R32" s="413"/>
      <c r="S32" s="620">
        <v>26675345.43</v>
      </c>
      <c r="T32" s="620">
        <v>32277167.969999999</v>
      </c>
      <c r="U32" s="2686"/>
      <c r="V32" s="2686"/>
      <c r="W32" s="2686"/>
      <c r="X32" s="2632">
        <v>44950</v>
      </c>
      <c r="Y32" s="2633" t="s">
        <v>14084</v>
      </c>
      <c r="Z32" s="618">
        <v>44991</v>
      </c>
      <c r="AA32" s="618">
        <v>44998</v>
      </c>
      <c r="AB32" s="618">
        <v>47912</v>
      </c>
      <c r="AC32" s="2742"/>
      <c r="AD32" s="2742"/>
    </row>
    <row r="33" spans="1:30" ht="15.75" thickBot="1">
      <c r="A33" s="2140">
        <v>44756</v>
      </c>
      <c r="B33" s="3192" t="s">
        <v>12481</v>
      </c>
      <c r="C33" s="2141" t="s">
        <v>69</v>
      </c>
      <c r="D33" s="2141" t="s">
        <v>70</v>
      </c>
      <c r="E33" s="2141" t="s">
        <v>13949</v>
      </c>
      <c r="F33" s="2142" t="s">
        <v>12483</v>
      </c>
      <c r="G33" s="2141">
        <v>2</v>
      </c>
      <c r="H33" s="2143" t="s">
        <v>10859</v>
      </c>
      <c r="I33" s="2143" t="s">
        <v>15369</v>
      </c>
      <c r="J33" s="2141" t="s">
        <v>93</v>
      </c>
      <c r="K33" s="2141"/>
      <c r="L33" s="2144">
        <v>51429393</v>
      </c>
      <c r="M33" s="2141" t="s">
        <v>251</v>
      </c>
      <c r="N33" s="2140">
        <v>44768</v>
      </c>
      <c r="O33" s="2140">
        <v>44802</v>
      </c>
      <c r="P33" s="2140">
        <v>44853</v>
      </c>
      <c r="Q33" s="2143" t="s">
        <v>6805</v>
      </c>
      <c r="R33" s="2141"/>
      <c r="S33" s="2144">
        <v>44291583.75</v>
      </c>
      <c r="T33" s="2144">
        <v>48720742.130000003</v>
      </c>
      <c r="U33" s="2145"/>
      <c r="V33" s="2145"/>
      <c r="W33" s="2145"/>
      <c r="X33" s="2146">
        <v>44853</v>
      </c>
      <c r="Y33" s="2144" t="s">
        <v>13339</v>
      </c>
      <c r="Z33" s="2140">
        <v>44949</v>
      </c>
      <c r="AA33" s="2140">
        <v>44950</v>
      </c>
      <c r="AB33" s="2140">
        <v>46044</v>
      </c>
      <c r="AC33" s="2154"/>
      <c r="AD33" s="2154"/>
    </row>
    <row r="34" spans="1:30" ht="15.75" thickTop="1">
      <c r="A34" s="474">
        <v>44756</v>
      </c>
      <c r="B34" s="1420" t="s">
        <v>12494</v>
      </c>
      <c r="C34" s="453" t="s">
        <v>69</v>
      </c>
      <c r="D34" s="453" t="s">
        <v>70</v>
      </c>
      <c r="E34" s="453" t="s">
        <v>13949</v>
      </c>
      <c r="F34" s="473" t="s">
        <v>12506</v>
      </c>
      <c r="G34" s="453">
        <v>1</v>
      </c>
      <c r="H34" s="1420" t="s">
        <v>12497</v>
      </c>
      <c r="I34" s="1420" t="s">
        <v>15369</v>
      </c>
      <c r="J34" s="453" t="s">
        <v>68</v>
      </c>
      <c r="K34" s="453"/>
      <c r="L34" s="457">
        <v>917428</v>
      </c>
      <c r="M34" s="453" t="s">
        <v>251</v>
      </c>
      <c r="N34" s="474">
        <v>44796</v>
      </c>
      <c r="O34" s="474">
        <v>44874</v>
      </c>
      <c r="P34" s="474">
        <v>44937</v>
      </c>
      <c r="Q34" s="1420" t="s">
        <v>13761</v>
      </c>
      <c r="R34" s="453"/>
      <c r="S34" s="457">
        <v>904552.74</v>
      </c>
      <c r="T34" s="457">
        <v>995008.01</v>
      </c>
      <c r="U34" s="1474"/>
      <c r="V34" s="1474"/>
      <c r="W34" s="1474"/>
      <c r="X34" s="570">
        <v>44937</v>
      </c>
      <c r="Y34" s="457" t="s">
        <v>13999</v>
      </c>
      <c r="Z34" s="474">
        <v>44984</v>
      </c>
      <c r="AA34" s="474">
        <v>44993</v>
      </c>
      <c r="AB34" s="474">
        <v>46079</v>
      </c>
      <c r="AC34" s="425"/>
      <c r="AD34" s="425"/>
    </row>
    <row r="35" spans="1:30">
      <c r="A35" s="2140">
        <v>44756</v>
      </c>
      <c r="B35" s="3192" t="s">
        <v>12495</v>
      </c>
      <c r="C35" s="2141" t="s">
        <v>69</v>
      </c>
      <c r="D35" s="2141" t="s">
        <v>70</v>
      </c>
      <c r="E35" s="2141" t="s">
        <v>13949</v>
      </c>
      <c r="F35" s="2142" t="s">
        <v>12506</v>
      </c>
      <c r="G35" s="2141">
        <v>2</v>
      </c>
      <c r="H35" s="2143" t="s">
        <v>12498</v>
      </c>
      <c r="I35" s="2143" t="s">
        <v>15369</v>
      </c>
      <c r="J35" s="2141" t="s">
        <v>68</v>
      </c>
      <c r="K35" s="2141"/>
      <c r="L35" s="2144">
        <v>2337932</v>
      </c>
      <c r="M35" s="2141" t="s">
        <v>251</v>
      </c>
      <c r="N35" s="2140">
        <v>44796</v>
      </c>
      <c r="O35" s="2140">
        <v>44874</v>
      </c>
      <c r="P35" s="2140">
        <v>44937</v>
      </c>
      <c r="Q35" s="2143" t="s">
        <v>1319</v>
      </c>
      <c r="R35" s="2141"/>
      <c r="S35" s="2144">
        <v>1431408.9</v>
      </c>
      <c r="T35" s="2144">
        <v>1574549.79</v>
      </c>
      <c r="U35" s="2145"/>
      <c r="V35" s="2145"/>
      <c r="W35" s="2145"/>
      <c r="X35" s="2146">
        <v>44937</v>
      </c>
      <c r="Y35" s="2144" t="s">
        <v>14000</v>
      </c>
      <c r="Z35" s="2140">
        <v>44984</v>
      </c>
      <c r="AA35" s="2140">
        <v>44993</v>
      </c>
      <c r="AB35" s="2140">
        <v>46079</v>
      </c>
      <c r="AC35" s="2154"/>
      <c r="AD35" s="2154"/>
    </row>
    <row r="36" spans="1:30" ht="15.75" thickBot="1">
      <c r="A36" s="2117">
        <v>44756</v>
      </c>
      <c r="B36" s="1983" t="s">
        <v>12496</v>
      </c>
      <c r="C36" s="2118" t="s">
        <v>69</v>
      </c>
      <c r="D36" s="2118" t="s">
        <v>70</v>
      </c>
      <c r="E36" s="2118" t="s">
        <v>13949</v>
      </c>
      <c r="F36" s="2119" t="s">
        <v>12506</v>
      </c>
      <c r="G36" s="2118">
        <v>3</v>
      </c>
      <c r="H36" s="2120" t="s">
        <v>12499</v>
      </c>
      <c r="I36" s="2120" t="s">
        <v>15369</v>
      </c>
      <c r="J36" s="2118" t="s">
        <v>68</v>
      </c>
      <c r="K36" s="2118"/>
      <c r="L36" s="2121">
        <v>14089353</v>
      </c>
      <c r="M36" s="2118" t="s">
        <v>251</v>
      </c>
      <c r="N36" s="2117">
        <v>44796</v>
      </c>
      <c r="O36" s="2117">
        <v>44874</v>
      </c>
      <c r="P36" s="2117">
        <v>44937</v>
      </c>
      <c r="Q36" s="2120" t="s">
        <v>8216</v>
      </c>
      <c r="R36" s="2118"/>
      <c r="S36" s="2121">
        <v>14089352.1</v>
      </c>
      <c r="T36" s="2121">
        <v>15498287.310000001</v>
      </c>
      <c r="U36" s="2122"/>
      <c r="V36" s="2122"/>
      <c r="W36" s="2122"/>
      <c r="X36" s="2123">
        <v>44937</v>
      </c>
      <c r="Y36" s="2121" t="s">
        <v>14001</v>
      </c>
      <c r="Z36" s="2117">
        <v>44984</v>
      </c>
      <c r="AA36" s="2117">
        <v>44993</v>
      </c>
      <c r="AB36" s="2117">
        <v>46079</v>
      </c>
      <c r="AC36" s="2297"/>
      <c r="AD36" s="2297"/>
    </row>
    <row r="37" spans="1:30" ht="30.75" thickTop="1">
      <c r="A37" s="416">
        <v>44742</v>
      </c>
      <c r="B37" s="630" t="s">
        <v>12550</v>
      </c>
      <c r="C37" s="411" t="s">
        <v>2434</v>
      </c>
      <c r="D37" s="411" t="s">
        <v>3204</v>
      </c>
      <c r="E37" s="411" t="s">
        <v>13952</v>
      </c>
      <c r="F37" s="412" t="s">
        <v>12551</v>
      </c>
      <c r="G37" s="411"/>
      <c r="H37" s="630"/>
      <c r="I37" s="630" t="s">
        <v>15369</v>
      </c>
      <c r="J37" s="411" t="s">
        <v>642</v>
      </c>
      <c r="K37" s="411"/>
      <c r="L37" s="417">
        <v>3841734.5</v>
      </c>
      <c r="M37" s="411" t="s">
        <v>251</v>
      </c>
      <c r="N37" s="416">
        <v>44775</v>
      </c>
      <c r="O37" s="416">
        <v>44809</v>
      </c>
      <c r="P37" s="416">
        <v>44848</v>
      </c>
      <c r="Q37" s="630" t="s">
        <v>2776</v>
      </c>
      <c r="R37" s="411"/>
      <c r="S37" s="417">
        <v>3841694.21</v>
      </c>
      <c r="T37" s="417">
        <v>4648450</v>
      </c>
      <c r="U37" s="1480"/>
      <c r="V37" s="1480"/>
      <c r="W37" s="1480"/>
      <c r="X37" s="513">
        <v>44848</v>
      </c>
      <c r="Y37" s="1553" t="s">
        <v>13312</v>
      </c>
      <c r="Z37" s="416">
        <v>44936</v>
      </c>
      <c r="AA37" s="416">
        <v>44950</v>
      </c>
      <c r="AB37" s="416">
        <v>46031</v>
      </c>
      <c r="AC37" s="406"/>
      <c r="AD37" s="406"/>
    </row>
    <row r="38" spans="1:30" ht="30.75" thickBot="1">
      <c r="A38" s="2117">
        <v>44741</v>
      </c>
      <c r="B38" s="2120" t="s">
        <v>12554</v>
      </c>
      <c r="C38" s="2118" t="s">
        <v>2434</v>
      </c>
      <c r="D38" s="2118" t="s">
        <v>3204</v>
      </c>
      <c r="E38" s="2118" t="s">
        <v>13952</v>
      </c>
      <c r="F38" s="2119" t="s">
        <v>12553</v>
      </c>
      <c r="G38" s="2118">
        <v>2</v>
      </c>
      <c r="H38" s="2120" t="s">
        <v>12556</v>
      </c>
      <c r="I38" s="2120" t="s">
        <v>15369</v>
      </c>
      <c r="J38" s="2118" t="s">
        <v>642</v>
      </c>
      <c r="K38" s="2118"/>
      <c r="L38" s="2121">
        <v>3636364</v>
      </c>
      <c r="M38" s="2118" t="s">
        <v>251</v>
      </c>
      <c r="N38" s="2117">
        <v>44778</v>
      </c>
      <c r="O38" s="2117">
        <v>44844</v>
      </c>
      <c r="P38" s="2117">
        <v>44900</v>
      </c>
      <c r="Q38" s="2120" t="s">
        <v>2776</v>
      </c>
      <c r="R38" s="2118"/>
      <c r="S38" s="2121">
        <v>3965289.26</v>
      </c>
      <c r="T38" s="2121">
        <v>4798000</v>
      </c>
      <c r="U38" s="2122"/>
      <c r="V38" s="2122"/>
      <c r="W38" s="2122"/>
      <c r="X38" s="2123">
        <v>44900</v>
      </c>
      <c r="Y38" s="2246" t="s">
        <v>13703</v>
      </c>
      <c r="Z38" s="2117">
        <v>44935</v>
      </c>
      <c r="AA38" s="2117">
        <v>44951</v>
      </c>
      <c r="AB38" s="2117">
        <v>46030</v>
      </c>
      <c r="AC38" s="2297"/>
      <c r="AD38" s="2297"/>
    </row>
    <row r="39" spans="1:30" ht="15.75" thickTop="1">
      <c r="A39" s="2140">
        <v>44774</v>
      </c>
      <c r="B39" s="2143" t="s">
        <v>12654</v>
      </c>
      <c r="C39" s="2141" t="s">
        <v>69</v>
      </c>
      <c r="D39" s="2141" t="s">
        <v>70</v>
      </c>
      <c r="E39" s="2141" t="s">
        <v>13949</v>
      </c>
      <c r="F39" s="2142" t="s">
        <v>12657</v>
      </c>
      <c r="G39" s="2141"/>
      <c r="H39" s="2143"/>
      <c r="I39" s="2143" t="s">
        <v>15369</v>
      </c>
      <c r="J39" s="2141" t="s">
        <v>1147</v>
      </c>
      <c r="K39" s="2141"/>
      <c r="L39" s="2144">
        <v>13613262</v>
      </c>
      <c r="M39" s="2141" t="s">
        <v>251</v>
      </c>
      <c r="N39" s="2140">
        <v>44880</v>
      </c>
      <c r="O39" s="2140">
        <v>45012</v>
      </c>
      <c r="P39" s="2140">
        <v>45021</v>
      </c>
      <c r="Q39" s="2143" t="s">
        <v>1564</v>
      </c>
      <c r="R39" s="2141"/>
      <c r="S39" s="2144">
        <v>16493833.199999999</v>
      </c>
      <c r="T39" s="2144">
        <v>18143216.52</v>
      </c>
      <c r="U39" s="2145"/>
      <c r="V39" s="2145"/>
      <c r="W39" s="2145"/>
      <c r="X39" s="2146">
        <v>45021</v>
      </c>
      <c r="Y39" s="2144" t="s">
        <v>14561</v>
      </c>
      <c r="Z39" s="2140">
        <v>45078</v>
      </c>
      <c r="AA39" s="2140">
        <v>45089</v>
      </c>
      <c r="AB39" s="2140">
        <v>46538</v>
      </c>
      <c r="AC39" s="2154"/>
      <c r="AD39" s="2154"/>
    </row>
    <row r="40" spans="1:30">
      <c r="A40" s="2140">
        <v>44774</v>
      </c>
      <c r="B40" s="2143" t="s">
        <v>12655</v>
      </c>
      <c r="C40" s="2141" t="s">
        <v>69</v>
      </c>
      <c r="D40" s="2141" t="s">
        <v>70</v>
      </c>
      <c r="E40" s="2141" t="s">
        <v>13949</v>
      </c>
      <c r="F40" s="2142" t="s">
        <v>12658</v>
      </c>
      <c r="G40" s="2141"/>
      <c r="H40" s="2143"/>
      <c r="I40" s="2143" t="s">
        <v>15369</v>
      </c>
      <c r="J40" s="2141" t="s">
        <v>3452</v>
      </c>
      <c r="K40" s="2141"/>
      <c r="L40" s="2144">
        <v>6781508</v>
      </c>
      <c r="M40" s="2141" t="s">
        <v>251</v>
      </c>
      <c r="N40" s="2140">
        <v>44887</v>
      </c>
      <c r="O40" s="2140">
        <v>44952</v>
      </c>
      <c r="P40" s="2140">
        <v>44981</v>
      </c>
      <c r="Q40" s="2143" t="s">
        <v>2405</v>
      </c>
      <c r="R40" s="2141"/>
      <c r="S40" s="2144">
        <v>6721072.7999999998</v>
      </c>
      <c r="T40" s="2144">
        <v>7393183.2000000002</v>
      </c>
      <c r="U40" s="2145"/>
      <c r="V40" s="2145"/>
      <c r="W40" s="2145"/>
      <c r="X40" s="2146">
        <v>44987</v>
      </c>
      <c r="Y40" s="2144" t="s">
        <v>14254</v>
      </c>
      <c r="Z40" s="2140">
        <v>45022</v>
      </c>
      <c r="AA40" s="2140">
        <v>45033</v>
      </c>
      <c r="AB40" s="2140">
        <v>46482</v>
      </c>
      <c r="AC40" s="2085"/>
      <c r="AD40" s="2085"/>
    </row>
    <row r="41" spans="1:30">
      <c r="A41" s="2140">
        <v>44774</v>
      </c>
      <c r="B41" s="2143" t="s">
        <v>12656</v>
      </c>
      <c r="C41" s="2141" t="s">
        <v>69</v>
      </c>
      <c r="D41" s="2141" t="s">
        <v>70</v>
      </c>
      <c r="E41" s="2141" t="s">
        <v>13949</v>
      </c>
      <c r="F41" s="2142" t="s">
        <v>12659</v>
      </c>
      <c r="G41" s="2141"/>
      <c r="H41" s="2143"/>
      <c r="I41" s="2143" t="s">
        <v>15369</v>
      </c>
      <c r="J41" s="2141" t="s">
        <v>7938</v>
      </c>
      <c r="K41" s="2141"/>
      <c r="L41" s="2144">
        <v>12495448</v>
      </c>
      <c r="M41" s="2141" t="s">
        <v>251</v>
      </c>
      <c r="N41" s="2140">
        <v>44851</v>
      </c>
      <c r="O41" s="2140">
        <v>44886</v>
      </c>
      <c r="P41" s="2140">
        <v>44916</v>
      </c>
      <c r="Q41" s="2143" t="s">
        <v>2518</v>
      </c>
      <c r="R41" s="2141"/>
      <c r="S41" s="2144">
        <v>12495435.48</v>
      </c>
      <c r="T41" s="2144">
        <v>13744979.029999999</v>
      </c>
      <c r="U41" s="2145"/>
      <c r="V41" s="2145"/>
      <c r="W41" s="2145"/>
      <c r="X41" s="2146">
        <v>44916</v>
      </c>
      <c r="Y41" s="2144" t="s">
        <v>13798</v>
      </c>
      <c r="Z41" s="2140">
        <v>44952</v>
      </c>
      <c r="AA41" s="2140">
        <v>44965</v>
      </c>
      <c r="AB41" s="2140">
        <v>46412</v>
      </c>
      <c r="AC41" s="2154"/>
      <c r="AD41" s="2154"/>
    </row>
    <row r="42" spans="1:30">
      <c r="A42" s="365">
        <v>44783</v>
      </c>
      <c r="B42" s="3192" t="s">
        <v>12709</v>
      </c>
      <c r="C42" s="3191" t="s">
        <v>69</v>
      </c>
      <c r="D42" s="3191" t="s">
        <v>70</v>
      </c>
      <c r="E42" s="3191" t="s">
        <v>13949</v>
      </c>
      <c r="F42" s="175" t="s">
        <v>12711</v>
      </c>
      <c r="G42" s="3191"/>
      <c r="H42" s="3192"/>
      <c r="I42" s="3192" t="s">
        <v>15369</v>
      </c>
      <c r="J42" s="3191" t="s">
        <v>12710</v>
      </c>
      <c r="K42" s="3191"/>
      <c r="L42" s="364">
        <v>8136058</v>
      </c>
      <c r="M42" s="3191" t="s">
        <v>251</v>
      </c>
      <c r="N42" s="365">
        <v>44820</v>
      </c>
      <c r="O42" s="365">
        <v>44861</v>
      </c>
      <c r="P42" s="365">
        <v>44894</v>
      </c>
      <c r="Q42" s="3192" t="s">
        <v>13761</v>
      </c>
      <c r="R42" s="3191"/>
      <c r="S42" s="364">
        <v>8010426.2400000002</v>
      </c>
      <c r="T42" s="364">
        <v>8811468.8599999994</v>
      </c>
      <c r="U42" s="1473"/>
      <c r="V42" s="1473"/>
      <c r="W42" s="1473"/>
      <c r="X42" s="681">
        <v>44894</v>
      </c>
      <c r="Y42" s="364" t="s">
        <v>13739</v>
      </c>
      <c r="Z42" s="365">
        <v>44936</v>
      </c>
      <c r="AA42" s="365">
        <v>44939</v>
      </c>
      <c r="AB42" s="365">
        <v>46396</v>
      </c>
      <c r="AC42" s="423"/>
      <c r="AD42" s="423"/>
    </row>
    <row r="43" spans="1:30">
      <c r="A43" s="416">
        <v>44783</v>
      </c>
      <c r="B43" s="630" t="s">
        <v>12713</v>
      </c>
      <c r="C43" s="411" t="s">
        <v>69</v>
      </c>
      <c r="D43" s="411" t="s">
        <v>70</v>
      </c>
      <c r="E43" s="411" t="s">
        <v>13949</v>
      </c>
      <c r="F43" s="412" t="s">
        <v>12712</v>
      </c>
      <c r="G43" s="411"/>
      <c r="H43" s="630"/>
      <c r="I43" s="630" t="s">
        <v>15369</v>
      </c>
      <c r="J43" s="411" t="s">
        <v>72</v>
      </c>
      <c r="K43" s="411"/>
      <c r="L43" s="417">
        <v>60267982</v>
      </c>
      <c r="M43" s="411" t="s">
        <v>251</v>
      </c>
      <c r="N43" s="416">
        <v>44820</v>
      </c>
      <c r="O43" s="416">
        <v>44893</v>
      </c>
      <c r="P43" s="416">
        <v>44932</v>
      </c>
      <c r="Q43" s="630" t="s">
        <v>13761</v>
      </c>
      <c r="R43" s="411"/>
      <c r="S43" s="417">
        <v>60268292.399999999</v>
      </c>
      <c r="T43" s="417">
        <v>66295121.640000001</v>
      </c>
      <c r="U43" s="1480"/>
      <c r="V43" s="1480"/>
      <c r="W43" s="1480"/>
      <c r="X43" s="513">
        <v>44932</v>
      </c>
      <c r="Y43" s="417" t="s">
        <v>13966</v>
      </c>
      <c r="Z43" s="416">
        <v>44953</v>
      </c>
      <c r="AA43" s="416">
        <v>44965</v>
      </c>
      <c r="AB43" s="416">
        <v>46413</v>
      </c>
      <c r="AC43" s="406"/>
      <c r="AD43" s="406"/>
    </row>
    <row r="44" spans="1:30" ht="15.75" thickBot="1">
      <c r="A44" s="2117">
        <v>44783</v>
      </c>
      <c r="B44" s="2120" t="s">
        <v>12778</v>
      </c>
      <c r="C44" s="2118" t="s">
        <v>69</v>
      </c>
      <c r="D44" s="2118" t="s">
        <v>70</v>
      </c>
      <c r="E44" s="2118" t="s">
        <v>13949</v>
      </c>
      <c r="F44" s="2119" t="s">
        <v>12714</v>
      </c>
      <c r="G44" s="2118">
        <v>3</v>
      </c>
      <c r="H44" s="2120" t="s">
        <v>12717</v>
      </c>
      <c r="I44" s="2120" t="s">
        <v>15369</v>
      </c>
      <c r="J44" s="2118" t="s">
        <v>3436</v>
      </c>
      <c r="K44" s="2118"/>
      <c r="L44" s="2121">
        <v>543381</v>
      </c>
      <c r="M44" s="2118" t="s">
        <v>251</v>
      </c>
      <c r="N44" s="2117">
        <v>44792</v>
      </c>
      <c r="O44" s="2117">
        <v>44861</v>
      </c>
      <c r="P44" s="2117">
        <v>44881</v>
      </c>
      <c r="Q44" s="2120" t="s">
        <v>1646</v>
      </c>
      <c r="R44" s="2118"/>
      <c r="S44" s="2121">
        <v>538305.63</v>
      </c>
      <c r="T44" s="2121">
        <v>592136.18999999994</v>
      </c>
      <c r="U44" s="2122"/>
      <c r="V44" s="2122"/>
      <c r="W44" s="2122"/>
      <c r="X44" s="2123">
        <v>44881</v>
      </c>
      <c r="Y44" s="2121" t="s">
        <v>13546</v>
      </c>
      <c r="Z44" s="2117">
        <v>44929</v>
      </c>
      <c r="AA44" s="2117">
        <v>44931</v>
      </c>
      <c r="AB44" s="2117">
        <v>46024</v>
      </c>
      <c r="AC44" s="2297"/>
      <c r="AD44" s="2297"/>
    </row>
    <row r="45" spans="1:30" ht="30.75" thickTop="1">
      <c r="A45" s="474">
        <v>44775</v>
      </c>
      <c r="B45" s="1420" t="s">
        <v>12728</v>
      </c>
      <c r="C45" s="453" t="s">
        <v>2434</v>
      </c>
      <c r="D45" s="453" t="s">
        <v>219</v>
      </c>
      <c r="E45" s="453" t="s">
        <v>13952</v>
      </c>
      <c r="F45" s="473" t="s">
        <v>12729</v>
      </c>
      <c r="G45" s="453">
        <v>1</v>
      </c>
      <c r="H45" s="1420" t="s">
        <v>10303</v>
      </c>
      <c r="I45" s="1420" t="s">
        <v>15369</v>
      </c>
      <c r="J45" s="453" t="s">
        <v>642</v>
      </c>
      <c r="K45" s="453"/>
      <c r="L45" s="457">
        <v>122510</v>
      </c>
      <c r="M45" s="453" t="s">
        <v>251</v>
      </c>
      <c r="N45" s="474">
        <v>44796</v>
      </c>
      <c r="O45" s="474">
        <v>44861</v>
      </c>
      <c r="P45" s="474">
        <v>44895</v>
      </c>
      <c r="Q45" s="1420" t="s">
        <v>8793</v>
      </c>
      <c r="R45" s="453"/>
      <c r="S45" s="457">
        <v>122520</v>
      </c>
      <c r="T45" s="457">
        <v>148249.20000000001</v>
      </c>
      <c r="U45" s="1474"/>
      <c r="V45" s="1474"/>
      <c r="W45" s="1474"/>
      <c r="X45" s="570">
        <v>44895</v>
      </c>
      <c r="Y45" s="1387" t="s">
        <v>13663</v>
      </c>
      <c r="Z45" s="474">
        <v>44939</v>
      </c>
      <c r="AA45" s="474">
        <v>44952</v>
      </c>
      <c r="AB45" s="474">
        <v>46034</v>
      </c>
      <c r="AC45" s="425"/>
      <c r="AD45" s="425"/>
    </row>
    <row r="46" spans="1:30" ht="30.75" thickBot="1">
      <c r="A46" s="2117">
        <v>44775</v>
      </c>
      <c r="B46" s="2120" t="s">
        <v>12730</v>
      </c>
      <c r="C46" s="2118" t="s">
        <v>2434</v>
      </c>
      <c r="D46" s="2118" t="s">
        <v>219</v>
      </c>
      <c r="E46" s="2118" t="s">
        <v>13952</v>
      </c>
      <c r="F46" s="2119" t="s">
        <v>12729</v>
      </c>
      <c r="G46" s="2118">
        <v>2</v>
      </c>
      <c r="H46" s="2120" t="s">
        <v>12731</v>
      </c>
      <c r="I46" s="2120" t="s">
        <v>15369</v>
      </c>
      <c r="J46" s="2118" t="s">
        <v>642</v>
      </c>
      <c r="K46" s="2118"/>
      <c r="L46" s="2121">
        <v>399726</v>
      </c>
      <c r="M46" s="2118" t="s">
        <v>251</v>
      </c>
      <c r="N46" s="2117">
        <v>44796</v>
      </c>
      <c r="O46" s="2117">
        <v>44861</v>
      </c>
      <c r="P46" s="2117">
        <v>44895</v>
      </c>
      <c r="Q46" s="2120" t="s">
        <v>8793</v>
      </c>
      <c r="R46" s="2118"/>
      <c r="S46" s="2121">
        <v>386654.02</v>
      </c>
      <c r="T46" s="2121">
        <v>467851.7</v>
      </c>
      <c r="U46" s="2122"/>
      <c r="V46" s="2122"/>
      <c r="W46" s="2122"/>
      <c r="X46" s="2123">
        <v>44895</v>
      </c>
      <c r="Y46" s="2246" t="s">
        <v>13664</v>
      </c>
      <c r="Z46" s="2117">
        <v>44939</v>
      </c>
      <c r="AA46" s="2117">
        <v>44952</v>
      </c>
      <c r="AB46" s="2117">
        <v>46034</v>
      </c>
      <c r="AC46" s="2297"/>
      <c r="AD46" s="2297"/>
    </row>
    <row r="47" spans="1:30" ht="15.75" thickTop="1">
      <c r="A47" s="2140">
        <v>44785</v>
      </c>
      <c r="B47" s="2143" t="s">
        <v>12738</v>
      </c>
      <c r="C47" s="2141" t="s">
        <v>69</v>
      </c>
      <c r="D47" s="2141" t="s">
        <v>70</v>
      </c>
      <c r="E47" s="2141" t="s">
        <v>13949</v>
      </c>
      <c r="F47" s="2142" t="s">
        <v>12758</v>
      </c>
      <c r="G47" s="2141"/>
      <c r="H47" s="2143"/>
      <c r="I47" s="2143" t="s">
        <v>15369</v>
      </c>
      <c r="J47" s="2141" t="s">
        <v>3435</v>
      </c>
      <c r="K47" s="2141"/>
      <c r="L47" s="2144">
        <v>12735446</v>
      </c>
      <c r="M47" s="2141" t="s">
        <v>251</v>
      </c>
      <c r="N47" s="2140">
        <v>44855</v>
      </c>
      <c r="O47" s="2140">
        <v>44890</v>
      </c>
      <c r="P47" s="2140">
        <v>44903</v>
      </c>
      <c r="Q47" s="2143" t="s">
        <v>576</v>
      </c>
      <c r="R47" s="2141"/>
      <c r="S47" s="2144">
        <v>12504244.039999999</v>
      </c>
      <c r="T47" s="2144">
        <v>13754668.439999999</v>
      </c>
      <c r="U47" s="2145"/>
      <c r="V47" s="2145"/>
      <c r="W47" s="2145"/>
      <c r="X47" s="2146">
        <v>44903</v>
      </c>
      <c r="Y47" s="2144" t="s">
        <v>13742</v>
      </c>
      <c r="Z47" s="2140">
        <v>44939</v>
      </c>
      <c r="AA47" s="2140">
        <v>44944</v>
      </c>
      <c r="AB47" s="2140">
        <v>46399</v>
      </c>
      <c r="AC47" s="2154"/>
      <c r="AD47" s="2154"/>
    </row>
    <row r="48" spans="1:30" ht="30.75" thickBot="1">
      <c r="A48" s="2141" t="s">
        <v>3585</v>
      </c>
      <c r="B48" s="2143" t="s">
        <v>12801</v>
      </c>
      <c r="C48" s="2141" t="s">
        <v>58</v>
      </c>
      <c r="D48" s="2141" t="s">
        <v>4969</v>
      </c>
      <c r="E48" s="2141" t="s">
        <v>13950</v>
      </c>
      <c r="F48" s="2142" t="s">
        <v>12802</v>
      </c>
      <c r="G48" s="2141"/>
      <c r="H48" s="2143"/>
      <c r="I48" s="2143" t="s">
        <v>15369</v>
      </c>
      <c r="J48" s="2141" t="s">
        <v>272</v>
      </c>
      <c r="K48" s="2141" t="s">
        <v>10916</v>
      </c>
      <c r="L48" s="2144">
        <v>1320000</v>
      </c>
      <c r="M48" s="2141" t="s">
        <v>251</v>
      </c>
      <c r="N48" s="2140">
        <v>44799</v>
      </c>
      <c r="O48" s="2140">
        <v>44831</v>
      </c>
      <c r="P48" s="2140">
        <v>44876</v>
      </c>
      <c r="Q48" s="2143" t="s">
        <v>4315</v>
      </c>
      <c r="R48" s="2141"/>
      <c r="S48" s="2144">
        <v>1560948</v>
      </c>
      <c r="T48" s="2144">
        <v>1888746.92</v>
      </c>
      <c r="U48" s="2145"/>
      <c r="V48" s="2145"/>
      <c r="W48" s="2145"/>
      <c r="X48" s="2146">
        <v>44876</v>
      </c>
      <c r="Y48" s="2260" t="s">
        <v>13525</v>
      </c>
      <c r="Z48" s="2140">
        <v>45005</v>
      </c>
      <c r="AA48" s="2140">
        <v>45009</v>
      </c>
      <c r="AB48" s="2140">
        <v>45075</v>
      </c>
      <c r="AC48" s="2154"/>
      <c r="AD48" s="2154"/>
    </row>
    <row r="49" spans="1:30" ht="15.75" thickTop="1">
      <c r="A49" s="474">
        <v>44795</v>
      </c>
      <c r="B49" s="1420" t="s">
        <v>12832</v>
      </c>
      <c r="C49" s="453" t="s">
        <v>69</v>
      </c>
      <c r="D49" s="453" t="s">
        <v>70</v>
      </c>
      <c r="E49" s="453" t="s">
        <v>13949</v>
      </c>
      <c r="F49" s="473" t="s">
        <v>12877</v>
      </c>
      <c r="G49" s="453">
        <v>1</v>
      </c>
      <c r="H49" s="1420" t="s">
        <v>12833</v>
      </c>
      <c r="I49" s="1420" t="s">
        <v>15369</v>
      </c>
      <c r="J49" s="453" t="s">
        <v>1537</v>
      </c>
      <c r="K49" s="453"/>
      <c r="L49" s="457">
        <v>3301280</v>
      </c>
      <c r="M49" s="453" t="s">
        <v>251</v>
      </c>
      <c r="N49" s="474">
        <v>44894</v>
      </c>
      <c r="O49" s="474">
        <v>44949</v>
      </c>
      <c r="P49" s="474">
        <v>45000</v>
      </c>
      <c r="Q49" s="1420" t="s">
        <v>3287</v>
      </c>
      <c r="R49" s="453"/>
      <c r="S49" s="457">
        <v>3301280</v>
      </c>
      <c r="T49" s="457">
        <v>3631408</v>
      </c>
      <c r="U49" s="1474"/>
      <c r="V49" s="1474"/>
      <c r="W49" s="1474"/>
      <c r="X49" s="570">
        <v>45000</v>
      </c>
      <c r="Y49" s="457" t="s">
        <v>14375</v>
      </c>
      <c r="Z49" s="474">
        <v>45030</v>
      </c>
      <c r="AA49" s="474">
        <v>45036</v>
      </c>
      <c r="AB49" s="474">
        <v>46490</v>
      </c>
      <c r="AC49" s="583"/>
      <c r="AD49" s="583"/>
    </row>
    <row r="50" spans="1:30">
      <c r="A50" s="2140">
        <v>44795</v>
      </c>
      <c r="B50" s="2143" t="s">
        <v>12836</v>
      </c>
      <c r="C50" s="2141" t="s">
        <v>69</v>
      </c>
      <c r="D50" s="2141" t="s">
        <v>70</v>
      </c>
      <c r="E50" s="2141" t="s">
        <v>13949</v>
      </c>
      <c r="F50" s="2142" t="s">
        <v>12877</v>
      </c>
      <c r="G50" s="2141">
        <v>2</v>
      </c>
      <c r="H50" s="2143" t="s">
        <v>12834</v>
      </c>
      <c r="I50" s="2143" t="s">
        <v>15369</v>
      </c>
      <c r="J50" s="2141" t="s">
        <v>1537</v>
      </c>
      <c r="K50" s="2141"/>
      <c r="L50" s="2144">
        <v>385268</v>
      </c>
      <c r="M50" s="2141" t="s">
        <v>251</v>
      </c>
      <c r="N50" s="2140">
        <v>44894</v>
      </c>
      <c r="O50" s="2140">
        <v>44949</v>
      </c>
      <c r="P50" s="2140">
        <v>45000</v>
      </c>
      <c r="Q50" s="2143" t="s">
        <v>3288</v>
      </c>
      <c r="R50" s="2141"/>
      <c r="S50" s="2144">
        <v>385268</v>
      </c>
      <c r="T50" s="2144">
        <v>423794.8</v>
      </c>
      <c r="U50" s="2145"/>
      <c r="V50" s="2145"/>
      <c r="W50" s="2145"/>
      <c r="X50" s="2146">
        <v>45000</v>
      </c>
      <c r="Y50" s="2144" t="s">
        <v>14376</v>
      </c>
      <c r="Z50" s="2140">
        <v>45030</v>
      </c>
      <c r="AA50" s="2140">
        <v>45036</v>
      </c>
      <c r="AB50" s="2140">
        <v>46490</v>
      </c>
      <c r="AC50" s="2085"/>
      <c r="AD50" s="2085"/>
    </row>
    <row r="51" spans="1:30" ht="15.75" thickBot="1">
      <c r="A51" s="2117">
        <v>44795</v>
      </c>
      <c r="B51" s="2120" t="s">
        <v>12837</v>
      </c>
      <c r="C51" s="2118" t="s">
        <v>69</v>
      </c>
      <c r="D51" s="2118" t="s">
        <v>70</v>
      </c>
      <c r="E51" s="2118" t="s">
        <v>13949</v>
      </c>
      <c r="F51" s="2119" t="s">
        <v>12877</v>
      </c>
      <c r="G51" s="2118">
        <v>3</v>
      </c>
      <c r="H51" s="2120" t="s">
        <v>12835</v>
      </c>
      <c r="I51" s="2120" t="s">
        <v>15369</v>
      </c>
      <c r="J51" s="2118" t="s">
        <v>1537</v>
      </c>
      <c r="K51" s="2118"/>
      <c r="L51" s="2121">
        <v>5882097</v>
      </c>
      <c r="M51" s="2118" t="s">
        <v>251</v>
      </c>
      <c r="N51" s="2117">
        <v>44894</v>
      </c>
      <c r="O51" s="2117">
        <v>44949</v>
      </c>
      <c r="P51" s="2117">
        <v>45000</v>
      </c>
      <c r="Q51" s="2120" t="s">
        <v>2518</v>
      </c>
      <c r="R51" s="2118"/>
      <c r="S51" s="2121">
        <v>6862690.1100000003</v>
      </c>
      <c r="T51" s="2121">
        <v>7548959.1200000001</v>
      </c>
      <c r="U51" s="2122"/>
      <c r="V51" s="2122"/>
      <c r="W51" s="2122"/>
      <c r="X51" s="2123">
        <v>45000</v>
      </c>
      <c r="Y51" s="2121" t="s">
        <v>14377</v>
      </c>
      <c r="Z51" s="2117">
        <v>45030</v>
      </c>
      <c r="AA51" s="2117">
        <v>45036</v>
      </c>
      <c r="AB51" s="2117">
        <v>46490</v>
      </c>
      <c r="AC51" s="2089"/>
      <c r="AD51" s="2089"/>
    </row>
    <row r="52" spans="1:30" ht="31.5" customHeight="1" thickTop="1" thickBot="1">
      <c r="A52" s="474">
        <v>44795</v>
      </c>
      <c r="B52" s="1420" t="s">
        <v>12846</v>
      </c>
      <c r="C52" s="453" t="s">
        <v>58</v>
      </c>
      <c r="D52" s="453" t="s">
        <v>4969</v>
      </c>
      <c r="E52" s="453" t="s">
        <v>13950</v>
      </c>
      <c r="F52" s="473" t="s">
        <v>12847</v>
      </c>
      <c r="G52" s="453">
        <v>1</v>
      </c>
      <c r="H52" s="1420" t="s">
        <v>12851</v>
      </c>
      <c r="I52" s="1420" t="s">
        <v>15369</v>
      </c>
      <c r="J52" s="453" t="s">
        <v>292</v>
      </c>
      <c r="K52" s="453" t="s">
        <v>12848</v>
      </c>
      <c r="L52" s="457">
        <v>1624113</v>
      </c>
      <c r="M52" s="453" t="s">
        <v>251</v>
      </c>
      <c r="N52" s="474">
        <v>44811</v>
      </c>
      <c r="O52" s="474">
        <v>44860</v>
      </c>
      <c r="P52" s="474">
        <v>44883</v>
      </c>
      <c r="Q52" s="1420" t="s">
        <v>9936</v>
      </c>
      <c r="R52" s="453"/>
      <c r="S52" s="457">
        <v>1630860</v>
      </c>
      <c r="T52" s="457">
        <v>1877982.6</v>
      </c>
      <c r="U52" s="1474"/>
      <c r="V52" s="1474"/>
      <c r="W52" s="1474"/>
      <c r="X52" s="570">
        <v>44883</v>
      </c>
      <c r="Y52" s="1387" t="s">
        <v>13557</v>
      </c>
      <c r="Z52" s="474">
        <v>44929</v>
      </c>
      <c r="AA52" s="474">
        <v>44932</v>
      </c>
      <c r="AB52" s="474">
        <v>44985</v>
      </c>
      <c r="AC52" s="425"/>
      <c r="AD52" s="425"/>
    </row>
    <row r="53" spans="1:30" ht="30.75" customHeight="1" thickTop="1">
      <c r="A53" s="474">
        <v>44789</v>
      </c>
      <c r="B53" s="1420" t="s">
        <v>12853</v>
      </c>
      <c r="C53" s="453" t="s">
        <v>2434</v>
      </c>
      <c r="D53" s="453" t="s">
        <v>3204</v>
      </c>
      <c r="E53" s="453" t="s">
        <v>13952</v>
      </c>
      <c r="F53" s="473" t="s">
        <v>12854</v>
      </c>
      <c r="G53" s="453">
        <v>1</v>
      </c>
      <c r="H53" s="1420" t="s">
        <v>12859</v>
      </c>
      <c r="I53" s="1420" t="s">
        <v>15369</v>
      </c>
      <c r="J53" s="453" t="s">
        <v>642</v>
      </c>
      <c r="K53" s="453"/>
      <c r="L53" s="457">
        <v>31000</v>
      </c>
      <c r="M53" s="453" t="s">
        <v>216</v>
      </c>
      <c r="N53" s="474">
        <v>44803</v>
      </c>
      <c r="O53" s="474">
        <v>44854</v>
      </c>
      <c r="P53" s="474">
        <v>44895</v>
      </c>
      <c r="Q53" s="1420" t="s">
        <v>12260</v>
      </c>
      <c r="R53" s="453"/>
      <c r="S53" s="457">
        <v>22351</v>
      </c>
      <c r="T53" s="457">
        <v>27044.71</v>
      </c>
      <c r="U53" s="1474"/>
      <c r="V53" s="1474"/>
      <c r="W53" s="1474"/>
      <c r="X53" s="570">
        <v>44895</v>
      </c>
      <c r="Y53" s="1387" t="s">
        <v>13668</v>
      </c>
      <c r="Z53" s="474">
        <v>44939</v>
      </c>
      <c r="AA53" s="474">
        <v>44953</v>
      </c>
      <c r="AB53" s="474">
        <v>45669</v>
      </c>
      <c r="AC53" s="425"/>
      <c r="AD53" s="425"/>
    </row>
    <row r="54" spans="1:30" ht="30" customHeight="1">
      <c r="A54" s="365">
        <v>44790</v>
      </c>
      <c r="B54" s="3192" t="s">
        <v>12855</v>
      </c>
      <c r="C54" s="3191" t="s">
        <v>2434</v>
      </c>
      <c r="D54" s="3191" t="s">
        <v>3204</v>
      </c>
      <c r="E54" s="3191" t="s">
        <v>13952</v>
      </c>
      <c r="F54" s="2142" t="s">
        <v>12854</v>
      </c>
      <c r="G54" s="2141">
        <v>2</v>
      </c>
      <c r="H54" s="2143" t="s">
        <v>12858</v>
      </c>
      <c r="I54" s="2143" t="s">
        <v>15369</v>
      </c>
      <c r="J54" s="2141" t="s">
        <v>642</v>
      </c>
      <c r="K54" s="2141"/>
      <c r="L54" s="2144">
        <v>353400</v>
      </c>
      <c r="M54" s="2141" t="s">
        <v>216</v>
      </c>
      <c r="N54" s="2140">
        <v>44803</v>
      </c>
      <c r="O54" s="2140">
        <v>44854</v>
      </c>
      <c r="P54" s="2140">
        <v>44895</v>
      </c>
      <c r="Q54" s="2143" t="s">
        <v>12260</v>
      </c>
      <c r="R54" s="2141"/>
      <c r="S54" s="2144">
        <v>254801.4</v>
      </c>
      <c r="T54" s="2144">
        <v>308309.69</v>
      </c>
      <c r="U54" s="2145"/>
      <c r="V54" s="2145"/>
      <c r="W54" s="2145"/>
      <c r="X54" s="2146">
        <v>44895</v>
      </c>
      <c r="Y54" s="2260" t="s">
        <v>13669</v>
      </c>
      <c r="Z54" s="2140">
        <v>44939</v>
      </c>
      <c r="AA54" s="2140">
        <v>44953</v>
      </c>
      <c r="AB54" s="2140">
        <v>45669</v>
      </c>
      <c r="AC54" s="2154"/>
      <c r="AD54" s="2154"/>
    </row>
    <row r="55" spans="1:30" ht="30" customHeight="1">
      <c r="A55" s="365">
        <v>44791</v>
      </c>
      <c r="B55" s="3192" t="s">
        <v>12856</v>
      </c>
      <c r="C55" s="3191" t="s">
        <v>2434</v>
      </c>
      <c r="D55" s="3191" t="s">
        <v>3204</v>
      </c>
      <c r="E55" s="3191" t="s">
        <v>13952</v>
      </c>
      <c r="F55" s="2142" t="s">
        <v>12854</v>
      </c>
      <c r="G55" s="2141">
        <v>3</v>
      </c>
      <c r="H55" s="2143" t="s">
        <v>12860</v>
      </c>
      <c r="I55" s="2143" t="s">
        <v>15369</v>
      </c>
      <c r="J55" s="2141" t="s">
        <v>642</v>
      </c>
      <c r="K55" s="2141"/>
      <c r="L55" s="2144">
        <v>350840</v>
      </c>
      <c r="M55" s="2141" t="s">
        <v>216</v>
      </c>
      <c r="N55" s="2140">
        <v>44803</v>
      </c>
      <c r="O55" s="2140">
        <v>44854</v>
      </c>
      <c r="P55" s="2140">
        <v>44895</v>
      </c>
      <c r="Q55" s="2143" t="s">
        <v>12260</v>
      </c>
      <c r="R55" s="2141"/>
      <c r="S55" s="2144">
        <v>219039.8</v>
      </c>
      <c r="T55" s="2144">
        <v>265038.15999999997</v>
      </c>
      <c r="U55" s="2145"/>
      <c r="V55" s="2145"/>
      <c r="W55" s="2145"/>
      <c r="X55" s="2146">
        <v>44895</v>
      </c>
      <c r="Y55" s="2260" t="s">
        <v>13670</v>
      </c>
      <c r="Z55" s="2140">
        <v>44939</v>
      </c>
      <c r="AA55" s="2140">
        <v>44953</v>
      </c>
      <c r="AB55" s="2140">
        <v>45669</v>
      </c>
      <c r="AC55" s="2154"/>
      <c r="AD55" s="2154"/>
    </row>
    <row r="56" spans="1:30" ht="30.75" customHeight="1" thickBot="1">
      <c r="A56" s="675">
        <v>44792</v>
      </c>
      <c r="B56" s="1983" t="s">
        <v>12857</v>
      </c>
      <c r="C56" s="517" t="s">
        <v>2434</v>
      </c>
      <c r="D56" s="517" t="s">
        <v>3204</v>
      </c>
      <c r="E56" s="517" t="s">
        <v>13952</v>
      </c>
      <c r="F56" s="2119" t="s">
        <v>12854</v>
      </c>
      <c r="G56" s="2118">
        <v>4</v>
      </c>
      <c r="H56" s="2120" t="s">
        <v>12861</v>
      </c>
      <c r="I56" s="2120" t="s">
        <v>15369</v>
      </c>
      <c r="J56" s="2118" t="s">
        <v>642</v>
      </c>
      <c r="K56" s="2118"/>
      <c r="L56" s="2121">
        <v>1224360</v>
      </c>
      <c r="M56" s="2118" t="s">
        <v>216</v>
      </c>
      <c r="N56" s="2117">
        <v>44803</v>
      </c>
      <c r="O56" s="2117">
        <v>44854</v>
      </c>
      <c r="P56" s="2117">
        <v>44895</v>
      </c>
      <c r="Q56" s="2120" t="s">
        <v>12260</v>
      </c>
      <c r="R56" s="2118"/>
      <c r="S56" s="2121">
        <v>764404.2</v>
      </c>
      <c r="T56" s="2121">
        <v>924929.08</v>
      </c>
      <c r="U56" s="2122"/>
      <c r="V56" s="2122"/>
      <c r="W56" s="2122"/>
      <c r="X56" s="2123">
        <v>44895</v>
      </c>
      <c r="Y56" s="2246" t="s">
        <v>13671</v>
      </c>
      <c r="Z56" s="2117">
        <v>44939</v>
      </c>
      <c r="AA56" s="2117">
        <v>44953</v>
      </c>
      <c r="AB56" s="2117">
        <v>45669</v>
      </c>
      <c r="AC56" s="2297"/>
      <c r="AD56" s="2297"/>
    </row>
    <row r="57" spans="1:30" ht="30.75" thickTop="1">
      <c r="A57" s="474" t="s">
        <v>3585</v>
      </c>
      <c r="B57" s="1420" t="s">
        <v>12931</v>
      </c>
      <c r="C57" s="453" t="s">
        <v>2434</v>
      </c>
      <c r="D57" s="453" t="s">
        <v>219</v>
      </c>
      <c r="E57" s="453" t="s">
        <v>13952</v>
      </c>
      <c r="F57" s="1997" t="s">
        <v>12935</v>
      </c>
      <c r="G57" s="453">
        <v>1</v>
      </c>
      <c r="H57" s="1420" t="s">
        <v>12934</v>
      </c>
      <c r="I57" s="1420" t="s">
        <v>15369</v>
      </c>
      <c r="J57" s="453" t="s">
        <v>642</v>
      </c>
      <c r="K57" s="453"/>
      <c r="L57" s="457">
        <v>13001652</v>
      </c>
      <c r="M57" s="453" t="s">
        <v>251</v>
      </c>
      <c r="N57" s="474">
        <v>44806</v>
      </c>
      <c r="O57" s="474">
        <v>44839</v>
      </c>
      <c r="P57" s="474">
        <v>44881</v>
      </c>
      <c r="Q57" s="1420" t="s">
        <v>2776</v>
      </c>
      <c r="R57" s="453"/>
      <c r="S57" s="457">
        <v>14801652.890000001</v>
      </c>
      <c r="T57" s="457">
        <v>17910000</v>
      </c>
      <c r="U57" s="1474"/>
      <c r="V57" s="1474"/>
      <c r="W57" s="1474"/>
      <c r="X57" s="570">
        <v>44881</v>
      </c>
      <c r="Y57" s="1387" t="s">
        <v>13553</v>
      </c>
      <c r="Z57" s="474">
        <v>44935</v>
      </c>
      <c r="AA57" s="474">
        <v>44939</v>
      </c>
      <c r="AB57" s="474">
        <v>46030</v>
      </c>
      <c r="AC57" s="425"/>
      <c r="AD57" s="425"/>
    </row>
    <row r="58" spans="1:30" ht="15.75" thickBot="1">
      <c r="A58" s="2117">
        <v>44893</v>
      </c>
      <c r="B58" s="2120" t="s">
        <v>13641</v>
      </c>
      <c r="C58" s="2118" t="s">
        <v>4295</v>
      </c>
      <c r="D58" s="2118" t="s">
        <v>4296</v>
      </c>
      <c r="E58" s="2118" t="s">
        <v>13951</v>
      </c>
      <c r="F58" s="2119" t="s">
        <v>13642</v>
      </c>
      <c r="G58" s="2118"/>
      <c r="H58" s="2120"/>
      <c r="I58" s="2120" t="s">
        <v>15369</v>
      </c>
      <c r="J58" s="2118" t="s">
        <v>3034</v>
      </c>
      <c r="K58" s="2118"/>
      <c r="L58" s="2121">
        <v>1200000</v>
      </c>
      <c r="M58" s="2118" t="s">
        <v>112</v>
      </c>
      <c r="N58" s="2117">
        <v>44894</v>
      </c>
      <c r="O58" s="2117">
        <v>44901</v>
      </c>
      <c r="P58" s="2117">
        <v>44902</v>
      </c>
      <c r="Q58" s="2120" t="s">
        <v>3122</v>
      </c>
      <c r="R58" s="2118"/>
      <c r="S58" s="2121">
        <v>1140000</v>
      </c>
      <c r="T58" s="2121">
        <v>1379400</v>
      </c>
      <c r="U58" s="2122"/>
      <c r="V58" s="2122"/>
      <c r="W58" s="2122"/>
      <c r="X58" s="2123">
        <v>44903</v>
      </c>
      <c r="Y58" s="2121" t="s">
        <v>13741</v>
      </c>
      <c r="Z58" s="2117">
        <v>44930</v>
      </c>
      <c r="AA58" s="2117">
        <v>44931</v>
      </c>
      <c r="AB58" s="2118"/>
      <c r="AC58" s="2297"/>
      <c r="AD58" s="2297"/>
    </row>
    <row r="59" spans="1:30" ht="15.75" thickTop="1">
      <c r="A59" s="474">
        <v>44803</v>
      </c>
      <c r="B59" s="1420" t="s">
        <v>12911</v>
      </c>
      <c r="C59" s="453" t="s">
        <v>69</v>
      </c>
      <c r="D59" s="453" t="s">
        <v>70</v>
      </c>
      <c r="E59" s="453" t="s">
        <v>13949</v>
      </c>
      <c r="F59" s="473" t="s">
        <v>12912</v>
      </c>
      <c r="G59" s="453">
        <v>1</v>
      </c>
      <c r="H59" s="1420" t="s">
        <v>12916</v>
      </c>
      <c r="I59" s="1420" t="s">
        <v>15369</v>
      </c>
      <c r="J59" s="453" t="s">
        <v>12920</v>
      </c>
      <c r="K59" s="453"/>
      <c r="L59" s="457">
        <v>12820156</v>
      </c>
      <c r="M59" s="453" t="s">
        <v>251</v>
      </c>
      <c r="N59" s="474">
        <v>44813</v>
      </c>
      <c r="O59" s="474">
        <v>44865</v>
      </c>
      <c r="P59" s="474">
        <v>44902</v>
      </c>
      <c r="Q59" s="1420" t="s">
        <v>8542</v>
      </c>
      <c r="R59" s="453"/>
      <c r="S59" s="457">
        <v>12816020</v>
      </c>
      <c r="T59" s="457">
        <v>14097622</v>
      </c>
      <c r="U59" s="1474"/>
      <c r="V59" s="1474"/>
      <c r="W59" s="1474"/>
      <c r="X59" s="570">
        <v>44902</v>
      </c>
      <c r="Y59" s="457" t="s">
        <v>13729</v>
      </c>
      <c r="Z59" s="474">
        <v>44929</v>
      </c>
      <c r="AA59" s="474">
        <v>44946</v>
      </c>
      <c r="AB59" s="474">
        <v>46389</v>
      </c>
      <c r="AC59" s="425"/>
      <c r="AD59" s="425"/>
    </row>
    <row r="60" spans="1:30">
      <c r="A60" s="2140">
        <v>44803</v>
      </c>
      <c r="B60" s="2143" t="s">
        <v>12914</v>
      </c>
      <c r="C60" s="2141" t="s">
        <v>69</v>
      </c>
      <c r="D60" s="2141" t="s">
        <v>70</v>
      </c>
      <c r="E60" s="2141" t="s">
        <v>13949</v>
      </c>
      <c r="F60" s="2142" t="s">
        <v>12912</v>
      </c>
      <c r="G60" s="2141">
        <v>3</v>
      </c>
      <c r="H60" s="2143" t="s">
        <v>12918</v>
      </c>
      <c r="I60" s="2143" t="s">
        <v>15369</v>
      </c>
      <c r="J60" s="2141" t="s">
        <v>12920</v>
      </c>
      <c r="K60" s="2141"/>
      <c r="L60" s="2144">
        <v>4342169</v>
      </c>
      <c r="M60" s="2141" t="s">
        <v>251</v>
      </c>
      <c r="N60" s="2140">
        <v>44813</v>
      </c>
      <c r="O60" s="2140">
        <v>44865</v>
      </c>
      <c r="P60" s="2140">
        <v>44902</v>
      </c>
      <c r="Q60" s="2143" t="s">
        <v>578</v>
      </c>
      <c r="R60" s="2141"/>
      <c r="S60" s="2144">
        <v>4343279.3600000003</v>
      </c>
      <c r="T60" s="2144">
        <v>4777607.3</v>
      </c>
      <c r="U60" s="2145"/>
      <c r="V60" s="2145"/>
      <c r="W60" s="2145"/>
      <c r="X60" s="2146">
        <v>44902</v>
      </c>
      <c r="Y60" s="2144" t="s">
        <v>13730</v>
      </c>
      <c r="Z60" s="2140">
        <v>44944</v>
      </c>
      <c r="AA60" s="2140">
        <v>44946</v>
      </c>
      <c r="AB60" s="2140">
        <v>46404</v>
      </c>
      <c r="AC60" s="2154"/>
      <c r="AD60" s="2154"/>
    </row>
    <row r="61" spans="1:30" ht="15.75" thickBot="1">
      <c r="A61" s="2117">
        <v>44803</v>
      </c>
      <c r="B61" s="2120" t="s">
        <v>12915</v>
      </c>
      <c r="C61" s="2118" t="s">
        <v>69</v>
      </c>
      <c r="D61" s="2118" t="s">
        <v>70</v>
      </c>
      <c r="E61" s="2118" t="s">
        <v>13949</v>
      </c>
      <c r="F61" s="2119" t="s">
        <v>12912</v>
      </c>
      <c r="G61" s="2118">
        <v>4</v>
      </c>
      <c r="H61" s="2120" t="s">
        <v>12919</v>
      </c>
      <c r="I61" s="2120" t="s">
        <v>15369</v>
      </c>
      <c r="J61" s="2118" t="s">
        <v>12920</v>
      </c>
      <c r="K61" s="2118"/>
      <c r="L61" s="2121">
        <v>2883280</v>
      </c>
      <c r="M61" s="2118" t="s">
        <v>251</v>
      </c>
      <c r="N61" s="2117">
        <v>44813</v>
      </c>
      <c r="O61" s="2117">
        <v>44865</v>
      </c>
      <c r="P61" s="2117">
        <v>44902</v>
      </c>
      <c r="Q61" s="2120" t="s">
        <v>8542</v>
      </c>
      <c r="R61" s="2118"/>
      <c r="S61" s="2121">
        <v>2883276.4</v>
      </c>
      <c r="T61" s="2121">
        <v>3171604.04</v>
      </c>
      <c r="U61" s="2122"/>
      <c r="V61" s="2122"/>
      <c r="W61" s="2122"/>
      <c r="X61" s="2123">
        <v>44902</v>
      </c>
      <c r="Y61" s="2121" t="s">
        <v>13731</v>
      </c>
      <c r="Z61" s="2117">
        <v>44929</v>
      </c>
      <c r="AA61" s="2117">
        <v>44946</v>
      </c>
      <c r="AB61" s="2117">
        <v>46389</v>
      </c>
      <c r="AC61" s="2297"/>
      <c r="AD61" s="2297"/>
    </row>
    <row r="62" spans="1:30" ht="31.5" thickTop="1" thickBot="1">
      <c r="A62" s="2124">
        <v>44803</v>
      </c>
      <c r="B62" s="2127" t="s">
        <v>12925</v>
      </c>
      <c r="C62" s="2125" t="s">
        <v>69</v>
      </c>
      <c r="D62" s="2125" t="s">
        <v>70</v>
      </c>
      <c r="E62" s="2125" t="s">
        <v>13949</v>
      </c>
      <c r="F62" s="2126" t="s">
        <v>12923</v>
      </c>
      <c r="G62" s="2125">
        <v>2</v>
      </c>
      <c r="H62" s="2697" t="s">
        <v>12928</v>
      </c>
      <c r="I62" s="2697" t="s">
        <v>242</v>
      </c>
      <c r="J62" s="2125" t="s">
        <v>12927</v>
      </c>
      <c r="K62" s="2125"/>
      <c r="L62" s="2128">
        <v>5764044</v>
      </c>
      <c r="M62" s="2125" t="s">
        <v>251</v>
      </c>
      <c r="N62" s="2124">
        <v>44854</v>
      </c>
      <c r="O62" s="2124">
        <v>44904</v>
      </c>
      <c r="P62" s="2125"/>
      <c r="Q62" s="2136" t="s">
        <v>14107</v>
      </c>
      <c r="R62" s="2125"/>
      <c r="S62" s="2128"/>
      <c r="T62" s="2128"/>
      <c r="U62" s="2129"/>
      <c r="V62" s="2129"/>
      <c r="W62" s="2129"/>
      <c r="X62" s="2128"/>
      <c r="Y62" s="2128"/>
      <c r="Z62" s="2125"/>
      <c r="AA62" s="2124">
        <v>44958</v>
      </c>
      <c r="AB62" s="2127" t="s">
        <v>14131</v>
      </c>
      <c r="AC62" s="2154"/>
      <c r="AD62" s="2154"/>
    </row>
    <row r="63" spans="1:30" ht="15.75" thickTop="1">
      <c r="A63" s="474">
        <v>44799</v>
      </c>
      <c r="B63" s="1420" t="s">
        <v>12946</v>
      </c>
      <c r="C63" s="453" t="s">
        <v>69</v>
      </c>
      <c r="D63" s="453" t="s">
        <v>70</v>
      </c>
      <c r="E63" s="453" t="s">
        <v>13949</v>
      </c>
      <c r="F63" s="473" t="s">
        <v>12947</v>
      </c>
      <c r="G63" s="453">
        <v>1</v>
      </c>
      <c r="H63" s="1420" t="s">
        <v>13504</v>
      </c>
      <c r="I63" s="1420" t="s">
        <v>15369</v>
      </c>
      <c r="J63" s="453" t="s">
        <v>7790</v>
      </c>
      <c r="K63" s="453"/>
      <c r="L63" s="457">
        <v>7102618</v>
      </c>
      <c r="M63" s="453" t="s">
        <v>251</v>
      </c>
      <c r="N63" s="474">
        <v>44901</v>
      </c>
      <c r="O63" s="474">
        <v>44951</v>
      </c>
      <c r="P63" s="474">
        <v>44974</v>
      </c>
      <c r="Q63" s="1420" t="s">
        <v>576</v>
      </c>
      <c r="R63" s="453"/>
      <c r="S63" s="457">
        <v>7001794.7999999998</v>
      </c>
      <c r="T63" s="457">
        <v>7701974.2800000003</v>
      </c>
      <c r="U63" s="1605"/>
      <c r="V63" s="1605"/>
      <c r="W63" s="1605"/>
      <c r="X63" s="570">
        <v>44974</v>
      </c>
      <c r="Y63" s="457" t="s">
        <v>14210</v>
      </c>
      <c r="Z63" s="474">
        <v>45007</v>
      </c>
      <c r="AA63" s="474">
        <v>45027</v>
      </c>
      <c r="AB63" s="474">
        <v>46467</v>
      </c>
      <c r="AC63" s="583"/>
      <c r="AD63" s="583"/>
    </row>
    <row r="64" spans="1:30" ht="15.75" thickBot="1">
      <c r="A64" s="2117">
        <v>44799</v>
      </c>
      <c r="B64" s="2120" t="s">
        <v>12948</v>
      </c>
      <c r="C64" s="2118" t="s">
        <v>69</v>
      </c>
      <c r="D64" s="2118" t="s">
        <v>70</v>
      </c>
      <c r="E64" s="2118" t="s">
        <v>13949</v>
      </c>
      <c r="F64" s="2119" t="s">
        <v>12947</v>
      </c>
      <c r="G64" s="2118">
        <v>2</v>
      </c>
      <c r="H64" s="2120" t="s">
        <v>13505</v>
      </c>
      <c r="I64" s="2120" t="s">
        <v>15369</v>
      </c>
      <c r="J64" s="2118" t="s">
        <v>7790</v>
      </c>
      <c r="K64" s="2118"/>
      <c r="L64" s="2121">
        <v>5723312</v>
      </c>
      <c r="M64" s="2118" t="s">
        <v>251</v>
      </c>
      <c r="N64" s="2117">
        <v>44901</v>
      </c>
      <c r="O64" s="2117">
        <v>44951</v>
      </c>
      <c r="P64" s="2117">
        <v>44974</v>
      </c>
      <c r="Q64" s="2120" t="s">
        <v>576</v>
      </c>
      <c r="R64" s="2118"/>
      <c r="S64" s="2121">
        <v>5643579.8399999999</v>
      </c>
      <c r="T64" s="2121">
        <v>6207937.8200000003</v>
      </c>
      <c r="U64" s="2443"/>
      <c r="V64" s="2443"/>
      <c r="W64" s="2443"/>
      <c r="X64" s="2123">
        <v>44974</v>
      </c>
      <c r="Y64" s="2121" t="s">
        <v>14211</v>
      </c>
      <c r="Z64" s="2117">
        <v>45007</v>
      </c>
      <c r="AA64" s="2117">
        <v>45027</v>
      </c>
      <c r="AB64" s="2117">
        <v>46467</v>
      </c>
      <c r="AC64" s="2089"/>
      <c r="AD64" s="2089"/>
    </row>
    <row r="65" spans="1:31" ht="30.75" thickTop="1">
      <c r="A65" s="474">
        <v>44809</v>
      </c>
      <c r="B65" s="1420" t="s">
        <v>12977</v>
      </c>
      <c r="C65" s="453" t="s">
        <v>2434</v>
      </c>
      <c r="D65" s="453" t="s">
        <v>3204</v>
      </c>
      <c r="E65" s="453" t="s">
        <v>13952</v>
      </c>
      <c r="F65" s="473" t="s">
        <v>12978</v>
      </c>
      <c r="G65" s="453">
        <v>1</v>
      </c>
      <c r="H65" s="1420" t="s">
        <v>12979</v>
      </c>
      <c r="I65" s="1420" t="s">
        <v>15369</v>
      </c>
      <c r="J65" s="453" t="s">
        <v>642</v>
      </c>
      <c r="K65" s="453"/>
      <c r="L65" s="457">
        <v>480000</v>
      </c>
      <c r="M65" s="453" t="s">
        <v>251</v>
      </c>
      <c r="N65" s="474">
        <v>44813</v>
      </c>
      <c r="O65" s="474">
        <v>44888</v>
      </c>
      <c r="P65" s="474">
        <v>44917</v>
      </c>
      <c r="Q65" s="1420" t="s">
        <v>8278</v>
      </c>
      <c r="R65" s="453"/>
      <c r="S65" s="457">
        <v>472500</v>
      </c>
      <c r="T65" s="457">
        <v>571725</v>
      </c>
      <c r="U65" s="1474"/>
      <c r="V65" s="1474"/>
      <c r="W65" s="1474"/>
      <c r="X65" s="570">
        <v>44917</v>
      </c>
      <c r="Y65" s="1387" t="s">
        <v>13814</v>
      </c>
      <c r="Z65" s="474">
        <v>44946</v>
      </c>
      <c r="AA65" s="474">
        <v>44972</v>
      </c>
      <c r="AB65" s="474">
        <v>46041</v>
      </c>
      <c r="AC65" s="425"/>
      <c r="AD65" s="425"/>
    </row>
    <row r="66" spans="1:31" ht="30">
      <c r="A66" s="2140">
        <v>44809</v>
      </c>
      <c r="B66" s="2143" t="s">
        <v>12980</v>
      </c>
      <c r="C66" s="2141" t="s">
        <v>2434</v>
      </c>
      <c r="D66" s="2141" t="s">
        <v>3204</v>
      </c>
      <c r="E66" s="2141" t="s">
        <v>13952</v>
      </c>
      <c r="F66" s="2142" t="s">
        <v>12978</v>
      </c>
      <c r="G66" s="2141">
        <v>2</v>
      </c>
      <c r="H66" s="2143" t="s">
        <v>12990</v>
      </c>
      <c r="I66" s="2143" t="s">
        <v>15369</v>
      </c>
      <c r="J66" s="2141" t="s">
        <v>642</v>
      </c>
      <c r="K66" s="2141"/>
      <c r="L66" s="2144">
        <v>4860000</v>
      </c>
      <c r="M66" s="2141" t="s">
        <v>251</v>
      </c>
      <c r="N66" s="2140">
        <v>44813</v>
      </c>
      <c r="O66" s="2140">
        <v>44888</v>
      </c>
      <c r="P66" s="2140">
        <v>44917</v>
      </c>
      <c r="Q66" s="2143" t="s">
        <v>4894</v>
      </c>
      <c r="R66" s="2141"/>
      <c r="S66" s="2144">
        <v>4860000</v>
      </c>
      <c r="T66" s="2144">
        <v>5880600</v>
      </c>
      <c r="U66" s="2145"/>
      <c r="V66" s="2145"/>
      <c r="W66" s="2145"/>
      <c r="X66" s="2146">
        <v>44917</v>
      </c>
      <c r="Y66" s="2260" t="s">
        <v>13815</v>
      </c>
      <c r="Z66" s="2140">
        <v>44966</v>
      </c>
      <c r="AA66" s="2140">
        <v>44972</v>
      </c>
      <c r="AB66" s="2140">
        <v>46061</v>
      </c>
      <c r="AC66" s="2154"/>
      <c r="AD66" s="2154"/>
    </row>
    <row r="67" spans="1:31" ht="30">
      <c r="A67" s="2140">
        <v>44809</v>
      </c>
      <c r="B67" s="2143" t="s">
        <v>12981</v>
      </c>
      <c r="C67" s="2141" t="s">
        <v>2434</v>
      </c>
      <c r="D67" s="2141" t="s">
        <v>3204</v>
      </c>
      <c r="E67" s="2141" t="s">
        <v>13952</v>
      </c>
      <c r="F67" s="2142" t="s">
        <v>12978</v>
      </c>
      <c r="G67" s="2141">
        <v>3</v>
      </c>
      <c r="H67" s="2143" t="s">
        <v>12991</v>
      </c>
      <c r="I67" s="2143" t="s">
        <v>15369</v>
      </c>
      <c r="J67" s="2141" t="s">
        <v>642</v>
      </c>
      <c r="K67" s="2141"/>
      <c r="L67" s="2144">
        <v>867000</v>
      </c>
      <c r="M67" s="2141" t="s">
        <v>251</v>
      </c>
      <c r="N67" s="2140">
        <v>44813</v>
      </c>
      <c r="O67" s="2140">
        <v>44888</v>
      </c>
      <c r="P67" s="2140">
        <v>44917</v>
      </c>
      <c r="Q67" s="2143" t="s">
        <v>7201</v>
      </c>
      <c r="R67" s="2141"/>
      <c r="S67" s="2144">
        <v>735000</v>
      </c>
      <c r="T67" s="2144">
        <v>889350</v>
      </c>
      <c r="U67" s="2145"/>
      <c r="V67" s="2145"/>
      <c r="W67" s="2145"/>
      <c r="X67" s="2146">
        <v>44917</v>
      </c>
      <c r="Y67" s="2260" t="s">
        <v>13816</v>
      </c>
      <c r="Z67" s="2140">
        <v>44952</v>
      </c>
      <c r="AA67" s="2140">
        <v>44972</v>
      </c>
      <c r="AB67" s="2140">
        <v>46047</v>
      </c>
      <c r="AC67" s="2154"/>
      <c r="AD67" s="2154"/>
    </row>
    <row r="68" spans="1:31" ht="30">
      <c r="A68" s="2140">
        <v>44809</v>
      </c>
      <c r="B68" s="2143" t="s">
        <v>12982</v>
      </c>
      <c r="C68" s="2141" t="s">
        <v>2434</v>
      </c>
      <c r="D68" s="2141" t="s">
        <v>3204</v>
      </c>
      <c r="E68" s="2141" t="s">
        <v>13952</v>
      </c>
      <c r="F68" s="2142" t="s">
        <v>12978</v>
      </c>
      <c r="G68" s="2141">
        <v>4</v>
      </c>
      <c r="H68" s="2664" t="s">
        <v>12992</v>
      </c>
      <c r="I68" s="2289" t="s">
        <v>15369</v>
      </c>
      <c r="J68" s="2141" t="s">
        <v>642</v>
      </c>
      <c r="K68" s="2141"/>
      <c r="L68" s="2144">
        <v>3555000</v>
      </c>
      <c r="M68" s="2141" t="s">
        <v>251</v>
      </c>
      <c r="N68" s="2140">
        <v>44813</v>
      </c>
      <c r="O68" s="2140">
        <v>44888</v>
      </c>
      <c r="P68" s="2140">
        <v>44935</v>
      </c>
      <c r="Q68" s="2143" t="s">
        <v>5908</v>
      </c>
      <c r="R68" s="2141"/>
      <c r="S68" s="2144">
        <v>3555000</v>
      </c>
      <c r="T68" s="2144">
        <v>4301550</v>
      </c>
      <c r="U68" s="2145"/>
      <c r="V68" s="2145"/>
      <c r="W68" s="2145"/>
      <c r="X68" s="2146">
        <v>44935</v>
      </c>
      <c r="Y68" s="2260" t="s">
        <v>13988</v>
      </c>
      <c r="Z68" s="2140">
        <v>44952</v>
      </c>
      <c r="AA68" s="2140">
        <v>44972</v>
      </c>
      <c r="AB68" s="2140">
        <v>46047</v>
      </c>
      <c r="AC68" s="2154"/>
      <c r="AD68" s="2154"/>
    </row>
    <row r="69" spans="1:31" ht="30">
      <c r="A69" s="2140">
        <v>44809</v>
      </c>
      <c r="B69" s="2143" t="s">
        <v>12983</v>
      </c>
      <c r="C69" s="2141" t="s">
        <v>2434</v>
      </c>
      <c r="D69" s="2141" t="s">
        <v>3204</v>
      </c>
      <c r="E69" s="2141" t="s">
        <v>13952</v>
      </c>
      <c r="F69" s="2142" t="s">
        <v>12978</v>
      </c>
      <c r="G69" s="2141">
        <v>5</v>
      </c>
      <c r="H69" s="2143" t="s">
        <v>12993</v>
      </c>
      <c r="I69" s="2143" t="s">
        <v>15369</v>
      </c>
      <c r="J69" s="2141" t="s">
        <v>642</v>
      </c>
      <c r="K69" s="2141"/>
      <c r="L69" s="2144">
        <v>13825000</v>
      </c>
      <c r="M69" s="2141" t="s">
        <v>251</v>
      </c>
      <c r="N69" s="2140">
        <v>44813</v>
      </c>
      <c r="O69" s="2140">
        <v>44888</v>
      </c>
      <c r="P69" s="2140">
        <v>44917</v>
      </c>
      <c r="Q69" s="2143" t="s">
        <v>5908</v>
      </c>
      <c r="R69" s="2141"/>
      <c r="S69" s="2144">
        <v>13825000</v>
      </c>
      <c r="T69" s="2144">
        <v>16728250</v>
      </c>
      <c r="U69" s="2145"/>
      <c r="V69" s="2145"/>
      <c r="W69" s="2145"/>
      <c r="X69" s="2146">
        <v>44917</v>
      </c>
      <c r="Y69" s="2260" t="s">
        <v>13817</v>
      </c>
      <c r="Z69" s="2140">
        <v>44952</v>
      </c>
      <c r="AA69" s="2140">
        <v>44972</v>
      </c>
      <c r="AB69" s="2140">
        <v>46047</v>
      </c>
      <c r="AC69" s="2154"/>
      <c r="AD69" s="2154"/>
    </row>
    <row r="70" spans="1:31" ht="30">
      <c r="A70" s="2140">
        <v>44809</v>
      </c>
      <c r="B70" s="2143" t="s">
        <v>12984</v>
      </c>
      <c r="C70" s="2141" t="s">
        <v>2434</v>
      </c>
      <c r="D70" s="2141" t="s">
        <v>3204</v>
      </c>
      <c r="E70" s="2141" t="s">
        <v>13952</v>
      </c>
      <c r="F70" s="2142" t="s">
        <v>12978</v>
      </c>
      <c r="G70" s="2141">
        <v>6</v>
      </c>
      <c r="H70" s="2143" t="s">
        <v>12994</v>
      </c>
      <c r="I70" s="2143" t="s">
        <v>15369</v>
      </c>
      <c r="J70" s="2141" t="s">
        <v>642</v>
      </c>
      <c r="K70" s="2141"/>
      <c r="L70" s="2144">
        <v>2646900</v>
      </c>
      <c r="M70" s="2141" t="s">
        <v>251</v>
      </c>
      <c r="N70" s="2140">
        <v>44813</v>
      </c>
      <c r="O70" s="2140">
        <v>44888</v>
      </c>
      <c r="P70" s="2140">
        <v>44917</v>
      </c>
      <c r="Q70" s="2143" t="s">
        <v>13606</v>
      </c>
      <c r="R70" s="2141"/>
      <c r="S70" s="2144">
        <v>2646900</v>
      </c>
      <c r="T70" s="2144">
        <v>3202749</v>
      </c>
      <c r="U70" s="2145"/>
      <c r="V70" s="2145"/>
      <c r="W70" s="2145"/>
      <c r="X70" s="2146">
        <v>44917</v>
      </c>
      <c r="Y70" s="2260" t="s">
        <v>13818</v>
      </c>
      <c r="Z70" s="2140">
        <v>44946</v>
      </c>
      <c r="AA70" s="2140">
        <v>44972</v>
      </c>
      <c r="AB70" s="2140">
        <v>46041</v>
      </c>
      <c r="AC70" s="2154"/>
      <c r="AD70" s="2154"/>
    </row>
    <row r="71" spans="1:31" ht="30">
      <c r="A71" s="2140">
        <v>44809</v>
      </c>
      <c r="B71" s="2143" t="s">
        <v>12985</v>
      </c>
      <c r="C71" s="2141" t="s">
        <v>2434</v>
      </c>
      <c r="D71" s="2141" t="s">
        <v>3204</v>
      </c>
      <c r="E71" s="2141" t="s">
        <v>13952</v>
      </c>
      <c r="F71" s="2142" t="s">
        <v>12978</v>
      </c>
      <c r="G71" s="2141">
        <v>7</v>
      </c>
      <c r="H71" s="2143" t="s">
        <v>12995</v>
      </c>
      <c r="I71" s="2143" t="s">
        <v>15369</v>
      </c>
      <c r="J71" s="2141" t="s">
        <v>642</v>
      </c>
      <c r="K71" s="2141"/>
      <c r="L71" s="2144">
        <v>2520000</v>
      </c>
      <c r="M71" s="2141" t="s">
        <v>251</v>
      </c>
      <c r="N71" s="2140">
        <v>44813</v>
      </c>
      <c r="O71" s="2140">
        <v>44888</v>
      </c>
      <c r="P71" s="2140">
        <v>44917</v>
      </c>
      <c r="Q71" s="2143" t="s">
        <v>993</v>
      </c>
      <c r="R71" s="2141"/>
      <c r="S71" s="2144">
        <v>2250000</v>
      </c>
      <c r="T71" s="2144">
        <v>2722500</v>
      </c>
      <c r="U71" s="2145"/>
      <c r="V71" s="2145"/>
      <c r="W71" s="2145"/>
      <c r="X71" s="2146">
        <v>44917</v>
      </c>
      <c r="Y71" s="2260" t="s">
        <v>13819</v>
      </c>
      <c r="Z71" s="2140">
        <v>44946</v>
      </c>
      <c r="AA71" s="2140">
        <v>44972</v>
      </c>
      <c r="AB71" s="2140">
        <v>46041</v>
      </c>
      <c r="AC71" s="2154"/>
      <c r="AD71" s="2154"/>
    </row>
    <row r="72" spans="1:31" ht="30">
      <c r="A72" s="2140">
        <v>44809</v>
      </c>
      <c r="B72" s="2143" t="s">
        <v>12987</v>
      </c>
      <c r="C72" s="2141" t="s">
        <v>2434</v>
      </c>
      <c r="D72" s="2141" t="s">
        <v>3204</v>
      </c>
      <c r="E72" s="2141" t="s">
        <v>13952</v>
      </c>
      <c r="F72" s="2142" t="s">
        <v>12978</v>
      </c>
      <c r="G72" s="2141">
        <v>9</v>
      </c>
      <c r="H72" s="2664" t="s">
        <v>12996</v>
      </c>
      <c r="I72" s="2289" t="s">
        <v>15369</v>
      </c>
      <c r="J72" s="2141" t="s">
        <v>642</v>
      </c>
      <c r="K72" s="2141"/>
      <c r="L72" s="2144">
        <v>540000</v>
      </c>
      <c r="M72" s="2141" t="s">
        <v>251</v>
      </c>
      <c r="N72" s="2140">
        <v>44813</v>
      </c>
      <c r="O72" s="2140">
        <v>44888</v>
      </c>
      <c r="P72" s="2140">
        <v>44935</v>
      </c>
      <c r="Q72" s="2143" t="s">
        <v>8278</v>
      </c>
      <c r="R72" s="2141"/>
      <c r="S72" s="2144">
        <v>900000</v>
      </c>
      <c r="T72" s="2144">
        <v>1089000</v>
      </c>
      <c r="U72" s="2145"/>
      <c r="V72" s="2145"/>
      <c r="W72" s="2145"/>
      <c r="X72" s="2146">
        <v>44935</v>
      </c>
      <c r="Y72" s="2260" t="s">
        <v>13989</v>
      </c>
      <c r="Z72" s="2140">
        <v>44957</v>
      </c>
      <c r="AA72" s="2140">
        <v>44972</v>
      </c>
      <c r="AB72" s="2140">
        <v>46052</v>
      </c>
      <c r="AC72" s="2154"/>
      <c r="AD72" s="2154"/>
    </row>
    <row r="73" spans="1:31" ht="30.75" thickBot="1">
      <c r="A73" s="2117">
        <v>44809</v>
      </c>
      <c r="B73" s="2120" t="s">
        <v>12989</v>
      </c>
      <c r="C73" s="2118" t="s">
        <v>2434</v>
      </c>
      <c r="D73" s="2118" t="s">
        <v>3204</v>
      </c>
      <c r="E73" s="2118" t="s">
        <v>13952</v>
      </c>
      <c r="F73" s="2119" t="s">
        <v>12978</v>
      </c>
      <c r="G73" s="2118">
        <v>11</v>
      </c>
      <c r="H73" s="2120" t="s">
        <v>12998</v>
      </c>
      <c r="I73" s="2120" t="s">
        <v>15369</v>
      </c>
      <c r="J73" s="2118" t="s">
        <v>642</v>
      </c>
      <c r="K73" s="2118"/>
      <c r="L73" s="2121">
        <v>748000</v>
      </c>
      <c r="M73" s="2118" t="s">
        <v>251</v>
      </c>
      <c r="N73" s="2117">
        <v>44813</v>
      </c>
      <c r="O73" s="2117">
        <v>44888</v>
      </c>
      <c r="P73" s="2117">
        <v>44917</v>
      </c>
      <c r="Q73" s="2120" t="s">
        <v>13607</v>
      </c>
      <c r="R73" s="2118"/>
      <c r="S73" s="2121">
        <v>748000</v>
      </c>
      <c r="T73" s="2121">
        <v>905080</v>
      </c>
      <c r="U73" s="2122"/>
      <c r="V73" s="2122"/>
      <c r="W73" s="2122"/>
      <c r="X73" s="2123">
        <v>44917</v>
      </c>
      <c r="Y73" s="2260" t="s">
        <v>13820</v>
      </c>
      <c r="Z73" s="2117">
        <v>44946</v>
      </c>
      <c r="AA73" s="2117">
        <v>44972</v>
      </c>
      <c r="AB73" s="2117">
        <v>46041</v>
      </c>
      <c r="AC73" s="2297"/>
      <c r="AD73" s="2297"/>
    </row>
    <row r="74" spans="1:31" ht="16.5" thickTop="1" thickBot="1">
      <c r="A74" s="474">
        <v>44810</v>
      </c>
      <c r="B74" s="1420" t="s">
        <v>13040</v>
      </c>
      <c r="C74" s="453" t="s">
        <v>2434</v>
      </c>
      <c r="D74" s="453" t="s">
        <v>219</v>
      </c>
      <c r="E74" s="453" t="s">
        <v>13952</v>
      </c>
      <c r="F74" s="473" t="s">
        <v>13069</v>
      </c>
      <c r="G74" s="453"/>
      <c r="H74" s="1420"/>
      <c r="I74" s="1420" t="s">
        <v>15369</v>
      </c>
      <c r="J74" s="453" t="s">
        <v>3271</v>
      </c>
      <c r="K74" s="453"/>
      <c r="L74" s="457">
        <v>1924060</v>
      </c>
      <c r="M74" s="453" t="s">
        <v>251</v>
      </c>
      <c r="N74" s="474">
        <v>44820</v>
      </c>
      <c r="O74" s="474">
        <v>44858</v>
      </c>
      <c r="P74" s="474">
        <v>45036</v>
      </c>
      <c r="Q74" s="1420" t="s">
        <v>6119</v>
      </c>
      <c r="R74" s="453"/>
      <c r="S74" s="457">
        <v>1707219.3</v>
      </c>
      <c r="T74" s="457">
        <v>2065735.35</v>
      </c>
      <c r="U74" s="1474"/>
      <c r="V74" s="1474"/>
      <c r="W74" s="1474"/>
      <c r="X74" s="570">
        <v>45036</v>
      </c>
      <c r="Y74" s="457" t="s">
        <v>14666</v>
      </c>
      <c r="Z74" s="474">
        <v>45065</v>
      </c>
      <c r="AA74" s="474">
        <v>45078</v>
      </c>
      <c r="AB74" s="474">
        <v>45121</v>
      </c>
      <c r="AC74" s="425"/>
      <c r="AD74" s="425"/>
    </row>
    <row r="75" spans="1:31" ht="15.75" thickTop="1">
      <c r="A75" s="474">
        <v>44812</v>
      </c>
      <c r="B75" s="1420" t="s">
        <v>13010</v>
      </c>
      <c r="C75" s="453" t="s">
        <v>69</v>
      </c>
      <c r="D75" s="453" t="s">
        <v>70</v>
      </c>
      <c r="E75" s="453" t="s">
        <v>13949</v>
      </c>
      <c r="F75" s="473" t="s">
        <v>13011</v>
      </c>
      <c r="G75" s="453">
        <v>1</v>
      </c>
      <c r="H75" s="1420" t="s">
        <v>13012</v>
      </c>
      <c r="I75" s="1420" t="s">
        <v>15369</v>
      </c>
      <c r="J75" s="453" t="s">
        <v>4276</v>
      </c>
      <c r="K75" s="453"/>
      <c r="L75" s="457">
        <v>685461</v>
      </c>
      <c r="M75" s="453" t="s">
        <v>251</v>
      </c>
      <c r="N75" s="474">
        <v>44830</v>
      </c>
      <c r="O75" s="474">
        <v>44908</v>
      </c>
      <c r="P75" s="474">
        <v>44938</v>
      </c>
      <c r="Q75" s="1420" t="s">
        <v>5774</v>
      </c>
      <c r="R75" s="453"/>
      <c r="S75" s="457">
        <v>678466.5</v>
      </c>
      <c r="T75" s="457">
        <v>746313.15</v>
      </c>
      <c r="U75" s="1474"/>
      <c r="V75" s="1474"/>
      <c r="W75" s="1474"/>
      <c r="X75" s="570">
        <v>44938</v>
      </c>
      <c r="Y75" s="457" t="s">
        <v>14004</v>
      </c>
      <c r="Z75" s="474">
        <v>44971</v>
      </c>
      <c r="AA75" s="474">
        <v>44973</v>
      </c>
      <c r="AB75" s="474">
        <v>46066</v>
      </c>
      <c r="AC75" s="425"/>
      <c r="AD75" s="425"/>
    </row>
    <row r="76" spans="1:31">
      <c r="A76" s="2140">
        <v>44812</v>
      </c>
      <c r="B76" s="2143" t="s">
        <v>13017</v>
      </c>
      <c r="C76" s="2141" t="s">
        <v>69</v>
      </c>
      <c r="D76" s="2141" t="s">
        <v>70</v>
      </c>
      <c r="E76" s="2141" t="s">
        <v>13949</v>
      </c>
      <c r="F76" s="2142" t="s">
        <v>13011</v>
      </c>
      <c r="G76" s="2141">
        <v>2</v>
      </c>
      <c r="H76" s="2143" t="s">
        <v>13013</v>
      </c>
      <c r="I76" s="2143" t="s">
        <v>15369</v>
      </c>
      <c r="J76" s="2141" t="s">
        <v>4276</v>
      </c>
      <c r="K76" s="2141"/>
      <c r="L76" s="2144">
        <v>5397006</v>
      </c>
      <c r="M76" s="2141" t="s">
        <v>251</v>
      </c>
      <c r="N76" s="2140">
        <v>44830</v>
      </c>
      <c r="O76" s="2140">
        <v>44908</v>
      </c>
      <c r="P76" s="2140">
        <v>44938</v>
      </c>
      <c r="Q76" s="2143" t="s">
        <v>576</v>
      </c>
      <c r="R76" s="2141"/>
      <c r="S76" s="2144">
        <v>5396986.0199999996</v>
      </c>
      <c r="T76" s="2144">
        <v>5936684.6200000001</v>
      </c>
      <c r="U76" s="2145"/>
      <c r="V76" s="2145"/>
      <c r="W76" s="2145"/>
      <c r="X76" s="2146">
        <v>44938</v>
      </c>
      <c r="Y76" s="2144" t="s">
        <v>14005</v>
      </c>
      <c r="Z76" s="2140">
        <v>44971</v>
      </c>
      <c r="AA76" s="2140">
        <v>44973</v>
      </c>
      <c r="AB76" s="2140">
        <v>46066</v>
      </c>
      <c r="AC76" s="2154"/>
      <c r="AD76" s="2154"/>
    </row>
    <row r="77" spans="1:31">
      <c r="A77" s="2140">
        <v>44812</v>
      </c>
      <c r="B77" s="2143" t="s">
        <v>13019</v>
      </c>
      <c r="C77" s="2141" t="s">
        <v>69</v>
      </c>
      <c r="D77" s="2141" t="s">
        <v>70</v>
      </c>
      <c r="E77" s="2141" t="s">
        <v>13949</v>
      </c>
      <c r="F77" s="2142" t="s">
        <v>13011</v>
      </c>
      <c r="G77" s="2141">
        <v>4</v>
      </c>
      <c r="H77" s="2143" t="s">
        <v>13015</v>
      </c>
      <c r="I77" s="2143" t="s">
        <v>15369</v>
      </c>
      <c r="J77" s="2141" t="s">
        <v>4276</v>
      </c>
      <c r="K77" s="2141"/>
      <c r="L77" s="2144">
        <v>2452725</v>
      </c>
      <c r="M77" s="2141" t="s">
        <v>251</v>
      </c>
      <c r="N77" s="2140">
        <v>44830</v>
      </c>
      <c r="O77" s="2140">
        <v>44908</v>
      </c>
      <c r="P77" s="2140">
        <v>44938</v>
      </c>
      <c r="Q77" s="2143" t="s">
        <v>5774</v>
      </c>
      <c r="R77" s="2141"/>
      <c r="S77" s="2144">
        <v>1890908.64</v>
      </c>
      <c r="T77" s="2144">
        <v>2079999.5</v>
      </c>
      <c r="U77" s="2145"/>
      <c r="V77" s="2145"/>
      <c r="W77" s="2145"/>
      <c r="X77" s="2146">
        <v>44938</v>
      </c>
      <c r="Y77" s="2144" t="s">
        <v>14006</v>
      </c>
      <c r="Z77" s="2140">
        <v>44971</v>
      </c>
      <c r="AA77" s="2140">
        <v>44973</v>
      </c>
      <c r="AB77" s="2140">
        <v>46066</v>
      </c>
      <c r="AC77" s="2154"/>
      <c r="AD77" s="2154"/>
      <c r="AE77" s="360" t="s">
        <v>15283</v>
      </c>
    </row>
    <row r="78" spans="1:31" ht="15.75" thickBot="1">
      <c r="A78" s="2117">
        <v>44812</v>
      </c>
      <c r="B78" s="2120" t="s">
        <v>13020</v>
      </c>
      <c r="C78" s="2118" t="s">
        <v>69</v>
      </c>
      <c r="D78" s="2118" t="s">
        <v>70</v>
      </c>
      <c r="E78" s="2118" t="s">
        <v>13949</v>
      </c>
      <c r="F78" s="2119" t="s">
        <v>13011</v>
      </c>
      <c r="G78" s="2118">
        <v>5</v>
      </c>
      <c r="H78" s="2120" t="s">
        <v>13016</v>
      </c>
      <c r="I78" s="2120" t="s">
        <v>15369</v>
      </c>
      <c r="J78" s="2118" t="s">
        <v>4276</v>
      </c>
      <c r="K78" s="2118"/>
      <c r="L78" s="2121">
        <v>2713869</v>
      </c>
      <c r="M78" s="2118" t="s">
        <v>251</v>
      </c>
      <c r="N78" s="2117">
        <v>44830</v>
      </c>
      <c r="O78" s="2117">
        <v>44908</v>
      </c>
      <c r="P78" s="2117">
        <v>44938</v>
      </c>
      <c r="Q78" s="2120" t="s">
        <v>576</v>
      </c>
      <c r="R78" s="2118"/>
      <c r="S78" s="2121">
        <v>2688052.35</v>
      </c>
      <c r="T78" s="2121">
        <v>2956857.59</v>
      </c>
      <c r="U78" s="2122"/>
      <c r="V78" s="2122"/>
      <c r="W78" s="2122"/>
      <c r="X78" s="2123">
        <v>44938</v>
      </c>
      <c r="Y78" s="2121" t="s">
        <v>14007</v>
      </c>
      <c r="Z78" s="2117">
        <v>44971</v>
      </c>
      <c r="AA78" s="2117">
        <v>44973</v>
      </c>
      <c r="AB78" s="2117">
        <v>46066</v>
      </c>
      <c r="AC78" s="2297"/>
      <c r="AD78" s="2297"/>
    </row>
    <row r="79" spans="1:31" ht="15.75" thickTop="1">
      <c r="A79" s="474">
        <v>44812</v>
      </c>
      <c r="B79" s="1420" t="s">
        <v>13029</v>
      </c>
      <c r="C79" s="453" t="s">
        <v>69</v>
      </c>
      <c r="D79" s="453" t="s">
        <v>70</v>
      </c>
      <c r="E79" s="453" t="s">
        <v>13949</v>
      </c>
      <c r="F79" s="473" t="s">
        <v>13025</v>
      </c>
      <c r="G79" s="453">
        <v>1</v>
      </c>
      <c r="H79" s="1420" t="s">
        <v>13026</v>
      </c>
      <c r="I79" s="1420" t="s">
        <v>15369</v>
      </c>
      <c r="J79" s="453" t="s">
        <v>3436</v>
      </c>
      <c r="K79" s="453"/>
      <c r="L79" s="457">
        <v>1329395</v>
      </c>
      <c r="M79" s="453" t="s">
        <v>251</v>
      </c>
      <c r="N79" s="474">
        <v>44869</v>
      </c>
      <c r="O79" s="474">
        <v>44904</v>
      </c>
      <c r="P79" s="474">
        <v>44935</v>
      </c>
      <c r="Q79" s="1420" t="s">
        <v>576</v>
      </c>
      <c r="R79" s="453"/>
      <c r="S79" s="457">
        <v>1186575.6000000001</v>
      </c>
      <c r="T79" s="457">
        <v>1305233.1599999999</v>
      </c>
      <c r="U79" s="1474"/>
      <c r="V79" s="1474"/>
      <c r="W79" s="1474"/>
      <c r="X79" s="570">
        <v>44935</v>
      </c>
      <c r="Y79" s="457" t="s">
        <v>13974</v>
      </c>
      <c r="Z79" s="474">
        <v>44977</v>
      </c>
      <c r="AA79" s="474">
        <v>44978</v>
      </c>
      <c r="AB79" s="474">
        <v>46072</v>
      </c>
      <c r="AC79" s="425"/>
      <c r="AD79" s="425"/>
    </row>
    <row r="80" spans="1:31">
      <c r="A80" s="2140">
        <v>44812</v>
      </c>
      <c r="B80" s="3192" t="s">
        <v>13030</v>
      </c>
      <c r="C80" s="2141" t="s">
        <v>69</v>
      </c>
      <c r="D80" s="2141" t="s">
        <v>70</v>
      </c>
      <c r="E80" s="2141" t="s">
        <v>13949</v>
      </c>
      <c r="F80" s="2142" t="s">
        <v>13025</v>
      </c>
      <c r="G80" s="2141">
        <v>2</v>
      </c>
      <c r="H80" s="2143" t="s">
        <v>13027</v>
      </c>
      <c r="I80" s="2143" t="s">
        <v>15369</v>
      </c>
      <c r="J80" s="2141" t="s">
        <v>3436</v>
      </c>
      <c r="K80" s="2141"/>
      <c r="L80" s="2144">
        <v>2363241</v>
      </c>
      <c r="M80" s="2141" t="s">
        <v>251</v>
      </c>
      <c r="N80" s="2140">
        <v>44869</v>
      </c>
      <c r="O80" s="2140">
        <v>44904</v>
      </c>
      <c r="P80" s="2140">
        <v>44935</v>
      </c>
      <c r="Q80" s="2143" t="s">
        <v>13761</v>
      </c>
      <c r="R80" s="2141"/>
      <c r="S80" s="2144">
        <v>2338334.13</v>
      </c>
      <c r="T80" s="2144">
        <v>2572167.54</v>
      </c>
      <c r="U80" s="2145"/>
      <c r="V80" s="2145"/>
      <c r="W80" s="2145"/>
      <c r="X80" s="2146">
        <v>44935</v>
      </c>
      <c r="Y80" s="2144" t="s">
        <v>13975</v>
      </c>
      <c r="Z80" s="2140">
        <v>44957</v>
      </c>
      <c r="AA80" s="2140">
        <v>44978</v>
      </c>
      <c r="AB80" s="2140">
        <v>46052</v>
      </c>
      <c r="AC80" s="2154"/>
      <c r="AD80" s="2154"/>
    </row>
    <row r="81" spans="1:30" ht="15.75" thickBot="1">
      <c r="A81" s="2117">
        <v>44812</v>
      </c>
      <c r="B81" s="1983" t="s">
        <v>13031</v>
      </c>
      <c r="C81" s="2118" t="s">
        <v>69</v>
      </c>
      <c r="D81" s="2118" t="s">
        <v>70</v>
      </c>
      <c r="E81" s="2118" t="s">
        <v>13949</v>
      </c>
      <c r="F81" s="2119" t="s">
        <v>13025</v>
      </c>
      <c r="G81" s="2118">
        <v>3</v>
      </c>
      <c r="H81" s="2120" t="s">
        <v>13028</v>
      </c>
      <c r="I81" s="2120" t="s">
        <v>15369</v>
      </c>
      <c r="J81" s="2118" t="s">
        <v>3436</v>
      </c>
      <c r="K81" s="2118"/>
      <c r="L81" s="2121">
        <v>941068</v>
      </c>
      <c r="M81" s="2118" t="s">
        <v>251</v>
      </c>
      <c r="N81" s="2117">
        <v>44869</v>
      </c>
      <c r="O81" s="2117">
        <v>44904</v>
      </c>
      <c r="P81" s="2117">
        <v>44935</v>
      </c>
      <c r="Q81" s="2120" t="s">
        <v>576</v>
      </c>
      <c r="R81" s="2118"/>
      <c r="S81" s="2121">
        <v>859611</v>
      </c>
      <c r="T81" s="2121">
        <v>945572.1</v>
      </c>
      <c r="U81" s="2122"/>
      <c r="V81" s="2122"/>
      <c r="W81" s="2122"/>
      <c r="X81" s="2123">
        <v>44935</v>
      </c>
      <c r="Y81" s="2121" t="s">
        <v>13976</v>
      </c>
      <c r="Z81" s="2117">
        <v>44977</v>
      </c>
      <c r="AA81" s="2117">
        <v>44978</v>
      </c>
      <c r="AB81" s="2117">
        <v>46072</v>
      </c>
      <c r="AC81" s="2297"/>
      <c r="AD81" s="2297"/>
    </row>
    <row r="82" spans="1:30" ht="15.75" thickTop="1">
      <c r="A82" s="2140">
        <v>44816</v>
      </c>
      <c r="B82" s="2143" t="s">
        <v>13115</v>
      </c>
      <c r="C82" s="2141" t="s">
        <v>2434</v>
      </c>
      <c r="D82" s="2141" t="s">
        <v>219</v>
      </c>
      <c r="E82" s="2141" t="s">
        <v>13952</v>
      </c>
      <c r="F82" s="2142" t="s">
        <v>13116</v>
      </c>
      <c r="G82" s="2141"/>
      <c r="H82" s="2143"/>
      <c r="I82" s="2143" t="s">
        <v>15369</v>
      </c>
      <c r="J82" s="2141" t="s">
        <v>3271</v>
      </c>
      <c r="K82" s="2141"/>
      <c r="L82" s="2144">
        <v>547820</v>
      </c>
      <c r="M82" s="2141" t="s">
        <v>251</v>
      </c>
      <c r="N82" s="2140">
        <v>44831</v>
      </c>
      <c r="O82" s="2140">
        <v>44865</v>
      </c>
      <c r="P82" s="2140">
        <v>44973</v>
      </c>
      <c r="Q82" s="2143" t="s">
        <v>8408</v>
      </c>
      <c r="R82" s="2141"/>
      <c r="S82" s="2144">
        <v>255061.6</v>
      </c>
      <c r="T82" s="2144">
        <v>308612.44</v>
      </c>
      <c r="U82" s="2145"/>
      <c r="V82" s="2145"/>
      <c r="W82" s="2145"/>
      <c r="X82" s="2146">
        <v>44973</v>
      </c>
      <c r="Y82" s="2144" t="s">
        <v>14212</v>
      </c>
      <c r="Z82" s="2140">
        <v>45007</v>
      </c>
      <c r="AA82" s="2140">
        <v>45036</v>
      </c>
      <c r="AB82" s="2140">
        <v>45091</v>
      </c>
      <c r="AC82" s="2154"/>
      <c r="AD82" s="2154"/>
    </row>
    <row r="83" spans="1:30">
      <c r="A83" s="2140">
        <v>44813</v>
      </c>
      <c r="B83" s="2143" t="s">
        <v>13117</v>
      </c>
      <c r="C83" s="2141" t="s">
        <v>2434</v>
      </c>
      <c r="D83" s="2141" t="s">
        <v>219</v>
      </c>
      <c r="E83" s="2141" t="s">
        <v>13952</v>
      </c>
      <c r="F83" s="2142" t="s">
        <v>13118</v>
      </c>
      <c r="G83" s="2141"/>
      <c r="H83" s="2143"/>
      <c r="I83" s="2143" t="s">
        <v>15369</v>
      </c>
      <c r="J83" s="2141" t="s">
        <v>13119</v>
      </c>
      <c r="K83" s="2141"/>
      <c r="L83" s="2144">
        <v>4743130</v>
      </c>
      <c r="M83" s="2141" t="s">
        <v>251</v>
      </c>
      <c r="N83" s="2140">
        <v>44831</v>
      </c>
      <c r="O83" s="2140">
        <v>44895</v>
      </c>
      <c r="P83" s="2140">
        <v>45036</v>
      </c>
      <c r="Q83" s="2143" t="s">
        <v>14642</v>
      </c>
      <c r="R83" s="2141"/>
      <c r="S83" s="2144">
        <v>3343377.71</v>
      </c>
      <c r="T83" s="2144">
        <v>4045608.03</v>
      </c>
      <c r="U83" s="2145"/>
      <c r="V83" s="2145"/>
      <c r="W83" s="2145"/>
      <c r="X83" s="2146">
        <v>45036</v>
      </c>
      <c r="Y83" s="2144" t="s">
        <v>14667</v>
      </c>
      <c r="Z83" s="2140">
        <v>45065</v>
      </c>
      <c r="AA83" s="2140">
        <v>45082</v>
      </c>
      <c r="AB83" s="2140">
        <v>45205</v>
      </c>
      <c r="AC83" s="2154"/>
      <c r="AD83" s="2154"/>
    </row>
    <row r="84" spans="1:30" ht="15.75" thickBot="1">
      <c r="A84" s="416">
        <v>44823</v>
      </c>
      <c r="B84" s="630" t="s">
        <v>13109</v>
      </c>
      <c r="C84" s="411" t="s">
        <v>52</v>
      </c>
      <c r="D84" s="411" t="s">
        <v>2588</v>
      </c>
      <c r="E84" s="411" t="s">
        <v>13950</v>
      </c>
      <c r="F84" s="412" t="s">
        <v>13110</v>
      </c>
      <c r="G84" s="411"/>
      <c r="H84" s="630"/>
      <c r="I84" s="630" t="s">
        <v>15369</v>
      </c>
      <c r="J84" s="411" t="s">
        <v>484</v>
      </c>
      <c r="K84" s="411"/>
      <c r="L84" s="417">
        <v>20000000</v>
      </c>
      <c r="M84" s="411" t="s">
        <v>251</v>
      </c>
      <c r="N84" s="416">
        <v>44840</v>
      </c>
      <c r="O84" s="416">
        <v>44911</v>
      </c>
      <c r="P84" s="416">
        <v>44922</v>
      </c>
      <c r="Q84" s="630" t="s">
        <v>13804</v>
      </c>
      <c r="R84" s="411"/>
      <c r="S84" s="417">
        <v>12458000</v>
      </c>
      <c r="T84" s="417">
        <v>15074180</v>
      </c>
      <c r="U84" s="1480"/>
      <c r="V84" s="1480"/>
      <c r="W84" s="1480"/>
      <c r="X84" s="513">
        <v>44922</v>
      </c>
      <c r="Y84" s="417" t="s">
        <v>13823</v>
      </c>
      <c r="Z84" s="416">
        <v>44942</v>
      </c>
      <c r="AA84" s="416">
        <v>44953</v>
      </c>
      <c r="AB84" s="411"/>
      <c r="AC84" s="406"/>
      <c r="AD84" s="406"/>
    </row>
    <row r="85" spans="1:30" ht="15.75" thickTop="1">
      <c r="A85" s="443">
        <v>44823</v>
      </c>
      <c r="B85" s="1431" t="s">
        <v>13094</v>
      </c>
      <c r="C85" s="439" t="s">
        <v>69</v>
      </c>
      <c r="D85" s="439" t="s">
        <v>70</v>
      </c>
      <c r="E85" s="439" t="s">
        <v>13949</v>
      </c>
      <c r="F85" s="440" t="s">
        <v>13095</v>
      </c>
      <c r="G85" s="439">
        <v>1</v>
      </c>
      <c r="H85" s="1887" t="s">
        <v>13097</v>
      </c>
      <c r="I85" s="1887" t="s">
        <v>242</v>
      </c>
      <c r="J85" s="439" t="s">
        <v>3265</v>
      </c>
      <c r="K85" s="439"/>
      <c r="L85" s="444">
        <v>2930679</v>
      </c>
      <c r="M85" s="439" t="s">
        <v>251</v>
      </c>
      <c r="N85" s="443">
        <v>44847</v>
      </c>
      <c r="O85" s="443">
        <v>44880</v>
      </c>
      <c r="P85" s="443"/>
      <c r="Q85" s="753" t="s">
        <v>14067</v>
      </c>
      <c r="R85" s="439"/>
      <c r="S85" s="444"/>
      <c r="T85" s="444"/>
      <c r="U85" s="1481"/>
      <c r="V85" s="1481"/>
      <c r="W85" s="1481"/>
      <c r="X85" s="1884"/>
      <c r="Y85" s="444"/>
      <c r="Z85" s="439"/>
      <c r="AA85" s="443">
        <v>44965</v>
      </c>
      <c r="AB85" s="1431" t="s">
        <v>14173</v>
      </c>
      <c r="AC85" s="425"/>
      <c r="AD85" s="425"/>
    </row>
    <row r="86" spans="1:30" ht="30">
      <c r="A86" s="2124">
        <v>44823</v>
      </c>
      <c r="B86" s="2127" t="s">
        <v>13094</v>
      </c>
      <c r="C86" s="2125" t="s">
        <v>69</v>
      </c>
      <c r="D86" s="2125" t="s">
        <v>70</v>
      </c>
      <c r="E86" s="2125" t="s">
        <v>13949</v>
      </c>
      <c r="F86" s="2126" t="s">
        <v>13095</v>
      </c>
      <c r="G86" s="2125">
        <v>2</v>
      </c>
      <c r="H86" s="2697" t="s">
        <v>13098</v>
      </c>
      <c r="I86" s="2697" t="s">
        <v>242</v>
      </c>
      <c r="J86" s="2125" t="s">
        <v>3265</v>
      </c>
      <c r="K86" s="2125"/>
      <c r="L86" s="2128">
        <v>1823158</v>
      </c>
      <c r="M86" s="2125" t="s">
        <v>251</v>
      </c>
      <c r="N86" s="2124">
        <v>44847</v>
      </c>
      <c r="O86" s="2124">
        <v>44880</v>
      </c>
      <c r="P86" s="2124"/>
      <c r="Q86" s="2136" t="s">
        <v>14067</v>
      </c>
      <c r="R86" s="2125"/>
      <c r="S86" s="2128"/>
      <c r="T86" s="2128"/>
      <c r="U86" s="2129"/>
      <c r="V86" s="2129"/>
      <c r="W86" s="2129"/>
      <c r="X86" s="2281"/>
      <c r="Y86" s="2128"/>
      <c r="Z86" s="2125"/>
      <c r="AA86" s="2124">
        <v>44965</v>
      </c>
      <c r="AB86" s="2127" t="s">
        <v>14173</v>
      </c>
      <c r="AC86" s="2154"/>
      <c r="AD86" s="2154"/>
    </row>
    <row r="87" spans="1:30">
      <c r="A87" s="2140">
        <v>44823</v>
      </c>
      <c r="B87" s="2143" t="s">
        <v>13094</v>
      </c>
      <c r="C87" s="2141" t="s">
        <v>69</v>
      </c>
      <c r="D87" s="2141" t="s">
        <v>70</v>
      </c>
      <c r="E87" s="2141" t="s">
        <v>13949</v>
      </c>
      <c r="F87" s="2142" t="s">
        <v>13095</v>
      </c>
      <c r="G87" s="2141">
        <v>3</v>
      </c>
      <c r="H87" s="2261" t="s">
        <v>13099</v>
      </c>
      <c r="I87" s="2261" t="s">
        <v>15369</v>
      </c>
      <c r="J87" s="2141" t="s">
        <v>3265</v>
      </c>
      <c r="K87" s="2141"/>
      <c r="L87" s="2144">
        <v>2357197</v>
      </c>
      <c r="M87" s="2141" t="s">
        <v>251</v>
      </c>
      <c r="N87" s="2140">
        <v>44847</v>
      </c>
      <c r="O87" s="2140">
        <v>44880</v>
      </c>
      <c r="P87" s="2140">
        <v>44916</v>
      </c>
      <c r="Q87" s="2143" t="s">
        <v>13761</v>
      </c>
      <c r="R87" s="2141"/>
      <c r="S87" s="2144">
        <v>1698102.24</v>
      </c>
      <c r="T87" s="2144">
        <v>1867912.46</v>
      </c>
      <c r="U87" s="2145"/>
      <c r="V87" s="2145"/>
      <c r="W87" s="2145"/>
      <c r="X87" s="2146">
        <v>44916</v>
      </c>
      <c r="Y87" s="2144" t="s">
        <v>13801</v>
      </c>
      <c r="Z87" s="2140">
        <v>44952</v>
      </c>
      <c r="AA87" s="2140">
        <v>44965</v>
      </c>
      <c r="AB87" s="2140">
        <v>46412</v>
      </c>
      <c r="AC87" s="2154"/>
      <c r="AD87" s="2154"/>
    </row>
    <row r="88" spans="1:30">
      <c r="A88" s="2140">
        <v>44823</v>
      </c>
      <c r="B88" s="2143" t="s">
        <v>13094</v>
      </c>
      <c r="C88" s="2141" t="s">
        <v>69</v>
      </c>
      <c r="D88" s="2141" t="s">
        <v>70</v>
      </c>
      <c r="E88" s="2141" t="s">
        <v>13949</v>
      </c>
      <c r="F88" s="2142" t="s">
        <v>13095</v>
      </c>
      <c r="G88" s="2141">
        <v>4</v>
      </c>
      <c r="H88" s="2143" t="s">
        <v>13096</v>
      </c>
      <c r="I88" s="2143" t="s">
        <v>15369</v>
      </c>
      <c r="J88" s="2141" t="s">
        <v>3265</v>
      </c>
      <c r="K88" s="2141"/>
      <c r="L88" s="2144">
        <v>494433</v>
      </c>
      <c r="M88" s="2141" t="s">
        <v>251</v>
      </c>
      <c r="N88" s="2140">
        <v>44847</v>
      </c>
      <c r="O88" s="2140">
        <v>44880</v>
      </c>
      <c r="P88" s="2140">
        <v>44916</v>
      </c>
      <c r="Q88" s="2143" t="s">
        <v>13761</v>
      </c>
      <c r="R88" s="2141"/>
      <c r="S88" s="2144">
        <v>491961.28</v>
      </c>
      <c r="T88" s="2144">
        <v>541157.41</v>
      </c>
      <c r="U88" s="2145"/>
      <c r="V88" s="2145"/>
      <c r="W88" s="2145"/>
      <c r="X88" s="2146">
        <v>44916</v>
      </c>
      <c r="Y88" s="2144" t="s">
        <v>13802</v>
      </c>
      <c r="Z88" s="2140">
        <v>44952</v>
      </c>
      <c r="AA88" s="2140">
        <v>44965</v>
      </c>
      <c r="AB88" s="2140">
        <v>46412</v>
      </c>
      <c r="AC88" s="2154"/>
      <c r="AD88" s="2154"/>
    </row>
    <row r="89" spans="1:30">
      <c r="A89" s="2140">
        <v>44823</v>
      </c>
      <c r="B89" s="2143" t="s">
        <v>13094</v>
      </c>
      <c r="C89" s="2141" t="s">
        <v>69</v>
      </c>
      <c r="D89" s="2141" t="s">
        <v>70</v>
      </c>
      <c r="E89" s="2141" t="s">
        <v>13949</v>
      </c>
      <c r="F89" s="2142" t="s">
        <v>13095</v>
      </c>
      <c r="G89" s="2141">
        <v>6</v>
      </c>
      <c r="H89" s="2261" t="s">
        <v>13101</v>
      </c>
      <c r="I89" s="2261" t="s">
        <v>15369</v>
      </c>
      <c r="J89" s="2141" t="s">
        <v>3265</v>
      </c>
      <c r="K89" s="2141"/>
      <c r="L89" s="2144">
        <v>141314</v>
      </c>
      <c r="M89" s="2141" t="s">
        <v>251</v>
      </c>
      <c r="N89" s="2140">
        <v>44847</v>
      </c>
      <c r="O89" s="2140">
        <v>44880</v>
      </c>
      <c r="P89" s="2140">
        <v>44916</v>
      </c>
      <c r="Q89" s="2143" t="s">
        <v>13761</v>
      </c>
      <c r="R89" s="2141"/>
      <c r="S89" s="2144">
        <v>122897.36</v>
      </c>
      <c r="T89" s="2144">
        <v>135187.1</v>
      </c>
      <c r="U89" s="2145"/>
      <c r="V89" s="2145"/>
      <c r="W89" s="2145"/>
      <c r="X89" s="2146">
        <v>44916</v>
      </c>
      <c r="Y89" s="2144" t="s">
        <v>13803</v>
      </c>
      <c r="Z89" s="2140">
        <v>44952</v>
      </c>
      <c r="AA89" s="2140">
        <v>44965</v>
      </c>
      <c r="AB89" s="2140">
        <v>46412</v>
      </c>
      <c r="AC89" s="2154"/>
      <c r="AD89" s="2154"/>
    </row>
    <row r="90" spans="1:30">
      <c r="A90" s="365">
        <v>44823</v>
      </c>
      <c r="B90" s="3192" t="s">
        <v>13103</v>
      </c>
      <c r="C90" s="3191" t="s">
        <v>69</v>
      </c>
      <c r="D90" s="3191" t="s">
        <v>70</v>
      </c>
      <c r="E90" s="3191" t="s">
        <v>13949</v>
      </c>
      <c r="F90" s="175" t="s">
        <v>13104</v>
      </c>
      <c r="G90" s="3191"/>
      <c r="H90" s="3192"/>
      <c r="I90" s="3192" t="s">
        <v>15369</v>
      </c>
      <c r="J90" s="3191" t="s">
        <v>5244</v>
      </c>
      <c r="K90" s="3191"/>
      <c r="L90" s="364">
        <v>9072548</v>
      </c>
      <c r="M90" s="3191" t="s">
        <v>251</v>
      </c>
      <c r="N90" s="365">
        <v>44854</v>
      </c>
      <c r="O90" s="365">
        <v>44938</v>
      </c>
      <c r="P90" s="365">
        <v>44956</v>
      </c>
      <c r="Q90" s="3192" t="s">
        <v>13761</v>
      </c>
      <c r="R90" s="3191"/>
      <c r="S90" s="364">
        <v>8380469.4000000004</v>
      </c>
      <c r="T90" s="364">
        <v>9218516.3399999999</v>
      </c>
      <c r="U90" s="1473"/>
      <c r="V90" s="1473"/>
      <c r="W90" s="1473"/>
      <c r="X90" s="681">
        <v>44956</v>
      </c>
      <c r="Y90" s="364" t="s">
        <v>14118</v>
      </c>
      <c r="Z90" s="365">
        <v>44980</v>
      </c>
      <c r="AA90" s="365">
        <v>44981</v>
      </c>
      <c r="AB90" s="365">
        <v>46440</v>
      </c>
      <c r="AC90" s="576"/>
      <c r="AD90" s="576"/>
    </row>
    <row r="91" spans="1:30">
      <c r="A91" s="2124">
        <v>44830</v>
      </c>
      <c r="B91" s="2127" t="s">
        <v>13143</v>
      </c>
      <c r="C91" s="2125" t="s">
        <v>2434</v>
      </c>
      <c r="D91" s="2125" t="s">
        <v>219</v>
      </c>
      <c r="E91" s="2125" t="s">
        <v>13952</v>
      </c>
      <c r="F91" s="2126" t="s">
        <v>13144</v>
      </c>
      <c r="G91" s="2125"/>
      <c r="H91" s="2127"/>
      <c r="I91" s="2127" t="s">
        <v>242</v>
      </c>
      <c r="J91" s="2125" t="s">
        <v>3271</v>
      </c>
      <c r="K91" s="2125"/>
      <c r="L91" s="2128">
        <v>600000</v>
      </c>
      <c r="M91" s="2125" t="s">
        <v>251</v>
      </c>
      <c r="N91" s="2124">
        <v>44838</v>
      </c>
      <c r="O91" s="2124">
        <v>44931</v>
      </c>
      <c r="P91" s="2125"/>
      <c r="Q91" s="2127"/>
      <c r="R91" s="2125"/>
      <c r="S91" s="2128"/>
      <c r="T91" s="2128"/>
      <c r="U91" s="2129"/>
      <c r="V91" s="2129"/>
      <c r="W91" s="2129"/>
      <c r="X91" s="2128"/>
      <c r="Y91" s="2128"/>
      <c r="Z91" s="2125"/>
      <c r="AA91" s="2124">
        <v>45043</v>
      </c>
      <c r="AB91" s="2125" t="s">
        <v>14551</v>
      </c>
      <c r="AC91" s="2085"/>
      <c r="AD91" s="2085"/>
    </row>
    <row r="92" spans="1:30">
      <c r="A92" s="365">
        <v>44831</v>
      </c>
      <c r="B92" s="3192" t="s">
        <v>13160</v>
      </c>
      <c r="C92" s="3191" t="s">
        <v>2434</v>
      </c>
      <c r="D92" s="3191" t="s">
        <v>219</v>
      </c>
      <c r="E92" s="3191" t="s">
        <v>13952</v>
      </c>
      <c r="F92" s="175" t="s">
        <v>13161</v>
      </c>
      <c r="G92" s="3191"/>
      <c r="H92" s="3192"/>
      <c r="I92" s="3192" t="s">
        <v>15369</v>
      </c>
      <c r="J92" s="3191" t="s">
        <v>3271</v>
      </c>
      <c r="K92" s="3191"/>
      <c r="L92" s="364">
        <v>558500</v>
      </c>
      <c r="M92" s="3191" t="s">
        <v>251</v>
      </c>
      <c r="N92" s="365">
        <v>44838</v>
      </c>
      <c r="O92" s="365">
        <v>44872</v>
      </c>
      <c r="P92" s="365">
        <v>44939</v>
      </c>
      <c r="Q92" s="3192" t="s">
        <v>2776</v>
      </c>
      <c r="R92" s="3191"/>
      <c r="S92" s="364">
        <v>431578.51</v>
      </c>
      <c r="T92" s="364">
        <v>522210</v>
      </c>
      <c r="U92" s="1473"/>
      <c r="V92" s="1473"/>
      <c r="W92" s="1473"/>
      <c r="X92" s="681">
        <v>44939</v>
      </c>
      <c r="Y92" s="364" t="s">
        <v>14013</v>
      </c>
      <c r="Z92" s="365">
        <v>44970</v>
      </c>
      <c r="AA92" s="365">
        <v>44988</v>
      </c>
      <c r="AB92" s="365">
        <v>45054</v>
      </c>
      <c r="AC92" s="423"/>
      <c r="AD92" s="423"/>
    </row>
    <row r="93" spans="1:30">
      <c r="A93" s="2140">
        <v>44834</v>
      </c>
      <c r="B93" s="2143" t="s">
        <v>13176</v>
      </c>
      <c r="C93" s="2141" t="s">
        <v>69</v>
      </c>
      <c r="D93" s="2141" t="s">
        <v>70</v>
      </c>
      <c r="E93" s="2141" t="s">
        <v>13949</v>
      </c>
      <c r="F93" s="2142" t="s">
        <v>13177</v>
      </c>
      <c r="G93" s="2141"/>
      <c r="H93" s="2143"/>
      <c r="I93" s="2143" t="s">
        <v>15369</v>
      </c>
      <c r="J93" s="2141" t="s">
        <v>671</v>
      </c>
      <c r="K93" s="2141"/>
      <c r="L93" s="2144">
        <v>4407468</v>
      </c>
      <c r="M93" s="2141" t="s">
        <v>251</v>
      </c>
      <c r="N93" s="2140">
        <v>44910</v>
      </c>
      <c r="O93" s="2140">
        <v>44979</v>
      </c>
      <c r="P93" s="2140">
        <v>45015</v>
      </c>
      <c r="Q93" s="2143" t="s">
        <v>14491</v>
      </c>
      <c r="R93" s="2141"/>
      <c r="S93" s="2144">
        <v>4407468</v>
      </c>
      <c r="T93" s="2144">
        <v>4848214.8</v>
      </c>
      <c r="U93" s="2145"/>
      <c r="V93" s="2145"/>
      <c r="W93" s="2145"/>
      <c r="X93" s="2146">
        <v>45015</v>
      </c>
      <c r="Y93" s="2144" t="s">
        <v>14515</v>
      </c>
      <c r="Z93" s="2140">
        <v>45065</v>
      </c>
      <c r="AA93" s="2140">
        <v>45069</v>
      </c>
      <c r="AB93" s="2140">
        <v>46160</v>
      </c>
      <c r="AC93" s="2085"/>
      <c r="AD93" s="2085"/>
    </row>
    <row r="94" spans="1:30">
      <c r="A94" s="2141" t="s">
        <v>3585</v>
      </c>
      <c r="B94" s="2143" t="s">
        <v>13182</v>
      </c>
      <c r="C94" s="2141" t="s">
        <v>69</v>
      </c>
      <c r="D94" s="2141" t="s">
        <v>70</v>
      </c>
      <c r="E94" s="2141" t="s">
        <v>13949</v>
      </c>
      <c r="F94" s="2142" t="s">
        <v>13183</v>
      </c>
      <c r="G94" s="2141"/>
      <c r="H94" s="2143"/>
      <c r="I94" s="2143" t="s">
        <v>15369</v>
      </c>
      <c r="J94" s="2141" t="s">
        <v>68</v>
      </c>
      <c r="K94" s="2141"/>
      <c r="L94" s="2144">
        <v>345461</v>
      </c>
      <c r="M94" s="2141" t="s">
        <v>251</v>
      </c>
      <c r="N94" s="2140">
        <v>44847</v>
      </c>
      <c r="O94" s="2140">
        <v>44880</v>
      </c>
      <c r="P94" s="2140">
        <v>44999</v>
      </c>
      <c r="Q94" s="2143" t="s">
        <v>576</v>
      </c>
      <c r="R94" s="2141"/>
      <c r="S94" s="2144">
        <v>341940</v>
      </c>
      <c r="T94" s="2144">
        <v>376134</v>
      </c>
      <c r="U94" s="2145"/>
      <c r="V94" s="2145"/>
      <c r="W94" s="2145"/>
      <c r="X94" s="2146">
        <v>44999</v>
      </c>
      <c r="Y94" s="2144" t="s">
        <v>14369</v>
      </c>
      <c r="Z94" s="2140">
        <v>45044</v>
      </c>
      <c r="AA94" s="2140">
        <v>45049</v>
      </c>
      <c r="AB94" s="2140">
        <v>47022</v>
      </c>
      <c r="AC94" s="2154"/>
      <c r="AD94" s="2154"/>
    </row>
    <row r="95" spans="1:30">
      <c r="A95" s="2140">
        <v>44840</v>
      </c>
      <c r="B95" s="2143" t="s">
        <v>13208</v>
      </c>
      <c r="C95" s="2141" t="s">
        <v>69</v>
      </c>
      <c r="D95" s="2141" t="s">
        <v>70</v>
      </c>
      <c r="E95" s="2141" t="s">
        <v>13949</v>
      </c>
      <c r="F95" s="2142" t="s">
        <v>13213</v>
      </c>
      <c r="G95" s="2141"/>
      <c r="H95" s="2143"/>
      <c r="I95" s="2143" t="s">
        <v>15369</v>
      </c>
      <c r="J95" s="2141" t="s">
        <v>93</v>
      </c>
      <c r="K95" s="2141"/>
      <c r="L95" s="2144">
        <v>7827081</v>
      </c>
      <c r="M95" s="2141" t="s">
        <v>251</v>
      </c>
      <c r="N95" s="2140">
        <v>44855</v>
      </c>
      <c r="O95" s="2140">
        <v>44893</v>
      </c>
      <c r="P95" s="2140">
        <v>44911</v>
      </c>
      <c r="Q95" s="2143" t="s">
        <v>13761</v>
      </c>
      <c r="R95" s="2141"/>
      <c r="S95" s="2144">
        <v>7827080.6699999999</v>
      </c>
      <c r="T95" s="2144">
        <v>8609788.7400000002</v>
      </c>
      <c r="U95" s="2145"/>
      <c r="V95" s="2145"/>
      <c r="W95" s="2145"/>
      <c r="X95" s="2146">
        <v>44911</v>
      </c>
      <c r="Y95" s="2144" t="s">
        <v>13775</v>
      </c>
      <c r="Z95" s="2140">
        <v>44936</v>
      </c>
      <c r="AA95" s="2140">
        <v>44945</v>
      </c>
      <c r="AB95" s="2140">
        <v>46031</v>
      </c>
      <c r="AC95" s="2154"/>
      <c r="AD95" s="2154"/>
    </row>
    <row r="96" spans="1:30">
      <c r="A96" s="2124">
        <v>44840</v>
      </c>
      <c r="B96" s="2127" t="s">
        <v>13210</v>
      </c>
      <c r="C96" s="2125" t="s">
        <v>69</v>
      </c>
      <c r="D96" s="2125" t="s">
        <v>70</v>
      </c>
      <c r="E96" s="2125" t="s">
        <v>13949</v>
      </c>
      <c r="F96" s="2126" t="s">
        <v>13215</v>
      </c>
      <c r="G96" s="2125">
        <v>1</v>
      </c>
      <c r="H96" s="2126" t="s">
        <v>13216</v>
      </c>
      <c r="I96" s="2126" t="s">
        <v>242</v>
      </c>
      <c r="J96" s="2125" t="s">
        <v>3633</v>
      </c>
      <c r="K96" s="2125"/>
      <c r="L96" s="2128">
        <v>527402</v>
      </c>
      <c r="M96" s="2125" t="s">
        <v>216</v>
      </c>
      <c r="N96" s="2124">
        <v>44928</v>
      </c>
      <c r="O96" s="2124">
        <v>44945</v>
      </c>
      <c r="P96" s="2125"/>
      <c r="Q96" s="2136" t="s">
        <v>9147</v>
      </c>
      <c r="R96" s="2125"/>
      <c r="S96" s="2128"/>
      <c r="T96" s="2128"/>
      <c r="U96" s="2129"/>
      <c r="V96" s="2129"/>
      <c r="W96" s="2129"/>
      <c r="X96" s="2128"/>
      <c r="Y96" s="2128"/>
      <c r="Z96" s="2125"/>
      <c r="AA96" s="2124">
        <v>44957</v>
      </c>
      <c r="AB96" s="2127" t="s">
        <v>14003</v>
      </c>
      <c r="AC96" s="2799"/>
      <c r="AD96" s="2799"/>
    </row>
    <row r="97" spans="1:30">
      <c r="A97" s="2582">
        <v>44840</v>
      </c>
      <c r="B97" s="2514" t="s">
        <v>13211</v>
      </c>
      <c r="C97" s="2583" t="s">
        <v>69</v>
      </c>
      <c r="D97" s="2583" t="s">
        <v>70</v>
      </c>
      <c r="E97" s="2583" t="s">
        <v>13949</v>
      </c>
      <c r="F97" s="2584" t="s">
        <v>13215</v>
      </c>
      <c r="G97" s="2583">
        <v>2</v>
      </c>
      <c r="H97" s="2584" t="s">
        <v>13217</v>
      </c>
      <c r="I97" s="2914" t="s">
        <v>242</v>
      </c>
      <c r="J97" s="2583" t="s">
        <v>3633</v>
      </c>
      <c r="K97" s="2583"/>
      <c r="L97" s="2585">
        <v>1081093</v>
      </c>
      <c r="M97" s="2583" t="s">
        <v>216</v>
      </c>
      <c r="N97" s="2582">
        <v>44928</v>
      </c>
      <c r="O97" s="2582">
        <v>44957</v>
      </c>
      <c r="P97" s="2583"/>
      <c r="Q97" s="2586" t="s">
        <v>14347</v>
      </c>
      <c r="R97" s="2583"/>
      <c r="S97" s="2585"/>
      <c r="T97" s="2585"/>
      <c r="U97" s="2775"/>
      <c r="V97" s="2775"/>
      <c r="W97" s="2775"/>
      <c r="X97" s="2585"/>
      <c r="Y97" s="2585"/>
      <c r="Z97" s="2583"/>
      <c r="AA97" s="2582">
        <v>45044</v>
      </c>
      <c r="AB97" s="2583" t="s">
        <v>14539</v>
      </c>
      <c r="AC97" s="2799"/>
      <c r="AD97" s="2799"/>
    </row>
    <row r="98" spans="1:30" ht="15.75" thickBot="1">
      <c r="A98" s="2565">
        <v>44840</v>
      </c>
      <c r="B98" s="2746" t="s">
        <v>13212</v>
      </c>
      <c r="C98" s="2747" t="s">
        <v>69</v>
      </c>
      <c r="D98" s="2747" t="s">
        <v>70</v>
      </c>
      <c r="E98" s="2747" t="s">
        <v>13949</v>
      </c>
      <c r="F98" s="2883" t="s">
        <v>13215</v>
      </c>
      <c r="G98" s="2747">
        <v>3</v>
      </c>
      <c r="H98" s="2883" t="s">
        <v>13218</v>
      </c>
      <c r="I98" s="2912" t="s">
        <v>15369</v>
      </c>
      <c r="J98" s="2747" t="s">
        <v>3633</v>
      </c>
      <c r="K98" s="2747"/>
      <c r="L98" s="2608">
        <v>990009</v>
      </c>
      <c r="M98" s="2747" t="s">
        <v>216</v>
      </c>
      <c r="N98" s="2565">
        <v>44928</v>
      </c>
      <c r="O98" s="2565">
        <v>44957</v>
      </c>
      <c r="P98" s="2565">
        <v>45012</v>
      </c>
      <c r="Q98" s="2746" t="s">
        <v>13761</v>
      </c>
      <c r="R98" s="2747"/>
      <c r="S98" s="2608">
        <v>990007.47</v>
      </c>
      <c r="T98" s="2608">
        <v>1089008.22</v>
      </c>
      <c r="U98" s="2749"/>
      <c r="V98" s="2749"/>
      <c r="W98" s="2749"/>
      <c r="X98" s="2750">
        <v>45012</v>
      </c>
      <c r="Y98" s="2608" t="s">
        <v>14490</v>
      </c>
      <c r="Z98" s="2565">
        <v>45042</v>
      </c>
      <c r="AA98" s="2565">
        <v>45044</v>
      </c>
      <c r="AB98" s="2565">
        <v>46137</v>
      </c>
      <c r="AC98" s="2107"/>
      <c r="AD98" s="2107"/>
    </row>
    <row r="99" spans="1:30" ht="15.75" thickTop="1">
      <c r="A99" s="470">
        <v>44840</v>
      </c>
      <c r="B99" s="654" t="s">
        <v>13233</v>
      </c>
      <c r="C99" s="466" t="s">
        <v>837</v>
      </c>
      <c r="D99" s="466" t="s">
        <v>4969</v>
      </c>
      <c r="E99" s="466" t="s">
        <v>13950</v>
      </c>
      <c r="F99" s="467" t="s">
        <v>13234</v>
      </c>
      <c r="G99" s="466"/>
      <c r="H99" s="654"/>
      <c r="I99" s="654" t="s">
        <v>242</v>
      </c>
      <c r="J99" s="466" t="s">
        <v>13235</v>
      </c>
      <c r="K99" s="466"/>
      <c r="L99" s="472">
        <v>564800000</v>
      </c>
      <c r="M99" s="466" t="s">
        <v>251</v>
      </c>
      <c r="N99" s="470">
        <v>44888</v>
      </c>
      <c r="O99" s="470">
        <v>44945</v>
      </c>
      <c r="P99" s="466"/>
      <c r="Q99" s="471" t="s">
        <v>9147</v>
      </c>
      <c r="R99" s="2014" t="s">
        <v>15002</v>
      </c>
      <c r="S99" s="472"/>
      <c r="T99" s="472"/>
      <c r="U99" s="1516"/>
      <c r="V99" s="1516"/>
      <c r="W99" s="1516"/>
      <c r="X99" s="472"/>
      <c r="Y99" s="472"/>
      <c r="Z99" s="466"/>
      <c r="AA99" s="470">
        <v>44953</v>
      </c>
      <c r="AB99" s="654" t="s">
        <v>14002</v>
      </c>
      <c r="AC99" s="576"/>
      <c r="AD99" s="576"/>
    </row>
    <row r="100" spans="1:30" ht="45.75" thickBot="1">
      <c r="A100" s="411" t="s">
        <v>3585</v>
      </c>
      <c r="B100" s="630" t="s">
        <v>13264</v>
      </c>
      <c r="C100" s="411" t="s">
        <v>9694</v>
      </c>
      <c r="D100" s="411" t="s">
        <v>4969</v>
      </c>
      <c r="E100" s="411" t="s">
        <v>13948</v>
      </c>
      <c r="F100" s="412" t="s">
        <v>13265</v>
      </c>
      <c r="G100" s="411"/>
      <c r="H100" s="630"/>
      <c r="I100" s="630" t="s">
        <v>15369</v>
      </c>
      <c r="J100" s="411" t="s">
        <v>7069</v>
      </c>
      <c r="K100" s="411" t="s">
        <v>10874</v>
      </c>
      <c r="L100" s="417">
        <v>6061532</v>
      </c>
      <c r="M100" s="411" t="s">
        <v>251</v>
      </c>
      <c r="N100" s="416">
        <v>44866</v>
      </c>
      <c r="O100" s="416">
        <v>44900</v>
      </c>
      <c r="P100" s="416">
        <v>44917</v>
      </c>
      <c r="Q100" s="630" t="s">
        <v>13750</v>
      </c>
      <c r="R100" s="411"/>
      <c r="S100" s="417">
        <v>6315732</v>
      </c>
      <c r="T100" s="417">
        <v>7642035.7199999997</v>
      </c>
      <c r="U100" s="1480"/>
      <c r="V100" s="1480"/>
      <c r="W100" s="1480"/>
      <c r="X100" s="513">
        <v>44917</v>
      </c>
      <c r="Y100" s="1553" t="s">
        <v>13805</v>
      </c>
      <c r="Z100" s="416">
        <v>44938</v>
      </c>
      <c r="AA100" s="416">
        <v>44946</v>
      </c>
      <c r="AB100" s="416">
        <f>Z100+28</f>
        <v>44966</v>
      </c>
      <c r="AC100" s="406"/>
      <c r="AD100" s="406"/>
    </row>
    <row r="101" spans="1:30" ht="15.75" thickTop="1">
      <c r="A101" s="474">
        <v>44845</v>
      </c>
      <c r="B101" s="1420" t="s">
        <v>13267</v>
      </c>
      <c r="C101" s="453" t="s">
        <v>2434</v>
      </c>
      <c r="D101" s="453" t="s">
        <v>3204</v>
      </c>
      <c r="E101" s="453" t="s">
        <v>13952</v>
      </c>
      <c r="F101" s="473" t="s">
        <v>13268</v>
      </c>
      <c r="G101" s="453">
        <v>1</v>
      </c>
      <c r="H101" s="1420" t="s">
        <v>13271</v>
      </c>
      <c r="I101" s="1420" t="s">
        <v>15369</v>
      </c>
      <c r="J101" s="453" t="s">
        <v>642</v>
      </c>
      <c r="K101" s="453"/>
      <c r="L101" s="457">
        <v>1275260</v>
      </c>
      <c r="M101" s="453" t="s">
        <v>251</v>
      </c>
      <c r="N101" s="474">
        <v>44873</v>
      </c>
      <c r="O101" s="474">
        <v>44907</v>
      </c>
      <c r="P101" s="474">
        <v>44943</v>
      </c>
      <c r="Q101" s="1420" t="s">
        <v>6592</v>
      </c>
      <c r="R101" s="453"/>
      <c r="S101" s="457">
        <v>1275260</v>
      </c>
      <c r="T101" s="457">
        <v>1543064</v>
      </c>
      <c r="U101" s="1474"/>
      <c r="V101" s="1474"/>
      <c r="W101" s="1474"/>
      <c r="X101" s="570">
        <v>44943</v>
      </c>
      <c r="Y101" s="457" t="s">
        <v>14020</v>
      </c>
      <c r="Z101" s="474">
        <v>44981</v>
      </c>
      <c r="AA101" s="474">
        <v>45006</v>
      </c>
      <c r="AB101" s="474">
        <v>46441</v>
      </c>
      <c r="AC101" s="425"/>
      <c r="AD101" s="425"/>
    </row>
    <row r="102" spans="1:30">
      <c r="A102" s="2140">
        <v>44845</v>
      </c>
      <c r="B102" s="2143" t="s">
        <v>13269</v>
      </c>
      <c r="C102" s="2141" t="s">
        <v>2434</v>
      </c>
      <c r="D102" s="2141" t="s">
        <v>3204</v>
      </c>
      <c r="E102" s="2141" t="s">
        <v>13952</v>
      </c>
      <c r="F102" s="2142" t="s">
        <v>13268</v>
      </c>
      <c r="G102" s="2141">
        <v>2</v>
      </c>
      <c r="H102" s="2143" t="s">
        <v>13272</v>
      </c>
      <c r="I102" s="2143" t="s">
        <v>15369</v>
      </c>
      <c r="J102" s="2141" t="s">
        <v>642</v>
      </c>
      <c r="K102" s="2141"/>
      <c r="L102" s="2144">
        <v>2860000</v>
      </c>
      <c r="M102" s="2141" t="s">
        <v>251</v>
      </c>
      <c r="N102" s="2140">
        <v>44873</v>
      </c>
      <c r="O102" s="2140">
        <v>44907</v>
      </c>
      <c r="P102" s="2140">
        <v>44943</v>
      </c>
      <c r="Q102" s="2143" t="s">
        <v>6592</v>
      </c>
      <c r="R102" s="2141"/>
      <c r="S102" s="2144">
        <v>2967535</v>
      </c>
      <c r="T102" s="2144">
        <v>3590720.7</v>
      </c>
      <c r="U102" s="2145"/>
      <c r="V102" s="2145"/>
      <c r="W102" s="2145"/>
      <c r="X102" s="2146">
        <v>44943</v>
      </c>
      <c r="Y102" s="2144" t="s">
        <v>14021</v>
      </c>
      <c r="Z102" s="2140">
        <v>44981</v>
      </c>
      <c r="AA102" s="2140">
        <v>45006</v>
      </c>
      <c r="AB102" s="2140">
        <v>46441</v>
      </c>
      <c r="AC102" s="2154"/>
      <c r="AD102" s="2154"/>
    </row>
    <row r="103" spans="1:30" ht="15.75" thickBot="1">
      <c r="A103" s="2117">
        <v>44845</v>
      </c>
      <c r="B103" s="2120" t="s">
        <v>13270</v>
      </c>
      <c r="C103" s="2118" t="s">
        <v>2434</v>
      </c>
      <c r="D103" s="2118" t="s">
        <v>3204</v>
      </c>
      <c r="E103" s="2118" t="s">
        <v>13952</v>
      </c>
      <c r="F103" s="2119" t="s">
        <v>13268</v>
      </c>
      <c r="G103" s="2118">
        <v>3</v>
      </c>
      <c r="H103" s="2120" t="s">
        <v>13273</v>
      </c>
      <c r="I103" s="2120" t="s">
        <v>15369</v>
      </c>
      <c r="J103" s="2118" t="s">
        <v>642</v>
      </c>
      <c r="K103" s="2118"/>
      <c r="L103" s="2121">
        <v>5280000</v>
      </c>
      <c r="M103" s="2118" t="s">
        <v>251</v>
      </c>
      <c r="N103" s="2117">
        <v>44873</v>
      </c>
      <c r="O103" s="2117">
        <v>44907</v>
      </c>
      <c r="P103" s="2117">
        <v>44943</v>
      </c>
      <c r="Q103" s="2120" t="s">
        <v>6592</v>
      </c>
      <c r="R103" s="2118"/>
      <c r="S103" s="2121">
        <v>5280000</v>
      </c>
      <c r="T103" s="2121">
        <v>6388800</v>
      </c>
      <c r="U103" s="2122"/>
      <c r="V103" s="2122"/>
      <c r="W103" s="2122"/>
      <c r="X103" s="2123">
        <v>44943</v>
      </c>
      <c r="Y103" s="2121" t="s">
        <v>14022</v>
      </c>
      <c r="Z103" s="2117">
        <v>44981</v>
      </c>
      <c r="AA103" s="2117">
        <v>45006</v>
      </c>
      <c r="AB103" s="2117">
        <v>46441</v>
      </c>
      <c r="AC103" s="2297"/>
      <c r="AD103" s="2297"/>
    </row>
    <row r="104" spans="1:30" ht="45.75" thickTop="1">
      <c r="A104" s="365">
        <v>44845</v>
      </c>
      <c r="B104" s="3192" t="s">
        <v>13275</v>
      </c>
      <c r="C104" s="3191" t="s">
        <v>58</v>
      </c>
      <c r="D104" s="3191" t="s">
        <v>4969</v>
      </c>
      <c r="E104" s="3191" t="s">
        <v>13948</v>
      </c>
      <c r="F104" s="175" t="s">
        <v>13276</v>
      </c>
      <c r="G104" s="3191"/>
      <c r="H104" s="3192"/>
      <c r="I104" s="3192" t="s">
        <v>15369</v>
      </c>
      <c r="J104" s="3191" t="s">
        <v>1159</v>
      </c>
      <c r="K104" s="3191" t="s">
        <v>13277</v>
      </c>
      <c r="L104" s="364">
        <v>6250000</v>
      </c>
      <c r="M104" s="3191" t="s">
        <v>251</v>
      </c>
      <c r="N104" s="365">
        <v>44853</v>
      </c>
      <c r="O104" s="365">
        <v>44916</v>
      </c>
      <c r="P104" s="365">
        <v>44971</v>
      </c>
      <c r="Q104" s="3192" t="s">
        <v>10244</v>
      </c>
      <c r="R104" s="3191"/>
      <c r="S104" s="364">
        <v>5840000</v>
      </c>
      <c r="T104" s="364">
        <v>7066400</v>
      </c>
      <c r="U104" s="1473"/>
      <c r="V104" s="1473"/>
      <c r="W104" s="1473"/>
      <c r="X104" s="681">
        <v>44971</v>
      </c>
      <c r="Y104" s="1417" t="s">
        <v>14192</v>
      </c>
      <c r="Z104" s="365">
        <v>45056</v>
      </c>
      <c r="AA104" s="365">
        <v>45062</v>
      </c>
      <c r="AB104" s="365">
        <v>45112</v>
      </c>
      <c r="AC104" s="423"/>
      <c r="AD104" s="423"/>
    </row>
    <row r="105" spans="1:30" ht="30">
      <c r="A105" s="2141" t="s">
        <v>3585</v>
      </c>
      <c r="B105" s="2143" t="s">
        <v>13295</v>
      </c>
      <c r="C105" s="2141" t="s">
        <v>9694</v>
      </c>
      <c r="D105" s="2141" t="s">
        <v>4969</v>
      </c>
      <c r="E105" s="2141" t="s">
        <v>13948</v>
      </c>
      <c r="F105" s="2142" t="s">
        <v>13296</v>
      </c>
      <c r="G105" s="2141"/>
      <c r="H105" s="2143"/>
      <c r="I105" s="2143" t="s">
        <v>15369</v>
      </c>
      <c r="J105" s="2141" t="s">
        <v>476</v>
      </c>
      <c r="K105" s="2141" t="s">
        <v>11452</v>
      </c>
      <c r="L105" s="2144">
        <v>713670</v>
      </c>
      <c r="M105" s="2141" t="s">
        <v>251</v>
      </c>
      <c r="N105" s="2140">
        <v>44866</v>
      </c>
      <c r="O105" s="2140">
        <v>44900</v>
      </c>
      <c r="P105" s="2140">
        <v>44914</v>
      </c>
      <c r="Q105" s="2143" t="s">
        <v>4478</v>
      </c>
      <c r="R105" s="2141"/>
      <c r="S105" s="2144">
        <v>847150</v>
      </c>
      <c r="T105" s="2144">
        <v>1025051.5</v>
      </c>
      <c r="U105" s="2145"/>
      <c r="V105" s="2145"/>
      <c r="W105" s="2145"/>
      <c r="X105" s="2146">
        <v>44914</v>
      </c>
      <c r="Y105" s="2260" t="s">
        <v>13777</v>
      </c>
      <c r="Z105" s="2140">
        <v>44932</v>
      </c>
      <c r="AA105" s="2140">
        <v>44939</v>
      </c>
      <c r="AB105" s="2140">
        <v>44985</v>
      </c>
      <c r="AC105" s="2154"/>
      <c r="AD105" s="2154"/>
    </row>
    <row r="106" spans="1:30" ht="15.75" thickBot="1">
      <c r="A106" s="2140">
        <v>44840</v>
      </c>
      <c r="B106" s="2143" t="s">
        <v>13307</v>
      </c>
      <c r="C106" s="2141" t="s">
        <v>1032</v>
      </c>
      <c r="D106" s="2141" t="s">
        <v>361</v>
      </c>
      <c r="E106" s="2141" t="s">
        <v>13950</v>
      </c>
      <c r="F106" s="2142" t="s">
        <v>13308</v>
      </c>
      <c r="G106" s="2141"/>
      <c r="H106" s="2143"/>
      <c r="I106" s="2143" t="s">
        <v>15369</v>
      </c>
      <c r="J106" s="2141" t="s">
        <v>13309</v>
      </c>
      <c r="K106" s="2141"/>
      <c r="L106" s="2144">
        <v>2700000</v>
      </c>
      <c r="M106" s="2141" t="s">
        <v>216</v>
      </c>
      <c r="N106" s="2140">
        <v>44865</v>
      </c>
      <c r="O106" s="2140">
        <v>44881</v>
      </c>
      <c r="P106" s="2140">
        <v>44904</v>
      </c>
      <c r="Q106" s="2143" t="s">
        <v>13675</v>
      </c>
      <c r="R106" s="2141"/>
      <c r="S106" s="2144">
        <v>4144950</v>
      </c>
      <c r="T106" s="2144">
        <v>5015389.5</v>
      </c>
      <c r="U106" s="2145"/>
      <c r="V106" s="2145"/>
      <c r="W106" s="2145"/>
      <c r="X106" s="2146">
        <v>44904</v>
      </c>
      <c r="Y106" s="2144" t="s">
        <v>13749</v>
      </c>
      <c r="Z106" s="2140">
        <v>44951</v>
      </c>
      <c r="AA106" s="2140">
        <v>44953</v>
      </c>
      <c r="AB106" s="2140">
        <v>46411</v>
      </c>
      <c r="AC106" s="2154"/>
      <c r="AD106" s="2154"/>
    </row>
    <row r="107" spans="1:30" ht="15.75" thickTop="1">
      <c r="A107" s="474">
        <v>44852</v>
      </c>
      <c r="B107" s="1420" t="s">
        <v>13346</v>
      </c>
      <c r="C107" s="453" t="s">
        <v>69</v>
      </c>
      <c r="D107" s="453" t="s">
        <v>70</v>
      </c>
      <c r="E107" s="453" t="s">
        <v>13949</v>
      </c>
      <c r="F107" s="473" t="s">
        <v>11152</v>
      </c>
      <c r="G107" s="453">
        <v>1</v>
      </c>
      <c r="H107" s="1420" t="s">
        <v>6104</v>
      </c>
      <c r="I107" s="1420" t="s">
        <v>15369</v>
      </c>
      <c r="J107" s="453" t="s">
        <v>2173</v>
      </c>
      <c r="K107" s="453"/>
      <c r="L107" s="457">
        <v>5058793</v>
      </c>
      <c r="M107" s="453" t="s">
        <v>251</v>
      </c>
      <c r="N107" s="474">
        <v>44880</v>
      </c>
      <c r="O107" s="474">
        <v>44922</v>
      </c>
      <c r="P107" s="474">
        <v>44979</v>
      </c>
      <c r="Q107" s="1420" t="s">
        <v>8542</v>
      </c>
      <c r="R107" s="453"/>
      <c r="S107" s="457">
        <v>5022675.3600000003</v>
      </c>
      <c r="T107" s="457">
        <v>5524942.9000000004</v>
      </c>
      <c r="U107" s="1474"/>
      <c r="V107" s="1474"/>
      <c r="W107" s="1474"/>
      <c r="X107" s="570">
        <v>44979</v>
      </c>
      <c r="Y107" s="457" t="s">
        <v>14327</v>
      </c>
      <c r="Z107" s="474">
        <v>45013</v>
      </c>
      <c r="AA107" s="474">
        <v>45022</v>
      </c>
      <c r="AB107" s="474">
        <v>46108</v>
      </c>
      <c r="AC107" s="425"/>
      <c r="AD107" s="425"/>
    </row>
    <row r="108" spans="1:30">
      <c r="A108" s="2140">
        <v>44852</v>
      </c>
      <c r="B108" s="2143" t="s">
        <v>13347</v>
      </c>
      <c r="C108" s="2141" t="s">
        <v>69</v>
      </c>
      <c r="D108" s="2141" t="s">
        <v>70</v>
      </c>
      <c r="E108" s="2141" t="s">
        <v>13949</v>
      </c>
      <c r="F108" s="2142" t="s">
        <v>11152</v>
      </c>
      <c r="G108" s="2141">
        <v>2</v>
      </c>
      <c r="H108" s="2143" t="s">
        <v>13352</v>
      </c>
      <c r="I108" s="2143" t="s">
        <v>15369</v>
      </c>
      <c r="J108" s="2141" t="s">
        <v>2173</v>
      </c>
      <c r="K108" s="2141"/>
      <c r="L108" s="2144">
        <v>1899304</v>
      </c>
      <c r="M108" s="2141" t="s">
        <v>251</v>
      </c>
      <c r="N108" s="2140">
        <v>44880</v>
      </c>
      <c r="O108" s="2140">
        <v>44922</v>
      </c>
      <c r="P108" s="2140">
        <v>44979</v>
      </c>
      <c r="Q108" s="2143" t="s">
        <v>5566</v>
      </c>
      <c r="R108" s="2141"/>
      <c r="S108" s="2144">
        <v>1839423.15</v>
      </c>
      <c r="T108" s="2144">
        <v>2023365.47</v>
      </c>
      <c r="U108" s="2145"/>
      <c r="V108" s="2145"/>
      <c r="W108" s="2145"/>
      <c r="X108" s="2146">
        <v>44979</v>
      </c>
      <c r="Y108" s="2144" t="s">
        <v>14328</v>
      </c>
      <c r="Z108" s="2140">
        <v>45013</v>
      </c>
      <c r="AA108" s="2140">
        <v>45022</v>
      </c>
      <c r="AB108" s="2140">
        <v>46108</v>
      </c>
      <c r="AC108" s="2154"/>
      <c r="AD108" s="2154"/>
    </row>
    <row r="109" spans="1:30">
      <c r="A109" s="2140">
        <v>44852</v>
      </c>
      <c r="B109" s="2143" t="s">
        <v>13348</v>
      </c>
      <c r="C109" s="2141" t="s">
        <v>69</v>
      </c>
      <c r="D109" s="2141" t="s">
        <v>70</v>
      </c>
      <c r="E109" s="2141" t="s">
        <v>13949</v>
      </c>
      <c r="F109" s="2142" t="s">
        <v>11152</v>
      </c>
      <c r="G109" s="2141">
        <v>3</v>
      </c>
      <c r="H109" s="2143" t="s">
        <v>13353</v>
      </c>
      <c r="I109" s="2143" t="s">
        <v>15369</v>
      </c>
      <c r="J109" s="2141" t="s">
        <v>2173</v>
      </c>
      <c r="K109" s="2141"/>
      <c r="L109" s="2144">
        <v>8976917</v>
      </c>
      <c r="M109" s="2141" t="s">
        <v>251</v>
      </c>
      <c r="N109" s="2140">
        <v>44880</v>
      </c>
      <c r="O109" s="2140">
        <v>44922</v>
      </c>
      <c r="P109" s="2140">
        <v>44979</v>
      </c>
      <c r="Q109" s="2143" t="s">
        <v>8542</v>
      </c>
      <c r="R109" s="2141"/>
      <c r="S109" s="2144">
        <v>8757751.5700000003</v>
      </c>
      <c r="T109" s="2144">
        <v>9633526.7300000004</v>
      </c>
      <c r="U109" s="2145"/>
      <c r="V109" s="2145"/>
      <c r="W109" s="2145"/>
      <c r="X109" s="2146">
        <v>44979</v>
      </c>
      <c r="Y109" s="2144" t="s">
        <v>14329</v>
      </c>
      <c r="Z109" s="2140">
        <v>45013</v>
      </c>
      <c r="AA109" s="2140">
        <v>45022</v>
      </c>
      <c r="AB109" s="2140">
        <v>46108</v>
      </c>
      <c r="AC109" s="2154"/>
      <c r="AD109" s="2154"/>
    </row>
    <row r="110" spans="1:30">
      <c r="A110" s="2140">
        <v>44852</v>
      </c>
      <c r="B110" s="2143" t="s">
        <v>13349</v>
      </c>
      <c r="C110" s="2141" t="s">
        <v>69</v>
      </c>
      <c r="D110" s="2141" t="s">
        <v>70</v>
      </c>
      <c r="E110" s="2141" t="s">
        <v>13949</v>
      </c>
      <c r="F110" s="2142" t="s">
        <v>11152</v>
      </c>
      <c r="G110" s="2141">
        <v>4</v>
      </c>
      <c r="H110" s="2143" t="s">
        <v>6106</v>
      </c>
      <c r="I110" s="2143" t="s">
        <v>15369</v>
      </c>
      <c r="J110" s="2141" t="s">
        <v>2173</v>
      </c>
      <c r="K110" s="2141"/>
      <c r="L110" s="2144">
        <v>53664539</v>
      </c>
      <c r="M110" s="2141" t="s">
        <v>251</v>
      </c>
      <c r="N110" s="2140">
        <v>44880</v>
      </c>
      <c r="O110" s="2140">
        <v>44922</v>
      </c>
      <c r="P110" s="2140">
        <v>44979</v>
      </c>
      <c r="Q110" s="2143" t="s">
        <v>1646</v>
      </c>
      <c r="R110" s="2141"/>
      <c r="S110" s="2144">
        <v>53177997.539999999</v>
      </c>
      <c r="T110" s="2144">
        <v>58495797.289999999</v>
      </c>
      <c r="U110" s="2145"/>
      <c r="V110" s="2145"/>
      <c r="W110" s="2145"/>
      <c r="X110" s="2146">
        <v>44979</v>
      </c>
      <c r="Y110" s="2144" t="s">
        <v>14330</v>
      </c>
      <c r="Z110" s="2140">
        <v>45013</v>
      </c>
      <c r="AA110" s="2140">
        <v>45022</v>
      </c>
      <c r="AB110" s="2140">
        <v>46108</v>
      </c>
      <c r="AC110" s="2154"/>
      <c r="AD110" s="2154"/>
    </row>
    <row r="111" spans="1:30" ht="15.75" thickBot="1">
      <c r="A111" s="2117">
        <v>44852</v>
      </c>
      <c r="B111" s="2120" t="s">
        <v>13350</v>
      </c>
      <c r="C111" s="2118" t="s">
        <v>69</v>
      </c>
      <c r="D111" s="2118" t="s">
        <v>70</v>
      </c>
      <c r="E111" s="2118" t="s">
        <v>13949</v>
      </c>
      <c r="F111" s="2119" t="s">
        <v>11152</v>
      </c>
      <c r="G111" s="2118">
        <v>5</v>
      </c>
      <c r="H111" s="2120" t="s">
        <v>13354</v>
      </c>
      <c r="I111" s="2120" t="s">
        <v>15369</v>
      </c>
      <c r="J111" s="2118" t="s">
        <v>2173</v>
      </c>
      <c r="K111" s="2118"/>
      <c r="L111" s="2121">
        <v>223438</v>
      </c>
      <c r="M111" s="2118" t="s">
        <v>251</v>
      </c>
      <c r="N111" s="2117">
        <v>44880</v>
      </c>
      <c r="O111" s="2117">
        <v>44922</v>
      </c>
      <c r="P111" s="2117">
        <v>44979</v>
      </c>
      <c r="Q111" s="2120" t="s">
        <v>576</v>
      </c>
      <c r="R111" s="2118"/>
      <c r="S111" s="2121">
        <v>145062.09</v>
      </c>
      <c r="T111" s="2121">
        <v>159568.29999999999</v>
      </c>
      <c r="U111" s="2122"/>
      <c r="V111" s="2122"/>
      <c r="W111" s="2122"/>
      <c r="X111" s="2123">
        <v>44979</v>
      </c>
      <c r="Y111" s="2121" t="s">
        <v>14331</v>
      </c>
      <c r="Z111" s="2117">
        <v>45013</v>
      </c>
      <c r="AA111" s="2117">
        <v>45022</v>
      </c>
      <c r="AB111" s="2117">
        <v>46108</v>
      </c>
      <c r="AC111" s="2297"/>
      <c r="AD111" s="2297"/>
    </row>
    <row r="112" spans="1:30" ht="15.75" thickTop="1">
      <c r="A112" s="474">
        <v>44854</v>
      </c>
      <c r="B112" s="1420" t="s">
        <v>13356</v>
      </c>
      <c r="C112" s="453" t="s">
        <v>69</v>
      </c>
      <c r="D112" s="453" t="s">
        <v>70</v>
      </c>
      <c r="E112" s="453" t="s">
        <v>13949</v>
      </c>
      <c r="F112" s="473" t="s">
        <v>13357</v>
      </c>
      <c r="G112" s="453">
        <v>1</v>
      </c>
      <c r="H112" s="1420" t="s">
        <v>13358</v>
      </c>
      <c r="I112" s="1420" t="s">
        <v>15369</v>
      </c>
      <c r="J112" s="453" t="s">
        <v>93</v>
      </c>
      <c r="K112" s="453"/>
      <c r="L112" s="457">
        <v>8676720</v>
      </c>
      <c r="M112" s="453" t="s">
        <v>251</v>
      </c>
      <c r="N112" s="474">
        <v>44868</v>
      </c>
      <c r="O112" s="474">
        <v>44950</v>
      </c>
      <c r="P112" s="474">
        <v>45000</v>
      </c>
      <c r="Q112" s="1420" t="s">
        <v>13761</v>
      </c>
      <c r="R112" s="453"/>
      <c r="S112" s="457">
        <v>8676720</v>
      </c>
      <c r="T112" s="457">
        <v>9544392</v>
      </c>
      <c r="U112" s="1474"/>
      <c r="V112" s="1474"/>
      <c r="W112" s="1474"/>
      <c r="X112" s="570">
        <v>45000</v>
      </c>
      <c r="Y112" s="457" t="s">
        <v>14372</v>
      </c>
      <c r="Z112" s="474">
        <v>45040</v>
      </c>
      <c r="AA112" s="474">
        <v>45051</v>
      </c>
      <c r="AB112" s="474">
        <v>46135</v>
      </c>
      <c r="AC112" s="583"/>
      <c r="AD112" s="583"/>
    </row>
    <row r="113" spans="1:30">
      <c r="A113" s="2124">
        <v>44854</v>
      </c>
      <c r="B113" s="654" t="s">
        <v>13363</v>
      </c>
      <c r="C113" s="2125" t="s">
        <v>69</v>
      </c>
      <c r="D113" s="2125" t="s">
        <v>70</v>
      </c>
      <c r="E113" s="2125" t="s">
        <v>13949</v>
      </c>
      <c r="F113" s="2126" t="s">
        <v>13357</v>
      </c>
      <c r="G113" s="2125">
        <v>2</v>
      </c>
      <c r="H113" s="2697" t="s">
        <v>13359</v>
      </c>
      <c r="I113" s="2697" t="s">
        <v>242</v>
      </c>
      <c r="J113" s="2125" t="s">
        <v>93</v>
      </c>
      <c r="K113" s="2125"/>
      <c r="L113" s="2871">
        <v>4983532</v>
      </c>
      <c r="M113" s="2125" t="s">
        <v>251</v>
      </c>
      <c r="N113" s="2124">
        <v>44868</v>
      </c>
      <c r="O113" s="2124">
        <v>44950</v>
      </c>
      <c r="P113" s="2125"/>
      <c r="Q113" s="2136" t="s">
        <v>304</v>
      </c>
      <c r="R113" s="2125"/>
      <c r="S113" s="2128"/>
      <c r="T113" s="2128"/>
      <c r="U113" s="2129"/>
      <c r="V113" s="2129"/>
      <c r="W113" s="2129"/>
      <c r="X113" s="2128"/>
      <c r="Y113" s="2128"/>
      <c r="Z113" s="2125"/>
      <c r="AA113" s="2124">
        <v>45022</v>
      </c>
      <c r="AB113" s="2127" t="s">
        <v>14326</v>
      </c>
      <c r="AC113" s="2085"/>
      <c r="AD113" s="2085"/>
    </row>
    <row r="114" spans="1:30">
      <c r="A114" s="2124">
        <v>44854</v>
      </c>
      <c r="B114" s="654" t="s">
        <v>13364</v>
      </c>
      <c r="C114" s="2125" t="s">
        <v>69</v>
      </c>
      <c r="D114" s="2125" t="s">
        <v>70</v>
      </c>
      <c r="E114" s="2125" t="s">
        <v>13949</v>
      </c>
      <c r="F114" s="2126" t="s">
        <v>13357</v>
      </c>
      <c r="G114" s="2125">
        <v>3</v>
      </c>
      <c r="H114" s="2127" t="s">
        <v>13360</v>
      </c>
      <c r="I114" s="2127" t="s">
        <v>242</v>
      </c>
      <c r="J114" s="2125" t="s">
        <v>93</v>
      </c>
      <c r="K114" s="2125"/>
      <c r="L114" s="2871">
        <v>2967085</v>
      </c>
      <c r="M114" s="2125" t="s">
        <v>251</v>
      </c>
      <c r="N114" s="2124">
        <v>44868</v>
      </c>
      <c r="O114" s="2124">
        <v>44950</v>
      </c>
      <c r="P114" s="2125"/>
      <c r="Q114" s="2136" t="s">
        <v>304</v>
      </c>
      <c r="R114" s="2125"/>
      <c r="S114" s="2128"/>
      <c r="T114" s="2128"/>
      <c r="U114" s="2129"/>
      <c r="V114" s="2129"/>
      <c r="W114" s="2129"/>
      <c r="X114" s="2128"/>
      <c r="Y114" s="2128"/>
      <c r="Z114" s="2125"/>
      <c r="AA114" s="2124">
        <v>45022</v>
      </c>
      <c r="AB114" s="2127" t="s">
        <v>14326</v>
      </c>
      <c r="AC114" s="2085"/>
      <c r="AD114" s="2085"/>
    </row>
    <row r="115" spans="1:30">
      <c r="A115" s="2140">
        <v>44854</v>
      </c>
      <c r="B115" s="3192" t="s">
        <v>13365</v>
      </c>
      <c r="C115" s="2141" t="s">
        <v>69</v>
      </c>
      <c r="D115" s="2141" t="s">
        <v>70</v>
      </c>
      <c r="E115" s="2141" t="s">
        <v>13949</v>
      </c>
      <c r="F115" s="2142" t="s">
        <v>13357</v>
      </c>
      <c r="G115" s="2141">
        <v>4</v>
      </c>
      <c r="H115" s="2143" t="s">
        <v>13361</v>
      </c>
      <c r="I115" s="2143" t="s">
        <v>15369</v>
      </c>
      <c r="J115" s="2141" t="s">
        <v>93</v>
      </c>
      <c r="K115" s="2141"/>
      <c r="L115" s="2880">
        <v>59449458</v>
      </c>
      <c r="M115" s="2141" t="s">
        <v>251</v>
      </c>
      <c r="N115" s="2140">
        <v>44868</v>
      </c>
      <c r="O115" s="2140">
        <v>44950</v>
      </c>
      <c r="P115" s="2140">
        <v>45000</v>
      </c>
      <c r="Q115" s="2143" t="s">
        <v>1318</v>
      </c>
      <c r="R115" s="2141"/>
      <c r="S115" s="2144">
        <v>59352554.880000003</v>
      </c>
      <c r="T115" s="2144">
        <v>65287810.359999999</v>
      </c>
      <c r="U115" s="2145"/>
      <c r="V115" s="2145"/>
      <c r="W115" s="2145"/>
      <c r="X115" s="2146">
        <v>45000</v>
      </c>
      <c r="Y115" s="2144" t="s">
        <v>14373</v>
      </c>
      <c r="Z115" s="2140">
        <v>45040</v>
      </c>
      <c r="AA115" s="2140">
        <v>45051</v>
      </c>
      <c r="AB115" s="2140">
        <v>46135</v>
      </c>
      <c r="AC115" s="2085"/>
      <c r="AD115" s="2085"/>
    </row>
    <row r="116" spans="1:30" ht="15.75" thickBot="1">
      <c r="A116" s="2117">
        <v>44854</v>
      </c>
      <c r="B116" s="1983" t="s">
        <v>13366</v>
      </c>
      <c r="C116" s="2118" t="s">
        <v>69</v>
      </c>
      <c r="D116" s="2118" t="s">
        <v>70</v>
      </c>
      <c r="E116" s="2118" t="s">
        <v>13949</v>
      </c>
      <c r="F116" s="2119" t="s">
        <v>13357</v>
      </c>
      <c r="G116" s="2118">
        <v>5</v>
      </c>
      <c r="H116" s="2120" t="s">
        <v>13362</v>
      </c>
      <c r="I116" s="2120" t="s">
        <v>15369</v>
      </c>
      <c r="J116" s="2118" t="s">
        <v>93</v>
      </c>
      <c r="K116" s="2118"/>
      <c r="L116" s="2881">
        <v>6610119</v>
      </c>
      <c r="M116" s="2118" t="s">
        <v>251</v>
      </c>
      <c r="N116" s="2117">
        <v>44868</v>
      </c>
      <c r="O116" s="2117">
        <v>44950</v>
      </c>
      <c r="P116" s="2117">
        <v>45000</v>
      </c>
      <c r="Q116" s="2120" t="s">
        <v>1319</v>
      </c>
      <c r="R116" s="2118"/>
      <c r="S116" s="2121">
        <v>6676221.5999999996</v>
      </c>
      <c r="T116" s="2121">
        <v>7343843.7599999998</v>
      </c>
      <c r="U116" s="2122"/>
      <c r="V116" s="2122"/>
      <c r="W116" s="2122"/>
      <c r="X116" s="2123">
        <v>45000</v>
      </c>
      <c r="Y116" s="2121" t="s">
        <v>14374</v>
      </c>
      <c r="Z116" s="2117">
        <v>45040</v>
      </c>
      <c r="AA116" s="2117">
        <v>45051</v>
      </c>
      <c r="AB116" s="2117">
        <v>46135</v>
      </c>
      <c r="AC116" s="2089"/>
      <c r="AD116" s="2089"/>
    </row>
    <row r="117" spans="1:30" ht="16.5" thickTop="1" thickBot="1">
      <c r="A117" s="2140">
        <v>44854</v>
      </c>
      <c r="B117" s="2143" t="s">
        <v>13370</v>
      </c>
      <c r="C117" s="2141" t="s">
        <v>69</v>
      </c>
      <c r="D117" s="2141" t="s">
        <v>70</v>
      </c>
      <c r="E117" s="2141" t="s">
        <v>13949</v>
      </c>
      <c r="F117" s="2142" t="s">
        <v>13371</v>
      </c>
      <c r="G117" s="2141"/>
      <c r="H117" s="2143"/>
      <c r="I117" s="2143" t="s">
        <v>15369</v>
      </c>
      <c r="J117" s="2141" t="s">
        <v>3436</v>
      </c>
      <c r="K117" s="2141"/>
      <c r="L117" s="2144">
        <v>5129564</v>
      </c>
      <c r="M117" s="2141" t="s">
        <v>251</v>
      </c>
      <c r="N117" s="2140">
        <v>44865</v>
      </c>
      <c r="O117" s="2140">
        <v>44900</v>
      </c>
      <c r="P117" s="2140">
        <v>44957</v>
      </c>
      <c r="Q117" s="2143" t="s">
        <v>13761</v>
      </c>
      <c r="R117" s="2141"/>
      <c r="S117" s="2144">
        <v>3817908</v>
      </c>
      <c r="T117" s="2144">
        <v>4199698.8</v>
      </c>
      <c r="U117" s="2145"/>
      <c r="V117" s="2145"/>
      <c r="W117" s="2145"/>
      <c r="X117" s="2146">
        <v>44957</v>
      </c>
      <c r="Y117" s="2144" t="s">
        <v>14128</v>
      </c>
      <c r="Z117" s="2140">
        <v>44999</v>
      </c>
      <c r="AA117" s="2140">
        <v>45006</v>
      </c>
      <c r="AB117" s="2140">
        <v>46094</v>
      </c>
      <c r="AC117" s="2154"/>
      <c r="AD117" s="2154"/>
    </row>
    <row r="118" spans="1:30" ht="15.75" thickTop="1">
      <c r="A118" s="474">
        <v>44855</v>
      </c>
      <c r="B118" s="1420" t="s">
        <v>13388</v>
      </c>
      <c r="C118" s="453" t="s">
        <v>2434</v>
      </c>
      <c r="D118" s="453" t="s">
        <v>219</v>
      </c>
      <c r="E118" s="453" t="s">
        <v>13952</v>
      </c>
      <c r="F118" s="473" t="s">
        <v>13385</v>
      </c>
      <c r="G118" s="453">
        <v>1</v>
      </c>
      <c r="H118" s="1420" t="s">
        <v>13386</v>
      </c>
      <c r="I118" s="1420" t="s">
        <v>15369</v>
      </c>
      <c r="J118" s="453" t="s">
        <v>3271</v>
      </c>
      <c r="K118" s="453"/>
      <c r="L118" s="457">
        <v>623700</v>
      </c>
      <c r="M118" s="453" t="s">
        <v>251</v>
      </c>
      <c r="N118" s="474">
        <v>44865</v>
      </c>
      <c r="O118" s="474">
        <v>44900</v>
      </c>
      <c r="P118" s="474">
        <v>44938</v>
      </c>
      <c r="Q118" s="1420" t="s">
        <v>993</v>
      </c>
      <c r="R118" s="453"/>
      <c r="S118" s="457">
        <v>687864.45</v>
      </c>
      <c r="T118" s="457">
        <v>832315.98</v>
      </c>
      <c r="U118" s="1474"/>
      <c r="V118" s="1474"/>
      <c r="W118" s="1474"/>
      <c r="X118" s="570">
        <v>44938</v>
      </c>
      <c r="Y118" s="457" t="s">
        <v>14010</v>
      </c>
      <c r="Z118" s="474">
        <v>45051</v>
      </c>
      <c r="AA118" s="474">
        <v>45072</v>
      </c>
      <c r="AB118" s="474">
        <v>45107</v>
      </c>
      <c r="AC118" s="425"/>
      <c r="AD118" s="425"/>
    </row>
    <row r="119" spans="1:30">
      <c r="A119" s="2140">
        <v>44858</v>
      </c>
      <c r="B119" s="2143" t="s">
        <v>13401</v>
      </c>
      <c r="C119" s="2141" t="s">
        <v>1032</v>
      </c>
      <c r="D119" s="2141" t="s">
        <v>361</v>
      </c>
      <c r="E119" s="2141" t="s">
        <v>13948</v>
      </c>
      <c r="F119" s="2142" t="s">
        <v>13402</v>
      </c>
      <c r="G119" s="2141"/>
      <c r="H119" s="2143"/>
      <c r="I119" s="2143" t="s">
        <v>15369</v>
      </c>
      <c r="J119" s="2141" t="s">
        <v>13403</v>
      </c>
      <c r="K119" s="2141"/>
      <c r="L119" s="2144">
        <v>3000000</v>
      </c>
      <c r="M119" s="2141" t="s">
        <v>251</v>
      </c>
      <c r="N119" s="2140">
        <v>44869</v>
      </c>
      <c r="O119" s="2140">
        <v>44902</v>
      </c>
      <c r="P119" s="2140">
        <v>44911</v>
      </c>
      <c r="Q119" s="2143" t="s">
        <v>5070</v>
      </c>
      <c r="R119" s="2141"/>
      <c r="S119" s="2144">
        <v>2564878</v>
      </c>
      <c r="T119" s="2144">
        <v>3103502.38</v>
      </c>
      <c r="U119" s="2145"/>
      <c r="V119" s="2145"/>
      <c r="W119" s="2145"/>
      <c r="X119" s="2146">
        <v>44911</v>
      </c>
      <c r="Y119" s="2144" t="s">
        <v>13773</v>
      </c>
      <c r="Z119" s="2140">
        <v>44980</v>
      </c>
      <c r="AA119" s="2140">
        <v>44992</v>
      </c>
      <c r="AB119" s="2141"/>
      <c r="AC119" s="2154"/>
      <c r="AD119" s="2154"/>
    </row>
    <row r="120" spans="1:30">
      <c r="A120" s="2140">
        <v>44859</v>
      </c>
      <c r="B120" s="2143" t="s">
        <v>13411</v>
      </c>
      <c r="C120" s="2141" t="s">
        <v>52</v>
      </c>
      <c r="D120" s="2141" t="s">
        <v>7503</v>
      </c>
      <c r="E120" s="2141" t="s">
        <v>13950</v>
      </c>
      <c r="F120" s="2142" t="s">
        <v>13412</v>
      </c>
      <c r="G120" s="2141"/>
      <c r="H120" s="2143"/>
      <c r="I120" s="2143" t="s">
        <v>15369</v>
      </c>
      <c r="J120" s="2141" t="s">
        <v>12595</v>
      </c>
      <c r="K120" s="2140" t="s">
        <v>13413</v>
      </c>
      <c r="L120" s="2144">
        <v>1950000</v>
      </c>
      <c r="M120" s="2141" t="s">
        <v>216</v>
      </c>
      <c r="N120" s="2140">
        <v>44867</v>
      </c>
      <c r="O120" s="2140">
        <v>44888</v>
      </c>
      <c r="P120" s="2140">
        <v>44900</v>
      </c>
      <c r="Q120" s="2143" t="s">
        <v>3500</v>
      </c>
      <c r="R120" s="2141"/>
      <c r="S120" s="2144">
        <v>1850000</v>
      </c>
      <c r="T120" s="2144">
        <v>2238500</v>
      </c>
      <c r="U120" s="2145"/>
      <c r="V120" s="2145"/>
      <c r="W120" s="2145"/>
      <c r="X120" s="2146">
        <v>44900</v>
      </c>
      <c r="Y120" s="2144" t="s">
        <v>13702</v>
      </c>
      <c r="Z120" s="2140">
        <v>44938</v>
      </c>
      <c r="AA120" s="2140">
        <v>44953</v>
      </c>
      <c r="AB120" s="2141"/>
      <c r="AC120" s="2154"/>
      <c r="AD120" s="2154"/>
    </row>
    <row r="121" spans="1:30">
      <c r="A121" s="2140">
        <v>44861</v>
      </c>
      <c r="B121" s="2143" t="s">
        <v>13429</v>
      </c>
      <c r="C121" s="2141" t="s">
        <v>69</v>
      </c>
      <c r="D121" s="2141" t="s">
        <v>70</v>
      </c>
      <c r="E121" s="2673" t="s">
        <v>13949</v>
      </c>
      <c r="F121" s="2519" t="s">
        <v>13430</v>
      </c>
      <c r="G121" s="2141"/>
      <c r="H121" s="2143"/>
      <c r="I121" s="2143" t="s">
        <v>15369</v>
      </c>
      <c r="J121" s="2141" t="s">
        <v>3435</v>
      </c>
      <c r="K121" s="2141"/>
      <c r="L121" s="2144">
        <v>11105554</v>
      </c>
      <c r="M121" s="2141" t="s">
        <v>251</v>
      </c>
      <c r="N121" s="2140">
        <v>44880</v>
      </c>
      <c r="O121" s="2140">
        <v>44914</v>
      </c>
      <c r="P121" s="2140">
        <v>44979</v>
      </c>
      <c r="Q121" s="2143" t="s">
        <v>13761</v>
      </c>
      <c r="R121" s="2141"/>
      <c r="S121" s="2144">
        <v>10928846.310000001</v>
      </c>
      <c r="T121" s="2144">
        <v>12021730.939999999</v>
      </c>
      <c r="U121" s="2145"/>
      <c r="V121" s="2145"/>
      <c r="W121" s="2145"/>
      <c r="X121" s="2146">
        <v>44979</v>
      </c>
      <c r="Y121" s="2144" t="s">
        <v>14240</v>
      </c>
      <c r="Z121" s="2140">
        <v>45015</v>
      </c>
      <c r="AA121" s="2140">
        <v>45020</v>
      </c>
      <c r="AB121" s="2140">
        <v>46110</v>
      </c>
      <c r="AC121" s="2154"/>
      <c r="AD121" s="2154"/>
    </row>
    <row r="122" spans="1:30">
      <c r="A122" s="2140" t="s">
        <v>3585</v>
      </c>
      <c r="B122" s="2143" t="s">
        <v>13431</v>
      </c>
      <c r="C122" s="2141" t="s">
        <v>69</v>
      </c>
      <c r="D122" s="2141" t="s">
        <v>70</v>
      </c>
      <c r="E122" s="2141" t="s">
        <v>13949</v>
      </c>
      <c r="F122" s="2142" t="s">
        <v>13432</v>
      </c>
      <c r="G122" s="2141"/>
      <c r="H122" s="2143"/>
      <c r="I122" s="2143" t="s">
        <v>15369</v>
      </c>
      <c r="J122" s="2141" t="s">
        <v>7790</v>
      </c>
      <c r="K122" s="2141"/>
      <c r="L122" s="2144">
        <v>714307</v>
      </c>
      <c r="M122" s="2141" t="s">
        <v>251</v>
      </c>
      <c r="N122" s="2140">
        <v>44890</v>
      </c>
      <c r="O122" s="2140">
        <v>44922</v>
      </c>
      <c r="P122" s="2140">
        <v>44942</v>
      </c>
      <c r="Q122" s="2143" t="s">
        <v>576</v>
      </c>
      <c r="R122" s="2141"/>
      <c r="S122" s="2144">
        <v>705909.21</v>
      </c>
      <c r="T122" s="2144">
        <v>776500.13</v>
      </c>
      <c r="U122" s="2145"/>
      <c r="V122" s="2145"/>
      <c r="W122" s="2145"/>
      <c r="X122" s="2146">
        <v>44942</v>
      </c>
      <c r="Y122" s="2144" t="s">
        <v>14018</v>
      </c>
      <c r="Z122" s="2140">
        <v>44971</v>
      </c>
      <c r="AA122" s="2140">
        <v>44972</v>
      </c>
      <c r="AB122" s="2140">
        <v>45389</v>
      </c>
      <c r="AC122" s="2154"/>
      <c r="AD122" s="2154"/>
    </row>
    <row r="123" spans="1:30">
      <c r="A123" s="416">
        <v>44865</v>
      </c>
      <c r="B123" s="630" t="s">
        <v>13437</v>
      </c>
      <c r="C123" s="411" t="s">
        <v>69</v>
      </c>
      <c r="D123" s="411" t="s">
        <v>70</v>
      </c>
      <c r="E123" s="411" t="s">
        <v>13949</v>
      </c>
      <c r="F123" s="412" t="s">
        <v>13438</v>
      </c>
      <c r="G123" s="411"/>
      <c r="H123" s="630"/>
      <c r="I123" s="630" t="s">
        <v>15369</v>
      </c>
      <c r="J123" s="411" t="s">
        <v>816</v>
      </c>
      <c r="K123" s="411"/>
      <c r="L123" s="417">
        <v>3589589</v>
      </c>
      <c r="M123" s="411" t="s">
        <v>251</v>
      </c>
      <c r="N123" s="416">
        <v>44904</v>
      </c>
      <c r="O123" s="416">
        <v>44939</v>
      </c>
      <c r="P123" s="416">
        <v>44957</v>
      </c>
      <c r="Q123" s="630" t="s">
        <v>13761</v>
      </c>
      <c r="R123" s="411"/>
      <c r="S123" s="417">
        <v>3453301.44</v>
      </c>
      <c r="T123" s="417">
        <v>3798631.58</v>
      </c>
      <c r="U123" s="1480"/>
      <c r="V123" s="1480"/>
      <c r="W123" s="1480"/>
      <c r="X123" s="513">
        <v>44957</v>
      </c>
      <c r="Y123" s="417" t="s">
        <v>14129</v>
      </c>
      <c r="Z123" s="416">
        <v>44999</v>
      </c>
      <c r="AA123" s="416">
        <v>45007</v>
      </c>
      <c r="AB123" s="416">
        <v>46094</v>
      </c>
      <c r="AC123" s="1437"/>
      <c r="AD123" s="1437"/>
    </row>
    <row r="124" spans="1:30">
      <c r="A124" s="2141" t="s">
        <v>3585</v>
      </c>
      <c r="B124" s="2143" t="s">
        <v>13467</v>
      </c>
      <c r="C124" s="2141" t="s">
        <v>1032</v>
      </c>
      <c r="D124" s="2141" t="s">
        <v>361</v>
      </c>
      <c r="E124" s="2141" t="s">
        <v>13948</v>
      </c>
      <c r="F124" s="2142" t="s">
        <v>13315</v>
      </c>
      <c r="G124" s="2141"/>
      <c r="H124" s="2143"/>
      <c r="I124" s="2143" t="s">
        <v>15369</v>
      </c>
      <c r="J124" s="2141" t="s">
        <v>13316</v>
      </c>
      <c r="K124" s="2141" t="s">
        <v>13317</v>
      </c>
      <c r="L124" s="2144">
        <v>2150000</v>
      </c>
      <c r="M124" s="2141" t="s">
        <v>216</v>
      </c>
      <c r="N124" s="2140">
        <v>44880</v>
      </c>
      <c r="O124" s="2140">
        <v>44901</v>
      </c>
      <c r="P124" s="2140">
        <v>44910</v>
      </c>
      <c r="Q124" s="2143" t="s">
        <v>342</v>
      </c>
      <c r="R124" s="2141"/>
      <c r="S124" s="2144">
        <v>2152300</v>
      </c>
      <c r="T124" s="2144">
        <v>2604283</v>
      </c>
      <c r="U124" s="2145"/>
      <c r="V124" s="2145"/>
      <c r="W124" s="2145"/>
      <c r="X124" s="2146">
        <v>44910</v>
      </c>
      <c r="Y124" s="2144" t="s">
        <v>13763</v>
      </c>
      <c r="Z124" s="2140">
        <v>44944</v>
      </c>
      <c r="AA124" s="2140">
        <v>44951</v>
      </c>
      <c r="AB124" s="2140">
        <v>45084</v>
      </c>
      <c r="AC124" s="2154"/>
      <c r="AD124" s="2154"/>
    </row>
    <row r="125" spans="1:30" ht="30">
      <c r="A125" s="2140">
        <v>44868</v>
      </c>
      <c r="B125" s="2143" t="s">
        <v>13483</v>
      </c>
      <c r="C125" s="2141" t="s">
        <v>69</v>
      </c>
      <c r="D125" s="2141" t="s">
        <v>70</v>
      </c>
      <c r="E125" s="2141" t="s">
        <v>13949</v>
      </c>
      <c r="F125" s="2142" t="s">
        <v>13484</v>
      </c>
      <c r="G125" s="2141"/>
      <c r="H125" s="2143"/>
      <c r="I125" s="2143" t="s">
        <v>15369</v>
      </c>
      <c r="J125" s="2141" t="s">
        <v>42</v>
      </c>
      <c r="K125" s="2141"/>
      <c r="L125" s="2144">
        <v>52373000</v>
      </c>
      <c r="M125" s="2141" t="s">
        <v>251</v>
      </c>
      <c r="N125" s="2140">
        <v>44883</v>
      </c>
      <c r="O125" s="2140">
        <v>44943</v>
      </c>
      <c r="P125" s="2140">
        <v>44971</v>
      </c>
      <c r="Q125" s="2143" t="s">
        <v>1319</v>
      </c>
      <c r="R125" s="2141"/>
      <c r="S125" s="2144">
        <v>52373000</v>
      </c>
      <c r="T125" s="2144">
        <v>63371330</v>
      </c>
      <c r="U125" s="2145"/>
      <c r="V125" s="2145"/>
      <c r="W125" s="2145"/>
      <c r="X125" s="2146">
        <v>44971</v>
      </c>
      <c r="Y125" s="2260" t="s">
        <v>14193</v>
      </c>
      <c r="Z125" s="2140">
        <v>44991</v>
      </c>
      <c r="AA125" s="2140">
        <v>44994</v>
      </c>
      <c r="AB125" s="2140">
        <v>47912</v>
      </c>
      <c r="AC125" s="2085"/>
      <c r="AD125" s="2085"/>
    </row>
    <row r="126" spans="1:30" ht="30">
      <c r="A126" s="2141" t="s">
        <v>3585</v>
      </c>
      <c r="B126" s="2143" t="s">
        <v>13488</v>
      </c>
      <c r="C126" s="2141" t="s">
        <v>2434</v>
      </c>
      <c r="D126" s="2141" t="s">
        <v>219</v>
      </c>
      <c r="E126" s="2141" t="s">
        <v>13948</v>
      </c>
      <c r="F126" s="2142" t="s">
        <v>13368</v>
      </c>
      <c r="G126" s="2141"/>
      <c r="H126" s="2143"/>
      <c r="I126" s="2143" t="s">
        <v>15369</v>
      </c>
      <c r="J126" s="2141" t="s">
        <v>275</v>
      </c>
      <c r="K126" s="2141"/>
      <c r="L126" s="2144">
        <v>2873340</v>
      </c>
      <c r="M126" s="2141" t="s">
        <v>216</v>
      </c>
      <c r="N126" s="2140">
        <v>44875</v>
      </c>
      <c r="O126" s="2140">
        <v>44895</v>
      </c>
      <c r="P126" s="2140">
        <v>44918</v>
      </c>
      <c r="Q126" s="2143" t="s">
        <v>13780</v>
      </c>
      <c r="R126" s="2141"/>
      <c r="S126" s="2144">
        <v>2873340</v>
      </c>
      <c r="T126" s="2144">
        <v>3476741.4</v>
      </c>
      <c r="U126" s="2145"/>
      <c r="V126" s="2145"/>
      <c r="W126" s="2145"/>
      <c r="X126" s="2146">
        <v>44918</v>
      </c>
      <c r="Y126" s="2260" t="s">
        <v>13822</v>
      </c>
      <c r="Z126" s="2140">
        <v>44963</v>
      </c>
      <c r="AA126" s="2140">
        <v>44971</v>
      </c>
      <c r="AB126" s="2140">
        <v>46058</v>
      </c>
      <c r="AC126" s="2154"/>
      <c r="AD126" s="2154"/>
    </row>
    <row r="127" spans="1:30" ht="30">
      <c r="A127" s="2564">
        <v>44872</v>
      </c>
      <c r="B127" s="2664" t="s">
        <v>13495</v>
      </c>
      <c r="C127" s="2779" t="s">
        <v>58</v>
      </c>
      <c r="D127" s="2779" t="s">
        <v>4969</v>
      </c>
      <c r="E127" s="2779" t="s">
        <v>13948</v>
      </c>
      <c r="F127" s="2780" t="s">
        <v>13502</v>
      </c>
      <c r="G127" s="2779"/>
      <c r="H127" s="2664"/>
      <c r="I127" s="2289" t="s">
        <v>15369</v>
      </c>
      <c r="J127" s="2779" t="s">
        <v>275</v>
      </c>
      <c r="K127" s="2779" t="s">
        <v>13496</v>
      </c>
      <c r="L127" s="2607">
        <v>185000</v>
      </c>
      <c r="M127" s="2779" t="s">
        <v>251</v>
      </c>
      <c r="N127" s="2564">
        <v>44874</v>
      </c>
      <c r="O127" s="2564">
        <v>44937</v>
      </c>
      <c r="P127" s="2564">
        <v>44950</v>
      </c>
      <c r="Q127" s="2664" t="s">
        <v>5333</v>
      </c>
      <c r="R127" s="2779"/>
      <c r="S127" s="2607">
        <v>271600</v>
      </c>
      <c r="T127" s="2607">
        <v>328636</v>
      </c>
      <c r="U127" s="2781"/>
      <c r="V127" s="2781"/>
      <c r="W127" s="2781"/>
      <c r="X127" s="2782">
        <v>44951</v>
      </c>
      <c r="Y127" s="2876" t="s">
        <v>14086</v>
      </c>
      <c r="Z127" s="2564">
        <v>44979</v>
      </c>
      <c r="AA127" s="2564">
        <v>44991</v>
      </c>
      <c r="AB127" s="2564">
        <v>45063</v>
      </c>
      <c r="AC127" s="2771"/>
      <c r="AD127" s="2771"/>
    </row>
    <row r="128" spans="1:30">
      <c r="A128" s="2124">
        <v>44868</v>
      </c>
      <c r="B128" s="2127" t="s">
        <v>13518</v>
      </c>
      <c r="C128" s="2125" t="s">
        <v>2434</v>
      </c>
      <c r="D128" s="2125" t="s">
        <v>3204</v>
      </c>
      <c r="E128" s="2125" t="s">
        <v>13952</v>
      </c>
      <c r="F128" s="2126" t="s">
        <v>7291</v>
      </c>
      <c r="G128" s="2125"/>
      <c r="H128" s="2127"/>
      <c r="I128" s="2127" t="s">
        <v>242</v>
      </c>
      <c r="J128" s="2125" t="s">
        <v>642</v>
      </c>
      <c r="K128" s="2125"/>
      <c r="L128" s="2128">
        <v>6763420</v>
      </c>
      <c r="M128" s="2125" t="s">
        <v>251</v>
      </c>
      <c r="N128" s="2124">
        <v>44890</v>
      </c>
      <c r="O128" s="2124">
        <v>44924</v>
      </c>
      <c r="P128" s="2124"/>
      <c r="Q128" s="2136" t="s">
        <v>14191</v>
      </c>
      <c r="R128" s="2275" t="s">
        <v>14345</v>
      </c>
      <c r="S128" s="2128"/>
      <c r="T128" s="2128"/>
      <c r="U128" s="2129"/>
      <c r="V128" s="2129"/>
      <c r="W128" s="2129"/>
      <c r="X128" s="2281"/>
      <c r="Y128" s="2128"/>
      <c r="Z128" s="2125"/>
      <c r="AA128" s="2124">
        <v>44988</v>
      </c>
      <c r="AB128" s="2127" t="s">
        <v>14219</v>
      </c>
      <c r="AC128" s="2085"/>
      <c r="AD128" s="2085"/>
    </row>
    <row r="129" spans="1:30">
      <c r="A129" s="365">
        <v>44872</v>
      </c>
      <c r="B129" s="3192" t="s">
        <v>13510</v>
      </c>
      <c r="C129" s="3191" t="s">
        <v>52</v>
      </c>
      <c r="D129" s="3191" t="s">
        <v>7503</v>
      </c>
      <c r="E129" s="3191" t="s">
        <v>13950</v>
      </c>
      <c r="F129" s="175" t="s">
        <v>13511</v>
      </c>
      <c r="G129" s="3191"/>
      <c r="H129" s="3192"/>
      <c r="I129" s="3192" t="s">
        <v>15369</v>
      </c>
      <c r="J129" s="3191" t="s">
        <v>13512</v>
      </c>
      <c r="K129" s="3191"/>
      <c r="L129" s="364">
        <v>85000000</v>
      </c>
      <c r="M129" s="3191" t="s">
        <v>251</v>
      </c>
      <c r="N129" s="365">
        <v>44881</v>
      </c>
      <c r="O129" s="365">
        <v>44937</v>
      </c>
      <c r="P129" s="365">
        <v>44951</v>
      </c>
      <c r="Q129" s="3192" t="s">
        <v>12041</v>
      </c>
      <c r="R129" s="3191"/>
      <c r="S129" s="364">
        <v>83765147.150000006</v>
      </c>
      <c r="T129" s="364">
        <v>101355828.05</v>
      </c>
      <c r="U129" s="1473"/>
      <c r="V129" s="1473"/>
      <c r="W129" s="1473"/>
      <c r="X129" s="681">
        <v>44951</v>
      </c>
      <c r="Y129" s="364" t="s">
        <v>14097</v>
      </c>
      <c r="Z129" s="365">
        <v>44985</v>
      </c>
      <c r="AA129" s="365">
        <v>45005</v>
      </c>
      <c r="AB129" s="3191"/>
      <c r="AC129" s="576"/>
      <c r="AD129" s="576"/>
    </row>
    <row r="130" spans="1:30" ht="30">
      <c r="A130" s="2140">
        <v>44873</v>
      </c>
      <c r="B130" s="2143" t="s">
        <v>13515</v>
      </c>
      <c r="C130" s="2141" t="s">
        <v>58</v>
      </c>
      <c r="D130" s="2141" t="s">
        <v>4969</v>
      </c>
      <c r="E130" s="2141" t="s">
        <v>13951</v>
      </c>
      <c r="F130" s="2142" t="s">
        <v>3955</v>
      </c>
      <c r="G130" s="2141"/>
      <c r="H130" s="293"/>
      <c r="I130" s="293" t="s">
        <v>15369</v>
      </c>
      <c r="J130" s="2141" t="s">
        <v>3956</v>
      </c>
      <c r="K130" s="2141"/>
      <c r="L130" s="2144">
        <v>1999500</v>
      </c>
      <c r="M130" s="2141" t="s">
        <v>112</v>
      </c>
      <c r="N130" s="2140">
        <v>44883</v>
      </c>
      <c r="O130" s="2140">
        <v>44894</v>
      </c>
      <c r="P130" s="2140">
        <v>44902</v>
      </c>
      <c r="Q130" s="2143" t="s">
        <v>11876</v>
      </c>
      <c r="R130" s="2141"/>
      <c r="S130" s="2144">
        <v>1570600</v>
      </c>
      <c r="T130" s="2144">
        <v>1900426</v>
      </c>
      <c r="U130" s="2145"/>
      <c r="V130" s="2145"/>
      <c r="W130" s="2145"/>
      <c r="X130" s="2146">
        <v>44902</v>
      </c>
      <c r="Y130" s="2260" t="s">
        <v>13726</v>
      </c>
      <c r="Z130" s="2140">
        <v>44928</v>
      </c>
      <c r="AA130" s="2140">
        <v>44930</v>
      </c>
      <c r="AB130" s="2140">
        <v>44984</v>
      </c>
      <c r="AC130" s="2154"/>
      <c r="AD130" s="2154"/>
    </row>
    <row r="131" spans="1:30">
      <c r="A131" s="2140">
        <v>44874</v>
      </c>
      <c r="B131" s="2143" t="s">
        <v>13519</v>
      </c>
      <c r="C131" s="2141" t="s">
        <v>2434</v>
      </c>
      <c r="D131" s="2141" t="s">
        <v>219</v>
      </c>
      <c r="E131" s="2141" t="s">
        <v>13952</v>
      </c>
      <c r="F131" s="2142" t="s">
        <v>13520</v>
      </c>
      <c r="G131" s="2141"/>
      <c r="H131" s="2143"/>
      <c r="I131" s="2143" t="s">
        <v>15369</v>
      </c>
      <c r="J131" s="2141" t="s">
        <v>3271</v>
      </c>
      <c r="K131" s="2141"/>
      <c r="L131" s="2144">
        <v>506580</v>
      </c>
      <c r="M131" s="2141" t="s">
        <v>251</v>
      </c>
      <c r="N131" s="2140">
        <v>44893</v>
      </c>
      <c r="O131" s="2140">
        <v>44944</v>
      </c>
      <c r="P131" s="2140">
        <v>44971</v>
      </c>
      <c r="Q131" s="2143" t="s">
        <v>10265</v>
      </c>
      <c r="R131" s="2141"/>
      <c r="S131" s="2144">
        <v>499971.6</v>
      </c>
      <c r="T131" s="2144">
        <v>604965.64</v>
      </c>
      <c r="U131" s="2145"/>
      <c r="V131" s="2145"/>
      <c r="W131" s="2145"/>
      <c r="X131" s="2146">
        <v>44971</v>
      </c>
      <c r="Y131" s="2144" t="s">
        <v>14189</v>
      </c>
      <c r="Z131" s="2140">
        <v>45027</v>
      </c>
      <c r="AA131" s="2140">
        <v>45055</v>
      </c>
      <c r="AB131" s="2140">
        <v>45167</v>
      </c>
      <c r="AC131" s="2085"/>
      <c r="AD131" s="2085"/>
    </row>
    <row r="132" spans="1:30">
      <c r="A132" s="2140">
        <v>44874</v>
      </c>
      <c r="B132" s="2143" t="s">
        <v>13528</v>
      </c>
      <c r="C132" s="2141" t="s">
        <v>3678</v>
      </c>
      <c r="D132" s="2141" t="s">
        <v>918</v>
      </c>
      <c r="E132" s="2141" t="s">
        <v>13950</v>
      </c>
      <c r="F132" s="2142" t="s">
        <v>13529</v>
      </c>
      <c r="G132" s="2141"/>
      <c r="H132" s="2143"/>
      <c r="I132" s="2143" t="s">
        <v>15369</v>
      </c>
      <c r="J132" s="2141" t="s">
        <v>1518</v>
      </c>
      <c r="K132" s="2141"/>
      <c r="L132" s="2144">
        <v>27200000</v>
      </c>
      <c r="M132" s="2141" t="s">
        <v>251</v>
      </c>
      <c r="N132" s="2140">
        <v>44897</v>
      </c>
      <c r="O132" s="2140">
        <v>44928</v>
      </c>
      <c r="P132" s="2140">
        <v>44946</v>
      </c>
      <c r="Q132" s="2143" t="s">
        <v>10720</v>
      </c>
      <c r="R132" s="2141"/>
      <c r="S132" s="2144">
        <v>27592336</v>
      </c>
      <c r="T132" s="2144">
        <v>33386726.559999999</v>
      </c>
      <c r="U132" s="2145"/>
      <c r="V132" s="2145"/>
      <c r="W132" s="2145"/>
      <c r="X132" s="2146">
        <v>44946</v>
      </c>
      <c r="Y132" s="2144" t="s">
        <v>14062</v>
      </c>
      <c r="Z132" s="2140">
        <v>44958</v>
      </c>
      <c r="AA132" s="2140">
        <v>44979</v>
      </c>
      <c r="AB132" s="2141" t="s">
        <v>4096</v>
      </c>
      <c r="AC132" s="2085"/>
      <c r="AD132" s="2085"/>
    </row>
    <row r="133" spans="1:30">
      <c r="A133" s="2140">
        <v>44876</v>
      </c>
      <c r="B133" s="2143" t="s">
        <v>13532</v>
      </c>
      <c r="C133" s="2141" t="s">
        <v>4997</v>
      </c>
      <c r="D133" s="2141" t="s">
        <v>7475</v>
      </c>
      <c r="E133" s="2141" t="s">
        <v>655</v>
      </c>
      <c r="F133" s="2142" t="s">
        <v>13533</v>
      </c>
      <c r="G133" s="2141"/>
      <c r="H133" s="2143"/>
      <c r="I133" s="2143" t="s">
        <v>15369</v>
      </c>
      <c r="J133" s="2141" t="s">
        <v>5752</v>
      </c>
      <c r="K133" s="2141"/>
      <c r="L133" s="2144">
        <v>5500000</v>
      </c>
      <c r="M133" s="2141" t="s">
        <v>112</v>
      </c>
      <c r="N133" s="2140">
        <v>44881</v>
      </c>
      <c r="O133" s="2140">
        <v>44889</v>
      </c>
      <c r="P133" s="2140">
        <v>44901</v>
      </c>
      <c r="Q133" s="2143" t="s">
        <v>13672</v>
      </c>
      <c r="R133" s="2141"/>
      <c r="S133" s="2144">
        <v>2899000</v>
      </c>
      <c r="T133" s="2144">
        <v>3507790</v>
      </c>
      <c r="U133" s="2145"/>
      <c r="V133" s="2145"/>
      <c r="W133" s="2145"/>
      <c r="X133" s="2146">
        <v>44901</v>
      </c>
      <c r="Y133" s="2144" t="s">
        <v>13718</v>
      </c>
      <c r="Z133" s="2140">
        <v>44929</v>
      </c>
      <c r="AA133" s="2140">
        <v>44931</v>
      </c>
      <c r="AB133" s="2141"/>
      <c r="AC133" s="2154"/>
      <c r="AD133" s="2154"/>
    </row>
    <row r="134" spans="1:30">
      <c r="A134" s="2140">
        <v>44883</v>
      </c>
      <c r="B134" s="2143" t="s">
        <v>13559</v>
      </c>
      <c r="C134" s="2141" t="s">
        <v>52</v>
      </c>
      <c r="D134" s="2141" t="s">
        <v>10114</v>
      </c>
      <c r="E134" s="2141" t="s">
        <v>13950</v>
      </c>
      <c r="F134" s="2142" t="s">
        <v>13560</v>
      </c>
      <c r="G134" s="2141"/>
      <c r="H134" s="2143"/>
      <c r="I134" s="2143" t="s">
        <v>15369</v>
      </c>
      <c r="J134" s="2141" t="s">
        <v>484</v>
      </c>
      <c r="K134" s="2141"/>
      <c r="L134" s="2144">
        <v>15000000</v>
      </c>
      <c r="M134" s="2141" t="s">
        <v>251</v>
      </c>
      <c r="N134" s="2140">
        <v>44895</v>
      </c>
      <c r="O134" s="2140">
        <v>44930</v>
      </c>
      <c r="P134" s="2140">
        <v>44951</v>
      </c>
      <c r="Q134" s="2143" t="s">
        <v>3500</v>
      </c>
      <c r="R134" s="2141"/>
      <c r="S134" s="2144">
        <v>12241000</v>
      </c>
      <c r="T134" s="2144">
        <v>14811610</v>
      </c>
      <c r="U134" s="2145"/>
      <c r="V134" s="2145"/>
      <c r="W134" s="2145"/>
      <c r="X134" s="2146">
        <v>44951</v>
      </c>
      <c r="Y134" s="2144" t="s">
        <v>14098</v>
      </c>
      <c r="Z134" s="2140">
        <v>44998</v>
      </c>
      <c r="AA134" s="2140">
        <v>45005</v>
      </c>
      <c r="AB134" s="2141"/>
      <c r="AC134" s="2085"/>
      <c r="AD134" s="2085"/>
    </row>
    <row r="135" spans="1:30" ht="30.75" thickBot="1">
      <c r="A135" s="416">
        <v>44886</v>
      </c>
      <c r="B135" s="630" t="s">
        <v>13562</v>
      </c>
      <c r="C135" s="411" t="s">
        <v>58</v>
      </c>
      <c r="D135" s="411" t="s">
        <v>4969</v>
      </c>
      <c r="E135" s="411" t="s">
        <v>655</v>
      </c>
      <c r="F135" s="412" t="s">
        <v>13563</v>
      </c>
      <c r="G135" s="411"/>
      <c r="H135" s="630"/>
      <c r="I135" s="630" t="s">
        <v>15369</v>
      </c>
      <c r="J135" s="411" t="s">
        <v>2665</v>
      </c>
      <c r="K135" s="411" t="s">
        <v>13564</v>
      </c>
      <c r="L135" s="417">
        <v>487087</v>
      </c>
      <c r="M135" s="411" t="s">
        <v>112</v>
      </c>
      <c r="N135" s="416">
        <v>44888</v>
      </c>
      <c r="O135" s="416">
        <v>44896</v>
      </c>
      <c r="P135" s="416">
        <v>44907</v>
      </c>
      <c r="Q135" s="630" t="s">
        <v>10214</v>
      </c>
      <c r="R135" s="411"/>
      <c r="S135" s="417">
        <v>478746.7</v>
      </c>
      <c r="T135" s="417">
        <v>579283.51</v>
      </c>
      <c r="U135" s="1480"/>
      <c r="V135" s="1480"/>
      <c r="W135" s="1480"/>
      <c r="X135" s="513">
        <v>44907</v>
      </c>
      <c r="Y135" s="1553" t="s">
        <v>13751</v>
      </c>
      <c r="Z135" s="416">
        <v>44929</v>
      </c>
      <c r="AA135" s="416">
        <v>44931</v>
      </c>
      <c r="AB135" s="416">
        <v>44985</v>
      </c>
      <c r="AC135" s="406"/>
      <c r="AD135" s="406"/>
    </row>
    <row r="136" spans="1:30" ht="45.75" thickTop="1">
      <c r="A136" s="474">
        <v>44886</v>
      </c>
      <c r="B136" s="1420" t="s">
        <v>13565</v>
      </c>
      <c r="C136" s="453" t="s">
        <v>2434</v>
      </c>
      <c r="D136" s="453" t="s">
        <v>3204</v>
      </c>
      <c r="E136" s="453" t="s">
        <v>13948</v>
      </c>
      <c r="F136" s="473" t="s">
        <v>3510</v>
      </c>
      <c r="G136" s="453">
        <v>1</v>
      </c>
      <c r="H136" s="2043" t="s">
        <v>13566</v>
      </c>
      <c r="I136" s="2043" t="s">
        <v>15369</v>
      </c>
      <c r="J136" s="453" t="s">
        <v>7092</v>
      </c>
      <c r="K136" s="453"/>
      <c r="L136" s="457">
        <v>4746000</v>
      </c>
      <c r="M136" s="453" t="s">
        <v>251</v>
      </c>
      <c r="N136" s="474">
        <v>44890</v>
      </c>
      <c r="O136" s="474">
        <v>44932</v>
      </c>
      <c r="P136" s="474">
        <v>44953</v>
      </c>
      <c r="Q136" s="1420" t="s">
        <v>3191</v>
      </c>
      <c r="R136" s="453"/>
      <c r="S136" s="457">
        <v>3546000</v>
      </c>
      <c r="T136" s="457">
        <v>4077900</v>
      </c>
      <c r="U136" s="1474"/>
      <c r="V136" s="1474"/>
      <c r="W136" s="1474"/>
      <c r="X136" s="570">
        <v>44953</v>
      </c>
      <c r="Y136" s="1387" t="s">
        <v>14103</v>
      </c>
      <c r="Z136" s="474">
        <v>44985</v>
      </c>
      <c r="AA136" s="474">
        <v>45001</v>
      </c>
      <c r="AB136" s="474">
        <v>46445</v>
      </c>
      <c r="AC136" s="583"/>
      <c r="AD136" s="583"/>
    </row>
    <row r="137" spans="1:30" ht="45">
      <c r="A137" s="2140">
        <v>44886</v>
      </c>
      <c r="B137" s="2143" t="s">
        <v>13570</v>
      </c>
      <c r="C137" s="2141" t="s">
        <v>2434</v>
      </c>
      <c r="D137" s="2141" t="s">
        <v>3204</v>
      </c>
      <c r="E137" s="2141" t="s">
        <v>13948</v>
      </c>
      <c r="F137" s="2142" t="s">
        <v>3510</v>
      </c>
      <c r="G137" s="2141">
        <v>2</v>
      </c>
      <c r="H137" s="2261" t="s">
        <v>13567</v>
      </c>
      <c r="I137" s="2261" t="s">
        <v>15369</v>
      </c>
      <c r="J137" s="2264" t="s">
        <v>7092</v>
      </c>
      <c r="K137" s="2141"/>
      <c r="L137" s="2144">
        <v>17280000</v>
      </c>
      <c r="M137" s="2141" t="s">
        <v>251</v>
      </c>
      <c r="N137" s="2140">
        <v>44890</v>
      </c>
      <c r="O137" s="2140">
        <v>44932</v>
      </c>
      <c r="P137" s="2140">
        <v>44953</v>
      </c>
      <c r="Q137" s="2143" t="s">
        <v>3191</v>
      </c>
      <c r="R137" s="2141"/>
      <c r="S137" s="2144">
        <v>17280000</v>
      </c>
      <c r="T137" s="2144">
        <v>19872000</v>
      </c>
      <c r="U137" s="2145"/>
      <c r="V137" s="2145"/>
      <c r="W137" s="2145"/>
      <c r="X137" s="2146">
        <v>44953</v>
      </c>
      <c r="Y137" s="2260" t="s">
        <v>14104</v>
      </c>
      <c r="Z137" s="2140">
        <v>44985</v>
      </c>
      <c r="AA137" s="2140">
        <v>45001</v>
      </c>
      <c r="AB137" s="2140">
        <v>46445</v>
      </c>
      <c r="AC137" s="2085"/>
      <c r="AD137" s="2085"/>
    </row>
    <row r="138" spans="1:30" ht="45">
      <c r="A138" s="2140">
        <v>44886</v>
      </c>
      <c r="B138" s="2143" t="s">
        <v>13571</v>
      </c>
      <c r="C138" s="2141" t="s">
        <v>2434</v>
      </c>
      <c r="D138" s="2141" t="s">
        <v>3204</v>
      </c>
      <c r="E138" s="2141" t="s">
        <v>13948</v>
      </c>
      <c r="F138" s="2142" t="s">
        <v>3510</v>
      </c>
      <c r="G138" s="2141">
        <v>3</v>
      </c>
      <c r="H138" s="2261" t="s">
        <v>7150</v>
      </c>
      <c r="I138" s="2261" t="s">
        <v>15369</v>
      </c>
      <c r="J138" s="2264" t="s">
        <v>7092</v>
      </c>
      <c r="K138" s="2141"/>
      <c r="L138" s="2144">
        <v>2251680</v>
      </c>
      <c r="M138" s="2141" t="s">
        <v>251</v>
      </c>
      <c r="N138" s="2140">
        <v>44890</v>
      </c>
      <c r="O138" s="2140">
        <v>44932</v>
      </c>
      <c r="P138" s="2140">
        <v>44953</v>
      </c>
      <c r="Q138" s="2143" t="s">
        <v>5696</v>
      </c>
      <c r="R138" s="2141"/>
      <c r="S138" s="2144">
        <v>1950000</v>
      </c>
      <c r="T138" s="2144">
        <v>2242500</v>
      </c>
      <c r="U138" s="2145"/>
      <c r="V138" s="2145"/>
      <c r="W138" s="2145"/>
      <c r="X138" s="2146">
        <v>44953</v>
      </c>
      <c r="Y138" s="2260" t="s">
        <v>14105</v>
      </c>
      <c r="Z138" s="2140">
        <v>44985</v>
      </c>
      <c r="AA138" s="2140">
        <v>45001</v>
      </c>
      <c r="AB138" s="2140">
        <v>46445</v>
      </c>
      <c r="AC138" s="2085"/>
      <c r="AD138" s="2085"/>
    </row>
    <row r="139" spans="1:30" ht="45">
      <c r="A139" s="2140">
        <v>44886</v>
      </c>
      <c r="B139" s="2143" t="s">
        <v>13572</v>
      </c>
      <c r="C139" s="2141" t="s">
        <v>2434</v>
      </c>
      <c r="D139" s="2141" t="s">
        <v>3204</v>
      </c>
      <c r="E139" s="2141" t="s">
        <v>13948</v>
      </c>
      <c r="F139" s="2142" t="s">
        <v>3510</v>
      </c>
      <c r="G139" s="2141">
        <v>4</v>
      </c>
      <c r="H139" s="2261" t="s">
        <v>7151</v>
      </c>
      <c r="I139" s="2261" t="s">
        <v>15369</v>
      </c>
      <c r="J139" s="2141" t="s">
        <v>642</v>
      </c>
      <c r="K139" s="2141"/>
      <c r="L139" s="2144">
        <v>2388000</v>
      </c>
      <c r="M139" s="2141" t="s">
        <v>251</v>
      </c>
      <c r="N139" s="2140">
        <v>44890</v>
      </c>
      <c r="O139" s="2140">
        <v>44932</v>
      </c>
      <c r="P139" s="2140">
        <v>44953</v>
      </c>
      <c r="Q139" s="2143" t="s">
        <v>3191</v>
      </c>
      <c r="R139" s="2141"/>
      <c r="S139" s="2144">
        <v>2388000</v>
      </c>
      <c r="T139" s="2144">
        <v>2746200</v>
      </c>
      <c r="U139" s="2145"/>
      <c r="V139" s="2145"/>
      <c r="W139" s="2145"/>
      <c r="X139" s="2146">
        <v>44953</v>
      </c>
      <c r="Y139" s="2260" t="s">
        <v>14106</v>
      </c>
      <c r="Z139" s="2140">
        <v>44985</v>
      </c>
      <c r="AA139" s="2140">
        <v>45001</v>
      </c>
      <c r="AB139" s="2140">
        <v>46445</v>
      </c>
      <c r="AC139" s="2085"/>
      <c r="AD139" s="2085"/>
    </row>
    <row r="140" spans="1:30" ht="45">
      <c r="A140" s="2140">
        <v>44886</v>
      </c>
      <c r="B140" s="2143" t="s">
        <v>13573</v>
      </c>
      <c r="C140" s="2141" t="s">
        <v>2434</v>
      </c>
      <c r="D140" s="2141" t="s">
        <v>3204</v>
      </c>
      <c r="E140" s="2141" t="s">
        <v>13948</v>
      </c>
      <c r="F140" s="2142" t="s">
        <v>3510</v>
      </c>
      <c r="G140" s="2141">
        <v>5</v>
      </c>
      <c r="H140" s="2261" t="s">
        <v>7152</v>
      </c>
      <c r="I140" s="2261" t="s">
        <v>15369</v>
      </c>
      <c r="J140" s="2141" t="s">
        <v>642</v>
      </c>
      <c r="K140" s="2141"/>
      <c r="L140" s="2144">
        <v>2350000</v>
      </c>
      <c r="M140" s="2141" t="s">
        <v>251</v>
      </c>
      <c r="N140" s="2140">
        <v>44890</v>
      </c>
      <c r="O140" s="2140">
        <v>44932</v>
      </c>
      <c r="P140" s="2140">
        <v>44953</v>
      </c>
      <c r="Q140" s="2143" t="s">
        <v>3191</v>
      </c>
      <c r="R140" s="2141"/>
      <c r="S140" s="2144">
        <v>2350000</v>
      </c>
      <c r="T140" s="2144">
        <v>2702500</v>
      </c>
      <c r="U140" s="2145"/>
      <c r="V140" s="2145"/>
      <c r="W140" s="2145"/>
      <c r="X140" s="2146">
        <v>44953</v>
      </c>
      <c r="Y140" s="2260" t="s">
        <v>14108</v>
      </c>
      <c r="Z140" s="2140">
        <v>44985</v>
      </c>
      <c r="AA140" s="2140">
        <v>45001</v>
      </c>
      <c r="AB140" s="2140">
        <v>46445</v>
      </c>
      <c r="AC140" s="2085"/>
      <c r="AD140" s="2085"/>
    </row>
    <row r="141" spans="1:30" ht="45">
      <c r="A141" s="2140">
        <v>44886</v>
      </c>
      <c r="B141" s="2143" t="s">
        <v>13574</v>
      </c>
      <c r="C141" s="2141" t="s">
        <v>2434</v>
      </c>
      <c r="D141" s="2141" t="s">
        <v>3204</v>
      </c>
      <c r="E141" s="2141" t="s">
        <v>13948</v>
      </c>
      <c r="F141" s="2142" t="s">
        <v>3510</v>
      </c>
      <c r="G141" s="2141">
        <v>6</v>
      </c>
      <c r="H141" s="2261" t="s">
        <v>7153</v>
      </c>
      <c r="I141" s="2261" t="s">
        <v>15369</v>
      </c>
      <c r="J141" s="2141" t="s">
        <v>642</v>
      </c>
      <c r="K141" s="2141"/>
      <c r="L141" s="2144">
        <v>3412500</v>
      </c>
      <c r="M141" s="2141" t="s">
        <v>251</v>
      </c>
      <c r="N141" s="2140">
        <v>44890</v>
      </c>
      <c r="O141" s="2140">
        <v>44932</v>
      </c>
      <c r="P141" s="2140">
        <v>44953</v>
      </c>
      <c r="Q141" s="2143" t="s">
        <v>3191</v>
      </c>
      <c r="R141" s="2141"/>
      <c r="S141" s="2144">
        <v>3412500</v>
      </c>
      <c r="T141" s="2144">
        <v>3924375</v>
      </c>
      <c r="U141" s="2145"/>
      <c r="V141" s="2145"/>
      <c r="W141" s="2145"/>
      <c r="X141" s="2146">
        <v>44953</v>
      </c>
      <c r="Y141" s="2260" t="s">
        <v>14109</v>
      </c>
      <c r="Z141" s="2140">
        <v>44985</v>
      </c>
      <c r="AA141" s="2140">
        <v>45001</v>
      </c>
      <c r="AB141" s="2140">
        <v>46445</v>
      </c>
      <c r="AC141" s="2085"/>
      <c r="AD141" s="2085"/>
    </row>
    <row r="142" spans="1:30" ht="45">
      <c r="A142" s="2140">
        <v>44886</v>
      </c>
      <c r="B142" s="2143" t="s">
        <v>13575</v>
      </c>
      <c r="C142" s="2141" t="s">
        <v>2434</v>
      </c>
      <c r="D142" s="2141" t="s">
        <v>3204</v>
      </c>
      <c r="E142" s="2141" t="s">
        <v>13948</v>
      </c>
      <c r="F142" s="2142" t="s">
        <v>3510</v>
      </c>
      <c r="G142" s="2141">
        <v>7</v>
      </c>
      <c r="H142" s="2261" t="s">
        <v>7154</v>
      </c>
      <c r="I142" s="2261" t="s">
        <v>15369</v>
      </c>
      <c r="J142" s="2141" t="s">
        <v>642</v>
      </c>
      <c r="K142" s="2141"/>
      <c r="L142" s="2144">
        <v>21800000</v>
      </c>
      <c r="M142" s="2141" t="s">
        <v>251</v>
      </c>
      <c r="N142" s="2140">
        <v>44890</v>
      </c>
      <c r="O142" s="2140">
        <v>44932</v>
      </c>
      <c r="P142" s="2140">
        <v>44953</v>
      </c>
      <c r="Q142" s="2143" t="s">
        <v>3191</v>
      </c>
      <c r="R142" s="2141"/>
      <c r="S142" s="2144">
        <v>20780000</v>
      </c>
      <c r="T142" s="2144">
        <v>23897000</v>
      </c>
      <c r="U142" s="2145"/>
      <c r="V142" s="2145"/>
      <c r="W142" s="2145"/>
      <c r="X142" s="2146">
        <v>44953</v>
      </c>
      <c r="Y142" s="2260" t="s">
        <v>14110</v>
      </c>
      <c r="Z142" s="2140">
        <v>44985</v>
      </c>
      <c r="AA142" s="2140">
        <v>45001</v>
      </c>
      <c r="AB142" s="2140">
        <v>46445</v>
      </c>
      <c r="AC142" s="2085"/>
      <c r="AD142" s="2085"/>
    </row>
    <row r="143" spans="1:30" ht="45">
      <c r="A143" s="2140">
        <v>44886</v>
      </c>
      <c r="B143" s="2143" t="s">
        <v>13576</v>
      </c>
      <c r="C143" s="2141" t="s">
        <v>2434</v>
      </c>
      <c r="D143" s="2141" t="s">
        <v>3204</v>
      </c>
      <c r="E143" s="2141" t="s">
        <v>13948</v>
      </c>
      <c r="F143" s="2142" t="s">
        <v>3510</v>
      </c>
      <c r="G143" s="2141">
        <v>8</v>
      </c>
      <c r="H143" s="2261" t="s">
        <v>7155</v>
      </c>
      <c r="I143" s="2261" t="s">
        <v>15369</v>
      </c>
      <c r="J143" s="2141" t="s">
        <v>642</v>
      </c>
      <c r="K143" s="2141"/>
      <c r="L143" s="2144">
        <v>1720000</v>
      </c>
      <c r="M143" s="2141" t="s">
        <v>251</v>
      </c>
      <c r="N143" s="2140">
        <v>44890</v>
      </c>
      <c r="O143" s="2140">
        <v>44932</v>
      </c>
      <c r="P143" s="2140">
        <v>44953</v>
      </c>
      <c r="Q143" s="2143" t="s">
        <v>3191</v>
      </c>
      <c r="R143" s="2141"/>
      <c r="S143" s="2144">
        <v>1456000</v>
      </c>
      <c r="T143" s="2144">
        <v>1674400</v>
      </c>
      <c r="U143" s="2145"/>
      <c r="V143" s="2145"/>
      <c r="W143" s="2145"/>
      <c r="X143" s="2146">
        <v>44953</v>
      </c>
      <c r="Y143" s="2260" t="s">
        <v>14111</v>
      </c>
      <c r="Z143" s="2140">
        <v>44991</v>
      </c>
      <c r="AA143" s="2140">
        <v>45001</v>
      </c>
      <c r="AB143" s="2140">
        <v>46451</v>
      </c>
      <c r="AC143" s="2085"/>
      <c r="AD143" s="2085"/>
    </row>
    <row r="144" spans="1:30" ht="45">
      <c r="A144" s="2140">
        <v>44886</v>
      </c>
      <c r="B144" s="2143" t="s">
        <v>13577</v>
      </c>
      <c r="C144" s="2141" t="s">
        <v>2434</v>
      </c>
      <c r="D144" s="2141" t="s">
        <v>3204</v>
      </c>
      <c r="E144" s="2141" t="s">
        <v>13948</v>
      </c>
      <c r="F144" s="2142" t="s">
        <v>3510</v>
      </c>
      <c r="G144" s="2141">
        <v>9</v>
      </c>
      <c r="H144" s="2261" t="s">
        <v>7156</v>
      </c>
      <c r="I144" s="2261" t="s">
        <v>15369</v>
      </c>
      <c r="J144" s="2141" t="s">
        <v>642</v>
      </c>
      <c r="K144" s="2141"/>
      <c r="L144" s="2144">
        <v>2184000</v>
      </c>
      <c r="M144" s="2141" t="s">
        <v>251</v>
      </c>
      <c r="N144" s="2140">
        <v>44890</v>
      </c>
      <c r="O144" s="2140">
        <v>44932</v>
      </c>
      <c r="P144" s="2140">
        <v>44953</v>
      </c>
      <c r="Q144" s="2143" t="s">
        <v>3191</v>
      </c>
      <c r="R144" s="2141"/>
      <c r="S144" s="2144">
        <v>2180400</v>
      </c>
      <c r="T144" s="2144">
        <v>2507460</v>
      </c>
      <c r="U144" s="2145"/>
      <c r="V144" s="2145"/>
      <c r="W144" s="2145"/>
      <c r="X144" s="2146">
        <v>44953</v>
      </c>
      <c r="Y144" s="2260" t="s">
        <v>14112</v>
      </c>
      <c r="Z144" s="2140">
        <v>44991</v>
      </c>
      <c r="AA144" s="2140">
        <v>45001</v>
      </c>
      <c r="AB144" s="2140">
        <v>46451</v>
      </c>
      <c r="AC144" s="2085"/>
      <c r="AD144" s="2085"/>
    </row>
    <row r="145" spans="1:30" ht="45">
      <c r="A145" s="2140">
        <v>44886</v>
      </c>
      <c r="B145" s="2143" t="s">
        <v>13578</v>
      </c>
      <c r="C145" s="2141" t="s">
        <v>2434</v>
      </c>
      <c r="D145" s="2141" t="s">
        <v>3204</v>
      </c>
      <c r="E145" s="2141" t="s">
        <v>13948</v>
      </c>
      <c r="F145" s="2142" t="s">
        <v>3510</v>
      </c>
      <c r="G145" s="2141">
        <v>10</v>
      </c>
      <c r="H145" s="2261" t="s">
        <v>7158</v>
      </c>
      <c r="I145" s="2261" t="s">
        <v>15369</v>
      </c>
      <c r="J145" s="2141" t="s">
        <v>642</v>
      </c>
      <c r="K145" s="2141"/>
      <c r="L145" s="2144">
        <v>2260000</v>
      </c>
      <c r="M145" s="2141" t="s">
        <v>251</v>
      </c>
      <c r="N145" s="2140">
        <v>44890</v>
      </c>
      <c r="O145" s="2140">
        <v>44932</v>
      </c>
      <c r="P145" s="2140">
        <v>44953</v>
      </c>
      <c r="Q145" s="2143" t="s">
        <v>5696</v>
      </c>
      <c r="R145" s="2141"/>
      <c r="S145" s="2144">
        <v>2260000</v>
      </c>
      <c r="T145" s="2144">
        <v>2626600</v>
      </c>
      <c r="U145" s="2145"/>
      <c r="V145" s="2145"/>
      <c r="W145" s="2145"/>
      <c r="X145" s="2146">
        <v>44953</v>
      </c>
      <c r="Y145" s="2260" t="s">
        <v>14113</v>
      </c>
      <c r="Z145" s="2140">
        <v>44985</v>
      </c>
      <c r="AA145" s="2140">
        <v>45001</v>
      </c>
      <c r="AB145" s="2140">
        <v>46445</v>
      </c>
      <c r="AC145" s="2085"/>
      <c r="AD145" s="2085"/>
    </row>
    <row r="146" spans="1:30" ht="45">
      <c r="A146" s="2140">
        <v>44886</v>
      </c>
      <c r="B146" s="2143" t="s">
        <v>13579</v>
      </c>
      <c r="C146" s="2141" t="s">
        <v>2434</v>
      </c>
      <c r="D146" s="2141" t="s">
        <v>3204</v>
      </c>
      <c r="E146" s="2141" t="s">
        <v>13948</v>
      </c>
      <c r="F146" s="2142" t="s">
        <v>3510</v>
      </c>
      <c r="G146" s="2141">
        <v>11</v>
      </c>
      <c r="H146" s="2261" t="s">
        <v>7159</v>
      </c>
      <c r="I146" s="2261" t="s">
        <v>15369</v>
      </c>
      <c r="J146" s="2141" t="s">
        <v>642</v>
      </c>
      <c r="K146" s="2141"/>
      <c r="L146" s="2144">
        <v>4140000</v>
      </c>
      <c r="M146" s="2141" t="s">
        <v>251</v>
      </c>
      <c r="N146" s="2140">
        <v>44890</v>
      </c>
      <c r="O146" s="2140">
        <v>44932</v>
      </c>
      <c r="P146" s="2140">
        <v>44953</v>
      </c>
      <c r="Q146" s="2143" t="s">
        <v>13970</v>
      </c>
      <c r="R146" s="2141"/>
      <c r="S146" s="2144">
        <v>4140000</v>
      </c>
      <c r="T146" s="2144">
        <v>4761000</v>
      </c>
      <c r="U146" s="2145"/>
      <c r="V146" s="2145"/>
      <c r="W146" s="2145"/>
      <c r="X146" s="2146">
        <v>44953</v>
      </c>
      <c r="Y146" s="2260" t="s">
        <v>14114</v>
      </c>
      <c r="Z146" s="2140">
        <v>44994</v>
      </c>
      <c r="AA146" s="2140">
        <v>45001</v>
      </c>
      <c r="AB146" s="2140">
        <v>46454</v>
      </c>
      <c r="AC146" s="2085"/>
      <c r="AD146" s="2085"/>
    </row>
    <row r="147" spans="1:30" ht="45">
      <c r="A147" s="2140">
        <v>44886</v>
      </c>
      <c r="B147" s="2143" t="s">
        <v>13580</v>
      </c>
      <c r="C147" s="2141" t="s">
        <v>2434</v>
      </c>
      <c r="D147" s="2141" t="s">
        <v>3204</v>
      </c>
      <c r="E147" s="2141" t="s">
        <v>13948</v>
      </c>
      <c r="F147" s="2142" t="s">
        <v>3510</v>
      </c>
      <c r="G147" s="2141">
        <v>12</v>
      </c>
      <c r="H147" s="2261" t="s">
        <v>13568</v>
      </c>
      <c r="I147" s="2261" t="s">
        <v>15369</v>
      </c>
      <c r="J147" s="2141" t="s">
        <v>642</v>
      </c>
      <c r="K147" s="2141"/>
      <c r="L147" s="2144">
        <v>4504700</v>
      </c>
      <c r="M147" s="2141" t="s">
        <v>251</v>
      </c>
      <c r="N147" s="2140">
        <v>44890</v>
      </c>
      <c r="O147" s="2140">
        <v>44932</v>
      </c>
      <c r="P147" s="2140">
        <v>44953</v>
      </c>
      <c r="Q147" s="2143" t="s">
        <v>3191</v>
      </c>
      <c r="R147" s="2141"/>
      <c r="S147" s="2144">
        <v>4504200</v>
      </c>
      <c r="T147" s="2144">
        <v>5179830</v>
      </c>
      <c r="U147" s="2145"/>
      <c r="V147" s="2145"/>
      <c r="W147" s="2145"/>
      <c r="X147" s="2146">
        <v>44953</v>
      </c>
      <c r="Y147" s="2260" t="s">
        <v>14115</v>
      </c>
      <c r="Z147" s="2140">
        <v>44985</v>
      </c>
      <c r="AA147" s="2140">
        <v>45001</v>
      </c>
      <c r="AB147" s="2140">
        <v>46445</v>
      </c>
      <c r="AC147" s="2085"/>
      <c r="AD147" s="2085"/>
    </row>
    <row r="148" spans="1:30" ht="45.75" thickBot="1">
      <c r="A148" s="2117">
        <v>44886</v>
      </c>
      <c r="B148" s="2120" t="s">
        <v>13581</v>
      </c>
      <c r="C148" s="2118" t="s">
        <v>2434</v>
      </c>
      <c r="D148" s="2118" t="s">
        <v>3204</v>
      </c>
      <c r="E148" s="2118" t="s">
        <v>13948</v>
      </c>
      <c r="F148" s="2119" t="s">
        <v>3510</v>
      </c>
      <c r="G148" s="2118">
        <v>13</v>
      </c>
      <c r="H148" s="2262" t="s">
        <v>13569</v>
      </c>
      <c r="I148" s="2262" t="s">
        <v>15369</v>
      </c>
      <c r="J148" s="2118" t="s">
        <v>642</v>
      </c>
      <c r="K148" s="2118"/>
      <c r="L148" s="2121">
        <v>3504160</v>
      </c>
      <c r="M148" s="2118" t="s">
        <v>251</v>
      </c>
      <c r="N148" s="2117">
        <v>44890</v>
      </c>
      <c r="O148" s="2117">
        <v>44932</v>
      </c>
      <c r="P148" s="2117">
        <v>44953</v>
      </c>
      <c r="Q148" s="2120" t="s">
        <v>3191</v>
      </c>
      <c r="R148" s="2118"/>
      <c r="S148" s="2121">
        <v>3473600</v>
      </c>
      <c r="T148" s="2121">
        <v>3994640</v>
      </c>
      <c r="U148" s="2122"/>
      <c r="V148" s="2122"/>
      <c r="W148" s="2122"/>
      <c r="X148" s="2123">
        <v>44953</v>
      </c>
      <c r="Y148" s="2246" t="s">
        <v>14116</v>
      </c>
      <c r="Z148" s="2117">
        <v>44985</v>
      </c>
      <c r="AA148" s="2117">
        <v>45001</v>
      </c>
      <c r="AB148" s="2117">
        <v>46445</v>
      </c>
      <c r="AC148" s="2089"/>
      <c r="AD148" s="2089"/>
    </row>
    <row r="149" spans="1:30" ht="15.75" thickTop="1">
      <c r="A149" s="365">
        <v>44886</v>
      </c>
      <c r="B149" s="3192" t="s">
        <v>13584</v>
      </c>
      <c r="C149" s="3191" t="s">
        <v>2434</v>
      </c>
      <c r="D149" s="3191" t="s">
        <v>219</v>
      </c>
      <c r="E149" s="3191" t="s">
        <v>13951</v>
      </c>
      <c r="F149" s="175" t="s">
        <v>13585</v>
      </c>
      <c r="G149" s="3191"/>
      <c r="H149" s="3192"/>
      <c r="I149" s="3192" t="s">
        <v>15369</v>
      </c>
      <c r="J149" s="3191" t="s">
        <v>642</v>
      </c>
      <c r="K149" s="3191"/>
      <c r="L149" s="364">
        <v>529200</v>
      </c>
      <c r="M149" s="3191" t="s">
        <v>112</v>
      </c>
      <c r="N149" s="365">
        <v>44890</v>
      </c>
      <c r="O149" s="365">
        <v>44903</v>
      </c>
      <c r="P149" s="365">
        <v>44910</v>
      </c>
      <c r="Q149" s="3192" t="s">
        <v>3059</v>
      </c>
      <c r="R149" s="3191"/>
      <c r="S149" s="364">
        <v>529200</v>
      </c>
      <c r="T149" s="364">
        <v>640332</v>
      </c>
      <c r="U149" s="1473"/>
      <c r="V149" s="1473"/>
      <c r="W149" s="1473"/>
      <c r="X149" s="681">
        <v>44910</v>
      </c>
      <c r="Y149" s="364" t="s">
        <v>13765</v>
      </c>
      <c r="Z149" s="365">
        <v>44935</v>
      </c>
      <c r="AA149" s="365">
        <v>44937</v>
      </c>
      <c r="AB149" s="365">
        <v>45299</v>
      </c>
      <c r="AC149" s="423"/>
      <c r="AD149" s="423"/>
    </row>
    <row r="150" spans="1:30" ht="45">
      <c r="A150" s="2140">
        <v>44887</v>
      </c>
      <c r="B150" s="2143" t="s">
        <v>13591</v>
      </c>
      <c r="C150" s="2141" t="s">
        <v>58</v>
      </c>
      <c r="D150" s="2141" t="s">
        <v>4969</v>
      </c>
      <c r="E150" s="2141" t="s">
        <v>655</v>
      </c>
      <c r="F150" s="2142" t="s">
        <v>13592</v>
      </c>
      <c r="G150" s="2141"/>
      <c r="H150" s="2143"/>
      <c r="I150" s="2143" t="s">
        <v>15369</v>
      </c>
      <c r="J150" s="2141" t="s">
        <v>4272</v>
      </c>
      <c r="K150" s="2141" t="s">
        <v>13593</v>
      </c>
      <c r="L150" s="2144">
        <v>492000</v>
      </c>
      <c r="M150" s="2141" t="s">
        <v>112</v>
      </c>
      <c r="N150" s="2140">
        <v>44889</v>
      </c>
      <c r="O150" s="2140">
        <v>44897</v>
      </c>
      <c r="P150" s="2140">
        <v>44910</v>
      </c>
      <c r="Q150" s="2143" t="s">
        <v>3479</v>
      </c>
      <c r="R150" s="2141"/>
      <c r="S150" s="2144">
        <v>411280.32</v>
      </c>
      <c r="T150" s="2144">
        <v>497649.19</v>
      </c>
      <c r="U150" s="2145"/>
      <c r="V150" s="2145"/>
      <c r="W150" s="2145"/>
      <c r="X150" s="2146">
        <v>44910</v>
      </c>
      <c r="Y150" s="2260" t="s">
        <v>13766</v>
      </c>
      <c r="Z150" s="2140">
        <v>44929</v>
      </c>
      <c r="AA150" s="2140">
        <v>44931</v>
      </c>
      <c r="AB150" s="2140">
        <v>44943</v>
      </c>
      <c r="AC150" s="2154"/>
      <c r="AD150" s="2154"/>
    </row>
    <row r="151" spans="1:30">
      <c r="A151" s="2140">
        <v>44888</v>
      </c>
      <c r="B151" s="2143" t="s">
        <v>13595</v>
      </c>
      <c r="C151" s="2141" t="s">
        <v>2434</v>
      </c>
      <c r="D151" s="2141" t="s">
        <v>219</v>
      </c>
      <c r="E151" s="2141" t="s">
        <v>13948</v>
      </c>
      <c r="F151" s="2142" t="s">
        <v>13596</v>
      </c>
      <c r="G151" s="2141"/>
      <c r="H151" s="2143"/>
      <c r="I151" s="2143" t="s">
        <v>15369</v>
      </c>
      <c r="J151" s="2141" t="s">
        <v>642</v>
      </c>
      <c r="K151" s="2141"/>
      <c r="L151" s="2144">
        <v>2589000</v>
      </c>
      <c r="M151" s="2141" t="s">
        <v>216</v>
      </c>
      <c r="N151" s="2140">
        <v>44894</v>
      </c>
      <c r="O151" s="2140">
        <v>44911</v>
      </c>
      <c r="P151" s="2140">
        <v>44931</v>
      </c>
      <c r="Q151" s="2143" t="s">
        <v>3154</v>
      </c>
      <c r="R151" s="2141"/>
      <c r="S151" s="2144">
        <v>2589000</v>
      </c>
      <c r="T151" s="2144">
        <v>2977350</v>
      </c>
      <c r="U151" s="2145"/>
      <c r="V151" s="2145"/>
      <c r="W151" s="2145"/>
      <c r="X151" s="2146">
        <v>44931</v>
      </c>
      <c r="Y151" s="2144" t="s">
        <v>13958</v>
      </c>
      <c r="Z151" s="2140">
        <v>44952</v>
      </c>
      <c r="AA151" s="2140">
        <v>44959</v>
      </c>
      <c r="AB151" s="2140">
        <v>46077</v>
      </c>
      <c r="AC151" s="2154"/>
      <c r="AD151" s="2154"/>
    </row>
    <row r="152" spans="1:30" ht="30">
      <c r="A152" s="2140">
        <v>44888</v>
      </c>
      <c r="B152" s="2143" t="s">
        <v>13598</v>
      </c>
      <c r="C152" s="2141" t="s">
        <v>58</v>
      </c>
      <c r="D152" s="2141" t="s">
        <v>4969</v>
      </c>
      <c r="E152" s="2141" t="s">
        <v>655</v>
      </c>
      <c r="F152" s="2142" t="s">
        <v>13599</v>
      </c>
      <c r="G152" s="2141"/>
      <c r="H152" s="2143"/>
      <c r="I152" s="2143" t="s">
        <v>15369</v>
      </c>
      <c r="J152" s="2141" t="s">
        <v>13157</v>
      </c>
      <c r="K152" s="2141" t="s">
        <v>13600</v>
      </c>
      <c r="L152" s="2144">
        <v>300000</v>
      </c>
      <c r="M152" s="2141" t="s">
        <v>112</v>
      </c>
      <c r="N152" s="2140">
        <v>44893</v>
      </c>
      <c r="O152" s="2140">
        <v>44901</v>
      </c>
      <c r="P152" s="2140">
        <v>44917</v>
      </c>
      <c r="Q152" s="2143" t="s">
        <v>11481</v>
      </c>
      <c r="R152" s="2141"/>
      <c r="S152" s="2144">
        <v>239620</v>
      </c>
      <c r="T152" s="2144">
        <v>289940.2</v>
      </c>
      <c r="U152" s="2145"/>
      <c r="V152" s="2145"/>
      <c r="W152" s="2145"/>
      <c r="X152" s="2146">
        <v>44917</v>
      </c>
      <c r="Y152" s="2260" t="s">
        <v>13806</v>
      </c>
      <c r="Z152" s="2140">
        <v>44939</v>
      </c>
      <c r="AA152" s="2140">
        <v>44943</v>
      </c>
      <c r="AB152" s="2140">
        <v>44953</v>
      </c>
      <c r="AC152" s="2154"/>
      <c r="AD152" s="2154"/>
    </row>
    <row r="153" spans="1:30" ht="30">
      <c r="A153" s="2140">
        <v>44888</v>
      </c>
      <c r="B153" s="2143" t="s">
        <v>13604</v>
      </c>
      <c r="C153" s="2141" t="s">
        <v>2434</v>
      </c>
      <c r="D153" s="2141" t="s">
        <v>3204</v>
      </c>
      <c r="E153" s="2141" t="s">
        <v>13948</v>
      </c>
      <c r="F153" s="2142" t="s">
        <v>13605</v>
      </c>
      <c r="G153" s="2141"/>
      <c r="H153" s="2143"/>
      <c r="I153" s="2143" t="s">
        <v>15369</v>
      </c>
      <c r="J153" s="2141" t="s">
        <v>642</v>
      </c>
      <c r="K153" s="2141"/>
      <c r="L153" s="2144">
        <v>4850000</v>
      </c>
      <c r="M153" s="2141" t="s">
        <v>251</v>
      </c>
      <c r="N153" s="2140">
        <v>44896</v>
      </c>
      <c r="O153" s="2140">
        <v>44970</v>
      </c>
      <c r="P153" s="2140">
        <v>44979</v>
      </c>
      <c r="Q153" s="2143" t="s">
        <v>1433</v>
      </c>
      <c r="R153" s="2141"/>
      <c r="S153" s="2144">
        <v>4850000</v>
      </c>
      <c r="T153" s="2144">
        <v>5868500</v>
      </c>
      <c r="U153" s="2145"/>
      <c r="V153" s="2145"/>
      <c r="W153" s="2145"/>
      <c r="X153" s="2146">
        <v>44979</v>
      </c>
      <c r="Y153" s="2260" t="s">
        <v>14241</v>
      </c>
      <c r="Z153" s="2140">
        <v>45019</v>
      </c>
      <c r="AA153" s="2140">
        <v>45029</v>
      </c>
      <c r="AB153" s="2140">
        <v>46538</v>
      </c>
      <c r="AC153" s="2085"/>
      <c r="AD153" s="2085"/>
    </row>
    <row r="154" spans="1:30">
      <c r="A154" s="2140">
        <v>44888</v>
      </c>
      <c r="B154" s="2143" t="s">
        <v>13614</v>
      </c>
      <c r="C154" s="2141" t="s">
        <v>2434</v>
      </c>
      <c r="D154" s="2141" t="s">
        <v>219</v>
      </c>
      <c r="E154" s="2141" t="s">
        <v>13952</v>
      </c>
      <c r="F154" s="2142" t="s">
        <v>13613</v>
      </c>
      <c r="G154" s="2141"/>
      <c r="H154" s="2143"/>
      <c r="I154" s="2143" t="s">
        <v>15369</v>
      </c>
      <c r="J154" s="2141" t="s">
        <v>4312</v>
      </c>
      <c r="K154" s="2141"/>
      <c r="L154" s="2144">
        <v>2900000</v>
      </c>
      <c r="M154" s="2141" t="s">
        <v>216</v>
      </c>
      <c r="N154" s="2140">
        <v>44893</v>
      </c>
      <c r="O154" s="2140">
        <v>44942</v>
      </c>
      <c r="P154" s="2140">
        <v>44988</v>
      </c>
      <c r="Q154" s="2143" t="s">
        <v>14244</v>
      </c>
      <c r="R154" s="2141"/>
      <c r="S154" s="2144">
        <v>2899840</v>
      </c>
      <c r="T154" s="2144">
        <v>3336676</v>
      </c>
      <c r="U154" s="2145"/>
      <c r="V154" s="2145"/>
      <c r="W154" s="2145"/>
      <c r="X154" s="2146">
        <v>44988</v>
      </c>
      <c r="Y154" s="2144" t="s">
        <v>14287</v>
      </c>
      <c r="Z154" s="2140">
        <v>45014</v>
      </c>
      <c r="AA154" s="2140">
        <v>45041</v>
      </c>
      <c r="AB154" s="2140">
        <v>46109</v>
      </c>
      <c r="AC154" s="2085"/>
      <c r="AD154" s="2085"/>
    </row>
    <row r="155" spans="1:30">
      <c r="A155" s="2140">
        <v>44888</v>
      </c>
      <c r="B155" s="2143" t="s">
        <v>13615</v>
      </c>
      <c r="C155" s="2141" t="s">
        <v>3678</v>
      </c>
      <c r="D155" s="2141" t="s">
        <v>918</v>
      </c>
      <c r="E155" s="2141" t="s">
        <v>655</v>
      </c>
      <c r="F155" s="2142" t="s">
        <v>13616</v>
      </c>
      <c r="G155" s="2141"/>
      <c r="H155" s="2143"/>
      <c r="I155" s="2143" t="s">
        <v>15369</v>
      </c>
      <c r="J155" s="2141" t="s">
        <v>1244</v>
      </c>
      <c r="K155" s="2141"/>
      <c r="L155" s="2144">
        <v>420000</v>
      </c>
      <c r="M155" s="2141" t="s">
        <v>112</v>
      </c>
      <c r="N155" s="2140">
        <v>44897</v>
      </c>
      <c r="O155" s="2140">
        <v>44908</v>
      </c>
      <c r="P155" s="2140">
        <v>44917</v>
      </c>
      <c r="Q155" s="2143" t="s">
        <v>1319</v>
      </c>
      <c r="R155" s="2141"/>
      <c r="S155" s="2144">
        <v>472000</v>
      </c>
      <c r="T155" s="2144">
        <v>571120</v>
      </c>
      <c r="U155" s="2145"/>
      <c r="V155" s="2145"/>
      <c r="W155" s="2145"/>
      <c r="X155" s="2146">
        <v>44917</v>
      </c>
      <c r="Y155" s="2144" t="s">
        <v>13807</v>
      </c>
      <c r="Z155" s="2140">
        <v>44949</v>
      </c>
      <c r="AA155" s="2140">
        <v>44956</v>
      </c>
      <c r="AB155" s="2141" t="s">
        <v>4096</v>
      </c>
      <c r="AC155" s="2154"/>
      <c r="AD155" s="2154"/>
    </row>
    <row r="156" spans="1:30" ht="45.75" thickBot="1">
      <c r="A156" s="416">
        <v>44889</v>
      </c>
      <c r="B156" s="630" t="s">
        <v>13620</v>
      </c>
      <c r="C156" s="411" t="s">
        <v>2434</v>
      </c>
      <c r="D156" s="411" t="s">
        <v>219</v>
      </c>
      <c r="E156" s="411" t="s">
        <v>13952</v>
      </c>
      <c r="F156" s="412" t="s">
        <v>3270</v>
      </c>
      <c r="G156" s="411"/>
      <c r="H156" s="630"/>
      <c r="I156" s="630" t="s">
        <v>15369</v>
      </c>
      <c r="J156" s="411" t="s">
        <v>3271</v>
      </c>
      <c r="K156" s="411"/>
      <c r="L156" s="417">
        <v>20034600</v>
      </c>
      <c r="M156" s="411" t="s">
        <v>251</v>
      </c>
      <c r="N156" s="416">
        <v>44911</v>
      </c>
      <c r="O156" s="416">
        <v>44944</v>
      </c>
      <c r="P156" s="416">
        <v>44973</v>
      </c>
      <c r="Q156" s="630" t="s">
        <v>5696</v>
      </c>
      <c r="R156" s="411"/>
      <c r="S156" s="417">
        <v>19960447</v>
      </c>
      <c r="T156" s="417">
        <v>24152140.870000001</v>
      </c>
      <c r="U156" s="1480"/>
      <c r="V156" s="1480"/>
      <c r="W156" s="1480"/>
      <c r="X156" s="513">
        <v>44973</v>
      </c>
      <c r="Y156" s="1553" t="s">
        <v>14213</v>
      </c>
      <c r="Z156" s="416">
        <v>45006</v>
      </c>
      <c r="AA156" s="416">
        <v>45033</v>
      </c>
      <c r="AB156" s="512" t="s">
        <v>14427</v>
      </c>
      <c r="AC156" s="1437"/>
      <c r="AD156" s="1437"/>
    </row>
    <row r="157" spans="1:30" ht="30.75" thickTop="1">
      <c r="A157" s="1735">
        <v>44889</v>
      </c>
      <c r="B157" s="1420" t="s">
        <v>13621</v>
      </c>
      <c r="C157" s="453" t="s">
        <v>2434</v>
      </c>
      <c r="D157" s="453" t="s">
        <v>3204</v>
      </c>
      <c r="E157" s="453" t="s">
        <v>13952</v>
      </c>
      <c r="F157" s="473" t="s">
        <v>13622</v>
      </c>
      <c r="G157" s="453">
        <v>1</v>
      </c>
      <c r="H157" s="1420" t="s">
        <v>13623</v>
      </c>
      <c r="I157" s="1420" t="s">
        <v>15369</v>
      </c>
      <c r="J157" s="453" t="s">
        <v>642</v>
      </c>
      <c r="K157" s="2875"/>
      <c r="L157" s="457">
        <v>4292500</v>
      </c>
      <c r="M157" s="453" t="s">
        <v>251</v>
      </c>
      <c r="N157" s="474">
        <v>44929</v>
      </c>
      <c r="O157" s="474">
        <v>44977</v>
      </c>
      <c r="P157" s="474">
        <v>45012</v>
      </c>
      <c r="Q157" s="1420" t="s">
        <v>8278</v>
      </c>
      <c r="R157" s="453"/>
      <c r="S157" s="457">
        <v>4292500</v>
      </c>
      <c r="T157" s="457">
        <v>5193925</v>
      </c>
      <c r="U157" s="1474"/>
      <c r="V157" s="1474"/>
      <c r="W157" s="1474"/>
      <c r="X157" s="570">
        <v>45012</v>
      </c>
      <c r="Y157" s="1387" t="s">
        <v>14471</v>
      </c>
      <c r="Z157" s="474">
        <v>45051</v>
      </c>
      <c r="AA157" s="474">
        <v>45070</v>
      </c>
      <c r="AB157" s="474">
        <v>46146</v>
      </c>
      <c r="AC157" s="2045"/>
      <c r="AD157" s="2815"/>
    </row>
    <row r="158" spans="1:30" ht="30">
      <c r="A158" s="2884">
        <v>44889</v>
      </c>
      <c r="B158" s="2143" t="s">
        <v>13624</v>
      </c>
      <c r="C158" s="2141" t="s">
        <v>2434</v>
      </c>
      <c r="D158" s="2141" t="s">
        <v>3204</v>
      </c>
      <c r="E158" s="2141" t="s">
        <v>13952</v>
      </c>
      <c r="F158" s="2142" t="s">
        <v>13622</v>
      </c>
      <c r="G158" s="2141">
        <v>2</v>
      </c>
      <c r="H158" s="2143" t="s">
        <v>13628</v>
      </c>
      <c r="I158" s="2143" t="s">
        <v>15369</v>
      </c>
      <c r="J158" s="2141" t="s">
        <v>642</v>
      </c>
      <c r="K158" s="2141"/>
      <c r="L158" s="2144">
        <v>248000</v>
      </c>
      <c r="M158" s="2141" t="s">
        <v>251</v>
      </c>
      <c r="N158" s="2140">
        <v>44929</v>
      </c>
      <c r="O158" s="2140">
        <v>44977</v>
      </c>
      <c r="P158" s="2140">
        <v>45012</v>
      </c>
      <c r="Q158" s="2143" t="s">
        <v>8278</v>
      </c>
      <c r="R158" s="2141"/>
      <c r="S158" s="2144">
        <v>248000</v>
      </c>
      <c r="T158" s="2144">
        <v>300080</v>
      </c>
      <c r="U158" s="2145"/>
      <c r="V158" s="2145"/>
      <c r="W158" s="2145"/>
      <c r="X158" s="2146">
        <v>45012</v>
      </c>
      <c r="Y158" s="2260" t="s">
        <v>14472</v>
      </c>
      <c r="Z158" s="2140">
        <v>45063</v>
      </c>
      <c r="AA158" s="2140">
        <v>45070</v>
      </c>
      <c r="AB158" s="2140">
        <v>46158</v>
      </c>
      <c r="AC158" s="2079"/>
      <c r="AD158" s="2817"/>
    </row>
    <row r="159" spans="1:30" ht="45">
      <c r="A159" s="2884">
        <v>44889</v>
      </c>
      <c r="B159" s="2143" t="s">
        <v>13625</v>
      </c>
      <c r="C159" s="2141" t="s">
        <v>2434</v>
      </c>
      <c r="D159" s="2141" t="s">
        <v>3204</v>
      </c>
      <c r="E159" s="2141" t="s">
        <v>13952</v>
      </c>
      <c r="F159" s="2142" t="s">
        <v>13622</v>
      </c>
      <c r="G159" s="2141">
        <v>3</v>
      </c>
      <c r="H159" s="2261" t="s">
        <v>13629</v>
      </c>
      <c r="I159" s="2261" t="s">
        <v>15369</v>
      </c>
      <c r="J159" s="2141" t="s">
        <v>642</v>
      </c>
      <c r="K159" s="2141"/>
      <c r="L159" s="2144">
        <v>6435000</v>
      </c>
      <c r="M159" s="2141" t="s">
        <v>251</v>
      </c>
      <c r="N159" s="2140">
        <v>44929</v>
      </c>
      <c r="O159" s="2140">
        <v>44977</v>
      </c>
      <c r="P159" s="2140">
        <v>45012</v>
      </c>
      <c r="Q159" s="2143" t="s">
        <v>8278</v>
      </c>
      <c r="R159" s="2141"/>
      <c r="S159" s="2144">
        <v>6435000</v>
      </c>
      <c r="T159" s="2144">
        <v>7786350</v>
      </c>
      <c r="U159" s="2145"/>
      <c r="V159" s="2145"/>
      <c r="W159" s="2145"/>
      <c r="X159" s="2146">
        <v>45012</v>
      </c>
      <c r="Y159" s="2260" t="s">
        <v>14473</v>
      </c>
      <c r="Z159" s="2140">
        <v>45051</v>
      </c>
      <c r="AA159" s="2140">
        <v>45070</v>
      </c>
      <c r="AB159" s="2140">
        <v>46146</v>
      </c>
      <c r="AC159" s="2079"/>
      <c r="AD159" s="2817"/>
    </row>
    <row r="160" spans="1:30" ht="30">
      <c r="A160" s="2884">
        <v>44889</v>
      </c>
      <c r="B160" s="2143" t="s">
        <v>13626</v>
      </c>
      <c r="C160" s="2141" t="s">
        <v>2434</v>
      </c>
      <c r="D160" s="2141" t="s">
        <v>3204</v>
      </c>
      <c r="E160" s="2141" t="s">
        <v>13952</v>
      </c>
      <c r="F160" s="2142" t="s">
        <v>13622</v>
      </c>
      <c r="G160" s="2141">
        <v>4</v>
      </c>
      <c r="H160" s="2143" t="s">
        <v>13630</v>
      </c>
      <c r="I160" s="2143" t="s">
        <v>15369</v>
      </c>
      <c r="J160" s="2141" t="s">
        <v>642</v>
      </c>
      <c r="K160" s="2141"/>
      <c r="L160" s="2144">
        <v>1895000</v>
      </c>
      <c r="M160" s="2141" t="s">
        <v>251</v>
      </c>
      <c r="N160" s="2140">
        <v>44929</v>
      </c>
      <c r="O160" s="2140">
        <v>44977</v>
      </c>
      <c r="P160" s="2140">
        <v>45012</v>
      </c>
      <c r="Q160" s="2143" t="s">
        <v>8278</v>
      </c>
      <c r="R160" s="2141"/>
      <c r="S160" s="2144">
        <v>1895000</v>
      </c>
      <c r="T160" s="2144">
        <v>2292950</v>
      </c>
      <c r="U160" s="2145"/>
      <c r="V160" s="2145"/>
      <c r="W160" s="2145"/>
      <c r="X160" s="2146">
        <v>45012</v>
      </c>
      <c r="Y160" s="2260" t="s">
        <v>14485</v>
      </c>
      <c r="Z160" s="2140">
        <v>45051</v>
      </c>
      <c r="AA160" s="2140">
        <v>45070</v>
      </c>
      <c r="AB160" s="2140">
        <v>46146</v>
      </c>
      <c r="AC160" s="2079"/>
      <c r="AD160" s="2817"/>
    </row>
    <row r="161" spans="1:30" ht="30">
      <c r="A161" s="2884">
        <v>44889</v>
      </c>
      <c r="B161" s="2143" t="s">
        <v>13627</v>
      </c>
      <c r="C161" s="2141" t="s">
        <v>2434</v>
      </c>
      <c r="D161" s="2141" t="s">
        <v>3204</v>
      </c>
      <c r="E161" s="2141" t="s">
        <v>13952</v>
      </c>
      <c r="F161" s="2142" t="s">
        <v>13622</v>
      </c>
      <c r="G161" s="2141">
        <v>5</v>
      </c>
      <c r="H161" s="2483" t="s">
        <v>13631</v>
      </c>
      <c r="I161" s="2913" t="s">
        <v>15369</v>
      </c>
      <c r="J161" s="2141" t="s">
        <v>642</v>
      </c>
      <c r="K161" s="2141"/>
      <c r="L161" s="2144">
        <v>1525000</v>
      </c>
      <c r="M161" s="2141" t="s">
        <v>251</v>
      </c>
      <c r="N161" s="2140">
        <v>44929</v>
      </c>
      <c r="O161" s="2140">
        <v>44977</v>
      </c>
      <c r="P161" s="2140">
        <v>45012</v>
      </c>
      <c r="Q161" s="2143" t="s">
        <v>8586</v>
      </c>
      <c r="R161" s="2141"/>
      <c r="S161" s="2144">
        <v>1495000</v>
      </c>
      <c r="T161" s="2144">
        <v>1808950</v>
      </c>
      <c r="U161" s="2145"/>
      <c r="V161" s="2145"/>
      <c r="W161" s="2145"/>
      <c r="X161" s="2146">
        <v>45012</v>
      </c>
      <c r="Y161" s="2260" t="s">
        <v>14486</v>
      </c>
      <c r="Z161" s="2140">
        <v>45044</v>
      </c>
      <c r="AA161" s="2140">
        <v>45070</v>
      </c>
      <c r="AB161" s="2140">
        <v>46139</v>
      </c>
      <c r="AC161" s="2079"/>
      <c r="AD161" s="2817"/>
    </row>
    <row r="162" spans="1:30" ht="30">
      <c r="A162" s="2887" t="s">
        <v>3585</v>
      </c>
      <c r="B162" s="2143" t="s">
        <v>13706</v>
      </c>
      <c r="C162" s="2141" t="s">
        <v>2434</v>
      </c>
      <c r="D162" s="2141" t="s">
        <v>3204</v>
      </c>
      <c r="E162" s="2141" t="s">
        <v>13952</v>
      </c>
      <c r="F162" s="2142" t="s">
        <v>13622</v>
      </c>
      <c r="G162" s="411">
        <v>6</v>
      </c>
      <c r="H162" s="2888" t="s">
        <v>13710</v>
      </c>
      <c r="I162" s="610" t="s">
        <v>15369</v>
      </c>
      <c r="J162" s="2141" t="s">
        <v>642</v>
      </c>
      <c r="K162" s="411"/>
      <c r="L162" s="417">
        <v>2736000</v>
      </c>
      <c r="M162" s="411" t="s">
        <v>251</v>
      </c>
      <c r="N162" s="416">
        <v>44929</v>
      </c>
      <c r="O162" s="416">
        <v>44977</v>
      </c>
      <c r="P162" s="416">
        <v>45012</v>
      </c>
      <c r="Q162" s="630" t="s">
        <v>1433</v>
      </c>
      <c r="R162" s="411"/>
      <c r="S162" s="417">
        <v>2584000</v>
      </c>
      <c r="T162" s="417">
        <v>3126640</v>
      </c>
      <c r="U162" s="1480"/>
      <c r="V162" s="1480"/>
      <c r="W162" s="1480"/>
      <c r="X162" s="513">
        <v>45012</v>
      </c>
      <c r="Y162" s="2260" t="s">
        <v>14487</v>
      </c>
      <c r="Z162" s="416">
        <v>45049</v>
      </c>
      <c r="AA162" s="416">
        <v>45070</v>
      </c>
      <c r="AB162" s="416">
        <v>46144</v>
      </c>
      <c r="AC162" s="2076"/>
      <c r="AD162" s="2822"/>
    </row>
    <row r="163" spans="1:30" ht="30">
      <c r="A163" s="2887" t="s">
        <v>3585</v>
      </c>
      <c r="B163" s="2143" t="s">
        <v>13707</v>
      </c>
      <c r="C163" s="2141" t="s">
        <v>2434</v>
      </c>
      <c r="D163" s="2141" t="s">
        <v>3204</v>
      </c>
      <c r="E163" s="2141" t="s">
        <v>13952</v>
      </c>
      <c r="F163" s="2142" t="s">
        <v>13622</v>
      </c>
      <c r="G163" s="411">
        <v>7</v>
      </c>
      <c r="H163" s="2888" t="s">
        <v>13711</v>
      </c>
      <c r="I163" s="610" t="s">
        <v>15369</v>
      </c>
      <c r="J163" s="2141" t="s">
        <v>642</v>
      </c>
      <c r="K163" s="411"/>
      <c r="L163" s="417">
        <v>1200000</v>
      </c>
      <c r="M163" s="411" t="s">
        <v>251</v>
      </c>
      <c r="N163" s="416">
        <v>44929</v>
      </c>
      <c r="O163" s="416">
        <v>44977</v>
      </c>
      <c r="P163" s="416">
        <v>45012</v>
      </c>
      <c r="Q163" s="630" t="s">
        <v>8278</v>
      </c>
      <c r="R163" s="411"/>
      <c r="S163" s="417">
        <v>1200000</v>
      </c>
      <c r="T163" s="417">
        <v>1452000</v>
      </c>
      <c r="U163" s="1480"/>
      <c r="V163" s="1480"/>
      <c r="W163" s="1480"/>
      <c r="X163" s="513">
        <v>45012</v>
      </c>
      <c r="Y163" s="2260" t="s">
        <v>14488</v>
      </c>
      <c r="Z163" s="416">
        <v>45063</v>
      </c>
      <c r="AA163" s="416">
        <v>45070</v>
      </c>
      <c r="AB163" s="416">
        <v>46158</v>
      </c>
      <c r="AC163" s="2076"/>
      <c r="AD163" s="2822"/>
    </row>
    <row r="164" spans="1:30" ht="30">
      <c r="A164" s="2887" t="s">
        <v>3585</v>
      </c>
      <c r="B164" s="2143" t="s">
        <v>13708</v>
      </c>
      <c r="C164" s="2141" t="s">
        <v>2434</v>
      </c>
      <c r="D164" s="2141" t="s">
        <v>3204</v>
      </c>
      <c r="E164" s="2141" t="s">
        <v>13952</v>
      </c>
      <c r="F164" s="2142" t="s">
        <v>13622</v>
      </c>
      <c r="G164" s="411">
        <v>8</v>
      </c>
      <c r="H164" s="2888" t="s">
        <v>13712</v>
      </c>
      <c r="I164" s="610" t="s">
        <v>15369</v>
      </c>
      <c r="J164" s="2141" t="s">
        <v>642</v>
      </c>
      <c r="K164" s="411"/>
      <c r="L164" s="417">
        <v>1440000</v>
      </c>
      <c r="M164" s="411" t="s">
        <v>251</v>
      </c>
      <c r="N164" s="416">
        <v>44929</v>
      </c>
      <c r="O164" s="416">
        <v>44977</v>
      </c>
      <c r="P164" s="416">
        <v>45012</v>
      </c>
      <c r="Q164" s="630" t="s">
        <v>1433</v>
      </c>
      <c r="R164" s="411"/>
      <c r="S164" s="417">
        <v>816000</v>
      </c>
      <c r="T164" s="417">
        <v>987360</v>
      </c>
      <c r="U164" s="1480"/>
      <c r="V164" s="1480"/>
      <c r="W164" s="1480"/>
      <c r="X164" s="513">
        <v>45012</v>
      </c>
      <c r="Y164" s="2260" t="s">
        <v>14489</v>
      </c>
      <c r="Z164" s="416">
        <v>45049</v>
      </c>
      <c r="AA164" s="416">
        <v>45070</v>
      </c>
      <c r="AB164" s="416">
        <v>46144</v>
      </c>
      <c r="AC164" s="2076"/>
      <c r="AD164" s="2822"/>
    </row>
    <row r="165" spans="1:30" ht="15.75" customHeight="1" thickBot="1">
      <c r="A165" s="2885" t="s">
        <v>3585</v>
      </c>
      <c r="B165" s="2746" t="s">
        <v>13709</v>
      </c>
      <c r="C165" s="2747" t="s">
        <v>2434</v>
      </c>
      <c r="D165" s="2747" t="s">
        <v>3204</v>
      </c>
      <c r="E165" s="2290" t="s">
        <v>13952</v>
      </c>
      <c r="F165" s="2883" t="s">
        <v>13622</v>
      </c>
      <c r="G165" s="2747">
        <v>9</v>
      </c>
      <c r="H165" s="2886" t="s">
        <v>12997</v>
      </c>
      <c r="I165" s="2912" t="s">
        <v>15369</v>
      </c>
      <c r="J165" s="2747" t="s">
        <v>642</v>
      </c>
      <c r="K165" s="2747"/>
      <c r="L165" s="2608">
        <v>1249587</v>
      </c>
      <c r="M165" s="2118" t="s">
        <v>251</v>
      </c>
      <c r="N165" s="2117">
        <v>44929</v>
      </c>
      <c r="O165" s="2117">
        <v>44977</v>
      </c>
      <c r="P165" s="2117">
        <v>45012</v>
      </c>
      <c r="Q165" s="2120" t="s">
        <v>1400</v>
      </c>
      <c r="R165" s="2118"/>
      <c r="S165" s="2121">
        <v>1309091.1299999999</v>
      </c>
      <c r="T165" s="2121">
        <v>1584000.27</v>
      </c>
      <c r="U165" s="2122"/>
      <c r="V165" s="2122"/>
      <c r="W165" s="2122"/>
      <c r="X165" s="2123">
        <v>45012</v>
      </c>
      <c r="Y165" s="2121" t="s">
        <v>14484</v>
      </c>
      <c r="Z165" s="2117">
        <v>45044</v>
      </c>
      <c r="AA165" s="2117">
        <v>45070</v>
      </c>
      <c r="AB165" s="2117">
        <v>46139</v>
      </c>
      <c r="AC165" s="2081"/>
      <c r="AD165" s="2829"/>
    </row>
    <row r="166" spans="1:30" ht="30.75" thickTop="1">
      <c r="A166" s="2141" t="s">
        <v>3585</v>
      </c>
      <c r="B166" s="2143" t="s">
        <v>13651</v>
      </c>
      <c r="C166" s="2141" t="s">
        <v>58</v>
      </c>
      <c r="D166" s="2141" t="s">
        <v>4969</v>
      </c>
      <c r="E166" s="2141" t="s">
        <v>13948</v>
      </c>
      <c r="F166" s="2142" t="s">
        <v>13652</v>
      </c>
      <c r="G166" s="2141"/>
      <c r="H166" s="2143"/>
      <c r="I166" s="2143" t="s">
        <v>15369</v>
      </c>
      <c r="J166" s="2141" t="s">
        <v>4267</v>
      </c>
      <c r="K166" s="2141"/>
      <c r="L166" s="2144">
        <v>290000</v>
      </c>
      <c r="M166" s="2141" t="s">
        <v>251</v>
      </c>
      <c r="N166" s="2140">
        <v>44896</v>
      </c>
      <c r="O166" s="2140">
        <v>44930</v>
      </c>
      <c r="P166" s="2140">
        <v>44967</v>
      </c>
      <c r="Q166" s="2143" t="s">
        <v>14130</v>
      </c>
      <c r="R166" s="2141"/>
      <c r="S166" s="2144">
        <v>344900</v>
      </c>
      <c r="T166" s="2144">
        <v>417329</v>
      </c>
      <c r="U166" s="2145"/>
      <c r="V166" s="2145"/>
      <c r="W166" s="2145"/>
      <c r="X166" s="2146">
        <v>44967</v>
      </c>
      <c r="Y166" s="2260" t="s">
        <v>14183</v>
      </c>
      <c r="Z166" s="2140">
        <v>45014</v>
      </c>
      <c r="AA166" s="2140">
        <v>45020</v>
      </c>
      <c r="AB166" s="2140">
        <v>45028</v>
      </c>
      <c r="AC166" s="2085"/>
      <c r="AD166" s="2085"/>
    </row>
    <row r="167" spans="1:30">
      <c r="A167" s="2140">
        <v>44893</v>
      </c>
      <c r="B167" s="2143" t="s">
        <v>13655</v>
      </c>
      <c r="C167" s="2141" t="s">
        <v>2434</v>
      </c>
      <c r="D167" s="2141" t="s">
        <v>219</v>
      </c>
      <c r="E167" s="2141" t="s">
        <v>13952</v>
      </c>
      <c r="F167" s="2142" t="s">
        <v>13656</v>
      </c>
      <c r="G167" s="2141"/>
      <c r="H167" s="2143"/>
      <c r="I167" s="2143" t="s">
        <v>15369</v>
      </c>
      <c r="J167" s="2141" t="s">
        <v>3271</v>
      </c>
      <c r="K167" s="2141"/>
      <c r="L167" s="2144">
        <v>1096600</v>
      </c>
      <c r="M167" s="2141" t="s">
        <v>251</v>
      </c>
      <c r="N167" s="2140">
        <v>44897</v>
      </c>
      <c r="O167" s="2140">
        <v>44931</v>
      </c>
      <c r="P167" s="2140">
        <v>44959</v>
      </c>
      <c r="Q167" s="2143" t="s">
        <v>4315</v>
      </c>
      <c r="R167" s="2141"/>
      <c r="S167" s="2144">
        <v>1092074</v>
      </c>
      <c r="T167" s="2144">
        <v>1321409.54</v>
      </c>
      <c r="U167" s="2145"/>
      <c r="V167" s="2145"/>
      <c r="W167" s="2145"/>
      <c r="X167" s="2146">
        <v>44959</v>
      </c>
      <c r="Y167" s="2144" t="s">
        <v>14142</v>
      </c>
      <c r="Z167" s="2140">
        <v>45005</v>
      </c>
      <c r="AA167" s="2140">
        <v>45033</v>
      </c>
      <c r="AB167" s="2140">
        <v>45089</v>
      </c>
      <c r="AC167" s="2085"/>
      <c r="AD167" s="2085"/>
    </row>
    <row r="168" spans="1:30" ht="30">
      <c r="A168" s="2140">
        <v>44895</v>
      </c>
      <c r="B168" s="2143" t="s">
        <v>13657</v>
      </c>
      <c r="C168" s="2141" t="s">
        <v>58</v>
      </c>
      <c r="D168" s="2141" t="s">
        <v>4969</v>
      </c>
      <c r="E168" s="2141" t="s">
        <v>655</v>
      </c>
      <c r="F168" s="2142" t="s">
        <v>13658</v>
      </c>
      <c r="G168" s="2141"/>
      <c r="H168" s="2143"/>
      <c r="I168" s="2143" t="s">
        <v>15369</v>
      </c>
      <c r="J168" s="2141" t="s">
        <v>4312</v>
      </c>
      <c r="K168" s="2141" t="s">
        <v>13659</v>
      </c>
      <c r="L168" s="2144">
        <v>166400</v>
      </c>
      <c r="M168" s="2141" t="s">
        <v>112</v>
      </c>
      <c r="N168" s="2140">
        <v>44896</v>
      </c>
      <c r="O168" s="2140">
        <v>44904</v>
      </c>
      <c r="P168" s="2140">
        <v>44944</v>
      </c>
      <c r="Q168" s="2143" t="s">
        <v>13920</v>
      </c>
      <c r="R168" s="2141"/>
      <c r="S168" s="2144">
        <v>151740</v>
      </c>
      <c r="T168" s="2144">
        <v>183605.4</v>
      </c>
      <c r="U168" s="2145"/>
      <c r="V168" s="2145"/>
      <c r="W168" s="2145"/>
      <c r="X168" s="2146">
        <v>44944</v>
      </c>
      <c r="Y168" s="2260" t="s">
        <v>14030</v>
      </c>
      <c r="Z168" s="2140">
        <v>44985</v>
      </c>
      <c r="AA168" s="2140">
        <v>44995</v>
      </c>
      <c r="AB168" s="2140">
        <v>45069</v>
      </c>
      <c r="AC168" s="2154"/>
      <c r="AD168" s="2154"/>
    </row>
    <row r="169" spans="1:30" ht="60">
      <c r="A169" s="2140">
        <v>44895</v>
      </c>
      <c r="B169" s="2143" t="s">
        <v>13660</v>
      </c>
      <c r="C169" s="2141" t="s">
        <v>58</v>
      </c>
      <c r="D169" s="2141" t="s">
        <v>4969</v>
      </c>
      <c r="E169" s="2141" t="s">
        <v>13948</v>
      </c>
      <c r="F169" s="2142" t="s">
        <v>652</v>
      </c>
      <c r="G169" s="2141"/>
      <c r="H169" s="2143"/>
      <c r="I169" s="2143" t="s">
        <v>15369</v>
      </c>
      <c r="J169" s="2141" t="s">
        <v>737</v>
      </c>
      <c r="K169" s="2141" t="s">
        <v>13661</v>
      </c>
      <c r="L169" s="2144">
        <v>31962689</v>
      </c>
      <c r="M169" s="2141" t="s">
        <v>251</v>
      </c>
      <c r="N169" s="2140">
        <v>44908</v>
      </c>
      <c r="O169" s="2140">
        <v>44944</v>
      </c>
      <c r="P169" s="2140">
        <v>44972</v>
      </c>
      <c r="Q169" s="2143" t="s">
        <v>2995</v>
      </c>
      <c r="R169" s="2141"/>
      <c r="S169" s="2144">
        <v>31962688.800000001</v>
      </c>
      <c r="T169" s="2144">
        <v>38674853.450000003</v>
      </c>
      <c r="U169" s="2145"/>
      <c r="V169" s="2145"/>
      <c r="W169" s="2145"/>
      <c r="X169" s="2146">
        <v>44972</v>
      </c>
      <c r="Y169" s="2260" t="s">
        <v>14232</v>
      </c>
      <c r="Z169" s="2140">
        <v>45014</v>
      </c>
      <c r="AA169" s="2140">
        <v>45022</v>
      </c>
      <c r="AB169" s="2140">
        <v>46474</v>
      </c>
      <c r="AC169" s="2085"/>
      <c r="AD169" s="2085"/>
    </row>
    <row r="170" spans="1:30">
      <c r="A170" s="2140">
        <v>44888</v>
      </c>
      <c r="B170" s="2143" t="s">
        <v>13666</v>
      </c>
      <c r="C170" s="2141" t="s">
        <v>52</v>
      </c>
      <c r="D170" s="2141" t="s">
        <v>5894</v>
      </c>
      <c r="E170" s="2141" t="s">
        <v>13950</v>
      </c>
      <c r="F170" s="2142" t="s">
        <v>13667</v>
      </c>
      <c r="G170" s="2141"/>
      <c r="H170" s="2143"/>
      <c r="I170" s="2143" t="s">
        <v>15369</v>
      </c>
      <c r="J170" s="2141" t="s">
        <v>1708</v>
      </c>
      <c r="K170" s="2141"/>
      <c r="L170" s="2144">
        <v>7500000</v>
      </c>
      <c r="M170" s="2141" t="s">
        <v>251</v>
      </c>
      <c r="N170" s="2140">
        <v>44909</v>
      </c>
      <c r="O170" s="2140">
        <v>44980</v>
      </c>
      <c r="P170" s="2140">
        <v>45014</v>
      </c>
      <c r="Q170" s="2143" t="s">
        <v>1861</v>
      </c>
      <c r="R170" s="2141"/>
      <c r="S170" s="2144">
        <v>5126000</v>
      </c>
      <c r="T170" s="2144">
        <v>6202460</v>
      </c>
      <c r="U170" s="2145"/>
      <c r="V170" s="2145"/>
      <c r="W170" s="2145"/>
      <c r="X170" s="2146">
        <v>45014</v>
      </c>
      <c r="Y170" s="2144" t="s">
        <v>14509</v>
      </c>
      <c r="Z170" s="2140">
        <v>45040</v>
      </c>
      <c r="AA170" s="2140">
        <v>45044</v>
      </c>
      <c r="AB170" s="2140">
        <v>45265</v>
      </c>
      <c r="AC170" s="2085"/>
      <c r="AD170" s="2085"/>
    </row>
    <row r="171" spans="1:30" ht="30">
      <c r="A171" s="2140">
        <v>44894</v>
      </c>
      <c r="B171" s="2143" t="s">
        <v>13673</v>
      </c>
      <c r="C171" s="2141" t="s">
        <v>2434</v>
      </c>
      <c r="D171" s="2141" t="s">
        <v>3204</v>
      </c>
      <c r="E171" s="2141" t="s">
        <v>13952</v>
      </c>
      <c r="F171" s="2142" t="s">
        <v>13674</v>
      </c>
      <c r="G171" s="2141"/>
      <c r="H171" s="2143"/>
      <c r="I171" s="2143" t="s">
        <v>15369</v>
      </c>
      <c r="J171" s="2141" t="s">
        <v>642</v>
      </c>
      <c r="K171" s="2141"/>
      <c r="L171" s="2144">
        <v>2786400</v>
      </c>
      <c r="M171" s="2141" t="s">
        <v>216</v>
      </c>
      <c r="N171" s="2140">
        <v>44902</v>
      </c>
      <c r="O171" s="2140">
        <v>44939</v>
      </c>
      <c r="P171" s="2140">
        <v>44963</v>
      </c>
      <c r="Q171" s="2143" t="s">
        <v>3154</v>
      </c>
      <c r="R171" s="2141"/>
      <c r="S171" s="2144">
        <v>2786400</v>
      </c>
      <c r="T171" s="2144">
        <v>3371544</v>
      </c>
      <c r="U171" s="2145"/>
      <c r="V171" s="2145"/>
      <c r="W171" s="2145"/>
      <c r="X171" s="2146">
        <v>44963</v>
      </c>
      <c r="Y171" s="2260" t="s">
        <v>14153</v>
      </c>
      <c r="Z171" s="2140">
        <v>44992</v>
      </c>
      <c r="AA171" s="2140">
        <v>45009</v>
      </c>
      <c r="AB171" s="2140">
        <v>46476</v>
      </c>
      <c r="AC171" s="1437"/>
      <c r="AD171" s="1437"/>
    </row>
    <row r="172" spans="1:30">
      <c r="A172" s="365">
        <v>44896</v>
      </c>
      <c r="B172" s="3192" t="s">
        <v>13689</v>
      </c>
      <c r="C172" s="3191" t="s">
        <v>69</v>
      </c>
      <c r="D172" s="3191" t="s">
        <v>70</v>
      </c>
      <c r="E172" s="3191" t="s">
        <v>13949</v>
      </c>
      <c r="F172" s="175" t="s">
        <v>13693</v>
      </c>
      <c r="G172" s="3191">
        <v>1</v>
      </c>
      <c r="H172" s="3192" t="s">
        <v>13694</v>
      </c>
      <c r="I172" s="3192" t="s">
        <v>15369</v>
      </c>
      <c r="J172" s="3191" t="s">
        <v>3436</v>
      </c>
      <c r="K172" s="3191"/>
      <c r="L172" s="364">
        <v>3197700</v>
      </c>
      <c r="M172" s="3191" t="s">
        <v>251</v>
      </c>
      <c r="N172" s="365">
        <v>44928</v>
      </c>
      <c r="O172" s="365">
        <v>44963</v>
      </c>
      <c r="P172" s="365">
        <v>44987</v>
      </c>
      <c r="Q172" s="3192" t="s">
        <v>8542</v>
      </c>
      <c r="R172" s="3191"/>
      <c r="S172" s="364">
        <v>3101158.53</v>
      </c>
      <c r="T172" s="364">
        <v>3411274.38</v>
      </c>
      <c r="U172" s="1473"/>
      <c r="V172" s="1473"/>
      <c r="W172" s="1473"/>
      <c r="X172" s="681">
        <v>44987</v>
      </c>
      <c r="Y172" s="364" t="s">
        <v>14258</v>
      </c>
      <c r="Z172" s="365">
        <v>45016</v>
      </c>
      <c r="AA172" s="365">
        <v>45021</v>
      </c>
      <c r="AB172" s="365">
        <v>46111</v>
      </c>
      <c r="AC172" s="817"/>
      <c r="AD172" s="817"/>
    </row>
    <row r="173" spans="1:30">
      <c r="A173" s="643">
        <v>44896</v>
      </c>
      <c r="B173" s="1533" t="s">
        <v>13690</v>
      </c>
      <c r="C173" s="639" t="s">
        <v>69</v>
      </c>
      <c r="D173" s="639" t="s">
        <v>70</v>
      </c>
      <c r="E173" s="639" t="s">
        <v>13949</v>
      </c>
      <c r="F173" s="640" t="s">
        <v>13693</v>
      </c>
      <c r="G173" s="639">
        <v>2</v>
      </c>
      <c r="H173" s="1533" t="s">
        <v>13695</v>
      </c>
      <c r="I173" s="1533" t="s">
        <v>242</v>
      </c>
      <c r="J173" s="639" t="s">
        <v>3436</v>
      </c>
      <c r="K173" s="639"/>
      <c r="L173" s="645">
        <v>686464</v>
      </c>
      <c r="M173" s="639" t="s">
        <v>251</v>
      </c>
      <c r="N173" s="643">
        <v>44928</v>
      </c>
      <c r="O173" s="643">
        <v>44963</v>
      </c>
      <c r="P173" s="639"/>
      <c r="Q173" s="644" t="s">
        <v>2635</v>
      </c>
      <c r="R173" s="639"/>
      <c r="S173" s="645"/>
      <c r="T173" s="645"/>
      <c r="U173" s="1534"/>
      <c r="V173" s="1534"/>
      <c r="W173" s="1534"/>
      <c r="X173" s="645"/>
      <c r="Y173" s="645"/>
      <c r="Z173" s="639"/>
      <c r="AA173" s="643">
        <v>45009</v>
      </c>
      <c r="AB173" s="1533" t="s">
        <v>14276</v>
      </c>
      <c r="AC173" s="810"/>
      <c r="AD173" s="810"/>
    </row>
    <row r="174" spans="1:30">
      <c r="A174" s="2141" t="s">
        <v>3585</v>
      </c>
      <c r="B174" s="2143" t="s">
        <v>13715</v>
      </c>
      <c r="C174" s="2141" t="s">
        <v>69</v>
      </c>
      <c r="D174" s="2141" t="s">
        <v>70</v>
      </c>
      <c r="E174" s="2141" t="s">
        <v>13949</v>
      </c>
      <c r="F174" s="2142" t="s">
        <v>13716</v>
      </c>
      <c r="G174" s="2141"/>
      <c r="H174" s="2143"/>
      <c r="I174" s="2143" t="s">
        <v>15369</v>
      </c>
      <c r="J174" s="2141" t="s">
        <v>4278</v>
      </c>
      <c r="K174" s="2141"/>
      <c r="L174" s="2144">
        <v>697450</v>
      </c>
      <c r="M174" s="2141" t="s">
        <v>112</v>
      </c>
      <c r="N174" s="2140">
        <v>44902</v>
      </c>
      <c r="O174" s="2140">
        <v>44911</v>
      </c>
      <c r="P174" s="2140">
        <v>44917</v>
      </c>
      <c r="Q174" s="2143" t="s">
        <v>576</v>
      </c>
      <c r="R174" s="2141"/>
      <c r="S174" s="2144">
        <v>617752.05000000005</v>
      </c>
      <c r="T174" s="2144">
        <v>679527.26</v>
      </c>
      <c r="U174" s="2145"/>
      <c r="V174" s="2145"/>
      <c r="W174" s="2145"/>
      <c r="X174" s="2146">
        <v>44917</v>
      </c>
      <c r="Y174" s="2144" t="s">
        <v>13808</v>
      </c>
      <c r="Z174" s="2140">
        <v>44944</v>
      </c>
      <c r="AA174" s="2140">
        <v>44946</v>
      </c>
      <c r="AB174" s="2140">
        <v>46039</v>
      </c>
      <c r="AC174" s="2154"/>
      <c r="AD174" s="2154"/>
    </row>
    <row r="175" spans="1:30">
      <c r="A175" s="2140">
        <v>44901</v>
      </c>
      <c r="B175" s="2143" t="s">
        <v>13717</v>
      </c>
      <c r="C175" s="2141" t="s">
        <v>2434</v>
      </c>
      <c r="D175" s="2141" t="s">
        <v>219</v>
      </c>
      <c r="E175" s="2141" t="s">
        <v>13952</v>
      </c>
      <c r="F175" s="2142" t="s">
        <v>3382</v>
      </c>
      <c r="G175" s="2141"/>
      <c r="H175" s="2143"/>
      <c r="I175" s="2143" t="s">
        <v>15369</v>
      </c>
      <c r="J175" s="2141" t="s">
        <v>642</v>
      </c>
      <c r="K175" s="2141"/>
      <c r="L175" s="2144">
        <v>1992000</v>
      </c>
      <c r="M175" s="2141" t="s">
        <v>216</v>
      </c>
      <c r="N175" s="2140">
        <v>44903</v>
      </c>
      <c r="O175" s="2140">
        <v>44923</v>
      </c>
      <c r="P175" s="2140">
        <v>44967</v>
      </c>
      <c r="Q175" s="2143" t="s">
        <v>6763</v>
      </c>
      <c r="R175" s="2141"/>
      <c r="S175" s="2144">
        <v>1992000</v>
      </c>
      <c r="T175" s="2144">
        <v>2410320</v>
      </c>
      <c r="U175" s="2145"/>
      <c r="V175" s="2145"/>
      <c r="W175" s="2145"/>
      <c r="X175" s="2146">
        <v>44967</v>
      </c>
      <c r="Y175" s="2144" t="s">
        <v>14182</v>
      </c>
      <c r="Z175" s="2140">
        <v>45007</v>
      </c>
      <c r="AA175" s="2140">
        <v>45036</v>
      </c>
      <c r="AB175" s="2140">
        <v>46467</v>
      </c>
      <c r="AC175" s="2154"/>
      <c r="AD175" s="2154"/>
    </row>
    <row r="176" spans="1:30">
      <c r="A176" s="416">
        <v>44902</v>
      </c>
      <c r="B176" s="630" t="s">
        <v>13720</v>
      </c>
      <c r="C176" s="411" t="s">
        <v>2111</v>
      </c>
      <c r="D176" s="411" t="s">
        <v>9080</v>
      </c>
      <c r="E176" s="411" t="s">
        <v>13951</v>
      </c>
      <c r="F176" s="412" t="s">
        <v>13721</v>
      </c>
      <c r="G176" s="411"/>
      <c r="H176" s="630"/>
      <c r="I176" s="630" t="s">
        <v>15369</v>
      </c>
      <c r="J176" s="411" t="s">
        <v>9412</v>
      </c>
      <c r="K176" s="411"/>
      <c r="L176" s="417">
        <v>1303917</v>
      </c>
      <c r="M176" s="411" t="s">
        <v>112</v>
      </c>
      <c r="N176" s="416">
        <v>44903</v>
      </c>
      <c r="O176" s="416">
        <v>44915</v>
      </c>
      <c r="P176" s="416">
        <v>44937</v>
      </c>
      <c r="Q176" s="630" t="s">
        <v>6641</v>
      </c>
      <c r="R176" s="411"/>
      <c r="S176" s="417">
        <v>983592.8</v>
      </c>
      <c r="T176" s="417">
        <v>1190147.29</v>
      </c>
      <c r="U176" s="1480"/>
      <c r="V176" s="1480"/>
      <c r="W176" s="1480"/>
      <c r="X176" s="513">
        <v>44937</v>
      </c>
      <c r="Y176" s="417" t="s">
        <v>13998</v>
      </c>
      <c r="Z176" s="416">
        <v>44953</v>
      </c>
      <c r="AA176" s="416">
        <v>44958</v>
      </c>
      <c r="AB176" s="416">
        <v>45317</v>
      </c>
      <c r="AC176" s="406"/>
      <c r="AD176" s="406"/>
    </row>
    <row r="177" spans="1:30" ht="15.75" thickBot="1">
      <c r="A177" s="2117">
        <v>44901</v>
      </c>
      <c r="B177" s="2120" t="s">
        <v>13723</v>
      </c>
      <c r="C177" s="2118" t="s">
        <v>2434</v>
      </c>
      <c r="D177" s="2118" t="s">
        <v>219</v>
      </c>
      <c r="E177" s="2118" t="s">
        <v>655</v>
      </c>
      <c r="F177" s="2785" t="s">
        <v>8437</v>
      </c>
      <c r="G177" s="2118">
        <v>2</v>
      </c>
      <c r="H177" s="2120" t="s">
        <v>13725</v>
      </c>
      <c r="I177" s="2120" t="s">
        <v>15369</v>
      </c>
      <c r="J177" s="2118" t="s">
        <v>642</v>
      </c>
      <c r="K177" s="2118"/>
      <c r="L177" s="2121">
        <v>1053360</v>
      </c>
      <c r="M177" s="2118" t="s">
        <v>112</v>
      </c>
      <c r="N177" s="2117">
        <v>44908</v>
      </c>
      <c r="O177" s="2117">
        <v>44916</v>
      </c>
      <c r="P177" s="2117">
        <v>44929</v>
      </c>
      <c r="Q177" s="2120" t="s">
        <v>6763</v>
      </c>
      <c r="R177" s="2118"/>
      <c r="S177" s="2121">
        <v>877800</v>
      </c>
      <c r="T177" s="2121">
        <v>1062138</v>
      </c>
      <c r="U177" s="2122"/>
      <c r="V177" s="2122"/>
      <c r="W177" s="2122"/>
      <c r="X177" s="2123">
        <v>44929</v>
      </c>
      <c r="Y177" s="2121" t="s">
        <v>13944</v>
      </c>
      <c r="Z177" s="2117">
        <v>44946</v>
      </c>
      <c r="AA177" s="2117">
        <v>44956</v>
      </c>
      <c r="AB177" s="2117">
        <v>46468</v>
      </c>
      <c r="AC177" s="2297"/>
      <c r="AD177" s="2297"/>
    </row>
    <row r="178" spans="1:30" ht="30.75" thickTop="1">
      <c r="A178" s="365">
        <v>44903</v>
      </c>
      <c r="B178" s="3192" t="s">
        <v>13744</v>
      </c>
      <c r="C178" s="3191" t="s">
        <v>2434</v>
      </c>
      <c r="D178" s="3191" t="s">
        <v>3204</v>
      </c>
      <c r="E178" s="453" t="s">
        <v>13952</v>
      </c>
      <c r="F178" s="2875" t="s">
        <v>13745</v>
      </c>
      <c r="G178" s="3191"/>
      <c r="H178" s="3192"/>
      <c r="I178" s="3192" t="s">
        <v>15369</v>
      </c>
      <c r="J178" s="3191" t="s">
        <v>642</v>
      </c>
      <c r="K178" s="3191"/>
      <c r="L178" s="364">
        <v>36939130.399999999</v>
      </c>
      <c r="M178" s="3191" t="s">
        <v>251</v>
      </c>
      <c r="N178" s="365">
        <v>44908</v>
      </c>
      <c r="O178" s="365">
        <v>44942</v>
      </c>
      <c r="P178" s="365">
        <v>44956</v>
      </c>
      <c r="Q178" s="3192" t="s">
        <v>2776</v>
      </c>
      <c r="R178" s="3191"/>
      <c r="S178" s="364">
        <v>36939130.399999999</v>
      </c>
      <c r="T178" s="364">
        <v>42480000</v>
      </c>
      <c r="U178" s="1473"/>
      <c r="V178" s="1473"/>
      <c r="W178" s="1473"/>
      <c r="X178" s="681">
        <v>44956</v>
      </c>
      <c r="Y178" s="1417" t="s">
        <v>14122</v>
      </c>
      <c r="Z178" s="365">
        <v>44970</v>
      </c>
      <c r="AA178" s="365">
        <v>44995</v>
      </c>
      <c r="AB178" s="365">
        <v>46440</v>
      </c>
      <c r="AC178" s="576"/>
      <c r="AD178" s="576"/>
    </row>
    <row r="179" spans="1:30" ht="30">
      <c r="A179" s="2141" t="s">
        <v>3585</v>
      </c>
      <c r="B179" s="2143" t="s">
        <v>13747</v>
      </c>
      <c r="C179" s="2141" t="s">
        <v>58</v>
      </c>
      <c r="D179" s="2141" t="s">
        <v>4969</v>
      </c>
      <c r="E179" s="2141" t="s">
        <v>655</v>
      </c>
      <c r="F179" s="2142" t="s">
        <v>13748</v>
      </c>
      <c r="G179" s="2141"/>
      <c r="H179" s="2143"/>
      <c r="I179" s="2143" t="s">
        <v>15369</v>
      </c>
      <c r="J179" s="2141" t="s">
        <v>1294</v>
      </c>
      <c r="K179" s="2141" t="s">
        <v>12679</v>
      </c>
      <c r="L179" s="2144">
        <v>148000</v>
      </c>
      <c r="M179" s="2141" t="s">
        <v>112</v>
      </c>
      <c r="N179" s="2140">
        <v>44908</v>
      </c>
      <c r="O179" s="2140">
        <v>44916</v>
      </c>
      <c r="P179" s="2140">
        <v>44950</v>
      </c>
      <c r="Q179" s="2143" t="s">
        <v>14034</v>
      </c>
      <c r="R179" s="2141"/>
      <c r="S179" s="2144">
        <v>138650</v>
      </c>
      <c r="T179" s="2144">
        <v>167766.5</v>
      </c>
      <c r="U179" s="2145"/>
      <c r="V179" s="2145"/>
      <c r="W179" s="2145"/>
      <c r="X179" s="2146">
        <v>44951</v>
      </c>
      <c r="Y179" s="2260" t="s">
        <v>14093</v>
      </c>
      <c r="Z179" s="2140">
        <v>44987</v>
      </c>
      <c r="AA179" s="2140">
        <v>44995</v>
      </c>
      <c r="AB179" s="2140">
        <v>45015</v>
      </c>
      <c r="AC179" s="2154"/>
      <c r="AD179" s="2154"/>
    </row>
    <row r="180" spans="1:30" ht="45">
      <c r="A180" s="2140">
        <v>44910</v>
      </c>
      <c r="B180" s="2143" t="s">
        <v>13769</v>
      </c>
      <c r="C180" s="2141" t="s">
        <v>2434</v>
      </c>
      <c r="D180" s="2141" t="s">
        <v>3204</v>
      </c>
      <c r="E180" s="2141" t="s">
        <v>13948</v>
      </c>
      <c r="F180" s="2142" t="s">
        <v>13770</v>
      </c>
      <c r="G180" s="2141"/>
      <c r="H180" s="2143"/>
      <c r="I180" s="2143" t="s">
        <v>15369</v>
      </c>
      <c r="J180" s="2141" t="s">
        <v>7092</v>
      </c>
      <c r="K180" s="2141"/>
      <c r="L180" s="2144">
        <v>2012800</v>
      </c>
      <c r="M180" s="2141" t="s">
        <v>216</v>
      </c>
      <c r="N180" s="2140">
        <v>44917</v>
      </c>
      <c r="O180" s="2140">
        <v>44937</v>
      </c>
      <c r="P180" s="2140">
        <v>44951</v>
      </c>
      <c r="Q180" s="2143" t="s">
        <v>5696</v>
      </c>
      <c r="R180" s="2141"/>
      <c r="S180" s="2144">
        <v>2012800</v>
      </c>
      <c r="T180" s="2144">
        <v>2314720</v>
      </c>
      <c r="U180" s="2145"/>
      <c r="V180" s="2145"/>
      <c r="W180" s="2145"/>
      <c r="X180" s="2146">
        <v>44951</v>
      </c>
      <c r="Y180" s="2260" t="s">
        <v>14094</v>
      </c>
      <c r="Z180" s="2140">
        <v>44992</v>
      </c>
      <c r="AA180" s="2140">
        <v>45000</v>
      </c>
      <c r="AB180" s="2140">
        <v>46503</v>
      </c>
      <c r="AC180" s="2085"/>
      <c r="AD180" s="2085"/>
    </row>
    <row r="181" spans="1:30">
      <c r="A181" s="2124">
        <v>44909</v>
      </c>
      <c r="B181" s="2127" t="s">
        <v>13781</v>
      </c>
      <c r="C181" s="2125" t="s">
        <v>2434</v>
      </c>
      <c r="D181" s="2125" t="s">
        <v>3204</v>
      </c>
      <c r="E181" s="2125" t="s">
        <v>13952</v>
      </c>
      <c r="F181" s="2126" t="s">
        <v>8420</v>
      </c>
      <c r="G181" s="2125"/>
      <c r="H181" s="2127"/>
      <c r="I181" s="2127" t="s">
        <v>242</v>
      </c>
      <c r="J181" s="2125" t="s">
        <v>7092</v>
      </c>
      <c r="K181" s="2125"/>
      <c r="L181" s="2128">
        <v>2392000</v>
      </c>
      <c r="M181" s="2125" t="s">
        <v>216</v>
      </c>
      <c r="N181" s="2124">
        <v>44917</v>
      </c>
      <c r="O181" s="2124">
        <v>44937</v>
      </c>
      <c r="P181" s="2125"/>
      <c r="Q181" s="2136" t="s">
        <v>304</v>
      </c>
      <c r="R181" s="2275" t="s">
        <v>14160</v>
      </c>
      <c r="S181" s="2128"/>
      <c r="T181" s="2128"/>
      <c r="U181" s="2094"/>
      <c r="V181" s="2094"/>
      <c r="W181" s="2094"/>
      <c r="X181" s="2128"/>
      <c r="Y181" s="2128"/>
      <c r="Z181" s="2125"/>
      <c r="AA181" s="2124">
        <v>44958</v>
      </c>
      <c r="AB181" s="2127" t="s">
        <v>14102</v>
      </c>
      <c r="AC181" s="2085"/>
      <c r="AD181" s="2085"/>
    </row>
    <row r="182" spans="1:30">
      <c r="A182" s="2140">
        <v>44916</v>
      </c>
      <c r="B182" s="2143" t="s">
        <v>13812</v>
      </c>
      <c r="C182" s="2141" t="s">
        <v>2111</v>
      </c>
      <c r="D182" s="2141" t="s">
        <v>9080</v>
      </c>
      <c r="E182" s="2141" t="s">
        <v>13952</v>
      </c>
      <c r="F182" s="2142" t="s">
        <v>13813</v>
      </c>
      <c r="G182" s="2141"/>
      <c r="H182" s="2143"/>
      <c r="I182" s="2143" t="s">
        <v>15369</v>
      </c>
      <c r="J182" s="2141" t="s">
        <v>2113</v>
      </c>
      <c r="K182" s="2141"/>
      <c r="L182" s="2144">
        <v>4130812</v>
      </c>
      <c r="M182" s="2141" t="s">
        <v>251</v>
      </c>
      <c r="N182" s="2140">
        <v>44922</v>
      </c>
      <c r="O182" s="2140">
        <v>44963</v>
      </c>
      <c r="P182" s="2140">
        <v>44977</v>
      </c>
      <c r="Q182" s="2143" t="s">
        <v>8207</v>
      </c>
      <c r="R182" s="2141"/>
      <c r="S182" s="2144">
        <v>2505593</v>
      </c>
      <c r="T182" s="2144">
        <v>3031767.53</v>
      </c>
      <c r="U182" s="2145"/>
      <c r="V182" s="2145"/>
      <c r="W182" s="2145"/>
      <c r="X182" s="2146">
        <v>44977</v>
      </c>
      <c r="Y182" s="2144" t="s">
        <v>14216</v>
      </c>
      <c r="Z182" s="2140">
        <v>45015</v>
      </c>
      <c r="AA182" s="2140">
        <v>45041</v>
      </c>
      <c r="AB182" s="2141"/>
      <c r="AC182" s="2079"/>
      <c r="AD182" s="2079"/>
    </row>
    <row r="183" spans="1:30" ht="30">
      <c r="A183" s="2140">
        <v>44916</v>
      </c>
      <c r="B183" s="2143" t="s">
        <v>13795</v>
      </c>
      <c r="C183" s="2141" t="s">
        <v>58</v>
      </c>
      <c r="D183" s="2141" t="s">
        <v>4969</v>
      </c>
      <c r="E183" s="2141" t="s">
        <v>13951</v>
      </c>
      <c r="F183" s="2142" t="s">
        <v>13796</v>
      </c>
      <c r="G183" s="2141"/>
      <c r="H183" s="2143"/>
      <c r="I183" s="2143" t="s">
        <v>15369</v>
      </c>
      <c r="J183" s="2141" t="s">
        <v>86</v>
      </c>
      <c r="K183" s="2141" t="s">
        <v>13797</v>
      </c>
      <c r="L183" s="2144">
        <v>230000</v>
      </c>
      <c r="M183" s="2141" t="s">
        <v>112</v>
      </c>
      <c r="N183" s="2140">
        <v>44924</v>
      </c>
      <c r="O183" s="2140">
        <v>44936</v>
      </c>
      <c r="P183" s="2140">
        <v>44944</v>
      </c>
      <c r="Q183" s="2143" t="s">
        <v>13997</v>
      </c>
      <c r="R183" s="2141"/>
      <c r="S183" s="2144">
        <v>209916</v>
      </c>
      <c r="T183" s="2144">
        <v>253998.36</v>
      </c>
      <c r="U183" s="2145"/>
      <c r="V183" s="2145"/>
      <c r="W183" s="2145"/>
      <c r="X183" s="2146">
        <v>44944</v>
      </c>
      <c r="Y183" s="2260" t="s">
        <v>14028</v>
      </c>
      <c r="Z183" s="2140">
        <v>44974</v>
      </c>
      <c r="AA183" s="2140">
        <v>44974</v>
      </c>
      <c r="AB183" s="2140">
        <v>45114</v>
      </c>
      <c r="AC183" s="2079"/>
      <c r="AD183" s="2079"/>
    </row>
    <row r="184" spans="1:30">
      <c r="A184" s="2140">
        <v>44914</v>
      </c>
      <c r="B184" s="2143" t="s">
        <v>13809</v>
      </c>
      <c r="C184" s="2141" t="s">
        <v>1032</v>
      </c>
      <c r="D184" s="2141" t="s">
        <v>361</v>
      </c>
      <c r="E184" s="2141" t="s">
        <v>13950</v>
      </c>
      <c r="F184" s="2142" t="s">
        <v>13810</v>
      </c>
      <c r="G184" s="2141"/>
      <c r="H184" s="2143"/>
      <c r="I184" s="2143" t="s">
        <v>15369</v>
      </c>
      <c r="J184" s="2141" t="s">
        <v>13811</v>
      </c>
      <c r="K184" s="2141"/>
      <c r="L184" s="2144">
        <v>5500000</v>
      </c>
      <c r="M184" s="2141" t="s">
        <v>251</v>
      </c>
      <c r="N184" s="2140">
        <v>44928</v>
      </c>
      <c r="O184" s="2140">
        <v>44963</v>
      </c>
      <c r="P184" s="2140">
        <v>44998</v>
      </c>
      <c r="Q184" s="2143" t="s">
        <v>13207</v>
      </c>
      <c r="R184" s="2141"/>
      <c r="S184" s="2144">
        <v>2808336</v>
      </c>
      <c r="T184" s="2144">
        <v>3398086.56</v>
      </c>
      <c r="U184" s="2145"/>
      <c r="V184" s="2145"/>
      <c r="W184" s="2145"/>
      <c r="X184" s="2146">
        <v>44998</v>
      </c>
      <c r="Y184" s="2144" t="s">
        <v>14344</v>
      </c>
      <c r="Z184" s="2140">
        <v>45040</v>
      </c>
      <c r="AA184" s="2140">
        <v>45044</v>
      </c>
      <c r="AB184" s="2140">
        <v>46500</v>
      </c>
      <c r="AC184" s="2799"/>
      <c r="AD184" s="2799"/>
    </row>
    <row r="185" spans="1:30">
      <c r="A185" s="2141" t="s">
        <v>3585</v>
      </c>
      <c r="B185" s="2143" t="s">
        <v>13829</v>
      </c>
      <c r="C185" s="2141" t="s">
        <v>2434</v>
      </c>
      <c r="D185" s="2141" t="s">
        <v>219</v>
      </c>
      <c r="E185" s="2141" t="s">
        <v>655</v>
      </c>
      <c r="F185" s="2142" t="s">
        <v>13830</v>
      </c>
      <c r="G185" s="2141"/>
      <c r="H185" s="2143"/>
      <c r="I185" s="2143" t="s">
        <v>15369</v>
      </c>
      <c r="J185" s="2141" t="s">
        <v>642</v>
      </c>
      <c r="K185" s="2141"/>
      <c r="L185" s="2144">
        <v>403700</v>
      </c>
      <c r="M185" s="2141" t="s">
        <v>112</v>
      </c>
      <c r="N185" s="2140">
        <v>44928</v>
      </c>
      <c r="O185" s="2140">
        <v>44937</v>
      </c>
      <c r="P185" s="2140">
        <v>44939</v>
      </c>
      <c r="Q185" s="2143" t="s">
        <v>1433</v>
      </c>
      <c r="R185" s="2141"/>
      <c r="S185" s="2144">
        <v>403700</v>
      </c>
      <c r="T185" s="2144">
        <v>488477</v>
      </c>
      <c r="U185" s="2145"/>
      <c r="V185" s="2145"/>
      <c r="W185" s="2145"/>
      <c r="X185" s="2146">
        <v>44939</v>
      </c>
      <c r="Y185" s="2144" t="s">
        <v>14014</v>
      </c>
      <c r="Z185" s="2140">
        <v>44956</v>
      </c>
      <c r="AA185" s="2140">
        <v>44958</v>
      </c>
      <c r="AB185" s="2140">
        <v>46460</v>
      </c>
      <c r="AC185" s="2079"/>
      <c r="AD185" s="2079"/>
    </row>
    <row r="186" spans="1:30">
      <c r="A186" s="2124">
        <v>44915</v>
      </c>
      <c r="B186" s="2127" t="s">
        <v>13832</v>
      </c>
      <c r="C186" s="2125" t="s">
        <v>69</v>
      </c>
      <c r="D186" s="2125" t="s">
        <v>70</v>
      </c>
      <c r="E186" s="2125" t="s">
        <v>13949</v>
      </c>
      <c r="F186" s="2126" t="s">
        <v>13833</v>
      </c>
      <c r="G186" s="2125"/>
      <c r="H186" s="2127"/>
      <c r="I186" s="2127" t="s">
        <v>242</v>
      </c>
      <c r="J186" s="2125" t="s">
        <v>1658</v>
      </c>
      <c r="K186" s="2125"/>
      <c r="L186" s="2128">
        <v>1806250</v>
      </c>
      <c r="M186" s="2125" t="s">
        <v>112</v>
      </c>
      <c r="N186" s="2124">
        <v>44928</v>
      </c>
      <c r="O186" s="2124">
        <v>44938</v>
      </c>
      <c r="P186" s="2125"/>
      <c r="Q186" s="2136" t="s">
        <v>14324</v>
      </c>
      <c r="R186" s="2275" t="s">
        <v>14325</v>
      </c>
      <c r="S186" s="2128">
        <v>1066550</v>
      </c>
      <c r="T186" s="2128">
        <v>1290525.5</v>
      </c>
      <c r="U186" s="2415"/>
      <c r="V186" s="2415"/>
      <c r="W186" s="2415"/>
      <c r="X186" s="2128"/>
      <c r="Y186" s="2128"/>
      <c r="Z186" s="2125"/>
      <c r="AA186" s="2124">
        <v>44994</v>
      </c>
      <c r="AB186" s="2125"/>
      <c r="AC186" s="2799"/>
      <c r="AD186" s="2799"/>
    </row>
    <row r="187" spans="1:30" ht="15.75" thickBot="1">
      <c r="A187" s="2124">
        <v>44915</v>
      </c>
      <c r="B187" s="2127" t="s">
        <v>13835</v>
      </c>
      <c r="C187" s="2125" t="s">
        <v>52</v>
      </c>
      <c r="D187" s="2125" t="s">
        <v>3089</v>
      </c>
      <c r="E187" s="2125" t="s">
        <v>13948</v>
      </c>
      <c r="F187" s="2126" t="s">
        <v>13836</v>
      </c>
      <c r="G187" s="2125"/>
      <c r="H187" s="2127"/>
      <c r="I187" s="2127" t="s">
        <v>242</v>
      </c>
      <c r="J187" s="2125" t="s">
        <v>2113</v>
      </c>
      <c r="K187" s="2125"/>
      <c r="L187" s="2128">
        <v>2500000</v>
      </c>
      <c r="M187" s="2125" t="s">
        <v>216</v>
      </c>
      <c r="N187" s="2124">
        <v>44935</v>
      </c>
      <c r="O187" s="2124">
        <v>44966</v>
      </c>
      <c r="P187" s="2124">
        <v>44980</v>
      </c>
      <c r="Q187" s="2136" t="s">
        <v>14324</v>
      </c>
      <c r="R187" s="2275" t="s">
        <v>14391</v>
      </c>
      <c r="S187" s="2128">
        <v>2181000</v>
      </c>
      <c r="T187" s="2128">
        <v>2639010</v>
      </c>
      <c r="U187" s="2129"/>
      <c r="V187" s="2129"/>
      <c r="W187" s="2129"/>
      <c r="X187" s="2281">
        <v>44980</v>
      </c>
      <c r="Y187" s="2128" t="s">
        <v>14245</v>
      </c>
      <c r="Z187" s="2125"/>
      <c r="AA187" s="2124">
        <v>45019</v>
      </c>
      <c r="AB187" s="2125" t="s">
        <v>14436</v>
      </c>
      <c r="AC187" s="2799"/>
      <c r="AD187" s="2799"/>
    </row>
    <row r="188" spans="1:30">
      <c r="A188" s="2593" t="s">
        <v>3585</v>
      </c>
      <c r="B188" s="2595" t="s">
        <v>13839</v>
      </c>
      <c r="C188" s="2593" t="s">
        <v>2111</v>
      </c>
      <c r="D188" s="2593" t="s">
        <v>9080</v>
      </c>
      <c r="E188" s="2593" t="s">
        <v>13951</v>
      </c>
      <c r="F188" s="2594" t="s">
        <v>13840</v>
      </c>
      <c r="G188" s="2593"/>
      <c r="H188" s="2595"/>
      <c r="I188" s="2595" t="s">
        <v>15369</v>
      </c>
      <c r="J188" s="2593" t="s">
        <v>13619</v>
      </c>
      <c r="K188" s="2593"/>
      <c r="L188" s="2596">
        <v>559776.59</v>
      </c>
      <c r="M188" s="2593" t="s">
        <v>112</v>
      </c>
      <c r="N188" s="2592">
        <v>44929</v>
      </c>
      <c r="O188" s="2592">
        <v>44942</v>
      </c>
      <c r="P188" s="2592">
        <v>45001</v>
      </c>
      <c r="Q188" s="2595" t="s">
        <v>14416</v>
      </c>
      <c r="R188" s="2593"/>
      <c r="S188" s="2596">
        <v>627829.56000000006</v>
      </c>
      <c r="T188" s="2596">
        <v>759673.77</v>
      </c>
      <c r="U188" s="2597"/>
      <c r="V188" s="2597"/>
      <c r="W188" s="2597"/>
      <c r="X188" s="2598">
        <v>45001</v>
      </c>
      <c r="Y188" s="2596" t="s">
        <v>14415</v>
      </c>
      <c r="Z188" s="2592">
        <v>45014</v>
      </c>
      <c r="AA188" s="2592">
        <v>45015</v>
      </c>
      <c r="AB188" s="2592">
        <v>45197</v>
      </c>
      <c r="AC188" s="2799"/>
      <c r="AD188" s="2799"/>
    </row>
    <row r="189" spans="1:30" ht="30">
      <c r="A189" s="2140">
        <v>44908</v>
      </c>
      <c r="B189" s="2143" t="s">
        <v>13842</v>
      </c>
      <c r="C189" s="2141" t="s">
        <v>13843</v>
      </c>
      <c r="D189" s="2141" t="s">
        <v>13844</v>
      </c>
      <c r="E189" s="2141" t="s">
        <v>13949</v>
      </c>
      <c r="F189" s="2142" t="s">
        <v>13845</v>
      </c>
      <c r="G189" s="2141"/>
      <c r="H189" s="2143"/>
      <c r="I189" s="2143" t="s">
        <v>15369</v>
      </c>
      <c r="J189" s="2141" t="s">
        <v>42</v>
      </c>
      <c r="K189" s="2141"/>
      <c r="L189" s="2144">
        <v>2840000</v>
      </c>
      <c r="M189" s="2141" t="s">
        <v>216</v>
      </c>
      <c r="N189" s="2140">
        <v>44971</v>
      </c>
      <c r="O189" s="2140">
        <v>45020</v>
      </c>
      <c r="P189" s="2140">
        <v>45104</v>
      </c>
      <c r="Q189" s="2143" t="s">
        <v>14677</v>
      </c>
      <c r="R189" s="2141"/>
      <c r="S189" s="2144">
        <v>2056000</v>
      </c>
      <c r="T189" s="2144">
        <v>2487760</v>
      </c>
      <c r="U189" s="2145"/>
      <c r="V189" s="2145"/>
      <c r="W189" s="2145"/>
      <c r="X189" s="2146">
        <v>45104</v>
      </c>
      <c r="Y189" s="2260" t="s">
        <v>15221</v>
      </c>
      <c r="Z189" s="2140">
        <v>45126</v>
      </c>
      <c r="AA189" s="2140">
        <v>45133</v>
      </c>
      <c r="AB189" s="2143" t="s">
        <v>15449</v>
      </c>
      <c r="AC189" s="2799"/>
      <c r="AD189" s="2799"/>
    </row>
    <row r="190" spans="1:30" ht="30.75" thickBot="1">
      <c r="A190" s="416">
        <v>44908</v>
      </c>
      <c r="B190" s="630" t="s">
        <v>13846</v>
      </c>
      <c r="C190" s="411" t="s">
        <v>13843</v>
      </c>
      <c r="D190" s="411" t="s">
        <v>13844</v>
      </c>
      <c r="E190" s="411" t="s">
        <v>13949</v>
      </c>
      <c r="F190" s="412" t="s">
        <v>13847</v>
      </c>
      <c r="G190" s="411"/>
      <c r="H190" s="630"/>
      <c r="I190" s="630" t="s">
        <v>15369</v>
      </c>
      <c r="J190" s="411" t="s">
        <v>42</v>
      </c>
      <c r="K190" s="411"/>
      <c r="L190" s="417">
        <v>11458052</v>
      </c>
      <c r="M190" s="411" t="s">
        <v>251</v>
      </c>
      <c r="N190" s="416">
        <v>44953</v>
      </c>
      <c r="O190" s="416">
        <v>45012</v>
      </c>
      <c r="P190" s="416">
        <v>45048</v>
      </c>
      <c r="Q190" s="630" t="s">
        <v>14677</v>
      </c>
      <c r="R190" s="411"/>
      <c r="S190" s="417">
        <v>11458052</v>
      </c>
      <c r="T190" s="417">
        <v>13864242.92</v>
      </c>
      <c r="U190" s="1490"/>
      <c r="V190" s="1490"/>
      <c r="W190" s="1490"/>
      <c r="X190" s="513">
        <v>45048</v>
      </c>
      <c r="Y190" s="1553" t="s">
        <v>14796</v>
      </c>
      <c r="Z190" s="416">
        <v>45083</v>
      </c>
      <c r="AA190" s="416">
        <v>45085</v>
      </c>
      <c r="AB190" s="416">
        <v>46909</v>
      </c>
      <c r="AC190" s="2799"/>
      <c r="AD190" s="2799"/>
    </row>
    <row r="191" spans="1:30" ht="15.75" thickTop="1">
      <c r="A191" s="474">
        <v>44914</v>
      </c>
      <c r="B191" s="1420" t="s">
        <v>13849</v>
      </c>
      <c r="C191" s="453" t="s">
        <v>69</v>
      </c>
      <c r="D191" s="453" t="s">
        <v>15241</v>
      </c>
      <c r="E191" s="453" t="s">
        <v>13949</v>
      </c>
      <c r="F191" s="473" t="s">
        <v>13848</v>
      </c>
      <c r="G191" s="453">
        <v>1</v>
      </c>
      <c r="H191" s="1420" t="s">
        <v>13852</v>
      </c>
      <c r="I191" s="1420" t="s">
        <v>15369</v>
      </c>
      <c r="J191" s="453" t="s">
        <v>671</v>
      </c>
      <c r="K191" s="453"/>
      <c r="L191" s="457">
        <v>3308256</v>
      </c>
      <c r="M191" s="453" t="s">
        <v>251</v>
      </c>
      <c r="N191" s="474">
        <v>45022</v>
      </c>
      <c r="O191" s="474">
        <v>45096</v>
      </c>
      <c r="P191" s="474">
        <v>45152</v>
      </c>
      <c r="Q191" s="1420" t="s">
        <v>15552</v>
      </c>
      <c r="R191" s="453"/>
      <c r="S191" s="457">
        <v>2973600</v>
      </c>
      <c r="T191" s="457">
        <v>3270960</v>
      </c>
      <c r="U191" s="1474"/>
      <c r="V191" s="1474"/>
      <c r="W191" s="1474"/>
      <c r="X191" s="570">
        <v>45152</v>
      </c>
      <c r="Y191" s="457" t="s">
        <v>15582</v>
      </c>
      <c r="Z191" s="474">
        <v>45175</v>
      </c>
      <c r="AA191" s="474">
        <v>45176</v>
      </c>
      <c r="AB191" s="474">
        <v>46270</v>
      </c>
      <c r="AC191" s="2799"/>
      <c r="AD191" s="2799"/>
    </row>
    <row r="192" spans="1:30">
      <c r="A192" s="2140">
        <v>44914</v>
      </c>
      <c r="B192" s="2143" t="s">
        <v>13850</v>
      </c>
      <c r="C192" s="2141" t="s">
        <v>69</v>
      </c>
      <c r="D192" s="2141" t="s">
        <v>15241</v>
      </c>
      <c r="E192" s="2141" t="s">
        <v>13949</v>
      </c>
      <c r="F192" s="2142" t="s">
        <v>13848</v>
      </c>
      <c r="G192" s="2141">
        <v>2</v>
      </c>
      <c r="H192" s="2143" t="s">
        <v>13853</v>
      </c>
      <c r="I192" s="2143" t="s">
        <v>15369</v>
      </c>
      <c r="J192" s="2141" t="s">
        <v>671</v>
      </c>
      <c r="K192" s="2141"/>
      <c r="L192" s="2144">
        <v>3828960</v>
      </c>
      <c r="M192" s="2141" t="s">
        <v>251</v>
      </c>
      <c r="N192" s="2140">
        <v>45022</v>
      </c>
      <c r="O192" s="2140">
        <v>45096</v>
      </c>
      <c r="P192" s="2140">
        <v>45152</v>
      </c>
      <c r="Q192" s="2143" t="s">
        <v>8856</v>
      </c>
      <c r="R192" s="2141"/>
      <c r="S192" s="2144">
        <v>3166560</v>
      </c>
      <c r="T192" s="2144">
        <v>3483216</v>
      </c>
      <c r="U192" s="2145"/>
      <c r="V192" s="2145"/>
      <c r="W192" s="2145"/>
      <c r="X192" s="2146">
        <v>45152</v>
      </c>
      <c r="Y192" s="2144" t="s">
        <v>15583</v>
      </c>
      <c r="Z192" s="2140">
        <v>45175</v>
      </c>
      <c r="AA192" s="2140">
        <v>45176</v>
      </c>
      <c r="AB192" s="2140">
        <v>46270</v>
      </c>
      <c r="AC192" s="2799"/>
      <c r="AD192" s="2799"/>
    </row>
    <row r="193" spans="1:30" ht="15.75" thickBot="1">
      <c r="A193" s="2130">
        <v>44914</v>
      </c>
      <c r="B193" s="2133" t="s">
        <v>13851</v>
      </c>
      <c r="C193" s="2131" t="s">
        <v>69</v>
      </c>
      <c r="D193" s="2131" t="s">
        <v>15241</v>
      </c>
      <c r="E193" s="2131" t="s">
        <v>13949</v>
      </c>
      <c r="F193" s="2132" t="s">
        <v>13848</v>
      </c>
      <c r="G193" s="2131">
        <v>3</v>
      </c>
      <c r="H193" s="2133" t="s">
        <v>13854</v>
      </c>
      <c r="I193" s="2133" t="s">
        <v>242</v>
      </c>
      <c r="J193" s="2131" t="s">
        <v>671</v>
      </c>
      <c r="K193" s="2131"/>
      <c r="L193" s="2134">
        <v>2866917</v>
      </c>
      <c r="M193" s="2131" t="s">
        <v>251</v>
      </c>
      <c r="N193" s="2130">
        <v>45022</v>
      </c>
      <c r="O193" s="2130">
        <v>45096</v>
      </c>
      <c r="P193" s="2131"/>
      <c r="Q193" s="2137" t="s">
        <v>2635</v>
      </c>
      <c r="R193" s="2131"/>
      <c r="S193" s="2134"/>
      <c r="T193" s="2134"/>
      <c r="U193" s="2135"/>
      <c r="V193" s="2135"/>
      <c r="W193" s="2135"/>
      <c r="X193" s="2134"/>
      <c r="Y193" s="2134"/>
      <c r="Z193" s="2131"/>
      <c r="AA193" s="2130">
        <v>45176</v>
      </c>
      <c r="AB193" s="2133" t="s">
        <v>15631</v>
      </c>
      <c r="AC193" s="2799"/>
      <c r="AD193" s="2799"/>
    </row>
    <row r="194" spans="1:30" ht="15.75" thickTop="1">
      <c r="A194" s="474">
        <v>44924</v>
      </c>
      <c r="B194" s="1420" t="s">
        <v>13855</v>
      </c>
      <c r="C194" s="453" t="s">
        <v>69</v>
      </c>
      <c r="D194" s="453" t="s">
        <v>15129</v>
      </c>
      <c r="E194" s="453" t="s">
        <v>13949</v>
      </c>
      <c r="F194" s="473" t="s">
        <v>13861</v>
      </c>
      <c r="G194" s="453">
        <v>1</v>
      </c>
      <c r="H194" s="1420" t="s">
        <v>13862</v>
      </c>
      <c r="I194" s="1420" t="s">
        <v>15369</v>
      </c>
      <c r="J194" s="2269" t="s">
        <v>9104</v>
      </c>
      <c r="K194" s="453"/>
      <c r="L194" s="457">
        <v>1620955</v>
      </c>
      <c r="M194" s="453" t="s">
        <v>251</v>
      </c>
      <c r="N194" s="474">
        <v>45001</v>
      </c>
      <c r="O194" s="474">
        <v>45070</v>
      </c>
      <c r="P194" s="474">
        <v>45105</v>
      </c>
      <c r="Q194" s="1420" t="s">
        <v>6071</v>
      </c>
      <c r="R194" s="453"/>
      <c r="S194" s="457">
        <v>1701997.92</v>
      </c>
      <c r="T194" s="457">
        <v>1872197.71</v>
      </c>
      <c r="U194" s="1474"/>
      <c r="V194" s="1474"/>
      <c r="W194" s="1474"/>
      <c r="X194" s="570">
        <v>45105</v>
      </c>
      <c r="Y194" s="457" t="s">
        <v>15243</v>
      </c>
      <c r="Z194" s="474">
        <v>45138</v>
      </c>
      <c r="AA194" s="474">
        <v>45152</v>
      </c>
      <c r="AB194" s="474">
        <v>46233</v>
      </c>
      <c r="AC194" s="2799"/>
      <c r="AD194" s="2799"/>
    </row>
    <row r="195" spans="1:30">
      <c r="A195" s="2140">
        <v>44924</v>
      </c>
      <c r="B195" s="2143" t="s">
        <v>13856</v>
      </c>
      <c r="C195" s="2141" t="s">
        <v>69</v>
      </c>
      <c r="D195" s="2141" t="s">
        <v>15129</v>
      </c>
      <c r="E195" s="2141" t="s">
        <v>13949</v>
      </c>
      <c r="F195" s="2142" t="s">
        <v>13861</v>
      </c>
      <c r="G195" s="2141">
        <v>2</v>
      </c>
      <c r="H195" s="2143" t="s">
        <v>13863</v>
      </c>
      <c r="I195" s="2143" t="s">
        <v>15369</v>
      </c>
      <c r="J195" s="2264" t="s">
        <v>9104</v>
      </c>
      <c r="K195" s="2141"/>
      <c r="L195" s="2144">
        <v>1083608</v>
      </c>
      <c r="M195" s="2141" t="s">
        <v>251</v>
      </c>
      <c r="N195" s="2140">
        <v>45001</v>
      </c>
      <c r="O195" s="2140">
        <v>45070</v>
      </c>
      <c r="P195" s="2140">
        <v>45105</v>
      </c>
      <c r="Q195" s="2143" t="s">
        <v>1564</v>
      </c>
      <c r="R195" s="2141"/>
      <c r="S195" s="2144">
        <v>1068120</v>
      </c>
      <c r="T195" s="2144">
        <v>1174932</v>
      </c>
      <c r="U195" s="2145"/>
      <c r="V195" s="2145"/>
      <c r="W195" s="2145"/>
      <c r="X195" s="2146">
        <v>45105</v>
      </c>
      <c r="Y195" s="2144" t="s">
        <v>15244</v>
      </c>
      <c r="Z195" s="2140">
        <v>45138</v>
      </c>
      <c r="AA195" s="2140">
        <v>45152</v>
      </c>
      <c r="AB195" s="2140">
        <v>46233</v>
      </c>
      <c r="AC195" s="2799"/>
      <c r="AD195" s="2799"/>
    </row>
    <row r="196" spans="1:30">
      <c r="A196" s="2140">
        <v>44924</v>
      </c>
      <c r="B196" s="2143" t="s">
        <v>13857</v>
      </c>
      <c r="C196" s="2141" t="s">
        <v>69</v>
      </c>
      <c r="D196" s="2141" t="s">
        <v>15129</v>
      </c>
      <c r="E196" s="2141" t="s">
        <v>13949</v>
      </c>
      <c r="F196" s="2142" t="s">
        <v>13861</v>
      </c>
      <c r="G196" s="2141">
        <v>3</v>
      </c>
      <c r="H196" s="2143" t="s">
        <v>13864</v>
      </c>
      <c r="I196" s="2143" t="s">
        <v>15369</v>
      </c>
      <c r="J196" s="2264" t="s">
        <v>9104</v>
      </c>
      <c r="K196" s="2141"/>
      <c r="L196" s="2144">
        <v>715680</v>
      </c>
      <c r="M196" s="2141" t="s">
        <v>251</v>
      </c>
      <c r="N196" s="2140">
        <v>45001</v>
      </c>
      <c r="O196" s="2140">
        <v>45070</v>
      </c>
      <c r="P196" s="2140">
        <v>45105</v>
      </c>
      <c r="Q196" s="2143" t="s">
        <v>1564</v>
      </c>
      <c r="R196" s="2141"/>
      <c r="S196" s="2144">
        <v>705600</v>
      </c>
      <c r="T196" s="2144">
        <v>776160</v>
      </c>
      <c r="U196" s="2145"/>
      <c r="V196" s="2145"/>
      <c r="W196" s="2145"/>
      <c r="X196" s="2146">
        <v>45105</v>
      </c>
      <c r="Y196" s="2144" t="s">
        <v>15245</v>
      </c>
      <c r="Z196" s="2140">
        <v>45138</v>
      </c>
      <c r="AA196" s="2140">
        <v>45152</v>
      </c>
      <c r="AB196" s="2140">
        <v>46233</v>
      </c>
      <c r="AC196" s="2799"/>
      <c r="AD196" s="2799"/>
    </row>
    <row r="197" spans="1:30">
      <c r="A197" s="2140">
        <v>44924</v>
      </c>
      <c r="B197" s="2143" t="s">
        <v>13858</v>
      </c>
      <c r="C197" s="2141" t="s">
        <v>69</v>
      </c>
      <c r="D197" s="2141" t="s">
        <v>15129</v>
      </c>
      <c r="E197" s="2141" t="s">
        <v>13949</v>
      </c>
      <c r="F197" s="2142" t="s">
        <v>13861</v>
      </c>
      <c r="G197" s="2141">
        <v>4</v>
      </c>
      <c r="H197" s="2143" t="s">
        <v>13865</v>
      </c>
      <c r="I197" s="2143" t="s">
        <v>15369</v>
      </c>
      <c r="J197" s="2264" t="s">
        <v>9104</v>
      </c>
      <c r="K197" s="2141"/>
      <c r="L197" s="2144">
        <v>3834390</v>
      </c>
      <c r="M197" s="2141" t="s">
        <v>251</v>
      </c>
      <c r="N197" s="2140">
        <v>45001</v>
      </c>
      <c r="O197" s="2140">
        <v>45070</v>
      </c>
      <c r="P197" s="2140">
        <v>45105</v>
      </c>
      <c r="Q197" s="2143" t="s">
        <v>6071</v>
      </c>
      <c r="R197" s="2141"/>
      <c r="S197" s="2144">
        <v>3952512</v>
      </c>
      <c r="T197" s="2144">
        <v>4347763.2</v>
      </c>
      <c r="U197" s="2145"/>
      <c r="V197" s="2145"/>
      <c r="W197" s="2145"/>
      <c r="X197" s="2146">
        <v>45105</v>
      </c>
      <c r="Y197" s="2144" t="s">
        <v>15246</v>
      </c>
      <c r="Z197" s="2140">
        <v>45138</v>
      </c>
      <c r="AA197" s="2140">
        <v>45152</v>
      </c>
      <c r="AB197" s="2140">
        <v>46233</v>
      </c>
      <c r="AC197" s="2799"/>
      <c r="AD197" s="2799"/>
    </row>
    <row r="198" spans="1:30">
      <c r="A198" s="2140">
        <v>44924</v>
      </c>
      <c r="B198" s="2143" t="s">
        <v>13859</v>
      </c>
      <c r="C198" s="2141" t="s">
        <v>69</v>
      </c>
      <c r="D198" s="2141" t="s">
        <v>15129</v>
      </c>
      <c r="E198" s="2141" t="s">
        <v>13949</v>
      </c>
      <c r="F198" s="2142" t="s">
        <v>13861</v>
      </c>
      <c r="G198" s="2141">
        <v>5</v>
      </c>
      <c r="H198" s="2143" t="s">
        <v>13866</v>
      </c>
      <c r="I198" s="2143" t="s">
        <v>15369</v>
      </c>
      <c r="J198" s="2264" t="s">
        <v>9104</v>
      </c>
      <c r="K198" s="2141"/>
      <c r="L198" s="2144">
        <v>572581</v>
      </c>
      <c r="M198" s="2141" t="s">
        <v>251</v>
      </c>
      <c r="N198" s="2140">
        <v>45001</v>
      </c>
      <c r="O198" s="2140">
        <v>45070</v>
      </c>
      <c r="P198" s="2140">
        <v>45105</v>
      </c>
      <c r="Q198" s="2143" t="s">
        <v>6071</v>
      </c>
      <c r="R198" s="2141"/>
      <c r="S198" s="2144">
        <v>601389.31999999995</v>
      </c>
      <c r="T198" s="2144">
        <v>661528.25</v>
      </c>
      <c r="U198" s="2145"/>
      <c r="V198" s="2145"/>
      <c r="W198" s="2145"/>
      <c r="X198" s="2146">
        <v>45105</v>
      </c>
      <c r="Y198" s="2144" t="s">
        <v>15247</v>
      </c>
      <c r="Z198" s="2140">
        <v>45138</v>
      </c>
      <c r="AA198" s="2140">
        <v>45152</v>
      </c>
      <c r="AB198" s="2140">
        <v>46233</v>
      </c>
      <c r="AC198" s="2799"/>
      <c r="AD198" s="2799"/>
    </row>
    <row r="199" spans="1:30" ht="15.75" thickBot="1">
      <c r="A199" s="2117">
        <v>44924</v>
      </c>
      <c r="B199" s="2120" t="s">
        <v>13860</v>
      </c>
      <c r="C199" s="2118" t="s">
        <v>69</v>
      </c>
      <c r="D199" s="2118" t="s">
        <v>15129</v>
      </c>
      <c r="E199" s="2118" t="s">
        <v>13949</v>
      </c>
      <c r="F199" s="2119" t="s">
        <v>13861</v>
      </c>
      <c r="G199" s="2118">
        <v>6</v>
      </c>
      <c r="H199" s="2120" t="s">
        <v>13867</v>
      </c>
      <c r="I199" s="2120" t="s">
        <v>15369</v>
      </c>
      <c r="J199" s="2266" t="s">
        <v>9104</v>
      </c>
      <c r="K199" s="2118"/>
      <c r="L199" s="2121">
        <v>7800</v>
      </c>
      <c r="M199" s="2118" t="s">
        <v>251</v>
      </c>
      <c r="N199" s="2140">
        <v>45001</v>
      </c>
      <c r="O199" s="2140">
        <v>45070</v>
      </c>
      <c r="P199" s="2117">
        <v>45105</v>
      </c>
      <c r="Q199" s="2120" t="s">
        <v>6071</v>
      </c>
      <c r="R199" s="2118"/>
      <c r="S199" s="2121">
        <v>8400</v>
      </c>
      <c r="T199" s="2121">
        <v>9240</v>
      </c>
      <c r="U199" s="2122"/>
      <c r="V199" s="2122"/>
      <c r="W199" s="2122"/>
      <c r="X199" s="2123">
        <v>45105</v>
      </c>
      <c r="Y199" s="2121" t="s">
        <v>15248</v>
      </c>
      <c r="Z199" s="2117">
        <v>45138</v>
      </c>
      <c r="AA199" s="2117">
        <v>45152</v>
      </c>
      <c r="AB199" s="2117">
        <v>46233</v>
      </c>
      <c r="AC199" s="2799"/>
      <c r="AD199" s="2799"/>
    </row>
    <row r="200" spans="1:30" ht="15.75" thickTop="1">
      <c r="A200" s="474">
        <v>44924</v>
      </c>
      <c r="B200" s="1420" t="s">
        <v>13868</v>
      </c>
      <c r="C200" s="453" t="s">
        <v>69</v>
      </c>
      <c r="D200" s="453" t="s">
        <v>15129</v>
      </c>
      <c r="E200" s="453" t="s">
        <v>13949</v>
      </c>
      <c r="F200" s="473" t="s">
        <v>13874</v>
      </c>
      <c r="G200" s="453">
        <v>1</v>
      </c>
      <c r="H200" s="1420" t="s">
        <v>13875</v>
      </c>
      <c r="I200" s="1420" t="s">
        <v>15369</v>
      </c>
      <c r="J200" s="453" t="s">
        <v>9104</v>
      </c>
      <c r="K200" s="453"/>
      <c r="L200" s="457">
        <v>5841234</v>
      </c>
      <c r="M200" s="453" t="s">
        <v>251</v>
      </c>
      <c r="N200" s="474">
        <v>45006</v>
      </c>
      <c r="O200" s="474">
        <v>45068</v>
      </c>
      <c r="P200" s="474">
        <v>45105</v>
      </c>
      <c r="Q200" s="1420" t="s">
        <v>993</v>
      </c>
      <c r="R200" s="453"/>
      <c r="S200" s="457">
        <v>5841233.25</v>
      </c>
      <c r="T200" s="457">
        <v>6425356.5800000001</v>
      </c>
      <c r="U200" s="1474"/>
      <c r="V200" s="1474"/>
      <c r="W200" s="1474"/>
      <c r="X200" s="570">
        <v>45105</v>
      </c>
      <c r="Y200" s="457" t="s">
        <v>15249</v>
      </c>
      <c r="Z200" s="474">
        <v>45138</v>
      </c>
      <c r="AA200" s="474">
        <v>45148</v>
      </c>
      <c r="AB200" s="474">
        <v>46233</v>
      </c>
      <c r="AC200" s="1359"/>
      <c r="AD200" s="2799"/>
    </row>
    <row r="201" spans="1:30">
      <c r="A201" s="2140">
        <v>44924</v>
      </c>
      <c r="B201" s="3192" t="s">
        <v>13869</v>
      </c>
      <c r="C201" s="2141" t="s">
        <v>69</v>
      </c>
      <c r="D201" s="2141" t="s">
        <v>15129</v>
      </c>
      <c r="E201" s="2141" t="s">
        <v>13949</v>
      </c>
      <c r="F201" s="2142" t="s">
        <v>13874</v>
      </c>
      <c r="G201" s="2141">
        <v>2</v>
      </c>
      <c r="H201" s="2143" t="s">
        <v>13876</v>
      </c>
      <c r="I201" s="2143" t="s">
        <v>15369</v>
      </c>
      <c r="J201" s="2141" t="s">
        <v>9104</v>
      </c>
      <c r="K201" s="2141"/>
      <c r="L201" s="2144">
        <v>864962</v>
      </c>
      <c r="M201" s="2141" t="s">
        <v>251</v>
      </c>
      <c r="N201" s="2140">
        <v>45006</v>
      </c>
      <c r="O201" s="2140">
        <v>45068</v>
      </c>
      <c r="P201" s="2140">
        <v>45105</v>
      </c>
      <c r="Q201" s="2143" t="s">
        <v>993</v>
      </c>
      <c r="R201" s="2141"/>
      <c r="S201" s="2144">
        <v>839664</v>
      </c>
      <c r="T201" s="2144">
        <v>923630.4</v>
      </c>
      <c r="U201" s="2145"/>
      <c r="V201" s="2145"/>
      <c r="W201" s="2145"/>
      <c r="X201" s="2146">
        <v>45105</v>
      </c>
      <c r="Y201" s="2144" t="s">
        <v>15250</v>
      </c>
      <c r="Z201" s="2140">
        <v>45138</v>
      </c>
      <c r="AA201" s="2140">
        <v>45148</v>
      </c>
      <c r="AB201" s="2140">
        <v>46233</v>
      </c>
      <c r="AC201" s="1359"/>
      <c r="AD201" s="2799"/>
    </row>
    <row r="202" spans="1:30">
      <c r="A202" s="2140">
        <v>44924</v>
      </c>
      <c r="B202" s="3192" t="s">
        <v>13870</v>
      </c>
      <c r="C202" s="2141" t="s">
        <v>69</v>
      </c>
      <c r="D202" s="2141" t="s">
        <v>15129</v>
      </c>
      <c r="E202" s="2141" t="s">
        <v>13949</v>
      </c>
      <c r="F202" s="2142" t="s">
        <v>13874</v>
      </c>
      <c r="G202" s="2141">
        <v>3</v>
      </c>
      <c r="H202" s="2143" t="s">
        <v>13877</v>
      </c>
      <c r="I202" s="2143" t="s">
        <v>15369</v>
      </c>
      <c r="J202" s="2141" t="s">
        <v>9104</v>
      </c>
      <c r="K202" s="2141"/>
      <c r="L202" s="2144">
        <v>366792</v>
      </c>
      <c r="M202" s="2141" t="s">
        <v>251</v>
      </c>
      <c r="N202" s="2140">
        <v>45006</v>
      </c>
      <c r="O202" s="2140">
        <v>45068</v>
      </c>
      <c r="P202" s="2140">
        <v>45105</v>
      </c>
      <c r="Q202" s="2143" t="s">
        <v>6071</v>
      </c>
      <c r="R202" s="2141"/>
      <c r="S202" s="2144">
        <v>365313</v>
      </c>
      <c r="T202" s="2144">
        <v>401844.3</v>
      </c>
      <c r="U202" s="2145"/>
      <c r="V202" s="2145"/>
      <c r="W202" s="2145"/>
      <c r="X202" s="2146">
        <v>45105</v>
      </c>
      <c r="Y202" s="2144" t="s">
        <v>15251</v>
      </c>
      <c r="Z202" s="2140">
        <v>45138</v>
      </c>
      <c r="AA202" s="2140">
        <v>45148</v>
      </c>
      <c r="AB202" s="2140">
        <v>46233</v>
      </c>
      <c r="AC202" s="1359"/>
      <c r="AD202" s="2799"/>
    </row>
    <row r="203" spans="1:30">
      <c r="A203" s="2140">
        <v>44924</v>
      </c>
      <c r="B203" s="3192" t="s">
        <v>13871</v>
      </c>
      <c r="C203" s="2141" t="s">
        <v>69</v>
      </c>
      <c r="D203" s="2141" t="s">
        <v>15129</v>
      </c>
      <c r="E203" s="2141" t="s">
        <v>13949</v>
      </c>
      <c r="F203" s="2142" t="s">
        <v>13874</v>
      </c>
      <c r="G203" s="2141">
        <v>4</v>
      </c>
      <c r="H203" s="2143" t="s">
        <v>13878</v>
      </c>
      <c r="I203" s="2143" t="s">
        <v>15369</v>
      </c>
      <c r="J203" s="2141" t="s">
        <v>9104</v>
      </c>
      <c r="K203" s="2141"/>
      <c r="L203" s="2144">
        <v>2204381</v>
      </c>
      <c r="M203" s="2141" t="s">
        <v>251</v>
      </c>
      <c r="N203" s="2140">
        <v>45006</v>
      </c>
      <c r="O203" s="2140">
        <v>45068</v>
      </c>
      <c r="P203" s="2140">
        <v>45105</v>
      </c>
      <c r="Q203" s="2143" t="s">
        <v>993</v>
      </c>
      <c r="R203" s="2141"/>
      <c r="S203" s="2144">
        <v>2050141.2</v>
      </c>
      <c r="T203" s="2144">
        <v>2255155.3199999998</v>
      </c>
      <c r="U203" s="2145"/>
      <c r="V203" s="2145"/>
      <c r="W203" s="2145"/>
      <c r="X203" s="2146">
        <v>45105</v>
      </c>
      <c r="Y203" s="2144" t="s">
        <v>15252</v>
      </c>
      <c r="Z203" s="2140">
        <v>45138</v>
      </c>
      <c r="AA203" s="2140">
        <v>45148</v>
      </c>
      <c r="AB203" s="2140">
        <v>46233</v>
      </c>
      <c r="AC203" s="1359"/>
      <c r="AD203" s="2799"/>
    </row>
    <row r="204" spans="1:30">
      <c r="A204" s="2140">
        <v>44924</v>
      </c>
      <c r="B204" s="3192" t="s">
        <v>13872</v>
      </c>
      <c r="C204" s="2141" t="s">
        <v>69</v>
      </c>
      <c r="D204" s="2141" t="s">
        <v>15129</v>
      </c>
      <c r="E204" s="2141" t="s">
        <v>13949</v>
      </c>
      <c r="F204" s="2142" t="s">
        <v>13874</v>
      </c>
      <c r="G204" s="2141">
        <v>5</v>
      </c>
      <c r="H204" s="2143" t="s">
        <v>13879</v>
      </c>
      <c r="I204" s="2143" t="s">
        <v>15369</v>
      </c>
      <c r="J204" s="2141" t="s">
        <v>9104</v>
      </c>
      <c r="K204" s="2141"/>
      <c r="L204" s="2144">
        <v>1538568</v>
      </c>
      <c r="M204" s="2141" t="s">
        <v>251</v>
      </c>
      <c r="N204" s="2140">
        <v>45006</v>
      </c>
      <c r="O204" s="2140">
        <v>45068</v>
      </c>
      <c r="P204" s="2140">
        <v>45105</v>
      </c>
      <c r="Q204" s="2143" t="s">
        <v>6071</v>
      </c>
      <c r="R204" s="2141"/>
      <c r="S204" s="2144">
        <v>1512548.1</v>
      </c>
      <c r="T204" s="2144">
        <v>1663802.91</v>
      </c>
      <c r="U204" s="2145"/>
      <c r="V204" s="2145"/>
      <c r="W204" s="2145"/>
      <c r="X204" s="2146">
        <v>45105</v>
      </c>
      <c r="Y204" s="2144" t="s">
        <v>15253</v>
      </c>
      <c r="Z204" s="2140">
        <v>45138</v>
      </c>
      <c r="AA204" s="2140">
        <v>45148</v>
      </c>
      <c r="AB204" s="2140">
        <v>46233</v>
      </c>
      <c r="AC204" s="1359"/>
      <c r="AD204" s="2799"/>
    </row>
    <row r="205" spans="1:30" ht="15.75" thickBot="1">
      <c r="A205" s="2117">
        <v>44924</v>
      </c>
      <c r="B205" s="1983" t="s">
        <v>13873</v>
      </c>
      <c r="C205" s="2118" t="s">
        <v>69</v>
      </c>
      <c r="D205" s="2118" t="s">
        <v>15129</v>
      </c>
      <c r="E205" s="2118" t="s">
        <v>13949</v>
      </c>
      <c r="F205" s="2119" t="s">
        <v>13874</v>
      </c>
      <c r="G205" s="2118">
        <v>6</v>
      </c>
      <c r="H205" s="2120" t="s">
        <v>13880</v>
      </c>
      <c r="I205" s="2120" t="s">
        <v>15369</v>
      </c>
      <c r="J205" s="2118" t="s">
        <v>9104</v>
      </c>
      <c r="K205" s="2118"/>
      <c r="L205" s="2121">
        <v>10963</v>
      </c>
      <c r="M205" s="2118" t="s">
        <v>251</v>
      </c>
      <c r="N205" s="2117">
        <v>45006</v>
      </c>
      <c r="O205" s="2117">
        <v>45068</v>
      </c>
      <c r="P205" s="2117">
        <v>45105</v>
      </c>
      <c r="Q205" s="2120" t="s">
        <v>1564</v>
      </c>
      <c r="R205" s="2118"/>
      <c r="S205" s="2121">
        <v>10799.98</v>
      </c>
      <c r="T205" s="2121">
        <v>11879.98</v>
      </c>
      <c r="U205" s="2122"/>
      <c r="V205" s="2122"/>
      <c r="W205" s="2122"/>
      <c r="X205" s="2123">
        <v>45105</v>
      </c>
      <c r="Y205" s="2121" t="s">
        <v>15254</v>
      </c>
      <c r="Z205" s="2117">
        <v>45138</v>
      </c>
      <c r="AA205" s="2117">
        <v>45148</v>
      </c>
      <c r="AB205" s="2117">
        <v>46233</v>
      </c>
      <c r="AC205" s="1359"/>
      <c r="AD205" s="2799"/>
    </row>
    <row r="206" spans="1:30" ht="15.75" thickTop="1">
      <c r="A206" s="365">
        <v>44924</v>
      </c>
      <c r="B206" s="3192" t="s">
        <v>13884</v>
      </c>
      <c r="C206" s="3191" t="s">
        <v>69</v>
      </c>
      <c r="D206" s="3191" t="s">
        <v>15129</v>
      </c>
      <c r="E206" s="3191" t="s">
        <v>13949</v>
      </c>
      <c r="F206" s="175" t="s">
        <v>13883</v>
      </c>
      <c r="G206" s="3191">
        <v>1</v>
      </c>
      <c r="H206" s="3192" t="s">
        <v>13881</v>
      </c>
      <c r="I206" s="3192" t="s">
        <v>15369</v>
      </c>
      <c r="J206" s="3191" t="s">
        <v>9104</v>
      </c>
      <c r="K206" s="3191"/>
      <c r="L206" s="364">
        <v>247230</v>
      </c>
      <c r="M206" s="3191" t="s">
        <v>251</v>
      </c>
      <c r="N206" s="365">
        <v>45007</v>
      </c>
      <c r="O206" s="365">
        <v>45070</v>
      </c>
      <c r="P206" s="365">
        <v>45105</v>
      </c>
      <c r="Q206" s="3192" t="s">
        <v>1564</v>
      </c>
      <c r="R206" s="3191"/>
      <c r="S206" s="364">
        <v>2806158.27</v>
      </c>
      <c r="T206" s="364">
        <v>3086774.1</v>
      </c>
      <c r="U206" s="1473"/>
      <c r="V206" s="1473"/>
      <c r="W206" s="1473"/>
      <c r="X206" s="681">
        <v>45106</v>
      </c>
      <c r="Y206" s="364" t="s">
        <v>15255</v>
      </c>
      <c r="Z206" s="365">
        <v>45126</v>
      </c>
      <c r="AA206" s="365">
        <v>45131</v>
      </c>
      <c r="AB206" s="365">
        <v>46221</v>
      </c>
      <c r="AC206" s="2799"/>
      <c r="AD206" s="2799"/>
    </row>
    <row r="207" spans="1:30" ht="15.75" thickBot="1">
      <c r="A207" s="416">
        <v>44924</v>
      </c>
      <c r="B207" s="630" t="s">
        <v>13885</v>
      </c>
      <c r="C207" s="411" t="s">
        <v>69</v>
      </c>
      <c r="D207" s="411" t="s">
        <v>15129</v>
      </c>
      <c r="E207" s="411" t="s">
        <v>13949</v>
      </c>
      <c r="F207" s="412" t="s">
        <v>13883</v>
      </c>
      <c r="G207" s="411">
        <v>2</v>
      </c>
      <c r="H207" s="630" t="s">
        <v>13882</v>
      </c>
      <c r="I207" s="630" t="s">
        <v>15369</v>
      </c>
      <c r="J207" s="411" t="s">
        <v>9104</v>
      </c>
      <c r="K207" s="411"/>
      <c r="L207" s="417">
        <v>965884</v>
      </c>
      <c r="M207" s="411" t="s">
        <v>251</v>
      </c>
      <c r="N207" s="416">
        <v>45007</v>
      </c>
      <c r="O207" s="416">
        <v>45070</v>
      </c>
      <c r="P207" s="416">
        <v>45105</v>
      </c>
      <c r="Q207" s="630" t="s">
        <v>1564</v>
      </c>
      <c r="R207" s="411"/>
      <c r="S207" s="417">
        <v>965882.25</v>
      </c>
      <c r="T207" s="417">
        <v>1062470.48</v>
      </c>
      <c r="U207" s="1480"/>
      <c r="V207" s="1480"/>
      <c r="W207" s="1480"/>
      <c r="X207" s="513">
        <v>45106</v>
      </c>
      <c r="Y207" s="417" t="s">
        <v>15256</v>
      </c>
      <c r="Z207" s="416">
        <v>45126</v>
      </c>
      <c r="AA207" s="416">
        <v>45131</v>
      </c>
      <c r="AB207" s="416">
        <v>46221</v>
      </c>
      <c r="AC207" s="2799"/>
      <c r="AD207" s="2799"/>
    </row>
    <row r="208" spans="1:30" ht="15.75" thickTop="1">
      <c r="A208" s="443">
        <v>44924</v>
      </c>
      <c r="B208" s="1431" t="s">
        <v>13887</v>
      </c>
      <c r="C208" s="439" t="s">
        <v>69</v>
      </c>
      <c r="D208" s="439" t="s">
        <v>15129</v>
      </c>
      <c r="E208" s="439" t="s">
        <v>13949</v>
      </c>
      <c r="F208" s="440" t="s">
        <v>13886</v>
      </c>
      <c r="G208" s="439">
        <v>1</v>
      </c>
      <c r="H208" s="1431" t="s">
        <v>13893</v>
      </c>
      <c r="I208" s="1431" t="s">
        <v>242</v>
      </c>
      <c r="J208" s="439" t="s">
        <v>9104</v>
      </c>
      <c r="K208" s="439"/>
      <c r="L208" s="444">
        <v>2483544</v>
      </c>
      <c r="M208" s="439" t="s">
        <v>251</v>
      </c>
      <c r="N208" s="443">
        <v>45007</v>
      </c>
      <c r="O208" s="443">
        <v>45042</v>
      </c>
      <c r="P208" s="439"/>
      <c r="Q208" s="753" t="s">
        <v>304</v>
      </c>
      <c r="R208" s="439"/>
      <c r="S208" s="444"/>
      <c r="T208" s="444"/>
      <c r="U208" s="2048"/>
      <c r="V208" s="2048"/>
      <c r="W208" s="2048"/>
      <c r="X208" s="444"/>
      <c r="Y208" s="444"/>
      <c r="Z208" s="439"/>
      <c r="AA208" s="443">
        <v>45086</v>
      </c>
      <c r="AB208" s="443" t="s">
        <v>14859</v>
      </c>
      <c r="AC208" s="2799"/>
      <c r="AD208" s="2799"/>
    </row>
    <row r="209" spans="1:30">
      <c r="A209" s="2124">
        <v>44924</v>
      </c>
      <c r="B209" s="2127" t="s">
        <v>13888</v>
      </c>
      <c r="C209" s="2125" t="s">
        <v>69</v>
      </c>
      <c r="D209" s="2125" t="s">
        <v>15129</v>
      </c>
      <c r="E209" s="2125" t="s">
        <v>13949</v>
      </c>
      <c r="F209" s="2126" t="s">
        <v>13886</v>
      </c>
      <c r="G209" s="2125">
        <v>2</v>
      </c>
      <c r="H209" s="2127" t="s">
        <v>13894</v>
      </c>
      <c r="I209" s="2127" t="s">
        <v>242</v>
      </c>
      <c r="J209" s="2125" t="s">
        <v>9104</v>
      </c>
      <c r="K209" s="2125"/>
      <c r="L209" s="2128">
        <v>102720</v>
      </c>
      <c r="M209" s="2125" t="s">
        <v>251</v>
      </c>
      <c r="N209" s="2124">
        <v>45007</v>
      </c>
      <c r="O209" s="2124">
        <v>45042</v>
      </c>
      <c r="P209" s="2125"/>
      <c r="Q209" s="2136" t="s">
        <v>304</v>
      </c>
      <c r="R209" s="2125"/>
      <c r="S209" s="2128"/>
      <c r="T209" s="2128"/>
      <c r="U209" s="2080"/>
      <c r="V209" s="2080"/>
      <c r="W209" s="2080"/>
      <c r="X209" s="2128"/>
      <c r="Y209" s="2128"/>
      <c r="Z209" s="2125"/>
      <c r="AA209" s="2124">
        <v>45086</v>
      </c>
      <c r="AB209" s="2124" t="s">
        <v>14859</v>
      </c>
      <c r="AC209" s="2799"/>
      <c r="AD209" s="2799"/>
    </row>
    <row r="210" spans="1:30">
      <c r="A210" s="2140">
        <v>44924</v>
      </c>
      <c r="B210" s="2143" t="s">
        <v>13889</v>
      </c>
      <c r="C210" s="2141" t="s">
        <v>69</v>
      </c>
      <c r="D210" s="2141" t="s">
        <v>15129</v>
      </c>
      <c r="E210" s="2141" t="s">
        <v>13949</v>
      </c>
      <c r="F210" s="2142" t="s">
        <v>13886</v>
      </c>
      <c r="G210" s="2141">
        <v>3</v>
      </c>
      <c r="H210" s="2143" t="s">
        <v>13895</v>
      </c>
      <c r="I210" s="2143" t="s">
        <v>15369</v>
      </c>
      <c r="J210" s="2141" t="s">
        <v>9104</v>
      </c>
      <c r="K210" s="2141"/>
      <c r="L210" s="2144">
        <v>31263</v>
      </c>
      <c r="M210" s="2141" t="s">
        <v>251</v>
      </c>
      <c r="N210" s="2140">
        <v>45007</v>
      </c>
      <c r="O210" s="2140">
        <v>45042</v>
      </c>
      <c r="P210" s="2140">
        <v>45071</v>
      </c>
      <c r="Q210" s="2143" t="s">
        <v>1564</v>
      </c>
      <c r="R210" s="2141"/>
      <c r="S210" s="2144">
        <v>31262.880000000001</v>
      </c>
      <c r="T210" s="2144">
        <v>34389.17</v>
      </c>
      <c r="U210" s="2145"/>
      <c r="V210" s="2145"/>
      <c r="W210" s="2145"/>
      <c r="X210" s="2146">
        <v>45072</v>
      </c>
      <c r="Y210" s="2144" t="s">
        <v>14977</v>
      </c>
      <c r="Z210" s="2140">
        <v>45086</v>
      </c>
      <c r="AA210" s="2140">
        <v>45089</v>
      </c>
      <c r="AB210" s="2140">
        <v>46181</v>
      </c>
      <c r="AC210" s="2799"/>
      <c r="AD210" s="2799"/>
    </row>
    <row r="211" spans="1:30">
      <c r="A211" s="2140">
        <v>44924</v>
      </c>
      <c r="B211" s="2143" t="s">
        <v>13890</v>
      </c>
      <c r="C211" s="2141" t="s">
        <v>69</v>
      </c>
      <c r="D211" s="2141" t="s">
        <v>15129</v>
      </c>
      <c r="E211" s="2141" t="s">
        <v>13949</v>
      </c>
      <c r="F211" s="2142" t="s">
        <v>13886</v>
      </c>
      <c r="G211" s="2141">
        <v>4</v>
      </c>
      <c r="H211" s="2143" t="s">
        <v>13896</v>
      </c>
      <c r="I211" s="2143" t="s">
        <v>15369</v>
      </c>
      <c r="J211" s="2141" t="s">
        <v>9104</v>
      </c>
      <c r="K211" s="2141"/>
      <c r="L211" s="2144">
        <v>13460</v>
      </c>
      <c r="M211" s="2141" t="s">
        <v>251</v>
      </c>
      <c r="N211" s="2140">
        <v>45007</v>
      </c>
      <c r="O211" s="2140">
        <v>45042</v>
      </c>
      <c r="P211" s="2140">
        <v>45071</v>
      </c>
      <c r="Q211" s="2143" t="s">
        <v>1564</v>
      </c>
      <c r="R211" s="2141"/>
      <c r="S211" s="2144">
        <v>13459.44</v>
      </c>
      <c r="T211" s="2144">
        <v>14805.38</v>
      </c>
      <c r="U211" s="2145"/>
      <c r="V211" s="2145"/>
      <c r="W211" s="2145"/>
      <c r="X211" s="2146">
        <v>45072</v>
      </c>
      <c r="Y211" s="2144" t="s">
        <v>14978</v>
      </c>
      <c r="Z211" s="2140">
        <v>45086</v>
      </c>
      <c r="AA211" s="2140">
        <v>45089</v>
      </c>
      <c r="AB211" s="2140">
        <v>46181</v>
      </c>
      <c r="AC211" s="2799"/>
      <c r="AD211" s="2799"/>
    </row>
    <row r="212" spans="1:30">
      <c r="A212" s="2124">
        <v>44924</v>
      </c>
      <c r="B212" s="2127" t="s">
        <v>13891</v>
      </c>
      <c r="C212" s="2125" t="s">
        <v>69</v>
      </c>
      <c r="D212" s="2125" t="s">
        <v>15129</v>
      </c>
      <c r="E212" s="2125" t="s">
        <v>13949</v>
      </c>
      <c r="F212" s="2126" t="s">
        <v>13886</v>
      </c>
      <c r="G212" s="2125">
        <v>5</v>
      </c>
      <c r="H212" s="2127" t="s">
        <v>13897</v>
      </c>
      <c r="I212" s="2127" t="s">
        <v>242</v>
      </c>
      <c r="J212" s="2125" t="s">
        <v>9104</v>
      </c>
      <c r="K212" s="2125"/>
      <c r="L212" s="2128">
        <v>114420</v>
      </c>
      <c r="M212" s="2125" t="s">
        <v>251</v>
      </c>
      <c r="N212" s="2124">
        <v>45007</v>
      </c>
      <c r="O212" s="2124">
        <v>45042</v>
      </c>
      <c r="P212" s="2124">
        <v>45071</v>
      </c>
      <c r="Q212" s="2136" t="s">
        <v>15066</v>
      </c>
      <c r="R212" s="2125"/>
      <c r="S212" s="2128">
        <v>113850</v>
      </c>
      <c r="T212" s="2128">
        <v>125235</v>
      </c>
      <c r="U212" s="2129"/>
      <c r="V212" s="2129"/>
      <c r="W212" s="2129"/>
      <c r="X212" s="2281">
        <v>45072</v>
      </c>
      <c r="Y212" s="2128" t="s">
        <v>14979</v>
      </c>
      <c r="Z212" s="2125"/>
      <c r="AA212" s="2124">
        <v>45133</v>
      </c>
      <c r="AB212" s="2125" t="s">
        <v>15433</v>
      </c>
      <c r="AC212" s="2799"/>
      <c r="AD212" s="2799"/>
    </row>
    <row r="213" spans="1:30" ht="15.75" thickBot="1">
      <c r="A213" s="2130">
        <v>44924</v>
      </c>
      <c r="B213" s="2133" t="s">
        <v>13892</v>
      </c>
      <c r="C213" s="2131" t="s">
        <v>69</v>
      </c>
      <c r="D213" s="2131" t="s">
        <v>15129</v>
      </c>
      <c r="E213" s="2131" t="s">
        <v>13949</v>
      </c>
      <c r="F213" s="2132" t="s">
        <v>13886</v>
      </c>
      <c r="G213" s="2131">
        <v>6</v>
      </c>
      <c r="H213" s="2133" t="s">
        <v>13898</v>
      </c>
      <c r="I213" s="2133" t="s">
        <v>242</v>
      </c>
      <c r="J213" s="2131" t="s">
        <v>9104</v>
      </c>
      <c r="K213" s="2131"/>
      <c r="L213" s="2134">
        <v>195855</v>
      </c>
      <c r="M213" s="2131" t="s">
        <v>251</v>
      </c>
      <c r="N213" s="2130">
        <v>45007</v>
      </c>
      <c r="O213" s="2130">
        <v>45042</v>
      </c>
      <c r="P213" s="2130">
        <v>45071</v>
      </c>
      <c r="Q213" s="2137" t="s">
        <v>15066</v>
      </c>
      <c r="R213" s="2131"/>
      <c r="S213" s="2134">
        <v>195854.63</v>
      </c>
      <c r="T213" s="2134">
        <v>215440.09</v>
      </c>
      <c r="U213" s="2135"/>
      <c r="V213" s="2135"/>
      <c r="W213" s="2135"/>
      <c r="X213" s="2163">
        <v>45072</v>
      </c>
      <c r="Y213" s="2134" t="s">
        <v>14980</v>
      </c>
      <c r="Z213" s="2131"/>
      <c r="AA213" s="2130">
        <v>45133</v>
      </c>
      <c r="AB213" s="2131" t="s">
        <v>15433</v>
      </c>
      <c r="AC213" s="2799"/>
      <c r="AD213" s="2799"/>
    </row>
    <row r="214" spans="1:30" ht="15.75" thickTop="1">
      <c r="A214" s="470">
        <v>44924</v>
      </c>
      <c r="B214" s="654" t="s">
        <v>13900</v>
      </c>
      <c r="C214" s="466" t="s">
        <v>69</v>
      </c>
      <c r="D214" s="466" t="s">
        <v>15129</v>
      </c>
      <c r="E214" s="466" t="s">
        <v>13949</v>
      </c>
      <c r="F214" s="467" t="s">
        <v>13899</v>
      </c>
      <c r="G214" s="466">
        <v>1</v>
      </c>
      <c r="H214" s="654" t="s">
        <v>13927</v>
      </c>
      <c r="I214" s="654" t="s">
        <v>242</v>
      </c>
      <c r="J214" s="466" t="s">
        <v>9104</v>
      </c>
      <c r="K214" s="466"/>
      <c r="L214" s="472">
        <v>276000</v>
      </c>
      <c r="M214" s="466" t="s">
        <v>251</v>
      </c>
      <c r="N214" s="470">
        <v>45009</v>
      </c>
      <c r="O214" s="470">
        <v>45071</v>
      </c>
      <c r="P214" s="466"/>
      <c r="Q214" s="471" t="s">
        <v>2635</v>
      </c>
      <c r="R214" s="466"/>
      <c r="S214" s="472"/>
      <c r="T214" s="472"/>
      <c r="U214" s="1516"/>
      <c r="V214" s="1516"/>
      <c r="W214" s="1516"/>
      <c r="X214" s="472"/>
      <c r="Y214" s="472"/>
      <c r="Z214" s="466"/>
      <c r="AA214" s="470">
        <v>45098</v>
      </c>
      <c r="AB214" s="654" t="s">
        <v>15177</v>
      </c>
      <c r="AC214" s="2799"/>
      <c r="AD214" s="2799"/>
    </row>
    <row r="215" spans="1:30">
      <c r="A215" s="2140">
        <v>44924</v>
      </c>
      <c r="B215" s="3192" t="s">
        <v>13901</v>
      </c>
      <c r="C215" s="2141" t="s">
        <v>69</v>
      </c>
      <c r="D215" s="2141" t="s">
        <v>15129</v>
      </c>
      <c r="E215" s="2141" t="s">
        <v>13949</v>
      </c>
      <c r="F215" s="2142" t="s">
        <v>13899</v>
      </c>
      <c r="G215" s="2141">
        <v>2</v>
      </c>
      <c r="H215" s="2143" t="s">
        <v>13928</v>
      </c>
      <c r="I215" s="2143" t="s">
        <v>15369</v>
      </c>
      <c r="J215" s="2141" t="s">
        <v>9104</v>
      </c>
      <c r="K215" s="2141"/>
      <c r="L215" s="2144">
        <v>25686</v>
      </c>
      <c r="M215" s="2141" t="s">
        <v>251</v>
      </c>
      <c r="N215" s="2140">
        <v>45009</v>
      </c>
      <c r="O215" s="2140">
        <v>45071</v>
      </c>
      <c r="P215" s="2140">
        <v>45105</v>
      </c>
      <c r="Q215" s="2143" t="s">
        <v>6071</v>
      </c>
      <c r="R215" s="2141"/>
      <c r="S215" s="2144">
        <v>25686</v>
      </c>
      <c r="T215" s="2144">
        <v>28254.6</v>
      </c>
      <c r="U215" s="2145"/>
      <c r="V215" s="2145"/>
      <c r="W215" s="2145"/>
      <c r="X215" s="2146">
        <v>45106</v>
      </c>
      <c r="Y215" s="2144" t="s">
        <v>15257</v>
      </c>
      <c r="Z215" s="2140">
        <v>45138</v>
      </c>
      <c r="AA215" s="2140">
        <v>45153</v>
      </c>
      <c r="AB215" s="2140">
        <v>46233</v>
      </c>
      <c r="AC215" s="2799"/>
      <c r="AD215" s="2799"/>
    </row>
    <row r="216" spans="1:30">
      <c r="A216" s="2140">
        <v>44924</v>
      </c>
      <c r="B216" s="3192" t="s">
        <v>13902</v>
      </c>
      <c r="C216" s="2141" t="s">
        <v>69</v>
      </c>
      <c r="D216" s="2141" t="s">
        <v>15129</v>
      </c>
      <c r="E216" s="2141" t="s">
        <v>13949</v>
      </c>
      <c r="F216" s="2142" t="s">
        <v>13899</v>
      </c>
      <c r="G216" s="2141">
        <v>3</v>
      </c>
      <c r="H216" s="2143" t="s">
        <v>13929</v>
      </c>
      <c r="I216" s="2143" t="s">
        <v>15369</v>
      </c>
      <c r="J216" s="2141" t="s">
        <v>9104</v>
      </c>
      <c r="K216" s="2141"/>
      <c r="L216" s="2144">
        <v>274074</v>
      </c>
      <c r="M216" s="2141" t="s">
        <v>251</v>
      </c>
      <c r="N216" s="2140">
        <v>45009</v>
      </c>
      <c r="O216" s="2140">
        <v>45071</v>
      </c>
      <c r="P216" s="2140">
        <v>45105</v>
      </c>
      <c r="Q216" s="2143" t="s">
        <v>993</v>
      </c>
      <c r="R216" s="2141"/>
      <c r="S216" s="2144">
        <v>260415.6</v>
      </c>
      <c r="T216" s="2144">
        <v>286457.15999999997</v>
      </c>
      <c r="U216" s="2145"/>
      <c r="V216" s="2145"/>
      <c r="W216" s="2145"/>
      <c r="X216" s="2146">
        <v>45106</v>
      </c>
      <c r="Y216" s="2144" t="s">
        <v>15258</v>
      </c>
      <c r="Z216" s="2140">
        <v>45138</v>
      </c>
      <c r="AA216" s="2140">
        <v>45153</v>
      </c>
      <c r="AB216" s="2140">
        <v>46233</v>
      </c>
      <c r="AC216" s="2799"/>
      <c r="AD216" s="2799"/>
    </row>
    <row r="217" spans="1:30">
      <c r="A217" s="2140">
        <v>44924</v>
      </c>
      <c r="B217" s="3192" t="s">
        <v>13903</v>
      </c>
      <c r="C217" s="2141" t="s">
        <v>69</v>
      </c>
      <c r="D217" s="2141" t="s">
        <v>15129</v>
      </c>
      <c r="E217" s="2141" t="s">
        <v>13949</v>
      </c>
      <c r="F217" s="2142" t="s">
        <v>13899</v>
      </c>
      <c r="G217" s="2141">
        <v>4</v>
      </c>
      <c r="H217" s="2143" t="s">
        <v>13930</v>
      </c>
      <c r="I217" s="2143" t="s">
        <v>15369</v>
      </c>
      <c r="J217" s="2141" t="s">
        <v>9104</v>
      </c>
      <c r="K217" s="2141"/>
      <c r="L217" s="2144">
        <v>9357</v>
      </c>
      <c r="M217" s="2141" t="s">
        <v>251</v>
      </c>
      <c r="N217" s="2140">
        <v>45009</v>
      </c>
      <c r="O217" s="2140">
        <v>45071</v>
      </c>
      <c r="P217" s="2140">
        <v>45105</v>
      </c>
      <c r="Q217" s="2143" t="s">
        <v>6071</v>
      </c>
      <c r="R217" s="2141"/>
      <c r="S217" s="2144">
        <v>9210</v>
      </c>
      <c r="T217" s="2144">
        <v>10131</v>
      </c>
      <c r="U217" s="2145"/>
      <c r="V217" s="2145"/>
      <c r="W217" s="2145"/>
      <c r="X217" s="2146">
        <v>45106</v>
      </c>
      <c r="Y217" s="2144" t="s">
        <v>15259</v>
      </c>
      <c r="Z217" s="2140">
        <v>45138</v>
      </c>
      <c r="AA217" s="2140">
        <v>45153</v>
      </c>
      <c r="AB217" s="2140">
        <v>46233</v>
      </c>
      <c r="AC217" s="2799"/>
      <c r="AD217" s="2799"/>
    </row>
    <row r="218" spans="1:30">
      <c r="A218" s="2140">
        <v>44924</v>
      </c>
      <c r="B218" s="3192" t="s">
        <v>13904</v>
      </c>
      <c r="C218" s="2141" t="s">
        <v>69</v>
      </c>
      <c r="D218" s="2141" t="s">
        <v>15129</v>
      </c>
      <c r="E218" s="2141" t="s">
        <v>13949</v>
      </c>
      <c r="F218" s="2142" t="s">
        <v>13899</v>
      </c>
      <c r="G218" s="2141">
        <v>5</v>
      </c>
      <c r="H218" s="2143" t="s">
        <v>13931</v>
      </c>
      <c r="I218" s="2143" t="s">
        <v>15369</v>
      </c>
      <c r="J218" s="2141" t="s">
        <v>9104</v>
      </c>
      <c r="K218" s="2141"/>
      <c r="L218" s="2144">
        <v>39491</v>
      </c>
      <c r="M218" s="2141" t="s">
        <v>251</v>
      </c>
      <c r="N218" s="2140">
        <v>45009</v>
      </c>
      <c r="O218" s="2140">
        <v>45071</v>
      </c>
      <c r="P218" s="2140">
        <v>45105</v>
      </c>
      <c r="Q218" s="2143" t="s">
        <v>1564</v>
      </c>
      <c r="R218" s="2141"/>
      <c r="S218" s="2144">
        <v>39490.559999999998</v>
      </c>
      <c r="T218" s="2144">
        <v>43439.62</v>
      </c>
      <c r="U218" s="2145"/>
      <c r="V218" s="2145"/>
      <c r="W218" s="2145"/>
      <c r="X218" s="2146">
        <v>45106</v>
      </c>
      <c r="Y218" s="2144" t="s">
        <v>15260</v>
      </c>
      <c r="Z218" s="2140">
        <v>45138</v>
      </c>
      <c r="AA218" s="2140">
        <v>45153</v>
      </c>
      <c r="AB218" s="2140">
        <v>46233</v>
      </c>
      <c r="AC218" s="2799"/>
      <c r="AD218" s="2799"/>
    </row>
    <row r="219" spans="1:30">
      <c r="A219" s="2124">
        <v>44924</v>
      </c>
      <c r="B219" s="654" t="s">
        <v>13905</v>
      </c>
      <c r="C219" s="2125" t="s">
        <v>69</v>
      </c>
      <c r="D219" s="2125" t="s">
        <v>15129</v>
      </c>
      <c r="E219" s="2125" t="s">
        <v>13949</v>
      </c>
      <c r="F219" s="2126" t="s">
        <v>13899</v>
      </c>
      <c r="G219" s="2125">
        <v>6</v>
      </c>
      <c r="H219" s="2127" t="s">
        <v>13932</v>
      </c>
      <c r="I219" s="2127" t="s">
        <v>242</v>
      </c>
      <c r="J219" s="2125" t="s">
        <v>9104</v>
      </c>
      <c r="K219" s="2125"/>
      <c r="L219" s="2128">
        <v>224779</v>
      </c>
      <c r="M219" s="2125" t="s">
        <v>251</v>
      </c>
      <c r="N219" s="2124">
        <v>45009</v>
      </c>
      <c r="O219" s="2124">
        <v>45071</v>
      </c>
      <c r="P219" s="2125"/>
      <c r="Q219" s="2136" t="s">
        <v>304</v>
      </c>
      <c r="R219" s="2125"/>
      <c r="S219" s="2128"/>
      <c r="T219" s="2128"/>
      <c r="U219" s="2129"/>
      <c r="V219" s="2129"/>
      <c r="W219" s="2129"/>
      <c r="X219" s="2128"/>
      <c r="Y219" s="2128"/>
      <c r="Z219" s="2125"/>
      <c r="AA219" s="2124">
        <v>45098</v>
      </c>
      <c r="AB219" s="2127" t="s">
        <v>15177</v>
      </c>
      <c r="AC219" s="2799"/>
      <c r="AD219" s="2799"/>
    </row>
    <row r="220" spans="1:30" ht="15.75" thickBot="1">
      <c r="A220" s="416">
        <v>44924</v>
      </c>
      <c r="B220" s="669" t="s">
        <v>13906</v>
      </c>
      <c r="C220" s="411" t="s">
        <v>69</v>
      </c>
      <c r="D220" s="411" t="s">
        <v>15129</v>
      </c>
      <c r="E220" s="411" t="s">
        <v>13949</v>
      </c>
      <c r="F220" s="412" t="s">
        <v>13899</v>
      </c>
      <c r="G220" s="411">
        <v>7</v>
      </c>
      <c r="H220" s="630" t="s">
        <v>13933</v>
      </c>
      <c r="I220" s="630" t="s">
        <v>15369</v>
      </c>
      <c r="J220" s="411" t="s">
        <v>9104</v>
      </c>
      <c r="K220" s="411"/>
      <c r="L220" s="417">
        <v>165940</v>
      </c>
      <c r="M220" s="411" t="s">
        <v>251</v>
      </c>
      <c r="N220" s="416">
        <v>45009</v>
      </c>
      <c r="O220" s="416">
        <v>45071</v>
      </c>
      <c r="P220" s="416">
        <v>45105</v>
      </c>
      <c r="Q220" s="630" t="s">
        <v>6071</v>
      </c>
      <c r="R220" s="411"/>
      <c r="S220" s="417">
        <v>165765</v>
      </c>
      <c r="T220" s="417">
        <v>182341.5</v>
      </c>
      <c r="U220" s="1480"/>
      <c r="V220" s="1480"/>
      <c r="W220" s="1480"/>
      <c r="X220" s="513">
        <v>45106</v>
      </c>
      <c r="Y220" s="417" t="s">
        <v>15261</v>
      </c>
      <c r="Z220" s="416">
        <v>45138</v>
      </c>
      <c r="AA220" s="416">
        <v>45153</v>
      </c>
      <c r="AB220" s="416">
        <v>46233</v>
      </c>
      <c r="AC220" s="2799"/>
      <c r="AD220" s="2799"/>
    </row>
    <row r="221" spans="1:30" ht="15.75" thickTop="1">
      <c r="A221" s="443">
        <v>44924</v>
      </c>
      <c r="B221" s="1431" t="s">
        <v>13908</v>
      </c>
      <c r="C221" s="439" t="s">
        <v>69</v>
      </c>
      <c r="D221" s="439" t="s">
        <v>15129</v>
      </c>
      <c r="E221" s="439" t="s">
        <v>13949</v>
      </c>
      <c r="F221" s="440" t="s">
        <v>13907</v>
      </c>
      <c r="G221" s="439">
        <v>1</v>
      </c>
      <c r="H221" s="1431" t="s">
        <v>13934</v>
      </c>
      <c r="I221" s="1431" t="s">
        <v>242</v>
      </c>
      <c r="J221" s="439" t="s">
        <v>9104</v>
      </c>
      <c r="K221" s="439"/>
      <c r="L221" s="444">
        <v>1284669</v>
      </c>
      <c r="M221" s="439" t="s">
        <v>251</v>
      </c>
      <c r="N221" s="443">
        <v>44931</v>
      </c>
      <c r="O221" s="443">
        <v>44972</v>
      </c>
      <c r="P221" s="439"/>
      <c r="Q221" s="753" t="s">
        <v>304</v>
      </c>
      <c r="R221" s="2015" t="s">
        <v>14349</v>
      </c>
      <c r="S221" s="444"/>
      <c r="T221" s="444"/>
      <c r="U221" s="1481"/>
      <c r="V221" s="1481"/>
      <c r="W221" s="1481"/>
      <c r="X221" s="444"/>
      <c r="Y221" s="444"/>
      <c r="Z221" s="439"/>
      <c r="AA221" s="443">
        <v>44978</v>
      </c>
      <c r="AB221" s="1431" t="s">
        <v>14218</v>
      </c>
      <c r="AC221" s="2799"/>
      <c r="AD221" s="2799"/>
    </row>
    <row r="222" spans="1:30">
      <c r="A222" s="2124">
        <v>44924</v>
      </c>
      <c r="B222" s="2127" t="s">
        <v>13909</v>
      </c>
      <c r="C222" s="2125" t="s">
        <v>69</v>
      </c>
      <c r="D222" s="2125" t="s">
        <v>15129</v>
      </c>
      <c r="E222" s="2125" t="s">
        <v>13949</v>
      </c>
      <c r="F222" s="2126" t="s">
        <v>13907</v>
      </c>
      <c r="G222" s="2125">
        <v>2</v>
      </c>
      <c r="H222" s="2127" t="s">
        <v>13935</v>
      </c>
      <c r="I222" s="2127" t="s">
        <v>242</v>
      </c>
      <c r="J222" s="2125" t="s">
        <v>9104</v>
      </c>
      <c r="K222" s="2125"/>
      <c r="L222" s="2128">
        <v>5589</v>
      </c>
      <c r="M222" s="2125" t="s">
        <v>251</v>
      </c>
      <c r="N222" s="2124">
        <v>44931</v>
      </c>
      <c r="O222" s="2124">
        <v>44972</v>
      </c>
      <c r="P222" s="2125"/>
      <c r="Q222" s="2136" t="s">
        <v>304</v>
      </c>
      <c r="R222" s="2275" t="s">
        <v>14350</v>
      </c>
      <c r="S222" s="2128"/>
      <c r="T222" s="2128"/>
      <c r="U222" s="2129"/>
      <c r="V222" s="2129"/>
      <c r="W222" s="2129"/>
      <c r="X222" s="2128"/>
      <c r="Y222" s="2128"/>
      <c r="Z222" s="2125"/>
      <c r="AA222" s="2124">
        <v>44978</v>
      </c>
      <c r="AB222" s="2127" t="s">
        <v>14218</v>
      </c>
      <c r="AC222" s="2799"/>
      <c r="AD222" s="2799"/>
    </row>
    <row r="223" spans="1:30">
      <c r="A223" s="2124">
        <v>44924</v>
      </c>
      <c r="B223" s="2127" t="s">
        <v>13910</v>
      </c>
      <c r="C223" s="2125" t="s">
        <v>69</v>
      </c>
      <c r="D223" s="2125" t="s">
        <v>15129</v>
      </c>
      <c r="E223" s="2125" t="s">
        <v>13949</v>
      </c>
      <c r="F223" s="2126" t="s">
        <v>13907</v>
      </c>
      <c r="G223" s="2125">
        <v>3</v>
      </c>
      <c r="H223" s="2127" t="s">
        <v>13936</v>
      </c>
      <c r="I223" s="2127" t="s">
        <v>242</v>
      </c>
      <c r="J223" s="2125" t="s">
        <v>9104</v>
      </c>
      <c r="K223" s="2125"/>
      <c r="L223" s="2128">
        <v>3280743</v>
      </c>
      <c r="M223" s="2125" t="s">
        <v>251</v>
      </c>
      <c r="N223" s="2124">
        <v>44931</v>
      </c>
      <c r="O223" s="2124">
        <v>44972</v>
      </c>
      <c r="P223" s="2125"/>
      <c r="Q223" s="2136" t="s">
        <v>304</v>
      </c>
      <c r="R223" s="2275" t="s">
        <v>14351</v>
      </c>
      <c r="S223" s="2128"/>
      <c r="T223" s="2128"/>
      <c r="U223" s="2129"/>
      <c r="V223" s="2129"/>
      <c r="W223" s="2129"/>
      <c r="X223" s="2128"/>
      <c r="Y223" s="2128"/>
      <c r="Z223" s="2125"/>
      <c r="AA223" s="2124">
        <v>44978</v>
      </c>
      <c r="AB223" s="2127" t="s">
        <v>14218</v>
      </c>
      <c r="AC223" s="2799"/>
      <c r="AD223" s="2799"/>
    </row>
    <row r="224" spans="1:30">
      <c r="A224" s="2124">
        <v>44924</v>
      </c>
      <c r="B224" s="2127" t="s">
        <v>13911</v>
      </c>
      <c r="C224" s="2125" t="s">
        <v>69</v>
      </c>
      <c r="D224" s="2125" t="s">
        <v>15129</v>
      </c>
      <c r="E224" s="2125" t="s">
        <v>13949</v>
      </c>
      <c r="F224" s="2126" t="s">
        <v>13907</v>
      </c>
      <c r="G224" s="2125">
        <v>4</v>
      </c>
      <c r="H224" s="2127" t="s">
        <v>13937</v>
      </c>
      <c r="I224" s="2127" t="s">
        <v>242</v>
      </c>
      <c r="J224" s="2125" t="s">
        <v>9104</v>
      </c>
      <c r="K224" s="2125"/>
      <c r="L224" s="2128">
        <v>436863</v>
      </c>
      <c r="M224" s="2125" t="s">
        <v>251</v>
      </c>
      <c r="N224" s="2124">
        <v>44931</v>
      </c>
      <c r="O224" s="2124">
        <v>44972</v>
      </c>
      <c r="P224" s="2125"/>
      <c r="Q224" s="2136" t="s">
        <v>304</v>
      </c>
      <c r="R224" s="2275" t="s">
        <v>14352</v>
      </c>
      <c r="S224" s="2128"/>
      <c r="T224" s="2128"/>
      <c r="U224" s="2129"/>
      <c r="V224" s="2129"/>
      <c r="W224" s="2129"/>
      <c r="X224" s="2128"/>
      <c r="Y224" s="2128"/>
      <c r="Z224" s="2125"/>
      <c r="AA224" s="2124">
        <v>44978</v>
      </c>
      <c r="AB224" s="2127" t="s">
        <v>14218</v>
      </c>
      <c r="AC224" s="2799"/>
      <c r="AD224" s="2799"/>
    </row>
    <row r="225" spans="1:30">
      <c r="A225" s="2124">
        <v>44924</v>
      </c>
      <c r="B225" s="2127" t="s">
        <v>13912</v>
      </c>
      <c r="C225" s="2125" t="s">
        <v>69</v>
      </c>
      <c r="D225" s="2125" t="s">
        <v>15129</v>
      </c>
      <c r="E225" s="2125" t="s">
        <v>13949</v>
      </c>
      <c r="F225" s="2126" t="s">
        <v>13907</v>
      </c>
      <c r="G225" s="2125">
        <v>5</v>
      </c>
      <c r="H225" s="2127" t="s">
        <v>13938</v>
      </c>
      <c r="I225" s="2127" t="s">
        <v>242</v>
      </c>
      <c r="J225" s="2125" t="s">
        <v>9104</v>
      </c>
      <c r="K225" s="2125"/>
      <c r="L225" s="2128">
        <v>5292</v>
      </c>
      <c r="M225" s="2125" t="s">
        <v>251</v>
      </c>
      <c r="N225" s="2124">
        <v>44931</v>
      </c>
      <c r="O225" s="2124">
        <v>44972</v>
      </c>
      <c r="P225" s="2125"/>
      <c r="Q225" s="2136" t="s">
        <v>304</v>
      </c>
      <c r="R225" s="2180" t="s">
        <v>14353</v>
      </c>
      <c r="S225" s="2128"/>
      <c r="T225" s="2128"/>
      <c r="U225" s="2129"/>
      <c r="V225" s="2129"/>
      <c r="W225" s="2129"/>
      <c r="X225" s="2128"/>
      <c r="Y225" s="2128"/>
      <c r="Z225" s="2125"/>
      <c r="AA225" s="2124">
        <v>44978</v>
      </c>
      <c r="AB225" s="2127" t="s">
        <v>14218</v>
      </c>
      <c r="AC225" s="2799"/>
      <c r="AD225" s="2799"/>
    </row>
    <row r="226" spans="1:30" ht="15.75" thickBot="1">
      <c r="A226" s="2130">
        <v>44924</v>
      </c>
      <c r="B226" s="2133" t="s">
        <v>13913</v>
      </c>
      <c r="C226" s="2131" t="s">
        <v>69</v>
      </c>
      <c r="D226" s="2131" t="s">
        <v>15129</v>
      </c>
      <c r="E226" s="2131" t="s">
        <v>13949</v>
      </c>
      <c r="F226" s="2132" t="s">
        <v>13907</v>
      </c>
      <c r="G226" s="2131">
        <v>6</v>
      </c>
      <c r="H226" s="2133" t="s">
        <v>13939</v>
      </c>
      <c r="I226" s="2133" t="s">
        <v>242</v>
      </c>
      <c r="J226" s="2131" t="s">
        <v>9104</v>
      </c>
      <c r="K226" s="2131"/>
      <c r="L226" s="2134">
        <v>215260</v>
      </c>
      <c r="M226" s="2131" t="s">
        <v>251</v>
      </c>
      <c r="N226" s="2130">
        <v>44931</v>
      </c>
      <c r="O226" s="2130">
        <v>44972</v>
      </c>
      <c r="P226" s="2131"/>
      <c r="Q226" s="2137" t="s">
        <v>304</v>
      </c>
      <c r="R226" s="2287" t="s">
        <v>14354</v>
      </c>
      <c r="S226" s="2134"/>
      <c r="T226" s="2134"/>
      <c r="U226" s="2135"/>
      <c r="V226" s="2135"/>
      <c r="W226" s="2135"/>
      <c r="X226" s="2134"/>
      <c r="Y226" s="2134"/>
      <c r="Z226" s="2131"/>
      <c r="AA226" s="2130">
        <v>44978</v>
      </c>
      <c r="AB226" s="2133" t="s">
        <v>14218</v>
      </c>
      <c r="AC226" s="2799"/>
      <c r="AD226" s="2799"/>
    </row>
    <row r="227" spans="1:30" ht="46.5" thickTop="1" thickBot="1">
      <c r="A227" s="498">
        <v>44928</v>
      </c>
      <c r="B227" s="669" t="s">
        <v>13914</v>
      </c>
      <c r="C227" s="232" t="s">
        <v>58</v>
      </c>
      <c r="D227" s="232" t="s">
        <v>4969</v>
      </c>
      <c r="E227" s="232" t="s">
        <v>13948</v>
      </c>
      <c r="F227" s="274" t="s">
        <v>13915</v>
      </c>
      <c r="G227" s="232"/>
      <c r="H227" s="669"/>
      <c r="I227" s="669" t="s">
        <v>15369</v>
      </c>
      <c r="J227" s="232" t="s">
        <v>1159</v>
      </c>
      <c r="K227" s="232" t="s">
        <v>13916</v>
      </c>
      <c r="L227" s="499">
        <v>10879860</v>
      </c>
      <c r="M227" s="232" t="s">
        <v>251</v>
      </c>
      <c r="N227" s="498">
        <v>44938</v>
      </c>
      <c r="O227" s="498">
        <v>44977</v>
      </c>
      <c r="P227" s="498">
        <v>45000</v>
      </c>
      <c r="Q227" s="669" t="s">
        <v>9810</v>
      </c>
      <c r="R227" s="232"/>
      <c r="S227" s="499">
        <v>8556800</v>
      </c>
      <c r="T227" s="499">
        <v>10353728</v>
      </c>
      <c r="U227" s="1545"/>
      <c r="V227" s="1545"/>
      <c r="W227" s="1545"/>
      <c r="X227" s="682">
        <v>45000</v>
      </c>
      <c r="Y227" s="1752" t="s">
        <v>14379</v>
      </c>
      <c r="Z227" s="498">
        <v>45041</v>
      </c>
      <c r="AA227" s="498">
        <v>45048</v>
      </c>
      <c r="AB227" s="498">
        <v>45146</v>
      </c>
      <c r="AC227" s="2799"/>
      <c r="AD227" s="2799"/>
    </row>
    <row r="228" spans="1:30" ht="15.75" thickTop="1">
      <c r="A228" s="443">
        <v>44924</v>
      </c>
      <c r="B228" s="1431" t="s">
        <v>13917</v>
      </c>
      <c r="C228" s="439" t="s">
        <v>69</v>
      </c>
      <c r="D228" s="439" t="s">
        <v>15129</v>
      </c>
      <c r="E228" s="439" t="s">
        <v>13949</v>
      </c>
      <c r="F228" s="440" t="s">
        <v>13919</v>
      </c>
      <c r="G228" s="439">
        <v>1</v>
      </c>
      <c r="H228" s="1431" t="s">
        <v>13940</v>
      </c>
      <c r="I228" s="1431" t="s">
        <v>242</v>
      </c>
      <c r="J228" s="439" t="s">
        <v>9104</v>
      </c>
      <c r="K228" s="439"/>
      <c r="L228" s="444">
        <v>3766652</v>
      </c>
      <c r="M228" s="439" t="s">
        <v>251</v>
      </c>
      <c r="N228" s="443">
        <v>44931</v>
      </c>
      <c r="O228" s="443">
        <v>44972</v>
      </c>
      <c r="P228" s="439"/>
      <c r="Q228" s="753" t="s">
        <v>304</v>
      </c>
      <c r="R228" s="2015" t="s">
        <v>14355</v>
      </c>
      <c r="S228" s="444"/>
      <c r="T228" s="444"/>
      <c r="U228" s="1481"/>
      <c r="V228" s="1481"/>
      <c r="W228" s="1481"/>
      <c r="X228" s="444"/>
      <c r="Y228" s="444"/>
      <c r="Z228" s="439"/>
      <c r="AA228" s="443">
        <v>44978</v>
      </c>
      <c r="AB228" s="1431" t="s">
        <v>14218</v>
      </c>
      <c r="AC228" s="2799"/>
      <c r="AD228" s="2799"/>
    </row>
    <row r="229" spans="1:30" ht="15.75" thickBot="1">
      <c r="A229" s="2130">
        <v>44924</v>
      </c>
      <c r="B229" s="2133" t="s">
        <v>13918</v>
      </c>
      <c r="C229" s="2131" t="s">
        <v>69</v>
      </c>
      <c r="D229" s="2131" t="s">
        <v>15129</v>
      </c>
      <c r="E229" s="2131" t="s">
        <v>13949</v>
      </c>
      <c r="F229" s="2132" t="s">
        <v>13919</v>
      </c>
      <c r="G229" s="2131">
        <v>2</v>
      </c>
      <c r="H229" s="2133" t="s">
        <v>13941</v>
      </c>
      <c r="I229" s="2133" t="s">
        <v>242</v>
      </c>
      <c r="J229" s="2131" t="s">
        <v>9104</v>
      </c>
      <c r="K229" s="2131"/>
      <c r="L229" s="2134">
        <v>765939</v>
      </c>
      <c r="M229" s="2131" t="s">
        <v>251</v>
      </c>
      <c r="N229" s="2130">
        <v>44931</v>
      </c>
      <c r="O229" s="2130">
        <v>44972</v>
      </c>
      <c r="P229" s="2131"/>
      <c r="Q229" s="2137" t="s">
        <v>304</v>
      </c>
      <c r="R229" s="2287" t="s">
        <v>14356</v>
      </c>
      <c r="S229" s="2134"/>
      <c r="T229" s="2134"/>
      <c r="U229" s="2135"/>
      <c r="V229" s="2135"/>
      <c r="W229" s="2135"/>
      <c r="X229" s="2134"/>
      <c r="Y229" s="2134"/>
      <c r="Z229" s="2131"/>
      <c r="AA229" s="2130">
        <v>44978</v>
      </c>
      <c r="AB229" s="2133" t="s">
        <v>14218</v>
      </c>
      <c r="AC229" s="2799"/>
      <c r="AD229" s="2799"/>
    </row>
    <row r="230" spans="1:30" ht="15.75" thickTop="1">
      <c r="A230" s="365">
        <v>44928</v>
      </c>
      <c r="B230" s="3192" t="s">
        <v>13921</v>
      </c>
      <c r="C230" s="3191" t="s">
        <v>1754</v>
      </c>
      <c r="D230" s="3191" t="s">
        <v>1753</v>
      </c>
      <c r="E230" s="3191" t="s">
        <v>13950</v>
      </c>
      <c r="F230" s="175" t="s">
        <v>13922</v>
      </c>
      <c r="G230" s="3191"/>
      <c r="H230" s="3192"/>
      <c r="I230" s="3192" t="s">
        <v>15369</v>
      </c>
      <c r="J230" s="3191" t="s">
        <v>545</v>
      </c>
      <c r="K230" s="3191"/>
      <c r="L230" s="364">
        <v>2360000</v>
      </c>
      <c r="M230" s="3191" t="s">
        <v>216</v>
      </c>
      <c r="N230" s="365">
        <v>44930</v>
      </c>
      <c r="O230" s="365">
        <v>44949</v>
      </c>
      <c r="P230" s="365">
        <v>44959</v>
      </c>
      <c r="Q230" s="3192" t="s">
        <v>333</v>
      </c>
      <c r="R230" s="3191"/>
      <c r="S230" s="364">
        <v>2326215.0699999998</v>
      </c>
      <c r="T230" s="364">
        <v>2814720.23</v>
      </c>
      <c r="U230" s="1473"/>
      <c r="V230" s="1473"/>
      <c r="W230" s="1473"/>
      <c r="X230" s="681">
        <v>44959</v>
      </c>
      <c r="Y230" s="364" t="s">
        <v>14141</v>
      </c>
      <c r="Z230" s="365">
        <v>44972</v>
      </c>
      <c r="AA230" s="365">
        <v>44979</v>
      </c>
      <c r="AB230" s="365">
        <v>45339</v>
      </c>
      <c r="AC230" s="2799"/>
      <c r="AD230" s="2799"/>
    </row>
    <row r="231" spans="1:30" ht="30">
      <c r="A231" s="2140">
        <v>44928</v>
      </c>
      <c r="B231" s="2143" t="s">
        <v>13923</v>
      </c>
      <c r="C231" s="2141" t="s">
        <v>58</v>
      </c>
      <c r="D231" s="2141" t="s">
        <v>4969</v>
      </c>
      <c r="E231" s="2141" t="s">
        <v>13951</v>
      </c>
      <c r="F231" s="2142" t="s">
        <v>13924</v>
      </c>
      <c r="G231" s="2141"/>
      <c r="H231" s="2143"/>
      <c r="I231" s="2143" t="s">
        <v>15369</v>
      </c>
      <c r="J231" s="2141" t="s">
        <v>5760</v>
      </c>
      <c r="K231" s="2141" t="s">
        <v>13925</v>
      </c>
      <c r="L231" s="2144">
        <v>1244760</v>
      </c>
      <c r="M231" s="2141" t="s">
        <v>112</v>
      </c>
      <c r="N231" s="2140">
        <v>44929</v>
      </c>
      <c r="O231" s="2140">
        <v>44939</v>
      </c>
      <c r="P231" s="2140">
        <v>44944</v>
      </c>
      <c r="Q231" s="2143" t="s">
        <v>12807</v>
      </c>
      <c r="R231" s="2141"/>
      <c r="S231" s="2144">
        <v>1165200</v>
      </c>
      <c r="T231" s="2144">
        <v>1409892</v>
      </c>
      <c r="U231" s="2145"/>
      <c r="V231" s="2145"/>
      <c r="W231" s="2145"/>
      <c r="X231" s="2146">
        <v>44944</v>
      </c>
      <c r="Y231" s="2260" t="s">
        <v>14029</v>
      </c>
      <c r="Z231" s="2140">
        <v>44974</v>
      </c>
      <c r="AA231" s="2140">
        <v>44974</v>
      </c>
      <c r="AB231" s="2140">
        <v>45009</v>
      </c>
      <c r="AC231" s="2799"/>
      <c r="AD231" s="2799"/>
    </row>
    <row r="232" spans="1:30">
      <c r="A232" s="2140">
        <v>44924</v>
      </c>
      <c r="B232" s="2143" t="s">
        <v>13926</v>
      </c>
      <c r="C232" s="2141" t="s">
        <v>1754</v>
      </c>
      <c r="D232" s="2141" t="s">
        <v>13</v>
      </c>
      <c r="E232" s="2141" t="s">
        <v>13950</v>
      </c>
      <c r="F232" s="2142" t="s">
        <v>13837</v>
      </c>
      <c r="G232" s="2141"/>
      <c r="H232" s="2143"/>
      <c r="I232" s="2143" t="s">
        <v>15369</v>
      </c>
      <c r="J232" s="2141" t="s">
        <v>2055</v>
      </c>
      <c r="K232" s="2141"/>
      <c r="L232" s="2144">
        <v>4355000</v>
      </c>
      <c r="M232" s="2141" t="s">
        <v>251</v>
      </c>
      <c r="N232" s="2140">
        <v>44937</v>
      </c>
      <c r="O232" s="2140">
        <v>44970</v>
      </c>
      <c r="P232" s="2140">
        <v>44987</v>
      </c>
      <c r="Q232" s="2143" t="s">
        <v>14257</v>
      </c>
      <c r="R232" s="2141"/>
      <c r="S232" s="2144">
        <v>4336000</v>
      </c>
      <c r="T232" s="2144">
        <v>5246560</v>
      </c>
      <c r="U232" s="2145"/>
      <c r="V232" s="2145"/>
      <c r="W232" s="2145"/>
      <c r="X232" s="2146">
        <v>44981</v>
      </c>
      <c r="Y232" s="2144" t="s">
        <v>14255</v>
      </c>
      <c r="Z232" s="2140">
        <v>45005</v>
      </c>
      <c r="AA232" s="2140">
        <v>45009</v>
      </c>
      <c r="AB232" s="2141"/>
      <c r="AC232" s="2799"/>
      <c r="AD232" s="2799"/>
    </row>
    <row r="233" spans="1:30" ht="30">
      <c r="A233" s="2140">
        <v>44928</v>
      </c>
      <c r="B233" s="2143" t="s">
        <v>13942</v>
      </c>
      <c r="C233" s="2141" t="s">
        <v>58</v>
      </c>
      <c r="D233" s="2141" t="s">
        <v>4969</v>
      </c>
      <c r="E233" s="2141" t="s">
        <v>655</v>
      </c>
      <c r="F233" s="2142" t="s">
        <v>9534</v>
      </c>
      <c r="G233" s="2141"/>
      <c r="H233" s="2143"/>
      <c r="I233" s="2143" t="s">
        <v>15369</v>
      </c>
      <c r="J233" s="2141" t="s">
        <v>792</v>
      </c>
      <c r="K233" s="2141" t="s">
        <v>13943</v>
      </c>
      <c r="L233" s="2144">
        <v>225000</v>
      </c>
      <c r="M233" s="2141" t="s">
        <v>112</v>
      </c>
      <c r="N233" s="2140">
        <v>44930</v>
      </c>
      <c r="O233" s="2140">
        <v>44939</v>
      </c>
      <c r="P233" s="2140">
        <v>44945</v>
      </c>
      <c r="Q233" s="2143" t="s">
        <v>9720</v>
      </c>
      <c r="R233" s="2141"/>
      <c r="S233" s="2144">
        <v>193400</v>
      </c>
      <c r="T233" s="2144">
        <v>234014</v>
      </c>
      <c r="U233" s="2145"/>
      <c r="V233" s="2145"/>
      <c r="W233" s="2145"/>
      <c r="X233" s="2146">
        <v>44945</v>
      </c>
      <c r="Y233" s="2260" t="s">
        <v>14045</v>
      </c>
      <c r="Z233" s="2140">
        <v>44967</v>
      </c>
      <c r="AA233" s="2140">
        <v>44970</v>
      </c>
      <c r="AB233" s="2140">
        <v>45051</v>
      </c>
      <c r="AC233" s="2799"/>
      <c r="AD233" s="2799"/>
    </row>
    <row r="234" spans="1:30" ht="45.75" thickBot="1">
      <c r="A234" s="416">
        <v>44930</v>
      </c>
      <c r="B234" s="630" t="s">
        <v>13945</v>
      </c>
      <c r="C234" s="411" t="s">
        <v>2434</v>
      </c>
      <c r="D234" s="411" t="s">
        <v>3204</v>
      </c>
      <c r="E234" s="411" t="s">
        <v>13948</v>
      </c>
      <c r="F234" s="412" t="s">
        <v>13946</v>
      </c>
      <c r="G234" s="411"/>
      <c r="H234" s="630"/>
      <c r="I234" s="630" t="s">
        <v>15369</v>
      </c>
      <c r="J234" s="411" t="s">
        <v>642</v>
      </c>
      <c r="K234" s="411"/>
      <c r="L234" s="417">
        <v>4659914</v>
      </c>
      <c r="M234" s="411" t="s">
        <v>251</v>
      </c>
      <c r="N234" s="416">
        <v>44931</v>
      </c>
      <c r="O234" s="416">
        <v>44964</v>
      </c>
      <c r="P234" s="416">
        <v>44979</v>
      </c>
      <c r="Q234" s="630" t="s">
        <v>2776</v>
      </c>
      <c r="R234" s="411"/>
      <c r="S234" s="417">
        <v>4659914</v>
      </c>
      <c r="T234" s="417">
        <v>5638495.9400000004</v>
      </c>
      <c r="U234" s="1480"/>
      <c r="V234" s="1480"/>
      <c r="W234" s="1480"/>
      <c r="X234" s="513">
        <v>44979</v>
      </c>
      <c r="Y234" s="1553" t="s">
        <v>14243</v>
      </c>
      <c r="Z234" s="416">
        <v>45040</v>
      </c>
      <c r="AA234" s="416">
        <v>45048</v>
      </c>
      <c r="AB234" s="416">
        <v>46500</v>
      </c>
      <c r="AC234" s="2799"/>
      <c r="AD234" s="2799"/>
    </row>
    <row r="235" spans="1:30" ht="15.75" thickTop="1">
      <c r="A235" s="474">
        <v>44930</v>
      </c>
      <c r="B235" s="1420" t="s">
        <v>13953</v>
      </c>
      <c r="C235" s="453" t="s">
        <v>2434</v>
      </c>
      <c r="D235" s="453" t="s">
        <v>219</v>
      </c>
      <c r="E235" s="453" t="s">
        <v>13952</v>
      </c>
      <c r="F235" s="473" t="s">
        <v>215</v>
      </c>
      <c r="G235" s="453">
        <v>1</v>
      </c>
      <c r="H235" s="1420" t="s">
        <v>13955</v>
      </c>
      <c r="I235" s="1420" t="s">
        <v>15369</v>
      </c>
      <c r="J235" s="453" t="s">
        <v>1006</v>
      </c>
      <c r="K235" s="453"/>
      <c r="L235" s="457">
        <v>10560000</v>
      </c>
      <c r="M235" s="453" t="s">
        <v>251</v>
      </c>
      <c r="N235" s="474">
        <v>44935</v>
      </c>
      <c r="O235" s="474">
        <v>44972</v>
      </c>
      <c r="P235" s="474">
        <v>44992</v>
      </c>
      <c r="Q235" s="1420" t="s">
        <v>14251</v>
      </c>
      <c r="R235" s="453"/>
      <c r="S235" s="457">
        <v>6400000</v>
      </c>
      <c r="T235" s="457">
        <v>7744000</v>
      </c>
      <c r="U235" s="1474"/>
      <c r="V235" s="1474"/>
      <c r="W235" s="1474"/>
      <c r="X235" s="570">
        <v>44992</v>
      </c>
      <c r="Y235" s="457" t="s">
        <v>14312</v>
      </c>
      <c r="Z235" s="474">
        <v>45040</v>
      </c>
      <c r="AA235" s="474">
        <v>45064</v>
      </c>
      <c r="AB235" s="474">
        <v>45786</v>
      </c>
      <c r="AC235" s="2799"/>
      <c r="AD235" s="2799"/>
    </row>
    <row r="236" spans="1:30" ht="15.75" thickBot="1">
      <c r="A236" s="2117">
        <v>44930</v>
      </c>
      <c r="B236" s="2120" t="s">
        <v>13954</v>
      </c>
      <c r="C236" s="2118" t="s">
        <v>2434</v>
      </c>
      <c r="D236" s="2118" t="s">
        <v>219</v>
      </c>
      <c r="E236" s="2118" t="s">
        <v>13952</v>
      </c>
      <c r="F236" s="2119" t="s">
        <v>215</v>
      </c>
      <c r="G236" s="2118">
        <v>2</v>
      </c>
      <c r="H236" s="2120" t="s">
        <v>13956</v>
      </c>
      <c r="I236" s="2120" t="s">
        <v>15369</v>
      </c>
      <c r="J236" s="2118" t="s">
        <v>1006</v>
      </c>
      <c r="K236" s="2118"/>
      <c r="L236" s="2121">
        <v>1040000</v>
      </c>
      <c r="M236" s="2118" t="s">
        <v>251</v>
      </c>
      <c r="N236" s="2117">
        <v>44935</v>
      </c>
      <c r="O236" s="2117">
        <v>44972</v>
      </c>
      <c r="P236" s="2117">
        <v>44992</v>
      </c>
      <c r="Q236" s="2120" t="s">
        <v>11200</v>
      </c>
      <c r="R236" s="2118"/>
      <c r="S236" s="2121">
        <v>546000</v>
      </c>
      <c r="T236" s="2121">
        <v>660660</v>
      </c>
      <c r="U236" s="2122"/>
      <c r="V236" s="2122"/>
      <c r="W236" s="2122"/>
      <c r="X236" s="2123">
        <v>44992</v>
      </c>
      <c r="Y236" s="2121" t="s">
        <v>14313</v>
      </c>
      <c r="Z236" s="2117">
        <v>45040</v>
      </c>
      <c r="AA236" s="2117">
        <v>45064</v>
      </c>
      <c r="AB236" s="2117">
        <v>45770</v>
      </c>
      <c r="AC236" s="2799"/>
      <c r="AD236" s="2799"/>
    </row>
    <row r="237" spans="1:30" ht="15.75" thickTop="1">
      <c r="A237" s="365">
        <v>44931</v>
      </c>
      <c r="B237" s="3192" t="s">
        <v>13957</v>
      </c>
      <c r="C237" s="3191" t="s">
        <v>2434</v>
      </c>
      <c r="D237" s="3191" t="s">
        <v>219</v>
      </c>
      <c r="E237" s="3191" t="s">
        <v>13948</v>
      </c>
      <c r="F237" s="2519" t="s">
        <v>3889</v>
      </c>
      <c r="G237" s="3191"/>
      <c r="H237" s="3192"/>
      <c r="I237" s="3192" t="s">
        <v>15369</v>
      </c>
      <c r="J237" s="3191" t="s">
        <v>642</v>
      </c>
      <c r="K237" s="3191"/>
      <c r="L237" s="364">
        <v>5880000</v>
      </c>
      <c r="M237" s="3191" t="s">
        <v>251</v>
      </c>
      <c r="N237" s="365">
        <v>44935</v>
      </c>
      <c r="O237" s="365">
        <v>44994</v>
      </c>
      <c r="P237" s="365">
        <v>45006</v>
      </c>
      <c r="Q237" s="3192" t="s">
        <v>4326</v>
      </c>
      <c r="R237" s="3191"/>
      <c r="S237" s="364">
        <v>5878500</v>
      </c>
      <c r="T237" s="364">
        <v>7112985</v>
      </c>
      <c r="U237" s="1473"/>
      <c r="V237" s="1473"/>
      <c r="W237" s="1473"/>
      <c r="X237" s="681">
        <v>45007</v>
      </c>
      <c r="Y237" s="364" t="s">
        <v>14429</v>
      </c>
      <c r="Z237" s="365">
        <v>45051</v>
      </c>
      <c r="AA237" s="365">
        <v>45061</v>
      </c>
      <c r="AB237" s="365">
        <v>46523</v>
      </c>
      <c r="AC237" s="2799"/>
      <c r="AD237" s="2799"/>
    </row>
    <row r="238" spans="1:30">
      <c r="A238" s="2140">
        <v>44932</v>
      </c>
      <c r="B238" s="2143" t="s">
        <v>13959</v>
      </c>
      <c r="C238" s="2141" t="s">
        <v>58</v>
      </c>
      <c r="D238" s="2141" t="s">
        <v>4969</v>
      </c>
      <c r="E238" s="2141" t="s">
        <v>13951</v>
      </c>
      <c r="F238" s="2142" t="s">
        <v>13960</v>
      </c>
      <c r="G238" s="2141"/>
      <c r="H238" s="2143"/>
      <c r="I238" s="2143" t="s">
        <v>15369</v>
      </c>
      <c r="J238" s="2141" t="s">
        <v>3312</v>
      </c>
      <c r="K238" s="2141" t="s">
        <v>13961</v>
      </c>
      <c r="L238" s="2144">
        <v>50680</v>
      </c>
      <c r="M238" s="2141" t="s">
        <v>112</v>
      </c>
      <c r="N238" s="2140">
        <v>44937</v>
      </c>
      <c r="O238" s="2140">
        <v>44945</v>
      </c>
      <c r="P238" s="2140">
        <v>44964</v>
      </c>
      <c r="Q238" s="2143" t="s">
        <v>14063</v>
      </c>
      <c r="R238" s="2141"/>
      <c r="S238" s="2144">
        <v>50600</v>
      </c>
      <c r="T238" s="2144">
        <v>61226</v>
      </c>
      <c r="U238" s="2145"/>
      <c r="V238" s="2145"/>
      <c r="W238" s="2145"/>
      <c r="X238" s="2146">
        <v>44964</v>
      </c>
      <c r="Y238" s="2144" t="s">
        <v>14172</v>
      </c>
      <c r="Z238" s="2140">
        <v>44985</v>
      </c>
      <c r="AA238" s="2140">
        <v>44985</v>
      </c>
      <c r="AB238" s="2140">
        <v>45055</v>
      </c>
      <c r="AC238" s="2799"/>
      <c r="AD238" s="2799"/>
    </row>
    <row r="239" spans="1:30" ht="30">
      <c r="A239" s="2140">
        <v>44932</v>
      </c>
      <c r="B239" s="2143" t="s">
        <v>13962</v>
      </c>
      <c r="C239" s="2141" t="s">
        <v>58</v>
      </c>
      <c r="D239" s="2141" t="s">
        <v>4969</v>
      </c>
      <c r="E239" s="2141" t="s">
        <v>13950</v>
      </c>
      <c r="F239" s="2142" t="s">
        <v>13963</v>
      </c>
      <c r="G239" s="2141"/>
      <c r="H239" s="2143"/>
      <c r="I239" s="2143" t="s">
        <v>15369</v>
      </c>
      <c r="J239" s="2141" t="s">
        <v>8415</v>
      </c>
      <c r="K239" s="2141"/>
      <c r="L239" s="2144">
        <v>1550744</v>
      </c>
      <c r="M239" s="2141" t="s">
        <v>251</v>
      </c>
      <c r="N239" s="2140">
        <v>44938</v>
      </c>
      <c r="O239" s="2140">
        <v>44971</v>
      </c>
      <c r="P239" s="2140">
        <v>44981</v>
      </c>
      <c r="Q239" s="2143" t="s">
        <v>5913</v>
      </c>
      <c r="R239" s="2141"/>
      <c r="S239" s="2144">
        <v>1490300</v>
      </c>
      <c r="T239" s="2144">
        <v>1803263</v>
      </c>
      <c r="U239" s="2145"/>
      <c r="V239" s="2145"/>
      <c r="W239" s="2145"/>
      <c r="X239" s="2146">
        <v>44981</v>
      </c>
      <c r="Y239" s="2260" t="s">
        <v>14256</v>
      </c>
      <c r="Z239" s="2140">
        <v>44998</v>
      </c>
      <c r="AA239" s="2140">
        <v>45005</v>
      </c>
      <c r="AB239" s="2140">
        <f>Z239+112</f>
        <v>45110</v>
      </c>
      <c r="AC239" s="2799"/>
      <c r="AD239" s="2799"/>
    </row>
    <row r="240" spans="1:30">
      <c r="A240" s="2140">
        <v>44932</v>
      </c>
      <c r="B240" s="2143" t="s">
        <v>13965</v>
      </c>
      <c r="C240" s="2141" t="s">
        <v>1754</v>
      </c>
      <c r="D240" s="2141" t="s">
        <v>1753</v>
      </c>
      <c r="E240" s="2141" t="s">
        <v>13951</v>
      </c>
      <c r="F240" s="2142" t="s">
        <v>7722</v>
      </c>
      <c r="G240" s="2141"/>
      <c r="H240" s="2143"/>
      <c r="I240" s="2143" t="s">
        <v>15369</v>
      </c>
      <c r="J240" s="2141" t="s">
        <v>545</v>
      </c>
      <c r="K240" s="2141"/>
      <c r="L240" s="2144">
        <v>960000</v>
      </c>
      <c r="M240" s="2141" t="s">
        <v>112</v>
      </c>
      <c r="N240" s="2140">
        <v>44938</v>
      </c>
      <c r="O240" s="2140">
        <v>44946</v>
      </c>
      <c r="P240" s="2140">
        <v>44950</v>
      </c>
      <c r="Q240" s="2143" t="s">
        <v>14068</v>
      </c>
      <c r="R240" s="2141"/>
      <c r="S240" s="2144">
        <v>887392</v>
      </c>
      <c r="T240" s="2144">
        <v>1073744.32</v>
      </c>
      <c r="U240" s="2145"/>
      <c r="V240" s="2145"/>
      <c r="W240" s="2145"/>
      <c r="X240" s="2146">
        <v>44950</v>
      </c>
      <c r="Y240" s="2144" t="s">
        <v>14085</v>
      </c>
      <c r="Z240" s="2140">
        <v>44966</v>
      </c>
      <c r="AA240" s="2140">
        <v>44967</v>
      </c>
      <c r="AB240" s="2140">
        <v>46356</v>
      </c>
      <c r="AC240" s="2799"/>
      <c r="AD240" s="2799"/>
    </row>
    <row r="241" spans="1:30" ht="45">
      <c r="A241" s="2140">
        <v>44931</v>
      </c>
      <c r="B241" s="2143" t="s">
        <v>13967</v>
      </c>
      <c r="C241" s="2141" t="s">
        <v>2434</v>
      </c>
      <c r="D241" s="2141" t="s">
        <v>219</v>
      </c>
      <c r="E241" s="2141" t="s">
        <v>13952</v>
      </c>
      <c r="F241" s="2142" t="s">
        <v>8119</v>
      </c>
      <c r="G241" s="2141"/>
      <c r="H241" s="2143"/>
      <c r="I241" s="2143" t="s">
        <v>15369</v>
      </c>
      <c r="J241" s="2141" t="s">
        <v>396</v>
      </c>
      <c r="K241" s="2141"/>
      <c r="L241" s="2144">
        <v>3929600</v>
      </c>
      <c r="M241" s="2141" t="s">
        <v>251</v>
      </c>
      <c r="N241" s="2140">
        <v>44938</v>
      </c>
      <c r="O241" s="2140">
        <v>45005</v>
      </c>
      <c r="P241" s="2140">
        <v>45021</v>
      </c>
      <c r="Q241" s="2143" t="s">
        <v>1433</v>
      </c>
      <c r="R241" s="2141"/>
      <c r="S241" s="2144">
        <v>3929600</v>
      </c>
      <c r="T241" s="2144">
        <v>4754816</v>
      </c>
      <c r="U241" s="2145"/>
      <c r="V241" s="2145"/>
      <c r="W241" s="2145"/>
      <c r="X241" s="2146">
        <v>45021</v>
      </c>
      <c r="Y241" s="2260" t="s">
        <v>14553</v>
      </c>
      <c r="Z241" s="2140">
        <v>45070</v>
      </c>
      <c r="AA241" s="2140">
        <v>45082</v>
      </c>
      <c r="AB241" s="2140">
        <v>46530</v>
      </c>
      <c r="AC241" s="2799"/>
      <c r="AD241" s="2799"/>
    </row>
    <row r="242" spans="1:30">
      <c r="A242" s="2140">
        <v>44932</v>
      </c>
      <c r="B242" s="2143" t="s">
        <v>13968</v>
      </c>
      <c r="C242" s="2141" t="s">
        <v>4997</v>
      </c>
      <c r="D242" s="2141" t="s">
        <v>7475</v>
      </c>
      <c r="E242" s="2141" t="s">
        <v>655</v>
      </c>
      <c r="F242" s="2142" t="s">
        <v>13969</v>
      </c>
      <c r="G242" s="2141"/>
      <c r="H242" s="2143"/>
      <c r="I242" s="2143" t="s">
        <v>15369</v>
      </c>
      <c r="J242" s="2141" t="s">
        <v>1676</v>
      </c>
      <c r="K242" s="2141"/>
      <c r="L242" s="2144">
        <v>450000</v>
      </c>
      <c r="M242" s="2141" t="s">
        <v>112</v>
      </c>
      <c r="N242" s="2140">
        <v>44936</v>
      </c>
      <c r="O242" s="2140">
        <v>44944</v>
      </c>
      <c r="P242" s="2140">
        <v>44958</v>
      </c>
      <c r="Q242" s="2143" t="s">
        <v>8953</v>
      </c>
      <c r="R242" s="2141"/>
      <c r="S242" s="2144">
        <v>555894.1</v>
      </c>
      <c r="T242" s="2144">
        <v>672894.1</v>
      </c>
      <c r="U242" s="2145"/>
      <c r="V242" s="2145"/>
      <c r="W242" s="2145"/>
      <c r="X242" s="2146">
        <v>44958</v>
      </c>
      <c r="Y242" s="2144" t="s">
        <v>14138</v>
      </c>
      <c r="Z242" s="2140">
        <v>44998</v>
      </c>
      <c r="AA242" s="2140">
        <v>44999</v>
      </c>
      <c r="AB242" s="2141"/>
      <c r="AC242" s="2799"/>
      <c r="AD242" s="2799"/>
    </row>
    <row r="243" spans="1:30" ht="15.75" thickBot="1">
      <c r="A243" s="416">
        <v>44935</v>
      </c>
      <c r="B243" s="630" t="s">
        <v>13972</v>
      </c>
      <c r="C243" s="411" t="s">
        <v>2434</v>
      </c>
      <c r="D243" s="411" t="s">
        <v>219</v>
      </c>
      <c r="E243" s="411" t="s">
        <v>655</v>
      </c>
      <c r="F243" s="412" t="s">
        <v>13973</v>
      </c>
      <c r="G243" s="411"/>
      <c r="H243" s="630"/>
      <c r="I243" s="630" t="s">
        <v>15369</v>
      </c>
      <c r="J243" s="411" t="s">
        <v>642</v>
      </c>
      <c r="K243" s="411"/>
      <c r="L243" s="417">
        <v>1704347.82</v>
      </c>
      <c r="M243" s="411" t="s">
        <v>112</v>
      </c>
      <c r="N243" s="416">
        <v>44936</v>
      </c>
      <c r="O243" s="416">
        <v>44944</v>
      </c>
      <c r="P243" s="416">
        <v>44965</v>
      </c>
      <c r="Q243" s="630" t="s">
        <v>1433</v>
      </c>
      <c r="R243" s="411"/>
      <c r="S243" s="417">
        <v>1704347.82</v>
      </c>
      <c r="T243" s="417">
        <v>1960000</v>
      </c>
      <c r="U243" s="1480"/>
      <c r="V243" s="1480"/>
      <c r="W243" s="1480"/>
      <c r="X243" s="513">
        <v>44965</v>
      </c>
      <c r="Y243" s="417" t="s">
        <v>14174</v>
      </c>
      <c r="Z243" s="416">
        <v>44992</v>
      </c>
      <c r="AA243" s="416">
        <v>44995</v>
      </c>
      <c r="AB243" s="416">
        <v>45722</v>
      </c>
      <c r="AC243" s="2799"/>
      <c r="AD243" s="2799"/>
    </row>
    <row r="244" spans="1:30" ht="30.75" thickTop="1">
      <c r="A244" s="474">
        <v>44935</v>
      </c>
      <c r="B244" s="1420" t="s">
        <v>13977</v>
      </c>
      <c r="C244" s="453" t="s">
        <v>58</v>
      </c>
      <c r="D244" s="453" t="s">
        <v>4969</v>
      </c>
      <c r="E244" s="453" t="s">
        <v>13950</v>
      </c>
      <c r="F244" s="473" t="s">
        <v>4218</v>
      </c>
      <c r="G244" s="453">
        <v>1</v>
      </c>
      <c r="H244" s="1420" t="s">
        <v>13981</v>
      </c>
      <c r="I244" s="1420" t="s">
        <v>15369</v>
      </c>
      <c r="J244" s="453" t="s">
        <v>86</v>
      </c>
      <c r="K244" s="453" t="s">
        <v>12095</v>
      </c>
      <c r="L244" s="457">
        <v>332000</v>
      </c>
      <c r="M244" s="453" t="s">
        <v>251</v>
      </c>
      <c r="N244" s="474">
        <v>44942</v>
      </c>
      <c r="O244" s="474">
        <v>44974</v>
      </c>
      <c r="P244" s="474">
        <v>45001</v>
      </c>
      <c r="Q244" s="1420" t="s">
        <v>9134</v>
      </c>
      <c r="R244" s="453"/>
      <c r="S244" s="457">
        <v>331970.5</v>
      </c>
      <c r="T244" s="457">
        <v>401684.31</v>
      </c>
      <c r="U244" s="1474"/>
      <c r="V244" s="1474"/>
      <c r="W244" s="1474"/>
      <c r="X244" s="570">
        <v>45001</v>
      </c>
      <c r="Y244" s="1387" t="s">
        <v>14412</v>
      </c>
      <c r="Z244" s="474">
        <v>45040</v>
      </c>
      <c r="AA244" s="474">
        <v>45051</v>
      </c>
      <c r="AB244" s="474">
        <v>45124</v>
      </c>
      <c r="AC244" s="2799"/>
      <c r="AD244" s="2799"/>
    </row>
    <row r="245" spans="1:30">
      <c r="A245" s="2124">
        <v>44935</v>
      </c>
      <c r="B245" s="2127" t="s">
        <v>13978</v>
      </c>
      <c r="C245" s="2125" t="s">
        <v>58</v>
      </c>
      <c r="D245" s="2125" t="s">
        <v>4969</v>
      </c>
      <c r="E245" s="2125" t="s">
        <v>13950</v>
      </c>
      <c r="F245" s="2126" t="s">
        <v>4218</v>
      </c>
      <c r="G245" s="2125">
        <v>2</v>
      </c>
      <c r="H245" s="2127" t="s">
        <v>13982</v>
      </c>
      <c r="I245" s="2127" t="s">
        <v>242</v>
      </c>
      <c r="J245" s="2125" t="s">
        <v>86</v>
      </c>
      <c r="K245" s="2125" t="s">
        <v>13985</v>
      </c>
      <c r="L245" s="2128">
        <v>432579</v>
      </c>
      <c r="M245" s="2125" t="s">
        <v>251</v>
      </c>
      <c r="N245" s="2124">
        <v>44942</v>
      </c>
      <c r="O245" s="2124">
        <v>44974</v>
      </c>
      <c r="P245" s="2125"/>
      <c r="Q245" s="2136" t="s">
        <v>9147</v>
      </c>
      <c r="R245" s="2125"/>
      <c r="S245" s="2128"/>
      <c r="T245" s="2128"/>
      <c r="U245" s="2129"/>
      <c r="V245" s="2129"/>
      <c r="W245" s="2129"/>
      <c r="X245" s="2128"/>
      <c r="Y245" s="2128"/>
      <c r="Z245" s="2125"/>
      <c r="AA245" s="2124">
        <v>45020</v>
      </c>
      <c r="AB245" s="2127" t="s">
        <v>14332</v>
      </c>
      <c r="AC245" s="2799"/>
      <c r="AD245" s="2799"/>
    </row>
    <row r="246" spans="1:30" ht="30">
      <c r="A246" s="2140">
        <v>44935</v>
      </c>
      <c r="B246" s="2143" t="s">
        <v>13979</v>
      </c>
      <c r="C246" s="2141" t="s">
        <v>58</v>
      </c>
      <c r="D246" s="2141" t="s">
        <v>4969</v>
      </c>
      <c r="E246" s="2141" t="s">
        <v>13950</v>
      </c>
      <c r="F246" s="2142" t="s">
        <v>4218</v>
      </c>
      <c r="G246" s="2141">
        <v>3</v>
      </c>
      <c r="H246" s="2143" t="s">
        <v>13983</v>
      </c>
      <c r="I246" s="2143" t="s">
        <v>15369</v>
      </c>
      <c r="J246" s="2141" t="s">
        <v>86</v>
      </c>
      <c r="K246" s="2141" t="s">
        <v>13986</v>
      </c>
      <c r="L246" s="2144">
        <v>4706000</v>
      </c>
      <c r="M246" s="2141" t="s">
        <v>251</v>
      </c>
      <c r="N246" s="2140">
        <v>44942</v>
      </c>
      <c r="O246" s="2140">
        <v>44974</v>
      </c>
      <c r="P246" s="2140">
        <v>45001</v>
      </c>
      <c r="Q246" s="2143" t="s">
        <v>1397</v>
      </c>
      <c r="R246" s="2141"/>
      <c r="S246" s="2144">
        <v>4651280</v>
      </c>
      <c r="T246" s="2144">
        <v>5628048.7999999998</v>
      </c>
      <c r="U246" s="2145"/>
      <c r="V246" s="2145"/>
      <c r="W246" s="2145"/>
      <c r="X246" s="2146">
        <v>45001</v>
      </c>
      <c r="Y246" s="2260" t="s">
        <v>14413</v>
      </c>
      <c r="Z246" s="2140">
        <v>45051</v>
      </c>
      <c r="AA246" s="2140">
        <v>45051</v>
      </c>
      <c r="AB246" s="2140">
        <v>45205</v>
      </c>
      <c r="AC246" s="2799"/>
      <c r="AD246" s="2799"/>
    </row>
    <row r="247" spans="1:30" ht="30.75" thickBot="1">
      <c r="A247" s="2117">
        <v>44935</v>
      </c>
      <c r="B247" s="2120" t="s">
        <v>13980</v>
      </c>
      <c r="C247" s="2118" t="s">
        <v>58</v>
      </c>
      <c r="D247" s="2118" t="s">
        <v>4969</v>
      </c>
      <c r="E247" s="2118" t="s">
        <v>13950</v>
      </c>
      <c r="F247" s="2119" t="s">
        <v>4218</v>
      </c>
      <c r="G247" s="2118">
        <v>4</v>
      </c>
      <c r="H247" s="2120" t="s">
        <v>13984</v>
      </c>
      <c r="I247" s="2120" t="s">
        <v>15369</v>
      </c>
      <c r="J247" s="2118" t="s">
        <v>86</v>
      </c>
      <c r="K247" s="2118" t="s">
        <v>13987</v>
      </c>
      <c r="L247" s="2121">
        <v>2851000</v>
      </c>
      <c r="M247" s="2118" t="s">
        <v>251</v>
      </c>
      <c r="N247" s="2117">
        <v>44942</v>
      </c>
      <c r="O247" s="2117">
        <v>44974</v>
      </c>
      <c r="P247" s="2117">
        <v>45001</v>
      </c>
      <c r="Q247" s="2120" t="s">
        <v>1397</v>
      </c>
      <c r="R247" s="2118"/>
      <c r="S247" s="2121">
        <v>2775880</v>
      </c>
      <c r="T247" s="2121">
        <v>3358814.8</v>
      </c>
      <c r="U247" s="2122"/>
      <c r="V247" s="2122"/>
      <c r="W247" s="2122"/>
      <c r="X247" s="2123">
        <v>45001</v>
      </c>
      <c r="Y247" s="2246" t="s">
        <v>14414</v>
      </c>
      <c r="Z247" s="2117">
        <v>45040</v>
      </c>
      <c r="AA247" s="2117">
        <v>45051</v>
      </c>
      <c r="AB247" s="2117">
        <v>45194</v>
      </c>
      <c r="AC247" s="2799"/>
      <c r="AD247" s="2799"/>
    </row>
    <row r="248" spans="1:30" ht="16.5" thickTop="1" thickBot="1">
      <c r="A248" s="498">
        <v>44939</v>
      </c>
      <c r="B248" s="669" t="s">
        <v>14015</v>
      </c>
      <c r="C248" s="232" t="s">
        <v>1032</v>
      </c>
      <c r="D248" s="232" t="s">
        <v>361</v>
      </c>
      <c r="E248" s="232" t="s">
        <v>13950</v>
      </c>
      <c r="F248" s="274" t="s">
        <v>14016</v>
      </c>
      <c r="G248" s="232"/>
      <c r="H248" s="669"/>
      <c r="I248" s="669" t="s">
        <v>15369</v>
      </c>
      <c r="J248" s="232" t="s">
        <v>14017</v>
      </c>
      <c r="K248" s="232"/>
      <c r="L248" s="499">
        <v>2000000</v>
      </c>
      <c r="M248" s="232" t="s">
        <v>216</v>
      </c>
      <c r="N248" s="498">
        <v>44950</v>
      </c>
      <c r="O248" s="498">
        <v>44967</v>
      </c>
      <c r="P248" s="498">
        <v>44980</v>
      </c>
      <c r="Q248" s="669" t="s">
        <v>14223</v>
      </c>
      <c r="R248" s="232"/>
      <c r="S248" s="499">
        <v>1600580</v>
      </c>
      <c r="T248" s="499">
        <v>1936701.8</v>
      </c>
      <c r="U248" s="1545"/>
      <c r="V248" s="1545"/>
      <c r="W248" s="1545"/>
      <c r="X248" s="682">
        <v>44980</v>
      </c>
      <c r="Y248" s="499" t="s">
        <v>14246</v>
      </c>
      <c r="Z248" s="498">
        <v>45005</v>
      </c>
      <c r="AA248" s="498">
        <v>45009</v>
      </c>
      <c r="AB248" s="498">
        <v>46465</v>
      </c>
      <c r="AC248" s="2799"/>
      <c r="AD248" s="2799"/>
    </row>
    <row r="249" spans="1:30" ht="15.75" thickTop="1">
      <c r="A249" s="474">
        <v>44943</v>
      </c>
      <c r="B249" s="1420" t="s">
        <v>14023</v>
      </c>
      <c r="C249" s="453" t="s">
        <v>2434</v>
      </c>
      <c r="D249" s="453" t="s">
        <v>219</v>
      </c>
      <c r="E249" s="453" t="s">
        <v>13948</v>
      </c>
      <c r="F249" s="473" t="s">
        <v>14024</v>
      </c>
      <c r="G249" s="453">
        <v>1</v>
      </c>
      <c r="H249" s="1420" t="s">
        <v>14026</v>
      </c>
      <c r="I249" s="1420" t="s">
        <v>15369</v>
      </c>
      <c r="J249" s="453" t="s">
        <v>642</v>
      </c>
      <c r="K249" s="453"/>
      <c r="L249" s="457">
        <v>3271800</v>
      </c>
      <c r="M249" s="453" t="s">
        <v>251</v>
      </c>
      <c r="N249" s="474">
        <v>44950</v>
      </c>
      <c r="O249" s="474">
        <v>44985</v>
      </c>
      <c r="P249" s="474">
        <v>45043</v>
      </c>
      <c r="Q249" s="1420" t="s">
        <v>12177</v>
      </c>
      <c r="R249" s="453"/>
      <c r="S249" s="457">
        <v>2359570</v>
      </c>
      <c r="T249" s="457">
        <v>2855079.7</v>
      </c>
      <c r="U249" s="1474"/>
      <c r="V249" s="1474"/>
      <c r="W249" s="1474"/>
      <c r="X249" s="570">
        <v>45043</v>
      </c>
      <c r="Y249" s="457" t="s">
        <v>14742</v>
      </c>
      <c r="Z249" s="474">
        <v>45075</v>
      </c>
      <c r="AA249" s="1998">
        <v>45090</v>
      </c>
      <c r="AB249" s="474">
        <v>45805</v>
      </c>
      <c r="AC249" s="2799"/>
      <c r="AD249" s="2799"/>
    </row>
    <row r="250" spans="1:30" ht="15.75" thickBot="1">
      <c r="A250" s="2130">
        <v>44943</v>
      </c>
      <c r="B250" s="2133" t="s">
        <v>14025</v>
      </c>
      <c r="C250" s="2131" t="s">
        <v>2434</v>
      </c>
      <c r="D250" s="2131" t="s">
        <v>219</v>
      </c>
      <c r="E250" s="2131" t="s">
        <v>13948</v>
      </c>
      <c r="F250" s="2132" t="s">
        <v>14024</v>
      </c>
      <c r="G250" s="2131">
        <v>2</v>
      </c>
      <c r="H250" s="2133" t="s">
        <v>14027</v>
      </c>
      <c r="I250" s="2133" t="s">
        <v>242</v>
      </c>
      <c r="J250" s="2131" t="s">
        <v>642</v>
      </c>
      <c r="K250" s="2131"/>
      <c r="L250" s="2134">
        <v>581640</v>
      </c>
      <c r="M250" s="2131" t="s">
        <v>251</v>
      </c>
      <c r="N250" s="2130">
        <v>44950</v>
      </c>
      <c r="O250" s="2130">
        <v>44985</v>
      </c>
      <c r="P250" s="2130">
        <v>45043</v>
      </c>
      <c r="Q250" s="2137" t="s">
        <v>14981</v>
      </c>
      <c r="R250" s="2287" t="s">
        <v>15080</v>
      </c>
      <c r="S250" s="2134">
        <v>581640</v>
      </c>
      <c r="T250" s="2134">
        <v>703784</v>
      </c>
      <c r="U250" s="2135"/>
      <c r="V250" s="2135"/>
      <c r="W250" s="2135"/>
      <c r="X250" s="2163">
        <v>45043</v>
      </c>
      <c r="Y250" s="2134" t="s">
        <v>14743</v>
      </c>
      <c r="Z250" s="2131"/>
      <c r="AA250" s="2898">
        <v>45090</v>
      </c>
      <c r="AB250" s="2131" t="s">
        <v>14988</v>
      </c>
      <c r="AC250" s="2799"/>
      <c r="AD250" s="2799"/>
    </row>
    <row r="251" spans="1:30" ht="15.75" thickTop="1">
      <c r="A251" s="365">
        <v>44939</v>
      </c>
      <c r="B251" s="3192" t="s">
        <v>14031</v>
      </c>
      <c r="C251" s="3191" t="s">
        <v>2434</v>
      </c>
      <c r="D251" s="3191" t="s">
        <v>219</v>
      </c>
      <c r="E251" s="3191" t="s">
        <v>13952</v>
      </c>
      <c r="F251" s="175" t="s">
        <v>14032</v>
      </c>
      <c r="G251" s="3191"/>
      <c r="H251" s="3192"/>
      <c r="I251" s="3192" t="s">
        <v>15369</v>
      </c>
      <c r="J251" s="3191" t="s">
        <v>642</v>
      </c>
      <c r="K251" s="3191"/>
      <c r="L251" s="364">
        <v>5434000</v>
      </c>
      <c r="M251" s="3191" t="s">
        <v>251</v>
      </c>
      <c r="N251" s="365">
        <v>44950</v>
      </c>
      <c r="O251" s="365">
        <v>44984</v>
      </c>
      <c r="P251" s="365">
        <v>45021</v>
      </c>
      <c r="Q251" s="3192" t="s">
        <v>7201</v>
      </c>
      <c r="R251" s="3191"/>
      <c r="S251" s="364">
        <v>5434000</v>
      </c>
      <c r="T251" s="364">
        <v>6249100</v>
      </c>
      <c r="U251" s="1473"/>
      <c r="V251" s="1473"/>
      <c r="W251" s="1473"/>
      <c r="X251" s="681">
        <v>45021</v>
      </c>
      <c r="Y251" s="364" t="s">
        <v>14556</v>
      </c>
      <c r="Z251" s="365">
        <v>45049</v>
      </c>
      <c r="AA251" s="365">
        <v>45062</v>
      </c>
      <c r="AB251" s="365">
        <v>46511</v>
      </c>
      <c r="AC251" s="2799"/>
      <c r="AD251" s="2799"/>
    </row>
    <row r="252" spans="1:30">
      <c r="A252" s="365">
        <v>44944</v>
      </c>
      <c r="B252" s="3192" t="s">
        <v>14139</v>
      </c>
      <c r="C252" s="3191" t="s">
        <v>69</v>
      </c>
      <c r="D252" s="3191" t="s">
        <v>15129</v>
      </c>
      <c r="E252" s="3191" t="s">
        <v>13949</v>
      </c>
      <c r="F252" s="175" t="s">
        <v>14140</v>
      </c>
      <c r="G252" s="3191"/>
      <c r="H252" s="3192"/>
      <c r="I252" s="3192" t="s">
        <v>15369</v>
      </c>
      <c r="J252" s="3191" t="s">
        <v>3632</v>
      </c>
      <c r="K252" s="3191"/>
      <c r="L252" s="364">
        <v>1593521</v>
      </c>
      <c r="M252" s="3191" t="s">
        <v>112</v>
      </c>
      <c r="N252" s="365">
        <v>44971</v>
      </c>
      <c r="O252" s="365">
        <v>44988</v>
      </c>
      <c r="P252" s="365">
        <v>45016</v>
      </c>
      <c r="Q252" s="3192" t="s">
        <v>13761</v>
      </c>
      <c r="R252" s="3191"/>
      <c r="S252" s="364">
        <v>1231571.96</v>
      </c>
      <c r="T252" s="364">
        <v>1354729.16</v>
      </c>
      <c r="U252" s="1473"/>
      <c r="V252" s="1473"/>
      <c r="W252" s="1473"/>
      <c r="X252" s="681">
        <v>45016</v>
      </c>
      <c r="Y252" s="364" t="s">
        <v>14557</v>
      </c>
      <c r="Z252" s="365">
        <v>45044</v>
      </c>
      <c r="AA252" s="365">
        <v>45044</v>
      </c>
      <c r="AB252" s="365">
        <v>46504</v>
      </c>
      <c r="AC252" s="2799"/>
      <c r="AD252" s="2799"/>
    </row>
    <row r="253" spans="1:30" ht="15.75" thickBot="1">
      <c r="A253" s="643">
        <v>44944</v>
      </c>
      <c r="B253" s="1533" t="s">
        <v>14035</v>
      </c>
      <c r="C253" s="639" t="s">
        <v>69</v>
      </c>
      <c r="D253" s="639" t="s">
        <v>15131</v>
      </c>
      <c r="E253" s="639" t="s">
        <v>13949</v>
      </c>
      <c r="F253" s="640" t="s">
        <v>14036</v>
      </c>
      <c r="G253" s="639"/>
      <c r="H253" s="1533"/>
      <c r="I253" s="1533" t="s">
        <v>242</v>
      </c>
      <c r="J253" s="639" t="s">
        <v>13453</v>
      </c>
      <c r="K253" s="639"/>
      <c r="L253" s="645">
        <v>16921216</v>
      </c>
      <c r="M253" s="639" t="s">
        <v>251</v>
      </c>
      <c r="N253" s="643">
        <v>45287</v>
      </c>
      <c r="O253" s="643">
        <v>45387</v>
      </c>
      <c r="P253" s="639"/>
      <c r="Q253" s="644" t="s">
        <v>17169</v>
      </c>
      <c r="R253" s="639"/>
      <c r="S253" s="645"/>
      <c r="T253" s="645"/>
      <c r="U253" s="1534"/>
      <c r="V253" s="1534"/>
      <c r="W253" s="1534"/>
      <c r="X253" s="645"/>
      <c r="Y253" s="645"/>
      <c r="Z253" s="639"/>
      <c r="AA253" s="643">
        <v>45415</v>
      </c>
      <c r="AB253" s="639" t="s">
        <v>17283</v>
      </c>
      <c r="AC253" s="2799"/>
      <c r="AD253" s="2799"/>
    </row>
    <row r="254" spans="1:30" ht="15.75" thickTop="1">
      <c r="A254" s="474">
        <v>44944</v>
      </c>
      <c r="B254" s="1420" t="s">
        <v>14037</v>
      </c>
      <c r="C254" s="453" t="s">
        <v>69</v>
      </c>
      <c r="D254" s="453" t="s">
        <v>15131</v>
      </c>
      <c r="E254" s="453" t="s">
        <v>13949</v>
      </c>
      <c r="F254" s="473" t="s">
        <v>14041</v>
      </c>
      <c r="G254" s="453">
        <v>1</v>
      </c>
      <c r="H254" s="1420" t="s">
        <v>14043</v>
      </c>
      <c r="I254" s="1420" t="s">
        <v>15369</v>
      </c>
      <c r="J254" s="2269" t="s">
        <v>14498</v>
      </c>
      <c r="K254" s="453"/>
      <c r="L254" s="457">
        <v>1750332</v>
      </c>
      <c r="M254" s="453" t="s">
        <v>251</v>
      </c>
      <c r="N254" s="474">
        <v>45027</v>
      </c>
      <c r="O254" s="474">
        <v>45114</v>
      </c>
      <c r="P254" s="474">
        <v>45252</v>
      </c>
      <c r="Q254" s="1420" t="s">
        <v>8542</v>
      </c>
      <c r="R254" s="453"/>
      <c r="S254" s="457">
        <v>484407.96</v>
      </c>
      <c r="T254" s="457">
        <v>586133.63</v>
      </c>
      <c r="U254" s="1474"/>
      <c r="V254" s="1474"/>
      <c r="W254" s="1474"/>
      <c r="X254" s="570">
        <v>45252</v>
      </c>
      <c r="Y254" s="457" t="s">
        <v>16310</v>
      </c>
      <c r="Z254" s="474">
        <v>45273</v>
      </c>
      <c r="AA254" s="474">
        <v>45274</v>
      </c>
      <c r="AB254" s="474">
        <v>46003</v>
      </c>
      <c r="AC254" s="2799"/>
      <c r="AD254" s="2799"/>
    </row>
    <row r="255" spans="1:30" ht="15.75" thickBot="1">
      <c r="A255" s="2117">
        <v>44944</v>
      </c>
      <c r="B255" s="2120" t="s">
        <v>14038</v>
      </c>
      <c r="C255" s="2118" t="s">
        <v>69</v>
      </c>
      <c r="D255" s="2118" t="s">
        <v>15131</v>
      </c>
      <c r="E255" s="2118" t="s">
        <v>13949</v>
      </c>
      <c r="F255" s="2119" t="s">
        <v>14041</v>
      </c>
      <c r="G255" s="2118">
        <v>2</v>
      </c>
      <c r="H255" s="2120" t="s">
        <v>14042</v>
      </c>
      <c r="I255" s="2120" t="s">
        <v>15369</v>
      </c>
      <c r="J255" s="2266" t="s">
        <v>14498</v>
      </c>
      <c r="K255" s="2118"/>
      <c r="L255" s="2121">
        <v>1997656</v>
      </c>
      <c r="M255" s="2118" t="s">
        <v>251</v>
      </c>
      <c r="N255" s="2117">
        <v>45027</v>
      </c>
      <c r="O255" s="2117">
        <v>45114</v>
      </c>
      <c r="P255" s="2117">
        <v>45252</v>
      </c>
      <c r="Q255" s="2120" t="s">
        <v>8542</v>
      </c>
      <c r="R255" s="2118"/>
      <c r="S255" s="2121">
        <v>520703.92</v>
      </c>
      <c r="T255" s="2121">
        <v>630051.74</v>
      </c>
      <c r="U255" s="2122"/>
      <c r="V255" s="2122"/>
      <c r="W255" s="2122"/>
      <c r="X255" s="2123">
        <v>45252</v>
      </c>
      <c r="Y255" s="2121" t="s">
        <v>16311</v>
      </c>
      <c r="Z255" s="2117">
        <v>45273</v>
      </c>
      <c r="AA255" s="2117">
        <v>45274</v>
      </c>
      <c r="AB255" s="2117">
        <v>46003</v>
      </c>
      <c r="AC255" s="2799"/>
      <c r="AD255" s="2799"/>
    </row>
    <row r="256" spans="1:30" ht="15.75" thickTop="1">
      <c r="A256" s="365">
        <v>44944</v>
      </c>
      <c r="B256" s="3192" t="s">
        <v>14039</v>
      </c>
      <c r="C256" s="3191" t="s">
        <v>69</v>
      </c>
      <c r="D256" s="3191" t="s">
        <v>15131</v>
      </c>
      <c r="E256" s="3191" t="s">
        <v>13949</v>
      </c>
      <c r="F256" s="175" t="s">
        <v>15376</v>
      </c>
      <c r="G256" s="3191">
        <v>1</v>
      </c>
      <c r="H256" s="3192" t="s">
        <v>15377</v>
      </c>
      <c r="I256" s="3192" t="s">
        <v>15369</v>
      </c>
      <c r="J256" s="650" t="s">
        <v>14498</v>
      </c>
      <c r="K256" s="3191"/>
      <c r="L256" s="364">
        <v>1495290</v>
      </c>
      <c r="M256" s="3191" t="s">
        <v>251</v>
      </c>
      <c r="N256" s="365">
        <v>45124</v>
      </c>
      <c r="O256" s="365">
        <v>45203</v>
      </c>
      <c r="P256" s="365">
        <v>45239</v>
      </c>
      <c r="Q256" s="3192" t="s">
        <v>993</v>
      </c>
      <c r="R256" s="3191"/>
      <c r="S256" s="364">
        <v>1247598</v>
      </c>
      <c r="T256" s="364">
        <v>1509593.58</v>
      </c>
      <c r="U256" s="1476"/>
      <c r="V256" s="1476"/>
      <c r="W256" s="1476"/>
      <c r="X256" s="681">
        <v>45239</v>
      </c>
      <c r="Y256" s="364" t="s">
        <v>16205</v>
      </c>
      <c r="Z256" s="365">
        <v>45258</v>
      </c>
      <c r="AA256" s="365">
        <v>45259</v>
      </c>
      <c r="AB256" s="365">
        <v>46353</v>
      </c>
      <c r="AC256" s="2799"/>
      <c r="AD256" s="2799"/>
    </row>
    <row r="257" spans="1:30">
      <c r="A257" s="643">
        <v>44944</v>
      </c>
      <c r="B257" s="1533" t="s">
        <v>14040</v>
      </c>
      <c r="C257" s="639" t="s">
        <v>69</v>
      </c>
      <c r="D257" s="639" t="s">
        <v>15131</v>
      </c>
      <c r="E257" s="639" t="s">
        <v>13949</v>
      </c>
      <c r="F257" s="467" t="s">
        <v>15376</v>
      </c>
      <c r="G257" s="639">
        <v>2</v>
      </c>
      <c r="H257" s="1533" t="s">
        <v>14044</v>
      </c>
      <c r="I257" s="1533" t="s">
        <v>242</v>
      </c>
      <c r="J257" s="2652" t="s">
        <v>14498</v>
      </c>
      <c r="K257" s="639"/>
      <c r="L257" s="645">
        <v>1016291</v>
      </c>
      <c r="M257" s="639" t="s">
        <v>251</v>
      </c>
      <c r="N257" s="643">
        <v>45124</v>
      </c>
      <c r="O257" s="643">
        <v>45203</v>
      </c>
      <c r="P257" s="639"/>
      <c r="Q257" s="644" t="s">
        <v>304</v>
      </c>
      <c r="R257" s="831" t="s">
        <v>16014</v>
      </c>
      <c r="S257" s="645"/>
      <c r="T257" s="645"/>
      <c r="U257" s="1534"/>
      <c r="V257" s="1534"/>
      <c r="W257" s="1534"/>
      <c r="X257" s="645"/>
      <c r="Y257" s="645"/>
      <c r="Z257" s="639"/>
      <c r="AA257" s="643">
        <v>45215</v>
      </c>
      <c r="AB257" s="639" t="s">
        <v>16025</v>
      </c>
      <c r="AC257" s="2799"/>
      <c r="AD257" s="2799"/>
    </row>
    <row r="258" spans="1:30" ht="15.75" thickBot="1">
      <c r="A258" s="416">
        <v>44944</v>
      </c>
      <c r="B258" s="630" t="s">
        <v>15375</v>
      </c>
      <c r="C258" s="411" t="s">
        <v>69</v>
      </c>
      <c r="D258" s="411" t="s">
        <v>15131</v>
      </c>
      <c r="E258" s="411" t="s">
        <v>13949</v>
      </c>
      <c r="F258" s="175" t="s">
        <v>15376</v>
      </c>
      <c r="G258" s="411">
        <v>3</v>
      </c>
      <c r="H258" s="630" t="s">
        <v>15378</v>
      </c>
      <c r="I258" s="630" t="s">
        <v>15369</v>
      </c>
      <c r="J258" s="512" t="s">
        <v>14498</v>
      </c>
      <c r="K258" s="411"/>
      <c r="L258" s="417">
        <v>91126</v>
      </c>
      <c r="M258" s="411" t="s">
        <v>251</v>
      </c>
      <c r="N258" s="416">
        <v>45124</v>
      </c>
      <c r="O258" s="416">
        <v>45203</v>
      </c>
      <c r="P258" s="416">
        <v>45239</v>
      </c>
      <c r="Q258" s="630" t="s">
        <v>15355</v>
      </c>
      <c r="R258" s="411"/>
      <c r="S258" s="417">
        <v>91117.74</v>
      </c>
      <c r="T258" s="417">
        <v>100229.51</v>
      </c>
      <c r="U258" s="1480"/>
      <c r="V258" s="1480"/>
      <c r="W258" s="1480"/>
      <c r="X258" s="513">
        <v>45239</v>
      </c>
      <c r="Y258" s="417" t="s">
        <v>16206</v>
      </c>
      <c r="Z258" s="416">
        <v>45251</v>
      </c>
      <c r="AA258" s="416">
        <v>45259</v>
      </c>
      <c r="AB258" s="416">
        <v>46346</v>
      </c>
      <c r="AC258" s="2799"/>
      <c r="AD258" s="2799"/>
    </row>
    <row r="259" spans="1:30" ht="15.75" thickTop="1">
      <c r="A259" s="474">
        <v>44944</v>
      </c>
      <c r="B259" s="1420" t="s">
        <v>14046</v>
      </c>
      <c r="C259" s="453" t="s">
        <v>69</v>
      </c>
      <c r="D259" s="453" t="s">
        <v>15131</v>
      </c>
      <c r="E259" s="453" t="s">
        <v>13949</v>
      </c>
      <c r="F259" s="473" t="s">
        <v>15220</v>
      </c>
      <c r="G259" s="453">
        <v>1</v>
      </c>
      <c r="H259" s="1420" t="s">
        <v>14054</v>
      </c>
      <c r="I259" s="1420" t="s">
        <v>15369</v>
      </c>
      <c r="J259" s="2269" t="s">
        <v>14498</v>
      </c>
      <c r="K259" s="453"/>
      <c r="L259" s="457">
        <v>1004592</v>
      </c>
      <c r="M259" s="453" t="s">
        <v>251</v>
      </c>
      <c r="N259" s="474">
        <v>45161</v>
      </c>
      <c r="O259" s="474">
        <v>45287</v>
      </c>
      <c r="P259" s="474">
        <v>45398</v>
      </c>
      <c r="Q259" s="1420" t="s">
        <v>8542</v>
      </c>
      <c r="R259" s="453"/>
      <c r="S259" s="457">
        <v>843120</v>
      </c>
      <c r="T259" s="457">
        <v>1020175.2</v>
      </c>
      <c r="U259" s="1474"/>
      <c r="V259" s="1474"/>
      <c r="W259" s="1474"/>
      <c r="X259" s="570">
        <v>45398</v>
      </c>
      <c r="Y259" s="457" t="s">
        <v>17260</v>
      </c>
      <c r="Z259" s="474">
        <v>45419</v>
      </c>
      <c r="AA259" s="474">
        <v>45422</v>
      </c>
      <c r="AB259" s="474">
        <v>46148</v>
      </c>
      <c r="AC259" s="2799"/>
      <c r="AD259" s="2799"/>
    </row>
    <row r="260" spans="1:30">
      <c r="A260" s="2140">
        <v>44944</v>
      </c>
      <c r="B260" s="2143" t="s">
        <v>14047</v>
      </c>
      <c r="C260" s="2141" t="s">
        <v>69</v>
      </c>
      <c r="D260" s="2141" t="s">
        <v>15131</v>
      </c>
      <c r="E260" s="2141" t="s">
        <v>13949</v>
      </c>
      <c r="F260" s="2142" t="s">
        <v>15220</v>
      </c>
      <c r="G260" s="2141">
        <v>2</v>
      </c>
      <c r="H260" s="2143" t="s">
        <v>14055</v>
      </c>
      <c r="I260" s="2143" t="s">
        <v>15369</v>
      </c>
      <c r="J260" s="2264" t="s">
        <v>14498</v>
      </c>
      <c r="K260" s="2141"/>
      <c r="L260" s="2144">
        <v>1472861</v>
      </c>
      <c r="M260" s="2141" t="s">
        <v>251</v>
      </c>
      <c r="N260" s="2140">
        <v>45161</v>
      </c>
      <c r="O260" s="2140">
        <v>45287</v>
      </c>
      <c r="P260" s="2140">
        <v>45398</v>
      </c>
      <c r="Q260" s="2143" t="s">
        <v>8542</v>
      </c>
      <c r="R260" s="2141"/>
      <c r="S260" s="2144">
        <v>619423.19999999995</v>
      </c>
      <c r="T260" s="2144">
        <v>749502.07</v>
      </c>
      <c r="U260" s="2145"/>
      <c r="V260" s="2145"/>
      <c r="W260" s="2145"/>
      <c r="X260" s="2146">
        <v>45398</v>
      </c>
      <c r="Y260" s="2144" t="s">
        <v>17261</v>
      </c>
      <c r="Z260" s="2140">
        <v>45419</v>
      </c>
      <c r="AA260" s="2140">
        <v>45422</v>
      </c>
      <c r="AB260" s="2140">
        <v>46148</v>
      </c>
      <c r="AC260" s="2799"/>
      <c r="AD260" s="2799"/>
    </row>
    <row r="261" spans="1:30">
      <c r="A261" s="2140">
        <v>44944</v>
      </c>
      <c r="B261" s="2143" t="s">
        <v>14048</v>
      </c>
      <c r="C261" s="2141" t="s">
        <v>69</v>
      </c>
      <c r="D261" s="2141" t="s">
        <v>15131</v>
      </c>
      <c r="E261" s="2141" t="s">
        <v>13949</v>
      </c>
      <c r="F261" s="2142" t="s">
        <v>15220</v>
      </c>
      <c r="G261" s="2141">
        <v>3</v>
      </c>
      <c r="H261" s="2143" t="s">
        <v>14056</v>
      </c>
      <c r="I261" s="2143" t="s">
        <v>15369</v>
      </c>
      <c r="J261" s="2264" t="s">
        <v>14498</v>
      </c>
      <c r="K261" s="2141"/>
      <c r="L261" s="2144">
        <v>1370872</v>
      </c>
      <c r="M261" s="2141" t="s">
        <v>251</v>
      </c>
      <c r="N261" s="2140">
        <v>45161</v>
      </c>
      <c r="O261" s="2140">
        <v>45287</v>
      </c>
      <c r="P261" s="2140">
        <v>45398</v>
      </c>
      <c r="Q261" s="2143" t="s">
        <v>993</v>
      </c>
      <c r="R261" s="2141"/>
      <c r="S261" s="2144">
        <v>587628.80000000005</v>
      </c>
      <c r="T261" s="2144">
        <v>711030.85</v>
      </c>
      <c r="U261" s="2145"/>
      <c r="V261" s="2145"/>
      <c r="W261" s="2145"/>
      <c r="X261" s="2146">
        <v>45398</v>
      </c>
      <c r="Y261" s="2144" t="s">
        <v>17262</v>
      </c>
      <c r="Z261" s="2140">
        <v>45419</v>
      </c>
      <c r="AA261" s="2140">
        <v>45422</v>
      </c>
      <c r="AB261" s="2140">
        <v>46148</v>
      </c>
      <c r="AC261" s="2799"/>
      <c r="AD261" s="2799"/>
    </row>
    <row r="262" spans="1:30">
      <c r="A262" s="2140">
        <v>44944</v>
      </c>
      <c r="B262" s="2143" t="s">
        <v>14049</v>
      </c>
      <c r="C262" s="2141" t="s">
        <v>69</v>
      </c>
      <c r="D262" s="2141" t="s">
        <v>15131</v>
      </c>
      <c r="E262" s="2141" t="s">
        <v>13949</v>
      </c>
      <c r="F262" s="2142" t="s">
        <v>15220</v>
      </c>
      <c r="G262" s="2141">
        <v>4</v>
      </c>
      <c r="H262" s="2143" t="s">
        <v>14057</v>
      </c>
      <c r="I262" s="2143" t="s">
        <v>15369</v>
      </c>
      <c r="J262" s="2264" t="s">
        <v>14498</v>
      </c>
      <c r="K262" s="2141"/>
      <c r="L262" s="2144">
        <v>537315</v>
      </c>
      <c r="M262" s="2141" t="s">
        <v>251</v>
      </c>
      <c r="N262" s="2140">
        <v>45161</v>
      </c>
      <c r="O262" s="2140">
        <v>45287</v>
      </c>
      <c r="P262" s="2140">
        <v>45398</v>
      </c>
      <c r="Q262" s="2143" t="s">
        <v>993</v>
      </c>
      <c r="R262" s="2141"/>
      <c r="S262" s="2144">
        <v>507600</v>
      </c>
      <c r="T262" s="2144">
        <v>614196</v>
      </c>
      <c r="U262" s="2145"/>
      <c r="V262" s="2145"/>
      <c r="W262" s="2145"/>
      <c r="X262" s="2146">
        <v>45398</v>
      </c>
      <c r="Y262" s="2144" t="s">
        <v>17263</v>
      </c>
      <c r="Z262" s="2140">
        <v>45419</v>
      </c>
      <c r="AA262" s="2140">
        <v>45422</v>
      </c>
      <c r="AB262" s="2140">
        <v>46148</v>
      </c>
      <c r="AC262" s="2799"/>
      <c r="AD262" s="2799"/>
    </row>
    <row r="263" spans="1:30">
      <c r="A263" s="2140">
        <v>44944</v>
      </c>
      <c r="B263" s="2143" t="s">
        <v>14050</v>
      </c>
      <c r="C263" s="2141" t="s">
        <v>69</v>
      </c>
      <c r="D263" s="2141" t="s">
        <v>15131</v>
      </c>
      <c r="E263" s="2141" t="s">
        <v>13949</v>
      </c>
      <c r="F263" s="2142" t="s">
        <v>15220</v>
      </c>
      <c r="G263" s="2141">
        <v>5</v>
      </c>
      <c r="H263" s="2143" t="s">
        <v>14058</v>
      </c>
      <c r="I263" s="2143" t="s">
        <v>15369</v>
      </c>
      <c r="J263" s="2264" t="s">
        <v>14498</v>
      </c>
      <c r="K263" s="2141"/>
      <c r="L263" s="2144">
        <v>87859</v>
      </c>
      <c r="M263" s="2141" t="s">
        <v>251</v>
      </c>
      <c r="N263" s="2140">
        <v>45161</v>
      </c>
      <c r="O263" s="2140">
        <v>45287</v>
      </c>
      <c r="P263" s="2140">
        <v>45398</v>
      </c>
      <c r="Q263" s="2143" t="s">
        <v>993</v>
      </c>
      <c r="R263" s="2141"/>
      <c r="S263" s="2144">
        <v>86196</v>
      </c>
      <c r="T263" s="2144">
        <v>104297.16</v>
      </c>
      <c r="U263" s="2145"/>
      <c r="V263" s="2145"/>
      <c r="W263" s="2145"/>
      <c r="X263" s="2146">
        <v>45398</v>
      </c>
      <c r="Y263" s="2144" t="s">
        <v>17264</v>
      </c>
      <c r="Z263" s="2140">
        <v>45419</v>
      </c>
      <c r="AA263" s="2140">
        <v>45422</v>
      </c>
      <c r="AB263" s="2140">
        <v>46148</v>
      </c>
      <c r="AC263" s="2799"/>
      <c r="AD263" s="2799"/>
    </row>
    <row r="264" spans="1:30">
      <c r="A264" s="2140">
        <v>44944</v>
      </c>
      <c r="B264" s="2143" t="s">
        <v>14051</v>
      </c>
      <c r="C264" s="2141" t="s">
        <v>69</v>
      </c>
      <c r="D264" s="2141" t="s">
        <v>15131</v>
      </c>
      <c r="E264" s="2141" t="s">
        <v>13949</v>
      </c>
      <c r="F264" s="2142" t="s">
        <v>15220</v>
      </c>
      <c r="G264" s="2141">
        <v>6</v>
      </c>
      <c r="H264" s="2143" t="s">
        <v>14059</v>
      </c>
      <c r="I264" s="2143" t="s">
        <v>15369</v>
      </c>
      <c r="J264" s="2264" t="s">
        <v>14498</v>
      </c>
      <c r="K264" s="2141"/>
      <c r="L264" s="2144">
        <v>96382</v>
      </c>
      <c r="M264" s="2141" t="s">
        <v>251</v>
      </c>
      <c r="N264" s="2140">
        <v>45161</v>
      </c>
      <c r="O264" s="2140">
        <v>45287</v>
      </c>
      <c r="P264" s="2140">
        <v>45398</v>
      </c>
      <c r="Q264" s="2143" t="s">
        <v>8542</v>
      </c>
      <c r="R264" s="2141"/>
      <c r="S264" s="2144">
        <v>81466.67</v>
      </c>
      <c r="T264" s="2144">
        <v>98574.67</v>
      </c>
      <c r="U264" s="2145"/>
      <c r="V264" s="2145"/>
      <c r="W264" s="2145"/>
      <c r="X264" s="2146">
        <v>45398</v>
      </c>
      <c r="Y264" s="2144" t="s">
        <v>17265</v>
      </c>
      <c r="Z264" s="2140">
        <v>45419</v>
      </c>
      <c r="AA264" s="2140">
        <v>45422</v>
      </c>
      <c r="AB264" s="2140">
        <v>46148</v>
      </c>
      <c r="AC264" s="2799"/>
      <c r="AD264" s="2799"/>
    </row>
    <row r="265" spans="1:30">
      <c r="A265" s="2140">
        <v>44944</v>
      </c>
      <c r="B265" s="2143" t="s">
        <v>14052</v>
      </c>
      <c r="C265" s="2141" t="s">
        <v>69</v>
      </c>
      <c r="D265" s="2141" t="s">
        <v>15131</v>
      </c>
      <c r="E265" s="2141" t="s">
        <v>13949</v>
      </c>
      <c r="F265" s="2142" t="s">
        <v>15220</v>
      </c>
      <c r="G265" s="2141">
        <v>7</v>
      </c>
      <c r="H265" s="2143" t="s">
        <v>14060</v>
      </c>
      <c r="I265" s="2143" t="s">
        <v>15369</v>
      </c>
      <c r="J265" s="2264" t="s">
        <v>14498</v>
      </c>
      <c r="K265" s="2141"/>
      <c r="L265" s="2144">
        <v>2438372</v>
      </c>
      <c r="M265" s="2141" t="s">
        <v>251</v>
      </c>
      <c r="N265" s="2140">
        <v>45161</v>
      </c>
      <c r="O265" s="2140">
        <v>45287</v>
      </c>
      <c r="P265" s="2140">
        <v>45398</v>
      </c>
      <c r="Q265" s="2143" t="s">
        <v>993</v>
      </c>
      <c r="R265" s="2141"/>
      <c r="S265" s="2144">
        <v>2294742.73</v>
      </c>
      <c r="T265" s="2144">
        <v>2776638.7</v>
      </c>
      <c r="U265" s="2145"/>
      <c r="V265" s="2145"/>
      <c r="W265" s="2145"/>
      <c r="X265" s="2146">
        <v>45398</v>
      </c>
      <c r="Y265" s="2144" t="s">
        <v>17266</v>
      </c>
      <c r="Z265" s="2140">
        <v>45419</v>
      </c>
      <c r="AA265" s="2140">
        <v>45422</v>
      </c>
      <c r="AB265" s="2140">
        <v>46148</v>
      </c>
      <c r="AC265" s="2799"/>
      <c r="AD265" s="2799"/>
    </row>
    <row r="266" spans="1:30" ht="15.75" thickBot="1">
      <c r="A266" s="2130">
        <v>44944</v>
      </c>
      <c r="B266" s="2133" t="s">
        <v>14053</v>
      </c>
      <c r="C266" s="2131" t="s">
        <v>69</v>
      </c>
      <c r="D266" s="2131" t="s">
        <v>15131</v>
      </c>
      <c r="E266" s="2131" t="s">
        <v>13949</v>
      </c>
      <c r="F266" s="2132" t="s">
        <v>15220</v>
      </c>
      <c r="G266" s="2131">
        <v>8</v>
      </c>
      <c r="H266" s="2133" t="s">
        <v>14061</v>
      </c>
      <c r="I266" s="2133" t="s">
        <v>242</v>
      </c>
      <c r="J266" s="3019" t="s">
        <v>14498</v>
      </c>
      <c r="K266" s="2131"/>
      <c r="L266" s="2134">
        <v>1866474</v>
      </c>
      <c r="M266" s="2131" t="s">
        <v>251</v>
      </c>
      <c r="N266" s="2130">
        <v>45161</v>
      </c>
      <c r="O266" s="2130">
        <v>45287</v>
      </c>
      <c r="P266" s="2131"/>
      <c r="Q266" s="2137" t="s">
        <v>304</v>
      </c>
      <c r="R266" s="2131"/>
      <c r="S266" s="2134"/>
      <c r="T266" s="2134"/>
      <c r="U266" s="2135"/>
      <c r="V266" s="2135"/>
      <c r="W266" s="2135"/>
      <c r="X266" s="2134"/>
      <c r="Y266" s="2134"/>
      <c r="Z266" s="2131"/>
      <c r="AA266" s="2130">
        <v>45341</v>
      </c>
      <c r="AB266" s="2131" t="s">
        <v>16741</v>
      </c>
      <c r="AC266" s="2799"/>
      <c r="AD266" s="2799"/>
    </row>
    <row r="267" spans="1:30" ht="15.75" thickTop="1">
      <c r="A267" s="365">
        <v>44949</v>
      </c>
      <c r="B267" s="3192" t="s">
        <v>14069</v>
      </c>
      <c r="C267" s="3191" t="s">
        <v>2111</v>
      </c>
      <c r="D267" s="3191" t="s">
        <v>9080</v>
      </c>
      <c r="E267" s="3191" t="s">
        <v>13950</v>
      </c>
      <c r="F267" s="175" t="s">
        <v>14071</v>
      </c>
      <c r="G267" s="3191">
        <v>1</v>
      </c>
      <c r="H267" s="3192" t="s">
        <v>15092</v>
      </c>
      <c r="I267" s="3192" t="s">
        <v>15369</v>
      </c>
      <c r="J267" s="3191" t="s">
        <v>2967</v>
      </c>
      <c r="K267" s="3191"/>
      <c r="L267" s="364">
        <v>7408057.2800000003</v>
      </c>
      <c r="M267" s="3191" t="s">
        <v>251</v>
      </c>
      <c r="N267" s="365">
        <v>44971</v>
      </c>
      <c r="O267" s="365">
        <v>45005</v>
      </c>
      <c r="P267" s="365">
        <v>45124</v>
      </c>
      <c r="Q267" s="3192" t="s">
        <v>15343</v>
      </c>
      <c r="R267" s="3191"/>
      <c r="S267" s="364">
        <v>5914300.4000000004</v>
      </c>
      <c r="T267" s="364">
        <v>7156303.4800000004</v>
      </c>
      <c r="U267" s="1473"/>
      <c r="V267" s="1473"/>
      <c r="W267" s="1473"/>
      <c r="X267" s="681">
        <v>45124</v>
      </c>
      <c r="Y267" s="364" t="s">
        <v>15380</v>
      </c>
      <c r="Z267" s="365">
        <v>45147</v>
      </c>
      <c r="AA267" s="365">
        <v>45156</v>
      </c>
      <c r="AB267" s="365">
        <v>46607</v>
      </c>
      <c r="AC267" s="2799"/>
      <c r="AD267" s="2799"/>
    </row>
    <row r="268" spans="1:30" ht="15.75" thickBot="1">
      <c r="A268" s="2140">
        <v>44949</v>
      </c>
      <c r="B268" s="3192" t="s">
        <v>14070</v>
      </c>
      <c r="C268" s="2141" t="s">
        <v>2111</v>
      </c>
      <c r="D268" s="2141" t="s">
        <v>9080</v>
      </c>
      <c r="E268" s="2141" t="s">
        <v>13950</v>
      </c>
      <c r="F268" s="2142" t="s">
        <v>14071</v>
      </c>
      <c r="G268" s="2141">
        <v>2</v>
      </c>
      <c r="H268" s="2143" t="s">
        <v>14072</v>
      </c>
      <c r="I268" s="2143" t="s">
        <v>15369</v>
      </c>
      <c r="J268" s="2141" t="s">
        <v>2967</v>
      </c>
      <c r="K268" s="2141"/>
      <c r="L268" s="2144">
        <v>10214400</v>
      </c>
      <c r="M268" s="2141" t="s">
        <v>251</v>
      </c>
      <c r="N268" s="2140">
        <v>44971</v>
      </c>
      <c r="O268" s="2140">
        <v>45005</v>
      </c>
      <c r="P268" s="2140">
        <v>45124</v>
      </c>
      <c r="Q268" s="2143" t="s">
        <v>993</v>
      </c>
      <c r="R268" s="2141"/>
      <c r="S268" s="2144">
        <v>9544000</v>
      </c>
      <c r="T268" s="2144">
        <v>11548240</v>
      </c>
      <c r="U268" s="2145"/>
      <c r="V268" s="2145"/>
      <c r="W268" s="2145"/>
      <c r="X268" s="2146">
        <v>45124</v>
      </c>
      <c r="Y268" s="2144" t="s">
        <v>15379</v>
      </c>
      <c r="Z268" s="2140">
        <v>45153</v>
      </c>
      <c r="AA268" s="2140">
        <v>45156</v>
      </c>
      <c r="AB268" s="2140">
        <v>46613</v>
      </c>
      <c r="AC268" s="2799"/>
      <c r="AD268" s="2799"/>
    </row>
    <row r="269" spans="1:30" ht="15.75" thickTop="1">
      <c r="A269" s="474">
        <v>44896</v>
      </c>
      <c r="B269" s="1420" t="s">
        <v>14073</v>
      </c>
      <c r="C269" s="453" t="s">
        <v>69</v>
      </c>
      <c r="D269" s="453" t="s">
        <v>15129</v>
      </c>
      <c r="E269" s="453" t="s">
        <v>13949</v>
      </c>
      <c r="F269" s="473" t="s">
        <v>13697</v>
      </c>
      <c r="G269" s="453">
        <v>1</v>
      </c>
      <c r="H269" s="1420" t="s">
        <v>13698</v>
      </c>
      <c r="I269" s="1420" t="s">
        <v>15369</v>
      </c>
      <c r="J269" s="453" t="s">
        <v>3436</v>
      </c>
      <c r="K269" s="453"/>
      <c r="L269" s="457">
        <v>9752898</v>
      </c>
      <c r="M269" s="453" t="s">
        <v>251</v>
      </c>
      <c r="N269" s="474">
        <v>44950</v>
      </c>
      <c r="O269" s="474">
        <v>45006</v>
      </c>
      <c r="P269" s="474">
        <v>45036</v>
      </c>
      <c r="Q269" s="1420" t="s">
        <v>5566</v>
      </c>
      <c r="R269" s="453"/>
      <c r="S269" s="457">
        <v>3699374.8</v>
      </c>
      <c r="T269" s="457">
        <v>4069312.28</v>
      </c>
      <c r="U269" s="1474"/>
      <c r="V269" s="1474"/>
      <c r="W269" s="1474"/>
      <c r="X269" s="570">
        <v>45036</v>
      </c>
      <c r="Y269" s="457" t="s">
        <v>14664</v>
      </c>
      <c r="Z269" s="474">
        <v>45064</v>
      </c>
      <c r="AA269" s="474">
        <v>45086</v>
      </c>
      <c r="AB269" s="474">
        <v>46524</v>
      </c>
      <c r="AC269" s="2799"/>
      <c r="AD269" s="2799"/>
    </row>
    <row r="270" spans="1:30" ht="15.75" thickBot="1">
      <c r="A270" s="2117">
        <v>44896</v>
      </c>
      <c r="B270" s="2120" t="s">
        <v>14074</v>
      </c>
      <c r="C270" s="2118" t="s">
        <v>69</v>
      </c>
      <c r="D270" s="2118" t="s">
        <v>15129</v>
      </c>
      <c r="E270" s="2118" t="s">
        <v>13949</v>
      </c>
      <c r="F270" s="2119" t="s">
        <v>13696</v>
      </c>
      <c r="G270" s="2118">
        <v>2</v>
      </c>
      <c r="H270" s="2120" t="s">
        <v>13699</v>
      </c>
      <c r="I270" s="2120" t="s">
        <v>15369</v>
      </c>
      <c r="J270" s="2118" t="s">
        <v>3436</v>
      </c>
      <c r="K270" s="2118"/>
      <c r="L270" s="2121">
        <v>114943847</v>
      </c>
      <c r="M270" s="2118" t="s">
        <v>251</v>
      </c>
      <c r="N270" s="2117">
        <v>44950</v>
      </c>
      <c r="O270" s="2117">
        <v>45006</v>
      </c>
      <c r="P270" s="2117">
        <v>45036</v>
      </c>
      <c r="Q270" s="2120" t="s">
        <v>13761</v>
      </c>
      <c r="R270" s="2118"/>
      <c r="S270" s="2121">
        <v>30583103.359999999</v>
      </c>
      <c r="T270" s="2121">
        <v>33641413.700000003</v>
      </c>
      <c r="U270" s="2122"/>
      <c r="V270" s="2122"/>
      <c r="W270" s="2122"/>
      <c r="X270" s="2123">
        <v>45036</v>
      </c>
      <c r="Y270" s="2121" t="s">
        <v>14665</v>
      </c>
      <c r="Z270" s="2117">
        <v>45064</v>
      </c>
      <c r="AA270" s="2117">
        <v>45086</v>
      </c>
      <c r="AB270" s="2117">
        <v>46524</v>
      </c>
      <c r="AC270" s="2799"/>
      <c r="AD270" s="2799"/>
    </row>
    <row r="271" spans="1:30" ht="15.75" thickTop="1">
      <c r="A271" s="474">
        <v>44896</v>
      </c>
      <c r="B271" s="1420" t="s">
        <v>14075</v>
      </c>
      <c r="C271" s="453" t="s">
        <v>69</v>
      </c>
      <c r="D271" s="453" t="s">
        <v>15129</v>
      </c>
      <c r="E271" s="453" t="s">
        <v>13949</v>
      </c>
      <c r="F271" s="473" t="s">
        <v>13683</v>
      </c>
      <c r="G271" s="453">
        <v>1</v>
      </c>
      <c r="H271" s="1420" t="s">
        <v>13686</v>
      </c>
      <c r="I271" s="1420" t="s">
        <v>15369</v>
      </c>
      <c r="J271" s="453" t="s">
        <v>12920</v>
      </c>
      <c r="K271" s="453"/>
      <c r="L271" s="457">
        <v>866508</v>
      </c>
      <c r="M271" s="453" t="s">
        <v>251</v>
      </c>
      <c r="N271" s="474">
        <v>44971</v>
      </c>
      <c r="O271" s="474">
        <v>45040</v>
      </c>
      <c r="P271" s="474">
        <v>45071</v>
      </c>
      <c r="Q271" s="1420" t="s">
        <v>576</v>
      </c>
      <c r="R271" s="453"/>
      <c r="S271" s="457">
        <v>827169.6</v>
      </c>
      <c r="T271" s="457">
        <v>909886.56</v>
      </c>
      <c r="U271" s="1474"/>
      <c r="V271" s="1474"/>
      <c r="W271" s="1474"/>
      <c r="X271" s="570">
        <v>45071</v>
      </c>
      <c r="Y271" s="457" t="s">
        <v>14969</v>
      </c>
      <c r="Z271" s="474">
        <v>45096</v>
      </c>
      <c r="AA271" s="474">
        <v>45114</v>
      </c>
      <c r="AB271" s="474">
        <v>46556</v>
      </c>
      <c r="AC271" s="2799"/>
      <c r="AD271" s="2799"/>
    </row>
    <row r="272" spans="1:30">
      <c r="A272" s="2140">
        <v>44896</v>
      </c>
      <c r="B272" s="2143" t="s">
        <v>14076</v>
      </c>
      <c r="C272" s="2141" t="s">
        <v>69</v>
      </c>
      <c r="D272" s="2141" t="s">
        <v>15129</v>
      </c>
      <c r="E272" s="2141" t="s">
        <v>13949</v>
      </c>
      <c r="F272" s="2142" t="s">
        <v>13683</v>
      </c>
      <c r="G272" s="2141">
        <v>2</v>
      </c>
      <c r="H272" s="2143" t="s">
        <v>13687</v>
      </c>
      <c r="I272" s="2143" t="s">
        <v>15369</v>
      </c>
      <c r="J272" s="2141" t="s">
        <v>12920</v>
      </c>
      <c r="K272" s="2141"/>
      <c r="L272" s="2144">
        <v>220968</v>
      </c>
      <c r="M272" s="2141" t="s">
        <v>251</v>
      </c>
      <c r="N272" s="2140">
        <v>44971</v>
      </c>
      <c r="O272" s="2140">
        <v>45040</v>
      </c>
      <c r="P272" s="2140">
        <v>45071</v>
      </c>
      <c r="Q272" s="2143" t="s">
        <v>13761</v>
      </c>
      <c r="R272" s="2141"/>
      <c r="S272" s="2144">
        <v>108351.2</v>
      </c>
      <c r="T272" s="2144">
        <v>119186.32</v>
      </c>
      <c r="U272" s="2145"/>
      <c r="V272" s="2145"/>
      <c r="W272" s="2145"/>
      <c r="X272" s="2146">
        <v>45071</v>
      </c>
      <c r="Y272" s="2144" t="s">
        <v>14970</v>
      </c>
      <c r="Z272" s="2140">
        <v>45096</v>
      </c>
      <c r="AA272" s="2140">
        <v>45114</v>
      </c>
      <c r="AB272" s="2140">
        <v>46556</v>
      </c>
      <c r="AC272" s="2799"/>
      <c r="AD272" s="2799"/>
    </row>
    <row r="273" spans="1:31" ht="15.75" thickBot="1">
      <c r="A273" s="2117">
        <v>44896</v>
      </c>
      <c r="B273" s="2120" t="s">
        <v>14077</v>
      </c>
      <c r="C273" s="2118" t="s">
        <v>69</v>
      </c>
      <c r="D273" s="2118" t="s">
        <v>15129</v>
      </c>
      <c r="E273" s="2118" t="s">
        <v>13949</v>
      </c>
      <c r="F273" s="2119" t="s">
        <v>13683</v>
      </c>
      <c r="G273" s="2118">
        <v>3</v>
      </c>
      <c r="H273" s="2120" t="s">
        <v>13688</v>
      </c>
      <c r="I273" s="2120" t="s">
        <v>15369</v>
      </c>
      <c r="J273" s="2118" t="s">
        <v>12920</v>
      </c>
      <c r="K273" s="2118"/>
      <c r="L273" s="2121">
        <v>1129414</v>
      </c>
      <c r="M273" s="2118" t="s">
        <v>251</v>
      </c>
      <c r="N273" s="2117">
        <v>44971</v>
      </c>
      <c r="O273" s="2117">
        <v>45040</v>
      </c>
      <c r="P273" s="2117">
        <v>45071</v>
      </c>
      <c r="Q273" s="2120" t="s">
        <v>576</v>
      </c>
      <c r="R273" s="2118"/>
      <c r="S273" s="2121">
        <v>817159.68000000005</v>
      </c>
      <c r="T273" s="2121">
        <v>898875.65</v>
      </c>
      <c r="U273" s="2122"/>
      <c r="V273" s="2122"/>
      <c r="W273" s="2122"/>
      <c r="X273" s="2123">
        <v>45071</v>
      </c>
      <c r="Y273" s="2121" t="s">
        <v>14971</v>
      </c>
      <c r="Z273" s="2117">
        <v>45096</v>
      </c>
      <c r="AA273" s="2117">
        <v>45114</v>
      </c>
      <c r="AB273" s="2117">
        <v>46556</v>
      </c>
      <c r="AC273" s="2799"/>
      <c r="AD273" s="2799"/>
    </row>
    <row r="274" spans="1:31" ht="15.75" thickTop="1">
      <c r="A274" s="2124">
        <v>44949</v>
      </c>
      <c r="B274" s="2127" t="s">
        <v>14078</v>
      </c>
      <c r="C274" s="2125" t="s">
        <v>1032</v>
      </c>
      <c r="D274" s="2125" t="s">
        <v>361</v>
      </c>
      <c r="E274" s="2125" t="s">
        <v>655</v>
      </c>
      <c r="F274" s="2126" t="s">
        <v>14079</v>
      </c>
      <c r="G274" s="2125"/>
      <c r="H274" s="2127"/>
      <c r="I274" s="2127" t="s">
        <v>242</v>
      </c>
      <c r="J274" s="2125" t="s">
        <v>7263</v>
      </c>
      <c r="K274" s="2125"/>
      <c r="L274" s="2128">
        <v>1500000</v>
      </c>
      <c r="M274" s="2125" t="s">
        <v>112</v>
      </c>
      <c r="N274" s="2124">
        <v>44952</v>
      </c>
      <c r="O274" s="2124">
        <v>44960</v>
      </c>
      <c r="P274" s="2125"/>
      <c r="Q274" s="2136" t="s">
        <v>14154</v>
      </c>
      <c r="R274" s="2275" t="s">
        <v>14973</v>
      </c>
      <c r="S274" s="2128"/>
      <c r="T274" s="2128"/>
      <c r="U274" s="2129"/>
      <c r="V274" s="2129"/>
      <c r="W274" s="2129"/>
      <c r="X274" s="2128"/>
      <c r="Y274" s="2128"/>
      <c r="Z274" s="2125"/>
      <c r="AA274" s="2124">
        <v>44964</v>
      </c>
      <c r="AB274" s="2125"/>
      <c r="AC274" s="2799"/>
      <c r="AD274" s="2799"/>
    </row>
    <row r="275" spans="1:31">
      <c r="A275" s="2124">
        <v>44943</v>
      </c>
      <c r="B275" s="2127" t="s">
        <v>14080</v>
      </c>
      <c r="C275" s="2125" t="s">
        <v>69</v>
      </c>
      <c r="D275" s="2125" t="s">
        <v>70</v>
      </c>
      <c r="E275" s="2125" t="s">
        <v>13949</v>
      </c>
      <c r="F275" s="2126" t="s">
        <v>14081</v>
      </c>
      <c r="G275" s="2125"/>
      <c r="H275" s="2127"/>
      <c r="I275" s="2127" t="s">
        <v>242</v>
      </c>
      <c r="J275" s="2125" t="s">
        <v>14082</v>
      </c>
      <c r="K275" s="2125" t="s">
        <v>14083</v>
      </c>
      <c r="L275" s="2128">
        <v>7800000</v>
      </c>
      <c r="M275" s="2125" t="s">
        <v>251</v>
      </c>
      <c r="N275" s="2124">
        <v>44998</v>
      </c>
      <c r="O275" s="2124">
        <v>45033</v>
      </c>
      <c r="P275" s="2125"/>
      <c r="Q275" s="2136" t="s">
        <v>4505</v>
      </c>
      <c r="R275" s="2275" t="s">
        <v>14748</v>
      </c>
      <c r="S275" s="2128"/>
      <c r="T275" s="2128"/>
      <c r="U275" s="2129"/>
      <c r="V275" s="2129"/>
      <c r="W275" s="2129"/>
      <c r="X275" s="2128"/>
      <c r="Y275" s="2128"/>
      <c r="Z275" s="2125"/>
      <c r="AA275" s="2124">
        <v>45042</v>
      </c>
      <c r="AB275" s="2127" t="s">
        <v>14723</v>
      </c>
      <c r="AC275" s="2799"/>
      <c r="AD275" s="2799"/>
    </row>
    <row r="276" spans="1:31">
      <c r="A276" s="2124">
        <v>44944</v>
      </c>
      <c r="B276" s="2127" t="s">
        <v>14087</v>
      </c>
      <c r="C276" s="2125" t="s">
        <v>6561</v>
      </c>
      <c r="D276" s="2125" t="s">
        <v>4864</v>
      </c>
      <c r="E276" s="2125" t="s">
        <v>13950</v>
      </c>
      <c r="F276" s="2126" t="s">
        <v>14088</v>
      </c>
      <c r="G276" s="2125"/>
      <c r="H276" s="2127"/>
      <c r="I276" s="2127" t="s">
        <v>242</v>
      </c>
      <c r="J276" s="2125" t="s">
        <v>1780</v>
      </c>
      <c r="K276" s="2125"/>
      <c r="L276" s="2128">
        <v>2200000</v>
      </c>
      <c r="M276" s="2125" t="s">
        <v>251</v>
      </c>
      <c r="N276" s="2124">
        <v>44973</v>
      </c>
      <c r="O276" s="2124">
        <v>45006</v>
      </c>
      <c r="P276" s="2125"/>
      <c r="Q276" s="2136" t="s">
        <v>9691</v>
      </c>
      <c r="R276" s="2125"/>
      <c r="S276" s="2128"/>
      <c r="T276" s="2128"/>
      <c r="U276" s="2129"/>
      <c r="V276" s="2129"/>
      <c r="W276" s="2129"/>
      <c r="X276" s="2128"/>
      <c r="Y276" s="2128"/>
      <c r="Z276" s="2125"/>
      <c r="AA276" s="2124">
        <v>45071</v>
      </c>
      <c r="AB276" s="2127" t="s">
        <v>14817</v>
      </c>
      <c r="AC276" s="2799"/>
      <c r="AD276" s="2799"/>
    </row>
    <row r="277" spans="1:31">
      <c r="A277" s="2124">
        <v>44944</v>
      </c>
      <c r="B277" s="2127" t="s">
        <v>14091</v>
      </c>
      <c r="C277" s="2125" t="s">
        <v>6561</v>
      </c>
      <c r="D277" s="2125" t="s">
        <v>4864</v>
      </c>
      <c r="E277" s="2125" t="s">
        <v>13950</v>
      </c>
      <c r="F277" s="2126" t="s">
        <v>14089</v>
      </c>
      <c r="G277" s="2125"/>
      <c r="H277" s="2127"/>
      <c r="I277" s="2127" t="s">
        <v>242</v>
      </c>
      <c r="J277" s="2125" t="s">
        <v>1780</v>
      </c>
      <c r="K277" s="2125"/>
      <c r="L277" s="2128">
        <v>1500000</v>
      </c>
      <c r="M277" s="2125" t="s">
        <v>251</v>
      </c>
      <c r="N277" s="2124">
        <v>44973</v>
      </c>
      <c r="O277" s="2124">
        <v>45006</v>
      </c>
      <c r="P277" s="2125"/>
      <c r="Q277" s="2136" t="s">
        <v>9691</v>
      </c>
      <c r="R277" s="2125"/>
      <c r="S277" s="2128"/>
      <c r="T277" s="2128"/>
      <c r="U277" s="2129"/>
      <c r="V277" s="2129"/>
      <c r="W277" s="2129"/>
      <c r="X277" s="2128"/>
      <c r="Y277" s="2128"/>
      <c r="Z277" s="2125"/>
      <c r="AA277" s="2124">
        <v>45071</v>
      </c>
      <c r="AB277" s="2127" t="s">
        <v>14817</v>
      </c>
      <c r="AC277" s="2799"/>
      <c r="AD277" s="2799"/>
    </row>
    <row r="278" spans="1:31">
      <c r="A278" s="2140">
        <v>44944</v>
      </c>
      <c r="B278" s="2143" t="s">
        <v>14092</v>
      </c>
      <c r="C278" s="2141" t="s">
        <v>6561</v>
      </c>
      <c r="D278" s="2141" t="s">
        <v>4864</v>
      </c>
      <c r="E278" s="2141" t="s">
        <v>13950</v>
      </c>
      <c r="F278" s="2142" t="s">
        <v>14090</v>
      </c>
      <c r="G278" s="2141"/>
      <c r="H278" s="2143"/>
      <c r="I278" s="2143" t="s">
        <v>15369</v>
      </c>
      <c r="J278" s="2141" t="s">
        <v>1780</v>
      </c>
      <c r="K278" s="2141"/>
      <c r="L278" s="2144">
        <v>4200000</v>
      </c>
      <c r="M278" s="2141" t="s">
        <v>251</v>
      </c>
      <c r="N278" s="2140">
        <v>44973</v>
      </c>
      <c r="O278" s="2140">
        <v>45006</v>
      </c>
      <c r="P278" s="2140">
        <v>45040</v>
      </c>
      <c r="Q278" s="2143" t="s">
        <v>14641</v>
      </c>
      <c r="R278" s="2141"/>
      <c r="S278" s="2144">
        <v>15380913.02</v>
      </c>
      <c r="T278" s="2144">
        <v>18610904.75</v>
      </c>
      <c r="U278" s="2145"/>
      <c r="V278" s="2145"/>
      <c r="W278" s="2145"/>
      <c r="X278" s="2146">
        <v>45040</v>
      </c>
      <c r="Y278" s="2144" t="s">
        <v>14679</v>
      </c>
      <c r="Z278" s="2140">
        <v>45076</v>
      </c>
      <c r="AA278" s="2140">
        <v>45079</v>
      </c>
      <c r="AB278" s="2140">
        <v>46536</v>
      </c>
      <c r="AC278" s="2799"/>
      <c r="AD278" s="2799"/>
    </row>
    <row r="279" spans="1:31">
      <c r="A279" s="2564">
        <v>44950</v>
      </c>
      <c r="B279" s="2664" t="s">
        <v>14095</v>
      </c>
      <c r="C279" s="2877" t="s">
        <v>1754</v>
      </c>
      <c r="D279" s="2779" t="s">
        <v>1753</v>
      </c>
      <c r="E279" s="2779" t="s">
        <v>655</v>
      </c>
      <c r="F279" s="2902" t="s">
        <v>14096</v>
      </c>
      <c r="G279" s="2779"/>
      <c r="H279" s="2664"/>
      <c r="I279" s="2289" t="s">
        <v>15369</v>
      </c>
      <c r="J279" s="2779" t="s">
        <v>2055</v>
      </c>
      <c r="K279" s="2779"/>
      <c r="L279" s="2607">
        <v>675000</v>
      </c>
      <c r="M279" s="2779" t="s">
        <v>112</v>
      </c>
      <c r="N279" s="2564">
        <v>44956</v>
      </c>
      <c r="O279" s="2564">
        <v>44967</v>
      </c>
      <c r="P279" s="2564">
        <v>44970</v>
      </c>
      <c r="Q279" s="2664" t="s">
        <v>7165</v>
      </c>
      <c r="R279" s="2779"/>
      <c r="S279" s="2607">
        <v>576900</v>
      </c>
      <c r="T279" s="2607">
        <v>698049</v>
      </c>
      <c r="U279" s="2781"/>
      <c r="V279" s="2781"/>
      <c r="W279" s="2781"/>
      <c r="X279" s="2782">
        <v>44970</v>
      </c>
      <c r="Y279" s="2607" t="s">
        <v>14188</v>
      </c>
      <c r="Z279" s="2564">
        <v>44993</v>
      </c>
      <c r="AA279" s="2564">
        <v>44995</v>
      </c>
      <c r="AB279" s="2564">
        <v>46237</v>
      </c>
      <c r="AC279" s="2799"/>
      <c r="AD279" s="2799"/>
    </row>
    <row r="280" spans="1:31">
      <c r="A280" s="2140">
        <v>44951</v>
      </c>
      <c r="B280" s="2143" t="s">
        <v>14099</v>
      </c>
      <c r="C280" s="2141" t="s">
        <v>52</v>
      </c>
      <c r="D280" s="2141" t="s">
        <v>7503</v>
      </c>
      <c r="E280" s="2141" t="s">
        <v>655</v>
      </c>
      <c r="F280" s="2142" t="s">
        <v>14100</v>
      </c>
      <c r="G280" s="2141"/>
      <c r="H280" s="2143"/>
      <c r="I280" s="2143" t="s">
        <v>15369</v>
      </c>
      <c r="J280" s="2141" t="s">
        <v>484</v>
      </c>
      <c r="K280" s="2141" t="s">
        <v>14101</v>
      </c>
      <c r="L280" s="2144">
        <v>400000</v>
      </c>
      <c r="M280" s="2141" t="s">
        <v>112</v>
      </c>
      <c r="N280" s="2140">
        <v>44956</v>
      </c>
      <c r="O280" s="2140">
        <v>44965</v>
      </c>
      <c r="P280" s="2140">
        <v>44979</v>
      </c>
      <c r="Q280" s="2143" t="s">
        <v>3500</v>
      </c>
      <c r="R280" s="2141"/>
      <c r="S280" s="2144">
        <v>350000</v>
      </c>
      <c r="T280" s="2144">
        <v>423500</v>
      </c>
      <c r="U280" s="2145"/>
      <c r="V280" s="2145"/>
      <c r="W280" s="2145"/>
      <c r="X280" s="2146">
        <v>44979</v>
      </c>
      <c r="Y280" s="2144" t="s">
        <v>14242</v>
      </c>
      <c r="Z280" s="2140">
        <v>44994</v>
      </c>
      <c r="AA280" s="2140">
        <v>44995</v>
      </c>
      <c r="AB280" s="2140">
        <v>45114</v>
      </c>
      <c r="AC280" s="2799"/>
      <c r="AD280" s="2799"/>
    </row>
    <row r="281" spans="1:31">
      <c r="A281" s="2140">
        <v>44952</v>
      </c>
      <c r="B281" s="2143" t="s">
        <v>14123</v>
      </c>
      <c r="C281" s="2141" t="s">
        <v>52</v>
      </c>
      <c r="D281" s="2141" t="s">
        <v>3089</v>
      </c>
      <c r="E281" s="2141" t="s">
        <v>655</v>
      </c>
      <c r="F281" s="2142" t="s">
        <v>14124</v>
      </c>
      <c r="G281" s="2141"/>
      <c r="H281" s="2143"/>
      <c r="I281" s="2143" t="s">
        <v>15369</v>
      </c>
      <c r="J281" s="2141" t="s">
        <v>484</v>
      </c>
      <c r="K281" s="2141" t="s">
        <v>14125</v>
      </c>
      <c r="L281" s="2144">
        <v>650000</v>
      </c>
      <c r="M281" s="2141" t="s">
        <v>112</v>
      </c>
      <c r="N281" s="2140">
        <v>44964</v>
      </c>
      <c r="O281" s="2140">
        <v>44974</v>
      </c>
      <c r="P281" s="2140">
        <v>44988</v>
      </c>
      <c r="Q281" s="2143" t="s">
        <v>14217</v>
      </c>
      <c r="R281" s="2141"/>
      <c r="S281" s="2144">
        <v>475000</v>
      </c>
      <c r="T281" s="2144">
        <v>574750</v>
      </c>
      <c r="U281" s="2145"/>
      <c r="V281" s="2145"/>
      <c r="W281" s="2145"/>
      <c r="X281" s="2146">
        <v>44988</v>
      </c>
      <c r="Y281" s="2144" t="s">
        <v>14286</v>
      </c>
      <c r="Z281" s="2140">
        <v>45008</v>
      </c>
      <c r="AA281" s="2140">
        <v>45008</v>
      </c>
      <c r="AB281" s="2141"/>
      <c r="AC281" s="2799"/>
      <c r="AD281" s="2799"/>
    </row>
    <row r="282" spans="1:31" ht="45">
      <c r="A282" s="2154" t="s">
        <v>3585</v>
      </c>
      <c r="B282" s="2156" t="s">
        <v>14126</v>
      </c>
      <c r="C282" s="2154" t="s">
        <v>1754</v>
      </c>
      <c r="D282" s="2154" t="s">
        <v>1753</v>
      </c>
      <c r="E282" s="2154" t="s">
        <v>13950</v>
      </c>
      <c r="F282" s="2155" t="s">
        <v>14127</v>
      </c>
      <c r="G282" s="2154"/>
      <c r="H282" s="2156"/>
      <c r="I282" s="2156" t="s">
        <v>15373</v>
      </c>
      <c r="J282" s="2154" t="s">
        <v>1784</v>
      </c>
      <c r="K282" s="2154"/>
      <c r="L282" s="2157">
        <v>60000000</v>
      </c>
      <c r="M282" s="2154" t="s">
        <v>251</v>
      </c>
      <c r="N282" s="2153">
        <v>44992</v>
      </c>
      <c r="O282" s="2153">
        <v>45138</v>
      </c>
      <c r="P282" s="2153">
        <v>45272</v>
      </c>
      <c r="Q282" s="2156" t="s">
        <v>16330</v>
      </c>
      <c r="R282" s="2154"/>
      <c r="S282" s="2157">
        <v>39819795</v>
      </c>
      <c r="T282" s="2157">
        <v>48181951.950000003</v>
      </c>
      <c r="U282" s="2094"/>
      <c r="V282" s="2094"/>
      <c r="W282" s="2094"/>
      <c r="X282" s="2160">
        <v>45279</v>
      </c>
      <c r="Y282" s="2326" t="s">
        <v>16436</v>
      </c>
      <c r="Z282" s="2154"/>
      <c r="AA282" s="2154"/>
      <c r="AB282" s="2154"/>
      <c r="AC282" s="2799"/>
      <c r="AD282" s="2799"/>
    </row>
    <row r="283" spans="1:31">
      <c r="A283" s="2140">
        <v>44957</v>
      </c>
      <c r="B283" s="2143" t="s">
        <v>14132</v>
      </c>
      <c r="C283" s="2141" t="s">
        <v>69</v>
      </c>
      <c r="D283" s="2141" t="s">
        <v>15129</v>
      </c>
      <c r="E283" s="2141" t="s">
        <v>13949</v>
      </c>
      <c r="F283" s="2142" t="s">
        <v>14133</v>
      </c>
      <c r="G283" s="2141"/>
      <c r="H283" s="2143"/>
      <c r="I283" s="2143" t="s">
        <v>15369</v>
      </c>
      <c r="J283" s="2141" t="s">
        <v>93</v>
      </c>
      <c r="K283" s="2141"/>
      <c r="L283" s="2144">
        <v>96996000</v>
      </c>
      <c r="M283" s="2141" t="s">
        <v>251</v>
      </c>
      <c r="N283" s="2140">
        <v>44960</v>
      </c>
      <c r="O283" s="2140">
        <v>44995</v>
      </c>
      <c r="P283" s="2140">
        <v>45196</v>
      </c>
      <c r="Q283" s="2143" t="s">
        <v>10689</v>
      </c>
      <c r="R283" s="2141"/>
      <c r="S283" s="2144">
        <v>85519190.040000007</v>
      </c>
      <c r="T283" s="2144">
        <v>94071109.040000007</v>
      </c>
      <c r="U283" s="2145"/>
      <c r="V283" s="2145"/>
      <c r="W283" s="2145"/>
      <c r="X283" s="2146">
        <v>45196</v>
      </c>
      <c r="Y283" s="2144" t="s">
        <v>15889</v>
      </c>
      <c r="Z283" s="2140">
        <v>45210</v>
      </c>
      <c r="AA283" s="2140">
        <v>45216</v>
      </c>
      <c r="AB283" s="2140">
        <v>46305</v>
      </c>
      <c r="AC283" s="2799"/>
      <c r="AD283" s="2799"/>
    </row>
    <row r="284" spans="1:31">
      <c r="A284" s="2140">
        <v>44957</v>
      </c>
      <c r="B284" s="2143" t="s">
        <v>14134</v>
      </c>
      <c r="C284" s="2141" t="s">
        <v>69</v>
      </c>
      <c r="D284" s="2141" t="s">
        <v>15129</v>
      </c>
      <c r="E284" s="2141" t="s">
        <v>13949</v>
      </c>
      <c r="F284" s="2142" t="s">
        <v>14135</v>
      </c>
      <c r="G284" s="2141"/>
      <c r="H284" s="2143"/>
      <c r="I284" s="2143" t="s">
        <v>15369</v>
      </c>
      <c r="J284" s="2141" t="s">
        <v>3451</v>
      </c>
      <c r="K284" s="2141"/>
      <c r="L284" s="2144">
        <v>24718813</v>
      </c>
      <c r="M284" s="2141" t="s">
        <v>251</v>
      </c>
      <c r="N284" s="2140">
        <v>44960</v>
      </c>
      <c r="O284" s="2140">
        <v>45000</v>
      </c>
      <c r="P284" s="2140">
        <v>45016</v>
      </c>
      <c r="Q284" s="2143" t="s">
        <v>1319</v>
      </c>
      <c r="R284" s="2141"/>
      <c r="S284" s="2144">
        <v>24956932.5</v>
      </c>
      <c r="T284" s="2144">
        <v>27452625.75</v>
      </c>
      <c r="U284" s="2145"/>
      <c r="V284" s="2145"/>
      <c r="W284" s="2145"/>
      <c r="X284" s="2146">
        <v>45016</v>
      </c>
      <c r="Y284" s="2144" t="s">
        <v>14529</v>
      </c>
      <c r="Z284" s="2140">
        <v>45042</v>
      </c>
      <c r="AA284" s="2140">
        <v>45049</v>
      </c>
      <c r="AB284" s="2140">
        <v>46137</v>
      </c>
      <c r="AC284" s="2799"/>
      <c r="AD284" s="2799"/>
    </row>
    <row r="285" spans="1:31">
      <c r="A285" s="2140">
        <v>44957</v>
      </c>
      <c r="B285" s="2143" t="s">
        <v>14136</v>
      </c>
      <c r="C285" s="2141" t="s">
        <v>69</v>
      </c>
      <c r="D285" s="2141" t="s">
        <v>15129</v>
      </c>
      <c r="E285" s="2141" t="s">
        <v>13949</v>
      </c>
      <c r="F285" s="2142" t="s">
        <v>14137</v>
      </c>
      <c r="G285" s="2141"/>
      <c r="H285" s="2143"/>
      <c r="I285" s="2143" t="s">
        <v>15369</v>
      </c>
      <c r="J285" s="2141" t="s">
        <v>2418</v>
      </c>
      <c r="K285" s="2141"/>
      <c r="L285" s="2144">
        <v>5721680</v>
      </c>
      <c r="M285" s="2141" t="s">
        <v>251</v>
      </c>
      <c r="N285" s="2140">
        <v>44960</v>
      </c>
      <c r="O285" s="2140">
        <v>45027</v>
      </c>
      <c r="P285" s="2140">
        <v>45044</v>
      </c>
      <c r="Q285" s="2143" t="s">
        <v>6071</v>
      </c>
      <c r="R285" s="2141"/>
      <c r="S285" s="2144">
        <v>5721618.1799999997</v>
      </c>
      <c r="T285" s="2144">
        <v>6293780</v>
      </c>
      <c r="U285" s="2145"/>
      <c r="V285" s="2145"/>
      <c r="W285" s="2145"/>
      <c r="X285" s="2146">
        <v>45044</v>
      </c>
      <c r="Y285" s="2144" t="s">
        <v>14749</v>
      </c>
      <c r="Z285" s="2140">
        <v>45090</v>
      </c>
      <c r="AA285" s="2140">
        <v>45097</v>
      </c>
      <c r="AB285" s="2140">
        <v>46185</v>
      </c>
      <c r="AC285" s="2799"/>
      <c r="AD285" s="2799"/>
    </row>
    <row r="286" spans="1:31" ht="45">
      <c r="A286" s="2140">
        <v>44960</v>
      </c>
      <c r="B286" s="2143" t="s">
        <v>14143</v>
      </c>
      <c r="C286" s="2141" t="s">
        <v>58</v>
      </c>
      <c r="D286" s="2141" t="s">
        <v>4969</v>
      </c>
      <c r="E286" s="2141" t="s">
        <v>13948</v>
      </c>
      <c r="F286" s="2142" t="s">
        <v>11900</v>
      </c>
      <c r="G286" s="2141"/>
      <c r="H286" s="2143"/>
      <c r="I286" s="2143" t="s">
        <v>15369</v>
      </c>
      <c r="J286" s="2141" t="s">
        <v>77</v>
      </c>
      <c r="K286" s="2141" t="s">
        <v>14144</v>
      </c>
      <c r="L286" s="2144">
        <v>2608600</v>
      </c>
      <c r="M286" s="2141" t="s">
        <v>216</v>
      </c>
      <c r="N286" s="2140">
        <v>44965</v>
      </c>
      <c r="O286" s="2140">
        <v>44984</v>
      </c>
      <c r="P286" s="2140">
        <v>45008</v>
      </c>
      <c r="Q286" s="2143" t="s">
        <v>12765</v>
      </c>
      <c r="R286" s="2141"/>
      <c r="S286" s="2144">
        <v>2508500</v>
      </c>
      <c r="T286" s="2144">
        <v>3035285</v>
      </c>
      <c r="U286" s="2145"/>
      <c r="V286" s="2145"/>
      <c r="W286" s="2145"/>
      <c r="X286" s="2146">
        <v>45008</v>
      </c>
      <c r="Y286" s="2260" t="s">
        <v>14454</v>
      </c>
      <c r="Z286" s="2140">
        <v>45051</v>
      </c>
      <c r="AA286" s="2140">
        <v>45063</v>
      </c>
      <c r="AB286" s="2140">
        <v>45079</v>
      </c>
      <c r="AC286" s="2799"/>
      <c r="AD286" s="2799"/>
    </row>
    <row r="287" spans="1:31">
      <c r="A287" s="2140">
        <v>44963</v>
      </c>
      <c r="B287" s="2143" t="s">
        <v>14145</v>
      </c>
      <c r="C287" s="2141" t="s">
        <v>69</v>
      </c>
      <c r="D287" s="2141" t="s">
        <v>15129</v>
      </c>
      <c r="E287" s="2141" t="s">
        <v>13949</v>
      </c>
      <c r="F287" s="2142" t="s">
        <v>14147</v>
      </c>
      <c r="G287" s="2141"/>
      <c r="H287" s="2143"/>
      <c r="I287" s="2143" t="s">
        <v>15369</v>
      </c>
      <c r="J287" s="2141" t="s">
        <v>93</v>
      </c>
      <c r="K287" s="2141"/>
      <c r="L287" s="2144">
        <v>210373946</v>
      </c>
      <c r="M287" s="2141" t="s">
        <v>251</v>
      </c>
      <c r="N287" s="2140">
        <v>44973</v>
      </c>
      <c r="O287" s="2140">
        <v>45040</v>
      </c>
      <c r="P287" s="2140">
        <v>45057</v>
      </c>
      <c r="Q287" s="2143" t="s">
        <v>2405</v>
      </c>
      <c r="R287" s="2141"/>
      <c r="S287" s="2144">
        <v>210373945.19999999</v>
      </c>
      <c r="T287" s="2144">
        <v>231411368.88</v>
      </c>
      <c r="U287" s="2094"/>
      <c r="V287" s="2094"/>
      <c r="W287" s="2094"/>
      <c r="X287" s="2146">
        <v>45057</v>
      </c>
      <c r="Y287" s="2144" t="s">
        <v>14851</v>
      </c>
      <c r="Z287" s="2140">
        <v>45083</v>
      </c>
      <c r="AA287" s="2140">
        <v>45083</v>
      </c>
      <c r="AB287" s="2140">
        <v>46222</v>
      </c>
      <c r="AC287" s="2799"/>
      <c r="AD287" s="2799"/>
      <c r="AE287" s="360" t="s">
        <v>15056</v>
      </c>
    </row>
    <row r="288" spans="1:31" ht="15.75" thickBot="1">
      <c r="A288" s="416">
        <v>44963</v>
      </c>
      <c r="B288" s="630" t="s">
        <v>14146</v>
      </c>
      <c r="C288" s="411" t="s">
        <v>69</v>
      </c>
      <c r="D288" s="411" t="s">
        <v>15129</v>
      </c>
      <c r="E288" s="411" t="s">
        <v>13949</v>
      </c>
      <c r="F288" s="412" t="s">
        <v>14148</v>
      </c>
      <c r="G288" s="411"/>
      <c r="H288" s="630"/>
      <c r="I288" s="630" t="s">
        <v>15369</v>
      </c>
      <c r="J288" s="411" t="s">
        <v>3265</v>
      </c>
      <c r="K288" s="411"/>
      <c r="L288" s="417">
        <v>6598800</v>
      </c>
      <c r="M288" s="411" t="s">
        <v>251</v>
      </c>
      <c r="N288" s="416">
        <v>44973</v>
      </c>
      <c r="O288" s="416">
        <v>45071</v>
      </c>
      <c r="P288" s="416">
        <v>45104</v>
      </c>
      <c r="Q288" s="630" t="s">
        <v>6071</v>
      </c>
      <c r="R288" s="411"/>
      <c r="S288" s="417">
        <v>6598800</v>
      </c>
      <c r="T288" s="417">
        <v>7258680</v>
      </c>
      <c r="U288" s="1480"/>
      <c r="V288" s="1480"/>
      <c r="W288" s="1480"/>
      <c r="X288" s="513">
        <v>45104</v>
      </c>
      <c r="Y288" s="417" t="s">
        <v>15199</v>
      </c>
      <c r="Z288" s="416">
        <v>45126</v>
      </c>
      <c r="AA288" s="416">
        <v>45127</v>
      </c>
      <c r="AB288" s="416">
        <v>46221</v>
      </c>
      <c r="AC288" s="2799"/>
      <c r="AD288" s="2799"/>
    </row>
    <row r="289" spans="1:30" ht="15.75" thickTop="1">
      <c r="A289" s="443">
        <v>44960</v>
      </c>
      <c r="B289" s="1431" t="s">
        <v>14149</v>
      </c>
      <c r="C289" s="439" t="s">
        <v>58</v>
      </c>
      <c r="D289" s="439" t="s">
        <v>4969</v>
      </c>
      <c r="E289" s="439" t="s">
        <v>655</v>
      </c>
      <c r="F289" s="440" t="s">
        <v>10051</v>
      </c>
      <c r="G289" s="439">
        <v>1</v>
      </c>
      <c r="H289" s="1431" t="s">
        <v>12015</v>
      </c>
      <c r="I289" s="1431" t="s">
        <v>242</v>
      </c>
      <c r="J289" s="439" t="s">
        <v>269</v>
      </c>
      <c r="K289" s="439" t="s">
        <v>14151</v>
      </c>
      <c r="L289" s="444">
        <v>931270</v>
      </c>
      <c r="M289" s="439" t="s">
        <v>112</v>
      </c>
      <c r="N289" s="443">
        <v>44966</v>
      </c>
      <c r="O289" s="443">
        <v>44980</v>
      </c>
      <c r="P289" s="439"/>
      <c r="Q289" s="753" t="s">
        <v>14275</v>
      </c>
      <c r="R289" s="2015" t="s">
        <v>14277</v>
      </c>
      <c r="S289" s="444"/>
      <c r="T289" s="444"/>
      <c r="U289" s="1481"/>
      <c r="V289" s="1481"/>
      <c r="W289" s="1481"/>
      <c r="X289" s="444"/>
      <c r="Y289" s="444"/>
      <c r="Z289" s="439"/>
      <c r="AA289" s="443">
        <v>44987</v>
      </c>
      <c r="AB289" s="439"/>
      <c r="AC289" s="2799"/>
      <c r="AD289" s="2799"/>
    </row>
    <row r="290" spans="1:30" ht="30.75" thickBot="1">
      <c r="A290" s="2117">
        <v>44960</v>
      </c>
      <c r="B290" s="2120" t="s">
        <v>14150</v>
      </c>
      <c r="C290" s="2118" t="s">
        <v>58</v>
      </c>
      <c r="D290" s="2118" t="s">
        <v>4969</v>
      </c>
      <c r="E290" s="2118" t="s">
        <v>655</v>
      </c>
      <c r="F290" s="2119" t="s">
        <v>10051</v>
      </c>
      <c r="G290" s="2118">
        <v>2</v>
      </c>
      <c r="H290" s="2120" t="s">
        <v>4250</v>
      </c>
      <c r="I290" s="2120" t="s">
        <v>15369</v>
      </c>
      <c r="J290" s="2118" t="s">
        <v>269</v>
      </c>
      <c r="K290" s="2118" t="s">
        <v>14152</v>
      </c>
      <c r="L290" s="2121">
        <v>623884</v>
      </c>
      <c r="M290" s="2118" t="s">
        <v>112</v>
      </c>
      <c r="N290" s="2117">
        <v>44966</v>
      </c>
      <c r="O290" s="2117">
        <v>44980</v>
      </c>
      <c r="P290" s="2117">
        <v>44999</v>
      </c>
      <c r="Q290" s="2120" t="s">
        <v>10265</v>
      </c>
      <c r="R290" s="2118"/>
      <c r="S290" s="2121">
        <v>604424</v>
      </c>
      <c r="T290" s="2121">
        <v>731353.04</v>
      </c>
      <c r="U290" s="2122"/>
      <c r="V290" s="2122"/>
      <c r="W290" s="2122"/>
      <c r="X290" s="2123">
        <v>44999</v>
      </c>
      <c r="Y290" s="2246" t="s">
        <v>14371</v>
      </c>
      <c r="Z290" s="2117">
        <v>45014</v>
      </c>
      <c r="AA290" s="2117">
        <v>45015</v>
      </c>
      <c r="AB290" s="2565">
        <v>45084</v>
      </c>
      <c r="AC290" s="2799"/>
      <c r="AD290" s="2799"/>
    </row>
    <row r="291" spans="1:30" ht="46.5" thickTop="1" thickBot="1">
      <c r="A291" s="498" t="s">
        <v>3585</v>
      </c>
      <c r="B291" s="669" t="s">
        <v>14165</v>
      </c>
      <c r="C291" s="232" t="s">
        <v>2434</v>
      </c>
      <c r="D291" s="232" t="s">
        <v>3204</v>
      </c>
      <c r="E291" s="232" t="s">
        <v>13952</v>
      </c>
      <c r="F291" s="274" t="s">
        <v>8420</v>
      </c>
      <c r="G291" s="232"/>
      <c r="H291" s="669"/>
      <c r="I291" s="669" t="s">
        <v>15369</v>
      </c>
      <c r="J291" s="232" t="s">
        <v>642</v>
      </c>
      <c r="K291" s="232"/>
      <c r="L291" s="499">
        <v>2712000</v>
      </c>
      <c r="M291" s="232" t="s">
        <v>216</v>
      </c>
      <c r="N291" s="498">
        <v>44966</v>
      </c>
      <c r="O291" s="498">
        <v>44985</v>
      </c>
      <c r="P291" s="498">
        <v>45016</v>
      </c>
      <c r="Q291" s="669" t="s">
        <v>5696</v>
      </c>
      <c r="R291" s="232"/>
      <c r="S291" s="499">
        <v>2712000</v>
      </c>
      <c r="T291" s="499">
        <v>3118800</v>
      </c>
      <c r="U291" s="1545"/>
      <c r="V291" s="1545"/>
      <c r="W291" s="1545"/>
      <c r="X291" s="682">
        <v>45016</v>
      </c>
      <c r="Y291" s="1752" t="s">
        <v>14536</v>
      </c>
      <c r="Z291" s="498">
        <v>45042</v>
      </c>
      <c r="AA291" s="498">
        <v>45062</v>
      </c>
      <c r="AB291" s="498">
        <v>46502</v>
      </c>
      <c r="AC291" s="2799"/>
      <c r="AD291" s="2799"/>
    </row>
    <row r="292" spans="1:30" ht="15.75" thickTop="1">
      <c r="A292" s="474">
        <v>44963</v>
      </c>
      <c r="B292" s="1420" t="s">
        <v>14155</v>
      </c>
      <c r="C292" s="453" t="s">
        <v>2434</v>
      </c>
      <c r="D292" s="453" t="s">
        <v>219</v>
      </c>
      <c r="E292" s="453" t="s">
        <v>13952</v>
      </c>
      <c r="F292" s="473" t="s">
        <v>14157</v>
      </c>
      <c r="G292" s="453">
        <v>1</v>
      </c>
      <c r="H292" s="1420" t="s">
        <v>14158</v>
      </c>
      <c r="I292" s="1420" t="s">
        <v>15369</v>
      </c>
      <c r="J292" s="453" t="s">
        <v>3271</v>
      </c>
      <c r="K292" s="453"/>
      <c r="L292" s="457">
        <v>25200</v>
      </c>
      <c r="M292" s="453" t="s">
        <v>251</v>
      </c>
      <c r="N292" s="474">
        <v>44967</v>
      </c>
      <c r="O292" s="474">
        <v>45001</v>
      </c>
      <c r="P292" s="474">
        <v>45049</v>
      </c>
      <c r="Q292" s="1420" t="s">
        <v>8408</v>
      </c>
      <c r="R292" s="453"/>
      <c r="S292" s="457">
        <v>24152.400000000001</v>
      </c>
      <c r="T292" s="457">
        <v>29224.400000000001</v>
      </c>
      <c r="U292" s="1474"/>
      <c r="V292" s="1474"/>
      <c r="W292" s="1474"/>
      <c r="X292" s="570">
        <v>45049</v>
      </c>
      <c r="Y292" s="457" t="s">
        <v>14804</v>
      </c>
      <c r="Z292" s="474">
        <v>45084</v>
      </c>
      <c r="AA292" s="474">
        <v>45111</v>
      </c>
      <c r="AB292" s="474">
        <v>45168</v>
      </c>
      <c r="AC292" s="2799"/>
      <c r="AD292" s="2799"/>
    </row>
    <row r="293" spans="1:30">
      <c r="A293" s="2140">
        <v>44963</v>
      </c>
      <c r="B293" s="2143" t="s">
        <v>14156</v>
      </c>
      <c r="C293" s="2141" t="s">
        <v>2434</v>
      </c>
      <c r="D293" s="2141" t="s">
        <v>219</v>
      </c>
      <c r="E293" s="2141" t="s">
        <v>13952</v>
      </c>
      <c r="F293" s="2142" t="s">
        <v>14157</v>
      </c>
      <c r="G293" s="2141">
        <v>2</v>
      </c>
      <c r="H293" s="2143" t="s">
        <v>14159</v>
      </c>
      <c r="I293" s="2143" t="s">
        <v>15369</v>
      </c>
      <c r="J293" s="2141" t="s">
        <v>3271</v>
      </c>
      <c r="K293" s="2141"/>
      <c r="L293" s="2144">
        <v>95250</v>
      </c>
      <c r="M293" s="2141" t="s">
        <v>251</v>
      </c>
      <c r="N293" s="2140">
        <v>44967</v>
      </c>
      <c r="O293" s="2140">
        <v>45001</v>
      </c>
      <c r="P293" s="2140">
        <v>45049</v>
      </c>
      <c r="Q293" s="2143" t="s">
        <v>4315</v>
      </c>
      <c r="R293" s="2141"/>
      <c r="S293" s="2144">
        <v>129474.55</v>
      </c>
      <c r="T293" s="2144">
        <v>156664.21</v>
      </c>
      <c r="U293" s="2145"/>
      <c r="V293" s="2145"/>
      <c r="W293" s="2145"/>
      <c r="X293" s="2146">
        <v>45049</v>
      </c>
      <c r="Y293" s="2144" t="s">
        <v>14805</v>
      </c>
      <c r="Z293" s="2140">
        <v>45090</v>
      </c>
      <c r="AA293" s="2140">
        <v>45111</v>
      </c>
      <c r="AB293" s="2140">
        <v>45174</v>
      </c>
      <c r="AC293" s="2799"/>
      <c r="AD293" s="2799"/>
    </row>
    <row r="294" spans="1:30">
      <c r="A294" s="470">
        <v>44963</v>
      </c>
      <c r="B294" s="2127" t="s">
        <v>14161</v>
      </c>
      <c r="C294" s="2125" t="s">
        <v>2434</v>
      </c>
      <c r="D294" s="2125" t="s">
        <v>219</v>
      </c>
      <c r="E294" s="2125" t="s">
        <v>13952</v>
      </c>
      <c r="F294" s="2126" t="s">
        <v>14157</v>
      </c>
      <c r="G294" s="466">
        <v>3</v>
      </c>
      <c r="H294" s="654" t="s">
        <v>14163</v>
      </c>
      <c r="I294" s="654" t="s">
        <v>242</v>
      </c>
      <c r="J294" s="2125" t="s">
        <v>3271</v>
      </c>
      <c r="K294" s="466"/>
      <c r="L294" s="472">
        <v>58077</v>
      </c>
      <c r="M294" s="466" t="s">
        <v>251</v>
      </c>
      <c r="N294" s="470">
        <v>44967</v>
      </c>
      <c r="O294" s="470">
        <v>45001</v>
      </c>
      <c r="P294" s="466"/>
      <c r="Q294" s="471" t="s">
        <v>304</v>
      </c>
      <c r="R294" s="466"/>
      <c r="S294" s="472"/>
      <c r="T294" s="472"/>
      <c r="U294" s="1476"/>
      <c r="V294" s="1476"/>
      <c r="W294" s="1476"/>
      <c r="X294" s="472"/>
      <c r="Y294" s="472"/>
      <c r="Z294" s="466"/>
      <c r="AA294" s="470">
        <v>45049</v>
      </c>
      <c r="AB294" s="466" t="s">
        <v>14659</v>
      </c>
      <c r="AC294" s="2799"/>
      <c r="AD294" s="2799"/>
    </row>
    <row r="295" spans="1:30">
      <c r="A295" s="2140">
        <v>44963</v>
      </c>
      <c r="B295" s="2143" t="s">
        <v>14162</v>
      </c>
      <c r="C295" s="2141" t="s">
        <v>2434</v>
      </c>
      <c r="D295" s="2141" t="s">
        <v>219</v>
      </c>
      <c r="E295" s="2141" t="s">
        <v>13952</v>
      </c>
      <c r="F295" s="2142" t="s">
        <v>14157</v>
      </c>
      <c r="G295" s="2141">
        <v>4</v>
      </c>
      <c r="H295" s="2143" t="s">
        <v>14164</v>
      </c>
      <c r="I295" s="2143" t="s">
        <v>15369</v>
      </c>
      <c r="J295" s="2141" t="s">
        <v>3271</v>
      </c>
      <c r="K295" s="2141"/>
      <c r="L295" s="2144">
        <v>38506</v>
      </c>
      <c r="M295" s="2141" t="s">
        <v>251</v>
      </c>
      <c r="N295" s="2140">
        <v>44967</v>
      </c>
      <c r="O295" s="2140">
        <v>45001</v>
      </c>
      <c r="P295" s="2140">
        <v>45049</v>
      </c>
      <c r="Q295" s="2143" t="s">
        <v>8408</v>
      </c>
      <c r="R295" s="2141"/>
      <c r="S295" s="2144">
        <v>30669.7</v>
      </c>
      <c r="T295" s="2144">
        <v>37110.339999999997</v>
      </c>
      <c r="U295" s="2145"/>
      <c r="V295" s="2145"/>
      <c r="W295" s="2145"/>
      <c r="X295" s="2146">
        <v>45049</v>
      </c>
      <c r="Y295" s="2144" t="s">
        <v>14806</v>
      </c>
      <c r="Z295" s="2140">
        <v>45084</v>
      </c>
      <c r="AA295" s="2140">
        <v>45111</v>
      </c>
      <c r="AB295" s="2140">
        <v>45168</v>
      </c>
      <c r="AC295" s="2799"/>
      <c r="AD295" s="2799"/>
    </row>
    <row r="296" spans="1:30">
      <c r="A296" s="2140">
        <v>44963</v>
      </c>
      <c r="B296" s="2143" t="s">
        <v>14166</v>
      </c>
      <c r="C296" s="2141" t="s">
        <v>2434</v>
      </c>
      <c r="D296" s="2141" t="s">
        <v>219</v>
      </c>
      <c r="E296" s="2141" t="s">
        <v>13952</v>
      </c>
      <c r="F296" s="2142" t="s">
        <v>14157</v>
      </c>
      <c r="G296" s="3191">
        <v>5</v>
      </c>
      <c r="H296" s="3192" t="s">
        <v>14169</v>
      </c>
      <c r="I296" s="3192" t="s">
        <v>15369</v>
      </c>
      <c r="J296" s="2141" t="s">
        <v>3271</v>
      </c>
      <c r="K296" s="3191"/>
      <c r="L296" s="364">
        <v>78088.38</v>
      </c>
      <c r="M296" s="3191" t="s">
        <v>251</v>
      </c>
      <c r="N296" s="365">
        <v>44967</v>
      </c>
      <c r="O296" s="365">
        <v>45001</v>
      </c>
      <c r="P296" s="365">
        <v>45049</v>
      </c>
      <c r="Q296" s="3192" t="s">
        <v>8408</v>
      </c>
      <c r="R296" s="3191"/>
      <c r="S296" s="364">
        <v>54858.2</v>
      </c>
      <c r="T296" s="364">
        <v>66378.42</v>
      </c>
      <c r="U296" s="1473"/>
      <c r="V296" s="1473"/>
      <c r="W296" s="1473"/>
      <c r="X296" s="681">
        <v>45049</v>
      </c>
      <c r="Y296" s="364" t="s">
        <v>14807</v>
      </c>
      <c r="Z296" s="365">
        <v>45084</v>
      </c>
      <c r="AA296" s="365">
        <v>45111</v>
      </c>
      <c r="AB296" s="365">
        <v>45168</v>
      </c>
      <c r="AC296" s="2799"/>
      <c r="AD296" s="2799"/>
    </row>
    <row r="297" spans="1:30">
      <c r="A297" s="2140">
        <v>44963</v>
      </c>
      <c r="B297" s="2143" t="s">
        <v>14167</v>
      </c>
      <c r="C297" s="2141" t="s">
        <v>2434</v>
      </c>
      <c r="D297" s="2141" t="s">
        <v>219</v>
      </c>
      <c r="E297" s="2141" t="s">
        <v>13952</v>
      </c>
      <c r="F297" s="2142" t="s">
        <v>14157</v>
      </c>
      <c r="G297" s="2141">
        <v>6</v>
      </c>
      <c r="H297" s="2143" t="s">
        <v>14170</v>
      </c>
      <c r="I297" s="2143" t="s">
        <v>15369</v>
      </c>
      <c r="J297" s="2141" t="s">
        <v>3271</v>
      </c>
      <c r="K297" s="2141"/>
      <c r="L297" s="2144">
        <v>25929.4</v>
      </c>
      <c r="M297" s="2141" t="s">
        <v>251</v>
      </c>
      <c r="N297" s="2140">
        <v>44967</v>
      </c>
      <c r="O297" s="2140">
        <v>45001</v>
      </c>
      <c r="P297" s="2140">
        <v>45085</v>
      </c>
      <c r="Q297" s="2143" t="s">
        <v>8408</v>
      </c>
      <c r="R297" s="2141"/>
      <c r="S297" s="2144">
        <v>28291.5</v>
      </c>
      <c r="T297" s="2144">
        <v>34232.720000000001</v>
      </c>
      <c r="U297" s="2145"/>
      <c r="V297" s="2145"/>
      <c r="W297" s="2145"/>
      <c r="X297" s="2146">
        <v>45086</v>
      </c>
      <c r="Y297" s="2144" t="s">
        <v>15088</v>
      </c>
      <c r="Z297" s="2140">
        <v>45107</v>
      </c>
      <c r="AA297" s="2140">
        <v>45111</v>
      </c>
      <c r="AB297" s="2140">
        <v>45191</v>
      </c>
      <c r="AC297" s="2799"/>
      <c r="AD297" s="2799"/>
    </row>
    <row r="298" spans="1:30" ht="15.75" thickBot="1">
      <c r="A298" s="2130">
        <v>44963</v>
      </c>
      <c r="B298" s="2133" t="s">
        <v>14168</v>
      </c>
      <c r="C298" s="2131" t="s">
        <v>2434</v>
      </c>
      <c r="D298" s="2131" t="s">
        <v>219</v>
      </c>
      <c r="E298" s="2131" t="s">
        <v>13952</v>
      </c>
      <c r="F298" s="2132" t="s">
        <v>14157</v>
      </c>
      <c r="G298" s="2131">
        <v>7</v>
      </c>
      <c r="H298" s="2133" t="s">
        <v>14171</v>
      </c>
      <c r="I298" s="2133" t="s">
        <v>242</v>
      </c>
      <c r="J298" s="2131" t="s">
        <v>3271</v>
      </c>
      <c r="K298" s="2131"/>
      <c r="L298" s="2134">
        <v>535216</v>
      </c>
      <c r="M298" s="2131" t="s">
        <v>251</v>
      </c>
      <c r="N298" s="2130">
        <v>44967</v>
      </c>
      <c r="O298" s="2130">
        <v>45001</v>
      </c>
      <c r="P298" s="2131"/>
      <c r="Q298" s="2137" t="s">
        <v>4505</v>
      </c>
      <c r="R298" s="2131"/>
      <c r="S298" s="2134"/>
      <c r="T298" s="2134"/>
      <c r="U298" s="2135"/>
      <c r="V298" s="2135"/>
      <c r="W298" s="2135"/>
      <c r="X298" s="2134"/>
      <c r="Y298" s="2134"/>
      <c r="Z298" s="2131"/>
      <c r="AA298" s="2130">
        <v>45049</v>
      </c>
      <c r="AB298" s="2131" t="s">
        <v>14626</v>
      </c>
      <c r="AC298" s="2799"/>
      <c r="AD298" s="2799"/>
    </row>
    <row r="299" spans="1:30" ht="15.75" thickTop="1">
      <c r="A299" s="365">
        <v>44964</v>
      </c>
      <c r="B299" s="3192" t="s">
        <v>14175</v>
      </c>
      <c r="C299" s="3191" t="s">
        <v>2111</v>
      </c>
      <c r="D299" s="3191" t="s">
        <v>9080</v>
      </c>
      <c r="E299" s="3191" t="s">
        <v>13948</v>
      </c>
      <c r="F299" s="175" t="s">
        <v>14176</v>
      </c>
      <c r="G299" s="3191"/>
      <c r="H299" s="3192"/>
      <c r="I299" s="3192" t="s">
        <v>15369</v>
      </c>
      <c r="J299" s="3191" t="s">
        <v>2824</v>
      </c>
      <c r="K299" s="3191"/>
      <c r="L299" s="364">
        <v>3048381.59</v>
      </c>
      <c r="M299" s="3191" t="s">
        <v>251</v>
      </c>
      <c r="N299" s="365">
        <v>44967</v>
      </c>
      <c r="O299" s="365">
        <v>45000</v>
      </c>
      <c r="P299" s="365">
        <v>45015</v>
      </c>
      <c r="Q299" s="3192" t="s">
        <v>3598</v>
      </c>
      <c r="R299" s="3191"/>
      <c r="S299" s="364">
        <v>2865587.9</v>
      </c>
      <c r="T299" s="364">
        <v>3467361.36</v>
      </c>
      <c r="U299" s="1473"/>
      <c r="V299" s="1473"/>
      <c r="W299" s="1473"/>
      <c r="X299" s="681">
        <v>45015</v>
      </c>
      <c r="Y299" s="364" t="s">
        <v>14514</v>
      </c>
      <c r="Z299" s="365">
        <v>45056</v>
      </c>
      <c r="AA299" s="937">
        <v>45069</v>
      </c>
      <c r="AB299" s="365">
        <v>45421</v>
      </c>
      <c r="AC299" s="2799"/>
      <c r="AD299" s="2799"/>
    </row>
    <row r="300" spans="1:30">
      <c r="A300" s="2140">
        <v>44964</v>
      </c>
      <c r="B300" s="2143" t="s">
        <v>14177</v>
      </c>
      <c r="C300" s="2141" t="s">
        <v>2111</v>
      </c>
      <c r="D300" s="2141" t="s">
        <v>9080</v>
      </c>
      <c r="E300" s="2141" t="s">
        <v>655</v>
      </c>
      <c r="F300" s="2142" t="s">
        <v>14178</v>
      </c>
      <c r="G300" s="2141"/>
      <c r="H300" s="2143"/>
      <c r="I300" s="2143" t="s">
        <v>15369</v>
      </c>
      <c r="J300" s="2141" t="s">
        <v>3495</v>
      </c>
      <c r="K300" s="2141"/>
      <c r="L300" s="2144">
        <v>862510</v>
      </c>
      <c r="M300" s="2141" t="s">
        <v>112</v>
      </c>
      <c r="N300" s="2140">
        <v>44967</v>
      </c>
      <c r="O300" s="2140">
        <v>44979</v>
      </c>
      <c r="P300" s="2140">
        <v>45008</v>
      </c>
      <c r="Q300" s="2143" t="s">
        <v>14408</v>
      </c>
      <c r="R300" s="2141"/>
      <c r="S300" s="2144">
        <v>833832</v>
      </c>
      <c r="T300" s="2144">
        <v>1008895.5</v>
      </c>
      <c r="U300" s="2145"/>
      <c r="V300" s="2145"/>
      <c r="W300" s="2145"/>
      <c r="X300" s="2146">
        <v>45008</v>
      </c>
      <c r="Y300" s="2144" t="s">
        <v>14450</v>
      </c>
      <c r="Z300" s="2140">
        <v>45022</v>
      </c>
      <c r="AA300" s="2140">
        <v>45027</v>
      </c>
      <c r="AB300" s="2140">
        <v>45204</v>
      </c>
      <c r="AC300" s="2799"/>
      <c r="AD300" s="2799"/>
    </row>
    <row r="301" spans="1:30">
      <c r="A301" s="2124">
        <v>44964</v>
      </c>
      <c r="B301" s="2127" t="s">
        <v>14180</v>
      </c>
      <c r="C301" s="2125" t="s">
        <v>9800</v>
      </c>
      <c r="D301" s="2125" t="s">
        <v>232</v>
      </c>
      <c r="E301" s="2125" t="s">
        <v>655</v>
      </c>
      <c r="F301" s="2126" t="s">
        <v>14181</v>
      </c>
      <c r="G301" s="2125"/>
      <c r="H301" s="2127"/>
      <c r="I301" s="2127" t="s">
        <v>242</v>
      </c>
      <c r="J301" s="2125" t="s">
        <v>1658</v>
      </c>
      <c r="K301" s="2125"/>
      <c r="L301" s="2128">
        <v>800000</v>
      </c>
      <c r="M301" s="2125" t="s">
        <v>112</v>
      </c>
      <c r="N301" s="2124">
        <v>44971</v>
      </c>
      <c r="O301" s="2124">
        <v>44985</v>
      </c>
      <c r="P301" s="2125"/>
      <c r="Q301" s="2136" t="s">
        <v>4964</v>
      </c>
      <c r="R301" s="2444" t="s">
        <v>14321</v>
      </c>
      <c r="S301" s="2128"/>
      <c r="T301" s="2128"/>
      <c r="U301" s="2415"/>
      <c r="V301" s="2415"/>
      <c r="W301" s="2415"/>
      <c r="X301" s="2128"/>
      <c r="Y301" s="2128"/>
      <c r="Z301" s="2125"/>
      <c r="AA301" s="2124">
        <v>44988</v>
      </c>
      <c r="AB301" s="2125"/>
      <c r="AC301" s="2799"/>
      <c r="AD301" s="2799"/>
    </row>
    <row r="302" spans="1:30">
      <c r="A302" s="2140">
        <v>44966</v>
      </c>
      <c r="B302" s="2143" t="s">
        <v>14184</v>
      </c>
      <c r="C302" s="2141" t="s">
        <v>6561</v>
      </c>
      <c r="D302" s="2141" t="s">
        <v>4864</v>
      </c>
      <c r="E302" s="2141" t="s">
        <v>13951</v>
      </c>
      <c r="F302" s="2142" t="s">
        <v>14185</v>
      </c>
      <c r="G302" s="2141"/>
      <c r="H302" s="2143"/>
      <c r="I302" s="2143" t="s">
        <v>15369</v>
      </c>
      <c r="J302" s="2141" t="s">
        <v>4867</v>
      </c>
      <c r="K302" s="2141"/>
      <c r="L302" s="2144">
        <v>380000</v>
      </c>
      <c r="M302" s="2141" t="s">
        <v>112</v>
      </c>
      <c r="N302" s="2140">
        <v>44973</v>
      </c>
      <c r="O302" s="2140">
        <v>44985</v>
      </c>
      <c r="P302" s="2140">
        <v>44987</v>
      </c>
      <c r="Q302" s="2143" t="s">
        <v>409</v>
      </c>
      <c r="R302" s="2141"/>
      <c r="S302" s="2144">
        <v>290638.40000000002</v>
      </c>
      <c r="T302" s="2144">
        <v>351672.46</v>
      </c>
      <c r="U302" s="2145"/>
      <c r="V302" s="2145"/>
      <c r="W302" s="2145"/>
      <c r="X302" s="2146">
        <v>44987</v>
      </c>
      <c r="Y302" s="2144" t="s">
        <v>14285</v>
      </c>
      <c r="Z302" s="2140">
        <v>45016</v>
      </c>
      <c r="AA302" s="2140">
        <v>45019</v>
      </c>
      <c r="AB302" s="2140">
        <v>45030</v>
      </c>
      <c r="AC302" s="2799"/>
      <c r="AD302" s="2799"/>
    </row>
    <row r="303" spans="1:30">
      <c r="A303" s="2140">
        <v>44965</v>
      </c>
      <c r="B303" s="2143" t="s">
        <v>14187</v>
      </c>
      <c r="C303" s="2141" t="s">
        <v>2111</v>
      </c>
      <c r="D303" s="2141" t="s">
        <v>9080</v>
      </c>
      <c r="E303" s="2141" t="s">
        <v>13950</v>
      </c>
      <c r="F303" s="2142" t="s">
        <v>12348</v>
      </c>
      <c r="G303" s="2141"/>
      <c r="H303" s="2143"/>
      <c r="I303" s="2143" t="s">
        <v>15369</v>
      </c>
      <c r="J303" s="2141" t="s">
        <v>2967</v>
      </c>
      <c r="K303" s="2141"/>
      <c r="L303" s="2144">
        <v>5869925</v>
      </c>
      <c r="M303" s="2141" t="s">
        <v>251</v>
      </c>
      <c r="N303" s="2140">
        <v>44974</v>
      </c>
      <c r="O303" s="2140">
        <v>45007</v>
      </c>
      <c r="P303" s="2140">
        <v>45162</v>
      </c>
      <c r="Q303" s="2143" t="s">
        <v>15343</v>
      </c>
      <c r="R303" s="2141"/>
      <c r="S303" s="2144">
        <v>5052479.84</v>
      </c>
      <c r="T303" s="2144">
        <v>6113500.6100000003</v>
      </c>
      <c r="U303" s="2145"/>
      <c r="V303" s="2145"/>
      <c r="W303" s="2145"/>
      <c r="X303" s="2146">
        <v>45162</v>
      </c>
      <c r="Y303" s="2144" t="s">
        <v>15696</v>
      </c>
      <c r="Z303" s="2140">
        <v>45188</v>
      </c>
      <c r="AA303" s="2140">
        <v>45191</v>
      </c>
      <c r="AB303" s="2140">
        <v>46648</v>
      </c>
      <c r="AC303" s="2799"/>
      <c r="AD303" s="2799"/>
    </row>
    <row r="304" spans="1:30">
      <c r="A304" s="2140">
        <v>44971</v>
      </c>
      <c r="B304" s="2143" t="s">
        <v>14194</v>
      </c>
      <c r="C304" s="2141" t="s">
        <v>1032</v>
      </c>
      <c r="D304" s="2141" t="s">
        <v>1033</v>
      </c>
      <c r="E304" s="2141" t="s">
        <v>13950</v>
      </c>
      <c r="F304" s="2142" t="s">
        <v>3023</v>
      </c>
      <c r="G304" s="2141"/>
      <c r="H304" s="2143"/>
      <c r="I304" s="2143" t="s">
        <v>15369</v>
      </c>
      <c r="J304" s="2141" t="s">
        <v>3024</v>
      </c>
      <c r="K304" s="2141"/>
      <c r="L304" s="2144">
        <v>3900000</v>
      </c>
      <c r="M304" s="2141" t="s">
        <v>251</v>
      </c>
      <c r="N304" s="2140">
        <v>44984</v>
      </c>
      <c r="O304" s="2140">
        <v>45016</v>
      </c>
      <c r="P304" s="2140">
        <v>45040</v>
      </c>
      <c r="Q304" s="2143" t="s">
        <v>14585</v>
      </c>
      <c r="R304" s="2141"/>
      <c r="S304" s="2144">
        <v>2790496</v>
      </c>
      <c r="T304" s="2144">
        <v>3376500.16</v>
      </c>
      <c r="U304" s="2145"/>
      <c r="V304" s="2145"/>
      <c r="W304" s="2145"/>
      <c r="X304" s="2146">
        <v>45040</v>
      </c>
      <c r="Y304" s="2144" t="s">
        <v>14682</v>
      </c>
      <c r="Z304" s="2140">
        <v>45068</v>
      </c>
      <c r="AA304" s="2140">
        <v>45072</v>
      </c>
      <c r="AB304" s="2140">
        <v>46528</v>
      </c>
      <c r="AC304" s="2799"/>
      <c r="AD304" s="2799"/>
    </row>
    <row r="305" spans="1:31">
      <c r="A305" s="2140">
        <v>44972</v>
      </c>
      <c r="B305" s="2143" t="s">
        <v>14195</v>
      </c>
      <c r="C305" s="2141" t="s">
        <v>52</v>
      </c>
      <c r="D305" s="2141" t="s">
        <v>3089</v>
      </c>
      <c r="E305" s="2141" t="s">
        <v>13950</v>
      </c>
      <c r="F305" s="2142" t="s">
        <v>14196</v>
      </c>
      <c r="G305" s="2141"/>
      <c r="H305" s="2143"/>
      <c r="I305" s="2143" t="s">
        <v>15369</v>
      </c>
      <c r="J305" s="2141" t="s">
        <v>484</v>
      </c>
      <c r="K305" s="2141"/>
      <c r="L305" s="2144">
        <v>7000000</v>
      </c>
      <c r="M305" s="2141" t="s">
        <v>251</v>
      </c>
      <c r="N305" s="2140">
        <v>44985</v>
      </c>
      <c r="O305" s="2140">
        <v>45055</v>
      </c>
      <c r="P305" s="2140">
        <v>45091</v>
      </c>
      <c r="Q305" s="2143" t="s">
        <v>1861</v>
      </c>
      <c r="R305" s="2910" t="s">
        <v>15074</v>
      </c>
      <c r="S305" s="2144">
        <v>3739000</v>
      </c>
      <c r="T305" s="2144">
        <v>4524190</v>
      </c>
      <c r="U305" s="2145"/>
      <c r="V305" s="2145"/>
      <c r="W305" s="2145"/>
      <c r="X305" s="2146">
        <v>45091</v>
      </c>
      <c r="Y305" s="2144" t="s">
        <v>15135</v>
      </c>
      <c r="Z305" s="2140">
        <v>45118</v>
      </c>
      <c r="AA305" s="2140">
        <v>45121</v>
      </c>
      <c r="AB305" s="2622"/>
      <c r="AC305" s="2799"/>
      <c r="AD305" s="2799"/>
    </row>
    <row r="306" spans="1:31">
      <c r="A306" s="2140">
        <v>44972</v>
      </c>
      <c r="B306" s="2143" t="s">
        <v>14197</v>
      </c>
      <c r="C306" s="2141" t="s">
        <v>69</v>
      </c>
      <c r="D306" s="2141" t="s">
        <v>15129</v>
      </c>
      <c r="E306" s="2141" t="s">
        <v>655</v>
      </c>
      <c r="F306" s="2142" t="s">
        <v>14198</v>
      </c>
      <c r="G306" s="2141"/>
      <c r="H306" s="2143"/>
      <c r="I306" s="2143" t="s">
        <v>15369</v>
      </c>
      <c r="J306" s="2141" t="s">
        <v>68</v>
      </c>
      <c r="K306" s="2141"/>
      <c r="L306" s="2144">
        <v>1833000</v>
      </c>
      <c r="M306" s="2141" t="s">
        <v>112</v>
      </c>
      <c r="N306" s="2140">
        <v>44984</v>
      </c>
      <c r="O306" s="2140">
        <v>44995</v>
      </c>
      <c r="P306" s="2140">
        <v>45013</v>
      </c>
      <c r="Q306" s="2143" t="s">
        <v>8542</v>
      </c>
      <c r="R306" s="2141"/>
      <c r="S306" s="2144">
        <v>989122.65</v>
      </c>
      <c r="T306" s="2144">
        <v>1088034.92</v>
      </c>
      <c r="U306" s="2145"/>
      <c r="V306" s="2145"/>
      <c r="W306" s="2145"/>
      <c r="X306" s="2146">
        <v>45013</v>
      </c>
      <c r="Y306" s="2144" t="s">
        <v>14495</v>
      </c>
      <c r="Z306" s="2140">
        <v>45022</v>
      </c>
      <c r="AA306" s="2140">
        <v>45027</v>
      </c>
      <c r="AB306" s="2140">
        <v>46117</v>
      </c>
      <c r="AC306" s="2799"/>
      <c r="AD306" s="2799"/>
    </row>
    <row r="307" spans="1:31">
      <c r="A307" s="2140">
        <v>44972</v>
      </c>
      <c r="B307" s="2143" t="s">
        <v>14199</v>
      </c>
      <c r="C307" s="2141" t="s">
        <v>69</v>
      </c>
      <c r="D307" s="2141" t="s">
        <v>15129</v>
      </c>
      <c r="E307" s="2141" t="s">
        <v>13949</v>
      </c>
      <c r="F307" s="2142" t="s">
        <v>14209</v>
      </c>
      <c r="G307" s="2141"/>
      <c r="H307" s="2143"/>
      <c r="I307" s="2143" t="s">
        <v>15369</v>
      </c>
      <c r="J307" s="2141" t="s">
        <v>68</v>
      </c>
      <c r="K307" s="2141"/>
      <c r="L307" s="2144">
        <v>64711621</v>
      </c>
      <c r="M307" s="2141" t="s">
        <v>251</v>
      </c>
      <c r="N307" s="2140">
        <v>44995</v>
      </c>
      <c r="O307" s="2140">
        <v>45029</v>
      </c>
      <c r="P307" s="2140">
        <v>45057</v>
      </c>
      <c r="Q307" s="2143" t="s">
        <v>576</v>
      </c>
      <c r="R307" s="2141"/>
      <c r="S307" s="2144">
        <v>51081030.659999996</v>
      </c>
      <c r="T307" s="2144">
        <v>56189133.729999997</v>
      </c>
      <c r="U307" s="2145"/>
      <c r="V307" s="2145"/>
      <c r="W307" s="2145"/>
      <c r="X307" s="2146">
        <v>45057</v>
      </c>
      <c r="Y307" s="2144" t="s">
        <v>14852</v>
      </c>
      <c r="Z307" s="2140">
        <v>45082</v>
      </c>
      <c r="AA307" s="2140">
        <v>45083</v>
      </c>
      <c r="AB307" s="2140">
        <v>46226</v>
      </c>
      <c r="AC307" s="2799"/>
      <c r="AD307" s="2799"/>
      <c r="AE307" s="360" t="s">
        <v>15045</v>
      </c>
    </row>
    <row r="308" spans="1:31">
      <c r="A308" s="2140">
        <v>44972</v>
      </c>
      <c r="B308" s="2143" t="s">
        <v>14200</v>
      </c>
      <c r="C308" s="2141" t="s">
        <v>69</v>
      </c>
      <c r="D308" s="2141" t="s">
        <v>15129</v>
      </c>
      <c r="E308" s="2141" t="s">
        <v>13949</v>
      </c>
      <c r="F308" s="2142" t="s">
        <v>14205</v>
      </c>
      <c r="G308" s="2141"/>
      <c r="H308" s="2143"/>
      <c r="I308" s="2143" t="s">
        <v>15369</v>
      </c>
      <c r="J308" s="2141" t="s">
        <v>93</v>
      </c>
      <c r="K308" s="2141"/>
      <c r="L308" s="2144">
        <v>8426160</v>
      </c>
      <c r="M308" s="2141" t="s">
        <v>251</v>
      </c>
      <c r="N308" s="2140">
        <v>44974</v>
      </c>
      <c r="O308" s="2140">
        <v>45009</v>
      </c>
      <c r="P308" s="2140">
        <v>45019</v>
      </c>
      <c r="Q308" s="2143" t="s">
        <v>5566</v>
      </c>
      <c r="R308" s="2141"/>
      <c r="S308" s="2144">
        <v>8426159.2400000002</v>
      </c>
      <c r="T308" s="2144">
        <v>9268775.1600000001</v>
      </c>
      <c r="U308" s="2145"/>
      <c r="V308" s="2145"/>
      <c r="W308" s="2145"/>
      <c r="X308" s="2146">
        <v>45019</v>
      </c>
      <c r="Y308" s="2144" t="s">
        <v>14541</v>
      </c>
      <c r="Z308" s="2140">
        <v>45040</v>
      </c>
      <c r="AA308" s="2140">
        <v>45048</v>
      </c>
      <c r="AB308" s="2140">
        <v>46500</v>
      </c>
      <c r="AC308" s="2799"/>
      <c r="AD308" s="2799"/>
    </row>
    <row r="309" spans="1:31" ht="15.75" thickBot="1">
      <c r="A309" s="643">
        <v>44972</v>
      </c>
      <c r="B309" s="1533" t="s">
        <v>14201</v>
      </c>
      <c r="C309" s="639" t="s">
        <v>69</v>
      </c>
      <c r="D309" s="639" t="s">
        <v>15129</v>
      </c>
      <c r="E309" s="639" t="s">
        <v>13949</v>
      </c>
      <c r="F309" s="640" t="s">
        <v>14204</v>
      </c>
      <c r="G309" s="639"/>
      <c r="H309" s="1533"/>
      <c r="I309" s="1533" t="s">
        <v>242</v>
      </c>
      <c r="J309" s="639" t="s">
        <v>93</v>
      </c>
      <c r="K309" s="639"/>
      <c r="L309" s="645">
        <v>8648886</v>
      </c>
      <c r="M309" s="639" t="s">
        <v>251</v>
      </c>
      <c r="N309" s="643">
        <v>44981</v>
      </c>
      <c r="O309" s="643">
        <v>45016</v>
      </c>
      <c r="P309" s="643">
        <v>45050</v>
      </c>
      <c r="Q309" s="644" t="s">
        <v>15044</v>
      </c>
      <c r="R309" s="2019" t="s">
        <v>15953</v>
      </c>
      <c r="S309" s="645">
        <v>8489034.8699999992</v>
      </c>
      <c r="T309" s="645">
        <v>9337938.3599999994</v>
      </c>
      <c r="U309" s="1534"/>
      <c r="V309" s="1534"/>
      <c r="W309" s="1534"/>
      <c r="X309" s="2890">
        <v>45050</v>
      </c>
      <c r="Y309" s="645" t="s">
        <v>14812</v>
      </c>
      <c r="Z309" s="639"/>
      <c r="AA309" s="643">
        <v>45099</v>
      </c>
      <c r="AB309" s="1533" t="s">
        <v>15179</v>
      </c>
      <c r="AC309" s="2799"/>
      <c r="AD309" s="2799"/>
    </row>
    <row r="310" spans="1:31" ht="15.75" thickTop="1">
      <c r="A310" s="474">
        <v>44972</v>
      </c>
      <c r="B310" s="1420" t="s">
        <v>14202</v>
      </c>
      <c r="C310" s="453" t="s">
        <v>69</v>
      </c>
      <c r="D310" s="453" t="s">
        <v>15129</v>
      </c>
      <c r="E310" s="453" t="s">
        <v>13949</v>
      </c>
      <c r="F310" s="473" t="s">
        <v>14206</v>
      </c>
      <c r="G310" s="453">
        <v>1</v>
      </c>
      <c r="H310" s="1420" t="s">
        <v>14207</v>
      </c>
      <c r="I310" s="1420" t="s">
        <v>15369</v>
      </c>
      <c r="J310" s="453" t="s">
        <v>816</v>
      </c>
      <c r="K310" s="453"/>
      <c r="L310" s="457">
        <v>34040953</v>
      </c>
      <c r="M310" s="453" t="s">
        <v>251</v>
      </c>
      <c r="N310" s="474">
        <v>45062</v>
      </c>
      <c r="O310" s="474">
        <v>45097</v>
      </c>
      <c r="P310" s="474">
        <v>45135</v>
      </c>
      <c r="Q310" s="1420" t="s">
        <v>576</v>
      </c>
      <c r="R310" s="453"/>
      <c r="S310" s="457">
        <v>33357816</v>
      </c>
      <c r="T310" s="457">
        <v>36693597.600000001</v>
      </c>
      <c r="U310" s="1474"/>
      <c r="V310" s="1474"/>
      <c r="W310" s="1474"/>
      <c r="X310" s="570">
        <v>45135</v>
      </c>
      <c r="Y310" s="457" t="s">
        <v>15459</v>
      </c>
      <c r="Z310" s="474">
        <v>45177</v>
      </c>
      <c r="AA310" s="474">
        <v>45203</v>
      </c>
      <c r="AB310" s="474">
        <v>45542</v>
      </c>
      <c r="AC310" s="2799"/>
      <c r="AD310" s="2799"/>
    </row>
    <row r="311" spans="1:31" ht="15.75" thickBot="1">
      <c r="A311" s="2130">
        <v>44972</v>
      </c>
      <c r="B311" s="2133" t="s">
        <v>14203</v>
      </c>
      <c r="C311" s="2131" t="s">
        <v>69</v>
      </c>
      <c r="D311" s="2131" t="s">
        <v>15129</v>
      </c>
      <c r="E311" s="2131" t="s">
        <v>13949</v>
      </c>
      <c r="F311" s="2132" t="s">
        <v>14206</v>
      </c>
      <c r="G311" s="2131">
        <v>2</v>
      </c>
      <c r="H311" s="2133" t="s">
        <v>14208</v>
      </c>
      <c r="I311" s="2133" t="s">
        <v>242</v>
      </c>
      <c r="J311" s="2131" t="s">
        <v>816</v>
      </c>
      <c r="K311" s="2131"/>
      <c r="L311" s="2134">
        <v>2396601</v>
      </c>
      <c r="M311" s="2131" t="s">
        <v>251</v>
      </c>
      <c r="N311" s="2130">
        <v>45062</v>
      </c>
      <c r="O311" s="2130">
        <v>45097</v>
      </c>
      <c r="P311" s="2131"/>
      <c r="Q311" s="2137" t="s">
        <v>304</v>
      </c>
      <c r="R311" s="2131"/>
      <c r="S311" s="2134"/>
      <c r="T311" s="2134"/>
      <c r="U311" s="2135"/>
      <c r="V311" s="2135"/>
      <c r="W311" s="2135"/>
      <c r="X311" s="2134"/>
      <c r="Y311" s="2134"/>
      <c r="Z311" s="2131"/>
      <c r="AA311" s="2130">
        <v>45098</v>
      </c>
      <c r="AB311" s="2133" t="s">
        <v>15177</v>
      </c>
      <c r="AC311" s="2799"/>
      <c r="AD311" s="2799"/>
    </row>
    <row r="312" spans="1:31" ht="30.75" thickTop="1">
      <c r="A312" s="365">
        <v>44972</v>
      </c>
      <c r="B312" s="3192" t="s">
        <v>14214</v>
      </c>
      <c r="C312" s="3191" t="s">
        <v>2434</v>
      </c>
      <c r="D312" s="3191" t="s">
        <v>3204</v>
      </c>
      <c r="E312" s="3191" t="s">
        <v>13952</v>
      </c>
      <c r="F312" s="175" t="s">
        <v>14215</v>
      </c>
      <c r="G312" s="3191"/>
      <c r="H312" s="3192"/>
      <c r="I312" s="3192" t="s">
        <v>15369</v>
      </c>
      <c r="J312" s="3191" t="s">
        <v>642</v>
      </c>
      <c r="K312" s="3191"/>
      <c r="L312" s="364">
        <v>11380000</v>
      </c>
      <c r="M312" s="3191" t="s">
        <v>251</v>
      </c>
      <c r="N312" s="365">
        <v>44980</v>
      </c>
      <c r="O312" s="365">
        <v>45013</v>
      </c>
      <c r="P312" s="365">
        <v>45040</v>
      </c>
      <c r="Q312" s="3192" t="s">
        <v>8793</v>
      </c>
      <c r="R312" s="3191"/>
      <c r="S312" s="364">
        <v>10980000</v>
      </c>
      <c r="T312" s="364">
        <v>12627000</v>
      </c>
      <c r="U312" s="1473"/>
      <c r="V312" s="1473"/>
      <c r="W312" s="1473"/>
      <c r="X312" s="681">
        <v>45040</v>
      </c>
      <c r="Y312" s="1417" t="s">
        <v>14678</v>
      </c>
      <c r="Z312" s="365">
        <v>45078</v>
      </c>
      <c r="AA312" s="365">
        <v>45084</v>
      </c>
      <c r="AB312" s="365">
        <v>46173</v>
      </c>
      <c r="AC312" s="2799"/>
      <c r="AD312" s="2799"/>
    </row>
    <row r="313" spans="1:31">
      <c r="A313" s="2140">
        <v>44977</v>
      </c>
      <c r="B313" s="2143" t="s">
        <v>14220</v>
      </c>
      <c r="C313" s="2141" t="s">
        <v>52</v>
      </c>
      <c r="D313" s="2141" t="s">
        <v>6359</v>
      </c>
      <c r="E313" s="2141" t="s">
        <v>13951</v>
      </c>
      <c r="F313" s="2142" t="s">
        <v>14221</v>
      </c>
      <c r="G313" s="2141"/>
      <c r="H313" s="2143"/>
      <c r="I313" s="2143" t="s">
        <v>15369</v>
      </c>
      <c r="J313" s="2141" t="s">
        <v>33</v>
      </c>
      <c r="K313" s="2141" t="s">
        <v>14222</v>
      </c>
      <c r="L313" s="2144">
        <v>850000</v>
      </c>
      <c r="M313" s="2141" t="s">
        <v>112</v>
      </c>
      <c r="N313" s="2140">
        <v>44980</v>
      </c>
      <c r="O313" s="2140">
        <v>44991</v>
      </c>
      <c r="P313" s="2140">
        <v>44999</v>
      </c>
      <c r="Q313" s="2143" t="s">
        <v>11417</v>
      </c>
      <c r="R313" s="2141"/>
      <c r="S313" s="2144">
        <v>837103.4</v>
      </c>
      <c r="T313" s="2144">
        <v>1012895.11</v>
      </c>
      <c r="U313" s="2145"/>
      <c r="V313" s="2145"/>
      <c r="W313" s="2145"/>
      <c r="X313" s="2146">
        <v>44999</v>
      </c>
      <c r="Y313" s="2144" t="s">
        <v>14370</v>
      </c>
      <c r="Z313" s="2140">
        <v>45022</v>
      </c>
      <c r="AA313" s="2140">
        <v>45028</v>
      </c>
      <c r="AB313" s="2141"/>
      <c r="AC313" s="2799"/>
      <c r="AD313" s="2799"/>
    </row>
    <row r="314" spans="1:31" ht="30.75" thickBot="1">
      <c r="A314" s="416">
        <v>44977</v>
      </c>
      <c r="B314" s="630" t="s">
        <v>14224</v>
      </c>
      <c r="C314" s="411" t="s">
        <v>58</v>
      </c>
      <c r="D314" s="411" t="s">
        <v>4969</v>
      </c>
      <c r="E314" s="411" t="s">
        <v>13948</v>
      </c>
      <c r="F314" s="412" t="s">
        <v>14225</v>
      </c>
      <c r="G314" s="411"/>
      <c r="H314" s="630"/>
      <c r="I314" s="630" t="s">
        <v>15369</v>
      </c>
      <c r="J314" s="411" t="s">
        <v>780</v>
      </c>
      <c r="K314" s="411" t="s">
        <v>14226</v>
      </c>
      <c r="L314" s="417">
        <v>4200447</v>
      </c>
      <c r="M314" s="411" t="s">
        <v>251</v>
      </c>
      <c r="N314" s="416">
        <v>44980</v>
      </c>
      <c r="O314" s="416">
        <v>45022</v>
      </c>
      <c r="P314" s="416">
        <v>45098</v>
      </c>
      <c r="Q314" s="630" t="s">
        <v>13780</v>
      </c>
      <c r="R314" s="411"/>
      <c r="S314" s="417">
        <v>4200117</v>
      </c>
      <c r="T314" s="417">
        <v>5082141.57</v>
      </c>
      <c r="U314" s="1480"/>
      <c r="V314" s="1480"/>
      <c r="W314" s="1480"/>
      <c r="X314" s="513">
        <v>45098</v>
      </c>
      <c r="Y314" s="1553" t="s">
        <v>15171</v>
      </c>
      <c r="Z314" s="416">
        <v>45118</v>
      </c>
      <c r="AA314" s="416">
        <v>45121</v>
      </c>
      <c r="AB314" s="416">
        <v>45202</v>
      </c>
      <c r="AC314" s="2799"/>
      <c r="AD314" s="2799"/>
    </row>
    <row r="315" spans="1:31" ht="15.75" thickTop="1">
      <c r="A315" s="474">
        <v>44974</v>
      </c>
      <c r="B315" s="1420" t="s">
        <v>14227</v>
      </c>
      <c r="C315" s="453" t="s">
        <v>2434</v>
      </c>
      <c r="D315" s="453" t="s">
        <v>219</v>
      </c>
      <c r="E315" s="453" t="s">
        <v>13952</v>
      </c>
      <c r="F315" s="473" t="s">
        <v>14228</v>
      </c>
      <c r="G315" s="453">
        <v>1</v>
      </c>
      <c r="H315" s="1420" t="s">
        <v>14230</v>
      </c>
      <c r="I315" s="1420" t="s">
        <v>15369</v>
      </c>
      <c r="J315" s="453" t="s">
        <v>3271</v>
      </c>
      <c r="K315" s="453"/>
      <c r="L315" s="457">
        <v>2186254.5499999998</v>
      </c>
      <c r="M315" s="453" t="s">
        <v>251</v>
      </c>
      <c r="N315" s="474">
        <v>44981</v>
      </c>
      <c r="O315" s="474">
        <v>45016</v>
      </c>
      <c r="P315" s="474">
        <v>45048</v>
      </c>
      <c r="Q315" s="1420" t="s">
        <v>2776</v>
      </c>
      <c r="R315" s="453"/>
      <c r="S315" s="457">
        <v>2176730.58</v>
      </c>
      <c r="T315" s="457">
        <v>2633844</v>
      </c>
      <c r="U315" s="1474"/>
      <c r="V315" s="1474"/>
      <c r="W315" s="1474"/>
      <c r="X315" s="570">
        <v>45048</v>
      </c>
      <c r="Y315" s="457" t="s">
        <v>14799</v>
      </c>
      <c r="Z315" s="474">
        <v>45090</v>
      </c>
      <c r="AA315" s="474">
        <v>45117</v>
      </c>
      <c r="AB315" s="474">
        <v>45174</v>
      </c>
      <c r="AC315" s="2799"/>
      <c r="AD315" s="2799"/>
    </row>
    <row r="316" spans="1:31" ht="15.75" thickBot="1">
      <c r="A316" s="2117">
        <v>44974</v>
      </c>
      <c r="B316" s="2120" t="s">
        <v>14229</v>
      </c>
      <c r="C316" s="2118" t="s">
        <v>2434</v>
      </c>
      <c r="D316" s="2118" t="s">
        <v>219</v>
      </c>
      <c r="E316" s="2118" t="s">
        <v>13952</v>
      </c>
      <c r="F316" s="2119" t="s">
        <v>14228</v>
      </c>
      <c r="G316" s="2118">
        <v>2</v>
      </c>
      <c r="H316" s="2120" t="s">
        <v>14231</v>
      </c>
      <c r="I316" s="2120" t="s">
        <v>15369</v>
      </c>
      <c r="J316" s="2118" t="s">
        <v>3271</v>
      </c>
      <c r="K316" s="2118"/>
      <c r="L316" s="2121">
        <v>313144.63</v>
      </c>
      <c r="M316" s="2118" t="s">
        <v>251</v>
      </c>
      <c r="N316" s="2117">
        <v>44981</v>
      </c>
      <c r="O316" s="2117">
        <v>45016</v>
      </c>
      <c r="P316" s="2117">
        <v>45048</v>
      </c>
      <c r="Q316" s="2120" t="s">
        <v>2776</v>
      </c>
      <c r="R316" s="2118"/>
      <c r="S316" s="2121">
        <v>311322.31</v>
      </c>
      <c r="T316" s="2121">
        <v>376700</v>
      </c>
      <c r="U316" s="2122"/>
      <c r="V316" s="2122"/>
      <c r="W316" s="2122"/>
      <c r="X316" s="2123">
        <v>45048</v>
      </c>
      <c r="Y316" s="2121" t="s">
        <v>14800</v>
      </c>
      <c r="Z316" s="2117">
        <v>45090</v>
      </c>
      <c r="AA316" s="2117">
        <v>45117</v>
      </c>
      <c r="AB316" s="2117">
        <v>45174</v>
      </c>
      <c r="AC316" s="2799"/>
      <c r="AD316" s="2799"/>
    </row>
    <row r="317" spans="1:31" ht="15.75" thickTop="1">
      <c r="A317" s="474">
        <v>44974</v>
      </c>
      <c r="B317" s="1420" t="s">
        <v>14233</v>
      </c>
      <c r="C317" s="453" t="s">
        <v>289</v>
      </c>
      <c r="D317" s="453" t="s">
        <v>6509</v>
      </c>
      <c r="E317" s="453" t="s">
        <v>13950</v>
      </c>
      <c r="F317" s="473" t="s">
        <v>14234</v>
      </c>
      <c r="G317" s="453">
        <v>1</v>
      </c>
      <c r="H317" s="1420" t="s">
        <v>14235</v>
      </c>
      <c r="I317" s="1420" t="s">
        <v>15369</v>
      </c>
      <c r="J317" s="453" t="s">
        <v>11465</v>
      </c>
      <c r="K317" s="453" t="s">
        <v>14238</v>
      </c>
      <c r="L317" s="457">
        <v>3250000</v>
      </c>
      <c r="M317" s="453" t="s">
        <v>251</v>
      </c>
      <c r="N317" s="474">
        <v>45001</v>
      </c>
      <c r="O317" s="474">
        <v>45055</v>
      </c>
      <c r="P317" s="474">
        <v>45068</v>
      </c>
      <c r="Q317" s="1420" t="s">
        <v>5385</v>
      </c>
      <c r="R317" s="453"/>
      <c r="S317" s="457">
        <v>3120000</v>
      </c>
      <c r="T317" s="457">
        <v>3775200</v>
      </c>
      <c r="U317" s="1474"/>
      <c r="V317" s="1474"/>
      <c r="W317" s="1474"/>
      <c r="X317" s="570">
        <v>45068</v>
      </c>
      <c r="Y317" s="457" t="s">
        <v>14944</v>
      </c>
      <c r="Z317" s="474">
        <v>45096</v>
      </c>
      <c r="AA317" s="474">
        <v>45100</v>
      </c>
      <c r="AB317" s="474">
        <v>45416</v>
      </c>
      <c r="AC317" s="2799"/>
      <c r="AD317" s="2799"/>
    </row>
    <row r="318" spans="1:31" ht="15.75" thickBot="1">
      <c r="A318" s="2130">
        <v>44974</v>
      </c>
      <c r="B318" s="2133" t="s">
        <v>14237</v>
      </c>
      <c r="C318" s="2131" t="s">
        <v>289</v>
      </c>
      <c r="D318" s="2131" t="s">
        <v>6509</v>
      </c>
      <c r="E318" s="2131" t="s">
        <v>13950</v>
      </c>
      <c r="F318" s="2132" t="s">
        <v>14234</v>
      </c>
      <c r="G318" s="2131">
        <v>2</v>
      </c>
      <c r="H318" s="2133" t="s">
        <v>14236</v>
      </c>
      <c r="I318" s="2133" t="s">
        <v>242</v>
      </c>
      <c r="J318" s="2131" t="s">
        <v>11465</v>
      </c>
      <c r="K318" s="2131" t="s">
        <v>14238</v>
      </c>
      <c r="L318" s="2134">
        <v>1708000</v>
      </c>
      <c r="M318" s="2131" t="s">
        <v>251</v>
      </c>
      <c r="N318" s="2130">
        <v>45001</v>
      </c>
      <c r="O318" s="2130">
        <v>45055</v>
      </c>
      <c r="P318" s="2131"/>
      <c r="Q318" s="2137" t="s">
        <v>304</v>
      </c>
      <c r="R318" s="2287" t="s">
        <v>15020</v>
      </c>
      <c r="S318" s="2134"/>
      <c r="T318" s="2134"/>
      <c r="U318" s="2135"/>
      <c r="V318" s="2135"/>
      <c r="W318" s="2135"/>
      <c r="X318" s="2134"/>
      <c r="Y318" s="2134"/>
      <c r="Z318" s="2131"/>
      <c r="AA318" s="2130">
        <v>45091</v>
      </c>
      <c r="AB318" s="2131" t="s">
        <v>14880</v>
      </c>
      <c r="AC318" s="2799"/>
      <c r="AD318" s="2799"/>
    </row>
    <row r="319" spans="1:31" ht="15.75" thickTop="1">
      <c r="A319" s="365">
        <v>44979</v>
      </c>
      <c r="B319" s="2519" t="s">
        <v>14248</v>
      </c>
      <c r="C319" s="3191" t="s">
        <v>1032</v>
      </c>
      <c r="D319" s="3191" t="s">
        <v>361</v>
      </c>
      <c r="E319" s="3191" t="s">
        <v>13948</v>
      </c>
      <c r="F319" s="2519" t="s">
        <v>14247</v>
      </c>
      <c r="G319" s="3191"/>
      <c r="H319" s="3192"/>
      <c r="I319" s="3192" t="s">
        <v>15369</v>
      </c>
      <c r="J319" s="3191" t="s">
        <v>7263</v>
      </c>
      <c r="K319" s="3191"/>
      <c r="L319" s="364">
        <v>20500000</v>
      </c>
      <c r="M319" s="3191" t="s">
        <v>216</v>
      </c>
      <c r="N319" s="365">
        <v>44992</v>
      </c>
      <c r="O319" s="365">
        <v>45022</v>
      </c>
      <c r="P319" s="365">
        <v>45042</v>
      </c>
      <c r="Q319" s="3192" t="s">
        <v>10171</v>
      </c>
      <c r="R319" s="3191"/>
      <c r="S319" s="364">
        <v>15430541.85</v>
      </c>
      <c r="T319" s="364">
        <v>18670955.640000001</v>
      </c>
      <c r="U319" s="1473"/>
      <c r="V319" s="1473"/>
      <c r="W319" s="1473"/>
      <c r="X319" s="681">
        <v>45042</v>
      </c>
      <c r="Y319" s="364" t="s">
        <v>14735</v>
      </c>
      <c r="Z319" s="365">
        <v>45079</v>
      </c>
      <c r="AA319" s="365">
        <v>45085</v>
      </c>
      <c r="AB319" s="3191"/>
      <c r="AC319" s="2799"/>
      <c r="AD319" s="2799"/>
    </row>
    <row r="320" spans="1:31">
      <c r="A320" s="2140">
        <v>44977</v>
      </c>
      <c r="B320" s="2143" t="s">
        <v>14249</v>
      </c>
      <c r="C320" s="2141" t="s">
        <v>1754</v>
      </c>
      <c r="D320" s="2141" t="s">
        <v>13</v>
      </c>
      <c r="E320" s="2141" t="s">
        <v>13950</v>
      </c>
      <c r="F320" s="2142" t="s">
        <v>14250</v>
      </c>
      <c r="G320" s="2141"/>
      <c r="H320" s="2143"/>
      <c r="I320" s="2143" t="s">
        <v>15369</v>
      </c>
      <c r="J320" s="2141" t="s">
        <v>39</v>
      </c>
      <c r="K320" s="2141"/>
      <c r="L320" s="2144">
        <v>1614000</v>
      </c>
      <c r="M320" s="2141" t="s">
        <v>216</v>
      </c>
      <c r="N320" s="2140">
        <v>44993</v>
      </c>
      <c r="O320" s="2140">
        <v>45019</v>
      </c>
      <c r="P320" s="2140">
        <v>45029</v>
      </c>
      <c r="Q320" s="2143" t="s">
        <v>14562</v>
      </c>
      <c r="R320" s="2141"/>
      <c r="S320" s="2144">
        <v>1142400</v>
      </c>
      <c r="T320" s="2144">
        <v>1382304</v>
      </c>
      <c r="U320" s="2145"/>
      <c r="V320" s="2145"/>
      <c r="W320" s="2145"/>
      <c r="X320" s="2146">
        <v>45029</v>
      </c>
      <c r="Y320" s="2144" t="s">
        <v>14619</v>
      </c>
      <c r="Z320" s="2140">
        <v>45049</v>
      </c>
      <c r="AA320" s="2140">
        <v>45051</v>
      </c>
      <c r="AB320" s="2141" t="s">
        <v>4096</v>
      </c>
      <c r="AC320" s="2799"/>
      <c r="AD320" s="2799"/>
    </row>
    <row r="321" spans="1:30" ht="30">
      <c r="A321" s="2140">
        <v>44980</v>
      </c>
      <c r="B321" s="2143" t="s">
        <v>14252</v>
      </c>
      <c r="C321" s="2141" t="s">
        <v>2434</v>
      </c>
      <c r="D321" s="2141" t="s">
        <v>219</v>
      </c>
      <c r="E321" s="2141" t="s">
        <v>13951</v>
      </c>
      <c r="F321" s="2142" t="s">
        <v>14253</v>
      </c>
      <c r="G321" s="2141"/>
      <c r="H321" s="2143"/>
      <c r="I321" s="2143" t="s">
        <v>15369</v>
      </c>
      <c r="J321" s="2141" t="s">
        <v>642</v>
      </c>
      <c r="K321" s="2141"/>
      <c r="L321" s="2144">
        <v>1406229</v>
      </c>
      <c r="M321" s="2141" t="s">
        <v>112</v>
      </c>
      <c r="N321" s="2140">
        <v>44984</v>
      </c>
      <c r="O321" s="2140">
        <v>44994</v>
      </c>
      <c r="P321" s="2140">
        <v>45005</v>
      </c>
      <c r="Q321" s="2143" t="s">
        <v>14418</v>
      </c>
      <c r="R321" s="2141"/>
      <c r="S321" s="2144">
        <v>1461920.49</v>
      </c>
      <c r="T321" s="2144">
        <v>1681238.01</v>
      </c>
      <c r="U321" s="2145"/>
      <c r="V321" s="2145"/>
      <c r="W321" s="2145"/>
      <c r="X321" s="2146">
        <v>45005</v>
      </c>
      <c r="Y321" s="2260" t="s">
        <v>14417</v>
      </c>
      <c r="Z321" s="2140">
        <v>45027</v>
      </c>
      <c r="AA321" s="2140">
        <v>45028</v>
      </c>
      <c r="AB321" s="2140">
        <v>46566</v>
      </c>
      <c r="AC321" s="2799"/>
      <c r="AD321" s="2799"/>
    </row>
    <row r="322" spans="1:30">
      <c r="A322" s="2124">
        <v>44986</v>
      </c>
      <c r="B322" s="2127" t="s">
        <v>14259</v>
      </c>
      <c r="C322" s="2125" t="s">
        <v>58</v>
      </c>
      <c r="D322" s="2125" t="s">
        <v>4969</v>
      </c>
      <c r="E322" s="2125" t="s">
        <v>13948</v>
      </c>
      <c r="F322" s="2126" t="s">
        <v>4217</v>
      </c>
      <c r="G322" s="2125"/>
      <c r="H322" s="2125"/>
      <c r="I322" s="2127" t="s">
        <v>242</v>
      </c>
      <c r="J322" s="2125" t="s">
        <v>786</v>
      </c>
      <c r="K322" s="2125"/>
      <c r="L322" s="2128">
        <v>12227307</v>
      </c>
      <c r="M322" s="2125" t="s">
        <v>251</v>
      </c>
      <c r="N322" s="2124">
        <v>45201</v>
      </c>
      <c r="O322" s="2124">
        <v>45236</v>
      </c>
      <c r="P322" s="2125"/>
      <c r="Q322" s="2136" t="s">
        <v>4505</v>
      </c>
      <c r="R322" s="2275" t="s">
        <v>16294</v>
      </c>
      <c r="S322" s="2128"/>
      <c r="T322" s="2128"/>
      <c r="U322" s="2129"/>
      <c r="V322" s="2129"/>
      <c r="W322" s="2129"/>
      <c r="X322" s="2128"/>
      <c r="Y322" s="2128"/>
      <c r="Z322" s="2125"/>
      <c r="AA322" s="2124">
        <v>45258</v>
      </c>
      <c r="AB322" s="2127" t="s">
        <v>16216</v>
      </c>
      <c r="AC322" s="2799"/>
      <c r="AD322" s="2799"/>
    </row>
    <row r="323" spans="1:30" ht="30">
      <c r="A323" s="2140">
        <v>44984</v>
      </c>
      <c r="B323" s="2143" t="s">
        <v>14260</v>
      </c>
      <c r="C323" s="2141" t="s">
        <v>58</v>
      </c>
      <c r="D323" s="2141" t="s">
        <v>4969</v>
      </c>
      <c r="E323" s="2141" t="s">
        <v>13951</v>
      </c>
      <c r="F323" s="2142" t="s">
        <v>14261</v>
      </c>
      <c r="G323" s="2141"/>
      <c r="H323" s="2143"/>
      <c r="I323" s="2143" t="s">
        <v>15369</v>
      </c>
      <c r="J323" s="2141" t="s">
        <v>14262</v>
      </c>
      <c r="K323" s="2141"/>
      <c r="L323" s="2144">
        <v>502000</v>
      </c>
      <c r="M323" s="2673" t="s">
        <v>112</v>
      </c>
      <c r="N323" s="2140">
        <v>44988</v>
      </c>
      <c r="O323" s="2140">
        <v>44999</v>
      </c>
      <c r="P323" s="2140">
        <v>45014</v>
      </c>
      <c r="Q323" s="2143" t="s">
        <v>14422</v>
      </c>
      <c r="R323" s="2141"/>
      <c r="S323" s="2144">
        <v>481095.04</v>
      </c>
      <c r="T323" s="2144">
        <v>582125</v>
      </c>
      <c r="U323" s="2145"/>
      <c r="V323" s="2145"/>
      <c r="W323" s="2145"/>
      <c r="X323" s="2146">
        <v>45014</v>
      </c>
      <c r="Y323" s="2260" t="s">
        <v>14497</v>
      </c>
      <c r="Z323" s="2140">
        <v>45048</v>
      </c>
      <c r="AA323" s="2140">
        <v>45056</v>
      </c>
      <c r="AB323" s="2140">
        <v>45188</v>
      </c>
      <c r="AC323" s="2799"/>
      <c r="AD323" s="2799"/>
    </row>
    <row r="324" spans="1:30" ht="30">
      <c r="A324" s="2140">
        <v>44985</v>
      </c>
      <c r="B324" s="2143" t="s">
        <v>14265</v>
      </c>
      <c r="C324" s="2141" t="s">
        <v>58</v>
      </c>
      <c r="D324" s="2141" t="s">
        <v>4969</v>
      </c>
      <c r="E324" s="2141" t="s">
        <v>13951</v>
      </c>
      <c r="F324" s="2142" t="s">
        <v>14264</v>
      </c>
      <c r="G324" s="2141"/>
      <c r="H324" s="2143"/>
      <c r="I324" s="2143" t="s">
        <v>15369</v>
      </c>
      <c r="J324" s="2141" t="s">
        <v>14263</v>
      </c>
      <c r="K324" s="2141"/>
      <c r="L324" s="2144">
        <v>94926</v>
      </c>
      <c r="M324" s="2141" t="s">
        <v>112</v>
      </c>
      <c r="N324" s="2140">
        <v>44988</v>
      </c>
      <c r="O324" s="2140">
        <v>44999</v>
      </c>
      <c r="P324" s="2140">
        <v>45027</v>
      </c>
      <c r="Q324" s="2143" t="s">
        <v>14552</v>
      </c>
      <c r="R324" s="2141"/>
      <c r="S324" s="2144">
        <v>93908.26</v>
      </c>
      <c r="T324" s="2144">
        <v>113629</v>
      </c>
      <c r="U324" s="2145"/>
      <c r="V324" s="2145"/>
      <c r="W324" s="2145"/>
      <c r="X324" s="2146">
        <v>45027</v>
      </c>
      <c r="Y324" s="2260" t="s">
        <v>14575</v>
      </c>
      <c r="Z324" s="2140">
        <v>45044</v>
      </c>
      <c r="AA324" s="2140">
        <v>45048</v>
      </c>
      <c r="AB324" s="2140">
        <v>45072</v>
      </c>
      <c r="AC324" s="2799"/>
      <c r="AD324" s="2799"/>
    </row>
    <row r="325" spans="1:30" ht="30.75" thickBot="1">
      <c r="A325" s="411" t="s">
        <v>3585</v>
      </c>
      <c r="B325" s="630" t="s">
        <v>14266</v>
      </c>
      <c r="C325" s="411" t="s">
        <v>58</v>
      </c>
      <c r="D325" s="411" t="s">
        <v>4969</v>
      </c>
      <c r="E325" s="411" t="s">
        <v>655</v>
      </c>
      <c r="F325" s="412" t="s">
        <v>14267</v>
      </c>
      <c r="G325" s="411"/>
      <c r="H325" s="630"/>
      <c r="I325" s="630" t="s">
        <v>15369</v>
      </c>
      <c r="J325" s="411" t="s">
        <v>269</v>
      </c>
      <c r="K325" s="411"/>
      <c r="L325" s="417">
        <v>931270</v>
      </c>
      <c r="M325" s="411" t="s">
        <v>112</v>
      </c>
      <c r="N325" s="416">
        <v>44991</v>
      </c>
      <c r="O325" s="416">
        <v>45002</v>
      </c>
      <c r="P325" s="416">
        <v>45027</v>
      </c>
      <c r="Q325" s="630" t="s">
        <v>2793</v>
      </c>
      <c r="R325" s="411"/>
      <c r="S325" s="417">
        <v>929770</v>
      </c>
      <c r="T325" s="417">
        <v>1154061.7</v>
      </c>
      <c r="U325" s="1480"/>
      <c r="V325" s="1480"/>
      <c r="W325" s="1480"/>
      <c r="X325" s="513">
        <v>45027</v>
      </c>
      <c r="Y325" s="1553" t="s">
        <v>14582</v>
      </c>
      <c r="Z325" s="416">
        <v>45049</v>
      </c>
      <c r="AA325" s="416">
        <v>45050</v>
      </c>
      <c r="AB325" s="416">
        <v>45070</v>
      </c>
      <c r="AC325" s="2799"/>
      <c r="AD325" s="2799"/>
    </row>
    <row r="326" spans="1:30" ht="45.75" thickTop="1">
      <c r="A326" s="474">
        <v>44980</v>
      </c>
      <c r="B326" s="1420" t="s">
        <v>14268</v>
      </c>
      <c r="C326" s="453" t="s">
        <v>2434</v>
      </c>
      <c r="D326" s="453" t="s">
        <v>3204</v>
      </c>
      <c r="E326" s="453" t="s">
        <v>13952</v>
      </c>
      <c r="F326" s="473" t="s">
        <v>14271</v>
      </c>
      <c r="G326" s="453">
        <v>1</v>
      </c>
      <c r="H326" s="1420" t="s">
        <v>14273</v>
      </c>
      <c r="I326" s="1420" t="s">
        <v>15369</v>
      </c>
      <c r="J326" s="453" t="s">
        <v>642</v>
      </c>
      <c r="K326" s="453"/>
      <c r="L326" s="457">
        <v>2752500</v>
      </c>
      <c r="M326" s="453" t="s">
        <v>251</v>
      </c>
      <c r="N326" s="474">
        <v>44995</v>
      </c>
      <c r="O326" s="474">
        <v>45042</v>
      </c>
      <c r="P326" s="474">
        <v>45064</v>
      </c>
      <c r="Q326" s="1420" t="s">
        <v>5696</v>
      </c>
      <c r="R326" s="453"/>
      <c r="S326" s="457">
        <v>2596000</v>
      </c>
      <c r="T326" s="457">
        <v>2985400</v>
      </c>
      <c r="U326" s="1474"/>
      <c r="V326" s="1474"/>
      <c r="W326" s="1474"/>
      <c r="X326" s="570">
        <v>45064</v>
      </c>
      <c r="Y326" s="1387" t="s">
        <v>15153</v>
      </c>
      <c r="Z326" s="474">
        <v>45096</v>
      </c>
      <c r="AA326" s="474">
        <v>45120</v>
      </c>
      <c r="AB326" s="474">
        <v>46192</v>
      </c>
      <c r="AC326" s="2799"/>
      <c r="AD326" s="2799"/>
    </row>
    <row r="327" spans="1:30" ht="30">
      <c r="A327" s="2140">
        <v>44980</v>
      </c>
      <c r="B327" s="2143" t="s">
        <v>14269</v>
      </c>
      <c r="C327" s="2141" t="s">
        <v>2434</v>
      </c>
      <c r="D327" s="2141" t="s">
        <v>3204</v>
      </c>
      <c r="E327" s="2141" t="s">
        <v>13952</v>
      </c>
      <c r="F327" s="2142" t="s">
        <v>14271</v>
      </c>
      <c r="G327" s="2141">
        <v>2</v>
      </c>
      <c r="H327" s="2143" t="s">
        <v>14272</v>
      </c>
      <c r="I327" s="2143" t="s">
        <v>15369</v>
      </c>
      <c r="J327" s="2141" t="s">
        <v>642</v>
      </c>
      <c r="K327" s="2141"/>
      <c r="L327" s="2144">
        <v>1200000</v>
      </c>
      <c r="M327" s="2141" t="s">
        <v>251</v>
      </c>
      <c r="N327" s="2140">
        <v>44995</v>
      </c>
      <c r="O327" s="2140">
        <v>45042</v>
      </c>
      <c r="P327" s="2140">
        <v>45064</v>
      </c>
      <c r="Q327" s="2143" t="s">
        <v>5696</v>
      </c>
      <c r="R327" s="2141"/>
      <c r="S327" s="2144">
        <v>1200000</v>
      </c>
      <c r="T327" s="2144">
        <v>1380000</v>
      </c>
      <c r="U327" s="2145"/>
      <c r="V327" s="2145"/>
      <c r="W327" s="2145"/>
      <c r="X327" s="2146">
        <v>45064</v>
      </c>
      <c r="Y327" s="2260" t="s">
        <v>14896</v>
      </c>
      <c r="Z327" s="2140">
        <v>45096</v>
      </c>
      <c r="AA327" s="2140">
        <v>45120</v>
      </c>
      <c r="AB327" s="2140">
        <v>46192</v>
      </c>
      <c r="AC327" s="2799"/>
      <c r="AD327" s="2799"/>
    </row>
    <row r="328" spans="1:30" ht="45.75" thickBot="1">
      <c r="A328" s="2117">
        <v>44980</v>
      </c>
      <c r="B328" s="2120" t="s">
        <v>14270</v>
      </c>
      <c r="C328" s="2118" t="s">
        <v>2434</v>
      </c>
      <c r="D328" s="2118" t="s">
        <v>3204</v>
      </c>
      <c r="E328" s="2118" t="s">
        <v>13952</v>
      </c>
      <c r="F328" s="2119" t="s">
        <v>14271</v>
      </c>
      <c r="G328" s="2118">
        <v>3</v>
      </c>
      <c r="H328" s="2120" t="s">
        <v>14274</v>
      </c>
      <c r="I328" s="2120" t="s">
        <v>15369</v>
      </c>
      <c r="J328" s="2118" t="s">
        <v>642</v>
      </c>
      <c r="K328" s="2118"/>
      <c r="L328" s="2121">
        <v>840000</v>
      </c>
      <c r="M328" s="2118" t="s">
        <v>251</v>
      </c>
      <c r="N328" s="2117">
        <v>44995</v>
      </c>
      <c r="O328" s="2117">
        <v>45042</v>
      </c>
      <c r="P328" s="2117">
        <v>45064</v>
      </c>
      <c r="Q328" s="2120" t="s">
        <v>5696</v>
      </c>
      <c r="R328" s="2118"/>
      <c r="S328" s="2121">
        <v>975000</v>
      </c>
      <c r="T328" s="2121">
        <v>1121250</v>
      </c>
      <c r="U328" s="2122"/>
      <c r="V328" s="2122"/>
      <c r="W328" s="2122"/>
      <c r="X328" s="2123">
        <v>45064</v>
      </c>
      <c r="Y328" s="2246" t="s">
        <v>14897</v>
      </c>
      <c r="Z328" s="2117">
        <v>45096</v>
      </c>
      <c r="AA328" s="2117">
        <v>45120</v>
      </c>
      <c r="AB328" s="2117">
        <v>46192</v>
      </c>
      <c r="AC328" s="2799"/>
      <c r="AD328" s="2799"/>
    </row>
    <row r="329" spans="1:30" ht="45.75" thickTop="1">
      <c r="A329" s="840">
        <v>44986</v>
      </c>
      <c r="B329" s="1422" t="s">
        <v>14278</v>
      </c>
      <c r="C329" s="423" t="s">
        <v>52</v>
      </c>
      <c r="D329" s="423" t="s">
        <v>2588</v>
      </c>
      <c r="E329" s="423" t="s">
        <v>13950</v>
      </c>
      <c r="F329" s="3198" t="s">
        <v>14279</v>
      </c>
      <c r="G329" s="423"/>
      <c r="H329" s="1422"/>
      <c r="I329" s="1422" t="s">
        <v>15373</v>
      </c>
      <c r="J329" s="423" t="s">
        <v>13512</v>
      </c>
      <c r="K329" s="423"/>
      <c r="L329" s="841">
        <v>3495000000</v>
      </c>
      <c r="M329" s="423" t="s">
        <v>251</v>
      </c>
      <c r="N329" s="840">
        <v>45279</v>
      </c>
      <c r="O329" s="840">
        <v>45450</v>
      </c>
      <c r="P329" s="840">
        <v>45468</v>
      </c>
      <c r="Q329" s="1422" t="s">
        <v>17738</v>
      </c>
      <c r="R329" s="423"/>
      <c r="S329" s="841">
        <v>3479900000</v>
      </c>
      <c r="T329" s="841">
        <v>4210679000</v>
      </c>
      <c r="U329" s="1476"/>
      <c r="V329" s="1476"/>
      <c r="W329" s="1476"/>
      <c r="X329" s="1392">
        <v>45469</v>
      </c>
      <c r="Y329" s="1796" t="s">
        <v>17753</v>
      </c>
      <c r="Z329" s="423"/>
      <c r="AA329" s="423"/>
      <c r="AB329" s="423"/>
      <c r="AC329" s="2799"/>
      <c r="AD329" s="2799"/>
    </row>
    <row r="330" spans="1:30" ht="30">
      <c r="A330" s="2140">
        <v>44988</v>
      </c>
      <c r="B330" s="2143" t="s">
        <v>14280</v>
      </c>
      <c r="C330" s="2141" t="s">
        <v>58</v>
      </c>
      <c r="D330" s="2141" t="s">
        <v>4969</v>
      </c>
      <c r="E330" s="2141" t="s">
        <v>655</v>
      </c>
      <c r="F330" s="2142" t="s">
        <v>8968</v>
      </c>
      <c r="G330" s="2141"/>
      <c r="H330" s="2143"/>
      <c r="I330" s="2143" t="s">
        <v>15369</v>
      </c>
      <c r="J330" s="2141" t="s">
        <v>1924</v>
      </c>
      <c r="K330" s="2141" t="s">
        <v>14281</v>
      </c>
      <c r="L330" s="2144">
        <v>98000</v>
      </c>
      <c r="M330" s="2141" t="s">
        <v>112</v>
      </c>
      <c r="N330" s="2140">
        <v>44993</v>
      </c>
      <c r="O330" s="2140">
        <v>45006</v>
      </c>
      <c r="P330" s="2140">
        <v>45012</v>
      </c>
      <c r="Q330" s="2143" t="s">
        <v>7642</v>
      </c>
      <c r="R330" s="2141"/>
      <c r="S330" s="2144">
        <v>80550</v>
      </c>
      <c r="T330" s="2144">
        <v>97465.5</v>
      </c>
      <c r="U330" s="2145"/>
      <c r="V330" s="2145"/>
      <c r="W330" s="2145"/>
      <c r="X330" s="2146">
        <v>45012</v>
      </c>
      <c r="Y330" s="2260" t="s">
        <v>14492</v>
      </c>
      <c r="Z330" s="2140">
        <v>45040</v>
      </c>
      <c r="AA330" s="2140">
        <v>45041</v>
      </c>
      <c r="AB330" s="2140">
        <v>45180</v>
      </c>
      <c r="AC330" s="2799"/>
      <c r="AD330" s="2799"/>
    </row>
    <row r="331" spans="1:30">
      <c r="A331" s="2140">
        <v>44984</v>
      </c>
      <c r="B331" s="2143" t="s">
        <v>14282</v>
      </c>
      <c r="C331" s="2141" t="s">
        <v>2111</v>
      </c>
      <c r="D331" s="2141" t="s">
        <v>9080</v>
      </c>
      <c r="E331" s="2141" t="s">
        <v>13951</v>
      </c>
      <c r="F331" s="2142" t="s">
        <v>14323</v>
      </c>
      <c r="G331" s="2141"/>
      <c r="H331" s="2143"/>
      <c r="I331" s="2143" t="s">
        <v>15369</v>
      </c>
      <c r="J331" s="2141" t="s">
        <v>2113</v>
      </c>
      <c r="K331" s="2141" t="s">
        <v>14283</v>
      </c>
      <c r="L331" s="2144">
        <v>1639920</v>
      </c>
      <c r="M331" s="2141" t="s">
        <v>112</v>
      </c>
      <c r="N331" s="2140">
        <v>44998</v>
      </c>
      <c r="O331" s="2140">
        <v>45008</v>
      </c>
      <c r="P331" s="2140">
        <v>45051</v>
      </c>
      <c r="Q331" s="2143" t="s">
        <v>12083</v>
      </c>
      <c r="R331" s="2141"/>
      <c r="S331" s="2144">
        <v>939530</v>
      </c>
      <c r="T331" s="2144">
        <v>1136831.3</v>
      </c>
      <c r="U331" s="2094"/>
      <c r="V331" s="2094"/>
      <c r="W331" s="2094"/>
      <c r="X331" s="2146">
        <v>45051</v>
      </c>
      <c r="Y331" s="2144" t="s">
        <v>14822</v>
      </c>
      <c r="Z331" s="2140">
        <v>45056</v>
      </c>
      <c r="AA331" s="2140">
        <v>45058</v>
      </c>
      <c r="AB331" s="2140">
        <v>45138</v>
      </c>
      <c r="AC331" s="2799"/>
      <c r="AD331" s="2799"/>
    </row>
    <row r="332" spans="1:30" ht="15.75" thickBot="1">
      <c r="A332" s="411" t="s">
        <v>3585</v>
      </c>
      <c r="B332" s="630" t="s">
        <v>14288</v>
      </c>
      <c r="C332" s="411" t="s">
        <v>13843</v>
      </c>
      <c r="D332" s="411" t="s">
        <v>13844</v>
      </c>
      <c r="E332" s="411" t="s">
        <v>13949</v>
      </c>
      <c r="F332" s="412" t="s">
        <v>13833</v>
      </c>
      <c r="G332" s="411"/>
      <c r="H332" s="630"/>
      <c r="I332" s="630" t="s">
        <v>15369</v>
      </c>
      <c r="J332" s="411" t="s">
        <v>1658</v>
      </c>
      <c r="K332" s="411"/>
      <c r="L332" s="417">
        <v>1200000</v>
      </c>
      <c r="M332" s="411" t="s">
        <v>112</v>
      </c>
      <c r="N332" s="416">
        <v>45013</v>
      </c>
      <c r="O332" s="416">
        <v>45027</v>
      </c>
      <c r="P332" s="416">
        <v>45042</v>
      </c>
      <c r="Q332" s="630" t="s">
        <v>14609</v>
      </c>
      <c r="R332" s="411"/>
      <c r="S332" s="417">
        <v>1200000</v>
      </c>
      <c r="T332" s="417">
        <v>1452000</v>
      </c>
      <c r="U332" s="1480"/>
      <c r="V332" s="1480"/>
      <c r="W332" s="1480"/>
      <c r="X332" s="513">
        <v>45043</v>
      </c>
      <c r="Y332" s="417" t="s">
        <v>14736</v>
      </c>
      <c r="Z332" s="416">
        <v>45070</v>
      </c>
      <c r="AA332" s="416">
        <v>45070</v>
      </c>
      <c r="AB332" s="411"/>
      <c r="AC332" s="2799"/>
      <c r="AD332" s="2799"/>
    </row>
    <row r="333" spans="1:30" ht="30.75" thickTop="1">
      <c r="A333" s="474">
        <v>44984</v>
      </c>
      <c r="B333" s="1420" t="s">
        <v>14289</v>
      </c>
      <c r="C333" s="453" t="s">
        <v>2434</v>
      </c>
      <c r="D333" s="453" t="s">
        <v>3204</v>
      </c>
      <c r="E333" s="453" t="s">
        <v>13952</v>
      </c>
      <c r="F333" s="473" t="s">
        <v>15011</v>
      </c>
      <c r="G333" s="453">
        <v>1</v>
      </c>
      <c r="H333" s="1420" t="s">
        <v>14378</v>
      </c>
      <c r="I333" s="1420" t="s">
        <v>15369</v>
      </c>
      <c r="J333" s="453" t="s">
        <v>642</v>
      </c>
      <c r="K333" s="453"/>
      <c r="L333" s="457">
        <v>1990000</v>
      </c>
      <c r="M333" s="453" t="s">
        <v>251</v>
      </c>
      <c r="N333" s="474">
        <v>45002</v>
      </c>
      <c r="O333" s="474">
        <v>45036</v>
      </c>
      <c r="P333" s="474">
        <v>45056</v>
      </c>
      <c r="Q333" s="1420" t="s">
        <v>7201</v>
      </c>
      <c r="R333" s="453"/>
      <c r="S333" s="457">
        <v>1990000</v>
      </c>
      <c r="T333" s="457">
        <v>2304580</v>
      </c>
      <c r="U333" s="1474"/>
      <c r="V333" s="1474"/>
      <c r="W333" s="1474"/>
      <c r="X333" s="570">
        <v>45056</v>
      </c>
      <c r="Y333" s="1387" t="s">
        <v>14845</v>
      </c>
      <c r="Z333" s="474">
        <v>45076</v>
      </c>
      <c r="AA333" s="474">
        <v>45085</v>
      </c>
      <c r="AB333" s="474">
        <v>46171</v>
      </c>
      <c r="AC333" s="2799"/>
      <c r="AD333" s="2799"/>
    </row>
    <row r="334" spans="1:30" ht="30.75" thickBot="1">
      <c r="A334" s="2117">
        <v>44984</v>
      </c>
      <c r="B334" s="2120" t="s">
        <v>14293</v>
      </c>
      <c r="C334" s="2118" t="s">
        <v>2434</v>
      </c>
      <c r="D334" s="2118" t="s">
        <v>3204</v>
      </c>
      <c r="E334" s="2118" t="s">
        <v>13952</v>
      </c>
      <c r="F334" s="2119" t="s">
        <v>14292</v>
      </c>
      <c r="G334" s="2118">
        <v>2</v>
      </c>
      <c r="H334" s="2120" t="s">
        <v>14294</v>
      </c>
      <c r="I334" s="2120" t="s">
        <v>15369</v>
      </c>
      <c r="J334" s="2118" t="s">
        <v>642</v>
      </c>
      <c r="K334" s="2118"/>
      <c r="L334" s="2121">
        <v>8667000</v>
      </c>
      <c r="M334" s="2118" t="s">
        <v>251</v>
      </c>
      <c r="N334" s="2117">
        <v>45002</v>
      </c>
      <c r="O334" s="2117">
        <v>45036</v>
      </c>
      <c r="P334" s="2117">
        <v>45056</v>
      </c>
      <c r="Q334" s="2120" t="s">
        <v>7201</v>
      </c>
      <c r="R334" s="2118"/>
      <c r="S334" s="2121">
        <v>8667000</v>
      </c>
      <c r="T334" s="2121">
        <v>10007550</v>
      </c>
      <c r="U334" s="2122"/>
      <c r="V334" s="2122"/>
      <c r="W334" s="2122"/>
      <c r="X334" s="2123">
        <v>45056</v>
      </c>
      <c r="Y334" s="2246" t="s">
        <v>14846</v>
      </c>
      <c r="Z334" s="2117">
        <v>45076</v>
      </c>
      <c r="AA334" s="2117">
        <v>45085</v>
      </c>
      <c r="AB334" s="2117">
        <v>46171</v>
      </c>
      <c r="AC334" s="2799"/>
      <c r="AD334" s="2799"/>
    </row>
    <row r="335" spans="1:30" ht="15.75" thickTop="1">
      <c r="A335" s="365">
        <v>44991</v>
      </c>
      <c r="B335" s="3192" t="s">
        <v>14291</v>
      </c>
      <c r="C335" s="3191" t="s">
        <v>2434</v>
      </c>
      <c r="D335" s="3191" t="s">
        <v>219</v>
      </c>
      <c r="E335" s="3191" t="s">
        <v>655</v>
      </c>
      <c r="F335" s="175" t="s">
        <v>14295</v>
      </c>
      <c r="G335" s="3191"/>
      <c r="H335" s="3192"/>
      <c r="I335" s="3192" t="s">
        <v>15369</v>
      </c>
      <c r="J335" s="3191" t="s">
        <v>642</v>
      </c>
      <c r="K335" s="3191"/>
      <c r="L335" s="364">
        <v>649560</v>
      </c>
      <c r="M335" s="3191" t="s">
        <v>112</v>
      </c>
      <c r="N335" s="365">
        <v>44994</v>
      </c>
      <c r="O335" s="365">
        <v>45006</v>
      </c>
      <c r="P335" s="365">
        <v>45013</v>
      </c>
      <c r="Q335" s="3192" t="s">
        <v>4315</v>
      </c>
      <c r="R335" s="3191"/>
      <c r="S335" s="364">
        <v>743880</v>
      </c>
      <c r="T335" s="364">
        <v>900094.8</v>
      </c>
      <c r="U335" s="1473"/>
      <c r="V335" s="1473"/>
      <c r="W335" s="1473"/>
      <c r="X335" s="681">
        <v>45013</v>
      </c>
      <c r="Y335" s="364" t="s">
        <v>14494</v>
      </c>
      <c r="Z335" s="365">
        <v>45040</v>
      </c>
      <c r="AA335" s="365">
        <v>45041</v>
      </c>
      <c r="AB335" s="365">
        <v>46203</v>
      </c>
      <c r="AC335" s="2799"/>
      <c r="AD335" s="2799"/>
    </row>
    <row r="336" spans="1:30">
      <c r="A336" s="2124">
        <v>44992</v>
      </c>
      <c r="B336" s="2127" t="s">
        <v>14296</v>
      </c>
      <c r="C336" s="2125" t="s">
        <v>58</v>
      </c>
      <c r="D336" s="2125" t="s">
        <v>4969</v>
      </c>
      <c r="E336" s="2125" t="s">
        <v>13951</v>
      </c>
      <c r="F336" s="2126" t="s">
        <v>14297</v>
      </c>
      <c r="G336" s="2125"/>
      <c r="H336" s="2127"/>
      <c r="I336" s="2127" t="s">
        <v>242</v>
      </c>
      <c r="J336" s="2125" t="s">
        <v>14299</v>
      </c>
      <c r="K336" s="2125" t="s">
        <v>14298</v>
      </c>
      <c r="L336" s="2128">
        <v>428688</v>
      </c>
      <c r="M336" s="2125" t="s">
        <v>112</v>
      </c>
      <c r="N336" s="2124">
        <v>44994</v>
      </c>
      <c r="O336" s="2124">
        <v>45019</v>
      </c>
      <c r="P336" s="2125"/>
      <c r="Q336" s="2136" t="s">
        <v>4505</v>
      </c>
      <c r="R336" s="2275" t="s">
        <v>14608</v>
      </c>
      <c r="S336" s="2128"/>
      <c r="T336" s="2128"/>
      <c r="U336" s="2094"/>
      <c r="V336" s="2094"/>
      <c r="W336" s="2094"/>
      <c r="X336" s="2128"/>
      <c r="Y336" s="2128"/>
      <c r="Z336" s="2125"/>
      <c r="AA336" s="2124">
        <v>45029</v>
      </c>
      <c r="AB336" s="2125"/>
      <c r="AC336" s="2799"/>
      <c r="AD336" s="2799"/>
    </row>
    <row r="337" spans="1:31">
      <c r="A337" s="2140">
        <v>44992</v>
      </c>
      <c r="B337" s="2143" t="s">
        <v>14300</v>
      </c>
      <c r="C337" s="2141" t="s">
        <v>1754</v>
      </c>
      <c r="D337" s="2141" t="s">
        <v>1753</v>
      </c>
      <c r="E337" s="2141" t="s">
        <v>13951</v>
      </c>
      <c r="F337" s="2142" t="s">
        <v>6267</v>
      </c>
      <c r="G337" s="2141"/>
      <c r="H337" s="2143"/>
      <c r="I337" s="2143" t="s">
        <v>15369</v>
      </c>
      <c r="J337" s="2141" t="s">
        <v>4268</v>
      </c>
      <c r="K337" s="2141"/>
      <c r="L337" s="2144">
        <v>1620000</v>
      </c>
      <c r="M337" s="2141" t="s">
        <v>112</v>
      </c>
      <c r="N337" s="2140">
        <v>44998</v>
      </c>
      <c r="O337" s="2140">
        <v>45006</v>
      </c>
      <c r="P337" s="2140">
        <v>45007</v>
      </c>
      <c r="Q337" s="2143" t="s">
        <v>333</v>
      </c>
      <c r="R337" s="2141"/>
      <c r="S337" s="2144">
        <v>1577875</v>
      </c>
      <c r="T337" s="2144">
        <v>1909228.75</v>
      </c>
      <c r="U337" s="2145"/>
      <c r="V337" s="2145"/>
      <c r="W337" s="2145"/>
      <c r="X337" s="2146">
        <v>45007</v>
      </c>
      <c r="Y337" s="2144" t="s">
        <v>14435</v>
      </c>
      <c r="Z337" s="2140">
        <v>45019</v>
      </c>
      <c r="AA337" s="2140">
        <v>45019</v>
      </c>
      <c r="AB337" s="2140">
        <v>45596</v>
      </c>
      <c r="AC337" s="2799"/>
      <c r="AD337" s="2799"/>
    </row>
    <row r="338" spans="1:31" ht="30.75" thickBot="1">
      <c r="A338" s="416">
        <v>44992</v>
      </c>
      <c r="B338" s="630" t="s">
        <v>14301</v>
      </c>
      <c r="C338" s="411" t="s">
        <v>58</v>
      </c>
      <c r="D338" s="411" t="s">
        <v>4969</v>
      </c>
      <c r="E338" s="411" t="s">
        <v>13948</v>
      </c>
      <c r="F338" s="412" t="s">
        <v>14302</v>
      </c>
      <c r="G338" s="411"/>
      <c r="H338" s="630"/>
      <c r="I338" s="630" t="s">
        <v>15369</v>
      </c>
      <c r="J338" s="411" t="s">
        <v>462</v>
      </c>
      <c r="K338" s="411" t="s">
        <v>14303</v>
      </c>
      <c r="L338" s="417">
        <v>423636</v>
      </c>
      <c r="M338" s="411" t="s">
        <v>251</v>
      </c>
      <c r="N338" s="416">
        <v>44995</v>
      </c>
      <c r="O338" s="416">
        <v>45030</v>
      </c>
      <c r="P338" s="416">
        <v>45056</v>
      </c>
      <c r="Q338" s="630" t="s">
        <v>5913</v>
      </c>
      <c r="R338" s="411"/>
      <c r="S338" s="417">
        <v>345800</v>
      </c>
      <c r="T338" s="417">
        <v>418418</v>
      </c>
      <c r="U338" s="1480"/>
      <c r="V338" s="1480"/>
      <c r="W338" s="1480"/>
      <c r="X338" s="513">
        <v>45056</v>
      </c>
      <c r="Y338" s="1553" t="s">
        <v>14848</v>
      </c>
      <c r="Z338" s="416">
        <v>45076</v>
      </c>
      <c r="AA338" s="416">
        <v>45084</v>
      </c>
      <c r="AB338" s="416">
        <v>45188</v>
      </c>
      <c r="AC338" s="2799"/>
      <c r="AD338" s="2799"/>
    </row>
    <row r="339" spans="1:31" ht="30.75" thickTop="1">
      <c r="A339" s="474">
        <v>44992</v>
      </c>
      <c r="B339" s="1420" t="s">
        <v>14314</v>
      </c>
      <c r="C339" s="453" t="s">
        <v>58</v>
      </c>
      <c r="D339" s="453" t="s">
        <v>4969</v>
      </c>
      <c r="E339" s="453" t="s">
        <v>655</v>
      </c>
      <c r="F339" s="473" t="s">
        <v>14316</v>
      </c>
      <c r="G339" s="453">
        <v>1</v>
      </c>
      <c r="H339" s="1420" t="s">
        <v>11832</v>
      </c>
      <c r="I339" s="1420" t="s">
        <v>15369</v>
      </c>
      <c r="J339" s="453" t="s">
        <v>4313</v>
      </c>
      <c r="K339" s="453" t="s">
        <v>14318</v>
      </c>
      <c r="L339" s="457">
        <v>255000</v>
      </c>
      <c r="M339" s="453" t="s">
        <v>112</v>
      </c>
      <c r="N339" s="474">
        <v>44994</v>
      </c>
      <c r="O339" s="474">
        <v>45007</v>
      </c>
      <c r="P339" s="474">
        <v>45027</v>
      </c>
      <c r="Q339" s="1420" t="s">
        <v>11975</v>
      </c>
      <c r="R339" s="453"/>
      <c r="S339" s="457">
        <v>224000</v>
      </c>
      <c r="T339" s="457">
        <v>271040</v>
      </c>
      <c r="U339" s="1474"/>
      <c r="V339" s="1474"/>
      <c r="W339" s="1474"/>
      <c r="X339" s="570">
        <v>45027</v>
      </c>
      <c r="Y339" s="1387" t="s">
        <v>14583</v>
      </c>
      <c r="Z339" s="474">
        <v>45044</v>
      </c>
      <c r="AA339" s="474">
        <v>45044</v>
      </c>
      <c r="AB339" s="474">
        <v>45065</v>
      </c>
      <c r="AC339" s="2799"/>
      <c r="AD339" s="2799"/>
    </row>
    <row r="340" spans="1:31" ht="30.75" thickBot="1">
      <c r="A340" s="2117">
        <v>44992</v>
      </c>
      <c r="B340" s="2120" t="s">
        <v>14315</v>
      </c>
      <c r="C340" s="2118" t="s">
        <v>58</v>
      </c>
      <c r="D340" s="2118" t="s">
        <v>4969</v>
      </c>
      <c r="E340" s="2118" t="s">
        <v>655</v>
      </c>
      <c r="F340" s="2119" t="s">
        <v>14316</v>
      </c>
      <c r="G340" s="2118">
        <v>2</v>
      </c>
      <c r="H340" s="2120" t="s">
        <v>14317</v>
      </c>
      <c r="I340" s="2120" t="s">
        <v>15369</v>
      </c>
      <c r="J340" s="2118" t="s">
        <v>4313</v>
      </c>
      <c r="K340" s="2118" t="s">
        <v>7416</v>
      </c>
      <c r="L340" s="2121">
        <v>125000</v>
      </c>
      <c r="M340" s="2118" t="s">
        <v>112</v>
      </c>
      <c r="N340" s="2117">
        <v>44994</v>
      </c>
      <c r="O340" s="2117">
        <v>45007</v>
      </c>
      <c r="P340" s="2117">
        <v>45027</v>
      </c>
      <c r="Q340" s="2120" t="s">
        <v>10028</v>
      </c>
      <c r="R340" s="2118"/>
      <c r="S340" s="2121">
        <v>115857.36</v>
      </c>
      <c r="T340" s="2121">
        <v>140187.41</v>
      </c>
      <c r="U340" s="2122"/>
      <c r="V340" s="2122"/>
      <c r="W340" s="2122"/>
      <c r="X340" s="2123">
        <v>45027</v>
      </c>
      <c r="Y340" s="2246" t="s">
        <v>14584</v>
      </c>
      <c r="Z340" s="2117">
        <v>45044</v>
      </c>
      <c r="AA340" s="2117">
        <v>45044</v>
      </c>
      <c r="AB340" s="2117">
        <v>45072</v>
      </c>
      <c r="AC340" s="2799"/>
      <c r="AD340" s="2799"/>
    </row>
    <row r="341" spans="1:31" ht="16.5" thickTop="1" thickBot="1">
      <c r="A341" s="498">
        <v>44991</v>
      </c>
      <c r="B341" s="669" t="s">
        <v>14306</v>
      </c>
      <c r="C341" s="232" t="s">
        <v>69</v>
      </c>
      <c r="D341" s="232" t="s">
        <v>15129</v>
      </c>
      <c r="E341" s="232" t="s">
        <v>13949</v>
      </c>
      <c r="F341" s="274" t="s">
        <v>14309</v>
      </c>
      <c r="G341" s="232"/>
      <c r="H341" s="669"/>
      <c r="I341" s="669" t="s">
        <v>15369</v>
      </c>
      <c r="J341" s="232" t="s">
        <v>68</v>
      </c>
      <c r="K341" s="232"/>
      <c r="L341" s="499">
        <v>160166528</v>
      </c>
      <c r="M341" s="232" t="s">
        <v>251</v>
      </c>
      <c r="N341" s="498">
        <v>45009</v>
      </c>
      <c r="O341" s="498">
        <v>45043</v>
      </c>
      <c r="P341" s="498">
        <v>45057</v>
      </c>
      <c r="Q341" s="669" t="s">
        <v>576</v>
      </c>
      <c r="R341" s="232"/>
      <c r="S341" s="499">
        <v>106520037.3</v>
      </c>
      <c r="T341" s="499">
        <v>117172041.03</v>
      </c>
      <c r="U341" s="1545"/>
      <c r="V341" s="1545"/>
      <c r="W341" s="1545"/>
      <c r="X341" s="682">
        <v>45057</v>
      </c>
      <c r="Y341" s="499" t="s">
        <v>14853</v>
      </c>
      <c r="Z341" s="498">
        <v>45082</v>
      </c>
      <c r="AA341" s="498">
        <v>45082</v>
      </c>
      <c r="AB341" s="498">
        <v>46226</v>
      </c>
      <c r="AC341" s="2799"/>
      <c r="AD341" s="2799"/>
      <c r="AE341" s="360" t="s">
        <v>15045</v>
      </c>
    </row>
    <row r="342" spans="1:31" ht="15.75" thickTop="1">
      <c r="A342" s="443">
        <v>44991</v>
      </c>
      <c r="B342" s="1431" t="s">
        <v>14307</v>
      </c>
      <c r="C342" s="439" t="s">
        <v>69</v>
      </c>
      <c r="D342" s="439" t="s">
        <v>15129</v>
      </c>
      <c r="E342" s="439" t="s">
        <v>13949</v>
      </c>
      <c r="F342" s="440" t="s">
        <v>14310</v>
      </c>
      <c r="G342" s="439">
        <v>1</v>
      </c>
      <c r="H342" s="1431" t="s">
        <v>13441</v>
      </c>
      <c r="I342" s="1431" t="s">
        <v>242</v>
      </c>
      <c r="J342" s="439" t="s">
        <v>13442</v>
      </c>
      <c r="K342" s="439"/>
      <c r="L342" s="444">
        <v>8791973</v>
      </c>
      <c r="M342" s="439" t="s">
        <v>251</v>
      </c>
      <c r="N342" s="443">
        <v>45019</v>
      </c>
      <c r="O342" s="443">
        <v>45055</v>
      </c>
      <c r="P342" s="439"/>
      <c r="Q342" s="753" t="s">
        <v>14627</v>
      </c>
      <c r="R342" s="2015" t="s">
        <v>14821</v>
      </c>
      <c r="S342" s="444"/>
      <c r="T342" s="444"/>
      <c r="U342" s="1481"/>
      <c r="V342" s="1481"/>
      <c r="W342" s="1481"/>
      <c r="X342" s="444"/>
      <c r="Y342" s="444"/>
      <c r="Z342" s="439"/>
      <c r="AA342" s="443">
        <v>45030</v>
      </c>
      <c r="AB342" s="439" t="s">
        <v>14626</v>
      </c>
      <c r="AC342" s="2799"/>
      <c r="AD342" s="2799"/>
    </row>
    <row r="343" spans="1:31" ht="15.75" thickBot="1">
      <c r="A343" s="2117">
        <v>44991</v>
      </c>
      <c r="B343" s="2120" t="s">
        <v>14308</v>
      </c>
      <c r="C343" s="2118" t="s">
        <v>69</v>
      </c>
      <c r="D343" s="2118" t="s">
        <v>15129</v>
      </c>
      <c r="E343" s="2118" t="s">
        <v>13949</v>
      </c>
      <c r="F343" s="2119" t="s">
        <v>14310</v>
      </c>
      <c r="G343" s="2118">
        <v>2</v>
      </c>
      <c r="H343" s="2120" t="s">
        <v>14311</v>
      </c>
      <c r="I343" s="2120" t="s">
        <v>15369</v>
      </c>
      <c r="J343" s="2118" t="s">
        <v>13442</v>
      </c>
      <c r="K343" s="2118"/>
      <c r="L343" s="2121">
        <v>386646</v>
      </c>
      <c r="M343" s="2118" t="s">
        <v>251</v>
      </c>
      <c r="N343" s="2117">
        <v>45019</v>
      </c>
      <c r="O343" s="2117">
        <v>45055</v>
      </c>
      <c r="P343" s="2117">
        <v>45077</v>
      </c>
      <c r="Q343" s="2120" t="s">
        <v>576</v>
      </c>
      <c r="R343" s="2118"/>
      <c r="S343" s="2121">
        <v>381406.08</v>
      </c>
      <c r="T343" s="2121">
        <v>419546.69</v>
      </c>
      <c r="U343" s="2122"/>
      <c r="V343" s="2122"/>
      <c r="W343" s="2122"/>
      <c r="X343" s="2123">
        <v>45077</v>
      </c>
      <c r="Y343" s="2121" t="s">
        <v>15023</v>
      </c>
      <c r="Z343" s="2117">
        <v>45097</v>
      </c>
      <c r="AA343" s="2117">
        <v>45098</v>
      </c>
      <c r="AB343" s="2117">
        <v>46192</v>
      </c>
      <c r="AC343" s="2799"/>
      <c r="AD343" s="2799"/>
    </row>
    <row r="344" spans="1:31" ht="15.75" thickTop="1">
      <c r="A344" s="3191" t="s">
        <v>3585</v>
      </c>
      <c r="B344" s="3192" t="s">
        <v>14319</v>
      </c>
      <c r="C344" s="3191" t="s">
        <v>9800</v>
      </c>
      <c r="D344" s="3191" t="s">
        <v>232</v>
      </c>
      <c r="E344" s="3191" t="s">
        <v>655</v>
      </c>
      <c r="F344" s="175" t="s">
        <v>14320</v>
      </c>
      <c r="G344" s="3191"/>
      <c r="H344" s="3192"/>
      <c r="I344" s="3192" t="s">
        <v>15369</v>
      </c>
      <c r="J344" s="3191" t="s">
        <v>1658</v>
      </c>
      <c r="K344" s="3191"/>
      <c r="L344" s="364">
        <v>800000</v>
      </c>
      <c r="M344" s="3191" t="s">
        <v>112</v>
      </c>
      <c r="N344" s="365">
        <v>44994</v>
      </c>
      <c r="O344" s="365">
        <v>45007</v>
      </c>
      <c r="P344" s="365">
        <v>45015</v>
      </c>
      <c r="Q344" s="3192" t="s">
        <v>14465</v>
      </c>
      <c r="R344" s="3191"/>
      <c r="S344" s="364">
        <v>723073.6</v>
      </c>
      <c r="T344" s="364">
        <v>874919.06</v>
      </c>
      <c r="U344" s="1473"/>
      <c r="V344" s="1473"/>
      <c r="W344" s="1473"/>
      <c r="X344" s="681">
        <v>45015</v>
      </c>
      <c r="Y344" s="364" t="s">
        <v>14513</v>
      </c>
      <c r="Z344" s="365">
        <v>45040</v>
      </c>
      <c r="AA344" s="365">
        <v>45041</v>
      </c>
      <c r="AB344" s="365">
        <v>46500</v>
      </c>
      <c r="AC344" s="2799"/>
      <c r="AD344" s="2799"/>
    </row>
    <row r="345" spans="1:31">
      <c r="A345" s="2140">
        <v>44993</v>
      </c>
      <c r="B345" s="2143" t="s">
        <v>14334</v>
      </c>
      <c r="C345" s="2141" t="s">
        <v>1754</v>
      </c>
      <c r="D345" s="2141" t="s">
        <v>13</v>
      </c>
      <c r="E345" s="2141" t="s">
        <v>13948</v>
      </c>
      <c r="F345" s="2142" t="s">
        <v>14333</v>
      </c>
      <c r="G345" s="2141"/>
      <c r="H345" s="2143"/>
      <c r="I345" s="2143" t="s">
        <v>15369</v>
      </c>
      <c r="J345" s="2141" t="s">
        <v>2385</v>
      </c>
      <c r="K345" s="2141"/>
      <c r="L345" s="2144">
        <v>7820000</v>
      </c>
      <c r="M345" s="2141" t="s">
        <v>251</v>
      </c>
      <c r="N345" s="2140">
        <v>45002</v>
      </c>
      <c r="O345" s="2140">
        <v>45036</v>
      </c>
      <c r="P345" s="2140">
        <v>45055</v>
      </c>
      <c r="Q345" s="2143" t="s">
        <v>14819</v>
      </c>
      <c r="R345" s="2141"/>
      <c r="S345" s="2144">
        <v>5157790</v>
      </c>
      <c r="T345" s="2144">
        <v>6240925.9000000004</v>
      </c>
      <c r="U345" s="2145"/>
      <c r="V345" s="2145"/>
      <c r="W345" s="2145"/>
      <c r="X345" s="2146">
        <v>45055</v>
      </c>
      <c r="Y345" s="2144" t="s">
        <v>14844</v>
      </c>
      <c r="Z345" s="2140">
        <v>45086</v>
      </c>
      <c r="AA345" s="2140">
        <v>45096</v>
      </c>
      <c r="AB345" s="2140">
        <v>45816</v>
      </c>
      <c r="AC345" s="2799"/>
      <c r="AD345" s="2799"/>
    </row>
    <row r="346" spans="1:31">
      <c r="A346" s="2140">
        <v>44994</v>
      </c>
      <c r="B346" s="2143" t="s">
        <v>14335</v>
      </c>
      <c r="C346" s="2141" t="s">
        <v>2434</v>
      </c>
      <c r="D346" s="2141" t="s">
        <v>219</v>
      </c>
      <c r="E346" s="2141" t="s">
        <v>655</v>
      </c>
      <c r="F346" s="2142" t="s">
        <v>14336</v>
      </c>
      <c r="G346" s="2141"/>
      <c r="H346" s="2143"/>
      <c r="I346" s="2143" t="s">
        <v>15369</v>
      </c>
      <c r="J346" s="2141" t="s">
        <v>642</v>
      </c>
      <c r="K346" s="2141"/>
      <c r="L346" s="2144">
        <v>1114000</v>
      </c>
      <c r="M346" s="2141" t="s">
        <v>112</v>
      </c>
      <c r="N346" s="2140">
        <v>44998</v>
      </c>
      <c r="O346" s="2140">
        <v>45009</v>
      </c>
      <c r="P346" s="2140">
        <v>45012</v>
      </c>
      <c r="Q346" s="2143" t="s">
        <v>43</v>
      </c>
      <c r="R346" s="2141"/>
      <c r="S346" s="2144">
        <v>1503110</v>
      </c>
      <c r="T346" s="2144">
        <v>1818763.1</v>
      </c>
      <c r="U346" s="2145"/>
      <c r="V346" s="2145"/>
      <c r="W346" s="2145"/>
      <c r="X346" s="2146">
        <v>45012</v>
      </c>
      <c r="Y346" s="2144" t="s">
        <v>14493</v>
      </c>
      <c r="Z346" s="2140">
        <v>45030</v>
      </c>
      <c r="AA346" s="2140">
        <v>45033</v>
      </c>
      <c r="AB346" s="2140">
        <v>45838</v>
      </c>
      <c r="AC346" s="2799"/>
      <c r="AD346" s="2799"/>
    </row>
    <row r="347" spans="1:31" ht="30">
      <c r="A347" s="2140">
        <v>44995</v>
      </c>
      <c r="B347" s="2143" t="s">
        <v>14496</v>
      </c>
      <c r="C347" s="2141" t="s">
        <v>58</v>
      </c>
      <c r="D347" s="2141" t="s">
        <v>4969</v>
      </c>
      <c r="E347" s="2141" t="s">
        <v>13951</v>
      </c>
      <c r="F347" s="2142" t="s">
        <v>14337</v>
      </c>
      <c r="G347" s="2141"/>
      <c r="H347" s="2143"/>
      <c r="I347" s="2143" t="s">
        <v>15369</v>
      </c>
      <c r="J347" s="2141" t="s">
        <v>14338</v>
      </c>
      <c r="K347" s="2141" t="s">
        <v>14339</v>
      </c>
      <c r="L347" s="2144">
        <v>1205101</v>
      </c>
      <c r="M347" s="2141" t="s">
        <v>112</v>
      </c>
      <c r="N347" s="2140">
        <v>44999</v>
      </c>
      <c r="O347" s="2140">
        <v>45020</v>
      </c>
      <c r="P347" s="2140">
        <v>45029</v>
      </c>
      <c r="Q347" s="2143" t="s">
        <v>993</v>
      </c>
      <c r="R347" s="2141"/>
      <c r="S347" s="2144">
        <v>1196878</v>
      </c>
      <c r="T347" s="2144">
        <v>1448221.9</v>
      </c>
      <c r="U347" s="2145"/>
      <c r="V347" s="2145"/>
      <c r="W347" s="2145"/>
      <c r="X347" s="2146">
        <v>45029</v>
      </c>
      <c r="Y347" s="2260" t="s">
        <v>14620</v>
      </c>
      <c r="Z347" s="2140">
        <v>45051</v>
      </c>
      <c r="AA347" s="2140">
        <v>45051</v>
      </c>
      <c r="AB347" s="2140">
        <v>45107</v>
      </c>
      <c r="AC347" s="2799"/>
      <c r="AD347" s="2799"/>
    </row>
    <row r="348" spans="1:31" ht="15.75" thickBot="1">
      <c r="A348" s="416">
        <v>44994</v>
      </c>
      <c r="B348" s="630" t="s">
        <v>14340</v>
      </c>
      <c r="C348" s="411" t="s">
        <v>3678</v>
      </c>
      <c r="D348" s="411" t="s">
        <v>918</v>
      </c>
      <c r="E348" s="411" t="s">
        <v>13951</v>
      </c>
      <c r="F348" s="412" t="s">
        <v>11904</v>
      </c>
      <c r="G348" s="411"/>
      <c r="H348" s="630"/>
      <c r="I348" s="630" t="s">
        <v>15369</v>
      </c>
      <c r="J348" s="411" t="s">
        <v>1518</v>
      </c>
      <c r="K348" s="411"/>
      <c r="L348" s="417">
        <v>1350000</v>
      </c>
      <c r="M348" s="411" t="s">
        <v>112</v>
      </c>
      <c r="N348" s="416">
        <v>45030</v>
      </c>
      <c r="O348" s="416">
        <v>45041</v>
      </c>
      <c r="P348" s="416">
        <v>45050</v>
      </c>
      <c r="Q348" s="630" t="s">
        <v>1597</v>
      </c>
      <c r="R348" s="411"/>
      <c r="S348" s="417">
        <v>1329000</v>
      </c>
      <c r="T348" s="417">
        <v>1608090</v>
      </c>
      <c r="U348" s="1480"/>
      <c r="V348" s="1480"/>
      <c r="W348" s="1480"/>
      <c r="X348" s="513">
        <v>45050</v>
      </c>
      <c r="Y348" s="417" t="s">
        <v>14813</v>
      </c>
      <c r="Z348" s="416">
        <v>45075</v>
      </c>
      <c r="AA348" s="416">
        <v>45075</v>
      </c>
      <c r="AB348" s="416">
        <v>46170</v>
      </c>
      <c r="AC348" s="2799"/>
      <c r="AD348" s="2799"/>
    </row>
    <row r="349" spans="1:31" ht="15.75" thickTop="1">
      <c r="A349" s="443">
        <v>44988</v>
      </c>
      <c r="B349" s="1431" t="s">
        <v>14991</v>
      </c>
      <c r="C349" s="439" t="s">
        <v>52</v>
      </c>
      <c r="D349" s="439" t="s">
        <v>6359</v>
      </c>
      <c r="E349" s="439" t="s">
        <v>13950</v>
      </c>
      <c r="F349" s="440" t="s">
        <v>14341</v>
      </c>
      <c r="G349" s="439">
        <v>1</v>
      </c>
      <c r="H349" s="1431" t="s">
        <v>14671</v>
      </c>
      <c r="I349" s="1431" t="s">
        <v>242</v>
      </c>
      <c r="J349" s="439" t="s">
        <v>33</v>
      </c>
      <c r="K349" s="439"/>
      <c r="L349" s="444">
        <v>161585174.90000001</v>
      </c>
      <c r="M349" s="439" t="s">
        <v>251</v>
      </c>
      <c r="N349" s="443">
        <v>45042</v>
      </c>
      <c r="O349" s="443">
        <v>45077</v>
      </c>
      <c r="P349" s="439"/>
      <c r="Q349" s="753" t="s">
        <v>14996</v>
      </c>
      <c r="R349" s="2015" t="s">
        <v>14997</v>
      </c>
      <c r="S349" s="444"/>
      <c r="T349" s="444"/>
      <c r="U349" s="1481"/>
      <c r="V349" s="1481"/>
      <c r="W349" s="1481"/>
      <c r="X349" s="444"/>
      <c r="Y349" s="444"/>
      <c r="Z349" s="439"/>
      <c r="AA349" s="443">
        <v>45091</v>
      </c>
      <c r="AB349" s="439" t="s">
        <v>14972</v>
      </c>
      <c r="AC349" s="2799"/>
      <c r="AD349" s="2799"/>
    </row>
    <row r="350" spans="1:31">
      <c r="A350" s="2124">
        <v>44988</v>
      </c>
      <c r="B350" s="2127" t="s">
        <v>14992</v>
      </c>
      <c r="C350" s="2125" t="s">
        <v>52</v>
      </c>
      <c r="D350" s="2125" t="s">
        <v>6359</v>
      </c>
      <c r="E350" s="2125" t="s">
        <v>13950</v>
      </c>
      <c r="F350" s="2126" t="s">
        <v>14341</v>
      </c>
      <c r="G350" s="2125">
        <v>2</v>
      </c>
      <c r="H350" s="2127" t="s">
        <v>14672</v>
      </c>
      <c r="I350" s="2127" t="s">
        <v>242</v>
      </c>
      <c r="J350" s="2125" t="s">
        <v>33</v>
      </c>
      <c r="K350" s="2125"/>
      <c r="L350" s="2128">
        <v>117654659.40000001</v>
      </c>
      <c r="M350" s="2125" t="s">
        <v>251</v>
      </c>
      <c r="N350" s="2124">
        <v>45042</v>
      </c>
      <c r="O350" s="2124">
        <v>45077</v>
      </c>
      <c r="P350" s="2125"/>
      <c r="Q350" s="2136" t="s">
        <v>14996</v>
      </c>
      <c r="R350" s="2275" t="s">
        <v>14998</v>
      </c>
      <c r="S350" s="2128"/>
      <c r="T350" s="2128"/>
      <c r="U350" s="2129"/>
      <c r="V350" s="2129"/>
      <c r="W350" s="2129"/>
      <c r="X350" s="2128"/>
      <c r="Y350" s="2128"/>
      <c r="Z350" s="2125"/>
      <c r="AA350" s="2124">
        <v>45091</v>
      </c>
      <c r="AB350" s="2125" t="s">
        <v>14972</v>
      </c>
      <c r="AC350" s="2799"/>
      <c r="AD350" s="2799"/>
    </row>
    <row r="351" spans="1:31" ht="15.75" thickBot="1">
      <c r="A351" s="2130">
        <v>44988</v>
      </c>
      <c r="B351" s="2133" t="s">
        <v>14993</v>
      </c>
      <c r="C351" s="2131" t="s">
        <v>52</v>
      </c>
      <c r="D351" s="2131" t="s">
        <v>6359</v>
      </c>
      <c r="E351" s="2131" t="s">
        <v>13950</v>
      </c>
      <c r="F351" s="2132" t="s">
        <v>14341</v>
      </c>
      <c r="G351" s="2131">
        <v>3</v>
      </c>
      <c r="H351" s="2133" t="s">
        <v>14673</v>
      </c>
      <c r="I351" s="2133" t="s">
        <v>242</v>
      </c>
      <c r="J351" s="2131" t="s">
        <v>33</v>
      </c>
      <c r="K351" s="2131"/>
      <c r="L351" s="2134">
        <v>16718547.119999999</v>
      </c>
      <c r="M351" s="2131" t="s">
        <v>251</v>
      </c>
      <c r="N351" s="2130">
        <v>45042</v>
      </c>
      <c r="O351" s="2130">
        <v>45077</v>
      </c>
      <c r="P351" s="2131"/>
      <c r="Q351" s="2137" t="s">
        <v>14996</v>
      </c>
      <c r="R351" s="2287" t="s">
        <v>14999</v>
      </c>
      <c r="S351" s="2134"/>
      <c r="T351" s="2134"/>
      <c r="U351" s="2135"/>
      <c r="V351" s="2135"/>
      <c r="W351" s="2135"/>
      <c r="X351" s="2134"/>
      <c r="Y351" s="2134"/>
      <c r="Z351" s="2131"/>
      <c r="AA351" s="2130">
        <v>45091</v>
      </c>
      <c r="AB351" s="2131" t="s">
        <v>14972</v>
      </c>
      <c r="AC351" s="2799"/>
      <c r="AD351" s="2799"/>
    </row>
    <row r="352" spans="1:31" ht="30.75" thickTop="1">
      <c r="A352" s="365">
        <v>44995</v>
      </c>
      <c r="B352" s="3192" t="s">
        <v>14342</v>
      </c>
      <c r="C352" s="3191" t="s">
        <v>13843</v>
      </c>
      <c r="D352" s="3191" t="s">
        <v>13844</v>
      </c>
      <c r="E352" s="3191" t="s">
        <v>13949</v>
      </c>
      <c r="F352" s="2142" t="s">
        <v>14343</v>
      </c>
      <c r="G352" s="3191"/>
      <c r="H352" s="3192"/>
      <c r="I352" s="3192" t="s">
        <v>15369</v>
      </c>
      <c r="J352" s="3191" t="s">
        <v>42</v>
      </c>
      <c r="K352" s="3191"/>
      <c r="L352" s="364">
        <v>25008090</v>
      </c>
      <c r="M352" s="3191" t="s">
        <v>251</v>
      </c>
      <c r="N352" s="365">
        <v>45077</v>
      </c>
      <c r="O352" s="365">
        <v>45145</v>
      </c>
      <c r="P352" s="365">
        <v>45202</v>
      </c>
      <c r="Q352" s="3192" t="s">
        <v>15862</v>
      </c>
      <c r="R352" s="3191"/>
      <c r="S352" s="364">
        <v>15690080</v>
      </c>
      <c r="T352" s="364">
        <v>18984996.800000001</v>
      </c>
      <c r="U352" s="1473"/>
      <c r="V352" s="1473"/>
      <c r="W352" s="1473"/>
      <c r="X352" s="681">
        <v>45202</v>
      </c>
      <c r="Y352" s="1417" t="s">
        <v>15914</v>
      </c>
      <c r="Z352" s="365">
        <v>45300</v>
      </c>
      <c r="AA352" s="365">
        <v>45306</v>
      </c>
      <c r="AB352" s="3191" t="s">
        <v>16548</v>
      </c>
      <c r="AC352" s="2799"/>
      <c r="AD352" s="2799"/>
    </row>
    <row r="353" spans="1:31" ht="60.75" thickBot="1">
      <c r="A353" s="416">
        <v>44994</v>
      </c>
      <c r="B353" s="630" t="s">
        <v>14346</v>
      </c>
      <c r="C353" s="411" t="s">
        <v>2434</v>
      </c>
      <c r="D353" s="411" t="s">
        <v>3204</v>
      </c>
      <c r="E353" s="411" t="s">
        <v>13952</v>
      </c>
      <c r="F353" s="412" t="s">
        <v>14348</v>
      </c>
      <c r="G353" s="411"/>
      <c r="H353" s="630"/>
      <c r="I353" s="630" t="s">
        <v>15369</v>
      </c>
      <c r="J353" s="411" t="s">
        <v>642</v>
      </c>
      <c r="K353" s="411"/>
      <c r="L353" s="417">
        <v>7469500</v>
      </c>
      <c r="M353" s="411" t="s">
        <v>251</v>
      </c>
      <c r="N353" s="416">
        <v>45009</v>
      </c>
      <c r="O353" s="416">
        <v>45043</v>
      </c>
      <c r="P353" s="416">
        <v>45085</v>
      </c>
      <c r="Q353" s="630" t="s">
        <v>5696</v>
      </c>
      <c r="R353" s="411"/>
      <c r="S353" s="417">
        <v>7469500</v>
      </c>
      <c r="T353" s="417">
        <v>9038095</v>
      </c>
      <c r="U353" s="1480"/>
      <c r="V353" s="1480"/>
      <c r="W353" s="1480"/>
      <c r="X353" s="513">
        <v>45085</v>
      </c>
      <c r="Y353" s="1553" t="s">
        <v>15085</v>
      </c>
      <c r="Z353" s="2925">
        <v>45145</v>
      </c>
      <c r="AA353" s="416">
        <v>45155</v>
      </c>
      <c r="AB353" s="416">
        <v>46605</v>
      </c>
      <c r="AC353" s="2799"/>
      <c r="AD353" s="2799"/>
    </row>
    <row r="354" spans="1:31" ht="15.75" thickTop="1">
      <c r="A354" s="453" t="s">
        <v>3585</v>
      </c>
      <c r="B354" s="1420" t="s">
        <v>14357</v>
      </c>
      <c r="C354" s="453" t="s">
        <v>69</v>
      </c>
      <c r="D354" s="453" t="s">
        <v>15129</v>
      </c>
      <c r="E354" s="453" t="s">
        <v>13949</v>
      </c>
      <c r="F354" s="473" t="s">
        <v>14358</v>
      </c>
      <c r="G354" s="453">
        <v>1</v>
      </c>
      <c r="H354" s="1420" t="s">
        <v>13934</v>
      </c>
      <c r="I354" s="1420" t="s">
        <v>15369</v>
      </c>
      <c r="J354" s="2269" t="s">
        <v>9104</v>
      </c>
      <c r="K354" s="453"/>
      <c r="L354" s="457">
        <v>1413223</v>
      </c>
      <c r="M354" s="453" t="s">
        <v>251</v>
      </c>
      <c r="N354" s="474">
        <v>45009</v>
      </c>
      <c r="O354" s="474">
        <v>45072</v>
      </c>
      <c r="P354" s="474">
        <v>45105</v>
      </c>
      <c r="Q354" s="1420" t="s">
        <v>1564</v>
      </c>
      <c r="R354" s="453"/>
      <c r="S354" s="457">
        <v>1413222.24</v>
      </c>
      <c r="T354" s="457">
        <v>1554544.46</v>
      </c>
      <c r="U354" s="1474"/>
      <c r="V354" s="1474"/>
      <c r="W354" s="1474"/>
      <c r="X354" s="570">
        <v>45106</v>
      </c>
      <c r="Y354" s="457" t="s">
        <v>15262</v>
      </c>
      <c r="Z354" s="474">
        <v>45138</v>
      </c>
      <c r="AA354" s="474">
        <v>45149</v>
      </c>
      <c r="AB354" s="474">
        <v>46233</v>
      </c>
      <c r="AC354" s="2799"/>
      <c r="AD354" s="2799"/>
    </row>
    <row r="355" spans="1:31">
      <c r="A355" s="2141" t="s">
        <v>3585</v>
      </c>
      <c r="B355" s="2143" t="s">
        <v>14359</v>
      </c>
      <c r="C355" s="2141" t="s">
        <v>69</v>
      </c>
      <c r="D355" s="2141" t="s">
        <v>15129</v>
      </c>
      <c r="E355" s="2141" t="s">
        <v>13949</v>
      </c>
      <c r="F355" s="2142" t="s">
        <v>14358</v>
      </c>
      <c r="G355" s="2141">
        <v>2</v>
      </c>
      <c r="H355" s="2143" t="s">
        <v>13935</v>
      </c>
      <c r="I355" s="2143" t="s">
        <v>15369</v>
      </c>
      <c r="J355" s="2141" t="s">
        <v>9104</v>
      </c>
      <c r="K355" s="2141"/>
      <c r="L355" s="2144">
        <v>6300</v>
      </c>
      <c r="M355" s="2141" t="s">
        <v>251</v>
      </c>
      <c r="N355" s="2140">
        <v>45009</v>
      </c>
      <c r="O355" s="2140">
        <v>45072</v>
      </c>
      <c r="P355" s="2140">
        <v>45105</v>
      </c>
      <c r="Q355" s="2143" t="s">
        <v>993</v>
      </c>
      <c r="R355" s="2141"/>
      <c r="S355" s="2144">
        <v>6300</v>
      </c>
      <c r="T355" s="2144">
        <v>6930</v>
      </c>
      <c r="U355" s="2145"/>
      <c r="V355" s="2145"/>
      <c r="W355" s="2145"/>
      <c r="X355" s="2146">
        <v>45106</v>
      </c>
      <c r="Y355" s="2144" t="s">
        <v>15263</v>
      </c>
      <c r="Z355" s="2140">
        <v>45138</v>
      </c>
      <c r="AA355" s="2140">
        <v>45149</v>
      </c>
      <c r="AB355" s="2140">
        <v>46233</v>
      </c>
      <c r="AC355" s="2799"/>
      <c r="AD355" s="2799"/>
    </row>
    <row r="356" spans="1:31">
      <c r="A356" s="2141" t="s">
        <v>3585</v>
      </c>
      <c r="B356" s="2143" t="s">
        <v>14360</v>
      </c>
      <c r="C356" s="2141" t="s">
        <v>69</v>
      </c>
      <c r="D356" s="2141" t="s">
        <v>15129</v>
      </c>
      <c r="E356" s="2141" t="s">
        <v>13949</v>
      </c>
      <c r="F356" s="2142" t="s">
        <v>14358</v>
      </c>
      <c r="G356" s="2141">
        <v>3</v>
      </c>
      <c r="H356" s="2143" t="s">
        <v>13936</v>
      </c>
      <c r="I356" s="2143" t="s">
        <v>15369</v>
      </c>
      <c r="J356" s="2141" t="s">
        <v>9104</v>
      </c>
      <c r="K356" s="2141"/>
      <c r="L356" s="2144">
        <v>3698100</v>
      </c>
      <c r="M356" s="2141" t="s">
        <v>251</v>
      </c>
      <c r="N356" s="2140">
        <v>45009</v>
      </c>
      <c r="O356" s="2140">
        <v>45072</v>
      </c>
      <c r="P356" s="2140">
        <v>45105</v>
      </c>
      <c r="Q356" s="2143" t="s">
        <v>6071</v>
      </c>
      <c r="R356" s="2141"/>
      <c r="S356" s="2144">
        <v>3477975</v>
      </c>
      <c r="T356" s="2144">
        <v>3825772.5</v>
      </c>
      <c r="U356" s="2145"/>
      <c r="V356" s="2145"/>
      <c r="W356" s="2145"/>
      <c r="X356" s="2146">
        <v>45106</v>
      </c>
      <c r="Y356" s="2144" t="s">
        <v>15266</v>
      </c>
      <c r="Z356" s="2140">
        <v>45138</v>
      </c>
      <c r="AA356" s="2140">
        <v>45149</v>
      </c>
      <c r="AB356" s="2140">
        <v>46233</v>
      </c>
      <c r="AC356" s="2799"/>
      <c r="AD356" s="2799"/>
    </row>
    <row r="357" spans="1:31">
      <c r="A357" s="2141" t="s">
        <v>3585</v>
      </c>
      <c r="B357" s="2143" t="s">
        <v>14361</v>
      </c>
      <c r="C357" s="2141" t="s">
        <v>69</v>
      </c>
      <c r="D357" s="2141" t="s">
        <v>15129</v>
      </c>
      <c r="E357" s="2141" t="s">
        <v>13949</v>
      </c>
      <c r="F357" s="2142" t="s">
        <v>14358</v>
      </c>
      <c r="G357" s="2141">
        <v>4</v>
      </c>
      <c r="H357" s="2143" t="s">
        <v>13937</v>
      </c>
      <c r="I357" s="2143" t="s">
        <v>15369</v>
      </c>
      <c r="J357" s="2141" t="s">
        <v>9104</v>
      </c>
      <c r="K357" s="2141"/>
      <c r="L357" s="2144">
        <v>500550</v>
      </c>
      <c r="M357" s="2141" t="s">
        <v>251</v>
      </c>
      <c r="N357" s="2140">
        <v>45009</v>
      </c>
      <c r="O357" s="2140">
        <v>45072</v>
      </c>
      <c r="P357" s="2140">
        <v>45105</v>
      </c>
      <c r="Q357" s="2143" t="s">
        <v>993</v>
      </c>
      <c r="R357" s="2141"/>
      <c r="S357" s="2144">
        <v>500550</v>
      </c>
      <c r="T357" s="2144">
        <v>550605</v>
      </c>
      <c r="U357" s="2145"/>
      <c r="V357" s="2145"/>
      <c r="W357" s="2145"/>
      <c r="X357" s="2146">
        <v>45106</v>
      </c>
      <c r="Y357" s="2144" t="s">
        <v>15264</v>
      </c>
      <c r="Z357" s="2140">
        <v>45138</v>
      </c>
      <c r="AA357" s="2140">
        <v>45149</v>
      </c>
      <c r="AB357" s="2140">
        <v>46233</v>
      </c>
      <c r="AC357" s="2799"/>
      <c r="AD357" s="2799"/>
    </row>
    <row r="358" spans="1:31">
      <c r="A358" s="2125" t="s">
        <v>3585</v>
      </c>
      <c r="B358" s="2127" t="s">
        <v>14362</v>
      </c>
      <c r="C358" s="2125" t="s">
        <v>69</v>
      </c>
      <c r="D358" s="2125" t="s">
        <v>15129</v>
      </c>
      <c r="E358" s="2125" t="s">
        <v>13949</v>
      </c>
      <c r="F358" s="2126" t="s">
        <v>14358</v>
      </c>
      <c r="G358" s="2125">
        <v>5</v>
      </c>
      <c r="H358" s="2127" t="s">
        <v>13938</v>
      </c>
      <c r="I358" s="2127" t="s">
        <v>242</v>
      </c>
      <c r="J358" s="2125" t="s">
        <v>9104</v>
      </c>
      <c r="K358" s="2125"/>
      <c r="L358" s="2128">
        <v>5822</v>
      </c>
      <c r="M358" s="2125" t="s">
        <v>251</v>
      </c>
      <c r="N358" s="2124">
        <v>45009</v>
      </c>
      <c r="O358" s="2124">
        <v>45072</v>
      </c>
      <c r="P358" s="2125"/>
      <c r="Q358" s="2136" t="s">
        <v>304</v>
      </c>
      <c r="R358" s="2125"/>
      <c r="S358" s="2128"/>
      <c r="T358" s="2128"/>
      <c r="U358" s="2129"/>
      <c r="V358" s="2129"/>
      <c r="W358" s="2129"/>
      <c r="X358" s="2128"/>
      <c r="Y358" s="2128"/>
      <c r="Z358" s="2125"/>
      <c r="AA358" s="2124">
        <v>45082</v>
      </c>
      <c r="AB358" s="2125" t="s">
        <v>15030</v>
      </c>
      <c r="AC358" s="2799"/>
      <c r="AD358" s="2799"/>
    </row>
    <row r="359" spans="1:31" ht="15.75" thickBot="1">
      <c r="A359" s="2118" t="s">
        <v>3585</v>
      </c>
      <c r="B359" s="2120" t="s">
        <v>14363</v>
      </c>
      <c r="C359" s="2118" t="s">
        <v>69</v>
      </c>
      <c r="D359" s="2118" t="s">
        <v>15129</v>
      </c>
      <c r="E359" s="2118" t="s">
        <v>13949</v>
      </c>
      <c r="F359" s="2119" t="s">
        <v>14358</v>
      </c>
      <c r="G359" s="2118">
        <v>6</v>
      </c>
      <c r="H359" s="2120" t="s">
        <v>13939</v>
      </c>
      <c r="I359" s="2120" t="s">
        <v>15369</v>
      </c>
      <c r="J359" s="2118" t="s">
        <v>9104</v>
      </c>
      <c r="K359" s="2118"/>
      <c r="L359" s="2121">
        <v>215260</v>
      </c>
      <c r="M359" s="2118" t="s">
        <v>251</v>
      </c>
      <c r="N359" s="2117">
        <v>45009</v>
      </c>
      <c r="O359" s="2117">
        <v>45072</v>
      </c>
      <c r="P359" s="2117">
        <v>45105</v>
      </c>
      <c r="Q359" s="2120" t="s">
        <v>993</v>
      </c>
      <c r="R359" s="2118"/>
      <c r="S359" s="2121">
        <v>229157.29</v>
      </c>
      <c r="T359" s="2121">
        <v>252073.02</v>
      </c>
      <c r="U359" s="2122"/>
      <c r="V359" s="2122"/>
      <c r="W359" s="2122"/>
      <c r="X359" s="2123">
        <v>45106</v>
      </c>
      <c r="Y359" s="2121" t="s">
        <v>15265</v>
      </c>
      <c r="Z359" s="2117">
        <v>45138</v>
      </c>
      <c r="AA359" s="2117">
        <v>45149</v>
      </c>
      <c r="AB359" s="2117">
        <v>46233</v>
      </c>
      <c r="AC359" s="2799"/>
      <c r="AD359" s="2799"/>
    </row>
    <row r="360" spans="1:31" ht="15.75" thickTop="1">
      <c r="A360" s="453" t="s">
        <v>3585</v>
      </c>
      <c r="B360" s="1420" t="s">
        <v>14364</v>
      </c>
      <c r="C360" s="453" t="s">
        <v>69</v>
      </c>
      <c r="D360" s="453" t="s">
        <v>15129</v>
      </c>
      <c r="E360" s="453" t="s">
        <v>13949</v>
      </c>
      <c r="F360" s="473" t="s">
        <v>14366</v>
      </c>
      <c r="G360" s="453">
        <v>1</v>
      </c>
      <c r="H360" s="1420" t="s">
        <v>13940</v>
      </c>
      <c r="I360" s="1420" t="s">
        <v>15369</v>
      </c>
      <c r="J360" s="453" t="s">
        <v>9104</v>
      </c>
      <c r="K360" s="453"/>
      <c r="L360" s="457">
        <v>3983616</v>
      </c>
      <c r="M360" s="453" t="s">
        <v>251</v>
      </c>
      <c r="N360" s="474">
        <v>45009</v>
      </c>
      <c r="O360" s="474">
        <v>45077</v>
      </c>
      <c r="P360" s="474">
        <v>45105</v>
      </c>
      <c r="Q360" s="1420" t="s">
        <v>993</v>
      </c>
      <c r="R360" s="453"/>
      <c r="S360" s="457">
        <v>3912480</v>
      </c>
      <c r="T360" s="457">
        <v>4303728</v>
      </c>
      <c r="U360" s="1474"/>
      <c r="V360" s="1474"/>
      <c r="W360" s="1474"/>
      <c r="X360" s="570">
        <v>45106</v>
      </c>
      <c r="Y360" s="457" t="s">
        <v>15267</v>
      </c>
      <c r="Z360" s="474">
        <v>45126</v>
      </c>
      <c r="AA360" s="474">
        <v>45131</v>
      </c>
      <c r="AB360" s="474">
        <v>46221</v>
      </c>
      <c r="AC360" s="2799"/>
      <c r="AD360" s="2799"/>
    </row>
    <row r="361" spans="1:31" ht="15.75" thickBot="1">
      <c r="A361" s="2118" t="s">
        <v>3585</v>
      </c>
      <c r="B361" s="2120" t="s">
        <v>14365</v>
      </c>
      <c r="C361" s="2118" t="s">
        <v>69</v>
      </c>
      <c r="D361" s="2118" t="s">
        <v>15129</v>
      </c>
      <c r="E361" s="2118" t="s">
        <v>13949</v>
      </c>
      <c r="F361" s="2119" t="s">
        <v>14366</v>
      </c>
      <c r="G361" s="2118">
        <v>2</v>
      </c>
      <c r="H361" s="2120" t="s">
        <v>13941</v>
      </c>
      <c r="I361" s="2120" t="s">
        <v>15369</v>
      </c>
      <c r="J361" s="2118" t="s">
        <v>9104</v>
      </c>
      <c r="K361" s="2118"/>
      <c r="L361" s="2121">
        <v>980907</v>
      </c>
      <c r="M361" s="2118" t="s">
        <v>251</v>
      </c>
      <c r="N361" s="2117">
        <v>45009</v>
      </c>
      <c r="O361" s="2117">
        <v>45077</v>
      </c>
      <c r="P361" s="2117">
        <v>45105</v>
      </c>
      <c r="Q361" s="2120" t="s">
        <v>993</v>
      </c>
      <c r="R361" s="2118"/>
      <c r="S361" s="2121">
        <v>979800</v>
      </c>
      <c r="T361" s="2121">
        <v>1077780</v>
      </c>
      <c r="U361" s="2122"/>
      <c r="V361" s="2122"/>
      <c r="W361" s="2122"/>
      <c r="X361" s="2123">
        <v>45106</v>
      </c>
      <c r="Y361" s="2121" t="s">
        <v>15268</v>
      </c>
      <c r="Z361" s="2117">
        <v>45126</v>
      </c>
      <c r="AA361" s="2117">
        <v>45131</v>
      </c>
      <c r="AB361" s="2117">
        <v>46221</v>
      </c>
      <c r="AC361" s="2799"/>
      <c r="AD361" s="2799"/>
    </row>
    <row r="362" spans="1:31" ht="15.75" thickTop="1">
      <c r="A362" s="365">
        <v>44998</v>
      </c>
      <c r="B362" s="3192" t="s">
        <v>14367</v>
      </c>
      <c r="C362" s="3191" t="s">
        <v>2111</v>
      </c>
      <c r="D362" s="3191" t="s">
        <v>9080</v>
      </c>
      <c r="E362" s="3191" t="s">
        <v>13951</v>
      </c>
      <c r="F362" s="175" t="s">
        <v>14368</v>
      </c>
      <c r="G362" s="3191"/>
      <c r="H362" s="3192"/>
      <c r="I362" s="3192" t="s">
        <v>15369</v>
      </c>
      <c r="J362" s="3191" t="s">
        <v>14390</v>
      </c>
      <c r="K362" s="3191"/>
      <c r="L362" s="364">
        <v>1775000</v>
      </c>
      <c r="M362" s="3191" t="s">
        <v>112</v>
      </c>
      <c r="N362" s="365">
        <v>45000</v>
      </c>
      <c r="O362" s="365">
        <v>45013</v>
      </c>
      <c r="P362" s="365">
        <v>45020</v>
      </c>
      <c r="Q362" s="3192" t="s">
        <v>14540</v>
      </c>
      <c r="R362" s="3191"/>
      <c r="S362" s="364">
        <v>1489417</v>
      </c>
      <c r="T362" s="364">
        <v>1802194.57</v>
      </c>
      <c r="U362" s="1473"/>
      <c r="V362" s="1473"/>
      <c r="W362" s="1473"/>
      <c r="X362" s="681">
        <v>45036</v>
      </c>
      <c r="Y362" s="364" t="s">
        <v>14660</v>
      </c>
      <c r="Z362" s="365">
        <v>45049</v>
      </c>
      <c r="AA362" s="365">
        <v>45051</v>
      </c>
      <c r="AB362" s="365">
        <v>45138</v>
      </c>
      <c r="AC362" s="2799"/>
      <c r="AD362" s="2799"/>
    </row>
    <row r="363" spans="1:31">
      <c r="A363" s="365">
        <v>45000</v>
      </c>
      <c r="B363" s="3192" t="s">
        <v>14388</v>
      </c>
      <c r="C363" s="3191" t="s">
        <v>2111</v>
      </c>
      <c r="D363" s="3191" t="s">
        <v>9080</v>
      </c>
      <c r="E363" s="3191" t="s">
        <v>655</v>
      </c>
      <c r="F363" s="175" t="s">
        <v>14389</v>
      </c>
      <c r="G363" s="3191"/>
      <c r="H363" s="3192"/>
      <c r="I363" s="3192" t="s">
        <v>15369</v>
      </c>
      <c r="J363" s="3191" t="s">
        <v>2600</v>
      </c>
      <c r="K363" s="3191"/>
      <c r="L363" s="364">
        <v>1125300</v>
      </c>
      <c r="M363" s="3191" t="s">
        <v>112</v>
      </c>
      <c r="N363" s="365">
        <v>45007</v>
      </c>
      <c r="O363" s="365">
        <v>45019</v>
      </c>
      <c r="P363" s="365">
        <v>45042</v>
      </c>
      <c r="Q363" s="3192" t="s">
        <v>14668</v>
      </c>
      <c r="R363" s="3191"/>
      <c r="S363" s="364">
        <v>975000</v>
      </c>
      <c r="T363" s="364">
        <v>1179750</v>
      </c>
      <c r="U363" s="1473"/>
      <c r="V363" s="1473"/>
      <c r="W363" s="1473"/>
      <c r="X363" s="681">
        <v>45042</v>
      </c>
      <c r="Y363" s="364" t="s">
        <v>14724</v>
      </c>
      <c r="Z363" s="365">
        <v>45051</v>
      </c>
      <c r="AA363" s="365">
        <v>45051</v>
      </c>
      <c r="AB363" s="365">
        <v>45416</v>
      </c>
      <c r="AC363" s="2799"/>
      <c r="AD363" s="2799"/>
    </row>
    <row r="364" spans="1:31">
      <c r="A364" s="365" t="s">
        <v>3585</v>
      </c>
      <c r="B364" s="3192" t="s">
        <v>14392</v>
      </c>
      <c r="C364" s="3191" t="s">
        <v>52</v>
      </c>
      <c r="D364" s="3191" t="s">
        <v>3089</v>
      </c>
      <c r="E364" s="3191" t="s">
        <v>13948</v>
      </c>
      <c r="F364" s="175" t="s">
        <v>14393</v>
      </c>
      <c r="G364" s="3191"/>
      <c r="H364" s="3192"/>
      <c r="I364" s="3192" t="s">
        <v>15369</v>
      </c>
      <c r="J364" s="3191" t="s">
        <v>14394</v>
      </c>
      <c r="K364" s="3191"/>
      <c r="L364" s="364">
        <v>2500000</v>
      </c>
      <c r="M364" s="3191" t="s">
        <v>216</v>
      </c>
      <c r="N364" s="365">
        <v>45016</v>
      </c>
      <c r="O364" s="365">
        <v>45044</v>
      </c>
      <c r="P364" s="365">
        <v>45064</v>
      </c>
      <c r="Q364" s="3192" t="s">
        <v>14827</v>
      </c>
      <c r="R364" s="3191"/>
      <c r="S364" s="364">
        <v>2386000</v>
      </c>
      <c r="T364" s="364">
        <v>2887060</v>
      </c>
      <c r="U364" s="1473"/>
      <c r="V364" s="1473"/>
      <c r="W364" s="1473"/>
      <c r="X364" s="681">
        <v>45065</v>
      </c>
      <c r="Y364" s="364" t="s">
        <v>14937</v>
      </c>
      <c r="Z364" s="365">
        <v>45097</v>
      </c>
      <c r="AA364" s="365">
        <v>45103</v>
      </c>
      <c r="AB364" s="365">
        <v>45181</v>
      </c>
      <c r="AC364" s="2799"/>
      <c r="AD364" s="2799"/>
    </row>
    <row r="365" spans="1:31" ht="15.75" thickBot="1">
      <c r="A365" s="416">
        <v>45001</v>
      </c>
      <c r="B365" s="630" t="s">
        <v>14380</v>
      </c>
      <c r="C365" s="411" t="s">
        <v>69</v>
      </c>
      <c r="D365" s="411" t="s">
        <v>15131</v>
      </c>
      <c r="E365" s="411" t="s">
        <v>13948</v>
      </c>
      <c r="F365" s="412" t="s">
        <v>14384</v>
      </c>
      <c r="G365" s="411"/>
      <c r="H365" s="630"/>
      <c r="I365" s="630" t="s">
        <v>15369</v>
      </c>
      <c r="J365" s="411" t="s">
        <v>3225</v>
      </c>
      <c r="K365" s="411"/>
      <c r="L365" s="417">
        <v>16297720</v>
      </c>
      <c r="M365" s="411" t="s">
        <v>251</v>
      </c>
      <c r="N365" s="416">
        <v>45008</v>
      </c>
      <c r="O365" s="416">
        <v>45042</v>
      </c>
      <c r="P365" s="416">
        <v>45058</v>
      </c>
      <c r="Q365" s="630" t="s">
        <v>13761</v>
      </c>
      <c r="R365" s="411"/>
      <c r="S365" s="417">
        <v>16209150.300000001</v>
      </c>
      <c r="T365" s="417">
        <v>17830065.329999998</v>
      </c>
      <c r="U365" s="1480"/>
      <c r="V365" s="1480"/>
      <c r="W365" s="1480"/>
      <c r="X365" s="513">
        <v>45058</v>
      </c>
      <c r="Y365" s="417" t="s">
        <v>14857</v>
      </c>
      <c r="Z365" s="416">
        <v>45096</v>
      </c>
      <c r="AA365" s="416">
        <v>45103</v>
      </c>
      <c r="AB365" s="416">
        <v>46191</v>
      </c>
      <c r="AC365" s="2799"/>
      <c r="AD365" s="2799"/>
    </row>
    <row r="366" spans="1:31" ht="15.75" thickTop="1">
      <c r="A366" s="474">
        <v>45001</v>
      </c>
      <c r="B366" s="1420" t="s">
        <v>14437</v>
      </c>
      <c r="C366" s="453" t="s">
        <v>69</v>
      </c>
      <c r="D366" s="453" t="s">
        <v>15131</v>
      </c>
      <c r="E366" s="453" t="s">
        <v>13948</v>
      </c>
      <c r="F366" s="473" t="s">
        <v>14385</v>
      </c>
      <c r="G366" s="453">
        <v>1</v>
      </c>
      <c r="H366" s="1420" t="s">
        <v>14439</v>
      </c>
      <c r="I366" s="1420" t="s">
        <v>15369</v>
      </c>
      <c r="J366" s="453" t="s">
        <v>3225</v>
      </c>
      <c r="K366" s="453"/>
      <c r="L366" s="457">
        <v>941250</v>
      </c>
      <c r="M366" s="453" t="s">
        <v>251</v>
      </c>
      <c r="N366" s="474">
        <v>45008</v>
      </c>
      <c r="O366" s="474">
        <v>45042</v>
      </c>
      <c r="P366" s="474">
        <v>45058</v>
      </c>
      <c r="Q366" s="1420" t="s">
        <v>576</v>
      </c>
      <c r="R366" s="453"/>
      <c r="S366" s="457">
        <v>941250</v>
      </c>
      <c r="T366" s="457">
        <v>1035375</v>
      </c>
      <c r="U366" s="1474"/>
      <c r="V366" s="1474"/>
      <c r="W366" s="1474"/>
      <c r="X366" s="570">
        <v>45058</v>
      </c>
      <c r="Y366" s="457" t="s">
        <v>14855</v>
      </c>
      <c r="Z366" s="474">
        <v>45084</v>
      </c>
      <c r="AA366" s="474">
        <v>45090</v>
      </c>
      <c r="AB366" s="474">
        <v>46275</v>
      </c>
      <c r="AC366" s="2799"/>
      <c r="AD366" s="2799"/>
      <c r="AE366" s="360" t="s">
        <v>15016</v>
      </c>
    </row>
    <row r="367" spans="1:31" ht="15.75" thickBot="1">
      <c r="A367" s="2117">
        <v>45001</v>
      </c>
      <c r="B367" s="2120" t="s">
        <v>14438</v>
      </c>
      <c r="C367" s="2118" t="s">
        <v>69</v>
      </c>
      <c r="D367" s="2118" t="s">
        <v>15131</v>
      </c>
      <c r="E367" s="2118" t="s">
        <v>13948</v>
      </c>
      <c r="F367" s="2119" t="s">
        <v>14385</v>
      </c>
      <c r="G367" s="2118">
        <v>2</v>
      </c>
      <c r="H367" s="2120" t="s">
        <v>14440</v>
      </c>
      <c r="I367" s="2120" t="s">
        <v>15369</v>
      </c>
      <c r="J367" s="2118" t="s">
        <v>3225</v>
      </c>
      <c r="K367" s="2118"/>
      <c r="L367" s="2121">
        <v>3018872</v>
      </c>
      <c r="M367" s="2118" t="s">
        <v>251</v>
      </c>
      <c r="N367" s="2117">
        <v>45008</v>
      </c>
      <c r="O367" s="2117">
        <v>45042</v>
      </c>
      <c r="P367" s="2117">
        <v>45058</v>
      </c>
      <c r="Q367" s="2120" t="s">
        <v>576</v>
      </c>
      <c r="R367" s="2118"/>
      <c r="S367" s="2121">
        <v>3018871.8</v>
      </c>
      <c r="T367" s="2121">
        <v>3320758.98</v>
      </c>
      <c r="U367" s="2122"/>
      <c r="V367" s="2122"/>
      <c r="W367" s="2122"/>
      <c r="X367" s="2123">
        <v>45058</v>
      </c>
      <c r="Y367" s="2121" t="s">
        <v>14856</v>
      </c>
      <c r="Z367" s="2117">
        <v>45084</v>
      </c>
      <c r="AA367" s="2117">
        <v>45090</v>
      </c>
      <c r="AB367" s="2117">
        <v>46275</v>
      </c>
      <c r="AC367" s="2799"/>
      <c r="AD367" s="2799"/>
      <c r="AE367" s="360" t="s">
        <v>15016</v>
      </c>
    </row>
    <row r="368" spans="1:31" ht="15.75" thickTop="1">
      <c r="A368" s="365">
        <v>45001</v>
      </c>
      <c r="B368" s="3192" t="s">
        <v>14381</v>
      </c>
      <c r="C368" s="3191" t="s">
        <v>69</v>
      </c>
      <c r="D368" s="3191" t="s">
        <v>15131</v>
      </c>
      <c r="E368" s="3191" t="s">
        <v>13948</v>
      </c>
      <c r="F368" s="175" t="s">
        <v>14455</v>
      </c>
      <c r="G368" s="3191"/>
      <c r="H368" s="3192"/>
      <c r="I368" s="3192" t="s">
        <v>15369</v>
      </c>
      <c r="J368" s="3191" t="s">
        <v>68</v>
      </c>
      <c r="K368" s="3191"/>
      <c r="L368" s="364">
        <v>66989825</v>
      </c>
      <c r="M368" s="3191" t="s">
        <v>251</v>
      </c>
      <c r="N368" s="365">
        <v>45009</v>
      </c>
      <c r="O368" s="365">
        <v>45044</v>
      </c>
      <c r="P368" s="365">
        <v>45058</v>
      </c>
      <c r="Q368" s="3192" t="s">
        <v>5566</v>
      </c>
      <c r="R368" s="3191"/>
      <c r="S368" s="364">
        <v>66989824.719999999</v>
      </c>
      <c r="T368" s="364">
        <v>73688807.189999998</v>
      </c>
      <c r="U368" s="1473"/>
      <c r="V368" s="1473"/>
      <c r="W368" s="1473"/>
      <c r="X368" s="681">
        <v>45058</v>
      </c>
      <c r="Y368" s="364" t="s">
        <v>14854</v>
      </c>
      <c r="Z368" s="365">
        <v>45082</v>
      </c>
      <c r="AA368" s="365">
        <v>45089</v>
      </c>
      <c r="AB368" s="365">
        <v>46177</v>
      </c>
      <c r="AC368" s="2799"/>
      <c r="AD368" s="2799"/>
    </row>
    <row r="369" spans="1:31">
      <c r="A369" s="2140">
        <v>45001</v>
      </c>
      <c r="B369" s="2143" t="s">
        <v>14382</v>
      </c>
      <c r="C369" s="2141" t="s">
        <v>69</v>
      </c>
      <c r="D369" s="2141" t="s">
        <v>15131</v>
      </c>
      <c r="E369" s="2141" t="s">
        <v>13948</v>
      </c>
      <c r="F369" s="2142" t="s">
        <v>14386</v>
      </c>
      <c r="G369" s="2141"/>
      <c r="H369" s="2143"/>
      <c r="I369" s="2143" t="s">
        <v>15369</v>
      </c>
      <c r="J369" s="2141" t="s">
        <v>68</v>
      </c>
      <c r="K369" s="2141"/>
      <c r="L369" s="2144">
        <v>8716765</v>
      </c>
      <c r="M369" s="2141" t="s">
        <v>251</v>
      </c>
      <c r="N369" s="2140">
        <v>45009</v>
      </c>
      <c r="O369" s="2140">
        <v>45092</v>
      </c>
      <c r="P369" s="2140">
        <v>45119</v>
      </c>
      <c r="Q369" s="2143" t="s">
        <v>6969</v>
      </c>
      <c r="R369" s="2141"/>
      <c r="S369" s="2144">
        <v>8716764.0899999999</v>
      </c>
      <c r="T369" s="2144">
        <v>9588440.4989999998</v>
      </c>
      <c r="U369" s="2145"/>
      <c r="V369" s="2145"/>
      <c r="W369" s="2145"/>
      <c r="X369" s="2146">
        <v>45119</v>
      </c>
      <c r="Y369" s="2144" t="s">
        <v>15347</v>
      </c>
      <c r="Z369" s="2140">
        <v>45139</v>
      </c>
      <c r="AA369" s="2140">
        <v>45149</v>
      </c>
      <c r="AB369" s="2140">
        <v>46234</v>
      </c>
      <c r="AC369" s="2799"/>
      <c r="AD369" s="2799"/>
    </row>
    <row r="370" spans="1:31">
      <c r="A370" s="2140">
        <v>45001</v>
      </c>
      <c r="B370" s="2143" t="s">
        <v>14383</v>
      </c>
      <c r="C370" s="2141" t="s">
        <v>69</v>
      </c>
      <c r="D370" s="2141" t="s">
        <v>15131</v>
      </c>
      <c r="E370" s="2141" t="s">
        <v>13948</v>
      </c>
      <c r="F370" s="2142" t="s">
        <v>14387</v>
      </c>
      <c r="G370" s="2141"/>
      <c r="H370" s="2143"/>
      <c r="I370" s="2143" t="s">
        <v>15369</v>
      </c>
      <c r="J370" s="2141" t="s">
        <v>68</v>
      </c>
      <c r="K370" s="2141"/>
      <c r="L370" s="2144">
        <v>74925258</v>
      </c>
      <c r="M370" s="2141" t="s">
        <v>251</v>
      </c>
      <c r="N370" s="2140">
        <v>45009</v>
      </c>
      <c r="O370" s="2140">
        <v>45043</v>
      </c>
      <c r="P370" s="2140">
        <v>45050</v>
      </c>
      <c r="Q370" s="2143" t="s">
        <v>576</v>
      </c>
      <c r="R370" s="2141"/>
      <c r="S370" s="2144">
        <v>74925256.420000002</v>
      </c>
      <c r="T370" s="2144">
        <v>82417782.060000002</v>
      </c>
      <c r="U370" s="2145"/>
      <c r="V370" s="2145"/>
      <c r="W370" s="2145"/>
      <c r="X370" s="2146">
        <v>45050</v>
      </c>
      <c r="Y370" s="2144" t="s">
        <v>14818</v>
      </c>
      <c r="Z370" s="2140">
        <v>45072</v>
      </c>
      <c r="AA370" s="2140">
        <v>45077</v>
      </c>
      <c r="AB370" s="2140">
        <v>46167</v>
      </c>
      <c r="AC370" s="2799"/>
      <c r="AD370" s="2799"/>
    </row>
    <row r="371" spans="1:31">
      <c r="A371" s="2140">
        <v>45001</v>
      </c>
      <c r="B371" s="2143" t="s">
        <v>14395</v>
      </c>
      <c r="C371" s="2141" t="s">
        <v>2434</v>
      </c>
      <c r="D371" s="2141" t="s">
        <v>219</v>
      </c>
      <c r="E371" s="2141" t="s">
        <v>13948</v>
      </c>
      <c r="F371" s="2142" t="s">
        <v>14396</v>
      </c>
      <c r="G371" s="2141"/>
      <c r="H371" s="2143"/>
      <c r="I371" s="2143" t="s">
        <v>15369</v>
      </c>
      <c r="J371" s="2141" t="s">
        <v>642</v>
      </c>
      <c r="K371" s="2141"/>
      <c r="L371" s="2144">
        <v>1933330</v>
      </c>
      <c r="M371" s="2141" t="s">
        <v>251</v>
      </c>
      <c r="N371" s="2140">
        <v>45007</v>
      </c>
      <c r="O371" s="2140">
        <v>45042</v>
      </c>
      <c r="P371" s="2140">
        <v>45048</v>
      </c>
      <c r="Q371" s="2143" t="s">
        <v>1433</v>
      </c>
      <c r="R371" s="2141"/>
      <c r="S371" s="2144">
        <v>1932940</v>
      </c>
      <c r="T371" s="2144">
        <v>2338857.4</v>
      </c>
      <c r="U371" s="2145"/>
      <c r="V371" s="2145"/>
      <c r="W371" s="2145"/>
      <c r="X371" s="2146">
        <v>45048</v>
      </c>
      <c r="Y371" s="2144" t="s">
        <v>14801</v>
      </c>
      <c r="Z371" s="2140">
        <v>45083</v>
      </c>
      <c r="AA371" s="2140">
        <v>45089</v>
      </c>
      <c r="AB371" s="2140">
        <v>45813</v>
      </c>
      <c r="AC371" s="2799"/>
      <c r="AD371" s="2799"/>
    </row>
    <row r="372" spans="1:31">
      <c r="A372" s="2140">
        <v>45001</v>
      </c>
      <c r="B372" s="2143" t="s">
        <v>14397</v>
      </c>
      <c r="C372" s="2141" t="s">
        <v>13843</v>
      </c>
      <c r="D372" s="2141" t="s">
        <v>13844</v>
      </c>
      <c r="E372" s="2141" t="s">
        <v>13949</v>
      </c>
      <c r="F372" s="2142" t="s">
        <v>14400</v>
      </c>
      <c r="G372" s="2141"/>
      <c r="H372" s="2143"/>
      <c r="I372" s="2143" t="s">
        <v>15369</v>
      </c>
      <c r="J372" s="2264" t="s">
        <v>14405</v>
      </c>
      <c r="K372" s="2141"/>
      <c r="L372" s="2144">
        <v>500920</v>
      </c>
      <c r="M372" s="2141" t="s">
        <v>112</v>
      </c>
      <c r="N372" s="2140">
        <v>45027</v>
      </c>
      <c r="O372" s="2140">
        <v>45040</v>
      </c>
      <c r="P372" s="2140">
        <v>45049</v>
      </c>
      <c r="Q372" s="2143" t="s">
        <v>5901</v>
      </c>
      <c r="R372" s="2141"/>
      <c r="S372" s="2144">
        <v>490250</v>
      </c>
      <c r="T372" s="2144">
        <v>593202.5</v>
      </c>
      <c r="U372" s="2145"/>
      <c r="V372" s="2145"/>
      <c r="W372" s="2145"/>
      <c r="X372" s="2146">
        <v>45049</v>
      </c>
      <c r="Y372" s="2144" t="s">
        <v>14808</v>
      </c>
      <c r="Z372" s="2140">
        <v>45070</v>
      </c>
      <c r="AA372" s="2140">
        <v>45071</v>
      </c>
      <c r="AB372" s="2141"/>
      <c r="AC372" s="2799"/>
      <c r="AD372" s="2799"/>
    </row>
    <row r="373" spans="1:31">
      <c r="A373" s="2124">
        <v>45002</v>
      </c>
      <c r="B373" s="2127" t="s">
        <v>14398</v>
      </c>
      <c r="C373" s="2125" t="s">
        <v>1754</v>
      </c>
      <c r="D373" s="2125" t="s">
        <v>13</v>
      </c>
      <c r="E373" s="2125" t="s">
        <v>13950</v>
      </c>
      <c r="F373" s="2126" t="s">
        <v>14399</v>
      </c>
      <c r="G373" s="2125"/>
      <c r="H373" s="2127"/>
      <c r="I373" s="2127" t="s">
        <v>242</v>
      </c>
      <c r="J373" s="2125" t="s">
        <v>14401</v>
      </c>
      <c r="K373" s="2125"/>
      <c r="L373" s="2128">
        <v>4636500</v>
      </c>
      <c r="M373" s="2125" t="s">
        <v>251</v>
      </c>
      <c r="N373" s="2124">
        <v>45008</v>
      </c>
      <c r="O373" s="2124">
        <v>45041</v>
      </c>
      <c r="P373" s="2125"/>
      <c r="Q373" s="2136" t="s">
        <v>304</v>
      </c>
      <c r="R373" s="2275" t="s">
        <v>14747</v>
      </c>
      <c r="S373" s="2128"/>
      <c r="T373" s="2128"/>
      <c r="U373" s="2129"/>
      <c r="V373" s="2129"/>
      <c r="W373" s="2129"/>
      <c r="X373" s="2128"/>
      <c r="Y373" s="2128"/>
      <c r="Z373" s="2125"/>
      <c r="AA373" s="2124">
        <v>45051</v>
      </c>
      <c r="AB373" s="2127" t="s">
        <v>14790</v>
      </c>
      <c r="AC373" s="2799"/>
      <c r="AD373" s="2799"/>
    </row>
    <row r="374" spans="1:31">
      <c r="A374" s="2140">
        <v>45002</v>
      </c>
      <c r="B374" s="2143" t="s">
        <v>14402</v>
      </c>
      <c r="C374" s="2141" t="s">
        <v>1032</v>
      </c>
      <c r="D374" s="2141" t="s">
        <v>7475</v>
      </c>
      <c r="E374" s="2141" t="s">
        <v>655</v>
      </c>
      <c r="F374" s="2142" t="s">
        <v>14403</v>
      </c>
      <c r="G374" s="2141"/>
      <c r="H374" s="2143"/>
      <c r="I374" s="2143" t="s">
        <v>15369</v>
      </c>
      <c r="J374" s="2141" t="s">
        <v>14404</v>
      </c>
      <c r="K374" s="2141"/>
      <c r="L374" s="2144">
        <v>1400000</v>
      </c>
      <c r="M374" s="2141" t="s">
        <v>112</v>
      </c>
      <c r="N374" s="2140">
        <v>45007</v>
      </c>
      <c r="O374" s="2140">
        <v>45019</v>
      </c>
      <c r="P374" s="2140">
        <v>45070</v>
      </c>
      <c r="Q374" s="2143" t="s">
        <v>409</v>
      </c>
      <c r="R374" s="2141"/>
      <c r="S374" s="2144">
        <v>984043</v>
      </c>
      <c r="T374" s="2144">
        <v>1190692.03</v>
      </c>
      <c r="U374" s="2145"/>
      <c r="V374" s="2145"/>
      <c r="W374" s="2145"/>
      <c r="X374" s="2146">
        <v>45070</v>
      </c>
      <c r="Y374" s="2144" t="s">
        <v>14968</v>
      </c>
      <c r="Z374" s="2140">
        <v>45084</v>
      </c>
      <c r="AA374" s="2140">
        <v>45085</v>
      </c>
      <c r="AB374" s="2141"/>
      <c r="AC374" s="2799"/>
      <c r="AD374" s="2799"/>
    </row>
    <row r="375" spans="1:31">
      <c r="A375" s="2140">
        <v>45001</v>
      </c>
      <c r="B375" s="2143" t="s">
        <v>14406</v>
      </c>
      <c r="C375" s="2141" t="s">
        <v>69</v>
      </c>
      <c r="D375" s="2141" t="s">
        <v>15129</v>
      </c>
      <c r="E375" s="2141" t="s">
        <v>13951</v>
      </c>
      <c r="F375" s="2142" t="s">
        <v>14407</v>
      </c>
      <c r="G375" s="2141"/>
      <c r="H375" s="2143"/>
      <c r="I375" s="2143" t="s">
        <v>15369</v>
      </c>
      <c r="J375" s="2141" t="s">
        <v>1431</v>
      </c>
      <c r="K375" s="2141"/>
      <c r="L375" s="2144">
        <v>1709316</v>
      </c>
      <c r="M375" s="2141" t="s">
        <v>112</v>
      </c>
      <c r="N375" s="2140">
        <v>45042</v>
      </c>
      <c r="O375" s="2140">
        <v>45055</v>
      </c>
      <c r="P375" s="2140">
        <v>45057</v>
      </c>
      <c r="Q375" s="2143" t="s">
        <v>14850</v>
      </c>
      <c r="R375" s="2141"/>
      <c r="S375" s="2144">
        <v>1709316</v>
      </c>
      <c r="T375" s="2144">
        <v>1965713.4</v>
      </c>
      <c r="U375" s="2145"/>
      <c r="V375" s="2145"/>
      <c r="W375" s="2145"/>
      <c r="X375" s="2146">
        <v>45057</v>
      </c>
      <c r="Y375" s="2144" t="s">
        <v>14849</v>
      </c>
      <c r="Z375" s="2140">
        <v>45076</v>
      </c>
      <c r="AA375" s="2140">
        <v>45079</v>
      </c>
      <c r="AB375" s="2140">
        <v>46275</v>
      </c>
      <c r="AC375" s="2799"/>
      <c r="AD375" s="2799"/>
      <c r="AE375" s="360" t="s">
        <v>15016</v>
      </c>
    </row>
    <row r="376" spans="1:31" ht="30">
      <c r="A376" s="2140">
        <v>45005</v>
      </c>
      <c r="B376" s="2143" t="s">
        <v>14419</v>
      </c>
      <c r="C376" s="2141" t="s">
        <v>58</v>
      </c>
      <c r="D376" s="2141" t="s">
        <v>4969</v>
      </c>
      <c r="E376" s="2141" t="s">
        <v>13951</v>
      </c>
      <c r="F376" s="2142" t="s">
        <v>14420</v>
      </c>
      <c r="G376" s="2141"/>
      <c r="H376" s="2143"/>
      <c r="I376" s="2143" t="s">
        <v>15369</v>
      </c>
      <c r="J376" s="2141" t="s">
        <v>1159</v>
      </c>
      <c r="K376" s="2141" t="s">
        <v>14421</v>
      </c>
      <c r="L376" s="2144">
        <v>190000</v>
      </c>
      <c r="M376" s="2141" t="s">
        <v>112</v>
      </c>
      <c r="N376" s="2140">
        <v>45008</v>
      </c>
      <c r="O376" s="2140">
        <v>45019</v>
      </c>
      <c r="P376" s="2140">
        <v>45029</v>
      </c>
      <c r="Q376" s="2143" t="s">
        <v>4478</v>
      </c>
      <c r="R376" s="2141"/>
      <c r="S376" s="2144">
        <v>122150</v>
      </c>
      <c r="T376" s="2144">
        <v>147801.5</v>
      </c>
      <c r="U376" s="2080"/>
      <c r="V376" s="2080"/>
      <c r="W376" s="2080"/>
      <c r="X376" s="2146">
        <v>45029</v>
      </c>
      <c r="Y376" s="2260" t="s">
        <v>14621</v>
      </c>
      <c r="Z376" s="2140">
        <v>45056</v>
      </c>
      <c r="AA376" s="2140">
        <v>45058</v>
      </c>
      <c r="AB376" s="2140">
        <v>45112</v>
      </c>
      <c r="AC376" s="2799"/>
      <c r="AD376" s="2799"/>
    </row>
    <row r="377" spans="1:31">
      <c r="A377" s="2140">
        <v>45005</v>
      </c>
      <c r="B377" s="2143" t="s">
        <v>14424</v>
      </c>
      <c r="C377" s="2141" t="s">
        <v>69</v>
      </c>
      <c r="D377" s="2141" t="s">
        <v>15131</v>
      </c>
      <c r="E377" s="2141" t="s">
        <v>13948</v>
      </c>
      <c r="F377" s="2142" t="s">
        <v>14425</v>
      </c>
      <c r="G377" s="2141"/>
      <c r="H377" s="2143"/>
      <c r="I377" s="2143" t="s">
        <v>15369</v>
      </c>
      <c r="J377" s="2141" t="s">
        <v>93</v>
      </c>
      <c r="K377" s="2141"/>
      <c r="L377" s="2144">
        <v>6375732</v>
      </c>
      <c r="M377" s="2141" t="s">
        <v>251</v>
      </c>
      <c r="N377" s="2140">
        <v>45022</v>
      </c>
      <c r="O377" s="2140">
        <v>45057</v>
      </c>
      <c r="P377" s="2140">
        <v>45086</v>
      </c>
      <c r="Q377" s="2143" t="s">
        <v>2518</v>
      </c>
      <c r="R377" s="2141"/>
      <c r="S377" s="2144">
        <v>6375731.04</v>
      </c>
      <c r="T377" s="2144">
        <v>7013304.1399999997</v>
      </c>
      <c r="U377" s="2145"/>
      <c r="V377" s="2145"/>
      <c r="W377" s="2145"/>
      <c r="X377" s="2146">
        <v>45086</v>
      </c>
      <c r="Y377" s="2144" t="s">
        <v>15089</v>
      </c>
      <c r="Z377" s="2140">
        <v>45120</v>
      </c>
      <c r="AA377" s="2140">
        <v>45124</v>
      </c>
      <c r="AB377" s="2140">
        <v>46215</v>
      </c>
      <c r="AC377" s="2799"/>
      <c r="AD377" s="2799"/>
    </row>
    <row r="378" spans="1:31">
      <c r="A378" s="2140">
        <v>45006</v>
      </c>
      <c r="B378" s="2143" t="s">
        <v>14423</v>
      </c>
      <c r="C378" s="2141" t="s">
        <v>2111</v>
      </c>
      <c r="D378" s="2141" t="s">
        <v>9080</v>
      </c>
      <c r="E378" s="2141" t="s">
        <v>13951</v>
      </c>
      <c r="F378" s="2142" t="s">
        <v>14430</v>
      </c>
      <c r="G378" s="2141"/>
      <c r="H378" s="2143"/>
      <c r="I378" s="2143" t="s">
        <v>15369</v>
      </c>
      <c r="J378" s="2264" t="s">
        <v>2113</v>
      </c>
      <c r="K378" s="2141"/>
      <c r="L378" s="2144">
        <v>271890</v>
      </c>
      <c r="M378" s="2141" t="s">
        <v>112</v>
      </c>
      <c r="N378" s="2140">
        <v>45012</v>
      </c>
      <c r="O378" s="2140">
        <v>45027</v>
      </c>
      <c r="P378" s="2140">
        <v>45029</v>
      </c>
      <c r="Q378" s="2143" t="s">
        <v>14618</v>
      </c>
      <c r="R378" s="2141"/>
      <c r="S378" s="2144">
        <v>199490</v>
      </c>
      <c r="T378" s="2144">
        <v>241382.9</v>
      </c>
      <c r="U378" s="2145"/>
      <c r="V378" s="2145"/>
      <c r="W378" s="2145"/>
      <c r="X378" s="2146">
        <v>45030</v>
      </c>
      <c r="Y378" s="2144" t="s">
        <v>14622</v>
      </c>
      <c r="Z378" s="2140">
        <v>45051</v>
      </c>
      <c r="AA378" s="2140">
        <v>45051</v>
      </c>
      <c r="AB378" s="2141"/>
      <c r="AC378" s="2799"/>
      <c r="AD378" s="2799"/>
    </row>
    <row r="379" spans="1:31">
      <c r="A379" s="2140">
        <v>45000</v>
      </c>
      <c r="B379" s="2143" t="s">
        <v>14431</v>
      </c>
      <c r="C379" s="2141" t="s">
        <v>1754</v>
      </c>
      <c r="D379" s="2141" t="s">
        <v>13</v>
      </c>
      <c r="E379" s="2141" t="s">
        <v>13950</v>
      </c>
      <c r="F379" s="2142" t="s">
        <v>14432</v>
      </c>
      <c r="G379" s="2141"/>
      <c r="H379" s="2143"/>
      <c r="I379" s="2143" t="s">
        <v>15369</v>
      </c>
      <c r="J379" s="2141" t="s">
        <v>1891</v>
      </c>
      <c r="K379" s="2141"/>
      <c r="L379" s="2144">
        <v>3380000</v>
      </c>
      <c r="M379" s="2141" t="s">
        <v>251</v>
      </c>
      <c r="N379" s="2140">
        <v>45022</v>
      </c>
      <c r="O379" s="2140">
        <v>45055</v>
      </c>
      <c r="P379" s="2140">
        <v>45078</v>
      </c>
      <c r="Q379" s="2143" t="s">
        <v>3222</v>
      </c>
      <c r="R379" s="2141"/>
      <c r="S379" s="2144">
        <v>1680000</v>
      </c>
      <c r="T379" s="2144">
        <v>2032800</v>
      </c>
      <c r="U379" s="2145"/>
      <c r="V379" s="2145"/>
      <c r="W379" s="2145"/>
      <c r="X379" s="2146">
        <v>45078</v>
      </c>
      <c r="Y379" s="2144" t="s">
        <v>15027</v>
      </c>
      <c r="Z379" s="2140">
        <v>45086</v>
      </c>
      <c r="AA379" s="2140">
        <v>45100</v>
      </c>
      <c r="AB379" s="2141" t="s">
        <v>4096</v>
      </c>
      <c r="AC379" s="2799"/>
      <c r="AD379" s="2799"/>
    </row>
    <row r="380" spans="1:31">
      <c r="A380" s="2140">
        <v>45006</v>
      </c>
      <c r="B380" s="2143" t="s">
        <v>14433</v>
      </c>
      <c r="C380" s="2141" t="s">
        <v>2111</v>
      </c>
      <c r="D380" s="2141" t="s">
        <v>9080</v>
      </c>
      <c r="E380" s="2141" t="s">
        <v>655</v>
      </c>
      <c r="F380" s="2142" t="s">
        <v>14434</v>
      </c>
      <c r="G380" s="2141"/>
      <c r="H380" s="2143"/>
      <c r="I380" s="2143" t="s">
        <v>15369</v>
      </c>
      <c r="J380" s="2141" t="s">
        <v>14426</v>
      </c>
      <c r="K380" s="2141"/>
      <c r="L380" s="2144">
        <v>744000</v>
      </c>
      <c r="M380" s="2141" t="s">
        <v>112</v>
      </c>
      <c r="N380" s="2140">
        <v>45009</v>
      </c>
      <c r="O380" s="2140">
        <v>45030</v>
      </c>
      <c r="P380" s="2140">
        <v>45037</v>
      </c>
      <c r="Q380" s="2143" t="s">
        <v>14864</v>
      </c>
      <c r="R380" s="2143" t="s">
        <v>14863</v>
      </c>
      <c r="S380" s="2144">
        <v>704000</v>
      </c>
      <c r="T380" s="2144">
        <v>851840</v>
      </c>
      <c r="U380" s="2145"/>
      <c r="V380" s="2145"/>
      <c r="W380" s="2145"/>
      <c r="X380" s="2146">
        <v>45062</v>
      </c>
      <c r="Y380" s="2144" t="s">
        <v>14862</v>
      </c>
      <c r="Z380" s="2140">
        <v>45078</v>
      </c>
      <c r="AA380" s="2140">
        <v>45078</v>
      </c>
      <c r="AB380" s="2140">
        <v>45443</v>
      </c>
      <c r="AC380" s="2799"/>
      <c r="AD380" s="2799"/>
    </row>
    <row r="381" spans="1:31">
      <c r="A381" s="2344">
        <v>45007</v>
      </c>
      <c r="B381" s="2346" t="s">
        <v>14441</v>
      </c>
      <c r="C381" s="2799" t="s">
        <v>52</v>
      </c>
      <c r="D381" s="2799" t="s">
        <v>3089</v>
      </c>
      <c r="E381" s="2799" t="s">
        <v>13950</v>
      </c>
      <c r="F381" s="2345" t="s">
        <v>14442</v>
      </c>
      <c r="G381" s="2799"/>
      <c r="H381" s="2156" t="s">
        <v>16693</v>
      </c>
      <c r="I381" s="2346" t="s">
        <v>15370</v>
      </c>
      <c r="J381" s="2799" t="s">
        <v>14443</v>
      </c>
      <c r="K381" s="2799"/>
      <c r="L381" s="2347">
        <v>25000000</v>
      </c>
      <c r="M381" s="2799" t="s">
        <v>251</v>
      </c>
      <c r="N381" s="2799"/>
      <c r="O381" s="2799"/>
      <c r="P381" s="2799"/>
      <c r="Q381" s="2346"/>
      <c r="R381" s="2799"/>
      <c r="S381" s="2347"/>
      <c r="T381" s="2347"/>
      <c r="U381" s="2348"/>
      <c r="V381" s="2348"/>
      <c r="W381" s="2348"/>
      <c r="X381" s="2347"/>
      <c r="Y381" s="2347"/>
      <c r="Z381" s="2799"/>
      <c r="AA381" s="2799"/>
      <c r="AB381" s="2799"/>
      <c r="AC381" s="2799"/>
      <c r="AD381" s="2799"/>
    </row>
    <row r="382" spans="1:31" ht="15.75" thickBot="1">
      <c r="A382" s="416">
        <v>45007</v>
      </c>
      <c r="B382" s="630" t="s">
        <v>14444</v>
      </c>
      <c r="C382" s="411" t="s">
        <v>52</v>
      </c>
      <c r="D382" s="411" t="s">
        <v>7503</v>
      </c>
      <c r="E382" s="411" t="s">
        <v>13951</v>
      </c>
      <c r="F382" s="412" t="s">
        <v>14445</v>
      </c>
      <c r="G382" s="411"/>
      <c r="H382" s="630"/>
      <c r="I382" s="630" t="s">
        <v>15369</v>
      </c>
      <c r="J382" s="411" t="s">
        <v>33</v>
      </c>
      <c r="K382" s="416" t="s">
        <v>3982</v>
      </c>
      <c r="L382" s="417">
        <v>4200000</v>
      </c>
      <c r="M382" s="411" t="s">
        <v>112</v>
      </c>
      <c r="N382" s="416">
        <v>45012</v>
      </c>
      <c r="O382" s="416">
        <v>45030</v>
      </c>
      <c r="P382" s="416">
        <v>45034</v>
      </c>
      <c r="Q382" s="630" t="s">
        <v>3503</v>
      </c>
      <c r="R382" s="411"/>
      <c r="S382" s="417">
        <v>4143067</v>
      </c>
      <c r="T382" s="417">
        <v>5013111.07</v>
      </c>
      <c r="U382" s="1480"/>
      <c r="V382" s="1480"/>
      <c r="W382" s="1480"/>
      <c r="X382" s="513">
        <v>45034</v>
      </c>
      <c r="Y382" s="417" t="s">
        <v>14657</v>
      </c>
      <c r="Z382" s="416">
        <v>45075</v>
      </c>
      <c r="AA382" s="416">
        <v>45075</v>
      </c>
      <c r="AB382" s="411"/>
      <c r="AC382" s="2799"/>
      <c r="AD382" s="2799"/>
    </row>
    <row r="383" spans="1:31" ht="30.75" thickTop="1">
      <c r="A383" s="474">
        <v>45007</v>
      </c>
      <c r="B383" s="1420" t="s">
        <v>14446</v>
      </c>
      <c r="C383" s="453" t="s">
        <v>58</v>
      </c>
      <c r="D383" s="453" t="s">
        <v>4969</v>
      </c>
      <c r="E383" s="453" t="s">
        <v>655</v>
      </c>
      <c r="F383" s="473" t="s">
        <v>7372</v>
      </c>
      <c r="G383" s="453">
        <v>1</v>
      </c>
      <c r="H383" s="1420" t="s">
        <v>14447</v>
      </c>
      <c r="I383" s="1420" t="s">
        <v>15369</v>
      </c>
      <c r="J383" s="453" t="s">
        <v>1924</v>
      </c>
      <c r="K383" s="453" t="s">
        <v>14448</v>
      </c>
      <c r="L383" s="457">
        <v>119280</v>
      </c>
      <c r="M383" s="453" t="s">
        <v>112</v>
      </c>
      <c r="N383" s="474">
        <v>45009</v>
      </c>
      <c r="O383" s="474">
        <v>45027</v>
      </c>
      <c r="P383" s="474">
        <v>45034</v>
      </c>
      <c r="Q383" s="1420" t="s">
        <v>9720</v>
      </c>
      <c r="R383" s="453"/>
      <c r="S383" s="457">
        <v>83250</v>
      </c>
      <c r="T383" s="457">
        <v>100732.5</v>
      </c>
      <c r="U383" s="1474"/>
      <c r="V383" s="1474"/>
      <c r="W383" s="1474"/>
      <c r="X383" s="570">
        <v>45034</v>
      </c>
      <c r="Y383" s="1387" t="s">
        <v>14654</v>
      </c>
      <c r="Z383" s="474">
        <v>45051</v>
      </c>
      <c r="AA383" s="474">
        <v>45058</v>
      </c>
      <c r="AB383" s="474">
        <v>45102</v>
      </c>
      <c r="AC383" s="2799"/>
      <c r="AD383" s="2799"/>
    </row>
    <row r="384" spans="1:31" ht="30.75" thickBot="1">
      <c r="A384" s="2117">
        <v>45007</v>
      </c>
      <c r="B384" s="2120" t="s">
        <v>14449</v>
      </c>
      <c r="C384" s="2118" t="s">
        <v>58</v>
      </c>
      <c r="D384" s="2118" t="s">
        <v>4969</v>
      </c>
      <c r="E384" s="2118" t="s">
        <v>655</v>
      </c>
      <c r="F384" s="2119" t="s">
        <v>7372</v>
      </c>
      <c r="G384" s="2118">
        <v>2</v>
      </c>
      <c r="H384" s="2120" t="s">
        <v>8967</v>
      </c>
      <c r="I384" s="2120" t="s">
        <v>15369</v>
      </c>
      <c r="J384" s="2118" t="s">
        <v>1924</v>
      </c>
      <c r="K384" s="2118" t="s">
        <v>14448</v>
      </c>
      <c r="L384" s="2121">
        <v>310000</v>
      </c>
      <c r="M384" s="2118" t="s">
        <v>112</v>
      </c>
      <c r="N384" s="2117">
        <v>45009</v>
      </c>
      <c r="O384" s="2117">
        <v>45027</v>
      </c>
      <c r="P384" s="2117">
        <v>45034</v>
      </c>
      <c r="Q384" s="2120" t="s">
        <v>4478</v>
      </c>
      <c r="R384" s="2118"/>
      <c r="S384" s="2121">
        <v>247250</v>
      </c>
      <c r="T384" s="2121">
        <v>299172.5</v>
      </c>
      <c r="U384" s="2122"/>
      <c r="V384" s="2122"/>
      <c r="W384" s="2122"/>
      <c r="X384" s="2123">
        <v>45034</v>
      </c>
      <c r="Y384" s="2246" t="s">
        <v>14655</v>
      </c>
      <c r="Z384" s="2117">
        <v>45057</v>
      </c>
      <c r="AA384" s="2117">
        <v>45058</v>
      </c>
      <c r="AB384" s="2117">
        <v>45113</v>
      </c>
      <c r="AC384" s="2799"/>
      <c r="AD384" s="2799"/>
    </row>
    <row r="385" spans="1:31" ht="15.75" thickTop="1">
      <c r="A385" s="365">
        <v>45008</v>
      </c>
      <c r="B385" s="3192" t="s">
        <v>14451</v>
      </c>
      <c r="C385" s="3191" t="s">
        <v>1754</v>
      </c>
      <c r="D385" s="3191" t="s">
        <v>1753</v>
      </c>
      <c r="E385" s="3191" t="s">
        <v>13950</v>
      </c>
      <c r="F385" s="175" t="s">
        <v>14452</v>
      </c>
      <c r="G385" s="3191"/>
      <c r="H385" s="3192"/>
      <c r="I385" s="3192" t="s">
        <v>15369</v>
      </c>
      <c r="J385" s="3191" t="s">
        <v>14453</v>
      </c>
      <c r="K385" s="3191"/>
      <c r="L385" s="364">
        <v>3920000</v>
      </c>
      <c r="M385" s="3191" t="s">
        <v>251</v>
      </c>
      <c r="N385" s="365">
        <v>45012</v>
      </c>
      <c r="O385" s="365">
        <v>45058</v>
      </c>
      <c r="P385" s="365">
        <v>45062</v>
      </c>
      <c r="Q385" s="3192" t="s">
        <v>14872</v>
      </c>
      <c r="R385" s="3191"/>
      <c r="S385" s="364">
        <v>3741000</v>
      </c>
      <c r="T385" s="364">
        <v>4526610</v>
      </c>
      <c r="U385" s="1473"/>
      <c r="V385" s="1473"/>
      <c r="W385" s="1473"/>
      <c r="X385" s="681">
        <v>45062</v>
      </c>
      <c r="Y385" s="364" t="s">
        <v>14881</v>
      </c>
      <c r="Z385" s="365">
        <v>45068</v>
      </c>
      <c r="AA385" s="365">
        <v>45072</v>
      </c>
      <c r="AB385" s="3191"/>
      <c r="AC385" s="2799"/>
      <c r="AD385" s="2799"/>
    </row>
    <row r="386" spans="1:31">
      <c r="A386" s="2140">
        <v>45008</v>
      </c>
      <c r="B386" s="2143" t="s">
        <v>14456</v>
      </c>
      <c r="C386" s="2141" t="s">
        <v>69</v>
      </c>
      <c r="D386" s="2141" t="s">
        <v>15129</v>
      </c>
      <c r="E386" s="2141" t="s">
        <v>13949</v>
      </c>
      <c r="F386" s="2142" t="s">
        <v>14457</v>
      </c>
      <c r="G386" s="2141"/>
      <c r="H386" s="2143"/>
      <c r="I386" s="2143" t="s">
        <v>15369</v>
      </c>
      <c r="J386" s="2141" t="s">
        <v>3237</v>
      </c>
      <c r="K386" s="2141"/>
      <c r="L386" s="2144">
        <v>38897076</v>
      </c>
      <c r="M386" s="2141" t="s">
        <v>251</v>
      </c>
      <c r="N386" s="2140">
        <v>45027</v>
      </c>
      <c r="O386" s="2140">
        <v>45092</v>
      </c>
      <c r="P386" s="2140">
        <v>45128</v>
      </c>
      <c r="Q386" s="2143" t="s">
        <v>576</v>
      </c>
      <c r="R386" s="2141"/>
      <c r="S386" s="2144">
        <v>35186580</v>
      </c>
      <c r="T386" s="2144">
        <v>38705238</v>
      </c>
      <c r="U386" s="2145"/>
      <c r="V386" s="2145"/>
      <c r="W386" s="2145"/>
      <c r="X386" s="2146">
        <v>45128</v>
      </c>
      <c r="Y386" s="2144" t="s">
        <v>15407</v>
      </c>
      <c r="Z386" s="2140">
        <v>45149</v>
      </c>
      <c r="AA386" s="2140">
        <v>45154</v>
      </c>
      <c r="AB386" s="2140">
        <v>46244</v>
      </c>
      <c r="AC386" s="2799"/>
      <c r="AD386" s="2799"/>
    </row>
    <row r="387" spans="1:31">
      <c r="A387" s="2124">
        <v>45008</v>
      </c>
      <c r="B387" s="2127" t="s">
        <v>14458</v>
      </c>
      <c r="C387" s="2125" t="s">
        <v>69</v>
      </c>
      <c r="D387" s="2125" t="s">
        <v>15129</v>
      </c>
      <c r="E387" s="2125" t="s">
        <v>13949</v>
      </c>
      <c r="F387" s="2126" t="s">
        <v>14459</v>
      </c>
      <c r="G387" s="2125"/>
      <c r="H387" s="2127"/>
      <c r="I387" s="2127" t="s">
        <v>242</v>
      </c>
      <c r="J387" s="2125" t="s">
        <v>3237</v>
      </c>
      <c r="K387" s="2125"/>
      <c r="L387" s="2128">
        <v>13061671</v>
      </c>
      <c r="M387" s="2125" t="s">
        <v>251</v>
      </c>
      <c r="N387" s="2124">
        <v>45029</v>
      </c>
      <c r="O387" s="2124">
        <v>45065</v>
      </c>
      <c r="P387" s="2125"/>
      <c r="Q387" s="2136" t="s">
        <v>4964</v>
      </c>
      <c r="R387" s="2125"/>
      <c r="S387" s="2128"/>
      <c r="T387" s="2128"/>
      <c r="U387" s="2129"/>
      <c r="V387" s="2129"/>
      <c r="W387" s="2129"/>
      <c r="X387" s="2128"/>
      <c r="Y387" s="2128"/>
      <c r="Z387" s="2125"/>
      <c r="AA387" s="2124">
        <v>45069</v>
      </c>
      <c r="AB387" s="2125" t="s">
        <v>14934</v>
      </c>
      <c r="AC387" s="2799"/>
      <c r="AD387" s="2799"/>
    </row>
    <row r="388" spans="1:31" ht="45">
      <c r="A388" s="2140">
        <v>45008</v>
      </c>
      <c r="B388" s="2143" t="s">
        <v>14460</v>
      </c>
      <c r="C388" s="2141" t="s">
        <v>58</v>
      </c>
      <c r="D388" s="2141" t="s">
        <v>4969</v>
      </c>
      <c r="E388" s="2141" t="s">
        <v>13952</v>
      </c>
      <c r="F388" s="2142" t="s">
        <v>14461</v>
      </c>
      <c r="G388" s="2141"/>
      <c r="H388" s="2143"/>
      <c r="I388" s="2143" t="s">
        <v>15369</v>
      </c>
      <c r="J388" s="2141" t="s">
        <v>737</v>
      </c>
      <c r="K388" s="2141" t="s">
        <v>4238</v>
      </c>
      <c r="L388" s="2144">
        <v>6995858</v>
      </c>
      <c r="M388" s="2141" t="s">
        <v>251</v>
      </c>
      <c r="N388" s="2140">
        <v>45022</v>
      </c>
      <c r="O388" s="2140">
        <v>45086</v>
      </c>
      <c r="P388" s="2140">
        <v>45175</v>
      </c>
      <c r="Q388" s="2143" t="s">
        <v>12176</v>
      </c>
      <c r="R388" s="2141"/>
      <c r="S388" s="2144">
        <v>6995220</v>
      </c>
      <c r="T388" s="2144">
        <v>8464216.1999999993</v>
      </c>
      <c r="U388" s="2145"/>
      <c r="V388" s="2145"/>
      <c r="W388" s="2145"/>
      <c r="X388" s="2146">
        <v>45175</v>
      </c>
      <c r="Y388" s="2260" t="s">
        <v>15781</v>
      </c>
      <c r="Z388" s="2140">
        <v>45210</v>
      </c>
      <c r="AA388" s="2140">
        <v>45223</v>
      </c>
      <c r="AB388" s="2140">
        <v>45294</v>
      </c>
      <c r="AC388" s="2799"/>
      <c r="AD388" s="2799"/>
    </row>
    <row r="389" spans="1:31" ht="30">
      <c r="A389" s="2140">
        <v>45009</v>
      </c>
      <c r="B389" s="2143" t="s">
        <v>14462</v>
      </c>
      <c r="C389" s="2141" t="s">
        <v>58</v>
      </c>
      <c r="D389" s="2141" t="s">
        <v>4969</v>
      </c>
      <c r="E389" s="2141" t="s">
        <v>13951</v>
      </c>
      <c r="F389" s="2142" t="s">
        <v>14463</v>
      </c>
      <c r="G389" s="2141"/>
      <c r="H389" s="2143"/>
      <c r="I389" s="2143" t="s">
        <v>15369</v>
      </c>
      <c r="J389" s="2141" t="s">
        <v>62</v>
      </c>
      <c r="K389" s="2141" t="s">
        <v>14464</v>
      </c>
      <c r="L389" s="2144">
        <v>1080000</v>
      </c>
      <c r="M389" s="2141" t="s">
        <v>112</v>
      </c>
      <c r="N389" s="2140">
        <v>45014</v>
      </c>
      <c r="O389" s="2140">
        <v>45027</v>
      </c>
      <c r="P389" s="2140">
        <v>45040</v>
      </c>
      <c r="Q389" s="2143" t="s">
        <v>14634</v>
      </c>
      <c r="R389" s="2141"/>
      <c r="S389" s="2144">
        <v>982000</v>
      </c>
      <c r="T389" s="2144">
        <v>1188220</v>
      </c>
      <c r="U389" s="2094"/>
      <c r="V389" s="2094"/>
      <c r="W389" s="2094"/>
      <c r="X389" s="2146">
        <v>45040</v>
      </c>
      <c r="Y389" s="2260" t="s">
        <v>14680</v>
      </c>
      <c r="Z389" s="2140">
        <v>45055</v>
      </c>
      <c r="AA389" s="2140">
        <v>45056</v>
      </c>
      <c r="AB389" s="2140">
        <v>45125</v>
      </c>
      <c r="AC389" s="2799"/>
      <c r="AD389" s="2799"/>
    </row>
    <row r="390" spans="1:31" ht="30">
      <c r="A390" s="2140">
        <v>45009</v>
      </c>
      <c r="B390" s="2143" t="s">
        <v>14466</v>
      </c>
      <c r="C390" s="2141" t="s">
        <v>58</v>
      </c>
      <c r="D390" s="2141" t="s">
        <v>4969</v>
      </c>
      <c r="E390" s="2141" t="s">
        <v>13948</v>
      </c>
      <c r="F390" s="2517" t="s">
        <v>14467</v>
      </c>
      <c r="G390" s="2141"/>
      <c r="H390" s="2143"/>
      <c r="I390" s="2143" t="s">
        <v>15369</v>
      </c>
      <c r="J390" s="2141" t="s">
        <v>62</v>
      </c>
      <c r="K390" s="2141" t="s">
        <v>14468</v>
      </c>
      <c r="L390" s="2144">
        <v>3980000</v>
      </c>
      <c r="M390" s="2141" t="s">
        <v>251</v>
      </c>
      <c r="N390" s="2140">
        <v>45019</v>
      </c>
      <c r="O390" s="2140">
        <v>45055</v>
      </c>
      <c r="P390" s="2140">
        <v>45078</v>
      </c>
      <c r="Q390" s="2143" t="s">
        <v>1728</v>
      </c>
      <c r="R390" s="2141"/>
      <c r="S390" s="2144">
        <v>3977110</v>
      </c>
      <c r="T390" s="2144">
        <v>4812303.0999999996</v>
      </c>
      <c r="U390" s="2145"/>
      <c r="V390" s="2145"/>
      <c r="W390" s="2145"/>
      <c r="X390" s="2146">
        <v>45078</v>
      </c>
      <c r="Y390" s="2260" t="s">
        <v>15029</v>
      </c>
      <c r="Z390" s="2140">
        <v>45105</v>
      </c>
      <c r="AA390" s="2140">
        <v>45117</v>
      </c>
      <c r="AB390" s="2140">
        <v>45217</v>
      </c>
      <c r="AC390" s="2799"/>
      <c r="AD390" s="2799"/>
    </row>
    <row r="391" spans="1:31" ht="15.75" thickBot="1">
      <c r="A391" s="643">
        <v>45012</v>
      </c>
      <c r="B391" s="1533" t="s">
        <v>14469</v>
      </c>
      <c r="C391" s="639" t="s">
        <v>2434</v>
      </c>
      <c r="D391" s="639" t="s">
        <v>3204</v>
      </c>
      <c r="E391" s="639" t="s">
        <v>13952</v>
      </c>
      <c r="F391" s="640" t="s">
        <v>14470</v>
      </c>
      <c r="G391" s="639"/>
      <c r="H391" s="1533"/>
      <c r="I391" s="1533" t="s">
        <v>242</v>
      </c>
      <c r="J391" s="639" t="s">
        <v>2800</v>
      </c>
      <c r="K391" s="639"/>
      <c r="L391" s="2901">
        <v>2700000</v>
      </c>
      <c r="M391" s="639" t="s">
        <v>251</v>
      </c>
      <c r="N391" s="643">
        <v>45051</v>
      </c>
      <c r="O391" s="643">
        <v>45085</v>
      </c>
      <c r="P391" s="639"/>
      <c r="Q391" s="644" t="s">
        <v>4505</v>
      </c>
      <c r="R391" s="831" t="s">
        <v>16173</v>
      </c>
      <c r="S391" s="645"/>
      <c r="T391" s="645"/>
      <c r="U391" s="1534"/>
      <c r="V391" s="1534"/>
      <c r="W391" s="1534"/>
      <c r="X391" s="645"/>
      <c r="Y391" s="645"/>
      <c r="Z391" s="639"/>
      <c r="AA391" s="643">
        <v>45126</v>
      </c>
      <c r="AB391" s="1533" t="s">
        <v>15313</v>
      </c>
      <c r="AC391" s="2799"/>
      <c r="AD391" s="2799"/>
    </row>
    <row r="392" spans="1:31" ht="15.75" thickTop="1">
      <c r="A392" s="474">
        <v>45009</v>
      </c>
      <c r="B392" s="1420" t="s">
        <v>14474</v>
      </c>
      <c r="C392" s="453" t="s">
        <v>69</v>
      </c>
      <c r="D392" s="453" t="s">
        <v>15129</v>
      </c>
      <c r="E392" s="453" t="s">
        <v>13949</v>
      </c>
      <c r="F392" s="473" t="s">
        <v>14475</v>
      </c>
      <c r="G392" s="453">
        <v>1</v>
      </c>
      <c r="H392" s="1420" t="s">
        <v>6906</v>
      </c>
      <c r="I392" s="1420" t="s">
        <v>15369</v>
      </c>
      <c r="J392" s="453" t="s">
        <v>2418</v>
      </c>
      <c r="K392" s="453"/>
      <c r="L392" s="457">
        <v>43891200</v>
      </c>
      <c r="M392" s="453" t="s">
        <v>251</v>
      </c>
      <c r="N392" s="474">
        <v>45048</v>
      </c>
      <c r="O392" s="474">
        <v>45117</v>
      </c>
      <c r="P392" s="474">
        <v>45146</v>
      </c>
      <c r="Q392" s="1420" t="s">
        <v>13761</v>
      </c>
      <c r="R392" s="453"/>
      <c r="S392" s="457">
        <v>32785920</v>
      </c>
      <c r="T392" s="457">
        <v>36064512</v>
      </c>
      <c r="U392" s="1474"/>
      <c r="V392" s="1474"/>
      <c r="W392" s="1474"/>
      <c r="X392" s="570">
        <v>45146</v>
      </c>
      <c r="Y392" s="457" t="s">
        <v>15517</v>
      </c>
      <c r="Z392" s="474">
        <v>45169</v>
      </c>
      <c r="AA392" s="474">
        <v>45174</v>
      </c>
      <c r="AB392" s="474">
        <v>46274</v>
      </c>
      <c r="AC392" s="2799"/>
      <c r="AD392" s="2799"/>
      <c r="AE392" s="360" t="s">
        <v>15759</v>
      </c>
    </row>
    <row r="393" spans="1:31">
      <c r="A393" s="2140">
        <v>45009</v>
      </c>
      <c r="B393" s="2143" t="s">
        <v>14476</v>
      </c>
      <c r="C393" s="2141" t="s">
        <v>69</v>
      </c>
      <c r="D393" s="2141" t="s">
        <v>15129</v>
      </c>
      <c r="E393" s="2141" t="s">
        <v>13949</v>
      </c>
      <c r="F393" s="2142" t="s">
        <v>14475</v>
      </c>
      <c r="G393" s="2141">
        <v>2</v>
      </c>
      <c r="H393" s="2143" t="s">
        <v>14478</v>
      </c>
      <c r="I393" s="2143" t="s">
        <v>15369</v>
      </c>
      <c r="J393" s="2141" t="s">
        <v>2418</v>
      </c>
      <c r="K393" s="2141"/>
      <c r="L393" s="2144">
        <v>3337554</v>
      </c>
      <c r="M393" s="2141" t="s">
        <v>251</v>
      </c>
      <c r="N393" s="2140">
        <v>45048</v>
      </c>
      <c r="O393" s="2140">
        <v>45117</v>
      </c>
      <c r="P393" s="2140">
        <v>45146</v>
      </c>
      <c r="Q393" s="2143" t="s">
        <v>5774</v>
      </c>
      <c r="R393" s="2141"/>
      <c r="S393" s="2144">
        <v>3337553.4</v>
      </c>
      <c r="T393" s="2144">
        <v>3671308.74</v>
      </c>
      <c r="U393" s="2145"/>
      <c r="V393" s="2145"/>
      <c r="W393" s="2145"/>
      <c r="X393" s="2146">
        <v>45146</v>
      </c>
      <c r="Y393" s="2144" t="s">
        <v>15518</v>
      </c>
      <c r="Z393" s="2140">
        <v>45169</v>
      </c>
      <c r="AA393" s="2140">
        <v>45174</v>
      </c>
      <c r="AB393" s="2140">
        <v>46274</v>
      </c>
      <c r="AC393" s="2799"/>
      <c r="AD393" s="2799"/>
      <c r="AE393" s="360" t="s">
        <v>15759</v>
      </c>
    </row>
    <row r="394" spans="1:31">
      <c r="A394" s="416">
        <v>45009</v>
      </c>
      <c r="B394" s="630" t="s">
        <v>14477</v>
      </c>
      <c r="C394" s="411" t="s">
        <v>69</v>
      </c>
      <c r="D394" s="411" t="s">
        <v>15129</v>
      </c>
      <c r="E394" s="411" t="s">
        <v>13949</v>
      </c>
      <c r="F394" s="412" t="s">
        <v>14475</v>
      </c>
      <c r="G394" s="411">
        <v>3</v>
      </c>
      <c r="H394" s="630" t="s">
        <v>14734</v>
      </c>
      <c r="I394" s="630" t="s">
        <v>15369</v>
      </c>
      <c r="J394" s="411" t="s">
        <v>2418</v>
      </c>
      <c r="K394" s="411"/>
      <c r="L394" s="417">
        <v>23193863</v>
      </c>
      <c r="M394" s="411" t="s">
        <v>251</v>
      </c>
      <c r="N394" s="416">
        <v>45048</v>
      </c>
      <c r="O394" s="416">
        <v>45117</v>
      </c>
      <c r="P394" s="416">
        <v>45146</v>
      </c>
      <c r="Q394" s="630" t="s">
        <v>5774</v>
      </c>
      <c r="R394" s="411"/>
      <c r="S394" s="417">
        <v>23193862.800000001</v>
      </c>
      <c r="T394" s="417">
        <v>25513249.079999998</v>
      </c>
      <c r="U394" s="1480"/>
      <c r="V394" s="1480"/>
      <c r="W394" s="1480"/>
      <c r="X394" s="513">
        <v>45146</v>
      </c>
      <c r="Y394" s="417" t="s">
        <v>15519</v>
      </c>
      <c r="Z394" s="416">
        <v>45173</v>
      </c>
      <c r="AA394" s="416">
        <v>45174</v>
      </c>
      <c r="AB394" s="416">
        <v>46274</v>
      </c>
      <c r="AC394" s="2799"/>
      <c r="AD394" s="2799"/>
      <c r="AE394" s="360" t="s">
        <v>15759</v>
      </c>
    </row>
    <row r="395" spans="1:31" ht="15.75" thickBot="1">
      <c r="A395" s="2117">
        <v>45009</v>
      </c>
      <c r="B395" s="2120" t="s">
        <v>14732</v>
      </c>
      <c r="C395" s="2118" t="s">
        <v>69</v>
      </c>
      <c r="D395" s="2118" t="s">
        <v>15129</v>
      </c>
      <c r="E395" s="2118" t="s">
        <v>13949</v>
      </c>
      <c r="F395" s="2119" t="s">
        <v>14475</v>
      </c>
      <c r="G395" s="2118">
        <v>4</v>
      </c>
      <c r="H395" s="2120" t="s">
        <v>14733</v>
      </c>
      <c r="I395" s="2120" t="s">
        <v>15369</v>
      </c>
      <c r="J395" s="2118" t="s">
        <v>2418</v>
      </c>
      <c r="K395" s="2118"/>
      <c r="L395" s="2121">
        <v>10424208</v>
      </c>
      <c r="M395" s="2118" t="s">
        <v>251</v>
      </c>
      <c r="N395" s="2117">
        <v>45048</v>
      </c>
      <c r="O395" s="2117">
        <v>45117</v>
      </c>
      <c r="P395" s="2117">
        <v>45146</v>
      </c>
      <c r="Q395" s="2120" t="s">
        <v>576</v>
      </c>
      <c r="R395" s="2118"/>
      <c r="S395" s="2121">
        <v>10385117.220000001</v>
      </c>
      <c r="T395" s="2121">
        <v>11423628.939999999</v>
      </c>
      <c r="U395" s="2122"/>
      <c r="V395" s="2122"/>
      <c r="W395" s="2122"/>
      <c r="X395" s="2123">
        <v>45146</v>
      </c>
      <c r="Y395" s="2121" t="s">
        <v>15520</v>
      </c>
      <c r="Z395" s="2117">
        <v>45169</v>
      </c>
      <c r="AA395" s="2117">
        <v>45174</v>
      </c>
      <c r="AB395" s="2117">
        <v>46274</v>
      </c>
      <c r="AC395" s="2799"/>
      <c r="AD395" s="2799"/>
      <c r="AE395" s="360" t="s">
        <v>15759</v>
      </c>
    </row>
    <row r="396" spans="1:31" ht="15.75" thickTop="1">
      <c r="A396" s="443">
        <v>45009</v>
      </c>
      <c r="B396" s="1431" t="s">
        <v>14480</v>
      </c>
      <c r="C396" s="439" t="s">
        <v>69</v>
      </c>
      <c r="D396" s="439" t="s">
        <v>15129</v>
      </c>
      <c r="E396" s="439" t="s">
        <v>13948</v>
      </c>
      <c r="F396" s="440" t="s">
        <v>14479</v>
      </c>
      <c r="G396" s="439">
        <v>1</v>
      </c>
      <c r="H396" s="1431" t="s">
        <v>7034</v>
      </c>
      <c r="I396" s="1431" t="s">
        <v>242</v>
      </c>
      <c r="J396" s="439" t="s">
        <v>2255</v>
      </c>
      <c r="K396" s="439"/>
      <c r="L396" s="444">
        <v>4987360</v>
      </c>
      <c r="M396" s="439" t="s">
        <v>251</v>
      </c>
      <c r="N396" s="443">
        <v>45027</v>
      </c>
      <c r="O396" s="443">
        <v>45070</v>
      </c>
      <c r="P396" s="439"/>
      <c r="Q396" s="753" t="s">
        <v>14738</v>
      </c>
      <c r="R396" s="2072" t="s">
        <v>16399</v>
      </c>
      <c r="S396" s="444"/>
      <c r="T396" s="444"/>
      <c r="U396" s="1481"/>
      <c r="V396" s="1481"/>
      <c r="W396" s="1481"/>
      <c r="X396" s="444"/>
      <c r="Y396" s="444"/>
      <c r="Z396" s="439"/>
      <c r="AA396" s="443">
        <v>45051</v>
      </c>
      <c r="AB396" s="439" t="s">
        <v>14790</v>
      </c>
      <c r="AC396" s="2799"/>
      <c r="AD396" s="2799"/>
    </row>
    <row r="397" spans="1:31">
      <c r="A397" s="2140">
        <v>45009</v>
      </c>
      <c r="B397" s="2143" t="s">
        <v>14481</v>
      </c>
      <c r="C397" s="2141" t="s">
        <v>69</v>
      </c>
      <c r="D397" s="2141" t="s">
        <v>15129</v>
      </c>
      <c r="E397" s="2141" t="s">
        <v>13948</v>
      </c>
      <c r="F397" s="2142" t="s">
        <v>14479</v>
      </c>
      <c r="G397" s="2141">
        <v>2</v>
      </c>
      <c r="H397" s="2143" t="s">
        <v>7035</v>
      </c>
      <c r="I397" s="2143" t="s">
        <v>15369</v>
      </c>
      <c r="J397" s="2141" t="s">
        <v>2255</v>
      </c>
      <c r="K397" s="2141"/>
      <c r="L397" s="2144">
        <v>119500</v>
      </c>
      <c r="M397" s="2141" t="s">
        <v>251</v>
      </c>
      <c r="N397" s="2140">
        <v>45027</v>
      </c>
      <c r="O397" s="2140">
        <v>45097</v>
      </c>
      <c r="P397" s="2140">
        <v>45106</v>
      </c>
      <c r="Q397" s="2143" t="s">
        <v>13761</v>
      </c>
      <c r="R397" s="2141"/>
      <c r="S397" s="2144">
        <v>119340</v>
      </c>
      <c r="T397" s="2144">
        <v>131274</v>
      </c>
      <c r="U397" s="2145"/>
      <c r="V397" s="2145"/>
      <c r="W397" s="2145"/>
      <c r="X397" s="2146">
        <v>45106</v>
      </c>
      <c r="Y397" s="2144" t="s">
        <v>15298</v>
      </c>
      <c r="Z397" s="2140">
        <v>45138</v>
      </c>
      <c r="AA397" s="2140">
        <v>45149</v>
      </c>
      <c r="AB397" s="2140">
        <v>46233</v>
      </c>
      <c r="AC397" s="2799"/>
      <c r="AD397" s="2799"/>
    </row>
    <row r="398" spans="1:31">
      <c r="A398" s="2124">
        <v>45009</v>
      </c>
      <c r="B398" s="2127" t="s">
        <v>14482</v>
      </c>
      <c r="C398" s="2125" t="s">
        <v>69</v>
      </c>
      <c r="D398" s="2125" t="s">
        <v>15129</v>
      </c>
      <c r="E398" s="2125" t="s">
        <v>13948</v>
      </c>
      <c r="F398" s="2126" t="s">
        <v>14479</v>
      </c>
      <c r="G398" s="2125">
        <v>3</v>
      </c>
      <c r="H398" s="2127" t="s">
        <v>7036</v>
      </c>
      <c r="I398" s="2127" t="s">
        <v>242</v>
      </c>
      <c r="J398" s="2125" t="s">
        <v>2255</v>
      </c>
      <c r="K398" s="2125"/>
      <c r="L398" s="2128">
        <v>10985227</v>
      </c>
      <c r="M398" s="2125" t="s">
        <v>251</v>
      </c>
      <c r="N398" s="2124">
        <v>45027</v>
      </c>
      <c r="O398" s="2124">
        <v>45097</v>
      </c>
      <c r="P398" s="2125"/>
      <c r="Q398" s="2136" t="s">
        <v>15198</v>
      </c>
      <c r="R398" s="2125"/>
      <c r="S398" s="2128"/>
      <c r="T398" s="2128"/>
      <c r="U398" s="2129"/>
      <c r="V398" s="2129"/>
      <c r="W398" s="2129"/>
      <c r="X398" s="2128"/>
      <c r="Y398" s="2128"/>
      <c r="Z398" s="2125"/>
      <c r="AA398" s="2124">
        <v>45124</v>
      </c>
      <c r="AB398" s="2127" t="s">
        <v>15342</v>
      </c>
      <c r="AC398" s="2799"/>
      <c r="AD398" s="2799"/>
    </row>
    <row r="399" spans="1:31">
      <c r="A399" s="643">
        <v>45009</v>
      </c>
      <c r="B399" s="1533" t="s">
        <v>14483</v>
      </c>
      <c r="C399" s="639" t="s">
        <v>69</v>
      </c>
      <c r="D399" s="639" t="s">
        <v>15129</v>
      </c>
      <c r="E399" s="639" t="s">
        <v>13948</v>
      </c>
      <c r="F399" s="640" t="s">
        <v>14479</v>
      </c>
      <c r="G399" s="639">
        <v>4</v>
      </c>
      <c r="H399" s="1533" t="s">
        <v>7037</v>
      </c>
      <c r="I399" s="1533" t="s">
        <v>242</v>
      </c>
      <c r="J399" s="639" t="s">
        <v>2255</v>
      </c>
      <c r="K399" s="639"/>
      <c r="L399" s="645">
        <v>46556250</v>
      </c>
      <c r="M399" s="639" t="s">
        <v>251</v>
      </c>
      <c r="N399" s="643">
        <v>45027</v>
      </c>
      <c r="O399" s="643">
        <v>45070</v>
      </c>
      <c r="P399" s="639"/>
      <c r="Q399" s="644" t="s">
        <v>14738</v>
      </c>
      <c r="R399" s="2929" t="s">
        <v>16399</v>
      </c>
      <c r="S399" s="645"/>
      <c r="T399" s="645"/>
      <c r="U399" s="1534"/>
      <c r="V399" s="1534"/>
      <c r="W399" s="1534"/>
      <c r="X399" s="645"/>
      <c r="Y399" s="645"/>
      <c r="Z399" s="639"/>
      <c r="AA399" s="643">
        <v>45051</v>
      </c>
      <c r="AB399" s="639" t="s">
        <v>14790</v>
      </c>
      <c r="AC399" s="2799"/>
      <c r="AD399" s="2799"/>
    </row>
    <row r="400" spans="1:31" ht="15.75" thickBot="1">
      <c r="A400" s="2130">
        <v>45009</v>
      </c>
      <c r="B400" s="2133" t="s">
        <v>14554</v>
      </c>
      <c r="C400" s="2131" t="s">
        <v>69</v>
      </c>
      <c r="D400" s="2131" t="s">
        <v>15129</v>
      </c>
      <c r="E400" s="2131" t="s">
        <v>13948</v>
      </c>
      <c r="F400" s="2132" t="s">
        <v>14479</v>
      </c>
      <c r="G400" s="2131">
        <v>5</v>
      </c>
      <c r="H400" s="2133" t="s">
        <v>14555</v>
      </c>
      <c r="I400" s="2133" t="s">
        <v>242</v>
      </c>
      <c r="J400" s="2131" t="s">
        <v>2255</v>
      </c>
      <c r="K400" s="2131"/>
      <c r="L400" s="2134">
        <v>34601</v>
      </c>
      <c r="M400" s="2131" t="s">
        <v>251</v>
      </c>
      <c r="N400" s="2130">
        <v>45027</v>
      </c>
      <c r="O400" s="2130">
        <v>45097</v>
      </c>
      <c r="P400" s="2131"/>
      <c r="Q400" s="2137" t="s">
        <v>304</v>
      </c>
      <c r="R400" s="2131"/>
      <c r="S400" s="2134"/>
      <c r="T400" s="2134"/>
      <c r="U400" s="2135"/>
      <c r="V400" s="2135"/>
      <c r="W400" s="2135"/>
      <c r="X400" s="2134"/>
      <c r="Y400" s="2134"/>
      <c r="Z400" s="2131"/>
      <c r="AA400" s="2130">
        <v>45124</v>
      </c>
      <c r="AB400" s="2133" t="s">
        <v>15177</v>
      </c>
      <c r="AC400" s="2799"/>
      <c r="AD400" s="2799"/>
    </row>
    <row r="401" spans="1:31" ht="15.75" thickTop="1">
      <c r="A401" s="2932">
        <v>45014</v>
      </c>
      <c r="B401" s="2933" t="s">
        <v>14935</v>
      </c>
      <c r="C401" s="2934" t="s">
        <v>69</v>
      </c>
      <c r="D401" s="2934" t="s">
        <v>15129</v>
      </c>
      <c r="E401" s="2934" t="s">
        <v>13949</v>
      </c>
      <c r="F401" s="2935" t="s">
        <v>15758</v>
      </c>
      <c r="G401" s="2934"/>
      <c r="H401" s="2933"/>
      <c r="I401" s="2936" t="s">
        <v>242</v>
      </c>
      <c r="J401" s="2934" t="s">
        <v>14936</v>
      </c>
      <c r="K401" s="2934"/>
      <c r="L401" s="2937">
        <v>5671160</v>
      </c>
      <c r="M401" s="2934" t="s">
        <v>251</v>
      </c>
      <c r="N401" s="2932">
        <v>45174</v>
      </c>
      <c r="O401" s="2932">
        <v>45236</v>
      </c>
      <c r="P401" s="2934"/>
      <c r="Q401" s="2939" t="s">
        <v>304</v>
      </c>
      <c r="R401" s="2934"/>
      <c r="S401" s="2937"/>
      <c r="T401" s="2937"/>
      <c r="U401" s="2938"/>
      <c r="V401" s="2938"/>
      <c r="W401" s="2938"/>
      <c r="X401" s="2937"/>
      <c r="Y401" s="2937"/>
      <c r="Z401" s="2934"/>
      <c r="AA401" s="2932">
        <v>45239</v>
      </c>
      <c r="AB401" s="2934" t="s">
        <v>16213</v>
      </c>
      <c r="AC401" s="2799"/>
      <c r="AD401" s="2799"/>
    </row>
    <row r="402" spans="1:31">
      <c r="A402" s="365">
        <v>45013</v>
      </c>
      <c r="B402" s="3192" t="s">
        <v>14499</v>
      </c>
      <c r="C402" s="3191" t="s">
        <v>69</v>
      </c>
      <c r="D402" s="3191" t="s">
        <v>15131</v>
      </c>
      <c r="E402" s="3191" t="s">
        <v>13949</v>
      </c>
      <c r="F402" s="175" t="s">
        <v>14501</v>
      </c>
      <c r="G402" s="3191">
        <v>1</v>
      </c>
      <c r="H402" s="3192" t="s">
        <v>14502</v>
      </c>
      <c r="I402" s="3192" t="s">
        <v>15369</v>
      </c>
      <c r="J402" s="3191" t="s">
        <v>14498</v>
      </c>
      <c r="K402" s="3191"/>
      <c r="L402" s="364">
        <v>998337</v>
      </c>
      <c r="M402" s="3191" t="s">
        <v>251</v>
      </c>
      <c r="N402" s="365">
        <v>45022</v>
      </c>
      <c r="O402" s="365">
        <v>45057</v>
      </c>
      <c r="P402" s="365">
        <v>45104</v>
      </c>
      <c r="Q402" s="3192" t="s">
        <v>12177</v>
      </c>
      <c r="R402" s="3191"/>
      <c r="S402" s="364">
        <v>997815</v>
      </c>
      <c r="T402" s="364">
        <v>1097596.5</v>
      </c>
      <c r="U402" s="1473"/>
      <c r="V402" s="1473"/>
      <c r="W402" s="1473"/>
      <c r="X402" s="681">
        <v>45104</v>
      </c>
      <c r="Y402" s="364" t="s">
        <v>15200</v>
      </c>
      <c r="Z402" s="365">
        <v>45145</v>
      </c>
      <c r="AA402" s="365">
        <v>45154</v>
      </c>
      <c r="AB402" s="365">
        <v>46240</v>
      </c>
      <c r="AC402" s="2799"/>
      <c r="AD402" s="2799"/>
    </row>
    <row r="403" spans="1:31" ht="15.75" thickBot="1">
      <c r="A403" s="643">
        <v>45013</v>
      </c>
      <c r="B403" s="1533" t="s">
        <v>14500</v>
      </c>
      <c r="C403" s="639" t="s">
        <v>69</v>
      </c>
      <c r="D403" s="639" t="s">
        <v>15131</v>
      </c>
      <c r="E403" s="639" t="s">
        <v>13949</v>
      </c>
      <c r="F403" s="640" t="s">
        <v>14501</v>
      </c>
      <c r="G403" s="639">
        <v>2</v>
      </c>
      <c r="H403" s="1533" t="s">
        <v>14503</v>
      </c>
      <c r="I403" s="1533" t="s">
        <v>242</v>
      </c>
      <c r="J403" s="639" t="s">
        <v>14498</v>
      </c>
      <c r="K403" s="639"/>
      <c r="L403" s="645">
        <v>303060</v>
      </c>
      <c r="M403" s="639" t="s">
        <v>251</v>
      </c>
      <c r="N403" s="643">
        <v>45022</v>
      </c>
      <c r="O403" s="643">
        <v>45057</v>
      </c>
      <c r="P403" s="639"/>
      <c r="Q403" s="644" t="s">
        <v>9147</v>
      </c>
      <c r="R403" s="639"/>
      <c r="S403" s="645"/>
      <c r="T403" s="645"/>
      <c r="U403" s="1534"/>
      <c r="V403" s="1534"/>
      <c r="W403" s="1534"/>
      <c r="X403" s="645"/>
      <c r="Y403" s="645"/>
      <c r="Z403" s="639"/>
      <c r="AA403" s="643">
        <v>45089</v>
      </c>
      <c r="AB403" s="639" t="s">
        <v>14976</v>
      </c>
      <c r="AC403" s="2799"/>
      <c r="AD403" s="2799"/>
    </row>
    <row r="404" spans="1:31" ht="15.75" thickTop="1">
      <c r="A404" s="474">
        <v>45014</v>
      </c>
      <c r="B404" s="1420" t="s">
        <v>14504</v>
      </c>
      <c r="C404" s="453" t="s">
        <v>69</v>
      </c>
      <c r="D404" s="453" t="s">
        <v>15129</v>
      </c>
      <c r="E404" s="453" t="s">
        <v>13949</v>
      </c>
      <c r="F404" s="473" t="s">
        <v>14505</v>
      </c>
      <c r="G404" s="453">
        <v>1</v>
      </c>
      <c r="H404" s="1420" t="s">
        <v>14507</v>
      </c>
      <c r="I404" s="1420" t="s">
        <v>15369</v>
      </c>
      <c r="J404" s="453" t="s">
        <v>2418</v>
      </c>
      <c r="K404" s="453"/>
      <c r="L404" s="457">
        <v>10236086</v>
      </c>
      <c r="M404" s="453" t="s">
        <v>251</v>
      </c>
      <c r="N404" s="474">
        <v>45034</v>
      </c>
      <c r="O404" s="474">
        <v>45119</v>
      </c>
      <c r="P404" s="474">
        <v>45146</v>
      </c>
      <c r="Q404" s="1420" t="s">
        <v>15351</v>
      </c>
      <c r="R404" s="453"/>
      <c r="S404" s="457">
        <v>10236085.02</v>
      </c>
      <c r="T404" s="457">
        <v>11259693.52</v>
      </c>
      <c r="U404" s="1474"/>
      <c r="V404" s="1474"/>
      <c r="W404" s="1474"/>
      <c r="X404" s="570">
        <v>45146</v>
      </c>
      <c r="Y404" s="457" t="s">
        <v>15515</v>
      </c>
      <c r="Z404" s="474">
        <v>45166</v>
      </c>
      <c r="AA404" s="474">
        <v>45167</v>
      </c>
      <c r="AB404" s="474">
        <v>46293</v>
      </c>
      <c r="AC404" s="2799"/>
      <c r="AD404" s="2799"/>
      <c r="AE404" s="360" t="s">
        <v>15435</v>
      </c>
    </row>
    <row r="405" spans="1:31" ht="15.75" thickBot="1">
      <c r="A405" s="2117">
        <v>45014</v>
      </c>
      <c r="B405" s="2120" t="s">
        <v>14506</v>
      </c>
      <c r="C405" s="2118" t="s">
        <v>69</v>
      </c>
      <c r="D405" s="2118" t="s">
        <v>15129</v>
      </c>
      <c r="E405" s="2118" t="s">
        <v>13949</v>
      </c>
      <c r="F405" s="2119" t="s">
        <v>14505</v>
      </c>
      <c r="G405" s="2118">
        <v>2</v>
      </c>
      <c r="H405" s="2120" t="s">
        <v>14508</v>
      </c>
      <c r="I405" s="2120" t="s">
        <v>15369</v>
      </c>
      <c r="J405" s="2118" t="s">
        <v>2418</v>
      </c>
      <c r="K405" s="2118"/>
      <c r="L405" s="2121">
        <v>6289627</v>
      </c>
      <c r="M405" s="2118" t="s">
        <v>251</v>
      </c>
      <c r="N405" s="2117">
        <v>45034</v>
      </c>
      <c r="O405" s="2117">
        <v>45119</v>
      </c>
      <c r="P405" s="2117">
        <v>45146</v>
      </c>
      <c r="Q405" s="2120" t="s">
        <v>576</v>
      </c>
      <c r="R405" s="2118"/>
      <c r="S405" s="2121">
        <v>6165361.6799999997</v>
      </c>
      <c r="T405" s="2121">
        <v>6781897.8499999996</v>
      </c>
      <c r="U405" s="2122"/>
      <c r="V405" s="2122"/>
      <c r="W405" s="2122"/>
      <c r="X405" s="2123">
        <v>45146</v>
      </c>
      <c r="Y405" s="2121" t="s">
        <v>15516</v>
      </c>
      <c r="Z405" s="2117">
        <v>45166</v>
      </c>
      <c r="AA405" s="2117">
        <v>45167</v>
      </c>
      <c r="AB405" s="2117">
        <v>46261</v>
      </c>
      <c r="AC405" s="2799"/>
      <c r="AD405" s="2799"/>
    </row>
    <row r="406" spans="1:31" ht="30.75" thickTop="1">
      <c r="A406" s="2140">
        <v>45012</v>
      </c>
      <c r="B406" s="2143" t="s">
        <v>14517</v>
      </c>
      <c r="C406" s="2141" t="s">
        <v>2434</v>
      </c>
      <c r="D406" s="2141" t="s">
        <v>3204</v>
      </c>
      <c r="E406" s="2141" t="s">
        <v>13952</v>
      </c>
      <c r="F406" s="2142" t="s">
        <v>14518</v>
      </c>
      <c r="G406" s="2141"/>
      <c r="H406" s="2143"/>
      <c r="I406" s="2143" t="s">
        <v>15369</v>
      </c>
      <c r="J406" s="2141" t="s">
        <v>642</v>
      </c>
      <c r="K406" s="2141"/>
      <c r="L406" s="2144">
        <v>6400704</v>
      </c>
      <c r="M406" s="2141" t="s">
        <v>251</v>
      </c>
      <c r="N406" s="2140">
        <v>45022</v>
      </c>
      <c r="O406" s="2140">
        <v>45057</v>
      </c>
      <c r="P406" s="2140">
        <v>45096</v>
      </c>
      <c r="Q406" s="2143" t="s">
        <v>8793</v>
      </c>
      <c r="R406" s="2141"/>
      <c r="S406" s="2144">
        <v>6400704</v>
      </c>
      <c r="T406" s="2144">
        <v>7744851.8399999999</v>
      </c>
      <c r="U406" s="2145"/>
      <c r="V406" s="2145"/>
      <c r="W406" s="2145"/>
      <c r="X406" s="2146">
        <v>45096</v>
      </c>
      <c r="Y406" s="2260" t="s">
        <v>15139</v>
      </c>
      <c r="Z406" s="2140">
        <v>45118</v>
      </c>
      <c r="AA406" s="2140">
        <v>45124</v>
      </c>
      <c r="AB406" s="2140">
        <v>46610</v>
      </c>
      <c r="AC406" s="2799"/>
      <c r="AD406" s="2799"/>
    </row>
    <row r="407" spans="1:31">
      <c r="A407" s="365">
        <v>45015</v>
      </c>
      <c r="B407" s="3192" t="s">
        <v>14511</v>
      </c>
      <c r="C407" s="3191" t="s">
        <v>1032</v>
      </c>
      <c r="D407" s="3191" t="s">
        <v>361</v>
      </c>
      <c r="E407" s="3191" t="s">
        <v>13950</v>
      </c>
      <c r="F407" s="175" t="s">
        <v>14512</v>
      </c>
      <c r="G407" s="3191"/>
      <c r="H407" s="3192"/>
      <c r="I407" s="3192" t="s">
        <v>15369</v>
      </c>
      <c r="J407" s="3191" t="s">
        <v>1865</v>
      </c>
      <c r="K407" s="3191"/>
      <c r="L407" s="364">
        <v>2800000</v>
      </c>
      <c r="M407" s="3191" t="s">
        <v>216</v>
      </c>
      <c r="N407" s="365">
        <v>45027</v>
      </c>
      <c r="O407" s="365">
        <v>45044</v>
      </c>
      <c r="P407" s="365">
        <v>45058</v>
      </c>
      <c r="Q407" s="3192" t="s">
        <v>288</v>
      </c>
      <c r="R407" s="3191"/>
      <c r="S407" s="364">
        <v>2025800</v>
      </c>
      <c r="T407" s="364">
        <v>2451218</v>
      </c>
      <c r="U407" s="1473"/>
      <c r="V407" s="1473"/>
      <c r="W407" s="1473"/>
      <c r="X407" s="681">
        <v>45058</v>
      </c>
      <c r="Y407" s="364" t="s">
        <v>14858</v>
      </c>
      <c r="Z407" s="365">
        <v>45078</v>
      </c>
      <c r="AA407" s="365">
        <v>45079</v>
      </c>
      <c r="AB407" s="365">
        <v>45291</v>
      </c>
      <c r="AC407" s="2799"/>
      <c r="AD407" s="2799"/>
    </row>
    <row r="408" spans="1:31" ht="30">
      <c r="A408" s="2564">
        <v>45015</v>
      </c>
      <c r="B408" s="2664" t="s">
        <v>14519</v>
      </c>
      <c r="C408" s="2779" t="s">
        <v>58</v>
      </c>
      <c r="D408" s="2779" t="s">
        <v>4969</v>
      </c>
      <c r="E408" s="2779" t="s">
        <v>13951</v>
      </c>
      <c r="F408" s="2780" t="s">
        <v>14520</v>
      </c>
      <c r="G408" s="2779"/>
      <c r="H408" s="2664"/>
      <c r="I408" s="2289" t="s">
        <v>15369</v>
      </c>
      <c r="J408" s="2779" t="s">
        <v>476</v>
      </c>
      <c r="K408" s="2779" t="s">
        <v>14521</v>
      </c>
      <c r="L408" s="2607">
        <v>123000</v>
      </c>
      <c r="M408" s="2779" t="s">
        <v>112</v>
      </c>
      <c r="N408" s="2564">
        <v>45027</v>
      </c>
      <c r="O408" s="2564">
        <v>45040</v>
      </c>
      <c r="P408" s="2564">
        <v>45065</v>
      </c>
      <c r="Q408" s="2664" t="s">
        <v>4478</v>
      </c>
      <c r="R408" s="2779"/>
      <c r="S408" s="2607">
        <v>87075</v>
      </c>
      <c r="T408" s="2607">
        <v>105360.75</v>
      </c>
      <c r="U408" s="2781"/>
      <c r="V408" s="2781"/>
      <c r="W408" s="2781"/>
      <c r="X408" s="2782">
        <v>45068</v>
      </c>
      <c r="Y408" s="2876" t="s">
        <v>14938</v>
      </c>
      <c r="Z408" s="2564">
        <v>45084</v>
      </c>
      <c r="AA408" s="2564">
        <v>45084</v>
      </c>
      <c r="AB408" s="2564">
        <v>45126</v>
      </c>
      <c r="AC408" s="2799"/>
      <c r="AD408" s="2799"/>
    </row>
    <row r="409" spans="1:31" ht="30">
      <c r="A409" s="2564">
        <v>45015</v>
      </c>
      <c r="B409" s="2664" t="s">
        <v>14522</v>
      </c>
      <c r="C409" s="2779" t="s">
        <v>58</v>
      </c>
      <c r="D409" s="2779" t="s">
        <v>4969</v>
      </c>
      <c r="E409" s="2779" t="s">
        <v>655</v>
      </c>
      <c r="F409" s="2780" t="s">
        <v>14523</v>
      </c>
      <c r="G409" s="2779"/>
      <c r="H409" s="2664"/>
      <c r="I409" s="2289" t="s">
        <v>15369</v>
      </c>
      <c r="J409" s="2779" t="s">
        <v>792</v>
      </c>
      <c r="K409" s="2779" t="s">
        <v>14524</v>
      </c>
      <c r="L409" s="2607">
        <v>115000</v>
      </c>
      <c r="M409" s="2779" t="s">
        <v>112</v>
      </c>
      <c r="N409" s="2564">
        <v>45027</v>
      </c>
      <c r="O409" s="2564">
        <v>45040</v>
      </c>
      <c r="P409" s="2564">
        <v>45056</v>
      </c>
      <c r="Q409" s="2664" t="s">
        <v>9720</v>
      </c>
      <c r="R409" s="2779"/>
      <c r="S409" s="2607">
        <v>51900</v>
      </c>
      <c r="T409" s="2607">
        <v>62799</v>
      </c>
      <c r="U409" s="2781"/>
      <c r="V409" s="2781"/>
      <c r="W409" s="2781"/>
      <c r="X409" s="2782">
        <v>45056</v>
      </c>
      <c r="Y409" s="2876" t="s">
        <v>14847</v>
      </c>
      <c r="Z409" s="2564">
        <v>45075</v>
      </c>
      <c r="AA409" s="2564">
        <v>45075</v>
      </c>
      <c r="AB409" s="2564">
        <v>45117</v>
      </c>
      <c r="AC409" s="2799"/>
      <c r="AD409" s="2799"/>
    </row>
    <row r="410" spans="1:31" ht="30.75" thickBot="1">
      <c r="A410" s="618">
        <v>45016</v>
      </c>
      <c r="B410" s="2631" t="s">
        <v>14528</v>
      </c>
      <c r="C410" s="413" t="s">
        <v>58</v>
      </c>
      <c r="D410" s="413" t="s">
        <v>4969</v>
      </c>
      <c r="E410" s="413" t="s">
        <v>13951</v>
      </c>
      <c r="F410" s="615" t="s">
        <v>9299</v>
      </c>
      <c r="G410" s="413"/>
      <c r="H410" s="2631"/>
      <c r="I410" s="2911" t="s">
        <v>15369</v>
      </c>
      <c r="J410" s="413" t="s">
        <v>14525</v>
      </c>
      <c r="K410" s="413" t="s">
        <v>14526</v>
      </c>
      <c r="L410" s="620">
        <v>340000</v>
      </c>
      <c r="M410" s="413" t="s">
        <v>112</v>
      </c>
      <c r="N410" s="618">
        <v>45027</v>
      </c>
      <c r="O410" s="618">
        <v>45043</v>
      </c>
      <c r="P410" s="618">
        <v>45050</v>
      </c>
      <c r="Q410" s="2631" t="s">
        <v>9720</v>
      </c>
      <c r="R410" s="413"/>
      <c r="S410" s="620">
        <v>166950</v>
      </c>
      <c r="T410" s="620">
        <v>202009.5</v>
      </c>
      <c r="U410" s="2686"/>
      <c r="V410" s="2686"/>
      <c r="W410" s="2686"/>
      <c r="X410" s="2632">
        <v>45050</v>
      </c>
      <c r="Y410" s="2633" t="s">
        <v>14816</v>
      </c>
      <c r="Z410" s="618">
        <v>45076</v>
      </c>
      <c r="AA410" s="618">
        <v>45077</v>
      </c>
      <c r="AB410" s="618">
        <v>45118</v>
      </c>
      <c r="AC410" s="2799"/>
      <c r="AD410" s="2799"/>
    </row>
    <row r="411" spans="1:31" ht="15.75" thickTop="1">
      <c r="A411" s="474">
        <v>45016</v>
      </c>
      <c r="B411" s="1420" t="s">
        <v>14532</v>
      </c>
      <c r="C411" s="453" t="s">
        <v>2434</v>
      </c>
      <c r="D411" s="453" t="s">
        <v>219</v>
      </c>
      <c r="E411" s="453" t="s">
        <v>655</v>
      </c>
      <c r="F411" s="473" t="s">
        <v>14533</v>
      </c>
      <c r="G411" s="453">
        <v>1</v>
      </c>
      <c r="H411" s="1420" t="s">
        <v>14537</v>
      </c>
      <c r="I411" s="1420" t="s">
        <v>15369</v>
      </c>
      <c r="J411" s="453" t="s">
        <v>14535</v>
      </c>
      <c r="K411" s="453"/>
      <c r="L411" s="457">
        <v>826241</v>
      </c>
      <c r="M411" s="453" t="s">
        <v>112</v>
      </c>
      <c r="N411" s="474">
        <v>45022</v>
      </c>
      <c r="O411" s="474">
        <v>45040</v>
      </c>
      <c r="P411" s="474">
        <v>45092</v>
      </c>
      <c r="Q411" s="1420" t="s">
        <v>15138</v>
      </c>
      <c r="R411" s="453"/>
      <c r="S411" s="457">
        <v>837892.8</v>
      </c>
      <c r="T411" s="457">
        <v>964275.84</v>
      </c>
      <c r="U411" s="1474"/>
      <c r="V411" s="1474"/>
      <c r="W411" s="1474"/>
      <c r="X411" s="570">
        <v>45092</v>
      </c>
      <c r="Y411" s="457" t="s">
        <v>15137</v>
      </c>
      <c r="Z411" s="474">
        <v>45121</v>
      </c>
      <c r="AA411" s="474">
        <v>45125</v>
      </c>
      <c r="AB411" s="474">
        <v>45851</v>
      </c>
      <c r="AC411" s="2799"/>
      <c r="AD411" s="2799"/>
    </row>
    <row r="412" spans="1:31" ht="15.75" thickBot="1">
      <c r="A412" s="2117">
        <v>45016</v>
      </c>
      <c r="B412" s="2120" t="s">
        <v>14534</v>
      </c>
      <c r="C412" s="2118" t="s">
        <v>2434</v>
      </c>
      <c r="D412" s="2118" t="s">
        <v>219</v>
      </c>
      <c r="E412" s="2118" t="s">
        <v>655</v>
      </c>
      <c r="F412" s="2119" t="s">
        <v>14533</v>
      </c>
      <c r="G412" s="2118">
        <v>2</v>
      </c>
      <c r="H412" s="2120" t="s">
        <v>14538</v>
      </c>
      <c r="I412" s="2120" t="s">
        <v>15369</v>
      </c>
      <c r="J412" s="2118" t="s">
        <v>14535</v>
      </c>
      <c r="K412" s="2118"/>
      <c r="L412" s="2121">
        <v>1044700</v>
      </c>
      <c r="M412" s="2118" t="s">
        <v>112</v>
      </c>
      <c r="N412" s="2117">
        <v>45022</v>
      </c>
      <c r="O412" s="2117">
        <v>45040</v>
      </c>
      <c r="P412" s="2117">
        <v>45062</v>
      </c>
      <c r="Q412" s="2120" t="s">
        <v>14869</v>
      </c>
      <c r="R412" s="2118"/>
      <c r="S412" s="2121">
        <v>944650.6</v>
      </c>
      <c r="T412" s="2121">
        <v>1086618.19</v>
      </c>
      <c r="U412" s="2122"/>
      <c r="V412" s="2122"/>
      <c r="W412" s="2122"/>
      <c r="X412" s="2123">
        <v>45062</v>
      </c>
      <c r="Y412" s="2121" t="s">
        <v>14879</v>
      </c>
      <c r="Z412" s="2117">
        <v>45096</v>
      </c>
      <c r="AA412" s="2117">
        <v>45097</v>
      </c>
      <c r="AB412" s="2117">
        <v>45826</v>
      </c>
      <c r="AC412" s="2799"/>
      <c r="AD412" s="2799"/>
    </row>
    <row r="413" spans="1:31" ht="30.75" thickTop="1">
      <c r="A413" s="365">
        <v>45019</v>
      </c>
      <c r="B413" s="3192" t="s">
        <v>14542</v>
      </c>
      <c r="C413" s="3191" t="s">
        <v>2434</v>
      </c>
      <c r="D413" s="3191" t="s">
        <v>219</v>
      </c>
      <c r="E413" s="3191" t="s">
        <v>655</v>
      </c>
      <c r="F413" s="175" t="s">
        <v>14543</v>
      </c>
      <c r="G413" s="3191"/>
      <c r="H413" s="3192"/>
      <c r="I413" s="3192" t="s">
        <v>15369</v>
      </c>
      <c r="J413" s="3191" t="s">
        <v>14544</v>
      </c>
      <c r="K413" s="3191"/>
      <c r="L413" s="364">
        <v>870000</v>
      </c>
      <c r="M413" s="3191" t="s">
        <v>112</v>
      </c>
      <c r="N413" s="365">
        <v>45022</v>
      </c>
      <c r="O413" s="365">
        <v>45034</v>
      </c>
      <c r="P413" s="365">
        <v>45064</v>
      </c>
      <c r="Q413" s="3192" t="s">
        <v>14907</v>
      </c>
      <c r="R413" s="3191"/>
      <c r="S413" s="364">
        <v>870000</v>
      </c>
      <c r="T413" s="364">
        <v>1052700</v>
      </c>
      <c r="U413" s="1473"/>
      <c r="V413" s="1473"/>
      <c r="W413" s="1473"/>
      <c r="X413" s="681">
        <v>45064</v>
      </c>
      <c r="Y413" s="1417" t="s">
        <v>14906</v>
      </c>
      <c r="Z413" s="365">
        <v>45105</v>
      </c>
      <c r="AA413" s="365">
        <v>45106</v>
      </c>
      <c r="AB413" s="365">
        <v>46201</v>
      </c>
      <c r="AC413" s="2799"/>
      <c r="AD413" s="2799"/>
    </row>
    <row r="414" spans="1:31" ht="30">
      <c r="A414" s="2140">
        <v>45019</v>
      </c>
      <c r="B414" s="2143" t="s">
        <v>14546</v>
      </c>
      <c r="C414" s="2141" t="s">
        <v>2434</v>
      </c>
      <c r="D414" s="2141" t="s">
        <v>219</v>
      </c>
      <c r="E414" s="2141" t="s">
        <v>13951</v>
      </c>
      <c r="F414" s="2142" t="s">
        <v>14547</v>
      </c>
      <c r="G414" s="2141"/>
      <c r="H414" s="2143"/>
      <c r="I414" s="2143" t="s">
        <v>15369</v>
      </c>
      <c r="J414" s="2141" t="s">
        <v>421</v>
      </c>
      <c r="K414" s="2141"/>
      <c r="L414" s="2144">
        <v>554670</v>
      </c>
      <c r="M414" s="2141" t="s">
        <v>112</v>
      </c>
      <c r="N414" s="2140">
        <v>45022</v>
      </c>
      <c r="O414" s="2140">
        <v>45055</v>
      </c>
      <c r="P414" s="2140">
        <v>45064</v>
      </c>
      <c r="Q414" s="2143" t="s">
        <v>9313</v>
      </c>
      <c r="R414" s="2141"/>
      <c r="S414" s="2144">
        <v>547470</v>
      </c>
      <c r="T414" s="2144">
        <v>662437.69999999995</v>
      </c>
      <c r="U414" s="2145"/>
      <c r="V414" s="2145"/>
      <c r="W414" s="2145"/>
      <c r="X414" s="2146">
        <v>45064</v>
      </c>
      <c r="Y414" s="2260" t="s">
        <v>14903</v>
      </c>
      <c r="Z414" s="2140">
        <v>45224</v>
      </c>
      <c r="AA414" s="2140">
        <v>45224</v>
      </c>
      <c r="AB414" s="2140">
        <v>46319</v>
      </c>
      <c r="AC414" s="2799"/>
      <c r="AD414" s="2799"/>
    </row>
    <row r="415" spans="1:31" ht="15.75" thickBot="1">
      <c r="A415" s="643">
        <v>45019</v>
      </c>
      <c r="B415" s="1533" t="s">
        <v>14548</v>
      </c>
      <c r="C415" s="639" t="s">
        <v>69</v>
      </c>
      <c r="D415" s="639" t="s">
        <v>15129</v>
      </c>
      <c r="E415" s="639" t="s">
        <v>13949</v>
      </c>
      <c r="F415" s="640" t="s">
        <v>14549</v>
      </c>
      <c r="G415" s="639"/>
      <c r="H415" s="1533"/>
      <c r="I415" s="1533" t="s">
        <v>242</v>
      </c>
      <c r="J415" s="639" t="s">
        <v>2418</v>
      </c>
      <c r="K415" s="639"/>
      <c r="L415" s="645">
        <v>3933000</v>
      </c>
      <c r="M415" s="639" t="s">
        <v>251</v>
      </c>
      <c r="N415" s="643">
        <v>45034</v>
      </c>
      <c r="O415" s="643">
        <v>45169</v>
      </c>
      <c r="P415" s="639"/>
      <c r="Q415" s="644" t="s">
        <v>4964</v>
      </c>
      <c r="R415" s="2019" t="s">
        <v>16001</v>
      </c>
      <c r="S415" s="645"/>
      <c r="T415" s="645"/>
      <c r="U415" s="1534"/>
      <c r="V415" s="1534"/>
      <c r="W415" s="1534"/>
      <c r="X415" s="645"/>
      <c r="Y415" s="645"/>
      <c r="Z415" s="639"/>
      <c r="AA415" s="643">
        <v>45229</v>
      </c>
      <c r="AB415" s="1533" t="s">
        <v>16070</v>
      </c>
      <c r="AC415" s="2799"/>
      <c r="AD415" s="2799"/>
    </row>
    <row r="416" spans="1:31" ht="15.75" thickTop="1">
      <c r="A416" s="474">
        <v>45020</v>
      </c>
      <c r="B416" s="1420" t="s">
        <v>14726</v>
      </c>
      <c r="C416" s="453" t="s">
        <v>69</v>
      </c>
      <c r="D416" s="453" t="s">
        <v>15129</v>
      </c>
      <c r="E416" s="453" t="s">
        <v>13949</v>
      </c>
      <c r="F416" s="473" t="s">
        <v>14550</v>
      </c>
      <c r="G416" s="453">
        <v>1</v>
      </c>
      <c r="H416" s="1420" t="s">
        <v>14727</v>
      </c>
      <c r="I416" s="1420" t="s">
        <v>15369</v>
      </c>
      <c r="J416" s="453" t="s">
        <v>2418</v>
      </c>
      <c r="K416" s="453"/>
      <c r="L416" s="457">
        <v>743904</v>
      </c>
      <c r="M416" s="453" t="s">
        <v>251</v>
      </c>
      <c r="N416" s="474">
        <v>45044</v>
      </c>
      <c r="O416" s="474">
        <v>45079</v>
      </c>
      <c r="P416" s="474">
        <v>45104</v>
      </c>
      <c r="Q416" s="1420" t="s">
        <v>13761</v>
      </c>
      <c r="R416" s="453"/>
      <c r="S416" s="457">
        <v>686521.2</v>
      </c>
      <c r="T416" s="457">
        <v>755173.32</v>
      </c>
      <c r="U416" s="1474"/>
      <c r="V416" s="1474"/>
      <c r="W416" s="1474"/>
      <c r="X416" s="570">
        <v>45104</v>
      </c>
      <c r="Y416" s="457" t="s">
        <v>15201</v>
      </c>
      <c r="Z416" s="474">
        <v>45126</v>
      </c>
      <c r="AA416" s="474">
        <v>45127</v>
      </c>
      <c r="AB416" s="474">
        <v>46293</v>
      </c>
      <c r="AC416" s="2799"/>
      <c r="AD416" s="2799"/>
      <c r="AE416" s="360" t="s">
        <v>15435</v>
      </c>
    </row>
    <row r="417" spans="1:31" ht="15.75" thickBot="1">
      <c r="A417" s="2117">
        <v>45020</v>
      </c>
      <c r="B417" s="2120" t="s">
        <v>14725</v>
      </c>
      <c r="C417" s="2118" t="s">
        <v>69</v>
      </c>
      <c r="D417" s="2118" t="s">
        <v>15129</v>
      </c>
      <c r="E417" s="2118" t="s">
        <v>13949</v>
      </c>
      <c r="F417" s="2119" t="s">
        <v>14550</v>
      </c>
      <c r="G417" s="2915">
        <v>2</v>
      </c>
      <c r="H417" s="2120" t="s">
        <v>14728</v>
      </c>
      <c r="I417" s="2120" t="s">
        <v>15369</v>
      </c>
      <c r="J417" s="2118" t="s">
        <v>2418</v>
      </c>
      <c r="K417" s="2118"/>
      <c r="L417" s="2121">
        <v>2364552</v>
      </c>
      <c r="M417" s="2118" t="s">
        <v>251</v>
      </c>
      <c r="N417" s="2117">
        <v>45044</v>
      </c>
      <c r="O417" s="2117">
        <v>45079</v>
      </c>
      <c r="P417" s="2117">
        <v>45104</v>
      </c>
      <c r="Q417" s="2120" t="s">
        <v>13761</v>
      </c>
      <c r="R417" s="2118"/>
      <c r="S417" s="2121">
        <v>2183205.6</v>
      </c>
      <c r="T417" s="2121">
        <v>2401526.16</v>
      </c>
      <c r="U417" s="2122"/>
      <c r="V417" s="2122"/>
      <c r="W417" s="2122"/>
      <c r="X417" s="2123">
        <v>45104</v>
      </c>
      <c r="Y417" s="2121" t="s">
        <v>15213</v>
      </c>
      <c r="Z417" s="2117">
        <v>45126</v>
      </c>
      <c r="AA417" s="2117">
        <v>45127</v>
      </c>
      <c r="AB417" s="2117">
        <v>46293</v>
      </c>
      <c r="AC417" s="2799"/>
      <c r="AD417" s="2799"/>
      <c r="AE417" s="360" t="s">
        <v>15435</v>
      </c>
    </row>
    <row r="418" spans="1:31" ht="30.75" thickTop="1">
      <c r="A418" s="365">
        <v>45021</v>
      </c>
      <c r="B418" s="3107" t="s">
        <v>14558</v>
      </c>
      <c r="C418" s="3106" t="s">
        <v>58</v>
      </c>
      <c r="D418" s="3106" t="s">
        <v>4969</v>
      </c>
      <c r="E418" s="3106" t="s">
        <v>13951</v>
      </c>
      <c r="F418" s="2889" t="s">
        <v>1911</v>
      </c>
      <c r="G418" s="2889"/>
      <c r="H418" s="3107"/>
      <c r="I418" s="3107" t="s">
        <v>15369</v>
      </c>
      <c r="J418" s="3106" t="s">
        <v>12080</v>
      </c>
      <c r="K418" s="3106" t="s">
        <v>14559</v>
      </c>
      <c r="L418" s="364">
        <v>890000</v>
      </c>
      <c r="M418" s="3106" t="s">
        <v>112</v>
      </c>
      <c r="N418" s="365">
        <v>45022</v>
      </c>
      <c r="O418" s="365">
        <v>45033</v>
      </c>
      <c r="P418" s="365">
        <v>45040</v>
      </c>
      <c r="Q418" s="3107" t="s">
        <v>14656</v>
      </c>
      <c r="R418" s="3106"/>
      <c r="S418" s="364">
        <v>536740</v>
      </c>
      <c r="T418" s="364">
        <v>649455.4</v>
      </c>
      <c r="U418" s="1489"/>
      <c r="V418" s="1489"/>
      <c r="W418" s="1489"/>
      <c r="X418" s="681">
        <v>45040</v>
      </c>
      <c r="Y418" s="1417" t="s">
        <v>14681</v>
      </c>
      <c r="Z418" s="365">
        <v>45056</v>
      </c>
      <c r="AA418" s="365">
        <v>45058</v>
      </c>
      <c r="AB418" s="365">
        <v>45112</v>
      </c>
      <c r="AC418" s="2799"/>
      <c r="AD418" s="2799"/>
    </row>
    <row r="419" spans="1:31">
      <c r="A419" s="2140">
        <v>45021</v>
      </c>
      <c r="B419" s="2143" t="s">
        <v>14560</v>
      </c>
      <c r="C419" s="2141" t="s">
        <v>2250</v>
      </c>
      <c r="D419" s="2141" t="s">
        <v>1416</v>
      </c>
      <c r="E419" s="2141" t="s">
        <v>13951</v>
      </c>
      <c r="F419" s="2142" t="s">
        <v>3365</v>
      </c>
      <c r="G419" s="2141"/>
      <c r="H419" s="2143"/>
      <c r="I419" s="2143" t="s">
        <v>15369</v>
      </c>
      <c r="J419" s="2141" t="s">
        <v>1422</v>
      </c>
      <c r="K419" s="2141"/>
      <c r="L419" s="2144">
        <v>600000</v>
      </c>
      <c r="M419" s="2141" t="s">
        <v>112</v>
      </c>
      <c r="N419" s="2140">
        <v>45027</v>
      </c>
      <c r="O419" s="2140">
        <v>45040</v>
      </c>
      <c r="P419" s="2140">
        <v>45049</v>
      </c>
      <c r="Q419" s="2143" t="s">
        <v>3381</v>
      </c>
      <c r="R419" s="2141"/>
      <c r="S419" s="2144">
        <v>421817</v>
      </c>
      <c r="T419" s="2144">
        <v>467180</v>
      </c>
      <c r="U419" s="2145"/>
      <c r="V419" s="2145"/>
      <c r="W419" s="2145"/>
      <c r="X419" s="2146">
        <v>45049</v>
      </c>
      <c r="Y419" s="2144" t="s">
        <v>14809</v>
      </c>
      <c r="Z419" s="2140">
        <v>45071</v>
      </c>
      <c r="AA419" s="2140">
        <v>45072</v>
      </c>
      <c r="AB419" s="2140">
        <v>45086</v>
      </c>
      <c r="AC419" s="2799"/>
      <c r="AD419" s="2799"/>
    </row>
    <row r="420" spans="1:31" ht="30">
      <c r="A420" s="2140">
        <v>45020</v>
      </c>
      <c r="B420" s="2143" t="s">
        <v>14563</v>
      </c>
      <c r="C420" s="2141" t="s">
        <v>58</v>
      </c>
      <c r="D420" s="2141" t="s">
        <v>4969</v>
      </c>
      <c r="E420" s="2141" t="s">
        <v>13951</v>
      </c>
      <c r="F420" s="2142" t="s">
        <v>322</v>
      </c>
      <c r="G420" s="2141"/>
      <c r="H420" s="2143"/>
      <c r="I420" s="2143" t="s">
        <v>15369</v>
      </c>
      <c r="J420" s="2141" t="s">
        <v>1159</v>
      </c>
      <c r="K420" s="2141" t="s">
        <v>14564</v>
      </c>
      <c r="L420" s="2144">
        <v>1310000</v>
      </c>
      <c r="M420" s="2141" t="s">
        <v>112</v>
      </c>
      <c r="N420" s="2140">
        <v>45028</v>
      </c>
      <c r="O420" s="2140">
        <v>45040</v>
      </c>
      <c r="P420" s="2140">
        <v>45049</v>
      </c>
      <c r="Q420" s="2143" t="s">
        <v>10486</v>
      </c>
      <c r="R420" s="2141"/>
      <c r="S420" s="2144">
        <v>1307008</v>
      </c>
      <c r="T420" s="2144">
        <v>1581479.68</v>
      </c>
      <c r="U420" s="2145"/>
      <c r="V420" s="2145"/>
      <c r="W420" s="2145"/>
      <c r="X420" s="2146">
        <v>45049</v>
      </c>
      <c r="Y420" s="2260" t="s">
        <v>14810</v>
      </c>
      <c r="Z420" s="2140">
        <v>45070</v>
      </c>
      <c r="AA420" s="2140">
        <v>45071</v>
      </c>
      <c r="AB420" s="2140">
        <v>45154</v>
      </c>
      <c r="AC420" s="2799"/>
      <c r="AD420" s="2799"/>
    </row>
    <row r="421" spans="1:31" ht="45">
      <c r="A421" s="2140">
        <v>45020</v>
      </c>
      <c r="B421" s="2143" t="s">
        <v>14565</v>
      </c>
      <c r="C421" s="2141" t="s">
        <v>58</v>
      </c>
      <c r="D421" s="2141" t="s">
        <v>4969</v>
      </c>
      <c r="E421" s="2141" t="s">
        <v>655</v>
      </c>
      <c r="F421" s="2142" t="s">
        <v>14566</v>
      </c>
      <c r="G421" s="2141"/>
      <c r="H421" s="2143"/>
      <c r="I421" s="2143" t="s">
        <v>15369</v>
      </c>
      <c r="J421" s="2141" t="s">
        <v>780</v>
      </c>
      <c r="K421" s="2141" t="s">
        <v>14567</v>
      </c>
      <c r="L421" s="2144">
        <v>1724200</v>
      </c>
      <c r="M421" s="2141" t="s">
        <v>112</v>
      </c>
      <c r="N421" s="2140">
        <v>45028</v>
      </c>
      <c r="O421" s="2140">
        <v>45040</v>
      </c>
      <c r="P421" s="2140">
        <v>45050</v>
      </c>
      <c r="Q421" s="2143" t="s">
        <v>9242</v>
      </c>
      <c r="R421" s="2141"/>
      <c r="S421" s="2144">
        <v>1720486</v>
      </c>
      <c r="T421" s="2144">
        <v>2081788.06</v>
      </c>
      <c r="U421" s="2145"/>
      <c r="V421" s="2145"/>
      <c r="W421" s="2145"/>
      <c r="X421" s="2146">
        <v>45050</v>
      </c>
      <c r="Y421" s="2260" t="s">
        <v>14815</v>
      </c>
      <c r="Z421" s="2140">
        <v>45075</v>
      </c>
      <c r="AA421" s="2140">
        <v>45075</v>
      </c>
      <c r="AB421" s="2140" t="s">
        <v>15003</v>
      </c>
      <c r="AC421" s="2799"/>
      <c r="AD421" s="2799"/>
    </row>
    <row r="422" spans="1:31">
      <c r="A422" s="2140">
        <v>45015</v>
      </c>
      <c r="B422" s="2143" t="s">
        <v>14568</v>
      </c>
      <c r="C422" s="2141" t="s">
        <v>1032</v>
      </c>
      <c r="D422" s="2141" t="s">
        <v>7475</v>
      </c>
      <c r="E422" s="2141" t="s">
        <v>13951</v>
      </c>
      <c r="F422" s="2142" t="s">
        <v>14569</v>
      </c>
      <c r="G422" s="2141"/>
      <c r="H422" s="2143"/>
      <c r="I422" s="2143" t="s">
        <v>15369</v>
      </c>
      <c r="J422" s="2141" t="s">
        <v>1676</v>
      </c>
      <c r="K422" s="2141"/>
      <c r="L422" s="2144">
        <v>1400000</v>
      </c>
      <c r="M422" s="2141" t="s">
        <v>112</v>
      </c>
      <c r="N422" s="2140">
        <v>45027</v>
      </c>
      <c r="O422" s="2140">
        <v>45040</v>
      </c>
      <c r="P422" s="2140">
        <v>45050</v>
      </c>
      <c r="Q422" s="2143" t="s">
        <v>409</v>
      </c>
      <c r="R422" s="2141"/>
      <c r="S422" s="2144">
        <v>1143310</v>
      </c>
      <c r="T422" s="2144">
        <v>1383405.1</v>
      </c>
      <c r="U422" s="2145"/>
      <c r="V422" s="2145"/>
      <c r="W422" s="2145"/>
      <c r="X422" s="2146">
        <v>45050</v>
      </c>
      <c r="Y422" s="2144" t="s">
        <v>14814</v>
      </c>
      <c r="Z422" s="2140">
        <v>45070</v>
      </c>
      <c r="AA422" s="2140">
        <v>45071</v>
      </c>
      <c r="AB422" s="2140">
        <v>45156</v>
      </c>
      <c r="AC422" s="2799"/>
      <c r="AD422" s="2799"/>
    </row>
    <row r="423" spans="1:31" ht="30">
      <c r="A423" s="2140">
        <v>45021</v>
      </c>
      <c r="B423" s="2143" t="s">
        <v>14570</v>
      </c>
      <c r="C423" s="2141" t="s">
        <v>58</v>
      </c>
      <c r="D423" s="2141" t="s">
        <v>4969</v>
      </c>
      <c r="E423" s="2141" t="s">
        <v>655</v>
      </c>
      <c r="F423" s="2142" t="s">
        <v>14571</v>
      </c>
      <c r="G423" s="2141"/>
      <c r="H423" s="2143"/>
      <c r="I423" s="2143" t="s">
        <v>15369</v>
      </c>
      <c r="J423" s="2141" t="s">
        <v>275</v>
      </c>
      <c r="K423" s="2141" t="s">
        <v>14572</v>
      </c>
      <c r="L423" s="2144">
        <v>288000</v>
      </c>
      <c r="M423" s="2141" t="s">
        <v>112</v>
      </c>
      <c r="N423" s="2140">
        <v>45029</v>
      </c>
      <c r="O423" s="2140">
        <v>45055</v>
      </c>
      <c r="P423" s="2140">
        <v>45061</v>
      </c>
      <c r="Q423" s="2143" t="s">
        <v>5333</v>
      </c>
      <c r="R423" s="2141"/>
      <c r="S423" s="2144">
        <v>228740</v>
      </c>
      <c r="T423" s="2144">
        <v>276775.40000000002</v>
      </c>
      <c r="U423" s="2145"/>
      <c r="V423" s="2145"/>
      <c r="W423" s="2145"/>
      <c r="X423" s="2146">
        <v>45061</v>
      </c>
      <c r="Y423" s="2260" t="s">
        <v>14861</v>
      </c>
      <c r="Z423" s="2140">
        <v>45079</v>
      </c>
      <c r="AA423" s="2140">
        <v>45079</v>
      </c>
      <c r="AB423" s="2140">
        <v>45093</v>
      </c>
      <c r="AC423" s="2799"/>
      <c r="AD423" s="2799"/>
    </row>
    <row r="424" spans="1:31" ht="30">
      <c r="A424" s="2140">
        <v>45022</v>
      </c>
      <c r="B424" s="2143" t="s">
        <v>14573</v>
      </c>
      <c r="C424" s="2141" t="s">
        <v>58</v>
      </c>
      <c r="D424" s="2141" t="s">
        <v>4969</v>
      </c>
      <c r="E424" s="2141" t="s">
        <v>13951</v>
      </c>
      <c r="F424" s="2142" t="s">
        <v>8490</v>
      </c>
      <c r="G424" s="2141"/>
      <c r="H424" s="2143"/>
      <c r="I424" s="2143" t="s">
        <v>15369</v>
      </c>
      <c r="J424" s="2141" t="s">
        <v>1159</v>
      </c>
      <c r="K424" s="2141" t="s">
        <v>14574</v>
      </c>
      <c r="L424" s="2144">
        <v>1811000</v>
      </c>
      <c r="M424" s="2141" t="s">
        <v>112</v>
      </c>
      <c r="N424" s="2140">
        <v>45030</v>
      </c>
      <c r="O424" s="2140">
        <v>45041</v>
      </c>
      <c r="P424" s="2140">
        <v>45049</v>
      </c>
      <c r="Q424" s="2143" t="s">
        <v>15468</v>
      </c>
      <c r="R424" s="2141"/>
      <c r="S424" s="2144">
        <v>1765013</v>
      </c>
      <c r="T424" s="2144">
        <v>1801563.08</v>
      </c>
      <c r="U424" s="2145"/>
      <c r="V424" s="2145"/>
      <c r="W424" s="2145"/>
      <c r="X424" s="2146">
        <v>45049</v>
      </c>
      <c r="Y424" s="2260" t="s">
        <v>14811</v>
      </c>
      <c r="Z424" s="2140">
        <v>45075</v>
      </c>
      <c r="AA424" s="2140">
        <v>45075</v>
      </c>
      <c r="AB424" s="2140">
        <v>45135</v>
      </c>
      <c r="AC424" s="2799"/>
      <c r="AD424" s="2799"/>
    </row>
    <row r="425" spans="1:31" ht="30">
      <c r="A425" s="2140">
        <v>45022</v>
      </c>
      <c r="B425" s="2143" t="s">
        <v>14576</v>
      </c>
      <c r="C425" s="2141" t="s">
        <v>58</v>
      </c>
      <c r="D425" s="2141" t="s">
        <v>4969</v>
      </c>
      <c r="E425" s="2141" t="s">
        <v>13951</v>
      </c>
      <c r="F425" s="2142" t="s">
        <v>7777</v>
      </c>
      <c r="G425" s="2141"/>
      <c r="H425" s="2143"/>
      <c r="I425" s="2143" t="s">
        <v>15369</v>
      </c>
      <c r="J425" s="2141" t="s">
        <v>1159</v>
      </c>
      <c r="K425" s="2141" t="s">
        <v>14577</v>
      </c>
      <c r="L425" s="2144">
        <v>720000</v>
      </c>
      <c r="M425" s="2141" t="s">
        <v>112</v>
      </c>
      <c r="N425" s="2140">
        <v>45033</v>
      </c>
      <c r="O425" s="2140">
        <v>45044</v>
      </c>
      <c r="P425" s="2140">
        <v>45061</v>
      </c>
      <c r="Q425" s="2143" t="s">
        <v>8117</v>
      </c>
      <c r="R425" s="2141"/>
      <c r="S425" s="2144">
        <v>628094</v>
      </c>
      <c r="T425" s="2144">
        <v>759993.74</v>
      </c>
      <c r="U425" s="2145"/>
      <c r="V425" s="2145"/>
      <c r="W425" s="2145"/>
      <c r="X425" s="2146">
        <v>45061</v>
      </c>
      <c r="Y425" s="2260" t="s">
        <v>14860</v>
      </c>
      <c r="Z425" s="2140">
        <v>45083</v>
      </c>
      <c r="AA425" s="2140">
        <v>45083</v>
      </c>
      <c r="AB425" s="2140">
        <v>45118</v>
      </c>
      <c r="AC425" s="2799"/>
      <c r="AD425" s="2799"/>
    </row>
    <row r="426" spans="1:31" ht="45.75" thickBot="1">
      <c r="A426" s="411" t="s">
        <v>3585</v>
      </c>
      <c r="B426" s="630" t="s">
        <v>14578</v>
      </c>
      <c r="C426" s="411" t="s">
        <v>58</v>
      </c>
      <c r="D426" s="411" t="s">
        <v>4969</v>
      </c>
      <c r="E426" s="411" t="s">
        <v>13951</v>
      </c>
      <c r="F426" s="412" t="s">
        <v>14579</v>
      </c>
      <c r="G426" s="411"/>
      <c r="H426" s="630"/>
      <c r="I426" s="630" t="s">
        <v>15369</v>
      </c>
      <c r="J426" s="411" t="s">
        <v>14299</v>
      </c>
      <c r="K426" s="411"/>
      <c r="L426" s="417">
        <v>428688</v>
      </c>
      <c r="M426" s="411" t="s">
        <v>112</v>
      </c>
      <c r="N426" s="416">
        <v>45033</v>
      </c>
      <c r="O426" s="416">
        <v>45051</v>
      </c>
      <c r="P426" s="416">
        <v>45061</v>
      </c>
      <c r="Q426" s="630" t="s">
        <v>10688</v>
      </c>
      <c r="R426" s="411"/>
      <c r="S426" s="417">
        <v>205095</v>
      </c>
      <c r="T426" s="417">
        <v>248164.95</v>
      </c>
      <c r="U426" s="1480"/>
      <c r="V426" s="1480"/>
      <c r="W426" s="1480"/>
      <c r="X426" s="513">
        <v>45061</v>
      </c>
      <c r="Y426" s="1553" t="s">
        <v>14871</v>
      </c>
      <c r="Z426" s="416">
        <v>45083</v>
      </c>
      <c r="AA426" s="416">
        <v>45083</v>
      </c>
      <c r="AB426" s="416">
        <v>45097</v>
      </c>
      <c r="AC426" s="2799"/>
      <c r="AD426" s="2799"/>
    </row>
    <row r="427" spans="1:31" ht="45.75" thickTop="1">
      <c r="A427" s="474">
        <v>45022</v>
      </c>
      <c r="B427" s="1420" t="s">
        <v>14645</v>
      </c>
      <c r="C427" s="453" t="s">
        <v>2434</v>
      </c>
      <c r="D427" s="453" t="s">
        <v>751</v>
      </c>
      <c r="E427" s="453" t="s">
        <v>15292</v>
      </c>
      <c r="F427" s="473" t="s">
        <v>14580</v>
      </c>
      <c r="G427" s="453">
        <v>1</v>
      </c>
      <c r="H427" s="2043" t="s">
        <v>14650</v>
      </c>
      <c r="I427" s="2043" t="s">
        <v>15369</v>
      </c>
      <c r="J427" s="453" t="s">
        <v>1880</v>
      </c>
      <c r="K427" s="453"/>
      <c r="L427" s="2002">
        <v>87558500</v>
      </c>
      <c r="M427" s="453" t="s">
        <v>251</v>
      </c>
      <c r="N427" s="474">
        <v>45044</v>
      </c>
      <c r="O427" s="474">
        <v>45099</v>
      </c>
      <c r="P427" s="474">
        <v>45125</v>
      </c>
      <c r="Q427" s="1420" t="s">
        <v>2974</v>
      </c>
      <c r="R427" s="453"/>
      <c r="S427" s="457">
        <v>87542500</v>
      </c>
      <c r="T427" s="457">
        <v>100673875</v>
      </c>
      <c r="U427" s="1474"/>
      <c r="V427" s="1474"/>
      <c r="W427" s="1474"/>
      <c r="X427" s="570">
        <v>45125</v>
      </c>
      <c r="Y427" s="1387" t="s">
        <v>15387</v>
      </c>
      <c r="Z427" s="474">
        <v>45153</v>
      </c>
      <c r="AA427" s="474">
        <v>45155</v>
      </c>
      <c r="AB427" s="474">
        <v>46652</v>
      </c>
      <c r="AC427" s="2799"/>
      <c r="AD427" s="2799"/>
      <c r="AE427" s="360" t="s">
        <v>15594</v>
      </c>
    </row>
    <row r="428" spans="1:31" ht="45">
      <c r="A428" s="2140">
        <v>45022</v>
      </c>
      <c r="B428" s="2143" t="s">
        <v>14646</v>
      </c>
      <c r="C428" s="2141" t="s">
        <v>2434</v>
      </c>
      <c r="D428" s="2141" t="s">
        <v>751</v>
      </c>
      <c r="E428" s="2141" t="s">
        <v>15292</v>
      </c>
      <c r="F428" s="2142" t="s">
        <v>14580</v>
      </c>
      <c r="G428" s="2141">
        <v>2</v>
      </c>
      <c r="H428" s="2261" t="s">
        <v>14651</v>
      </c>
      <c r="I428" s="2261" t="s">
        <v>15369</v>
      </c>
      <c r="J428" s="2141" t="s">
        <v>1880</v>
      </c>
      <c r="K428" s="2141"/>
      <c r="L428" s="2607">
        <v>14636550</v>
      </c>
      <c r="M428" s="2141" t="s">
        <v>251</v>
      </c>
      <c r="N428" s="2140">
        <v>45044</v>
      </c>
      <c r="O428" s="2140">
        <v>45099</v>
      </c>
      <c r="P428" s="2140">
        <v>45125</v>
      </c>
      <c r="Q428" s="2143" t="s">
        <v>2776</v>
      </c>
      <c r="R428" s="2141"/>
      <c r="S428" s="2144">
        <v>14636522</v>
      </c>
      <c r="T428" s="2144">
        <v>16832000.300000001</v>
      </c>
      <c r="U428" s="2145"/>
      <c r="V428" s="2145"/>
      <c r="W428" s="2145"/>
      <c r="X428" s="2146">
        <v>45125</v>
      </c>
      <c r="Y428" s="2260" t="s">
        <v>15389</v>
      </c>
      <c r="Z428" s="2140">
        <v>45153</v>
      </c>
      <c r="AA428" s="2140">
        <v>45155</v>
      </c>
      <c r="AB428" s="2140">
        <v>46652</v>
      </c>
      <c r="AC428" s="2799"/>
      <c r="AD428" s="2799"/>
      <c r="AE428" s="360" t="s">
        <v>15594</v>
      </c>
    </row>
    <row r="429" spans="1:31" ht="60">
      <c r="A429" s="2140">
        <v>45022</v>
      </c>
      <c r="B429" s="2143" t="s">
        <v>14647</v>
      </c>
      <c r="C429" s="2141" t="s">
        <v>2434</v>
      </c>
      <c r="D429" s="2141" t="s">
        <v>751</v>
      </c>
      <c r="E429" s="2141" t="s">
        <v>15292</v>
      </c>
      <c r="F429" s="2142" t="s">
        <v>14580</v>
      </c>
      <c r="G429" s="2141">
        <v>3</v>
      </c>
      <c r="H429" s="2261" t="s">
        <v>14652</v>
      </c>
      <c r="I429" s="2261" t="s">
        <v>15369</v>
      </c>
      <c r="J429" s="2141" t="s">
        <v>1880</v>
      </c>
      <c r="K429" s="2141"/>
      <c r="L429" s="2607">
        <v>10764000</v>
      </c>
      <c r="M429" s="2141" t="s">
        <v>251</v>
      </c>
      <c r="N429" s="2140">
        <v>45044</v>
      </c>
      <c r="O429" s="2140">
        <v>45099</v>
      </c>
      <c r="P429" s="2140">
        <v>45125</v>
      </c>
      <c r="Q429" s="2143" t="s">
        <v>7201</v>
      </c>
      <c r="R429" s="2141"/>
      <c r="S429" s="2144">
        <v>10764000</v>
      </c>
      <c r="T429" s="2144">
        <v>12378600</v>
      </c>
      <c r="U429" s="2145"/>
      <c r="V429" s="2145"/>
      <c r="W429" s="2145"/>
      <c r="X429" s="2146">
        <v>45125</v>
      </c>
      <c r="Y429" s="2260" t="s">
        <v>15388</v>
      </c>
      <c r="Z429" s="2140">
        <v>45153</v>
      </c>
      <c r="AA429" s="2140">
        <v>45155</v>
      </c>
      <c r="AB429" s="2140">
        <v>46652</v>
      </c>
      <c r="AC429" s="2799"/>
      <c r="AD429" s="2799"/>
      <c r="AE429" s="360" t="s">
        <v>15594</v>
      </c>
    </row>
    <row r="430" spans="1:31" ht="45">
      <c r="A430" s="2140">
        <v>45022</v>
      </c>
      <c r="B430" s="2143" t="s">
        <v>14648</v>
      </c>
      <c r="C430" s="2141" t="s">
        <v>2434</v>
      </c>
      <c r="D430" s="2141" t="s">
        <v>751</v>
      </c>
      <c r="E430" s="2141" t="s">
        <v>15292</v>
      </c>
      <c r="F430" s="2142" t="s">
        <v>14580</v>
      </c>
      <c r="G430" s="2141">
        <v>4</v>
      </c>
      <c r="H430" s="2261" t="s">
        <v>14653</v>
      </c>
      <c r="I430" s="2261" t="s">
        <v>15369</v>
      </c>
      <c r="J430" s="2141" t="s">
        <v>1880</v>
      </c>
      <c r="K430" s="2141"/>
      <c r="L430" s="2607">
        <v>8143200</v>
      </c>
      <c r="M430" s="2141" t="s">
        <v>251</v>
      </c>
      <c r="N430" s="2140">
        <v>45044</v>
      </c>
      <c r="O430" s="2140">
        <v>45099</v>
      </c>
      <c r="P430" s="2140">
        <v>45125</v>
      </c>
      <c r="Q430" s="2143" t="s">
        <v>2777</v>
      </c>
      <c r="R430" s="2141"/>
      <c r="S430" s="2144">
        <v>8143200</v>
      </c>
      <c r="T430" s="2144">
        <v>9364680</v>
      </c>
      <c r="U430" s="2145"/>
      <c r="V430" s="2145"/>
      <c r="W430" s="2145"/>
      <c r="X430" s="2146">
        <v>45125</v>
      </c>
      <c r="Y430" s="2260" t="s">
        <v>15390</v>
      </c>
      <c r="Z430" s="2140">
        <v>45153</v>
      </c>
      <c r="AA430" s="2140">
        <v>45155</v>
      </c>
      <c r="AB430" s="2140">
        <v>46652</v>
      </c>
      <c r="AC430" s="2799"/>
      <c r="AD430" s="2799"/>
      <c r="AE430" s="360" t="s">
        <v>15594</v>
      </c>
    </row>
    <row r="431" spans="1:31" ht="45.75" thickBot="1">
      <c r="A431" s="2117">
        <v>45022</v>
      </c>
      <c r="B431" s="2120" t="s">
        <v>14649</v>
      </c>
      <c r="C431" s="2118" t="s">
        <v>2434</v>
      </c>
      <c r="D431" s="2118" t="s">
        <v>751</v>
      </c>
      <c r="E431" s="2118" t="s">
        <v>15292</v>
      </c>
      <c r="F431" s="2119" t="s">
        <v>14580</v>
      </c>
      <c r="G431" s="2118">
        <v>5</v>
      </c>
      <c r="H431" s="2262" t="s">
        <v>6828</v>
      </c>
      <c r="I431" s="2262" t="s">
        <v>15369</v>
      </c>
      <c r="J431" s="2118" t="s">
        <v>1880</v>
      </c>
      <c r="K431" s="2118"/>
      <c r="L431" s="2608">
        <v>15500000</v>
      </c>
      <c r="M431" s="2118" t="s">
        <v>251</v>
      </c>
      <c r="N431" s="2117">
        <v>45044</v>
      </c>
      <c r="O431" s="2117">
        <v>45099</v>
      </c>
      <c r="P431" s="2117">
        <v>45125</v>
      </c>
      <c r="Q431" s="2120" t="s">
        <v>1433</v>
      </c>
      <c r="R431" s="2118"/>
      <c r="S431" s="2121">
        <v>15500000</v>
      </c>
      <c r="T431" s="2121">
        <v>17825000</v>
      </c>
      <c r="U431" s="2122"/>
      <c r="V431" s="2122"/>
      <c r="W431" s="2122"/>
      <c r="X431" s="2123">
        <v>45125</v>
      </c>
      <c r="Y431" s="2260" t="s">
        <v>15391</v>
      </c>
      <c r="Z431" s="2117">
        <v>45153</v>
      </c>
      <c r="AA431" s="2117">
        <v>45155</v>
      </c>
      <c r="AB431" s="2117">
        <v>46652</v>
      </c>
      <c r="AC431" s="2799"/>
      <c r="AD431" s="2799"/>
      <c r="AE431" s="360" t="s">
        <v>15594</v>
      </c>
    </row>
    <row r="432" spans="1:31" ht="45.75" thickTop="1">
      <c r="A432" s="474">
        <v>45022</v>
      </c>
      <c r="B432" s="1420" t="s">
        <v>14600</v>
      </c>
      <c r="C432" s="453" t="s">
        <v>2434</v>
      </c>
      <c r="D432" s="453" t="s">
        <v>751</v>
      </c>
      <c r="E432" s="453" t="s">
        <v>15292</v>
      </c>
      <c r="F432" s="473" t="s">
        <v>14581</v>
      </c>
      <c r="G432" s="453">
        <v>1</v>
      </c>
      <c r="H432" s="2043" t="s">
        <v>14603</v>
      </c>
      <c r="I432" s="2043" t="s">
        <v>15369</v>
      </c>
      <c r="J432" s="453" t="s">
        <v>786</v>
      </c>
      <c r="K432" s="453"/>
      <c r="L432" s="2002">
        <v>42180000</v>
      </c>
      <c r="M432" s="453" t="s">
        <v>251</v>
      </c>
      <c r="N432" s="474">
        <v>45044</v>
      </c>
      <c r="O432" s="474">
        <v>45099</v>
      </c>
      <c r="P432" s="474">
        <v>45125</v>
      </c>
      <c r="Q432" s="1420" t="s">
        <v>2776</v>
      </c>
      <c r="R432" s="453"/>
      <c r="S432" s="457">
        <v>42180000</v>
      </c>
      <c r="T432" s="457">
        <v>48507000</v>
      </c>
      <c r="U432" s="1474"/>
      <c r="V432" s="1474"/>
      <c r="W432" s="1474"/>
      <c r="X432" s="570">
        <v>45125</v>
      </c>
      <c r="Y432" s="1387" t="s">
        <v>15383</v>
      </c>
      <c r="Z432" s="474">
        <v>45153</v>
      </c>
      <c r="AA432" s="474">
        <v>45155</v>
      </c>
      <c r="AB432" s="474">
        <v>46645</v>
      </c>
      <c r="AC432" s="2799"/>
      <c r="AD432" s="2799"/>
      <c r="AE432" s="360" t="s">
        <v>15595</v>
      </c>
    </row>
    <row r="433" spans="1:31" ht="45">
      <c r="A433" s="2140">
        <v>45022</v>
      </c>
      <c r="B433" s="2143" t="s">
        <v>14601</v>
      </c>
      <c r="C433" s="2141" t="s">
        <v>2434</v>
      </c>
      <c r="D433" s="2141" t="s">
        <v>751</v>
      </c>
      <c r="E433" s="2141" t="s">
        <v>15292</v>
      </c>
      <c r="F433" s="2142" t="s">
        <v>14581</v>
      </c>
      <c r="G433" s="2141">
        <v>2</v>
      </c>
      <c r="H433" s="2261" t="s">
        <v>14604</v>
      </c>
      <c r="I433" s="2261" t="s">
        <v>15369</v>
      </c>
      <c r="J433" s="2141" t="s">
        <v>786</v>
      </c>
      <c r="K433" s="2141"/>
      <c r="L433" s="2607">
        <v>53099500</v>
      </c>
      <c r="M433" s="2141" t="s">
        <v>251</v>
      </c>
      <c r="N433" s="2140">
        <v>45044</v>
      </c>
      <c r="O433" s="2140">
        <v>45099</v>
      </c>
      <c r="P433" s="2140">
        <v>45125</v>
      </c>
      <c r="Q433" s="2143" t="s">
        <v>7201</v>
      </c>
      <c r="R433" s="2141"/>
      <c r="S433" s="2144">
        <v>53099500</v>
      </c>
      <c r="T433" s="2144">
        <v>61064425</v>
      </c>
      <c r="U433" s="2145"/>
      <c r="V433" s="2145"/>
      <c r="W433" s="2145"/>
      <c r="X433" s="2146">
        <v>45125</v>
      </c>
      <c r="Y433" s="1417" t="s">
        <v>15386</v>
      </c>
      <c r="Z433" s="2140">
        <v>45153</v>
      </c>
      <c r="AA433" s="2140">
        <v>45155</v>
      </c>
      <c r="AB433" s="2140">
        <v>46645</v>
      </c>
      <c r="AC433" s="2799"/>
      <c r="AD433" s="2799"/>
      <c r="AE433" s="360" t="s">
        <v>15595</v>
      </c>
    </row>
    <row r="434" spans="1:31" ht="15.75" thickBot="1">
      <c r="A434" s="2130">
        <v>45022</v>
      </c>
      <c r="B434" s="2133" t="s">
        <v>14602</v>
      </c>
      <c r="C434" s="2131" t="s">
        <v>2434</v>
      </c>
      <c r="D434" s="2131" t="s">
        <v>751</v>
      </c>
      <c r="E434" s="2131" t="s">
        <v>15292</v>
      </c>
      <c r="F434" s="2132" t="s">
        <v>14581</v>
      </c>
      <c r="G434" s="2131">
        <v>3</v>
      </c>
      <c r="H434" s="2812" t="s">
        <v>14605</v>
      </c>
      <c r="I434" s="2812" t="s">
        <v>242</v>
      </c>
      <c r="J434" s="2131" t="s">
        <v>786</v>
      </c>
      <c r="K434" s="2131"/>
      <c r="L434" s="2899">
        <v>12494000</v>
      </c>
      <c r="M434" s="2131" t="s">
        <v>251</v>
      </c>
      <c r="N434" s="2130">
        <v>45044</v>
      </c>
      <c r="O434" s="2130">
        <v>45099</v>
      </c>
      <c r="P434" s="2131"/>
      <c r="Q434" s="2137" t="s">
        <v>304</v>
      </c>
      <c r="R434" s="2287" t="s">
        <v>15929</v>
      </c>
      <c r="S434" s="2134"/>
      <c r="T434" s="2134"/>
      <c r="U434" s="2135"/>
      <c r="V434" s="2135"/>
      <c r="W434" s="2135"/>
      <c r="X434" s="2134"/>
      <c r="Y434" s="2134" t="s">
        <v>15384</v>
      </c>
      <c r="Z434" s="2131"/>
      <c r="AA434" s="2130">
        <v>45126</v>
      </c>
      <c r="AB434" s="2133" t="s">
        <v>15346</v>
      </c>
      <c r="AC434" s="2799"/>
      <c r="AD434" s="2799"/>
    </row>
    <row r="435" spans="1:31" ht="15.75" thickTop="1">
      <c r="A435" s="365">
        <v>45022</v>
      </c>
      <c r="B435" s="3192" t="s">
        <v>14586</v>
      </c>
      <c r="C435" s="3191" t="s">
        <v>58</v>
      </c>
      <c r="D435" s="3191" t="s">
        <v>4969</v>
      </c>
      <c r="E435" s="3191" t="s">
        <v>655</v>
      </c>
      <c r="F435" s="175" t="s">
        <v>3329</v>
      </c>
      <c r="G435" s="3191"/>
      <c r="H435" s="3192"/>
      <c r="I435" s="3192" t="s">
        <v>15369</v>
      </c>
      <c r="J435" s="3191" t="s">
        <v>3330</v>
      </c>
      <c r="K435" s="3191" t="s">
        <v>14587</v>
      </c>
      <c r="L435" s="364">
        <v>370000</v>
      </c>
      <c r="M435" s="3191" t="s">
        <v>112</v>
      </c>
      <c r="N435" s="365">
        <v>45030</v>
      </c>
      <c r="O435" s="365">
        <v>45041</v>
      </c>
      <c r="P435" s="365">
        <v>45050</v>
      </c>
      <c r="Q435" s="3192" t="s">
        <v>11876</v>
      </c>
      <c r="R435" s="3191"/>
      <c r="S435" s="364">
        <v>282000</v>
      </c>
      <c r="T435" s="364">
        <v>341220</v>
      </c>
      <c r="U435" s="1473"/>
      <c r="V435" s="1473"/>
      <c r="W435" s="1473"/>
      <c r="X435" s="681">
        <v>45050</v>
      </c>
      <c r="Y435" s="1417" t="s">
        <v>15385</v>
      </c>
      <c r="Z435" s="365">
        <v>45091</v>
      </c>
      <c r="AA435" s="365">
        <v>45093</v>
      </c>
      <c r="AB435" s="365">
        <v>45133</v>
      </c>
      <c r="AC435" s="2799"/>
      <c r="AD435" s="2799"/>
    </row>
    <row r="436" spans="1:31" ht="30.75" thickBot="1">
      <c r="A436" s="416">
        <v>45022</v>
      </c>
      <c r="B436" s="630" t="s">
        <v>14588</v>
      </c>
      <c r="C436" s="411" t="s">
        <v>2434</v>
      </c>
      <c r="D436" s="411" t="s">
        <v>3204</v>
      </c>
      <c r="E436" s="411" t="s">
        <v>655</v>
      </c>
      <c r="F436" s="412" t="s">
        <v>14589</v>
      </c>
      <c r="G436" s="411"/>
      <c r="H436" s="630"/>
      <c r="I436" s="630" t="s">
        <v>15369</v>
      </c>
      <c r="J436" s="411" t="s">
        <v>642</v>
      </c>
      <c r="K436" s="411"/>
      <c r="L436" s="417">
        <v>1260000</v>
      </c>
      <c r="M436" s="411" t="s">
        <v>112</v>
      </c>
      <c r="N436" s="416">
        <v>45033</v>
      </c>
      <c r="O436" s="416">
        <v>45048</v>
      </c>
      <c r="P436" s="416">
        <v>45062</v>
      </c>
      <c r="Q436" s="630" t="s">
        <v>9770</v>
      </c>
      <c r="R436" s="411"/>
      <c r="S436" s="417">
        <v>1260000</v>
      </c>
      <c r="T436" s="417">
        <v>1524600</v>
      </c>
      <c r="U436" s="1480"/>
      <c r="V436" s="1480"/>
      <c r="W436" s="1480"/>
      <c r="X436" s="513">
        <v>45062</v>
      </c>
      <c r="Y436" s="1553" t="s">
        <v>14882</v>
      </c>
      <c r="Z436" s="416">
        <v>45083</v>
      </c>
      <c r="AA436" s="416">
        <v>45085</v>
      </c>
      <c r="AB436" s="416">
        <v>46629</v>
      </c>
      <c r="AC436" s="2799"/>
      <c r="AD436" s="2799"/>
      <c r="AE436" s="360" t="s">
        <v>15057</v>
      </c>
    </row>
    <row r="437" spans="1:31" ht="30.75" thickTop="1">
      <c r="A437" s="474">
        <v>45022</v>
      </c>
      <c r="B437" s="1420" t="s">
        <v>14592</v>
      </c>
      <c r="C437" s="453" t="s">
        <v>2434</v>
      </c>
      <c r="D437" s="453" t="s">
        <v>3204</v>
      </c>
      <c r="E437" s="453" t="s">
        <v>13948</v>
      </c>
      <c r="F437" s="473" t="s">
        <v>14591</v>
      </c>
      <c r="G437" s="453">
        <v>1</v>
      </c>
      <c r="H437" s="2043" t="s">
        <v>14596</v>
      </c>
      <c r="I437" s="2043" t="s">
        <v>15369</v>
      </c>
      <c r="J437" s="453" t="s">
        <v>642</v>
      </c>
      <c r="K437" s="453"/>
      <c r="L437" s="457">
        <v>2780000</v>
      </c>
      <c r="M437" s="453" t="s">
        <v>251</v>
      </c>
      <c r="N437" s="474">
        <v>45033</v>
      </c>
      <c r="O437" s="474">
        <v>45098</v>
      </c>
      <c r="P437" s="474">
        <v>45244</v>
      </c>
      <c r="Q437" s="1420" t="s">
        <v>198</v>
      </c>
      <c r="R437" s="453"/>
      <c r="S437" s="457">
        <v>2248000</v>
      </c>
      <c r="T437" s="457">
        <v>2720080</v>
      </c>
      <c r="U437" s="1474"/>
      <c r="V437" s="1474"/>
      <c r="W437" s="1474"/>
      <c r="X437" s="570">
        <v>45244</v>
      </c>
      <c r="Y437" s="1387" t="s">
        <v>16247</v>
      </c>
      <c r="Z437" s="474">
        <v>45264</v>
      </c>
      <c r="AA437" s="474">
        <v>45275</v>
      </c>
      <c r="AB437" s="474">
        <v>46724</v>
      </c>
      <c r="AC437" s="2799"/>
      <c r="AD437" s="2799"/>
    </row>
    <row r="438" spans="1:31" ht="30">
      <c r="A438" s="2564">
        <v>45022</v>
      </c>
      <c r="B438" s="2143" t="s">
        <v>14593</v>
      </c>
      <c r="C438" s="2141" t="s">
        <v>2434</v>
      </c>
      <c r="D438" s="2141" t="s">
        <v>3204</v>
      </c>
      <c r="E438" s="2141" t="s">
        <v>13948</v>
      </c>
      <c r="F438" s="2142" t="s">
        <v>14591</v>
      </c>
      <c r="G438" s="2141">
        <v>2</v>
      </c>
      <c r="H438" s="2261" t="s">
        <v>14597</v>
      </c>
      <c r="I438" s="2261" t="s">
        <v>15369</v>
      </c>
      <c r="J438" s="2141" t="s">
        <v>642</v>
      </c>
      <c r="K438" s="2141"/>
      <c r="L438" s="2144">
        <v>2780000</v>
      </c>
      <c r="M438" s="2141" t="s">
        <v>251</v>
      </c>
      <c r="N438" s="2140">
        <v>45033</v>
      </c>
      <c r="O438" s="2140">
        <v>45098</v>
      </c>
      <c r="P438" s="2140">
        <v>45244</v>
      </c>
      <c r="Q438" s="2143" t="s">
        <v>9770</v>
      </c>
      <c r="R438" s="2141"/>
      <c r="S438" s="2144">
        <v>2780000</v>
      </c>
      <c r="T438" s="2144">
        <v>3363800</v>
      </c>
      <c r="U438" s="2145"/>
      <c r="V438" s="2145"/>
      <c r="W438" s="2145"/>
      <c r="X438" s="2146">
        <v>45244</v>
      </c>
      <c r="Y438" s="2260" t="s">
        <v>16248</v>
      </c>
      <c r="Z438" s="2140">
        <v>45264</v>
      </c>
      <c r="AA438" s="2140">
        <v>45275</v>
      </c>
      <c r="AB438" s="2140">
        <v>46724</v>
      </c>
      <c r="AC438" s="2799"/>
      <c r="AD438" s="2799"/>
    </row>
    <row r="439" spans="1:31" ht="30">
      <c r="A439" s="2564">
        <v>45022</v>
      </c>
      <c r="B439" s="2143" t="s">
        <v>14594</v>
      </c>
      <c r="C439" s="2141" t="s">
        <v>2434</v>
      </c>
      <c r="D439" s="2141" t="s">
        <v>3204</v>
      </c>
      <c r="E439" s="2141" t="s">
        <v>13948</v>
      </c>
      <c r="F439" s="2142" t="s">
        <v>14591</v>
      </c>
      <c r="G439" s="2141">
        <v>3</v>
      </c>
      <c r="H439" s="2261" t="s">
        <v>14598</v>
      </c>
      <c r="I439" s="2261" t="s">
        <v>15369</v>
      </c>
      <c r="J439" s="2141" t="s">
        <v>642</v>
      </c>
      <c r="K439" s="2141"/>
      <c r="L439" s="2144">
        <v>5560000</v>
      </c>
      <c r="M439" s="2141" t="s">
        <v>251</v>
      </c>
      <c r="N439" s="2140">
        <v>45033</v>
      </c>
      <c r="O439" s="2140">
        <v>45098</v>
      </c>
      <c r="P439" s="2140">
        <v>45244</v>
      </c>
      <c r="Q439" s="2143" t="s">
        <v>9770</v>
      </c>
      <c r="R439" s="2141"/>
      <c r="S439" s="2144">
        <v>5560000</v>
      </c>
      <c r="T439" s="2144">
        <v>6727600</v>
      </c>
      <c r="U439" s="2145"/>
      <c r="V439" s="2145"/>
      <c r="W439" s="2145"/>
      <c r="X439" s="2146">
        <v>45244</v>
      </c>
      <c r="Y439" s="2260" t="s">
        <v>16249</v>
      </c>
      <c r="Z439" s="2140">
        <v>45264</v>
      </c>
      <c r="AA439" s="2140">
        <v>45275</v>
      </c>
      <c r="AB439" s="2140">
        <v>46724</v>
      </c>
      <c r="AC439" s="2799"/>
      <c r="AD439" s="2799"/>
    </row>
    <row r="440" spans="1:31" ht="30.75" thickBot="1">
      <c r="A440" s="2130">
        <v>45022</v>
      </c>
      <c r="B440" s="2133" t="s">
        <v>14595</v>
      </c>
      <c r="C440" s="2131" t="s">
        <v>2434</v>
      </c>
      <c r="D440" s="2131" t="s">
        <v>3204</v>
      </c>
      <c r="E440" s="2131" t="s">
        <v>13948</v>
      </c>
      <c r="F440" s="2132" t="s">
        <v>14591</v>
      </c>
      <c r="G440" s="2131">
        <v>4</v>
      </c>
      <c r="H440" s="2812" t="s">
        <v>14599</v>
      </c>
      <c r="I440" s="2812" t="s">
        <v>242</v>
      </c>
      <c r="J440" s="2131" t="s">
        <v>642</v>
      </c>
      <c r="K440" s="2131"/>
      <c r="L440" s="2134">
        <v>1390000</v>
      </c>
      <c r="M440" s="2131" t="s">
        <v>251</v>
      </c>
      <c r="N440" s="2130">
        <v>45033</v>
      </c>
      <c r="O440" s="2130">
        <v>45098</v>
      </c>
      <c r="P440" s="2131"/>
      <c r="Q440" s="2137" t="s">
        <v>4505</v>
      </c>
      <c r="R440" s="2131"/>
      <c r="S440" s="2134"/>
      <c r="T440" s="2134"/>
      <c r="U440" s="2135"/>
      <c r="V440" s="2135"/>
      <c r="W440" s="2135"/>
      <c r="X440" s="2134"/>
      <c r="Y440" s="2134"/>
      <c r="Z440" s="2131"/>
      <c r="AA440" s="2130">
        <v>45275</v>
      </c>
      <c r="AB440" s="2133" t="s">
        <v>16331</v>
      </c>
      <c r="AC440" s="2799"/>
      <c r="AD440" s="2799"/>
    </row>
    <row r="441" spans="1:31" ht="30.75" thickTop="1">
      <c r="A441" s="365">
        <v>45028</v>
      </c>
      <c r="B441" s="3192" t="s">
        <v>14606</v>
      </c>
      <c r="C441" s="3191" t="s">
        <v>2434</v>
      </c>
      <c r="D441" s="3191" t="s">
        <v>219</v>
      </c>
      <c r="E441" s="3191" t="s">
        <v>13948</v>
      </c>
      <c r="F441" s="175" t="s">
        <v>14607</v>
      </c>
      <c r="G441" s="3191"/>
      <c r="H441" s="3192"/>
      <c r="I441" s="3192" t="s">
        <v>15369</v>
      </c>
      <c r="J441" s="3191" t="s">
        <v>642</v>
      </c>
      <c r="K441" s="3191"/>
      <c r="L441" s="364">
        <v>23472100</v>
      </c>
      <c r="M441" s="3191" t="s">
        <v>251</v>
      </c>
      <c r="N441" s="365">
        <v>45034</v>
      </c>
      <c r="O441" s="365">
        <v>45091</v>
      </c>
      <c r="P441" s="365">
        <v>45104</v>
      </c>
      <c r="Q441" s="3192" t="s">
        <v>11481</v>
      </c>
      <c r="R441" s="3191"/>
      <c r="S441" s="364">
        <v>21115200</v>
      </c>
      <c r="T441" s="364">
        <v>25549392</v>
      </c>
      <c r="U441" s="1473"/>
      <c r="V441" s="1473"/>
      <c r="W441" s="1473"/>
      <c r="X441" s="681">
        <v>45104</v>
      </c>
      <c r="Y441" s="1417" t="s">
        <v>15223</v>
      </c>
      <c r="Z441" s="365">
        <v>45121</v>
      </c>
      <c r="AA441" s="365">
        <v>45134</v>
      </c>
      <c r="AB441" s="365">
        <v>46581</v>
      </c>
      <c r="AC441" s="2799"/>
      <c r="AD441" s="2799"/>
    </row>
    <row r="442" spans="1:31" ht="45">
      <c r="A442" s="2140">
        <v>45028</v>
      </c>
      <c r="B442" s="2143" t="s">
        <v>14610</v>
      </c>
      <c r="C442" s="2141" t="s">
        <v>58</v>
      </c>
      <c r="D442" s="2141" t="s">
        <v>4969</v>
      </c>
      <c r="E442" s="2141" t="s">
        <v>13948</v>
      </c>
      <c r="F442" s="2142" t="s">
        <v>14611</v>
      </c>
      <c r="G442" s="2141"/>
      <c r="H442" s="2143"/>
      <c r="I442" s="2143" t="s">
        <v>15369</v>
      </c>
      <c r="J442" s="2141" t="s">
        <v>5760</v>
      </c>
      <c r="K442" s="2141" t="s">
        <v>14612</v>
      </c>
      <c r="L442" s="2144">
        <v>16177461</v>
      </c>
      <c r="M442" s="2141" t="s">
        <v>251</v>
      </c>
      <c r="N442" s="2140">
        <v>45042</v>
      </c>
      <c r="O442" s="2140">
        <v>45077</v>
      </c>
      <c r="P442" s="2140">
        <v>45196</v>
      </c>
      <c r="Q442" s="2143" t="s">
        <v>13780</v>
      </c>
      <c r="R442" s="2141"/>
      <c r="S442" s="2144">
        <v>16576574</v>
      </c>
      <c r="T442" s="2144">
        <v>20057654.539999999</v>
      </c>
      <c r="U442" s="2145"/>
      <c r="V442" s="2145"/>
      <c r="W442" s="2145"/>
      <c r="X442" s="2146">
        <v>45196</v>
      </c>
      <c r="Y442" s="2260" t="s">
        <v>15885</v>
      </c>
      <c r="Z442" s="2140">
        <v>45223</v>
      </c>
      <c r="AA442" s="2140">
        <v>45243</v>
      </c>
      <c r="AB442" s="2140">
        <v>45321</v>
      </c>
      <c r="AC442" s="2799"/>
      <c r="AD442" s="2799"/>
    </row>
    <row r="443" spans="1:31">
      <c r="A443" s="2140">
        <v>45042</v>
      </c>
      <c r="B443" s="2143" t="s">
        <v>14613</v>
      </c>
      <c r="C443" s="2141" t="s">
        <v>52</v>
      </c>
      <c r="D443" s="2141" t="s">
        <v>10114</v>
      </c>
      <c r="E443" s="2141" t="s">
        <v>13950</v>
      </c>
      <c r="F443" s="2142" t="s">
        <v>14614</v>
      </c>
      <c r="G443" s="2141"/>
      <c r="H443" s="2143"/>
      <c r="I443" s="2143" t="s">
        <v>15369</v>
      </c>
      <c r="J443" s="2141" t="s">
        <v>33</v>
      </c>
      <c r="K443" s="2141"/>
      <c r="L443" s="2144">
        <v>69000000</v>
      </c>
      <c r="M443" s="2141" t="s">
        <v>251</v>
      </c>
      <c r="N443" s="2140">
        <v>45043</v>
      </c>
      <c r="O443" s="2140">
        <v>45077</v>
      </c>
      <c r="P443" s="2140">
        <v>45091</v>
      </c>
      <c r="Q443" s="2143" t="s">
        <v>10627</v>
      </c>
      <c r="R443" s="2910" t="s">
        <v>15090</v>
      </c>
      <c r="S443" s="2144">
        <v>62797103.689999998</v>
      </c>
      <c r="T443" s="2144">
        <v>75984495.459999993</v>
      </c>
      <c r="U443" s="2145"/>
      <c r="V443" s="2145"/>
      <c r="W443" s="2145"/>
      <c r="X443" s="2146">
        <v>45091</v>
      </c>
      <c r="Y443" s="2144" t="s">
        <v>15136</v>
      </c>
      <c r="Z443" s="2140">
        <v>45125</v>
      </c>
      <c r="AA443" s="2140">
        <v>45149</v>
      </c>
      <c r="AB443" s="2622"/>
      <c r="AC443" s="2799"/>
      <c r="AD443" s="2799"/>
    </row>
    <row r="444" spans="1:31">
      <c r="A444" s="2140">
        <v>45027</v>
      </c>
      <c r="B444" s="2143" t="s">
        <v>14615</v>
      </c>
      <c r="C444" s="2141" t="s">
        <v>58</v>
      </c>
      <c r="D444" s="2141" t="s">
        <v>4969</v>
      </c>
      <c r="E444" s="2141" t="s">
        <v>13951</v>
      </c>
      <c r="F444" s="2142" t="s">
        <v>14616</v>
      </c>
      <c r="G444" s="2141"/>
      <c r="H444" s="2143"/>
      <c r="I444" s="2143" t="s">
        <v>15369</v>
      </c>
      <c r="J444" s="2141" t="s">
        <v>2920</v>
      </c>
      <c r="K444" s="2141" t="s">
        <v>14617</v>
      </c>
      <c r="L444" s="2144">
        <v>496400</v>
      </c>
      <c r="M444" s="2141" t="s">
        <v>112</v>
      </c>
      <c r="N444" s="2140">
        <v>45033</v>
      </c>
      <c r="O444" s="2140">
        <v>45055</v>
      </c>
      <c r="P444" s="2140">
        <v>45064</v>
      </c>
      <c r="Q444" s="2143" t="s">
        <v>14870</v>
      </c>
      <c r="R444" s="2141"/>
      <c r="S444" s="2144">
        <v>489000</v>
      </c>
      <c r="T444" s="2144">
        <v>591690</v>
      </c>
      <c r="U444" s="2145"/>
      <c r="V444" s="2145"/>
      <c r="W444" s="2145"/>
      <c r="X444" s="2146">
        <v>45064</v>
      </c>
      <c r="Y444" s="2144" t="s">
        <v>14895</v>
      </c>
      <c r="Z444" s="2140">
        <v>45078</v>
      </c>
      <c r="AA444" s="2140">
        <v>45078</v>
      </c>
      <c r="AB444" s="2140">
        <v>45148</v>
      </c>
      <c r="AC444" s="2799"/>
      <c r="AD444" s="2799"/>
    </row>
    <row r="445" spans="1:31" ht="30.75" thickBot="1">
      <c r="A445" s="416">
        <v>45030</v>
      </c>
      <c r="B445" s="630" t="s">
        <v>14623</v>
      </c>
      <c r="C445" s="411" t="s">
        <v>58</v>
      </c>
      <c r="D445" s="411" t="s">
        <v>4969</v>
      </c>
      <c r="E445" s="411" t="s">
        <v>13951</v>
      </c>
      <c r="F445" s="412" t="s">
        <v>14624</v>
      </c>
      <c r="G445" s="411"/>
      <c r="H445" s="630"/>
      <c r="I445" s="630" t="s">
        <v>15369</v>
      </c>
      <c r="J445" s="411" t="s">
        <v>261</v>
      </c>
      <c r="K445" s="411" t="s">
        <v>14625</v>
      </c>
      <c r="L445" s="417">
        <v>622000</v>
      </c>
      <c r="M445" s="411" t="s">
        <v>112</v>
      </c>
      <c r="N445" s="416">
        <v>45033</v>
      </c>
      <c r="O445" s="416">
        <v>45048</v>
      </c>
      <c r="P445" s="416">
        <v>45065</v>
      </c>
      <c r="Q445" s="630" t="s">
        <v>14870</v>
      </c>
      <c r="R445" s="411"/>
      <c r="S445" s="417">
        <v>618900</v>
      </c>
      <c r="T445" s="417">
        <v>748869</v>
      </c>
      <c r="U445" s="1480"/>
      <c r="V445" s="1480"/>
      <c r="W445" s="1480"/>
      <c r="X445" s="513">
        <v>45068</v>
      </c>
      <c r="Y445" s="1553" t="s">
        <v>14939</v>
      </c>
      <c r="Z445" s="416">
        <v>45076</v>
      </c>
      <c r="AA445" s="416">
        <v>45076</v>
      </c>
      <c r="AB445" s="416">
        <v>45160</v>
      </c>
      <c r="AC445" s="2799"/>
      <c r="AD445" s="2799"/>
    </row>
    <row r="446" spans="1:31" ht="30.75" thickTop="1">
      <c r="A446" s="474">
        <v>45030</v>
      </c>
      <c r="B446" s="1420" t="s">
        <v>14628</v>
      </c>
      <c r="C446" s="453" t="s">
        <v>58</v>
      </c>
      <c r="D446" s="453" t="s">
        <v>4969</v>
      </c>
      <c r="E446" s="453" t="s">
        <v>655</v>
      </c>
      <c r="F446" s="473" t="s">
        <v>14630</v>
      </c>
      <c r="G446" s="453">
        <v>1</v>
      </c>
      <c r="H446" s="1420" t="s">
        <v>14631</v>
      </c>
      <c r="I446" s="1420" t="s">
        <v>15369</v>
      </c>
      <c r="J446" s="453" t="s">
        <v>7736</v>
      </c>
      <c r="K446" s="453" t="s">
        <v>14632</v>
      </c>
      <c r="L446" s="457">
        <v>620000</v>
      </c>
      <c r="M446" s="453" t="s">
        <v>112</v>
      </c>
      <c r="N446" s="474">
        <v>45036</v>
      </c>
      <c r="O446" s="474">
        <v>45061</v>
      </c>
      <c r="P446" s="474">
        <v>45077</v>
      </c>
      <c r="Q446" s="1420" t="s">
        <v>14870</v>
      </c>
      <c r="R446" s="453"/>
      <c r="S446" s="457">
        <v>619800</v>
      </c>
      <c r="T446" s="457">
        <v>749958</v>
      </c>
      <c r="U446" s="1474"/>
      <c r="V446" s="1474"/>
      <c r="W446" s="1474"/>
      <c r="X446" s="570">
        <v>45077</v>
      </c>
      <c r="Y446" s="1387" t="s">
        <v>15021</v>
      </c>
      <c r="Z446" s="474">
        <v>45096</v>
      </c>
      <c r="AA446" s="474">
        <v>45096</v>
      </c>
      <c r="AB446" s="474">
        <v>45180</v>
      </c>
      <c r="AC446" s="2799"/>
      <c r="AD446" s="2799"/>
    </row>
    <row r="447" spans="1:31" ht="30.75" thickBot="1">
      <c r="A447" s="2117">
        <v>45030</v>
      </c>
      <c r="B447" s="2120" t="s">
        <v>14629</v>
      </c>
      <c r="C447" s="2118" t="s">
        <v>58</v>
      </c>
      <c r="D447" s="2118" t="s">
        <v>4969</v>
      </c>
      <c r="E447" s="2118" t="s">
        <v>655</v>
      </c>
      <c r="F447" s="2119" t="s">
        <v>14630</v>
      </c>
      <c r="G447" s="2118">
        <v>2</v>
      </c>
      <c r="H447" s="2120" t="s">
        <v>14633</v>
      </c>
      <c r="I447" s="2120" t="s">
        <v>15369</v>
      </c>
      <c r="J447" s="2118" t="s">
        <v>7736</v>
      </c>
      <c r="K447" s="2118" t="s">
        <v>14632</v>
      </c>
      <c r="L447" s="2121">
        <v>388000</v>
      </c>
      <c r="M447" s="2118" t="s">
        <v>112</v>
      </c>
      <c r="N447" s="2117">
        <v>45036</v>
      </c>
      <c r="O447" s="2117">
        <v>45061</v>
      </c>
      <c r="P447" s="2117">
        <v>45077</v>
      </c>
      <c r="Q447" s="2120" t="s">
        <v>14870</v>
      </c>
      <c r="R447" s="2118"/>
      <c r="S447" s="2121">
        <v>387800</v>
      </c>
      <c r="T447" s="2121">
        <v>469238</v>
      </c>
      <c r="U447" s="2122"/>
      <c r="V447" s="2122"/>
      <c r="W447" s="2122"/>
      <c r="X447" s="2123">
        <v>45077</v>
      </c>
      <c r="Y447" s="2246" t="s">
        <v>15022</v>
      </c>
      <c r="Z447" s="2117">
        <v>45096</v>
      </c>
      <c r="AA447" s="2117">
        <v>45096</v>
      </c>
      <c r="AB447" s="2117">
        <v>45180</v>
      </c>
      <c r="AC447" s="2799"/>
      <c r="AD447" s="2799"/>
    </row>
    <row r="448" spans="1:31" ht="30.75" thickTop="1">
      <c r="A448" s="365">
        <v>45030</v>
      </c>
      <c r="B448" s="3192" t="s">
        <v>14635</v>
      </c>
      <c r="C448" s="3191" t="s">
        <v>2434</v>
      </c>
      <c r="D448" s="3191" t="s">
        <v>3204</v>
      </c>
      <c r="E448" s="3191" t="s">
        <v>655</v>
      </c>
      <c r="F448" s="175" t="s">
        <v>14636</v>
      </c>
      <c r="G448" s="3191"/>
      <c r="H448" s="3192"/>
      <c r="I448" s="3192" t="s">
        <v>15369</v>
      </c>
      <c r="J448" s="3191" t="s">
        <v>7092</v>
      </c>
      <c r="K448" s="3191"/>
      <c r="L448" s="364">
        <v>1802000</v>
      </c>
      <c r="M448" s="3191" t="s">
        <v>112</v>
      </c>
      <c r="N448" s="365">
        <v>45035</v>
      </c>
      <c r="O448" s="365">
        <v>45064</v>
      </c>
      <c r="P448" s="365">
        <v>45090</v>
      </c>
      <c r="Q448" s="3192" t="s">
        <v>15067</v>
      </c>
      <c r="R448" s="3191"/>
      <c r="S448" s="364">
        <v>1734000</v>
      </c>
      <c r="T448" s="364">
        <v>2098140</v>
      </c>
      <c r="U448" s="1473"/>
      <c r="V448" s="1473"/>
      <c r="W448" s="1473"/>
      <c r="X448" s="681">
        <v>45090</v>
      </c>
      <c r="Y448" s="1417" t="s">
        <v>15098</v>
      </c>
      <c r="Z448" s="365">
        <v>45117</v>
      </c>
      <c r="AA448" s="365">
        <v>45119</v>
      </c>
      <c r="AB448" s="365">
        <v>46577</v>
      </c>
      <c r="AC448" s="2799"/>
      <c r="AD448" s="2799"/>
    </row>
    <row r="449" spans="1:31" ht="30">
      <c r="A449" s="2140">
        <v>45033</v>
      </c>
      <c r="B449" s="2143" t="s">
        <v>14637</v>
      </c>
      <c r="C449" s="2141" t="s">
        <v>58</v>
      </c>
      <c r="D449" s="2141" t="s">
        <v>4969</v>
      </c>
      <c r="E449" s="2141" t="s">
        <v>655</v>
      </c>
      <c r="F449" s="2142" t="s">
        <v>4250</v>
      </c>
      <c r="G449" s="2141"/>
      <c r="H449" s="2143"/>
      <c r="I449" s="2143" t="s">
        <v>15369</v>
      </c>
      <c r="J449" s="2141" t="s">
        <v>269</v>
      </c>
      <c r="K449" s="2141" t="s">
        <v>14638</v>
      </c>
      <c r="L449" s="2144">
        <v>624000</v>
      </c>
      <c r="M449" s="2141" t="s">
        <v>112</v>
      </c>
      <c r="N449" s="2140">
        <v>45071</v>
      </c>
      <c r="O449" s="2140">
        <v>45055</v>
      </c>
      <c r="P449" s="2140">
        <v>45065</v>
      </c>
      <c r="Q449" s="2143" t="s">
        <v>10265</v>
      </c>
      <c r="R449" s="2141"/>
      <c r="S449" s="2144">
        <v>604440</v>
      </c>
      <c r="T449" s="2144">
        <v>731372.4</v>
      </c>
      <c r="U449" s="2145"/>
      <c r="V449" s="2145"/>
      <c r="W449" s="2145"/>
      <c r="X449" s="2146">
        <v>45065</v>
      </c>
      <c r="Y449" s="2260" t="s">
        <v>14933</v>
      </c>
      <c r="Z449" s="2140">
        <v>45086</v>
      </c>
      <c r="AA449" s="2140">
        <v>45086</v>
      </c>
      <c r="AB449" s="2140">
        <v>45093</v>
      </c>
      <c r="AC449" s="2799"/>
      <c r="AD449" s="2799"/>
    </row>
    <row r="450" spans="1:31">
      <c r="A450" s="2349">
        <v>45033</v>
      </c>
      <c r="B450" s="2352" t="s">
        <v>14639</v>
      </c>
      <c r="C450" s="2350" t="s">
        <v>1248</v>
      </c>
      <c r="D450" s="2350" t="s">
        <v>1249</v>
      </c>
      <c r="E450" s="2350" t="s">
        <v>13950</v>
      </c>
      <c r="F450" s="2351" t="s">
        <v>14640</v>
      </c>
      <c r="G450" s="2350"/>
      <c r="H450" s="2352"/>
      <c r="I450" s="2352" t="s">
        <v>1313</v>
      </c>
      <c r="J450" s="2350" t="s">
        <v>1252</v>
      </c>
      <c r="K450" s="2350"/>
      <c r="L450" s="2353">
        <v>6000000</v>
      </c>
      <c r="M450" s="2350" t="s">
        <v>251</v>
      </c>
      <c r="N450" s="2350"/>
      <c r="O450" s="2350"/>
      <c r="P450" s="2350"/>
      <c r="Q450" s="2354" t="s">
        <v>15299</v>
      </c>
      <c r="R450" s="2350"/>
      <c r="S450" s="2353"/>
      <c r="T450" s="2353"/>
      <c r="U450" s="2904"/>
      <c r="V450" s="2904"/>
      <c r="W450" s="2904"/>
      <c r="X450" s="2353"/>
      <c r="Y450" s="2353"/>
      <c r="Z450" s="2350"/>
      <c r="AA450" s="2350"/>
      <c r="AB450" s="2350"/>
      <c r="AC450" s="2799"/>
      <c r="AD450" s="2799"/>
    </row>
    <row r="451" spans="1:31" ht="30">
      <c r="A451" s="2140">
        <v>45034</v>
      </c>
      <c r="B451" s="2143" t="s">
        <v>14643</v>
      </c>
      <c r="C451" s="2141" t="s">
        <v>2434</v>
      </c>
      <c r="D451" s="2141" t="s">
        <v>3204</v>
      </c>
      <c r="E451" s="2141" t="s">
        <v>13952</v>
      </c>
      <c r="F451" s="2142" t="s">
        <v>14644</v>
      </c>
      <c r="G451" s="2141"/>
      <c r="H451" s="2143"/>
      <c r="I451" s="2143" t="s">
        <v>15369</v>
      </c>
      <c r="J451" s="2141" t="s">
        <v>642</v>
      </c>
      <c r="K451" s="2141"/>
      <c r="L451" s="2144">
        <v>13305600</v>
      </c>
      <c r="M451" s="2141" t="s">
        <v>251</v>
      </c>
      <c r="N451" s="2140">
        <v>45042</v>
      </c>
      <c r="O451" s="2140">
        <v>45077</v>
      </c>
      <c r="P451" s="2140">
        <v>45098</v>
      </c>
      <c r="Q451" s="2143" t="s">
        <v>2974</v>
      </c>
      <c r="R451" s="2141"/>
      <c r="S451" s="2144">
        <v>13305600</v>
      </c>
      <c r="T451" s="2144">
        <v>15301440</v>
      </c>
      <c r="U451" s="2145"/>
      <c r="V451" s="2145"/>
      <c r="W451" s="2145"/>
      <c r="X451" s="2146">
        <v>45098</v>
      </c>
      <c r="Y451" s="2260" t="s">
        <v>15175</v>
      </c>
      <c r="Z451" s="2140">
        <v>45128</v>
      </c>
      <c r="AA451" s="2140">
        <v>45133</v>
      </c>
      <c r="AB451" s="2140">
        <v>46658</v>
      </c>
      <c r="AC451" s="2799"/>
      <c r="AD451" s="2799"/>
    </row>
    <row r="452" spans="1:31" ht="45">
      <c r="A452" s="2141" t="s">
        <v>3585</v>
      </c>
      <c r="B452" s="2143" t="s">
        <v>14658</v>
      </c>
      <c r="C452" s="2141" t="s">
        <v>69</v>
      </c>
      <c r="D452" s="2264" t="s">
        <v>15240</v>
      </c>
      <c r="E452" s="2141" t="s">
        <v>13949</v>
      </c>
      <c r="F452" s="2142" t="s">
        <v>14081</v>
      </c>
      <c r="G452" s="2141"/>
      <c r="H452" s="2143"/>
      <c r="I452" s="2143" t="s">
        <v>15369</v>
      </c>
      <c r="J452" s="2141" t="s">
        <v>14082</v>
      </c>
      <c r="K452" s="2141" t="s">
        <v>14083</v>
      </c>
      <c r="L452" s="2144">
        <v>7800000</v>
      </c>
      <c r="M452" s="2141" t="s">
        <v>251</v>
      </c>
      <c r="N452" s="2140">
        <v>45044</v>
      </c>
      <c r="O452" s="2140">
        <v>45079</v>
      </c>
      <c r="P452" s="2140">
        <v>45097</v>
      </c>
      <c r="Q452" s="2143" t="s">
        <v>8856</v>
      </c>
      <c r="R452" s="2141"/>
      <c r="S452" s="2144">
        <v>7350466.5</v>
      </c>
      <c r="T452" s="2144">
        <v>8894064.4700000007</v>
      </c>
      <c r="U452" s="2145"/>
      <c r="V452" s="2145"/>
      <c r="W452" s="2145"/>
      <c r="X452" s="2146">
        <v>45097</v>
      </c>
      <c r="Y452" s="2260" t="s">
        <v>15156</v>
      </c>
      <c r="Z452" s="2140">
        <v>45100</v>
      </c>
      <c r="AA452" s="2140">
        <v>45118</v>
      </c>
      <c r="AB452" s="2140">
        <v>45107</v>
      </c>
      <c r="AC452" s="2799"/>
      <c r="AD452" s="2799"/>
    </row>
    <row r="453" spans="1:31" ht="30">
      <c r="A453" s="2140">
        <v>45036</v>
      </c>
      <c r="B453" s="2143" t="s">
        <v>14661</v>
      </c>
      <c r="C453" s="2141" t="s">
        <v>1754</v>
      </c>
      <c r="D453" s="2141" t="s">
        <v>1753</v>
      </c>
      <c r="E453" s="2141" t="s">
        <v>13950</v>
      </c>
      <c r="F453" s="2142" t="s">
        <v>14662</v>
      </c>
      <c r="G453" s="2141"/>
      <c r="H453" s="2143"/>
      <c r="I453" s="2143" t="s">
        <v>15369</v>
      </c>
      <c r="J453" s="2264" t="s">
        <v>14663</v>
      </c>
      <c r="K453" s="2141"/>
      <c r="L453" s="2144">
        <v>14250000</v>
      </c>
      <c r="M453" s="2141" t="s">
        <v>251</v>
      </c>
      <c r="N453" s="2140">
        <v>45042</v>
      </c>
      <c r="O453" s="2140">
        <v>45090</v>
      </c>
      <c r="P453" s="2140">
        <v>45099</v>
      </c>
      <c r="Q453" s="2143" t="s">
        <v>333</v>
      </c>
      <c r="R453" s="2141"/>
      <c r="S453" s="2144">
        <v>13899486.1</v>
      </c>
      <c r="T453" s="2144">
        <v>16818378.18</v>
      </c>
      <c r="U453" s="2145"/>
      <c r="V453" s="2145"/>
      <c r="W453" s="2145"/>
      <c r="X453" s="2146">
        <v>45099</v>
      </c>
      <c r="Y453" s="2144" t="s">
        <v>15178</v>
      </c>
      <c r="Z453" s="2140">
        <v>45105</v>
      </c>
      <c r="AA453" s="2140">
        <v>45111</v>
      </c>
      <c r="AB453" s="2140">
        <v>45235</v>
      </c>
      <c r="AC453" s="2799"/>
      <c r="AD453" s="2799"/>
    </row>
    <row r="454" spans="1:31" ht="30">
      <c r="A454" s="2140">
        <v>45037</v>
      </c>
      <c r="B454" s="2143" t="s">
        <v>14669</v>
      </c>
      <c r="C454" s="2141" t="s">
        <v>2434</v>
      </c>
      <c r="D454" s="2141" t="s">
        <v>3204</v>
      </c>
      <c r="E454" s="2141" t="s">
        <v>13948</v>
      </c>
      <c r="F454" s="2142" t="s">
        <v>14670</v>
      </c>
      <c r="G454" s="2141"/>
      <c r="H454" s="2143"/>
      <c r="I454" s="2143" t="s">
        <v>15369</v>
      </c>
      <c r="J454" s="2141" t="s">
        <v>642</v>
      </c>
      <c r="K454" s="2141"/>
      <c r="L454" s="2144">
        <v>4505600</v>
      </c>
      <c r="M454" s="2141" t="s">
        <v>251</v>
      </c>
      <c r="N454" s="2140">
        <v>45041</v>
      </c>
      <c r="O454" s="2140">
        <v>45077</v>
      </c>
      <c r="P454" s="2140">
        <v>45121</v>
      </c>
      <c r="Q454" s="2143" t="s">
        <v>198</v>
      </c>
      <c r="R454" s="2141"/>
      <c r="S454" s="2144">
        <v>3949000</v>
      </c>
      <c r="T454" s="2144">
        <v>4778290</v>
      </c>
      <c r="U454" s="2145"/>
      <c r="V454" s="2145"/>
      <c r="W454" s="2145"/>
      <c r="X454" s="2146">
        <v>45121</v>
      </c>
      <c r="Y454" s="2260" t="s">
        <v>15374</v>
      </c>
      <c r="Z454" s="2271">
        <v>45145</v>
      </c>
      <c r="AA454" s="2140">
        <v>45155</v>
      </c>
      <c r="AB454" s="2140">
        <v>46652</v>
      </c>
      <c r="AC454" s="2799"/>
      <c r="AD454" s="2799"/>
      <c r="AE454" s="360" t="s">
        <v>15562</v>
      </c>
    </row>
    <row r="455" spans="1:31" ht="30.75" thickBot="1">
      <c r="A455" s="618">
        <v>45037</v>
      </c>
      <c r="B455" s="2631" t="s">
        <v>14674</v>
      </c>
      <c r="C455" s="413" t="s">
        <v>58</v>
      </c>
      <c r="D455" s="413" t="s">
        <v>4969</v>
      </c>
      <c r="E455" s="413" t="s">
        <v>13951</v>
      </c>
      <c r="F455" s="615" t="s">
        <v>14675</v>
      </c>
      <c r="G455" s="413"/>
      <c r="H455" s="2631"/>
      <c r="I455" s="2911" t="s">
        <v>15369</v>
      </c>
      <c r="J455" s="413" t="s">
        <v>4527</v>
      </c>
      <c r="K455" s="413" t="s">
        <v>14676</v>
      </c>
      <c r="L455" s="620">
        <v>1240000</v>
      </c>
      <c r="M455" s="413" t="s">
        <v>112</v>
      </c>
      <c r="N455" s="618">
        <v>45043</v>
      </c>
      <c r="O455" s="618">
        <v>45063</v>
      </c>
      <c r="P455" s="618">
        <v>45084</v>
      </c>
      <c r="Q455" s="2631" t="s">
        <v>14034</v>
      </c>
      <c r="R455" s="413"/>
      <c r="S455" s="620">
        <v>896900</v>
      </c>
      <c r="T455" s="620">
        <v>1085249</v>
      </c>
      <c r="U455" s="2686"/>
      <c r="V455" s="2686"/>
      <c r="W455" s="2686"/>
      <c r="X455" s="2632">
        <v>45084</v>
      </c>
      <c r="Y455" s="2633" t="s">
        <v>15064</v>
      </c>
      <c r="Z455" s="618">
        <v>45100</v>
      </c>
      <c r="AA455" s="618">
        <v>45100</v>
      </c>
      <c r="AB455" s="413"/>
      <c r="AC455" s="2799"/>
      <c r="AD455" s="2799"/>
    </row>
    <row r="456" spans="1:31" ht="15.75" thickTop="1">
      <c r="A456" s="474">
        <v>45040</v>
      </c>
      <c r="B456" s="1420" t="s">
        <v>14686</v>
      </c>
      <c r="C456" s="453" t="s">
        <v>69</v>
      </c>
      <c r="D456" s="453" t="s">
        <v>15131</v>
      </c>
      <c r="E456" s="453" t="s">
        <v>13948</v>
      </c>
      <c r="F456" s="473" t="s">
        <v>14684</v>
      </c>
      <c r="G456" s="453">
        <v>1</v>
      </c>
      <c r="H456" s="1420" t="s">
        <v>14685</v>
      </c>
      <c r="I456" s="1420" t="s">
        <v>15369</v>
      </c>
      <c r="J456" s="453" t="s">
        <v>813</v>
      </c>
      <c r="K456" s="453"/>
      <c r="L456" s="457">
        <v>22538566</v>
      </c>
      <c r="M456" s="453" t="s">
        <v>251</v>
      </c>
      <c r="N456" s="474">
        <v>45075</v>
      </c>
      <c r="O456" s="474">
        <v>45138</v>
      </c>
      <c r="P456" s="474">
        <v>45161</v>
      </c>
      <c r="Q456" s="1420" t="s">
        <v>576</v>
      </c>
      <c r="R456" s="453"/>
      <c r="S456" s="457">
        <v>16812550.210000001</v>
      </c>
      <c r="T456" s="457">
        <v>18493805.23</v>
      </c>
      <c r="U456" s="1474"/>
      <c r="V456" s="1474"/>
      <c r="W456" s="1474"/>
      <c r="X456" s="570">
        <v>45161</v>
      </c>
      <c r="Y456" s="457" t="s">
        <v>15677</v>
      </c>
      <c r="Z456" s="474">
        <v>45183</v>
      </c>
      <c r="AA456" s="474">
        <v>45184</v>
      </c>
      <c r="AB456" s="474">
        <v>46278</v>
      </c>
      <c r="AC456" s="2799"/>
      <c r="AD456" s="2799"/>
    </row>
    <row r="457" spans="1:31" ht="15.75" thickBot="1">
      <c r="A457" s="2117">
        <v>45040</v>
      </c>
      <c r="B457" s="2120" t="s">
        <v>14687</v>
      </c>
      <c r="C457" s="2118" t="s">
        <v>69</v>
      </c>
      <c r="D457" s="2118" t="s">
        <v>15131</v>
      </c>
      <c r="E457" s="2118" t="s">
        <v>13948</v>
      </c>
      <c r="F457" s="2119" t="s">
        <v>14684</v>
      </c>
      <c r="G457" s="2118">
        <v>2</v>
      </c>
      <c r="H457" s="2120" t="s">
        <v>14688</v>
      </c>
      <c r="I457" s="2120" t="s">
        <v>15369</v>
      </c>
      <c r="J457" s="2118" t="s">
        <v>813</v>
      </c>
      <c r="K457" s="2118"/>
      <c r="L457" s="2121">
        <v>899487</v>
      </c>
      <c r="M457" s="2118" t="s">
        <v>251</v>
      </c>
      <c r="N457" s="2117">
        <v>45075</v>
      </c>
      <c r="O457" s="2117">
        <v>45138</v>
      </c>
      <c r="P457" s="2117">
        <v>45161</v>
      </c>
      <c r="Q457" s="2120" t="s">
        <v>576</v>
      </c>
      <c r="R457" s="2118"/>
      <c r="S457" s="2121">
        <v>899486.6</v>
      </c>
      <c r="T457" s="2121">
        <v>989435.26</v>
      </c>
      <c r="U457" s="2122"/>
      <c r="V457" s="2122"/>
      <c r="W457" s="2122"/>
      <c r="X457" s="2123">
        <v>45161</v>
      </c>
      <c r="Y457" s="2121" t="s">
        <v>15678</v>
      </c>
      <c r="Z457" s="2117">
        <v>45183</v>
      </c>
      <c r="AA457" s="2117">
        <v>45184</v>
      </c>
      <c r="AB457" s="2117">
        <v>46278</v>
      </c>
      <c r="AC457" s="2799"/>
      <c r="AD457" s="2799"/>
    </row>
    <row r="458" spans="1:31" ht="15.75" thickTop="1">
      <c r="A458" s="474">
        <v>45040</v>
      </c>
      <c r="B458" s="1420" t="s">
        <v>14689</v>
      </c>
      <c r="C458" s="453" t="s">
        <v>69</v>
      </c>
      <c r="D458" s="453" t="s">
        <v>15131</v>
      </c>
      <c r="E458" s="453" t="s">
        <v>13948</v>
      </c>
      <c r="F458" s="473" t="s">
        <v>14690</v>
      </c>
      <c r="G458" s="453">
        <v>1</v>
      </c>
      <c r="H458" s="1420" t="s">
        <v>14691</v>
      </c>
      <c r="I458" s="1420" t="s">
        <v>15369</v>
      </c>
      <c r="J458" s="453" t="s">
        <v>68</v>
      </c>
      <c r="K458" s="453"/>
      <c r="L458" s="457">
        <v>18473827</v>
      </c>
      <c r="M458" s="453" t="s">
        <v>251</v>
      </c>
      <c r="N458" s="474">
        <v>45057</v>
      </c>
      <c r="O458" s="474">
        <v>45092</v>
      </c>
      <c r="P458" s="474">
        <v>45106</v>
      </c>
      <c r="Q458" s="1420" t="s">
        <v>13761</v>
      </c>
      <c r="R458" s="453"/>
      <c r="S458" s="457">
        <v>18300900</v>
      </c>
      <c r="T458" s="457">
        <v>20130990</v>
      </c>
      <c r="U458" s="1474"/>
      <c r="V458" s="1474"/>
      <c r="W458" s="1474"/>
      <c r="X458" s="570">
        <v>45106</v>
      </c>
      <c r="Y458" s="457" t="s">
        <v>15279</v>
      </c>
      <c r="Z458" s="474">
        <v>45138</v>
      </c>
      <c r="AA458" s="474">
        <v>45149</v>
      </c>
      <c r="AB458" s="474">
        <v>46275</v>
      </c>
      <c r="AC458" s="2799"/>
      <c r="AD458" s="2799"/>
      <c r="AE458" s="360" t="s">
        <v>15016</v>
      </c>
    </row>
    <row r="459" spans="1:31" ht="15.75" thickBot="1">
      <c r="A459" s="416">
        <v>45040</v>
      </c>
      <c r="B459" s="630" t="s">
        <v>14692</v>
      </c>
      <c r="C459" s="411" t="s">
        <v>69</v>
      </c>
      <c r="D459" s="411" t="s">
        <v>15131</v>
      </c>
      <c r="E459" s="411" t="s">
        <v>13948</v>
      </c>
      <c r="F459" s="412" t="s">
        <v>14690</v>
      </c>
      <c r="G459" s="411">
        <v>2</v>
      </c>
      <c r="H459" s="630" t="s">
        <v>14693</v>
      </c>
      <c r="I459" s="630" t="s">
        <v>15369</v>
      </c>
      <c r="J459" s="411" t="s">
        <v>68</v>
      </c>
      <c r="K459" s="411"/>
      <c r="L459" s="417">
        <v>864552</v>
      </c>
      <c r="M459" s="411" t="s">
        <v>251</v>
      </c>
      <c r="N459" s="416">
        <v>45057</v>
      </c>
      <c r="O459" s="416">
        <v>45092</v>
      </c>
      <c r="P459" s="416">
        <v>45106</v>
      </c>
      <c r="Q459" s="630" t="s">
        <v>13761</v>
      </c>
      <c r="R459" s="411"/>
      <c r="S459" s="417">
        <v>864550.68</v>
      </c>
      <c r="T459" s="417">
        <v>951005.75</v>
      </c>
      <c r="U459" s="1480"/>
      <c r="V459" s="1480"/>
      <c r="W459" s="1480"/>
      <c r="X459" s="513">
        <v>45106</v>
      </c>
      <c r="Y459" s="417" t="s">
        <v>15280</v>
      </c>
      <c r="Z459" s="416">
        <v>45138</v>
      </c>
      <c r="AA459" s="416">
        <v>45149</v>
      </c>
      <c r="AB459" s="416">
        <v>46275</v>
      </c>
      <c r="AC459" s="2799"/>
      <c r="AD459" s="2799"/>
      <c r="AE459" s="360" t="s">
        <v>15016</v>
      </c>
    </row>
    <row r="460" spans="1:31" ht="30.75" thickTop="1">
      <c r="A460" s="474">
        <v>45037</v>
      </c>
      <c r="B460" s="1420" t="s">
        <v>14701</v>
      </c>
      <c r="C460" s="453" t="s">
        <v>58</v>
      </c>
      <c r="D460" s="453" t="s">
        <v>4969</v>
      </c>
      <c r="E460" s="453" t="s">
        <v>13950</v>
      </c>
      <c r="F460" s="473" t="s">
        <v>14703</v>
      </c>
      <c r="G460" s="453">
        <v>1</v>
      </c>
      <c r="H460" s="1420" t="s">
        <v>14720</v>
      </c>
      <c r="I460" s="1420" t="s">
        <v>15369</v>
      </c>
      <c r="J460" s="453" t="s">
        <v>396</v>
      </c>
      <c r="K460" s="453" t="s">
        <v>14721</v>
      </c>
      <c r="L460" s="457">
        <v>3894994</v>
      </c>
      <c r="M460" s="453" t="s">
        <v>251</v>
      </c>
      <c r="N460" s="474">
        <v>45044</v>
      </c>
      <c r="O460" s="474">
        <v>45104</v>
      </c>
      <c r="P460" s="474">
        <v>45152</v>
      </c>
      <c r="Q460" s="1420" t="s">
        <v>12260</v>
      </c>
      <c r="R460" s="453"/>
      <c r="S460" s="457">
        <v>3861134.42</v>
      </c>
      <c r="T460" s="457">
        <v>4671972.6500000004</v>
      </c>
      <c r="U460" s="1474"/>
      <c r="V460" s="1474"/>
      <c r="W460" s="1474"/>
      <c r="X460" s="570">
        <v>45152</v>
      </c>
      <c r="Y460" s="1387" t="s">
        <v>15581</v>
      </c>
      <c r="Z460" s="474">
        <v>45182</v>
      </c>
      <c r="AA460" s="474">
        <v>45184</v>
      </c>
      <c r="AB460" s="474">
        <v>45392</v>
      </c>
      <c r="AC460" s="2799"/>
      <c r="AD460" s="2799"/>
    </row>
    <row r="461" spans="1:31" ht="15.75" thickBot="1">
      <c r="A461" s="2130">
        <v>45037</v>
      </c>
      <c r="B461" s="2133" t="s">
        <v>14702</v>
      </c>
      <c r="C461" s="2131" t="s">
        <v>58</v>
      </c>
      <c r="D461" s="2131" t="s">
        <v>4969</v>
      </c>
      <c r="E461" s="2131" t="s">
        <v>13950</v>
      </c>
      <c r="F461" s="2132" t="s">
        <v>14703</v>
      </c>
      <c r="G461" s="2131">
        <v>2</v>
      </c>
      <c r="H461" s="2133" t="s">
        <v>14719</v>
      </c>
      <c r="I461" s="2133" t="s">
        <v>242</v>
      </c>
      <c r="J461" s="2131" t="s">
        <v>396</v>
      </c>
      <c r="K461" s="2131" t="s">
        <v>14722</v>
      </c>
      <c r="L461" s="2134">
        <v>2847273</v>
      </c>
      <c r="M461" s="2131" t="s">
        <v>251</v>
      </c>
      <c r="N461" s="2130">
        <v>45044</v>
      </c>
      <c r="O461" s="2130">
        <v>45104</v>
      </c>
      <c r="P461" s="2131"/>
      <c r="Q461" s="2137" t="s">
        <v>4830</v>
      </c>
      <c r="R461" s="2287" t="s">
        <v>15565</v>
      </c>
      <c r="S461" s="2134"/>
      <c r="T461" s="2134"/>
      <c r="U461" s="2135"/>
      <c r="V461" s="2135"/>
      <c r="W461" s="2135"/>
      <c r="X461" s="2134"/>
      <c r="Y461" s="2134"/>
      <c r="Z461" s="2131"/>
      <c r="AA461" s="2130">
        <v>45135</v>
      </c>
      <c r="AB461" s="2133" t="s">
        <v>15312</v>
      </c>
      <c r="AC461" s="2799"/>
      <c r="AD461" s="2799"/>
    </row>
    <row r="462" spans="1:31" ht="15.75" thickTop="1">
      <c r="A462" s="470">
        <v>45041</v>
      </c>
      <c r="B462" s="654" t="s">
        <v>14699</v>
      </c>
      <c r="C462" s="466" t="s">
        <v>69</v>
      </c>
      <c r="D462" s="466" t="s">
        <v>15131</v>
      </c>
      <c r="E462" s="466" t="s">
        <v>13949</v>
      </c>
      <c r="F462" s="467" t="s">
        <v>14878</v>
      </c>
      <c r="G462" s="466"/>
      <c r="H462" s="654"/>
      <c r="I462" s="654" t="s">
        <v>242</v>
      </c>
      <c r="J462" s="466" t="s">
        <v>14498</v>
      </c>
      <c r="K462" s="466"/>
      <c r="L462" s="472">
        <v>1399800</v>
      </c>
      <c r="M462" s="466" t="s">
        <v>251</v>
      </c>
      <c r="N462" s="470">
        <v>45070</v>
      </c>
      <c r="O462" s="470">
        <v>45105</v>
      </c>
      <c r="P462" s="466"/>
      <c r="Q462" s="471" t="s">
        <v>15665</v>
      </c>
      <c r="R462" s="2014" t="s">
        <v>15737</v>
      </c>
      <c r="S462" s="472"/>
      <c r="T462" s="472"/>
      <c r="U462" s="1516"/>
      <c r="V462" s="1516"/>
      <c r="W462" s="1516"/>
      <c r="X462" s="472"/>
      <c r="Y462" s="472"/>
      <c r="Z462" s="466"/>
      <c r="AA462" s="470">
        <v>45184</v>
      </c>
      <c r="AB462" s="654" t="s">
        <v>15753</v>
      </c>
      <c r="AC462" s="2799"/>
      <c r="AD462" s="2799"/>
    </row>
    <row r="463" spans="1:31" ht="15.75" thickBot="1">
      <c r="A463" s="2140">
        <v>45041</v>
      </c>
      <c r="B463" s="2143" t="s">
        <v>14700</v>
      </c>
      <c r="C463" s="2141" t="s">
        <v>69</v>
      </c>
      <c r="D463" s="2141" t="s">
        <v>15129</v>
      </c>
      <c r="E463" s="2141" t="s">
        <v>13948</v>
      </c>
      <c r="F463" s="2142" t="s">
        <v>14694</v>
      </c>
      <c r="G463" s="2141"/>
      <c r="H463" s="2143"/>
      <c r="I463" s="2143" t="s">
        <v>15369</v>
      </c>
      <c r="J463" s="2141" t="s">
        <v>12172</v>
      </c>
      <c r="K463" s="2141"/>
      <c r="L463" s="2144">
        <v>2105165</v>
      </c>
      <c r="M463" s="2141" t="s">
        <v>216</v>
      </c>
      <c r="N463" s="2140">
        <v>45051</v>
      </c>
      <c r="O463" s="2140">
        <v>45078</v>
      </c>
      <c r="P463" s="2140">
        <v>45007</v>
      </c>
      <c r="Q463" s="2143" t="s">
        <v>5805</v>
      </c>
      <c r="R463" s="2141"/>
      <c r="S463" s="2144">
        <v>2105162.36</v>
      </c>
      <c r="T463" s="2144">
        <v>2315678.6</v>
      </c>
      <c r="U463" s="2145"/>
      <c r="V463" s="2145"/>
      <c r="W463" s="2145"/>
      <c r="X463" s="2146">
        <v>45007</v>
      </c>
      <c r="Y463" s="2144" t="s">
        <v>15183</v>
      </c>
      <c r="Z463" s="2140">
        <v>45131</v>
      </c>
      <c r="AA463" s="2140">
        <v>45141</v>
      </c>
      <c r="AB463" s="2140">
        <v>46591</v>
      </c>
      <c r="AC463" s="2799"/>
      <c r="AD463" s="2799"/>
    </row>
    <row r="464" spans="1:31" ht="15.75" thickTop="1">
      <c r="A464" s="443">
        <v>45041</v>
      </c>
      <c r="B464" s="1431" t="s">
        <v>14704</v>
      </c>
      <c r="C464" s="439" t="s">
        <v>69</v>
      </c>
      <c r="D464" s="439" t="s">
        <v>15131</v>
      </c>
      <c r="E464" s="439" t="s">
        <v>13949</v>
      </c>
      <c r="F464" s="440" t="s">
        <v>14695</v>
      </c>
      <c r="G464" s="439">
        <v>1</v>
      </c>
      <c r="H464" s="1431" t="s">
        <v>14696</v>
      </c>
      <c r="I464" s="1431" t="s">
        <v>242</v>
      </c>
      <c r="J464" s="439" t="s">
        <v>12927</v>
      </c>
      <c r="K464" s="439"/>
      <c r="L464" s="444">
        <v>6519770</v>
      </c>
      <c r="M464" s="443" t="s">
        <v>251</v>
      </c>
      <c r="N464" s="443">
        <v>45065</v>
      </c>
      <c r="O464" s="443">
        <v>45167</v>
      </c>
      <c r="P464" s="439"/>
      <c r="Q464" s="753" t="s">
        <v>2635</v>
      </c>
      <c r="R464" s="2015" t="s">
        <v>15767</v>
      </c>
      <c r="S464" s="444"/>
      <c r="T464" s="444"/>
      <c r="U464" s="1481"/>
      <c r="V464" s="1481"/>
      <c r="W464" s="1481"/>
      <c r="X464" s="444"/>
      <c r="Y464" s="444"/>
      <c r="Z464" s="439"/>
      <c r="AA464" s="443">
        <v>45184</v>
      </c>
      <c r="AB464" s="1431" t="s">
        <v>15754</v>
      </c>
      <c r="AC464" s="2799"/>
      <c r="AD464" s="2799"/>
    </row>
    <row r="465" spans="1:31">
      <c r="A465" s="2140">
        <v>45041</v>
      </c>
      <c r="B465" s="2143" t="s">
        <v>14705</v>
      </c>
      <c r="C465" s="2141" t="s">
        <v>69</v>
      </c>
      <c r="D465" s="2141" t="s">
        <v>15131</v>
      </c>
      <c r="E465" s="2141" t="s">
        <v>13949</v>
      </c>
      <c r="F465" s="2142" t="s">
        <v>14695</v>
      </c>
      <c r="G465" s="2141">
        <v>2</v>
      </c>
      <c r="H465" s="2143" t="s">
        <v>14697</v>
      </c>
      <c r="I465" s="2143" t="s">
        <v>15369</v>
      </c>
      <c r="J465" s="2141" t="s">
        <v>12927</v>
      </c>
      <c r="K465" s="2141"/>
      <c r="L465" s="2144">
        <v>1331208</v>
      </c>
      <c r="M465" s="2141" t="s">
        <v>251</v>
      </c>
      <c r="N465" s="2140">
        <v>45065</v>
      </c>
      <c r="O465" s="2140">
        <v>45167</v>
      </c>
      <c r="P465" s="2140">
        <v>45217</v>
      </c>
      <c r="Q465" s="2143" t="s">
        <v>6071</v>
      </c>
      <c r="R465" s="2141"/>
      <c r="S465" s="2144">
        <v>1331207.1000000001</v>
      </c>
      <c r="T465" s="2144">
        <v>1464327.81</v>
      </c>
      <c r="U465" s="2145"/>
      <c r="V465" s="2145"/>
      <c r="W465" s="2145"/>
      <c r="X465" s="2146">
        <v>45217</v>
      </c>
      <c r="Y465" s="2144" t="s">
        <v>16055</v>
      </c>
      <c r="Z465" s="2140">
        <v>45230</v>
      </c>
      <c r="AA465" s="2140">
        <v>45232</v>
      </c>
      <c r="AB465" s="2140">
        <v>46325</v>
      </c>
      <c r="AC465" s="2799"/>
      <c r="AD465" s="2799"/>
    </row>
    <row r="466" spans="1:31" ht="15.75" thickBot="1">
      <c r="A466" s="2117">
        <v>45041</v>
      </c>
      <c r="B466" s="2120" t="s">
        <v>14706</v>
      </c>
      <c r="C466" s="2118" t="s">
        <v>69</v>
      </c>
      <c r="D466" s="2118" t="s">
        <v>15131</v>
      </c>
      <c r="E466" s="2118" t="s">
        <v>13949</v>
      </c>
      <c r="F466" s="2119" t="s">
        <v>14695</v>
      </c>
      <c r="G466" s="2118">
        <v>3</v>
      </c>
      <c r="H466" s="2120" t="s">
        <v>14698</v>
      </c>
      <c r="I466" s="2120" t="s">
        <v>15369</v>
      </c>
      <c r="J466" s="2118" t="s">
        <v>12927</v>
      </c>
      <c r="K466" s="2118"/>
      <c r="L466" s="2121">
        <v>8962776</v>
      </c>
      <c r="M466" s="2118" t="s">
        <v>251</v>
      </c>
      <c r="N466" s="2117">
        <v>45065</v>
      </c>
      <c r="O466" s="2117">
        <v>45167</v>
      </c>
      <c r="P466" s="2117">
        <v>45217</v>
      </c>
      <c r="Q466" s="2120" t="s">
        <v>11481</v>
      </c>
      <c r="R466" s="2118"/>
      <c r="S466" s="2121">
        <v>8962776</v>
      </c>
      <c r="T466" s="2121">
        <v>9859053.5999999996</v>
      </c>
      <c r="U466" s="2122"/>
      <c r="V466" s="2122"/>
      <c r="W466" s="2122"/>
      <c r="X466" s="2123">
        <v>45217</v>
      </c>
      <c r="Y466" s="2121" t="s">
        <v>16056</v>
      </c>
      <c r="Z466" s="2117">
        <v>45230</v>
      </c>
      <c r="AA466" s="2117">
        <v>45232</v>
      </c>
      <c r="AB466" s="2117">
        <v>46325</v>
      </c>
      <c r="AC466" s="2799"/>
      <c r="AD466" s="2799"/>
    </row>
    <row r="467" spans="1:31" ht="15.75" thickTop="1">
      <c r="A467" s="474">
        <v>45041</v>
      </c>
      <c r="B467" s="1420" t="s">
        <v>14707</v>
      </c>
      <c r="C467" s="453" t="s">
        <v>69</v>
      </c>
      <c r="D467" s="453" t="s">
        <v>15129</v>
      </c>
      <c r="E467" s="453" t="s">
        <v>13949</v>
      </c>
      <c r="F467" s="473" t="s">
        <v>14708</v>
      </c>
      <c r="G467" s="453">
        <v>1</v>
      </c>
      <c r="H467" s="1420" t="s">
        <v>14709</v>
      </c>
      <c r="I467" s="1420" t="s">
        <v>15369</v>
      </c>
      <c r="J467" s="453" t="s">
        <v>13442</v>
      </c>
      <c r="K467" s="453"/>
      <c r="L467" s="457">
        <v>4155401</v>
      </c>
      <c r="M467" s="453" t="s">
        <v>251</v>
      </c>
      <c r="N467" s="474">
        <v>45057</v>
      </c>
      <c r="O467" s="474">
        <v>45126</v>
      </c>
      <c r="P467" s="474">
        <v>45142</v>
      </c>
      <c r="Q467" s="1420" t="s">
        <v>13761</v>
      </c>
      <c r="R467" s="453"/>
      <c r="S467" s="457">
        <v>4142856.9</v>
      </c>
      <c r="T467" s="457">
        <v>4557142.59</v>
      </c>
      <c r="U467" s="1474"/>
      <c r="V467" s="1474"/>
      <c r="W467" s="1474"/>
      <c r="X467" s="570">
        <v>45142</v>
      </c>
      <c r="Y467" s="457" t="s">
        <v>15493</v>
      </c>
      <c r="Z467" s="474">
        <v>45169</v>
      </c>
      <c r="AA467" s="474">
        <v>45174</v>
      </c>
      <c r="AB467" s="474">
        <v>46264</v>
      </c>
      <c r="AC467" s="2799"/>
      <c r="AD467" s="2799"/>
    </row>
    <row r="468" spans="1:31">
      <c r="A468" s="2140">
        <v>45041</v>
      </c>
      <c r="B468" s="2143" t="s">
        <v>14710</v>
      </c>
      <c r="C468" s="2141" t="s">
        <v>69</v>
      </c>
      <c r="D468" s="2141" t="s">
        <v>15129</v>
      </c>
      <c r="E468" s="2141" t="s">
        <v>13949</v>
      </c>
      <c r="F468" s="2142" t="s">
        <v>14708</v>
      </c>
      <c r="G468" s="2141">
        <v>2</v>
      </c>
      <c r="H468" s="2143" t="s">
        <v>14711</v>
      </c>
      <c r="I468" s="2143" t="s">
        <v>15369</v>
      </c>
      <c r="J468" s="2141" t="s">
        <v>13442</v>
      </c>
      <c r="K468" s="2141"/>
      <c r="L468" s="2144">
        <v>2902134</v>
      </c>
      <c r="M468" s="2141" t="s">
        <v>251</v>
      </c>
      <c r="N468" s="2140">
        <v>45057</v>
      </c>
      <c r="O468" s="2140">
        <v>45126</v>
      </c>
      <c r="P468" s="2140">
        <v>45142</v>
      </c>
      <c r="Q468" s="2143" t="s">
        <v>13761</v>
      </c>
      <c r="R468" s="2141"/>
      <c r="S468" s="2144">
        <v>2902132.17</v>
      </c>
      <c r="T468" s="2144">
        <v>3192345.39</v>
      </c>
      <c r="U468" s="2145"/>
      <c r="V468" s="2145"/>
      <c r="W468" s="2145"/>
      <c r="X468" s="2146">
        <v>45142</v>
      </c>
      <c r="Y468" s="2144" t="s">
        <v>15494</v>
      </c>
      <c r="Z468" s="2140">
        <v>45169</v>
      </c>
      <c r="AA468" s="2140">
        <v>45174</v>
      </c>
      <c r="AB468" s="2140">
        <v>46264</v>
      </c>
      <c r="AC468" s="2799"/>
      <c r="AD468" s="2799"/>
    </row>
    <row r="469" spans="1:31" ht="15.75" thickBot="1">
      <c r="A469" s="2117">
        <v>45041</v>
      </c>
      <c r="B469" s="2120" t="s">
        <v>14713</v>
      </c>
      <c r="C469" s="2118" t="s">
        <v>69</v>
      </c>
      <c r="D469" s="2118" t="s">
        <v>15129</v>
      </c>
      <c r="E469" s="2118" t="s">
        <v>13949</v>
      </c>
      <c r="F469" s="2119" t="s">
        <v>14708</v>
      </c>
      <c r="G469" s="2118">
        <v>3</v>
      </c>
      <c r="H469" s="2120" t="s">
        <v>14712</v>
      </c>
      <c r="I469" s="2120" t="s">
        <v>15369</v>
      </c>
      <c r="J469" s="2118" t="s">
        <v>13442</v>
      </c>
      <c r="K469" s="2118"/>
      <c r="L469" s="2121">
        <v>1747118</v>
      </c>
      <c r="M469" s="2118" t="s">
        <v>251</v>
      </c>
      <c r="N469" s="2117">
        <v>45057</v>
      </c>
      <c r="O469" s="2117">
        <v>45126</v>
      </c>
      <c r="P469" s="2117">
        <v>45142</v>
      </c>
      <c r="Q469" s="2120" t="s">
        <v>576</v>
      </c>
      <c r="R469" s="2118"/>
      <c r="S469" s="2121">
        <v>1747114.8</v>
      </c>
      <c r="T469" s="2121">
        <v>1921826.28</v>
      </c>
      <c r="U469" s="2122"/>
      <c r="V469" s="2122"/>
      <c r="W469" s="2122"/>
      <c r="X469" s="2123">
        <v>45142</v>
      </c>
      <c r="Y469" s="2121" t="s">
        <v>15495</v>
      </c>
      <c r="Z469" s="2117">
        <v>45169</v>
      </c>
      <c r="AA469" s="2117">
        <v>45174</v>
      </c>
      <c r="AB469" s="2117">
        <v>46264</v>
      </c>
      <c r="AC469" s="2799"/>
      <c r="AD469" s="2799"/>
    </row>
    <row r="470" spans="1:31" ht="15.75" thickTop="1">
      <c r="A470" s="443">
        <v>45041</v>
      </c>
      <c r="B470" s="1431" t="s">
        <v>14714</v>
      </c>
      <c r="C470" s="439" t="s">
        <v>69</v>
      </c>
      <c r="D470" s="439" t="s">
        <v>15129</v>
      </c>
      <c r="E470" s="439" t="s">
        <v>13949</v>
      </c>
      <c r="F470" s="440" t="s">
        <v>14715</v>
      </c>
      <c r="G470" s="439">
        <v>1</v>
      </c>
      <c r="H470" s="1431" t="s">
        <v>14716</v>
      </c>
      <c r="I470" s="1431" t="s">
        <v>242</v>
      </c>
      <c r="J470" s="439" t="s">
        <v>3451</v>
      </c>
      <c r="K470" s="439"/>
      <c r="L470" s="444">
        <v>5318196</v>
      </c>
      <c r="M470" s="439" t="s">
        <v>251</v>
      </c>
      <c r="N470" s="443">
        <v>45085</v>
      </c>
      <c r="O470" s="443">
        <v>45120</v>
      </c>
      <c r="P470" s="443">
        <v>45128</v>
      </c>
      <c r="Q470" s="753" t="s">
        <v>4964</v>
      </c>
      <c r="R470" s="2015" t="s">
        <v>16077</v>
      </c>
      <c r="S470" s="444">
        <v>5269320</v>
      </c>
      <c r="T470" s="444">
        <v>5796252</v>
      </c>
      <c r="U470" s="1481"/>
      <c r="V470" s="1481"/>
      <c r="W470" s="1481"/>
      <c r="X470" s="1884">
        <v>45128</v>
      </c>
      <c r="Y470" s="444" t="s">
        <v>15408</v>
      </c>
      <c r="Z470" s="439"/>
      <c r="AA470" s="443">
        <v>45170</v>
      </c>
      <c r="AB470" s="439" t="s">
        <v>15589</v>
      </c>
      <c r="AC470" s="2799"/>
      <c r="AD470" s="2799"/>
    </row>
    <row r="471" spans="1:31">
      <c r="A471" s="643">
        <v>45041</v>
      </c>
      <c r="B471" s="1533" t="s">
        <v>14718</v>
      </c>
      <c r="C471" s="639" t="s">
        <v>69</v>
      </c>
      <c r="D471" s="639" t="s">
        <v>15129</v>
      </c>
      <c r="E471" s="639" t="s">
        <v>13949</v>
      </c>
      <c r="F471" s="282" t="s">
        <v>14715</v>
      </c>
      <c r="G471" s="639">
        <v>2</v>
      </c>
      <c r="H471" s="1533" t="s">
        <v>14717</v>
      </c>
      <c r="I471" s="1533" t="s">
        <v>242</v>
      </c>
      <c r="J471" s="639" t="s">
        <v>3451</v>
      </c>
      <c r="K471" s="639"/>
      <c r="L471" s="645">
        <v>211040</v>
      </c>
      <c r="M471" s="639" t="s">
        <v>251</v>
      </c>
      <c r="N471" s="643">
        <v>45085</v>
      </c>
      <c r="O471" s="643">
        <v>45120</v>
      </c>
      <c r="P471" s="643">
        <v>45128</v>
      </c>
      <c r="Q471" s="644" t="s">
        <v>4964</v>
      </c>
      <c r="R471" s="2019" t="s">
        <v>16077</v>
      </c>
      <c r="S471" s="645">
        <v>209100</v>
      </c>
      <c r="T471" s="645">
        <v>230010</v>
      </c>
      <c r="U471" s="1534"/>
      <c r="V471" s="1534"/>
      <c r="W471" s="1534"/>
      <c r="X471" s="2890">
        <v>45128</v>
      </c>
      <c r="Y471" s="645" t="s">
        <v>15409</v>
      </c>
      <c r="Z471" s="639"/>
      <c r="AA471" s="643">
        <v>45170</v>
      </c>
      <c r="AB471" s="639" t="s">
        <v>15589</v>
      </c>
      <c r="AC471" s="2799"/>
      <c r="AD471" s="2799"/>
    </row>
    <row r="472" spans="1:31" ht="15.75" thickBot="1">
      <c r="A472" s="2130">
        <v>45082</v>
      </c>
      <c r="B472" s="2133" t="s">
        <v>15054</v>
      </c>
      <c r="C472" s="2131" t="s">
        <v>69</v>
      </c>
      <c r="D472" s="2131" t="s">
        <v>15129</v>
      </c>
      <c r="E472" s="2131" t="s">
        <v>13949</v>
      </c>
      <c r="F472" s="2132" t="s">
        <v>14715</v>
      </c>
      <c r="G472" s="2131">
        <v>3</v>
      </c>
      <c r="H472" s="2133" t="s">
        <v>15055</v>
      </c>
      <c r="I472" s="2133" t="s">
        <v>242</v>
      </c>
      <c r="J472" s="2131" t="s">
        <v>3451</v>
      </c>
      <c r="K472" s="2131"/>
      <c r="L472" s="2134">
        <v>26295522</v>
      </c>
      <c r="M472" s="2131" t="s">
        <v>251</v>
      </c>
      <c r="N472" s="2130">
        <v>45085</v>
      </c>
      <c r="O472" s="2130">
        <v>45120</v>
      </c>
      <c r="P472" s="2130">
        <v>45128</v>
      </c>
      <c r="Q472" s="2137" t="s">
        <v>4964</v>
      </c>
      <c r="R472" s="2287" t="s">
        <v>16077</v>
      </c>
      <c r="S472" s="2134">
        <v>25440828</v>
      </c>
      <c r="T472" s="2134">
        <v>27984910.800000001</v>
      </c>
      <c r="U472" s="2135"/>
      <c r="V472" s="2135"/>
      <c r="W472" s="2135"/>
      <c r="X472" s="2163">
        <v>45128</v>
      </c>
      <c r="Y472" s="2134" t="s">
        <v>15410</v>
      </c>
      <c r="Z472" s="2131"/>
      <c r="AA472" s="2130">
        <v>45170</v>
      </c>
      <c r="AB472" s="2131" t="s">
        <v>15589</v>
      </c>
      <c r="AC472" s="2799"/>
      <c r="AD472" s="2799"/>
    </row>
    <row r="473" spans="1:31" ht="15.75" thickTop="1">
      <c r="A473" s="474" t="s">
        <v>3585</v>
      </c>
      <c r="B473" s="1420" t="s">
        <v>15000</v>
      </c>
      <c r="C473" s="453" t="s">
        <v>837</v>
      </c>
      <c r="D473" s="453" t="s">
        <v>4969</v>
      </c>
      <c r="E473" s="453" t="s">
        <v>13950</v>
      </c>
      <c r="F473" s="473" t="s">
        <v>15001</v>
      </c>
      <c r="G473" s="453"/>
      <c r="H473" s="1420"/>
      <c r="I473" s="1420" t="s">
        <v>15369</v>
      </c>
      <c r="J473" s="453" t="s">
        <v>13235</v>
      </c>
      <c r="K473" s="453"/>
      <c r="L473" s="457">
        <v>564800000</v>
      </c>
      <c r="M473" s="453" t="s">
        <v>251</v>
      </c>
      <c r="N473" s="474">
        <v>45125</v>
      </c>
      <c r="O473" s="474">
        <v>45168</v>
      </c>
      <c r="P473" s="474">
        <v>45231</v>
      </c>
      <c r="Q473" s="1420" t="s">
        <v>16020</v>
      </c>
      <c r="R473" s="453"/>
      <c r="S473" s="457">
        <v>530548268.39999998</v>
      </c>
      <c r="T473" s="457">
        <v>641963404.75999999</v>
      </c>
      <c r="U473" s="1474"/>
      <c r="V473" s="1474"/>
      <c r="W473" s="1474"/>
      <c r="X473" s="570">
        <v>45231</v>
      </c>
      <c r="Y473" s="457" t="s">
        <v>16019</v>
      </c>
      <c r="Z473" s="474">
        <v>45254</v>
      </c>
      <c r="AA473" s="474">
        <v>45275</v>
      </c>
      <c r="AB473" s="453"/>
      <c r="AC473" s="2799"/>
      <c r="AD473" s="2799"/>
    </row>
    <row r="474" spans="1:31">
      <c r="A474" s="470">
        <v>45043</v>
      </c>
      <c r="B474" s="654" t="s">
        <v>14739</v>
      </c>
      <c r="C474" s="466" t="s">
        <v>58</v>
      </c>
      <c r="D474" s="466" t="s">
        <v>4969</v>
      </c>
      <c r="E474" s="466" t="s">
        <v>13951</v>
      </c>
      <c r="F474" s="467" t="s">
        <v>14740</v>
      </c>
      <c r="G474" s="466"/>
      <c r="H474" s="654"/>
      <c r="I474" s="654" t="s">
        <v>242</v>
      </c>
      <c r="J474" s="466" t="s">
        <v>476</v>
      </c>
      <c r="K474" s="466" t="s">
        <v>14741</v>
      </c>
      <c r="L474" s="472">
        <v>177000</v>
      </c>
      <c r="M474" s="466" t="s">
        <v>112</v>
      </c>
      <c r="N474" s="470">
        <v>45050</v>
      </c>
      <c r="O474" s="470">
        <v>45062</v>
      </c>
      <c r="P474" s="466"/>
      <c r="Q474" s="471" t="s">
        <v>4964</v>
      </c>
      <c r="R474" s="2014" t="s">
        <v>15024</v>
      </c>
      <c r="S474" s="472"/>
      <c r="T474" s="472"/>
      <c r="U474" s="1489"/>
      <c r="V474" s="1489"/>
      <c r="W474" s="1489"/>
      <c r="X474" s="472"/>
      <c r="Y474" s="472"/>
      <c r="Z474" s="466"/>
      <c r="AA474" s="470">
        <v>45058</v>
      </c>
      <c r="AB474" s="466"/>
      <c r="AC474" s="2799"/>
      <c r="AD474" s="2799"/>
    </row>
    <row r="475" spans="1:31">
      <c r="A475" s="2141" t="s">
        <v>3585</v>
      </c>
      <c r="B475" s="2143" t="s">
        <v>14745</v>
      </c>
      <c r="C475" s="2141" t="s">
        <v>1754</v>
      </c>
      <c r="D475" s="2141" t="s">
        <v>13</v>
      </c>
      <c r="E475" s="2141" t="s">
        <v>13950</v>
      </c>
      <c r="F475" s="2142" t="s">
        <v>14746</v>
      </c>
      <c r="G475" s="2141"/>
      <c r="H475" s="2143"/>
      <c r="I475" s="2143" t="s">
        <v>15369</v>
      </c>
      <c r="J475" s="2141" t="s">
        <v>2430</v>
      </c>
      <c r="K475" s="2141"/>
      <c r="L475" s="2144">
        <v>4636500</v>
      </c>
      <c r="M475" s="2141" t="s">
        <v>251</v>
      </c>
      <c r="N475" s="2140">
        <v>45048</v>
      </c>
      <c r="O475" s="2140">
        <v>45082</v>
      </c>
      <c r="P475" s="2140">
        <v>45098</v>
      </c>
      <c r="Q475" s="2143" t="s">
        <v>6319</v>
      </c>
      <c r="R475" s="2141"/>
      <c r="S475" s="2144">
        <v>4334200</v>
      </c>
      <c r="T475" s="2144">
        <v>5244382</v>
      </c>
      <c r="U475" s="2145"/>
      <c r="V475" s="2145"/>
      <c r="W475" s="2145"/>
      <c r="X475" s="2146">
        <v>45098</v>
      </c>
      <c r="Y475" s="2144" t="s">
        <v>15174</v>
      </c>
      <c r="Z475" s="2140">
        <v>45107</v>
      </c>
      <c r="AA475" s="2140">
        <v>45121</v>
      </c>
      <c r="AB475" s="2140">
        <v>45472</v>
      </c>
      <c r="AC475" s="2799"/>
      <c r="AD475" s="2799"/>
    </row>
    <row r="476" spans="1:31" ht="30">
      <c r="A476" s="2140">
        <v>45043</v>
      </c>
      <c r="B476" s="2143" t="s">
        <v>14744</v>
      </c>
      <c r="C476" s="2141" t="s">
        <v>2434</v>
      </c>
      <c r="D476" s="2141" t="s">
        <v>3204</v>
      </c>
      <c r="E476" s="2141" t="s">
        <v>13952</v>
      </c>
      <c r="F476" s="2142" t="s">
        <v>8997</v>
      </c>
      <c r="G476" s="2141"/>
      <c r="H476" s="2143"/>
      <c r="I476" s="2143" t="s">
        <v>15369</v>
      </c>
      <c r="J476" s="2141" t="s">
        <v>642</v>
      </c>
      <c r="K476" s="2141"/>
      <c r="L476" s="2144">
        <v>9880000</v>
      </c>
      <c r="M476" s="2141" t="s">
        <v>251</v>
      </c>
      <c r="N476" s="2140">
        <v>45051</v>
      </c>
      <c r="O476" s="2140">
        <v>45097</v>
      </c>
      <c r="P476" s="2140">
        <v>45106</v>
      </c>
      <c r="Q476" s="2143" t="s">
        <v>8793</v>
      </c>
      <c r="R476" s="2141"/>
      <c r="S476" s="2144">
        <v>7800000</v>
      </c>
      <c r="T476" s="2144">
        <v>9438000</v>
      </c>
      <c r="U476" s="2145"/>
      <c r="V476" s="2145"/>
      <c r="W476" s="2145"/>
      <c r="X476" s="2146">
        <v>45106</v>
      </c>
      <c r="Y476" s="2260" t="s">
        <v>15300</v>
      </c>
      <c r="Z476" s="2140">
        <v>45145</v>
      </c>
      <c r="AA476" s="2140">
        <v>45155</v>
      </c>
      <c r="AB476" s="2140">
        <v>46652</v>
      </c>
      <c r="AC476" s="2799"/>
      <c r="AD476" s="2799"/>
      <c r="AE476" s="360" t="s">
        <v>15550</v>
      </c>
    </row>
    <row r="477" spans="1:31">
      <c r="A477" s="2124">
        <v>45044</v>
      </c>
      <c r="B477" s="2127" t="s">
        <v>14826</v>
      </c>
      <c r="C477" s="2125" t="s">
        <v>69</v>
      </c>
      <c r="D477" s="2125" t="s">
        <v>15129</v>
      </c>
      <c r="E477" s="2125" t="s">
        <v>13949</v>
      </c>
      <c r="F477" s="2126" t="s">
        <v>14825</v>
      </c>
      <c r="G477" s="2125"/>
      <c r="H477" s="2127"/>
      <c r="I477" s="2127" t="s">
        <v>242</v>
      </c>
      <c r="J477" s="2125" t="s">
        <v>4276</v>
      </c>
      <c r="K477" s="2125"/>
      <c r="L477" s="2128">
        <v>5580223</v>
      </c>
      <c r="M477" s="2125" t="s">
        <v>251</v>
      </c>
      <c r="N477" s="2124">
        <v>45058</v>
      </c>
      <c r="O477" s="2124">
        <v>45124</v>
      </c>
      <c r="P477" s="2124">
        <v>45135</v>
      </c>
      <c r="Q477" s="2586" t="s">
        <v>15667</v>
      </c>
      <c r="R477" s="2180" t="s">
        <v>15725</v>
      </c>
      <c r="S477" s="2128">
        <v>5561109.1799999997</v>
      </c>
      <c r="T477" s="2128">
        <v>6117220.0999999996</v>
      </c>
      <c r="U477" s="2129"/>
      <c r="V477" s="2129"/>
      <c r="W477" s="2129"/>
      <c r="X477" s="2281">
        <v>45135</v>
      </c>
      <c r="Y477" s="2128" t="s">
        <v>15458</v>
      </c>
      <c r="Z477" s="2125"/>
      <c r="AA477" s="2124">
        <v>45167</v>
      </c>
      <c r="AB477" s="2127" t="s">
        <v>15738</v>
      </c>
      <c r="AC477" s="2799"/>
      <c r="AD477" s="2799"/>
    </row>
    <row r="478" spans="1:31" ht="15.75" thickBot="1">
      <c r="A478" s="1539">
        <v>45044</v>
      </c>
      <c r="B478" s="1541" t="s">
        <v>14751</v>
      </c>
      <c r="C478" s="185" t="s">
        <v>69</v>
      </c>
      <c r="D478" s="185" t="s">
        <v>15131</v>
      </c>
      <c r="E478" s="185" t="s">
        <v>13949</v>
      </c>
      <c r="F478" s="282" t="s">
        <v>14750</v>
      </c>
      <c r="G478" s="185"/>
      <c r="H478" s="1541"/>
      <c r="I478" s="1541" t="s">
        <v>242</v>
      </c>
      <c r="J478" s="185" t="s">
        <v>9104</v>
      </c>
      <c r="K478" s="185"/>
      <c r="L478" s="1542">
        <v>2357133</v>
      </c>
      <c r="M478" s="185" t="s">
        <v>251</v>
      </c>
      <c r="N478" s="1539">
        <v>45076</v>
      </c>
      <c r="O478" s="1539">
        <v>45132</v>
      </c>
      <c r="P478" s="185"/>
      <c r="Q478" s="2488" t="s">
        <v>304</v>
      </c>
      <c r="R478" s="2627" t="s">
        <v>15952</v>
      </c>
      <c r="S478" s="1542"/>
      <c r="T478" s="1542"/>
      <c r="U478" s="1543"/>
      <c r="V478" s="1543"/>
      <c r="W478" s="1543"/>
      <c r="X478" s="1542"/>
      <c r="Y478" s="1542"/>
      <c r="Z478" s="185"/>
      <c r="AA478" s="1539">
        <v>45134</v>
      </c>
      <c r="AB478" s="1541" t="s">
        <v>15453</v>
      </c>
      <c r="AC478" s="2799"/>
      <c r="AD478" s="2799"/>
    </row>
    <row r="479" spans="1:31" ht="15.75" thickTop="1">
      <c r="A479" s="474">
        <v>45044</v>
      </c>
      <c r="B479" s="1420" t="s">
        <v>14752</v>
      </c>
      <c r="C479" s="453" t="s">
        <v>69</v>
      </c>
      <c r="D479" s="453" t="s">
        <v>15131</v>
      </c>
      <c r="E479" s="453" t="s">
        <v>13949</v>
      </c>
      <c r="F479" s="473" t="s">
        <v>14753</v>
      </c>
      <c r="G479" s="453">
        <v>1</v>
      </c>
      <c r="H479" s="1420" t="s">
        <v>14927</v>
      </c>
      <c r="I479" s="1420" t="s">
        <v>15369</v>
      </c>
      <c r="J479" s="453" t="s">
        <v>9104</v>
      </c>
      <c r="K479" s="453"/>
      <c r="L479" s="457">
        <v>1100000</v>
      </c>
      <c r="M479" s="453" t="s">
        <v>251</v>
      </c>
      <c r="N479" s="474">
        <v>45092</v>
      </c>
      <c r="O479" s="474">
        <v>45245</v>
      </c>
      <c r="P479" s="474">
        <v>45280</v>
      </c>
      <c r="Q479" s="1420" t="s">
        <v>6071</v>
      </c>
      <c r="R479" s="453"/>
      <c r="S479" s="457">
        <v>1099929</v>
      </c>
      <c r="T479" s="457">
        <v>1209921.8999999999</v>
      </c>
      <c r="U479" s="1474"/>
      <c r="V479" s="1474"/>
      <c r="W479" s="1474"/>
      <c r="X479" s="570">
        <v>45280</v>
      </c>
      <c r="Y479" s="457" t="s">
        <v>16440</v>
      </c>
      <c r="Z479" s="474">
        <v>45310</v>
      </c>
      <c r="AA479" s="474">
        <v>45314</v>
      </c>
      <c r="AB479" s="474">
        <v>46405</v>
      </c>
      <c r="AC479" s="2799"/>
      <c r="AD479" s="2799"/>
    </row>
    <row r="480" spans="1:31" ht="15.75" thickBot="1">
      <c r="A480" s="2117">
        <v>45044</v>
      </c>
      <c r="B480" s="2120" t="s">
        <v>14754</v>
      </c>
      <c r="C480" s="2118" t="s">
        <v>69</v>
      </c>
      <c r="D480" s="2118" t="s">
        <v>15131</v>
      </c>
      <c r="E480" s="2118" t="s">
        <v>13949</v>
      </c>
      <c r="F480" s="2119" t="s">
        <v>14753</v>
      </c>
      <c r="G480" s="2118">
        <v>2</v>
      </c>
      <c r="H480" s="2120" t="s">
        <v>14928</v>
      </c>
      <c r="I480" s="2120" t="s">
        <v>15369</v>
      </c>
      <c r="J480" s="2118" t="s">
        <v>9104</v>
      </c>
      <c r="K480" s="2118"/>
      <c r="L480" s="2121">
        <v>8353956</v>
      </c>
      <c r="M480" s="2118" t="s">
        <v>251</v>
      </c>
      <c r="N480" s="2117">
        <v>45092</v>
      </c>
      <c r="O480" s="2117">
        <v>45245</v>
      </c>
      <c r="P480" s="2117">
        <v>45280</v>
      </c>
      <c r="Q480" s="2120" t="s">
        <v>1564</v>
      </c>
      <c r="R480" s="2118"/>
      <c r="S480" s="2121">
        <v>8353182.5999999996</v>
      </c>
      <c r="T480" s="2121">
        <v>9188500.8599999994</v>
      </c>
      <c r="U480" s="2122"/>
      <c r="V480" s="2122"/>
      <c r="W480" s="2122"/>
      <c r="X480" s="2123">
        <v>45280</v>
      </c>
      <c r="Y480" s="2121" t="s">
        <v>16441</v>
      </c>
      <c r="Z480" s="2117">
        <v>45310</v>
      </c>
      <c r="AA480" s="2117">
        <v>45314</v>
      </c>
      <c r="AB480" s="2117">
        <v>46405</v>
      </c>
      <c r="AC480" s="2799"/>
      <c r="AD480" s="2799"/>
    </row>
    <row r="481" spans="1:30" ht="15.75" thickTop="1">
      <c r="A481" s="1640">
        <v>45044</v>
      </c>
      <c r="B481" s="1644" t="s">
        <v>14755</v>
      </c>
      <c r="C481" s="1642" t="s">
        <v>69</v>
      </c>
      <c r="D481" s="1642" t="s">
        <v>15131</v>
      </c>
      <c r="E481" s="1642" t="s">
        <v>13949</v>
      </c>
      <c r="F481" s="1643" t="s">
        <v>14762</v>
      </c>
      <c r="G481" s="1642">
        <v>1</v>
      </c>
      <c r="H481" s="1644" t="s">
        <v>14763</v>
      </c>
      <c r="I481" s="1644" t="s">
        <v>15666</v>
      </c>
      <c r="J481" s="1642" t="s">
        <v>9104</v>
      </c>
      <c r="K481" s="1642"/>
      <c r="L481" s="1645">
        <v>19651</v>
      </c>
      <c r="M481" s="1642" t="s">
        <v>251</v>
      </c>
      <c r="N481" s="1642"/>
      <c r="O481" s="1642"/>
      <c r="P481" s="1640"/>
      <c r="Q481" s="1644"/>
      <c r="R481" s="1642"/>
      <c r="S481" s="1645"/>
      <c r="T481" s="1645"/>
      <c r="U481" s="2835"/>
      <c r="V481" s="2835"/>
      <c r="W481" s="2835"/>
      <c r="X481" s="1645"/>
      <c r="Y481" s="1645"/>
      <c r="Z481" s="1642"/>
      <c r="AA481" s="1642"/>
      <c r="AB481" s="1642"/>
      <c r="AC481" s="2799"/>
      <c r="AD481" s="2799"/>
    </row>
    <row r="482" spans="1:30">
      <c r="A482" s="2349">
        <v>45044</v>
      </c>
      <c r="B482" s="2831" t="s">
        <v>14756</v>
      </c>
      <c r="C482" s="2350" t="s">
        <v>69</v>
      </c>
      <c r="D482" s="2350" t="s">
        <v>15131</v>
      </c>
      <c r="E482" s="2350" t="s">
        <v>13949</v>
      </c>
      <c r="F482" s="2351" t="s">
        <v>14762</v>
      </c>
      <c r="G482" s="2350">
        <v>2</v>
      </c>
      <c r="H482" s="2352" t="s">
        <v>14764</v>
      </c>
      <c r="I482" s="2352" t="s">
        <v>15666</v>
      </c>
      <c r="J482" s="2350" t="s">
        <v>9104</v>
      </c>
      <c r="K482" s="2350"/>
      <c r="L482" s="2353">
        <v>44880</v>
      </c>
      <c r="M482" s="2350" t="s">
        <v>251</v>
      </c>
      <c r="N482" s="2350"/>
      <c r="O482" s="2350"/>
      <c r="P482" s="2350"/>
      <c r="Q482" s="2352"/>
      <c r="R482" s="2350"/>
      <c r="S482" s="2353"/>
      <c r="T482" s="2353"/>
      <c r="U482" s="2355"/>
      <c r="V482" s="2355"/>
      <c r="W482" s="2355"/>
      <c r="X482" s="2353"/>
      <c r="Y482" s="2353"/>
      <c r="Z482" s="2350"/>
      <c r="AA482" s="2350"/>
      <c r="AB482" s="2350"/>
      <c r="AC482" s="2799"/>
      <c r="AD482" s="2799"/>
    </row>
    <row r="483" spans="1:30">
      <c r="A483" s="2349">
        <v>45044</v>
      </c>
      <c r="B483" s="2831" t="s">
        <v>14757</v>
      </c>
      <c r="C483" s="2350" t="s">
        <v>69</v>
      </c>
      <c r="D483" s="2350" t="s">
        <v>15131</v>
      </c>
      <c r="E483" s="2350" t="s">
        <v>13949</v>
      </c>
      <c r="F483" s="2351" t="s">
        <v>14762</v>
      </c>
      <c r="G483" s="2350">
        <v>3</v>
      </c>
      <c r="H483" s="2352" t="s">
        <v>14765</v>
      </c>
      <c r="I483" s="2352" t="s">
        <v>15666</v>
      </c>
      <c r="J483" s="2350" t="s">
        <v>9104</v>
      </c>
      <c r="K483" s="2350"/>
      <c r="L483" s="2353">
        <v>15300</v>
      </c>
      <c r="M483" s="2350" t="s">
        <v>251</v>
      </c>
      <c r="N483" s="2350"/>
      <c r="O483" s="2350"/>
      <c r="P483" s="2350"/>
      <c r="Q483" s="2352"/>
      <c r="R483" s="2350"/>
      <c r="S483" s="2353"/>
      <c r="T483" s="2353"/>
      <c r="U483" s="2355"/>
      <c r="V483" s="2355"/>
      <c r="W483" s="2355"/>
      <c r="X483" s="2353"/>
      <c r="Y483" s="2353"/>
      <c r="Z483" s="2350"/>
      <c r="AA483" s="2350"/>
      <c r="AB483" s="2350"/>
      <c r="AC483" s="2799"/>
      <c r="AD483" s="2799"/>
    </row>
    <row r="484" spans="1:30">
      <c r="A484" s="2349">
        <v>45044</v>
      </c>
      <c r="B484" s="2831" t="s">
        <v>14758</v>
      </c>
      <c r="C484" s="2350" t="s">
        <v>69</v>
      </c>
      <c r="D484" s="2350" t="s">
        <v>15131</v>
      </c>
      <c r="E484" s="2350" t="s">
        <v>13949</v>
      </c>
      <c r="F484" s="2351" t="s">
        <v>14762</v>
      </c>
      <c r="G484" s="2350">
        <v>4</v>
      </c>
      <c r="H484" s="2352" t="s">
        <v>14766</v>
      </c>
      <c r="I484" s="2352" t="s">
        <v>15666</v>
      </c>
      <c r="J484" s="2350" t="s">
        <v>9104</v>
      </c>
      <c r="K484" s="2350"/>
      <c r="L484" s="2353">
        <v>964656</v>
      </c>
      <c r="M484" s="2350" t="s">
        <v>251</v>
      </c>
      <c r="N484" s="2350"/>
      <c r="O484" s="2350"/>
      <c r="P484" s="2350"/>
      <c r="Q484" s="2352"/>
      <c r="R484" s="2350"/>
      <c r="S484" s="2353"/>
      <c r="T484" s="2353"/>
      <c r="U484" s="2355"/>
      <c r="V484" s="2355"/>
      <c r="W484" s="2355"/>
      <c r="X484" s="2353"/>
      <c r="Y484" s="2353"/>
      <c r="Z484" s="2350"/>
      <c r="AA484" s="2350"/>
      <c r="AB484" s="2350"/>
      <c r="AC484" s="2799"/>
      <c r="AD484" s="2799"/>
    </row>
    <row r="485" spans="1:30">
      <c r="A485" s="2349">
        <v>45044</v>
      </c>
      <c r="B485" s="2831" t="s">
        <v>14759</v>
      </c>
      <c r="C485" s="2350" t="s">
        <v>69</v>
      </c>
      <c r="D485" s="2350" t="s">
        <v>15131</v>
      </c>
      <c r="E485" s="2350" t="s">
        <v>13949</v>
      </c>
      <c r="F485" s="2351" t="s">
        <v>14762</v>
      </c>
      <c r="G485" s="2350">
        <v>5</v>
      </c>
      <c r="H485" s="2352" t="s">
        <v>14767</v>
      </c>
      <c r="I485" s="2352" t="s">
        <v>15666</v>
      </c>
      <c r="J485" s="2350" t="s">
        <v>9104</v>
      </c>
      <c r="K485" s="2350"/>
      <c r="L485" s="2353">
        <v>64536</v>
      </c>
      <c r="M485" s="2350" t="s">
        <v>251</v>
      </c>
      <c r="N485" s="2350"/>
      <c r="O485" s="2350"/>
      <c r="P485" s="2350"/>
      <c r="Q485" s="2352"/>
      <c r="R485" s="2350"/>
      <c r="S485" s="2353"/>
      <c r="T485" s="2353"/>
      <c r="U485" s="2355"/>
      <c r="V485" s="2355"/>
      <c r="W485" s="2355"/>
      <c r="X485" s="2353"/>
      <c r="Y485" s="2353"/>
      <c r="Z485" s="2350"/>
      <c r="AA485" s="2350"/>
      <c r="AB485" s="2350"/>
      <c r="AC485" s="2799"/>
      <c r="AD485" s="2799"/>
    </row>
    <row r="486" spans="1:30">
      <c r="A486" s="2349">
        <v>45044</v>
      </c>
      <c r="B486" s="2831" t="s">
        <v>14760</v>
      </c>
      <c r="C486" s="2350" t="s">
        <v>69</v>
      </c>
      <c r="D486" s="2350" t="s">
        <v>15131</v>
      </c>
      <c r="E486" s="2350" t="s">
        <v>13949</v>
      </c>
      <c r="F486" s="2351" t="s">
        <v>14762</v>
      </c>
      <c r="G486" s="2350">
        <v>6</v>
      </c>
      <c r="H486" s="2352" t="s">
        <v>14768</v>
      </c>
      <c r="I486" s="2352" t="s">
        <v>15666</v>
      </c>
      <c r="J486" s="2350" t="s">
        <v>9104</v>
      </c>
      <c r="K486" s="2350"/>
      <c r="L486" s="2353">
        <v>1376465</v>
      </c>
      <c r="M486" s="2350" t="s">
        <v>251</v>
      </c>
      <c r="N486" s="2350"/>
      <c r="O486" s="2350"/>
      <c r="P486" s="2350"/>
      <c r="Q486" s="2352"/>
      <c r="R486" s="2350"/>
      <c r="S486" s="2353"/>
      <c r="T486" s="2353"/>
      <c r="U486" s="2355"/>
      <c r="V486" s="2355"/>
      <c r="W486" s="2355"/>
      <c r="X486" s="2353"/>
      <c r="Y486" s="2353"/>
      <c r="Z486" s="2350"/>
      <c r="AA486" s="2350"/>
      <c r="AB486" s="2350"/>
      <c r="AC486" s="2799"/>
      <c r="AD486" s="2799"/>
    </row>
    <row r="487" spans="1:30" ht="15.75" thickBot="1">
      <c r="A487" s="2466">
        <v>45044</v>
      </c>
      <c r="B487" s="2926" t="s">
        <v>14761</v>
      </c>
      <c r="C487" s="2467" t="s">
        <v>69</v>
      </c>
      <c r="D487" s="2467" t="s">
        <v>15131</v>
      </c>
      <c r="E487" s="2467" t="s">
        <v>13949</v>
      </c>
      <c r="F487" s="2468" t="s">
        <v>14762</v>
      </c>
      <c r="G487" s="2467">
        <v>7</v>
      </c>
      <c r="H487" s="2469" t="s">
        <v>14769</v>
      </c>
      <c r="I487" s="2469" t="s">
        <v>15666</v>
      </c>
      <c r="J487" s="2467" t="s">
        <v>9104</v>
      </c>
      <c r="K487" s="2467"/>
      <c r="L487" s="2470">
        <v>50463</v>
      </c>
      <c r="M487" s="2467" t="s">
        <v>251</v>
      </c>
      <c r="N487" s="2467"/>
      <c r="O487" s="2467"/>
      <c r="P487" s="2467"/>
      <c r="Q487" s="2469"/>
      <c r="R487" s="2467"/>
      <c r="S487" s="2470"/>
      <c r="T487" s="2470"/>
      <c r="U487" s="2355"/>
      <c r="V487" s="2355"/>
      <c r="W487" s="2355"/>
      <c r="X487" s="2470"/>
      <c r="Y487" s="2470"/>
      <c r="Z487" s="2467"/>
      <c r="AA487" s="2467"/>
      <c r="AB487" s="2467"/>
      <c r="AC487" s="2799"/>
      <c r="AD487" s="2799"/>
    </row>
    <row r="488" spans="1:30" ht="15.75" thickTop="1">
      <c r="A488" s="1640">
        <v>45044</v>
      </c>
      <c r="B488" s="1644" t="s">
        <v>14778</v>
      </c>
      <c r="C488" s="1642" t="s">
        <v>69</v>
      </c>
      <c r="D488" s="1642" t="s">
        <v>15131</v>
      </c>
      <c r="E488" s="1642" t="s">
        <v>13949</v>
      </c>
      <c r="F488" s="1643" t="s">
        <v>14770</v>
      </c>
      <c r="G488" s="1642">
        <v>1</v>
      </c>
      <c r="H488" s="1644" t="s">
        <v>14771</v>
      </c>
      <c r="I488" s="1644" t="s">
        <v>15666</v>
      </c>
      <c r="J488" s="1642" t="s">
        <v>9104</v>
      </c>
      <c r="K488" s="1642"/>
      <c r="L488" s="1645">
        <v>340036</v>
      </c>
      <c r="M488" s="1642" t="s">
        <v>251</v>
      </c>
      <c r="N488" s="1642"/>
      <c r="O488" s="1642"/>
      <c r="P488" s="1642"/>
      <c r="Q488" s="1644"/>
      <c r="R488" s="2015" t="s">
        <v>16006</v>
      </c>
      <c r="S488" s="1645"/>
      <c r="T488" s="1645"/>
      <c r="U488" s="2355"/>
      <c r="V488" s="2355"/>
      <c r="W488" s="2355"/>
      <c r="X488" s="1645"/>
      <c r="Y488" s="1645"/>
      <c r="Z488" s="1642"/>
      <c r="AA488" s="1642"/>
      <c r="AB488" s="1642"/>
      <c r="AC488" s="2799"/>
      <c r="AD488" s="2799"/>
    </row>
    <row r="489" spans="1:30">
      <c r="A489" s="2349">
        <v>45044</v>
      </c>
      <c r="B489" s="2831" t="s">
        <v>14779</v>
      </c>
      <c r="C489" s="2350" t="s">
        <v>69</v>
      </c>
      <c r="D489" s="2350" t="s">
        <v>15131</v>
      </c>
      <c r="E489" s="2350" t="s">
        <v>13949</v>
      </c>
      <c r="F489" s="2351" t="s">
        <v>14770</v>
      </c>
      <c r="G489" s="2350">
        <v>2</v>
      </c>
      <c r="H489" s="2352" t="s">
        <v>14772</v>
      </c>
      <c r="I489" s="2352" t="s">
        <v>15666</v>
      </c>
      <c r="J489" s="2350" t="s">
        <v>9104</v>
      </c>
      <c r="K489" s="2350"/>
      <c r="L489" s="2353">
        <v>1153253</v>
      </c>
      <c r="M489" s="2350" t="s">
        <v>251</v>
      </c>
      <c r="N489" s="2350"/>
      <c r="O489" s="2350"/>
      <c r="P489" s="2350"/>
      <c r="Q489" s="2352"/>
      <c r="R489" s="2275" t="s">
        <v>16006</v>
      </c>
      <c r="S489" s="2353"/>
      <c r="T489" s="2353"/>
      <c r="U489" s="2355"/>
      <c r="V489" s="2355"/>
      <c r="W489" s="2355"/>
      <c r="X489" s="2353"/>
      <c r="Y489" s="2353"/>
      <c r="Z489" s="2350"/>
      <c r="AA489" s="2350"/>
      <c r="AB489" s="2350"/>
      <c r="AC489" s="2799"/>
      <c r="AD489" s="2799"/>
    </row>
    <row r="490" spans="1:30">
      <c r="A490" s="2349">
        <v>45044</v>
      </c>
      <c r="B490" s="2831" t="s">
        <v>14780</v>
      </c>
      <c r="C490" s="2350" t="s">
        <v>69</v>
      </c>
      <c r="D490" s="2350" t="s">
        <v>15131</v>
      </c>
      <c r="E490" s="2350" t="s">
        <v>13949</v>
      </c>
      <c r="F490" s="2351" t="s">
        <v>14770</v>
      </c>
      <c r="G490" s="2350">
        <v>3</v>
      </c>
      <c r="H490" s="2352" t="s">
        <v>14773</v>
      </c>
      <c r="I490" s="2352" t="s">
        <v>15666</v>
      </c>
      <c r="J490" s="2350" t="s">
        <v>9104</v>
      </c>
      <c r="K490" s="2350"/>
      <c r="L490" s="2353">
        <v>22599</v>
      </c>
      <c r="M490" s="2350" t="s">
        <v>251</v>
      </c>
      <c r="N490" s="2350"/>
      <c r="O490" s="2350"/>
      <c r="P490" s="2350"/>
      <c r="Q490" s="2352"/>
      <c r="R490" s="2275" t="s">
        <v>16006</v>
      </c>
      <c r="S490" s="2353"/>
      <c r="T490" s="2353"/>
      <c r="U490" s="2355"/>
      <c r="V490" s="2355"/>
      <c r="W490" s="2355"/>
      <c r="X490" s="2353"/>
      <c r="Y490" s="2353"/>
      <c r="Z490" s="2350"/>
      <c r="AA490" s="2350"/>
      <c r="AB490" s="2350"/>
      <c r="AC490" s="2799"/>
      <c r="AD490" s="2799"/>
    </row>
    <row r="491" spans="1:30">
      <c r="A491" s="2349">
        <v>45044</v>
      </c>
      <c r="B491" s="2831" t="s">
        <v>14781</v>
      </c>
      <c r="C491" s="2350" t="s">
        <v>69</v>
      </c>
      <c r="D491" s="2350" t="s">
        <v>15131</v>
      </c>
      <c r="E491" s="2350" t="s">
        <v>13949</v>
      </c>
      <c r="F491" s="2351" t="s">
        <v>14770</v>
      </c>
      <c r="G491" s="2350">
        <v>4</v>
      </c>
      <c r="H491" s="2352" t="s">
        <v>14774</v>
      </c>
      <c r="I491" s="2352" t="s">
        <v>15666</v>
      </c>
      <c r="J491" s="2350" t="s">
        <v>9104</v>
      </c>
      <c r="K491" s="2350"/>
      <c r="L491" s="2353">
        <v>231840</v>
      </c>
      <c r="M491" s="2350" t="s">
        <v>251</v>
      </c>
      <c r="N491" s="2350"/>
      <c r="O491" s="2350"/>
      <c r="P491" s="2350"/>
      <c r="Q491" s="2352"/>
      <c r="R491" s="2275" t="s">
        <v>16006</v>
      </c>
      <c r="S491" s="2353"/>
      <c r="T491" s="2353"/>
      <c r="U491" s="2355"/>
      <c r="V491" s="2355"/>
      <c r="W491" s="2355"/>
      <c r="X491" s="2353"/>
      <c r="Y491" s="2353"/>
      <c r="Z491" s="2350"/>
      <c r="AA491" s="2350"/>
      <c r="AB491" s="2350"/>
      <c r="AC491" s="2799"/>
      <c r="AD491" s="2799"/>
    </row>
    <row r="492" spans="1:30">
      <c r="A492" s="2349">
        <v>45044</v>
      </c>
      <c r="B492" s="2831" t="s">
        <v>14782</v>
      </c>
      <c r="C492" s="2350" t="s">
        <v>69</v>
      </c>
      <c r="D492" s="2350" t="s">
        <v>15131</v>
      </c>
      <c r="E492" s="2350" t="s">
        <v>13949</v>
      </c>
      <c r="F492" s="2351" t="s">
        <v>14770</v>
      </c>
      <c r="G492" s="2350">
        <v>5</v>
      </c>
      <c r="H492" s="2352" t="s">
        <v>14775</v>
      </c>
      <c r="I492" s="2352" t="s">
        <v>15666</v>
      </c>
      <c r="J492" s="2350" t="s">
        <v>9104</v>
      </c>
      <c r="K492" s="2350"/>
      <c r="L492" s="2353">
        <v>480642</v>
      </c>
      <c r="M492" s="2350" t="s">
        <v>251</v>
      </c>
      <c r="N492" s="2350"/>
      <c r="O492" s="2350"/>
      <c r="P492" s="2350"/>
      <c r="Q492" s="2352"/>
      <c r="R492" s="2275" t="s">
        <v>16006</v>
      </c>
      <c r="S492" s="2353"/>
      <c r="T492" s="2353"/>
      <c r="U492" s="2355"/>
      <c r="V492" s="2355"/>
      <c r="W492" s="2355"/>
      <c r="X492" s="2353"/>
      <c r="Y492" s="2353"/>
      <c r="Z492" s="2350"/>
      <c r="AA492" s="2350"/>
      <c r="AB492" s="2350"/>
      <c r="AC492" s="2799"/>
      <c r="AD492" s="2799"/>
    </row>
    <row r="493" spans="1:30">
      <c r="A493" s="2349">
        <v>45044</v>
      </c>
      <c r="B493" s="2831" t="s">
        <v>14783</v>
      </c>
      <c r="C493" s="2350" t="s">
        <v>69</v>
      </c>
      <c r="D493" s="2350" t="s">
        <v>15131</v>
      </c>
      <c r="E493" s="2350" t="s">
        <v>13949</v>
      </c>
      <c r="F493" s="2351" t="s">
        <v>14770</v>
      </c>
      <c r="G493" s="2350">
        <v>6</v>
      </c>
      <c r="H493" s="2352" t="s">
        <v>14776</v>
      </c>
      <c r="I493" s="2352" t="s">
        <v>15666</v>
      </c>
      <c r="J493" s="2350" t="s">
        <v>9104</v>
      </c>
      <c r="K493" s="2350"/>
      <c r="L493" s="2353">
        <v>15120</v>
      </c>
      <c r="M493" s="2350" t="s">
        <v>251</v>
      </c>
      <c r="N493" s="2350"/>
      <c r="O493" s="2350"/>
      <c r="P493" s="2350"/>
      <c r="Q493" s="2352"/>
      <c r="R493" s="2275" t="s">
        <v>16006</v>
      </c>
      <c r="S493" s="2353"/>
      <c r="T493" s="2353"/>
      <c r="U493" s="2355"/>
      <c r="V493" s="2355"/>
      <c r="W493" s="2355"/>
      <c r="X493" s="2353"/>
      <c r="Y493" s="2353"/>
      <c r="Z493" s="2350"/>
      <c r="AA493" s="2350"/>
      <c r="AB493" s="2350"/>
      <c r="AC493" s="2799"/>
      <c r="AD493" s="2799"/>
    </row>
    <row r="494" spans="1:30" ht="15.75" thickBot="1">
      <c r="A494" s="2466">
        <v>45044</v>
      </c>
      <c r="B494" s="2926" t="s">
        <v>14784</v>
      </c>
      <c r="C494" s="2467" t="s">
        <v>69</v>
      </c>
      <c r="D494" s="2467" t="s">
        <v>15131</v>
      </c>
      <c r="E494" s="2467" t="s">
        <v>13949</v>
      </c>
      <c r="F494" s="2468" t="s">
        <v>14770</v>
      </c>
      <c r="G494" s="2467">
        <v>7</v>
      </c>
      <c r="H494" s="2469" t="s">
        <v>14777</v>
      </c>
      <c r="I494" s="2469" t="s">
        <v>15666</v>
      </c>
      <c r="J494" s="2467" t="s">
        <v>9104</v>
      </c>
      <c r="K494" s="2467"/>
      <c r="L494" s="2470">
        <v>832416</v>
      </c>
      <c r="M494" s="2467" t="s">
        <v>251</v>
      </c>
      <c r="N494" s="2467"/>
      <c r="O494" s="2467"/>
      <c r="P494" s="2467"/>
      <c r="Q494" s="2469"/>
      <c r="R494" s="2287" t="s">
        <v>16006</v>
      </c>
      <c r="S494" s="2470"/>
      <c r="T494" s="2470"/>
      <c r="U494" s="2355"/>
      <c r="V494" s="2355"/>
      <c r="W494" s="2355"/>
      <c r="X494" s="2470"/>
      <c r="Y494" s="2470"/>
      <c r="Z494" s="2467"/>
      <c r="AA494" s="2467"/>
      <c r="AB494" s="2467"/>
      <c r="AC494" s="2799"/>
      <c r="AD494" s="2799"/>
    </row>
    <row r="495" spans="1:30" ht="45.75" thickTop="1">
      <c r="A495" s="365">
        <v>45043</v>
      </c>
      <c r="B495" s="3192" t="s">
        <v>14785</v>
      </c>
      <c r="C495" s="3191" t="s">
        <v>13843</v>
      </c>
      <c r="D495" s="3191" t="s">
        <v>13844</v>
      </c>
      <c r="E495" s="3191" t="s">
        <v>13949</v>
      </c>
      <c r="F495" s="175" t="s">
        <v>14786</v>
      </c>
      <c r="G495" s="3191"/>
      <c r="H495" s="3192"/>
      <c r="I495" s="3192" t="s">
        <v>15369</v>
      </c>
      <c r="J495" s="3191" t="s">
        <v>14787</v>
      </c>
      <c r="K495" s="3191"/>
      <c r="L495" s="364">
        <v>16064700</v>
      </c>
      <c r="M495" s="3191" t="s">
        <v>251</v>
      </c>
      <c r="N495" s="365">
        <v>45090</v>
      </c>
      <c r="O495" s="365">
        <v>45125</v>
      </c>
      <c r="P495" s="365">
        <v>45176</v>
      </c>
      <c r="Q495" s="3192" t="s">
        <v>15224</v>
      </c>
      <c r="R495" s="3191"/>
      <c r="S495" s="364">
        <v>16004701.699999999</v>
      </c>
      <c r="T495" s="364">
        <v>19365689.059999999</v>
      </c>
      <c r="U495" s="2145"/>
      <c r="V495" s="2145"/>
      <c r="W495" s="2145"/>
      <c r="X495" s="681">
        <v>45176</v>
      </c>
      <c r="Y495" s="1417" t="s">
        <v>15784</v>
      </c>
      <c r="Z495" s="365">
        <v>45203</v>
      </c>
      <c r="AA495" s="365">
        <v>45203</v>
      </c>
      <c r="AB495" s="3191"/>
      <c r="AC495" s="2799"/>
      <c r="AD495" s="2799"/>
    </row>
    <row r="496" spans="1:30" ht="30.75" thickBot="1">
      <c r="A496" s="643">
        <v>45043</v>
      </c>
      <c r="B496" s="1533" t="s">
        <v>14788</v>
      </c>
      <c r="C496" s="639" t="s">
        <v>13843</v>
      </c>
      <c r="D496" s="639" t="s">
        <v>13844</v>
      </c>
      <c r="E496" s="639" t="s">
        <v>13949</v>
      </c>
      <c r="F496" s="640" t="s">
        <v>14789</v>
      </c>
      <c r="G496" s="639"/>
      <c r="H496" s="1533"/>
      <c r="I496" s="1533" t="s">
        <v>242</v>
      </c>
      <c r="J496" s="639" t="s">
        <v>14787</v>
      </c>
      <c r="K496" s="639"/>
      <c r="L496" s="645">
        <v>31338296</v>
      </c>
      <c r="M496" s="639" t="s">
        <v>251</v>
      </c>
      <c r="N496" s="643">
        <v>45077</v>
      </c>
      <c r="O496" s="643">
        <v>45121</v>
      </c>
      <c r="P496" s="643">
        <v>45236</v>
      </c>
      <c r="Q496" s="644" t="s">
        <v>242</v>
      </c>
      <c r="R496" s="639"/>
      <c r="S496" s="645">
        <v>24589272</v>
      </c>
      <c r="T496" s="645">
        <v>29753019.120000001</v>
      </c>
      <c r="U496" s="1534"/>
      <c r="V496" s="1534"/>
      <c r="W496" s="1534"/>
      <c r="X496" s="2890">
        <v>45236</v>
      </c>
      <c r="Y496" s="3015" t="s">
        <v>16172</v>
      </c>
      <c r="Z496" s="639"/>
      <c r="AA496" s="643">
        <v>45362</v>
      </c>
      <c r="AB496" s="2652" t="s">
        <v>16940</v>
      </c>
      <c r="AC496" s="2799"/>
      <c r="AD496" s="2799"/>
    </row>
    <row r="497" spans="1:31" ht="15.75" thickTop="1">
      <c r="A497" s="474">
        <v>45044</v>
      </c>
      <c r="B497" s="1420" t="s">
        <v>14791</v>
      </c>
      <c r="C497" s="453" t="s">
        <v>58</v>
      </c>
      <c r="D497" s="453" t="s">
        <v>4969</v>
      </c>
      <c r="E497" s="453" t="s">
        <v>655</v>
      </c>
      <c r="F497" s="473" t="s">
        <v>12454</v>
      </c>
      <c r="G497" s="453">
        <v>1</v>
      </c>
      <c r="H497" s="1420" t="s">
        <v>14792</v>
      </c>
      <c r="I497" s="1420" t="s">
        <v>15369</v>
      </c>
      <c r="J497" s="453" t="s">
        <v>7065</v>
      </c>
      <c r="K497" s="453" t="s">
        <v>14793</v>
      </c>
      <c r="L497" s="457">
        <v>115703</v>
      </c>
      <c r="M497" s="453" t="s">
        <v>112</v>
      </c>
      <c r="N497" s="474">
        <v>45049</v>
      </c>
      <c r="O497" s="474">
        <v>45061</v>
      </c>
      <c r="P497" s="474">
        <v>45071</v>
      </c>
      <c r="Q497" s="1420" t="s">
        <v>14942</v>
      </c>
      <c r="R497" s="453"/>
      <c r="S497" s="457">
        <v>112600</v>
      </c>
      <c r="T497" s="457">
        <v>136246</v>
      </c>
      <c r="U497" s="1474"/>
      <c r="V497" s="1474"/>
      <c r="W497" s="1474"/>
      <c r="X497" s="570">
        <v>45071</v>
      </c>
      <c r="Y497" s="457" t="s">
        <v>14974</v>
      </c>
      <c r="Z497" s="474">
        <v>45086</v>
      </c>
      <c r="AA497" s="474">
        <v>45086</v>
      </c>
      <c r="AB497" s="474">
        <v>45146</v>
      </c>
      <c r="AC497" s="2799"/>
      <c r="AD497" s="2799"/>
    </row>
    <row r="498" spans="1:31" ht="15.75" thickBot="1">
      <c r="A498" s="2117">
        <v>45044</v>
      </c>
      <c r="B498" s="2120" t="s">
        <v>14843</v>
      </c>
      <c r="C498" s="2118" t="s">
        <v>58</v>
      </c>
      <c r="D498" s="2118" t="s">
        <v>4969</v>
      </c>
      <c r="E498" s="2118" t="s">
        <v>655</v>
      </c>
      <c r="F498" s="2119" t="s">
        <v>12454</v>
      </c>
      <c r="G498" s="2118">
        <v>2</v>
      </c>
      <c r="H498" s="2120" t="s">
        <v>14794</v>
      </c>
      <c r="I498" s="2120" t="s">
        <v>15369</v>
      </c>
      <c r="J498" s="2118" t="s">
        <v>7065</v>
      </c>
      <c r="K498" s="2118" t="s">
        <v>14795</v>
      </c>
      <c r="L498" s="2121">
        <v>114990</v>
      </c>
      <c r="M498" s="2118" t="s">
        <v>112</v>
      </c>
      <c r="N498" s="2117">
        <v>45049</v>
      </c>
      <c r="O498" s="2117">
        <v>45061</v>
      </c>
      <c r="P498" s="2117">
        <v>45071</v>
      </c>
      <c r="Q498" s="2120" t="s">
        <v>14943</v>
      </c>
      <c r="R498" s="2378" t="s">
        <v>15642</v>
      </c>
      <c r="S498" s="2121">
        <v>108807</v>
      </c>
      <c r="T498" s="2121">
        <v>131656.47</v>
      </c>
      <c r="U498" s="2122"/>
      <c r="V498" s="2122"/>
      <c r="W498" s="2122"/>
      <c r="X498" s="2123">
        <v>45071</v>
      </c>
      <c r="Y498" s="2121" t="s">
        <v>14975</v>
      </c>
      <c r="Z498" s="2117">
        <v>45086</v>
      </c>
      <c r="AA498" s="2117">
        <v>45086</v>
      </c>
      <c r="AB498" s="2117">
        <v>45111</v>
      </c>
      <c r="AC498" s="2799"/>
      <c r="AD498" s="2799"/>
    </row>
    <row r="499" spans="1:31" ht="15.75" thickTop="1">
      <c r="A499" s="365">
        <v>45044</v>
      </c>
      <c r="B499" s="3192" t="s">
        <v>14797</v>
      </c>
      <c r="C499" s="3191" t="s">
        <v>2434</v>
      </c>
      <c r="D499" s="3191" t="s">
        <v>219</v>
      </c>
      <c r="E499" s="3191" t="s">
        <v>13951</v>
      </c>
      <c r="F499" s="175" t="s">
        <v>14798</v>
      </c>
      <c r="G499" s="3191"/>
      <c r="H499" s="3192"/>
      <c r="I499" s="3192" t="s">
        <v>15369</v>
      </c>
      <c r="J499" s="3191" t="s">
        <v>642</v>
      </c>
      <c r="K499" s="3191"/>
      <c r="L499" s="364">
        <v>1879200</v>
      </c>
      <c r="M499" s="3191" t="s">
        <v>112</v>
      </c>
      <c r="N499" s="365">
        <v>45051</v>
      </c>
      <c r="O499" s="365">
        <v>45062</v>
      </c>
      <c r="P499" s="365">
        <v>45064</v>
      </c>
      <c r="Q499" s="3192" t="s">
        <v>8542</v>
      </c>
      <c r="R499" s="3191"/>
      <c r="S499" s="364">
        <v>1722600</v>
      </c>
      <c r="T499" s="364">
        <v>2084346</v>
      </c>
      <c r="U499" s="1473"/>
      <c r="V499" s="1473"/>
      <c r="W499" s="1473"/>
      <c r="X499" s="681">
        <v>45064</v>
      </c>
      <c r="Y499" s="364" t="s">
        <v>14902</v>
      </c>
      <c r="Z499" s="365">
        <v>45086</v>
      </c>
      <c r="AA499" s="365">
        <v>45086</v>
      </c>
      <c r="AB499" s="365">
        <v>46318</v>
      </c>
      <c r="AC499" s="2799"/>
      <c r="AD499" s="2799"/>
      <c r="AE499" s="360" t="s">
        <v>15091</v>
      </c>
    </row>
    <row r="500" spans="1:31" ht="30">
      <c r="A500" s="2140">
        <v>45043</v>
      </c>
      <c r="B500" s="2143" t="s">
        <v>14802</v>
      </c>
      <c r="C500" s="2141" t="s">
        <v>2434</v>
      </c>
      <c r="D500" s="2141" t="s">
        <v>3204</v>
      </c>
      <c r="E500" s="2141" t="s">
        <v>13952</v>
      </c>
      <c r="F500" s="2142" t="s">
        <v>14803</v>
      </c>
      <c r="G500" s="2141"/>
      <c r="H500" s="2143"/>
      <c r="I500" s="2143" t="s">
        <v>15369</v>
      </c>
      <c r="J500" s="2141" t="s">
        <v>642</v>
      </c>
      <c r="K500" s="2141"/>
      <c r="L500" s="2144">
        <v>2760000</v>
      </c>
      <c r="M500" s="2141" t="s">
        <v>251</v>
      </c>
      <c r="N500" s="2140">
        <v>45055</v>
      </c>
      <c r="O500" s="2140">
        <v>45090</v>
      </c>
      <c r="P500" s="2140">
        <v>45106</v>
      </c>
      <c r="Q500" s="2143" t="s">
        <v>8793</v>
      </c>
      <c r="R500" s="2141"/>
      <c r="S500" s="2144">
        <v>2416000</v>
      </c>
      <c r="T500" s="2144">
        <v>2923360</v>
      </c>
      <c r="U500" s="2145"/>
      <c r="V500" s="2145"/>
      <c r="W500" s="2145"/>
      <c r="X500" s="2146">
        <v>45106</v>
      </c>
      <c r="Y500" s="2260" t="s">
        <v>15297</v>
      </c>
      <c r="Z500" s="2140">
        <v>45128</v>
      </c>
      <c r="AA500" s="2140">
        <v>45133</v>
      </c>
      <c r="AB500" s="2140">
        <v>46665</v>
      </c>
      <c r="AC500" s="2799"/>
      <c r="AD500" s="2799"/>
      <c r="AE500" s="360" t="s">
        <v>15436</v>
      </c>
    </row>
    <row r="501" spans="1:31" ht="30">
      <c r="A501" s="2140">
        <v>45055</v>
      </c>
      <c r="B501" s="2143" t="s">
        <v>14823</v>
      </c>
      <c r="C501" s="2141" t="s">
        <v>58</v>
      </c>
      <c r="D501" s="2141" t="s">
        <v>4969</v>
      </c>
      <c r="E501" s="2141" t="s">
        <v>13948</v>
      </c>
      <c r="F501" s="2142" t="s">
        <v>14868</v>
      </c>
      <c r="G501" s="2141"/>
      <c r="H501" s="2143"/>
      <c r="I501" s="2143" t="s">
        <v>15369</v>
      </c>
      <c r="J501" s="2141" t="s">
        <v>151</v>
      </c>
      <c r="K501" s="2141" t="s">
        <v>14824</v>
      </c>
      <c r="L501" s="2144">
        <v>1376900</v>
      </c>
      <c r="M501" s="2141" t="s">
        <v>216</v>
      </c>
      <c r="N501" s="2140">
        <v>45062</v>
      </c>
      <c r="O501" s="2140">
        <v>45079</v>
      </c>
      <c r="P501" s="2140">
        <v>45104</v>
      </c>
      <c r="Q501" s="2143" t="s">
        <v>11876</v>
      </c>
      <c r="R501" s="2141"/>
      <c r="S501" s="2144">
        <v>1451500</v>
      </c>
      <c r="T501" s="2144">
        <v>1756315</v>
      </c>
      <c r="U501" s="2094"/>
      <c r="V501" s="2094"/>
      <c r="W501" s="2094"/>
      <c r="X501" s="2146">
        <v>45104</v>
      </c>
      <c r="Y501" s="2260" t="s">
        <v>15222</v>
      </c>
      <c r="Z501" s="2140">
        <v>45135</v>
      </c>
      <c r="AA501" s="2140">
        <v>45141</v>
      </c>
      <c r="AB501" s="2140">
        <v>45191</v>
      </c>
      <c r="AC501" s="2799"/>
      <c r="AD501" s="2799"/>
    </row>
    <row r="502" spans="1:31">
      <c r="A502" s="2140">
        <v>45056</v>
      </c>
      <c r="B502" s="2143" t="s">
        <v>14828</v>
      </c>
      <c r="C502" s="2141" t="s">
        <v>69</v>
      </c>
      <c r="D502" s="2141" t="s">
        <v>15131</v>
      </c>
      <c r="E502" s="2141" t="s">
        <v>13949</v>
      </c>
      <c r="F502" s="2142" t="s">
        <v>14829</v>
      </c>
      <c r="G502" s="2141"/>
      <c r="H502" s="2143"/>
      <c r="I502" s="2143" t="s">
        <v>15369</v>
      </c>
      <c r="J502" s="2141" t="s">
        <v>68</v>
      </c>
      <c r="K502" s="2141"/>
      <c r="L502" s="2144">
        <v>13676243</v>
      </c>
      <c r="M502" s="2141" t="s">
        <v>251</v>
      </c>
      <c r="N502" s="2140">
        <v>45065</v>
      </c>
      <c r="O502" s="2140">
        <v>45132</v>
      </c>
      <c r="P502" s="2140">
        <v>45154</v>
      </c>
      <c r="Q502" s="2143" t="s">
        <v>2405</v>
      </c>
      <c r="R502" s="2141"/>
      <c r="S502" s="2144">
        <v>13676242.800000001</v>
      </c>
      <c r="T502" s="2144">
        <v>15043868.4</v>
      </c>
      <c r="U502" s="2145"/>
      <c r="V502" s="2145"/>
      <c r="W502" s="2145"/>
      <c r="X502" s="2146">
        <v>45154</v>
      </c>
      <c r="Y502" s="2144" t="s">
        <v>15600</v>
      </c>
      <c r="Z502" s="2140">
        <v>45174</v>
      </c>
      <c r="AA502" s="2140">
        <v>45176</v>
      </c>
      <c r="AB502" s="2140">
        <v>45179</v>
      </c>
      <c r="AC502" s="2799"/>
      <c r="AD502" s="2799"/>
      <c r="AE502" s="360" t="s">
        <v>15016</v>
      </c>
    </row>
    <row r="503" spans="1:31" ht="15.75" thickBot="1">
      <c r="A503" s="416">
        <v>45056</v>
      </c>
      <c r="B503" s="630" t="s">
        <v>14830</v>
      </c>
      <c r="C503" s="411" t="s">
        <v>69</v>
      </c>
      <c r="D503" s="411" t="s">
        <v>15131</v>
      </c>
      <c r="E503" s="609" t="s">
        <v>13949</v>
      </c>
      <c r="F503" s="2519" t="s">
        <v>14831</v>
      </c>
      <c r="G503" s="411"/>
      <c r="H503" s="630"/>
      <c r="I503" s="630" t="s">
        <v>15369</v>
      </c>
      <c r="J503" s="411" t="s">
        <v>68</v>
      </c>
      <c r="K503" s="411"/>
      <c r="L503" s="417">
        <v>10883691</v>
      </c>
      <c r="M503" s="411" t="s">
        <v>251</v>
      </c>
      <c r="N503" s="416">
        <v>45065</v>
      </c>
      <c r="O503" s="416">
        <v>45100</v>
      </c>
      <c r="P503" s="416">
        <v>45125</v>
      </c>
      <c r="Q503" s="630" t="s">
        <v>576</v>
      </c>
      <c r="R503" s="411"/>
      <c r="S503" s="417">
        <v>10883691</v>
      </c>
      <c r="T503" s="417">
        <v>11972060.1</v>
      </c>
      <c r="U503" s="1480"/>
      <c r="V503" s="1480"/>
      <c r="W503" s="1480"/>
      <c r="X503" s="513">
        <v>45125</v>
      </c>
      <c r="Y503" s="417" t="s">
        <v>15392</v>
      </c>
      <c r="Z503" s="416">
        <v>45145</v>
      </c>
      <c r="AA503" s="416">
        <v>45154</v>
      </c>
      <c r="AB503" s="416">
        <v>46275</v>
      </c>
      <c r="AC503" s="2799"/>
      <c r="AD503" s="2799"/>
      <c r="AE503" s="360" t="s">
        <v>15577</v>
      </c>
    </row>
    <row r="504" spans="1:31" ht="15.75" thickTop="1">
      <c r="A504" s="474">
        <v>45051</v>
      </c>
      <c r="B504" s="1420" t="s">
        <v>14885</v>
      </c>
      <c r="C504" s="453" t="s">
        <v>1032</v>
      </c>
      <c r="D504" s="453" t="s">
        <v>361</v>
      </c>
      <c r="E504" s="453" t="s">
        <v>13950</v>
      </c>
      <c r="F504" s="473" t="s">
        <v>14832</v>
      </c>
      <c r="G504" s="453">
        <v>1</v>
      </c>
      <c r="H504" s="1420" t="s">
        <v>14833</v>
      </c>
      <c r="I504" s="1420" t="s">
        <v>15369</v>
      </c>
      <c r="J504" s="453" t="s">
        <v>1518</v>
      </c>
      <c r="K504" s="453"/>
      <c r="L504" s="2002">
        <v>4636000</v>
      </c>
      <c r="M504" s="453" t="s">
        <v>251</v>
      </c>
      <c r="N504" s="474">
        <v>45079</v>
      </c>
      <c r="O504" s="474">
        <v>45111</v>
      </c>
      <c r="P504" s="474">
        <v>45128</v>
      </c>
      <c r="Q504" s="1420" t="s">
        <v>342</v>
      </c>
      <c r="R504" s="453"/>
      <c r="S504" s="457">
        <v>4457608</v>
      </c>
      <c r="T504" s="457">
        <v>5396705.6799999997</v>
      </c>
      <c r="U504" s="1474"/>
      <c r="V504" s="1474"/>
      <c r="W504" s="1474"/>
      <c r="X504" s="570">
        <v>45128</v>
      </c>
      <c r="Y504" s="457" t="s">
        <v>15411</v>
      </c>
      <c r="Z504" s="474">
        <v>45166</v>
      </c>
      <c r="AA504" s="474">
        <v>45177</v>
      </c>
      <c r="AB504" s="474">
        <v>48087</v>
      </c>
      <c r="AC504" s="2799"/>
      <c r="AD504" s="2799"/>
    </row>
    <row r="505" spans="1:31">
      <c r="A505" s="2140">
        <v>45051</v>
      </c>
      <c r="B505" s="2143" t="s">
        <v>14886</v>
      </c>
      <c r="C505" s="2141" t="s">
        <v>1032</v>
      </c>
      <c r="D505" s="2141" t="s">
        <v>361</v>
      </c>
      <c r="E505" s="2141" t="s">
        <v>13950</v>
      </c>
      <c r="F505" s="2142" t="s">
        <v>14832</v>
      </c>
      <c r="G505" s="2141">
        <v>2</v>
      </c>
      <c r="H505" s="2143" t="s">
        <v>14834</v>
      </c>
      <c r="I505" s="2143" t="s">
        <v>15369</v>
      </c>
      <c r="J505" s="2141" t="s">
        <v>1518</v>
      </c>
      <c r="K505" s="2141"/>
      <c r="L505" s="2607">
        <v>1422000</v>
      </c>
      <c r="M505" s="2141" t="s">
        <v>251</v>
      </c>
      <c r="N505" s="2140">
        <v>45079</v>
      </c>
      <c r="O505" s="2140">
        <v>45111</v>
      </c>
      <c r="P505" s="2140">
        <v>45128</v>
      </c>
      <c r="Q505" s="2143" t="s">
        <v>342</v>
      </c>
      <c r="R505" s="2141"/>
      <c r="S505" s="2144">
        <v>1289984</v>
      </c>
      <c r="T505" s="2144">
        <v>1560880.64</v>
      </c>
      <c r="U505" s="2145"/>
      <c r="V505" s="2145"/>
      <c r="W505" s="2145"/>
      <c r="X505" s="2146">
        <v>45128</v>
      </c>
      <c r="Y505" s="2144" t="s">
        <v>15412</v>
      </c>
      <c r="Z505" s="2140">
        <v>45166</v>
      </c>
      <c r="AA505" s="2140">
        <v>45177</v>
      </c>
      <c r="AB505" s="2140">
        <v>48087</v>
      </c>
      <c r="AC505" s="2799"/>
      <c r="AD505" s="2799"/>
    </row>
    <row r="506" spans="1:31">
      <c r="A506" s="2140">
        <v>45051</v>
      </c>
      <c r="B506" s="2143" t="s">
        <v>14887</v>
      </c>
      <c r="C506" s="2141" t="s">
        <v>1032</v>
      </c>
      <c r="D506" s="2141" t="s">
        <v>361</v>
      </c>
      <c r="E506" s="2141" t="s">
        <v>13950</v>
      </c>
      <c r="F506" s="2142" t="s">
        <v>14832</v>
      </c>
      <c r="G506" s="2141">
        <v>3</v>
      </c>
      <c r="H506" s="2143" t="s">
        <v>14835</v>
      </c>
      <c r="I506" s="2143" t="s">
        <v>15369</v>
      </c>
      <c r="J506" s="2141" t="s">
        <v>1518</v>
      </c>
      <c r="K506" s="2141"/>
      <c r="L506" s="2607">
        <v>2438000</v>
      </c>
      <c r="M506" s="2141" t="s">
        <v>251</v>
      </c>
      <c r="N506" s="2140">
        <v>45079</v>
      </c>
      <c r="O506" s="2140">
        <v>45111</v>
      </c>
      <c r="P506" s="2140">
        <v>45128</v>
      </c>
      <c r="Q506" s="2143" t="s">
        <v>342</v>
      </c>
      <c r="R506" s="2141"/>
      <c r="S506" s="2144">
        <v>4715058</v>
      </c>
      <c r="T506" s="2144">
        <v>5705220.1799999997</v>
      </c>
      <c r="U506" s="2145"/>
      <c r="V506" s="2145"/>
      <c r="W506" s="2145"/>
      <c r="X506" s="2146">
        <v>45128</v>
      </c>
      <c r="Y506" s="2144" t="s">
        <v>15413</v>
      </c>
      <c r="Z506" s="2140">
        <v>45166</v>
      </c>
      <c r="AA506" s="2140">
        <v>45177</v>
      </c>
      <c r="AB506" s="2140">
        <v>48087</v>
      </c>
      <c r="AC506" s="2799"/>
      <c r="AD506" s="2799"/>
    </row>
    <row r="507" spans="1:31" ht="15.75" thickBot="1">
      <c r="A507" s="2117">
        <v>45051</v>
      </c>
      <c r="B507" s="2120" t="s">
        <v>14888</v>
      </c>
      <c r="C507" s="2118" t="s">
        <v>1032</v>
      </c>
      <c r="D507" s="2118" t="s">
        <v>361</v>
      </c>
      <c r="E507" s="2118" t="s">
        <v>13950</v>
      </c>
      <c r="F507" s="2119" t="s">
        <v>14832</v>
      </c>
      <c r="G507" s="2118">
        <v>4</v>
      </c>
      <c r="H507" s="2120" t="s">
        <v>14836</v>
      </c>
      <c r="I507" s="2120" t="s">
        <v>15369</v>
      </c>
      <c r="J507" s="2118" t="s">
        <v>1518</v>
      </c>
      <c r="K507" s="2118"/>
      <c r="L507" s="2608">
        <v>7960000</v>
      </c>
      <c r="M507" s="2118" t="s">
        <v>251</v>
      </c>
      <c r="N507" s="2117">
        <v>45079</v>
      </c>
      <c r="O507" s="2117">
        <v>45111</v>
      </c>
      <c r="P507" s="2117">
        <v>45128</v>
      </c>
      <c r="Q507" s="2120" t="s">
        <v>342</v>
      </c>
      <c r="R507" s="2118"/>
      <c r="S507" s="2121">
        <v>14908840</v>
      </c>
      <c r="T507" s="2121">
        <v>18039696.399999999</v>
      </c>
      <c r="U507" s="2122"/>
      <c r="V507" s="2122"/>
      <c r="W507" s="2122"/>
      <c r="X507" s="2123">
        <v>45128</v>
      </c>
      <c r="Y507" s="2121" t="s">
        <v>15414</v>
      </c>
      <c r="Z507" s="2117">
        <v>45166</v>
      </c>
      <c r="AA507" s="2117">
        <v>45177</v>
      </c>
      <c r="AB507" s="2117">
        <v>48087</v>
      </c>
      <c r="AC507" s="2799"/>
      <c r="AD507" s="2799"/>
    </row>
    <row r="508" spans="1:31" ht="15.75" thickTop="1">
      <c r="A508" s="365">
        <v>45058</v>
      </c>
      <c r="B508" s="3192" t="s">
        <v>14837</v>
      </c>
      <c r="C508" s="3191" t="s">
        <v>368</v>
      </c>
      <c r="D508" s="3191" t="s">
        <v>14838</v>
      </c>
      <c r="E508" s="3191" t="s">
        <v>13951</v>
      </c>
      <c r="F508" s="175" t="s">
        <v>14839</v>
      </c>
      <c r="G508" s="3191"/>
      <c r="H508" s="3192"/>
      <c r="I508" s="3192" t="s">
        <v>15369</v>
      </c>
      <c r="J508" s="3191" t="s">
        <v>14840</v>
      </c>
      <c r="K508" s="3191"/>
      <c r="L508" s="364">
        <v>650000</v>
      </c>
      <c r="M508" s="3191" t="s">
        <v>112</v>
      </c>
      <c r="N508" s="365">
        <v>45083</v>
      </c>
      <c r="O508" s="365">
        <v>45120</v>
      </c>
      <c r="P508" s="365">
        <v>45138</v>
      </c>
      <c r="Q508" s="3192" t="s">
        <v>15460</v>
      </c>
      <c r="R508" s="3191"/>
      <c r="S508" s="364">
        <v>612000</v>
      </c>
      <c r="T508" s="364">
        <v>740520</v>
      </c>
      <c r="U508" s="1473"/>
      <c r="V508" s="1473"/>
      <c r="W508" s="1473"/>
      <c r="X508" s="681">
        <v>45138</v>
      </c>
      <c r="Y508" s="364" t="s">
        <v>15464</v>
      </c>
      <c r="Z508" s="365">
        <v>45160</v>
      </c>
      <c r="AA508" s="365">
        <v>45160</v>
      </c>
      <c r="AB508" s="3191"/>
      <c r="AC508" s="2799"/>
      <c r="AD508" s="2799"/>
    </row>
    <row r="509" spans="1:31">
      <c r="A509" s="2140">
        <v>45061</v>
      </c>
      <c r="B509" s="2143" t="s">
        <v>14841</v>
      </c>
      <c r="C509" s="2141" t="s">
        <v>1032</v>
      </c>
      <c r="D509" s="2141" t="s">
        <v>361</v>
      </c>
      <c r="E509" s="2141" t="s">
        <v>655</v>
      </c>
      <c r="F509" s="2142" t="s">
        <v>14842</v>
      </c>
      <c r="G509" s="2141"/>
      <c r="H509" s="2143"/>
      <c r="I509" s="2143" t="s">
        <v>15369</v>
      </c>
      <c r="J509" s="2141" t="s">
        <v>12609</v>
      </c>
      <c r="K509" s="2141" t="s">
        <v>12610</v>
      </c>
      <c r="L509" s="2144">
        <v>4200000</v>
      </c>
      <c r="M509" s="2141" t="s">
        <v>112</v>
      </c>
      <c r="N509" s="2140">
        <v>45063</v>
      </c>
      <c r="O509" s="2140">
        <v>45075</v>
      </c>
      <c r="P509" s="2140">
        <v>45083</v>
      </c>
      <c r="Q509" s="2143" t="s">
        <v>4547</v>
      </c>
      <c r="R509" s="2141"/>
      <c r="S509" s="2144">
        <v>3568535.4</v>
      </c>
      <c r="T509" s="2144">
        <v>4317927.83</v>
      </c>
      <c r="U509" s="2145"/>
      <c r="V509" s="2145"/>
      <c r="W509" s="2145"/>
      <c r="X509" s="2146">
        <v>45083</v>
      </c>
      <c r="Y509" s="2144" t="s">
        <v>15058</v>
      </c>
      <c r="Z509" s="2140">
        <v>45105</v>
      </c>
      <c r="AA509" s="2140">
        <v>45106</v>
      </c>
      <c r="AB509" s="2141"/>
      <c r="AC509" s="2799"/>
      <c r="AD509" s="2799"/>
    </row>
    <row r="510" spans="1:31">
      <c r="A510" s="2140">
        <v>45061</v>
      </c>
      <c r="B510" s="2143" t="s">
        <v>15314</v>
      </c>
      <c r="C510" s="2141" t="s">
        <v>1754</v>
      </c>
      <c r="D510" s="2141" t="s">
        <v>13</v>
      </c>
      <c r="E510" s="2141" t="s">
        <v>13948</v>
      </c>
      <c r="F510" s="2142" t="s">
        <v>14865</v>
      </c>
      <c r="G510" s="2141"/>
      <c r="H510" s="2143"/>
      <c r="I510" s="2143" t="s">
        <v>15369</v>
      </c>
      <c r="J510" s="2141" t="s">
        <v>773</v>
      </c>
      <c r="K510" s="2141"/>
      <c r="L510" s="2144">
        <v>8050000</v>
      </c>
      <c r="M510" s="2141" t="s">
        <v>251</v>
      </c>
      <c r="N510" s="2140">
        <v>45069</v>
      </c>
      <c r="O510" s="2140">
        <v>45114</v>
      </c>
      <c r="P510" s="2140">
        <v>45149</v>
      </c>
      <c r="Q510" s="2143" t="s">
        <v>15575</v>
      </c>
      <c r="R510" s="2141"/>
      <c r="S510" s="2144">
        <v>5935110</v>
      </c>
      <c r="T510" s="2144">
        <v>7181483.0999999996</v>
      </c>
      <c r="U510" s="2145"/>
      <c r="V510" s="2145"/>
      <c r="W510" s="2145"/>
      <c r="X510" s="2146">
        <v>45149</v>
      </c>
      <c r="Y510" s="2144" t="s">
        <v>15574</v>
      </c>
      <c r="Z510" s="2140">
        <v>45170</v>
      </c>
      <c r="AA510" s="2140">
        <v>45173</v>
      </c>
      <c r="AB510" s="2140">
        <v>45535</v>
      </c>
      <c r="AC510" s="2799"/>
      <c r="AD510" s="2799"/>
    </row>
    <row r="511" spans="1:31">
      <c r="A511" s="2140">
        <v>45061</v>
      </c>
      <c r="B511" s="2143" t="s">
        <v>14866</v>
      </c>
      <c r="C511" s="2141" t="s">
        <v>69</v>
      </c>
      <c r="D511" s="2141" t="s">
        <v>15131</v>
      </c>
      <c r="E511" s="2141" t="s">
        <v>13949</v>
      </c>
      <c r="F511" s="2142" t="s">
        <v>14867</v>
      </c>
      <c r="G511" s="2141"/>
      <c r="H511" s="2143"/>
      <c r="I511" s="2143" t="s">
        <v>15369</v>
      </c>
      <c r="J511" s="2141" t="s">
        <v>68</v>
      </c>
      <c r="K511" s="2141"/>
      <c r="L511" s="2144">
        <v>27649063</v>
      </c>
      <c r="M511" s="2141" t="s">
        <v>251</v>
      </c>
      <c r="N511" s="2140">
        <v>45071</v>
      </c>
      <c r="O511" s="2140">
        <v>45107</v>
      </c>
      <c r="P511" s="2140">
        <v>45121</v>
      </c>
      <c r="Q511" s="2143" t="s">
        <v>578</v>
      </c>
      <c r="R511" s="2141"/>
      <c r="S511" s="2144">
        <v>27649061.699999999</v>
      </c>
      <c r="T511" s="2144">
        <v>30413967.870000001</v>
      </c>
      <c r="U511" s="2145"/>
      <c r="V511" s="2145"/>
      <c r="W511" s="2145"/>
      <c r="X511" s="2146">
        <v>45121</v>
      </c>
      <c r="Y511" s="2144" t="s">
        <v>15367</v>
      </c>
      <c r="Z511" s="2140">
        <v>45139</v>
      </c>
      <c r="AA511" s="2140">
        <v>45154</v>
      </c>
      <c r="AB511" s="2140">
        <v>46275</v>
      </c>
      <c r="AC511" s="2799"/>
      <c r="AD511" s="2799"/>
      <c r="AE511" s="360" t="s">
        <v>15016</v>
      </c>
    </row>
    <row r="512" spans="1:31">
      <c r="A512" s="2124">
        <v>45061</v>
      </c>
      <c r="B512" s="2127" t="s">
        <v>14874</v>
      </c>
      <c r="C512" s="2125" t="s">
        <v>1754</v>
      </c>
      <c r="D512" s="2125" t="s">
        <v>13</v>
      </c>
      <c r="E512" s="2125" t="s">
        <v>13950</v>
      </c>
      <c r="F512" s="2126" t="s">
        <v>14875</v>
      </c>
      <c r="G512" s="2125"/>
      <c r="H512" s="2127"/>
      <c r="I512" s="2127" t="s">
        <v>242</v>
      </c>
      <c r="J512" s="2125" t="s">
        <v>1891</v>
      </c>
      <c r="K512" s="2125"/>
      <c r="L512" s="2128">
        <v>2136000</v>
      </c>
      <c r="M512" s="2125" t="s">
        <v>216</v>
      </c>
      <c r="N512" s="2124">
        <v>45068</v>
      </c>
      <c r="O512" s="2124">
        <v>45085</v>
      </c>
      <c r="P512" s="2125"/>
      <c r="Q512" s="2136" t="s">
        <v>2635</v>
      </c>
      <c r="R512" s="2275" t="s">
        <v>15140</v>
      </c>
      <c r="S512" s="2128"/>
      <c r="T512" s="2128"/>
      <c r="U512" s="2129"/>
      <c r="V512" s="2129"/>
      <c r="W512" s="2129"/>
      <c r="X512" s="2128"/>
      <c r="Y512" s="2128"/>
      <c r="Z512" s="2125"/>
      <c r="AA512" s="2124">
        <v>45111</v>
      </c>
      <c r="AB512" s="2127" t="s">
        <v>15093</v>
      </c>
      <c r="AC512" s="2799"/>
      <c r="AD512" s="2799"/>
    </row>
    <row r="513" spans="1:30">
      <c r="A513" s="2140">
        <v>45049</v>
      </c>
      <c r="B513" s="2143" t="s">
        <v>14873</v>
      </c>
      <c r="C513" s="2141" t="s">
        <v>2434</v>
      </c>
      <c r="D513" s="2141" t="s">
        <v>219</v>
      </c>
      <c r="E513" s="2141" t="s">
        <v>13948</v>
      </c>
      <c r="F513" s="2142" t="s">
        <v>14876</v>
      </c>
      <c r="G513" s="2141"/>
      <c r="H513" s="2143"/>
      <c r="I513" s="2143" t="s">
        <v>15369</v>
      </c>
      <c r="J513" s="2141" t="s">
        <v>14877</v>
      </c>
      <c r="K513" s="2141"/>
      <c r="L513" s="2144">
        <v>37306800</v>
      </c>
      <c r="M513" s="2141" t="s">
        <v>251</v>
      </c>
      <c r="N513" s="2140">
        <v>45124</v>
      </c>
      <c r="O513" s="2140">
        <v>45180</v>
      </c>
      <c r="P513" s="2140">
        <v>45254</v>
      </c>
      <c r="Q513" s="2143" t="s">
        <v>15278</v>
      </c>
      <c r="R513" s="2141"/>
      <c r="S513" s="2144">
        <v>32675200</v>
      </c>
      <c r="T513" s="2144">
        <v>39536992</v>
      </c>
      <c r="U513" s="2145"/>
      <c r="V513" s="2145"/>
      <c r="W513" s="2145"/>
      <c r="X513" s="2146">
        <v>45254</v>
      </c>
      <c r="Y513" s="2144" t="s">
        <v>16327</v>
      </c>
      <c r="Z513" s="2140">
        <v>45268</v>
      </c>
      <c r="AA513" s="2140">
        <v>45308</v>
      </c>
      <c r="AB513" s="2140">
        <v>46728</v>
      </c>
      <c r="AC513" s="2799"/>
      <c r="AD513" s="2799"/>
    </row>
    <row r="514" spans="1:30" ht="15.75" thickBot="1">
      <c r="A514" s="643">
        <v>45062</v>
      </c>
      <c r="B514" s="1533" t="s">
        <v>14883</v>
      </c>
      <c r="C514" s="639" t="s">
        <v>2434</v>
      </c>
      <c r="D514" s="639" t="s">
        <v>219</v>
      </c>
      <c r="E514" s="639" t="s">
        <v>13952</v>
      </c>
      <c r="F514" s="640" t="s">
        <v>14884</v>
      </c>
      <c r="G514" s="639"/>
      <c r="H514" s="1533"/>
      <c r="I514" s="1533" t="s">
        <v>242</v>
      </c>
      <c r="J514" s="639" t="s">
        <v>642</v>
      </c>
      <c r="K514" s="639"/>
      <c r="L514" s="645">
        <v>2470400</v>
      </c>
      <c r="M514" s="639" t="s">
        <v>216</v>
      </c>
      <c r="N514" s="643">
        <v>45068</v>
      </c>
      <c r="O514" s="643">
        <v>45107</v>
      </c>
      <c r="P514" s="639"/>
      <c r="Q514" s="644" t="s">
        <v>304</v>
      </c>
      <c r="R514" s="639"/>
      <c r="S514" s="645"/>
      <c r="T514" s="645"/>
      <c r="U514" s="1534"/>
      <c r="V514" s="1534"/>
      <c r="W514" s="1534"/>
      <c r="X514" s="645"/>
      <c r="Y514" s="645"/>
      <c r="Z514" s="639"/>
      <c r="AA514" s="643">
        <v>45124</v>
      </c>
      <c r="AB514" s="1533" t="s">
        <v>15312</v>
      </c>
      <c r="AC514" s="2799"/>
      <c r="AD514" s="2799"/>
    </row>
    <row r="515" spans="1:30" ht="30.75" thickTop="1">
      <c r="A515" s="474">
        <v>45062</v>
      </c>
      <c r="B515" s="1420" t="s">
        <v>14891</v>
      </c>
      <c r="C515" s="453" t="s">
        <v>58</v>
      </c>
      <c r="D515" s="453" t="s">
        <v>4969</v>
      </c>
      <c r="E515" s="453" t="s">
        <v>13948</v>
      </c>
      <c r="F515" s="473" t="s">
        <v>14889</v>
      </c>
      <c r="G515" s="453">
        <v>1</v>
      </c>
      <c r="H515" s="1420" t="s">
        <v>4438</v>
      </c>
      <c r="I515" s="1420" t="s">
        <v>15369</v>
      </c>
      <c r="J515" s="453" t="s">
        <v>5760</v>
      </c>
      <c r="K515" s="453" t="s">
        <v>14890</v>
      </c>
      <c r="L515" s="457">
        <v>1495000</v>
      </c>
      <c r="M515" s="453" t="s">
        <v>216</v>
      </c>
      <c r="N515" s="474">
        <v>44704</v>
      </c>
      <c r="O515" s="474">
        <v>45125</v>
      </c>
      <c r="P515" s="474">
        <v>45153</v>
      </c>
      <c r="Q515" s="1420" t="s">
        <v>993</v>
      </c>
      <c r="R515" s="453"/>
      <c r="S515" s="457">
        <v>1483036.26</v>
      </c>
      <c r="T515" s="457">
        <v>1794473.88</v>
      </c>
      <c r="U515" s="1474"/>
      <c r="V515" s="1474"/>
      <c r="W515" s="1474"/>
      <c r="X515" s="570">
        <v>45153</v>
      </c>
      <c r="Y515" s="1387" t="s">
        <v>15584</v>
      </c>
      <c r="Z515" s="474">
        <v>45174</v>
      </c>
      <c r="AA515" s="474">
        <v>45176</v>
      </c>
      <c r="AB515" s="474">
        <v>45219</v>
      </c>
      <c r="AC515" s="2799"/>
      <c r="AD515" s="2799"/>
    </row>
    <row r="516" spans="1:30" ht="30.75" thickBot="1">
      <c r="A516" s="2117">
        <v>45062</v>
      </c>
      <c r="B516" s="2120" t="s">
        <v>14892</v>
      </c>
      <c r="C516" s="2118" t="s">
        <v>58</v>
      </c>
      <c r="D516" s="2118" t="s">
        <v>4969</v>
      </c>
      <c r="E516" s="2118" t="s">
        <v>13948</v>
      </c>
      <c r="F516" s="2119" t="s">
        <v>14889</v>
      </c>
      <c r="G516" s="2118">
        <v>2</v>
      </c>
      <c r="H516" s="2120" t="s">
        <v>14894</v>
      </c>
      <c r="I516" s="2120" t="s">
        <v>15369</v>
      </c>
      <c r="J516" s="2118" t="s">
        <v>5760</v>
      </c>
      <c r="K516" s="2118" t="s">
        <v>14893</v>
      </c>
      <c r="L516" s="2121">
        <v>1004346</v>
      </c>
      <c r="M516" s="2118" t="s">
        <v>216</v>
      </c>
      <c r="N516" s="2117">
        <v>44704</v>
      </c>
      <c r="O516" s="2117">
        <v>45125</v>
      </c>
      <c r="P516" s="2117">
        <v>45153</v>
      </c>
      <c r="Q516" s="2120" t="s">
        <v>5696</v>
      </c>
      <c r="R516" s="2118"/>
      <c r="S516" s="2121">
        <v>1133045.05</v>
      </c>
      <c r="T516" s="2121">
        <v>1370984.51</v>
      </c>
      <c r="U516" s="2122"/>
      <c r="V516" s="2122"/>
      <c r="W516" s="2122"/>
      <c r="X516" s="2123">
        <v>45153</v>
      </c>
      <c r="Y516" s="2246" t="s">
        <v>15585</v>
      </c>
      <c r="Z516" s="2117">
        <v>45174</v>
      </c>
      <c r="AA516" s="2117">
        <v>45176</v>
      </c>
      <c r="AB516" s="2117">
        <v>45264</v>
      </c>
      <c r="AC516" s="2799"/>
      <c r="AD516" s="2799"/>
    </row>
    <row r="517" spans="1:30" ht="15.75" thickTop="1">
      <c r="A517" s="365">
        <v>45063</v>
      </c>
      <c r="B517" s="3192" t="s">
        <v>14898</v>
      </c>
      <c r="C517" s="3191" t="s">
        <v>1032</v>
      </c>
      <c r="D517" s="3191" t="s">
        <v>361</v>
      </c>
      <c r="E517" s="3191" t="s">
        <v>655</v>
      </c>
      <c r="F517" s="2519" t="s">
        <v>14899</v>
      </c>
      <c r="G517" s="3191"/>
      <c r="H517" s="3192"/>
      <c r="I517" s="3192" t="s">
        <v>15369</v>
      </c>
      <c r="J517" s="3191" t="s">
        <v>1676</v>
      </c>
      <c r="K517" s="3191"/>
      <c r="L517" s="364">
        <v>450000</v>
      </c>
      <c r="M517" s="3191" t="s">
        <v>112</v>
      </c>
      <c r="N517" s="365">
        <v>45065</v>
      </c>
      <c r="O517" s="365">
        <v>45083</v>
      </c>
      <c r="P517" s="365">
        <v>45098</v>
      </c>
      <c r="Q517" s="3192" t="s">
        <v>15173</v>
      </c>
      <c r="R517" s="3191"/>
      <c r="S517" s="364">
        <v>244371.33</v>
      </c>
      <c r="T517" s="364">
        <v>295689.31</v>
      </c>
      <c r="U517" s="1473"/>
      <c r="V517" s="1473"/>
      <c r="W517" s="1473"/>
      <c r="X517" s="681">
        <v>45098</v>
      </c>
      <c r="Y517" s="364" t="s">
        <v>15172</v>
      </c>
      <c r="Z517" s="365">
        <v>45105</v>
      </c>
      <c r="AA517" s="365">
        <v>45106</v>
      </c>
      <c r="AB517" s="3191"/>
      <c r="AC517" s="2799"/>
      <c r="AD517" s="2799"/>
    </row>
    <row r="518" spans="1:30">
      <c r="A518" s="2140">
        <v>45063</v>
      </c>
      <c r="B518" s="2143" t="s">
        <v>14900</v>
      </c>
      <c r="C518" s="2141" t="s">
        <v>1032</v>
      </c>
      <c r="D518" s="2141" t="s">
        <v>361</v>
      </c>
      <c r="E518" s="2141" t="s">
        <v>655</v>
      </c>
      <c r="F518" s="2142" t="s">
        <v>14901</v>
      </c>
      <c r="G518" s="2141"/>
      <c r="H518" s="2143"/>
      <c r="I518" s="2143" t="s">
        <v>15369</v>
      </c>
      <c r="J518" s="2141" t="s">
        <v>1676</v>
      </c>
      <c r="K518" s="2141"/>
      <c r="L518" s="2144">
        <v>850000</v>
      </c>
      <c r="M518" s="2141" t="s">
        <v>112</v>
      </c>
      <c r="N518" s="2140">
        <v>45065</v>
      </c>
      <c r="O518" s="2140">
        <v>45079</v>
      </c>
      <c r="P518" s="2140">
        <v>45090</v>
      </c>
      <c r="Q518" s="2143" t="s">
        <v>10171</v>
      </c>
      <c r="R518" s="2141"/>
      <c r="S518" s="2144">
        <v>1037300.39</v>
      </c>
      <c r="T518" s="2144">
        <v>1255133.47</v>
      </c>
      <c r="U518" s="2145"/>
      <c r="V518" s="2145"/>
      <c r="W518" s="2145"/>
      <c r="X518" s="2146">
        <v>45090</v>
      </c>
      <c r="Y518" s="2144" t="s">
        <v>15099</v>
      </c>
      <c r="Z518" s="2140">
        <v>45100</v>
      </c>
      <c r="AA518" s="2140">
        <v>45100</v>
      </c>
      <c r="AB518" s="2141"/>
      <c r="AC518" s="2799"/>
      <c r="AD518" s="2799"/>
    </row>
    <row r="519" spans="1:30" ht="15.75" thickBot="1">
      <c r="A519" s="416">
        <v>45063</v>
      </c>
      <c r="B519" s="630" t="s">
        <v>14904</v>
      </c>
      <c r="C519" s="411" t="s">
        <v>1032</v>
      </c>
      <c r="D519" s="411" t="s">
        <v>4864</v>
      </c>
      <c r="E519" s="411" t="s">
        <v>13951</v>
      </c>
      <c r="F519" s="412" t="s">
        <v>14905</v>
      </c>
      <c r="G519" s="411"/>
      <c r="H519" s="630"/>
      <c r="I519" s="630" t="s">
        <v>15369</v>
      </c>
      <c r="J519" s="411" t="s">
        <v>1780</v>
      </c>
      <c r="K519" s="411"/>
      <c r="L519" s="417">
        <v>1900000</v>
      </c>
      <c r="M519" s="411" t="s">
        <v>112</v>
      </c>
      <c r="N519" s="416">
        <v>45071</v>
      </c>
      <c r="O519" s="416">
        <v>45082</v>
      </c>
      <c r="P519" s="416">
        <v>45098</v>
      </c>
      <c r="Q519" s="630" t="s">
        <v>15065</v>
      </c>
      <c r="R519" s="411"/>
      <c r="S519" s="417">
        <v>540000</v>
      </c>
      <c r="T519" s="417">
        <v>653400</v>
      </c>
      <c r="U519" s="1480"/>
      <c r="V519" s="1480"/>
      <c r="W519" s="1480"/>
      <c r="X519" s="513">
        <v>45098</v>
      </c>
      <c r="Y519" s="417" t="s">
        <v>15176</v>
      </c>
      <c r="Z519" s="416">
        <v>45105</v>
      </c>
      <c r="AA519" s="416">
        <v>45105</v>
      </c>
      <c r="AB519" s="416">
        <v>46565</v>
      </c>
      <c r="AC519" s="2799"/>
      <c r="AD519" s="2799"/>
    </row>
    <row r="520" spans="1:30" ht="30.75" thickTop="1">
      <c r="A520" s="474">
        <v>45064</v>
      </c>
      <c r="B520" s="1420" t="s">
        <v>14908</v>
      </c>
      <c r="C520" s="453" t="s">
        <v>58</v>
      </c>
      <c r="D520" s="453" t="s">
        <v>4969</v>
      </c>
      <c r="E520" s="453" t="s">
        <v>13948</v>
      </c>
      <c r="F520" s="473" t="s">
        <v>14909</v>
      </c>
      <c r="G520" s="453">
        <v>1</v>
      </c>
      <c r="H520" s="1420" t="s">
        <v>14921</v>
      </c>
      <c r="I520" s="1420" t="s">
        <v>15369</v>
      </c>
      <c r="J520" s="453" t="s">
        <v>462</v>
      </c>
      <c r="K520" s="453" t="s">
        <v>14910</v>
      </c>
      <c r="L520" s="457">
        <v>1695670</v>
      </c>
      <c r="M520" s="453" t="s">
        <v>251</v>
      </c>
      <c r="N520" s="474">
        <v>45072</v>
      </c>
      <c r="O520" s="474">
        <v>45121</v>
      </c>
      <c r="P520" s="474">
        <v>45161</v>
      </c>
      <c r="Q520" s="1420" t="s">
        <v>4894</v>
      </c>
      <c r="R520" s="453"/>
      <c r="S520" s="457">
        <v>1413510</v>
      </c>
      <c r="T520" s="457">
        <v>1710347.1</v>
      </c>
      <c r="U520" s="1474"/>
      <c r="V520" s="1474"/>
      <c r="W520" s="1474"/>
      <c r="X520" s="570">
        <v>45161</v>
      </c>
      <c r="Y520" s="1387" t="s">
        <v>15671</v>
      </c>
      <c r="Z520" s="474">
        <v>45183</v>
      </c>
      <c r="AA520" s="474">
        <v>45187</v>
      </c>
      <c r="AB520" s="474">
        <v>45230</v>
      </c>
      <c r="AC520" s="2799"/>
      <c r="AD520" s="2799"/>
    </row>
    <row r="521" spans="1:30" ht="30">
      <c r="A521" s="2140">
        <v>45064</v>
      </c>
      <c r="B521" s="2143" t="s">
        <v>14916</v>
      </c>
      <c r="C521" s="2141" t="s">
        <v>58</v>
      </c>
      <c r="D521" s="2141" t="s">
        <v>4969</v>
      </c>
      <c r="E521" s="2141" t="s">
        <v>13948</v>
      </c>
      <c r="F521" s="2142" t="s">
        <v>14909</v>
      </c>
      <c r="G521" s="2141">
        <v>2</v>
      </c>
      <c r="H521" s="2143" t="s">
        <v>14922</v>
      </c>
      <c r="I521" s="2143" t="s">
        <v>15369</v>
      </c>
      <c r="J521" s="2141" t="s">
        <v>462</v>
      </c>
      <c r="K521" s="2141" t="s">
        <v>14911</v>
      </c>
      <c r="L521" s="2144">
        <v>2760000</v>
      </c>
      <c r="M521" s="2141" t="s">
        <v>251</v>
      </c>
      <c r="N521" s="2140">
        <v>45072</v>
      </c>
      <c r="O521" s="2140">
        <v>45121</v>
      </c>
      <c r="P521" s="2140">
        <v>45161</v>
      </c>
      <c r="Q521" s="2143" t="s">
        <v>6756</v>
      </c>
      <c r="R521" s="2141"/>
      <c r="S521" s="2144">
        <v>2748800</v>
      </c>
      <c r="T521" s="2144">
        <v>3326048</v>
      </c>
      <c r="U521" s="2145"/>
      <c r="V521" s="2145"/>
      <c r="W521" s="2145"/>
      <c r="X521" s="2146">
        <v>45161</v>
      </c>
      <c r="Y521" s="2260" t="s">
        <v>15672</v>
      </c>
      <c r="Z521" s="2140">
        <v>45183</v>
      </c>
      <c r="AA521" s="2140">
        <v>45187</v>
      </c>
      <c r="AB521" s="2140">
        <v>45230</v>
      </c>
      <c r="AC521" s="2799"/>
      <c r="AD521" s="2799"/>
    </row>
    <row r="522" spans="1:30" ht="30">
      <c r="A522" s="2140">
        <v>45064</v>
      </c>
      <c r="B522" s="2143" t="s">
        <v>14917</v>
      </c>
      <c r="C522" s="2141" t="s">
        <v>58</v>
      </c>
      <c r="D522" s="2141" t="s">
        <v>4969</v>
      </c>
      <c r="E522" s="2141" t="s">
        <v>13948</v>
      </c>
      <c r="F522" s="2142" t="s">
        <v>14909</v>
      </c>
      <c r="G522" s="2141">
        <v>3</v>
      </c>
      <c r="H522" s="2143" t="s">
        <v>14923</v>
      </c>
      <c r="I522" s="2143" t="s">
        <v>15369</v>
      </c>
      <c r="J522" s="2141" t="s">
        <v>462</v>
      </c>
      <c r="K522" s="2141" t="s">
        <v>14912</v>
      </c>
      <c r="L522" s="2144">
        <v>360000</v>
      </c>
      <c r="M522" s="2141" t="s">
        <v>251</v>
      </c>
      <c r="N522" s="2140">
        <v>45072</v>
      </c>
      <c r="O522" s="2140">
        <v>45121</v>
      </c>
      <c r="P522" s="2140">
        <v>45161</v>
      </c>
      <c r="Q522" s="2143" t="s">
        <v>5913</v>
      </c>
      <c r="R522" s="2141"/>
      <c r="S522" s="2144">
        <v>316800</v>
      </c>
      <c r="T522" s="2144">
        <v>383328</v>
      </c>
      <c r="U522" s="2145"/>
      <c r="V522" s="2145"/>
      <c r="W522" s="2145"/>
      <c r="X522" s="2146">
        <v>45161</v>
      </c>
      <c r="Y522" s="2260" t="s">
        <v>15673</v>
      </c>
      <c r="Z522" s="2140">
        <v>45183</v>
      </c>
      <c r="AA522" s="2140">
        <v>45187</v>
      </c>
      <c r="AB522" s="2140">
        <v>45188</v>
      </c>
      <c r="AC522" s="2799"/>
      <c r="AD522" s="2799"/>
    </row>
    <row r="523" spans="1:30" ht="30">
      <c r="A523" s="2140">
        <v>45064</v>
      </c>
      <c r="B523" s="2143" t="s">
        <v>14918</v>
      </c>
      <c r="C523" s="2141" t="s">
        <v>58</v>
      </c>
      <c r="D523" s="2141" t="s">
        <v>4969</v>
      </c>
      <c r="E523" s="2141" t="s">
        <v>13948</v>
      </c>
      <c r="F523" s="2142" t="s">
        <v>14909</v>
      </c>
      <c r="G523" s="2141">
        <v>4</v>
      </c>
      <c r="H523" s="2143" t="s">
        <v>14924</v>
      </c>
      <c r="I523" s="2143" t="s">
        <v>15369</v>
      </c>
      <c r="J523" s="2141" t="s">
        <v>462</v>
      </c>
      <c r="K523" s="2141" t="s">
        <v>14913</v>
      </c>
      <c r="L523" s="2144">
        <v>484711</v>
      </c>
      <c r="M523" s="2141" t="s">
        <v>251</v>
      </c>
      <c r="N523" s="2140">
        <v>45072</v>
      </c>
      <c r="O523" s="2140">
        <v>45121</v>
      </c>
      <c r="P523" s="2140">
        <v>45161</v>
      </c>
      <c r="Q523" s="2143" t="s">
        <v>5913</v>
      </c>
      <c r="R523" s="2141"/>
      <c r="S523" s="2144">
        <v>454800</v>
      </c>
      <c r="T523" s="2144">
        <v>550308</v>
      </c>
      <c r="U523" s="2145"/>
      <c r="V523" s="2145"/>
      <c r="W523" s="2145"/>
      <c r="X523" s="2146">
        <v>45161</v>
      </c>
      <c r="Y523" s="2260" t="s">
        <v>15674</v>
      </c>
      <c r="Z523" s="2140">
        <v>45183</v>
      </c>
      <c r="AA523" s="2140">
        <v>45187</v>
      </c>
      <c r="AB523" s="2140">
        <v>45188</v>
      </c>
      <c r="AC523" s="2799"/>
      <c r="AD523" s="2799"/>
    </row>
    <row r="524" spans="1:30" ht="30">
      <c r="A524" s="2140">
        <v>45064</v>
      </c>
      <c r="B524" s="2143" t="s">
        <v>14919</v>
      </c>
      <c r="C524" s="2141" t="s">
        <v>58</v>
      </c>
      <c r="D524" s="2141" t="s">
        <v>4969</v>
      </c>
      <c r="E524" s="2141" t="s">
        <v>13948</v>
      </c>
      <c r="F524" s="2142" t="s">
        <v>14909</v>
      </c>
      <c r="G524" s="2141">
        <v>5</v>
      </c>
      <c r="H524" s="2143" t="s">
        <v>14925</v>
      </c>
      <c r="I524" s="2143" t="s">
        <v>15369</v>
      </c>
      <c r="J524" s="2141" t="s">
        <v>462</v>
      </c>
      <c r="K524" s="2141" t="s">
        <v>14914</v>
      </c>
      <c r="L524" s="2144">
        <v>1712893</v>
      </c>
      <c r="M524" s="2141" t="s">
        <v>251</v>
      </c>
      <c r="N524" s="2140">
        <v>45072</v>
      </c>
      <c r="O524" s="2140">
        <v>45121</v>
      </c>
      <c r="P524" s="2140">
        <v>45161</v>
      </c>
      <c r="Q524" s="2143" t="s">
        <v>5914</v>
      </c>
      <c r="R524" s="2141"/>
      <c r="S524" s="2144">
        <v>1410288.74</v>
      </c>
      <c r="T524" s="2144">
        <v>1706449.38</v>
      </c>
      <c r="U524" s="2145"/>
      <c r="V524" s="2145"/>
      <c r="W524" s="2145"/>
      <c r="X524" s="2146">
        <v>45161</v>
      </c>
      <c r="Y524" s="2260" t="s">
        <v>15675</v>
      </c>
      <c r="Z524" s="2140">
        <v>45183</v>
      </c>
      <c r="AA524" s="2140">
        <v>45187</v>
      </c>
      <c r="AB524" s="2140">
        <v>45230</v>
      </c>
      <c r="AC524" s="2799"/>
      <c r="AD524" s="2799"/>
    </row>
    <row r="525" spans="1:30" ht="15.75" thickBot="1">
      <c r="A525" s="2117">
        <v>45064</v>
      </c>
      <c r="B525" s="2120" t="s">
        <v>14920</v>
      </c>
      <c r="C525" s="2118" t="s">
        <v>58</v>
      </c>
      <c r="D525" s="2118" t="s">
        <v>4969</v>
      </c>
      <c r="E525" s="2118" t="s">
        <v>13948</v>
      </c>
      <c r="F525" s="2119" t="s">
        <v>14909</v>
      </c>
      <c r="G525" s="2118">
        <v>6</v>
      </c>
      <c r="H525" s="2120" t="s">
        <v>14926</v>
      </c>
      <c r="I525" s="2120" t="s">
        <v>15369</v>
      </c>
      <c r="J525" s="2118" t="s">
        <v>462</v>
      </c>
      <c r="K525" s="2118" t="s">
        <v>14915</v>
      </c>
      <c r="L525" s="2121">
        <v>65200</v>
      </c>
      <c r="M525" s="2118" t="s">
        <v>251</v>
      </c>
      <c r="N525" s="2117">
        <v>45072</v>
      </c>
      <c r="O525" s="2117">
        <v>45121</v>
      </c>
      <c r="P525" s="2117">
        <v>45161</v>
      </c>
      <c r="Q525" s="2120" t="s">
        <v>5913</v>
      </c>
      <c r="R525" s="2118"/>
      <c r="S525" s="2121">
        <v>62000</v>
      </c>
      <c r="T525" s="2121">
        <v>75020</v>
      </c>
      <c r="U525" s="2122"/>
      <c r="V525" s="2122"/>
      <c r="W525" s="2122"/>
      <c r="X525" s="2123">
        <v>45161</v>
      </c>
      <c r="Y525" s="2246" t="s">
        <v>15670</v>
      </c>
      <c r="Z525" s="2117">
        <v>45183</v>
      </c>
      <c r="AA525" s="2117">
        <v>45187</v>
      </c>
      <c r="AB525" s="2117">
        <v>45188</v>
      </c>
      <c r="AC525" s="2799"/>
      <c r="AD525" s="2799"/>
    </row>
    <row r="526" spans="1:30" ht="15.75" thickTop="1">
      <c r="A526" s="365">
        <v>45064</v>
      </c>
      <c r="B526" s="3192" t="s">
        <v>14929</v>
      </c>
      <c r="C526" s="3191" t="s">
        <v>69</v>
      </c>
      <c r="D526" s="3191" t="s">
        <v>15131</v>
      </c>
      <c r="E526" s="3191" t="s">
        <v>13949</v>
      </c>
      <c r="F526" s="175" t="s">
        <v>8106</v>
      </c>
      <c r="G526" s="3191"/>
      <c r="H526" s="3192"/>
      <c r="I526" s="3192" t="s">
        <v>15369</v>
      </c>
      <c r="J526" s="3191" t="s">
        <v>14930</v>
      </c>
      <c r="K526" s="3191"/>
      <c r="L526" s="364">
        <v>2186103</v>
      </c>
      <c r="M526" s="3191" t="s">
        <v>216</v>
      </c>
      <c r="N526" s="365">
        <v>45078</v>
      </c>
      <c r="O526" s="365">
        <v>45098</v>
      </c>
      <c r="P526" s="365">
        <v>45133</v>
      </c>
      <c r="Q526" s="3192" t="s">
        <v>15355</v>
      </c>
      <c r="R526" s="3191"/>
      <c r="S526" s="364">
        <v>2186102.52</v>
      </c>
      <c r="T526" s="364">
        <v>2404712.77</v>
      </c>
      <c r="U526" s="1473"/>
      <c r="V526" s="1473"/>
      <c r="W526" s="1473"/>
      <c r="X526" s="681">
        <v>45133</v>
      </c>
      <c r="Y526" s="364" t="s">
        <v>15438</v>
      </c>
      <c r="Z526" s="365">
        <v>45168</v>
      </c>
      <c r="AA526" s="365">
        <v>45168</v>
      </c>
      <c r="AB526" s="365">
        <v>45802</v>
      </c>
      <c r="AC526" s="2799"/>
      <c r="AD526" s="2799"/>
    </row>
    <row r="527" spans="1:30">
      <c r="A527" s="2140">
        <v>45064</v>
      </c>
      <c r="B527" s="2143" t="s">
        <v>14931</v>
      </c>
      <c r="C527" s="2141" t="s">
        <v>2434</v>
      </c>
      <c r="D527" s="2141" t="s">
        <v>219</v>
      </c>
      <c r="E527" s="2141" t="s">
        <v>13948</v>
      </c>
      <c r="F527" s="2142" t="s">
        <v>14932</v>
      </c>
      <c r="G527" s="2141"/>
      <c r="H527" s="2143"/>
      <c r="I527" s="2143" t="s">
        <v>15369</v>
      </c>
      <c r="J527" s="2141" t="s">
        <v>642</v>
      </c>
      <c r="K527" s="2141"/>
      <c r="L527" s="2144">
        <v>912240</v>
      </c>
      <c r="M527" s="2141" t="s">
        <v>251</v>
      </c>
      <c r="N527" s="2140">
        <v>45071</v>
      </c>
      <c r="O527" s="2140">
        <v>45141</v>
      </c>
      <c r="P527" s="2140">
        <v>45162</v>
      </c>
      <c r="Q527" s="2143" t="s">
        <v>15596</v>
      </c>
      <c r="R527" s="2141"/>
      <c r="S527" s="2144">
        <v>912220</v>
      </c>
      <c r="T527" s="2144">
        <v>1103786.2</v>
      </c>
      <c r="U527" s="2145"/>
      <c r="V527" s="2145"/>
      <c r="W527" s="2145"/>
      <c r="X527" s="2146">
        <v>45162</v>
      </c>
      <c r="Y527" s="2144" t="s">
        <v>15697</v>
      </c>
      <c r="Z527" s="2140">
        <v>45210</v>
      </c>
      <c r="AA527" s="2140">
        <v>45216</v>
      </c>
      <c r="AB527" s="2140">
        <v>45392</v>
      </c>
      <c r="AC527" s="2799"/>
      <c r="AD527" s="2799"/>
    </row>
    <row r="528" spans="1:30">
      <c r="A528" s="2140">
        <v>45068</v>
      </c>
      <c r="B528" s="2143" t="s">
        <v>14940</v>
      </c>
      <c r="C528" s="2141" t="s">
        <v>2434</v>
      </c>
      <c r="D528" s="2141" t="s">
        <v>219</v>
      </c>
      <c r="E528" s="2141" t="s">
        <v>655</v>
      </c>
      <c r="F528" s="2142" t="s">
        <v>14941</v>
      </c>
      <c r="G528" s="2141"/>
      <c r="H528" s="2143"/>
      <c r="I528" s="2143" t="s">
        <v>15369</v>
      </c>
      <c r="J528" s="2141" t="s">
        <v>642</v>
      </c>
      <c r="K528" s="2141"/>
      <c r="L528" s="2144">
        <v>1150000</v>
      </c>
      <c r="M528" s="2141" t="s">
        <v>112</v>
      </c>
      <c r="N528" s="2140">
        <v>45072</v>
      </c>
      <c r="O528" s="2140">
        <v>45090</v>
      </c>
      <c r="P528" s="2140">
        <v>45100</v>
      </c>
      <c r="Q528" s="2143" t="s">
        <v>993</v>
      </c>
      <c r="R528" s="2141"/>
      <c r="S528" s="2144">
        <v>1150000</v>
      </c>
      <c r="T528" s="2144">
        <v>1391500</v>
      </c>
      <c r="U528" s="2145"/>
      <c r="V528" s="2145"/>
      <c r="W528" s="2145"/>
      <c r="X528" s="2146">
        <v>45100</v>
      </c>
      <c r="Y528" s="2144" t="s">
        <v>15188</v>
      </c>
      <c r="Z528" s="2140">
        <v>45105</v>
      </c>
      <c r="AA528" s="2140">
        <v>45106</v>
      </c>
      <c r="AB528" s="2140">
        <v>45836</v>
      </c>
      <c r="AC528" s="2799"/>
      <c r="AD528" s="2799"/>
    </row>
    <row r="529" spans="1:30" ht="15.75" thickBot="1">
      <c r="A529" s="416" t="s">
        <v>3585</v>
      </c>
      <c r="B529" s="630" t="s">
        <v>14945</v>
      </c>
      <c r="C529" s="411" t="s">
        <v>1032</v>
      </c>
      <c r="D529" s="411" t="s">
        <v>361</v>
      </c>
      <c r="E529" s="411" t="s">
        <v>13951</v>
      </c>
      <c r="F529" s="412" t="s">
        <v>14946</v>
      </c>
      <c r="G529" s="411"/>
      <c r="H529" s="630"/>
      <c r="I529" s="630" t="s">
        <v>15369</v>
      </c>
      <c r="J529" s="411" t="s">
        <v>7263</v>
      </c>
      <c r="K529" s="411"/>
      <c r="L529" s="417">
        <v>3350000</v>
      </c>
      <c r="M529" s="411" t="s">
        <v>112</v>
      </c>
      <c r="N529" s="416">
        <v>45071</v>
      </c>
      <c r="O529" s="416">
        <v>45082</v>
      </c>
      <c r="P529" s="416">
        <v>45096</v>
      </c>
      <c r="Q529" s="630" t="s">
        <v>409</v>
      </c>
      <c r="R529" s="411"/>
      <c r="S529" s="417">
        <v>1992973.6</v>
      </c>
      <c r="T529" s="417">
        <v>2291919.64</v>
      </c>
      <c r="U529" s="1480"/>
      <c r="V529" s="1480"/>
      <c r="W529" s="1480"/>
      <c r="X529" s="513">
        <v>45096</v>
      </c>
      <c r="Y529" s="417" t="s">
        <v>15141</v>
      </c>
      <c r="Z529" s="416">
        <v>45103</v>
      </c>
      <c r="AA529" s="416">
        <v>45103</v>
      </c>
      <c r="AB529" s="411"/>
      <c r="AC529" s="2799"/>
      <c r="AD529" s="2799"/>
    </row>
    <row r="530" spans="1:30" ht="15.75" thickTop="1">
      <c r="A530" s="443">
        <v>45064</v>
      </c>
      <c r="B530" s="1431" t="s">
        <v>14947</v>
      </c>
      <c r="C530" s="439" t="s">
        <v>58</v>
      </c>
      <c r="D530" s="439" t="s">
        <v>4969</v>
      </c>
      <c r="E530" s="439" t="s">
        <v>13948</v>
      </c>
      <c r="F530" s="440" t="s">
        <v>14949</v>
      </c>
      <c r="G530" s="439">
        <v>1</v>
      </c>
      <c r="H530" s="1431" t="s">
        <v>9829</v>
      </c>
      <c r="I530" s="1431" t="s">
        <v>242</v>
      </c>
      <c r="J530" s="439" t="s">
        <v>292</v>
      </c>
      <c r="K530" s="439" t="s">
        <v>14950</v>
      </c>
      <c r="L530" s="444">
        <v>338000</v>
      </c>
      <c r="M530" s="439" t="s">
        <v>251</v>
      </c>
      <c r="N530" s="443">
        <v>45072</v>
      </c>
      <c r="O530" s="443">
        <v>45138</v>
      </c>
      <c r="P530" s="439"/>
      <c r="Q530" s="753" t="s">
        <v>7449</v>
      </c>
      <c r="R530" s="2015" t="s">
        <v>15558</v>
      </c>
      <c r="S530" s="444"/>
      <c r="T530" s="444"/>
      <c r="U530" s="1481"/>
      <c r="V530" s="1481"/>
      <c r="W530" s="1481"/>
      <c r="X530" s="444"/>
      <c r="Y530" s="444"/>
      <c r="Z530" s="439"/>
      <c r="AA530" s="443">
        <v>45183</v>
      </c>
      <c r="AB530" s="1431" t="s">
        <v>15738</v>
      </c>
      <c r="AC530" s="2799"/>
      <c r="AD530" s="2799"/>
    </row>
    <row r="531" spans="1:30" ht="15.75" thickBot="1">
      <c r="A531" s="2130">
        <v>45064</v>
      </c>
      <c r="B531" s="2133" t="s">
        <v>14948</v>
      </c>
      <c r="C531" s="2131" t="s">
        <v>58</v>
      </c>
      <c r="D531" s="2131" t="s">
        <v>4969</v>
      </c>
      <c r="E531" s="2131" t="s">
        <v>13948</v>
      </c>
      <c r="F531" s="2132" t="s">
        <v>14949</v>
      </c>
      <c r="G531" s="2131">
        <v>2</v>
      </c>
      <c r="H531" s="2133" t="s">
        <v>14951</v>
      </c>
      <c r="I531" s="2133" t="s">
        <v>242</v>
      </c>
      <c r="J531" s="2131" t="s">
        <v>292</v>
      </c>
      <c r="K531" s="2131" t="s">
        <v>14952</v>
      </c>
      <c r="L531" s="2134">
        <v>170000</v>
      </c>
      <c r="M531" s="2131" t="s">
        <v>251</v>
      </c>
      <c r="N531" s="2130">
        <v>45072</v>
      </c>
      <c r="O531" s="2130">
        <v>45138</v>
      </c>
      <c r="P531" s="2131"/>
      <c r="Q531" s="2137" t="s">
        <v>9335</v>
      </c>
      <c r="R531" s="2287" t="s">
        <v>15558</v>
      </c>
      <c r="S531" s="2134"/>
      <c r="T531" s="2134"/>
      <c r="U531" s="2135"/>
      <c r="V531" s="2135"/>
      <c r="W531" s="2135"/>
      <c r="X531" s="2134"/>
      <c r="Y531" s="2134"/>
      <c r="Z531" s="2131"/>
      <c r="AA531" s="2130">
        <v>45183</v>
      </c>
      <c r="AB531" s="2133" t="s">
        <v>15701</v>
      </c>
      <c r="AC531" s="2799"/>
      <c r="AD531" s="2799"/>
    </row>
    <row r="532" spans="1:30" ht="30.75" thickTop="1">
      <c r="A532" s="474">
        <v>45069</v>
      </c>
      <c r="B532" s="1420" t="s">
        <v>14953</v>
      </c>
      <c r="C532" s="453" t="s">
        <v>58</v>
      </c>
      <c r="D532" s="453" t="s">
        <v>4969</v>
      </c>
      <c r="E532" s="453" t="s">
        <v>13951</v>
      </c>
      <c r="F532" s="473" t="s">
        <v>15836</v>
      </c>
      <c r="G532" s="453">
        <v>1</v>
      </c>
      <c r="H532" s="1420" t="s">
        <v>14957</v>
      </c>
      <c r="I532" s="1420" t="s">
        <v>15369</v>
      </c>
      <c r="J532" s="453" t="s">
        <v>1924</v>
      </c>
      <c r="K532" s="453" t="s">
        <v>14961</v>
      </c>
      <c r="L532" s="457">
        <v>300000</v>
      </c>
      <c r="M532" s="453" t="s">
        <v>112</v>
      </c>
      <c r="N532" s="474">
        <v>45071</v>
      </c>
      <c r="O532" s="474">
        <v>45093</v>
      </c>
      <c r="P532" s="474">
        <v>45117</v>
      </c>
      <c r="Q532" s="1420" t="s">
        <v>9720</v>
      </c>
      <c r="R532" s="453"/>
      <c r="S532" s="457">
        <v>252150</v>
      </c>
      <c r="T532" s="457">
        <v>305101.5</v>
      </c>
      <c r="U532" s="1474"/>
      <c r="V532" s="1474"/>
      <c r="W532" s="1474"/>
      <c r="X532" s="570">
        <v>45117</v>
      </c>
      <c r="Y532" s="1387" t="s">
        <v>15329</v>
      </c>
      <c r="Z532" s="474">
        <v>45126</v>
      </c>
      <c r="AA532" s="474">
        <v>45126</v>
      </c>
      <c r="AB532" s="474">
        <v>45246</v>
      </c>
      <c r="AC532" s="2799"/>
      <c r="AD532" s="2799"/>
    </row>
    <row r="533" spans="1:30" ht="30">
      <c r="A533" s="2140">
        <v>45069</v>
      </c>
      <c r="B533" s="3192" t="s">
        <v>14954</v>
      </c>
      <c r="C533" s="2141" t="s">
        <v>58</v>
      </c>
      <c r="D533" s="2141" t="s">
        <v>4969</v>
      </c>
      <c r="E533" s="2141" t="s">
        <v>13951</v>
      </c>
      <c r="F533" s="2142" t="s">
        <v>15836</v>
      </c>
      <c r="G533" s="2141">
        <v>2</v>
      </c>
      <c r="H533" s="2143" t="s">
        <v>14958</v>
      </c>
      <c r="I533" s="2143" t="s">
        <v>15369</v>
      </c>
      <c r="J533" s="2141" t="s">
        <v>1924</v>
      </c>
      <c r="K533" s="2141" t="s">
        <v>14962</v>
      </c>
      <c r="L533" s="2144">
        <v>101300</v>
      </c>
      <c r="M533" s="2141" t="s">
        <v>112</v>
      </c>
      <c r="N533" s="2140">
        <v>45071</v>
      </c>
      <c r="O533" s="2140">
        <v>45093</v>
      </c>
      <c r="P533" s="2140">
        <v>45117</v>
      </c>
      <c r="Q533" s="2143" t="s">
        <v>9720</v>
      </c>
      <c r="R533" s="2141"/>
      <c r="S533" s="2144">
        <v>57450</v>
      </c>
      <c r="T533" s="2144">
        <v>67732.5</v>
      </c>
      <c r="U533" s="2145"/>
      <c r="V533" s="2145"/>
      <c r="W533" s="2145"/>
      <c r="X533" s="2146">
        <v>45117</v>
      </c>
      <c r="Y533" s="2260" t="s">
        <v>15330</v>
      </c>
      <c r="Z533" s="2140">
        <v>45126</v>
      </c>
      <c r="AA533" s="2140">
        <v>45126</v>
      </c>
      <c r="AB533" s="2140">
        <v>45246</v>
      </c>
      <c r="AC533" s="2799"/>
      <c r="AD533" s="2799"/>
    </row>
    <row r="534" spans="1:30" ht="30">
      <c r="A534" s="2140">
        <v>45069</v>
      </c>
      <c r="B534" s="3192" t="s">
        <v>14955</v>
      </c>
      <c r="C534" s="2141" t="s">
        <v>58</v>
      </c>
      <c r="D534" s="2141" t="s">
        <v>4969</v>
      </c>
      <c r="E534" s="2141" t="s">
        <v>13951</v>
      </c>
      <c r="F534" s="2142" t="s">
        <v>15836</v>
      </c>
      <c r="G534" s="2141">
        <v>3</v>
      </c>
      <c r="H534" s="2143" t="s">
        <v>14959</v>
      </c>
      <c r="I534" s="2143" t="s">
        <v>15369</v>
      </c>
      <c r="J534" s="2141" t="s">
        <v>1924</v>
      </c>
      <c r="K534" s="2141" t="s">
        <v>14963</v>
      </c>
      <c r="L534" s="2144">
        <v>309000</v>
      </c>
      <c r="M534" s="2141" t="s">
        <v>112</v>
      </c>
      <c r="N534" s="2140">
        <v>45071</v>
      </c>
      <c r="O534" s="2140">
        <v>45093</v>
      </c>
      <c r="P534" s="2140">
        <v>45117</v>
      </c>
      <c r="Q534" s="2143" t="s">
        <v>4478</v>
      </c>
      <c r="R534" s="2141"/>
      <c r="S534" s="2144">
        <v>247975</v>
      </c>
      <c r="T534" s="2144">
        <v>300049.75</v>
      </c>
      <c r="U534" s="2145"/>
      <c r="V534" s="2145"/>
      <c r="W534" s="2145"/>
      <c r="X534" s="2146">
        <v>45117</v>
      </c>
      <c r="Y534" s="2260" t="s">
        <v>15331</v>
      </c>
      <c r="Z534" s="2140">
        <v>45126</v>
      </c>
      <c r="AA534" s="2140">
        <v>45126</v>
      </c>
      <c r="AB534" s="2140">
        <v>45196</v>
      </c>
      <c r="AC534" s="2799"/>
      <c r="AD534" s="2799"/>
    </row>
    <row r="535" spans="1:30" ht="30.75" thickBot="1">
      <c r="A535" s="2117">
        <v>45069</v>
      </c>
      <c r="B535" s="1983" t="s">
        <v>14956</v>
      </c>
      <c r="C535" s="2118" t="s">
        <v>58</v>
      </c>
      <c r="D535" s="2118" t="s">
        <v>4969</v>
      </c>
      <c r="E535" s="2118" t="s">
        <v>13951</v>
      </c>
      <c r="F535" s="2119" t="s">
        <v>15836</v>
      </c>
      <c r="G535" s="2118">
        <v>4</v>
      </c>
      <c r="H535" s="2120" t="s">
        <v>14960</v>
      </c>
      <c r="I535" s="2120" t="s">
        <v>15369</v>
      </c>
      <c r="J535" s="2118" t="s">
        <v>1924</v>
      </c>
      <c r="K535" s="2118" t="s">
        <v>14964</v>
      </c>
      <c r="L535" s="2121">
        <v>845300</v>
      </c>
      <c r="M535" s="2118" t="s">
        <v>112</v>
      </c>
      <c r="N535" s="2117">
        <v>45071</v>
      </c>
      <c r="O535" s="2117">
        <v>45093</v>
      </c>
      <c r="P535" s="2117">
        <v>45138</v>
      </c>
      <c r="Q535" s="2120" t="s">
        <v>4478</v>
      </c>
      <c r="R535" s="2118"/>
      <c r="S535" s="2121">
        <v>667750</v>
      </c>
      <c r="T535" s="2121">
        <v>807977.5</v>
      </c>
      <c r="U535" s="2122"/>
      <c r="V535" s="2122"/>
      <c r="W535" s="2122"/>
      <c r="X535" s="2123">
        <v>45138</v>
      </c>
      <c r="Y535" s="2246" t="s">
        <v>15462</v>
      </c>
      <c r="Z535" s="2117">
        <v>45147</v>
      </c>
      <c r="AA535" s="2117">
        <v>45147</v>
      </c>
      <c r="AB535" s="2117">
        <v>45217</v>
      </c>
      <c r="AC535" s="2799"/>
      <c r="AD535" s="2799"/>
    </row>
    <row r="536" spans="1:30" ht="45.75" thickTop="1">
      <c r="A536" s="365">
        <v>45069</v>
      </c>
      <c r="B536" s="3192" t="s">
        <v>14965</v>
      </c>
      <c r="C536" s="3191" t="s">
        <v>58</v>
      </c>
      <c r="D536" s="3191" t="s">
        <v>4969</v>
      </c>
      <c r="E536" s="3191" t="s">
        <v>655</v>
      </c>
      <c r="F536" s="175" t="s">
        <v>14966</v>
      </c>
      <c r="G536" s="3191"/>
      <c r="H536" s="3192"/>
      <c r="I536" s="3192" t="s">
        <v>15369</v>
      </c>
      <c r="J536" s="3191" t="s">
        <v>476</v>
      </c>
      <c r="K536" s="3191" t="s">
        <v>14967</v>
      </c>
      <c r="L536" s="364">
        <v>1107914</v>
      </c>
      <c r="M536" s="3191" t="s">
        <v>112</v>
      </c>
      <c r="N536" s="365">
        <v>45076</v>
      </c>
      <c r="O536" s="365">
        <v>45097</v>
      </c>
      <c r="P536" s="365">
        <v>45106</v>
      </c>
      <c r="Q536" s="3192" t="s">
        <v>15224</v>
      </c>
      <c r="R536" s="3191"/>
      <c r="S536" s="364">
        <v>886869</v>
      </c>
      <c r="T536" s="364">
        <v>1073111.49</v>
      </c>
      <c r="U536" s="1473"/>
      <c r="V536" s="1473"/>
      <c r="W536" s="1473"/>
      <c r="X536" s="681">
        <v>45106</v>
      </c>
      <c r="Y536" s="1417" t="s">
        <v>15281</v>
      </c>
      <c r="Z536" s="365">
        <v>45125</v>
      </c>
      <c r="AA536" s="365">
        <v>45126</v>
      </c>
      <c r="AB536" s="365">
        <v>45230</v>
      </c>
      <c r="AC536" s="2799"/>
      <c r="AD536" s="2799"/>
    </row>
    <row r="537" spans="1:30">
      <c r="A537" s="2140">
        <v>45072</v>
      </c>
      <c r="B537" s="2143" t="s">
        <v>14982</v>
      </c>
      <c r="C537" s="2141" t="s">
        <v>1032</v>
      </c>
      <c r="D537" s="2141" t="s">
        <v>361</v>
      </c>
      <c r="E537" s="2141" t="s">
        <v>655</v>
      </c>
      <c r="F537" s="2142" t="s">
        <v>14986</v>
      </c>
      <c r="G537" s="2141"/>
      <c r="H537" s="2143"/>
      <c r="I537" s="2143" t="s">
        <v>15369</v>
      </c>
      <c r="J537" s="2141" t="s">
        <v>14987</v>
      </c>
      <c r="K537" s="2141"/>
      <c r="L537" s="2144">
        <v>620000</v>
      </c>
      <c r="M537" s="2141" t="s">
        <v>112</v>
      </c>
      <c r="N537" s="2140">
        <v>45076</v>
      </c>
      <c r="O537" s="2140">
        <v>45097</v>
      </c>
      <c r="P537" s="2140">
        <v>45105</v>
      </c>
      <c r="Q537" s="2143" t="s">
        <v>10171</v>
      </c>
      <c r="R537" s="2141"/>
      <c r="S537" s="2144">
        <v>398718.5</v>
      </c>
      <c r="T537" s="2144">
        <v>482449.39</v>
      </c>
      <c r="U537" s="2145"/>
      <c r="V537" s="2145"/>
      <c r="W537" s="2145"/>
      <c r="X537" s="2146">
        <v>45105</v>
      </c>
      <c r="Y537" s="2144" t="s">
        <v>15239</v>
      </c>
      <c r="Z537" s="2140">
        <v>45125</v>
      </c>
      <c r="AA537" s="2140">
        <v>45126</v>
      </c>
      <c r="AB537" s="2141"/>
      <c r="AC537" s="2799"/>
      <c r="AD537" s="2799"/>
    </row>
    <row r="538" spans="1:30" ht="15.75" thickBot="1">
      <c r="A538" s="416">
        <v>45072</v>
      </c>
      <c r="B538" s="630" t="s">
        <v>14983</v>
      </c>
      <c r="C538" s="411" t="s">
        <v>1032</v>
      </c>
      <c r="D538" s="411" t="s">
        <v>361</v>
      </c>
      <c r="E538" s="411" t="s">
        <v>13951</v>
      </c>
      <c r="F538" s="412" t="s">
        <v>14984</v>
      </c>
      <c r="G538" s="411"/>
      <c r="H538" s="630"/>
      <c r="I538" s="630" t="s">
        <v>15369</v>
      </c>
      <c r="J538" s="411" t="s">
        <v>14985</v>
      </c>
      <c r="K538" s="411"/>
      <c r="L538" s="417">
        <v>5500000</v>
      </c>
      <c r="M538" s="411" t="s">
        <v>112</v>
      </c>
      <c r="N538" s="416">
        <v>45076</v>
      </c>
      <c r="O538" s="416">
        <v>45096</v>
      </c>
      <c r="P538" s="416">
        <v>45100</v>
      </c>
      <c r="Q538" s="630" t="s">
        <v>12041</v>
      </c>
      <c r="R538" s="411"/>
      <c r="S538" s="417">
        <v>4349082.58</v>
      </c>
      <c r="T538" s="417">
        <v>5262389.92</v>
      </c>
      <c r="U538" s="2145"/>
      <c r="V538" s="2145"/>
      <c r="W538" s="2145"/>
      <c r="X538" s="513">
        <v>45100</v>
      </c>
      <c r="Y538" s="417" t="s">
        <v>15197</v>
      </c>
      <c r="Z538" s="416">
        <v>45107</v>
      </c>
      <c r="AA538" s="416">
        <v>45107</v>
      </c>
      <c r="AB538" s="411"/>
      <c r="AC538" s="2799"/>
      <c r="AD538" s="2799"/>
    </row>
    <row r="539" spans="1:30" ht="15.75" thickTop="1">
      <c r="A539" s="453" t="s">
        <v>3585</v>
      </c>
      <c r="B539" s="1420" t="s">
        <v>14990</v>
      </c>
      <c r="C539" s="453" t="s">
        <v>52</v>
      </c>
      <c r="D539" s="453" t="s">
        <v>6359</v>
      </c>
      <c r="E539" s="453" t="s">
        <v>13950</v>
      </c>
      <c r="F539" s="473" t="s">
        <v>14341</v>
      </c>
      <c r="G539" s="453">
        <v>1</v>
      </c>
      <c r="H539" s="1420" t="s">
        <v>14671</v>
      </c>
      <c r="I539" s="1420" t="s">
        <v>15369</v>
      </c>
      <c r="J539" s="453" t="s">
        <v>33</v>
      </c>
      <c r="K539" s="453"/>
      <c r="L539" s="457">
        <v>161585174.90000001</v>
      </c>
      <c r="M539" s="453" t="s">
        <v>251</v>
      </c>
      <c r="N539" s="474">
        <v>45085</v>
      </c>
      <c r="O539" s="474">
        <v>45128</v>
      </c>
      <c r="P539" s="474">
        <v>45154</v>
      </c>
      <c r="Q539" s="1420" t="s">
        <v>12041</v>
      </c>
      <c r="R539" s="453"/>
      <c r="S539" s="457">
        <v>157879368.69</v>
      </c>
      <c r="T539" s="457">
        <v>191034036.11000001</v>
      </c>
      <c r="U539" s="2145"/>
      <c r="V539" s="2145"/>
      <c r="W539" s="2145"/>
      <c r="X539" s="570">
        <v>45154</v>
      </c>
      <c r="Y539" s="457" t="s">
        <v>15602</v>
      </c>
      <c r="Z539" s="474">
        <v>45188</v>
      </c>
      <c r="AA539" s="474">
        <v>45191</v>
      </c>
      <c r="AB539" s="453"/>
      <c r="AC539" s="2799"/>
      <c r="AD539" s="2799"/>
    </row>
    <row r="540" spans="1:30">
      <c r="A540" s="2141" t="s">
        <v>3585</v>
      </c>
      <c r="B540" s="2143" t="s">
        <v>14994</v>
      </c>
      <c r="C540" s="2141" t="s">
        <v>52</v>
      </c>
      <c r="D540" s="2141" t="s">
        <v>6359</v>
      </c>
      <c r="E540" s="2141" t="s">
        <v>13950</v>
      </c>
      <c r="F540" s="2142" t="s">
        <v>14341</v>
      </c>
      <c r="G540" s="2141">
        <v>2</v>
      </c>
      <c r="H540" s="2143" t="s">
        <v>14672</v>
      </c>
      <c r="I540" s="2143" t="s">
        <v>15369</v>
      </c>
      <c r="J540" s="2141" t="s">
        <v>33</v>
      </c>
      <c r="K540" s="2141"/>
      <c r="L540" s="2144">
        <v>117654659.40000001</v>
      </c>
      <c r="M540" s="2141" t="s">
        <v>251</v>
      </c>
      <c r="N540" s="2140">
        <v>45085</v>
      </c>
      <c r="O540" s="2140">
        <v>45128</v>
      </c>
      <c r="P540" s="2140">
        <v>45154</v>
      </c>
      <c r="Q540" s="2143" t="s">
        <v>12041</v>
      </c>
      <c r="R540" s="2141"/>
      <c r="S540" s="2144">
        <v>115235970.64</v>
      </c>
      <c r="T540" s="2144">
        <v>139435524.47</v>
      </c>
      <c r="U540" s="2145"/>
      <c r="V540" s="2145"/>
      <c r="W540" s="2145"/>
      <c r="X540" s="2146">
        <v>45154</v>
      </c>
      <c r="Y540" s="2144" t="s">
        <v>15603</v>
      </c>
      <c r="Z540" s="2140">
        <v>45188</v>
      </c>
      <c r="AA540" s="2140">
        <v>45191</v>
      </c>
      <c r="AB540" s="2141"/>
      <c r="AC540" s="2799"/>
      <c r="AD540" s="2799"/>
    </row>
    <row r="541" spans="1:30" ht="15.75" thickBot="1">
      <c r="A541" s="2118" t="s">
        <v>3585</v>
      </c>
      <c r="B541" s="2120" t="s">
        <v>14995</v>
      </c>
      <c r="C541" s="2118" t="s">
        <v>52</v>
      </c>
      <c r="D541" s="2118" t="s">
        <v>6359</v>
      </c>
      <c r="E541" s="2118" t="s">
        <v>13950</v>
      </c>
      <c r="F541" s="2119" t="s">
        <v>14341</v>
      </c>
      <c r="G541" s="2118">
        <v>3</v>
      </c>
      <c r="H541" s="2120" t="s">
        <v>14673</v>
      </c>
      <c r="I541" s="2120" t="s">
        <v>15369</v>
      </c>
      <c r="J541" s="2118" t="s">
        <v>33</v>
      </c>
      <c r="K541" s="2118"/>
      <c r="L541" s="2121">
        <v>16718547.119999999</v>
      </c>
      <c r="M541" s="2118" t="s">
        <v>251</v>
      </c>
      <c r="N541" s="2117">
        <v>45085</v>
      </c>
      <c r="O541" s="2117">
        <v>45128</v>
      </c>
      <c r="P541" s="2117">
        <v>45154</v>
      </c>
      <c r="Q541" s="2120" t="s">
        <v>15457</v>
      </c>
      <c r="R541" s="2118"/>
      <c r="S541" s="2121">
        <v>11998784.720000001</v>
      </c>
      <c r="T541" s="2121">
        <v>14518529.51</v>
      </c>
      <c r="U541" s="2145"/>
      <c r="V541" s="2145"/>
      <c r="W541" s="2145"/>
      <c r="X541" s="2123">
        <v>45154</v>
      </c>
      <c r="Y541" s="2121" t="s">
        <v>15604</v>
      </c>
      <c r="Z541" s="2117">
        <v>45183</v>
      </c>
      <c r="AA541" s="2117">
        <v>45191</v>
      </c>
      <c r="AB541" s="2118"/>
      <c r="AC541" s="2799"/>
      <c r="AD541" s="2799"/>
    </row>
    <row r="542" spans="1:30" ht="15.75" thickTop="1">
      <c r="A542" s="365">
        <v>45075</v>
      </c>
      <c r="B542" s="3192" t="s">
        <v>15004</v>
      </c>
      <c r="C542" s="3191" t="s">
        <v>2434</v>
      </c>
      <c r="D542" s="3191" t="s">
        <v>219</v>
      </c>
      <c r="E542" s="3191" t="s">
        <v>13948</v>
      </c>
      <c r="F542" s="175" t="s">
        <v>15785</v>
      </c>
      <c r="G542" s="3191"/>
      <c r="H542" s="3192"/>
      <c r="I542" s="3192" t="s">
        <v>15369</v>
      </c>
      <c r="J542" s="3191" t="s">
        <v>3271</v>
      </c>
      <c r="K542" s="3191"/>
      <c r="L542" s="364">
        <v>589278</v>
      </c>
      <c r="M542" s="3191" t="s">
        <v>251</v>
      </c>
      <c r="N542" s="365">
        <v>45079</v>
      </c>
      <c r="O542" s="365">
        <v>45138</v>
      </c>
      <c r="P542" s="365">
        <v>45188</v>
      </c>
      <c r="Q542" s="3192" t="s">
        <v>12260</v>
      </c>
      <c r="R542" s="3191"/>
      <c r="S542" s="364">
        <v>594681</v>
      </c>
      <c r="T542" s="364">
        <v>719564.01</v>
      </c>
      <c r="U542" s="2145"/>
      <c r="V542" s="2145"/>
      <c r="W542" s="2145"/>
      <c r="X542" s="681">
        <v>45188</v>
      </c>
      <c r="Y542" s="364" t="s">
        <v>15833</v>
      </c>
      <c r="Z542" s="365">
        <v>45210</v>
      </c>
      <c r="AA542" s="365">
        <v>45217</v>
      </c>
      <c r="AB542" s="365">
        <v>45294</v>
      </c>
      <c r="AC542" s="2799"/>
      <c r="AD542" s="2799"/>
    </row>
    <row r="543" spans="1:30" ht="30">
      <c r="A543" s="2140">
        <v>45076</v>
      </c>
      <c r="B543" s="2143" t="s">
        <v>15005</v>
      </c>
      <c r="C543" s="2141" t="s">
        <v>58</v>
      </c>
      <c r="D543" s="2141" t="s">
        <v>4969</v>
      </c>
      <c r="E543" s="2141" t="s">
        <v>13951</v>
      </c>
      <c r="F543" s="2142" t="s">
        <v>15006</v>
      </c>
      <c r="G543" s="2141"/>
      <c r="H543" s="2143"/>
      <c r="I543" s="2143" t="s">
        <v>15369</v>
      </c>
      <c r="J543" s="2141" t="s">
        <v>790</v>
      </c>
      <c r="K543" s="2141" t="s">
        <v>15007</v>
      </c>
      <c r="L543" s="2144">
        <v>315000</v>
      </c>
      <c r="M543" s="2141" t="s">
        <v>112</v>
      </c>
      <c r="N543" s="2140">
        <v>45078</v>
      </c>
      <c r="O543" s="2140">
        <v>45089</v>
      </c>
      <c r="P543" s="2140">
        <v>45099</v>
      </c>
      <c r="Q543" s="2143" t="s">
        <v>15100</v>
      </c>
      <c r="R543" s="2141"/>
      <c r="S543" s="2144">
        <v>304200</v>
      </c>
      <c r="T543" s="2144">
        <v>368082</v>
      </c>
      <c r="U543" s="2145"/>
      <c r="V543" s="2145"/>
      <c r="W543" s="2145"/>
      <c r="X543" s="2146">
        <v>45099</v>
      </c>
      <c r="Y543" s="2260" t="s">
        <v>15184</v>
      </c>
      <c r="Z543" s="2140">
        <v>45111</v>
      </c>
      <c r="AA543" s="2140">
        <v>45111</v>
      </c>
      <c r="AB543" s="2140">
        <v>45161</v>
      </c>
      <c r="AC543" s="2799"/>
      <c r="AD543" s="2799"/>
    </row>
    <row r="544" spans="1:30" ht="30">
      <c r="A544" s="2140">
        <v>45076</v>
      </c>
      <c r="B544" s="2143" t="s">
        <v>15008</v>
      </c>
      <c r="C544" s="2141" t="s">
        <v>58</v>
      </c>
      <c r="D544" s="2141" t="s">
        <v>4969</v>
      </c>
      <c r="E544" s="2141" t="s">
        <v>655</v>
      </c>
      <c r="F544" s="2142" t="s">
        <v>15009</v>
      </c>
      <c r="G544" s="2141"/>
      <c r="H544" s="2143"/>
      <c r="I544" s="2143" t="s">
        <v>15369</v>
      </c>
      <c r="J544" s="2141" t="s">
        <v>1950</v>
      </c>
      <c r="K544" s="2141" t="s">
        <v>15010</v>
      </c>
      <c r="L544" s="2144">
        <v>229000</v>
      </c>
      <c r="M544" s="2141" t="s">
        <v>112</v>
      </c>
      <c r="N544" s="2140">
        <v>45077</v>
      </c>
      <c r="O544" s="2140">
        <v>45091</v>
      </c>
      <c r="P544" s="2140">
        <v>45099</v>
      </c>
      <c r="Q544" s="2143" t="s">
        <v>15100</v>
      </c>
      <c r="R544" s="2141"/>
      <c r="S544" s="2144">
        <v>229000</v>
      </c>
      <c r="T544" s="2144">
        <v>277090</v>
      </c>
      <c r="U544" s="2145"/>
      <c r="V544" s="2145"/>
      <c r="W544" s="2145"/>
      <c r="X544" s="2146">
        <v>45099</v>
      </c>
      <c r="Y544" s="2260" t="s">
        <v>15180</v>
      </c>
      <c r="Z544" s="2140">
        <v>45105</v>
      </c>
      <c r="AA544" s="2140">
        <v>45106</v>
      </c>
      <c r="AB544" s="2140">
        <v>45165</v>
      </c>
      <c r="AC544" s="2799"/>
      <c r="AD544" s="2799"/>
    </row>
    <row r="545" spans="1:30" ht="30">
      <c r="A545" s="2140">
        <v>45076</v>
      </c>
      <c r="B545" s="2143" t="s">
        <v>15013</v>
      </c>
      <c r="C545" s="2141" t="s">
        <v>13843</v>
      </c>
      <c r="D545" s="2141" t="s">
        <v>13844</v>
      </c>
      <c r="E545" s="2141" t="s">
        <v>13949</v>
      </c>
      <c r="F545" s="2142" t="s">
        <v>15014</v>
      </c>
      <c r="G545" s="2141"/>
      <c r="H545" s="2143"/>
      <c r="I545" s="2143" t="s">
        <v>15369</v>
      </c>
      <c r="J545" s="2141" t="s">
        <v>10208</v>
      </c>
      <c r="K545" s="2141"/>
      <c r="L545" s="2144">
        <v>6114360</v>
      </c>
      <c r="M545" s="2141" t="s">
        <v>251</v>
      </c>
      <c r="N545" s="2140">
        <v>45100</v>
      </c>
      <c r="O545" s="2140">
        <v>45135</v>
      </c>
      <c r="P545" s="2140">
        <v>45257</v>
      </c>
      <c r="Q545" s="2143" t="s">
        <v>15971</v>
      </c>
      <c r="R545" s="2141"/>
      <c r="S545" s="2144">
        <v>6114360</v>
      </c>
      <c r="T545" s="2144">
        <v>7398375.5999999996</v>
      </c>
      <c r="U545" s="2145"/>
      <c r="V545" s="2145"/>
      <c r="W545" s="2145"/>
      <c r="X545" s="2146">
        <v>45257</v>
      </c>
      <c r="Y545" s="2260" t="s">
        <v>16333</v>
      </c>
      <c r="Z545" s="2140">
        <v>45281</v>
      </c>
      <c r="AA545" s="2140">
        <v>45294</v>
      </c>
      <c r="AB545" s="2140">
        <v>47472</v>
      </c>
      <c r="AC545" s="2799"/>
      <c r="AD545" s="2799"/>
    </row>
    <row r="546" spans="1:30" ht="30">
      <c r="A546" s="2140">
        <v>45076</v>
      </c>
      <c r="B546" s="2143" t="s">
        <v>15012</v>
      </c>
      <c r="C546" s="2141" t="s">
        <v>13843</v>
      </c>
      <c r="D546" s="2141" t="s">
        <v>13844</v>
      </c>
      <c r="E546" s="2141" t="s">
        <v>13949</v>
      </c>
      <c r="F546" s="2142" t="s">
        <v>15015</v>
      </c>
      <c r="G546" s="2141"/>
      <c r="H546" s="2143"/>
      <c r="I546" s="2143" t="s">
        <v>15369</v>
      </c>
      <c r="J546" s="2141" t="s">
        <v>10208</v>
      </c>
      <c r="K546" s="2141"/>
      <c r="L546" s="2144">
        <v>3920000</v>
      </c>
      <c r="M546" s="2141" t="s">
        <v>251</v>
      </c>
      <c r="N546" s="2140">
        <v>45092</v>
      </c>
      <c r="O546" s="2140">
        <v>45133</v>
      </c>
      <c r="P546" s="2140">
        <v>45257</v>
      </c>
      <c r="Q546" s="2143" t="s">
        <v>16290</v>
      </c>
      <c r="R546" s="2141"/>
      <c r="S546" s="2144">
        <v>3920000</v>
      </c>
      <c r="T546" s="2144">
        <v>4743200</v>
      </c>
      <c r="U546" s="2145"/>
      <c r="V546" s="2145"/>
      <c r="W546" s="2145"/>
      <c r="X546" s="2146">
        <v>45257</v>
      </c>
      <c r="Y546" s="2260" t="s">
        <v>16332</v>
      </c>
      <c r="Z546" s="2140">
        <v>45300</v>
      </c>
      <c r="AA546" s="2140">
        <v>45302</v>
      </c>
      <c r="AB546" s="2141" t="s">
        <v>16548</v>
      </c>
      <c r="AC546" s="2799"/>
      <c r="AD546" s="2799"/>
    </row>
    <row r="547" spans="1:30">
      <c r="A547" s="2140">
        <v>45077</v>
      </c>
      <c r="B547" s="2143" t="s">
        <v>15017</v>
      </c>
      <c r="C547" s="2141" t="s">
        <v>1032</v>
      </c>
      <c r="D547" s="2141" t="s">
        <v>361</v>
      </c>
      <c r="E547" s="2141" t="s">
        <v>13951</v>
      </c>
      <c r="F547" s="2930" t="s">
        <v>15018</v>
      </c>
      <c r="G547" s="2141"/>
      <c r="H547" s="2143"/>
      <c r="I547" s="2143" t="s">
        <v>15369</v>
      </c>
      <c r="J547" s="2141" t="s">
        <v>1676</v>
      </c>
      <c r="K547" s="2141"/>
      <c r="L547" s="2144">
        <v>1200000</v>
      </c>
      <c r="M547" s="2141" t="s">
        <v>112</v>
      </c>
      <c r="N547" s="2140">
        <v>45079</v>
      </c>
      <c r="O547" s="2140">
        <v>45090</v>
      </c>
      <c r="P547" s="2140">
        <v>45100</v>
      </c>
      <c r="Q547" s="2143" t="s">
        <v>10171</v>
      </c>
      <c r="R547" s="2141"/>
      <c r="S547" s="2144">
        <v>1208265</v>
      </c>
      <c r="T547" s="2144">
        <v>1389504.75</v>
      </c>
      <c r="U547" s="2145"/>
      <c r="V547" s="2145"/>
      <c r="W547" s="2145"/>
      <c r="X547" s="2146">
        <v>45100</v>
      </c>
      <c r="Y547" s="2144" t="s">
        <v>15189</v>
      </c>
      <c r="Z547" s="2140">
        <v>45107</v>
      </c>
      <c r="AA547" s="2140">
        <v>45107</v>
      </c>
      <c r="AB547" s="2141"/>
      <c r="AC547" s="2799"/>
      <c r="AD547" s="2799"/>
    </row>
    <row r="548" spans="1:30">
      <c r="A548" s="2141" t="s">
        <v>3585</v>
      </c>
      <c r="B548" s="2143" t="s">
        <v>15019</v>
      </c>
      <c r="C548" s="2141" t="s">
        <v>289</v>
      </c>
      <c r="D548" s="2141" t="s">
        <v>6509</v>
      </c>
      <c r="E548" s="2141" t="s">
        <v>13950</v>
      </c>
      <c r="F548" s="2142" t="s">
        <v>14234</v>
      </c>
      <c r="G548" s="2141"/>
      <c r="H548" s="2143"/>
      <c r="I548" s="2143" t="s">
        <v>15369</v>
      </c>
      <c r="J548" s="2141" t="s">
        <v>11465</v>
      </c>
      <c r="K548" s="2141" t="s">
        <v>14238</v>
      </c>
      <c r="L548" s="2607">
        <v>1600000</v>
      </c>
      <c r="M548" s="2141" t="s">
        <v>251</v>
      </c>
      <c r="N548" s="2140">
        <v>45079</v>
      </c>
      <c r="O548" s="2140">
        <v>45111</v>
      </c>
      <c r="P548" s="2140">
        <v>45125</v>
      </c>
      <c r="Q548" s="2143" t="s">
        <v>15366</v>
      </c>
      <c r="R548" s="2141"/>
      <c r="S548" s="2144">
        <v>1624000</v>
      </c>
      <c r="T548" s="2144">
        <v>1965040</v>
      </c>
      <c r="U548" s="2145"/>
      <c r="V548" s="2145"/>
      <c r="W548" s="2145"/>
      <c r="X548" s="2146">
        <v>45125</v>
      </c>
      <c r="Y548" s="2144" t="s">
        <v>15396</v>
      </c>
      <c r="Z548" s="2140">
        <v>45145</v>
      </c>
      <c r="AA548" s="2140">
        <v>45149</v>
      </c>
      <c r="AB548" s="2140">
        <v>45205</v>
      </c>
      <c r="AC548" s="2799"/>
      <c r="AD548" s="2799"/>
    </row>
    <row r="549" spans="1:30" ht="30.75" thickBot="1">
      <c r="A549" s="411" t="s">
        <v>3585</v>
      </c>
      <c r="B549" s="630" t="s">
        <v>15025</v>
      </c>
      <c r="C549" s="411" t="s">
        <v>58</v>
      </c>
      <c r="D549" s="411" t="s">
        <v>4969</v>
      </c>
      <c r="E549" s="411" t="s">
        <v>13951</v>
      </c>
      <c r="F549" s="412" t="s">
        <v>15026</v>
      </c>
      <c r="G549" s="411"/>
      <c r="H549" s="630"/>
      <c r="I549" s="630" t="s">
        <v>15369</v>
      </c>
      <c r="J549" s="411" t="s">
        <v>476</v>
      </c>
      <c r="K549" s="411" t="s">
        <v>14741</v>
      </c>
      <c r="L549" s="417">
        <v>177000</v>
      </c>
      <c r="M549" s="411" t="s">
        <v>112</v>
      </c>
      <c r="N549" s="416">
        <v>45079</v>
      </c>
      <c r="O549" s="416">
        <v>45092</v>
      </c>
      <c r="P549" s="416">
        <v>45105</v>
      </c>
      <c r="Q549" s="630" t="s">
        <v>15181</v>
      </c>
      <c r="R549" s="411"/>
      <c r="S549" s="417">
        <v>176980</v>
      </c>
      <c r="T549" s="417">
        <v>214145.8</v>
      </c>
      <c r="U549" s="1480"/>
      <c r="V549" s="1480"/>
      <c r="W549" s="1480"/>
      <c r="X549" s="513">
        <v>45105</v>
      </c>
      <c r="Y549" s="1553" t="s">
        <v>15242</v>
      </c>
      <c r="Z549" s="416">
        <v>45121</v>
      </c>
      <c r="AA549" s="416">
        <v>45121</v>
      </c>
      <c r="AB549" s="416">
        <v>45181</v>
      </c>
      <c r="AC549" s="2799"/>
      <c r="AD549" s="2799"/>
    </row>
    <row r="550" spans="1:30" ht="30.75" thickTop="1">
      <c r="A550" s="474">
        <v>45078</v>
      </c>
      <c r="B550" s="1420" t="s">
        <v>15031</v>
      </c>
      <c r="C550" s="453" t="s">
        <v>58</v>
      </c>
      <c r="D550" s="453" t="s">
        <v>4969</v>
      </c>
      <c r="E550" s="453" t="s">
        <v>13948</v>
      </c>
      <c r="F550" s="473" t="s">
        <v>15035</v>
      </c>
      <c r="G550" s="453">
        <v>1</v>
      </c>
      <c r="H550" s="1420" t="s">
        <v>15042</v>
      </c>
      <c r="I550" s="1420" t="s">
        <v>15369</v>
      </c>
      <c r="J550" s="453"/>
      <c r="K550" s="453" t="s">
        <v>15043</v>
      </c>
      <c r="L550" s="457">
        <v>198800</v>
      </c>
      <c r="M550" s="453" t="s">
        <v>251</v>
      </c>
      <c r="N550" s="474">
        <v>45089</v>
      </c>
      <c r="O550" s="474">
        <v>45141</v>
      </c>
      <c r="P550" s="474">
        <v>45267</v>
      </c>
      <c r="Q550" s="1420" t="s">
        <v>16339</v>
      </c>
      <c r="R550" s="453"/>
      <c r="S550" s="457">
        <v>182600</v>
      </c>
      <c r="T550" s="457">
        <v>220946</v>
      </c>
      <c r="U550" s="1474"/>
      <c r="V550" s="1474"/>
      <c r="W550" s="1474"/>
      <c r="X550" s="570">
        <v>45267</v>
      </c>
      <c r="Y550" s="1387" t="s">
        <v>16375</v>
      </c>
      <c r="Z550" s="474">
        <v>45308</v>
      </c>
      <c r="AA550" s="474">
        <v>45313</v>
      </c>
      <c r="AB550" s="474">
        <v>45338</v>
      </c>
      <c r="AC550" s="2799"/>
      <c r="AD550" s="2799"/>
    </row>
    <row r="551" spans="1:30">
      <c r="A551" s="2124">
        <v>45078</v>
      </c>
      <c r="B551" s="2127" t="s">
        <v>15032</v>
      </c>
      <c r="C551" s="2125" t="s">
        <v>58</v>
      </c>
      <c r="D551" s="2125" t="s">
        <v>4969</v>
      </c>
      <c r="E551" s="2125" t="s">
        <v>13948</v>
      </c>
      <c r="F551" s="2126" t="s">
        <v>15035</v>
      </c>
      <c r="G551" s="2125">
        <v>2</v>
      </c>
      <c r="H551" s="2127" t="s">
        <v>15040</v>
      </c>
      <c r="I551" s="2127" t="s">
        <v>242</v>
      </c>
      <c r="J551" s="2125" t="s">
        <v>673</v>
      </c>
      <c r="K551" s="2125" t="s">
        <v>15041</v>
      </c>
      <c r="L551" s="2128">
        <v>623229</v>
      </c>
      <c r="M551" s="2125" t="s">
        <v>251</v>
      </c>
      <c r="N551" s="2124">
        <v>45089</v>
      </c>
      <c r="O551" s="2124">
        <v>45141</v>
      </c>
      <c r="P551" s="2125"/>
      <c r="Q551" s="2136" t="s">
        <v>15848</v>
      </c>
      <c r="R551" s="2125"/>
      <c r="S551" s="2128"/>
      <c r="T551" s="2128"/>
      <c r="U551" s="2129"/>
      <c r="V551" s="2129"/>
      <c r="W551" s="2129"/>
      <c r="X551" s="2128"/>
      <c r="Y551" s="2128"/>
      <c r="Z551" s="2125"/>
      <c r="AA551" s="2124">
        <v>45217</v>
      </c>
      <c r="AB551" s="2127" t="s">
        <v>15959</v>
      </c>
      <c r="AC551" s="2799"/>
      <c r="AD551" s="2799"/>
    </row>
    <row r="552" spans="1:30">
      <c r="A552" s="2124">
        <v>45078</v>
      </c>
      <c r="B552" s="2127" t="s">
        <v>15033</v>
      </c>
      <c r="C552" s="2125" t="s">
        <v>58</v>
      </c>
      <c r="D552" s="2125" t="s">
        <v>4969</v>
      </c>
      <c r="E552" s="2125" t="s">
        <v>13948</v>
      </c>
      <c r="F552" s="2126" t="s">
        <v>15035</v>
      </c>
      <c r="G552" s="2125">
        <v>3</v>
      </c>
      <c r="H552" s="2127" t="s">
        <v>15038</v>
      </c>
      <c r="I552" s="2127" t="s">
        <v>242</v>
      </c>
      <c r="J552" s="2125" t="s">
        <v>673</v>
      </c>
      <c r="K552" s="2125" t="s">
        <v>15039</v>
      </c>
      <c r="L552" s="2128">
        <v>1105344</v>
      </c>
      <c r="M552" s="2125" t="s">
        <v>251</v>
      </c>
      <c r="N552" s="2124">
        <v>45089</v>
      </c>
      <c r="O552" s="2124">
        <v>45141</v>
      </c>
      <c r="P552" s="2125"/>
      <c r="Q552" s="2136" t="s">
        <v>15848</v>
      </c>
      <c r="R552" s="2125"/>
      <c r="S552" s="2128"/>
      <c r="T552" s="2128"/>
      <c r="U552" s="2129"/>
      <c r="V552" s="2129"/>
      <c r="W552" s="2129"/>
      <c r="X552" s="2128"/>
      <c r="Y552" s="2128"/>
      <c r="Z552" s="2125"/>
      <c r="AA552" s="2124">
        <v>45217</v>
      </c>
      <c r="AB552" s="2127" t="s">
        <v>15959</v>
      </c>
      <c r="AC552" s="2799"/>
      <c r="AD552" s="2799"/>
    </row>
    <row r="553" spans="1:30" ht="30.75" thickBot="1">
      <c r="A553" s="2117">
        <v>45078</v>
      </c>
      <c r="B553" s="2120" t="s">
        <v>15034</v>
      </c>
      <c r="C553" s="2118" t="s">
        <v>58</v>
      </c>
      <c r="D553" s="2118" t="s">
        <v>4969</v>
      </c>
      <c r="E553" s="2118" t="s">
        <v>13948</v>
      </c>
      <c r="F553" s="2119" t="s">
        <v>15035</v>
      </c>
      <c r="G553" s="2118">
        <v>4</v>
      </c>
      <c r="H553" s="2120" t="s">
        <v>15036</v>
      </c>
      <c r="I553" s="2120" t="s">
        <v>15369</v>
      </c>
      <c r="J553" s="2118" t="s">
        <v>673</v>
      </c>
      <c r="K553" s="2118" t="s">
        <v>15037</v>
      </c>
      <c r="L553" s="2121">
        <v>3795310</v>
      </c>
      <c r="M553" s="2118" t="s">
        <v>251</v>
      </c>
      <c r="N553" s="2117">
        <v>45089</v>
      </c>
      <c r="O553" s="2117">
        <v>45141</v>
      </c>
      <c r="P553" s="2117">
        <v>45267</v>
      </c>
      <c r="Q553" s="2120" t="s">
        <v>4315</v>
      </c>
      <c r="R553" s="2118"/>
      <c r="S553" s="2121">
        <v>3733576</v>
      </c>
      <c r="T553" s="2121">
        <v>4517626.96</v>
      </c>
      <c r="U553" s="2122"/>
      <c r="V553" s="2122"/>
      <c r="W553" s="2122"/>
      <c r="X553" s="2123">
        <v>45267</v>
      </c>
      <c r="Y553" s="2246" t="s">
        <v>16376</v>
      </c>
      <c r="Z553" s="2117">
        <v>45293</v>
      </c>
      <c r="AA553" s="2117">
        <v>45313</v>
      </c>
      <c r="AB553" s="2117">
        <v>45383</v>
      </c>
      <c r="AC553" s="2799"/>
      <c r="AD553" s="2799"/>
    </row>
    <row r="554" spans="1:30" ht="15.75" thickTop="1">
      <c r="A554" s="498">
        <v>45082</v>
      </c>
      <c r="B554" s="669" t="s">
        <v>15046</v>
      </c>
      <c r="C554" s="232" t="s">
        <v>2712</v>
      </c>
      <c r="D554" s="232" t="s">
        <v>2731</v>
      </c>
      <c r="E554" s="232" t="s">
        <v>13951</v>
      </c>
      <c r="F554" s="473" t="s">
        <v>15047</v>
      </c>
      <c r="G554" s="2889"/>
      <c r="H554" s="669"/>
      <c r="I554" s="669" t="s">
        <v>15369</v>
      </c>
      <c r="J554" s="232" t="s">
        <v>15048</v>
      </c>
      <c r="K554" s="232"/>
      <c r="L554" s="499">
        <v>700000</v>
      </c>
      <c r="M554" s="232" t="s">
        <v>112</v>
      </c>
      <c r="N554" s="498">
        <v>45089</v>
      </c>
      <c r="O554" s="498">
        <v>45105</v>
      </c>
      <c r="P554" s="498">
        <v>45120</v>
      </c>
      <c r="Q554" s="669" t="s">
        <v>15350</v>
      </c>
      <c r="R554" s="232"/>
      <c r="S554" s="499">
        <v>575790.67000000004</v>
      </c>
      <c r="T554" s="499">
        <v>647710</v>
      </c>
      <c r="U554" s="1545"/>
      <c r="V554" s="1545"/>
      <c r="W554" s="1545"/>
      <c r="X554" s="682">
        <v>45120</v>
      </c>
      <c r="Y554" s="499" t="s">
        <v>15356</v>
      </c>
      <c r="Z554" s="498">
        <v>45142</v>
      </c>
      <c r="AA554" s="498">
        <v>45145</v>
      </c>
      <c r="AB554" s="365">
        <v>45177</v>
      </c>
      <c r="AC554" s="2799"/>
      <c r="AD554" s="2799"/>
    </row>
    <row r="555" spans="1:30" ht="30">
      <c r="A555" s="2140">
        <v>45083</v>
      </c>
      <c r="B555" s="2143" t="s">
        <v>15051</v>
      </c>
      <c r="C555" s="2141" t="s">
        <v>58</v>
      </c>
      <c r="D555" s="2141" t="s">
        <v>4969</v>
      </c>
      <c r="E555" s="2141" t="s">
        <v>655</v>
      </c>
      <c r="F555" s="2142" t="s">
        <v>15052</v>
      </c>
      <c r="G555" s="2916"/>
      <c r="H555" s="2143"/>
      <c r="I555" s="2143" t="s">
        <v>15369</v>
      </c>
      <c r="J555" s="2141" t="s">
        <v>7065</v>
      </c>
      <c r="K555" s="2141" t="s">
        <v>15053</v>
      </c>
      <c r="L555" s="2144">
        <v>172000</v>
      </c>
      <c r="M555" s="2141" t="s">
        <v>112</v>
      </c>
      <c r="N555" s="2140">
        <v>45084</v>
      </c>
      <c r="O555" s="2140">
        <v>45096</v>
      </c>
      <c r="P555" s="2140">
        <v>45106</v>
      </c>
      <c r="Q555" s="2143" t="s">
        <v>14034</v>
      </c>
      <c r="R555" s="2141"/>
      <c r="S555" s="2144">
        <v>134200</v>
      </c>
      <c r="T555" s="2144">
        <v>162382</v>
      </c>
      <c r="U555" s="2145"/>
      <c r="V555" s="2145"/>
      <c r="W555" s="2145"/>
      <c r="X555" s="2146">
        <v>45106</v>
      </c>
      <c r="Y555" s="2260" t="s">
        <v>15277</v>
      </c>
      <c r="Z555" s="2140">
        <v>45132</v>
      </c>
      <c r="AA555" s="2140">
        <v>45132</v>
      </c>
      <c r="AB555" s="365">
        <v>45202</v>
      </c>
      <c r="AC555" s="2799"/>
      <c r="AD555" s="2799"/>
    </row>
    <row r="556" spans="1:30">
      <c r="A556" s="2140">
        <v>45082</v>
      </c>
      <c r="B556" s="2143" t="s">
        <v>15049</v>
      </c>
      <c r="C556" s="2141" t="s">
        <v>2434</v>
      </c>
      <c r="D556" s="2141" t="s">
        <v>219</v>
      </c>
      <c r="E556" s="2141" t="s">
        <v>13948</v>
      </c>
      <c r="F556" s="2142" t="s">
        <v>15050</v>
      </c>
      <c r="G556" s="2141"/>
      <c r="H556" s="2143"/>
      <c r="I556" s="2143" t="s">
        <v>15369</v>
      </c>
      <c r="J556" s="2141" t="s">
        <v>3271</v>
      </c>
      <c r="K556" s="2141"/>
      <c r="L556" s="2144">
        <v>779100</v>
      </c>
      <c r="M556" s="2141" t="s">
        <v>251</v>
      </c>
      <c r="N556" s="2140">
        <v>45089</v>
      </c>
      <c r="O556" s="2140">
        <v>45124</v>
      </c>
      <c r="P556" s="2140">
        <v>45153</v>
      </c>
      <c r="Q556" s="2143" t="s">
        <v>4315</v>
      </c>
      <c r="R556" s="2141"/>
      <c r="S556" s="2144">
        <v>776507</v>
      </c>
      <c r="T556" s="2144">
        <v>939573.47</v>
      </c>
      <c r="U556" s="2145"/>
      <c r="V556" s="2145"/>
      <c r="W556" s="2145"/>
      <c r="X556" s="2146">
        <v>45153</v>
      </c>
      <c r="Y556" s="2144" t="s">
        <v>15586</v>
      </c>
      <c r="Z556" s="2140">
        <v>45209</v>
      </c>
      <c r="AA556" s="2140">
        <v>45216</v>
      </c>
      <c r="AB556" s="2140">
        <v>45265</v>
      </c>
      <c r="AC556" s="2799"/>
      <c r="AD556" s="2799"/>
    </row>
    <row r="557" spans="1:30" ht="30">
      <c r="A557" s="2140">
        <v>45083</v>
      </c>
      <c r="B557" s="2143" t="s">
        <v>15059</v>
      </c>
      <c r="C557" s="2141" t="s">
        <v>58</v>
      </c>
      <c r="D557" s="2141" t="s">
        <v>4969</v>
      </c>
      <c r="E557" s="2141" t="s">
        <v>655</v>
      </c>
      <c r="F557" s="2142" t="s">
        <v>15060</v>
      </c>
      <c r="G557" s="2141"/>
      <c r="H557" s="2143"/>
      <c r="I557" s="2143" t="s">
        <v>15369</v>
      </c>
      <c r="J557" s="2141" t="s">
        <v>14263</v>
      </c>
      <c r="K557" s="2141" t="s">
        <v>15061</v>
      </c>
      <c r="L557" s="2144">
        <v>123637</v>
      </c>
      <c r="M557" s="2141" t="s">
        <v>112</v>
      </c>
      <c r="N557" s="2140">
        <v>45091</v>
      </c>
      <c r="O557" s="2140">
        <v>45103</v>
      </c>
      <c r="P557" s="2140">
        <v>45114</v>
      </c>
      <c r="Q557" s="2143" t="s">
        <v>14552</v>
      </c>
      <c r="R557" s="2141"/>
      <c r="S557" s="2144">
        <v>113970.92</v>
      </c>
      <c r="T557" s="2144">
        <v>137904.79999999999</v>
      </c>
      <c r="U557" s="2145"/>
      <c r="V557" s="2145"/>
      <c r="W557" s="2145"/>
      <c r="X557" s="2146">
        <v>45114</v>
      </c>
      <c r="Y557" s="2260" t="s">
        <v>15325</v>
      </c>
      <c r="Z557" s="2140">
        <v>45121</v>
      </c>
      <c r="AA557" s="2140">
        <v>45125</v>
      </c>
      <c r="AB557" s="2140">
        <v>45230</v>
      </c>
      <c r="AC557" s="2799"/>
      <c r="AD557" s="2799"/>
    </row>
    <row r="558" spans="1:30">
      <c r="A558" s="2140">
        <v>45083</v>
      </c>
      <c r="B558" s="2143" t="s">
        <v>15062</v>
      </c>
      <c r="C558" s="2141" t="s">
        <v>58</v>
      </c>
      <c r="D558" s="2141" t="s">
        <v>4969</v>
      </c>
      <c r="E558" s="2141" t="s">
        <v>13951</v>
      </c>
      <c r="F558" s="2142" t="s">
        <v>15063</v>
      </c>
      <c r="G558" s="2141"/>
      <c r="H558" s="2143"/>
      <c r="I558" s="2143" t="s">
        <v>15369</v>
      </c>
      <c r="J558" s="2141" t="s">
        <v>642</v>
      </c>
      <c r="K558" s="2141"/>
      <c r="L558" s="2144">
        <v>1384000</v>
      </c>
      <c r="M558" s="2141" t="s">
        <v>112</v>
      </c>
      <c r="N558" s="2140">
        <v>45089</v>
      </c>
      <c r="O558" s="2140">
        <v>45107</v>
      </c>
      <c r="P558" s="2140">
        <v>45114</v>
      </c>
      <c r="Q558" s="2143" t="s">
        <v>13594</v>
      </c>
      <c r="R558" s="2141"/>
      <c r="S558" s="2144">
        <v>1383800</v>
      </c>
      <c r="T558" s="2144">
        <v>1674398</v>
      </c>
      <c r="U558" s="2145"/>
      <c r="V558" s="2145"/>
      <c r="W558" s="2145"/>
      <c r="X558" s="2146">
        <v>45114</v>
      </c>
      <c r="Y558" s="2144" t="s">
        <v>15318</v>
      </c>
      <c r="Z558" s="2140">
        <v>45131</v>
      </c>
      <c r="AA558" s="2140">
        <v>45132</v>
      </c>
      <c r="AB558" s="2140">
        <v>45861</v>
      </c>
      <c r="AC558" s="2799"/>
      <c r="AD558" s="2799"/>
    </row>
    <row r="559" spans="1:30" ht="30">
      <c r="A559" s="2140">
        <v>45083</v>
      </c>
      <c r="B559" s="2143" t="s">
        <v>15068</v>
      </c>
      <c r="C559" s="2141" t="s">
        <v>58</v>
      </c>
      <c r="D559" s="2141" t="s">
        <v>4969</v>
      </c>
      <c r="E559" s="2141" t="s">
        <v>655</v>
      </c>
      <c r="F559" s="2930" t="s">
        <v>15069</v>
      </c>
      <c r="G559" s="2141"/>
      <c r="H559" s="2143"/>
      <c r="I559" s="2143" t="s">
        <v>15369</v>
      </c>
      <c r="J559" s="2141" t="s">
        <v>1950</v>
      </c>
      <c r="K559" s="2141" t="s">
        <v>15070</v>
      </c>
      <c r="L559" s="2144">
        <v>266000</v>
      </c>
      <c r="M559" s="2141" t="s">
        <v>112</v>
      </c>
      <c r="N559" s="2140">
        <v>45091</v>
      </c>
      <c r="O559" s="2140">
        <v>45103</v>
      </c>
      <c r="P559" s="2140">
        <v>45125</v>
      </c>
      <c r="Q559" s="2143" t="s">
        <v>10028</v>
      </c>
      <c r="R559" s="2141"/>
      <c r="S559" s="2144">
        <v>248589.75</v>
      </c>
      <c r="T559" s="2144">
        <v>300793.59999999998</v>
      </c>
      <c r="U559" s="2145"/>
      <c r="V559" s="2145"/>
      <c r="W559" s="2145"/>
      <c r="X559" s="2146">
        <v>45125</v>
      </c>
      <c r="Y559" s="2260" t="s">
        <v>15394</v>
      </c>
      <c r="Z559" s="2140">
        <v>45161</v>
      </c>
      <c r="AA559" s="2140">
        <v>45166</v>
      </c>
      <c r="AB559" s="2140">
        <v>45221</v>
      </c>
      <c r="AC559" s="2799"/>
      <c r="AD559" s="2799"/>
    </row>
    <row r="560" spans="1:30">
      <c r="A560" s="2140">
        <v>45084</v>
      </c>
      <c r="B560" s="2143" t="s">
        <v>15072</v>
      </c>
      <c r="C560" s="2141" t="s">
        <v>58</v>
      </c>
      <c r="D560" s="2141" t="s">
        <v>4969</v>
      </c>
      <c r="E560" s="2141" t="s">
        <v>13951</v>
      </c>
      <c r="F560" s="2142" t="s">
        <v>15071</v>
      </c>
      <c r="G560" s="2141"/>
      <c r="H560" s="2143"/>
      <c r="I560" s="2143" t="s">
        <v>15369</v>
      </c>
      <c r="J560" s="2141" t="s">
        <v>1159</v>
      </c>
      <c r="K560" s="2141" t="s">
        <v>15073</v>
      </c>
      <c r="L560" s="2144">
        <v>225000</v>
      </c>
      <c r="M560" s="2141" t="s">
        <v>112</v>
      </c>
      <c r="N560" s="2140">
        <v>45090</v>
      </c>
      <c r="O560" s="2140">
        <v>45103</v>
      </c>
      <c r="P560" s="2140">
        <v>45117</v>
      </c>
      <c r="Q560" s="2143" t="s">
        <v>15278</v>
      </c>
      <c r="R560" s="2141"/>
      <c r="S560" s="2144">
        <v>165987</v>
      </c>
      <c r="T560" s="2144">
        <v>200844.27</v>
      </c>
      <c r="U560" s="2145"/>
      <c r="V560" s="2145"/>
      <c r="W560" s="2145"/>
      <c r="X560" s="2146">
        <v>45117</v>
      </c>
      <c r="Y560" s="2144" t="s">
        <v>15326</v>
      </c>
      <c r="Z560" s="2140">
        <v>45125</v>
      </c>
      <c r="AA560" s="2140">
        <v>45126</v>
      </c>
      <c r="AB560" s="2140">
        <v>45139</v>
      </c>
      <c r="AC560" s="2799"/>
      <c r="AD560" s="2799"/>
    </row>
    <row r="561" spans="1:44">
      <c r="A561" s="2140">
        <v>45084</v>
      </c>
      <c r="B561" s="2143" t="s">
        <v>15078</v>
      </c>
      <c r="C561" s="2141" t="s">
        <v>2434</v>
      </c>
      <c r="D561" s="2141" t="s">
        <v>219</v>
      </c>
      <c r="E561" s="2141" t="s">
        <v>13948</v>
      </c>
      <c r="F561" s="2142" t="s">
        <v>15079</v>
      </c>
      <c r="G561" s="2141"/>
      <c r="H561" s="2143"/>
      <c r="I561" s="2143" t="s">
        <v>15369</v>
      </c>
      <c r="J561" s="2141" t="s">
        <v>642</v>
      </c>
      <c r="K561" s="2141"/>
      <c r="L561" s="2144">
        <v>581640</v>
      </c>
      <c r="M561" s="2141" t="s">
        <v>251</v>
      </c>
      <c r="N561" s="2140">
        <v>45091</v>
      </c>
      <c r="O561" s="2140">
        <v>45126</v>
      </c>
      <c r="P561" s="2140">
        <v>45175</v>
      </c>
      <c r="Q561" s="2143" t="s">
        <v>993</v>
      </c>
      <c r="R561" s="2141"/>
      <c r="S561" s="2144">
        <v>581640</v>
      </c>
      <c r="T561" s="2144">
        <v>703784.4</v>
      </c>
      <c r="U561" s="2145"/>
      <c r="V561" s="2145"/>
      <c r="W561" s="2145"/>
      <c r="X561" s="2146">
        <v>45175</v>
      </c>
      <c r="Y561" s="2144" t="s">
        <v>15780</v>
      </c>
      <c r="Z561" s="2140">
        <v>45196</v>
      </c>
      <c r="AA561" s="2140">
        <v>45203</v>
      </c>
      <c r="AB561" s="2140">
        <v>45926</v>
      </c>
      <c r="AC561" s="2799"/>
      <c r="AD561" s="2799"/>
    </row>
    <row r="562" spans="1:44">
      <c r="A562" s="2140">
        <v>45085</v>
      </c>
      <c r="B562" s="2143" t="s">
        <v>15075</v>
      </c>
      <c r="C562" s="2141" t="s">
        <v>2712</v>
      </c>
      <c r="D562" s="2141" t="s">
        <v>15076</v>
      </c>
      <c r="E562" s="2141" t="s">
        <v>13951</v>
      </c>
      <c r="F562" s="2142" t="s">
        <v>15077</v>
      </c>
      <c r="G562" s="2141"/>
      <c r="H562" s="2143"/>
      <c r="I562" s="2143" t="s">
        <v>15369</v>
      </c>
      <c r="J562" s="2141" t="s">
        <v>1422</v>
      </c>
      <c r="K562" s="2141"/>
      <c r="L562" s="2607">
        <v>700000</v>
      </c>
      <c r="M562" s="2141" t="s">
        <v>112</v>
      </c>
      <c r="N562" s="2140">
        <v>45089</v>
      </c>
      <c r="O562" s="2140">
        <v>45107</v>
      </c>
      <c r="P562" s="2140">
        <v>45119</v>
      </c>
      <c r="Q562" s="2143" t="s">
        <v>9891</v>
      </c>
      <c r="R562" s="2141"/>
      <c r="S562" s="2144">
        <v>600537.18999999994</v>
      </c>
      <c r="T562" s="2144">
        <v>682200</v>
      </c>
      <c r="U562" s="2145"/>
      <c r="V562" s="2145"/>
      <c r="W562" s="2145"/>
      <c r="X562" s="2146">
        <v>45119</v>
      </c>
      <c r="Y562" s="2144" t="s">
        <v>15348</v>
      </c>
      <c r="Z562" s="2140">
        <v>45132</v>
      </c>
      <c r="AA562" s="2140">
        <v>45132</v>
      </c>
      <c r="AB562" s="2140">
        <v>45230</v>
      </c>
      <c r="AC562" s="2799"/>
      <c r="AD562" s="2799"/>
    </row>
    <row r="563" spans="1:44">
      <c r="A563" s="2140">
        <v>45085</v>
      </c>
      <c r="B563" s="2143" t="s">
        <v>15081</v>
      </c>
      <c r="C563" s="2141" t="s">
        <v>52</v>
      </c>
      <c r="D563" s="2141" t="s">
        <v>9302</v>
      </c>
      <c r="E563" s="2141" t="s">
        <v>13950</v>
      </c>
      <c r="F563" s="2142" t="s">
        <v>15082</v>
      </c>
      <c r="G563" s="2141"/>
      <c r="H563" s="2143"/>
      <c r="I563" s="2143" t="s">
        <v>15369</v>
      </c>
      <c r="J563" s="2141" t="s">
        <v>1676</v>
      </c>
      <c r="K563" s="2141"/>
      <c r="L563" s="2144">
        <v>30000000</v>
      </c>
      <c r="M563" s="2141" t="s">
        <v>216</v>
      </c>
      <c r="N563" s="2140">
        <v>45100</v>
      </c>
      <c r="O563" s="2140">
        <v>45134</v>
      </c>
      <c r="P563" s="2140">
        <v>45139</v>
      </c>
      <c r="Q563" s="2143" t="s">
        <v>15457</v>
      </c>
      <c r="R563" s="2141"/>
      <c r="S563" s="2144">
        <v>24119126.52</v>
      </c>
      <c r="T563" s="2144">
        <v>29184143.09</v>
      </c>
      <c r="U563" s="2145"/>
      <c r="V563" s="2145"/>
      <c r="W563" s="2145"/>
      <c r="X563" s="2146">
        <v>45139</v>
      </c>
      <c r="Y563" s="2144" t="s">
        <v>15482</v>
      </c>
      <c r="Z563" s="2140">
        <v>45166</v>
      </c>
      <c r="AA563" s="2140">
        <v>45177</v>
      </c>
      <c r="AB563" s="2141"/>
      <c r="AC563" s="2799"/>
      <c r="AD563" s="2799"/>
    </row>
    <row r="564" spans="1:44">
      <c r="A564" s="2140">
        <v>45085</v>
      </c>
      <c r="B564" s="2143" t="s">
        <v>15083</v>
      </c>
      <c r="C564" s="2141" t="s">
        <v>1754</v>
      </c>
      <c r="D564" s="2141" t="s">
        <v>13</v>
      </c>
      <c r="E564" s="2141" t="s">
        <v>13951</v>
      </c>
      <c r="F564" s="2142" t="s">
        <v>15084</v>
      </c>
      <c r="G564" s="2141"/>
      <c r="H564" s="2143"/>
      <c r="I564" s="2143" t="s">
        <v>15369</v>
      </c>
      <c r="J564" s="2141" t="s">
        <v>21</v>
      </c>
      <c r="K564" s="2141"/>
      <c r="L564" s="2144">
        <v>1162000</v>
      </c>
      <c r="M564" s="2141" t="s">
        <v>112</v>
      </c>
      <c r="N564" s="2140">
        <v>45089</v>
      </c>
      <c r="O564" s="2140">
        <v>45100</v>
      </c>
      <c r="P564" s="2140">
        <v>45106</v>
      </c>
      <c r="Q564" s="2143" t="s">
        <v>7439</v>
      </c>
      <c r="R564" s="2141"/>
      <c r="S564" s="2144">
        <v>1230000</v>
      </c>
      <c r="T564" s="2144">
        <v>1488300</v>
      </c>
      <c r="U564" s="2145"/>
      <c r="V564" s="2145"/>
      <c r="W564" s="2145"/>
      <c r="X564" s="2146">
        <v>45106</v>
      </c>
      <c r="Y564" s="2144" t="s">
        <v>15282</v>
      </c>
      <c r="Z564" s="2140">
        <v>45126</v>
      </c>
      <c r="AA564" s="2140">
        <v>45126</v>
      </c>
      <c r="AB564" s="2140">
        <v>45491</v>
      </c>
      <c r="AC564" s="2799"/>
      <c r="AD564" s="2799"/>
    </row>
    <row r="565" spans="1:44">
      <c r="A565" s="2140">
        <v>45084</v>
      </c>
      <c r="B565" s="2143" t="s">
        <v>15086</v>
      </c>
      <c r="C565" s="2141" t="s">
        <v>2434</v>
      </c>
      <c r="D565" s="2141" t="s">
        <v>219</v>
      </c>
      <c r="E565" s="2141" t="s">
        <v>13948</v>
      </c>
      <c r="F565" s="2142" t="s">
        <v>15087</v>
      </c>
      <c r="G565" s="2141"/>
      <c r="H565" s="2143"/>
      <c r="I565" s="2143" t="s">
        <v>15369</v>
      </c>
      <c r="J565" s="2141" t="s">
        <v>3271</v>
      </c>
      <c r="K565" s="2141"/>
      <c r="L565" s="2144">
        <v>921500</v>
      </c>
      <c r="M565" s="2141" t="s">
        <v>251</v>
      </c>
      <c r="N565" s="2140">
        <v>45090</v>
      </c>
      <c r="O565" s="2140">
        <v>45133</v>
      </c>
      <c r="P565" s="2140">
        <v>45190</v>
      </c>
      <c r="Q565" s="2143" t="s">
        <v>993</v>
      </c>
      <c r="R565" s="2141"/>
      <c r="S565" s="2144">
        <v>829336</v>
      </c>
      <c r="T565" s="2144">
        <v>1003496.56</v>
      </c>
      <c r="U565" s="2145"/>
      <c r="V565" s="2145"/>
      <c r="W565" s="2145"/>
      <c r="X565" s="2146">
        <v>45190</v>
      </c>
      <c r="Y565" s="2144" t="s">
        <v>15839</v>
      </c>
      <c r="Z565" s="2140">
        <v>45217</v>
      </c>
      <c r="AA565" s="2140">
        <v>45225</v>
      </c>
      <c r="AB565" s="2140">
        <v>45385</v>
      </c>
      <c r="AC565" s="2799"/>
      <c r="AD565" s="2799"/>
    </row>
    <row r="566" spans="1:44">
      <c r="A566" s="2124">
        <v>45090</v>
      </c>
      <c r="B566" s="2127" t="s">
        <v>15101</v>
      </c>
      <c r="C566" s="2125" t="s">
        <v>69</v>
      </c>
      <c r="D566" s="2125" t="s">
        <v>15129</v>
      </c>
      <c r="E566" s="2125" t="s">
        <v>13949</v>
      </c>
      <c r="F566" s="2126" t="s">
        <v>15102</v>
      </c>
      <c r="G566" s="2125"/>
      <c r="H566" s="2127"/>
      <c r="I566" s="2127" t="s">
        <v>242</v>
      </c>
      <c r="J566" s="2125" t="s">
        <v>3435</v>
      </c>
      <c r="K566" s="2125"/>
      <c r="L566" s="2128">
        <v>3271776</v>
      </c>
      <c r="M566" s="2125" t="s">
        <v>216</v>
      </c>
      <c r="N566" s="2124">
        <v>45092</v>
      </c>
      <c r="O566" s="2124">
        <v>45118</v>
      </c>
      <c r="P566" s="2125"/>
      <c r="Q566" s="2136" t="s">
        <v>304</v>
      </c>
      <c r="R566" s="2275" t="s">
        <v>15728</v>
      </c>
      <c r="S566" s="2128"/>
      <c r="T566" s="2128"/>
      <c r="U566" s="2129"/>
      <c r="V566" s="2129"/>
      <c r="W566" s="2129"/>
      <c r="X566" s="2128"/>
      <c r="Y566" s="2128"/>
      <c r="Z566" s="2125"/>
      <c r="AA566" s="2124">
        <v>45121</v>
      </c>
      <c r="AB566" s="2127" t="s">
        <v>15354</v>
      </c>
      <c r="AC566" s="2799"/>
      <c r="AD566" s="2799"/>
    </row>
    <row r="567" spans="1:44">
      <c r="A567" s="2140">
        <v>45090</v>
      </c>
      <c r="B567" s="2143" t="s">
        <v>15103</v>
      </c>
      <c r="C567" s="2141" t="s">
        <v>69</v>
      </c>
      <c r="D567" s="2141" t="s">
        <v>15129</v>
      </c>
      <c r="E567" s="2141" t="s">
        <v>13949</v>
      </c>
      <c r="F567" s="2142" t="s">
        <v>15104</v>
      </c>
      <c r="G567" s="2141"/>
      <c r="H567" s="2143"/>
      <c r="I567" s="2143" t="s">
        <v>15369</v>
      </c>
      <c r="J567" s="2141" t="s">
        <v>3435</v>
      </c>
      <c r="K567" s="2141"/>
      <c r="L567" s="2144">
        <v>2195010</v>
      </c>
      <c r="M567" s="2141" t="s">
        <v>216</v>
      </c>
      <c r="N567" s="2140">
        <v>45093</v>
      </c>
      <c r="O567" s="2140">
        <v>45118</v>
      </c>
      <c r="P567" s="2140">
        <v>45161</v>
      </c>
      <c r="Q567" s="2143" t="s">
        <v>15355</v>
      </c>
      <c r="R567" s="2141"/>
      <c r="S567" s="2144">
        <v>2195008.7400000002</v>
      </c>
      <c r="T567" s="2144">
        <v>2414509.61</v>
      </c>
      <c r="U567" s="2145"/>
      <c r="V567" s="2145"/>
      <c r="W567" s="2145"/>
      <c r="X567" s="2146">
        <v>45161</v>
      </c>
      <c r="Y567" s="2144" t="s">
        <v>15669</v>
      </c>
      <c r="Z567" s="2140">
        <v>45191</v>
      </c>
      <c r="AA567" s="2140">
        <v>45194</v>
      </c>
      <c r="AB567" s="2140">
        <v>46327</v>
      </c>
      <c r="AC567" s="2799"/>
      <c r="AD567" s="2799"/>
      <c r="AE567" s="360" t="s">
        <v>15850</v>
      </c>
    </row>
    <row r="568" spans="1:44">
      <c r="A568" s="2140">
        <v>45085</v>
      </c>
      <c r="B568" s="2143" t="s">
        <v>15094</v>
      </c>
      <c r="C568" s="2141" t="s">
        <v>2434</v>
      </c>
      <c r="D568" s="2141" t="s">
        <v>219</v>
      </c>
      <c r="E568" s="2141" t="s">
        <v>655</v>
      </c>
      <c r="F568" s="2142" t="s">
        <v>15095</v>
      </c>
      <c r="G568" s="2141"/>
      <c r="H568" s="2143"/>
      <c r="I568" s="2143" t="s">
        <v>15369</v>
      </c>
      <c r="J568" s="2141" t="s">
        <v>642</v>
      </c>
      <c r="K568" s="2141"/>
      <c r="L568" s="2144">
        <v>1354000</v>
      </c>
      <c r="M568" s="2141" t="s">
        <v>112</v>
      </c>
      <c r="N568" s="2140">
        <v>45098</v>
      </c>
      <c r="O568" s="2140">
        <v>45120</v>
      </c>
      <c r="P568" s="2140">
        <v>45125</v>
      </c>
      <c r="Q568" s="2143" t="s">
        <v>9313</v>
      </c>
      <c r="R568" s="2141"/>
      <c r="S568" s="2144">
        <v>1164800</v>
      </c>
      <c r="T568" s="2144">
        <v>1409408</v>
      </c>
      <c r="U568" s="2145"/>
      <c r="V568" s="2145"/>
      <c r="W568" s="2145"/>
      <c r="X568" s="2146">
        <v>45125</v>
      </c>
      <c r="Y568" s="2144" t="s">
        <v>15393</v>
      </c>
      <c r="Z568" s="2140">
        <v>45135</v>
      </c>
      <c r="AA568" s="2140">
        <v>45135</v>
      </c>
      <c r="AB568" s="2140">
        <v>45865</v>
      </c>
      <c r="AC568" s="2799"/>
      <c r="AD568" s="2799"/>
    </row>
    <row r="569" spans="1:44">
      <c r="A569" s="416">
        <v>45089</v>
      </c>
      <c r="B569" s="630" t="s">
        <v>15096</v>
      </c>
      <c r="C569" s="411" t="s">
        <v>1032</v>
      </c>
      <c r="D569" s="411" t="s">
        <v>361</v>
      </c>
      <c r="E569" s="411" t="s">
        <v>655</v>
      </c>
      <c r="F569" s="412" t="s">
        <v>15097</v>
      </c>
      <c r="G569" s="411"/>
      <c r="H569" s="630"/>
      <c r="I569" s="630" t="s">
        <v>15369</v>
      </c>
      <c r="J569" s="411" t="s">
        <v>374</v>
      </c>
      <c r="K569" s="411"/>
      <c r="L569" s="417">
        <v>400000</v>
      </c>
      <c r="M569" s="411" t="s">
        <v>112</v>
      </c>
      <c r="N569" s="416">
        <v>45098</v>
      </c>
      <c r="O569" s="416">
        <v>45110</v>
      </c>
      <c r="P569" s="416">
        <v>45117</v>
      </c>
      <c r="Q569" s="630" t="s">
        <v>11417</v>
      </c>
      <c r="R569" s="411"/>
      <c r="S569" s="417">
        <v>247822.22</v>
      </c>
      <c r="T569" s="417">
        <v>299864.89</v>
      </c>
      <c r="U569" s="1480"/>
      <c r="V569" s="1480"/>
      <c r="W569" s="1480"/>
      <c r="X569" s="513">
        <v>45117</v>
      </c>
      <c r="Y569" s="417" t="s">
        <v>15327</v>
      </c>
      <c r="Z569" s="416">
        <v>45131</v>
      </c>
      <c r="AA569" s="416">
        <v>45131</v>
      </c>
      <c r="AB569" s="411"/>
      <c r="AC569" s="2799"/>
      <c r="AD569" s="2799"/>
    </row>
    <row r="570" spans="1:44" s="390" customFormat="1" ht="15.75" thickBot="1">
      <c r="A570" s="416" t="s">
        <v>3585</v>
      </c>
      <c r="B570" s="630" t="s">
        <v>15123</v>
      </c>
      <c r="C570" s="411" t="s">
        <v>1754</v>
      </c>
      <c r="D570" s="411" t="s">
        <v>13</v>
      </c>
      <c r="E570" s="411" t="s">
        <v>13950</v>
      </c>
      <c r="F570" s="412" t="s">
        <v>15124</v>
      </c>
      <c r="G570" s="411"/>
      <c r="H570" s="630"/>
      <c r="I570" s="630" t="s">
        <v>15369</v>
      </c>
      <c r="J570" s="411" t="s">
        <v>2055</v>
      </c>
      <c r="K570" s="411"/>
      <c r="L570" s="417">
        <v>2136000</v>
      </c>
      <c r="M570" s="411" t="s">
        <v>216</v>
      </c>
      <c r="N570" s="416">
        <v>45097</v>
      </c>
      <c r="O570" s="416">
        <v>45117</v>
      </c>
      <c r="P570" s="416">
        <v>45145</v>
      </c>
      <c r="Q570" s="630" t="s">
        <v>15456</v>
      </c>
      <c r="R570" s="411"/>
      <c r="S570" s="417">
        <v>1320000</v>
      </c>
      <c r="T570" s="417">
        <v>1557200</v>
      </c>
      <c r="U570" s="1480"/>
      <c r="V570" s="1480"/>
      <c r="W570" s="1480"/>
      <c r="X570" s="513">
        <v>45145</v>
      </c>
      <c r="Y570" s="417" t="s">
        <v>15506</v>
      </c>
      <c r="Z570" s="416">
        <v>45166</v>
      </c>
      <c r="AA570" s="416">
        <v>45177</v>
      </c>
      <c r="AB570" s="411" t="s">
        <v>4096</v>
      </c>
      <c r="AC570" s="2106"/>
      <c r="AD570" s="2106"/>
      <c r="AE570" s="360"/>
      <c r="AF570" s="360"/>
      <c r="AG570" s="360"/>
      <c r="AH570" s="360"/>
      <c r="AI570" s="360"/>
      <c r="AJ570" s="360"/>
      <c r="AK570" s="360"/>
      <c r="AL570" s="360"/>
      <c r="AM570" s="360"/>
      <c r="AN570" s="360"/>
      <c r="AO570" s="360"/>
      <c r="AP570" s="360"/>
      <c r="AQ570" s="360"/>
      <c r="AR570" s="360"/>
    </row>
    <row r="571" spans="1:44" ht="15.75" thickTop="1">
      <c r="A571" s="474">
        <v>45092</v>
      </c>
      <c r="B571" s="1420" t="s">
        <v>15105</v>
      </c>
      <c r="C571" s="453" t="s">
        <v>69</v>
      </c>
      <c r="D571" s="453" t="s">
        <v>15129</v>
      </c>
      <c r="E571" s="453" t="s">
        <v>13949</v>
      </c>
      <c r="F571" s="473" t="s">
        <v>15106</v>
      </c>
      <c r="G571" s="453">
        <v>1</v>
      </c>
      <c r="H571" s="1420" t="s">
        <v>7012</v>
      </c>
      <c r="I571" s="1420" t="s">
        <v>15369</v>
      </c>
      <c r="J571" s="453" t="s">
        <v>72</v>
      </c>
      <c r="K571" s="453"/>
      <c r="L571" s="457">
        <v>171355</v>
      </c>
      <c r="M571" s="453" t="s">
        <v>216</v>
      </c>
      <c r="N571" s="474">
        <v>45104</v>
      </c>
      <c r="O571" s="474">
        <v>45125</v>
      </c>
      <c r="P571" s="474">
        <v>45181</v>
      </c>
      <c r="Q571" s="1420" t="s">
        <v>5774</v>
      </c>
      <c r="R571" s="453"/>
      <c r="S571" s="457">
        <v>171130.98</v>
      </c>
      <c r="T571" s="457">
        <v>188244.08</v>
      </c>
      <c r="U571" s="1474"/>
      <c r="V571" s="1474"/>
      <c r="W571" s="1474"/>
      <c r="X571" s="570">
        <v>45181</v>
      </c>
      <c r="Y571" s="457" t="s">
        <v>15795</v>
      </c>
      <c r="Z571" s="474">
        <v>45205</v>
      </c>
      <c r="AA571" s="474">
        <v>45209</v>
      </c>
      <c r="AB571" s="474">
        <v>46300</v>
      </c>
      <c r="AC571" s="2799"/>
      <c r="AD571" s="2799"/>
    </row>
    <row r="572" spans="1:44">
      <c r="A572" s="2140">
        <v>45092</v>
      </c>
      <c r="B572" s="2143" t="s">
        <v>15107</v>
      </c>
      <c r="C572" s="2141" t="s">
        <v>69</v>
      </c>
      <c r="D572" s="2141" t="s">
        <v>15129</v>
      </c>
      <c r="E572" s="2141" t="s">
        <v>13949</v>
      </c>
      <c r="F572" s="2142" t="s">
        <v>15106</v>
      </c>
      <c r="G572" s="2141">
        <v>2</v>
      </c>
      <c r="H572" s="2143" t="s">
        <v>15110</v>
      </c>
      <c r="I572" s="2143" t="s">
        <v>15369</v>
      </c>
      <c r="J572" s="2141" t="s">
        <v>72</v>
      </c>
      <c r="K572" s="2141"/>
      <c r="L572" s="2144">
        <v>1881598</v>
      </c>
      <c r="M572" s="2141" t="s">
        <v>216</v>
      </c>
      <c r="N572" s="2140">
        <v>45104</v>
      </c>
      <c r="O572" s="2140">
        <v>45125</v>
      </c>
      <c r="P572" s="2140">
        <v>45181</v>
      </c>
      <c r="Q572" s="2143" t="s">
        <v>15355</v>
      </c>
      <c r="R572" s="2141"/>
      <c r="S572" s="2144">
        <v>1841899.23</v>
      </c>
      <c r="T572" s="2144">
        <v>2026089.15</v>
      </c>
      <c r="U572" s="2145"/>
      <c r="V572" s="2145"/>
      <c r="W572" s="2145"/>
      <c r="X572" s="2146">
        <v>45181</v>
      </c>
      <c r="Y572" s="2144" t="s">
        <v>15796</v>
      </c>
      <c r="Z572" s="2140">
        <v>45205</v>
      </c>
      <c r="AA572" s="2140">
        <v>45209</v>
      </c>
      <c r="AB572" s="2140">
        <v>46300</v>
      </c>
      <c r="AC572" s="2799"/>
      <c r="AD572" s="2799"/>
    </row>
    <row r="573" spans="1:44">
      <c r="A573" s="2140">
        <v>45092</v>
      </c>
      <c r="B573" s="2143" t="s">
        <v>15108</v>
      </c>
      <c r="C573" s="2141" t="s">
        <v>69</v>
      </c>
      <c r="D573" s="2141" t="s">
        <v>15129</v>
      </c>
      <c r="E573" s="2141" t="s">
        <v>13949</v>
      </c>
      <c r="F573" s="2142" t="s">
        <v>15106</v>
      </c>
      <c r="G573" s="2141">
        <v>3</v>
      </c>
      <c r="H573" s="2143" t="s">
        <v>15111</v>
      </c>
      <c r="I573" s="2143" t="s">
        <v>15369</v>
      </c>
      <c r="J573" s="2141" t="s">
        <v>72</v>
      </c>
      <c r="K573" s="2141"/>
      <c r="L573" s="2144">
        <v>590520</v>
      </c>
      <c r="M573" s="2141" t="s">
        <v>216</v>
      </c>
      <c r="N573" s="2140">
        <v>45104</v>
      </c>
      <c r="O573" s="2140">
        <v>45125</v>
      </c>
      <c r="P573" s="2140">
        <v>45181</v>
      </c>
      <c r="Q573" s="2143" t="s">
        <v>15355</v>
      </c>
      <c r="R573" s="2141"/>
      <c r="S573" s="2144">
        <v>452988.6</v>
      </c>
      <c r="T573" s="2144">
        <v>498287.46</v>
      </c>
      <c r="U573" s="2145"/>
      <c r="V573" s="2145"/>
      <c r="W573" s="2145"/>
      <c r="X573" s="2146">
        <v>45181</v>
      </c>
      <c r="Y573" s="2144" t="s">
        <v>15797</v>
      </c>
      <c r="Z573" s="2140">
        <v>45205</v>
      </c>
      <c r="AA573" s="2140">
        <v>45209</v>
      </c>
      <c r="AB573" s="2140">
        <v>46300</v>
      </c>
      <c r="AC573" s="2799"/>
      <c r="AD573" s="2799"/>
    </row>
    <row r="574" spans="1:44" ht="15.75" thickBot="1">
      <c r="A574" s="2117">
        <v>45092</v>
      </c>
      <c r="B574" s="2120" t="s">
        <v>15109</v>
      </c>
      <c r="C574" s="2118" t="s">
        <v>69</v>
      </c>
      <c r="D574" s="2118" t="s">
        <v>15129</v>
      </c>
      <c r="E574" s="2118" t="s">
        <v>13949</v>
      </c>
      <c r="F574" s="2119" t="s">
        <v>15106</v>
      </c>
      <c r="G574" s="2118">
        <v>4</v>
      </c>
      <c r="H574" s="2120" t="s">
        <v>7015</v>
      </c>
      <c r="I574" s="2120" t="s">
        <v>15369</v>
      </c>
      <c r="J574" s="2118" t="s">
        <v>72</v>
      </c>
      <c r="K574" s="2118"/>
      <c r="L574" s="2121">
        <v>364469</v>
      </c>
      <c r="M574" s="2118" t="s">
        <v>216</v>
      </c>
      <c r="N574" s="2117">
        <v>45104</v>
      </c>
      <c r="O574" s="2117">
        <v>45125</v>
      </c>
      <c r="P574" s="2117">
        <v>45181</v>
      </c>
      <c r="Q574" s="2120" t="s">
        <v>576</v>
      </c>
      <c r="R574" s="2118"/>
      <c r="S574" s="2121">
        <v>360502.11</v>
      </c>
      <c r="T574" s="2121">
        <v>396552.32</v>
      </c>
      <c r="U574" s="2122"/>
      <c r="V574" s="2122"/>
      <c r="W574" s="2122"/>
      <c r="X574" s="2123">
        <v>45181</v>
      </c>
      <c r="Y574" s="2121" t="s">
        <v>15798</v>
      </c>
      <c r="Z574" s="2117">
        <v>45205</v>
      </c>
      <c r="AA574" s="2117">
        <v>45209</v>
      </c>
      <c r="AB574" s="2117">
        <v>46300</v>
      </c>
      <c r="AC574" s="2799"/>
      <c r="AD574" s="2799"/>
    </row>
    <row r="575" spans="1:44" ht="15.75" thickTop="1">
      <c r="A575" s="1640">
        <v>45092</v>
      </c>
      <c r="B575" s="1644" t="s">
        <v>15113</v>
      </c>
      <c r="C575" s="1642" t="s">
        <v>69</v>
      </c>
      <c r="D575" s="1642" t="s">
        <v>15129</v>
      </c>
      <c r="E575" s="1642" t="s">
        <v>13949</v>
      </c>
      <c r="F575" s="1643" t="s">
        <v>15112</v>
      </c>
      <c r="G575" s="1642">
        <v>1</v>
      </c>
      <c r="H575" s="1644" t="s">
        <v>15114</v>
      </c>
      <c r="I575" s="1644" t="s">
        <v>15666</v>
      </c>
      <c r="J575" s="1642" t="s">
        <v>9104</v>
      </c>
      <c r="K575" s="1642"/>
      <c r="L575" s="1645">
        <v>75224</v>
      </c>
      <c r="M575" s="1642" t="s">
        <v>251</v>
      </c>
      <c r="N575" s="1642"/>
      <c r="O575" s="1642"/>
      <c r="P575" s="1642"/>
      <c r="Q575" s="1644"/>
      <c r="R575" s="1642"/>
      <c r="S575" s="1645"/>
      <c r="T575" s="1645"/>
      <c r="U575" s="2113"/>
      <c r="V575" s="2113"/>
      <c r="W575" s="2113"/>
      <c r="X575" s="1645"/>
      <c r="Y575" s="1645"/>
      <c r="Z575" s="1642"/>
      <c r="AA575" s="1642"/>
      <c r="AB575" s="1642"/>
      <c r="AC575" s="2799"/>
      <c r="AD575" s="2799"/>
    </row>
    <row r="576" spans="1:44">
      <c r="A576" s="2349">
        <v>45092</v>
      </c>
      <c r="B576" s="2352" t="s">
        <v>15115</v>
      </c>
      <c r="C576" s="2350" t="s">
        <v>69</v>
      </c>
      <c r="D576" s="2350" t="s">
        <v>15129</v>
      </c>
      <c r="E576" s="2350" t="s">
        <v>13949</v>
      </c>
      <c r="F576" s="2351" t="s">
        <v>15112</v>
      </c>
      <c r="G576" s="2350">
        <v>2</v>
      </c>
      <c r="H576" s="2352" t="s">
        <v>15119</v>
      </c>
      <c r="I576" s="2352" t="s">
        <v>15666</v>
      </c>
      <c r="J576" s="2350" t="s">
        <v>9104</v>
      </c>
      <c r="K576" s="2350"/>
      <c r="L576" s="2353">
        <v>284962</v>
      </c>
      <c r="M576" s="2350" t="s">
        <v>251</v>
      </c>
      <c r="N576" s="2350"/>
      <c r="O576" s="2350"/>
      <c r="P576" s="2350"/>
      <c r="Q576" s="2352"/>
      <c r="R576" s="2350"/>
      <c r="S576" s="2353"/>
      <c r="T576" s="2353"/>
      <c r="U576" s="2923"/>
      <c r="V576" s="2923"/>
      <c r="W576" s="2923"/>
      <c r="X576" s="2353"/>
      <c r="Y576" s="2353"/>
      <c r="Z576" s="2350"/>
      <c r="AA576" s="2350"/>
      <c r="AB576" s="2350"/>
      <c r="AC576" s="2799"/>
      <c r="AD576" s="2799"/>
    </row>
    <row r="577" spans="1:31">
      <c r="A577" s="2349">
        <v>45092</v>
      </c>
      <c r="B577" s="2352" t="s">
        <v>15116</v>
      </c>
      <c r="C577" s="2350" t="s">
        <v>69</v>
      </c>
      <c r="D577" s="2350" t="s">
        <v>15129</v>
      </c>
      <c r="E577" s="2350" t="s">
        <v>13949</v>
      </c>
      <c r="F577" s="2351" t="s">
        <v>15112</v>
      </c>
      <c r="G577" s="2350">
        <v>3</v>
      </c>
      <c r="H577" s="2352" t="s">
        <v>15120</v>
      </c>
      <c r="I577" s="2352" t="s">
        <v>15666</v>
      </c>
      <c r="J577" s="2350" t="s">
        <v>9104</v>
      </c>
      <c r="K577" s="2350"/>
      <c r="L577" s="2353">
        <v>539784</v>
      </c>
      <c r="M577" s="2350" t="s">
        <v>251</v>
      </c>
      <c r="N577" s="2350"/>
      <c r="O577" s="2350"/>
      <c r="P577" s="2350"/>
      <c r="Q577" s="2352"/>
      <c r="R577" s="2350"/>
      <c r="S577" s="2353"/>
      <c r="T577" s="2353"/>
      <c r="U577" s="2923"/>
      <c r="V577" s="2923"/>
      <c r="W577" s="2923"/>
      <c r="X577" s="2353"/>
      <c r="Y577" s="2353"/>
      <c r="Z577" s="2350"/>
      <c r="AA577" s="2350"/>
      <c r="AB577" s="2350"/>
      <c r="AC577" s="2799"/>
      <c r="AD577" s="2799"/>
    </row>
    <row r="578" spans="1:31">
      <c r="A578" s="2349">
        <v>45092</v>
      </c>
      <c r="B578" s="2352" t="s">
        <v>15117</v>
      </c>
      <c r="C578" s="2350" t="s">
        <v>69</v>
      </c>
      <c r="D578" s="2350" t="s">
        <v>15129</v>
      </c>
      <c r="E578" s="2350" t="s">
        <v>13949</v>
      </c>
      <c r="F578" s="2351" t="s">
        <v>15112</v>
      </c>
      <c r="G578" s="2350">
        <v>4</v>
      </c>
      <c r="H578" s="2352" t="s">
        <v>15121</v>
      </c>
      <c r="I578" s="2352" t="s">
        <v>15666</v>
      </c>
      <c r="J578" s="2350" t="s">
        <v>9104</v>
      </c>
      <c r="K578" s="2350"/>
      <c r="L578" s="2353">
        <v>605380</v>
      </c>
      <c r="M578" s="2350" t="s">
        <v>251</v>
      </c>
      <c r="N578" s="2350"/>
      <c r="O578" s="2350"/>
      <c r="P578" s="2350"/>
      <c r="Q578" s="2352"/>
      <c r="R578" s="2350"/>
      <c r="S578" s="2353"/>
      <c r="T578" s="2353"/>
      <c r="U578" s="2923"/>
      <c r="V578" s="2923"/>
      <c r="W578" s="2923"/>
      <c r="X578" s="2353"/>
      <c r="Y578" s="2353"/>
      <c r="Z578" s="2350"/>
      <c r="AA578" s="2350"/>
      <c r="AB578" s="2350"/>
      <c r="AC578" s="2799"/>
      <c r="AD578" s="2799"/>
    </row>
    <row r="579" spans="1:31" ht="15.75" thickBot="1">
      <c r="A579" s="2466">
        <v>45092</v>
      </c>
      <c r="B579" s="2469" t="s">
        <v>15118</v>
      </c>
      <c r="C579" s="2467" t="s">
        <v>69</v>
      </c>
      <c r="D579" s="2467" t="s">
        <v>15129</v>
      </c>
      <c r="E579" s="2467" t="s">
        <v>13949</v>
      </c>
      <c r="F579" s="2468" t="s">
        <v>15112</v>
      </c>
      <c r="G579" s="2467">
        <v>5</v>
      </c>
      <c r="H579" s="2469" t="s">
        <v>15122</v>
      </c>
      <c r="I579" s="2469" t="s">
        <v>15666</v>
      </c>
      <c r="J579" s="2467" t="s">
        <v>9104</v>
      </c>
      <c r="K579" s="2467"/>
      <c r="L579" s="2470">
        <v>810781</v>
      </c>
      <c r="M579" s="2467" t="s">
        <v>251</v>
      </c>
      <c r="N579" s="2467"/>
      <c r="O579" s="2467"/>
      <c r="P579" s="2467"/>
      <c r="Q579" s="2469"/>
      <c r="R579" s="2467"/>
      <c r="S579" s="2470"/>
      <c r="T579" s="2470"/>
      <c r="U579" s="2924"/>
      <c r="V579" s="2924"/>
      <c r="W579" s="2924"/>
      <c r="X579" s="2470"/>
      <c r="Y579" s="2470"/>
      <c r="Z579" s="2467"/>
      <c r="AA579" s="2467"/>
      <c r="AB579" s="2467"/>
      <c r="AC579" s="2799"/>
      <c r="AD579" s="2799"/>
    </row>
    <row r="580" spans="1:31" ht="15.75" thickTop="1">
      <c r="A580" s="365">
        <v>45092</v>
      </c>
      <c r="B580" s="3192" t="s">
        <v>15125</v>
      </c>
      <c r="C580" s="3191" t="s">
        <v>13843</v>
      </c>
      <c r="D580" s="3191" t="s">
        <v>13844</v>
      </c>
      <c r="E580" s="3191" t="s">
        <v>13949</v>
      </c>
      <c r="F580" s="175" t="s">
        <v>15126</v>
      </c>
      <c r="G580" s="3191"/>
      <c r="H580" s="3192"/>
      <c r="I580" s="3192" t="s">
        <v>15369</v>
      </c>
      <c r="J580" s="3191" t="s">
        <v>42</v>
      </c>
      <c r="K580" s="3191"/>
      <c r="L580" s="364">
        <v>1899760</v>
      </c>
      <c r="M580" s="3191" t="s">
        <v>112</v>
      </c>
      <c r="N580" s="365">
        <v>45107</v>
      </c>
      <c r="O580" s="365">
        <v>45120</v>
      </c>
      <c r="P580" s="365">
        <v>45127</v>
      </c>
      <c r="Q580" s="3192" t="s">
        <v>5979</v>
      </c>
      <c r="R580" s="3191"/>
      <c r="S580" s="364">
        <v>1899760</v>
      </c>
      <c r="T580" s="364">
        <v>2298709.6</v>
      </c>
      <c r="U580" s="1473"/>
      <c r="V580" s="1473"/>
      <c r="W580" s="1473"/>
      <c r="X580" s="681">
        <v>45127</v>
      </c>
      <c r="Y580" s="364" t="s">
        <v>15402</v>
      </c>
      <c r="Z580" s="365">
        <v>45145</v>
      </c>
      <c r="AA580" s="365">
        <v>45145</v>
      </c>
      <c r="AB580" s="365">
        <v>45412</v>
      </c>
      <c r="AC580" s="2799"/>
      <c r="AD580" s="2799"/>
    </row>
    <row r="581" spans="1:31">
      <c r="A581" s="2124">
        <v>45092</v>
      </c>
      <c r="B581" s="2127" t="s">
        <v>15127</v>
      </c>
      <c r="C581" s="2125" t="s">
        <v>13843</v>
      </c>
      <c r="D581" s="2125" t="s">
        <v>13844</v>
      </c>
      <c r="E581" s="2125" t="s">
        <v>13949</v>
      </c>
      <c r="F581" s="2126" t="s">
        <v>15128</v>
      </c>
      <c r="G581" s="2125"/>
      <c r="H581" s="2127"/>
      <c r="I581" s="2127" t="s">
        <v>242</v>
      </c>
      <c r="J581" s="2125" t="s">
        <v>42</v>
      </c>
      <c r="K581" s="2125"/>
      <c r="L581" s="2128">
        <v>1876580</v>
      </c>
      <c r="M581" s="2125" t="s">
        <v>112</v>
      </c>
      <c r="N581" s="2124">
        <v>45140</v>
      </c>
      <c r="O581" s="2124">
        <v>45152</v>
      </c>
      <c r="P581" s="2125"/>
      <c r="Q581" s="2136" t="s">
        <v>242</v>
      </c>
      <c r="R581" s="2125" t="s">
        <v>15528</v>
      </c>
      <c r="S581" s="2128"/>
      <c r="T581" s="2128"/>
      <c r="U581" s="2129"/>
      <c r="V581" s="2129"/>
      <c r="W581" s="2129"/>
      <c r="X581" s="2128"/>
      <c r="Y581" s="2128"/>
      <c r="Z581" s="2125"/>
      <c r="AA581" s="2124">
        <v>45147</v>
      </c>
      <c r="AB581" s="2125" t="s">
        <v>15529</v>
      </c>
      <c r="AC581" s="2799"/>
      <c r="AD581" s="2799"/>
    </row>
    <row r="582" spans="1:31">
      <c r="A582" s="2140">
        <v>45092</v>
      </c>
      <c r="B582" s="2143" t="s">
        <v>15130</v>
      </c>
      <c r="C582" s="2141" t="s">
        <v>69</v>
      </c>
      <c r="D582" s="2141" t="s">
        <v>15131</v>
      </c>
      <c r="E582" s="2141" t="s">
        <v>13949</v>
      </c>
      <c r="F582" s="2267" t="s">
        <v>15132</v>
      </c>
      <c r="G582" s="2141"/>
      <c r="H582" s="2143"/>
      <c r="I582" s="2143" t="s">
        <v>15369</v>
      </c>
      <c r="J582" s="2141" t="s">
        <v>4275</v>
      </c>
      <c r="K582" s="2141"/>
      <c r="L582" s="2144">
        <v>2764590</v>
      </c>
      <c r="M582" s="2141" t="s">
        <v>216</v>
      </c>
      <c r="N582" s="2140">
        <v>45103</v>
      </c>
      <c r="O582" s="2140">
        <v>45124</v>
      </c>
      <c r="P582" s="2140">
        <v>45142</v>
      </c>
      <c r="Q582" s="2143" t="s">
        <v>576</v>
      </c>
      <c r="R582" s="2141"/>
      <c r="S582" s="2144">
        <v>2764599</v>
      </c>
      <c r="T582" s="2144">
        <v>3041058.9</v>
      </c>
      <c r="U582" s="2145"/>
      <c r="V582" s="2145"/>
      <c r="W582" s="2145"/>
      <c r="X582" s="2146">
        <v>45142</v>
      </c>
      <c r="Y582" s="2144" t="s">
        <v>15496</v>
      </c>
      <c r="Z582" s="2140">
        <v>45166</v>
      </c>
      <c r="AA582" s="2140">
        <v>45169</v>
      </c>
      <c r="AB582" s="2140">
        <v>45715</v>
      </c>
      <c r="AC582" s="2799"/>
      <c r="AD582" s="2799"/>
    </row>
    <row r="583" spans="1:31">
      <c r="A583" s="2140">
        <v>45092</v>
      </c>
      <c r="B583" s="2143" t="s">
        <v>15133</v>
      </c>
      <c r="C583" s="2141" t="s">
        <v>1032</v>
      </c>
      <c r="D583" s="2141" t="s">
        <v>361</v>
      </c>
      <c r="E583" s="2141" t="s">
        <v>655</v>
      </c>
      <c r="F583" s="2142" t="s">
        <v>15134</v>
      </c>
      <c r="G583" s="2141"/>
      <c r="H583" s="2143"/>
      <c r="I583" s="2143" t="s">
        <v>15369</v>
      </c>
      <c r="J583" s="2141" t="s">
        <v>10989</v>
      </c>
      <c r="K583" s="2141"/>
      <c r="L583" s="2144">
        <v>1900000</v>
      </c>
      <c r="M583" s="2141" t="s">
        <v>112</v>
      </c>
      <c r="N583" s="2140">
        <v>45097</v>
      </c>
      <c r="O583" s="2140">
        <v>45110</v>
      </c>
      <c r="P583" s="2140">
        <v>45117</v>
      </c>
      <c r="Q583" s="2143" t="s">
        <v>10171</v>
      </c>
      <c r="R583" s="2141"/>
      <c r="S583" s="2144">
        <v>1484178.34</v>
      </c>
      <c r="T583" s="2144">
        <v>1795855.79</v>
      </c>
      <c r="U583" s="2145"/>
      <c r="V583" s="2145"/>
      <c r="W583" s="2145"/>
      <c r="X583" s="2146">
        <v>45117</v>
      </c>
      <c r="Y583" s="2144" t="s">
        <v>15328</v>
      </c>
      <c r="Z583" s="2140">
        <v>45125</v>
      </c>
      <c r="AA583" s="2140">
        <v>45126</v>
      </c>
      <c r="AB583" s="2141"/>
      <c r="AC583" s="2799"/>
      <c r="AD583" s="2799"/>
    </row>
    <row r="584" spans="1:31" ht="30">
      <c r="A584" s="2140">
        <v>45096</v>
      </c>
      <c r="B584" s="2143" t="s">
        <v>15142</v>
      </c>
      <c r="C584" s="2141" t="s">
        <v>2434</v>
      </c>
      <c r="D584" s="2141" t="s">
        <v>3204</v>
      </c>
      <c r="E584" s="2141" t="s">
        <v>655</v>
      </c>
      <c r="F584" s="2142" t="s">
        <v>15143</v>
      </c>
      <c r="G584" s="2141"/>
      <c r="H584" s="2143"/>
      <c r="I584" s="2143" t="s">
        <v>15369</v>
      </c>
      <c r="J584" s="2141" t="s">
        <v>7092</v>
      </c>
      <c r="K584" s="2141"/>
      <c r="L584" s="2144">
        <v>504000</v>
      </c>
      <c r="M584" s="2141" t="s">
        <v>112</v>
      </c>
      <c r="N584" s="2140">
        <v>45098</v>
      </c>
      <c r="O584" s="2140">
        <v>45124</v>
      </c>
      <c r="P584" s="2140">
        <v>45154</v>
      </c>
      <c r="Q584" s="2143" t="s">
        <v>9404</v>
      </c>
      <c r="R584" s="2141"/>
      <c r="S584" s="2144">
        <v>480000</v>
      </c>
      <c r="T584" s="2144">
        <v>580800</v>
      </c>
      <c r="U584" s="2145"/>
      <c r="V584" s="2145"/>
      <c r="W584" s="2145"/>
      <c r="X584" s="2146">
        <v>45154</v>
      </c>
      <c r="Y584" s="2260" t="s">
        <v>15591</v>
      </c>
      <c r="Z584" s="2140">
        <v>45161</v>
      </c>
      <c r="AA584" s="2140">
        <v>45166</v>
      </c>
      <c r="AB584" s="2140">
        <v>46698</v>
      </c>
      <c r="AC584" s="2799"/>
      <c r="AD584" s="2799"/>
      <c r="AE584" s="360" t="s">
        <v>15729</v>
      </c>
    </row>
    <row r="585" spans="1:31">
      <c r="A585" s="2140">
        <v>45093</v>
      </c>
      <c r="B585" s="2143" t="s">
        <v>15144</v>
      </c>
      <c r="C585" s="2141" t="s">
        <v>2111</v>
      </c>
      <c r="D585" s="2141" t="s">
        <v>9080</v>
      </c>
      <c r="E585" s="2141" t="s">
        <v>13951</v>
      </c>
      <c r="F585" s="2142" t="s">
        <v>15145</v>
      </c>
      <c r="G585" s="2141"/>
      <c r="H585" s="2143"/>
      <c r="I585" s="2143" t="s">
        <v>15369</v>
      </c>
      <c r="J585" s="2141" t="s">
        <v>15146</v>
      </c>
      <c r="K585" s="2141"/>
      <c r="L585" s="2144">
        <v>1206925</v>
      </c>
      <c r="M585" s="2141" t="s">
        <v>112</v>
      </c>
      <c r="N585" s="2140">
        <v>45098</v>
      </c>
      <c r="O585" s="2140">
        <v>45110</v>
      </c>
      <c r="P585" s="2140">
        <v>45111</v>
      </c>
      <c r="Q585" s="2143" t="s">
        <v>11661</v>
      </c>
      <c r="R585" s="2141"/>
      <c r="S585" s="2144">
        <v>744050</v>
      </c>
      <c r="T585" s="2144">
        <v>900300.5</v>
      </c>
      <c r="U585" s="2145"/>
      <c r="V585" s="2145"/>
      <c r="W585" s="2145"/>
      <c r="X585" s="2146">
        <v>45111</v>
      </c>
      <c r="Y585" s="2144" t="s">
        <v>15310</v>
      </c>
      <c r="Z585" s="2140">
        <v>45121</v>
      </c>
      <c r="AA585" s="2140">
        <v>45121</v>
      </c>
      <c r="AB585" s="2140">
        <v>45153</v>
      </c>
      <c r="AC585" s="2799"/>
      <c r="AD585" s="2799"/>
    </row>
    <row r="586" spans="1:31" ht="15.75" thickBot="1">
      <c r="A586" s="416">
        <v>45089</v>
      </c>
      <c r="B586" s="630" t="s">
        <v>15147</v>
      </c>
      <c r="C586" s="411" t="s">
        <v>3678</v>
      </c>
      <c r="D586" s="411" t="s">
        <v>918</v>
      </c>
      <c r="E586" s="411" t="s">
        <v>13950</v>
      </c>
      <c r="F586" s="412" t="s">
        <v>15148</v>
      </c>
      <c r="G586" s="411"/>
      <c r="H586" s="630"/>
      <c r="I586" s="630" t="s">
        <v>15369</v>
      </c>
      <c r="J586" s="411" t="s">
        <v>1518</v>
      </c>
      <c r="K586" s="411"/>
      <c r="L586" s="417">
        <v>4400000</v>
      </c>
      <c r="M586" s="411" t="s">
        <v>251</v>
      </c>
      <c r="N586" s="416">
        <v>45103</v>
      </c>
      <c r="O586" s="416">
        <v>45135</v>
      </c>
      <c r="P586" s="416">
        <v>45154</v>
      </c>
      <c r="Q586" s="630" t="s">
        <v>5913</v>
      </c>
      <c r="R586" s="411"/>
      <c r="S586" s="417">
        <v>161000</v>
      </c>
      <c r="T586" s="417">
        <v>194810</v>
      </c>
      <c r="U586" s="1480"/>
      <c r="V586" s="1480"/>
      <c r="W586" s="1480"/>
      <c r="X586" s="513">
        <v>45154</v>
      </c>
      <c r="Y586" s="417" t="s">
        <v>15590</v>
      </c>
      <c r="Z586" s="416">
        <v>45174</v>
      </c>
      <c r="AA586" s="416">
        <v>45177</v>
      </c>
      <c r="AB586" s="411" t="s">
        <v>15782</v>
      </c>
      <c r="AC586" s="2799"/>
      <c r="AD586" s="2799"/>
    </row>
    <row r="587" spans="1:31" ht="15.75" thickTop="1">
      <c r="A587" s="474">
        <v>45096</v>
      </c>
      <c r="B587" s="1420" t="s">
        <v>15149</v>
      </c>
      <c r="C587" s="453" t="s">
        <v>2434</v>
      </c>
      <c r="D587" s="453" t="s">
        <v>219</v>
      </c>
      <c r="E587" s="453" t="s">
        <v>13948</v>
      </c>
      <c r="F587" s="473" t="s">
        <v>15150</v>
      </c>
      <c r="G587" s="453">
        <v>1</v>
      </c>
      <c r="H587" s="1420" t="s">
        <v>15151</v>
      </c>
      <c r="I587" s="1420" t="s">
        <v>15369</v>
      </c>
      <c r="J587" s="453" t="s">
        <v>3271</v>
      </c>
      <c r="K587" s="453"/>
      <c r="L587" s="457">
        <v>127900</v>
      </c>
      <c r="M587" s="453" t="s">
        <v>251</v>
      </c>
      <c r="N587" s="474">
        <v>45103</v>
      </c>
      <c r="O587" s="474">
        <v>45138</v>
      </c>
      <c r="P587" s="474">
        <v>45188</v>
      </c>
      <c r="Q587" s="1420" t="s">
        <v>15783</v>
      </c>
      <c r="R587" s="453"/>
      <c r="S587" s="457">
        <v>74230</v>
      </c>
      <c r="T587" s="457">
        <v>89818.3</v>
      </c>
      <c r="U587" s="1474"/>
      <c r="V587" s="1474"/>
      <c r="W587" s="1474"/>
      <c r="X587" s="570">
        <v>45188</v>
      </c>
      <c r="Y587" s="457" t="s">
        <v>15831</v>
      </c>
      <c r="Z587" s="474">
        <v>45224</v>
      </c>
      <c r="AA587" s="474">
        <v>45244</v>
      </c>
      <c r="AB587" s="474">
        <v>45322</v>
      </c>
      <c r="AC587" s="2799"/>
      <c r="AD587" s="2799"/>
    </row>
    <row r="588" spans="1:31" ht="15.75" thickBot="1">
      <c r="A588" s="2117">
        <v>45096</v>
      </c>
      <c r="B588" s="2120" t="s">
        <v>15152</v>
      </c>
      <c r="C588" s="2118" t="s">
        <v>2434</v>
      </c>
      <c r="D588" s="2118" t="s">
        <v>219</v>
      </c>
      <c r="E588" s="2118" t="s">
        <v>13948</v>
      </c>
      <c r="F588" s="2119" t="s">
        <v>15150</v>
      </c>
      <c r="G588" s="2118">
        <v>2</v>
      </c>
      <c r="H588" s="2120" t="s">
        <v>15159</v>
      </c>
      <c r="I588" s="2120" t="s">
        <v>15369</v>
      </c>
      <c r="J588" s="2118" t="s">
        <v>3271</v>
      </c>
      <c r="K588" s="2118"/>
      <c r="L588" s="2121">
        <v>136264</v>
      </c>
      <c r="M588" s="2118" t="s">
        <v>251</v>
      </c>
      <c r="N588" s="2117">
        <v>45103</v>
      </c>
      <c r="O588" s="2117">
        <v>45138</v>
      </c>
      <c r="P588" s="2117">
        <v>45188</v>
      </c>
      <c r="Q588" s="2120" t="s">
        <v>6119</v>
      </c>
      <c r="R588" s="2118"/>
      <c r="S588" s="2121">
        <v>136264.29</v>
      </c>
      <c r="T588" s="2121">
        <v>164879.79</v>
      </c>
      <c r="U588" s="2122"/>
      <c r="V588" s="2122"/>
      <c r="W588" s="2122"/>
      <c r="X588" s="2123">
        <v>45188</v>
      </c>
      <c r="Y588" s="2121" t="s">
        <v>15832</v>
      </c>
      <c r="Z588" s="2117">
        <v>45217</v>
      </c>
      <c r="AA588" s="2117">
        <v>45244</v>
      </c>
      <c r="AB588" s="2117">
        <v>45301</v>
      </c>
      <c r="AC588" s="2799"/>
      <c r="AD588" s="2799"/>
    </row>
    <row r="589" spans="1:31" ht="30.75" thickTop="1">
      <c r="A589" s="365">
        <v>45097</v>
      </c>
      <c r="B589" s="3192" t="s">
        <v>15154</v>
      </c>
      <c r="C589" s="3191" t="s">
        <v>2434</v>
      </c>
      <c r="D589" s="3191" t="s">
        <v>219</v>
      </c>
      <c r="E589" s="3191" t="s">
        <v>13951</v>
      </c>
      <c r="F589" s="175" t="s">
        <v>15155</v>
      </c>
      <c r="G589" s="3191"/>
      <c r="H589" s="3192"/>
      <c r="I589" s="3192" t="s">
        <v>15369</v>
      </c>
      <c r="J589" s="3191" t="s">
        <v>642</v>
      </c>
      <c r="K589" s="3191"/>
      <c r="L589" s="364">
        <v>1360000</v>
      </c>
      <c r="M589" s="3191" t="s">
        <v>112</v>
      </c>
      <c r="N589" s="365">
        <v>45098</v>
      </c>
      <c r="O589" s="365">
        <v>45117</v>
      </c>
      <c r="P589" s="365">
        <v>45125</v>
      </c>
      <c r="Q589" s="3192" t="s">
        <v>9770</v>
      </c>
      <c r="R589" s="3191"/>
      <c r="S589" s="364">
        <v>1360000</v>
      </c>
      <c r="T589" s="364">
        <v>1645600</v>
      </c>
      <c r="U589" s="1473"/>
      <c r="V589" s="1473"/>
      <c r="W589" s="1473"/>
      <c r="X589" s="681">
        <v>45125</v>
      </c>
      <c r="Y589" s="1417" t="s">
        <v>15395</v>
      </c>
      <c r="Z589" s="365">
        <v>45139</v>
      </c>
      <c r="AA589" s="365">
        <v>45139</v>
      </c>
      <c r="AB589" s="365">
        <v>46599</v>
      </c>
      <c r="AC589" s="2799"/>
      <c r="AD589" s="2799"/>
    </row>
    <row r="590" spans="1:31" ht="15.75" thickBot="1">
      <c r="A590" s="416">
        <v>45097</v>
      </c>
      <c r="B590" s="630" t="s">
        <v>15157</v>
      </c>
      <c r="C590" s="411" t="s">
        <v>2434</v>
      </c>
      <c r="D590" s="411" t="s">
        <v>219</v>
      </c>
      <c r="E590" s="411" t="s">
        <v>655</v>
      </c>
      <c r="F590" s="412" t="s">
        <v>15158</v>
      </c>
      <c r="G590" s="411"/>
      <c r="H590" s="630"/>
      <c r="I590" s="630" t="s">
        <v>15369</v>
      </c>
      <c r="J590" s="411" t="s">
        <v>642</v>
      </c>
      <c r="K590" s="411"/>
      <c r="L590" s="417">
        <v>1079373</v>
      </c>
      <c r="M590" s="411" t="s">
        <v>112</v>
      </c>
      <c r="N590" s="416">
        <v>45099</v>
      </c>
      <c r="O590" s="416">
        <v>45114</v>
      </c>
      <c r="P590" s="416">
        <v>45124</v>
      </c>
      <c r="Q590" s="630" t="s">
        <v>15338</v>
      </c>
      <c r="R590" s="411"/>
      <c r="S590" s="417">
        <v>1500837</v>
      </c>
      <c r="T590" s="417">
        <v>1816012.77</v>
      </c>
      <c r="U590" s="1480"/>
      <c r="V590" s="1480"/>
      <c r="W590" s="1480"/>
      <c r="X590" s="513">
        <v>45124</v>
      </c>
      <c r="Y590" s="417" t="s">
        <v>15381</v>
      </c>
      <c r="Z590" s="416">
        <v>45132</v>
      </c>
      <c r="AA590" s="416">
        <v>45132</v>
      </c>
      <c r="AB590" s="416">
        <v>46227</v>
      </c>
      <c r="AC590" s="2799"/>
      <c r="AD590" s="2799"/>
    </row>
    <row r="591" spans="1:31" ht="30.75" thickTop="1">
      <c r="A591" s="474">
        <v>45096</v>
      </c>
      <c r="B591" s="1420" t="s">
        <v>15160</v>
      </c>
      <c r="C591" s="453" t="s">
        <v>2434</v>
      </c>
      <c r="D591" s="453" t="s">
        <v>751</v>
      </c>
      <c r="E591" s="453" t="s">
        <v>15292</v>
      </c>
      <c r="F591" s="473" t="s">
        <v>15165</v>
      </c>
      <c r="G591" s="453">
        <v>1</v>
      </c>
      <c r="H591" s="1420" t="s">
        <v>15166</v>
      </c>
      <c r="I591" s="1420" t="s">
        <v>15369</v>
      </c>
      <c r="J591" s="453" t="s">
        <v>6884</v>
      </c>
      <c r="K591" s="453"/>
      <c r="L591" s="457">
        <v>43520000</v>
      </c>
      <c r="M591" s="453" t="s">
        <v>251</v>
      </c>
      <c r="N591" s="474">
        <v>45114</v>
      </c>
      <c r="O591" s="474">
        <v>45148</v>
      </c>
      <c r="P591" s="474">
        <v>45167</v>
      </c>
      <c r="Q591" s="1420" t="s">
        <v>2974</v>
      </c>
      <c r="R591" s="453"/>
      <c r="S591" s="457">
        <v>43520000</v>
      </c>
      <c r="T591" s="457">
        <v>50048000</v>
      </c>
      <c r="U591" s="1474"/>
      <c r="V591" s="1474"/>
      <c r="W591" s="1474"/>
      <c r="X591" s="570">
        <v>45167</v>
      </c>
      <c r="Y591" s="1387" t="s">
        <v>15702</v>
      </c>
      <c r="Z591" s="474">
        <v>45191</v>
      </c>
      <c r="AA591" s="474">
        <v>45195</v>
      </c>
      <c r="AB591" s="474">
        <v>46703</v>
      </c>
      <c r="AC591" s="2799"/>
      <c r="AD591" s="2799"/>
      <c r="AE591" s="360" t="s">
        <v>15854</v>
      </c>
    </row>
    <row r="592" spans="1:31" ht="30">
      <c r="A592" s="2140">
        <v>45096</v>
      </c>
      <c r="B592" s="2143" t="s">
        <v>15162</v>
      </c>
      <c r="C592" s="2141" t="s">
        <v>2434</v>
      </c>
      <c r="D592" s="2141" t="s">
        <v>751</v>
      </c>
      <c r="E592" s="2141" t="s">
        <v>15292</v>
      </c>
      <c r="F592" s="2142" t="s">
        <v>15165</v>
      </c>
      <c r="G592" s="2141">
        <v>2</v>
      </c>
      <c r="H592" s="2143" t="s">
        <v>15167</v>
      </c>
      <c r="I592" s="2143" t="s">
        <v>15369</v>
      </c>
      <c r="J592" s="2141" t="s">
        <v>6884</v>
      </c>
      <c r="K592" s="2141"/>
      <c r="L592" s="2144">
        <v>44400000</v>
      </c>
      <c r="M592" s="2141" t="s">
        <v>251</v>
      </c>
      <c r="N592" s="2140">
        <v>45114</v>
      </c>
      <c r="O592" s="2140">
        <v>45148</v>
      </c>
      <c r="P592" s="2140">
        <v>45167</v>
      </c>
      <c r="Q592" s="2143" t="s">
        <v>7201</v>
      </c>
      <c r="R592" s="2141"/>
      <c r="S592" s="2144">
        <v>44400000</v>
      </c>
      <c r="T592" s="2144">
        <v>51060000</v>
      </c>
      <c r="U592" s="2145"/>
      <c r="V592" s="2145"/>
      <c r="W592" s="2145"/>
      <c r="X592" s="2146">
        <v>45167</v>
      </c>
      <c r="Y592" s="2260" t="s">
        <v>15703</v>
      </c>
      <c r="Z592" s="2140">
        <v>45191</v>
      </c>
      <c r="AA592" s="2140">
        <v>45195</v>
      </c>
      <c r="AB592" s="2140">
        <v>46703</v>
      </c>
      <c r="AC592" s="2799"/>
      <c r="AD592" s="2799"/>
      <c r="AE592" s="360" t="s">
        <v>15854</v>
      </c>
    </row>
    <row r="593" spans="1:31" ht="30">
      <c r="A593" s="2140">
        <v>45096</v>
      </c>
      <c r="B593" s="2143" t="s">
        <v>15163</v>
      </c>
      <c r="C593" s="2141" t="s">
        <v>2434</v>
      </c>
      <c r="D593" s="2141" t="s">
        <v>751</v>
      </c>
      <c r="E593" s="2141" t="s">
        <v>15292</v>
      </c>
      <c r="F593" s="2142" t="s">
        <v>15165</v>
      </c>
      <c r="G593" s="2141">
        <v>3</v>
      </c>
      <c r="H593" s="2143" t="s">
        <v>15168</v>
      </c>
      <c r="I593" s="2143" t="s">
        <v>15369</v>
      </c>
      <c r="J593" s="2141" t="s">
        <v>6884</v>
      </c>
      <c r="K593" s="2141"/>
      <c r="L593" s="2144">
        <v>2900000</v>
      </c>
      <c r="M593" s="2141" t="s">
        <v>251</v>
      </c>
      <c r="N593" s="2140">
        <v>45114</v>
      </c>
      <c r="O593" s="2140">
        <v>45148</v>
      </c>
      <c r="P593" s="2140">
        <v>45167</v>
      </c>
      <c r="Q593" s="2143" t="s">
        <v>15579</v>
      </c>
      <c r="R593" s="2141"/>
      <c r="S593" s="2144">
        <v>2900000</v>
      </c>
      <c r="T593" s="2144">
        <v>3335000</v>
      </c>
      <c r="U593" s="2145"/>
      <c r="V593" s="2145"/>
      <c r="W593" s="2145"/>
      <c r="X593" s="2146">
        <v>45167</v>
      </c>
      <c r="Y593" s="2260" t="s">
        <v>15704</v>
      </c>
      <c r="Z593" s="2140">
        <v>45191</v>
      </c>
      <c r="AA593" s="2140">
        <v>45195</v>
      </c>
      <c r="AB593" s="2140">
        <v>46703</v>
      </c>
      <c r="AC593" s="2799"/>
      <c r="AD593" s="2799"/>
      <c r="AE593" s="360" t="s">
        <v>15854</v>
      </c>
    </row>
    <row r="594" spans="1:31" ht="30">
      <c r="A594" s="2140">
        <v>45096</v>
      </c>
      <c r="B594" s="2143" t="s">
        <v>15164</v>
      </c>
      <c r="C594" s="2141" t="s">
        <v>2434</v>
      </c>
      <c r="D594" s="2141" t="s">
        <v>751</v>
      </c>
      <c r="E594" s="2141" t="s">
        <v>15292</v>
      </c>
      <c r="F594" s="2142" t="s">
        <v>15165</v>
      </c>
      <c r="G594" s="2141">
        <v>4</v>
      </c>
      <c r="H594" s="2143" t="s">
        <v>15169</v>
      </c>
      <c r="I594" s="2143" t="s">
        <v>15369</v>
      </c>
      <c r="J594" s="2141" t="s">
        <v>6884</v>
      </c>
      <c r="K594" s="2141"/>
      <c r="L594" s="2144">
        <v>7260000</v>
      </c>
      <c r="M594" s="2141" t="s">
        <v>251</v>
      </c>
      <c r="N594" s="2140">
        <v>45114</v>
      </c>
      <c r="O594" s="2140">
        <v>45148</v>
      </c>
      <c r="P594" s="2140">
        <v>45167</v>
      </c>
      <c r="Q594" s="2143" t="s">
        <v>8793</v>
      </c>
      <c r="R594" s="2141"/>
      <c r="S594" s="2144">
        <v>7260000</v>
      </c>
      <c r="T594" s="2144">
        <v>8349000</v>
      </c>
      <c r="U594" s="2145"/>
      <c r="V594" s="2145"/>
      <c r="W594" s="2145"/>
      <c r="X594" s="2146">
        <v>45167</v>
      </c>
      <c r="Y594" s="2260" t="s">
        <v>15705</v>
      </c>
      <c r="Z594" s="2140">
        <v>45191</v>
      </c>
      <c r="AA594" s="2140">
        <v>45195</v>
      </c>
      <c r="AB594" s="2140">
        <v>46715</v>
      </c>
      <c r="AC594" s="2799"/>
      <c r="AD594" s="2799"/>
      <c r="AE594" s="360" t="s">
        <v>15855</v>
      </c>
    </row>
    <row r="595" spans="1:31" ht="30.75" thickBot="1">
      <c r="A595" s="2117">
        <v>45096</v>
      </c>
      <c r="B595" s="2120" t="s">
        <v>15161</v>
      </c>
      <c r="C595" s="2118" t="s">
        <v>2434</v>
      </c>
      <c r="D595" s="2118" t="s">
        <v>751</v>
      </c>
      <c r="E595" s="2118" t="s">
        <v>15292</v>
      </c>
      <c r="F595" s="2119" t="s">
        <v>15165</v>
      </c>
      <c r="G595" s="2118">
        <v>5</v>
      </c>
      <c r="H595" s="2120" t="s">
        <v>15170</v>
      </c>
      <c r="I595" s="2120" t="s">
        <v>15369</v>
      </c>
      <c r="J595" s="2118" t="s">
        <v>6884</v>
      </c>
      <c r="K595" s="2118"/>
      <c r="L595" s="2121">
        <v>3632000</v>
      </c>
      <c r="M595" s="2118" t="s">
        <v>251</v>
      </c>
      <c r="N595" s="2117">
        <v>45114</v>
      </c>
      <c r="O595" s="2117">
        <v>45148</v>
      </c>
      <c r="P595" s="2117">
        <v>45167</v>
      </c>
      <c r="Q595" s="2120" t="s">
        <v>13607</v>
      </c>
      <c r="R595" s="2118"/>
      <c r="S595" s="2121">
        <v>3632000</v>
      </c>
      <c r="T595" s="2121">
        <v>4176800</v>
      </c>
      <c r="U595" s="2122"/>
      <c r="V595" s="2122"/>
      <c r="W595" s="2122"/>
      <c r="X595" s="2123">
        <v>45167</v>
      </c>
      <c r="Y595" s="2246" t="s">
        <v>15706</v>
      </c>
      <c r="Z595" s="2117">
        <v>45191</v>
      </c>
      <c r="AA595" s="2117">
        <v>45195</v>
      </c>
      <c r="AB595" s="2117">
        <v>46710</v>
      </c>
      <c r="AC595" s="2799"/>
      <c r="AD595" s="2799"/>
      <c r="AE595" s="360" t="s">
        <v>15856</v>
      </c>
    </row>
    <row r="596" spans="1:31" ht="15.75" thickTop="1">
      <c r="A596" s="365">
        <v>45099</v>
      </c>
      <c r="B596" s="3192" t="s">
        <v>15182</v>
      </c>
      <c r="C596" s="3191" t="s">
        <v>2434</v>
      </c>
      <c r="D596" s="3191" t="s">
        <v>219</v>
      </c>
      <c r="E596" s="3191" t="s">
        <v>655</v>
      </c>
      <c r="F596" s="175" t="s">
        <v>12308</v>
      </c>
      <c r="G596" s="3191"/>
      <c r="H596" s="3192"/>
      <c r="I596" s="3192" t="s">
        <v>15369</v>
      </c>
      <c r="J596" s="3191" t="s">
        <v>9602</v>
      </c>
      <c r="K596" s="3191"/>
      <c r="L596" s="364">
        <v>593640</v>
      </c>
      <c r="M596" s="3191" t="s">
        <v>112</v>
      </c>
      <c r="N596" s="365">
        <v>45103</v>
      </c>
      <c r="O596" s="365">
        <v>45114</v>
      </c>
      <c r="P596" s="365">
        <v>45124</v>
      </c>
      <c r="Q596" s="3192" t="s">
        <v>9797</v>
      </c>
      <c r="R596" s="3191"/>
      <c r="S596" s="364">
        <v>593641.80000000005</v>
      </c>
      <c r="T596" s="364">
        <v>682688.07</v>
      </c>
      <c r="U596" s="1489"/>
      <c r="V596" s="1489"/>
      <c r="W596" s="1489"/>
      <c r="X596" s="681">
        <v>45124</v>
      </c>
      <c r="Y596" s="364" t="s">
        <v>15382</v>
      </c>
      <c r="Z596" s="365">
        <v>45128</v>
      </c>
      <c r="AA596" s="365">
        <v>45128</v>
      </c>
      <c r="AB596" s="365">
        <v>45942</v>
      </c>
      <c r="AC596" s="2799"/>
      <c r="AD596" s="2799"/>
    </row>
    <row r="597" spans="1:31" ht="30">
      <c r="A597" s="2140">
        <v>45099</v>
      </c>
      <c r="B597" s="2143" t="s">
        <v>15185</v>
      </c>
      <c r="C597" s="2141" t="s">
        <v>58</v>
      </c>
      <c r="D597" s="2141" t="s">
        <v>4969</v>
      </c>
      <c r="E597" s="2141" t="s">
        <v>13951</v>
      </c>
      <c r="F597" s="2142" t="s">
        <v>5941</v>
      </c>
      <c r="G597" s="2141"/>
      <c r="H597" s="2143"/>
      <c r="I597" s="2143" t="s">
        <v>15369</v>
      </c>
      <c r="J597" s="2141" t="s">
        <v>15186</v>
      </c>
      <c r="K597" s="2141" t="s">
        <v>15187</v>
      </c>
      <c r="L597" s="2144">
        <v>518000</v>
      </c>
      <c r="M597" s="2141" t="s">
        <v>112</v>
      </c>
      <c r="N597" s="2140">
        <v>45105</v>
      </c>
      <c r="O597" s="2140">
        <v>45117</v>
      </c>
      <c r="P597" s="2140">
        <v>45128</v>
      </c>
      <c r="Q597" s="2143" t="s">
        <v>15365</v>
      </c>
      <c r="R597" s="2141"/>
      <c r="S597" s="2144">
        <v>464400</v>
      </c>
      <c r="T597" s="2144">
        <v>561924</v>
      </c>
      <c r="U597" s="2145"/>
      <c r="V597" s="2145"/>
      <c r="W597" s="2145"/>
      <c r="X597" s="2146">
        <v>45128</v>
      </c>
      <c r="Y597" s="2260" t="s">
        <v>15428</v>
      </c>
      <c r="Z597" s="2140">
        <v>45139</v>
      </c>
      <c r="AA597" s="2140">
        <v>45139</v>
      </c>
      <c r="AB597" s="2140">
        <v>45169</v>
      </c>
      <c r="AC597" s="2799"/>
      <c r="AD597" s="2799"/>
    </row>
    <row r="598" spans="1:31">
      <c r="A598" s="2140">
        <v>45100</v>
      </c>
      <c r="B598" s="2143" t="s">
        <v>15190</v>
      </c>
      <c r="C598" s="2141" t="s">
        <v>6561</v>
      </c>
      <c r="D598" s="2141" t="s">
        <v>4864</v>
      </c>
      <c r="E598" s="2141" t="s">
        <v>13951</v>
      </c>
      <c r="F598" s="2142" t="s">
        <v>15191</v>
      </c>
      <c r="G598" s="2141"/>
      <c r="H598" s="2143"/>
      <c r="I598" s="2143" t="s">
        <v>15369</v>
      </c>
      <c r="J598" s="2141" t="s">
        <v>12571</v>
      </c>
      <c r="K598" s="2141"/>
      <c r="L598" s="2144">
        <v>1800000</v>
      </c>
      <c r="M598" s="2141" t="s">
        <v>112</v>
      </c>
      <c r="N598" s="2140">
        <v>45103</v>
      </c>
      <c r="O598" s="2140">
        <v>45114</v>
      </c>
      <c r="P598" s="2140">
        <v>45121</v>
      </c>
      <c r="Q598" s="2143" t="s">
        <v>15349</v>
      </c>
      <c r="R598" s="2141"/>
      <c r="S598" s="2144">
        <v>1046826</v>
      </c>
      <c r="T598" s="2144">
        <v>1266659.46</v>
      </c>
      <c r="U598" s="2145"/>
      <c r="V598" s="2145"/>
      <c r="W598" s="2145"/>
      <c r="X598" s="2146">
        <v>45121</v>
      </c>
      <c r="Y598" s="2144" t="s">
        <v>15368</v>
      </c>
      <c r="Z598" s="2140">
        <v>45139</v>
      </c>
      <c r="AA598" s="2140">
        <v>45139</v>
      </c>
      <c r="AB598" s="2141"/>
      <c r="AC598" s="2799"/>
      <c r="AD598" s="2799"/>
    </row>
    <row r="599" spans="1:31">
      <c r="A599" s="2124">
        <v>45099</v>
      </c>
      <c r="B599" s="2127" t="s">
        <v>15192</v>
      </c>
      <c r="C599" s="2125" t="s">
        <v>13843</v>
      </c>
      <c r="D599" s="2125" t="s">
        <v>13844</v>
      </c>
      <c r="E599" s="2125" t="s">
        <v>13949</v>
      </c>
      <c r="F599" s="2126" t="s">
        <v>15194</v>
      </c>
      <c r="G599" s="2125"/>
      <c r="H599" s="2127"/>
      <c r="I599" s="2127" t="s">
        <v>242</v>
      </c>
      <c r="J599" s="2125" t="s">
        <v>15195</v>
      </c>
      <c r="K599" s="2125"/>
      <c r="L599" s="2128">
        <v>52000000</v>
      </c>
      <c r="M599" s="2125" t="s">
        <v>251</v>
      </c>
      <c r="N599" s="2124">
        <v>45139</v>
      </c>
      <c r="O599" s="2124">
        <v>45175</v>
      </c>
      <c r="P599" s="2125"/>
      <c r="Q599" s="2136" t="s">
        <v>4505</v>
      </c>
      <c r="R599" s="2275" t="s">
        <v>16315</v>
      </c>
      <c r="S599" s="2128"/>
      <c r="T599" s="2128"/>
      <c r="U599" s="2129"/>
      <c r="V599" s="2129"/>
      <c r="W599" s="2129"/>
      <c r="X599" s="2128"/>
      <c r="Y599" s="2128"/>
      <c r="Z599" s="2125"/>
      <c r="AA599" s="2124">
        <v>45236</v>
      </c>
      <c r="AB599" s="2127" t="s">
        <v>16171</v>
      </c>
      <c r="AC599" s="2799"/>
      <c r="AD599" s="2799"/>
    </row>
    <row r="600" spans="1:31" ht="15.75" thickBot="1">
      <c r="A600" s="416">
        <v>45100</v>
      </c>
      <c r="B600" s="630" t="s">
        <v>15193</v>
      </c>
      <c r="C600" s="411" t="s">
        <v>69</v>
      </c>
      <c r="D600" s="411" t="s">
        <v>15129</v>
      </c>
      <c r="E600" s="411" t="s">
        <v>13948</v>
      </c>
      <c r="F600" s="412" t="s">
        <v>15196</v>
      </c>
      <c r="G600" s="411"/>
      <c r="H600" s="630"/>
      <c r="I600" s="630" t="s">
        <v>15369</v>
      </c>
      <c r="J600" s="411" t="s">
        <v>93</v>
      </c>
      <c r="K600" s="411"/>
      <c r="L600" s="417">
        <v>59950649</v>
      </c>
      <c r="M600" s="411" t="s">
        <v>251</v>
      </c>
      <c r="N600" s="416">
        <v>45105</v>
      </c>
      <c r="O600" s="416">
        <v>45140</v>
      </c>
      <c r="P600" s="416">
        <v>45154</v>
      </c>
      <c r="Q600" s="630" t="s">
        <v>15355</v>
      </c>
      <c r="R600" s="411"/>
      <c r="S600" s="417">
        <v>59802252.899999999</v>
      </c>
      <c r="T600" s="417">
        <v>65782478.189999998</v>
      </c>
      <c r="U600" s="1480"/>
      <c r="V600" s="1480"/>
      <c r="W600" s="1480"/>
      <c r="X600" s="513">
        <v>45154</v>
      </c>
      <c r="Y600" s="417" t="s">
        <v>15601</v>
      </c>
      <c r="Z600" s="416">
        <v>45175</v>
      </c>
      <c r="AA600" s="416">
        <v>45176</v>
      </c>
      <c r="AB600" s="416">
        <v>46270</v>
      </c>
      <c r="AC600" s="2799"/>
      <c r="AD600" s="2799"/>
    </row>
    <row r="601" spans="1:31" ht="15.75" thickTop="1">
      <c r="A601" s="443">
        <v>45103</v>
      </c>
      <c r="B601" s="1431" t="s">
        <v>15202</v>
      </c>
      <c r="C601" s="439" t="s">
        <v>69</v>
      </c>
      <c r="D601" s="439" t="s">
        <v>15131</v>
      </c>
      <c r="E601" s="439" t="s">
        <v>13949</v>
      </c>
      <c r="F601" s="440" t="s">
        <v>15203</v>
      </c>
      <c r="G601" s="439">
        <v>1</v>
      </c>
      <c r="H601" s="1431" t="s">
        <v>9656</v>
      </c>
      <c r="I601" s="1431" t="s">
        <v>242</v>
      </c>
      <c r="J601" s="439" t="s">
        <v>815</v>
      </c>
      <c r="K601" s="439"/>
      <c r="L601" s="444">
        <v>795923</v>
      </c>
      <c r="M601" s="439" t="s">
        <v>251</v>
      </c>
      <c r="N601" s="443">
        <v>45120</v>
      </c>
      <c r="O601" s="443">
        <v>45182</v>
      </c>
      <c r="P601" s="439"/>
      <c r="Q601" s="753" t="s">
        <v>304</v>
      </c>
      <c r="R601" s="439"/>
      <c r="S601" s="444"/>
      <c r="T601" s="444"/>
      <c r="U601" s="1481"/>
      <c r="V601" s="1481"/>
      <c r="W601" s="1481"/>
      <c r="X601" s="444"/>
      <c r="Y601" s="444"/>
      <c r="Z601" s="439"/>
      <c r="AA601" s="443">
        <v>45230</v>
      </c>
      <c r="AB601" s="1431" t="s">
        <v>15936</v>
      </c>
      <c r="AC601" s="2799"/>
      <c r="AD601" s="2799"/>
    </row>
    <row r="602" spans="1:31">
      <c r="A602" s="2124">
        <v>45103</v>
      </c>
      <c r="B602" s="2127" t="s">
        <v>15204</v>
      </c>
      <c r="C602" s="2125" t="s">
        <v>69</v>
      </c>
      <c r="D602" s="2125" t="s">
        <v>15131</v>
      </c>
      <c r="E602" s="2125" t="s">
        <v>13949</v>
      </c>
      <c r="F602" s="2126" t="s">
        <v>15203</v>
      </c>
      <c r="G602" s="2125">
        <v>2</v>
      </c>
      <c r="H602" s="2127" t="s">
        <v>9657</v>
      </c>
      <c r="I602" s="2127" t="s">
        <v>242</v>
      </c>
      <c r="J602" s="2125" t="s">
        <v>815</v>
      </c>
      <c r="K602" s="2125"/>
      <c r="L602" s="2128">
        <v>795923</v>
      </c>
      <c r="M602" s="2125" t="s">
        <v>251</v>
      </c>
      <c r="N602" s="2124">
        <v>45120</v>
      </c>
      <c r="O602" s="2124">
        <v>45182</v>
      </c>
      <c r="P602" s="2124">
        <v>45215</v>
      </c>
      <c r="Q602" s="2136" t="s">
        <v>16112</v>
      </c>
      <c r="R602" s="2125"/>
      <c r="S602" s="2128">
        <v>795918.24</v>
      </c>
      <c r="T602" s="2128">
        <v>875510.06</v>
      </c>
      <c r="U602" s="2129"/>
      <c r="V602" s="2129"/>
      <c r="W602" s="2129"/>
      <c r="X602" s="2281">
        <v>45215</v>
      </c>
      <c r="Y602" s="2128" t="s">
        <v>16027</v>
      </c>
      <c r="Z602" s="2125"/>
      <c r="AA602" s="2124">
        <v>45230</v>
      </c>
      <c r="AB602" s="2127" t="s">
        <v>16154</v>
      </c>
      <c r="AC602" s="2799"/>
      <c r="AD602" s="2799"/>
    </row>
    <row r="603" spans="1:31">
      <c r="A603" s="2140">
        <v>45103</v>
      </c>
      <c r="B603" s="2143" t="s">
        <v>15205</v>
      </c>
      <c r="C603" s="2141" t="s">
        <v>69</v>
      </c>
      <c r="D603" s="2141" t="s">
        <v>15131</v>
      </c>
      <c r="E603" s="2141" t="s">
        <v>13949</v>
      </c>
      <c r="F603" s="2142" t="s">
        <v>15203</v>
      </c>
      <c r="G603" s="2141">
        <v>3</v>
      </c>
      <c r="H603" s="2143" t="s">
        <v>15209</v>
      </c>
      <c r="I603" s="2143" t="s">
        <v>15369</v>
      </c>
      <c r="J603" s="2141" t="s">
        <v>815</v>
      </c>
      <c r="K603" s="2141"/>
      <c r="L603" s="2144">
        <v>795923</v>
      </c>
      <c r="M603" s="2141" t="s">
        <v>251</v>
      </c>
      <c r="N603" s="2140">
        <v>45120</v>
      </c>
      <c r="O603" s="2140">
        <v>45182</v>
      </c>
      <c r="P603" s="2140">
        <v>45215</v>
      </c>
      <c r="Q603" s="2143" t="s">
        <v>8542</v>
      </c>
      <c r="R603" s="2141"/>
      <c r="S603" s="2144">
        <v>790194</v>
      </c>
      <c r="T603" s="2144">
        <v>869213.4</v>
      </c>
      <c r="U603" s="2145"/>
      <c r="V603" s="2145"/>
      <c r="W603" s="2145"/>
      <c r="X603" s="2146">
        <v>45215</v>
      </c>
      <c r="Y603" s="2144" t="s">
        <v>16028</v>
      </c>
      <c r="Z603" s="2140">
        <v>45237</v>
      </c>
      <c r="AA603" s="2140">
        <v>45238</v>
      </c>
      <c r="AB603" s="2140">
        <v>46332</v>
      </c>
      <c r="AC603" s="2799"/>
      <c r="AD603" s="2799"/>
    </row>
    <row r="604" spans="1:31">
      <c r="A604" s="2140">
        <v>45103</v>
      </c>
      <c r="B604" s="2143" t="s">
        <v>15206</v>
      </c>
      <c r="C604" s="2141" t="s">
        <v>69</v>
      </c>
      <c r="D604" s="2141" t="s">
        <v>15131</v>
      </c>
      <c r="E604" s="2141" t="s">
        <v>13949</v>
      </c>
      <c r="F604" s="2142" t="s">
        <v>15203</v>
      </c>
      <c r="G604" s="2141">
        <v>4</v>
      </c>
      <c r="H604" s="2143" t="s">
        <v>15210</v>
      </c>
      <c r="I604" s="2143" t="s">
        <v>15369</v>
      </c>
      <c r="J604" s="2141" t="s">
        <v>815</v>
      </c>
      <c r="K604" s="2141"/>
      <c r="L604" s="2144">
        <v>795923</v>
      </c>
      <c r="M604" s="2141" t="s">
        <v>251</v>
      </c>
      <c r="N604" s="2140">
        <v>45120</v>
      </c>
      <c r="O604" s="2140">
        <v>45182</v>
      </c>
      <c r="P604" s="2140">
        <v>45215</v>
      </c>
      <c r="Q604" s="2143" t="s">
        <v>8542</v>
      </c>
      <c r="R604" s="2141"/>
      <c r="S604" s="2144">
        <v>736036.08</v>
      </c>
      <c r="T604" s="2144">
        <v>809639.69</v>
      </c>
      <c r="U604" s="2145"/>
      <c r="V604" s="2145"/>
      <c r="W604" s="2145"/>
      <c r="X604" s="2146">
        <v>45215</v>
      </c>
      <c r="Y604" s="2144" t="s">
        <v>16029</v>
      </c>
      <c r="Z604" s="2140">
        <v>45237</v>
      </c>
      <c r="AA604" s="2140">
        <v>45238</v>
      </c>
      <c r="AB604" s="2140">
        <v>46332</v>
      </c>
      <c r="AC604" s="2799"/>
      <c r="AD604" s="2799"/>
    </row>
    <row r="605" spans="1:31">
      <c r="A605" s="2124">
        <v>45103</v>
      </c>
      <c r="B605" s="2127" t="s">
        <v>15207</v>
      </c>
      <c r="C605" s="2125" t="s">
        <v>69</v>
      </c>
      <c r="D605" s="2125" t="s">
        <v>15131</v>
      </c>
      <c r="E605" s="2125" t="s">
        <v>13949</v>
      </c>
      <c r="F605" s="2126" t="s">
        <v>15203</v>
      </c>
      <c r="G605" s="2125">
        <v>5</v>
      </c>
      <c r="H605" s="2127" t="s">
        <v>15211</v>
      </c>
      <c r="I605" s="2127" t="s">
        <v>242</v>
      </c>
      <c r="J605" s="2125" t="s">
        <v>815</v>
      </c>
      <c r="K605" s="2125"/>
      <c r="L605" s="2128">
        <v>795923</v>
      </c>
      <c r="M605" s="2125" t="s">
        <v>251</v>
      </c>
      <c r="N605" s="2124">
        <v>45120</v>
      </c>
      <c r="O605" s="2124">
        <v>45182</v>
      </c>
      <c r="P605" s="2125"/>
      <c r="Q605" s="2136" t="s">
        <v>304</v>
      </c>
      <c r="R605" s="2125"/>
      <c r="S605" s="2128"/>
      <c r="T605" s="2128"/>
      <c r="U605" s="2129"/>
      <c r="V605" s="2129"/>
      <c r="W605" s="2129"/>
      <c r="X605" s="2128"/>
      <c r="Y605" s="2128"/>
      <c r="Z605" s="2125"/>
      <c r="AA605" s="2124">
        <v>45230</v>
      </c>
      <c r="AB605" s="2127" t="s">
        <v>15936</v>
      </c>
      <c r="AC605" s="2799"/>
      <c r="AD605" s="2799"/>
    </row>
    <row r="606" spans="1:31" ht="15.75" thickBot="1">
      <c r="A606" s="2130">
        <v>45103</v>
      </c>
      <c r="B606" s="2133" t="s">
        <v>15208</v>
      </c>
      <c r="C606" s="2131" t="s">
        <v>69</v>
      </c>
      <c r="D606" s="2131" t="s">
        <v>15131</v>
      </c>
      <c r="E606" s="2131" t="s">
        <v>13949</v>
      </c>
      <c r="F606" s="2132" t="s">
        <v>15203</v>
      </c>
      <c r="G606" s="2131">
        <v>6</v>
      </c>
      <c r="H606" s="2133" t="s">
        <v>15212</v>
      </c>
      <c r="I606" s="2133" t="s">
        <v>242</v>
      </c>
      <c r="J606" s="2131" t="s">
        <v>815</v>
      </c>
      <c r="K606" s="2131"/>
      <c r="L606" s="2134">
        <v>309307</v>
      </c>
      <c r="M606" s="2131" t="s">
        <v>251</v>
      </c>
      <c r="N606" s="2130">
        <v>45120</v>
      </c>
      <c r="O606" s="2130">
        <v>45182</v>
      </c>
      <c r="P606" s="2131"/>
      <c r="Q606" s="2137" t="s">
        <v>304</v>
      </c>
      <c r="R606" s="2131"/>
      <c r="S606" s="2134"/>
      <c r="T606" s="2134"/>
      <c r="U606" s="2135"/>
      <c r="V606" s="2135"/>
      <c r="W606" s="2135"/>
      <c r="X606" s="2134"/>
      <c r="Y606" s="2134"/>
      <c r="Z606" s="2131"/>
      <c r="AA606" s="2130">
        <v>45230</v>
      </c>
      <c r="AB606" s="2133" t="s">
        <v>15936</v>
      </c>
      <c r="AC606" s="2799"/>
      <c r="AD606" s="2799"/>
    </row>
    <row r="607" spans="1:31" ht="30.75" thickTop="1">
      <c r="A607" s="365">
        <v>45104</v>
      </c>
      <c r="B607" s="3192" t="s">
        <v>15214</v>
      </c>
      <c r="C607" s="3191" t="s">
        <v>58</v>
      </c>
      <c r="D607" s="3191" t="s">
        <v>4969</v>
      </c>
      <c r="E607" s="3191" t="s">
        <v>13951</v>
      </c>
      <c r="F607" s="175" t="s">
        <v>15215</v>
      </c>
      <c r="G607" s="3191"/>
      <c r="H607" s="3192"/>
      <c r="I607" s="3192" t="s">
        <v>15369</v>
      </c>
      <c r="J607" s="3191" t="s">
        <v>1426</v>
      </c>
      <c r="K607" s="3191" t="s">
        <v>15216</v>
      </c>
      <c r="L607" s="364">
        <v>501584</v>
      </c>
      <c r="M607" s="3191" t="s">
        <v>112</v>
      </c>
      <c r="N607" s="365">
        <v>45105</v>
      </c>
      <c r="O607" s="365">
        <v>45117</v>
      </c>
      <c r="P607" s="365">
        <v>45128</v>
      </c>
      <c r="Q607" s="3192" t="s">
        <v>15371</v>
      </c>
      <c r="R607" s="3191"/>
      <c r="S607" s="364">
        <v>419400</v>
      </c>
      <c r="T607" s="364">
        <v>507474</v>
      </c>
      <c r="U607" s="1473"/>
      <c r="V607" s="1473"/>
      <c r="W607" s="1473"/>
      <c r="X607" s="681">
        <v>45128</v>
      </c>
      <c r="Y607" s="1417" t="s">
        <v>15427</v>
      </c>
      <c r="Z607" s="365">
        <v>45140</v>
      </c>
      <c r="AA607" s="365">
        <v>45140</v>
      </c>
      <c r="AB607" s="365">
        <v>45196</v>
      </c>
      <c r="AC607" s="2799"/>
      <c r="AD607" s="2799"/>
    </row>
    <row r="608" spans="1:31">
      <c r="A608" s="2124">
        <v>45104</v>
      </c>
      <c r="B608" s="2127" t="s">
        <v>15217</v>
      </c>
      <c r="C608" s="2125" t="s">
        <v>58</v>
      </c>
      <c r="D608" s="2125" t="s">
        <v>4969</v>
      </c>
      <c r="E608" s="2125" t="s">
        <v>13951</v>
      </c>
      <c r="F608" s="2126" t="s">
        <v>15218</v>
      </c>
      <c r="G608" s="2125"/>
      <c r="H608" s="2127"/>
      <c r="I608" s="2127" t="s">
        <v>242</v>
      </c>
      <c r="J608" s="2125" t="s">
        <v>5027</v>
      </c>
      <c r="K608" s="2125" t="s">
        <v>15219</v>
      </c>
      <c r="L608" s="2128">
        <v>350000</v>
      </c>
      <c r="M608" s="2125" t="s">
        <v>112</v>
      </c>
      <c r="N608" s="2124">
        <v>45105</v>
      </c>
      <c r="O608" s="2124">
        <v>45117</v>
      </c>
      <c r="P608" s="2125"/>
      <c r="Q608" s="2136" t="s">
        <v>4817</v>
      </c>
      <c r="R608" s="2927" t="s">
        <v>15430</v>
      </c>
      <c r="S608" s="2128"/>
      <c r="T608" s="2128"/>
      <c r="U608" s="2129"/>
      <c r="V608" s="2129"/>
      <c r="W608" s="2129"/>
      <c r="X608" s="2128"/>
      <c r="Y608" s="2128"/>
      <c r="Z608" s="2125"/>
      <c r="AA608" s="2124">
        <v>45132</v>
      </c>
      <c r="AB608" s="2125"/>
      <c r="AC608" s="2799"/>
      <c r="AD608" s="2799"/>
    </row>
    <row r="609" spans="1:31" ht="30">
      <c r="A609" s="2140">
        <v>45104</v>
      </c>
      <c r="B609" s="2143" t="s">
        <v>15225</v>
      </c>
      <c r="C609" s="2141" t="s">
        <v>58</v>
      </c>
      <c r="D609" s="2141" t="s">
        <v>4969</v>
      </c>
      <c r="E609" s="2141" t="s">
        <v>655</v>
      </c>
      <c r="F609" s="2142" t="s">
        <v>15228</v>
      </c>
      <c r="G609" s="2141"/>
      <c r="H609" s="2143"/>
      <c r="I609" s="2143" t="s">
        <v>15369</v>
      </c>
      <c r="J609" s="2141" t="s">
        <v>14263</v>
      </c>
      <c r="K609" s="2141" t="s">
        <v>15229</v>
      </c>
      <c r="L609" s="2144">
        <v>235200</v>
      </c>
      <c r="M609" s="2141" t="s">
        <v>112</v>
      </c>
      <c r="N609" s="2140">
        <v>45105</v>
      </c>
      <c r="O609" s="2140">
        <v>45120</v>
      </c>
      <c r="P609" s="2140">
        <v>45138</v>
      </c>
      <c r="Q609" s="2143" t="s">
        <v>15465</v>
      </c>
      <c r="R609" s="2141"/>
      <c r="S609" s="2144">
        <v>235200</v>
      </c>
      <c r="T609" s="2144">
        <v>284592</v>
      </c>
      <c r="U609" s="2145"/>
      <c r="V609" s="2145"/>
      <c r="W609" s="2145"/>
      <c r="X609" s="2146">
        <v>45138</v>
      </c>
      <c r="Y609" s="2260" t="s">
        <v>15466</v>
      </c>
      <c r="Z609" s="2140">
        <v>45153</v>
      </c>
      <c r="AA609" s="2140">
        <v>45154</v>
      </c>
      <c r="AB609" s="2140">
        <v>45243</v>
      </c>
      <c r="AC609" s="2799"/>
      <c r="AD609" s="2799"/>
    </row>
    <row r="610" spans="1:31" ht="30">
      <c r="A610" s="2140">
        <v>45104</v>
      </c>
      <c r="B610" s="2143" t="s">
        <v>15226</v>
      </c>
      <c r="C610" s="2141" t="s">
        <v>58</v>
      </c>
      <c r="D610" s="2141" t="s">
        <v>4969</v>
      </c>
      <c r="E610" s="2141" t="s">
        <v>655</v>
      </c>
      <c r="F610" s="2142" t="s">
        <v>9375</v>
      </c>
      <c r="G610" s="2141"/>
      <c r="H610" s="2143"/>
      <c r="I610" s="2143" t="s">
        <v>15369</v>
      </c>
      <c r="J610" s="2141" t="s">
        <v>1950</v>
      </c>
      <c r="K610" s="2141" t="s">
        <v>15230</v>
      </c>
      <c r="L610" s="2144">
        <v>142000</v>
      </c>
      <c r="M610" s="2141" t="s">
        <v>112</v>
      </c>
      <c r="N610" s="2140">
        <v>45105</v>
      </c>
      <c r="O610" s="2140">
        <v>45121</v>
      </c>
      <c r="P610" s="2140">
        <v>45153</v>
      </c>
      <c r="Q610" s="2143" t="s">
        <v>5073</v>
      </c>
      <c r="R610" s="2141"/>
      <c r="S610" s="2144">
        <v>87302</v>
      </c>
      <c r="T610" s="2144">
        <v>105635.42</v>
      </c>
      <c r="U610" s="2145"/>
      <c r="V610" s="2145"/>
      <c r="W610" s="2145"/>
      <c r="X610" s="2146">
        <v>45153</v>
      </c>
      <c r="Y610" s="2260" t="s">
        <v>15664</v>
      </c>
      <c r="Z610" s="2140">
        <v>45160</v>
      </c>
      <c r="AA610" s="2140">
        <v>45162</v>
      </c>
      <c r="AB610" s="2141"/>
      <c r="AC610" s="2799"/>
      <c r="AD610" s="2799"/>
    </row>
    <row r="611" spans="1:31" ht="30.75" thickBot="1">
      <c r="A611" s="416">
        <v>45104</v>
      </c>
      <c r="B611" s="630" t="s">
        <v>15227</v>
      </c>
      <c r="C611" s="411" t="s">
        <v>58</v>
      </c>
      <c r="D611" s="411" t="s">
        <v>4969</v>
      </c>
      <c r="E611" s="411" t="s">
        <v>655</v>
      </c>
      <c r="F611" s="412" t="s">
        <v>15231</v>
      </c>
      <c r="G611" s="411"/>
      <c r="H611" s="630"/>
      <c r="I611" s="630" t="s">
        <v>15369</v>
      </c>
      <c r="J611" s="411" t="s">
        <v>845</v>
      </c>
      <c r="K611" s="411" t="s">
        <v>15232</v>
      </c>
      <c r="L611" s="417">
        <v>792000</v>
      </c>
      <c r="M611" s="411" t="s">
        <v>112</v>
      </c>
      <c r="N611" s="416">
        <v>45107</v>
      </c>
      <c r="O611" s="416">
        <v>45121</v>
      </c>
      <c r="P611" s="416">
        <v>45132</v>
      </c>
      <c r="Q611" s="630" t="s">
        <v>11876</v>
      </c>
      <c r="R611" s="411"/>
      <c r="S611" s="417">
        <v>772500</v>
      </c>
      <c r="T611" s="417">
        <v>934725</v>
      </c>
      <c r="U611" s="1480"/>
      <c r="V611" s="1480"/>
      <c r="W611" s="1480"/>
      <c r="X611" s="513">
        <v>45132</v>
      </c>
      <c r="Y611" s="1553" t="s">
        <v>15429</v>
      </c>
      <c r="Z611" s="416">
        <v>45142</v>
      </c>
      <c r="AA611" s="416">
        <v>45142</v>
      </c>
      <c r="AB611" s="411"/>
      <c r="AC611" s="2799"/>
      <c r="AD611" s="2799"/>
    </row>
    <row r="612" spans="1:31" ht="15.75" thickTop="1">
      <c r="A612" s="474">
        <v>45104</v>
      </c>
      <c r="B612" s="1420" t="s">
        <v>15233</v>
      </c>
      <c r="C612" s="453" t="s">
        <v>69</v>
      </c>
      <c r="D612" s="453" t="s">
        <v>15129</v>
      </c>
      <c r="E612" s="453" t="s">
        <v>13948</v>
      </c>
      <c r="F612" s="473" t="s">
        <v>15235</v>
      </c>
      <c r="G612" s="453">
        <v>1</v>
      </c>
      <c r="H612" s="1420" t="s">
        <v>15236</v>
      </c>
      <c r="I612" s="1420" t="s">
        <v>15369</v>
      </c>
      <c r="J612" s="453" t="s">
        <v>15237</v>
      </c>
      <c r="K612" s="453"/>
      <c r="L612" s="457">
        <v>121202</v>
      </c>
      <c r="M612" s="453" t="s">
        <v>251</v>
      </c>
      <c r="N612" s="474">
        <v>45106</v>
      </c>
      <c r="O612" s="474">
        <v>45198</v>
      </c>
      <c r="P612" s="474">
        <v>45216</v>
      </c>
      <c r="Q612" s="1420" t="s">
        <v>6925</v>
      </c>
      <c r="R612" s="453"/>
      <c r="S612" s="457">
        <v>110400</v>
      </c>
      <c r="T612" s="457">
        <v>121440</v>
      </c>
      <c r="U612" s="1474"/>
      <c r="V612" s="1474"/>
      <c r="W612" s="1474"/>
      <c r="X612" s="570">
        <v>45216</v>
      </c>
      <c r="Y612" s="457" t="s">
        <v>16035</v>
      </c>
      <c r="Z612" s="474">
        <v>45264</v>
      </c>
      <c r="AA612" s="474">
        <v>45265</v>
      </c>
      <c r="AB612" s="474">
        <v>46477</v>
      </c>
      <c r="AC612" s="2799"/>
      <c r="AD612" s="2799"/>
      <c r="AE612" s="360" t="s">
        <v>16347</v>
      </c>
    </row>
    <row r="613" spans="1:31" ht="15.75" thickBot="1">
      <c r="A613" s="2117">
        <v>45104</v>
      </c>
      <c r="B613" s="2120" t="s">
        <v>15234</v>
      </c>
      <c r="C613" s="2118" t="s">
        <v>69</v>
      </c>
      <c r="D613" s="2118" t="s">
        <v>15129</v>
      </c>
      <c r="E613" s="2118" t="s">
        <v>13948</v>
      </c>
      <c r="F613" s="2119" t="s">
        <v>15235</v>
      </c>
      <c r="G613" s="2118">
        <v>2</v>
      </c>
      <c r="H613" s="2120" t="s">
        <v>15238</v>
      </c>
      <c r="I613" s="2120" t="s">
        <v>15369</v>
      </c>
      <c r="J613" s="2118" t="s">
        <v>15237</v>
      </c>
      <c r="K613" s="2118"/>
      <c r="L613" s="2121">
        <v>22000000</v>
      </c>
      <c r="M613" s="2118" t="s">
        <v>251</v>
      </c>
      <c r="N613" s="2117">
        <v>45106</v>
      </c>
      <c r="O613" s="2117">
        <v>45198</v>
      </c>
      <c r="P613" s="2117">
        <v>45216</v>
      </c>
      <c r="Q613" s="2120" t="s">
        <v>7130</v>
      </c>
      <c r="R613" s="2118"/>
      <c r="S613" s="2121">
        <v>17917444.5</v>
      </c>
      <c r="T613" s="2121">
        <v>19709188.949999999</v>
      </c>
      <c r="U613" s="2122"/>
      <c r="V613" s="2122"/>
      <c r="W613" s="2122"/>
      <c r="X613" s="2123">
        <v>45216</v>
      </c>
      <c r="Y613" s="2121" t="s">
        <v>16036</v>
      </c>
      <c r="Z613" s="2117">
        <v>45264</v>
      </c>
      <c r="AA613" s="2117">
        <v>45265</v>
      </c>
      <c r="AB613" s="2117">
        <v>46477</v>
      </c>
      <c r="AC613" s="2799"/>
      <c r="AD613" s="2799"/>
    </row>
    <row r="614" spans="1:31" ht="16.5" thickTop="1" thickBot="1">
      <c r="A614" s="498">
        <v>45105</v>
      </c>
      <c r="B614" s="669" t="s">
        <v>15269</v>
      </c>
      <c r="C614" s="232" t="s">
        <v>6561</v>
      </c>
      <c r="D614" s="232" t="s">
        <v>4864</v>
      </c>
      <c r="E614" s="232" t="s">
        <v>13951</v>
      </c>
      <c r="F614" s="274" t="s">
        <v>15270</v>
      </c>
      <c r="G614" s="232"/>
      <c r="H614" s="669"/>
      <c r="I614" s="669" t="s">
        <v>15369</v>
      </c>
      <c r="J614" s="232" t="s">
        <v>12571</v>
      </c>
      <c r="K614" s="232"/>
      <c r="L614" s="499">
        <v>500000</v>
      </c>
      <c r="M614" s="232" t="s">
        <v>112</v>
      </c>
      <c r="N614" s="498">
        <v>45111</v>
      </c>
      <c r="O614" s="498">
        <v>45126</v>
      </c>
      <c r="P614" s="498">
        <v>45134</v>
      </c>
      <c r="Q614" s="669" t="s">
        <v>15451</v>
      </c>
      <c r="R614" s="232"/>
      <c r="S614" s="499">
        <v>404786</v>
      </c>
      <c r="T614" s="499">
        <v>489791.06</v>
      </c>
      <c r="U614" s="1545"/>
      <c r="V614" s="1545"/>
      <c r="W614" s="1545"/>
      <c r="X614" s="682">
        <v>45134</v>
      </c>
      <c r="Y614" s="499" t="s">
        <v>15450</v>
      </c>
      <c r="Z614" s="498">
        <v>45145</v>
      </c>
      <c r="AA614" s="498">
        <v>45145</v>
      </c>
      <c r="AB614" s="232"/>
      <c r="AC614" s="2799"/>
      <c r="AD614" s="2799"/>
    </row>
    <row r="615" spans="1:31" ht="30.75" thickTop="1">
      <c r="A615" s="474">
        <v>45105</v>
      </c>
      <c r="B615" s="1420" t="s">
        <v>15272</v>
      </c>
      <c r="C615" s="453" t="s">
        <v>58</v>
      </c>
      <c r="D615" s="453" t="s">
        <v>4969</v>
      </c>
      <c r="E615" s="453" t="s">
        <v>13950</v>
      </c>
      <c r="F615" s="473" t="s">
        <v>15271</v>
      </c>
      <c r="G615" s="453">
        <v>1</v>
      </c>
      <c r="H615" s="1420" t="s">
        <v>15940</v>
      </c>
      <c r="I615" s="1420" t="s">
        <v>15369</v>
      </c>
      <c r="J615" s="453" t="s">
        <v>86</v>
      </c>
      <c r="K615" s="453" t="s">
        <v>15275</v>
      </c>
      <c r="L615" s="457">
        <v>6110000</v>
      </c>
      <c r="M615" s="453" t="s">
        <v>251</v>
      </c>
      <c r="N615" s="474">
        <v>45120</v>
      </c>
      <c r="O615" s="474">
        <v>45153</v>
      </c>
      <c r="P615" s="474">
        <v>45173</v>
      </c>
      <c r="Q615" s="1420" t="s">
        <v>15371</v>
      </c>
      <c r="R615" s="453"/>
      <c r="S615" s="457">
        <v>5983720</v>
      </c>
      <c r="T615" s="457">
        <v>7240301.2000000002</v>
      </c>
      <c r="U615" s="1474"/>
      <c r="V615" s="1474"/>
      <c r="W615" s="1474"/>
      <c r="X615" s="570">
        <v>45173</v>
      </c>
      <c r="Y615" s="1387" t="s">
        <v>15768</v>
      </c>
      <c r="Z615" s="474">
        <v>45203</v>
      </c>
      <c r="AA615" s="474">
        <v>45205</v>
      </c>
      <c r="AB615" s="474">
        <v>45343</v>
      </c>
      <c r="AC615" s="2799"/>
      <c r="AD615" s="2799"/>
    </row>
    <row r="616" spans="1:31" ht="30">
      <c r="A616" s="2140">
        <v>45105</v>
      </c>
      <c r="B616" s="2143" t="s">
        <v>15273</v>
      </c>
      <c r="C616" s="2141" t="s">
        <v>58</v>
      </c>
      <c r="D616" s="2141" t="s">
        <v>4969</v>
      </c>
      <c r="E616" s="2141" t="s">
        <v>13950</v>
      </c>
      <c r="F616" s="2142" t="s">
        <v>15271</v>
      </c>
      <c r="G616" s="2141">
        <v>2</v>
      </c>
      <c r="H616" s="2143" t="s">
        <v>15941</v>
      </c>
      <c r="I616" s="2143" t="s">
        <v>15369</v>
      </c>
      <c r="J616" s="2141" t="s">
        <v>86</v>
      </c>
      <c r="K616" s="2141" t="s">
        <v>15276</v>
      </c>
      <c r="L616" s="2144">
        <v>2590000</v>
      </c>
      <c r="M616" s="2141" t="s">
        <v>251</v>
      </c>
      <c r="N616" s="2140">
        <v>45120</v>
      </c>
      <c r="O616" s="2140">
        <v>45153</v>
      </c>
      <c r="P616" s="2140">
        <v>45173</v>
      </c>
      <c r="Q616" s="2143" t="s">
        <v>15371</v>
      </c>
      <c r="R616" s="2141"/>
      <c r="S616" s="2144">
        <v>2410720</v>
      </c>
      <c r="T616" s="2144">
        <v>2916971.2</v>
      </c>
      <c r="U616" s="2145"/>
      <c r="V616" s="2145"/>
      <c r="W616" s="2145"/>
      <c r="X616" s="2146">
        <v>45173</v>
      </c>
      <c r="Y616" s="2260" t="s">
        <v>15769</v>
      </c>
      <c r="Z616" s="2140">
        <v>45203</v>
      </c>
      <c r="AA616" s="2140">
        <v>45205</v>
      </c>
      <c r="AB616" s="2140">
        <v>45343</v>
      </c>
      <c r="AC616" s="2799"/>
      <c r="AD616" s="2799"/>
    </row>
    <row r="617" spans="1:31" ht="30.75" thickBot="1">
      <c r="A617" s="2117">
        <v>45105</v>
      </c>
      <c r="B617" s="2120" t="s">
        <v>15274</v>
      </c>
      <c r="C617" s="2118" t="s">
        <v>58</v>
      </c>
      <c r="D617" s="2118" t="s">
        <v>4969</v>
      </c>
      <c r="E617" s="2118" t="s">
        <v>13950</v>
      </c>
      <c r="F617" s="2119" t="s">
        <v>15271</v>
      </c>
      <c r="G617" s="2118">
        <v>3</v>
      </c>
      <c r="H617" s="2120" t="s">
        <v>15942</v>
      </c>
      <c r="I617" s="2120" t="s">
        <v>15369</v>
      </c>
      <c r="J617" s="2118" t="s">
        <v>86</v>
      </c>
      <c r="K617" s="2118" t="s">
        <v>13985</v>
      </c>
      <c r="L617" s="2121">
        <v>712790</v>
      </c>
      <c r="M617" s="2118" t="s">
        <v>251</v>
      </c>
      <c r="N617" s="2117">
        <v>45120</v>
      </c>
      <c r="O617" s="2117">
        <v>45153</v>
      </c>
      <c r="P617" s="2117">
        <v>45173</v>
      </c>
      <c r="Q617" s="2120" t="s">
        <v>9134</v>
      </c>
      <c r="R617" s="2118"/>
      <c r="S617" s="2121">
        <v>598809.59999999998</v>
      </c>
      <c r="T617" s="2121">
        <v>724559.62</v>
      </c>
      <c r="U617" s="2122"/>
      <c r="V617" s="2122"/>
      <c r="W617" s="2122"/>
      <c r="X617" s="2123">
        <v>45173</v>
      </c>
      <c r="Y617" s="2246" t="s">
        <v>15770</v>
      </c>
      <c r="Z617" s="2117">
        <v>45203</v>
      </c>
      <c r="AA617" s="2117">
        <v>45205</v>
      </c>
      <c r="AB617" s="2117">
        <v>45273</v>
      </c>
      <c r="AC617" s="2799"/>
      <c r="AD617" s="2799"/>
    </row>
    <row r="618" spans="1:31" ht="30.75" thickTop="1">
      <c r="A618" s="474">
        <v>45106</v>
      </c>
      <c r="B618" s="1420" t="s">
        <v>15284</v>
      </c>
      <c r="C618" s="453" t="s">
        <v>2434</v>
      </c>
      <c r="D618" s="453" t="s">
        <v>3204</v>
      </c>
      <c r="E618" s="453" t="s">
        <v>15292</v>
      </c>
      <c r="F618" s="473" t="s">
        <v>15293</v>
      </c>
      <c r="G618" s="453">
        <v>1</v>
      </c>
      <c r="H618" s="2043" t="s">
        <v>3798</v>
      </c>
      <c r="I618" s="2043" t="s">
        <v>15369</v>
      </c>
      <c r="J618" s="453" t="s">
        <v>2844</v>
      </c>
      <c r="K618" s="453"/>
      <c r="L618" s="457">
        <v>600000</v>
      </c>
      <c r="M618" s="453" t="s">
        <v>251</v>
      </c>
      <c r="N618" s="474">
        <v>45114</v>
      </c>
      <c r="O618" s="474">
        <v>45149</v>
      </c>
      <c r="P618" s="474">
        <v>45167</v>
      </c>
      <c r="Q618" s="1420" t="s">
        <v>2776</v>
      </c>
      <c r="R618" s="453"/>
      <c r="S618" s="457">
        <v>600000</v>
      </c>
      <c r="T618" s="457">
        <v>690000</v>
      </c>
      <c r="U618" s="1474"/>
      <c r="V618" s="1474"/>
      <c r="W618" s="1474"/>
      <c r="X618" s="570">
        <v>45167</v>
      </c>
      <c r="Y618" s="1387" t="s">
        <v>15707</v>
      </c>
      <c r="Z618" s="474">
        <v>45223</v>
      </c>
      <c r="AA618" s="474">
        <v>45224</v>
      </c>
      <c r="AB618" s="474">
        <v>46701</v>
      </c>
      <c r="AC618" s="2799"/>
      <c r="AD618" s="2799"/>
      <c r="AE618" s="360" t="s">
        <v>16079</v>
      </c>
    </row>
    <row r="619" spans="1:31" ht="30">
      <c r="A619" s="2124">
        <v>45106</v>
      </c>
      <c r="B619" s="654" t="s">
        <v>15285</v>
      </c>
      <c r="C619" s="2125" t="s">
        <v>2434</v>
      </c>
      <c r="D619" s="2125" t="s">
        <v>3204</v>
      </c>
      <c r="E619" s="2125" t="s">
        <v>15292</v>
      </c>
      <c r="F619" s="2126" t="s">
        <v>15293</v>
      </c>
      <c r="G619" s="2125">
        <v>2</v>
      </c>
      <c r="H619" s="2697" t="s">
        <v>3799</v>
      </c>
      <c r="I619" s="2697" t="s">
        <v>242</v>
      </c>
      <c r="J619" s="2125" t="s">
        <v>2844</v>
      </c>
      <c r="K619" s="2125"/>
      <c r="L619" s="2128">
        <v>992860</v>
      </c>
      <c r="M619" s="2125" t="s">
        <v>251</v>
      </c>
      <c r="N619" s="2124">
        <v>45114</v>
      </c>
      <c r="O619" s="2124">
        <v>45149</v>
      </c>
      <c r="P619" s="2125"/>
      <c r="Q619" s="2136" t="s">
        <v>304</v>
      </c>
      <c r="R619" s="2275" t="s">
        <v>15653</v>
      </c>
      <c r="S619" s="2128"/>
      <c r="T619" s="2128"/>
      <c r="U619" s="2094"/>
      <c r="V619" s="2094"/>
      <c r="W619" s="2094"/>
      <c r="X619" s="2128"/>
      <c r="Y619" s="2128"/>
      <c r="Z619" s="2125"/>
      <c r="AA619" s="2124">
        <v>45170</v>
      </c>
      <c r="AB619" s="2127" t="s">
        <v>15589</v>
      </c>
      <c r="AC619" s="2799"/>
      <c r="AD619" s="2799"/>
    </row>
    <row r="620" spans="1:31" ht="30">
      <c r="A620" s="2140">
        <v>45106</v>
      </c>
      <c r="B620" s="3192" t="s">
        <v>15286</v>
      </c>
      <c r="C620" s="2141" t="s">
        <v>2434</v>
      </c>
      <c r="D620" s="2141" t="s">
        <v>3204</v>
      </c>
      <c r="E620" s="2141" t="s">
        <v>15292</v>
      </c>
      <c r="F620" s="2142" t="s">
        <v>15293</v>
      </c>
      <c r="G620" s="2141">
        <v>3</v>
      </c>
      <c r="H620" s="2261" t="s">
        <v>3800</v>
      </c>
      <c r="I620" s="2261" t="s">
        <v>15369</v>
      </c>
      <c r="J620" s="2141" t="s">
        <v>2844</v>
      </c>
      <c r="K620" s="2141"/>
      <c r="L620" s="2144">
        <v>348000</v>
      </c>
      <c r="M620" s="2141" t="s">
        <v>251</v>
      </c>
      <c r="N620" s="2140">
        <v>45114</v>
      </c>
      <c r="O620" s="2140">
        <v>45149</v>
      </c>
      <c r="P620" s="2140">
        <v>45167</v>
      </c>
      <c r="Q620" s="2143" t="s">
        <v>2776</v>
      </c>
      <c r="R620" s="2141"/>
      <c r="S620" s="2144">
        <v>348000</v>
      </c>
      <c r="T620" s="2144">
        <v>400200</v>
      </c>
      <c r="U620" s="2145"/>
      <c r="V620" s="2145"/>
      <c r="W620" s="2145"/>
      <c r="X620" s="2146">
        <v>45167</v>
      </c>
      <c r="Y620" s="2260" t="s">
        <v>15708</v>
      </c>
      <c r="Z620" s="2140">
        <v>45223</v>
      </c>
      <c r="AA620" s="2140">
        <v>45224</v>
      </c>
      <c r="AB620" s="2140">
        <v>46701</v>
      </c>
      <c r="AC620" s="2799"/>
      <c r="AD620" s="2799"/>
      <c r="AE620" s="360" t="s">
        <v>16079</v>
      </c>
    </row>
    <row r="621" spans="1:31" ht="30">
      <c r="A621" s="2140">
        <v>45106</v>
      </c>
      <c r="B621" s="3192" t="s">
        <v>15287</v>
      </c>
      <c r="C621" s="2141" t="s">
        <v>2434</v>
      </c>
      <c r="D621" s="2141" t="s">
        <v>3204</v>
      </c>
      <c r="E621" s="2141" t="s">
        <v>15292</v>
      </c>
      <c r="F621" s="2142" t="s">
        <v>15293</v>
      </c>
      <c r="G621" s="3191">
        <v>4</v>
      </c>
      <c r="H621" s="2261" t="s">
        <v>3802</v>
      </c>
      <c r="I621" s="2261" t="s">
        <v>15369</v>
      </c>
      <c r="J621" s="2141" t="s">
        <v>2844</v>
      </c>
      <c r="K621" s="2141"/>
      <c r="L621" s="2144">
        <v>30900000</v>
      </c>
      <c r="M621" s="2141" t="s">
        <v>251</v>
      </c>
      <c r="N621" s="2140">
        <v>45114</v>
      </c>
      <c r="O621" s="2140">
        <v>45149</v>
      </c>
      <c r="P621" s="2140">
        <v>45167</v>
      </c>
      <c r="Q621" s="2143" t="s">
        <v>15580</v>
      </c>
      <c r="R621" s="2141"/>
      <c r="S621" s="2144">
        <v>30900000</v>
      </c>
      <c r="T621" s="2144">
        <v>35535000</v>
      </c>
      <c r="U621" s="2145"/>
      <c r="V621" s="2145"/>
      <c r="W621" s="2145"/>
      <c r="X621" s="2146">
        <v>45167</v>
      </c>
      <c r="Y621" s="2260" t="s">
        <v>15709</v>
      </c>
      <c r="Z621" s="2140">
        <v>45217</v>
      </c>
      <c r="AA621" s="2140">
        <v>45224</v>
      </c>
      <c r="AB621" s="2140">
        <v>46701</v>
      </c>
      <c r="AC621" s="2799"/>
      <c r="AD621" s="2799"/>
      <c r="AE621" s="360" t="s">
        <v>16079</v>
      </c>
    </row>
    <row r="622" spans="1:31" ht="30">
      <c r="A622" s="2140">
        <v>45106</v>
      </c>
      <c r="B622" s="3192" t="s">
        <v>15288</v>
      </c>
      <c r="C622" s="2141" t="s">
        <v>2434</v>
      </c>
      <c r="D622" s="2141" t="s">
        <v>3204</v>
      </c>
      <c r="E622" s="2141" t="s">
        <v>15292</v>
      </c>
      <c r="F622" s="2142" t="s">
        <v>15293</v>
      </c>
      <c r="G622" s="2141">
        <v>5</v>
      </c>
      <c r="H622" s="2261" t="s">
        <v>3803</v>
      </c>
      <c r="I622" s="2261" t="s">
        <v>15369</v>
      </c>
      <c r="J622" s="2141" t="s">
        <v>2844</v>
      </c>
      <c r="K622" s="2141"/>
      <c r="L622" s="2144">
        <v>1904000</v>
      </c>
      <c r="M622" s="2141" t="s">
        <v>251</v>
      </c>
      <c r="N622" s="2140">
        <v>45114</v>
      </c>
      <c r="O622" s="2140">
        <v>45149</v>
      </c>
      <c r="P622" s="2140">
        <v>45167</v>
      </c>
      <c r="Q622" s="2143" t="s">
        <v>2776</v>
      </c>
      <c r="R622" s="2141"/>
      <c r="S622" s="2144">
        <v>1904000</v>
      </c>
      <c r="T622" s="2144">
        <v>2189600</v>
      </c>
      <c r="U622" s="2145"/>
      <c r="V622" s="2145"/>
      <c r="W622" s="2145"/>
      <c r="X622" s="2146">
        <v>45167</v>
      </c>
      <c r="Y622" s="2260" t="s">
        <v>15710</v>
      </c>
      <c r="Z622" s="2140">
        <v>45223</v>
      </c>
      <c r="AA622" s="2140">
        <v>45224</v>
      </c>
      <c r="AB622" s="2140">
        <v>46701</v>
      </c>
      <c r="AC622" s="2799"/>
      <c r="AD622" s="2799"/>
      <c r="AE622" s="360" t="s">
        <v>16079</v>
      </c>
    </row>
    <row r="623" spans="1:31" ht="30">
      <c r="A623" s="2140">
        <v>45106</v>
      </c>
      <c r="B623" s="3192" t="s">
        <v>15289</v>
      </c>
      <c r="C623" s="2141" t="s">
        <v>2434</v>
      </c>
      <c r="D623" s="2141" t="s">
        <v>3204</v>
      </c>
      <c r="E623" s="2141" t="s">
        <v>15292</v>
      </c>
      <c r="F623" s="2142" t="s">
        <v>15293</v>
      </c>
      <c r="G623" s="2141">
        <v>6</v>
      </c>
      <c r="H623" s="2261" t="s">
        <v>15294</v>
      </c>
      <c r="I623" s="2261" t="s">
        <v>15369</v>
      </c>
      <c r="J623" s="2141" t="s">
        <v>2844</v>
      </c>
      <c r="K623" s="2141"/>
      <c r="L623" s="2144">
        <v>1914000</v>
      </c>
      <c r="M623" s="2141" t="s">
        <v>251</v>
      </c>
      <c r="N623" s="2140">
        <v>45114</v>
      </c>
      <c r="O623" s="2140">
        <v>45149</v>
      </c>
      <c r="P623" s="2140">
        <v>45167</v>
      </c>
      <c r="Q623" s="2143" t="s">
        <v>15580</v>
      </c>
      <c r="R623" s="2141"/>
      <c r="S623" s="2144">
        <v>1914000</v>
      </c>
      <c r="T623" s="2144">
        <v>2201100</v>
      </c>
      <c r="U623" s="2145"/>
      <c r="V623" s="2145"/>
      <c r="W623" s="2145"/>
      <c r="X623" s="2146">
        <v>45167</v>
      </c>
      <c r="Y623" s="2260" t="s">
        <v>15711</v>
      </c>
      <c r="Z623" s="2140">
        <v>45217</v>
      </c>
      <c r="AA623" s="2140">
        <v>45224</v>
      </c>
      <c r="AB623" s="2140">
        <v>46701</v>
      </c>
      <c r="AC623" s="2799"/>
      <c r="AD623" s="2799"/>
      <c r="AE623" s="360" t="s">
        <v>16079</v>
      </c>
    </row>
    <row r="624" spans="1:31" ht="30">
      <c r="A624" s="2140">
        <v>45106</v>
      </c>
      <c r="B624" s="3192" t="s">
        <v>15290</v>
      </c>
      <c r="C624" s="2141" t="s">
        <v>2434</v>
      </c>
      <c r="D624" s="2141" t="s">
        <v>3204</v>
      </c>
      <c r="E624" s="2141" t="s">
        <v>15292</v>
      </c>
      <c r="F624" s="2142" t="s">
        <v>15293</v>
      </c>
      <c r="G624" s="3191">
        <v>7</v>
      </c>
      <c r="H624" s="2261" t="s">
        <v>15295</v>
      </c>
      <c r="I624" s="2261" t="s">
        <v>15369</v>
      </c>
      <c r="J624" s="2141" t="s">
        <v>2844</v>
      </c>
      <c r="K624" s="2141"/>
      <c r="L624" s="2144">
        <v>1450000</v>
      </c>
      <c r="M624" s="2141" t="s">
        <v>251</v>
      </c>
      <c r="N624" s="2140">
        <v>45114</v>
      </c>
      <c r="O624" s="2140">
        <v>45149</v>
      </c>
      <c r="P624" s="2140">
        <v>45167</v>
      </c>
      <c r="Q624" s="2143" t="s">
        <v>15580</v>
      </c>
      <c r="R624" s="2141"/>
      <c r="S624" s="2144">
        <v>1450000</v>
      </c>
      <c r="T624" s="2144">
        <v>1667500</v>
      </c>
      <c r="U624" s="2145"/>
      <c r="V624" s="2145"/>
      <c r="W624" s="2145"/>
      <c r="X624" s="2146">
        <v>45167</v>
      </c>
      <c r="Y624" s="2260" t="s">
        <v>15712</v>
      </c>
      <c r="Z624" s="2140">
        <v>45217</v>
      </c>
      <c r="AA624" s="2140">
        <v>45224</v>
      </c>
      <c r="AB624" s="2140">
        <v>46701</v>
      </c>
      <c r="AC624" s="2799"/>
      <c r="AD624" s="2799"/>
      <c r="AE624" s="360" t="s">
        <v>16079</v>
      </c>
    </row>
    <row r="625" spans="1:31" ht="45.75" thickBot="1">
      <c r="A625" s="2117">
        <v>45106</v>
      </c>
      <c r="B625" s="1983" t="s">
        <v>15291</v>
      </c>
      <c r="C625" s="2118" t="s">
        <v>2434</v>
      </c>
      <c r="D625" s="2118" t="s">
        <v>3204</v>
      </c>
      <c r="E625" s="2118" t="s">
        <v>15292</v>
      </c>
      <c r="F625" s="2119" t="s">
        <v>15293</v>
      </c>
      <c r="G625" s="2118">
        <v>8</v>
      </c>
      <c r="H625" s="2262" t="s">
        <v>15296</v>
      </c>
      <c r="I625" s="2262" t="s">
        <v>15369</v>
      </c>
      <c r="J625" s="2118" t="s">
        <v>2844</v>
      </c>
      <c r="K625" s="2118"/>
      <c r="L625" s="2121">
        <v>3110400</v>
      </c>
      <c r="M625" s="2118" t="s">
        <v>251</v>
      </c>
      <c r="N625" s="2117">
        <v>45114</v>
      </c>
      <c r="O625" s="2117">
        <v>45149</v>
      </c>
      <c r="P625" s="2117">
        <v>45167</v>
      </c>
      <c r="Q625" s="2120" t="s">
        <v>15580</v>
      </c>
      <c r="R625" s="2118"/>
      <c r="S625" s="2121">
        <v>3110400</v>
      </c>
      <c r="T625" s="2121">
        <v>3576960</v>
      </c>
      <c r="U625" s="2122"/>
      <c r="V625" s="2122"/>
      <c r="W625" s="2122"/>
      <c r="X625" s="2123">
        <v>45167</v>
      </c>
      <c r="Y625" s="2246" t="s">
        <v>15713</v>
      </c>
      <c r="Z625" s="2117">
        <v>45217</v>
      </c>
      <c r="AA625" s="2117">
        <v>45224</v>
      </c>
      <c r="AB625" s="2117">
        <v>46701</v>
      </c>
      <c r="AC625" s="2799"/>
      <c r="AD625" s="2799"/>
      <c r="AE625" s="360" t="s">
        <v>16079</v>
      </c>
    </row>
    <row r="626" spans="1:31" ht="15.75" thickTop="1">
      <c r="A626" s="365">
        <v>45106</v>
      </c>
      <c r="B626" s="3192" t="s">
        <v>15301</v>
      </c>
      <c r="C626" s="3191" t="s">
        <v>69</v>
      </c>
      <c r="D626" s="3191" t="s">
        <v>15131</v>
      </c>
      <c r="E626" s="3191" t="s">
        <v>13948</v>
      </c>
      <c r="F626" s="2931" t="s">
        <v>15302</v>
      </c>
      <c r="G626" s="3191"/>
      <c r="H626" s="3192"/>
      <c r="I626" s="3192" t="s">
        <v>15369</v>
      </c>
      <c r="J626" s="3191" t="s">
        <v>4275</v>
      </c>
      <c r="K626" s="3191"/>
      <c r="L626" s="364">
        <v>29920269.600000001</v>
      </c>
      <c r="M626" s="3191" t="s">
        <v>251</v>
      </c>
      <c r="N626" s="365">
        <v>45120</v>
      </c>
      <c r="O626" s="365">
        <v>45155</v>
      </c>
      <c r="P626" s="365">
        <v>45167</v>
      </c>
      <c r="Q626" s="3192" t="s">
        <v>578</v>
      </c>
      <c r="R626" s="3191"/>
      <c r="S626" s="364">
        <v>29920269.600000001</v>
      </c>
      <c r="T626" s="364">
        <v>32912296.559999999</v>
      </c>
      <c r="U626" s="1473"/>
      <c r="V626" s="1473"/>
      <c r="W626" s="1473"/>
      <c r="X626" s="681">
        <v>45167</v>
      </c>
      <c r="Y626" s="364" t="s">
        <v>15740</v>
      </c>
      <c r="Z626" s="365">
        <v>45187</v>
      </c>
      <c r="AA626" s="365">
        <v>45191</v>
      </c>
      <c r="AB626" s="365">
        <v>46341</v>
      </c>
      <c r="AC626" s="2799"/>
      <c r="AD626" s="2799"/>
      <c r="AE626" s="360" t="s">
        <v>15828</v>
      </c>
    </row>
    <row r="627" spans="1:31">
      <c r="A627" s="2140">
        <v>45106</v>
      </c>
      <c r="B627" s="2143" t="s">
        <v>15303</v>
      </c>
      <c r="C627" s="2141" t="s">
        <v>69</v>
      </c>
      <c r="D627" s="2141" t="s">
        <v>15131</v>
      </c>
      <c r="E627" s="2141" t="s">
        <v>13948</v>
      </c>
      <c r="F627" s="2142" t="s">
        <v>15304</v>
      </c>
      <c r="G627" s="2141"/>
      <c r="H627" s="2143"/>
      <c r="I627" s="2143" t="s">
        <v>15369</v>
      </c>
      <c r="J627" s="2141" t="s">
        <v>4275</v>
      </c>
      <c r="K627" s="2141"/>
      <c r="L627" s="2144">
        <v>40613907</v>
      </c>
      <c r="M627" s="2141" t="s">
        <v>251</v>
      </c>
      <c r="N627" s="2140">
        <v>45119</v>
      </c>
      <c r="O627" s="2140">
        <v>45154</v>
      </c>
      <c r="P627" s="2140">
        <v>45167</v>
      </c>
      <c r="Q627" s="2143" t="s">
        <v>5566</v>
      </c>
      <c r="R627" s="2141"/>
      <c r="S627" s="2144">
        <v>40613905.439999998</v>
      </c>
      <c r="T627" s="2144">
        <v>44675295.979999997</v>
      </c>
      <c r="U627" s="2145"/>
      <c r="V627" s="2145"/>
      <c r="W627" s="2145"/>
      <c r="X627" s="2146">
        <v>45167</v>
      </c>
      <c r="Y627" s="2144" t="s">
        <v>15739</v>
      </c>
      <c r="Z627" s="2140">
        <v>45187</v>
      </c>
      <c r="AA627" s="2140">
        <v>45194</v>
      </c>
      <c r="AB627" s="2140">
        <v>46340</v>
      </c>
      <c r="AC627" s="2799"/>
      <c r="AD627" s="2799"/>
      <c r="AE627" s="360" t="s">
        <v>15829</v>
      </c>
    </row>
    <row r="628" spans="1:31">
      <c r="A628" s="2140">
        <v>45107</v>
      </c>
      <c r="B628" s="2143" t="s">
        <v>15305</v>
      </c>
      <c r="C628" s="2141" t="s">
        <v>1032</v>
      </c>
      <c r="D628" s="2141" t="s">
        <v>361</v>
      </c>
      <c r="E628" s="2141" t="s">
        <v>13951</v>
      </c>
      <c r="F628" s="2142" t="s">
        <v>15306</v>
      </c>
      <c r="G628" s="2141"/>
      <c r="H628" s="2143"/>
      <c r="I628" s="2143" t="s">
        <v>15369</v>
      </c>
      <c r="J628" s="2141" t="s">
        <v>15307</v>
      </c>
      <c r="K628" s="2141"/>
      <c r="L628" s="2144">
        <v>1000000</v>
      </c>
      <c r="M628" s="2141" t="s">
        <v>112</v>
      </c>
      <c r="N628" s="2140">
        <v>45111</v>
      </c>
      <c r="O628" s="2140">
        <v>45128</v>
      </c>
      <c r="P628" s="2140">
        <v>45134</v>
      </c>
      <c r="Q628" s="2143" t="s">
        <v>12041</v>
      </c>
      <c r="R628" s="2141"/>
      <c r="S628" s="2144">
        <v>460988.76</v>
      </c>
      <c r="T628" s="2144">
        <v>557796.4</v>
      </c>
      <c r="U628" s="2145"/>
      <c r="V628" s="2145"/>
      <c r="W628" s="2145"/>
      <c r="X628" s="2146">
        <v>45134</v>
      </c>
      <c r="Y628" s="2144" t="s">
        <v>15452</v>
      </c>
      <c r="Z628" s="2140">
        <v>45145</v>
      </c>
      <c r="AA628" s="2140">
        <v>45145</v>
      </c>
      <c r="AB628" s="2141"/>
      <c r="AC628" s="2799"/>
      <c r="AD628" s="2799"/>
    </row>
    <row r="629" spans="1:31">
      <c r="A629" s="2140">
        <v>45106</v>
      </c>
      <c r="B629" s="2143" t="s">
        <v>15308</v>
      </c>
      <c r="C629" s="2141" t="s">
        <v>1844</v>
      </c>
      <c r="D629" s="2141" t="s">
        <v>1845</v>
      </c>
      <c r="E629" s="2141" t="s">
        <v>13951</v>
      </c>
      <c r="F629" s="2142" t="s">
        <v>15309</v>
      </c>
      <c r="G629" s="2141"/>
      <c r="H629" s="2143"/>
      <c r="I629" s="2143" t="s">
        <v>15369</v>
      </c>
      <c r="J629" s="2141" t="s">
        <v>10983</v>
      </c>
      <c r="K629" s="2141"/>
      <c r="L629" s="2144">
        <v>150000</v>
      </c>
      <c r="M629" s="2141" t="s">
        <v>112</v>
      </c>
      <c r="N629" s="2140">
        <v>45120</v>
      </c>
      <c r="O629" s="2140">
        <v>45132</v>
      </c>
      <c r="P629" s="2140">
        <v>45138</v>
      </c>
      <c r="Q629" s="2143" t="s">
        <v>15461</v>
      </c>
      <c r="R629" s="2141"/>
      <c r="S629" s="2144">
        <v>150110</v>
      </c>
      <c r="T629" s="2144">
        <v>181633.1</v>
      </c>
      <c r="U629" s="2145"/>
      <c r="V629" s="2145"/>
      <c r="W629" s="2145"/>
      <c r="X629" s="2146">
        <v>45138</v>
      </c>
      <c r="Y629" s="2144" t="s">
        <v>15463</v>
      </c>
      <c r="Z629" s="2140">
        <v>45142</v>
      </c>
      <c r="AA629" s="2140">
        <v>45142</v>
      </c>
      <c r="AB629" s="2140">
        <v>45930</v>
      </c>
      <c r="AC629" s="2799"/>
      <c r="AD629" s="2799"/>
    </row>
    <row r="630" spans="1:31">
      <c r="A630" s="2140">
        <v>45110</v>
      </c>
      <c r="B630" s="2143" t="s">
        <v>15332</v>
      </c>
      <c r="C630" s="2141" t="s">
        <v>2434</v>
      </c>
      <c r="D630" s="2141" t="s">
        <v>219</v>
      </c>
      <c r="E630" s="2141" t="s">
        <v>13948</v>
      </c>
      <c r="F630" s="2142" t="s">
        <v>15311</v>
      </c>
      <c r="G630" s="2141"/>
      <c r="H630" s="2143"/>
      <c r="I630" s="2143" t="s">
        <v>15369</v>
      </c>
      <c r="J630" s="2141" t="s">
        <v>642</v>
      </c>
      <c r="K630" s="2141"/>
      <c r="L630" s="2144">
        <v>4788000</v>
      </c>
      <c r="M630" s="2141" t="s">
        <v>251</v>
      </c>
      <c r="N630" s="2140">
        <v>45119</v>
      </c>
      <c r="O630" s="2140">
        <v>45187</v>
      </c>
      <c r="P630" s="2140">
        <v>45198</v>
      </c>
      <c r="Q630" s="2143" t="s">
        <v>13191</v>
      </c>
      <c r="R630" s="2141"/>
      <c r="S630" s="2144">
        <v>2988000</v>
      </c>
      <c r="T630" s="2144">
        <v>3615480</v>
      </c>
      <c r="U630" s="2145"/>
      <c r="V630" s="2145"/>
      <c r="W630" s="2145"/>
      <c r="X630" s="2146">
        <v>45198</v>
      </c>
      <c r="Y630" s="2144" t="s">
        <v>15904</v>
      </c>
      <c r="Z630" s="2140">
        <v>45238</v>
      </c>
      <c r="AA630" s="2140">
        <v>45240</v>
      </c>
      <c r="AB630" s="2140">
        <v>45968</v>
      </c>
      <c r="AC630" s="2799"/>
      <c r="AD630" s="2799"/>
    </row>
    <row r="631" spans="1:31">
      <c r="A631" s="2140">
        <v>45107</v>
      </c>
      <c r="B631" s="2143" t="s">
        <v>15315</v>
      </c>
      <c r="C631" s="2141" t="s">
        <v>52</v>
      </c>
      <c r="D631" s="2141" t="s">
        <v>2588</v>
      </c>
      <c r="E631" s="2141" t="s">
        <v>655</v>
      </c>
      <c r="F631" s="2142" t="s">
        <v>15316</v>
      </c>
      <c r="G631" s="2141"/>
      <c r="H631" s="2143"/>
      <c r="I631" s="2143" t="s">
        <v>15369</v>
      </c>
      <c r="J631" s="2141" t="s">
        <v>484</v>
      </c>
      <c r="K631" s="2141" t="s">
        <v>15317</v>
      </c>
      <c r="L631" s="2144">
        <v>1000000</v>
      </c>
      <c r="M631" s="2141" t="s">
        <v>112</v>
      </c>
      <c r="N631" s="2140">
        <v>45120</v>
      </c>
      <c r="O631" s="2140">
        <v>45131</v>
      </c>
      <c r="P631" s="2140">
        <v>45142</v>
      </c>
      <c r="Q631" s="2143" t="s">
        <v>3500</v>
      </c>
      <c r="R631" s="2141"/>
      <c r="S631" s="2144">
        <v>349000</v>
      </c>
      <c r="T631" s="2144">
        <v>422290</v>
      </c>
      <c r="U631" s="2145"/>
      <c r="V631" s="2145"/>
      <c r="W631" s="2145"/>
      <c r="X631" s="2146">
        <v>45142</v>
      </c>
      <c r="Y631" s="2144" t="s">
        <v>15491</v>
      </c>
      <c r="Z631" s="2140">
        <v>45147</v>
      </c>
      <c r="AA631" s="2140">
        <v>45148</v>
      </c>
      <c r="AB631" s="2564">
        <v>45192</v>
      </c>
      <c r="AC631" s="2799"/>
      <c r="AD631" s="2799"/>
    </row>
    <row r="632" spans="1:31">
      <c r="A632" s="2140">
        <v>45110</v>
      </c>
      <c r="B632" s="2143" t="s">
        <v>15319</v>
      </c>
      <c r="C632" s="2141" t="s">
        <v>4997</v>
      </c>
      <c r="D632" s="2141" t="s">
        <v>7475</v>
      </c>
      <c r="E632" s="2141" t="s">
        <v>655</v>
      </c>
      <c r="F632" s="2142" t="s">
        <v>15320</v>
      </c>
      <c r="G632" s="2141"/>
      <c r="H632" s="2143"/>
      <c r="I632" s="2143" t="s">
        <v>15369</v>
      </c>
      <c r="J632" s="2141" t="s">
        <v>2279</v>
      </c>
      <c r="K632" s="2141"/>
      <c r="L632" s="2144">
        <v>550000</v>
      </c>
      <c r="M632" s="2141" t="s">
        <v>112</v>
      </c>
      <c r="N632" s="2140">
        <v>45118</v>
      </c>
      <c r="O632" s="2140">
        <v>45131</v>
      </c>
      <c r="P632" s="2140">
        <v>45154</v>
      </c>
      <c r="Q632" s="2143" t="s">
        <v>2162</v>
      </c>
      <c r="R632" s="2141"/>
      <c r="S632" s="2144">
        <v>275970</v>
      </c>
      <c r="T632" s="2144">
        <v>275970</v>
      </c>
      <c r="U632" s="2145"/>
      <c r="V632" s="2145"/>
      <c r="W632" s="2145"/>
      <c r="X632" s="2146">
        <v>45154</v>
      </c>
      <c r="Y632" s="2144" t="s">
        <v>15599</v>
      </c>
      <c r="Z632" s="2140">
        <v>45160</v>
      </c>
      <c r="AA632" s="2140">
        <v>45162</v>
      </c>
      <c r="AB632" s="2141"/>
      <c r="AC632" s="2799"/>
      <c r="AD632" s="2799"/>
    </row>
    <row r="633" spans="1:31">
      <c r="A633" s="2140">
        <v>45110</v>
      </c>
      <c r="B633" s="2143" t="s">
        <v>15321</v>
      </c>
      <c r="C633" s="2141" t="s">
        <v>69</v>
      </c>
      <c r="D633" s="2141" t="s">
        <v>15131</v>
      </c>
      <c r="E633" s="2141" t="s">
        <v>13949</v>
      </c>
      <c r="F633" s="2142" t="s">
        <v>15323</v>
      </c>
      <c r="G633" s="2141"/>
      <c r="H633" s="2143"/>
      <c r="I633" s="2143" t="s">
        <v>15369</v>
      </c>
      <c r="J633" s="2141" t="s">
        <v>72</v>
      </c>
      <c r="K633" s="2141"/>
      <c r="L633" s="2144">
        <v>6789744</v>
      </c>
      <c r="M633" s="2141" t="s">
        <v>251</v>
      </c>
      <c r="N633" s="2140">
        <v>45120</v>
      </c>
      <c r="O633" s="2140">
        <v>45155</v>
      </c>
      <c r="P633" s="2140">
        <v>45191</v>
      </c>
      <c r="Q633" s="2143" t="s">
        <v>15355</v>
      </c>
      <c r="R633" s="2141"/>
      <c r="S633" s="2144">
        <v>6789744</v>
      </c>
      <c r="T633" s="2144">
        <v>7468718.4000000004</v>
      </c>
      <c r="U633" s="2145"/>
      <c r="V633" s="2145"/>
      <c r="W633" s="2145"/>
      <c r="X633" s="2146">
        <v>45191</v>
      </c>
      <c r="Y633" s="2144" t="s">
        <v>15849</v>
      </c>
      <c r="Z633" s="2140">
        <v>45217</v>
      </c>
      <c r="AA633" s="2140">
        <v>45219</v>
      </c>
      <c r="AB633" s="2140">
        <v>46383</v>
      </c>
      <c r="AC633" s="2799"/>
      <c r="AD633" s="2799"/>
      <c r="AE633" s="360" t="s">
        <v>16071</v>
      </c>
    </row>
    <row r="634" spans="1:31">
      <c r="A634" s="2140">
        <v>45110</v>
      </c>
      <c r="B634" s="2143" t="s">
        <v>15322</v>
      </c>
      <c r="C634" s="2141" t="s">
        <v>69</v>
      </c>
      <c r="D634" s="2141" t="s">
        <v>15131</v>
      </c>
      <c r="E634" s="2141" t="s">
        <v>13949</v>
      </c>
      <c r="F634" s="2142" t="s">
        <v>15324</v>
      </c>
      <c r="G634" s="2141"/>
      <c r="H634" s="2143"/>
      <c r="I634" s="2143" t="s">
        <v>15369</v>
      </c>
      <c r="J634" s="2141" t="s">
        <v>93</v>
      </c>
      <c r="K634" s="2141"/>
      <c r="L634" s="2144">
        <v>4004388</v>
      </c>
      <c r="M634" s="2141" t="s">
        <v>251</v>
      </c>
      <c r="N634" s="2140">
        <v>45120</v>
      </c>
      <c r="O634" s="2140">
        <v>45155</v>
      </c>
      <c r="P634" s="2140">
        <v>45187</v>
      </c>
      <c r="Q634" s="2143" t="s">
        <v>8542</v>
      </c>
      <c r="R634" s="2141"/>
      <c r="S634" s="2144">
        <v>3149276.13</v>
      </c>
      <c r="T634" s="2144">
        <v>3464203.74</v>
      </c>
      <c r="U634" s="2145"/>
      <c r="V634" s="2145"/>
      <c r="W634" s="2145"/>
      <c r="X634" s="2146">
        <v>45187</v>
      </c>
      <c r="Y634" s="2144" t="s">
        <v>15830</v>
      </c>
      <c r="Z634" s="2140">
        <v>45209</v>
      </c>
      <c r="AA634" s="2140">
        <v>45215</v>
      </c>
      <c r="AB634" s="2140">
        <v>46345</v>
      </c>
      <c r="AC634" s="2799"/>
      <c r="AD634" s="2799"/>
    </row>
    <row r="635" spans="1:31" ht="30">
      <c r="A635" s="2140">
        <v>45117</v>
      </c>
      <c r="B635" s="2143" t="s">
        <v>15333</v>
      </c>
      <c r="C635" s="2141" t="s">
        <v>58</v>
      </c>
      <c r="D635" s="2141" t="s">
        <v>4969</v>
      </c>
      <c r="E635" s="2141" t="s">
        <v>13951</v>
      </c>
      <c r="F635" s="2142" t="s">
        <v>15334</v>
      </c>
      <c r="G635" s="2141"/>
      <c r="H635" s="2143"/>
      <c r="I635" s="2143" t="s">
        <v>15369</v>
      </c>
      <c r="J635" s="2141" t="s">
        <v>3330</v>
      </c>
      <c r="K635" s="2141" t="s">
        <v>15335</v>
      </c>
      <c r="L635" s="2144">
        <v>151800</v>
      </c>
      <c r="M635" s="2141" t="s">
        <v>112</v>
      </c>
      <c r="N635" s="2140">
        <v>45119</v>
      </c>
      <c r="O635" s="2140">
        <v>45131</v>
      </c>
      <c r="P635" s="2140">
        <v>45145</v>
      </c>
      <c r="Q635" s="2143" t="s">
        <v>11876</v>
      </c>
      <c r="R635" s="2141"/>
      <c r="S635" s="2144">
        <v>119500</v>
      </c>
      <c r="T635" s="2144">
        <v>144595</v>
      </c>
      <c r="U635" s="2145"/>
      <c r="V635" s="2145"/>
      <c r="W635" s="2145"/>
      <c r="X635" s="2146">
        <v>45145</v>
      </c>
      <c r="Y635" s="2260" t="s">
        <v>15507</v>
      </c>
      <c r="Z635" s="2140">
        <v>45174</v>
      </c>
      <c r="AA635" s="2140">
        <v>45175</v>
      </c>
      <c r="AB635" s="2140">
        <v>45234</v>
      </c>
      <c r="AC635" s="2799"/>
      <c r="AD635" s="2799"/>
    </row>
    <row r="636" spans="1:31" ht="30">
      <c r="A636" s="2140">
        <v>45111</v>
      </c>
      <c r="B636" s="2143" t="s">
        <v>15553</v>
      </c>
      <c r="C636" s="2141" t="s">
        <v>58</v>
      </c>
      <c r="D636" s="2141" t="s">
        <v>4969</v>
      </c>
      <c r="E636" s="2141" t="s">
        <v>13950</v>
      </c>
      <c r="F636" s="2142" t="s">
        <v>15336</v>
      </c>
      <c r="G636" s="2141">
        <v>1</v>
      </c>
      <c r="H636" s="2143" t="s">
        <v>15556</v>
      </c>
      <c r="I636" s="2143" t="s">
        <v>15369</v>
      </c>
      <c r="J636" s="2141" t="s">
        <v>6394</v>
      </c>
      <c r="K636" s="2141"/>
      <c r="L636" s="2144">
        <v>11563930</v>
      </c>
      <c r="M636" s="2141" t="s">
        <v>251</v>
      </c>
      <c r="N636" s="2140">
        <v>45139</v>
      </c>
      <c r="O636" s="2140">
        <v>45182</v>
      </c>
      <c r="P636" s="2140">
        <v>45210</v>
      </c>
      <c r="Q636" s="2143" t="s">
        <v>2360</v>
      </c>
      <c r="R636" s="2141"/>
      <c r="S636" s="2144">
        <v>11563930</v>
      </c>
      <c r="T636" s="2144">
        <v>13992355.300000001</v>
      </c>
      <c r="U636" s="2145"/>
      <c r="V636" s="2145"/>
      <c r="W636" s="2145"/>
      <c r="X636" s="2146">
        <v>45210</v>
      </c>
      <c r="Y636" s="2260" t="s">
        <v>16017</v>
      </c>
      <c r="Z636" s="2140">
        <v>45239</v>
      </c>
      <c r="AA636" s="2140">
        <v>45254</v>
      </c>
      <c r="AB636" s="2140">
        <v>46752</v>
      </c>
      <c r="AC636" s="2799"/>
      <c r="AD636" s="2799"/>
      <c r="AE636" s="360" t="s">
        <v>16214</v>
      </c>
    </row>
    <row r="637" spans="1:31">
      <c r="A637" s="2124">
        <v>45111</v>
      </c>
      <c r="B637" s="2127" t="s">
        <v>15554</v>
      </c>
      <c r="C637" s="2125" t="s">
        <v>58</v>
      </c>
      <c r="D637" s="2125" t="s">
        <v>4969</v>
      </c>
      <c r="E637" s="2125" t="s">
        <v>13950</v>
      </c>
      <c r="F637" s="2126" t="s">
        <v>15336</v>
      </c>
      <c r="G637" s="2125">
        <v>2</v>
      </c>
      <c r="H637" s="2127" t="s">
        <v>3847</v>
      </c>
      <c r="I637" s="2127" t="s">
        <v>242</v>
      </c>
      <c r="J637" s="2125" t="s">
        <v>6394</v>
      </c>
      <c r="K637" s="2125"/>
      <c r="L637" s="2128">
        <v>6483780</v>
      </c>
      <c r="M637" s="2125" t="s">
        <v>251</v>
      </c>
      <c r="N637" s="2124">
        <v>45139</v>
      </c>
      <c r="O637" s="2124">
        <v>45182</v>
      </c>
      <c r="P637" s="2124"/>
      <c r="Q637" s="2136" t="s">
        <v>2635</v>
      </c>
      <c r="R637" s="2275" t="s">
        <v>16184</v>
      </c>
      <c r="S637" s="2128"/>
      <c r="T637" s="2128"/>
      <c r="U637" s="2129"/>
      <c r="V637" s="2129"/>
      <c r="W637" s="2129"/>
      <c r="X637" s="2128"/>
      <c r="Y637" s="2128"/>
      <c r="Z637" s="2125"/>
      <c r="AA637" s="2124">
        <v>45217</v>
      </c>
      <c r="AB637" s="2127" t="s">
        <v>15960</v>
      </c>
      <c r="AC637" s="2799"/>
      <c r="AD637" s="2799"/>
    </row>
    <row r="638" spans="1:31">
      <c r="A638" s="2140">
        <v>45111</v>
      </c>
      <c r="B638" s="2143" t="s">
        <v>15555</v>
      </c>
      <c r="C638" s="2141" t="s">
        <v>58</v>
      </c>
      <c r="D638" s="2141" t="s">
        <v>4969</v>
      </c>
      <c r="E638" s="2141" t="s">
        <v>13950</v>
      </c>
      <c r="F638" s="2142" t="s">
        <v>15336</v>
      </c>
      <c r="G638" s="2141">
        <v>3</v>
      </c>
      <c r="H638" s="2143" t="s">
        <v>15557</v>
      </c>
      <c r="I638" s="2143" t="s">
        <v>15369</v>
      </c>
      <c r="J638" s="2141" t="s">
        <v>6394</v>
      </c>
      <c r="K638" s="2141"/>
      <c r="L638" s="2144">
        <v>8100000</v>
      </c>
      <c r="M638" s="2141" t="s">
        <v>251</v>
      </c>
      <c r="N638" s="2140">
        <v>45139</v>
      </c>
      <c r="O638" s="2140">
        <v>45182</v>
      </c>
      <c r="P638" s="2140">
        <v>45210</v>
      </c>
      <c r="Q638" s="2143" t="s">
        <v>15915</v>
      </c>
      <c r="R638" s="2141"/>
      <c r="S638" s="2144">
        <v>7644000</v>
      </c>
      <c r="T638" s="2144">
        <v>9249240</v>
      </c>
      <c r="U638" s="2145"/>
      <c r="V638" s="2145"/>
      <c r="W638" s="2145"/>
      <c r="X638" s="2146">
        <v>45210</v>
      </c>
      <c r="Y638" s="2144" t="s">
        <v>16016</v>
      </c>
      <c r="Z638" s="2140">
        <v>45232</v>
      </c>
      <c r="AA638" s="2140">
        <v>45254</v>
      </c>
      <c r="AB638" s="2140">
        <v>46692</v>
      </c>
      <c r="AC638" s="2799"/>
      <c r="AD638" s="2799"/>
    </row>
    <row r="639" spans="1:31">
      <c r="A639" s="2140">
        <v>45117</v>
      </c>
      <c r="B639" s="2143" t="s">
        <v>15339</v>
      </c>
      <c r="C639" s="2141" t="s">
        <v>58</v>
      </c>
      <c r="D639" s="2141" t="s">
        <v>4969</v>
      </c>
      <c r="E639" s="2141" t="s">
        <v>655</v>
      </c>
      <c r="F639" s="2142" t="s">
        <v>15340</v>
      </c>
      <c r="G639" s="2141"/>
      <c r="H639" s="2143"/>
      <c r="I639" s="2143" t="s">
        <v>15369</v>
      </c>
      <c r="J639" s="2141" t="s">
        <v>480</v>
      </c>
      <c r="K639" s="2141" t="s">
        <v>15341</v>
      </c>
      <c r="L639" s="2144">
        <v>132000</v>
      </c>
      <c r="M639" s="2141" t="s">
        <v>112</v>
      </c>
      <c r="N639" s="2140">
        <v>45120</v>
      </c>
      <c r="O639" s="2140">
        <v>45131</v>
      </c>
      <c r="P639" s="2140">
        <v>45138</v>
      </c>
      <c r="Q639" s="2143" t="s">
        <v>15468</v>
      </c>
      <c r="R639" s="2141"/>
      <c r="S639" s="2144">
        <v>131836</v>
      </c>
      <c r="T639" s="2144">
        <v>131836</v>
      </c>
      <c r="U639" s="2145"/>
      <c r="V639" s="2145"/>
      <c r="W639" s="2145"/>
      <c r="X639" s="2146">
        <v>45138</v>
      </c>
      <c r="Y639" s="2144" t="s">
        <v>15467</v>
      </c>
      <c r="Z639" s="2140">
        <v>45153</v>
      </c>
      <c r="AA639" s="2140">
        <v>45154</v>
      </c>
      <c r="AB639" s="2140">
        <v>45213</v>
      </c>
      <c r="AC639" s="2799"/>
      <c r="AD639" s="2799"/>
    </row>
    <row r="640" spans="1:31">
      <c r="A640" s="2140">
        <v>45118</v>
      </c>
      <c r="B640" s="2143" t="s">
        <v>15344</v>
      </c>
      <c r="C640" s="2141" t="s">
        <v>6561</v>
      </c>
      <c r="D640" s="2141" t="s">
        <v>4864</v>
      </c>
      <c r="E640" s="2141" t="s">
        <v>13951</v>
      </c>
      <c r="F640" s="2142" t="s">
        <v>15345</v>
      </c>
      <c r="G640" s="2141"/>
      <c r="H640" s="2143"/>
      <c r="I640" s="2143" t="s">
        <v>15369</v>
      </c>
      <c r="J640" s="2141" t="s">
        <v>250</v>
      </c>
      <c r="K640" s="2141"/>
      <c r="L640" s="2144">
        <v>4800000</v>
      </c>
      <c r="M640" s="2141" t="s">
        <v>112</v>
      </c>
      <c r="N640" s="2140">
        <v>45124</v>
      </c>
      <c r="O640" s="2140">
        <v>45140</v>
      </c>
      <c r="P640" s="2140">
        <v>45142</v>
      </c>
      <c r="Q640" s="2143" t="s">
        <v>15490</v>
      </c>
      <c r="R640" s="2141"/>
      <c r="S640" s="2144">
        <v>4428130</v>
      </c>
      <c r="T640" s="2144">
        <v>5358038</v>
      </c>
      <c r="U640" s="2145"/>
      <c r="V640" s="2145"/>
      <c r="W640" s="2145"/>
      <c r="X640" s="2146">
        <v>45142</v>
      </c>
      <c r="Y640" s="2144" t="s">
        <v>15492</v>
      </c>
      <c r="Z640" s="2140">
        <v>45159</v>
      </c>
      <c r="AA640" s="2140">
        <v>45159</v>
      </c>
      <c r="AB640" s="2140">
        <v>45249</v>
      </c>
      <c r="AC640" s="2799"/>
      <c r="AD640" s="2799"/>
    </row>
    <row r="641" spans="1:31">
      <c r="A641" s="2140">
        <v>45117</v>
      </c>
      <c r="B641" s="2143" t="s">
        <v>15352</v>
      </c>
      <c r="C641" s="2141" t="s">
        <v>2434</v>
      </c>
      <c r="D641" s="2141" t="s">
        <v>219</v>
      </c>
      <c r="E641" s="2141" t="s">
        <v>13950</v>
      </c>
      <c r="F641" s="2142" t="s">
        <v>15353</v>
      </c>
      <c r="G641" s="2141"/>
      <c r="H641" s="2143"/>
      <c r="I641" s="2143" t="s">
        <v>15369</v>
      </c>
      <c r="J641" s="2141" t="s">
        <v>642</v>
      </c>
      <c r="K641" s="2141"/>
      <c r="L641" s="2144">
        <v>6438000</v>
      </c>
      <c r="M641" s="2141" t="s">
        <v>251</v>
      </c>
      <c r="N641" s="2140">
        <v>45139</v>
      </c>
      <c r="O641" s="2140">
        <v>45177</v>
      </c>
      <c r="P641" s="2140">
        <v>45379</v>
      </c>
      <c r="Q641" s="2143" t="s">
        <v>8542</v>
      </c>
      <c r="R641" s="2141"/>
      <c r="S641" s="2144">
        <v>6864320</v>
      </c>
      <c r="T641" s="2144">
        <v>8305827.2000000002</v>
      </c>
      <c r="U641" s="2145"/>
      <c r="V641" s="2145"/>
      <c r="W641" s="2145"/>
      <c r="X641" s="2146">
        <v>45379</v>
      </c>
      <c r="Y641" s="2144" t="s">
        <v>17118</v>
      </c>
      <c r="Z641" s="2140">
        <v>45419</v>
      </c>
      <c r="AA641" s="2140">
        <v>45429</v>
      </c>
      <c r="AB641" s="2140">
        <v>46879</v>
      </c>
      <c r="AC641" s="2799"/>
      <c r="AD641" s="2799"/>
    </row>
    <row r="642" spans="1:31">
      <c r="A642" s="2124">
        <v>45106</v>
      </c>
      <c r="B642" s="2127" t="s">
        <v>15357</v>
      </c>
      <c r="C642" s="2125" t="s">
        <v>2111</v>
      </c>
      <c r="D642" s="2125" t="s">
        <v>9080</v>
      </c>
      <c r="E642" s="2125" t="s">
        <v>13950</v>
      </c>
      <c r="F642" s="2126" t="s">
        <v>15358</v>
      </c>
      <c r="G642" s="2125"/>
      <c r="H642" s="2127"/>
      <c r="I642" s="2127" t="s">
        <v>242</v>
      </c>
      <c r="J642" s="2125" t="s">
        <v>642</v>
      </c>
      <c r="K642" s="2125"/>
      <c r="L642" s="2128">
        <v>6895252</v>
      </c>
      <c r="M642" s="2125" t="s">
        <v>251</v>
      </c>
      <c r="N642" s="2124">
        <v>45139</v>
      </c>
      <c r="O642" s="2124">
        <v>45173</v>
      </c>
      <c r="P642" s="2125"/>
      <c r="Q642" s="2136" t="s">
        <v>15925</v>
      </c>
      <c r="R642" s="2125"/>
      <c r="S642" s="2128"/>
      <c r="T642" s="2128"/>
      <c r="U642" s="2129"/>
      <c r="V642" s="2129"/>
      <c r="W642" s="2129"/>
      <c r="X642" s="2128"/>
      <c r="Y642" s="2128"/>
      <c r="Z642" s="2125"/>
      <c r="AA642" s="2124">
        <v>45233</v>
      </c>
      <c r="AB642" s="2127" t="s">
        <v>15958</v>
      </c>
      <c r="AC642" s="2799"/>
      <c r="AD642" s="2799"/>
    </row>
    <row r="643" spans="1:31">
      <c r="A643" s="2140">
        <v>45120</v>
      </c>
      <c r="B643" s="2143" t="s">
        <v>15359</v>
      </c>
      <c r="C643" s="2141" t="s">
        <v>69</v>
      </c>
      <c r="D643" s="2141" t="s">
        <v>15129</v>
      </c>
      <c r="E643" s="2141" t="s">
        <v>13949</v>
      </c>
      <c r="F643" s="2142" t="s">
        <v>15360</v>
      </c>
      <c r="G643" s="2141"/>
      <c r="H643" s="2143"/>
      <c r="I643" s="2143" t="s">
        <v>15369</v>
      </c>
      <c r="J643" s="2141" t="s">
        <v>68</v>
      </c>
      <c r="K643" s="2141"/>
      <c r="L643" s="2144">
        <v>6589748</v>
      </c>
      <c r="M643" s="2141" t="s">
        <v>251</v>
      </c>
      <c r="N643" s="2140">
        <v>45124</v>
      </c>
      <c r="O643" s="2140">
        <v>45159</v>
      </c>
      <c r="P643" s="2140">
        <v>45162</v>
      </c>
      <c r="Q643" s="2143" t="s">
        <v>578</v>
      </c>
      <c r="R643" s="2141"/>
      <c r="S643" s="2144">
        <v>3417776.28</v>
      </c>
      <c r="T643" s="2144">
        <v>3759553.91</v>
      </c>
      <c r="U643" s="2145"/>
      <c r="V643" s="2145"/>
      <c r="W643" s="2145"/>
      <c r="X643" s="2146">
        <v>45162</v>
      </c>
      <c r="Y643" s="2144" t="s">
        <v>15698</v>
      </c>
      <c r="Z643" s="2140">
        <v>45175</v>
      </c>
      <c r="AA643" s="2140">
        <v>45176</v>
      </c>
      <c r="AB643" s="2140">
        <v>46270</v>
      </c>
      <c r="AC643" s="2799"/>
      <c r="AD643" s="2799"/>
    </row>
    <row r="644" spans="1:31">
      <c r="A644" s="2140">
        <v>45120</v>
      </c>
      <c r="B644" s="2143" t="s">
        <v>15362</v>
      </c>
      <c r="C644" s="2141" t="s">
        <v>69</v>
      </c>
      <c r="D644" s="2141" t="s">
        <v>15129</v>
      </c>
      <c r="E644" s="2141" t="s">
        <v>13949</v>
      </c>
      <c r="F644" s="2142" t="s">
        <v>15361</v>
      </c>
      <c r="G644" s="2141"/>
      <c r="H644" s="2143"/>
      <c r="I644" s="2143" t="s">
        <v>15369</v>
      </c>
      <c r="J644" s="2141" t="s">
        <v>68</v>
      </c>
      <c r="K644" s="2141"/>
      <c r="L644" s="2144">
        <v>2950994</v>
      </c>
      <c r="M644" s="2141" t="s">
        <v>216</v>
      </c>
      <c r="N644" s="2140">
        <v>45126</v>
      </c>
      <c r="O644" s="2140">
        <v>45148</v>
      </c>
      <c r="P644" s="2140">
        <v>45161</v>
      </c>
      <c r="Q644" s="2143" t="s">
        <v>5774</v>
      </c>
      <c r="R644" s="2141"/>
      <c r="S644" s="2144">
        <v>2646068.4</v>
      </c>
      <c r="T644" s="2144">
        <v>2910675.24</v>
      </c>
      <c r="U644" s="2145"/>
      <c r="V644" s="2145"/>
      <c r="W644" s="2145"/>
      <c r="X644" s="2146">
        <v>45161</v>
      </c>
      <c r="Y644" s="2144" t="s">
        <v>15668</v>
      </c>
      <c r="Z644" s="2140">
        <v>45203</v>
      </c>
      <c r="AA644" s="2140">
        <v>45204</v>
      </c>
      <c r="AB644" s="2140">
        <v>46298</v>
      </c>
      <c r="AC644" s="2799"/>
      <c r="AD644" s="2799"/>
    </row>
    <row r="645" spans="1:31">
      <c r="A645" s="2140">
        <v>45119</v>
      </c>
      <c r="B645" s="2143" t="s">
        <v>15363</v>
      </c>
      <c r="C645" s="2141" t="s">
        <v>2712</v>
      </c>
      <c r="D645" s="2141" t="s">
        <v>2731</v>
      </c>
      <c r="E645" s="2141" t="s">
        <v>13951</v>
      </c>
      <c r="F645" s="2142" t="s">
        <v>6559</v>
      </c>
      <c r="G645" s="2141"/>
      <c r="H645" s="2143"/>
      <c r="I645" s="2143" t="s">
        <v>15369</v>
      </c>
      <c r="J645" s="2141" t="s">
        <v>15364</v>
      </c>
      <c r="K645" s="2141"/>
      <c r="L645" s="2144">
        <v>750000</v>
      </c>
      <c r="M645" s="2141" t="s">
        <v>112</v>
      </c>
      <c r="N645" s="2140">
        <v>45124</v>
      </c>
      <c r="O645" s="2140">
        <v>45135</v>
      </c>
      <c r="P645" s="2140">
        <v>45141</v>
      </c>
      <c r="Q645" s="2143" t="s">
        <v>9891</v>
      </c>
      <c r="R645" s="2141"/>
      <c r="S645" s="2144">
        <v>1009231</v>
      </c>
      <c r="T645" s="2144">
        <v>1134600</v>
      </c>
      <c r="U645" s="2145"/>
      <c r="V645" s="2145"/>
      <c r="W645" s="2145"/>
      <c r="X645" s="2146">
        <v>45141</v>
      </c>
      <c r="Y645" s="2144" t="s">
        <v>15489</v>
      </c>
      <c r="Z645" s="2140">
        <v>45153</v>
      </c>
      <c r="AA645" s="2140">
        <v>45154</v>
      </c>
      <c r="AB645" s="2140">
        <v>45189</v>
      </c>
      <c r="AC645" s="2799"/>
      <c r="AD645" s="2799"/>
    </row>
    <row r="646" spans="1:31">
      <c r="A646" s="2140">
        <v>45126</v>
      </c>
      <c r="B646" s="2143" t="s">
        <v>15398</v>
      </c>
      <c r="C646" s="2141" t="s">
        <v>1754</v>
      </c>
      <c r="D646" s="2141" t="s">
        <v>1753</v>
      </c>
      <c r="E646" s="2141" t="s">
        <v>13951</v>
      </c>
      <c r="F646" s="2142" t="s">
        <v>15397</v>
      </c>
      <c r="G646" s="2141"/>
      <c r="H646" s="2143"/>
      <c r="I646" s="2143" t="s">
        <v>15369</v>
      </c>
      <c r="J646" s="2141" t="s">
        <v>15469</v>
      </c>
      <c r="K646" s="2141"/>
      <c r="L646" s="2144">
        <v>530000</v>
      </c>
      <c r="M646" s="2141" t="s">
        <v>112</v>
      </c>
      <c r="N646" s="2140">
        <v>45134</v>
      </c>
      <c r="O646" s="2140">
        <v>45146</v>
      </c>
      <c r="P646" s="2140">
        <v>45149</v>
      </c>
      <c r="Q646" s="2143" t="s">
        <v>15224</v>
      </c>
      <c r="R646" s="2141"/>
      <c r="S646" s="2144">
        <v>489888</v>
      </c>
      <c r="T646" s="2144">
        <v>592764.48</v>
      </c>
      <c r="U646" s="2145"/>
      <c r="V646" s="2145"/>
      <c r="W646" s="2145"/>
      <c r="X646" s="2146">
        <v>45149</v>
      </c>
      <c r="Y646" s="2144" t="s">
        <v>15576</v>
      </c>
      <c r="Z646" s="2140">
        <v>45160</v>
      </c>
      <c r="AA646" s="2140">
        <v>45160</v>
      </c>
      <c r="AB646" s="2140">
        <v>46295</v>
      </c>
      <c r="AC646" s="2799"/>
      <c r="AD646" s="2799"/>
    </row>
    <row r="647" spans="1:31">
      <c r="A647" s="2140">
        <v>45222</v>
      </c>
      <c r="B647" s="2143" t="s">
        <v>15399</v>
      </c>
      <c r="C647" s="2141" t="s">
        <v>52</v>
      </c>
      <c r="D647" s="2141" t="s">
        <v>9302</v>
      </c>
      <c r="E647" s="2141" t="s">
        <v>13950</v>
      </c>
      <c r="F647" s="2142" t="s">
        <v>15400</v>
      </c>
      <c r="G647" s="2141"/>
      <c r="H647" s="2143"/>
      <c r="I647" s="2143" t="s">
        <v>15369</v>
      </c>
      <c r="J647" s="2141" t="s">
        <v>15401</v>
      </c>
      <c r="K647" s="2141"/>
      <c r="L647" s="2144">
        <v>12000000</v>
      </c>
      <c r="M647" s="2141" t="s">
        <v>216</v>
      </c>
      <c r="N647" s="2140">
        <v>45232</v>
      </c>
      <c r="O647" s="2140">
        <v>45266</v>
      </c>
      <c r="P647" s="2140">
        <v>45273</v>
      </c>
      <c r="Q647" s="2143" t="s">
        <v>12041</v>
      </c>
      <c r="R647" s="2141"/>
      <c r="S647" s="2144">
        <v>7252705.5899999999</v>
      </c>
      <c r="T647" s="2144">
        <v>8775773.7599999998</v>
      </c>
      <c r="U647" s="2145"/>
      <c r="V647" s="2145"/>
      <c r="W647" s="2145"/>
      <c r="X647" s="2146">
        <v>45273</v>
      </c>
      <c r="Y647" s="2144" t="s">
        <v>16401</v>
      </c>
      <c r="Z647" s="2140">
        <v>45300</v>
      </c>
      <c r="AA647" s="2140">
        <v>45303</v>
      </c>
      <c r="AB647" s="2141" t="s">
        <v>16564</v>
      </c>
      <c r="AC647" s="2799"/>
      <c r="AD647" s="2799"/>
    </row>
    <row r="648" spans="1:31">
      <c r="A648" s="2124">
        <v>45126</v>
      </c>
      <c r="B648" s="2127" t="s">
        <v>15404</v>
      </c>
      <c r="C648" s="2125" t="s">
        <v>1032</v>
      </c>
      <c r="D648" s="2125" t="s">
        <v>361</v>
      </c>
      <c r="E648" s="2125" t="s">
        <v>13950</v>
      </c>
      <c r="F648" s="2126" t="s">
        <v>15403</v>
      </c>
      <c r="G648" s="2125"/>
      <c r="H648" s="2127"/>
      <c r="I648" s="2127" t="s">
        <v>242</v>
      </c>
      <c r="J648" s="2125" t="s">
        <v>533</v>
      </c>
      <c r="K648" s="2125"/>
      <c r="L648" s="2128">
        <v>2000000</v>
      </c>
      <c r="M648" s="2125" t="s">
        <v>216</v>
      </c>
      <c r="N648" s="2124">
        <v>45139</v>
      </c>
      <c r="O648" s="2124">
        <v>45175</v>
      </c>
      <c r="P648" s="2125"/>
      <c r="Q648" s="2136" t="s">
        <v>242</v>
      </c>
      <c r="R648" s="2125"/>
      <c r="S648" s="2128"/>
      <c r="T648" s="2128"/>
      <c r="U648" s="2129"/>
      <c r="V648" s="2129"/>
      <c r="W648" s="2129"/>
      <c r="X648" s="2128"/>
      <c r="Y648" s="2128"/>
      <c r="Z648" s="2125"/>
      <c r="AA648" s="2124">
        <v>45184</v>
      </c>
      <c r="AB648" s="2127" t="s">
        <v>15738</v>
      </c>
      <c r="AC648" s="2799"/>
      <c r="AD648" s="2799"/>
    </row>
    <row r="649" spans="1:31" ht="15.75" thickBot="1">
      <c r="A649" s="416">
        <v>45128</v>
      </c>
      <c r="B649" s="630" t="s">
        <v>15406</v>
      </c>
      <c r="C649" s="411" t="s">
        <v>1754</v>
      </c>
      <c r="D649" s="411" t="s">
        <v>1753</v>
      </c>
      <c r="E649" s="411" t="s">
        <v>13950</v>
      </c>
      <c r="F649" s="412" t="s">
        <v>15405</v>
      </c>
      <c r="G649" s="411"/>
      <c r="H649" s="630"/>
      <c r="I649" s="630" t="s">
        <v>15369</v>
      </c>
      <c r="J649" s="411" t="s">
        <v>7720</v>
      </c>
      <c r="K649" s="411"/>
      <c r="L649" s="417">
        <v>1200000</v>
      </c>
      <c r="M649" s="411" t="s">
        <v>112</v>
      </c>
      <c r="N649" s="416">
        <v>45168</v>
      </c>
      <c r="O649" s="416">
        <v>45180</v>
      </c>
      <c r="P649" s="416">
        <v>45195</v>
      </c>
      <c r="Q649" s="630" t="s">
        <v>8018</v>
      </c>
      <c r="R649" s="411"/>
      <c r="S649" s="417">
        <v>990000</v>
      </c>
      <c r="T649" s="417">
        <v>1197900</v>
      </c>
      <c r="U649" s="1480"/>
      <c r="V649" s="1480"/>
      <c r="W649" s="1480"/>
      <c r="X649" s="513">
        <v>45195</v>
      </c>
      <c r="Y649" s="417" t="s">
        <v>15864</v>
      </c>
      <c r="Z649" s="416">
        <v>45217</v>
      </c>
      <c r="AA649" s="416">
        <v>45218</v>
      </c>
      <c r="AB649" s="411"/>
      <c r="AC649" s="2799"/>
      <c r="AD649" s="2799"/>
    </row>
    <row r="650" spans="1:31" ht="15.75" thickTop="1">
      <c r="A650" s="474">
        <v>45131</v>
      </c>
      <c r="B650" s="1976" t="s">
        <v>15418</v>
      </c>
      <c r="C650" s="453" t="s">
        <v>52</v>
      </c>
      <c r="D650" s="453" t="s">
        <v>6359</v>
      </c>
      <c r="E650" s="453" t="s">
        <v>13951</v>
      </c>
      <c r="F650" s="473" t="s">
        <v>15422</v>
      </c>
      <c r="G650" s="453">
        <v>1</v>
      </c>
      <c r="H650" s="1420" t="s">
        <v>15424</v>
      </c>
      <c r="I650" s="1420" t="s">
        <v>15369</v>
      </c>
      <c r="J650" s="453" t="s">
        <v>15425</v>
      </c>
      <c r="K650" s="453" t="s">
        <v>15426</v>
      </c>
      <c r="L650" s="457">
        <v>150000</v>
      </c>
      <c r="M650" s="453" t="s">
        <v>112</v>
      </c>
      <c r="N650" s="474">
        <v>45135</v>
      </c>
      <c r="O650" s="474">
        <v>45146</v>
      </c>
      <c r="P650" s="474">
        <v>45154</v>
      </c>
      <c r="Q650" s="1420" t="s">
        <v>15571</v>
      </c>
      <c r="R650" s="453"/>
      <c r="S650" s="457">
        <v>135000</v>
      </c>
      <c r="T650" s="457">
        <v>163350</v>
      </c>
      <c r="U650" s="1474"/>
      <c r="V650" s="1474"/>
      <c r="W650" s="1474"/>
      <c r="X650" s="570">
        <v>45154</v>
      </c>
      <c r="Y650" s="457" t="s">
        <v>15592</v>
      </c>
      <c r="Z650" s="474">
        <v>45168</v>
      </c>
      <c r="AA650" s="474">
        <v>45168</v>
      </c>
      <c r="AB650" s="453"/>
      <c r="AC650" s="1359"/>
      <c r="AD650" s="2799"/>
    </row>
    <row r="651" spans="1:31">
      <c r="A651" s="2140">
        <v>45131</v>
      </c>
      <c r="B651" s="2143" t="s">
        <v>15419</v>
      </c>
      <c r="C651" s="2141" t="s">
        <v>52</v>
      </c>
      <c r="D651" s="2141" t="s">
        <v>6359</v>
      </c>
      <c r="E651" s="2141" t="s">
        <v>13951</v>
      </c>
      <c r="F651" s="2142" t="s">
        <v>15422</v>
      </c>
      <c r="G651" s="2141">
        <v>2</v>
      </c>
      <c r="H651" s="2143" t="s">
        <v>15423</v>
      </c>
      <c r="I651" s="2143" t="s">
        <v>15369</v>
      </c>
      <c r="J651" s="2141" t="s">
        <v>15425</v>
      </c>
      <c r="K651" s="2141" t="s">
        <v>15426</v>
      </c>
      <c r="L651" s="2144">
        <v>120000</v>
      </c>
      <c r="M651" s="2141" t="s">
        <v>112</v>
      </c>
      <c r="N651" s="2140">
        <v>45135</v>
      </c>
      <c r="O651" s="2140">
        <v>45146</v>
      </c>
      <c r="P651" s="2140">
        <v>45154</v>
      </c>
      <c r="Q651" s="2143" t="s">
        <v>15572</v>
      </c>
      <c r="R651" s="2141"/>
      <c r="S651" s="2144">
        <v>115200</v>
      </c>
      <c r="T651" s="2144">
        <v>159720</v>
      </c>
      <c r="U651" s="2145"/>
      <c r="V651" s="2145"/>
      <c r="W651" s="2145"/>
      <c r="X651" s="2146">
        <v>45154</v>
      </c>
      <c r="Y651" s="2144" t="s">
        <v>15597</v>
      </c>
      <c r="Z651" s="2140">
        <v>45166</v>
      </c>
      <c r="AA651" s="2140">
        <v>45167</v>
      </c>
      <c r="AB651" s="2141"/>
      <c r="AC651" s="796"/>
      <c r="AD651" s="796"/>
    </row>
    <row r="652" spans="1:31" ht="15.75" thickBot="1">
      <c r="A652" s="2117">
        <v>45131</v>
      </c>
      <c r="B652" s="2120" t="s">
        <v>15420</v>
      </c>
      <c r="C652" s="2118" t="s">
        <v>52</v>
      </c>
      <c r="D652" s="2118" t="s">
        <v>6359</v>
      </c>
      <c r="E652" s="2118" t="s">
        <v>13951</v>
      </c>
      <c r="F652" s="2119" t="s">
        <v>15422</v>
      </c>
      <c r="G652" s="2118">
        <v>3</v>
      </c>
      <c r="H652" s="2120" t="s">
        <v>15421</v>
      </c>
      <c r="I652" s="2120" t="s">
        <v>15369</v>
      </c>
      <c r="J652" s="2118" t="s">
        <v>15425</v>
      </c>
      <c r="K652" s="2118" t="s">
        <v>15426</v>
      </c>
      <c r="L652" s="2121">
        <v>40000</v>
      </c>
      <c r="M652" s="2118" t="s">
        <v>112</v>
      </c>
      <c r="N652" s="2117">
        <v>45135</v>
      </c>
      <c r="O652" s="2117">
        <v>45146</v>
      </c>
      <c r="P652" s="2117">
        <v>45154</v>
      </c>
      <c r="Q652" s="2120" t="s">
        <v>15573</v>
      </c>
      <c r="R652" s="2118"/>
      <c r="S652" s="2121">
        <v>28000</v>
      </c>
      <c r="T652" s="2121">
        <v>28000</v>
      </c>
      <c r="U652" s="2122"/>
      <c r="V652" s="2122"/>
      <c r="W652" s="2122"/>
      <c r="X652" s="2123">
        <v>45154</v>
      </c>
      <c r="Y652" s="2121" t="s">
        <v>15598</v>
      </c>
      <c r="Z652" s="2117">
        <v>45173</v>
      </c>
      <c r="AA652" s="2117">
        <v>45177</v>
      </c>
      <c r="AB652" s="2118"/>
      <c r="AC652" s="2799"/>
      <c r="AD652" s="2799"/>
    </row>
    <row r="653" spans="1:31" ht="30.75" thickTop="1">
      <c r="A653" s="474">
        <v>45131</v>
      </c>
      <c r="B653" s="1420" t="s">
        <v>15416</v>
      </c>
      <c r="C653" s="453" t="s">
        <v>58</v>
      </c>
      <c r="D653" s="453" t="s">
        <v>4969</v>
      </c>
      <c r="E653" s="453" t="s">
        <v>13948</v>
      </c>
      <c r="F653" s="473" t="s">
        <v>2059</v>
      </c>
      <c r="G653" s="453">
        <v>1</v>
      </c>
      <c r="H653" s="1420" t="s">
        <v>15440</v>
      </c>
      <c r="I653" s="1420" t="s">
        <v>15369</v>
      </c>
      <c r="J653" s="453" t="s">
        <v>2060</v>
      </c>
      <c r="K653" s="453" t="s">
        <v>15417</v>
      </c>
      <c r="L653" s="457">
        <v>2060000</v>
      </c>
      <c r="M653" s="453" t="s">
        <v>251</v>
      </c>
      <c r="N653" s="474">
        <v>45139</v>
      </c>
      <c r="O653" s="474">
        <v>45175</v>
      </c>
      <c r="P653" s="474">
        <v>45215</v>
      </c>
      <c r="Q653" s="1420" t="s">
        <v>15926</v>
      </c>
      <c r="R653" s="453"/>
      <c r="S653" s="457">
        <v>1961272</v>
      </c>
      <c r="T653" s="457">
        <v>2373139.12</v>
      </c>
      <c r="U653" s="1474"/>
      <c r="V653" s="1474"/>
      <c r="W653" s="1474"/>
      <c r="X653" s="570">
        <v>45215</v>
      </c>
      <c r="Y653" s="1387" t="s">
        <v>16023</v>
      </c>
      <c r="Z653" s="474">
        <v>45223</v>
      </c>
      <c r="AA653" s="474">
        <v>45244</v>
      </c>
      <c r="AB653" s="474">
        <v>45373</v>
      </c>
      <c r="AC653" s="2799"/>
      <c r="AD653" s="2799"/>
    </row>
    <row r="654" spans="1:31" ht="30.75" thickBot="1">
      <c r="A654" s="2117">
        <v>45131</v>
      </c>
      <c r="B654" s="2120" t="s">
        <v>15415</v>
      </c>
      <c r="C654" s="2118" t="s">
        <v>58</v>
      </c>
      <c r="D654" s="2118" t="s">
        <v>4969</v>
      </c>
      <c r="E654" s="2118" t="s">
        <v>13948</v>
      </c>
      <c r="F654" s="2119" t="s">
        <v>2059</v>
      </c>
      <c r="G654" s="2118">
        <v>2</v>
      </c>
      <c r="H654" s="2120" t="s">
        <v>15439</v>
      </c>
      <c r="I654" s="2120" t="s">
        <v>15369</v>
      </c>
      <c r="J654" s="2118" t="s">
        <v>2060</v>
      </c>
      <c r="K654" s="2118" t="s">
        <v>15417</v>
      </c>
      <c r="L654" s="2121">
        <v>671160</v>
      </c>
      <c r="M654" s="2118" t="s">
        <v>251</v>
      </c>
      <c r="N654" s="2117">
        <v>45139</v>
      </c>
      <c r="O654" s="2117">
        <v>45175</v>
      </c>
      <c r="P654" s="2117">
        <v>45215</v>
      </c>
      <c r="Q654" s="2120" t="s">
        <v>15927</v>
      </c>
      <c r="R654" s="2118"/>
      <c r="S654" s="2121">
        <v>672250</v>
      </c>
      <c r="T654" s="2121">
        <v>813422.5</v>
      </c>
      <c r="U654" s="2122"/>
      <c r="V654" s="2122"/>
      <c r="W654" s="2122"/>
      <c r="X654" s="2123">
        <v>45215</v>
      </c>
      <c r="Y654" s="2246" t="s">
        <v>16024</v>
      </c>
      <c r="Z654" s="2117">
        <v>45223</v>
      </c>
      <c r="AA654" s="2117">
        <v>45244</v>
      </c>
      <c r="AB654" s="2117">
        <v>45279</v>
      </c>
      <c r="AC654" s="2799"/>
      <c r="AD654" s="2799"/>
    </row>
    <row r="655" spans="1:31" ht="30.75" thickTop="1">
      <c r="A655" s="365">
        <v>45132</v>
      </c>
      <c r="B655" s="3192" t="s">
        <v>15430</v>
      </c>
      <c r="C655" s="3191" t="s">
        <v>58</v>
      </c>
      <c r="D655" s="3191" t="s">
        <v>4969</v>
      </c>
      <c r="E655" s="3191" t="s">
        <v>13951</v>
      </c>
      <c r="F655" s="175" t="s">
        <v>15431</v>
      </c>
      <c r="G655" s="3191"/>
      <c r="H655" s="3192"/>
      <c r="I655" s="3192" t="s">
        <v>15369</v>
      </c>
      <c r="J655" s="3191" t="s">
        <v>5027</v>
      </c>
      <c r="K655" s="3191" t="s">
        <v>15432</v>
      </c>
      <c r="L655" s="364">
        <v>310000</v>
      </c>
      <c r="M655" s="3191" t="s">
        <v>112</v>
      </c>
      <c r="N655" s="365">
        <v>45134</v>
      </c>
      <c r="O655" s="365">
        <v>45145</v>
      </c>
      <c r="P655" s="365">
        <v>45153</v>
      </c>
      <c r="Q655" s="3192" t="s">
        <v>15563</v>
      </c>
      <c r="R655" s="3191"/>
      <c r="S655" s="364">
        <v>301742.96000000002</v>
      </c>
      <c r="T655" s="364">
        <v>365108.98</v>
      </c>
      <c r="U655" s="1473"/>
      <c r="V655" s="1473"/>
      <c r="W655" s="1473"/>
      <c r="X655" s="681">
        <v>45153</v>
      </c>
      <c r="Y655" s="1417" t="s">
        <v>15734</v>
      </c>
      <c r="Z655" s="365">
        <v>45161</v>
      </c>
      <c r="AA655" s="365">
        <v>45167</v>
      </c>
      <c r="AB655" s="3191"/>
      <c r="AC655" s="2799"/>
      <c r="AD655" s="2799"/>
    </row>
    <row r="656" spans="1:31" ht="30">
      <c r="A656" s="2140">
        <v>45132</v>
      </c>
      <c r="B656" s="2143" t="s">
        <v>15434</v>
      </c>
      <c r="C656" s="2141" t="s">
        <v>2434</v>
      </c>
      <c r="D656" s="2141" t="s">
        <v>3204</v>
      </c>
      <c r="E656" s="2141" t="s">
        <v>13948</v>
      </c>
      <c r="F656" s="2142" t="s">
        <v>9561</v>
      </c>
      <c r="G656" s="2141"/>
      <c r="H656" s="2143"/>
      <c r="I656" s="2143" t="s">
        <v>15369</v>
      </c>
      <c r="J656" s="2141" t="s">
        <v>642</v>
      </c>
      <c r="K656" s="2141"/>
      <c r="L656" s="2144">
        <v>2967000</v>
      </c>
      <c r="M656" s="2141" t="s">
        <v>216</v>
      </c>
      <c r="N656" s="2140">
        <v>45139</v>
      </c>
      <c r="O656" s="2140">
        <v>45174</v>
      </c>
      <c r="P656" s="2140">
        <v>45215</v>
      </c>
      <c r="Q656" s="2143" t="s">
        <v>9770</v>
      </c>
      <c r="R656" s="2141"/>
      <c r="S656" s="2144">
        <v>2967000</v>
      </c>
      <c r="T656" s="2144">
        <v>3590070</v>
      </c>
      <c r="U656" s="2145"/>
      <c r="V656" s="2145"/>
      <c r="W656" s="2145"/>
      <c r="X656" s="2146">
        <v>45215</v>
      </c>
      <c r="Y656" s="2260" t="s">
        <v>16021</v>
      </c>
      <c r="Z656" s="2140">
        <v>45218</v>
      </c>
      <c r="AA656" s="2140">
        <v>45224</v>
      </c>
      <c r="AB656" s="2140">
        <v>46706</v>
      </c>
      <c r="AC656" s="2799"/>
      <c r="AD656" s="2799"/>
      <c r="AE656" s="360" t="s">
        <v>15828</v>
      </c>
    </row>
    <row r="657" spans="1:44" ht="30">
      <c r="A657" s="2140">
        <v>45133</v>
      </c>
      <c r="B657" s="2143" t="s">
        <v>15441</v>
      </c>
      <c r="C657" s="2141" t="s">
        <v>58</v>
      </c>
      <c r="D657" s="2141" t="s">
        <v>15443</v>
      </c>
      <c r="E657" s="2141" t="s">
        <v>13951</v>
      </c>
      <c r="F657" s="2142" t="s">
        <v>15444</v>
      </c>
      <c r="G657" s="2141"/>
      <c r="H657" s="2143"/>
      <c r="I657" s="2143" t="s">
        <v>15369</v>
      </c>
      <c r="J657" s="2141" t="s">
        <v>476</v>
      </c>
      <c r="K657" s="2141" t="s">
        <v>15445</v>
      </c>
      <c r="L657" s="2144">
        <v>379000</v>
      </c>
      <c r="M657" s="2141" t="s">
        <v>112</v>
      </c>
      <c r="N657" s="2140">
        <v>45140</v>
      </c>
      <c r="O657" s="2140">
        <v>45152</v>
      </c>
      <c r="P657" s="2140">
        <v>45168</v>
      </c>
      <c r="Q657" s="2143" t="s">
        <v>9720</v>
      </c>
      <c r="R657" s="2141"/>
      <c r="S657" s="2144">
        <v>248850</v>
      </c>
      <c r="T657" s="2144">
        <v>301108.5</v>
      </c>
      <c r="U657" s="2145"/>
      <c r="V657" s="2145"/>
      <c r="W657" s="2145"/>
      <c r="X657" s="2146">
        <v>45168</v>
      </c>
      <c r="Y657" s="2260" t="s">
        <v>15751</v>
      </c>
      <c r="Z657" s="2140">
        <v>45175</v>
      </c>
      <c r="AA657" s="2140">
        <v>45175</v>
      </c>
      <c r="AB657" s="2140">
        <v>45265</v>
      </c>
      <c r="AC657" s="2799"/>
      <c r="AD657" s="2799"/>
    </row>
    <row r="658" spans="1:44" ht="30">
      <c r="A658" s="2140">
        <v>45133</v>
      </c>
      <c r="B658" s="2143" t="s">
        <v>15442</v>
      </c>
      <c r="C658" s="2141" t="s">
        <v>58</v>
      </c>
      <c r="D658" s="2141" t="s">
        <v>15443</v>
      </c>
      <c r="E658" s="2141" t="s">
        <v>13951</v>
      </c>
      <c r="F658" s="2142" t="s">
        <v>15447</v>
      </c>
      <c r="G658" s="2141"/>
      <c r="H658" s="2143"/>
      <c r="I658" s="2143" t="s">
        <v>15369</v>
      </c>
      <c r="J658" s="2141" t="s">
        <v>476</v>
      </c>
      <c r="K658" s="2141" t="s">
        <v>15446</v>
      </c>
      <c r="L658" s="2144">
        <v>180000</v>
      </c>
      <c r="M658" s="2141" t="s">
        <v>112</v>
      </c>
      <c r="N658" s="2140">
        <v>45140</v>
      </c>
      <c r="O658" s="2140">
        <v>45160</v>
      </c>
      <c r="P658" s="2140">
        <v>45167</v>
      </c>
      <c r="Q658" s="2143" t="s">
        <v>9720</v>
      </c>
      <c r="R658" s="2141"/>
      <c r="S658" s="2144">
        <v>111050</v>
      </c>
      <c r="T658" s="2144">
        <v>134370.5</v>
      </c>
      <c r="U658" s="2145"/>
      <c r="V658" s="2145"/>
      <c r="W658" s="2145"/>
      <c r="X658" s="2146">
        <v>45167</v>
      </c>
      <c r="Y658" s="2260" t="s">
        <v>15741</v>
      </c>
      <c r="Z658" s="2140">
        <v>45181</v>
      </c>
      <c r="AA658" s="2140">
        <v>45181</v>
      </c>
      <c r="AB658" s="2140">
        <v>45293</v>
      </c>
      <c r="AC658" s="2799"/>
      <c r="AD658" s="2799"/>
    </row>
    <row r="659" spans="1:44" ht="15.75" thickBot="1">
      <c r="A659" s="416">
        <v>45134</v>
      </c>
      <c r="B659" s="630" t="s">
        <v>15454</v>
      </c>
      <c r="C659" s="411" t="s">
        <v>69</v>
      </c>
      <c r="D659" s="411" t="s">
        <v>15129</v>
      </c>
      <c r="E659" s="411" t="s">
        <v>13949</v>
      </c>
      <c r="F659" s="412" t="s">
        <v>15455</v>
      </c>
      <c r="G659" s="411"/>
      <c r="H659" s="630"/>
      <c r="I659" s="630" t="s">
        <v>15369</v>
      </c>
      <c r="J659" s="411" t="s">
        <v>93</v>
      </c>
      <c r="K659" s="411"/>
      <c r="L659" s="417">
        <v>32734279</v>
      </c>
      <c r="M659" s="411" t="s">
        <v>251</v>
      </c>
      <c r="N659" s="416">
        <v>45148</v>
      </c>
      <c r="O659" s="416">
        <v>45184</v>
      </c>
      <c r="P659" s="416">
        <v>45216</v>
      </c>
      <c r="Q659" s="630" t="s">
        <v>5566</v>
      </c>
      <c r="R659" s="411"/>
      <c r="S659" s="417">
        <v>30688488</v>
      </c>
      <c r="T659" s="417">
        <v>33757336.799999997</v>
      </c>
      <c r="U659" s="1480"/>
      <c r="V659" s="1480"/>
      <c r="W659" s="1480"/>
      <c r="X659" s="513">
        <v>45216</v>
      </c>
      <c r="Y659" s="417" t="s">
        <v>16034</v>
      </c>
      <c r="Z659" s="416">
        <v>45223</v>
      </c>
      <c r="AA659" s="416">
        <v>45224</v>
      </c>
      <c r="AB659" s="416">
        <v>46318</v>
      </c>
      <c r="AC659" s="2799"/>
      <c r="AD659" s="2799"/>
    </row>
    <row r="660" spans="1:44" ht="30.75" thickTop="1">
      <c r="A660" s="453" t="s">
        <v>3585</v>
      </c>
      <c r="B660" s="1420" t="s">
        <v>15470</v>
      </c>
      <c r="C660" s="453" t="s">
        <v>58</v>
      </c>
      <c r="D660" s="453" t="s">
        <v>15443</v>
      </c>
      <c r="E660" s="453" t="s">
        <v>13950</v>
      </c>
      <c r="F660" s="473" t="s">
        <v>15471</v>
      </c>
      <c r="G660" s="453">
        <v>1</v>
      </c>
      <c r="H660" s="1420" t="s">
        <v>15472</v>
      </c>
      <c r="I660" s="1420" t="s">
        <v>15369</v>
      </c>
      <c r="J660" s="453" t="s">
        <v>421</v>
      </c>
      <c r="K660" s="453" t="s">
        <v>14722</v>
      </c>
      <c r="L660" s="457">
        <v>2220000</v>
      </c>
      <c r="M660" s="453" t="s">
        <v>251</v>
      </c>
      <c r="N660" s="474">
        <v>45148</v>
      </c>
      <c r="O660" s="474">
        <v>45209</v>
      </c>
      <c r="P660" s="474">
        <v>45244</v>
      </c>
      <c r="Q660" s="1420" t="s">
        <v>12260</v>
      </c>
      <c r="R660" s="453"/>
      <c r="S660" s="457">
        <v>1914866.42</v>
      </c>
      <c r="T660" s="457">
        <v>2316988.37</v>
      </c>
      <c r="U660" s="1474"/>
      <c r="V660" s="1474"/>
      <c r="W660" s="1474"/>
      <c r="X660" s="570">
        <v>45244</v>
      </c>
      <c r="Y660" s="1387" t="s">
        <v>16245</v>
      </c>
      <c r="Z660" s="474">
        <v>45273</v>
      </c>
      <c r="AA660" s="474">
        <v>45289</v>
      </c>
      <c r="AB660" s="474">
        <v>45393</v>
      </c>
      <c r="AC660" s="2799"/>
      <c r="AD660" s="2799"/>
    </row>
    <row r="661" spans="1:44" ht="30">
      <c r="A661" s="2140">
        <v>45134</v>
      </c>
      <c r="B661" s="2143" t="s">
        <v>15473</v>
      </c>
      <c r="C661" s="2141" t="s">
        <v>58</v>
      </c>
      <c r="D661" s="2141" t="s">
        <v>15443</v>
      </c>
      <c r="E661" s="2141" t="s">
        <v>13950</v>
      </c>
      <c r="F661" s="2142" t="s">
        <v>15471</v>
      </c>
      <c r="G661" s="2141">
        <v>2</v>
      </c>
      <c r="H661" s="2143" t="s">
        <v>12449</v>
      </c>
      <c r="I661" s="2143" t="s">
        <v>15369</v>
      </c>
      <c r="J661" s="2141" t="s">
        <v>421</v>
      </c>
      <c r="K661" s="2141" t="s">
        <v>15476</v>
      </c>
      <c r="L661" s="2144">
        <v>260000</v>
      </c>
      <c r="M661" s="2141" t="s">
        <v>251</v>
      </c>
      <c r="N661" s="2140">
        <v>45148</v>
      </c>
      <c r="O661" s="2140">
        <v>45209</v>
      </c>
      <c r="P661" s="2140">
        <v>45244</v>
      </c>
      <c r="Q661" s="2143" t="s">
        <v>12260</v>
      </c>
      <c r="R661" s="2141"/>
      <c r="S661" s="2144">
        <v>233600</v>
      </c>
      <c r="T661" s="2144">
        <v>282656</v>
      </c>
      <c r="U661" s="2145"/>
      <c r="V661" s="2145"/>
      <c r="W661" s="2145"/>
      <c r="X661" s="2146">
        <v>45244</v>
      </c>
      <c r="Y661" s="2260" t="s">
        <v>16246</v>
      </c>
      <c r="Z661" s="2140">
        <v>45273</v>
      </c>
      <c r="AA661" s="2140">
        <v>45289</v>
      </c>
      <c r="AB661" s="2140">
        <v>45318</v>
      </c>
      <c r="AC661" s="2799"/>
      <c r="AD661" s="2799"/>
    </row>
    <row r="662" spans="1:44" ht="15.75" thickBot="1">
      <c r="A662" s="2117">
        <v>45134</v>
      </c>
      <c r="B662" s="2120" t="s">
        <v>15474</v>
      </c>
      <c r="C662" s="2118" t="s">
        <v>58</v>
      </c>
      <c r="D662" s="2118" t="s">
        <v>15443</v>
      </c>
      <c r="E662" s="2118" t="s">
        <v>13950</v>
      </c>
      <c r="F662" s="2119" t="s">
        <v>15471</v>
      </c>
      <c r="G662" s="2118">
        <v>3</v>
      </c>
      <c r="H662" s="2120" t="s">
        <v>15475</v>
      </c>
      <c r="I662" s="2120" t="s">
        <v>15369</v>
      </c>
      <c r="J662" s="2118" t="s">
        <v>421</v>
      </c>
      <c r="K662" s="2118" t="s">
        <v>15477</v>
      </c>
      <c r="L662" s="2121">
        <v>228000</v>
      </c>
      <c r="M662" s="2118" t="s">
        <v>251</v>
      </c>
      <c r="N662" s="2117">
        <v>45148</v>
      </c>
      <c r="O662" s="2117">
        <v>45209</v>
      </c>
      <c r="P662" s="2117">
        <v>45244</v>
      </c>
      <c r="Q662" s="2120" t="s">
        <v>12260</v>
      </c>
      <c r="R662" s="2118"/>
      <c r="S662" s="2121">
        <v>227144</v>
      </c>
      <c r="T662" s="2121">
        <v>274544.24</v>
      </c>
      <c r="U662" s="2122"/>
      <c r="V662" s="2122"/>
      <c r="W662" s="2122"/>
      <c r="X662" s="2123">
        <v>45244</v>
      </c>
      <c r="Y662" s="2121" t="s">
        <v>16244</v>
      </c>
      <c r="Z662" s="2117">
        <v>45275</v>
      </c>
      <c r="AA662" s="2117">
        <v>45289</v>
      </c>
      <c r="AB662" s="2117">
        <v>45317</v>
      </c>
      <c r="AC662" s="2799"/>
      <c r="AD662" s="2799"/>
    </row>
    <row r="663" spans="1:44" ht="15.75" thickTop="1">
      <c r="A663" s="470">
        <v>45138</v>
      </c>
      <c r="B663" s="654" t="s">
        <v>15478</v>
      </c>
      <c r="C663" s="466" t="s">
        <v>58</v>
      </c>
      <c r="D663" s="466" t="s">
        <v>15443</v>
      </c>
      <c r="E663" s="466" t="s">
        <v>13948</v>
      </c>
      <c r="F663" s="467" t="s">
        <v>8864</v>
      </c>
      <c r="G663" s="466"/>
      <c r="H663" s="654"/>
      <c r="I663" s="654" t="s">
        <v>242</v>
      </c>
      <c r="J663" s="466" t="s">
        <v>77</v>
      </c>
      <c r="K663" s="466" t="s">
        <v>15479</v>
      </c>
      <c r="L663" s="472">
        <v>253918</v>
      </c>
      <c r="M663" s="466" t="s">
        <v>251</v>
      </c>
      <c r="N663" s="470">
        <v>45142</v>
      </c>
      <c r="O663" s="470">
        <v>45177</v>
      </c>
      <c r="P663" s="466"/>
      <c r="Q663" s="471" t="s">
        <v>4505</v>
      </c>
      <c r="R663" s="2014" t="s">
        <v>16111</v>
      </c>
      <c r="S663" s="472"/>
      <c r="T663" s="472"/>
      <c r="U663" s="1489"/>
      <c r="V663" s="1489"/>
      <c r="W663" s="1489"/>
      <c r="X663" s="472"/>
      <c r="Y663" s="472"/>
      <c r="Z663" s="466"/>
      <c r="AA663" s="470">
        <v>45238</v>
      </c>
      <c r="AB663" s="654" t="s">
        <v>16113</v>
      </c>
      <c r="AC663" s="2799"/>
      <c r="AD663" s="2799"/>
    </row>
    <row r="664" spans="1:44" ht="15.75" thickBot="1">
      <c r="A664" s="416">
        <v>45138</v>
      </c>
      <c r="B664" s="630" t="s">
        <v>15480</v>
      </c>
      <c r="C664" s="411" t="s">
        <v>58</v>
      </c>
      <c r="D664" s="411" t="s">
        <v>15443</v>
      </c>
      <c r="E664" s="411" t="s">
        <v>13951</v>
      </c>
      <c r="F664" s="412" t="s">
        <v>10293</v>
      </c>
      <c r="G664" s="411"/>
      <c r="H664" s="630"/>
      <c r="I664" s="630" t="s">
        <v>15369</v>
      </c>
      <c r="J664" s="411" t="s">
        <v>261</v>
      </c>
      <c r="K664" s="411" t="s">
        <v>15481</v>
      </c>
      <c r="L664" s="417">
        <v>931602</v>
      </c>
      <c r="M664" s="411" t="s">
        <v>112</v>
      </c>
      <c r="N664" s="416">
        <v>45142</v>
      </c>
      <c r="O664" s="416">
        <v>45153</v>
      </c>
      <c r="P664" s="416">
        <v>45161</v>
      </c>
      <c r="Q664" s="630" t="s">
        <v>4483</v>
      </c>
      <c r="R664" s="411"/>
      <c r="S664" s="417">
        <v>931600</v>
      </c>
      <c r="T664" s="417">
        <v>1127236</v>
      </c>
      <c r="U664" s="1480"/>
      <c r="V664" s="1480"/>
      <c r="W664" s="1480"/>
      <c r="X664" s="513">
        <v>45161</v>
      </c>
      <c r="Y664" s="417" t="s">
        <v>15676</v>
      </c>
      <c r="Z664" s="416">
        <v>45181</v>
      </c>
      <c r="AA664" s="416">
        <v>45181</v>
      </c>
      <c r="AB664" s="416">
        <v>45195</v>
      </c>
      <c r="AC664" s="2799"/>
      <c r="AD664" s="2799"/>
    </row>
    <row r="665" spans="1:44" ht="30.75" thickTop="1">
      <c r="A665" s="474">
        <v>45139</v>
      </c>
      <c r="B665" s="1420" t="s">
        <v>15483</v>
      </c>
      <c r="C665" s="453" t="s">
        <v>58</v>
      </c>
      <c r="D665" s="453" t="s">
        <v>15443</v>
      </c>
      <c r="E665" s="453" t="s">
        <v>13951</v>
      </c>
      <c r="F665" s="473" t="s">
        <v>15485</v>
      </c>
      <c r="G665" s="453">
        <v>1</v>
      </c>
      <c r="H665" s="1420" t="s">
        <v>15486</v>
      </c>
      <c r="I665" s="1420" t="s">
        <v>15369</v>
      </c>
      <c r="J665" s="453" t="s">
        <v>5027</v>
      </c>
      <c r="K665" s="453" t="s">
        <v>15487</v>
      </c>
      <c r="L665" s="457">
        <v>295000</v>
      </c>
      <c r="M665" s="453" t="s">
        <v>112</v>
      </c>
      <c r="N665" s="474">
        <v>45142</v>
      </c>
      <c r="O665" s="474">
        <v>45166</v>
      </c>
      <c r="P665" s="474">
        <v>45182</v>
      </c>
      <c r="Q665" s="1420" t="s">
        <v>8867</v>
      </c>
      <c r="R665" s="453"/>
      <c r="S665" s="457">
        <v>226730</v>
      </c>
      <c r="T665" s="457">
        <v>274343.3</v>
      </c>
      <c r="U665" s="1474"/>
      <c r="V665" s="1474"/>
      <c r="W665" s="1474"/>
      <c r="X665" s="570">
        <v>45182</v>
      </c>
      <c r="Y665" s="1387" t="s">
        <v>15802</v>
      </c>
      <c r="Z665" s="474">
        <v>45212</v>
      </c>
      <c r="AA665" s="474">
        <v>45217</v>
      </c>
      <c r="AB665" s="453"/>
      <c r="AC665" s="2799"/>
      <c r="AD665" s="2799"/>
    </row>
    <row r="666" spans="1:44" ht="30.75" thickBot="1">
      <c r="A666" s="2117">
        <v>45139</v>
      </c>
      <c r="B666" s="2120" t="s">
        <v>15484</v>
      </c>
      <c r="C666" s="2118" t="s">
        <v>58</v>
      </c>
      <c r="D666" s="2118" t="s">
        <v>15443</v>
      </c>
      <c r="E666" s="2118" t="s">
        <v>13951</v>
      </c>
      <c r="F666" s="2119" t="s">
        <v>15485</v>
      </c>
      <c r="G666" s="2118">
        <v>2</v>
      </c>
      <c r="H666" s="2120" t="s">
        <v>15488</v>
      </c>
      <c r="I666" s="2120" t="s">
        <v>15369</v>
      </c>
      <c r="J666" s="2118" t="s">
        <v>5027</v>
      </c>
      <c r="K666" s="2118" t="s">
        <v>15487</v>
      </c>
      <c r="L666" s="2121">
        <v>450000</v>
      </c>
      <c r="M666" s="2118" t="s">
        <v>112</v>
      </c>
      <c r="N666" s="2117">
        <v>45142</v>
      </c>
      <c r="O666" s="2117">
        <v>45166</v>
      </c>
      <c r="P666" s="2117">
        <v>45182</v>
      </c>
      <c r="Q666" s="2120" t="s">
        <v>8867</v>
      </c>
      <c r="R666" s="2118"/>
      <c r="S666" s="2121">
        <v>304230</v>
      </c>
      <c r="T666" s="2121">
        <v>368118.3</v>
      </c>
      <c r="U666" s="2122"/>
      <c r="V666" s="2122"/>
      <c r="W666" s="2122"/>
      <c r="X666" s="2123">
        <v>45182</v>
      </c>
      <c r="Y666" s="2246" t="s">
        <v>15803</v>
      </c>
      <c r="Z666" s="2117">
        <v>45212</v>
      </c>
      <c r="AA666" s="2117">
        <v>45217</v>
      </c>
      <c r="AB666" s="2118"/>
      <c r="AC666" s="2799"/>
      <c r="AD666" s="2799"/>
    </row>
    <row r="667" spans="1:44" ht="30.75" thickTop="1">
      <c r="A667" s="453" t="s">
        <v>3585</v>
      </c>
      <c r="B667" s="1420" t="s">
        <v>15510</v>
      </c>
      <c r="C667" s="453" t="s">
        <v>58</v>
      </c>
      <c r="D667" s="453" t="s">
        <v>15443</v>
      </c>
      <c r="E667" s="453" t="s">
        <v>13948</v>
      </c>
      <c r="F667" s="473" t="s">
        <v>15508</v>
      </c>
      <c r="G667" s="453">
        <v>1</v>
      </c>
      <c r="H667" s="1420" t="s">
        <v>15509</v>
      </c>
      <c r="I667" s="1420" t="s">
        <v>15369</v>
      </c>
      <c r="J667" s="453" t="s">
        <v>292</v>
      </c>
      <c r="K667" s="453" t="s">
        <v>14952</v>
      </c>
      <c r="L667" s="457">
        <v>309978</v>
      </c>
      <c r="M667" s="453" t="s">
        <v>251</v>
      </c>
      <c r="N667" s="474">
        <v>45183</v>
      </c>
      <c r="O667" s="474">
        <v>45218</v>
      </c>
      <c r="P667" s="474">
        <v>45293</v>
      </c>
      <c r="Q667" s="1420" t="s">
        <v>6787</v>
      </c>
      <c r="R667" s="453"/>
      <c r="S667" s="457">
        <v>293658</v>
      </c>
      <c r="T667" s="457">
        <v>355326.18</v>
      </c>
      <c r="U667" s="1474"/>
      <c r="V667" s="1474"/>
      <c r="W667" s="1474"/>
      <c r="X667" s="570">
        <v>45293</v>
      </c>
      <c r="Y667" s="1387" t="s">
        <v>16482</v>
      </c>
      <c r="Z667" s="474">
        <v>45323</v>
      </c>
      <c r="AA667" s="474">
        <v>45330</v>
      </c>
      <c r="AB667" s="474">
        <v>45383</v>
      </c>
      <c r="AC667" s="2799"/>
      <c r="AD667" s="2799"/>
    </row>
    <row r="668" spans="1:44">
      <c r="A668" s="643">
        <v>45139</v>
      </c>
      <c r="B668" s="1533" t="s">
        <v>15511</v>
      </c>
      <c r="C668" s="639" t="s">
        <v>58</v>
      </c>
      <c r="D668" s="639" t="s">
        <v>15443</v>
      </c>
      <c r="E668" s="639" t="s">
        <v>13948</v>
      </c>
      <c r="F668" s="640" t="s">
        <v>15508</v>
      </c>
      <c r="G668" s="639">
        <v>2</v>
      </c>
      <c r="H668" s="1533" t="s">
        <v>15512</v>
      </c>
      <c r="I668" s="1533" t="s">
        <v>242</v>
      </c>
      <c r="J668" s="639" t="s">
        <v>292</v>
      </c>
      <c r="K668" s="639" t="s">
        <v>16064</v>
      </c>
      <c r="L668" s="645">
        <v>368000</v>
      </c>
      <c r="M668" s="639" t="s">
        <v>251</v>
      </c>
      <c r="N668" s="643">
        <v>45183</v>
      </c>
      <c r="O668" s="643">
        <v>45218</v>
      </c>
      <c r="P668" s="639"/>
      <c r="Q668" s="644" t="s">
        <v>4505</v>
      </c>
      <c r="R668" s="2019" t="s">
        <v>16237</v>
      </c>
      <c r="S668" s="645"/>
      <c r="T668" s="645"/>
      <c r="U668" s="1534"/>
      <c r="V668" s="1534"/>
      <c r="W668" s="1534"/>
      <c r="X668" s="645"/>
      <c r="Y668" s="645"/>
      <c r="Z668" s="639"/>
      <c r="AA668" s="643">
        <v>45258</v>
      </c>
      <c r="AB668" s="1533" t="s">
        <v>16213</v>
      </c>
      <c r="AC668" s="2799"/>
      <c r="AD668" s="2799"/>
    </row>
    <row r="669" spans="1:44" ht="30.75" thickBot="1">
      <c r="A669" s="2117" t="s">
        <v>3585</v>
      </c>
      <c r="B669" s="2120" t="s">
        <v>16062</v>
      </c>
      <c r="C669" s="2118" t="s">
        <v>58</v>
      </c>
      <c r="D669" s="2118" t="s">
        <v>15443</v>
      </c>
      <c r="E669" s="2118" t="s">
        <v>13948</v>
      </c>
      <c r="F669" s="2119" t="s">
        <v>15508</v>
      </c>
      <c r="G669" s="2118">
        <v>3</v>
      </c>
      <c r="H669" s="2120" t="s">
        <v>16063</v>
      </c>
      <c r="I669" s="2120" t="s">
        <v>15369</v>
      </c>
      <c r="J669" s="2118" t="s">
        <v>292</v>
      </c>
      <c r="K669" s="2118" t="s">
        <v>14950</v>
      </c>
      <c r="L669" s="2121">
        <v>338000</v>
      </c>
      <c r="M669" s="2118" t="s">
        <v>251</v>
      </c>
      <c r="N669" s="2117">
        <v>45183</v>
      </c>
      <c r="O669" s="2117">
        <v>45218</v>
      </c>
      <c r="P669" s="2117">
        <v>45293</v>
      </c>
      <c r="Q669" s="2120" t="s">
        <v>9936</v>
      </c>
      <c r="R669" s="2118"/>
      <c r="S669" s="2121">
        <v>268720</v>
      </c>
      <c r="T669" s="2121">
        <v>325151.2</v>
      </c>
      <c r="U669" s="2122"/>
      <c r="V669" s="2122"/>
      <c r="W669" s="2122"/>
      <c r="X669" s="2123">
        <v>45293</v>
      </c>
      <c r="Y669" s="2246" t="s">
        <v>16483</v>
      </c>
      <c r="Z669" s="2117">
        <v>45307</v>
      </c>
      <c r="AA669" s="2117">
        <v>45330</v>
      </c>
      <c r="AB669" s="2117">
        <v>45367</v>
      </c>
      <c r="AC669" s="2799"/>
      <c r="AD669" s="2799"/>
    </row>
    <row r="670" spans="1:44" s="390" customFormat="1" ht="15.75" thickTop="1">
      <c r="A670" s="365">
        <v>45140</v>
      </c>
      <c r="B670" s="3192" t="s">
        <v>15498</v>
      </c>
      <c r="C670" s="3191" t="s">
        <v>69</v>
      </c>
      <c r="D670" s="3191" t="s">
        <v>15131</v>
      </c>
      <c r="E670" s="3191" t="s">
        <v>13949</v>
      </c>
      <c r="F670" s="175" t="s">
        <v>15499</v>
      </c>
      <c r="G670" s="3191"/>
      <c r="H670" s="3192"/>
      <c r="I670" s="3192" t="s">
        <v>15369</v>
      </c>
      <c r="J670" s="3191" t="s">
        <v>93</v>
      </c>
      <c r="K670" s="3191"/>
      <c r="L670" s="364">
        <v>4103368</v>
      </c>
      <c r="M670" s="3191" t="s">
        <v>251</v>
      </c>
      <c r="N670" s="365">
        <v>45154</v>
      </c>
      <c r="O670" s="365">
        <v>45189</v>
      </c>
      <c r="P670" s="365">
        <v>45216</v>
      </c>
      <c r="Q670" s="3192" t="s">
        <v>576</v>
      </c>
      <c r="R670" s="3191"/>
      <c r="S670" s="364">
        <v>4103367.84</v>
      </c>
      <c r="T670" s="364">
        <v>4513704.62</v>
      </c>
      <c r="U670" s="1473"/>
      <c r="V670" s="1473"/>
      <c r="W670" s="1473"/>
      <c r="X670" s="681">
        <v>45216</v>
      </c>
      <c r="Y670" s="364" t="s">
        <v>16037</v>
      </c>
      <c r="Z670" s="365">
        <v>45223</v>
      </c>
      <c r="AA670" s="365">
        <v>45224</v>
      </c>
      <c r="AB670" s="365">
        <v>46318</v>
      </c>
      <c r="AC670" s="2106"/>
      <c r="AD670" s="2106"/>
      <c r="AE670" s="360"/>
      <c r="AF670" s="360"/>
      <c r="AG670" s="360"/>
      <c r="AH670" s="360"/>
      <c r="AI670" s="360"/>
      <c r="AJ670" s="360"/>
      <c r="AK670" s="360"/>
      <c r="AL670" s="360"/>
      <c r="AM670" s="360"/>
      <c r="AN670" s="360"/>
      <c r="AO670" s="360"/>
      <c r="AP670" s="360"/>
      <c r="AQ670" s="360"/>
      <c r="AR670" s="360"/>
    </row>
    <row r="671" spans="1:44" s="390" customFormat="1">
      <c r="A671" s="2124">
        <v>45140</v>
      </c>
      <c r="B671" s="2127" t="s">
        <v>15500</v>
      </c>
      <c r="C671" s="2125" t="s">
        <v>69</v>
      </c>
      <c r="D671" s="2125" t="s">
        <v>15131</v>
      </c>
      <c r="E671" s="2125" t="s">
        <v>13949</v>
      </c>
      <c r="F671" s="2126" t="s">
        <v>15501</v>
      </c>
      <c r="G671" s="2125"/>
      <c r="H671" s="2127"/>
      <c r="I671" s="2127" t="s">
        <v>242</v>
      </c>
      <c r="J671" s="2125" t="s">
        <v>4189</v>
      </c>
      <c r="K671" s="2125"/>
      <c r="L671" s="2128">
        <v>9322134</v>
      </c>
      <c r="M671" s="2125" t="s">
        <v>251</v>
      </c>
      <c r="N671" s="2124">
        <v>45154</v>
      </c>
      <c r="O671" s="2124">
        <v>45190</v>
      </c>
      <c r="P671" s="2125"/>
      <c r="Q671" s="2136" t="s">
        <v>304</v>
      </c>
      <c r="R671" s="2125"/>
      <c r="S671" s="2128"/>
      <c r="T671" s="2128"/>
      <c r="U671" s="2129"/>
      <c r="V671" s="2129"/>
      <c r="W671" s="2129"/>
      <c r="X671" s="2128"/>
      <c r="Y671" s="2128"/>
      <c r="Z671" s="2125"/>
      <c r="AA671" s="2124">
        <v>45196</v>
      </c>
      <c r="AB671" s="2127" t="s">
        <v>15959</v>
      </c>
      <c r="AC671" s="2106"/>
      <c r="AD671" s="2106"/>
      <c r="AE671" s="360"/>
      <c r="AF671" s="360"/>
      <c r="AG671" s="360"/>
      <c r="AH671" s="360"/>
      <c r="AI671" s="360"/>
      <c r="AJ671" s="360"/>
      <c r="AK671" s="360"/>
      <c r="AL671" s="360"/>
      <c r="AM671" s="360"/>
      <c r="AN671" s="360"/>
      <c r="AO671" s="360"/>
      <c r="AP671" s="360"/>
      <c r="AQ671" s="360"/>
      <c r="AR671" s="360"/>
    </row>
    <row r="672" spans="1:44" s="390" customFormat="1" ht="15.75" thickBot="1">
      <c r="A672" s="675">
        <v>45138</v>
      </c>
      <c r="B672" s="1983" t="s">
        <v>15513</v>
      </c>
      <c r="C672" s="517" t="s">
        <v>2434</v>
      </c>
      <c r="D672" s="517" t="s">
        <v>219</v>
      </c>
      <c r="E672" s="517" t="s">
        <v>13948</v>
      </c>
      <c r="F672" s="672" t="s">
        <v>15514</v>
      </c>
      <c r="G672" s="517"/>
      <c r="H672" s="1983"/>
      <c r="I672" s="1983" t="s">
        <v>15369</v>
      </c>
      <c r="J672" s="517" t="s">
        <v>3271</v>
      </c>
      <c r="K672" s="517"/>
      <c r="L672" s="676">
        <v>800000</v>
      </c>
      <c r="M672" s="517" t="s">
        <v>251</v>
      </c>
      <c r="N672" s="675">
        <v>45153</v>
      </c>
      <c r="O672" s="675">
        <v>45208</v>
      </c>
      <c r="P672" s="675">
        <v>45218</v>
      </c>
      <c r="Q672" s="1983" t="s">
        <v>993</v>
      </c>
      <c r="R672" s="517"/>
      <c r="S672" s="676">
        <v>793366</v>
      </c>
      <c r="T672" s="676">
        <v>959972.86</v>
      </c>
      <c r="U672" s="1984"/>
      <c r="V672" s="1984"/>
      <c r="W672" s="1984"/>
      <c r="X672" s="683">
        <v>45218</v>
      </c>
      <c r="Y672" s="676" t="s">
        <v>16068</v>
      </c>
      <c r="Z672" s="675">
        <v>45254</v>
      </c>
      <c r="AA672" s="675">
        <v>45259</v>
      </c>
      <c r="AB672" s="675">
        <v>45422</v>
      </c>
      <c r="AC672" s="2106"/>
      <c r="AD672" s="2106"/>
      <c r="AE672" s="360"/>
      <c r="AF672" s="360"/>
      <c r="AG672" s="360"/>
      <c r="AH672" s="360"/>
      <c r="AI672" s="360"/>
      <c r="AJ672" s="360"/>
      <c r="AK672" s="360"/>
      <c r="AL672" s="360"/>
      <c r="AM672" s="360"/>
      <c r="AN672" s="360"/>
      <c r="AO672" s="360"/>
      <c r="AP672" s="360"/>
      <c r="AQ672" s="360"/>
      <c r="AR672" s="360"/>
    </row>
    <row r="673" spans="1:44" s="390" customFormat="1" ht="30.75" thickTop="1">
      <c r="A673" s="2140">
        <v>45146</v>
      </c>
      <c r="B673" s="2143" t="s">
        <v>15523</v>
      </c>
      <c r="C673" s="2141" t="s">
        <v>1897</v>
      </c>
      <c r="D673" s="2141" t="s">
        <v>15443</v>
      </c>
      <c r="E673" s="2141" t="s">
        <v>13951</v>
      </c>
      <c r="F673" s="2142" t="s">
        <v>15578</v>
      </c>
      <c r="G673" s="2141"/>
      <c r="H673" s="2143"/>
      <c r="I673" s="2143" t="s">
        <v>15369</v>
      </c>
      <c r="J673" s="2141" t="s">
        <v>476</v>
      </c>
      <c r="K673" s="2141"/>
      <c r="L673" s="2144">
        <v>50000</v>
      </c>
      <c r="M673" s="2141" t="s">
        <v>112</v>
      </c>
      <c r="N673" s="2140">
        <v>45152</v>
      </c>
      <c r="O673" s="2140">
        <v>45166</v>
      </c>
      <c r="P673" s="2140">
        <v>45173</v>
      </c>
      <c r="Q673" s="2143" t="s">
        <v>9720</v>
      </c>
      <c r="R673" s="2141"/>
      <c r="S673" s="2144">
        <v>66850</v>
      </c>
      <c r="T673" s="2144">
        <v>80888.5</v>
      </c>
      <c r="U673" s="2145"/>
      <c r="V673" s="2145"/>
      <c r="W673" s="2145"/>
      <c r="X673" s="2146">
        <v>45173</v>
      </c>
      <c r="Y673" s="2260" t="s">
        <v>15777</v>
      </c>
      <c r="Z673" s="2140">
        <v>45177</v>
      </c>
      <c r="AA673" s="2140">
        <v>45180</v>
      </c>
      <c r="AB673" s="2140">
        <v>45267</v>
      </c>
      <c r="AC673" s="2106"/>
      <c r="AD673" s="2106"/>
      <c r="AE673" s="360"/>
      <c r="AF673" s="360"/>
      <c r="AG673" s="360"/>
      <c r="AH673" s="360"/>
      <c r="AI673" s="360"/>
      <c r="AJ673" s="360"/>
      <c r="AK673" s="360"/>
      <c r="AL673" s="360"/>
      <c r="AM673" s="360"/>
      <c r="AN673" s="360"/>
      <c r="AO673" s="360"/>
      <c r="AP673" s="360"/>
      <c r="AQ673" s="360"/>
      <c r="AR673" s="360"/>
    </row>
    <row r="674" spans="1:44" s="390" customFormat="1">
      <c r="A674" s="2140">
        <v>45146</v>
      </c>
      <c r="B674" s="2143" t="s">
        <v>15527</v>
      </c>
      <c r="C674" s="2141" t="s">
        <v>2434</v>
      </c>
      <c r="D674" s="2141" t="s">
        <v>219</v>
      </c>
      <c r="E674" s="2141" t="s">
        <v>13948</v>
      </c>
      <c r="F674" s="2142" t="s">
        <v>15521</v>
      </c>
      <c r="G674" s="2141"/>
      <c r="H674" s="2143"/>
      <c r="I674" s="2143" t="s">
        <v>15369</v>
      </c>
      <c r="J674" s="2141" t="s">
        <v>3271</v>
      </c>
      <c r="K674" s="2141"/>
      <c r="L674" s="2144">
        <v>1344600</v>
      </c>
      <c r="M674" s="2141" t="s">
        <v>251</v>
      </c>
      <c r="N674" s="2140">
        <v>45153</v>
      </c>
      <c r="O674" s="2140">
        <v>45229</v>
      </c>
      <c r="P674" s="2140">
        <v>45303</v>
      </c>
      <c r="Q674" s="2143" t="s">
        <v>6119</v>
      </c>
      <c r="R674" s="2141"/>
      <c r="S674" s="2144">
        <v>459472.18</v>
      </c>
      <c r="T674" s="2144">
        <v>555961.34</v>
      </c>
      <c r="U674" s="2145"/>
      <c r="V674" s="2145"/>
      <c r="W674" s="2145"/>
      <c r="X674" s="2146">
        <v>45303</v>
      </c>
      <c r="Y674" s="2144" t="s">
        <v>16567</v>
      </c>
      <c r="Z674" s="2140">
        <v>45336</v>
      </c>
      <c r="AA674" s="2140">
        <v>45342</v>
      </c>
      <c r="AB674" s="2140">
        <v>45420</v>
      </c>
      <c r="AC674" s="2106"/>
      <c r="AD674" s="2106"/>
      <c r="AE674" s="360"/>
      <c r="AF674" s="360"/>
      <c r="AG674" s="360"/>
      <c r="AH674" s="360"/>
      <c r="AI674" s="360"/>
      <c r="AJ674" s="360"/>
      <c r="AK674" s="360"/>
      <c r="AL674" s="360"/>
      <c r="AM674" s="360"/>
      <c r="AN674" s="360"/>
      <c r="AO674" s="360"/>
      <c r="AP674" s="360"/>
      <c r="AQ674" s="360"/>
      <c r="AR674" s="360"/>
    </row>
    <row r="675" spans="1:44" s="390" customFormat="1" ht="30.75" thickBot="1">
      <c r="A675" s="365">
        <v>45145</v>
      </c>
      <c r="B675" s="3192" t="s">
        <v>15526</v>
      </c>
      <c r="C675" s="3191" t="s">
        <v>2434</v>
      </c>
      <c r="D675" s="3191" t="s">
        <v>3204</v>
      </c>
      <c r="E675" s="3191" t="s">
        <v>13948</v>
      </c>
      <c r="F675" s="175" t="s">
        <v>8248</v>
      </c>
      <c r="G675" s="3191"/>
      <c r="H675" s="3192"/>
      <c r="I675" s="3192" t="s">
        <v>15369</v>
      </c>
      <c r="J675" s="3191" t="s">
        <v>642</v>
      </c>
      <c r="K675" s="3191"/>
      <c r="L675" s="364">
        <v>2625000</v>
      </c>
      <c r="M675" s="3191" t="s">
        <v>216</v>
      </c>
      <c r="N675" s="365">
        <v>45166</v>
      </c>
      <c r="O675" s="365">
        <v>45210</v>
      </c>
      <c r="P675" s="365">
        <v>45218</v>
      </c>
      <c r="Q675" s="3192" t="s">
        <v>1433</v>
      </c>
      <c r="R675" s="3191"/>
      <c r="S675" s="364">
        <v>2625000</v>
      </c>
      <c r="T675" s="364">
        <v>3176250</v>
      </c>
      <c r="U675" s="1473"/>
      <c r="V675" s="1473"/>
      <c r="W675" s="1473"/>
      <c r="X675" s="681">
        <v>45218</v>
      </c>
      <c r="Y675" s="1417" t="s">
        <v>16069</v>
      </c>
      <c r="Z675" s="365">
        <v>45226</v>
      </c>
      <c r="AA675" s="365">
        <v>45238</v>
      </c>
      <c r="AB675" s="365">
        <v>46727</v>
      </c>
      <c r="AC675" s="2106"/>
      <c r="AD675" s="2106"/>
      <c r="AE675" s="360" t="s">
        <v>16137</v>
      </c>
      <c r="AF675" s="360"/>
      <c r="AG675" s="360"/>
      <c r="AH675" s="360"/>
      <c r="AI675" s="360"/>
      <c r="AJ675" s="360"/>
      <c r="AK675" s="360"/>
      <c r="AL675" s="360"/>
      <c r="AM675" s="360"/>
      <c r="AN675" s="360"/>
      <c r="AO675" s="360"/>
      <c r="AP675" s="360"/>
      <c r="AQ675" s="360"/>
      <c r="AR675" s="360"/>
    </row>
    <row r="676" spans="1:44" s="390" customFormat="1" ht="15.75" thickTop="1">
      <c r="A676" s="474">
        <v>45145</v>
      </c>
      <c r="B676" s="1420" t="s">
        <v>15524</v>
      </c>
      <c r="C676" s="453" t="s">
        <v>2434</v>
      </c>
      <c r="D676" s="453" t="s">
        <v>219</v>
      </c>
      <c r="E676" s="453" t="s">
        <v>13948</v>
      </c>
      <c r="F676" s="473" t="s">
        <v>15503</v>
      </c>
      <c r="G676" s="453">
        <v>1</v>
      </c>
      <c r="H676" s="1420" t="s">
        <v>15504</v>
      </c>
      <c r="I676" s="1420" t="s">
        <v>15369</v>
      </c>
      <c r="J676" s="453" t="s">
        <v>642</v>
      </c>
      <c r="K676" s="453"/>
      <c r="L676" s="457">
        <v>815720</v>
      </c>
      <c r="M676" s="453" t="s">
        <v>251</v>
      </c>
      <c r="N676" s="474">
        <v>45168</v>
      </c>
      <c r="O676" s="474">
        <v>45211</v>
      </c>
      <c r="P676" s="474">
        <v>45223</v>
      </c>
      <c r="Q676" s="1420" t="s">
        <v>5939</v>
      </c>
      <c r="R676" s="453"/>
      <c r="S676" s="457">
        <v>964000</v>
      </c>
      <c r="T676" s="457">
        <v>1108600</v>
      </c>
      <c r="U676" s="1474"/>
      <c r="V676" s="1474"/>
      <c r="W676" s="1474"/>
      <c r="X676" s="570">
        <v>45223</v>
      </c>
      <c r="Y676" s="457" t="s">
        <v>16100</v>
      </c>
      <c r="Z676" s="474">
        <v>45246</v>
      </c>
      <c r="AA676" s="474">
        <v>45250</v>
      </c>
      <c r="AB676" s="474">
        <v>46706</v>
      </c>
      <c r="AC676" s="2106"/>
      <c r="AD676" s="2106"/>
      <c r="AE676" s="360"/>
      <c r="AF676" s="360"/>
      <c r="AG676" s="360"/>
      <c r="AH676" s="360"/>
      <c r="AI676" s="360"/>
      <c r="AJ676" s="360"/>
      <c r="AK676" s="360"/>
      <c r="AL676" s="360"/>
      <c r="AM676" s="360"/>
      <c r="AN676" s="360"/>
      <c r="AO676" s="360"/>
      <c r="AP676" s="360"/>
      <c r="AQ676" s="360"/>
      <c r="AR676" s="360"/>
    </row>
    <row r="677" spans="1:44" s="390" customFormat="1" ht="15.75" thickBot="1">
      <c r="A677" s="2117">
        <v>45145</v>
      </c>
      <c r="B677" s="2120" t="s">
        <v>15525</v>
      </c>
      <c r="C677" s="2118" t="s">
        <v>2434</v>
      </c>
      <c r="D677" s="2118" t="s">
        <v>219</v>
      </c>
      <c r="E677" s="2118" t="s">
        <v>13948</v>
      </c>
      <c r="F677" s="2119" t="s">
        <v>15503</v>
      </c>
      <c r="G677" s="2118">
        <v>2</v>
      </c>
      <c r="H677" s="2120" t="s">
        <v>15505</v>
      </c>
      <c r="I677" s="2120" t="s">
        <v>15369</v>
      </c>
      <c r="J677" s="2118" t="s">
        <v>642</v>
      </c>
      <c r="K677" s="2118"/>
      <c r="L677" s="2121">
        <v>6822400</v>
      </c>
      <c r="M677" s="2118" t="s">
        <v>251</v>
      </c>
      <c r="N677" s="2117">
        <v>45168</v>
      </c>
      <c r="O677" s="2117">
        <v>45211</v>
      </c>
      <c r="P677" s="2117">
        <v>45223</v>
      </c>
      <c r="Q677" s="2120" t="s">
        <v>5939</v>
      </c>
      <c r="R677" s="2118"/>
      <c r="S677" s="2121">
        <v>7968000</v>
      </c>
      <c r="T677" s="2121">
        <v>9163200</v>
      </c>
      <c r="U677" s="2122"/>
      <c r="V677" s="2122"/>
      <c r="W677" s="2122"/>
      <c r="X677" s="2123">
        <v>45223</v>
      </c>
      <c r="Y677" s="2121" t="s">
        <v>16101</v>
      </c>
      <c r="Z677" s="2117">
        <v>45246</v>
      </c>
      <c r="AA677" s="2117">
        <v>45250</v>
      </c>
      <c r="AB677" s="2117">
        <v>46706</v>
      </c>
      <c r="AC677" s="2106"/>
      <c r="AD677" s="2106"/>
      <c r="AE677" s="360"/>
      <c r="AF677" s="360"/>
      <c r="AG677" s="360"/>
      <c r="AH677" s="360"/>
      <c r="AI677" s="360"/>
      <c r="AJ677" s="360"/>
      <c r="AK677" s="360"/>
      <c r="AL677" s="360"/>
      <c r="AM677" s="360"/>
      <c r="AN677" s="360"/>
      <c r="AO677" s="360"/>
      <c r="AP677" s="360"/>
      <c r="AQ677" s="360"/>
      <c r="AR677" s="360"/>
    </row>
    <row r="678" spans="1:44" s="390" customFormat="1" ht="15.75" thickTop="1">
      <c r="A678" s="474">
        <v>45147</v>
      </c>
      <c r="B678" s="1420" t="s">
        <v>15530</v>
      </c>
      <c r="C678" s="453" t="s">
        <v>69</v>
      </c>
      <c r="D678" s="453" t="s">
        <v>15131</v>
      </c>
      <c r="E678" s="453" t="s">
        <v>13949</v>
      </c>
      <c r="F678" s="473" t="s">
        <v>15531</v>
      </c>
      <c r="G678" s="453">
        <v>1</v>
      </c>
      <c r="H678" s="1420" t="s">
        <v>15532</v>
      </c>
      <c r="I678" s="1420" t="s">
        <v>15369</v>
      </c>
      <c r="J678" s="453" t="s">
        <v>3438</v>
      </c>
      <c r="K678" s="453"/>
      <c r="L678" s="457">
        <v>1370541</v>
      </c>
      <c r="M678" s="453" t="s">
        <v>251</v>
      </c>
      <c r="N678" s="474">
        <v>45182</v>
      </c>
      <c r="O678" s="474">
        <v>45257</v>
      </c>
      <c r="P678" s="474">
        <v>45294</v>
      </c>
      <c r="Q678" s="1420" t="s">
        <v>576</v>
      </c>
      <c r="R678" s="453"/>
      <c r="S678" s="457">
        <v>753795.33</v>
      </c>
      <c r="T678" s="457">
        <v>829174.86</v>
      </c>
      <c r="U678" s="1474"/>
      <c r="V678" s="1474"/>
      <c r="W678" s="1474"/>
      <c r="X678" s="570">
        <v>45294</v>
      </c>
      <c r="Y678" s="457" t="s">
        <v>16486</v>
      </c>
      <c r="Z678" s="474">
        <v>45317</v>
      </c>
      <c r="AA678" s="474">
        <v>45336</v>
      </c>
      <c r="AB678" s="474">
        <v>46456</v>
      </c>
      <c r="AC678" s="2106"/>
      <c r="AD678" s="2106"/>
      <c r="AE678" s="360" t="s">
        <v>16670</v>
      </c>
      <c r="AF678" s="360"/>
      <c r="AG678" s="360"/>
      <c r="AH678" s="360"/>
      <c r="AI678" s="360"/>
      <c r="AJ678" s="360"/>
      <c r="AK678" s="360"/>
      <c r="AL678" s="360"/>
      <c r="AM678" s="360"/>
      <c r="AN678" s="360"/>
      <c r="AO678" s="360"/>
      <c r="AP678" s="360"/>
      <c r="AQ678" s="360"/>
      <c r="AR678" s="360"/>
    </row>
    <row r="679" spans="1:44" s="390" customFormat="1">
      <c r="A679" s="2124">
        <v>45147</v>
      </c>
      <c r="B679" s="2127" t="s">
        <v>15533</v>
      </c>
      <c r="C679" s="2125" t="s">
        <v>69</v>
      </c>
      <c r="D679" s="2125" t="s">
        <v>15131</v>
      </c>
      <c r="E679" s="2125" t="s">
        <v>13949</v>
      </c>
      <c r="F679" s="2126" t="s">
        <v>15531</v>
      </c>
      <c r="G679" s="2125">
        <v>2</v>
      </c>
      <c r="H679" s="2127" t="s">
        <v>15538</v>
      </c>
      <c r="I679" s="2127" t="s">
        <v>242</v>
      </c>
      <c r="J679" s="2125" t="s">
        <v>3438</v>
      </c>
      <c r="K679" s="2125"/>
      <c r="L679" s="2128">
        <v>31400</v>
      </c>
      <c r="M679" s="2125" t="s">
        <v>251</v>
      </c>
      <c r="N679" s="2124">
        <v>45182</v>
      </c>
      <c r="O679" s="2124">
        <v>45257</v>
      </c>
      <c r="P679" s="2124">
        <v>45294</v>
      </c>
      <c r="Q679" s="2136" t="s">
        <v>16143</v>
      </c>
      <c r="R679" s="2125"/>
      <c r="S679" s="2128">
        <v>24020.76</v>
      </c>
      <c r="T679" s="2128">
        <v>26442.84</v>
      </c>
      <c r="U679" s="2129"/>
      <c r="V679" s="2129"/>
      <c r="W679" s="2129"/>
      <c r="X679" s="2281">
        <v>45294</v>
      </c>
      <c r="Y679" s="2128" t="s">
        <v>16487</v>
      </c>
      <c r="Z679" s="2125"/>
      <c r="AA679" s="2124">
        <v>45336</v>
      </c>
      <c r="AB679" s="2125" t="s">
        <v>16741</v>
      </c>
      <c r="AC679" s="2106"/>
      <c r="AD679" s="2106"/>
      <c r="AE679" s="360"/>
      <c r="AF679" s="360"/>
      <c r="AG679" s="360"/>
      <c r="AH679" s="360"/>
      <c r="AI679" s="360"/>
      <c r="AJ679" s="360"/>
      <c r="AK679" s="360"/>
      <c r="AL679" s="360"/>
      <c r="AM679" s="360"/>
      <c r="AN679" s="360"/>
      <c r="AO679" s="360"/>
      <c r="AP679" s="360"/>
      <c r="AQ679" s="360"/>
      <c r="AR679" s="360"/>
    </row>
    <row r="680" spans="1:44" s="390" customFormat="1">
      <c r="A680" s="2140">
        <v>45147</v>
      </c>
      <c r="B680" s="2143" t="s">
        <v>15534</v>
      </c>
      <c r="C680" s="2141" t="s">
        <v>69</v>
      </c>
      <c r="D680" s="2141" t="s">
        <v>15131</v>
      </c>
      <c r="E680" s="2141" t="s">
        <v>13949</v>
      </c>
      <c r="F680" s="2142" t="s">
        <v>15531</v>
      </c>
      <c r="G680" s="2141">
        <v>3</v>
      </c>
      <c r="H680" s="2143" t="s">
        <v>15539</v>
      </c>
      <c r="I680" s="2143" t="s">
        <v>15369</v>
      </c>
      <c r="J680" s="2141" t="s">
        <v>3438</v>
      </c>
      <c r="K680" s="2141"/>
      <c r="L680" s="2144">
        <v>14660</v>
      </c>
      <c r="M680" s="2141" t="s">
        <v>251</v>
      </c>
      <c r="N680" s="2140">
        <v>45182</v>
      </c>
      <c r="O680" s="2140">
        <v>45257</v>
      </c>
      <c r="P680" s="2140">
        <v>45294</v>
      </c>
      <c r="Q680" s="2143" t="s">
        <v>15355</v>
      </c>
      <c r="R680" s="2141"/>
      <c r="S680" s="2144">
        <v>9245.1</v>
      </c>
      <c r="T680" s="2144">
        <v>10169.61</v>
      </c>
      <c r="U680" s="2145"/>
      <c r="V680" s="2145"/>
      <c r="W680" s="2145"/>
      <c r="X680" s="2146">
        <v>45294</v>
      </c>
      <c r="Y680" s="2144" t="s">
        <v>16488</v>
      </c>
      <c r="Z680" s="2140">
        <v>45317</v>
      </c>
      <c r="AA680" s="2140">
        <v>45336</v>
      </c>
      <c r="AB680" s="2140">
        <v>46456</v>
      </c>
      <c r="AC680" s="2106"/>
      <c r="AD680" s="2106"/>
      <c r="AE680" s="360" t="s">
        <v>16670</v>
      </c>
      <c r="AF680" s="360"/>
      <c r="AG680" s="360"/>
      <c r="AH680" s="360"/>
      <c r="AI680" s="360"/>
      <c r="AJ680" s="360"/>
      <c r="AK680" s="360"/>
      <c r="AL680" s="360"/>
      <c r="AM680" s="360"/>
      <c r="AN680" s="360"/>
      <c r="AO680" s="360"/>
      <c r="AP680" s="360"/>
      <c r="AQ680" s="360"/>
      <c r="AR680" s="360"/>
    </row>
    <row r="681" spans="1:44" s="390" customFormat="1">
      <c r="A681" s="2140">
        <v>45147</v>
      </c>
      <c r="B681" s="2143" t="s">
        <v>15535</v>
      </c>
      <c r="C681" s="2141" t="s">
        <v>69</v>
      </c>
      <c r="D681" s="2141" t="s">
        <v>15131</v>
      </c>
      <c r="E681" s="2141" t="s">
        <v>13949</v>
      </c>
      <c r="F681" s="2142" t="s">
        <v>15531</v>
      </c>
      <c r="G681" s="2141">
        <v>4</v>
      </c>
      <c r="H681" s="2143" t="s">
        <v>15540</v>
      </c>
      <c r="I681" s="2143" t="s">
        <v>15369</v>
      </c>
      <c r="J681" s="2141" t="s">
        <v>3438</v>
      </c>
      <c r="K681" s="2141"/>
      <c r="L681" s="2144">
        <v>434483</v>
      </c>
      <c r="M681" s="2141" t="s">
        <v>251</v>
      </c>
      <c r="N681" s="2140">
        <v>45182</v>
      </c>
      <c r="O681" s="2140">
        <v>45257</v>
      </c>
      <c r="P681" s="2140">
        <v>45294</v>
      </c>
      <c r="Q681" s="2143" t="s">
        <v>576</v>
      </c>
      <c r="R681" s="2141"/>
      <c r="S681" s="2144">
        <v>399361.38</v>
      </c>
      <c r="T681" s="2144">
        <v>439297.52</v>
      </c>
      <c r="U681" s="2145"/>
      <c r="V681" s="2145"/>
      <c r="W681" s="2145"/>
      <c r="X681" s="2146">
        <v>45294</v>
      </c>
      <c r="Y681" s="2144" t="s">
        <v>16490</v>
      </c>
      <c r="Z681" s="2140">
        <v>45317</v>
      </c>
      <c r="AA681" s="2140">
        <v>45336</v>
      </c>
      <c r="AB681" s="2140">
        <v>46456</v>
      </c>
      <c r="AC681" s="2106"/>
      <c r="AD681" s="2106"/>
      <c r="AE681" s="360" t="s">
        <v>16670</v>
      </c>
      <c r="AF681" s="360"/>
      <c r="AG681" s="360"/>
      <c r="AH681" s="360"/>
      <c r="AI681" s="360"/>
      <c r="AJ681" s="360"/>
      <c r="AK681" s="360"/>
      <c r="AL681" s="360"/>
      <c r="AM681" s="360"/>
      <c r="AN681" s="360"/>
      <c r="AO681" s="360"/>
      <c r="AP681" s="360"/>
      <c r="AQ681" s="360"/>
      <c r="AR681" s="360"/>
    </row>
    <row r="682" spans="1:44" s="390" customFormat="1">
      <c r="A682" s="2140">
        <v>45147</v>
      </c>
      <c r="B682" s="2143" t="s">
        <v>15536</v>
      </c>
      <c r="C682" s="2141" t="s">
        <v>69</v>
      </c>
      <c r="D682" s="2141" t="s">
        <v>15131</v>
      </c>
      <c r="E682" s="2141" t="s">
        <v>13949</v>
      </c>
      <c r="F682" s="2142" t="s">
        <v>15531</v>
      </c>
      <c r="G682" s="2141">
        <v>5</v>
      </c>
      <c r="H682" s="2143" t="s">
        <v>15541</v>
      </c>
      <c r="I682" s="2143" t="s">
        <v>15369</v>
      </c>
      <c r="J682" s="2141" t="s">
        <v>3438</v>
      </c>
      <c r="K682" s="2141"/>
      <c r="L682" s="2144">
        <v>2080000</v>
      </c>
      <c r="M682" s="2141" t="s">
        <v>251</v>
      </c>
      <c r="N682" s="2140">
        <v>45182</v>
      </c>
      <c r="O682" s="2140">
        <v>45257</v>
      </c>
      <c r="P682" s="2140">
        <v>45294</v>
      </c>
      <c r="Q682" s="2143" t="s">
        <v>15355</v>
      </c>
      <c r="R682" s="2141"/>
      <c r="S682" s="2144">
        <v>920843.88</v>
      </c>
      <c r="T682" s="2144">
        <v>1012928.27</v>
      </c>
      <c r="U682" s="2145"/>
      <c r="V682" s="2145"/>
      <c r="W682" s="2145"/>
      <c r="X682" s="2146">
        <v>45294</v>
      </c>
      <c r="Y682" s="2144" t="s">
        <v>16489</v>
      </c>
      <c r="Z682" s="2140">
        <v>45317</v>
      </c>
      <c r="AA682" s="2140">
        <v>45336</v>
      </c>
      <c r="AB682" s="2140">
        <v>46463</v>
      </c>
      <c r="AC682" s="2106"/>
      <c r="AD682" s="2106"/>
      <c r="AE682" s="360" t="s">
        <v>16671</v>
      </c>
      <c r="AF682" s="360"/>
      <c r="AG682" s="360"/>
      <c r="AH682" s="360"/>
      <c r="AI682" s="360"/>
      <c r="AJ682" s="360"/>
      <c r="AK682" s="360"/>
      <c r="AL682" s="360"/>
      <c r="AM682" s="360"/>
      <c r="AN682" s="360"/>
      <c r="AO682" s="360"/>
      <c r="AP682" s="360"/>
      <c r="AQ682" s="360"/>
      <c r="AR682" s="360"/>
    </row>
    <row r="683" spans="1:44" s="390" customFormat="1" ht="15.75" thickBot="1">
      <c r="A683" s="2130">
        <v>45147</v>
      </c>
      <c r="B683" s="2133" t="s">
        <v>15537</v>
      </c>
      <c r="C683" s="2131" t="s">
        <v>69</v>
      </c>
      <c r="D683" s="2131" t="s">
        <v>15131</v>
      </c>
      <c r="E683" s="2131" t="s">
        <v>13949</v>
      </c>
      <c r="F683" s="2132" t="s">
        <v>15531</v>
      </c>
      <c r="G683" s="2131">
        <v>6</v>
      </c>
      <c r="H683" s="2133" t="s">
        <v>15542</v>
      </c>
      <c r="I683" s="2133" t="s">
        <v>242</v>
      </c>
      <c r="J683" s="2131" t="s">
        <v>3438</v>
      </c>
      <c r="K683" s="2131"/>
      <c r="L683" s="2134">
        <v>3365</v>
      </c>
      <c r="M683" s="2131" t="s">
        <v>251</v>
      </c>
      <c r="N683" s="2130">
        <v>45182</v>
      </c>
      <c r="O683" s="2130">
        <v>45257</v>
      </c>
      <c r="P683" s="2131"/>
      <c r="Q683" s="2137" t="s">
        <v>304</v>
      </c>
      <c r="R683" s="2131"/>
      <c r="S683" s="2134"/>
      <c r="T683" s="2134"/>
      <c r="U683" s="2135"/>
      <c r="V683" s="2135"/>
      <c r="W683" s="2135"/>
      <c r="X683" s="2134"/>
      <c r="Y683" s="2134"/>
      <c r="Z683" s="2131"/>
      <c r="AA683" s="2130">
        <v>45296</v>
      </c>
      <c r="AB683" s="2133" t="s">
        <v>16411</v>
      </c>
      <c r="AC683" s="2106"/>
      <c r="AD683" s="2106"/>
      <c r="AE683" s="360"/>
      <c r="AF683" s="360"/>
      <c r="AG683" s="360"/>
      <c r="AH683" s="360"/>
      <c r="AI683" s="360"/>
      <c r="AJ683" s="360"/>
      <c r="AK683" s="360"/>
      <c r="AL683" s="360"/>
      <c r="AM683" s="360"/>
      <c r="AN683" s="360"/>
      <c r="AO683" s="360"/>
      <c r="AP683" s="360"/>
      <c r="AQ683" s="360"/>
      <c r="AR683" s="360"/>
    </row>
    <row r="684" spans="1:44" s="390" customFormat="1" ht="15.75" thickTop="1">
      <c r="A684" s="365">
        <v>45147</v>
      </c>
      <c r="B684" s="3192" t="s">
        <v>15543</v>
      </c>
      <c r="C684" s="3191" t="s">
        <v>69</v>
      </c>
      <c r="D684" s="3191" t="s">
        <v>15129</v>
      </c>
      <c r="E684" s="3191" t="s">
        <v>13949</v>
      </c>
      <c r="F684" s="175" t="s">
        <v>15910</v>
      </c>
      <c r="G684" s="3191"/>
      <c r="H684" s="3192"/>
      <c r="I684" s="3192" t="s">
        <v>15369</v>
      </c>
      <c r="J684" s="3191" t="s">
        <v>7938</v>
      </c>
      <c r="K684" s="3191"/>
      <c r="L684" s="364">
        <v>9589350</v>
      </c>
      <c r="M684" s="365" t="s">
        <v>251</v>
      </c>
      <c r="N684" s="365">
        <v>45184</v>
      </c>
      <c r="O684" s="365">
        <v>45237</v>
      </c>
      <c r="P684" s="365">
        <v>45253</v>
      </c>
      <c r="Q684" s="3192" t="s">
        <v>576</v>
      </c>
      <c r="R684" s="3191"/>
      <c r="S684" s="364">
        <v>9458550</v>
      </c>
      <c r="T684" s="364">
        <v>10404405</v>
      </c>
      <c r="U684" s="1473"/>
      <c r="V684" s="1473"/>
      <c r="W684" s="1473"/>
      <c r="X684" s="681">
        <v>45253</v>
      </c>
      <c r="Y684" s="364" t="s">
        <v>16325</v>
      </c>
      <c r="Z684" s="365">
        <v>45273</v>
      </c>
      <c r="AA684" s="365">
        <v>45280</v>
      </c>
      <c r="AB684" s="365">
        <v>46733</v>
      </c>
      <c r="AC684" s="2106"/>
      <c r="AD684" s="2106"/>
      <c r="AE684" s="360"/>
      <c r="AF684" s="360"/>
      <c r="AG684" s="360"/>
      <c r="AH684" s="360"/>
      <c r="AI684" s="360"/>
      <c r="AJ684" s="360"/>
      <c r="AK684" s="360"/>
      <c r="AL684" s="360"/>
      <c r="AM684" s="360"/>
      <c r="AN684" s="360"/>
      <c r="AO684" s="360"/>
      <c r="AP684" s="360"/>
      <c r="AQ684" s="360"/>
      <c r="AR684" s="360"/>
    </row>
    <row r="685" spans="1:44" s="390" customFormat="1">
      <c r="A685" s="2140">
        <v>45147</v>
      </c>
      <c r="B685" s="2143" t="s">
        <v>15544</v>
      </c>
      <c r="C685" s="2141" t="s">
        <v>69</v>
      </c>
      <c r="D685" s="2141" t="s">
        <v>15129</v>
      </c>
      <c r="E685" s="2141" t="s">
        <v>13949</v>
      </c>
      <c r="F685" s="2142" t="s">
        <v>15786</v>
      </c>
      <c r="G685" s="2141"/>
      <c r="H685" s="2143"/>
      <c r="I685" s="2143" t="s">
        <v>15369</v>
      </c>
      <c r="J685" s="2141" t="s">
        <v>68</v>
      </c>
      <c r="K685" s="2141"/>
      <c r="L685" s="2144">
        <v>4931993</v>
      </c>
      <c r="M685" s="2141" t="s">
        <v>251</v>
      </c>
      <c r="N685" s="2140">
        <v>45177</v>
      </c>
      <c r="O685" s="2140">
        <v>45236</v>
      </c>
      <c r="P685" s="2140">
        <v>45252</v>
      </c>
      <c r="Q685" s="2143" t="s">
        <v>13761</v>
      </c>
      <c r="R685" s="2141"/>
      <c r="S685" s="2144">
        <v>4923713.5199999996</v>
      </c>
      <c r="T685" s="2144">
        <v>5416084.8700000001</v>
      </c>
      <c r="U685" s="2145"/>
      <c r="V685" s="2145"/>
      <c r="W685" s="2145"/>
      <c r="X685" s="2146">
        <v>45252</v>
      </c>
      <c r="Y685" s="2144" t="s">
        <v>16309</v>
      </c>
      <c r="Z685" s="2140">
        <v>45307</v>
      </c>
      <c r="AA685" s="2140">
        <v>45330</v>
      </c>
      <c r="AB685" s="2140">
        <v>46767</v>
      </c>
      <c r="AC685" s="2106"/>
      <c r="AD685" s="2106"/>
      <c r="AE685" s="360"/>
      <c r="AF685" s="360"/>
      <c r="AG685" s="360"/>
      <c r="AH685" s="360"/>
      <c r="AI685" s="360"/>
      <c r="AJ685" s="360"/>
      <c r="AK685" s="360"/>
      <c r="AL685" s="360"/>
      <c r="AM685" s="360"/>
      <c r="AN685" s="360"/>
      <c r="AO685" s="360"/>
      <c r="AP685" s="360"/>
      <c r="AQ685" s="360"/>
      <c r="AR685" s="360"/>
    </row>
    <row r="686" spans="1:44" s="390" customFormat="1">
      <c r="A686" s="2124">
        <v>45147</v>
      </c>
      <c r="B686" s="2127" t="s">
        <v>15551</v>
      </c>
      <c r="C686" s="2125" t="s">
        <v>2434</v>
      </c>
      <c r="D686" s="2125" t="s">
        <v>3204</v>
      </c>
      <c r="E686" s="2125" t="s">
        <v>13948</v>
      </c>
      <c r="F686" s="2126" t="s">
        <v>15545</v>
      </c>
      <c r="G686" s="2125"/>
      <c r="H686" s="2127"/>
      <c r="I686" s="2127" t="s">
        <v>242</v>
      </c>
      <c r="J686" s="2125" t="s">
        <v>642</v>
      </c>
      <c r="K686" s="2125"/>
      <c r="L686" s="2128">
        <v>3080000</v>
      </c>
      <c r="M686" s="2125" t="s">
        <v>251</v>
      </c>
      <c r="N686" s="2124">
        <v>45153</v>
      </c>
      <c r="O686" s="2124">
        <v>45205</v>
      </c>
      <c r="P686" s="2125"/>
      <c r="Q686" s="2136" t="s">
        <v>4830</v>
      </c>
      <c r="R686" s="2275" t="s">
        <v>15771</v>
      </c>
      <c r="S686" s="2128"/>
      <c r="T686" s="2128"/>
      <c r="U686" s="2129"/>
      <c r="V686" s="2129"/>
      <c r="W686" s="2129"/>
      <c r="X686" s="2128"/>
      <c r="Y686" s="2128"/>
      <c r="Z686" s="2125"/>
      <c r="AA686" s="2124">
        <v>45190</v>
      </c>
      <c r="AB686" s="2127" t="s">
        <v>15779</v>
      </c>
      <c r="AC686" s="2106"/>
      <c r="AD686" s="2106"/>
      <c r="AE686" s="360"/>
      <c r="AF686" s="360"/>
      <c r="AG686" s="360"/>
      <c r="AH686" s="360"/>
      <c r="AI686" s="360"/>
      <c r="AJ686" s="360"/>
      <c r="AK686" s="360"/>
      <c r="AL686" s="360"/>
      <c r="AM686" s="360"/>
      <c r="AN686" s="360"/>
      <c r="AO686" s="360"/>
      <c r="AP686" s="360"/>
      <c r="AQ686" s="360"/>
      <c r="AR686" s="360"/>
    </row>
    <row r="687" spans="1:44" s="390" customFormat="1">
      <c r="A687" s="416">
        <v>45148</v>
      </c>
      <c r="B687" s="630" t="s">
        <v>15560</v>
      </c>
      <c r="C687" s="411" t="s">
        <v>2111</v>
      </c>
      <c r="D687" s="411" t="s">
        <v>9080</v>
      </c>
      <c r="E687" s="411" t="s">
        <v>13950</v>
      </c>
      <c r="F687" s="412" t="s">
        <v>15561</v>
      </c>
      <c r="G687" s="411"/>
      <c r="H687" s="630"/>
      <c r="I687" s="630" t="s">
        <v>15369</v>
      </c>
      <c r="J687" s="411" t="s">
        <v>4442</v>
      </c>
      <c r="K687" s="411"/>
      <c r="L687" s="417">
        <v>5716780</v>
      </c>
      <c r="M687" s="411" t="s">
        <v>251</v>
      </c>
      <c r="N687" s="416">
        <v>45153</v>
      </c>
      <c r="O687" s="416">
        <v>45203</v>
      </c>
      <c r="P687" s="416">
        <v>45205</v>
      </c>
      <c r="Q687" s="630" t="s">
        <v>12083</v>
      </c>
      <c r="R687" s="411"/>
      <c r="S687" s="417">
        <v>4891940</v>
      </c>
      <c r="T687" s="417">
        <v>5919247.4000000004</v>
      </c>
      <c r="U687" s="1480"/>
      <c r="V687" s="1480"/>
      <c r="W687" s="1480"/>
      <c r="X687" s="513">
        <v>45205</v>
      </c>
      <c r="Y687" s="417" t="s">
        <v>15954</v>
      </c>
      <c r="Z687" s="416">
        <v>45226</v>
      </c>
      <c r="AA687" s="416">
        <v>45233</v>
      </c>
      <c r="AB687" s="411"/>
      <c r="AC687" s="2106"/>
      <c r="AD687" s="2106"/>
      <c r="AE687" s="360"/>
      <c r="AF687" s="360"/>
      <c r="AG687" s="360"/>
      <c r="AH687" s="360"/>
      <c r="AI687" s="360"/>
      <c r="AJ687" s="360"/>
      <c r="AK687" s="360"/>
      <c r="AL687" s="360"/>
      <c r="AM687" s="360"/>
      <c r="AN687" s="360"/>
      <c r="AO687" s="360"/>
      <c r="AP687" s="360"/>
      <c r="AQ687" s="360"/>
      <c r="AR687" s="360"/>
    </row>
    <row r="688" spans="1:44">
      <c r="A688" s="2140">
        <v>45145</v>
      </c>
      <c r="B688" s="2143" t="s">
        <v>15559</v>
      </c>
      <c r="C688" s="2141" t="s">
        <v>2434</v>
      </c>
      <c r="D688" s="2141" t="s">
        <v>219</v>
      </c>
      <c r="E688" s="2141" t="s">
        <v>655</v>
      </c>
      <c r="F688" s="2142" t="s">
        <v>15502</v>
      </c>
      <c r="G688" s="2141"/>
      <c r="H688" s="2143"/>
      <c r="I688" s="2143" t="s">
        <v>15369</v>
      </c>
      <c r="J688" s="2141" t="s">
        <v>642</v>
      </c>
      <c r="K688" s="2141"/>
      <c r="L688" s="2144">
        <v>1462000</v>
      </c>
      <c r="M688" s="2141" t="s">
        <v>112</v>
      </c>
      <c r="N688" s="2140">
        <v>45152</v>
      </c>
      <c r="O688" s="2140">
        <v>45163</v>
      </c>
      <c r="P688" s="2140">
        <v>45168</v>
      </c>
      <c r="Q688" s="2143" t="s">
        <v>5726</v>
      </c>
      <c r="R688" s="2141"/>
      <c r="S688" s="2144">
        <v>1643960</v>
      </c>
      <c r="T688" s="2144">
        <v>1989191.6</v>
      </c>
      <c r="U688" s="2145"/>
      <c r="V688" s="2145"/>
      <c r="W688" s="2145"/>
      <c r="X688" s="2146">
        <v>45168</v>
      </c>
      <c r="Y688" s="2144" t="s">
        <v>15752</v>
      </c>
      <c r="Z688" s="2140">
        <v>45181</v>
      </c>
      <c r="AA688" s="2140">
        <v>45181</v>
      </c>
      <c r="AB688" s="2140">
        <v>46752</v>
      </c>
      <c r="AC688" s="2799"/>
      <c r="AD688" s="2799"/>
      <c r="AE688" s="360" t="s">
        <v>15801</v>
      </c>
    </row>
    <row r="689" spans="1:30">
      <c r="A689" s="365">
        <v>45145</v>
      </c>
      <c r="B689" s="3192" t="s">
        <v>15564</v>
      </c>
      <c r="C689" s="3191" t="s">
        <v>1844</v>
      </c>
      <c r="D689" s="3191" t="s">
        <v>1845</v>
      </c>
      <c r="E689" s="3191" t="s">
        <v>655</v>
      </c>
      <c r="F689" s="175" t="s">
        <v>15522</v>
      </c>
      <c r="G689" s="3191"/>
      <c r="H689" s="3192"/>
      <c r="I689" s="3192" t="s">
        <v>15369</v>
      </c>
      <c r="J689" s="3191" t="s">
        <v>7397</v>
      </c>
      <c r="K689" s="3191"/>
      <c r="L689" s="364">
        <v>290000</v>
      </c>
      <c r="M689" s="3191" t="s">
        <v>112</v>
      </c>
      <c r="N689" s="365">
        <v>45160</v>
      </c>
      <c r="O689" s="365">
        <v>45173</v>
      </c>
      <c r="P689" s="365">
        <v>45190</v>
      </c>
      <c r="Q689" s="3192" t="s">
        <v>15815</v>
      </c>
      <c r="R689" s="3191"/>
      <c r="S689" s="364" t="s">
        <v>2404</v>
      </c>
      <c r="T689" s="364" t="s">
        <v>2404</v>
      </c>
      <c r="U689" s="1473"/>
      <c r="V689" s="1473"/>
      <c r="W689" s="1473"/>
      <c r="X689" s="681">
        <v>45190</v>
      </c>
      <c r="Y689" s="364" t="s">
        <v>15847</v>
      </c>
      <c r="Z689" s="365">
        <v>45203</v>
      </c>
      <c r="AA689" s="365">
        <v>45208</v>
      </c>
      <c r="AB689" s="365">
        <v>45961</v>
      </c>
      <c r="AC689" s="2799"/>
      <c r="AD689" s="2799"/>
    </row>
    <row r="690" spans="1:30" ht="30.75" thickBot="1">
      <c r="A690" s="498">
        <v>45148</v>
      </c>
      <c r="B690" s="669" t="s">
        <v>15566</v>
      </c>
      <c r="C690" s="232" t="s">
        <v>58</v>
      </c>
      <c r="D690" s="232" t="s">
        <v>15443</v>
      </c>
      <c r="E690" s="232" t="s">
        <v>13950</v>
      </c>
      <c r="F690" s="274" t="s">
        <v>10288</v>
      </c>
      <c r="G690" s="232"/>
      <c r="H690" s="669"/>
      <c r="I690" s="669" t="s">
        <v>15369</v>
      </c>
      <c r="J690" s="232" t="s">
        <v>505</v>
      </c>
      <c r="K690" s="232" t="s">
        <v>15567</v>
      </c>
      <c r="L690" s="499">
        <v>1972105</v>
      </c>
      <c r="M690" s="232" t="s">
        <v>251</v>
      </c>
      <c r="N690" s="498">
        <v>45160</v>
      </c>
      <c r="O690" s="498">
        <v>45198</v>
      </c>
      <c r="P690" s="498">
        <v>45211</v>
      </c>
      <c r="Q690" s="669" t="s">
        <v>9936</v>
      </c>
      <c r="R690" s="232"/>
      <c r="S690" s="499">
        <v>1789862</v>
      </c>
      <c r="T690" s="499">
        <v>2076707.3</v>
      </c>
      <c r="U690" s="1545"/>
      <c r="V690" s="1545"/>
      <c r="W690" s="1545"/>
      <c r="X690" s="682">
        <v>45211</v>
      </c>
      <c r="Y690" s="1752" t="s">
        <v>16018</v>
      </c>
      <c r="Z690" s="498">
        <v>45232</v>
      </c>
      <c r="AA690" s="498">
        <v>45233</v>
      </c>
      <c r="AB690" s="232"/>
      <c r="AC690" s="2799"/>
      <c r="AD690" s="2799"/>
    </row>
    <row r="691" spans="1:30" ht="15.75" thickTop="1">
      <c r="A691" s="443">
        <v>45147</v>
      </c>
      <c r="B691" s="1431" t="s">
        <v>15568</v>
      </c>
      <c r="C691" s="439" t="s">
        <v>2434</v>
      </c>
      <c r="D691" s="439" t="s">
        <v>3204</v>
      </c>
      <c r="E691" s="439" t="s">
        <v>655</v>
      </c>
      <c r="F691" s="440" t="s">
        <v>15546</v>
      </c>
      <c r="G691" s="439">
        <v>1</v>
      </c>
      <c r="H691" s="1431" t="s">
        <v>15547</v>
      </c>
      <c r="I691" s="1431" t="s">
        <v>242</v>
      </c>
      <c r="J691" s="439" t="s">
        <v>642</v>
      </c>
      <c r="K691" s="439"/>
      <c r="L691" s="444">
        <v>47200</v>
      </c>
      <c r="M691" s="439" t="s">
        <v>112</v>
      </c>
      <c r="N691" s="443">
        <v>45161</v>
      </c>
      <c r="O691" s="443">
        <v>45173</v>
      </c>
      <c r="P691" s="439"/>
      <c r="Q691" s="753" t="s">
        <v>4830</v>
      </c>
      <c r="R691" s="2015" t="s">
        <v>15686</v>
      </c>
      <c r="S691" s="444"/>
      <c r="T691" s="444"/>
      <c r="U691" s="1481"/>
      <c r="V691" s="1481"/>
      <c r="W691" s="1481"/>
      <c r="X691" s="444"/>
      <c r="Y691" s="444"/>
      <c r="Z691" s="439"/>
      <c r="AA691" s="443">
        <v>45161</v>
      </c>
      <c r="AB691" s="439"/>
      <c r="AC691" s="2799"/>
      <c r="AD691" s="2799"/>
    </row>
    <row r="692" spans="1:30">
      <c r="A692" s="2124">
        <v>45147</v>
      </c>
      <c r="B692" s="2127" t="s">
        <v>15569</v>
      </c>
      <c r="C692" s="2125" t="s">
        <v>2434</v>
      </c>
      <c r="D692" s="2125" t="s">
        <v>3204</v>
      </c>
      <c r="E692" s="2125" t="s">
        <v>655</v>
      </c>
      <c r="F692" s="2126" t="s">
        <v>15546</v>
      </c>
      <c r="G692" s="2125">
        <v>2</v>
      </c>
      <c r="H692" s="2127" t="s">
        <v>15548</v>
      </c>
      <c r="I692" s="2127" t="s">
        <v>242</v>
      </c>
      <c r="J692" s="2125" t="s">
        <v>642</v>
      </c>
      <c r="K692" s="2125"/>
      <c r="L692" s="2128">
        <v>65600</v>
      </c>
      <c r="M692" s="2125" t="s">
        <v>112</v>
      </c>
      <c r="N692" s="2124">
        <v>45161</v>
      </c>
      <c r="O692" s="2124">
        <v>45173</v>
      </c>
      <c r="P692" s="2125"/>
      <c r="Q692" s="2136" t="s">
        <v>4830</v>
      </c>
      <c r="R692" s="2275" t="s">
        <v>15687</v>
      </c>
      <c r="S692" s="2128"/>
      <c r="T692" s="2128"/>
      <c r="U692" s="2129"/>
      <c r="V692" s="2129"/>
      <c r="W692" s="2129"/>
      <c r="X692" s="2128"/>
      <c r="Y692" s="2128"/>
      <c r="Z692" s="2125"/>
      <c r="AA692" s="2124">
        <v>45161</v>
      </c>
      <c r="AB692" s="2125"/>
      <c r="AC692" s="2799"/>
      <c r="AD692" s="2799"/>
    </row>
    <row r="693" spans="1:30" ht="15.75" thickBot="1">
      <c r="A693" s="2130">
        <v>45147</v>
      </c>
      <c r="B693" s="2133" t="s">
        <v>15570</v>
      </c>
      <c r="C693" s="2131" t="s">
        <v>2434</v>
      </c>
      <c r="D693" s="2131" t="s">
        <v>3204</v>
      </c>
      <c r="E693" s="2131" t="s">
        <v>655</v>
      </c>
      <c r="F693" s="2132" t="s">
        <v>15546</v>
      </c>
      <c r="G693" s="2131">
        <v>3</v>
      </c>
      <c r="H693" s="2133" t="s">
        <v>15549</v>
      </c>
      <c r="I693" s="2133" t="s">
        <v>242</v>
      </c>
      <c r="J693" s="2131" t="s">
        <v>642</v>
      </c>
      <c r="K693" s="2131"/>
      <c r="L693" s="2134">
        <v>424000</v>
      </c>
      <c r="M693" s="2131" t="s">
        <v>112</v>
      </c>
      <c r="N693" s="2130">
        <v>45161</v>
      </c>
      <c r="O693" s="2130">
        <v>45173</v>
      </c>
      <c r="P693" s="2131"/>
      <c r="Q693" s="2137" t="s">
        <v>4830</v>
      </c>
      <c r="R693" s="2287" t="s">
        <v>15688</v>
      </c>
      <c r="S693" s="2134"/>
      <c r="T693" s="2134"/>
      <c r="U693" s="2135"/>
      <c r="V693" s="2135"/>
      <c r="W693" s="2135"/>
      <c r="X693" s="2134"/>
      <c r="Y693" s="2134"/>
      <c r="Z693" s="2131"/>
      <c r="AA693" s="2130">
        <v>45161</v>
      </c>
      <c r="AB693" s="2131"/>
      <c r="AC693" s="2799"/>
      <c r="AD693" s="2799"/>
    </row>
    <row r="694" spans="1:30" ht="15.75" thickTop="1">
      <c r="A694" s="937">
        <v>45149</v>
      </c>
      <c r="B694" s="3192" t="s">
        <v>15587</v>
      </c>
      <c r="C694" s="3191" t="s">
        <v>52</v>
      </c>
      <c r="D694" s="3191" t="s">
        <v>3089</v>
      </c>
      <c r="E694" s="3191" t="s">
        <v>13950</v>
      </c>
      <c r="F694" s="175" t="s">
        <v>15588</v>
      </c>
      <c r="G694" s="3191"/>
      <c r="H694" s="3192"/>
      <c r="I694" s="3192" t="s">
        <v>15369</v>
      </c>
      <c r="J694" s="3191" t="s">
        <v>1708</v>
      </c>
      <c r="K694" s="3191"/>
      <c r="L694" s="364">
        <v>25000000</v>
      </c>
      <c r="M694" s="3191" t="s">
        <v>251</v>
      </c>
      <c r="N694" s="365">
        <v>45154</v>
      </c>
      <c r="O694" s="365">
        <v>45218</v>
      </c>
      <c r="P694" s="365">
        <v>45233</v>
      </c>
      <c r="Q694" s="3192" t="s">
        <v>3500</v>
      </c>
      <c r="R694" s="3191"/>
      <c r="S694" s="364">
        <v>17480000</v>
      </c>
      <c r="T694" s="364">
        <v>21150800</v>
      </c>
      <c r="U694" s="1473"/>
      <c r="V694" s="1473"/>
      <c r="W694" s="1473"/>
      <c r="X694" s="681">
        <v>45233</v>
      </c>
      <c r="Y694" s="364" t="s">
        <v>16163</v>
      </c>
      <c r="Z694" s="365">
        <v>45240</v>
      </c>
      <c r="AA694" s="365">
        <v>45257</v>
      </c>
      <c r="AB694" s="3191"/>
      <c r="AC694" s="2799"/>
      <c r="AD694" s="2799"/>
    </row>
    <row r="695" spans="1:30">
      <c r="A695" s="2140">
        <v>45154</v>
      </c>
      <c r="B695" s="2143" t="s">
        <v>15605</v>
      </c>
      <c r="C695" s="2141" t="s">
        <v>69</v>
      </c>
      <c r="D695" s="2141" t="s">
        <v>15129</v>
      </c>
      <c r="E695" s="2141" t="s">
        <v>13949</v>
      </c>
      <c r="F695" s="2142" t="s">
        <v>15606</v>
      </c>
      <c r="G695" s="2141"/>
      <c r="H695" s="2143"/>
      <c r="I695" s="2143" t="s">
        <v>15369</v>
      </c>
      <c r="J695" s="2141" t="s">
        <v>93</v>
      </c>
      <c r="K695" s="2141"/>
      <c r="L695" s="2144">
        <v>12611812</v>
      </c>
      <c r="M695" s="2141" t="s">
        <v>251</v>
      </c>
      <c r="N695" s="2140">
        <v>45160</v>
      </c>
      <c r="O695" s="2140">
        <v>45204</v>
      </c>
      <c r="P695" s="2140">
        <v>45216</v>
      </c>
      <c r="Q695" s="2143" t="s">
        <v>576</v>
      </c>
      <c r="R695" s="2141"/>
      <c r="S695" s="2144">
        <v>12611810.16</v>
      </c>
      <c r="T695" s="2144">
        <v>13872991.18</v>
      </c>
      <c r="U695" s="2145"/>
      <c r="V695" s="2145"/>
      <c r="W695" s="2145"/>
      <c r="X695" s="2146">
        <v>45216</v>
      </c>
      <c r="Y695" s="2144" t="s">
        <v>16033</v>
      </c>
      <c r="Z695" s="2140">
        <v>45226</v>
      </c>
      <c r="AA695" s="2140">
        <v>45230</v>
      </c>
      <c r="AB695" s="2140">
        <v>46321</v>
      </c>
      <c r="AC695" s="2799"/>
      <c r="AD695" s="2799"/>
    </row>
    <row r="696" spans="1:30" ht="15.75" thickBot="1">
      <c r="A696" s="416">
        <v>45154</v>
      </c>
      <c r="B696" s="630" t="s">
        <v>15607</v>
      </c>
      <c r="C696" s="411" t="s">
        <v>69</v>
      </c>
      <c r="D696" s="411" t="s">
        <v>15129</v>
      </c>
      <c r="E696" s="411" t="s">
        <v>13949</v>
      </c>
      <c r="F696" s="412" t="s">
        <v>15608</v>
      </c>
      <c r="G696" s="411"/>
      <c r="H696" s="630"/>
      <c r="I696" s="630" t="s">
        <v>15369</v>
      </c>
      <c r="J696" s="411" t="s">
        <v>93</v>
      </c>
      <c r="K696" s="411"/>
      <c r="L696" s="417">
        <v>15606000</v>
      </c>
      <c r="M696" s="411" t="s">
        <v>251</v>
      </c>
      <c r="N696" s="416">
        <v>45160</v>
      </c>
      <c r="O696" s="416">
        <v>45196</v>
      </c>
      <c r="P696" s="416">
        <v>45216</v>
      </c>
      <c r="Q696" s="630" t="s">
        <v>576</v>
      </c>
      <c r="R696" s="411"/>
      <c r="S696" s="417">
        <v>15606000</v>
      </c>
      <c r="T696" s="417">
        <v>17166600</v>
      </c>
      <c r="U696" s="1480"/>
      <c r="V696" s="1480"/>
      <c r="W696" s="1480"/>
      <c r="X696" s="513">
        <v>45216</v>
      </c>
      <c r="Y696" s="417" t="s">
        <v>16030</v>
      </c>
      <c r="Z696" s="416">
        <v>45223</v>
      </c>
      <c r="AA696" s="416">
        <v>45224</v>
      </c>
      <c r="AB696" s="416">
        <v>46318</v>
      </c>
      <c r="AC696" s="2799"/>
      <c r="AD696" s="2799"/>
    </row>
    <row r="697" spans="1:30" ht="15.75" thickTop="1">
      <c r="A697" s="474">
        <v>45154</v>
      </c>
      <c r="B697" s="1420" t="s">
        <v>15609</v>
      </c>
      <c r="C697" s="453" t="s">
        <v>69</v>
      </c>
      <c r="D697" s="453" t="s">
        <v>15129</v>
      </c>
      <c r="E697" s="453" t="s">
        <v>13949</v>
      </c>
      <c r="F697" s="473" t="s">
        <v>15611</v>
      </c>
      <c r="G697" s="453">
        <v>1</v>
      </c>
      <c r="H697" s="1420" t="s">
        <v>15612</v>
      </c>
      <c r="I697" s="1420" t="s">
        <v>15369</v>
      </c>
      <c r="J697" s="453" t="s">
        <v>1147</v>
      </c>
      <c r="K697" s="453"/>
      <c r="L697" s="457">
        <v>294044</v>
      </c>
      <c r="M697" s="453" t="s">
        <v>251</v>
      </c>
      <c r="N697" s="474">
        <v>45160</v>
      </c>
      <c r="O697" s="474">
        <v>45196</v>
      </c>
      <c r="P697" s="474">
        <v>45216</v>
      </c>
      <c r="Q697" s="1420" t="s">
        <v>13761</v>
      </c>
      <c r="R697" s="453"/>
      <c r="S697" s="457">
        <v>292121.58</v>
      </c>
      <c r="T697" s="457">
        <v>321333.74</v>
      </c>
      <c r="U697" s="1474"/>
      <c r="V697" s="1474"/>
      <c r="W697" s="1474"/>
      <c r="X697" s="570">
        <v>45216</v>
      </c>
      <c r="Y697" s="457" t="s">
        <v>16031</v>
      </c>
      <c r="Z697" s="474">
        <v>45237</v>
      </c>
      <c r="AA697" s="474">
        <v>45238</v>
      </c>
      <c r="AB697" s="474">
        <v>46332</v>
      </c>
      <c r="AC697" s="2799"/>
      <c r="AD697" s="2799"/>
    </row>
    <row r="698" spans="1:30" ht="15.75" thickBot="1">
      <c r="A698" s="2117">
        <v>45154</v>
      </c>
      <c r="B698" s="2120" t="s">
        <v>15610</v>
      </c>
      <c r="C698" s="2118" t="s">
        <v>69</v>
      </c>
      <c r="D698" s="2118" t="s">
        <v>15129</v>
      </c>
      <c r="E698" s="2118" t="s">
        <v>13949</v>
      </c>
      <c r="F698" s="2119" t="s">
        <v>15611</v>
      </c>
      <c r="G698" s="2118">
        <v>2</v>
      </c>
      <c r="H698" s="2120" t="s">
        <v>15613</v>
      </c>
      <c r="I698" s="2120" t="s">
        <v>15369</v>
      </c>
      <c r="J698" s="2118" t="s">
        <v>1147</v>
      </c>
      <c r="K698" s="2118"/>
      <c r="L698" s="2121">
        <v>15136688</v>
      </c>
      <c r="M698" s="2118" t="s">
        <v>251</v>
      </c>
      <c r="N698" s="2117">
        <v>45160</v>
      </c>
      <c r="O698" s="2117">
        <v>45196</v>
      </c>
      <c r="P698" s="2117">
        <v>45216</v>
      </c>
      <c r="Q698" s="2120" t="s">
        <v>13761</v>
      </c>
      <c r="R698" s="2118"/>
      <c r="S698" s="2121">
        <v>15130662.359999999</v>
      </c>
      <c r="T698" s="2121">
        <v>16643728.6</v>
      </c>
      <c r="U698" s="2122"/>
      <c r="V698" s="2122"/>
      <c r="W698" s="2122"/>
      <c r="X698" s="2123">
        <v>45216</v>
      </c>
      <c r="Y698" s="2121" t="s">
        <v>16032</v>
      </c>
      <c r="Z698" s="2117">
        <v>45237</v>
      </c>
      <c r="AA698" s="2117">
        <v>45238</v>
      </c>
      <c r="AB698" s="2117">
        <v>46332</v>
      </c>
      <c r="AC698" s="2799"/>
      <c r="AD698" s="2799"/>
    </row>
    <row r="699" spans="1:30" ht="15.75" thickTop="1">
      <c r="A699" s="474">
        <v>45155</v>
      </c>
      <c r="B699" s="1420" t="s">
        <v>15614</v>
      </c>
      <c r="C699" s="453" t="s">
        <v>69</v>
      </c>
      <c r="D699" s="453" t="s">
        <v>15129</v>
      </c>
      <c r="E699" s="453" t="s">
        <v>13949</v>
      </c>
      <c r="F699" s="473" t="s">
        <v>15618</v>
      </c>
      <c r="G699" s="453">
        <v>1</v>
      </c>
      <c r="H699" s="1420" t="s">
        <v>15619</v>
      </c>
      <c r="I699" s="1420" t="s">
        <v>15369</v>
      </c>
      <c r="J699" s="453" t="s">
        <v>68</v>
      </c>
      <c r="K699" s="453"/>
      <c r="L699" s="457">
        <v>997344</v>
      </c>
      <c r="M699" s="453" t="s">
        <v>251</v>
      </c>
      <c r="N699" s="474">
        <v>45175</v>
      </c>
      <c r="O699" s="474">
        <v>45210</v>
      </c>
      <c r="P699" s="474">
        <v>45231</v>
      </c>
      <c r="Q699" s="1420" t="s">
        <v>13761</v>
      </c>
      <c r="R699" s="453"/>
      <c r="S699" s="457">
        <v>827878.62</v>
      </c>
      <c r="T699" s="457">
        <v>910666.48</v>
      </c>
      <c r="U699" s="1474"/>
      <c r="V699" s="1474"/>
      <c r="W699" s="1474"/>
      <c r="X699" s="570">
        <v>45231</v>
      </c>
      <c r="Y699" s="457" t="s">
        <v>16151</v>
      </c>
      <c r="Z699" s="474">
        <v>45251</v>
      </c>
      <c r="AA699" s="474">
        <v>45252</v>
      </c>
      <c r="AB699" s="474">
        <v>46346</v>
      </c>
      <c r="AC699" s="2799"/>
      <c r="AD699" s="2799"/>
    </row>
    <row r="700" spans="1:30">
      <c r="A700" s="2124">
        <v>45155</v>
      </c>
      <c r="B700" s="654" t="s">
        <v>15615</v>
      </c>
      <c r="C700" s="2125" t="s">
        <v>69</v>
      </c>
      <c r="D700" s="2125" t="s">
        <v>15129</v>
      </c>
      <c r="E700" s="2125" t="s">
        <v>13949</v>
      </c>
      <c r="F700" s="2126" t="s">
        <v>15618</v>
      </c>
      <c r="G700" s="2125">
        <v>2</v>
      </c>
      <c r="H700" s="2127" t="s">
        <v>15620</v>
      </c>
      <c r="I700" s="2127" t="s">
        <v>242</v>
      </c>
      <c r="J700" s="2125" t="s">
        <v>68</v>
      </c>
      <c r="K700" s="2125"/>
      <c r="L700" s="2128">
        <v>1354252</v>
      </c>
      <c r="M700" s="2125" t="s">
        <v>251</v>
      </c>
      <c r="N700" s="2124">
        <v>45175</v>
      </c>
      <c r="O700" s="2124">
        <v>45210</v>
      </c>
      <c r="P700" s="2125"/>
      <c r="Q700" s="2136" t="s">
        <v>15979</v>
      </c>
      <c r="R700" s="2125"/>
      <c r="S700" s="2128"/>
      <c r="T700" s="2128"/>
      <c r="U700" s="2129"/>
      <c r="V700" s="2129"/>
      <c r="W700" s="2129"/>
      <c r="X700" s="2128"/>
      <c r="Y700" s="2128"/>
      <c r="Z700" s="2125"/>
      <c r="AA700" s="2124">
        <v>45236</v>
      </c>
      <c r="AB700" s="2125" t="s">
        <v>16170</v>
      </c>
      <c r="AC700" s="2799"/>
      <c r="AD700" s="2799"/>
    </row>
    <row r="701" spans="1:30">
      <c r="A701" s="2140">
        <v>45155</v>
      </c>
      <c r="B701" s="3192" t="s">
        <v>15616</v>
      </c>
      <c r="C701" s="2141" t="s">
        <v>69</v>
      </c>
      <c r="D701" s="2141" t="s">
        <v>15129</v>
      </c>
      <c r="E701" s="2141" t="s">
        <v>13949</v>
      </c>
      <c r="F701" s="2142" t="s">
        <v>15618</v>
      </c>
      <c r="G701" s="2141">
        <v>3</v>
      </c>
      <c r="H701" s="2143" t="s">
        <v>15621</v>
      </c>
      <c r="I701" s="2143" t="s">
        <v>15369</v>
      </c>
      <c r="J701" s="2141" t="s">
        <v>68</v>
      </c>
      <c r="K701" s="2141"/>
      <c r="L701" s="2144">
        <v>4681908</v>
      </c>
      <c r="M701" s="2141" t="s">
        <v>251</v>
      </c>
      <c r="N701" s="2140">
        <v>45175</v>
      </c>
      <c r="O701" s="2140">
        <v>45210</v>
      </c>
      <c r="P701" s="2140">
        <v>45231</v>
      </c>
      <c r="Q701" s="2143" t="s">
        <v>13761</v>
      </c>
      <c r="R701" s="2141"/>
      <c r="S701" s="2144">
        <v>4671008.9400000004</v>
      </c>
      <c r="T701" s="2144">
        <v>5138109.83</v>
      </c>
      <c r="U701" s="2145"/>
      <c r="V701" s="2145"/>
      <c r="W701" s="2145"/>
      <c r="X701" s="2146">
        <v>45231</v>
      </c>
      <c r="Y701" s="2144" t="s">
        <v>16152</v>
      </c>
      <c r="Z701" s="2140">
        <v>45251</v>
      </c>
      <c r="AA701" s="2140">
        <v>45252</v>
      </c>
      <c r="AB701" s="2140">
        <v>46346</v>
      </c>
      <c r="AC701" s="2799"/>
      <c r="AD701" s="2799"/>
    </row>
    <row r="702" spans="1:30" ht="15.75" thickBot="1">
      <c r="A702" s="2117">
        <v>45155</v>
      </c>
      <c r="B702" s="1983" t="s">
        <v>15617</v>
      </c>
      <c r="C702" s="2118" t="s">
        <v>69</v>
      </c>
      <c r="D702" s="2118" t="s">
        <v>15129</v>
      </c>
      <c r="E702" s="2118" t="s">
        <v>13949</v>
      </c>
      <c r="F702" s="2119" t="s">
        <v>15618</v>
      </c>
      <c r="G702" s="2118">
        <v>4</v>
      </c>
      <c r="H702" s="2120" t="s">
        <v>15622</v>
      </c>
      <c r="I702" s="2120" t="s">
        <v>15369</v>
      </c>
      <c r="J702" s="2118" t="s">
        <v>68</v>
      </c>
      <c r="K702" s="2118"/>
      <c r="L702" s="2121">
        <v>689873</v>
      </c>
      <c r="M702" s="2118" t="s">
        <v>251</v>
      </c>
      <c r="N702" s="2117">
        <v>45175</v>
      </c>
      <c r="O702" s="2117">
        <v>45210</v>
      </c>
      <c r="P702" s="2117">
        <v>45231</v>
      </c>
      <c r="Q702" s="2120" t="s">
        <v>576</v>
      </c>
      <c r="R702" s="2118"/>
      <c r="S702" s="2121">
        <v>636181.5</v>
      </c>
      <c r="T702" s="2121">
        <v>699799.65</v>
      </c>
      <c r="U702" s="2122"/>
      <c r="V702" s="2122"/>
      <c r="W702" s="2122"/>
      <c r="X702" s="2123">
        <v>45231</v>
      </c>
      <c r="Y702" s="2121" t="s">
        <v>16153</v>
      </c>
      <c r="Z702" s="2117">
        <v>45251</v>
      </c>
      <c r="AA702" s="2117">
        <v>45252</v>
      </c>
      <c r="AB702" s="2117">
        <v>46346</v>
      </c>
      <c r="AC702" s="2799"/>
      <c r="AD702" s="2799"/>
    </row>
    <row r="703" spans="1:30" ht="15.75" thickTop="1">
      <c r="A703" s="443">
        <v>45156</v>
      </c>
      <c r="B703" s="1431" t="s">
        <v>15623</v>
      </c>
      <c r="C703" s="439" t="s">
        <v>58</v>
      </c>
      <c r="D703" s="439" t="s">
        <v>15443</v>
      </c>
      <c r="E703" s="439" t="s">
        <v>13950</v>
      </c>
      <c r="F703" s="440" t="s">
        <v>15624</v>
      </c>
      <c r="G703" s="439">
        <v>1</v>
      </c>
      <c r="H703" s="1431" t="s">
        <v>15625</v>
      </c>
      <c r="I703" s="1431" t="s">
        <v>242</v>
      </c>
      <c r="J703" s="439" t="s">
        <v>1924</v>
      </c>
      <c r="K703" s="439" t="s">
        <v>15626</v>
      </c>
      <c r="L703" s="444">
        <v>267934</v>
      </c>
      <c r="M703" s="439" t="s">
        <v>216</v>
      </c>
      <c r="N703" s="443">
        <v>45166</v>
      </c>
      <c r="O703" s="443">
        <v>45187</v>
      </c>
      <c r="P703" s="439"/>
      <c r="Q703" s="753" t="s">
        <v>304</v>
      </c>
      <c r="R703" s="2015" t="s">
        <v>15837</v>
      </c>
      <c r="S703" s="444"/>
      <c r="T703" s="444"/>
      <c r="U703" s="1483"/>
      <c r="V703" s="1483"/>
      <c r="W703" s="1483"/>
      <c r="X703" s="444"/>
      <c r="Y703" s="444"/>
      <c r="Z703" s="439"/>
      <c r="AA703" s="443">
        <v>45217</v>
      </c>
      <c r="AB703" s="439" t="s">
        <v>15857</v>
      </c>
      <c r="AC703" s="2799"/>
      <c r="AD703" s="2799"/>
    </row>
    <row r="704" spans="1:30" ht="30">
      <c r="A704" s="2140">
        <v>45156</v>
      </c>
      <c r="B704" s="3192" t="s">
        <v>15627</v>
      </c>
      <c r="C704" s="2141" t="s">
        <v>58</v>
      </c>
      <c r="D704" s="2141" t="s">
        <v>15443</v>
      </c>
      <c r="E704" s="2141" t="s">
        <v>13950</v>
      </c>
      <c r="F704" s="2142" t="s">
        <v>15624</v>
      </c>
      <c r="G704" s="2141">
        <v>2</v>
      </c>
      <c r="H704" s="2143" t="s">
        <v>15635</v>
      </c>
      <c r="I704" s="2143" t="s">
        <v>15369</v>
      </c>
      <c r="J704" s="2141" t="s">
        <v>1924</v>
      </c>
      <c r="K704" s="2141" t="s">
        <v>15629</v>
      </c>
      <c r="L704" s="2144">
        <v>54600</v>
      </c>
      <c r="M704" s="2141" t="s">
        <v>216</v>
      </c>
      <c r="N704" s="2140">
        <v>45166</v>
      </c>
      <c r="O704" s="2140">
        <v>45187</v>
      </c>
      <c r="P704" s="2140">
        <v>45201</v>
      </c>
      <c r="Q704" s="2143" t="s">
        <v>9720</v>
      </c>
      <c r="R704" s="2141"/>
      <c r="S704" s="2144">
        <v>60140</v>
      </c>
      <c r="T704" s="2144">
        <v>7276940</v>
      </c>
      <c r="U704" s="2145"/>
      <c r="V704" s="2145"/>
      <c r="W704" s="2145"/>
      <c r="X704" s="2146">
        <v>45201</v>
      </c>
      <c r="Y704" s="2260" t="s">
        <v>15908</v>
      </c>
      <c r="Z704" s="2140">
        <v>45210</v>
      </c>
      <c r="AA704" s="2140">
        <v>45233</v>
      </c>
      <c r="AB704" s="2141"/>
      <c r="AC704" s="2799"/>
      <c r="AD704" s="2799"/>
    </row>
    <row r="705" spans="1:31" ht="30.75" thickBot="1">
      <c r="A705" s="2117">
        <v>45156</v>
      </c>
      <c r="B705" s="1983" t="s">
        <v>15628</v>
      </c>
      <c r="C705" s="2118" t="s">
        <v>58</v>
      </c>
      <c r="D705" s="2118" t="s">
        <v>15443</v>
      </c>
      <c r="E705" s="2118" t="s">
        <v>13950</v>
      </c>
      <c r="F705" s="2119" t="s">
        <v>15624</v>
      </c>
      <c r="G705" s="2118">
        <v>3</v>
      </c>
      <c r="H705" s="2120" t="s">
        <v>15636</v>
      </c>
      <c r="I705" s="2120" t="s">
        <v>15369</v>
      </c>
      <c r="J705" s="2118" t="s">
        <v>1924</v>
      </c>
      <c r="K705" s="2118" t="s">
        <v>15630</v>
      </c>
      <c r="L705" s="2121">
        <v>75000</v>
      </c>
      <c r="M705" s="2118" t="s">
        <v>216</v>
      </c>
      <c r="N705" s="2117">
        <v>45166</v>
      </c>
      <c r="O705" s="2117">
        <v>45187</v>
      </c>
      <c r="P705" s="2117">
        <v>45201</v>
      </c>
      <c r="Q705" s="2120" t="s">
        <v>9720</v>
      </c>
      <c r="R705" s="2118"/>
      <c r="S705" s="2121">
        <v>83000</v>
      </c>
      <c r="T705" s="2121">
        <v>100430</v>
      </c>
      <c r="U705" s="2122"/>
      <c r="V705" s="2122"/>
      <c r="W705" s="2122"/>
      <c r="X705" s="2123">
        <v>45201</v>
      </c>
      <c r="Y705" s="2246" t="s">
        <v>15909</v>
      </c>
      <c r="Z705" s="2117">
        <v>45210</v>
      </c>
      <c r="AA705" s="2117">
        <v>45233</v>
      </c>
      <c r="AB705" s="2118"/>
      <c r="AC705" s="2799"/>
      <c r="AD705" s="2799"/>
    </row>
    <row r="706" spans="1:31" ht="15.75" thickTop="1">
      <c r="A706" s="470">
        <v>45156</v>
      </c>
      <c r="B706" s="654" t="s">
        <v>15632</v>
      </c>
      <c r="C706" s="466" t="s">
        <v>58</v>
      </c>
      <c r="D706" s="466" t="s">
        <v>15443</v>
      </c>
      <c r="E706" s="466" t="s">
        <v>655</v>
      </c>
      <c r="F706" s="467" t="s">
        <v>15633</v>
      </c>
      <c r="G706" s="466"/>
      <c r="H706" s="654"/>
      <c r="I706" s="654" t="s">
        <v>242</v>
      </c>
      <c r="J706" s="466" t="s">
        <v>765</v>
      </c>
      <c r="K706" s="466" t="s">
        <v>15634</v>
      </c>
      <c r="L706" s="472">
        <v>310000</v>
      </c>
      <c r="M706" s="466" t="s">
        <v>112</v>
      </c>
      <c r="N706" s="470">
        <v>45161</v>
      </c>
      <c r="O706" s="470">
        <v>45177</v>
      </c>
      <c r="P706" s="466"/>
      <c r="Q706" s="471" t="s">
        <v>4830</v>
      </c>
      <c r="R706" s="2014" t="s">
        <v>15794</v>
      </c>
      <c r="S706" s="472"/>
      <c r="T706" s="472"/>
      <c r="U706" s="1489"/>
      <c r="V706" s="1489"/>
      <c r="W706" s="1489"/>
      <c r="X706" s="472"/>
      <c r="Y706" s="472"/>
      <c r="Z706" s="466"/>
      <c r="AA706" s="470">
        <v>45177</v>
      </c>
      <c r="AB706" s="466"/>
      <c r="AC706" s="2799"/>
      <c r="AD706" s="2799"/>
    </row>
    <row r="707" spans="1:31">
      <c r="A707" s="2140">
        <v>45152</v>
      </c>
      <c r="B707" s="2143" t="s">
        <v>15637</v>
      </c>
      <c r="C707" s="2141" t="s">
        <v>2434</v>
      </c>
      <c r="D707" s="2141" t="s">
        <v>219</v>
      </c>
      <c r="E707" s="2141" t="s">
        <v>13948</v>
      </c>
      <c r="F707" s="2142" t="s">
        <v>15638</v>
      </c>
      <c r="G707" s="2141"/>
      <c r="H707" s="2143"/>
      <c r="I707" s="2143" t="s">
        <v>15369</v>
      </c>
      <c r="J707" s="2141" t="s">
        <v>3271</v>
      </c>
      <c r="K707" s="2141"/>
      <c r="L707" s="2144">
        <v>837000</v>
      </c>
      <c r="M707" s="2141" t="s">
        <v>251</v>
      </c>
      <c r="N707" s="2140">
        <v>45162</v>
      </c>
      <c r="O707" s="2140">
        <v>45198</v>
      </c>
      <c r="P707" s="2140">
        <v>45303</v>
      </c>
      <c r="Q707" s="2143" t="s">
        <v>12177</v>
      </c>
      <c r="R707" s="2141"/>
      <c r="S707" s="2144">
        <v>763430</v>
      </c>
      <c r="T707" s="2144">
        <v>923750.3</v>
      </c>
      <c r="U707" s="2145"/>
      <c r="V707" s="2145"/>
      <c r="W707" s="2145"/>
      <c r="X707" s="2146">
        <v>45303</v>
      </c>
      <c r="Y707" s="2144" t="s">
        <v>16571</v>
      </c>
      <c r="Z707" s="2140">
        <v>45328</v>
      </c>
      <c r="AA707" s="2140">
        <v>45341</v>
      </c>
      <c r="AB707" s="2140">
        <v>45440</v>
      </c>
      <c r="AC707" s="2799"/>
      <c r="AD707" s="2799"/>
    </row>
    <row r="708" spans="1:31" ht="15.75" thickBot="1">
      <c r="A708" s="416">
        <v>45159</v>
      </c>
      <c r="B708" s="630" t="s">
        <v>15639</v>
      </c>
      <c r="C708" s="411" t="s">
        <v>58</v>
      </c>
      <c r="D708" s="411" t="s">
        <v>15443</v>
      </c>
      <c r="E708" s="411" t="s">
        <v>13951</v>
      </c>
      <c r="F708" s="412" t="s">
        <v>15640</v>
      </c>
      <c r="G708" s="411"/>
      <c r="H708" s="630"/>
      <c r="I708" s="630" t="s">
        <v>15369</v>
      </c>
      <c r="J708" s="411" t="s">
        <v>2550</v>
      </c>
      <c r="K708" s="411" t="s">
        <v>15641</v>
      </c>
      <c r="L708" s="417">
        <v>1133250</v>
      </c>
      <c r="M708" s="411" t="s">
        <v>112</v>
      </c>
      <c r="N708" s="416">
        <v>45161</v>
      </c>
      <c r="O708" s="416">
        <v>45180</v>
      </c>
      <c r="P708" s="416">
        <v>45209</v>
      </c>
      <c r="Q708" s="630" t="s">
        <v>1433</v>
      </c>
      <c r="R708" s="411"/>
      <c r="S708" s="417">
        <v>1042852</v>
      </c>
      <c r="T708" s="417">
        <v>1261850.92</v>
      </c>
      <c r="U708" s="1480"/>
      <c r="V708" s="1480"/>
      <c r="W708" s="1480"/>
      <c r="X708" s="513">
        <v>45209</v>
      </c>
      <c r="Y708" s="417" t="s">
        <v>15972</v>
      </c>
      <c r="Z708" s="416">
        <v>45217</v>
      </c>
      <c r="AA708" s="416">
        <v>45217</v>
      </c>
      <c r="AB708" s="416">
        <v>45357</v>
      </c>
      <c r="AC708" s="2799"/>
      <c r="AD708" s="2799"/>
    </row>
    <row r="709" spans="1:31" ht="30.75" thickTop="1">
      <c r="A709" s="474">
        <v>45159</v>
      </c>
      <c r="B709" s="1420" t="s">
        <v>15646</v>
      </c>
      <c r="C709" s="453" t="s">
        <v>58</v>
      </c>
      <c r="D709" s="453" t="s">
        <v>15443</v>
      </c>
      <c r="E709" s="453" t="s">
        <v>13950</v>
      </c>
      <c r="F709" s="473" t="s">
        <v>15643</v>
      </c>
      <c r="G709" s="453">
        <v>1</v>
      </c>
      <c r="H709" s="1420" t="s">
        <v>15651</v>
      </c>
      <c r="I709" s="1420" t="s">
        <v>15369</v>
      </c>
      <c r="J709" s="453" t="s">
        <v>462</v>
      </c>
      <c r="K709" s="453" t="s">
        <v>15648</v>
      </c>
      <c r="L709" s="457">
        <v>1390000</v>
      </c>
      <c r="M709" s="453" t="s">
        <v>251</v>
      </c>
      <c r="N709" s="474">
        <v>45173</v>
      </c>
      <c r="O709" s="474">
        <v>45209</v>
      </c>
      <c r="P709" s="474">
        <v>45233</v>
      </c>
      <c r="Q709" s="1420" t="s">
        <v>5914</v>
      </c>
      <c r="R709" s="453"/>
      <c r="S709" s="457">
        <v>1189345.5</v>
      </c>
      <c r="T709" s="457">
        <v>1439108.06</v>
      </c>
      <c r="U709" s="1474"/>
      <c r="V709" s="1474"/>
      <c r="W709" s="1474"/>
      <c r="X709" s="570">
        <v>45233</v>
      </c>
      <c r="Y709" s="1387" t="s">
        <v>16160</v>
      </c>
      <c r="Z709" s="474">
        <v>45244</v>
      </c>
      <c r="AA709" s="474">
        <v>45257</v>
      </c>
      <c r="AB709" s="453"/>
      <c r="AC709" s="2799"/>
      <c r="AD709" s="2799"/>
    </row>
    <row r="710" spans="1:31" ht="15.75" thickBot="1">
      <c r="A710" s="2117">
        <v>45159</v>
      </c>
      <c r="B710" s="2120" t="s">
        <v>15647</v>
      </c>
      <c r="C710" s="2118" t="s">
        <v>58</v>
      </c>
      <c r="D710" s="2118" t="s">
        <v>15443</v>
      </c>
      <c r="E710" s="2118" t="s">
        <v>13950</v>
      </c>
      <c r="F710" s="2119" t="s">
        <v>15643</v>
      </c>
      <c r="G710" s="2118">
        <v>2</v>
      </c>
      <c r="H710" s="2120" t="s">
        <v>15650</v>
      </c>
      <c r="I710" s="2120" t="s">
        <v>15369</v>
      </c>
      <c r="J710" s="2118" t="s">
        <v>462</v>
      </c>
      <c r="K710" s="2118" t="s">
        <v>15649</v>
      </c>
      <c r="L710" s="2121">
        <v>140000</v>
      </c>
      <c r="M710" s="2118" t="s">
        <v>251</v>
      </c>
      <c r="N710" s="2117">
        <v>45173</v>
      </c>
      <c r="O710" s="2117">
        <v>45209</v>
      </c>
      <c r="P710" s="2117">
        <v>45233</v>
      </c>
      <c r="Q710" s="2120" t="s">
        <v>5913</v>
      </c>
      <c r="R710" s="2118"/>
      <c r="S710" s="2121">
        <v>140000</v>
      </c>
      <c r="T710" s="2121">
        <v>169400</v>
      </c>
      <c r="U710" s="2122"/>
      <c r="V710" s="2122"/>
      <c r="W710" s="2122"/>
      <c r="X710" s="2123">
        <v>45233</v>
      </c>
      <c r="Y710" s="2121" t="s">
        <v>16161</v>
      </c>
      <c r="Z710" s="2117">
        <v>45239</v>
      </c>
      <c r="AA710" s="2117">
        <v>45257</v>
      </c>
      <c r="AB710" s="2117">
        <v>45281</v>
      </c>
      <c r="AC710" s="2799"/>
      <c r="AD710" s="2799"/>
    </row>
    <row r="711" spans="1:31" ht="30.75" thickTop="1">
      <c r="A711" s="365">
        <v>45159</v>
      </c>
      <c r="B711" s="3192" t="s">
        <v>15644</v>
      </c>
      <c r="C711" s="3191" t="s">
        <v>58</v>
      </c>
      <c r="D711" s="3191" t="s">
        <v>15443</v>
      </c>
      <c r="E711" s="3191" t="s">
        <v>655</v>
      </c>
      <c r="F711" s="175" t="s">
        <v>15645</v>
      </c>
      <c r="G711" s="3191"/>
      <c r="H711" s="3192"/>
      <c r="I711" s="3192" t="s">
        <v>15369</v>
      </c>
      <c r="J711" s="3191" t="s">
        <v>7065</v>
      </c>
      <c r="K711" s="3191" t="s">
        <v>14795</v>
      </c>
      <c r="L711" s="364">
        <v>196500</v>
      </c>
      <c r="M711" s="3191" t="s">
        <v>112</v>
      </c>
      <c r="N711" s="365">
        <v>45161</v>
      </c>
      <c r="O711" s="365">
        <v>45174</v>
      </c>
      <c r="P711" s="365">
        <v>45196</v>
      </c>
      <c r="Q711" s="3192" t="s">
        <v>14552</v>
      </c>
      <c r="R711" s="3191"/>
      <c r="S711" s="364">
        <v>175095.03</v>
      </c>
      <c r="T711" s="364">
        <v>211864.99</v>
      </c>
      <c r="U711" s="1473"/>
      <c r="V711" s="1473"/>
      <c r="W711" s="1473"/>
      <c r="X711" s="681">
        <v>45196</v>
      </c>
      <c r="Y711" s="1417" t="s">
        <v>15886</v>
      </c>
      <c r="Z711" s="365">
        <v>45203</v>
      </c>
      <c r="AA711" s="365">
        <v>45208</v>
      </c>
      <c r="AB711" s="365">
        <v>45263</v>
      </c>
      <c r="AC711" s="2799"/>
      <c r="AD711" s="2799"/>
    </row>
    <row r="712" spans="1:31" ht="30.75" thickBot="1">
      <c r="A712" s="411" t="s">
        <v>3585</v>
      </c>
      <c r="B712" s="630" t="s">
        <v>15652</v>
      </c>
      <c r="C712" s="411" t="s">
        <v>2434</v>
      </c>
      <c r="D712" s="411" t="s">
        <v>3204</v>
      </c>
      <c r="E712" s="411" t="s">
        <v>15292</v>
      </c>
      <c r="F712" s="412" t="s">
        <v>3799</v>
      </c>
      <c r="G712" s="411"/>
      <c r="H712" s="630"/>
      <c r="I712" s="630" t="s">
        <v>15369</v>
      </c>
      <c r="J712" s="411" t="s">
        <v>2844</v>
      </c>
      <c r="K712" s="411"/>
      <c r="L712" s="417">
        <v>992860</v>
      </c>
      <c r="M712" s="411" t="s">
        <v>251</v>
      </c>
      <c r="N712" s="416">
        <v>45169</v>
      </c>
      <c r="O712" s="416">
        <v>45204</v>
      </c>
      <c r="P712" s="416">
        <v>45216</v>
      </c>
      <c r="Q712" s="630" t="s">
        <v>4894</v>
      </c>
      <c r="R712" s="411"/>
      <c r="S712" s="417">
        <v>992860</v>
      </c>
      <c r="T712" s="417">
        <v>1141789</v>
      </c>
      <c r="U712" s="1480"/>
      <c r="V712" s="1480"/>
      <c r="W712" s="1480"/>
      <c r="X712" s="513">
        <v>45216</v>
      </c>
      <c r="Y712" s="1553" t="s">
        <v>16038</v>
      </c>
      <c r="Z712" s="416">
        <v>45230</v>
      </c>
      <c r="AA712" s="416">
        <v>45232</v>
      </c>
      <c r="AB712" s="416">
        <v>46706</v>
      </c>
      <c r="AC712" s="2799"/>
      <c r="AD712" s="2799"/>
      <c r="AE712" s="360" t="s">
        <v>15828</v>
      </c>
    </row>
    <row r="713" spans="1:31" ht="15.75" thickTop="1">
      <c r="A713" s="443">
        <v>45159</v>
      </c>
      <c r="B713" s="1431" t="s">
        <v>15655</v>
      </c>
      <c r="C713" s="439" t="s">
        <v>58</v>
      </c>
      <c r="D713" s="439" t="s">
        <v>15443</v>
      </c>
      <c r="E713" s="439" t="s">
        <v>13950</v>
      </c>
      <c r="F713" s="440" t="s">
        <v>15656</v>
      </c>
      <c r="G713" s="439">
        <v>1</v>
      </c>
      <c r="H713" s="1431" t="s">
        <v>15658</v>
      </c>
      <c r="I713" s="1431" t="s">
        <v>242</v>
      </c>
      <c r="J713" s="439" t="s">
        <v>77</v>
      </c>
      <c r="K713" s="439" t="s">
        <v>15659</v>
      </c>
      <c r="L713" s="444">
        <v>683565</v>
      </c>
      <c r="M713" s="439" t="s">
        <v>251</v>
      </c>
      <c r="N713" s="443">
        <v>45177</v>
      </c>
      <c r="O713" s="443">
        <v>45232</v>
      </c>
      <c r="P713" s="439"/>
      <c r="Q713" s="753" t="s">
        <v>7449</v>
      </c>
      <c r="R713" s="439"/>
      <c r="S713" s="444">
        <v>1150865</v>
      </c>
      <c r="T713" s="444">
        <v>1392546.65</v>
      </c>
      <c r="U713" s="1481"/>
      <c r="V713" s="1481"/>
      <c r="W713" s="1481"/>
      <c r="X713" s="444"/>
      <c r="Y713" s="444"/>
      <c r="Z713" s="439"/>
      <c r="AA713" s="443">
        <v>45320</v>
      </c>
      <c r="AB713" s="439" t="s">
        <v>16484</v>
      </c>
      <c r="AC713" s="2799"/>
      <c r="AD713" s="2799"/>
    </row>
    <row r="714" spans="1:31" ht="15.75" thickBot="1">
      <c r="A714" s="2130">
        <v>45159</v>
      </c>
      <c r="B714" s="2133" t="s">
        <v>15657</v>
      </c>
      <c r="C714" s="2131" t="s">
        <v>58</v>
      </c>
      <c r="D714" s="2131" t="s">
        <v>15443</v>
      </c>
      <c r="E714" s="2131" t="s">
        <v>13950</v>
      </c>
      <c r="F714" s="2132" t="s">
        <v>15656</v>
      </c>
      <c r="G714" s="2131">
        <v>2</v>
      </c>
      <c r="H714" s="2133" t="s">
        <v>15660</v>
      </c>
      <c r="I714" s="2133" t="s">
        <v>242</v>
      </c>
      <c r="J714" s="2131" t="s">
        <v>77</v>
      </c>
      <c r="K714" s="2131" t="s">
        <v>15661</v>
      </c>
      <c r="L714" s="2134">
        <v>521738</v>
      </c>
      <c r="M714" s="2131" t="s">
        <v>251</v>
      </c>
      <c r="N714" s="2130">
        <v>45177</v>
      </c>
      <c r="O714" s="2130">
        <v>45232</v>
      </c>
      <c r="P714" s="2131"/>
      <c r="Q714" s="2137" t="s">
        <v>7449</v>
      </c>
      <c r="R714" s="2131"/>
      <c r="S714" s="2134">
        <v>1076896</v>
      </c>
      <c r="T714" s="2134">
        <v>1303044.1599999999</v>
      </c>
      <c r="U714" s="2135"/>
      <c r="V714" s="2135"/>
      <c r="W714" s="2135"/>
      <c r="X714" s="2134"/>
      <c r="Y714" s="2134"/>
      <c r="Z714" s="2131"/>
      <c r="AA714" s="2130">
        <v>45320</v>
      </c>
      <c r="AB714" s="2131" t="s">
        <v>16484</v>
      </c>
      <c r="AC714" s="2799"/>
      <c r="AD714" s="2799"/>
    </row>
    <row r="715" spans="1:31" ht="31.5" thickTop="1" thickBot="1">
      <c r="A715" s="365">
        <v>45160</v>
      </c>
      <c r="B715" s="3192" t="s">
        <v>15662</v>
      </c>
      <c r="C715" s="3191" t="s">
        <v>2434</v>
      </c>
      <c r="D715" s="3191" t="s">
        <v>57</v>
      </c>
      <c r="E715" s="3191" t="s">
        <v>15292</v>
      </c>
      <c r="F715" s="175" t="s">
        <v>15663</v>
      </c>
      <c r="G715" s="3191"/>
      <c r="H715" s="3192"/>
      <c r="I715" s="3192" t="s">
        <v>15369</v>
      </c>
      <c r="J715" s="3191" t="s">
        <v>642</v>
      </c>
      <c r="K715" s="3191"/>
      <c r="L715" s="938">
        <v>10780000</v>
      </c>
      <c r="M715" s="3191" t="s">
        <v>251</v>
      </c>
      <c r="N715" s="365">
        <v>45190</v>
      </c>
      <c r="O715" s="365">
        <v>45230</v>
      </c>
      <c r="P715" s="365">
        <v>45244</v>
      </c>
      <c r="Q715" s="3192" t="s">
        <v>2995</v>
      </c>
      <c r="R715" s="3191"/>
      <c r="S715" s="364">
        <v>10780000</v>
      </c>
      <c r="T715" s="364">
        <v>13043800</v>
      </c>
      <c r="U715" s="1473"/>
      <c r="V715" s="1473"/>
      <c r="W715" s="1473"/>
      <c r="X715" s="681">
        <v>45244</v>
      </c>
      <c r="Y715" s="1417" t="s">
        <v>16255</v>
      </c>
      <c r="Z715" s="365">
        <v>45252</v>
      </c>
      <c r="AA715" s="365">
        <v>45253</v>
      </c>
      <c r="AB715" s="365">
        <v>46712</v>
      </c>
      <c r="AC715" s="2799"/>
      <c r="AD715" s="2799"/>
    </row>
    <row r="716" spans="1:31" ht="30.75" thickTop="1">
      <c r="A716" s="474" t="s">
        <v>3585</v>
      </c>
      <c r="B716" s="1420" t="s">
        <v>15680</v>
      </c>
      <c r="C716" s="453" t="s">
        <v>2434</v>
      </c>
      <c r="D716" s="453" t="s">
        <v>3204</v>
      </c>
      <c r="E716" s="453" t="s">
        <v>655</v>
      </c>
      <c r="F716" s="473" t="s">
        <v>15682</v>
      </c>
      <c r="G716" s="453">
        <v>1</v>
      </c>
      <c r="H716" s="1420" t="s">
        <v>15683</v>
      </c>
      <c r="I716" s="1420" t="s">
        <v>15369</v>
      </c>
      <c r="J716" s="453" t="s">
        <v>642</v>
      </c>
      <c r="K716" s="453"/>
      <c r="L716" s="457">
        <v>47200</v>
      </c>
      <c r="M716" s="453" t="s">
        <v>112</v>
      </c>
      <c r="N716" s="474">
        <v>45168</v>
      </c>
      <c r="O716" s="474">
        <v>45180</v>
      </c>
      <c r="P716" s="474">
        <v>45204</v>
      </c>
      <c r="Q716" s="2292" t="s">
        <v>9770</v>
      </c>
      <c r="R716" s="453"/>
      <c r="S716" s="457">
        <v>47200</v>
      </c>
      <c r="T716" s="457">
        <v>57112</v>
      </c>
      <c r="U716" s="1474"/>
      <c r="V716" s="1474"/>
      <c r="W716" s="1474"/>
      <c r="X716" s="570">
        <v>45204</v>
      </c>
      <c r="Y716" s="1387" t="s">
        <v>15933</v>
      </c>
      <c r="Z716" s="474">
        <v>45205</v>
      </c>
      <c r="AA716" s="474">
        <v>45208</v>
      </c>
      <c r="AB716" s="474">
        <v>46719</v>
      </c>
      <c r="AC716" s="2799"/>
      <c r="AD716" s="2799"/>
      <c r="AE716" s="360" t="s">
        <v>15961</v>
      </c>
    </row>
    <row r="717" spans="1:31" ht="30">
      <c r="A717" s="2140" t="s">
        <v>3585</v>
      </c>
      <c r="B717" s="2143" t="s">
        <v>15679</v>
      </c>
      <c r="C717" s="2141" t="s">
        <v>2434</v>
      </c>
      <c r="D717" s="2141" t="s">
        <v>3204</v>
      </c>
      <c r="E717" s="2141" t="s">
        <v>655</v>
      </c>
      <c r="F717" s="2142" t="s">
        <v>15682</v>
      </c>
      <c r="G717" s="2141">
        <v>2</v>
      </c>
      <c r="H717" s="2143" t="s">
        <v>15684</v>
      </c>
      <c r="I717" s="2143" t="s">
        <v>15369</v>
      </c>
      <c r="J717" s="2141" t="s">
        <v>642</v>
      </c>
      <c r="K717" s="2141"/>
      <c r="L717" s="2144">
        <v>65600</v>
      </c>
      <c r="M717" s="2141" t="s">
        <v>112</v>
      </c>
      <c r="N717" s="2140">
        <v>45168</v>
      </c>
      <c r="O717" s="2140">
        <v>45180</v>
      </c>
      <c r="P717" s="2140">
        <v>45204</v>
      </c>
      <c r="Q717" s="2289" t="s">
        <v>9770</v>
      </c>
      <c r="R717" s="2141"/>
      <c r="S717" s="2144">
        <v>64800</v>
      </c>
      <c r="T717" s="2144">
        <v>78408</v>
      </c>
      <c r="U717" s="2145"/>
      <c r="V717" s="2145"/>
      <c r="W717" s="2145"/>
      <c r="X717" s="2146">
        <v>45204</v>
      </c>
      <c r="Y717" s="2260" t="s">
        <v>15934</v>
      </c>
      <c r="Z717" s="2140">
        <v>45205</v>
      </c>
      <c r="AA717" s="2140">
        <v>45208</v>
      </c>
      <c r="AB717" s="2140">
        <v>46719</v>
      </c>
      <c r="AC717" s="2799"/>
      <c r="AD717" s="2799"/>
      <c r="AE717" s="360" t="s">
        <v>15961</v>
      </c>
    </row>
    <row r="718" spans="1:31" ht="30.75" thickBot="1">
      <c r="A718" s="2117" t="s">
        <v>3585</v>
      </c>
      <c r="B718" s="2120" t="s">
        <v>15681</v>
      </c>
      <c r="C718" s="2118" t="s">
        <v>2434</v>
      </c>
      <c r="D718" s="2118" t="s">
        <v>3204</v>
      </c>
      <c r="E718" s="2118" t="s">
        <v>655</v>
      </c>
      <c r="F718" s="2119" t="s">
        <v>15682</v>
      </c>
      <c r="G718" s="2118">
        <v>3</v>
      </c>
      <c r="H718" s="2120" t="s">
        <v>15685</v>
      </c>
      <c r="I718" s="2120" t="s">
        <v>15369</v>
      </c>
      <c r="J718" s="2118" t="s">
        <v>642</v>
      </c>
      <c r="K718" s="2118"/>
      <c r="L718" s="2121">
        <v>424000</v>
      </c>
      <c r="M718" s="2118" t="s">
        <v>112</v>
      </c>
      <c r="N718" s="2117">
        <v>45168</v>
      </c>
      <c r="O718" s="2117">
        <v>45180</v>
      </c>
      <c r="P718" s="2117">
        <v>45204</v>
      </c>
      <c r="Q718" s="2291" t="s">
        <v>9770</v>
      </c>
      <c r="R718" s="2118"/>
      <c r="S718" s="2121">
        <v>415200</v>
      </c>
      <c r="T718" s="2121">
        <v>502392</v>
      </c>
      <c r="U718" s="2122"/>
      <c r="V718" s="2122"/>
      <c r="W718" s="2122"/>
      <c r="X718" s="2123">
        <v>45204</v>
      </c>
      <c r="Y718" s="2246" t="s">
        <v>15935</v>
      </c>
      <c r="Z718" s="2117">
        <v>45205</v>
      </c>
      <c r="AA718" s="2117">
        <v>45208</v>
      </c>
      <c r="AB718" s="2117">
        <v>46733</v>
      </c>
      <c r="AC718" s="2799"/>
      <c r="AD718" s="2799"/>
      <c r="AE718" s="360" t="s">
        <v>15962</v>
      </c>
    </row>
    <row r="719" spans="1:31" ht="15.75" thickTop="1">
      <c r="A719" s="443">
        <v>45161</v>
      </c>
      <c r="B719" s="1431" t="s">
        <v>15690</v>
      </c>
      <c r="C719" s="439" t="s">
        <v>2434</v>
      </c>
      <c r="D719" s="439" t="s">
        <v>3204</v>
      </c>
      <c r="E719" s="439" t="s">
        <v>13948</v>
      </c>
      <c r="F719" s="440" t="s">
        <v>15689</v>
      </c>
      <c r="G719" s="439">
        <v>1</v>
      </c>
      <c r="H719" s="1431" t="s">
        <v>15692</v>
      </c>
      <c r="I719" s="1431" t="s">
        <v>242</v>
      </c>
      <c r="J719" s="439" t="s">
        <v>642</v>
      </c>
      <c r="K719" s="439"/>
      <c r="L719" s="444">
        <v>2988000</v>
      </c>
      <c r="M719" s="439" t="s">
        <v>251</v>
      </c>
      <c r="N719" s="443">
        <v>45168</v>
      </c>
      <c r="O719" s="443">
        <v>45203</v>
      </c>
      <c r="P719" s="439"/>
      <c r="Q719" s="753" t="s">
        <v>15865</v>
      </c>
      <c r="R719" s="538" t="s">
        <v>16052</v>
      </c>
      <c r="S719" s="444"/>
      <c r="T719" s="444"/>
      <c r="U719" s="1481"/>
      <c r="V719" s="1481"/>
      <c r="W719" s="1481"/>
      <c r="X719" s="444"/>
      <c r="Y719" s="444"/>
      <c r="Z719" s="439"/>
      <c r="AA719" s="443">
        <v>45217</v>
      </c>
      <c r="AB719" s="1431" t="s">
        <v>15905</v>
      </c>
      <c r="AC719" s="2799"/>
      <c r="AD719" s="2799"/>
    </row>
    <row r="720" spans="1:31" ht="15.75" thickBot="1">
      <c r="A720" s="2130">
        <v>45161</v>
      </c>
      <c r="B720" s="2133" t="s">
        <v>15691</v>
      </c>
      <c r="C720" s="2131" t="s">
        <v>2434</v>
      </c>
      <c r="D720" s="2131" t="s">
        <v>3204</v>
      </c>
      <c r="E720" s="2131" t="s">
        <v>13948</v>
      </c>
      <c r="F720" s="2132" t="s">
        <v>15689</v>
      </c>
      <c r="G720" s="2131">
        <v>2</v>
      </c>
      <c r="H720" s="2133" t="s">
        <v>15693</v>
      </c>
      <c r="I720" s="2133" t="s">
        <v>242</v>
      </c>
      <c r="J720" s="2131" t="s">
        <v>642</v>
      </c>
      <c r="K720" s="2131"/>
      <c r="L720" s="2134">
        <v>400909</v>
      </c>
      <c r="M720" s="2131" t="s">
        <v>251</v>
      </c>
      <c r="N720" s="2130">
        <v>45168</v>
      </c>
      <c r="O720" s="2130">
        <v>45203</v>
      </c>
      <c r="P720" s="2131"/>
      <c r="Q720" s="2137" t="s">
        <v>304</v>
      </c>
      <c r="R720" s="2287" t="s">
        <v>16052</v>
      </c>
      <c r="S720" s="2134"/>
      <c r="T720" s="2134"/>
      <c r="U720" s="2135"/>
      <c r="V720" s="2135"/>
      <c r="W720" s="2135"/>
      <c r="X720" s="2134"/>
      <c r="Y720" s="2134"/>
      <c r="Z720" s="2131"/>
      <c r="AA720" s="2130">
        <v>45217</v>
      </c>
      <c r="AB720" s="2133" t="s">
        <v>15936</v>
      </c>
      <c r="AC720" s="2799"/>
      <c r="AD720" s="2799"/>
    </row>
    <row r="721" spans="1:31" ht="15.75" thickTop="1">
      <c r="A721" s="365">
        <v>45161</v>
      </c>
      <c r="B721" s="3192" t="s">
        <v>15694</v>
      </c>
      <c r="C721" s="3191" t="s">
        <v>52</v>
      </c>
      <c r="D721" s="3191" t="s">
        <v>5894</v>
      </c>
      <c r="E721" s="3191" t="s">
        <v>13951</v>
      </c>
      <c r="F721" s="175" t="s">
        <v>15695</v>
      </c>
      <c r="G721" s="3191"/>
      <c r="H721" s="3192"/>
      <c r="I721" s="3192" t="s">
        <v>15369</v>
      </c>
      <c r="J721" s="3191" t="s">
        <v>33</v>
      </c>
      <c r="K721" s="3191" t="s">
        <v>14222</v>
      </c>
      <c r="L721" s="364">
        <v>2000000</v>
      </c>
      <c r="M721" s="3191" t="s">
        <v>112</v>
      </c>
      <c r="N721" s="365">
        <v>45167</v>
      </c>
      <c r="O721" s="365">
        <v>45180</v>
      </c>
      <c r="P721" s="365">
        <v>45190</v>
      </c>
      <c r="Q721" s="3192" t="s">
        <v>11417</v>
      </c>
      <c r="R721" s="3191"/>
      <c r="S721" s="364">
        <v>1999189.41</v>
      </c>
      <c r="T721" s="364">
        <v>2419019.19</v>
      </c>
      <c r="U721" s="1489"/>
      <c r="V721" s="1489"/>
      <c r="W721" s="1489"/>
      <c r="X721" s="681">
        <v>45190</v>
      </c>
      <c r="Y721" s="364" t="s">
        <v>15838</v>
      </c>
      <c r="Z721" s="365">
        <v>45205</v>
      </c>
      <c r="AA721" s="365">
        <v>45208</v>
      </c>
      <c r="AB721" s="3191"/>
      <c r="AC721" s="2799"/>
      <c r="AD721" s="2799"/>
    </row>
    <row r="722" spans="1:31" ht="15.75" thickBot="1">
      <c r="A722" s="416">
        <v>45162</v>
      </c>
      <c r="B722" s="630" t="s">
        <v>15699</v>
      </c>
      <c r="C722" s="411" t="s">
        <v>1032</v>
      </c>
      <c r="D722" s="411" t="s">
        <v>4864</v>
      </c>
      <c r="E722" s="411" t="s">
        <v>13951</v>
      </c>
      <c r="F722" s="412" t="s">
        <v>15700</v>
      </c>
      <c r="G722" s="411"/>
      <c r="H722" s="630"/>
      <c r="I722" s="630" t="s">
        <v>15369</v>
      </c>
      <c r="J722" s="411" t="s">
        <v>12571</v>
      </c>
      <c r="K722" s="411"/>
      <c r="L722" s="417">
        <v>1200000</v>
      </c>
      <c r="M722" s="411" t="s">
        <v>112</v>
      </c>
      <c r="N722" s="416">
        <v>45167</v>
      </c>
      <c r="O722" s="416">
        <v>45181</v>
      </c>
      <c r="P722" s="416">
        <v>45183</v>
      </c>
      <c r="Q722" s="630" t="s">
        <v>13406</v>
      </c>
      <c r="R722" s="411"/>
      <c r="S722" s="417">
        <v>1350016.09</v>
      </c>
      <c r="T722" s="417">
        <v>1633519.47</v>
      </c>
      <c r="U722" s="1480"/>
      <c r="V722" s="1480"/>
      <c r="W722" s="1480"/>
      <c r="X722" s="513">
        <v>45183</v>
      </c>
      <c r="Y722" s="417" t="s">
        <v>15806</v>
      </c>
      <c r="Z722" s="416">
        <v>45203</v>
      </c>
      <c r="AA722" s="416">
        <v>45208</v>
      </c>
      <c r="AB722" s="416">
        <v>45217</v>
      </c>
      <c r="AC722" s="2799"/>
      <c r="AD722" s="2799"/>
    </row>
    <row r="723" spans="1:31" ht="15.75" thickTop="1">
      <c r="A723" s="474">
        <v>45163</v>
      </c>
      <c r="B723" s="1420" t="s">
        <v>15714</v>
      </c>
      <c r="C723" s="453" t="s">
        <v>69</v>
      </c>
      <c r="D723" s="453" t="s">
        <v>15129</v>
      </c>
      <c r="E723" s="453" t="s">
        <v>13949</v>
      </c>
      <c r="F723" s="473" t="s">
        <v>15715</v>
      </c>
      <c r="G723" s="453">
        <v>1</v>
      </c>
      <c r="H723" s="1420" t="s">
        <v>15717</v>
      </c>
      <c r="I723" s="1420" t="s">
        <v>15369</v>
      </c>
      <c r="J723" s="453" t="s">
        <v>68</v>
      </c>
      <c r="K723" s="453"/>
      <c r="L723" s="457">
        <v>43229000</v>
      </c>
      <c r="M723" s="453" t="s">
        <v>251</v>
      </c>
      <c r="N723" s="474">
        <v>45176</v>
      </c>
      <c r="O723" s="474">
        <v>45216</v>
      </c>
      <c r="P723" s="474">
        <v>45239</v>
      </c>
      <c r="Q723" s="1420" t="s">
        <v>13761</v>
      </c>
      <c r="R723" s="453"/>
      <c r="S723" s="457">
        <v>42495040</v>
      </c>
      <c r="T723" s="457">
        <v>46744544</v>
      </c>
      <c r="U723" s="1474"/>
      <c r="V723" s="1474"/>
      <c r="W723" s="1474"/>
      <c r="X723" s="570">
        <v>45239</v>
      </c>
      <c r="Y723" s="457" t="s">
        <v>16209</v>
      </c>
      <c r="Z723" s="474">
        <v>45251</v>
      </c>
      <c r="AA723" s="474">
        <v>45252</v>
      </c>
      <c r="AB723" s="474">
        <v>47130</v>
      </c>
      <c r="AC723" s="2799"/>
      <c r="AD723" s="2799"/>
      <c r="AE723" s="360" t="s">
        <v>16298</v>
      </c>
    </row>
    <row r="724" spans="1:31" ht="15.75" thickBot="1">
      <c r="A724" s="2117">
        <v>45163</v>
      </c>
      <c r="B724" s="2120" t="s">
        <v>15716</v>
      </c>
      <c r="C724" s="2118" t="s">
        <v>69</v>
      </c>
      <c r="D724" s="2118" t="s">
        <v>15129</v>
      </c>
      <c r="E724" s="2118" t="s">
        <v>13949</v>
      </c>
      <c r="F724" s="2119" t="s">
        <v>15715</v>
      </c>
      <c r="G724" s="2118">
        <v>2</v>
      </c>
      <c r="H724" s="2120" t="s">
        <v>15718</v>
      </c>
      <c r="I724" s="2120" t="s">
        <v>15369</v>
      </c>
      <c r="J724" s="2118" t="s">
        <v>68</v>
      </c>
      <c r="K724" s="2118"/>
      <c r="L724" s="2121">
        <v>18921200</v>
      </c>
      <c r="M724" s="2118" t="s">
        <v>251</v>
      </c>
      <c r="N724" s="2117">
        <v>45176</v>
      </c>
      <c r="O724" s="2117">
        <v>45216</v>
      </c>
      <c r="P724" s="2117">
        <v>45239</v>
      </c>
      <c r="Q724" s="2120" t="s">
        <v>13761</v>
      </c>
      <c r="R724" s="2118"/>
      <c r="S724" s="2121">
        <v>18550000</v>
      </c>
      <c r="T724" s="2121">
        <v>20405000</v>
      </c>
      <c r="U724" s="2122"/>
      <c r="V724" s="2122"/>
      <c r="W724" s="2122"/>
      <c r="X724" s="2123">
        <v>45239</v>
      </c>
      <c r="Y724" s="2121" t="s">
        <v>16210</v>
      </c>
      <c r="Z724" s="2117">
        <v>45251</v>
      </c>
      <c r="AA724" s="2117">
        <v>45252</v>
      </c>
      <c r="AB724" s="2117">
        <v>47130</v>
      </c>
      <c r="AC724" s="2799"/>
      <c r="AD724" s="2799"/>
      <c r="AE724" s="360" t="s">
        <v>16298</v>
      </c>
    </row>
    <row r="725" spans="1:31" ht="15.75" thickTop="1">
      <c r="A725" s="365">
        <v>45163</v>
      </c>
      <c r="B725" s="3192" t="s">
        <v>15719</v>
      </c>
      <c r="C725" s="3191" t="s">
        <v>69</v>
      </c>
      <c r="D725" s="3191" t="s">
        <v>15129</v>
      </c>
      <c r="E725" s="3191" t="s">
        <v>13949</v>
      </c>
      <c r="F725" s="175" t="s">
        <v>15720</v>
      </c>
      <c r="G725" s="3191"/>
      <c r="H725" s="3192"/>
      <c r="I725" s="3192" t="s">
        <v>15369</v>
      </c>
      <c r="J725" s="3191" t="s">
        <v>3436</v>
      </c>
      <c r="K725" s="3191"/>
      <c r="L725" s="364">
        <v>5741712</v>
      </c>
      <c r="M725" s="3191" t="s">
        <v>251</v>
      </c>
      <c r="N725" s="365">
        <v>45170</v>
      </c>
      <c r="O725" s="365">
        <v>45260</v>
      </c>
      <c r="P725" s="365">
        <v>45280</v>
      </c>
      <c r="Q725" s="3192" t="s">
        <v>16409</v>
      </c>
      <c r="R725" s="3191"/>
      <c r="S725" s="364">
        <v>5741673.1200000001</v>
      </c>
      <c r="T725" s="364">
        <v>6315840</v>
      </c>
      <c r="U725" s="1473"/>
      <c r="V725" s="1473"/>
      <c r="W725" s="1473"/>
      <c r="X725" s="681">
        <v>45280</v>
      </c>
      <c r="Y725" s="364" t="s">
        <v>16439</v>
      </c>
      <c r="Z725" s="365">
        <v>45288</v>
      </c>
      <c r="AA725" s="365">
        <v>45294</v>
      </c>
      <c r="AB725" s="365">
        <v>46383</v>
      </c>
      <c r="AC725" s="2799"/>
      <c r="AD725" s="2799"/>
    </row>
    <row r="726" spans="1:31">
      <c r="A726" s="2140">
        <v>45163</v>
      </c>
      <c r="B726" s="2143" t="s">
        <v>15721</v>
      </c>
      <c r="C726" s="2141" t="s">
        <v>69</v>
      </c>
      <c r="D726" s="2141" t="s">
        <v>15129</v>
      </c>
      <c r="E726" s="2141" t="s">
        <v>13949</v>
      </c>
      <c r="F726" s="2944" t="s">
        <v>15722</v>
      </c>
      <c r="G726" s="2141"/>
      <c r="H726" s="2143"/>
      <c r="I726" s="2143" t="s">
        <v>15369</v>
      </c>
      <c r="J726" s="2141" t="s">
        <v>68</v>
      </c>
      <c r="K726" s="2141"/>
      <c r="L726" s="2144">
        <v>4314889</v>
      </c>
      <c r="M726" s="2141" t="s">
        <v>251</v>
      </c>
      <c r="N726" s="2140">
        <v>45169</v>
      </c>
      <c r="O726" s="2140">
        <v>45219</v>
      </c>
      <c r="P726" s="2140">
        <v>45244</v>
      </c>
      <c r="Q726" s="2143" t="s">
        <v>13761</v>
      </c>
      <c r="R726" s="2141"/>
      <c r="S726" s="2144">
        <v>4314888.5999999996</v>
      </c>
      <c r="T726" s="2144">
        <v>4746377.46</v>
      </c>
      <c r="U726" s="2145"/>
      <c r="V726" s="2145"/>
      <c r="W726" s="2145"/>
      <c r="X726" s="2146">
        <v>45244</v>
      </c>
      <c r="Y726" s="2144" t="s">
        <v>16256</v>
      </c>
      <c r="Z726" s="2140">
        <v>45254</v>
      </c>
      <c r="AA726" s="2140">
        <v>45254</v>
      </c>
      <c r="AB726" s="2140">
        <v>46349</v>
      </c>
      <c r="AC726" s="2799"/>
      <c r="AD726" s="2799"/>
    </row>
    <row r="727" spans="1:31">
      <c r="A727" s="2124">
        <v>45163</v>
      </c>
      <c r="B727" s="2127" t="s">
        <v>15723</v>
      </c>
      <c r="C727" s="2125" t="s">
        <v>69</v>
      </c>
      <c r="D727" s="2125" t="s">
        <v>15129</v>
      </c>
      <c r="E727" s="2125" t="s">
        <v>13949</v>
      </c>
      <c r="F727" s="2126" t="s">
        <v>15724</v>
      </c>
      <c r="G727" s="2125"/>
      <c r="H727" s="2127"/>
      <c r="I727" s="2127" t="s">
        <v>242</v>
      </c>
      <c r="J727" s="2125" t="s">
        <v>4276</v>
      </c>
      <c r="K727" s="2125"/>
      <c r="L727" s="2128">
        <v>6251618</v>
      </c>
      <c r="M727" s="2125" t="s">
        <v>251</v>
      </c>
      <c r="N727" s="2124">
        <v>45175</v>
      </c>
      <c r="O727" s="2124">
        <v>45210</v>
      </c>
      <c r="P727" s="2125"/>
      <c r="Q727" s="2136" t="s">
        <v>304</v>
      </c>
      <c r="R727" s="2125"/>
      <c r="S727" s="2128"/>
      <c r="T727" s="2128"/>
      <c r="U727" s="2129"/>
      <c r="V727" s="2129"/>
      <c r="W727" s="2129"/>
      <c r="X727" s="2128"/>
      <c r="Y727" s="2128"/>
      <c r="Z727" s="2125"/>
      <c r="AA727" s="2124">
        <v>45215</v>
      </c>
      <c r="AB727" s="2125" t="s">
        <v>16170</v>
      </c>
      <c r="AC727" s="2799"/>
      <c r="AD727" s="2799"/>
    </row>
    <row r="728" spans="1:31">
      <c r="A728" s="2140">
        <v>45163</v>
      </c>
      <c r="B728" s="2143" t="s">
        <v>15726</v>
      </c>
      <c r="C728" s="2141" t="s">
        <v>69</v>
      </c>
      <c r="D728" s="2141" t="s">
        <v>15129</v>
      </c>
      <c r="E728" s="2141" t="s">
        <v>13949</v>
      </c>
      <c r="F728" s="2142" t="s">
        <v>15727</v>
      </c>
      <c r="G728" s="2141"/>
      <c r="H728" s="2143"/>
      <c r="I728" s="2143" t="s">
        <v>15369</v>
      </c>
      <c r="J728" s="2141" t="s">
        <v>72</v>
      </c>
      <c r="K728" s="2141"/>
      <c r="L728" s="2144">
        <v>5939532</v>
      </c>
      <c r="M728" s="2141" t="s">
        <v>251</v>
      </c>
      <c r="N728" s="2140">
        <v>45168</v>
      </c>
      <c r="O728" s="2140">
        <v>45212</v>
      </c>
      <c r="P728" s="2141" t="s">
        <v>16307</v>
      </c>
      <c r="Q728" s="2143" t="s">
        <v>6805</v>
      </c>
      <c r="R728" s="2141"/>
      <c r="S728" s="2144">
        <v>5909884.7400000002</v>
      </c>
      <c r="T728" s="2144">
        <v>6500873.21</v>
      </c>
      <c r="U728" s="2145"/>
      <c r="V728" s="2145"/>
      <c r="W728" s="2145"/>
      <c r="X728" s="2146">
        <v>45252</v>
      </c>
      <c r="Y728" s="2144" t="s">
        <v>16308</v>
      </c>
      <c r="Z728" s="2140">
        <v>45303</v>
      </c>
      <c r="AA728" s="2140">
        <v>45303</v>
      </c>
      <c r="AB728" s="2140">
        <v>46398</v>
      </c>
      <c r="AC728" s="2799"/>
      <c r="AD728" s="2799"/>
    </row>
    <row r="729" spans="1:31">
      <c r="A729" s="2140">
        <v>45166</v>
      </c>
      <c r="B729" s="2143" t="s">
        <v>15730</v>
      </c>
      <c r="C729" s="2141" t="s">
        <v>69</v>
      </c>
      <c r="D729" s="2141" t="s">
        <v>15131</v>
      </c>
      <c r="E729" s="2141" t="s">
        <v>13949</v>
      </c>
      <c r="F729" s="2142" t="s">
        <v>15731</v>
      </c>
      <c r="G729" s="2141"/>
      <c r="H729" s="2143"/>
      <c r="I729" s="2143" t="s">
        <v>15369</v>
      </c>
      <c r="J729" s="2141" t="s">
        <v>93</v>
      </c>
      <c r="K729" s="2141"/>
      <c r="L729" s="2144">
        <v>3313902</v>
      </c>
      <c r="M729" s="2141" t="s">
        <v>216</v>
      </c>
      <c r="N729" s="2140">
        <v>45169</v>
      </c>
      <c r="O729" s="2140">
        <v>45191</v>
      </c>
      <c r="P729" s="2140">
        <v>45205</v>
      </c>
      <c r="Q729" s="2143" t="s">
        <v>1646</v>
      </c>
      <c r="R729" s="2141"/>
      <c r="S729" s="2144">
        <v>3054645</v>
      </c>
      <c r="T729" s="2144">
        <v>3360109.5</v>
      </c>
      <c r="U729" s="2145"/>
      <c r="V729" s="2145"/>
      <c r="W729" s="2145"/>
      <c r="X729" s="2146">
        <v>45205</v>
      </c>
      <c r="Y729" s="2144" t="s">
        <v>15955</v>
      </c>
      <c r="Z729" s="2140">
        <v>45264</v>
      </c>
      <c r="AA729" s="2140">
        <v>45265</v>
      </c>
      <c r="AB729" s="2140">
        <v>46359</v>
      </c>
      <c r="AC729" s="2799"/>
      <c r="AD729" s="2799"/>
    </row>
    <row r="730" spans="1:31">
      <c r="A730" s="2140">
        <v>45166</v>
      </c>
      <c r="B730" s="2143" t="s">
        <v>15732</v>
      </c>
      <c r="C730" s="2141" t="s">
        <v>69</v>
      </c>
      <c r="D730" s="2141" t="s">
        <v>15131</v>
      </c>
      <c r="E730" s="2141" t="s">
        <v>13949</v>
      </c>
      <c r="F730" s="2142" t="s">
        <v>15733</v>
      </c>
      <c r="G730" s="2141"/>
      <c r="H730" s="2143"/>
      <c r="I730" s="2143" t="s">
        <v>15369</v>
      </c>
      <c r="J730" s="2141" t="s">
        <v>671</v>
      </c>
      <c r="K730" s="2141"/>
      <c r="L730" s="2144">
        <v>15874704</v>
      </c>
      <c r="M730" s="2141" t="s">
        <v>251</v>
      </c>
      <c r="N730" s="2140">
        <v>45217</v>
      </c>
      <c r="O730" s="2140">
        <v>45252</v>
      </c>
      <c r="P730" s="2140">
        <v>45266</v>
      </c>
      <c r="Q730" s="2143" t="s">
        <v>8856</v>
      </c>
      <c r="R730" s="2141"/>
      <c r="S730" s="2144">
        <v>15874704</v>
      </c>
      <c r="T730" s="2144">
        <v>17462174.399999999</v>
      </c>
      <c r="U730" s="2145"/>
      <c r="V730" s="2145"/>
      <c r="W730" s="2145"/>
      <c r="X730" s="2146">
        <v>45266</v>
      </c>
      <c r="Y730" s="2144" t="s">
        <v>16365</v>
      </c>
      <c r="Z730" s="2140">
        <v>45272</v>
      </c>
      <c r="AA730" s="2140">
        <v>45272</v>
      </c>
      <c r="AB730" s="2140">
        <v>46367</v>
      </c>
      <c r="AC730" s="2799"/>
      <c r="AD730" s="2799"/>
    </row>
    <row r="731" spans="1:31" ht="15.75" thickBot="1">
      <c r="A731" s="411" t="s">
        <v>3585</v>
      </c>
      <c r="B731" s="630" t="s">
        <v>15735</v>
      </c>
      <c r="C731" s="411" t="s">
        <v>69</v>
      </c>
      <c r="D731" s="411" t="s">
        <v>15131</v>
      </c>
      <c r="E731" s="411" t="s">
        <v>13949</v>
      </c>
      <c r="F731" s="412" t="s">
        <v>15736</v>
      </c>
      <c r="G731" s="411"/>
      <c r="H731" s="630"/>
      <c r="I731" s="630" t="s">
        <v>15369</v>
      </c>
      <c r="J731" s="411" t="s">
        <v>14498</v>
      </c>
      <c r="K731" s="411"/>
      <c r="L731" s="417">
        <v>1399800</v>
      </c>
      <c r="M731" s="411" t="s">
        <v>251</v>
      </c>
      <c r="N731" s="416">
        <v>45203</v>
      </c>
      <c r="O731" s="416">
        <v>45238</v>
      </c>
      <c r="P731" s="416">
        <v>45272</v>
      </c>
      <c r="Q731" s="630" t="s">
        <v>3351</v>
      </c>
      <c r="R731" s="411"/>
      <c r="S731" s="417">
        <v>1399800</v>
      </c>
      <c r="T731" s="417">
        <v>1693758</v>
      </c>
      <c r="U731" s="2145"/>
      <c r="V731" s="2145"/>
      <c r="W731" s="2145"/>
      <c r="X731" s="513">
        <v>45272</v>
      </c>
      <c r="Y731" s="417" t="s">
        <v>16397</v>
      </c>
      <c r="Z731" s="416">
        <v>45278</v>
      </c>
      <c r="AA731" s="416">
        <v>45280</v>
      </c>
      <c r="AB731" s="416">
        <v>46373</v>
      </c>
      <c r="AC731" s="2799"/>
      <c r="AD731" s="2799"/>
    </row>
    <row r="732" spans="1:31" ht="45.75" thickTop="1">
      <c r="A732" s="474">
        <v>45168</v>
      </c>
      <c r="B732" s="1420" t="s">
        <v>15742</v>
      </c>
      <c r="C732" s="453" t="s">
        <v>58</v>
      </c>
      <c r="D732" s="453" t="s">
        <v>15443</v>
      </c>
      <c r="E732" s="453" t="s">
        <v>13951</v>
      </c>
      <c r="F732" s="473" t="s">
        <v>15744</v>
      </c>
      <c r="G732" s="453">
        <v>1</v>
      </c>
      <c r="H732" s="1420" t="s">
        <v>15744</v>
      </c>
      <c r="I732" s="1420" t="s">
        <v>15369</v>
      </c>
      <c r="J732" s="453" t="s">
        <v>15746</v>
      </c>
      <c r="K732" s="453" t="s">
        <v>15745</v>
      </c>
      <c r="L732" s="457">
        <v>140000</v>
      </c>
      <c r="M732" s="453" t="s">
        <v>112</v>
      </c>
      <c r="N732" s="474">
        <v>45174</v>
      </c>
      <c r="O732" s="474">
        <v>45184</v>
      </c>
      <c r="P732" s="474">
        <v>45209</v>
      </c>
      <c r="Q732" s="1420" t="s">
        <v>3079</v>
      </c>
      <c r="R732" s="453"/>
      <c r="S732" s="457">
        <v>108305</v>
      </c>
      <c r="T732" s="457">
        <v>131049.05</v>
      </c>
      <c r="U732" s="2145"/>
      <c r="V732" s="2145"/>
      <c r="W732" s="2145"/>
      <c r="X732" s="570">
        <v>45209</v>
      </c>
      <c r="Y732" s="1387" t="s">
        <v>15978</v>
      </c>
      <c r="Z732" s="474">
        <v>45223</v>
      </c>
      <c r="AA732" s="474">
        <v>45223</v>
      </c>
      <c r="AB732" s="474">
        <v>45230</v>
      </c>
      <c r="AC732" s="2799"/>
      <c r="AD732" s="2799"/>
    </row>
    <row r="733" spans="1:31" ht="15.75" thickBot="1">
      <c r="A733" s="2130">
        <v>45168</v>
      </c>
      <c r="B733" s="2133" t="s">
        <v>15743</v>
      </c>
      <c r="C733" s="2131" t="s">
        <v>58</v>
      </c>
      <c r="D733" s="2131" t="s">
        <v>15443</v>
      </c>
      <c r="E733" s="2131" t="s">
        <v>13951</v>
      </c>
      <c r="F733" s="2132" t="s">
        <v>15744</v>
      </c>
      <c r="G733" s="2131">
        <v>2</v>
      </c>
      <c r="H733" s="2133" t="s">
        <v>15748</v>
      </c>
      <c r="I733" s="2133" t="s">
        <v>242</v>
      </c>
      <c r="J733" s="2131" t="s">
        <v>15746</v>
      </c>
      <c r="K733" s="2131" t="s">
        <v>15747</v>
      </c>
      <c r="L733" s="2134">
        <v>620000</v>
      </c>
      <c r="M733" s="2131" t="s">
        <v>112</v>
      </c>
      <c r="N733" s="2130">
        <v>45174</v>
      </c>
      <c r="O733" s="2130">
        <v>45184</v>
      </c>
      <c r="P733" s="2131"/>
      <c r="Q733" s="2137" t="s">
        <v>4505</v>
      </c>
      <c r="R733" s="2287" t="s">
        <v>15943</v>
      </c>
      <c r="S733" s="2134"/>
      <c r="T733" s="2134"/>
      <c r="U733" s="2129"/>
      <c r="V733" s="2129"/>
      <c r="W733" s="2129"/>
      <c r="X733" s="2134"/>
      <c r="Y733" s="2134"/>
      <c r="Z733" s="2131"/>
      <c r="AA733" s="2130">
        <v>45205</v>
      </c>
      <c r="AB733" s="2131"/>
      <c r="AC733" s="2799"/>
      <c r="AD733" s="2799"/>
    </row>
    <row r="734" spans="1:31" ht="30.75" thickTop="1">
      <c r="A734" s="365">
        <v>45167</v>
      </c>
      <c r="B734" s="3192" t="s">
        <v>15749</v>
      </c>
      <c r="C734" s="3191" t="s">
        <v>2434</v>
      </c>
      <c r="D734" s="3191" t="s">
        <v>219</v>
      </c>
      <c r="E734" s="3191" t="s">
        <v>655</v>
      </c>
      <c r="F734" s="175" t="s">
        <v>15750</v>
      </c>
      <c r="G734" s="3191"/>
      <c r="H734" s="3192"/>
      <c r="I734" s="3192" t="s">
        <v>15369</v>
      </c>
      <c r="J734" s="3191" t="s">
        <v>642</v>
      </c>
      <c r="K734" s="3191"/>
      <c r="L734" s="364">
        <v>670284</v>
      </c>
      <c r="M734" s="3191" t="s">
        <v>112</v>
      </c>
      <c r="N734" s="365">
        <v>45174</v>
      </c>
      <c r="O734" s="365">
        <v>45187</v>
      </c>
      <c r="P734" s="365">
        <v>45202</v>
      </c>
      <c r="Q734" s="3192" t="s">
        <v>10214</v>
      </c>
      <c r="R734" s="3191"/>
      <c r="S734" s="364">
        <v>710752</v>
      </c>
      <c r="T734" s="364">
        <v>860009.89</v>
      </c>
      <c r="U734" s="2145"/>
      <c r="V734" s="2145"/>
      <c r="W734" s="2145"/>
      <c r="X734" s="681">
        <v>45202</v>
      </c>
      <c r="Y734" s="1417" t="s">
        <v>15924</v>
      </c>
      <c r="Z734" s="365">
        <v>45205</v>
      </c>
      <c r="AA734" s="365">
        <v>45208</v>
      </c>
      <c r="AB734" s="365">
        <v>46665</v>
      </c>
      <c r="AC734" s="2799"/>
      <c r="AD734" s="2799"/>
    </row>
    <row r="735" spans="1:31">
      <c r="A735" s="2140">
        <v>45169</v>
      </c>
      <c r="B735" s="2143" t="s">
        <v>15755</v>
      </c>
      <c r="C735" s="2141" t="s">
        <v>58</v>
      </c>
      <c r="D735" s="2141" t="s">
        <v>15443</v>
      </c>
      <c r="E735" s="2141" t="s">
        <v>13951</v>
      </c>
      <c r="F735" s="2142" t="s">
        <v>15756</v>
      </c>
      <c r="G735" s="2141"/>
      <c r="H735" s="2143"/>
      <c r="I735" s="2143" t="s">
        <v>15369</v>
      </c>
      <c r="J735" s="2141" t="s">
        <v>3312</v>
      </c>
      <c r="K735" s="2141" t="s">
        <v>15757</v>
      </c>
      <c r="L735" s="2144">
        <v>35000</v>
      </c>
      <c r="M735" s="2141" t="s">
        <v>112</v>
      </c>
      <c r="N735" s="2140">
        <v>45174</v>
      </c>
      <c r="O735" s="2140">
        <v>45201</v>
      </c>
      <c r="P735" s="2140">
        <v>45205</v>
      </c>
      <c r="Q735" s="2289" t="s">
        <v>15916</v>
      </c>
      <c r="R735" s="2141"/>
      <c r="S735" s="2144">
        <v>35000</v>
      </c>
      <c r="T735" s="2144">
        <v>42350</v>
      </c>
      <c r="U735" s="2145"/>
      <c r="V735" s="2145"/>
      <c r="W735" s="2145"/>
      <c r="X735" s="2146">
        <v>45205</v>
      </c>
      <c r="Y735" s="2144" t="s">
        <v>15939</v>
      </c>
      <c r="Z735" s="2140">
        <v>45219</v>
      </c>
      <c r="AA735" s="2140">
        <v>45222</v>
      </c>
      <c r="AB735" s="2140">
        <v>45275</v>
      </c>
      <c r="AC735" s="2799"/>
      <c r="AD735" s="2799"/>
    </row>
    <row r="736" spans="1:31" ht="15.75" thickBot="1">
      <c r="A736" s="416">
        <v>45156</v>
      </c>
      <c r="B736" s="630" t="s">
        <v>15760</v>
      </c>
      <c r="C736" s="411" t="s">
        <v>1032</v>
      </c>
      <c r="D736" s="411" t="s">
        <v>361</v>
      </c>
      <c r="E736" s="411" t="s">
        <v>13951</v>
      </c>
      <c r="F736" s="412" t="s">
        <v>15761</v>
      </c>
      <c r="G736" s="411"/>
      <c r="H736" s="630"/>
      <c r="I736" s="630" t="s">
        <v>15369</v>
      </c>
      <c r="J736" s="411" t="s">
        <v>15762</v>
      </c>
      <c r="K736" s="411" t="s">
        <v>15763</v>
      </c>
      <c r="L736" s="417">
        <v>500000</v>
      </c>
      <c r="M736" s="411" t="s">
        <v>112</v>
      </c>
      <c r="N736" s="416">
        <v>45177</v>
      </c>
      <c r="O736" s="416">
        <v>45188</v>
      </c>
      <c r="P736" s="416">
        <v>45210</v>
      </c>
      <c r="Q736" s="630" t="s">
        <v>5745</v>
      </c>
      <c r="R736" s="411"/>
      <c r="S736" s="417">
        <v>476264.15</v>
      </c>
      <c r="T736" s="417">
        <v>576279.62</v>
      </c>
      <c r="U736" s="1480"/>
      <c r="V736" s="1480"/>
      <c r="W736" s="1480"/>
      <c r="X736" s="513">
        <v>45210</v>
      </c>
      <c r="Y736" s="417" t="s">
        <v>15964</v>
      </c>
      <c r="Z736" s="416">
        <v>45217</v>
      </c>
      <c r="AA736" s="416">
        <v>45217</v>
      </c>
      <c r="AB736" s="416">
        <v>45259</v>
      </c>
      <c r="AC736" s="2799"/>
      <c r="AD736" s="2799"/>
    </row>
    <row r="737" spans="1:30" ht="30.75" thickTop="1">
      <c r="A737" s="474">
        <v>45173</v>
      </c>
      <c r="B737" s="1420" t="s">
        <v>16284</v>
      </c>
      <c r="C737" s="453" t="s">
        <v>2434</v>
      </c>
      <c r="D737" s="453" t="s">
        <v>3204</v>
      </c>
      <c r="E737" s="453" t="s">
        <v>15292</v>
      </c>
      <c r="F737" s="473" t="s">
        <v>16398</v>
      </c>
      <c r="G737" s="453">
        <v>1</v>
      </c>
      <c r="H737" s="1420" t="s">
        <v>16286</v>
      </c>
      <c r="I737" s="1420" t="s">
        <v>15369</v>
      </c>
      <c r="J737" s="453" t="s">
        <v>642</v>
      </c>
      <c r="K737" s="453"/>
      <c r="L737" s="457">
        <v>3900000</v>
      </c>
      <c r="M737" s="453" t="s">
        <v>251</v>
      </c>
      <c r="N737" s="474">
        <v>45212</v>
      </c>
      <c r="O737" s="474">
        <v>45250</v>
      </c>
      <c r="P737" s="474">
        <v>45259</v>
      </c>
      <c r="Q737" s="1420" t="s">
        <v>8793</v>
      </c>
      <c r="R737" s="453"/>
      <c r="S737" s="457">
        <v>3890000</v>
      </c>
      <c r="T737" s="457">
        <v>4706900</v>
      </c>
      <c r="U737" s="1474"/>
      <c r="V737" s="1474"/>
      <c r="W737" s="1474"/>
      <c r="X737" s="570">
        <v>45259</v>
      </c>
      <c r="Y737" s="1387" t="s">
        <v>16337</v>
      </c>
      <c r="Z737" s="474">
        <v>45272</v>
      </c>
      <c r="AA737" s="474">
        <v>45273</v>
      </c>
      <c r="AB737" s="474">
        <v>46732</v>
      </c>
      <c r="AC737" s="2799"/>
      <c r="AD737" s="2799"/>
    </row>
    <row r="738" spans="1:30" ht="30.75" thickBot="1">
      <c r="A738" s="2117">
        <v>45173</v>
      </c>
      <c r="B738" s="2120" t="s">
        <v>16285</v>
      </c>
      <c r="C738" s="2118" t="s">
        <v>2434</v>
      </c>
      <c r="D738" s="2118" t="s">
        <v>3204</v>
      </c>
      <c r="E738" s="2118" t="s">
        <v>15292</v>
      </c>
      <c r="F738" s="2119" t="s">
        <v>16398</v>
      </c>
      <c r="G738" s="2118">
        <v>2</v>
      </c>
      <c r="H738" s="2120" t="s">
        <v>9563</v>
      </c>
      <c r="I738" s="2120" t="s">
        <v>15369</v>
      </c>
      <c r="J738" s="2118" t="s">
        <v>642</v>
      </c>
      <c r="K738" s="2118"/>
      <c r="L738" s="2121">
        <v>780000</v>
      </c>
      <c r="M738" s="2118" t="s">
        <v>251</v>
      </c>
      <c r="N738" s="2117">
        <v>45212</v>
      </c>
      <c r="O738" s="2117">
        <v>45250</v>
      </c>
      <c r="P738" s="2117">
        <v>45259</v>
      </c>
      <c r="Q738" s="2120" t="s">
        <v>8793</v>
      </c>
      <c r="R738" s="2118"/>
      <c r="S738" s="2121">
        <v>778000</v>
      </c>
      <c r="T738" s="2121">
        <v>941380</v>
      </c>
      <c r="U738" s="2122"/>
      <c r="V738" s="2122"/>
      <c r="W738" s="2122"/>
      <c r="X738" s="2123">
        <v>45259</v>
      </c>
      <c r="Y738" s="2246" t="s">
        <v>16338</v>
      </c>
      <c r="Z738" s="2117">
        <v>45272</v>
      </c>
      <c r="AA738" s="2117">
        <v>45273</v>
      </c>
      <c r="AB738" s="2117">
        <v>46732</v>
      </c>
      <c r="AC738" s="2799"/>
      <c r="AD738" s="2799"/>
    </row>
    <row r="739" spans="1:30" ht="16.5" thickTop="1" thickBot="1">
      <c r="A739" s="232" t="s">
        <v>14704</v>
      </c>
      <c r="B739" s="669" t="s">
        <v>15765</v>
      </c>
      <c r="C739" s="232" t="s">
        <v>69</v>
      </c>
      <c r="D739" s="232" t="s">
        <v>15131</v>
      </c>
      <c r="E739" s="232" t="s">
        <v>13949</v>
      </c>
      <c r="F739" s="274" t="s">
        <v>15766</v>
      </c>
      <c r="G739" s="232"/>
      <c r="H739" s="669"/>
      <c r="I739" s="669" t="s">
        <v>15369</v>
      </c>
      <c r="J739" s="286" t="s">
        <v>12927</v>
      </c>
      <c r="K739" s="232"/>
      <c r="L739" s="499">
        <v>6522548</v>
      </c>
      <c r="M739" s="232" t="s">
        <v>251</v>
      </c>
      <c r="N739" s="498">
        <v>45198</v>
      </c>
      <c r="O739" s="498">
        <v>45232</v>
      </c>
      <c r="P739" s="498">
        <v>45252</v>
      </c>
      <c r="Q739" s="669" t="s">
        <v>3501</v>
      </c>
      <c r="R739" s="232"/>
      <c r="S739" s="499">
        <v>6522540.0899999999</v>
      </c>
      <c r="T739" s="499">
        <v>7174794.0999999996</v>
      </c>
      <c r="U739" s="1545"/>
      <c r="V739" s="1545"/>
      <c r="W739" s="1545"/>
      <c r="X739" s="682">
        <v>45252</v>
      </c>
      <c r="Y739" s="499" t="s">
        <v>16304</v>
      </c>
      <c r="Z739" s="498">
        <v>45266</v>
      </c>
      <c r="AA739" s="498">
        <v>45267</v>
      </c>
      <c r="AB739" s="498">
        <v>46361</v>
      </c>
      <c r="AC739" s="2799"/>
      <c r="AD739" s="2799"/>
    </row>
    <row r="740" spans="1:30" ht="30.75" thickTop="1">
      <c r="A740" s="453" t="s">
        <v>15551</v>
      </c>
      <c r="B740" s="1420" t="s">
        <v>15772</v>
      </c>
      <c r="C740" s="453" t="s">
        <v>2434</v>
      </c>
      <c r="D740" s="453" t="s">
        <v>3204</v>
      </c>
      <c r="E740" s="453" t="s">
        <v>15292</v>
      </c>
      <c r="F740" s="473" t="s">
        <v>15774</v>
      </c>
      <c r="G740" s="453">
        <v>1</v>
      </c>
      <c r="H740" s="1420" t="s">
        <v>15775</v>
      </c>
      <c r="I740" s="1420" t="s">
        <v>15369</v>
      </c>
      <c r="J740" s="453" t="s">
        <v>642</v>
      </c>
      <c r="K740" s="453"/>
      <c r="L740" s="457">
        <v>2640000</v>
      </c>
      <c r="M740" s="453" t="s">
        <v>251</v>
      </c>
      <c r="N740" s="474">
        <v>45191</v>
      </c>
      <c r="O740" s="474">
        <v>45229</v>
      </c>
      <c r="P740" s="474">
        <v>45260</v>
      </c>
      <c r="Q740" s="1420" t="s">
        <v>198</v>
      </c>
      <c r="R740" s="453"/>
      <c r="S740" s="457">
        <v>1546800</v>
      </c>
      <c r="T740" s="457">
        <v>1871628</v>
      </c>
      <c r="U740" s="1474"/>
      <c r="V740" s="1474"/>
      <c r="W740" s="1474"/>
      <c r="X740" s="570">
        <v>45260</v>
      </c>
      <c r="Y740" s="1387" t="s">
        <v>16344</v>
      </c>
      <c r="Z740" s="474">
        <v>45282</v>
      </c>
      <c r="AA740" s="474">
        <v>45293</v>
      </c>
      <c r="AB740" s="474">
        <v>46742</v>
      </c>
      <c r="AC740" s="2799"/>
      <c r="AD740" s="2799"/>
    </row>
    <row r="741" spans="1:30" ht="30.75" thickBot="1">
      <c r="A741" s="2118" t="s">
        <v>15551</v>
      </c>
      <c r="B741" s="2120" t="s">
        <v>15773</v>
      </c>
      <c r="C741" s="2118" t="s">
        <v>2434</v>
      </c>
      <c r="D741" s="2118" t="s">
        <v>3204</v>
      </c>
      <c r="E741" s="2118" t="s">
        <v>15292</v>
      </c>
      <c r="F741" s="2119" t="s">
        <v>15774</v>
      </c>
      <c r="G741" s="2118">
        <v>2</v>
      </c>
      <c r="H741" s="2120" t="s">
        <v>15776</v>
      </c>
      <c r="I741" s="2120" t="s">
        <v>15369</v>
      </c>
      <c r="J741" s="2118" t="s">
        <v>642</v>
      </c>
      <c r="K741" s="2118"/>
      <c r="L741" s="2121">
        <v>440000</v>
      </c>
      <c r="M741" s="2118" t="s">
        <v>251</v>
      </c>
      <c r="N741" s="2117">
        <v>45191</v>
      </c>
      <c r="O741" s="2117">
        <v>45229</v>
      </c>
      <c r="P741" s="2117">
        <v>45260</v>
      </c>
      <c r="Q741" s="2120" t="s">
        <v>198</v>
      </c>
      <c r="R741" s="2118"/>
      <c r="S741" s="2121">
        <v>257800</v>
      </c>
      <c r="T741" s="2121">
        <v>311938</v>
      </c>
      <c r="U741" s="2122"/>
      <c r="V741" s="2122"/>
      <c r="W741" s="2122"/>
      <c r="X741" s="2123">
        <v>45260</v>
      </c>
      <c r="Y741" s="2246" t="s">
        <v>16345</v>
      </c>
      <c r="Z741" s="2117">
        <v>45282</v>
      </c>
      <c r="AA741" s="2117">
        <v>45293</v>
      </c>
      <c r="AB741" s="2117">
        <v>46742</v>
      </c>
      <c r="AC741" s="2799"/>
      <c r="AD741" s="2799"/>
    </row>
    <row r="742" spans="1:30" ht="15.75" thickTop="1">
      <c r="A742" s="470">
        <v>45174</v>
      </c>
      <c r="B742" s="654" t="s">
        <v>15778</v>
      </c>
      <c r="C742" s="466" t="s">
        <v>2712</v>
      </c>
      <c r="D742" s="466" t="s">
        <v>15076</v>
      </c>
      <c r="E742" s="466" t="s">
        <v>655</v>
      </c>
      <c r="F742" s="467" t="s">
        <v>6556</v>
      </c>
      <c r="G742" s="466"/>
      <c r="H742" s="654"/>
      <c r="I742" s="654" t="s">
        <v>242</v>
      </c>
      <c r="J742" s="466" t="s">
        <v>1422</v>
      </c>
      <c r="K742" s="466"/>
      <c r="L742" s="2330">
        <v>800000</v>
      </c>
      <c r="M742" s="466" t="s">
        <v>112</v>
      </c>
      <c r="N742" s="470">
        <v>45177</v>
      </c>
      <c r="O742" s="470">
        <v>45188</v>
      </c>
      <c r="P742" s="466"/>
      <c r="Q742" s="471" t="s">
        <v>4505</v>
      </c>
      <c r="R742" s="2265" t="s">
        <v>15866</v>
      </c>
      <c r="S742" s="472"/>
      <c r="T742" s="472"/>
      <c r="U742" s="1516"/>
      <c r="V742" s="1516"/>
      <c r="W742" s="1516"/>
      <c r="X742" s="472"/>
      <c r="Y742" s="472"/>
      <c r="Z742" s="466"/>
      <c r="AA742" s="470">
        <v>45195</v>
      </c>
      <c r="AB742" s="466"/>
      <c r="AC742" s="2799"/>
      <c r="AD742" s="2799"/>
    </row>
    <row r="743" spans="1:30">
      <c r="A743" s="2141" t="s">
        <v>3585</v>
      </c>
      <c r="B743" s="2143" t="s">
        <v>15788</v>
      </c>
      <c r="C743" s="2141" t="s">
        <v>58</v>
      </c>
      <c r="D743" s="2141" t="s">
        <v>15443</v>
      </c>
      <c r="E743" s="2141" t="s">
        <v>655</v>
      </c>
      <c r="F743" s="2142" t="s">
        <v>15787</v>
      </c>
      <c r="G743" s="2141"/>
      <c r="H743" s="2143"/>
      <c r="I743" s="2143" t="s">
        <v>15369</v>
      </c>
      <c r="J743" s="2141" t="s">
        <v>765</v>
      </c>
      <c r="K743" s="2141" t="s">
        <v>15634</v>
      </c>
      <c r="L743" s="2144">
        <v>310000</v>
      </c>
      <c r="M743" s="2141" t="s">
        <v>112</v>
      </c>
      <c r="N743" s="2140">
        <v>45180</v>
      </c>
      <c r="O743" s="2140">
        <v>45191</v>
      </c>
      <c r="P743" s="2140">
        <v>45203</v>
      </c>
      <c r="Q743" s="2143" t="s">
        <v>15906</v>
      </c>
      <c r="R743" s="2141"/>
      <c r="S743" s="2144">
        <v>493959.66</v>
      </c>
      <c r="T743" s="2144">
        <v>493959.66</v>
      </c>
      <c r="U743" s="2145"/>
      <c r="V743" s="2145"/>
      <c r="W743" s="2145"/>
      <c r="X743" s="2146">
        <v>45203</v>
      </c>
      <c r="Y743" s="2144" t="s">
        <v>15923</v>
      </c>
      <c r="Z743" s="2140">
        <v>45211</v>
      </c>
      <c r="AA743" s="2140">
        <v>45212</v>
      </c>
      <c r="AB743" s="2140">
        <v>45230</v>
      </c>
      <c r="AC743" s="2799"/>
      <c r="AD743" s="2799"/>
    </row>
    <row r="744" spans="1:30">
      <c r="A744" s="2799"/>
      <c r="B744" s="2346" t="s">
        <v>15789</v>
      </c>
      <c r="C744" s="2799" t="s">
        <v>837</v>
      </c>
      <c r="D744" s="2799" t="s">
        <v>1682</v>
      </c>
      <c r="E744" s="2799" t="s">
        <v>13950</v>
      </c>
      <c r="F744" s="2345" t="s">
        <v>15790</v>
      </c>
      <c r="G744" s="2799"/>
      <c r="H744" s="2346"/>
      <c r="I744" s="2346" t="s">
        <v>17524</v>
      </c>
      <c r="J744" s="2799" t="s">
        <v>15791</v>
      </c>
      <c r="K744" s="2799"/>
      <c r="L744" s="2414">
        <v>4500000</v>
      </c>
      <c r="M744" s="2799" t="s">
        <v>251</v>
      </c>
      <c r="N744" s="2799"/>
      <c r="O744" s="2799"/>
      <c r="P744" s="2799"/>
      <c r="Q744" s="2346"/>
      <c r="R744" s="2799"/>
      <c r="S744" s="2347"/>
      <c r="T744" s="2347"/>
      <c r="U744" s="2348"/>
      <c r="V744" s="2348"/>
      <c r="W744" s="2348"/>
      <c r="X744" s="2347"/>
      <c r="Y744" s="2347"/>
      <c r="Z744" s="2799"/>
      <c r="AA744" s="2799"/>
      <c r="AB744" s="2799"/>
      <c r="AC744" s="2799"/>
      <c r="AD744" s="2799"/>
    </row>
    <row r="745" spans="1:30">
      <c r="A745" s="2140">
        <v>45180</v>
      </c>
      <c r="B745" s="2143" t="s">
        <v>15793</v>
      </c>
      <c r="C745" s="2141" t="s">
        <v>2434</v>
      </c>
      <c r="D745" s="2141" t="s">
        <v>219</v>
      </c>
      <c r="E745" s="2141" t="s">
        <v>655</v>
      </c>
      <c r="F745" s="2142" t="s">
        <v>15792</v>
      </c>
      <c r="G745" s="2141"/>
      <c r="H745" s="2143"/>
      <c r="I745" s="2143" t="s">
        <v>15369</v>
      </c>
      <c r="J745" s="2141" t="s">
        <v>642</v>
      </c>
      <c r="K745" s="2141"/>
      <c r="L745" s="2144">
        <v>1174000</v>
      </c>
      <c r="M745" s="2141" t="s">
        <v>112</v>
      </c>
      <c r="N745" s="2140">
        <v>45182</v>
      </c>
      <c r="O745" s="2140">
        <v>45205</v>
      </c>
      <c r="P745" s="2140">
        <v>45215</v>
      </c>
      <c r="Q745" s="2143" t="s">
        <v>15975</v>
      </c>
      <c r="R745" s="2141"/>
      <c r="S745" s="2144">
        <v>1178430</v>
      </c>
      <c r="T745" s="2144">
        <v>1425900.5</v>
      </c>
      <c r="U745" s="2145"/>
      <c r="V745" s="2145"/>
      <c r="W745" s="2145"/>
      <c r="X745" s="2146">
        <v>45215</v>
      </c>
      <c r="Y745" s="2144" t="s">
        <v>16022</v>
      </c>
      <c r="Z745" s="2140">
        <v>45218</v>
      </c>
      <c r="AA745" s="2140">
        <v>45218</v>
      </c>
      <c r="AB745" s="2140">
        <v>45948</v>
      </c>
      <c r="AC745" s="2799"/>
      <c r="AD745" s="2799"/>
    </row>
    <row r="746" spans="1:30">
      <c r="A746" s="2140">
        <v>45181</v>
      </c>
      <c r="B746" s="2143" t="s">
        <v>15799</v>
      </c>
      <c r="C746" s="2141" t="s">
        <v>1754</v>
      </c>
      <c r="D746" s="2141" t="s">
        <v>13</v>
      </c>
      <c r="E746" s="2141" t="s">
        <v>13951</v>
      </c>
      <c r="F746" s="2142" t="s">
        <v>15800</v>
      </c>
      <c r="G746" s="2141"/>
      <c r="H746" s="2143"/>
      <c r="I746" s="2143" t="s">
        <v>15369</v>
      </c>
      <c r="J746" s="2141" t="s">
        <v>26</v>
      </c>
      <c r="K746" s="2141"/>
      <c r="L746" s="2144">
        <v>484000</v>
      </c>
      <c r="M746" s="2141" t="s">
        <v>112</v>
      </c>
      <c r="N746" s="2140">
        <v>45183</v>
      </c>
      <c r="O746" s="2140">
        <v>45194</v>
      </c>
      <c r="P746" s="2140">
        <v>45203</v>
      </c>
      <c r="Q746" s="2143" t="s">
        <v>6319</v>
      </c>
      <c r="R746" s="2141"/>
      <c r="S746" s="2144">
        <v>408545</v>
      </c>
      <c r="T746" s="2144">
        <v>494339.45</v>
      </c>
      <c r="U746" s="2145"/>
      <c r="V746" s="2145"/>
      <c r="W746" s="2145"/>
      <c r="X746" s="2146">
        <v>45203</v>
      </c>
      <c r="Y746" s="2144" t="s">
        <v>15922</v>
      </c>
      <c r="Z746" s="2140">
        <v>45210</v>
      </c>
      <c r="AA746" s="2140">
        <v>45211</v>
      </c>
      <c r="AB746" s="2140">
        <v>45575</v>
      </c>
      <c r="AC746" s="2799"/>
      <c r="AD746" s="2799"/>
    </row>
    <row r="747" spans="1:30" ht="45">
      <c r="A747" s="2140">
        <v>45181</v>
      </c>
      <c r="B747" s="2143" t="s">
        <v>15804</v>
      </c>
      <c r="C747" s="2141" t="s">
        <v>58</v>
      </c>
      <c r="D747" s="2141" t="s">
        <v>15443</v>
      </c>
      <c r="E747" s="2141" t="s">
        <v>13948</v>
      </c>
      <c r="F747" s="2142" t="s">
        <v>9165</v>
      </c>
      <c r="G747" s="2141"/>
      <c r="H747" s="2143"/>
      <c r="I747" s="2143" t="s">
        <v>15369</v>
      </c>
      <c r="J747" s="2141" t="s">
        <v>476</v>
      </c>
      <c r="K747" s="2141"/>
      <c r="L747" s="2144">
        <v>27975414</v>
      </c>
      <c r="M747" s="2141" t="s">
        <v>251</v>
      </c>
      <c r="N747" s="2140">
        <v>45272</v>
      </c>
      <c r="O747" s="2140">
        <v>45309</v>
      </c>
      <c r="P747" s="2140">
        <v>45342</v>
      </c>
      <c r="Q747" s="2143" t="s">
        <v>5471</v>
      </c>
      <c r="R747" s="2141"/>
      <c r="S747" s="2144">
        <v>25137304</v>
      </c>
      <c r="T747" s="2144">
        <v>30416137.84</v>
      </c>
      <c r="U747" s="2415"/>
      <c r="V747" s="2415"/>
      <c r="W747" s="2415"/>
      <c r="X747" s="2146">
        <v>45342</v>
      </c>
      <c r="Y747" s="2260" t="s">
        <v>16830</v>
      </c>
      <c r="Z747" s="2271">
        <v>45352</v>
      </c>
      <c r="AA747" s="2140">
        <v>45363</v>
      </c>
      <c r="AB747" s="2140">
        <v>45397</v>
      </c>
      <c r="AC747" s="2799"/>
      <c r="AD747" s="2799"/>
    </row>
    <row r="748" spans="1:30">
      <c r="A748" s="2140">
        <v>45184</v>
      </c>
      <c r="B748" s="2143" t="s">
        <v>15807</v>
      </c>
      <c r="C748" s="2141" t="s">
        <v>1032</v>
      </c>
      <c r="D748" s="2141" t="s">
        <v>361</v>
      </c>
      <c r="E748" s="2141" t="s">
        <v>13950</v>
      </c>
      <c r="F748" s="2142" t="s">
        <v>15808</v>
      </c>
      <c r="G748" s="2141"/>
      <c r="H748" s="2143"/>
      <c r="I748" s="2143" t="s">
        <v>15369</v>
      </c>
      <c r="J748" s="2141" t="s">
        <v>10983</v>
      </c>
      <c r="K748" s="2141"/>
      <c r="L748" s="2144">
        <v>2100000</v>
      </c>
      <c r="M748" s="2141" t="s">
        <v>251</v>
      </c>
      <c r="N748" s="2140">
        <v>45203</v>
      </c>
      <c r="O748" s="2140">
        <v>45237</v>
      </c>
      <c r="P748" s="2140">
        <v>45251</v>
      </c>
      <c r="Q748" s="2143" t="s">
        <v>5070</v>
      </c>
      <c r="R748" s="2141"/>
      <c r="S748" s="2144">
        <v>1740378</v>
      </c>
      <c r="T748" s="2144">
        <v>2105857</v>
      </c>
      <c r="U748" s="2145"/>
      <c r="V748" s="2145"/>
      <c r="W748" s="2145"/>
      <c r="X748" s="2146">
        <v>45251</v>
      </c>
      <c r="Y748" s="2144" t="s">
        <v>16296</v>
      </c>
      <c r="Z748" s="2140">
        <v>45281</v>
      </c>
      <c r="AA748" s="2140">
        <v>45289</v>
      </c>
      <c r="AB748" s="2141"/>
      <c r="AC748" s="2799"/>
      <c r="AD748" s="2799"/>
    </row>
    <row r="749" spans="1:30">
      <c r="A749" s="2140">
        <v>45184</v>
      </c>
      <c r="B749" s="2143" t="s">
        <v>15809</v>
      </c>
      <c r="C749" s="2141" t="s">
        <v>1032</v>
      </c>
      <c r="D749" s="2141" t="s">
        <v>361</v>
      </c>
      <c r="E749" s="2141" t="s">
        <v>13950</v>
      </c>
      <c r="F749" s="2142" t="s">
        <v>15810</v>
      </c>
      <c r="G749" s="2141"/>
      <c r="H749" s="2143"/>
      <c r="I749" s="2143" t="s">
        <v>15369</v>
      </c>
      <c r="J749" s="2141" t="s">
        <v>15811</v>
      </c>
      <c r="K749" s="2141"/>
      <c r="L749" s="2144">
        <v>4800000</v>
      </c>
      <c r="M749" s="2141" t="s">
        <v>251</v>
      </c>
      <c r="N749" s="2140">
        <v>45203</v>
      </c>
      <c r="O749" s="2140">
        <v>45237</v>
      </c>
      <c r="P749" s="2140">
        <v>45251</v>
      </c>
      <c r="Q749" s="2143" t="s">
        <v>5070</v>
      </c>
      <c r="R749" s="2141"/>
      <c r="S749" s="2144">
        <v>4296968</v>
      </c>
      <c r="T749" s="2144">
        <v>5199331</v>
      </c>
      <c r="U749" s="2145"/>
      <c r="V749" s="2145"/>
      <c r="W749" s="2145"/>
      <c r="X749" s="2146">
        <v>45251</v>
      </c>
      <c r="Y749" s="2144" t="s">
        <v>16297</v>
      </c>
      <c r="Z749" s="2140">
        <v>45281</v>
      </c>
      <c r="AA749" s="2140">
        <v>45289</v>
      </c>
      <c r="AB749" s="2141"/>
      <c r="AC749" s="2799"/>
      <c r="AD749" s="2799"/>
    </row>
    <row r="750" spans="1:30">
      <c r="A750" s="2124">
        <v>45180</v>
      </c>
      <c r="B750" s="2127" t="s">
        <v>15812</v>
      </c>
      <c r="C750" s="2125" t="s">
        <v>2434</v>
      </c>
      <c r="D750" s="2125" t="s">
        <v>219</v>
      </c>
      <c r="E750" s="2125" t="s">
        <v>15813</v>
      </c>
      <c r="F750" s="2126" t="s">
        <v>15814</v>
      </c>
      <c r="G750" s="2125"/>
      <c r="H750" s="2127"/>
      <c r="I750" s="2127" t="s">
        <v>242</v>
      </c>
      <c r="J750" s="2125" t="s">
        <v>642</v>
      </c>
      <c r="K750" s="2125"/>
      <c r="L750" s="2128">
        <v>4825600</v>
      </c>
      <c r="M750" s="2125" t="s">
        <v>251</v>
      </c>
      <c r="N750" s="2124">
        <v>45191</v>
      </c>
      <c r="O750" s="2124">
        <v>45230</v>
      </c>
      <c r="P750" s="2125"/>
      <c r="Q750" s="2127"/>
      <c r="R750" s="2125"/>
      <c r="S750" s="2128"/>
      <c r="T750" s="2128"/>
      <c r="U750" s="2129"/>
      <c r="V750" s="2129"/>
      <c r="W750" s="2129"/>
      <c r="X750" s="2128"/>
      <c r="Y750" s="2128"/>
      <c r="Z750" s="2125"/>
      <c r="AA750" s="2124">
        <v>45229</v>
      </c>
      <c r="AB750" s="2127" t="s">
        <v>16215</v>
      </c>
      <c r="AC750" s="2799"/>
      <c r="AD750" s="2799"/>
    </row>
    <row r="751" spans="1:30">
      <c r="A751" s="2140">
        <v>45187</v>
      </c>
      <c r="B751" s="2143" t="s">
        <v>15816</v>
      </c>
      <c r="C751" s="2141" t="s">
        <v>69</v>
      </c>
      <c r="D751" s="2141" t="s">
        <v>15131</v>
      </c>
      <c r="E751" s="2141" t="s">
        <v>13949</v>
      </c>
      <c r="F751" s="2142" t="s">
        <v>15817</v>
      </c>
      <c r="G751" s="2141"/>
      <c r="H751" s="2143"/>
      <c r="I751" s="2143" t="s">
        <v>15369</v>
      </c>
      <c r="J751" s="2141" t="s">
        <v>93</v>
      </c>
      <c r="K751" s="2141"/>
      <c r="L751" s="2144">
        <v>2559471</v>
      </c>
      <c r="M751" s="2141" t="s">
        <v>216</v>
      </c>
      <c r="N751" s="2140">
        <v>45204</v>
      </c>
      <c r="O751" s="2140">
        <v>45239</v>
      </c>
      <c r="P751" s="2140">
        <v>45254</v>
      </c>
      <c r="Q751" s="2143" t="s">
        <v>7327</v>
      </c>
      <c r="R751" s="2141"/>
      <c r="S751" s="2144">
        <v>2559468.14</v>
      </c>
      <c r="T751" s="2144">
        <v>2815414.95</v>
      </c>
      <c r="U751" s="2145"/>
      <c r="V751" s="2145"/>
      <c r="W751" s="2145"/>
      <c r="X751" s="2146">
        <v>45254</v>
      </c>
      <c r="Y751" s="2144" t="s">
        <v>16326</v>
      </c>
      <c r="Z751" s="2140">
        <v>45278</v>
      </c>
      <c r="AA751" s="2140">
        <v>45280</v>
      </c>
      <c r="AB751" s="2140">
        <v>46373</v>
      </c>
      <c r="AC751" s="2799"/>
      <c r="AD751" s="2799"/>
    </row>
    <row r="752" spans="1:30">
      <c r="A752" s="2140">
        <v>45187</v>
      </c>
      <c r="B752" s="2143" t="s">
        <v>15818</v>
      </c>
      <c r="C752" s="2141" t="s">
        <v>69</v>
      </c>
      <c r="D752" s="2141" t="s">
        <v>15129</v>
      </c>
      <c r="E752" s="2141" t="s">
        <v>15813</v>
      </c>
      <c r="F752" s="2944" t="s">
        <v>15819</v>
      </c>
      <c r="G752" s="2141"/>
      <c r="H752" s="2143"/>
      <c r="I752" s="2143" t="s">
        <v>15369</v>
      </c>
      <c r="J752" s="2141" t="s">
        <v>5244</v>
      </c>
      <c r="K752" s="2141"/>
      <c r="L752" s="2144">
        <v>5469668</v>
      </c>
      <c r="M752" s="2141" t="s">
        <v>251</v>
      </c>
      <c r="N752" s="2140">
        <v>45191</v>
      </c>
      <c r="O752" s="2140">
        <v>45251</v>
      </c>
      <c r="P752" s="2140">
        <v>45267</v>
      </c>
      <c r="Q752" s="2143" t="s">
        <v>576</v>
      </c>
      <c r="R752" s="2141"/>
      <c r="S752" s="2144">
        <v>5377572.3300000001</v>
      </c>
      <c r="T752" s="2144">
        <v>5915329.5599999996</v>
      </c>
      <c r="U752" s="2145"/>
      <c r="V752" s="2145"/>
      <c r="W752" s="2145"/>
      <c r="X752" s="2146">
        <v>45267</v>
      </c>
      <c r="Y752" s="2144" t="s">
        <v>16378</v>
      </c>
      <c r="Z752" s="2140">
        <v>45300</v>
      </c>
      <c r="AA752" s="2140">
        <v>45301</v>
      </c>
      <c r="AB752" s="2140">
        <v>46395</v>
      </c>
      <c r="AC752" s="2799"/>
      <c r="AD752" s="2799"/>
    </row>
    <row r="753" spans="1:31">
      <c r="A753" s="2140">
        <v>45177</v>
      </c>
      <c r="B753" s="2143" t="s">
        <v>15820</v>
      </c>
      <c r="C753" s="2141" t="s">
        <v>2434</v>
      </c>
      <c r="D753" s="2141" t="s">
        <v>219</v>
      </c>
      <c r="E753" s="2141" t="s">
        <v>15813</v>
      </c>
      <c r="F753" s="2620" t="s">
        <v>15821</v>
      </c>
      <c r="G753" s="2141"/>
      <c r="H753" s="2143"/>
      <c r="I753" s="2143" t="s">
        <v>15369</v>
      </c>
      <c r="J753" s="2141" t="s">
        <v>642</v>
      </c>
      <c r="K753" s="2141"/>
      <c r="L753" s="2144">
        <v>7697650</v>
      </c>
      <c r="M753" s="2141" t="s">
        <v>251</v>
      </c>
      <c r="N753" s="2140">
        <v>45198</v>
      </c>
      <c r="O753" s="2140">
        <v>45232</v>
      </c>
      <c r="P753" s="2140">
        <v>45306</v>
      </c>
      <c r="Q753" s="2143" t="s">
        <v>993</v>
      </c>
      <c r="R753" s="2141"/>
      <c r="S753" s="2144">
        <v>7798560</v>
      </c>
      <c r="T753" s="2144">
        <v>9436257.5999999996</v>
      </c>
      <c r="U753" s="2145"/>
      <c r="V753" s="2145"/>
      <c r="W753" s="2145"/>
      <c r="X753" s="2146">
        <v>45306</v>
      </c>
      <c r="Y753" s="2144" t="s">
        <v>16573</v>
      </c>
      <c r="Z753" s="2140">
        <v>45310</v>
      </c>
      <c r="AA753" s="2140">
        <v>45310</v>
      </c>
      <c r="AB753" s="2140">
        <v>46770</v>
      </c>
      <c r="AC753" s="2799"/>
      <c r="AD753" s="2799"/>
    </row>
    <row r="754" spans="1:31">
      <c r="A754" s="2124">
        <v>45187</v>
      </c>
      <c r="B754" s="2127" t="s">
        <v>15822</v>
      </c>
      <c r="C754" s="2125" t="s">
        <v>13843</v>
      </c>
      <c r="D754" s="2125" t="s">
        <v>13844</v>
      </c>
      <c r="E754" s="2125" t="s">
        <v>13949</v>
      </c>
      <c r="F754" s="2940" t="s">
        <v>15823</v>
      </c>
      <c r="G754" s="2125"/>
      <c r="H754" s="2127"/>
      <c r="I754" s="2127" t="s">
        <v>242</v>
      </c>
      <c r="J754" s="2125" t="s">
        <v>42</v>
      </c>
      <c r="K754" s="2125"/>
      <c r="L754" s="2128">
        <v>2350450</v>
      </c>
      <c r="M754" s="2125" t="s">
        <v>251</v>
      </c>
      <c r="N754" s="2124">
        <v>45196</v>
      </c>
      <c r="O754" s="2124">
        <v>45237</v>
      </c>
      <c r="P754" s="2125"/>
      <c r="Q754" s="2136" t="s">
        <v>2635</v>
      </c>
      <c r="R754" s="2125"/>
      <c r="S754" s="2128"/>
      <c r="T754" s="2128"/>
      <c r="U754" s="2129"/>
      <c r="V754" s="2129"/>
      <c r="W754" s="2129"/>
      <c r="X754" s="2128"/>
      <c r="Y754" s="2128"/>
      <c r="Z754" s="2125"/>
      <c r="AA754" s="2582">
        <v>45258</v>
      </c>
      <c r="AB754" s="2127" t="s">
        <v>16331</v>
      </c>
      <c r="AC754" s="2799"/>
      <c r="AD754" s="2799"/>
    </row>
    <row r="755" spans="1:31">
      <c r="A755" s="2140">
        <v>45187</v>
      </c>
      <c r="B755" s="2143" t="s">
        <v>15824</v>
      </c>
      <c r="C755" s="2141" t="s">
        <v>13843</v>
      </c>
      <c r="D755" s="2141" t="s">
        <v>13844</v>
      </c>
      <c r="E755" s="2141" t="s">
        <v>13949</v>
      </c>
      <c r="F755" s="2142" t="s">
        <v>15825</v>
      </c>
      <c r="G755" s="2141"/>
      <c r="H755" s="2143"/>
      <c r="I755" s="2143" t="s">
        <v>15369</v>
      </c>
      <c r="J755" s="2141" t="s">
        <v>42</v>
      </c>
      <c r="K755" s="2141"/>
      <c r="L755" s="2144">
        <v>4078608</v>
      </c>
      <c r="M755" s="2141" t="s">
        <v>251</v>
      </c>
      <c r="N755" s="2140">
        <v>45203</v>
      </c>
      <c r="O755" s="2140">
        <v>45244</v>
      </c>
      <c r="P755" s="2140">
        <v>45268</v>
      </c>
      <c r="Q755" s="2143" t="s">
        <v>5979</v>
      </c>
      <c r="R755" s="2141"/>
      <c r="S755" s="2144">
        <v>3663222.3</v>
      </c>
      <c r="T755" s="2144">
        <v>4432498.9800000004</v>
      </c>
      <c r="U755" s="2145"/>
      <c r="V755" s="2145"/>
      <c r="W755" s="2145"/>
      <c r="X755" s="2146">
        <v>45268</v>
      </c>
      <c r="Y755" s="2144" t="s">
        <v>16382</v>
      </c>
      <c r="Z755" s="2140">
        <v>45280</v>
      </c>
      <c r="AA755" s="2140">
        <v>45287</v>
      </c>
      <c r="AB755" s="2140">
        <v>45565</v>
      </c>
      <c r="AC755" s="2799"/>
      <c r="AD755" s="2799"/>
    </row>
    <row r="756" spans="1:31">
      <c r="A756" s="2140">
        <v>45184</v>
      </c>
      <c r="B756" s="2143" t="s">
        <v>15826</v>
      </c>
      <c r="C756" s="2141" t="s">
        <v>1032</v>
      </c>
      <c r="D756" s="2141" t="s">
        <v>361</v>
      </c>
      <c r="E756" s="2141" t="s">
        <v>655</v>
      </c>
      <c r="F756" s="2142" t="s">
        <v>15827</v>
      </c>
      <c r="G756" s="2141"/>
      <c r="H756" s="2143"/>
      <c r="I756" s="2143" t="s">
        <v>15369</v>
      </c>
      <c r="J756" s="2141" t="s">
        <v>158</v>
      </c>
      <c r="K756" s="2141"/>
      <c r="L756" s="2144">
        <v>280000</v>
      </c>
      <c r="M756" s="2141" t="s">
        <v>112</v>
      </c>
      <c r="N756" s="2140">
        <v>45190</v>
      </c>
      <c r="O756" s="2140">
        <v>45202</v>
      </c>
      <c r="P756" s="2140">
        <v>45210</v>
      </c>
      <c r="Q756" s="2143" t="s">
        <v>1733</v>
      </c>
      <c r="R756" s="2141"/>
      <c r="S756" s="2144">
        <v>263042</v>
      </c>
      <c r="T756" s="2144">
        <v>318280.82</v>
      </c>
      <c r="U756" s="2145"/>
      <c r="V756" s="2145"/>
      <c r="W756" s="2145"/>
      <c r="X756" s="2146">
        <v>45210</v>
      </c>
      <c r="Y756" s="2144" t="s">
        <v>16015</v>
      </c>
      <c r="Z756" s="2140">
        <v>45223</v>
      </c>
      <c r="AA756" s="2140">
        <v>45223</v>
      </c>
      <c r="AB756" s="2140">
        <v>45293</v>
      </c>
      <c r="AC756" s="2799"/>
      <c r="AD756" s="2799"/>
    </row>
    <row r="757" spans="1:31" ht="30">
      <c r="A757" s="2141" t="s">
        <v>3585</v>
      </c>
      <c r="B757" s="2143" t="s">
        <v>15834</v>
      </c>
      <c r="C757" s="2141" t="s">
        <v>58</v>
      </c>
      <c r="D757" s="2141" t="s">
        <v>15443</v>
      </c>
      <c r="E757" s="2141" t="s">
        <v>13950</v>
      </c>
      <c r="F757" s="2142" t="s">
        <v>15835</v>
      </c>
      <c r="G757" s="2141"/>
      <c r="H757" s="2143"/>
      <c r="I757" s="2143" t="s">
        <v>15369</v>
      </c>
      <c r="J757" s="2141" t="s">
        <v>1924</v>
      </c>
      <c r="K757" s="2141" t="s">
        <v>15626</v>
      </c>
      <c r="L757" s="2144">
        <v>267934</v>
      </c>
      <c r="M757" s="2141" t="s">
        <v>216</v>
      </c>
      <c r="N757" s="2140">
        <v>45190</v>
      </c>
      <c r="O757" s="2140">
        <v>45209</v>
      </c>
      <c r="P757" s="2140">
        <v>45217</v>
      </c>
      <c r="Q757" s="2143" t="s">
        <v>4478</v>
      </c>
      <c r="R757" s="2141"/>
      <c r="S757" s="2144">
        <v>308275</v>
      </c>
      <c r="T757" s="2144">
        <v>373012.75</v>
      </c>
      <c r="U757" s="2145"/>
      <c r="V757" s="2145"/>
      <c r="W757" s="2145"/>
      <c r="X757" s="2146">
        <v>45217</v>
      </c>
      <c r="Y757" s="2260" t="s">
        <v>16057</v>
      </c>
      <c r="Z757" s="2140">
        <v>45223</v>
      </c>
      <c r="AA757" s="2140">
        <v>45233</v>
      </c>
      <c r="AB757" s="2140">
        <v>45230</v>
      </c>
      <c r="AC757" s="2799"/>
      <c r="AD757" s="2799"/>
    </row>
    <row r="758" spans="1:31">
      <c r="A758" s="2564">
        <v>45190</v>
      </c>
      <c r="B758" s="2664" t="s">
        <v>15840</v>
      </c>
      <c r="C758" s="2779" t="s">
        <v>69</v>
      </c>
      <c r="D758" s="2779" t="s">
        <v>15129</v>
      </c>
      <c r="E758" s="2779" t="s">
        <v>15813</v>
      </c>
      <c r="F758" s="2780" t="s">
        <v>15841</v>
      </c>
      <c r="G758" s="2779"/>
      <c r="H758" s="2664"/>
      <c r="I758" s="2664" t="s">
        <v>15369</v>
      </c>
      <c r="J758" s="2779" t="s">
        <v>7790</v>
      </c>
      <c r="K758" s="2779"/>
      <c r="L758" s="2607">
        <v>2901165</v>
      </c>
      <c r="M758" s="2779" t="s">
        <v>251</v>
      </c>
      <c r="N758" s="2564">
        <v>45198</v>
      </c>
      <c r="O758" s="2564">
        <v>45264</v>
      </c>
      <c r="P758" s="2564">
        <v>45303</v>
      </c>
      <c r="Q758" s="2664" t="s">
        <v>5774</v>
      </c>
      <c r="R758" s="2779"/>
      <c r="S758" s="2607">
        <v>2604121.83</v>
      </c>
      <c r="T758" s="2607">
        <v>2916616.45</v>
      </c>
      <c r="U758" s="2145"/>
      <c r="V758" s="2145"/>
      <c r="W758" s="2145"/>
      <c r="X758" s="2782">
        <v>45303</v>
      </c>
      <c r="Y758" s="2607" t="s">
        <v>16568</v>
      </c>
      <c r="Z758" s="2564">
        <v>45338</v>
      </c>
      <c r="AA758" s="2564">
        <v>45343</v>
      </c>
      <c r="AB758" s="2564">
        <v>46463</v>
      </c>
      <c r="AC758" s="2799"/>
      <c r="AD758" s="2799"/>
      <c r="AE758" s="360" t="s">
        <v>16671</v>
      </c>
    </row>
    <row r="759" spans="1:31">
      <c r="A759" s="2140">
        <v>45190</v>
      </c>
      <c r="B759" s="2143" t="s">
        <v>15842</v>
      </c>
      <c r="C759" s="2141" t="s">
        <v>69</v>
      </c>
      <c r="D759" s="2141" t="s">
        <v>15129</v>
      </c>
      <c r="E759" s="2141" t="s">
        <v>13949</v>
      </c>
      <c r="F759" s="2142" t="s">
        <v>15863</v>
      </c>
      <c r="G759" s="2141"/>
      <c r="H759" s="2143"/>
      <c r="I759" s="2143" t="s">
        <v>15369</v>
      </c>
      <c r="J759" s="2141" t="s">
        <v>813</v>
      </c>
      <c r="K759" s="2141"/>
      <c r="L759" s="2144">
        <v>119625372</v>
      </c>
      <c r="M759" s="2141" t="s">
        <v>251</v>
      </c>
      <c r="N759" s="2140">
        <v>45224</v>
      </c>
      <c r="O759" s="2140">
        <v>45259</v>
      </c>
      <c r="P759" s="2140">
        <v>45313</v>
      </c>
      <c r="Q759" s="2143" t="s">
        <v>2518</v>
      </c>
      <c r="R759" s="2141"/>
      <c r="S759" s="2144">
        <v>117591110</v>
      </c>
      <c r="T759" s="2144">
        <v>131702043.2</v>
      </c>
      <c r="U759" s="2145"/>
      <c r="V759" s="2145"/>
      <c r="W759" s="2145"/>
      <c r="X759" s="2146">
        <v>45313</v>
      </c>
      <c r="Y759" s="2144" t="s">
        <v>16634</v>
      </c>
      <c r="Z759" s="2140">
        <v>45317</v>
      </c>
      <c r="AA759" s="2140">
        <v>45331</v>
      </c>
      <c r="AB759" s="2140">
        <v>46777</v>
      </c>
      <c r="AC759" s="2799"/>
      <c r="AD759" s="2799"/>
    </row>
    <row r="760" spans="1:31">
      <c r="A760" s="2410">
        <v>45190</v>
      </c>
      <c r="B760" s="2413" t="s">
        <v>15843</v>
      </c>
      <c r="C760" s="2411" t="s">
        <v>13843</v>
      </c>
      <c r="D760" s="2411" t="s">
        <v>13844</v>
      </c>
      <c r="E760" s="2411" t="s">
        <v>13949</v>
      </c>
      <c r="F760" s="2412" t="s">
        <v>15844</v>
      </c>
      <c r="G760" s="2411"/>
      <c r="H760" s="3132" t="s">
        <v>16511</v>
      </c>
      <c r="I760" s="2413" t="s">
        <v>15370</v>
      </c>
      <c r="J760" s="2411"/>
      <c r="K760" s="2411"/>
      <c r="L760" s="2414">
        <v>10000000</v>
      </c>
      <c r="M760" s="2411" t="s">
        <v>251</v>
      </c>
      <c r="N760" s="2799"/>
      <c r="O760" s="2799"/>
      <c r="P760" s="2799"/>
      <c r="Q760" s="2346"/>
      <c r="R760" s="2799"/>
      <c r="S760" s="2347"/>
      <c r="T760" s="2347"/>
      <c r="U760" s="2348"/>
      <c r="V760" s="2348"/>
      <c r="W760" s="2348"/>
      <c r="X760" s="2347"/>
      <c r="Y760" s="2347"/>
      <c r="Z760" s="2799"/>
      <c r="AA760" s="2799"/>
      <c r="AB760" s="2799"/>
      <c r="AC760" s="2799"/>
      <c r="AD760" s="2799"/>
    </row>
    <row r="761" spans="1:31">
      <c r="A761" s="2124">
        <v>45190</v>
      </c>
      <c r="B761" s="2127" t="s">
        <v>15845</v>
      </c>
      <c r="C761" s="2125" t="s">
        <v>1032</v>
      </c>
      <c r="D761" s="2125" t="s">
        <v>361</v>
      </c>
      <c r="E761" s="2125" t="s">
        <v>655</v>
      </c>
      <c r="F761" s="2126" t="s">
        <v>15846</v>
      </c>
      <c r="G761" s="2125"/>
      <c r="H761" s="2127"/>
      <c r="I761" s="2127" t="s">
        <v>242</v>
      </c>
      <c r="J761" s="2125" t="s">
        <v>5752</v>
      </c>
      <c r="K761" s="2125"/>
      <c r="L761" s="2128">
        <v>1500000</v>
      </c>
      <c r="M761" s="2125" t="s">
        <v>112</v>
      </c>
      <c r="N761" s="2124">
        <v>45195</v>
      </c>
      <c r="O761" s="2124">
        <v>45209</v>
      </c>
      <c r="P761" s="2124">
        <v>45216</v>
      </c>
      <c r="Q761" s="2136" t="s">
        <v>16143</v>
      </c>
      <c r="R761" s="2125"/>
      <c r="S761" s="2128">
        <v>1295330.1399999999</v>
      </c>
      <c r="T761" s="2128">
        <v>1295330.1399999999</v>
      </c>
      <c r="U761" s="2129"/>
      <c r="V761" s="2129"/>
      <c r="W761" s="2129"/>
      <c r="X761" s="2281">
        <v>45216</v>
      </c>
      <c r="Y761" s="2128" t="s">
        <v>16053</v>
      </c>
      <c r="Z761" s="2125"/>
      <c r="AA761" s="2124">
        <v>45229</v>
      </c>
      <c r="AB761" s="2125"/>
      <c r="AC761" s="2799"/>
      <c r="AD761" s="2799"/>
    </row>
    <row r="762" spans="1:31" ht="30">
      <c r="A762" s="2140">
        <v>45191</v>
      </c>
      <c r="B762" s="2143" t="s">
        <v>15851</v>
      </c>
      <c r="C762" s="2141" t="s">
        <v>58</v>
      </c>
      <c r="D762" s="2141" t="s">
        <v>15443</v>
      </c>
      <c r="E762" s="2141" t="s">
        <v>13948</v>
      </c>
      <c r="F762" s="2142" t="s">
        <v>15852</v>
      </c>
      <c r="G762" s="2141"/>
      <c r="H762" s="2143"/>
      <c r="I762" s="2143" t="s">
        <v>15369</v>
      </c>
      <c r="J762" s="2141" t="s">
        <v>778</v>
      </c>
      <c r="K762" s="2141" t="s">
        <v>15853</v>
      </c>
      <c r="L762" s="2144">
        <v>10680000</v>
      </c>
      <c r="M762" s="2141" t="s">
        <v>251</v>
      </c>
      <c r="N762" s="2140">
        <v>45210</v>
      </c>
      <c r="O762" s="2140">
        <v>45246</v>
      </c>
      <c r="P762" s="2140">
        <v>45266</v>
      </c>
      <c r="Q762" s="2143" t="s">
        <v>5810</v>
      </c>
      <c r="R762" s="2141"/>
      <c r="S762" s="2144">
        <v>10772400</v>
      </c>
      <c r="T762" s="2144">
        <v>13034604</v>
      </c>
      <c r="U762" s="2145"/>
      <c r="V762" s="2145"/>
      <c r="W762" s="2145"/>
      <c r="X762" s="2146">
        <v>45266</v>
      </c>
      <c r="Y762" s="2260" t="s">
        <v>16364</v>
      </c>
      <c r="Z762" s="2140">
        <v>45273</v>
      </c>
      <c r="AA762" s="2140">
        <v>45279</v>
      </c>
      <c r="AB762" s="2140">
        <v>45423</v>
      </c>
      <c r="AC762" s="2799"/>
      <c r="AD762" s="2799"/>
    </row>
    <row r="763" spans="1:31" ht="30">
      <c r="A763" s="2140">
        <v>45191</v>
      </c>
      <c r="B763" s="2143" t="s">
        <v>15858</v>
      </c>
      <c r="C763" s="2141" t="s">
        <v>58</v>
      </c>
      <c r="D763" s="2141" t="s">
        <v>15443</v>
      </c>
      <c r="E763" s="2141" t="s">
        <v>13951</v>
      </c>
      <c r="F763" s="2142" t="s">
        <v>15859</v>
      </c>
      <c r="G763" s="2141"/>
      <c r="H763" s="2143"/>
      <c r="I763" s="2143" t="s">
        <v>15369</v>
      </c>
      <c r="J763" s="2141" t="s">
        <v>15861</v>
      </c>
      <c r="K763" s="2141" t="s">
        <v>15860</v>
      </c>
      <c r="L763" s="2144">
        <v>275560</v>
      </c>
      <c r="M763" s="2141" t="s">
        <v>112</v>
      </c>
      <c r="N763" s="2140">
        <v>45198</v>
      </c>
      <c r="O763" s="2140">
        <v>45209</v>
      </c>
      <c r="P763" s="2140">
        <v>45217</v>
      </c>
      <c r="Q763" s="2143" t="s">
        <v>13190</v>
      </c>
      <c r="R763" s="2141"/>
      <c r="S763" s="2144">
        <v>275440</v>
      </c>
      <c r="T763" s="2144">
        <v>333282.40000000002</v>
      </c>
      <c r="U763" s="2145"/>
      <c r="V763" s="2145"/>
      <c r="W763" s="2145"/>
      <c r="X763" s="2146">
        <v>45217</v>
      </c>
      <c r="Y763" s="2260" t="s">
        <v>16061</v>
      </c>
      <c r="Z763" s="2140">
        <v>45231</v>
      </c>
      <c r="AA763" s="2140">
        <v>45231</v>
      </c>
      <c r="AB763" s="2140">
        <v>45241</v>
      </c>
      <c r="AC763" s="2799"/>
      <c r="AD763" s="2799"/>
    </row>
    <row r="764" spans="1:31">
      <c r="A764" s="2141" t="s">
        <v>3585</v>
      </c>
      <c r="B764" s="2143" t="s">
        <v>15867</v>
      </c>
      <c r="C764" s="2141" t="s">
        <v>2712</v>
      </c>
      <c r="D764" s="2141" t="s">
        <v>15076</v>
      </c>
      <c r="E764" s="2141" t="s">
        <v>655</v>
      </c>
      <c r="F764" s="2142" t="s">
        <v>15868</v>
      </c>
      <c r="G764" s="2141"/>
      <c r="H764" s="2143"/>
      <c r="I764" s="2143" t="s">
        <v>15369</v>
      </c>
      <c r="J764" s="2141" t="s">
        <v>1422</v>
      </c>
      <c r="K764" s="2141"/>
      <c r="L764" s="2144">
        <v>800000</v>
      </c>
      <c r="M764" s="2141" t="s">
        <v>112</v>
      </c>
      <c r="N764" s="2140">
        <v>45196</v>
      </c>
      <c r="O764" s="2140">
        <v>45208</v>
      </c>
      <c r="P764" s="2140">
        <v>45216</v>
      </c>
      <c r="Q764" s="2143" t="s">
        <v>13004</v>
      </c>
      <c r="R764" s="2141"/>
      <c r="S764" s="2144">
        <v>568326</v>
      </c>
      <c r="T764" s="2144">
        <v>639450</v>
      </c>
      <c r="U764" s="2145"/>
      <c r="V764" s="2145"/>
      <c r="W764" s="2145"/>
      <c r="X764" s="2146">
        <v>45216</v>
      </c>
      <c r="Y764" s="2144" t="s">
        <v>16051</v>
      </c>
      <c r="Z764" s="2140">
        <v>45245</v>
      </c>
      <c r="AA764" s="2140">
        <v>45245</v>
      </c>
      <c r="AB764" s="2140">
        <v>45273</v>
      </c>
      <c r="AC764" s="2799"/>
      <c r="AD764" s="2799"/>
    </row>
    <row r="765" spans="1:31" ht="30">
      <c r="A765" s="2140">
        <v>45195</v>
      </c>
      <c r="B765" s="2143" t="s">
        <v>15869</v>
      </c>
      <c r="C765" s="2141" t="s">
        <v>2434</v>
      </c>
      <c r="D765" s="2141" t="s">
        <v>219</v>
      </c>
      <c r="E765" s="2141" t="s">
        <v>655</v>
      </c>
      <c r="F765" s="2142" t="s">
        <v>15870</v>
      </c>
      <c r="G765" s="2141"/>
      <c r="H765" s="2143"/>
      <c r="I765" s="2143" t="s">
        <v>15369</v>
      </c>
      <c r="J765" s="2141" t="s">
        <v>15872</v>
      </c>
      <c r="K765" s="2141" t="s">
        <v>15871</v>
      </c>
      <c r="L765" s="2144">
        <v>518120</v>
      </c>
      <c r="M765" s="2141" t="s">
        <v>112</v>
      </c>
      <c r="N765" s="2140">
        <v>45203</v>
      </c>
      <c r="O765" s="2140">
        <v>45215</v>
      </c>
      <c r="P765" s="2140">
        <v>45224</v>
      </c>
      <c r="Q765" s="2143" t="s">
        <v>16039</v>
      </c>
      <c r="R765" s="2141"/>
      <c r="S765" s="2144">
        <v>770800</v>
      </c>
      <c r="T765" s="2144">
        <v>932668</v>
      </c>
      <c r="U765" s="2145"/>
      <c r="V765" s="2145"/>
      <c r="W765" s="2145"/>
      <c r="X765" s="2146">
        <v>45224</v>
      </c>
      <c r="Y765" s="2260" t="s">
        <v>16119</v>
      </c>
      <c r="Z765" s="2140">
        <v>45232</v>
      </c>
      <c r="AA765" s="2140">
        <v>45232</v>
      </c>
      <c r="AB765" s="2140">
        <v>46692</v>
      </c>
      <c r="AC765" s="2799"/>
      <c r="AD765" s="2799"/>
    </row>
    <row r="766" spans="1:31">
      <c r="A766" s="2140">
        <v>45196</v>
      </c>
      <c r="B766" s="2143" t="s">
        <v>15874</v>
      </c>
      <c r="C766" s="2141" t="s">
        <v>69</v>
      </c>
      <c r="D766" s="2141" t="s">
        <v>15129</v>
      </c>
      <c r="E766" s="2141" t="s">
        <v>13949</v>
      </c>
      <c r="F766" s="2142" t="s">
        <v>15875</v>
      </c>
      <c r="G766" s="2141"/>
      <c r="H766" s="2143"/>
      <c r="I766" s="2143" t="s">
        <v>15369</v>
      </c>
      <c r="J766" s="2141" t="s">
        <v>4278</v>
      </c>
      <c r="K766" s="2141"/>
      <c r="L766" s="2144">
        <v>1866743</v>
      </c>
      <c r="M766" s="2141" t="s">
        <v>251</v>
      </c>
      <c r="N766" s="2140">
        <v>45261</v>
      </c>
      <c r="O766" s="2140">
        <v>45301</v>
      </c>
      <c r="P766" s="2140">
        <v>45355</v>
      </c>
      <c r="Q766" s="2143" t="s">
        <v>13761</v>
      </c>
      <c r="R766" s="2141"/>
      <c r="S766" s="2144">
        <v>1853865.32</v>
      </c>
      <c r="T766" s="2144">
        <v>2076329.16</v>
      </c>
      <c r="U766" s="2145"/>
      <c r="V766" s="2145"/>
      <c r="W766" s="2145"/>
      <c r="X766" s="2146">
        <v>45355</v>
      </c>
      <c r="Y766" s="2144" t="s">
        <v>16908</v>
      </c>
      <c r="Z766" s="2140">
        <v>45377</v>
      </c>
      <c r="AA766" s="2140">
        <v>45393</v>
      </c>
      <c r="AB766" s="2140">
        <v>46837</v>
      </c>
      <c r="AC766" s="2799"/>
      <c r="AD766" s="2799"/>
    </row>
    <row r="767" spans="1:31" ht="15.75" thickBot="1">
      <c r="A767" s="643">
        <v>45196</v>
      </c>
      <c r="B767" s="1533" t="s">
        <v>15876</v>
      </c>
      <c r="C767" s="639" t="s">
        <v>69</v>
      </c>
      <c r="D767" s="639" t="s">
        <v>15129</v>
      </c>
      <c r="E767" s="639" t="s">
        <v>13949</v>
      </c>
      <c r="F767" s="640" t="s">
        <v>15877</v>
      </c>
      <c r="G767" s="639"/>
      <c r="H767" s="1533"/>
      <c r="I767" s="1533" t="s">
        <v>242</v>
      </c>
      <c r="J767" s="639" t="s">
        <v>3632</v>
      </c>
      <c r="K767" s="639"/>
      <c r="L767" s="645">
        <v>4535145</v>
      </c>
      <c r="M767" s="639" t="s">
        <v>251</v>
      </c>
      <c r="N767" s="643">
        <v>45217</v>
      </c>
      <c r="O767" s="643">
        <v>45295</v>
      </c>
      <c r="P767" s="639"/>
      <c r="Q767" s="644" t="s">
        <v>2635</v>
      </c>
      <c r="R767" s="639"/>
      <c r="S767" s="645"/>
      <c r="T767" s="645"/>
      <c r="U767" s="1534"/>
      <c r="V767" s="1534"/>
      <c r="W767" s="1534"/>
      <c r="X767" s="645"/>
      <c r="Y767" s="645"/>
      <c r="Z767" s="639"/>
      <c r="AA767" s="643">
        <v>45301</v>
      </c>
      <c r="AB767" s="1533" t="s">
        <v>16510</v>
      </c>
      <c r="AC767" s="2799"/>
      <c r="AD767" s="2799"/>
    </row>
    <row r="768" spans="1:31" ht="15.75" thickTop="1">
      <c r="A768" s="474">
        <v>45196</v>
      </c>
      <c r="B768" s="1420" t="s">
        <v>15879</v>
      </c>
      <c r="C768" s="453" t="s">
        <v>69</v>
      </c>
      <c r="D768" s="453" t="s">
        <v>15129</v>
      </c>
      <c r="E768" s="453" t="s">
        <v>13949</v>
      </c>
      <c r="F768" s="473" t="s">
        <v>15878</v>
      </c>
      <c r="G768" s="453">
        <v>1</v>
      </c>
      <c r="H768" s="1420" t="s">
        <v>15881</v>
      </c>
      <c r="I768" s="1420" t="s">
        <v>15369</v>
      </c>
      <c r="J768" s="453" t="s">
        <v>4278</v>
      </c>
      <c r="K768" s="453"/>
      <c r="L768" s="457">
        <v>31282</v>
      </c>
      <c r="M768" s="453" t="s">
        <v>251</v>
      </c>
      <c r="N768" s="474">
        <v>45217</v>
      </c>
      <c r="O768" s="474">
        <v>45278</v>
      </c>
      <c r="P768" s="474">
        <v>45306</v>
      </c>
      <c r="Q768" s="1420" t="s">
        <v>576</v>
      </c>
      <c r="R768" s="453"/>
      <c r="S768" s="457">
        <v>545012.68000000005</v>
      </c>
      <c r="T768" s="457">
        <v>610414.19999999995</v>
      </c>
      <c r="U768" s="1474"/>
      <c r="V768" s="1474"/>
      <c r="W768" s="1474"/>
      <c r="X768" s="570">
        <v>45306</v>
      </c>
      <c r="Y768" s="457" t="s">
        <v>16575</v>
      </c>
      <c r="Z768" s="474">
        <v>45328</v>
      </c>
      <c r="AA768" s="474">
        <v>45341</v>
      </c>
      <c r="AB768" s="474">
        <v>46788</v>
      </c>
      <c r="AC768" s="2799"/>
      <c r="AD768" s="2799"/>
    </row>
    <row r="769" spans="1:30" ht="15.75" thickBot="1">
      <c r="A769" s="2117">
        <v>45196</v>
      </c>
      <c r="B769" s="2120" t="s">
        <v>15880</v>
      </c>
      <c r="C769" s="2118" t="s">
        <v>69</v>
      </c>
      <c r="D769" s="2118" t="s">
        <v>15129</v>
      </c>
      <c r="E769" s="2118" t="s">
        <v>13949</v>
      </c>
      <c r="F769" s="2119" t="s">
        <v>15878</v>
      </c>
      <c r="G769" s="2118">
        <v>2</v>
      </c>
      <c r="H769" s="2120" t="s">
        <v>15882</v>
      </c>
      <c r="I769" s="2120" t="s">
        <v>15369</v>
      </c>
      <c r="J769" s="2118" t="s">
        <v>4278</v>
      </c>
      <c r="K769" s="2118"/>
      <c r="L769" s="2121">
        <v>1509198</v>
      </c>
      <c r="M769" s="2118" t="s">
        <v>251</v>
      </c>
      <c r="N769" s="2117">
        <v>45217</v>
      </c>
      <c r="O769" s="2117">
        <v>45278</v>
      </c>
      <c r="P769" s="2117">
        <v>45306</v>
      </c>
      <c r="Q769" s="2120" t="s">
        <v>8542</v>
      </c>
      <c r="R769" s="2118"/>
      <c r="S769" s="2121">
        <v>6412082.1600000001</v>
      </c>
      <c r="T769" s="2121">
        <v>7181532.0199999996</v>
      </c>
      <c r="U769" s="2122"/>
      <c r="V769" s="2122"/>
      <c r="W769" s="2122"/>
      <c r="X769" s="2123">
        <v>45306</v>
      </c>
      <c r="Y769" s="2121" t="s">
        <v>16576</v>
      </c>
      <c r="Z769" s="2117">
        <v>45328</v>
      </c>
      <c r="AA769" s="2117">
        <v>45341</v>
      </c>
      <c r="AB769" s="2117">
        <v>46788</v>
      </c>
      <c r="AC769" s="2799"/>
      <c r="AD769" s="2799"/>
    </row>
    <row r="770" spans="1:30" ht="15.75" thickTop="1">
      <c r="A770" s="365">
        <v>45196</v>
      </c>
      <c r="B770" s="3192" t="s">
        <v>15883</v>
      </c>
      <c r="C770" s="3191" t="s">
        <v>52</v>
      </c>
      <c r="D770" s="3191" t="s">
        <v>3089</v>
      </c>
      <c r="E770" s="3191" t="s">
        <v>13951</v>
      </c>
      <c r="F770" s="175" t="s">
        <v>15884</v>
      </c>
      <c r="G770" s="3191"/>
      <c r="H770" s="3192"/>
      <c r="I770" s="3192" t="s">
        <v>15369</v>
      </c>
      <c r="J770" s="3191" t="s">
        <v>1708</v>
      </c>
      <c r="K770" s="3191"/>
      <c r="L770" s="364">
        <v>1950000</v>
      </c>
      <c r="M770" s="3191" t="s">
        <v>112</v>
      </c>
      <c r="N770" s="365">
        <v>45208</v>
      </c>
      <c r="O770" s="365">
        <v>45219</v>
      </c>
      <c r="P770" s="365">
        <v>45236</v>
      </c>
      <c r="Q770" s="3192" t="s">
        <v>3500</v>
      </c>
      <c r="R770" s="3191"/>
      <c r="S770" s="364">
        <v>1900000</v>
      </c>
      <c r="T770" s="364">
        <v>2299000</v>
      </c>
      <c r="U770" s="1473"/>
      <c r="V770" s="1473"/>
      <c r="W770" s="1473"/>
      <c r="X770" s="681">
        <v>45236</v>
      </c>
      <c r="Y770" s="364" t="s">
        <v>16169</v>
      </c>
      <c r="Z770" s="365">
        <v>45239</v>
      </c>
      <c r="AA770" s="365">
        <v>45239</v>
      </c>
      <c r="AB770" s="3191"/>
      <c r="AC770" s="2799"/>
      <c r="AD770" s="2799"/>
    </row>
    <row r="771" spans="1:30">
      <c r="A771" s="2140">
        <v>45196</v>
      </c>
      <c r="B771" s="2143" t="s">
        <v>15887</v>
      </c>
      <c r="C771" s="2141" t="s">
        <v>1032</v>
      </c>
      <c r="D771" s="2141" t="s">
        <v>361</v>
      </c>
      <c r="E771" s="2141" t="s">
        <v>655</v>
      </c>
      <c r="F771" s="2142" t="s">
        <v>15888</v>
      </c>
      <c r="G771" s="2141"/>
      <c r="H771" s="2143"/>
      <c r="I771" s="2143" t="s">
        <v>15369</v>
      </c>
      <c r="J771" s="2141" t="s">
        <v>1438</v>
      </c>
      <c r="K771" s="2141"/>
      <c r="L771" s="2144">
        <v>500000</v>
      </c>
      <c r="M771" s="2141" t="s">
        <v>112</v>
      </c>
      <c r="N771" s="2140">
        <v>45204</v>
      </c>
      <c r="O771" s="2140">
        <v>45215</v>
      </c>
      <c r="P771" s="2140">
        <v>45218</v>
      </c>
      <c r="Q771" s="2143" t="s">
        <v>10171</v>
      </c>
      <c r="R771" s="2141"/>
      <c r="S771" s="2144">
        <v>381599.34</v>
      </c>
      <c r="T771" s="2144">
        <v>461735.2</v>
      </c>
      <c r="U771" s="2145"/>
      <c r="V771" s="2145"/>
      <c r="W771" s="2145"/>
      <c r="X771" s="2146">
        <v>45218</v>
      </c>
      <c r="Y771" s="2144" t="s">
        <v>16072</v>
      </c>
      <c r="Z771" s="2140">
        <v>45226</v>
      </c>
      <c r="AA771" s="2140">
        <v>45226</v>
      </c>
      <c r="AB771" s="2141"/>
      <c r="AC771" s="2799"/>
      <c r="AD771" s="2799"/>
    </row>
    <row r="772" spans="1:30" ht="15.75" thickBot="1">
      <c r="A772" s="643">
        <v>45196</v>
      </c>
      <c r="B772" s="1533" t="s">
        <v>15890</v>
      </c>
      <c r="C772" s="639" t="s">
        <v>2434</v>
      </c>
      <c r="D772" s="639" t="s">
        <v>219</v>
      </c>
      <c r="E772" s="639" t="s">
        <v>13951</v>
      </c>
      <c r="F772" s="640" t="s">
        <v>16084</v>
      </c>
      <c r="G772" s="639"/>
      <c r="H772" s="1533"/>
      <c r="I772" s="1533" t="s">
        <v>242</v>
      </c>
      <c r="J772" s="639" t="s">
        <v>275</v>
      </c>
      <c r="K772" s="639" t="s">
        <v>15891</v>
      </c>
      <c r="L772" s="645">
        <v>411750</v>
      </c>
      <c r="M772" s="639" t="s">
        <v>112</v>
      </c>
      <c r="N772" s="643">
        <v>45210</v>
      </c>
      <c r="O772" s="643">
        <v>45222</v>
      </c>
      <c r="P772" s="639"/>
      <c r="Q772" s="644" t="s">
        <v>4505</v>
      </c>
      <c r="R772" s="2019" t="s">
        <v>16120</v>
      </c>
      <c r="S772" s="645"/>
      <c r="T772" s="645"/>
      <c r="U772" s="1534"/>
      <c r="V772" s="1534"/>
      <c r="W772" s="1534"/>
      <c r="X772" s="645"/>
      <c r="Y772" s="645"/>
      <c r="Z772" s="639"/>
      <c r="AA772" s="643">
        <v>45225</v>
      </c>
      <c r="AB772" s="639"/>
      <c r="AC772" s="2799"/>
      <c r="AD772" s="2799"/>
    </row>
    <row r="773" spans="1:30" ht="15.75" thickTop="1">
      <c r="A773" s="474">
        <v>45196</v>
      </c>
      <c r="B773" s="1420" t="s">
        <v>15892</v>
      </c>
      <c r="C773" s="453" t="s">
        <v>69</v>
      </c>
      <c r="D773" s="453" t="s">
        <v>15129</v>
      </c>
      <c r="E773" s="453" t="s">
        <v>15813</v>
      </c>
      <c r="F773" s="473" t="s">
        <v>15893</v>
      </c>
      <c r="G773" s="453">
        <v>1</v>
      </c>
      <c r="H773" s="1420" t="s">
        <v>15895</v>
      </c>
      <c r="I773" s="1420" t="s">
        <v>15369</v>
      </c>
      <c r="J773" s="453" t="s">
        <v>3435</v>
      </c>
      <c r="K773" s="453"/>
      <c r="L773" s="457">
        <v>1386817</v>
      </c>
      <c r="M773" s="453" t="s">
        <v>251</v>
      </c>
      <c r="N773" s="474">
        <v>45204</v>
      </c>
      <c r="O773" s="474">
        <v>45251</v>
      </c>
      <c r="P773" s="474">
        <v>45266</v>
      </c>
      <c r="Q773" s="1420" t="s">
        <v>5805</v>
      </c>
      <c r="R773" s="453"/>
      <c r="S773" s="457">
        <v>1386812.61</v>
      </c>
      <c r="T773" s="457">
        <v>1525493.87</v>
      </c>
      <c r="U773" s="1474"/>
      <c r="V773" s="1474"/>
      <c r="W773" s="1474"/>
      <c r="X773" s="570">
        <v>45266</v>
      </c>
      <c r="Y773" s="457" t="s">
        <v>16369</v>
      </c>
      <c r="Z773" s="474">
        <v>45293</v>
      </c>
      <c r="AA773" s="474">
        <v>45295</v>
      </c>
      <c r="AB773" s="474">
        <v>46389</v>
      </c>
      <c r="AC773" s="2799"/>
      <c r="AD773" s="2799"/>
    </row>
    <row r="774" spans="1:30" ht="15.75" thickBot="1">
      <c r="A774" s="2117">
        <v>45196</v>
      </c>
      <c r="B774" s="2120" t="s">
        <v>15894</v>
      </c>
      <c r="C774" s="2118" t="s">
        <v>69</v>
      </c>
      <c r="D774" s="2118" t="s">
        <v>15129</v>
      </c>
      <c r="E774" s="2118" t="s">
        <v>15813</v>
      </c>
      <c r="F774" s="2119" t="s">
        <v>15893</v>
      </c>
      <c r="G774" s="2118">
        <v>2</v>
      </c>
      <c r="H774" s="2120" t="s">
        <v>15896</v>
      </c>
      <c r="I774" s="2120" t="s">
        <v>15369</v>
      </c>
      <c r="J774" s="2118" t="s">
        <v>3435</v>
      </c>
      <c r="K774" s="2118"/>
      <c r="L774" s="2121">
        <v>2477848</v>
      </c>
      <c r="M774" s="2118" t="s">
        <v>251</v>
      </c>
      <c r="N774" s="2117">
        <v>45204</v>
      </c>
      <c r="O774" s="2117">
        <v>45251</v>
      </c>
      <c r="P774" s="2117">
        <v>45266</v>
      </c>
      <c r="Q774" s="2120" t="s">
        <v>13761</v>
      </c>
      <c r="R774" s="2118"/>
      <c r="S774" s="2121">
        <v>2150399.52</v>
      </c>
      <c r="T774" s="2121">
        <v>2365439.4700000002</v>
      </c>
      <c r="U774" s="2122"/>
      <c r="V774" s="2122"/>
      <c r="W774" s="2122"/>
      <c r="X774" s="2123">
        <v>45266</v>
      </c>
      <c r="Y774" s="2121" t="s">
        <v>16370</v>
      </c>
      <c r="Z774" s="2117">
        <v>45293</v>
      </c>
      <c r="AA774" s="2117">
        <v>45295</v>
      </c>
      <c r="AB774" s="2117">
        <v>46389</v>
      </c>
      <c r="AC774" s="2799"/>
      <c r="AD774" s="2799"/>
    </row>
    <row r="775" spans="1:30" ht="30.75" thickTop="1">
      <c r="A775" s="1556">
        <v>45191</v>
      </c>
      <c r="B775" s="2329" t="s">
        <v>15897</v>
      </c>
      <c r="C775" s="2327" t="s">
        <v>15898</v>
      </c>
      <c r="D775" s="2327" t="s">
        <v>12887</v>
      </c>
      <c r="E775" s="2327" t="s">
        <v>13950</v>
      </c>
      <c r="F775" s="2328" t="s">
        <v>15899</v>
      </c>
      <c r="G775" s="2327"/>
      <c r="H775" s="2329"/>
      <c r="I775" s="2329" t="s">
        <v>242</v>
      </c>
      <c r="J775" s="2946" t="s">
        <v>15900</v>
      </c>
      <c r="K775" s="2327"/>
      <c r="L775" s="2330">
        <v>8500000</v>
      </c>
      <c r="M775" s="2327" t="s">
        <v>251</v>
      </c>
      <c r="N775" s="1556">
        <v>45229</v>
      </c>
      <c r="O775" s="1556">
        <v>45264</v>
      </c>
      <c r="P775" s="2327"/>
      <c r="Q775" s="2947" t="s">
        <v>4505</v>
      </c>
      <c r="R775" s="3025" t="s">
        <v>16403</v>
      </c>
      <c r="S775" s="2330"/>
      <c r="T775" s="2330"/>
      <c r="U775" s="1516"/>
      <c r="V775" s="1516"/>
      <c r="W775" s="1516"/>
      <c r="X775" s="2330"/>
      <c r="Y775" s="2330"/>
      <c r="Z775" s="2327"/>
      <c r="AA775" s="1556">
        <v>45289</v>
      </c>
      <c r="AB775" s="2327" t="s">
        <v>16481</v>
      </c>
      <c r="AC775" s="2799"/>
      <c r="AD775" s="2799"/>
    </row>
    <row r="776" spans="1:30">
      <c r="A776" s="2124">
        <v>45198</v>
      </c>
      <c r="B776" s="2127" t="s">
        <v>15901</v>
      </c>
      <c r="C776" s="2125" t="s">
        <v>58</v>
      </c>
      <c r="D776" s="2125" t="s">
        <v>15443</v>
      </c>
      <c r="E776" s="2125" t="s">
        <v>655</v>
      </c>
      <c r="F776" s="2126" t="s">
        <v>15902</v>
      </c>
      <c r="G776" s="2125"/>
      <c r="H776" s="2127"/>
      <c r="I776" s="2127" t="s">
        <v>242</v>
      </c>
      <c r="J776" s="2125" t="s">
        <v>15746</v>
      </c>
      <c r="K776" s="2125" t="s">
        <v>15903</v>
      </c>
      <c r="L776" s="2128">
        <v>162300</v>
      </c>
      <c r="M776" s="2125" t="s">
        <v>112</v>
      </c>
      <c r="N776" s="2124">
        <v>45204</v>
      </c>
      <c r="O776" s="2124">
        <v>45215</v>
      </c>
      <c r="P776" s="2125"/>
      <c r="Q776" s="2136" t="s">
        <v>4505</v>
      </c>
      <c r="R776" s="2275" t="s">
        <v>16091</v>
      </c>
      <c r="S776" s="2128"/>
      <c r="T776" s="2128"/>
      <c r="U776" s="2129"/>
      <c r="V776" s="2129"/>
      <c r="W776" s="2129"/>
      <c r="X776" s="2128"/>
      <c r="Y776" s="2128"/>
      <c r="Z776" s="2125"/>
      <c r="AA776" s="2124">
        <v>45222</v>
      </c>
      <c r="AB776" s="2125"/>
      <c r="AC776" s="2799"/>
      <c r="AD776" s="2799"/>
    </row>
    <row r="777" spans="1:30" ht="30">
      <c r="A777" s="2140">
        <v>45201</v>
      </c>
      <c r="B777" s="2143" t="s">
        <v>15911</v>
      </c>
      <c r="C777" s="2141" t="s">
        <v>69</v>
      </c>
      <c r="D777" s="2141" t="s">
        <v>15131</v>
      </c>
      <c r="E777" s="2141" t="s">
        <v>13949</v>
      </c>
      <c r="F777" s="2142" t="s">
        <v>15912</v>
      </c>
      <c r="G777" s="2141"/>
      <c r="H777" s="2143"/>
      <c r="I777" s="2143" t="s">
        <v>15369</v>
      </c>
      <c r="J777" s="2141" t="s">
        <v>3265</v>
      </c>
      <c r="K777" s="2141"/>
      <c r="L777" s="2144">
        <v>4291800</v>
      </c>
      <c r="M777" s="2141" t="s">
        <v>251</v>
      </c>
      <c r="N777" s="2140">
        <v>45233</v>
      </c>
      <c r="O777" s="2140">
        <v>44977</v>
      </c>
      <c r="P777" s="2140">
        <v>45408</v>
      </c>
      <c r="Q777" s="2143" t="s">
        <v>3501</v>
      </c>
      <c r="R777" s="2141"/>
      <c r="S777" s="2144">
        <v>4291800</v>
      </c>
      <c r="T777" s="2144">
        <v>4806816</v>
      </c>
      <c r="U777" s="2145"/>
      <c r="V777" s="2145"/>
      <c r="W777" s="2145"/>
      <c r="X777" s="2146">
        <v>45408</v>
      </c>
      <c r="Y777" s="2260" t="s">
        <v>17359</v>
      </c>
      <c r="Z777" s="2140">
        <v>45415</v>
      </c>
      <c r="AA777" s="2140">
        <v>45418</v>
      </c>
      <c r="AB777" s="2140">
        <v>46509</v>
      </c>
      <c r="AC777" s="2799"/>
      <c r="AD777" s="2799"/>
    </row>
    <row r="778" spans="1:30">
      <c r="A778" s="2140">
        <v>45202</v>
      </c>
      <c r="B778" s="2143" t="s">
        <v>15917</v>
      </c>
      <c r="C778" s="2141" t="s">
        <v>1032</v>
      </c>
      <c r="D778" s="2141" t="s">
        <v>361</v>
      </c>
      <c r="E778" s="2141" t="s">
        <v>655</v>
      </c>
      <c r="F778" s="2142" t="s">
        <v>15918</v>
      </c>
      <c r="G778" s="2141"/>
      <c r="H778" s="2143"/>
      <c r="I778" s="2143" t="s">
        <v>15369</v>
      </c>
      <c r="J778" s="2141" t="s">
        <v>498</v>
      </c>
      <c r="K778" s="2141"/>
      <c r="L778" s="2144">
        <v>500000</v>
      </c>
      <c r="M778" s="2141" t="s">
        <v>112</v>
      </c>
      <c r="N778" s="2140">
        <v>45205</v>
      </c>
      <c r="O778" s="2140">
        <v>45216</v>
      </c>
      <c r="P778" s="2140">
        <v>45251</v>
      </c>
      <c r="Q778" s="2143" t="s">
        <v>8610</v>
      </c>
      <c r="R778" s="2141"/>
      <c r="S778" s="2144">
        <v>269864</v>
      </c>
      <c r="T778" s="2144">
        <v>326535.44</v>
      </c>
      <c r="U778" s="2145"/>
      <c r="V778" s="2145"/>
      <c r="W778" s="2145"/>
      <c r="X778" s="2146">
        <v>45251</v>
      </c>
      <c r="Y778" s="2144" t="s">
        <v>16295</v>
      </c>
      <c r="Z778" s="2140">
        <v>45264</v>
      </c>
      <c r="AA778" s="2140">
        <v>45264</v>
      </c>
      <c r="AB778" s="2140">
        <v>45264</v>
      </c>
      <c r="AC778" s="2799"/>
      <c r="AD778" s="2799"/>
    </row>
    <row r="779" spans="1:30">
      <c r="A779" s="2124">
        <v>45203</v>
      </c>
      <c r="B779" s="2127" t="s">
        <v>15919</v>
      </c>
      <c r="C779" s="2125" t="s">
        <v>69</v>
      </c>
      <c r="D779" s="2125" t="s">
        <v>15129</v>
      </c>
      <c r="E779" s="2125" t="s">
        <v>13949</v>
      </c>
      <c r="F779" s="2126" t="s">
        <v>15974</v>
      </c>
      <c r="G779" s="2125"/>
      <c r="H779" s="2127"/>
      <c r="I779" s="2127" t="s">
        <v>242</v>
      </c>
      <c r="J779" s="2125" t="s">
        <v>3438</v>
      </c>
      <c r="K779" s="2125"/>
      <c r="L779" s="2128">
        <v>1313227</v>
      </c>
      <c r="M779" s="2125" t="s">
        <v>251</v>
      </c>
      <c r="N779" s="2124">
        <v>45261</v>
      </c>
      <c r="O779" s="2124">
        <v>45296</v>
      </c>
      <c r="P779" s="2125"/>
      <c r="Q779" s="2136" t="s">
        <v>304</v>
      </c>
      <c r="R779" s="2125"/>
      <c r="S779" s="2128"/>
      <c r="T779" s="2128"/>
      <c r="U779" s="2094"/>
      <c r="V779" s="2094"/>
      <c r="W779" s="2094"/>
      <c r="X779" s="2128"/>
      <c r="Y779" s="2128"/>
      <c r="Z779" s="2125"/>
      <c r="AA779" s="2124">
        <v>45301</v>
      </c>
      <c r="AB779" s="2127" t="s">
        <v>16524</v>
      </c>
      <c r="AC779" s="2799"/>
      <c r="AD779" s="2799"/>
    </row>
    <row r="780" spans="1:30">
      <c r="A780" s="2124">
        <v>45203</v>
      </c>
      <c r="B780" s="2127" t="s">
        <v>15920</v>
      </c>
      <c r="C780" s="2125" t="s">
        <v>69</v>
      </c>
      <c r="D780" s="2125" t="s">
        <v>15129</v>
      </c>
      <c r="E780" s="2125" t="s">
        <v>13949</v>
      </c>
      <c r="F780" s="2126" t="s">
        <v>15921</v>
      </c>
      <c r="G780" s="2125"/>
      <c r="H780" s="2127"/>
      <c r="I780" s="2127" t="s">
        <v>242</v>
      </c>
      <c r="J780" s="2125" t="s">
        <v>816</v>
      </c>
      <c r="K780" s="2125"/>
      <c r="L780" s="2128">
        <v>8823510</v>
      </c>
      <c r="M780" s="2125" t="s">
        <v>251</v>
      </c>
      <c r="N780" s="2124">
        <v>45240</v>
      </c>
      <c r="O780" s="2124">
        <v>45275</v>
      </c>
      <c r="P780" s="2125"/>
      <c r="Q780" s="2136" t="s">
        <v>304</v>
      </c>
      <c r="R780" s="2275" t="s">
        <v>17064</v>
      </c>
      <c r="S780" s="2128"/>
      <c r="T780" s="2128"/>
      <c r="U780" s="2094"/>
      <c r="V780" s="2094"/>
      <c r="W780" s="2094"/>
      <c r="X780" s="2128"/>
      <c r="Y780" s="2128"/>
      <c r="Z780" s="2125"/>
      <c r="AA780" s="2124">
        <v>45279</v>
      </c>
      <c r="AB780" s="2127" t="s">
        <v>16407</v>
      </c>
      <c r="AC780" s="2799"/>
      <c r="AD780" s="2799"/>
    </row>
    <row r="781" spans="1:30" ht="45">
      <c r="A781" s="2141" t="s">
        <v>14602</v>
      </c>
      <c r="B781" s="2143" t="s">
        <v>15928</v>
      </c>
      <c r="C781" s="2141" t="s">
        <v>2434</v>
      </c>
      <c r="D781" s="2141" t="s">
        <v>751</v>
      </c>
      <c r="E781" s="2141" t="s">
        <v>15292</v>
      </c>
      <c r="F781" s="2142" t="s">
        <v>15930</v>
      </c>
      <c r="G781" s="2141"/>
      <c r="H781" s="2143"/>
      <c r="I781" s="2143" t="s">
        <v>15369</v>
      </c>
      <c r="J781" s="2141" t="s">
        <v>786</v>
      </c>
      <c r="K781" s="2141"/>
      <c r="L781" s="2144">
        <v>51040000</v>
      </c>
      <c r="M781" s="2141" t="s">
        <v>251</v>
      </c>
      <c r="N781" s="2140">
        <v>45212</v>
      </c>
      <c r="O781" s="2140">
        <v>45271</v>
      </c>
      <c r="P781" s="2140">
        <v>45306</v>
      </c>
      <c r="Q781" s="2143" t="s">
        <v>2974</v>
      </c>
      <c r="R781" s="2141"/>
      <c r="S781" s="2144">
        <v>51040000</v>
      </c>
      <c r="T781" s="2144">
        <v>57164800</v>
      </c>
      <c r="U781" s="2145"/>
      <c r="V781" s="2145"/>
      <c r="W781" s="2145"/>
      <c r="X781" s="2146">
        <v>45306</v>
      </c>
      <c r="Y781" s="2260" t="s">
        <v>16574</v>
      </c>
      <c r="Z781" s="2140">
        <v>45313</v>
      </c>
      <c r="AA781" s="2140">
        <v>45315</v>
      </c>
      <c r="AB781" s="2140">
        <v>46773</v>
      </c>
      <c r="AC781" s="2799"/>
      <c r="AD781" s="2799"/>
    </row>
    <row r="782" spans="1:30" ht="30">
      <c r="A782" s="2140">
        <v>45202</v>
      </c>
      <c r="B782" s="2143" t="s">
        <v>15931</v>
      </c>
      <c r="C782" s="2141" t="s">
        <v>2434</v>
      </c>
      <c r="D782" s="2141" t="s">
        <v>219</v>
      </c>
      <c r="E782" s="2141" t="s">
        <v>655</v>
      </c>
      <c r="F782" s="2142" t="s">
        <v>15932</v>
      </c>
      <c r="G782" s="2141"/>
      <c r="H782" s="2143"/>
      <c r="I782" s="2143" t="s">
        <v>15369</v>
      </c>
      <c r="J782" s="2141" t="s">
        <v>14544</v>
      </c>
      <c r="K782" s="2141"/>
      <c r="L782" s="2144">
        <v>600000</v>
      </c>
      <c r="M782" s="2141" t="s">
        <v>112</v>
      </c>
      <c r="N782" s="2140">
        <v>45205</v>
      </c>
      <c r="O782" s="2140">
        <v>45217</v>
      </c>
      <c r="P782" s="2140">
        <v>45233</v>
      </c>
      <c r="Q782" s="2143" t="s">
        <v>16085</v>
      </c>
      <c r="R782" s="2141"/>
      <c r="S782" s="2144">
        <v>600000</v>
      </c>
      <c r="T782" s="2144">
        <v>726000</v>
      </c>
      <c r="U782" s="2145"/>
      <c r="V782" s="2145"/>
      <c r="W782" s="2145"/>
      <c r="X782" s="2146">
        <v>45233</v>
      </c>
      <c r="Y782" s="2260" t="s">
        <v>16162</v>
      </c>
      <c r="Z782" s="2140">
        <v>45245</v>
      </c>
      <c r="AA782" s="2140">
        <v>45245</v>
      </c>
      <c r="AB782" s="2140">
        <v>46705</v>
      </c>
      <c r="AC782" s="2799"/>
      <c r="AD782" s="2799"/>
    </row>
    <row r="783" spans="1:30">
      <c r="A783" s="2140">
        <v>45204</v>
      </c>
      <c r="B783" s="2143" t="s">
        <v>15937</v>
      </c>
      <c r="C783" s="2141" t="s">
        <v>69</v>
      </c>
      <c r="D783" s="2141" t="s">
        <v>15131</v>
      </c>
      <c r="E783" s="2141" t="s">
        <v>13949</v>
      </c>
      <c r="F783" s="2142" t="s">
        <v>15938</v>
      </c>
      <c r="G783" s="2141"/>
      <c r="H783" s="2143"/>
      <c r="I783" s="2143" t="s">
        <v>15369</v>
      </c>
      <c r="J783" s="2141" t="s">
        <v>3438</v>
      </c>
      <c r="K783" s="2141"/>
      <c r="L783" s="2144">
        <v>1878548</v>
      </c>
      <c r="M783" s="2141" t="s">
        <v>112</v>
      </c>
      <c r="N783" s="2140">
        <v>45223</v>
      </c>
      <c r="O783" s="2140">
        <v>45237</v>
      </c>
      <c r="P783" s="2140">
        <v>45239</v>
      </c>
      <c r="Q783" s="2143" t="s">
        <v>13761</v>
      </c>
      <c r="R783" s="2141"/>
      <c r="S783" s="2144">
        <v>1878547.68</v>
      </c>
      <c r="T783" s="2144">
        <v>2066402.45</v>
      </c>
      <c r="U783" s="2145"/>
      <c r="V783" s="2145"/>
      <c r="W783" s="2145"/>
      <c r="X783" s="2146">
        <v>45239</v>
      </c>
      <c r="Y783" s="2144" t="s">
        <v>16208</v>
      </c>
      <c r="Z783" s="2140">
        <v>45251</v>
      </c>
      <c r="AA783" s="2140">
        <v>45252</v>
      </c>
      <c r="AB783" s="2140">
        <v>46346</v>
      </c>
      <c r="AC783" s="2799"/>
      <c r="AD783" s="2799"/>
    </row>
    <row r="784" spans="1:30" ht="45">
      <c r="A784" s="2141" t="s">
        <v>3585</v>
      </c>
      <c r="B784" s="2143" t="s">
        <v>15944</v>
      </c>
      <c r="C784" s="2141" t="s">
        <v>58</v>
      </c>
      <c r="D784" s="2141" t="s">
        <v>15443</v>
      </c>
      <c r="E784" s="2141" t="s">
        <v>655</v>
      </c>
      <c r="F784" s="2142" t="s">
        <v>15945</v>
      </c>
      <c r="G784" s="2141"/>
      <c r="H784" s="2143"/>
      <c r="I784" s="2143" t="s">
        <v>15369</v>
      </c>
      <c r="J784" s="2141" t="s">
        <v>15746</v>
      </c>
      <c r="K784" s="2141" t="s">
        <v>15747</v>
      </c>
      <c r="L784" s="2144">
        <v>620000</v>
      </c>
      <c r="M784" s="2141" t="s">
        <v>112</v>
      </c>
      <c r="N784" s="2140">
        <v>45208</v>
      </c>
      <c r="O784" s="2140">
        <v>45219</v>
      </c>
      <c r="P784" s="2140">
        <v>45225</v>
      </c>
      <c r="Q784" s="2143" t="s">
        <v>5333</v>
      </c>
      <c r="R784" s="2141"/>
      <c r="S784" s="2144">
        <v>540850</v>
      </c>
      <c r="T784" s="2144">
        <v>654428.5</v>
      </c>
      <c r="U784" s="2145"/>
      <c r="V784" s="2145"/>
      <c r="W784" s="2145"/>
      <c r="X784" s="2146">
        <v>45225</v>
      </c>
      <c r="Y784" s="2260" t="s">
        <v>16136</v>
      </c>
      <c r="Z784" s="2140">
        <v>45232</v>
      </c>
      <c r="AA784" s="2140">
        <v>45232</v>
      </c>
      <c r="AB784" s="2140">
        <v>45245</v>
      </c>
      <c r="AC784" s="2799"/>
      <c r="AD784" s="2799"/>
    </row>
    <row r="785" spans="1:31" ht="15.75" thickBot="1">
      <c r="A785" s="411" t="s">
        <v>14201</v>
      </c>
      <c r="B785" s="630" t="s">
        <v>15946</v>
      </c>
      <c r="C785" s="411" t="s">
        <v>69</v>
      </c>
      <c r="D785" s="411" t="s">
        <v>15129</v>
      </c>
      <c r="E785" s="411" t="s">
        <v>13949</v>
      </c>
      <c r="F785" s="412" t="s">
        <v>15947</v>
      </c>
      <c r="G785" s="411"/>
      <c r="H785" s="630"/>
      <c r="I785" s="630" t="s">
        <v>15369</v>
      </c>
      <c r="J785" s="411" t="s">
        <v>93</v>
      </c>
      <c r="K785" s="411"/>
      <c r="L785" s="417">
        <v>8648885</v>
      </c>
      <c r="M785" s="411" t="s">
        <v>251</v>
      </c>
      <c r="N785" s="416">
        <v>45212</v>
      </c>
      <c r="O785" s="416">
        <v>45253</v>
      </c>
      <c r="P785" s="416">
        <v>45275</v>
      </c>
      <c r="Q785" s="630" t="s">
        <v>8542</v>
      </c>
      <c r="R785" s="411"/>
      <c r="S785" s="417">
        <v>8532320.6400000006</v>
      </c>
      <c r="T785" s="417">
        <v>9385552.6999999993</v>
      </c>
      <c r="U785" s="1480"/>
      <c r="V785" s="1480"/>
      <c r="W785" s="1480"/>
      <c r="X785" s="513">
        <v>45275</v>
      </c>
      <c r="Y785" s="417" t="s">
        <v>16410</v>
      </c>
      <c r="Z785" s="416">
        <v>45281</v>
      </c>
      <c r="AA785" s="416">
        <v>45289</v>
      </c>
      <c r="AB785" s="416">
        <v>46376</v>
      </c>
      <c r="AC785" s="2799"/>
      <c r="AD785" s="2799"/>
    </row>
    <row r="786" spans="1:31" ht="15.75" thickTop="1">
      <c r="A786" s="516" t="s">
        <v>3585</v>
      </c>
      <c r="B786" s="2001" t="s">
        <v>15948</v>
      </c>
      <c r="C786" s="516" t="s">
        <v>69</v>
      </c>
      <c r="D786" s="516" t="s">
        <v>15129</v>
      </c>
      <c r="E786" s="516" t="s">
        <v>13949</v>
      </c>
      <c r="F786" s="2000" t="s">
        <v>16026</v>
      </c>
      <c r="G786" s="516">
        <v>1</v>
      </c>
      <c r="H786" s="2001" t="s">
        <v>15949</v>
      </c>
      <c r="I786" s="2001" t="s">
        <v>15369</v>
      </c>
      <c r="J786" s="516" t="s">
        <v>9104</v>
      </c>
      <c r="K786" s="516"/>
      <c r="L786" s="2002">
        <v>1260000</v>
      </c>
      <c r="M786" s="516" t="s">
        <v>251</v>
      </c>
      <c r="N786" s="1998">
        <v>45215</v>
      </c>
      <c r="O786" s="1998">
        <v>45264</v>
      </c>
      <c r="P786" s="1998">
        <v>45282</v>
      </c>
      <c r="Q786" s="2001" t="s">
        <v>993</v>
      </c>
      <c r="R786" s="516"/>
      <c r="S786" s="2002">
        <v>1258120</v>
      </c>
      <c r="T786" s="2002">
        <v>1383932</v>
      </c>
      <c r="U786" s="1474"/>
      <c r="V786" s="1474"/>
      <c r="W786" s="1474"/>
      <c r="X786" s="2003">
        <v>45282</v>
      </c>
      <c r="Y786" s="2002" t="s">
        <v>16471</v>
      </c>
      <c r="Z786" s="1998">
        <v>45300</v>
      </c>
      <c r="AA786" s="1998">
        <v>45301</v>
      </c>
      <c r="AB786" s="1998">
        <v>46030</v>
      </c>
      <c r="AC786" s="2799"/>
      <c r="AD786" s="2799"/>
    </row>
    <row r="787" spans="1:31" ht="15.75" thickBot="1">
      <c r="A787" s="2747" t="s">
        <v>3585</v>
      </c>
      <c r="B787" s="2746" t="s">
        <v>15951</v>
      </c>
      <c r="C787" s="2747" t="s">
        <v>69</v>
      </c>
      <c r="D787" s="2747" t="s">
        <v>15129</v>
      </c>
      <c r="E787" s="2747" t="s">
        <v>13949</v>
      </c>
      <c r="F787" s="2883" t="s">
        <v>16026</v>
      </c>
      <c r="G787" s="2747">
        <v>2</v>
      </c>
      <c r="H787" s="2746" t="s">
        <v>15950</v>
      </c>
      <c r="I787" s="2746" t="s">
        <v>15369</v>
      </c>
      <c r="J787" s="2747" t="s">
        <v>9104</v>
      </c>
      <c r="K787" s="2747"/>
      <c r="L787" s="2608">
        <v>1411973</v>
      </c>
      <c r="M787" s="2747" t="s">
        <v>251</v>
      </c>
      <c r="N787" s="2565">
        <v>45215</v>
      </c>
      <c r="O787" s="2565">
        <v>45264</v>
      </c>
      <c r="P787" s="2565">
        <v>45282</v>
      </c>
      <c r="Q787" s="2746" t="s">
        <v>993</v>
      </c>
      <c r="R787" s="2747"/>
      <c r="S787" s="2608">
        <v>1216712</v>
      </c>
      <c r="T787" s="2608">
        <v>1338383.2</v>
      </c>
      <c r="U787" s="2122"/>
      <c r="V787" s="2122"/>
      <c r="W787" s="2122"/>
      <c r="X787" s="2750">
        <v>45282</v>
      </c>
      <c r="Y787" s="2608" t="s">
        <v>16472</v>
      </c>
      <c r="Z787" s="2565">
        <v>45300</v>
      </c>
      <c r="AA787" s="3004">
        <v>45301</v>
      </c>
      <c r="AB787" s="2565">
        <v>46030</v>
      </c>
      <c r="AC787" s="2799"/>
      <c r="AD787" s="2799"/>
    </row>
    <row r="788" spans="1:31" ht="30.75" thickTop="1">
      <c r="A788" s="365">
        <v>45205</v>
      </c>
      <c r="B788" s="3192" t="s">
        <v>15956</v>
      </c>
      <c r="C788" s="3191" t="s">
        <v>58</v>
      </c>
      <c r="D788" s="3191" t="s">
        <v>15443</v>
      </c>
      <c r="E788" s="3191" t="s">
        <v>655</v>
      </c>
      <c r="F788" s="175" t="s">
        <v>11449</v>
      </c>
      <c r="G788" s="3191"/>
      <c r="H788" s="3192"/>
      <c r="I788" s="3192" t="s">
        <v>15369</v>
      </c>
      <c r="J788" s="3191" t="s">
        <v>476</v>
      </c>
      <c r="K788" s="3191" t="s">
        <v>15957</v>
      </c>
      <c r="L788" s="364">
        <v>72000</v>
      </c>
      <c r="M788" s="3191" t="s">
        <v>112</v>
      </c>
      <c r="N788" s="365">
        <v>45209</v>
      </c>
      <c r="O788" s="365">
        <v>45222</v>
      </c>
      <c r="P788" s="365">
        <v>45236</v>
      </c>
      <c r="Q788" s="3192" t="s">
        <v>9720</v>
      </c>
      <c r="R788" s="3191"/>
      <c r="S788" s="364">
        <v>60900</v>
      </c>
      <c r="T788" s="364">
        <v>73689</v>
      </c>
      <c r="U788" s="1473"/>
      <c r="V788" s="1473"/>
      <c r="W788" s="1473"/>
      <c r="X788" s="681">
        <v>45236</v>
      </c>
      <c r="Y788" s="1417" t="s">
        <v>16176</v>
      </c>
      <c r="Z788" s="365">
        <v>45244</v>
      </c>
      <c r="AA788" s="365">
        <v>45245</v>
      </c>
      <c r="AB788" s="365">
        <v>45314</v>
      </c>
      <c r="AC788" s="2799"/>
      <c r="AD788" s="2799"/>
    </row>
    <row r="789" spans="1:31">
      <c r="A789" s="2140">
        <v>45208</v>
      </c>
      <c r="B789" s="2143" t="s">
        <v>15963</v>
      </c>
      <c r="C789" s="2141" t="s">
        <v>69</v>
      </c>
      <c r="D789" s="2141" t="s">
        <v>15129</v>
      </c>
      <c r="E789" s="2141" t="s">
        <v>13949</v>
      </c>
      <c r="F789" s="2142" t="s">
        <v>15973</v>
      </c>
      <c r="G789" s="2141"/>
      <c r="H789" s="2143"/>
      <c r="I789" s="2143" t="s">
        <v>15369</v>
      </c>
      <c r="J789" s="2141" t="s">
        <v>68</v>
      </c>
      <c r="K789" s="2141"/>
      <c r="L789" s="2144">
        <v>30809820</v>
      </c>
      <c r="M789" s="2141" t="s">
        <v>251</v>
      </c>
      <c r="N789" s="2140">
        <v>45230</v>
      </c>
      <c r="O789" s="2140">
        <v>45274</v>
      </c>
      <c r="P789" s="2140">
        <v>45315</v>
      </c>
      <c r="Q789" s="2143" t="s">
        <v>6982</v>
      </c>
      <c r="R789" s="2141"/>
      <c r="S789" s="2144">
        <v>30809819.52</v>
      </c>
      <c r="T789" s="2144">
        <v>34506997.859999999</v>
      </c>
      <c r="U789" s="2145"/>
      <c r="V789" s="2145"/>
      <c r="W789" s="2145"/>
      <c r="X789" s="2146">
        <v>45315</v>
      </c>
      <c r="Y789" s="2144" t="s">
        <v>16663</v>
      </c>
      <c r="Z789" s="2140">
        <v>45317</v>
      </c>
      <c r="AA789" s="2140">
        <v>45330</v>
      </c>
      <c r="AB789" s="2140">
        <v>46777</v>
      </c>
      <c r="AC789" s="2799"/>
      <c r="AD789" s="2799"/>
    </row>
    <row r="790" spans="1:31">
      <c r="A790" s="2140">
        <v>45203</v>
      </c>
      <c r="B790" s="2143" t="s">
        <v>15965</v>
      </c>
      <c r="C790" s="2141" t="s">
        <v>1032</v>
      </c>
      <c r="D790" s="2141" t="s">
        <v>7475</v>
      </c>
      <c r="E790" s="2141" t="s">
        <v>13951</v>
      </c>
      <c r="F790" s="2142" t="s">
        <v>15966</v>
      </c>
      <c r="G790" s="2141"/>
      <c r="H790" s="2143"/>
      <c r="I790" s="2143" t="s">
        <v>15369</v>
      </c>
      <c r="J790" s="2141" t="s">
        <v>498</v>
      </c>
      <c r="K790" s="2141"/>
      <c r="L790" s="2144">
        <v>250000</v>
      </c>
      <c r="M790" s="2141" t="s">
        <v>112</v>
      </c>
      <c r="N790" s="2140">
        <v>45210</v>
      </c>
      <c r="O790" s="2140">
        <v>45222</v>
      </c>
      <c r="P790" s="2140">
        <v>45230</v>
      </c>
      <c r="Q790" s="2143" t="s">
        <v>8610</v>
      </c>
      <c r="R790" s="2141"/>
      <c r="S790" s="2144">
        <v>139649.03</v>
      </c>
      <c r="T790" s="2144">
        <v>168975.33</v>
      </c>
      <c r="U790" s="2145"/>
      <c r="V790" s="2145"/>
      <c r="W790" s="2145"/>
      <c r="X790" s="2146">
        <v>45230</v>
      </c>
      <c r="Y790" s="2144" t="s">
        <v>16145</v>
      </c>
      <c r="Z790" s="2140">
        <v>45237</v>
      </c>
      <c r="AA790" s="2140">
        <v>45238</v>
      </c>
      <c r="AB790" s="2141"/>
      <c r="AC790" s="2799"/>
      <c r="AD790" s="2799"/>
    </row>
    <row r="791" spans="1:31">
      <c r="A791" s="2124">
        <v>45204</v>
      </c>
      <c r="B791" s="2127" t="s">
        <v>15967</v>
      </c>
      <c r="C791" s="2125" t="s">
        <v>52</v>
      </c>
      <c r="D791" s="2125" t="s">
        <v>10114</v>
      </c>
      <c r="E791" s="2125" t="s">
        <v>13951</v>
      </c>
      <c r="F791" s="2126" t="s">
        <v>15968</v>
      </c>
      <c r="G791" s="2125"/>
      <c r="H791" s="2127"/>
      <c r="I791" s="2127" t="s">
        <v>242</v>
      </c>
      <c r="J791" s="2125" t="s">
        <v>12595</v>
      </c>
      <c r="K791" s="2125" t="s">
        <v>15969</v>
      </c>
      <c r="L791" s="2128">
        <v>750000</v>
      </c>
      <c r="M791" s="2125" t="s">
        <v>112</v>
      </c>
      <c r="N791" s="2124">
        <v>45210</v>
      </c>
      <c r="O791" s="2124">
        <v>45222</v>
      </c>
      <c r="P791" s="2125"/>
      <c r="Q791" s="2136" t="s">
        <v>16123</v>
      </c>
      <c r="R791" s="2275" t="s">
        <v>16130</v>
      </c>
      <c r="S791" s="2128"/>
      <c r="T791" s="2128"/>
      <c r="U791" s="2129"/>
      <c r="V791" s="2129"/>
      <c r="W791" s="2129"/>
      <c r="X791" s="2128"/>
      <c r="Y791" s="2128"/>
      <c r="Z791" s="2125"/>
      <c r="AA791" s="2124">
        <v>45225</v>
      </c>
      <c r="AB791" s="2125"/>
      <c r="AC791" s="2799"/>
      <c r="AD791" s="2799"/>
    </row>
    <row r="792" spans="1:31">
      <c r="A792" s="2124" t="s">
        <v>3585</v>
      </c>
      <c r="B792" s="2127" t="s">
        <v>16012</v>
      </c>
      <c r="C792" s="2125" t="s">
        <v>69</v>
      </c>
      <c r="D792" s="2125" t="s">
        <v>15131</v>
      </c>
      <c r="E792" s="2125" t="s">
        <v>13949</v>
      </c>
      <c r="F792" s="2126" t="s">
        <v>16013</v>
      </c>
      <c r="G792" s="2125"/>
      <c r="H792" s="2127"/>
      <c r="I792" s="2127" t="s">
        <v>242</v>
      </c>
      <c r="J792" s="2125" t="s">
        <v>14498</v>
      </c>
      <c r="K792" s="2125"/>
      <c r="L792" s="2128">
        <v>488760</v>
      </c>
      <c r="M792" s="2125" t="s">
        <v>251</v>
      </c>
      <c r="N792" s="2124">
        <v>45217</v>
      </c>
      <c r="O792" s="2124">
        <v>45282</v>
      </c>
      <c r="P792" s="2124">
        <v>45342</v>
      </c>
      <c r="Q792" s="2136" t="s">
        <v>17014</v>
      </c>
      <c r="R792" s="2125"/>
      <c r="S792" s="2128">
        <v>488134.95</v>
      </c>
      <c r="T792" s="2128">
        <v>536948.44999999995</v>
      </c>
      <c r="U792" s="2129"/>
      <c r="V792" s="2129"/>
      <c r="W792" s="2129"/>
      <c r="X792" s="2281">
        <v>45342</v>
      </c>
      <c r="Y792" s="2128" t="s">
        <v>16817</v>
      </c>
      <c r="Z792" s="2125"/>
      <c r="AA792" s="2124">
        <v>45386</v>
      </c>
      <c r="AB792" s="2125" t="s">
        <v>17151</v>
      </c>
      <c r="AC792" s="2799"/>
      <c r="AD792" s="2799"/>
    </row>
    <row r="793" spans="1:31">
      <c r="A793" s="2124">
        <v>45209</v>
      </c>
      <c r="B793" s="2127" t="s">
        <v>15976</v>
      </c>
      <c r="C793" s="2125" t="s">
        <v>69</v>
      </c>
      <c r="D793" s="2125" t="s">
        <v>15129</v>
      </c>
      <c r="E793" s="2125" t="s">
        <v>13949</v>
      </c>
      <c r="F793" s="2126" t="s">
        <v>15977</v>
      </c>
      <c r="G793" s="2125"/>
      <c r="H793" s="2127"/>
      <c r="I793" s="2127" t="s">
        <v>242</v>
      </c>
      <c r="J793" s="2125" t="s">
        <v>68</v>
      </c>
      <c r="K793" s="2125"/>
      <c r="L793" s="2128">
        <v>14359458</v>
      </c>
      <c r="M793" s="2125" t="s">
        <v>251</v>
      </c>
      <c r="N793" s="2124">
        <v>45229</v>
      </c>
      <c r="O793" s="2124">
        <v>45295</v>
      </c>
      <c r="P793" s="2125"/>
      <c r="Q793" s="2136" t="s">
        <v>304</v>
      </c>
      <c r="R793" s="2125"/>
      <c r="S793" s="2128"/>
      <c r="T793" s="2128"/>
      <c r="U793" s="2129"/>
      <c r="V793" s="2129"/>
      <c r="W793" s="2129"/>
      <c r="X793" s="2128"/>
      <c r="Y793" s="2128"/>
      <c r="Z793" s="2125"/>
      <c r="AA793" s="2124">
        <v>45301</v>
      </c>
      <c r="AB793" s="2127" t="s">
        <v>16510</v>
      </c>
      <c r="AC793" s="2799"/>
      <c r="AD793" s="2799"/>
    </row>
    <row r="794" spans="1:31" ht="30">
      <c r="A794" s="2140">
        <v>45209</v>
      </c>
      <c r="B794" s="2143" t="s">
        <v>15980</v>
      </c>
      <c r="C794" s="2141" t="s">
        <v>2434</v>
      </c>
      <c r="D794" s="2141" t="s">
        <v>3204</v>
      </c>
      <c r="E794" s="2141" t="s">
        <v>655</v>
      </c>
      <c r="F794" s="2142" t="s">
        <v>9670</v>
      </c>
      <c r="G794" s="2141"/>
      <c r="H794" s="2143"/>
      <c r="I794" s="2143" t="s">
        <v>15369</v>
      </c>
      <c r="J794" s="2141" t="s">
        <v>642</v>
      </c>
      <c r="K794" s="2141"/>
      <c r="L794" s="2144">
        <v>1351000</v>
      </c>
      <c r="M794" s="2141" t="s">
        <v>112</v>
      </c>
      <c r="N794" s="2140">
        <v>45216</v>
      </c>
      <c r="O794" s="2140">
        <v>45238</v>
      </c>
      <c r="P794" s="2140">
        <v>45252</v>
      </c>
      <c r="Q794" s="2143" t="s">
        <v>198</v>
      </c>
      <c r="R794" s="2141"/>
      <c r="S794" s="2144">
        <v>1113000</v>
      </c>
      <c r="T794" s="2144">
        <v>1346730</v>
      </c>
      <c r="U794" s="2145"/>
      <c r="V794" s="2145"/>
      <c r="W794" s="2145"/>
      <c r="X794" s="2146">
        <v>45252</v>
      </c>
      <c r="Y794" s="2260" t="s">
        <v>16300</v>
      </c>
      <c r="Z794" s="2140">
        <v>45258</v>
      </c>
      <c r="AA794" s="2140">
        <v>45260</v>
      </c>
      <c r="AB794" s="2140">
        <v>46733</v>
      </c>
      <c r="AC794" s="2799"/>
      <c r="AD794" s="2799"/>
      <c r="AE794" s="360" t="s">
        <v>15962</v>
      </c>
    </row>
    <row r="795" spans="1:31" ht="30.75" thickBot="1">
      <c r="A795" s="416">
        <v>45210</v>
      </c>
      <c r="B795" s="630" t="s">
        <v>15981</v>
      </c>
      <c r="C795" s="411" t="s">
        <v>58</v>
      </c>
      <c r="D795" s="411" t="s">
        <v>15443</v>
      </c>
      <c r="E795" s="411" t="s">
        <v>13951</v>
      </c>
      <c r="F795" s="412" t="s">
        <v>13563</v>
      </c>
      <c r="G795" s="411"/>
      <c r="H795" s="630"/>
      <c r="I795" s="630" t="s">
        <v>15369</v>
      </c>
      <c r="J795" s="411" t="s">
        <v>2665</v>
      </c>
      <c r="K795" s="411" t="s">
        <v>15982</v>
      </c>
      <c r="L795" s="417">
        <v>457500</v>
      </c>
      <c r="M795" s="411" t="s">
        <v>112</v>
      </c>
      <c r="N795" s="416">
        <v>45215</v>
      </c>
      <c r="O795" s="416">
        <v>45226</v>
      </c>
      <c r="P795" s="416">
        <v>45230</v>
      </c>
      <c r="Q795" s="630" t="s">
        <v>10214</v>
      </c>
      <c r="R795" s="411"/>
      <c r="S795" s="417">
        <v>413324.85</v>
      </c>
      <c r="T795" s="417">
        <v>500123.07</v>
      </c>
      <c r="U795" s="1480"/>
      <c r="V795" s="1480"/>
      <c r="W795" s="1480"/>
      <c r="X795" s="513">
        <v>45230</v>
      </c>
      <c r="Y795" s="1553" t="s">
        <v>16144</v>
      </c>
      <c r="Z795" s="416">
        <v>45237</v>
      </c>
      <c r="AA795" s="416">
        <v>45238</v>
      </c>
      <c r="AB795" s="416">
        <v>45282</v>
      </c>
      <c r="AC795" s="2799"/>
      <c r="AD795" s="2799"/>
    </row>
    <row r="796" spans="1:31" ht="15.75" thickTop="1">
      <c r="A796" s="443">
        <v>45210</v>
      </c>
      <c r="B796" s="1431" t="s">
        <v>15983</v>
      </c>
      <c r="C796" s="439" t="s">
        <v>2434</v>
      </c>
      <c r="D796" s="439" t="s">
        <v>3204</v>
      </c>
      <c r="E796" s="439" t="s">
        <v>13948</v>
      </c>
      <c r="F796" s="440" t="s">
        <v>15984</v>
      </c>
      <c r="G796" s="439">
        <v>1</v>
      </c>
      <c r="H796" s="1431" t="s">
        <v>15985</v>
      </c>
      <c r="I796" s="1431" t="s">
        <v>242</v>
      </c>
      <c r="J796" s="439" t="s">
        <v>642</v>
      </c>
      <c r="K796" s="439"/>
      <c r="L796" s="444">
        <v>792000</v>
      </c>
      <c r="M796" s="439" t="s">
        <v>251</v>
      </c>
      <c r="N796" s="443">
        <v>45223</v>
      </c>
      <c r="O796" s="443">
        <v>45258</v>
      </c>
      <c r="P796" s="439"/>
      <c r="Q796" s="1431"/>
      <c r="R796" s="439"/>
      <c r="S796" s="444"/>
      <c r="T796" s="444"/>
      <c r="U796" s="1605"/>
      <c r="V796" s="1605"/>
      <c r="W796" s="1605"/>
      <c r="X796" s="444"/>
      <c r="Y796" s="444"/>
      <c r="Z796" s="439"/>
      <c r="AA796" s="443">
        <v>45372</v>
      </c>
      <c r="AB796" s="439" t="s">
        <v>16889</v>
      </c>
      <c r="AC796" s="2799"/>
      <c r="AD796" s="2799"/>
    </row>
    <row r="797" spans="1:31">
      <c r="A797" s="2124">
        <v>45210</v>
      </c>
      <c r="B797" s="2127" t="s">
        <v>15986</v>
      </c>
      <c r="C797" s="2125" t="s">
        <v>2434</v>
      </c>
      <c r="D797" s="2125" t="s">
        <v>3204</v>
      </c>
      <c r="E797" s="2125" t="s">
        <v>13948</v>
      </c>
      <c r="F797" s="2126" t="s">
        <v>15984</v>
      </c>
      <c r="G797" s="2125">
        <v>2</v>
      </c>
      <c r="H797" s="2127" t="s">
        <v>15988</v>
      </c>
      <c r="I797" s="2127" t="s">
        <v>242</v>
      </c>
      <c r="J797" s="2125" t="s">
        <v>642</v>
      </c>
      <c r="K797" s="2125"/>
      <c r="L797" s="2128">
        <v>2196000</v>
      </c>
      <c r="M797" s="2125" t="s">
        <v>251</v>
      </c>
      <c r="N797" s="2124">
        <v>45223</v>
      </c>
      <c r="O797" s="2124">
        <v>45258</v>
      </c>
      <c r="P797" s="2125"/>
      <c r="Q797" s="2127"/>
      <c r="R797" s="2125"/>
      <c r="S797" s="2128"/>
      <c r="T797" s="2128"/>
      <c r="U797" s="2415"/>
      <c r="V797" s="2415"/>
      <c r="W797" s="2415"/>
      <c r="X797" s="2128"/>
      <c r="Y797" s="2128"/>
      <c r="Z797" s="2125"/>
      <c r="AA797" s="2124">
        <v>45372</v>
      </c>
      <c r="AB797" s="2125" t="s">
        <v>16889</v>
      </c>
      <c r="AC797" s="2799"/>
      <c r="AD797" s="2799"/>
    </row>
    <row r="798" spans="1:31" ht="30.75" thickBot="1">
      <c r="A798" s="2117">
        <v>45210</v>
      </c>
      <c r="B798" s="2120" t="s">
        <v>15987</v>
      </c>
      <c r="C798" s="2118" t="s">
        <v>2434</v>
      </c>
      <c r="D798" s="2118" t="s">
        <v>3204</v>
      </c>
      <c r="E798" s="2118" t="s">
        <v>13948</v>
      </c>
      <c r="F798" s="2119" t="s">
        <v>15984</v>
      </c>
      <c r="G798" s="2118">
        <v>3</v>
      </c>
      <c r="H798" s="2120" t="s">
        <v>15989</v>
      </c>
      <c r="I798" s="2120" t="s">
        <v>15369</v>
      </c>
      <c r="J798" s="2118" t="s">
        <v>642</v>
      </c>
      <c r="K798" s="2118"/>
      <c r="L798" s="2121">
        <v>400910</v>
      </c>
      <c r="M798" s="2118" t="s">
        <v>251</v>
      </c>
      <c r="N798" s="2117">
        <v>45223</v>
      </c>
      <c r="O798" s="2117">
        <v>45258</v>
      </c>
      <c r="P798" s="2117">
        <v>45355</v>
      </c>
      <c r="Q798" s="2120" t="s">
        <v>16870</v>
      </c>
      <c r="R798" s="2118"/>
      <c r="S798" s="2121">
        <v>400909.2</v>
      </c>
      <c r="T798" s="2121">
        <v>485100.13</v>
      </c>
      <c r="U798" s="2122"/>
      <c r="V798" s="2122"/>
      <c r="W798" s="2122"/>
      <c r="X798" s="2123">
        <v>45355</v>
      </c>
      <c r="Y798" s="2246" t="s">
        <v>16910</v>
      </c>
      <c r="Z798" s="2117">
        <v>45366</v>
      </c>
      <c r="AA798" s="2117">
        <v>45372</v>
      </c>
      <c r="AB798" s="2117">
        <v>46826</v>
      </c>
      <c r="AC798" s="2799"/>
      <c r="AD798" s="2799"/>
    </row>
    <row r="799" spans="1:31" ht="15.75" thickTop="1">
      <c r="A799" s="474">
        <v>45211</v>
      </c>
      <c r="B799" s="1420" t="s">
        <v>15990</v>
      </c>
      <c r="C799" s="453" t="s">
        <v>69</v>
      </c>
      <c r="D799" s="453" t="s">
        <v>15129</v>
      </c>
      <c r="E799" s="453" t="s">
        <v>13949</v>
      </c>
      <c r="F799" s="473" t="s">
        <v>15993</v>
      </c>
      <c r="G799" s="453">
        <v>1</v>
      </c>
      <c r="H799" s="1420" t="s">
        <v>15991</v>
      </c>
      <c r="I799" s="1420" t="s">
        <v>15369</v>
      </c>
      <c r="J799" s="453" t="s">
        <v>3451</v>
      </c>
      <c r="K799" s="453"/>
      <c r="L799" s="457">
        <v>70258760</v>
      </c>
      <c r="M799" s="453" t="s">
        <v>251</v>
      </c>
      <c r="N799" s="474">
        <v>45219</v>
      </c>
      <c r="O799" s="474">
        <v>45268</v>
      </c>
      <c r="P799" s="474">
        <v>45348</v>
      </c>
      <c r="Q799" s="1420" t="s">
        <v>7130</v>
      </c>
      <c r="R799" s="453"/>
      <c r="S799" s="457">
        <v>6645744</v>
      </c>
      <c r="T799" s="457">
        <v>7443233.2800000003</v>
      </c>
      <c r="U799" s="1474"/>
      <c r="V799" s="1474"/>
      <c r="W799" s="1474"/>
      <c r="X799" s="570">
        <v>45348</v>
      </c>
      <c r="Y799" s="457" t="s">
        <v>16876</v>
      </c>
      <c r="Z799" s="474">
        <v>45386</v>
      </c>
      <c r="AA799" s="474">
        <v>45390</v>
      </c>
      <c r="AB799" s="474">
        <v>46846</v>
      </c>
      <c r="AC799" s="2799"/>
      <c r="AD799" s="2799"/>
    </row>
    <row r="800" spans="1:31">
      <c r="A800" s="2140">
        <v>45211</v>
      </c>
      <c r="B800" s="2143" t="s">
        <v>15992</v>
      </c>
      <c r="C800" s="2141" t="s">
        <v>69</v>
      </c>
      <c r="D800" s="2141" t="s">
        <v>15129</v>
      </c>
      <c r="E800" s="2141" t="s">
        <v>13949</v>
      </c>
      <c r="F800" s="2142" t="s">
        <v>15993</v>
      </c>
      <c r="G800" s="2141">
        <v>2</v>
      </c>
      <c r="H800" s="2143" t="s">
        <v>15994</v>
      </c>
      <c r="I800" s="2143" t="s">
        <v>15369</v>
      </c>
      <c r="J800" s="2141" t="s">
        <v>3451</v>
      </c>
      <c r="K800" s="2141"/>
      <c r="L800" s="2144">
        <v>139400</v>
      </c>
      <c r="M800" s="2141" t="s">
        <v>251</v>
      </c>
      <c r="N800" s="2140">
        <v>45219</v>
      </c>
      <c r="O800" s="2140">
        <v>45268</v>
      </c>
      <c r="P800" s="2140">
        <v>45348</v>
      </c>
      <c r="Q800" s="2143" t="s">
        <v>13761</v>
      </c>
      <c r="R800" s="2141"/>
      <c r="S800" s="2144">
        <v>131831.6</v>
      </c>
      <c r="T800" s="2144">
        <v>147651.39000000001</v>
      </c>
      <c r="U800" s="2145"/>
      <c r="V800" s="2145"/>
      <c r="W800" s="2145"/>
      <c r="X800" s="2146">
        <v>45348</v>
      </c>
      <c r="Y800" s="2144" t="s">
        <v>16877</v>
      </c>
      <c r="Z800" s="2140">
        <v>45386</v>
      </c>
      <c r="AA800" s="2140">
        <v>45390</v>
      </c>
      <c r="AB800" s="2140">
        <v>46846</v>
      </c>
      <c r="AC800" s="2799"/>
      <c r="AD800" s="2799"/>
    </row>
    <row r="801" spans="1:30">
      <c r="A801" s="2140">
        <v>45211</v>
      </c>
      <c r="B801" s="2143" t="s">
        <v>15995</v>
      </c>
      <c r="C801" s="2141" t="s">
        <v>69</v>
      </c>
      <c r="D801" s="2141" t="s">
        <v>15129</v>
      </c>
      <c r="E801" s="2141" t="s">
        <v>13949</v>
      </c>
      <c r="F801" s="2142" t="s">
        <v>15993</v>
      </c>
      <c r="G801" s="2141">
        <v>3</v>
      </c>
      <c r="H801" s="2143" t="s">
        <v>15997</v>
      </c>
      <c r="I801" s="2143" t="s">
        <v>15369</v>
      </c>
      <c r="J801" s="2141" t="s">
        <v>3451</v>
      </c>
      <c r="K801" s="2141"/>
      <c r="L801" s="2144">
        <v>139400</v>
      </c>
      <c r="M801" s="2141" t="s">
        <v>251</v>
      </c>
      <c r="N801" s="2140">
        <v>45219</v>
      </c>
      <c r="O801" s="2140">
        <v>45268</v>
      </c>
      <c r="P801" s="2140">
        <v>45348</v>
      </c>
      <c r="Q801" s="2143" t="s">
        <v>7130</v>
      </c>
      <c r="R801" s="2141"/>
      <c r="S801" s="2144">
        <v>131860</v>
      </c>
      <c r="T801" s="2144">
        <v>147683.20000000001</v>
      </c>
      <c r="U801" s="2145"/>
      <c r="V801" s="2145"/>
      <c r="W801" s="2145"/>
      <c r="X801" s="2146">
        <v>45348</v>
      </c>
      <c r="Y801" s="2144" t="s">
        <v>16878</v>
      </c>
      <c r="Z801" s="2140">
        <v>45386</v>
      </c>
      <c r="AA801" s="2140">
        <v>45390</v>
      </c>
      <c r="AB801" s="2140">
        <v>46846</v>
      </c>
      <c r="AC801" s="2799"/>
      <c r="AD801" s="2799"/>
    </row>
    <row r="802" spans="1:30" ht="15.75" thickBot="1">
      <c r="A802" s="2117">
        <v>45211</v>
      </c>
      <c r="B802" s="2120" t="s">
        <v>15996</v>
      </c>
      <c r="C802" s="2118" t="s">
        <v>69</v>
      </c>
      <c r="D802" s="2118" t="s">
        <v>15129</v>
      </c>
      <c r="E802" s="2118" t="s">
        <v>13949</v>
      </c>
      <c r="F802" s="2119" t="s">
        <v>15993</v>
      </c>
      <c r="G802" s="2118">
        <v>4</v>
      </c>
      <c r="H802" s="2120" t="s">
        <v>15998</v>
      </c>
      <c r="I802" s="2120" t="s">
        <v>15369</v>
      </c>
      <c r="J802" s="2118" t="s">
        <v>3451</v>
      </c>
      <c r="K802" s="2118"/>
      <c r="L802" s="2121">
        <v>34738480</v>
      </c>
      <c r="M802" s="2118" t="s">
        <v>251</v>
      </c>
      <c r="N802" s="2117">
        <v>45219</v>
      </c>
      <c r="O802" s="2117">
        <v>45268</v>
      </c>
      <c r="P802" s="2117">
        <v>45348</v>
      </c>
      <c r="Q802" s="2120" t="s">
        <v>13761</v>
      </c>
      <c r="R802" s="2118"/>
      <c r="S802" s="2121">
        <v>32852434.719999999</v>
      </c>
      <c r="T802" s="2121">
        <v>36794726.890000001</v>
      </c>
      <c r="U802" s="2122"/>
      <c r="V802" s="2122"/>
      <c r="W802" s="2122"/>
      <c r="X802" s="2123">
        <v>45348</v>
      </c>
      <c r="Y802" s="2121" t="s">
        <v>16879</v>
      </c>
      <c r="Z802" s="2117">
        <v>45386</v>
      </c>
      <c r="AA802" s="2117">
        <v>45390</v>
      </c>
      <c r="AB802" s="2117">
        <v>46846</v>
      </c>
      <c r="AC802" s="2799"/>
      <c r="AD802" s="2799"/>
    </row>
    <row r="803" spans="1:30" ht="15.75" thickTop="1">
      <c r="A803" s="365">
        <v>45211</v>
      </c>
      <c r="B803" s="3192" t="s">
        <v>15999</v>
      </c>
      <c r="C803" s="3191" t="s">
        <v>69</v>
      </c>
      <c r="D803" s="3191" t="s">
        <v>15129</v>
      </c>
      <c r="E803" s="3191" t="s">
        <v>13949</v>
      </c>
      <c r="F803" s="175" t="s">
        <v>16000</v>
      </c>
      <c r="G803" s="3191"/>
      <c r="H803" s="3192"/>
      <c r="I803" s="3192" t="s">
        <v>15369</v>
      </c>
      <c r="J803" s="3191" t="s">
        <v>8875</v>
      </c>
      <c r="K803" s="3191"/>
      <c r="L803" s="364">
        <v>17252992</v>
      </c>
      <c r="M803" s="3191" t="s">
        <v>251</v>
      </c>
      <c r="N803" s="365">
        <v>45230</v>
      </c>
      <c r="O803" s="365">
        <v>45287</v>
      </c>
      <c r="P803" s="365">
        <v>45315</v>
      </c>
      <c r="Q803" s="3192" t="s">
        <v>13761</v>
      </c>
      <c r="R803" s="3191"/>
      <c r="S803" s="364">
        <v>9064604.3599999994</v>
      </c>
      <c r="T803" s="364">
        <v>10152356.880000001</v>
      </c>
      <c r="U803" s="1473"/>
      <c r="V803" s="1473"/>
      <c r="W803" s="1473"/>
      <c r="X803" s="681">
        <v>45315</v>
      </c>
      <c r="Y803" s="364" t="s">
        <v>16662</v>
      </c>
      <c r="Z803" s="365">
        <v>45331</v>
      </c>
      <c r="AA803" s="365">
        <v>45343</v>
      </c>
      <c r="AB803" s="365">
        <v>46791</v>
      </c>
      <c r="AC803" s="2799"/>
      <c r="AD803" s="2799"/>
    </row>
    <row r="804" spans="1:30">
      <c r="A804" s="2564">
        <v>45211</v>
      </c>
      <c r="B804" s="2664" t="s">
        <v>16002</v>
      </c>
      <c r="C804" s="2779" t="s">
        <v>69</v>
      </c>
      <c r="D804" s="2779" t="s">
        <v>15129</v>
      </c>
      <c r="E804" s="2779" t="s">
        <v>13949</v>
      </c>
      <c r="F804" s="2780" t="s">
        <v>16003</v>
      </c>
      <c r="G804" s="2779"/>
      <c r="H804" s="2664"/>
      <c r="I804" s="2664" t="s">
        <v>15369</v>
      </c>
      <c r="J804" s="2779" t="s">
        <v>2418</v>
      </c>
      <c r="K804" s="2779"/>
      <c r="L804" s="2607">
        <v>2400570</v>
      </c>
      <c r="M804" s="2779" t="s">
        <v>251</v>
      </c>
      <c r="N804" s="2564">
        <v>45229</v>
      </c>
      <c r="O804" s="2564">
        <v>45264</v>
      </c>
      <c r="P804" s="2564">
        <v>45288</v>
      </c>
      <c r="Q804" s="2664" t="s">
        <v>13761</v>
      </c>
      <c r="R804" s="2779"/>
      <c r="S804" s="2607">
        <v>2104515</v>
      </c>
      <c r="T804" s="2607">
        <v>2314966.5</v>
      </c>
      <c r="U804" s="2145"/>
      <c r="V804" s="2145"/>
      <c r="W804" s="2145"/>
      <c r="X804" s="2782">
        <v>45288</v>
      </c>
      <c r="Y804" s="2607" t="s">
        <v>16480</v>
      </c>
      <c r="Z804" s="2564">
        <v>45315</v>
      </c>
      <c r="AA804" s="2564">
        <v>45316</v>
      </c>
      <c r="AB804" s="2564">
        <v>46410</v>
      </c>
      <c r="AC804" s="2799"/>
      <c r="AD804" s="2799"/>
    </row>
    <row r="805" spans="1:30" ht="15.75" thickBot="1">
      <c r="A805" s="416">
        <v>45211</v>
      </c>
      <c r="B805" s="630" t="s">
        <v>16004</v>
      </c>
      <c r="C805" s="411" t="s">
        <v>1032</v>
      </c>
      <c r="D805" s="411" t="s">
        <v>4864</v>
      </c>
      <c r="E805" s="411" t="s">
        <v>13951</v>
      </c>
      <c r="F805" s="412" t="s">
        <v>16005</v>
      </c>
      <c r="G805" s="411"/>
      <c r="H805" s="630"/>
      <c r="I805" s="630" t="s">
        <v>15369</v>
      </c>
      <c r="J805" s="411" t="s">
        <v>12571</v>
      </c>
      <c r="K805" s="411"/>
      <c r="L805" s="417">
        <v>5100000</v>
      </c>
      <c r="M805" s="411" t="s">
        <v>112</v>
      </c>
      <c r="N805" s="416">
        <v>45222</v>
      </c>
      <c r="O805" s="416">
        <v>45233</v>
      </c>
      <c r="P805" s="416">
        <v>45238</v>
      </c>
      <c r="Q805" s="630" t="s">
        <v>15490</v>
      </c>
      <c r="R805" s="411"/>
      <c r="S805" s="417">
        <v>4945414</v>
      </c>
      <c r="T805" s="417">
        <v>5983950.9400000004</v>
      </c>
      <c r="U805" s="1480"/>
      <c r="V805" s="1480"/>
      <c r="W805" s="1480"/>
      <c r="X805" s="513">
        <v>45238</v>
      </c>
      <c r="Y805" s="417" t="s">
        <v>16186</v>
      </c>
      <c r="Z805" s="416">
        <v>45244</v>
      </c>
      <c r="AA805" s="416">
        <v>45244</v>
      </c>
      <c r="AB805" s="416">
        <v>45284</v>
      </c>
      <c r="AC805" s="2799"/>
      <c r="AD805" s="2799"/>
    </row>
    <row r="806" spans="1:30" ht="15.75" thickTop="1">
      <c r="A806" s="443">
        <v>45211</v>
      </c>
      <c r="B806" s="1431" t="s">
        <v>16007</v>
      </c>
      <c r="C806" s="439" t="s">
        <v>69</v>
      </c>
      <c r="D806" s="439" t="s">
        <v>15129</v>
      </c>
      <c r="E806" s="439" t="s">
        <v>13949</v>
      </c>
      <c r="F806" s="440" t="s">
        <v>14770</v>
      </c>
      <c r="G806" s="439">
        <v>1</v>
      </c>
      <c r="H806" s="1431" t="s">
        <v>14763</v>
      </c>
      <c r="I806" s="1431" t="s">
        <v>242</v>
      </c>
      <c r="J806" s="439" t="s">
        <v>9104</v>
      </c>
      <c r="K806" s="439"/>
      <c r="L806" s="444">
        <v>133760</v>
      </c>
      <c r="M806" s="439" t="s">
        <v>251</v>
      </c>
      <c r="N806" s="443">
        <v>45244</v>
      </c>
      <c r="O806" s="443">
        <v>45313</v>
      </c>
      <c r="P806" s="439"/>
      <c r="Q806" s="753" t="s">
        <v>1401</v>
      </c>
      <c r="R806" s="439"/>
      <c r="S806" s="444"/>
      <c r="T806" s="444"/>
      <c r="U806" s="1483"/>
      <c r="V806" s="1483"/>
      <c r="W806" s="1483"/>
      <c r="X806" s="444"/>
      <c r="Y806" s="444"/>
      <c r="Z806" s="439"/>
      <c r="AA806" s="443">
        <v>45348</v>
      </c>
      <c r="AB806" s="439" t="s">
        <v>16852</v>
      </c>
      <c r="AC806" s="2799"/>
      <c r="AD806" s="2799"/>
    </row>
    <row r="807" spans="1:30">
      <c r="A807" s="2140">
        <v>45211</v>
      </c>
      <c r="B807" s="2143" t="s">
        <v>16008</v>
      </c>
      <c r="C807" s="2141" t="s">
        <v>69</v>
      </c>
      <c r="D807" s="2141" t="s">
        <v>15129</v>
      </c>
      <c r="E807" s="2141" t="s">
        <v>13949</v>
      </c>
      <c r="F807" s="2142" t="s">
        <v>14770</v>
      </c>
      <c r="G807" s="2141">
        <v>2</v>
      </c>
      <c r="H807" s="2143" t="s">
        <v>14764</v>
      </c>
      <c r="I807" s="2143" t="s">
        <v>15369</v>
      </c>
      <c r="J807" s="2141" t="s">
        <v>9104</v>
      </c>
      <c r="K807" s="2141"/>
      <c r="L807" s="2144">
        <v>4784383</v>
      </c>
      <c r="M807" s="2141" t="s">
        <v>251</v>
      </c>
      <c r="N807" s="2140">
        <v>45244</v>
      </c>
      <c r="O807" s="2140">
        <v>45313</v>
      </c>
      <c r="P807" s="2140">
        <v>45350</v>
      </c>
      <c r="Q807" s="2143" t="s">
        <v>3501</v>
      </c>
      <c r="R807" s="2141"/>
      <c r="S807" s="2144">
        <v>4784382.08</v>
      </c>
      <c r="T807" s="2144">
        <v>5358507.93</v>
      </c>
      <c r="U807" s="2145"/>
      <c r="V807" s="2145"/>
      <c r="W807" s="2145"/>
      <c r="X807" s="2146">
        <v>45350</v>
      </c>
      <c r="Y807" s="2144" t="s">
        <v>16901</v>
      </c>
      <c r="Z807" s="2140">
        <v>45366</v>
      </c>
      <c r="AA807" s="2140">
        <v>45384</v>
      </c>
      <c r="AB807" s="2140">
        <v>46826</v>
      </c>
      <c r="AC807" s="2799"/>
      <c r="AD807" s="2799"/>
    </row>
    <row r="808" spans="1:30">
      <c r="A808" s="2124">
        <v>45211</v>
      </c>
      <c r="B808" s="2127" t="s">
        <v>16009</v>
      </c>
      <c r="C808" s="2125" t="s">
        <v>69</v>
      </c>
      <c r="D808" s="2125" t="s">
        <v>15129</v>
      </c>
      <c r="E808" s="2125" t="s">
        <v>13949</v>
      </c>
      <c r="F808" s="2126" t="s">
        <v>14770</v>
      </c>
      <c r="G808" s="2125">
        <v>3</v>
      </c>
      <c r="H808" s="2127" t="s">
        <v>14765</v>
      </c>
      <c r="I808" s="2127" t="s">
        <v>242</v>
      </c>
      <c r="J808" s="2125" t="s">
        <v>9104</v>
      </c>
      <c r="K808" s="2125"/>
      <c r="L808" s="2128">
        <v>20650653</v>
      </c>
      <c r="M808" s="2125" t="s">
        <v>251</v>
      </c>
      <c r="N808" s="2124">
        <v>45244</v>
      </c>
      <c r="O808" s="2124">
        <v>45313</v>
      </c>
      <c r="P808" s="2124">
        <v>45350</v>
      </c>
      <c r="Q808" s="2136" t="s">
        <v>17014</v>
      </c>
      <c r="R808" s="2125"/>
      <c r="S808" s="2128">
        <v>19569395.199999999</v>
      </c>
      <c r="T808" s="2128">
        <v>21917722.600000001</v>
      </c>
      <c r="U808" s="2129"/>
      <c r="V808" s="2129"/>
      <c r="W808" s="2129"/>
      <c r="X808" s="2281">
        <v>45350</v>
      </c>
      <c r="Y808" s="2128" t="s">
        <v>16904</v>
      </c>
      <c r="Z808" s="2125"/>
      <c r="AA808" s="2124">
        <v>45384</v>
      </c>
      <c r="AB808" s="2125" t="s">
        <v>17120</v>
      </c>
      <c r="AC808" s="2799"/>
      <c r="AD808" s="2799"/>
    </row>
    <row r="809" spans="1:30">
      <c r="A809" s="2140">
        <v>45211</v>
      </c>
      <c r="B809" s="2143" t="s">
        <v>16010</v>
      </c>
      <c r="C809" s="2141" t="s">
        <v>69</v>
      </c>
      <c r="D809" s="2141" t="s">
        <v>15129</v>
      </c>
      <c r="E809" s="2141" t="s">
        <v>13949</v>
      </c>
      <c r="F809" s="2142" t="s">
        <v>14770</v>
      </c>
      <c r="G809" s="2141">
        <v>4</v>
      </c>
      <c r="H809" s="2143" t="s">
        <v>14766</v>
      </c>
      <c r="I809" s="2143" t="s">
        <v>15369</v>
      </c>
      <c r="J809" s="2141" t="s">
        <v>9104</v>
      </c>
      <c r="K809" s="2141"/>
      <c r="L809" s="2144">
        <v>5685038</v>
      </c>
      <c r="M809" s="2141" t="s">
        <v>251</v>
      </c>
      <c r="N809" s="2140">
        <v>45244</v>
      </c>
      <c r="O809" s="2140">
        <v>45313</v>
      </c>
      <c r="P809" s="2140">
        <v>45350</v>
      </c>
      <c r="Q809" s="2143" t="s">
        <v>3501</v>
      </c>
      <c r="R809" s="2141"/>
      <c r="S809" s="2144">
        <v>5685038</v>
      </c>
      <c r="T809" s="2144">
        <v>6367242.5599999996</v>
      </c>
      <c r="U809" s="2145"/>
      <c r="V809" s="2145"/>
      <c r="W809" s="2145"/>
      <c r="X809" s="2146">
        <v>45350</v>
      </c>
      <c r="Y809" s="2144" t="s">
        <v>16902</v>
      </c>
      <c r="Z809" s="2140">
        <v>45366</v>
      </c>
      <c r="AA809" s="2140">
        <v>45384</v>
      </c>
      <c r="AB809" s="2140">
        <v>46826</v>
      </c>
      <c r="AC809" s="2799"/>
      <c r="AD809" s="2799"/>
    </row>
    <row r="810" spans="1:30" ht="15.75" thickBot="1">
      <c r="A810" s="2117">
        <v>45211</v>
      </c>
      <c r="B810" s="2120" t="s">
        <v>16011</v>
      </c>
      <c r="C810" s="2118" t="s">
        <v>69</v>
      </c>
      <c r="D810" s="2118" t="s">
        <v>15129</v>
      </c>
      <c r="E810" s="2118" t="s">
        <v>13949</v>
      </c>
      <c r="F810" s="2119" t="s">
        <v>14770</v>
      </c>
      <c r="G810" s="2118">
        <v>5</v>
      </c>
      <c r="H810" s="2120" t="s">
        <v>14767</v>
      </c>
      <c r="I810" s="2120" t="s">
        <v>15369</v>
      </c>
      <c r="J810" s="2118" t="s">
        <v>9104</v>
      </c>
      <c r="K810" s="2118"/>
      <c r="L810" s="2121">
        <v>234192</v>
      </c>
      <c r="M810" s="2118" t="s">
        <v>251</v>
      </c>
      <c r="N810" s="2117">
        <v>45244</v>
      </c>
      <c r="O810" s="2117">
        <v>45313</v>
      </c>
      <c r="P810" s="2117">
        <v>45350</v>
      </c>
      <c r="Q810" s="2120" t="s">
        <v>3501</v>
      </c>
      <c r="R810" s="2118"/>
      <c r="S810" s="2121">
        <v>234192</v>
      </c>
      <c r="T810" s="2121">
        <v>262295.03999999998</v>
      </c>
      <c r="U810" s="2122"/>
      <c r="V810" s="2122"/>
      <c r="W810" s="2122"/>
      <c r="X810" s="2123">
        <v>45350</v>
      </c>
      <c r="Y810" s="2121" t="s">
        <v>16903</v>
      </c>
      <c r="Z810" s="2117">
        <v>45366</v>
      </c>
      <c r="AA810" s="2117">
        <v>45384</v>
      </c>
      <c r="AB810" s="2117">
        <v>46826</v>
      </c>
      <c r="AC810" s="2799"/>
      <c r="AD810" s="2799"/>
    </row>
    <row r="811" spans="1:30" ht="30.75" thickTop="1">
      <c r="A811" s="365">
        <v>45216</v>
      </c>
      <c r="B811" s="3192" t="s">
        <v>16040</v>
      </c>
      <c r="C811" s="3191" t="s">
        <v>13843</v>
      </c>
      <c r="D811" s="3191" t="s">
        <v>13844</v>
      </c>
      <c r="E811" s="3191" t="s">
        <v>13949</v>
      </c>
      <c r="F811" s="175" t="s">
        <v>16041</v>
      </c>
      <c r="G811" s="3191"/>
      <c r="H811" s="3192"/>
      <c r="I811" s="3192" t="s">
        <v>15369</v>
      </c>
      <c r="J811" s="3191" t="s">
        <v>10208</v>
      </c>
      <c r="K811" s="3191" t="s">
        <v>16042</v>
      </c>
      <c r="L811" s="364">
        <v>7301820</v>
      </c>
      <c r="M811" s="3191" t="s">
        <v>251</v>
      </c>
      <c r="N811" s="365">
        <v>45279</v>
      </c>
      <c r="O811" s="365">
        <v>45317</v>
      </c>
      <c r="P811" s="365">
        <v>45351</v>
      </c>
      <c r="Q811" s="3192" t="s">
        <v>43</v>
      </c>
      <c r="R811" s="3191"/>
      <c r="S811" s="364">
        <v>7291762.5</v>
      </c>
      <c r="T811" s="364">
        <v>8813219.25</v>
      </c>
      <c r="U811" s="1473"/>
      <c r="V811" s="1473"/>
      <c r="W811" s="1473"/>
      <c r="X811" s="3112">
        <v>45352</v>
      </c>
      <c r="Y811" s="1417" t="s">
        <v>16909</v>
      </c>
      <c r="Z811" s="365">
        <v>45364</v>
      </c>
      <c r="AA811" s="365">
        <v>45369</v>
      </c>
      <c r="AB811" s="365" t="s">
        <v>16993</v>
      </c>
      <c r="AC811" s="2799"/>
      <c r="AD811" s="2799"/>
    </row>
    <row r="812" spans="1:30" ht="30">
      <c r="A812" s="2140">
        <v>45216</v>
      </c>
      <c r="B812" s="2143" t="s">
        <v>16043</v>
      </c>
      <c r="C812" s="2141" t="s">
        <v>58</v>
      </c>
      <c r="D812" s="2141" t="s">
        <v>15443</v>
      </c>
      <c r="E812" s="2141" t="s">
        <v>655</v>
      </c>
      <c r="F812" s="2142" t="s">
        <v>16044</v>
      </c>
      <c r="G812" s="2141"/>
      <c r="H812" s="2143"/>
      <c r="I812" s="2143" t="s">
        <v>15369</v>
      </c>
      <c r="J812" s="2141" t="s">
        <v>16045</v>
      </c>
      <c r="K812" s="2141" t="s">
        <v>16046</v>
      </c>
      <c r="L812" s="2144">
        <v>520000</v>
      </c>
      <c r="M812" s="2141" t="s">
        <v>112</v>
      </c>
      <c r="N812" s="2140">
        <v>45218</v>
      </c>
      <c r="O812" s="2140">
        <v>45229</v>
      </c>
      <c r="P812" s="2140">
        <v>45246</v>
      </c>
      <c r="Q812" s="2143" t="s">
        <v>16207</v>
      </c>
      <c r="R812" s="2141"/>
      <c r="S812" s="2144">
        <v>422020</v>
      </c>
      <c r="T812" s="2144">
        <v>510644.2</v>
      </c>
      <c r="U812" s="2145"/>
      <c r="V812" s="2145"/>
      <c r="W812" s="2145"/>
      <c r="X812" s="2146">
        <v>45246</v>
      </c>
      <c r="Y812" s="2260" t="s">
        <v>16283</v>
      </c>
      <c r="Z812" s="2140">
        <v>45264</v>
      </c>
      <c r="AA812" s="2140">
        <v>45264</v>
      </c>
      <c r="AB812" s="2140">
        <v>45306</v>
      </c>
      <c r="AC812" s="2799"/>
      <c r="AD812" s="2799"/>
    </row>
    <row r="813" spans="1:30" ht="45">
      <c r="A813" s="2140">
        <v>45216</v>
      </c>
      <c r="B813" s="2143" t="s">
        <v>16047</v>
      </c>
      <c r="C813" s="2141" t="s">
        <v>58</v>
      </c>
      <c r="D813" s="2141" t="s">
        <v>15443</v>
      </c>
      <c r="E813" s="2141" t="s">
        <v>13948</v>
      </c>
      <c r="F813" s="2142" t="s">
        <v>16048</v>
      </c>
      <c r="G813" s="2141"/>
      <c r="H813" s="2143"/>
      <c r="I813" s="2143" t="s">
        <v>15369</v>
      </c>
      <c r="J813" s="2141" t="s">
        <v>396</v>
      </c>
      <c r="K813" s="2141"/>
      <c r="L813" s="2144">
        <v>4946600</v>
      </c>
      <c r="M813" s="2141" t="s">
        <v>251</v>
      </c>
      <c r="N813" s="2140">
        <v>45223</v>
      </c>
      <c r="O813" s="2140">
        <v>45258</v>
      </c>
      <c r="P813" s="2140">
        <v>45393</v>
      </c>
      <c r="Q813" s="2143" t="s">
        <v>3351</v>
      </c>
      <c r="R813" s="2141"/>
      <c r="S813" s="2144">
        <v>4667246</v>
      </c>
      <c r="T813" s="2144">
        <v>5647367.6600000001</v>
      </c>
      <c r="U813" s="2145"/>
      <c r="V813" s="2145"/>
      <c r="W813" s="2145"/>
      <c r="X813" s="2146">
        <v>45393</v>
      </c>
      <c r="Y813" s="2260" t="s">
        <v>17219</v>
      </c>
      <c r="Z813" s="2140">
        <v>45405</v>
      </c>
      <c r="AA813" s="2140">
        <v>45415</v>
      </c>
      <c r="AB813" s="2140">
        <v>45433</v>
      </c>
      <c r="AC813" s="2799"/>
      <c r="AD813" s="2799"/>
    </row>
    <row r="814" spans="1:30">
      <c r="A814" s="2140">
        <v>45216</v>
      </c>
      <c r="B814" s="2143" t="s">
        <v>16049</v>
      </c>
      <c r="C814" s="2141" t="s">
        <v>1032</v>
      </c>
      <c r="D814" s="2141" t="s">
        <v>361</v>
      </c>
      <c r="E814" s="2141" t="s">
        <v>13950</v>
      </c>
      <c r="F814" s="2142" t="s">
        <v>16050</v>
      </c>
      <c r="G814" s="2141"/>
      <c r="H814" s="2143"/>
      <c r="I814" s="2143" t="s">
        <v>15369</v>
      </c>
      <c r="J814" s="2141" t="s">
        <v>7263</v>
      </c>
      <c r="K814" s="2141"/>
      <c r="L814" s="2144">
        <v>44000000</v>
      </c>
      <c r="M814" s="2141" t="s">
        <v>251</v>
      </c>
      <c r="N814" s="2140">
        <v>45230</v>
      </c>
      <c r="O814" s="2140">
        <v>45288</v>
      </c>
      <c r="P814" s="2140">
        <v>45308</v>
      </c>
      <c r="Q814" s="2143" t="s">
        <v>10171</v>
      </c>
      <c r="R814" s="2141"/>
      <c r="S814" s="2144">
        <v>27671603.91</v>
      </c>
      <c r="T814" s="2144">
        <v>32127770.120000001</v>
      </c>
      <c r="U814" s="2145"/>
      <c r="V814" s="2145"/>
      <c r="W814" s="2145"/>
      <c r="X814" s="2146">
        <v>45308</v>
      </c>
      <c r="Y814" s="2144" t="s">
        <v>16607</v>
      </c>
      <c r="Z814" s="2140">
        <v>45342</v>
      </c>
      <c r="AA814" s="2140">
        <v>45357</v>
      </c>
      <c r="AB814" s="2141"/>
      <c r="AC814" s="2799"/>
      <c r="AD814" s="2799"/>
    </row>
    <row r="815" spans="1:30" ht="30">
      <c r="A815" s="2564">
        <v>45216</v>
      </c>
      <c r="B815" s="2664" t="s">
        <v>16054</v>
      </c>
      <c r="C815" s="2779" t="s">
        <v>2712</v>
      </c>
      <c r="D815" s="2779" t="s">
        <v>2731</v>
      </c>
      <c r="E815" s="2779" t="s">
        <v>13951</v>
      </c>
      <c r="F815" s="2780" t="s">
        <v>16299</v>
      </c>
      <c r="G815" s="2779"/>
      <c r="H815" s="2664"/>
      <c r="I815" s="2664" t="s">
        <v>15369</v>
      </c>
      <c r="J815" s="2779" t="s">
        <v>429</v>
      </c>
      <c r="K815" s="2779"/>
      <c r="L815" s="2607">
        <v>1110000</v>
      </c>
      <c r="M815" s="2779" t="s">
        <v>112</v>
      </c>
      <c r="N815" s="2564">
        <v>45252</v>
      </c>
      <c r="O815" s="2564">
        <v>45264</v>
      </c>
      <c r="P815" s="2564">
        <v>45268</v>
      </c>
      <c r="Q815" s="2664" t="s">
        <v>16379</v>
      </c>
      <c r="R815" s="2779"/>
      <c r="S815" s="2607" t="s">
        <v>2404</v>
      </c>
      <c r="T815" s="2607" t="s">
        <v>2404</v>
      </c>
      <c r="U815" s="2145"/>
      <c r="V815" s="2145"/>
      <c r="W815" s="2145"/>
      <c r="X815" s="2782">
        <v>45268</v>
      </c>
      <c r="Y815" s="2876" t="s">
        <v>16380</v>
      </c>
      <c r="Z815" s="2564">
        <v>45273</v>
      </c>
      <c r="AA815" s="2564">
        <v>45274</v>
      </c>
      <c r="AB815" s="2564">
        <v>46752</v>
      </c>
      <c r="AC815" s="2799"/>
      <c r="AD815" s="2799"/>
    </row>
    <row r="816" spans="1:30">
      <c r="A816" s="2140">
        <v>45216</v>
      </c>
      <c r="B816" s="2143" t="s">
        <v>16058</v>
      </c>
      <c r="C816" s="2141" t="s">
        <v>2712</v>
      </c>
      <c r="D816" s="2141" t="s">
        <v>2731</v>
      </c>
      <c r="E816" s="2141" t="s">
        <v>655</v>
      </c>
      <c r="F816" s="2142" t="s">
        <v>16059</v>
      </c>
      <c r="G816" s="2141"/>
      <c r="H816" s="2143"/>
      <c r="I816" s="2143" t="s">
        <v>15369</v>
      </c>
      <c r="J816" s="2141" t="s">
        <v>16060</v>
      </c>
      <c r="K816" s="2141"/>
      <c r="L816" s="2144">
        <v>350000</v>
      </c>
      <c r="M816" s="2141" t="s">
        <v>112</v>
      </c>
      <c r="N816" s="2140">
        <v>45222</v>
      </c>
      <c r="O816" s="2140">
        <v>45237</v>
      </c>
      <c r="P816" s="2140">
        <v>45240</v>
      </c>
      <c r="Q816" s="2143" t="s">
        <v>16212</v>
      </c>
      <c r="R816" s="2141"/>
      <c r="S816" s="2144">
        <v>377230</v>
      </c>
      <c r="T816" s="2144">
        <v>456448.3</v>
      </c>
      <c r="U816" s="2145"/>
      <c r="V816" s="2145"/>
      <c r="W816" s="2145"/>
      <c r="X816" s="2146">
        <v>45240</v>
      </c>
      <c r="Y816" s="2144" t="s">
        <v>16229</v>
      </c>
      <c r="Z816" s="2140">
        <v>45254</v>
      </c>
      <c r="AA816" s="2140">
        <v>45260</v>
      </c>
      <c r="AB816" s="2140">
        <v>45324</v>
      </c>
      <c r="AC816" s="2799"/>
      <c r="AD816" s="2799"/>
    </row>
    <row r="817" spans="1:30">
      <c r="A817" s="2349">
        <v>45217</v>
      </c>
      <c r="B817" s="2352" t="s">
        <v>16065</v>
      </c>
      <c r="C817" s="2350" t="s">
        <v>58</v>
      </c>
      <c r="D817" s="2350" t="s">
        <v>15443</v>
      </c>
      <c r="E817" s="2350" t="s">
        <v>13951</v>
      </c>
      <c r="F817" s="2351" t="s">
        <v>16066</v>
      </c>
      <c r="G817" s="2350"/>
      <c r="H817" s="2352"/>
      <c r="I817" s="2352" t="s">
        <v>1313</v>
      </c>
      <c r="J817" s="2350" t="s">
        <v>3330</v>
      </c>
      <c r="K817" s="2350" t="s">
        <v>16067</v>
      </c>
      <c r="L817" s="2353">
        <v>110000</v>
      </c>
      <c r="M817" s="2350" t="s">
        <v>112</v>
      </c>
      <c r="N817" s="2350"/>
      <c r="O817" s="2350"/>
      <c r="P817" s="2350"/>
      <c r="Q817" s="2352"/>
      <c r="R817" s="2350"/>
      <c r="S817" s="2353"/>
      <c r="T817" s="2353"/>
      <c r="U817" s="2355"/>
      <c r="V817" s="2355"/>
      <c r="W817" s="2355"/>
      <c r="X817" s="2353"/>
      <c r="Y817" s="2353"/>
      <c r="Z817" s="2350"/>
      <c r="AA817" s="2350"/>
      <c r="AB817" s="2350"/>
      <c r="AC817" s="2799"/>
      <c r="AD817" s="2799"/>
    </row>
    <row r="818" spans="1:30" ht="45">
      <c r="A818" s="2140">
        <v>45218</v>
      </c>
      <c r="B818" s="2143" t="s">
        <v>16073</v>
      </c>
      <c r="C818" s="2141" t="s">
        <v>58</v>
      </c>
      <c r="D818" s="2141" t="s">
        <v>15443</v>
      </c>
      <c r="E818" s="2141" t="s">
        <v>13948</v>
      </c>
      <c r="F818" s="2142" t="s">
        <v>16074</v>
      </c>
      <c r="G818" s="2141"/>
      <c r="H818" s="2143"/>
      <c r="I818" s="2143" t="s">
        <v>15369</v>
      </c>
      <c r="J818" s="2141" t="s">
        <v>16075</v>
      </c>
      <c r="K818" s="2141" t="s">
        <v>16076</v>
      </c>
      <c r="L818" s="2144">
        <v>3644680</v>
      </c>
      <c r="M818" s="2141" t="s">
        <v>251</v>
      </c>
      <c r="N818" s="2140">
        <v>45230</v>
      </c>
      <c r="O818" s="2140">
        <v>45266</v>
      </c>
      <c r="P818" s="2140">
        <v>45306</v>
      </c>
      <c r="Q818" s="2143" t="s">
        <v>16525</v>
      </c>
      <c r="R818" s="2141"/>
      <c r="S818" s="2144">
        <v>3449650</v>
      </c>
      <c r="T818" s="2144">
        <v>4174076.5</v>
      </c>
      <c r="U818" s="2145"/>
      <c r="V818" s="2145"/>
      <c r="W818" s="2145"/>
      <c r="X818" s="2146">
        <v>45306</v>
      </c>
      <c r="Y818" s="2260" t="s">
        <v>16572</v>
      </c>
      <c r="Z818" s="2140">
        <v>45322</v>
      </c>
      <c r="AA818" s="2140">
        <v>45330</v>
      </c>
      <c r="AB818" s="2140">
        <v>45364</v>
      </c>
      <c r="AC818" s="2799"/>
      <c r="AD818" s="2799"/>
    </row>
    <row r="819" spans="1:30">
      <c r="A819" s="2140">
        <v>45217</v>
      </c>
      <c r="B819" s="2143" t="s">
        <v>16080</v>
      </c>
      <c r="C819" s="2141" t="s">
        <v>2434</v>
      </c>
      <c r="D819" s="2141" t="s">
        <v>219</v>
      </c>
      <c r="E819" s="2141" t="s">
        <v>15813</v>
      </c>
      <c r="F819" s="2142" t="s">
        <v>16081</v>
      </c>
      <c r="G819" s="2141"/>
      <c r="H819" s="2143"/>
      <c r="I819" s="2143" t="s">
        <v>15369</v>
      </c>
      <c r="J819" s="2141" t="s">
        <v>2844</v>
      </c>
      <c r="K819" s="2141"/>
      <c r="L819" s="2144">
        <v>15625800</v>
      </c>
      <c r="M819" s="2141" t="s">
        <v>251</v>
      </c>
      <c r="N819" s="2140">
        <v>45224</v>
      </c>
      <c r="O819" s="2140">
        <v>45259</v>
      </c>
      <c r="P819" s="2140">
        <v>45295</v>
      </c>
      <c r="Q819" s="2143" t="s">
        <v>2776</v>
      </c>
      <c r="R819" s="2141"/>
      <c r="S819" s="2144">
        <v>15625800</v>
      </c>
      <c r="T819" s="2144">
        <v>17969670</v>
      </c>
      <c r="U819" s="2145"/>
      <c r="V819" s="2145"/>
      <c r="W819" s="2145"/>
      <c r="X819" s="2146">
        <v>45295</v>
      </c>
      <c r="Y819" s="2144" t="s">
        <v>16505</v>
      </c>
      <c r="Z819" s="2140">
        <v>45301</v>
      </c>
      <c r="AA819" s="2140">
        <v>45302</v>
      </c>
      <c r="AB819" s="2140">
        <v>46031</v>
      </c>
      <c r="AC819" s="2799"/>
      <c r="AD819" s="2799"/>
    </row>
    <row r="820" spans="1:30">
      <c r="A820" s="2140">
        <v>45218</v>
      </c>
      <c r="B820" s="2143" t="s">
        <v>16083</v>
      </c>
      <c r="C820" s="2141" t="s">
        <v>2434</v>
      </c>
      <c r="D820" s="2141" t="s">
        <v>219</v>
      </c>
      <c r="E820" s="2141" t="s">
        <v>15813</v>
      </c>
      <c r="F820" s="2142" t="s">
        <v>16082</v>
      </c>
      <c r="G820" s="2141"/>
      <c r="H820" s="2143"/>
      <c r="I820" s="2143" t="s">
        <v>15369</v>
      </c>
      <c r="J820" s="2141" t="s">
        <v>3013</v>
      </c>
      <c r="K820" s="2141"/>
      <c r="L820" s="2144">
        <v>4327620</v>
      </c>
      <c r="M820" s="2141" t="s">
        <v>251</v>
      </c>
      <c r="N820" s="2140">
        <v>45226</v>
      </c>
      <c r="O820" s="2140">
        <v>45266</v>
      </c>
      <c r="P820" s="2140">
        <v>45348</v>
      </c>
      <c r="Q820" s="2143" t="s">
        <v>16819</v>
      </c>
      <c r="R820" s="2141"/>
      <c r="S820" s="2144">
        <v>4323600</v>
      </c>
      <c r="T820" s="2144">
        <v>4842432</v>
      </c>
      <c r="U820" s="2145"/>
      <c r="V820" s="2145"/>
      <c r="W820" s="2145"/>
      <c r="X820" s="2146">
        <v>45348</v>
      </c>
      <c r="Y820" s="2144" t="s">
        <v>16882</v>
      </c>
      <c r="Z820" s="2140">
        <v>45357</v>
      </c>
      <c r="AA820" s="2140">
        <v>45359</v>
      </c>
      <c r="AB820" s="2140">
        <v>46086</v>
      </c>
      <c r="AC820" s="2799"/>
      <c r="AD820" s="2799"/>
    </row>
    <row r="821" spans="1:30">
      <c r="A821" s="2140">
        <v>45222</v>
      </c>
      <c r="B821" s="2143" t="s">
        <v>16086</v>
      </c>
      <c r="C821" s="2141" t="s">
        <v>1754</v>
      </c>
      <c r="D821" s="2141" t="s">
        <v>1753</v>
      </c>
      <c r="E821" s="2141" t="s">
        <v>655</v>
      </c>
      <c r="F821" s="2142" t="s">
        <v>16087</v>
      </c>
      <c r="G821" s="2141"/>
      <c r="H821" s="2143"/>
      <c r="I821" s="2143" t="s">
        <v>15369</v>
      </c>
      <c r="J821" s="2141" t="s">
        <v>2327</v>
      </c>
      <c r="K821" s="2141"/>
      <c r="L821" s="2144">
        <v>380000</v>
      </c>
      <c r="M821" s="2141" t="s">
        <v>112</v>
      </c>
      <c r="N821" s="2140">
        <v>45202</v>
      </c>
      <c r="O821" s="2140">
        <v>45243</v>
      </c>
      <c r="P821" s="2140">
        <v>45246</v>
      </c>
      <c r="Q821" s="2143" t="s">
        <v>333</v>
      </c>
      <c r="R821" s="2141"/>
      <c r="S821" s="2144">
        <v>376452</v>
      </c>
      <c r="T821" s="2144">
        <v>455506.92</v>
      </c>
      <c r="U821" s="2145"/>
      <c r="V821" s="2145"/>
      <c r="W821" s="2145"/>
      <c r="X821" s="2146">
        <v>45246</v>
      </c>
      <c r="Y821" s="2144" t="s">
        <v>16281</v>
      </c>
      <c r="Z821" s="2140">
        <v>45258</v>
      </c>
      <c r="AA821" s="2140">
        <v>45260</v>
      </c>
      <c r="AB821" s="2140">
        <v>46356</v>
      </c>
      <c r="AC821" s="2799"/>
      <c r="AD821" s="2799"/>
    </row>
    <row r="822" spans="1:30">
      <c r="A822" s="2564">
        <v>45218</v>
      </c>
      <c r="B822" s="2664" t="s">
        <v>16088</v>
      </c>
      <c r="C822" s="2779" t="s">
        <v>52</v>
      </c>
      <c r="D822" s="2779" t="s">
        <v>7503</v>
      </c>
      <c r="E822" s="2779" t="s">
        <v>13950</v>
      </c>
      <c r="F822" s="2780" t="s">
        <v>16089</v>
      </c>
      <c r="G822" s="2779"/>
      <c r="H822" s="2664"/>
      <c r="I822" s="2664" t="s">
        <v>15369</v>
      </c>
      <c r="J822" s="3108" t="s">
        <v>7263</v>
      </c>
      <c r="K822" s="2779" t="s">
        <v>16090</v>
      </c>
      <c r="L822" s="2607">
        <v>44000000</v>
      </c>
      <c r="M822" s="2779" t="s">
        <v>216</v>
      </c>
      <c r="N822" s="2564">
        <v>45237</v>
      </c>
      <c r="O822" s="2564">
        <v>45264</v>
      </c>
      <c r="P822" s="2564">
        <v>45273</v>
      </c>
      <c r="Q822" s="2664" t="s">
        <v>16377</v>
      </c>
      <c r="R822" s="2779"/>
      <c r="S822" s="2607">
        <v>26790000</v>
      </c>
      <c r="T822" s="2607">
        <v>32415900</v>
      </c>
      <c r="U822" s="2094"/>
      <c r="V822" s="2094"/>
      <c r="W822" s="2094"/>
      <c r="X822" s="2782">
        <v>45273</v>
      </c>
      <c r="Y822" s="2607" t="s">
        <v>16400</v>
      </c>
      <c r="Z822" s="2564">
        <v>45295</v>
      </c>
      <c r="AA822" s="2564">
        <v>45308</v>
      </c>
      <c r="AB822" s="2779"/>
      <c r="AC822" s="2799"/>
      <c r="AD822" s="2799"/>
    </row>
    <row r="823" spans="1:30">
      <c r="A823" s="2141" t="s">
        <v>15901</v>
      </c>
      <c r="B823" s="2143" t="s">
        <v>16092</v>
      </c>
      <c r="C823" s="2141" t="s">
        <v>58</v>
      </c>
      <c r="D823" s="2141" t="s">
        <v>15443</v>
      </c>
      <c r="E823" s="2141" t="s">
        <v>655</v>
      </c>
      <c r="F823" s="2142" t="s">
        <v>16093</v>
      </c>
      <c r="G823" s="2141"/>
      <c r="H823" s="2143"/>
      <c r="I823" s="2143" t="s">
        <v>15369</v>
      </c>
      <c r="J823" s="2141" t="s">
        <v>15746</v>
      </c>
      <c r="K823" s="2141" t="s">
        <v>15903</v>
      </c>
      <c r="L823" s="2144">
        <v>162300</v>
      </c>
      <c r="M823" s="2141" t="s">
        <v>112</v>
      </c>
      <c r="N823" s="2140">
        <v>45225</v>
      </c>
      <c r="O823" s="2140">
        <v>45236</v>
      </c>
      <c r="P823" s="2140">
        <v>45244</v>
      </c>
      <c r="Q823" s="2143" t="s">
        <v>16185</v>
      </c>
      <c r="R823" s="2141"/>
      <c r="S823" s="2144">
        <v>169950</v>
      </c>
      <c r="T823" s="2144">
        <v>205639.5</v>
      </c>
      <c r="U823" s="2145"/>
      <c r="V823" s="2145"/>
      <c r="W823" s="2145"/>
      <c r="X823" s="2146">
        <v>45244</v>
      </c>
      <c r="Y823" s="2144" t="s">
        <v>16257</v>
      </c>
      <c r="Z823" s="2140">
        <v>45254</v>
      </c>
      <c r="AA823" s="2140">
        <v>45260</v>
      </c>
      <c r="AB823" s="2140">
        <f>Z823+60</f>
        <v>45314</v>
      </c>
      <c r="AC823" s="2799"/>
      <c r="AD823" s="2799"/>
    </row>
    <row r="824" spans="1:30">
      <c r="A824" s="2140">
        <v>45222</v>
      </c>
      <c r="B824" s="2143" t="s">
        <v>16094</v>
      </c>
      <c r="C824" s="2141" t="s">
        <v>166</v>
      </c>
      <c r="D824" s="2141" t="s">
        <v>7475</v>
      </c>
      <c r="E824" s="2141" t="s">
        <v>13951</v>
      </c>
      <c r="F824" s="2142" t="s">
        <v>16095</v>
      </c>
      <c r="G824" s="2141"/>
      <c r="H824" s="2143"/>
      <c r="I824" s="2143" t="s">
        <v>15369</v>
      </c>
      <c r="J824" s="2141" t="s">
        <v>498</v>
      </c>
      <c r="K824" s="2141"/>
      <c r="L824" s="2144">
        <v>300000</v>
      </c>
      <c r="M824" s="2141" t="s">
        <v>112</v>
      </c>
      <c r="N824" s="2140">
        <v>45224</v>
      </c>
      <c r="O824" s="2140">
        <v>45236</v>
      </c>
      <c r="P824" s="2140">
        <v>45240</v>
      </c>
      <c r="Q824" s="2143" t="s">
        <v>8610</v>
      </c>
      <c r="R824" s="2141"/>
      <c r="S824" s="2144">
        <v>269803.59000000003</v>
      </c>
      <c r="T824" s="2144">
        <v>326462.34000000003</v>
      </c>
      <c r="U824" s="2145"/>
      <c r="V824" s="2145"/>
      <c r="W824" s="2145"/>
      <c r="X824" s="2146">
        <v>45240</v>
      </c>
      <c r="Y824" s="2144" t="s">
        <v>16218</v>
      </c>
      <c r="Z824" s="2140">
        <v>45251</v>
      </c>
      <c r="AA824" s="2140">
        <v>45252</v>
      </c>
      <c r="AB824" s="2141"/>
      <c r="AC824" s="2799"/>
      <c r="AD824" s="2799"/>
    </row>
    <row r="825" spans="1:30">
      <c r="A825" s="2140">
        <v>45222</v>
      </c>
      <c r="B825" s="2143" t="s">
        <v>16096</v>
      </c>
      <c r="C825" s="2141" t="s">
        <v>6561</v>
      </c>
      <c r="D825" s="2141" t="s">
        <v>4864</v>
      </c>
      <c r="E825" s="2141" t="s">
        <v>655</v>
      </c>
      <c r="F825" s="2142" t="s">
        <v>16097</v>
      </c>
      <c r="G825" s="2141"/>
      <c r="H825" s="2143"/>
      <c r="I825" s="2143" t="s">
        <v>15369</v>
      </c>
      <c r="J825" s="2141" t="s">
        <v>16211</v>
      </c>
      <c r="K825" s="2141"/>
      <c r="L825" s="2144">
        <v>1500000</v>
      </c>
      <c r="M825" s="2141" t="s">
        <v>112</v>
      </c>
      <c r="N825" s="2140">
        <v>45229</v>
      </c>
      <c r="O825" s="2140">
        <v>45239</v>
      </c>
      <c r="P825" s="2140">
        <v>45240</v>
      </c>
      <c r="Q825" s="2143" t="s">
        <v>13406</v>
      </c>
      <c r="R825" s="2141"/>
      <c r="S825" s="2144">
        <v>1487952</v>
      </c>
      <c r="T825" s="2144">
        <v>1800421.92</v>
      </c>
      <c r="U825" s="2145"/>
      <c r="V825" s="2145"/>
      <c r="W825" s="2145"/>
      <c r="X825" s="2146">
        <v>45240</v>
      </c>
      <c r="Y825" s="2144" t="s">
        <v>16217</v>
      </c>
      <c r="Z825" s="2140">
        <v>45251</v>
      </c>
      <c r="AA825" s="2140">
        <v>45251</v>
      </c>
      <c r="AB825" s="2140">
        <v>45272</v>
      </c>
      <c r="AC825" s="2799"/>
      <c r="AD825" s="2799"/>
    </row>
    <row r="826" spans="1:30" ht="15.75" thickBot="1">
      <c r="A826" s="416">
        <v>45223</v>
      </c>
      <c r="B826" s="630" t="s">
        <v>16098</v>
      </c>
      <c r="C826" s="411" t="s">
        <v>69</v>
      </c>
      <c r="D826" s="411" t="s">
        <v>15129</v>
      </c>
      <c r="E826" s="411" t="s">
        <v>15813</v>
      </c>
      <c r="F826" s="412" t="s">
        <v>16099</v>
      </c>
      <c r="G826" s="411"/>
      <c r="H826" s="630"/>
      <c r="I826" s="630" t="s">
        <v>15369</v>
      </c>
      <c r="J826" s="411" t="s">
        <v>72</v>
      </c>
      <c r="K826" s="411"/>
      <c r="L826" s="417">
        <v>1745280</v>
      </c>
      <c r="M826" s="411" t="s">
        <v>112</v>
      </c>
      <c r="N826" s="416">
        <v>45225</v>
      </c>
      <c r="O826" s="416">
        <v>45240</v>
      </c>
      <c r="P826" s="416">
        <v>45246</v>
      </c>
      <c r="Q826" s="630" t="s">
        <v>8542</v>
      </c>
      <c r="R826" s="411"/>
      <c r="S826" s="417">
        <v>1438294.96</v>
      </c>
      <c r="T826" s="417">
        <v>1582113.46</v>
      </c>
      <c r="U826" s="1480"/>
      <c r="V826" s="1480"/>
      <c r="W826" s="1480"/>
      <c r="X826" s="513">
        <v>45246</v>
      </c>
      <c r="Y826" s="417" t="s">
        <v>16280</v>
      </c>
      <c r="Z826" s="416">
        <v>45275</v>
      </c>
      <c r="AA826" s="416">
        <v>45275</v>
      </c>
      <c r="AB826" s="416">
        <v>46370</v>
      </c>
      <c r="AC826" s="2799"/>
      <c r="AD826" s="2799"/>
    </row>
    <row r="827" spans="1:30" ht="15.75" thickTop="1">
      <c r="A827" s="443">
        <v>45223</v>
      </c>
      <c r="B827" s="1431" t="s">
        <v>16102</v>
      </c>
      <c r="C827" s="439" t="s">
        <v>69</v>
      </c>
      <c r="D827" s="439" t="s">
        <v>15129</v>
      </c>
      <c r="E827" s="439" t="s">
        <v>13949</v>
      </c>
      <c r="F827" s="440" t="s">
        <v>16103</v>
      </c>
      <c r="G827" s="439">
        <v>1</v>
      </c>
      <c r="H827" s="1431" t="s">
        <v>16108</v>
      </c>
      <c r="I827" s="1431" t="s">
        <v>242</v>
      </c>
      <c r="J827" s="439" t="s">
        <v>10969</v>
      </c>
      <c r="K827" s="439"/>
      <c r="L827" s="444">
        <v>2131911</v>
      </c>
      <c r="M827" s="439" t="s">
        <v>251</v>
      </c>
      <c r="N827" s="443">
        <v>45225</v>
      </c>
      <c r="O827" s="443">
        <v>45260</v>
      </c>
      <c r="P827" s="439"/>
      <c r="Q827" s="753" t="s">
        <v>16250</v>
      </c>
      <c r="R827" s="439"/>
      <c r="S827" s="444"/>
      <c r="T827" s="444"/>
      <c r="U827" s="1481"/>
      <c r="V827" s="1481"/>
      <c r="W827" s="1481"/>
      <c r="X827" s="444"/>
      <c r="Y827" s="444"/>
      <c r="Z827" s="439"/>
      <c r="AA827" s="443">
        <v>45245</v>
      </c>
      <c r="AB827" s="1431" t="s">
        <v>16274</v>
      </c>
      <c r="AC827" s="2799"/>
      <c r="AD827" s="2799"/>
    </row>
    <row r="828" spans="1:30">
      <c r="A828" s="2140">
        <v>45223</v>
      </c>
      <c r="B828" s="2143" t="s">
        <v>16104</v>
      </c>
      <c r="C828" s="2141" t="s">
        <v>69</v>
      </c>
      <c r="D828" s="2141" t="s">
        <v>15129</v>
      </c>
      <c r="E828" s="2141" t="s">
        <v>13949</v>
      </c>
      <c r="F828" s="2142" t="s">
        <v>16103</v>
      </c>
      <c r="G828" s="2141">
        <v>2</v>
      </c>
      <c r="H828" s="2143" t="s">
        <v>16106</v>
      </c>
      <c r="I828" s="2143" t="s">
        <v>15369</v>
      </c>
      <c r="J828" s="2141" t="s">
        <v>10969</v>
      </c>
      <c r="K828" s="2141"/>
      <c r="L828" s="2144">
        <v>3968074</v>
      </c>
      <c r="M828" s="2141" t="s">
        <v>251</v>
      </c>
      <c r="N828" s="2140">
        <v>45225</v>
      </c>
      <c r="O828" s="2140">
        <v>45336</v>
      </c>
      <c r="P828" s="2140">
        <v>45370</v>
      </c>
      <c r="Q828" s="2143" t="s">
        <v>13761</v>
      </c>
      <c r="R828" s="2141"/>
      <c r="S828" s="2144">
        <v>4304796.6900000004</v>
      </c>
      <c r="T828" s="2144">
        <v>4821372.3</v>
      </c>
      <c r="U828" s="2145"/>
      <c r="V828" s="2145"/>
      <c r="W828" s="2145"/>
      <c r="X828" s="2146">
        <v>45370</v>
      </c>
      <c r="Y828" s="2144" t="s">
        <v>17028</v>
      </c>
      <c r="Z828" s="2140">
        <v>45398</v>
      </c>
      <c r="AA828" s="2140">
        <v>45415</v>
      </c>
      <c r="AB828" s="2140">
        <v>46492</v>
      </c>
      <c r="AC828" s="2799"/>
      <c r="AD828" s="2799"/>
    </row>
    <row r="829" spans="1:30" ht="15.75" thickBot="1">
      <c r="A829" s="2117">
        <v>45223</v>
      </c>
      <c r="B829" s="2120" t="s">
        <v>16105</v>
      </c>
      <c r="C829" s="2118" t="s">
        <v>69</v>
      </c>
      <c r="D829" s="2118" t="s">
        <v>15129</v>
      </c>
      <c r="E829" s="2118" t="s">
        <v>13949</v>
      </c>
      <c r="F829" s="2119" t="s">
        <v>16103</v>
      </c>
      <c r="G829" s="2118">
        <v>3</v>
      </c>
      <c r="H829" s="2120" t="s">
        <v>16107</v>
      </c>
      <c r="I829" s="2120" t="s">
        <v>15369</v>
      </c>
      <c r="J829" s="2118" t="s">
        <v>10969</v>
      </c>
      <c r="K829" s="2118"/>
      <c r="L829" s="2121">
        <v>609</v>
      </c>
      <c r="M829" s="2118" t="s">
        <v>251</v>
      </c>
      <c r="N829" s="2117">
        <v>45225</v>
      </c>
      <c r="O829" s="2117">
        <v>45336</v>
      </c>
      <c r="P829" s="2117">
        <v>45370</v>
      </c>
      <c r="Q829" s="2120" t="s">
        <v>1646</v>
      </c>
      <c r="R829" s="2118"/>
      <c r="S829" s="2121">
        <v>467.82</v>
      </c>
      <c r="T829" s="2121">
        <v>523.96</v>
      </c>
      <c r="U829" s="2122"/>
      <c r="V829" s="2122"/>
      <c r="W829" s="2122"/>
      <c r="X829" s="2123">
        <v>45370</v>
      </c>
      <c r="Y829" s="2121" t="s">
        <v>17029</v>
      </c>
      <c r="Z829" s="2117">
        <v>45412</v>
      </c>
      <c r="AA829" s="2117">
        <v>45415</v>
      </c>
      <c r="AB829" s="2117">
        <v>46506</v>
      </c>
      <c r="AC829" s="2799"/>
      <c r="AD829" s="2799"/>
    </row>
    <row r="830" spans="1:30" ht="30.75" thickTop="1">
      <c r="A830" s="933" t="s">
        <v>15478</v>
      </c>
      <c r="B830" s="3022" t="s">
        <v>16109</v>
      </c>
      <c r="C830" s="933" t="s">
        <v>58</v>
      </c>
      <c r="D830" s="933" t="s">
        <v>15443</v>
      </c>
      <c r="E830" s="933" t="s">
        <v>13948</v>
      </c>
      <c r="F830" s="934" t="s">
        <v>16110</v>
      </c>
      <c r="G830" s="933"/>
      <c r="H830" s="3022"/>
      <c r="I830" s="3022" t="s">
        <v>15369</v>
      </c>
      <c r="J830" s="933" t="s">
        <v>77</v>
      </c>
      <c r="K830" s="933" t="s">
        <v>15479</v>
      </c>
      <c r="L830" s="938">
        <v>173918</v>
      </c>
      <c r="M830" s="933" t="s">
        <v>251</v>
      </c>
      <c r="N830" s="937">
        <v>45245</v>
      </c>
      <c r="O830" s="937">
        <v>45281</v>
      </c>
      <c r="P830" s="937">
        <v>45310</v>
      </c>
      <c r="Q830" s="3022" t="s">
        <v>4315</v>
      </c>
      <c r="R830" s="933"/>
      <c r="S830" s="938">
        <v>180954</v>
      </c>
      <c r="T830" s="938">
        <v>218954.34</v>
      </c>
      <c r="U830" s="2943"/>
      <c r="V830" s="2943"/>
      <c r="W830" s="2943"/>
      <c r="X830" s="3023">
        <v>45310</v>
      </c>
      <c r="Y830" s="3024" t="s">
        <v>16622</v>
      </c>
      <c r="Z830" s="937">
        <v>45331</v>
      </c>
      <c r="AA830" s="937">
        <v>45341</v>
      </c>
      <c r="AB830" s="937">
        <v>45391</v>
      </c>
      <c r="AC830" s="2799"/>
      <c r="AD830" s="2799"/>
    </row>
    <row r="831" spans="1:30" ht="45">
      <c r="A831" s="365">
        <v>45223</v>
      </c>
      <c r="B831" s="3192" t="s">
        <v>16115</v>
      </c>
      <c r="C831" s="3191" t="s">
        <v>13843</v>
      </c>
      <c r="D831" s="3191" t="s">
        <v>13844</v>
      </c>
      <c r="E831" s="3191" t="s">
        <v>13949</v>
      </c>
      <c r="F831" s="175" t="s">
        <v>16116</v>
      </c>
      <c r="G831" s="3191"/>
      <c r="H831" s="3192"/>
      <c r="I831" s="3192" t="s">
        <v>15369</v>
      </c>
      <c r="J831" s="3191" t="s">
        <v>16336</v>
      </c>
      <c r="K831" s="3191"/>
      <c r="L831" s="364">
        <v>20000000</v>
      </c>
      <c r="M831" s="3191" t="s">
        <v>251</v>
      </c>
      <c r="N831" s="365">
        <v>45260</v>
      </c>
      <c r="O831" s="365">
        <v>45310</v>
      </c>
      <c r="P831" s="365">
        <v>45405</v>
      </c>
      <c r="Q831" s="3192" t="s">
        <v>10253</v>
      </c>
      <c r="R831" s="3191"/>
      <c r="S831" s="364">
        <v>18564800</v>
      </c>
      <c r="T831" s="364">
        <v>22463408</v>
      </c>
      <c r="U831" s="1476"/>
      <c r="V831" s="1476"/>
      <c r="W831" s="1476"/>
      <c r="X831" s="681">
        <v>45405</v>
      </c>
      <c r="Y831" s="1417" t="s">
        <v>17383</v>
      </c>
      <c r="Z831" s="365">
        <v>45429</v>
      </c>
      <c r="AA831" s="365">
        <v>45432</v>
      </c>
      <c r="AB831" s="365">
        <v>46752</v>
      </c>
      <c r="AC831" s="1359"/>
      <c r="AD831" s="2799"/>
    </row>
    <row r="832" spans="1:30" ht="30">
      <c r="A832" s="2140">
        <v>45224</v>
      </c>
      <c r="B832" s="2143" t="s">
        <v>16114</v>
      </c>
      <c r="C832" s="2141" t="s">
        <v>58</v>
      </c>
      <c r="D832" s="2141" t="s">
        <v>15443</v>
      </c>
      <c r="E832" s="2141" t="s">
        <v>13951</v>
      </c>
      <c r="F832" s="2142" t="s">
        <v>16117</v>
      </c>
      <c r="G832" s="2141"/>
      <c r="H832" s="2143"/>
      <c r="I832" s="2143" t="s">
        <v>15369</v>
      </c>
      <c r="J832" s="2141" t="s">
        <v>1159</v>
      </c>
      <c r="K832" s="2141" t="s">
        <v>16118</v>
      </c>
      <c r="L832" s="2144">
        <v>616000</v>
      </c>
      <c r="M832" s="2141" t="s">
        <v>112</v>
      </c>
      <c r="N832" s="2140">
        <v>45226</v>
      </c>
      <c r="O832" s="2140">
        <v>45243</v>
      </c>
      <c r="P832" s="2140">
        <v>45246</v>
      </c>
      <c r="Q832" s="2289" t="s">
        <v>4483</v>
      </c>
      <c r="R832" s="2141"/>
      <c r="S832" s="2144">
        <v>577684</v>
      </c>
      <c r="T832" s="2144">
        <v>698997.64</v>
      </c>
      <c r="U832" s="2145"/>
      <c r="V832" s="2145"/>
      <c r="W832" s="2145"/>
      <c r="X832" s="2146">
        <v>45246</v>
      </c>
      <c r="Y832" s="2260" t="s">
        <v>16282</v>
      </c>
      <c r="Z832" s="2140">
        <v>45264</v>
      </c>
      <c r="AA832" s="2140">
        <v>45264</v>
      </c>
      <c r="AB832" s="2140">
        <v>45306</v>
      </c>
      <c r="AC832" s="1359"/>
      <c r="AD832" s="2799"/>
    </row>
    <row r="833" spans="1:31" ht="30.75" thickBot="1">
      <c r="A833" s="411" t="s">
        <v>15890</v>
      </c>
      <c r="B833" s="630" t="s">
        <v>16121</v>
      </c>
      <c r="C833" s="411" t="s">
        <v>2434</v>
      </c>
      <c r="D833" s="411" t="s">
        <v>219</v>
      </c>
      <c r="E833" s="411" t="s">
        <v>13951</v>
      </c>
      <c r="F833" s="412" t="s">
        <v>16122</v>
      </c>
      <c r="G833" s="411"/>
      <c r="H833" s="630"/>
      <c r="I833" s="630" t="s">
        <v>15369</v>
      </c>
      <c r="J833" s="411" t="s">
        <v>275</v>
      </c>
      <c r="K833" s="411" t="s">
        <v>15891</v>
      </c>
      <c r="L833" s="417">
        <v>445500</v>
      </c>
      <c r="M833" s="411" t="s">
        <v>112</v>
      </c>
      <c r="N833" s="416">
        <v>45231</v>
      </c>
      <c r="O833" s="416">
        <v>45243</v>
      </c>
      <c r="P833" s="416">
        <v>45244</v>
      </c>
      <c r="Q833" s="630" t="s">
        <v>16240</v>
      </c>
      <c r="R833" s="411"/>
      <c r="S833" s="417">
        <v>445500</v>
      </c>
      <c r="T833" s="417">
        <v>539055</v>
      </c>
      <c r="U833" s="1480"/>
      <c r="V833" s="1480"/>
      <c r="W833" s="1480"/>
      <c r="X833" s="513">
        <v>45244</v>
      </c>
      <c r="Y833" s="1553" t="s">
        <v>16259</v>
      </c>
      <c r="Z833" s="416">
        <v>45268</v>
      </c>
      <c r="AA833" s="416">
        <v>45271</v>
      </c>
      <c r="AB833" s="416">
        <v>45542</v>
      </c>
      <c r="AC833" s="1359"/>
      <c r="AD833" s="2799"/>
    </row>
    <row r="834" spans="1:31" ht="30.75" thickTop="1">
      <c r="A834" s="474">
        <v>45225</v>
      </c>
      <c r="B834" s="1420" t="s">
        <v>16124</v>
      </c>
      <c r="C834" s="453" t="s">
        <v>58</v>
      </c>
      <c r="D834" s="453" t="s">
        <v>15443</v>
      </c>
      <c r="E834" s="453" t="s">
        <v>13950</v>
      </c>
      <c r="F834" s="473" t="s">
        <v>16125</v>
      </c>
      <c r="G834" s="453">
        <v>1</v>
      </c>
      <c r="H834" s="1420" t="s">
        <v>8968</v>
      </c>
      <c r="I834" s="1420" t="s">
        <v>15369</v>
      </c>
      <c r="J834" s="453" t="s">
        <v>1924</v>
      </c>
      <c r="K834" s="453" t="s">
        <v>16128</v>
      </c>
      <c r="L834" s="457">
        <v>140000</v>
      </c>
      <c r="M834" s="453" t="s">
        <v>216</v>
      </c>
      <c r="N834" s="474">
        <v>45233</v>
      </c>
      <c r="O834" s="474">
        <v>45273</v>
      </c>
      <c r="P834" s="474">
        <v>45314</v>
      </c>
      <c r="Q834" s="1420" t="s">
        <v>9720</v>
      </c>
      <c r="R834" s="453"/>
      <c r="S834" s="457">
        <v>98350</v>
      </c>
      <c r="T834" s="457">
        <v>119003.5</v>
      </c>
      <c r="U834" s="1474"/>
      <c r="V834" s="1474"/>
      <c r="W834" s="1474"/>
      <c r="X834" s="570">
        <v>45314</v>
      </c>
      <c r="Y834" s="1387" t="s">
        <v>16651</v>
      </c>
      <c r="Z834" s="474">
        <v>45321</v>
      </c>
      <c r="AA834" s="474">
        <v>45349</v>
      </c>
      <c r="AB834" s="474"/>
      <c r="AC834" s="796"/>
      <c r="AD834" s="796"/>
    </row>
    <row r="835" spans="1:31" ht="15.75" thickBot="1">
      <c r="A835" s="2130">
        <v>45225</v>
      </c>
      <c r="B835" s="2133" t="s">
        <v>16126</v>
      </c>
      <c r="C835" s="2131" t="s">
        <v>58</v>
      </c>
      <c r="D835" s="2131" t="s">
        <v>15443</v>
      </c>
      <c r="E835" s="2131" t="s">
        <v>13950</v>
      </c>
      <c r="F835" s="2132" t="s">
        <v>16125</v>
      </c>
      <c r="G835" s="2131">
        <v>2</v>
      </c>
      <c r="H835" s="2133" t="s">
        <v>16127</v>
      </c>
      <c r="I835" s="2133" t="s">
        <v>242</v>
      </c>
      <c r="J835" s="2131" t="s">
        <v>1924</v>
      </c>
      <c r="K835" s="2131" t="s">
        <v>16129</v>
      </c>
      <c r="L835" s="2134">
        <v>120000</v>
      </c>
      <c r="M835" s="2131" t="s">
        <v>216</v>
      </c>
      <c r="N835" s="2130">
        <v>45233</v>
      </c>
      <c r="O835" s="2130">
        <v>45273</v>
      </c>
      <c r="P835" s="2130"/>
      <c r="Q835" s="2137" t="s">
        <v>16682</v>
      </c>
      <c r="R835" s="2131"/>
      <c r="S835" s="2134">
        <v>58469</v>
      </c>
      <c r="T835" s="2134">
        <v>70747.490000000005</v>
      </c>
      <c r="U835" s="2135"/>
      <c r="V835" s="2135"/>
      <c r="W835" s="2135"/>
      <c r="X835" s="2134"/>
      <c r="Y835" s="2134"/>
      <c r="Z835" s="2131"/>
      <c r="AA835" s="2130">
        <v>45349</v>
      </c>
      <c r="AB835" s="2131" t="s">
        <v>16751</v>
      </c>
      <c r="AC835" s="796"/>
      <c r="AD835" s="796"/>
    </row>
    <row r="836" spans="1:31" ht="15.75" thickTop="1">
      <c r="A836" s="3191" t="s">
        <v>15967</v>
      </c>
      <c r="B836" s="3192" t="s">
        <v>16131</v>
      </c>
      <c r="C836" s="3191" t="s">
        <v>52</v>
      </c>
      <c r="D836" s="3191" t="s">
        <v>10114</v>
      </c>
      <c r="E836" s="3191" t="s">
        <v>13951</v>
      </c>
      <c r="F836" s="175" t="s">
        <v>16132</v>
      </c>
      <c r="G836" s="3191"/>
      <c r="H836" s="3192"/>
      <c r="I836" s="3192" t="s">
        <v>15369</v>
      </c>
      <c r="J836" s="3191" t="s">
        <v>12595</v>
      </c>
      <c r="K836" s="3191" t="s">
        <v>15969</v>
      </c>
      <c r="L836" s="364">
        <v>1400000</v>
      </c>
      <c r="M836" s="3191" t="s">
        <v>112</v>
      </c>
      <c r="N836" s="365">
        <v>45229</v>
      </c>
      <c r="O836" s="365">
        <v>45240</v>
      </c>
      <c r="P836" s="365">
        <v>45244</v>
      </c>
      <c r="Q836" s="3192" t="s">
        <v>9274</v>
      </c>
      <c r="R836" s="3191"/>
      <c r="S836" s="364">
        <v>880000</v>
      </c>
      <c r="T836" s="364">
        <v>1064800</v>
      </c>
      <c r="U836" s="1473"/>
      <c r="V836" s="1473"/>
      <c r="W836" s="1473"/>
      <c r="X836" s="681">
        <v>45244</v>
      </c>
      <c r="Y836" s="364" t="s">
        <v>16258</v>
      </c>
      <c r="Z836" s="365">
        <v>45258</v>
      </c>
      <c r="AA836" s="365">
        <v>45258</v>
      </c>
      <c r="AB836" s="3191"/>
      <c r="AC836" s="796"/>
      <c r="AD836" s="796"/>
    </row>
    <row r="837" spans="1:31" ht="30">
      <c r="A837" s="2140">
        <v>45225</v>
      </c>
      <c r="B837" s="2143" t="s">
        <v>16133</v>
      </c>
      <c r="C837" s="2141" t="s">
        <v>58</v>
      </c>
      <c r="D837" s="2141" t="s">
        <v>15443</v>
      </c>
      <c r="E837" s="2141" t="s">
        <v>13948</v>
      </c>
      <c r="F837" s="2142" t="s">
        <v>16134</v>
      </c>
      <c r="G837" s="2141"/>
      <c r="H837" s="2143"/>
      <c r="I837" s="2143" t="s">
        <v>15369</v>
      </c>
      <c r="J837" s="2141" t="s">
        <v>462</v>
      </c>
      <c r="K837" s="2141" t="s">
        <v>16135</v>
      </c>
      <c r="L837" s="2144">
        <v>421000</v>
      </c>
      <c r="M837" s="2141" t="s">
        <v>251</v>
      </c>
      <c r="N837" s="2140">
        <v>45230</v>
      </c>
      <c r="O837" s="2140">
        <v>45267</v>
      </c>
      <c r="P837" s="2140">
        <v>45282</v>
      </c>
      <c r="Q837" s="2143" t="s">
        <v>5913</v>
      </c>
      <c r="R837" s="2141"/>
      <c r="S837" s="2144">
        <v>400800</v>
      </c>
      <c r="T837" s="2144">
        <v>484968</v>
      </c>
      <c r="U837" s="2145"/>
      <c r="V837" s="2145"/>
      <c r="W837" s="2145"/>
      <c r="X837" s="2146">
        <v>45282</v>
      </c>
      <c r="Y837" s="2260" t="s">
        <v>16470</v>
      </c>
      <c r="Z837" s="2140">
        <v>45295</v>
      </c>
      <c r="AA837" s="2140">
        <v>45299</v>
      </c>
      <c r="AB837" s="2140">
        <v>45351</v>
      </c>
      <c r="AC837" s="796"/>
      <c r="AD837" s="796"/>
    </row>
    <row r="838" spans="1:31">
      <c r="A838" s="2140">
        <v>45225</v>
      </c>
      <c r="B838" s="2143" t="s">
        <v>16138</v>
      </c>
      <c r="C838" s="2141" t="s">
        <v>58</v>
      </c>
      <c r="D838" s="2141" t="s">
        <v>15443</v>
      </c>
      <c r="E838" s="2141" t="s">
        <v>655</v>
      </c>
      <c r="F838" s="2142" t="s">
        <v>16139</v>
      </c>
      <c r="G838" s="2141"/>
      <c r="H838" s="2143"/>
      <c r="I838" s="2143" t="s">
        <v>15369</v>
      </c>
      <c r="J838" s="2141" t="s">
        <v>2872</v>
      </c>
      <c r="K838" s="2141" t="s">
        <v>16140</v>
      </c>
      <c r="L838" s="2144">
        <v>80000</v>
      </c>
      <c r="M838" s="2141" t="s">
        <v>112</v>
      </c>
      <c r="N838" s="2140">
        <v>45231</v>
      </c>
      <c r="O838" s="2140">
        <v>45243</v>
      </c>
      <c r="P838" s="2140">
        <v>45251</v>
      </c>
      <c r="Q838" s="2143" t="s">
        <v>16243</v>
      </c>
      <c r="R838" s="2141"/>
      <c r="S838" s="2144">
        <v>108768</v>
      </c>
      <c r="T838" s="2144">
        <v>131609.28</v>
      </c>
      <c r="U838" s="2145"/>
      <c r="V838" s="2145"/>
      <c r="W838" s="2145"/>
      <c r="X838" s="2146">
        <v>45251</v>
      </c>
      <c r="Y838" s="2144" t="s">
        <v>16291</v>
      </c>
      <c r="Z838" s="2140">
        <v>45264</v>
      </c>
      <c r="AA838" s="2140">
        <v>45264</v>
      </c>
      <c r="AB838" s="2140">
        <v>45384</v>
      </c>
      <c r="AC838" s="796"/>
      <c r="AD838" s="796"/>
    </row>
    <row r="839" spans="1:31" ht="15.75" thickBot="1">
      <c r="A839" s="416">
        <v>45229</v>
      </c>
      <c r="B839" s="630" t="s">
        <v>16141</v>
      </c>
      <c r="C839" s="411" t="s">
        <v>1032</v>
      </c>
      <c r="D839" s="411" t="s">
        <v>361</v>
      </c>
      <c r="E839" s="411" t="s">
        <v>13950</v>
      </c>
      <c r="F839" s="412" t="s">
        <v>16142</v>
      </c>
      <c r="G839" s="411"/>
      <c r="H839" s="630"/>
      <c r="I839" s="630" t="s">
        <v>15369</v>
      </c>
      <c r="J839" s="411" t="s">
        <v>7263</v>
      </c>
      <c r="K839" s="411"/>
      <c r="L839" s="417">
        <v>5500000</v>
      </c>
      <c r="M839" s="411" t="s">
        <v>216</v>
      </c>
      <c r="N839" s="416">
        <v>45239</v>
      </c>
      <c r="O839" s="416">
        <v>45259</v>
      </c>
      <c r="P839" s="416">
        <v>45282</v>
      </c>
      <c r="Q839" s="630" t="s">
        <v>16408</v>
      </c>
      <c r="R839" s="411"/>
      <c r="S839" s="417">
        <v>1928642.16</v>
      </c>
      <c r="T839" s="417">
        <v>2333657.0099999998</v>
      </c>
      <c r="U839" s="1480"/>
      <c r="V839" s="1480"/>
      <c r="W839" s="1480"/>
      <c r="X839" s="513">
        <v>45282</v>
      </c>
      <c r="Y839" s="417" t="s">
        <v>16473</v>
      </c>
      <c r="Z839" s="416">
        <v>45307</v>
      </c>
      <c r="AA839" s="416">
        <v>45330</v>
      </c>
      <c r="AB839" s="411"/>
      <c r="AC839" s="796"/>
      <c r="AD839" s="796"/>
    </row>
    <row r="840" spans="1:31" ht="15.75" thickTop="1">
      <c r="A840" s="474">
        <v>45231</v>
      </c>
      <c r="B840" s="1420" t="s">
        <v>16146</v>
      </c>
      <c r="C840" s="453" t="s">
        <v>69</v>
      </c>
      <c r="D840" s="453" t="s">
        <v>15131</v>
      </c>
      <c r="E840" s="453" t="s">
        <v>13949</v>
      </c>
      <c r="F840" s="473" t="s">
        <v>16147</v>
      </c>
      <c r="G840" s="453">
        <v>1</v>
      </c>
      <c r="H840" s="1420" t="s">
        <v>6655</v>
      </c>
      <c r="I840" s="1420" t="s">
        <v>15369</v>
      </c>
      <c r="J840" s="453" t="s">
        <v>68</v>
      </c>
      <c r="K840" s="453"/>
      <c r="L840" s="457">
        <v>2909091</v>
      </c>
      <c r="M840" s="453" t="s">
        <v>251</v>
      </c>
      <c r="N840" s="474">
        <v>45243</v>
      </c>
      <c r="O840" s="474">
        <v>45345</v>
      </c>
      <c r="P840" s="474">
        <v>45362</v>
      </c>
      <c r="Q840" s="1420" t="s">
        <v>576</v>
      </c>
      <c r="R840" s="453"/>
      <c r="S840" s="457">
        <v>2909090.4</v>
      </c>
      <c r="T840" s="457">
        <v>3258181.25</v>
      </c>
      <c r="U840" s="1474"/>
      <c r="V840" s="1474"/>
      <c r="W840" s="1474"/>
      <c r="X840" s="570">
        <v>45362</v>
      </c>
      <c r="Y840" s="457" t="s">
        <v>16977</v>
      </c>
      <c r="Z840" s="474">
        <v>45378</v>
      </c>
      <c r="AA840" s="474">
        <v>45385</v>
      </c>
      <c r="AB840" s="474">
        <v>46472</v>
      </c>
      <c r="AC840" s="796"/>
      <c r="AD840" s="796"/>
    </row>
    <row r="841" spans="1:31" ht="15.75" thickBot="1">
      <c r="A841" s="2117">
        <v>45231</v>
      </c>
      <c r="B841" s="2120" t="s">
        <v>16148</v>
      </c>
      <c r="C841" s="2118" t="s">
        <v>69</v>
      </c>
      <c r="D841" s="2118" t="s">
        <v>15131</v>
      </c>
      <c r="E841" s="2118" t="s">
        <v>13949</v>
      </c>
      <c r="F841" s="2119" t="s">
        <v>16147</v>
      </c>
      <c r="G841" s="2118">
        <v>2</v>
      </c>
      <c r="H841" s="2120" t="s">
        <v>5689</v>
      </c>
      <c r="I841" s="2120" t="s">
        <v>15369</v>
      </c>
      <c r="J841" s="2118" t="s">
        <v>68</v>
      </c>
      <c r="K841" s="2118"/>
      <c r="L841" s="2121">
        <v>470757.8</v>
      </c>
      <c r="M841" s="2118" t="s">
        <v>251</v>
      </c>
      <c r="N841" s="2117">
        <v>45243</v>
      </c>
      <c r="O841" s="2117">
        <v>45345</v>
      </c>
      <c r="P841" s="2117">
        <v>45362</v>
      </c>
      <c r="Q841" s="2120" t="s">
        <v>13761</v>
      </c>
      <c r="R841" s="2118"/>
      <c r="S841" s="2121">
        <v>470338.8</v>
      </c>
      <c r="T841" s="2121">
        <v>526779.46</v>
      </c>
      <c r="U841" s="2122"/>
      <c r="V841" s="2122"/>
      <c r="W841" s="2122"/>
      <c r="X841" s="2123">
        <v>45362</v>
      </c>
      <c r="Y841" s="2121" t="s">
        <v>16978</v>
      </c>
      <c r="Z841" s="2117">
        <v>45370</v>
      </c>
      <c r="AA841" s="2117">
        <v>45385</v>
      </c>
      <c r="AB841" s="2117">
        <v>46464</v>
      </c>
      <c r="AC841" s="796"/>
      <c r="AD841" s="796"/>
    </row>
    <row r="842" spans="1:31" ht="15.75" thickTop="1">
      <c r="A842" s="365">
        <v>45231</v>
      </c>
      <c r="B842" s="3192" t="s">
        <v>16149</v>
      </c>
      <c r="C842" s="3191" t="s">
        <v>69</v>
      </c>
      <c r="D842" s="3191" t="s">
        <v>15131</v>
      </c>
      <c r="E842" s="3191" t="s">
        <v>13949</v>
      </c>
      <c r="F842" s="175" t="s">
        <v>16150</v>
      </c>
      <c r="G842" s="3191"/>
      <c r="H842" s="3192"/>
      <c r="I842" s="3192" t="s">
        <v>15369</v>
      </c>
      <c r="J842" s="3191" t="s">
        <v>3435</v>
      </c>
      <c r="K842" s="3191"/>
      <c r="L842" s="364">
        <v>46859503</v>
      </c>
      <c r="M842" s="3191" t="s">
        <v>251</v>
      </c>
      <c r="N842" s="365">
        <v>45240</v>
      </c>
      <c r="O842" s="365">
        <v>45275</v>
      </c>
      <c r="P842" s="365">
        <v>45300</v>
      </c>
      <c r="Q842" s="3192" t="s">
        <v>2490</v>
      </c>
      <c r="R842" s="3191"/>
      <c r="S842" s="364">
        <v>46859498.159999996</v>
      </c>
      <c r="T842" s="364">
        <v>52482637.939999998</v>
      </c>
      <c r="U842" s="1473"/>
      <c r="V842" s="1473"/>
      <c r="W842" s="1473"/>
      <c r="X842" s="681">
        <v>45300</v>
      </c>
      <c r="Y842" s="364" t="s">
        <v>16534</v>
      </c>
      <c r="Z842" s="365">
        <v>45307</v>
      </c>
      <c r="AA842" s="365">
        <v>45308</v>
      </c>
      <c r="AB842" s="365">
        <v>46456</v>
      </c>
      <c r="AC842" s="796"/>
      <c r="AD842" s="796"/>
      <c r="AE842" s="360" t="s">
        <v>16597</v>
      </c>
    </row>
    <row r="843" spans="1:31" ht="30">
      <c r="A843" s="2140">
        <v>45232</v>
      </c>
      <c r="B843" s="2143" t="s">
        <v>16155</v>
      </c>
      <c r="C843" s="2141" t="s">
        <v>58</v>
      </c>
      <c r="D843" s="2141" t="s">
        <v>15443</v>
      </c>
      <c r="E843" s="2141" t="s">
        <v>655</v>
      </c>
      <c r="F843" s="2142" t="s">
        <v>11832</v>
      </c>
      <c r="G843" s="2141"/>
      <c r="H843" s="2143"/>
      <c r="I843" s="2143" t="s">
        <v>15369</v>
      </c>
      <c r="J843" s="2141" t="s">
        <v>4313</v>
      </c>
      <c r="K843" s="2141" t="s">
        <v>16156</v>
      </c>
      <c r="L843" s="2144">
        <v>255000</v>
      </c>
      <c r="M843" s="2141" t="s">
        <v>112</v>
      </c>
      <c r="N843" s="2140">
        <v>45237</v>
      </c>
      <c r="O843" s="2140">
        <v>45250</v>
      </c>
      <c r="P843" s="2140">
        <v>45258</v>
      </c>
      <c r="Q843" s="2143" t="s">
        <v>11975</v>
      </c>
      <c r="R843" s="2141"/>
      <c r="S843" s="2144">
        <v>224000</v>
      </c>
      <c r="T843" s="2144">
        <v>271040</v>
      </c>
      <c r="U843" s="2145"/>
      <c r="V843" s="2145"/>
      <c r="W843" s="2145"/>
      <c r="X843" s="2146">
        <v>45258</v>
      </c>
      <c r="Y843" s="2260" t="s">
        <v>16335</v>
      </c>
      <c r="Z843" s="2140">
        <v>45264</v>
      </c>
      <c r="AA843" s="2140">
        <v>45264</v>
      </c>
      <c r="AB843" s="2140">
        <v>45284</v>
      </c>
      <c r="AC843" s="796"/>
      <c r="AD843" s="796"/>
    </row>
    <row r="844" spans="1:31">
      <c r="A844" s="2140">
        <v>45233</v>
      </c>
      <c r="B844" s="2143" t="s">
        <v>16157</v>
      </c>
      <c r="C844" s="2141" t="s">
        <v>52</v>
      </c>
      <c r="D844" s="2141" t="s">
        <v>9302</v>
      </c>
      <c r="E844" s="2141" t="s">
        <v>13951</v>
      </c>
      <c r="F844" s="2142" t="s">
        <v>16158</v>
      </c>
      <c r="G844" s="2141"/>
      <c r="H844" s="2143"/>
      <c r="I844" s="2143" t="s">
        <v>15369</v>
      </c>
      <c r="J844" s="2141" t="s">
        <v>16159</v>
      </c>
      <c r="K844" s="2141"/>
      <c r="L844" s="2144">
        <v>4500000</v>
      </c>
      <c r="M844" s="2141" t="s">
        <v>112</v>
      </c>
      <c r="N844" s="2140">
        <v>45233</v>
      </c>
      <c r="O844" s="2140">
        <v>45244</v>
      </c>
      <c r="P844" s="2140">
        <v>45251</v>
      </c>
      <c r="Q844" s="2143" t="s">
        <v>16287</v>
      </c>
      <c r="R844" s="2141"/>
      <c r="S844" s="2144">
        <v>4297723.66</v>
      </c>
      <c r="T844" s="2144">
        <v>5200245.63</v>
      </c>
      <c r="U844" s="2145"/>
      <c r="V844" s="2145"/>
      <c r="W844" s="2145"/>
      <c r="X844" s="2146">
        <v>45251</v>
      </c>
      <c r="Y844" s="2144" t="s">
        <v>16289</v>
      </c>
      <c r="Z844" s="2140">
        <v>45258</v>
      </c>
      <c r="AA844" s="2140">
        <v>45258</v>
      </c>
      <c r="AB844" s="2141"/>
      <c r="AC844" s="796"/>
      <c r="AD844" s="796"/>
    </row>
    <row r="845" spans="1:31">
      <c r="A845" s="2141" t="s">
        <v>15554</v>
      </c>
      <c r="B845" s="2143" t="s">
        <v>16164</v>
      </c>
      <c r="C845" s="2141" t="s">
        <v>58</v>
      </c>
      <c r="D845" s="2141" t="s">
        <v>15443</v>
      </c>
      <c r="E845" s="2141" t="s">
        <v>13950</v>
      </c>
      <c r="F845" s="2142" t="s">
        <v>16165</v>
      </c>
      <c r="G845" s="2141"/>
      <c r="H845" s="2143"/>
      <c r="I845" s="2143" t="s">
        <v>15369</v>
      </c>
      <c r="J845" s="2141" t="s">
        <v>16166</v>
      </c>
      <c r="K845" s="2141"/>
      <c r="L845" s="2144">
        <v>7741980</v>
      </c>
      <c r="M845" s="2141" t="s">
        <v>251</v>
      </c>
      <c r="N845" s="2140">
        <v>45237</v>
      </c>
      <c r="O845" s="2140">
        <v>45271</v>
      </c>
      <c r="P845" s="2140">
        <v>45278</v>
      </c>
      <c r="Q845" s="2143" t="s">
        <v>2360</v>
      </c>
      <c r="R845" s="2141"/>
      <c r="S845" s="2144">
        <v>7741980</v>
      </c>
      <c r="T845" s="2144">
        <v>9367795.8000000007</v>
      </c>
      <c r="U845" s="2145"/>
      <c r="V845" s="2145"/>
      <c r="W845" s="2145"/>
      <c r="X845" s="2146">
        <v>45278</v>
      </c>
      <c r="Y845" s="2144" t="s">
        <v>16425</v>
      </c>
      <c r="Z845" s="2140">
        <v>45281</v>
      </c>
      <c r="AA845" s="2140">
        <v>45289</v>
      </c>
      <c r="AB845" s="2140">
        <v>46752</v>
      </c>
      <c r="AC845" s="796"/>
      <c r="AD845" s="796"/>
    </row>
    <row r="846" spans="1:31">
      <c r="A846" s="2140">
        <v>45233</v>
      </c>
      <c r="B846" s="2143" t="s">
        <v>16167</v>
      </c>
      <c r="C846" s="2141" t="s">
        <v>2434</v>
      </c>
      <c r="D846" s="2141" t="s">
        <v>219</v>
      </c>
      <c r="E846" s="2141" t="s">
        <v>655</v>
      </c>
      <c r="F846" s="2142" t="s">
        <v>16168</v>
      </c>
      <c r="G846" s="2141"/>
      <c r="H846" s="2143"/>
      <c r="I846" s="2143" t="s">
        <v>15369</v>
      </c>
      <c r="J846" s="2141" t="s">
        <v>642</v>
      </c>
      <c r="K846" s="2141"/>
      <c r="L846" s="2144">
        <v>518120</v>
      </c>
      <c r="M846" s="2141" t="s">
        <v>112</v>
      </c>
      <c r="N846" s="2140">
        <v>45239</v>
      </c>
      <c r="O846" s="2140">
        <v>45250</v>
      </c>
      <c r="P846" s="2140">
        <v>45265</v>
      </c>
      <c r="Q846" s="2143" t="s">
        <v>16039</v>
      </c>
      <c r="R846" s="2141"/>
      <c r="S846" s="2144">
        <v>589800</v>
      </c>
      <c r="T846" s="2144">
        <v>713658</v>
      </c>
      <c r="U846" s="2145"/>
      <c r="V846" s="2145"/>
      <c r="W846" s="2145"/>
      <c r="X846" s="2146">
        <v>45265</v>
      </c>
      <c r="Y846" s="2144" t="s">
        <v>16348</v>
      </c>
      <c r="Z846" s="2140">
        <v>45268</v>
      </c>
      <c r="AA846" s="2140">
        <v>45268</v>
      </c>
      <c r="AB846" s="2140">
        <v>46728</v>
      </c>
      <c r="AC846" s="796"/>
      <c r="AD846" s="796"/>
    </row>
    <row r="847" spans="1:31">
      <c r="A847" s="2125" t="s">
        <v>14469</v>
      </c>
      <c r="B847" s="2127" t="s">
        <v>16174</v>
      </c>
      <c r="C847" s="2125" t="s">
        <v>2434</v>
      </c>
      <c r="D847" s="2125" t="s">
        <v>57</v>
      </c>
      <c r="E847" s="2125" t="s">
        <v>15292</v>
      </c>
      <c r="F847" s="2126" t="s">
        <v>16175</v>
      </c>
      <c r="G847" s="2125"/>
      <c r="H847" s="2127"/>
      <c r="I847" s="2127" t="s">
        <v>520</v>
      </c>
      <c r="J847" s="2125" t="s">
        <v>2800</v>
      </c>
      <c r="K847" s="2125"/>
      <c r="L847" s="2128">
        <v>18492000</v>
      </c>
      <c r="M847" s="2125" t="s">
        <v>251</v>
      </c>
      <c r="N847" s="2124">
        <v>45259</v>
      </c>
      <c r="O847" s="2124">
        <v>45308</v>
      </c>
      <c r="P847" s="2125"/>
      <c r="Q847" s="2789" t="s">
        <v>16786</v>
      </c>
      <c r="R847" s="2125"/>
      <c r="S847" s="2128"/>
      <c r="T847" s="2128"/>
      <c r="U847" s="2129"/>
      <c r="V847" s="2129"/>
      <c r="W847" s="2129"/>
      <c r="X847" s="2128"/>
      <c r="Y847" s="2128"/>
      <c r="Z847" s="2125"/>
      <c r="AA847" s="2124">
        <v>45309</v>
      </c>
      <c r="AB847" s="2127" t="s">
        <v>16594</v>
      </c>
      <c r="AC847" s="796"/>
      <c r="AD847" s="796"/>
    </row>
    <row r="848" spans="1:31">
      <c r="A848" s="2140">
        <v>45236</v>
      </c>
      <c r="B848" s="2143" t="s">
        <v>16177</v>
      </c>
      <c r="C848" s="2141" t="s">
        <v>69</v>
      </c>
      <c r="D848" s="2141" t="s">
        <v>15131</v>
      </c>
      <c r="E848" s="2141" t="s">
        <v>13949</v>
      </c>
      <c r="F848" s="2142" t="s">
        <v>16179</v>
      </c>
      <c r="G848" s="2141"/>
      <c r="H848" s="2143"/>
      <c r="I848" s="2143" t="s">
        <v>15369</v>
      </c>
      <c r="J848" s="2141" t="s">
        <v>68</v>
      </c>
      <c r="K848" s="2141"/>
      <c r="L848" s="2144">
        <v>37910482</v>
      </c>
      <c r="M848" s="2141" t="s">
        <v>251</v>
      </c>
      <c r="N848" s="2140">
        <v>45240</v>
      </c>
      <c r="O848" s="2140">
        <v>45300</v>
      </c>
      <c r="P848" s="2140">
        <v>45323</v>
      </c>
      <c r="Q848" s="2143" t="s">
        <v>6969</v>
      </c>
      <c r="R848" s="2141"/>
      <c r="S848" s="2144">
        <v>37910481.899999999</v>
      </c>
      <c r="T848" s="2144">
        <v>42459739.729999997</v>
      </c>
      <c r="U848" s="2145"/>
      <c r="V848" s="2145"/>
      <c r="W848" s="2145"/>
      <c r="X848" s="2146">
        <v>45323</v>
      </c>
      <c r="Y848" s="2144" t="s">
        <v>16711</v>
      </c>
      <c r="Z848" s="2140">
        <v>45330</v>
      </c>
      <c r="AA848" s="2140">
        <v>45334</v>
      </c>
      <c r="AB848" s="2140">
        <v>46498</v>
      </c>
      <c r="AC848" s="796"/>
      <c r="AD848" s="796"/>
      <c r="AE848" s="360" t="s">
        <v>16765</v>
      </c>
    </row>
    <row r="849" spans="1:28">
      <c r="A849" s="2140">
        <v>45236</v>
      </c>
      <c r="B849" s="2143" t="s">
        <v>16178</v>
      </c>
      <c r="C849" s="2141" t="s">
        <v>69</v>
      </c>
      <c r="D849" s="2141" t="s">
        <v>15131</v>
      </c>
      <c r="E849" s="2141" t="s">
        <v>15813</v>
      </c>
      <c r="F849" s="2142" t="s">
        <v>16180</v>
      </c>
      <c r="G849" s="2141"/>
      <c r="H849" s="2143"/>
      <c r="I849" s="2143" t="s">
        <v>15369</v>
      </c>
      <c r="J849" s="2141" t="s">
        <v>68</v>
      </c>
      <c r="K849" s="2141"/>
      <c r="L849" s="2144">
        <v>103854442</v>
      </c>
      <c r="M849" s="2141" t="s">
        <v>251</v>
      </c>
      <c r="N849" s="2140">
        <v>45239</v>
      </c>
      <c r="O849" s="2140">
        <v>45289</v>
      </c>
      <c r="P849" s="2140">
        <v>45301</v>
      </c>
      <c r="Q849" s="2143" t="s">
        <v>1319</v>
      </c>
      <c r="R849" s="2141"/>
      <c r="S849" s="2144">
        <v>103854441.59999999</v>
      </c>
      <c r="T849" s="2144">
        <v>116316974.59</v>
      </c>
      <c r="U849" s="2145"/>
      <c r="V849" s="2145"/>
      <c r="W849" s="2145"/>
      <c r="X849" s="2146">
        <v>45302</v>
      </c>
      <c r="Y849" s="2144" t="s">
        <v>16552</v>
      </c>
      <c r="Z849" s="2140">
        <v>45316</v>
      </c>
      <c r="AA849" s="2140">
        <v>45317</v>
      </c>
      <c r="AB849" s="2140">
        <v>46411</v>
      </c>
    </row>
    <row r="850" spans="1:28">
      <c r="A850" s="2124">
        <v>45237</v>
      </c>
      <c r="B850" s="2127" t="s">
        <v>16181</v>
      </c>
      <c r="C850" s="2125" t="s">
        <v>1032</v>
      </c>
      <c r="D850" s="2125" t="s">
        <v>4864</v>
      </c>
      <c r="E850" s="2125" t="s">
        <v>655</v>
      </c>
      <c r="F850" s="2126" t="s">
        <v>16279</v>
      </c>
      <c r="G850" s="2125"/>
      <c r="H850" s="2127"/>
      <c r="I850" s="2127" t="s">
        <v>242</v>
      </c>
      <c r="J850" s="2125" t="s">
        <v>90</v>
      </c>
      <c r="K850" s="2125"/>
      <c r="L850" s="2128">
        <v>3800000</v>
      </c>
      <c r="M850" s="2125" t="s">
        <v>112</v>
      </c>
      <c r="N850" s="2124">
        <v>45246</v>
      </c>
      <c r="O850" s="2124">
        <v>45257</v>
      </c>
      <c r="P850" s="2125"/>
      <c r="Q850" s="2136" t="s">
        <v>520</v>
      </c>
      <c r="R850" s="2125"/>
      <c r="S850" s="2128"/>
      <c r="T850" s="2128"/>
      <c r="U850" s="2129"/>
      <c r="V850" s="2129"/>
      <c r="W850" s="2129"/>
      <c r="X850" s="2128"/>
      <c r="Y850" s="2128"/>
      <c r="Z850" s="2125"/>
      <c r="AA850" s="2124">
        <v>45258</v>
      </c>
      <c r="AB850" s="2125"/>
    </row>
    <row r="851" spans="1:28" ht="45">
      <c r="A851" s="2140">
        <v>45237</v>
      </c>
      <c r="B851" s="2143" t="s">
        <v>16182</v>
      </c>
      <c r="C851" s="2141" t="s">
        <v>58</v>
      </c>
      <c r="D851" s="2141" t="s">
        <v>15443</v>
      </c>
      <c r="E851" s="2141" t="s">
        <v>655</v>
      </c>
      <c r="F851" s="2142" t="s">
        <v>16183</v>
      </c>
      <c r="G851" s="2141"/>
      <c r="H851" s="2143"/>
      <c r="I851" s="2143" t="s">
        <v>15369</v>
      </c>
      <c r="J851" s="2141" t="s">
        <v>1676</v>
      </c>
      <c r="K851" s="2141"/>
      <c r="L851" s="2144">
        <v>1660000</v>
      </c>
      <c r="M851" s="2141" t="s">
        <v>112</v>
      </c>
      <c r="N851" s="2140">
        <v>45240</v>
      </c>
      <c r="O851" s="2140">
        <v>45251</v>
      </c>
      <c r="P851" s="2140">
        <v>45275</v>
      </c>
      <c r="Q851" s="2143" t="s">
        <v>16371</v>
      </c>
      <c r="R851" s="2141"/>
      <c r="S851" s="2144">
        <v>1304920</v>
      </c>
      <c r="T851" s="2144">
        <v>1578953.2</v>
      </c>
      <c r="U851" s="2145"/>
      <c r="V851" s="2145"/>
      <c r="W851" s="2145"/>
      <c r="X851" s="2146">
        <v>45275</v>
      </c>
      <c r="Y851" s="2260" t="s">
        <v>16412</v>
      </c>
      <c r="Z851" s="2140">
        <v>45288</v>
      </c>
      <c r="AA851" s="2140">
        <v>45293</v>
      </c>
      <c r="AB851" s="2140">
        <v>45319</v>
      </c>
    </row>
    <row r="852" spans="1:28">
      <c r="A852" s="2140">
        <v>45238</v>
      </c>
      <c r="B852" s="2143" t="s">
        <v>16187</v>
      </c>
      <c r="C852" s="2141" t="s">
        <v>1032</v>
      </c>
      <c r="D852" s="2141" t="s">
        <v>361</v>
      </c>
      <c r="E852" s="2141" t="s">
        <v>13950</v>
      </c>
      <c r="F852" s="2142" t="s">
        <v>16188</v>
      </c>
      <c r="G852" s="2141"/>
      <c r="H852" s="2143"/>
      <c r="I852" s="2664" t="s">
        <v>15369</v>
      </c>
      <c r="J852" s="2141" t="s">
        <v>16189</v>
      </c>
      <c r="K852" s="2141"/>
      <c r="L852" s="2144">
        <v>1900000</v>
      </c>
      <c r="M852" s="2141" t="s">
        <v>251</v>
      </c>
      <c r="N852" s="2140">
        <v>45246</v>
      </c>
      <c r="O852" s="2140">
        <v>45280</v>
      </c>
      <c r="P852" s="2140">
        <v>45302</v>
      </c>
      <c r="Q852" s="2143" t="s">
        <v>288</v>
      </c>
      <c r="R852" s="2141"/>
      <c r="S852" s="2144">
        <v>1796500</v>
      </c>
      <c r="T852" s="2144">
        <v>2173765</v>
      </c>
      <c r="U852" s="2145"/>
      <c r="V852" s="2145"/>
      <c r="W852" s="2145"/>
      <c r="X852" s="2146">
        <v>45302</v>
      </c>
      <c r="Y852" s="2144" t="s">
        <v>16560</v>
      </c>
      <c r="Z852" s="2140">
        <v>45321</v>
      </c>
      <c r="AA852" s="2140">
        <v>45330</v>
      </c>
      <c r="AB852" s="2140">
        <v>45352</v>
      </c>
    </row>
    <row r="853" spans="1:28">
      <c r="A853" s="2140">
        <v>45238</v>
      </c>
      <c r="B853" s="2143" t="s">
        <v>16190</v>
      </c>
      <c r="C853" s="2141" t="s">
        <v>1032</v>
      </c>
      <c r="D853" s="2141" t="s">
        <v>361</v>
      </c>
      <c r="E853" s="2141" t="s">
        <v>13951</v>
      </c>
      <c r="F853" s="2142" t="s">
        <v>16192</v>
      </c>
      <c r="G853" s="2141"/>
      <c r="H853" s="2143"/>
      <c r="I853" s="2143" t="s">
        <v>15369</v>
      </c>
      <c r="J853" s="2141" t="s">
        <v>1676</v>
      </c>
      <c r="K853" s="2141"/>
      <c r="L853" s="2144">
        <v>5900000</v>
      </c>
      <c r="M853" s="2141" t="s">
        <v>112</v>
      </c>
      <c r="N853" s="2140">
        <v>45240</v>
      </c>
      <c r="O853" s="2140">
        <v>45251</v>
      </c>
      <c r="P853" s="2140">
        <v>45266</v>
      </c>
      <c r="Q853" s="2143" t="s">
        <v>12041</v>
      </c>
      <c r="R853" s="2141"/>
      <c r="S853" s="2144">
        <v>4008883.57</v>
      </c>
      <c r="T853" s="2144">
        <v>4850749.12</v>
      </c>
      <c r="U853" s="2145"/>
      <c r="V853" s="2145"/>
      <c r="W853" s="2145"/>
      <c r="X853" s="2146">
        <v>45266</v>
      </c>
      <c r="Y853" s="2144" t="s">
        <v>16366</v>
      </c>
      <c r="Z853" s="2140">
        <v>45268</v>
      </c>
      <c r="AA853" s="2140">
        <v>45271</v>
      </c>
      <c r="AB853" s="2140"/>
    </row>
    <row r="854" spans="1:28">
      <c r="A854" s="2140">
        <v>45237</v>
      </c>
      <c r="B854" s="2143" t="s">
        <v>16191</v>
      </c>
      <c r="C854" s="2141" t="s">
        <v>3678</v>
      </c>
      <c r="D854" s="2141" t="s">
        <v>918</v>
      </c>
      <c r="E854" s="2141" t="s">
        <v>13951</v>
      </c>
      <c r="F854" s="2142" t="s">
        <v>16193</v>
      </c>
      <c r="G854" s="2141"/>
      <c r="H854" s="2143"/>
      <c r="I854" s="2143" t="s">
        <v>15369</v>
      </c>
      <c r="J854" s="2141" t="s">
        <v>1518</v>
      </c>
      <c r="K854" s="2141"/>
      <c r="L854" s="2144">
        <v>450000</v>
      </c>
      <c r="M854" s="2141" t="s">
        <v>112</v>
      </c>
      <c r="N854" s="2140">
        <v>45240</v>
      </c>
      <c r="O854" s="2140">
        <v>45257</v>
      </c>
      <c r="P854" s="2140">
        <v>45260</v>
      </c>
      <c r="Q854" s="2143" t="s">
        <v>8542</v>
      </c>
      <c r="R854" s="2141"/>
      <c r="S854" s="2144">
        <v>349596</v>
      </c>
      <c r="T854" s="2144">
        <v>423011.16</v>
      </c>
      <c r="U854" s="2145"/>
      <c r="V854" s="2145"/>
      <c r="W854" s="2145"/>
      <c r="X854" s="2146">
        <v>45260</v>
      </c>
      <c r="Y854" s="2144" t="s">
        <v>16341</v>
      </c>
      <c r="Z854" s="2140">
        <v>45268</v>
      </c>
      <c r="AA854" s="2140">
        <v>45271</v>
      </c>
      <c r="AB854" s="2140">
        <v>46363</v>
      </c>
    </row>
    <row r="855" spans="1:28">
      <c r="A855" s="2140">
        <v>45236</v>
      </c>
      <c r="B855" s="2143" t="s">
        <v>16194</v>
      </c>
      <c r="C855" s="2141" t="s">
        <v>1844</v>
      </c>
      <c r="D855" s="2141" t="s">
        <v>1845</v>
      </c>
      <c r="E855" s="2141" t="s">
        <v>13951</v>
      </c>
      <c r="F855" s="2142" t="s">
        <v>16195</v>
      </c>
      <c r="G855" s="2141"/>
      <c r="H855" s="2143"/>
      <c r="I855" s="2143" t="s">
        <v>15369</v>
      </c>
      <c r="J855" s="2141" t="s">
        <v>16196</v>
      </c>
      <c r="K855" s="2141"/>
      <c r="L855" s="2144">
        <v>900000</v>
      </c>
      <c r="M855" s="2141" t="s">
        <v>112</v>
      </c>
      <c r="N855" s="2140">
        <v>45246</v>
      </c>
      <c r="O855" s="2140">
        <v>45257</v>
      </c>
      <c r="P855" s="2140">
        <v>45265</v>
      </c>
      <c r="Q855" s="2143" t="s">
        <v>16349</v>
      </c>
      <c r="R855" s="2141"/>
      <c r="S855" s="2144" t="s">
        <v>2404</v>
      </c>
      <c r="T855" s="2144" t="s">
        <v>2404</v>
      </c>
      <c r="U855" s="2145"/>
      <c r="V855" s="2145"/>
      <c r="W855" s="2145"/>
      <c r="X855" s="2146">
        <v>45265</v>
      </c>
      <c r="Y855" s="2144" t="s">
        <v>16360</v>
      </c>
      <c r="Z855" s="2140">
        <v>45279</v>
      </c>
      <c r="AA855" s="2140">
        <v>45280</v>
      </c>
      <c r="AB855" s="2140">
        <v>46022</v>
      </c>
    </row>
    <row r="856" spans="1:28">
      <c r="A856" s="2140">
        <v>45237</v>
      </c>
      <c r="B856" s="2143" t="s">
        <v>16197</v>
      </c>
      <c r="C856" s="2141" t="s">
        <v>58</v>
      </c>
      <c r="D856" s="2141" t="s">
        <v>15443</v>
      </c>
      <c r="E856" s="2141" t="s">
        <v>655</v>
      </c>
      <c r="F856" s="2142" t="s">
        <v>16198</v>
      </c>
      <c r="G856" s="2141"/>
      <c r="H856" s="2143"/>
      <c r="I856" s="2143" t="s">
        <v>15369</v>
      </c>
      <c r="J856" s="2141" t="s">
        <v>1159</v>
      </c>
      <c r="K856" s="2141" t="s">
        <v>16199</v>
      </c>
      <c r="L856" s="2144">
        <v>123967</v>
      </c>
      <c r="M856" s="2141" t="s">
        <v>112</v>
      </c>
      <c r="N856" s="2140">
        <v>45240</v>
      </c>
      <c r="O856" s="2140">
        <v>45251</v>
      </c>
      <c r="P856" s="2140">
        <v>45281</v>
      </c>
      <c r="Q856" s="2143" t="s">
        <v>4323</v>
      </c>
      <c r="R856" s="2141"/>
      <c r="S856" s="2144">
        <v>123232</v>
      </c>
      <c r="T856" s="2144">
        <v>149110.72</v>
      </c>
      <c r="U856" s="2145"/>
      <c r="V856" s="2145"/>
      <c r="W856" s="2145"/>
      <c r="X856" s="2146">
        <v>45281</v>
      </c>
      <c r="Y856" s="2144" t="s">
        <v>16469</v>
      </c>
      <c r="Z856" s="2140">
        <v>45303</v>
      </c>
      <c r="AA856" s="2140">
        <v>45307</v>
      </c>
      <c r="AB856" s="2140">
        <v>45363</v>
      </c>
    </row>
    <row r="857" spans="1:28">
      <c r="A857" s="2140">
        <v>45237</v>
      </c>
      <c r="B857" s="2143" t="s">
        <v>16200</v>
      </c>
      <c r="C857" s="2141" t="s">
        <v>52</v>
      </c>
      <c r="D857" s="2141" t="s">
        <v>7503</v>
      </c>
      <c r="E857" s="2141" t="s">
        <v>655</v>
      </c>
      <c r="F857" s="2142" t="s">
        <v>16201</v>
      </c>
      <c r="G857" s="2141"/>
      <c r="H857" s="2143"/>
      <c r="I857" s="2143" t="s">
        <v>15369</v>
      </c>
      <c r="J857" s="2141" t="s">
        <v>16202</v>
      </c>
      <c r="K857" s="2141" t="s">
        <v>14101</v>
      </c>
      <c r="L857" s="2144">
        <v>5500000</v>
      </c>
      <c r="M857" s="2141" t="s">
        <v>112</v>
      </c>
      <c r="N857" s="2140">
        <v>45240</v>
      </c>
      <c r="O857" s="2140">
        <v>45251</v>
      </c>
      <c r="P857" s="2140">
        <v>45261</v>
      </c>
      <c r="Q857" s="2143" t="s">
        <v>12041</v>
      </c>
      <c r="R857" s="2141"/>
      <c r="S857" s="2144">
        <v>4500798.53</v>
      </c>
      <c r="T857" s="2144">
        <v>5445966.2199999997</v>
      </c>
      <c r="U857" s="2145"/>
      <c r="V857" s="2145"/>
      <c r="W857" s="2145"/>
      <c r="X857" s="2146">
        <v>45261</v>
      </c>
      <c r="Y857" s="2144" t="s">
        <v>16346</v>
      </c>
      <c r="Z857" s="2140">
        <v>45273</v>
      </c>
      <c r="AA857" s="2140">
        <v>45273</v>
      </c>
      <c r="AB857" s="2141"/>
    </row>
    <row r="858" spans="1:28">
      <c r="A858" s="2140">
        <v>45238</v>
      </c>
      <c r="B858" s="2143" t="s">
        <v>16203</v>
      </c>
      <c r="C858" s="2141" t="s">
        <v>2434</v>
      </c>
      <c r="D858" s="2141" t="s">
        <v>219</v>
      </c>
      <c r="E858" s="2141" t="s">
        <v>15813</v>
      </c>
      <c r="F858" s="2142" t="s">
        <v>16204</v>
      </c>
      <c r="G858" s="2141"/>
      <c r="H858" s="2143"/>
      <c r="I858" s="2143" t="s">
        <v>15369</v>
      </c>
      <c r="J858" s="2141" t="s">
        <v>12927</v>
      </c>
      <c r="K858" s="2141"/>
      <c r="L858" s="2144">
        <v>4664280</v>
      </c>
      <c r="M858" s="2141" t="s">
        <v>251</v>
      </c>
      <c r="N858" s="2140">
        <v>45245</v>
      </c>
      <c r="O858" s="2140">
        <v>45300</v>
      </c>
      <c r="P858" s="2140">
        <v>45317</v>
      </c>
      <c r="Q858" s="2143" t="s">
        <v>993</v>
      </c>
      <c r="R858" s="2141"/>
      <c r="S858" s="2144">
        <v>4664280</v>
      </c>
      <c r="T858" s="2144">
        <v>5223993.5999999996</v>
      </c>
      <c r="U858" s="2145"/>
      <c r="V858" s="2145"/>
      <c r="W858" s="2145"/>
      <c r="X858" s="2146">
        <v>45317</v>
      </c>
      <c r="Y858" s="2144" t="s">
        <v>16669</v>
      </c>
      <c r="Z858" s="2140">
        <v>45338</v>
      </c>
      <c r="AA858" s="2140">
        <v>45342</v>
      </c>
      <c r="AB858" s="2140">
        <v>46798</v>
      </c>
    </row>
    <row r="859" spans="1:28" ht="15.75" thickBot="1">
      <c r="A859" s="643">
        <v>45240</v>
      </c>
      <c r="B859" s="1533" t="s">
        <v>16219</v>
      </c>
      <c r="C859" s="639" t="s">
        <v>69</v>
      </c>
      <c r="D859" s="639" t="s">
        <v>15129</v>
      </c>
      <c r="E859" s="639" t="s">
        <v>13949</v>
      </c>
      <c r="F859" s="640" t="s">
        <v>16220</v>
      </c>
      <c r="G859" s="639"/>
      <c r="H859" s="1533"/>
      <c r="I859" s="1533" t="s">
        <v>242</v>
      </c>
      <c r="J859" s="639" t="s">
        <v>2418</v>
      </c>
      <c r="K859" s="639"/>
      <c r="L859" s="645">
        <v>20084976</v>
      </c>
      <c r="M859" s="639" t="s">
        <v>251</v>
      </c>
      <c r="N859" s="643">
        <v>45252</v>
      </c>
      <c r="O859" s="643">
        <v>45315</v>
      </c>
      <c r="P859" s="643">
        <v>45350</v>
      </c>
      <c r="Q859" s="644" t="s">
        <v>4964</v>
      </c>
      <c r="R859" s="2929" t="s">
        <v>17225</v>
      </c>
      <c r="S859" s="645">
        <v>12937500</v>
      </c>
      <c r="T859" s="645">
        <v>14490000</v>
      </c>
      <c r="U859" s="1534"/>
      <c r="V859" s="1534"/>
      <c r="W859" s="1534"/>
      <c r="X859" s="2890">
        <v>45350</v>
      </c>
      <c r="Y859" s="645" t="s">
        <v>16900</v>
      </c>
      <c r="Z859" s="639"/>
      <c r="AA859" s="643">
        <v>45455</v>
      </c>
      <c r="AB859" s="639" t="s">
        <v>17541</v>
      </c>
    </row>
    <row r="860" spans="1:28" ht="15.75" thickTop="1">
      <c r="A860" s="443">
        <v>45240</v>
      </c>
      <c r="B860" s="1431" t="s">
        <v>16221</v>
      </c>
      <c r="C860" s="439" t="s">
        <v>69</v>
      </c>
      <c r="D860" s="439" t="s">
        <v>15129</v>
      </c>
      <c r="E860" s="439" t="s">
        <v>13949</v>
      </c>
      <c r="F860" s="440" t="s">
        <v>16224</v>
      </c>
      <c r="G860" s="439">
        <v>1</v>
      </c>
      <c r="H860" s="1431" t="s">
        <v>16227</v>
      </c>
      <c r="I860" s="1431" t="s">
        <v>242</v>
      </c>
      <c r="J860" s="439" t="s">
        <v>16226</v>
      </c>
      <c r="K860" s="439"/>
      <c r="L860" s="444">
        <v>8541983</v>
      </c>
      <c r="M860" s="439" t="s">
        <v>251</v>
      </c>
      <c r="N860" s="443">
        <v>45252</v>
      </c>
      <c r="O860" s="443">
        <v>45343</v>
      </c>
      <c r="P860" s="439"/>
      <c r="Q860" s="753" t="s">
        <v>304</v>
      </c>
      <c r="R860" s="439"/>
      <c r="S860" s="444"/>
      <c r="T860" s="444"/>
      <c r="U860" s="1481"/>
      <c r="V860" s="1481"/>
      <c r="W860" s="1481"/>
      <c r="X860" s="444"/>
      <c r="Y860" s="444"/>
      <c r="Z860" s="439"/>
      <c r="AA860" s="443">
        <v>45401</v>
      </c>
      <c r="AB860" s="439" t="s">
        <v>17151</v>
      </c>
    </row>
    <row r="861" spans="1:28">
      <c r="A861" s="2140">
        <v>45240</v>
      </c>
      <c r="B861" s="2143" t="s">
        <v>16222</v>
      </c>
      <c r="C861" s="2141" t="s">
        <v>69</v>
      </c>
      <c r="D861" s="2141" t="s">
        <v>15129</v>
      </c>
      <c r="E861" s="2141" t="s">
        <v>13949</v>
      </c>
      <c r="F861" s="2142" t="s">
        <v>16224</v>
      </c>
      <c r="G861" s="2141">
        <v>2</v>
      </c>
      <c r="H861" s="2143" t="s">
        <v>16228</v>
      </c>
      <c r="I861" s="2143" t="s">
        <v>15369</v>
      </c>
      <c r="J861" s="2141" t="s">
        <v>16226</v>
      </c>
      <c r="K861" s="2141"/>
      <c r="L861" s="2144">
        <v>25230296</v>
      </c>
      <c r="M861" s="2141" t="s">
        <v>251</v>
      </c>
      <c r="N861" s="2140">
        <v>45252</v>
      </c>
      <c r="O861" s="2140">
        <v>45343</v>
      </c>
      <c r="P861" s="2140">
        <v>45398</v>
      </c>
      <c r="Q861" s="2143" t="s">
        <v>1646</v>
      </c>
      <c r="R861" s="2141"/>
      <c r="S861" s="2144">
        <v>23827899.27</v>
      </c>
      <c r="T861" s="2144">
        <v>26687247.18</v>
      </c>
      <c r="U861" s="2145"/>
      <c r="V861" s="2145"/>
      <c r="W861" s="2145"/>
      <c r="X861" s="2146">
        <v>45398</v>
      </c>
      <c r="Y861" s="2144" t="s">
        <v>17268</v>
      </c>
      <c r="Z861" s="2140">
        <v>45440</v>
      </c>
      <c r="AA861" s="2140">
        <v>45441</v>
      </c>
      <c r="AB861" s="2140">
        <v>46534</v>
      </c>
    </row>
    <row r="862" spans="1:28" ht="15.75" thickBot="1">
      <c r="A862" s="2130">
        <v>45240</v>
      </c>
      <c r="B862" s="2133" t="s">
        <v>16223</v>
      </c>
      <c r="C862" s="2131" t="s">
        <v>69</v>
      </c>
      <c r="D862" s="2131" t="s">
        <v>15129</v>
      </c>
      <c r="E862" s="2131" t="s">
        <v>13949</v>
      </c>
      <c r="F862" s="2132" t="s">
        <v>16224</v>
      </c>
      <c r="G862" s="2131">
        <v>3</v>
      </c>
      <c r="H862" s="2133" t="s">
        <v>16225</v>
      </c>
      <c r="I862" s="2133" t="s">
        <v>242</v>
      </c>
      <c r="J862" s="2131" t="s">
        <v>16226</v>
      </c>
      <c r="K862" s="2131"/>
      <c r="L862" s="2134">
        <v>78171</v>
      </c>
      <c r="M862" s="2131" t="s">
        <v>251</v>
      </c>
      <c r="N862" s="2130">
        <v>45252</v>
      </c>
      <c r="O862" s="2130">
        <v>45343</v>
      </c>
      <c r="P862" s="2131"/>
      <c r="Q862" s="2137" t="s">
        <v>304</v>
      </c>
      <c r="R862" s="2131"/>
      <c r="S862" s="2134"/>
      <c r="T862" s="2134"/>
      <c r="U862" s="2135"/>
      <c r="V862" s="2135"/>
      <c r="W862" s="2135"/>
      <c r="X862" s="2134"/>
      <c r="Y862" s="2134"/>
      <c r="Z862" s="2131"/>
      <c r="AA862" s="2130">
        <v>45401</v>
      </c>
      <c r="AB862" s="2131" t="s">
        <v>17151</v>
      </c>
    </row>
    <row r="863" spans="1:28" ht="15.75" thickTop="1">
      <c r="A863" s="474">
        <v>45240</v>
      </c>
      <c r="B863" s="1420" t="s">
        <v>16230</v>
      </c>
      <c r="C863" s="453" t="s">
        <v>69</v>
      </c>
      <c r="D863" s="453" t="s">
        <v>15129</v>
      </c>
      <c r="E863" s="453" t="s">
        <v>15813</v>
      </c>
      <c r="F863" s="473" t="s">
        <v>16233</v>
      </c>
      <c r="G863" s="453">
        <v>1</v>
      </c>
      <c r="H863" s="1420" t="s">
        <v>16236</v>
      </c>
      <c r="I863" s="1420" t="s">
        <v>15369</v>
      </c>
      <c r="J863" s="2269" t="s">
        <v>16226</v>
      </c>
      <c r="K863" s="453"/>
      <c r="L863" s="457">
        <v>4783429</v>
      </c>
      <c r="M863" s="453" t="s">
        <v>251</v>
      </c>
      <c r="N863" s="474">
        <v>45245</v>
      </c>
      <c r="O863" s="474">
        <v>45315</v>
      </c>
      <c r="P863" s="474">
        <v>45334</v>
      </c>
      <c r="Q863" s="1420" t="s">
        <v>5774</v>
      </c>
      <c r="R863" s="453"/>
      <c r="S863" s="457">
        <v>4121429.04</v>
      </c>
      <c r="T863" s="457">
        <v>4616001.53</v>
      </c>
      <c r="U863" s="1474"/>
      <c r="V863" s="1474"/>
      <c r="W863" s="1474"/>
      <c r="X863" s="570">
        <v>45334</v>
      </c>
      <c r="Y863" s="457" t="s">
        <v>16771</v>
      </c>
      <c r="Z863" s="474">
        <v>45366</v>
      </c>
      <c r="AA863" s="474">
        <v>45379</v>
      </c>
      <c r="AB863" s="474">
        <v>46460</v>
      </c>
    </row>
    <row r="864" spans="1:28">
      <c r="A864" s="2124">
        <v>45240</v>
      </c>
      <c r="B864" s="2127" t="s">
        <v>16231</v>
      </c>
      <c r="C864" s="2125" t="s">
        <v>69</v>
      </c>
      <c r="D864" s="2125" t="s">
        <v>15129</v>
      </c>
      <c r="E864" s="2125" t="s">
        <v>15813</v>
      </c>
      <c r="F864" s="2126" t="s">
        <v>16233</v>
      </c>
      <c r="G864" s="2125">
        <v>2</v>
      </c>
      <c r="H864" s="2127" t="s">
        <v>16235</v>
      </c>
      <c r="I864" s="2127" t="s">
        <v>242</v>
      </c>
      <c r="J864" s="2391" t="s">
        <v>16226</v>
      </c>
      <c r="K864" s="2125"/>
      <c r="L864" s="2128">
        <v>463470</v>
      </c>
      <c r="M864" s="2125" t="s">
        <v>251</v>
      </c>
      <c r="N864" s="2124">
        <v>45245</v>
      </c>
      <c r="O864" s="2124">
        <v>45315</v>
      </c>
      <c r="P864" s="2124">
        <v>45334</v>
      </c>
      <c r="Q864" s="2136" t="s">
        <v>16907</v>
      </c>
      <c r="R864" s="2125"/>
      <c r="S864" s="2128">
        <v>396659.52</v>
      </c>
      <c r="T864" s="2128">
        <v>444258.66</v>
      </c>
      <c r="U864" s="2129"/>
      <c r="V864" s="2129"/>
      <c r="W864" s="2129"/>
      <c r="X864" s="2281">
        <v>45334</v>
      </c>
      <c r="Y864" s="2128" t="s">
        <v>16772</v>
      </c>
      <c r="Z864" s="2125"/>
      <c r="AA864" s="2124">
        <v>45379</v>
      </c>
      <c r="AB864" s="2127" t="s">
        <v>17110</v>
      </c>
    </row>
    <row r="865" spans="1:31" ht="15.75" thickBot="1">
      <c r="A865" s="2117">
        <v>45240</v>
      </c>
      <c r="B865" s="2120" t="s">
        <v>16232</v>
      </c>
      <c r="C865" s="2118" t="s">
        <v>69</v>
      </c>
      <c r="D865" s="2118" t="s">
        <v>15129</v>
      </c>
      <c r="E865" s="2118" t="s">
        <v>15813</v>
      </c>
      <c r="F865" s="2119" t="s">
        <v>16233</v>
      </c>
      <c r="G865" s="2118">
        <v>3</v>
      </c>
      <c r="H865" s="2120" t="s">
        <v>16234</v>
      </c>
      <c r="I865" s="2120" t="s">
        <v>15369</v>
      </c>
      <c r="J865" s="2266" t="s">
        <v>16226</v>
      </c>
      <c r="K865" s="2118"/>
      <c r="L865" s="2121">
        <v>4620118</v>
      </c>
      <c r="M865" s="2118" t="s">
        <v>251</v>
      </c>
      <c r="N865" s="2117">
        <v>45245</v>
      </c>
      <c r="O865" s="2117">
        <v>45315</v>
      </c>
      <c r="P865" s="2117">
        <v>45334</v>
      </c>
      <c r="Q865" s="2120" t="s">
        <v>5774</v>
      </c>
      <c r="R865" s="2118"/>
      <c r="S865" s="2121">
        <v>3768861.99</v>
      </c>
      <c r="T865" s="2121">
        <v>4221125.43</v>
      </c>
      <c r="U865" s="2122"/>
      <c r="V865" s="2122"/>
      <c r="W865" s="2122"/>
      <c r="X865" s="2123">
        <v>45334</v>
      </c>
      <c r="Y865" s="2121" t="s">
        <v>16773</v>
      </c>
      <c r="Z865" s="2117">
        <v>45366</v>
      </c>
      <c r="AA865" s="2117">
        <v>45379</v>
      </c>
      <c r="AB865" s="2117">
        <v>46460</v>
      </c>
      <c r="AC865" s="796"/>
      <c r="AD865" s="796"/>
    </row>
    <row r="866" spans="1:31" ht="30.75" thickTop="1">
      <c r="A866" s="3191" t="s">
        <v>15511</v>
      </c>
      <c r="B866" s="3192" t="s">
        <v>16238</v>
      </c>
      <c r="C866" s="3191" t="s">
        <v>58</v>
      </c>
      <c r="D866" s="3191" t="s">
        <v>15443</v>
      </c>
      <c r="E866" s="3191" t="s">
        <v>13948</v>
      </c>
      <c r="F866" s="175" t="s">
        <v>16239</v>
      </c>
      <c r="G866" s="3191"/>
      <c r="H866" s="3192"/>
      <c r="I866" s="3192" t="s">
        <v>15369</v>
      </c>
      <c r="J866" s="3191" t="s">
        <v>292</v>
      </c>
      <c r="K866" s="3191" t="s">
        <v>16064</v>
      </c>
      <c r="L866" s="364">
        <v>368000</v>
      </c>
      <c r="M866" s="3191" t="s">
        <v>251</v>
      </c>
      <c r="N866" s="365">
        <v>45258</v>
      </c>
      <c r="O866" s="365">
        <v>45313</v>
      </c>
      <c r="P866" s="365">
        <v>45343</v>
      </c>
      <c r="Q866" s="3192" t="s">
        <v>16789</v>
      </c>
      <c r="R866" s="3191"/>
      <c r="S866" s="364">
        <v>362797.5</v>
      </c>
      <c r="T866" s="364">
        <v>438984.98</v>
      </c>
      <c r="U866" s="1473"/>
      <c r="V866" s="1473"/>
      <c r="W866" s="1473"/>
      <c r="X866" s="681">
        <v>45343</v>
      </c>
      <c r="Y866" s="1417" t="s">
        <v>16837</v>
      </c>
      <c r="Z866" s="365">
        <v>45364</v>
      </c>
      <c r="AA866" s="365">
        <v>45373</v>
      </c>
      <c r="AB866" s="365">
        <v>45385</v>
      </c>
      <c r="AC866" s="796"/>
      <c r="AD866" s="796"/>
    </row>
    <row r="867" spans="1:31" ht="15.75" thickBot="1">
      <c r="A867" s="416">
        <v>45243</v>
      </c>
      <c r="B867" s="630" t="s">
        <v>16241</v>
      </c>
      <c r="C867" s="411" t="s">
        <v>1754</v>
      </c>
      <c r="D867" s="411" t="s">
        <v>13</v>
      </c>
      <c r="E867" s="411" t="s">
        <v>655</v>
      </c>
      <c r="F867" s="412" t="s">
        <v>16242</v>
      </c>
      <c r="G867" s="411"/>
      <c r="H867" s="630"/>
      <c r="I867" s="630" t="s">
        <v>15369</v>
      </c>
      <c r="J867" s="411" t="s">
        <v>959</v>
      </c>
      <c r="K867" s="411"/>
      <c r="L867" s="417">
        <v>755000</v>
      </c>
      <c r="M867" s="411" t="s">
        <v>112</v>
      </c>
      <c r="N867" s="416">
        <v>45250</v>
      </c>
      <c r="O867" s="416">
        <v>45287</v>
      </c>
      <c r="P867" s="416">
        <v>45296</v>
      </c>
      <c r="Q867" s="630" t="s">
        <v>16504</v>
      </c>
      <c r="R867" s="411"/>
      <c r="S867" s="417">
        <v>517900</v>
      </c>
      <c r="T867" s="417">
        <v>626659</v>
      </c>
      <c r="U867" s="1480"/>
      <c r="V867" s="1480"/>
      <c r="W867" s="1480"/>
      <c r="X867" s="513">
        <v>45296</v>
      </c>
      <c r="Y867" s="417" t="s">
        <v>16518</v>
      </c>
      <c r="Z867" s="416">
        <v>45303</v>
      </c>
      <c r="AA867" s="416">
        <v>45307</v>
      </c>
      <c r="AB867" s="416">
        <v>45668</v>
      </c>
      <c r="AC867" s="796"/>
      <c r="AD867" s="796"/>
    </row>
    <row r="868" spans="1:31" ht="30.75" thickTop="1">
      <c r="A868" s="474">
        <v>45244</v>
      </c>
      <c r="B868" s="1420" t="s">
        <v>16251</v>
      </c>
      <c r="C868" s="453" t="s">
        <v>69</v>
      </c>
      <c r="D868" s="453" t="s">
        <v>15131</v>
      </c>
      <c r="E868" s="453" t="s">
        <v>13949</v>
      </c>
      <c r="F868" s="473" t="s">
        <v>15497</v>
      </c>
      <c r="G868" s="453">
        <v>1</v>
      </c>
      <c r="H868" s="1420" t="s">
        <v>16253</v>
      </c>
      <c r="I868" s="1420" t="s">
        <v>15369</v>
      </c>
      <c r="J868" s="453" t="s">
        <v>2255</v>
      </c>
      <c r="K868" s="453"/>
      <c r="L868" s="457">
        <v>46317000</v>
      </c>
      <c r="M868" s="453" t="s">
        <v>251</v>
      </c>
      <c r="N868" s="474">
        <v>45272</v>
      </c>
      <c r="O868" s="474">
        <v>45348</v>
      </c>
      <c r="P868" s="474">
        <v>45387</v>
      </c>
      <c r="Q868" s="1420" t="s">
        <v>7327</v>
      </c>
      <c r="R868" s="453"/>
      <c r="S868" s="457">
        <v>46317000</v>
      </c>
      <c r="T868" s="457">
        <v>51875040</v>
      </c>
      <c r="U868" s="1474"/>
      <c r="V868" s="1474"/>
      <c r="W868" s="1474"/>
      <c r="X868" s="570">
        <v>45387</v>
      </c>
      <c r="Y868" s="1387" t="s">
        <v>17167</v>
      </c>
      <c r="Z868" s="474">
        <v>45412</v>
      </c>
      <c r="AA868" s="474">
        <v>45414</v>
      </c>
      <c r="AB868" s="474">
        <v>46506</v>
      </c>
      <c r="AC868" s="796"/>
      <c r="AD868" s="796"/>
    </row>
    <row r="869" spans="1:31" ht="30.75" thickBot="1">
      <c r="A869" s="2117">
        <v>45244</v>
      </c>
      <c r="B869" s="2120" t="s">
        <v>16252</v>
      </c>
      <c r="C869" s="2118" t="s">
        <v>69</v>
      </c>
      <c r="D869" s="2118" t="s">
        <v>15131</v>
      </c>
      <c r="E869" s="2118" t="s">
        <v>13949</v>
      </c>
      <c r="F869" s="2119" t="s">
        <v>15497</v>
      </c>
      <c r="G869" s="2118">
        <v>2</v>
      </c>
      <c r="H869" s="2120" t="s">
        <v>16254</v>
      </c>
      <c r="I869" s="2120" t="s">
        <v>15369</v>
      </c>
      <c r="J869" s="2118" t="s">
        <v>2255</v>
      </c>
      <c r="K869" s="2118"/>
      <c r="L869" s="2121">
        <v>16105260</v>
      </c>
      <c r="M869" s="2118" t="s">
        <v>251</v>
      </c>
      <c r="N869" s="2117">
        <v>45272</v>
      </c>
      <c r="O869" s="2117">
        <v>45348</v>
      </c>
      <c r="P869" s="2117">
        <v>45387</v>
      </c>
      <c r="Q869" s="2120" t="s">
        <v>6925</v>
      </c>
      <c r="R869" s="2118"/>
      <c r="S869" s="2121">
        <v>14891850</v>
      </c>
      <c r="T869" s="2121">
        <v>16678872</v>
      </c>
      <c r="U869" s="2122"/>
      <c r="V869" s="2122"/>
      <c r="W869" s="2122"/>
      <c r="X869" s="2123">
        <v>45387</v>
      </c>
      <c r="Y869" s="2246" t="s">
        <v>17168</v>
      </c>
      <c r="Z869" s="2117">
        <v>45412</v>
      </c>
      <c r="AA869" s="2117">
        <v>45414</v>
      </c>
      <c r="AB869" s="2117">
        <v>46506</v>
      </c>
      <c r="AC869" s="796"/>
      <c r="AD869" s="796"/>
    </row>
    <row r="870" spans="1:31" ht="15.75" thickTop="1">
      <c r="A870" s="470">
        <v>45244</v>
      </c>
      <c r="B870" s="654" t="s">
        <v>16260</v>
      </c>
      <c r="C870" s="466" t="s">
        <v>1754</v>
      </c>
      <c r="D870" s="466" t="s">
        <v>13</v>
      </c>
      <c r="E870" s="466" t="s">
        <v>13951</v>
      </c>
      <c r="F870" s="467" t="s">
        <v>16263</v>
      </c>
      <c r="G870" s="466"/>
      <c r="H870" s="654"/>
      <c r="I870" s="654" t="s">
        <v>242</v>
      </c>
      <c r="J870" s="466" t="s">
        <v>722</v>
      </c>
      <c r="K870" s="466"/>
      <c r="L870" s="472">
        <v>735000</v>
      </c>
      <c r="M870" s="466" t="s">
        <v>112</v>
      </c>
      <c r="N870" s="470">
        <v>45250</v>
      </c>
      <c r="O870" s="470">
        <v>45261</v>
      </c>
      <c r="P870" s="466"/>
      <c r="Q870" s="471" t="s">
        <v>16381</v>
      </c>
      <c r="R870" s="2014" t="s">
        <v>16387</v>
      </c>
      <c r="S870" s="472"/>
      <c r="T870" s="472"/>
      <c r="U870" s="1516"/>
      <c r="V870" s="1516"/>
      <c r="W870" s="1516"/>
      <c r="X870" s="472"/>
      <c r="Y870" s="472"/>
      <c r="Z870" s="466"/>
      <c r="AA870" s="470">
        <v>45268</v>
      </c>
      <c r="AB870" s="466"/>
      <c r="AC870" s="796"/>
      <c r="AD870" s="796"/>
    </row>
    <row r="871" spans="1:31" ht="15.75" thickBot="1">
      <c r="A871" s="1617">
        <v>45244</v>
      </c>
      <c r="B871" s="1619" t="s">
        <v>16261</v>
      </c>
      <c r="C871" s="810" t="s">
        <v>69</v>
      </c>
      <c r="D871" s="810" t="s">
        <v>15131</v>
      </c>
      <c r="E871" s="810" t="s">
        <v>13949</v>
      </c>
      <c r="F871" s="811" t="s">
        <v>16267</v>
      </c>
      <c r="G871" s="810"/>
      <c r="H871" s="1619"/>
      <c r="I871" s="1619" t="s">
        <v>15370</v>
      </c>
      <c r="J871" s="810" t="s">
        <v>8827</v>
      </c>
      <c r="K871" s="810"/>
      <c r="L871" s="814">
        <v>3123091.98</v>
      </c>
      <c r="M871" s="810" t="s">
        <v>251</v>
      </c>
      <c r="N871" s="810"/>
      <c r="O871" s="810"/>
      <c r="P871" s="810"/>
      <c r="Q871" s="1619"/>
      <c r="R871" s="810"/>
      <c r="S871" s="814"/>
      <c r="T871" s="814"/>
      <c r="U871" s="1620"/>
      <c r="V871" s="1620"/>
      <c r="W871" s="1620"/>
      <c r="X871" s="814"/>
      <c r="Y871" s="814"/>
      <c r="Z871" s="810"/>
      <c r="AA871" s="810"/>
      <c r="AB871" s="810"/>
      <c r="AC871" s="796"/>
      <c r="AD871" s="796"/>
    </row>
    <row r="872" spans="1:31" ht="15.75" thickTop="1">
      <c r="A872" s="443">
        <v>45244</v>
      </c>
      <c r="B872" s="1431" t="s">
        <v>16262</v>
      </c>
      <c r="C872" s="439" t="s">
        <v>69</v>
      </c>
      <c r="D872" s="439" t="s">
        <v>15131</v>
      </c>
      <c r="E872" s="439" t="s">
        <v>15813</v>
      </c>
      <c r="F872" s="440" t="s">
        <v>16268</v>
      </c>
      <c r="G872" s="439">
        <v>1</v>
      </c>
      <c r="H872" s="1431" t="s">
        <v>16269</v>
      </c>
      <c r="I872" s="1431" t="s">
        <v>242</v>
      </c>
      <c r="J872" s="439" t="s">
        <v>2255</v>
      </c>
      <c r="K872" s="439"/>
      <c r="L872" s="444">
        <v>598160</v>
      </c>
      <c r="M872" s="439" t="s">
        <v>251</v>
      </c>
      <c r="N872" s="443">
        <v>45265</v>
      </c>
      <c r="O872" s="443">
        <v>45328</v>
      </c>
      <c r="P872" s="439"/>
      <c r="Q872" s="753" t="s">
        <v>304</v>
      </c>
      <c r="R872" s="439"/>
      <c r="S872" s="444"/>
      <c r="T872" s="444"/>
      <c r="U872" s="1481"/>
      <c r="V872" s="1481"/>
      <c r="W872" s="1481"/>
      <c r="X872" s="444"/>
      <c r="Y872" s="444"/>
      <c r="Z872" s="439"/>
      <c r="AA872" s="443">
        <v>45351</v>
      </c>
      <c r="AB872" s="439" t="s">
        <v>16851</v>
      </c>
      <c r="AC872" s="796"/>
      <c r="AD872" s="796"/>
    </row>
    <row r="873" spans="1:31">
      <c r="A873" s="2124">
        <v>45244</v>
      </c>
      <c r="B873" s="2127" t="s">
        <v>16264</v>
      </c>
      <c r="C873" s="2125" t="s">
        <v>69</v>
      </c>
      <c r="D873" s="2125" t="s">
        <v>15131</v>
      </c>
      <c r="E873" s="2125" t="s">
        <v>15813</v>
      </c>
      <c r="F873" s="2126" t="s">
        <v>16268</v>
      </c>
      <c r="G873" s="2125">
        <v>2</v>
      </c>
      <c r="H873" s="2127" t="s">
        <v>16270</v>
      </c>
      <c r="I873" s="2127" t="s">
        <v>242</v>
      </c>
      <c r="J873" s="2125" t="s">
        <v>2255</v>
      </c>
      <c r="K873" s="2125"/>
      <c r="L873" s="2128">
        <v>3840000</v>
      </c>
      <c r="M873" s="2125" t="s">
        <v>251</v>
      </c>
      <c r="N873" s="2124">
        <v>45265</v>
      </c>
      <c r="O873" s="2124">
        <v>45328</v>
      </c>
      <c r="P873" s="2124"/>
      <c r="Q873" s="2136" t="s">
        <v>304</v>
      </c>
      <c r="R873" s="2125"/>
      <c r="S873" s="2128"/>
      <c r="T873" s="2128"/>
      <c r="U873" s="2129"/>
      <c r="V873" s="2129"/>
      <c r="W873" s="2129"/>
      <c r="X873" s="2128"/>
      <c r="Y873" s="2128"/>
      <c r="Z873" s="2125"/>
      <c r="AA873" s="2124">
        <v>45351</v>
      </c>
      <c r="AB873" s="2125" t="s">
        <v>16851</v>
      </c>
      <c r="AC873" s="796"/>
      <c r="AD873" s="796"/>
    </row>
    <row r="874" spans="1:31">
      <c r="A874" s="2140">
        <v>45244</v>
      </c>
      <c r="B874" s="2143" t="s">
        <v>16265</v>
      </c>
      <c r="C874" s="2141" t="s">
        <v>69</v>
      </c>
      <c r="D874" s="2141" t="s">
        <v>15131</v>
      </c>
      <c r="E874" s="2141" t="s">
        <v>15813</v>
      </c>
      <c r="F874" s="2142" t="s">
        <v>16268</v>
      </c>
      <c r="G874" s="2141">
        <v>3</v>
      </c>
      <c r="H874" s="2143" t="s">
        <v>16271</v>
      </c>
      <c r="I874" s="2143" t="s">
        <v>15369</v>
      </c>
      <c r="J874" s="2141" t="s">
        <v>2255</v>
      </c>
      <c r="K874" s="2141"/>
      <c r="L874" s="2144">
        <v>12000000</v>
      </c>
      <c r="M874" s="2141" t="s">
        <v>251</v>
      </c>
      <c r="N874" s="2140">
        <v>45265</v>
      </c>
      <c r="O874" s="2140">
        <v>45328</v>
      </c>
      <c r="P874" s="2140">
        <v>45350</v>
      </c>
      <c r="Q874" s="2143" t="s">
        <v>6925</v>
      </c>
      <c r="R874" s="2141"/>
      <c r="S874" s="2144">
        <v>12000000</v>
      </c>
      <c r="T874" s="2144">
        <v>13440000</v>
      </c>
      <c r="U874" s="2145"/>
      <c r="V874" s="2145"/>
      <c r="W874" s="2145"/>
      <c r="X874" s="2146">
        <v>45350</v>
      </c>
      <c r="Y874" s="2144" t="s">
        <v>16898</v>
      </c>
      <c r="Z874" s="2140">
        <v>45370</v>
      </c>
      <c r="AA874" s="2140">
        <v>45371</v>
      </c>
      <c r="AB874" s="2140">
        <v>46830</v>
      </c>
      <c r="AC874" s="796"/>
      <c r="AD874" s="796"/>
    </row>
    <row r="875" spans="1:31" ht="15.75" thickBot="1">
      <c r="A875" s="2117">
        <v>45244</v>
      </c>
      <c r="B875" s="2120" t="s">
        <v>16266</v>
      </c>
      <c r="C875" s="2118" t="s">
        <v>69</v>
      </c>
      <c r="D875" s="2118" t="s">
        <v>15131</v>
      </c>
      <c r="E875" s="2118" t="s">
        <v>15813</v>
      </c>
      <c r="F875" s="2119" t="s">
        <v>16268</v>
      </c>
      <c r="G875" s="2118">
        <v>4</v>
      </c>
      <c r="H875" s="2120" t="s">
        <v>17025</v>
      </c>
      <c r="I875" s="2120" t="s">
        <v>15369</v>
      </c>
      <c r="J875" s="2118" t="s">
        <v>2255</v>
      </c>
      <c r="K875" s="2118"/>
      <c r="L875" s="2121">
        <v>162607200</v>
      </c>
      <c r="M875" s="2118" t="s">
        <v>251</v>
      </c>
      <c r="N875" s="2117">
        <v>45265</v>
      </c>
      <c r="O875" s="2117">
        <v>45328</v>
      </c>
      <c r="P875" s="2117">
        <v>45350</v>
      </c>
      <c r="Q875" s="2120" t="s">
        <v>6925</v>
      </c>
      <c r="R875" s="2118"/>
      <c r="S875" s="2121">
        <v>155154370</v>
      </c>
      <c r="T875" s="2121">
        <v>173772894.40000001</v>
      </c>
      <c r="U875" s="2122"/>
      <c r="V875" s="2122"/>
      <c r="W875" s="2122"/>
      <c r="X875" s="2123">
        <v>45350</v>
      </c>
      <c r="Y875" s="2121" t="s">
        <v>16899</v>
      </c>
      <c r="Z875" s="2117">
        <v>45370</v>
      </c>
      <c r="AA875" s="2117">
        <v>45371</v>
      </c>
      <c r="AB875" s="2117">
        <v>46830</v>
      </c>
      <c r="AC875" s="796"/>
      <c r="AD875" s="796"/>
    </row>
    <row r="876" spans="1:31" ht="15.75" thickTop="1">
      <c r="A876" s="365">
        <v>45244</v>
      </c>
      <c r="B876" s="3192" t="s">
        <v>16272</v>
      </c>
      <c r="C876" s="3191" t="s">
        <v>2434</v>
      </c>
      <c r="D876" s="3191" t="s">
        <v>219</v>
      </c>
      <c r="E876" s="3191" t="s">
        <v>655</v>
      </c>
      <c r="F876" s="175" t="s">
        <v>16273</v>
      </c>
      <c r="G876" s="3191"/>
      <c r="H876" s="3192"/>
      <c r="I876" s="3192" t="s">
        <v>15369</v>
      </c>
      <c r="J876" s="3191" t="s">
        <v>642</v>
      </c>
      <c r="K876" s="3191"/>
      <c r="L876" s="364">
        <v>1315950</v>
      </c>
      <c r="M876" s="3191" t="s">
        <v>112</v>
      </c>
      <c r="N876" s="365">
        <v>45246</v>
      </c>
      <c r="O876" s="365">
        <v>45257</v>
      </c>
      <c r="P876" s="365">
        <v>45259</v>
      </c>
      <c r="Q876" s="3192" t="s">
        <v>13780</v>
      </c>
      <c r="R876" s="3191"/>
      <c r="S876" s="364">
        <v>1088192</v>
      </c>
      <c r="T876" s="364">
        <v>1316712.32</v>
      </c>
      <c r="U876" s="1473"/>
      <c r="V876" s="1473"/>
      <c r="W876" s="1473"/>
      <c r="X876" s="681">
        <v>45259</v>
      </c>
      <c r="Y876" s="364" t="s">
        <v>16340</v>
      </c>
      <c r="Z876" s="365">
        <v>45268</v>
      </c>
      <c r="AA876" s="365">
        <v>45268</v>
      </c>
      <c r="AB876" s="365">
        <v>45998</v>
      </c>
      <c r="AC876" s="796"/>
      <c r="AD876" s="796"/>
    </row>
    <row r="877" spans="1:31">
      <c r="A877" s="2124">
        <v>45246</v>
      </c>
      <c r="B877" s="2127" t="s">
        <v>16276</v>
      </c>
      <c r="C877" s="2125" t="s">
        <v>1754</v>
      </c>
      <c r="D877" s="2125" t="s">
        <v>13</v>
      </c>
      <c r="E877" s="2125" t="s">
        <v>13951</v>
      </c>
      <c r="F877" s="2126" t="s">
        <v>16277</v>
      </c>
      <c r="G877" s="2125"/>
      <c r="H877" s="2127"/>
      <c r="I877" s="2127" t="s">
        <v>242</v>
      </c>
      <c r="J877" s="2125" t="s">
        <v>16278</v>
      </c>
      <c r="K877" s="2125"/>
      <c r="L877" s="2128">
        <v>825000</v>
      </c>
      <c r="M877" s="2125" t="s">
        <v>112</v>
      </c>
      <c r="N877" s="2124">
        <v>45246</v>
      </c>
      <c r="O877" s="2124">
        <v>45257</v>
      </c>
      <c r="P877" s="2125"/>
      <c r="Q877" s="2136" t="s">
        <v>2635</v>
      </c>
      <c r="R877" s="2275" t="s">
        <v>16474</v>
      </c>
      <c r="S877" s="2128"/>
      <c r="T877" s="2128"/>
      <c r="U877" s="2129"/>
      <c r="V877" s="2129"/>
      <c r="W877" s="2129"/>
      <c r="X877" s="2128"/>
      <c r="Y877" s="2128"/>
      <c r="Z877" s="2125"/>
      <c r="AA877" s="2124">
        <v>45258</v>
      </c>
      <c r="AB877" s="2125"/>
      <c r="AC877" s="796"/>
      <c r="AD877" s="796"/>
    </row>
    <row r="878" spans="1:31" ht="30">
      <c r="A878" s="2564">
        <v>45250</v>
      </c>
      <c r="B878" s="2664" t="s">
        <v>16288</v>
      </c>
      <c r="C878" s="2779" t="s">
        <v>2434</v>
      </c>
      <c r="D878" s="2779" t="s">
        <v>219</v>
      </c>
      <c r="E878" s="2779" t="s">
        <v>655</v>
      </c>
      <c r="F878" s="2780" t="s">
        <v>8508</v>
      </c>
      <c r="G878" s="2779"/>
      <c r="H878" s="2664"/>
      <c r="I878" s="2664" t="s">
        <v>15369</v>
      </c>
      <c r="J878" s="2779" t="s">
        <v>421</v>
      </c>
      <c r="K878" s="2779"/>
      <c r="L878" s="2607">
        <v>1760000</v>
      </c>
      <c r="M878" s="2779" t="s">
        <v>112</v>
      </c>
      <c r="N878" s="2564">
        <v>45253</v>
      </c>
      <c r="O878" s="2564">
        <v>45264</v>
      </c>
      <c r="P878" s="2564">
        <v>45271</v>
      </c>
      <c r="Q878" s="2664" t="s">
        <v>9404</v>
      </c>
      <c r="R878" s="2779"/>
      <c r="S878" s="2607">
        <v>1418646.4</v>
      </c>
      <c r="T878" s="2607">
        <v>1716561.6</v>
      </c>
      <c r="U878" s="2145"/>
      <c r="V878" s="2145"/>
      <c r="W878" s="2145"/>
      <c r="X878" s="2782">
        <v>45271</v>
      </c>
      <c r="Y878" s="2876" t="s">
        <v>16392</v>
      </c>
      <c r="Z878" s="2564">
        <v>45293</v>
      </c>
      <c r="AA878" s="2564">
        <v>45293</v>
      </c>
      <c r="AB878" s="2564">
        <v>46761</v>
      </c>
      <c r="AC878" s="796"/>
      <c r="AD878" s="796"/>
      <c r="AE878" s="360" t="s">
        <v>16545</v>
      </c>
    </row>
    <row r="879" spans="1:31" ht="45">
      <c r="A879" s="2141" t="s">
        <v>14259</v>
      </c>
      <c r="B879" s="2143" t="s">
        <v>16292</v>
      </c>
      <c r="C879" s="2141" t="s">
        <v>58</v>
      </c>
      <c r="D879" s="2141" t="s">
        <v>15443</v>
      </c>
      <c r="E879" s="2141" t="s">
        <v>13948</v>
      </c>
      <c r="F879" s="2142" t="s">
        <v>16293</v>
      </c>
      <c r="G879" s="2141"/>
      <c r="H879" s="2143"/>
      <c r="I879" s="2143" t="s">
        <v>15369</v>
      </c>
      <c r="J879" s="2141" t="s">
        <v>786</v>
      </c>
      <c r="K879" s="2141"/>
      <c r="L879" s="2144">
        <v>12479707</v>
      </c>
      <c r="M879" s="2141" t="s">
        <v>251</v>
      </c>
      <c r="N879" s="2140">
        <v>45260</v>
      </c>
      <c r="O879" s="2140">
        <v>45317</v>
      </c>
      <c r="P879" s="2140">
        <v>45338</v>
      </c>
      <c r="Q879" s="2143" t="s">
        <v>16763</v>
      </c>
      <c r="R879" s="2141"/>
      <c r="S879" s="2144">
        <v>12151073</v>
      </c>
      <c r="T879" s="2144">
        <v>14702798.33</v>
      </c>
      <c r="U879" s="2145"/>
      <c r="V879" s="2145"/>
      <c r="W879" s="2145"/>
      <c r="X879" s="2146">
        <v>45338</v>
      </c>
      <c r="Y879" s="2260" t="s">
        <v>16794</v>
      </c>
      <c r="Z879" s="2140">
        <v>45364</v>
      </c>
      <c r="AA879" s="2140">
        <v>45376</v>
      </c>
      <c r="AB879" s="2141"/>
      <c r="AC879" s="796"/>
      <c r="AD879" s="796"/>
    </row>
    <row r="880" spans="1:31">
      <c r="A880" s="2344">
        <v>45251</v>
      </c>
      <c r="B880" s="2346" t="s">
        <v>16301</v>
      </c>
      <c r="C880" s="2799" t="s">
        <v>58</v>
      </c>
      <c r="D880" s="2799" t="s">
        <v>15443</v>
      </c>
      <c r="E880" s="2799" t="s">
        <v>13950</v>
      </c>
      <c r="F880" s="2345" t="s">
        <v>16302</v>
      </c>
      <c r="G880" s="2799"/>
      <c r="H880" s="2127" t="s">
        <v>16561</v>
      </c>
      <c r="I880" s="2346" t="s">
        <v>15370</v>
      </c>
      <c r="J880" s="2799" t="s">
        <v>8917</v>
      </c>
      <c r="K880" s="2799" t="s">
        <v>16303</v>
      </c>
      <c r="L880" s="2347">
        <v>46640000</v>
      </c>
      <c r="M880" s="2799" t="s">
        <v>251</v>
      </c>
      <c r="N880" s="2799"/>
      <c r="O880" s="2799"/>
      <c r="P880" s="2799"/>
      <c r="Q880" s="2346"/>
      <c r="R880" s="2799"/>
      <c r="S880" s="2347"/>
      <c r="T880" s="2347"/>
      <c r="U880" s="2348"/>
      <c r="V880" s="2348"/>
      <c r="W880" s="2348"/>
      <c r="X880" s="2347"/>
      <c r="Y880" s="2347"/>
      <c r="Z880" s="2799"/>
      <c r="AA880" s="2799"/>
      <c r="AB880" s="2799"/>
      <c r="AC880" s="796"/>
      <c r="AD880" s="796"/>
    </row>
    <row r="881" spans="1:31" ht="30">
      <c r="A881" s="2140">
        <v>45252</v>
      </c>
      <c r="B881" s="2143" t="s">
        <v>16305</v>
      </c>
      <c r="C881" s="2141" t="s">
        <v>2434</v>
      </c>
      <c r="D881" s="2141" t="s">
        <v>219</v>
      </c>
      <c r="E881" s="2141" t="s">
        <v>15813</v>
      </c>
      <c r="F881" s="2142" t="s">
        <v>16306</v>
      </c>
      <c r="G881" s="2141"/>
      <c r="H881" s="2143"/>
      <c r="I881" s="2143" t="s">
        <v>15369</v>
      </c>
      <c r="J881" s="2141" t="s">
        <v>3013</v>
      </c>
      <c r="K881" s="2141"/>
      <c r="L881" s="2144">
        <v>3140496</v>
      </c>
      <c r="M881" s="2141" t="s">
        <v>251</v>
      </c>
      <c r="N881" s="2140">
        <v>45254</v>
      </c>
      <c r="O881" s="2140">
        <v>45289</v>
      </c>
      <c r="P881" s="2140">
        <v>45310</v>
      </c>
      <c r="Q881" s="2143" t="s">
        <v>2776</v>
      </c>
      <c r="R881" s="2141"/>
      <c r="S881" s="2144">
        <v>3140495.87</v>
      </c>
      <c r="T881" s="2144">
        <v>3800000</v>
      </c>
      <c r="U881" s="2145"/>
      <c r="V881" s="2145"/>
      <c r="W881" s="2145"/>
      <c r="X881" s="2146">
        <v>45310</v>
      </c>
      <c r="Y881" s="2260" t="s">
        <v>16627</v>
      </c>
      <c r="Z881" s="2140">
        <v>45370</v>
      </c>
      <c r="AA881" s="2140">
        <v>45371</v>
      </c>
      <c r="AB881" s="2140">
        <v>46830</v>
      </c>
      <c r="AC881" s="796"/>
      <c r="AD881" s="796"/>
    </row>
    <row r="882" spans="1:31" ht="30.75" thickBot="1">
      <c r="A882" s="416" t="s">
        <v>15192</v>
      </c>
      <c r="B882" s="630" t="s">
        <v>16312</v>
      </c>
      <c r="C882" s="411" t="s">
        <v>13843</v>
      </c>
      <c r="D882" s="411" t="s">
        <v>13844</v>
      </c>
      <c r="E882" s="411" t="s">
        <v>13949</v>
      </c>
      <c r="F882" s="412" t="s">
        <v>16313</v>
      </c>
      <c r="G882" s="411"/>
      <c r="H882" s="630"/>
      <c r="I882" s="630" t="s">
        <v>15369</v>
      </c>
      <c r="J882" s="411" t="s">
        <v>16314</v>
      </c>
      <c r="K882" s="411"/>
      <c r="L882" s="417">
        <v>53288520</v>
      </c>
      <c r="M882" s="411" t="s">
        <v>251</v>
      </c>
      <c r="N882" s="416">
        <v>45274</v>
      </c>
      <c r="O882" s="416">
        <v>45310</v>
      </c>
      <c r="P882" s="416">
        <v>45349</v>
      </c>
      <c r="Q882" s="630" t="s">
        <v>5233</v>
      </c>
      <c r="R882" s="411"/>
      <c r="S882" s="417">
        <v>53288000</v>
      </c>
      <c r="T882" s="417">
        <v>64277582.719999999</v>
      </c>
      <c r="U882" s="1480"/>
      <c r="V882" s="1480"/>
      <c r="W882" s="1480"/>
      <c r="X882" s="513">
        <v>45349</v>
      </c>
      <c r="Y882" s="1553" t="s">
        <v>16890</v>
      </c>
      <c r="Z882" s="416">
        <v>45363</v>
      </c>
      <c r="AA882" s="416">
        <v>45366</v>
      </c>
      <c r="AB882" s="416">
        <v>48284</v>
      </c>
      <c r="AC882" s="796"/>
      <c r="AD882" s="796"/>
    </row>
    <row r="883" spans="1:31" ht="15.75" thickTop="1">
      <c r="A883" s="443">
        <v>45253</v>
      </c>
      <c r="B883" s="1431" t="s">
        <v>16316</v>
      </c>
      <c r="C883" s="439" t="s">
        <v>69</v>
      </c>
      <c r="D883" s="439" t="s">
        <v>15131</v>
      </c>
      <c r="E883" s="439" t="s">
        <v>13949</v>
      </c>
      <c r="F883" s="440" t="s">
        <v>16323</v>
      </c>
      <c r="G883" s="439">
        <v>1</v>
      </c>
      <c r="H883" s="1431" t="s">
        <v>7784</v>
      </c>
      <c r="I883" s="1431" t="s">
        <v>242</v>
      </c>
      <c r="J883" s="439" t="s">
        <v>7790</v>
      </c>
      <c r="K883" s="439"/>
      <c r="L883" s="444">
        <v>1598106</v>
      </c>
      <c r="M883" s="439" t="s">
        <v>251</v>
      </c>
      <c r="N883" s="443">
        <v>45259</v>
      </c>
      <c r="O883" s="443">
        <v>45323</v>
      </c>
      <c r="P883" s="439"/>
      <c r="Q883" s="753" t="s">
        <v>304</v>
      </c>
      <c r="R883" s="439"/>
      <c r="S883" s="444"/>
      <c r="T883" s="444"/>
      <c r="U883" s="1481"/>
      <c r="V883" s="1481"/>
      <c r="W883" s="1481"/>
      <c r="X883" s="444"/>
      <c r="Y883" s="444"/>
      <c r="Z883" s="439"/>
      <c r="AA883" s="443">
        <v>45348</v>
      </c>
      <c r="AB883" s="439" t="s">
        <v>16742</v>
      </c>
      <c r="AC883" s="796"/>
      <c r="AD883" s="796"/>
    </row>
    <row r="884" spans="1:31">
      <c r="A884" s="2124">
        <v>45253</v>
      </c>
      <c r="B884" s="2127" t="s">
        <v>16317</v>
      </c>
      <c r="C884" s="2125" t="s">
        <v>69</v>
      </c>
      <c r="D884" s="2125" t="s">
        <v>15131</v>
      </c>
      <c r="E884" s="2125" t="s">
        <v>13949</v>
      </c>
      <c r="F884" s="2126" t="s">
        <v>16323</v>
      </c>
      <c r="G884" s="2125">
        <v>2</v>
      </c>
      <c r="H884" s="2127" t="s">
        <v>7785</v>
      </c>
      <c r="I884" s="2127" t="s">
        <v>242</v>
      </c>
      <c r="J884" s="2125" t="s">
        <v>7790</v>
      </c>
      <c r="K884" s="2125"/>
      <c r="L884" s="2128">
        <v>789765</v>
      </c>
      <c r="M884" s="2125" t="s">
        <v>251</v>
      </c>
      <c r="N884" s="2124">
        <v>45259</v>
      </c>
      <c r="O884" s="2124">
        <v>45323</v>
      </c>
      <c r="P884" s="2125"/>
      <c r="Q884" s="2136" t="s">
        <v>304</v>
      </c>
      <c r="R884" s="2125"/>
      <c r="S884" s="2128"/>
      <c r="T884" s="2128"/>
      <c r="U884" s="2129"/>
      <c r="V884" s="2129"/>
      <c r="W884" s="2129"/>
      <c r="X884" s="2128"/>
      <c r="Y884" s="2128"/>
      <c r="Z884" s="2125"/>
      <c r="AA884" s="2124">
        <v>45348</v>
      </c>
      <c r="AB884" s="2125" t="s">
        <v>16742</v>
      </c>
      <c r="AC884" s="796"/>
      <c r="AD884" s="796"/>
    </row>
    <row r="885" spans="1:31">
      <c r="A885" s="2124">
        <v>45253</v>
      </c>
      <c r="B885" s="2127" t="s">
        <v>16318</v>
      </c>
      <c r="C885" s="2125" t="s">
        <v>69</v>
      </c>
      <c r="D885" s="2125" t="s">
        <v>15131</v>
      </c>
      <c r="E885" s="2125" t="s">
        <v>13949</v>
      </c>
      <c r="F885" s="2126" t="s">
        <v>16323</v>
      </c>
      <c r="G885" s="2125">
        <v>3</v>
      </c>
      <c r="H885" s="2127" t="s">
        <v>7786</v>
      </c>
      <c r="I885" s="2127" t="s">
        <v>242</v>
      </c>
      <c r="J885" s="2125" t="s">
        <v>7790</v>
      </c>
      <c r="K885" s="2125"/>
      <c r="L885" s="2128">
        <v>758510</v>
      </c>
      <c r="M885" s="2125" t="s">
        <v>251</v>
      </c>
      <c r="N885" s="2124">
        <v>45259</v>
      </c>
      <c r="O885" s="2124">
        <v>45323</v>
      </c>
      <c r="P885" s="2125"/>
      <c r="Q885" s="2136" t="s">
        <v>304</v>
      </c>
      <c r="R885" s="2125"/>
      <c r="S885" s="2128"/>
      <c r="T885" s="2128"/>
      <c r="U885" s="2129"/>
      <c r="V885" s="2129"/>
      <c r="W885" s="2129"/>
      <c r="X885" s="2128"/>
      <c r="Y885" s="2128"/>
      <c r="Z885" s="2125"/>
      <c r="AA885" s="2124">
        <v>45348</v>
      </c>
      <c r="AB885" s="2125" t="s">
        <v>16742</v>
      </c>
      <c r="AC885" s="796"/>
      <c r="AD885" s="796"/>
    </row>
    <row r="886" spans="1:31">
      <c r="A886" s="2124">
        <v>45253</v>
      </c>
      <c r="B886" s="2127" t="s">
        <v>16319</v>
      </c>
      <c r="C886" s="2125" t="s">
        <v>69</v>
      </c>
      <c r="D886" s="2125" t="s">
        <v>15131</v>
      </c>
      <c r="E886" s="2125" t="s">
        <v>13949</v>
      </c>
      <c r="F886" s="2126" t="s">
        <v>16323</v>
      </c>
      <c r="G886" s="2125">
        <v>4</v>
      </c>
      <c r="H886" s="2127" t="s">
        <v>16324</v>
      </c>
      <c r="I886" s="2127" t="s">
        <v>242</v>
      </c>
      <c r="J886" s="2125" t="s">
        <v>7790</v>
      </c>
      <c r="K886" s="2125"/>
      <c r="L886" s="2128">
        <v>2939296</v>
      </c>
      <c r="M886" s="2125" t="s">
        <v>251</v>
      </c>
      <c r="N886" s="2124">
        <v>45259</v>
      </c>
      <c r="O886" s="2124">
        <v>45323</v>
      </c>
      <c r="P886" s="2125"/>
      <c r="Q886" s="2136" t="s">
        <v>304</v>
      </c>
      <c r="R886" s="2125"/>
      <c r="S886" s="2128"/>
      <c r="T886" s="2128"/>
      <c r="U886" s="2129"/>
      <c r="V886" s="2129"/>
      <c r="W886" s="2129"/>
      <c r="X886" s="2128"/>
      <c r="Y886" s="2128"/>
      <c r="Z886" s="2125"/>
      <c r="AA886" s="2124">
        <v>45348</v>
      </c>
      <c r="AB886" s="2125" t="s">
        <v>16742</v>
      </c>
      <c r="AC886" s="796"/>
      <c r="AD886" s="796"/>
    </row>
    <row r="887" spans="1:31">
      <c r="A887" s="2124">
        <v>45253</v>
      </c>
      <c r="B887" s="2127" t="s">
        <v>16320</v>
      </c>
      <c r="C887" s="2125" t="s">
        <v>69</v>
      </c>
      <c r="D887" s="2125" t="s">
        <v>15131</v>
      </c>
      <c r="E887" s="2125" t="s">
        <v>13949</v>
      </c>
      <c r="F887" s="2126" t="s">
        <v>16323</v>
      </c>
      <c r="G887" s="2125">
        <v>5</v>
      </c>
      <c r="H887" s="2127" t="s">
        <v>7787</v>
      </c>
      <c r="I887" s="2127" t="s">
        <v>242</v>
      </c>
      <c r="J887" s="2125" t="s">
        <v>7790</v>
      </c>
      <c r="K887" s="2125"/>
      <c r="L887" s="2128">
        <v>4214743</v>
      </c>
      <c r="M887" s="2125" t="s">
        <v>251</v>
      </c>
      <c r="N887" s="2124">
        <v>45259</v>
      </c>
      <c r="O887" s="2124">
        <v>45323</v>
      </c>
      <c r="P887" s="2125"/>
      <c r="Q887" s="2136" t="s">
        <v>304</v>
      </c>
      <c r="R887" s="2125"/>
      <c r="S887" s="2128"/>
      <c r="T887" s="2128"/>
      <c r="U887" s="2129"/>
      <c r="V887" s="2129"/>
      <c r="W887" s="2129"/>
      <c r="X887" s="2128"/>
      <c r="Y887" s="2128"/>
      <c r="Z887" s="2125"/>
      <c r="AA887" s="2124">
        <v>45348</v>
      </c>
      <c r="AB887" s="2125" t="s">
        <v>16742</v>
      </c>
      <c r="AC887" s="796"/>
      <c r="AD887" s="796"/>
    </row>
    <row r="888" spans="1:31">
      <c r="A888" s="2124">
        <v>45253</v>
      </c>
      <c r="B888" s="2127" t="s">
        <v>16321</v>
      </c>
      <c r="C888" s="2125" t="s">
        <v>69</v>
      </c>
      <c r="D888" s="2125" t="s">
        <v>15131</v>
      </c>
      <c r="E888" s="2125" t="s">
        <v>13949</v>
      </c>
      <c r="F888" s="2126" t="s">
        <v>16323</v>
      </c>
      <c r="G888" s="2125">
        <v>6</v>
      </c>
      <c r="H888" s="2127" t="s">
        <v>7788</v>
      </c>
      <c r="I888" s="2127" t="s">
        <v>242</v>
      </c>
      <c r="J888" s="2125" t="s">
        <v>7790</v>
      </c>
      <c r="K888" s="2125"/>
      <c r="L888" s="2128">
        <v>8452425</v>
      </c>
      <c r="M888" s="2125" t="s">
        <v>251</v>
      </c>
      <c r="N888" s="2124">
        <v>45259</v>
      </c>
      <c r="O888" s="2124">
        <v>45323</v>
      </c>
      <c r="P888" s="2125"/>
      <c r="Q888" s="2136" t="s">
        <v>304</v>
      </c>
      <c r="R888" s="2125"/>
      <c r="S888" s="2128"/>
      <c r="T888" s="2128"/>
      <c r="U888" s="2129"/>
      <c r="V888" s="2129"/>
      <c r="W888" s="2129"/>
      <c r="X888" s="2128"/>
      <c r="Y888" s="2128"/>
      <c r="Z888" s="2125"/>
      <c r="AA888" s="2124">
        <v>45348</v>
      </c>
      <c r="AB888" s="2125" t="s">
        <v>16742</v>
      </c>
      <c r="AC888" s="796"/>
      <c r="AD888" s="796"/>
    </row>
    <row r="889" spans="1:31" ht="15.75" thickBot="1">
      <c r="A889" s="2117">
        <v>45253</v>
      </c>
      <c r="B889" s="2120" t="s">
        <v>16322</v>
      </c>
      <c r="C889" s="2118" t="s">
        <v>69</v>
      </c>
      <c r="D889" s="2118" t="s">
        <v>15131</v>
      </c>
      <c r="E889" s="2118" t="s">
        <v>13949</v>
      </c>
      <c r="F889" s="2119" t="s">
        <v>16323</v>
      </c>
      <c r="G889" s="2118">
        <v>7</v>
      </c>
      <c r="H889" s="2120" t="s">
        <v>7789</v>
      </c>
      <c r="I889" s="2120" t="s">
        <v>15369</v>
      </c>
      <c r="J889" s="2118" t="s">
        <v>7790</v>
      </c>
      <c r="K889" s="2118"/>
      <c r="L889" s="2121">
        <v>245401</v>
      </c>
      <c r="M889" s="2118" t="s">
        <v>251</v>
      </c>
      <c r="N889" s="2117">
        <v>45259</v>
      </c>
      <c r="O889" s="2117">
        <v>45323</v>
      </c>
      <c r="P889" s="2117">
        <v>45343</v>
      </c>
      <c r="Q889" s="2120" t="s">
        <v>8542</v>
      </c>
      <c r="R889" s="2118"/>
      <c r="S889" s="2121">
        <v>243340.35</v>
      </c>
      <c r="T889" s="2121">
        <v>272541.19</v>
      </c>
      <c r="U889" s="2122"/>
      <c r="V889" s="2122"/>
      <c r="W889" s="2122"/>
      <c r="X889" s="2123">
        <v>45343</v>
      </c>
      <c r="Y889" s="2121" t="s">
        <v>16849</v>
      </c>
      <c r="Z889" s="2117">
        <v>45366</v>
      </c>
      <c r="AA889" s="2117">
        <v>45369</v>
      </c>
      <c r="AB889" s="2117">
        <v>46460</v>
      </c>
      <c r="AC889" s="796"/>
      <c r="AD889" s="796"/>
    </row>
    <row r="890" spans="1:31" ht="30.75" thickTop="1">
      <c r="A890" s="365">
        <v>45254</v>
      </c>
      <c r="B890" s="3192" t="s">
        <v>16328</v>
      </c>
      <c r="C890" s="3191" t="s">
        <v>2434</v>
      </c>
      <c r="D890" s="3191" t="s">
        <v>219</v>
      </c>
      <c r="E890" s="3191" t="s">
        <v>13951</v>
      </c>
      <c r="F890" s="175" t="s">
        <v>16329</v>
      </c>
      <c r="G890" s="3191"/>
      <c r="H890" s="3192"/>
      <c r="I890" s="3192" t="s">
        <v>15369</v>
      </c>
      <c r="J890" s="3191" t="s">
        <v>9602</v>
      </c>
      <c r="K890" s="3191"/>
      <c r="L890" s="364">
        <v>1490000</v>
      </c>
      <c r="M890" s="3191" t="s">
        <v>112</v>
      </c>
      <c r="N890" s="365">
        <v>45264</v>
      </c>
      <c r="O890" s="365">
        <v>45287</v>
      </c>
      <c r="P890" s="365">
        <v>45369</v>
      </c>
      <c r="Q890" s="3192" t="s">
        <v>4692</v>
      </c>
      <c r="R890" s="3191"/>
      <c r="S890" s="364">
        <v>1429200</v>
      </c>
      <c r="T890" s="364">
        <v>1600704</v>
      </c>
      <c r="U890" s="1473"/>
      <c r="V890" s="1473"/>
      <c r="W890" s="1473"/>
      <c r="X890" s="681">
        <v>45369</v>
      </c>
      <c r="Y890" s="1417" t="s">
        <v>17024</v>
      </c>
      <c r="Z890" s="365">
        <v>45384</v>
      </c>
      <c r="AA890" s="365">
        <v>45385</v>
      </c>
      <c r="AB890" s="365">
        <v>46886</v>
      </c>
      <c r="AC890" s="796"/>
      <c r="AD890" s="796"/>
      <c r="AE890" s="360" t="s">
        <v>17150</v>
      </c>
    </row>
    <row r="891" spans="1:31">
      <c r="A891" s="2140">
        <v>45253</v>
      </c>
      <c r="B891" s="2143" t="s">
        <v>16334</v>
      </c>
      <c r="C891" s="2141" t="s">
        <v>2434</v>
      </c>
      <c r="D891" s="2141" t="s">
        <v>219</v>
      </c>
      <c r="E891" s="2141" t="s">
        <v>15813</v>
      </c>
      <c r="F891" s="2142" t="s">
        <v>3958</v>
      </c>
      <c r="G891" s="2141"/>
      <c r="H891" s="2143"/>
      <c r="I891" s="2143" t="s">
        <v>15369</v>
      </c>
      <c r="J891" s="2141" t="s">
        <v>642</v>
      </c>
      <c r="K891" s="2141"/>
      <c r="L891" s="2144">
        <v>2873000</v>
      </c>
      <c r="M891" s="2141" t="s">
        <v>251</v>
      </c>
      <c r="N891" s="2140">
        <v>45260</v>
      </c>
      <c r="O891" s="2140">
        <v>45295</v>
      </c>
      <c r="P891" s="2140">
        <v>45310</v>
      </c>
      <c r="Q891" s="2143" t="s">
        <v>8586</v>
      </c>
      <c r="R891" s="2141"/>
      <c r="S891" s="2144">
        <v>3196000</v>
      </c>
      <c r="T891" s="2144">
        <v>3579520</v>
      </c>
      <c r="U891" s="2145"/>
      <c r="V891" s="2145"/>
      <c r="W891" s="2145"/>
      <c r="X891" s="2146">
        <v>45310</v>
      </c>
      <c r="Y891" s="2144" t="s">
        <v>16629</v>
      </c>
      <c r="Z891" s="2140">
        <v>45338</v>
      </c>
      <c r="AA891" s="2140">
        <v>45343</v>
      </c>
      <c r="AB891" s="2140">
        <v>46897</v>
      </c>
      <c r="AC891" s="796"/>
      <c r="AD891" s="796"/>
      <c r="AE891" s="360" t="s">
        <v>16795</v>
      </c>
    </row>
    <row r="892" spans="1:31">
      <c r="A892" s="2140">
        <v>45259</v>
      </c>
      <c r="B892" s="2143" t="s">
        <v>16342</v>
      </c>
      <c r="C892" s="2141" t="s">
        <v>2712</v>
      </c>
      <c r="D892" s="2141" t="s">
        <v>2731</v>
      </c>
      <c r="E892" s="2141" t="s">
        <v>655</v>
      </c>
      <c r="F892" s="2142" t="s">
        <v>16343</v>
      </c>
      <c r="G892" s="2141"/>
      <c r="H892" s="2143"/>
      <c r="I892" s="2143" t="s">
        <v>15369</v>
      </c>
      <c r="J892" s="2141" t="s">
        <v>6246</v>
      </c>
      <c r="K892" s="2141"/>
      <c r="L892" s="2144">
        <v>350000</v>
      </c>
      <c r="M892" s="2141" t="s">
        <v>112</v>
      </c>
      <c r="N892" s="2140">
        <v>45274</v>
      </c>
      <c r="O892" s="2140">
        <v>45287</v>
      </c>
      <c r="P892" s="2140">
        <v>45295</v>
      </c>
      <c r="Q892" s="2143" t="s">
        <v>16485</v>
      </c>
      <c r="R892" s="2141"/>
      <c r="S892" s="2144">
        <v>391757.68</v>
      </c>
      <c r="T892" s="2144">
        <v>441000</v>
      </c>
      <c r="U892" s="2145"/>
      <c r="V892" s="2145"/>
      <c r="W892" s="2145"/>
      <c r="X892" s="2146">
        <v>45295</v>
      </c>
      <c r="Y892" s="2144" t="s">
        <v>16506</v>
      </c>
      <c r="Z892" s="2140">
        <v>45300</v>
      </c>
      <c r="AA892" s="2140">
        <v>45300</v>
      </c>
      <c r="AB892" s="2140">
        <v>45325</v>
      </c>
      <c r="AC892" s="796"/>
      <c r="AD892" s="796"/>
    </row>
    <row r="893" spans="1:31" ht="30">
      <c r="A893" s="2140">
        <v>45265</v>
      </c>
      <c r="B893" s="2143" t="s">
        <v>16354</v>
      </c>
      <c r="C893" s="2141" t="s">
        <v>58</v>
      </c>
      <c r="D893" s="2141" t="s">
        <v>15443</v>
      </c>
      <c r="E893" s="2141" t="s">
        <v>13951</v>
      </c>
      <c r="F893" s="2142" t="s">
        <v>16355</v>
      </c>
      <c r="G893" s="2141"/>
      <c r="H893" s="2143"/>
      <c r="I893" s="2664" t="s">
        <v>15369</v>
      </c>
      <c r="J893" s="2141" t="s">
        <v>3423</v>
      </c>
      <c r="K893" s="2141" t="s">
        <v>16356</v>
      </c>
      <c r="L893" s="2144">
        <v>885000</v>
      </c>
      <c r="M893" s="2141" t="s">
        <v>112</v>
      </c>
      <c r="N893" s="2140">
        <v>45267</v>
      </c>
      <c r="O893" s="2140">
        <v>45282</v>
      </c>
      <c r="P893" s="2140">
        <v>45296</v>
      </c>
      <c r="Q893" s="2143" t="s">
        <v>9419</v>
      </c>
      <c r="R893" s="2141"/>
      <c r="S893" s="2144">
        <v>895200</v>
      </c>
      <c r="T893" s="2144">
        <v>1083192</v>
      </c>
      <c r="U893" s="2145"/>
      <c r="V893" s="2145"/>
      <c r="W893" s="2145"/>
      <c r="X893" s="2146">
        <v>45296</v>
      </c>
      <c r="Y893" s="2260" t="s">
        <v>16515</v>
      </c>
      <c r="Z893" s="2140">
        <v>45308</v>
      </c>
      <c r="AA893" s="2140">
        <v>45309</v>
      </c>
      <c r="AB893" s="2140">
        <v>45338</v>
      </c>
      <c r="AC893" s="796"/>
      <c r="AD893" s="796"/>
    </row>
    <row r="894" spans="1:31">
      <c r="A894" s="2140">
        <v>45265</v>
      </c>
      <c r="B894" s="2143" t="s">
        <v>16357</v>
      </c>
      <c r="C894" s="2141" t="s">
        <v>58</v>
      </c>
      <c r="D894" s="2141" t="s">
        <v>15443</v>
      </c>
      <c r="E894" s="2141" t="s">
        <v>655</v>
      </c>
      <c r="F894" s="2142" t="s">
        <v>16358</v>
      </c>
      <c r="G894" s="2141"/>
      <c r="H894" s="2143"/>
      <c r="I894" s="2143" t="s">
        <v>15369</v>
      </c>
      <c r="J894" s="2141" t="s">
        <v>275</v>
      </c>
      <c r="K894" s="2141" t="s">
        <v>16359</v>
      </c>
      <c r="L894" s="2144">
        <v>975560</v>
      </c>
      <c r="M894" s="2141" t="s">
        <v>112</v>
      </c>
      <c r="N894" s="2140">
        <v>45268</v>
      </c>
      <c r="O894" s="2140">
        <v>45279</v>
      </c>
      <c r="P894" s="2140">
        <v>45306</v>
      </c>
      <c r="Q894" s="2143" t="s">
        <v>5214</v>
      </c>
      <c r="R894" s="2141"/>
      <c r="S894" s="2144">
        <v>9700000</v>
      </c>
      <c r="T894" s="2144">
        <v>1173700</v>
      </c>
      <c r="U894" s="2145"/>
      <c r="V894" s="2145"/>
      <c r="W894" s="2145"/>
      <c r="X894" s="2146">
        <v>45306</v>
      </c>
      <c r="Y894" s="2144" t="s">
        <v>16578</v>
      </c>
      <c r="Z894" s="2140">
        <v>45315</v>
      </c>
      <c r="AA894" s="2140">
        <v>45316</v>
      </c>
      <c r="AB894" s="2140">
        <v>45355</v>
      </c>
      <c r="AC894" s="796"/>
      <c r="AD894" s="796"/>
    </row>
    <row r="895" spans="1:31" ht="30">
      <c r="A895" s="2140">
        <v>45265</v>
      </c>
      <c r="B895" s="2143" t="s">
        <v>16361</v>
      </c>
      <c r="C895" s="2141" t="s">
        <v>58</v>
      </c>
      <c r="D895" s="2141" t="s">
        <v>15443</v>
      </c>
      <c r="E895" s="2141" t="s">
        <v>13951</v>
      </c>
      <c r="F895" s="2142" t="s">
        <v>16363</v>
      </c>
      <c r="G895" s="2141"/>
      <c r="H895" s="2143"/>
      <c r="I895" s="2143" t="s">
        <v>15369</v>
      </c>
      <c r="J895" s="2141" t="s">
        <v>3423</v>
      </c>
      <c r="K895" s="2141" t="s">
        <v>16362</v>
      </c>
      <c r="L895" s="2144">
        <v>175000</v>
      </c>
      <c r="M895" s="2141" t="s">
        <v>112</v>
      </c>
      <c r="N895" s="2140">
        <v>45267</v>
      </c>
      <c r="O895" s="2140">
        <v>45278</v>
      </c>
      <c r="P895" s="2140">
        <v>45281</v>
      </c>
      <c r="Q895" s="2143" t="s">
        <v>14034</v>
      </c>
      <c r="R895" s="2141"/>
      <c r="S895" s="2144">
        <v>112626</v>
      </c>
      <c r="T895" s="2144">
        <v>136277.46</v>
      </c>
      <c r="U895" s="2145"/>
      <c r="V895" s="2145"/>
      <c r="W895" s="2145"/>
      <c r="X895" s="2146">
        <v>45281</v>
      </c>
      <c r="Y895" s="2260" t="s">
        <v>16468</v>
      </c>
      <c r="Z895" s="2140">
        <v>45293</v>
      </c>
      <c r="AA895" s="2140">
        <v>45293</v>
      </c>
      <c r="AB895" s="2140">
        <v>45353</v>
      </c>
      <c r="AC895" s="796"/>
      <c r="AD895" s="796"/>
    </row>
    <row r="896" spans="1:31" ht="30">
      <c r="A896" s="2140">
        <v>45258</v>
      </c>
      <c r="B896" s="2143" t="s">
        <v>16367</v>
      </c>
      <c r="C896" s="2141" t="s">
        <v>2434</v>
      </c>
      <c r="D896" s="2141" t="s">
        <v>3204</v>
      </c>
      <c r="E896" s="2141" t="s">
        <v>15813</v>
      </c>
      <c r="F896" s="2142" t="s">
        <v>16368</v>
      </c>
      <c r="G896" s="2141"/>
      <c r="H896" s="2143"/>
      <c r="I896" s="2143" t="s">
        <v>15369</v>
      </c>
      <c r="J896" s="2141" t="s">
        <v>642</v>
      </c>
      <c r="K896" s="2141"/>
      <c r="L896" s="2144">
        <v>13884000</v>
      </c>
      <c r="M896" s="2141" t="s">
        <v>251</v>
      </c>
      <c r="N896" s="2140">
        <v>45271</v>
      </c>
      <c r="O896" s="2140">
        <v>45306</v>
      </c>
      <c r="P896" s="2140">
        <v>45315</v>
      </c>
      <c r="Q896" s="2143" t="s">
        <v>13607</v>
      </c>
      <c r="R896" s="2141"/>
      <c r="S896" s="2144">
        <v>13884000</v>
      </c>
      <c r="T896" s="2144">
        <v>15550080</v>
      </c>
      <c r="U896" s="2145"/>
      <c r="V896" s="2145"/>
      <c r="W896" s="2145"/>
      <c r="X896" s="2146">
        <v>45315</v>
      </c>
      <c r="Y896" s="2260" t="s">
        <v>16664</v>
      </c>
      <c r="Z896" s="2140">
        <v>45321</v>
      </c>
      <c r="AA896" s="2140">
        <v>45329</v>
      </c>
      <c r="AB896" s="2140">
        <v>45393</v>
      </c>
      <c r="AC896" s="796"/>
      <c r="AD896" s="796"/>
      <c r="AE896" s="360" t="s">
        <v>16706</v>
      </c>
    </row>
    <row r="897" spans="1:28" ht="30">
      <c r="A897" s="2140">
        <v>45266</v>
      </c>
      <c r="B897" s="2143" t="s">
        <v>16372</v>
      </c>
      <c r="C897" s="2141" t="s">
        <v>58</v>
      </c>
      <c r="D897" s="2141" t="s">
        <v>15443</v>
      </c>
      <c r="E897" s="2141" t="s">
        <v>13948</v>
      </c>
      <c r="F897" s="2142" t="s">
        <v>16373</v>
      </c>
      <c r="G897" s="2141"/>
      <c r="H897" s="2143"/>
      <c r="I897" s="2143" t="s">
        <v>15369</v>
      </c>
      <c r="J897" s="2141" t="s">
        <v>396</v>
      </c>
      <c r="K897" s="2141" t="s">
        <v>16374</v>
      </c>
      <c r="L897" s="2144">
        <v>239500</v>
      </c>
      <c r="M897" s="2141" t="s">
        <v>251</v>
      </c>
      <c r="N897" s="2140">
        <v>45271</v>
      </c>
      <c r="O897" s="2140">
        <v>45308</v>
      </c>
      <c r="P897" s="2140">
        <v>45323</v>
      </c>
      <c r="Q897" s="2143" t="s">
        <v>12260</v>
      </c>
      <c r="R897" s="2141"/>
      <c r="S897" s="2144">
        <v>233600</v>
      </c>
      <c r="T897" s="2144">
        <v>282656</v>
      </c>
      <c r="U897" s="2145"/>
      <c r="V897" s="2145"/>
      <c r="W897" s="2145"/>
      <c r="X897" s="2146">
        <v>45323</v>
      </c>
      <c r="Y897" s="2260" t="s">
        <v>16719</v>
      </c>
      <c r="Z897" s="2140">
        <v>45342</v>
      </c>
      <c r="AA897" s="2140">
        <v>45350</v>
      </c>
      <c r="AB897" s="2140">
        <v>45387</v>
      </c>
    </row>
    <row r="898" spans="1:28">
      <c r="A898" s="2141" t="s">
        <v>16260</v>
      </c>
      <c r="B898" s="2143" t="s">
        <v>16383</v>
      </c>
      <c r="C898" s="2141" t="s">
        <v>1754</v>
      </c>
      <c r="D898" s="2141" t="s">
        <v>13</v>
      </c>
      <c r="E898" s="2141" t="s">
        <v>13951</v>
      </c>
      <c r="F898" s="2142" t="s">
        <v>16384</v>
      </c>
      <c r="G898" s="2141"/>
      <c r="H898" s="2143"/>
      <c r="I898" s="2143" t="s">
        <v>15369</v>
      </c>
      <c r="J898" s="2141" t="s">
        <v>722</v>
      </c>
      <c r="K898" s="2141"/>
      <c r="L898" s="2144">
        <v>735000</v>
      </c>
      <c r="M898" s="2141" t="s">
        <v>112</v>
      </c>
      <c r="N898" s="2140">
        <v>45275</v>
      </c>
      <c r="O898" s="2140">
        <v>45301</v>
      </c>
      <c r="P898" s="2140">
        <v>45313</v>
      </c>
      <c r="Q898" s="2143" t="s">
        <v>12329</v>
      </c>
      <c r="R898" s="2141"/>
      <c r="S898" s="2144">
        <v>845265.85</v>
      </c>
      <c r="T898" s="2144">
        <v>1022771.68</v>
      </c>
      <c r="U898" s="2145"/>
      <c r="V898" s="2145"/>
      <c r="W898" s="2145"/>
      <c r="X898" s="2146">
        <v>45313</v>
      </c>
      <c r="Y898" s="2144" t="s">
        <v>16633</v>
      </c>
      <c r="Z898" s="2140">
        <v>45322</v>
      </c>
      <c r="AA898" s="2140">
        <v>45323</v>
      </c>
      <c r="AB898" s="2140">
        <v>45687</v>
      </c>
    </row>
    <row r="899" spans="1:28">
      <c r="A899" s="2140">
        <v>45271</v>
      </c>
      <c r="B899" s="2143" t="s">
        <v>16388</v>
      </c>
      <c r="C899" s="2141" t="s">
        <v>69</v>
      </c>
      <c r="D899" s="2264" t="s">
        <v>70</v>
      </c>
      <c r="E899" s="2141" t="s">
        <v>13949</v>
      </c>
      <c r="F899" s="2142" t="s">
        <v>16389</v>
      </c>
      <c r="G899" s="2141"/>
      <c r="H899" s="2143"/>
      <c r="I899" s="2143" t="s">
        <v>16672</v>
      </c>
      <c r="J899" s="2141" t="s">
        <v>16390</v>
      </c>
      <c r="K899" s="2141"/>
      <c r="L899" s="2144">
        <v>2500000000</v>
      </c>
      <c r="M899" s="2141" t="s">
        <v>16391</v>
      </c>
      <c r="N899" s="2140">
        <v>45275</v>
      </c>
      <c r="O899" s="2140">
        <v>45310</v>
      </c>
      <c r="P899" s="2141"/>
      <c r="Q899" s="2143" t="s">
        <v>16673</v>
      </c>
      <c r="R899" s="2141"/>
      <c r="S899" s="2144"/>
      <c r="T899" s="2144"/>
      <c r="U899" s="2145"/>
      <c r="V899" s="2145"/>
      <c r="W899" s="2145"/>
      <c r="X899" s="2144"/>
      <c r="Y899" s="2144"/>
      <c r="Z899" s="2141"/>
      <c r="AA899" s="2140">
        <v>45317</v>
      </c>
      <c r="AB899" s="2141"/>
    </row>
    <row r="900" spans="1:28">
      <c r="A900" s="2140">
        <v>45271</v>
      </c>
      <c r="B900" s="2143" t="s">
        <v>16393</v>
      </c>
      <c r="C900" s="2141" t="s">
        <v>52</v>
      </c>
      <c r="D900" s="2141" t="s">
        <v>7503</v>
      </c>
      <c r="E900" s="2141" t="s">
        <v>13951</v>
      </c>
      <c r="F900" s="2142" t="s">
        <v>16394</v>
      </c>
      <c r="G900" s="2141"/>
      <c r="H900" s="2143"/>
      <c r="I900" s="2143" t="s">
        <v>15369</v>
      </c>
      <c r="J900" s="2141" t="s">
        <v>484</v>
      </c>
      <c r="K900" s="2141" t="s">
        <v>16395</v>
      </c>
      <c r="L900" s="2144">
        <v>400000</v>
      </c>
      <c r="M900" s="2141" t="s">
        <v>112</v>
      </c>
      <c r="N900" s="2140">
        <v>45275</v>
      </c>
      <c r="O900" s="2140">
        <v>45295</v>
      </c>
      <c r="P900" s="2140">
        <v>45296</v>
      </c>
      <c r="Q900" s="2143" t="s">
        <v>3503</v>
      </c>
      <c r="R900" s="2141"/>
      <c r="S900" s="2144">
        <v>429000</v>
      </c>
      <c r="T900" s="2144">
        <v>519090</v>
      </c>
      <c r="U900" s="2145"/>
      <c r="V900" s="2145"/>
      <c r="W900" s="2145"/>
      <c r="X900" s="2146">
        <v>45296</v>
      </c>
      <c r="Y900" s="2144" t="s">
        <v>16514</v>
      </c>
      <c r="Z900" s="2140">
        <v>45307</v>
      </c>
      <c r="AA900" s="2140">
        <v>45307</v>
      </c>
      <c r="AB900" s="2141"/>
    </row>
    <row r="901" spans="1:28" ht="30">
      <c r="A901" s="2141" t="s">
        <v>15897</v>
      </c>
      <c r="B901" s="2143" t="s">
        <v>16402</v>
      </c>
      <c r="C901" s="2141" t="s">
        <v>15898</v>
      </c>
      <c r="D901" s="2141" t="s">
        <v>12887</v>
      </c>
      <c r="E901" s="2141" t="s">
        <v>13950</v>
      </c>
      <c r="F901" s="2142" t="s">
        <v>16404</v>
      </c>
      <c r="G901" s="2141"/>
      <c r="H901" s="2143"/>
      <c r="I901" s="2143" t="s">
        <v>15369</v>
      </c>
      <c r="J901" s="2264" t="s">
        <v>15900</v>
      </c>
      <c r="K901" s="2141"/>
      <c r="L901" s="2144">
        <v>8500000</v>
      </c>
      <c r="M901" s="2141" t="s">
        <v>251</v>
      </c>
      <c r="N901" s="2140">
        <v>45274</v>
      </c>
      <c r="O901" s="2140">
        <v>45309</v>
      </c>
      <c r="P901" s="2140">
        <v>45329</v>
      </c>
      <c r="Q901" s="2143" t="s">
        <v>16681</v>
      </c>
      <c r="R901" s="2141"/>
      <c r="S901" s="2144">
        <v>8494980</v>
      </c>
      <c r="T901" s="2144">
        <v>10278925.800000001</v>
      </c>
      <c r="U901" s="2145"/>
      <c r="V901" s="2145"/>
      <c r="W901" s="2145"/>
      <c r="X901" s="2146">
        <v>45329</v>
      </c>
      <c r="Y901" s="2144" t="s">
        <v>16740</v>
      </c>
      <c r="Z901" s="2140">
        <v>45331</v>
      </c>
      <c r="AA901" s="2140">
        <v>45357</v>
      </c>
      <c r="AB901" s="2141" t="s">
        <v>4096</v>
      </c>
    </row>
    <row r="902" spans="1:28" ht="15.75" thickBot="1">
      <c r="A902" s="416">
        <v>45273</v>
      </c>
      <c r="B902" s="630" t="s">
        <v>16405</v>
      </c>
      <c r="C902" s="411" t="s">
        <v>2434</v>
      </c>
      <c r="D902" s="411" t="s">
        <v>55</v>
      </c>
      <c r="E902" s="411" t="s">
        <v>655</v>
      </c>
      <c r="F902" s="412" t="s">
        <v>16406</v>
      </c>
      <c r="G902" s="411"/>
      <c r="H902" s="630"/>
      <c r="I902" s="630" t="s">
        <v>15369</v>
      </c>
      <c r="J902" s="411" t="s">
        <v>756</v>
      </c>
      <c r="K902" s="411"/>
      <c r="L902" s="417">
        <v>600000</v>
      </c>
      <c r="M902" s="411" t="s">
        <v>112</v>
      </c>
      <c r="N902" s="416">
        <v>45278</v>
      </c>
      <c r="O902" s="416">
        <v>45296</v>
      </c>
      <c r="P902" s="416">
        <v>45306</v>
      </c>
      <c r="Q902" s="630" t="s">
        <v>2285</v>
      </c>
      <c r="R902" s="411"/>
      <c r="S902" s="417">
        <v>928914.3</v>
      </c>
      <c r="T902" s="417">
        <v>1123986.3</v>
      </c>
      <c r="U902" s="1480"/>
      <c r="V902" s="1480"/>
      <c r="W902" s="1480"/>
      <c r="X902" s="513">
        <v>45306</v>
      </c>
      <c r="Y902" s="417" t="s">
        <v>16577</v>
      </c>
      <c r="Z902" s="416">
        <v>45310</v>
      </c>
      <c r="AA902" s="416">
        <v>45310</v>
      </c>
      <c r="AB902" s="416">
        <v>45352</v>
      </c>
    </row>
    <row r="903" spans="1:28" ht="15.75" thickTop="1">
      <c r="A903" s="474">
        <v>45278</v>
      </c>
      <c r="B903" s="1420" t="s">
        <v>16413</v>
      </c>
      <c r="C903" s="453" t="s">
        <v>69</v>
      </c>
      <c r="D903" s="453" t="s">
        <v>15129</v>
      </c>
      <c r="E903" s="453" t="s">
        <v>13949</v>
      </c>
      <c r="F903" s="473" t="s">
        <v>16414</v>
      </c>
      <c r="G903" s="453">
        <v>1</v>
      </c>
      <c r="H903" s="1420" t="s">
        <v>16416</v>
      </c>
      <c r="I903" s="1420" t="s">
        <v>15369</v>
      </c>
      <c r="J903" s="453" t="s">
        <v>814</v>
      </c>
      <c r="K903" s="453"/>
      <c r="L903" s="457">
        <v>2277231</v>
      </c>
      <c r="M903" s="453" t="s">
        <v>251</v>
      </c>
      <c r="N903" s="474">
        <v>45287</v>
      </c>
      <c r="O903" s="474">
        <v>45322</v>
      </c>
      <c r="P903" s="474">
        <v>45351</v>
      </c>
      <c r="Q903" s="1420" t="s">
        <v>1564</v>
      </c>
      <c r="R903" s="453"/>
      <c r="S903" s="457">
        <v>2277230.1</v>
      </c>
      <c r="T903" s="457">
        <v>2550497.71</v>
      </c>
      <c r="U903" s="1474"/>
      <c r="V903" s="1474"/>
      <c r="W903" s="1474"/>
      <c r="X903" s="570">
        <v>45351</v>
      </c>
      <c r="Y903" s="457" t="s">
        <v>16906</v>
      </c>
      <c r="Z903" s="474">
        <v>45362</v>
      </c>
      <c r="AA903" s="474">
        <v>45363</v>
      </c>
      <c r="AB903" s="474">
        <v>46456</v>
      </c>
    </row>
    <row r="904" spans="1:28" ht="15.75" thickBot="1">
      <c r="A904" s="2130">
        <v>45278</v>
      </c>
      <c r="B904" s="2133" t="s">
        <v>16415</v>
      </c>
      <c r="C904" s="2131" t="s">
        <v>69</v>
      </c>
      <c r="D904" s="2131" t="s">
        <v>15129</v>
      </c>
      <c r="E904" s="2131" t="s">
        <v>13949</v>
      </c>
      <c r="F904" s="2132" t="s">
        <v>16414</v>
      </c>
      <c r="G904" s="2131">
        <v>2</v>
      </c>
      <c r="H904" s="2133" t="s">
        <v>10965</v>
      </c>
      <c r="I904" s="2133" t="s">
        <v>242</v>
      </c>
      <c r="J904" s="2131" t="s">
        <v>814</v>
      </c>
      <c r="K904" s="2131"/>
      <c r="L904" s="2134">
        <v>309543</v>
      </c>
      <c r="M904" s="2131" t="s">
        <v>251</v>
      </c>
      <c r="N904" s="2130">
        <v>45287</v>
      </c>
      <c r="O904" s="2130">
        <v>45322</v>
      </c>
      <c r="P904" s="2131"/>
      <c r="Q904" s="2137" t="s">
        <v>304</v>
      </c>
      <c r="R904" s="2131"/>
      <c r="S904" s="2134"/>
      <c r="T904" s="2134"/>
      <c r="U904" s="2135"/>
      <c r="V904" s="2135"/>
      <c r="W904" s="2135"/>
      <c r="X904" s="2134"/>
      <c r="Y904" s="2134"/>
      <c r="Z904" s="2131"/>
      <c r="AA904" s="2130">
        <v>45348</v>
      </c>
      <c r="AB904" s="2131" t="s">
        <v>16742</v>
      </c>
    </row>
    <row r="905" spans="1:28" ht="15.75" thickTop="1">
      <c r="A905" s="365">
        <v>45278</v>
      </c>
      <c r="B905" s="3192" t="s">
        <v>16417</v>
      </c>
      <c r="C905" s="3191" t="s">
        <v>69</v>
      </c>
      <c r="D905" s="3191" t="s">
        <v>15129</v>
      </c>
      <c r="E905" s="3191" t="s">
        <v>15813</v>
      </c>
      <c r="F905" s="175" t="s">
        <v>16418</v>
      </c>
      <c r="G905" s="3191">
        <v>1</v>
      </c>
      <c r="H905" s="3192" t="s">
        <v>16420</v>
      </c>
      <c r="I905" s="3192" t="s">
        <v>15369</v>
      </c>
      <c r="J905" s="3191" t="s">
        <v>814</v>
      </c>
      <c r="K905" s="3191"/>
      <c r="L905" s="364">
        <v>1543212</v>
      </c>
      <c r="M905" s="3191" t="s">
        <v>251</v>
      </c>
      <c r="N905" s="365">
        <v>45288</v>
      </c>
      <c r="O905" s="365">
        <v>45323</v>
      </c>
      <c r="P905" s="365">
        <v>45348</v>
      </c>
      <c r="Q905" s="3192" t="s">
        <v>576</v>
      </c>
      <c r="R905" s="3191"/>
      <c r="S905" s="364">
        <v>1249767.8999999999</v>
      </c>
      <c r="T905" s="364">
        <v>1399740.05</v>
      </c>
      <c r="U905" s="1473"/>
      <c r="V905" s="1473"/>
      <c r="W905" s="1473"/>
      <c r="X905" s="681">
        <v>45348</v>
      </c>
      <c r="Y905" s="364" t="s">
        <v>16880</v>
      </c>
      <c r="Z905" s="365">
        <v>45378</v>
      </c>
      <c r="AA905" s="365">
        <v>45385</v>
      </c>
      <c r="AB905" s="365">
        <v>46472</v>
      </c>
    </row>
    <row r="906" spans="1:28">
      <c r="A906" s="2140">
        <v>45278</v>
      </c>
      <c r="B906" s="2143" t="s">
        <v>16419</v>
      </c>
      <c r="C906" s="2141" t="s">
        <v>69</v>
      </c>
      <c r="D906" s="2141" t="s">
        <v>15129</v>
      </c>
      <c r="E906" s="2141" t="s">
        <v>15813</v>
      </c>
      <c r="F906" s="2142" t="s">
        <v>16418</v>
      </c>
      <c r="G906" s="2141">
        <v>2</v>
      </c>
      <c r="H906" s="2143" t="s">
        <v>16421</v>
      </c>
      <c r="I906" s="2143" t="s">
        <v>15369</v>
      </c>
      <c r="J906" s="2141" t="s">
        <v>814</v>
      </c>
      <c r="K906" s="2141"/>
      <c r="L906" s="2144">
        <v>11384604</v>
      </c>
      <c r="M906" s="2141" t="s">
        <v>251</v>
      </c>
      <c r="N906" s="2140">
        <v>45288</v>
      </c>
      <c r="O906" s="2140">
        <v>45323</v>
      </c>
      <c r="P906" s="2140">
        <v>45348</v>
      </c>
      <c r="Q906" s="2143" t="s">
        <v>1564</v>
      </c>
      <c r="R906" s="2141"/>
      <c r="S906" s="2144">
        <v>7678314</v>
      </c>
      <c r="T906" s="2144">
        <v>8599711.6799999997</v>
      </c>
      <c r="U906" s="2145"/>
      <c r="V906" s="2145"/>
      <c r="W906" s="2145"/>
      <c r="X906" s="2146">
        <v>45348</v>
      </c>
      <c r="Y906" s="2144" t="s">
        <v>16881</v>
      </c>
      <c r="Z906" s="2140">
        <v>45378</v>
      </c>
      <c r="AA906" s="2140">
        <v>45385</v>
      </c>
      <c r="AB906" s="2140">
        <v>46472</v>
      </c>
    </row>
    <row r="907" spans="1:28">
      <c r="A907" s="2140">
        <v>45278</v>
      </c>
      <c r="B907" s="2143" t="s">
        <v>16422</v>
      </c>
      <c r="C907" s="2141" t="s">
        <v>69</v>
      </c>
      <c r="D907" s="2141" t="s">
        <v>15129</v>
      </c>
      <c r="E907" s="2141" t="s">
        <v>15813</v>
      </c>
      <c r="F907" s="2142" t="s">
        <v>16424</v>
      </c>
      <c r="G907" s="2141"/>
      <c r="H907" s="2142" t="s">
        <v>16423</v>
      </c>
      <c r="I907" s="2143" t="s">
        <v>15369</v>
      </c>
      <c r="J907" s="2141" t="s">
        <v>814</v>
      </c>
      <c r="K907" s="2141"/>
      <c r="L907" s="2144">
        <v>1994052</v>
      </c>
      <c r="M907" s="2141" t="s">
        <v>251</v>
      </c>
      <c r="N907" s="2140">
        <v>45288</v>
      </c>
      <c r="O907" s="2140">
        <v>45323</v>
      </c>
      <c r="P907" s="2140">
        <v>45377</v>
      </c>
      <c r="Q907" s="2143" t="s">
        <v>1564</v>
      </c>
      <c r="R907" s="2141"/>
      <c r="S907" s="2144">
        <v>1954053</v>
      </c>
      <c r="T907" s="2144">
        <v>2188539.36</v>
      </c>
      <c r="U907" s="2145"/>
      <c r="V907" s="2145"/>
      <c r="W907" s="2145"/>
      <c r="X907" s="2146">
        <v>45377</v>
      </c>
      <c r="Y907" s="2144" t="s">
        <v>17103</v>
      </c>
      <c r="Z907" s="2140">
        <v>45398</v>
      </c>
      <c r="AA907" s="2140">
        <v>45399</v>
      </c>
      <c r="AB907" s="2140">
        <v>46492</v>
      </c>
    </row>
    <row r="908" spans="1:28" ht="15.75" thickBot="1">
      <c r="A908" s="643">
        <v>45278</v>
      </c>
      <c r="B908" s="1533" t="s">
        <v>16426</v>
      </c>
      <c r="C908" s="639" t="s">
        <v>2434</v>
      </c>
      <c r="D908" s="639" t="s">
        <v>219</v>
      </c>
      <c r="E908" s="639" t="s">
        <v>13951</v>
      </c>
      <c r="F908" s="640" t="s">
        <v>16427</v>
      </c>
      <c r="G908" s="639"/>
      <c r="H908" s="1533"/>
      <c r="I908" s="1533" t="s">
        <v>242</v>
      </c>
      <c r="J908" s="639" t="s">
        <v>642</v>
      </c>
      <c r="K908" s="639"/>
      <c r="L908" s="645">
        <v>1254000</v>
      </c>
      <c r="M908" s="639" t="s">
        <v>112</v>
      </c>
      <c r="N908" s="643">
        <v>45281</v>
      </c>
      <c r="O908" s="643">
        <v>45294</v>
      </c>
      <c r="P908" s="639"/>
      <c r="Q908" s="644" t="s">
        <v>304</v>
      </c>
      <c r="R908" s="639"/>
      <c r="S908" s="645"/>
      <c r="T908" s="645"/>
      <c r="U908" s="1534"/>
      <c r="V908" s="1534"/>
      <c r="W908" s="1534"/>
      <c r="X908" s="645"/>
      <c r="Y908" s="645"/>
      <c r="Z908" s="639"/>
      <c r="AA908" s="643">
        <v>45294</v>
      </c>
      <c r="AB908" s="639"/>
    </row>
    <row r="909" spans="1:28" ht="15.75" thickTop="1">
      <c r="A909" s="474">
        <v>45278</v>
      </c>
      <c r="B909" s="1420" t="s">
        <v>16428</v>
      </c>
      <c r="C909" s="453" t="s">
        <v>69</v>
      </c>
      <c r="D909" s="453" t="s">
        <v>15129</v>
      </c>
      <c r="E909" s="453" t="s">
        <v>13949</v>
      </c>
      <c r="F909" s="473" t="s">
        <v>16432</v>
      </c>
      <c r="G909" s="453">
        <v>1</v>
      </c>
      <c r="H909" s="1420" t="s">
        <v>16431</v>
      </c>
      <c r="I909" s="1420" t="s">
        <v>15369</v>
      </c>
      <c r="J909" s="453" t="s">
        <v>814</v>
      </c>
      <c r="K909" s="453"/>
      <c r="L909" s="457">
        <v>343728</v>
      </c>
      <c r="M909" s="453" t="s">
        <v>251</v>
      </c>
      <c r="N909" s="474">
        <v>45287</v>
      </c>
      <c r="O909" s="474">
        <v>45334</v>
      </c>
      <c r="P909" s="474">
        <v>45362</v>
      </c>
      <c r="Q909" s="1420" t="s">
        <v>576</v>
      </c>
      <c r="R909" s="453"/>
      <c r="S909" s="457">
        <v>273866.40000000002</v>
      </c>
      <c r="T909" s="457">
        <v>306730.37</v>
      </c>
      <c r="U909" s="1474"/>
      <c r="V909" s="1474"/>
      <c r="W909" s="1474"/>
      <c r="X909" s="570">
        <v>45362</v>
      </c>
      <c r="Y909" s="457" t="s">
        <v>16979</v>
      </c>
      <c r="Z909" s="474">
        <v>45384</v>
      </c>
      <c r="AA909" s="474">
        <v>45394</v>
      </c>
      <c r="AB909" s="474">
        <v>46478</v>
      </c>
    </row>
    <row r="910" spans="1:28">
      <c r="A910" s="2124">
        <v>45278</v>
      </c>
      <c r="B910" s="2127" t="s">
        <v>16429</v>
      </c>
      <c r="C910" s="2125" t="s">
        <v>69</v>
      </c>
      <c r="D910" s="2125" t="s">
        <v>15129</v>
      </c>
      <c r="E910" s="2125" t="s">
        <v>13949</v>
      </c>
      <c r="F910" s="2126" t="s">
        <v>16432</v>
      </c>
      <c r="G910" s="2125">
        <v>2</v>
      </c>
      <c r="H910" s="2127" t="s">
        <v>16433</v>
      </c>
      <c r="I910" s="2127" t="s">
        <v>242</v>
      </c>
      <c r="J910" s="2125" t="s">
        <v>814</v>
      </c>
      <c r="K910" s="2125"/>
      <c r="L910" s="2128">
        <v>387187</v>
      </c>
      <c r="M910" s="2125" t="s">
        <v>251</v>
      </c>
      <c r="N910" s="2124">
        <v>45287</v>
      </c>
      <c r="O910" s="2124">
        <v>45334</v>
      </c>
      <c r="P910" s="2125"/>
      <c r="Q910" s="2136" t="s">
        <v>304</v>
      </c>
      <c r="R910" s="2125"/>
      <c r="S910" s="2128"/>
      <c r="T910" s="2128"/>
      <c r="U910" s="2129"/>
      <c r="V910" s="2129"/>
      <c r="W910" s="2129"/>
      <c r="X910" s="2128"/>
      <c r="Y910" s="2128"/>
      <c r="Z910" s="2125"/>
      <c r="AA910" s="2124">
        <v>45362</v>
      </c>
      <c r="AB910" s="2125" t="s">
        <v>16940</v>
      </c>
    </row>
    <row r="911" spans="1:28" ht="15.75" thickBot="1">
      <c r="A911" s="2130">
        <v>45278</v>
      </c>
      <c r="B911" s="2133" t="s">
        <v>16430</v>
      </c>
      <c r="C911" s="2131" t="s">
        <v>69</v>
      </c>
      <c r="D911" s="2131" t="s">
        <v>15129</v>
      </c>
      <c r="E911" s="2131" t="s">
        <v>13949</v>
      </c>
      <c r="F911" s="2132" t="s">
        <v>16432</v>
      </c>
      <c r="G911" s="2131">
        <v>3</v>
      </c>
      <c r="H911" s="2133" t="s">
        <v>16434</v>
      </c>
      <c r="I911" s="2133" t="s">
        <v>242</v>
      </c>
      <c r="J911" s="2131" t="s">
        <v>814</v>
      </c>
      <c r="K911" s="2131"/>
      <c r="L911" s="2134">
        <v>343728</v>
      </c>
      <c r="M911" s="2131" t="s">
        <v>251</v>
      </c>
      <c r="N911" s="2130">
        <v>45287</v>
      </c>
      <c r="O911" s="2130">
        <v>45334</v>
      </c>
      <c r="P911" s="2130">
        <v>45362</v>
      </c>
      <c r="Q911" s="2137" t="s">
        <v>17071</v>
      </c>
      <c r="R911" s="2131"/>
      <c r="S911" s="2134">
        <v>1525910.16</v>
      </c>
      <c r="T911" s="2134">
        <v>1709019.38</v>
      </c>
      <c r="U911" s="2135"/>
      <c r="V911" s="2135"/>
      <c r="W911" s="2135"/>
      <c r="X911" s="2163">
        <v>45362</v>
      </c>
      <c r="Y911" s="2134" t="s">
        <v>16980</v>
      </c>
      <c r="Z911" s="2131"/>
      <c r="AA911" s="2130">
        <v>45394</v>
      </c>
      <c r="AB911" s="2133" t="s">
        <v>17177</v>
      </c>
    </row>
    <row r="912" spans="1:28" ht="30.75" thickTop="1">
      <c r="A912" s="365">
        <v>45279</v>
      </c>
      <c r="B912" s="3192" t="s">
        <v>16435</v>
      </c>
      <c r="C912" s="3191" t="s">
        <v>58</v>
      </c>
      <c r="D912" s="3191" t="s">
        <v>15443</v>
      </c>
      <c r="E912" s="3191" t="s">
        <v>13948</v>
      </c>
      <c r="F912" s="175" t="s">
        <v>5174</v>
      </c>
      <c r="G912" s="3191"/>
      <c r="H912" s="3192"/>
      <c r="I912" s="3192" t="s">
        <v>15369</v>
      </c>
      <c r="J912" s="3191" t="s">
        <v>86</v>
      </c>
      <c r="K912" s="3191" t="s">
        <v>16135</v>
      </c>
      <c r="L912" s="364">
        <v>720000</v>
      </c>
      <c r="M912" s="3191" t="s">
        <v>251</v>
      </c>
      <c r="N912" s="365">
        <v>45282</v>
      </c>
      <c r="O912" s="365">
        <v>45317</v>
      </c>
      <c r="P912" s="365">
        <v>45342</v>
      </c>
      <c r="Q912" s="3192" t="s">
        <v>5726</v>
      </c>
      <c r="R912" s="3191"/>
      <c r="S912" s="364">
        <v>719440</v>
      </c>
      <c r="T912" s="364">
        <v>870522.4</v>
      </c>
      <c r="U912" s="1473"/>
      <c r="V912" s="1473"/>
      <c r="W912" s="1473"/>
      <c r="X912" s="681">
        <v>45342</v>
      </c>
      <c r="Y912" s="1417" t="s">
        <v>16831</v>
      </c>
      <c r="Z912" s="365">
        <v>45362</v>
      </c>
      <c r="AA912" s="365">
        <v>45373</v>
      </c>
      <c r="AB912" s="365">
        <v>45452</v>
      </c>
    </row>
    <row r="913" spans="1:31">
      <c r="A913" s="2124">
        <v>45279</v>
      </c>
      <c r="B913" s="2127" t="s">
        <v>16437</v>
      </c>
      <c r="C913" s="2125" t="s">
        <v>69</v>
      </c>
      <c r="D913" s="2125" t="s">
        <v>15129</v>
      </c>
      <c r="E913" s="2125" t="s">
        <v>15813</v>
      </c>
      <c r="F913" s="2126" t="s">
        <v>16438</v>
      </c>
      <c r="G913" s="2125"/>
      <c r="H913" s="2127"/>
      <c r="I913" s="2127" t="s">
        <v>242</v>
      </c>
      <c r="J913" s="2125" t="s">
        <v>816</v>
      </c>
      <c r="K913" s="2125"/>
      <c r="L913" s="2128">
        <v>3183604</v>
      </c>
      <c r="M913" s="2125" t="s">
        <v>251</v>
      </c>
      <c r="N913" s="2124">
        <v>45288</v>
      </c>
      <c r="O913" s="2124">
        <v>45323</v>
      </c>
      <c r="P913" s="2125"/>
      <c r="Q913" s="2136" t="s">
        <v>304</v>
      </c>
      <c r="R913" s="2275" t="s">
        <v>16945</v>
      </c>
      <c r="S913" s="2128"/>
      <c r="T913" s="2128"/>
      <c r="U913" s="2129"/>
      <c r="V913" s="2129"/>
      <c r="W913" s="2129"/>
      <c r="X913" s="2128"/>
      <c r="Y913" s="2128"/>
      <c r="Z913" s="2125"/>
      <c r="AA913" s="2124">
        <v>45329</v>
      </c>
      <c r="AB913" s="2125" t="s">
        <v>16742</v>
      </c>
      <c r="AC913" s="796"/>
      <c r="AD913" s="796"/>
    </row>
    <row r="914" spans="1:31" ht="15.75" thickBot="1">
      <c r="A914" s="1617">
        <v>45280</v>
      </c>
      <c r="B914" s="1619" t="s">
        <v>16442</v>
      </c>
      <c r="C914" s="810" t="s">
        <v>52</v>
      </c>
      <c r="D914" s="810" t="s">
        <v>10114</v>
      </c>
      <c r="E914" s="810" t="s">
        <v>13950</v>
      </c>
      <c r="F914" s="811" t="s">
        <v>16443</v>
      </c>
      <c r="G914" s="810"/>
      <c r="H914" s="1425" t="s">
        <v>16529</v>
      </c>
      <c r="I914" s="1619" t="s">
        <v>15370</v>
      </c>
      <c r="J914" s="810"/>
      <c r="K914" s="810"/>
      <c r="L914" s="814"/>
      <c r="M914" s="810" t="s">
        <v>251</v>
      </c>
      <c r="N914" s="810"/>
      <c r="O914" s="810"/>
      <c r="P914" s="810"/>
      <c r="Q914" s="1619"/>
      <c r="R914" s="810"/>
      <c r="S914" s="814"/>
      <c r="T914" s="814"/>
      <c r="U914" s="1620"/>
      <c r="V914" s="1620"/>
      <c r="W914" s="1620"/>
      <c r="X914" s="814"/>
      <c r="Y914" s="814"/>
      <c r="Z914" s="810"/>
      <c r="AA914" s="810"/>
      <c r="AB914" s="810"/>
      <c r="AC914" s="796"/>
      <c r="AD914" s="796"/>
    </row>
    <row r="915" spans="1:31" ht="15.75" thickTop="1">
      <c r="A915" s="443">
        <v>45281</v>
      </c>
      <c r="B915" s="1431" t="s">
        <v>16456</v>
      </c>
      <c r="C915" s="439" t="s">
        <v>69</v>
      </c>
      <c r="D915" s="439" t="s">
        <v>15129</v>
      </c>
      <c r="E915" s="439" t="s">
        <v>13949</v>
      </c>
      <c r="F915" s="440" t="s">
        <v>16458</v>
      </c>
      <c r="G915" s="439">
        <v>1</v>
      </c>
      <c r="H915" s="1431" t="s">
        <v>16459</v>
      </c>
      <c r="I915" s="1431" t="s">
        <v>242</v>
      </c>
      <c r="J915" s="440" t="s">
        <v>8050</v>
      </c>
      <c r="K915" s="439"/>
      <c r="L915" s="444">
        <v>2927736</v>
      </c>
      <c r="M915" s="439" t="s">
        <v>251</v>
      </c>
      <c r="N915" s="443">
        <v>45287</v>
      </c>
      <c r="O915" s="443">
        <v>45322</v>
      </c>
      <c r="P915" s="439"/>
      <c r="Q915" s="753" t="s">
        <v>304</v>
      </c>
      <c r="R915" s="439"/>
      <c r="S915" s="444"/>
      <c r="T915" s="444"/>
      <c r="U915" s="1481"/>
      <c r="V915" s="1481"/>
      <c r="W915" s="1481"/>
      <c r="X915" s="444"/>
      <c r="Y915" s="444"/>
      <c r="Z915" s="439"/>
      <c r="AA915" s="443">
        <v>45330</v>
      </c>
      <c r="AB915" s="439"/>
      <c r="AC915" s="796"/>
      <c r="AD915" s="796"/>
    </row>
    <row r="916" spans="1:31" ht="15.75" thickBot="1">
      <c r="A916" s="2130">
        <v>45281</v>
      </c>
      <c r="B916" s="2273" t="s">
        <v>16457</v>
      </c>
      <c r="C916" s="2131" t="s">
        <v>69</v>
      </c>
      <c r="D916" s="2131" t="s">
        <v>15129</v>
      </c>
      <c r="E916" s="2131" t="s">
        <v>13949</v>
      </c>
      <c r="F916" s="844" t="s">
        <v>16458</v>
      </c>
      <c r="G916" s="2131">
        <v>2</v>
      </c>
      <c r="H916" s="2133" t="s">
        <v>16460</v>
      </c>
      <c r="I916" s="2133" t="s">
        <v>242</v>
      </c>
      <c r="J916" s="2132" t="s">
        <v>8050</v>
      </c>
      <c r="K916" s="2131"/>
      <c r="L916" s="2134">
        <v>311465</v>
      </c>
      <c r="M916" s="2131" t="s">
        <v>251</v>
      </c>
      <c r="N916" s="2130">
        <v>45287</v>
      </c>
      <c r="O916" s="2130">
        <v>45322</v>
      </c>
      <c r="P916" s="2131"/>
      <c r="Q916" s="2137" t="s">
        <v>304</v>
      </c>
      <c r="R916" s="2131"/>
      <c r="S916" s="2134"/>
      <c r="T916" s="2134"/>
      <c r="U916" s="2135"/>
      <c r="V916" s="2135"/>
      <c r="W916" s="2135"/>
      <c r="X916" s="2134"/>
      <c r="Y916" s="2134"/>
      <c r="Z916" s="2131"/>
      <c r="AA916" s="2130">
        <v>45330</v>
      </c>
      <c r="AB916" s="2131"/>
      <c r="AC916" s="796"/>
      <c r="AD916" s="796"/>
    </row>
    <row r="917" spans="1:31" ht="15.75" thickTop="1">
      <c r="A917" s="474">
        <v>45281</v>
      </c>
      <c r="B917" s="1420" t="s">
        <v>16461</v>
      </c>
      <c r="C917" s="453" t="s">
        <v>69</v>
      </c>
      <c r="D917" s="453" t="s">
        <v>15129</v>
      </c>
      <c r="E917" s="453" t="s">
        <v>13949</v>
      </c>
      <c r="F917" s="473" t="s">
        <v>16466</v>
      </c>
      <c r="G917" s="453">
        <v>1</v>
      </c>
      <c r="H917" s="1420" t="s">
        <v>16465</v>
      </c>
      <c r="I917" s="1420" t="s">
        <v>15369</v>
      </c>
      <c r="J917" s="473" t="s">
        <v>816</v>
      </c>
      <c r="K917" s="453"/>
      <c r="L917" s="457">
        <v>2400420</v>
      </c>
      <c r="M917" s="453" t="s">
        <v>251</v>
      </c>
      <c r="N917" s="474">
        <v>45287</v>
      </c>
      <c r="O917" s="474">
        <v>45352</v>
      </c>
      <c r="P917" s="474">
        <v>45387</v>
      </c>
      <c r="Q917" s="1420" t="s">
        <v>13761</v>
      </c>
      <c r="R917" s="453"/>
      <c r="S917" s="457">
        <v>2365095</v>
      </c>
      <c r="T917" s="457">
        <v>2648906.4</v>
      </c>
      <c r="U917" s="1474"/>
      <c r="V917" s="1474"/>
      <c r="W917" s="1474"/>
      <c r="X917" s="570">
        <v>45387</v>
      </c>
      <c r="Y917" s="457" t="s">
        <v>17163</v>
      </c>
      <c r="Z917" s="474">
        <v>45412</v>
      </c>
      <c r="AA917" s="474">
        <v>45414</v>
      </c>
      <c r="AB917" s="474">
        <v>46506</v>
      </c>
      <c r="AC917" s="796"/>
      <c r="AD917" s="796"/>
      <c r="AE917" s="360">
        <v>3</v>
      </c>
    </row>
    <row r="918" spans="1:31">
      <c r="A918" s="2140">
        <v>45281</v>
      </c>
      <c r="B918" s="3192" t="s">
        <v>16462</v>
      </c>
      <c r="C918" s="2141" t="s">
        <v>69</v>
      </c>
      <c r="D918" s="2141" t="s">
        <v>15129</v>
      </c>
      <c r="E918" s="2141" t="s">
        <v>13949</v>
      </c>
      <c r="F918" s="175" t="s">
        <v>16466</v>
      </c>
      <c r="G918" s="2141">
        <v>2</v>
      </c>
      <c r="H918" s="2143" t="s">
        <v>8074</v>
      </c>
      <c r="I918" s="2143" t="s">
        <v>15369</v>
      </c>
      <c r="J918" s="2142" t="s">
        <v>816</v>
      </c>
      <c r="K918" s="2141"/>
      <c r="L918" s="2144">
        <v>2631340</v>
      </c>
      <c r="M918" s="2141" t="s">
        <v>251</v>
      </c>
      <c r="N918" s="2140">
        <v>45287</v>
      </c>
      <c r="O918" s="2140">
        <v>45352</v>
      </c>
      <c r="P918" s="2140">
        <v>45387</v>
      </c>
      <c r="Q918" s="2143" t="s">
        <v>576</v>
      </c>
      <c r="R918" s="2141"/>
      <c r="S918" s="2144">
        <v>2196941.31</v>
      </c>
      <c r="T918" s="2144">
        <v>2460574.27</v>
      </c>
      <c r="U918" s="2145"/>
      <c r="V918" s="2145"/>
      <c r="W918" s="2145"/>
      <c r="X918" s="2146">
        <v>45387</v>
      </c>
      <c r="Y918" s="2144" t="s">
        <v>17164</v>
      </c>
      <c r="Z918" s="2140">
        <v>45412</v>
      </c>
      <c r="AA918" s="2140">
        <v>45414</v>
      </c>
      <c r="AB918" s="2140">
        <v>46506</v>
      </c>
      <c r="AC918" s="796"/>
      <c r="AD918" s="796"/>
      <c r="AE918" s="360">
        <v>3</v>
      </c>
    </row>
    <row r="919" spans="1:31">
      <c r="A919" s="2140">
        <v>45281</v>
      </c>
      <c r="B919" s="3192" t="s">
        <v>16463</v>
      </c>
      <c r="C919" s="2141" t="s">
        <v>69</v>
      </c>
      <c r="D919" s="2141" t="s">
        <v>15129</v>
      </c>
      <c r="E919" s="2141" t="s">
        <v>13949</v>
      </c>
      <c r="F919" s="175" t="s">
        <v>16466</v>
      </c>
      <c r="G919" s="2141">
        <v>3</v>
      </c>
      <c r="H919" s="2143" t="s">
        <v>16467</v>
      </c>
      <c r="I919" s="2143" t="s">
        <v>15369</v>
      </c>
      <c r="J919" s="2142" t="s">
        <v>816</v>
      </c>
      <c r="K919" s="2141"/>
      <c r="L919" s="2144">
        <v>1629306</v>
      </c>
      <c r="M919" s="2141" t="s">
        <v>251</v>
      </c>
      <c r="N919" s="2140">
        <v>45287</v>
      </c>
      <c r="O919" s="2140">
        <v>45352</v>
      </c>
      <c r="P919" s="2140">
        <v>45387</v>
      </c>
      <c r="Q919" s="2143" t="s">
        <v>5774</v>
      </c>
      <c r="R919" s="2141"/>
      <c r="S919" s="2144">
        <v>1623476.16</v>
      </c>
      <c r="T919" s="2144">
        <v>1818293.3</v>
      </c>
      <c r="U919" s="2145"/>
      <c r="V919" s="2145"/>
      <c r="W919" s="2145"/>
      <c r="X919" s="2146">
        <v>45387</v>
      </c>
      <c r="Y919" s="2144" t="s">
        <v>17165</v>
      </c>
      <c r="Z919" s="2140">
        <v>45412</v>
      </c>
      <c r="AA919" s="2140">
        <v>45414</v>
      </c>
      <c r="AB919" s="2140">
        <v>46506</v>
      </c>
      <c r="AC919" s="796"/>
      <c r="AD919" s="796"/>
      <c r="AE919" s="360">
        <v>2</v>
      </c>
    </row>
    <row r="920" spans="1:31" ht="15.75" thickBot="1">
      <c r="A920" s="2117">
        <v>45281</v>
      </c>
      <c r="B920" s="1983" t="s">
        <v>16464</v>
      </c>
      <c r="C920" s="2118" t="s">
        <v>69</v>
      </c>
      <c r="D920" s="2118" t="s">
        <v>15129</v>
      </c>
      <c r="E920" s="2118" t="s">
        <v>13949</v>
      </c>
      <c r="F920" s="672" t="s">
        <v>16466</v>
      </c>
      <c r="G920" s="2118">
        <v>4</v>
      </c>
      <c r="H920" s="2120" t="s">
        <v>8053</v>
      </c>
      <c r="I920" s="2120" t="s">
        <v>15369</v>
      </c>
      <c r="J920" s="2119" t="s">
        <v>816</v>
      </c>
      <c r="K920" s="2118"/>
      <c r="L920" s="2121">
        <v>150806</v>
      </c>
      <c r="M920" s="2118" t="s">
        <v>251</v>
      </c>
      <c r="N920" s="2117">
        <v>45287</v>
      </c>
      <c r="O920" s="2117">
        <v>45352</v>
      </c>
      <c r="P920" s="2117">
        <v>45387</v>
      </c>
      <c r="Q920" s="2120" t="s">
        <v>5774</v>
      </c>
      <c r="R920" s="2118"/>
      <c r="S920" s="2121">
        <v>148713.06</v>
      </c>
      <c r="T920" s="2121">
        <v>166558.63</v>
      </c>
      <c r="U920" s="2122"/>
      <c r="V920" s="2122"/>
      <c r="W920" s="2122"/>
      <c r="X920" s="2123">
        <v>45387</v>
      </c>
      <c r="Y920" s="2121" t="s">
        <v>17166</v>
      </c>
      <c r="Z920" s="2117">
        <v>45412</v>
      </c>
      <c r="AA920" s="2117">
        <v>45414</v>
      </c>
      <c r="AB920" s="2117">
        <v>46506</v>
      </c>
      <c r="AC920" s="796"/>
      <c r="AD920" s="796"/>
      <c r="AE920" s="360">
        <v>2</v>
      </c>
    </row>
    <row r="921" spans="1:31" ht="15.75" thickTop="1">
      <c r="A921" s="2140">
        <v>45288</v>
      </c>
      <c r="B921" s="2143" t="s">
        <v>16476</v>
      </c>
      <c r="C921" s="2141" t="s">
        <v>1754</v>
      </c>
      <c r="D921" s="2141" t="s">
        <v>13</v>
      </c>
      <c r="E921" s="2141" t="s">
        <v>13951</v>
      </c>
      <c r="F921" s="2142" t="s">
        <v>16477</v>
      </c>
      <c r="G921" s="2141"/>
      <c r="H921" s="2143"/>
      <c r="I921" s="2143" t="s">
        <v>15369</v>
      </c>
      <c r="J921" s="2142" t="s">
        <v>16278</v>
      </c>
      <c r="K921" s="2141" t="s">
        <v>16478</v>
      </c>
      <c r="L921" s="2144">
        <v>826445</v>
      </c>
      <c r="M921" s="2141" t="s">
        <v>112</v>
      </c>
      <c r="N921" s="2140">
        <v>45288</v>
      </c>
      <c r="O921" s="2140">
        <v>45299</v>
      </c>
      <c r="P921" s="2140">
        <v>45301</v>
      </c>
      <c r="Q921" s="2143" t="s">
        <v>16547</v>
      </c>
      <c r="R921" s="2141"/>
      <c r="S921" s="2144">
        <v>820000</v>
      </c>
      <c r="T921" s="2144">
        <v>992200</v>
      </c>
      <c r="U921" s="2145"/>
      <c r="V921" s="2145"/>
      <c r="W921" s="2145"/>
      <c r="X921" s="2146">
        <v>45301</v>
      </c>
      <c r="Y921" s="2144" t="s">
        <v>16551</v>
      </c>
      <c r="Z921" s="2140">
        <v>45307</v>
      </c>
      <c r="AA921" s="2140">
        <v>45307</v>
      </c>
      <c r="AB921" s="2140">
        <v>45382</v>
      </c>
      <c r="AC921" s="796"/>
      <c r="AD921" s="796"/>
    </row>
    <row r="922" spans="1:31">
      <c r="A922" s="2799"/>
      <c r="B922" s="2346"/>
      <c r="C922" s="2799"/>
      <c r="D922" s="2799"/>
      <c r="E922" s="2799"/>
      <c r="F922" s="2345"/>
      <c r="G922" s="2799"/>
      <c r="H922" s="2346"/>
      <c r="I922" s="2346"/>
      <c r="J922" s="2345"/>
      <c r="K922" s="2799"/>
      <c r="L922" s="2347"/>
      <c r="M922" s="2799"/>
      <c r="N922" s="2799"/>
      <c r="O922" s="2799"/>
      <c r="P922" s="2799"/>
      <c r="Q922" s="2346"/>
      <c r="R922" s="2799"/>
      <c r="S922" s="2347"/>
      <c r="T922" s="2347"/>
      <c r="U922" s="2348"/>
      <c r="V922" s="2348"/>
      <c r="W922" s="2348"/>
      <c r="X922" s="2347"/>
      <c r="Y922" s="2347"/>
      <c r="Z922" s="2799"/>
      <c r="AA922" s="2799"/>
      <c r="AB922" s="2799"/>
    </row>
    <row r="923" spans="1:31">
      <c r="A923" s="2799"/>
      <c r="B923" s="2346"/>
      <c r="C923" s="2799"/>
      <c r="D923" s="2799"/>
      <c r="E923" s="2799"/>
      <c r="F923" s="2345"/>
      <c r="G923" s="2799"/>
      <c r="H923" s="2346"/>
      <c r="I923" s="2346"/>
      <c r="J923" s="2345"/>
      <c r="K923" s="2799"/>
      <c r="L923" s="2347"/>
      <c r="M923" s="2799"/>
      <c r="N923" s="2799"/>
      <c r="O923" s="2799"/>
      <c r="P923" s="2799"/>
      <c r="Q923" s="2346"/>
      <c r="R923" s="2799"/>
      <c r="S923" s="2347"/>
      <c r="T923" s="2347"/>
      <c r="U923" s="2348"/>
      <c r="V923" s="2348"/>
      <c r="W923" s="2348"/>
      <c r="X923" s="2347"/>
      <c r="Y923" s="2347"/>
      <c r="Z923" s="2799"/>
      <c r="AA923" s="2799"/>
      <c r="AB923" s="2799"/>
    </row>
    <row r="924" spans="1:31">
      <c r="A924" s="2799"/>
      <c r="B924" s="2346"/>
      <c r="C924" s="2799"/>
      <c r="D924" s="2799"/>
      <c r="E924" s="2799"/>
      <c r="F924" s="2345"/>
      <c r="G924" s="2799"/>
      <c r="H924" s="2346"/>
      <c r="I924" s="2346"/>
      <c r="J924" s="2345"/>
      <c r="K924" s="2799"/>
      <c r="L924" s="2347"/>
      <c r="M924" s="2799"/>
      <c r="N924" s="2799"/>
      <c r="O924" s="2799"/>
      <c r="P924" s="2799"/>
      <c r="Q924" s="2346"/>
      <c r="R924" s="2799"/>
      <c r="S924" s="2347"/>
      <c r="T924" s="2347"/>
      <c r="U924" s="2348"/>
      <c r="V924" s="2348"/>
      <c r="W924" s="2348"/>
      <c r="X924" s="2347"/>
      <c r="Y924" s="2347"/>
      <c r="Z924" s="2799"/>
      <c r="AA924" s="2799"/>
      <c r="AB924" s="2799"/>
    </row>
    <row r="925" spans="1:31">
      <c r="A925" s="2799"/>
      <c r="B925" s="2346"/>
      <c r="C925" s="2799"/>
      <c r="D925" s="2799"/>
      <c r="E925" s="2799"/>
      <c r="F925" s="2345"/>
      <c r="G925" s="2799"/>
      <c r="H925" s="2346"/>
      <c r="I925" s="2346"/>
      <c r="J925" s="2345"/>
      <c r="K925" s="2799"/>
      <c r="L925" s="2347"/>
      <c r="M925" s="2799"/>
      <c r="N925" s="2799"/>
      <c r="O925" s="2799"/>
      <c r="P925" s="2799"/>
      <c r="Q925" s="2346"/>
      <c r="R925" s="2799"/>
      <c r="S925" s="2347"/>
      <c r="T925" s="2347"/>
      <c r="U925" s="2348"/>
      <c r="V925" s="2348"/>
      <c r="W925" s="2348"/>
      <c r="X925" s="2347"/>
      <c r="Y925" s="2347"/>
      <c r="Z925" s="2799"/>
      <c r="AA925" s="2799"/>
      <c r="AB925" s="2799"/>
    </row>
    <row r="926" spans="1:31">
      <c r="A926" s="2799"/>
      <c r="B926" s="2346"/>
      <c r="C926" s="2799"/>
      <c r="D926" s="2799"/>
      <c r="E926" s="2799"/>
      <c r="F926" s="2345"/>
      <c r="G926" s="2799"/>
      <c r="H926" s="2346"/>
      <c r="I926" s="2346"/>
      <c r="J926" s="2345"/>
      <c r="K926" s="2799"/>
      <c r="L926" s="2347"/>
      <c r="M926" s="2799"/>
      <c r="N926" s="2799"/>
      <c r="O926" s="2799"/>
      <c r="P926" s="2799"/>
      <c r="Q926" s="2346"/>
      <c r="R926" s="2799"/>
      <c r="S926" s="2347"/>
      <c r="T926" s="2347"/>
      <c r="U926" s="2348"/>
      <c r="V926" s="2348"/>
      <c r="W926" s="2348"/>
      <c r="X926" s="2347"/>
      <c r="Y926" s="2347"/>
      <c r="Z926" s="2799"/>
      <c r="AA926" s="2799"/>
      <c r="AB926" s="2799"/>
    </row>
    <row r="927" spans="1:31">
      <c r="A927" s="2799"/>
      <c r="B927" s="2346"/>
      <c r="C927" s="2799"/>
      <c r="D927" s="2799"/>
      <c r="E927" s="2799"/>
      <c r="F927" s="2345"/>
      <c r="G927" s="2799"/>
      <c r="H927" s="2346"/>
      <c r="I927" s="2346"/>
      <c r="J927" s="2345"/>
      <c r="K927" s="2799"/>
      <c r="L927" s="2347"/>
      <c r="M927" s="2799"/>
      <c r="N927" s="2799"/>
      <c r="O927" s="2799"/>
      <c r="P927" s="2799"/>
      <c r="Q927" s="2346"/>
      <c r="R927" s="2799"/>
      <c r="S927" s="2347"/>
      <c r="T927" s="2347"/>
      <c r="U927" s="2348"/>
      <c r="V927" s="2348"/>
      <c r="W927" s="2348"/>
      <c r="X927" s="2347"/>
      <c r="Y927" s="2347"/>
      <c r="Z927" s="2799"/>
      <c r="AA927" s="2799"/>
      <c r="AB927" s="2799"/>
    </row>
    <row r="928" spans="1:31">
      <c r="A928" s="2799"/>
      <c r="B928" s="2346"/>
      <c r="C928" s="2799"/>
      <c r="D928" s="2799"/>
      <c r="E928" s="2799"/>
      <c r="F928" s="2345"/>
      <c r="G928" s="2799"/>
      <c r="H928" s="2346"/>
      <c r="I928" s="2346"/>
      <c r="J928" s="2345"/>
      <c r="K928" s="2799"/>
      <c r="L928" s="2347"/>
      <c r="M928" s="2799"/>
      <c r="N928" s="2799"/>
      <c r="O928" s="2799"/>
      <c r="P928" s="2799"/>
      <c r="Q928" s="2346"/>
      <c r="R928" s="2799"/>
      <c r="S928" s="2347"/>
      <c r="T928" s="2347"/>
      <c r="U928" s="2348"/>
      <c r="V928" s="2348"/>
      <c r="W928" s="2348"/>
      <c r="X928" s="2347"/>
      <c r="Y928" s="2347"/>
      <c r="Z928" s="2799"/>
      <c r="AA928" s="2799"/>
      <c r="AB928" s="2799"/>
    </row>
    <row r="929" spans="1:28">
      <c r="A929" s="2799"/>
      <c r="B929" s="2346"/>
      <c r="C929" s="2799"/>
      <c r="D929" s="2799"/>
      <c r="E929" s="2799"/>
      <c r="F929" s="2345"/>
      <c r="G929" s="2799"/>
      <c r="H929" s="2346"/>
      <c r="I929" s="2346"/>
      <c r="J929" s="2345"/>
      <c r="K929" s="2799"/>
      <c r="L929" s="2347"/>
      <c r="M929" s="2799"/>
      <c r="N929" s="2799"/>
      <c r="O929" s="2799"/>
      <c r="P929" s="2799"/>
      <c r="Q929" s="2346"/>
      <c r="R929" s="2799"/>
      <c r="S929" s="2347"/>
      <c r="T929" s="2347"/>
      <c r="U929" s="2348"/>
      <c r="V929" s="2348"/>
      <c r="W929" s="2348"/>
      <c r="X929" s="2347"/>
      <c r="Y929" s="2347"/>
      <c r="Z929" s="2799"/>
      <c r="AA929" s="2799"/>
      <c r="AB929" s="2799"/>
    </row>
    <row r="930" spans="1:28">
      <c r="A930" s="2799"/>
      <c r="B930" s="2346"/>
      <c r="C930" s="2799"/>
      <c r="D930" s="2799"/>
      <c r="E930" s="2799"/>
      <c r="F930" s="2345"/>
      <c r="G930" s="2799"/>
      <c r="H930" s="2346"/>
      <c r="I930" s="2346"/>
      <c r="J930" s="2799"/>
      <c r="K930" s="2799"/>
      <c r="L930" s="2347"/>
      <c r="M930" s="2799"/>
      <c r="N930" s="2799"/>
      <c r="O930" s="2799"/>
      <c r="P930" s="2799"/>
      <c r="Q930" s="2346"/>
      <c r="R930" s="2799"/>
      <c r="S930" s="2347"/>
      <c r="T930" s="2347"/>
      <c r="U930" s="2348"/>
      <c r="V930" s="2348"/>
      <c r="W930" s="2348"/>
      <c r="X930" s="2347"/>
      <c r="Y930" s="2347"/>
      <c r="Z930" s="2799"/>
      <c r="AA930" s="2799"/>
      <c r="AB930" s="2799"/>
    </row>
    <row r="931" spans="1:28">
      <c r="A931" s="2799"/>
      <c r="B931" s="2346"/>
      <c r="C931" s="2799"/>
      <c r="D931" s="2799"/>
      <c r="E931" s="2799"/>
      <c r="F931" s="2345"/>
      <c r="G931" s="2799"/>
      <c r="H931" s="2346"/>
      <c r="I931" s="2346"/>
      <c r="J931" s="2799"/>
      <c r="K931" s="2799"/>
      <c r="L931" s="2347"/>
      <c r="M931" s="2799"/>
      <c r="N931" s="2799"/>
      <c r="O931" s="2799"/>
      <c r="P931" s="2799"/>
      <c r="Q931" s="2346"/>
      <c r="R931" s="2799"/>
      <c r="S931" s="2347"/>
      <c r="T931" s="2347"/>
      <c r="U931" s="2348"/>
      <c r="V931" s="2348"/>
      <c r="W931" s="2348"/>
      <c r="X931" s="2347"/>
      <c r="Y931" s="2347"/>
      <c r="Z931" s="2799"/>
      <c r="AA931" s="2799"/>
      <c r="AB931" s="2799"/>
    </row>
    <row r="932" spans="1:28">
      <c r="A932" s="2799"/>
      <c r="B932" s="2346"/>
      <c r="C932" s="2799"/>
      <c r="D932" s="2799"/>
      <c r="E932" s="2799"/>
      <c r="F932" s="2345"/>
      <c r="G932" s="2799"/>
      <c r="H932" s="2346"/>
      <c r="I932" s="2346"/>
      <c r="J932" s="2799"/>
      <c r="K932" s="2799"/>
      <c r="L932" s="2347"/>
      <c r="M932" s="2799"/>
      <c r="N932" s="2799"/>
      <c r="O932" s="2799"/>
      <c r="P932" s="2799"/>
      <c r="Q932" s="2346"/>
      <c r="R932" s="2799"/>
      <c r="S932" s="2347"/>
      <c r="T932" s="2347"/>
      <c r="U932" s="2348"/>
      <c r="V932" s="2348"/>
      <c r="W932" s="2348"/>
      <c r="X932" s="2347"/>
      <c r="Y932" s="2347"/>
      <c r="Z932" s="2799"/>
      <c r="AA932" s="2799"/>
      <c r="AB932" s="2799"/>
    </row>
    <row r="933" spans="1:28">
      <c r="A933" s="2799"/>
      <c r="B933" s="2346"/>
      <c r="C933" s="2799"/>
      <c r="D933" s="2799"/>
      <c r="E933" s="2799"/>
      <c r="F933" s="2345"/>
      <c r="G933" s="2799"/>
      <c r="H933" s="2346"/>
      <c r="I933" s="2346"/>
      <c r="J933" s="2799"/>
      <c r="K933" s="2799"/>
      <c r="L933" s="2347"/>
      <c r="M933" s="2799"/>
      <c r="N933" s="2799"/>
      <c r="O933" s="2799"/>
      <c r="P933" s="2799"/>
      <c r="Q933" s="2346"/>
      <c r="R933" s="2799"/>
      <c r="S933" s="2347"/>
      <c r="T933" s="2347"/>
      <c r="U933" s="2348"/>
      <c r="V933" s="2348"/>
      <c r="W933" s="2348"/>
      <c r="X933" s="2347"/>
      <c r="Y933" s="2347"/>
      <c r="Z933" s="2799"/>
      <c r="AA933" s="2799"/>
      <c r="AB933" s="2799"/>
    </row>
    <row r="934" spans="1:28">
      <c r="A934" s="2799"/>
      <c r="B934" s="2346"/>
      <c r="C934" s="2799"/>
      <c r="D934" s="2799"/>
      <c r="E934" s="2799"/>
      <c r="F934" s="2345"/>
      <c r="G934" s="2799"/>
      <c r="H934" s="2346"/>
      <c r="I934" s="2346"/>
      <c r="J934" s="2799"/>
      <c r="K934" s="2799"/>
      <c r="L934" s="2347"/>
      <c r="M934" s="2799"/>
      <c r="N934" s="2799"/>
      <c r="O934" s="2799"/>
      <c r="P934" s="2799"/>
      <c r="Q934" s="2346"/>
      <c r="R934" s="2799"/>
      <c r="S934" s="2347"/>
      <c r="T934" s="2347"/>
      <c r="U934" s="2348"/>
      <c r="V934" s="2348"/>
      <c r="W934" s="2348"/>
      <c r="X934" s="2347"/>
      <c r="Y934" s="2347"/>
      <c r="Z934" s="2799"/>
      <c r="AA934" s="2799"/>
      <c r="AB934" s="2799"/>
    </row>
    <row r="935" spans="1:28">
      <c r="A935" s="2799"/>
      <c r="B935" s="2346"/>
      <c r="C935" s="2799"/>
      <c r="D935" s="2799"/>
      <c r="E935" s="2799"/>
      <c r="F935" s="2345"/>
      <c r="G935" s="2799"/>
      <c r="H935" s="2346"/>
      <c r="I935" s="2346"/>
      <c r="J935" s="2799"/>
      <c r="K935" s="2799"/>
      <c r="L935" s="2347"/>
      <c r="M935" s="2799"/>
      <c r="N935" s="2799"/>
      <c r="O935" s="2799"/>
      <c r="P935" s="2799"/>
      <c r="Q935" s="2346"/>
      <c r="R935" s="2799"/>
      <c r="S935" s="2347"/>
      <c r="T935" s="2347"/>
      <c r="U935" s="2348"/>
      <c r="V935" s="2348"/>
      <c r="W935" s="2348"/>
      <c r="X935" s="2347"/>
      <c r="Y935" s="2347"/>
      <c r="Z935" s="2799"/>
      <c r="AA935" s="2799"/>
      <c r="AB935" s="2799"/>
    </row>
    <row r="936" spans="1:28">
      <c r="A936" s="2799"/>
      <c r="B936" s="2346"/>
      <c r="C936" s="2799"/>
      <c r="D936" s="2799"/>
      <c r="E936" s="2799"/>
      <c r="F936" s="2345"/>
      <c r="G936" s="2799"/>
      <c r="H936" s="2346"/>
      <c r="I936" s="2346"/>
      <c r="J936" s="2799"/>
      <c r="K936" s="2799"/>
      <c r="L936" s="2347"/>
      <c r="M936" s="2799"/>
      <c r="N936" s="2799"/>
      <c r="O936" s="2799"/>
      <c r="P936" s="2799"/>
      <c r="Q936" s="2346"/>
      <c r="R936" s="2799"/>
      <c r="S936" s="2347"/>
      <c r="T936" s="2347"/>
      <c r="U936" s="2348"/>
      <c r="V936" s="2348"/>
      <c r="W936" s="2348"/>
      <c r="X936" s="2347"/>
      <c r="Y936" s="2347"/>
      <c r="Z936" s="2799"/>
      <c r="AA936" s="2799"/>
      <c r="AB936" s="2799"/>
    </row>
    <row r="937" spans="1:28">
      <c r="A937" s="2799"/>
      <c r="B937" s="2346"/>
      <c r="C937" s="2799"/>
      <c r="D937" s="2799"/>
      <c r="E937" s="2799"/>
      <c r="F937" s="2345"/>
      <c r="G937" s="2799"/>
      <c r="H937" s="2346"/>
      <c r="I937" s="2346"/>
      <c r="J937" s="2799"/>
      <c r="K937" s="2799"/>
      <c r="L937" s="2347"/>
      <c r="M937" s="2799"/>
      <c r="N937" s="2799"/>
      <c r="O937" s="2799"/>
      <c r="P937" s="2799"/>
      <c r="Q937" s="2346"/>
      <c r="R937" s="2799"/>
      <c r="S937" s="2347"/>
      <c r="T937" s="2347"/>
      <c r="U937" s="2348"/>
      <c r="V937" s="2348"/>
      <c r="W937" s="2348"/>
      <c r="X937" s="2347"/>
      <c r="Y937" s="2347"/>
      <c r="Z937" s="2799"/>
      <c r="AA937" s="2799"/>
      <c r="AB937" s="2799"/>
    </row>
  </sheetData>
  <autoFilter ref="A8:AD921" xr:uid="{C056922A-5758-4004-9A78-01992D2E51F2}">
    <filterColumn colId="28" showButton="0"/>
  </autoFilter>
  <mergeCells count="1">
    <mergeCell ref="AC8:AD8"/>
  </mergeCells>
  <pageMargins left="0" right="0" top="0.78740157480314965" bottom="0.78740157480314965" header="0.31496062992125984" footer="0.31496062992125984"/>
  <pageSetup paperSize="9" scale="5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D7656-2071-47EA-BE43-7B43988A4926}">
  <dimension ref="A1:F440"/>
  <sheetViews>
    <sheetView workbookViewId="0">
      <selection activeCell="D7" sqref="D7"/>
    </sheetView>
  </sheetViews>
  <sheetFormatPr defaultRowHeight="15"/>
  <cols>
    <col min="1" max="1" width="58.5703125" bestFit="1" customWidth="1"/>
    <col min="2" max="2" width="12.140625" bestFit="1" customWidth="1"/>
    <col min="3" max="3" width="8.5703125" bestFit="1" customWidth="1"/>
    <col min="4" max="4" width="18.5703125" style="2948" bestFit="1" customWidth="1"/>
    <col min="5" max="5" width="9.7109375" style="1134" bestFit="1" customWidth="1"/>
    <col min="6" max="6" width="11.42578125" bestFit="1" customWidth="1"/>
  </cols>
  <sheetData>
    <row r="1" spans="1:6">
      <c r="A1" s="2057" t="s">
        <v>10</v>
      </c>
      <c r="B1" s="2863" t="s">
        <v>2502</v>
      </c>
    </row>
    <row r="3" spans="1:6" s="500" customFormat="1" ht="66.75" customHeight="1">
      <c r="A3" s="2078" t="s">
        <v>739</v>
      </c>
      <c r="B3" s="2798" t="s">
        <v>1191</v>
      </c>
      <c r="C3" s="2798" t="s">
        <v>744</v>
      </c>
      <c r="D3" s="2949" t="s">
        <v>741</v>
      </c>
      <c r="E3" s="2798" t="s">
        <v>13821</v>
      </c>
      <c r="F3"/>
    </row>
    <row r="4" spans="1:6">
      <c r="A4" s="2058" t="s">
        <v>251</v>
      </c>
      <c r="B4" s="2059">
        <v>618</v>
      </c>
      <c r="C4" s="2059">
        <v>470</v>
      </c>
      <c r="D4" s="2950">
        <v>11909867122.950001</v>
      </c>
      <c r="E4" s="2059">
        <v>470</v>
      </c>
    </row>
    <row r="5" spans="1:6">
      <c r="A5" s="2058" t="s">
        <v>112</v>
      </c>
      <c r="B5" s="2059">
        <v>235</v>
      </c>
      <c r="C5" s="2059">
        <v>212</v>
      </c>
      <c r="D5" s="2950">
        <v>216583954.41</v>
      </c>
      <c r="E5" s="2059">
        <v>212</v>
      </c>
    </row>
    <row r="6" spans="1:6">
      <c r="A6" s="2058" t="s">
        <v>216</v>
      </c>
      <c r="B6" s="2059">
        <v>58</v>
      </c>
      <c r="C6" s="2059">
        <v>48</v>
      </c>
      <c r="D6" s="2950">
        <v>206329311</v>
      </c>
      <c r="E6" s="2059">
        <v>48</v>
      </c>
    </row>
    <row r="7" spans="1:6">
      <c r="A7" s="2058" t="s">
        <v>9690</v>
      </c>
      <c r="B7" s="2059"/>
      <c r="C7" s="2059"/>
      <c r="D7" s="2950"/>
      <c r="E7" s="2059"/>
    </row>
    <row r="8" spans="1:6">
      <c r="A8" s="2058" t="s">
        <v>16391</v>
      </c>
      <c r="B8" s="2059">
        <v>1</v>
      </c>
      <c r="C8" s="2059"/>
      <c r="D8" s="2950">
        <v>2500000000</v>
      </c>
      <c r="E8" s="2059"/>
    </row>
    <row r="9" spans="1:6">
      <c r="A9" s="2759" t="s">
        <v>69</v>
      </c>
      <c r="B9" s="2059">
        <v>1</v>
      </c>
      <c r="C9" s="2059"/>
      <c r="D9" s="2950">
        <v>2500000000</v>
      </c>
      <c r="E9" s="2059"/>
    </row>
    <row r="10" spans="1:6">
      <c r="A10" s="2928" t="s">
        <v>16389</v>
      </c>
      <c r="B10" s="2059">
        <v>1</v>
      </c>
      <c r="C10" s="2059"/>
      <c r="D10" s="2950">
        <v>2500000000</v>
      </c>
      <c r="E10" s="2059"/>
    </row>
    <row r="11" spans="1:6">
      <c r="A11" s="2058" t="s">
        <v>740</v>
      </c>
      <c r="B11" s="2059">
        <v>912</v>
      </c>
      <c r="C11" s="2059">
        <v>730</v>
      </c>
      <c r="D11" s="2950">
        <v>14832780388.360001</v>
      </c>
      <c r="E11" s="2059">
        <v>730</v>
      </c>
    </row>
    <row r="12" spans="1:6">
      <c r="D12" s="2951"/>
      <c r="E12"/>
    </row>
    <row r="13" spans="1:6">
      <c r="D13" s="2951"/>
      <c r="E13"/>
    </row>
    <row r="14" spans="1:6">
      <c r="D14" s="2951"/>
      <c r="E14"/>
    </row>
    <row r="15" spans="1:6">
      <c r="D15" s="2951"/>
      <c r="E15"/>
    </row>
    <row r="16" spans="1:6">
      <c r="D16" s="2951"/>
      <c r="E16"/>
    </row>
    <row r="17" spans="4:5">
      <c r="D17" s="2951"/>
      <c r="E17"/>
    </row>
    <row r="18" spans="4:5">
      <c r="D18" s="2951"/>
      <c r="E18"/>
    </row>
    <row r="19" spans="4:5">
      <c r="D19" s="2951"/>
      <c r="E19"/>
    </row>
    <row r="20" spans="4:5">
      <c r="D20" s="2951"/>
      <c r="E20"/>
    </row>
    <row r="21" spans="4:5">
      <c r="D21" s="2951"/>
      <c r="E21"/>
    </row>
    <row r="22" spans="4:5">
      <c r="D22" s="2951"/>
      <c r="E22"/>
    </row>
    <row r="23" spans="4:5">
      <c r="D23" s="2951"/>
      <c r="E23"/>
    </row>
    <row r="24" spans="4:5">
      <c r="D24" s="2951"/>
      <c r="E24"/>
    </row>
    <row r="25" spans="4:5">
      <c r="D25" s="2951"/>
      <c r="E25"/>
    </row>
    <row r="26" spans="4:5">
      <c r="D26" s="2951"/>
      <c r="E26"/>
    </row>
    <row r="27" spans="4:5">
      <c r="D27" s="2951"/>
      <c r="E27"/>
    </row>
    <row r="28" spans="4:5">
      <c r="D28" s="2951"/>
      <c r="E28"/>
    </row>
    <row r="29" spans="4:5">
      <c r="D29" s="2951"/>
      <c r="E29"/>
    </row>
    <row r="30" spans="4:5">
      <c r="D30" s="2951"/>
      <c r="E30"/>
    </row>
    <row r="31" spans="4:5">
      <c r="D31" s="2951"/>
      <c r="E31"/>
    </row>
    <row r="32" spans="4:5">
      <c r="D32" s="2951"/>
      <c r="E32"/>
    </row>
    <row r="33" spans="4:5">
      <c r="D33" s="2951"/>
      <c r="E33"/>
    </row>
    <row r="34" spans="4:5">
      <c r="D34" s="2951"/>
      <c r="E34"/>
    </row>
    <row r="35" spans="4:5">
      <c r="D35" s="2951"/>
      <c r="E35"/>
    </row>
    <row r="36" spans="4:5">
      <c r="D36" s="2951"/>
      <c r="E36"/>
    </row>
    <row r="37" spans="4:5">
      <c r="D37" s="2951"/>
      <c r="E37"/>
    </row>
    <row r="38" spans="4:5">
      <c r="D38" s="2951"/>
      <c r="E38"/>
    </row>
    <row r="39" spans="4:5">
      <c r="D39" s="2951"/>
      <c r="E39"/>
    </row>
    <row r="40" spans="4:5">
      <c r="D40" s="2951"/>
      <c r="E40"/>
    </row>
    <row r="41" spans="4:5">
      <c r="D41" s="2951"/>
      <c r="E41"/>
    </row>
    <row r="42" spans="4:5">
      <c r="D42" s="2951"/>
      <c r="E42"/>
    </row>
    <row r="43" spans="4:5">
      <c r="D43" s="2951"/>
      <c r="E43"/>
    </row>
    <row r="44" spans="4:5">
      <c r="D44" s="2951"/>
      <c r="E44"/>
    </row>
    <row r="45" spans="4:5">
      <c r="D45" s="2951"/>
      <c r="E45"/>
    </row>
    <row r="46" spans="4:5">
      <c r="D46" s="2951"/>
      <c r="E46"/>
    </row>
    <row r="47" spans="4:5">
      <c r="D47" s="2951"/>
      <c r="E47"/>
    </row>
    <row r="48" spans="4:5">
      <c r="D48" s="2951"/>
      <c r="E48"/>
    </row>
    <row r="49" spans="4:5">
      <c r="D49" s="2951"/>
      <c r="E49"/>
    </row>
    <row r="50" spans="4:5">
      <c r="D50" s="2951"/>
      <c r="E50"/>
    </row>
    <row r="51" spans="4:5">
      <c r="D51" s="2951"/>
      <c r="E51"/>
    </row>
    <row r="52" spans="4:5">
      <c r="D52" s="2951"/>
      <c r="E52"/>
    </row>
    <row r="53" spans="4:5">
      <c r="D53" s="2951"/>
      <c r="E53"/>
    </row>
    <row r="54" spans="4:5">
      <c r="D54" s="2951"/>
      <c r="E54"/>
    </row>
    <row r="55" spans="4:5">
      <c r="D55" s="2951"/>
      <c r="E55"/>
    </row>
    <row r="56" spans="4:5">
      <c r="D56" s="2951"/>
      <c r="E56"/>
    </row>
    <row r="57" spans="4:5">
      <c r="D57" s="2951"/>
      <c r="E57"/>
    </row>
    <row r="58" spans="4:5">
      <c r="D58" s="2951"/>
      <c r="E58"/>
    </row>
    <row r="59" spans="4:5">
      <c r="D59" s="2951"/>
      <c r="E59"/>
    </row>
    <row r="60" spans="4:5">
      <c r="D60" s="2951"/>
      <c r="E60"/>
    </row>
    <row r="61" spans="4:5">
      <c r="D61" s="2951"/>
      <c r="E61"/>
    </row>
    <row r="62" spans="4:5">
      <c r="D62" s="2951"/>
      <c r="E62"/>
    </row>
    <row r="63" spans="4:5">
      <c r="D63" s="2951"/>
      <c r="E63"/>
    </row>
    <row r="64" spans="4:5">
      <c r="D64" s="2951"/>
      <c r="E64"/>
    </row>
    <row r="65" spans="4:5">
      <c r="D65" s="2951"/>
      <c r="E65"/>
    </row>
    <row r="66" spans="4:5">
      <c r="D66" s="2951"/>
      <c r="E66"/>
    </row>
    <row r="67" spans="4:5">
      <c r="D67" s="2951"/>
      <c r="E67"/>
    </row>
    <row r="68" spans="4:5">
      <c r="D68" s="2951"/>
      <c r="E68"/>
    </row>
    <row r="69" spans="4:5">
      <c r="D69" s="2951"/>
      <c r="E69"/>
    </row>
    <row r="70" spans="4:5">
      <c r="D70" s="2951"/>
      <c r="E70"/>
    </row>
    <row r="71" spans="4:5">
      <c r="D71" s="2951"/>
      <c r="E71"/>
    </row>
    <row r="72" spans="4:5">
      <c r="D72" s="2951"/>
      <c r="E72"/>
    </row>
    <row r="73" spans="4:5">
      <c r="D73" s="2951"/>
      <c r="E73"/>
    </row>
    <row r="74" spans="4:5">
      <c r="D74" s="2951"/>
      <c r="E74"/>
    </row>
    <row r="75" spans="4:5">
      <c r="D75" s="2951"/>
      <c r="E75"/>
    </row>
    <row r="76" spans="4:5">
      <c r="D76" s="2951"/>
      <c r="E76"/>
    </row>
    <row r="77" spans="4:5">
      <c r="D77" s="2951"/>
      <c r="E77"/>
    </row>
    <row r="78" spans="4:5">
      <c r="D78" s="2951"/>
      <c r="E78"/>
    </row>
    <row r="79" spans="4:5">
      <c r="D79" s="2951"/>
      <c r="E79"/>
    </row>
    <row r="80" spans="4:5">
      <c r="D80" s="2951"/>
      <c r="E80"/>
    </row>
    <row r="81" spans="4:5">
      <c r="D81" s="2951"/>
      <c r="E81"/>
    </row>
    <row r="82" spans="4:5">
      <c r="D82" s="2951"/>
      <c r="E82"/>
    </row>
    <row r="83" spans="4:5">
      <c r="D83" s="2951"/>
      <c r="E83"/>
    </row>
    <row r="84" spans="4:5">
      <c r="D84" s="2951"/>
      <c r="E84"/>
    </row>
    <row r="85" spans="4:5">
      <c r="D85" s="2951"/>
      <c r="E85"/>
    </row>
    <row r="86" spans="4:5">
      <c r="D86" s="2951"/>
      <c r="E86"/>
    </row>
    <row r="87" spans="4:5">
      <c r="D87" s="2951"/>
      <c r="E87"/>
    </row>
    <row r="88" spans="4:5">
      <c r="D88" s="2951"/>
      <c r="E88"/>
    </row>
    <row r="89" spans="4:5">
      <c r="D89" s="2951"/>
      <c r="E89"/>
    </row>
    <row r="90" spans="4:5">
      <c r="D90" s="2951"/>
      <c r="E90"/>
    </row>
    <row r="91" spans="4:5">
      <c r="D91" s="2951"/>
      <c r="E91"/>
    </row>
    <row r="92" spans="4:5">
      <c r="D92" s="2951"/>
      <c r="E92"/>
    </row>
    <row r="93" spans="4:5">
      <c r="D93" s="2951"/>
      <c r="E93"/>
    </row>
    <row r="94" spans="4:5">
      <c r="D94" s="2951"/>
      <c r="E94"/>
    </row>
    <row r="95" spans="4:5">
      <c r="D95" s="2951"/>
      <c r="E95"/>
    </row>
    <row r="96" spans="4:5">
      <c r="D96" s="2951"/>
      <c r="E96"/>
    </row>
    <row r="97" spans="4:5">
      <c r="D97" s="2951"/>
      <c r="E97"/>
    </row>
    <row r="98" spans="4:5">
      <c r="D98" s="2951"/>
      <c r="E98"/>
    </row>
    <row r="99" spans="4:5">
      <c r="D99" s="2951"/>
      <c r="E99"/>
    </row>
    <row r="100" spans="4:5">
      <c r="D100" s="2951"/>
      <c r="E100"/>
    </row>
    <row r="101" spans="4:5">
      <c r="D101" s="2951"/>
      <c r="E101"/>
    </row>
    <row r="102" spans="4:5">
      <c r="D102" s="2951"/>
      <c r="E102"/>
    </row>
    <row r="103" spans="4:5">
      <c r="D103" s="2951"/>
      <c r="E103"/>
    </row>
    <row r="104" spans="4:5">
      <c r="D104" s="2951"/>
      <c r="E104"/>
    </row>
    <row r="105" spans="4:5">
      <c r="D105" s="2951"/>
      <c r="E105"/>
    </row>
    <row r="106" spans="4:5">
      <c r="D106" s="2951"/>
      <c r="E106"/>
    </row>
    <row r="107" spans="4:5">
      <c r="D107" s="2951"/>
      <c r="E107"/>
    </row>
    <row r="108" spans="4:5">
      <c r="D108" s="2951"/>
      <c r="E108"/>
    </row>
    <row r="109" spans="4:5">
      <c r="D109" s="2951"/>
      <c r="E109"/>
    </row>
    <row r="110" spans="4:5">
      <c r="D110" s="2951"/>
      <c r="E110"/>
    </row>
    <row r="111" spans="4:5">
      <c r="D111" s="2951"/>
      <c r="E111"/>
    </row>
    <row r="112" spans="4:5">
      <c r="D112" s="2951"/>
      <c r="E112"/>
    </row>
    <row r="113" spans="4:5">
      <c r="D113" s="2951"/>
      <c r="E113"/>
    </row>
    <row r="114" spans="4:5">
      <c r="D114" s="2951"/>
      <c r="E114"/>
    </row>
    <row r="115" spans="4:5">
      <c r="D115" s="2951"/>
      <c r="E115"/>
    </row>
    <row r="116" spans="4:5">
      <c r="D116" s="2951"/>
      <c r="E116"/>
    </row>
    <row r="117" spans="4:5">
      <c r="D117" s="2951"/>
      <c r="E117"/>
    </row>
    <row r="118" spans="4:5">
      <c r="D118" s="2951"/>
      <c r="E118"/>
    </row>
    <row r="119" spans="4:5">
      <c r="D119" s="2951"/>
      <c r="E119"/>
    </row>
    <row r="120" spans="4:5">
      <c r="D120" s="2951"/>
      <c r="E120"/>
    </row>
    <row r="121" spans="4:5">
      <c r="D121" s="2951"/>
      <c r="E121"/>
    </row>
    <row r="122" spans="4:5">
      <c r="D122" s="2951"/>
      <c r="E122"/>
    </row>
    <row r="123" spans="4:5">
      <c r="D123" s="2951"/>
      <c r="E123"/>
    </row>
    <row r="124" spans="4:5">
      <c r="D124" s="2951"/>
      <c r="E124"/>
    </row>
    <row r="125" spans="4:5">
      <c r="D125" s="2951"/>
      <c r="E125"/>
    </row>
    <row r="126" spans="4:5">
      <c r="D126" s="2951"/>
      <c r="E126"/>
    </row>
    <row r="127" spans="4:5">
      <c r="D127" s="2951"/>
      <c r="E127"/>
    </row>
    <row r="128" spans="4:5">
      <c r="D128" s="2951"/>
      <c r="E128"/>
    </row>
    <row r="129" spans="4:5">
      <c r="D129" s="2951"/>
      <c r="E129"/>
    </row>
    <row r="130" spans="4:5">
      <c r="D130" s="2951"/>
      <c r="E130"/>
    </row>
    <row r="131" spans="4:5">
      <c r="D131" s="2951"/>
      <c r="E131"/>
    </row>
    <row r="132" spans="4:5">
      <c r="D132" s="2951"/>
      <c r="E132"/>
    </row>
    <row r="133" spans="4:5">
      <c r="D133" s="2951"/>
      <c r="E133"/>
    </row>
    <row r="134" spans="4:5">
      <c r="D134" s="2951"/>
      <c r="E134"/>
    </row>
    <row r="135" spans="4:5">
      <c r="D135" s="2951"/>
      <c r="E135"/>
    </row>
    <row r="136" spans="4:5">
      <c r="D136" s="2951"/>
      <c r="E136"/>
    </row>
    <row r="137" spans="4:5">
      <c r="D137" s="2951"/>
      <c r="E137"/>
    </row>
    <row r="138" spans="4:5">
      <c r="D138" s="2951"/>
      <c r="E138"/>
    </row>
    <row r="139" spans="4:5">
      <c r="D139" s="2951"/>
      <c r="E139"/>
    </row>
    <row r="140" spans="4:5">
      <c r="D140" s="2951"/>
      <c r="E140"/>
    </row>
    <row r="141" spans="4:5">
      <c r="D141" s="2951"/>
      <c r="E141"/>
    </row>
    <row r="142" spans="4:5">
      <c r="D142" s="2951"/>
      <c r="E142"/>
    </row>
    <row r="143" spans="4:5">
      <c r="D143" s="2951"/>
      <c r="E143"/>
    </row>
    <row r="144" spans="4:5">
      <c r="D144" s="2951"/>
      <c r="E144"/>
    </row>
    <row r="145" spans="4:5">
      <c r="D145" s="2951"/>
      <c r="E145"/>
    </row>
    <row r="146" spans="4:5">
      <c r="D146" s="2951"/>
      <c r="E146"/>
    </row>
    <row r="147" spans="4:5">
      <c r="D147" s="2951"/>
      <c r="E147"/>
    </row>
    <row r="148" spans="4:5">
      <c r="D148" s="2951"/>
      <c r="E148"/>
    </row>
    <row r="149" spans="4:5">
      <c r="D149" s="2951"/>
      <c r="E149"/>
    </row>
    <row r="150" spans="4:5">
      <c r="D150" s="2951"/>
      <c r="E150"/>
    </row>
    <row r="151" spans="4:5">
      <c r="D151" s="2951"/>
      <c r="E151"/>
    </row>
    <row r="152" spans="4:5">
      <c r="D152" s="2951"/>
      <c r="E152"/>
    </row>
    <row r="153" spans="4:5">
      <c r="D153" s="2951"/>
      <c r="E153"/>
    </row>
    <row r="154" spans="4:5">
      <c r="D154" s="2951"/>
      <c r="E154"/>
    </row>
    <row r="155" spans="4:5">
      <c r="D155" s="2951"/>
      <c r="E155"/>
    </row>
    <row r="156" spans="4:5">
      <c r="D156" s="2951"/>
      <c r="E156"/>
    </row>
    <row r="157" spans="4:5">
      <c r="D157" s="2951"/>
      <c r="E157"/>
    </row>
    <row r="158" spans="4:5">
      <c r="D158" s="2951"/>
      <c r="E158"/>
    </row>
    <row r="159" spans="4:5">
      <c r="D159" s="2951"/>
      <c r="E159"/>
    </row>
    <row r="160" spans="4:5">
      <c r="D160" s="2951"/>
      <c r="E160"/>
    </row>
    <row r="161" spans="4:5">
      <c r="D161" s="2951"/>
      <c r="E161"/>
    </row>
    <row r="162" spans="4:5">
      <c r="D162" s="2951"/>
      <c r="E162"/>
    </row>
    <row r="163" spans="4:5">
      <c r="D163" s="2951"/>
      <c r="E163"/>
    </row>
    <row r="164" spans="4:5">
      <c r="D164" s="2951"/>
      <c r="E164"/>
    </row>
    <row r="165" spans="4:5">
      <c r="D165" s="2951"/>
      <c r="E165"/>
    </row>
    <row r="166" spans="4:5">
      <c r="D166" s="2951"/>
      <c r="E166"/>
    </row>
    <row r="167" spans="4:5">
      <c r="D167" s="2951"/>
      <c r="E167"/>
    </row>
    <row r="168" spans="4:5">
      <c r="D168" s="2951"/>
      <c r="E168"/>
    </row>
    <row r="169" spans="4:5">
      <c r="D169" s="2951"/>
      <c r="E169"/>
    </row>
    <row r="170" spans="4:5">
      <c r="D170" s="2951"/>
      <c r="E170"/>
    </row>
    <row r="171" spans="4:5">
      <c r="D171" s="2951"/>
      <c r="E171"/>
    </row>
    <row r="172" spans="4:5">
      <c r="D172" s="2951"/>
      <c r="E172"/>
    </row>
    <row r="173" spans="4:5">
      <c r="D173" s="2951"/>
      <c r="E173"/>
    </row>
    <row r="174" spans="4:5">
      <c r="D174" s="2951"/>
      <c r="E174"/>
    </row>
    <row r="175" spans="4:5">
      <c r="D175" s="2951"/>
      <c r="E175"/>
    </row>
    <row r="176" spans="4:5">
      <c r="D176" s="2951"/>
      <c r="E176"/>
    </row>
    <row r="177" spans="4:5">
      <c r="D177" s="2951"/>
      <c r="E177"/>
    </row>
    <row r="178" spans="4:5">
      <c r="D178" s="2951"/>
      <c r="E178"/>
    </row>
    <row r="179" spans="4:5">
      <c r="D179" s="2951"/>
      <c r="E179"/>
    </row>
    <row r="180" spans="4:5">
      <c r="D180" s="2951"/>
      <c r="E180"/>
    </row>
    <row r="181" spans="4:5">
      <c r="D181" s="2951"/>
      <c r="E181"/>
    </row>
    <row r="182" spans="4:5">
      <c r="D182" s="2951"/>
      <c r="E182"/>
    </row>
    <row r="183" spans="4:5">
      <c r="D183" s="2951"/>
      <c r="E183"/>
    </row>
    <row r="184" spans="4:5">
      <c r="D184" s="2951"/>
      <c r="E184"/>
    </row>
    <row r="185" spans="4:5">
      <c r="D185" s="2951"/>
      <c r="E185"/>
    </row>
    <row r="186" spans="4:5">
      <c r="D186" s="2951"/>
      <c r="E186"/>
    </row>
    <row r="187" spans="4:5">
      <c r="D187" s="2951"/>
      <c r="E187"/>
    </row>
    <row r="188" spans="4:5">
      <c r="D188" s="2951"/>
      <c r="E188"/>
    </row>
    <row r="189" spans="4:5">
      <c r="D189" s="2951"/>
      <c r="E189"/>
    </row>
    <row r="190" spans="4:5">
      <c r="D190" s="2951"/>
      <c r="E190"/>
    </row>
    <row r="191" spans="4:5">
      <c r="D191" s="2951"/>
      <c r="E191"/>
    </row>
    <row r="192" spans="4:5">
      <c r="D192" s="2951"/>
      <c r="E192"/>
    </row>
    <row r="193" spans="4:5">
      <c r="D193" s="2951"/>
      <c r="E193"/>
    </row>
    <row r="194" spans="4:5">
      <c r="D194" s="2951"/>
      <c r="E194"/>
    </row>
    <row r="195" spans="4:5">
      <c r="D195" s="2951"/>
      <c r="E195"/>
    </row>
    <row r="196" spans="4:5">
      <c r="D196" s="2951"/>
      <c r="E196"/>
    </row>
    <row r="197" spans="4:5">
      <c r="D197" s="2951"/>
      <c r="E197"/>
    </row>
    <row r="198" spans="4:5">
      <c r="D198" s="2951"/>
      <c r="E198"/>
    </row>
    <row r="199" spans="4:5">
      <c r="D199" s="2951"/>
      <c r="E199"/>
    </row>
    <row r="200" spans="4:5">
      <c r="D200" s="2951"/>
      <c r="E200"/>
    </row>
    <row r="201" spans="4:5">
      <c r="D201" s="2951"/>
      <c r="E201"/>
    </row>
    <row r="202" spans="4:5">
      <c r="D202" s="2951"/>
      <c r="E202"/>
    </row>
    <row r="203" spans="4:5">
      <c r="D203" s="2951"/>
      <c r="E203"/>
    </row>
    <row r="204" spans="4:5">
      <c r="D204" s="2951"/>
      <c r="E204"/>
    </row>
    <row r="205" spans="4:5">
      <c r="D205" s="2951"/>
      <c r="E205"/>
    </row>
    <row r="206" spans="4:5">
      <c r="D206" s="2951"/>
      <c r="E206"/>
    </row>
    <row r="207" spans="4:5">
      <c r="D207" s="2951"/>
      <c r="E207"/>
    </row>
    <row r="208" spans="4:5">
      <c r="D208" s="2951"/>
      <c r="E208"/>
    </row>
    <row r="209" spans="4:5">
      <c r="D209" s="2951"/>
      <c r="E209"/>
    </row>
    <row r="210" spans="4:5">
      <c r="D210" s="2951"/>
      <c r="E210"/>
    </row>
    <row r="211" spans="4:5">
      <c r="D211" s="2951"/>
      <c r="E211"/>
    </row>
    <row r="212" spans="4:5">
      <c r="D212" s="2951"/>
      <c r="E212"/>
    </row>
    <row r="213" spans="4:5">
      <c r="D213" s="2951"/>
      <c r="E213"/>
    </row>
    <row r="214" spans="4:5">
      <c r="D214" s="2951"/>
      <c r="E214"/>
    </row>
    <row r="215" spans="4:5">
      <c r="D215" s="2951"/>
      <c r="E215"/>
    </row>
    <row r="216" spans="4:5">
      <c r="D216" s="2951"/>
      <c r="E216"/>
    </row>
    <row r="217" spans="4:5">
      <c r="D217" s="2951"/>
      <c r="E217"/>
    </row>
    <row r="218" spans="4:5">
      <c r="D218" s="2951"/>
      <c r="E218"/>
    </row>
    <row r="219" spans="4:5">
      <c r="D219" s="2951"/>
      <c r="E219"/>
    </row>
    <row r="220" spans="4:5">
      <c r="D220" s="2951"/>
      <c r="E220"/>
    </row>
    <row r="221" spans="4:5">
      <c r="D221" s="2951"/>
      <c r="E221"/>
    </row>
    <row r="222" spans="4:5">
      <c r="D222" s="2951"/>
      <c r="E222"/>
    </row>
    <row r="223" spans="4:5">
      <c r="D223" s="2951"/>
      <c r="E223"/>
    </row>
    <row r="224" spans="4:5">
      <c r="D224" s="2951"/>
      <c r="E224"/>
    </row>
    <row r="225" spans="4:5">
      <c r="D225" s="2951"/>
      <c r="E225"/>
    </row>
    <row r="226" spans="4:5">
      <c r="D226" s="2951"/>
      <c r="E226"/>
    </row>
    <row r="227" spans="4:5">
      <c r="D227" s="2951"/>
      <c r="E227"/>
    </row>
    <row r="228" spans="4:5">
      <c r="D228" s="2951"/>
      <c r="E228"/>
    </row>
    <row r="229" spans="4:5">
      <c r="D229" s="2951"/>
      <c r="E229"/>
    </row>
    <row r="230" spans="4:5">
      <c r="D230" s="2951"/>
      <c r="E230"/>
    </row>
    <row r="231" spans="4:5">
      <c r="D231" s="2951"/>
      <c r="E231"/>
    </row>
    <row r="232" spans="4:5">
      <c r="D232" s="2951"/>
      <c r="E232"/>
    </row>
    <row r="233" spans="4:5">
      <c r="D233" s="2951"/>
      <c r="E233"/>
    </row>
    <row r="234" spans="4:5">
      <c r="D234" s="2951"/>
      <c r="E234"/>
    </row>
    <row r="235" spans="4:5">
      <c r="D235" s="2951"/>
      <c r="E235"/>
    </row>
    <row r="236" spans="4:5">
      <c r="D236" s="2951"/>
      <c r="E236"/>
    </row>
    <row r="237" spans="4:5">
      <c r="D237" s="2951"/>
      <c r="E237"/>
    </row>
    <row r="238" spans="4:5">
      <c r="D238" s="2951"/>
      <c r="E238"/>
    </row>
    <row r="239" spans="4:5">
      <c r="D239" s="2951"/>
      <c r="E239"/>
    </row>
    <row r="240" spans="4:5">
      <c r="D240" s="2951"/>
      <c r="E240"/>
    </row>
    <row r="241" spans="4:5">
      <c r="D241" s="2951"/>
      <c r="E241"/>
    </row>
    <row r="242" spans="4:5">
      <c r="D242" s="2951"/>
      <c r="E242"/>
    </row>
    <row r="243" spans="4:5">
      <c r="D243" s="2951"/>
      <c r="E243"/>
    </row>
    <row r="244" spans="4:5">
      <c r="D244" s="2951"/>
      <c r="E244"/>
    </row>
    <row r="245" spans="4:5">
      <c r="D245" s="2951"/>
      <c r="E245"/>
    </row>
    <row r="246" spans="4:5">
      <c r="D246" s="2951"/>
      <c r="E246"/>
    </row>
    <row r="247" spans="4:5">
      <c r="D247" s="2951"/>
      <c r="E247"/>
    </row>
    <row r="248" spans="4:5">
      <c r="D248" s="2951"/>
      <c r="E248"/>
    </row>
    <row r="249" spans="4:5">
      <c r="D249" s="2951"/>
      <c r="E249"/>
    </row>
    <row r="250" spans="4:5">
      <c r="D250" s="2951"/>
      <c r="E250"/>
    </row>
    <row r="251" spans="4:5">
      <c r="D251" s="2951"/>
      <c r="E251"/>
    </row>
    <row r="252" spans="4:5">
      <c r="D252" s="2951"/>
      <c r="E252"/>
    </row>
    <row r="253" spans="4:5">
      <c r="D253" s="2951"/>
      <c r="E253"/>
    </row>
    <row r="254" spans="4:5">
      <c r="D254" s="2951"/>
      <c r="E254"/>
    </row>
    <row r="255" spans="4:5">
      <c r="D255" s="2951"/>
      <c r="E255"/>
    </row>
    <row r="256" spans="4:5">
      <c r="D256" s="2951"/>
      <c r="E256"/>
    </row>
    <row r="257" spans="4:5">
      <c r="D257" s="2951"/>
      <c r="E257"/>
    </row>
    <row r="258" spans="4:5">
      <c r="D258" s="2951"/>
      <c r="E258"/>
    </row>
    <row r="259" spans="4:5">
      <c r="D259" s="2951"/>
      <c r="E259"/>
    </row>
    <row r="260" spans="4:5">
      <c r="D260" s="2951"/>
      <c r="E260"/>
    </row>
    <row r="261" spans="4:5">
      <c r="D261" s="2951"/>
      <c r="E261"/>
    </row>
    <row r="262" spans="4:5">
      <c r="D262" s="2951"/>
      <c r="E262"/>
    </row>
    <row r="263" spans="4:5">
      <c r="D263" s="2951"/>
      <c r="E263"/>
    </row>
    <row r="264" spans="4:5">
      <c r="D264" s="2951"/>
      <c r="E264"/>
    </row>
    <row r="265" spans="4:5">
      <c r="D265" s="2951"/>
      <c r="E265"/>
    </row>
    <row r="266" spans="4:5">
      <c r="D266" s="2951"/>
      <c r="E266"/>
    </row>
    <row r="267" spans="4:5">
      <c r="D267" s="2951"/>
      <c r="E267"/>
    </row>
    <row r="268" spans="4:5">
      <c r="D268" s="2951"/>
      <c r="E268"/>
    </row>
    <row r="269" spans="4:5">
      <c r="D269" s="2951"/>
      <c r="E269"/>
    </row>
    <row r="270" spans="4:5">
      <c r="D270" s="2951"/>
      <c r="E270"/>
    </row>
    <row r="271" spans="4:5">
      <c r="D271" s="2951"/>
      <c r="E271"/>
    </row>
    <row r="272" spans="4:5">
      <c r="D272" s="2951"/>
      <c r="E272"/>
    </row>
    <row r="273" spans="4:5">
      <c r="D273" s="2951"/>
      <c r="E273"/>
    </row>
    <row r="274" spans="4:5">
      <c r="D274" s="2951"/>
      <c r="E274"/>
    </row>
    <row r="275" spans="4:5">
      <c r="D275" s="2951"/>
      <c r="E275"/>
    </row>
    <row r="276" spans="4:5">
      <c r="D276" s="2951"/>
      <c r="E276"/>
    </row>
    <row r="277" spans="4:5">
      <c r="D277" s="2951"/>
      <c r="E277"/>
    </row>
    <row r="278" spans="4:5">
      <c r="D278" s="2951"/>
      <c r="E278"/>
    </row>
    <row r="279" spans="4:5">
      <c r="D279" s="2951"/>
      <c r="E279"/>
    </row>
    <row r="280" spans="4:5">
      <c r="D280" s="2951"/>
      <c r="E280"/>
    </row>
    <row r="281" spans="4:5">
      <c r="D281" s="2951"/>
      <c r="E281"/>
    </row>
    <row r="282" spans="4:5">
      <c r="D282" s="2951"/>
      <c r="E282"/>
    </row>
    <row r="283" spans="4:5">
      <c r="D283" s="2951"/>
      <c r="E283"/>
    </row>
    <row r="284" spans="4:5">
      <c r="D284" s="2951"/>
      <c r="E284"/>
    </row>
    <row r="285" spans="4:5">
      <c r="D285" s="2951"/>
      <c r="E285"/>
    </row>
    <row r="286" spans="4:5">
      <c r="D286" s="2951"/>
      <c r="E286"/>
    </row>
    <row r="287" spans="4:5">
      <c r="D287" s="2951"/>
      <c r="E287"/>
    </row>
    <row r="288" spans="4:5">
      <c r="D288" s="2951"/>
      <c r="E288"/>
    </row>
    <row r="289" spans="4:5">
      <c r="D289" s="2951"/>
      <c r="E289"/>
    </row>
    <row r="290" spans="4:5">
      <c r="D290" s="2951"/>
      <c r="E290"/>
    </row>
    <row r="291" spans="4:5">
      <c r="D291" s="2951"/>
      <c r="E291"/>
    </row>
    <row r="292" spans="4:5">
      <c r="D292" s="2951"/>
      <c r="E292"/>
    </row>
    <row r="293" spans="4:5">
      <c r="D293" s="2951"/>
      <c r="E293"/>
    </row>
    <row r="294" spans="4:5">
      <c r="D294" s="2951"/>
      <c r="E294"/>
    </row>
    <row r="295" spans="4:5">
      <c r="D295" s="2951"/>
      <c r="E295"/>
    </row>
    <row r="296" spans="4:5">
      <c r="D296" s="2951"/>
      <c r="E296"/>
    </row>
    <row r="297" spans="4:5">
      <c r="D297" s="2951"/>
      <c r="E297"/>
    </row>
    <row r="298" spans="4:5">
      <c r="D298" s="2951"/>
      <c r="E298"/>
    </row>
    <row r="299" spans="4:5">
      <c r="D299" s="2951"/>
      <c r="E299"/>
    </row>
    <row r="300" spans="4:5">
      <c r="D300" s="2951"/>
      <c r="E300"/>
    </row>
    <row r="301" spans="4:5">
      <c r="D301" s="2951"/>
      <c r="E301"/>
    </row>
    <row r="302" spans="4:5">
      <c r="D302" s="2951"/>
      <c r="E302"/>
    </row>
    <row r="303" spans="4:5">
      <c r="D303" s="2951"/>
      <c r="E303"/>
    </row>
    <row r="304" spans="4:5">
      <c r="D304" s="2951"/>
      <c r="E304"/>
    </row>
    <row r="305" spans="4:5">
      <c r="D305" s="2951"/>
      <c r="E305"/>
    </row>
    <row r="306" spans="4:5">
      <c r="D306" s="2951"/>
      <c r="E306"/>
    </row>
    <row r="307" spans="4:5">
      <c r="D307" s="2951"/>
      <c r="E307"/>
    </row>
    <row r="308" spans="4:5">
      <c r="D308" s="2951"/>
      <c r="E308"/>
    </row>
    <row r="309" spans="4:5">
      <c r="D309" s="2951"/>
      <c r="E309"/>
    </row>
    <row r="310" spans="4:5">
      <c r="D310" s="2951"/>
      <c r="E310"/>
    </row>
    <row r="311" spans="4:5">
      <c r="D311" s="2951"/>
      <c r="E311"/>
    </row>
    <row r="312" spans="4:5">
      <c r="D312" s="2951"/>
      <c r="E312"/>
    </row>
    <row r="313" spans="4:5">
      <c r="D313" s="2951"/>
      <c r="E313"/>
    </row>
    <row r="314" spans="4:5">
      <c r="D314" s="2951"/>
      <c r="E314"/>
    </row>
    <row r="315" spans="4:5">
      <c r="D315" s="2951"/>
      <c r="E315"/>
    </row>
    <row r="316" spans="4:5">
      <c r="D316" s="2951"/>
      <c r="E316"/>
    </row>
    <row r="317" spans="4:5">
      <c r="D317" s="2951"/>
      <c r="E317"/>
    </row>
    <row r="318" spans="4:5">
      <c r="D318" s="2951"/>
      <c r="E318"/>
    </row>
    <row r="319" spans="4:5">
      <c r="D319" s="2951"/>
      <c r="E319"/>
    </row>
    <row r="320" spans="4:5">
      <c r="D320" s="2951"/>
      <c r="E320"/>
    </row>
    <row r="321" spans="4:5">
      <c r="D321" s="2951"/>
      <c r="E321"/>
    </row>
    <row r="322" spans="4:5">
      <c r="D322" s="2951"/>
      <c r="E322"/>
    </row>
    <row r="323" spans="4:5">
      <c r="D323" s="2951"/>
      <c r="E323"/>
    </row>
    <row r="324" spans="4:5">
      <c r="D324" s="2951"/>
      <c r="E324"/>
    </row>
    <row r="325" spans="4:5">
      <c r="D325" s="2951"/>
      <c r="E325"/>
    </row>
    <row r="326" spans="4:5">
      <c r="D326" s="2951"/>
      <c r="E326"/>
    </row>
    <row r="327" spans="4:5">
      <c r="D327" s="2951"/>
      <c r="E327"/>
    </row>
    <row r="328" spans="4:5">
      <c r="D328" s="2951"/>
      <c r="E328"/>
    </row>
    <row r="329" spans="4:5">
      <c r="D329" s="2951"/>
      <c r="E329"/>
    </row>
    <row r="330" spans="4:5">
      <c r="D330" s="2951"/>
      <c r="E330"/>
    </row>
    <row r="331" spans="4:5">
      <c r="D331" s="2951"/>
      <c r="E331"/>
    </row>
    <row r="332" spans="4:5">
      <c r="D332" s="2951"/>
      <c r="E332"/>
    </row>
    <row r="333" spans="4:5">
      <c r="D333" s="2951"/>
      <c r="E333"/>
    </row>
    <row r="334" spans="4:5">
      <c r="D334" s="2951"/>
      <c r="E334"/>
    </row>
    <row r="335" spans="4:5">
      <c r="D335" s="2951"/>
      <c r="E335"/>
    </row>
    <row r="336" spans="4:5">
      <c r="D336" s="2951"/>
      <c r="E336"/>
    </row>
    <row r="337" spans="4:5">
      <c r="D337" s="2951"/>
      <c r="E337"/>
    </row>
    <row r="338" spans="4:5">
      <c r="D338" s="2951"/>
      <c r="E338"/>
    </row>
    <row r="339" spans="4:5">
      <c r="D339" s="2951"/>
      <c r="E339"/>
    </row>
    <row r="340" spans="4:5">
      <c r="D340" s="2951"/>
      <c r="E340"/>
    </row>
    <row r="341" spans="4:5">
      <c r="D341" s="2951"/>
      <c r="E341"/>
    </row>
    <row r="342" spans="4:5">
      <c r="D342" s="2951"/>
      <c r="E342"/>
    </row>
    <row r="343" spans="4:5">
      <c r="D343" s="2951"/>
      <c r="E343"/>
    </row>
    <row r="344" spans="4:5">
      <c r="D344" s="2951"/>
      <c r="E344"/>
    </row>
    <row r="345" spans="4:5">
      <c r="D345" s="2951"/>
      <c r="E345"/>
    </row>
    <row r="346" spans="4:5">
      <c r="D346" s="2951"/>
      <c r="E346"/>
    </row>
    <row r="347" spans="4:5">
      <c r="D347" s="2951"/>
      <c r="E347"/>
    </row>
    <row r="348" spans="4:5">
      <c r="D348" s="2951"/>
      <c r="E348"/>
    </row>
    <row r="349" spans="4:5">
      <c r="D349" s="2951"/>
      <c r="E349"/>
    </row>
    <row r="350" spans="4:5">
      <c r="D350" s="2951"/>
      <c r="E350"/>
    </row>
    <row r="351" spans="4:5">
      <c r="D351" s="2951"/>
      <c r="E351"/>
    </row>
    <row r="352" spans="4:5">
      <c r="D352" s="2951"/>
      <c r="E352"/>
    </row>
    <row r="353" spans="4:5">
      <c r="D353" s="2951"/>
      <c r="E353"/>
    </row>
    <row r="354" spans="4:5">
      <c r="D354" s="2951"/>
      <c r="E354"/>
    </row>
    <row r="355" spans="4:5">
      <c r="D355" s="2951"/>
      <c r="E355"/>
    </row>
    <row r="356" spans="4:5">
      <c r="D356" s="2951"/>
      <c r="E356"/>
    </row>
    <row r="357" spans="4:5">
      <c r="D357" s="2951"/>
      <c r="E357"/>
    </row>
    <row r="358" spans="4:5">
      <c r="D358" s="2951"/>
      <c r="E358"/>
    </row>
    <row r="359" spans="4:5">
      <c r="D359" s="2951"/>
      <c r="E359"/>
    </row>
    <row r="360" spans="4:5">
      <c r="D360" s="2951"/>
      <c r="E360"/>
    </row>
    <row r="361" spans="4:5">
      <c r="D361" s="2951"/>
      <c r="E361"/>
    </row>
    <row r="362" spans="4:5">
      <c r="D362" s="2951"/>
      <c r="E362"/>
    </row>
    <row r="363" spans="4:5">
      <c r="D363" s="2951"/>
      <c r="E363"/>
    </row>
    <row r="364" spans="4:5">
      <c r="D364" s="2951"/>
      <c r="E364"/>
    </row>
    <row r="365" spans="4:5">
      <c r="D365" s="2951"/>
      <c r="E365"/>
    </row>
    <row r="366" spans="4:5">
      <c r="D366" s="2951"/>
      <c r="E366"/>
    </row>
    <row r="367" spans="4:5">
      <c r="D367" s="2951"/>
      <c r="E367"/>
    </row>
    <row r="368" spans="4:5">
      <c r="D368" s="2951"/>
      <c r="E368"/>
    </row>
    <row r="369" spans="4:5">
      <c r="D369" s="2951"/>
      <c r="E369"/>
    </row>
    <row r="370" spans="4:5">
      <c r="D370" s="2951"/>
      <c r="E370"/>
    </row>
    <row r="371" spans="4:5">
      <c r="D371" s="2951"/>
      <c r="E371"/>
    </row>
    <row r="372" spans="4:5">
      <c r="D372" s="2951"/>
      <c r="E372"/>
    </row>
    <row r="373" spans="4:5">
      <c r="D373" s="2951"/>
      <c r="E373"/>
    </row>
    <row r="374" spans="4:5">
      <c r="D374" s="2951"/>
      <c r="E374"/>
    </row>
    <row r="375" spans="4:5">
      <c r="D375" s="2951"/>
      <c r="E375"/>
    </row>
    <row r="376" spans="4:5">
      <c r="D376" s="2951"/>
      <c r="E376"/>
    </row>
    <row r="377" spans="4:5">
      <c r="D377" s="2951"/>
      <c r="E377"/>
    </row>
    <row r="378" spans="4:5">
      <c r="D378" s="2951"/>
      <c r="E378"/>
    </row>
    <row r="379" spans="4:5">
      <c r="D379" s="2951"/>
      <c r="E379"/>
    </row>
    <row r="380" spans="4:5">
      <c r="D380" s="2951"/>
      <c r="E380"/>
    </row>
    <row r="381" spans="4:5">
      <c r="D381" s="2951"/>
      <c r="E381"/>
    </row>
    <row r="382" spans="4:5">
      <c r="D382" s="2951"/>
      <c r="E382"/>
    </row>
    <row r="383" spans="4:5">
      <c r="D383" s="2951"/>
      <c r="E383"/>
    </row>
    <row r="384" spans="4:5">
      <c r="D384" s="2951"/>
      <c r="E384"/>
    </row>
    <row r="385" spans="4:5">
      <c r="D385" s="2951"/>
      <c r="E385"/>
    </row>
    <row r="386" spans="4:5">
      <c r="D386" s="2951"/>
      <c r="E386"/>
    </row>
    <row r="387" spans="4:5">
      <c r="D387" s="2951"/>
      <c r="E387"/>
    </row>
    <row r="388" spans="4:5">
      <c r="D388" s="2951"/>
      <c r="E388"/>
    </row>
    <row r="389" spans="4:5">
      <c r="D389" s="2951"/>
      <c r="E389"/>
    </row>
    <row r="390" spans="4:5">
      <c r="D390" s="2951"/>
      <c r="E390"/>
    </row>
    <row r="391" spans="4:5">
      <c r="D391" s="2951"/>
      <c r="E391"/>
    </row>
    <row r="392" spans="4:5">
      <c r="D392" s="2951"/>
      <c r="E392"/>
    </row>
    <row r="393" spans="4:5">
      <c r="D393" s="2951"/>
      <c r="E393"/>
    </row>
    <row r="394" spans="4:5">
      <c r="D394" s="2951"/>
      <c r="E394"/>
    </row>
    <row r="395" spans="4:5">
      <c r="D395" s="2951"/>
      <c r="E395"/>
    </row>
    <row r="396" spans="4:5">
      <c r="D396" s="2951"/>
      <c r="E396"/>
    </row>
    <row r="397" spans="4:5">
      <c r="D397" s="2951"/>
      <c r="E397"/>
    </row>
    <row r="398" spans="4:5">
      <c r="D398" s="2951"/>
      <c r="E398"/>
    </row>
    <row r="399" spans="4:5">
      <c r="D399" s="2951"/>
      <c r="E399"/>
    </row>
    <row r="400" spans="4:5">
      <c r="D400" s="2951"/>
      <c r="E400"/>
    </row>
    <row r="401" spans="4:5">
      <c r="D401" s="2951"/>
      <c r="E401"/>
    </row>
    <row r="402" spans="4:5">
      <c r="D402" s="2951"/>
      <c r="E402"/>
    </row>
    <row r="403" spans="4:5">
      <c r="D403" s="2951"/>
      <c r="E403"/>
    </row>
    <row r="404" spans="4:5">
      <c r="D404" s="2951"/>
      <c r="E404"/>
    </row>
    <row r="405" spans="4:5">
      <c r="D405" s="2951"/>
      <c r="E405"/>
    </row>
    <row r="406" spans="4:5">
      <c r="D406" s="2951"/>
      <c r="E406"/>
    </row>
    <row r="407" spans="4:5">
      <c r="D407" s="2951"/>
      <c r="E407"/>
    </row>
    <row r="408" spans="4:5">
      <c r="D408" s="2951"/>
      <c r="E408"/>
    </row>
    <row r="409" spans="4:5">
      <c r="D409" s="2951"/>
      <c r="E409"/>
    </row>
    <row r="410" spans="4:5">
      <c r="D410" s="2951"/>
      <c r="E410"/>
    </row>
    <row r="411" spans="4:5">
      <c r="D411" s="2951"/>
      <c r="E411"/>
    </row>
    <row r="412" spans="4:5">
      <c r="D412" s="2951"/>
      <c r="E412"/>
    </row>
    <row r="413" spans="4:5">
      <c r="D413" s="2951"/>
      <c r="E413"/>
    </row>
    <row r="414" spans="4:5">
      <c r="D414" s="2951"/>
      <c r="E414"/>
    </row>
    <row r="415" spans="4:5">
      <c r="D415" s="2951"/>
      <c r="E415"/>
    </row>
    <row r="416" spans="4:5">
      <c r="D416" s="2951"/>
      <c r="E416"/>
    </row>
    <row r="417" spans="4:5">
      <c r="D417" s="2951"/>
      <c r="E417"/>
    </row>
    <row r="418" spans="4:5">
      <c r="D418" s="2951"/>
      <c r="E418"/>
    </row>
    <row r="419" spans="4:5">
      <c r="D419" s="2951"/>
      <c r="E419"/>
    </row>
    <row r="420" spans="4:5">
      <c r="D420" s="2951"/>
      <c r="E420"/>
    </row>
    <row r="421" spans="4:5">
      <c r="D421" s="2951"/>
      <c r="E421"/>
    </row>
    <row r="422" spans="4:5">
      <c r="D422" s="2951"/>
      <c r="E422"/>
    </row>
    <row r="423" spans="4:5">
      <c r="D423" s="2951"/>
      <c r="E423"/>
    </row>
    <row r="424" spans="4:5">
      <c r="D424" s="2951"/>
      <c r="E424"/>
    </row>
    <row r="425" spans="4:5">
      <c r="D425" s="2951"/>
      <c r="E425"/>
    </row>
    <row r="426" spans="4:5">
      <c r="D426" s="2951"/>
      <c r="E426"/>
    </row>
    <row r="427" spans="4:5">
      <c r="D427" s="2951"/>
      <c r="E427"/>
    </row>
    <row r="428" spans="4:5">
      <c r="D428" s="2951"/>
      <c r="E428"/>
    </row>
    <row r="429" spans="4:5">
      <c r="D429" s="2951"/>
      <c r="E429"/>
    </row>
    <row r="430" spans="4:5">
      <c r="D430" s="2951"/>
      <c r="E430"/>
    </row>
    <row r="431" spans="4:5">
      <c r="D431" s="2951"/>
      <c r="E431"/>
    </row>
    <row r="432" spans="4:5">
      <c r="D432" s="2951"/>
      <c r="E432"/>
    </row>
    <row r="433" spans="4:5">
      <c r="D433" s="2951"/>
      <c r="E433"/>
    </row>
    <row r="434" spans="4:5">
      <c r="D434" s="2951"/>
      <c r="E434"/>
    </row>
    <row r="435" spans="4:5">
      <c r="D435" s="2951"/>
      <c r="E435"/>
    </row>
    <row r="436" spans="4:5">
      <c r="D436" s="2951"/>
      <c r="E436"/>
    </row>
    <row r="437" spans="4:5">
      <c r="D437" s="2951"/>
      <c r="E437"/>
    </row>
    <row r="438" spans="4:5">
      <c r="D438" s="2951"/>
      <c r="E438"/>
    </row>
    <row r="439" spans="4:5">
      <c r="D439" s="2951"/>
      <c r="E439"/>
    </row>
    <row r="440" spans="4:5">
      <c r="D440" s="2951"/>
      <c r="E440"/>
    </row>
  </sheetData>
  <pageMargins left="0.7" right="0.7" top="0.78740157499999996" bottom="0.78740157499999996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NC214"/>
  <sheetViews>
    <sheetView zoomScale="90" zoomScaleNormal="90" workbookViewId="0">
      <pane ySplit="6" topLeftCell="A7" activePane="bottomLeft" state="frozen"/>
      <selection activeCell="C281" sqref="C2:C281"/>
      <selection pane="bottomLeft" activeCell="D6" sqref="D6"/>
    </sheetView>
  </sheetViews>
  <sheetFormatPr defaultColWidth="9.140625" defaultRowHeight="15"/>
  <cols>
    <col min="1" max="1" width="8.140625" style="5" customWidth="1"/>
    <col min="2" max="2" width="11.7109375" style="4" customWidth="1"/>
    <col min="3" max="3" width="16.28515625" style="4" customWidth="1"/>
    <col min="4" max="4" width="67.28515625" style="4" customWidth="1"/>
    <col min="5" max="5" width="12.7109375" style="5" customWidth="1"/>
    <col min="6" max="6" width="13.7109375" style="59" customWidth="1"/>
    <col min="7" max="7" width="20.85546875" style="11" customWidth="1"/>
    <col min="8" max="8" width="13.140625" style="5" bestFit="1" customWidth="1"/>
    <col min="9" max="9" width="13.7109375" style="5" customWidth="1"/>
    <col min="10" max="10" width="14" style="5" customWidth="1"/>
    <col min="11" max="11" width="22.5703125" style="5" customWidth="1"/>
    <col min="12" max="12" width="17.5703125" style="11" customWidth="1"/>
    <col min="13" max="13" width="18.7109375" style="11" customWidth="1"/>
    <col min="14" max="16" width="15.7109375" style="5" customWidth="1"/>
    <col min="17" max="18" width="15.7109375" style="4" customWidth="1"/>
    <col min="19" max="23" width="11.28515625" style="4" bestFit="1" customWidth="1"/>
    <col min="24" max="16384" width="9.140625" style="4"/>
  </cols>
  <sheetData>
    <row r="1" spans="1:16">
      <c r="A1" s="77"/>
      <c r="B1" s="9" t="s">
        <v>222</v>
      </c>
      <c r="C1" s="9"/>
      <c r="K1" s="374"/>
      <c r="O1" s="3439"/>
      <c r="P1" s="3439"/>
    </row>
    <row r="2" spans="1:16">
      <c r="A2" s="6"/>
      <c r="B2" s="9" t="s">
        <v>223</v>
      </c>
      <c r="C2" s="9"/>
      <c r="O2" s="3439"/>
      <c r="P2" s="3439"/>
    </row>
    <row r="3" spans="1:16">
      <c r="A3" s="7"/>
      <c r="B3" s="9" t="s">
        <v>224</v>
      </c>
      <c r="C3" s="9"/>
      <c r="O3" s="3439"/>
      <c r="P3" s="3439"/>
    </row>
    <row r="4" spans="1:16">
      <c r="A4" s="8"/>
      <c r="B4" s="9" t="s">
        <v>225</v>
      </c>
      <c r="C4" s="9"/>
      <c r="O4" s="3439"/>
      <c r="P4" s="3439"/>
    </row>
    <row r="5" spans="1:16">
      <c r="A5" s="52"/>
      <c r="B5" s="10" t="s">
        <v>226</v>
      </c>
      <c r="C5" s="10"/>
      <c r="O5" s="3440"/>
      <c r="P5" s="3440"/>
    </row>
    <row r="6" spans="1:16" s="3" customFormat="1" ht="63" customHeight="1">
      <c r="A6" s="2" t="s">
        <v>590</v>
      </c>
      <c r="B6" s="2" t="s">
        <v>0</v>
      </c>
      <c r="C6" s="2" t="s">
        <v>11</v>
      </c>
      <c r="D6" s="1" t="s">
        <v>1</v>
      </c>
      <c r="E6" s="1" t="s">
        <v>2</v>
      </c>
      <c r="F6" s="60" t="s">
        <v>5</v>
      </c>
      <c r="G6" s="12" t="s">
        <v>15</v>
      </c>
      <c r="H6" s="1" t="s">
        <v>3</v>
      </c>
      <c r="I6" s="2" t="s">
        <v>4</v>
      </c>
      <c r="J6" s="2" t="s">
        <v>6</v>
      </c>
      <c r="K6" s="1" t="s">
        <v>7</v>
      </c>
      <c r="L6" s="12" t="s">
        <v>8</v>
      </c>
      <c r="M6" s="12" t="s">
        <v>9</v>
      </c>
      <c r="N6" s="2" t="s">
        <v>10</v>
      </c>
      <c r="O6" s="2" t="s">
        <v>334</v>
      </c>
      <c r="P6" s="2" t="s">
        <v>220</v>
      </c>
    </row>
    <row r="7" spans="1:16">
      <c r="A7" s="28" t="s">
        <v>14</v>
      </c>
      <c r="B7" s="27" t="s">
        <v>13</v>
      </c>
      <c r="C7" s="27" t="s">
        <v>284</v>
      </c>
      <c r="D7" s="27" t="s">
        <v>285</v>
      </c>
      <c r="E7" s="84" t="s">
        <v>287</v>
      </c>
      <c r="F7" s="67" t="s">
        <v>387</v>
      </c>
      <c r="G7" s="29">
        <v>1900000</v>
      </c>
      <c r="H7" s="31" t="s">
        <v>112</v>
      </c>
      <c r="I7" s="32">
        <v>41984</v>
      </c>
      <c r="J7" s="32">
        <v>42018</v>
      </c>
      <c r="K7" s="33" t="s">
        <v>286</v>
      </c>
      <c r="L7" s="29">
        <v>1205000</v>
      </c>
      <c r="M7" s="29">
        <v>1458050</v>
      </c>
      <c r="N7" s="32">
        <v>42150</v>
      </c>
      <c r="O7" s="32">
        <v>42152</v>
      </c>
      <c r="P7" s="90">
        <v>43157</v>
      </c>
    </row>
    <row r="8" spans="1:16">
      <c r="A8" s="28" t="s">
        <v>14</v>
      </c>
      <c r="B8" s="27" t="s">
        <v>13</v>
      </c>
      <c r="C8" s="27" t="s">
        <v>12</v>
      </c>
      <c r="D8" s="36" t="s">
        <v>19</v>
      </c>
      <c r="E8" s="28" t="s">
        <v>16</v>
      </c>
      <c r="F8" s="67" t="s">
        <v>245</v>
      </c>
      <c r="G8" s="29">
        <v>505000</v>
      </c>
      <c r="H8" s="31" t="s">
        <v>235</v>
      </c>
      <c r="I8" s="32">
        <v>42026</v>
      </c>
      <c r="J8" s="32">
        <v>42052</v>
      </c>
      <c r="K8" s="33" t="s">
        <v>17</v>
      </c>
      <c r="L8" s="29">
        <f t="shared" ref="L8:L13" si="0">M8/121*100</f>
        <v>506000</v>
      </c>
      <c r="M8" s="29">
        <v>612260</v>
      </c>
      <c r="N8" s="32">
        <v>42122</v>
      </c>
      <c r="O8" s="32">
        <v>42128</v>
      </c>
      <c r="P8" s="31">
        <v>2016</v>
      </c>
    </row>
    <row r="9" spans="1:16">
      <c r="A9" s="28" t="s">
        <v>14</v>
      </c>
      <c r="B9" s="27" t="s">
        <v>13</v>
      </c>
      <c r="C9" s="27" t="s">
        <v>22</v>
      </c>
      <c r="D9" s="27" t="s">
        <v>18</v>
      </c>
      <c r="E9" s="31" t="s">
        <v>21</v>
      </c>
      <c r="F9" s="61"/>
      <c r="G9" s="29">
        <v>694215</v>
      </c>
      <c r="H9" s="28" t="s">
        <v>235</v>
      </c>
      <c r="I9" s="32">
        <v>42033</v>
      </c>
      <c r="J9" s="32">
        <v>42059</v>
      </c>
      <c r="K9" s="33" t="s">
        <v>20</v>
      </c>
      <c r="L9" s="29">
        <f t="shared" si="0"/>
        <v>789680</v>
      </c>
      <c r="M9" s="29">
        <v>955512.8</v>
      </c>
      <c r="N9" s="32">
        <v>42093</v>
      </c>
      <c r="O9" s="32">
        <v>42102</v>
      </c>
      <c r="P9" s="31">
        <v>2016</v>
      </c>
    </row>
    <row r="10" spans="1:16">
      <c r="A10" s="28" t="s">
        <v>14</v>
      </c>
      <c r="B10" s="27" t="s">
        <v>13</v>
      </c>
      <c r="C10" s="36" t="s">
        <v>23</v>
      </c>
      <c r="D10" s="27" t="s">
        <v>24</v>
      </c>
      <c r="E10" s="31" t="s">
        <v>26</v>
      </c>
      <c r="F10" s="61"/>
      <c r="G10" s="29">
        <v>74380</v>
      </c>
      <c r="H10" s="28" t="s">
        <v>235</v>
      </c>
      <c r="I10" s="32">
        <v>42033</v>
      </c>
      <c r="J10" s="32">
        <v>42059</v>
      </c>
      <c r="K10" s="33" t="s">
        <v>25</v>
      </c>
      <c r="L10" s="29">
        <f t="shared" si="0"/>
        <v>74774.21487603306</v>
      </c>
      <c r="M10" s="29">
        <v>90476.800000000003</v>
      </c>
      <c r="N10" s="32">
        <v>42086</v>
      </c>
      <c r="O10" s="32">
        <v>42089</v>
      </c>
      <c r="P10" s="31">
        <v>2016</v>
      </c>
    </row>
    <row r="11" spans="1:16">
      <c r="A11" s="28" t="s">
        <v>14</v>
      </c>
      <c r="B11" s="27" t="s">
        <v>13</v>
      </c>
      <c r="C11" s="27" t="s">
        <v>27</v>
      </c>
      <c r="D11" s="27" t="s">
        <v>28</v>
      </c>
      <c r="E11" s="31" t="s">
        <v>29</v>
      </c>
      <c r="F11" s="61"/>
      <c r="G11" s="29">
        <v>250413</v>
      </c>
      <c r="H11" s="28" t="s">
        <v>235</v>
      </c>
      <c r="I11" s="32">
        <v>42053</v>
      </c>
      <c r="J11" s="32">
        <v>42082</v>
      </c>
      <c r="K11" s="33" t="s">
        <v>17</v>
      </c>
      <c r="L11" s="29">
        <f t="shared" si="0"/>
        <v>248504.13223140495</v>
      </c>
      <c r="M11" s="29">
        <v>300690</v>
      </c>
      <c r="N11" s="32">
        <v>42128</v>
      </c>
      <c r="O11" s="32">
        <v>42130</v>
      </c>
      <c r="P11" s="31">
        <v>2016</v>
      </c>
    </row>
    <row r="12" spans="1:16">
      <c r="A12" s="28" t="s">
        <v>14</v>
      </c>
      <c r="B12" s="27" t="s">
        <v>13</v>
      </c>
      <c r="C12" s="27" t="s">
        <v>30</v>
      </c>
      <c r="D12" s="27" t="s">
        <v>31</v>
      </c>
      <c r="E12" s="31" t="s">
        <v>26</v>
      </c>
      <c r="F12" s="61"/>
      <c r="G12" s="29">
        <v>5720000</v>
      </c>
      <c r="H12" s="28" t="s">
        <v>235</v>
      </c>
      <c r="I12" s="32">
        <v>42066</v>
      </c>
      <c r="J12" s="32">
        <v>42090</v>
      </c>
      <c r="K12" s="33" t="s">
        <v>32</v>
      </c>
      <c r="L12" s="29">
        <f t="shared" si="0"/>
        <v>5623000</v>
      </c>
      <c r="M12" s="29">
        <v>6803830</v>
      </c>
      <c r="N12" s="32">
        <v>42129</v>
      </c>
      <c r="O12" s="32">
        <v>42135</v>
      </c>
      <c r="P12" s="31">
        <v>2016</v>
      </c>
    </row>
    <row r="13" spans="1:16">
      <c r="A13" s="31" t="s">
        <v>14</v>
      </c>
      <c r="B13" s="36" t="s">
        <v>13</v>
      </c>
      <c r="C13" s="27" t="s">
        <v>103</v>
      </c>
      <c r="D13" s="27" t="s">
        <v>104</v>
      </c>
      <c r="E13" s="28">
        <v>325521101</v>
      </c>
      <c r="F13" s="61"/>
      <c r="G13" s="29">
        <v>890000</v>
      </c>
      <c r="H13" s="28" t="s">
        <v>95</v>
      </c>
      <c r="I13" s="32">
        <v>42122</v>
      </c>
      <c r="J13" s="32">
        <v>42136</v>
      </c>
      <c r="K13" s="33" t="s">
        <v>105</v>
      </c>
      <c r="L13" s="29">
        <f t="shared" si="0"/>
        <v>863810</v>
      </c>
      <c r="M13" s="29">
        <v>1045210.1</v>
      </c>
      <c r="N13" s="32">
        <v>42149</v>
      </c>
      <c r="O13" s="32">
        <v>42152</v>
      </c>
      <c r="P13" s="31" t="s">
        <v>239</v>
      </c>
    </row>
    <row r="14" spans="1:16">
      <c r="A14" s="49" t="s">
        <v>14</v>
      </c>
      <c r="B14" s="30" t="s">
        <v>13</v>
      </c>
      <c r="C14" s="30" t="s">
        <v>277</v>
      </c>
      <c r="D14" s="30" t="s">
        <v>278</v>
      </c>
      <c r="E14" s="49" t="s">
        <v>279</v>
      </c>
      <c r="F14" s="63"/>
      <c r="G14" s="26">
        <v>785000</v>
      </c>
      <c r="H14" s="49" t="s">
        <v>112</v>
      </c>
      <c r="I14" s="48">
        <v>42152</v>
      </c>
      <c r="J14" s="48">
        <v>42159</v>
      </c>
      <c r="K14" s="74" t="s">
        <v>304</v>
      </c>
      <c r="L14" s="26"/>
      <c r="M14" s="26"/>
      <c r="N14" s="25"/>
      <c r="O14" s="25"/>
      <c r="P14" s="49" t="s">
        <v>239</v>
      </c>
    </row>
    <row r="15" spans="1:16">
      <c r="A15" s="31" t="s">
        <v>14</v>
      </c>
      <c r="B15" s="36" t="s">
        <v>13</v>
      </c>
      <c r="C15" s="36" t="s">
        <v>277</v>
      </c>
      <c r="D15" s="36" t="s">
        <v>278</v>
      </c>
      <c r="E15" s="31" t="s">
        <v>279</v>
      </c>
      <c r="F15" s="61"/>
      <c r="G15" s="29">
        <v>785000</v>
      </c>
      <c r="H15" s="31" t="s">
        <v>112</v>
      </c>
      <c r="I15" s="32">
        <v>42163</v>
      </c>
      <c r="J15" s="32">
        <v>42171</v>
      </c>
      <c r="K15" s="33" t="s">
        <v>333</v>
      </c>
      <c r="L15" s="29">
        <f>M15/1.21</f>
        <v>719957</v>
      </c>
      <c r="M15" s="29">
        <v>871147.97</v>
      </c>
      <c r="N15" s="32">
        <v>42198</v>
      </c>
      <c r="O15" s="32">
        <v>42199</v>
      </c>
      <c r="P15" s="31" t="s">
        <v>239</v>
      </c>
    </row>
    <row r="16" spans="1:16">
      <c r="A16" s="31" t="s">
        <v>14</v>
      </c>
      <c r="B16" s="36" t="s">
        <v>13</v>
      </c>
      <c r="C16" s="36" t="s">
        <v>357</v>
      </c>
      <c r="D16" s="36" t="s">
        <v>352</v>
      </c>
      <c r="E16" s="31" t="s">
        <v>26</v>
      </c>
      <c r="F16" s="61"/>
      <c r="G16" s="29">
        <v>210000</v>
      </c>
      <c r="H16" s="31" t="s">
        <v>235</v>
      </c>
      <c r="I16" s="32">
        <v>42180</v>
      </c>
      <c r="J16" s="32">
        <v>42226</v>
      </c>
      <c r="K16" s="33" t="s">
        <v>17</v>
      </c>
      <c r="L16" s="29">
        <v>182171</v>
      </c>
      <c r="M16" s="29">
        <v>220426.91</v>
      </c>
      <c r="N16" s="32">
        <v>42248</v>
      </c>
      <c r="O16" s="32">
        <v>42251</v>
      </c>
      <c r="P16" s="90">
        <v>42695</v>
      </c>
    </row>
    <row r="17" spans="1:16">
      <c r="A17" s="213" t="s">
        <v>14</v>
      </c>
      <c r="B17" s="212" t="s">
        <v>13</v>
      </c>
      <c r="C17" s="212" t="s">
        <v>375</v>
      </c>
      <c r="D17" s="212" t="s">
        <v>376</v>
      </c>
      <c r="E17" s="213" t="s">
        <v>287</v>
      </c>
      <c r="F17" s="214" t="s">
        <v>388</v>
      </c>
      <c r="G17" s="215">
        <v>1240000</v>
      </c>
      <c r="H17" s="213" t="s">
        <v>216</v>
      </c>
      <c r="I17" s="216">
        <v>42195</v>
      </c>
      <c r="J17" s="216">
        <v>42213</v>
      </c>
      <c r="K17" s="217" t="s">
        <v>242</v>
      </c>
      <c r="L17" s="215"/>
      <c r="M17" s="215"/>
      <c r="N17" s="213"/>
      <c r="O17" s="213"/>
      <c r="P17" s="213"/>
    </row>
    <row r="18" spans="1:16">
      <c r="A18" s="84" t="s">
        <v>14</v>
      </c>
      <c r="B18" s="130" t="s">
        <v>13</v>
      </c>
      <c r="C18" s="130" t="s">
        <v>450</v>
      </c>
      <c r="D18" s="130" t="s">
        <v>451</v>
      </c>
      <c r="E18" s="84" t="s">
        <v>452</v>
      </c>
      <c r="F18" s="38" t="s">
        <v>453</v>
      </c>
      <c r="G18" s="131">
        <v>580000</v>
      </c>
      <c r="H18" s="84" t="s">
        <v>112</v>
      </c>
      <c r="I18" s="78">
        <v>42249</v>
      </c>
      <c r="J18" s="78">
        <v>42262</v>
      </c>
      <c r="K18" s="132" t="s">
        <v>333</v>
      </c>
      <c r="L18" s="131">
        <f>M18/1.21</f>
        <v>233496.69421487604</v>
      </c>
      <c r="M18" s="131">
        <v>282531</v>
      </c>
      <c r="N18" s="78">
        <v>42297</v>
      </c>
      <c r="O18" s="78">
        <v>42298</v>
      </c>
      <c r="P18" s="84" t="s">
        <v>239</v>
      </c>
    </row>
    <row r="19" spans="1:16">
      <c r="A19" s="84" t="s">
        <v>14</v>
      </c>
      <c r="B19" s="130" t="s">
        <v>530</v>
      </c>
      <c r="C19" s="130" t="s">
        <v>531</v>
      </c>
      <c r="D19" s="130" t="s">
        <v>532</v>
      </c>
      <c r="E19" s="84" t="s">
        <v>533</v>
      </c>
      <c r="F19" s="38"/>
      <c r="G19" s="131">
        <v>415000</v>
      </c>
      <c r="H19" s="84" t="s">
        <v>112</v>
      </c>
      <c r="I19" s="78">
        <v>42298</v>
      </c>
      <c r="J19" s="78">
        <v>42313</v>
      </c>
      <c r="K19" s="132" t="s">
        <v>646</v>
      </c>
      <c r="L19" s="131">
        <v>80000</v>
      </c>
      <c r="M19" s="131">
        <v>96800</v>
      </c>
      <c r="N19" s="78">
        <v>42359</v>
      </c>
      <c r="O19" s="84" t="s">
        <v>239</v>
      </c>
      <c r="P19" s="84" t="s">
        <v>239</v>
      </c>
    </row>
    <row r="20" spans="1:16">
      <c r="A20" s="84" t="s">
        <v>14</v>
      </c>
      <c r="B20" s="130" t="s">
        <v>13</v>
      </c>
      <c r="C20" s="130" t="s">
        <v>540</v>
      </c>
      <c r="D20" s="130" t="s">
        <v>541</v>
      </c>
      <c r="E20" s="84" t="s">
        <v>542</v>
      </c>
      <c r="F20" s="38"/>
      <c r="G20" s="131">
        <v>1965000</v>
      </c>
      <c r="H20" s="84" t="s">
        <v>112</v>
      </c>
      <c r="I20" s="78">
        <v>42296</v>
      </c>
      <c r="J20" s="78">
        <v>42310</v>
      </c>
      <c r="K20" s="132" t="s">
        <v>333</v>
      </c>
      <c r="L20" s="131">
        <f>M20/1.21</f>
        <v>1797951.2396694215</v>
      </c>
      <c r="M20" s="131">
        <v>2175521</v>
      </c>
      <c r="N20" s="78">
        <v>42333</v>
      </c>
      <c r="O20" s="78">
        <v>42334</v>
      </c>
      <c r="P20" s="84" t="s">
        <v>239</v>
      </c>
    </row>
    <row r="21" spans="1:16">
      <c r="A21" s="84" t="s">
        <v>14</v>
      </c>
      <c r="B21" s="130" t="s">
        <v>13</v>
      </c>
      <c r="C21" s="130" t="s">
        <v>543</v>
      </c>
      <c r="D21" s="130" t="s">
        <v>544</v>
      </c>
      <c r="E21" s="84" t="s">
        <v>545</v>
      </c>
      <c r="F21" s="38"/>
      <c r="G21" s="131">
        <v>2200000</v>
      </c>
      <c r="H21" s="84" t="s">
        <v>112</v>
      </c>
      <c r="I21" s="78">
        <v>42290</v>
      </c>
      <c r="J21" s="78">
        <v>42298</v>
      </c>
      <c r="K21" s="132" t="s">
        <v>569</v>
      </c>
      <c r="L21" s="131">
        <v>1210000</v>
      </c>
      <c r="M21" s="131">
        <v>1464100</v>
      </c>
      <c r="N21" s="78">
        <v>42335</v>
      </c>
      <c r="O21" s="78">
        <v>42335</v>
      </c>
      <c r="P21" s="84" t="s">
        <v>239</v>
      </c>
    </row>
    <row r="22" spans="1:16" ht="30" customHeight="1">
      <c r="A22" s="134" t="s">
        <v>14</v>
      </c>
      <c r="B22" s="133" t="s">
        <v>13</v>
      </c>
      <c r="C22" s="133" t="s">
        <v>548</v>
      </c>
      <c r="D22" s="133" t="s">
        <v>549</v>
      </c>
      <c r="E22" s="83" t="s">
        <v>591</v>
      </c>
      <c r="F22" s="135" t="s">
        <v>552</v>
      </c>
      <c r="G22" s="136">
        <v>8265000</v>
      </c>
      <c r="H22" s="134" t="s">
        <v>251</v>
      </c>
      <c r="I22" s="137"/>
      <c r="J22" s="137"/>
      <c r="K22" s="138"/>
      <c r="L22" s="136"/>
      <c r="M22" s="136"/>
      <c r="N22" s="134"/>
      <c r="O22" s="134"/>
      <c r="P22" s="134"/>
    </row>
    <row r="23" spans="1:16">
      <c r="A23" s="84" t="s">
        <v>14</v>
      </c>
      <c r="B23" s="130" t="s">
        <v>13</v>
      </c>
      <c r="C23" s="130" t="s">
        <v>559</v>
      </c>
      <c r="D23" s="130" t="s">
        <v>560</v>
      </c>
      <c r="E23" s="84" t="s">
        <v>26</v>
      </c>
      <c r="F23" s="38" t="s">
        <v>245</v>
      </c>
      <c r="G23" s="131">
        <v>124000</v>
      </c>
      <c r="H23" s="84" t="s">
        <v>235</v>
      </c>
      <c r="I23" s="78">
        <v>42331</v>
      </c>
      <c r="J23" s="78">
        <v>42339</v>
      </c>
      <c r="K23" s="132" t="s">
        <v>25</v>
      </c>
      <c r="L23" s="131">
        <v>114900</v>
      </c>
      <c r="M23" s="131">
        <v>139029</v>
      </c>
      <c r="N23" s="78">
        <v>42356</v>
      </c>
      <c r="O23" s="78">
        <v>42359</v>
      </c>
      <c r="P23" s="84">
        <v>2016</v>
      </c>
    </row>
    <row r="24" spans="1:16">
      <c r="A24" s="84" t="s">
        <v>14</v>
      </c>
      <c r="B24" s="130" t="s">
        <v>13</v>
      </c>
      <c r="C24" s="130" t="s">
        <v>561</v>
      </c>
      <c r="D24" s="130" t="s">
        <v>562</v>
      </c>
      <c r="E24" s="84" t="s">
        <v>563</v>
      </c>
      <c r="F24" s="38" t="s">
        <v>567</v>
      </c>
      <c r="G24" s="131">
        <v>1970000</v>
      </c>
      <c r="H24" s="84" t="s">
        <v>235</v>
      </c>
      <c r="I24" s="78">
        <v>42328</v>
      </c>
      <c r="J24" s="78">
        <v>42339</v>
      </c>
      <c r="K24" s="132" t="s">
        <v>20</v>
      </c>
      <c r="L24" s="131">
        <v>1959575.21</v>
      </c>
      <c r="M24" s="131">
        <v>2371086</v>
      </c>
      <c r="N24" s="78">
        <v>42366</v>
      </c>
      <c r="O24" s="78">
        <v>42375</v>
      </c>
      <c r="P24" s="84">
        <v>2016</v>
      </c>
    </row>
    <row r="25" spans="1:16">
      <c r="A25" s="84" t="s">
        <v>14</v>
      </c>
      <c r="B25" s="130" t="s">
        <v>13</v>
      </c>
      <c r="C25" s="130" t="s">
        <v>564</v>
      </c>
      <c r="D25" s="130" t="s">
        <v>565</v>
      </c>
      <c r="E25" s="84" t="s">
        <v>566</v>
      </c>
      <c r="F25" s="38" t="s">
        <v>568</v>
      </c>
      <c r="G25" s="131">
        <v>1985000</v>
      </c>
      <c r="H25" s="84" t="s">
        <v>235</v>
      </c>
      <c r="I25" s="78">
        <v>42328</v>
      </c>
      <c r="J25" s="78">
        <v>42339</v>
      </c>
      <c r="K25" s="132" t="s">
        <v>333</v>
      </c>
      <c r="L25" s="131">
        <v>1959928</v>
      </c>
      <c r="M25" s="131">
        <v>2371512.88</v>
      </c>
      <c r="N25" s="78">
        <v>42361</v>
      </c>
      <c r="O25" s="78">
        <v>42366</v>
      </c>
      <c r="P25" s="84">
        <v>2016</v>
      </c>
    </row>
    <row r="26" spans="1:16">
      <c r="A26" s="213" t="s">
        <v>14</v>
      </c>
      <c r="B26" s="212" t="s">
        <v>13</v>
      </c>
      <c r="C26" s="212" t="s">
        <v>581</v>
      </c>
      <c r="D26" s="212" t="s">
        <v>582</v>
      </c>
      <c r="E26" s="213" t="s">
        <v>583</v>
      </c>
      <c r="F26" s="214"/>
      <c r="G26" s="215">
        <v>4700</v>
      </c>
      <c r="H26" s="213" t="s">
        <v>235</v>
      </c>
      <c r="I26" s="216">
        <v>42331</v>
      </c>
      <c r="J26" s="216">
        <v>42339</v>
      </c>
      <c r="K26" s="217" t="s">
        <v>304</v>
      </c>
      <c r="L26" s="215"/>
      <c r="M26" s="215"/>
      <c r="N26" s="213"/>
      <c r="O26" s="213"/>
      <c r="P26" s="213"/>
    </row>
    <row r="27" spans="1:16">
      <c r="A27" s="14"/>
      <c r="B27" s="13"/>
      <c r="C27" s="13"/>
      <c r="D27" s="13"/>
      <c r="E27" s="14"/>
      <c r="F27" s="62"/>
      <c r="G27" s="15"/>
      <c r="H27" s="14"/>
      <c r="I27" s="16"/>
      <c r="J27" s="16"/>
      <c r="K27" s="17"/>
      <c r="L27" s="15"/>
      <c r="M27" s="15"/>
      <c r="N27" s="16"/>
      <c r="O27" s="14"/>
      <c r="P27" s="14"/>
    </row>
    <row r="28" spans="1:16">
      <c r="A28" s="28" t="s">
        <v>52</v>
      </c>
      <c r="B28" s="27" t="s">
        <v>51</v>
      </c>
      <c r="C28" s="27" t="s">
        <v>49</v>
      </c>
      <c r="D28" s="27" t="s">
        <v>50</v>
      </c>
      <c r="E28" s="28" t="s">
        <v>33</v>
      </c>
      <c r="F28" s="67" t="s">
        <v>362</v>
      </c>
      <c r="G28" s="29">
        <v>25748000</v>
      </c>
      <c r="H28" s="31" t="s">
        <v>251</v>
      </c>
      <c r="I28" s="32">
        <v>42082</v>
      </c>
      <c r="J28" s="32">
        <v>42129</v>
      </c>
      <c r="K28" s="33" t="s">
        <v>236</v>
      </c>
      <c r="L28" s="29">
        <f>M28/1.21</f>
        <v>16995707.43801653</v>
      </c>
      <c r="M28" s="29">
        <v>20564806</v>
      </c>
      <c r="N28" s="32">
        <v>42164</v>
      </c>
      <c r="O28" s="32">
        <v>42166</v>
      </c>
      <c r="P28" s="28">
        <v>2016</v>
      </c>
    </row>
    <row r="29" spans="1:16">
      <c r="A29" s="31" t="s">
        <v>52</v>
      </c>
      <c r="B29" s="36" t="s">
        <v>227</v>
      </c>
      <c r="C29" s="27" t="s">
        <v>183</v>
      </c>
      <c r="D29" s="27" t="s">
        <v>184</v>
      </c>
      <c r="E29" s="31" t="s">
        <v>241</v>
      </c>
      <c r="F29" s="67" t="s">
        <v>386</v>
      </c>
      <c r="G29" s="29">
        <v>450000</v>
      </c>
      <c r="H29" s="28" t="s">
        <v>112</v>
      </c>
      <c r="I29" s="32">
        <v>42118</v>
      </c>
      <c r="J29" s="32">
        <v>42124</v>
      </c>
      <c r="K29" s="28" t="s">
        <v>185</v>
      </c>
      <c r="L29" s="29">
        <f>M29/121*100</f>
        <v>288677.68595041323</v>
      </c>
      <c r="M29" s="29">
        <v>349300</v>
      </c>
      <c r="N29" s="32">
        <v>42149</v>
      </c>
      <c r="O29" s="31" t="s">
        <v>239</v>
      </c>
      <c r="P29" s="31" t="s">
        <v>239</v>
      </c>
    </row>
    <row r="30" spans="1:16" ht="30.75" customHeight="1">
      <c r="A30" s="31" t="s">
        <v>52</v>
      </c>
      <c r="B30" s="36" t="s">
        <v>329</v>
      </c>
      <c r="C30" s="27" t="s">
        <v>330</v>
      </c>
      <c r="D30" s="37" t="s">
        <v>331</v>
      </c>
      <c r="E30" s="31" t="s">
        <v>332</v>
      </c>
      <c r="F30" s="61"/>
      <c r="G30" s="29">
        <v>420000</v>
      </c>
      <c r="H30" s="28" t="s">
        <v>112</v>
      </c>
      <c r="I30" s="32">
        <v>42171</v>
      </c>
      <c r="J30" s="32">
        <v>42177</v>
      </c>
      <c r="K30" s="31" t="s">
        <v>369</v>
      </c>
      <c r="L30" s="29">
        <v>620000</v>
      </c>
      <c r="M30" s="29">
        <v>750200</v>
      </c>
      <c r="N30" s="32">
        <v>42200</v>
      </c>
      <c r="O30" s="90">
        <v>42212</v>
      </c>
      <c r="P30" s="31" t="s">
        <v>239</v>
      </c>
    </row>
    <row r="31" spans="1:16" ht="45">
      <c r="A31" s="49" t="s">
        <v>52</v>
      </c>
      <c r="B31" s="30" t="s">
        <v>227</v>
      </c>
      <c r="C31" s="24" t="s">
        <v>413</v>
      </c>
      <c r="D31" s="107" t="s">
        <v>384</v>
      </c>
      <c r="E31" s="108" t="s">
        <v>385</v>
      </c>
      <c r="F31" s="63"/>
      <c r="G31" s="26">
        <v>250000000</v>
      </c>
      <c r="H31" s="49" t="s">
        <v>251</v>
      </c>
      <c r="I31" s="170"/>
      <c r="J31" s="171"/>
      <c r="K31" s="171" t="s">
        <v>687</v>
      </c>
      <c r="L31" s="171"/>
      <c r="M31" s="171"/>
      <c r="N31" s="171"/>
      <c r="O31" s="171"/>
      <c r="P31" s="172"/>
    </row>
    <row r="32" spans="1:16">
      <c r="A32" s="242" t="s">
        <v>52</v>
      </c>
      <c r="B32" s="41" t="s">
        <v>227</v>
      </c>
      <c r="C32" s="92" t="s">
        <v>435</v>
      </c>
      <c r="D32" s="128" t="s">
        <v>436</v>
      </c>
      <c r="E32" s="346" t="s">
        <v>33</v>
      </c>
      <c r="F32" s="157" t="s">
        <v>437</v>
      </c>
      <c r="G32" s="44">
        <v>19850000</v>
      </c>
      <c r="H32" s="242" t="s">
        <v>251</v>
      </c>
      <c r="I32" s="240">
        <v>42328</v>
      </c>
      <c r="J32" s="240">
        <v>42359</v>
      </c>
      <c r="K32" s="242"/>
      <c r="L32" s="44"/>
      <c r="M32" s="44"/>
      <c r="N32" s="240"/>
      <c r="O32" s="242"/>
      <c r="P32" s="242"/>
    </row>
    <row r="33" spans="1:16">
      <c r="A33" s="242" t="s">
        <v>52</v>
      </c>
      <c r="B33" s="41" t="s">
        <v>227</v>
      </c>
      <c r="C33" s="92" t="s">
        <v>482</v>
      </c>
      <c r="D33" s="128" t="s">
        <v>483</v>
      </c>
      <c r="E33" s="346" t="s">
        <v>484</v>
      </c>
      <c r="F33" s="157" t="s">
        <v>485</v>
      </c>
      <c r="G33" s="44">
        <v>8000000</v>
      </c>
      <c r="H33" s="242" t="s">
        <v>251</v>
      </c>
      <c r="I33" s="240">
        <v>42313</v>
      </c>
      <c r="J33" s="240">
        <v>42373</v>
      </c>
      <c r="K33" s="242"/>
      <c r="L33" s="44"/>
      <c r="M33" s="44"/>
      <c r="N33" s="240"/>
      <c r="O33" s="242"/>
      <c r="P33" s="242"/>
    </row>
    <row r="34" spans="1:16">
      <c r="A34" s="31" t="s">
        <v>52</v>
      </c>
      <c r="B34" s="36" t="s">
        <v>227</v>
      </c>
      <c r="C34" s="36" t="s">
        <v>643</v>
      </c>
      <c r="D34" s="91" t="s">
        <v>644</v>
      </c>
      <c r="E34" s="225" t="s">
        <v>33</v>
      </c>
      <c r="F34" s="61"/>
      <c r="G34" s="29">
        <v>609208</v>
      </c>
      <c r="H34" s="31" t="s">
        <v>645</v>
      </c>
      <c r="I34" s="32">
        <v>42310</v>
      </c>
      <c r="J34" s="32">
        <v>42320</v>
      </c>
      <c r="K34" s="31" t="s">
        <v>236</v>
      </c>
      <c r="L34" s="29">
        <v>609208</v>
      </c>
      <c r="M34" s="29">
        <f>L34*1.21</f>
        <v>737141.67999999993</v>
      </c>
      <c r="N34" s="32">
        <v>42333</v>
      </c>
      <c r="O34" s="90">
        <v>42335</v>
      </c>
      <c r="P34" s="31">
        <v>2016</v>
      </c>
    </row>
    <row r="35" spans="1:16">
      <c r="A35" s="31" t="s">
        <v>52</v>
      </c>
      <c r="B35" s="36" t="s">
        <v>227</v>
      </c>
      <c r="C35" s="36" t="s">
        <v>666</v>
      </c>
      <c r="D35" s="91" t="s">
        <v>667</v>
      </c>
      <c r="E35" s="225" t="s">
        <v>33</v>
      </c>
      <c r="F35" s="61"/>
      <c r="G35" s="29">
        <v>1413212</v>
      </c>
      <c r="H35" s="31" t="s">
        <v>645</v>
      </c>
      <c r="I35" s="32">
        <v>42340</v>
      </c>
      <c r="J35" s="32">
        <v>42340</v>
      </c>
      <c r="K35" s="31" t="s">
        <v>236</v>
      </c>
      <c r="L35" s="29">
        <v>1413212</v>
      </c>
      <c r="M35" s="29">
        <f>L35*1.21</f>
        <v>1709986.52</v>
      </c>
      <c r="N35" s="32">
        <v>42354</v>
      </c>
      <c r="O35" s="90">
        <v>42359</v>
      </c>
      <c r="P35" s="31">
        <v>2021</v>
      </c>
    </row>
    <row r="36" spans="1:16">
      <c r="A36" s="198"/>
      <c r="B36" s="195"/>
      <c r="C36" s="13"/>
      <c r="D36" s="196"/>
      <c r="E36" s="197"/>
      <c r="F36" s="62"/>
      <c r="G36" s="15"/>
      <c r="H36" s="198"/>
      <c r="I36" s="16"/>
      <c r="J36" s="16"/>
      <c r="K36" s="198"/>
      <c r="L36" s="15"/>
      <c r="M36" s="15"/>
      <c r="N36" s="16"/>
      <c r="O36" s="198"/>
      <c r="P36" s="198"/>
    </row>
    <row r="37" spans="1:16" s="58" customFormat="1">
      <c r="A37" s="241" t="s">
        <v>47</v>
      </c>
      <c r="B37" s="92" t="s">
        <v>221</v>
      </c>
      <c r="C37" s="92" t="s">
        <v>34</v>
      </c>
      <c r="D37" s="92" t="s">
        <v>35</v>
      </c>
      <c r="E37" s="242" t="s">
        <v>36</v>
      </c>
      <c r="F37" s="157"/>
      <c r="G37" s="44">
        <v>36000000</v>
      </c>
      <c r="H37" s="242" t="s">
        <v>251</v>
      </c>
      <c r="I37" s="240">
        <v>42304</v>
      </c>
      <c r="J37" s="240">
        <v>42360</v>
      </c>
      <c r="K37" s="241"/>
      <c r="L37" s="44"/>
      <c r="M37" s="44"/>
      <c r="N37" s="241"/>
      <c r="O37" s="241"/>
      <c r="P37" s="241"/>
    </row>
    <row r="38" spans="1:16">
      <c r="A38" s="49" t="s">
        <v>47</v>
      </c>
      <c r="B38" s="24" t="s">
        <v>46</v>
      </c>
      <c r="C38" s="24" t="s">
        <v>44</v>
      </c>
      <c r="D38" s="24" t="s">
        <v>45</v>
      </c>
      <c r="E38" s="25" t="s">
        <v>48</v>
      </c>
      <c r="F38" s="68" t="s">
        <v>246</v>
      </c>
      <c r="G38" s="26">
        <v>5845168</v>
      </c>
      <c r="H38" s="49" t="s">
        <v>251</v>
      </c>
      <c r="I38" s="48">
        <v>42115</v>
      </c>
      <c r="J38" s="48">
        <v>42227</v>
      </c>
      <c r="K38" s="74" t="s">
        <v>242</v>
      </c>
      <c r="L38" s="26"/>
      <c r="M38" s="26"/>
      <c r="N38" s="25"/>
      <c r="O38" s="48">
        <v>42237</v>
      </c>
      <c r="P38" s="25"/>
    </row>
    <row r="39" spans="1:16">
      <c r="A39" s="31" t="s">
        <v>47</v>
      </c>
      <c r="B39" s="27" t="s">
        <v>201</v>
      </c>
      <c r="C39" s="27" t="s">
        <v>199</v>
      </c>
      <c r="D39" s="27" t="s">
        <v>200</v>
      </c>
      <c r="E39" s="31" t="s">
        <v>240</v>
      </c>
      <c r="F39" s="67" t="s">
        <v>247</v>
      </c>
      <c r="G39" s="29">
        <v>1950000</v>
      </c>
      <c r="H39" s="31" t="s">
        <v>112</v>
      </c>
      <c r="I39" s="32">
        <v>42136</v>
      </c>
      <c r="J39" s="32">
        <v>42150</v>
      </c>
      <c r="K39" s="31" t="s">
        <v>288</v>
      </c>
      <c r="L39" s="29">
        <v>1587000</v>
      </c>
      <c r="M39" s="29">
        <v>1920270</v>
      </c>
      <c r="N39" s="32">
        <v>42173</v>
      </c>
      <c r="O39" s="32">
        <v>42173</v>
      </c>
      <c r="P39" s="32">
        <v>44648</v>
      </c>
    </row>
    <row r="40" spans="1:16">
      <c r="A40" s="31" t="s">
        <v>47</v>
      </c>
      <c r="B40" s="36" t="s">
        <v>229</v>
      </c>
      <c r="C40" s="27" t="s">
        <v>96</v>
      </c>
      <c r="D40" s="27" t="s">
        <v>97</v>
      </c>
      <c r="E40" s="28" t="s">
        <v>98</v>
      </c>
      <c r="F40" s="61"/>
      <c r="G40" s="29">
        <v>1400000</v>
      </c>
      <c r="H40" s="28" t="s">
        <v>95</v>
      </c>
      <c r="I40" s="32">
        <v>42101</v>
      </c>
      <c r="J40" s="28" t="s">
        <v>99</v>
      </c>
      <c r="K40" s="33" t="s">
        <v>100</v>
      </c>
      <c r="L40" s="40">
        <v>1138640</v>
      </c>
      <c r="M40" s="29">
        <v>1377754.4</v>
      </c>
      <c r="N40" s="32">
        <v>42138</v>
      </c>
      <c r="O40" s="32">
        <v>42142</v>
      </c>
      <c r="P40" s="31" t="s">
        <v>239</v>
      </c>
    </row>
    <row r="41" spans="1:16">
      <c r="A41" s="31" t="s">
        <v>47</v>
      </c>
      <c r="B41" s="36" t="s">
        <v>230</v>
      </c>
      <c r="C41" s="27" t="s">
        <v>152</v>
      </c>
      <c r="D41" s="27" t="s">
        <v>153</v>
      </c>
      <c r="E41" s="28" t="s">
        <v>154</v>
      </c>
      <c r="F41" s="61"/>
      <c r="G41" s="29">
        <v>1250000</v>
      </c>
      <c r="H41" s="28" t="s">
        <v>112</v>
      </c>
      <c r="I41" s="32">
        <v>42082</v>
      </c>
      <c r="J41" s="32">
        <v>42090</v>
      </c>
      <c r="K41" s="28" t="s">
        <v>155</v>
      </c>
      <c r="L41" s="29">
        <v>453320</v>
      </c>
      <c r="M41" s="29">
        <v>548517.19999999995</v>
      </c>
      <c r="N41" s="32">
        <v>42103</v>
      </c>
      <c r="O41" s="31" t="s">
        <v>239</v>
      </c>
      <c r="P41" s="31" t="s">
        <v>239</v>
      </c>
    </row>
    <row r="42" spans="1:16">
      <c r="A42" s="31" t="s">
        <v>47</v>
      </c>
      <c r="B42" s="36" t="s">
        <v>361</v>
      </c>
      <c r="C42" s="36" t="s">
        <v>365</v>
      </c>
      <c r="D42" s="36" t="s">
        <v>373</v>
      </c>
      <c r="E42" s="31" t="s">
        <v>487</v>
      </c>
      <c r="F42" s="67" t="s">
        <v>362</v>
      </c>
      <c r="G42" s="29">
        <v>1240000</v>
      </c>
      <c r="H42" s="31" t="s">
        <v>112</v>
      </c>
      <c r="I42" s="32">
        <v>42187</v>
      </c>
      <c r="J42" s="32">
        <v>42206</v>
      </c>
      <c r="K42" s="31" t="s">
        <v>408</v>
      </c>
      <c r="L42" s="29">
        <v>883102</v>
      </c>
      <c r="M42" s="29">
        <v>1068553</v>
      </c>
      <c r="N42" s="32">
        <v>42237</v>
      </c>
      <c r="O42" s="90">
        <v>42240</v>
      </c>
      <c r="P42" s="31" t="s">
        <v>239</v>
      </c>
    </row>
    <row r="43" spans="1:16">
      <c r="A43" s="31" t="s">
        <v>47</v>
      </c>
      <c r="B43" s="36" t="s">
        <v>361</v>
      </c>
      <c r="C43" s="36" t="s">
        <v>410</v>
      </c>
      <c r="D43" s="36" t="s">
        <v>411</v>
      </c>
      <c r="E43" s="31" t="s">
        <v>412</v>
      </c>
      <c r="F43" s="67"/>
      <c r="G43" s="29">
        <v>830000</v>
      </c>
      <c r="H43" s="31" t="s">
        <v>112</v>
      </c>
      <c r="I43" s="32">
        <v>42219</v>
      </c>
      <c r="J43" s="32">
        <v>42230</v>
      </c>
      <c r="K43" s="31" t="s">
        <v>438</v>
      </c>
      <c r="L43" s="29">
        <v>648538</v>
      </c>
      <c r="M43" s="29">
        <v>784731</v>
      </c>
      <c r="N43" s="32">
        <v>42262</v>
      </c>
      <c r="O43" s="90">
        <v>42263</v>
      </c>
      <c r="P43" s="31" t="s">
        <v>239</v>
      </c>
    </row>
    <row r="44" spans="1:16">
      <c r="A44" s="28" t="s">
        <v>47</v>
      </c>
      <c r="B44" s="27" t="s">
        <v>230</v>
      </c>
      <c r="C44" s="27" t="s">
        <v>445</v>
      </c>
      <c r="D44" s="27" t="s">
        <v>446</v>
      </c>
      <c r="E44" s="28" t="s">
        <v>154</v>
      </c>
      <c r="F44" s="67"/>
      <c r="G44" s="29">
        <v>1900000</v>
      </c>
      <c r="H44" s="31" t="s">
        <v>216</v>
      </c>
      <c r="I44" s="32">
        <v>42270</v>
      </c>
      <c r="J44" s="32">
        <v>42289</v>
      </c>
      <c r="K44" s="33" t="s">
        <v>155</v>
      </c>
      <c r="L44" s="29">
        <f>M44/1.21</f>
        <v>1546270</v>
      </c>
      <c r="M44" s="29">
        <v>1870986.7</v>
      </c>
      <c r="N44" s="32">
        <v>42331</v>
      </c>
      <c r="O44" s="32">
        <v>42338</v>
      </c>
      <c r="P44" s="90">
        <v>42800</v>
      </c>
    </row>
    <row r="45" spans="1:16">
      <c r="A45" s="28" t="s">
        <v>47</v>
      </c>
      <c r="B45" s="27" t="s">
        <v>361</v>
      </c>
      <c r="C45" s="27" t="s">
        <v>488</v>
      </c>
      <c r="D45" s="27" t="s">
        <v>490</v>
      </c>
      <c r="E45" s="28" t="s">
        <v>491</v>
      </c>
      <c r="F45" s="67" t="s">
        <v>489</v>
      </c>
      <c r="G45" s="29">
        <v>900000</v>
      </c>
      <c r="H45" s="31" t="s">
        <v>112</v>
      </c>
      <c r="I45" s="32">
        <v>42268</v>
      </c>
      <c r="J45" s="32">
        <v>42278</v>
      </c>
      <c r="K45" s="33" t="s">
        <v>528</v>
      </c>
      <c r="L45" s="29">
        <v>762056.43</v>
      </c>
      <c r="M45" s="29">
        <v>922088.33</v>
      </c>
      <c r="N45" s="73">
        <v>42296</v>
      </c>
      <c r="O45" s="32">
        <v>42298</v>
      </c>
      <c r="P45" s="31" t="s">
        <v>239</v>
      </c>
    </row>
    <row r="46" spans="1:16">
      <c r="A46" s="241" t="s">
        <v>47</v>
      </c>
      <c r="B46" s="92" t="s">
        <v>46</v>
      </c>
      <c r="C46" s="92" t="s">
        <v>546</v>
      </c>
      <c r="D46" s="92" t="s">
        <v>547</v>
      </c>
      <c r="E46" s="241" t="s">
        <v>48</v>
      </c>
      <c r="F46" s="80" t="s">
        <v>246</v>
      </c>
      <c r="G46" s="44">
        <v>4825000</v>
      </c>
      <c r="H46" s="242" t="s">
        <v>251</v>
      </c>
      <c r="I46" s="226">
        <v>42292</v>
      </c>
      <c r="J46" s="240">
        <v>42346</v>
      </c>
      <c r="K46" s="47"/>
      <c r="L46" s="44"/>
      <c r="M46" s="44"/>
      <c r="N46" s="240"/>
      <c r="O46" s="240"/>
      <c r="P46" s="242"/>
    </row>
    <row r="47" spans="1:16">
      <c r="A47" s="241" t="s">
        <v>47</v>
      </c>
      <c r="B47" s="92" t="s">
        <v>201</v>
      </c>
      <c r="C47" s="92" t="s">
        <v>633</v>
      </c>
      <c r="D47" s="92" t="s">
        <v>634</v>
      </c>
      <c r="E47" s="220" t="s">
        <v>635</v>
      </c>
      <c r="F47" s="80" t="s">
        <v>636</v>
      </c>
      <c r="G47" s="44">
        <v>230000</v>
      </c>
      <c r="H47" s="221" t="s">
        <v>112</v>
      </c>
      <c r="I47" s="226">
        <v>42320</v>
      </c>
      <c r="J47" s="219">
        <v>42334</v>
      </c>
      <c r="K47" s="47" t="s">
        <v>342</v>
      </c>
      <c r="L47" s="44">
        <v>197906</v>
      </c>
      <c r="M47" s="44">
        <v>239466</v>
      </c>
      <c r="N47" s="219"/>
      <c r="O47" s="219"/>
      <c r="P47" s="221" t="s">
        <v>239</v>
      </c>
    </row>
    <row r="48" spans="1:16">
      <c r="A48" s="14"/>
      <c r="B48" s="13"/>
      <c r="C48" s="13"/>
      <c r="D48" s="13"/>
      <c r="E48" s="14"/>
      <c r="F48" s="62"/>
      <c r="G48" s="15"/>
      <c r="H48" s="14"/>
      <c r="I48" s="18"/>
      <c r="J48" s="19"/>
      <c r="K48" s="19"/>
      <c r="L48" s="35"/>
      <c r="M48" s="35"/>
      <c r="N48" s="20"/>
      <c r="O48" s="14"/>
      <c r="P48" s="14"/>
    </row>
    <row r="49" spans="1:16">
      <c r="A49" s="25" t="s">
        <v>134</v>
      </c>
      <c r="B49" s="24" t="s">
        <v>133</v>
      </c>
      <c r="C49" s="24" t="s">
        <v>131</v>
      </c>
      <c r="D49" s="30" t="s">
        <v>519</v>
      </c>
      <c r="E49" s="49" t="s">
        <v>360</v>
      </c>
      <c r="F49" s="68" t="s">
        <v>248</v>
      </c>
      <c r="G49" s="26">
        <v>91000</v>
      </c>
      <c r="H49" s="25" t="s">
        <v>112</v>
      </c>
      <c r="I49" s="120">
        <v>42065</v>
      </c>
      <c r="J49" s="121">
        <v>42075</v>
      </c>
      <c r="K49" s="71" t="s">
        <v>520</v>
      </c>
      <c r="L49" s="26"/>
      <c r="M49" s="26"/>
      <c r="N49" s="25"/>
      <c r="O49" s="25"/>
      <c r="P49" s="49" t="s">
        <v>239</v>
      </c>
    </row>
    <row r="50" spans="1:16">
      <c r="A50" s="28" t="s">
        <v>134</v>
      </c>
      <c r="B50" s="27" t="s">
        <v>133</v>
      </c>
      <c r="C50" s="27" t="s">
        <v>131</v>
      </c>
      <c r="D50" s="27" t="s">
        <v>132</v>
      </c>
      <c r="E50" s="31" t="s">
        <v>360</v>
      </c>
      <c r="F50" s="67" t="s">
        <v>248</v>
      </c>
      <c r="G50" s="29">
        <v>91000</v>
      </c>
      <c r="H50" s="28" t="s">
        <v>112</v>
      </c>
      <c r="I50" s="32">
        <v>42080</v>
      </c>
      <c r="J50" s="32">
        <v>42090</v>
      </c>
      <c r="K50" s="28" t="s">
        <v>135</v>
      </c>
      <c r="L50" s="29">
        <f>M50/121*100</f>
        <v>77900</v>
      </c>
      <c r="M50" s="29">
        <v>94259</v>
      </c>
      <c r="N50" s="32">
        <v>42103</v>
      </c>
      <c r="O50" s="31" t="s">
        <v>239</v>
      </c>
      <c r="P50" s="31" t="s">
        <v>239</v>
      </c>
    </row>
    <row r="51" spans="1:16">
      <c r="A51" s="28" t="s">
        <v>134</v>
      </c>
      <c r="B51" s="27" t="s">
        <v>133</v>
      </c>
      <c r="C51" s="27" t="s">
        <v>136</v>
      </c>
      <c r="D51" s="27" t="s">
        <v>137</v>
      </c>
      <c r="E51" s="31" t="s">
        <v>360</v>
      </c>
      <c r="F51" s="67" t="s">
        <v>249</v>
      </c>
      <c r="G51" s="29">
        <v>745000</v>
      </c>
      <c r="H51" s="28" t="s">
        <v>112</v>
      </c>
      <c r="I51" s="32">
        <v>42055</v>
      </c>
      <c r="J51" s="32">
        <v>42075</v>
      </c>
      <c r="K51" s="28" t="s">
        <v>135</v>
      </c>
      <c r="L51" s="29">
        <v>544900</v>
      </c>
      <c r="M51" s="29">
        <v>659329</v>
      </c>
      <c r="N51" s="32">
        <v>42089</v>
      </c>
      <c r="O51" s="32">
        <v>42090</v>
      </c>
      <c r="P51" s="31" t="s">
        <v>239</v>
      </c>
    </row>
    <row r="52" spans="1:16">
      <c r="A52" s="28" t="s">
        <v>134</v>
      </c>
      <c r="B52" s="27" t="s">
        <v>133</v>
      </c>
      <c r="C52" s="27" t="s">
        <v>156</v>
      </c>
      <c r="D52" s="27" t="s">
        <v>157</v>
      </c>
      <c r="E52" s="28" t="s">
        <v>158</v>
      </c>
      <c r="F52" s="38" t="s">
        <v>174</v>
      </c>
      <c r="G52" s="29">
        <v>1850000</v>
      </c>
      <c r="H52" s="28" t="s">
        <v>112</v>
      </c>
      <c r="I52" s="32">
        <v>42080</v>
      </c>
      <c r="J52" s="32">
        <v>42094</v>
      </c>
      <c r="K52" s="39" t="s">
        <v>228</v>
      </c>
      <c r="L52" s="29">
        <f>M52/121*100</f>
        <v>1435000</v>
      </c>
      <c r="M52" s="29">
        <v>1736350</v>
      </c>
      <c r="N52" s="32">
        <v>42138</v>
      </c>
      <c r="O52" s="32">
        <v>42142</v>
      </c>
      <c r="P52" s="90">
        <v>44264</v>
      </c>
    </row>
    <row r="53" spans="1:16">
      <c r="A53" s="31" t="s">
        <v>134</v>
      </c>
      <c r="B53" s="36" t="s">
        <v>133</v>
      </c>
      <c r="C53" s="36" t="s">
        <v>366</v>
      </c>
      <c r="D53" s="36" t="s">
        <v>358</v>
      </c>
      <c r="E53" s="31" t="s">
        <v>158</v>
      </c>
      <c r="F53" s="38" t="s">
        <v>359</v>
      </c>
      <c r="G53" s="29">
        <v>270000</v>
      </c>
      <c r="H53" s="31" t="s">
        <v>112</v>
      </c>
      <c r="I53" s="32">
        <v>42185</v>
      </c>
      <c r="J53" s="32">
        <v>42203</v>
      </c>
      <c r="K53" s="39" t="s">
        <v>135</v>
      </c>
      <c r="L53" s="29">
        <f>M53/1.21</f>
        <v>235500</v>
      </c>
      <c r="M53" s="29">
        <v>284955</v>
      </c>
      <c r="N53" s="32">
        <v>42241</v>
      </c>
      <c r="O53" s="90" t="s">
        <v>239</v>
      </c>
      <c r="P53" s="31" t="s">
        <v>239</v>
      </c>
    </row>
    <row r="54" spans="1:16">
      <c r="A54" s="14"/>
      <c r="B54" s="13"/>
      <c r="C54" s="13"/>
      <c r="D54" s="13"/>
      <c r="E54" s="14"/>
      <c r="F54" s="62"/>
      <c r="G54" s="15"/>
      <c r="H54" s="14"/>
      <c r="I54" s="21"/>
      <c r="J54" s="22"/>
      <c r="K54" s="19"/>
      <c r="L54" s="35"/>
      <c r="M54" s="35"/>
      <c r="N54" s="23"/>
      <c r="O54" s="14"/>
      <c r="P54" s="14"/>
    </row>
    <row r="55" spans="1:16">
      <c r="A55" s="28" t="s">
        <v>166</v>
      </c>
      <c r="B55" s="27" t="s">
        <v>167</v>
      </c>
      <c r="C55" s="27" t="s">
        <v>162</v>
      </c>
      <c r="D55" s="27" t="s">
        <v>163</v>
      </c>
      <c r="E55" s="28" t="s">
        <v>164</v>
      </c>
      <c r="F55" s="61"/>
      <c r="G55" s="29">
        <v>2800000</v>
      </c>
      <c r="H55" s="28" t="s">
        <v>112</v>
      </c>
      <c r="I55" s="32">
        <v>42088</v>
      </c>
      <c r="J55" s="32">
        <v>42101</v>
      </c>
      <c r="K55" s="33" t="s">
        <v>165</v>
      </c>
      <c r="L55" s="29">
        <v>2359523</v>
      </c>
      <c r="M55" s="29">
        <v>2855023</v>
      </c>
      <c r="N55" s="32">
        <v>42139</v>
      </c>
      <c r="O55" s="32">
        <v>42142</v>
      </c>
      <c r="P55" s="31" t="s">
        <v>239</v>
      </c>
    </row>
    <row r="56" spans="1:16">
      <c r="A56" s="28" t="s">
        <v>166</v>
      </c>
      <c r="B56" s="27" t="s">
        <v>167</v>
      </c>
      <c r="C56" s="27" t="s">
        <v>168</v>
      </c>
      <c r="D56" s="27" t="s">
        <v>169</v>
      </c>
      <c r="E56" s="28" t="s">
        <v>250</v>
      </c>
      <c r="F56" s="61"/>
      <c r="G56" s="29">
        <v>900000</v>
      </c>
      <c r="H56" s="28" t="s">
        <v>112</v>
      </c>
      <c r="I56" s="32">
        <v>42089</v>
      </c>
      <c r="J56" s="32">
        <v>42103</v>
      </c>
      <c r="K56" s="33" t="s">
        <v>170</v>
      </c>
      <c r="L56" s="29">
        <v>309516.09999999998</v>
      </c>
      <c r="M56" s="29">
        <v>374514.5</v>
      </c>
      <c r="N56" s="32">
        <v>42130</v>
      </c>
      <c r="O56" s="31" t="s">
        <v>239</v>
      </c>
      <c r="P56" s="31" t="s">
        <v>239</v>
      </c>
    </row>
    <row r="57" spans="1:16">
      <c r="A57" s="28" t="s">
        <v>166</v>
      </c>
      <c r="B57" s="27" t="s">
        <v>167</v>
      </c>
      <c r="C57" s="27" t="s">
        <v>171</v>
      </c>
      <c r="D57" s="27" t="s">
        <v>172</v>
      </c>
      <c r="E57" s="28" t="s">
        <v>33</v>
      </c>
      <c r="F57" s="61" t="s">
        <v>173</v>
      </c>
      <c r="G57" s="29">
        <v>450000</v>
      </c>
      <c r="H57" s="28" t="s">
        <v>112</v>
      </c>
      <c r="I57" s="32">
        <v>42090</v>
      </c>
      <c r="J57" s="32">
        <v>42104</v>
      </c>
      <c r="K57" s="28" t="s">
        <v>175</v>
      </c>
      <c r="L57" s="29">
        <v>418688.42</v>
      </c>
      <c r="M57" s="29">
        <v>506612.99</v>
      </c>
      <c r="N57" s="32">
        <v>42123</v>
      </c>
      <c r="O57" s="31" t="s">
        <v>239</v>
      </c>
      <c r="P57" s="31" t="s">
        <v>239</v>
      </c>
    </row>
    <row r="58" spans="1:16">
      <c r="A58" s="28" t="s">
        <v>166</v>
      </c>
      <c r="B58" s="27" t="s">
        <v>167</v>
      </c>
      <c r="C58" s="27" t="s">
        <v>176</v>
      </c>
      <c r="D58" s="27" t="s">
        <v>177</v>
      </c>
      <c r="E58" s="31" t="s">
        <v>250</v>
      </c>
      <c r="F58" s="61"/>
      <c r="G58" s="29">
        <v>480000</v>
      </c>
      <c r="H58" s="28" t="s">
        <v>112</v>
      </c>
      <c r="I58" s="32">
        <v>42096</v>
      </c>
      <c r="J58" s="32">
        <v>42110</v>
      </c>
      <c r="K58" s="28" t="s">
        <v>178</v>
      </c>
      <c r="L58" s="29">
        <v>295235</v>
      </c>
      <c r="M58" s="29">
        <v>357234.35</v>
      </c>
      <c r="N58" s="32">
        <v>42159</v>
      </c>
      <c r="O58" s="31" t="s">
        <v>239</v>
      </c>
      <c r="P58" s="31" t="s">
        <v>239</v>
      </c>
    </row>
    <row r="59" spans="1:16">
      <c r="A59" s="28" t="s">
        <v>166</v>
      </c>
      <c r="B59" s="27" t="s">
        <v>167</v>
      </c>
      <c r="C59" s="27" t="s">
        <v>212</v>
      </c>
      <c r="D59" s="27" t="s">
        <v>213</v>
      </c>
      <c r="E59" s="31" t="s">
        <v>33</v>
      </c>
      <c r="F59" s="61"/>
      <c r="G59" s="29">
        <v>490000</v>
      </c>
      <c r="H59" s="28" t="s">
        <v>112</v>
      </c>
      <c r="I59" s="32">
        <v>42139</v>
      </c>
      <c r="J59" s="32">
        <v>42151</v>
      </c>
      <c r="K59" s="31" t="s">
        <v>318</v>
      </c>
      <c r="L59" s="79">
        <v>372718.46</v>
      </c>
      <c r="M59" s="79">
        <f>L59*1.21</f>
        <v>450989.33660000004</v>
      </c>
      <c r="N59" s="32">
        <v>42179</v>
      </c>
      <c r="O59" s="31" t="s">
        <v>239</v>
      </c>
      <c r="P59" s="31" t="s">
        <v>239</v>
      </c>
    </row>
    <row r="60" spans="1:16">
      <c r="A60" s="25" t="s">
        <v>166</v>
      </c>
      <c r="B60" s="24" t="s">
        <v>167</v>
      </c>
      <c r="C60" s="24" t="s">
        <v>306</v>
      </c>
      <c r="D60" s="24" t="s">
        <v>307</v>
      </c>
      <c r="E60" s="25" t="s">
        <v>33</v>
      </c>
      <c r="F60" s="63"/>
      <c r="G60" s="26">
        <v>900000</v>
      </c>
      <c r="H60" s="25" t="s">
        <v>112</v>
      </c>
      <c r="I60" s="48">
        <v>42165</v>
      </c>
      <c r="J60" s="48">
        <v>42174</v>
      </c>
      <c r="K60" s="71" t="s">
        <v>348</v>
      </c>
      <c r="L60" s="50"/>
      <c r="M60" s="50"/>
      <c r="N60" s="25"/>
      <c r="O60" s="25"/>
      <c r="P60" s="49" t="s">
        <v>239</v>
      </c>
    </row>
    <row r="61" spans="1:16">
      <c r="A61" s="31" t="s">
        <v>166</v>
      </c>
      <c r="B61" s="36" t="s">
        <v>167</v>
      </c>
      <c r="C61" s="36" t="s">
        <v>345</v>
      </c>
      <c r="D61" s="36" t="s">
        <v>343</v>
      </c>
      <c r="E61" s="31" t="s">
        <v>344</v>
      </c>
      <c r="F61" s="61"/>
      <c r="G61" s="29">
        <v>850000</v>
      </c>
      <c r="H61" s="31" t="s">
        <v>112</v>
      </c>
      <c r="I61" s="32">
        <v>42180</v>
      </c>
      <c r="J61" s="32">
        <v>42199</v>
      </c>
      <c r="K61" s="31" t="s">
        <v>415</v>
      </c>
      <c r="L61" s="79">
        <f>M61/1.21</f>
        <v>374396.69421487604</v>
      </c>
      <c r="M61" s="79">
        <v>453020</v>
      </c>
      <c r="N61" s="32">
        <v>42258</v>
      </c>
      <c r="O61" s="32">
        <v>42261</v>
      </c>
      <c r="P61" s="31" t="s">
        <v>239</v>
      </c>
    </row>
    <row r="62" spans="1:16" ht="30">
      <c r="A62" s="31" t="s">
        <v>166</v>
      </c>
      <c r="B62" s="36" t="s">
        <v>167</v>
      </c>
      <c r="C62" s="36" t="s">
        <v>346</v>
      </c>
      <c r="D62" s="36" t="s">
        <v>347</v>
      </c>
      <c r="E62" s="39" t="s">
        <v>486</v>
      </c>
      <c r="F62" s="61"/>
      <c r="G62" s="29">
        <v>1900000</v>
      </c>
      <c r="H62" s="31" t="s">
        <v>112</v>
      </c>
      <c r="I62" s="32">
        <v>42179</v>
      </c>
      <c r="J62" s="32">
        <v>42200</v>
      </c>
      <c r="K62" s="31" t="s">
        <v>408</v>
      </c>
      <c r="L62" s="79">
        <f>M62/1.21</f>
        <v>1236752.8925619835</v>
      </c>
      <c r="M62" s="79">
        <v>1496471</v>
      </c>
      <c r="N62" s="32">
        <v>42237</v>
      </c>
      <c r="O62" s="32">
        <v>42240</v>
      </c>
      <c r="P62" s="31" t="s">
        <v>239</v>
      </c>
    </row>
    <row r="63" spans="1:16">
      <c r="A63" s="31" t="s">
        <v>166</v>
      </c>
      <c r="B63" s="36" t="s">
        <v>167</v>
      </c>
      <c r="C63" s="36" t="s">
        <v>349</v>
      </c>
      <c r="D63" s="36" t="s">
        <v>350</v>
      </c>
      <c r="E63" s="31" t="s">
        <v>33</v>
      </c>
      <c r="F63" s="61"/>
      <c r="G63" s="29">
        <v>900000</v>
      </c>
      <c r="H63" s="31" t="s">
        <v>112</v>
      </c>
      <c r="I63" s="32">
        <v>42185</v>
      </c>
      <c r="J63" s="32">
        <v>42200</v>
      </c>
      <c r="K63" s="31" t="s">
        <v>407</v>
      </c>
      <c r="L63" s="79">
        <v>631830.78</v>
      </c>
      <c r="M63" s="79">
        <v>764515.28</v>
      </c>
      <c r="N63" s="32">
        <v>42230</v>
      </c>
      <c r="O63" s="32">
        <v>42234</v>
      </c>
      <c r="P63" s="31" t="s">
        <v>239</v>
      </c>
    </row>
    <row r="64" spans="1:16">
      <c r="A64" s="31" t="s">
        <v>166</v>
      </c>
      <c r="B64" s="36" t="s">
        <v>167</v>
      </c>
      <c r="C64" s="36" t="s">
        <v>370</v>
      </c>
      <c r="D64" s="36" t="s">
        <v>371</v>
      </c>
      <c r="E64" s="31" t="s">
        <v>374</v>
      </c>
      <c r="F64" s="61"/>
      <c r="G64" s="29">
        <v>499000</v>
      </c>
      <c r="H64" s="31" t="s">
        <v>112</v>
      </c>
      <c r="I64" s="32">
        <v>42193</v>
      </c>
      <c r="J64" s="32">
        <v>42207</v>
      </c>
      <c r="K64" s="31" t="s">
        <v>409</v>
      </c>
      <c r="L64" s="79">
        <v>540000</v>
      </c>
      <c r="M64" s="79">
        <v>653400</v>
      </c>
      <c r="N64" s="73">
        <v>42223</v>
      </c>
      <c r="O64" s="32">
        <v>42228</v>
      </c>
      <c r="P64" s="31" t="s">
        <v>239</v>
      </c>
    </row>
    <row r="65" spans="1:23">
      <c r="A65" s="31" t="s">
        <v>166</v>
      </c>
      <c r="B65" s="36" t="s">
        <v>167</v>
      </c>
      <c r="C65" s="36" t="s">
        <v>423</v>
      </c>
      <c r="D65" s="36" t="s">
        <v>425</v>
      </c>
      <c r="E65" s="28" t="s">
        <v>344</v>
      </c>
      <c r="F65" s="61"/>
      <c r="G65" s="29">
        <v>415000</v>
      </c>
      <c r="H65" s="31" t="s">
        <v>112</v>
      </c>
      <c r="I65" s="32">
        <v>42223</v>
      </c>
      <c r="J65" s="32">
        <v>42236</v>
      </c>
      <c r="K65" s="31" t="s">
        <v>458</v>
      </c>
      <c r="L65" s="79">
        <f>M65/1.21</f>
        <v>713317</v>
      </c>
      <c r="M65" s="79">
        <v>863113.57</v>
      </c>
      <c r="N65" s="32">
        <v>42311</v>
      </c>
      <c r="O65" s="32">
        <v>42311</v>
      </c>
      <c r="P65" s="31" t="s">
        <v>239</v>
      </c>
    </row>
    <row r="66" spans="1:23">
      <c r="A66" s="31" t="s">
        <v>166</v>
      </c>
      <c r="B66" s="36" t="s">
        <v>167</v>
      </c>
      <c r="C66" s="36" t="s">
        <v>424</v>
      </c>
      <c r="D66" s="36" t="s">
        <v>426</v>
      </c>
      <c r="E66" s="28" t="s">
        <v>344</v>
      </c>
      <c r="F66" s="61"/>
      <c r="G66" s="29">
        <v>400000</v>
      </c>
      <c r="H66" s="31" t="s">
        <v>112</v>
      </c>
      <c r="I66" s="32">
        <v>42223</v>
      </c>
      <c r="J66" s="32">
        <v>42237</v>
      </c>
      <c r="K66" s="31" t="s">
        <v>415</v>
      </c>
      <c r="L66" s="79">
        <v>319684</v>
      </c>
      <c r="M66" s="79">
        <v>386818</v>
      </c>
      <c r="N66" s="32">
        <v>42262</v>
      </c>
      <c r="O66" s="32">
        <v>42263</v>
      </c>
      <c r="P66" s="31" t="s">
        <v>239</v>
      </c>
    </row>
    <row r="67" spans="1:23">
      <c r="A67" s="49" t="s">
        <v>166</v>
      </c>
      <c r="B67" s="30" t="s">
        <v>167</v>
      </c>
      <c r="C67" s="30" t="s">
        <v>496</v>
      </c>
      <c r="D67" s="30" t="s">
        <v>497</v>
      </c>
      <c r="E67" s="25" t="s">
        <v>498</v>
      </c>
      <c r="F67" s="63"/>
      <c r="G67" s="26">
        <v>550000</v>
      </c>
      <c r="H67" s="49" t="s">
        <v>112</v>
      </c>
      <c r="I67" s="48">
        <v>42272</v>
      </c>
      <c r="J67" s="48">
        <v>42282</v>
      </c>
      <c r="K67" s="167" t="s">
        <v>522</v>
      </c>
      <c r="L67" s="168"/>
      <c r="M67" s="168"/>
      <c r="N67" s="168"/>
      <c r="O67" s="169"/>
      <c r="P67" s="49" t="s">
        <v>239</v>
      </c>
    </row>
    <row r="68" spans="1:23">
      <c r="A68" s="31" t="s">
        <v>166</v>
      </c>
      <c r="B68" s="36" t="s">
        <v>167</v>
      </c>
      <c r="C68" s="36" t="s">
        <v>511</v>
      </c>
      <c r="D68" s="36" t="s">
        <v>512</v>
      </c>
      <c r="E68" s="28" t="s">
        <v>33</v>
      </c>
      <c r="F68" s="61"/>
      <c r="G68" s="29">
        <v>500000</v>
      </c>
      <c r="H68" s="31" t="s">
        <v>112</v>
      </c>
      <c r="I68" s="32">
        <v>42278</v>
      </c>
      <c r="J68" s="32">
        <v>42289</v>
      </c>
      <c r="K68" s="31" t="s">
        <v>407</v>
      </c>
      <c r="L68" s="79">
        <v>451671</v>
      </c>
      <c r="M68" s="79">
        <v>546522</v>
      </c>
      <c r="N68" s="73">
        <v>42311</v>
      </c>
      <c r="O68" s="32" t="s">
        <v>239</v>
      </c>
      <c r="P68" s="31" t="s">
        <v>239</v>
      </c>
    </row>
    <row r="69" spans="1:23">
      <c r="A69" s="31" t="s">
        <v>166</v>
      </c>
      <c r="B69" s="36" t="s">
        <v>167</v>
      </c>
      <c r="C69" s="36" t="s">
        <v>508</v>
      </c>
      <c r="D69" s="36" t="s">
        <v>509</v>
      </c>
      <c r="E69" s="146" t="s">
        <v>510</v>
      </c>
      <c r="F69" s="61"/>
      <c r="G69" s="29">
        <v>300000</v>
      </c>
      <c r="H69" s="31" t="s">
        <v>112</v>
      </c>
      <c r="I69" s="32">
        <v>42278</v>
      </c>
      <c r="J69" s="32">
        <v>42289</v>
      </c>
      <c r="K69" s="31" t="s">
        <v>534</v>
      </c>
      <c r="L69" s="79">
        <v>389234.13</v>
      </c>
      <c r="M69" s="79">
        <v>470973</v>
      </c>
      <c r="N69" s="73">
        <v>42306</v>
      </c>
      <c r="O69" s="32" t="s">
        <v>239</v>
      </c>
      <c r="P69" s="31" t="s">
        <v>239</v>
      </c>
    </row>
    <row r="70" spans="1:23">
      <c r="A70" s="31" t="s">
        <v>166</v>
      </c>
      <c r="B70" s="36" t="s">
        <v>167</v>
      </c>
      <c r="C70" s="36" t="s">
        <v>553</v>
      </c>
      <c r="D70" s="36" t="s">
        <v>554</v>
      </c>
      <c r="E70" s="210" t="s">
        <v>250</v>
      </c>
      <c r="F70" s="61"/>
      <c r="G70" s="29">
        <v>550000</v>
      </c>
      <c r="H70" s="31" t="s">
        <v>112</v>
      </c>
      <c r="I70" s="32">
        <v>42310</v>
      </c>
      <c r="J70" s="32">
        <v>42318</v>
      </c>
      <c r="K70" s="211" t="s">
        <v>170</v>
      </c>
      <c r="L70" s="29">
        <v>519155.9</v>
      </c>
      <c r="M70" s="79">
        <v>628178.6</v>
      </c>
      <c r="N70" s="73">
        <v>42333</v>
      </c>
      <c r="O70" s="32">
        <v>42334</v>
      </c>
      <c r="P70" s="31" t="s">
        <v>239</v>
      </c>
    </row>
    <row r="71" spans="1:23">
      <c r="A71" s="242" t="s">
        <v>166</v>
      </c>
      <c r="B71" s="41" t="s">
        <v>167</v>
      </c>
      <c r="C71" s="41" t="s">
        <v>647</v>
      </c>
      <c r="D71" s="41" t="s">
        <v>648</v>
      </c>
      <c r="E71" s="347" t="s">
        <v>498</v>
      </c>
      <c r="F71" s="157"/>
      <c r="G71" s="44">
        <v>550000</v>
      </c>
      <c r="H71" s="242" t="s">
        <v>112</v>
      </c>
      <c r="I71" s="240">
        <v>42332</v>
      </c>
      <c r="J71" s="348">
        <v>42349</v>
      </c>
      <c r="K71" s="242"/>
      <c r="L71" s="44"/>
      <c r="M71" s="349"/>
      <c r="N71" s="240"/>
      <c r="O71" s="240"/>
      <c r="P71" s="242" t="s">
        <v>239</v>
      </c>
    </row>
    <row r="72" spans="1:23" ht="16.5" customHeight="1">
      <c r="A72" s="14"/>
      <c r="B72" s="13"/>
      <c r="C72" s="13"/>
      <c r="D72" s="13"/>
      <c r="E72" s="14"/>
      <c r="F72" s="62"/>
      <c r="G72" s="15"/>
      <c r="H72" s="14"/>
      <c r="I72" s="21"/>
      <c r="J72" s="22"/>
      <c r="K72" s="19"/>
      <c r="L72" s="35"/>
      <c r="M72" s="35"/>
      <c r="N72" s="23"/>
      <c r="O72" s="14"/>
      <c r="P72" s="14"/>
    </row>
    <row r="73" spans="1:23">
      <c r="A73" s="49" t="s">
        <v>193</v>
      </c>
      <c r="B73" s="24" t="s">
        <v>192</v>
      </c>
      <c r="C73" s="24" t="s">
        <v>37</v>
      </c>
      <c r="D73" s="24" t="s">
        <v>38</v>
      </c>
      <c r="E73" s="25" t="s">
        <v>39</v>
      </c>
      <c r="F73" s="63"/>
      <c r="G73" s="26">
        <v>2000000</v>
      </c>
      <c r="H73" s="49" t="s">
        <v>251</v>
      </c>
      <c r="I73" s="48">
        <v>42010</v>
      </c>
      <c r="J73" s="48">
        <v>42066</v>
      </c>
      <c r="K73" s="163" t="s">
        <v>242</v>
      </c>
      <c r="L73" s="173"/>
      <c r="M73" s="173"/>
      <c r="N73" s="174"/>
      <c r="O73" s="48">
        <v>42129</v>
      </c>
      <c r="P73" s="25"/>
    </row>
    <row r="74" spans="1:23">
      <c r="A74" s="25" t="s">
        <v>193</v>
      </c>
      <c r="B74" s="24" t="s">
        <v>192</v>
      </c>
      <c r="C74" s="24" t="s">
        <v>189</v>
      </c>
      <c r="D74" s="24" t="s">
        <v>190</v>
      </c>
      <c r="E74" s="25" t="s">
        <v>191</v>
      </c>
      <c r="F74" s="63"/>
      <c r="G74" s="26">
        <v>1850000</v>
      </c>
      <c r="H74" s="25" t="s">
        <v>112</v>
      </c>
      <c r="I74" s="48">
        <v>42130</v>
      </c>
      <c r="J74" s="48">
        <v>42146</v>
      </c>
      <c r="K74" s="163" t="s">
        <v>242</v>
      </c>
      <c r="L74" s="168"/>
      <c r="M74" s="168"/>
      <c r="N74" s="169"/>
      <c r="O74" s="48"/>
      <c r="P74" s="49" t="s">
        <v>239</v>
      </c>
    </row>
    <row r="75" spans="1:23">
      <c r="A75" s="28" t="s">
        <v>193</v>
      </c>
      <c r="B75" s="27" t="s">
        <v>192</v>
      </c>
      <c r="C75" s="27" t="s">
        <v>406</v>
      </c>
      <c r="D75" s="27" t="s">
        <v>405</v>
      </c>
      <c r="E75" s="28" t="s">
        <v>191</v>
      </c>
      <c r="F75" s="61"/>
      <c r="G75" s="29">
        <v>1800000</v>
      </c>
      <c r="H75" s="28" t="s">
        <v>112</v>
      </c>
      <c r="I75" s="32">
        <v>42206</v>
      </c>
      <c r="J75" s="32">
        <v>42220</v>
      </c>
      <c r="K75" s="28" t="s">
        <v>433</v>
      </c>
      <c r="L75" s="29">
        <f>M75/1.21</f>
        <v>1540000</v>
      </c>
      <c r="M75" s="29">
        <v>1863400</v>
      </c>
      <c r="N75" s="32">
        <v>42264</v>
      </c>
      <c r="O75" s="32">
        <v>42268</v>
      </c>
      <c r="P75" s="31" t="s">
        <v>239</v>
      </c>
    </row>
    <row r="76" spans="1:23">
      <c r="A76" s="242" t="s">
        <v>193</v>
      </c>
      <c r="B76" s="41" t="s">
        <v>192</v>
      </c>
      <c r="C76" s="92" t="s">
        <v>94</v>
      </c>
      <c r="D76" s="41" t="s">
        <v>535</v>
      </c>
      <c r="E76" s="242" t="s">
        <v>536</v>
      </c>
      <c r="F76" s="157"/>
      <c r="G76" s="44">
        <v>6000000</v>
      </c>
      <c r="H76" s="242" t="s">
        <v>251</v>
      </c>
      <c r="I76" s="240">
        <v>42289</v>
      </c>
      <c r="J76" s="240">
        <v>42345</v>
      </c>
      <c r="K76" s="47" t="s">
        <v>433</v>
      </c>
      <c r="L76" s="44">
        <v>5980000</v>
      </c>
      <c r="M76" s="44">
        <v>7235800</v>
      </c>
      <c r="N76" s="241"/>
      <c r="O76" s="241"/>
      <c r="P76" s="241"/>
    </row>
    <row r="77" spans="1:23">
      <c r="A77" s="14"/>
      <c r="B77" s="13"/>
      <c r="C77" s="13"/>
      <c r="D77" s="13"/>
      <c r="E77" s="14"/>
      <c r="F77" s="62"/>
      <c r="G77" s="15"/>
      <c r="H77" s="14"/>
      <c r="I77" s="16"/>
      <c r="J77" s="16"/>
      <c r="K77" s="14"/>
      <c r="L77" s="15"/>
      <c r="M77" s="15"/>
      <c r="N77" s="14"/>
      <c r="O77" s="14"/>
      <c r="P77" s="14"/>
    </row>
    <row r="78" spans="1:23">
      <c r="A78" s="28" t="s">
        <v>58</v>
      </c>
      <c r="B78" s="36" t="s">
        <v>57</v>
      </c>
      <c r="C78" s="27" t="s">
        <v>40</v>
      </c>
      <c r="D78" s="36" t="s">
        <v>41</v>
      </c>
      <c r="E78" s="28" t="s">
        <v>42</v>
      </c>
      <c r="F78" s="67" t="s">
        <v>389</v>
      </c>
      <c r="G78" s="29">
        <v>5950000</v>
      </c>
      <c r="H78" s="31" t="s">
        <v>251</v>
      </c>
      <c r="I78" s="32">
        <v>42038</v>
      </c>
      <c r="J78" s="32">
        <v>42094</v>
      </c>
      <c r="K78" s="33" t="s">
        <v>43</v>
      </c>
      <c r="L78" s="29">
        <f>M78/121*100</f>
        <v>4591178.396694215</v>
      </c>
      <c r="M78" s="29">
        <v>5555325.8600000003</v>
      </c>
      <c r="N78" s="32">
        <v>42137</v>
      </c>
      <c r="O78" s="32">
        <v>42143</v>
      </c>
      <c r="P78" s="31">
        <v>2016</v>
      </c>
      <c r="Q78" s="1493">
        <v>42803</v>
      </c>
      <c r="R78" s="1493">
        <v>43185</v>
      </c>
      <c r="S78" s="1499">
        <v>43550</v>
      </c>
      <c r="T78" s="1499">
        <v>43929</v>
      </c>
      <c r="U78" s="1499">
        <v>44494</v>
      </c>
      <c r="V78" s="1499">
        <v>44600</v>
      </c>
      <c r="W78" s="2512" t="s">
        <v>3582</v>
      </c>
    </row>
    <row r="79" spans="1:23">
      <c r="A79" s="28" t="s">
        <v>58</v>
      </c>
      <c r="B79" s="27" t="s">
        <v>55</v>
      </c>
      <c r="C79" s="27" t="s">
        <v>74</v>
      </c>
      <c r="D79" s="27" t="s">
        <v>75</v>
      </c>
      <c r="E79" s="28" t="s">
        <v>77</v>
      </c>
      <c r="F79" s="61" t="s">
        <v>76</v>
      </c>
      <c r="G79" s="29">
        <v>4580000</v>
      </c>
      <c r="H79" s="31" t="s">
        <v>251</v>
      </c>
      <c r="I79" s="32">
        <v>42158</v>
      </c>
      <c r="J79" s="32">
        <v>42220</v>
      </c>
      <c r="K79" s="33" t="s">
        <v>440</v>
      </c>
      <c r="L79" s="29">
        <v>1590000</v>
      </c>
      <c r="M79" s="29">
        <v>1923900</v>
      </c>
      <c r="N79" s="32">
        <v>42263</v>
      </c>
      <c r="O79" s="32">
        <v>42269</v>
      </c>
      <c r="P79" s="28">
        <v>2016</v>
      </c>
    </row>
    <row r="80" spans="1:23">
      <c r="A80" s="28" t="s">
        <v>58</v>
      </c>
      <c r="B80" s="27" t="s">
        <v>81</v>
      </c>
      <c r="C80" s="27" t="s">
        <v>78</v>
      </c>
      <c r="D80" s="27" t="s">
        <v>79</v>
      </c>
      <c r="E80" s="28" t="s">
        <v>80</v>
      </c>
      <c r="F80" s="67" t="s">
        <v>252</v>
      </c>
      <c r="G80" s="29">
        <v>1100000</v>
      </c>
      <c r="H80" s="31" t="s">
        <v>251</v>
      </c>
      <c r="I80" s="32">
        <v>42177</v>
      </c>
      <c r="J80" s="32">
        <v>42200</v>
      </c>
      <c r="K80" s="33" t="s">
        <v>342</v>
      </c>
      <c r="L80" s="29">
        <f>M80/1.21</f>
        <v>1362600</v>
      </c>
      <c r="M80" s="29">
        <v>1648746</v>
      </c>
      <c r="N80" s="32">
        <v>42286</v>
      </c>
      <c r="O80" s="32">
        <v>42292</v>
      </c>
      <c r="P80" s="28">
        <v>2016</v>
      </c>
    </row>
    <row r="81" spans="1:16" ht="15.75" customHeight="1">
      <c r="A81" s="28" t="s">
        <v>58</v>
      </c>
      <c r="B81" s="27" t="s">
        <v>57</v>
      </c>
      <c r="C81" s="27" t="s">
        <v>53</v>
      </c>
      <c r="D81" s="36" t="s">
        <v>54</v>
      </c>
      <c r="E81" s="28" t="s">
        <v>56</v>
      </c>
      <c r="F81" s="67" t="s">
        <v>253</v>
      </c>
      <c r="G81" s="29">
        <v>3000000</v>
      </c>
      <c r="H81" s="31" t="s">
        <v>251</v>
      </c>
      <c r="I81" s="32">
        <v>42086</v>
      </c>
      <c r="J81" s="32">
        <v>42110</v>
      </c>
      <c r="K81" s="33" t="s">
        <v>244</v>
      </c>
      <c r="L81" s="29">
        <v>2700000</v>
      </c>
      <c r="M81" s="29">
        <v>3267000</v>
      </c>
      <c r="N81" s="32">
        <v>42151</v>
      </c>
      <c r="O81" s="32">
        <v>42156</v>
      </c>
      <c r="P81" s="32">
        <v>42277</v>
      </c>
    </row>
    <row r="82" spans="1:16">
      <c r="A82" s="28" t="s">
        <v>58</v>
      </c>
      <c r="B82" s="27" t="s">
        <v>57</v>
      </c>
      <c r="C82" s="27" t="s">
        <v>59</v>
      </c>
      <c r="D82" s="27" t="s">
        <v>60</v>
      </c>
      <c r="E82" s="28" t="s">
        <v>62</v>
      </c>
      <c r="F82" s="61" t="s">
        <v>61</v>
      </c>
      <c r="G82" s="29">
        <v>3260000</v>
      </c>
      <c r="H82" s="31" t="s">
        <v>251</v>
      </c>
      <c r="I82" s="32">
        <v>42086</v>
      </c>
      <c r="J82" s="32">
        <v>42111</v>
      </c>
      <c r="K82" s="33" t="s">
        <v>243</v>
      </c>
      <c r="L82" s="29">
        <v>3415000</v>
      </c>
      <c r="M82" s="29">
        <v>4132150</v>
      </c>
      <c r="N82" s="32">
        <v>42149</v>
      </c>
      <c r="O82" s="32">
        <v>42156</v>
      </c>
      <c r="P82" s="32">
        <v>42271</v>
      </c>
    </row>
    <row r="83" spans="1:16" ht="15.75">
      <c r="A83" s="28" t="s">
        <v>58</v>
      </c>
      <c r="B83" s="27" t="s">
        <v>57</v>
      </c>
      <c r="C83" s="27" t="s">
        <v>63</v>
      </c>
      <c r="D83" s="27" t="s">
        <v>64</v>
      </c>
      <c r="E83" s="28" t="s">
        <v>65</v>
      </c>
      <c r="F83" s="61" t="s">
        <v>66</v>
      </c>
      <c r="G83" s="75">
        <v>2060000</v>
      </c>
      <c r="H83" s="31" t="s">
        <v>251</v>
      </c>
      <c r="I83" s="32">
        <v>42086</v>
      </c>
      <c r="J83" s="32">
        <v>42110</v>
      </c>
      <c r="K83" s="31" t="s">
        <v>383</v>
      </c>
      <c r="L83" s="29">
        <f>M83/121*100</f>
        <v>1901200</v>
      </c>
      <c r="M83" s="29">
        <v>2300452</v>
      </c>
      <c r="N83" s="32">
        <v>42167</v>
      </c>
      <c r="O83" s="32">
        <v>42173</v>
      </c>
      <c r="P83" s="32">
        <v>42249</v>
      </c>
    </row>
    <row r="84" spans="1:16">
      <c r="A84" s="321" t="s">
        <v>58</v>
      </c>
      <c r="B84" s="125" t="s">
        <v>55</v>
      </c>
      <c r="C84" s="125" t="s">
        <v>84</v>
      </c>
      <c r="D84" s="125" t="s">
        <v>85</v>
      </c>
      <c r="E84" s="28" t="s">
        <v>86</v>
      </c>
      <c r="F84" s="126" t="s">
        <v>87</v>
      </c>
      <c r="G84" s="123">
        <v>3925000</v>
      </c>
      <c r="H84" s="250" t="s">
        <v>251</v>
      </c>
      <c r="I84" s="129">
        <v>42179</v>
      </c>
      <c r="J84" s="124">
        <v>42234</v>
      </c>
      <c r="K84" s="31" t="s">
        <v>383</v>
      </c>
      <c r="L84" s="123">
        <v>4280000</v>
      </c>
      <c r="M84" s="123">
        <v>5178800</v>
      </c>
      <c r="N84" s="176">
        <v>42286</v>
      </c>
      <c r="O84" s="32">
        <v>42292</v>
      </c>
      <c r="P84" s="28">
        <v>2016</v>
      </c>
    </row>
    <row r="85" spans="1:16">
      <c r="A85" s="25" t="s">
        <v>58</v>
      </c>
      <c r="B85" s="24" t="s">
        <v>55</v>
      </c>
      <c r="C85" s="24" t="s">
        <v>88</v>
      </c>
      <c r="D85" s="24" t="s">
        <v>89</v>
      </c>
      <c r="E85" s="25" t="s">
        <v>90</v>
      </c>
      <c r="F85" s="63" t="s">
        <v>91</v>
      </c>
      <c r="G85" s="26">
        <v>1650000</v>
      </c>
      <c r="H85" s="49" t="s">
        <v>251</v>
      </c>
      <c r="I85" s="48">
        <v>42163</v>
      </c>
      <c r="J85" s="48">
        <v>42186</v>
      </c>
      <c r="K85" s="71" t="s">
        <v>348</v>
      </c>
      <c r="L85" s="26"/>
      <c r="M85" s="26"/>
      <c r="N85" s="25"/>
      <c r="O85" s="48">
        <v>42187</v>
      </c>
      <c r="P85" s="25"/>
    </row>
    <row r="86" spans="1:16">
      <c r="A86" s="28" t="s">
        <v>58</v>
      </c>
      <c r="B86" s="27" t="s">
        <v>57</v>
      </c>
      <c r="C86" s="27" t="s">
        <v>110</v>
      </c>
      <c r="D86" s="27" t="s">
        <v>111</v>
      </c>
      <c r="E86" s="28" t="s">
        <v>113</v>
      </c>
      <c r="F86" s="67" t="s">
        <v>254</v>
      </c>
      <c r="G86" s="29">
        <v>1200000</v>
      </c>
      <c r="H86" s="28" t="s">
        <v>112</v>
      </c>
      <c r="I86" s="32">
        <v>42023</v>
      </c>
      <c r="J86" s="32">
        <v>42038</v>
      </c>
      <c r="K86" s="33" t="s">
        <v>114</v>
      </c>
      <c r="L86" s="29">
        <f>M86/1.21</f>
        <v>890000</v>
      </c>
      <c r="M86" s="29">
        <v>1076900</v>
      </c>
      <c r="N86" s="32">
        <v>42143</v>
      </c>
      <c r="O86" s="32">
        <v>42144</v>
      </c>
      <c r="P86" s="31" t="s">
        <v>239</v>
      </c>
    </row>
    <row r="87" spans="1:16" ht="15.75" customHeight="1">
      <c r="A87" s="31" t="s">
        <v>58</v>
      </c>
      <c r="B87" s="27" t="s">
        <v>57</v>
      </c>
      <c r="C87" s="27" t="s">
        <v>117</v>
      </c>
      <c r="D87" s="27" t="s">
        <v>118</v>
      </c>
      <c r="E87" s="28" t="s">
        <v>119</v>
      </c>
      <c r="F87" s="67" t="s">
        <v>255</v>
      </c>
      <c r="G87" s="29">
        <v>590400</v>
      </c>
      <c r="H87" s="28" t="s">
        <v>112</v>
      </c>
      <c r="I87" s="32">
        <v>42030</v>
      </c>
      <c r="J87" s="32">
        <v>42048</v>
      </c>
      <c r="K87" s="28" t="s">
        <v>120</v>
      </c>
      <c r="L87" s="29">
        <f>M87/121*100</f>
        <v>720000</v>
      </c>
      <c r="M87" s="51">
        <v>871200</v>
      </c>
      <c r="N87" s="32">
        <v>42082</v>
      </c>
      <c r="O87" s="32">
        <v>42083</v>
      </c>
      <c r="P87" s="31" t="s">
        <v>239</v>
      </c>
    </row>
    <row r="88" spans="1:16">
      <c r="A88" s="25" t="s">
        <v>58</v>
      </c>
      <c r="B88" s="24" t="s">
        <v>81</v>
      </c>
      <c r="C88" s="24" t="s">
        <v>121</v>
      </c>
      <c r="D88" s="24" t="s">
        <v>122</v>
      </c>
      <c r="E88" s="25" t="s">
        <v>124</v>
      </c>
      <c r="F88" s="63" t="s">
        <v>123</v>
      </c>
      <c r="G88" s="26">
        <v>1735000</v>
      </c>
      <c r="H88" s="25" t="s">
        <v>112</v>
      </c>
      <c r="I88" s="48">
        <v>42052</v>
      </c>
      <c r="J88" s="48" t="s">
        <v>125</v>
      </c>
      <c r="K88" s="71" t="s">
        <v>242</v>
      </c>
      <c r="L88" s="26"/>
      <c r="M88" s="26"/>
      <c r="N88" s="25"/>
      <c r="O88" s="25"/>
      <c r="P88" s="49" t="s">
        <v>239</v>
      </c>
    </row>
    <row r="89" spans="1:16">
      <c r="A89" s="28" t="s">
        <v>58</v>
      </c>
      <c r="B89" s="27" t="s">
        <v>81</v>
      </c>
      <c r="C89" s="27" t="s">
        <v>126</v>
      </c>
      <c r="D89" s="27" t="s">
        <v>127</v>
      </c>
      <c r="E89" s="28" t="s">
        <v>129</v>
      </c>
      <c r="F89" s="61" t="s">
        <v>128</v>
      </c>
      <c r="G89" s="29">
        <v>1485000</v>
      </c>
      <c r="H89" s="28" t="s">
        <v>112</v>
      </c>
      <c r="I89" s="32">
        <v>42052</v>
      </c>
      <c r="J89" s="32">
        <v>42068</v>
      </c>
      <c r="K89" s="28" t="s">
        <v>130</v>
      </c>
      <c r="L89" s="29">
        <f>M89/121*100</f>
        <v>619008.26446280989</v>
      </c>
      <c r="M89" s="29">
        <v>749000</v>
      </c>
      <c r="N89" s="32">
        <v>42170</v>
      </c>
      <c r="O89" s="32">
        <v>42171</v>
      </c>
      <c r="P89" s="31" t="s">
        <v>239</v>
      </c>
    </row>
    <row r="90" spans="1:16">
      <c r="A90" s="28" t="s">
        <v>58</v>
      </c>
      <c r="B90" s="27" t="s">
        <v>55</v>
      </c>
      <c r="C90" s="27" t="s">
        <v>140</v>
      </c>
      <c r="D90" s="27" t="s">
        <v>141</v>
      </c>
      <c r="E90" s="28" t="s">
        <v>143</v>
      </c>
      <c r="F90" s="65" t="s">
        <v>142</v>
      </c>
      <c r="G90" s="29">
        <v>330000</v>
      </c>
      <c r="H90" s="28" t="s">
        <v>112</v>
      </c>
      <c r="I90" s="32">
        <v>42060</v>
      </c>
      <c r="J90" s="32">
        <v>42075</v>
      </c>
      <c r="K90" s="28" t="s">
        <v>144</v>
      </c>
      <c r="L90" s="29">
        <v>340000</v>
      </c>
      <c r="M90" s="29">
        <v>411400</v>
      </c>
      <c r="N90" s="32">
        <v>42108</v>
      </c>
      <c r="O90" s="31" t="s">
        <v>239</v>
      </c>
      <c r="P90" s="31" t="s">
        <v>239</v>
      </c>
    </row>
    <row r="91" spans="1:16" ht="15" customHeight="1">
      <c r="A91" s="28" t="s">
        <v>58</v>
      </c>
      <c r="B91" s="27" t="s">
        <v>55</v>
      </c>
      <c r="C91" s="27" t="s">
        <v>159</v>
      </c>
      <c r="D91" s="36" t="s">
        <v>391</v>
      </c>
      <c r="E91" s="28" t="s">
        <v>161</v>
      </c>
      <c r="F91" s="66" t="s">
        <v>160</v>
      </c>
      <c r="G91" s="29">
        <v>400000</v>
      </c>
      <c r="H91" s="28" t="s">
        <v>112</v>
      </c>
      <c r="I91" s="32">
        <v>42080</v>
      </c>
      <c r="J91" s="32">
        <v>42093</v>
      </c>
      <c r="K91" s="31" t="s">
        <v>637</v>
      </c>
      <c r="L91" s="29">
        <v>412800</v>
      </c>
      <c r="M91" s="29">
        <v>499488</v>
      </c>
      <c r="N91" s="32">
        <v>42128</v>
      </c>
      <c r="O91" s="31" t="s">
        <v>239</v>
      </c>
      <c r="P91" s="31" t="s">
        <v>239</v>
      </c>
    </row>
    <row r="92" spans="1:16" ht="15" customHeight="1">
      <c r="A92" s="28" t="s">
        <v>58</v>
      </c>
      <c r="B92" s="27" t="s">
        <v>55</v>
      </c>
      <c r="C92" s="27" t="s">
        <v>148</v>
      </c>
      <c r="D92" s="37" t="s">
        <v>149</v>
      </c>
      <c r="E92" s="28" t="s">
        <v>151</v>
      </c>
      <c r="F92" s="61" t="s">
        <v>150</v>
      </c>
      <c r="G92" s="29">
        <v>305000</v>
      </c>
      <c r="H92" s="28" t="s">
        <v>112</v>
      </c>
      <c r="I92" s="32">
        <v>42067</v>
      </c>
      <c r="J92" s="32">
        <v>42082</v>
      </c>
      <c r="K92" s="31" t="s">
        <v>383</v>
      </c>
      <c r="L92" s="29">
        <f>M92/121*100</f>
        <v>348743.80165289261</v>
      </c>
      <c r="M92" s="29">
        <v>421980</v>
      </c>
      <c r="N92" s="32">
        <v>42128</v>
      </c>
      <c r="O92" s="31" t="s">
        <v>239</v>
      </c>
      <c r="P92" s="31" t="s">
        <v>239</v>
      </c>
    </row>
    <row r="93" spans="1:16" ht="15" customHeight="1">
      <c r="A93" s="25" t="s">
        <v>58</v>
      </c>
      <c r="B93" s="24" t="s">
        <v>55</v>
      </c>
      <c r="C93" s="24" t="s">
        <v>145</v>
      </c>
      <c r="D93" s="24" t="s">
        <v>146</v>
      </c>
      <c r="E93" s="25" t="s">
        <v>147</v>
      </c>
      <c r="F93" s="68" t="s">
        <v>256</v>
      </c>
      <c r="G93" s="26">
        <v>470000</v>
      </c>
      <c r="H93" s="25" t="s">
        <v>112</v>
      </c>
      <c r="I93" s="48">
        <v>42068</v>
      </c>
      <c r="J93" s="48">
        <v>42079</v>
      </c>
      <c r="K93" s="71" t="s">
        <v>242</v>
      </c>
      <c r="L93" s="26"/>
      <c r="M93" s="50"/>
      <c r="N93" s="25"/>
      <c r="O93" s="25"/>
      <c r="P93" s="49" t="s">
        <v>239</v>
      </c>
    </row>
    <row r="94" spans="1:16" ht="15" customHeight="1">
      <c r="A94" s="25" t="s">
        <v>58</v>
      </c>
      <c r="B94" s="24" t="s">
        <v>55</v>
      </c>
      <c r="C94" s="24" t="s">
        <v>145</v>
      </c>
      <c r="D94" s="30" t="s">
        <v>294</v>
      </c>
      <c r="E94" s="25" t="s">
        <v>147</v>
      </c>
      <c r="F94" s="68" t="s">
        <v>256</v>
      </c>
      <c r="G94" s="26">
        <v>470000</v>
      </c>
      <c r="H94" s="25" t="s">
        <v>112</v>
      </c>
      <c r="I94" s="48">
        <v>42094</v>
      </c>
      <c r="J94" s="48">
        <v>42108</v>
      </c>
      <c r="K94" s="71" t="s">
        <v>242</v>
      </c>
      <c r="L94" s="26"/>
      <c r="M94" s="50"/>
      <c r="N94" s="25"/>
      <c r="O94" s="25"/>
      <c r="P94" s="25" t="s">
        <v>239</v>
      </c>
    </row>
    <row r="95" spans="1:16" ht="15" customHeight="1">
      <c r="A95" s="28" t="s">
        <v>58</v>
      </c>
      <c r="B95" s="27" t="s">
        <v>55</v>
      </c>
      <c r="C95" s="27" t="s">
        <v>262</v>
      </c>
      <c r="D95" s="27" t="s">
        <v>263</v>
      </c>
      <c r="E95" s="28" t="s">
        <v>264</v>
      </c>
      <c r="F95" s="67" t="s">
        <v>256</v>
      </c>
      <c r="G95" s="29">
        <v>470000</v>
      </c>
      <c r="H95" s="28" t="s">
        <v>112</v>
      </c>
      <c r="I95" s="32">
        <v>42174</v>
      </c>
      <c r="J95" s="32">
        <v>42193</v>
      </c>
      <c r="K95" s="31" t="s">
        <v>392</v>
      </c>
      <c r="L95" s="29">
        <v>340000</v>
      </c>
      <c r="M95" s="79">
        <v>411400</v>
      </c>
      <c r="N95" s="32">
        <v>42222</v>
      </c>
      <c r="O95" s="31" t="s">
        <v>239</v>
      </c>
      <c r="P95" s="31" t="s">
        <v>239</v>
      </c>
    </row>
    <row r="96" spans="1:16" ht="15" customHeight="1">
      <c r="A96" s="28" t="s">
        <v>58</v>
      </c>
      <c r="B96" s="27" t="s">
        <v>55</v>
      </c>
      <c r="C96" s="27" t="s">
        <v>179</v>
      </c>
      <c r="D96" s="37" t="s">
        <v>180</v>
      </c>
      <c r="E96" s="28" t="s">
        <v>181</v>
      </c>
      <c r="F96" s="67" t="s">
        <v>257</v>
      </c>
      <c r="G96" s="29">
        <v>895000</v>
      </c>
      <c r="H96" s="28" t="s">
        <v>112</v>
      </c>
      <c r="I96" s="32">
        <v>42101</v>
      </c>
      <c r="J96" s="32">
        <v>42115</v>
      </c>
      <c r="K96" s="28" t="s">
        <v>182</v>
      </c>
      <c r="L96" s="29">
        <f>M96/121*100</f>
        <v>954217</v>
      </c>
      <c r="M96" s="29">
        <v>1154602.57</v>
      </c>
      <c r="N96" s="32">
        <v>42171</v>
      </c>
      <c r="O96" s="78">
        <v>42172</v>
      </c>
      <c r="P96" s="28" t="s">
        <v>239</v>
      </c>
    </row>
    <row r="97" spans="1:367" ht="15" customHeight="1">
      <c r="A97" s="28" t="s">
        <v>58</v>
      </c>
      <c r="B97" s="27" t="s">
        <v>55</v>
      </c>
      <c r="C97" s="27" t="s">
        <v>194</v>
      </c>
      <c r="D97" s="27" t="s">
        <v>195</v>
      </c>
      <c r="E97" s="28" t="s">
        <v>196</v>
      </c>
      <c r="F97" s="61" t="s">
        <v>197</v>
      </c>
      <c r="G97" s="29">
        <v>1420000</v>
      </c>
      <c r="H97" s="28" t="s">
        <v>112</v>
      </c>
      <c r="I97" s="32">
        <v>42118</v>
      </c>
      <c r="J97" s="32">
        <v>42131</v>
      </c>
      <c r="K97" s="28" t="s">
        <v>198</v>
      </c>
      <c r="L97" s="29">
        <f>M97/121*100</f>
        <v>696000</v>
      </c>
      <c r="M97" s="29">
        <v>842160</v>
      </c>
      <c r="N97" s="32">
        <v>42207</v>
      </c>
      <c r="O97" s="32">
        <v>42212</v>
      </c>
      <c r="P97" s="28" t="s">
        <v>239</v>
      </c>
    </row>
    <row r="98" spans="1:367" ht="15" customHeight="1">
      <c r="A98" s="28" t="s">
        <v>58</v>
      </c>
      <c r="B98" s="27" t="s">
        <v>55</v>
      </c>
      <c r="C98" s="27" t="s">
        <v>202</v>
      </c>
      <c r="D98" s="27" t="s">
        <v>203</v>
      </c>
      <c r="E98" s="28" t="s">
        <v>205</v>
      </c>
      <c r="F98" s="61" t="s">
        <v>204</v>
      </c>
      <c r="G98" s="29">
        <v>315000</v>
      </c>
      <c r="H98" s="28" t="s">
        <v>112</v>
      </c>
      <c r="I98" s="32">
        <v>42136</v>
      </c>
      <c r="J98" s="32">
        <v>42144</v>
      </c>
      <c r="K98" s="31" t="s">
        <v>305</v>
      </c>
      <c r="L98" s="29">
        <f>M98/1.21</f>
        <v>288000</v>
      </c>
      <c r="M98" s="29">
        <v>348480</v>
      </c>
      <c r="N98" s="32">
        <v>42159</v>
      </c>
      <c r="O98" s="31" t="s">
        <v>239</v>
      </c>
      <c r="P98" s="28" t="s">
        <v>239</v>
      </c>
    </row>
    <row r="99" spans="1:367">
      <c r="A99" s="28" t="s">
        <v>58</v>
      </c>
      <c r="B99" s="27" t="s">
        <v>55</v>
      </c>
      <c r="C99" s="27" t="s">
        <v>206</v>
      </c>
      <c r="D99" s="27" t="s">
        <v>207</v>
      </c>
      <c r="E99" s="31" t="s">
        <v>260</v>
      </c>
      <c r="F99" s="61" t="s">
        <v>208</v>
      </c>
      <c r="G99" s="29">
        <v>480000</v>
      </c>
      <c r="H99" s="28" t="s">
        <v>112</v>
      </c>
      <c r="I99" s="32">
        <v>42136</v>
      </c>
      <c r="J99" s="32">
        <v>42150</v>
      </c>
      <c r="K99" s="85" t="s">
        <v>337</v>
      </c>
      <c r="L99" s="29">
        <f>M99/1.21</f>
        <v>510000</v>
      </c>
      <c r="M99" s="29">
        <v>617100</v>
      </c>
      <c r="N99" s="32">
        <v>42192</v>
      </c>
      <c r="O99" s="32">
        <v>42194</v>
      </c>
      <c r="P99" s="28" t="s">
        <v>239</v>
      </c>
    </row>
    <row r="100" spans="1:367">
      <c r="A100" s="28" t="s">
        <v>58</v>
      </c>
      <c r="B100" s="27" t="s">
        <v>55</v>
      </c>
      <c r="C100" s="27" t="s">
        <v>209</v>
      </c>
      <c r="D100" s="27" t="s">
        <v>210</v>
      </c>
      <c r="E100" s="31" t="s">
        <v>261</v>
      </c>
      <c r="F100" s="61" t="s">
        <v>211</v>
      </c>
      <c r="G100" s="29">
        <v>630000</v>
      </c>
      <c r="H100" s="28" t="s">
        <v>112</v>
      </c>
      <c r="I100" s="32">
        <v>42136</v>
      </c>
      <c r="J100" s="32">
        <v>42152</v>
      </c>
      <c r="K100" s="31" t="s">
        <v>338</v>
      </c>
      <c r="L100" s="29">
        <v>769450</v>
      </c>
      <c r="M100" s="29">
        <v>931034</v>
      </c>
      <c r="N100" s="32">
        <v>42205</v>
      </c>
      <c r="O100" s="32">
        <v>42206</v>
      </c>
      <c r="P100" s="28" t="s">
        <v>239</v>
      </c>
    </row>
    <row r="101" spans="1:367">
      <c r="A101" s="28" t="s">
        <v>58</v>
      </c>
      <c r="B101" s="27" t="s">
        <v>55</v>
      </c>
      <c r="C101" s="27" t="s">
        <v>265</v>
      </c>
      <c r="D101" s="27" t="s">
        <v>268</v>
      </c>
      <c r="E101" s="31" t="s">
        <v>269</v>
      </c>
      <c r="F101" s="61" t="s">
        <v>270</v>
      </c>
      <c r="G101" s="29">
        <v>350000</v>
      </c>
      <c r="H101" s="28" t="s">
        <v>112</v>
      </c>
      <c r="I101" s="32">
        <v>42145</v>
      </c>
      <c r="J101" s="32">
        <v>42157</v>
      </c>
      <c r="K101" s="31" t="s">
        <v>340</v>
      </c>
      <c r="L101" s="29">
        <f>M101/1.21</f>
        <v>328790.90909090912</v>
      </c>
      <c r="M101" s="29">
        <v>397837</v>
      </c>
      <c r="N101" s="32">
        <v>42208</v>
      </c>
      <c r="O101" s="31" t="s">
        <v>239</v>
      </c>
      <c r="P101" s="28" t="s">
        <v>239</v>
      </c>
    </row>
    <row r="102" spans="1:367">
      <c r="A102" s="28" t="s">
        <v>58</v>
      </c>
      <c r="B102" s="27" t="s">
        <v>55</v>
      </c>
      <c r="C102" s="27" t="s">
        <v>266</v>
      </c>
      <c r="D102" s="27" t="s">
        <v>271</v>
      </c>
      <c r="E102" s="31" t="s">
        <v>272</v>
      </c>
      <c r="F102" s="61" t="s">
        <v>273</v>
      </c>
      <c r="G102" s="29">
        <v>480000</v>
      </c>
      <c r="H102" s="28" t="s">
        <v>112</v>
      </c>
      <c r="I102" s="32">
        <v>42145</v>
      </c>
      <c r="J102" s="32">
        <v>42158</v>
      </c>
      <c r="K102" s="31" t="s">
        <v>341</v>
      </c>
      <c r="L102" s="29">
        <f>M102/1.21</f>
        <v>452200</v>
      </c>
      <c r="M102" s="29">
        <v>547162</v>
      </c>
      <c r="N102" s="32">
        <v>42208</v>
      </c>
      <c r="O102" s="31" t="s">
        <v>239</v>
      </c>
      <c r="P102" s="28" t="s">
        <v>239</v>
      </c>
    </row>
    <row r="103" spans="1:367">
      <c r="A103" s="28" t="s">
        <v>58</v>
      </c>
      <c r="B103" s="27" t="s">
        <v>55</v>
      </c>
      <c r="C103" s="27" t="s">
        <v>267</v>
      </c>
      <c r="D103" s="27" t="s">
        <v>274</v>
      </c>
      <c r="E103" s="31" t="s">
        <v>275</v>
      </c>
      <c r="F103" s="61" t="s">
        <v>276</v>
      </c>
      <c r="G103" s="29">
        <v>595000</v>
      </c>
      <c r="H103" s="28" t="s">
        <v>112</v>
      </c>
      <c r="I103" s="32">
        <v>42145</v>
      </c>
      <c r="J103" s="32">
        <v>42157</v>
      </c>
      <c r="K103" s="31" t="s">
        <v>342</v>
      </c>
      <c r="L103" s="29">
        <f>M103/1.21</f>
        <v>462890.08264462813</v>
      </c>
      <c r="M103" s="29">
        <v>560097</v>
      </c>
      <c r="N103" s="32">
        <v>42207</v>
      </c>
      <c r="O103" s="31" t="s">
        <v>239</v>
      </c>
      <c r="P103" s="28" t="s">
        <v>239</v>
      </c>
    </row>
    <row r="104" spans="1:367">
      <c r="A104" s="242" t="s">
        <v>58</v>
      </c>
      <c r="B104" s="41" t="s">
        <v>57</v>
      </c>
      <c r="C104" s="41" t="s">
        <v>495</v>
      </c>
      <c r="D104" s="41" t="s">
        <v>691</v>
      </c>
      <c r="E104" s="242"/>
      <c r="F104" s="157"/>
      <c r="G104" s="93">
        <v>1900000</v>
      </c>
      <c r="H104" s="242" t="s">
        <v>502</v>
      </c>
      <c r="I104" s="240">
        <v>42179</v>
      </c>
      <c r="J104" s="240">
        <v>42193</v>
      </c>
      <c r="K104" s="242" t="s">
        <v>692</v>
      </c>
      <c r="L104" s="44">
        <v>1982405.77</v>
      </c>
      <c r="M104" s="44">
        <v>2398710.98</v>
      </c>
      <c r="N104" s="240">
        <v>42397</v>
      </c>
      <c r="O104" s="350" t="s">
        <v>239</v>
      </c>
      <c r="P104" s="242" t="s">
        <v>239</v>
      </c>
    </row>
    <row r="105" spans="1:367">
      <c r="A105" s="31" t="s">
        <v>58</v>
      </c>
      <c r="B105" s="36" t="s">
        <v>81</v>
      </c>
      <c r="C105" s="36" t="s">
        <v>299</v>
      </c>
      <c r="D105" s="36" t="s">
        <v>300</v>
      </c>
      <c r="E105" s="31" t="s">
        <v>301</v>
      </c>
      <c r="F105" s="61" t="s">
        <v>123</v>
      </c>
      <c r="G105" s="88">
        <v>3100000</v>
      </c>
      <c r="H105" s="31" t="s">
        <v>216</v>
      </c>
      <c r="I105" s="32">
        <v>42172</v>
      </c>
      <c r="J105" s="32">
        <v>42192</v>
      </c>
      <c r="K105" s="31" t="s">
        <v>380</v>
      </c>
      <c r="L105" s="29">
        <v>2478787.6</v>
      </c>
      <c r="M105" s="29">
        <v>2999333</v>
      </c>
      <c r="N105" s="32">
        <v>42244</v>
      </c>
      <c r="O105" s="32">
        <v>42248</v>
      </c>
      <c r="P105" s="28">
        <v>2016</v>
      </c>
    </row>
    <row r="106" spans="1:367">
      <c r="A106" s="31" t="s">
        <v>58</v>
      </c>
      <c r="B106" s="36" t="s">
        <v>55</v>
      </c>
      <c r="C106" s="36" t="s">
        <v>308</v>
      </c>
      <c r="D106" s="36" t="s">
        <v>309</v>
      </c>
      <c r="E106" s="39" t="s">
        <v>181</v>
      </c>
      <c r="F106" s="180" t="s">
        <v>310</v>
      </c>
      <c r="G106" s="88">
        <v>1260000</v>
      </c>
      <c r="H106" s="31" t="s">
        <v>112</v>
      </c>
      <c r="I106" s="32">
        <v>42167</v>
      </c>
      <c r="J106" s="32">
        <v>42185</v>
      </c>
      <c r="K106" s="31" t="s">
        <v>392</v>
      </c>
      <c r="L106" s="29">
        <v>961297.27</v>
      </c>
      <c r="M106" s="29">
        <v>1105487.26</v>
      </c>
      <c r="N106" s="32">
        <v>42234</v>
      </c>
      <c r="O106" s="32">
        <v>42234</v>
      </c>
      <c r="P106" s="31" t="s">
        <v>239</v>
      </c>
    </row>
    <row r="107" spans="1:367" s="76" customFormat="1">
      <c r="A107" s="31" t="s">
        <v>58</v>
      </c>
      <c r="B107" s="36" t="s">
        <v>55</v>
      </c>
      <c r="C107" s="36" t="s">
        <v>319</v>
      </c>
      <c r="D107" s="36" t="s">
        <v>311</v>
      </c>
      <c r="E107" s="31" t="s">
        <v>312</v>
      </c>
      <c r="F107" s="87" t="s">
        <v>313</v>
      </c>
      <c r="G107" s="88">
        <v>515000</v>
      </c>
      <c r="H107" s="31" t="s">
        <v>112</v>
      </c>
      <c r="I107" s="32">
        <v>42172</v>
      </c>
      <c r="J107" s="32">
        <v>42180</v>
      </c>
      <c r="K107" s="31" t="s">
        <v>364</v>
      </c>
      <c r="L107" s="29">
        <v>500000</v>
      </c>
      <c r="M107" s="29">
        <v>605000</v>
      </c>
      <c r="N107" s="32">
        <v>42212</v>
      </c>
      <c r="O107" s="32">
        <v>42220</v>
      </c>
      <c r="P107" s="31" t="s">
        <v>239</v>
      </c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58"/>
      <c r="HB107" s="58"/>
      <c r="HC107" s="58"/>
      <c r="HD107" s="58"/>
      <c r="HE107" s="58"/>
      <c r="HF107" s="58"/>
      <c r="HG107" s="58"/>
      <c r="HH107" s="58"/>
      <c r="HI107" s="58"/>
      <c r="HJ107" s="58"/>
      <c r="HK107" s="58"/>
      <c r="HL107" s="58"/>
      <c r="HM107" s="58"/>
      <c r="HN107" s="58"/>
      <c r="HO107" s="58"/>
      <c r="HP107" s="58"/>
      <c r="HQ107" s="58"/>
      <c r="HR107" s="58"/>
      <c r="HS107" s="58"/>
      <c r="HT107" s="58"/>
      <c r="HU107" s="58"/>
      <c r="HV107" s="58"/>
      <c r="HW107" s="58"/>
      <c r="HX107" s="58"/>
      <c r="HY107" s="58"/>
      <c r="HZ107" s="58"/>
      <c r="IA107" s="58"/>
      <c r="IB107" s="58"/>
      <c r="IC107" s="58"/>
      <c r="ID107" s="58"/>
      <c r="IE107" s="58"/>
      <c r="IF107" s="58"/>
      <c r="IG107" s="58"/>
      <c r="IH107" s="58"/>
      <c r="II107" s="58"/>
      <c r="IJ107" s="58"/>
      <c r="IK107" s="58"/>
      <c r="IL107" s="58"/>
      <c r="IM107" s="58"/>
      <c r="IN107" s="58"/>
      <c r="IO107" s="58"/>
      <c r="IP107" s="58"/>
      <c r="IQ107" s="58"/>
      <c r="IR107" s="58"/>
      <c r="IS107" s="58"/>
      <c r="IT107" s="58"/>
      <c r="IU107" s="58"/>
      <c r="IV107" s="58"/>
      <c r="IW107" s="58"/>
      <c r="IX107" s="58"/>
      <c r="IY107" s="58"/>
      <c r="IZ107" s="58"/>
      <c r="JA107" s="58"/>
      <c r="JB107" s="58"/>
      <c r="JC107" s="58"/>
      <c r="JD107" s="58"/>
      <c r="JE107" s="58"/>
      <c r="JF107" s="58"/>
      <c r="JG107" s="58"/>
      <c r="JH107" s="58"/>
      <c r="JI107" s="58"/>
      <c r="JJ107" s="58"/>
      <c r="JK107" s="58"/>
      <c r="JL107" s="58"/>
      <c r="JM107" s="58"/>
      <c r="JN107" s="58"/>
      <c r="JO107" s="58"/>
      <c r="JP107" s="58"/>
      <c r="JQ107" s="58"/>
      <c r="JR107" s="58"/>
      <c r="JS107" s="58"/>
      <c r="JT107" s="58"/>
      <c r="JU107" s="58"/>
      <c r="JV107" s="58"/>
      <c r="JW107" s="58"/>
      <c r="JX107" s="58"/>
      <c r="JY107" s="58"/>
      <c r="JZ107" s="58"/>
      <c r="KA107" s="58"/>
      <c r="KB107" s="58"/>
      <c r="KC107" s="58"/>
      <c r="KD107" s="58"/>
      <c r="KE107" s="58"/>
      <c r="KF107" s="58"/>
      <c r="KG107" s="58"/>
      <c r="KH107" s="58"/>
      <c r="KI107" s="58"/>
      <c r="KJ107" s="58"/>
      <c r="KK107" s="58"/>
      <c r="KL107" s="58"/>
      <c r="KM107" s="58"/>
      <c r="KN107" s="58"/>
      <c r="KO107" s="58"/>
      <c r="KP107" s="58"/>
      <c r="KQ107" s="58"/>
      <c r="KR107" s="58"/>
      <c r="KS107" s="58"/>
      <c r="KT107" s="58"/>
      <c r="KU107" s="58"/>
      <c r="KV107" s="58"/>
      <c r="KW107" s="58"/>
      <c r="KX107" s="58"/>
      <c r="KY107" s="58"/>
      <c r="KZ107" s="58"/>
      <c r="LA107" s="58"/>
      <c r="LB107" s="58"/>
      <c r="LC107" s="58"/>
      <c r="LD107" s="58"/>
      <c r="LE107" s="58"/>
      <c r="LF107" s="58"/>
      <c r="LG107" s="58"/>
      <c r="LH107" s="58"/>
      <c r="LI107" s="58"/>
      <c r="LJ107" s="58"/>
      <c r="LK107" s="58"/>
      <c r="LL107" s="58"/>
      <c r="LM107" s="58"/>
      <c r="LN107" s="58"/>
      <c r="LO107" s="58"/>
      <c r="LP107" s="58"/>
      <c r="LQ107" s="58"/>
      <c r="LR107" s="58"/>
      <c r="LS107" s="58"/>
      <c r="LT107" s="58"/>
      <c r="LU107" s="58"/>
      <c r="LV107" s="58"/>
      <c r="LW107" s="58"/>
      <c r="LX107" s="58"/>
      <c r="LY107" s="58"/>
      <c r="LZ107" s="58"/>
      <c r="MA107" s="58"/>
      <c r="MB107" s="58"/>
      <c r="MC107" s="58"/>
      <c r="MD107" s="58"/>
      <c r="ME107" s="58"/>
      <c r="MF107" s="58"/>
      <c r="MG107" s="58"/>
      <c r="MH107" s="58"/>
      <c r="MI107" s="58"/>
      <c r="MJ107" s="58"/>
      <c r="MK107" s="58"/>
      <c r="ML107" s="58"/>
      <c r="MM107" s="58"/>
      <c r="MN107" s="58"/>
      <c r="MO107" s="58"/>
      <c r="MP107" s="58"/>
      <c r="MQ107" s="58"/>
      <c r="MR107" s="58"/>
      <c r="MS107" s="58"/>
      <c r="MT107" s="58"/>
      <c r="MU107" s="58"/>
      <c r="MV107" s="58"/>
      <c r="MW107" s="58"/>
      <c r="MX107" s="58"/>
      <c r="MY107" s="58"/>
      <c r="MZ107" s="58"/>
      <c r="NA107" s="58"/>
      <c r="NB107" s="58"/>
      <c r="NC107" s="58"/>
    </row>
    <row r="108" spans="1:367">
      <c r="A108" s="31" t="s">
        <v>58</v>
      </c>
      <c r="B108" s="36" t="s">
        <v>55</v>
      </c>
      <c r="C108" s="36" t="s">
        <v>321</v>
      </c>
      <c r="D108" s="36" t="s">
        <v>322</v>
      </c>
      <c r="E108" s="31" t="s">
        <v>328</v>
      </c>
      <c r="F108" s="87" t="s">
        <v>323</v>
      </c>
      <c r="G108" s="88">
        <v>350000</v>
      </c>
      <c r="H108" s="31" t="s">
        <v>112</v>
      </c>
      <c r="I108" s="32">
        <v>42174</v>
      </c>
      <c r="J108" s="32">
        <v>42187</v>
      </c>
      <c r="K108" s="31" t="s">
        <v>382</v>
      </c>
      <c r="L108" s="29">
        <f>M108/1.21</f>
        <v>339200</v>
      </c>
      <c r="M108" s="29">
        <v>410432</v>
      </c>
      <c r="N108" s="32">
        <v>42234</v>
      </c>
      <c r="O108" s="31" t="s">
        <v>239</v>
      </c>
      <c r="P108" s="31" t="s">
        <v>239</v>
      </c>
    </row>
    <row r="109" spans="1:367">
      <c r="A109" s="49" t="s">
        <v>58</v>
      </c>
      <c r="B109" s="30" t="s">
        <v>55</v>
      </c>
      <c r="C109" s="30" t="s">
        <v>324</v>
      </c>
      <c r="D109" s="30" t="s">
        <v>325</v>
      </c>
      <c r="E109" s="49" t="s">
        <v>326</v>
      </c>
      <c r="F109" s="81" t="s">
        <v>327</v>
      </c>
      <c r="G109" s="82">
        <v>320000</v>
      </c>
      <c r="H109" s="49" t="s">
        <v>112</v>
      </c>
      <c r="I109" s="48">
        <v>42174</v>
      </c>
      <c r="J109" s="48">
        <v>42187</v>
      </c>
      <c r="K109" s="167" t="s">
        <v>381</v>
      </c>
      <c r="L109" s="168"/>
      <c r="M109" s="168"/>
      <c r="N109" s="168"/>
      <c r="O109" s="169"/>
      <c r="P109" s="49" t="s">
        <v>239</v>
      </c>
    </row>
    <row r="110" spans="1:367">
      <c r="A110" s="31" t="s">
        <v>58</v>
      </c>
      <c r="B110" s="36" t="s">
        <v>55</v>
      </c>
      <c r="C110" s="36" t="s">
        <v>335</v>
      </c>
      <c r="D110" s="36" t="s">
        <v>336</v>
      </c>
      <c r="E110" s="31" t="s">
        <v>86</v>
      </c>
      <c r="F110" s="87" t="s">
        <v>339</v>
      </c>
      <c r="G110" s="88">
        <v>400000</v>
      </c>
      <c r="H110" s="31" t="s">
        <v>112</v>
      </c>
      <c r="I110" s="32">
        <v>42174</v>
      </c>
      <c r="J110" s="32">
        <v>42188</v>
      </c>
      <c r="K110" s="31" t="s">
        <v>383</v>
      </c>
      <c r="L110" s="29">
        <f>M110/1.21</f>
        <v>479000</v>
      </c>
      <c r="M110" s="29">
        <v>579590</v>
      </c>
      <c r="N110" s="32">
        <v>42234</v>
      </c>
      <c r="O110" s="31" t="s">
        <v>239</v>
      </c>
      <c r="P110" s="31" t="s">
        <v>239</v>
      </c>
    </row>
    <row r="111" spans="1:367">
      <c r="A111" s="31" t="s">
        <v>58</v>
      </c>
      <c r="B111" s="36" t="s">
        <v>55</v>
      </c>
      <c r="C111" s="36" t="s">
        <v>356</v>
      </c>
      <c r="D111" s="36" t="s">
        <v>353</v>
      </c>
      <c r="E111" s="31" t="s">
        <v>354</v>
      </c>
      <c r="F111" s="87" t="s">
        <v>355</v>
      </c>
      <c r="G111" s="88">
        <v>2300000</v>
      </c>
      <c r="H111" s="31" t="s">
        <v>216</v>
      </c>
      <c r="I111" s="32">
        <v>42223</v>
      </c>
      <c r="J111" s="32">
        <v>42243</v>
      </c>
      <c r="K111" s="28" t="s">
        <v>459</v>
      </c>
      <c r="L111" s="29">
        <v>2400000</v>
      </c>
      <c r="M111" s="29">
        <v>2904000</v>
      </c>
      <c r="N111" s="32">
        <v>42278</v>
      </c>
      <c r="O111" s="32">
        <v>42286</v>
      </c>
      <c r="P111" s="31" t="s">
        <v>689</v>
      </c>
    </row>
    <row r="112" spans="1:367">
      <c r="A112" s="31" t="s">
        <v>58</v>
      </c>
      <c r="B112" s="36" t="s">
        <v>55</v>
      </c>
      <c r="C112" s="36" t="s">
        <v>394</v>
      </c>
      <c r="D112" s="36" t="s">
        <v>395</v>
      </c>
      <c r="E112" s="31" t="s">
        <v>396</v>
      </c>
      <c r="F112" s="87" t="s">
        <v>397</v>
      </c>
      <c r="G112" s="88">
        <v>850000</v>
      </c>
      <c r="H112" s="31" t="s">
        <v>112</v>
      </c>
      <c r="I112" s="32">
        <v>42206</v>
      </c>
      <c r="J112" s="32">
        <v>42221</v>
      </c>
      <c r="K112" s="191" t="s">
        <v>439</v>
      </c>
      <c r="L112" s="192">
        <v>1954412</v>
      </c>
      <c r="M112" s="29">
        <v>2364838</v>
      </c>
      <c r="N112" s="32">
        <v>42319</v>
      </c>
      <c r="O112" s="32">
        <v>42319</v>
      </c>
      <c r="P112" s="31" t="s">
        <v>239</v>
      </c>
    </row>
    <row r="113" spans="1:16">
      <c r="A113" s="31" t="s">
        <v>58</v>
      </c>
      <c r="B113" s="36" t="s">
        <v>57</v>
      </c>
      <c r="C113" s="36" t="s">
        <v>398</v>
      </c>
      <c r="D113" s="36" t="s">
        <v>399</v>
      </c>
      <c r="E113" s="31" t="s">
        <v>326</v>
      </c>
      <c r="F113" s="87" t="s">
        <v>327</v>
      </c>
      <c r="G113" s="88">
        <v>3400000</v>
      </c>
      <c r="H113" s="31" t="s">
        <v>251</v>
      </c>
      <c r="I113" s="32">
        <v>42256</v>
      </c>
      <c r="J113" s="32">
        <v>42311</v>
      </c>
      <c r="K113" s="31" t="s">
        <v>570</v>
      </c>
      <c r="L113" s="29">
        <v>3399183.08</v>
      </c>
      <c r="M113" s="29">
        <v>4113011.53</v>
      </c>
      <c r="N113" s="32">
        <v>42333</v>
      </c>
      <c r="O113" s="32">
        <v>42335</v>
      </c>
      <c r="P113" s="31">
        <v>2016</v>
      </c>
    </row>
    <row r="114" spans="1:16">
      <c r="A114" s="49" t="s">
        <v>58</v>
      </c>
      <c r="B114" s="30" t="s">
        <v>55</v>
      </c>
      <c r="C114" s="30" t="s">
        <v>401</v>
      </c>
      <c r="D114" s="30" t="s">
        <v>402</v>
      </c>
      <c r="E114" s="49" t="s">
        <v>403</v>
      </c>
      <c r="F114" s="81" t="s">
        <v>404</v>
      </c>
      <c r="G114" s="82">
        <v>300000</v>
      </c>
      <c r="H114" s="49" t="s">
        <v>112</v>
      </c>
      <c r="I114" s="48">
        <v>42206</v>
      </c>
      <c r="J114" s="48">
        <v>42219</v>
      </c>
      <c r="K114" s="71" t="s">
        <v>348</v>
      </c>
      <c r="L114" s="26"/>
      <c r="M114" s="26"/>
      <c r="N114" s="25"/>
      <c r="O114" s="25"/>
      <c r="P114" s="49" t="s">
        <v>239</v>
      </c>
    </row>
    <row r="115" spans="1:16">
      <c r="A115" s="314" t="s">
        <v>58</v>
      </c>
      <c r="B115" s="320" t="s">
        <v>55</v>
      </c>
      <c r="C115" s="320" t="s">
        <v>469</v>
      </c>
      <c r="D115" s="320" t="s">
        <v>684</v>
      </c>
      <c r="E115" s="320" t="s">
        <v>403</v>
      </c>
      <c r="F115" s="316" t="s">
        <v>404</v>
      </c>
      <c r="G115" s="317">
        <v>150000</v>
      </c>
      <c r="H115" s="314" t="s">
        <v>112</v>
      </c>
      <c r="I115" s="318">
        <v>42244</v>
      </c>
      <c r="J115" s="318">
        <v>42254</v>
      </c>
      <c r="K115" s="28" t="s">
        <v>182</v>
      </c>
      <c r="L115" s="319">
        <f>M115/1.21</f>
        <v>200336.65289256201</v>
      </c>
      <c r="M115" s="29">
        <v>242407.35</v>
      </c>
      <c r="N115" s="32">
        <v>42306</v>
      </c>
      <c r="O115" s="28" t="s">
        <v>239</v>
      </c>
      <c r="P115" s="31" t="s">
        <v>239</v>
      </c>
    </row>
    <row r="116" spans="1:16">
      <c r="A116" s="314" t="s">
        <v>58</v>
      </c>
      <c r="B116" s="320" t="s">
        <v>55</v>
      </c>
      <c r="C116" s="320" t="s">
        <v>469</v>
      </c>
      <c r="D116" s="320" t="s">
        <v>683</v>
      </c>
      <c r="E116" s="320" t="s">
        <v>403</v>
      </c>
      <c r="F116" s="316" t="s">
        <v>404</v>
      </c>
      <c r="G116" s="317">
        <v>150000</v>
      </c>
      <c r="H116" s="314" t="s">
        <v>112</v>
      </c>
      <c r="I116" s="318">
        <v>42244</v>
      </c>
      <c r="J116" s="318">
        <v>42254</v>
      </c>
      <c r="K116" s="147" t="s">
        <v>558</v>
      </c>
      <c r="L116" s="333">
        <f>M116/1.21</f>
        <v>200336.65289256201</v>
      </c>
      <c r="M116" s="29">
        <v>242407.35</v>
      </c>
      <c r="N116" s="32" t="s">
        <v>239</v>
      </c>
      <c r="O116" s="28" t="s">
        <v>239</v>
      </c>
      <c r="P116" s="31" t="s">
        <v>239</v>
      </c>
    </row>
    <row r="117" spans="1:16">
      <c r="A117" s="314" t="s">
        <v>58</v>
      </c>
      <c r="B117" s="243" t="s">
        <v>55</v>
      </c>
      <c r="C117" s="243" t="s">
        <v>400</v>
      </c>
      <c r="D117" s="224" t="s">
        <v>593</v>
      </c>
      <c r="E117" s="3441" t="s">
        <v>77</v>
      </c>
      <c r="F117" s="222" t="s">
        <v>631</v>
      </c>
      <c r="G117" s="223">
        <v>440000</v>
      </c>
      <c r="H117" s="218" t="s">
        <v>112</v>
      </c>
      <c r="I117" s="251">
        <v>42206</v>
      </c>
      <c r="J117" s="251">
        <v>42221</v>
      </c>
      <c r="K117" s="31" t="s">
        <v>431</v>
      </c>
      <c r="L117" s="29">
        <f>M117/1.21</f>
        <v>691415.70247933886</v>
      </c>
      <c r="M117" s="29">
        <v>836613</v>
      </c>
      <c r="N117" s="32">
        <v>42298</v>
      </c>
      <c r="O117" s="32">
        <v>42299</v>
      </c>
      <c r="P117" s="31" t="s">
        <v>239</v>
      </c>
    </row>
    <row r="118" spans="1:16">
      <c r="A118" s="314" t="s">
        <v>58</v>
      </c>
      <c r="B118" s="243" t="s">
        <v>55</v>
      </c>
      <c r="C118" s="243" t="s">
        <v>400</v>
      </c>
      <c r="D118" s="175" t="s">
        <v>594</v>
      </c>
      <c r="E118" s="3442"/>
      <c r="F118" s="227" t="s">
        <v>632</v>
      </c>
      <c r="G118" s="228">
        <v>440000</v>
      </c>
      <c r="H118" s="218" t="s">
        <v>112</v>
      </c>
      <c r="I118" s="252">
        <v>42206</v>
      </c>
      <c r="J118" s="252">
        <v>42221</v>
      </c>
      <c r="K118" s="31" t="s">
        <v>432</v>
      </c>
      <c r="L118" s="29">
        <f>M118/1.21</f>
        <v>303803.76859504136</v>
      </c>
      <c r="M118" s="29">
        <v>367602.56</v>
      </c>
      <c r="N118" s="32">
        <v>42340</v>
      </c>
      <c r="O118" s="32">
        <v>42342</v>
      </c>
      <c r="P118" s="31" t="s">
        <v>239</v>
      </c>
    </row>
    <row r="119" spans="1:16">
      <c r="A119" s="31" t="s">
        <v>58</v>
      </c>
      <c r="B119" s="36" t="s">
        <v>55</v>
      </c>
      <c r="C119" s="36" t="s">
        <v>419</v>
      </c>
      <c r="D119" s="36" t="s">
        <v>420</v>
      </c>
      <c r="E119" s="31" t="s">
        <v>421</v>
      </c>
      <c r="F119" s="87" t="s">
        <v>422</v>
      </c>
      <c r="G119" s="88">
        <v>400000</v>
      </c>
      <c r="H119" s="31" t="s">
        <v>112</v>
      </c>
      <c r="I119" s="32">
        <v>42223</v>
      </c>
      <c r="J119" s="32">
        <v>42233</v>
      </c>
      <c r="K119" s="31" t="s">
        <v>439</v>
      </c>
      <c r="L119" s="29">
        <v>367500</v>
      </c>
      <c r="M119" s="29">
        <v>444675</v>
      </c>
      <c r="N119" s="32">
        <v>42256</v>
      </c>
      <c r="O119" s="31" t="s">
        <v>239</v>
      </c>
      <c r="P119" s="31" t="s">
        <v>239</v>
      </c>
    </row>
    <row r="120" spans="1:16">
      <c r="A120" s="31" t="s">
        <v>58</v>
      </c>
      <c r="B120" s="36" t="s">
        <v>55</v>
      </c>
      <c r="C120" s="36" t="s">
        <v>447</v>
      </c>
      <c r="D120" s="36" t="s">
        <v>448</v>
      </c>
      <c r="E120" s="31" t="s">
        <v>465</v>
      </c>
      <c r="F120" s="87" t="s">
        <v>449</v>
      </c>
      <c r="G120" s="88">
        <v>495000</v>
      </c>
      <c r="H120" s="31" t="s">
        <v>112</v>
      </c>
      <c r="I120" s="32">
        <v>42244</v>
      </c>
      <c r="J120" s="32">
        <v>42254</v>
      </c>
      <c r="K120" s="31" t="s">
        <v>472</v>
      </c>
      <c r="L120" s="29">
        <v>728910</v>
      </c>
      <c r="M120" s="29">
        <v>881981.1</v>
      </c>
      <c r="N120" s="32">
        <v>42289</v>
      </c>
      <c r="O120" s="90">
        <v>42290</v>
      </c>
      <c r="P120" s="31" t="s">
        <v>239</v>
      </c>
    </row>
    <row r="121" spans="1:16">
      <c r="A121" s="31" t="s">
        <v>58</v>
      </c>
      <c r="B121" s="36" t="s">
        <v>55</v>
      </c>
      <c r="C121" s="36" t="s">
        <v>441</v>
      </c>
      <c r="D121" s="36" t="s">
        <v>442</v>
      </c>
      <c r="E121" s="31" t="s">
        <v>443</v>
      </c>
      <c r="F121" s="87" t="s">
        <v>444</v>
      </c>
      <c r="G121" s="88">
        <v>1240000</v>
      </c>
      <c r="H121" s="31" t="s">
        <v>112</v>
      </c>
      <c r="I121" s="32">
        <v>42244</v>
      </c>
      <c r="J121" s="32">
        <v>42257</v>
      </c>
      <c r="K121" s="31" t="s">
        <v>471</v>
      </c>
      <c r="L121" s="29">
        <v>1502474</v>
      </c>
      <c r="M121" s="29">
        <v>1817993.54</v>
      </c>
      <c r="N121" s="32">
        <v>42286</v>
      </c>
      <c r="O121" s="90">
        <v>42286</v>
      </c>
      <c r="P121" s="31" t="s">
        <v>239</v>
      </c>
    </row>
    <row r="122" spans="1:16">
      <c r="A122" s="31" t="s">
        <v>58</v>
      </c>
      <c r="B122" s="36" t="s">
        <v>57</v>
      </c>
      <c r="C122" s="36" t="s">
        <v>460</v>
      </c>
      <c r="D122" s="36" t="s">
        <v>461</v>
      </c>
      <c r="E122" s="31" t="s">
        <v>462</v>
      </c>
      <c r="F122" s="87" t="s">
        <v>463</v>
      </c>
      <c r="G122" s="88">
        <v>1240000</v>
      </c>
      <c r="H122" s="31" t="s">
        <v>251</v>
      </c>
      <c r="I122" s="32">
        <v>42256</v>
      </c>
      <c r="J122" s="32">
        <v>42312</v>
      </c>
      <c r="K122" s="28" t="s">
        <v>584</v>
      </c>
      <c r="L122" s="29">
        <v>1238800</v>
      </c>
      <c r="M122" s="29">
        <f>L122*1.21</f>
        <v>1498948</v>
      </c>
      <c r="N122" s="32">
        <v>42340</v>
      </c>
      <c r="O122" s="32">
        <v>42346</v>
      </c>
      <c r="P122" s="31">
        <v>2016</v>
      </c>
    </row>
    <row r="123" spans="1:16">
      <c r="A123" s="242" t="s">
        <v>58</v>
      </c>
      <c r="B123" s="41" t="s">
        <v>57</v>
      </c>
      <c r="C123" s="41" t="s">
        <v>466</v>
      </c>
      <c r="D123" s="128" t="s">
        <v>467</v>
      </c>
      <c r="E123" s="42" t="s">
        <v>90</v>
      </c>
      <c r="F123" s="94" t="s">
        <v>468</v>
      </c>
      <c r="G123" s="93">
        <v>1900000</v>
      </c>
      <c r="H123" s="42" t="s">
        <v>112</v>
      </c>
      <c r="I123" s="45">
        <v>42258</v>
      </c>
      <c r="J123" s="45">
        <v>42271</v>
      </c>
      <c r="K123" s="43" t="s">
        <v>529</v>
      </c>
      <c r="L123" s="44">
        <v>1912000</v>
      </c>
      <c r="M123" s="44">
        <v>1912000</v>
      </c>
      <c r="N123" s="43"/>
      <c r="O123" s="43"/>
      <c r="P123" s="42" t="s">
        <v>239</v>
      </c>
    </row>
    <row r="124" spans="1:16">
      <c r="A124" s="31" t="s">
        <v>58</v>
      </c>
      <c r="B124" s="36" t="s">
        <v>55</v>
      </c>
      <c r="C124" s="36" t="s">
        <v>456</v>
      </c>
      <c r="D124" s="36" t="s">
        <v>457</v>
      </c>
      <c r="E124" s="31" t="s">
        <v>464</v>
      </c>
      <c r="F124" s="87" t="s">
        <v>470</v>
      </c>
      <c r="G124" s="88">
        <v>900000</v>
      </c>
      <c r="H124" s="31" t="s">
        <v>112</v>
      </c>
      <c r="I124" s="32">
        <v>42258</v>
      </c>
      <c r="J124" s="32">
        <v>42270</v>
      </c>
      <c r="K124" s="31" t="s">
        <v>392</v>
      </c>
      <c r="L124" s="29">
        <v>864077.5</v>
      </c>
      <c r="M124" s="29">
        <v>993689.12</v>
      </c>
      <c r="N124" s="32">
        <v>42293</v>
      </c>
      <c r="O124" s="32">
        <v>42296</v>
      </c>
      <c r="P124" s="31" t="s">
        <v>239</v>
      </c>
    </row>
    <row r="125" spans="1:16">
      <c r="A125" s="31" t="s">
        <v>58</v>
      </c>
      <c r="B125" s="36" t="s">
        <v>55</v>
      </c>
      <c r="C125" s="36" t="s">
        <v>474</v>
      </c>
      <c r="D125" s="36" t="s">
        <v>475</v>
      </c>
      <c r="E125" s="31" t="s">
        <v>476</v>
      </c>
      <c r="F125" s="87" t="s">
        <v>477</v>
      </c>
      <c r="G125" s="88">
        <v>750000</v>
      </c>
      <c r="H125" s="31" t="s">
        <v>112</v>
      </c>
      <c r="I125" s="32">
        <v>42264</v>
      </c>
      <c r="J125" s="32">
        <v>42276</v>
      </c>
      <c r="K125" s="31" t="s">
        <v>471</v>
      </c>
      <c r="L125" s="29">
        <v>480000</v>
      </c>
      <c r="M125" s="29">
        <v>580800</v>
      </c>
      <c r="N125" s="32">
        <v>42298</v>
      </c>
      <c r="O125" s="32">
        <v>42299</v>
      </c>
      <c r="P125" s="31" t="s">
        <v>239</v>
      </c>
    </row>
    <row r="126" spans="1:16">
      <c r="A126" s="31" t="s">
        <v>58</v>
      </c>
      <c r="B126" s="36" t="s">
        <v>55</v>
      </c>
      <c r="C126" s="36" t="s">
        <v>478</v>
      </c>
      <c r="D126" s="36" t="s">
        <v>479</v>
      </c>
      <c r="E126" s="31" t="s">
        <v>480</v>
      </c>
      <c r="F126" s="87" t="s">
        <v>481</v>
      </c>
      <c r="G126" s="88">
        <v>420000</v>
      </c>
      <c r="H126" s="31" t="s">
        <v>112</v>
      </c>
      <c r="I126" s="32">
        <v>42264</v>
      </c>
      <c r="J126" s="32">
        <v>42277</v>
      </c>
      <c r="K126" s="28" t="s">
        <v>439</v>
      </c>
      <c r="L126" s="29">
        <f>M126/1.21</f>
        <v>406172.72727272729</v>
      </c>
      <c r="M126" s="29">
        <v>491469</v>
      </c>
      <c r="N126" s="32">
        <v>42312</v>
      </c>
      <c r="O126" s="28" t="s">
        <v>239</v>
      </c>
      <c r="P126" s="31" t="s">
        <v>239</v>
      </c>
    </row>
    <row r="127" spans="1:16">
      <c r="A127" s="49" t="s">
        <v>58</v>
      </c>
      <c r="B127" s="30" t="s">
        <v>55</v>
      </c>
      <c r="C127" s="30" t="s">
        <v>492</v>
      </c>
      <c r="D127" s="30" t="s">
        <v>493</v>
      </c>
      <c r="E127" s="49" t="s">
        <v>260</v>
      </c>
      <c r="F127" s="81" t="s">
        <v>494</v>
      </c>
      <c r="G127" s="82">
        <v>300000</v>
      </c>
      <c r="H127" s="49" t="s">
        <v>112</v>
      </c>
      <c r="I127" s="48">
        <v>42264</v>
      </c>
      <c r="J127" s="48">
        <v>42278</v>
      </c>
      <c r="K127" s="71" t="s">
        <v>304</v>
      </c>
      <c r="L127" s="26"/>
      <c r="M127" s="26"/>
      <c r="N127" s="25"/>
      <c r="O127" s="25"/>
      <c r="P127" s="49" t="s">
        <v>239</v>
      </c>
    </row>
    <row r="128" spans="1:16">
      <c r="A128" s="31" t="s">
        <v>58</v>
      </c>
      <c r="B128" s="36" t="s">
        <v>57</v>
      </c>
      <c r="C128" s="36" t="s">
        <v>499</v>
      </c>
      <c r="D128" s="36" t="s">
        <v>500</v>
      </c>
      <c r="E128" s="31" t="s">
        <v>86</v>
      </c>
      <c r="F128" s="87" t="s">
        <v>501</v>
      </c>
      <c r="G128" s="88">
        <v>302000</v>
      </c>
      <c r="H128" s="31" t="s">
        <v>502</v>
      </c>
      <c r="I128" s="32">
        <v>42270</v>
      </c>
      <c r="J128" s="32">
        <v>42276</v>
      </c>
      <c r="K128" s="31" t="s">
        <v>383</v>
      </c>
      <c r="L128" s="29">
        <v>342000</v>
      </c>
      <c r="M128" s="29">
        <v>413820</v>
      </c>
      <c r="N128" s="32">
        <v>42282</v>
      </c>
      <c r="O128" s="28" t="s">
        <v>239</v>
      </c>
      <c r="P128" s="31" t="s">
        <v>239</v>
      </c>
    </row>
    <row r="129" spans="1:16">
      <c r="A129" s="31" t="s">
        <v>58</v>
      </c>
      <c r="B129" s="36" t="s">
        <v>55</v>
      </c>
      <c r="C129" s="36" t="s">
        <v>503</v>
      </c>
      <c r="D129" s="36" t="s">
        <v>504</v>
      </c>
      <c r="E129" s="31" t="s">
        <v>505</v>
      </c>
      <c r="F129" s="87"/>
      <c r="G129" s="88">
        <v>1300000</v>
      </c>
      <c r="H129" s="31" t="s">
        <v>112</v>
      </c>
      <c r="I129" s="32">
        <v>42276</v>
      </c>
      <c r="J129" s="32">
        <v>42286</v>
      </c>
      <c r="K129" s="31" t="s">
        <v>392</v>
      </c>
      <c r="L129" s="29">
        <v>1180800</v>
      </c>
      <c r="M129" s="29">
        <v>1357920</v>
      </c>
      <c r="N129" s="32">
        <v>42291</v>
      </c>
      <c r="O129" s="32">
        <v>42293</v>
      </c>
      <c r="P129" s="31" t="s">
        <v>239</v>
      </c>
    </row>
    <row r="130" spans="1:16">
      <c r="A130" s="149" t="s">
        <v>58</v>
      </c>
      <c r="B130" s="57" t="s">
        <v>57</v>
      </c>
      <c r="C130" s="57" t="s">
        <v>506</v>
      </c>
      <c r="D130" s="57" t="s">
        <v>507</v>
      </c>
      <c r="E130" s="149" t="s">
        <v>42</v>
      </c>
      <c r="F130" s="193"/>
      <c r="G130" s="194">
        <v>9222500</v>
      </c>
      <c r="H130" s="149" t="s">
        <v>251</v>
      </c>
      <c r="I130" s="148">
        <v>42317</v>
      </c>
      <c r="J130" s="148">
        <v>42377</v>
      </c>
      <c r="K130" s="145"/>
      <c r="L130" s="46"/>
      <c r="M130" s="46"/>
      <c r="N130" s="145"/>
      <c r="O130" s="145"/>
      <c r="P130" s="149"/>
    </row>
    <row r="131" spans="1:16">
      <c r="A131" s="31" t="s">
        <v>58</v>
      </c>
      <c r="B131" s="36" t="s">
        <v>55</v>
      </c>
      <c r="C131" s="36" t="s">
        <v>513</v>
      </c>
      <c r="D131" s="36" t="s">
        <v>514</v>
      </c>
      <c r="E131" s="31" t="s">
        <v>260</v>
      </c>
      <c r="F131" s="87" t="s">
        <v>494</v>
      </c>
      <c r="G131" s="88">
        <v>300000</v>
      </c>
      <c r="H131" s="31" t="s">
        <v>112</v>
      </c>
      <c r="I131" s="32">
        <v>42283</v>
      </c>
      <c r="J131" s="32">
        <v>42296</v>
      </c>
      <c r="K131" s="28" t="s">
        <v>557</v>
      </c>
      <c r="L131" s="29">
        <v>295302</v>
      </c>
      <c r="M131" s="29">
        <v>357315.42</v>
      </c>
      <c r="N131" s="32">
        <v>42326</v>
      </c>
      <c r="O131" s="28" t="s">
        <v>239</v>
      </c>
      <c r="P131" s="31" t="s">
        <v>239</v>
      </c>
    </row>
    <row r="132" spans="1:16">
      <c r="A132" s="31" t="s">
        <v>58</v>
      </c>
      <c r="B132" s="36" t="s">
        <v>55</v>
      </c>
      <c r="C132" s="36" t="s">
        <v>526</v>
      </c>
      <c r="D132" s="36" t="s">
        <v>527</v>
      </c>
      <c r="E132" s="31" t="s">
        <v>86</v>
      </c>
      <c r="F132" s="87"/>
      <c r="G132" s="88">
        <v>265000</v>
      </c>
      <c r="H132" s="31" t="s">
        <v>112</v>
      </c>
      <c r="I132" s="32">
        <v>42296</v>
      </c>
      <c r="J132" s="32">
        <v>42306</v>
      </c>
      <c r="K132" s="28" t="s">
        <v>556</v>
      </c>
      <c r="L132" s="29">
        <v>248735</v>
      </c>
      <c r="M132" s="29">
        <v>300969</v>
      </c>
      <c r="N132" s="32">
        <v>42319</v>
      </c>
      <c r="O132" s="28" t="s">
        <v>239</v>
      </c>
      <c r="P132" s="31" t="s">
        <v>239</v>
      </c>
    </row>
    <row r="133" spans="1:16">
      <c r="A133" s="31" t="s">
        <v>58</v>
      </c>
      <c r="B133" s="36" t="s">
        <v>55</v>
      </c>
      <c r="C133" s="36" t="s">
        <v>537</v>
      </c>
      <c r="D133" s="36" t="s">
        <v>538</v>
      </c>
      <c r="E133" s="31" t="s">
        <v>539</v>
      </c>
      <c r="F133" s="87"/>
      <c r="G133" s="88">
        <v>360000</v>
      </c>
      <c r="H133" s="31" t="s">
        <v>112</v>
      </c>
      <c r="I133" s="32">
        <v>42299</v>
      </c>
      <c r="J133" s="32">
        <v>42313</v>
      </c>
      <c r="K133" s="31" t="s">
        <v>392</v>
      </c>
      <c r="L133" s="29">
        <f>M133/1.21</f>
        <v>427520</v>
      </c>
      <c r="M133" s="29">
        <v>517299.20000000001</v>
      </c>
      <c r="N133" s="32">
        <v>42340</v>
      </c>
      <c r="O133" s="31" t="s">
        <v>239</v>
      </c>
      <c r="P133" s="31" t="s">
        <v>239</v>
      </c>
    </row>
    <row r="134" spans="1:16">
      <c r="A134" s="242" t="s">
        <v>58</v>
      </c>
      <c r="B134" s="41" t="s">
        <v>57</v>
      </c>
      <c r="C134" s="41" t="s">
        <v>649</v>
      </c>
      <c r="D134" s="41" t="s">
        <v>650</v>
      </c>
      <c r="E134" s="242" t="s">
        <v>77</v>
      </c>
      <c r="F134" s="94"/>
      <c r="G134" s="93">
        <v>120000</v>
      </c>
      <c r="H134" s="242" t="s">
        <v>112</v>
      </c>
      <c r="I134" s="240">
        <v>42345</v>
      </c>
      <c r="J134" s="240">
        <v>42355</v>
      </c>
      <c r="K134" s="242"/>
      <c r="L134" s="44"/>
      <c r="M134" s="44"/>
      <c r="N134" s="240"/>
      <c r="O134" s="242"/>
      <c r="P134" s="242" t="s">
        <v>239</v>
      </c>
    </row>
    <row r="135" spans="1:16">
      <c r="A135" s="149" t="s">
        <v>58</v>
      </c>
      <c r="B135" s="57" t="s">
        <v>57</v>
      </c>
      <c r="C135" s="57" t="s">
        <v>651</v>
      </c>
      <c r="D135" s="57" t="s">
        <v>652</v>
      </c>
      <c r="E135" s="149" t="s">
        <v>653</v>
      </c>
      <c r="F135" s="193"/>
      <c r="G135" s="194">
        <v>500000</v>
      </c>
      <c r="H135" s="149" t="s">
        <v>112</v>
      </c>
      <c r="I135" s="148">
        <v>42356</v>
      </c>
      <c r="J135" s="148">
        <v>42377</v>
      </c>
      <c r="K135" s="149"/>
      <c r="L135" s="46"/>
      <c r="M135" s="46"/>
      <c r="N135" s="148"/>
      <c r="O135" s="149"/>
      <c r="P135" s="149" t="s">
        <v>239</v>
      </c>
    </row>
    <row r="136" spans="1:16">
      <c r="A136" s="14"/>
      <c r="B136" s="13"/>
      <c r="C136" s="13"/>
      <c r="D136" s="13"/>
      <c r="E136" s="14"/>
      <c r="F136" s="62"/>
      <c r="G136" s="15"/>
      <c r="H136" s="14"/>
      <c r="I136" s="14"/>
      <c r="J136" s="14"/>
      <c r="K136" s="17"/>
      <c r="L136" s="15"/>
      <c r="M136" s="15"/>
      <c r="N136" s="14"/>
      <c r="O136" s="14"/>
      <c r="P136" s="14"/>
    </row>
    <row r="137" spans="1:16">
      <c r="A137" s="28" t="s">
        <v>218</v>
      </c>
      <c r="B137" s="27" t="s">
        <v>219</v>
      </c>
      <c r="C137" s="27" t="s">
        <v>214</v>
      </c>
      <c r="D137" s="27" t="s">
        <v>215</v>
      </c>
      <c r="E137" s="28" t="s">
        <v>217</v>
      </c>
      <c r="F137" s="61"/>
      <c r="G137" s="29">
        <v>3245000</v>
      </c>
      <c r="H137" s="28" t="s">
        <v>216</v>
      </c>
      <c r="I137" s="32">
        <v>42122</v>
      </c>
      <c r="J137" s="32">
        <v>42146</v>
      </c>
      <c r="K137" s="31" t="s">
        <v>351</v>
      </c>
      <c r="L137" s="29">
        <f>M137/1.21</f>
        <v>3465000</v>
      </c>
      <c r="M137" s="29">
        <v>4192650</v>
      </c>
      <c r="N137" s="32">
        <v>42192</v>
      </c>
      <c r="O137" s="32">
        <v>42195</v>
      </c>
      <c r="P137" s="90">
        <v>42800</v>
      </c>
    </row>
    <row r="138" spans="1:16">
      <c r="A138" s="49" t="s">
        <v>218</v>
      </c>
      <c r="B138" s="30" t="s">
        <v>219</v>
      </c>
      <c r="C138" s="24" t="s">
        <v>138</v>
      </c>
      <c r="D138" s="24" t="s">
        <v>139</v>
      </c>
      <c r="E138" s="25" t="s">
        <v>258</v>
      </c>
      <c r="F138" s="63"/>
      <c r="G138" s="26">
        <v>480000</v>
      </c>
      <c r="H138" s="25" t="s">
        <v>112</v>
      </c>
      <c r="I138" s="48">
        <v>42066</v>
      </c>
      <c r="J138" s="48">
        <v>42080</v>
      </c>
      <c r="K138" s="71" t="s">
        <v>242</v>
      </c>
      <c r="L138" s="26"/>
      <c r="M138" s="50"/>
      <c r="N138" s="25"/>
      <c r="O138" s="25"/>
      <c r="P138" s="25" t="s">
        <v>239</v>
      </c>
    </row>
    <row r="139" spans="1:16">
      <c r="A139" s="31" t="s">
        <v>218</v>
      </c>
      <c r="B139" s="36" t="s">
        <v>219</v>
      </c>
      <c r="C139" s="27" t="s">
        <v>283</v>
      </c>
      <c r="D139" s="27" t="s">
        <v>282</v>
      </c>
      <c r="E139" s="28" t="s">
        <v>281</v>
      </c>
      <c r="F139" s="61"/>
      <c r="G139" s="29">
        <v>900000</v>
      </c>
      <c r="H139" s="28" t="s">
        <v>112</v>
      </c>
      <c r="I139" s="32">
        <v>41913</v>
      </c>
      <c r="J139" s="32">
        <v>41934</v>
      </c>
      <c r="K139" s="28" t="s">
        <v>280</v>
      </c>
      <c r="L139" s="29">
        <v>747054</v>
      </c>
      <c r="M139" s="29">
        <v>903935.34</v>
      </c>
      <c r="N139" s="73">
        <v>42151</v>
      </c>
      <c r="O139" s="73">
        <v>42151</v>
      </c>
      <c r="P139" s="31" t="s">
        <v>239</v>
      </c>
    </row>
    <row r="140" spans="1:16">
      <c r="A140" s="31" t="s">
        <v>218</v>
      </c>
      <c r="B140" s="36" t="s">
        <v>219</v>
      </c>
      <c r="C140" s="27" t="s">
        <v>186</v>
      </c>
      <c r="D140" s="27" t="s">
        <v>187</v>
      </c>
      <c r="E140" s="28" t="s">
        <v>258</v>
      </c>
      <c r="F140" s="61"/>
      <c r="G140" s="29">
        <v>460000</v>
      </c>
      <c r="H140" s="28" t="s">
        <v>112</v>
      </c>
      <c r="I140" s="32">
        <v>42114</v>
      </c>
      <c r="J140" s="32">
        <v>42124</v>
      </c>
      <c r="K140" s="28" t="s">
        <v>188</v>
      </c>
      <c r="L140" s="29">
        <f>M140/121*100</f>
        <v>403192</v>
      </c>
      <c r="M140" s="29">
        <v>487862.32</v>
      </c>
      <c r="N140" s="32">
        <v>42158</v>
      </c>
      <c r="O140" s="31" t="s">
        <v>239</v>
      </c>
      <c r="P140" s="31" t="s">
        <v>239</v>
      </c>
    </row>
    <row r="141" spans="1:16">
      <c r="A141" s="31" t="s">
        <v>218</v>
      </c>
      <c r="B141" s="36" t="s">
        <v>219</v>
      </c>
      <c r="C141" s="36" t="s">
        <v>314</v>
      </c>
      <c r="D141" s="36" t="s">
        <v>315</v>
      </c>
      <c r="E141" s="31" t="s">
        <v>316</v>
      </c>
      <c r="F141" s="61"/>
      <c r="G141" s="29">
        <v>1950000</v>
      </c>
      <c r="H141" s="31" t="s">
        <v>112</v>
      </c>
      <c r="I141" s="32">
        <v>42177</v>
      </c>
      <c r="J141" s="32">
        <v>42201</v>
      </c>
      <c r="K141" s="31" t="s">
        <v>414</v>
      </c>
      <c r="L141" s="29">
        <f>M141/1.21</f>
        <v>1867894.6280991735</v>
      </c>
      <c r="M141" s="29">
        <v>2260152.5</v>
      </c>
      <c r="N141" s="32">
        <v>42277</v>
      </c>
      <c r="O141" s="90">
        <v>42278</v>
      </c>
      <c r="P141" s="31" t="s">
        <v>239</v>
      </c>
    </row>
    <row r="142" spans="1:16">
      <c r="A142" s="151" t="s">
        <v>218</v>
      </c>
      <c r="B142" s="30" t="s">
        <v>219</v>
      </c>
      <c r="C142" s="30" t="s">
        <v>523</v>
      </c>
      <c r="D142" s="150" t="s">
        <v>524</v>
      </c>
      <c r="E142" s="151" t="s">
        <v>525</v>
      </c>
      <c r="F142" s="152"/>
      <c r="G142" s="142">
        <v>1980000</v>
      </c>
      <c r="H142" s="49" t="s">
        <v>112</v>
      </c>
      <c r="I142" s="153">
        <v>42292</v>
      </c>
      <c r="J142" s="153">
        <v>42307</v>
      </c>
      <c r="K142" s="154" t="s">
        <v>242</v>
      </c>
      <c r="L142" s="142"/>
      <c r="M142" s="142"/>
      <c r="N142" s="153"/>
      <c r="O142" s="155"/>
      <c r="P142" s="151"/>
    </row>
    <row r="143" spans="1:16">
      <c r="A143" s="353" t="s">
        <v>218</v>
      </c>
      <c r="B143" s="36" t="s">
        <v>219</v>
      </c>
      <c r="C143" s="36" t="s">
        <v>638</v>
      </c>
      <c r="D143" s="320" t="s">
        <v>639</v>
      </c>
      <c r="E143" s="353" t="s">
        <v>525</v>
      </c>
      <c r="F143" s="354"/>
      <c r="G143" s="319">
        <v>1980000</v>
      </c>
      <c r="H143" s="31" t="s">
        <v>112</v>
      </c>
      <c r="I143" s="318">
        <v>42327</v>
      </c>
      <c r="J143" s="318">
        <v>42340</v>
      </c>
      <c r="K143" s="321" t="s">
        <v>659</v>
      </c>
      <c r="L143" s="319">
        <v>2186970</v>
      </c>
      <c r="M143" s="319">
        <v>2646233.7000000002</v>
      </c>
      <c r="N143" s="318">
        <v>42376</v>
      </c>
      <c r="O143" s="361">
        <v>42376</v>
      </c>
      <c r="P143" s="353" t="s">
        <v>239</v>
      </c>
    </row>
    <row r="144" spans="1:16">
      <c r="A144" s="255" t="s">
        <v>218</v>
      </c>
      <c r="B144" s="41" t="s">
        <v>219</v>
      </c>
      <c r="C144" s="41" t="s">
        <v>640</v>
      </c>
      <c r="D144" s="254" t="s">
        <v>641</v>
      </c>
      <c r="E144" s="255" t="s">
        <v>642</v>
      </c>
      <c r="F144" s="256"/>
      <c r="G144" s="257">
        <v>1130000</v>
      </c>
      <c r="H144" s="242" t="s">
        <v>112</v>
      </c>
      <c r="I144" s="258">
        <v>42333</v>
      </c>
      <c r="J144" s="258">
        <v>42341</v>
      </c>
      <c r="K144" s="260" t="s">
        <v>43</v>
      </c>
      <c r="L144" s="257">
        <f>M144/1.21</f>
        <v>1124200</v>
      </c>
      <c r="M144" s="257">
        <v>1360282</v>
      </c>
      <c r="N144" s="258"/>
      <c r="O144" s="259"/>
      <c r="P144" s="255" t="s">
        <v>239</v>
      </c>
    </row>
    <row r="145" spans="1:16">
      <c r="A145" s="299" t="s">
        <v>218</v>
      </c>
      <c r="B145" s="298" t="s">
        <v>57</v>
      </c>
      <c r="C145" s="298" t="s">
        <v>690</v>
      </c>
      <c r="D145" s="298" t="s">
        <v>674</v>
      </c>
      <c r="E145" s="299" t="s">
        <v>675</v>
      </c>
      <c r="F145" s="300"/>
      <c r="G145" s="301">
        <v>3174500</v>
      </c>
      <c r="H145" s="299" t="s">
        <v>216</v>
      </c>
      <c r="I145" s="302">
        <v>42349</v>
      </c>
      <c r="J145" s="302">
        <v>42374</v>
      </c>
      <c r="K145" s="303"/>
      <c r="L145" s="301"/>
      <c r="M145" s="301"/>
      <c r="N145" s="302"/>
      <c r="O145" s="304"/>
      <c r="P145" s="299"/>
    </row>
    <row r="146" spans="1:16" ht="15.75" thickBot="1">
      <c r="A146" s="96"/>
      <c r="B146" s="95"/>
      <c r="C146" s="95"/>
      <c r="D146" s="95"/>
      <c r="E146" s="96"/>
      <c r="F146" s="97"/>
      <c r="G146" s="98"/>
      <c r="H146" s="96"/>
      <c r="I146" s="99"/>
      <c r="J146" s="99"/>
      <c r="K146" s="96"/>
      <c r="L146" s="98"/>
      <c r="M146" s="98"/>
      <c r="N146" s="96"/>
      <c r="O146" s="96"/>
      <c r="P146" s="96"/>
    </row>
    <row r="147" spans="1:16" ht="15.75" thickBot="1">
      <c r="A147" s="322" t="s">
        <v>69</v>
      </c>
      <c r="B147" s="273" t="s">
        <v>70</v>
      </c>
      <c r="C147" s="273" t="s">
        <v>67</v>
      </c>
      <c r="D147" s="182" t="s">
        <v>595</v>
      </c>
      <c r="E147" s="264" t="s">
        <v>68</v>
      </c>
      <c r="F147" s="265"/>
      <c r="G147" s="100">
        <v>786093</v>
      </c>
      <c r="H147" s="184" t="s">
        <v>251</v>
      </c>
      <c r="I147" s="269">
        <v>42109</v>
      </c>
      <c r="J147" s="269">
        <v>42264</v>
      </c>
      <c r="K147" s="101" t="s">
        <v>304</v>
      </c>
      <c r="L147" s="100"/>
      <c r="M147" s="100"/>
      <c r="N147" s="102"/>
      <c r="O147" s="177">
        <v>42269</v>
      </c>
      <c r="P147" s="103"/>
    </row>
    <row r="148" spans="1:16">
      <c r="A148" s="323" t="s">
        <v>69</v>
      </c>
      <c r="B148" s="264" t="s">
        <v>70</v>
      </c>
      <c r="C148" s="276" t="s">
        <v>67</v>
      </c>
      <c r="D148" s="183" t="s">
        <v>596</v>
      </c>
      <c r="E148" s="263" t="s">
        <v>68</v>
      </c>
      <c r="F148" s="63"/>
      <c r="G148" s="26">
        <v>28950046.32</v>
      </c>
      <c r="H148" s="185" t="s">
        <v>251</v>
      </c>
      <c r="I148" s="270">
        <v>42109</v>
      </c>
      <c r="J148" s="270">
        <v>42264</v>
      </c>
      <c r="K148" s="74" t="s">
        <v>304</v>
      </c>
      <c r="L148" s="26"/>
      <c r="M148" s="26"/>
      <c r="N148" s="25"/>
      <c r="O148" s="48">
        <v>42269</v>
      </c>
      <c r="P148" s="104"/>
    </row>
    <row r="149" spans="1:16">
      <c r="A149" s="324" t="s">
        <v>69</v>
      </c>
      <c r="B149" s="274" t="s">
        <v>70</v>
      </c>
      <c r="C149" s="261" t="s">
        <v>67</v>
      </c>
      <c r="D149" s="230" t="s">
        <v>597</v>
      </c>
      <c r="E149" s="67" t="s">
        <v>68</v>
      </c>
      <c r="F149" s="61"/>
      <c r="G149" s="29">
        <v>3440431.91</v>
      </c>
      <c r="H149" s="232" t="s">
        <v>251</v>
      </c>
      <c r="I149" s="267">
        <v>42109</v>
      </c>
      <c r="J149" s="267">
        <v>42264</v>
      </c>
      <c r="K149" s="33" t="s">
        <v>575</v>
      </c>
      <c r="L149" s="29">
        <v>3622829.36</v>
      </c>
      <c r="M149" s="29">
        <f>L149*1.1</f>
        <v>3985112.2960000001</v>
      </c>
      <c r="N149" s="32">
        <v>42340</v>
      </c>
      <c r="O149" s="32">
        <v>42346</v>
      </c>
      <c r="P149" s="391">
        <v>42818</v>
      </c>
    </row>
    <row r="150" spans="1:16" ht="15.75" thickBot="1">
      <c r="A150" s="325" t="s">
        <v>69</v>
      </c>
      <c r="B150" s="275" t="s">
        <v>70</v>
      </c>
      <c r="C150" s="275" t="s">
        <v>67</v>
      </c>
      <c r="D150" s="231" t="s">
        <v>598</v>
      </c>
      <c r="E150" s="271" t="s">
        <v>68</v>
      </c>
      <c r="F150" s="238"/>
      <c r="G150" s="233">
        <v>4043210.08</v>
      </c>
      <c r="H150" s="234" t="s">
        <v>251</v>
      </c>
      <c r="I150" s="268">
        <v>42109</v>
      </c>
      <c r="J150" s="268">
        <v>42264</v>
      </c>
      <c r="K150" s="235" t="s">
        <v>660</v>
      </c>
      <c r="L150" s="233">
        <v>6064769.6200000001</v>
      </c>
      <c r="M150" s="233">
        <f>L150*1.1</f>
        <v>6671246.5820000004</v>
      </c>
      <c r="N150" s="236">
        <v>42340</v>
      </c>
      <c r="O150" s="236">
        <v>42346</v>
      </c>
      <c r="P150" s="393">
        <v>42818</v>
      </c>
    </row>
    <row r="151" spans="1:16">
      <c r="A151" s="330" t="s">
        <v>69</v>
      </c>
      <c r="B151" s="281" t="s">
        <v>70</v>
      </c>
      <c r="C151" s="281" t="s">
        <v>71</v>
      </c>
      <c r="D151" s="334" t="s">
        <v>599</v>
      </c>
      <c r="E151" s="335" t="s">
        <v>72</v>
      </c>
      <c r="F151" s="237"/>
      <c r="G151" s="245">
        <v>17790572.760000002</v>
      </c>
      <c r="H151" s="248" t="s">
        <v>251</v>
      </c>
      <c r="I151" s="266">
        <v>42109</v>
      </c>
      <c r="J151" s="266">
        <v>42278</v>
      </c>
      <c r="K151" s="244" t="s">
        <v>576</v>
      </c>
      <c r="L151" s="245">
        <v>9397200</v>
      </c>
      <c r="M151" s="245">
        <f>L151*1.1</f>
        <v>10336920</v>
      </c>
      <c r="N151" s="246">
        <v>42347</v>
      </c>
      <c r="O151" s="246">
        <v>42359</v>
      </c>
      <c r="P151" s="394">
        <v>42818</v>
      </c>
    </row>
    <row r="152" spans="1:16" ht="15.75" thickBot="1">
      <c r="A152" s="326" t="s">
        <v>69</v>
      </c>
      <c r="B152" s="277" t="s">
        <v>70</v>
      </c>
      <c r="C152" s="277" t="s">
        <v>71</v>
      </c>
      <c r="D152" s="186" t="s">
        <v>600</v>
      </c>
      <c r="E152" s="279" t="s">
        <v>72</v>
      </c>
      <c r="F152" s="278"/>
      <c r="G152" s="158">
        <v>576267.9</v>
      </c>
      <c r="H152" s="187" t="s">
        <v>251</v>
      </c>
      <c r="I152" s="280">
        <v>42109</v>
      </c>
      <c r="J152" s="280">
        <v>42278</v>
      </c>
      <c r="K152" s="161" t="s">
        <v>304</v>
      </c>
      <c r="L152" s="158"/>
      <c r="M152" s="158"/>
      <c r="N152" s="159"/>
      <c r="O152" s="178">
        <v>42282</v>
      </c>
      <c r="P152" s="160"/>
    </row>
    <row r="153" spans="1:16">
      <c r="A153" s="322" t="s">
        <v>69</v>
      </c>
      <c r="B153" s="273" t="s">
        <v>70</v>
      </c>
      <c r="C153" s="273" t="s">
        <v>73</v>
      </c>
      <c r="D153" s="182" t="s">
        <v>601</v>
      </c>
      <c r="E153" s="264" t="s">
        <v>72</v>
      </c>
      <c r="F153" s="265"/>
      <c r="G153" s="100">
        <v>9865636.6500000004</v>
      </c>
      <c r="H153" s="184" t="s">
        <v>251</v>
      </c>
      <c r="I153" s="269">
        <v>42143</v>
      </c>
      <c r="J153" s="269">
        <v>42269</v>
      </c>
      <c r="K153" s="101" t="s">
        <v>304</v>
      </c>
      <c r="L153" s="100"/>
      <c r="M153" s="100"/>
      <c r="N153" s="102"/>
      <c r="O153" s="177">
        <v>42271</v>
      </c>
      <c r="P153" s="103"/>
    </row>
    <row r="154" spans="1:16">
      <c r="A154" s="327" t="s">
        <v>69</v>
      </c>
      <c r="B154" s="272" t="s">
        <v>70</v>
      </c>
      <c r="C154" s="272" t="s">
        <v>73</v>
      </c>
      <c r="D154" s="183" t="s">
        <v>602</v>
      </c>
      <c r="E154" s="282" t="s">
        <v>72</v>
      </c>
      <c r="F154" s="63"/>
      <c r="G154" s="26">
        <v>3742855.69</v>
      </c>
      <c r="H154" s="185" t="s">
        <v>251</v>
      </c>
      <c r="I154" s="270">
        <v>42143</v>
      </c>
      <c r="J154" s="270">
        <v>42269</v>
      </c>
      <c r="K154" s="74" t="s">
        <v>304</v>
      </c>
      <c r="L154" s="26"/>
      <c r="M154" s="26"/>
      <c r="N154" s="25"/>
      <c r="O154" s="48">
        <v>42271</v>
      </c>
      <c r="P154" s="104"/>
    </row>
    <row r="155" spans="1:16" ht="15.75" thickBot="1">
      <c r="A155" s="328" t="s">
        <v>69</v>
      </c>
      <c r="B155" s="262" t="s">
        <v>70</v>
      </c>
      <c r="C155" s="262" t="s">
        <v>73</v>
      </c>
      <c r="D155" s="231" t="s">
        <v>603</v>
      </c>
      <c r="E155" s="275" t="s">
        <v>72</v>
      </c>
      <c r="F155" s="238"/>
      <c r="G155" s="233">
        <v>29371692.5</v>
      </c>
      <c r="H155" s="239" t="s">
        <v>251</v>
      </c>
      <c r="I155" s="268">
        <v>42143</v>
      </c>
      <c r="J155" s="268">
        <v>42269</v>
      </c>
      <c r="K155" s="235" t="s">
        <v>575</v>
      </c>
      <c r="L155" s="233">
        <v>29371692.5</v>
      </c>
      <c r="M155" s="233">
        <f>L155*1.1</f>
        <v>32308861.750000004</v>
      </c>
      <c r="N155" s="236">
        <v>42340</v>
      </c>
      <c r="O155" s="236">
        <v>42346</v>
      </c>
      <c r="P155" s="393">
        <v>42818</v>
      </c>
    </row>
    <row r="156" spans="1:16">
      <c r="A156" s="322" t="s">
        <v>69</v>
      </c>
      <c r="B156" s="273" t="s">
        <v>70</v>
      </c>
      <c r="C156" s="273" t="s">
        <v>82</v>
      </c>
      <c r="D156" s="182" t="s">
        <v>615</v>
      </c>
      <c r="E156" s="264" t="s">
        <v>83</v>
      </c>
      <c r="F156" s="265"/>
      <c r="G156" s="100">
        <v>1548309</v>
      </c>
      <c r="H156" s="184" t="s">
        <v>251</v>
      </c>
      <c r="I156" s="269">
        <v>42110</v>
      </c>
      <c r="J156" s="269">
        <v>42263</v>
      </c>
      <c r="K156" s="101" t="s">
        <v>304</v>
      </c>
      <c r="L156" s="100"/>
      <c r="M156" s="100"/>
      <c r="N156" s="102"/>
      <c r="O156" s="177">
        <v>42268</v>
      </c>
      <c r="P156" s="103"/>
    </row>
    <row r="157" spans="1:16">
      <c r="A157" s="329" t="s">
        <v>69</v>
      </c>
      <c r="B157" s="261" t="s">
        <v>70</v>
      </c>
      <c r="C157" s="261" t="s">
        <v>82</v>
      </c>
      <c r="D157" s="230" t="s">
        <v>616</v>
      </c>
      <c r="E157" s="261" t="s">
        <v>83</v>
      </c>
      <c r="F157" s="61"/>
      <c r="G157" s="29">
        <v>76897.039999999994</v>
      </c>
      <c r="H157" s="286" t="s">
        <v>251</v>
      </c>
      <c r="I157" s="267">
        <v>42110</v>
      </c>
      <c r="J157" s="267">
        <v>42263</v>
      </c>
      <c r="K157" s="33" t="s">
        <v>431</v>
      </c>
      <c r="L157" s="29">
        <v>108020</v>
      </c>
      <c r="M157" s="29">
        <f>L157*1.1</f>
        <v>118822.00000000001</v>
      </c>
      <c r="N157" s="32">
        <v>42346</v>
      </c>
      <c r="O157" s="32">
        <v>42349</v>
      </c>
      <c r="P157" s="391">
        <v>42818</v>
      </c>
    </row>
    <row r="158" spans="1:16" ht="15" customHeight="1">
      <c r="A158" s="329" t="s">
        <v>69</v>
      </c>
      <c r="B158" s="261" t="s">
        <v>70</v>
      </c>
      <c r="C158" s="261" t="s">
        <v>82</v>
      </c>
      <c r="D158" s="287" t="s">
        <v>617</v>
      </c>
      <c r="E158" s="261" t="s">
        <v>83</v>
      </c>
      <c r="F158" s="288"/>
      <c r="G158" s="29">
        <v>25263.200000000001</v>
      </c>
      <c r="H158" s="286" t="s">
        <v>251</v>
      </c>
      <c r="I158" s="289">
        <v>42110</v>
      </c>
      <c r="J158" s="267">
        <v>42263</v>
      </c>
      <c r="K158" s="33" t="s">
        <v>577</v>
      </c>
      <c r="L158" s="29">
        <v>441545.93</v>
      </c>
      <c r="M158" s="29">
        <f>L158*1.1</f>
        <v>485700.52300000004</v>
      </c>
      <c r="N158" s="32">
        <v>42346</v>
      </c>
      <c r="O158" s="32">
        <v>42349</v>
      </c>
      <c r="P158" s="391">
        <v>42818</v>
      </c>
    </row>
    <row r="159" spans="1:16">
      <c r="A159" s="329" t="s">
        <v>69</v>
      </c>
      <c r="B159" s="261" t="s">
        <v>70</v>
      </c>
      <c r="C159" s="261" t="s">
        <v>82</v>
      </c>
      <c r="D159" s="287" t="s">
        <v>618</v>
      </c>
      <c r="E159" s="261" t="s">
        <v>83</v>
      </c>
      <c r="F159" s="61"/>
      <c r="G159" s="29">
        <v>113158.8</v>
      </c>
      <c r="H159" s="286" t="s">
        <v>251</v>
      </c>
      <c r="I159" s="267">
        <v>42110</v>
      </c>
      <c r="J159" s="267">
        <v>42263</v>
      </c>
      <c r="K159" s="33" t="s">
        <v>431</v>
      </c>
      <c r="L159" s="29">
        <v>116100</v>
      </c>
      <c r="M159" s="29">
        <f>L159*1.1</f>
        <v>127710.00000000001</v>
      </c>
      <c r="N159" s="32">
        <v>42346</v>
      </c>
      <c r="O159" s="32">
        <v>42349</v>
      </c>
      <c r="P159" s="391">
        <v>42818</v>
      </c>
    </row>
    <row r="160" spans="1:16">
      <c r="A160" s="329" t="s">
        <v>69</v>
      </c>
      <c r="B160" s="261" t="s">
        <v>70</v>
      </c>
      <c r="C160" s="261" t="s">
        <v>82</v>
      </c>
      <c r="D160" s="230" t="s">
        <v>619</v>
      </c>
      <c r="E160" s="261" t="s">
        <v>83</v>
      </c>
      <c r="F160" s="61"/>
      <c r="G160" s="29">
        <v>1500185.6000000001</v>
      </c>
      <c r="H160" s="286" t="s">
        <v>251</v>
      </c>
      <c r="I160" s="267">
        <v>42110</v>
      </c>
      <c r="J160" s="267">
        <v>42263</v>
      </c>
      <c r="K160" s="33" t="s">
        <v>577</v>
      </c>
      <c r="L160" s="29">
        <v>1616704.1</v>
      </c>
      <c r="M160" s="29">
        <f>L160*1.1</f>
        <v>1778374.5100000002</v>
      </c>
      <c r="N160" s="32">
        <v>42346</v>
      </c>
      <c r="O160" s="32">
        <v>42349</v>
      </c>
      <c r="P160" s="391">
        <v>42818</v>
      </c>
    </row>
    <row r="161" spans="1:16">
      <c r="A161" s="327" t="s">
        <v>69</v>
      </c>
      <c r="B161" s="272" t="s">
        <v>70</v>
      </c>
      <c r="C161" s="272" t="s">
        <v>82</v>
      </c>
      <c r="D161" s="183" t="s">
        <v>620</v>
      </c>
      <c r="E161" s="272" t="s">
        <v>83</v>
      </c>
      <c r="F161" s="63"/>
      <c r="G161" s="26">
        <v>4158000</v>
      </c>
      <c r="H161" s="190" t="s">
        <v>251</v>
      </c>
      <c r="I161" s="270">
        <v>42110</v>
      </c>
      <c r="J161" s="270">
        <v>42263</v>
      </c>
      <c r="K161" s="74" t="s">
        <v>304</v>
      </c>
      <c r="L161" s="105"/>
      <c r="M161" s="105"/>
      <c r="N161" s="71"/>
      <c r="O161" s="48">
        <v>42268</v>
      </c>
      <c r="P161" s="106"/>
    </row>
    <row r="162" spans="1:16">
      <c r="A162" s="327" t="s">
        <v>69</v>
      </c>
      <c r="B162" s="272" t="s">
        <v>70</v>
      </c>
      <c r="C162" s="272" t="s">
        <v>82</v>
      </c>
      <c r="D162" s="183" t="s">
        <v>621</v>
      </c>
      <c r="E162" s="272" t="s">
        <v>83</v>
      </c>
      <c r="F162" s="63"/>
      <c r="G162" s="26">
        <v>60738</v>
      </c>
      <c r="H162" s="190" t="s">
        <v>251</v>
      </c>
      <c r="I162" s="270">
        <v>42110</v>
      </c>
      <c r="J162" s="270">
        <v>42263</v>
      </c>
      <c r="K162" s="74" t="s">
        <v>304</v>
      </c>
      <c r="L162" s="105"/>
      <c r="M162" s="105"/>
      <c r="N162" s="71"/>
      <c r="O162" s="48">
        <v>42268</v>
      </c>
      <c r="P162" s="106"/>
    </row>
    <row r="163" spans="1:16">
      <c r="A163" s="329" t="s">
        <v>69</v>
      </c>
      <c r="B163" s="261" t="s">
        <v>70</v>
      </c>
      <c r="C163" s="261" t="s">
        <v>82</v>
      </c>
      <c r="D163" s="230" t="s">
        <v>622</v>
      </c>
      <c r="E163" s="261" t="s">
        <v>83</v>
      </c>
      <c r="F163" s="61"/>
      <c r="G163" s="29">
        <v>3273139.2</v>
      </c>
      <c r="H163" s="286" t="s">
        <v>251</v>
      </c>
      <c r="I163" s="267">
        <v>42110</v>
      </c>
      <c r="J163" s="267">
        <v>42263</v>
      </c>
      <c r="K163" s="33" t="s">
        <v>576</v>
      </c>
      <c r="L163" s="29">
        <v>3683016</v>
      </c>
      <c r="M163" s="29">
        <f>L163*1.1</f>
        <v>4051317.6000000006</v>
      </c>
      <c r="N163" s="32">
        <v>42346</v>
      </c>
      <c r="O163" s="32">
        <v>42349</v>
      </c>
      <c r="P163" s="391">
        <v>42818</v>
      </c>
    </row>
    <row r="164" spans="1:16">
      <c r="A164" s="329" t="s">
        <v>69</v>
      </c>
      <c r="B164" s="261" t="s">
        <v>70</v>
      </c>
      <c r="C164" s="261" t="s">
        <v>82</v>
      </c>
      <c r="D164" s="230" t="s">
        <v>623</v>
      </c>
      <c r="E164" s="261" t="s">
        <v>83</v>
      </c>
      <c r="F164" s="61"/>
      <c r="G164" s="29">
        <v>160302.1</v>
      </c>
      <c r="H164" s="286" t="s">
        <v>251</v>
      </c>
      <c r="I164" s="267">
        <v>42110</v>
      </c>
      <c r="J164" s="267">
        <v>42263</v>
      </c>
      <c r="K164" s="33" t="s">
        <v>577</v>
      </c>
      <c r="L164" s="29">
        <v>1194514.1000000001</v>
      </c>
      <c r="M164" s="29">
        <f>L164*1.1</f>
        <v>1313965.5100000002</v>
      </c>
      <c r="N164" s="32">
        <v>42346</v>
      </c>
      <c r="O164" s="32">
        <v>42349</v>
      </c>
      <c r="P164" s="391">
        <v>42818</v>
      </c>
    </row>
    <row r="165" spans="1:16" ht="15.75" thickBot="1">
      <c r="A165" s="328" t="s">
        <v>69</v>
      </c>
      <c r="B165" s="262" t="s">
        <v>70</v>
      </c>
      <c r="C165" s="262" t="s">
        <v>82</v>
      </c>
      <c r="D165" s="231" t="s">
        <v>624</v>
      </c>
      <c r="E165" s="262" t="s">
        <v>83</v>
      </c>
      <c r="F165" s="238"/>
      <c r="G165" s="233">
        <v>2868323.04</v>
      </c>
      <c r="H165" s="234" t="s">
        <v>251</v>
      </c>
      <c r="I165" s="268">
        <v>42110</v>
      </c>
      <c r="J165" s="268">
        <v>42263</v>
      </c>
      <c r="K165" s="235" t="s">
        <v>577</v>
      </c>
      <c r="L165" s="233">
        <v>2930320.8</v>
      </c>
      <c r="M165" s="29">
        <f>L165*1.1</f>
        <v>3223352.88</v>
      </c>
      <c r="N165" s="236">
        <v>42346</v>
      </c>
      <c r="O165" s="236">
        <v>42349</v>
      </c>
      <c r="P165" s="393">
        <v>42818</v>
      </c>
    </row>
    <row r="166" spans="1:16" ht="15.75" customHeight="1">
      <c r="A166" s="330" t="s">
        <v>69</v>
      </c>
      <c r="B166" s="281" t="s">
        <v>70</v>
      </c>
      <c r="C166" s="281" t="s">
        <v>92</v>
      </c>
      <c r="D166" s="249" t="s">
        <v>625</v>
      </c>
      <c r="E166" s="284" t="s">
        <v>93</v>
      </c>
      <c r="F166" s="237"/>
      <c r="G166" s="245">
        <v>24807092.620000001</v>
      </c>
      <c r="H166" s="248" t="s">
        <v>251</v>
      </c>
      <c r="I166" s="266">
        <v>42128</v>
      </c>
      <c r="J166" s="266">
        <v>42286</v>
      </c>
      <c r="K166" s="290" t="s">
        <v>579</v>
      </c>
      <c r="L166" s="291">
        <f>M166/1.1</f>
        <v>24765201.472727273</v>
      </c>
      <c r="M166" s="291">
        <v>27241721.620000001</v>
      </c>
      <c r="N166" s="292">
        <v>42346</v>
      </c>
      <c r="O166" s="292">
        <v>42349</v>
      </c>
      <c r="P166" s="394">
        <v>42818</v>
      </c>
    </row>
    <row r="167" spans="1:16" ht="15.75" customHeight="1">
      <c r="A167" s="329" t="s">
        <v>69</v>
      </c>
      <c r="B167" s="261" t="s">
        <v>70</v>
      </c>
      <c r="C167" s="261" t="s">
        <v>92</v>
      </c>
      <c r="D167" s="230" t="s">
        <v>626</v>
      </c>
      <c r="E167" s="261" t="s">
        <v>93</v>
      </c>
      <c r="F167" s="61"/>
      <c r="G167" s="29">
        <v>27730590.539999999</v>
      </c>
      <c r="H167" s="286" t="s">
        <v>251</v>
      </c>
      <c r="I167" s="267">
        <v>42128</v>
      </c>
      <c r="J167" s="267">
        <v>42286</v>
      </c>
      <c r="K167" s="132" t="s">
        <v>580</v>
      </c>
      <c r="L167" s="131">
        <v>27730215</v>
      </c>
      <c r="M167" s="131">
        <f>L167*1.1</f>
        <v>30503236.500000004</v>
      </c>
      <c r="N167" s="78">
        <v>42346</v>
      </c>
      <c r="O167" s="78">
        <v>42349</v>
      </c>
      <c r="P167" s="391">
        <v>42818</v>
      </c>
    </row>
    <row r="168" spans="1:16" ht="15.75" customHeight="1">
      <c r="A168" s="329" t="s">
        <v>69</v>
      </c>
      <c r="B168" s="261" t="s">
        <v>70</v>
      </c>
      <c r="C168" s="261" t="s">
        <v>92</v>
      </c>
      <c r="D168" s="293" t="s">
        <v>627</v>
      </c>
      <c r="E168" s="261" t="s">
        <v>93</v>
      </c>
      <c r="F168" s="61"/>
      <c r="G168" s="29">
        <v>4410000</v>
      </c>
      <c r="H168" s="286" t="s">
        <v>251</v>
      </c>
      <c r="I168" s="267">
        <v>42128</v>
      </c>
      <c r="J168" s="267">
        <v>42286</v>
      </c>
      <c r="K168" s="132" t="s">
        <v>576</v>
      </c>
      <c r="L168" s="131">
        <v>4630500</v>
      </c>
      <c r="M168" s="131">
        <f>L168*1.1</f>
        <v>5093550</v>
      </c>
      <c r="N168" s="78">
        <v>42346</v>
      </c>
      <c r="O168" s="78">
        <v>42349</v>
      </c>
      <c r="P168" s="391">
        <v>42818</v>
      </c>
    </row>
    <row r="169" spans="1:16" ht="15.75" customHeight="1">
      <c r="A169" s="329" t="s">
        <v>69</v>
      </c>
      <c r="B169" s="261" t="s">
        <v>70</v>
      </c>
      <c r="C169" s="261" t="s">
        <v>92</v>
      </c>
      <c r="D169" s="230" t="s">
        <v>628</v>
      </c>
      <c r="E169" s="261" t="s">
        <v>93</v>
      </c>
      <c r="F169" s="61"/>
      <c r="G169" s="29">
        <v>2894694.39</v>
      </c>
      <c r="H169" s="232" t="s">
        <v>251</v>
      </c>
      <c r="I169" s="267">
        <v>42128</v>
      </c>
      <c r="J169" s="267">
        <v>42286</v>
      </c>
      <c r="K169" s="132" t="s">
        <v>577</v>
      </c>
      <c r="L169" s="131">
        <v>2894694.73</v>
      </c>
      <c r="M169" s="131">
        <f>L169*1.1</f>
        <v>3184164.2030000002</v>
      </c>
      <c r="N169" s="78">
        <v>42346</v>
      </c>
      <c r="O169" s="78">
        <v>42349</v>
      </c>
      <c r="P169" s="391">
        <v>42818</v>
      </c>
    </row>
    <row r="170" spans="1:16" ht="15.75" customHeight="1">
      <c r="A170" s="327" t="s">
        <v>69</v>
      </c>
      <c r="B170" s="272" t="s">
        <v>70</v>
      </c>
      <c r="C170" s="272" t="s">
        <v>92</v>
      </c>
      <c r="D170" s="183" t="s">
        <v>629</v>
      </c>
      <c r="E170" s="272" t="s">
        <v>93</v>
      </c>
      <c r="F170" s="63"/>
      <c r="G170" s="26">
        <v>3232117.2</v>
      </c>
      <c r="H170" s="190" t="s">
        <v>251</v>
      </c>
      <c r="I170" s="270">
        <v>42128</v>
      </c>
      <c r="J170" s="270">
        <v>42286</v>
      </c>
      <c r="K170" s="74" t="s">
        <v>304</v>
      </c>
      <c r="L170" s="26"/>
      <c r="M170" s="26"/>
      <c r="N170" s="25"/>
      <c r="O170" s="48">
        <v>42290</v>
      </c>
      <c r="P170" s="104"/>
    </row>
    <row r="171" spans="1:16" ht="15.75" customHeight="1" thickBot="1">
      <c r="A171" s="326" t="s">
        <v>69</v>
      </c>
      <c r="B171" s="277" t="s">
        <v>70</v>
      </c>
      <c r="C171" s="277" t="s">
        <v>92</v>
      </c>
      <c r="D171" s="188" t="s">
        <v>630</v>
      </c>
      <c r="E171" s="277" t="s">
        <v>93</v>
      </c>
      <c r="F171" s="283"/>
      <c r="G171" s="114">
        <v>23091145.399999999</v>
      </c>
      <c r="H171" s="159" t="s">
        <v>251</v>
      </c>
      <c r="I171" s="280">
        <v>42128</v>
      </c>
      <c r="J171" s="280">
        <v>42286</v>
      </c>
      <c r="K171" s="122" t="s">
        <v>304</v>
      </c>
      <c r="L171" s="114"/>
      <c r="M171" s="114"/>
      <c r="N171" s="115"/>
      <c r="O171" s="179">
        <v>42290</v>
      </c>
      <c r="P171" s="116"/>
    </row>
    <row r="172" spans="1:16" ht="15.75" customHeight="1">
      <c r="A172" s="322" t="s">
        <v>69</v>
      </c>
      <c r="B172" s="273" t="s">
        <v>70</v>
      </c>
      <c r="C172" s="273" t="s">
        <v>302</v>
      </c>
      <c r="D172" s="182" t="s">
        <v>604</v>
      </c>
      <c r="E172" s="276" t="s">
        <v>93</v>
      </c>
      <c r="F172" s="265"/>
      <c r="G172" s="100">
        <v>7105683.7999999998</v>
      </c>
      <c r="H172" s="184" t="s">
        <v>251</v>
      </c>
      <c r="I172" s="269">
        <v>42150</v>
      </c>
      <c r="J172" s="269">
        <v>42272</v>
      </c>
      <c r="K172" s="101" t="s">
        <v>304</v>
      </c>
      <c r="L172" s="100"/>
      <c r="M172" s="100"/>
      <c r="N172" s="102"/>
      <c r="O172" s="177">
        <v>42279</v>
      </c>
      <c r="P172" s="103"/>
    </row>
    <row r="173" spans="1:16" ht="15.75" customHeight="1">
      <c r="A173" s="324" t="s">
        <v>69</v>
      </c>
      <c r="B173" s="274" t="s">
        <v>70</v>
      </c>
      <c r="C173" s="261" t="s">
        <v>302</v>
      </c>
      <c r="D173" s="230" t="s">
        <v>605</v>
      </c>
      <c r="E173" s="274" t="s">
        <v>93</v>
      </c>
      <c r="F173" s="61"/>
      <c r="G173" s="29">
        <v>13029000</v>
      </c>
      <c r="H173" s="232" t="s">
        <v>251</v>
      </c>
      <c r="I173" s="267">
        <v>42150</v>
      </c>
      <c r="J173" s="267">
        <v>42272</v>
      </c>
      <c r="K173" s="33" t="s">
        <v>576</v>
      </c>
      <c r="L173" s="29">
        <v>13055058</v>
      </c>
      <c r="M173" s="29">
        <f>L173*1.1</f>
        <v>14360563.800000001</v>
      </c>
      <c r="N173" s="78">
        <v>42347</v>
      </c>
      <c r="O173" s="32">
        <v>42359</v>
      </c>
      <c r="P173" s="391">
        <v>42818</v>
      </c>
    </row>
    <row r="174" spans="1:16" ht="15.75" customHeight="1">
      <c r="A174" s="331" t="s">
        <v>69</v>
      </c>
      <c r="B174" s="282" t="s">
        <v>70</v>
      </c>
      <c r="C174" s="272" t="s">
        <v>302</v>
      </c>
      <c r="D174" s="183" t="s">
        <v>606</v>
      </c>
      <c r="E174" s="282" t="s">
        <v>93</v>
      </c>
      <c r="F174" s="63"/>
      <c r="G174" s="26">
        <v>5737513.6500000004</v>
      </c>
      <c r="H174" s="185" t="s">
        <v>251</v>
      </c>
      <c r="I174" s="270">
        <v>42150</v>
      </c>
      <c r="J174" s="270">
        <v>42272</v>
      </c>
      <c r="K174" s="74" t="s">
        <v>304</v>
      </c>
      <c r="L174" s="26"/>
      <c r="M174" s="26"/>
      <c r="N174" s="25"/>
      <c r="O174" s="48">
        <v>42279</v>
      </c>
      <c r="P174" s="104"/>
    </row>
    <row r="175" spans="1:16" ht="15.75" customHeight="1">
      <c r="A175" s="324" t="s">
        <v>69</v>
      </c>
      <c r="B175" s="274" t="s">
        <v>70</v>
      </c>
      <c r="C175" s="261" t="s">
        <v>302</v>
      </c>
      <c r="D175" s="230" t="s">
        <v>607</v>
      </c>
      <c r="E175" s="274" t="s">
        <v>93</v>
      </c>
      <c r="F175" s="61"/>
      <c r="G175" s="29">
        <v>503321.28</v>
      </c>
      <c r="H175" s="232" t="s">
        <v>251</v>
      </c>
      <c r="I175" s="267">
        <v>42150</v>
      </c>
      <c r="J175" s="267">
        <v>42272</v>
      </c>
      <c r="K175" s="33" t="s">
        <v>576</v>
      </c>
      <c r="L175" s="29">
        <v>528487.43999999994</v>
      </c>
      <c r="M175" s="29">
        <f>L175*1.1</f>
        <v>581336.18400000001</v>
      </c>
      <c r="N175" s="32">
        <v>42347</v>
      </c>
      <c r="O175" s="32">
        <v>42359</v>
      </c>
      <c r="P175" s="391">
        <v>42818</v>
      </c>
    </row>
    <row r="176" spans="1:16" ht="15.75" customHeight="1">
      <c r="A176" s="331" t="s">
        <v>69</v>
      </c>
      <c r="B176" s="282" t="s">
        <v>70</v>
      </c>
      <c r="C176" s="272" t="s">
        <v>302</v>
      </c>
      <c r="D176" s="183" t="s">
        <v>608</v>
      </c>
      <c r="E176" s="282" t="s">
        <v>93</v>
      </c>
      <c r="F176" s="63"/>
      <c r="G176" s="26">
        <v>2766134.36</v>
      </c>
      <c r="H176" s="185" t="s">
        <v>251</v>
      </c>
      <c r="I176" s="270">
        <v>42150</v>
      </c>
      <c r="J176" s="270">
        <v>42272</v>
      </c>
      <c r="K176" s="74" t="s">
        <v>304</v>
      </c>
      <c r="L176" s="26"/>
      <c r="M176" s="26"/>
      <c r="N176" s="25"/>
      <c r="O176" s="48">
        <v>42279</v>
      </c>
      <c r="P176" s="104"/>
    </row>
    <row r="177" spans="1:16" ht="15.75" customHeight="1">
      <c r="A177" s="331" t="s">
        <v>69</v>
      </c>
      <c r="B177" s="282" t="s">
        <v>70</v>
      </c>
      <c r="C177" s="272" t="s">
        <v>302</v>
      </c>
      <c r="D177" s="183" t="s">
        <v>609</v>
      </c>
      <c r="E177" s="282" t="s">
        <v>93</v>
      </c>
      <c r="F177" s="63"/>
      <c r="G177" s="26">
        <v>19449675.510000002</v>
      </c>
      <c r="H177" s="185" t="s">
        <v>251</v>
      </c>
      <c r="I177" s="270">
        <v>42150</v>
      </c>
      <c r="J177" s="270">
        <v>42272</v>
      </c>
      <c r="K177" s="74" t="s">
        <v>304</v>
      </c>
      <c r="L177" s="26"/>
      <c r="M177" s="26"/>
      <c r="N177" s="25"/>
      <c r="O177" s="48">
        <v>42279</v>
      </c>
      <c r="P177" s="104"/>
    </row>
    <row r="178" spans="1:16" ht="15.75" customHeight="1">
      <c r="A178" s="324" t="s">
        <v>69</v>
      </c>
      <c r="B178" s="274" t="s">
        <v>70</v>
      </c>
      <c r="C178" s="261" t="s">
        <v>302</v>
      </c>
      <c r="D178" s="230" t="s">
        <v>610</v>
      </c>
      <c r="E178" s="274" t="s">
        <v>93</v>
      </c>
      <c r="F178" s="61"/>
      <c r="G178" s="29">
        <v>4984496</v>
      </c>
      <c r="H178" s="232" t="s">
        <v>251</v>
      </c>
      <c r="I178" s="267">
        <v>42150</v>
      </c>
      <c r="J178" s="289">
        <v>42272</v>
      </c>
      <c r="K178" s="33" t="s">
        <v>576</v>
      </c>
      <c r="L178" s="29">
        <v>5129631.2</v>
      </c>
      <c r="M178" s="29">
        <f>L178*1.1</f>
        <v>5642594.3200000003</v>
      </c>
      <c r="N178" s="32">
        <v>42347</v>
      </c>
      <c r="O178" s="32">
        <v>42359</v>
      </c>
      <c r="P178" s="391">
        <v>42818</v>
      </c>
    </row>
    <row r="179" spans="1:16" ht="15.75" customHeight="1" thickBot="1">
      <c r="A179" s="332" t="s">
        <v>69</v>
      </c>
      <c r="B179" s="279" t="s">
        <v>70</v>
      </c>
      <c r="C179" s="279" t="s">
        <v>302</v>
      </c>
      <c r="D179" s="188" t="s">
        <v>611</v>
      </c>
      <c r="E179" s="279" t="s">
        <v>93</v>
      </c>
      <c r="F179" s="283"/>
      <c r="G179" s="114">
        <v>830434.6</v>
      </c>
      <c r="H179" s="187" t="s">
        <v>251</v>
      </c>
      <c r="I179" s="280">
        <v>42150</v>
      </c>
      <c r="J179" s="280">
        <v>42272</v>
      </c>
      <c r="K179" s="74" t="s">
        <v>304</v>
      </c>
      <c r="L179" s="114"/>
      <c r="M179" s="114"/>
      <c r="N179" s="115"/>
      <c r="O179" s="179">
        <v>42279</v>
      </c>
      <c r="P179" s="116"/>
    </row>
    <row r="180" spans="1:16" ht="15.75" customHeight="1">
      <c r="A180" s="330" t="s">
        <v>69</v>
      </c>
      <c r="B180" s="281" t="s">
        <v>70</v>
      </c>
      <c r="C180" s="281" t="s">
        <v>303</v>
      </c>
      <c r="D180" s="249" t="s">
        <v>612</v>
      </c>
      <c r="E180" s="284" t="s">
        <v>93</v>
      </c>
      <c r="F180" s="237"/>
      <c r="G180" s="247">
        <v>1096900</v>
      </c>
      <c r="H180" s="248" t="s">
        <v>251</v>
      </c>
      <c r="I180" s="266">
        <v>42165</v>
      </c>
      <c r="J180" s="266">
        <v>42292</v>
      </c>
      <c r="K180" s="244" t="s">
        <v>577</v>
      </c>
      <c r="L180" s="245">
        <v>1296622.25</v>
      </c>
      <c r="M180" s="245">
        <f>L180*1.1</f>
        <v>1426284.4750000001</v>
      </c>
      <c r="N180" s="246">
        <v>42340</v>
      </c>
      <c r="O180" s="246">
        <v>42347</v>
      </c>
      <c r="P180" s="395">
        <v>42818</v>
      </c>
    </row>
    <row r="181" spans="1:16" ht="15.75" customHeight="1">
      <c r="A181" s="324" t="s">
        <v>69</v>
      </c>
      <c r="B181" s="274" t="s">
        <v>70</v>
      </c>
      <c r="C181" s="261" t="s">
        <v>303</v>
      </c>
      <c r="D181" s="229" t="s">
        <v>613</v>
      </c>
      <c r="E181" s="274" t="s">
        <v>93</v>
      </c>
      <c r="F181" s="61"/>
      <c r="G181" s="88">
        <v>3429010</v>
      </c>
      <c r="H181" s="232" t="s">
        <v>251</v>
      </c>
      <c r="I181" s="267">
        <v>42165</v>
      </c>
      <c r="J181" s="267">
        <v>42292</v>
      </c>
      <c r="K181" s="33" t="s">
        <v>578</v>
      </c>
      <c r="L181" s="29">
        <v>3429010</v>
      </c>
      <c r="M181" s="29">
        <f>L181*1.1</f>
        <v>3771911.0000000005</v>
      </c>
      <c r="N181" s="32">
        <v>42340</v>
      </c>
      <c r="O181" s="32">
        <v>42347</v>
      </c>
      <c r="P181" s="396">
        <v>42818</v>
      </c>
    </row>
    <row r="182" spans="1:16" ht="15.75" customHeight="1" thickBot="1">
      <c r="A182" s="332" t="s">
        <v>69</v>
      </c>
      <c r="B182" s="279" t="s">
        <v>70</v>
      </c>
      <c r="C182" s="277" t="s">
        <v>303</v>
      </c>
      <c r="D182" s="189" t="s">
        <v>614</v>
      </c>
      <c r="E182" s="279" t="s">
        <v>93</v>
      </c>
      <c r="F182" s="152"/>
      <c r="G182" s="139">
        <v>254090.8</v>
      </c>
      <c r="H182" s="187" t="s">
        <v>251</v>
      </c>
      <c r="I182" s="280">
        <v>42165</v>
      </c>
      <c r="J182" s="280">
        <v>42292</v>
      </c>
      <c r="K182" s="140" t="s">
        <v>304</v>
      </c>
      <c r="L182" s="141"/>
      <c r="M182" s="142"/>
      <c r="N182" s="143"/>
      <c r="O182" s="153">
        <v>42293</v>
      </c>
      <c r="P182" s="144"/>
    </row>
    <row r="183" spans="1:16" ht="15.75" customHeight="1" thickBot="1">
      <c r="A183" s="199" t="s">
        <v>69</v>
      </c>
      <c r="B183" s="200" t="s">
        <v>70</v>
      </c>
      <c r="C183" s="200" t="s">
        <v>550</v>
      </c>
      <c r="D183" s="201" t="s">
        <v>551</v>
      </c>
      <c r="E183" s="200" t="s">
        <v>555</v>
      </c>
      <c r="F183" s="202"/>
      <c r="G183" s="203">
        <v>407600</v>
      </c>
      <c r="H183" s="200" t="s">
        <v>112</v>
      </c>
      <c r="I183" s="204">
        <v>42306</v>
      </c>
      <c r="J183" s="204">
        <v>42312</v>
      </c>
      <c r="K183" s="205" t="s">
        <v>585</v>
      </c>
      <c r="L183" s="206">
        <f>M183/1.21</f>
        <v>305700</v>
      </c>
      <c r="M183" s="207">
        <v>369897</v>
      </c>
      <c r="N183" s="204">
        <v>42326</v>
      </c>
      <c r="O183" s="208" t="s">
        <v>239</v>
      </c>
      <c r="P183" s="209" t="s">
        <v>239</v>
      </c>
    </row>
    <row r="184" spans="1:16" ht="15.75" customHeight="1" thickBot="1">
      <c r="A184" s="336" t="s">
        <v>69</v>
      </c>
      <c r="B184" s="337" t="s">
        <v>70</v>
      </c>
      <c r="C184" s="337" t="s">
        <v>685</v>
      </c>
      <c r="D184" s="338" t="s">
        <v>686</v>
      </c>
      <c r="E184" s="337" t="s">
        <v>688</v>
      </c>
      <c r="F184" s="339"/>
      <c r="G184" s="340">
        <v>3383579.88</v>
      </c>
      <c r="H184" s="337" t="s">
        <v>216</v>
      </c>
      <c r="I184" s="341">
        <v>42359</v>
      </c>
      <c r="J184" s="341">
        <v>42381</v>
      </c>
      <c r="K184" s="342"/>
      <c r="L184" s="343"/>
      <c r="M184" s="344"/>
      <c r="N184" s="341"/>
      <c r="O184" s="345"/>
      <c r="P184" s="1494"/>
    </row>
    <row r="185" spans="1:16" ht="15.75" customHeight="1">
      <c r="A185" s="305" t="s">
        <v>69</v>
      </c>
      <c r="B185" s="305" t="s">
        <v>668</v>
      </c>
      <c r="C185" s="305" t="s">
        <v>669</v>
      </c>
      <c r="D185" s="306" t="s">
        <v>670</v>
      </c>
      <c r="E185" s="305" t="s">
        <v>671</v>
      </c>
      <c r="F185" s="307"/>
      <c r="G185" s="308">
        <v>39182000</v>
      </c>
      <c r="H185" s="305" t="s">
        <v>251</v>
      </c>
      <c r="I185" s="309"/>
      <c r="J185" s="309"/>
      <c r="K185" s="310"/>
      <c r="L185" s="311"/>
      <c r="M185" s="312"/>
      <c r="N185" s="309"/>
      <c r="O185" s="313"/>
      <c r="P185" s="305"/>
    </row>
    <row r="186" spans="1:16">
      <c r="A186" s="110"/>
      <c r="B186" s="109"/>
      <c r="C186" s="109"/>
      <c r="D186" s="109"/>
      <c r="E186" s="110"/>
      <c r="F186" s="111"/>
      <c r="G186" s="112"/>
      <c r="H186" s="110"/>
      <c r="I186" s="113"/>
      <c r="J186" s="113"/>
      <c r="K186" s="110"/>
      <c r="L186" s="112"/>
      <c r="M186" s="112"/>
      <c r="N186" s="110"/>
      <c r="O186" s="110"/>
      <c r="P186" s="110"/>
    </row>
    <row r="187" spans="1:16">
      <c r="A187" s="31" t="s">
        <v>231</v>
      </c>
      <c r="B187" s="36" t="s">
        <v>232</v>
      </c>
      <c r="C187" s="27" t="s">
        <v>115</v>
      </c>
      <c r="D187" s="37" t="s">
        <v>116</v>
      </c>
      <c r="E187" s="31" t="s">
        <v>237</v>
      </c>
      <c r="F187" s="61"/>
      <c r="G187" s="29">
        <v>500000</v>
      </c>
      <c r="H187" s="28" t="s">
        <v>112</v>
      </c>
      <c r="I187" s="32">
        <v>42027</v>
      </c>
      <c r="J187" s="34">
        <v>42038</v>
      </c>
      <c r="K187" s="36" t="s">
        <v>238</v>
      </c>
      <c r="L187" s="29">
        <f>M187/1.21</f>
        <v>225000</v>
      </c>
      <c r="M187" s="29">
        <v>272250</v>
      </c>
      <c r="N187" s="73">
        <v>42062</v>
      </c>
      <c r="O187" s="31" t="s">
        <v>239</v>
      </c>
      <c r="P187" s="31" t="s">
        <v>239</v>
      </c>
    </row>
    <row r="188" spans="1:16">
      <c r="A188" s="31" t="s">
        <v>231</v>
      </c>
      <c r="B188" s="36" t="s">
        <v>232</v>
      </c>
      <c r="C188" s="27" t="s">
        <v>320</v>
      </c>
      <c r="D188" s="91" t="s">
        <v>317</v>
      </c>
      <c r="E188" s="31" t="s">
        <v>237</v>
      </c>
      <c r="F188" s="61"/>
      <c r="G188" s="29">
        <v>100000</v>
      </c>
      <c r="H188" s="31" t="s">
        <v>112</v>
      </c>
      <c r="I188" s="32">
        <v>42167</v>
      </c>
      <c r="J188" s="34">
        <v>42184</v>
      </c>
      <c r="K188" s="31" t="s">
        <v>372</v>
      </c>
      <c r="L188" s="29">
        <v>89000</v>
      </c>
      <c r="M188" s="29">
        <v>107690</v>
      </c>
      <c r="N188" s="73">
        <v>42227</v>
      </c>
      <c r="O188" s="31" t="s">
        <v>239</v>
      </c>
      <c r="P188" s="31" t="s">
        <v>239</v>
      </c>
    </row>
    <row r="189" spans="1:16" ht="30">
      <c r="A189" s="314" t="s">
        <v>231</v>
      </c>
      <c r="B189" s="164" t="s">
        <v>232</v>
      </c>
      <c r="C189" s="3443" t="s">
        <v>427</v>
      </c>
      <c r="D189" s="165" t="s">
        <v>586</v>
      </c>
      <c r="E189" s="285" t="s">
        <v>428</v>
      </c>
      <c r="F189" s="3445"/>
      <c r="G189" s="123">
        <v>200000</v>
      </c>
      <c r="H189" s="162" t="s">
        <v>112</v>
      </c>
      <c r="I189" s="296">
        <v>42226</v>
      </c>
      <c r="J189" s="296">
        <v>42236</v>
      </c>
      <c r="K189" s="39" t="s">
        <v>588</v>
      </c>
      <c r="L189" s="117">
        <v>197200</v>
      </c>
      <c r="M189" s="117">
        <v>238612</v>
      </c>
      <c r="N189" s="119">
        <v>42276</v>
      </c>
      <c r="O189" s="31" t="s">
        <v>239</v>
      </c>
      <c r="P189" s="31" t="s">
        <v>239</v>
      </c>
    </row>
    <row r="190" spans="1:16">
      <c r="A190" s="315" t="s">
        <v>231</v>
      </c>
      <c r="B190" s="164" t="s">
        <v>232</v>
      </c>
      <c r="C190" s="3444"/>
      <c r="D190" s="166" t="s">
        <v>587</v>
      </c>
      <c r="E190" s="175" t="s">
        <v>428</v>
      </c>
      <c r="F190" s="3446"/>
      <c r="G190" s="127">
        <v>600000</v>
      </c>
      <c r="H190" s="162" t="s">
        <v>112</v>
      </c>
      <c r="I190" s="297">
        <v>42226</v>
      </c>
      <c r="J190" s="297">
        <v>42236</v>
      </c>
      <c r="K190" s="39" t="s">
        <v>589</v>
      </c>
      <c r="L190" s="117">
        <v>465000</v>
      </c>
      <c r="M190" s="117">
        <v>465000</v>
      </c>
      <c r="N190" s="119">
        <v>42276</v>
      </c>
      <c r="O190" s="31" t="s">
        <v>239</v>
      </c>
      <c r="P190" s="31" t="s">
        <v>239</v>
      </c>
    </row>
    <row r="191" spans="1:16">
      <c r="A191" s="14"/>
      <c r="B191" s="13"/>
      <c r="C191" s="13"/>
      <c r="D191" s="13"/>
      <c r="E191" s="14"/>
      <c r="F191" s="62"/>
      <c r="G191" s="15"/>
      <c r="H191" s="14"/>
      <c r="I191" s="14"/>
      <c r="J191" s="14"/>
      <c r="K191" s="17"/>
      <c r="L191" s="15"/>
      <c r="M191" s="15"/>
      <c r="N191" s="14"/>
      <c r="O191" s="14"/>
      <c r="P191" s="14"/>
    </row>
    <row r="192" spans="1:16">
      <c r="A192" s="31" t="s">
        <v>289</v>
      </c>
      <c r="B192" s="36" t="s">
        <v>291</v>
      </c>
      <c r="C192" s="36" t="s">
        <v>290</v>
      </c>
      <c r="D192" s="36" t="s">
        <v>378</v>
      </c>
      <c r="E192" s="28" t="s">
        <v>292</v>
      </c>
      <c r="F192" s="67" t="s">
        <v>293</v>
      </c>
      <c r="G192" s="29">
        <v>200000</v>
      </c>
      <c r="H192" s="31" t="s">
        <v>112</v>
      </c>
      <c r="I192" s="32">
        <v>42170</v>
      </c>
      <c r="J192" s="32">
        <v>42181</v>
      </c>
      <c r="K192" s="33" t="s">
        <v>363</v>
      </c>
      <c r="L192" s="29">
        <v>197776.12</v>
      </c>
      <c r="M192" s="29">
        <v>239309.11</v>
      </c>
      <c r="N192" s="32">
        <v>42237</v>
      </c>
      <c r="O192" s="31" t="s">
        <v>239</v>
      </c>
      <c r="P192" s="31" t="s">
        <v>239</v>
      </c>
    </row>
    <row r="193" spans="1:16" ht="15" customHeight="1">
      <c r="A193" s="242" t="s">
        <v>289</v>
      </c>
      <c r="B193" s="41" t="s">
        <v>291</v>
      </c>
      <c r="C193" s="41" t="s">
        <v>393</v>
      </c>
      <c r="D193" s="128" t="s">
        <v>663</v>
      </c>
      <c r="E193" s="253" t="s">
        <v>662</v>
      </c>
      <c r="F193" s="157"/>
      <c r="G193" s="44">
        <v>3000000</v>
      </c>
      <c r="H193" s="242" t="s">
        <v>251</v>
      </c>
      <c r="I193" s="240">
        <v>42192</v>
      </c>
      <c r="J193" s="240">
        <v>42326</v>
      </c>
      <c r="K193" s="47" t="s">
        <v>665</v>
      </c>
      <c r="L193" s="44">
        <f>M193/1.21</f>
        <v>1590000</v>
      </c>
      <c r="M193" s="44">
        <v>1923900</v>
      </c>
      <c r="N193" s="240">
        <v>42375</v>
      </c>
      <c r="O193" s="241"/>
      <c r="P193" s="241"/>
    </row>
    <row r="194" spans="1:16" ht="15" customHeight="1">
      <c r="A194" s="242" t="s">
        <v>289</v>
      </c>
      <c r="B194" s="41" t="s">
        <v>291</v>
      </c>
      <c r="C194" s="41" t="s">
        <v>393</v>
      </c>
      <c r="D194" s="128" t="s">
        <v>664</v>
      </c>
      <c r="E194" s="253" t="s">
        <v>661</v>
      </c>
      <c r="F194" s="157"/>
      <c r="G194" s="44">
        <v>1600000</v>
      </c>
      <c r="H194" s="242" t="s">
        <v>251</v>
      </c>
      <c r="I194" s="240">
        <v>42192</v>
      </c>
      <c r="J194" s="240">
        <v>42326</v>
      </c>
      <c r="K194" s="47" t="s">
        <v>665</v>
      </c>
      <c r="L194" s="44">
        <f>M194/1.21</f>
        <v>240080</v>
      </c>
      <c r="M194" s="44">
        <v>290496.8</v>
      </c>
      <c r="N194" s="240">
        <v>42375</v>
      </c>
      <c r="O194" s="241"/>
      <c r="P194" s="241"/>
    </row>
    <row r="195" spans="1:16">
      <c r="A195" s="31" t="s">
        <v>289</v>
      </c>
      <c r="B195" s="36" t="s">
        <v>291</v>
      </c>
      <c r="C195" s="36" t="s">
        <v>454</v>
      </c>
      <c r="D195" s="156" t="s">
        <v>473</v>
      </c>
      <c r="E195" s="39" t="s">
        <v>455</v>
      </c>
      <c r="F195" s="61"/>
      <c r="G195" s="29">
        <v>560000</v>
      </c>
      <c r="H195" s="31" t="s">
        <v>112</v>
      </c>
      <c r="I195" s="32">
        <v>42256</v>
      </c>
      <c r="J195" s="32">
        <v>42271</v>
      </c>
      <c r="K195" s="33" t="s">
        <v>571</v>
      </c>
      <c r="L195" s="29">
        <v>459828</v>
      </c>
      <c r="M195" s="29">
        <v>556391.88</v>
      </c>
      <c r="N195" s="32">
        <v>42311</v>
      </c>
      <c r="O195" s="32">
        <v>42312</v>
      </c>
      <c r="P195" s="31" t="s">
        <v>239</v>
      </c>
    </row>
    <row r="196" spans="1:16">
      <c r="A196" s="70" t="s">
        <v>289</v>
      </c>
      <c r="B196" s="72" t="s">
        <v>291</v>
      </c>
      <c r="C196" s="72" t="s">
        <v>679</v>
      </c>
      <c r="D196" s="294" t="s">
        <v>681</v>
      </c>
      <c r="E196" s="295" t="s">
        <v>680</v>
      </c>
      <c r="F196" s="89" t="s">
        <v>552</v>
      </c>
      <c r="G196" s="55">
        <v>3150000</v>
      </c>
      <c r="H196" s="70" t="s">
        <v>251</v>
      </c>
      <c r="I196" s="69"/>
      <c r="J196" s="69"/>
      <c r="K196" s="56"/>
      <c r="L196" s="55"/>
      <c r="M196" s="55"/>
      <c r="N196" s="69"/>
      <c r="O196" s="69"/>
      <c r="P196" s="70"/>
    </row>
    <row r="197" spans="1:16">
      <c r="A197" s="70" t="s">
        <v>289</v>
      </c>
      <c r="B197" s="72" t="s">
        <v>291</v>
      </c>
      <c r="C197" s="72" t="s">
        <v>676</v>
      </c>
      <c r="D197" s="294" t="s">
        <v>677</v>
      </c>
      <c r="E197" s="295" t="s">
        <v>678</v>
      </c>
      <c r="F197" s="89" t="s">
        <v>552</v>
      </c>
      <c r="G197" s="55">
        <v>4500000</v>
      </c>
      <c r="H197" s="70" t="s">
        <v>251</v>
      </c>
      <c r="I197" s="69"/>
      <c r="J197" s="69"/>
      <c r="K197" s="56"/>
      <c r="L197" s="55"/>
      <c r="M197" s="55"/>
      <c r="N197" s="69"/>
      <c r="O197" s="69"/>
      <c r="P197" s="70"/>
    </row>
    <row r="198" spans="1:16">
      <c r="A198" s="14"/>
      <c r="B198" s="13"/>
      <c r="C198" s="13"/>
      <c r="D198" s="13"/>
      <c r="E198" s="14"/>
      <c r="F198" s="62"/>
      <c r="G198" s="15"/>
      <c r="H198" s="14"/>
      <c r="I198" s="14"/>
      <c r="J198" s="14"/>
      <c r="K198" s="17"/>
      <c r="L198" s="15"/>
      <c r="M198" s="15"/>
      <c r="N198" s="14"/>
      <c r="O198" s="14"/>
      <c r="P198" s="14"/>
    </row>
    <row r="199" spans="1:16">
      <c r="A199" s="31" t="s">
        <v>377</v>
      </c>
      <c r="B199" s="36" t="s">
        <v>233</v>
      </c>
      <c r="C199" s="27" t="s">
        <v>101</v>
      </c>
      <c r="D199" s="36" t="s">
        <v>102</v>
      </c>
      <c r="E199" s="31" t="s">
        <v>259</v>
      </c>
      <c r="F199" s="61"/>
      <c r="G199" s="29">
        <v>1480000</v>
      </c>
      <c r="H199" s="28" t="s">
        <v>95</v>
      </c>
      <c r="I199" s="32">
        <v>42129</v>
      </c>
      <c r="J199" s="32">
        <v>42137</v>
      </c>
      <c r="K199" s="33" t="s">
        <v>379</v>
      </c>
      <c r="L199" s="29">
        <v>1480100</v>
      </c>
      <c r="M199" s="29">
        <v>1786950</v>
      </c>
      <c r="N199" s="32">
        <v>42207</v>
      </c>
      <c r="O199" s="32">
        <v>42212</v>
      </c>
      <c r="P199" s="31" t="s">
        <v>239</v>
      </c>
    </row>
    <row r="200" spans="1:16">
      <c r="A200" s="70" t="s">
        <v>367</v>
      </c>
      <c r="B200" s="72" t="s">
        <v>295</v>
      </c>
      <c r="C200" s="72" t="s">
        <v>296</v>
      </c>
      <c r="D200" s="72" t="s">
        <v>297</v>
      </c>
      <c r="E200" s="70" t="s">
        <v>298</v>
      </c>
      <c r="F200" s="64"/>
      <c r="G200" s="55">
        <v>12315000</v>
      </c>
      <c r="H200" s="70" t="s">
        <v>251</v>
      </c>
      <c r="I200" s="69"/>
      <c r="J200" s="69"/>
      <c r="K200" s="54"/>
      <c r="L200" s="55"/>
      <c r="M200" s="55"/>
      <c r="N200" s="69"/>
      <c r="O200" s="70"/>
      <c r="P200" s="70"/>
    </row>
    <row r="201" spans="1:16">
      <c r="A201" s="31" t="s">
        <v>368</v>
      </c>
      <c r="B201" s="36" t="s">
        <v>234</v>
      </c>
      <c r="C201" s="27" t="s">
        <v>106</v>
      </c>
      <c r="D201" s="27" t="s">
        <v>107</v>
      </c>
      <c r="E201" s="28" t="s">
        <v>108</v>
      </c>
      <c r="F201" s="67" t="s">
        <v>390</v>
      </c>
      <c r="G201" s="29">
        <v>85000000</v>
      </c>
      <c r="H201" s="28" t="s">
        <v>109</v>
      </c>
      <c r="I201" s="32">
        <v>42117</v>
      </c>
      <c r="J201" s="32">
        <v>42212</v>
      </c>
      <c r="K201" s="33" t="s">
        <v>434</v>
      </c>
      <c r="L201" s="29">
        <v>86954208.549999997</v>
      </c>
      <c r="M201" s="29">
        <v>105214592.34999999</v>
      </c>
      <c r="N201" s="32">
        <v>42251</v>
      </c>
      <c r="O201" s="32">
        <v>42255</v>
      </c>
      <c r="P201" s="1799">
        <v>44601</v>
      </c>
    </row>
    <row r="202" spans="1:16">
      <c r="A202" s="70" t="s">
        <v>416</v>
      </c>
      <c r="B202" s="72" t="s">
        <v>417</v>
      </c>
      <c r="C202" s="53" t="s">
        <v>430</v>
      </c>
      <c r="D202" s="72" t="s">
        <v>418</v>
      </c>
      <c r="E202" s="70" t="s">
        <v>429</v>
      </c>
      <c r="F202" s="89"/>
      <c r="G202" s="55">
        <v>1990000</v>
      </c>
      <c r="H202" s="70" t="s">
        <v>112</v>
      </c>
      <c r="I202" s="69"/>
      <c r="J202" s="69"/>
      <c r="K202" s="56"/>
      <c r="L202" s="55"/>
      <c r="M202" s="55"/>
      <c r="N202" s="54"/>
      <c r="O202" s="54"/>
      <c r="P202" s="70" t="s">
        <v>239</v>
      </c>
    </row>
    <row r="203" spans="1:16">
      <c r="A203" s="31" t="s">
        <v>515</v>
      </c>
      <c r="B203" s="36" t="s">
        <v>516</v>
      </c>
      <c r="C203" s="27" t="s">
        <v>517</v>
      </c>
      <c r="D203" s="36" t="s">
        <v>518</v>
      </c>
      <c r="E203" s="31" t="s">
        <v>521</v>
      </c>
      <c r="F203" s="67"/>
      <c r="G203" s="29">
        <v>600000</v>
      </c>
      <c r="H203" s="31" t="s">
        <v>112</v>
      </c>
      <c r="I203" s="32">
        <v>42299</v>
      </c>
      <c r="J203" s="32">
        <v>42311</v>
      </c>
      <c r="K203" s="33" t="s">
        <v>572</v>
      </c>
      <c r="L203" s="29" t="s">
        <v>573</v>
      </c>
      <c r="M203" s="29" t="s">
        <v>574</v>
      </c>
      <c r="N203" s="32">
        <v>42356</v>
      </c>
      <c r="O203" s="32">
        <v>42359</v>
      </c>
      <c r="P203" s="42" t="s">
        <v>239</v>
      </c>
    </row>
    <row r="204" spans="1:16">
      <c r="A204" s="242" t="s">
        <v>654</v>
      </c>
      <c r="B204" s="41" t="s">
        <v>655</v>
      </c>
      <c r="C204" s="41" t="s">
        <v>656</v>
      </c>
      <c r="D204" s="41" t="s">
        <v>657</v>
      </c>
      <c r="E204" s="242" t="s">
        <v>658</v>
      </c>
      <c r="F204" s="80" t="s">
        <v>552</v>
      </c>
      <c r="G204" s="44">
        <v>135000</v>
      </c>
      <c r="H204" s="242" t="s">
        <v>112</v>
      </c>
      <c r="I204" s="240">
        <v>42345</v>
      </c>
      <c r="J204" s="240">
        <v>42355</v>
      </c>
      <c r="K204" s="47" t="s">
        <v>682</v>
      </c>
      <c r="L204" s="44">
        <v>139600</v>
      </c>
      <c r="M204" s="44">
        <v>168916</v>
      </c>
      <c r="N204" s="241"/>
      <c r="O204" s="242" t="s">
        <v>239</v>
      </c>
      <c r="P204" s="242" t="s">
        <v>239</v>
      </c>
    </row>
    <row r="205" spans="1:16">
      <c r="A205" s="14"/>
      <c r="B205" s="13"/>
      <c r="C205" s="13"/>
      <c r="D205" s="13"/>
      <c r="E205" s="14"/>
      <c r="F205" s="62"/>
      <c r="G205" s="15"/>
      <c r="H205" s="14"/>
      <c r="I205" s="16"/>
      <c r="J205" s="16"/>
      <c r="K205" s="17"/>
      <c r="L205" s="15"/>
      <c r="M205" s="15"/>
      <c r="N205" s="14"/>
      <c r="O205" s="14"/>
      <c r="P205" s="14"/>
    </row>
    <row r="208" spans="1:16" ht="30.75" customHeight="1"/>
    <row r="209" spans="5:16" ht="30.75" customHeight="1">
      <c r="P209" s="118"/>
    </row>
    <row r="210" spans="5:16" ht="30.75" customHeight="1"/>
    <row r="213" spans="5:16">
      <c r="E213" s="3"/>
      <c r="H213" s="86"/>
    </row>
    <row r="214" spans="5:16">
      <c r="H214" s="86"/>
    </row>
  </sheetData>
  <autoFilter ref="A6:P205" xr:uid="{00000000-0009-0000-0000-000002000000}"/>
  <mergeCells count="4">
    <mergeCell ref="O1:P5"/>
    <mergeCell ref="E117:E118"/>
    <mergeCell ref="C189:C190"/>
    <mergeCell ref="F189:F190"/>
  </mergeCells>
  <pageMargins left="0.19685039370078741" right="0.19685039370078741" top="0.27559055118110237" bottom="0.27559055118110237" header="0.31496062992125984" footer="0.31496062992125984"/>
  <pageSetup paperSize="9" scale="48" fitToHeight="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2E8BD-7A46-49AC-9D4F-0C55E6957588}">
  <sheetPr>
    <pageSetUpPr fitToPage="1"/>
  </sheetPr>
  <dimension ref="A1:AR1177"/>
  <sheetViews>
    <sheetView tabSelected="1" zoomScale="90" zoomScaleNormal="90" workbookViewId="0">
      <pane xSplit="13" ySplit="8" topLeftCell="Z371" activePane="bottomRight" state="frozen"/>
      <selection pane="topRight" activeCell="N1" sqref="N1"/>
      <selection pane="bottomLeft" activeCell="A9" sqref="A9"/>
      <selection pane="bottomRight" activeCell="I394" sqref="I394"/>
    </sheetView>
  </sheetViews>
  <sheetFormatPr defaultColWidth="9.140625" defaultRowHeight="15"/>
  <cols>
    <col min="1" max="1" width="17.7109375" style="5" customWidth="1"/>
    <col min="2" max="2" width="18.5703125" style="3029" customWidth="1"/>
    <col min="3" max="3" width="7.140625" style="5" customWidth="1"/>
    <col min="4" max="5" width="13" style="5" customWidth="1"/>
    <col min="6" max="6" width="53.140625" style="4" customWidth="1"/>
    <col min="7" max="7" width="5.42578125" style="5" customWidth="1"/>
    <col min="8" max="8" width="44.85546875" style="3029" customWidth="1"/>
    <col min="9" max="9" width="18.85546875" style="3029" customWidth="1"/>
    <col min="10" max="10" width="13.140625" style="5" customWidth="1"/>
    <col min="11" max="11" width="9.7109375" style="5" customWidth="1"/>
    <col min="12" max="12" width="20.7109375" style="371" customWidth="1"/>
    <col min="13" max="13" width="7.85546875" style="5" customWidth="1"/>
    <col min="14" max="15" width="13" style="5" customWidth="1"/>
    <col min="16" max="16" width="13.42578125" style="5" customWidth="1"/>
    <col min="17" max="17" width="26.42578125" style="3029" customWidth="1"/>
    <col min="18" max="18" width="25.28515625" style="5" customWidth="1"/>
    <col min="19" max="20" width="20.85546875" style="371" customWidth="1"/>
    <col min="21" max="21" width="21.28515625" style="1469" hidden="1" customWidth="1"/>
    <col min="22" max="22" width="18.28515625" style="1469" hidden="1" customWidth="1"/>
    <col min="23" max="23" width="20.28515625" style="1469" hidden="1" customWidth="1"/>
    <col min="24" max="24" width="13.85546875" style="371" customWidth="1"/>
    <col min="25" max="25" width="24.42578125" style="371" bestFit="1" customWidth="1"/>
    <col min="26" max="26" width="15.5703125" style="5" bestFit="1" customWidth="1"/>
    <col min="27" max="27" width="17.7109375" style="5" customWidth="1"/>
    <col min="28" max="28" width="18.7109375" style="5" customWidth="1"/>
    <col min="29" max="29" width="16.5703125" style="5" hidden="1" customWidth="1"/>
    <col min="30" max="30" width="17.7109375" style="5" hidden="1" customWidth="1"/>
    <col min="31" max="31" width="11.140625" style="118" customWidth="1"/>
    <col min="32" max="32" width="21.42578125" style="118" customWidth="1"/>
    <col min="33" max="33" width="14.85546875" style="5" customWidth="1"/>
    <col min="34" max="34" width="15" style="5" customWidth="1"/>
    <col min="35" max="35" width="15.140625" style="5" customWidth="1"/>
    <col min="36" max="37" width="13.5703125" style="5" bestFit="1" customWidth="1"/>
    <col min="38" max="43" width="9.140625" style="5"/>
    <col min="44" max="44" width="13.42578125" style="5" customWidth="1"/>
    <col min="45" max="16384" width="9.140625" style="4"/>
  </cols>
  <sheetData>
    <row r="1" spans="1:31">
      <c r="C1" s="358"/>
      <c r="F1" s="777" t="s">
        <v>222</v>
      </c>
      <c r="K1" s="59"/>
    </row>
    <row r="2" spans="1:31">
      <c r="C2" s="359"/>
      <c r="F2" s="861" t="s">
        <v>223</v>
      </c>
      <c r="K2" s="59"/>
    </row>
    <row r="3" spans="1:31">
      <c r="C3" s="118"/>
      <c r="F3" s="3030" t="s">
        <v>4837</v>
      </c>
      <c r="K3" s="59"/>
    </row>
    <row r="4" spans="1:31">
      <c r="C4" s="118"/>
      <c r="F4" s="3031" t="s">
        <v>225</v>
      </c>
      <c r="K4" s="59"/>
    </row>
    <row r="5" spans="1:31">
      <c r="C5" s="118"/>
      <c r="F5" s="3032" t="s">
        <v>4709</v>
      </c>
      <c r="K5" s="59"/>
    </row>
    <row r="6" spans="1:31">
      <c r="C6" s="118"/>
      <c r="D6" s="3033"/>
      <c r="E6" s="3033"/>
      <c r="F6" s="3034" t="s">
        <v>226</v>
      </c>
      <c r="G6" s="3035"/>
      <c r="H6" s="3036"/>
      <c r="I6" s="3036"/>
      <c r="K6" s="59"/>
    </row>
    <row r="7" spans="1:31">
      <c r="C7" s="118"/>
      <c r="D7" s="3033"/>
      <c r="E7" s="3033"/>
      <c r="F7" s="3037" t="s">
        <v>5393</v>
      </c>
      <c r="G7" s="3035"/>
      <c r="H7" s="3036"/>
      <c r="I7" s="3036"/>
      <c r="K7" s="59"/>
    </row>
    <row r="8" spans="1:31" ht="60">
      <c r="A8" s="3027" t="s">
        <v>3484</v>
      </c>
      <c r="B8" s="3027" t="s">
        <v>11</v>
      </c>
      <c r="C8" s="3027" t="s">
        <v>1164</v>
      </c>
      <c r="D8" s="3027" t="s">
        <v>0</v>
      </c>
      <c r="E8" s="3027" t="s">
        <v>13947</v>
      </c>
      <c r="F8" s="1192" t="s">
        <v>1</v>
      </c>
      <c r="G8" s="1192" t="s">
        <v>3684</v>
      </c>
      <c r="H8" s="1527" t="s">
        <v>3489</v>
      </c>
      <c r="I8" s="1192" t="s">
        <v>15372</v>
      </c>
      <c r="J8" s="1192" t="s">
        <v>2</v>
      </c>
      <c r="K8" s="1193" t="s">
        <v>5</v>
      </c>
      <c r="L8" s="1194" t="s">
        <v>15</v>
      </c>
      <c r="M8" s="1192" t="s">
        <v>3</v>
      </c>
      <c r="N8" s="3027" t="s">
        <v>4</v>
      </c>
      <c r="O8" s="3027" t="s">
        <v>6</v>
      </c>
      <c r="P8" s="3027" t="s">
        <v>3485</v>
      </c>
      <c r="Q8" s="3027" t="s">
        <v>16705</v>
      </c>
      <c r="R8" s="3027" t="s">
        <v>5487</v>
      </c>
      <c r="S8" s="1194" t="s">
        <v>8</v>
      </c>
      <c r="T8" s="1194" t="s">
        <v>9</v>
      </c>
      <c r="U8" s="1528" t="s">
        <v>3491</v>
      </c>
      <c r="V8" s="1528" t="s">
        <v>3492</v>
      </c>
      <c r="W8" s="1528" t="s">
        <v>3493</v>
      </c>
      <c r="X8" s="1194" t="s">
        <v>3486</v>
      </c>
      <c r="Y8" s="1194" t="s">
        <v>3487</v>
      </c>
      <c r="Z8" s="3027" t="s">
        <v>10</v>
      </c>
      <c r="AA8" s="3027" t="s">
        <v>334</v>
      </c>
      <c r="AB8" s="3027" t="s">
        <v>3488</v>
      </c>
      <c r="AC8" s="3454" t="s">
        <v>220</v>
      </c>
      <c r="AD8" s="3456"/>
      <c r="AE8" s="3117" t="s">
        <v>16650</v>
      </c>
    </row>
    <row r="9" spans="1:31" ht="45.75" thickBot="1">
      <c r="A9" s="365">
        <v>44986</v>
      </c>
      <c r="B9" s="3383" t="s">
        <v>14278</v>
      </c>
      <c r="C9" s="3382" t="s">
        <v>52</v>
      </c>
      <c r="D9" s="3382" t="s">
        <v>2588</v>
      </c>
      <c r="E9" s="3382" t="s">
        <v>13950</v>
      </c>
      <c r="F9" s="2902" t="s">
        <v>14279</v>
      </c>
      <c r="G9" s="3382"/>
      <c r="H9" s="3383"/>
      <c r="I9" s="3383" t="s">
        <v>15369</v>
      </c>
      <c r="J9" s="3382" t="s">
        <v>13512</v>
      </c>
      <c r="K9" s="3382"/>
      <c r="L9" s="364">
        <v>3495000000</v>
      </c>
      <c r="M9" s="3382" t="s">
        <v>251</v>
      </c>
      <c r="N9" s="365">
        <v>45279</v>
      </c>
      <c r="O9" s="365">
        <v>45450</v>
      </c>
      <c r="P9" s="365">
        <v>45468</v>
      </c>
      <c r="Q9" s="3383" t="s">
        <v>17738</v>
      </c>
      <c r="R9" s="3382"/>
      <c r="S9" s="364">
        <v>3479900000</v>
      </c>
      <c r="T9" s="364">
        <v>4210679000</v>
      </c>
      <c r="U9" s="1473"/>
      <c r="V9" s="1473"/>
      <c r="W9" s="1473"/>
      <c r="X9" s="681">
        <v>45469</v>
      </c>
      <c r="Y9" s="1417" t="s">
        <v>17753</v>
      </c>
      <c r="Z9" s="365">
        <v>45565</v>
      </c>
      <c r="AA9" s="423"/>
      <c r="AB9" s="365">
        <v>46905</v>
      </c>
      <c r="AC9" s="3000"/>
      <c r="AD9" s="109"/>
      <c r="AE9" s="3238">
        <v>3</v>
      </c>
    </row>
    <row r="10" spans="1:31" ht="16.5" thickTop="1" thickBot="1">
      <c r="A10" s="3054">
        <v>45280</v>
      </c>
      <c r="B10" s="3055" t="s">
        <v>16444</v>
      </c>
      <c r="C10" s="3056" t="s">
        <v>16536</v>
      </c>
      <c r="D10" s="3056" t="s">
        <v>15131</v>
      </c>
      <c r="E10" s="3056" t="s">
        <v>15813</v>
      </c>
      <c r="F10" s="3057" t="s">
        <v>17492</v>
      </c>
      <c r="G10" s="3056">
        <v>1</v>
      </c>
      <c r="H10" s="3055" t="s">
        <v>7898</v>
      </c>
      <c r="I10" s="3055" t="s">
        <v>15369</v>
      </c>
      <c r="J10" s="3055" t="s">
        <v>3438</v>
      </c>
      <c r="K10" s="3056"/>
      <c r="L10" s="636">
        <v>6133954</v>
      </c>
      <c r="M10" s="3056" t="s">
        <v>251</v>
      </c>
      <c r="N10" s="3054">
        <v>45300</v>
      </c>
      <c r="O10" s="3054">
        <v>45381</v>
      </c>
      <c r="P10" s="3054">
        <v>45406</v>
      </c>
      <c r="Q10" s="3055" t="s">
        <v>13761</v>
      </c>
      <c r="R10" s="3056"/>
      <c r="S10" s="636">
        <v>6123479.5199999996</v>
      </c>
      <c r="T10" s="636">
        <v>6858297.0599999996</v>
      </c>
      <c r="U10" s="2725"/>
      <c r="V10" s="2725"/>
      <c r="W10" s="2725"/>
      <c r="X10" s="2726">
        <v>45406</v>
      </c>
      <c r="Y10" s="636" t="s">
        <v>17327</v>
      </c>
      <c r="Z10" s="3054">
        <v>45429</v>
      </c>
      <c r="AA10" s="3054">
        <v>45432</v>
      </c>
      <c r="AB10" s="3054">
        <v>46523</v>
      </c>
      <c r="AC10" s="3000"/>
      <c r="AD10" s="109"/>
      <c r="AE10" s="118">
        <v>1</v>
      </c>
    </row>
    <row r="11" spans="1:31" ht="15.75" thickTop="1">
      <c r="A11" s="687">
        <v>45280</v>
      </c>
      <c r="B11" s="1883" t="s">
        <v>16445</v>
      </c>
      <c r="C11" s="688" t="s">
        <v>16536</v>
      </c>
      <c r="D11" s="688" t="s">
        <v>15131</v>
      </c>
      <c r="E11" s="688" t="s">
        <v>15813</v>
      </c>
      <c r="F11" s="684" t="s">
        <v>17492</v>
      </c>
      <c r="G11" s="688">
        <v>2</v>
      </c>
      <c r="H11" s="1883" t="s">
        <v>17244</v>
      </c>
      <c r="I11" s="1883" t="s">
        <v>242</v>
      </c>
      <c r="J11" s="1883" t="s">
        <v>3438</v>
      </c>
      <c r="K11" s="688"/>
      <c r="L11" s="444">
        <v>67452</v>
      </c>
      <c r="M11" s="688" t="s">
        <v>251</v>
      </c>
      <c r="N11" s="687">
        <v>45300</v>
      </c>
      <c r="O11" s="687">
        <v>45381</v>
      </c>
      <c r="P11" s="688"/>
      <c r="Q11" s="753" t="s">
        <v>304</v>
      </c>
      <c r="R11" s="538" t="s">
        <v>17566</v>
      </c>
      <c r="S11" s="444"/>
      <c r="T11" s="444"/>
      <c r="U11" s="1605"/>
      <c r="V11" s="1605"/>
      <c r="W11" s="1605"/>
      <c r="X11" s="444"/>
      <c r="Y11" s="444"/>
      <c r="Z11" s="688"/>
      <c r="AA11" s="687">
        <v>45427</v>
      </c>
      <c r="AB11" s="688" t="s">
        <v>17283</v>
      </c>
      <c r="AC11" s="3000"/>
      <c r="AD11" s="109"/>
    </row>
    <row r="12" spans="1:31">
      <c r="A12" s="3070">
        <v>45280</v>
      </c>
      <c r="B12" s="2289" t="s">
        <v>16446</v>
      </c>
      <c r="C12" s="2877" t="s">
        <v>16536</v>
      </c>
      <c r="D12" s="2877" t="s">
        <v>15131</v>
      </c>
      <c r="E12" s="2877" t="s">
        <v>15813</v>
      </c>
      <c r="F12" s="2913" t="s">
        <v>17492</v>
      </c>
      <c r="G12" s="2877">
        <v>3</v>
      </c>
      <c r="H12" s="2289" t="s">
        <v>17245</v>
      </c>
      <c r="I12" s="2289" t="s">
        <v>15369</v>
      </c>
      <c r="J12" s="2289" t="s">
        <v>3438</v>
      </c>
      <c r="K12" s="2877"/>
      <c r="L12" s="2144">
        <v>4551400</v>
      </c>
      <c r="M12" s="2877" t="s">
        <v>251</v>
      </c>
      <c r="N12" s="3070">
        <v>45300</v>
      </c>
      <c r="O12" s="3070">
        <v>45381</v>
      </c>
      <c r="P12" s="3070">
        <v>45406</v>
      </c>
      <c r="Q12" s="2289" t="s">
        <v>5774</v>
      </c>
      <c r="R12" s="2877"/>
      <c r="S12" s="2144">
        <v>4550952.3</v>
      </c>
      <c r="T12" s="2144">
        <v>5097066.58</v>
      </c>
      <c r="U12" s="2145"/>
      <c r="V12" s="2145"/>
      <c r="W12" s="2145"/>
      <c r="X12" s="2146">
        <v>45406</v>
      </c>
      <c r="Y12" s="2144" t="s">
        <v>17328</v>
      </c>
      <c r="Z12" s="3070">
        <v>45429</v>
      </c>
      <c r="AA12" s="3070">
        <v>45432</v>
      </c>
      <c r="AB12" s="3070">
        <v>46523</v>
      </c>
      <c r="AC12" s="3000"/>
      <c r="AD12" s="109"/>
      <c r="AE12" s="118">
        <v>2</v>
      </c>
    </row>
    <row r="13" spans="1:31">
      <c r="A13" s="3070">
        <v>45280</v>
      </c>
      <c r="B13" s="2289" t="s">
        <v>16447</v>
      </c>
      <c r="C13" s="2877" t="s">
        <v>16536</v>
      </c>
      <c r="D13" s="2877" t="s">
        <v>15131</v>
      </c>
      <c r="E13" s="2877" t="s">
        <v>15813</v>
      </c>
      <c r="F13" s="2913" t="s">
        <v>17492</v>
      </c>
      <c r="G13" s="2877">
        <v>4</v>
      </c>
      <c r="H13" s="2289" t="s">
        <v>17246</v>
      </c>
      <c r="I13" s="2289" t="s">
        <v>15369</v>
      </c>
      <c r="J13" s="2289" t="s">
        <v>3438</v>
      </c>
      <c r="K13" s="2877"/>
      <c r="L13" s="2144">
        <v>4356153</v>
      </c>
      <c r="M13" s="2877" t="s">
        <v>251</v>
      </c>
      <c r="N13" s="3070">
        <v>45300</v>
      </c>
      <c r="O13" s="3070">
        <v>45381</v>
      </c>
      <c r="P13" s="3070">
        <v>45406</v>
      </c>
      <c r="Q13" s="2289" t="s">
        <v>13761</v>
      </c>
      <c r="R13" s="2877"/>
      <c r="S13" s="2144">
        <v>4309758.72</v>
      </c>
      <c r="T13" s="2144">
        <v>4826929.7699999996</v>
      </c>
      <c r="U13" s="2145"/>
      <c r="V13" s="2145"/>
      <c r="W13" s="2145"/>
      <c r="X13" s="2146">
        <v>45406</v>
      </c>
      <c r="Y13" s="2144" t="s">
        <v>17329</v>
      </c>
      <c r="Z13" s="3070">
        <v>45429</v>
      </c>
      <c r="AA13" s="3070">
        <v>45432</v>
      </c>
      <c r="AB13" s="3070">
        <v>46523</v>
      </c>
      <c r="AC13" s="3000"/>
      <c r="AD13" s="109"/>
      <c r="AE13" s="118">
        <v>2</v>
      </c>
    </row>
    <row r="14" spans="1:31">
      <c r="A14" s="3067">
        <v>45280</v>
      </c>
      <c r="B14" s="3068" t="s">
        <v>16448</v>
      </c>
      <c r="C14" s="3069" t="s">
        <v>16536</v>
      </c>
      <c r="D14" s="3069" t="s">
        <v>15131</v>
      </c>
      <c r="E14" s="3069" t="s">
        <v>15813</v>
      </c>
      <c r="F14" s="2914" t="s">
        <v>17492</v>
      </c>
      <c r="G14" s="3069">
        <v>5</v>
      </c>
      <c r="H14" s="3068" t="s">
        <v>17247</v>
      </c>
      <c r="I14" s="3068" t="s">
        <v>242</v>
      </c>
      <c r="J14" s="3068" t="s">
        <v>3438</v>
      </c>
      <c r="K14" s="3069"/>
      <c r="L14" s="2128">
        <v>2530650</v>
      </c>
      <c r="M14" s="3069" t="s">
        <v>251</v>
      </c>
      <c r="N14" s="3067">
        <v>45300</v>
      </c>
      <c r="O14" s="3067">
        <v>45381</v>
      </c>
      <c r="P14" s="3067"/>
      <c r="Q14" s="2136" t="s">
        <v>304</v>
      </c>
      <c r="R14" s="2180" t="s">
        <v>17564</v>
      </c>
      <c r="S14" s="2128"/>
      <c r="T14" s="2128"/>
      <c r="U14" s="2415"/>
      <c r="V14" s="2415"/>
      <c r="W14" s="2415"/>
      <c r="X14" s="2128"/>
      <c r="Y14" s="2128"/>
      <c r="Z14" s="3069"/>
      <c r="AA14" s="3067">
        <v>45427</v>
      </c>
      <c r="AB14" s="3069" t="s">
        <v>17283</v>
      </c>
      <c r="AC14" s="3000"/>
      <c r="AD14" s="109"/>
    </row>
    <row r="15" spans="1:31" ht="15.75" thickBot="1">
      <c r="A15" s="3109">
        <v>45280</v>
      </c>
      <c r="B15" s="2291" t="s">
        <v>16449</v>
      </c>
      <c r="C15" s="2290" t="s">
        <v>16536</v>
      </c>
      <c r="D15" s="2290" t="s">
        <v>15131</v>
      </c>
      <c r="E15" s="2290" t="s">
        <v>15813</v>
      </c>
      <c r="F15" s="2912" t="s">
        <v>17492</v>
      </c>
      <c r="G15" s="2290">
        <v>6</v>
      </c>
      <c r="H15" s="2291" t="s">
        <v>17248</v>
      </c>
      <c r="I15" s="2291" t="s">
        <v>15369</v>
      </c>
      <c r="J15" s="2291" t="s">
        <v>3438</v>
      </c>
      <c r="K15" s="2290"/>
      <c r="L15" s="2121">
        <v>107161</v>
      </c>
      <c r="M15" s="2290" t="s">
        <v>251</v>
      </c>
      <c r="N15" s="3109">
        <v>45300</v>
      </c>
      <c r="O15" s="3109">
        <v>45381</v>
      </c>
      <c r="P15" s="3109">
        <v>45406</v>
      </c>
      <c r="Q15" s="2291" t="s">
        <v>576</v>
      </c>
      <c r="R15" s="2290"/>
      <c r="S15" s="2121">
        <v>107160</v>
      </c>
      <c r="T15" s="2121">
        <v>120019.2</v>
      </c>
      <c r="U15" s="2122"/>
      <c r="V15" s="2122"/>
      <c r="W15" s="2122"/>
      <c r="X15" s="2123">
        <v>45406</v>
      </c>
      <c r="Y15" s="2121" t="s">
        <v>17330</v>
      </c>
      <c r="Z15" s="3109">
        <v>45429</v>
      </c>
      <c r="AA15" s="3109">
        <v>45432</v>
      </c>
      <c r="AB15" s="3109">
        <v>46523</v>
      </c>
      <c r="AC15" s="3000"/>
      <c r="AD15" s="109"/>
      <c r="AE15" s="118">
        <v>1</v>
      </c>
    </row>
    <row r="16" spans="1:31" ht="15.75" thickTop="1">
      <c r="A16" s="687">
        <v>45280</v>
      </c>
      <c r="B16" s="1883" t="s">
        <v>16450</v>
      </c>
      <c r="C16" s="688" t="s">
        <v>16536</v>
      </c>
      <c r="D16" s="688" t="s">
        <v>15131</v>
      </c>
      <c r="E16" s="688" t="s">
        <v>15813</v>
      </c>
      <c r="F16" s="684" t="s">
        <v>16491</v>
      </c>
      <c r="G16" s="688">
        <v>1</v>
      </c>
      <c r="H16" s="1883" t="s">
        <v>16451</v>
      </c>
      <c r="I16" s="1883" t="s">
        <v>242</v>
      </c>
      <c r="J16" s="684" t="s">
        <v>3438</v>
      </c>
      <c r="K16" s="688"/>
      <c r="L16" s="444">
        <v>257634</v>
      </c>
      <c r="M16" s="688" t="s">
        <v>251</v>
      </c>
      <c r="N16" s="687">
        <v>45300</v>
      </c>
      <c r="O16" s="687">
        <v>45335</v>
      </c>
      <c r="P16" s="688"/>
      <c r="Q16" s="753" t="s">
        <v>304</v>
      </c>
      <c r="R16" s="2015" t="s">
        <v>17318</v>
      </c>
      <c r="S16" s="444"/>
      <c r="T16" s="444"/>
      <c r="U16" s="1481"/>
      <c r="V16" s="1481"/>
      <c r="W16" s="1481"/>
      <c r="X16" s="444"/>
      <c r="Y16" s="444"/>
      <c r="Z16" s="688"/>
      <c r="AA16" s="687">
        <v>45392</v>
      </c>
      <c r="AB16" s="688" t="s">
        <v>17009</v>
      </c>
      <c r="AC16" s="3000"/>
      <c r="AD16" s="109"/>
    </row>
    <row r="17" spans="1:31">
      <c r="A17" s="3070">
        <v>45280</v>
      </c>
      <c r="B17" s="2289" t="s">
        <v>16453</v>
      </c>
      <c r="C17" s="2877" t="s">
        <v>16536</v>
      </c>
      <c r="D17" s="2877" t="s">
        <v>15131</v>
      </c>
      <c r="E17" s="2877" t="s">
        <v>15813</v>
      </c>
      <c r="F17" s="2913" t="s">
        <v>16491</v>
      </c>
      <c r="G17" s="2877">
        <v>2</v>
      </c>
      <c r="H17" s="2289" t="s">
        <v>16452</v>
      </c>
      <c r="I17" s="2289" t="s">
        <v>15369</v>
      </c>
      <c r="J17" s="2913" t="s">
        <v>3438</v>
      </c>
      <c r="K17" s="2877"/>
      <c r="L17" s="2144">
        <v>218256</v>
      </c>
      <c r="M17" s="2877" t="s">
        <v>251</v>
      </c>
      <c r="N17" s="3070">
        <v>45300</v>
      </c>
      <c r="O17" s="3070">
        <v>45335</v>
      </c>
      <c r="P17" s="3070">
        <v>45385</v>
      </c>
      <c r="Q17" s="2289" t="s">
        <v>5774</v>
      </c>
      <c r="R17" s="2877"/>
      <c r="S17" s="2144">
        <v>201696</v>
      </c>
      <c r="T17" s="2144">
        <v>225899.51999999999</v>
      </c>
      <c r="U17" s="2145"/>
      <c r="V17" s="2145"/>
      <c r="W17" s="2145"/>
      <c r="X17" s="2146">
        <v>45385</v>
      </c>
      <c r="Y17" s="2144" t="s">
        <v>17156</v>
      </c>
      <c r="Z17" s="3070">
        <v>45404</v>
      </c>
      <c r="AA17" s="3070">
        <v>45405</v>
      </c>
      <c r="AB17" s="3070">
        <v>46498</v>
      </c>
      <c r="AC17" s="3000"/>
      <c r="AD17" s="109"/>
      <c r="AE17" s="118">
        <v>4</v>
      </c>
    </row>
    <row r="18" spans="1:31">
      <c r="A18" s="3070">
        <v>45280</v>
      </c>
      <c r="B18" s="2289" t="s">
        <v>16454</v>
      </c>
      <c r="C18" s="2877" t="s">
        <v>16536</v>
      </c>
      <c r="D18" s="2877" t="s">
        <v>15131</v>
      </c>
      <c r="E18" s="2877" t="s">
        <v>15813</v>
      </c>
      <c r="F18" s="2913" t="s">
        <v>16491</v>
      </c>
      <c r="G18" s="2877">
        <v>3</v>
      </c>
      <c r="H18" s="2289" t="s">
        <v>7959</v>
      </c>
      <c r="I18" s="2289" t="s">
        <v>15369</v>
      </c>
      <c r="J18" s="2913" t="s">
        <v>3438</v>
      </c>
      <c r="K18" s="2877"/>
      <c r="L18" s="2144">
        <v>4753612</v>
      </c>
      <c r="M18" s="2877" t="s">
        <v>251</v>
      </c>
      <c r="N18" s="3070">
        <v>45300</v>
      </c>
      <c r="O18" s="3070">
        <v>45335</v>
      </c>
      <c r="P18" s="3070">
        <v>45385</v>
      </c>
      <c r="Q18" s="2289" t="s">
        <v>13761</v>
      </c>
      <c r="R18" s="2877"/>
      <c r="S18" s="2144">
        <v>4752185.28</v>
      </c>
      <c r="T18" s="2144">
        <v>5322447.51</v>
      </c>
      <c r="U18" s="2145"/>
      <c r="V18" s="2145"/>
      <c r="W18" s="2145"/>
      <c r="X18" s="2146">
        <v>45385</v>
      </c>
      <c r="Y18" s="2144" t="s">
        <v>17157</v>
      </c>
      <c r="Z18" s="3070">
        <v>45404</v>
      </c>
      <c r="AA18" s="3070">
        <v>45405</v>
      </c>
      <c r="AB18" s="3070">
        <v>46498</v>
      </c>
      <c r="AC18" s="3000"/>
      <c r="AD18" s="109"/>
      <c r="AE18" s="118">
        <v>2</v>
      </c>
    </row>
    <row r="19" spans="1:31" ht="15.75" thickBot="1">
      <c r="A19" s="3109">
        <v>45280</v>
      </c>
      <c r="B19" s="2291" t="s">
        <v>16455</v>
      </c>
      <c r="C19" s="2290" t="s">
        <v>16536</v>
      </c>
      <c r="D19" s="2290" t="s">
        <v>15131</v>
      </c>
      <c r="E19" s="2290" t="s">
        <v>15813</v>
      </c>
      <c r="F19" s="2912" t="s">
        <v>16491</v>
      </c>
      <c r="G19" s="2290">
        <v>4</v>
      </c>
      <c r="H19" s="2291" t="s">
        <v>7960</v>
      </c>
      <c r="I19" s="2291" t="s">
        <v>15369</v>
      </c>
      <c r="J19" s="2912" t="s">
        <v>3438</v>
      </c>
      <c r="K19" s="2290"/>
      <c r="L19" s="2121">
        <v>5678724</v>
      </c>
      <c r="M19" s="2290" t="s">
        <v>251</v>
      </c>
      <c r="N19" s="3109">
        <v>45300</v>
      </c>
      <c r="O19" s="3109">
        <v>45335</v>
      </c>
      <c r="P19" s="3109">
        <v>45385</v>
      </c>
      <c r="Q19" s="2291" t="s">
        <v>5774</v>
      </c>
      <c r="R19" s="2290"/>
      <c r="S19" s="2121">
        <v>5658883.8300000001</v>
      </c>
      <c r="T19" s="2121">
        <v>6337949.8899999997</v>
      </c>
      <c r="U19" s="2122"/>
      <c r="V19" s="2122"/>
      <c r="W19" s="2122"/>
      <c r="X19" s="2123">
        <v>45385</v>
      </c>
      <c r="Y19" s="2121" t="s">
        <v>17158</v>
      </c>
      <c r="Z19" s="3109">
        <v>45404</v>
      </c>
      <c r="AA19" s="3109">
        <v>45405</v>
      </c>
      <c r="AB19" s="3109">
        <v>46498</v>
      </c>
      <c r="AC19" s="3000"/>
      <c r="AD19" s="109"/>
      <c r="AE19" s="118">
        <v>3</v>
      </c>
    </row>
    <row r="20" spans="1:31" ht="16.5" thickTop="1" thickBot="1">
      <c r="A20" s="2478">
        <v>45280</v>
      </c>
      <c r="B20" s="3160" t="s">
        <v>16475</v>
      </c>
      <c r="C20" s="3161" t="s">
        <v>52</v>
      </c>
      <c r="D20" s="3161" t="s">
        <v>3089</v>
      </c>
      <c r="E20" s="3161" t="s">
        <v>13951</v>
      </c>
      <c r="F20" s="3162" t="s">
        <v>16533</v>
      </c>
      <c r="G20" s="3161"/>
      <c r="H20" s="3160"/>
      <c r="I20" s="3160" t="s">
        <v>15369</v>
      </c>
      <c r="J20" s="3162" t="s">
        <v>16479</v>
      </c>
      <c r="K20" s="3161" t="s">
        <v>14125</v>
      </c>
      <c r="L20" s="676">
        <v>1000000</v>
      </c>
      <c r="M20" s="3161" t="s">
        <v>112</v>
      </c>
      <c r="N20" s="2478">
        <v>45295</v>
      </c>
      <c r="O20" s="2478">
        <v>45306</v>
      </c>
      <c r="P20" s="2478">
        <v>45310</v>
      </c>
      <c r="Q20" s="3160" t="s">
        <v>16598</v>
      </c>
      <c r="R20" s="3161"/>
      <c r="S20" s="676">
        <v>565673.68999999994</v>
      </c>
      <c r="T20" s="676">
        <v>684465.16</v>
      </c>
      <c r="U20" s="1984"/>
      <c r="V20" s="1984"/>
      <c r="W20" s="1984"/>
      <c r="X20" s="683">
        <v>45310</v>
      </c>
      <c r="Y20" s="676" t="s">
        <v>16628</v>
      </c>
      <c r="Z20" s="2478">
        <v>45328</v>
      </c>
      <c r="AA20" s="2478">
        <v>45328</v>
      </c>
      <c r="AB20" s="3161"/>
      <c r="AC20" s="3000"/>
      <c r="AD20" s="109"/>
      <c r="AE20" s="118">
        <v>4</v>
      </c>
    </row>
    <row r="21" spans="1:31" ht="15.75" thickTop="1">
      <c r="A21" s="687">
        <v>45271</v>
      </c>
      <c r="B21" s="1883" t="s">
        <v>16492</v>
      </c>
      <c r="C21" s="688" t="s">
        <v>16536</v>
      </c>
      <c r="D21" s="688" t="s">
        <v>15131</v>
      </c>
      <c r="E21" s="688" t="s">
        <v>13949</v>
      </c>
      <c r="F21" s="684" t="s">
        <v>16497</v>
      </c>
      <c r="G21" s="688">
        <v>1</v>
      </c>
      <c r="H21" s="1883" t="s">
        <v>16498</v>
      </c>
      <c r="I21" s="1883" t="s">
        <v>242</v>
      </c>
      <c r="J21" s="688" t="s">
        <v>3438</v>
      </c>
      <c r="K21" s="688"/>
      <c r="L21" s="444">
        <v>1923663</v>
      </c>
      <c r="M21" s="688" t="s">
        <v>251</v>
      </c>
      <c r="N21" s="687">
        <v>45301</v>
      </c>
      <c r="O21" s="687">
        <v>45373</v>
      </c>
      <c r="P21" s="687"/>
      <c r="Q21" s="753" t="s">
        <v>304</v>
      </c>
      <c r="R21" s="2015" t="s">
        <v>17565</v>
      </c>
      <c r="S21" s="444"/>
      <c r="T21" s="444"/>
      <c r="U21" s="1483"/>
      <c r="V21" s="1483"/>
      <c r="W21" s="1483"/>
      <c r="X21" s="1884"/>
      <c r="Y21" s="444"/>
      <c r="Z21" s="687"/>
      <c r="AA21" s="687">
        <v>45427</v>
      </c>
      <c r="AB21" s="688" t="s">
        <v>17323</v>
      </c>
      <c r="AC21" s="3058"/>
      <c r="AD21" s="3058"/>
    </row>
    <row r="22" spans="1:31">
      <c r="A22" s="3070">
        <v>45271</v>
      </c>
      <c r="B22" s="2289" t="s">
        <v>16493</v>
      </c>
      <c r="C22" s="2877" t="s">
        <v>16536</v>
      </c>
      <c r="D22" s="2877" t="s">
        <v>15131</v>
      </c>
      <c r="E22" s="2877" t="s">
        <v>13949</v>
      </c>
      <c r="F22" s="3190" t="s">
        <v>16497</v>
      </c>
      <c r="G22" s="2877">
        <v>2</v>
      </c>
      <c r="H22" s="2289" t="s">
        <v>16499</v>
      </c>
      <c r="I22" s="2289" t="s">
        <v>15369</v>
      </c>
      <c r="J22" s="2877" t="s">
        <v>3438</v>
      </c>
      <c r="K22" s="2877"/>
      <c r="L22" s="2144">
        <v>895830</v>
      </c>
      <c r="M22" s="2877" t="s">
        <v>251</v>
      </c>
      <c r="N22" s="3070">
        <v>45301</v>
      </c>
      <c r="O22" s="3070">
        <v>45373</v>
      </c>
      <c r="P22" s="3070">
        <v>45406</v>
      </c>
      <c r="Q22" s="2289" t="s">
        <v>576</v>
      </c>
      <c r="R22" s="2877"/>
      <c r="S22" s="2144">
        <v>895829.76</v>
      </c>
      <c r="T22" s="2144">
        <v>1003329.33</v>
      </c>
      <c r="U22" s="2145"/>
      <c r="V22" s="2145"/>
      <c r="W22" s="2145"/>
      <c r="X22" s="2146">
        <v>45406</v>
      </c>
      <c r="Y22" s="2144" t="s">
        <v>17337</v>
      </c>
      <c r="Z22" s="3070">
        <v>45436</v>
      </c>
      <c r="AA22" s="3070">
        <v>45439</v>
      </c>
      <c r="AB22" s="3070">
        <v>46530</v>
      </c>
      <c r="AC22" s="2976"/>
      <c r="AD22" s="2976"/>
      <c r="AE22" s="118">
        <v>1</v>
      </c>
    </row>
    <row r="23" spans="1:31" ht="15.75" thickBot="1">
      <c r="A23" s="3070">
        <v>45271</v>
      </c>
      <c r="B23" s="2289" t="s">
        <v>16494</v>
      </c>
      <c r="C23" s="2877" t="s">
        <v>16536</v>
      </c>
      <c r="D23" s="2877" t="s">
        <v>15131</v>
      </c>
      <c r="E23" s="2877" t="s">
        <v>13949</v>
      </c>
      <c r="F23" s="3190" t="s">
        <v>16497</v>
      </c>
      <c r="G23" s="2877">
        <v>3</v>
      </c>
      <c r="H23" s="2289" t="s">
        <v>16500</v>
      </c>
      <c r="I23" s="2289" t="s">
        <v>15369</v>
      </c>
      <c r="J23" s="2877" t="s">
        <v>3438</v>
      </c>
      <c r="K23" s="2877"/>
      <c r="L23" s="2144">
        <v>801622</v>
      </c>
      <c r="M23" s="2877" t="s">
        <v>251</v>
      </c>
      <c r="N23" s="3070">
        <v>45301</v>
      </c>
      <c r="O23" s="3070">
        <v>45373</v>
      </c>
      <c r="P23" s="3070">
        <v>45406</v>
      </c>
      <c r="Q23" s="2289" t="s">
        <v>13761</v>
      </c>
      <c r="R23" s="2877"/>
      <c r="S23" s="2144">
        <v>799080.93</v>
      </c>
      <c r="T23" s="2144">
        <v>894970.64</v>
      </c>
      <c r="U23" s="2145"/>
      <c r="V23" s="2145"/>
      <c r="W23" s="2145"/>
      <c r="X23" s="2146">
        <v>45406</v>
      </c>
      <c r="Y23" s="2144" t="s">
        <v>17338</v>
      </c>
      <c r="Z23" s="3070">
        <v>45435</v>
      </c>
      <c r="AA23" s="3070">
        <v>45439</v>
      </c>
      <c r="AB23" s="3070">
        <v>46529</v>
      </c>
      <c r="AC23" s="3059"/>
      <c r="AD23" s="3059"/>
      <c r="AE23" s="118">
        <v>2</v>
      </c>
    </row>
    <row r="24" spans="1:31" ht="15.75" thickTop="1">
      <c r="A24" s="3070">
        <v>45271</v>
      </c>
      <c r="B24" s="2289" t="s">
        <v>16495</v>
      </c>
      <c r="C24" s="2877" t="s">
        <v>16536</v>
      </c>
      <c r="D24" s="2877" t="s">
        <v>15131</v>
      </c>
      <c r="E24" s="2877" t="s">
        <v>13949</v>
      </c>
      <c r="F24" s="3190" t="s">
        <v>16497</v>
      </c>
      <c r="G24" s="2877">
        <v>4</v>
      </c>
      <c r="H24" s="2289" t="s">
        <v>17529</v>
      </c>
      <c r="I24" s="2289" t="s">
        <v>15369</v>
      </c>
      <c r="J24" s="2877" t="s">
        <v>3438</v>
      </c>
      <c r="K24" s="2877"/>
      <c r="L24" s="2144">
        <v>250008</v>
      </c>
      <c r="M24" s="2877" t="s">
        <v>251</v>
      </c>
      <c r="N24" s="3070">
        <v>45301</v>
      </c>
      <c r="O24" s="3070">
        <v>45373</v>
      </c>
      <c r="P24" s="3070">
        <v>45406</v>
      </c>
      <c r="Q24" s="2289" t="s">
        <v>13761</v>
      </c>
      <c r="R24" s="2877"/>
      <c r="S24" s="2144">
        <v>250008</v>
      </c>
      <c r="T24" s="2144">
        <v>280008.96000000002</v>
      </c>
      <c r="U24" s="2145"/>
      <c r="V24" s="2145"/>
      <c r="W24" s="2145"/>
      <c r="X24" s="2146">
        <v>45406</v>
      </c>
      <c r="Y24" s="2144" t="s">
        <v>17339</v>
      </c>
      <c r="Z24" s="3070">
        <v>45435</v>
      </c>
      <c r="AA24" s="3070">
        <v>45439</v>
      </c>
      <c r="AB24" s="3070">
        <v>46529</v>
      </c>
      <c r="AC24" s="2976"/>
      <c r="AD24" s="2976"/>
      <c r="AE24" s="118">
        <v>1</v>
      </c>
    </row>
    <row r="25" spans="1:31" ht="15.75" thickBot="1">
      <c r="A25" s="2898">
        <v>45271</v>
      </c>
      <c r="B25" s="3118" t="s">
        <v>16496</v>
      </c>
      <c r="C25" s="3119" t="s">
        <v>16536</v>
      </c>
      <c r="D25" s="3119" t="s">
        <v>15131</v>
      </c>
      <c r="E25" s="3119" t="s">
        <v>13949</v>
      </c>
      <c r="F25" s="3151" t="s">
        <v>16497</v>
      </c>
      <c r="G25" s="3150">
        <v>5</v>
      </c>
      <c r="H25" s="3149" t="s">
        <v>16501</v>
      </c>
      <c r="I25" s="3118" t="s">
        <v>242</v>
      </c>
      <c r="J25" s="3119" t="s">
        <v>3438</v>
      </c>
      <c r="K25" s="3150"/>
      <c r="L25" s="2899">
        <v>3096948</v>
      </c>
      <c r="M25" s="3119" t="s">
        <v>251</v>
      </c>
      <c r="N25" s="2898">
        <v>45301</v>
      </c>
      <c r="O25" s="2898">
        <v>45373</v>
      </c>
      <c r="P25" s="2898"/>
      <c r="Q25" s="3155" t="s">
        <v>304</v>
      </c>
      <c r="R25" s="3196" t="s">
        <v>17566</v>
      </c>
      <c r="S25" s="2899"/>
      <c r="T25" s="2899"/>
      <c r="U25" s="3156"/>
      <c r="V25" s="3156"/>
      <c r="W25" s="3156"/>
      <c r="X25" s="3157"/>
      <c r="Y25" s="2899"/>
      <c r="Z25" s="2898"/>
      <c r="AA25" s="3131">
        <v>45427</v>
      </c>
      <c r="AB25" s="3131" t="s">
        <v>17323</v>
      </c>
      <c r="AC25" s="2976"/>
      <c r="AD25" s="2976"/>
    </row>
    <row r="26" spans="1:31" ht="15.75" thickTop="1">
      <c r="A26" s="656">
        <v>45294</v>
      </c>
      <c r="B26" s="3061" t="s">
        <v>16507</v>
      </c>
      <c r="C26" s="3062" t="s">
        <v>58</v>
      </c>
      <c r="D26" s="3062" t="s">
        <v>15443</v>
      </c>
      <c r="E26" s="3062" t="s">
        <v>655</v>
      </c>
      <c r="F26" s="3063" t="s">
        <v>16508</v>
      </c>
      <c r="G26" s="3062"/>
      <c r="H26" s="3061"/>
      <c r="I26" s="3061" t="s">
        <v>242</v>
      </c>
      <c r="J26" s="3062" t="s">
        <v>13157</v>
      </c>
      <c r="K26" s="3062" t="s">
        <v>16509</v>
      </c>
      <c r="L26" s="472">
        <v>440000</v>
      </c>
      <c r="M26" s="3062" t="s">
        <v>112</v>
      </c>
      <c r="N26" s="656">
        <v>45299</v>
      </c>
      <c r="O26" s="656">
        <v>45313</v>
      </c>
      <c r="P26" s="656"/>
      <c r="Q26" s="471" t="s">
        <v>4505</v>
      </c>
      <c r="R26" s="2014" t="s">
        <v>16710</v>
      </c>
      <c r="S26" s="472"/>
      <c r="T26" s="472"/>
      <c r="U26" s="1516"/>
      <c r="V26" s="1516"/>
      <c r="W26" s="1516"/>
      <c r="X26" s="1547"/>
      <c r="Y26" s="472"/>
      <c r="Z26" s="656"/>
      <c r="AA26" s="656">
        <v>45322</v>
      </c>
      <c r="AB26" s="656"/>
      <c r="AC26" s="2976"/>
      <c r="AD26" s="2976"/>
      <c r="AE26" s="118">
        <v>1</v>
      </c>
    </row>
    <row r="27" spans="1:31" ht="30">
      <c r="A27" s="3070">
        <v>45190</v>
      </c>
      <c r="B27" s="2289" t="s">
        <v>16512</v>
      </c>
      <c r="C27" s="2877" t="s">
        <v>16537</v>
      </c>
      <c r="D27" s="2877" t="s">
        <v>13844</v>
      </c>
      <c r="E27" s="2877" t="s">
        <v>13949</v>
      </c>
      <c r="F27" s="2913" t="s">
        <v>16513</v>
      </c>
      <c r="G27" s="2877"/>
      <c r="H27" s="2289"/>
      <c r="I27" s="2289" t="s">
        <v>15369</v>
      </c>
      <c r="J27" s="3115" t="s">
        <v>16604</v>
      </c>
      <c r="K27" s="2877"/>
      <c r="L27" s="2144">
        <v>254733510</v>
      </c>
      <c r="M27" s="2877" t="s">
        <v>251</v>
      </c>
      <c r="N27" s="3070">
        <v>45296</v>
      </c>
      <c r="O27" s="3070">
        <v>45352</v>
      </c>
      <c r="P27" s="3070">
        <v>45387</v>
      </c>
      <c r="Q27" s="2289" t="s">
        <v>1319</v>
      </c>
      <c r="R27" s="2877"/>
      <c r="S27" s="2144">
        <v>104921063.52</v>
      </c>
      <c r="T27" s="2144">
        <v>126954486.84999999</v>
      </c>
      <c r="U27" s="2145"/>
      <c r="V27" s="2145"/>
      <c r="W27" s="2145"/>
      <c r="X27" s="2146">
        <v>45387</v>
      </c>
      <c r="Y27" s="2260" t="s">
        <v>17173</v>
      </c>
      <c r="Z27" s="3070">
        <v>45406</v>
      </c>
      <c r="AA27" s="3070">
        <v>45418</v>
      </c>
      <c r="AB27" s="3070" t="s">
        <v>17341</v>
      </c>
      <c r="AC27" s="2976"/>
      <c r="AD27" s="2976"/>
      <c r="AE27" s="359">
        <v>2</v>
      </c>
    </row>
    <row r="28" spans="1:31">
      <c r="A28" s="3067">
        <v>45296</v>
      </c>
      <c r="B28" s="3068" t="s">
        <v>16516</v>
      </c>
      <c r="C28" s="3069" t="s">
        <v>58</v>
      </c>
      <c r="D28" s="3069" t="s">
        <v>15443</v>
      </c>
      <c r="E28" s="3069" t="s">
        <v>13948</v>
      </c>
      <c r="F28" s="2914" t="s">
        <v>2059</v>
      </c>
      <c r="G28" s="3069"/>
      <c r="H28" s="3068"/>
      <c r="I28" s="3068" t="s">
        <v>242</v>
      </c>
      <c r="J28" s="3069" t="s">
        <v>2060</v>
      </c>
      <c r="K28" s="3069" t="s">
        <v>16517</v>
      </c>
      <c r="L28" s="2128">
        <v>1320000</v>
      </c>
      <c r="M28" s="3069" t="s">
        <v>251</v>
      </c>
      <c r="N28" s="3067">
        <v>45301</v>
      </c>
      <c r="O28" s="3067">
        <v>45337</v>
      </c>
      <c r="P28" s="3067"/>
      <c r="Q28" s="2136" t="s">
        <v>4505</v>
      </c>
      <c r="R28" s="2275" t="s">
        <v>17269</v>
      </c>
      <c r="S28" s="2128"/>
      <c r="T28" s="2128"/>
      <c r="U28" s="2129"/>
      <c r="V28" s="2129"/>
      <c r="W28" s="2129"/>
      <c r="X28" s="2281"/>
      <c r="Y28" s="2128"/>
      <c r="Z28" s="3067"/>
      <c r="AA28" s="3067">
        <v>45394</v>
      </c>
      <c r="AB28" s="3067" t="s">
        <v>17120</v>
      </c>
      <c r="AC28" s="3065"/>
      <c r="AD28" s="3065"/>
      <c r="AE28" s="118">
        <v>2</v>
      </c>
    </row>
    <row r="29" spans="1:31" ht="30">
      <c r="A29" s="2564">
        <v>45296</v>
      </c>
      <c r="B29" s="2664" t="s">
        <v>16519</v>
      </c>
      <c r="C29" s="2779" t="s">
        <v>58</v>
      </c>
      <c r="D29" s="2779" t="s">
        <v>15443</v>
      </c>
      <c r="E29" s="2779" t="s">
        <v>13951</v>
      </c>
      <c r="F29" s="2780" t="s">
        <v>3955</v>
      </c>
      <c r="G29" s="2779"/>
      <c r="H29" s="2664"/>
      <c r="I29" s="2664" t="s">
        <v>15369</v>
      </c>
      <c r="J29" s="2779" t="s">
        <v>16520</v>
      </c>
      <c r="K29" s="2664" t="s">
        <v>16521</v>
      </c>
      <c r="L29" s="2607">
        <v>408000</v>
      </c>
      <c r="M29" s="2779" t="s">
        <v>112</v>
      </c>
      <c r="N29" s="2564">
        <v>45301</v>
      </c>
      <c r="O29" s="2564">
        <v>45313</v>
      </c>
      <c r="P29" s="2564">
        <v>45324</v>
      </c>
      <c r="Q29" s="2664" t="s">
        <v>11876</v>
      </c>
      <c r="R29" s="2779"/>
      <c r="S29" s="2607">
        <v>405600</v>
      </c>
      <c r="T29" s="2607">
        <v>490776</v>
      </c>
      <c r="U29" s="2781"/>
      <c r="V29" s="2781"/>
      <c r="W29" s="2781"/>
      <c r="X29" s="2782">
        <v>45324</v>
      </c>
      <c r="Y29" s="2876" t="s">
        <v>16723</v>
      </c>
      <c r="Z29" s="2564">
        <v>45335</v>
      </c>
      <c r="AA29" s="2564">
        <v>45335</v>
      </c>
      <c r="AB29" s="2564">
        <v>45419</v>
      </c>
      <c r="AC29" s="3066"/>
      <c r="AD29" s="3066"/>
      <c r="AE29" s="118">
        <v>1</v>
      </c>
    </row>
    <row r="30" spans="1:31">
      <c r="A30" s="3067">
        <v>45296</v>
      </c>
      <c r="B30" s="3068" t="s">
        <v>16522</v>
      </c>
      <c r="C30" s="3069" t="s">
        <v>58</v>
      </c>
      <c r="D30" s="3069" t="s">
        <v>15443</v>
      </c>
      <c r="E30" s="3069" t="s">
        <v>655</v>
      </c>
      <c r="F30" s="2914" t="s">
        <v>10288</v>
      </c>
      <c r="G30" s="3069"/>
      <c r="H30" s="3068"/>
      <c r="I30" s="3068" t="s">
        <v>242</v>
      </c>
      <c r="J30" s="3069" t="s">
        <v>505</v>
      </c>
      <c r="K30" s="3069" t="s">
        <v>16523</v>
      </c>
      <c r="L30" s="2128">
        <v>1496528</v>
      </c>
      <c r="M30" s="3069" t="s">
        <v>112</v>
      </c>
      <c r="N30" s="3067">
        <v>45301</v>
      </c>
      <c r="O30" s="3067">
        <v>45315</v>
      </c>
      <c r="P30" s="3067"/>
      <c r="Q30" s="2136" t="s">
        <v>242</v>
      </c>
      <c r="R30" s="2275" t="s">
        <v>16834</v>
      </c>
      <c r="S30" s="2128"/>
      <c r="T30" s="2128"/>
      <c r="U30" s="2129"/>
      <c r="V30" s="2129"/>
      <c r="W30" s="2129"/>
      <c r="X30" s="2281"/>
      <c r="Y30" s="2128"/>
      <c r="Z30" s="3067"/>
      <c r="AA30" s="3067">
        <v>45337</v>
      </c>
      <c r="AB30" s="3067"/>
      <c r="AC30" s="3065"/>
      <c r="AD30" s="3065"/>
      <c r="AE30" s="118">
        <v>2</v>
      </c>
    </row>
    <row r="31" spans="1:31" ht="30">
      <c r="A31" s="3070">
        <v>45296</v>
      </c>
      <c r="B31" s="2289" t="s">
        <v>16526</v>
      </c>
      <c r="C31" s="2877" t="s">
        <v>58</v>
      </c>
      <c r="D31" s="2877" t="s">
        <v>15443</v>
      </c>
      <c r="E31" s="2877" t="s">
        <v>13951</v>
      </c>
      <c r="F31" s="2913" t="s">
        <v>16527</v>
      </c>
      <c r="G31" s="2877"/>
      <c r="H31" s="2289"/>
      <c r="I31" s="2289" t="s">
        <v>15369</v>
      </c>
      <c r="J31" s="2877" t="s">
        <v>1294</v>
      </c>
      <c r="K31" s="2877" t="s">
        <v>16528</v>
      </c>
      <c r="L31" s="2144">
        <v>810000</v>
      </c>
      <c r="M31" s="2877" t="s">
        <v>112</v>
      </c>
      <c r="N31" s="3070">
        <v>45301</v>
      </c>
      <c r="O31" s="3070">
        <v>45313</v>
      </c>
      <c r="P31" s="3070">
        <v>45316</v>
      </c>
      <c r="Q31" s="2289" t="s">
        <v>12177</v>
      </c>
      <c r="R31" s="2877"/>
      <c r="S31" s="2144">
        <v>730800</v>
      </c>
      <c r="T31" s="2144">
        <v>884268</v>
      </c>
      <c r="U31" s="2145"/>
      <c r="V31" s="2145"/>
      <c r="W31" s="2145"/>
      <c r="X31" s="2146">
        <v>45316</v>
      </c>
      <c r="Y31" s="2260" t="s">
        <v>16665</v>
      </c>
      <c r="Z31" s="3070">
        <v>45322</v>
      </c>
      <c r="AA31" s="3070">
        <v>45323</v>
      </c>
      <c r="AB31" s="3070">
        <v>45336</v>
      </c>
      <c r="AC31" s="2976"/>
      <c r="AD31" s="2976"/>
      <c r="AE31" s="118">
        <v>1</v>
      </c>
    </row>
    <row r="32" spans="1:31" ht="30.75" thickBot="1">
      <c r="A32" s="3070">
        <v>45646</v>
      </c>
      <c r="B32" s="2289" t="s">
        <v>16530</v>
      </c>
      <c r="C32" s="2877" t="s">
        <v>52</v>
      </c>
      <c r="D32" s="2877" t="s">
        <v>5894</v>
      </c>
      <c r="E32" s="2877" t="s">
        <v>13950</v>
      </c>
      <c r="F32" s="2913" t="s">
        <v>16531</v>
      </c>
      <c r="G32" s="2877"/>
      <c r="H32" s="2289" t="s">
        <v>16532</v>
      </c>
      <c r="I32" s="2289" t="s">
        <v>15369</v>
      </c>
      <c r="J32" s="3115" t="s">
        <v>16605</v>
      </c>
      <c r="K32" s="2877"/>
      <c r="L32" s="2144">
        <v>325000000</v>
      </c>
      <c r="M32" s="2877" t="s">
        <v>251</v>
      </c>
      <c r="N32" s="3070">
        <v>45349</v>
      </c>
      <c r="O32" s="3070">
        <v>45471</v>
      </c>
      <c r="P32" s="3070">
        <v>45477</v>
      </c>
      <c r="Q32" s="3253" t="s">
        <v>12041</v>
      </c>
      <c r="R32" s="2877"/>
      <c r="S32" s="2144">
        <v>226355651.81999999</v>
      </c>
      <c r="T32" s="2144">
        <v>273890338.69999999</v>
      </c>
      <c r="U32" s="2145"/>
      <c r="V32" s="2145"/>
      <c r="W32" s="2145"/>
      <c r="X32" s="2146">
        <v>45477</v>
      </c>
      <c r="Y32" s="2144" t="s">
        <v>17833</v>
      </c>
      <c r="Z32" s="3070">
        <v>45520</v>
      </c>
      <c r="AA32" s="3070">
        <v>45527</v>
      </c>
      <c r="AB32" s="2289"/>
      <c r="AC32" s="3059"/>
      <c r="AD32" s="3059"/>
      <c r="AE32" s="118">
        <v>5</v>
      </c>
    </row>
    <row r="33" spans="1:32" ht="15.75" thickTop="1">
      <c r="A33" s="3070">
        <v>45300</v>
      </c>
      <c r="B33" s="2289" t="s">
        <v>16535</v>
      </c>
      <c r="C33" s="2877" t="s">
        <v>16536</v>
      </c>
      <c r="D33" s="2877" t="s">
        <v>15129</v>
      </c>
      <c r="E33" s="2877" t="s">
        <v>15813</v>
      </c>
      <c r="F33" s="2913" t="s">
        <v>16538</v>
      </c>
      <c r="G33" s="2877"/>
      <c r="H33" s="2289"/>
      <c r="I33" s="2289" t="s">
        <v>15369</v>
      </c>
      <c r="J33" s="2877" t="s">
        <v>814</v>
      </c>
      <c r="K33" s="2877"/>
      <c r="L33" s="2144">
        <v>6161766</v>
      </c>
      <c r="M33" s="2877" t="s">
        <v>251</v>
      </c>
      <c r="N33" s="3070">
        <v>45306</v>
      </c>
      <c r="O33" s="3070">
        <v>45341</v>
      </c>
      <c r="P33" s="3070">
        <v>45377</v>
      </c>
      <c r="Q33" s="2289" t="s">
        <v>576</v>
      </c>
      <c r="R33" s="2877"/>
      <c r="S33" s="2144">
        <v>6068683.5</v>
      </c>
      <c r="T33" s="2144">
        <v>6796925.5199999996</v>
      </c>
      <c r="U33" s="2145"/>
      <c r="V33" s="2145"/>
      <c r="W33" s="2145"/>
      <c r="X33" s="2146">
        <v>45377</v>
      </c>
      <c r="Y33" s="2144" t="s">
        <v>17100</v>
      </c>
      <c r="Z33" s="3070">
        <v>45404</v>
      </c>
      <c r="AA33" s="3070">
        <v>45405</v>
      </c>
      <c r="AB33" s="3070">
        <v>46498</v>
      </c>
      <c r="AC33" s="3058"/>
      <c r="AD33" s="3058"/>
      <c r="AE33" s="118">
        <v>5</v>
      </c>
    </row>
    <row r="34" spans="1:32" ht="15.75" thickBot="1">
      <c r="A34" s="3070">
        <v>45300</v>
      </c>
      <c r="B34" s="2289" t="s">
        <v>16539</v>
      </c>
      <c r="C34" s="2877" t="s">
        <v>16536</v>
      </c>
      <c r="D34" s="2877" t="s">
        <v>15129</v>
      </c>
      <c r="E34" s="2877" t="s">
        <v>15813</v>
      </c>
      <c r="F34" s="2913" t="s">
        <v>16540</v>
      </c>
      <c r="G34" s="2877"/>
      <c r="H34" s="2289"/>
      <c r="I34" s="2289" t="s">
        <v>15369</v>
      </c>
      <c r="J34" s="2877" t="s">
        <v>93</v>
      </c>
      <c r="K34" s="2877"/>
      <c r="L34" s="2144">
        <v>1503046</v>
      </c>
      <c r="M34" s="2877" t="s">
        <v>112</v>
      </c>
      <c r="N34" s="3070">
        <v>45308</v>
      </c>
      <c r="O34" s="3070">
        <v>45330</v>
      </c>
      <c r="P34" s="3070">
        <v>45349</v>
      </c>
      <c r="Q34" s="2289" t="s">
        <v>6071</v>
      </c>
      <c r="R34" s="2877"/>
      <c r="S34" s="2144">
        <v>1452789</v>
      </c>
      <c r="T34" s="2144">
        <v>1627123.68</v>
      </c>
      <c r="U34" s="2145"/>
      <c r="V34" s="2145"/>
      <c r="W34" s="2145"/>
      <c r="X34" s="2146">
        <v>45349</v>
      </c>
      <c r="Y34" s="2144" t="s">
        <v>16893</v>
      </c>
      <c r="Z34" s="3070">
        <v>45364</v>
      </c>
      <c r="AA34" s="3070">
        <v>45365</v>
      </c>
      <c r="AB34" s="3070">
        <v>46510</v>
      </c>
      <c r="AC34" s="2976"/>
      <c r="AD34" s="2976"/>
      <c r="AE34" s="118">
        <v>1</v>
      </c>
      <c r="AF34" s="118" t="s">
        <v>16867</v>
      </c>
    </row>
    <row r="35" spans="1:32" ht="15.75" thickTop="1">
      <c r="A35" s="3070">
        <v>45300</v>
      </c>
      <c r="B35" s="2289" t="s">
        <v>16541</v>
      </c>
      <c r="C35" s="2877" t="s">
        <v>16536</v>
      </c>
      <c r="D35" s="2877" t="s">
        <v>15129</v>
      </c>
      <c r="E35" s="2877" t="s">
        <v>15813</v>
      </c>
      <c r="F35" s="2913" t="s">
        <v>16542</v>
      </c>
      <c r="G35" s="2877"/>
      <c r="H35" s="2664"/>
      <c r="I35" s="2289" t="s">
        <v>15369</v>
      </c>
      <c r="J35" s="2877" t="s">
        <v>7938</v>
      </c>
      <c r="K35" s="2877"/>
      <c r="L35" s="2144">
        <v>1270265</v>
      </c>
      <c r="M35" s="2877" t="s">
        <v>112</v>
      </c>
      <c r="N35" s="3070">
        <v>45308</v>
      </c>
      <c r="O35" s="3070">
        <v>45322</v>
      </c>
      <c r="P35" s="3070">
        <v>45343</v>
      </c>
      <c r="Q35" s="2289" t="s">
        <v>576</v>
      </c>
      <c r="R35" s="2877"/>
      <c r="S35" s="2144">
        <v>1120072.8</v>
      </c>
      <c r="T35" s="2144">
        <v>1254481.54</v>
      </c>
      <c r="U35" s="2145"/>
      <c r="V35" s="2145"/>
      <c r="W35" s="2145"/>
      <c r="X35" s="2146">
        <v>45343</v>
      </c>
      <c r="Y35" s="2144" t="s">
        <v>16850</v>
      </c>
      <c r="Z35" s="3070">
        <v>45350</v>
      </c>
      <c r="AA35" s="3070">
        <v>45352</v>
      </c>
      <c r="AB35" s="3070">
        <v>46547</v>
      </c>
      <c r="AC35" s="3058"/>
      <c r="AD35" s="3058"/>
      <c r="AE35" s="118">
        <v>1</v>
      </c>
      <c r="AF35" s="118" t="s">
        <v>16948</v>
      </c>
    </row>
    <row r="36" spans="1:32">
      <c r="A36" s="3067">
        <v>45300</v>
      </c>
      <c r="B36" s="3068" t="s">
        <v>16543</v>
      </c>
      <c r="C36" s="3069" t="s">
        <v>16536</v>
      </c>
      <c r="D36" s="3069" t="s">
        <v>15129</v>
      </c>
      <c r="E36" s="3069" t="s">
        <v>15813</v>
      </c>
      <c r="F36" s="2914" t="s">
        <v>16544</v>
      </c>
      <c r="G36" s="3069"/>
      <c r="H36" s="3068"/>
      <c r="I36" s="3068" t="s">
        <v>242</v>
      </c>
      <c r="J36" s="3069" t="s">
        <v>93</v>
      </c>
      <c r="K36" s="3069"/>
      <c r="L36" s="2128">
        <v>1190600</v>
      </c>
      <c r="M36" s="3069" t="s">
        <v>112</v>
      </c>
      <c r="N36" s="3067">
        <v>45303</v>
      </c>
      <c r="O36" s="3067">
        <v>45322</v>
      </c>
      <c r="P36" s="3067"/>
      <c r="Q36" s="2136" t="s">
        <v>304</v>
      </c>
      <c r="R36" s="2275" t="s">
        <v>17591</v>
      </c>
      <c r="S36" s="2128"/>
      <c r="T36" s="2128"/>
      <c r="U36" s="2094"/>
      <c r="V36" s="2094"/>
      <c r="W36" s="2094"/>
      <c r="X36" s="2281"/>
      <c r="Y36" s="2128"/>
      <c r="Z36" s="3067"/>
      <c r="AA36" s="3067">
        <v>45322</v>
      </c>
      <c r="AB36" s="3067"/>
      <c r="AC36" s="2976"/>
      <c r="AD36" s="2976"/>
    </row>
    <row r="37" spans="1:32" ht="30.75" thickBot="1">
      <c r="A37" s="612">
        <v>45301</v>
      </c>
      <c r="B37" s="2911" t="s">
        <v>16549</v>
      </c>
      <c r="C37" s="609" t="s">
        <v>58</v>
      </c>
      <c r="D37" s="609" t="s">
        <v>15443</v>
      </c>
      <c r="E37" s="609" t="s">
        <v>655</v>
      </c>
      <c r="F37" s="610" t="s">
        <v>5941</v>
      </c>
      <c r="G37" s="609"/>
      <c r="H37" s="2911"/>
      <c r="I37" s="2911" t="s">
        <v>15369</v>
      </c>
      <c r="J37" s="609" t="s">
        <v>15186</v>
      </c>
      <c r="K37" s="609" t="s">
        <v>16550</v>
      </c>
      <c r="L37" s="417">
        <v>930000</v>
      </c>
      <c r="M37" s="609" t="s">
        <v>112</v>
      </c>
      <c r="N37" s="612">
        <v>45306</v>
      </c>
      <c r="O37" s="612">
        <v>45317</v>
      </c>
      <c r="P37" s="612">
        <v>45336</v>
      </c>
      <c r="Q37" s="2911" t="s">
        <v>16718</v>
      </c>
      <c r="R37" s="609"/>
      <c r="S37" s="417">
        <v>900400</v>
      </c>
      <c r="T37" s="417">
        <v>1089484</v>
      </c>
      <c r="U37" s="1480"/>
      <c r="V37" s="1480"/>
      <c r="W37" s="1480"/>
      <c r="X37" s="513">
        <v>45336</v>
      </c>
      <c r="Y37" s="1553" t="s">
        <v>16787</v>
      </c>
      <c r="Z37" s="612">
        <v>45345</v>
      </c>
      <c r="AA37" s="612">
        <v>45345</v>
      </c>
      <c r="AB37" s="612">
        <v>45405</v>
      </c>
      <c r="AC37" s="3059"/>
      <c r="AD37" s="3059"/>
      <c r="AE37" s="118">
        <v>1</v>
      </c>
    </row>
    <row r="38" spans="1:32" ht="15.75" thickTop="1">
      <c r="A38" s="456">
        <v>45300</v>
      </c>
      <c r="B38" s="2292" t="s">
        <v>16553</v>
      </c>
      <c r="C38" s="943" t="s">
        <v>16536</v>
      </c>
      <c r="D38" s="943" t="s">
        <v>15131</v>
      </c>
      <c r="E38" s="943" t="s">
        <v>13949</v>
      </c>
      <c r="F38" s="713" t="s">
        <v>16554</v>
      </c>
      <c r="G38" s="943">
        <v>1</v>
      </c>
      <c r="H38" s="2292" t="s">
        <v>16556</v>
      </c>
      <c r="I38" s="2292" t="s">
        <v>15369</v>
      </c>
      <c r="J38" s="943" t="s">
        <v>3437</v>
      </c>
      <c r="K38" s="943"/>
      <c r="L38" s="457">
        <v>33050425</v>
      </c>
      <c r="M38" s="943" t="s">
        <v>251</v>
      </c>
      <c r="N38" s="456">
        <v>45309</v>
      </c>
      <c r="O38" s="456">
        <v>45344</v>
      </c>
      <c r="P38" s="456">
        <v>45370</v>
      </c>
      <c r="Q38" s="2292" t="s">
        <v>578</v>
      </c>
      <c r="R38" s="943"/>
      <c r="S38" s="457">
        <v>32761504.59</v>
      </c>
      <c r="T38" s="457">
        <v>36692885.140000001</v>
      </c>
      <c r="U38" s="1474"/>
      <c r="V38" s="1474"/>
      <c r="W38" s="1474"/>
      <c r="X38" s="570">
        <v>45370</v>
      </c>
      <c r="Y38" s="457" t="s">
        <v>17026</v>
      </c>
      <c r="Z38" s="456">
        <v>45386</v>
      </c>
      <c r="AA38" s="456">
        <v>45390</v>
      </c>
      <c r="AB38" s="456">
        <v>46553</v>
      </c>
      <c r="AC38" s="3058"/>
      <c r="AD38" s="3058"/>
      <c r="AE38" s="118">
        <v>1</v>
      </c>
      <c r="AF38" s="118" t="s">
        <v>17171</v>
      </c>
    </row>
    <row r="39" spans="1:32" ht="15.75" thickBot="1">
      <c r="A39" s="3109">
        <v>45300</v>
      </c>
      <c r="B39" s="2291" t="s">
        <v>16555</v>
      </c>
      <c r="C39" s="2290" t="s">
        <v>16536</v>
      </c>
      <c r="D39" s="2290" t="s">
        <v>15131</v>
      </c>
      <c r="E39" s="2290" t="s">
        <v>13949</v>
      </c>
      <c r="F39" s="2912" t="s">
        <v>16554</v>
      </c>
      <c r="G39" s="2290">
        <v>2</v>
      </c>
      <c r="H39" s="2291" t="s">
        <v>8470</v>
      </c>
      <c r="I39" s="2291" t="s">
        <v>15369</v>
      </c>
      <c r="J39" s="2290" t="s">
        <v>3437</v>
      </c>
      <c r="K39" s="2290"/>
      <c r="L39" s="2121">
        <v>13402526</v>
      </c>
      <c r="M39" s="2290" t="s">
        <v>251</v>
      </c>
      <c r="N39" s="3109">
        <v>45309</v>
      </c>
      <c r="O39" s="3109">
        <v>45344</v>
      </c>
      <c r="P39" s="3109">
        <v>45370</v>
      </c>
      <c r="Q39" s="2291" t="s">
        <v>13761</v>
      </c>
      <c r="R39" s="2290"/>
      <c r="S39" s="2121">
        <v>13672645.35</v>
      </c>
      <c r="T39" s="2121">
        <v>15313362.789999999</v>
      </c>
      <c r="U39" s="2122"/>
      <c r="V39" s="2122"/>
      <c r="W39" s="2122"/>
      <c r="X39" s="2123">
        <v>45370</v>
      </c>
      <c r="Y39" s="2121" t="s">
        <v>17027</v>
      </c>
      <c r="Z39" s="3109">
        <v>45386</v>
      </c>
      <c r="AA39" s="3109">
        <v>45390</v>
      </c>
      <c r="AB39" s="3109">
        <v>46544</v>
      </c>
      <c r="AC39" s="2976"/>
      <c r="AD39" s="2976"/>
      <c r="AE39" s="118">
        <v>1</v>
      </c>
      <c r="AF39" s="118" t="s">
        <v>17172</v>
      </c>
    </row>
    <row r="40" spans="1:32" ht="15.75" thickTop="1">
      <c r="A40" s="456">
        <v>45300</v>
      </c>
      <c r="B40" s="2292" t="s">
        <v>16557</v>
      </c>
      <c r="C40" s="943" t="s">
        <v>16536</v>
      </c>
      <c r="D40" s="943" t="s">
        <v>15131</v>
      </c>
      <c r="E40" s="943" t="s">
        <v>13949</v>
      </c>
      <c r="F40" s="713" t="s">
        <v>16579</v>
      </c>
      <c r="G40" s="943"/>
      <c r="H40" s="2292"/>
      <c r="I40" s="2292" t="s">
        <v>15369</v>
      </c>
      <c r="J40" s="943" t="s">
        <v>8875</v>
      </c>
      <c r="K40" s="943"/>
      <c r="L40" s="457">
        <v>53438862</v>
      </c>
      <c r="M40" s="943" t="s">
        <v>251</v>
      </c>
      <c r="N40" s="456">
        <v>45307</v>
      </c>
      <c r="O40" s="456">
        <v>45343</v>
      </c>
      <c r="P40" s="456">
        <v>45362</v>
      </c>
      <c r="Q40" s="2292" t="s">
        <v>16982</v>
      </c>
      <c r="R40" s="943"/>
      <c r="S40" s="457">
        <v>53438859.93</v>
      </c>
      <c r="T40" s="457">
        <v>59851523.119999997</v>
      </c>
      <c r="U40" s="1474"/>
      <c r="V40" s="1474"/>
      <c r="W40" s="1474"/>
      <c r="X40" s="570">
        <v>45362</v>
      </c>
      <c r="Y40" s="457" t="s">
        <v>16981</v>
      </c>
      <c r="Z40" s="456">
        <v>45370</v>
      </c>
      <c r="AA40" s="456">
        <v>45371</v>
      </c>
      <c r="AB40" s="456">
        <v>46588</v>
      </c>
      <c r="AC40" s="2976"/>
      <c r="AD40" s="2976"/>
      <c r="AE40" s="118">
        <v>1</v>
      </c>
      <c r="AF40" s="118" t="s">
        <v>17032</v>
      </c>
    </row>
    <row r="41" spans="1:32">
      <c r="A41" s="252">
        <v>45301</v>
      </c>
      <c r="B41" s="3110" t="s">
        <v>16558</v>
      </c>
      <c r="C41" s="363" t="s">
        <v>16559</v>
      </c>
      <c r="D41" s="363" t="s">
        <v>9080</v>
      </c>
      <c r="E41" s="363" t="s">
        <v>13951</v>
      </c>
      <c r="F41" s="362" t="s">
        <v>13618</v>
      </c>
      <c r="G41" s="363"/>
      <c r="H41" s="3110"/>
      <c r="I41" s="3110" t="s">
        <v>15369</v>
      </c>
      <c r="J41" s="363" t="s">
        <v>13619</v>
      </c>
      <c r="K41" s="363"/>
      <c r="L41" s="364">
        <v>1324225.1399999999</v>
      </c>
      <c r="M41" s="363" t="s">
        <v>112</v>
      </c>
      <c r="N41" s="252">
        <v>45303</v>
      </c>
      <c r="O41" s="252">
        <v>45314</v>
      </c>
      <c r="P41" s="252">
        <v>45329</v>
      </c>
      <c r="Q41" s="3110" t="s">
        <v>16766</v>
      </c>
      <c r="R41" s="363"/>
      <c r="S41" s="364">
        <v>1267536.77</v>
      </c>
      <c r="T41" s="364">
        <v>1533719.5</v>
      </c>
      <c r="U41" s="1473"/>
      <c r="V41" s="1473"/>
      <c r="W41" s="1473"/>
      <c r="X41" s="681">
        <v>45329</v>
      </c>
      <c r="Y41" s="364" t="s">
        <v>16810</v>
      </c>
      <c r="Z41" s="252">
        <v>45342</v>
      </c>
      <c r="AA41" s="252">
        <v>45342</v>
      </c>
      <c r="AB41" s="252">
        <v>45707</v>
      </c>
      <c r="AC41" s="3078"/>
      <c r="AD41" s="3078"/>
      <c r="AE41" s="118">
        <v>4</v>
      </c>
    </row>
    <row r="42" spans="1:32">
      <c r="A42" s="3067">
        <v>45251</v>
      </c>
      <c r="B42" s="3068" t="s">
        <v>16562</v>
      </c>
      <c r="C42" s="3069" t="s">
        <v>58</v>
      </c>
      <c r="D42" s="3069" t="s">
        <v>15443</v>
      </c>
      <c r="E42" s="3069" t="s">
        <v>13950</v>
      </c>
      <c r="F42" s="2914" t="s">
        <v>16563</v>
      </c>
      <c r="G42" s="3069"/>
      <c r="H42" s="3068" t="s">
        <v>16565</v>
      </c>
      <c r="I42" s="3068" t="s">
        <v>242</v>
      </c>
      <c r="J42" s="3069" t="s">
        <v>8917</v>
      </c>
      <c r="K42" s="3069" t="s">
        <v>16303</v>
      </c>
      <c r="L42" s="2128">
        <v>51640000</v>
      </c>
      <c r="M42" s="3069" t="s">
        <v>251</v>
      </c>
      <c r="N42" s="3067">
        <v>45313</v>
      </c>
      <c r="O42" s="3067">
        <v>45366</v>
      </c>
      <c r="P42" s="3067"/>
      <c r="Q42" s="2136" t="s">
        <v>4505</v>
      </c>
      <c r="R42" s="2275" t="s">
        <v>17381</v>
      </c>
      <c r="S42" s="2128"/>
      <c r="T42" s="2128"/>
      <c r="U42" s="2129"/>
      <c r="V42" s="2129"/>
      <c r="W42" s="2129"/>
      <c r="X42" s="2281"/>
      <c r="Y42" s="2128"/>
      <c r="Z42" s="3067"/>
      <c r="AA42" s="3067">
        <v>45429</v>
      </c>
      <c r="AB42" s="3067" t="s">
        <v>17324</v>
      </c>
      <c r="AC42" s="3065"/>
      <c r="AD42" s="3065"/>
      <c r="AE42" s="118">
        <v>1</v>
      </c>
    </row>
    <row r="43" spans="1:32" ht="30.75" thickBot="1">
      <c r="A43" s="3070">
        <v>45302</v>
      </c>
      <c r="B43" s="2289" t="s">
        <v>16569</v>
      </c>
      <c r="C43" s="2877" t="s">
        <v>2434</v>
      </c>
      <c r="D43" s="2877" t="s">
        <v>3204</v>
      </c>
      <c r="E43" s="2877" t="s">
        <v>655</v>
      </c>
      <c r="F43" s="2913" t="s">
        <v>16566</v>
      </c>
      <c r="G43" s="2877"/>
      <c r="H43" s="2289"/>
      <c r="I43" s="2289" t="s">
        <v>15369</v>
      </c>
      <c r="J43" s="2877" t="s">
        <v>7092</v>
      </c>
      <c r="K43" s="2877"/>
      <c r="L43" s="2144">
        <v>604000</v>
      </c>
      <c r="M43" s="2877" t="s">
        <v>112</v>
      </c>
      <c r="N43" s="3070">
        <v>45303</v>
      </c>
      <c r="O43" s="3070">
        <v>45320</v>
      </c>
      <c r="P43" s="3070">
        <v>45323</v>
      </c>
      <c r="Q43" s="2289" t="s">
        <v>11196</v>
      </c>
      <c r="R43" s="2877"/>
      <c r="S43" s="2144">
        <v>766400</v>
      </c>
      <c r="T43" s="2144">
        <v>858368</v>
      </c>
      <c r="U43" s="2145"/>
      <c r="V43" s="2145"/>
      <c r="W43" s="2145"/>
      <c r="X43" s="2146">
        <v>45323</v>
      </c>
      <c r="Y43" s="2260" t="s">
        <v>16720</v>
      </c>
      <c r="Z43" s="3070">
        <v>45331</v>
      </c>
      <c r="AA43" s="3070">
        <v>45334</v>
      </c>
      <c r="AB43" s="3070">
        <v>46861</v>
      </c>
      <c r="AC43" s="3059"/>
      <c r="AD43" s="3059"/>
      <c r="AE43" s="118">
        <v>1</v>
      </c>
      <c r="AF43" s="118" t="s">
        <v>16770</v>
      </c>
    </row>
    <row r="44" spans="1:32" ht="15.75" thickTop="1">
      <c r="A44" s="2564">
        <v>45302</v>
      </c>
      <c r="B44" s="2664" t="s">
        <v>16570</v>
      </c>
      <c r="C44" s="2779" t="s">
        <v>2434</v>
      </c>
      <c r="D44" s="2779" t="s">
        <v>219</v>
      </c>
      <c r="E44" s="2779" t="s">
        <v>13951</v>
      </c>
      <c r="F44" s="2780" t="s">
        <v>14731</v>
      </c>
      <c r="G44" s="2779"/>
      <c r="H44" s="2664"/>
      <c r="I44" s="2289" t="s">
        <v>15369</v>
      </c>
      <c r="J44" s="2779" t="s">
        <v>675</v>
      </c>
      <c r="K44" s="2779"/>
      <c r="L44" s="2607">
        <v>531000</v>
      </c>
      <c r="M44" s="2779" t="s">
        <v>112</v>
      </c>
      <c r="N44" s="2564">
        <v>45308</v>
      </c>
      <c r="O44" s="2564">
        <v>45320</v>
      </c>
      <c r="P44" s="2564">
        <v>45324</v>
      </c>
      <c r="Q44" s="2664" t="s">
        <v>14729</v>
      </c>
      <c r="R44" s="2779"/>
      <c r="S44" s="2607">
        <v>531000</v>
      </c>
      <c r="T44" s="2607">
        <v>594720</v>
      </c>
      <c r="U44" s="2781"/>
      <c r="V44" s="2781"/>
      <c r="W44" s="2781"/>
      <c r="X44" s="2782">
        <v>45324</v>
      </c>
      <c r="Y44" s="2876" t="s">
        <v>16722</v>
      </c>
      <c r="Z44" s="2564">
        <v>45331</v>
      </c>
      <c r="AA44" s="2564">
        <v>45334</v>
      </c>
      <c r="AB44" s="2564">
        <v>46500</v>
      </c>
      <c r="AC44" s="2970"/>
      <c r="AD44" s="2970"/>
      <c r="AE44" s="118">
        <v>1</v>
      </c>
      <c r="AF44" s="118" t="s">
        <v>16774</v>
      </c>
    </row>
    <row r="45" spans="1:32" ht="45.75" thickBot="1">
      <c r="A45" s="612">
        <v>45302</v>
      </c>
      <c r="B45" s="2911" t="s">
        <v>16580</v>
      </c>
      <c r="C45" s="609" t="s">
        <v>58</v>
      </c>
      <c r="D45" s="609" t="s">
        <v>15443</v>
      </c>
      <c r="E45" s="609" t="s">
        <v>13950</v>
      </c>
      <c r="F45" s="610" t="s">
        <v>16581</v>
      </c>
      <c r="G45" s="609"/>
      <c r="H45" s="2911"/>
      <c r="I45" s="2911" t="s">
        <v>15369</v>
      </c>
      <c r="J45" s="609" t="s">
        <v>8415</v>
      </c>
      <c r="K45" s="609" t="s">
        <v>16582</v>
      </c>
      <c r="L45" s="417">
        <v>3075000</v>
      </c>
      <c r="M45" s="609" t="s">
        <v>216</v>
      </c>
      <c r="N45" s="612">
        <v>45341</v>
      </c>
      <c r="O45" s="612">
        <v>45358</v>
      </c>
      <c r="P45" s="612">
        <v>45387</v>
      </c>
      <c r="Q45" s="2911" t="s">
        <v>2776</v>
      </c>
      <c r="R45" s="609"/>
      <c r="S45" s="417">
        <v>2924142.8</v>
      </c>
      <c r="T45" s="417">
        <v>3322261</v>
      </c>
      <c r="U45" s="1480"/>
      <c r="V45" s="1480"/>
      <c r="W45" s="1480"/>
      <c r="X45" s="513">
        <v>45387</v>
      </c>
      <c r="Y45" s="1553" t="s">
        <v>17170</v>
      </c>
      <c r="Z45" s="612">
        <v>45400</v>
      </c>
      <c r="AA45" s="612">
        <v>45415</v>
      </c>
      <c r="AB45" s="612">
        <v>45430</v>
      </c>
      <c r="AC45" s="2976"/>
      <c r="AD45" s="2976"/>
      <c r="AE45" s="118">
        <v>1</v>
      </c>
    </row>
    <row r="46" spans="1:32" ht="30.75" thickTop="1">
      <c r="A46" s="456">
        <v>45307</v>
      </c>
      <c r="B46" s="2292" t="s">
        <v>16583</v>
      </c>
      <c r="C46" s="943" t="s">
        <v>58</v>
      </c>
      <c r="D46" s="943" t="s">
        <v>15443</v>
      </c>
      <c r="E46" s="943" t="s">
        <v>13948</v>
      </c>
      <c r="F46" s="713" t="s">
        <v>4222</v>
      </c>
      <c r="G46" s="943">
        <v>1</v>
      </c>
      <c r="H46" s="2292" t="s">
        <v>16584</v>
      </c>
      <c r="I46" s="2292" t="s">
        <v>15369</v>
      </c>
      <c r="J46" s="943" t="s">
        <v>421</v>
      </c>
      <c r="K46" s="943" t="s">
        <v>16585</v>
      </c>
      <c r="L46" s="457">
        <v>410000</v>
      </c>
      <c r="M46" s="943" t="s">
        <v>251</v>
      </c>
      <c r="N46" s="456">
        <v>45314</v>
      </c>
      <c r="O46" s="456">
        <v>45350</v>
      </c>
      <c r="P46" s="456">
        <v>45393</v>
      </c>
      <c r="Q46" s="2292" t="s">
        <v>11196</v>
      </c>
      <c r="R46" s="943"/>
      <c r="S46" s="457">
        <v>386100</v>
      </c>
      <c r="T46" s="457">
        <v>467181</v>
      </c>
      <c r="U46" s="1474"/>
      <c r="V46" s="1474"/>
      <c r="W46" s="1474"/>
      <c r="X46" s="570">
        <v>45393</v>
      </c>
      <c r="Y46" s="1387" t="s">
        <v>17221</v>
      </c>
      <c r="Z46" s="456">
        <v>45425</v>
      </c>
      <c r="AA46" s="456">
        <v>45432</v>
      </c>
      <c r="AB46" s="456">
        <v>45470</v>
      </c>
      <c r="AC46" s="3058"/>
      <c r="AD46" s="3058"/>
      <c r="AE46" s="118">
        <v>1</v>
      </c>
    </row>
    <row r="47" spans="1:32" ht="30">
      <c r="A47" s="3070">
        <v>45307</v>
      </c>
      <c r="B47" s="2289" t="s">
        <v>16586</v>
      </c>
      <c r="C47" s="2877" t="s">
        <v>58</v>
      </c>
      <c r="D47" s="2877" t="s">
        <v>15443</v>
      </c>
      <c r="E47" s="2877" t="s">
        <v>13948</v>
      </c>
      <c r="F47" s="2913" t="s">
        <v>4222</v>
      </c>
      <c r="G47" s="2877">
        <v>2</v>
      </c>
      <c r="H47" s="2289" t="s">
        <v>16589</v>
      </c>
      <c r="I47" s="2289" t="s">
        <v>15369</v>
      </c>
      <c r="J47" s="2877" t="s">
        <v>421</v>
      </c>
      <c r="K47" s="2877" t="s">
        <v>16588</v>
      </c>
      <c r="L47" s="2144">
        <v>1990000</v>
      </c>
      <c r="M47" s="2877" t="s">
        <v>251</v>
      </c>
      <c r="N47" s="3070">
        <v>45314</v>
      </c>
      <c r="O47" s="3070">
        <v>45350</v>
      </c>
      <c r="P47" s="3070">
        <v>45393</v>
      </c>
      <c r="Q47" s="2289" t="s">
        <v>11196</v>
      </c>
      <c r="R47" s="2877"/>
      <c r="S47" s="2144">
        <v>1907700</v>
      </c>
      <c r="T47" s="2144">
        <v>2308317</v>
      </c>
      <c r="U47" s="2145"/>
      <c r="V47" s="2145"/>
      <c r="W47" s="2145"/>
      <c r="X47" s="2146">
        <v>45393</v>
      </c>
      <c r="Y47" s="2260" t="s">
        <v>17222</v>
      </c>
      <c r="Z47" s="3070">
        <v>45419</v>
      </c>
      <c r="AA47" s="3070">
        <v>45432</v>
      </c>
      <c r="AB47" s="3070">
        <v>45784</v>
      </c>
      <c r="AC47" s="2976"/>
      <c r="AD47" s="2976"/>
      <c r="AE47" s="118">
        <v>1</v>
      </c>
    </row>
    <row r="48" spans="1:32" ht="15.75" thickBot="1">
      <c r="A48" s="3109">
        <v>45307</v>
      </c>
      <c r="B48" s="2291" t="s">
        <v>16587</v>
      </c>
      <c r="C48" s="2290" t="s">
        <v>58</v>
      </c>
      <c r="D48" s="2290" t="s">
        <v>15443</v>
      </c>
      <c r="E48" s="2290" t="s">
        <v>13948</v>
      </c>
      <c r="F48" s="2912" t="s">
        <v>4222</v>
      </c>
      <c r="G48" s="2290">
        <v>3</v>
      </c>
      <c r="H48" s="2291" t="s">
        <v>16590</v>
      </c>
      <c r="I48" s="2291" t="s">
        <v>15369</v>
      </c>
      <c r="J48" s="2290" t="s">
        <v>421</v>
      </c>
      <c r="K48" s="2290" t="s">
        <v>16591</v>
      </c>
      <c r="L48" s="2121">
        <v>228000</v>
      </c>
      <c r="M48" s="2290" t="s">
        <v>251</v>
      </c>
      <c r="N48" s="3109">
        <v>45314</v>
      </c>
      <c r="O48" s="3109">
        <v>45350</v>
      </c>
      <c r="P48" s="3109">
        <v>45393</v>
      </c>
      <c r="Q48" s="2291" t="s">
        <v>11196</v>
      </c>
      <c r="R48" s="2290"/>
      <c r="S48" s="2121">
        <v>227144</v>
      </c>
      <c r="T48" s="2121">
        <v>274844.24</v>
      </c>
      <c r="U48" s="2122"/>
      <c r="V48" s="2122"/>
      <c r="W48" s="2122"/>
      <c r="X48" s="2123">
        <v>45393</v>
      </c>
      <c r="Y48" s="2246" t="s">
        <v>17232</v>
      </c>
      <c r="Z48" s="3109">
        <v>45419</v>
      </c>
      <c r="AA48" s="3109">
        <v>45432</v>
      </c>
      <c r="AB48" s="3109">
        <v>45461</v>
      </c>
      <c r="AC48" s="3059"/>
      <c r="AD48" s="3059"/>
      <c r="AE48" s="118">
        <v>1</v>
      </c>
    </row>
    <row r="49" spans="1:32" ht="16.5" thickTop="1" thickBot="1">
      <c r="A49" s="2478">
        <v>45306</v>
      </c>
      <c r="B49" s="3160" t="s">
        <v>16592</v>
      </c>
      <c r="C49" s="3161" t="s">
        <v>16559</v>
      </c>
      <c r="D49" s="3161" t="s">
        <v>9080</v>
      </c>
      <c r="E49" s="3161" t="s">
        <v>13948</v>
      </c>
      <c r="F49" s="3162" t="s">
        <v>16593</v>
      </c>
      <c r="G49" s="3161"/>
      <c r="H49" s="3160"/>
      <c r="I49" s="3160" t="s">
        <v>15369</v>
      </c>
      <c r="J49" s="3161" t="s">
        <v>3495</v>
      </c>
      <c r="K49" s="3161"/>
      <c r="L49" s="676">
        <v>2540000</v>
      </c>
      <c r="M49" s="3161" t="s">
        <v>216</v>
      </c>
      <c r="N49" s="2478">
        <v>45314</v>
      </c>
      <c r="O49" s="2478">
        <v>45334</v>
      </c>
      <c r="P49" s="2478">
        <v>45362</v>
      </c>
      <c r="Q49" s="3160" t="s">
        <v>16842</v>
      </c>
      <c r="R49" s="3161"/>
      <c r="S49" s="676">
        <v>1098380</v>
      </c>
      <c r="T49" s="676">
        <v>1329039.8</v>
      </c>
      <c r="U49" s="1984"/>
      <c r="V49" s="1984"/>
      <c r="W49" s="1984"/>
      <c r="X49" s="683">
        <v>45362</v>
      </c>
      <c r="Y49" s="2479" t="s">
        <v>16985</v>
      </c>
      <c r="Z49" s="2478">
        <v>45384</v>
      </c>
      <c r="AA49" s="2478">
        <v>45390</v>
      </c>
      <c r="AB49" s="2478">
        <v>45748</v>
      </c>
      <c r="AC49" s="3065"/>
      <c r="AD49" s="3065"/>
      <c r="AE49" s="118">
        <v>5</v>
      </c>
    </row>
    <row r="50" spans="1:32" ht="16.5" thickTop="1" thickBot="1">
      <c r="A50" s="3074">
        <v>45306</v>
      </c>
      <c r="B50" s="3075" t="s">
        <v>16595</v>
      </c>
      <c r="C50" s="3076" t="s">
        <v>2434</v>
      </c>
      <c r="D50" s="3076" t="s">
        <v>219</v>
      </c>
      <c r="E50" s="3076" t="s">
        <v>15813</v>
      </c>
      <c r="F50" s="3077" t="s">
        <v>16596</v>
      </c>
      <c r="G50" s="3076"/>
      <c r="H50" s="3075"/>
      <c r="I50" s="3075" t="s">
        <v>15373</v>
      </c>
      <c r="J50" s="3076" t="s">
        <v>3293</v>
      </c>
      <c r="K50" s="3076"/>
      <c r="L50" s="841">
        <v>5024700</v>
      </c>
      <c r="M50" s="3076" t="s">
        <v>251</v>
      </c>
      <c r="N50" s="3074">
        <v>45313</v>
      </c>
      <c r="O50" s="3074">
        <v>45351</v>
      </c>
      <c r="P50" s="3074">
        <v>45504</v>
      </c>
      <c r="Q50" s="3075" t="s">
        <v>17955</v>
      </c>
      <c r="R50" s="3076"/>
      <c r="S50" s="841">
        <v>6503020.7999999998</v>
      </c>
      <c r="T50" s="841">
        <v>7283383.2999999998</v>
      </c>
      <c r="U50" s="1489"/>
      <c r="V50" s="1489"/>
      <c r="W50" s="1489"/>
      <c r="X50" s="1392">
        <v>45504</v>
      </c>
      <c r="Y50" s="1796" t="s">
        <v>18032</v>
      </c>
      <c r="Z50" s="3074"/>
      <c r="AA50" s="3074"/>
      <c r="AB50" s="3074"/>
      <c r="AC50" s="3059"/>
      <c r="AD50" s="3059"/>
      <c r="AE50" s="118">
        <v>11</v>
      </c>
    </row>
    <row r="51" spans="1:32" ht="15.75" thickTop="1">
      <c r="A51" s="3070">
        <v>45308</v>
      </c>
      <c r="B51" s="2289" t="s">
        <v>16599</v>
      </c>
      <c r="C51" s="2877" t="s">
        <v>16536</v>
      </c>
      <c r="D51" s="2877" t="s">
        <v>15131</v>
      </c>
      <c r="E51" s="2877" t="s">
        <v>13949</v>
      </c>
      <c r="F51" s="2913" t="s">
        <v>16600</v>
      </c>
      <c r="G51" s="2877"/>
      <c r="H51" s="2289"/>
      <c r="I51" s="2289" t="s">
        <v>15369</v>
      </c>
      <c r="J51" s="2877" t="s">
        <v>93</v>
      </c>
      <c r="K51" s="2877"/>
      <c r="L51" s="2144">
        <v>5249326</v>
      </c>
      <c r="M51" s="2877" t="s">
        <v>251</v>
      </c>
      <c r="N51" s="3070">
        <v>45314</v>
      </c>
      <c r="O51" s="3070">
        <v>45349</v>
      </c>
      <c r="P51" s="3070">
        <v>45355</v>
      </c>
      <c r="Q51" s="2289" t="s">
        <v>13761</v>
      </c>
      <c r="R51" s="2877"/>
      <c r="S51" s="2144">
        <v>5249324.82</v>
      </c>
      <c r="T51" s="2144">
        <v>5879243.7999999998</v>
      </c>
      <c r="U51" s="2145"/>
      <c r="V51" s="2145"/>
      <c r="W51" s="2145"/>
      <c r="X51" s="2146">
        <v>45355</v>
      </c>
      <c r="Y51" s="2144" t="s">
        <v>16912</v>
      </c>
      <c r="Z51" s="3070">
        <v>45370</v>
      </c>
      <c r="AA51" s="3070">
        <v>45372</v>
      </c>
      <c r="AB51" s="3070">
        <v>46540</v>
      </c>
      <c r="AC51" s="2976"/>
      <c r="AD51" s="2976"/>
      <c r="AE51" s="118">
        <v>1</v>
      </c>
      <c r="AF51" s="118" t="s">
        <v>17033</v>
      </c>
    </row>
    <row r="52" spans="1:32" ht="30">
      <c r="A52" s="3067">
        <v>45308</v>
      </c>
      <c r="B52" s="3068" t="s">
        <v>16601</v>
      </c>
      <c r="C52" s="3069" t="s">
        <v>16537</v>
      </c>
      <c r="D52" s="3069" t="s">
        <v>13844</v>
      </c>
      <c r="E52" s="3069" t="s">
        <v>15813</v>
      </c>
      <c r="F52" s="2914" t="s">
        <v>16602</v>
      </c>
      <c r="G52" s="3069"/>
      <c r="H52" s="3068"/>
      <c r="I52" s="3068" t="s">
        <v>242</v>
      </c>
      <c r="J52" s="3080" t="s">
        <v>16606</v>
      </c>
      <c r="K52" s="3069" t="s">
        <v>16603</v>
      </c>
      <c r="L52" s="2128">
        <v>1788590</v>
      </c>
      <c r="M52" s="3069" t="s">
        <v>112</v>
      </c>
      <c r="N52" s="3067">
        <v>45324</v>
      </c>
      <c r="O52" s="3067">
        <v>45338</v>
      </c>
      <c r="P52" s="3067"/>
      <c r="Q52" s="2136" t="s">
        <v>304</v>
      </c>
      <c r="R52" s="2180"/>
      <c r="S52" s="2128"/>
      <c r="T52" s="2128"/>
      <c r="U52" s="2129"/>
      <c r="V52" s="2129"/>
      <c r="W52" s="2129"/>
      <c r="X52" s="2281"/>
      <c r="Y52" s="2128"/>
      <c r="Z52" s="3067"/>
      <c r="AA52" s="3067">
        <v>45343</v>
      </c>
      <c r="AB52" s="3067"/>
      <c r="AC52" s="2976"/>
      <c r="AD52" s="2976"/>
    </row>
    <row r="53" spans="1:32">
      <c r="A53" s="3070">
        <v>45308</v>
      </c>
      <c r="B53" s="2289" t="s">
        <v>16608</v>
      </c>
      <c r="C53" s="2877" t="s">
        <v>16536</v>
      </c>
      <c r="D53" s="2877" t="s">
        <v>15129</v>
      </c>
      <c r="E53" s="2877" t="s">
        <v>13951</v>
      </c>
      <c r="F53" s="2913" t="s">
        <v>16610</v>
      </c>
      <c r="G53" s="2877"/>
      <c r="H53" s="2289"/>
      <c r="I53" s="2289" t="s">
        <v>15369</v>
      </c>
      <c r="J53" s="2877" t="s">
        <v>93</v>
      </c>
      <c r="K53" s="2877"/>
      <c r="L53" s="2144">
        <v>1293812</v>
      </c>
      <c r="M53" s="2877" t="s">
        <v>112</v>
      </c>
      <c r="N53" s="3070">
        <v>45310</v>
      </c>
      <c r="O53" s="3070">
        <v>45330</v>
      </c>
      <c r="P53" s="3070">
        <v>45337</v>
      </c>
      <c r="Q53" s="2289" t="s">
        <v>6071</v>
      </c>
      <c r="R53" s="2877"/>
      <c r="S53" s="2144">
        <v>1242325.5</v>
      </c>
      <c r="T53" s="2144">
        <v>1391404.56</v>
      </c>
      <c r="U53" s="2145"/>
      <c r="V53" s="2145"/>
      <c r="W53" s="2145"/>
      <c r="X53" s="2146">
        <v>45337</v>
      </c>
      <c r="Y53" s="2144" t="s">
        <v>16790</v>
      </c>
      <c r="Z53" s="3070">
        <v>45345</v>
      </c>
      <c r="AA53" s="3070">
        <v>45345</v>
      </c>
      <c r="AB53" s="3070">
        <v>46510</v>
      </c>
      <c r="AC53" s="2976"/>
      <c r="AD53" s="2976"/>
      <c r="AE53" s="118">
        <v>1</v>
      </c>
      <c r="AF53" s="118" t="s">
        <v>16867</v>
      </c>
    </row>
    <row r="54" spans="1:32" ht="30">
      <c r="A54" s="3070">
        <v>45308</v>
      </c>
      <c r="B54" s="2289" t="s">
        <v>16609</v>
      </c>
      <c r="C54" s="2877" t="s">
        <v>58</v>
      </c>
      <c r="D54" s="2877" t="s">
        <v>15443</v>
      </c>
      <c r="E54" s="2877" t="s">
        <v>13948</v>
      </c>
      <c r="F54" s="2913" t="s">
        <v>3404</v>
      </c>
      <c r="G54" s="2877"/>
      <c r="H54" s="2289"/>
      <c r="I54" s="2289" t="s">
        <v>15369</v>
      </c>
      <c r="J54" s="3115" t="s">
        <v>16612</v>
      </c>
      <c r="K54" s="2877" t="s">
        <v>16611</v>
      </c>
      <c r="L54" s="2144">
        <v>13336600</v>
      </c>
      <c r="M54" s="2877" t="s">
        <v>251</v>
      </c>
      <c r="N54" s="3070">
        <v>45314</v>
      </c>
      <c r="O54" s="3070">
        <v>45351</v>
      </c>
      <c r="P54" s="3070">
        <v>45373</v>
      </c>
      <c r="Q54" s="2289" t="s">
        <v>4323</v>
      </c>
      <c r="R54" s="2877"/>
      <c r="S54" s="2144">
        <v>13311600</v>
      </c>
      <c r="T54" s="2144">
        <v>16107036</v>
      </c>
      <c r="U54" s="2145"/>
      <c r="V54" s="2145"/>
      <c r="W54" s="2145"/>
      <c r="X54" s="2146">
        <v>45373</v>
      </c>
      <c r="Y54" s="2260" t="s">
        <v>17065</v>
      </c>
      <c r="Z54" s="3070">
        <v>45398</v>
      </c>
      <c r="AA54" s="3070">
        <v>45407</v>
      </c>
      <c r="AB54" s="3070">
        <v>45538</v>
      </c>
      <c r="AC54" s="3078"/>
      <c r="AD54" s="3078"/>
      <c r="AE54" s="118">
        <v>1</v>
      </c>
    </row>
    <row r="55" spans="1:32">
      <c r="A55" s="3070">
        <v>45308</v>
      </c>
      <c r="B55" s="2289" t="s">
        <v>16613</v>
      </c>
      <c r="C55" s="2877" t="s">
        <v>16536</v>
      </c>
      <c r="D55" s="2877" t="s">
        <v>15129</v>
      </c>
      <c r="E55" s="2877" t="s">
        <v>655</v>
      </c>
      <c r="F55" s="2913" t="s">
        <v>16614</v>
      </c>
      <c r="G55" s="2877"/>
      <c r="H55" s="2289"/>
      <c r="I55" s="2289" t="s">
        <v>15369</v>
      </c>
      <c r="J55" s="2877" t="s">
        <v>7938</v>
      </c>
      <c r="K55" s="2877"/>
      <c r="L55" s="2144">
        <v>763028</v>
      </c>
      <c r="M55" s="2877" t="s">
        <v>112</v>
      </c>
      <c r="N55" s="3070">
        <v>45313</v>
      </c>
      <c r="O55" s="3070">
        <v>45324</v>
      </c>
      <c r="P55" s="3070">
        <v>45330</v>
      </c>
      <c r="Q55" s="2289" t="s">
        <v>8542</v>
      </c>
      <c r="R55" s="2877"/>
      <c r="S55" s="2144">
        <v>743700.36</v>
      </c>
      <c r="T55" s="2144">
        <v>832244.04</v>
      </c>
      <c r="U55" s="2145"/>
      <c r="V55" s="2145"/>
      <c r="W55" s="2145"/>
      <c r="X55" s="2146">
        <v>45330</v>
      </c>
      <c r="Y55" s="2144" t="s">
        <v>16762</v>
      </c>
      <c r="Z55" s="3070">
        <v>45338</v>
      </c>
      <c r="AA55" s="3070">
        <v>45338</v>
      </c>
      <c r="AB55" s="3070">
        <v>46433</v>
      </c>
      <c r="AC55" s="3065"/>
      <c r="AD55" s="3065"/>
      <c r="AE55" s="118">
        <v>3</v>
      </c>
    </row>
    <row r="56" spans="1:32" ht="15.75" thickBot="1">
      <c r="A56" s="3081">
        <v>45309</v>
      </c>
      <c r="B56" s="3082" t="s">
        <v>16615</v>
      </c>
      <c r="C56" s="3083" t="s">
        <v>16536</v>
      </c>
      <c r="D56" s="3083" t="s">
        <v>15129</v>
      </c>
      <c r="E56" s="3083" t="s">
        <v>655</v>
      </c>
      <c r="F56" s="3084" t="s">
        <v>16616</v>
      </c>
      <c r="G56" s="3083"/>
      <c r="H56" s="3082"/>
      <c r="I56" s="3082" t="s">
        <v>242</v>
      </c>
      <c r="J56" s="3083" t="s">
        <v>9104</v>
      </c>
      <c r="K56" s="3083"/>
      <c r="L56" s="645">
        <v>1206432</v>
      </c>
      <c r="M56" s="3083" t="s">
        <v>112</v>
      </c>
      <c r="N56" s="3081">
        <v>45313</v>
      </c>
      <c r="O56" s="3081">
        <v>45324</v>
      </c>
      <c r="P56" s="3081"/>
      <c r="Q56" s="644" t="s">
        <v>304</v>
      </c>
      <c r="R56" s="3083"/>
      <c r="S56" s="645"/>
      <c r="T56" s="645"/>
      <c r="U56" s="1490"/>
      <c r="V56" s="1490"/>
      <c r="W56" s="1490"/>
      <c r="X56" s="2890"/>
      <c r="Y56" s="645"/>
      <c r="Z56" s="3081"/>
      <c r="AA56" s="3081">
        <v>45324</v>
      </c>
      <c r="AB56" s="3081"/>
      <c r="AC56" s="3059"/>
      <c r="AD56" s="3059"/>
    </row>
    <row r="57" spans="1:32" ht="30.75" thickTop="1">
      <c r="A57" s="456">
        <v>45310</v>
      </c>
      <c r="B57" s="2292" t="s">
        <v>16617</v>
      </c>
      <c r="C57" s="943" t="s">
        <v>58</v>
      </c>
      <c r="D57" s="943" t="s">
        <v>15443</v>
      </c>
      <c r="E57" s="943" t="s">
        <v>655</v>
      </c>
      <c r="F57" s="713" t="s">
        <v>7372</v>
      </c>
      <c r="G57" s="943">
        <v>1</v>
      </c>
      <c r="H57" s="2292" t="s">
        <v>8967</v>
      </c>
      <c r="I57" s="2292" t="s">
        <v>15369</v>
      </c>
      <c r="J57" s="943" t="s">
        <v>1924</v>
      </c>
      <c r="K57" s="943" t="s">
        <v>16619</v>
      </c>
      <c r="L57" s="457">
        <v>330000</v>
      </c>
      <c r="M57" s="943" t="s">
        <v>112</v>
      </c>
      <c r="N57" s="456">
        <v>45313</v>
      </c>
      <c r="O57" s="456">
        <v>45334</v>
      </c>
      <c r="P57" s="456">
        <v>45344</v>
      </c>
      <c r="Q57" s="2292" t="s">
        <v>2993</v>
      </c>
      <c r="R57" s="943"/>
      <c r="S57" s="457">
        <v>327000</v>
      </c>
      <c r="T57" s="457">
        <v>395670</v>
      </c>
      <c r="U57" s="1474"/>
      <c r="V57" s="1474"/>
      <c r="W57" s="1474"/>
      <c r="X57" s="570">
        <v>45344</v>
      </c>
      <c r="Y57" s="1387" t="s">
        <v>16862</v>
      </c>
      <c r="Z57" s="456">
        <v>45357</v>
      </c>
      <c r="AA57" s="456">
        <v>45358</v>
      </c>
      <c r="AB57" s="456">
        <v>45427</v>
      </c>
      <c r="AC57" s="3058"/>
      <c r="AD57" s="3058"/>
      <c r="AE57" s="118">
        <v>1</v>
      </c>
    </row>
    <row r="58" spans="1:32" ht="30.75" thickBot="1">
      <c r="A58" s="3109">
        <v>45310</v>
      </c>
      <c r="B58" s="2291" t="s">
        <v>16618</v>
      </c>
      <c r="C58" s="2290" t="s">
        <v>58</v>
      </c>
      <c r="D58" s="2290" t="s">
        <v>15443</v>
      </c>
      <c r="E58" s="2290" t="s">
        <v>655</v>
      </c>
      <c r="F58" s="2912" t="s">
        <v>7372</v>
      </c>
      <c r="G58" s="2290">
        <v>2</v>
      </c>
      <c r="H58" s="2291" t="s">
        <v>14447</v>
      </c>
      <c r="I58" s="2291" t="s">
        <v>15369</v>
      </c>
      <c r="J58" s="2290" t="s">
        <v>1924</v>
      </c>
      <c r="K58" s="2290" t="s">
        <v>16620</v>
      </c>
      <c r="L58" s="2121">
        <v>120000</v>
      </c>
      <c r="M58" s="2290" t="s">
        <v>112</v>
      </c>
      <c r="N58" s="3109">
        <v>45313</v>
      </c>
      <c r="O58" s="3109">
        <v>45334</v>
      </c>
      <c r="P58" s="3109">
        <v>45344</v>
      </c>
      <c r="Q58" s="2291" t="s">
        <v>9720</v>
      </c>
      <c r="R58" s="2290"/>
      <c r="S58" s="2121">
        <v>82400</v>
      </c>
      <c r="T58" s="2121">
        <v>99704</v>
      </c>
      <c r="U58" s="2122"/>
      <c r="V58" s="2122"/>
      <c r="W58" s="2122"/>
      <c r="X58" s="2123">
        <v>45344</v>
      </c>
      <c r="Y58" s="2246" t="s">
        <v>16863</v>
      </c>
      <c r="Z58" s="3109">
        <v>45352</v>
      </c>
      <c r="AA58" s="3109">
        <v>45352</v>
      </c>
      <c r="AB58" s="3109">
        <v>45412</v>
      </c>
      <c r="AC58" s="3059"/>
      <c r="AD58" s="3059"/>
      <c r="AE58" s="118">
        <v>1</v>
      </c>
    </row>
    <row r="59" spans="1:32" ht="16.5" thickTop="1" thickBot="1">
      <c r="A59" s="2478">
        <v>45310</v>
      </c>
      <c r="B59" s="3160" t="s">
        <v>16621</v>
      </c>
      <c r="C59" s="3161" t="s">
        <v>16688</v>
      </c>
      <c r="D59" s="3161" t="s">
        <v>361</v>
      </c>
      <c r="E59" s="3161" t="s">
        <v>13951</v>
      </c>
      <c r="F59" s="3162" t="s">
        <v>15403</v>
      </c>
      <c r="G59" s="3161"/>
      <c r="H59" s="3160"/>
      <c r="I59" s="3160" t="s">
        <v>15369</v>
      </c>
      <c r="J59" s="3161" t="s">
        <v>533</v>
      </c>
      <c r="K59" s="3161"/>
      <c r="L59" s="676">
        <v>1950000</v>
      </c>
      <c r="M59" s="3161" t="s">
        <v>112</v>
      </c>
      <c r="N59" s="2478">
        <v>45337</v>
      </c>
      <c r="O59" s="2478">
        <v>45363</v>
      </c>
      <c r="P59" s="2478">
        <v>45384</v>
      </c>
      <c r="Q59" s="3160" t="s">
        <v>14223</v>
      </c>
      <c r="R59" s="3161"/>
      <c r="S59" s="676">
        <v>858080</v>
      </c>
      <c r="T59" s="676">
        <v>1038276.8</v>
      </c>
      <c r="U59" s="1984"/>
      <c r="V59" s="1984"/>
      <c r="W59" s="1984"/>
      <c r="X59" s="683">
        <v>45384</v>
      </c>
      <c r="Y59" s="676" t="s">
        <v>17124</v>
      </c>
      <c r="Z59" s="2478">
        <v>45400</v>
      </c>
      <c r="AA59" s="2478">
        <v>45401</v>
      </c>
      <c r="AB59" s="2478">
        <v>45470</v>
      </c>
      <c r="AC59" s="2976"/>
      <c r="AD59" s="2976"/>
      <c r="AE59" s="118">
        <v>2</v>
      </c>
    </row>
    <row r="60" spans="1:32" ht="31.5" thickTop="1" thickBot="1">
      <c r="A60" s="456">
        <v>45310</v>
      </c>
      <c r="B60" s="2292" t="s">
        <v>16623</v>
      </c>
      <c r="C60" s="943" t="s">
        <v>58</v>
      </c>
      <c r="D60" s="943" t="s">
        <v>15443</v>
      </c>
      <c r="E60" s="943" t="s">
        <v>13948</v>
      </c>
      <c r="F60" s="713" t="s">
        <v>15035</v>
      </c>
      <c r="G60" s="943">
        <v>1</v>
      </c>
      <c r="H60" s="2292" t="s">
        <v>15040</v>
      </c>
      <c r="I60" s="2292" t="s">
        <v>15369</v>
      </c>
      <c r="J60" s="943" t="s">
        <v>673</v>
      </c>
      <c r="K60" s="943" t="s">
        <v>16625</v>
      </c>
      <c r="L60" s="457">
        <v>623229</v>
      </c>
      <c r="M60" s="943" t="s">
        <v>251</v>
      </c>
      <c r="N60" s="456">
        <v>45317</v>
      </c>
      <c r="O60" s="456">
        <v>45386</v>
      </c>
      <c r="P60" s="456">
        <v>45418</v>
      </c>
      <c r="Q60" s="2292" t="s">
        <v>17374</v>
      </c>
      <c r="R60" s="943"/>
      <c r="S60" s="457">
        <v>558879</v>
      </c>
      <c r="T60" s="457">
        <v>676243.59</v>
      </c>
      <c r="U60" s="1474"/>
      <c r="V60" s="1474"/>
      <c r="W60" s="1474"/>
      <c r="X60" s="570">
        <v>45418</v>
      </c>
      <c r="Y60" s="1387" t="s">
        <v>17422</v>
      </c>
      <c r="Z60" s="456">
        <v>45425</v>
      </c>
      <c r="AA60" s="456">
        <v>45432</v>
      </c>
      <c r="AB60" s="456">
        <v>45467</v>
      </c>
      <c r="AC60" s="2976"/>
      <c r="AD60" s="2976"/>
      <c r="AE60" s="118">
        <v>1</v>
      </c>
    </row>
    <row r="61" spans="1:32" ht="31.5" thickTop="1" thickBot="1">
      <c r="A61" s="3109">
        <v>45310</v>
      </c>
      <c r="B61" s="2291" t="s">
        <v>16624</v>
      </c>
      <c r="C61" s="2290" t="s">
        <v>58</v>
      </c>
      <c r="D61" s="2290" t="s">
        <v>15443</v>
      </c>
      <c r="E61" s="2290" t="s">
        <v>13948</v>
      </c>
      <c r="F61" s="2912" t="s">
        <v>15035</v>
      </c>
      <c r="G61" s="2290">
        <v>2</v>
      </c>
      <c r="H61" s="2291" t="s">
        <v>16626</v>
      </c>
      <c r="I61" s="2291" t="s">
        <v>15369</v>
      </c>
      <c r="J61" s="2290" t="s">
        <v>673</v>
      </c>
      <c r="K61" s="2290" t="s">
        <v>15041</v>
      </c>
      <c r="L61" s="2121">
        <v>1105344</v>
      </c>
      <c r="M61" s="2290" t="s">
        <v>251</v>
      </c>
      <c r="N61" s="3109">
        <v>45317</v>
      </c>
      <c r="O61" s="3109">
        <v>45386</v>
      </c>
      <c r="P61" s="3109">
        <v>45418</v>
      </c>
      <c r="Q61" s="2291" t="s">
        <v>17374</v>
      </c>
      <c r="R61" s="2290"/>
      <c r="S61" s="2121">
        <v>1040994</v>
      </c>
      <c r="T61" s="2121">
        <v>1259602.74</v>
      </c>
      <c r="U61" s="2122"/>
      <c r="V61" s="2122"/>
      <c r="W61" s="2122"/>
      <c r="X61" s="2123">
        <v>45418</v>
      </c>
      <c r="Y61" s="2246" t="s">
        <v>17423</v>
      </c>
      <c r="Z61" s="3109">
        <v>45425</v>
      </c>
      <c r="AA61" s="3109">
        <v>45432</v>
      </c>
      <c r="AB61" s="3109">
        <v>45467</v>
      </c>
      <c r="AC61" s="3058"/>
      <c r="AD61" s="3058"/>
      <c r="AE61" s="118">
        <v>1</v>
      </c>
    </row>
    <row r="62" spans="1:32" ht="16.5" thickTop="1" thickBot="1">
      <c r="A62" s="2478">
        <v>45310</v>
      </c>
      <c r="B62" s="3160" t="s">
        <v>16630</v>
      </c>
      <c r="C62" s="3161" t="s">
        <v>16559</v>
      </c>
      <c r="D62" s="3161" t="s">
        <v>9080</v>
      </c>
      <c r="E62" s="3161" t="s">
        <v>13951</v>
      </c>
      <c r="F62" s="3162" t="s">
        <v>6428</v>
      </c>
      <c r="G62" s="3161"/>
      <c r="H62" s="3160"/>
      <c r="I62" s="3160" t="s">
        <v>15369</v>
      </c>
      <c r="J62" s="3161" t="s">
        <v>9412</v>
      </c>
      <c r="K62" s="3161"/>
      <c r="L62" s="676">
        <v>902868</v>
      </c>
      <c r="M62" s="3161" t="s">
        <v>112</v>
      </c>
      <c r="N62" s="2478">
        <v>45313</v>
      </c>
      <c r="O62" s="2478">
        <v>45324</v>
      </c>
      <c r="P62" s="2478">
        <v>45348</v>
      </c>
      <c r="Q62" s="3160" t="s">
        <v>9809</v>
      </c>
      <c r="R62" s="3161"/>
      <c r="S62" s="676">
        <v>845333.15</v>
      </c>
      <c r="T62" s="676">
        <v>1022853.11</v>
      </c>
      <c r="U62" s="1984"/>
      <c r="V62" s="1984"/>
      <c r="W62" s="1984"/>
      <c r="X62" s="683">
        <v>45348</v>
      </c>
      <c r="Y62" s="676" t="s">
        <v>16888</v>
      </c>
      <c r="Z62" s="2478">
        <v>45357</v>
      </c>
      <c r="AA62" s="2478">
        <v>45358</v>
      </c>
      <c r="AB62" s="2478">
        <v>45721</v>
      </c>
      <c r="AC62" s="2976"/>
      <c r="AD62" s="2976"/>
      <c r="AE62" s="118">
        <v>5</v>
      </c>
    </row>
    <row r="63" spans="1:32" ht="16.5" thickTop="1" thickBot="1">
      <c r="A63" s="656">
        <v>45307</v>
      </c>
      <c r="B63" s="3061" t="s">
        <v>16631</v>
      </c>
      <c r="C63" s="3062" t="s">
        <v>2434</v>
      </c>
      <c r="D63" s="3062" t="s">
        <v>219</v>
      </c>
      <c r="E63" s="3062" t="s">
        <v>15813</v>
      </c>
      <c r="F63" s="3063" t="s">
        <v>16632</v>
      </c>
      <c r="G63" s="3062"/>
      <c r="H63" s="3061"/>
      <c r="I63" s="3061" t="s">
        <v>242</v>
      </c>
      <c r="J63" s="3062" t="s">
        <v>642</v>
      </c>
      <c r="K63" s="3062"/>
      <c r="L63" s="472">
        <v>5670000</v>
      </c>
      <c r="M63" s="3062" t="s">
        <v>251</v>
      </c>
      <c r="N63" s="656">
        <v>45314</v>
      </c>
      <c r="O63" s="656">
        <v>45349</v>
      </c>
      <c r="P63" s="656"/>
      <c r="Q63" s="471" t="s">
        <v>4830</v>
      </c>
      <c r="R63" s="3062"/>
      <c r="S63" s="472"/>
      <c r="T63" s="472"/>
      <c r="U63" s="1516"/>
      <c r="V63" s="1516"/>
      <c r="W63" s="1516"/>
      <c r="X63" s="1547"/>
      <c r="Y63" s="472"/>
      <c r="Z63" s="656"/>
      <c r="AA63" s="656">
        <v>45450</v>
      </c>
      <c r="AB63" s="656" t="s">
        <v>17552</v>
      </c>
      <c r="AC63" s="3059"/>
      <c r="AD63" s="3059"/>
      <c r="AE63" s="118">
        <v>8</v>
      </c>
    </row>
    <row r="64" spans="1:32" ht="16.5" thickTop="1" thickBot="1">
      <c r="A64" s="612">
        <v>45313</v>
      </c>
      <c r="B64" s="2911" t="s">
        <v>16635</v>
      </c>
      <c r="C64" s="609" t="s">
        <v>16536</v>
      </c>
      <c r="D64" s="609" t="s">
        <v>15131</v>
      </c>
      <c r="E64" s="609" t="s">
        <v>15813</v>
      </c>
      <c r="F64" s="610" t="s">
        <v>16636</v>
      </c>
      <c r="G64" s="609"/>
      <c r="H64" s="2911"/>
      <c r="I64" s="2911" t="s">
        <v>15369</v>
      </c>
      <c r="J64" s="609" t="s">
        <v>3436</v>
      </c>
      <c r="K64" s="609"/>
      <c r="L64" s="417">
        <v>3524091</v>
      </c>
      <c r="M64" s="609" t="s">
        <v>251</v>
      </c>
      <c r="N64" s="612">
        <v>45316</v>
      </c>
      <c r="O64" s="612">
        <v>45351</v>
      </c>
      <c r="P64" s="612">
        <v>45377</v>
      </c>
      <c r="Q64" s="2911" t="s">
        <v>576</v>
      </c>
      <c r="R64" s="609"/>
      <c r="S64" s="417">
        <v>3461074.41</v>
      </c>
      <c r="T64" s="417">
        <v>3876403.34</v>
      </c>
      <c r="U64" s="1480"/>
      <c r="V64" s="1480"/>
      <c r="W64" s="1480"/>
      <c r="X64" s="513">
        <v>45377</v>
      </c>
      <c r="Y64" s="1553" t="s">
        <v>17097</v>
      </c>
      <c r="Z64" s="612">
        <v>45412</v>
      </c>
      <c r="AA64" s="612">
        <v>45414</v>
      </c>
      <c r="AB64" s="612">
        <v>46588</v>
      </c>
      <c r="AC64" s="3058"/>
      <c r="AD64" s="3058"/>
      <c r="AE64" s="118">
        <v>2</v>
      </c>
      <c r="AF64" s="118" t="s">
        <v>17032</v>
      </c>
    </row>
    <row r="65" spans="1:32" ht="15.75" thickTop="1">
      <c r="A65" s="687">
        <v>45313</v>
      </c>
      <c r="B65" s="1883" t="s">
        <v>16637</v>
      </c>
      <c r="C65" s="688" t="s">
        <v>16536</v>
      </c>
      <c r="D65" s="688" t="s">
        <v>15131</v>
      </c>
      <c r="E65" s="688" t="s">
        <v>15813</v>
      </c>
      <c r="F65" s="684" t="s">
        <v>16639</v>
      </c>
      <c r="G65" s="688">
        <v>1</v>
      </c>
      <c r="H65" s="1883" t="s">
        <v>8271</v>
      </c>
      <c r="I65" s="1883" t="s">
        <v>242</v>
      </c>
      <c r="J65" s="688" t="s">
        <v>93</v>
      </c>
      <c r="K65" s="688"/>
      <c r="L65" s="444">
        <v>45602115</v>
      </c>
      <c r="M65" s="688" t="s">
        <v>251</v>
      </c>
      <c r="N65" s="687">
        <v>45316</v>
      </c>
      <c r="O65" s="687">
        <v>45351</v>
      </c>
      <c r="P65" s="687"/>
      <c r="Q65" s="753" t="s">
        <v>16764</v>
      </c>
      <c r="R65" s="2015" t="s">
        <v>17216</v>
      </c>
      <c r="S65" s="444"/>
      <c r="T65" s="444"/>
      <c r="U65" s="1481"/>
      <c r="V65" s="1481"/>
      <c r="W65" s="1481"/>
      <c r="X65" s="1884"/>
      <c r="Y65" s="2712"/>
      <c r="Z65" s="687"/>
      <c r="AA65" s="687">
        <v>45359</v>
      </c>
      <c r="AB65" s="3085" t="s">
        <v>16851</v>
      </c>
      <c r="AC65" s="3058"/>
      <c r="AD65" s="3058"/>
    </row>
    <row r="66" spans="1:32" ht="15.75" thickBot="1">
      <c r="A66" s="3109">
        <v>45313</v>
      </c>
      <c r="B66" s="2291" t="s">
        <v>16638</v>
      </c>
      <c r="C66" s="2290" t="s">
        <v>16536</v>
      </c>
      <c r="D66" s="2290" t="s">
        <v>15131</v>
      </c>
      <c r="E66" s="2290" t="s">
        <v>15813</v>
      </c>
      <c r="F66" s="2912" t="s">
        <v>16639</v>
      </c>
      <c r="G66" s="2290">
        <v>2</v>
      </c>
      <c r="H66" s="2291" t="s">
        <v>8272</v>
      </c>
      <c r="I66" s="2291" t="s">
        <v>15369</v>
      </c>
      <c r="J66" s="2290" t="s">
        <v>93</v>
      </c>
      <c r="K66" s="2290"/>
      <c r="L66" s="2121">
        <v>40527433</v>
      </c>
      <c r="M66" s="2290" t="s">
        <v>251</v>
      </c>
      <c r="N66" s="3109">
        <v>45316</v>
      </c>
      <c r="O66" s="3109">
        <v>45351</v>
      </c>
      <c r="P66" s="3109">
        <v>45377</v>
      </c>
      <c r="Q66" s="2291" t="s">
        <v>1318</v>
      </c>
      <c r="R66" s="2290"/>
      <c r="S66" s="2121">
        <v>40503598.079999998</v>
      </c>
      <c r="T66" s="2121">
        <v>45364029.850000001</v>
      </c>
      <c r="U66" s="2122"/>
      <c r="V66" s="2122"/>
      <c r="W66" s="2122"/>
      <c r="X66" s="2123">
        <v>45377</v>
      </c>
      <c r="Y66" s="2246" t="s">
        <v>17101</v>
      </c>
      <c r="Z66" s="3109">
        <v>45404</v>
      </c>
      <c r="AA66" s="3109">
        <v>45405</v>
      </c>
      <c r="AB66" s="3109">
        <v>46519</v>
      </c>
      <c r="AC66" s="2976"/>
      <c r="AD66" s="2976"/>
      <c r="AE66" s="118">
        <v>2</v>
      </c>
      <c r="AF66" s="118" t="s">
        <v>17311</v>
      </c>
    </row>
    <row r="67" spans="1:32" ht="15.75" thickTop="1">
      <c r="A67" s="456">
        <v>45308</v>
      </c>
      <c r="B67" s="2292" t="s">
        <v>16643</v>
      </c>
      <c r="C67" s="943" t="s">
        <v>16536</v>
      </c>
      <c r="D67" s="943" t="s">
        <v>15131</v>
      </c>
      <c r="E67" s="943" t="s">
        <v>13949</v>
      </c>
      <c r="F67" s="713" t="s">
        <v>16641</v>
      </c>
      <c r="G67" s="943">
        <v>1</v>
      </c>
      <c r="H67" s="2292" t="s">
        <v>16640</v>
      </c>
      <c r="I67" s="2292" t="s">
        <v>15369</v>
      </c>
      <c r="J67" s="943" t="s">
        <v>3438</v>
      </c>
      <c r="K67" s="943"/>
      <c r="L67" s="457">
        <v>9879982</v>
      </c>
      <c r="M67" s="943" t="s">
        <v>251</v>
      </c>
      <c r="N67" s="456">
        <v>45317</v>
      </c>
      <c r="O67" s="456">
        <v>45461</v>
      </c>
      <c r="P67" s="456">
        <v>45513</v>
      </c>
      <c r="Q67" s="2292" t="s">
        <v>6981</v>
      </c>
      <c r="R67" s="943"/>
      <c r="S67" s="457">
        <v>9879980.5500000007</v>
      </c>
      <c r="T67" s="457">
        <v>11065578.220000001</v>
      </c>
      <c r="U67" s="1474"/>
      <c r="V67" s="1474"/>
      <c r="W67" s="1474"/>
      <c r="X67" s="570">
        <v>45513</v>
      </c>
      <c r="Y67" s="1387" t="s">
        <v>18112</v>
      </c>
      <c r="Z67" s="456">
        <v>45531</v>
      </c>
      <c r="AA67" s="456">
        <v>45532</v>
      </c>
      <c r="AB67" s="456">
        <v>46625</v>
      </c>
      <c r="AC67" s="2976"/>
      <c r="AD67" s="2976"/>
      <c r="AE67" s="118">
        <v>1</v>
      </c>
    </row>
    <row r="68" spans="1:32" ht="15.75" thickBot="1">
      <c r="A68" s="3109">
        <v>45308</v>
      </c>
      <c r="B68" s="2291" t="s">
        <v>16644</v>
      </c>
      <c r="C68" s="2290" t="s">
        <v>16536</v>
      </c>
      <c r="D68" s="2290" t="s">
        <v>15131</v>
      </c>
      <c r="E68" s="2290" t="s">
        <v>13949</v>
      </c>
      <c r="F68" s="2912" t="s">
        <v>16641</v>
      </c>
      <c r="G68" s="2290">
        <v>2</v>
      </c>
      <c r="H68" s="2291" t="s">
        <v>16642</v>
      </c>
      <c r="I68" s="2291" t="s">
        <v>15369</v>
      </c>
      <c r="J68" s="2290" t="s">
        <v>3438</v>
      </c>
      <c r="K68" s="2290"/>
      <c r="L68" s="2121">
        <v>122146781</v>
      </c>
      <c r="M68" s="2290" t="s">
        <v>251</v>
      </c>
      <c r="N68" s="3109">
        <v>45317</v>
      </c>
      <c r="O68" s="3109">
        <v>45461</v>
      </c>
      <c r="P68" s="3109">
        <v>45513</v>
      </c>
      <c r="Q68" s="2291" t="s">
        <v>6981</v>
      </c>
      <c r="R68" s="2290"/>
      <c r="S68" s="2121">
        <v>121146779.42</v>
      </c>
      <c r="T68" s="2121">
        <v>136804392.94999999</v>
      </c>
      <c r="U68" s="2122"/>
      <c r="V68" s="2122"/>
      <c r="W68" s="2122"/>
      <c r="X68" s="2123">
        <v>45513</v>
      </c>
      <c r="Y68" s="2246" t="s">
        <v>18113</v>
      </c>
      <c r="Z68" s="3109">
        <v>45531</v>
      </c>
      <c r="AA68" s="3109">
        <v>45532</v>
      </c>
      <c r="AB68" s="3109">
        <v>46625</v>
      </c>
      <c r="AC68" s="3059"/>
      <c r="AD68" s="3059"/>
      <c r="AE68" s="118">
        <v>1</v>
      </c>
    </row>
    <row r="69" spans="1:32" ht="30.75" thickTop="1">
      <c r="A69" s="899">
        <v>45313</v>
      </c>
      <c r="B69" s="3123" t="s">
        <v>16645</v>
      </c>
      <c r="C69" s="286" t="s">
        <v>58</v>
      </c>
      <c r="D69" s="286" t="s">
        <v>15443</v>
      </c>
      <c r="E69" s="286" t="s">
        <v>13948</v>
      </c>
      <c r="F69" s="3163" t="s">
        <v>16646</v>
      </c>
      <c r="G69" s="286"/>
      <c r="H69" s="3123"/>
      <c r="I69" s="3123" t="s">
        <v>15369</v>
      </c>
      <c r="J69" s="286" t="s">
        <v>462</v>
      </c>
      <c r="K69" s="286" t="s">
        <v>16647</v>
      </c>
      <c r="L69" s="499">
        <v>3925000</v>
      </c>
      <c r="M69" s="286" t="s">
        <v>251</v>
      </c>
      <c r="N69" s="899">
        <v>45317</v>
      </c>
      <c r="O69" s="899">
        <v>45352</v>
      </c>
      <c r="P69" s="899">
        <v>45372</v>
      </c>
      <c r="Q69" s="3123" t="s">
        <v>6756</v>
      </c>
      <c r="R69" s="286"/>
      <c r="S69" s="499">
        <v>3845300</v>
      </c>
      <c r="T69" s="499">
        <v>4652813</v>
      </c>
      <c r="U69" s="1545"/>
      <c r="V69" s="1545"/>
      <c r="W69" s="1545"/>
      <c r="X69" s="682">
        <v>45372</v>
      </c>
      <c r="Y69" s="1752" t="s">
        <v>17058</v>
      </c>
      <c r="Z69" s="899">
        <v>45386</v>
      </c>
      <c r="AA69" s="899">
        <v>45390</v>
      </c>
      <c r="AB69" s="899">
        <v>45456</v>
      </c>
      <c r="AC69" s="3058"/>
      <c r="AD69" s="3058"/>
      <c r="AE69" s="118">
        <v>1</v>
      </c>
    </row>
    <row r="70" spans="1:32" ht="30.75" thickBot="1">
      <c r="A70" s="3070">
        <v>45314</v>
      </c>
      <c r="B70" s="2289" t="s">
        <v>16648</v>
      </c>
      <c r="C70" s="2877" t="s">
        <v>2434</v>
      </c>
      <c r="D70" s="2877" t="s">
        <v>751</v>
      </c>
      <c r="E70" s="2877" t="s">
        <v>15813</v>
      </c>
      <c r="F70" s="2913" t="s">
        <v>16649</v>
      </c>
      <c r="G70" s="2877"/>
      <c r="H70" s="2289"/>
      <c r="I70" s="2289" t="s">
        <v>15369</v>
      </c>
      <c r="J70" s="2877" t="s">
        <v>2844</v>
      </c>
      <c r="K70" s="2877"/>
      <c r="L70" s="2144">
        <v>290110000</v>
      </c>
      <c r="M70" s="2877" t="s">
        <v>251</v>
      </c>
      <c r="N70" s="3070">
        <v>45331</v>
      </c>
      <c r="O70" s="3070">
        <v>45366</v>
      </c>
      <c r="P70" s="3070">
        <v>45376</v>
      </c>
      <c r="Q70" s="2289" t="s">
        <v>2776</v>
      </c>
      <c r="R70" s="2877"/>
      <c r="S70" s="2144">
        <v>290110000</v>
      </c>
      <c r="T70" s="2144">
        <v>324923200</v>
      </c>
      <c r="U70" s="2145"/>
      <c r="V70" s="2145"/>
      <c r="W70" s="2145"/>
      <c r="X70" s="2146">
        <v>45377</v>
      </c>
      <c r="Y70" s="2260" t="s">
        <v>17096</v>
      </c>
      <c r="Z70" s="3070">
        <v>45394</v>
      </c>
      <c r="AA70" s="3070">
        <v>45405</v>
      </c>
      <c r="AB70" s="3070">
        <v>46854</v>
      </c>
      <c r="AC70" s="3059"/>
      <c r="AD70" s="3059"/>
      <c r="AE70" s="118">
        <v>1</v>
      </c>
    </row>
    <row r="71" spans="1:32" ht="30.75" thickTop="1">
      <c r="A71" s="3070">
        <v>45313</v>
      </c>
      <c r="B71" s="2289" t="s">
        <v>16652</v>
      </c>
      <c r="C71" s="2877" t="s">
        <v>1754</v>
      </c>
      <c r="D71" s="2877" t="s">
        <v>13</v>
      </c>
      <c r="E71" s="2877" t="s">
        <v>13951</v>
      </c>
      <c r="F71" s="2913" t="s">
        <v>16653</v>
      </c>
      <c r="G71" s="2877"/>
      <c r="H71" s="2289"/>
      <c r="I71" s="2289" t="s">
        <v>15369</v>
      </c>
      <c r="J71" s="2877" t="s">
        <v>39</v>
      </c>
      <c r="K71" s="2877"/>
      <c r="L71" s="2144">
        <v>1430000</v>
      </c>
      <c r="M71" s="2877" t="s">
        <v>112</v>
      </c>
      <c r="N71" s="3070">
        <v>45320</v>
      </c>
      <c r="O71" s="3070">
        <v>45331</v>
      </c>
      <c r="P71" s="3070">
        <v>45351</v>
      </c>
      <c r="Q71" s="2289" t="s">
        <v>16797</v>
      </c>
      <c r="R71" s="2877"/>
      <c r="S71" s="2144">
        <v>957400</v>
      </c>
      <c r="T71" s="2144">
        <v>1158454</v>
      </c>
      <c r="U71" s="2145"/>
      <c r="V71" s="2145"/>
      <c r="W71" s="2145"/>
      <c r="X71" s="2146">
        <v>45351</v>
      </c>
      <c r="Y71" s="2260" t="s">
        <v>16905</v>
      </c>
      <c r="Z71" s="3070">
        <v>45357</v>
      </c>
      <c r="AA71" s="3070">
        <v>45358</v>
      </c>
      <c r="AB71" s="3070">
        <v>45570</v>
      </c>
      <c r="AC71" s="3058"/>
      <c r="AD71" s="3058"/>
      <c r="AE71" s="118">
        <v>2</v>
      </c>
    </row>
    <row r="72" spans="1:32">
      <c r="A72" s="3070">
        <v>45310</v>
      </c>
      <c r="B72" s="2289" t="s">
        <v>16654</v>
      </c>
      <c r="C72" s="2877" t="s">
        <v>2434</v>
      </c>
      <c r="D72" s="2877" t="s">
        <v>219</v>
      </c>
      <c r="E72" s="2877" t="s">
        <v>655</v>
      </c>
      <c r="F72" s="2913" t="s">
        <v>16655</v>
      </c>
      <c r="G72" s="2877"/>
      <c r="H72" s="2289"/>
      <c r="I72" s="2289" t="s">
        <v>15369</v>
      </c>
      <c r="J72" s="2877" t="s">
        <v>642</v>
      </c>
      <c r="K72" s="2877"/>
      <c r="L72" s="2144">
        <v>1425680</v>
      </c>
      <c r="M72" s="2877" t="s">
        <v>112</v>
      </c>
      <c r="N72" s="3070">
        <v>45320</v>
      </c>
      <c r="O72" s="3070">
        <v>45331</v>
      </c>
      <c r="P72" s="3070">
        <v>45342</v>
      </c>
      <c r="Q72" s="2289" t="s">
        <v>10252</v>
      </c>
      <c r="R72" s="2877"/>
      <c r="S72" s="2144">
        <v>1853294</v>
      </c>
      <c r="T72" s="2144">
        <v>2242485.7400000002</v>
      </c>
      <c r="U72" s="2145"/>
      <c r="V72" s="2145"/>
      <c r="W72" s="2145"/>
      <c r="X72" s="2146">
        <v>45342</v>
      </c>
      <c r="Y72" s="2144" t="s">
        <v>16818</v>
      </c>
      <c r="Z72" s="3070">
        <v>45349</v>
      </c>
      <c r="AA72" s="3070">
        <v>45349</v>
      </c>
      <c r="AB72" s="3070">
        <v>46809</v>
      </c>
      <c r="AC72" s="2976"/>
      <c r="AD72" s="2976"/>
      <c r="AE72" s="118">
        <v>1</v>
      </c>
    </row>
    <row r="73" spans="1:32" ht="15.75" thickBot="1">
      <c r="A73" s="3070">
        <v>45314</v>
      </c>
      <c r="B73" s="2289" t="s">
        <v>16656</v>
      </c>
      <c r="C73" s="2877" t="s">
        <v>16536</v>
      </c>
      <c r="D73" s="2877" t="s">
        <v>15131</v>
      </c>
      <c r="E73" s="2877" t="s">
        <v>13949</v>
      </c>
      <c r="F73" s="2913" t="s">
        <v>16657</v>
      </c>
      <c r="G73" s="2877"/>
      <c r="H73" s="2289"/>
      <c r="I73" s="2289" t="s">
        <v>15369</v>
      </c>
      <c r="J73" s="2877" t="s">
        <v>68</v>
      </c>
      <c r="K73" s="2877"/>
      <c r="L73" s="2144">
        <v>7985124</v>
      </c>
      <c r="M73" s="2877" t="s">
        <v>251</v>
      </c>
      <c r="N73" s="3070">
        <v>45317</v>
      </c>
      <c r="O73" s="3070">
        <v>45352</v>
      </c>
      <c r="P73" s="3070">
        <v>45385</v>
      </c>
      <c r="Q73" s="2289" t="s">
        <v>2490</v>
      </c>
      <c r="R73" s="2877"/>
      <c r="S73" s="2144">
        <v>7985018.1600000001</v>
      </c>
      <c r="T73" s="2144">
        <v>8943220.3399999999</v>
      </c>
      <c r="U73" s="2145"/>
      <c r="V73" s="2145"/>
      <c r="W73" s="2145"/>
      <c r="X73" s="2146">
        <v>45385</v>
      </c>
      <c r="Y73" s="2144" t="s">
        <v>17155</v>
      </c>
      <c r="Z73" s="3070">
        <v>45398</v>
      </c>
      <c r="AA73" s="3070">
        <v>45399</v>
      </c>
      <c r="AB73" s="3070">
        <v>46492</v>
      </c>
      <c r="AC73" s="3059"/>
      <c r="AD73" s="3059"/>
      <c r="AE73" s="118">
        <v>1</v>
      </c>
    </row>
    <row r="74" spans="1:32" ht="16.5" thickTop="1" thickBot="1">
      <c r="A74" s="3070">
        <v>45315</v>
      </c>
      <c r="B74" s="2289" t="s">
        <v>16658</v>
      </c>
      <c r="C74" s="2877" t="s">
        <v>16536</v>
      </c>
      <c r="D74" s="2877" t="s">
        <v>15129</v>
      </c>
      <c r="E74" s="2877" t="s">
        <v>13949</v>
      </c>
      <c r="F74" s="2913" t="s">
        <v>16659</v>
      </c>
      <c r="G74" s="2877"/>
      <c r="H74" s="3114"/>
      <c r="I74" s="3114" t="s">
        <v>15369</v>
      </c>
      <c r="J74" s="2877" t="s">
        <v>68</v>
      </c>
      <c r="K74" s="2877"/>
      <c r="L74" s="2144">
        <v>7869981</v>
      </c>
      <c r="M74" s="2877" t="s">
        <v>251</v>
      </c>
      <c r="N74" s="3070">
        <v>45317</v>
      </c>
      <c r="O74" s="3070">
        <v>45352</v>
      </c>
      <c r="P74" s="3070">
        <v>45377</v>
      </c>
      <c r="Q74" s="2289" t="s">
        <v>2490</v>
      </c>
      <c r="R74" s="2877"/>
      <c r="S74" s="2144">
        <v>7869980.1600000001</v>
      </c>
      <c r="T74" s="2144">
        <v>8814377.7799999993</v>
      </c>
      <c r="U74" s="2145"/>
      <c r="V74" s="2145"/>
      <c r="W74" s="2145"/>
      <c r="X74" s="2146">
        <v>45377</v>
      </c>
      <c r="Y74" s="2144" t="s">
        <v>17102</v>
      </c>
      <c r="Z74" s="3070">
        <v>45398</v>
      </c>
      <c r="AA74" s="3070">
        <v>45399</v>
      </c>
      <c r="AB74" s="3070">
        <v>46492</v>
      </c>
      <c r="AC74" s="2976"/>
      <c r="AD74" s="2976"/>
      <c r="AE74" s="118">
        <v>1</v>
      </c>
    </row>
    <row r="75" spans="1:32" ht="15.75" thickTop="1">
      <c r="A75" s="3070">
        <v>45315</v>
      </c>
      <c r="B75" s="2289" t="s">
        <v>16660</v>
      </c>
      <c r="C75" s="2877" t="s">
        <v>16536</v>
      </c>
      <c r="D75" s="2877" t="s">
        <v>15129</v>
      </c>
      <c r="E75" s="2877" t="s">
        <v>13949</v>
      </c>
      <c r="F75" s="2913" t="s">
        <v>16661</v>
      </c>
      <c r="G75" s="2877"/>
      <c r="H75" s="2289"/>
      <c r="I75" s="2289" t="s">
        <v>15369</v>
      </c>
      <c r="J75" s="2877" t="s">
        <v>72</v>
      </c>
      <c r="K75" s="2877"/>
      <c r="L75" s="2144">
        <v>4279897</v>
      </c>
      <c r="M75" s="2877" t="s">
        <v>251</v>
      </c>
      <c r="N75" s="3070">
        <v>45317</v>
      </c>
      <c r="O75" s="3070">
        <v>45352</v>
      </c>
      <c r="P75" s="3070">
        <v>45386</v>
      </c>
      <c r="Q75" s="2289" t="s">
        <v>576</v>
      </c>
      <c r="R75" s="2877"/>
      <c r="S75" s="2144">
        <v>4279896.12</v>
      </c>
      <c r="T75" s="2144">
        <v>4793483.6500000004</v>
      </c>
      <c r="U75" s="2145"/>
      <c r="V75" s="2145"/>
      <c r="W75" s="2145"/>
      <c r="X75" s="2146">
        <v>45387</v>
      </c>
      <c r="Y75" s="2144" t="s">
        <v>17162</v>
      </c>
      <c r="Z75" s="3070">
        <v>45400</v>
      </c>
      <c r="AA75" s="3070">
        <v>45404</v>
      </c>
      <c r="AB75" s="3070">
        <v>46898</v>
      </c>
      <c r="AC75" s="3058"/>
      <c r="AD75" s="3058"/>
      <c r="AE75" s="118">
        <v>1</v>
      </c>
      <c r="AF75" s="118" t="s">
        <v>17292</v>
      </c>
    </row>
    <row r="76" spans="1:32" ht="15.75" thickBot="1">
      <c r="A76" s="612">
        <v>45317</v>
      </c>
      <c r="B76" s="2911" t="s">
        <v>16666</v>
      </c>
      <c r="C76" s="609" t="s">
        <v>2434</v>
      </c>
      <c r="D76" s="609" t="s">
        <v>57</v>
      </c>
      <c r="E76" s="609" t="s">
        <v>13948</v>
      </c>
      <c r="F76" s="610" t="s">
        <v>16667</v>
      </c>
      <c r="G76" s="609"/>
      <c r="H76" s="2911"/>
      <c r="I76" s="2911" t="s">
        <v>16672</v>
      </c>
      <c r="J76" s="609" t="s">
        <v>16668</v>
      </c>
      <c r="K76" s="609"/>
      <c r="L76" s="417">
        <v>50000000</v>
      </c>
      <c r="M76" s="609" t="s">
        <v>16391</v>
      </c>
      <c r="N76" s="612">
        <v>45328</v>
      </c>
      <c r="O76" s="612">
        <v>45362</v>
      </c>
      <c r="P76" s="612">
        <v>45387</v>
      </c>
      <c r="Q76" s="2911" t="s">
        <v>17180</v>
      </c>
      <c r="R76" s="609"/>
      <c r="S76" s="417"/>
      <c r="T76" s="417"/>
      <c r="U76" s="1480"/>
      <c r="V76" s="1480"/>
      <c r="W76" s="1480"/>
      <c r="X76" s="513"/>
      <c r="Y76" s="417"/>
      <c r="Z76" s="612"/>
      <c r="AA76" s="612">
        <v>45393</v>
      </c>
      <c r="AB76" s="612"/>
      <c r="AC76" s="3059"/>
      <c r="AD76" s="3059"/>
      <c r="AE76" s="118">
        <v>10</v>
      </c>
    </row>
    <row r="77" spans="1:32" ht="30.75" thickTop="1">
      <c r="A77" s="456">
        <v>45317</v>
      </c>
      <c r="B77" s="2292" t="s">
        <v>16674</v>
      </c>
      <c r="C77" s="943" t="s">
        <v>2434</v>
      </c>
      <c r="D77" s="943" t="s">
        <v>3204</v>
      </c>
      <c r="E77" s="943" t="s">
        <v>15813</v>
      </c>
      <c r="F77" s="713" t="s">
        <v>16676</v>
      </c>
      <c r="G77" s="943">
        <v>1</v>
      </c>
      <c r="H77" s="2292" t="s">
        <v>16677</v>
      </c>
      <c r="I77" s="2292" t="s">
        <v>15369</v>
      </c>
      <c r="J77" s="943" t="s">
        <v>7092</v>
      </c>
      <c r="K77" s="943"/>
      <c r="L77" s="457">
        <v>1250000</v>
      </c>
      <c r="M77" s="943" t="s">
        <v>216</v>
      </c>
      <c r="N77" s="456">
        <v>45327</v>
      </c>
      <c r="O77" s="456">
        <v>45348</v>
      </c>
      <c r="P77" s="456">
        <v>45399</v>
      </c>
      <c r="Q77" s="2292" t="s">
        <v>4838</v>
      </c>
      <c r="R77" s="943"/>
      <c r="S77" s="457">
        <v>1425000</v>
      </c>
      <c r="T77" s="457">
        <v>1596000</v>
      </c>
      <c r="U77" s="1474"/>
      <c r="V77" s="1474"/>
      <c r="W77" s="1474"/>
      <c r="X77" s="570">
        <v>45399</v>
      </c>
      <c r="Y77" s="1387" t="s">
        <v>17278</v>
      </c>
      <c r="Z77" s="456">
        <v>45405</v>
      </c>
      <c r="AA77" s="456">
        <v>45415</v>
      </c>
      <c r="AB77" s="456">
        <v>46904</v>
      </c>
      <c r="AC77" s="3058"/>
      <c r="AD77" s="3058"/>
      <c r="AE77" s="118">
        <v>1</v>
      </c>
      <c r="AF77" s="118" t="s">
        <v>17320</v>
      </c>
    </row>
    <row r="78" spans="1:32" ht="30.75" thickBot="1">
      <c r="A78" s="3109">
        <v>45317</v>
      </c>
      <c r="B78" s="2291" t="s">
        <v>16675</v>
      </c>
      <c r="C78" s="2290" t="s">
        <v>2434</v>
      </c>
      <c r="D78" s="2290" t="s">
        <v>3204</v>
      </c>
      <c r="E78" s="2290" t="s">
        <v>15813</v>
      </c>
      <c r="F78" s="2912" t="s">
        <v>16676</v>
      </c>
      <c r="G78" s="2290">
        <v>2</v>
      </c>
      <c r="H78" s="2291" t="s">
        <v>16678</v>
      </c>
      <c r="I78" s="2291" t="s">
        <v>15369</v>
      </c>
      <c r="J78" s="2290" t="s">
        <v>7092</v>
      </c>
      <c r="K78" s="2290"/>
      <c r="L78" s="2121">
        <v>757145</v>
      </c>
      <c r="M78" s="2290" t="s">
        <v>216</v>
      </c>
      <c r="N78" s="3109">
        <v>45327</v>
      </c>
      <c r="O78" s="3109">
        <v>45348</v>
      </c>
      <c r="P78" s="3109">
        <v>45399</v>
      </c>
      <c r="Q78" s="2291" t="s">
        <v>17008</v>
      </c>
      <c r="R78" s="2290"/>
      <c r="S78" s="2121">
        <v>757144.75</v>
      </c>
      <c r="T78" s="2121">
        <v>848002.12</v>
      </c>
      <c r="U78" s="2122"/>
      <c r="V78" s="2122"/>
      <c r="W78" s="2122"/>
      <c r="X78" s="2123">
        <v>45399</v>
      </c>
      <c r="Y78" s="2246" t="s">
        <v>17279</v>
      </c>
      <c r="Z78" s="3109">
        <v>45406</v>
      </c>
      <c r="AA78" s="3109">
        <v>45415</v>
      </c>
      <c r="AB78" s="3109">
        <v>46904</v>
      </c>
      <c r="AC78" s="2976"/>
      <c r="AD78" s="2976"/>
      <c r="AE78" s="118">
        <v>1</v>
      </c>
      <c r="AF78" s="118" t="s">
        <v>17320</v>
      </c>
    </row>
    <row r="79" spans="1:32" ht="15.75" thickTop="1">
      <c r="A79" s="3148">
        <v>45320</v>
      </c>
      <c r="B79" s="2936" t="s">
        <v>16683</v>
      </c>
      <c r="C79" s="190" t="s">
        <v>16684</v>
      </c>
      <c r="D79" s="190" t="s">
        <v>55</v>
      </c>
      <c r="E79" s="190" t="s">
        <v>655</v>
      </c>
      <c r="F79" s="272" t="s">
        <v>16685</v>
      </c>
      <c r="G79" s="190"/>
      <c r="H79" s="2936"/>
      <c r="I79" s="2936" t="s">
        <v>242</v>
      </c>
      <c r="J79" s="190" t="s">
        <v>16686</v>
      </c>
      <c r="K79" s="190"/>
      <c r="L79" s="1542">
        <v>925500</v>
      </c>
      <c r="M79" s="190" t="s">
        <v>112</v>
      </c>
      <c r="N79" s="3148">
        <v>45323</v>
      </c>
      <c r="O79" s="3148">
        <v>45334</v>
      </c>
      <c r="P79" s="3148"/>
      <c r="Q79" s="2488" t="s">
        <v>4505</v>
      </c>
      <c r="R79" s="2627" t="s">
        <v>16822</v>
      </c>
      <c r="S79" s="1542"/>
      <c r="T79" s="1542"/>
      <c r="U79" s="1543"/>
      <c r="V79" s="1543"/>
      <c r="W79" s="1543"/>
      <c r="X79" s="3158"/>
      <c r="Y79" s="3159"/>
      <c r="Z79" s="3148"/>
      <c r="AA79" s="3148">
        <v>45341</v>
      </c>
      <c r="AB79" s="3148"/>
      <c r="AC79" s="2976"/>
      <c r="AD79" s="2976"/>
      <c r="AE79" s="118">
        <v>2</v>
      </c>
    </row>
    <row r="80" spans="1:32" ht="15.75" thickBot="1">
      <c r="A80" s="612">
        <v>45321</v>
      </c>
      <c r="B80" s="2911" t="s">
        <v>16687</v>
      </c>
      <c r="C80" s="609" t="s">
        <v>16688</v>
      </c>
      <c r="D80" s="609" t="s">
        <v>361</v>
      </c>
      <c r="E80" s="609" t="s">
        <v>13950</v>
      </c>
      <c r="F80" s="610" t="s">
        <v>16689</v>
      </c>
      <c r="G80" s="609"/>
      <c r="H80" s="2631"/>
      <c r="I80" s="2911" t="s">
        <v>16672</v>
      </c>
      <c r="J80" s="609" t="s">
        <v>6580</v>
      </c>
      <c r="K80" s="609"/>
      <c r="L80" s="417">
        <v>25000000</v>
      </c>
      <c r="M80" s="609" t="s">
        <v>16391</v>
      </c>
      <c r="N80" s="612">
        <v>45328</v>
      </c>
      <c r="O80" s="612">
        <v>45362</v>
      </c>
      <c r="P80" s="612">
        <v>45372</v>
      </c>
      <c r="Q80" s="2911" t="s">
        <v>17059</v>
      </c>
      <c r="R80" s="609"/>
      <c r="S80" s="417"/>
      <c r="T80" s="417"/>
      <c r="U80" s="1480"/>
      <c r="V80" s="1480"/>
      <c r="W80" s="1480"/>
      <c r="X80" s="513"/>
      <c r="Y80" s="1553"/>
      <c r="Z80" s="612"/>
      <c r="AA80" s="612">
        <v>45379</v>
      </c>
      <c r="AB80" s="612"/>
      <c r="AC80" s="2976"/>
      <c r="AD80" s="2976"/>
      <c r="AE80" s="118">
        <v>15</v>
      </c>
    </row>
    <row r="81" spans="1:31" ht="30.75" thickTop="1">
      <c r="A81" s="456">
        <v>45321</v>
      </c>
      <c r="B81" s="2292" t="s">
        <v>16691</v>
      </c>
      <c r="C81" s="943" t="s">
        <v>58</v>
      </c>
      <c r="D81" s="943" t="s">
        <v>15443</v>
      </c>
      <c r="E81" s="943" t="s">
        <v>13951</v>
      </c>
      <c r="F81" s="713" t="s">
        <v>16692</v>
      </c>
      <c r="G81" s="943">
        <v>1</v>
      </c>
      <c r="H81" s="2292" t="s">
        <v>8968</v>
      </c>
      <c r="I81" s="2292" t="s">
        <v>15369</v>
      </c>
      <c r="J81" s="943" t="s">
        <v>1924</v>
      </c>
      <c r="K81" s="943" t="s">
        <v>16699</v>
      </c>
      <c r="L81" s="457">
        <v>140000</v>
      </c>
      <c r="M81" s="943" t="s">
        <v>112</v>
      </c>
      <c r="N81" s="456">
        <v>45324</v>
      </c>
      <c r="O81" s="456">
        <v>45338</v>
      </c>
      <c r="P81" s="456">
        <v>45364</v>
      </c>
      <c r="Q81" s="2292" t="s">
        <v>9720</v>
      </c>
      <c r="R81" s="943"/>
      <c r="S81" s="457">
        <v>101650</v>
      </c>
      <c r="T81" s="457">
        <v>122996.5</v>
      </c>
      <c r="U81" s="1474"/>
      <c r="V81" s="1474"/>
      <c r="W81" s="1474"/>
      <c r="X81" s="570">
        <v>45364</v>
      </c>
      <c r="Y81" s="1387" t="s">
        <v>16996</v>
      </c>
      <c r="Z81" s="456">
        <v>45376</v>
      </c>
      <c r="AA81" s="456">
        <v>45376</v>
      </c>
      <c r="AB81" s="456">
        <v>45436</v>
      </c>
      <c r="AC81" s="2976"/>
      <c r="AD81" s="2976"/>
      <c r="AE81" s="118">
        <v>3</v>
      </c>
    </row>
    <row r="82" spans="1:31" ht="30.75" thickBot="1">
      <c r="A82" s="3109">
        <v>45321</v>
      </c>
      <c r="B82" s="2291" t="s">
        <v>16696</v>
      </c>
      <c r="C82" s="2290" t="s">
        <v>58</v>
      </c>
      <c r="D82" s="2290" t="s">
        <v>15443</v>
      </c>
      <c r="E82" s="2290" t="s">
        <v>13951</v>
      </c>
      <c r="F82" s="2912" t="s">
        <v>16692</v>
      </c>
      <c r="G82" s="2290">
        <v>2</v>
      </c>
      <c r="H82" s="2291" t="s">
        <v>16697</v>
      </c>
      <c r="I82" s="2291" t="s">
        <v>15369</v>
      </c>
      <c r="J82" s="2290" t="s">
        <v>1924</v>
      </c>
      <c r="K82" s="2290" t="s">
        <v>16698</v>
      </c>
      <c r="L82" s="2121">
        <v>120000</v>
      </c>
      <c r="M82" s="2290" t="s">
        <v>112</v>
      </c>
      <c r="N82" s="3109">
        <v>45324</v>
      </c>
      <c r="O82" s="3109">
        <v>45338</v>
      </c>
      <c r="P82" s="3109">
        <v>45345</v>
      </c>
      <c r="Q82" s="2291" t="s">
        <v>16868</v>
      </c>
      <c r="R82" s="2290"/>
      <c r="S82" s="2121">
        <v>56039</v>
      </c>
      <c r="T82" s="2121">
        <v>67807.19</v>
      </c>
      <c r="U82" s="2122"/>
      <c r="V82" s="2122"/>
      <c r="W82" s="2122"/>
      <c r="X82" s="2123">
        <v>44980</v>
      </c>
      <c r="Y82" s="2246" t="s">
        <v>16869</v>
      </c>
      <c r="Z82" s="3109">
        <v>45370</v>
      </c>
      <c r="AA82" s="3109">
        <v>45371</v>
      </c>
      <c r="AB82" s="3109">
        <v>45430</v>
      </c>
      <c r="AC82" s="2976"/>
      <c r="AD82" s="2976"/>
      <c r="AE82" s="118">
        <v>1</v>
      </c>
    </row>
    <row r="83" spans="1:31" ht="15.75" thickTop="1">
      <c r="A83" s="3148">
        <v>45321</v>
      </c>
      <c r="B83" s="2936" t="s">
        <v>16694</v>
      </c>
      <c r="C83" s="190" t="s">
        <v>2434</v>
      </c>
      <c r="D83" s="190" t="s">
        <v>219</v>
      </c>
      <c r="E83" s="190" t="s">
        <v>15813</v>
      </c>
      <c r="F83" s="272" t="s">
        <v>16695</v>
      </c>
      <c r="G83" s="190"/>
      <c r="H83" s="2936"/>
      <c r="I83" s="2936" t="s">
        <v>242</v>
      </c>
      <c r="J83" s="190" t="s">
        <v>2951</v>
      </c>
      <c r="K83" s="190"/>
      <c r="L83" s="1542">
        <v>31252173.68</v>
      </c>
      <c r="M83" s="190" t="s">
        <v>251</v>
      </c>
      <c r="N83" s="3148">
        <v>45329</v>
      </c>
      <c r="O83" s="3148">
        <v>45369</v>
      </c>
      <c r="P83" s="3148"/>
      <c r="Q83" s="2488" t="s">
        <v>2635</v>
      </c>
      <c r="R83" s="2627" t="s">
        <v>17388</v>
      </c>
      <c r="S83" s="1542"/>
      <c r="T83" s="1542"/>
      <c r="U83" s="1543"/>
      <c r="V83" s="1543"/>
      <c r="W83" s="1543"/>
      <c r="X83" s="3158"/>
      <c r="Y83" s="3159"/>
      <c r="Z83" s="3148"/>
      <c r="AA83" s="3148">
        <v>45412</v>
      </c>
      <c r="AB83" s="3148" t="s">
        <v>17342</v>
      </c>
      <c r="AC83" s="2976"/>
      <c r="AD83" s="2976"/>
      <c r="AE83" s="118">
        <v>1</v>
      </c>
    </row>
    <row r="84" spans="1:31" ht="30">
      <c r="A84" s="3070" t="s">
        <v>3585</v>
      </c>
      <c r="B84" s="2289" t="s">
        <v>16700</v>
      </c>
      <c r="C84" s="2877" t="s">
        <v>58</v>
      </c>
      <c r="D84" s="2877" t="s">
        <v>15443</v>
      </c>
      <c r="E84" s="2877" t="s">
        <v>655</v>
      </c>
      <c r="F84" s="2913" t="s">
        <v>16701</v>
      </c>
      <c r="G84" s="2877"/>
      <c r="H84" s="2664"/>
      <c r="I84" s="2289" t="s">
        <v>15369</v>
      </c>
      <c r="J84" s="2877" t="s">
        <v>13157</v>
      </c>
      <c r="K84" s="2877" t="s">
        <v>16509</v>
      </c>
      <c r="L84" s="2144">
        <v>440000</v>
      </c>
      <c r="M84" s="2877" t="s">
        <v>112</v>
      </c>
      <c r="N84" s="3070">
        <v>45323</v>
      </c>
      <c r="O84" s="3070">
        <v>45334</v>
      </c>
      <c r="P84" s="3070">
        <v>45344</v>
      </c>
      <c r="Q84" s="2289" t="s">
        <v>9459</v>
      </c>
      <c r="R84" s="2877"/>
      <c r="S84" s="2144">
        <v>263666</v>
      </c>
      <c r="T84" s="2144">
        <v>319035.86</v>
      </c>
      <c r="U84" s="2145"/>
      <c r="V84" s="2145"/>
      <c r="W84" s="2145"/>
      <c r="X84" s="2146">
        <v>45344</v>
      </c>
      <c r="Y84" s="2260" t="s">
        <v>16864</v>
      </c>
      <c r="Z84" s="3070">
        <v>45357</v>
      </c>
      <c r="AA84" s="3070">
        <v>45358</v>
      </c>
      <c r="AB84" s="3070">
        <v>45417</v>
      </c>
      <c r="AC84" s="2976"/>
      <c r="AD84" s="2976"/>
      <c r="AE84" s="118">
        <v>1</v>
      </c>
    </row>
    <row r="85" spans="1:31" ht="15.75" thickBot="1">
      <c r="A85" s="3070" t="s">
        <v>16703</v>
      </c>
      <c r="B85" s="2289" t="s">
        <v>16702</v>
      </c>
      <c r="C85" s="2877" t="s">
        <v>52</v>
      </c>
      <c r="D85" s="2877" t="s">
        <v>16704</v>
      </c>
      <c r="E85" s="2877" t="s">
        <v>13950</v>
      </c>
      <c r="F85" s="2913" t="s">
        <v>14442</v>
      </c>
      <c r="G85" s="2877"/>
      <c r="H85" s="2289"/>
      <c r="I85" s="2289" t="s">
        <v>15369</v>
      </c>
      <c r="J85" s="2877" t="s">
        <v>14443</v>
      </c>
      <c r="K85" s="2877"/>
      <c r="L85" s="2144">
        <v>25000000</v>
      </c>
      <c r="M85" s="2877" t="s">
        <v>251</v>
      </c>
      <c r="N85" s="3070">
        <v>45355</v>
      </c>
      <c r="O85" s="3070">
        <v>45390</v>
      </c>
      <c r="P85" s="3070">
        <v>45448</v>
      </c>
      <c r="Q85" s="2289" t="s">
        <v>15571</v>
      </c>
      <c r="R85" s="2877"/>
      <c r="S85" s="2144">
        <v>23757120</v>
      </c>
      <c r="T85" s="2144">
        <v>28746115.199999999</v>
      </c>
      <c r="U85" s="2145"/>
      <c r="V85" s="2145"/>
      <c r="W85" s="2145"/>
      <c r="X85" s="2146">
        <v>45448</v>
      </c>
      <c r="Y85" s="2260" t="s">
        <v>17588</v>
      </c>
      <c r="Z85" s="3070">
        <v>45510</v>
      </c>
      <c r="AA85" s="3070">
        <v>45538</v>
      </c>
      <c r="AB85" s="3070"/>
      <c r="AC85" s="3059"/>
      <c r="AD85" s="3059"/>
      <c r="AE85" s="118">
        <v>2</v>
      </c>
    </row>
    <row r="86" spans="1:31" ht="16.5" thickTop="1" thickBot="1">
      <c r="A86" s="3070">
        <v>45322</v>
      </c>
      <c r="B86" s="2289" t="s">
        <v>16707</v>
      </c>
      <c r="C86" s="2877" t="s">
        <v>1754</v>
      </c>
      <c r="D86" s="2877" t="s">
        <v>13</v>
      </c>
      <c r="E86" s="2877" t="s">
        <v>13951</v>
      </c>
      <c r="F86" s="2913" t="s">
        <v>16708</v>
      </c>
      <c r="G86" s="2877"/>
      <c r="H86" s="2289"/>
      <c r="I86" s="2289" t="s">
        <v>15369</v>
      </c>
      <c r="J86" s="2877" t="s">
        <v>16709</v>
      </c>
      <c r="K86" s="2877"/>
      <c r="L86" s="2144">
        <v>620000</v>
      </c>
      <c r="M86" s="2877" t="s">
        <v>112</v>
      </c>
      <c r="N86" s="3070">
        <v>45334</v>
      </c>
      <c r="O86" s="3070">
        <v>45355</v>
      </c>
      <c r="P86" s="3070">
        <v>45364</v>
      </c>
      <c r="Q86" s="2289" t="s">
        <v>16995</v>
      </c>
      <c r="R86" s="2877"/>
      <c r="S86" s="2144">
        <v>599335</v>
      </c>
      <c r="T86" s="2144">
        <v>725195.35</v>
      </c>
      <c r="U86" s="2145"/>
      <c r="V86" s="2145"/>
      <c r="W86" s="2145"/>
      <c r="X86" s="2146">
        <v>45364</v>
      </c>
      <c r="Y86" s="2144" t="s">
        <v>16994</v>
      </c>
      <c r="Z86" s="3070">
        <v>45370</v>
      </c>
      <c r="AA86" s="3070">
        <v>45370</v>
      </c>
      <c r="AB86" s="3070">
        <v>45734</v>
      </c>
      <c r="AC86" s="3058"/>
      <c r="AD86" s="3058"/>
      <c r="AE86" s="118">
        <v>7</v>
      </c>
    </row>
    <row r="87" spans="1:31" ht="15.75" thickTop="1">
      <c r="A87" s="3067">
        <v>45323</v>
      </c>
      <c r="B87" s="3068" t="s">
        <v>16712</v>
      </c>
      <c r="C87" s="3069" t="s">
        <v>16536</v>
      </c>
      <c r="D87" s="3069" t="s">
        <v>15129</v>
      </c>
      <c r="E87" s="3069" t="s">
        <v>13951</v>
      </c>
      <c r="F87" s="2914" t="s">
        <v>16713</v>
      </c>
      <c r="G87" s="3069"/>
      <c r="H87" s="3068"/>
      <c r="I87" s="3068" t="s">
        <v>242</v>
      </c>
      <c r="J87" s="3069" t="s">
        <v>72</v>
      </c>
      <c r="K87" s="3069"/>
      <c r="L87" s="2128">
        <v>1131201</v>
      </c>
      <c r="M87" s="3069" t="s">
        <v>112</v>
      </c>
      <c r="N87" s="3067">
        <v>45330</v>
      </c>
      <c r="O87" s="3067">
        <v>45362</v>
      </c>
      <c r="P87" s="3067"/>
      <c r="Q87" s="2136" t="s">
        <v>4505</v>
      </c>
      <c r="R87" s="2275" t="s">
        <v>17051</v>
      </c>
      <c r="S87" s="2128"/>
      <c r="T87" s="2128"/>
      <c r="U87" s="2129"/>
      <c r="V87" s="2129"/>
      <c r="W87" s="2129"/>
      <c r="X87" s="2281"/>
      <c r="Y87" s="2128"/>
      <c r="Z87" s="3067"/>
      <c r="AA87" s="3067">
        <v>45370</v>
      </c>
      <c r="AB87" s="3067"/>
      <c r="AC87" s="3058"/>
      <c r="AD87" s="3058"/>
      <c r="AE87" s="118">
        <v>1</v>
      </c>
    </row>
    <row r="88" spans="1:31" ht="30">
      <c r="A88" s="3067">
        <v>45323</v>
      </c>
      <c r="B88" s="3068" t="s">
        <v>16715</v>
      </c>
      <c r="C88" s="3069" t="s">
        <v>2434</v>
      </c>
      <c r="D88" s="3069" t="s">
        <v>3204</v>
      </c>
      <c r="E88" s="3069" t="s">
        <v>13948</v>
      </c>
      <c r="F88" s="3172" t="s">
        <v>16716</v>
      </c>
      <c r="G88" s="3069"/>
      <c r="H88" s="3068"/>
      <c r="I88" s="3068" t="s">
        <v>242</v>
      </c>
      <c r="J88" s="3069" t="s">
        <v>16717</v>
      </c>
      <c r="K88" s="3069"/>
      <c r="L88" s="2128">
        <v>2066400</v>
      </c>
      <c r="M88" s="3069" t="s">
        <v>216</v>
      </c>
      <c r="N88" s="3067">
        <v>45338</v>
      </c>
      <c r="O88" s="3067">
        <v>45359</v>
      </c>
      <c r="P88" s="3067">
        <v>45398</v>
      </c>
      <c r="Q88" s="2136" t="s">
        <v>4300</v>
      </c>
      <c r="R88" s="2275" t="s">
        <v>17672</v>
      </c>
      <c r="S88" s="2128">
        <v>2583000</v>
      </c>
      <c r="T88" s="2128">
        <v>2892960</v>
      </c>
      <c r="U88" s="2129"/>
      <c r="V88" s="2129"/>
      <c r="W88" s="2129"/>
      <c r="X88" s="2281">
        <v>45398</v>
      </c>
      <c r="Y88" s="2738" t="s">
        <v>17258</v>
      </c>
      <c r="Z88" s="3067"/>
      <c r="AA88" s="3067">
        <v>45456</v>
      </c>
      <c r="AB88" s="3067" t="s">
        <v>17541</v>
      </c>
      <c r="AC88" s="2976"/>
      <c r="AD88" s="2976"/>
      <c r="AE88" s="118">
        <v>1</v>
      </c>
    </row>
    <row r="89" spans="1:31" ht="45">
      <c r="A89" s="3070">
        <v>45323</v>
      </c>
      <c r="B89" s="2289" t="s">
        <v>16714</v>
      </c>
      <c r="C89" s="2877" t="s">
        <v>2434</v>
      </c>
      <c r="D89" s="2877" t="s">
        <v>219</v>
      </c>
      <c r="E89" s="2877" t="s">
        <v>15813</v>
      </c>
      <c r="F89" s="2913" t="s">
        <v>8142</v>
      </c>
      <c r="G89" s="2877"/>
      <c r="H89" s="2289"/>
      <c r="I89" s="2289" t="s">
        <v>15369</v>
      </c>
      <c r="J89" s="2877" t="s">
        <v>16717</v>
      </c>
      <c r="K89" s="2877"/>
      <c r="L89" s="2144">
        <v>5785000</v>
      </c>
      <c r="M89" s="2877" t="s">
        <v>251</v>
      </c>
      <c r="N89" s="3070">
        <v>45329</v>
      </c>
      <c r="O89" s="3070">
        <v>45364</v>
      </c>
      <c r="P89" s="3070">
        <v>45390</v>
      </c>
      <c r="Q89" s="2289" t="s">
        <v>993</v>
      </c>
      <c r="R89" s="2877"/>
      <c r="S89" s="2144">
        <v>6597950.8399999999</v>
      </c>
      <c r="T89" s="2144">
        <v>7389704.9400000004</v>
      </c>
      <c r="U89" s="2145"/>
      <c r="V89" s="2145"/>
      <c r="W89" s="2145"/>
      <c r="X89" s="2146">
        <v>45390</v>
      </c>
      <c r="Y89" s="2260" t="s">
        <v>17178</v>
      </c>
      <c r="Z89" s="3070">
        <v>45419</v>
      </c>
      <c r="AA89" s="3070">
        <v>45419</v>
      </c>
      <c r="AB89" s="3070">
        <v>46513</v>
      </c>
      <c r="AC89" s="2976"/>
      <c r="AD89" s="2976"/>
      <c r="AE89" s="118">
        <v>1</v>
      </c>
    </row>
    <row r="90" spans="1:31" ht="15.75" thickBot="1">
      <c r="A90" s="3070">
        <v>45324</v>
      </c>
      <c r="B90" s="2289" t="s">
        <v>16721</v>
      </c>
      <c r="C90" s="2877" t="s">
        <v>16688</v>
      </c>
      <c r="D90" s="2877" t="s">
        <v>361</v>
      </c>
      <c r="E90" s="2877" t="s">
        <v>655</v>
      </c>
      <c r="F90" s="2913" t="s">
        <v>16724</v>
      </c>
      <c r="G90" s="2877"/>
      <c r="H90" s="2289"/>
      <c r="I90" s="2289" t="s">
        <v>15369</v>
      </c>
      <c r="J90" s="2877" t="s">
        <v>6580</v>
      </c>
      <c r="K90" s="2877"/>
      <c r="L90" s="2144">
        <v>1500000</v>
      </c>
      <c r="M90" s="2877" t="s">
        <v>112</v>
      </c>
      <c r="N90" s="3070">
        <v>45329</v>
      </c>
      <c r="O90" s="3070">
        <v>45352</v>
      </c>
      <c r="P90" s="3070">
        <v>45356</v>
      </c>
      <c r="Q90" s="2289" t="s">
        <v>16939</v>
      </c>
      <c r="R90" s="2877"/>
      <c r="S90" s="2144">
        <v>1545199</v>
      </c>
      <c r="T90" s="2144">
        <v>1869690.79</v>
      </c>
      <c r="U90" s="2145"/>
      <c r="V90" s="2145"/>
      <c r="W90" s="2145"/>
      <c r="X90" s="2146">
        <v>45356</v>
      </c>
      <c r="Y90" s="2144" t="s">
        <v>16938</v>
      </c>
      <c r="Z90" s="3070">
        <v>45370</v>
      </c>
      <c r="AA90" s="3070">
        <v>45370</v>
      </c>
      <c r="AB90" s="3070"/>
      <c r="AC90" s="3059"/>
      <c r="AD90" s="3059"/>
      <c r="AE90" s="118">
        <v>6</v>
      </c>
    </row>
    <row r="91" spans="1:31" ht="15.75" thickTop="1">
      <c r="A91" s="3070">
        <v>45327</v>
      </c>
      <c r="B91" s="2289" t="s">
        <v>16725</v>
      </c>
      <c r="C91" s="2877" t="s">
        <v>16536</v>
      </c>
      <c r="D91" s="2877" t="s">
        <v>15129</v>
      </c>
      <c r="E91" s="2877" t="s">
        <v>13949</v>
      </c>
      <c r="F91" s="3152" t="s">
        <v>16726</v>
      </c>
      <c r="G91" s="2877"/>
      <c r="H91" s="2289"/>
      <c r="I91" s="2289" t="s">
        <v>15369</v>
      </c>
      <c r="J91" s="2877" t="s">
        <v>4276</v>
      </c>
      <c r="K91" s="2877"/>
      <c r="L91" s="2144">
        <v>2209093</v>
      </c>
      <c r="M91" s="2877" t="s">
        <v>235</v>
      </c>
      <c r="N91" s="3070">
        <v>45341</v>
      </c>
      <c r="O91" s="3070">
        <v>45364</v>
      </c>
      <c r="P91" s="3070">
        <v>45405</v>
      </c>
      <c r="Q91" s="2289" t="s">
        <v>13761</v>
      </c>
      <c r="R91" s="2877"/>
      <c r="S91" s="2144">
        <v>2130136.8199999998</v>
      </c>
      <c r="T91" s="2144">
        <v>2385753.2400000002</v>
      </c>
      <c r="U91" s="2145"/>
      <c r="V91" s="2145"/>
      <c r="W91" s="2145"/>
      <c r="X91" s="2146">
        <v>45405</v>
      </c>
      <c r="Y91" s="2144" t="s">
        <v>17322</v>
      </c>
      <c r="Z91" s="3070">
        <v>45433</v>
      </c>
      <c r="AA91" s="3070">
        <v>45435</v>
      </c>
      <c r="AB91" s="3070">
        <v>45797</v>
      </c>
      <c r="AC91" s="3058"/>
      <c r="AD91" s="3058"/>
      <c r="AE91" s="118">
        <v>2</v>
      </c>
    </row>
    <row r="92" spans="1:31" ht="30">
      <c r="A92" s="3070">
        <v>45327</v>
      </c>
      <c r="B92" s="2289" t="s">
        <v>16727</v>
      </c>
      <c r="C92" s="2877" t="s">
        <v>58</v>
      </c>
      <c r="D92" s="2877" t="s">
        <v>15443</v>
      </c>
      <c r="E92" s="2877" t="s">
        <v>655</v>
      </c>
      <c r="F92" s="2913" t="s">
        <v>16728</v>
      </c>
      <c r="G92" s="2877"/>
      <c r="H92" s="2289"/>
      <c r="I92" s="2289" t="s">
        <v>15369</v>
      </c>
      <c r="J92" s="2877" t="s">
        <v>505</v>
      </c>
      <c r="K92" s="2877" t="s">
        <v>18553</v>
      </c>
      <c r="L92" s="2144">
        <v>570000</v>
      </c>
      <c r="M92" s="2877" t="s">
        <v>112</v>
      </c>
      <c r="N92" s="3070">
        <v>45331</v>
      </c>
      <c r="O92" s="3070">
        <v>45342</v>
      </c>
      <c r="P92" s="3070">
        <v>45345</v>
      </c>
      <c r="Q92" s="2289" t="s">
        <v>11530</v>
      </c>
      <c r="R92" s="2877"/>
      <c r="S92" s="2144">
        <v>563338.35</v>
      </c>
      <c r="T92" s="2144">
        <v>681639.4</v>
      </c>
      <c r="U92" s="2145"/>
      <c r="V92" s="2145"/>
      <c r="W92" s="2145"/>
      <c r="X92" s="2146">
        <v>45345</v>
      </c>
      <c r="Y92" s="2260" t="s">
        <v>16865</v>
      </c>
      <c r="Z92" s="3070">
        <v>45357</v>
      </c>
      <c r="AA92" s="3070">
        <v>45358</v>
      </c>
      <c r="AB92" s="3070">
        <v>45532</v>
      </c>
      <c r="AC92" s="2976"/>
      <c r="AD92" s="2976"/>
      <c r="AE92" s="118">
        <v>1</v>
      </c>
    </row>
    <row r="93" spans="1:31" ht="30.75" thickBot="1">
      <c r="A93" s="3070">
        <v>45327</v>
      </c>
      <c r="B93" s="2289" t="s">
        <v>16729</v>
      </c>
      <c r="C93" s="2877" t="s">
        <v>58</v>
      </c>
      <c r="D93" s="2877" t="s">
        <v>15443</v>
      </c>
      <c r="E93" s="2877" t="s">
        <v>13951</v>
      </c>
      <c r="F93" s="2913" t="s">
        <v>14467</v>
      </c>
      <c r="G93" s="2877"/>
      <c r="H93" s="2289"/>
      <c r="I93" s="2289" t="s">
        <v>15369</v>
      </c>
      <c r="J93" s="2877" t="s">
        <v>653</v>
      </c>
      <c r="K93" s="2877" t="s">
        <v>18554</v>
      </c>
      <c r="L93" s="2144">
        <v>1990000</v>
      </c>
      <c r="M93" s="2877" t="s">
        <v>112</v>
      </c>
      <c r="N93" s="3070">
        <v>45331</v>
      </c>
      <c r="O93" s="3070">
        <v>45342</v>
      </c>
      <c r="P93" s="3070">
        <v>45352</v>
      </c>
      <c r="Q93" s="3114" t="s">
        <v>14729</v>
      </c>
      <c r="R93" s="2877"/>
      <c r="S93" s="2144">
        <v>1689281</v>
      </c>
      <c r="T93" s="2144">
        <v>2044030.01</v>
      </c>
      <c r="U93" s="2145"/>
      <c r="V93" s="2145"/>
      <c r="W93" s="2145"/>
      <c r="X93" s="2146">
        <v>45352</v>
      </c>
      <c r="Y93" s="3115" t="s">
        <v>16911</v>
      </c>
      <c r="Z93" s="3070">
        <v>45366</v>
      </c>
      <c r="AA93" s="3070">
        <v>45369</v>
      </c>
      <c r="AB93" s="3070">
        <v>45426</v>
      </c>
      <c r="AC93" s="3059"/>
      <c r="AD93" s="3059"/>
      <c r="AE93" s="118">
        <v>3</v>
      </c>
    </row>
    <row r="94" spans="1:31" ht="30.75" thickTop="1">
      <c r="A94" s="3070">
        <v>45327</v>
      </c>
      <c r="B94" s="2289" t="s">
        <v>16730</v>
      </c>
      <c r="C94" s="2877" t="s">
        <v>58</v>
      </c>
      <c r="D94" s="2877" t="s">
        <v>15443</v>
      </c>
      <c r="E94" s="2877" t="s">
        <v>655</v>
      </c>
      <c r="F94" s="2913" t="s">
        <v>16731</v>
      </c>
      <c r="G94" s="2877"/>
      <c r="H94" s="2289"/>
      <c r="I94" s="2289" t="s">
        <v>15369</v>
      </c>
      <c r="J94" s="2877" t="s">
        <v>1159</v>
      </c>
      <c r="K94" s="2877" t="s">
        <v>18555</v>
      </c>
      <c r="L94" s="2144">
        <v>151000</v>
      </c>
      <c r="M94" s="2877" t="s">
        <v>112</v>
      </c>
      <c r="N94" s="3070">
        <v>45331</v>
      </c>
      <c r="O94" s="3070">
        <v>45342</v>
      </c>
      <c r="P94" s="3070">
        <v>45372</v>
      </c>
      <c r="Q94" s="2289" t="s">
        <v>10486</v>
      </c>
      <c r="R94" s="2877"/>
      <c r="S94" s="2144">
        <v>132980.4</v>
      </c>
      <c r="T94" s="2144">
        <v>160906.28</v>
      </c>
      <c r="U94" s="2145"/>
      <c r="V94" s="2145"/>
      <c r="W94" s="2145"/>
      <c r="X94" s="2146">
        <v>45373</v>
      </c>
      <c r="Y94" s="2260" t="s">
        <v>17061</v>
      </c>
      <c r="Z94" s="3070">
        <v>45378</v>
      </c>
      <c r="AA94" s="3070">
        <v>45379</v>
      </c>
      <c r="AB94" s="3070">
        <v>45498</v>
      </c>
      <c r="AC94" s="2976"/>
      <c r="AD94" s="2976"/>
      <c r="AE94" s="118">
        <v>1</v>
      </c>
    </row>
    <row r="95" spans="1:31" ht="30">
      <c r="A95" s="3070">
        <v>45327</v>
      </c>
      <c r="B95" s="2289" t="s">
        <v>16732</v>
      </c>
      <c r="C95" s="2877" t="s">
        <v>58</v>
      </c>
      <c r="D95" s="2877" t="s">
        <v>15443</v>
      </c>
      <c r="E95" s="2877" t="s">
        <v>13951</v>
      </c>
      <c r="F95" s="2913" t="s">
        <v>16733</v>
      </c>
      <c r="G95" s="2877"/>
      <c r="H95" s="2289"/>
      <c r="I95" s="2289" t="s">
        <v>15369</v>
      </c>
      <c r="J95" s="2877" t="s">
        <v>1159</v>
      </c>
      <c r="K95" s="2877" t="s">
        <v>18556</v>
      </c>
      <c r="L95" s="2144">
        <v>358000</v>
      </c>
      <c r="M95" s="2877" t="s">
        <v>112</v>
      </c>
      <c r="N95" s="3070">
        <v>45331</v>
      </c>
      <c r="O95" s="3070">
        <v>45342</v>
      </c>
      <c r="P95" s="3070">
        <v>45356</v>
      </c>
      <c r="Q95" s="2289" t="s">
        <v>5940</v>
      </c>
      <c r="R95" s="2877"/>
      <c r="S95" s="2144">
        <v>351999</v>
      </c>
      <c r="T95" s="2144">
        <v>421078.79</v>
      </c>
      <c r="U95" s="2145"/>
      <c r="V95" s="2145"/>
      <c r="W95" s="2145"/>
      <c r="X95" s="2146">
        <v>45356</v>
      </c>
      <c r="Y95" s="2260" t="s">
        <v>16941</v>
      </c>
      <c r="Z95" s="3070">
        <v>45370</v>
      </c>
      <c r="AA95" s="3070">
        <v>45371</v>
      </c>
      <c r="AB95" s="3070">
        <v>45430</v>
      </c>
      <c r="AC95" s="2976"/>
      <c r="AD95" s="2976"/>
      <c r="AE95" s="118">
        <v>1</v>
      </c>
    </row>
    <row r="96" spans="1:31" ht="15.75" thickBot="1">
      <c r="A96" s="3070">
        <v>45328</v>
      </c>
      <c r="B96" s="2289" t="s">
        <v>16734</v>
      </c>
      <c r="C96" s="2877" t="s">
        <v>2434</v>
      </c>
      <c r="D96" s="2877" t="s">
        <v>219</v>
      </c>
      <c r="E96" s="2877" t="s">
        <v>13948</v>
      </c>
      <c r="F96" s="3153" t="s">
        <v>16735</v>
      </c>
      <c r="G96" s="2877"/>
      <c r="H96" s="2289"/>
      <c r="I96" s="2289" t="s">
        <v>15369</v>
      </c>
      <c r="J96" s="2877" t="s">
        <v>642</v>
      </c>
      <c r="K96" s="2877"/>
      <c r="L96" s="2144">
        <v>3241320</v>
      </c>
      <c r="M96" s="2877" t="s">
        <v>216</v>
      </c>
      <c r="N96" s="3070">
        <v>45330</v>
      </c>
      <c r="O96" s="3070">
        <v>45349</v>
      </c>
      <c r="P96" s="3070">
        <v>45362</v>
      </c>
      <c r="Q96" s="2289" t="s">
        <v>4905</v>
      </c>
      <c r="R96" s="2877"/>
      <c r="S96" s="2144">
        <v>3638965.76</v>
      </c>
      <c r="T96" s="2144">
        <v>4075641.65</v>
      </c>
      <c r="U96" s="2145"/>
      <c r="V96" s="2145"/>
      <c r="W96" s="2145"/>
      <c r="X96" s="2146">
        <v>45376</v>
      </c>
      <c r="Y96" s="2144" t="s">
        <v>17068</v>
      </c>
      <c r="Z96" s="3070">
        <v>45376</v>
      </c>
      <c r="AA96" s="3070">
        <v>45378</v>
      </c>
      <c r="AB96" s="3070">
        <v>46836</v>
      </c>
      <c r="AC96" s="3065"/>
      <c r="AD96" s="3065"/>
      <c r="AE96" s="118">
        <v>1</v>
      </c>
    </row>
    <row r="97" spans="1:32" ht="16.5" thickTop="1" thickBot="1">
      <c r="A97" s="3081">
        <v>45328</v>
      </c>
      <c r="B97" s="3082" t="s">
        <v>16736</v>
      </c>
      <c r="C97" s="3083" t="s">
        <v>2434</v>
      </c>
      <c r="D97" s="3083" t="s">
        <v>219</v>
      </c>
      <c r="E97" s="3083" t="s">
        <v>13951</v>
      </c>
      <c r="F97" s="3084" t="s">
        <v>8560</v>
      </c>
      <c r="G97" s="3083"/>
      <c r="H97" s="3154"/>
      <c r="I97" s="3154" t="s">
        <v>242</v>
      </c>
      <c r="J97" s="3083" t="s">
        <v>3271</v>
      </c>
      <c r="K97" s="3083"/>
      <c r="L97" s="645">
        <v>632000</v>
      </c>
      <c r="M97" s="3083" t="s">
        <v>112</v>
      </c>
      <c r="N97" s="3081">
        <v>45330</v>
      </c>
      <c r="O97" s="3081">
        <v>45341</v>
      </c>
      <c r="P97" s="3081"/>
      <c r="Q97" s="644" t="s">
        <v>304</v>
      </c>
      <c r="R97" s="2019" t="s">
        <v>16824</v>
      </c>
      <c r="S97" s="645"/>
      <c r="T97" s="645"/>
      <c r="U97" s="1534"/>
      <c r="V97" s="1534"/>
      <c r="W97" s="1534"/>
      <c r="X97" s="2890"/>
      <c r="Y97" s="645"/>
      <c r="Z97" s="3083"/>
      <c r="AA97" s="3081">
        <v>45341</v>
      </c>
      <c r="AB97" s="3082"/>
      <c r="AC97" s="3058"/>
      <c r="AD97" s="3058"/>
    </row>
    <row r="98" spans="1:32" ht="15.75" thickTop="1">
      <c r="A98" s="456">
        <v>45329</v>
      </c>
      <c r="B98" s="2292" t="s">
        <v>16758</v>
      </c>
      <c r="C98" s="943" t="s">
        <v>16536</v>
      </c>
      <c r="D98" s="943" t="s">
        <v>15131</v>
      </c>
      <c r="E98" s="943" t="s">
        <v>15813</v>
      </c>
      <c r="F98" s="713" t="s">
        <v>16737</v>
      </c>
      <c r="G98" s="943">
        <v>1</v>
      </c>
      <c r="H98" s="3164" t="s">
        <v>16760</v>
      </c>
      <c r="I98" s="3164" t="s">
        <v>15369</v>
      </c>
      <c r="J98" s="943" t="s">
        <v>3237</v>
      </c>
      <c r="K98" s="943"/>
      <c r="L98" s="457">
        <v>6879192</v>
      </c>
      <c r="M98" s="943" t="s">
        <v>251</v>
      </c>
      <c r="N98" s="456">
        <v>45341</v>
      </c>
      <c r="O98" s="456">
        <v>45376</v>
      </c>
      <c r="P98" s="456">
        <v>45401</v>
      </c>
      <c r="Q98" s="2292" t="s">
        <v>576</v>
      </c>
      <c r="R98" s="943"/>
      <c r="S98" s="457">
        <v>3093236.1</v>
      </c>
      <c r="T98" s="457">
        <v>3464424.43</v>
      </c>
      <c r="U98" s="1474"/>
      <c r="V98" s="1474"/>
      <c r="W98" s="1474"/>
      <c r="X98" s="570">
        <v>45401</v>
      </c>
      <c r="Y98" s="457" t="s">
        <v>17297</v>
      </c>
      <c r="Z98" s="456">
        <v>45433</v>
      </c>
      <c r="AA98" s="456">
        <v>45435</v>
      </c>
      <c r="AB98" s="456">
        <v>46607</v>
      </c>
      <c r="AC98" s="2976"/>
      <c r="AD98" s="2976"/>
      <c r="AE98" s="118">
        <v>2</v>
      </c>
      <c r="AF98" s="118" t="s">
        <v>17513</v>
      </c>
    </row>
    <row r="99" spans="1:32" ht="15.75" thickBot="1">
      <c r="A99" s="3109">
        <v>45329</v>
      </c>
      <c r="B99" s="2291" t="s">
        <v>16759</v>
      </c>
      <c r="C99" s="2290" t="s">
        <v>16536</v>
      </c>
      <c r="D99" s="2290" t="s">
        <v>15131</v>
      </c>
      <c r="E99" s="2290" t="s">
        <v>15813</v>
      </c>
      <c r="F99" s="2912" t="s">
        <v>16737</v>
      </c>
      <c r="G99" s="2290">
        <v>2</v>
      </c>
      <c r="H99" s="3147" t="s">
        <v>16761</v>
      </c>
      <c r="I99" s="3147" t="s">
        <v>15369</v>
      </c>
      <c r="J99" s="2290" t="s">
        <v>3237</v>
      </c>
      <c r="K99" s="2290"/>
      <c r="L99" s="2121">
        <v>429112</v>
      </c>
      <c r="M99" s="2290" t="s">
        <v>251</v>
      </c>
      <c r="N99" s="3109">
        <v>45341</v>
      </c>
      <c r="O99" s="3109">
        <v>45376</v>
      </c>
      <c r="P99" s="3109">
        <v>45401</v>
      </c>
      <c r="Q99" s="2291" t="s">
        <v>8542</v>
      </c>
      <c r="R99" s="2290"/>
      <c r="S99" s="2121">
        <v>241430.39999999999</v>
      </c>
      <c r="T99" s="2121">
        <v>270402.05</v>
      </c>
      <c r="U99" s="2122"/>
      <c r="V99" s="2122"/>
      <c r="W99" s="2122"/>
      <c r="X99" s="2123">
        <v>45401</v>
      </c>
      <c r="Y99" s="2121" t="s">
        <v>17298</v>
      </c>
      <c r="Z99" s="3109">
        <v>45433</v>
      </c>
      <c r="AA99" s="3109">
        <v>45435</v>
      </c>
      <c r="AB99" s="3109">
        <v>46607</v>
      </c>
      <c r="AC99" s="2976"/>
      <c r="AD99" s="2976"/>
      <c r="AE99" s="118">
        <v>1</v>
      </c>
      <c r="AF99" s="118" t="s">
        <v>17513</v>
      </c>
    </row>
    <row r="100" spans="1:32" ht="30.75" thickTop="1">
      <c r="A100" s="899">
        <v>45329</v>
      </c>
      <c r="B100" s="3123" t="s">
        <v>16738</v>
      </c>
      <c r="C100" s="286" t="s">
        <v>2434</v>
      </c>
      <c r="D100" s="286" t="s">
        <v>3204</v>
      </c>
      <c r="E100" s="286" t="s">
        <v>655</v>
      </c>
      <c r="F100" s="261" t="s">
        <v>16739</v>
      </c>
      <c r="G100" s="286"/>
      <c r="H100" s="3146"/>
      <c r="I100" s="3146" t="s">
        <v>15369</v>
      </c>
      <c r="J100" s="286" t="s">
        <v>642</v>
      </c>
      <c r="K100" s="286"/>
      <c r="L100" s="499">
        <v>902696</v>
      </c>
      <c r="M100" s="286" t="s">
        <v>112</v>
      </c>
      <c r="N100" s="899">
        <v>45334</v>
      </c>
      <c r="O100" s="899">
        <v>45345</v>
      </c>
      <c r="P100" s="899">
        <v>45357</v>
      </c>
      <c r="Q100" s="3123" t="s">
        <v>7296</v>
      </c>
      <c r="R100" s="286"/>
      <c r="S100" s="499">
        <v>860200</v>
      </c>
      <c r="T100" s="499">
        <v>963424</v>
      </c>
      <c r="U100" s="1545"/>
      <c r="V100" s="1545"/>
      <c r="W100" s="1545"/>
      <c r="X100" s="682">
        <v>45357</v>
      </c>
      <c r="Y100" s="1752" t="s">
        <v>16950</v>
      </c>
      <c r="Z100" s="899">
        <v>45370</v>
      </c>
      <c r="AA100" s="899">
        <v>45370</v>
      </c>
      <c r="AB100" s="899">
        <v>46995</v>
      </c>
      <c r="AC100" s="2976"/>
      <c r="AD100" s="2976"/>
      <c r="AE100" s="118">
        <v>1</v>
      </c>
      <c r="AF100" s="118" t="s">
        <v>17030</v>
      </c>
    </row>
    <row r="101" spans="1:32" ht="30">
      <c r="A101" s="3070">
        <v>45330</v>
      </c>
      <c r="B101" s="2289" t="s">
        <v>16749</v>
      </c>
      <c r="C101" s="2877" t="s">
        <v>2434</v>
      </c>
      <c r="D101" s="2877" t="s">
        <v>3204</v>
      </c>
      <c r="E101" s="2877" t="s">
        <v>655</v>
      </c>
      <c r="F101" s="2913" t="s">
        <v>16750</v>
      </c>
      <c r="G101" s="2877"/>
      <c r="H101" s="3114"/>
      <c r="I101" s="3114" t="s">
        <v>15369</v>
      </c>
      <c r="J101" s="2877" t="s">
        <v>642</v>
      </c>
      <c r="K101" s="2877"/>
      <c r="L101" s="2144">
        <v>775000</v>
      </c>
      <c r="M101" s="2877" t="s">
        <v>112</v>
      </c>
      <c r="N101" s="3070">
        <v>45334</v>
      </c>
      <c r="O101" s="3070">
        <v>45345</v>
      </c>
      <c r="P101" s="3070">
        <v>45357</v>
      </c>
      <c r="Q101" s="2289" t="s">
        <v>13607</v>
      </c>
      <c r="R101" s="2877"/>
      <c r="S101" s="2144">
        <v>774792.5</v>
      </c>
      <c r="T101" s="2144">
        <v>867767.6</v>
      </c>
      <c r="U101" s="2145"/>
      <c r="V101" s="2145"/>
      <c r="W101" s="2145"/>
      <c r="X101" s="2146">
        <v>45357</v>
      </c>
      <c r="Y101" s="2260" t="s">
        <v>16949</v>
      </c>
      <c r="Z101" s="3070">
        <v>45376</v>
      </c>
      <c r="AA101" s="3070">
        <v>45376</v>
      </c>
      <c r="AB101" s="3070">
        <v>46950</v>
      </c>
      <c r="AC101" s="2976"/>
      <c r="AD101" s="2976"/>
      <c r="AE101" s="118">
        <v>1</v>
      </c>
      <c r="AF101" s="118" t="s">
        <v>17069</v>
      </c>
    </row>
    <row r="102" spans="1:32">
      <c r="A102" s="3067">
        <v>45331</v>
      </c>
      <c r="B102" s="3068" t="s">
        <v>16767</v>
      </c>
      <c r="C102" s="3069" t="s">
        <v>2434</v>
      </c>
      <c r="D102" s="3069" t="s">
        <v>3204</v>
      </c>
      <c r="E102" s="3069" t="s">
        <v>13948</v>
      </c>
      <c r="F102" s="2914" t="s">
        <v>16768</v>
      </c>
      <c r="G102" s="3069"/>
      <c r="H102" s="3173"/>
      <c r="I102" s="3173" t="s">
        <v>242</v>
      </c>
      <c r="J102" s="3069" t="s">
        <v>642</v>
      </c>
      <c r="K102" s="3069"/>
      <c r="L102" s="2128">
        <v>2467400</v>
      </c>
      <c r="M102" s="3069" t="s">
        <v>251</v>
      </c>
      <c r="N102" s="3067">
        <v>45341</v>
      </c>
      <c r="O102" s="3067">
        <v>45384</v>
      </c>
      <c r="P102" s="3067"/>
      <c r="Q102" s="2136" t="s">
        <v>9147</v>
      </c>
      <c r="R102" s="2275" t="s">
        <v>17679</v>
      </c>
      <c r="S102" s="2128">
        <v>2337400</v>
      </c>
      <c r="T102" s="2128">
        <v>2617888</v>
      </c>
      <c r="U102" s="2129"/>
      <c r="V102" s="2129"/>
      <c r="W102" s="2129"/>
      <c r="X102" s="2281"/>
      <c r="Y102" s="2128"/>
      <c r="Z102" s="3067"/>
      <c r="AA102" s="3067">
        <v>45456</v>
      </c>
      <c r="AB102" s="3067" t="s">
        <v>17541</v>
      </c>
      <c r="AC102" s="2976"/>
      <c r="AD102" s="2976"/>
      <c r="AE102" s="118">
        <v>2</v>
      </c>
    </row>
    <row r="103" spans="1:32">
      <c r="A103" s="3070">
        <v>45329</v>
      </c>
      <c r="B103" s="2289" t="s">
        <v>16743</v>
      </c>
      <c r="C103" s="2877" t="s">
        <v>16536</v>
      </c>
      <c r="D103" s="2877" t="s">
        <v>15131</v>
      </c>
      <c r="E103" s="2877" t="s">
        <v>13949</v>
      </c>
      <c r="F103" s="2913" t="s">
        <v>16744</v>
      </c>
      <c r="G103" s="2877"/>
      <c r="H103" s="2289"/>
      <c r="I103" s="2289" t="s">
        <v>15369</v>
      </c>
      <c r="J103" s="2877" t="s">
        <v>11795</v>
      </c>
      <c r="K103" s="2877"/>
      <c r="L103" s="2144">
        <v>230888939</v>
      </c>
      <c r="M103" s="2877" t="s">
        <v>645</v>
      </c>
      <c r="N103" s="3070">
        <v>45338</v>
      </c>
      <c r="O103" s="3070">
        <v>45341</v>
      </c>
      <c r="P103" s="3070">
        <v>45345</v>
      </c>
      <c r="Q103" s="2289" t="s">
        <v>2534</v>
      </c>
      <c r="R103" s="2877"/>
      <c r="S103" s="2144">
        <v>206150838.15000001</v>
      </c>
      <c r="T103" s="2144">
        <v>230888938.80000001</v>
      </c>
      <c r="U103" s="2145"/>
      <c r="V103" s="2145"/>
      <c r="W103" s="2145"/>
      <c r="X103" s="2146">
        <v>45336</v>
      </c>
      <c r="Y103" s="2144" t="s">
        <v>16894</v>
      </c>
      <c r="Z103" s="3070">
        <v>45349</v>
      </c>
      <c r="AA103" s="3070">
        <v>45350</v>
      </c>
      <c r="AB103" s="3070">
        <v>46444</v>
      </c>
      <c r="AC103" s="2976"/>
      <c r="AD103" s="2976"/>
      <c r="AE103" s="118">
        <v>1</v>
      </c>
    </row>
    <row r="104" spans="1:32" ht="15.75" thickBot="1">
      <c r="A104" s="612">
        <v>45330</v>
      </c>
      <c r="B104" s="2911" t="s">
        <v>16745</v>
      </c>
      <c r="C104" s="609" t="s">
        <v>11687</v>
      </c>
      <c r="D104" s="609" t="s">
        <v>16746</v>
      </c>
      <c r="E104" s="609" t="s">
        <v>13951</v>
      </c>
      <c r="F104" s="610" t="s">
        <v>16747</v>
      </c>
      <c r="G104" s="609"/>
      <c r="H104" s="3120"/>
      <c r="I104" s="3120" t="s">
        <v>15369</v>
      </c>
      <c r="J104" s="609" t="s">
        <v>16748</v>
      </c>
      <c r="K104" s="609"/>
      <c r="L104" s="417">
        <v>830000</v>
      </c>
      <c r="M104" s="609" t="s">
        <v>112</v>
      </c>
      <c r="N104" s="612">
        <v>45331</v>
      </c>
      <c r="O104" s="612">
        <v>45352</v>
      </c>
      <c r="P104" s="612">
        <v>45356</v>
      </c>
      <c r="Q104" s="2911" t="s">
        <v>16936</v>
      </c>
      <c r="R104" s="609"/>
      <c r="S104" s="417">
        <v>460000</v>
      </c>
      <c r="T104" s="417">
        <v>556600</v>
      </c>
      <c r="U104" s="1480"/>
      <c r="V104" s="1480"/>
      <c r="W104" s="1480"/>
      <c r="X104" s="513">
        <v>45357</v>
      </c>
      <c r="Y104" s="417" t="s">
        <v>16951</v>
      </c>
      <c r="Z104" s="612">
        <v>45372</v>
      </c>
      <c r="AA104" s="612">
        <v>45373</v>
      </c>
      <c r="AB104" s="612">
        <v>45462</v>
      </c>
      <c r="AC104" s="2976"/>
      <c r="AD104" s="2976"/>
      <c r="AE104" s="118">
        <v>6</v>
      </c>
    </row>
    <row r="105" spans="1:32" ht="15.75" thickTop="1">
      <c r="A105" s="456">
        <v>45330</v>
      </c>
      <c r="B105" s="2292" t="s">
        <v>16753</v>
      </c>
      <c r="C105" s="943" t="s">
        <v>2434</v>
      </c>
      <c r="D105" s="943" t="s">
        <v>57</v>
      </c>
      <c r="E105" s="943" t="s">
        <v>13948</v>
      </c>
      <c r="F105" s="713" t="s">
        <v>16752</v>
      </c>
      <c r="G105" s="943">
        <v>1</v>
      </c>
      <c r="H105" s="2292" t="s">
        <v>16754</v>
      </c>
      <c r="I105" s="2292" t="s">
        <v>15369</v>
      </c>
      <c r="J105" s="943" t="s">
        <v>2800</v>
      </c>
      <c r="K105" s="943"/>
      <c r="L105" s="457">
        <v>13232000</v>
      </c>
      <c r="M105" s="943" t="s">
        <v>251</v>
      </c>
      <c r="N105" s="456">
        <v>45336</v>
      </c>
      <c r="O105" s="456">
        <v>45399</v>
      </c>
      <c r="P105" s="456">
        <v>45463</v>
      </c>
      <c r="Q105" s="2292" t="s">
        <v>8465</v>
      </c>
      <c r="R105" s="943"/>
      <c r="S105" s="457">
        <v>16299331.199999999</v>
      </c>
      <c r="T105" s="457">
        <v>18255250.940000001</v>
      </c>
      <c r="U105" s="1483"/>
      <c r="V105" s="1483"/>
      <c r="W105" s="1483"/>
      <c r="X105" s="570">
        <v>45463</v>
      </c>
      <c r="Y105" s="457" t="s">
        <v>17689</v>
      </c>
      <c r="Z105" s="456">
        <v>45477</v>
      </c>
      <c r="AA105" s="456">
        <v>45484</v>
      </c>
      <c r="AB105" s="456">
        <v>46937</v>
      </c>
      <c r="AC105" s="3078"/>
      <c r="AD105" s="3078"/>
      <c r="AE105" s="118">
        <v>1</v>
      </c>
    </row>
    <row r="106" spans="1:32" ht="15.75" thickBot="1">
      <c r="A106" s="3109">
        <v>45330</v>
      </c>
      <c r="B106" s="2291" t="s">
        <v>16756</v>
      </c>
      <c r="C106" s="2290" t="s">
        <v>2434</v>
      </c>
      <c r="D106" s="2290" t="s">
        <v>57</v>
      </c>
      <c r="E106" s="2290" t="s">
        <v>13948</v>
      </c>
      <c r="F106" s="2912" t="s">
        <v>16752</v>
      </c>
      <c r="G106" s="2290">
        <v>2</v>
      </c>
      <c r="H106" s="2291" t="s">
        <v>16755</v>
      </c>
      <c r="I106" s="2291" t="s">
        <v>15369</v>
      </c>
      <c r="J106" s="2290" t="s">
        <v>2800</v>
      </c>
      <c r="K106" s="2290"/>
      <c r="L106" s="2121">
        <v>9184000</v>
      </c>
      <c r="M106" s="2290" t="s">
        <v>251</v>
      </c>
      <c r="N106" s="3109">
        <v>45336</v>
      </c>
      <c r="O106" s="3109">
        <v>45399</v>
      </c>
      <c r="P106" s="3109">
        <v>45463</v>
      </c>
      <c r="Q106" s="2291" t="s">
        <v>17629</v>
      </c>
      <c r="R106" s="2290"/>
      <c r="S106" s="2121">
        <v>10136780</v>
      </c>
      <c r="T106" s="2121">
        <v>11353193.6</v>
      </c>
      <c r="U106" s="2095"/>
      <c r="V106" s="2095"/>
      <c r="W106" s="2095"/>
      <c r="X106" s="2123">
        <v>45463</v>
      </c>
      <c r="Y106" s="2121" t="s">
        <v>17690</v>
      </c>
      <c r="Z106" s="3109">
        <v>45477</v>
      </c>
      <c r="AA106" s="3109">
        <v>45484</v>
      </c>
      <c r="AB106" s="3109">
        <v>46937</v>
      </c>
      <c r="AC106" s="2976"/>
      <c r="AD106" s="2976"/>
      <c r="AE106" s="118">
        <v>1</v>
      </c>
    </row>
    <row r="107" spans="1:32" ht="30.75" thickTop="1">
      <c r="A107" s="899">
        <v>45331</v>
      </c>
      <c r="B107" s="3123" t="s">
        <v>16769</v>
      </c>
      <c r="C107" s="286" t="s">
        <v>2434</v>
      </c>
      <c r="D107" s="286" t="s">
        <v>3204</v>
      </c>
      <c r="E107" s="286" t="s">
        <v>15813</v>
      </c>
      <c r="F107" s="261" t="s">
        <v>4211</v>
      </c>
      <c r="G107" s="286"/>
      <c r="H107" s="3123"/>
      <c r="I107" s="3123" t="s">
        <v>15369</v>
      </c>
      <c r="J107" s="286" t="s">
        <v>642</v>
      </c>
      <c r="K107" s="286"/>
      <c r="L107" s="499">
        <v>2800000</v>
      </c>
      <c r="M107" s="286" t="s">
        <v>216</v>
      </c>
      <c r="N107" s="899">
        <v>45343</v>
      </c>
      <c r="O107" s="899">
        <v>45362</v>
      </c>
      <c r="P107" s="899">
        <v>45398</v>
      </c>
      <c r="Q107" s="3123" t="s">
        <v>4839</v>
      </c>
      <c r="R107" s="286"/>
      <c r="S107" s="499">
        <v>2800000</v>
      </c>
      <c r="T107" s="499">
        <v>3136000</v>
      </c>
      <c r="U107" s="1545"/>
      <c r="V107" s="1545"/>
      <c r="W107" s="1545"/>
      <c r="X107" s="682">
        <v>45398</v>
      </c>
      <c r="Y107" s="1752" t="s">
        <v>17257</v>
      </c>
      <c r="Z107" s="899">
        <v>45427</v>
      </c>
      <c r="AA107" s="899">
        <v>45440</v>
      </c>
      <c r="AB107" s="899">
        <v>46919</v>
      </c>
      <c r="AC107" s="3078"/>
      <c r="AD107" s="3078"/>
      <c r="AE107" s="118">
        <v>1</v>
      </c>
      <c r="AF107" s="118" t="s">
        <v>17171</v>
      </c>
    </row>
    <row r="108" spans="1:32">
      <c r="A108" s="3070">
        <v>45335</v>
      </c>
      <c r="B108" s="2289" t="s">
        <v>16843</v>
      </c>
      <c r="C108" s="2877" t="s">
        <v>16688</v>
      </c>
      <c r="D108" s="2877" t="s">
        <v>361</v>
      </c>
      <c r="E108" s="2877" t="s">
        <v>13950</v>
      </c>
      <c r="F108" s="2913" t="s">
        <v>16844</v>
      </c>
      <c r="G108" s="2877"/>
      <c r="H108" s="2289"/>
      <c r="I108" s="2289" t="s">
        <v>15369</v>
      </c>
      <c r="J108" s="2877" t="s">
        <v>16845</v>
      </c>
      <c r="K108" s="2877"/>
      <c r="L108" s="2144">
        <v>2500000</v>
      </c>
      <c r="M108" s="2877" t="s">
        <v>216</v>
      </c>
      <c r="N108" s="3070">
        <v>45349</v>
      </c>
      <c r="O108" s="3070">
        <v>45366</v>
      </c>
      <c r="P108" s="3070">
        <v>45384</v>
      </c>
      <c r="Q108" s="2289" t="s">
        <v>17093</v>
      </c>
      <c r="R108" s="2877"/>
      <c r="S108" s="2144">
        <v>1220703.24</v>
      </c>
      <c r="T108" s="2144">
        <v>1477050.92</v>
      </c>
      <c r="U108" s="2145"/>
      <c r="V108" s="2145"/>
      <c r="W108" s="2145"/>
      <c r="X108" s="2146">
        <v>45384</v>
      </c>
      <c r="Y108" s="2144" t="s">
        <v>17119</v>
      </c>
      <c r="Z108" s="3070">
        <v>45419</v>
      </c>
      <c r="AA108" s="3070">
        <v>45429</v>
      </c>
      <c r="AB108" s="3070">
        <v>46879</v>
      </c>
      <c r="AC108" s="3078"/>
      <c r="AD108" s="3078"/>
      <c r="AE108" s="118">
        <v>1</v>
      </c>
    </row>
    <row r="109" spans="1:32" ht="15.75" thickBot="1">
      <c r="A109" s="612">
        <v>45335</v>
      </c>
      <c r="B109" s="2911" t="s">
        <v>16775</v>
      </c>
      <c r="C109" s="609" t="s">
        <v>2434</v>
      </c>
      <c r="D109" s="609" t="s">
        <v>3204</v>
      </c>
      <c r="E109" s="609" t="s">
        <v>13948</v>
      </c>
      <c r="F109" s="610" t="s">
        <v>16776</v>
      </c>
      <c r="G109" s="609"/>
      <c r="H109" s="2911"/>
      <c r="I109" s="2911" t="s">
        <v>15369</v>
      </c>
      <c r="J109" s="609" t="s">
        <v>642</v>
      </c>
      <c r="K109" s="609"/>
      <c r="L109" s="417">
        <v>6222800</v>
      </c>
      <c r="M109" s="609" t="s">
        <v>251</v>
      </c>
      <c r="N109" s="612">
        <v>45343</v>
      </c>
      <c r="O109" s="612">
        <v>45379</v>
      </c>
      <c r="P109" s="612">
        <v>45399</v>
      </c>
      <c r="Q109" s="2911" t="s">
        <v>17152</v>
      </c>
      <c r="R109" s="609"/>
      <c r="S109" s="417">
        <v>6185200</v>
      </c>
      <c r="T109" s="417">
        <v>6927424</v>
      </c>
      <c r="U109" s="1480"/>
      <c r="V109" s="1480"/>
      <c r="W109" s="1480"/>
      <c r="X109" s="513">
        <v>45399</v>
      </c>
      <c r="Y109" s="417" t="s">
        <v>17281</v>
      </c>
      <c r="Z109" s="612">
        <v>45427</v>
      </c>
      <c r="AA109" s="612">
        <v>45433</v>
      </c>
      <c r="AB109" s="612">
        <v>46888</v>
      </c>
      <c r="AC109" s="2976"/>
      <c r="AD109" s="2976"/>
      <c r="AE109" s="118">
        <v>2</v>
      </c>
      <c r="AF109" s="118" t="s">
        <v>17476</v>
      </c>
    </row>
    <row r="110" spans="1:32" ht="15.75" thickTop="1">
      <c r="A110" s="456">
        <v>45335</v>
      </c>
      <c r="B110" s="2292" t="s">
        <v>16777</v>
      </c>
      <c r="C110" s="943" t="s">
        <v>16536</v>
      </c>
      <c r="D110" s="943" t="s">
        <v>15129</v>
      </c>
      <c r="E110" s="943" t="s">
        <v>13949</v>
      </c>
      <c r="F110" s="713" t="s">
        <v>16778</v>
      </c>
      <c r="G110" s="943">
        <v>1</v>
      </c>
      <c r="H110" s="2292" t="s">
        <v>16895</v>
      </c>
      <c r="I110" s="2292" t="s">
        <v>15369</v>
      </c>
      <c r="J110" s="943" t="s">
        <v>9104</v>
      </c>
      <c r="K110" s="943"/>
      <c r="L110" s="457">
        <v>431814</v>
      </c>
      <c r="M110" s="943" t="s">
        <v>235</v>
      </c>
      <c r="N110" s="456">
        <v>45348</v>
      </c>
      <c r="O110" s="456">
        <v>45369</v>
      </c>
      <c r="P110" s="456">
        <v>45406</v>
      </c>
      <c r="Q110" s="2292" t="s">
        <v>1564</v>
      </c>
      <c r="R110" s="943"/>
      <c r="S110" s="457">
        <v>401221.16</v>
      </c>
      <c r="T110" s="457">
        <v>449367.7</v>
      </c>
      <c r="U110" s="1474"/>
      <c r="V110" s="1474"/>
      <c r="W110" s="1474"/>
      <c r="X110" s="570">
        <v>45406</v>
      </c>
      <c r="Y110" s="457" t="s">
        <v>17332</v>
      </c>
      <c r="Z110" s="456">
        <v>45425</v>
      </c>
      <c r="AA110" s="456">
        <v>45426</v>
      </c>
      <c r="AB110" s="456">
        <v>45789</v>
      </c>
      <c r="AC110" s="2976"/>
      <c r="AD110" s="2976"/>
      <c r="AE110" s="118">
        <v>1</v>
      </c>
    </row>
    <row r="111" spans="1:32">
      <c r="A111" s="3070">
        <v>45335</v>
      </c>
      <c r="B111" s="2289" t="s">
        <v>16779</v>
      </c>
      <c r="C111" s="2877" t="s">
        <v>16536</v>
      </c>
      <c r="D111" s="2877" t="s">
        <v>15129</v>
      </c>
      <c r="E111" s="2877" t="s">
        <v>13949</v>
      </c>
      <c r="F111" s="2913" t="s">
        <v>16778</v>
      </c>
      <c r="G111" s="2877">
        <v>2</v>
      </c>
      <c r="H111" s="2289" t="s">
        <v>16896</v>
      </c>
      <c r="I111" s="2289" t="s">
        <v>15369</v>
      </c>
      <c r="J111" s="2877" t="s">
        <v>9104</v>
      </c>
      <c r="K111" s="2877"/>
      <c r="L111" s="2144">
        <v>1577173</v>
      </c>
      <c r="M111" s="2877" t="s">
        <v>235</v>
      </c>
      <c r="N111" s="3070">
        <v>45348</v>
      </c>
      <c r="O111" s="3070">
        <v>45369</v>
      </c>
      <c r="P111" s="3070">
        <v>45406</v>
      </c>
      <c r="Q111" s="2289" t="s">
        <v>993</v>
      </c>
      <c r="R111" s="2877"/>
      <c r="S111" s="2144">
        <v>1538347.2</v>
      </c>
      <c r="T111" s="2144">
        <v>1722948.86</v>
      </c>
      <c r="U111" s="2145"/>
      <c r="V111" s="2145"/>
      <c r="W111" s="2145"/>
      <c r="X111" s="2146">
        <v>45406</v>
      </c>
      <c r="Y111" s="2144" t="s">
        <v>17333</v>
      </c>
      <c r="Z111" s="3070">
        <v>45425</v>
      </c>
      <c r="AA111" s="3070">
        <v>45426</v>
      </c>
      <c r="AB111" s="3070">
        <v>45789</v>
      </c>
      <c r="AC111" s="2976"/>
      <c r="AD111" s="2976"/>
      <c r="AE111" s="118">
        <v>1</v>
      </c>
    </row>
    <row r="112" spans="1:32" ht="15.75" thickBot="1">
      <c r="A112" s="3109">
        <v>45335</v>
      </c>
      <c r="B112" s="2291" t="s">
        <v>16780</v>
      </c>
      <c r="C112" s="2290" t="s">
        <v>16536</v>
      </c>
      <c r="D112" s="2290" t="s">
        <v>15129</v>
      </c>
      <c r="E112" s="2290" t="s">
        <v>13949</v>
      </c>
      <c r="F112" s="2912" t="s">
        <v>16778</v>
      </c>
      <c r="G112" s="2290">
        <v>3</v>
      </c>
      <c r="H112" s="2912" t="s">
        <v>16897</v>
      </c>
      <c r="I112" s="2912" t="s">
        <v>15369</v>
      </c>
      <c r="J112" s="2290" t="s">
        <v>9104</v>
      </c>
      <c r="K112" s="2290"/>
      <c r="L112" s="2121">
        <v>494239.34</v>
      </c>
      <c r="M112" s="2290" t="s">
        <v>235</v>
      </c>
      <c r="N112" s="3109">
        <v>45348</v>
      </c>
      <c r="O112" s="3109">
        <v>45369</v>
      </c>
      <c r="P112" s="3109">
        <v>45406</v>
      </c>
      <c r="Q112" s="2291" t="s">
        <v>6071</v>
      </c>
      <c r="R112" s="2290"/>
      <c r="S112" s="2121">
        <v>494239.34</v>
      </c>
      <c r="T112" s="2121">
        <v>553548.06000000006</v>
      </c>
      <c r="U112" s="2122"/>
      <c r="V112" s="2122"/>
      <c r="W112" s="2122"/>
      <c r="X112" s="2123">
        <v>45406</v>
      </c>
      <c r="Y112" s="2121" t="s">
        <v>17334</v>
      </c>
      <c r="Z112" s="3109">
        <v>45425</v>
      </c>
      <c r="AA112" s="3109">
        <v>45426</v>
      </c>
      <c r="AB112" s="3109">
        <v>45789</v>
      </c>
      <c r="AC112" s="2976"/>
      <c r="AD112" s="2976"/>
      <c r="AE112" s="118">
        <v>1</v>
      </c>
    </row>
    <row r="113" spans="1:32" ht="15.75" thickTop="1">
      <c r="A113" s="2932">
        <v>45335</v>
      </c>
      <c r="B113" s="2933" t="s">
        <v>16781</v>
      </c>
      <c r="C113" s="2934" t="s">
        <v>2434</v>
      </c>
      <c r="D113" s="2934" t="s">
        <v>219</v>
      </c>
      <c r="E113" s="2934" t="s">
        <v>15813</v>
      </c>
      <c r="F113" s="2935" t="s">
        <v>16782</v>
      </c>
      <c r="G113" s="2934"/>
      <c r="H113" s="2935"/>
      <c r="I113" s="272" t="s">
        <v>242</v>
      </c>
      <c r="J113" s="2934" t="s">
        <v>642</v>
      </c>
      <c r="K113" s="2934"/>
      <c r="L113" s="2937">
        <v>4290000</v>
      </c>
      <c r="M113" s="2934" t="s">
        <v>251</v>
      </c>
      <c r="N113" s="2932">
        <v>45349</v>
      </c>
      <c r="O113" s="2932">
        <v>45407</v>
      </c>
      <c r="P113" s="2934"/>
      <c r="Q113" s="2939" t="s">
        <v>17408</v>
      </c>
      <c r="R113" s="2934"/>
      <c r="S113" s="2937"/>
      <c r="T113" s="2937"/>
      <c r="U113" s="2938"/>
      <c r="V113" s="2938"/>
      <c r="W113" s="2938"/>
      <c r="X113" s="2937"/>
      <c r="Y113" s="2937"/>
      <c r="Z113" s="2934"/>
      <c r="AA113" s="2932">
        <v>45443</v>
      </c>
      <c r="AB113" s="2933" t="s">
        <v>17407</v>
      </c>
      <c r="AC113" s="2976"/>
      <c r="AD113" s="2976"/>
      <c r="AE113" s="118">
        <v>3</v>
      </c>
    </row>
    <row r="114" spans="1:32" ht="30.75" thickBot="1">
      <c r="A114" s="618">
        <v>45338</v>
      </c>
      <c r="B114" s="2631" t="s">
        <v>16792</v>
      </c>
      <c r="C114" s="413" t="s">
        <v>2434</v>
      </c>
      <c r="D114" s="413" t="s">
        <v>3204</v>
      </c>
      <c r="E114" s="413" t="s">
        <v>655</v>
      </c>
      <c r="F114" s="615" t="s">
        <v>16793</v>
      </c>
      <c r="G114" s="413"/>
      <c r="H114" s="615"/>
      <c r="I114" s="610" t="s">
        <v>15369</v>
      </c>
      <c r="J114" s="413" t="s">
        <v>642</v>
      </c>
      <c r="K114" s="413"/>
      <c r="L114" s="620">
        <v>540000</v>
      </c>
      <c r="M114" s="413" t="s">
        <v>112</v>
      </c>
      <c r="N114" s="618">
        <v>45342</v>
      </c>
      <c r="O114" s="618">
        <v>45355</v>
      </c>
      <c r="P114" s="618">
        <v>45359</v>
      </c>
      <c r="Q114" s="2631" t="s">
        <v>14117</v>
      </c>
      <c r="R114" s="413"/>
      <c r="S114" s="620">
        <v>540000</v>
      </c>
      <c r="T114" s="620">
        <v>604800</v>
      </c>
      <c r="U114" s="2686"/>
      <c r="V114" s="2686"/>
      <c r="W114" s="2686"/>
      <c r="X114" s="2632">
        <v>45359</v>
      </c>
      <c r="Y114" s="2633" t="s">
        <v>16976</v>
      </c>
      <c r="Z114" s="618">
        <v>45370</v>
      </c>
      <c r="AA114" s="618">
        <v>45370</v>
      </c>
      <c r="AB114" s="618">
        <v>46934</v>
      </c>
      <c r="AC114" s="3059"/>
      <c r="AD114" s="3059"/>
      <c r="AE114" s="118">
        <v>1</v>
      </c>
      <c r="AF114" s="118" t="s">
        <v>17034</v>
      </c>
    </row>
    <row r="115" spans="1:32" ht="30.75" thickTop="1">
      <c r="A115" s="456">
        <v>45341</v>
      </c>
      <c r="B115" s="2292" t="s">
        <v>16802</v>
      </c>
      <c r="C115" s="943" t="s">
        <v>58</v>
      </c>
      <c r="D115" s="943" t="s">
        <v>15443</v>
      </c>
      <c r="E115" s="943" t="s">
        <v>13950</v>
      </c>
      <c r="F115" s="713" t="s">
        <v>14909</v>
      </c>
      <c r="G115" s="943">
        <v>1</v>
      </c>
      <c r="H115" s="2292" t="s">
        <v>16807</v>
      </c>
      <c r="I115" s="2292" t="s">
        <v>15369</v>
      </c>
      <c r="J115" s="943" t="s">
        <v>16805</v>
      </c>
      <c r="K115" s="943" t="s">
        <v>18538</v>
      </c>
      <c r="L115" s="457">
        <v>540000</v>
      </c>
      <c r="M115" s="943" t="s">
        <v>251</v>
      </c>
      <c r="N115" s="456">
        <v>45350</v>
      </c>
      <c r="O115" s="456">
        <v>45405</v>
      </c>
      <c r="P115" s="943"/>
      <c r="Q115" s="2292" t="s">
        <v>17377</v>
      </c>
      <c r="R115" s="2015"/>
      <c r="S115" s="457">
        <v>483800</v>
      </c>
      <c r="T115" s="457">
        <v>585398</v>
      </c>
      <c r="U115" s="1474"/>
      <c r="V115" s="1474"/>
      <c r="W115" s="1474"/>
      <c r="X115" s="570">
        <v>45421</v>
      </c>
      <c r="Y115" s="1387" t="s">
        <v>17449</v>
      </c>
      <c r="Z115" s="456">
        <v>45439</v>
      </c>
      <c r="AA115" s="456">
        <v>45457</v>
      </c>
      <c r="AB115" s="456">
        <v>45469</v>
      </c>
      <c r="AC115" s="3078"/>
      <c r="AD115" s="3078"/>
      <c r="AE115" s="118">
        <v>1</v>
      </c>
    </row>
    <row r="116" spans="1:32" ht="30">
      <c r="A116" s="3070">
        <v>45341</v>
      </c>
      <c r="B116" s="2289" t="s">
        <v>16803</v>
      </c>
      <c r="C116" s="2877" t="s">
        <v>58</v>
      </c>
      <c r="D116" s="2877" t="s">
        <v>15443</v>
      </c>
      <c r="E116" s="2877" t="s">
        <v>13950</v>
      </c>
      <c r="F116" s="2913" t="s">
        <v>14909</v>
      </c>
      <c r="G116" s="2877">
        <v>2</v>
      </c>
      <c r="H116" s="2289" t="s">
        <v>16808</v>
      </c>
      <c r="I116" s="2289" t="s">
        <v>15369</v>
      </c>
      <c r="J116" s="2877" t="s">
        <v>16806</v>
      </c>
      <c r="K116" s="2877" t="s">
        <v>18539</v>
      </c>
      <c r="L116" s="2144">
        <v>200000</v>
      </c>
      <c r="M116" s="2877" t="s">
        <v>251</v>
      </c>
      <c r="N116" s="3070">
        <v>45350</v>
      </c>
      <c r="O116" s="3070">
        <v>45405</v>
      </c>
      <c r="P116" s="2877"/>
      <c r="Q116" s="2289" t="s">
        <v>17377</v>
      </c>
      <c r="R116" s="2275"/>
      <c r="S116" s="2144">
        <v>316800</v>
      </c>
      <c r="T116" s="2144">
        <v>383328</v>
      </c>
      <c r="U116" s="2145"/>
      <c r="V116" s="2145"/>
      <c r="W116" s="2145"/>
      <c r="X116" s="2146">
        <v>45421</v>
      </c>
      <c r="Y116" s="2260" t="s">
        <v>17451</v>
      </c>
      <c r="Z116" s="3070">
        <v>45439</v>
      </c>
      <c r="AA116" s="3070">
        <v>45457</v>
      </c>
      <c r="AB116" s="3070">
        <v>45481</v>
      </c>
      <c r="AC116" s="3066"/>
      <c r="AD116" s="3066"/>
      <c r="AE116" s="118">
        <v>1</v>
      </c>
    </row>
    <row r="117" spans="1:32" ht="30.75" thickBot="1">
      <c r="A117" s="3109">
        <v>45341</v>
      </c>
      <c r="B117" s="2291" t="s">
        <v>16804</v>
      </c>
      <c r="C117" s="2290" t="s">
        <v>58</v>
      </c>
      <c r="D117" s="2290" t="s">
        <v>15443</v>
      </c>
      <c r="E117" s="2290" t="s">
        <v>13950</v>
      </c>
      <c r="F117" s="2912" t="s">
        <v>14909</v>
      </c>
      <c r="G117" s="2290">
        <v>3</v>
      </c>
      <c r="H117" s="2291" t="s">
        <v>16809</v>
      </c>
      <c r="I117" s="2291" t="s">
        <v>15369</v>
      </c>
      <c r="J117" s="2290" t="s">
        <v>16806</v>
      </c>
      <c r="K117" s="2290" t="s">
        <v>18540</v>
      </c>
      <c r="L117" s="2121">
        <v>2940000</v>
      </c>
      <c r="M117" s="2290" t="s">
        <v>251</v>
      </c>
      <c r="N117" s="3109">
        <v>45350</v>
      </c>
      <c r="O117" s="3109">
        <v>45405</v>
      </c>
      <c r="P117" s="2290"/>
      <c r="Q117" s="2291" t="s">
        <v>17377</v>
      </c>
      <c r="R117" s="2287"/>
      <c r="S117" s="2121">
        <v>2848800</v>
      </c>
      <c r="T117" s="2121">
        <v>3447048</v>
      </c>
      <c r="U117" s="2122"/>
      <c r="V117" s="2122"/>
      <c r="W117" s="2122"/>
      <c r="X117" s="2123">
        <v>45421</v>
      </c>
      <c r="Y117" s="2246" t="s">
        <v>17450</v>
      </c>
      <c r="Z117" s="3109">
        <v>45439</v>
      </c>
      <c r="AA117" s="3109">
        <v>45457</v>
      </c>
      <c r="AB117" s="3109">
        <v>45469</v>
      </c>
      <c r="AC117" s="3066"/>
      <c r="AD117" s="3066"/>
      <c r="AE117" s="118">
        <v>1</v>
      </c>
    </row>
    <row r="118" spans="1:32" ht="31.5" thickTop="1" thickBot="1">
      <c r="A118" s="899">
        <v>45341</v>
      </c>
      <c r="B118" s="3123" t="s">
        <v>16799</v>
      </c>
      <c r="C118" s="286" t="s">
        <v>58</v>
      </c>
      <c r="D118" s="286" t="s">
        <v>15443</v>
      </c>
      <c r="E118" s="286" t="s">
        <v>13951</v>
      </c>
      <c r="F118" s="3133" t="s">
        <v>16800</v>
      </c>
      <c r="G118" s="286"/>
      <c r="H118" s="3123"/>
      <c r="I118" s="3123" t="s">
        <v>15369</v>
      </c>
      <c r="J118" s="286" t="s">
        <v>16801</v>
      </c>
      <c r="K118" s="286" t="s">
        <v>18557</v>
      </c>
      <c r="L118" s="499">
        <v>91000</v>
      </c>
      <c r="M118" s="286" t="s">
        <v>112</v>
      </c>
      <c r="N118" s="899">
        <v>45343</v>
      </c>
      <c r="O118" s="899">
        <v>45355</v>
      </c>
      <c r="P118" s="899">
        <v>45356</v>
      </c>
      <c r="Q118" s="3123" t="s">
        <v>12583</v>
      </c>
      <c r="R118" s="286"/>
      <c r="S118" s="499">
        <v>90530</v>
      </c>
      <c r="T118" s="499">
        <v>109541.3</v>
      </c>
      <c r="U118" s="1545"/>
      <c r="V118" s="1545"/>
      <c r="W118" s="1545"/>
      <c r="X118" s="682">
        <v>45356</v>
      </c>
      <c r="Y118" s="1752" t="s">
        <v>16937</v>
      </c>
      <c r="Z118" s="899">
        <v>45366</v>
      </c>
      <c r="AA118" s="899">
        <v>45369</v>
      </c>
      <c r="AB118" s="899">
        <v>45426</v>
      </c>
      <c r="AC118" s="3065"/>
      <c r="AD118" s="3065"/>
      <c r="AE118" s="118">
        <v>1</v>
      </c>
    </row>
    <row r="119" spans="1:32" ht="30.75" thickTop="1">
      <c r="A119" s="3070">
        <v>45341</v>
      </c>
      <c r="B119" s="2289" t="s">
        <v>16811</v>
      </c>
      <c r="C119" s="2877" t="s">
        <v>2434</v>
      </c>
      <c r="D119" s="2877" t="s">
        <v>3204</v>
      </c>
      <c r="E119" s="2877" t="s">
        <v>13951</v>
      </c>
      <c r="F119" s="2913" t="s">
        <v>16812</v>
      </c>
      <c r="G119" s="2877"/>
      <c r="H119" s="2289"/>
      <c r="I119" s="2289" t="s">
        <v>15369</v>
      </c>
      <c r="J119" s="2877" t="s">
        <v>642</v>
      </c>
      <c r="K119" s="2877"/>
      <c r="L119" s="2144">
        <v>1558000</v>
      </c>
      <c r="M119" s="2877" t="s">
        <v>112</v>
      </c>
      <c r="N119" s="3070">
        <v>45344</v>
      </c>
      <c r="O119" s="3070">
        <v>45355</v>
      </c>
      <c r="P119" s="3070">
        <v>45362</v>
      </c>
      <c r="Q119" s="2289" t="s">
        <v>7296</v>
      </c>
      <c r="R119" s="2877"/>
      <c r="S119" s="2144">
        <v>1558000</v>
      </c>
      <c r="T119" s="2144">
        <v>1744960</v>
      </c>
      <c r="U119" s="2145"/>
      <c r="V119" s="2145"/>
      <c r="W119" s="2145"/>
      <c r="X119" s="2146">
        <v>45362</v>
      </c>
      <c r="Y119" s="2260" t="s">
        <v>16983</v>
      </c>
      <c r="Z119" s="3070">
        <v>45370</v>
      </c>
      <c r="AA119" s="3070">
        <v>45371</v>
      </c>
      <c r="AB119" s="3070">
        <v>46904</v>
      </c>
      <c r="AC119" s="3058"/>
      <c r="AD119" s="3058"/>
      <c r="AE119" s="118">
        <v>1</v>
      </c>
      <c r="AF119" s="118" t="s">
        <v>17050</v>
      </c>
    </row>
    <row r="120" spans="1:32">
      <c r="A120" s="3070">
        <v>45341</v>
      </c>
      <c r="B120" s="2289" t="s">
        <v>16813</v>
      </c>
      <c r="C120" s="2877" t="s">
        <v>16536</v>
      </c>
      <c r="D120" s="2877" t="s">
        <v>15129</v>
      </c>
      <c r="E120" s="2877" t="s">
        <v>13949</v>
      </c>
      <c r="F120" s="2913" t="s">
        <v>16814</v>
      </c>
      <c r="G120" s="2877"/>
      <c r="H120" s="2289"/>
      <c r="I120" s="2289" t="s">
        <v>15369</v>
      </c>
      <c r="J120" s="2877" t="s">
        <v>93</v>
      </c>
      <c r="K120" s="2877"/>
      <c r="L120" s="2144">
        <v>34388429</v>
      </c>
      <c r="M120" s="2877" t="s">
        <v>235</v>
      </c>
      <c r="N120" s="3070">
        <v>45348</v>
      </c>
      <c r="O120" s="3070">
        <v>45384</v>
      </c>
      <c r="P120" s="3070">
        <v>45404</v>
      </c>
      <c r="Q120" s="2289" t="s">
        <v>17310</v>
      </c>
      <c r="R120" s="2877"/>
      <c r="S120" s="2144">
        <v>28069205.399999999</v>
      </c>
      <c r="T120" s="2144">
        <v>31437510.050000001</v>
      </c>
      <c r="U120" s="2145"/>
      <c r="V120" s="2145"/>
      <c r="W120" s="2145"/>
      <c r="X120" s="2146">
        <v>45404</v>
      </c>
      <c r="Y120" s="2144" t="s">
        <v>17309</v>
      </c>
      <c r="Z120" s="3070">
        <v>45418</v>
      </c>
      <c r="AA120" s="3070">
        <v>45421</v>
      </c>
      <c r="AB120" s="3070">
        <v>46512</v>
      </c>
      <c r="AC120" s="2976"/>
      <c r="AD120" s="2976"/>
      <c r="AE120" s="118">
        <v>1</v>
      </c>
    </row>
    <row r="121" spans="1:32" ht="30">
      <c r="A121" s="3070" t="s">
        <v>16683</v>
      </c>
      <c r="B121" s="2289" t="s">
        <v>16820</v>
      </c>
      <c r="C121" s="2877" t="s">
        <v>16684</v>
      </c>
      <c r="D121" s="2877" t="s">
        <v>55</v>
      </c>
      <c r="E121" s="2877" t="s">
        <v>655</v>
      </c>
      <c r="F121" s="2913" t="s">
        <v>16821</v>
      </c>
      <c r="G121" s="2877"/>
      <c r="H121" s="2289"/>
      <c r="I121" s="2289" t="s">
        <v>15369</v>
      </c>
      <c r="J121" s="2877" t="s">
        <v>16686</v>
      </c>
      <c r="K121" s="2877"/>
      <c r="L121" s="2144">
        <v>925500</v>
      </c>
      <c r="M121" s="2877" t="s">
        <v>112</v>
      </c>
      <c r="N121" s="3070">
        <v>45345</v>
      </c>
      <c r="O121" s="3070">
        <v>45362</v>
      </c>
      <c r="P121" s="3070">
        <v>45372</v>
      </c>
      <c r="Q121" s="2289" t="s">
        <v>17045</v>
      </c>
      <c r="R121" s="2877"/>
      <c r="S121" s="2144">
        <v>1947900</v>
      </c>
      <c r="T121" s="2144">
        <v>2356959</v>
      </c>
      <c r="U121" s="2145"/>
      <c r="V121" s="2145"/>
      <c r="W121" s="2145"/>
      <c r="X121" s="2146">
        <v>45372</v>
      </c>
      <c r="Y121" s="2260" t="s">
        <v>17057</v>
      </c>
      <c r="Z121" s="3070">
        <v>45391</v>
      </c>
      <c r="AA121" s="3070">
        <v>45391</v>
      </c>
      <c r="AB121" s="3070">
        <v>45405</v>
      </c>
      <c r="AC121" s="3065"/>
      <c r="AD121" s="3065"/>
      <c r="AE121" s="118">
        <v>2</v>
      </c>
    </row>
    <row r="122" spans="1:32" ht="15.75" thickBot="1">
      <c r="A122" s="3070">
        <v>45342</v>
      </c>
      <c r="B122" s="2289" t="s">
        <v>16815</v>
      </c>
      <c r="C122" s="2877" t="s">
        <v>16688</v>
      </c>
      <c r="D122" s="2877" t="s">
        <v>361</v>
      </c>
      <c r="E122" s="2877" t="s">
        <v>13950</v>
      </c>
      <c r="F122" s="2913" t="s">
        <v>16816</v>
      </c>
      <c r="G122" s="2877"/>
      <c r="H122" s="2289"/>
      <c r="I122" s="2289" t="s">
        <v>15369</v>
      </c>
      <c r="J122" s="2877" t="s">
        <v>15762</v>
      </c>
      <c r="K122" s="2877"/>
      <c r="L122" s="2144">
        <v>10000000</v>
      </c>
      <c r="M122" s="2877" t="s">
        <v>251</v>
      </c>
      <c r="N122" s="3070">
        <v>45350</v>
      </c>
      <c r="O122" s="3070">
        <v>45384</v>
      </c>
      <c r="P122" s="3070">
        <v>45399</v>
      </c>
      <c r="Q122" s="2289" t="s">
        <v>333</v>
      </c>
      <c r="R122" s="2877"/>
      <c r="S122" s="2144">
        <v>9525000</v>
      </c>
      <c r="T122" s="2144">
        <v>11525250</v>
      </c>
      <c r="U122" s="2145"/>
      <c r="V122" s="2145"/>
      <c r="W122" s="2145"/>
      <c r="X122" s="2146">
        <v>45399</v>
      </c>
      <c r="Y122" s="2144" t="s">
        <v>17282</v>
      </c>
      <c r="Z122" s="3070">
        <v>45415</v>
      </c>
      <c r="AA122" s="3070">
        <v>45429</v>
      </c>
      <c r="AB122" s="3070">
        <v>46875</v>
      </c>
      <c r="AC122" s="3059"/>
      <c r="AD122" s="3059"/>
      <c r="AE122" s="118">
        <v>1</v>
      </c>
    </row>
    <row r="123" spans="1:32" ht="30.75" thickTop="1">
      <c r="A123" s="3070" t="s">
        <v>16736</v>
      </c>
      <c r="B123" s="2289" t="s">
        <v>16823</v>
      </c>
      <c r="C123" s="2877" t="s">
        <v>2434</v>
      </c>
      <c r="D123" s="2877" t="s">
        <v>219</v>
      </c>
      <c r="E123" s="2877" t="s">
        <v>13951</v>
      </c>
      <c r="F123" s="2913" t="s">
        <v>8957</v>
      </c>
      <c r="G123" s="2877"/>
      <c r="H123" s="2289"/>
      <c r="I123" s="2289" t="s">
        <v>15369</v>
      </c>
      <c r="J123" s="2877" t="s">
        <v>642</v>
      </c>
      <c r="K123" s="2877"/>
      <c r="L123" s="2144">
        <v>632000</v>
      </c>
      <c r="M123" s="2877" t="s">
        <v>112</v>
      </c>
      <c r="N123" s="3070">
        <v>45343</v>
      </c>
      <c r="O123" s="3070">
        <v>45355</v>
      </c>
      <c r="P123" s="3070">
        <v>45362</v>
      </c>
      <c r="Q123" s="2289" t="s">
        <v>3478</v>
      </c>
      <c r="R123" s="2877"/>
      <c r="S123" s="2144">
        <v>632000</v>
      </c>
      <c r="T123" s="2144">
        <v>707840</v>
      </c>
      <c r="U123" s="2145"/>
      <c r="V123" s="2145"/>
      <c r="W123" s="2145"/>
      <c r="X123" s="2146">
        <v>45362</v>
      </c>
      <c r="Y123" s="2260" t="s">
        <v>16984</v>
      </c>
      <c r="Z123" s="3070">
        <v>45386</v>
      </c>
      <c r="AA123" s="3070">
        <v>45387</v>
      </c>
      <c r="AB123" s="3070">
        <v>46952</v>
      </c>
      <c r="AC123" s="3078"/>
      <c r="AD123" s="3078"/>
      <c r="AE123" s="118">
        <v>1</v>
      </c>
      <c r="AF123" s="118" t="s">
        <v>17160</v>
      </c>
    </row>
    <row r="124" spans="1:32" ht="45">
      <c r="A124" s="3070">
        <v>45342</v>
      </c>
      <c r="B124" s="2289" t="s">
        <v>16826</v>
      </c>
      <c r="C124" s="2877" t="s">
        <v>3678</v>
      </c>
      <c r="D124" s="2877" t="s">
        <v>918</v>
      </c>
      <c r="E124" s="2877" t="s">
        <v>13950</v>
      </c>
      <c r="F124" s="2913" t="s">
        <v>16827</v>
      </c>
      <c r="G124" s="2877"/>
      <c r="H124" s="2289"/>
      <c r="I124" s="2289" t="s">
        <v>15369</v>
      </c>
      <c r="J124" s="2877" t="s">
        <v>1518</v>
      </c>
      <c r="K124" s="2877"/>
      <c r="L124" s="2144">
        <v>36000000</v>
      </c>
      <c r="M124" s="2877" t="s">
        <v>251</v>
      </c>
      <c r="N124" s="3070">
        <v>45436</v>
      </c>
      <c r="O124" s="3070">
        <v>45470</v>
      </c>
      <c r="P124" s="3070">
        <v>45482</v>
      </c>
      <c r="Q124" s="2289" t="s">
        <v>3107</v>
      </c>
      <c r="R124" s="2877"/>
      <c r="S124" s="2144">
        <v>503741.68</v>
      </c>
      <c r="T124" s="2144">
        <v>609527.43000000005</v>
      </c>
      <c r="U124" s="2145"/>
      <c r="V124" s="2145"/>
      <c r="W124" s="2145"/>
      <c r="X124" s="2146">
        <v>45483</v>
      </c>
      <c r="Y124" s="2260" t="s">
        <v>17864</v>
      </c>
      <c r="Z124" s="3070">
        <v>45496</v>
      </c>
      <c r="AA124" s="3070">
        <v>45519</v>
      </c>
      <c r="AB124" s="3070"/>
      <c r="AC124" s="2976"/>
      <c r="AD124" s="2976"/>
      <c r="AE124" s="118">
        <v>1</v>
      </c>
    </row>
    <row r="125" spans="1:32" ht="15.75" thickBot="1">
      <c r="A125" s="3070">
        <v>45342</v>
      </c>
      <c r="B125" s="2289" t="s">
        <v>16828</v>
      </c>
      <c r="C125" s="2877" t="s">
        <v>2434</v>
      </c>
      <c r="D125" s="2877" t="s">
        <v>219</v>
      </c>
      <c r="E125" s="2877" t="s">
        <v>13948</v>
      </c>
      <c r="F125" s="2913" t="s">
        <v>16829</v>
      </c>
      <c r="G125" s="2877"/>
      <c r="H125" s="2289"/>
      <c r="I125" s="2289" t="s">
        <v>15369</v>
      </c>
      <c r="J125" s="2877" t="s">
        <v>3890</v>
      </c>
      <c r="K125" s="2877"/>
      <c r="L125" s="2144">
        <v>2775600</v>
      </c>
      <c r="M125" s="2877" t="s">
        <v>216</v>
      </c>
      <c r="N125" s="3070">
        <v>45349</v>
      </c>
      <c r="O125" s="3070">
        <v>45384</v>
      </c>
      <c r="P125" s="3070">
        <v>45390</v>
      </c>
      <c r="Q125" s="2289" t="s">
        <v>993</v>
      </c>
      <c r="R125" s="2877"/>
      <c r="S125" s="2144">
        <v>2520000</v>
      </c>
      <c r="T125" s="2144">
        <v>2822400</v>
      </c>
      <c r="U125" s="2145"/>
      <c r="V125" s="2145"/>
      <c r="W125" s="2145"/>
      <c r="X125" s="2146">
        <v>45390</v>
      </c>
      <c r="Y125" s="2144" t="s">
        <v>17176</v>
      </c>
      <c r="Z125" s="3070">
        <v>45405</v>
      </c>
      <c r="AA125" s="3070">
        <v>45414</v>
      </c>
      <c r="AB125" s="3070">
        <v>46865</v>
      </c>
      <c r="AC125" s="2976"/>
      <c r="AD125" s="2976"/>
      <c r="AE125" s="118">
        <v>1</v>
      </c>
    </row>
    <row r="126" spans="1:32" ht="30.75" thickTop="1">
      <c r="A126" s="3070">
        <v>45342</v>
      </c>
      <c r="B126" s="2289" t="s">
        <v>16833</v>
      </c>
      <c r="C126" s="2877" t="s">
        <v>2434</v>
      </c>
      <c r="D126" s="2877" t="s">
        <v>3204</v>
      </c>
      <c r="E126" s="2877" t="s">
        <v>13948</v>
      </c>
      <c r="F126" s="2913" t="s">
        <v>16832</v>
      </c>
      <c r="G126" s="2877"/>
      <c r="H126" s="2289"/>
      <c r="I126" s="2289" t="s">
        <v>15369</v>
      </c>
      <c r="J126" s="2877" t="s">
        <v>642</v>
      </c>
      <c r="K126" s="2877"/>
      <c r="L126" s="2144">
        <v>6621446</v>
      </c>
      <c r="M126" s="2877" t="s">
        <v>251</v>
      </c>
      <c r="N126" s="3070">
        <v>45349</v>
      </c>
      <c r="O126" s="3070">
        <v>45385</v>
      </c>
      <c r="P126" s="3070">
        <v>45400</v>
      </c>
      <c r="Q126" s="2289" t="s">
        <v>2776</v>
      </c>
      <c r="R126" s="2877"/>
      <c r="S126" s="2144">
        <v>6621446</v>
      </c>
      <c r="T126" s="2144">
        <v>7416019.5199999996</v>
      </c>
      <c r="U126" s="2145"/>
      <c r="V126" s="2145"/>
      <c r="W126" s="2145"/>
      <c r="X126" s="2146">
        <v>45400</v>
      </c>
      <c r="Y126" s="2260" t="s">
        <v>17293</v>
      </c>
      <c r="Z126" s="3070">
        <v>45408</v>
      </c>
      <c r="AA126" s="3070">
        <v>45418</v>
      </c>
      <c r="AB126" s="3070">
        <v>46868</v>
      </c>
      <c r="AC126" s="3058"/>
      <c r="AD126" s="3058"/>
      <c r="AE126" s="118">
        <v>1</v>
      </c>
    </row>
    <row r="127" spans="1:32" ht="30.75" thickBot="1">
      <c r="A127" s="612" t="s">
        <v>16522</v>
      </c>
      <c r="B127" s="2911" t="s">
        <v>16835</v>
      </c>
      <c r="C127" s="609" t="s">
        <v>58</v>
      </c>
      <c r="D127" s="609" t="s">
        <v>15443</v>
      </c>
      <c r="E127" s="609" t="s">
        <v>655</v>
      </c>
      <c r="F127" s="610" t="s">
        <v>16836</v>
      </c>
      <c r="G127" s="609"/>
      <c r="H127" s="2911"/>
      <c r="I127" s="2911" t="s">
        <v>15369</v>
      </c>
      <c r="J127" s="609" t="s">
        <v>505</v>
      </c>
      <c r="K127" s="609" t="s">
        <v>18541</v>
      </c>
      <c r="L127" s="417">
        <v>1643376</v>
      </c>
      <c r="M127" s="609" t="s">
        <v>112</v>
      </c>
      <c r="N127" s="612">
        <v>45349</v>
      </c>
      <c r="O127" s="612">
        <v>45364</v>
      </c>
      <c r="P127" s="612">
        <v>45384</v>
      </c>
      <c r="Q127" s="2911" t="s">
        <v>17067</v>
      </c>
      <c r="R127" s="609"/>
      <c r="S127" s="417">
        <v>1610480</v>
      </c>
      <c r="T127" s="417">
        <v>1825932.68</v>
      </c>
      <c r="U127" s="1480"/>
      <c r="V127" s="1480"/>
      <c r="W127" s="1480"/>
      <c r="X127" s="513">
        <v>45384</v>
      </c>
      <c r="Y127" s="1553" t="s">
        <v>17125</v>
      </c>
      <c r="Z127" s="612">
        <v>45391</v>
      </c>
      <c r="AA127" s="612">
        <v>45391</v>
      </c>
      <c r="AB127" s="612"/>
      <c r="AC127" s="2976"/>
      <c r="AD127" s="2976"/>
      <c r="AE127" s="118">
        <v>1</v>
      </c>
    </row>
    <row r="128" spans="1:32" ht="45.75" thickTop="1">
      <c r="A128" s="456">
        <v>45343</v>
      </c>
      <c r="B128" s="2292" t="s">
        <v>16838</v>
      </c>
      <c r="C128" s="943" t="s">
        <v>2434</v>
      </c>
      <c r="D128" s="943" t="s">
        <v>57</v>
      </c>
      <c r="E128" s="943" t="s">
        <v>13948</v>
      </c>
      <c r="F128" s="713" t="s">
        <v>8164</v>
      </c>
      <c r="G128" s="943">
        <v>1</v>
      </c>
      <c r="H128" s="2292" t="s">
        <v>8167</v>
      </c>
      <c r="I128" s="2292" t="s">
        <v>15369</v>
      </c>
      <c r="J128" s="943" t="s">
        <v>2800</v>
      </c>
      <c r="K128" s="943"/>
      <c r="L128" s="457">
        <v>8324540</v>
      </c>
      <c r="M128" s="943" t="s">
        <v>251</v>
      </c>
      <c r="N128" s="456">
        <v>45363</v>
      </c>
      <c r="O128" s="456">
        <v>45436</v>
      </c>
      <c r="P128" s="456">
        <v>45495</v>
      </c>
      <c r="Q128" s="2292" t="s">
        <v>8465</v>
      </c>
      <c r="R128" s="943"/>
      <c r="S128" s="457">
        <v>8324522.4000000004</v>
      </c>
      <c r="T128" s="457">
        <v>9323465.0899999999</v>
      </c>
      <c r="U128" s="1474"/>
      <c r="V128" s="1474"/>
      <c r="W128" s="1474"/>
      <c r="X128" s="570">
        <v>45495</v>
      </c>
      <c r="Y128" s="1387" t="s">
        <v>17971</v>
      </c>
      <c r="Z128" s="456">
        <v>45551</v>
      </c>
      <c r="AA128" s="456">
        <v>45561</v>
      </c>
      <c r="AB128" s="456">
        <v>46645</v>
      </c>
      <c r="AC128" s="2976"/>
      <c r="AD128" s="2976"/>
      <c r="AE128" s="118">
        <v>1</v>
      </c>
    </row>
    <row r="129" spans="1:32">
      <c r="A129" s="3067">
        <v>45343</v>
      </c>
      <c r="B129" s="3068" t="s">
        <v>16839</v>
      </c>
      <c r="C129" s="3069" t="s">
        <v>2434</v>
      </c>
      <c r="D129" s="3069" t="s">
        <v>57</v>
      </c>
      <c r="E129" s="3069" t="s">
        <v>13948</v>
      </c>
      <c r="F129" s="2914" t="s">
        <v>8164</v>
      </c>
      <c r="G129" s="3069">
        <v>2</v>
      </c>
      <c r="H129" s="3068" t="s">
        <v>16866</v>
      </c>
      <c r="I129" s="3068" t="s">
        <v>242</v>
      </c>
      <c r="J129" s="3069" t="s">
        <v>2800</v>
      </c>
      <c r="K129" s="3069"/>
      <c r="L129" s="2128">
        <v>54014586</v>
      </c>
      <c r="M129" s="3069" t="s">
        <v>251</v>
      </c>
      <c r="N129" s="3067">
        <v>45363</v>
      </c>
      <c r="O129" s="3067">
        <v>45436</v>
      </c>
      <c r="P129" s="3067"/>
      <c r="Q129" s="2136" t="s">
        <v>4505</v>
      </c>
      <c r="R129" s="2320" t="s">
        <v>17978</v>
      </c>
      <c r="S129" s="2128"/>
      <c r="T129" s="2128"/>
      <c r="U129" s="2129"/>
      <c r="V129" s="2129"/>
      <c r="W129" s="2129"/>
      <c r="X129" s="2281"/>
      <c r="Y129" s="2128"/>
      <c r="Z129" s="3067"/>
      <c r="AA129" s="3067">
        <v>45519</v>
      </c>
      <c r="AB129" s="3067" t="s">
        <v>18001</v>
      </c>
      <c r="AC129" s="2976"/>
      <c r="AD129" s="2976"/>
      <c r="AE129" s="118">
        <v>1</v>
      </c>
    </row>
    <row r="130" spans="1:32" ht="45.75" thickBot="1">
      <c r="A130" s="3109">
        <v>45343</v>
      </c>
      <c r="B130" s="2291" t="s">
        <v>16840</v>
      </c>
      <c r="C130" s="2290" t="s">
        <v>2434</v>
      </c>
      <c r="D130" s="2290" t="s">
        <v>57</v>
      </c>
      <c r="E130" s="2290" t="s">
        <v>13948</v>
      </c>
      <c r="F130" s="2912" t="s">
        <v>8164</v>
      </c>
      <c r="G130" s="2290">
        <v>3</v>
      </c>
      <c r="H130" s="2291" t="s">
        <v>16841</v>
      </c>
      <c r="I130" s="2291" t="s">
        <v>15369</v>
      </c>
      <c r="J130" s="2290" t="s">
        <v>2800</v>
      </c>
      <c r="K130" s="2290"/>
      <c r="L130" s="2121">
        <v>45743600</v>
      </c>
      <c r="M130" s="2290" t="s">
        <v>251</v>
      </c>
      <c r="N130" s="3109">
        <v>45363</v>
      </c>
      <c r="O130" s="3109">
        <v>45436</v>
      </c>
      <c r="P130" s="3109">
        <v>45495</v>
      </c>
      <c r="Q130" s="2291" t="s">
        <v>8465</v>
      </c>
      <c r="R130" s="2290"/>
      <c r="S130" s="2121">
        <v>45743190</v>
      </c>
      <c r="T130" s="2121">
        <v>51232372.799999997</v>
      </c>
      <c r="U130" s="2122"/>
      <c r="V130" s="2122"/>
      <c r="W130" s="2122"/>
      <c r="X130" s="2123">
        <v>45495</v>
      </c>
      <c r="Y130" s="2246" t="s">
        <v>17972</v>
      </c>
      <c r="Z130" s="3109">
        <v>45551</v>
      </c>
      <c r="AA130" s="3109">
        <v>45561</v>
      </c>
      <c r="AB130" s="3109">
        <v>46645</v>
      </c>
      <c r="AC130" s="3059"/>
      <c r="AD130" s="3059"/>
      <c r="AE130" s="118">
        <v>1</v>
      </c>
    </row>
    <row r="131" spans="1:32" ht="15.75" thickTop="1">
      <c r="A131" s="899">
        <v>45343</v>
      </c>
      <c r="B131" s="3123" t="s">
        <v>16846</v>
      </c>
      <c r="C131" s="286" t="s">
        <v>2434</v>
      </c>
      <c r="D131" s="286" t="s">
        <v>219</v>
      </c>
      <c r="E131" s="286" t="s">
        <v>13951</v>
      </c>
      <c r="F131" s="261" t="s">
        <v>16847</v>
      </c>
      <c r="G131" s="286"/>
      <c r="H131" s="3123"/>
      <c r="I131" s="3123" t="s">
        <v>15369</v>
      </c>
      <c r="J131" s="286" t="s">
        <v>16848</v>
      </c>
      <c r="K131" s="286"/>
      <c r="L131" s="499">
        <v>578360</v>
      </c>
      <c r="M131" s="286" t="s">
        <v>112</v>
      </c>
      <c r="N131" s="899">
        <v>45348</v>
      </c>
      <c r="O131" s="899">
        <v>45359</v>
      </c>
      <c r="P131" s="899">
        <v>45363</v>
      </c>
      <c r="Q131" s="3123" t="s">
        <v>1433</v>
      </c>
      <c r="R131" s="286"/>
      <c r="S131" s="499">
        <v>578360</v>
      </c>
      <c r="T131" s="499">
        <v>647763.19999999995</v>
      </c>
      <c r="U131" s="1545"/>
      <c r="V131" s="1545"/>
      <c r="W131" s="1545"/>
      <c r="X131" s="682">
        <v>45363</v>
      </c>
      <c r="Y131" s="499" t="s">
        <v>16987</v>
      </c>
      <c r="Z131" s="899">
        <v>45370</v>
      </c>
      <c r="AA131" s="899">
        <v>45370</v>
      </c>
      <c r="AB131" s="899">
        <v>46830</v>
      </c>
      <c r="AC131" s="3058"/>
      <c r="AD131" s="3058"/>
      <c r="AE131" s="118">
        <v>1</v>
      </c>
    </row>
    <row r="132" spans="1:32" ht="30">
      <c r="A132" s="3070">
        <v>45343</v>
      </c>
      <c r="B132" s="2289" t="s">
        <v>16853</v>
      </c>
      <c r="C132" s="2877" t="s">
        <v>2434</v>
      </c>
      <c r="D132" s="2877" t="s">
        <v>3204</v>
      </c>
      <c r="E132" s="2877" t="s">
        <v>15813</v>
      </c>
      <c r="F132" s="2913" t="s">
        <v>16854</v>
      </c>
      <c r="G132" s="2877"/>
      <c r="H132" s="3114"/>
      <c r="I132" s="3114" t="s">
        <v>15369</v>
      </c>
      <c r="J132" s="2877" t="s">
        <v>642</v>
      </c>
      <c r="K132" s="2877"/>
      <c r="L132" s="2880">
        <v>3659750</v>
      </c>
      <c r="M132" s="2877" t="s">
        <v>251</v>
      </c>
      <c r="N132" s="3070">
        <v>45350</v>
      </c>
      <c r="O132" s="3070">
        <v>45385</v>
      </c>
      <c r="P132" s="3070">
        <v>45393</v>
      </c>
      <c r="Q132" s="2289" t="s">
        <v>9404</v>
      </c>
      <c r="R132" s="2877"/>
      <c r="S132" s="2144">
        <v>3659750</v>
      </c>
      <c r="T132" s="2144">
        <v>4098920</v>
      </c>
      <c r="U132" s="2145"/>
      <c r="V132" s="2145"/>
      <c r="W132" s="2145"/>
      <c r="X132" s="2146">
        <v>45393</v>
      </c>
      <c r="Y132" s="2260" t="s">
        <v>17218</v>
      </c>
      <c r="Z132" s="3070">
        <v>45398</v>
      </c>
      <c r="AA132" s="3070">
        <v>45407</v>
      </c>
      <c r="AB132" s="3070">
        <v>46944</v>
      </c>
      <c r="AC132" s="2976"/>
      <c r="AD132" s="2976"/>
      <c r="AE132" s="118">
        <v>1</v>
      </c>
      <c r="AF132" s="118" t="s">
        <v>17256</v>
      </c>
    </row>
    <row r="133" spans="1:32">
      <c r="A133" s="3070">
        <v>45344</v>
      </c>
      <c r="B133" s="2289" t="s">
        <v>16855</v>
      </c>
      <c r="C133" s="2877" t="s">
        <v>289</v>
      </c>
      <c r="D133" s="2877" t="s">
        <v>6509</v>
      </c>
      <c r="E133" s="2877" t="s">
        <v>13950</v>
      </c>
      <c r="F133" s="2913" t="s">
        <v>16856</v>
      </c>
      <c r="G133" s="2877"/>
      <c r="H133" s="2289"/>
      <c r="I133" s="2289" t="s">
        <v>15369</v>
      </c>
      <c r="J133" s="2877" t="s">
        <v>16857</v>
      </c>
      <c r="K133" s="2877"/>
      <c r="L133" s="2880">
        <v>2479200</v>
      </c>
      <c r="M133" s="2877" t="s">
        <v>216</v>
      </c>
      <c r="N133" s="3070">
        <v>45362</v>
      </c>
      <c r="O133" s="3070">
        <v>45379</v>
      </c>
      <c r="P133" s="3070">
        <v>45390</v>
      </c>
      <c r="Q133" s="2289" t="s">
        <v>17129</v>
      </c>
      <c r="R133" s="2877"/>
      <c r="S133" s="2144">
        <v>1889600</v>
      </c>
      <c r="T133" s="2144">
        <v>2286416</v>
      </c>
      <c r="U133" s="2145"/>
      <c r="V133" s="2145"/>
      <c r="W133" s="2145"/>
      <c r="X133" s="2146">
        <v>45390</v>
      </c>
      <c r="Y133" s="2144" t="s">
        <v>17179</v>
      </c>
      <c r="Z133" s="3070">
        <v>45408</v>
      </c>
      <c r="AA133" s="3070">
        <v>45415</v>
      </c>
      <c r="AB133" s="3070">
        <v>45498</v>
      </c>
      <c r="AC133" s="2976"/>
      <c r="AD133" s="2976"/>
      <c r="AE133" s="118">
        <v>3</v>
      </c>
    </row>
    <row r="134" spans="1:32" ht="30">
      <c r="A134" s="3070">
        <v>45344</v>
      </c>
      <c r="B134" s="2289" t="s">
        <v>16858</v>
      </c>
      <c r="C134" s="2877" t="s">
        <v>2434</v>
      </c>
      <c r="D134" s="2877" t="s">
        <v>3204</v>
      </c>
      <c r="E134" s="2877" t="s">
        <v>655</v>
      </c>
      <c r="F134" s="2913" t="s">
        <v>16859</v>
      </c>
      <c r="G134" s="2877"/>
      <c r="H134" s="2289"/>
      <c r="I134" s="2289" t="s">
        <v>15369</v>
      </c>
      <c r="J134" s="2877" t="s">
        <v>642</v>
      </c>
      <c r="K134" s="2877"/>
      <c r="L134" s="2880">
        <v>1850400</v>
      </c>
      <c r="M134" s="2877" t="s">
        <v>112</v>
      </c>
      <c r="N134" s="3070">
        <v>45349</v>
      </c>
      <c r="O134" s="3070">
        <v>45366</v>
      </c>
      <c r="P134" s="3070">
        <v>45373</v>
      </c>
      <c r="Q134" s="2289" t="s">
        <v>11196</v>
      </c>
      <c r="R134" s="2877"/>
      <c r="S134" s="2144">
        <v>1850400</v>
      </c>
      <c r="T134" s="2144">
        <v>2072448</v>
      </c>
      <c r="U134" s="2145"/>
      <c r="V134" s="2145"/>
      <c r="W134" s="2145"/>
      <c r="X134" s="2146">
        <v>45373</v>
      </c>
      <c r="Y134" s="2260" t="s">
        <v>17066</v>
      </c>
      <c r="Z134" s="3070">
        <v>45384</v>
      </c>
      <c r="AA134" s="3070">
        <v>45385</v>
      </c>
      <c r="AB134" s="3070">
        <v>46947</v>
      </c>
      <c r="AC134" s="2976"/>
      <c r="AD134" s="2976"/>
      <c r="AE134" s="118">
        <v>2</v>
      </c>
      <c r="AF134" s="118" t="s">
        <v>17159</v>
      </c>
    </row>
    <row r="135" spans="1:32" ht="15.75" thickBot="1">
      <c r="A135" s="3070">
        <v>45344</v>
      </c>
      <c r="B135" s="2289" t="s">
        <v>16860</v>
      </c>
      <c r="C135" s="2877" t="s">
        <v>16536</v>
      </c>
      <c r="D135" s="2877" t="s">
        <v>15129</v>
      </c>
      <c r="E135" s="2877" t="s">
        <v>13949</v>
      </c>
      <c r="F135" s="2913" t="s">
        <v>16861</v>
      </c>
      <c r="G135" s="2877"/>
      <c r="H135" s="2289"/>
      <c r="I135" s="2289" t="s">
        <v>15369</v>
      </c>
      <c r="J135" s="2877" t="s">
        <v>72</v>
      </c>
      <c r="K135" s="2877"/>
      <c r="L135" s="2880">
        <v>4947000</v>
      </c>
      <c r="M135" s="2877" t="s">
        <v>251</v>
      </c>
      <c r="N135" s="3070">
        <v>45351</v>
      </c>
      <c r="O135" s="3070">
        <v>45387</v>
      </c>
      <c r="P135" s="3070">
        <v>45406</v>
      </c>
      <c r="Q135" s="2289" t="s">
        <v>8542</v>
      </c>
      <c r="R135" s="2877"/>
      <c r="S135" s="2144">
        <v>4022158.35</v>
      </c>
      <c r="T135" s="2144">
        <v>4504817.3499999996</v>
      </c>
      <c r="U135" s="2145"/>
      <c r="V135" s="2145"/>
      <c r="W135" s="2145"/>
      <c r="X135" s="2146">
        <v>45406</v>
      </c>
      <c r="Y135" s="2144" t="s">
        <v>17336</v>
      </c>
      <c r="Z135" s="3070">
        <v>45425</v>
      </c>
      <c r="AA135" s="3070">
        <v>45426</v>
      </c>
      <c r="AB135" s="3070">
        <v>46538</v>
      </c>
      <c r="AC135" s="3059"/>
      <c r="AD135" s="3059"/>
      <c r="AE135" s="118">
        <v>2</v>
      </c>
      <c r="AF135" s="118" t="s">
        <v>17320</v>
      </c>
    </row>
    <row r="136" spans="1:32" ht="15.75" thickTop="1">
      <c r="A136" s="3070">
        <v>45345</v>
      </c>
      <c r="B136" s="2289" t="s">
        <v>16873</v>
      </c>
      <c r="C136" s="2877" t="s">
        <v>58</v>
      </c>
      <c r="D136" s="2877" t="s">
        <v>15443</v>
      </c>
      <c r="E136" s="2877" t="s">
        <v>13951</v>
      </c>
      <c r="F136" s="2913" t="s">
        <v>16874</v>
      </c>
      <c r="G136" s="2877"/>
      <c r="H136" s="2289"/>
      <c r="I136" s="2289" t="s">
        <v>15369</v>
      </c>
      <c r="J136" s="2877" t="s">
        <v>1159</v>
      </c>
      <c r="K136" s="2877" t="s">
        <v>18558</v>
      </c>
      <c r="L136" s="2880">
        <v>68000</v>
      </c>
      <c r="M136" s="2877" t="s">
        <v>112</v>
      </c>
      <c r="N136" s="3070">
        <v>45350</v>
      </c>
      <c r="O136" s="3070">
        <v>45362</v>
      </c>
      <c r="P136" s="3070">
        <v>45364</v>
      </c>
      <c r="Q136" s="2289" t="s">
        <v>5333</v>
      </c>
      <c r="R136" s="2877"/>
      <c r="S136" s="2144">
        <v>70000</v>
      </c>
      <c r="T136" s="2144">
        <v>84700</v>
      </c>
      <c r="U136" s="2145"/>
      <c r="V136" s="2145"/>
      <c r="W136" s="2145"/>
      <c r="X136" s="2146">
        <v>45364</v>
      </c>
      <c r="Y136" s="2144" t="s">
        <v>17070</v>
      </c>
      <c r="Z136" s="3070">
        <v>45376</v>
      </c>
      <c r="AA136" s="3070">
        <v>45376</v>
      </c>
      <c r="AB136" s="3070">
        <v>45406</v>
      </c>
      <c r="AC136" s="3065"/>
      <c r="AD136" s="3065"/>
      <c r="AE136" s="118">
        <v>1</v>
      </c>
    </row>
    <row r="137" spans="1:32" ht="30">
      <c r="A137" s="3070">
        <v>45356</v>
      </c>
      <c r="B137" s="2289" t="s">
        <v>16960</v>
      </c>
      <c r="C137" s="2877" t="s">
        <v>16537</v>
      </c>
      <c r="D137" s="2877" t="s">
        <v>13844</v>
      </c>
      <c r="E137" s="2877" t="s">
        <v>13950</v>
      </c>
      <c r="F137" s="2913" t="s">
        <v>16961</v>
      </c>
      <c r="G137" s="2877"/>
      <c r="H137" s="2289"/>
      <c r="I137" s="2289" t="s">
        <v>15369</v>
      </c>
      <c r="J137" s="2877" t="s">
        <v>42</v>
      </c>
      <c r="K137" s="2877"/>
      <c r="L137" s="2880">
        <v>21800840</v>
      </c>
      <c r="M137" s="2877" t="s">
        <v>251</v>
      </c>
      <c r="N137" s="3070">
        <v>45393</v>
      </c>
      <c r="O137" s="3070">
        <v>45427</v>
      </c>
      <c r="P137" s="3070">
        <v>45441</v>
      </c>
      <c r="Q137" s="2289" t="s">
        <v>43</v>
      </c>
      <c r="R137" s="2877"/>
      <c r="S137" s="2144">
        <v>19089213.120000001</v>
      </c>
      <c r="T137" s="2144">
        <v>22756182.059999999</v>
      </c>
      <c r="U137" s="2145"/>
      <c r="V137" s="2145"/>
      <c r="W137" s="2145"/>
      <c r="X137" s="2146">
        <v>45441</v>
      </c>
      <c r="Y137" s="2260" t="s">
        <v>17555</v>
      </c>
      <c r="Z137" s="3070">
        <v>45450</v>
      </c>
      <c r="AA137" s="3070">
        <v>45457</v>
      </c>
      <c r="AB137" s="3070">
        <v>46910</v>
      </c>
      <c r="AC137" s="3065"/>
      <c r="AD137" s="3065"/>
      <c r="AE137" s="118">
        <v>1</v>
      </c>
    </row>
    <row r="138" spans="1:32">
      <c r="A138" s="3070">
        <v>45345</v>
      </c>
      <c r="B138" s="2289" t="s">
        <v>16871</v>
      </c>
      <c r="C138" s="2877" t="s">
        <v>16536</v>
      </c>
      <c r="D138" s="2877" t="s">
        <v>15131</v>
      </c>
      <c r="E138" s="2877" t="s">
        <v>13949</v>
      </c>
      <c r="F138" s="2913" t="s">
        <v>16872</v>
      </c>
      <c r="G138" s="2877"/>
      <c r="H138" s="2289"/>
      <c r="I138" s="2289" t="s">
        <v>15369</v>
      </c>
      <c r="J138" s="2877" t="s">
        <v>671</v>
      </c>
      <c r="K138" s="2877"/>
      <c r="L138" s="2144">
        <v>8833594</v>
      </c>
      <c r="M138" s="2877" t="s">
        <v>235</v>
      </c>
      <c r="N138" s="3070">
        <v>45362</v>
      </c>
      <c r="O138" s="3070">
        <v>45373</v>
      </c>
      <c r="P138" s="3070">
        <v>45386</v>
      </c>
      <c r="Q138" s="2289" t="s">
        <v>8856</v>
      </c>
      <c r="R138" s="2877"/>
      <c r="S138" s="2144">
        <v>8833593.5999999996</v>
      </c>
      <c r="T138" s="2144">
        <v>9893624.8300000001</v>
      </c>
      <c r="U138" s="2145"/>
      <c r="V138" s="2145"/>
      <c r="W138" s="2145"/>
      <c r="X138" s="2146">
        <v>45387</v>
      </c>
      <c r="Y138" s="2144" t="s">
        <v>17161</v>
      </c>
      <c r="Z138" s="3070">
        <v>45393</v>
      </c>
      <c r="AA138" s="3070">
        <v>45393</v>
      </c>
      <c r="AB138" s="3070">
        <v>45565</v>
      </c>
      <c r="AC138" s="2976"/>
      <c r="AD138" s="2976"/>
      <c r="AE138" s="118">
        <v>1</v>
      </c>
    </row>
    <row r="139" spans="1:32" ht="15.75" thickBot="1">
      <c r="A139" s="3067">
        <v>45357</v>
      </c>
      <c r="B139" s="3068" t="s">
        <v>16962</v>
      </c>
      <c r="C139" s="3069" t="s">
        <v>16536</v>
      </c>
      <c r="D139" s="3069" t="s">
        <v>15129</v>
      </c>
      <c r="E139" s="3069" t="s">
        <v>15813</v>
      </c>
      <c r="F139" s="2914" t="s">
        <v>16963</v>
      </c>
      <c r="G139" s="3069"/>
      <c r="H139" s="3068"/>
      <c r="I139" s="3068" t="s">
        <v>242</v>
      </c>
      <c r="J139" s="3069" t="s">
        <v>68</v>
      </c>
      <c r="K139" s="3069"/>
      <c r="L139" s="2128">
        <v>8352986</v>
      </c>
      <c r="M139" s="3069" t="s">
        <v>251</v>
      </c>
      <c r="N139" s="3067">
        <v>45369</v>
      </c>
      <c r="O139" s="3067">
        <v>45404</v>
      </c>
      <c r="P139" s="3067"/>
      <c r="Q139" s="2136" t="s">
        <v>2635</v>
      </c>
      <c r="R139" s="2180" t="s">
        <v>17577</v>
      </c>
      <c r="S139" s="2128"/>
      <c r="T139" s="2128"/>
      <c r="U139" s="2129"/>
      <c r="V139" s="2129"/>
      <c r="W139" s="2129"/>
      <c r="X139" s="2281"/>
      <c r="Y139" s="2128"/>
      <c r="Z139" s="3067"/>
      <c r="AA139" s="3067">
        <v>45433</v>
      </c>
      <c r="AB139" s="3067" t="s">
        <v>17493</v>
      </c>
      <c r="AC139" s="3078"/>
      <c r="AD139" s="3078"/>
      <c r="AE139" s="118">
        <v>1</v>
      </c>
    </row>
    <row r="140" spans="1:32" ht="15.75" thickTop="1">
      <c r="A140" s="3070">
        <v>45348</v>
      </c>
      <c r="B140" s="2289" t="s">
        <v>16883</v>
      </c>
      <c r="C140" s="2877" t="s">
        <v>16536</v>
      </c>
      <c r="D140" s="2877" t="s">
        <v>15131</v>
      </c>
      <c r="E140" s="2877" t="s">
        <v>15813</v>
      </c>
      <c r="F140" s="2913" t="s">
        <v>16884</v>
      </c>
      <c r="G140" s="2877"/>
      <c r="H140" s="2289"/>
      <c r="I140" s="2289" t="s">
        <v>15369</v>
      </c>
      <c r="J140" s="2877" t="s">
        <v>68</v>
      </c>
      <c r="K140" s="2877"/>
      <c r="L140" s="2144">
        <v>10818656</v>
      </c>
      <c r="M140" s="2877" t="s">
        <v>251</v>
      </c>
      <c r="N140" s="3070">
        <v>45363</v>
      </c>
      <c r="O140" s="3070">
        <v>45398</v>
      </c>
      <c r="P140" s="3070">
        <v>45415</v>
      </c>
      <c r="Q140" s="2289" t="s">
        <v>576</v>
      </c>
      <c r="R140" s="2877"/>
      <c r="S140" s="2144">
        <v>10818655.529999999</v>
      </c>
      <c r="T140" s="2144">
        <v>12116894.189999999</v>
      </c>
      <c r="U140" s="2145"/>
      <c r="V140" s="2145"/>
      <c r="W140" s="2145"/>
      <c r="X140" s="2146">
        <v>45415</v>
      </c>
      <c r="Y140" s="2144" t="s">
        <v>17409</v>
      </c>
      <c r="Z140" s="3070">
        <v>45436</v>
      </c>
      <c r="AA140" s="3070">
        <v>45439</v>
      </c>
      <c r="AB140" s="3070">
        <v>46632</v>
      </c>
      <c r="AC140" s="3058"/>
      <c r="AD140" s="3058"/>
      <c r="AE140" s="118">
        <v>1</v>
      </c>
      <c r="AF140" s="118" t="s">
        <v>17536</v>
      </c>
    </row>
    <row r="141" spans="1:32">
      <c r="A141" s="3067">
        <v>45348</v>
      </c>
      <c r="B141" s="3068" t="s">
        <v>16885</v>
      </c>
      <c r="C141" s="3069" t="s">
        <v>58</v>
      </c>
      <c r="D141" s="3069" t="s">
        <v>15443</v>
      </c>
      <c r="E141" s="3069" t="s">
        <v>13948</v>
      </c>
      <c r="F141" s="2914" t="s">
        <v>16886</v>
      </c>
      <c r="G141" s="3069"/>
      <c r="H141" s="3068"/>
      <c r="I141" s="3068" t="s">
        <v>242</v>
      </c>
      <c r="J141" s="3069" t="s">
        <v>421</v>
      </c>
      <c r="K141" s="3069" t="s">
        <v>16887</v>
      </c>
      <c r="L141" s="2128">
        <v>5089999</v>
      </c>
      <c r="M141" s="3069" t="s">
        <v>251</v>
      </c>
      <c r="N141" s="3067">
        <v>45355</v>
      </c>
      <c r="O141" s="3067">
        <v>45391</v>
      </c>
      <c r="P141" s="3067"/>
      <c r="Q141" s="2136" t="s">
        <v>304</v>
      </c>
      <c r="R141" s="2275" t="s">
        <v>17467</v>
      </c>
      <c r="S141" s="2128"/>
      <c r="T141" s="2128"/>
      <c r="U141" s="2129"/>
      <c r="V141" s="2129"/>
      <c r="W141" s="2129"/>
      <c r="X141" s="2281"/>
      <c r="Y141" s="2128"/>
      <c r="Z141" s="3067"/>
      <c r="AA141" s="3067">
        <v>45418</v>
      </c>
      <c r="AB141" s="3069" t="s">
        <v>17403</v>
      </c>
      <c r="AC141" s="2976"/>
      <c r="AD141" s="2976"/>
      <c r="AE141" s="118">
        <v>1</v>
      </c>
    </row>
    <row r="142" spans="1:32">
      <c r="A142" s="3067">
        <v>45349</v>
      </c>
      <c r="B142" s="3068" t="s">
        <v>16892</v>
      </c>
      <c r="C142" s="3069" t="s">
        <v>2434</v>
      </c>
      <c r="D142" s="3069" t="s">
        <v>219</v>
      </c>
      <c r="E142" s="3069" t="s">
        <v>655</v>
      </c>
      <c r="F142" s="2914" t="s">
        <v>2648</v>
      </c>
      <c r="G142" s="3069"/>
      <c r="H142" s="3068"/>
      <c r="I142" s="3068" t="s">
        <v>242</v>
      </c>
      <c r="J142" s="3069" t="s">
        <v>8908</v>
      </c>
      <c r="K142" s="3067"/>
      <c r="L142" s="472">
        <v>1834200</v>
      </c>
      <c r="M142" s="3069" t="s">
        <v>112</v>
      </c>
      <c r="N142" s="3067">
        <v>45352</v>
      </c>
      <c r="O142" s="3067">
        <v>45363</v>
      </c>
      <c r="P142" s="3067"/>
      <c r="Q142" s="2136" t="s">
        <v>12004</v>
      </c>
      <c r="R142" s="2275" t="s">
        <v>17007</v>
      </c>
      <c r="S142" s="2128"/>
      <c r="T142" s="2128"/>
      <c r="U142" s="2129"/>
      <c r="V142" s="2129"/>
      <c r="W142" s="2129"/>
      <c r="X142" s="2281"/>
      <c r="Y142" s="2128"/>
      <c r="Z142" s="3067"/>
      <c r="AA142" s="3067">
        <v>45363</v>
      </c>
      <c r="AB142" s="3069"/>
      <c r="AC142" s="2976"/>
      <c r="AD142" s="2976"/>
      <c r="AE142" s="118">
        <v>3</v>
      </c>
    </row>
    <row r="143" spans="1:32" ht="30">
      <c r="A143" s="3070">
        <v>45355</v>
      </c>
      <c r="B143" s="2289" t="s">
        <v>16932</v>
      </c>
      <c r="C143" s="2877" t="s">
        <v>2434</v>
      </c>
      <c r="D143" s="2877" t="s">
        <v>3204</v>
      </c>
      <c r="E143" s="2877" t="s">
        <v>13948</v>
      </c>
      <c r="F143" s="2913" t="s">
        <v>16933</v>
      </c>
      <c r="G143" s="2877"/>
      <c r="H143" s="2289"/>
      <c r="I143" s="2289" t="s">
        <v>15369</v>
      </c>
      <c r="J143" s="3115" t="s">
        <v>642</v>
      </c>
      <c r="K143" s="3115"/>
      <c r="L143" s="2144">
        <v>3062533.9</v>
      </c>
      <c r="M143" s="2877" t="s">
        <v>216</v>
      </c>
      <c r="N143" s="3070">
        <v>45362</v>
      </c>
      <c r="O143" s="3070">
        <v>45379</v>
      </c>
      <c r="P143" s="3070">
        <v>45399</v>
      </c>
      <c r="Q143" s="2289" t="s">
        <v>11196</v>
      </c>
      <c r="R143" s="2877"/>
      <c r="S143" s="2144">
        <v>3062533.9</v>
      </c>
      <c r="T143" s="2144">
        <v>3430037.97</v>
      </c>
      <c r="U143" s="2145"/>
      <c r="V143" s="2145"/>
      <c r="W143" s="2145"/>
      <c r="X143" s="2146">
        <v>45399</v>
      </c>
      <c r="Y143" s="2260" t="s">
        <v>17280</v>
      </c>
      <c r="Z143" s="3070">
        <v>45404</v>
      </c>
      <c r="AA143" s="3070">
        <v>45414</v>
      </c>
      <c r="AB143" s="3070">
        <v>46955</v>
      </c>
      <c r="AC143" s="2976"/>
      <c r="AD143" s="2976"/>
      <c r="AE143" s="118">
        <v>1</v>
      </c>
      <c r="AF143" s="118" t="s">
        <v>17312</v>
      </c>
    </row>
    <row r="144" spans="1:32" ht="15.75" thickBot="1">
      <c r="A144" s="618">
        <v>45355</v>
      </c>
      <c r="B144" s="2631" t="s">
        <v>16931</v>
      </c>
      <c r="C144" s="413" t="s">
        <v>6561</v>
      </c>
      <c r="D144" s="413" t="s">
        <v>4864</v>
      </c>
      <c r="E144" s="413" t="s">
        <v>655</v>
      </c>
      <c r="F144" s="615" t="s">
        <v>16930</v>
      </c>
      <c r="G144" s="413"/>
      <c r="H144" s="2631"/>
      <c r="I144" s="2911" t="s">
        <v>15369</v>
      </c>
      <c r="J144" s="413" t="s">
        <v>16942</v>
      </c>
      <c r="K144" s="3122"/>
      <c r="L144" s="620">
        <v>5800000</v>
      </c>
      <c r="M144" s="609" t="s">
        <v>112</v>
      </c>
      <c r="N144" s="612">
        <v>45357</v>
      </c>
      <c r="O144" s="612">
        <v>45369</v>
      </c>
      <c r="P144" s="612">
        <v>45373</v>
      </c>
      <c r="Q144" s="2911" t="s">
        <v>13406</v>
      </c>
      <c r="R144" s="609"/>
      <c r="S144" s="417">
        <v>5155042.47</v>
      </c>
      <c r="T144" s="417">
        <v>6237601.3899999997</v>
      </c>
      <c r="U144" s="1480"/>
      <c r="V144" s="1480"/>
      <c r="W144" s="1480"/>
      <c r="X144" s="513">
        <v>45373</v>
      </c>
      <c r="Y144" s="417" t="s">
        <v>17060</v>
      </c>
      <c r="Z144" s="612">
        <v>45384</v>
      </c>
      <c r="AA144" s="612">
        <v>45384</v>
      </c>
      <c r="AB144" s="612">
        <v>45412</v>
      </c>
      <c r="AC144" s="2976"/>
      <c r="AD144" s="2976"/>
      <c r="AE144" s="118">
        <v>2</v>
      </c>
    </row>
    <row r="145" spans="1:32" ht="15.75" thickTop="1">
      <c r="A145" s="3139">
        <v>45357</v>
      </c>
      <c r="B145" s="3140" t="s">
        <v>16954</v>
      </c>
      <c r="C145" s="730" t="s">
        <v>16536</v>
      </c>
      <c r="D145" s="730" t="s">
        <v>15129</v>
      </c>
      <c r="E145" s="730" t="s">
        <v>15813</v>
      </c>
      <c r="F145" s="3141" t="s">
        <v>16959</v>
      </c>
      <c r="G145" s="730">
        <v>1</v>
      </c>
      <c r="H145" s="3140" t="s">
        <v>17239</v>
      </c>
      <c r="I145" s="1883" t="s">
        <v>242</v>
      </c>
      <c r="J145" s="730" t="s">
        <v>3633</v>
      </c>
      <c r="K145" s="3142"/>
      <c r="L145" s="3143">
        <v>324361</v>
      </c>
      <c r="M145" s="688" t="s">
        <v>251</v>
      </c>
      <c r="N145" s="687">
        <v>45363</v>
      </c>
      <c r="O145" s="687">
        <v>45398</v>
      </c>
      <c r="P145" s="687"/>
      <c r="Q145" s="753" t="s">
        <v>304</v>
      </c>
      <c r="R145" s="688"/>
      <c r="S145" s="444"/>
      <c r="T145" s="444"/>
      <c r="U145" s="1483"/>
      <c r="V145" s="1483"/>
      <c r="W145" s="1483"/>
      <c r="X145" s="1884"/>
      <c r="Y145" s="444"/>
      <c r="Z145" s="687"/>
      <c r="AA145" s="687">
        <v>45454</v>
      </c>
      <c r="AB145" s="687" t="s">
        <v>17466</v>
      </c>
      <c r="AC145" s="2976"/>
      <c r="AD145" s="2976"/>
      <c r="AE145" s="118">
        <v>0</v>
      </c>
    </row>
    <row r="146" spans="1:32">
      <c r="A146" s="2564">
        <v>45357</v>
      </c>
      <c r="B146" s="2664" t="s">
        <v>16955</v>
      </c>
      <c r="C146" s="2779" t="s">
        <v>16536</v>
      </c>
      <c r="D146" s="2779" t="s">
        <v>15129</v>
      </c>
      <c r="E146" s="2779" t="s">
        <v>15813</v>
      </c>
      <c r="F146" s="2780" t="s">
        <v>16959</v>
      </c>
      <c r="G146" s="2779">
        <v>2</v>
      </c>
      <c r="H146" s="2664" t="s">
        <v>17240</v>
      </c>
      <c r="I146" s="2289" t="s">
        <v>15369</v>
      </c>
      <c r="J146" s="2779" t="s">
        <v>3633</v>
      </c>
      <c r="K146" s="3201"/>
      <c r="L146" s="2607">
        <v>40634</v>
      </c>
      <c r="M146" s="2877" t="s">
        <v>251</v>
      </c>
      <c r="N146" s="3070">
        <v>45363</v>
      </c>
      <c r="O146" s="3070">
        <v>45398</v>
      </c>
      <c r="P146" s="3070">
        <v>45433</v>
      </c>
      <c r="Q146" s="2289" t="s">
        <v>13761</v>
      </c>
      <c r="R146" s="2877"/>
      <c r="S146" s="2144">
        <v>40260</v>
      </c>
      <c r="T146" s="2144">
        <v>45091.199999999997</v>
      </c>
      <c r="U146" s="2145"/>
      <c r="V146" s="2145"/>
      <c r="W146" s="2145"/>
      <c r="X146" s="2146">
        <v>45433</v>
      </c>
      <c r="Y146" s="2144" t="s">
        <v>17496</v>
      </c>
      <c r="Z146" s="3070">
        <v>45462</v>
      </c>
      <c r="AA146" s="3070">
        <v>45463</v>
      </c>
      <c r="AB146" s="3070">
        <v>46556</v>
      </c>
      <c r="AC146" s="2976"/>
      <c r="AD146" s="2976"/>
      <c r="AE146" s="118">
        <v>1</v>
      </c>
    </row>
    <row r="147" spans="1:32">
      <c r="A147" s="2564">
        <v>45357</v>
      </c>
      <c r="B147" s="2664" t="s">
        <v>16956</v>
      </c>
      <c r="C147" s="2779" t="s">
        <v>16536</v>
      </c>
      <c r="D147" s="2779" t="s">
        <v>15129</v>
      </c>
      <c r="E147" s="2779" t="s">
        <v>15813</v>
      </c>
      <c r="F147" s="2780" t="s">
        <v>16959</v>
      </c>
      <c r="G147" s="2779">
        <v>3</v>
      </c>
      <c r="H147" s="2664" t="s">
        <v>17241</v>
      </c>
      <c r="I147" s="2289" t="s">
        <v>15369</v>
      </c>
      <c r="J147" s="2779" t="s">
        <v>3633</v>
      </c>
      <c r="K147" s="3201"/>
      <c r="L147" s="2607">
        <v>1108308</v>
      </c>
      <c r="M147" s="2877" t="s">
        <v>251</v>
      </c>
      <c r="N147" s="3070">
        <v>45363</v>
      </c>
      <c r="O147" s="3070">
        <v>45398</v>
      </c>
      <c r="P147" s="3070">
        <v>45433</v>
      </c>
      <c r="Q147" s="2289" t="s">
        <v>13761</v>
      </c>
      <c r="R147" s="2877"/>
      <c r="S147" s="2144">
        <v>1104763.2</v>
      </c>
      <c r="T147" s="2144">
        <v>1237334.78</v>
      </c>
      <c r="U147" s="2145"/>
      <c r="V147" s="2145"/>
      <c r="W147" s="2145"/>
      <c r="X147" s="2146">
        <v>45433</v>
      </c>
      <c r="Y147" s="2144" t="s">
        <v>17497</v>
      </c>
      <c r="Z147" s="3070">
        <v>45462</v>
      </c>
      <c r="AA147" s="3070">
        <v>45463</v>
      </c>
      <c r="AB147" s="3070">
        <v>46556</v>
      </c>
      <c r="AC147" s="2976"/>
      <c r="AD147" s="2976"/>
      <c r="AE147" s="118">
        <v>1</v>
      </c>
    </row>
    <row r="148" spans="1:32">
      <c r="A148" s="2564">
        <v>45357</v>
      </c>
      <c r="B148" s="2664" t="s">
        <v>16957</v>
      </c>
      <c r="C148" s="2779" t="s">
        <v>16536</v>
      </c>
      <c r="D148" s="2779" t="s">
        <v>15129</v>
      </c>
      <c r="E148" s="2779" t="s">
        <v>15813</v>
      </c>
      <c r="F148" s="2780" t="s">
        <v>16959</v>
      </c>
      <c r="G148" s="2779">
        <v>4</v>
      </c>
      <c r="H148" s="2664" t="s">
        <v>17242</v>
      </c>
      <c r="I148" s="2289" t="s">
        <v>15369</v>
      </c>
      <c r="J148" s="2779" t="s">
        <v>3633</v>
      </c>
      <c r="K148" s="3201"/>
      <c r="L148" s="2607">
        <v>46504</v>
      </c>
      <c r="M148" s="2877" t="s">
        <v>251</v>
      </c>
      <c r="N148" s="3070">
        <v>45363</v>
      </c>
      <c r="O148" s="3070">
        <v>45398</v>
      </c>
      <c r="P148" s="3070">
        <v>45433</v>
      </c>
      <c r="Q148" s="2289" t="s">
        <v>13761</v>
      </c>
      <c r="R148" s="2877"/>
      <c r="S148" s="2144">
        <v>45746.55</v>
      </c>
      <c r="T148" s="2144">
        <v>51236.14</v>
      </c>
      <c r="U148" s="2145"/>
      <c r="V148" s="2145"/>
      <c r="W148" s="2145"/>
      <c r="X148" s="2146">
        <v>45433</v>
      </c>
      <c r="Y148" s="2144" t="s">
        <v>17498</v>
      </c>
      <c r="Z148" s="3070">
        <v>45462</v>
      </c>
      <c r="AA148" s="3070">
        <v>45463</v>
      </c>
      <c r="AB148" s="3070">
        <v>46556</v>
      </c>
      <c r="AC148" s="2976"/>
      <c r="AD148" s="2976"/>
      <c r="AE148" s="118">
        <v>1</v>
      </c>
    </row>
    <row r="149" spans="1:32" ht="15.75" thickBot="1">
      <c r="A149" s="2565">
        <v>45357</v>
      </c>
      <c r="B149" s="2746" t="s">
        <v>16958</v>
      </c>
      <c r="C149" s="2747" t="s">
        <v>16536</v>
      </c>
      <c r="D149" s="2747" t="s">
        <v>15129</v>
      </c>
      <c r="E149" s="2747" t="s">
        <v>15813</v>
      </c>
      <c r="F149" s="2883" t="s">
        <v>16959</v>
      </c>
      <c r="G149" s="2747">
        <v>5</v>
      </c>
      <c r="H149" s="2746" t="s">
        <v>17243</v>
      </c>
      <c r="I149" s="2291" t="s">
        <v>15369</v>
      </c>
      <c r="J149" s="2747" t="s">
        <v>3633</v>
      </c>
      <c r="K149" s="3202"/>
      <c r="L149" s="2608">
        <v>906019</v>
      </c>
      <c r="M149" s="2290" t="s">
        <v>251</v>
      </c>
      <c r="N149" s="3109">
        <v>45363</v>
      </c>
      <c r="O149" s="3109">
        <v>45398</v>
      </c>
      <c r="P149" s="3109">
        <v>45433</v>
      </c>
      <c r="Q149" s="2291" t="s">
        <v>13761</v>
      </c>
      <c r="R149" s="2290"/>
      <c r="S149" s="2121">
        <v>888254.31</v>
      </c>
      <c r="T149" s="2121">
        <v>994844.83</v>
      </c>
      <c r="U149" s="2122"/>
      <c r="V149" s="2122"/>
      <c r="W149" s="2122"/>
      <c r="X149" s="2123">
        <v>45433</v>
      </c>
      <c r="Y149" s="2121" t="s">
        <v>17499</v>
      </c>
      <c r="Z149" s="3109">
        <v>45462</v>
      </c>
      <c r="AA149" s="3109">
        <v>45463</v>
      </c>
      <c r="AB149" s="3109">
        <v>46556</v>
      </c>
      <c r="AC149" s="2976"/>
      <c r="AD149" s="2976"/>
      <c r="AE149" s="118">
        <v>1</v>
      </c>
    </row>
    <row r="150" spans="1:32" ht="31.5" thickTop="1" thickBot="1">
      <c r="A150" s="3166">
        <v>45355</v>
      </c>
      <c r="B150" s="3167" t="s">
        <v>16928</v>
      </c>
      <c r="C150" s="3168" t="s">
        <v>2434</v>
      </c>
      <c r="D150" s="3168" t="s">
        <v>3204</v>
      </c>
      <c r="E150" s="3168" t="s">
        <v>13951</v>
      </c>
      <c r="F150" s="3165" t="s">
        <v>16929</v>
      </c>
      <c r="G150" s="3168"/>
      <c r="H150" s="3167"/>
      <c r="I150" s="3160" t="s">
        <v>15369</v>
      </c>
      <c r="J150" s="3168" t="s">
        <v>642</v>
      </c>
      <c r="K150" s="3169"/>
      <c r="L150" s="3170">
        <v>713000</v>
      </c>
      <c r="M150" s="3168" t="s">
        <v>112</v>
      </c>
      <c r="N150" s="2478">
        <v>45366</v>
      </c>
      <c r="O150" s="2478">
        <v>45384</v>
      </c>
      <c r="P150" s="2478">
        <v>45401</v>
      </c>
      <c r="Q150" s="3160" t="s">
        <v>14117</v>
      </c>
      <c r="R150" s="3161"/>
      <c r="S150" s="676">
        <v>713000</v>
      </c>
      <c r="T150" s="676">
        <v>798560</v>
      </c>
      <c r="U150" s="1984"/>
      <c r="V150" s="1984"/>
      <c r="W150" s="1984"/>
      <c r="X150" s="683">
        <v>45401</v>
      </c>
      <c r="Y150" s="2479" t="s">
        <v>17295</v>
      </c>
      <c r="Z150" s="2478">
        <v>45412</v>
      </c>
      <c r="AA150" s="2478">
        <v>45412</v>
      </c>
      <c r="AB150" s="2478">
        <v>46959</v>
      </c>
      <c r="AC150" s="2976"/>
      <c r="AD150" s="2976"/>
      <c r="AE150" s="118">
        <v>2</v>
      </c>
      <c r="AF150" s="118" t="s">
        <v>17397</v>
      </c>
    </row>
    <row r="151" spans="1:32" ht="30.75" thickTop="1">
      <c r="A151" s="456">
        <v>45355</v>
      </c>
      <c r="B151" s="2292" t="s">
        <v>16921</v>
      </c>
      <c r="C151" s="943" t="s">
        <v>58</v>
      </c>
      <c r="D151" s="943" t="s">
        <v>15443</v>
      </c>
      <c r="E151" s="943" t="s">
        <v>13950</v>
      </c>
      <c r="F151" s="713" t="s">
        <v>16924</v>
      </c>
      <c r="G151" s="943">
        <v>1</v>
      </c>
      <c r="H151" s="2292" t="s">
        <v>15658</v>
      </c>
      <c r="I151" s="2292" t="s">
        <v>15369</v>
      </c>
      <c r="J151" s="943" t="s">
        <v>5760</v>
      </c>
      <c r="K151" s="3138" t="s">
        <v>16925</v>
      </c>
      <c r="L151" s="457">
        <v>677200</v>
      </c>
      <c r="M151" s="943" t="s">
        <v>251</v>
      </c>
      <c r="N151" s="456">
        <v>45392</v>
      </c>
      <c r="O151" s="456">
        <v>45426</v>
      </c>
      <c r="P151" s="456">
        <v>45442</v>
      </c>
      <c r="Q151" s="2292" t="s">
        <v>17629</v>
      </c>
      <c r="R151" s="943"/>
      <c r="S151" s="457">
        <v>676056.3</v>
      </c>
      <c r="T151" s="457">
        <v>818028.12</v>
      </c>
      <c r="U151" s="1474"/>
      <c r="V151" s="1474"/>
      <c r="W151" s="1474"/>
      <c r="X151" s="570">
        <v>45442</v>
      </c>
      <c r="Y151" s="1387" t="s">
        <v>17558</v>
      </c>
      <c r="Z151" s="456">
        <v>45450</v>
      </c>
      <c r="AA151" s="456">
        <v>45457</v>
      </c>
      <c r="AB151" s="456">
        <v>45570</v>
      </c>
      <c r="AC151" s="2976"/>
      <c r="AD151" s="2976"/>
      <c r="AE151" s="118">
        <v>1</v>
      </c>
    </row>
    <row r="152" spans="1:32" ht="30">
      <c r="A152" s="3070">
        <v>45355</v>
      </c>
      <c r="B152" s="2289" t="s">
        <v>16922</v>
      </c>
      <c r="C152" s="2877" t="s">
        <v>58</v>
      </c>
      <c r="D152" s="2877" t="s">
        <v>15443</v>
      </c>
      <c r="E152" s="2877" t="s">
        <v>13950</v>
      </c>
      <c r="F152" s="2913" t="s">
        <v>16924</v>
      </c>
      <c r="G152" s="2877">
        <v>2</v>
      </c>
      <c r="H152" s="2289" t="s">
        <v>14894</v>
      </c>
      <c r="I152" s="2289" t="s">
        <v>15369</v>
      </c>
      <c r="J152" s="2877" t="s">
        <v>5760</v>
      </c>
      <c r="K152" s="2877" t="s">
        <v>16927</v>
      </c>
      <c r="L152" s="2144">
        <v>1500200</v>
      </c>
      <c r="M152" s="2877" t="s">
        <v>251</v>
      </c>
      <c r="N152" s="3070">
        <v>45392</v>
      </c>
      <c r="O152" s="3070">
        <v>45426</v>
      </c>
      <c r="P152" s="3070">
        <v>45442</v>
      </c>
      <c r="Q152" s="2289" t="s">
        <v>17629</v>
      </c>
      <c r="R152" s="2877"/>
      <c r="S152" s="2144">
        <v>1500198.84</v>
      </c>
      <c r="T152" s="2144">
        <v>1815240.6</v>
      </c>
      <c r="U152" s="2145"/>
      <c r="V152" s="2145"/>
      <c r="W152" s="2145"/>
      <c r="X152" s="2146">
        <v>45442</v>
      </c>
      <c r="Y152" s="2260" t="s">
        <v>17559</v>
      </c>
      <c r="Z152" s="3070">
        <v>45450</v>
      </c>
      <c r="AA152" s="3070">
        <v>45457</v>
      </c>
      <c r="AB152" s="3070">
        <v>45570</v>
      </c>
      <c r="AC152" s="2976"/>
      <c r="AD152" s="2976"/>
      <c r="AE152" s="118">
        <v>1</v>
      </c>
    </row>
    <row r="153" spans="1:32" ht="15.75" thickBot="1">
      <c r="A153" s="3131">
        <v>45355</v>
      </c>
      <c r="B153" s="3118" t="s">
        <v>16923</v>
      </c>
      <c r="C153" s="3119" t="s">
        <v>58</v>
      </c>
      <c r="D153" s="3119" t="s">
        <v>15443</v>
      </c>
      <c r="E153" s="3119" t="s">
        <v>13950</v>
      </c>
      <c r="F153" s="3136" t="s">
        <v>16924</v>
      </c>
      <c r="G153" s="3119">
        <v>3</v>
      </c>
      <c r="H153" s="3118" t="s">
        <v>16944</v>
      </c>
      <c r="I153" s="3118" t="s">
        <v>242</v>
      </c>
      <c r="J153" s="3119" t="s">
        <v>5760</v>
      </c>
      <c r="K153" s="3137" t="s">
        <v>16926</v>
      </c>
      <c r="L153" s="2134">
        <v>1359000</v>
      </c>
      <c r="M153" s="3119" t="s">
        <v>251</v>
      </c>
      <c r="N153" s="3131">
        <v>45392</v>
      </c>
      <c r="O153" s="3131">
        <v>45426</v>
      </c>
      <c r="P153" s="3131"/>
      <c r="Q153" s="2137" t="s">
        <v>304</v>
      </c>
      <c r="R153" s="3119"/>
      <c r="S153" s="2134"/>
      <c r="T153" s="2134"/>
      <c r="U153" s="2095"/>
      <c r="V153" s="2095"/>
      <c r="W153" s="2095"/>
      <c r="X153" s="2163"/>
      <c r="Y153" s="2134"/>
      <c r="Z153" s="3131"/>
      <c r="AA153" s="3131">
        <v>45457</v>
      </c>
      <c r="AB153" s="3193" t="s">
        <v>17544</v>
      </c>
      <c r="AC153" s="2976"/>
      <c r="AD153" s="2976"/>
      <c r="AE153" s="118">
        <v>1</v>
      </c>
    </row>
    <row r="154" spans="1:32" ht="30.75" thickTop="1">
      <c r="A154" s="456">
        <v>45355</v>
      </c>
      <c r="B154" s="2292" t="s">
        <v>16914</v>
      </c>
      <c r="C154" s="943" t="s">
        <v>58</v>
      </c>
      <c r="D154" s="943" t="s">
        <v>15443</v>
      </c>
      <c r="E154" s="943" t="s">
        <v>655</v>
      </c>
      <c r="F154" s="713" t="s">
        <v>10051</v>
      </c>
      <c r="G154" s="943">
        <v>1</v>
      </c>
      <c r="H154" s="2292" t="s">
        <v>16943</v>
      </c>
      <c r="I154" s="2292" t="s">
        <v>15369</v>
      </c>
      <c r="J154" s="943" t="s">
        <v>269</v>
      </c>
      <c r="K154" s="3138" t="s">
        <v>16934</v>
      </c>
      <c r="L154" s="457">
        <v>210000</v>
      </c>
      <c r="M154" s="943" t="s">
        <v>112</v>
      </c>
      <c r="N154" s="456">
        <v>45358</v>
      </c>
      <c r="O154" s="456">
        <v>45376</v>
      </c>
      <c r="P154" s="456">
        <v>45408</v>
      </c>
      <c r="Q154" s="2292" t="s">
        <v>3152</v>
      </c>
      <c r="R154" s="943"/>
      <c r="S154" s="457">
        <v>159657.45000000001</v>
      </c>
      <c r="T154" s="457">
        <v>193185.51</v>
      </c>
      <c r="U154" s="1474"/>
      <c r="V154" s="1474"/>
      <c r="W154" s="1474"/>
      <c r="X154" s="570">
        <v>45408</v>
      </c>
      <c r="Y154" s="1387" t="s">
        <v>17367</v>
      </c>
      <c r="Z154" s="456">
        <v>45427</v>
      </c>
      <c r="AA154" s="456">
        <v>45427</v>
      </c>
      <c r="AB154" s="456">
        <v>45457</v>
      </c>
      <c r="AC154" s="2976"/>
      <c r="AD154" s="2976"/>
      <c r="AE154" s="118">
        <v>4</v>
      </c>
    </row>
    <row r="155" spans="1:32" ht="30">
      <c r="A155" s="3070">
        <v>45355</v>
      </c>
      <c r="B155" s="2289" t="s">
        <v>16915</v>
      </c>
      <c r="C155" s="2877" t="s">
        <v>58</v>
      </c>
      <c r="D155" s="2877" t="s">
        <v>15443</v>
      </c>
      <c r="E155" s="2877" t="s">
        <v>655</v>
      </c>
      <c r="F155" s="2913" t="s">
        <v>10051</v>
      </c>
      <c r="G155" s="2877">
        <v>2</v>
      </c>
      <c r="H155" s="2289" t="s">
        <v>3062</v>
      </c>
      <c r="I155" s="2289" t="s">
        <v>15369</v>
      </c>
      <c r="J155" s="2877" t="s">
        <v>269</v>
      </c>
      <c r="K155" s="2877" t="s">
        <v>16935</v>
      </c>
      <c r="L155" s="2144">
        <v>1110000</v>
      </c>
      <c r="M155" s="2877" t="s">
        <v>112</v>
      </c>
      <c r="N155" s="3070">
        <v>45358</v>
      </c>
      <c r="O155" s="3070">
        <v>45376</v>
      </c>
      <c r="P155" s="3070">
        <v>45408</v>
      </c>
      <c r="Q155" s="2289" t="s">
        <v>5103</v>
      </c>
      <c r="R155" s="2877"/>
      <c r="S155" s="2144">
        <v>1101244</v>
      </c>
      <c r="T155" s="2144">
        <v>1332505.24</v>
      </c>
      <c r="U155" s="2145"/>
      <c r="V155" s="2145"/>
      <c r="W155" s="2145"/>
      <c r="X155" s="2146">
        <v>45411</v>
      </c>
      <c r="Y155" s="2260" t="s">
        <v>17370</v>
      </c>
      <c r="Z155" s="3070">
        <v>45425</v>
      </c>
      <c r="AA155" s="3070">
        <v>45425</v>
      </c>
      <c r="AB155" s="3070">
        <v>45465</v>
      </c>
      <c r="AC155" s="2976"/>
      <c r="AD155" s="2976"/>
      <c r="AE155" s="118">
        <v>1</v>
      </c>
    </row>
    <row r="156" spans="1:32" ht="30.75" thickBot="1">
      <c r="A156" s="3109">
        <v>45355</v>
      </c>
      <c r="B156" s="2291" t="s">
        <v>16916</v>
      </c>
      <c r="C156" s="2290" t="s">
        <v>58</v>
      </c>
      <c r="D156" s="2290" t="s">
        <v>15443</v>
      </c>
      <c r="E156" s="2290" t="s">
        <v>655</v>
      </c>
      <c r="F156" s="2912" t="s">
        <v>10051</v>
      </c>
      <c r="G156" s="2290">
        <v>3</v>
      </c>
      <c r="H156" s="2291" t="s">
        <v>12015</v>
      </c>
      <c r="I156" s="2291" t="s">
        <v>15369</v>
      </c>
      <c r="J156" s="2290" t="s">
        <v>269</v>
      </c>
      <c r="K156" s="2290" t="s">
        <v>16913</v>
      </c>
      <c r="L156" s="2121">
        <v>484000</v>
      </c>
      <c r="M156" s="2290" t="s">
        <v>112</v>
      </c>
      <c r="N156" s="3109">
        <v>45358</v>
      </c>
      <c r="O156" s="3109">
        <v>45376</v>
      </c>
      <c r="P156" s="3109">
        <v>45408</v>
      </c>
      <c r="Q156" s="2291" t="s">
        <v>17238</v>
      </c>
      <c r="R156" s="2290"/>
      <c r="S156" s="2121">
        <v>468706</v>
      </c>
      <c r="T156" s="2121">
        <v>567134.26</v>
      </c>
      <c r="U156" s="2122"/>
      <c r="V156" s="2122"/>
      <c r="W156" s="2122"/>
      <c r="X156" s="2123">
        <v>45411</v>
      </c>
      <c r="Y156" s="2246" t="s">
        <v>17371</v>
      </c>
      <c r="Z156" s="3109">
        <v>45429</v>
      </c>
      <c r="AA156" s="3109">
        <v>45429</v>
      </c>
      <c r="AB156" s="3109">
        <v>45499</v>
      </c>
      <c r="AC156" s="3065"/>
      <c r="AD156" s="3065"/>
      <c r="AE156" s="118">
        <v>1</v>
      </c>
    </row>
    <row r="157" spans="1:32" ht="30.75" thickTop="1">
      <c r="A157" s="899">
        <v>45355</v>
      </c>
      <c r="B157" s="3123" t="s">
        <v>16917</v>
      </c>
      <c r="C157" s="286" t="s">
        <v>58</v>
      </c>
      <c r="D157" s="286" t="s">
        <v>15443</v>
      </c>
      <c r="E157" s="286" t="s">
        <v>13951</v>
      </c>
      <c r="F157" s="261" t="s">
        <v>16918</v>
      </c>
      <c r="G157" s="286"/>
      <c r="H157" s="3123"/>
      <c r="I157" s="3123" t="s">
        <v>15369</v>
      </c>
      <c r="J157" s="3171" t="s">
        <v>16920</v>
      </c>
      <c r="K157" s="286" t="s">
        <v>16919</v>
      </c>
      <c r="L157" s="499">
        <v>372000</v>
      </c>
      <c r="M157" s="286" t="s">
        <v>112</v>
      </c>
      <c r="N157" s="899">
        <v>45362</v>
      </c>
      <c r="O157" s="899">
        <v>45373</v>
      </c>
      <c r="P157" s="899">
        <v>45379</v>
      </c>
      <c r="Q157" s="3123" t="s">
        <v>17107</v>
      </c>
      <c r="R157" s="286"/>
      <c r="S157" s="499">
        <v>365733</v>
      </c>
      <c r="T157" s="499">
        <v>442536.93</v>
      </c>
      <c r="U157" s="1545"/>
      <c r="V157" s="1545"/>
      <c r="W157" s="1545"/>
      <c r="X157" s="682">
        <v>45379</v>
      </c>
      <c r="Y157" s="1752" t="s">
        <v>17117</v>
      </c>
      <c r="Z157" s="899">
        <v>45393</v>
      </c>
      <c r="AA157" s="899">
        <v>45393</v>
      </c>
      <c r="AB157" s="899">
        <v>45453</v>
      </c>
      <c r="AC157" s="2976"/>
      <c r="AD157" s="2976"/>
      <c r="AE157" s="118">
        <v>1</v>
      </c>
    </row>
    <row r="158" spans="1:32" ht="30">
      <c r="A158" s="3070">
        <v>45363</v>
      </c>
      <c r="B158" s="2289" t="s">
        <v>16991</v>
      </c>
      <c r="C158" s="2877" t="s">
        <v>2434</v>
      </c>
      <c r="D158" s="2877" t="s">
        <v>3204</v>
      </c>
      <c r="E158" s="2877" t="s">
        <v>655</v>
      </c>
      <c r="F158" s="2913" t="s">
        <v>16992</v>
      </c>
      <c r="G158" s="2877"/>
      <c r="H158" s="2289"/>
      <c r="I158" s="2289" t="s">
        <v>15369</v>
      </c>
      <c r="J158" s="3115" t="s">
        <v>642</v>
      </c>
      <c r="K158" s="2877"/>
      <c r="L158" s="2144">
        <v>1225148</v>
      </c>
      <c r="M158" s="2877" t="s">
        <v>112</v>
      </c>
      <c r="N158" s="3070">
        <v>45369</v>
      </c>
      <c r="O158" s="3070">
        <v>45384</v>
      </c>
      <c r="P158" s="3070">
        <v>45398</v>
      </c>
      <c r="Q158" s="2289" t="s">
        <v>2776</v>
      </c>
      <c r="R158" s="2877"/>
      <c r="S158" s="2144">
        <v>1225147.6000000001</v>
      </c>
      <c r="T158" s="2144">
        <v>1372165.4</v>
      </c>
      <c r="U158" s="2145"/>
      <c r="V158" s="2145"/>
      <c r="W158" s="2145"/>
      <c r="X158" s="2146">
        <v>45398</v>
      </c>
      <c r="Y158" s="2260" t="s">
        <v>17267</v>
      </c>
      <c r="Z158" s="3070">
        <v>45404</v>
      </c>
      <c r="AA158" s="3070">
        <v>45404</v>
      </c>
      <c r="AB158" s="3070">
        <v>46965</v>
      </c>
      <c r="AC158" s="2976"/>
      <c r="AD158" s="2976"/>
      <c r="AE158" s="118">
        <v>1</v>
      </c>
      <c r="AF158" s="118" t="s">
        <v>17313</v>
      </c>
    </row>
    <row r="159" spans="1:32">
      <c r="A159" s="3070">
        <v>45357</v>
      </c>
      <c r="B159" s="2289" t="s">
        <v>16946</v>
      </c>
      <c r="C159" s="2877" t="s">
        <v>16536</v>
      </c>
      <c r="D159" s="2877" t="s">
        <v>15129</v>
      </c>
      <c r="E159" s="2877" t="s">
        <v>15813</v>
      </c>
      <c r="F159" s="2913" t="s">
        <v>16947</v>
      </c>
      <c r="G159" s="2877"/>
      <c r="H159" s="2289"/>
      <c r="I159" s="2289" t="s">
        <v>15369</v>
      </c>
      <c r="J159" s="2877" t="s">
        <v>816</v>
      </c>
      <c r="K159" s="2877"/>
      <c r="L159" s="2144">
        <v>6351870</v>
      </c>
      <c r="M159" s="2877" t="s">
        <v>251</v>
      </c>
      <c r="N159" s="3070">
        <v>45369</v>
      </c>
      <c r="O159" s="3070">
        <v>45404</v>
      </c>
      <c r="P159" s="3070">
        <v>45419</v>
      </c>
      <c r="Q159" s="2289" t="s">
        <v>13761</v>
      </c>
      <c r="R159" s="2877"/>
      <c r="S159" s="2144">
        <v>2877000</v>
      </c>
      <c r="T159" s="2144">
        <v>3222240</v>
      </c>
      <c r="U159" s="2145"/>
      <c r="V159" s="2145"/>
      <c r="W159" s="2145"/>
      <c r="X159" s="2146">
        <v>45419</v>
      </c>
      <c r="Y159" s="2260" t="s">
        <v>17445</v>
      </c>
      <c r="Z159" s="3070">
        <v>45447</v>
      </c>
      <c r="AA159" s="3070">
        <v>45449</v>
      </c>
      <c r="AB159" s="3070">
        <v>46541</v>
      </c>
      <c r="AC159" s="2976"/>
      <c r="AD159" s="2976"/>
      <c r="AE159" s="118">
        <v>3</v>
      </c>
    </row>
    <row r="160" spans="1:32" ht="30">
      <c r="A160" s="3070">
        <v>45358</v>
      </c>
      <c r="B160" s="2289" t="s">
        <v>16952</v>
      </c>
      <c r="C160" s="2877" t="s">
        <v>58</v>
      </c>
      <c r="D160" s="2877" t="s">
        <v>15443</v>
      </c>
      <c r="E160" s="2877" t="s">
        <v>655</v>
      </c>
      <c r="F160" s="2913" t="s">
        <v>9471</v>
      </c>
      <c r="G160" s="2877"/>
      <c r="H160" s="2289"/>
      <c r="I160" s="2289" t="s">
        <v>15369</v>
      </c>
      <c r="J160" s="2877" t="s">
        <v>62</v>
      </c>
      <c r="K160" s="2877" t="s">
        <v>16953</v>
      </c>
      <c r="L160" s="2144">
        <v>242000</v>
      </c>
      <c r="M160" s="2877" t="s">
        <v>112</v>
      </c>
      <c r="N160" s="3070">
        <v>45363</v>
      </c>
      <c r="O160" s="3070">
        <v>45386</v>
      </c>
      <c r="P160" s="3070">
        <v>45408</v>
      </c>
      <c r="Q160" s="2289" t="s">
        <v>1728</v>
      </c>
      <c r="R160" s="2877"/>
      <c r="S160" s="2144">
        <v>171830</v>
      </c>
      <c r="T160" s="2144">
        <v>207914.3</v>
      </c>
      <c r="U160" s="2145"/>
      <c r="V160" s="2145"/>
      <c r="W160" s="2145"/>
      <c r="X160" s="2146">
        <v>45411</v>
      </c>
      <c r="Y160" s="2260" t="s">
        <v>17373</v>
      </c>
      <c r="Z160" s="3070">
        <v>45433</v>
      </c>
      <c r="AA160" s="3070">
        <v>45433</v>
      </c>
      <c r="AB160" s="3070">
        <v>45440</v>
      </c>
      <c r="AC160" s="2976"/>
      <c r="AD160" s="2976"/>
      <c r="AE160" s="118">
        <v>2</v>
      </c>
    </row>
    <row r="161" spans="1:32">
      <c r="A161" s="2564">
        <v>45358</v>
      </c>
      <c r="B161" s="2664" t="s">
        <v>16964</v>
      </c>
      <c r="C161" s="2779" t="s">
        <v>58</v>
      </c>
      <c r="D161" s="2779" t="s">
        <v>15443</v>
      </c>
      <c r="E161" s="2779" t="s">
        <v>13951</v>
      </c>
      <c r="F161" s="3152" t="s">
        <v>16965</v>
      </c>
      <c r="G161" s="2779"/>
      <c r="H161" s="2664"/>
      <c r="I161" s="2289" t="s">
        <v>15369</v>
      </c>
      <c r="J161" s="2779" t="s">
        <v>465</v>
      </c>
      <c r="K161" s="2779" t="s">
        <v>16966</v>
      </c>
      <c r="L161" s="2607">
        <v>178500</v>
      </c>
      <c r="M161" s="2779" t="s">
        <v>112</v>
      </c>
      <c r="N161" s="2564">
        <v>45371</v>
      </c>
      <c r="O161" s="2564">
        <v>45384</v>
      </c>
      <c r="P161" s="2564">
        <v>45391</v>
      </c>
      <c r="Q161" s="2664" t="s">
        <v>11477</v>
      </c>
      <c r="R161" s="2779"/>
      <c r="S161" s="2607">
        <v>177600</v>
      </c>
      <c r="T161" s="2607">
        <v>214896</v>
      </c>
      <c r="U161" s="2781"/>
      <c r="V161" s="2781"/>
      <c r="W161" s="2781"/>
      <c r="X161" s="2782">
        <v>45391</v>
      </c>
      <c r="Y161" s="2876" t="s">
        <v>17203</v>
      </c>
      <c r="Z161" s="2564">
        <v>45406</v>
      </c>
      <c r="AA161" s="2564">
        <v>45406</v>
      </c>
      <c r="AB161" s="2564">
        <v>45466</v>
      </c>
      <c r="AC161" s="2964"/>
      <c r="AD161" s="2964"/>
      <c r="AE161" s="118">
        <v>1</v>
      </c>
    </row>
    <row r="162" spans="1:32" ht="30">
      <c r="A162" s="3070">
        <v>45358</v>
      </c>
      <c r="B162" s="2289" t="s">
        <v>16967</v>
      </c>
      <c r="C162" s="2877" t="s">
        <v>2434</v>
      </c>
      <c r="D162" s="2877" t="s">
        <v>219</v>
      </c>
      <c r="E162" s="2877" t="s">
        <v>13948</v>
      </c>
      <c r="F162" s="2913" t="s">
        <v>16968</v>
      </c>
      <c r="G162" s="2877"/>
      <c r="H162" s="2289"/>
      <c r="I162" s="2289" t="s">
        <v>15369</v>
      </c>
      <c r="J162" s="2877" t="s">
        <v>786</v>
      </c>
      <c r="K162" s="2877"/>
      <c r="L162" s="2144">
        <v>1948500</v>
      </c>
      <c r="M162" s="2877" t="s">
        <v>251</v>
      </c>
      <c r="N162" s="3070">
        <v>45369</v>
      </c>
      <c r="O162" s="3070">
        <v>45404</v>
      </c>
      <c r="P162" s="3070">
        <v>45434</v>
      </c>
      <c r="Q162" s="2289" t="s">
        <v>17152</v>
      </c>
      <c r="R162" s="2275"/>
      <c r="S162" s="2144">
        <v>1948500</v>
      </c>
      <c r="T162" s="2144">
        <v>2182320</v>
      </c>
      <c r="U162" s="2145"/>
      <c r="V162" s="2145"/>
      <c r="W162" s="2145"/>
      <c r="X162" s="2146">
        <v>45434</v>
      </c>
      <c r="Y162" s="2260" t="s">
        <v>17511</v>
      </c>
      <c r="Z162" s="3070">
        <v>45447</v>
      </c>
      <c r="AA162" s="3070">
        <v>45456</v>
      </c>
      <c r="AB162" s="3070">
        <v>46056</v>
      </c>
      <c r="AC162" s="2976"/>
      <c r="AD162" s="2976"/>
      <c r="AE162" s="118">
        <v>1</v>
      </c>
    </row>
    <row r="163" spans="1:32" ht="30">
      <c r="A163" s="3070">
        <v>45358</v>
      </c>
      <c r="B163" s="2289" t="s">
        <v>16969</v>
      </c>
      <c r="C163" s="2877" t="s">
        <v>2434</v>
      </c>
      <c r="D163" s="2877" t="s">
        <v>3204</v>
      </c>
      <c r="E163" s="2877" t="s">
        <v>13951</v>
      </c>
      <c r="F163" s="2913" t="s">
        <v>16970</v>
      </c>
      <c r="G163" s="2877"/>
      <c r="H163" s="2289"/>
      <c r="I163" s="2289" t="s">
        <v>15369</v>
      </c>
      <c r="J163" s="2877" t="s">
        <v>642</v>
      </c>
      <c r="K163" s="2877"/>
      <c r="L163" s="2144">
        <v>1074000</v>
      </c>
      <c r="M163" s="2877" t="s">
        <v>112</v>
      </c>
      <c r="N163" s="3070">
        <v>45369</v>
      </c>
      <c r="O163" s="3070">
        <v>45391</v>
      </c>
      <c r="P163" s="3070">
        <v>45393</v>
      </c>
      <c r="Q163" s="2289" t="s">
        <v>1433</v>
      </c>
      <c r="R163" s="2877"/>
      <c r="S163" s="2144">
        <v>1074000</v>
      </c>
      <c r="T163" s="2144">
        <v>1202880</v>
      </c>
      <c r="U163" s="2145"/>
      <c r="V163" s="2145"/>
      <c r="W163" s="2145"/>
      <c r="X163" s="2146">
        <v>45393</v>
      </c>
      <c r="Y163" s="2260" t="s">
        <v>17220</v>
      </c>
      <c r="Z163" s="3070">
        <v>45407</v>
      </c>
      <c r="AA163" s="3070">
        <v>45407</v>
      </c>
      <c r="AB163" s="3070">
        <v>46963</v>
      </c>
      <c r="AC163" s="3078"/>
      <c r="AD163" s="3078"/>
      <c r="AE163" s="118">
        <v>1</v>
      </c>
      <c r="AF163" s="118" t="s">
        <v>17347</v>
      </c>
    </row>
    <row r="164" spans="1:32" ht="30">
      <c r="A164" s="3070">
        <v>45359</v>
      </c>
      <c r="B164" s="2289" t="s">
        <v>16972</v>
      </c>
      <c r="C164" s="2877" t="s">
        <v>2434</v>
      </c>
      <c r="D164" s="2877" t="s">
        <v>219</v>
      </c>
      <c r="E164" s="2877" t="s">
        <v>13948</v>
      </c>
      <c r="F164" s="2913" t="s">
        <v>16973</v>
      </c>
      <c r="G164" s="2877"/>
      <c r="H164" s="2289"/>
      <c r="I164" s="2289" t="s">
        <v>15369</v>
      </c>
      <c r="J164" s="2877" t="s">
        <v>642</v>
      </c>
      <c r="K164" s="2877"/>
      <c r="L164" s="2144">
        <v>5012160</v>
      </c>
      <c r="M164" s="2877" t="s">
        <v>251</v>
      </c>
      <c r="N164" s="3070">
        <v>45364</v>
      </c>
      <c r="O164" s="3070">
        <v>45414</v>
      </c>
      <c r="P164" s="3070">
        <v>45435</v>
      </c>
      <c r="Q164" s="2289" t="s">
        <v>9797</v>
      </c>
      <c r="R164" s="2877"/>
      <c r="S164" s="2144">
        <v>5627200</v>
      </c>
      <c r="T164" s="2144">
        <v>6302464</v>
      </c>
      <c r="U164" s="2145"/>
      <c r="V164" s="2145"/>
      <c r="W164" s="2145"/>
      <c r="X164" s="2146">
        <v>45436</v>
      </c>
      <c r="Y164" s="2260" t="s">
        <v>17528</v>
      </c>
      <c r="Z164" s="3070">
        <v>45440</v>
      </c>
      <c r="AA164" s="3070">
        <v>45441</v>
      </c>
      <c r="AB164" s="3070">
        <v>46996</v>
      </c>
      <c r="AC164" s="2976"/>
      <c r="AD164" s="2976"/>
      <c r="AE164" s="118">
        <v>1</v>
      </c>
      <c r="AF164" s="118" t="s">
        <v>17548</v>
      </c>
    </row>
    <row r="165" spans="1:32" ht="30">
      <c r="A165" s="3070">
        <v>45359</v>
      </c>
      <c r="B165" s="2289" t="s">
        <v>16974</v>
      </c>
      <c r="C165" s="2877" t="s">
        <v>2434</v>
      </c>
      <c r="D165" s="2877" t="s">
        <v>3204</v>
      </c>
      <c r="E165" s="2877" t="s">
        <v>13948</v>
      </c>
      <c r="F165" s="2913" t="s">
        <v>16975</v>
      </c>
      <c r="G165" s="2877"/>
      <c r="H165" s="2289"/>
      <c r="I165" s="2289" t="s">
        <v>15369</v>
      </c>
      <c r="J165" s="2877" t="s">
        <v>642</v>
      </c>
      <c r="K165" s="2877"/>
      <c r="L165" s="2144">
        <v>2703000</v>
      </c>
      <c r="M165" s="2877" t="s">
        <v>216</v>
      </c>
      <c r="N165" s="3070">
        <v>45364</v>
      </c>
      <c r="O165" s="3070">
        <v>45386</v>
      </c>
      <c r="P165" s="3070">
        <v>45398</v>
      </c>
      <c r="Q165" s="2289" t="s">
        <v>7296</v>
      </c>
      <c r="R165" s="2877"/>
      <c r="S165" s="2144">
        <v>2703000</v>
      </c>
      <c r="T165" s="2144">
        <v>3027360</v>
      </c>
      <c r="U165" s="2145"/>
      <c r="V165" s="2145"/>
      <c r="W165" s="2145"/>
      <c r="X165" s="2146">
        <v>45398</v>
      </c>
      <c r="Y165" s="2260" t="s">
        <v>17259</v>
      </c>
      <c r="Z165" s="3070">
        <v>45406</v>
      </c>
      <c r="AA165" s="3070">
        <v>45414</v>
      </c>
      <c r="AB165" s="3070">
        <v>46995</v>
      </c>
      <c r="AC165" s="2976"/>
      <c r="AD165" s="2976"/>
      <c r="AE165" s="118">
        <v>1</v>
      </c>
      <c r="AF165" s="118" t="s">
        <v>17030</v>
      </c>
    </row>
    <row r="166" spans="1:32" ht="30">
      <c r="A166" s="3070">
        <v>45363</v>
      </c>
      <c r="B166" s="2289" t="s">
        <v>16989</v>
      </c>
      <c r="C166" s="2877" t="s">
        <v>2434</v>
      </c>
      <c r="D166" s="2877" t="s">
        <v>219</v>
      </c>
      <c r="E166" s="2877" t="s">
        <v>13948</v>
      </c>
      <c r="F166" s="2913" t="s">
        <v>16990</v>
      </c>
      <c r="G166" s="2877"/>
      <c r="H166" s="2289"/>
      <c r="I166" s="2289" t="s">
        <v>15369</v>
      </c>
      <c r="J166" s="2877" t="s">
        <v>642</v>
      </c>
      <c r="K166" s="2877"/>
      <c r="L166" s="2144">
        <v>868000</v>
      </c>
      <c r="M166" s="2877" t="s">
        <v>251</v>
      </c>
      <c r="N166" s="3070">
        <v>45369</v>
      </c>
      <c r="O166" s="3070">
        <v>45404</v>
      </c>
      <c r="P166" s="3070">
        <v>45415</v>
      </c>
      <c r="Q166" s="2289" t="s">
        <v>6763</v>
      </c>
      <c r="R166" s="2877"/>
      <c r="S166" s="2144">
        <v>868000</v>
      </c>
      <c r="T166" s="2144">
        <v>972160</v>
      </c>
      <c r="U166" s="2145"/>
      <c r="V166" s="2145"/>
      <c r="W166" s="2145"/>
      <c r="X166" s="2146">
        <v>45415</v>
      </c>
      <c r="Y166" s="2260" t="s">
        <v>17404</v>
      </c>
      <c r="Z166" s="3070">
        <v>45441</v>
      </c>
      <c r="AA166" s="3070">
        <v>45450</v>
      </c>
      <c r="AB166" s="3070">
        <v>46901</v>
      </c>
      <c r="AC166" s="2976"/>
      <c r="AD166" s="2976"/>
      <c r="AE166" s="118">
        <v>1</v>
      </c>
    </row>
    <row r="167" spans="1:32">
      <c r="A167" s="3070">
        <v>45359</v>
      </c>
      <c r="B167" s="2289" t="s">
        <v>16998</v>
      </c>
      <c r="C167" s="2877" t="s">
        <v>16688</v>
      </c>
      <c r="D167" s="2877" t="s">
        <v>7475</v>
      </c>
      <c r="E167" s="2877" t="s">
        <v>13951</v>
      </c>
      <c r="F167" s="2913" t="s">
        <v>16997</v>
      </c>
      <c r="G167" s="2877"/>
      <c r="H167" s="2289"/>
      <c r="I167" s="2289" t="s">
        <v>15369</v>
      </c>
      <c r="J167" s="2877" t="s">
        <v>1676</v>
      </c>
      <c r="K167" s="2877"/>
      <c r="L167" s="2144">
        <v>1500000</v>
      </c>
      <c r="M167" s="2877" t="s">
        <v>112</v>
      </c>
      <c r="N167" s="3070">
        <v>45371</v>
      </c>
      <c r="O167" s="3070">
        <v>45384</v>
      </c>
      <c r="P167" s="3070">
        <v>45397</v>
      </c>
      <c r="Q167" s="2289" t="s">
        <v>2032</v>
      </c>
      <c r="R167" s="2877"/>
      <c r="S167" s="2144">
        <v>1589000.24</v>
      </c>
      <c r="T167" s="2144">
        <v>1922690.29</v>
      </c>
      <c r="U167" s="2145"/>
      <c r="V167" s="2145"/>
      <c r="W167" s="2145"/>
      <c r="X167" s="2146">
        <v>45397</v>
      </c>
      <c r="Y167" s="2144" t="s">
        <v>17254</v>
      </c>
      <c r="Z167" s="3070">
        <v>45412</v>
      </c>
      <c r="AA167" s="3070">
        <v>45412</v>
      </c>
      <c r="AB167" s="3070">
        <v>45513</v>
      </c>
      <c r="AC167" s="2976"/>
      <c r="AD167" s="2976"/>
      <c r="AE167" s="118">
        <v>2</v>
      </c>
    </row>
    <row r="168" spans="1:32" ht="45">
      <c r="A168" s="3070">
        <v>45366</v>
      </c>
      <c r="B168" s="2289" t="s">
        <v>17021</v>
      </c>
      <c r="C168" s="2877" t="s">
        <v>2434</v>
      </c>
      <c r="D168" s="2877" t="s">
        <v>3204</v>
      </c>
      <c r="E168" s="2877" t="s">
        <v>13948</v>
      </c>
      <c r="F168" s="2913" t="s">
        <v>17022</v>
      </c>
      <c r="G168" s="2877"/>
      <c r="H168" s="2289"/>
      <c r="I168" s="2289" t="s">
        <v>15369</v>
      </c>
      <c r="J168" s="2877" t="s">
        <v>642</v>
      </c>
      <c r="K168" s="2877"/>
      <c r="L168" s="2144">
        <v>9339960</v>
      </c>
      <c r="M168" s="2877" t="s">
        <v>251</v>
      </c>
      <c r="N168" s="3070">
        <v>45390</v>
      </c>
      <c r="O168" s="3070">
        <v>45426</v>
      </c>
      <c r="P168" s="3070">
        <v>45442</v>
      </c>
      <c r="Q168" s="2289" t="s">
        <v>4838</v>
      </c>
      <c r="R168" s="2877"/>
      <c r="S168" s="2144">
        <v>9340081.8000000007</v>
      </c>
      <c r="T168" s="2144">
        <v>10460891.619999999</v>
      </c>
      <c r="U168" s="2145"/>
      <c r="V168" s="2145"/>
      <c r="W168" s="2145"/>
      <c r="X168" s="2146">
        <v>45442</v>
      </c>
      <c r="Y168" s="2260" t="s">
        <v>17563</v>
      </c>
      <c r="Z168" s="3070">
        <v>45455</v>
      </c>
      <c r="AA168" s="3070">
        <v>45460</v>
      </c>
      <c r="AB168" s="3070">
        <v>46915</v>
      </c>
      <c r="AC168" s="2976"/>
      <c r="AD168" s="2976"/>
      <c r="AE168" s="118">
        <v>1</v>
      </c>
    </row>
    <row r="169" spans="1:32" ht="30">
      <c r="A169" s="3070">
        <v>45363</v>
      </c>
      <c r="B169" s="2289" t="s">
        <v>16999</v>
      </c>
      <c r="C169" s="2877" t="s">
        <v>2434</v>
      </c>
      <c r="D169" s="2877" t="s">
        <v>219</v>
      </c>
      <c r="E169" s="2877" t="s">
        <v>13948</v>
      </c>
      <c r="F169" s="2913" t="s">
        <v>17000</v>
      </c>
      <c r="G169" s="2877"/>
      <c r="H169" s="2289"/>
      <c r="I169" s="2289" t="s">
        <v>15369</v>
      </c>
      <c r="J169" s="2877" t="s">
        <v>3271</v>
      </c>
      <c r="K169" s="2877"/>
      <c r="L169" s="2144">
        <v>3610480</v>
      </c>
      <c r="M169" s="2877" t="s">
        <v>251</v>
      </c>
      <c r="N169" s="3070">
        <v>45370</v>
      </c>
      <c r="O169" s="3070">
        <v>45406</v>
      </c>
      <c r="P169" s="3070">
        <v>45415</v>
      </c>
      <c r="Q169" s="2289" t="s">
        <v>17372</v>
      </c>
      <c r="R169" s="2877"/>
      <c r="S169" s="2144">
        <v>3610468</v>
      </c>
      <c r="T169" s="2144">
        <v>4043724.16</v>
      </c>
      <c r="U169" s="2145"/>
      <c r="V169" s="2145"/>
      <c r="W169" s="2145"/>
      <c r="X169" s="2146">
        <v>45415</v>
      </c>
      <c r="Y169" s="2260" t="s">
        <v>17406</v>
      </c>
      <c r="Z169" s="3070">
        <v>45425</v>
      </c>
      <c r="AA169" s="3070">
        <v>45432</v>
      </c>
      <c r="AB169" s="3070">
        <v>46885</v>
      </c>
      <c r="AC169" s="2976"/>
      <c r="AD169" s="2976"/>
      <c r="AE169" s="118">
        <v>1</v>
      </c>
    </row>
    <row r="170" spans="1:32">
      <c r="A170" s="3070">
        <v>45363</v>
      </c>
      <c r="B170" s="2289" t="s">
        <v>17512</v>
      </c>
      <c r="C170" s="2877" t="s">
        <v>16688</v>
      </c>
      <c r="D170" s="2877" t="s">
        <v>361</v>
      </c>
      <c r="E170" s="2877" t="s">
        <v>13950</v>
      </c>
      <c r="F170" s="2913" t="s">
        <v>16986</v>
      </c>
      <c r="G170" s="2877"/>
      <c r="H170" s="2289"/>
      <c r="I170" s="2289" t="s">
        <v>15369</v>
      </c>
      <c r="J170" s="2877" t="s">
        <v>7263</v>
      </c>
      <c r="K170" s="2877"/>
      <c r="L170" s="2144">
        <v>5500000</v>
      </c>
      <c r="M170" s="2877" t="s">
        <v>216</v>
      </c>
      <c r="N170" s="3070">
        <v>45377</v>
      </c>
      <c r="O170" s="3070">
        <v>45401</v>
      </c>
      <c r="P170" s="3070">
        <v>45415</v>
      </c>
      <c r="Q170" s="2289" t="s">
        <v>10627</v>
      </c>
      <c r="R170" s="2877"/>
      <c r="S170" s="2144">
        <v>2499491.96</v>
      </c>
      <c r="T170" s="2144">
        <v>3024385.27</v>
      </c>
      <c r="U170" s="2145"/>
      <c r="V170" s="2145"/>
      <c r="W170" s="2145"/>
      <c r="X170" s="2146">
        <v>45415</v>
      </c>
      <c r="Y170" s="2144" t="s">
        <v>17405</v>
      </c>
      <c r="Z170" s="3070">
        <v>45429</v>
      </c>
      <c r="AA170" s="3070">
        <v>45456</v>
      </c>
      <c r="AB170" s="2877"/>
      <c r="AC170" s="2976"/>
      <c r="AD170" s="2976"/>
      <c r="AE170" s="118">
        <v>4</v>
      </c>
    </row>
    <row r="171" spans="1:32">
      <c r="A171" s="3067">
        <v>45400</v>
      </c>
      <c r="B171" s="3068" t="s">
        <v>17284</v>
      </c>
      <c r="C171" s="3069" t="s">
        <v>52</v>
      </c>
      <c r="D171" s="3069" t="s">
        <v>10114</v>
      </c>
      <c r="E171" s="3069" t="s">
        <v>13951</v>
      </c>
      <c r="F171" s="2914" t="s">
        <v>17285</v>
      </c>
      <c r="G171" s="3069"/>
      <c r="H171" s="3068"/>
      <c r="I171" s="3068" t="s">
        <v>242</v>
      </c>
      <c r="J171" s="3069" t="s">
        <v>17286</v>
      </c>
      <c r="K171" s="3069"/>
      <c r="L171" s="2128">
        <v>1000000</v>
      </c>
      <c r="M171" s="3069" t="s">
        <v>112</v>
      </c>
      <c r="N171" s="3067">
        <v>45411</v>
      </c>
      <c r="O171" s="3067">
        <v>45432</v>
      </c>
      <c r="P171" s="3067"/>
      <c r="Q171" s="2136" t="s">
        <v>242</v>
      </c>
      <c r="R171" s="2275" t="s">
        <v>17535</v>
      </c>
      <c r="S171" s="2128"/>
      <c r="T171" s="2128"/>
      <c r="U171" s="2129"/>
      <c r="V171" s="2129"/>
      <c r="W171" s="2129"/>
      <c r="X171" s="2281"/>
      <c r="Y171" s="2128"/>
      <c r="Z171" s="3067"/>
      <c r="AA171" s="3067">
        <v>45433</v>
      </c>
      <c r="AB171" s="3069"/>
      <c r="AC171" s="2976"/>
      <c r="AD171" s="2976"/>
      <c r="AE171" s="118">
        <v>2</v>
      </c>
    </row>
    <row r="172" spans="1:32" ht="30">
      <c r="A172" s="3070">
        <v>45365</v>
      </c>
      <c r="B172" s="2289" t="s">
        <v>17012</v>
      </c>
      <c r="C172" s="2877" t="s">
        <v>2434</v>
      </c>
      <c r="D172" s="2877" t="s">
        <v>3204</v>
      </c>
      <c r="E172" s="2877" t="s">
        <v>13948</v>
      </c>
      <c r="F172" s="2913" t="s">
        <v>17013</v>
      </c>
      <c r="G172" s="2877"/>
      <c r="H172" s="2289"/>
      <c r="I172" s="2289" t="s">
        <v>15369</v>
      </c>
      <c r="J172" s="2877" t="s">
        <v>642</v>
      </c>
      <c r="K172" s="2877"/>
      <c r="L172" s="2144">
        <v>2726000</v>
      </c>
      <c r="M172" s="2877" t="s">
        <v>251</v>
      </c>
      <c r="N172" s="3070">
        <v>45371</v>
      </c>
      <c r="O172" s="3070">
        <v>45407</v>
      </c>
      <c r="P172" s="3070">
        <v>45429</v>
      </c>
      <c r="Q172" s="2289" t="s">
        <v>6322</v>
      </c>
      <c r="R172" s="2877"/>
      <c r="S172" s="2144">
        <v>2726000</v>
      </c>
      <c r="T172" s="2144">
        <v>3053120</v>
      </c>
      <c r="U172" s="2145"/>
      <c r="V172" s="2145"/>
      <c r="W172" s="2145"/>
      <c r="X172" s="2146">
        <v>45429</v>
      </c>
      <c r="Y172" s="2260" t="s">
        <v>17485</v>
      </c>
      <c r="Z172" s="3070">
        <v>45455</v>
      </c>
      <c r="AA172" s="3070">
        <v>45460</v>
      </c>
      <c r="AB172" s="3070">
        <v>46915</v>
      </c>
      <c r="AC172" s="2976"/>
      <c r="AD172" s="2976"/>
      <c r="AE172" s="118">
        <v>1</v>
      </c>
    </row>
    <row r="173" spans="1:32">
      <c r="A173" s="3070" t="s">
        <v>16892</v>
      </c>
      <c r="B173" s="2289" t="s">
        <v>16988</v>
      </c>
      <c r="C173" s="2877" t="s">
        <v>2434</v>
      </c>
      <c r="D173" s="2877" t="s">
        <v>219</v>
      </c>
      <c r="E173" s="2877" t="s">
        <v>13948</v>
      </c>
      <c r="F173" s="2913" t="s">
        <v>9068</v>
      </c>
      <c r="G173" s="2877"/>
      <c r="H173" s="2289"/>
      <c r="I173" s="2289" t="s">
        <v>15369</v>
      </c>
      <c r="J173" s="2877" t="s">
        <v>8908</v>
      </c>
      <c r="K173" s="2877"/>
      <c r="L173" s="2144">
        <v>2153855</v>
      </c>
      <c r="M173" s="2877" t="s">
        <v>216</v>
      </c>
      <c r="N173" s="3070">
        <v>45369</v>
      </c>
      <c r="O173" s="3070">
        <v>45397</v>
      </c>
      <c r="P173" s="3070">
        <v>45401</v>
      </c>
      <c r="Q173" s="2289" t="s">
        <v>9197</v>
      </c>
      <c r="R173" s="2877"/>
      <c r="S173" s="2144">
        <v>2138725.98</v>
      </c>
      <c r="T173" s="2144">
        <v>2395373.1</v>
      </c>
      <c r="U173" s="2145"/>
      <c r="V173" s="2145"/>
      <c r="W173" s="2145"/>
      <c r="X173" s="2146">
        <v>45401</v>
      </c>
      <c r="Y173" s="2144" t="s">
        <v>17296</v>
      </c>
      <c r="Z173" s="3070">
        <v>45412</v>
      </c>
      <c r="AA173" s="3070">
        <v>45415</v>
      </c>
      <c r="AB173" s="3070">
        <v>46599</v>
      </c>
      <c r="AC173" s="2976"/>
      <c r="AD173" s="2976"/>
      <c r="AE173" s="118">
        <v>1</v>
      </c>
    </row>
    <row r="174" spans="1:32">
      <c r="A174" s="3070">
        <v>45364</v>
      </c>
      <c r="B174" s="2289" t="s">
        <v>17001</v>
      </c>
      <c r="C174" s="2877" t="s">
        <v>16536</v>
      </c>
      <c r="D174" s="2877" t="s">
        <v>15131</v>
      </c>
      <c r="E174" s="2877" t="s">
        <v>13949</v>
      </c>
      <c r="F174" s="2913" t="s">
        <v>17130</v>
      </c>
      <c r="G174" s="2877"/>
      <c r="H174" s="2289"/>
      <c r="I174" s="2289" t="s">
        <v>15369</v>
      </c>
      <c r="J174" s="2877" t="s">
        <v>671</v>
      </c>
      <c r="K174" s="2877"/>
      <c r="L174" s="2144">
        <v>94013400</v>
      </c>
      <c r="M174" s="2877" t="s">
        <v>251</v>
      </c>
      <c r="N174" s="3070">
        <v>45397</v>
      </c>
      <c r="O174" s="3070">
        <v>45463</v>
      </c>
      <c r="P174" s="3070">
        <v>45488</v>
      </c>
      <c r="Q174" s="2289" t="s">
        <v>1389</v>
      </c>
      <c r="R174" s="2877"/>
      <c r="S174" s="2144">
        <v>93840000</v>
      </c>
      <c r="T174" s="2144">
        <v>105100800</v>
      </c>
      <c r="U174" s="2145"/>
      <c r="V174" s="2145"/>
      <c r="W174" s="2145"/>
      <c r="X174" s="2146">
        <v>45488</v>
      </c>
      <c r="Y174" s="2144" t="s">
        <v>17950</v>
      </c>
      <c r="Z174" s="3070">
        <v>45513</v>
      </c>
      <c r="AA174" s="3070">
        <v>45525</v>
      </c>
      <c r="AB174" s="3070">
        <v>46606</v>
      </c>
      <c r="AC174" s="2976"/>
      <c r="AD174" s="2976"/>
      <c r="AE174" s="118">
        <v>2</v>
      </c>
    </row>
    <row r="175" spans="1:32" ht="15.75" thickBot="1">
      <c r="A175" s="3067">
        <v>45364</v>
      </c>
      <c r="B175" s="3068" t="s">
        <v>17002</v>
      </c>
      <c r="C175" s="3069" t="s">
        <v>17003</v>
      </c>
      <c r="D175" s="3069" t="s">
        <v>15076</v>
      </c>
      <c r="E175" s="3069" t="s">
        <v>655</v>
      </c>
      <c r="F175" s="2914" t="s">
        <v>17004</v>
      </c>
      <c r="G175" s="3069"/>
      <c r="H175" s="3068"/>
      <c r="I175" s="3068" t="s">
        <v>242</v>
      </c>
      <c r="J175" s="3069" t="s">
        <v>16060</v>
      </c>
      <c r="K175" s="3069"/>
      <c r="L175" s="2128">
        <v>400000</v>
      </c>
      <c r="M175" s="3069" t="s">
        <v>112</v>
      </c>
      <c r="N175" s="3067">
        <v>45369</v>
      </c>
      <c r="O175" s="3067">
        <v>45384</v>
      </c>
      <c r="P175" s="3067"/>
      <c r="Q175" s="2136" t="s">
        <v>10170</v>
      </c>
      <c r="R175" s="2275" t="s">
        <v>17627</v>
      </c>
      <c r="S175" s="2128"/>
      <c r="T175" s="2128"/>
      <c r="U175" s="2129"/>
      <c r="V175" s="2129"/>
      <c r="W175" s="2129"/>
      <c r="X175" s="2281"/>
      <c r="Y175" s="2738"/>
      <c r="Z175" s="3067"/>
      <c r="AA175" s="3067">
        <v>45405</v>
      </c>
      <c r="AB175" s="3067"/>
      <c r="AC175" s="3065"/>
      <c r="AD175" s="3065"/>
      <c r="AE175" s="118">
        <v>1</v>
      </c>
    </row>
    <row r="176" spans="1:32" ht="30.75" thickTop="1">
      <c r="A176" s="3070">
        <v>45365</v>
      </c>
      <c r="B176" s="2289" t="s">
        <v>17005</v>
      </c>
      <c r="C176" s="2877" t="s">
        <v>58</v>
      </c>
      <c r="D176" s="2877" t="s">
        <v>15443</v>
      </c>
      <c r="E176" s="2877" t="s">
        <v>13951</v>
      </c>
      <c r="F176" s="2913" t="s">
        <v>17006</v>
      </c>
      <c r="G176" s="2877"/>
      <c r="H176" s="3114"/>
      <c r="I176" s="3114" t="s">
        <v>15369</v>
      </c>
      <c r="J176" s="2877" t="s">
        <v>77</v>
      </c>
      <c r="K176" s="2877" t="s">
        <v>18559</v>
      </c>
      <c r="L176" s="2144">
        <v>540000</v>
      </c>
      <c r="M176" s="2877" t="s">
        <v>112</v>
      </c>
      <c r="N176" s="3070">
        <v>45371</v>
      </c>
      <c r="O176" s="3070">
        <v>45392</v>
      </c>
      <c r="P176" s="3070">
        <v>45419</v>
      </c>
      <c r="Q176" s="2289" t="s">
        <v>13780</v>
      </c>
      <c r="R176" s="2877"/>
      <c r="S176" s="2144">
        <v>778510.82</v>
      </c>
      <c r="T176" s="2144">
        <v>941998.09</v>
      </c>
      <c r="U176" s="2145"/>
      <c r="V176" s="2145"/>
      <c r="W176" s="2145"/>
      <c r="X176" s="2146">
        <v>45419</v>
      </c>
      <c r="Y176" s="2260" t="s">
        <v>17444</v>
      </c>
      <c r="Z176" s="3070">
        <v>45433</v>
      </c>
      <c r="AA176" s="3070">
        <v>45434</v>
      </c>
      <c r="AB176" s="3070">
        <v>45483</v>
      </c>
      <c r="AC176" s="3058"/>
      <c r="AD176" s="3058"/>
      <c r="AE176" s="118">
        <v>1</v>
      </c>
    </row>
    <row r="177" spans="1:31">
      <c r="A177" s="3070">
        <v>45371</v>
      </c>
      <c r="B177" s="2289" t="s">
        <v>17036</v>
      </c>
      <c r="C177" s="2877" t="s">
        <v>16688</v>
      </c>
      <c r="D177" s="2877" t="s">
        <v>361</v>
      </c>
      <c r="E177" s="2877" t="s">
        <v>13950</v>
      </c>
      <c r="F177" s="2913" t="s">
        <v>17037</v>
      </c>
      <c r="G177" s="2877"/>
      <c r="H177" s="3114"/>
      <c r="I177" s="3114" t="s">
        <v>15369</v>
      </c>
      <c r="J177" s="2877" t="s">
        <v>1751</v>
      </c>
      <c r="K177" s="2877"/>
      <c r="L177" s="2144">
        <v>20000000</v>
      </c>
      <c r="M177" s="2877" t="s">
        <v>216</v>
      </c>
      <c r="N177" s="3070">
        <v>45387</v>
      </c>
      <c r="O177" s="3070">
        <v>45406</v>
      </c>
      <c r="P177" s="3070">
        <v>45455</v>
      </c>
      <c r="Q177" s="2289" t="s">
        <v>4125</v>
      </c>
      <c r="R177" s="2877"/>
      <c r="S177" s="2144">
        <v>19297755.550000001</v>
      </c>
      <c r="T177" s="2144">
        <v>23350284.210000001</v>
      </c>
      <c r="U177" s="2145"/>
      <c r="V177" s="2145"/>
      <c r="W177" s="2145"/>
      <c r="X177" s="2146">
        <v>45455</v>
      </c>
      <c r="Y177" s="2260" t="s">
        <v>17632</v>
      </c>
      <c r="Z177" s="3070">
        <v>45471</v>
      </c>
      <c r="AA177" s="3070">
        <v>45484</v>
      </c>
      <c r="AB177" s="3070">
        <v>46931</v>
      </c>
      <c r="AC177" s="3078"/>
      <c r="AD177" s="3078"/>
      <c r="AE177" s="118">
        <v>1</v>
      </c>
    </row>
    <row r="178" spans="1:31">
      <c r="A178" s="3047">
        <v>45477</v>
      </c>
      <c r="B178" s="3018" t="s">
        <v>17828</v>
      </c>
      <c r="C178" s="3048" t="s">
        <v>4295</v>
      </c>
      <c r="D178" s="3048" t="s">
        <v>17829</v>
      </c>
      <c r="E178" s="3048" t="s">
        <v>13950</v>
      </c>
      <c r="F178" s="1298" t="s">
        <v>17830</v>
      </c>
      <c r="G178" s="3048"/>
      <c r="H178" s="3277"/>
      <c r="I178" s="3277" t="s">
        <v>15373</v>
      </c>
      <c r="J178" s="3048" t="s">
        <v>17831</v>
      </c>
      <c r="K178" s="3048"/>
      <c r="L178" s="2157">
        <v>5000000</v>
      </c>
      <c r="M178" s="3048" t="s">
        <v>251</v>
      </c>
      <c r="N178" s="3047">
        <v>45488</v>
      </c>
      <c r="O178" s="3047">
        <v>45523</v>
      </c>
      <c r="P178" s="3047">
        <v>45548</v>
      </c>
      <c r="Q178" s="3018" t="s">
        <v>18444</v>
      </c>
      <c r="R178" s="3048"/>
      <c r="S178" s="2157">
        <v>4048000</v>
      </c>
      <c r="T178" s="2157">
        <v>4048000</v>
      </c>
      <c r="U178" s="2094"/>
      <c r="V178" s="2094"/>
      <c r="W178" s="2094"/>
      <c r="X178" s="2160">
        <v>45548</v>
      </c>
      <c r="Y178" s="2326" t="s">
        <v>18445</v>
      </c>
      <c r="Z178" s="3047"/>
      <c r="AA178" s="3047"/>
      <c r="AB178" s="3047"/>
      <c r="AC178" s="3078"/>
      <c r="AD178" s="3078"/>
      <c r="AE178" s="118">
        <v>1</v>
      </c>
    </row>
    <row r="179" spans="1:31">
      <c r="A179" s="3070">
        <v>45365</v>
      </c>
      <c r="B179" s="2289" t="s">
        <v>17011</v>
      </c>
      <c r="C179" s="2877" t="s">
        <v>16688</v>
      </c>
      <c r="D179" s="2877" t="s">
        <v>7475</v>
      </c>
      <c r="E179" s="2877" t="s">
        <v>655</v>
      </c>
      <c r="F179" s="2913" t="s">
        <v>17010</v>
      </c>
      <c r="G179" s="2877"/>
      <c r="H179" s="3114"/>
      <c r="I179" s="3114" t="s">
        <v>15369</v>
      </c>
      <c r="J179" s="3115" t="s">
        <v>1676</v>
      </c>
      <c r="K179" s="2877"/>
      <c r="L179" s="2144">
        <v>600000</v>
      </c>
      <c r="M179" s="2877" t="s">
        <v>112</v>
      </c>
      <c r="N179" s="3070">
        <v>45372</v>
      </c>
      <c r="O179" s="3070">
        <v>45390</v>
      </c>
      <c r="P179" s="3070">
        <v>45406</v>
      </c>
      <c r="Q179" s="2289" t="s">
        <v>10171</v>
      </c>
      <c r="R179" s="2877"/>
      <c r="S179" s="2144">
        <v>418006.83</v>
      </c>
      <c r="T179" s="2144">
        <v>505788.26</v>
      </c>
      <c r="U179" s="2145"/>
      <c r="V179" s="2145"/>
      <c r="W179" s="2145"/>
      <c r="X179" s="2146">
        <v>45406</v>
      </c>
      <c r="Y179" s="2260" t="s">
        <v>17340</v>
      </c>
      <c r="Z179" s="3070">
        <v>45425</v>
      </c>
      <c r="AA179" s="3070">
        <v>45425</v>
      </c>
      <c r="AB179" s="3070"/>
      <c r="AC179" s="2976"/>
      <c r="AD179" s="2976"/>
      <c r="AE179" s="118">
        <v>3</v>
      </c>
    </row>
    <row r="180" spans="1:31">
      <c r="A180" s="3070">
        <v>45371</v>
      </c>
      <c r="B180" s="2289" t="s">
        <v>17038</v>
      </c>
      <c r="C180" s="2877" t="s">
        <v>16559</v>
      </c>
      <c r="D180" s="2877" t="s">
        <v>9080</v>
      </c>
      <c r="E180" s="2877" t="s">
        <v>13948</v>
      </c>
      <c r="F180" s="2913" t="s">
        <v>17039</v>
      </c>
      <c r="G180" s="2877"/>
      <c r="H180" s="3114"/>
      <c r="I180" s="3114" t="s">
        <v>15369</v>
      </c>
      <c r="J180" s="3115" t="s">
        <v>17040</v>
      </c>
      <c r="K180" s="2877"/>
      <c r="L180" s="2144">
        <v>3189888</v>
      </c>
      <c r="M180" s="2877" t="s">
        <v>216</v>
      </c>
      <c r="N180" s="3070">
        <v>45373</v>
      </c>
      <c r="O180" s="3070">
        <v>45394</v>
      </c>
      <c r="P180" s="3070">
        <v>45407</v>
      </c>
      <c r="Q180" s="2289" t="s">
        <v>17307</v>
      </c>
      <c r="R180" s="2877"/>
      <c r="S180" s="2144">
        <v>3129593</v>
      </c>
      <c r="T180" s="2144">
        <v>3786807.53</v>
      </c>
      <c r="U180" s="2145"/>
      <c r="V180" s="2145"/>
      <c r="W180" s="2145"/>
      <c r="X180" s="2146">
        <v>45407</v>
      </c>
      <c r="Y180" s="2260" t="s">
        <v>17346</v>
      </c>
      <c r="Z180" s="3070">
        <v>45433</v>
      </c>
      <c r="AA180" s="3070">
        <v>45436</v>
      </c>
      <c r="AB180" s="3070">
        <v>45797</v>
      </c>
      <c r="AC180" s="2976"/>
      <c r="AD180" s="2976"/>
      <c r="AE180" s="118">
        <v>4</v>
      </c>
    </row>
    <row r="181" spans="1:31">
      <c r="A181" s="3070">
        <v>45371</v>
      </c>
      <c r="B181" s="2289" t="s">
        <v>17041</v>
      </c>
      <c r="C181" s="2877" t="s">
        <v>16536</v>
      </c>
      <c r="D181" s="2877" t="s">
        <v>15129</v>
      </c>
      <c r="E181" s="2877" t="s">
        <v>15813</v>
      </c>
      <c r="F181" s="2913" t="s">
        <v>17042</v>
      </c>
      <c r="G181" s="2877"/>
      <c r="H181" s="3114"/>
      <c r="I181" s="3114" t="s">
        <v>15369</v>
      </c>
      <c r="J181" s="2877" t="s">
        <v>816</v>
      </c>
      <c r="K181" s="2877"/>
      <c r="L181" s="2144">
        <v>8823510</v>
      </c>
      <c r="M181" s="2877" t="s">
        <v>235</v>
      </c>
      <c r="N181" s="3070">
        <v>45377</v>
      </c>
      <c r="O181" s="3070">
        <v>45391</v>
      </c>
      <c r="P181" s="3070">
        <v>45404</v>
      </c>
      <c r="Q181" s="2289" t="s">
        <v>576</v>
      </c>
      <c r="R181" s="2877"/>
      <c r="S181" s="2144">
        <v>8682368.5199999996</v>
      </c>
      <c r="T181" s="2144">
        <v>9724252.7400000002</v>
      </c>
      <c r="U181" s="2145"/>
      <c r="V181" s="2145"/>
      <c r="W181" s="2145"/>
      <c r="X181" s="2146">
        <v>45404</v>
      </c>
      <c r="Y181" s="2260" t="s">
        <v>17308</v>
      </c>
      <c r="Z181" s="3070">
        <v>45414</v>
      </c>
      <c r="AA181" s="3070">
        <v>45414</v>
      </c>
      <c r="AB181" s="3070">
        <v>46508</v>
      </c>
      <c r="AC181" s="2976"/>
      <c r="AD181" s="2976"/>
      <c r="AE181" s="118">
        <v>3</v>
      </c>
    </row>
    <row r="182" spans="1:31">
      <c r="A182" s="3070">
        <v>45384</v>
      </c>
      <c r="B182" s="2289" t="s">
        <v>17174</v>
      </c>
      <c r="C182" s="2877" t="s">
        <v>1754</v>
      </c>
      <c r="D182" s="2877" t="s">
        <v>13</v>
      </c>
      <c r="E182" s="2877" t="s">
        <v>13951</v>
      </c>
      <c r="F182" s="2913" t="s">
        <v>17175</v>
      </c>
      <c r="G182" s="2877"/>
      <c r="H182" s="3114"/>
      <c r="I182" s="3114" t="s">
        <v>15369</v>
      </c>
      <c r="J182" s="2877" t="s">
        <v>2055</v>
      </c>
      <c r="K182" s="2877"/>
      <c r="L182" s="2144">
        <v>560000</v>
      </c>
      <c r="M182" s="2877" t="s">
        <v>112</v>
      </c>
      <c r="N182" s="3070">
        <v>45391</v>
      </c>
      <c r="O182" s="3070">
        <v>45404</v>
      </c>
      <c r="P182" s="3070">
        <v>45412</v>
      </c>
      <c r="Q182" s="2289" t="s">
        <v>17380</v>
      </c>
      <c r="R182" s="2877"/>
      <c r="S182" s="2144">
        <v>768000</v>
      </c>
      <c r="T182" s="2144">
        <v>929280</v>
      </c>
      <c r="U182" s="2145"/>
      <c r="V182" s="2145"/>
      <c r="W182" s="2145"/>
      <c r="X182" s="2146">
        <v>45412</v>
      </c>
      <c r="Y182" s="2260" t="s">
        <v>17396</v>
      </c>
      <c r="Z182" s="3070">
        <v>45429</v>
      </c>
      <c r="AA182" s="3070">
        <v>45429</v>
      </c>
      <c r="AB182" s="3070" t="s">
        <v>4096</v>
      </c>
      <c r="AC182" s="2976"/>
      <c r="AD182" s="2976"/>
      <c r="AE182" s="118">
        <v>1</v>
      </c>
    </row>
    <row r="183" spans="1:31">
      <c r="A183" s="3070">
        <v>45371</v>
      </c>
      <c r="B183" s="2289" t="s">
        <v>17043</v>
      </c>
      <c r="C183" s="2877" t="s">
        <v>2434</v>
      </c>
      <c r="D183" s="2877" t="s">
        <v>219</v>
      </c>
      <c r="E183" s="2877" t="s">
        <v>655</v>
      </c>
      <c r="F183" s="2913" t="s">
        <v>17044</v>
      </c>
      <c r="G183" s="2877"/>
      <c r="H183" s="3114"/>
      <c r="I183" s="3114" t="s">
        <v>15369</v>
      </c>
      <c r="J183" s="2877" t="s">
        <v>12894</v>
      </c>
      <c r="K183" s="2877"/>
      <c r="L183" s="2144">
        <v>1007000</v>
      </c>
      <c r="M183" s="2877" t="s">
        <v>112</v>
      </c>
      <c r="N183" s="3070">
        <v>45378</v>
      </c>
      <c r="O183" s="3070">
        <v>45397</v>
      </c>
      <c r="P183" s="3070">
        <v>45405</v>
      </c>
      <c r="Q183" s="2289" t="s">
        <v>993</v>
      </c>
      <c r="R183" s="2877"/>
      <c r="S183" s="2144">
        <v>906190</v>
      </c>
      <c r="T183" s="2144">
        <v>1096489.8999999999</v>
      </c>
      <c r="U183" s="2145"/>
      <c r="V183" s="2145"/>
      <c r="W183" s="2145"/>
      <c r="X183" s="2146">
        <v>45405</v>
      </c>
      <c r="Y183" s="2260" t="s">
        <v>17321</v>
      </c>
      <c r="Z183" s="3070">
        <v>45412</v>
      </c>
      <c r="AA183" s="3070">
        <v>45412</v>
      </c>
      <c r="AB183" s="3070">
        <v>45496</v>
      </c>
      <c r="AC183" s="2976"/>
      <c r="AD183" s="2976"/>
      <c r="AE183" s="118">
        <v>2</v>
      </c>
    </row>
    <row r="184" spans="1:31">
      <c r="A184" s="3070">
        <v>45377</v>
      </c>
      <c r="B184" s="2289" t="s">
        <v>17046</v>
      </c>
      <c r="C184" s="2877" t="s">
        <v>16536</v>
      </c>
      <c r="D184" s="2877" t="s">
        <v>15131</v>
      </c>
      <c r="E184" s="2877" t="s">
        <v>13949</v>
      </c>
      <c r="F184" s="2913" t="s">
        <v>17047</v>
      </c>
      <c r="G184" s="2877"/>
      <c r="H184" s="3114"/>
      <c r="I184" s="3114" t="s">
        <v>15369</v>
      </c>
      <c r="J184" s="2877" t="s">
        <v>671</v>
      </c>
      <c r="K184" s="2877"/>
      <c r="L184" s="2144">
        <v>8633450</v>
      </c>
      <c r="M184" s="2877" t="s">
        <v>235</v>
      </c>
      <c r="N184" s="3070">
        <v>45386</v>
      </c>
      <c r="O184" s="3070">
        <v>45398</v>
      </c>
      <c r="P184" s="3070">
        <v>45406</v>
      </c>
      <c r="Q184" s="2289" t="s">
        <v>8856</v>
      </c>
      <c r="R184" s="2877"/>
      <c r="S184" s="2144">
        <v>8329507</v>
      </c>
      <c r="T184" s="2144">
        <v>9329047.8399999999</v>
      </c>
      <c r="U184" s="2145"/>
      <c r="V184" s="2145"/>
      <c r="W184" s="2145"/>
      <c r="X184" s="2146">
        <v>45406</v>
      </c>
      <c r="Y184" s="2260" t="s">
        <v>17335</v>
      </c>
      <c r="Z184" s="3070">
        <v>45412</v>
      </c>
      <c r="AA184" s="3070">
        <v>45414</v>
      </c>
      <c r="AB184" s="3070">
        <v>45565</v>
      </c>
      <c r="AC184" s="2976"/>
      <c r="AD184" s="2976"/>
      <c r="AE184" s="118">
        <v>1</v>
      </c>
    </row>
    <row r="185" spans="1:31">
      <c r="A185" s="3070">
        <v>45377</v>
      </c>
      <c r="B185" s="2289" t="s">
        <v>17048</v>
      </c>
      <c r="C185" s="2877" t="s">
        <v>16536</v>
      </c>
      <c r="D185" s="2877" t="s">
        <v>15131</v>
      </c>
      <c r="E185" s="2877" t="s">
        <v>13949</v>
      </c>
      <c r="F185" s="2913" t="s">
        <v>17049</v>
      </c>
      <c r="G185" s="2877"/>
      <c r="H185" s="3114"/>
      <c r="I185" s="3114" t="s">
        <v>15369</v>
      </c>
      <c r="J185" s="2877" t="s">
        <v>671</v>
      </c>
      <c r="K185" s="2877"/>
      <c r="L185" s="2144">
        <v>3947520</v>
      </c>
      <c r="M185" s="2877" t="s">
        <v>251</v>
      </c>
      <c r="N185" s="3070">
        <v>45392</v>
      </c>
      <c r="O185" s="3070">
        <v>45427</v>
      </c>
      <c r="P185" s="3070">
        <v>45440</v>
      </c>
      <c r="Q185" s="2289" t="s">
        <v>2518</v>
      </c>
      <c r="R185" s="2877"/>
      <c r="S185" s="2144">
        <v>3947520</v>
      </c>
      <c r="T185" s="2144">
        <v>4421222.4000000004</v>
      </c>
      <c r="U185" s="2145"/>
      <c r="V185" s="2145"/>
      <c r="W185" s="2145"/>
      <c r="X185" s="2146">
        <v>45440</v>
      </c>
      <c r="Y185" s="2260" t="s">
        <v>17547</v>
      </c>
      <c r="Z185" s="3070">
        <v>45441</v>
      </c>
      <c r="AA185" s="3070">
        <v>45442</v>
      </c>
      <c r="AB185" s="3070">
        <v>46535</v>
      </c>
      <c r="AC185" s="2976"/>
      <c r="AD185" s="2976"/>
      <c r="AE185" s="118">
        <v>1</v>
      </c>
    </row>
    <row r="186" spans="1:31" ht="15.75" thickBot="1">
      <c r="A186" s="612" t="s">
        <v>16712</v>
      </c>
      <c r="B186" s="2911" t="s">
        <v>17052</v>
      </c>
      <c r="C186" s="609" t="s">
        <v>16536</v>
      </c>
      <c r="D186" s="609" t="s">
        <v>15129</v>
      </c>
      <c r="E186" s="609" t="s">
        <v>13951</v>
      </c>
      <c r="F186" s="610" t="s">
        <v>17053</v>
      </c>
      <c r="G186" s="609"/>
      <c r="H186" s="3120"/>
      <c r="I186" s="3120" t="s">
        <v>15369</v>
      </c>
      <c r="J186" s="609" t="s">
        <v>72</v>
      </c>
      <c r="K186" s="609"/>
      <c r="L186" s="417">
        <v>1215734</v>
      </c>
      <c r="M186" s="609" t="s">
        <v>112</v>
      </c>
      <c r="N186" s="612">
        <v>45377</v>
      </c>
      <c r="O186" s="612">
        <v>45390</v>
      </c>
      <c r="P186" s="612">
        <v>45398</v>
      </c>
      <c r="Q186" s="2911" t="s">
        <v>17215</v>
      </c>
      <c r="R186" s="609"/>
      <c r="S186" s="417">
        <v>1215720.96</v>
      </c>
      <c r="T186" s="417">
        <v>1361607.48</v>
      </c>
      <c r="U186" s="1480"/>
      <c r="V186" s="1480"/>
      <c r="W186" s="1480"/>
      <c r="X186" s="513">
        <v>45398</v>
      </c>
      <c r="Y186" s="1553" t="s">
        <v>17255</v>
      </c>
      <c r="Z186" s="612">
        <v>45406</v>
      </c>
      <c r="AA186" s="612">
        <v>45406</v>
      </c>
      <c r="AB186" s="612">
        <v>46500</v>
      </c>
      <c r="AC186" s="2976"/>
      <c r="AD186" s="2976"/>
      <c r="AE186" s="118">
        <v>1</v>
      </c>
    </row>
    <row r="187" spans="1:31" ht="15.75" thickTop="1">
      <c r="A187" s="456">
        <v>45376</v>
      </c>
      <c r="B187" s="2292" t="s">
        <v>17072</v>
      </c>
      <c r="C187" s="943" t="s">
        <v>16536</v>
      </c>
      <c r="D187" s="943" t="s">
        <v>15131</v>
      </c>
      <c r="E187" s="943" t="s">
        <v>15813</v>
      </c>
      <c r="F187" s="713" t="s">
        <v>17054</v>
      </c>
      <c r="G187" s="943">
        <v>1</v>
      </c>
      <c r="H187" s="3164" t="s">
        <v>17076</v>
      </c>
      <c r="I187" s="3164" t="s">
        <v>15369</v>
      </c>
      <c r="J187" s="943" t="s">
        <v>9104</v>
      </c>
      <c r="K187" s="943"/>
      <c r="L187" s="457">
        <v>1624320</v>
      </c>
      <c r="M187" s="943" t="s">
        <v>216</v>
      </c>
      <c r="N187" s="456">
        <v>45379</v>
      </c>
      <c r="O187" s="456">
        <v>45401</v>
      </c>
      <c r="P187" s="456">
        <v>45412</v>
      </c>
      <c r="Q187" s="2292" t="s">
        <v>6071</v>
      </c>
      <c r="R187" s="943"/>
      <c r="S187" s="457">
        <v>1624320</v>
      </c>
      <c r="T187" s="457">
        <v>1819238.3999999999</v>
      </c>
      <c r="U187" s="1474"/>
      <c r="V187" s="1474"/>
      <c r="W187" s="1474"/>
      <c r="X187" s="570">
        <v>45412</v>
      </c>
      <c r="Y187" s="1387" t="s">
        <v>17392</v>
      </c>
      <c r="Z187" s="456">
        <v>45462</v>
      </c>
      <c r="AA187" s="456">
        <v>45463</v>
      </c>
      <c r="AB187" s="456">
        <v>46556</v>
      </c>
      <c r="AC187" s="2976"/>
      <c r="AD187" s="2976"/>
      <c r="AE187" s="118">
        <v>1</v>
      </c>
    </row>
    <row r="188" spans="1:31">
      <c r="A188" s="3070">
        <v>45376</v>
      </c>
      <c r="B188" s="2289" t="s">
        <v>17073</v>
      </c>
      <c r="C188" s="2877" t="s">
        <v>16536</v>
      </c>
      <c r="D188" s="2877" t="s">
        <v>15131</v>
      </c>
      <c r="E188" s="2877" t="s">
        <v>15813</v>
      </c>
      <c r="F188" s="2913" t="s">
        <v>17054</v>
      </c>
      <c r="G188" s="2877">
        <v>2</v>
      </c>
      <c r="H188" s="3114" t="s">
        <v>17077</v>
      </c>
      <c r="I188" s="3114" t="s">
        <v>15369</v>
      </c>
      <c r="J188" s="2877" t="s">
        <v>9104</v>
      </c>
      <c r="K188" s="2877"/>
      <c r="L188" s="2144">
        <v>520905</v>
      </c>
      <c r="M188" s="2877" t="s">
        <v>216</v>
      </c>
      <c r="N188" s="3070">
        <v>45379</v>
      </c>
      <c r="O188" s="3070">
        <v>45401</v>
      </c>
      <c r="P188" s="3070">
        <v>45412</v>
      </c>
      <c r="Q188" s="2289" t="s">
        <v>1564</v>
      </c>
      <c r="R188" s="2877"/>
      <c r="S188" s="2144">
        <v>520904.67</v>
      </c>
      <c r="T188" s="2144">
        <v>583413.23</v>
      </c>
      <c r="U188" s="2145"/>
      <c r="V188" s="2145"/>
      <c r="W188" s="2145"/>
      <c r="X188" s="2146">
        <v>45412</v>
      </c>
      <c r="Y188" s="2260" t="s">
        <v>17393</v>
      </c>
      <c r="Z188" s="3070">
        <v>45462</v>
      </c>
      <c r="AA188" s="3070">
        <v>45463</v>
      </c>
      <c r="AB188" s="3070">
        <v>46556</v>
      </c>
      <c r="AC188" s="2976"/>
      <c r="AD188" s="2976"/>
      <c r="AE188" s="118">
        <v>1</v>
      </c>
    </row>
    <row r="189" spans="1:31">
      <c r="A189" s="3070">
        <v>45376</v>
      </c>
      <c r="B189" s="2289" t="s">
        <v>17074</v>
      </c>
      <c r="C189" s="2877" t="s">
        <v>16536</v>
      </c>
      <c r="D189" s="2877" t="s">
        <v>15131</v>
      </c>
      <c r="E189" s="2877" t="s">
        <v>15813</v>
      </c>
      <c r="F189" s="2913" t="s">
        <v>17054</v>
      </c>
      <c r="G189" s="2877">
        <v>3</v>
      </c>
      <c r="H189" s="3114" t="s">
        <v>17078</v>
      </c>
      <c r="I189" s="3114" t="s">
        <v>15369</v>
      </c>
      <c r="J189" s="2877" t="s">
        <v>9104</v>
      </c>
      <c r="K189" s="2877"/>
      <c r="L189" s="2144">
        <v>113304</v>
      </c>
      <c r="M189" s="2877" t="s">
        <v>216</v>
      </c>
      <c r="N189" s="3070">
        <v>45379</v>
      </c>
      <c r="O189" s="3070">
        <v>45401</v>
      </c>
      <c r="P189" s="3070">
        <v>45412</v>
      </c>
      <c r="Q189" s="2289" t="s">
        <v>1564</v>
      </c>
      <c r="R189" s="2877"/>
      <c r="S189" s="2144">
        <v>113303.4</v>
      </c>
      <c r="T189" s="2144">
        <v>126899.81</v>
      </c>
      <c r="U189" s="2145"/>
      <c r="V189" s="2145"/>
      <c r="W189" s="2145"/>
      <c r="X189" s="2146">
        <v>45412</v>
      </c>
      <c r="Y189" s="2260" t="s">
        <v>17394</v>
      </c>
      <c r="Z189" s="3070">
        <v>45462</v>
      </c>
      <c r="AA189" s="3070">
        <v>45463</v>
      </c>
      <c r="AB189" s="3070">
        <v>46556</v>
      </c>
      <c r="AC189" s="2976"/>
      <c r="AD189" s="2976"/>
      <c r="AE189" s="118">
        <v>1</v>
      </c>
    </row>
    <row r="190" spans="1:31" ht="15.75" thickBot="1">
      <c r="A190" s="3109">
        <v>45376</v>
      </c>
      <c r="B190" s="2291" t="s">
        <v>17075</v>
      </c>
      <c r="C190" s="2290" t="s">
        <v>16536</v>
      </c>
      <c r="D190" s="2290" t="s">
        <v>15131</v>
      </c>
      <c r="E190" s="2290" t="s">
        <v>15813</v>
      </c>
      <c r="F190" s="2912" t="s">
        <v>17054</v>
      </c>
      <c r="G190" s="2290">
        <v>4</v>
      </c>
      <c r="H190" s="3147" t="s">
        <v>17079</v>
      </c>
      <c r="I190" s="3147" t="s">
        <v>15369</v>
      </c>
      <c r="J190" s="2290" t="s">
        <v>9104</v>
      </c>
      <c r="K190" s="2290"/>
      <c r="L190" s="2121">
        <v>208975</v>
      </c>
      <c r="M190" s="2290" t="s">
        <v>216</v>
      </c>
      <c r="N190" s="3109">
        <v>45379</v>
      </c>
      <c r="O190" s="3109">
        <v>45401</v>
      </c>
      <c r="P190" s="3109">
        <v>45412</v>
      </c>
      <c r="Q190" s="2291" t="s">
        <v>1564</v>
      </c>
      <c r="R190" s="2290"/>
      <c r="S190" s="2121">
        <v>208974.78</v>
      </c>
      <c r="T190" s="2121">
        <v>234051.75</v>
      </c>
      <c r="U190" s="2122"/>
      <c r="V190" s="2122"/>
      <c r="W190" s="2122"/>
      <c r="X190" s="2123">
        <v>45412</v>
      </c>
      <c r="Y190" s="2246" t="s">
        <v>17395</v>
      </c>
      <c r="Z190" s="3109">
        <v>45462</v>
      </c>
      <c r="AA190" s="3109">
        <v>45463</v>
      </c>
      <c r="AB190" s="3109">
        <v>46556</v>
      </c>
      <c r="AC190" s="2976"/>
      <c r="AD190" s="2976"/>
      <c r="AE190" s="118">
        <v>1</v>
      </c>
    </row>
    <row r="191" spans="1:31" ht="15.75" thickTop="1">
      <c r="A191" s="252">
        <v>45376</v>
      </c>
      <c r="B191" s="3110" t="s">
        <v>17055</v>
      </c>
      <c r="C191" s="363" t="s">
        <v>16536</v>
      </c>
      <c r="D191" s="363" t="s">
        <v>15131</v>
      </c>
      <c r="E191" s="363" t="s">
        <v>13951</v>
      </c>
      <c r="F191" s="362" t="s">
        <v>17056</v>
      </c>
      <c r="G191" s="363"/>
      <c r="H191" s="3116"/>
      <c r="I191" s="3116" t="s">
        <v>15369</v>
      </c>
      <c r="J191" s="363" t="s">
        <v>68</v>
      </c>
      <c r="K191" s="363"/>
      <c r="L191" s="364">
        <v>654516</v>
      </c>
      <c r="M191" s="363" t="s">
        <v>112</v>
      </c>
      <c r="N191" s="252">
        <v>45378</v>
      </c>
      <c r="O191" s="252">
        <v>45399</v>
      </c>
      <c r="P191" s="252">
        <v>45404</v>
      </c>
      <c r="Q191" s="3110" t="s">
        <v>8542</v>
      </c>
      <c r="R191" s="363"/>
      <c r="S191" s="364">
        <v>648398.69999999995</v>
      </c>
      <c r="T191" s="364">
        <v>726206.54</v>
      </c>
      <c r="U191" s="1473"/>
      <c r="V191" s="1473"/>
      <c r="W191" s="1473"/>
      <c r="X191" s="681">
        <v>45404</v>
      </c>
      <c r="Y191" s="1417" t="s">
        <v>17306</v>
      </c>
      <c r="Z191" s="252">
        <v>45425</v>
      </c>
      <c r="AA191" s="252">
        <v>45425</v>
      </c>
      <c r="AB191" s="252">
        <v>46034</v>
      </c>
      <c r="AC191" s="2976"/>
      <c r="AD191" s="2976"/>
      <c r="AE191" s="118">
        <v>4</v>
      </c>
    </row>
    <row r="192" spans="1:31">
      <c r="A192" s="3070">
        <v>45390</v>
      </c>
      <c r="B192" s="2289" t="s">
        <v>17062</v>
      </c>
      <c r="C192" s="2877" t="s">
        <v>16536</v>
      </c>
      <c r="D192" s="2877" t="s">
        <v>15129</v>
      </c>
      <c r="E192" s="2877" t="s">
        <v>13948</v>
      </c>
      <c r="F192" s="2913" t="s">
        <v>17063</v>
      </c>
      <c r="G192" s="2877"/>
      <c r="H192" s="3114"/>
      <c r="I192" s="3114" t="s">
        <v>15369</v>
      </c>
      <c r="J192" s="2877" t="s">
        <v>72</v>
      </c>
      <c r="K192" s="2877"/>
      <c r="L192" s="2144">
        <v>29595081</v>
      </c>
      <c r="M192" s="2877" t="s">
        <v>251</v>
      </c>
      <c r="N192" s="3070">
        <v>45393</v>
      </c>
      <c r="O192" s="3070">
        <v>45428</v>
      </c>
      <c r="P192" s="3070">
        <v>45448</v>
      </c>
      <c r="Q192" s="2289" t="s">
        <v>1318</v>
      </c>
      <c r="R192" s="2877"/>
      <c r="S192" s="2144">
        <v>29595070.440000001</v>
      </c>
      <c r="T192" s="2144">
        <v>33146478.890000001</v>
      </c>
      <c r="U192" s="2145"/>
      <c r="V192" s="2145"/>
      <c r="W192" s="2145"/>
      <c r="X192" s="2146">
        <v>45448</v>
      </c>
      <c r="Y192" s="2260" t="s">
        <v>17584</v>
      </c>
      <c r="Z192" s="3070">
        <v>45454</v>
      </c>
      <c r="AA192" s="3070">
        <v>45455</v>
      </c>
      <c r="AB192" s="3070">
        <v>46548</v>
      </c>
      <c r="AC192" s="2976"/>
      <c r="AD192" s="2976"/>
      <c r="AE192" s="118">
        <v>1</v>
      </c>
    </row>
    <row r="193" spans="1:32">
      <c r="A193" s="612">
        <v>45418</v>
      </c>
      <c r="B193" s="2911" t="s">
        <v>17115</v>
      </c>
      <c r="C193" s="609" t="s">
        <v>16536</v>
      </c>
      <c r="D193" s="609" t="s">
        <v>15129</v>
      </c>
      <c r="E193" s="609" t="s">
        <v>13949</v>
      </c>
      <c r="F193" s="610" t="s">
        <v>17116</v>
      </c>
      <c r="G193" s="609"/>
      <c r="H193" s="3120"/>
      <c r="I193" s="3120" t="s">
        <v>15369</v>
      </c>
      <c r="J193" s="609" t="s">
        <v>3436</v>
      </c>
      <c r="K193" s="609"/>
      <c r="L193" s="417">
        <v>5308751</v>
      </c>
      <c r="M193" s="609" t="s">
        <v>251</v>
      </c>
      <c r="N193" s="612">
        <v>45421</v>
      </c>
      <c r="O193" s="612">
        <v>45456</v>
      </c>
      <c r="P193" s="612">
        <v>45467</v>
      </c>
      <c r="Q193" s="2911" t="s">
        <v>576</v>
      </c>
      <c r="R193" s="609"/>
      <c r="S193" s="417">
        <v>3230469</v>
      </c>
      <c r="T193" s="417">
        <v>3618125.28</v>
      </c>
      <c r="U193" s="1480"/>
      <c r="V193" s="1480"/>
      <c r="W193" s="1480"/>
      <c r="X193" s="513">
        <v>45467</v>
      </c>
      <c r="Y193" s="1553" t="s">
        <v>17736</v>
      </c>
      <c r="Z193" s="612">
        <v>45492</v>
      </c>
      <c r="AA193" s="612">
        <v>45502</v>
      </c>
      <c r="AB193" s="612">
        <v>46586</v>
      </c>
      <c r="AC193" s="2976"/>
      <c r="AD193" s="2976"/>
      <c r="AE193" s="118">
        <v>3</v>
      </c>
    </row>
    <row r="194" spans="1:32" ht="15.75" thickBot="1">
      <c r="A194" s="612">
        <v>45377</v>
      </c>
      <c r="B194" s="2911" t="s">
        <v>17080</v>
      </c>
      <c r="C194" s="609" t="s">
        <v>16536</v>
      </c>
      <c r="D194" s="609" t="s">
        <v>15131</v>
      </c>
      <c r="E194" s="609" t="s">
        <v>13949</v>
      </c>
      <c r="F194" s="610" t="s">
        <v>17081</v>
      </c>
      <c r="G194" s="609"/>
      <c r="H194" s="3120"/>
      <c r="I194" s="3120" t="s">
        <v>15369</v>
      </c>
      <c r="J194" s="609" t="s">
        <v>93</v>
      </c>
      <c r="K194" s="609"/>
      <c r="L194" s="417">
        <v>2316576</v>
      </c>
      <c r="M194" s="609" t="s">
        <v>251</v>
      </c>
      <c r="N194" s="612">
        <v>45387</v>
      </c>
      <c r="O194" s="612">
        <v>45442</v>
      </c>
      <c r="P194" s="612">
        <v>45460</v>
      </c>
      <c r="Q194" s="2911" t="s">
        <v>576</v>
      </c>
      <c r="R194" s="609"/>
      <c r="S194" s="417">
        <v>860814.72</v>
      </c>
      <c r="T194" s="417">
        <v>964112.49</v>
      </c>
      <c r="U194" s="1480"/>
      <c r="V194" s="1480"/>
      <c r="W194" s="1480"/>
      <c r="X194" s="513">
        <v>45460</v>
      </c>
      <c r="Y194" s="1553" t="s">
        <v>17652</v>
      </c>
      <c r="Z194" s="612">
        <v>45489</v>
      </c>
      <c r="AA194" s="612">
        <v>45502</v>
      </c>
      <c r="AB194" s="612">
        <v>46642</v>
      </c>
      <c r="AC194" s="2976"/>
      <c r="AD194" s="2976"/>
      <c r="AE194" s="118">
        <v>5</v>
      </c>
      <c r="AF194" s="118" t="s">
        <v>17960</v>
      </c>
    </row>
    <row r="195" spans="1:32" ht="31.5" thickTop="1" thickBot="1">
      <c r="A195" s="456">
        <v>45377</v>
      </c>
      <c r="B195" s="2292" t="s">
        <v>17082</v>
      </c>
      <c r="C195" s="943" t="s">
        <v>2434</v>
      </c>
      <c r="D195" s="943" t="s">
        <v>3204</v>
      </c>
      <c r="E195" s="943" t="s">
        <v>13948</v>
      </c>
      <c r="F195" s="713" t="s">
        <v>8354</v>
      </c>
      <c r="G195" s="943">
        <v>1</v>
      </c>
      <c r="H195" s="3164" t="s">
        <v>3822</v>
      </c>
      <c r="I195" s="3164" t="s">
        <v>15369</v>
      </c>
      <c r="J195" s="943" t="s">
        <v>3890</v>
      </c>
      <c r="K195" s="456"/>
      <c r="L195" s="457">
        <v>2677500</v>
      </c>
      <c r="M195" s="943" t="s">
        <v>251</v>
      </c>
      <c r="N195" s="456">
        <v>45384</v>
      </c>
      <c r="O195" s="456">
        <v>45421</v>
      </c>
      <c r="P195" s="456">
        <v>45484</v>
      </c>
      <c r="Q195" s="2292" t="s">
        <v>2974</v>
      </c>
      <c r="R195" s="943"/>
      <c r="S195" s="457">
        <v>2677500</v>
      </c>
      <c r="T195" s="457">
        <v>2998800</v>
      </c>
      <c r="U195" s="1474"/>
      <c r="V195" s="1474"/>
      <c r="W195" s="1474"/>
      <c r="X195" s="570">
        <v>45484</v>
      </c>
      <c r="Y195" s="1387" t="s">
        <v>17872</v>
      </c>
      <c r="Z195" s="456">
        <v>45503</v>
      </c>
      <c r="AA195" s="456">
        <v>45510</v>
      </c>
      <c r="AB195" s="456">
        <v>46597</v>
      </c>
      <c r="AC195" s="3059"/>
      <c r="AD195" s="3059"/>
      <c r="AE195" s="118">
        <v>1</v>
      </c>
    </row>
    <row r="196" spans="1:32" ht="15.75" thickTop="1">
      <c r="A196" s="3067">
        <v>45377</v>
      </c>
      <c r="B196" s="3068" t="s">
        <v>17083</v>
      </c>
      <c r="C196" s="3069" t="s">
        <v>2434</v>
      </c>
      <c r="D196" s="3069" t="s">
        <v>3204</v>
      </c>
      <c r="E196" s="3069" t="s">
        <v>13948</v>
      </c>
      <c r="F196" s="2914" t="s">
        <v>8354</v>
      </c>
      <c r="G196" s="3069">
        <v>2</v>
      </c>
      <c r="H196" s="3068" t="s">
        <v>17090</v>
      </c>
      <c r="I196" s="3068" t="s">
        <v>242</v>
      </c>
      <c r="J196" s="3069" t="s">
        <v>3890</v>
      </c>
      <c r="K196" s="3069"/>
      <c r="L196" s="2128">
        <v>4340000</v>
      </c>
      <c r="M196" s="3069" t="s">
        <v>251</v>
      </c>
      <c r="N196" s="3067">
        <v>45384</v>
      </c>
      <c r="O196" s="3067">
        <v>45421</v>
      </c>
      <c r="P196" s="3067"/>
      <c r="Q196" s="2136" t="s">
        <v>4505</v>
      </c>
      <c r="R196" s="2276" t="s">
        <v>17988</v>
      </c>
      <c r="S196" s="2128"/>
      <c r="T196" s="2128"/>
      <c r="U196" s="2129"/>
      <c r="V196" s="2129"/>
      <c r="W196" s="2129"/>
      <c r="X196" s="2281"/>
      <c r="Y196" s="2128"/>
      <c r="Z196" s="3067"/>
      <c r="AA196" s="3067">
        <v>45510</v>
      </c>
      <c r="AB196" s="2582" t="s">
        <v>18000</v>
      </c>
      <c r="AC196" s="3078"/>
      <c r="AD196" s="3078"/>
      <c r="AE196" s="118">
        <v>2</v>
      </c>
    </row>
    <row r="197" spans="1:32" ht="30">
      <c r="A197" s="3070">
        <v>45377</v>
      </c>
      <c r="B197" s="2289" t="s">
        <v>17084</v>
      </c>
      <c r="C197" s="2877" t="s">
        <v>2434</v>
      </c>
      <c r="D197" s="2877" t="s">
        <v>3204</v>
      </c>
      <c r="E197" s="2877" t="s">
        <v>13948</v>
      </c>
      <c r="F197" s="2913" t="s">
        <v>8354</v>
      </c>
      <c r="G197" s="2877">
        <v>3</v>
      </c>
      <c r="H197" s="2289" t="s">
        <v>3824</v>
      </c>
      <c r="I197" s="2289" t="s">
        <v>15369</v>
      </c>
      <c r="J197" s="2877" t="s">
        <v>3890</v>
      </c>
      <c r="K197" s="3070"/>
      <c r="L197" s="2144">
        <v>5991400</v>
      </c>
      <c r="M197" s="2877" t="s">
        <v>251</v>
      </c>
      <c r="N197" s="3070">
        <v>45384</v>
      </c>
      <c r="O197" s="3070">
        <v>45421</v>
      </c>
      <c r="P197" s="3070">
        <v>45484</v>
      </c>
      <c r="Q197" s="2289" t="s">
        <v>2776</v>
      </c>
      <c r="R197" s="2877"/>
      <c r="S197" s="2144">
        <v>5974000</v>
      </c>
      <c r="T197" s="2144">
        <v>6690880</v>
      </c>
      <c r="U197" s="2145"/>
      <c r="V197" s="2145"/>
      <c r="W197" s="2145"/>
      <c r="X197" s="2146">
        <v>45484</v>
      </c>
      <c r="Y197" s="2260" t="s">
        <v>17873</v>
      </c>
      <c r="Z197" s="3070">
        <v>45506</v>
      </c>
      <c r="AA197" s="3070">
        <v>45510</v>
      </c>
      <c r="AB197" s="2564">
        <v>46600</v>
      </c>
      <c r="AC197" s="2976"/>
      <c r="AD197" s="2976"/>
      <c r="AE197" s="118">
        <v>3</v>
      </c>
    </row>
    <row r="198" spans="1:32" ht="30">
      <c r="A198" s="3070">
        <v>45377</v>
      </c>
      <c r="B198" s="2289" t="s">
        <v>17085</v>
      </c>
      <c r="C198" s="2877" t="s">
        <v>2434</v>
      </c>
      <c r="D198" s="2877" t="s">
        <v>3204</v>
      </c>
      <c r="E198" s="2877" t="s">
        <v>13948</v>
      </c>
      <c r="F198" s="2913" t="s">
        <v>8354</v>
      </c>
      <c r="G198" s="2877">
        <v>4</v>
      </c>
      <c r="H198" s="2289" t="s">
        <v>3825</v>
      </c>
      <c r="I198" s="2289" t="s">
        <v>15369</v>
      </c>
      <c r="J198" s="2877" t="s">
        <v>3890</v>
      </c>
      <c r="K198" s="3070"/>
      <c r="L198" s="2144">
        <v>3327680</v>
      </c>
      <c r="M198" s="2877" t="s">
        <v>251</v>
      </c>
      <c r="N198" s="3070">
        <v>45384</v>
      </c>
      <c r="O198" s="3070">
        <v>45421</v>
      </c>
      <c r="P198" s="3070">
        <v>45484</v>
      </c>
      <c r="Q198" s="2289" t="s">
        <v>2974</v>
      </c>
      <c r="R198" s="2877"/>
      <c r="S198" s="2144">
        <v>3327540</v>
      </c>
      <c r="T198" s="2144">
        <v>3726844.8</v>
      </c>
      <c r="U198" s="2145"/>
      <c r="V198" s="2145"/>
      <c r="W198" s="2145"/>
      <c r="X198" s="2146">
        <v>45484</v>
      </c>
      <c r="Y198" s="2260" t="s">
        <v>17874</v>
      </c>
      <c r="Z198" s="3070">
        <v>45503</v>
      </c>
      <c r="AA198" s="3070">
        <v>45510</v>
      </c>
      <c r="AB198" s="2564">
        <v>46597</v>
      </c>
      <c r="AC198" s="2976"/>
      <c r="AD198" s="2976"/>
      <c r="AE198" s="118">
        <v>2</v>
      </c>
    </row>
    <row r="199" spans="1:32">
      <c r="A199" s="3067">
        <v>45377</v>
      </c>
      <c r="B199" s="3068" t="s">
        <v>17086</v>
      </c>
      <c r="C199" s="3069" t="s">
        <v>2434</v>
      </c>
      <c r="D199" s="3069" t="s">
        <v>3204</v>
      </c>
      <c r="E199" s="3069" t="s">
        <v>13948</v>
      </c>
      <c r="F199" s="2914" t="s">
        <v>8354</v>
      </c>
      <c r="G199" s="3069">
        <v>5</v>
      </c>
      <c r="H199" s="3068" t="s">
        <v>3826</v>
      </c>
      <c r="I199" s="3068" t="s">
        <v>242</v>
      </c>
      <c r="J199" s="3069" t="s">
        <v>3890</v>
      </c>
      <c r="K199" s="3069"/>
      <c r="L199" s="2128">
        <v>6363250</v>
      </c>
      <c r="M199" s="3069" t="s">
        <v>251</v>
      </c>
      <c r="N199" s="3067">
        <v>45384</v>
      </c>
      <c r="O199" s="3067">
        <v>45421</v>
      </c>
      <c r="P199" s="3067"/>
      <c r="Q199" s="2136" t="s">
        <v>9147</v>
      </c>
      <c r="R199" s="2276" t="s">
        <v>17989</v>
      </c>
      <c r="S199" s="2128"/>
      <c r="T199" s="2128"/>
      <c r="U199" s="2129"/>
      <c r="V199" s="2129"/>
      <c r="W199" s="2129"/>
      <c r="X199" s="2281"/>
      <c r="Y199" s="2738"/>
      <c r="Z199" s="3067"/>
      <c r="AA199" s="3067">
        <v>45484</v>
      </c>
      <c r="AB199" s="3067" t="s">
        <v>17678</v>
      </c>
      <c r="AC199" s="2976"/>
      <c r="AD199" s="2976"/>
      <c r="AE199" s="118">
        <v>1</v>
      </c>
    </row>
    <row r="200" spans="1:32" ht="30">
      <c r="A200" s="3070">
        <v>45377</v>
      </c>
      <c r="B200" s="2289" t="s">
        <v>17087</v>
      </c>
      <c r="C200" s="2877" t="s">
        <v>2434</v>
      </c>
      <c r="D200" s="2877" t="s">
        <v>3204</v>
      </c>
      <c r="E200" s="2877" t="s">
        <v>13948</v>
      </c>
      <c r="F200" s="2913" t="s">
        <v>8354</v>
      </c>
      <c r="G200" s="2877">
        <v>6</v>
      </c>
      <c r="H200" s="2289" t="s">
        <v>17091</v>
      </c>
      <c r="I200" s="2289" t="s">
        <v>15369</v>
      </c>
      <c r="J200" s="2877" t="s">
        <v>3890</v>
      </c>
      <c r="K200" s="3070"/>
      <c r="L200" s="2144">
        <v>34796400</v>
      </c>
      <c r="M200" s="2877" t="s">
        <v>251</v>
      </c>
      <c r="N200" s="3070">
        <v>45384</v>
      </c>
      <c r="O200" s="3070">
        <v>45421</v>
      </c>
      <c r="P200" s="3070">
        <v>45484</v>
      </c>
      <c r="Q200" s="2289" t="s">
        <v>2776</v>
      </c>
      <c r="R200" s="2877"/>
      <c r="S200" s="2144">
        <v>34796400</v>
      </c>
      <c r="T200" s="2144">
        <v>38971968</v>
      </c>
      <c r="U200" s="2145"/>
      <c r="V200" s="2145"/>
      <c r="W200" s="2145"/>
      <c r="X200" s="2146">
        <v>45484</v>
      </c>
      <c r="Y200" s="2260" t="s">
        <v>17875</v>
      </c>
      <c r="Z200" s="3070">
        <v>45503</v>
      </c>
      <c r="AA200" s="3070">
        <v>45510</v>
      </c>
      <c r="AB200" s="3070">
        <v>45502</v>
      </c>
      <c r="AC200" s="2976"/>
      <c r="AD200" s="2976"/>
      <c r="AE200" s="118">
        <v>1</v>
      </c>
    </row>
    <row r="201" spans="1:32" ht="30">
      <c r="A201" s="3070">
        <v>45377</v>
      </c>
      <c r="B201" s="2289" t="s">
        <v>17088</v>
      </c>
      <c r="C201" s="2877" t="s">
        <v>2434</v>
      </c>
      <c r="D201" s="2877" t="s">
        <v>3204</v>
      </c>
      <c r="E201" s="2877" t="s">
        <v>13948</v>
      </c>
      <c r="F201" s="2913" t="s">
        <v>8354</v>
      </c>
      <c r="G201" s="2877">
        <v>7</v>
      </c>
      <c r="H201" s="2289" t="s">
        <v>3828</v>
      </c>
      <c r="I201" s="2289" t="s">
        <v>15369</v>
      </c>
      <c r="J201" s="2877" t="s">
        <v>17092</v>
      </c>
      <c r="K201" s="3070"/>
      <c r="L201" s="2144">
        <v>17328000</v>
      </c>
      <c r="M201" s="2877" t="s">
        <v>251</v>
      </c>
      <c r="N201" s="3070">
        <v>45384</v>
      </c>
      <c r="O201" s="3070">
        <v>45421</v>
      </c>
      <c r="P201" s="3070">
        <v>45484</v>
      </c>
      <c r="Q201" s="2289" t="s">
        <v>2776</v>
      </c>
      <c r="R201" s="2877"/>
      <c r="S201" s="2144">
        <v>17328000</v>
      </c>
      <c r="T201" s="2144">
        <v>19407360</v>
      </c>
      <c r="U201" s="2145"/>
      <c r="V201" s="2145"/>
      <c r="W201" s="2145"/>
      <c r="X201" s="2146">
        <v>45484</v>
      </c>
      <c r="Y201" s="2260" t="s">
        <v>17876</v>
      </c>
      <c r="Z201" s="3070">
        <v>45503</v>
      </c>
      <c r="AA201" s="3070">
        <v>45510</v>
      </c>
      <c r="AB201" s="3070">
        <v>45502</v>
      </c>
      <c r="AC201" s="2976"/>
      <c r="AD201" s="2976"/>
      <c r="AE201" s="118">
        <v>1</v>
      </c>
    </row>
    <row r="202" spans="1:32" ht="15.75" thickBot="1">
      <c r="A202" s="3131">
        <v>45377</v>
      </c>
      <c r="B202" s="3118" t="s">
        <v>17089</v>
      </c>
      <c r="C202" s="3119" t="s">
        <v>2434</v>
      </c>
      <c r="D202" s="3119" t="s">
        <v>3204</v>
      </c>
      <c r="E202" s="3119" t="s">
        <v>13948</v>
      </c>
      <c r="F202" s="3136" t="s">
        <v>8354</v>
      </c>
      <c r="G202" s="3119">
        <v>8</v>
      </c>
      <c r="H202" s="3118" t="s">
        <v>3829</v>
      </c>
      <c r="I202" s="3118" t="s">
        <v>242</v>
      </c>
      <c r="J202" s="3119" t="s">
        <v>3890</v>
      </c>
      <c r="K202" s="3119"/>
      <c r="L202" s="2134">
        <v>31817500</v>
      </c>
      <c r="M202" s="3119" t="s">
        <v>251</v>
      </c>
      <c r="N202" s="3131">
        <v>45384</v>
      </c>
      <c r="O202" s="3131">
        <v>45421</v>
      </c>
      <c r="P202" s="3131"/>
      <c r="Q202" s="2137"/>
      <c r="R202" s="2878" t="s">
        <v>18384</v>
      </c>
      <c r="S202" s="2134"/>
      <c r="T202" s="2134"/>
      <c r="U202" s="2135"/>
      <c r="V202" s="2135"/>
      <c r="W202" s="2135"/>
      <c r="X202" s="2163"/>
      <c r="Y202" s="2134"/>
      <c r="Z202" s="3131"/>
      <c r="AA202" s="3131">
        <v>45484</v>
      </c>
      <c r="AB202" s="3119" t="s">
        <v>17678</v>
      </c>
      <c r="AC202" s="2976"/>
      <c r="AD202" s="2976"/>
      <c r="AE202" s="118">
        <v>2</v>
      </c>
    </row>
    <row r="203" spans="1:32" ht="15.75" thickTop="1">
      <c r="A203" s="3071">
        <v>45390</v>
      </c>
      <c r="B203" s="2036" t="s">
        <v>17131</v>
      </c>
      <c r="C203" s="3072" t="s">
        <v>16536</v>
      </c>
      <c r="D203" s="3072" t="s">
        <v>15129</v>
      </c>
      <c r="E203" s="3072" t="s">
        <v>13949</v>
      </c>
      <c r="F203" s="3073" t="s">
        <v>17132</v>
      </c>
      <c r="G203" s="3072"/>
      <c r="H203" s="2036"/>
      <c r="I203" s="2036" t="s">
        <v>4837</v>
      </c>
      <c r="J203" s="3072" t="s">
        <v>3435</v>
      </c>
      <c r="K203" s="3072"/>
      <c r="L203" s="429">
        <v>16553687</v>
      </c>
      <c r="M203" s="3072" t="s">
        <v>251</v>
      </c>
      <c r="N203" s="3071">
        <v>45407</v>
      </c>
      <c r="O203" s="3071">
        <v>45456</v>
      </c>
      <c r="P203" s="3071"/>
      <c r="Q203" s="2036"/>
      <c r="R203" s="3072"/>
      <c r="S203" s="429"/>
      <c r="T203" s="429"/>
      <c r="U203" s="1483"/>
      <c r="V203" s="1483"/>
      <c r="W203" s="1483"/>
      <c r="X203" s="1384"/>
      <c r="Y203" s="429"/>
      <c r="Z203" s="3071"/>
      <c r="AA203" s="3071"/>
      <c r="AB203" s="3072"/>
      <c r="AC203" s="3065"/>
      <c r="AD203" s="3065"/>
      <c r="AE203" s="118">
        <v>1</v>
      </c>
    </row>
    <row r="204" spans="1:32" ht="45">
      <c r="A204" s="252">
        <v>45377</v>
      </c>
      <c r="B204" s="3110" t="s">
        <v>17094</v>
      </c>
      <c r="C204" s="363" t="s">
        <v>58</v>
      </c>
      <c r="D204" s="363" t="s">
        <v>15443</v>
      </c>
      <c r="E204" s="363" t="s">
        <v>655</v>
      </c>
      <c r="F204" s="362" t="s">
        <v>17095</v>
      </c>
      <c r="G204" s="363"/>
      <c r="H204" s="3110"/>
      <c r="I204" s="3110" t="s">
        <v>15369</v>
      </c>
      <c r="J204" s="363" t="s">
        <v>780</v>
      </c>
      <c r="K204" s="363" t="s">
        <v>18560</v>
      </c>
      <c r="L204" s="364">
        <v>187158</v>
      </c>
      <c r="M204" s="363" t="s">
        <v>112</v>
      </c>
      <c r="N204" s="252">
        <v>45386</v>
      </c>
      <c r="O204" s="252">
        <v>45397</v>
      </c>
      <c r="P204" s="252">
        <v>45408</v>
      </c>
      <c r="Q204" s="3110" t="s">
        <v>9242</v>
      </c>
      <c r="R204" s="363"/>
      <c r="S204" s="364">
        <v>159756</v>
      </c>
      <c r="T204" s="364">
        <v>184427.43</v>
      </c>
      <c r="U204" s="1473"/>
      <c r="V204" s="1473"/>
      <c r="W204" s="1473"/>
      <c r="X204" s="681">
        <v>45411</v>
      </c>
      <c r="Y204" s="1417" t="s">
        <v>17375</v>
      </c>
      <c r="Z204" s="252">
        <v>45429</v>
      </c>
      <c r="AA204" s="252">
        <v>45429</v>
      </c>
      <c r="AB204" s="3135">
        <v>45459</v>
      </c>
      <c r="AC204" s="3065"/>
      <c r="AD204" s="3065"/>
      <c r="AE204" s="118">
        <v>2</v>
      </c>
    </row>
    <row r="205" spans="1:32" ht="15.75" thickBot="1">
      <c r="A205" s="252">
        <v>45383</v>
      </c>
      <c r="B205" s="3110" t="s">
        <v>17108</v>
      </c>
      <c r="C205" s="363" t="s">
        <v>1754</v>
      </c>
      <c r="D205" s="363" t="s">
        <v>17501</v>
      </c>
      <c r="E205" s="363" t="s">
        <v>13951</v>
      </c>
      <c r="F205" s="362" t="s">
        <v>17109</v>
      </c>
      <c r="G205" s="363"/>
      <c r="H205" s="3110"/>
      <c r="I205" s="3110" t="s">
        <v>15369</v>
      </c>
      <c r="J205" s="363" t="s">
        <v>725</v>
      </c>
      <c r="K205" s="363"/>
      <c r="L205" s="364">
        <v>374000</v>
      </c>
      <c r="M205" s="363" t="s">
        <v>112</v>
      </c>
      <c r="N205" s="252">
        <v>45386</v>
      </c>
      <c r="O205" s="252">
        <v>45397</v>
      </c>
      <c r="P205" s="252">
        <v>45414</v>
      </c>
      <c r="Q205" s="3110" t="s">
        <v>6319</v>
      </c>
      <c r="R205" s="363"/>
      <c r="S205" s="364">
        <v>334950</v>
      </c>
      <c r="T205" s="364">
        <v>405289.5</v>
      </c>
      <c r="U205" s="1473"/>
      <c r="V205" s="1473"/>
      <c r="W205" s="1473"/>
      <c r="X205" s="681">
        <v>45414</v>
      </c>
      <c r="Y205" s="1417" t="s">
        <v>17402</v>
      </c>
      <c r="Z205" s="252">
        <v>45425</v>
      </c>
      <c r="AA205" s="252">
        <v>45425</v>
      </c>
      <c r="AB205" s="3135">
        <v>45789</v>
      </c>
      <c r="AC205" s="3066"/>
      <c r="AD205" s="3121"/>
      <c r="AE205" s="118">
        <v>1</v>
      </c>
    </row>
    <row r="206" spans="1:32" ht="15.75" thickTop="1">
      <c r="A206" s="3067">
        <v>45377</v>
      </c>
      <c r="B206" s="3068" t="s">
        <v>17098</v>
      </c>
      <c r="C206" s="3069" t="s">
        <v>16688</v>
      </c>
      <c r="D206" s="3069" t="s">
        <v>7475</v>
      </c>
      <c r="E206" s="3069" t="s">
        <v>13951</v>
      </c>
      <c r="F206" s="2914" t="s">
        <v>17099</v>
      </c>
      <c r="G206" s="3069"/>
      <c r="H206" s="3068"/>
      <c r="I206" s="3068" t="s">
        <v>242</v>
      </c>
      <c r="J206" s="3069" t="s">
        <v>498</v>
      </c>
      <c r="K206" s="2914"/>
      <c r="L206" s="2128">
        <v>300000</v>
      </c>
      <c r="M206" s="3069" t="s">
        <v>112</v>
      </c>
      <c r="N206" s="3067">
        <v>45379</v>
      </c>
      <c r="O206" s="3067">
        <v>45390</v>
      </c>
      <c r="P206" s="3067"/>
      <c r="Q206" s="2136" t="s">
        <v>4830</v>
      </c>
      <c r="R206" s="2275" t="s">
        <v>17235</v>
      </c>
      <c r="S206" s="2128"/>
      <c r="T206" s="2128"/>
      <c r="U206" s="2129"/>
      <c r="V206" s="2129"/>
      <c r="W206" s="2129"/>
      <c r="X206" s="2281"/>
      <c r="Y206" s="2738"/>
      <c r="Z206" s="3067"/>
      <c r="AA206" s="3067">
        <v>45393</v>
      </c>
      <c r="AB206" s="3067"/>
      <c r="AC206" s="3058"/>
      <c r="AD206" s="3089"/>
      <c r="AE206" s="118">
        <v>4</v>
      </c>
    </row>
    <row r="207" spans="1:32">
      <c r="A207" s="3070">
        <v>45377</v>
      </c>
      <c r="B207" s="2289" t="s">
        <v>17104</v>
      </c>
      <c r="C207" s="2877" t="s">
        <v>2434</v>
      </c>
      <c r="D207" s="2877" t="s">
        <v>219</v>
      </c>
      <c r="E207" s="2877" t="s">
        <v>655</v>
      </c>
      <c r="F207" s="2913" t="s">
        <v>17105</v>
      </c>
      <c r="G207" s="2877"/>
      <c r="H207" s="2289"/>
      <c r="I207" s="2289" t="s">
        <v>15369</v>
      </c>
      <c r="J207" s="2877" t="s">
        <v>17106</v>
      </c>
      <c r="K207" s="2877"/>
      <c r="L207" s="2144">
        <v>1171500</v>
      </c>
      <c r="M207" s="2877" t="s">
        <v>112</v>
      </c>
      <c r="N207" s="3070">
        <v>45379</v>
      </c>
      <c r="O207" s="3070">
        <v>45391</v>
      </c>
      <c r="P207" s="3070">
        <v>45401</v>
      </c>
      <c r="Q207" s="2289" t="s">
        <v>11196</v>
      </c>
      <c r="R207" s="2877"/>
      <c r="S207" s="2144">
        <v>1221000</v>
      </c>
      <c r="T207" s="2144">
        <v>1477410</v>
      </c>
      <c r="U207" s="2145"/>
      <c r="V207" s="2145"/>
      <c r="W207" s="2145"/>
      <c r="X207" s="2146">
        <v>45401</v>
      </c>
      <c r="Y207" s="2260" t="s">
        <v>17294</v>
      </c>
      <c r="Z207" s="3070">
        <v>45407</v>
      </c>
      <c r="AA207" s="3070">
        <v>45407</v>
      </c>
      <c r="AB207" s="3070">
        <v>46501</v>
      </c>
      <c r="AC207" s="2976"/>
      <c r="AD207" s="3090"/>
      <c r="AE207" s="118">
        <v>1</v>
      </c>
    </row>
    <row r="208" spans="1:32">
      <c r="A208" s="3070">
        <v>45390</v>
      </c>
      <c r="B208" s="2289" t="s">
        <v>17111</v>
      </c>
      <c r="C208" s="2877" t="s">
        <v>16536</v>
      </c>
      <c r="D208" s="2877" t="s">
        <v>15129</v>
      </c>
      <c r="E208" s="2877" t="s">
        <v>15813</v>
      </c>
      <c r="F208" s="2913" t="s">
        <v>17112</v>
      </c>
      <c r="G208" s="2877"/>
      <c r="H208" s="3114"/>
      <c r="I208" s="3114" t="s">
        <v>15369</v>
      </c>
      <c r="J208" s="2877" t="s">
        <v>3187</v>
      </c>
      <c r="K208" s="2877"/>
      <c r="L208" s="2144">
        <v>18663614</v>
      </c>
      <c r="M208" s="2877" t="s">
        <v>251</v>
      </c>
      <c r="N208" s="3070">
        <v>45393</v>
      </c>
      <c r="O208" s="3070">
        <v>45428</v>
      </c>
      <c r="P208" s="3070">
        <v>45446</v>
      </c>
      <c r="Q208" s="2289" t="s">
        <v>13761</v>
      </c>
      <c r="R208" s="2877"/>
      <c r="S208" s="2144">
        <v>15381560.699999999</v>
      </c>
      <c r="T208" s="2144">
        <v>17227347.98</v>
      </c>
      <c r="U208" s="2145"/>
      <c r="V208" s="2145"/>
      <c r="W208" s="2145"/>
      <c r="X208" s="2146">
        <v>45446</v>
      </c>
      <c r="Y208" s="2260" t="s">
        <v>17567</v>
      </c>
      <c r="Z208" s="3070">
        <v>45468</v>
      </c>
      <c r="AA208" s="3070">
        <v>45470</v>
      </c>
      <c r="AB208" s="3070">
        <v>46562</v>
      </c>
      <c r="AC208" s="2976"/>
      <c r="AD208" s="3090"/>
      <c r="AE208" s="118">
        <v>2</v>
      </c>
    </row>
    <row r="209" spans="1:31" ht="45">
      <c r="A209" s="3070">
        <v>45379</v>
      </c>
      <c r="B209" s="2289" t="s">
        <v>17113</v>
      </c>
      <c r="C209" s="2877" t="s">
        <v>58</v>
      </c>
      <c r="D209" s="2877" t="s">
        <v>15443</v>
      </c>
      <c r="E209" s="2877" t="s">
        <v>13948</v>
      </c>
      <c r="F209" s="2913" t="s">
        <v>17114</v>
      </c>
      <c r="G209" s="2877"/>
      <c r="H209" s="2289"/>
      <c r="I209" s="2289" t="s">
        <v>15369</v>
      </c>
      <c r="J209" s="2877" t="s">
        <v>421</v>
      </c>
      <c r="K209" s="2877" t="s">
        <v>18543</v>
      </c>
      <c r="L209" s="2144">
        <v>13532372.52</v>
      </c>
      <c r="M209" s="2877" t="s">
        <v>251</v>
      </c>
      <c r="N209" s="3070">
        <v>45407</v>
      </c>
      <c r="O209" s="3070">
        <v>45463</v>
      </c>
      <c r="P209" s="3070">
        <v>45509</v>
      </c>
      <c r="Q209" s="2289" t="s">
        <v>11196</v>
      </c>
      <c r="R209" s="2877"/>
      <c r="S209" s="2144">
        <v>12646133.5</v>
      </c>
      <c r="T209" s="2144">
        <v>15301821.539999999</v>
      </c>
      <c r="U209" s="2145"/>
      <c r="V209" s="2145"/>
      <c r="W209" s="2145"/>
      <c r="X209" s="2146">
        <v>45509</v>
      </c>
      <c r="Y209" s="2260" t="s">
        <v>18076</v>
      </c>
      <c r="Z209" s="3070">
        <v>45534</v>
      </c>
      <c r="AA209" s="3070">
        <v>45547</v>
      </c>
      <c r="AB209" s="3070"/>
      <c r="AC209" s="2976"/>
      <c r="AD209" s="3090"/>
      <c r="AE209" s="118">
        <v>2</v>
      </c>
    </row>
    <row r="210" spans="1:31">
      <c r="A210" s="3067">
        <v>45460</v>
      </c>
      <c r="B210" s="3068" t="s">
        <v>17655</v>
      </c>
      <c r="C210" s="3069" t="s">
        <v>289</v>
      </c>
      <c r="D210" s="3069" t="s">
        <v>6509</v>
      </c>
      <c r="E210" s="3069" t="s">
        <v>13950</v>
      </c>
      <c r="F210" s="2914" t="s">
        <v>17656</v>
      </c>
      <c r="G210" s="3069"/>
      <c r="H210" s="3068"/>
      <c r="I210" s="3068" t="s">
        <v>242</v>
      </c>
      <c r="J210" s="3069" t="s">
        <v>11465</v>
      </c>
      <c r="K210" s="3069"/>
      <c r="L210" s="2128">
        <v>2479200</v>
      </c>
      <c r="M210" s="3069" t="s">
        <v>216</v>
      </c>
      <c r="N210" s="3067">
        <v>45469</v>
      </c>
      <c r="O210" s="3067">
        <v>45490</v>
      </c>
      <c r="P210" s="3067"/>
      <c r="Q210" s="2136" t="s">
        <v>304</v>
      </c>
      <c r="R210" s="3069"/>
      <c r="S210" s="2128"/>
      <c r="T210" s="2128"/>
      <c r="U210" s="2129"/>
      <c r="V210" s="2129"/>
      <c r="W210" s="2129"/>
      <c r="X210" s="2281"/>
      <c r="Y210" s="2738"/>
      <c r="Z210" s="3067"/>
      <c r="AA210" s="3067">
        <v>45526</v>
      </c>
      <c r="AB210" s="3067" t="s">
        <v>17951</v>
      </c>
      <c r="AC210" s="2976"/>
      <c r="AD210" s="3090"/>
    </row>
    <row r="211" spans="1:31" ht="30">
      <c r="A211" s="3070">
        <v>45384</v>
      </c>
      <c r="B211" s="2289" t="s">
        <v>17121</v>
      </c>
      <c r="C211" s="2877" t="s">
        <v>58</v>
      </c>
      <c r="D211" s="2877" t="s">
        <v>15443</v>
      </c>
      <c r="E211" s="2877" t="s">
        <v>655</v>
      </c>
      <c r="F211" s="2913" t="s">
        <v>17122</v>
      </c>
      <c r="G211" s="2877"/>
      <c r="H211" s="2913"/>
      <c r="I211" s="2913" t="s">
        <v>15369</v>
      </c>
      <c r="J211" s="2877" t="s">
        <v>17123</v>
      </c>
      <c r="K211" s="2877" t="s">
        <v>18561</v>
      </c>
      <c r="L211" s="2144">
        <v>335000</v>
      </c>
      <c r="M211" s="2877" t="s">
        <v>112</v>
      </c>
      <c r="N211" s="3070">
        <v>45386</v>
      </c>
      <c r="O211" s="3070">
        <v>45397</v>
      </c>
      <c r="P211" s="3070">
        <v>45408</v>
      </c>
      <c r="Q211" s="2289" t="s">
        <v>5639</v>
      </c>
      <c r="R211" s="2877"/>
      <c r="S211" s="2144">
        <v>200400</v>
      </c>
      <c r="T211" s="2144">
        <v>242484</v>
      </c>
      <c r="U211" s="2145"/>
      <c r="V211" s="2145"/>
      <c r="W211" s="2145"/>
      <c r="X211" s="2146">
        <v>45411</v>
      </c>
      <c r="Y211" s="2260" t="s">
        <v>17376</v>
      </c>
      <c r="Z211" s="3070">
        <v>45427</v>
      </c>
      <c r="AA211" s="3070">
        <v>45427</v>
      </c>
      <c r="AB211" s="3070">
        <v>45457</v>
      </c>
      <c r="AC211" s="2976"/>
      <c r="AD211" s="3090"/>
      <c r="AE211" s="118">
        <v>4</v>
      </c>
    </row>
    <row r="212" spans="1:31">
      <c r="A212" s="3070">
        <v>45385</v>
      </c>
      <c r="B212" s="2289" t="s">
        <v>17126</v>
      </c>
      <c r="C212" s="2877" t="s">
        <v>2250</v>
      </c>
      <c r="D212" s="2877" t="s">
        <v>1416</v>
      </c>
      <c r="E212" s="2877" t="s">
        <v>13951</v>
      </c>
      <c r="F212" s="2913" t="s">
        <v>3365</v>
      </c>
      <c r="G212" s="2877"/>
      <c r="H212" s="2913"/>
      <c r="I212" s="2913" t="s">
        <v>15369</v>
      </c>
      <c r="J212" s="2877" t="s">
        <v>1422</v>
      </c>
      <c r="K212" s="2877"/>
      <c r="L212" s="2144">
        <v>600000</v>
      </c>
      <c r="M212" s="2877" t="s">
        <v>112</v>
      </c>
      <c r="N212" s="3070">
        <v>45391</v>
      </c>
      <c r="O212" s="3070">
        <v>45404</v>
      </c>
      <c r="P212" s="3070">
        <v>45414</v>
      </c>
      <c r="Q212" s="2289" t="s">
        <v>3381</v>
      </c>
      <c r="R212" s="2877"/>
      <c r="S212" s="2144">
        <v>438908</v>
      </c>
      <c r="T212" s="2144">
        <v>494180</v>
      </c>
      <c r="U212" s="2145"/>
      <c r="V212" s="2145"/>
      <c r="W212" s="2145"/>
      <c r="X212" s="2146">
        <v>45414</v>
      </c>
      <c r="Y212" s="2260" t="s">
        <v>17401</v>
      </c>
      <c r="Z212" s="3070">
        <v>45434</v>
      </c>
      <c r="AA212" s="3070">
        <v>45434</v>
      </c>
      <c r="AB212" s="3070">
        <v>45457</v>
      </c>
      <c r="AC212" s="3065"/>
      <c r="AD212" s="3091"/>
      <c r="AE212" s="118">
        <v>1</v>
      </c>
    </row>
    <row r="213" spans="1:31">
      <c r="A213" s="3070">
        <v>45390</v>
      </c>
      <c r="B213" s="2289" t="s">
        <v>17128</v>
      </c>
      <c r="C213" s="2877" t="s">
        <v>16536</v>
      </c>
      <c r="D213" s="2877" t="s">
        <v>15129</v>
      </c>
      <c r="E213" s="2877" t="s">
        <v>13949</v>
      </c>
      <c r="F213" s="2913" t="s">
        <v>17127</v>
      </c>
      <c r="G213" s="2877"/>
      <c r="H213" s="2913"/>
      <c r="I213" s="2913" t="s">
        <v>15369</v>
      </c>
      <c r="J213" s="2877" t="s">
        <v>9104</v>
      </c>
      <c r="K213" s="2877"/>
      <c r="L213" s="2144">
        <v>20650653</v>
      </c>
      <c r="M213" s="2877" t="s">
        <v>251</v>
      </c>
      <c r="N213" s="3070">
        <v>45398</v>
      </c>
      <c r="O213" s="3070">
        <v>45460</v>
      </c>
      <c r="P213" s="3070">
        <v>45492</v>
      </c>
      <c r="Q213" s="2289" t="s">
        <v>993</v>
      </c>
      <c r="R213" s="2877"/>
      <c r="S213" s="2144">
        <v>19569395.199999999</v>
      </c>
      <c r="T213" s="2144">
        <v>21917722.620000001</v>
      </c>
      <c r="U213" s="2145"/>
      <c r="V213" s="2145"/>
      <c r="W213" s="2145"/>
      <c r="X213" s="2146">
        <v>45492</v>
      </c>
      <c r="Y213" s="2260" t="s">
        <v>17954</v>
      </c>
      <c r="Z213" s="3070">
        <v>45506</v>
      </c>
      <c r="AA213" s="3070">
        <v>45509</v>
      </c>
      <c r="AB213" s="3070">
        <v>46966</v>
      </c>
      <c r="AC213" s="3065"/>
      <c r="AD213" s="3091"/>
      <c r="AE213" s="118">
        <v>1</v>
      </c>
    </row>
    <row r="214" spans="1:31">
      <c r="A214" s="3070">
        <v>45393</v>
      </c>
      <c r="B214" s="2289" t="s">
        <v>17181</v>
      </c>
      <c r="C214" s="2877" t="s">
        <v>16536</v>
      </c>
      <c r="D214" s="2877" t="s">
        <v>15129</v>
      </c>
      <c r="E214" s="2877" t="s">
        <v>15813</v>
      </c>
      <c r="F214" s="2913" t="s">
        <v>17182</v>
      </c>
      <c r="G214" s="2877"/>
      <c r="H214" s="2913"/>
      <c r="I214" s="2913" t="s">
        <v>15369</v>
      </c>
      <c r="J214" s="2877" t="s">
        <v>3237</v>
      </c>
      <c r="K214" s="2877"/>
      <c r="L214" s="2144">
        <v>20068966</v>
      </c>
      <c r="M214" s="2877" t="s">
        <v>251</v>
      </c>
      <c r="N214" s="3070">
        <v>45401</v>
      </c>
      <c r="O214" s="3070">
        <v>45469</v>
      </c>
      <c r="P214" s="3070">
        <v>45488</v>
      </c>
      <c r="Q214" s="2289" t="s">
        <v>2405</v>
      </c>
      <c r="R214" s="2877"/>
      <c r="S214" s="2144">
        <v>20068964.460000001</v>
      </c>
      <c r="T214" s="2144">
        <v>22477240.620000001</v>
      </c>
      <c r="U214" s="2145"/>
      <c r="V214" s="2145"/>
      <c r="W214" s="2145"/>
      <c r="X214" s="2146">
        <v>45488</v>
      </c>
      <c r="Y214" s="2260" t="s">
        <v>17943</v>
      </c>
      <c r="Z214" s="3070">
        <v>45505</v>
      </c>
      <c r="AA214" s="3070">
        <v>45509</v>
      </c>
      <c r="AB214" s="3070">
        <v>46599</v>
      </c>
      <c r="AC214" s="3065"/>
      <c r="AD214" s="3091"/>
      <c r="AE214" s="118">
        <v>1</v>
      </c>
    </row>
    <row r="215" spans="1:31" ht="30">
      <c r="A215" s="3070">
        <v>45385</v>
      </c>
      <c r="B215" s="2289" t="s">
        <v>17133</v>
      </c>
      <c r="C215" s="2877" t="s">
        <v>58</v>
      </c>
      <c r="D215" s="2877" t="s">
        <v>15443</v>
      </c>
      <c r="E215" s="2877" t="s">
        <v>13951</v>
      </c>
      <c r="F215" s="2321" t="s">
        <v>17134</v>
      </c>
      <c r="G215" s="2877"/>
      <c r="H215" s="2913"/>
      <c r="I215" s="2913" t="s">
        <v>15369</v>
      </c>
      <c r="J215" s="2877" t="s">
        <v>476</v>
      </c>
      <c r="K215" s="2877" t="s">
        <v>17139</v>
      </c>
      <c r="L215" s="2144">
        <v>167840</v>
      </c>
      <c r="M215" s="2877" t="s">
        <v>112</v>
      </c>
      <c r="N215" s="3070">
        <v>45390</v>
      </c>
      <c r="O215" s="3070">
        <v>45411</v>
      </c>
      <c r="P215" s="3070">
        <v>45419</v>
      </c>
      <c r="Q215" s="2289" t="s">
        <v>17443</v>
      </c>
      <c r="R215" s="2877"/>
      <c r="S215" s="2144">
        <v>147240</v>
      </c>
      <c r="T215" s="2144">
        <v>178160.4</v>
      </c>
      <c r="U215" s="2145"/>
      <c r="V215" s="2145"/>
      <c r="W215" s="2145"/>
      <c r="X215" s="2146">
        <v>45419</v>
      </c>
      <c r="Y215" s="2260" t="s">
        <v>17446</v>
      </c>
      <c r="Z215" s="3070">
        <v>45433</v>
      </c>
      <c r="AA215" s="3070">
        <v>45433</v>
      </c>
      <c r="AB215" s="3070">
        <v>45440</v>
      </c>
      <c r="AC215" s="3065"/>
      <c r="AD215" s="3091"/>
      <c r="AE215" s="118">
        <v>1</v>
      </c>
    </row>
    <row r="216" spans="1:31" ht="30.75" thickBot="1">
      <c r="A216" s="2564">
        <v>45385</v>
      </c>
      <c r="B216" s="2664" t="s">
        <v>17135</v>
      </c>
      <c r="C216" s="2779" t="s">
        <v>58</v>
      </c>
      <c r="D216" s="2779" t="s">
        <v>15443</v>
      </c>
      <c r="E216" s="2877" t="s">
        <v>13951</v>
      </c>
      <c r="F216" s="2780" t="s">
        <v>17136</v>
      </c>
      <c r="G216" s="2779"/>
      <c r="H216" s="2780"/>
      <c r="I216" s="2913" t="s">
        <v>15369</v>
      </c>
      <c r="J216" s="2779" t="s">
        <v>17137</v>
      </c>
      <c r="K216" s="2779" t="s">
        <v>17138</v>
      </c>
      <c r="L216" s="2607">
        <v>437000</v>
      </c>
      <c r="M216" s="2877" t="s">
        <v>112</v>
      </c>
      <c r="N216" s="3070">
        <v>45386</v>
      </c>
      <c r="O216" s="3070">
        <v>45397</v>
      </c>
      <c r="P216" s="3070">
        <v>45408</v>
      </c>
      <c r="Q216" s="2289" t="s">
        <v>17299</v>
      </c>
      <c r="R216" s="2877"/>
      <c r="S216" s="2144">
        <v>420100</v>
      </c>
      <c r="T216" s="2144">
        <v>508321</v>
      </c>
      <c r="U216" s="2145"/>
      <c r="V216" s="2145"/>
      <c r="W216" s="2145"/>
      <c r="X216" s="2146">
        <v>45408</v>
      </c>
      <c r="Y216" s="2260" t="s">
        <v>17362</v>
      </c>
      <c r="Z216" s="3070">
        <v>45427</v>
      </c>
      <c r="AA216" s="3070">
        <v>45428</v>
      </c>
      <c r="AB216" s="3070">
        <v>45476</v>
      </c>
      <c r="AC216" s="3059"/>
      <c r="AD216" s="3092"/>
      <c r="AE216" s="118">
        <v>1</v>
      </c>
    </row>
    <row r="217" spans="1:31" ht="30.75" thickTop="1">
      <c r="A217" s="3070">
        <v>45386</v>
      </c>
      <c r="B217" s="2289" t="s">
        <v>17140</v>
      </c>
      <c r="C217" s="2877" t="s">
        <v>58</v>
      </c>
      <c r="D217" s="2877" t="s">
        <v>15443</v>
      </c>
      <c r="E217" s="2877" t="s">
        <v>655</v>
      </c>
      <c r="F217" s="2913" t="s">
        <v>17141</v>
      </c>
      <c r="G217" s="2877"/>
      <c r="H217" s="2289"/>
      <c r="I217" s="2289" t="s">
        <v>15369</v>
      </c>
      <c r="J217" s="2877" t="s">
        <v>2060</v>
      </c>
      <c r="K217" s="2877" t="s">
        <v>17142</v>
      </c>
      <c r="L217" s="2144">
        <v>196000</v>
      </c>
      <c r="M217" s="2877" t="s">
        <v>112</v>
      </c>
      <c r="N217" s="3070">
        <v>45390</v>
      </c>
      <c r="O217" s="3070">
        <v>45401</v>
      </c>
      <c r="P217" s="3070">
        <v>45421</v>
      </c>
      <c r="Q217" s="2289" t="s">
        <v>17319</v>
      </c>
      <c r="R217" s="2877"/>
      <c r="S217" s="2144">
        <v>185428</v>
      </c>
      <c r="T217" s="2144">
        <v>224367.88</v>
      </c>
      <c r="U217" s="2145"/>
      <c r="V217" s="2145"/>
      <c r="W217" s="2145"/>
      <c r="X217" s="2146">
        <v>45421</v>
      </c>
      <c r="Y217" s="2260" t="s">
        <v>17452</v>
      </c>
      <c r="Z217" s="3070">
        <v>45441</v>
      </c>
      <c r="AA217" s="3070">
        <v>45442</v>
      </c>
      <c r="AB217" s="3070">
        <v>45531</v>
      </c>
      <c r="AC217" s="2976"/>
      <c r="AD217" s="2976"/>
      <c r="AE217" s="118">
        <v>1</v>
      </c>
    </row>
    <row r="218" spans="1:31">
      <c r="A218" s="3070">
        <v>45386</v>
      </c>
      <c r="B218" s="2289" t="s">
        <v>17143</v>
      </c>
      <c r="C218" s="2877" t="s">
        <v>1754</v>
      </c>
      <c r="D218" s="2877" t="s">
        <v>1753</v>
      </c>
      <c r="E218" s="2877" t="s">
        <v>13951</v>
      </c>
      <c r="F218" s="2913" t="s">
        <v>17144</v>
      </c>
      <c r="G218" s="2877"/>
      <c r="H218" s="2289"/>
      <c r="I218" s="2289" t="s">
        <v>15369</v>
      </c>
      <c r="J218" s="2877" t="s">
        <v>2055</v>
      </c>
      <c r="K218" s="2877"/>
      <c r="L218" s="2144">
        <v>1990000</v>
      </c>
      <c r="M218" s="2877" t="s">
        <v>112</v>
      </c>
      <c r="N218" s="3070">
        <v>45391</v>
      </c>
      <c r="O218" s="3070">
        <v>45404</v>
      </c>
      <c r="P218" s="3070">
        <v>45406</v>
      </c>
      <c r="Q218" s="2289" t="s">
        <v>6772</v>
      </c>
      <c r="R218" s="2877"/>
      <c r="S218" s="2144">
        <v>1962400</v>
      </c>
      <c r="T218" s="2144">
        <v>2374504</v>
      </c>
      <c r="U218" s="2145"/>
      <c r="V218" s="2145"/>
      <c r="W218" s="2145"/>
      <c r="X218" s="2146">
        <v>45406</v>
      </c>
      <c r="Y218" s="2144" t="s">
        <v>17331</v>
      </c>
      <c r="Z218" s="3070">
        <v>45415</v>
      </c>
      <c r="AA218" s="3070">
        <v>45418</v>
      </c>
      <c r="AB218" s="3070">
        <v>46873</v>
      </c>
      <c r="AC218" s="2976"/>
      <c r="AD218" s="2976"/>
      <c r="AE218" s="118">
        <v>1</v>
      </c>
    </row>
    <row r="219" spans="1:31" ht="45">
      <c r="A219" s="3070">
        <v>45386</v>
      </c>
      <c r="B219" s="2289" t="s">
        <v>17153</v>
      </c>
      <c r="C219" s="2877" t="s">
        <v>2434</v>
      </c>
      <c r="D219" s="2877" t="s">
        <v>219</v>
      </c>
      <c r="E219" s="2877" t="s">
        <v>13948</v>
      </c>
      <c r="F219" s="2913" t="s">
        <v>17154</v>
      </c>
      <c r="G219" s="2877"/>
      <c r="H219" s="2289"/>
      <c r="I219" s="2289" t="s">
        <v>15369</v>
      </c>
      <c r="J219" s="2877" t="s">
        <v>1372</v>
      </c>
      <c r="K219" s="2877"/>
      <c r="L219" s="2144">
        <v>24260880</v>
      </c>
      <c r="M219" s="2877" t="s">
        <v>251</v>
      </c>
      <c r="N219" s="3070">
        <v>45393</v>
      </c>
      <c r="O219" s="3070">
        <v>45443</v>
      </c>
      <c r="P219" s="3070">
        <v>45460</v>
      </c>
      <c r="Q219" s="2289" t="s">
        <v>8542</v>
      </c>
      <c r="R219" s="2877"/>
      <c r="S219" s="2144">
        <v>24260850</v>
      </c>
      <c r="T219" s="2144">
        <v>27172152</v>
      </c>
      <c r="U219" s="2145"/>
      <c r="V219" s="2145"/>
      <c r="W219" s="2145"/>
      <c r="X219" s="2146">
        <v>45460</v>
      </c>
      <c r="Y219" s="2260" t="s">
        <v>17649</v>
      </c>
      <c r="Z219" s="3070">
        <v>45464</v>
      </c>
      <c r="AA219" s="3070">
        <v>45471</v>
      </c>
      <c r="AB219" s="3070">
        <v>46558</v>
      </c>
      <c r="AC219" s="2976"/>
      <c r="AD219" s="2976"/>
      <c r="AE219" s="118">
        <v>1</v>
      </c>
    </row>
    <row r="220" spans="1:31" ht="30.75" thickBot="1">
      <c r="A220" s="612">
        <v>45386</v>
      </c>
      <c r="B220" s="2911" t="s">
        <v>17145</v>
      </c>
      <c r="C220" s="609" t="s">
        <v>58</v>
      </c>
      <c r="D220" s="609" t="s">
        <v>15443</v>
      </c>
      <c r="E220" s="609" t="s">
        <v>655</v>
      </c>
      <c r="F220" s="610" t="s">
        <v>17146</v>
      </c>
      <c r="G220" s="609"/>
      <c r="H220" s="2911"/>
      <c r="I220" s="2911" t="s">
        <v>15369</v>
      </c>
      <c r="J220" s="609" t="s">
        <v>480</v>
      </c>
      <c r="K220" s="609" t="s">
        <v>17147</v>
      </c>
      <c r="L220" s="417">
        <v>345000</v>
      </c>
      <c r="M220" s="609" t="s">
        <v>112</v>
      </c>
      <c r="N220" s="612">
        <v>45390</v>
      </c>
      <c r="O220" s="612">
        <v>45401</v>
      </c>
      <c r="P220" s="612"/>
      <c r="Q220" s="2911" t="s">
        <v>11328</v>
      </c>
      <c r="R220" s="609"/>
      <c r="S220" s="417">
        <v>322260</v>
      </c>
      <c r="T220" s="417">
        <v>389934.6</v>
      </c>
      <c r="U220" s="1480"/>
      <c r="V220" s="1480"/>
      <c r="W220" s="1480"/>
      <c r="X220" s="513">
        <v>45421</v>
      </c>
      <c r="Y220" s="1553" t="s">
        <v>17453</v>
      </c>
      <c r="Z220" s="612">
        <v>45435</v>
      </c>
      <c r="AA220" s="612">
        <v>45435</v>
      </c>
      <c r="AB220" s="612">
        <v>45495</v>
      </c>
      <c r="AC220" s="2976"/>
      <c r="AD220" s="2976"/>
      <c r="AE220" s="118">
        <v>1</v>
      </c>
    </row>
    <row r="221" spans="1:31" ht="30.75" thickTop="1">
      <c r="A221" s="456">
        <v>45386</v>
      </c>
      <c r="B221" s="2292" t="s">
        <v>17229</v>
      </c>
      <c r="C221" s="943" t="s">
        <v>58</v>
      </c>
      <c r="D221" s="943" t="s">
        <v>15443</v>
      </c>
      <c r="E221" s="943" t="s">
        <v>13948</v>
      </c>
      <c r="F221" s="713" t="s">
        <v>17148</v>
      </c>
      <c r="G221" s="943">
        <v>1</v>
      </c>
      <c r="H221" s="2292" t="s">
        <v>17230</v>
      </c>
      <c r="I221" s="2292" t="s">
        <v>15369</v>
      </c>
      <c r="J221" s="943" t="s">
        <v>6874</v>
      </c>
      <c r="K221" s="943" t="s">
        <v>17149</v>
      </c>
      <c r="L221" s="457">
        <v>32912000</v>
      </c>
      <c r="M221" s="943" t="s">
        <v>251</v>
      </c>
      <c r="N221" s="456">
        <v>45441</v>
      </c>
      <c r="O221" s="456">
        <v>45502</v>
      </c>
      <c r="P221" s="456">
        <v>45538</v>
      </c>
      <c r="Q221" s="2292" t="s">
        <v>3107</v>
      </c>
      <c r="R221" s="943"/>
      <c r="S221" s="457">
        <v>32790000</v>
      </c>
      <c r="T221" s="457">
        <v>39675900</v>
      </c>
      <c r="U221" s="1474"/>
      <c r="V221" s="1474"/>
      <c r="W221" s="1474"/>
      <c r="X221" s="570">
        <v>45538</v>
      </c>
      <c r="Y221" s="1387" t="s">
        <v>18333</v>
      </c>
      <c r="Z221" s="456">
        <v>45555</v>
      </c>
      <c r="AA221" s="456">
        <v>45575</v>
      </c>
      <c r="AB221" s="456"/>
      <c r="AC221" s="2976"/>
      <c r="AD221" s="2976"/>
      <c r="AE221" s="118">
        <v>1</v>
      </c>
    </row>
    <row r="222" spans="1:31" ht="30.75" thickBot="1">
      <c r="A222" s="3109">
        <v>45386</v>
      </c>
      <c r="B222" s="2291" t="s">
        <v>17228</v>
      </c>
      <c r="C222" s="2290" t="s">
        <v>58</v>
      </c>
      <c r="D222" s="2290" t="s">
        <v>15443</v>
      </c>
      <c r="E222" s="2290" t="s">
        <v>13948</v>
      </c>
      <c r="F222" s="2912" t="s">
        <v>17148</v>
      </c>
      <c r="G222" s="2290">
        <v>2</v>
      </c>
      <c r="H222" s="2291" t="s">
        <v>17231</v>
      </c>
      <c r="I222" s="2291" t="s">
        <v>15369</v>
      </c>
      <c r="J222" s="2290" t="s">
        <v>6874</v>
      </c>
      <c r="K222" s="2290"/>
      <c r="L222" s="2121">
        <v>15910000</v>
      </c>
      <c r="M222" s="2290" t="s">
        <v>251</v>
      </c>
      <c r="N222" s="3109">
        <v>45441</v>
      </c>
      <c r="O222" s="3109">
        <v>45502</v>
      </c>
      <c r="P222" s="3109">
        <v>45538</v>
      </c>
      <c r="Q222" s="2291" t="s">
        <v>3107</v>
      </c>
      <c r="R222" s="2290"/>
      <c r="S222" s="2121">
        <v>15910000</v>
      </c>
      <c r="T222" s="2121">
        <v>19251100</v>
      </c>
      <c r="U222" s="2122"/>
      <c r="V222" s="2122"/>
      <c r="W222" s="2122"/>
      <c r="X222" s="2123">
        <v>45538</v>
      </c>
      <c r="Y222" s="2246" t="s">
        <v>18334</v>
      </c>
      <c r="Z222" s="3109">
        <v>45555</v>
      </c>
      <c r="AA222" s="3109">
        <v>45575</v>
      </c>
      <c r="AB222" s="3109"/>
      <c r="AC222" s="2976"/>
      <c r="AD222" s="2976"/>
      <c r="AE222" s="118">
        <v>1</v>
      </c>
    </row>
    <row r="223" spans="1:31" ht="15.75" thickTop="1">
      <c r="A223" s="252">
        <v>45393</v>
      </c>
      <c r="B223" s="3110" t="s">
        <v>17183</v>
      </c>
      <c r="C223" s="363" t="s">
        <v>16536</v>
      </c>
      <c r="D223" s="363" t="s">
        <v>15131</v>
      </c>
      <c r="E223" s="363" t="s">
        <v>15813</v>
      </c>
      <c r="F223" s="362" t="s">
        <v>17184</v>
      </c>
      <c r="G223" s="363"/>
      <c r="H223" s="3110"/>
      <c r="I223" s="3110" t="s">
        <v>15369</v>
      </c>
      <c r="J223" s="363" t="s">
        <v>93</v>
      </c>
      <c r="K223" s="363"/>
      <c r="L223" s="364">
        <v>10133047</v>
      </c>
      <c r="M223" s="363" t="s">
        <v>251</v>
      </c>
      <c r="N223" s="252">
        <v>45400</v>
      </c>
      <c r="O223" s="252">
        <v>45442</v>
      </c>
      <c r="P223" s="252">
        <v>45460</v>
      </c>
      <c r="Q223" s="3110" t="s">
        <v>2490</v>
      </c>
      <c r="R223" s="363"/>
      <c r="S223" s="364">
        <v>6421185.6299999999</v>
      </c>
      <c r="T223" s="364">
        <v>7191727.9100000001</v>
      </c>
      <c r="U223" s="1473"/>
      <c r="V223" s="1473"/>
      <c r="W223" s="1473"/>
      <c r="X223" s="681">
        <v>45460</v>
      </c>
      <c r="Y223" s="364" t="s">
        <v>17662</v>
      </c>
      <c r="Z223" s="252">
        <v>45468</v>
      </c>
      <c r="AA223" s="252">
        <v>45469</v>
      </c>
      <c r="AB223" s="252">
        <v>46562</v>
      </c>
      <c r="AC223" s="2976"/>
      <c r="AD223" s="2976"/>
      <c r="AE223" s="118">
        <v>1</v>
      </c>
    </row>
    <row r="224" spans="1:31">
      <c r="A224" s="3070">
        <v>45393</v>
      </c>
      <c r="B224" s="2289" t="s">
        <v>17185</v>
      </c>
      <c r="C224" s="2877" t="s">
        <v>16536</v>
      </c>
      <c r="D224" s="2877" t="s">
        <v>15131</v>
      </c>
      <c r="E224" s="2877" t="s">
        <v>13949</v>
      </c>
      <c r="F224" s="2913" t="s">
        <v>17186</v>
      </c>
      <c r="G224" s="2877"/>
      <c r="H224" s="2289"/>
      <c r="I224" s="2289" t="s">
        <v>15369</v>
      </c>
      <c r="J224" s="2877" t="s">
        <v>93</v>
      </c>
      <c r="K224" s="2877"/>
      <c r="L224" s="2144">
        <v>4525920</v>
      </c>
      <c r="M224" s="2877" t="s">
        <v>251</v>
      </c>
      <c r="N224" s="3070">
        <v>45397</v>
      </c>
      <c r="O224" s="3070">
        <v>45432</v>
      </c>
      <c r="P224" s="3070">
        <v>45460</v>
      </c>
      <c r="Q224" s="2289" t="s">
        <v>2534</v>
      </c>
      <c r="R224" s="2877"/>
      <c r="S224" s="2144">
        <v>4525920</v>
      </c>
      <c r="T224" s="2144">
        <v>5069030.4000000004</v>
      </c>
      <c r="U224" s="2145"/>
      <c r="V224" s="2145"/>
      <c r="W224" s="2145"/>
      <c r="X224" s="2146">
        <v>45460</v>
      </c>
      <c r="Y224" s="2260" t="s">
        <v>17654</v>
      </c>
      <c r="Z224" s="3070">
        <v>45477</v>
      </c>
      <c r="AA224" s="3070">
        <v>45481</v>
      </c>
      <c r="AB224" s="3070">
        <v>46571</v>
      </c>
      <c r="AC224" s="3065"/>
      <c r="AD224" s="3065"/>
      <c r="AE224" s="118">
        <v>1</v>
      </c>
    </row>
    <row r="225" spans="1:32">
      <c r="A225" s="3070">
        <v>45393</v>
      </c>
      <c r="B225" s="2289" t="s">
        <v>17187</v>
      </c>
      <c r="C225" s="2877" t="s">
        <v>16536</v>
      </c>
      <c r="D225" s="2877" t="s">
        <v>15131</v>
      </c>
      <c r="E225" s="2877" t="s">
        <v>13949</v>
      </c>
      <c r="F225" s="2913" t="s">
        <v>17188</v>
      </c>
      <c r="G225" s="2877"/>
      <c r="H225" s="2289"/>
      <c r="I225" s="2289" t="s">
        <v>15369</v>
      </c>
      <c r="J225" s="2877" t="s">
        <v>816</v>
      </c>
      <c r="K225" s="2877"/>
      <c r="L225" s="2144">
        <v>11186411</v>
      </c>
      <c r="M225" s="2877" t="s">
        <v>251</v>
      </c>
      <c r="N225" s="3070">
        <v>45397</v>
      </c>
      <c r="O225" s="3070">
        <v>45432</v>
      </c>
      <c r="P225" s="3070">
        <v>45460</v>
      </c>
      <c r="Q225" s="2289" t="s">
        <v>13761</v>
      </c>
      <c r="R225" s="2877"/>
      <c r="S225" s="2144">
        <v>11131560</v>
      </c>
      <c r="T225" s="2144">
        <v>12467347.199999999</v>
      </c>
      <c r="U225" s="2145"/>
      <c r="V225" s="2145"/>
      <c r="W225" s="2145"/>
      <c r="X225" s="2146">
        <v>45460</v>
      </c>
      <c r="Y225" s="2144" t="s">
        <v>17663</v>
      </c>
      <c r="Z225" s="3070">
        <v>45492</v>
      </c>
      <c r="AA225" s="3070">
        <v>45503</v>
      </c>
      <c r="AB225" s="3070">
        <v>46675</v>
      </c>
      <c r="AC225" s="3078"/>
      <c r="AD225" s="3078"/>
      <c r="AE225" s="118">
        <v>4</v>
      </c>
      <c r="AF225" s="118" t="s">
        <v>17826</v>
      </c>
    </row>
    <row r="226" spans="1:32">
      <c r="A226" s="3070">
        <v>45393</v>
      </c>
      <c r="B226" s="2289" t="s">
        <v>17189</v>
      </c>
      <c r="C226" s="2877" t="s">
        <v>16536</v>
      </c>
      <c r="D226" s="2877" t="s">
        <v>15131</v>
      </c>
      <c r="E226" s="2877" t="s">
        <v>13949</v>
      </c>
      <c r="F226" s="2913" t="s">
        <v>17190</v>
      </c>
      <c r="G226" s="2877"/>
      <c r="H226" s="2289"/>
      <c r="I226" s="2289" t="s">
        <v>15369</v>
      </c>
      <c r="J226" s="2877" t="s">
        <v>72</v>
      </c>
      <c r="K226" s="2877"/>
      <c r="L226" s="2144">
        <v>14877818</v>
      </c>
      <c r="M226" s="2877" t="s">
        <v>251</v>
      </c>
      <c r="N226" s="3070">
        <v>45401</v>
      </c>
      <c r="O226" s="3070">
        <v>45436</v>
      </c>
      <c r="P226" s="3070">
        <v>45448</v>
      </c>
      <c r="Q226" s="2289" t="s">
        <v>2534</v>
      </c>
      <c r="R226" s="2877"/>
      <c r="S226" s="2144">
        <v>14877816.880000001</v>
      </c>
      <c r="T226" s="2144">
        <v>16663154.91</v>
      </c>
      <c r="U226" s="2145"/>
      <c r="V226" s="2145"/>
      <c r="W226" s="2145"/>
      <c r="X226" s="2146">
        <v>45448</v>
      </c>
      <c r="Y226" s="2144" t="s">
        <v>17583</v>
      </c>
      <c r="Z226" s="3070">
        <v>45477</v>
      </c>
      <c r="AA226" s="3070">
        <v>45481</v>
      </c>
      <c r="AB226" s="3070">
        <v>46675</v>
      </c>
      <c r="AC226" s="3065"/>
      <c r="AD226" s="3065"/>
      <c r="AE226" s="118">
        <v>1</v>
      </c>
      <c r="AF226" s="118" t="s">
        <v>17826</v>
      </c>
    </row>
    <row r="227" spans="1:32">
      <c r="A227" s="612">
        <v>45393</v>
      </c>
      <c r="B227" s="2911" t="s">
        <v>17226</v>
      </c>
      <c r="C227" s="609" t="s">
        <v>16536</v>
      </c>
      <c r="D227" s="609" t="s">
        <v>15129</v>
      </c>
      <c r="E227" s="609" t="s">
        <v>13949</v>
      </c>
      <c r="F227" s="610" t="s">
        <v>17227</v>
      </c>
      <c r="G227" s="609"/>
      <c r="H227" s="2911"/>
      <c r="I227" s="2911" t="s">
        <v>15369</v>
      </c>
      <c r="J227" s="609" t="s">
        <v>2418</v>
      </c>
      <c r="K227" s="609"/>
      <c r="L227" s="417">
        <v>20084976</v>
      </c>
      <c r="M227" s="609" t="s">
        <v>251</v>
      </c>
      <c r="N227" s="612">
        <v>45455</v>
      </c>
      <c r="O227" s="612">
        <v>45520</v>
      </c>
      <c r="P227" s="612">
        <v>45559</v>
      </c>
      <c r="Q227" s="2911" t="s">
        <v>13761</v>
      </c>
      <c r="R227" s="609"/>
      <c r="S227" s="417">
        <v>8831086.5600000005</v>
      </c>
      <c r="T227" s="417">
        <v>9890816.9499999993</v>
      </c>
      <c r="U227" s="1480"/>
      <c r="V227" s="1480"/>
      <c r="W227" s="1480"/>
      <c r="X227" s="513">
        <v>45559</v>
      </c>
      <c r="Y227" s="417" t="s">
        <v>18513</v>
      </c>
      <c r="Z227" s="612">
        <v>45579</v>
      </c>
      <c r="AA227" s="3102">
        <v>45580</v>
      </c>
      <c r="AB227" s="612">
        <v>46673</v>
      </c>
      <c r="AC227" s="3065"/>
      <c r="AD227" s="3065"/>
      <c r="AE227" s="118">
        <v>3</v>
      </c>
    </row>
    <row r="228" spans="1:32" ht="15.75" thickBot="1">
      <c r="A228" s="609" t="s">
        <v>16012</v>
      </c>
      <c r="B228" s="2911" t="s">
        <v>17191</v>
      </c>
      <c r="C228" s="609" t="s">
        <v>16536</v>
      </c>
      <c r="D228" s="609" t="s">
        <v>15131</v>
      </c>
      <c r="E228" s="609" t="s">
        <v>655</v>
      </c>
      <c r="F228" s="610" t="s">
        <v>17192</v>
      </c>
      <c r="G228" s="609"/>
      <c r="H228" s="2911"/>
      <c r="I228" s="2911" t="s">
        <v>15369</v>
      </c>
      <c r="J228" s="609" t="s">
        <v>14498</v>
      </c>
      <c r="K228" s="609"/>
      <c r="L228" s="417">
        <v>485903</v>
      </c>
      <c r="M228" s="609" t="s">
        <v>112</v>
      </c>
      <c r="N228" s="612">
        <v>45404</v>
      </c>
      <c r="O228" s="612">
        <v>45415</v>
      </c>
      <c r="P228" s="612">
        <v>45427</v>
      </c>
      <c r="Q228" s="2911" t="s">
        <v>993</v>
      </c>
      <c r="R228" s="609"/>
      <c r="S228" s="417">
        <v>485901.87</v>
      </c>
      <c r="T228" s="417">
        <v>544210.09</v>
      </c>
      <c r="U228" s="1480"/>
      <c r="V228" s="1480"/>
      <c r="W228" s="1480"/>
      <c r="X228" s="513">
        <v>45427</v>
      </c>
      <c r="Y228" s="417" t="s">
        <v>17475</v>
      </c>
      <c r="Z228" s="612">
        <v>45433</v>
      </c>
      <c r="AA228" s="612">
        <v>45433</v>
      </c>
      <c r="AB228" s="612">
        <v>46527</v>
      </c>
      <c r="AC228" s="2976"/>
      <c r="AD228" s="2976"/>
      <c r="AE228" s="118">
        <v>1</v>
      </c>
    </row>
    <row r="229" spans="1:32" ht="15.75" thickTop="1">
      <c r="A229" s="456">
        <v>45393</v>
      </c>
      <c r="B229" s="2292" t="s">
        <v>17193</v>
      </c>
      <c r="C229" s="943" t="s">
        <v>16536</v>
      </c>
      <c r="D229" s="943" t="s">
        <v>15131</v>
      </c>
      <c r="E229" s="943" t="s">
        <v>15813</v>
      </c>
      <c r="F229" s="713" t="s">
        <v>17195</v>
      </c>
      <c r="G229" s="943">
        <v>1</v>
      </c>
      <c r="H229" s="2292" t="s">
        <v>16269</v>
      </c>
      <c r="I229" s="2292" t="s">
        <v>15369</v>
      </c>
      <c r="J229" s="943" t="s">
        <v>2255</v>
      </c>
      <c r="K229" s="943"/>
      <c r="L229" s="457">
        <v>598160</v>
      </c>
      <c r="M229" s="943" t="s">
        <v>251</v>
      </c>
      <c r="N229" s="456">
        <v>45400</v>
      </c>
      <c r="O229" s="456">
        <v>45435</v>
      </c>
      <c r="P229" s="456">
        <v>45475</v>
      </c>
      <c r="Q229" s="2292" t="s">
        <v>7327</v>
      </c>
      <c r="R229" s="943"/>
      <c r="S229" s="457">
        <v>598160</v>
      </c>
      <c r="T229" s="457">
        <v>669939.19999999995</v>
      </c>
      <c r="U229" s="1474"/>
      <c r="V229" s="1474"/>
      <c r="W229" s="1474"/>
      <c r="X229" s="570">
        <v>45475</v>
      </c>
      <c r="Y229" s="457" t="s">
        <v>17806</v>
      </c>
      <c r="Z229" s="456">
        <v>45490</v>
      </c>
      <c r="AA229" s="456">
        <v>45496</v>
      </c>
      <c r="AB229" s="456">
        <v>46950</v>
      </c>
      <c r="AC229" s="2976"/>
      <c r="AD229" s="2976"/>
      <c r="AE229" s="118">
        <v>1</v>
      </c>
    </row>
    <row r="230" spans="1:32" ht="15.75" thickBot="1">
      <c r="A230" s="3109">
        <v>45393</v>
      </c>
      <c r="B230" s="2291" t="s">
        <v>17194</v>
      </c>
      <c r="C230" s="2290" t="s">
        <v>16536</v>
      </c>
      <c r="D230" s="2290" t="s">
        <v>15131</v>
      </c>
      <c r="E230" s="2290" t="s">
        <v>15813</v>
      </c>
      <c r="F230" s="2912" t="s">
        <v>17195</v>
      </c>
      <c r="G230" s="2290">
        <v>2</v>
      </c>
      <c r="H230" s="2291" t="s">
        <v>17196</v>
      </c>
      <c r="I230" s="2291" t="s">
        <v>15369</v>
      </c>
      <c r="J230" s="2290" t="s">
        <v>2255</v>
      </c>
      <c r="K230" s="2290"/>
      <c r="L230" s="2121">
        <v>3840000</v>
      </c>
      <c r="M230" s="2290" t="s">
        <v>251</v>
      </c>
      <c r="N230" s="3109">
        <v>45400</v>
      </c>
      <c r="O230" s="3109">
        <v>45435</v>
      </c>
      <c r="P230" s="3109">
        <v>45475</v>
      </c>
      <c r="Q230" s="2291" t="s">
        <v>7327</v>
      </c>
      <c r="R230" s="2290"/>
      <c r="S230" s="2121">
        <v>3840000</v>
      </c>
      <c r="T230" s="2121">
        <v>4300800</v>
      </c>
      <c r="U230" s="2122"/>
      <c r="V230" s="2122"/>
      <c r="W230" s="2122"/>
      <c r="X230" s="2123">
        <v>45475</v>
      </c>
      <c r="Y230" s="2121" t="s">
        <v>17807</v>
      </c>
      <c r="Z230" s="3109">
        <v>45490</v>
      </c>
      <c r="AA230" s="3109">
        <v>45496</v>
      </c>
      <c r="AB230" s="3109">
        <v>46950</v>
      </c>
      <c r="AC230" s="3065"/>
      <c r="AD230" s="3065"/>
      <c r="AE230" s="118">
        <v>1</v>
      </c>
    </row>
    <row r="231" spans="1:32" ht="16.5" thickTop="1" thickBot="1">
      <c r="A231" s="656">
        <v>45393</v>
      </c>
      <c r="B231" s="3061" t="s">
        <v>17197</v>
      </c>
      <c r="C231" s="3062" t="s">
        <v>16536</v>
      </c>
      <c r="D231" s="3062" t="s">
        <v>15129</v>
      </c>
      <c r="E231" s="3062" t="s">
        <v>13949</v>
      </c>
      <c r="F231" s="3063" t="s">
        <v>17198</v>
      </c>
      <c r="G231" s="3062"/>
      <c r="H231" s="3061"/>
      <c r="I231" s="3061" t="s">
        <v>242</v>
      </c>
      <c r="J231" s="3062" t="s">
        <v>3438</v>
      </c>
      <c r="K231" s="3062"/>
      <c r="L231" s="472">
        <v>431178230</v>
      </c>
      <c r="M231" s="3062" t="s">
        <v>251</v>
      </c>
      <c r="N231" s="656">
        <v>45404</v>
      </c>
      <c r="O231" s="656">
        <v>45470</v>
      </c>
      <c r="P231" s="656"/>
      <c r="Q231" s="471" t="s">
        <v>2635</v>
      </c>
      <c r="R231" s="1171" t="s">
        <v>17767</v>
      </c>
      <c r="S231" s="472"/>
      <c r="T231" s="472"/>
      <c r="U231" s="1516"/>
      <c r="V231" s="1516"/>
      <c r="W231" s="1516"/>
      <c r="X231" s="1547"/>
      <c r="Y231" s="472"/>
      <c r="Z231" s="656"/>
      <c r="AA231" s="656">
        <v>45476</v>
      </c>
      <c r="AB231" s="656" t="s">
        <v>17804</v>
      </c>
      <c r="AC231" s="3059"/>
      <c r="AD231" s="3059"/>
      <c r="AE231" s="118">
        <v>1</v>
      </c>
    </row>
    <row r="232" spans="1:32" ht="15.75" thickTop="1">
      <c r="A232" s="3067">
        <v>45392</v>
      </c>
      <c r="B232" s="3068" t="s">
        <v>17204</v>
      </c>
      <c r="C232" s="3069" t="s">
        <v>1754</v>
      </c>
      <c r="D232" s="3069" t="s">
        <v>13</v>
      </c>
      <c r="E232" s="3069" t="s">
        <v>13951</v>
      </c>
      <c r="F232" s="2914" t="s">
        <v>104</v>
      </c>
      <c r="G232" s="3069"/>
      <c r="H232" s="3068"/>
      <c r="I232" s="3068" t="s">
        <v>242</v>
      </c>
      <c r="J232" s="3069" t="s">
        <v>17205</v>
      </c>
      <c r="K232" s="3069"/>
      <c r="L232" s="2128">
        <v>850000</v>
      </c>
      <c r="M232" s="3069" t="s">
        <v>112</v>
      </c>
      <c r="N232" s="3067">
        <v>45397</v>
      </c>
      <c r="O232" s="3067">
        <v>45408</v>
      </c>
      <c r="P232" s="3067"/>
      <c r="Q232" s="2136" t="s">
        <v>8125</v>
      </c>
      <c r="R232" s="2275" t="s">
        <v>17398</v>
      </c>
      <c r="S232" s="2128"/>
      <c r="T232" s="2128"/>
      <c r="U232" s="2129"/>
      <c r="V232" s="2129"/>
      <c r="W232" s="2129"/>
      <c r="X232" s="2281"/>
      <c r="Y232" s="2128"/>
      <c r="Z232" s="3067"/>
      <c r="AA232" s="3067">
        <v>45414</v>
      </c>
      <c r="AB232" s="3067"/>
      <c r="AC232" s="3066"/>
      <c r="AD232" s="3066"/>
      <c r="AE232" s="118">
        <v>2</v>
      </c>
    </row>
    <row r="233" spans="1:32">
      <c r="A233" s="3070">
        <v>45393</v>
      </c>
      <c r="B233" s="2289" t="s">
        <v>17199</v>
      </c>
      <c r="C233" s="2877" t="s">
        <v>16536</v>
      </c>
      <c r="D233" s="2877" t="s">
        <v>15131</v>
      </c>
      <c r="E233" s="2877" t="s">
        <v>655</v>
      </c>
      <c r="F233" s="2913" t="s">
        <v>17200</v>
      </c>
      <c r="G233" s="2877"/>
      <c r="H233" s="2289"/>
      <c r="I233" s="2289" t="s">
        <v>15369</v>
      </c>
      <c r="J233" s="2877" t="s">
        <v>7956</v>
      </c>
      <c r="K233" s="2877"/>
      <c r="L233" s="2144">
        <v>360622</v>
      </c>
      <c r="M233" s="2877" t="s">
        <v>112</v>
      </c>
      <c r="N233" s="3070">
        <v>45398</v>
      </c>
      <c r="O233" s="3070">
        <v>45411</v>
      </c>
      <c r="P233" s="3070">
        <v>45426</v>
      </c>
      <c r="Q233" s="2289" t="s">
        <v>8542</v>
      </c>
      <c r="R233" s="2877"/>
      <c r="S233" s="2144">
        <v>346616.82</v>
      </c>
      <c r="T233" s="2144">
        <v>388210.84</v>
      </c>
      <c r="U233" s="2145"/>
      <c r="V233" s="2145"/>
      <c r="W233" s="2145"/>
      <c r="X233" s="2146">
        <v>45426</v>
      </c>
      <c r="Y233" s="2260" t="s">
        <v>17465</v>
      </c>
      <c r="Z233" s="3070">
        <v>45435</v>
      </c>
      <c r="AA233" s="3070">
        <v>45435</v>
      </c>
      <c r="AB233" s="3070">
        <v>46529</v>
      </c>
      <c r="AC233" s="3078"/>
      <c r="AD233" s="3078"/>
      <c r="AE233" s="118">
        <v>1</v>
      </c>
    </row>
    <row r="234" spans="1:32" ht="15.75" thickBot="1">
      <c r="A234" s="3102">
        <v>45397</v>
      </c>
      <c r="B234" s="3103" t="s">
        <v>17201</v>
      </c>
      <c r="C234" s="3104" t="s">
        <v>2434</v>
      </c>
      <c r="D234" s="3104" t="s">
        <v>219</v>
      </c>
      <c r="E234" s="3104" t="s">
        <v>13948</v>
      </c>
      <c r="F234" s="3105" t="s">
        <v>17202</v>
      </c>
      <c r="G234" s="3104"/>
      <c r="H234" s="3103"/>
      <c r="I234" s="3103" t="s">
        <v>4837</v>
      </c>
      <c r="J234" s="3104" t="s">
        <v>642</v>
      </c>
      <c r="K234" s="3104"/>
      <c r="L234" s="465">
        <v>10795736</v>
      </c>
      <c r="M234" s="3104" t="s">
        <v>251</v>
      </c>
      <c r="N234" s="3102">
        <v>45525</v>
      </c>
      <c r="O234" s="3102">
        <v>45566</v>
      </c>
      <c r="P234" s="3102"/>
      <c r="Q234" s="3103"/>
      <c r="R234" s="3104"/>
      <c r="S234" s="465"/>
      <c r="T234" s="465"/>
      <c r="U234" s="1490"/>
      <c r="V234" s="1490"/>
      <c r="W234" s="1490"/>
      <c r="X234" s="1809"/>
      <c r="Y234" s="1829"/>
      <c r="Z234" s="3102"/>
      <c r="AA234" s="3102"/>
      <c r="AB234" s="3275" t="s">
        <v>18700</v>
      </c>
      <c r="AC234" s="2976"/>
      <c r="AD234" s="2976"/>
      <c r="AE234" s="118">
        <v>1</v>
      </c>
    </row>
    <row r="235" spans="1:32" ht="15.75" thickTop="1">
      <c r="A235" s="456">
        <v>45399</v>
      </c>
      <c r="B235" s="2292" t="s">
        <v>17206</v>
      </c>
      <c r="C235" s="943" t="s">
        <v>16536</v>
      </c>
      <c r="D235" s="943" t="s">
        <v>15131</v>
      </c>
      <c r="E235" s="943" t="s">
        <v>13949</v>
      </c>
      <c r="F235" s="713" t="s">
        <v>17207</v>
      </c>
      <c r="G235" s="943">
        <v>1</v>
      </c>
      <c r="H235" s="2292" t="s">
        <v>17208</v>
      </c>
      <c r="I235" s="2292" t="s">
        <v>15369</v>
      </c>
      <c r="J235" s="943" t="s">
        <v>7790</v>
      </c>
      <c r="K235" s="943"/>
      <c r="L235" s="457">
        <v>869962</v>
      </c>
      <c r="M235" s="943" t="s">
        <v>251</v>
      </c>
      <c r="N235" s="456">
        <v>45406</v>
      </c>
      <c r="O235" s="456">
        <v>45441</v>
      </c>
      <c r="P235" s="456">
        <v>45449</v>
      </c>
      <c r="Q235" s="2292" t="s">
        <v>576</v>
      </c>
      <c r="R235" s="943"/>
      <c r="S235" s="457">
        <v>851268.49</v>
      </c>
      <c r="T235" s="457">
        <v>953420.71</v>
      </c>
      <c r="U235" s="1474"/>
      <c r="V235" s="1474"/>
      <c r="W235" s="1474"/>
      <c r="X235" s="570">
        <v>45449</v>
      </c>
      <c r="Y235" s="1387" t="s">
        <v>17607</v>
      </c>
      <c r="Z235" s="456">
        <v>45462</v>
      </c>
      <c r="AA235" s="456">
        <v>45463</v>
      </c>
      <c r="AB235" s="456">
        <v>46556</v>
      </c>
      <c r="AC235" s="2976"/>
      <c r="AD235" s="2976"/>
      <c r="AE235" s="118">
        <v>1</v>
      </c>
    </row>
    <row r="236" spans="1:32">
      <c r="A236" s="3070">
        <v>45399</v>
      </c>
      <c r="B236" s="2289" t="s">
        <v>17212</v>
      </c>
      <c r="C236" s="2877" t="s">
        <v>16536</v>
      </c>
      <c r="D236" s="2877" t="s">
        <v>15131</v>
      </c>
      <c r="E236" s="2877" t="s">
        <v>13949</v>
      </c>
      <c r="F236" s="2913" t="s">
        <v>17207</v>
      </c>
      <c r="G236" s="2877">
        <v>2</v>
      </c>
      <c r="H236" s="2289" t="s">
        <v>17209</v>
      </c>
      <c r="I236" s="2289" t="s">
        <v>15369</v>
      </c>
      <c r="J236" s="2877" t="s">
        <v>7790</v>
      </c>
      <c r="K236" s="2877"/>
      <c r="L236" s="2144">
        <v>3217279</v>
      </c>
      <c r="M236" s="2877" t="s">
        <v>251</v>
      </c>
      <c r="N236" s="3070">
        <v>45406</v>
      </c>
      <c r="O236" s="3070">
        <v>45441</v>
      </c>
      <c r="P236" s="3070">
        <v>45449</v>
      </c>
      <c r="Q236" s="2289" t="s">
        <v>576</v>
      </c>
      <c r="R236" s="2275"/>
      <c r="S236" s="2144">
        <v>3138232.83</v>
      </c>
      <c r="T236" s="2144">
        <v>3514820.77</v>
      </c>
      <c r="U236" s="2145"/>
      <c r="V236" s="2145"/>
      <c r="W236" s="2145"/>
      <c r="X236" s="2146">
        <v>45449</v>
      </c>
      <c r="Y236" s="2144" t="s">
        <v>17608</v>
      </c>
      <c r="Z236" s="3070">
        <v>45462</v>
      </c>
      <c r="AA236" s="3070">
        <v>45463</v>
      </c>
      <c r="AB236" s="3070">
        <v>46556</v>
      </c>
      <c r="AC236" s="2976"/>
      <c r="AD236" s="2976"/>
      <c r="AE236" s="118">
        <v>1</v>
      </c>
    </row>
    <row r="237" spans="1:32">
      <c r="A237" s="3070">
        <v>45399</v>
      </c>
      <c r="B237" s="2289" t="s">
        <v>17213</v>
      </c>
      <c r="C237" s="2877" t="s">
        <v>16536</v>
      </c>
      <c r="D237" s="2877" t="s">
        <v>15131</v>
      </c>
      <c r="E237" s="2877" t="s">
        <v>13949</v>
      </c>
      <c r="F237" s="2913" t="s">
        <v>17207</v>
      </c>
      <c r="G237" s="2877">
        <v>3</v>
      </c>
      <c r="H237" s="2289" t="s">
        <v>17210</v>
      </c>
      <c r="I237" s="2289" t="s">
        <v>15369</v>
      </c>
      <c r="J237" s="2877" t="s">
        <v>7790</v>
      </c>
      <c r="K237" s="2877"/>
      <c r="L237" s="2144">
        <v>4591912</v>
      </c>
      <c r="M237" s="2877" t="s">
        <v>251</v>
      </c>
      <c r="N237" s="3070">
        <v>45406</v>
      </c>
      <c r="O237" s="3070">
        <v>45441</v>
      </c>
      <c r="P237" s="3070">
        <v>45449</v>
      </c>
      <c r="Q237" s="2289" t="s">
        <v>576</v>
      </c>
      <c r="R237" s="2877"/>
      <c r="S237" s="2144">
        <v>4511135.32</v>
      </c>
      <c r="T237" s="2144">
        <v>5052470.4400000004</v>
      </c>
      <c r="U237" s="2145"/>
      <c r="V237" s="2145"/>
      <c r="W237" s="2145"/>
      <c r="X237" s="2146">
        <v>45449</v>
      </c>
      <c r="Y237" s="2144" t="s">
        <v>17609</v>
      </c>
      <c r="Z237" s="3070">
        <v>45462</v>
      </c>
      <c r="AA237" s="3070">
        <v>45463</v>
      </c>
      <c r="AB237" s="3070">
        <v>46556</v>
      </c>
      <c r="AC237" s="2976"/>
      <c r="AD237" s="2976"/>
      <c r="AE237" s="118">
        <v>1</v>
      </c>
    </row>
    <row r="238" spans="1:32" ht="15.75" thickBot="1">
      <c r="A238" s="3109">
        <v>45399</v>
      </c>
      <c r="B238" s="2291" t="s">
        <v>17214</v>
      </c>
      <c r="C238" s="2290" t="s">
        <v>16536</v>
      </c>
      <c r="D238" s="2290" t="s">
        <v>15131</v>
      </c>
      <c r="E238" s="2290" t="s">
        <v>13949</v>
      </c>
      <c r="F238" s="2912" t="s">
        <v>17207</v>
      </c>
      <c r="G238" s="2290">
        <v>4</v>
      </c>
      <c r="H238" s="2291" t="s">
        <v>17211</v>
      </c>
      <c r="I238" s="2291" t="s">
        <v>15369</v>
      </c>
      <c r="J238" s="2290" t="s">
        <v>7790</v>
      </c>
      <c r="K238" s="2290"/>
      <c r="L238" s="2121">
        <v>9699428</v>
      </c>
      <c r="M238" s="2290" t="s">
        <v>251</v>
      </c>
      <c r="N238" s="3109">
        <v>45406</v>
      </c>
      <c r="O238" s="3109">
        <v>45441</v>
      </c>
      <c r="P238" s="3109">
        <v>45449</v>
      </c>
      <c r="Q238" s="2291" t="s">
        <v>576</v>
      </c>
      <c r="R238" s="2290"/>
      <c r="S238" s="2121">
        <v>9376349.6099999994</v>
      </c>
      <c r="T238" s="2121">
        <v>10501511.560000001</v>
      </c>
      <c r="U238" s="2122"/>
      <c r="V238" s="2122"/>
      <c r="W238" s="2122"/>
      <c r="X238" s="2123">
        <v>45449</v>
      </c>
      <c r="Y238" s="2246" t="s">
        <v>17610</v>
      </c>
      <c r="Z238" s="3109">
        <v>45462</v>
      </c>
      <c r="AA238" s="3109">
        <v>45463</v>
      </c>
      <c r="AB238" s="3109">
        <v>46556</v>
      </c>
      <c r="AC238" s="2976"/>
      <c r="AD238" s="2976"/>
      <c r="AE238" s="118">
        <v>1</v>
      </c>
    </row>
    <row r="239" spans="1:32" ht="15.75" thickTop="1">
      <c r="A239" s="252">
        <v>45393</v>
      </c>
      <c r="B239" s="3110" t="s">
        <v>17216</v>
      </c>
      <c r="C239" s="363" t="s">
        <v>16536</v>
      </c>
      <c r="D239" s="363" t="s">
        <v>15131</v>
      </c>
      <c r="E239" s="363" t="s">
        <v>15813</v>
      </c>
      <c r="F239" s="362" t="s">
        <v>17217</v>
      </c>
      <c r="G239" s="363"/>
      <c r="H239" s="3110"/>
      <c r="I239" s="3110" t="s">
        <v>15369</v>
      </c>
      <c r="J239" s="363" t="s">
        <v>93</v>
      </c>
      <c r="K239" s="363"/>
      <c r="L239" s="364">
        <v>45602115</v>
      </c>
      <c r="M239" s="363" t="s">
        <v>251</v>
      </c>
      <c r="N239" s="252">
        <v>45401</v>
      </c>
      <c r="O239" s="252">
        <v>45436</v>
      </c>
      <c r="P239" s="252">
        <v>45446</v>
      </c>
      <c r="Q239" s="3110" t="s">
        <v>576</v>
      </c>
      <c r="R239" s="363"/>
      <c r="S239" s="364">
        <v>46504999.590000004</v>
      </c>
      <c r="T239" s="364">
        <v>52085599.539999999</v>
      </c>
      <c r="U239" s="1473"/>
      <c r="V239" s="1473"/>
      <c r="W239" s="1473"/>
      <c r="X239" s="681">
        <v>45446</v>
      </c>
      <c r="Y239" s="364" t="s">
        <v>17568</v>
      </c>
      <c r="Z239" s="252">
        <v>45455</v>
      </c>
      <c r="AA239" s="252">
        <v>45456</v>
      </c>
      <c r="AB239" s="252">
        <v>46549</v>
      </c>
      <c r="AC239" s="2976"/>
      <c r="AD239" s="2976"/>
      <c r="AE239" s="118">
        <v>1</v>
      </c>
    </row>
    <row r="240" spans="1:32" ht="30">
      <c r="A240" s="3070">
        <v>45393</v>
      </c>
      <c r="B240" s="2289" t="s">
        <v>17223</v>
      </c>
      <c r="C240" s="2877" t="s">
        <v>2434</v>
      </c>
      <c r="D240" s="2877" t="s">
        <v>3204</v>
      </c>
      <c r="E240" s="2877" t="s">
        <v>13950</v>
      </c>
      <c r="F240" s="2913" t="s">
        <v>17224</v>
      </c>
      <c r="G240" s="2877"/>
      <c r="H240" s="2289"/>
      <c r="I240" s="2289" t="s">
        <v>15369</v>
      </c>
      <c r="J240" s="2877" t="s">
        <v>642</v>
      </c>
      <c r="K240" s="2877"/>
      <c r="L240" s="2144">
        <v>4480000</v>
      </c>
      <c r="M240" s="2877" t="s">
        <v>251</v>
      </c>
      <c r="N240" s="3070">
        <v>45397</v>
      </c>
      <c r="O240" s="3070">
        <v>45447</v>
      </c>
      <c r="P240" s="3070">
        <v>45510</v>
      </c>
      <c r="Q240" s="2289" t="s">
        <v>9313</v>
      </c>
      <c r="R240" s="2877"/>
      <c r="S240" s="2144">
        <v>2998000</v>
      </c>
      <c r="T240" s="2144">
        <v>3357760</v>
      </c>
      <c r="U240" s="2145"/>
      <c r="V240" s="2145"/>
      <c r="W240" s="2145"/>
      <c r="X240" s="2146">
        <v>45510</v>
      </c>
      <c r="Y240" s="2260" t="s">
        <v>18081</v>
      </c>
      <c r="Z240" s="3070">
        <v>45527</v>
      </c>
      <c r="AA240" s="3070">
        <v>45541</v>
      </c>
      <c r="AB240" s="3070">
        <v>46987</v>
      </c>
      <c r="AC240" s="2976"/>
      <c r="AD240" s="2976"/>
      <c r="AE240" s="118">
        <v>5</v>
      </c>
    </row>
    <row r="241" spans="1:31">
      <c r="A241" s="3070" t="s">
        <v>17098</v>
      </c>
      <c r="B241" s="2289" t="s">
        <v>17233</v>
      </c>
      <c r="C241" s="2877" t="s">
        <v>16688</v>
      </c>
      <c r="D241" s="2877" t="s">
        <v>7475</v>
      </c>
      <c r="E241" s="2877" t="s">
        <v>13951</v>
      </c>
      <c r="F241" s="2913" t="s">
        <v>17234</v>
      </c>
      <c r="G241" s="2877"/>
      <c r="H241" s="2289"/>
      <c r="I241" s="2289" t="s">
        <v>15369</v>
      </c>
      <c r="J241" s="2877" t="s">
        <v>498</v>
      </c>
      <c r="K241" s="2877"/>
      <c r="L241" s="2144">
        <v>220000</v>
      </c>
      <c r="M241" s="2877" t="s">
        <v>112</v>
      </c>
      <c r="N241" s="3070">
        <v>45398</v>
      </c>
      <c r="O241" s="3070">
        <v>45411</v>
      </c>
      <c r="P241" s="3070">
        <v>45455</v>
      </c>
      <c r="Q241" s="2289" t="s">
        <v>17612</v>
      </c>
      <c r="R241" s="2275"/>
      <c r="S241" s="2144">
        <v>210591.59</v>
      </c>
      <c r="T241" s="2144">
        <v>254815.82</v>
      </c>
      <c r="U241" s="2145"/>
      <c r="V241" s="2145"/>
      <c r="W241" s="2145"/>
      <c r="X241" s="2146">
        <v>45455</v>
      </c>
      <c r="Y241" s="2144" t="s">
        <v>17631</v>
      </c>
      <c r="Z241" s="3070">
        <v>45462</v>
      </c>
      <c r="AA241" s="3070">
        <v>45463</v>
      </c>
      <c r="AB241" s="2877"/>
      <c r="AC241" s="2976"/>
      <c r="AD241" s="2976"/>
      <c r="AE241" s="118">
        <v>5</v>
      </c>
    </row>
    <row r="242" spans="1:31">
      <c r="A242" s="3070">
        <v>45394</v>
      </c>
      <c r="B242" s="2289" t="s">
        <v>17236</v>
      </c>
      <c r="C242" s="2877" t="s">
        <v>16688</v>
      </c>
      <c r="D242" s="2877" t="s">
        <v>7475</v>
      </c>
      <c r="E242" s="2877" t="s">
        <v>13951</v>
      </c>
      <c r="F242" s="2913" t="s">
        <v>17237</v>
      </c>
      <c r="G242" s="2877"/>
      <c r="H242" s="2289"/>
      <c r="I242" s="2289" t="s">
        <v>15369</v>
      </c>
      <c r="J242" s="2877" t="s">
        <v>1676</v>
      </c>
      <c r="K242" s="2877"/>
      <c r="L242" s="2144">
        <v>250000</v>
      </c>
      <c r="M242" s="2877" t="s">
        <v>112</v>
      </c>
      <c r="N242" s="3070">
        <v>45399</v>
      </c>
      <c r="O242" s="3070">
        <v>45411</v>
      </c>
      <c r="P242" s="3070">
        <v>45426</v>
      </c>
      <c r="Q242" s="2289" t="s">
        <v>17469</v>
      </c>
      <c r="R242" s="2275"/>
      <c r="S242" s="2144">
        <v>104662</v>
      </c>
      <c r="T242" s="2144">
        <v>126641.02</v>
      </c>
      <c r="U242" s="2145"/>
      <c r="V242" s="2145"/>
      <c r="W242" s="2145"/>
      <c r="X242" s="2146">
        <v>45426</v>
      </c>
      <c r="Y242" s="2144" t="s">
        <v>17468</v>
      </c>
      <c r="Z242" s="3070">
        <v>45447</v>
      </c>
      <c r="AA242" s="3070">
        <v>45448</v>
      </c>
      <c r="AB242" s="2877"/>
      <c r="AC242" s="2976"/>
      <c r="AD242" s="2976"/>
      <c r="AE242" s="118">
        <v>2</v>
      </c>
    </row>
    <row r="243" spans="1:31">
      <c r="A243" s="3070">
        <v>45394</v>
      </c>
      <c r="B243" s="2289" t="s">
        <v>17249</v>
      </c>
      <c r="C243" s="2877" t="s">
        <v>16536</v>
      </c>
      <c r="D243" s="2877" t="s">
        <v>70</v>
      </c>
      <c r="E243" s="2877" t="s">
        <v>15813</v>
      </c>
      <c r="F243" s="2913" t="s">
        <v>17251</v>
      </c>
      <c r="G243" s="2877"/>
      <c r="H243" s="2289"/>
      <c r="I243" s="2289" t="s">
        <v>16672</v>
      </c>
      <c r="J243" s="2877" t="s">
        <v>17252</v>
      </c>
      <c r="K243" s="2877"/>
      <c r="L243" s="2144">
        <v>55000000</v>
      </c>
      <c r="M243" s="2877" t="s">
        <v>16391</v>
      </c>
      <c r="N243" s="3070">
        <v>45400</v>
      </c>
      <c r="O243" s="3070">
        <v>45434</v>
      </c>
      <c r="P243" s="3070">
        <v>45446</v>
      </c>
      <c r="Q243" s="2289" t="s">
        <v>17576</v>
      </c>
      <c r="R243" s="2877"/>
      <c r="S243" s="2144"/>
      <c r="T243" s="2144"/>
      <c r="U243" s="2145"/>
      <c r="V243" s="2145"/>
      <c r="W243" s="2145"/>
      <c r="X243" s="2146"/>
      <c r="Y243" s="2144"/>
      <c r="Z243" s="3070"/>
      <c r="AA243" s="3070">
        <v>45447</v>
      </c>
      <c r="AB243" s="3070"/>
      <c r="AC243" s="2976"/>
      <c r="AD243" s="2976"/>
      <c r="AE243" s="118">
        <v>8</v>
      </c>
    </row>
    <row r="244" spans="1:31" ht="15.75" thickBot="1">
      <c r="A244" s="612">
        <v>45394</v>
      </c>
      <c r="B244" s="2911" t="s">
        <v>17250</v>
      </c>
      <c r="C244" s="609" t="s">
        <v>16537</v>
      </c>
      <c r="D244" s="609" t="s">
        <v>70</v>
      </c>
      <c r="E244" s="609" t="s">
        <v>13949</v>
      </c>
      <c r="F244" s="610" t="s">
        <v>17253</v>
      </c>
      <c r="G244" s="609"/>
      <c r="H244" s="2911"/>
      <c r="I244" s="2911" t="s">
        <v>16672</v>
      </c>
      <c r="J244" s="609" t="s">
        <v>8554</v>
      </c>
      <c r="K244" s="609"/>
      <c r="L244" s="417">
        <v>500000000</v>
      </c>
      <c r="M244" s="609" t="s">
        <v>16391</v>
      </c>
      <c r="N244" s="612">
        <v>45401</v>
      </c>
      <c r="O244" s="612">
        <v>45434</v>
      </c>
      <c r="P244" s="612">
        <v>45446</v>
      </c>
      <c r="Q244" s="2911" t="s">
        <v>17570</v>
      </c>
      <c r="R244" s="609"/>
      <c r="S244" s="417"/>
      <c r="T244" s="417"/>
      <c r="U244" s="1480"/>
      <c r="V244" s="1480"/>
      <c r="W244" s="1480"/>
      <c r="X244" s="513"/>
      <c r="Y244" s="1553"/>
      <c r="Z244" s="612"/>
      <c r="AA244" s="612">
        <v>45447</v>
      </c>
      <c r="AB244" s="2911"/>
      <c r="AC244" s="2976"/>
      <c r="AD244" s="2976"/>
      <c r="AE244" s="118">
        <v>53</v>
      </c>
    </row>
    <row r="245" spans="1:31" ht="15.75" thickTop="1">
      <c r="A245" s="456">
        <v>45405</v>
      </c>
      <c r="B245" s="2292" t="s">
        <v>17273</v>
      </c>
      <c r="C245" s="943" t="s">
        <v>16536</v>
      </c>
      <c r="D245" s="943" t="s">
        <v>15131</v>
      </c>
      <c r="E245" s="943" t="s">
        <v>13949</v>
      </c>
      <c r="F245" s="713" t="s">
        <v>17272</v>
      </c>
      <c r="G245" s="943">
        <v>1</v>
      </c>
      <c r="H245" s="2292" t="s">
        <v>17276</v>
      </c>
      <c r="I245" s="2292" t="s">
        <v>15369</v>
      </c>
      <c r="J245" s="943" t="s">
        <v>3438</v>
      </c>
      <c r="K245" s="943"/>
      <c r="L245" s="457">
        <v>5073615</v>
      </c>
      <c r="M245" s="943" t="s">
        <v>251</v>
      </c>
      <c r="N245" s="456">
        <v>45407</v>
      </c>
      <c r="O245" s="456">
        <v>45443</v>
      </c>
      <c r="P245" s="456">
        <v>45460</v>
      </c>
      <c r="Q245" s="2292" t="s">
        <v>5805</v>
      </c>
      <c r="R245" s="943"/>
      <c r="S245" s="457">
        <v>5036831.4800000004</v>
      </c>
      <c r="T245" s="457">
        <v>5641251.2599999998</v>
      </c>
      <c r="U245" s="1474"/>
      <c r="V245" s="1474"/>
      <c r="W245" s="1474"/>
      <c r="X245" s="570">
        <v>45460</v>
      </c>
      <c r="Y245" s="1387" t="s">
        <v>17653</v>
      </c>
      <c r="Z245" s="456">
        <v>45490</v>
      </c>
      <c r="AA245" s="456">
        <v>45502</v>
      </c>
      <c r="AB245" s="456">
        <v>46584</v>
      </c>
      <c r="AC245" s="2976"/>
      <c r="AD245" s="2976"/>
      <c r="AE245" s="118">
        <v>1</v>
      </c>
    </row>
    <row r="246" spans="1:31">
      <c r="A246" s="3067">
        <v>45405</v>
      </c>
      <c r="B246" s="3068" t="s">
        <v>17274</v>
      </c>
      <c r="C246" s="3069" t="s">
        <v>16536</v>
      </c>
      <c r="D246" s="3069" t="s">
        <v>15131</v>
      </c>
      <c r="E246" s="3069" t="s">
        <v>13949</v>
      </c>
      <c r="F246" s="2914" t="s">
        <v>17272</v>
      </c>
      <c r="G246" s="3069">
        <v>2</v>
      </c>
      <c r="H246" s="3068" t="s">
        <v>17277</v>
      </c>
      <c r="I246" s="3068" t="s">
        <v>242</v>
      </c>
      <c r="J246" s="3069" t="s">
        <v>3438</v>
      </c>
      <c r="K246" s="3069"/>
      <c r="L246" s="2128">
        <v>170914</v>
      </c>
      <c r="M246" s="3069" t="s">
        <v>251</v>
      </c>
      <c r="N246" s="3067">
        <v>45407</v>
      </c>
      <c r="O246" s="3067">
        <v>45443</v>
      </c>
      <c r="P246" s="3067"/>
      <c r="Q246" s="2136" t="s">
        <v>304</v>
      </c>
      <c r="R246" s="3069"/>
      <c r="S246" s="2128"/>
      <c r="T246" s="2128"/>
      <c r="U246" s="2094"/>
      <c r="V246" s="2094"/>
      <c r="W246" s="2094"/>
      <c r="X246" s="2281"/>
      <c r="Y246" s="2738"/>
      <c r="Z246" s="3067"/>
      <c r="AA246" s="3067">
        <v>45449</v>
      </c>
      <c r="AB246" s="3069" t="s">
        <v>17599</v>
      </c>
      <c r="AC246" s="2976"/>
      <c r="AD246" s="2976"/>
      <c r="AE246" s="118">
        <v>0</v>
      </c>
    </row>
    <row r="247" spans="1:31" ht="15.75" thickBot="1">
      <c r="A247" s="3131">
        <v>45405</v>
      </c>
      <c r="B247" s="3118" t="s">
        <v>17275</v>
      </c>
      <c r="C247" s="3119" t="s">
        <v>16536</v>
      </c>
      <c r="D247" s="3119" t="s">
        <v>15131</v>
      </c>
      <c r="E247" s="3119" t="s">
        <v>13949</v>
      </c>
      <c r="F247" s="3136" t="s">
        <v>17272</v>
      </c>
      <c r="G247" s="3119">
        <v>3</v>
      </c>
      <c r="H247" s="3118" t="s">
        <v>17247</v>
      </c>
      <c r="I247" s="3118" t="s">
        <v>242</v>
      </c>
      <c r="J247" s="3119" t="s">
        <v>3438</v>
      </c>
      <c r="K247" s="3119"/>
      <c r="L247" s="2134">
        <v>2546205</v>
      </c>
      <c r="M247" s="3119" t="s">
        <v>251</v>
      </c>
      <c r="N247" s="3131">
        <v>45407</v>
      </c>
      <c r="O247" s="3131">
        <v>45443</v>
      </c>
      <c r="P247" s="3131"/>
      <c r="Q247" s="2137" t="s">
        <v>304</v>
      </c>
      <c r="R247" s="3119"/>
      <c r="S247" s="2134"/>
      <c r="T247" s="2134"/>
      <c r="U247" s="2095"/>
      <c r="V247" s="2095"/>
      <c r="W247" s="2095"/>
      <c r="X247" s="2163"/>
      <c r="Y247" s="2418"/>
      <c r="Z247" s="3131"/>
      <c r="AA247" s="3131">
        <v>45449</v>
      </c>
      <c r="AB247" s="3119" t="s">
        <v>17599</v>
      </c>
      <c r="AC247" s="2976"/>
      <c r="AD247" s="2976"/>
      <c r="AE247" s="118">
        <v>0</v>
      </c>
    </row>
    <row r="248" spans="1:31" ht="31.5" thickTop="1" thickBot="1">
      <c r="A248" s="899">
        <v>45399</v>
      </c>
      <c r="B248" s="3123" t="s">
        <v>17270</v>
      </c>
      <c r="C248" s="286" t="s">
        <v>58</v>
      </c>
      <c r="D248" s="286" t="s">
        <v>15443</v>
      </c>
      <c r="E248" s="286" t="s">
        <v>13948</v>
      </c>
      <c r="F248" s="261" t="s">
        <v>17271</v>
      </c>
      <c r="G248" s="286"/>
      <c r="H248" s="3123"/>
      <c r="I248" s="3123" t="s">
        <v>15369</v>
      </c>
      <c r="J248" s="286" t="s">
        <v>2060</v>
      </c>
      <c r="K248" s="286" t="s">
        <v>16517</v>
      </c>
      <c r="L248" s="499">
        <v>1120000</v>
      </c>
      <c r="M248" s="286" t="s">
        <v>251</v>
      </c>
      <c r="N248" s="899">
        <v>45411</v>
      </c>
      <c r="O248" s="899">
        <v>45447</v>
      </c>
      <c r="P248" s="899">
        <v>45463</v>
      </c>
      <c r="Q248" s="3123" t="s">
        <v>17630</v>
      </c>
      <c r="R248" s="286"/>
      <c r="S248" s="499">
        <v>909900</v>
      </c>
      <c r="T248" s="499">
        <v>1100979</v>
      </c>
      <c r="U248" s="1545"/>
      <c r="V248" s="1545"/>
      <c r="W248" s="1545"/>
      <c r="X248" s="682">
        <v>45463</v>
      </c>
      <c r="Y248" s="1752" t="s">
        <v>17686</v>
      </c>
      <c r="Z248" s="899">
        <v>45492</v>
      </c>
      <c r="AA248" s="899">
        <v>45499</v>
      </c>
      <c r="AB248" s="899">
        <v>45642</v>
      </c>
      <c r="AC248" s="2976"/>
      <c r="AD248" s="2976"/>
      <c r="AE248" s="118">
        <v>2</v>
      </c>
    </row>
    <row r="249" spans="1:31" ht="15.75" thickTop="1">
      <c r="A249" s="3239">
        <v>45464</v>
      </c>
      <c r="B249" s="3240" t="s">
        <v>17482</v>
      </c>
      <c r="C249" s="3241" t="s">
        <v>16536</v>
      </c>
      <c r="D249" s="3241" t="s">
        <v>15131</v>
      </c>
      <c r="E249" s="3241" t="s">
        <v>13949</v>
      </c>
      <c r="F249" s="3242" t="s">
        <v>17480</v>
      </c>
      <c r="G249" s="3241">
        <v>1</v>
      </c>
      <c r="H249" s="3240" t="s">
        <v>17483</v>
      </c>
      <c r="I249" s="3240" t="s">
        <v>1313</v>
      </c>
      <c r="J249" s="3241" t="s">
        <v>14498</v>
      </c>
      <c r="K249" s="3241"/>
      <c r="L249" s="1645">
        <v>136124</v>
      </c>
      <c r="M249" s="3241" t="s">
        <v>251</v>
      </c>
      <c r="N249" s="3239"/>
      <c r="O249" s="3239"/>
      <c r="P249" s="3239"/>
      <c r="Q249" s="3240"/>
      <c r="R249" s="3241"/>
      <c r="S249" s="1645"/>
      <c r="T249" s="1645"/>
      <c r="U249" s="1647"/>
      <c r="V249" s="1647"/>
      <c r="W249" s="1647"/>
      <c r="X249" s="3243"/>
      <c r="Y249" s="3244"/>
      <c r="Z249" s="3239"/>
      <c r="AA249" s="3239"/>
      <c r="AB249" s="3239"/>
      <c r="AC249" s="2976"/>
      <c r="AD249" s="2976"/>
    </row>
    <row r="250" spans="1:31" ht="15.75" thickBot="1">
      <c r="A250" s="3245">
        <v>45464</v>
      </c>
      <c r="B250" s="3246" t="s">
        <v>17481</v>
      </c>
      <c r="C250" s="3247" t="s">
        <v>16536</v>
      </c>
      <c r="D250" s="3247" t="s">
        <v>15131</v>
      </c>
      <c r="E250" s="3247" t="s">
        <v>13949</v>
      </c>
      <c r="F250" s="3248" t="s">
        <v>17480</v>
      </c>
      <c r="G250" s="3247">
        <v>2</v>
      </c>
      <c r="H250" s="3246" t="s">
        <v>17484</v>
      </c>
      <c r="I250" s="3246" t="s">
        <v>1313</v>
      </c>
      <c r="J250" s="3247" t="s">
        <v>14498</v>
      </c>
      <c r="K250" s="3247"/>
      <c r="L250" s="3249">
        <v>34168</v>
      </c>
      <c r="M250" s="3247" t="s">
        <v>251</v>
      </c>
      <c r="N250" s="3245"/>
      <c r="O250" s="3245"/>
      <c r="P250" s="3245"/>
      <c r="Q250" s="3246"/>
      <c r="R250" s="3247"/>
      <c r="S250" s="3249"/>
      <c r="T250" s="3249"/>
      <c r="U250" s="3250"/>
      <c r="V250" s="3250"/>
      <c r="W250" s="3250"/>
      <c r="X250" s="3251"/>
      <c r="Y250" s="3252"/>
      <c r="Z250" s="3245"/>
      <c r="AA250" s="3245"/>
      <c r="AB250" s="3245"/>
      <c r="AC250" s="2976"/>
      <c r="AD250" s="2976"/>
    </row>
    <row r="251" spans="1:31" ht="15.75" thickTop="1">
      <c r="A251" s="252">
        <v>45400</v>
      </c>
      <c r="B251" s="3110" t="s">
        <v>17287</v>
      </c>
      <c r="C251" s="363" t="s">
        <v>52</v>
      </c>
      <c r="D251" s="363" t="s">
        <v>16704</v>
      </c>
      <c r="E251" s="363" t="s">
        <v>655</v>
      </c>
      <c r="F251" s="362" t="s">
        <v>17288</v>
      </c>
      <c r="G251" s="363"/>
      <c r="H251" s="3110"/>
      <c r="I251" s="3110" t="s">
        <v>15369</v>
      </c>
      <c r="J251" s="363" t="s">
        <v>484</v>
      </c>
      <c r="K251" s="363"/>
      <c r="L251" s="364">
        <v>550000</v>
      </c>
      <c r="M251" s="363" t="s">
        <v>112</v>
      </c>
      <c r="N251" s="252">
        <v>45415</v>
      </c>
      <c r="O251" s="252">
        <v>45429</v>
      </c>
      <c r="P251" s="252">
        <v>45434</v>
      </c>
      <c r="Q251" s="3110" t="s">
        <v>1861</v>
      </c>
      <c r="R251" s="363"/>
      <c r="S251" s="364">
        <v>344500</v>
      </c>
      <c r="T251" s="364">
        <v>416845</v>
      </c>
      <c r="U251" s="1473"/>
      <c r="V251" s="1473"/>
      <c r="W251" s="1473"/>
      <c r="X251" s="681">
        <v>45434</v>
      </c>
      <c r="Y251" s="364" t="s">
        <v>17523</v>
      </c>
      <c r="Z251" s="252">
        <v>45447</v>
      </c>
      <c r="AA251" s="252">
        <v>45447</v>
      </c>
      <c r="AB251" s="252"/>
      <c r="AC251" s="2976"/>
      <c r="AD251" s="2976"/>
      <c r="AE251" s="118">
        <v>1</v>
      </c>
    </row>
    <row r="252" spans="1:31">
      <c r="A252" s="3070">
        <v>45425</v>
      </c>
      <c r="B252" s="2289" t="s">
        <v>17463</v>
      </c>
      <c r="C252" s="2877" t="s">
        <v>16559</v>
      </c>
      <c r="D252" s="2877" t="s">
        <v>9080</v>
      </c>
      <c r="E252" s="2877" t="s">
        <v>13948</v>
      </c>
      <c r="F252" s="2913" t="s">
        <v>17464</v>
      </c>
      <c r="G252" s="2877"/>
      <c r="H252" s="2289"/>
      <c r="I252" s="2289" t="s">
        <v>15369</v>
      </c>
      <c r="J252" s="2877" t="s">
        <v>2600</v>
      </c>
      <c r="K252" s="2877"/>
      <c r="L252" s="2144">
        <v>2290000</v>
      </c>
      <c r="M252" s="2877" t="s">
        <v>216</v>
      </c>
      <c r="N252" s="3070">
        <v>45439</v>
      </c>
      <c r="O252" s="3070">
        <v>45456</v>
      </c>
      <c r="P252" s="3070">
        <v>45482</v>
      </c>
      <c r="Q252" s="2289" t="s">
        <v>17820</v>
      </c>
      <c r="R252" s="2877"/>
      <c r="S252" s="2144">
        <v>1881200</v>
      </c>
      <c r="T252" s="2144">
        <v>2276252</v>
      </c>
      <c r="U252" s="2145"/>
      <c r="V252" s="2145"/>
      <c r="W252" s="2145"/>
      <c r="X252" s="2146">
        <v>45482</v>
      </c>
      <c r="Y252" s="2144" t="s">
        <v>17858</v>
      </c>
      <c r="Z252" s="3070">
        <v>45505</v>
      </c>
      <c r="AA252" s="3070">
        <v>45518</v>
      </c>
      <c r="AB252" s="3070">
        <v>45869</v>
      </c>
      <c r="AC252" s="2976"/>
      <c r="AD252" s="2976"/>
      <c r="AE252" s="118">
        <v>8</v>
      </c>
    </row>
    <row r="253" spans="1:31">
      <c r="A253" s="3070">
        <v>45401</v>
      </c>
      <c r="B253" s="2289" t="s">
        <v>17289</v>
      </c>
      <c r="C253" s="2877" t="s">
        <v>52</v>
      </c>
      <c r="D253" s="2877" t="s">
        <v>16704</v>
      </c>
      <c r="E253" s="2877" t="s">
        <v>13951</v>
      </c>
      <c r="F253" s="2913" t="s">
        <v>17290</v>
      </c>
      <c r="G253" s="2877"/>
      <c r="H253" s="2289"/>
      <c r="I253" s="2289" t="s">
        <v>15369</v>
      </c>
      <c r="J253" s="2877" t="s">
        <v>17291</v>
      </c>
      <c r="K253" s="2877"/>
      <c r="L253" s="2144">
        <v>4780000</v>
      </c>
      <c r="M253" s="2877" t="s">
        <v>112</v>
      </c>
      <c r="N253" s="3070">
        <v>45412</v>
      </c>
      <c r="O253" s="3070">
        <v>45429</v>
      </c>
      <c r="P253" s="3070">
        <v>45441</v>
      </c>
      <c r="Q253" s="2289" t="s">
        <v>17545</v>
      </c>
      <c r="R253" s="2877"/>
      <c r="S253" s="2144">
        <v>3406475.46</v>
      </c>
      <c r="T253" s="2144">
        <v>4121835.31</v>
      </c>
      <c r="U253" s="2145"/>
      <c r="V253" s="2145"/>
      <c r="W253" s="2145"/>
      <c r="X253" s="2146">
        <v>45441</v>
      </c>
      <c r="Y253" s="2144" t="s">
        <v>17556</v>
      </c>
      <c r="Z253" s="3070">
        <v>45457</v>
      </c>
      <c r="AA253" s="3070">
        <v>45460</v>
      </c>
      <c r="AB253" s="3070"/>
      <c r="AC253" s="2976"/>
      <c r="AD253" s="2976"/>
      <c r="AE253" s="118">
        <v>2</v>
      </c>
    </row>
    <row r="254" spans="1:31">
      <c r="A254" s="3070">
        <v>45407</v>
      </c>
      <c r="B254" s="2289" t="s">
        <v>17343</v>
      </c>
      <c r="C254" s="2877" t="s">
        <v>16559</v>
      </c>
      <c r="D254" s="2877" t="s">
        <v>9080</v>
      </c>
      <c r="E254" s="2877" t="s">
        <v>655</v>
      </c>
      <c r="F254" s="2913" t="s">
        <v>17344</v>
      </c>
      <c r="G254" s="2877"/>
      <c r="H254" s="2289"/>
      <c r="I254" s="2289" t="s">
        <v>15369</v>
      </c>
      <c r="J254" s="2877" t="s">
        <v>14426</v>
      </c>
      <c r="K254" s="2877"/>
      <c r="L254" s="2144">
        <v>800000</v>
      </c>
      <c r="M254" s="2877" t="s">
        <v>112</v>
      </c>
      <c r="N254" s="3070">
        <v>45418</v>
      </c>
      <c r="O254" s="3070">
        <v>45429</v>
      </c>
      <c r="P254" s="3070">
        <v>45440</v>
      </c>
      <c r="Q254" s="2289" t="s">
        <v>17495</v>
      </c>
      <c r="R254" s="2877"/>
      <c r="S254" s="2144">
        <v>732700</v>
      </c>
      <c r="T254" s="2144">
        <v>886567</v>
      </c>
      <c r="U254" s="2145"/>
      <c r="V254" s="2145"/>
      <c r="W254" s="2145"/>
      <c r="X254" s="2146">
        <v>45440</v>
      </c>
      <c r="Y254" s="2144" t="s">
        <v>17546</v>
      </c>
      <c r="Z254" s="3070">
        <v>45447</v>
      </c>
      <c r="AA254" s="3070">
        <v>45447</v>
      </c>
      <c r="AB254" s="3070">
        <v>45811</v>
      </c>
      <c r="AC254" s="2976"/>
      <c r="AD254" s="2976"/>
      <c r="AE254" s="118">
        <v>3</v>
      </c>
    </row>
    <row r="255" spans="1:31">
      <c r="A255" s="3070">
        <v>45401</v>
      </c>
      <c r="B255" s="2289" t="s">
        <v>17301</v>
      </c>
      <c r="C255" s="2877" t="s">
        <v>16688</v>
      </c>
      <c r="D255" s="2877" t="s">
        <v>361</v>
      </c>
      <c r="E255" s="2877" t="s">
        <v>13950</v>
      </c>
      <c r="F255" s="2913" t="s">
        <v>17302</v>
      </c>
      <c r="G255" s="2877"/>
      <c r="H255" s="2289"/>
      <c r="I255" s="2289" t="s">
        <v>15369</v>
      </c>
      <c r="J255" s="3115" t="s">
        <v>8460</v>
      </c>
      <c r="K255" s="2877" t="s">
        <v>17303</v>
      </c>
      <c r="L255" s="2144">
        <v>4545200</v>
      </c>
      <c r="M255" s="2877" t="s">
        <v>251</v>
      </c>
      <c r="N255" s="3070">
        <v>45433</v>
      </c>
      <c r="O255" s="3070">
        <v>45467</v>
      </c>
      <c r="P255" s="3070">
        <v>45482</v>
      </c>
      <c r="Q255" s="2289" t="s">
        <v>17824</v>
      </c>
      <c r="R255" s="2877"/>
      <c r="S255" s="2144">
        <v>2656318</v>
      </c>
      <c r="T255" s="2144">
        <v>3214145</v>
      </c>
      <c r="U255" s="2145"/>
      <c r="V255" s="2145"/>
      <c r="W255" s="2145"/>
      <c r="X255" s="2146">
        <v>45483</v>
      </c>
      <c r="Y255" s="2144" t="s">
        <v>17863</v>
      </c>
      <c r="Z255" s="3070">
        <v>45523</v>
      </c>
      <c r="AA255" s="3070">
        <v>45541</v>
      </c>
      <c r="AB255" s="2289"/>
      <c r="AC255" s="2976"/>
      <c r="AD255" s="2976"/>
      <c r="AE255" s="118">
        <v>4</v>
      </c>
    </row>
    <row r="256" spans="1:31">
      <c r="A256" s="3102">
        <v>45401</v>
      </c>
      <c r="B256" s="3103" t="s">
        <v>17300</v>
      </c>
      <c r="C256" s="3104" t="s">
        <v>16688</v>
      </c>
      <c r="D256" s="3104" t="s">
        <v>361</v>
      </c>
      <c r="E256" s="3104" t="s">
        <v>13950</v>
      </c>
      <c r="F256" s="3105" t="s">
        <v>17304</v>
      </c>
      <c r="G256" s="3104"/>
      <c r="H256" s="3103"/>
      <c r="I256" s="3103" t="s">
        <v>15373</v>
      </c>
      <c r="J256" s="3209" t="s">
        <v>8460</v>
      </c>
      <c r="K256" s="3104" t="s">
        <v>17305</v>
      </c>
      <c r="L256" s="465">
        <v>661120</v>
      </c>
      <c r="M256" s="3104" t="s">
        <v>251</v>
      </c>
      <c r="N256" s="3102">
        <v>45433</v>
      </c>
      <c r="O256" s="3102">
        <v>45467</v>
      </c>
      <c r="P256" s="3102">
        <v>45569</v>
      </c>
      <c r="Q256" s="3103" t="s">
        <v>11417</v>
      </c>
      <c r="R256" s="3104"/>
      <c r="S256" s="465">
        <v>593662</v>
      </c>
      <c r="T256" s="465">
        <v>718331</v>
      </c>
      <c r="U256" s="1490"/>
      <c r="V256" s="1490"/>
      <c r="W256" s="1490"/>
      <c r="X256" s="1809">
        <v>45569</v>
      </c>
      <c r="Y256" s="465" t="s">
        <v>18668</v>
      </c>
      <c r="Z256" s="3102"/>
      <c r="AA256" s="3102"/>
      <c r="AB256" s="3275" t="s">
        <v>18167</v>
      </c>
      <c r="AC256" s="2976"/>
      <c r="AD256" s="2976"/>
      <c r="AE256" s="118">
        <v>5</v>
      </c>
    </row>
    <row r="257" spans="1:31" ht="15.75" thickBot="1">
      <c r="A257" s="3081">
        <v>45405</v>
      </c>
      <c r="B257" s="3082" t="s">
        <v>17315</v>
      </c>
      <c r="C257" s="3083" t="s">
        <v>16536</v>
      </c>
      <c r="D257" s="3083" t="s">
        <v>15131</v>
      </c>
      <c r="E257" s="3083" t="s">
        <v>15813</v>
      </c>
      <c r="F257" s="3084" t="s">
        <v>17316</v>
      </c>
      <c r="G257" s="3083"/>
      <c r="H257" s="3082"/>
      <c r="I257" s="3082" t="s">
        <v>242</v>
      </c>
      <c r="J257" s="3217" t="s">
        <v>816</v>
      </c>
      <c r="K257" s="3083"/>
      <c r="L257" s="645">
        <v>18841323</v>
      </c>
      <c r="M257" s="3083" t="s">
        <v>251</v>
      </c>
      <c r="N257" s="3081">
        <v>45408</v>
      </c>
      <c r="O257" s="3081">
        <v>45443</v>
      </c>
      <c r="P257" s="3081"/>
      <c r="Q257" s="644" t="s">
        <v>304</v>
      </c>
      <c r="R257" s="3083"/>
      <c r="S257" s="645"/>
      <c r="T257" s="645"/>
      <c r="U257" s="1490"/>
      <c r="V257" s="1490"/>
      <c r="W257" s="1490"/>
      <c r="X257" s="2890"/>
      <c r="Y257" s="645"/>
      <c r="Z257" s="3081"/>
      <c r="AA257" s="3081">
        <v>45448</v>
      </c>
      <c r="AB257" s="3081" t="s">
        <v>17582</v>
      </c>
      <c r="AC257" s="2976"/>
      <c r="AD257" s="2976"/>
      <c r="AE257" s="118">
        <v>0</v>
      </c>
    </row>
    <row r="258" spans="1:31" ht="30.75" thickTop="1">
      <c r="A258" s="456">
        <v>45405</v>
      </c>
      <c r="B258" s="2292" t="s">
        <v>17757</v>
      </c>
      <c r="C258" s="943" t="s">
        <v>58</v>
      </c>
      <c r="D258" s="943" t="s">
        <v>15443</v>
      </c>
      <c r="E258" s="943" t="s">
        <v>13948</v>
      </c>
      <c r="F258" s="713" t="s">
        <v>17317</v>
      </c>
      <c r="G258" s="943">
        <v>1</v>
      </c>
      <c r="H258" s="3164" t="s">
        <v>17759</v>
      </c>
      <c r="I258" s="2292" t="s">
        <v>15369</v>
      </c>
      <c r="J258" s="3138" t="s">
        <v>2550</v>
      </c>
      <c r="K258" s="943"/>
      <c r="L258" s="457">
        <v>4898000</v>
      </c>
      <c r="M258" s="943" t="s">
        <v>235</v>
      </c>
      <c r="N258" s="456">
        <v>45439</v>
      </c>
      <c r="O258" s="456">
        <v>45470</v>
      </c>
      <c r="P258" s="456">
        <v>45491</v>
      </c>
      <c r="Q258" s="2292" t="s">
        <v>993</v>
      </c>
      <c r="R258" s="943"/>
      <c r="S258" s="457">
        <v>5811250</v>
      </c>
      <c r="T258" s="457">
        <v>7031612.5</v>
      </c>
      <c r="U258" s="1474"/>
      <c r="V258" s="1474"/>
      <c r="W258" s="1474"/>
      <c r="X258" s="570">
        <v>45491</v>
      </c>
      <c r="Y258" s="457" t="s">
        <v>17948</v>
      </c>
      <c r="Z258" s="456">
        <v>45538</v>
      </c>
      <c r="AA258" s="456">
        <v>45539</v>
      </c>
      <c r="AB258" s="456">
        <v>45718</v>
      </c>
      <c r="AC258" s="2976"/>
      <c r="AD258" s="2976"/>
      <c r="AE258" s="118">
        <v>2</v>
      </c>
    </row>
    <row r="259" spans="1:31" ht="30.75" thickBot="1">
      <c r="A259" s="3109">
        <v>45405</v>
      </c>
      <c r="B259" s="2291" t="s">
        <v>17758</v>
      </c>
      <c r="C259" s="2290" t="s">
        <v>58</v>
      </c>
      <c r="D259" s="2290" t="s">
        <v>15443</v>
      </c>
      <c r="E259" s="2290" t="s">
        <v>13948</v>
      </c>
      <c r="F259" s="2912" t="s">
        <v>17317</v>
      </c>
      <c r="G259" s="2290">
        <v>2</v>
      </c>
      <c r="H259" s="3147" t="s">
        <v>17760</v>
      </c>
      <c r="I259" s="2291" t="s">
        <v>15369</v>
      </c>
      <c r="J259" s="3274" t="s">
        <v>2550</v>
      </c>
      <c r="K259" s="2290"/>
      <c r="L259" s="2121">
        <v>636000</v>
      </c>
      <c r="M259" s="2290" t="s">
        <v>235</v>
      </c>
      <c r="N259" s="3109">
        <v>45439</v>
      </c>
      <c r="O259" s="3109">
        <v>45470</v>
      </c>
      <c r="P259" s="3109">
        <v>45491</v>
      </c>
      <c r="Q259" s="2291" t="s">
        <v>6119</v>
      </c>
      <c r="R259" s="2290"/>
      <c r="S259" s="2121">
        <v>407235.2</v>
      </c>
      <c r="T259" s="2121">
        <v>792754.59</v>
      </c>
      <c r="U259" s="2122"/>
      <c r="V259" s="2122"/>
      <c r="W259" s="2122"/>
      <c r="X259" s="2123">
        <v>45491</v>
      </c>
      <c r="Y259" s="2121" t="s">
        <v>17949</v>
      </c>
      <c r="Z259" s="3109">
        <v>45513</v>
      </c>
      <c r="AA259" s="3109">
        <v>45539</v>
      </c>
      <c r="AB259" s="3109">
        <v>45597</v>
      </c>
      <c r="AC259" s="2976"/>
      <c r="AD259" s="2976"/>
      <c r="AE259" s="118">
        <v>2</v>
      </c>
    </row>
    <row r="260" spans="1:31" ht="30.75" thickTop="1">
      <c r="A260" s="3074">
        <v>45467</v>
      </c>
      <c r="B260" s="3075" t="s">
        <v>17720</v>
      </c>
      <c r="C260" s="3076" t="s">
        <v>2434</v>
      </c>
      <c r="D260" s="3076" t="s">
        <v>3204</v>
      </c>
      <c r="E260" s="3076" t="s">
        <v>13948</v>
      </c>
      <c r="F260" s="3396" t="s">
        <v>17721</v>
      </c>
      <c r="G260" s="3076"/>
      <c r="H260" s="3075"/>
      <c r="I260" s="3075" t="s">
        <v>15373</v>
      </c>
      <c r="J260" s="3283" t="s">
        <v>3013</v>
      </c>
      <c r="K260" s="3076"/>
      <c r="L260" s="841">
        <v>4007240</v>
      </c>
      <c r="M260" s="3076" t="s">
        <v>251</v>
      </c>
      <c r="N260" s="3074">
        <v>45470</v>
      </c>
      <c r="O260" s="3074">
        <v>45526</v>
      </c>
      <c r="P260" s="3074">
        <v>45560</v>
      </c>
      <c r="Q260" s="3075" t="s">
        <v>18343</v>
      </c>
      <c r="R260" s="3076"/>
      <c r="S260" s="841">
        <v>3723000</v>
      </c>
      <c r="T260" s="841">
        <v>4169760</v>
      </c>
      <c r="U260" s="1489"/>
      <c r="V260" s="1489"/>
      <c r="W260" s="1489"/>
      <c r="X260" s="1392">
        <v>45560</v>
      </c>
      <c r="Y260" s="1796" t="s">
        <v>18535</v>
      </c>
      <c r="Z260" s="3074"/>
      <c r="AA260" s="3074"/>
      <c r="AB260" s="3293" t="s">
        <v>18292</v>
      </c>
      <c r="AC260" s="2976"/>
      <c r="AD260" s="2976"/>
      <c r="AE260" s="118">
        <v>3</v>
      </c>
    </row>
    <row r="261" spans="1:31">
      <c r="A261" s="3070">
        <v>45406</v>
      </c>
      <c r="B261" s="2289" t="s">
        <v>17325</v>
      </c>
      <c r="C261" s="2877" t="s">
        <v>16536</v>
      </c>
      <c r="D261" s="2877" t="s">
        <v>15131</v>
      </c>
      <c r="E261" s="2877" t="s">
        <v>13949</v>
      </c>
      <c r="F261" s="2913" t="s">
        <v>17314</v>
      </c>
      <c r="G261" s="2877"/>
      <c r="H261" s="2289"/>
      <c r="I261" s="2289" t="s">
        <v>15369</v>
      </c>
      <c r="J261" s="3115" t="s">
        <v>14498</v>
      </c>
      <c r="K261" s="2877"/>
      <c r="L261" s="2144">
        <v>3155066</v>
      </c>
      <c r="M261" s="2877" t="s">
        <v>251</v>
      </c>
      <c r="N261" s="3070">
        <v>45408</v>
      </c>
      <c r="O261" s="3070">
        <v>45457</v>
      </c>
      <c r="P261" s="3070">
        <v>45491</v>
      </c>
      <c r="Q261" s="2289" t="s">
        <v>8542</v>
      </c>
      <c r="R261" s="2877"/>
      <c r="S261" s="2144">
        <v>2375190.65</v>
      </c>
      <c r="T261" s="2144">
        <v>2873980.68</v>
      </c>
      <c r="U261" s="2145"/>
      <c r="V261" s="2145"/>
      <c r="W261" s="2145"/>
      <c r="X261" s="2146">
        <v>45491</v>
      </c>
      <c r="Y261" s="2144" t="s">
        <v>17952</v>
      </c>
      <c r="Z261" s="3070">
        <v>45517</v>
      </c>
      <c r="AA261" s="3070">
        <v>45525</v>
      </c>
      <c r="AB261" s="3070">
        <v>46246</v>
      </c>
      <c r="AC261" s="2976"/>
      <c r="AD261" s="2976"/>
      <c r="AE261" s="118">
        <v>2</v>
      </c>
    </row>
    <row r="262" spans="1:31">
      <c r="A262" s="3067">
        <v>45406</v>
      </c>
      <c r="B262" s="3068" t="s">
        <v>17326</v>
      </c>
      <c r="C262" s="3069" t="s">
        <v>2434</v>
      </c>
      <c r="D262" s="3069" t="s">
        <v>3204</v>
      </c>
      <c r="E262" s="3069" t="s">
        <v>15813</v>
      </c>
      <c r="F262" s="2914" t="s">
        <v>4468</v>
      </c>
      <c r="G262" s="3069"/>
      <c r="H262" s="3068"/>
      <c r="I262" s="3068" t="s">
        <v>242</v>
      </c>
      <c r="J262" s="3080" t="s">
        <v>642</v>
      </c>
      <c r="K262" s="3069"/>
      <c r="L262" s="2128">
        <v>6438000</v>
      </c>
      <c r="M262" s="3069" t="s">
        <v>251</v>
      </c>
      <c r="N262" s="3067">
        <v>45411</v>
      </c>
      <c r="O262" s="3067">
        <v>45460</v>
      </c>
      <c r="P262" s="3067"/>
      <c r="Q262" s="2136" t="s">
        <v>304</v>
      </c>
      <c r="R262" s="2276" t="s">
        <v>18282</v>
      </c>
      <c r="S262" s="2128"/>
      <c r="T262" s="2128"/>
      <c r="U262" s="2094"/>
      <c r="V262" s="2094"/>
      <c r="W262" s="2094"/>
      <c r="X262" s="2281"/>
      <c r="Y262" s="2128"/>
      <c r="Z262" s="3067"/>
      <c r="AA262" s="3067">
        <v>45461</v>
      </c>
      <c r="AB262" s="3195" t="s">
        <v>17650</v>
      </c>
      <c r="AC262" s="2976"/>
      <c r="AD262" s="2976"/>
    </row>
    <row r="263" spans="1:31" ht="30">
      <c r="A263" s="3070">
        <v>45411</v>
      </c>
      <c r="B263" s="2289" t="s">
        <v>17363</v>
      </c>
      <c r="C263" s="2877" t="s">
        <v>58</v>
      </c>
      <c r="D263" s="2877" t="s">
        <v>15443</v>
      </c>
      <c r="E263" s="2877" t="s">
        <v>655</v>
      </c>
      <c r="F263" s="2913" t="s">
        <v>17364</v>
      </c>
      <c r="G263" s="2877"/>
      <c r="H263" s="2289"/>
      <c r="I263" s="2289" t="s">
        <v>15369</v>
      </c>
      <c r="J263" s="3115" t="s">
        <v>15746</v>
      </c>
      <c r="K263" s="2877" t="s">
        <v>17365</v>
      </c>
      <c r="L263" s="2144">
        <v>109584</v>
      </c>
      <c r="M263" s="2877" t="s">
        <v>112</v>
      </c>
      <c r="N263" s="3070">
        <v>45415</v>
      </c>
      <c r="O263" s="3070">
        <v>45426</v>
      </c>
      <c r="P263" s="3070">
        <v>45441</v>
      </c>
      <c r="Q263" s="2289" t="s">
        <v>2360</v>
      </c>
      <c r="R263" s="2877"/>
      <c r="S263" s="2144">
        <v>50865</v>
      </c>
      <c r="T263" s="2144">
        <v>61546.65</v>
      </c>
      <c r="U263" s="2145"/>
      <c r="V263" s="2145"/>
      <c r="W263" s="2145"/>
      <c r="X263" s="2146">
        <v>45441</v>
      </c>
      <c r="Y263" s="2260" t="s">
        <v>17557</v>
      </c>
      <c r="Z263" s="3070">
        <v>45447</v>
      </c>
      <c r="AA263" s="3070">
        <v>45447</v>
      </c>
      <c r="AB263" s="3070">
        <v>45482</v>
      </c>
      <c r="AC263" s="3093"/>
      <c r="AD263" s="2976"/>
      <c r="AE263" s="118">
        <v>2</v>
      </c>
    </row>
    <row r="264" spans="1:31" ht="30">
      <c r="A264" s="3070">
        <v>45407</v>
      </c>
      <c r="B264" s="2289" t="s">
        <v>17349</v>
      </c>
      <c r="C264" s="2877" t="s">
        <v>2434</v>
      </c>
      <c r="D264" s="2877" t="s">
        <v>3204</v>
      </c>
      <c r="E264" s="2877" t="s">
        <v>15813</v>
      </c>
      <c r="F264" s="2913" t="s">
        <v>17350</v>
      </c>
      <c r="G264" s="2877"/>
      <c r="H264" s="2289"/>
      <c r="I264" s="2289" t="s">
        <v>15369</v>
      </c>
      <c r="J264" s="2877" t="s">
        <v>1880</v>
      </c>
      <c r="K264" s="2877"/>
      <c r="L264" s="2144">
        <v>65024110</v>
      </c>
      <c r="M264" s="2877" t="s">
        <v>251</v>
      </c>
      <c r="N264" s="3070">
        <v>45455</v>
      </c>
      <c r="O264" s="3070">
        <v>45490</v>
      </c>
      <c r="P264" s="3070">
        <v>45534</v>
      </c>
      <c r="Q264" s="2289" t="s">
        <v>2974</v>
      </c>
      <c r="R264" s="2877"/>
      <c r="S264" s="2144">
        <v>65015305</v>
      </c>
      <c r="T264" s="2144">
        <v>72817141.599999994</v>
      </c>
      <c r="U264" s="2145"/>
      <c r="V264" s="2145"/>
      <c r="W264" s="2145"/>
      <c r="X264" s="2146">
        <v>45534</v>
      </c>
      <c r="Y264" s="2260" t="s">
        <v>18314</v>
      </c>
      <c r="Z264" s="3070">
        <v>45541</v>
      </c>
      <c r="AA264" s="3070">
        <v>45545</v>
      </c>
      <c r="AB264" s="3070">
        <v>47001</v>
      </c>
      <c r="AC264" s="3093"/>
      <c r="AD264" s="2976"/>
      <c r="AE264" s="118">
        <v>1</v>
      </c>
    </row>
    <row r="265" spans="1:31">
      <c r="A265" s="3070">
        <v>45421</v>
      </c>
      <c r="B265" s="2289" t="s">
        <v>17351</v>
      </c>
      <c r="C265" s="2877" t="s">
        <v>16688</v>
      </c>
      <c r="D265" s="2877" t="s">
        <v>361</v>
      </c>
      <c r="E265" s="2877" t="s">
        <v>13950</v>
      </c>
      <c r="F265" s="2913" t="s">
        <v>17352</v>
      </c>
      <c r="G265" s="2877"/>
      <c r="H265" s="2289"/>
      <c r="I265" s="2289" t="s">
        <v>15369</v>
      </c>
      <c r="J265" s="3115" t="s">
        <v>17353</v>
      </c>
      <c r="K265" s="2877"/>
      <c r="L265" s="2144">
        <v>2000000</v>
      </c>
      <c r="M265" s="2877" t="s">
        <v>235</v>
      </c>
      <c r="N265" s="3070">
        <v>45427</v>
      </c>
      <c r="O265" s="3070">
        <v>45442</v>
      </c>
      <c r="P265" s="3070">
        <v>45489</v>
      </c>
      <c r="Q265" s="2289" t="s">
        <v>17860</v>
      </c>
      <c r="R265" s="2877"/>
      <c r="S265" s="2144">
        <v>2522094</v>
      </c>
      <c r="T265" s="2144">
        <v>3051733.74</v>
      </c>
      <c r="U265" s="2145"/>
      <c r="V265" s="2145"/>
      <c r="W265" s="2145"/>
      <c r="X265" s="2146">
        <v>45489</v>
      </c>
      <c r="Y265" s="3271" t="s">
        <v>18085</v>
      </c>
      <c r="Z265" s="3070">
        <v>45492</v>
      </c>
      <c r="AA265" s="3070">
        <v>45519</v>
      </c>
      <c r="AB265" s="3253"/>
      <c r="AC265" s="3093"/>
      <c r="AD265" s="2976"/>
      <c r="AE265" s="118">
        <v>2</v>
      </c>
    </row>
    <row r="266" spans="1:31">
      <c r="A266" s="3070">
        <v>45421</v>
      </c>
      <c r="B266" s="2289" t="s">
        <v>17354</v>
      </c>
      <c r="C266" s="2877" t="s">
        <v>16688</v>
      </c>
      <c r="D266" s="2877" t="s">
        <v>7475</v>
      </c>
      <c r="E266" s="2877" t="s">
        <v>13950</v>
      </c>
      <c r="F266" s="2913" t="s">
        <v>17355</v>
      </c>
      <c r="G266" s="2877"/>
      <c r="H266" s="2289"/>
      <c r="I266" s="2289" t="s">
        <v>15369</v>
      </c>
      <c r="J266" s="2877" t="s">
        <v>17356</v>
      </c>
      <c r="K266" s="2877"/>
      <c r="L266" s="2144">
        <v>4500000</v>
      </c>
      <c r="M266" s="2877" t="s">
        <v>251</v>
      </c>
      <c r="N266" s="3070">
        <v>45428</v>
      </c>
      <c r="O266" s="3070">
        <v>45462</v>
      </c>
      <c r="P266" s="3070">
        <v>45489</v>
      </c>
      <c r="Q266" s="2289" t="s">
        <v>5828</v>
      </c>
      <c r="R266" s="2877"/>
      <c r="S266" s="2144">
        <v>4365010</v>
      </c>
      <c r="T266" s="2144">
        <v>5281662.0999999996</v>
      </c>
      <c r="U266" s="2145"/>
      <c r="V266" s="2145"/>
      <c r="W266" s="2145"/>
      <c r="X266" s="2146">
        <v>45489</v>
      </c>
      <c r="Y266" s="2144" t="s">
        <v>17966</v>
      </c>
      <c r="Z266" s="3070">
        <v>45509</v>
      </c>
      <c r="AA266" s="3070">
        <v>45538</v>
      </c>
      <c r="AB266" s="3070">
        <v>46969</v>
      </c>
      <c r="AC266" s="3093"/>
      <c r="AD266" s="2976"/>
      <c r="AE266" s="118">
        <v>1</v>
      </c>
    </row>
    <row r="267" spans="1:31" ht="30">
      <c r="A267" s="3070">
        <v>45408</v>
      </c>
      <c r="B267" s="2289" t="s">
        <v>17357</v>
      </c>
      <c r="C267" s="2877" t="s">
        <v>2434</v>
      </c>
      <c r="D267" s="2877" t="s">
        <v>3204</v>
      </c>
      <c r="E267" s="2877" t="s">
        <v>13948</v>
      </c>
      <c r="F267" s="2913" t="s">
        <v>17358</v>
      </c>
      <c r="G267" s="2877"/>
      <c r="H267" s="2289"/>
      <c r="I267" s="2289" t="s">
        <v>15369</v>
      </c>
      <c r="J267" s="2877" t="s">
        <v>12071</v>
      </c>
      <c r="K267" s="2877"/>
      <c r="L267" s="2144">
        <v>3628966</v>
      </c>
      <c r="M267" s="2877" t="s">
        <v>251</v>
      </c>
      <c r="N267" s="3070">
        <v>45414</v>
      </c>
      <c r="O267" s="3070">
        <v>45450</v>
      </c>
      <c r="P267" s="3070">
        <v>45463</v>
      </c>
      <c r="Q267" s="2289" t="s">
        <v>6592</v>
      </c>
      <c r="R267" s="2877"/>
      <c r="S267" s="2144">
        <v>3628966</v>
      </c>
      <c r="T267" s="2144">
        <v>4064441.92</v>
      </c>
      <c r="U267" s="2145"/>
      <c r="V267" s="2145"/>
      <c r="W267" s="2145"/>
      <c r="X267" s="2146">
        <v>45463</v>
      </c>
      <c r="Y267" s="2260" t="s">
        <v>17687</v>
      </c>
      <c r="Z267" s="3070">
        <v>45489</v>
      </c>
      <c r="AA267" s="3070">
        <v>45498</v>
      </c>
      <c r="AB267" s="3070">
        <v>46949</v>
      </c>
      <c r="AC267" s="3093"/>
      <c r="AD267" s="2976"/>
      <c r="AE267" s="118">
        <v>1</v>
      </c>
    </row>
    <row r="268" spans="1:31">
      <c r="A268" s="3070">
        <v>45412</v>
      </c>
      <c r="B268" s="2289" t="s">
        <v>17389</v>
      </c>
      <c r="C268" s="2877" t="s">
        <v>16559</v>
      </c>
      <c r="D268" s="2877" t="s">
        <v>9080</v>
      </c>
      <c r="E268" s="2877" t="s">
        <v>13951</v>
      </c>
      <c r="F268" s="2913" t="s">
        <v>17391</v>
      </c>
      <c r="G268" s="2877"/>
      <c r="H268" s="2289"/>
      <c r="I268" s="2289" t="s">
        <v>15369</v>
      </c>
      <c r="J268" s="2877" t="s">
        <v>17390</v>
      </c>
      <c r="K268" s="2877"/>
      <c r="L268" s="2144">
        <v>1685255</v>
      </c>
      <c r="M268" s="2877" t="s">
        <v>112</v>
      </c>
      <c r="N268" s="3070">
        <v>45448</v>
      </c>
      <c r="O268" s="3070">
        <v>45488</v>
      </c>
      <c r="P268" s="3070">
        <v>45554</v>
      </c>
      <c r="Q268" s="2289" t="s">
        <v>18446</v>
      </c>
      <c r="R268" s="2877"/>
      <c r="S268" s="2144">
        <v>1167075</v>
      </c>
      <c r="T268" s="2144">
        <v>1412160.75</v>
      </c>
      <c r="U268" s="2145"/>
      <c r="V268" s="2145"/>
      <c r="W268" s="2145"/>
      <c r="X268" s="2146">
        <v>45554</v>
      </c>
      <c r="Y268" s="2144" t="s">
        <v>18468</v>
      </c>
      <c r="Z268" s="3070">
        <v>45562</v>
      </c>
      <c r="AA268" s="3070">
        <v>45565</v>
      </c>
      <c r="AB268" s="3070">
        <v>47022</v>
      </c>
      <c r="AC268" s="3093"/>
      <c r="AD268" s="2976"/>
      <c r="AE268" s="118">
        <v>1</v>
      </c>
    </row>
    <row r="269" spans="1:31" ht="30">
      <c r="A269" s="3070">
        <v>45411</v>
      </c>
      <c r="B269" s="2289" t="s">
        <v>17360</v>
      </c>
      <c r="C269" s="2877" t="s">
        <v>58</v>
      </c>
      <c r="D269" s="2877" t="s">
        <v>15443</v>
      </c>
      <c r="E269" s="2877" t="s">
        <v>13948</v>
      </c>
      <c r="F269" s="2913" t="s">
        <v>17361</v>
      </c>
      <c r="G269" s="2877"/>
      <c r="H269" s="2289"/>
      <c r="I269" s="2289" t="s">
        <v>15369</v>
      </c>
      <c r="J269" s="2877" t="s">
        <v>86</v>
      </c>
      <c r="K269" s="2877" t="s">
        <v>17366</v>
      </c>
      <c r="L269" s="2144">
        <v>3700000</v>
      </c>
      <c r="M269" s="2877" t="s">
        <v>251</v>
      </c>
      <c r="N269" s="3070">
        <v>45422</v>
      </c>
      <c r="O269" s="3070">
        <v>45482</v>
      </c>
      <c r="P269" s="3070">
        <v>45510</v>
      </c>
      <c r="Q269" s="2289" t="s">
        <v>15371</v>
      </c>
      <c r="R269" s="2877"/>
      <c r="S269" s="2144">
        <v>3599260</v>
      </c>
      <c r="T269" s="2144">
        <v>4355104.5999999996</v>
      </c>
      <c r="U269" s="2145"/>
      <c r="V269" s="2145"/>
      <c r="W269" s="2145"/>
      <c r="X269" s="2146">
        <v>45510</v>
      </c>
      <c r="Y269" s="2260" t="s">
        <v>18083</v>
      </c>
      <c r="Z269" s="3070">
        <v>45538</v>
      </c>
      <c r="AA269" s="3070">
        <v>45554</v>
      </c>
      <c r="AB269" s="3070">
        <v>45628</v>
      </c>
      <c r="AC269" s="3093"/>
      <c r="AD269" s="2976"/>
      <c r="AE269" s="118">
        <v>2</v>
      </c>
    </row>
    <row r="270" spans="1:31">
      <c r="A270" s="3070">
        <v>45421</v>
      </c>
      <c r="B270" s="2289" t="s">
        <v>17368</v>
      </c>
      <c r="C270" s="2877" t="s">
        <v>16688</v>
      </c>
      <c r="D270" s="2877" t="s">
        <v>7475</v>
      </c>
      <c r="E270" s="2877" t="s">
        <v>13951</v>
      </c>
      <c r="F270" s="2913" t="s">
        <v>17369</v>
      </c>
      <c r="G270" s="2877"/>
      <c r="H270" s="2289"/>
      <c r="I270" s="2289" t="s">
        <v>15369</v>
      </c>
      <c r="J270" s="2877" t="s">
        <v>1676</v>
      </c>
      <c r="K270" s="2877"/>
      <c r="L270" s="2144">
        <v>1000000</v>
      </c>
      <c r="M270" s="2877" t="s">
        <v>112</v>
      </c>
      <c r="N270" s="3070">
        <v>45425</v>
      </c>
      <c r="O270" s="3070">
        <v>45436</v>
      </c>
      <c r="P270" s="3070">
        <v>45446</v>
      </c>
      <c r="Q270" s="2289" t="s">
        <v>17469</v>
      </c>
      <c r="R270" s="2877"/>
      <c r="S270" s="2144">
        <v>821163</v>
      </c>
      <c r="T270" s="2144">
        <v>993607.23</v>
      </c>
      <c r="U270" s="2145"/>
      <c r="V270" s="2145"/>
      <c r="W270" s="2145"/>
      <c r="X270" s="2146">
        <v>45446</v>
      </c>
      <c r="Y270" s="2144" t="s">
        <v>17569</v>
      </c>
      <c r="Z270" s="3070">
        <v>45457</v>
      </c>
      <c r="AA270" s="3070">
        <v>45457</v>
      </c>
      <c r="AB270" s="3070">
        <v>45488</v>
      </c>
      <c r="AC270" s="3093"/>
      <c r="AD270" s="2976"/>
      <c r="AE270" s="118">
        <v>3</v>
      </c>
    </row>
    <row r="271" spans="1:31">
      <c r="A271" s="3067">
        <v>45434</v>
      </c>
      <c r="B271" s="3068" t="s">
        <v>17378</v>
      </c>
      <c r="C271" s="3069" t="s">
        <v>52</v>
      </c>
      <c r="D271" s="3069" t="s">
        <v>9302</v>
      </c>
      <c r="E271" s="3069" t="s">
        <v>13951</v>
      </c>
      <c r="F271" s="2687" t="s">
        <v>17379</v>
      </c>
      <c r="G271" s="3069"/>
      <c r="H271" s="3068"/>
      <c r="I271" s="3068" t="s">
        <v>242</v>
      </c>
      <c r="J271" s="3069" t="s">
        <v>17522</v>
      </c>
      <c r="K271" s="3069"/>
      <c r="L271" s="2128">
        <v>800000</v>
      </c>
      <c r="M271" s="3069" t="s">
        <v>112</v>
      </c>
      <c r="N271" s="3067">
        <v>45440</v>
      </c>
      <c r="O271" s="3067">
        <v>45453</v>
      </c>
      <c r="P271" s="3067"/>
      <c r="Q271" s="2136" t="s">
        <v>9147</v>
      </c>
      <c r="R271" s="2275" t="s">
        <v>17799</v>
      </c>
      <c r="S271" s="2128"/>
      <c r="T271" s="2128"/>
      <c r="U271" s="2129"/>
      <c r="V271" s="2129"/>
      <c r="W271" s="2129"/>
      <c r="X271" s="2281"/>
      <c r="Y271" s="2128"/>
      <c r="Z271" s="3067"/>
      <c r="AA271" s="3067">
        <v>45443</v>
      </c>
      <c r="AB271" s="3067"/>
      <c r="AC271" s="2976"/>
      <c r="AD271" s="2976"/>
    </row>
    <row r="272" spans="1:31" ht="45">
      <c r="A272" s="3070" t="s">
        <v>16562</v>
      </c>
      <c r="B272" s="2289" t="s">
        <v>17382</v>
      </c>
      <c r="C272" s="2877" t="s">
        <v>58</v>
      </c>
      <c r="D272" s="2877" t="s">
        <v>15443</v>
      </c>
      <c r="E272" s="2877" t="s">
        <v>13950</v>
      </c>
      <c r="F272" s="2913" t="s">
        <v>16563</v>
      </c>
      <c r="G272" s="2877"/>
      <c r="H272" s="2289"/>
      <c r="I272" s="2289" t="s">
        <v>15369</v>
      </c>
      <c r="J272" s="2877" t="s">
        <v>8917</v>
      </c>
      <c r="K272" s="2877" t="s">
        <v>16303</v>
      </c>
      <c r="L272" s="2144">
        <v>50800000</v>
      </c>
      <c r="M272" s="2877" t="s">
        <v>251</v>
      </c>
      <c r="N272" s="3070">
        <v>45426</v>
      </c>
      <c r="O272" s="3070">
        <v>45462</v>
      </c>
      <c r="P272" s="3070">
        <v>45476</v>
      </c>
      <c r="Q272" s="2289" t="s">
        <v>17756</v>
      </c>
      <c r="R272" s="2877"/>
      <c r="S272" s="2144">
        <v>50315700</v>
      </c>
      <c r="T272" s="2144">
        <v>60881997</v>
      </c>
      <c r="U272" s="2145"/>
      <c r="V272" s="2145"/>
      <c r="W272" s="2145"/>
      <c r="X272" s="2146">
        <v>45476</v>
      </c>
      <c r="Y272" s="2260" t="s">
        <v>17821</v>
      </c>
      <c r="Z272" s="3070">
        <v>45496</v>
      </c>
      <c r="AA272" s="3070">
        <v>45519</v>
      </c>
      <c r="AB272" s="3070"/>
      <c r="AC272" s="2976"/>
      <c r="AD272" s="2976"/>
      <c r="AE272" s="118">
        <v>1</v>
      </c>
    </row>
    <row r="273" spans="1:44">
      <c r="A273" s="3047">
        <v>45412</v>
      </c>
      <c r="B273" s="3018" t="s">
        <v>17384</v>
      </c>
      <c r="C273" s="3048" t="s">
        <v>58</v>
      </c>
      <c r="D273" s="3048" t="s">
        <v>15443</v>
      </c>
      <c r="E273" s="3048" t="s">
        <v>15813</v>
      </c>
      <c r="F273" s="3049" t="s">
        <v>17385</v>
      </c>
      <c r="G273" s="3048"/>
      <c r="H273" s="3018"/>
      <c r="I273" s="3018" t="s">
        <v>4837</v>
      </c>
      <c r="J273" s="3048" t="s">
        <v>421</v>
      </c>
      <c r="K273" s="3048" t="s">
        <v>17386</v>
      </c>
      <c r="L273" s="2157">
        <v>1060000</v>
      </c>
      <c r="M273" s="3048" t="s">
        <v>251</v>
      </c>
      <c r="N273" s="3047">
        <v>45428</v>
      </c>
      <c r="O273" s="3047">
        <v>45505</v>
      </c>
      <c r="P273" s="3048"/>
      <c r="Q273" s="3222"/>
      <c r="R273" s="3048"/>
      <c r="S273" s="2157"/>
      <c r="T273" s="2157"/>
      <c r="U273" s="2094"/>
      <c r="V273" s="2094"/>
      <c r="W273" s="2094"/>
      <c r="X273" s="2157"/>
      <c r="Y273" s="2157"/>
      <c r="Z273" s="3048"/>
      <c r="AA273" s="3047"/>
      <c r="AB273" s="3047"/>
      <c r="AC273" s="2976"/>
      <c r="AD273" s="2976"/>
      <c r="AE273" s="118">
        <v>2</v>
      </c>
    </row>
    <row r="274" spans="1:44">
      <c r="A274" s="3045">
        <v>45454</v>
      </c>
      <c r="B274" s="3020" t="s">
        <v>17601</v>
      </c>
      <c r="C274" s="3046" t="s">
        <v>11687</v>
      </c>
      <c r="D274" s="3046" t="s">
        <v>6707</v>
      </c>
      <c r="E274" s="3046" t="s">
        <v>13950</v>
      </c>
      <c r="F274" s="3026" t="s">
        <v>17602</v>
      </c>
      <c r="G274" s="3046"/>
      <c r="H274" s="3020"/>
      <c r="I274" s="3020" t="s">
        <v>15448</v>
      </c>
      <c r="J274" s="3046" t="s">
        <v>17603</v>
      </c>
      <c r="K274" s="3046"/>
      <c r="L274" s="1874">
        <v>185000000</v>
      </c>
      <c r="M274" s="3046" t="s">
        <v>251</v>
      </c>
      <c r="N274" s="3045">
        <v>45455</v>
      </c>
      <c r="O274" s="3045">
        <v>45586</v>
      </c>
      <c r="P274" s="3046"/>
      <c r="Q274" s="3134"/>
      <c r="R274" s="3046"/>
      <c r="S274" s="1874"/>
      <c r="T274" s="1874"/>
      <c r="U274" s="1490"/>
      <c r="V274" s="1490"/>
      <c r="W274" s="1490"/>
      <c r="X274" s="1874"/>
      <c r="Y274" s="1874"/>
      <c r="Z274" s="3046"/>
      <c r="AA274" s="3045"/>
      <c r="AB274" s="3045"/>
      <c r="AC274" s="2976"/>
      <c r="AD274" s="2976"/>
    </row>
    <row r="275" spans="1:44" ht="30.75" thickBot="1">
      <c r="A275" s="612" t="s">
        <v>16694</v>
      </c>
      <c r="B275" s="2911" t="s">
        <v>17387</v>
      </c>
      <c r="C275" s="609" t="s">
        <v>2434</v>
      </c>
      <c r="D275" s="609" t="s">
        <v>219</v>
      </c>
      <c r="E275" s="609" t="s">
        <v>13948</v>
      </c>
      <c r="F275" s="610" t="s">
        <v>16695</v>
      </c>
      <c r="G275" s="609"/>
      <c r="H275" s="2911"/>
      <c r="I275" s="2911" t="s">
        <v>15369</v>
      </c>
      <c r="J275" s="609" t="s">
        <v>2951</v>
      </c>
      <c r="K275" s="609"/>
      <c r="L275" s="417">
        <v>31252173.68</v>
      </c>
      <c r="M275" s="609" t="s">
        <v>251</v>
      </c>
      <c r="N275" s="612">
        <v>45418</v>
      </c>
      <c r="O275" s="612">
        <v>45454</v>
      </c>
      <c r="P275" s="612">
        <v>45463</v>
      </c>
      <c r="Q275" s="2911" t="s">
        <v>2776</v>
      </c>
      <c r="R275" s="609"/>
      <c r="S275" s="417">
        <v>31251600</v>
      </c>
      <c r="T275" s="417">
        <v>35001792</v>
      </c>
      <c r="U275" s="1480"/>
      <c r="V275" s="1480"/>
      <c r="W275" s="1480"/>
      <c r="X275" s="513">
        <v>45463</v>
      </c>
      <c r="Y275" s="1553" t="s">
        <v>17688</v>
      </c>
      <c r="Z275" s="612">
        <v>45469</v>
      </c>
      <c r="AA275" s="612">
        <v>45474</v>
      </c>
      <c r="AB275" s="612">
        <v>46929</v>
      </c>
      <c r="AC275" s="2976"/>
      <c r="AD275" s="2976"/>
      <c r="AE275" s="118">
        <v>1</v>
      </c>
    </row>
    <row r="276" spans="1:44" ht="15.75" thickTop="1">
      <c r="A276" s="456">
        <v>45418</v>
      </c>
      <c r="B276" s="2292" t="s">
        <v>17429</v>
      </c>
      <c r="C276" s="943" t="s">
        <v>16536</v>
      </c>
      <c r="D276" s="943" t="s">
        <v>15129</v>
      </c>
      <c r="E276" s="943" t="s">
        <v>13949</v>
      </c>
      <c r="F276" s="713" t="s">
        <v>17412</v>
      </c>
      <c r="G276" s="943">
        <v>1</v>
      </c>
      <c r="H276" s="2292" t="s">
        <v>17432</v>
      </c>
      <c r="I276" s="2292" t="s">
        <v>15369</v>
      </c>
      <c r="J276" s="943" t="s">
        <v>16226</v>
      </c>
      <c r="K276" s="943"/>
      <c r="L276" s="457">
        <v>1540729</v>
      </c>
      <c r="M276" s="943" t="s">
        <v>251</v>
      </c>
      <c r="N276" s="456">
        <v>45433</v>
      </c>
      <c r="O276" s="456">
        <v>45497</v>
      </c>
      <c r="P276" s="456">
        <v>45512</v>
      </c>
      <c r="Q276" s="2292" t="s">
        <v>6071</v>
      </c>
      <c r="R276" s="943"/>
      <c r="S276" s="457">
        <v>1540728.12</v>
      </c>
      <c r="T276" s="457">
        <v>1725615.49</v>
      </c>
      <c r="U276" s="1474"/>
      <c r="V276" s="1474"/>
      <c r="W276" s="1474"/>
      <c r="X276" s="570">
        <v>45512</v>
      </c>
      <c r="Y276" s="457" t="s">
        <v>18109</v>
      </c>
      <c r="Z276" s="456">
        <v>45527</v>
      </c>
      <c r="AA276" s="456">
        <v>45531</v>
      </c>
      <c r="AB276" s="456">
        <v>46621</v>
      </c>
      <c r="AC276" s="2976"/>
      <c r="AD276" s="2976"/>
      <c r="AE276" s="118">
        <v>1</v>
      </c>
    </row>
    <row r="277" spans="1:44">
      <c r="A277" s="3070">
        <v>45418</v>
      </c>
      <c r="B277" s="2289" t="s">
        <v>17430</v>
      </c>
      <c r="C277" s="2877" t="s">
        <v>16536</v>
      </c>
      <c r="D277" s="2877" t="s">
        <v>15129</v>
      </c>
      <c r="E277" s="2877" t="s">
        <v>13949</v>
      </c>
      <c r="F277" s="2913" t="s">
        <v>17412</v>
      </c>
      <c r="G277" s="2877">
        <v>2</v>
      </c>
      <c r="H277" s="2289" t="s">
        <v>17433</v>
      </c>
      <c r="I277" s="2289" t="s">
        <v>15369</v>
      </c>
      <c r="J277" s="2877" t="s">
        <v>16226</v>
      </c>
      <c r="K277" s="2877"/>
      <c r="L277" s="2144">
        <v>265140</v>
      </c>
      <c r="M277" s="2877" t="s">
        <v>251</v>
      </c>
      <c r="N277" s="3070">
        <v>45433</v>
      </c>
      <c r="O277" s="3070">
        <v>45497</v>
      </c>
      <c r="P277" s="3070">
        <v>45512</v>
      </c>
      <c r="Q277" s="2289" t="s">
        <v>6071</v>
      </c>
      <c r="R277" s="2877"/>
      <c r="S277" s="2144">
        <v>265140</v>
      </c>
      <c r="T277" s="2144">
        <v>296956.79999999999</v>
      </c>
      <c r="U277" s="2145"/>
      <c r="V277" s="2145"/>
      <c r="W277" s="2145"/>
      <c r="X277" s="2146">
        <v>45512</v>
      </c>
      <c r="Y277" s="2144" t="s">
        <v>18110</v>
      </c>
      <c r="Z277" s="3070">
        <v>45527</v>
      </c>
      <c r="AA277" s="3070">
        <v>45531</v>
      </c>
      <c r="AB277" s="3070">
        <v>46621</v>
      </c>
      <c r="AC277" s="2976"/>
      <c r="AD277" s="2976"/>
      <c r="AE277" s="118">
        <v>1</v>
      </c>
    </row>
    <row r="278" spans="1:44" ht="15.75" thickBot="1">
      <c r="A278" s="3109">
        <v>45418</v>
      </c>
      <c r="B278" s="2291" t="s">
        <v>17431</v>
      </c>
      <c r="C278" s="2290" t="s">
        <v>16536</v>
      </c>
      <c r="D278" s="2290" t="s">
        <v>15129</v>
      </c>
      <c r="E278" s="2290" t="s">
        <v>13949</v>
      </c>
      <c r="F278" s="2912" t="s">
        <v>17412</v>
      </c>
      <c r="G278" s="2290">
        <v>3</v>
      </c>
      <c r="H278" s="2291" t="s">
        <v>17434</v>
      </c>
      <c r="I278" s="2291" t="s">
        <v>15369</v>
      </c>
      <c r="J278" s="2290" t="s">
        <v>16226</v>
      </c>
      <c r="K278" s="2290"/>
      <c r="L278" s="2121">
        <v>1389521</v>
      </c>
      <c r="M278" s="2290" t="s">
        <v>251</v>
      </c>
      <c r="N278" s="3109">
        <v>45433</v>
      </c>
      <c r="O278" s="3109">
        <v>45497</v>
      </c>
      <c r="P278" s="3109">
        <v>45512</v>
      </c>
      <c r="Q278" s="2291" t="s">
        <v>6071</v>
      </c>
      <c r="R278" s="2290"/>
      <c r="S278" s="2121">
        <v>1389520.08</v>
      </c>
      <c r="T278" s="2121">
        <v>1556262.49</v>
      </c>
      <c r="U278" s="2122"/>
      <c r="V278" s="2122"/>
      <c r="W278" s="2122"/>
      <c r="X278" s="2123">
        <v>45512</v>
      </c>
      <c r="Y278" s="2121" t="s">
        <v>18111</v>
      </c>
      <c r="Z278" s="3109">
        <v>45527</v>
      </c>
      <c r="AA278" s="3109">
        <v>45531</v>
      </c>
      <c r="AB278" s="3109">
        <v>46621</v>
      </c>
      <c r="AC278" s="2976"/>
      <c r="AD278" s="2976"/>
      <c r="AE278" s="118">
        <v>1</v>
      </c>
    </row>
    <row r="279" spans="1:44" ht="15.75" thickTop="1">
      <c r="A279" s="252" t="s">
        <v>17204</v>
      </c>
      <c r="B279" s="3110" t="s">
        <v>17399</v>
      </c>
      <c r="C279" s="363" t="s">
        <v>1754</v>
      </c>
      <c r="D279" s="363" t="s">
        <v>13</v>
      </c>
      <c r="E279" s="363" t="s">
        <v>13951</v>
      </c>
      <c r="F279" s="362" t="s">
        <v>17400</v>
      </c>
      <c r="G279" s="363"/>
      <c r="H279" s="3110"/>
      <c r="I279" s="3110" t="s">
        <v>15369</v>
      </c>
      <c r="J279" s="363" t="s">
        <v>17205</v>
      </c>
      <c r="K279" s="363"/>
      <c r="L279" s="364">
        <v>816000</v>
      </c>
      <c r="M279" s="363" t="s">
        <v>112</v>
      </c>
      <c r="N279" s="252">
        <v>45418</v>
      </c>
      <c r="O279" s="252">
        <v>45429</v>
      </c>
      <c r="P279" s="252">
        <v>45440</v>
      </c>
      <c r="Q279" s="3110" t="s">
        <v>3915</v>
      </c>
      <c r="R279" s="363"/>
      <c r="S279" s="364">
        <v>731250</v>
      </c>
      <c r="T279" s="364">
        <v>884812.5</v>
      </c>
      <c r="U279" s="1473"/>
      <c r="V279" s="1473"/>
      <c r="W279" s="1473"/>
      <c r="X279" s="681">
        <v>45440</v>
      </c>
      <c r="Y279" s="364" t="s">
        <v>17550</v>
      </c>
      <c r="Z279" s="252">
        <v>45443</v>
      </c>
      <c r="AA279" s="252">
        <v>45443</v>
      </c>
      <c r="AB279" s="252">
        <v>45807</v>
      </c>
      <c r="AC279" s="2976"/>
      <c r="AD279" s="2976"/>
      <c r="AE279" s="118">
        <v>2</v>
      </c>
    </row>
    <row r="280" spans="1:44">
      <c r="A280" s="3070">
        <v>45418</v>
      </c>
      <c r="B280" s="2289" t="s">
        <v>17410</v>
      </c>
      <c r="C280" s="2877" t="s">
        <v>16536</v>
      </c>
      <c r="D280" s="2877" t="s">
        <v>15129</v>
      </c>
      <c r="E280" s="2877" t="s">
        <v>13949</v>
      </c>
      <c r="F280" s="2913" t="s">
        <v>17411</v>
      </c>
      <c r="G280" s="2877"/>
      <c r="H280" s="2289"/>
      <c r="I280" s="2289" t="s">
        <v>15369</v>
      </c>
      <c r="J280" s="2877" t="s">
        <v>93</v>
      </c>
      <c r="K280" s="2877"/>
      <c r="L280" s="2144">
        <v>21269388</v>
      </c>
      <c r="M280" s="2877" t="s">
        <v>251</v>
      </c>
      <c r="N280" s="3070">
        <v>45421</v>
      </c>
      <c r="O280" s="3070">
        <v>45482</v>
      </c>
      <c r="P280" s="3070">
        <v>45511</v>
      </c>
      <c r="Q280" s="2289" t="s">
        <v>1319</v>
      </c>
      <c r="R280" s="2877"/>
      <c r="S280" s="2144">
        <v>21269388</v>
      </c>
      <c r="T280" s="2144">
        <v>23821714.559999999</v>
      </c>
      <c r="U280" s="2145"/>
      <c r="V280" s="2145"/>
      <c r="W280" s="2145"/>
      <c r="X280" s="2146">
        <v>45511</v>
      </c>
      <c r="Y280" s="2144" t="s">
        <v>18087</v>
      </c>
      <c r="Z280" s="3070">
        <v>45525</v>
      </c>
      <c r="AA280" s="3070">
        <v>45527</v>
      </c>
      <c r="AB280" s="3070">
        <v>46715</v>
      </c>
      <c r="AC280" s="2976"/>
      <c r="AD280" s="2976"/>
      <c r="AE280" s="118">
        <v>1</v>
      </c>
      <c r="AF280" s="118" t="s">
        <v>17956</v>
      </c>
    </row>
    <row r="281" spans="1:44" s="58" customFormat="1" ht="45">
      <c r="A281" s="612">
        <v>45421</v>
      </c>
      <c r="B281" s="2911" t="s">
        <v>17447</v>
      </c>
      <c r="C281" s="609" t="s">
        <v>2434</v>
      </c>
      <c r="D281" s="609" t="s">
        <v>3204</v>
      </c>
      <c r="E281" s="609" t="s">
        <v>15813</v>
      </c>
      <c r="F281" s="610" t="s">
        <v>17448</v>
      </c>
      <c r="G281" s="609"/>
      <c r="H281" s="2911"/>
      <c r="I281" s="2911" t="s">
        <v>15369</v>
      </c>
      <c r="J281" s="609" t="s">
        <v>2866</v>
      </c>
      <c r="K281" s="609"/>
      <c r="L281" s="417">
        <v>21880345</v>
      </c>
      <c r="M281" s="609" t="s">
        <v>251</v>
      </c>
      <c r="N281" s="612">
        <v>45456</v>
      </c>
      <c r="O281" s="612">
        <v>45491</v>
      </c>
      <c r="P281" s="612">
        <v>45534</v>
      </c>
      <c r="Q281" s="2911" t="s">
        <v>18187</v>
      </c>
      <c r="R281" s="609"/>
      <c r="S281" s="417">
        <v>21880322.870000001</v>
      </c>
      <c r="T281" s="417">
        <v>24505961.609999999</v>
      </c>
      <c r="U281" s="1480"/>
      <c r="V281" s="1480"/>
      <c r="W281" s="1480"/>
      <c r="X281" s="513">
        <v>45534</v>
      </c>
      <c r="Y281" s="1553" t="s">
        <v>18313</v>
      </c>
      <c r="Z281" s="612">
        <v>45555</v>
      </c>
      <c r="AA281" s="612">
        <v>45558</v>
      </c>
      <c r="AB281" s="612">
        <v>47015</v>
      </c>
      <c r="AC281" s="2976"/>
      <c r="AD281" s="2976"/>
      <c r="AE281" s="118">
        <v>1</v>
      </c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</row>
    <row r="282" spans="1:44" ht="15.75" thickBot="1">
      <c r="A282" s="612">
        <v>45418</v>
      </c>
      <c r="B282" s="2911" t="s">
        <v>17415</v>
      </c>
      <c r="C282" s="609" t="s">
        <v>16536</v>
      </c>
      <c r="D282" s="609" t="s">
        <v>15129</v>
      </c>
      <c r="E282" s="609" t="s">
        <v>13949</v>
      </c>
      <c r="F282" s="610" t="s">
        <v>17416</v>
      </c>
      <c r="G282" s="609"/>
      <c r="H282" s="2911"/>
      <c r="I282" s="2911" t="s">
        <v>15369</v>
      </c>
      <c r="J282" s="609" t="s">
        <v>93</v>
      </c>
      <c r="K282" s="609"/>
      <c r="L282" s="417">
        <v>12700087</v>
      </c>
      <c r="M282" s="609" t="s">
        <v>251</v>
      </c>
      <c r="N282" s="612">
        <v>45426</v>
      </c>
      <c r="O282" s="612">
        <v>45461</v>
      </c>
      <c r="P282" s="612">
        <v>45467</v>
      </c>
      <c r="Q282" s="2911" t="s">
        <v>13761</v>
      </c>
      <c r="R282" s="609"/>
      <c r="S282" s="417">
        <v>12699938.550000001</v>
      </c>
      <c r="T282" s="417">
        <v>14223931.18</v>
      </c>
      <c r="U282" s="1480"/>
      <c r="V282" s="1480"/>
      <c r="W282" s="1480"/>
      <c r="X282" s="513">
        <v>45467</v>
      </c>
      <c r="Y282" s="417" t="s">
        <v>17735</v>
      </c>
      <c r="Z282" s="612">
        <v>45485</v>
      </c>
      <c r="AA282" s="612">
        <v>45502</v>
      </c>
      <c r="AB282" s="612">
        <v>46719</v>
      </c>
      <c r="AC282" s="2976"/>
      <c r="AD282" s="2976"/>
      <c r="AE282" s="118">
        <v>1</v>
      </c>
      <c r="AF282" s="118" t="s">
        <v>17961</v>
      </c>
    </row>
    <row r="283" spans="1:44" ht="15.75" thickTop="1">
      <c r="A283" s="456">
        <v>45418</v>
      </c>
      <c r="B283" s="2292" t="s">
        <v>17439</v>
      </c>
      <c r="C283" s="943" t="s">
        <v>16536</v>
      </c>
      <c r="D283" s="943" t="s">
        <v>15129</v>
      </c>
      <c r="E283" s="943" t="s">
        <v>15813</v>
      </c>
      <c r="F283" s="713" t="s">
        <v>17421</v>
      </c>
      <c r="G283" s="943">
        <v>1</v>
      </c>
      <c r="H283" s="2292" t="s">
        <v>17435</v>
      </c>
      <c r="I283" s="2292" t="s">
        <v>15369</v>
      </c>
      <c r="J283" s="943" t="s">
        <v>3265</v>
      </c>
      <c r="K283" s="943"/>
      <c r="L283" s="457">
        <v>2643583</v>
      </c>
      <c r="M283" s="943" t="s">
        <v>251</v>
      </c>
      <c r="N283" s="456">
        <v>45427</v>
      </c>
      <c r="O283" s="456">
        <v>45462</v>
      </c>
      <c r="P283" s="456">
        <v>45488</v>
      </c>
      <c r="Q283" s="2292" t="s">
        <v>8542</v>
      </c>
      <c r="R283" s="943"/>
      <c r="S283" s="457">
        <v>2613552.6</v>
      </c>
      <c r="T283" s="457">
        <v>2927178.91</v>
      </c>
      <c r="U283" s="1474"/>
      <c r="V283" s="1474"/>
      <c r="W283" s="1474"/>
      <c r="X283" s="570">
        <v>45488</v>
      </c>
      <c r="Y283" s="457" t="s">
        <v>17944</v>
      </c>
      <c r="Z283" s="456">
        <v>45510</v>
      </c>
      <c r="AA283" s="456">
        <v>45512</v>
      </c>
      <c r="AB283" s="456">
        <v>46604</v>
      </c>
      <c r="AC283" s="2976"/>
      <c r="AD283" s="2976"/>
      <c r="AE283" s="118">
        <v>2</v>
      </c>
    </row>
    <row r="284" spans="1:44">
      <c r="A284" s="3070">
        <v>45418</v>
      </c>
      <c r="B284" s="2289" t="s">
        <v>17440</v>
      </c>
      <c r="C284" s="2877" t="s">
        <v>16536</v>
      </c>
      <c r="D284" s="2877" t="s">
        <v>15129</v>
      </c>
      <c r="E284" s="2877" t="s">
        <v>15813</v>
      </c>
      <c r="F284" s="2913" t="s">
        <v>17421</v>
      </c>
      <c r="G284" s="2877">
        <v>2</v>
      </c>
      <c r="H284" s="2289" t="s">
        <v>17436</v>
      </c>
      <c r="I284" s="2289" t="s">
        <v>15369</v>
      </c>
      <c r="J284" s="2877" t="s">
        <v>3265</v>
      </c>
      <c r="K284" s="2877"/>
      <c r="L284" s="2144">
        <v>1282304</v>
      </c>
      <c r="M284" s="2877" t="s">
        <v>251</v>
      </c>
      <c r="N284" s="3070">
        <v>45427</v>
      </c>
      <c r="O284" s="3070">
        <v>45462</v>
      </c>
      <c r="P284" s="3070">
        <v>45488</v>
      </c>
      <c r="Q284" s="2289" t="s">
        <v>8542</v>
      </c>
      <c r="R284" s="2877"/>
      <c r="S284" s="2144">
        <v>1275009.3</v>
      </c>
      <c r="T284" s="2144">
        <v>1428010.42</v>
      </c>
      <c r="U284" s="2145"/>
      <c r="V284" s="2145"/>
      <c r="W284" s="2145"/>
      <c r="X284" s="2146">
        <v>45488</v>
      </c>
      <c r="Y284" s="2144" t="s">
        <v>17945</v>
      </c>
      <c r="Z284" s="3070">
        <v>45510</v>
      </c>
      <c r="AA284" s="3070">
        <v>45512</v>
      </c>
      <c r="AB284" s="3070">
        <v>46604</v>
      </c>
      <c r="AC284" s="2976"/>
      <c r="AD284" s="2976"/>
      <c r="AE284" s="118">
        <v>1</v>
      </c>
    </row>
    <row r="285" spans="1:44">
      <c r="A285" s="3070">
        <v>45418</v>
      </c>
      <c r="B285" s="2289" t="s">
        <v>17441</v>
      </c>
      <c r="C285" s="2877" t="s">
        <v>16536</v>
      </c>
      <c r="D285" s="2877" t="s">
        <v>15129</v>
      </c>
      <c r="E285" s="2877" t="s">
        <v>15813</v>
      </c>
      <c r="F285" s="2913" t="s">
        <v>17421</v>
      </c>
      <c r="G285" s="2877">
        <v>3</v>
      </c>
      <c r="H285" s="2289" t="s">
        <v>17437</v>
      </c>
      <c r="I285" s="2289" t="s">
        <v>15369</v>
      </c>
      <c r="J285" s="2877" t="s">
        <v>3265</v>
      </c>
      <c r="K285" s="2877"/>
      <c r="L285" s="2144">
        <v>3322992</v>
      </c>
      <c r="M285" s="2877" t="s">
        <v>251</v>
      </c>
      <c r="N285" s="3070">
        <v>45427</v>
      </c>
      <c r="O285" s="3070">
        <v>45462</v>
      </c>
      <c r="P285" s="3070">
        <v>45488</v>
      </c>
      <c r="Q285" s="2289" t="s">
        <v>1564</v>
      </c>
      <c r="R285" s="2877"/>
      <c r="S285" s="2144">
        <v>3322992</v>
      </c>
      <c r="T285" s="2144">
        <v>3721751.04</v>
      </c>
      <c r="U285" s="2145"/>
      <c r="V285" s="2145"/>
      <c r="W285" s="2145"/>
      <c r="X285" s="2146">
        <v>45488</v>
      </c>
      <c r="Y285" s="2144" t="s">
        <v>17946</v>
      </c>
      <c r="Z285" s="3070">
        <v>45510</v>
      </c>
      <c r="AA285" s="3070">
        <v>45512</v>
      </c>
      <c r="AB285" s="3070">
        <v>46604</v>
      </c>
      <c r="AC285" s="2976"/>
      <c r="AD285" s="2976"/>
      <c r="AE285" s="118">
        <v>1</v>
      </c>
    </row>
    <row r="286" spans="1:44" ht="15.75" thickBot="1">
      <c r="A286" s="3109">
        <v>45418</v>
      </c>
      <c r="B286" s="2291" t="s">
        <v>17442</v>
      </c>
      <c r="C286" s="2290" t="s">
        <v>16536</v>
      </c>
      <c r="D286" s="2290" t="s">
        <v>15129</v>
      </c>
      <c r="E286" s="2290" t="s">
        <v>15813</v>
      </c>
      <c r="F286" s="2912" t="s">
        <v>17421</v>
      </c>
      <c r="G286" s="2290">
        <v>4</v>
      </c>
      <c r="H286" s="2291" t="s">
        <v>17438</v>
      </c>
      <c r="I286" s="2291" t="s">
        <v>15369</v>
      </c>
      <c r="J286" s="2290" t="s">
        <v>3265</v>
      </c>
      <c r="K286" s="2290"/>
      <c r="L286" s="2121">
        <v>3252012</v>
      </c>
      <c r="M286" s="2290" t="s">
        <v>251</v>
      </c>
      <c r="N286" s="3109">
        <v>45427</v>
      </c>
      <c r="O286" s="3109">
        <v>45462</v>
      </c>
      <c r="P286" s="3109">
        <v>45488</v>
      </c>
      <c r="Q286" s="2291" t="s">
        <v>576</v>
      </c>
      <c r="R286" s="2290"/>
      <c r="S286" s="2121">
        <v>3207589.2</v>
      </c>
      <c r="T286" s="2121">
        <v>3592499.9</v>
      </c>
      <c r="U286" s="2122"/>
      <c r="V286" s="2122"/>
      <c r="W286" s="2122"/>
      <c r="X286" s="2123">
        <v>45488</v>
      </c>
      <c r="Y286" s="2121" t="s">
        <v>17947</v>
      </c>
      <c r="Z286" s="3109">
        <v>45510</v>
      </c>
      <c r="AA286" s="3109">
        <v>45512</v>
      </c>
      <c r="AB286" s="3109">
        <v>46604</v>
      </c>
      <c r="AC286" s="2976"/>
      <c r="AD286" s="2976"/>
      <c r="AE286" s="118">
        <v>1</v>
      </c>
    </row>
    <row r="287" spans="1:44" ht="15.75" thickTop="1">
      <c r="A287" s="3071">
        <v>45467</v>
      </c>
      <c r="B287" s="2036" t="s">
        <v>17724</v>
      </c>
      <c r="C287" s="3072" t="s">
        <v>52</v>
      </c>
      <c r="D287" s="3072" t="s">
        <v>10114</v>
      </c>
      <c r="E287" s="3072" t="s">
        <v>13950</v>
      </c>
      <c r="F287" s="3073" t="s">
        <v>17725</v>
      </c>
      <c r="G287" s="3072"/>
      <c r="H287" s="2036"/>
      <c r="I287" s="2036" t="s">
        <v>4837</v>
      </c>
      <c r="J287" s="3072" t="s">
        <v>17726</v>
      </c>
      <c r="K287" s="3072"/>
      <c r="L287" s="429">
        <v>2300000</v>
      </c>
      <c r="M287" s="3072" t="s">
        <v>216</v>
      </c>
      <c r="N287" s="3071">
        <v>45475</v>
      </c>
      <c r="O287" s="3071">
        <v>45497</v>
      </c>
      <c r="P287" s="3071"/>
      <c r="Q287" s="2036"/>
      <c r="R287" s="3072"/>
      <c r="S287" s="429"/>
      <c r="T287" s="429"/>
      <c r="U287" s="1483"/>
      <c r="V287" s="1483"/>
      <c r="W287" s="1483"/>
      <c r="X287" s="1384"/>
      <c r="Y287" s="429"/>
      <c r="Z287" s="3071"/>
      <c r="AA287" s="3071"/>
      <c r="AB287" s="3345" t="s">
        <v>18512</v>
      </c>
      <c r="AC287" s="2976"/>
      <c r="AD287" s="2976"/>
      <c r="AE287" s="118">
        <v>4</v>
      </c>
    </row>
    <row r="288" spans="1:44">
      <c r="A288" s="252">
        <v>45418</v>
      </c>
      <c r="B288" s="3110" t="s">
        <v>17413</v>
      </c>
      <c r="C288" s="363" t="s">
        <v>16536</v>
      </c>
      <c r="D288" s="363" t="s">
        <v>15131</v>
      </c>
      <c r="E288" s="363" t="s">
        <v>15813</v>
      </c>
      <c r="F288" s="362" t="s">
        <v>17414</v>
      </c>
      <c r="G288" s="363"/>
      <c r="H288" s="3110"/>
      <c r="I288" s="3110" t="s">
        <v>15369</v>
      </c>
      <c r="J288" s="363" t="s">
        <v>93</v>
      </c>
      <c r="K288" s="363"/>
      <c r="L288" s="364">
        <v>3073773</v>
      </c>
      <c r="M288" s="363" t="s">
        <v>251</v>
      </c>
      <c r="N288" s="252">
        <v>45427</v>
      </c>
      <c r="O288" s="252">
        <v>45462</v>
      </c>
      <c r="P288" s="252">
        <v>45488</v>
      </c>
      <c r="Q288" s="3110" t="s">
        <v>576</v>
      </c>
      <c r="R288" s="363"/>
      <c r="S288" s="364">
        <v>3063984.3</v>
      </c>
      <c r="T288" s="364">
        <v>3431662.42</v>
      </c>
      <c r="U288" s="1473"/>
      <c r="V288" s="1473"/>
      <c r="W288" s="1473"/>
      <c r="X288" s="681">
        <v>45488</v>
      </c>
      <c r="Y288" s="364" t="s">
        <v>17965</v>
      </c>
      <c r="Z288" s="252">
        <v>45517</v>
      </c>
      <c r="AA288" s="252">
        <v>45525</v>
      </c>
      <c r="AB288" s="252">
        <v>46734</v>
      </c>
      <c r="AC288" s="2976"/>
      <c r="AD288" s="2976"/>
      <c r="AE288" s="118">
        <v>4</v>
      </c>
      <c r="AF288" s="118" t="s">
        <v>18124</v>
      </c>
    </row>
    <row r="289" spans="1:32">
      <c r="A289" s="3070">
        <v>45418</v>
      </c>
      <c r="B289" s="2289" t="s">
        <v>17417</v>
      </c>
      <c r="C289" s="2877" t="s">
        <v>16536</v>
      </c>
      <c r="D289" s="2877" t="s">
        <v>15131</v>
      </c>
      <c r="E289" s="2877" t="s">
        <v>13949</v>
      </c>
      <c r="F289" s="2913" t="s">
        <v>17418</v>
      </c>
      <c r="G289" s="2877"/>
      <c r="H289" s="2289"/>
      <c r="I289" s="2289" t="s">
        <v>15369</v>
      </c>
      <c r="J289" s="2877" t="s">
        <v>816</v>
      </c>
      <c r="K289" s="2877"/>
      <c r="L289" s="2144">
        <v>9606557</v>
      </c>
      <c r="M289" s="2877" t="s">
        <v>251</v>
      </c>
      <c r="N289" s="3070">
        <v>45421</v>
      </c>
      <c r="O289" s="3070">
        <v>45456</v>
      </c>
      <c r="P289" s="3070">
        <v>45469</v>
      </c>
      <c r="Q289" s="2289" t="s">
        <v>2534</v>
      </c>
      <c r="R289" s="2877"/>
      <c r="S289" s="2144">
        <v>9606555.7200000007</v>
      </c>
      <c r="T289" s="2144">
        <v>10759342.41</v>
      </c>
      <c r="U289" s="2145"/>
      <c r="V289" s="2145"/>
      <c r="W289" s="2145"/>
      <c r="X289" s="2146">
        <v>45469</v>
      </c>
      <c r="Y289" s="2144" t="s">
        <v>17754</v>
      </c>
      <c r="Z289" s="3070">
        <v>45506</v>
      </c>
      <c r="AA289" s="3070">
        <v>45510</v>
      </c>
      <c r="AB289" s="3070">
        <v>46700</v>
      </c>
      <c r="AC289" s="2976"/>
      <c r="AD289" s="2976"/>
      <c r="AE289" s="118">
        <v>1</v>
      </c>
      <c r="AF289" s="118" t="s">
        <v>18075</v>
      </c>
    </row>
    <row r="290" spans="1:32">
      <c r="A290" s="3070">
        <v>45418</v>
      </c>
      <c r="B290" s="2289" t="s">
        <v>17419</v>
      </c>
      <c r="C290" s="2877" t="s">
        <v>16536</v>
      </c>
      <c r="D290" s="2877" t="s">
        <v>15131</v>
      </c>
      <c r="E290" s="2877" t="s">
        <v>13949</v>
      </c>
      <c r="F290" s="2913" t="s">
        <v>17420</v>
      </c>
      <c r="G290" s="2877"/>
      <c r="H290" s="2289"/>
      <c r="I290" s="2289" t="s">
        <v>15369</v>
      </c>
      <c r="J290" s="2877" t="s">
        <v>93</v>
      </c>
      <c r="K290" s="2877"/>
      <c r="L290" s="2144">
        <v>2357265</v>
      </c>
      <c r="M290" s="2877" t="s">
        <v>251</v>
      </c>
      <c r="N290" s="3070">
        <v>45426</v>
      </c>
      <c r="O290" s="3070">
        <v>45485</v>
      </c>
      <c r="P290" s="3070">
        <v>45519</v>
      </c>
      <c r="Q290" s="2289" t="s">
        <v>1319</v>
      </c>
      <c r="R290" s="2877"/>
      <c r="S290" s="2144">
        <v>2357263.5</v>
      </c>
      <c r="T290" s="2144">
        <v>2640135.12</v>
      </c>
      <c r="U290" s="2145"/>
      <c r="V290" s="2145"/>
      <c r="W290" s="2145"/>
      <c r="X290" s="2146">
        <v>45519</v>
      </c>
      <c r="Y290" s="2144" t="s">
        <v>18143</v>
      </c>
      <c r="Z290" s="3070">
        <v>45534</v>
      </c>
      <c r="AA290" s="3070">
        <v>45537</v>
      </c>
      <c r="AB290" s="3070">
        <v>46720</v>
      </c>
      <c r="AC290" s="2976"/>
      <c r="AD290" s="2976"/>
      <c r="AE290" s="118">
        <v>1</v>
      </c>
      <c r="AF290" s="118" t="s">
        <v>18312</v>
      </c>
    </row>
    <row r="291" spans="1:32">
      <c r="A291" s="3067">
        <v>45418</v>
      </c>
      <c r="B291" s="3068" t="s">
        <v>17424</v>
      </c>
      <c r="C291" s="3069" t="s">
        <v>16536</v>
      </c>
      <c r="D291" s="3069" t="s">
        <v>15131</v>
      </c>
      <c r="E291" s="3069" t="s">
        <v>13949</v>
      </c>
      <c r="F291" s="2914" t="s">
        <v>17425</v>
      </c>
      <c r="G291" s="3069"/>
      <c r="H291" s="3068"/>
      <c r="I291" s="3068" t="s">
        <v>242</v>
      </c>
      <c r="J291" s="3069" t="s">
        <v>671</v>
      </c>
      <c r="K291" s="3069"/>
      <c r="L291" s="2128">
        <v>3176250</v>
      </c>
      <c r="M291" s="3069" t="s">
        <v>251</v>
      </c>
      <c r="N291" s="3067">
        <v>45427</v>
      </c>
      <c r="O291" s="3067">
        <v>45462</v>
      </c>
      <c r="P291" s="3067"/>
      <c r="Q291" s="2136" t="s">
        <v>17600</v>
      </c>
      <c r="R291" s="2320" t="s">
        <v>17772</v>
      </c>
      <c r="S291" s="2128"/>
      <c r="T291" s="2128"/>
      <c r="U291" s="2129"/>
      <c r="V291" s="2129"/>
      <c r="W291" s="2129"/>
      <c r="X291" s="2281"/>
      <c r="Y291" s="2128"/>
      <c r="Z291" s="3067"/>
      <c r="AA291" s="3067">
        <v>45468</v>
      </c>
      <c r="AB291" s="3067" t="s">
        <v>17651</v>
      </c>
      <c r="AC291" s="2976"/>
      <c r="AD291" s="2976"/>
    </row>
    <row r="292" spans="1:32">
      <c r="A292" s="3070">
        <v>45418</v>
      </c>
      <c r="B292" s="2289" t="s">
        <v>17426</v>
      </c>
      <c r="C292" s="2877" t="s">
        <v>16536</v>
      </c>
      <c r="D292" s="2877" t="s">
        <v>15131</v>
      </c>
      <c r="E292" s="2877" t="s">
        <v>15813</v>
      </c>
      <c r="F292" s="2913" t="s">
        <v>17428</v>
      </c>
      <c r="G292" s="2877"/>
      <c r="H292" s="2289"/>
      <c r="I292" s="2289" t="s">
        <v>15369</v>
      </c>
      <c r="J292" s="2877" t="s">
        <v>17427</v>
      </c>
      <c r="K292" s="2877"/>
      <c r="L292" s="2144">
        <v>1744935</v>
      </c>
      <c r="M292" s="2877" t="s">
        <v>251</v>
      </c>
      <c r="N292" s="3070">
        <v>45426</v>
      </c>
      <c r="O292" s="3070">
        <v>45461</v>
      </c>
      <c r="P292" s="3070">
        <v>45475</v>
      </c>
      <c r="Q292" s="2289" t="s">
        <v>576</v>
      </c>
      <c r="R292" s="2877"/>
      <c r="S292" s="2144">
        <v>1718911.05</v>
      </c>
      <c r="T292" s="2144">
        <v>1925180.38</v>
      </c>
      <c r="U292" s="2145"/>
      <c r="V292" s="2145"/>
      <c r="W292" s="2145"/>
      <c r="X292" s="2146">
        <v>45475</v>
      </c>
      <c r="Y292" s="2144" t="s">
        <v>17810</v>
      </c>
      <c r="Z292" s="3070">
        <v>45492</v>
      </c>
      <c r="AA292" s="3070">
        <v>45498</v>
      </c>
      <c r="AB292" s="3070">
        <v>46715</v>
      </c>
      <c r="AC292" s="2976"/>
      <c r="AD292" s="2976"/>
      <c r="AE292" s="118">
        <v>1</v>
      </c>
      <c r="AF292" s="118" t="s">
        <v>17956</v>
      </c>
    </row>
    <row r="293" spans="1:32">
      <c r="A293" s="3047">
        <v>45421</v>
      </c>
      <c r="B293" s="3018" t="s">
        <v>17461</v>
      </c>
      <c r="C293" s="3048" t="s">
        <v>2434</v>
      </c>
      <c r="D293" s="3048" t="s">
        <v>3204</v>
      </c>
      <c r="E293" s="3048" t="s">
        <v>13948</v>
      </c>
      <c r="F293" s="3049" t="s">
        <v>17462</v>
      </c>
      <c r="G293" s="3048"/>
      <c r="H293" s="3018"/>
      <c r="I293" s="3018" t="s">
        <v>4837</v>
      </c>
      <c r="J293" s="3048" t="s">
        <v>642</v>
      </c>
      <c r="K293" s="3048"/>
      <c r="L293" s="2157">
        <v>1142480</v>
      </c>
      <c r="M293" s="3048" t="s">
        <v>251</v>
      </c>
      <c r="N293" s="3047">
        <v>45436</v>
      </c>
      <c r="O293" s="3047">
        <v>45511</v>
      </c>
      <c r="P293" s="3047"/>
      <c r="Q293" s="3018"/>
      <c r="R293" s="3048"/>
      <c r="S293" s="2157"/>
      <c r="T293" s="2157"/>
      <c r="U293" s="2094"/>
      <c r="V293" s="2094"/>
      <c r="W293" s="2094"/>
      <c r="X293" s="2160"/>
      <c r="Y293" s="2157"/>
      <c r="Z293" s="3047"/>
      <c r="AA293" s="3047"/>
      <c r="AB293" s="3391" t="s">
        <v>18699</v>
      </c>
      <c r="AC293" s="2976"/>
      <c r="AD293" s="2976"/>
      <c r="AE293" s="118">
        <v>6</v>
      </c>
    </row>
    <row r="294" spans="1:32" ht="45">
      <c r="A294" s="3070">
        <v>45436</v>
      </c>
      <c r="B294" s="2289" t="s">
        <v>17531</v>
      </c>
      <c r="C294" s="2877" t="s">
        <v>58</v>
      </c>
      <c r="D294" s="2877" t="s">
        <v>15443</v>
      </c>
      <c r="E294" s="2877" t="s">
        <v>13950</v>
      </c>
      <c r="F294" s="2913" t="s">
        <v>17532</v>
      </c>
      <c r="G294" s="2877"/>
      <c r="H294" s="2289"/>
      <c r="I294" s="2289" t="s">
        <v>15369</v>
      </c>
      <c r="J294" s="2877" t="s">
        <v>275</v>
      </c>
      <c r="K294" s="2877" t="s">
        <v>18562</v>
      </c>
      <c r="L294" s="2144">
        <v>3715561.2</v>
      </c>
      <c r="M294" s="2877" t="s">
        <v>251</v>
      </c>
      <c r="N294" s="3070">
        <v>45447</v>
      </c>
      <c r="O294" s="3070">
        <v>45481</v>
      </c>
      <c r="P294" s="3070">
        <v>45511</v>
      </c>
      <c r="Q294" s="2289" t="s">
        <v>18016</v>
      </c>
      <c r="R294" s="2877"/>
      <c r="S294" s="2144">
        <v>2578665.38</v>
      </c>
      <c r="T294" s="2144">
        <v>3120185.12</v>
      </c>
      <c r="U294" s="2145"/>
      <c r="V294" s="2145"/>
      <c r="W294" s="2145"/>
      <c r="X294" s="2146">
        <v>45512</v>
      </c>
      <c r="Y294" s="2260" t="s">
        <v>18089</v>
      </c>
      <c r="Z294" s="3070">
        <v>45532</v>
      </c>
      <c r="AA294" s="3070">
        <v>45555</v>
      </c>
      <c r="AB294" s="3070">
        <v>45562</v>
      </c>
      <c r="AC294" s="2976"/>
      <c r="AD294" s="2976"/>
      <c r="AE294" s="118">
        <v>1</v>
      </c>
    </row>
    <row r="295" spans="1:32" ht="30">
      <c r="A295" s="3070" t="s">
        <v>16885</v>
      </c>
      <c r="B295" s="2289" t="s">
        <v>17454</v>
      </c>
      <c r="C295" s="2877" t="s">
        <v>58</v>
      </c>
      <c r="D295" s="2877" t="s">
        <v>15443</v>
      </c>
      <c r="E295" s="2877" t="s">
        <v>13948</v>
      </c>
      <c r="F295" s="2913" t="s">
        <v>17455</v>
      </c>
      <c r="G295" s="2877"/>
      <c r="H295" s="2289"/>
      <c r="I295" s="2289" t="s">
        <v>15369</v>
      </c>
      <c r="J295" s="2877" t="s">
        <v>421</v>
      </c>
      <c r="K295" s="2877" t="s">
        <v>17456</v>
      </c>
      <c r="L295" s="2144">
        <v>5089999</v>
      </c>
      <c r="M295" s="2877" t="s">
        <v>251</v>
      </c>
      <c r="N295" s="3070">
        <v>45426</v>
      </c>
      <c r="O295" s="3070">
        <v>45462</v>
      </c>
      <c r="P295" s="3070">
        <v>45482</v>
      </c>
      <c r="Q295" s="2289" t="s">
        <v>11196</v>
      </c>
      <c r="R295" s="2877"/>
      <c r="S295" s="2144">
        <v>5082500</v>
      </c>
      <c r="T295" s="2144">
        <v>6149825</v>
      </c>
      <c r="U295" s="2145"/>
      <c r="V295" s="2145"/>
      <c r="W295" s="2145"/>
      <c r="X295" s="2146">
        <v>45482</v>
      </c>
      <c r="Y295" s="2260" t="s">
        <v>17861</v>
      </c>
      <c r="Z295" s="3070">
        <v>45503</v>
      </c>
      <c r="AA295" s="3070">
        <v>45516</v>
      </c>
      <c r="AB295" s="3070">
        <v>45548</v>
      </c>
      <c r="AC295" s="2976"/>
      <c r="AD295" s="2976"/>
      <c r="AE295" s="118">
        <v>1</v>
      </c>
    </row>
    <row r="296" spans="1:32">
      <c r="A296" s="3070">
        <v>45422</v>
      </c>
      <c r="B296" s="2289" t="s">
        <v>17457</v>
      </c>
      <c r="C296" s="2877" t="s">
        <v>52</v>
      </c>
      <c r="D296" s="2877" t="s">
        <v>7503</v>
      </c>
      <c r="E296" s="2877" t="s">
        <v>13950</v>
      </c>
      <c r="F296" s="2913" t="s">
        <v>17458</v>
      </c>
      <c r="G296" s="2877"/>
      <c r="H296" s="2289"/>
      <c r="I296" s="2289" t="s">
        <v>15369</v>
      </c>
      <c r="J296" s="2877" t="s">
        <v>33</v>
      </c>
      <c r="K296" s="2877" t="s">
        <v>16395</v>
      </c>
      <c r="L296" s="2144">
        <v>9850000</v>
      </c>
      <c r="M296" s="2877" t="s">
        <v>216</v>
      </c>
      <c r="N296" s="3070">
        <v>45427</v>
      </c>
      <c r="O296" s="3070">
        <v>45448</v>
      </c>
      <c r="P296" s="3070">
        <v>45449</v>
      </c>
      <c r="Q296" s="2289" t="s">
        <v>10627</v>
      </c>
      <c r="R296" s="2877"/>
      <c r="S296" s="2144">
        <v>10399788.939999999</v>
      </c>
      <c r="T296" s="2144">
        <v>12583744.619999999</v>
      </c>
      <c r="U296" s="2145"/>
      <c r="V296" s="2145"/>
      <c r="W296" s="2145"/>
      <c r="X296" s="2146">
        <v>45449</v>
      </c>
      <c r="Y296" s="2144" t="s">
        <v>17598</v>
      </c>
      <c r="Z296" s="3070">
        <v>45468</v>
      </c>
      <c r="AA296" s="3070">
        <v>45484</v>
      </c>
      <c r="AB296" s="3070"/>
      <c r="AC296" s="2976"/>
      <c r="AD296" s="2976"/>
      <c r="AE296" s="118">
        <v>2</v>
      </c>
    </row>
    <row r="297" spans="1:32" ht="30">
      <c r="A297" s="612">
        <v>45425</v>
      </c>
      <c r="B297" s="2911" t="s">
        <v>17459</v>
      </c>
      <c r="C297" s="609" t="s">
        <v>2434</v>
      </c>
      <c r="D297" s="609" t="s">
        <v>3204</v>
      </c>
      <c r="E297" s="609" t="s">
        <v>13948</v>
      </c>
      <c r="F297" s="610" t="s">
        <v>17460</v>
      </c>
      <c r="G297" s="609"/>
      <c r="H297" s="2911"/>
      <c r="I297" s="2911" t="s">
        <v>15369</v>
      </c>
      <c r="J297" s="609" t="s">
        <v>642</v>
      </c>
      <c r="K297" s="609"/>
      <c r="L297" s="417">
        <v>2280992</v>
      </c>
      <c r="M297" s="609" t="s">
        <v>251</v>
      </c>
      <c r="N297" s="612">
        <v>45434</v>
      </c>
      <c r="O297" s="612">
        <v>45474</v>
      </c>
      <c r="P297" s="612">
        <v>45526</v>
      </c>
      <c r="Q297" s="2911" t="s">
        <v>18136</v>
      </c>
      <c r="R297" s="609"/>
      <c r="S297" s="417">
        <v>716000</v>
      </c>
      <c r="T297" s="417">
        <v>716000</v>
      </c>
      <c r="U297" s="1480"/>
      <c r="V297" s="1480"/>
      <c r="W297" s="1480"/>
      <c r="X297" s="513">
        <v>45526</v>
      </c>
      <c r="Y297" s="1553" t="s">
        <v>18207</v>
      </c>
      <c r="Z297" s="612">
        <v>45548</v>
      </c>
      <c r="AA297" s="612">
        <v>45555</v>
      </c>
      <c r="AB297" s="612">
        <v>47008</v>
      </c>
      <c r="AC297" s="2976"/>
      <c r="AD297" s="2976"/>
      <c r="AE297" s="118">
        <v>3</v>
      </c>
    </row>
    <row r="298" spans="1:32" ht="15.75" thickBot="1">
      <c r="A298" s="3131">
        <v>45434</v>
      </c>
      <c r="B298" s="3118" t="s">
        <v>17514</v>
      </c>
      <c r="C298" s="3119" t="s">
        <v>58</v>
      </c>
      <c r="D298" s="3119" t="s">
        <v>15443</v>
      </c>
      <c r="E298" s="3119" t="s">
        <v>13950</v>
      </c>
      <c r="F298" s="3136" t="s">
        <v>17515</v>
      </c>
      <c r="G298" s="3119"/>
      <c r="H298" s="3118"/>
      <c r="I298" s="3118" t="s">
        <v>242</v>
      </c>
      <c r="J298" s="3119" t="s">
        <v>2550</v>
      </c>
      <c r="K298" s="3119"/>
      <c r="L298" s="2134">
        <v>202260</v>
      </c>
      <c r="M298" s="3119" t="s">
        <v>251</v>
      </c>
      <c r="N298" s="3131">
        <v>45442</v>
      </c>
      <c r="O298" s="3131">
        <v>45477</v>
      </c>
      <c r="P298" s="3119"/>
      <c r="Q298" s="2137" t="s">
        <v>304</v>
      </c>
      <c r="R298" s="2287" t="s">
        <v>17964</v>
      </c>
      <c r="S298" s="2134"/>
      <c r="T298" s="2134"/>
      <c r="U298" s="2135"/>
      <c r="V298" s="2135"/>
      <c r="W298" s="2135"/>
      <c r="X298" s="2134"/>
      <c r="Y298" s="2134"/>
      <c r="Z298" s="3119"/>
      <c r="AA298" s="3131">
        <v>45484</v>
      </c>
      <c r="AB298" s="3118" t="s">
        <v>17825</v>
      </c>
      <c r="AC298" s="2976"/>
      <c r="AD298" s="2976"/>
    </row>
    <row r="299" spans="1:32" ht="15.75" thickTop="1">
      <c r="A299" s="3054">
        <v>45429</v>
      </c>
      <c r="B299" s="3055" t="s">
        <v>17486</v>
      </c>
      <c r="C299" s="3056" t="s">
        <v>16537</v>
      </c>
      <c r="D299" s="3056" t="s">
        <v>13844</v>
      </c>
      <c r="E299" s="3056" t="s">
        <v>13949</v>
      </c>
      <c r="F299" s="3057" t="s">
        <v>17489</v>
      </c>
      <c r="G299" s="3056">
        <v>1</v>
      </c>
      <c r="H299" s="3055" t="s">
        <v>17585</v>
      </c>
      <c r="I299" s="3055" t="s">
        <v>15369</v>
      </c>
      <c r="J299" s="3056" t="s">
        <v>42</v>
      </c>
      <c r="K299" s="3056"/>
      <c r="L299" s="636">
        <v>714067</v>
      </c>
      <c r="M299" s="3056" t="s">
        <v>112</v>
      </c>
      <c r="N299" s="3054">
        <v>45450</v>
      </c>
      <c r="O299" s="3054">
        <v>45474</v>
      </c>
      <c r="P299" s="3054">
        <v>45483</v>
      </c>
      <c r="Q299" s="3055" t="s">
        <v>14677</v>
      </c>
      <c r="R299" s="3056"/>
      <c r="S299" s="636">
        <v>385416.82</v>
      </c>
      <c r="T299" s="636">
        <v>466354.35</v>
      </c>
      <c r="U299" s="2725"/>
      <c r="V299" s="2725"/>
      <c r="W299" s="2725"/>
      <c r="X299" s="2726">
        <v>45483</v>
      </c>
      <c r="Y299" s="636" t="s">
        <v>17868</v>
      </c>
      <c r="Z299" s="3054">
        <v>45489</v>
      </c>
      <c r="AA299" s="3054">
        <v>45490</v>
      </c>
      <c r="AB299" s="3054">
        <v>45853</v>
      </c>
      <c r="AC299" s="2976"/>
      <c r="AD299" s="2976"/>
      <c r="AE299" s="118">
        <v>2</v>
      </c>
    </row>
    <row r="300" spans="1:32">
      <c r="A300" s="3081">
        <v>45429</v>
      </c>
      <c r="B300" s="3082" t="s">
        <v>17487</v>
      </c>
      <c r="C300" s="3083" t="s">
        <v>16537</v>
      </c>
      <c r="D300" s="3083" t="s">
        <v>13844</v>
      </c>
      <c r="E300" s="3083" t="s">
        <v>13949</v>
      </c>
      <c r="F300" s="3084" t="s">
        <v>17489</v>
      </c>
      <c r="G300" s="3083">
        <v>2</v>
      </c>
      <c r="H300" s="3082" t="s">
        <v>17586</v>
      </c>
      <c r="I300" s="3082" t="s">
        <v>242</v>
      </c>
      <c r="J300" s="3083" t="s">
        <v>42</v>
      </c>
      <c r="K300" s="3083"/>
      <c r="L300" s="645">
        <v>523755</v>
      </c>
      <c r="M300" s="3083" t="s">
        <v>112</v>
      </c>
      <c r="N300" s="3081">
        <v>45450</v>
      </c>
      <c r="O300" s="3081">
        <v>45474</v>
      </c>
      <c r="P300" s="3083"/>
      <c r="Q300" s="644" t="s">
        <v>4505</v>
      </c>
      <c r="R300" s="3083"/>
      <c r="S300" s="645"/>
      <c r="T300" s="645"/>
      <c r="U300" s="1534"/>
      <c r="V300" s="1534"/>
      <c r="W300" s="1534"/>
      <c r="X300" s="645"/>
      <c r="Y300" s="645"/>
      <c r="Z300" s="3083"/>
      <c r="AA300" s="3081">
        <v>45484</v>
      </c>
      <c r="AB300" s="3082"/>
      <c r="AC300" s="2976"/>
      <c r="AD300" s="2976"/>
    </row>
    <row r="301" spans="1:32" ht="15.75" thickBot="1">
      <c r="A301" s="3109">
        <v>45429</v>
      </c>
      <c r="B301" s="2291" t="s">
        <v>17488</v>
      </c>
      <c r="C301" s="2290" t="s">
        <v>16537</v>
      </c>
      <c r="D301" s="2290" t="s">
        <v>13844</v>
      </c>
      <c r="E301" s="2290" t="s">
        <v>13949</v>
      </c>
      <c r="F301" s="2912" t="s">
        <v>17489</v>
      </c>
      <c r="G301" s="2290">
        <v>3</v>
      </c>
      <c r="H301" s="2291" t="s">
        <v>17587</v>
      </c>
      <c r="I301" s="2291" t="s">
        <v>15369</v>
      </c>
      <c r="J301" s="2290" t="s">
        <v>42</v>
      </c>
      <c r="K301" s="2290"/>
      <c r="L301" s="2121">
        <v>345492</v>
      </c>
      <c r="M301" s="2290" t="s">
        <v>112</v>
      </c>
      <c r="N301" s="3109">
        <v>45450</v>
      </c>
      <c r="O301" s="3109">
        <v>45474</v>
      </c>
      <c r="P301" s="3109">
        <v>45483</v>
      </c>
      <c r="Q301" s="2291" t="s">
        <v>14677</v>
      </c>
      <c r="R301" s="2287"/>
      <c r="S301" s="2121">
        <v>213484.09</v>
      </c>
      <c r="T301" s="2121">
        <v>258315.75</v>
      </c>
      <c r="U301" s="2122"/>
      <c r="V301" s="2122"/>
      <c r="W301" s="2122"/>
      <c r="X301" s="2123">
        <v>45483</v>
      </c>
      <c r="Y301" s="2121" t="s">
        <v>17869</v>
      </c>
      <c r="Z301" s="3109">
        <v>45489</v>
      </c>
      <c r="AA301" s="3109">
        <v>45490</v>
      </c>
      <c r="AB301" s="3109">
        <v>45853</v>
      </c>
      <c r="AC301" s="2976"/>
      <c r="AD301" s="2976"/>
      <c r="AE301" s="118">
        <v>1</v>
      </c>
    </row>
    <row r="302" spans="1:32" ht="15.75" thickTop="1">
      <c r="A302" s="456">
        <v>45427</v>
      </c>
      <c r="B302" s="2292" t="s">
        <v>17470</v>
      </c>
      <c r="C302" s="943" t="s">
        <v>16536</v>
      </c>
      <c r="D302" s="943" t="s">
        <v>15129</v>
      </c>
      <c r="E302" s="943" t="s">
        <v>13949</v>
      </c>
      <c r="F302" s="713" t="s">
        <v>17471</v>
      </c>
      <c r="G302" s="943">
        <v>1</v>
      </c>
      <c r="H302" s="2292" t="s">
        <v>9662</v>
      </c>
      <c r="I302" s="2292" t="s">
        <v>15369</v>
      </c>
      <c r="J302" s="943" t="s">
        <v>93</v>
      </c>
      <c r="K302" s="943"/>
      <c r="L302" s="457">
        <v>167963794.80000001</v>
      </c>
      <c r="M302" s="943" t="s">
        <v>251</v>
      </c>
      <c r="N302" s="456">
        <v>45433</v>
      </c>
      <c r="O302" s="456">
        <v>45468</v>
      </c>
      <c r="P302" s="456">
        <v>45513</v>
      </c>
      <c r="Q302" s="2292" t="s">
        <v>576</v>
      </c>
      <c r="R302" s="943"/>
      <c r="S302" s="457">
        <v>85529322.370000005</v>
      </c>
      <c r="T302" s="457">
        <v>95792841.060000002</v>
      </c>
      <c r="U302" s="1474"/>
      <c r="V302" s="1474"/>
      <c r="W302" s="1474"/>
      <c r="X302" s="570">
        <v>45513</v>
      </c>
      <c r="Y302" s="457" t="s">
        <v>18114</v>
      </c>
      <c r="Z302" s="456">
        <v>45555</v>
      </c>
      <c r="AA302" s="456">
        <v>45559</v>
      </c>
      <c r="AB302" s="456">
        <v>46719</v>
      </c>
      <c r="AC302" s="2976"/>
      <c r="AD302" s="2976"/>
      <c r="AE302" s="118">
        <v>2</v>
      </c>
      <c r="AF302" s="118" t="s">
        <v>17961</v>
      </c>
    </row>
    <row r="303" spans="1:32" ht="15.75" thickBot="1">
      <c r="A303" s="3131">
        <v>45427</v>
      </c>
      <c r="B303" s="3118" t="s">
        <v>17472</v>
      </c>
      <c r="C303" s="3119" t="s">
        <v>16536</v>
      </c>
      <c r="D303" s="3119" t="s">
        <v>15129</v>
      </c>
      <c r="E303" s="3119" t="s">
        <v>13949</v>
      </c>
      <c r="F303" s="3136" t="s">
        <v>17471</v>
      </c>
      <c r="G303" s="3119">
        <v>2</v>
      </c>
      <c r="H303" s="3118" t="s">
        <v>9663</v>
      </c>
      <c r="I303" s="3118" t="s">
        <v>242</v>
      </c>
      <c r="J303" s="3119" t="s">
        <v>93</v>
      </c>
      <c r="K303" s="3119"/>
      <c r="L303" s="2134">
        <v>10343376</v>
      </c>
      <c r="M303" s="3119" t="s">
        <v>251</v>
      </c>
      <c r="N303" s="3131">
        <v>45433</v>
      </c>
      <c r="O303" s="3131">
        <v>45468</v>
      </c>
      <c r="P303" s="3119"/>
      <c r="Q303" s="2137" t="s">
        <v>304</v>
      </c>
      <c r="R303" s="2245"/>
      <c r="S303" s="2134"/>
      <c r="T303" s="2134"/>
      <c r="U303" s="2135"/>
      <c r="V303" s="2135"/>
      <c r="W303" s="2135"/>
      <c r="X303" s="2134"/>
      <c r="Y303" s="2134"/>
      <c r="Z303" s="3119"/>
      <c r="AA303" s="3131">
        <v>45513</v>
      </c>
      <c r="AB303" s="3119" t="s">
        <v>17974</v>
      </c>
      <c r="AC303" s="2976"/>
      <c r="AD303" s="2976"/>
    </row>
    <row r="304" spans="1:32" ht="15.75" thickTop="1">
      <c r="A304" s="252">
        <v>45427</v>
      </c>
      <c r="B304" s="3110" t="s">
        <v>17473</v>
      </c>
      <c r="C304" s="363" t="s">
        <v>16536</v>
      </c>
      <c r="D304" s="363" t="s">
        <v>15129</v>
      </c>
      <c r="E304" s="363" t="s">
        <v>13951</v>
      </c>
      <c r="F304" s="362" t="s">
        <v>17474</v>
      </c>
      <c r="G304" s="363"/>
      <c r="H304" s="3110"/>
      <c r="I304" s="3110" t="s">
        <v>15369</v>
      </c>
      <c r="J304" s="363" t="s">
        <v>3187</v>
      </c>
      <c r="K304" s="363"/>
      <c r="L304" s="364">
        <v>1601198</v>
      </c>
      <c r="M304" s="363" t="s">
        <v>112</v>
      </c>
      <c r="N304" s="252">
        <v>45432</v>
      </c>
      <c r="O304" s="252">
        <v>45453</v>
      </c>
      <c r="P304" s="252">
        <v>45460</v>
      </c>
      <c r="Q304" s="3110" t="s">
        <v>576</v>
      </c>
      <c r="R304" s="2014"/>
      <c r="S304" s="364">
        <v>1685859.36</v>
      </c>
      <c r="T304" s="364">
        <v>1888162.48</v>
      </c>
      <c r="U304" s="1473"/>
      <c r="V304" s="1473"/>
      <c r="W304" s="1473"/>
      <c r="X304" s="681">
        <v>45460</v>
      </c>
      <c r="Y304" s="364" t="s">
        <v>17664</v>
      </c>
      <c r="Z304" s="252">
        <v>45469</v>
      </c>
      <c r="AA304" s="252">
        <v>45469</v>
      </c>
      <c r="AB304" s="252">
        <v>46563</v>
      </c>
      <c r="AC304" s="2976"/>
      <c r="AD304" s="2976"/>
      <c r="AE304" s="118">
        <v>3</v>
      </c>
    </row>
    <row r="305" spans="1:32">
      <c r="A305" s="656">
        <v>45429</v>
      </c>
      <c r="B305" s="3061" t="s">
        <v>17490</v>
      </c>
      <c r="C305" s="3062" t="s">
        <v>2434</v>
      </c>
      <c r="D305" s="3062" t="s">
        <v>219</v>
      </c>
      <c r="E305" s="3062" t="s">
        <v>655</v>
      </c>
      <c r="F305" s="2914" t="s">
        <v>17491</v>
      </c>
      <c r="G305" s="3062"/>
      <c r="H305" s="3061"/>
      <c r="I305" s="3061" t="s">
        <v>242</v>
      </c>
      <c r="J305" s="3062" t="s">
        <v>780</v>
      </c>
      <c r="K305" s="3062"/>
      <c r="L305" s="472">
        <v>680000</v>
      </c>
      <c r="M305" s="3062" t="s">
        <v>112</v>
      </c>
      <c r="N305" s="656">
        <v>45436</v>
      </c>
      <c r="O305" s="656">
        <v>45455</v>
      </c>
      <c r="P305" s="3062"/>
      <c r="Q305" s="471" t="s">
        <v>4505</v>
      </c>
      <c r="R305" s="2014" t="s">
        <v>17865</v>
      </c>
      <c r="S305" s="472"/>
      <c r="T305" s="472"/>
      <c r="U305" s="1516"/>
      <c r="V305" s="1516"/>
      <c r="W305" s="1516"/>
      <c r="X305" s="472"/>
      <c r="Y305" s="472"/>
      <c r="Z305" s="3062"/>
      <c r="AA305" s="656">
        <v>45468</v>
      </c>
      <c r="AB305" s="3061"/>
      <c r="AC305" s="2976"/>
      <c r="AD305" s="2976"/>
      <c r="AE305" s="118">
        <v>1</v>
      </c>
    </row>
    <row r="306" spans="1:32">
      <c r="A306" s="3047">
        <v>45428</v>
      </c>
      <c r="B306" s="3018" t="s">
        <v>17477</v>
      </c>
      <c r="C306" s="3048" t="s">
        <v>2434</v>
      </c>
      <c r="D306" s="3048" t="s">
        <v>219</v>
      </c>
      <c r="E306" s="3048" t="s">
        <v>13948</v>
      </c>
      <c r="F306" s="3049" t="s">
        <v>17478</v>
      </c>
      <c r="G306" s="3048"/>
      <c r="H306" s="3018"/>
      <c r="I306" s="3018" t="s">
        <v>4837</v>
      </c>
      <c r="J306" s="3048" t="s">
        <v>17479</v>
      </c>
      <c r="K306" s="3048"/>
      <c r="L306" s="2157">
        <v>2685356</v>
      </c>
      <c r="M306" s="3048" t="s">
        <v>251</v>
      </c>
      <c r="N306" s="3047">
        <v>45433</v>
      </c>
      <c r="O306" s="3047">
        <v>45524</v>
      </c>
      <c r="P306" s="3048"/>
      <c r="Q306" s="3222"/>
      <c r="R306" s="2320"/>
      <c r="S306" s="2157"/>
      <c r="T306" s="2157"/>
      <c r="U306" s="2094"/>
      <c r="V306" s="2094"/>
      <c r="W306" s="2094"/>
      <c r="X306" s="2157"/>
      <c r="Y306" s="2157"/>
      <c r="Z306" s="3048"/>
      <c r="AA306" s="3047"/>
      <c r="AB306" s="3018"/>
      <c r="AC306" s="2976"/>
      <c r="AD306" s="2976"/>
      <c r="AE306" s="118">
        <v>1</v>
      </c>
    </row>
    <row r="307" spans="1:32">
      <c r="A307" s="3070">
        <v>45432</v>
      </c>
      <c r="B307" s="2289" t="s">
        <v>17494</v>
      </c>
      <c r="C307" s="2877" t="s">
        <v>2434</v>
      </c>
      <c r="D307" s="2877" t="s">
        <v>219</v>
      </c>
      <c r="E307" s="2877" t="s">
        <v>15813</v>
      </c>
      <c r="F307" s="2913" t="s">
        <v>9762</v>
      </c>
      <c r="G307" s="2877"/>
      <c r="H307" s="2289"/>
      <c r="I307" s="2289" t="s">
        <v>15369</v>
      </c>
      <c r="J307" s="2877" t="s">
        <v>9763</v>
      </c>
      <c r="K307" s="2877"/>
      <c r="L307" s="2144">
        <v>3882000</v>
      </c>
      <c r="M307" s="2877" t="s">
        <v>251</v>
      </c>
      <c r="N307" s="3070">
        <v>45440</v>
      </c>
      <c r="O307" s="3070">
        <v>45475</v>
      </c>
      <c r="P307" s="3070">
        <v>45504</v>
      </c>
      <c r="Q307" s="2289" t="s">
        <v>12177</v>
      </c>
      <c r="R307" s="2275"/>
      <c r="S307" s="2144">
        <v>4148000</v>
      </c>
      <c r="T307" s="2144">
        <v>4645760</v>
      </c>
      <c r="U307" s="2145"/>
      <c r="V307" s="2145"/>
      <c r="W307" s="2145"/>
      <c r="X307" s="2146">
        <v>45504</v>
      </c>
      <c r="Y307" s="2144" t="s">
        <v>18025</v>
      </c>
      <c r="Z307" s="3070">
        <v>45523</v>
      </c>
      <c r="AA307" s="3070">
        <v>45527</v>
      </c>
      <c r="AB307" s="3070">
        <v>47050</v>
      </c>
      <c r="AC307" s="2976"/>
      <c r="AD307" s="2976"/>
      <c r="AE307" s="118">
        <v>3</v>
      </c>
      <c r="AF307" s="118" t="s">
        <v>18186</v>
      </c>
    </row>
    <row r="308" spans="1:32">
      <c r="A308" s="3070">
        <v>45433</v>
      </c>
      <c r="B308" s="2289" t="s">
        <v>17500</v>
      </c>
      <c r="C308" s="2877" t="s">
        <v>1754</v>
      </c>
      <c r="D308" s="2877" t="s">
        <v>17501</v>
      </c>
      <c r="E308" s="2877" t="s">
        <v>655</v>
      </c>
      <c r="F308" s="2913" t="s">
        <v>17502</v>
      </c>
      <c r="G308" s="2877"/>
      <c r="H308" s="2289"/>
      <c r="I308" s="2289" t="s">
        <v>15369</v>
      </c>
      <c r="J308" s="2877" t="s">
        <v>29</v>
      </c>
      <c r="K308" s="2877"/>
      <c r="L308" s="2144">
        <v>1830000</v>
      </c>
      <c r="M308" s="2877" t="s">
        <v>112</v>
      </c>
      <c r="N308" s="3070">
        <v>45442</v>
      </c>
      <c r="O308" s="3070">
        <v>45453</v>
      </c>
      <c r="P308" s="3070">
        <v>45462</v>
      </c>
      <c r="Q308" s="2289" t="s">
        <v>17665</v>
      </c>
      <c r="R308" s="2275"/>
      <c r="S308" s="2144">
        <v>1476900</v>
      </c>
      <c r="T308" s="2144">
        <v>1787049</v>
      </c>
      <c r="U308" s="2145"/>
      <c r="V308" s="2145"/>
      <c r="W308" s="2145"/>
      <c r="X308" s="2146">
        <v>45462</v>
      </c>
      <c r="Y308" s="2144" t="s">
        <v>17675</v>
      </c>
      <c r="Z308" s="3070">
        <v>45470</v>
      </c>
      <c r="AA308" s="3070">
        <v>45470</v>
      </c>
      <c r="AB308" s="3070">
        <v>45834</v>
      </c>
      <c r="AC308" s="2976"/>
      <c r="AD308" s="2976"/>
      <c r="AE308" s="118">
        <v>3</v>
      </c>
    </row>
    <row r="309" spans="1:32">
      <c r="A309" s="612">
        <v>45439</v>
      </c>
      <c r="B309" s="2911" t="s">
        <v>17537</v>
      </c>
      <c r="C309" s="609" t="s">
        <v>2434</v>
      </c>
      <c r="D309" s="609" t="s">
        <v>219</v>
      </c>
      <c r="E309" s="609" t="s">
        <v>655</v>
      </c>
      <c r="F309" s="610" t="s">
        <v>17538</v>
      </c>
      <c r="G309" s="609"/>
      <c r="H309" s="2911"/>
      <c r="I309" s="2911" t="s">
        <v>15369</v>
      </c>
      <c r="J309" s="609" t="s">
        <v>269</v>
      </c>
      <c r="K309" s="609"/>
      <c r="L309" s="417">
        <v>1630160</v>
      </c>
      <c r="M309" s="609" t="s">
        <v>112</v>
      </c>
      <c r="N309" s="612">
        <v>45448</v>
      </c>
      <c r="O309" s="612">
        <v>45467</v>
      </c>
      <c r="P309" s="612">
        <v>45475</v>
      </c>
      <c r="Q309" s="2911" t="s">
        <v>17762</v>
      </c>
      <c r="R309" s="2019"/>
      <c r="S309" s="417">
        <v>1630160</v>
      </c>
      <c r="T309" s="417">
        <v>1972493.6</v>
      </c>
      <c r="U309" s="1480"/>
      <c r="V309" s="1480"/>
      <c r="W309" s="1480"/>
      <c r="X309" s="513">
        <v>45475</v>
      </c>
      <c r="Y309" s="417" t="s">
        <v>17805</v>
      </c>
      <c r="Z309" s="612">
        <v>45496</v>
      </c>
      <c r="AA309" s="612">
        <v>45496</v>
      </c>
      <c r="AB309" s="612">
        <v>46956</v>
      </c>
      <c r="AC309" s="2976"/>
      <c r="AD309" s="2976"/>
      <c r="AE309" s="118">
        <v>1</v>
      </c>
    </row>
    <row r="310" spans="1:32" ht="15.75" thickBot="1">
      <c r="A310" s="612">
        <v>45433</v>
      </c>
      <c r="B310" s="2911" t="s">
        <v>17503</v>
      </c>
      <c r="C310" s="609" t="s">
        <v>17003</v>
      </c>
      <c r="D310" s="609" t="s">
        <v>15076</v>
      </c>
      <c r="E310" s="609" t="s">
        <v>655</v>
      </c>
      <c r="F310" s="610" t="s">
        <v>17504</v>
      </c>
      <c r="G310" s="609"/>
      <c r="H310" s="2911"/>
      <c r="I310" s="2911" t="s">
        <v>15369</v>
      </c>
      <c r="J310" s="609" t="s">
        <v>1422</v>
      </c>
      <c r="K310" s="609"/>
      <c r="L310" s="417">
        <v>700000</v>
      </c>
      <c r="M310" s="609" t="s">
        <v>112</v>
      </c>
      <c r="N310" s="612">
        <v>45436</v>
      </c>
      <c r="O310" s="612">
        <v>45447</v>
      </c>
      <c r="P310" s="612">
        <v>45462</v>
      </c>
      <c r="Q310" s="2911" t="s">
        <v>9891</v>
      </c>
      <c r="R310" s="2019"/>
      <c r="S310" s="417">
        <v>621315.38</v>
      </c>
      <c r="T310" s="417">
        <v>725450</v>
      </c>
      <c r="U310" s="1480"/>
      <c r="V310" s="1480"/>
      <c r="W310" s="1480"/>
      <c r="X310" s="513">
        <v>45462</v>
      </c>
      <c r="Y310" s="417" t="s">
        <v>17676</v>
      </c>
      <c r="Z310" s="612">
        <v>45474</v>
      </c>
      <c r="AA310" s="612">
        <v>45474</v>
      </c>
      <c r="AB310" s="612">
        <v>45587</v>
      </c>
      <c r="AC310" s="2976"/>
      <c r="AD310" s="2976"/>
      <c r="AE310" s="118">
        <v>1</v>
      </c>
    </row>
    <row r="311" spans="1:32" ht="15.75" thickTop="1">
      <c r="A311" s="456">
        <v>45434</v>
      </c>
      <c r="B311" s="2292" t="s">
        <v>17517</v>
      </c>
      <c r="C311" s="943" t="s">
        <v>16536</v>
      </c>
      <c r="D311" s="943" t="s">
        <v>15129</v>
      </c>
      <c r="E311" s="943" t="s">
        <v>15813</v>
      </c>
      <c r="F311" s="713" t="s">
        <v>17519</v>
      </c>
      <c r="G311" s="943">
        <v>1</v>
      </c>
      <c r="H311" s="2292" t="s">
        <v>17520</v>
      </c>
      <c r="I311" s="2292" t="s">
        <v>15369</v>
      </c>
      <c r="J311" s="943" t="s">
        <v>3187</v>
      </c>
      <c r="K311" s="943"/>
      <c r="L311" s="457">
        <v>33510</v>
      </c>
      <c r="M311" s="943" t="s">
        <v>251</v>
      </c>
      <c r="N311" s="456">
        <v>45448</v>
      </c>
      <c r="O311" s="456">
        <v>45483</v>
      </c>
      <c r="P311" s="456">
        <v>45519</v>
      </c>
      <c r="Q311" s="2292" t="s">
        <v>576</v>
      </c>
      <c r="R311" s="2015"/>
      <c r="S311" s="457">
        <v>33484.5</v>
      </c>
      <c r="T311" s="457">
        <v>37502.639999999999</v>
      </c>
      <c r="U311" s="1474"/>
      <c r="V311" s="1474"/>
      <c r="W311" s="1474"/>
      <c r="X311" s="570">
        <v>45519</v>
      </c>
      <c r="Y311" s="457" t="s">
        <v>18141</v>
      </c>
      <c r="Z311" s="456">
        <v>45544</v>
      </c>
      <c r="AA311" s="456">
        <v>45546</v>
      </c>
      <c r="AB311" s="456">
        <v>46638</v>
      </c>
      <c r="AC311" s="2976"/>
      <c r="AD311" s="2976"/>
      <c r="AE311" s="118">
        <v>1</v>
      </c>
    </row>
    <row r="312" spans="1:32" ht="15.75" thickBot="1">
      <c r="A312" s="2478">
        <v>45434</v>
      </c>
      <c r="B312" s="3160" t="s">
        <v>17518</v>
      </c>
      <c r="C312" s="3161" t="s">
        <v>16536</v>
      </c>
      <c r="D312" s="3161" t="s">
        <v>15129</v>
      </c>
      <c r="E312" s="3161" t="s">
        <v>15813</v>
      </c>
      <c r="F312" s="3162" t="s">
        <v>17519</v>
      </c>
      <c r="G312" s="3161">
        <v>2</v>
      </c>
      <c r="H312" s="3160" t="s">
        <v>17521</v>
      </c>
      <c r="I312" s="3160" t="s">
        <v>15369</v>
      </c>
      <c r="J312" s="3161" t="s">
        <v>3187</v>
      </c>
      <c r="K312" s="3161"/>
      <c r="L312" s="676">
        <v>17007046</v>
      </c>
      <c r="M312" s="3161" t="s">
        <v>251</v>
      </c>
      <c r="N312" s="2478">
        <v>45448</v>
      </c>
      <c r="O312" s="2478">
        <v>45483</v>
      </c>
      <c r="P312" s="2478">
        <v>45519</v>
      </c>
      <c r="Q312" s="3160" t="s">
        <v>576</v>
      </c>
      <c r="R312" s="3324"/>
      <c r="S312" s="676">
        <v>16954663.190000001</v>
      </c>
      <c r="T312" s="676">
        <v>18989222.77</v>
      </c>
      <c r="U312" s="1984"/>
      <c r="V312" s="1984"/>
      <c r="W312" s="1984"/>
      <c r="X312" s="683">
        <v>45519</v>
      </c>
      <c r="Y312" s="676" t="s">
        <v>18142</v>
      </c>
      <c r="Z312" s="2478">
        <v>45544</v>
      </c>
      <c r="AA312" s="2478">
        <v>45546</v>
      </c>
      <c r="AB312" s="2478">
        <v>46638</v>
      </c>
      <c r="AC312" s="2976"/>
      <c r="AD312" s="2976"/>
      <c r="AE312" s="118">
        <v>2</v>
      </c>
    </row>
    <row r="313" spans="1:32" ht="15.75" thickTop="1">
      <c r="A313" s="687">
        <v>45433</v>
      </c>
      <c r="B313" s="1883" t="s">
        <v>17505</v>
      </c>
      <c r="C313" s="688" t="s">
        <v>16536</v>
      </c>
      <c r="D313" s="688" t="s">
        <v>15131</v>
      </c>
      <c r="E313" s="688" t="s">
        <v>13949</v>
      </c>
      <c r="F313" s="684" t="s">
        <v>17508</v>
      </c>
      <c r="G313" s="688">
        <v>1</v>
      </c>
      <c r="H313" s="1883" t="s">
        <v>17509</v>
      </c>
      <c r="I313" s="1883" t="s">
        <v>242</v>
      </c>
      <c r="J313" s="688" t="s">
        <v>17427</v>
      </c>
      <c r="K313" s="688"/>
      <c r="L313" s="444">
        <v>418968</v>
      </c>
      <c r="M313" s="688" t="s">
        <v>251</v>
      </c>
      <c r="N313" s="687">
        <v>45439</v>
      </c>
      <c r="O313" s="687">
        <v>45483</v>
      </c>
      <c r="P313" s="687"/>
      <c r="Q313" s="753" t="s">
        <v>304</v>
      </c>
      <c r="R313" s="538" t="s">
        <v>18092</v>
      </c>
      <c r="S313" s="444"/>
      <c r="T313" s="444"/>
      <c r="U313" s="1483"/>
      <c r="V313" s="1483"/>
      <c r="W313" s="1483"/>
      <c r="X313" s="1884"/>
      <c r="Y313" s="2712"/>
      <c r="Z313" s="687"/>
      <c r="AA313" s="687">
        <v>45513</v>
      </c>
      <c r="AB313" s="687" t="s">
        <v>17974</v>
      </c>
      <c r="AC313" s="2976"/>
      <c r="AD313" s="2976"/>
    </row>
    <row r="314" spans="1:32">
      <c r="A314" s="3070">
        <v>45433</v>
      </c>
      <c r="B314" s="2289" t="s">
        <v>17506</v>
      </c>
      <c r="C314" s="2877" t="s">
        <v>16536</v>
      </c>
      <c r="D314" s="2877" t="s">
        <v>15131</v>
      </c>
      <c r="E314" s="2877" t="s">
        <v>13949</v>
      </c>
      <c r="F314" s="2913" t="s">
        <v>17508</v>
      </c>
      <c r="G314" s="2877">
        <v>2</v>
      </c>
      <c r="H314" s="2289" t="s">
        <v>17527</v>
      </c>
      <c r="I314" s="2289" t="s">
        <v>15369</v>
      </c>
      <c r="J314" s="2877" t="s">
        <v>17427</v>
      </c>
      <c r="K314" s="2877"/>
      <c r="L314" s="2144">
        <v>2161344</v>
      </c>
      <c r="M314" s="2877" t="s">
        <v>251</v>
      </c>
      <c r="N314" s="3070">
        <v>45439</v>
      </c>
      <c r="O314" s="3070">
        <v>45483</v>
      </c>
      <c r="P314" s="3070">
        <v>45526</v>
      </c>
      <c r="Q314" s="2289" t="s">
        <v>13761</v>
      </c>
      <c r="R314" s="2275"/>
      <c r="S314" s="2144">
        <v>2158188.09</v>
      </c>
      <c r="T314" s="2144">
        <v>2417170.66</v>
      </c>
      <c r="U314" s="2145"/>
      <c r="V314" s="2145"/>
      <c r="W314" s="2145"/>
      <c r="X314" s="2146">
        <v>45526</v>
      </c>
      <c r="Y314" s="2144" t="s">
        <v>18219</v>
      </c>
      <c r="Z314" s="3070">
        <v>45540</v>
      </c>
      <c r="AA314" s="3070">
        <v>45544</v>
      </c>
      <c r="AB314" s="3070">
        <v>46705</v>
      </c>
      <c r="AC314" s="2976"/>
      <c r="AD314" s="2976"/>
      <c r="AE314" s="118">
        <v>1</v>
      </c>
    </row>
    <row r="315" spans="1:32" ht="15.75" thickBot="1">
      <c r="A315" s="3131">
        <v>45433</v>
      </c>
      <c r="B315" s="3118" t="s">
        <v>17507</v>
      </c>
      <c r="C315" s="3119" t="s">
        <v>16536</v>
      </c>
      <c r="D315" s="3119" t="s">
        <v>15131</v>
      </c>
      <c r="E315" s="3119" t="s">
        <v>13949</v>
      </c>
      <c r="F315" s="3136" t="s">
        <v>17508</v>
      </c>
      <c r="G315" s="3119">
        <v>3</v>
      </c>
      <c r="H315" s="3118" t="s">
        <v>17510</v>
      </c>
      <c r="I315" s="3118" t="s">
        <v>242</v>
      </c>
      <c r="J315" s="3119" t="s">
        <v>17427</v>
      </c>
      <c r="K315" s="3119"/>
      <c r="L315" s="2134">
        <v>1784961</v>
      </c>
      <c r="M315" s="3119" t="s">
        <v>251</v>
      </c>
      <c r="N315" s="3131">
        <v>45439</v>
      </c>
      <c r="O315" s="3131">
        <v>45483</v>
      </c>
      <c r="P315" s="3119"/>
      <c r="Q315" s="2137" t="s">
        <v>304</v>
      </c>
      <c r="R315" s="2480" t="s">
        <v>18589</v>
      </c>
      <c r="S315" s="2134"/>
      <c r="T315" s="2134"/>
      <c r="U315" s="2095"/>
      <c r="V315" s="2095"/>
      <c r="W315" s="2095"/>
      <c r="X315" s="2134"/>
      <c r="Y315" s="2134"/>
      <c r="Z315" s="3119"/>
      <c r="AA315" s="3131">
        <v>45513</v>
      </c>
      <c r="AB315" s="3119" t="s">
        <v>17974</v>
      </c>
      <c r="AC315" s="2976"/>
      <c r="AD315" s="2976"/>
    </row>
    <row r="316" spans="1:32" ht="15.75" thickTop="1">
      <c r="A316" s="252">
        <v>45434</v>
      </c>
      <c r="B316" s="3110" t="s">
        <v>17516</v>
      </c>
      <c r="C316" s="363" t="s">
        <v>52</v>
      </c>
      <c r="D316" s="363" t="s">
        <v>5894</v>
      </c>
      <c r="E316" s="363" t="s">
        <v>655</v>
      </c>
      <c r="F316" s="362" t="s">
        <v>17285</v>
      </c>
      <c r="G316" s="363"/>
      <c r="H316" s="3110"/>
      <c r="I316" s="3110" t="s">
        <v>15369</v>
      </c>
      <c r="J316" s="363" t="s">
        <v>17286</v>
      </c>
      <c r="K316" s="363"/>
      <c r="L316" s="364">
        <v>1000000</v>
      </c>
      <c r="M316" s="363" t="s">
        <v>112</v>
      </c>
      <c r="N316" s="252">
        <v>45436</v>
      </c>
      <c r="O316" s="252">
        <v>45447</v>
      </c>
      <c r="P316" s="252">
        <v>45457</v>
      </c>
      <c r="Q316" s="3110" t="s">
        <v>17633</v>
      </c>
      <c r="R316" s="363"/>
      <c r="S316" s="364">
        <v>654791.5</v>
      </c>
      <c r="T316" s="364">
        <v>828850</v>
      </c>
      <c r="U316" s="1473"/>
      <c r="V316" s="1473"/>
      <c r="W316" s="1473"/>
      <c r="X316" s="681">
        <v>45457</v>
      </c>
      <c r="Y316" s="364" t="s">
        <v>17646</v>
      </c>
      <c r="Z316" s="252">
        <v>45503</v>
      </c>
      <c r="AA316" s="252">
        <v>45504</v>
      </c>
      <c r="AB316" s="252"/>
      <c r="AC316" s="2976"/>
      <c r="AD316" s="2976"/>
      <c r="AE316" s="118">
        <v>3</v>
      </c>
    </row>
    <row r="317" spans="1:32">
      <c r="A317" s="656">
        <v>45448</v>
      </c>
      <c r="B317" s="3061" t="s">
        <v>17593</v>
      </c>
      <c r="C317" s="3062" t="s">
        <v>16536</v>
      </c>
      <c r="D317" s="3062" t="s">
        <v>15131</v>
      </c>
      <c r="E317" s="3062" t="s">
        <v>15813</v>
      </c>
      <c r="F317" s="3063" t="s">
        <v>17594</v>
      </c>
      <c r="G317" s="3062"/>
      <c r="H317" s="3061"/>
      <c r="I317" s="3061" t="s">
        <v>242</v>
      </c>
      <c r="J317" s="3062" t="s">
        <v>68</v>
      </c>
      <c r="K317" s="3062"/>
      <c r="L317" s="472">
        <v>24900000</v>
      </c>
      <c r="M317" s="3062" t="s">
        <v>251</v>
      </c>
      <c r="N317" s="656">
        <v>45484</v>
      </c>
      <c r="O317" s="656">
        <v>45489</v>
      </c>
      <c r="P317" s="656"/>
      <c r="Q317" s="471" t="s">
        <v>304</v>
      </c>
      <c r="R317" s="3352" t="s">
        <v>18200</v>
      </c>
      <c r="S317" s="3282"/>
      <c r="T317" s="472"/>
      <c r="U317" s="1489"/>
      <c r="V317" s="1489"/>
      <c r="W317" s="1489"/>
      <c r="X317" s="1547"/>
      <c r="Y317" s="472"/>
      <c r="Z317" s="656"/>
      <c r="AA317" s="656">
        <v>45504</v>
      </c>
      <c r="AB317" s="656"/>
      <c r="AC317" s="2976"/>
      <c r="AD317" s="2976"/>
    </row>
    <row r="318" spans="1:32">
      <c r="A318" s="3070">
        <v>45435</v>
      </c>
      <c r="B318" s="2289" t="s">
        <v>17525</v>
      </c>
      <c r="C318" s="2877" t="s">
        <v>16536</v>
      </c>
      <c r="D318" s="2877" t="s">
        <v>15131</v>
      </c>
      <c r="E318" s="2877" t="s">
        <v>13949</v>
      </c>
      <c r="F318" s="2913" t="s">
        <v>17526</v>
      </c>
      <c r="G318" s="2877"/>
      <c r="H318" s="2289"/>
      <c r="I318" s="2289" t="s">
        <v>15369</v>
      </c>
      <c r="J318" s="2877" t="s">
        <v>3435</v>
      </c>
      <c r="K318" s="2877"/>
      <c r="L318" s="2144">
        <v>820200</v>
      </c>
      <c r="M318" s="2877" t="s">
        <v>251</v>
      </c>
      <c r="N318" s="3070">
        <v>45484</v>
      </c>
      <c r="O318" s="3070">
        <v>45489</v>
      </c>
      <c r="P318" s="3070">
        <v>45532</v>
      </c>
      <c r="Q318" s="2289" t="s">
        <v>576</v>
      </c>
      <c r="R318" s="2877"/>
      <c r="S318" s="2144">
        <v>820200</v>
      </c>
      <c r="T318" s="2144">
        <v>918624</v>
      </c>
      <c r="U318" s="2145"/>
      <c r="V318" s="2145"/>
      <c r="W318" s="2145"/>
      <c r="X318" s="2146">
        <v>45532</v>
      </c>
      <c r="Y318" s="2260" t="s">
        <v>18289</v>
      </c>
      <c r="Z318" s="3070">
        <v>45551</v>
      </c>
      <c r="AA318" s="3070">
        <v>45555</v>
      </c>
      <c r="AB318" s="3070">
        <v>46110</v>
      </c>
      <c r="AC318" s="2976"/>
      <c r="AD318" s="2976"/>
      <c r="AE318" s="118">
        <v>1</v>
      </c>
      <c r="AF318" s="118" t="s">
        <v>18460</v>
      </c>
    </row>
    <row r="319" spans="1:32">
      <c r="A319" s="3067">
        <v>45454</v>
      </c>
      <c r="B319" s="3068" t="s">
        <v>17615</v>
      </c>
      <c r="C319" s="3069" t="s">
        <v>16684</v>
      </c>
      <c r="D319" s="3069" t="s">
        <v>55</v>
      </c>
      <c r="E319" s="3069" t="s">
        <v>13951</v>
      </c>
      <c r="F319" s="2914" t="s">
        <v>898</v>
      </c>
      <c r="G319" s="3069"/>
      <c r="H319" s="3068"/>
      <c r="I319" s="3068" t="s">
        <v>242</v>
      </c>
      <c r="J319" s="3069" t="s">
        <v>4312</v>
      </c>
      <c r="K319" s="3069"/>
      <c r="L319" s="2128">
        <v>810000</v>
      </c>
      <c r="M319" s="3069" t="s">
        <v>112</v>
      </c>
      <c r="N319" s="3067">
        <v>45463</v>
      </c>
      <c r="O319" s="3067">
        <v>45474</v>
      </c>
      <c r="P319" s="3067"/>
      <c r="Q319" s="2136" t="s">
        <v>7449</v>
      </c>
      <c r="R319" s="2180" t="s">
        <v>17977</v>
      </c>
      <c r="S319" s="2128"/>
      <c r="T319" s="2128"/>
      <c r="U319" s="2129"/>
      <c r="V319" s="2129"/>
      <c r="W319" s="2129"/>
      <c r="X319" s="2281"/>
      <c r="Y319" s="2738"/>
      <c r="Z319" s="3067"/>
      <c r="AA319" s="3067">
        <v>45482</v>
      </c>
      <c r="AB319" s="3067"/>
      <c r="AC319" s="2976"/>
      <c r="AD319" s="2976"/>
    </row>
    <row r="320" spans="1:32">
      <c r="A320" s="3070">
        <v>45436</v>
      </c>
      <c r="B320" s="2289" t="s">
        <v>17530</v>
      </c>
      <c r="C320" s="2877" t="s">
        <v>58</v>
      </c>
      <c r="D320" s="2877" t="s">
        <v>15443</v>
      </c>
      <c r="E320" s="2877" t="s">
        <v>13951</v>
      </c>
      <c r="F320" s="2913" t="s">
        <v>15756</v>
      </c>
      <c r="G320" s="2877"/>
      <c r="H320" s="2289"/>
      <c r="I320" s="2289" t="s">
        <v>15369</v>
      </c>
      <c r="J320" s="2877" t="s">
        <v>275</v>
      </c>
      <c r="K320" s="2877" t="s">
        <v>18563</v>
      </c>
      <c r="L320" s="2144">
        <v>40000</v>
      </c>
      <c r="M320" s="2877" t="s">
        <v>112</v>
      </c>
      <c r="N320" s="3070">
        <v>45441</v>
      </c>
      <c r="O320" s="3070">
        <v>45453</v>
      </c>
      <c r="P320" s="3070">
        <v>45460</v>
      </c>
      <c r="Q320" s="2289" t="s">
        <v>15916</v>
      </c>
      <c r="R320" s="2877"/>
      <c r="S320" s="2144">
        <v>40000</v>
      </c>
      <c r="T320" s="2144">
        <v>48400</v>
      </c>
      <c r="U320" s="2145"/>
      <c r="V320" s="2145"/>
      <c r="W320" s="2145"/>
      <c r="X320" s="2146">
        <v>45460</v>
      </c>
      <c r="Y320" s="2144" t="s">
        <v>17661</v>
      </c>
      <c r="Z320" s="3070">
        <v>45488</v>
      </c>
      <c r="AA320" s="3070">
        <v>45489</v>
      </c>
      <c r="AB320" s="3070">
        <v>45544</v>
      </c>
      <c r="AC320" s="2976"/>
      <c r="AD320" s="2976"/>
      <c r="AE320" s="118">
        <v>1</v>
      </c>
    </row>
    <row r="321" spans="1:32">
      <c r="A321" s="3070">
        <v>45436</v>
      </c>
      <c r="B321" s="2289" t="s">
        <v>17533</v>
      </c>
      <c r="C321" s="2877" t="s">
        <v>16688</v>
      </c>
      <c r="D321" s="2877" t="s">
        <v>7475</v>
      </c>
      <c r="E321" s="2877" t="s">
        <v>13951</v>
      </c>
      <c r="F321" s="3220" t="s">
        <v>17534</v>
      </c>
      <c r="G321" s="2877"/>
      <c r="H321" s="2289"/>
      <c r="I321" s="2289" t="s">
        <v>15369</v>
      </c>
      <c r="J321" s="2877" t="s">
        <v>6361</v>
      </c>
      <c r="K321" s="2877"/>
      <c r="L321" s="2144">
        <v>450000</v>
      </c>
      <c r="M321" s="2877" t="s">
        <v>112</v>
      </c>
      <c r="N321" s="3070">
        <v>45442</v>
      </c>
      <c r="O321" s="3070">
        <v>45453</v>
      </c>
      <c r="P321" s="3070">
        <v>45468</v>
      </c>
      <c r="Q321" s="2289" t="s">
        <v>9275</v>
      </c>
      <c r="R321" s="2877"/>
      <c r="S321" s="2144">
        <v>215236.64</v>
      </c>
      <c r="T321" s="2144">
        <v>260436.33</v>
      </c>
      <c r="U321" s="2145"/>
      <c r="V321" s="2145"/>
      <c r="W321" s="2145"/>
      <c r="X321" s="2146">
        <v>45468</v>
      </c>
      <c r="Y321" s="2260" t="s">
        <v>17741</v>
      </c>
      <c r="Z321" s="3070">
        <v>45474</v>
      </c>
      <c r="AA321" s="3070">
        <v>45474</v>
      </c>
      <c r="AB321" s="3070"/>
      <c r="AC321" s="2976"/>
      <c r="AD321" s="2976"/>
      <c r="AE321" s="118">
        <v>11</v>
      </c>
    </row>
    <row r="322" spans="1:32">
      <c r="A322" s="3067">
        <v>45440</v>
      </c>
      <c r="B322" s="3068" t="s">
        <v>17542</v>
      </c>
      <c r="C322" s="3069" t="s">
        <v>58</v>
      </c>
      <c r="D322" s="3069" t="s">
        <v>15443</v>
      </c>
      <c r="E322" s="3069" t="s">
        <v>655</v>
      </c>
      <c r="F322" s="3200" t="s">
        <v>17543</v>
      </c>
      <c r="G322" s="3069"/>
      <c r="H322" s="3068"/>
      <c r="I322" s="3068" t="s">
        <v>242</v>
      </c>
      <c r="J322" s="3069" t="s">
        <v>260</v>
      </c>
      <c r="K322" s="3069" t="s">
        <v>18542</v>
      </c>
      <c r="L322" s="2128">
        <v>539312</v>
      </c>
      <c r="M322" s="3069" t="s">
        <v>112</v>
      </c>
      <c r="N322" s="3067">
        <v>45441</v>
      </c>
      <c r="O322" s="3067">
        <v>45460</v>
      </c>
      <c r="P322" s="3067"/>
      <c r="Q322" s="2136" t="s">
        <v>304</v>
      </c>
      <c r="R322" s="3069"/>
      <c r="S322" s="2128"/>
      <c r="T322" s="2128"/>
      <c r="U322" s="2094"/>
      <c r="V322" s="2094"/>
      <c r="W322" s="2094"/>
      <c r="X322" s="2281"/>
      <c r="Y322" s="2738"/>
      <c r="Z322" s="3067"/>
      <c r="AA322" s="3067">
        <v>45460</v>
      </c>
      <c r="AB322" s="3067"/>
      <c r="AC322" s="2976"/>
      <c r="AD322" s="2976"/>
    </row>
    <row r="323" spans="1:32">
      <c r="A323" s="3070">
        <v>45439</v>
      </c>
      <c r="B323" s="2289" t="s">
        <v>17539</v>
      </c>
      <c r="C323" s="2877" t="s">
        <v>17003</v>
      </c>
      <c r="D323" s="2877" t="s">
        <v>15076</v>
      </c>
      <c r="E323" s="2877" t="s">
        <v>13951</v>
      </c>
      <c r="F323" s="2913" t="s">
        <v>17540</v>
      </c>
      <c r="G323" s="2877"/>
      <c r="H323" s="2289"/>
      <c r="I323" s="2289" t="s">
        <v>15369</v>
      </c>
      <c r="J323" s="2877" t="s">
        <v>16060</v>
      </c>
      <c r="K323" s="2877"/>
      <c r="L323" s="2144">
        <v>800000</v>
      </c>
      <c r="M323" s="2877" t="s">
        <v>112</v>
      </c>
      <c r="N323" s="3070">
        <v>45442</v>
      </c>
      <c r="O323" s="3070">
        <v>45453</v>
      </c>
      <c r="P323" s="3070">
        <v>45467</v>
      </c>
      <c r="Q323" s="2289" t="s">
        <v>17685</v>
      </c>
      <c r="R323" s="2877"/>
      <c r="S323" s="2144">
        <v>785000</v>
      </c>
      <c r="T323" s="2144">
        <v>949850</v>
      </c>
      <c r="U323" s="2145"/>
      <c r="V323" s="2145"/>
      <c r="W323" s="2145"/>
      <c r="X323" s="2146">
        <v>45467</v>
      </c>
      <c r="Y323" s="2260" t="s">
        <v>17737</v>
      </c>
      <c r="Z323" s="3070">
        <v>45495</v>
      </c>
      <c r="AA323" s="3070">
        <v>45495</v>
      </c>
      <c r="AB323" s="3070">
        <v>45548</v>
      </c>
      <c r="AC323" s="2976"/>
      <c r="AD323" s="2976"/>
      <c r="AE323" s="118">
        <v>2</v>
      </c>
    </row>
    <row r="324" spans="1:32" ht="15.75" thickBot="1">
      <c r="A324" s="3081">
        <v>45441</v>
      </c>
      <c r="B324" s="3082" t="s">
        <v>17553</v>
      </c>
      <c r="C324" s="3083" t="s">
        <v>2434</v>
      </c>
      <c r="D324" s="3083" t="s">
        <v>219</v>
      </c>
      <c r="E324" s="3083" t="s">
        <v>15813</v>
      </c>
      <c r="F324" s="3084" t="s">
        <v>17554</v>
      </c>
      <c r="G324" s="3083"/>
      <c r="H324" s="3082"/>
      <c r="I324" s="3082" t="s">
        <v>242</v>
      </c>
      <c r="J324" s="3083" t="s">
        <v>642</v>
      </c>
      <c r="K324" s="3083"/>
      <c r="L324" s="645">
        <v>3050000</v>
      </c>
      <c r="M324" s="3083" t="s">
        <v>216</v>
      </c>
      <c r="N324" s="3081">
        <v>45449</v>
      </c>
      <c r="O324" s="3081">
        <v>45470</v>
      </c>
      <c r="P324" s="3081"/>
      <c r="Q324" s="644" t="s">
        <v>304</v>
      </c>
      <c r="R324" s="3083"/>
      <c r="S324" s="645"/>
      <c r="T324" s="645"/>
      <c r="U324" s="1490"/>
      <c r="V324" s="1490"/>
      <c r="W324" s="1490"/>
      <c r="X324" s="2890"/>
      <c r="Y324" s="645"/>
      <c r="Z324" s="3081"/>
      <c r="AA324" s="3081">
        <v>45481</v>
      </c>
      <c r="AB324" s="3219" t="s">
        <v>17761</v>
      </c>
      <c r="AC324" s="2976"/>
      <c r="AD324" s="2976"/>
    </row>
    <row r="325" spans="1:32" ht="15.75" thickTop="1">
      <c r="A325" s="456">
        <v>45446</v>
      </c>
      <c r="B325" s="2292" t="s">
        <v>17571</v>
      </c>
      <c r="C325" s="943" t="s">
        <v>16536</v>
      </c>
      <c r="D325" s="943" t="s">
        <v>15129</v>
      </c>
      <c r="E325" s="943" t="s">
        <v>13949</v>
      </c>
      <c r="F325" s="713" t="s">
        <v>17573</v>
      </c>
      <c r="G325" s="943">
        <v>1</v>
      </c>
      <c r="H325" s="2292" t="s">
        <v>17574</v>
      </c>
      <c r="I325" s="2292" t="s">
        <v>15369</v>
      </c>
      <c r="J325" s="943" t="s">
        <v>7097</v>
      </c>
      <c r="K325" s="943"/>
      <c r="L325" s="457">
        <v>8749589</v>
      </c>
      <c r="M325" s="943" t="s">
        <v>251</v>
      </c>
      <c r="N325" s="456">
        <v>45450</v>
      </c>
      <c r="O325" s="456">
        <v>45485</v>
      </c>
      <c r="P325" s="456">
        <v>45525</v>
      </c>
      <c r="Q325" s="2292" t="s">
        <v>1564</v>
      </c>
      <c r="R325" s="943"/>
      <c r="S325" s="457">
        <v>6340461.7800000003</v>
      </c>
      <c r="T325" s="457">
        <v>7102170.0700000003</v>
      </c>
      <c r="U325" s="1474"/>
      <c r="V325" s="1474"/>
      <c r="W325" s="1474"/>
      <c r="X325" s="570">
        <v>45525</v>
      </c>
      <c r="Y325" s="457" t="s">
        <v>18194</v>
      </c>
      <c r="Z325" s="456">
        <v>45555</v>
      </c>
      <c r="AA325" s="456">
        <v>45558</v>
      </c>
      <c r="AB325" s="456">
        <v>46649</v>
      </c>
      <c r="AC325" s="2976"/>
      <c r="AD325" s="2976"/>
      <c r="AE325" s="118">
        <v>1</v>
      </c>
    </row>
    <row r="326" spans="1:32" ht="15.75" thickBot="1">
      <c r="A326" s="3131">
        <v>45446</v>
      </c>
      <c r="B326" s="3118" t="s">
        <v>17572</v>
      </c>
      <c r="C326" s="3119" t="s">
        <v>16536</v>
      </c>
      <c r="D326" s="3119" t="s">
        <v>15129</v>
      </c>
      <c r="E326" s="3119" t="s">
        <v>13949</v>
      </c>
      <c r="F326" s="3136" t="s">
        <v>17573</v>
      </c>
      <c r="G326" s="3119">
        <v>2</v>
      </c>
      <c r="H326" s="3118" t="s">
        <v>17575</v>
      </c>
      <c r="I326" s="3118" t="s">
        <v>242</v>
      </c>
      <c r="J326" s="3119" t="s">
        <v>7097</v>
      </c>
      <c r="K326" s="3119"/>
      <c r="L326" s="2134">
        <v>78171</v>
      </c>
      <c r="M326" s="3119" t="s">
        <v>251</v>
      </c>
      <c r="N326" s="3131">
        <v>45450</v>
      </c>
      <c r="O326" s="3131">
        <v>45485</v>
      </c>
      <c r="P326" s="3131"/>
      <c r="Q326" s="2137" t="s">
        <v>4505</v>
      </c>
      <c r="R326" s="3119"/>
      <c r="S326" s="2134"/>
      <c r="T326" s="2134"/>
      <c r="U326" s="2135"/>
      <c r="V326" s="2135"/>
      <c r="W326" s="2135"/>
      <c r="X326" s="2163"/>
      <c r="Y326" s="2134"/>
      <c r="Z326" s="3131"/>
      <c r="AA326" s="3131">
        <v>45558</v>
      </c>
      <c r="AB326" s="3131" t="s">
        <v>18245</v>
      </c>
      <c r="AC326" s="2976"/>
      <c r="AD326" s="2976"/>
      <c r="AE326" s="118">
        <v>1</v>
      </c>
    </row>
    <row r="327" spans="1:32" ht="30.75" thickTop="1">
      <c r="A327" s="252">
        <v>45442</v>
      </c>
      <c r="B327" s="3110" t="s">
        <v>17560</v>
      </c>
      <c r="C327" s="363" t="s">
        <v>58</v>
      </c>
      <c r="D327" s="363" t="s">
        <v>15443</v>
      </c>
      <c r="E327" s="363" t="s">
        <v>13948</v>
      </c>
      <c r="F327" s="362" t="s">
        <v>17561</v>
      </c>
      <c r="G327" s="363"/>
      <c r="H327" s="3110"/>
      <c r="I327" s="3110" t="s">
        <v>15369</v>
      </c>
      <c r="J327" s="363" t="s">
        <v>421</v>
      </c>
      <c r="K327" s="363" t="s">
        <v>17562</v>
      </c>
      <c r="L327" s="364">
        <v>150000</v>
      </c>
      <c r="M327" s="363" t="s">
        <v>251</v>
      </c>
      <c r="N327" s="252">
        <v>45447</v>
      </c>
      <c r="O327" s="252">
        <v>45483</v>
      </c>
      <c r="P327" s="252">
        <v>45495</v>
      </c>
      <c r="Q327" s="3110" t="s">
        <v>11196</v>
      </c>
      <c r="R327" s="363"/>
      <c r="S327" s="364">
        <v>150000</v>
      </c>
      <c r="T327" s="364">
        <v>181500</v>
      </c>
      <c r="U327" s="1473"/>
      <c r="V327" s="1473"/>
      <c r="W327" s="1473"/>
      <c r="X327" s="681">
        <v>45495</v>
      </c>
      <c r="Y327" s="1417" t="s">
        <v>17970</v>
      </c>
      <c r="Z327" s="252">
        <v>45516</v>
      </c>
      <c r="AA327" s="252">
        <v>45531</v>
      </c>
      <c r="AB327" s="252">
        <v>45576</v>
      </c>
      <c r="AC327" s="2976"/>
      <c r="AD327" s="2976"/>
      <c r="AE327" s="118">
        <v>1</v>
      </c>
    </row>
    <row r="328" spans="1:32">
      <c r="A328" s="3067">
        <v>45447</v>
      </c>
      <c r="B328" s="3068" t="s">
        <v>17578</v>
      </c>
      <c r="C328" s="3069" t="s">
        <v>16536</v>
      </c>
      <c r="D328" s="3069" t="s">
        <v>15129</v>
      </c>
      <c r="E328" s="3069" t="s">
        <v>13949</v>
      </c>
      <c r="F328" s="2914" t="s">
        <v>17592</v>
      </c>
      <c r="G328" s="3069"/>
      <c r="H328" s="3068"/>
      <c r="I328" s="3068" t="s">
        <v>242</v>
      </c>
      <c r="J328" s="3069" t="s">
        <v>68</v>
      </c>
      <c r="K328" s="3069"/>
      <c r="L328" s="2128">
        <v>3069472</v>
      </c>
      <c r="M328" s="3069" t="s">
        <v>235</v>
      </c>
      <c r="N328" s="3067">
        <v>45450</v>
      </c>
      <c r="O328" s="3067">
        <v>45463</v>
      </c>
      <c r="P328" s="3067"/>
      <c r="Q328" s="2136" t="s">
        <v>17766</v>
      </c>
      <c r="R328" s="2275" t="s">
        <v>17885</v>
      </c>
      <c r="S328" s="2128"/>
      <c r="T328" s="2128"/>
      <c r="U328" s="2129"/>
      <c r="V328" s="2129"/>
      <c r="W328" s="2129"/>
      <c r="X328" s="2281"/>
      <c r="Y328" s="2128"/>
      <c r="Z328" s="3067"/>
      <c r="AA328" s="3067">
        <v>45477</v>
      </c>
      <c r="AB328" s="3067" t="s">
        <v>17832</v>
      </c>
      <c r="AC328" s="2976"/>
      <c r="AD328" s="2976"/>
      <c r="AE328" s="118">
        <v>1</v>
      </c>
    </row>
    <row r="329" spans="1:32" ht="30">
      <c r="A329" s="3070">
        <v>45460</v>
      </c>
      <c r="B329" s="2289" t="s">
        <v>17659</v>
      </c>
      <c r="C329" s="2877" t="s">
        <v>2434</v>
      </c>
      <c r="D329" s="2877" t="s">
        <v>219</v>
      </c>
      <c r="E329" s="2877" t="s">
        <v>655</v>
      </c>
      <c r="F329" s="2913" t="s">
        <v>17660</v>
      </c>
      <c r="G329" s="2877"/>
      <c r="H329" s="2289"/>
      <c r="I329" s="2289" t="s">
        <v>15369</v>
      </c>
      <c r="J329" s="2877" t="s">
        <v>77</v>
      </c>
      <c r="K329" s="2877"/>
      <c r="L329" s="2144">
        <v>1170000</v>
      </c>
      <c r="M329" s="2877" t="s">
        <v>112</v>
      </c>
      <c r="N329" s="3070">
        <v>45463</v>
      </c>
      <c r="O329" s="3070">
        <v>45474</v>
      </c>
      <c r="P329" s="3070">
        <v>45484</v>
      </c>
      <c r="Q329" s="2289" t="s">
        <v>9313</v>
      </c>
      <c r="R329" s="2877"/>
      <c r="S329" s="2144">
        <v>1170000</v>
      </c>
      <c r="T329" s="2144">
        <v>1310400</v>
      </c>
      <c r="U329" s="2145"/>
      <c r="V329" s="2145"/>
      <c r="W329" s="2145"/>
      <c r="X329" s="2146">
        <v>45484</v>
      </c>
      <c r="Y329" s="2260" t="s">
        <v>17891</v>
      </c>
      <c r="Z329" s="3070">
        <v>45489</v>
      </c>
      <c r="AA329" s="3070">
        <v>45490</v>
      </c>
      <c r="AB329" s="3070">
        <v>46218</v>
      </c>
      <c r="AC329" s="2976"/>
      <c r="AD329" s="2976"/>
      <c r="AE329" s="118">
        <v>1</v>
      </c>
    </row>
    <row r="330" spans="1:32">
      <c r="A330" s="3047">
        <v>45448</v>
      </c>
      <c r="B330" s="3018" t="s">
        <v>17579</v>
      </c>
      <c r="C330" s="3048" t="s">
        <v>52</v>
      </c>
      <c r="D330" s="3048" t="s">
        <v>16704</v>
      </c>
      <c r="E330" s="3048" t="s">
        <v>13950</v>
      </c>
      <c r="F330" s="3049" t="s">
        <v>17580</v>
      </c>
      <c r="G330" s="3048"/>
      <c r="H330" s="3018"/>
      <c r="I330" s="3018" t="s">
        <v>15373</v>
      </c>
      <c r="J330" s="3048" t="s">
        <v>484</v>
      </c>
      <c r="K330" s="3048" t="s">
        <v>17581</v>
      </c>
      <c r="L330" s="2157">
        <v>8250000</v>
      </c>
      <c r="M330" s="3048" t="s">
        <v>251</v>
      </c>
      <c r="N330" s="3047">
        <v>45462</v>
      </c>
      <c r="O330" s="3047">
        <v>45496</v>
      </c>
      <c r="P330" s="3047">
        <v>45545</v>
      </c>
      <c r="Q330" s="3018" t="s">
        <v>9274</v>
      </c>
      <c r="R330" s="3048"/>
      <c r="S330" s="2157">
        <v>3848000</v>
      </c>
      <c r="T330" s="2157">
        <v>4656080</v>
      </c>
      <c r="U330" s="2094"/>
      <c r="V330" s="2094"/>
      <c r="W330" s="2094"/>
      <c r="X330" s="2160">
        <v>45545</v>
      </c>
      <c r="Y330" s="2157" t="s">
        <v>18391</v>
      </c>
      <c r="Z330" s="3047"/>
      <c r="AA330" s="3047"/>
      <c r="AB330" s="3047"/>
      <c r="AC330" s="2976"/>
      <c r="AD330" s="2976"/>
      <c r="AE330" s="118">
        <v>3</v>
      </c>
    </row>
    <row r="331" spans="1:32" ht="15.75" thickBot="1">
      <c r="A331" s="612" t="s">
        <v>16543</v>
      </c>
      <c r="B331" s="2911" t="s">
        <v>17589</v>
      </c>
      <c r="C331" s="609" t="s">
        <v>16536</v>
      </c>
      <c r="D331" s="609" t="s">
        <v>15129</v>
      </c>
      <c r="E331" s="609" t="s">
        <v>13951</v>
      </c>
      <c r="F331" s="610" t="s">
        <v>17590</v>
      </c>
      <c r="G331" s="609"/>
      <c r="H331" s="2911"/>
      <c r="I331" s="2911" t="s">
        <v>15369</v>
      </c>
      <c r="J331" s="609" t="s">
        <v>93</v>
      </c>
      <c r="K331" s="609"/>
      <c r="L331" s="417">
        <v>933255</v>
      </c>
      <c r="M331" s="609" t="s">
        <v>112</v>
      </c>
      <c r="N331" s="612">
        <v>45449</v>
      </c>
      <c r="O331" s="612">
        <v>45460</v>
      </c>
      <c r="P331" s="612">
        <v>45469</v>
      </c>
      <c r="Q331" s="2911" t="s">
        <v>1564</v>
      </c>
      <c r="R331" s="609"/>
      <c r="S331" s="417">
        <v>933246.83</v>
      </c>
      <c r="T331" s="417">
        <v>1045236.45</v>
      </c>
      <c r="U331" s="1480"/>
      <c r="V331" s="1480"/>
      <c r="W331" s="1480"/>
      <c r="X331" s="513">
        <v>45469</v>
      </c>
      <c r="Y331" s="1553" t="s">
        <v>17744</v>
      </c>
      <c r="Z331" s="612">
        <v>45482</v>
      </c>
      <c r="AA331" s="612">
        <v>45483</v>
      </c>
      <c r="AB331" s="612">
        <v>46576</v>
      </c>
      <c r="AC331" s="2976"/>
      <c r="AD331" s="2976"/>
      <c r="AE331" s="118">
        <v>1</v>
      </c>
    </row>
    <row r="332" spans="1:32" ht="30.75" thickTop="1">
      <c r="A332" s="456">
        <v>45454</v>
      </c>
      <c r="B332" s="2292" t="s">
        <v>17619</v>
      </c>
      <c r="C332" s="943" t="s">
        <v>2434</v>
      </c>
      <c r="D332" s="943" t="s">
        <v>3204</v>
      </c>
      <c r="E332" s="943" t="s">
        <v>13948</v>
      </c>
      <c r="F332" s="713" t="s">
        <v>17623</v>
      </c>
      <c r="G332" s="943">
        <v>1</v>
      </c>
      <c r="H332" s="2292" t="s">
        <v>4154</v>
      </c>
      <c r="I332" s="2292" t="s">
        <v>15369</v>
      </c>
      <c r="J332" s="943" t="s">
        <v>642</v>
      </c>
      <c r="K332" s="943"/>
      <c r="L332" s="457">
        <v>1600000</v>
      </c>
      <c r="M332" s="943" t="s">
        <v>251</v>
      </c>
      <c r="N332" s="456">
        <v>45457</v>
      </c>
      <c r="O332" s="456">
        <v>45492</v>
      </c>
      <c r="P332" s="456">
        <v>45520</v>
      </c>
      <c r="Q332" s="2292" t="s">
        <v>12544</v>
      </c>
      <c r="R332" s="943"/>
      <c r="S332" s="457">
        <v>1580000</v>
      </c>
      <c r="T332" s="457">
        <v>1769600</v>
      </c>
      <c r="U332" s="1474"/>
      <c r="V332" s="1474"/>
      <c r="W332" s="1474"/>
      <c r="X332" s="570">
        <v>45520</v>
      </c>
      <c r="Y332" s="1387" t="s">
        <v>18146</v>
      </c>
      <c r="Z332" s="456">
        <v>45544</v>
      </c>
      <c r="AA332" s="456">
        <v>45555</v>
      </c>
      <c r="AB332" s="456">
        <v>47050</v>
      </c>
      <c r="AC332" s="2976"/>
      <c r="AD332" s="2976"/>
      <c r="AE332" s="118">
        <v>1</v>
      </c>
      <c r="AF332" s="118" t="s">
        <v>18186</v>
      </c>
    </row>
    <row r="333" spans="1:32" ht="45">
      <c r="A333" s="3070">
        <v>45454</v>
      </c>
      <c r="B333" s="2289" t="s">
        <v>17620</v>
      </c>
      <c r="C333" s="2877" t="s">
        <v>2434</v>
      </c>
      <c r="D333" s="2877" t="s">
        <v>3204</v>
      </c>
      <c r="E333" s="2877" t="s">
        <v>13948</v>
      </c>
      <c r="F333" s="2913" t="s">
        <v>17623</v>
      </c>
      <c r="G333" s="2877">
        <v>2</v>
      </c>
      <c r="H333" s="2289" t="s">
        <v>4155</v>
      </c>
      <c r="I333" s="2289" t="s">
        <v>15369</v>
      </c>
      <c r="J333" s="2877" t="s">
        <v>642</v>
      </c>
      <c r="K333" s="2877"/>
      <c r="L333" s="2144">
        <v>16791330</v>
      </c>
      <c r="M333" s="2877" t="s">
        <v>251</v>
      </c>
      <c r="N333" s="3070">
        <v>45457</v>
      </c>
      <c r="O333" s="3070">
        <v>45492</v>
      </c>
      <c r="P333" s="3070">
        <v>45520</v>
      </c>
      <c r="Q333" s="2289" t="s">
        <v>4894</v>
      </c>
      <c r="R333" s="2877"/>
      <c r="S333" s="2144">
        <v>16791329.760000002</v>
      </c>
      <c r="T333" s="2144">
        <v>18806289.329999998</v>
      </c>
      <c r="U333" s="2145"/>
      <c r="V333" s="2145"/>
      <c r="W333" s="2145"/>
      <c r="X333" s="2146">
        <v>45520</v>
      </c>
      <c r="Y333" s="2260" t="s">
        <v>18147</v>
      </c>
      <c r="Z333" s="3070">
        <v>45544</v>
      </c>
      <c r="AA333" s="3070">
        <v>45555</v>
      </c>
      <c r="AB333" s="3070">
        <v>47050</v>
      </c>
      <c r="AC333" s="2976"/>
      <c r="AD333" s="2976"/>
      <c r="AE333" s="118">
        <v>1</v>
      </c>
      <c r="AF333" s="118" t="s">
        <v>18186</v>
      </c>
    </row>
    <row r="334" spans="1:32" ht="30">
      <c r="A334" s="3070">
        <v>45454</v>
      </c>
      <c r="B334" s="2289" t="s">
        <v>17621</v>
      </c>
      <c r="C334" s="2877" t="s">
        <v>2434</v>
      </c>
      <c r="D334" s="2877" t="s">
        <v>3204</v>
      </c>
      <c r="E334" s="2877" t="s">
        <v>13948</v>
      </c>
      <c r="F334" s="2913" t="s">
        <v>17623</v>
      </c>
      <c r="G334" s="2877">
        <v>3</v>
      </c>
      <c r="H334" s="2289" t="s">
        <v>17624</v>
      </c>
      <c r="I334" s="2289" t="s">
        <v>15369</v>
      </c>
      <c r="J334" s="2877" t="s">
        <v>642</v>
      </c>
      <c r="K334" s="2877"/>
      <c r="L334" s="2144">
        <v>3150000</v>
      </c>
      <c r="M334" s="2877" t="s">
        <v>251</v>
      </c>
      <c r="N334" s="3070">
        <v>45457</v>
      </c>
      <c r="O334" s="3070">
        <v>45492</v>
      </c>
      <c r="P334" s="3070">
        <v>45520</v>
      </c>
      <c r="Q334" s="2289" t="s">
        <v>17008</v>
      </c>
      <c r="R334" s="2877"/>
      <c r="S334" s="2144">
        <v>3150000</v>
      </c>
      <c r="T334" s="2144">
        <v>3528000</v>
      </c>
      <c r="U334" s="2145"/>
      <c r="V334" s="2145"/>
      <c r="W334" s="2145"/>
      <c r="X334" s="2146">
        <v>45520</v>
      </c>
      <c r="Y334" s="2260" t="s">
        <v>18148</v>
      </c>
      <c r="Z334" s="3070">
        <v>45544</v>
      </c>
      <c r="AA334" s="3070">
        <v>45555</v>
      </c>
      <c r="AB334" s="3070">
        <v>47138</v>
      </c>
      <c r="AC334" s="2976"/>
      <c r="AD334" s="2976"/>
      <c r="AE334" s="118">
        <v>1</v>
      </c>
      <c r="AF334" s="118" t="s">
        <v>18389</v>
      </c>
    </row>
    <row r="335" spans="1:32" ht="30.75" thickBot="1">
      <c r="A335" s="3109">
        <v>45454</v>
      </c>
      <c r="B335" s="2291" t="s">
        <v>17622</v>
      </c>
      <c r="C335" s="2290" t="s">
        <v>2434</v>
      </c>
      <c r="D335" s="2290" t="s">
        <v>3204</v>
      </c>
      <c r="E335" s="2290" t="s">
        <v>13948</v>
      </c>
      <c r="F335" s="2912" t="s">
        <v>17623</v>
      </c>
      <c r="G335" s="2290">
        <v>4</v>
      </c>
      <c r="H335" s="2291" t="s">
        <v>4158</v>
      </c>
      <c r="I335" s="2291" t="s">
        <v>15369</v>
      </c>
      <c r="J335" s="2290" t="s">
        <v>642</v>
      </c>
      <c r="K335" s="2290"/>
      <c r="L335" s="2121">
        <v>3966000</v>
      </c>
      <c r="M335" s="2290" t="s">
        <v>251</v>
      </c>
      <c r="N335" s="3109">
        <v>45457</v>
      </c>
      <c r="O335" s="3109">
        <v>45492</v>
      </c>
      <c r="P335" s="3109">
        <v>45520</v>
      </c>
      <c r="Q335" s="2291" t="s">
        <v>4894</v>
      </c>
      <c r="R335" s="2290"/>
      <c r="S335" s="2121">
        <v>3966000</v>
      </c>
      <c r="T335" s="2121">
        <v>4441920</v>
      </c>
      <c r="U335" s="2122"/>
      <c r="V335" s="2122"/>
      <c r="W335" s="2122"/>
      <c r="X335" s="2123">
        <v>45520</v>
      </c>
      <c r="Y335" s="2246" t="s">
        <v>18149</v>
      </c>
      <c r="Z335" s="3109">
        <v>45544</v>
      </c>
      <c r="AA335" s="3109">
        <v>45555</v>
      </c>
      <c r="AB335" s="3109">
        <v>47050</v>
      </c>
      <c r="AC335" s="2976"/>
      <c r="AD335" s="2976"/>
      <c r="AE335" s="118">
        <v>1</v>
      </c>
      <c r="AF335" s="118" t="s">
        <v>18186</v>
      </c>
    </row>
    <row r="336" spans="1:32" ht="15.75" thickTop="1">
      <c r="A336" s="456">
        <v>45448</v>
      </c>
      <c r="B336" s="2292" t="s">
        <v>17696</v>
      </c>
      <c r="C336" s="943" t="s">
        <v>16688</v>
      </c>
      <c r="D336" s="943" t="s">
        <v>361</v>
      </c>
      <c r="E336" s="943" t="s">
        <v>13950</v>
      </c>
      <c r="F336" s="713" t="s">
        <v>17697</v>
      </c>
      <c r="G336" s="943"/>
      <c r="H336" s="2292"/>
      <c r="I336" s="2292" t="s">
        <v>15369</v>
      </c>
      <c r="J336" s="943" t="s">
        <v>158</v>
      </c>
      <c r="K336" s="943"/>
      <c r="L336" s="457">
        <v>3718000</v>
      </c>
      <c r="M336" s="943" t="s">
        <v>251</v>
      </c>
      <c r="N336" s="456">
        <v>45475</v>
      </c>
      <c r="O336" s="456">
        <v>45509</v>
      </c>
      <c r="P336" s="456">
        <v>45525</v>
      </c>
      <c r="Q336" s="2292" t="s">
        <v>13780</v>
      </c>
      <c r="R336" s="943"/>
      <c r="S336" s="457">
        <v>3447000</v>
      </c>
      <c r="T336" s="457">
        <v>4170870</v>
      </c>
      <c r="U336" s="1474"/>
      <c r="V336" s="1474"/>
      <c r="W336" s="1474"/>
      <c r="X336" s="570">
        <v>45525</v>
      </c>
      <c r="Y336" s="1387" t="s">
        <v>18195</v>
      </c>
      <c r="Z336" s="456">
        <v>45532</v>
      </c>
      <c r="AA336" s="456">
        <v>45559</v>
      </c>
      <c r="AB336" s="456"/>
      <c r="AC336" s="2976"/>
      <c r="AD336" s="2976"/>
      <c r="AE336" s="118">
        <v>1</v>
      </c>
    </row>
    <row r="337" spans="1:31">
      <c r="A337" s="252">
        <v>45449</v>
      </c>
      <c r="B337" s="3110" t="s">
        <v>17595</v>
      </c>
      <c r="C337" s="363" t="s">
        <v>58</v>
      </c>
      <c r="D337" s="363" t="s">
        <v>15443</v>
      </c>
      <c r="E337" s="363" t="s">
        <v>655</v>
      </c>
      <c r="F337" s="362" t="s">
        <v>17596</v>
      </c>
      <c r="G337" s="363"/>
      <c r="H337" s="3110"/>
      <c r="I337" s="3110" t="s">
        <v>15369</v>
      </c>
      <c r="J337" s="363" t="s">
        <v>3423</v>
      </c>
      <c r="K337" s="363" t="s">
        <v>17597</v>
      </c>
      <c r="L337" s="364">
        <v>38900</v>
      </c>
      <c r="M337" s="363" t="s">
        <v>112</v>
      </c>
      <c r="N337" s="252">
        <v>45455</v>
      </c>
      <c r="O337" s="252">
        <v>45467</v>
      </c>
      <c r="P337" s="252">
        <v>45484</v>
      </c>
      <c r="Q337" s="3110" t="s">
        <v>17780</v>
      </c>
      <c r="R337" s="363"/>
      <c r="S337" s="364">
        <v>38900</v>
      </c>
      <c r="T337" s="364">
        <v>47069</v>
      </c>
      <c r="U337" s="1473"/>
      <c r="V337" s="1473"/>
      <c r="W337" s="1473"/>
      <c r="X337" s="681">
        <v>45484</v>
      </c>
      <c r="Y337" s="364" t="s">
        <v>17890</v>
      </c>
      <c r="Z337" s="252">
        <v>45489</v>
      </c>
      <c r="AA337" s="252">
        <v>45490</v>
      </c>
      <c r="AB337" s="252">
        <v>45519</v>
      </c>
      <c r="AC337" s="2976"/>
      <c r="AD337" s="2976"/>
      <c r="AE337" s="118">
        <v>1</v>
      </c>
    </row>
    <row r="338" spans="1:31">
      <c r="A338" s="3067">
        <v>45454</v>
      </c>
      <c r="B338" s="3068" t="s">
        <v>17616</v>
      </c>
      <c r="C338" s="3069" t="s">
        <v>58</v>
      </c>
      <c r="D338" s="3069" t="s">
        <v>15443</v>
      </c>
      <c r="E338" s="3069" t="s">
        <v>13948</v>
      </c>
      <c r="F338" s="2914" t="s">
        <v>17617</v>
      </c>
      <c r="G338" s="3069"/>
      <c r="H338" s="3068"/>
      <c r="I338" s="3068" t="s">
        <v>242</v>
      </c>
      <c r="J338" s="3069" t="s">
        <v>845</v>
      </c>
      <c r="K338" s="3069" t="s">
        <v>17618</v>
      </c>
      <c r="L338" s="2128">
        <v>266900</v>
      </c>
      <c r="M338" s="3069" t="s">
        <v>251</v>
      </c>
      <c r="N338" s="3067">
        <v>45490</v>
      </c>
      <c r="O338" s="3067">
        <v>45526</v>
      </c>
      <c r="P338" s="3067"/>
      <c r="Q338" s="2136" t="s">
        <v>18240</v>
      </c>
      <c r="R338" s="2276" t="s">
        <v>18493</v>
      </c>
      <c r="S338" s="2128"/>
      <c r="T338" s="2128"/>
      <c r="U338" s="2129"/>
      <c r="V338" s="2129"/>
      <c r="W338" s="2129"/>
      <c r="X338" s="2281"/>
      <c r="Y338" s="2128"/>
      <c r="Z338" s="3067"/>
      <c r="AA338" s="3067">
        <v>45554</v>
      </c>
      <c r="AB338" s="3067" t="s">
        <v>18465</v>
      </c>
      <c r="AC338" s="2976"/>
      <c r="AD338" s="2976"/>
      <c r="AE338" s="118">
        <v>1</v>
      </c>
    </row>
    <row r="339" spans="1:31">
      <c r="A339" s="3070">
        <v>45449</v>
      </c>
      <c r="B339" s="2289" t="s">
        <v>17604</v>
      </c>
      <c r="C339" s="2877" t="s">
        <v>58</v>
      </c>
      <c r="D339" s="2877" t="s">
        <v>15443</v>
      </c>
      <c r="E339" s="2877" t="s">
        <v>13951</v>
      </c>
      <c r="F339" s="2913" t="s">
        <v>17605</v>
      </c>
      <c r="G339" s="2877"/>
      <c r="H339" s="2289"/>
      <c r="I339" s="2289" t="s">
        <v>15369</v>
      </c>
      <c r="J339" s="2877" t="s">
        <v>11251</v>
      </c>
      <c r="K339" s="2877" t="s">
        <v>17606</v>
      </c>
      <c r="L339" s="2144">
        <v>800000</v>
      </c>
      <c r="M339" s="2877" t="s">
        <v>112</v>
      </c>
      <c r="N339" s="3070">
        <v>45453</v>
      </c>
      <c r="O339" s="3070">
        <v>45464</v>
      </c>
      <c r="P339" s="3070">
        <v>45475</v>
      </c>
      <c r="Q339" s="2289" t="s">
        <v>2780</v>
      </c>
      <c r="R339" s="2877"/>
      <c r="S339" s="2144">
        <v>800000</v>
      </c>
      <c r="T339" s="2144">
        <v>968000</v>
      </c>
      <c r="U339" s="2145"/>
      <c r="V339" s="2145"/>
      <c r="W339" s="2145"/>
      <c r="X339" s="2146">
        <v>45475</v>
      </c>
      <c r="Y339" s="2260" t="s">
        <v>17803</v>
      </c>
      <c r="Z339" s="3070">
        <v>45485</v>
      </c>
      <c r="AA339" s="3070">
        <v>45485</v>
      </c>
      <c r="AB339" s="3070">
        <v>45575</v>
      </c>
      <c r="AC339" s="2976"/>
      <c r="AD339" s="2976"/>
      <c r="AE339" s="118">
        <v>1</v>
      </c>
    </row>
    <row r="340" spans="1:31">
      <c r="A340" s="3070">
        <v>45460</v>
      </c>
      <c r="B340" s="2289" t="s">
        <v>17657</v>
      </c>
      <c r="C340" s="2877" t="s">
        <v>289</v>
      </c>
      <c r="D340" s="2877" t="s">
        <v>6509</v>
      </c>
      <c r="E340" s="2877" t="s">
        <v>13951</v>
      </c>
      <c r="F340" s="2913" t="s">
        <v>17658</v>
      </c>
      <c r="G340" s="2877"/>
      <c r="H340" s="2289"/>
      <c r="I340" s="2289" t="s">
        <v>15369</v>
      </c>
      <c r="J340" s="2877" t="s">
        <v>455</v>
      </c>
      <c r="K340" s="2877"/>
      <c r="L340" s="2144">
        <v>600000</v>
      </c>
      <c r="M340" s="2877" t="s">
        <v>112</v>
      </c>
      <c r="N340" s="3070">
        <v>45469</v>
      </c>
      <c r="O340" s="3070">
        <v>45481</v>
      </c>
      <c r="P340" s="3070">
        <v>45484</v>
      </c>
      <c r="Q340" s="2289" t="s">
        <v>17859</v>
      </c>
      <c r="R340" s="2877"/>
      <c r="S340" s="2144">
        <v>687000</v>
      </c>
      <c r="T340" s="2144">
        <v>831270</v>
      </c>
      <c r="U340" s="2145"/>
      <c r="V340" s="2145"/>
      <c r="W340" s="2145"/>
      <c r="X340" s="2146">
        <v>45484</v>
      </c>
      <c r="Y340" s="2260" t="s">
        <v>17888</v>
      </c>
      <c r="Z340" s="3070">
        <v>45489</v>
      </c>
      <c r="AA340" s="3070">
        <v>45490</v>
      </c>
      <c r="AB340" s="3070">
        <v>46218</v>
      </c>
      <c r="AC340" s="2976"/>
      <c r="AD340" s="2976"/>
      <c r="AE340" s="118">
        <v>4</v>
      </c>
    </row>
    <row r="341" spans="1:31" ht="45">
      <c r="A341" s="3047">
        <v>45470</v>
      </c>
      <c r="B341" s="3018" t="s">
        <v>17763</v>
      </c>
      <c r="C341" s="3048" t="s">
        <v>16537</v>
      </c>
      <c r="D341" s="3048" t="s">
        <v>13844</v>
      </c>
      <c r="E341" s="3048" t="s">
        <v>13949</v>
      </c>
      <c r="F341" s="1575" t="s">
        <v>17764</v>
      </c>
      <c r="G341" s="3048"/>
      <c r="H341" s="3018"/>
      <c r="I341" s="3018" t="s">
        <v>4837</v>
      </c>
      <c r="J341" s="3101" t="s">
        <v>17765</v>
      </c>
      <c r="K341" s="3048"/>
      <c r="L341" s="2157">
        <v>15304170</v>
      </c>
      <c r="M341" s="3048" t="s">
        <v>251</v>
      </c>
      <c r="N341" s="3047">
        <v>45488</v>
      </c>
      <c r="O341" s="3047">
        <v>45561</v>
      </c>
      <c r="P341" s="3047"/>
      <c r="Q341" s="3018"/>
      <c r="R341" s="3048"/>
      <c r="S341" s="2157"/>
      <c r="T341" s="2157"/>
      <c r="U341" s="2094"/>
      <c r="V341" s="2094"/>
      <c r="W341" s="2094"/>
      <c r="X341" s="2160"/>
      <c r="Y341" s="2326"/>
      <c r="Z341" s="3047"/>
      <c r="AA341" s="3047"/>
      <c r="AB341" s="3047"/>
      <c r="AC341" s="2976"/>
      <c r="AD341" s="2976"/>
      <c r="AE341" s="118">
        <v>3</v>
      </c>
    </row>
    <row r="342" spans="1:31">
      <c r="A342" s="3070">
        <v>45453</v>
      </c>
      <c r="B342" s="2289" t="s">
        <v>17613</v>
      </c>
      <c r="C342" s="2877" t="s">
        <v>17003</v>
      </c>
      <c r="D342" s="2877" t="s">
        <v>15076</v>
      </c>
      <c r="E342" s="2877" t="s">
        <v>13951</v>
      </c>
      <c r="F342" s="2913" t="s">
        <v>17614</v>
      </c>
      <c r="G342" s="2877"/>
      <c r="H342" s="2289"/>
      <c r="I342" s="2289" t="s">
        <v>15369</v>
      </c>
      <c r="J342" s="2877" t="s">
        <v>6555</v>
      </c>
      <c r="K342" s="2877"/>
      <c r="L342" s="2144">
        <v>1300000</v>
      </c>
      <c r="M342" s="2877" t="s">
        <v>112</v>
      </c>
      <c r="N342" s="3070">
        <v>45455</v>
      </c>
      <c r="O342" s="3070">
        <v>45467</v>
      </c>
      <c r="P342" s="3070">
        <v>45469</v>
      </c>
      <c r="Q342" s="2289" t="s">
        <v>9891</v>
      </c>
      <c r="R342" s="2877"/>
      <c r="S342" s="2144">
        <v>1065565.75</v>
      </c>
      <c r="T342" s="2144">
        <v>1234400</v>
      </c>
      <c r="U342" s="2145"/>
      <c r="V342" s="2145"/>
      <c r="W342" s="2145"/>
      <c r="X342" s="2146">
        <v>45469</v>
      </c>
      <c r="Y342" s="2144" t="s">
        <v>17747</v>
      </c>
      <c r="Z342" s="3070">
        <v>45488</v>
      </c>
      <c r="AA342" s="3070">
        <v>45489</v>
      </c>
      <c r="AB342" s="3070">
        <v>45553</v>
      </c>
      <c r="AC342" s="2976"/>
      <c r="AD342" s="2976"/>
      <c r="AE342" s="118">
        <v>1</v>
      </c>
    </row>
    <row r="343" spans="1:31" ht="15.75" thickBot="1">
      <c r="A343" s="612">
        <v>45454</v>
      </c>
      <c r="B343" s="2911" t="s">
        <v>17625</v>
      </c>
      <c r="C343" s="609" t="s">
        <v>17003</v>
      </c>
      <c r="D343" s="609" t="s">
        <v>15076</v>
      </c>
      <c r="E343" s="609" t="s">
        <v>655</v>
      </c>
      <c r="F343" s="610" t="s">
        <v>17626</v>
      </c>
      <c r="G343" s="609"/>
      <c r="H343" s="2911"/>
      <c r="I343" s="2911" t="s">
        <v>15369</v>
      </c>
      <c r="J343" s="609" t="s">
        <v>16060</v>
      </c>
      <c r="K343" s="609"/>
      <c r="L343" s="417">
        <v>430000</v>
      </c>
      <c r="M343" s="609" t="s">
        <v>112</v>
      </c>
      <c r="N343" s="612">
        <v>45460</v>
      </c>
      <c r="O343" s="612">
        <v>45471</v>
      </c>
      <c r="P343" s="612">
        <v>45482</v>
      </c>
      <c r="Q343" s="2911" t="s">
        <v>16212</v>
      </c>
      <c r="R343" s="609"/>
      <c r="S343" s="417">
        <v>401110</v>
      </c>
      <c r="T343" s="417">
        <v>485343.1</v>
      </c>
      <c r="U343" s="1480"/>
      <c r="V343" s="1480"/>
      <c r="W343" s="1480"/>
      <c r="X343" s="513">
        <v>45482</v>
      </c>
      <c r="Y343" s="417" t="s">
        <v>17862</v>
      </c>
      <c r="Z343" s="612">
        <v>45499</v>
      </c>
      <c r="AA343" s="612">
        <v>45499</v>
      </c>
      <c r="AB343" s="612">
        <v>45709</v>
      </c>
      <c r="AC343" s="2976"/>
      <c r="AD343" s="2976"/>
      <c r="AE343" s="118">
        <v>1</v>
      </c>
    </row>
    <row r="344" spans="1:31" ht="30.75" thickTop="1">
      <c r="A344" s="456">
        <v>45456</v>
      </c>
      <c r="B344" s="2292" t="s">
        <v>17637</v>
      </c>
      <c r="C344" s="943" t="s">
        <v>58</v>
      </c>
      <c r="D344" s="943" t="s">
        <v>15443</v>
      </c>
      <c r="E344" s="943" t="s">
        <v>13951</v>
      </c>
      <c r="F344" s="713" t="s">
        <v>15836</v>
      </c>
      <c r="G344" s="943">
        <v>1</v>
      </c>
      <c r="H344" s="2292" t="s">
        <v>17640</v>
      </c>
      <c r="I344" s="2292" t="s">
        <v>15369</v>
      </c>
      <c r="J344" s="943" t="s">
        <v>1924</v>
      </c>
      <c r="K344" s="943"/>
      <c r="L344" s="457">
        <v>123000</v>
      </c>
      <c r="M344" s="943" t="s">
        <v>112</v>
      </c>
      <c r="N344" s="456">
        <v>45463</v>
      </c>
      <c r="O344" s="456">
        <v>45490</v>
      </c>
      <c r="P344" s="456">
        <v>45504</v>
      </c>
      <c r="Q344" s="2292" t="s">
        <v>2993</v>
      </c>
      <c r="R344" s="943"/>
      <c r="S344" s="457">
        <v>74690</v>
      </c>
      <c r="T344" s="457">
        <v>90374.9</v>
      </c>
      <c r="U344" s="1474"/>
      <c r="V344" s="1474"/>
      <c r="W344" s="1474"/>
      <c r="X344" s="570">
        <v>45504</v>
      </c>
      <c r="Y344" s="1387" t="s">
        <v>18027</v>
      </c>
      <c r="Z344" s="456">
        <v>45531</v>
      </c>
      <c r="AA344" s="456">
        <v>45532</v>
      </c>
      <c r="AB344" s="456">
        <v>45615</v>
      </c>
      <c r="AC344" s="2976"/>
      <c r="AD344" s="2976"/>
      <c r="AE344" s="118">
        <v>4</v>
      </c>
    </row>
    <row r="345" spans="1:31" ht="30">
      <c r="A345" s="3070">
        <v>45456</v>
      </c>
      <c r="B345" s="2289" t="s">
        <v>17638</v>
      </c>
      <c r="C345" s="2877" t="s">
        <v>58</v>
      </c>
      <c r="D345" s="2877" t="s">
        <v>15443</v>
      </c>
      <c r="E345" s="2877" t="s">
        <v>13951</v>
      </c>
      <c r="F345" s="2913" t="s">
        <v>15836</v>
      </c>
      <c r="G345" s="2877">
        <v>2</v>
      </c>
      <c r="H345" s="2289" t="s">
        <v>17641</v>
      </c>
      <c r="I345" s="2289" t="s">
        <v>15369</v>
      </c>
      <c r="J345" s="2877" t="s">
        <v>1924</v>
      </c>
      <c r="K345" s="2877" t="s">
        <v>17643</v>
      </c>
      <c r="L345" s="2144">
        <v>112000</v>
      </c>
      <c r="M345" s="2877" t="s">
        <v>112</v>
      </c>
      <c r="N345" s="3070">
        <v>45463</v>
      </c>
      <c r="O345" s="3070">
        <v>45490</v>
      </c>
      <c r="P345" s="3070">
        <v>45504</v>
      </c>
      <c r="Q345" s="2289" t="s">
        <v>9720</v>
      </c>
      <c r="R345" s="2877"/>
      <c r="S345" s="2144">
        <v>83500</v>
      </c>
      <c r="T345" s="2144">
        <v>101035</v>
      </c>
      <c r="U345" s="2145"/>
      <c r="V345" s="2145"/>
      <c r="W345" s="2145"/>
      <c r="X345" s="2146">
        <v>45504</v>
      </c>
      <c r="Y345" s="2260" t="s">
        <v>18028</v>
      </c>
      <c r="Z345" s="3070">
        <v>45517</v>
      </c>
      <c r="AA345" s="3070">
        <v>45517</v>
      </c>
      <c r="AB345" s="3070">
        <v>45577</v>
      </c>
      <c r="AC345" s="2976"/>
      <c r="AD345" s="2976"/>
      <c r="AE345" s="118">
        <v>3</v>
      </c>
    </row>
    <row r="346" spans="1:31" ht="30.75" thickBot="1">
      <c r="A346" s="3109">
        <v>45456</v>
      </c>
      <c r="B346" s="2291" t="s">
        <v>17639</v>
      </c>
      <c r="C346" s="2290" t="s">
        <v>58</v>
      </c>
      <c r="D346" s="2290" t="s">
        <v>15443</v>
      </c>
      <c r="E346" s="2290" t="s">
        <v>13951</v>
      </c>
      <c r="F346" s="2912" t="s">
        <v>15836</v>
      </c>
      <c r="G346" s="2290">
        <v>3</v>
      </c>
      <c r="H346" s="2291" t="s">
        <v>17642</v>
      </c>
      <c r="I346" s="2291" t="s">
        <v>15369</v>
      </c>
      <c r="J346" s="2290" t="s">
        <v>1924</v>
      </c>
      <c r="K346" s="2290" t="s">
        <v>17643</v>
      </c>
      <c r="L346" s="2121">
        <v>222000</v>
      </c>
      <c r="M346" s="2290" t="s">
        <v>112</v>
      </c>
      <c r="N346" s="3109">
        <v>45463</v>
      </c>
      <c r="O346" s="3109">
        <v>45490</v>
      </c>
      <c r="P346" s="3109">
        <v>45504</v>
      </c>
      <c r="Q346" s="2291" t="s">
        <v>9720</v>
      </c>
      <c r="R346" s="2290"/>
      <c r="S346" s="2121">
        <v>164200</v>
      </c>
      <c r="T346" s="2121">
        <v>198682</v>
      </c>
      <c r="U346" s="2122"/>
      <c r="V346" s="2122"/>
      <c r="W346" s="2122"/>
      <c r="X346" s="2123">
        <v>45504</v>
      </c>
      <c r="Y346" s="2246" t="s">
        <v>18029</v>
      </c>
      <c r="Z346" s="3109">
        <v>45517</v>
      </c>
      <c r="AA346" s="3109">
        <v>45517</v>
      </c>
      <c r="AB346" s="3109">
        <v>45577</v>
      </c>
      <c r="AC346" s="2976"/>
      <c r="AD346" s="2976"/>
      <c r="AE346" s="118">
        <v>2</v>
      </c>
    </row>
    <row r="347" spans="1:31" ht="15.75" thickTop="1">
      <c r="A347" s="252">
        <v>45456</v>
      </c>
      <c r="B347" s="3110" t="s">
        <v>17634</v>
      </c>
      <c r="C347" s="363" t="s">
        <v>58</v>
      </c>
      <c r="D347" s="363" t="s">
        <v>15443</v>
      </c>
      <c r="E347" s="363" t="s">
        <v>655</v>
      </c>
      <c r="F347" s="362" t="s">
        <v>17635</v>
      </c>
      <c r="G347" s="363"/>
      <c r="H347" s="3110"/>
      <c r="I347" s="3110" t="s">
        <v>15369</v>
      </c>
      <c r="J347" s="363" t="s">
        <v>476</v>
      </c>
      <c r="K347" s="363" t="s">
        <v>17636</v>
      </c>
      <c r="L347" s="364">
        <v>188000</v>
      </c>
      <c r="M347" s="363" t="s">
        <v>112</v>
      </c>
      <c r="N347" s="252">
        <v>45462</v>
      </c>
      <c r="O347" s="252">
        <v>45474</v>
      </c>
      <c r="P347" s="252">
        <v>45484</v>
      </c>
      <c r="Q347" s="3110" t="s">
        <v>15181</v>
      </c>
      <c r="R347" s="363"/>
      <c r="S347" s="364">
        <v>159278</v>
      </c>
      <c r="T347" s="364">
        <v>192726.38</v>
      </c>
      <c r="U347" s="1473"/>
      <c r="V347" s="1473"/>
      <c r="W347" s="1473"/>
      <c r="X347" s="681">
        <v>45484</v>
      </c>
      <c r="Y347" s="1417" t="s">
        <v>17889</v>
      </c>
      <c r="Z347" s="252">
        <v>45489</v>
      </c>
      <c r="AA347" s="252">
        <v>45490</v>
      </c>
      <c r="AB347" s="252">
        <v>45549</v>
      </c>
      <c r="AC347" s="2976"/>
      <c r="AD347" s="2976"/>
      <c r="AE347" s="118">
        <v>1</v>
      </c>
    </row>
    <row r="348" spans="1:31">
      <c r="A348" s="252">
        <v>45461</v>
      </c>
      <c r="B348" s="3110" t="s">
        <v>17673</v>
      </c>
      <c r="C348" s="363" t="s">
        <v>16536</v>
      </c>
      <c r="D348" s="363" t="s">
        <v>15129</v>
      </c>
      <c r="E348" s="363" t="s">
        <v>13949</v>
      </c>
      <c r="F348" s="362" t="s">
        <v>17674</v>
      </c>
      <c r="G348" s="363"/>
      <c r="H348" s="3110"/>
      <c r="I348" s="3110" t="s">
        <v>15369</v>
      </c>
      <c r="J348" s="363" t="s">
        <v>72</v>
      </c>
      <c r="K348" s="363"/>
      <c r="L348" s="364">
        <v>495811638</v>
      </c>
      <c r="M348" s="363" t="s">
        <v>251</v>
      </c>
      <c r="N348" s="252">
        <v>45464</v>
      </c>
      <c r="O348" s="252">
        <v>45499</v>
      </c>
      <c r="P348" s="252">
        <v>45530</v>
      </c>
      <c r="Q348" s="3110" t="s">
        <v>6805</v>
      </c>
      <c r="R348" s="363"/>
      <c r="S348" s="364">
        <v>495811616.83999997</v>
      </c>
      <c r="T348" s="364">
        <v>555309010.86000001</v>
      </c>
      <c r="U348" s="1473"/>
      <c r="V348" s="1473"/>
      <c r="W348" s="1473"/>
      <c r="X348" s="681">
        <v>45530</v>
      </c>
      <c r="Y348" s="1417" t="s">
        <v>18238</v>
      </c>
      <c r="Z348" s="252">
        <v>45538</v>
      </c>
      <c r="AA348" s="252">
        <v>45540</v>
      </c>
      <c r="AB348" s="252">
        <v>46632</v>
      </c>
      <c r="AC348" s="2976"/>
      <c r="AD348" s="2976"/>
      <c r="AE348" s="118">
        <v>1</v>
      </c>
    </row>
    <row r="349" spans="1:31">
      <c r="A349" s="3070">
        <v>45456</v>
      </c>
      <c r="B349" s="2289" t="s">
        <v>17645</v>
      </c>
      <c r="C349" s="2877" t="s">
        <v>16688</v>
      </c>
      <c r="D349" s="2877" t="s">
        <v>361</v>
      </c>
      <c r="E349" s="2877" t="s">
        <v>13950</v>
      </c>
      <c r="F349" s="2913" t="s">
        <v>17644</v>
      </c>
      <c r="G349" s="2877"/>
      <c r="H349" s="2289"/>
      <c r="I349" s="2289" t="s">
        <v>15369</v>
      </c>
      <c r="J349" s="2877" t="s">
        <v>17353</v>
      </c>
      <c r="K349" s="2877"/>
      <c r="L349" s="2144">
        <v>710000</v>
      </c>
      <c r="M349" s="2877" t="s">
        <v>235</v>
      </c>
      <c r="N349" s="3070">
        <v>45462</v>
      </c>
      <c r="O349" s="3070">
        <v>45489</v>
      </c>
      <c r="P349" s="3070">
        <v>45516</v>
      </c>
      <c r="Q349" s="2289" t="s">
        <v>18088</v>
      </c>
      <c r="R349" s="2877"/>
      <c r="S349" s="2144">
        <v>886704</v>
      </c>
      <c r="T349" s="2144">
        <v>1072911.8400000001</v>
      </c>
      <c r="U349" s="2145"/>
      <c r="V349" s="2145"/>
      <c r="W349" s="2145"/>
      <c r="X349" s="2146">
        <v>45516</v>
      </c>
      <c r="Y349" s="2144" t="s">
        <v>18137</v>
      </c>
      <c r="Z349" s="3070">
        <v>45525</v>
      </c>
      <c r="AA349" s="3070">
        <v>45545</v>
      </c>
      <c r="AB349" s="2289"/>
      <c r="AC349" s="2976"/>
      <c r="AD349" s="2976"/>
      <c r="AE349" s="118">
        <v>3</v>
      </c>
    </row>
    <row r="350" spans="1:31">
      <c r="A350" s="3102">
        <v>45467</v>
      </c>
      <c r="B350" s="3103" t="s">
        <v>17722</v>
      </c>
      <c r="C350" s="3104" t="s">
        <v>16684</v>
      </c>
      <c r="D350" s="3104" t="s">
        <v>55</v>
      </c>
      <c r="E350" s="3104" t="s">
        <v>655</v>
      </c>
      <c r="F350" s="3105" t="s">
        <v>17723</v>
      </c>
      <c r="G350" s="3104"/>
      <c r="H350" s="3103"/>
      <c r="I350" s="3103" t="s">
        <v>15373</v>
      </c>
      <c r="J350" s="3104" t="s">
        <v>1673</v>
      </c>
      <c r="K350" s="3104"/>
      <c r="L350" s="465">
        <v>1200000</v>
      </c>
      <c r="M350" s="3104" t="s">
        <v>112</v>
      </c>
      <c r="N350" s="3102">
        <v>45470</v>
      </c>
      <c r="O350" s="3102">
        <v>45498</v>
      </c>
      <c r="P350" s="3102">
        <v>45574</v>
      </c>
      <c r="Q350" s="3103" t="s">
        <v>4523</v>
      </c>
      <c r="R350" s="3104"/>
      <c r="S350" s="465">
        <v>749880</v>
      </c>
      <c r="T350" s="465">
        <v>907354.8</v>
      </c>
      <c r="U350" s="1478"/>
      <c r="V350" s="1478"/>
      <c r="W350" s="1478"/>
      <c r="X350" s="1809">
        <v>45574</v>
      </c>
      <c r="Y350" s="465" t="s">
        <v>18689</v>
      </c>
      <c r="Z350" s="3104"/>
      <c r="AA350" s="3102"/>
      <c r="AB350" s="3103"/>
      <c r="AC350" s="2976"/>
      <c r="AD350" s="2976"/>
      <c r="AE350" s="118">
        <v>4</v>
      </c>
    </row>
    <row r="351" spans="1:31">
      <c r="A351" s="612">
        <v>45457</v>
      </c>
      <c r="B351" s="2911" t="s">
        <v>17647</v>
      </c>
      <c r="C351" s="609" t="s">
        <v>17003</v>
      </c>
      <c r="D351" s="609" t="s">
        <v>15076</v>
      </c>
      <c r="E351" s="609" t="s">
        <v>655</v>
      </c>
      <c r="F351" s="610" t="s">
        <v>17648</v>
      </c>
      <c r="G351" s="609"/>
      <c r="H351" s="2911"/>
      <c r="I351" s="2911" t="s">
        <v>15369</v>
      </c>
      <c r="J351" s="609" t="s">
        <v>6731</v>
      </c>
      <c r="K351" s="609"/>
      <c r="L351" s="417">
        <v>250000</v>
      </c>
      <c r="M351" s="609" t="s">
        <v>112</v>
      </c>
      <c r="N351" s="612">
        <v>45462</v>
      </c>
      <c r="O351" s="612">
        <v>45483</v>
      </c>
      <c r="P351" s="612">
        <v>45502</v>
      </c>
      <c r="Q351" s="2911" t="s">
        <v>17996</v>
      </c>
      <c r="R351" s="609"/>
      <c r="S351" s="417">
        <v>240000</v>
      </c>
      <c r="T351" s="417">
        <v>290400</v>
      </c>
      <c r="U351" s="1480"/>
      <c r="V351" s="1480"/>
      <c r="W351" s="1480"/>
      <c r="X351" s="513">
        <v>45502</v>
      </c>
      <c r="Y351" s="1553" t="s">
        <v>18013</v>
      </c>
      <c r="Z351" s="612">
        <v>45513</v>
      </c>
      <c r="AA351" s="612">
        <v>45513</v>
      </c>
      <c r="AB351" s="612">
        <v>45587</v>
      </c>
      <c r="AC351" s="2976"/>
      <c r="AD351" s="2976"/>
      <c r="AE351" s="118">
        <v>1</v>
      </c>
    </row>
    <row r="352" spans="1:31">
      <c r="A352" s="3081">
        <v>45464</v>
      </c>
      <c r="B352" s="3082" t="s">
        <v>17691</v>
      </c>
      <c r="C352" s="3083" t="s">
        <v>16536</v>
      </c>
      <c r="D352" s="3083" t="s">
        <v>15131</v>
      </c>
      <c r="E352" s="3083" t="s">
        <v>15813</v>
      </c>
      <c r="F352" s="3084" t="s">
        <v>17692</v>
      </c>
      <c r="G352" s="3083"/>
      <c r="H352" s="3082"/>
      <c r="I352" s="3082" t="s">
        <v>242</v>
      </c>
      <c r="J352" s="3083" t="s">
        <v>17427</v>
      </c>
      <c r="K352" s="3083"/>
      <c r="L352" s="645">
        <v>1147500</v>
      </c>
      <c r="M352" s="3083" t="s">
        <v>251</v>
      </c>
      <c r="N352" s="3081">
        <v>45469</v>
      </c>
      <c r="O352" s="3081">
        <v>45504</v>
      </c>
      <c r="P352" s="3081"/>
      <c r="Q352" s="644" t="s">
        <v>18529</v>
      </c>
      <c r="R352" s="3083"/>
      <c r="S352" s="645">
        <v>1144662.3</v>
      </c>
      <c r="T352" s="645">
        <v>1282021.78</v>
      </c>
      <c r="U352" s="1534"/>
      <c r="V352" s="1534"/>
      <c r="W352" s="1534"/>
      <c r="X352" s="2890"/>
      <c r="Y352" s="3015"/>
      <c r="Z352" s="3081"/>
      <c r="AA352" s="3380">
        <v>45580</v>
      </c>
      <c r="AB352" s="3219" t="s">
        <v>18707</v>
      </c>
      <c r="AC352" s="2976"/>
      <c r="AD352" s="2976"/>
      <c r="AE352" s="118">
        <v>1</v>
      </c>
    </row>
    <row r="353" spans="1:32">
      <c r="A353" s="3070">
        <v>45464</v>
      </c>
      <c r="B353" s="2289" t="s">
        <v>17693</v>
      </c>
      <c r="C353" s="2877" t="s">
        <v>16536</v>
      </c>
      <c r="D353" s="2877" t="s">
        <v>15131</v>
      </c>
      <c r="E353" s="2877" t="s">
        <v>15813</v>
      </c>
      <c r="F353" s="2913" t="s">
        <v>17694</v>
      </c>
      <c r="G353" s="2877"/>
      <c r="H353" s="2289"/>
      <c r="I353" s="2289" t="s">
        <v>15369</v>
      </c>
      <c r="J353" s="2877" t="s">
        <v>11795</v>
      </c>
      <c r="K353" s="2877"/>
      <c r="L353" s="2144">
        <v>3190257</v>
      </c>
      <c r="M353" s="2877" t="s">
        <v>251</v>
      </c>
      <c r="N353" s="3070">
        <v>45481</v>
      </c>
      <c r="O353" s="3070">
        <v>45516</v>
      </c>
      <c r="P353" s="3070">
        <v>45544</v>
      </c>
      <c r="Q353" s="2289" t="s">
        <v>13761</v>
      </c>
      <c r="R353" s="2877"/>
      <c r="S353" s="2144">
        <v>3190256.4</v>
      </c>
      <c r="T353" s="2144">
        <v>3573087.17</v>
      </c>
      <c r="U353" s="2145"/>
      <c r="V353" s="2145"/>
      <c r="W353" s="2145"/>
      <c r="X353" s="2146">
        <v>45544</v>
      </c>
      <c r="Y353" s="2260" t="s">
        <v>18386</v>
      </c>
      <c r="Z353" s="3070">
        <v>45555</v>
      </c>
      <c r="AA353" s="3070">
        <v>45558</v>
      </c>
      <c r="AB353" s="3070">
        <v>46649</v>
      </c>
      <c r="AC353" s="2976"/>
      <c r="AD353" s="2976"/>
      <c r="AE353" s="118">
        <v>1</v>
      </c>
    </row>
    <row r="354" spans="1:32" ht="15.75" thickBot="1">
      <c r="A354" s="899">
        <v>45464</v>
      </c>
      <c r="B354" s="3123" t="s">
        <v>17698</v>
      </c>
      <c r="C354" s="286" t="s">
        <v>16536</v>
      </c>
      <c r="D354" s="286" t="s">
        <v>15129</v>
      </c>
      <c r="E354" s="286" t="s">
        <v>13949</v>
      </c>
      <c r="F354" s="261" t="s">
        <v>17699</v>
      </c>
      <c r="G354" s="286"/>
      <c r="H354" s="3123"/>
      <c r="I354" s="3123" t="s">
        <v>15369</v>
      </c>
      <c r="J354" s="286" t="s">
        <v>93</v>
      </c>
      <c r="K354" s="286"/>
      <c r="L354" s="499">
        <v>40261680</v>
      </c>
      <c r="M354" s="286" t="s">
        <v>251</v>
      </c>
      <c r="N354" s="899">
        <v>45469</v>
      </c>
      <c r="O354" s="899">
        <v>45504</v>
      </c>
      <c r="P354" s="899">
        <v>45513</v>
      </c>
      <c r="Q354" s="3123" t="s">
        <v>13761</v>
      </c>
      <c r="R354" s="286"/>
      <c r="S354" s="499">
        <v>40261626</v>
      </c>
      <c r="T354" s="499">
        <v>45093021.119999997</v>
      </c>
      <c r="U354" s="1545"/>
      <c r="V354" s="1545"/>
      <c r="W354" s="1545"/>
      <c r="X354" s="682">
        <v>45513</v>
      </c>
      <c r="Y354" s="1752" t="s">
        <v>18115</v>
      </c>
      <c r="Z354" s="899">
        <v>45531</v>
      </c>
      <c r="AA354" s="899">
        <v>45532</v>
      </c>
      <c r="AB354" s="899">
        <v>46625</v>
      </c>
      <c r="AC354" s="2976"/>
      <c r="AD354" s="2976"/>
      <c r="AE354" s="118">
        <v>1</v>
      </c>
    </row>
    <row r="355" spans="1:32" ht="30.75" thickTop="1">
      <c r="A355" s="456">
        <v>45461</v>
      </c>
      <c r="B355" s="2292" t="s">
        <v>17666</v>
      </c>
      <c r="C355" s="943" t="s">
        <v>2434</v>
      </c>
      <c r="D355" s="943" t="s">
        <v>3204</v>
      </c>
      <c r="E355" s="943" t="s">
        <v>13951</v>
      </c>
      <c r="F355" s="713" t="s">
        <v>17669</v>
      </c>
      <c r="G355" s="943">
        <v>1</v>
      </c>
      <c r="H355" s="2292" t="s">
        <v>11766</v>
      </c>
      <c r="I355" s="2292" t="s">
        <v>15369</v>
      </c>
      <c r="J355" s="943" t="s">
        <v>642</v>
      </c>
      <c r="K355" s="943"/>
      <c r="L355" s="457">
        <v>188139</v>
      </c>
      <c r="M355" s="943" t="s">
        <v>112</v>
      </c>
      <c r="N355" s="456">
        <v>45464</v>
      </c>
      <c r="O355" s="456">
        <v>45485</v>
      </c>
      <c r="P355" s="456">
        <v>45532</v>
      </c>
      <c r="Q355" s="2292" t="s">
        <v>9404</v>
      </c>
      <c r="R355" s="943"/>
      <c r="S355" s="457">
        <v>168300</v>
      </c>
      <c r="T355" s="457">
        <v>188496</v>
      </c>
      <c r="U355" s="1474"/>
      <c r="V355" s="1474"/>
      <c r="W355" s="1474"/>
      <c r="X355" s="570">
        <v>45532</v>
      </c>
      <c r="Y355" s="1387" t="s">
        <v>18286</v>
      </c>
      <c r="Z355" s="456">
        <v>45540</v>
      </c>
      <c r="AA355" s="456">
        <v>45541</v>
      </c>
      <c r="AB355" s="456">
        <v>47072</v>
      </c>
      <c r="AC355" s="2976"/>
      <c r="AD355" s="2976"/>
      <c r="AE355" s="118">
        <v>1</v>
      </c>
      <c r="AF355" s="118" t="s">
        <v>18335</v>
      </c>
    </row>
    <row r="356" spans="1:32" ht="30">
      <c r="A356" s="3070">
        <v>45461</v>
      </c>
      <c r="B356" s="2289" t="s">
        <v>17667</v>
      </c>
      <c r="C356" s="2877" t="s">
        <v>2434</v>
      </c>
      <c r="D356" s="2877" t="s">
        <v>3204</v>
      </c>
      <c r="E356" s="2877" t="s">
        <v>13951</v>
      </c>
      <c r="F356" s="2913" t="s">
        <v>17669</v>
      </c>
      <c r="G356" s="2877">
        <v>2</v>
      </c>
      <c r="H356" s="2289" t="s">
        <v>11769</v>
      </c>
      <c r="I356" s="2289" t="s">
        <v>15369</v>
      </c>
      <c r="J356" s="2877" t="s">
        <v>642</v>
      </c>
      <c r="K356" s="2877"/>
      <c r="L356" s="2144">
        <v>865280</v>
      </c>
      <c r="M356" s="2877" t="s">
        <v>112</v>
      </c>
      <c r="N356" s="3070">
        <v>45464</v>
      </c>
      <c r="O356" s="3070">
        <v>45485</v>
      </c>
      <c r="P356" s="3070">
        <v>45532</v>
      </c>
      <c r="Q356" s="2289" t="s">
        <v>9404</v>
      </c>
      <c r="R356" s="2877"/>
      <c r="S356" s="2144">
        <v>858000</v>
      </c>
      <c r="T356" s="2144">
        <v>960960</v>
      </c>
      <c r="U356" s="2145"/>
      <c r="V356" s="2145"/>
      <c r="W356" s="2145"/>
      <c r="X356" s="2146">
        <v>45532</v>
      </c>
      <c r="Y356" s="2260" t="s">
        <v>18287</v>
      </c>
      <c r="Z356" s="3070">
        <v>45539</v>
      </c>
      <c r="AA356" s="3070">
        <v>45541</v>
      </c>
      <c r="AB356" s="3070">
        <v>47072</v>
      </c>
      <c r="AC356" s="2976"/>
      <c r="AD356" s="2976"/>
      <c r="AE356" s="118">
        <v>1</v>
      </c>
      <c r="AF356" s="118" t="s">
        <v>18335</v>
      </c>
    </row>
    <row r="357" spans="1:32" ht="30.75" thickBot="1">
      <c r="A357" s="3109">
        <v>45461</v>
      </c>
      <c r="B357" s="2291" t="s">
        <v>17668</v>
      </c>
      <c r="C357" s="2290" t="s">
        <v>2434</v>
      </c>
      <c r="D357" s="2290" t="s">
        <v>3204</v>
      </c>
      <c r="E357" s="2290" t="s">
        <v>13951</v>
      </c>
      <c r="F357" s="2912" t="s">
        <v>17669</v>
      </c>
      <c r="G357" s="2290">
        <v>3</v>
      </c>
      <c r="H357" s="2291" t="s">
        <v>11768</v>
      </c>
      <c r="I357" s="2291" t="s">
        <v>15369</v>
      </c>
      <c r="J357" s="2290" t="s">
        <v>642</v>
      </c>
      <c r="K357" s="2290"/>
      <c r="L357" s="2121">
        <v>767800</v>
      </c>
      <c r="M357" s="2290" t="s">
        <v>112</v>
      </c>
      <c r="N357" s="3109">
        <v>45464</v>
      </c>
      <c r="O357" s="3109">
        <v>45485</v>
      </c>
      <c r="P357" s="3109">
        <v>45532</v>
      </c>
      <c r="Q357" s="2291" t="s">
        <v>9770</v>
      </c>
      <c r="R357" s="2290"/>
      <c r="S357" s="2121">
        <v>737000</v>
      </c>
      <c r="T357" s="2121">
        <v>825440</v>
      </c>
      <c r="U357" s="2122"/>
      <c r="V357" s="2122"/>
      <c r="W357" s="2122"/>
      <c r="X357" s="2123">
        <v>45532</v>
      </c>
      <c r="Y357" s="2246" t="s">
        <v>18288</v>
      </c>
      <c r="Z357" s="3109">
        <v>45538</v>
      </c>
      <c r="AA357" s="2565">
        <v>45541</v>
      </c>
      <c r="AB357" s="3109">
        <v>47072</v>
      </c>
      <c r="AC357" s="2976"/>
      <c r="AD357" s="2976"/>
      <c r="AE357" s="118">
        <v>1</v>
      </c>
      <c r="AF357" s="118" t="s">
        <v>18335</v>
      </c>
    </row>
    <row r="358" spans="1:32" ht="30.75" thickTop="1">
      <c r="A358" s="252" t="s">
        <v>16715</v>
      </c>
      <c r="B358" s="3110" t="s">
        <v>17670</v>
      </c>
      <c r="C358" s="363" t="s">
        <v>2434</v>
      </c>
      <c r="D358" s="363" t="s">
        <v>3204</v>
      </c>
      <c r="E358" s="363" t="s">
        <v>13948</v>
      </c>
      <c r="F358" s="362" t="s">
        <v>17671</v>
      </c>
      <c r="G358" s="363"/>
      <c r="H358" s="3110"/>
      <c r="I358" s="3110" t="s">
        <v>15369</v>
      </c>
      <c r="J358" s="363" t="s">
        <v>642</v>
      </c>
      <c r="K358" s="363"/>
      <c r="L358" s="364">
        <v>2583000</v>
      </c>
      <c r="M358" s="363" t="s">
        <v>216</v>
      </c>
      <c r="N358" s="252">
        <v>45463</v>
      </c>
      <c r="O358" s="252">
        <v>45483</v>
      </c>
      <c r="P358" s="252">
        <v>45491</v>
      </c>
      <c r="Q358" s="3110" t="s">
        <v>4839</v>
      </c>
      <c r="R358" s="2014"/>
      <c r="S358" s="364">
        <v>2583000</v>
      </c>
      <c r="T358" s="364">
        <v>2892960</v>
      </c>
      <c r="U358" s="1473"/>
      <c r="V358" s="1473"/>
      <c r="W358" s="1473"/>
      <c r="X358" s="681">
        <v>45491</v>
      </c>
      <c r="Y358" s="1417" t="s">
        <v>17953</v>
      </c>
      <c r="Z358" s="252">
        <v>45503</v>
      </c>
      <c r="AA358" s="937">
        <v>45513</v>
      </c>
      <c r="AB358" s="252">
        <v>46963</v>
      </c>
      <c r="AC358" s="2976"/>
      <c r="AD358" s="2976"/>
      <c r="AE358" s="118">
        <v>1</v>
      </c>
    </row>
    <row r="359" spans="1:32" ht="30">
      <c r="A359" s="3070" t="s">
        <v>16767</v>
      </c>
      <c r="B359" s="2289" t="s">
        <v>17681</v>
      </c>
      <c r="C359" s="2877" t="s">
        <v>2434</v>
      </c>
      <c r="D359" s="2877" t="s">
        <v>3204</v>
      </c>
      <c r="E359" s="2877" t="s">
        <v>15813</v>
      </c>
      <c r="F359" s="2913" t="s">
        <v>17680</v>
      </c>
      <c r="G359" s="2877"/>
      <c r="H359" s="2289"/>
      <c r="I359" s="2289" t="s">
        <v>15369</v>
      </c>
      <c r="J359" s="2877" t="s">
        <v>642</v>
      </c>
      <c r="K359" s="2877"/>
      <c r="L359" s="2144">
        <v>2467400</v>
      </c>
      <c r="M359" s="2877" t="s">
        <v>251</v>
      </c>
      <c r="N359" s="3070">
        <v>45469</v>
      </c>
      <c r="O359" s="3070">
        <v>45504</v>
      </c>
      <c r="P359" s="3070">
        <v>45547</v>
      </c>
      <c r="Q359" s="2289" t="s">
        <v>17152</v>
      </c>
      <c r="R359" s="2877"/>
      <c r="S359" s="2144">
        <v>2272400</v>
      </c>
      <c r="T359" s="2144">
        <v>2545088</v>
      </c>
      <c r="U359" s="2145"/>
      <c r="V359" s="2145"/>
      <c r="W359" s="2145"/>
      <c r="X359" s="2146">
        <v>45547</v>
      </c>
      <c r="Y359" s="2260" t="s">
        <v>18433</v>
      </c>
      <c r="Z359" s="3070">
        <v>45568</v>
      </c>
      <c r="AA359" s="3070">
        <v>45575</v>
      </c>
      <c r="AB359" s="3070">
        <v>47028</v>
      </c>
      <c r="AC359" s="2976"/>
      <c r="AD359" s="2976"/>
      <c r="AE359" s="118">
        <v>5</v>
      </c>
    </row>
    <row r="360" spans="1:32">
      <c r="A360" s="3070">
        <v>45464</v>
      </c>
      <c r="B360" s="2289" t="s">
        <v>17700</v>
      </c>
      <c r="C360" s="2877" t="s">
        <v>16536</v>
      </c>
      <c r="D360" s="2877" t="s">
        <v>15131</v>
      </c>
      <c r="E360" s="2877" t="s">
        <v>13949</v>
      </c>
      <c r="F360" s="2913" t="s">
        <v>17701</v>
      </c>
      <c r="G360" s="2877"/>
      <c r="H360" s="2289"/>
      <c r="I360" s="2289" t="s">
        <v>15369</v>
      </c>
      <c r="J360" s="2877" t="s">
        <v>11795</v>
      </c>
      <c r="K360" s="2877"/>
      <c r="L360" s="2144">
        <v>56284301</v>
      </c>
      <c r="M360" s="2877" t="s">
        <v>251</v>
      </c>
      <c r="N360" s="3070">
        <v>45469</v>
      </c>
      <c r="O360" s="3070">
        <v>45504</v>
      </c>
      <c r="P360" s="3070">
        <v>45525</v>
      </c>
      <c r="Q360" s="2289" t="s">
        <v>18090</v>
      </c>
      <c r="R360" s="2877"/>
      <c r="S360" s="2144">
        <v>56284300.799999997</v>
      </c>
      <c r="T360" s="2144">
        <v>63038416.899999999</v>
      </c>
      <c r="U360" s="2145"/>
      <c r="V360" s="2145"/>
      <c r="W360" s="2145"/>
      <c r="X360" s="2146">
        <v>45525</v>
      </c>
      <c r="Y360" s="2144" t="s">
        <v>18193</v>
      </c>
      <c r="Z360" s="3070">
        <v>45534</v>
      </c>
      <c r="AA360" s="3070">
        <v>45537</v>
      </c>
      <c r="AB360" s="3070">
        <v>46628</v>
      </c>
      <c r="AC360" s="2976"/>
      <c r="AD360" s="2976"/>
      <c r="AE360" s="118">
        <v>1</v>
      </c>
    </row>
    <row r="361" spans="1:32">
      <c r="A361" s="3070">
        <v>45468</v>
      </c>
      <c r="B361" s="2289" t="s">
        <v>17742</v>
      </c>
      <c r="C361" s="2877" t="s">
        <v>16536</v>
      </c>
      <c r="D361" s="2877" t="s">
        <v>15129</v>
      </c>
      <c r="E361" s="2877" t="s">
        <v>13949</v>
      </c>
      <c r="F361" s="2913" t="s">
        <v>17743</v>
      </c>
      <c r="G361" s="2877"/>
      <c r="H361" s="2289"/>
      <c r="I361" s="2289" t="s">
        <v>15369</v>
      </c>
      <c r="J361" s="2877" t="s">
        <v>72</v>
      </c>
      <c r="K361" s="2877"/>
      <c r="L361" s="2144">
        <v>6816892.46</v>
      </c>
      <c r="M361" s="2877" t="s">
        <v>251</v>
      </c>
      <c r="N361" s="3070">
        <v>45471</v>
      </c>
      <c r="O361" s="3070">
        <v>45511</v>
      </c>
      <c r="P361" s="3070">
        <v>45559</v>
      </c>
      <c r="Q361" s="2289" t="s">
        <v>8542</v>
      </c>
      <c r="R361" s="2877"/>
      <c r="S361" s="2144">
        <v>4540152</v>
      </c>
      <c r="T361" s="2144">
        <v>5084970.24</v>
      </c>
      <c r="U361" s="2145"/>
      <c r="V361" s="2145"/>
      <c r="W361" s="2145"/>
      <c r="X361" s="2146">
        <v>45559</v>
      </c>
      <c r="Y361" s="2144" t="s">
        <v>18515</v>
      </c>
      <c r="Z361" s="3070">
        <v>45579</v>
      </c>
      <c r="AA361" s="3047">
        <v>45580</v>
      </c>
      <c r="AB361" s="3070">
        <v>46673</v>
      </c>
      <c r="AC361" s="2976"/>
      <c r="AD361" s="2976"/>
      <c r="AE361" s="118">
        <v>2</v>
      </c>
    </row>
    <row r="362" spans="1:32">
      <c r="A362" s="3070">
        <v>45464</v>
      </c>
      <c r="B362" s="2289" t="s">
        <v>17702</v>
      </c>
      <c r="C362" s="2877" t="s">
        <v>16536</v>
      </c>
      <c r="D362" s="2877" t="s">
        <v>15131</v>
      </c>
      <c r="E362" s="2877" t="s">
        <v>13949</v>
      </c>
      <c r="F362" s="2913" t="s">
        <v>17703</v>
      </c>
      <c r="G362" s="2877"/>
      <c r="H362" s="2289"/>
      <c r="I362" s="2289" t="s">
        <v>15369</v>
      </c>
      <c r="J362" s="2877" t="s">
        <v>671</v>
      </c>
      <c r="K362" s="2877"/>
      <c r="L362" s="2144">
        <v>3961993</v>
      </c>
      <c r="M362" s="2877" t="s">
        <v>251</v>
      </c>
      <c r="N362" s="3070">
        <v>45475</v>
      </c>
      <c r="O362" s="3070">
        <v>45545</v>
      </c>
      <c r="P362" s="3070">
        <v>45565</v>
      </c>
      <c r="Q362" s="2289" t="s">
        <v>1389</v>
      </c>
      <c r="R362" s="2877"/>
      <c r="S362" s="2144">
        <v>3962016</v>
      </c>
      <c r="T362" s="2144">
        <v>4437457.92</v>
      </c>
      <c r="U362" s="2145"/>
      <c r="V362" s="2145"/>
      <c r="W362" s="2145"/>
      <c r="X362" s="2146">
        <v>45566</v>
      </c>
      <c r="Y362" s="2144" t="s">
        <v>18609</v>
      </c>
      <c r="Z362" s="3070">
        <v>45574</v>
      </c>
      <c r="AA362" s="3070">
        <v>45579</v>
      </c>
      <c r="AB362" s="3070">
        <v>46668</v>
      </c>
      <c r="AC362" s="2976"/>
      <c r="AD362" s="2976"/>
      <c r="AE362" s="118">
        <v>1</v>
      </c>
    </row>
    <row r="363" spans="1:32" ht="15.75" thickBot="1">
      <c r="A363" s="3045">
        <v>45463</v>
      </c>
      <c r="B363" s="3020" t="s">
        <v>17683</v>
      </c>
      <c r="C363" s="3046" t="s">
        <v>16684</v>
      </c>
      <c r="D363" s="3046" t="s">
        <v>55</v>
      </c>
      <c r="E363" s="2783" t="s">
        <v>13948</v>
      </c>
      <c r="F363" s="3026" t="s">
        <v>17684</v>
      </c>
      <c r="G363" s="3046"/>
      <c r="H363" s="3020"/>
      <c r="I363" s="3020" t="s">
        <v>15448</v>
      </c>
      <c r="J363" s="3020" t="s">
        <v>17695</v>
      </c>
      <c r="K363" s="3046"/>
      <c r="L363" s="1874">
        <v>1631406</v>
      </c>
      <c r="M363" s="3046" t="s">
        <v>251</v>
      </c>
      <c r="N363" s="3045">
        <v>45532</v>
      </c>
      <c r="O363" s="3045">
        <v>45581</v>
      </c>
      <c r="P363" s="3045"/>
      <c r="Q363" s="3020"/>
      <c r="R363" s="3046"/>
      <c r="S363" s="1874"/>
      <c r="T363" s="1874"/>
      <c r="U363" s="1490"/>
      <c r="V363" s="1490"/>
      <c r="W363" s="1490"/>
      <c r="X363" s="3280"/>
      <c r="Y363" s="1874"/>
      <c r="Z363" s="3045"/>
      <c r="AA363" s="3045"/>
      <c r="AB363" s="3045"/>
      <c r="AC363" s="2976"/>
      <c r="AD363" s="2976"/>
    </row>
    <row r="364" spans="1:32" ht="15.75" thickTop="1">
      <c r="A364" s="456">
        <v>45464</v>
      </c>
      <c r="B364" s="2292" t="s">
        <v>17707</v>
      </c>
      <c r="C364" s="943" t="s">
        <v>16536</v>
      </c>
      <c r="D364" s="943" t="s">
        <v>15129</v>
      </c>
      <c r="E364" s="943" t="s">
        <v>13949</v>
      </c>
      <c r="F364" s="713" t="s">
        <v>17710</v>
      </c>
      <c r="G364" s="943">
        <v>1</v>
      </c>
      <c r="H364" s="2292" t="s">
        <v>17711</v>
      </c>
      <c r="I364" s="2292" t="s">
        <v>15369</v>
      </c>
      <c r="J364" s="3138" t="s">
        <v>5244</v>
      </c>
      <c r="K364" s="943"/>
      <c r="L364" s="457">
        <v>2913000</v>
      </c>
      <c r="M364" s="943" t="s">
        <v>251</v>
      </c>
      <c r="N364" s="456">
        <v>45470</v>
      </c>
      <c r="O364" s="456">
        <v>45505</v>
      </c>
      <c r="P364" s="456">
        <v>45532</v>
      </c>
      <c r="Q364" s="2292" t="s">
        <v>6076</v>
      </c>
      <c r="R364" s="943"/>
      <c r="S364" s="457">
        <v>2548875</v>
      </c>
      <c r="T364" s="457">
        <v>2854740</v>
      </c>
      <c r="U364" s="1474"/>
      <c r="V364" s="1474"/>
      <c r="W364" s="1474"/>
      <c r="X364" s="570">
        <v>45532</v>
      </c>
      <c r="Y364" s="457" t="s">
        <v>18290</v>
      </c>
      <c r="Z364" s="456">
        <v>45555</v>
      </c>
      <c r="AA364" s="456">
        <v>45559</v>
      </c>
      <c r="AB364" s="456">
        <v>46649</v>
      </c>
      <c r="AC364" s="2976"/>
      <c r="AD364" s="2976"/>
      <c r="AE364" s="118">
        <v>5</v>
      </c>
    </row>
    <row r="365" spans="1:32">
      <c r="A365" s="3070">
        <v>45464</v>
      </c>
      <c r="B365" s="2289" t="s">
        <v>17708</v>
      </c>
      <c r="C365" s="2877" t="s">
        <v>16536</v>
      </c>
      <c r="D365" s="2877" t="s">
        <v>15129</v>
      </c>
      <c r="E365" s="2877" t="s">
        <v>13949</v>
      </c>
      <c r="F365" s="2913" t="s">
        <v>17710</v>
      </c>
      <c r="G365" s="2877">
        <v>2</v>
      </c>
      <c r="H365" s="2289" t="s">
        <v>17712</v>
      </c>
      <c r="I365" s="2289" t="s">
        <v>15369</v>
      </c>
      <c r="J365" s="3115" t="s">
        <v>5244</v>
      </c>
      <c r="K365" s="2877"/>
      <c r="L365" s="2144">
        <v>3279632</v>
      </c>
      <c r="M365" s="2877" t="s">
        <v>251</v>
      </c>
      <c r="N365" s="3070">
        <v>45470</v>
      </c>
      <c r="O365" s="3070">
        <v>45505</v>
      </c>
      <c r="P365" s="3070">
        <v>45532</v>
      </c>
      <c r="Q365" s="2289" t="s">
        <v>576</v>
      </c>
      <c r="R365" s="2877"/>
      <c r="S365" s="2144">
        <v>2924366.37</v>
      </c>
      <c r="T365" s="2144">
        <v>3275290.33</v>
      </c>
      <c r="U365" s="2145"/>
      <c r="V365" s="2145"/>
      <c r="W365" s="2145"/>
      <c r="X365" s="2146">
        <v>45532</v>
      </c>
      <c r="Y365" s="2144" t="s">
        <v>18291</v>
      </c>
      <c r="Z365" s="3070">
        <v>45555</v>
      </c>
      <c r="AA365" s="3070">
        <v>45559</v>
      </c>
      <c r="AB365" s="3070">
        <v>46649</v>
      </c>
      <c r="AC365" s="2976"/>
      <c r="AD365" s="2976"/>
      <c r="AE365" s="118">
        <v>2</v>
      </c>
    </row>
    <row r="366" spans="1:32" ht="15.75" thickBot="1">
      <c r="A366" s="3131">
        <v>45464</v>
      </c>
      <c r="B366" s="3118" t="s">
        <v>17709</v>
      </c>
      <c r="C366" s="3119" t="s">
        <v>16536</v>
      </c>
      <c r="D366" s="3119" t="s">
        <v>15129</v>
      </c>
      <c r="E366" s="3119" t="s">
        <v>13949</v>
      </c>
      <c r="F366" s="3136" t="s">
        <v>17710</v>
      </c>
      <c r="G366" s="3119">
        <v>3</v>
      </c>
      <c r="H366" s="3118" t="s">
        <v>17713</v>
      </c>
      <c r="I366" s="3118" t="s">
        <v>242</v>
      </c>
      <c r="J366" s="3236" t="s">
        <v>5244</v>
      </c>
      <c r="K366" s="3119"/>
      <c r="L366" s="2134">
        <v>1610</v>
      </c>
      <c r="M366" s="3119" t="s">
        <v>251</v>
      </c>
      <c r="N366" s="3131">
        <v>45470</v>
      </c>
      <c r="O366" s="3131">
        <v>45505</v>
      </c>
      <c r="P366" s="3119"/>
      <c r="Q366" s="2137" t="s">
        <v>304</v>
      </c>
      <c r="R366" s="3119"/>
      <c r="S366" s="2134"/>
      <c r="T366" s="2134"/>
      <c r="U366" s="2095"/>
      <c r="V366" s="2095"/>
      <c r="W366" s="2095"/>
      <c r="X366" s="2134"/>
      <c r="Y366" s="2134"/>
      <c r="Z366" s="3119"/>
      <c r="AA366" s="3131">
        <v>45552</v>
      </c>
      <c r="AB366" s="3119" t="s">
        <v>18203</v>
      </c>
      <c r="AC366" s="2976"/>
      <c r="AD366" s="2976"/>
    </row>
    <row r="367" spans="1:32" ht="15.75" thickTop="1">
      <c r="A367" s="687">
        <v>45464</v>
      </c>
      <c r="B367" s="1883" t="s">
        <v>17705</v>
      </c>
      <c r="C367" s="688" t="s">
        <v>16536</v>
      </c>
      <c r="D367" s="688" t="s">
        <v>15129</v>
      </c>
      <c r="E367" s="688" t="s">
        <v>15813</v>
      </c>
      <c r="F367" s="684" t="s">
        <v>17706</v>
      </c>
      <c r="G367" s="688"/>
      <c r="H367" s="1883"/>
      <c r="I367" s="1883" t="s">
        <v>242</v>
      </c>
      <c r="J367" s="3273" t="s">
        <v>3435</v>
      </c>
      <c r="K367" s="688"/>
      <c r="L367" s="444">
        <v>9524490.5999999996</v>
      </c>
      <c r="M367" s="688" t="s">
        <v>251</v>
      </c>
      <c r="N367" s="687">
        <v>45481</v>
      </c>
      <c r="O367" s="687">
        <v>45516</v>
      </c>
      <c r="P367" s="687"/>
      <c r="Q367" s="753" t="s">
        <v>304</v>
      </c>
      <c r="R367" s="688"/>
      <c r="S367" s="444"/>
      <c r="T367" s="444"/>
      <c r="U367" s="1483"/>
      <c r="V367" s="1483"/>
      <c r="W367" s="1483"/>
      <c r="X367" s="1884"/>
      <c r="Y367" s="444"/>
      <c r="Z367" s="687"/>
      <c r="AA367" s="687">
        <v>45518</v>
      </c>
      <c r="AB367" s="687" t="s">
        <v>18134</v>
      </c>
      <c r="AC367" s="2976"/>
      <c r="AD367" s="2976"/>
    </row>
    <row r="368" spans="1:32" ht="15.75" thickBot="1">
      <c r="A368" s="899">
        <v>45469</v>
      </c>
      <c r="B368" s="3123" t="s">
        <v>17745</v>
      </c>
      <c r="C368" s="286" t="s">
        <v>6561</v>
      </c>
      <c r="D368" s="286" t="s">
        <v>4864</v>
      </c>
      <c r="E368" s="286" t="s">
        <v>13951</v>
      </c>
      <c r="F368" s="261" t="s">
        <v>17746</v>
      </c>
      <c r="G368" s="286"/>
      <c r="H368" s="3123"/>
      <c r="I368" s="3123" t="s">
        <v>15369</v>
      </c>
      <c r="J368" s="3171" t="s">
        <v>12571</v>
      </c>
      <c r="K368" s="286"/>
      <c r="L368" s="499">
        <v>5800000</v>
      </c>
      <c r="M368" s="286" t="s">
        <v>112</v>
      </c>
      <c r="N368" s="899">
        <v>45474</v>
      </c>
      <c r="O368" s="899">
        <v>45485</v>
      </c>
      <c r="P368" s="899">
        <v>45490</v>
      </c>
      <c r="Q368" s="3123" t="s">
        <v>17969</v>
      </c>
      <c r="R368" s="286"/>
      <c r="S368" s="499">
        <v>5491177</v>
      </c>
      <c r="T368" s="499">
        <v>6644324.1699999999</v>
      </c>
      <c r="U368" s="1545"/>
      <c r="V368" s="1545"/>
      <c r="W368" s="1545"/>
      <c r="X368" s="682">
        <v>45490</v>
      </c>
      <c r="Y368" s="499" t="s">
        <v>17968</v>
      </c>
      <c r="Z368" s="899">
        <v>45496</v>
      </c>
      <c r="AA368" s="899"/>
      <c r="AB368" s="899">
        <v>45526</v>
      </c>
      <c r="AC368" s="2976"/>
      <c r="AD368" s="2976"/>
      <c r="AE368" s="118">
        <v>4</v>
      </c>
    </row>
    <row r="369" spans="1:44" ht="15.75" thickTop="1">
      <c r="A369" s="456">
        <v>45464</v>
      </c>
      <c r="B369" s="2292" t="s">
        <v>17717</v>
      </c>
      <c r="C369" s="943" t="s">
        <v>16536</v>
      </c>
      <c r="D369" s="943" t="s">
        <v>15129</v>
      </c>
      <c r="E369" s="943" t="s">
        <v>13951</v>
      </c>
      <c r="F369" s="713" t="s">
        <v>17704</v>
      </c>
      <c r="G369" s="943">
        <v>1</v>
      </c>
      <c r="H369" s="2292" t="s">
        <v>17714</v>
      </c>
      <c r="I369" s="2292" t="s">
        <v>15369</v>
      </c>
      <c r="J369" s="3138" t="s">
        <v>5244</v>
      </c>
      <c r="K369" s="943"/>
      <c r="L369" s="457">
        <v>97173</v>
      </c>
      <c r="M369" s="943" t="s">
        <v>112</v>
      </c>
      <c r="N369" s="456">
        <v>45469</v>
      </c>
      <c r="O369" s="456">
        <v>45483</v>
      </c>
      <c r="P369" s="456">
        <v>45495</v>
      </c>
      <c r="Q369" s="2292" t="s">
        <v>8542</v>
      </c>
      <c r="R369" s="943"/>
      <c r="S369" s="457">
        <v>68785.740000000005</v>
      </c>
      <c r="T369" s="457">
        <v>77040.03</v>
      </c>
      <c r="U369" s="1474"/>
      <c r="V369" s="1474"/>
      <c r="W369" s="1474"/>
      <c r="X369" s="570">
        <v>45495</v>
      </c>
      <c r="Y369" s="457" t="s">
        <v>17973</v>
      </c>
      <c r="Z369" s="456">
        <v>45498</v>
      </c>
      <c r="AA369" s="456">
        <v>45498</v>
      </c>
      <c r="AB369" s="456">
        <v>46592</v>
      </c>
      <c r="AC369" s="2976"/>
      <c r="AD369" s="2976"/>
      <c r="AE369" s="118">
        <v>3</v>
      </c>
    </row>
    <row r="370" spans="1:44">
      <c r="A370" s="3067">
        <v>45464</v>
      </c>
      <c r="B370" s="3068" t="s">
        <v>17718</v>
      </c>
      <c r="C370" s="3069" t="s">
        <v>16536</v>
      </c>
      <c r="D370" s="3069" t="s">
        <v>15129</v>
      </c>
      <c r="E370" s="3069" t="s">
        <v>13951</v>
      </c>
      <c r="F370" s="2914" t="s">
        <v>17704</v>
      </c>
      <c r="G370" s="3069">
        <v>2</v>
      </c>
      <c r="H370" s="3068" t="s">
        <v>17715</v>
      </c>
      <c r="I370" s="3068" t="s">
        <v>242</v>
      </c>
      <c r="J370" s="3080" t="s">
        <v>5244</v>
      </c>
      <c r="K370" s="3069"/>
      <c r="L370" s="2128">
        <v>1251902</v>
      </c>
      <c r="M370" s="3069" t="s">
        <v>112</v>
      </c>
      <c r="N370" s="3067">
        <v>45469</v>
      </c>
      <c r="O370" s="3067">
        <v>45483</v>
      </c>
      <c r="P370" s="3067"/>
      <c r="Q370" s="2136" t="s">
        <v>3477</v>
      </c>
      <c r="R370" s="3069"/>
      <c r="S370" s="2128"/>
      <c r="T370" s="2128"/>
      <c r="U370" s="2129"/>
      <c r="V370" s="2129"/>
      <c r="W370" s="2129"/>
      <c r="X370" s="2281"/>
      <c r="Y370" s="2128"/>
      <c r="Z370" s="3067"/>
      <c r="AA370" s="3067">
        <v>45495</v>
      </c>
      <c r="AB370" s="3067"/>
      <c r="AC370" s="2976"/>
      <c r="AD370" s="2976"/>
      <c r="AE370" s="118">
        <v>1</v>
      </c>
    </row>
    <row r="371" spans="1:44" ht="15.75" thickBot="1">
      <c r="A371" s="3131">
        <v>45464</v>
      </c>
      <c r="B371" s="3118" t="s">
        <v>17719</v>
      </c>
      <c r="C371" s="3119" t="s">
        <v>16536</v>
      </c>
      <c r="D371" s="3119" t="s">
        <v>15129</v>
      </c>
      <c r="E371" s="3119" t="s">
        <v>13951</v>
      </c>
      <c r="F371" s="3136" t="s">
        <v>17704</v>
      </c>
      <c r="G371" s="3119">
        <v>3</v>
      </c>
      <c r="H371" s="3118" t="s">
        <v>17716</v>
      </c>
      <c r="I371" s="3118" t="s">
        <v>242</v>
      </c>
      <c r="J371" s="3236" t="s">
        <v>5244</v>
      </c>
      <c r="K371" s="3119"/>
      <c r="L371" s="2134">
        <v>183592</v>
      </c>
      <c r="M371" s="3119" t="s">
        <v>112</v>
      </c>
      <c r="N371" s="3131">
        <v>45469</v>
      </c>
      <c r="O371" s="3131">
        <v>45483</v>
      </c>
      <c r="P371" s="3119"/>
      <c r="Q371" s="2137" t="s">
        <v>304</v>
      </c>
      <c r="R371" s="2245"/>
      <c r="S371" s="2134"/>
      <c r="T371" s="2134"/>
      <c r="U371" s="2095"/>
      <c r="V371" s="2095"/>
      <c r="W371" s="2095"/>
      <c r="X371" s="2134"/>
      <c r="Y371" s="2134"/>
      <c r="Z371" s="3119"/>
      <c r="AA371" s="3131">
        <v>45495</v>
      </c>
      <c r="AB371" s="3119"/>
      <c r="AC371" s="2976"/>
      <c r="AD371" s="2976"/>
    </row>
    <row r="372" spans="1:44" ht="30.75" thickTop="1">
      <c r="A372" s="3071">
        <v>45467</v>
      </c>
      <c r="B372" s="2036" t="s">
        <v>17727</v>
      </c>
      <c r="C372" s="3072" t="s">
        <v>58</v>
      </c>
      <c r="D372" s="3072" t="s">
        <v>15443</v>
      </c>
      <c r="E372" s="3072" t="s">
        <v>13950</v>
      </c>
      <c r="F372" s="3073" t="s">
        <v>17730</v>
      </c>
      <c r="G372" s="3072">
        <v>1</v>
      </c>
      <c r="H372" s="2036" t="s">
        <v>18517</v>
      </c>
      <c r="I372" s="2036" t="s">
        <v>15373</v>
      </c>
      <c r="J372" s="3218" t="s">
        <v>269</v>
      </c>
      <c r="K372" s="3072" t="s">
        <v>17733</v>
      </c>
      <c r="L372" s="429">
        <v>650000</v>
      </c>
      <c r="M372" s="3072" t="s">
        <v>251</v>
      </c>
      <c r="N372" s="3071">
        <v>45484</v>
      </c>
      <c r="O372" s="3071">
        <v>45545</v>
      </c>
      <c r="P372" s="3071">
        <v>45569</v>
      </c>
      <c r="Q372" s="2036" t="s">
        <v>18518</v>
      </c>
      <c r="R372" s="3072"/>
      <c r="S372" s="429">
        <v>669000</v>
      </c>
      <c r="T372" s="429">
        <v>809490</v>
      </c>
      <c r="U372" s="1483"/>
      <c r="V372" s="1483"/>
      <c r="W372" s="1483"/>
      <c r="X372" s="1384">
        <v>45569</v>
      </c>
      <c r="Y372" s="2031" t="s">
        <v>18667</v>
      </c>
      <c r="Z372" s="3071"/>
      <c r="AA372" s="3071"/>
      <c r="AB372" s="3345" t="s">
        <v>18484</v>
      </c>
      <c r="AC372" s="2976"/>
      <c r="AD372" s="2976"/>
      <c r="AE372" s="118">
        <v>2</v>
      </c>
    </row>
    <row r="373" spans="1:44" ht="30">
      <c r="A373" s="3047">
        <v>45467</v>
      </c>
      <c r="B373" s="3018" t="s">
        <v>17728</v>
      </c>
      <c r="C373" s="3048" t="s">
        <v>58</v>
      </c>
      <c r="D373" s="3048" t="s">
        <v>15443</v>
      </c>
      <c r="E373" s="3048" t="s">
        <v>13950</v>
      </c>
      <c r="F373" s="3049" t="s">
        <v>17730</v>
      </c>
      <c r="G373" s="3048">
        <v>2</v>
      </c>
      <c r="H373" s="3018" t="s">
        <v>18519</v>
      </c>
      <c r="I373" s="3018" t="s">
        <v>15373</v>
      </c>
      <c r="J373" s="3101" t="s">
        <v>269</v>
      </c>
      <c r="K373" s="3048" t="s">
        <v>17734</v>
      </c>
      <c r="L373" s="2157">
        <v>2250000</v>
      </c>
      <c r="M373" s="3048" t="s">
        <v>251</v>
      </c>
      <c r="N373" s="3047">
        <v>45484</v>
      </c>
      <c r="O373" s="3047">
        <v>45545</v>
      </c>
      <c r="P373" s="3047">
        <v>45569</v>
      </c>
      <c r="Q373" s="3018" t="s">
        <v>18518</v>
      </c>
      <c r="R373" s="3048"/>
      <c r="S373" s="2157">
        <v>2049400</v>
      </c>
      <c r="T373" s="2157">
        <v>2479774</v>
      </c>
      <c r="U373" s="2094"/>
      <c r="V373" s="2094"/>
      <c r="W373" s="2094"/>
      <c r="X373" s="2160">
        <v>45569</v>
      </c>
      <c r="Y373" s="2326" t="s">
        <v>18659</v>
      </c>
      <c r="Z373" s="3048"/>
      <c r="AA373" s="3048"/>
      <c r="AB373" s="3018" t="s">
        <v>18485</v>
      </c>
      <c r="AC373" s="2976"/>
      <c r="AD373" s="2976"/>
      <c r="AE373" s="118">
        <v>2</v>
      </c>
    </row>
    <row r="374" spans="1:44" ht="15.75" thickBot="1">
      <c r="A374" s="3131">
        <v>45467</v>
      </c>
      <c r="B374" s="3118" t="s">
        <v>17729</v>
      </c>
      <c r="C374" s="3119" t="s">
        <v>58</v>
      </c>
      <c r="D374" s="3119" t="s">
        <v>15443</v>
      </c>
      <c r="E374" s="3119" t="s">
        <v>13950</v>
      </c>
      <c r="F374" s="3136" t="s">
        <v>17730</v>
      </c>
      <c r="G374" s="3119">
        <v>3</v>
      </c>
      <c r="H374" s="3118" t="s">
        <v>17731</v>
      </c>
      <c r="I374" s="3118" t="s">
        <v>242</v>
      </c>
      <c r="J374" s="3236" t="s">
        <v>269</v>
      </c>
      <c r="K374" s="3119" t="s">
        <v>17732</v>
      </c>
      <c r="L374" s="2134">
        <v>185000</v>
      </c>
      <c r="M374" s="3119" t="s">
        <v>251</v>
      </c>
      <c r="N374" s="3131">
        <v>45484</v>
      </c>
      <c r="O374" s="3131">
        <v>45545</v>
      </c>
      <c r="P374" s="3119"/>
      <c r="Q374" s="2137" t="s">
        <v>242</v>
      </c>
      <c r="R374" s="3119"/>
      <c r="S374" s="2134"/>
      <c r="T374" s="2134"/>
      <c r="U374" s="2135"/>
      <c r="V374" s="2135"/>
      <c r="W374" s="2135"/>
      <c r="X374" s="2134"/>
      <c r="Y374" s="2134"/>
      <c r="Z374" s="3119"/>
      <c r="AA374" s="3375"/>
      <c r="AB374" s="3118" t="s">
        <v>18746</v>
      </c>
      <c r="AC374" s="2976"/>
      <c r="AD374" s="2976"/>
      <c r="AE374" s="118">
        <v>3</v>
      </c>
    </row>
    <row r="375" spans="1:44" ht="15.75" thickTop="1">
      <c r="A375" s="252">
        <v>45468</v>
      </c>
      <c r="B375" s="3110" t="s">
        <v>17739</v>
      </c>
      <c r="C375" s="363" t="s">
        <v>16688</v>
      </c>
      <c r="D375" s="363" t="s">
        <v>7475</v>
      </c>
      <c r="E375" s="363" t="s">
        <v>655</v>
      </c>
      <c r="F375" s="362" t="s">
        <v>17740</v>
      </c>
      <c r="G375" s="363"/>
      <c r="H375" s="3110"/>
      <c r="I375" s="3110" t="s">
        <v>15369</v>
      </c>
      <c r="J375" s="3276" t="s">
        <v>6361</v>
      </c>
      <c r="K375" s="363"/>
      <c r="L375" s="364">
        <v>250000</v>
      </c>
      <c r="M375" s="363" t="s">
        <v>112</v>
      </c>
      <c r="N375" s="252">
        <v>45475</v>
      </c>
      <c r="O375" s="252">
        <v>45488</v>
      </c>
      <c r="P375" s="252">
        <v>45510</v>
      </c>
      <c r="Q375" s="3110" t="s">
        <v>17469</v>
      </c>
      <c r="R375" s="363"/>
      <c r="S375" s="364">
        <v>241000</v>
      </c>
      <c r="T375" s="364">
        <v>291610</v>
      </c>
      <c r="U375" s="1473"/>
      <c r="V375" s="1473"/>
      <c r="W375" s="1473"/>
      <c r="X375" s="681">
        <v>45510</v>
      </c>
      <c r="Y375" s="364" t="s">
        <v>18082</v>
      </c>
      <c r="Z375" s="252">
        <v>45519</v>
      </c>
      <c r="AA375" s="252">
        <v>45519</v>
      </c>
      <c r="AB375" s="363"/>
      <c r="AC375" s="2976"/>
      <c r="AD375" s="2976"/>
      <c r="AE375" s="118">
        <v>1</v>
      </c>
    </row>
    <row r="376" spans="1:44">
      <c r="A376" s="3074">
        <v>45519</v>
      </c>
      <c r="B376" s="3075" t="s">
        <v>18119</v>
      </c>
      <c r="C376" s="3076" t="s">
        <v>289</v>
      </c>
      <c r="D376" s="3076" t="s">
        <v>6509</v>
      </c>
      <c r="E376" s="3076" t="s">
        <v>13950</v>
      </c>
      <c r="F376" s="3077" t="s">
        <v>18118</v>
      </c>
      <c r="G376" s="3076">
        <v>1</v>
      </c>
      <c r="H376" s="3075" t="s">
        <v>18339</v>
      </c>
      <c r="I376" s="3075" t="s">
        <v>4837</v>
      </c>
      <c r="J376" s="3283" t="s">
        <v>18122</v>
      </c>
      <c r="K376" s="3076" t="s">
        <v>18123</v>
      </c>
      <c r="L376" s="841">
        <v>1173925.9099999999</v>
      </c>
      <c r="M376" s="3076" t="s">
        <v>251</v>
      </c>
      <c r="N376" s="3074">
        <v>45519</v>
      </c>
      <c r="O376" s="3074">
        <v>45558</v>
      </c>
      <c r="P376" s="3074">
        <v>45568</v>
      </c>
      <c r="Q376" s="3075" t="s">
        <v>18636</v>
      </c>
      <c r="R376" s="3076"/>
      <c r="S376" s="841">
        <v>1247686.51</v>
      </c>
      <c r="T376" s="841">
        <v>1509700.68</v>
      </c>
      <c r="U376" s="1489"/>
      <c r="V376" s="1489"/>
      <c r="W376" s="1489"/>
      <c r="X376" s="1392">
        <v>45568</v>
      </c>
      <c r="Y376" s="841" t="s">
        <v>18655</v>
      </c>
      <c r="Z376" s="3076"/>
      <c r="AA376" s="3076"/>
      <c r="AB376" s="3076"/>
      <c r="AC376" s="2976"/>
      <c r="AD376" s="2976"/>
      <c r="AE376" s="118">
        <v>1</v>
      </c>
    </row>
    <row r="377" spans="1:44">
      <c r="A377" s="3074">
        <v>45519</v>
      </c>
      <c r="B377" s="3075" t="s">
        <v>18120</v>
      </c>
      <c r="C377" s="3076" t="s">
        <v>289</v>
      </c>
      <c r="D377" s="3076" t="s">
        <v>6509</v>
      </c>
      <c r="E377" s="3076" t="s">
        <v>13950</v>
      </c>
      <c r="F377" s="3077" t="s">
        <v>18118</v>
      </c>
      <c r="G377" s="3076">
        <v>2</v>
      </c>
      <c r="H377" s="3075" t="s">
        <v>18340</v>
      </c>
      <c r="I377" s="3075" t="s">
        <v>4837</v>
      </c>
      <c r="J377" s="3283" t="s">
        <v>18122</v>
      </c>
      <c r="K377" s="3076" t="s">
        <v>18123</v>
      </c>
      <c r="L377" s="841">
        <v>2126209.66</v>
      </c>
      <c r="M377" s="3076" t="s">
        <v>251</v>
      </c>
      <c r="N377" s="3074">
        <v>45519</v>
      </c>
      <c r="O377" s="3074">
        <v>45558</v>
      </c>
      <c r="P377" s="3074">
        <v>45568</v>
      </c>
      <c r="Q377" s="3075" t="s">
        <v>18636</v>
      </c>
      <c r="R377" s="3076"/>
      <c r="S377" s="841">
        <v>1927047.1</v>
      </c>
      <c r="T377" s="841">
        <v>2331727</v>
      </c>
      <c r="U377" s="1489"/>
      <c r="V377" s="1489"/>
      <c r="W377" s="1489"/>
      <c r="X377" s="1392">
        <v>45568</v>
      </c>
      <c r="Y377" s="841" t="s">
        <v>18656</v>
      </c>
      <c r="Z377" s="3076"/>
      <c r="AA377" s="3076"/>
      <c r="AB377" s="3076"/>
      <c r="AC377" s="2976"/>
      <c r="AD377" s="2976"/>
      <c r="AE377" s="118">
        <v>3</v>
      </c>
    </row>
    <row r="378" spans="1:44">
      <c r="A378" s="3074">
        <v>45519</v>
      </c>
      <c r="B378" s="3075" t="s">
        <v>18121</v>
      </c>
      <c r="C378" s="3076" t="s">
        <v>289</v>
      </c>
      <c r="D378" s="3076" t="s">
        <v>6509</v>
      </c>
      <c r="E378" s="3076" t="s">
        <v>13950</v>
      </c>
      <c r="F378" s="3077" t="s">
        <v>18118</v>
      </c>
      <c r="G378" s="3076">
        <v>3</v>
      </c>
      <c r="H378" s="3075" t="s">
        <v>18341</v>
      </c>
      <c r="I378" s="3075" t="s">
        <v>4837</v>
      </c>
      <c r="J378" s="3283" t="s">
        <v>18122</v>
      </c>
      <c r="K378" s="3076" t="s">
        <v>18123</v>
      </c>
      <c r="L378" s="841">
        <v>570881.68000000005</v>
      </c>
      <c r="M378" s="3076" t="s">
        <v>251</v>
      </c>
      <c r="N378" s="3074">
        <v>45519</v>
      </c>
      <c r="O378" s="3074">
        <v>45558</v>
      </c>
      <c r="P378" s="3074"/>
      <c r="Q378" s="3075" t="s">
        <v>18658</v>
      </c>
      <c r="R378" s="3076"/>
      <c r="S378" s="841">
        <v>511020</v>
      </c>
      <c r="T378" s="841">
        <v>618334.19999999995</v>
      </c>
      <c r="U378" s="1489"/>
      <c r="V378" s="1489"/>
      <c r="W378" s="1489"/>
      <c r="X378" s="1392"/>
      <c r="Y378" s="841" t="s">
        <v>18657</v>
      </c>
      <c r="Z378" s="3076"/>
      <c r="AA378" s="3076"/>
      <c r="AB378" s="3076"/>
      <c r="AC378" s="2976"/>
      <c r="AD378" s="2976"/>
      <c r="AE378" s="118">
        <v>4</v>
      </c>
    </row>
    <row r="379" spans="1:44">
      <c r="A379" s="3070">
        <v>45469</v>
      </c>
      <c r="B379" s="2289" t="s">
        <v>17748</v>
      </c>
      <c r="C379" s="2877" t="s">
        <v>52</v>
      </c>
      <c r="D379" s="2877" t="s">
        <v>9302</v>
      </c>
      <c r="E379" s="2877" t="s">
        <v>655</v>
      </c>
      <c r="F379" s="2913" t="s">
        <v>17755</v>
      </c>
      <c r="G379" s="2877"/>
      <c r="H379" s="2289"/>
      <c r="I379" s="2289" t="s">
        <v>15369</v>
      </c>
      <c r="J379" s="3115" t="s">
        <v>12595</v>
      </c>
      <c r="K379" s="2877" t="s">
        <v>17749</v>
      </c>
      <c r="L379" s="2144">
        <v>800000</v>
      </c>
      <c r="M379" s="2877" t="s">
        <v>112</v>
      </c>
      <c r="N379" s="3070">
        <v>45474</v>
      </c>
      <c r="O379" s="3070">
        <v>45485</v>
      </c>
      <c r="P379" s="3070">
        <v>45489</v>
      </c>
      <c r="Q379" s="2289" t="s">
        <v>3500</v>
      </c>
      <c r="R379" s="2877"/>
      <c r="S379" s="2144">
        <v>975000</v>
      </c>
      <c r="T379" s="2144">
        <v>1179750</v>
      </c>
      <c r="U379" s="2145"/>
      <c r="V379" s="2145"/>
      <c r="W379" s="2145"/>
      <c r="X379" s="2146">
        <v>45489</v>
      </c>
      <c r="Y379" s="2144" t="s">
        <v>17967</v>
      </c>
      <c r="Z379" s="3070">
        <v>45505</v>
      </c>
      <c r="AA379" s="3070">
        <v>45510</v>
      </c>
      <c r="AB379" s="3070">
        <v>45625</v>
      </c>
      <c r="AC379" s="2976"/>
      <c r="AD379" s="2976"/>
      <c r="AE379" s="118">
        <v>3</v>
      </c>
    </row>
    <row r="380" spans="1:44">
      <c r="A380" s="3047">
        <v>45469</v>
      </c>
      <c r="B380" s="3018" t="s">
        <v>17750</v>
      </c>
      <c r="C380" s="3048" t="s">
        <v>2434</v>
      </c>
      <c r="D380" s="3048" t="s">
        <v>219</v>
      </c>
      <c r="E380" s="3048" t="s">
        <v>15813</v>
      </c>
      <c r="F380" s="3049" t="s">
        <v>17751</v>
      </c>
      <c r="G380" s="3048"/>
      <c r="H380" s="3018"/>
      <c r="I380" s="3018" t="s">
        <v>4837</v>
      </c>
      <c r="J380" s="3018" t="s">
        <v>17752</v>
      </c>
      <c r="K380" s="3048"/>
      <c r="L380" s="2157">
        <v>4992000</v>
      </c>
      <c r="M380" s="3048" t="s">
        <v>251</v>
      </c>
      <c r="N380" s="3047">
        <v>45484</v>
      </c>
      <c r="O380" s="3047">
        <v>45539</v>
      </c>
      <c r="P380" s="3048"/>
      <c r="Q380" s="3018"/>
      <c r="R380" s="3048"/>
      <c r="S380" s="2157"/>
      <c r="T380" s="2157"/>
      <c r="U380" s="2094"/>
      <c r="V380" s="2094"/>
      <c r="W380" s="2094"/>
      <c r="X380" s="2157"/>
      <c r="Y380" s="2157"/>
      <c r="Z380" s="3048"/>
      <c r="AA380" s="3048"/>
      <c r="AB380" s="3048"/>
      <c r="AC380" s="2976"/>
      <c r="AD380" s="2976"/>
      <c r="AE380" s="118">
        <v>5</v>
      </c>
    </row>
    <row r="381" spans="1:44">
      <c r="A381" s="3067">
        <v>45471</v>
      </c>
      <c r="B381" s="3068" t="s">
        <v>17775</v>
      </c>
      <c r="C381" s="3069" t="s">
        <v>16536</v>
      </c>
      <c r="D381" s="3069" t="s">
        <v>15131</v>
      </c>
      <c r="E381" s="3069" t="s">
        <v>15813</v>
      </c>
      <c r="F381" s="2914" t="s">
        <v>17776</v>
      </c>
      <c r="G381" s="3069"/>
      <c r="H381" s="3068"/>
      <c r="I381" s="3068" t="s">
        <v>242</v>
      </c>
      <c r="J381" s="3080" t="s">
        <v>3435</v>
      </c>
      <c r="K381" s="3069"/>
      <c r="L381" s="2128">
        <v>9936470</v>
      </c>
      <c r="M381" s="3069" t="s">
        <v>251</v>
      </c>
      <c r="N381" s="3067">
        <v>45502</v>
      </c>
      <c r="O381" s="3067">
        <v>45551</v>
      </c>
      <c r="P381" s="3069"/>
      <c r="Q381" s="2136" t="s">
        <v>304</v>
      </c>
      <c r="R381" s="3069"/>
      <c r="S381" s="2128"/>
      <c r="T381" s="2128"/>
      <c r="U381" s="2094"/>
      <c r="V381" s="2094"/>
      <c r="W381" s="2094"/>
      <c r="X381" s="2128"/>
      <c r="Y381" s="2128"/>
      <c r="Z381" s="3069"/>
      <c r="AA381" s="3067">
        <v>45558</v>
      </c>
      <c r="AB381" s="3069"/>
      <c r="AC381" s="2976"/>
      <c r="AD381" s="2976"/>
    </row>
    <row r="382" spans="1:44">
      <c r="A382" s="3047">
        <v>45471</v>
      </c>
      <c r="B382" s="3018" t="s">
        <v>17773</v>
      </c>
      <c r="C382" s="3048" t="s">
        <v>16536</v>
      </c>
      <c r="D382" s="3048" t="s">
        <v>15131</v>
      </c>
      <c r="E382" s="3048" t="s">
        <v>13949</v>
      </c>
      <c r="F382" s="3049" t="s">
        <v>17774</v>
      </c>
      <c r="G382" s="3048"/>
      <c r="H382" s="3018"/>
      <c r="I382" s="3018" t="s">
        <v>4837</v>
      </c>
      <c r="J382" s="3101" t="s">
        <v>671</v>
      </c>
      <c r="K382" s="3048"/>
      <c r="L382" s="2157">
        <v>2805825</v>
      </c>
      <c r="M382" s="3048" t="s">
        <v>251</v>
      </c>
      <c r="N382" s="3047">
        <v>45483</v>
      </c>
      <c r="O382" s="3047">
        <v>45558</v>
      </c>
      <c r="P382" s="3048"/>
      <c r="Q382" s="3018"/>
      <c r="R382" s="3048"/>
      <c r="S382" s="2157"/>
      <c r="T382" s="2157"/>
      <c r="U382" s="2094"/>
      <c r="V382" s="2094"/>
      <c r="W382" s="2094"/>
      <c r="X382" s="2157"/>
      <c r="Y382" s="2157"/>
      <c r="Z382" s="3048"/>
      <c r="AA382" s="3048"/>
      <c r="AB382" s="3048"/>
      <c r="AC382" s="2976"/>
      <c r="AD382" s="2976"/>
      <c r="AE382" s="118">
        <v>2</v>
      </c>
    </row>
    <row r="383" spans="1:44">
      <c r="A383" s="3067">
        <v>45471</v>
      </c>
      <c r="B383" s="3068" t="s">
        <v>17768</v>
      </c>
      <c r="C383" s="3069" t="s">
        <v>16536</v>
      </c>
      <c r="D383" s="3069" t="s">
        <v>15129</v>
      </c>
      <c r="E383" s="3069" t="s">
        <v>13949</v>
      </c>
      <c r="F383" s="2914" t="s">
        <v>17769</v>
      </c>
      <c r="G383" s="3069"/>
      <c r="H383" s="3068"/>
      <c r="I383" s="3068" t="s">
        <v>242</v>
      </c>
      <c r="J383" s="3080" t="s">
        <v>3438</v>
      </c>
      <c r="K383" s="3069"/>
      <c r="L383" s="2128">
        <v>431211230</v>
      </c>
      <c r="M383" s="3069" t="s">
        <v>251</v>
      </c>
      <c r="N383" s="3067">
        <v>45477</v>
      </c>
      <c r="O383" s="3067">
        <v>45575</v>
      </c>
      <c r="P383" s="3069"/>
      <c r="Q383" s="2136" t="s">
        <v>304</v>
      </c>
      <c r="R383" s="3069"/>
      <c r="S383" s="2128"/>
      <c r="T383" s="2128"/>
      <c r="U383" s="2094"/>
      <c r="V383" s="2094"/>
      <c r="W383" s="2094"/>
      <c r="X383" s="2128"/>
      <c r="Y383" s="2128"/>
      <c r="Z383" s="3069"/>
      <c r="AA383" s="3067">
        <v>45580</v>
      </c>
      <c r="AB383" s="3069" t="s">
        <v>18708</v>
      </c>
      <c r="AC383" s="2976"/>
      <c r="AD383" s="2976"/>
    </row>
    <row r="384" spans="1:44" s="58" customFormat="1">
      <c r="A384" s="3070">
        <v>45489</v>
      </c>
      <c r="B384" s="2289" t="s">
        <v>17902</v>
      </c>
      <c r="C384" s="2877" t="s">
        <v>1754</v>
      </c>
      <c r="D384" s="2877" t="s">
        <v>17501</v>
      </c>
      <c r="E384" s="2877" t="s">
        <v>13951</v>
      </c>
      <c r="F384" s="2913" t="s">
        <v>17903</v>
      </c>
      <c r="G384" s="2877"/>
      <c r="H384" s="2289"/>
      <c r="I384" s="2289" t="s">
        <v>15369</v>
      </c>
      <c r="J384" s="3115" t="s">
        <v>848</v>
      </c>
      <c r="K384" s="3272" t="s">
        <v>17904</v>
      </c>
      <c r="L384" s="2144">
        <v>1849896.4</v>
      </c>
      <c r="M384" s="2877" t="s">
        <v>112</v>
      </c>
      <c r="N384" s="3070">
        <v>45492</v>
      </c>
      <c r="O384" s="3070">
        <v>45503</v>
      </c>
      <c r="P384" s="3070">
        <v>45504</v>
      </c>
      <c r="Q384" s="2289" t="s">
        <v>1990</v>
      </c>
      <c r="R384" s="2877"/>
      <c r="S384" s="2144">
        <v>1814300</v>
      </c>
      <c r="T384" s="2144">
        <v>2195303</v>
      </c>
      <c r="U384" s="2145"/>
      <c r="V384" s="2145"/>
      <c r="W384" s="2145"/>
      <c r="X384" s="2146">
        <v>45504</v>
      </c>
      <c r="Y384" s="2144" t="s">
        <v>18030</v>
      </c>
      <c r="Z384" s="3070">
        <v>45512</v>
      </c>
      <c r="AA384" s="3070">
        <v>45513</v>
      </c>
      <c r="AB384" s="3070">
        <v>45526</v>
      </c>
      <c r="AC384" s="2976"/>
      <c r="AD384" s="2976"/>
      <c r="AE384" s="118">
        <v>2</v>
      </c>
      <c r="AF384" s="3260"/>
      <c r="AG384" s="118"/>
      <c r="AH384" s="118"/>
      <c r="AI384" s="118"/>
      <c r="AJ384" s="118"/>
      <c r="AK384" s="118"/>
      <c r="AL384" s="118"/>
      <c r="AM384" s="118"/>
      <c r="AN384" s="118"/>
      <c r="AO384" s="118"/>
      <c r="AP384" s="118"/>
      <c r="AQ384" s="118"/>
      <c r="AR384" s="118"/>
    </row>
    <row r="385" spans="1:32">
      <c r="A385" s="3047">
        <v>45475</v>
      </c>
      <c r="B385" s="3018" t="s">
        <v>17800</v>
      </c>
      <c r="C385" s="3048" t="s">
        <v>58</v>
      </c>
      <c r="D385" s="3048" t="s">
        <v>15443</v>
      </c>
      <c r="E385" s="3048" t="s">
        <v>13948</v>
      </c>
      <c r="F385" s="3049" t="s">
        <v>17801</v>
      </c>
      <c r="G385" s="3048"/>
      <c r="H385" s="3018"/>
      <c r="I385" s="3018" t="s">
        <v>4837</v>
      </c>
      <c r="J385" s="3101" t="s">
        <v>301</v>
      </c>
      <c r="K385" s="3048" t="s">
        <v>17802</v>
      </c>
      <c r="L385" s="2157">
        <v>46000000</v>
      </c>
      <c r="M385" s="3048" t="s">
        <v>251</v>
      </c>
      <c r="N385" s="3047">
        <v>45520</v>
      </c>
      <c r="O385" s="3047">
        <v>45579</v>
      </c>
      <c r="P385" s="3048"/>
      <c r="Q385" s="3018"/>
      <c r="R385" s="3048"/>
      <c r="S385" s="2157"/>
      <c r="T385" s="2157"/>
      <c r="U385" s="2094"/>
      <c r="V385" s="2094"/>
      <c r="W385" s="2094"/>
      <c r="X385" s="2157"/>
      <c r="Y385" s="2157"/>
      <c r="Z385" s="3048"/>
      <c r="AA385" s="3048"/>
      <c r="AB385" s="3048"/>
      <c r="AC385" s="2976"/>
      <c r="AD385" s="2976"/>
      <c r="AE385" s="118">
        <v>2</v>
      </c>
    </row>
    <row r="386" spans="1:32">
      <c r="A386" s="3270">
        <v>45496</v>
      </c>
      <c r="B386" s="3043" t="s">
        <v>17770</v>
      </c>
      <c r="C386" s="3044" t="s">
        <v>16536</v>
      </c>
      <c r="D386" s="3044" t="s">
        <v>15131</v>
      </c>
      <c r="E386" s="3044" t="s">
        <v>13949</v>
      </c>
      <c r="F386" s="3021" t="s">
        <v>17771</v>
      </c>
      <c r="G386" s="3044"/>
      <c r="H386" s="3043"/>
      <c r="I386" s="3043" t="s">
        <v>15448</v>
      </c>
      <c r="J386" s="3064" t="s">
        <v>671</v>
      </c>
      <c r="K386" s="3044"/>
      <c r="L386" s="2092">
        <v>5986397</v>
      </c>
      <c r="M386" s="3044" t="s">
        <v>251</v>
      </c>
      <c r="N386" s="3042">
        <v>45506</v>
      </c>
      <c r="O386" s="3042">
        <v>45588</v>
      </c>
      <c r="P386" s="3044"/>
      <c r="Q386" s="3043"/>
      <c r="R386" s="3044"/>
      <c r="S386" s="2092"/>
      <c r="T386" s="2092"/>
      <c r="U386" s="2094"/>
      <c r="V386" s="2094"/>
      <c r="W386" s="2094"/>
      <c r="X386" s="2092"/>
      <c r="Y386" s="2092"/>
      <c r="Z386" s="3044"/>
      <c r="AA386" s="3044"/>
      <c r="AB386" s="3044"/>
      <c r="AC386" s="2976"/>
      <c r="AD386" s="2976"/>
    </row>
    <row r="387" spans="1:32">
      <c r="A387" s="3102">
        <v>45474</v>
      </c>
      <c r="B387" s="3103" t="s">
        <v>17777</v>
      </c>
      <c r="C387" s="3104" t="s">
        <v>2434</v>
      </c>
      <c r="D387" s="3104" t="s">
        <v>219</v>
      </c>
      <c r="E387" s="3104" t="s">
        <v>15813</v>
      </c>
      <c r="F387" s="3105" t="s">
        <v>17778</v>
      </c>
      <c r="G387" s="3104"/>
      <c r="H387" s="3103"/>
      <c r="I387" s="3103" t="s">
        <v>4837</v>
      </c>
      <c r="J387" s="3103" t="s">
        <v>17779</v>
      </c>
      <c r="K387" s="3104"/>
      <c r="L387" s="465">
        <v>3650000</v>
      </c>
      <c r="M387" s="3104" t="s">
        <v>251</v>
      </c>
      <c r="N387" s="3102">
        <v>45485</v>
      </c>
      <c r="O387" s="3102">
        <v>45554</v>
      </c>
      <c r="P387" s="3104"/>
      <c r="Q387" s="3103" t="s">
        <v>12177</v>
      </c>
      <c r="R387" s="3104"/>
      <c r="S387" s="465">
        <v>2632500</v>
      </c>
      <c r="T387" s="465">
        <v>3185325</v>
      </c>
      <c r="U387" s="1478"/>
      <c r="V387" s="1478"/>
      <c r="W387" s="1478"/>
      <c r="X387" s="465"/>
      <c r="Y387" s="465"/>
      <c r="Z387" s="3104"/>
      <c r="AA387" s="3104"/>
      <c r="AB387" s="3104"/>
      <c r="AC387" s="2976"/>
      <c r="AD387" s="2976"/>
      <c r="AE387" s="118">
        <v>9</v>
      </c>
    </row>
    <row r="388" spans="1:32" ht="15.75" thickBot="1">
      <c r="A388" s="612">
        <v>45481</v>
      </c>
      <c r="B388" s="2911" t="s">
        <v>17837</v>
      </c>
      <c r="C388" s="609" t="s">
        <v>16559</v>
      </c>
      <c r="D388" s="609" t="s">
        <v>9080</v>
      </c>
      <c r="E388" s="609" t="s">
        <v>13951</v>
      </c>
      <c r="F388" s="610" t="s">
        <v>17838</v>
      </c>
      <c r="G388" s="609"/>
      <c r="H388" s="2911"/>
      <c r="I388" s="2911" t="s">
        <v>15369</v>
      </c>
      <c r="J388" s="609" t="s">
        <v>17839</v>
      </c>
      <c r="K388" s="609"/>
      <c r="L388" s="417">
        <v>1913800</v>
      </c>
      <c r="M388" s="609" t="s">
        <v>112</v>
      </c>
      <c r="N388" s="612">
        <v>45484</v>
      </c>
      <c r="O388" s="612">
        <v>45495</v>
      </c>
      <c r="P388" s="612">
        <v>45504</v>
      </c>
      <c r="Q388" s="2911" t="s">
        <v>1733</v>
      </c>
      <c r="R388" s="609"/>
      <c r="S388" s="417">
        <v>1926400</v>
      </c>
      <c r="T388" s="417">
        <v>2330944</v>
      </c>
      <c r="U388" s="1480"/>
      <c r="V388" s="1480"/>
      <c r="W388" s="1480"/>
      <c r="X388" s="513">
        <v>45504</v>
      </c>
      <c r="Y388" s="417" t="s">
        <v>18026</v>
      </c>
      <c r="Z388" s="612">
        <v>45520</v>
      </c>
      <c r="AA388" s="612">
        <v>45524</v>
      </c>
      <c r="AB388" s="612">
        <v>45590</v>
      </c>
      <c r="AC388" s="2976"/>
      <c r="AD388" s="2976"/>
      <c r="AE388" s="118">
        <v>4</v>
      </c>
    </row>
    <row r="389" spans="1:32">
      <c r="A389" s="3284">
        <v>45476</v>
      </c>
      <c r="B389" s="3285" t="s">
        <v>17811</v>
      </c>
      <c r="C389" s="3286" t="s">
        <v>2434</v>
      </c>
      <c r="D389" s="3286" t="s">
        <v>3204</v>
      </c>
      <c r="E389" s="3286" t="s">
        <v>15813</v>
      </c>
      <c r="F389" s="3287" t="s">
        <v>11241</v>
      </c>
      <c r="G389" s="3286">
        <v>1</v>
      </c>
      <c r="H389" s="3285" t="s">
        <v>17814</v>
      </c>
      <c r="I389" s="3285" t="s">
        <v>4837</v>
      </c>
      <c r="J389" s="3286" t="s">
        <v>642</v>
      </c>
      <c r="K389" s="3286"/>
      <c r="L389" s="1821">
        <v>710600</v>
      </c>
      <c r="M389" s="3286" t="s">
        <v>216</v>
      </c>
      <c r="N389" s="3284">
        <v>45490</v>
      </c>
      <c r="O389" s="3284">
        <v>45527</v>
      </c>
      <c r="P389" s="3286"/>
      <c r="Q389" s="3285" t="s">
        <v>11196</v>
      </c>
      <c r="R389" s="3286"/>
      <c r="S389" s="1821">
        <v>710600</v>
      </c>
      <c r="T389" s="1821">
        <v>795872</v>
      </c>
      <c r="U389" s="3288"/>
      <c r="V389" s="3288"/>
      <c r="W389" s="3288"/>
      <c r="X389" s="1821"/>
      <c r="Y389" s="1821"/>
      <c r="Z389" s="3286"/>
      <c r="AA389" s="3286"/>
      <c r="AB389" s="3286"/>
      <c r="AC389" s="2976"/>
      <c r="AD389" s="2976"/>
      <c r="AE389" s="118">
        <v>1</v>
      </c>
    </row>
    <row r="390" spans="1:32">
      <c r="A390" s="3067">
        <v>45476</v>
      </c>
      <c r="B390" s="3068" t="s">
        <v>17812</v>
      </c>
      <c r="C390" s="3069" t="s">
        <v>2434</v>
      </c>
      <c r="D390" s="3069" t="s">
        <v>3204</v>
      </c>
      <c r="E390" s="3069" t="s">
        <v>15813</v>
      </c>
      <c r="F390" s="2914" t="s">
        <v>11241</v>
      </c>
      <c r="G390" s="3069">
        <v>2</v>
      </c>
      <c r="H390" s="3068" t="s">
        <v>17815</v>
      </c>
      <c r="I390" s="3068" t="s">
        <v>242</v>
      </c>
      <c r="J390" s="3069" t="s">
        <v>642</v>
      </c>
      <c r="K390" s="3069"/>
      <c r="L390" s="2128">
        <v>243000</v>
      </c>
      <c r="M390" s="3069" t="s">
        <v>216</v>
      </c>
      <c r="N390" s="3067">
        <v>45490</v>
      </c>
      <c r="O390" s="3067">
        <v>45527</v>
      </c>
      <c r="P390" s="3069"/>
      <c r="Q390" s="2136" t="s">
        <v>304</v>
      </c>
      <c r="R390" s="3069"/>
      <c r="S390" s="2128"/>
      <c r="T390" s="2128"/>
      <c r="U390" s="2129"/>
      <c r="V390" s="2129"/>
      <c r="W390" s="2129"/>
      <c r="X390" s="2128"/>
      <c r="Y390" s="2128"/>
      <c r="Z390" s="3069"/>
      <c r="AA390" s="3290"/>
      <c r="AB390" s="3068" t="s">
        <v>18709</v>
      </c>
      <c r="AC390" s="2976"/>
      <c r="AD390" s="2976"/>
    </row>
    <row r="391" spans="1:32" ht="15.75" thickBot="1">
      <c r="A391" s="179">
        <v>45476</v>
      </c>
      <c r="B391" s="3393" t="s">
        <v>17813</v>
      </c>
      <c r="C391" s="115" t="s">
        <v>2434</v>
      </c>
      <c r="D391" s="115" t="s">
        <v>3204</v>
      </c>
      <c r="E391" s="115" t="s">
        <v>15813</v>
      </c>
      <c r="F391" s="3394" t="s">
        <v>11241</v>
      </c>
      <c r="G391" s="115">
        <v>3</v>
      </c>
      <c r="H391" s="3393" t="s">
        <v>17816</v>
      </c>
      <c r="I391" s="3393" t="s">
        <v>242</v>
      </c>
      <c r="J391" s="115" t="s">
        <v>642</v>
      </c>
      <c r="K391" s="115"/>
      <c r="L391" s="1862">
        <v>1120000</v>
      </c>
      <c r="M391" s="115" t="s">
        <v>216</v>
      </c>
      <c r="N391" s="179">
        <v>45490</v>
      </c>
      <c r="O391" s="179">
        <v>45527</v>
      </c>
      <c r="P391" s="115"/>
      <c r="Q391" s="2136" t="s">
        <v>4505</v>
      </c>
      <c r="R391" s="115"/>
      <c r="S391" s="1862"/>
      <c r="T391" s="1862"/>
      <c r="U391" s="3289"/>
      <c r="V391" s="3289"/>
      <c r="W391" s="3289"/>
      <c r="X391" s="1862"/>
      <c r="Y391" s="1862"/>
      <c r="Z391" s="115"/>
      <c r="AA391" s="3290"/>
      <c r="AB391" s="3068" t="s">
        <v>18709</v>
      </c>
      <c r="AC391" s="2976"/>
      <c r="AD391" s="2976"/>
      <c r="AE391" s="118">
        <v>1</v>
      </c>
    </row>
    <row r="392" spans="1:32">
      <c r="A392" s="656">
        <v>45475</v>
      </c>
      <c r="B392" s="3061" t="s">
        <v>17808</v>
      </c>
      <c r="C392" s="3062" t="s">
        <v>16536</v>
      </c>
      <c r="D392" s="3062" t="s">
        <v>15129</v>
      </c>
      <c r="E392" s="3062" t="s">
        <v>13949</v>
      </c>
      <c r="F392" s="3063" t="s">
        <v>17809</v>
      </c>
      <c r="G392" s="3062"/>
      <c r="H392" s="3061"/>
      <c r="I392" s="3061" t="s">
        <v>242</v>
      </c>
      <c r="J392" s="3062" t="s">
        <v>93</v>
      </c>
      <c r="K392" s="3062"/>
      <c r="L392" s="472">
        <v>14429119</v>
      </c>
      <c r="M392" s="3062" t="s">
        <v>235</v>
      </c>
      <c r="N392" s="656">
        <v>45483</v>
      </c>
      <c r="O392" s="656">
        <v>45496</v>
      </c>
      <c r="P392" s="656"/>
      <c r="Q392" s="471" t="s">
        <v>304</v>
      </c>
      <c r="R392" s="3352" t="s">
        <v>18318</v>
      </c>
      <c r="S392" s="472"/>
      <c r="T392" s="472"/>
      <c r="U392" s="1489"/>
      <c r="V392" s="1489"/>
      <c r="W392" s="1489"/>
      <c r="X392" s="1547"/>
      <c r="Y392" s="472"/>
      <c r="Z392" s="656"/>
      <c r="AA392" s="656">
        <v>45502</v>
      </c>
      <c r="AB392" s="656" t="s">
        <v>17981</v>
      </c>
      <c r="AC392" s="2976"/>
      <c r="AD392" s="2976"/>
    </row>
    <row r="393" spans="1:32">
      <c r="A393" s="3070">
        <v>45476</v>
      </c>
      <c r="B393" s="2289" t="s">
        <v>17817</v>
      </c>
      <c r="C393" s="2877" t="s">
        <v>58</v>
      </c>
      <c r="D393" s="2877" t="s">
        <v>15443</v>
      </c>
      <c r="E393" s="2877" t="s">
        <v>655</v>
      </c>
      <c r="F393" s="2913" t="s">
        <v>17818</v>
      </c>
      <c r="G393" s="2877"/>
      <c r="H393" s="2289"/>
      <c r="I393" s="2289" t="s">
        <v>15369</v>
      </c>
      <c r="J393" s="2877" t="s">
        <v>12080</v>
      </c>
      <c r="K393" s="2877" t="s">
        <v>17819</v>
      </c>
      <c r="L393" s="2144">
        <v>940000</v>
      </c>
      <c r="M393" s="2877" t="s">
        <v>112</v>
      </c>
      <c r="N393" s="3070">
        <v>45481</v>
      </c>
      <c r="O393" s="3070">
        <v>45492</v>
      </c>
      <c r="P393" s="3070">
        <v>45503</v>
      </c>
      <c r="Q393" s="2289" t="s">
        <v>17999</v>
      </c>
      <c r="R393" s="2877"/>
      <c r="S393" s="2144">
        <v>936000</v>
      </c>
      <c r="T393" s="2144">
        <v>1132560</v>
      </c>
      <c r="U393" s="2145"/>
      <c r="V393" s="2145"/>
      <c r="W393" s="2145"/>
      <c r="X393" s="2146">
        <v>45503</v>
      </c>
      <c r="Y393" s="2144" t="s">
        <v>18015</v>
      </c>
      <c r="Z393" s="3070">
        <v>45505</v>
      </c>
      <c r="AA393" s="3070">
        <v>45510</v>
      </c>
      <c r="AB393" s="3070">
        <v>45575</v>
      </c>
      <c r="AC393" s="2976"/>
      <c r="AD393" s="2976"/>
      <c r="AE393" s="118">
        <v>1</v>
      </c>
    </row>
    <row r="394" spans="1:32">
      <c r="A394" s="3042">
        <v>45477</v>
      </c>
      <c r="B394" s="3043" t="s">
        <v>17827</v>
      </c>
      <c r="C394" s="3044" t="s">
        <v>16536</v>
      </c>
      <c r="D394" s="3044" t="s">
        <v>15129</v>
      </c>
      <c r="E394" s="3044" t="s">
        <v>13949</v>
      </c>
      <c r="F394" s="3021" t="s">
        <v>17836</v>
      </c>
      <c r="G394" s="3044"/>
      <c r="H394" s="3043"/>
      <c r="I394" s="3043" t="s">
        <v>15448</v>
      </c>
      <c r="J394" s="3044" t="s">
        <v>816</v>
      </c>
      <c r="K394" s="3044"/>
      <c r="L394" s="2092">
        <v>63333493</v>
      </c>
      <c r="M394" s="3044" t="s">
        <v>251</v>
      </c>
      <c r="N394" s="3042">
        <v>45567</v>
      </c>
      <c r="O394" s="3042">
        <v>45602</v>
      </c>
      <c r="P394" s="3042"/>
      <c r="Q394" s="3043"/>
      <c r="R394" s="3044"/>
      <c r="S394" s="2092"/>
      <c r="T394" s="2092"/>
      <c r="U394" s="2094"/>
      <c r="V394" s="2094"/>
      <c r="W394" s="2094"/>
      <c r="X394" s="2456"/>
      <c r="Y394" s="2092"/>
      <c r="Z394" s="3042"/>
      <c r="AA394" s="3042"/>
      <c r="AB394" s="3042"/>
      <c r="AC394" s="2976"/>
      <c r="AD394" s="2976"/>
    </row>
    <row r="395" spans="1:32" ht="30">
      <c r="A395" s="3070">
        <v>45476</v>
      </c>
      <c r="B395" s="2289" t="s">
        <v>17822</v>
      </c>
      <c r="C395" s="2877" t="s">
        <v>2434</v>
      </c>
      <c r="D395" s="2877" t="s">
        <v>3204</v>
      </c>
      <c r="E395" s="2877" t="s">
        <v>13948</v>
      </c>
      <c r="F395" s="2913" t="s">
        <v>17823</v>
      </c>
      <c r="G395" s="2877"/>
      <c r="H395" s="2289"/>
      <c r="I395" s="2289" t="s">
        <v>15369</v>
      </c>
      <c r="J395" s="2877" t="s">
        <v>642</v>
      </c>
      <c r="K395" s="2877"/>
      <c r="L395" s="2144">
        <v>2449190</v>
      </c>
      <c r="M395" s="2877" t="s">
        <v>216</v>
      </c>
      <c r="N395" s="3070">
        <v>45485</v>
      </c>
      <c r="O395" s="3070">
        <v>45534</v>
      </c>
      <c r="P395" s="3070">
        <v>45558</v>
      </c>
      <c r="Q395" s="2289" t="s">
        <v>5266</v>
      </c>
      <c r="R395" s="2877"/>
      <c r="S395" s="2144">
        <v>2495090</v>
      </c>
      <c r="T395" s="2144">
        <v>2794500.8</v>
      </c>
      <c r="U395" s="2145"/>
      <c r="V395" s="2145"/>
      <c r="W395" s="2145"/>
      <c r="X395" s="2146">
        <v>45558</v>
      </c>
      <c r="Y395" s="2260" t="s">
        <v>18516</v>
      </c>
      <c r="Z395" s="3070">
        <v>45574</v>
      </c>
      <c r="AA395" s="3047"/>
      <c r="AB395" s="3070">
        <v>47072</v>
      </c>
      <c r="AC395" s="2976"/>
      <c r="AD395" s="2976"/>
      <c r="AE395" s="118">
        <v>1</v>
      </c>
      <c r="AF395" s="118" t="s">
        <v>18335</v>
      </c>
    </row>
    <row r="396" spans="1:32">
      <c r="A396" s="3042">
        <v>45481</v>
      </c>
      <c r="B396" s="3043" t="s">
        <v>17834</v>
      </c>
      <c r="C396" s="3044" t="s">
        <v>16536</v>
      </c>
      <c r="D396" s="3044" t="s">
        <v>15129</v>
      </c>
      <c r="E396" s="3044" t="s">
        <v>13949</v>
      </c>
      <c r="F396" s="3021" t="s">
        <v>17835</v>
      </c>
      <c r="G396" s="3044"/>
      <c r="H396" s="3043"/>
      <c r="I396" s="3043" t="s">
        <v>15448</v>
      </c>
      <c r="J396" s="3044" t="s">
        <v>68</v>
      </c>
      <c r="K396" s="3044"/>
      <c r="L396" s="2092">
        <v>54721702</v>
      </c>
      <c r="M396" s="3044" t="s">
        <v>251</v>
      </c>
      <c r="N396" s="3042">
        <v>45569</v>
      </c>
      <c r="O396" s="3042">
        <v>45604</v>
      </c>
      <c r="P396" s="3042"/>
      <c r="Q396" s="3043"/>
      <c r="R396" s="3044"/>
      <c r="S396" s="2092"/>
      <c r="T396" s="2092"/>
      <c r="U396" s="2094"/>
      <c r="V396" s="2094"/>
      <c r="W396" s="2094"/>
      <c r="X396" s="2456"/>
      <c r="Y396" s="2092"/>
      <c r="Z396" s="3042"/>
      <c r="AA396" s="3042"/>
      <c r="AB396" s="3042"/>
      <c r="AC396" s="2976"/>
      <c r="AD396" s="2976"/>
    </row>
    <row r="397" spans="1:32">
      <c r="A397" s="3070">
        <v>45482</v>
      </c>
      <c r="B397" s="2289" t="s">
        <v>17856</v>
      </c>
      <c r="C397" s="2877" t="s">
        <v>58</v>
      </c>
      <c r="D397" s="2877" t="s">
        <v>15443</v>
      </c>
      <c r="E397" s="2877" t="s">
        <v>13948</v>
      </c>
      <c r="F397" s="2913" t="s">
        <v>17857</v>
      </c>
      <c r="G397" s="2877"/>
      <c r="H397" s="2289"/>
      <c r="I397" s="2289" t="s">
        <v>15369</v>
      </c>
      <c r="J397" s="2877" t="s">
        <v>3271</v>
      </c>
      <c r="K397" s="2877"/>
      <c r="L397" s="2144">
        <v>408240</v>
      </c>
      <c r="M397" s="2877" t="s">
        <v>235</v>
      </c>
      <c r="N397" s="3070">
        <v>45484</v>
      </c>
      <c r="O397" s="3070">
        <v>45496</v>
      </c>
      <c r="P397" s="3070">
        <v>45516</v>
      </c>
      <c r="Q397" s="2289" t="s">
        <v>18017</v>
      </c>
      <c r="R397" s="2877"/>
      <c r="S397" s="2144">
        <v>365664</v>
      </c>
      <c r="T397" s="2144">
        <v>442453.44</v>
      </c>
      <c r="U397" s="2145"/>
      <c r="V397" s="2145"/>
      <c r="W397" s="2145"/>
      <c r="X397" s="2146">
        <v>45516</v>
      </c>
      <c r="Y397" s="2144" t="s">
        <v>18116</v>
      </c>
      <c r="Z397" s="3070">
        <v>45523</v>
      </c>
      <c r="AA397" s="3070">
        <v>45539</v>
      </c>
      <c r="AB397" s="3070">
        <v>45537</v>
      </c>
      <c r="AC397" s="2976"/>
      <c r="AD397" s="2976"/>
      <c r="AE397" s="118">
        <v>3</v>
      </c>
    </row>
    <row r="398" spans="1:32">
      <c r="A398" s="3070">
        <v>45482</v>
      </c>
      <c r="B398" s="2289" t="s">
        <v>17855</v>
      </c>
      <c r="C398" s="2877" t="s">
        <v>2434</v>
      </c>
      <c r="D398" s="2877" t="s">
        <v>219</v>
      </c>
      <c r="E398" s="2877" t="s">
        <v>13951</v>
      </c>
      <c r="F398" s="2913" t="s">
        <v>10159</v>
      </c>
      <c r="G398" s="2877"/>
      <c r="H398" s="2289"/>
      <c r="I398" s="2289" t="s">
        <v>15369</v>
      </c>
      <c r="J398" s="2877" t="s">
        <v>642</v>
      </c>
      <c r="K398" s="2877"/>
      <c r="L398" s="2144">
        <v>516120</v>
      </c>
      <c r="M398" s="2877" t="s">
        <v>112</v>
      </c>
      <c r="N398" s="3070">
        <v>45484</v>
      </c>
      <c r="O398" s="3070">
        <v>45495</v>
      </c>
      <c r="P398" s="3070">
        <v>45502</v>
      </c>
      <c r="Q398" s="2289" t="s">
        <v>2680</v>
      </c>
      <c r="R398" s="2877"/>
      <c r="S398" s="2144">
        <v>633520</v>
      </c>
      <c r="T398" s="2144">
        <v>709542.40000000002</v>
      </c>
      <c r="U398" s="2145"/>
      <c r="V398" s="2145"/>
      <c r="W398" s="2145"/>
      <c r="X398" s="2146">
        <v>45502</v>
      </c>
      <c r="Y398" s="2144" t="s">
        <v>18004</v>
      </c>
      <c r="Z398" s="3070">
        <v>45510</v>
      </c>
      <c r="AA398" s="3070">
        <v>45510</v>
      </c>
      <c r="AB398" s="3070">
        <v>47086</v>
      </c>
      <c r="AC398" s="2976"/>
      <c r="AD398" s="2976"/>
      <c r="AE398" s="118">
        <v>1</v>
      </c>
      <c r="AF398" s="118" t="s">
        <v>18084</v>
      </c>
    </row>
    <row r="399" spans="1:32">
      <c r="A399" s="3067">
        <v>45482</v>
      </c>
      <c r="B399" s="3068" t="s">
        <v>17852</v>
      </c>
      <c r="C399" s="3069" t="s">
        <v>58</v>
      </c>
      <c r="D399" s="3069" t="s">
        <v>15443</v>
      </c>
      <c r="E399" s="3069" t="s">
        <v>13948</v>
      </c>
      <c r="F399" s="2914" t="s">
        <v>17853</v>
      </c>
      <c r="G399" s="3069"/>
      <c r="H399" s="3068"/>
      <c r="I399" s="3068" t="s">
        <v>242</v>
      </c>
      <c r="J399" s="3069" t="s">
        <v>845</v>
      </c>
      <c r="K399" s="3069" t="s">
        <v>17854</v>
      </c>
      <c r="L399" s="2128">
        <v>225000</v>
      </c>
      <c r="M399" s="3069" t="s">
        <v>251</v>
      </c>
      <c r="N399" s="3067">
        <v>45499</v>
      </c>
      <c r="O399" s="3067">
        <v>45534</v>
      </c>
      <c r="P399" s="3067"/>
      <c r="Q399" s="2136" t="s">
        <v>18387</v>
      </c>
      <c r="R399" s="3069"/>
      <c r="S399" s="2128"/>
      <c r="T399" s="2128"/>
      <c r="U399" s="2129"/>
      <c r="V399" s="2129"/>
      <c r="W399" s="2129"/>
      <c r="X399" s="2281"/>
      <c r="Y399" s="2128"/>
      <c r="Z399" s="3067"/>
      <c r="AA399" s="3067">
        <v>45565</v>
      </c>
      <c r="AB399" s="3067" t="s">
        <v>18591</v>
      </c>
      <c r="AC399" s="2976"/>
      <c r="AD399" s="2976"/>
      <c r="AE399" s="118">
        <v>1</v>
      </c>
    </row>
    <row r="400" spans="1:32">
      <c r="A400" s="3047">
        <v>45481</v>
      </c>
      <c r="B400" s="3018" t="s">
        <v>17840</v>
      </c>
      <c r="C400" s="3048" t="s">
        <v>16688</v>
      </c>
      <c r="D400" s="3048" t="s">
        <v>361</v>
      </c>
      <c r="E400" s="3048" t="s">
        <v>13950</v>
      </c>
      <c r="F400" s="3049" t="s">
        <v>17843</v>
      </c>
      <c r="G400" s="3048"/>
      <c r="H400" s="3018"/>
      <c r="I400" s="3018" t="s">
        <v>15373</v>
      </c>
      <c r="J400" s="3048" t="s">
        <v>17844</v>
      </c>
      <c r="K400" s="3048" t="s">
        <v>17846</v>
      </c>
      <c r="L400" s="2157">
        <v>1239600</v>
      </c>
      <c r="M400" s="3048" t="s">
        <v>251</v>
      </c>
      <c r="N400" s="3047">
        <v>45491</v>
      </c>
      <c r="O400" s="3047">
        <v>45526</v>
      </c>
      <c r="P400" s="3047">
        <v>45560</v>
      </c>
      <c r="Q400" s="3018" t="s">
        <v>18481</v>
      </c>
      <c r="R400" s="3048"/>
      <c r="S400" s="2157">
        <v>1011000</v>
      </c>
      <c r="T400" s="2157">
        <v>1223310.3700000001</v>
      </c>
      <c r="U400" s="2094"/>
      <c r="V400" s="2094"/>
      <c r="W400" s="2094"/>
      <c r="X400" s="2160">
        <v>45560</v>
      </c>
      <c r="Y400" s="2157" t="s">
        <v>18536</v>
      </c>
      <c r="Z400" s="3047"/>
      <c r="AA400" s="3047"/>
      <c r="AB400" s="3047"/>
      <c r="AC400" s="2976"/>
      <c r="AD400" s="2976"/>
      <c r="AE400" s="118">
        <v>3</v>
      </c>
    </row>
    <row r="401" spans="1:32">
      <c r="A401" s="3047">
        <v>45481</v>
      </c>
      <c r="B401" s="3018" t="s">
        <v>17841</v>
      </c>
      <c r="C401" s="3048" t="s">
        <v>16688</v>
      </c>
      <c r="D401" s="3048" t="s">
        <v>361</v>
      </c>
      <c r="E401" s="3048" t="s">
        <v>13950</v>
      </c>
      <c r="F401" s="3049" t="s">
        <v>17842</v>
      </c>
      <c r="G401" s="3048"/>
      <c r="H401" s="3018"/>
      <c r="I401" s="3018" t="s">
        <v>15373</v>
      </c>
      <c r="J401" s="3048" t="s">
        <v>17847</v>
      </c>
      <c r="K401" s="3048" t="s">
        <v>17845</v>
      </c>
      <c r="L401" s="2157">
        <v>850000</v>
      </c>
      <c r="M401" s="3048" t="s">
        <v>251</v>
      </c>
      <c r="N401" s="3047">
        <v>45491</v>
      </c>
      <c r="O401" s="3047">
        <v>45526</v>
      </c>
      <c r="P401" s="3047">
        <v>45569</v>
      </c>
      <c r="Q401" s="3018" t="s">
        <v>11417</v>
      </c>
      <c r="R401" s="3048"/>
      <c r="S401" s="2157">
        <v>559956</v>
      </c>
      <c r="T401" s="2157">
        <v>677547</v>
      </c>
      <c r="U401" s="2094"/>
      <c r="V401" s="2094"/>
      <c r="W401" s="2094"/>
      <c r="X401" s="2160">
        <v>45569</v>
      </c>
      <c r="Y401" s="2157" t="s">
        <v>18654</v>
      </c>
      <c r="Z401" s="3047"/>
      <c r="AA401" s="3047"/>
      <c r="AB401" s="3047"/>
      <c r="AC401" s="2976"/>
      <c r="AD401" s="2976"/>
      <c r="AE401" s="118">
        <v>3</v>
      </c>
    </row>
    <row r="402" spans="1:32" ht="30">
      <c r="A402" s="3070">
        <v>45482</v>
      </c>
      <c r="B402" s="2289" t="s">
        <v>17849</v>
      </c>
      <c r="C402" s="2877" t="s">
        <v>58</v>
      </c>
      <c r="D402" s="2877" t="s">
        <v>15443</v>
      </c>
      <c r="E402" s="2877" t="s">
        <v>655</v>
      </c>
      <c r="F402" s="2913" t="s">
        <v>17850</v>
      </c>
      <c r="G402" s="2877"/>
      <c r="H402" s="2289"/>
      <c r="I402" s="2289" t="s">
        <v>15369</v>
      </c>
      <c r="J402" s="2877" t="s">
        <v>2665</v>
      </c>
      <c r="K402" s="2877" t="s">
        <v>17851</v>
      </c>
      <c r="L402" s="2144">
        <v>63640</v>
      </c>
      <c r="M402" s="2877" t="s">
        <v>112</v>
      </c>
      <c r="N402" s="3070">
        <v>45484</v>
      </c>
      <c r="O402" s="3070">
        <v>45495</v>
      </c>
      <c r="P402" s="3070">
        <v>45526</v>
      </c>
      <c r="Q402" s="2289" t="s">
        <v>17780</v>
      </c>
      <c r="R402" s="2877"/>
      <c r="S402" s="2144">
        <v>63630</v>
      </c>
      <c r="T402" s="2144">
        <v>76992.3</v>
      </c>
      <c r="U402" s="2145"/>
      <c r="V402" s="2145"/>
      <c r="W402" s="2145"/>
      <c r="X402" s="2146">
        <v>45526</v>
      </c>
      <c r="Y402" s="2260" t="s">
        <v>18208</v>
      </c>
      <c r="Z402" s="3070">
        <v>45538</v>
      </c>
      <c r="AA402" s="3070">
        <v>45538</v>
      </c>
      <c r="AB402" s="3070">
        <v>45598</v>
      </c>
      <c r="AC402" s="2976"/>
      <c r="AD402" s="2976"/>
      <c r="AE402" s="118">
        <v>1</v>
      </c>
    </row>
    <row r="403" spans="1:32">
      <c r="A403" s="3067">
        <v>45482</v>
      </c>
      <c r="B403" s="3068" t="s">
        <v>17848</v>
      </c>
      <c r="C403" s="3069" t="s">
        <v>2434</v>
      </c>
      <c r="D403" s="3069" t="s">
        <v>219</v>
      </c>
      <c r="E403" s="3069" t="s">
        <v>15813</v>
      </c>
      <c r="F403" s="2914" t="s">
        <v>6879</v>
      </c>
      <c r="G403" s="3069"/>
      <c r="H403" s="3068"/>
      <c r="I403" s="3068" t="s">
        <v>242</v>
      </c>
      <c r="J403" s="3069" t="s">
        <v>642</v>
      </c>
      <c r="K403" s="3069"/>
      <c r="L403" s="2128">
        <v>2299040</v>
      </c>
      <c r="M403" s="3069" t="s">
        <v>251</v>
      </c>
      <c r="N403" s="3067">
        <v>45490</v>
      </c>
      <c r="O403" s="3067">
        <v>45525</v>
      </c>
      <c r="P403" s="3069"/>
      <c r="Q403" s="2136" t="s">
        <v>2635</v>
      </c>
      <c r="R403" s="2276" t="s">
        <v>18521</v>
      </c>
      <c r="S403" s="2128"/>
      <c r="T403" s="2128"/>
      <c r="U403" s="2129"/>
      <c r="V403" s="2129"/>
      <c r="W403" s="2129"/>
      <c r="X403" s="2128"/>
      <c r="Y403" s="2128"/>
      <c r="Z403" s="3069"/>
      <c r="AA403" s="3067">
        <v>45547</v>
      </c>
      <c r="AB403" s="3195" t="s">
        <v>18435</v>
      </c>
      <c r="AC403" s="2976"/>
      <c r="AD403" s="2976"/>
      <c r="AE403" s="118">
        <v>1</v>
      </c>
    </row>
    <row r="404" spans="1:32" ht="30">
      <c r="A404" s="3070">
        <v>45483</v>
      </c>
      <c r="B404" s="2289" t="s">
        <v>17866</v>
      </c>
      <c r="C404" s="2877" t="s">
        <v>2434</v>
      </c>
      <c r="D404" s="2877" t="s">
        <v>219</v>
      </c>
      <c r="E404" s="2877" t="s">
        <v>13951</v>
      </c>
      <c r="F404" s="2913" t="s">
        <v>17867</v>
      </c>
      <c r="G404" s="2877"/>
      <c r="H404" s="2289"/>
      <c r="I404" s="2289" t="s">
        <v>15369</v>
      </c>
      <c r="J404" s="2877" t="s">
        <v>780</v>
      </c>
      <c r="K404" s="2877"/>
      <c r="L404" s="2144">
        <v>680000</v>
      </c>
      <c r="M404" s="2877" t="s">
        <v>112</v>
      </c>
      <c r="N404" s="3070">
        <v>45485</v>
      </c>
      <c r="O404" s="3070">
        <v>45496</v>
      </c>
      <c r="P404" s="3070">
        <v>45502</v>
      </c>
      <c r="Q404" s="2289" t="s">
        <v>1433</v>
      </c>
      <c r="R404" s="2275"/>
      <c r="S404" s="2144">
        <v>685894</v>
      </c>
      <c r="T404" s="2144">
        <v>784042.4</v>
      </c>
      <c r="U404" s="2145"/>
      <c r="V404" s="2145"/>
      <c r="W404" s="2145"/>
      <c r="X404" s="2146">
        <v>45502</v>
      </c>
      <c r="Y404" s="2260" t="s">
        <v>18012</v>
      </c>
      <c r="Z404" s="3070">
        <v>45523</v>
      </c>
      <c r="AA404" s="3070">
        <v>45524</v>
      </c>
      <c r="AB404" s="3070">
        <v>46983</v>
      </c>
      <c r="AC404" s="2976"/>
      <c r="AD404" s="2976"/>
      <c r="AE404" s="118">
        <v>1</v>
      </c>
    </row>
    <row r="405" spans="1:32">
      <c r="A405" s="3070">
        <v>45483</v>
      </c>
      <c r="B405" s="2289" t="s">
        <v>17870</v>
      </c>
      <c r="C405" s="2877" t="s">
        <v>52</v>
      </c>
      <c r="D405" s="2877" t="s">
        <v>7503</v>
      </c>
      <c r="E405" s="2877" t="s">
        <v>13951</v>
      </c>
      <c r="F405" s="2780" t="s">
        <v>17871</v>
      </c>
      <c r="G405" s="2877"/>
      <c r="H405" s="2289"/>
      <c r="I405" s="2289" t="s">
        <v>15369</v>
      </c>
      <c r="J405" s="2877" t="s">
        <v>498</v>
      </c>
      <c r="K405" s="2877"/>
      <c r="L405" s="2144">
        <v>3700000</v>
      </c>
      <c r="M405" s="2877" t="s">
        <v>112</v>
      </c>
      <c r="N405" s="3070">
        <v>45488</v>
      </c>
      <c r="O405" s="3070">
        <v>45502</v>
      </c>
      <c r="P405" s="3070">
        <v>45524</v>
      </c>
      <c r="Q405" s="2289" t="s">
        <v>18176</v>
      </c>
      <c r="R405" s="2877"/>
      <c r="S405" s="2144">
        <v>3524329</v>
      </c>
      <c r="T405" s="2144">
        <v>4264438.09</v>
      </c>
      <c r="U405" s="2145"/>
      <c r="V405" s="2145"/>
      <c r="W405" s="2145"/>
      <c r="X405" s="2146">
        <v>45524</v>
      </c>
      <c r="Y405" s="2144" t="s">
        <v>18180</v>
      </c>
      <c r="Z405" s="3070">
        <v>45541</v>
      </c>
      <c r="AA405" s="3070">
        <v>45544</v>
      </c>
      <c r="AB405" s="2289"/>
      <c r="AC405" s="2976"/>
      <c r="AD405" s="2976"/>
      <c r="AE405" s="118">
        <v>3</v>
      </c>
    </row>
    <row r="406" spans="1:32">
      <c r="A406" s="3070">
        <v>45488</v>
      </c>
      <c r="B406" s="2289" t="s">
        <v>17896</v>
      </c>
      <c r="C406" s="2877" t="s">
        <v>3678</v>
      </c>
      <c r="D406" s="2877" t="s">
        <v>918</v>
      </c>
      <c r="E406" s="2877" t="s">
        <v>13950</v>
      </c>
      <c r="F406" s="2913" t="s">
        <v>17897</v>
      </c>
      <c r="G406" s="2877"/>
      <c r="H406" s="2289"/>
      <c r="I406" s="2289" t="s">
        <v>15369</v>
      </c>
      <c r="J406" s="2877" t="s">
        <v>1244</v>
      </c>
      <c r="K406" s="2877"/>
      <c r="L406" s="2144">
        <v>3600000</v>
      </c>
      <c r="M406" s="2877" t="s">
        <v>251</v>
      </c>
      <c r="N406" s="3070">
        <v>45491</v>
      </c>
      <c r="O406" s="3070">
        <v>45526</v>
      </c>
      <c r="P406" s="3070">
        <v>45547</v>
      </c>
      <c r="Q406" s="2289" t="s">
        <v>5167</v>
      </c>
      <c r="R406" s="2877"/>
      <c r="S406" s="2144">
        <v>98770</v>
      </c>
      <c r="T406" s="2144">
        <v>119511.7</v>
      </c>
      <c r="U406" s="2145"/>
      <c r="V406" s="2145"/>
      <c r="W406" s="2145"/>
      <c r="X406" s="2146">
        <v>45547</v>
      </c>
      <c r="Y406" s="2144" t="s">
        <v>18442</v>
      </c>
      <c r="Z406" s="3070">
        <v>45559</v>
      </c>
      <c r="AA406" s="3047"/>
      <c r="AB406" s="3070">
        <v>46387</v>
      </c>
      <c r="AC406" s="2976"/>
      <c r="AD406" s="2976"/>
      <c r="AE406" s="118">
        <v>1</v>
      </c>
    </row>
    <row r="407" spans="1:32">
      <c r="A407" s="3047">
        <v>45485</v>
      </c>
      <c r="B407" s="3018" t="s">
        <v>17892</v>
      </c>
      <c r="C407" s="3048" t="s">
        <v>16559</v>
      </c>
      <c r="D407" s="3048" t="s">
        <v>9080</v>
      </c>
      <c r="E407" s="3048" t="s">
        <v>15813</v>
      </c>
      <c r="F407" s="3049" t="s">
        <v>17893</v>
      </c>
      <c r="G407" s="3048"/>
      <c r="H407" s="3018"/>
      <c r="I407" s="3018" t="s">
        <v>15373</v>
      </c>
      <c r="J407" s="3048" t="s">
        <v>7697</v>
      </c>
      <c r="K407" s="3048"/>
      <c r="L407" s="2157">
        <v>2304000</v>
      </c>
      <c r="M407" s="3048" t="s">
        <v>251</v>
      </c>
      <c r="N407" s="3047">
        <v>45495</v>
      </c>
      <c r="O407" s="3047">
        <v>45527</v>
      </c>
      <c r="P407" s="3047">
        <v>45575</v>
      </c>
      <c r="Q407" s="3018" t="s">
        <v>9313</v>
      </c>
      <c r="R407" s="3048"/>
      <c r="S407" s="2157">
        <v>1564800</v>
      </c>
      <c r="T407" s="2157">
        <v>1752576</v>
      </c>
      <c r="U407" s="2415"/>
      <c r="V407" s="2415"/>
      <c r="W407" s="2415"/>
      <c r="X407" s="2160">
        <v>45575</v>
      </c>
      <c r="Y407" s="2157" t="s">
        <v>18693</v>
      </c>
      <c r="Z407" s="3048"/>
      <c r="AA407" s="3047"/>
      <c r="AB407" s="3018"/>
      <c r="AC407" s="2976"/>
      <c r="AD407" s="2976"/>
      <c r="AE407" s="118">
        <v>5</v>
      </c>
    </row>
    <row r="408" spans="1:32" ht="30">
      <c r="A408" s="3070">
        <v>45484</v>
      </c>
      <c r="B408" s="2289" t="s">
        <v>17877</v>
      </c>
      <c r="C408" s="2877" t="s">
        <v>58</v>
      </c>
      <c r="D408" s="2877" t="s">
        <v>15443</v>
      </c>
      <c r="E408" s="2877" t="s">
        <v>13950</v>
      </c>
      <c r="F408" s="2913" t="s">
        <v>17878</v>
      </c>
      <c r="G408" s="2877"/>
      <c r="H408" s="2289"/>
      <c r="I408" s="2289" t="s">
        <v>15369</v>
      </c>
      <c r="J408" s="2877" t="s">
        <v>2550</v>
      </c>
      <c r="K408" s="2877" t="s">
        <v>18564</v>
      </c>
      <c r="L408" s="2144">
        <v>232260</v>
      </c>
      <c r="M408" s="2877" t="s">
        <v>251</v>
      </c>
      <c r="N408" s="3070">
        <v>45489</v>
      </c>
      <c r="O408" s="3070">
        <v>45524</v>
      </c>
      <c r="P408" s="3070">
        <v>45538</v>
      </c>
      <c r="Q408" s="2289" t="s">
        <v>7136</v>
      </c>
      <c r="R408" s="2877"/>
      <c r="S408" s="2144">
        <v>232260</v>
      </c>
      <c r="T408" s="2144">
        <v>281034.59999999998</v>
      </c>
      <c r="U408" s="2145"/>
      <c r="V408" s="2145"/>
      <c r="W408" s="2145"/>
      <c r="X408" s="2146">
        <v>45538</v>
      </c>
      <c r="Y408" s="2260" t="s">
        <v>18332</v>
      </c>
      <c r="Z408" s="3070">
        <v>45548</v>
      </c>
      <c r="AA408" s="3070">
        <v>45559</v>
      </c>
      <c r="AB408" s="3070">
        <v>45638</v>
      </c>
      <c r="AC408" s="2976"/>
      <c r="AD408" s="2976"/>
      <c r="AE408" s="118">
        <v>1</v>
      </c>
    </row>
    <row r="409" spans="1:32">
      <c r="A409" s="3047">
        <v>45484</v>
      </c>
      <c r="B409" s="3018" t="s">
        <v>17879</v>
      </c>
      <c r="C409" s="3048" t="s">
        <v>2434</v>
      </c>
      <c r="D409" s="3048" t="s">
        <v>219</v>
      </c>
      <c r="E409" s="3048" t="s">
        <v>13948</v>
      </c>
      <c r="F409" s="3049" t="s">
        <v>17881</v>
      </c>
      <c r="G409" s="3048"/>
      <c r="H409" s="3018"/>
      <c r="I409" s="3018" t="s">
        <v>4837</v>
      </c>
      <c r="J409" s="3048" t="s">
        <v>17882</v>
      </c>
      <c r="K409" s="3048"/>
      <c r="L409" s="2157">
        <v>22491157</v>
      </c>
      <c r="M409" s="3048" t="s">
        <v>251</v>
      </c>
      <c r="N409" s="3047">
        <v>45490</v>
      </c>
      <c r="O409" s="3047">
        <v>45559</v>
      </c>
      <c r="P409" s="3047"/>
      <c r="Q409" s="3018"/>
      <c r="R409" s="3048"/>
      <c r="S409" s="2157"/>
      <c r="T409" s="2157"/>
      <c r="U409" s="2094"/>
      <c r="V409" s="2094"/>
      <c r="W409" s="2094"/>
      <c r="X409" s="2160"/>
      <c r="Y409" s="2157"/>
      <c r="Z409" s="3047"/>
      <c r="AA409" s="3047"/>
      <c r="AB409" s="3047"/>
      <c r="AC409" s="2976"/>
      <c r="AD409" s="2976"/>
      <c r="AE409" s="118">
        <v>6</v>
      </c>
    </row>
    <row r="410" spans="1:32">
      <c r="A410" s="2564">
        <v>45484</v>
      </c>
      <c r="B410" s="2664" t="s">
        <v>17880</v>
      </c>
      <c r="C410" s="2877" t="s">
        <v>2434</v>
      </c>
      <c r="D410" s="2877" t="s">
        <v>219</v>
      </c>
      <c r="E410" s="2779" t="s">
        <v>13951</v>
      </c>
      <c r="F410" s="2780" t="s">
        <v>17884</v>
      </c>
      <c r="G410" s="2779"/>
      <c r="H410" s="2664"/>
      <c r="I410" s="2289" t="s">
        <v>15369</v>
      </c>
      <c r="J410" s="2779" t="s">
        <v>17883</v>
      </c>
      <c r="K410" s="2779"/>
      <c r="L410" s="2607">
        <v>1395264</v>
      </c>
      <c r="M410" s="2779" t="s">
        <v>112</v>
      </c>
      <c r="N410" s="2564">
        <v>45489</v>
      </c>
      <c r="O410" s="2564">
        <v>45502</v>
      </c>
      <c r="P410" s="2564">
        <v>45504</v>
      </c>
      <c r="Q410" s="3279" t="s">
        <v>18018</v>
      </c>
      <c r="R410" s="2779"/>
      <c r="S410" s="2607">
        <v>1395280</v>
      </c>
      <c r="T410" s="2607">
        <v>1562713.6</v>
      </c>
      <c r="U410" s="2781"/>
      <c r="V410" s="2781"/>
      <c r="W410" s="2781"/>
      <c r="X410" s="2782">
        <v>45504</v>
      </c>
      <c r="Y410" s="2607" t="s">
        <v>18031</v>
      </c>
      <c r="Z410" s="2564">
        <v>45523</v>
      </c>
      <c r="AA410" s="2564">
        <v>45524</v>
      </c>
      <c r="AB410" s="2564">
        <v>46983</v>
      </c>
      <c r="AC410" s="2976"/>
      <c r="AD410" s="2976"/>
      <c r="AE410" s="118">
        <v>1</v>
      </c>
    </row>
    <row r="411" spans="1:32">
      <c r="A411" s="3070">
        <v>45484</v>
      </c>
      <c r="B411" s="2289" t="s">
        <v>17886</v>
      </c>
      <c r="C411" s="2877" t="s">
        <v>16536</v>
      </c>
      <c r="D411" s="2877" t="s">
        <v>15129</v>
      </c>
      <c r="E411" s="2877" t="s">
        <v>13949</v>
      </c>
      <c r="F411" s="2913" t="s">
        <v>17887</v>
      </c>
      <c r="G411" s="2877"/>
      <c r="H411" s="2289"/>
      <c r="I411" s="2289" t="s">
        <v>15369</v>
      </c>
      <c r="J411" s="2877" t="s">
        <v>68</v>
      </c>
      <c r="K411" s="2877"/>
      <c r="L411" s="2144">
        <v>3069472</v>
      </c>
      <c r="M411" s="2877" t="s">
        <v>235</v>
      </c>
      <c r="N411" s="3070">
        <v>45490</v>
      </c>
      <c r="O411" s="3070">
        <v>45502</v>
      </c>
      <c r="P411" s="3070">
        <v>45511</v>
      </c>
      <c r="Q411" s="2289" t="s">
        <v>1318</v>
      </c>
      <c r="R411" s="2877"/>
      <c r="S411" s="2144">
        <v>3069471.15</v>
      </c>
      <c r="T411" s="2144">
        <v>3437807.69</v>
      </c>
      <c r="U411" s="2145"/>
      <c r="V411" s="2145"/>
      <c r="W411" s="2145"/>
      <c r="X411" s="2146">
        <v>45511</v>
      </c>
      <c r="Y411" s="2144" t="s">
        <v>18086</v>
      </c>
      <c r="Z411" s="3070">
        <v>45518</v>
      </c>
      <c r="AA411" s="3070">
        <v>45527</v>
      </c>
      <c r="AB411" s="3070">
        <v>45882</v>
      </c>
      <c r="AC411" s="2976"/>
      <c r="AD411" s="2976"/>
      <c r="AE411" s="118">
        <v>1</v>
      </c>
    </row>
    <row r="412" spans="1:32">
      <c r="A412" s="3067">
        <v>45502</v>
      </c>
      <c r="B412" s="3068" t="s">
        <v>18005</v>
      </c>
      <c r="C412" s="3069" t="s">
        <v>58</v>
      </c>
      <c r="D412" s="3069" t="s">
        <v>15443</v>
      </c>
      <c r="E412" s="3069" t="s">
        <v>13951</v>
      </c>
      <c r="F412" s="2914" t="s">
        <v>18006</v>
      </c>
      <c r="G412" s="3069"/>
      <c r="H412" s="3068"/>
      <c r="I412" s="3068" t="s">
        <v>242</v>
      </c>
      <c r="J412" s="3069" t="s">
        <v>1159</v>
      </c>
      <c r="K412" s="3069" t="s">
        <v>18007</v>
      </c>
      <c r="L412" s="2128">
        <v>590000</v>
      </c>
      <c r="M412" s="3069" t="s">
        <v>112</v>
      </c>
      <c r="N412" s="3067">
        <v>45504</v>
      </c>
      <c r="O412" s="3067">
        <v>45530</v>
      </c>
      <c r="P412" s="3067"/>
      <c r="Q412" s="2136" t="s">
        <v>10170</v>
      </c>
      <c r="R412" s="2275" t="s">
        <v>18352</v>
      </c>
      <c r="S412" s="2128"/>
      <c r="T412" s="2128"/>
      <c r="U412" s="2129"/>
      <c r="V412" s="2129"/>
      <c r="W412" s="2129"/>
      <c r="X412" s="2281"/>
      <c r="Y412" s="2128"/>
      <c r="Z412" s="3067"/>
      <c r="AA412" s="3067">
        <v>45540</v>
      </c>
      <c r="AB412" s="3067"/>
      <c r="AC412" s="2976"/>
      <c r="AD412" s="2976"/>
      <c r="AE412" s="118">
        <v>2</v>
      </c>
    </row>
    <row r="413" spans="1:32">
      <c r="A413" s="3070">
        <v>45488</v>
      </c>
      <c r="B413" s="2289" t="s">
        <v>17905</v>
      </c>
      <c r="C413" s="2877" t="s">
        <v>16537</v>
      </c>
      <c r="D413" s="2877" t="s">
        <v>13844</v>
      </c>
      <c r="E413" s="2877" t="s">
        <v>13949</v>
      </c>
      <c r="F413" s="2913" t="s">
        <v>17906</v>
      </c>
      <c r="G413" s="2877"/>
      <c r="H413" s="2289"/>
      <c r="I413" s="2289" t="s">
        <v>15369</v>
      </c>
      <c r="J413" s="2877" t="s">
        <v>42</v>
      </c>
      <c r="K413" s="2877"/>
      <c r="L413" s="2144">
        <v>534000</v>
      </c>
      <c r="M413" s="2877" t="s">
        <v>112</v>
      </c>
      <c r="N413" s="3070">
        <v>45491</v>
      </c>
      <c r="O413" s="3070">
        <v>45503</v>
      </c>
      <c r="P413" s="3070">
        <v>45505</v>
      </c>
      <c r="Q413" s="2289" t="s">
        <v>14677</v>
      </c>
      <c r="R413" s="2877"/>
      <c r="S413" s="2144">
        <v>411162.84</v>
      </c>
      <c r="T413" s="2144">
        <v>497507.04</v>
      </c>
      <c r="U413" s="2145"/>
      <c r="V413" s="2145"/>
      <c r="W413" s="2145"/>
      <c r="X413" s="2146">
        <v>45505</v>
      </c>
      <c r="Y413" s="2144" t="s">
        <v>18072</v>
      </c>
      <c r="Z413" s="3070">
        <v>45511</v>
      </c>
      <c r="AA413" s="3070">
        <v>45512</v>
      </c>
      <c r="AB413" s="3070">
        <v>45875</v>
      </c>
      <c r="AC413" s="2976"/>
      <c r="AD413" s="2976"/>
      <c r="AE413" s="118">
        <v>1</v>
      </c>
    </row>
    <row r="414" spans="1:32">
      <c r="A414" s="3047">
        <v>45490</v>
      </c>
      <c r="B414" s="3018" t="s">
        <v>17957</v>
      </c>
      <c r="C414" s="3048" t="s">
        <v>16537</v>
      </c>
      <c r="D414" s="3048" t="s">
        <v>13844</v>
      </c>
      <c r="E414" s="3048" t="s">
        <v>13949</v>
      </c>
      <c r="F414" s="3049" t="s">
        <v>17958</v>
      </c>
      <c r="G414" s="3048"/>
      <c r="H414" s="3018"/>
      <c r="I414" s="3018" t="s">
        <v>4837</v>
      </c>
      <c r="J414" s="3048" t="s">
        <v>17959</v>
      </c>
      <c r="K414" s="3048"/>
      <c r="L414" s="2157">
        <v>1020070</v>
      </c>
      <c r="M414" s="3048" t="s">
        <v>251</v>
      </c>
      <c r="N414" s="3047">
        <v>45516</v>
      </c>
      <c r="O414" s="3047">
        <v>45575</v>
      </c>
      <c r="P414" s="3047"/>
      <c r="Q414" s="3018"/>
      <c r="R414" s="3048"/>
      <c r="S414" s="2157"/>
      <c r="T414" s="2157"/>
      <c r="U414" s="2094"/>
      <c r="V414" s="2094"/>
      <c r="W414" s="2094"/>
      <c r="X414" s="2160"/>
      <c r="Y414" s="2157"/>
      <c r="Z414" s="3047"/>
      <c r="AA414" s="3047"/>
      <c r="AB414" s="3047"/>
      <c r="AC414" s="2976"/>
      <c r="AD414" s="2976"/>
      <c r="AE414" s="118">
        <v>3</v>
      </c>
    </row>
    <row r="415" spans="1:32" ht="30">
      <c r="A415" s="3070">
        <v>45485</v>
      </c>
      <c r="B415" s="2289" t="s">
        <v>17894</v>
      </c>
      <c r="C415" s="2877" t="s">
        <v>2434</v>
      </c>
      <c r="D415" s="2877" t="s">
        <v>3204</v>
      </c>
      <c r="E415" s="2877" t="s">
        <v>13951</v>
      </c>
      <c r="F415" s="2913" t="s">
        <v>17895</v>
      </c>
      <c r="G415" s="2877"/>
      <c r="H415" s="2289"/>
      <c r="I415" s="2289" t="s">
        <v>15369</v>
      </c>
      <c r="J415" s="2877" t="s">
        <v>642</v>
      </c>
      <c r="K415" s="2877"/>
      <c r="L415" s="2144">
        <v>512000</v>
      </c>
      <c r="M415" s="2877" t="s">
        <v>112</v>
      </c>
      <c r="N415" s="3070">
        <v>45489</v>
      </c>
      <c r="O415" s="3070">
        <v>45502</v>
      </c>
      <c r="P415" s="3070">
        <v>45516</v>
      </c>
      <c r="Q415" s="2289" t="s">
        <v>18019</v>
      </c>
      <c r="R415" s="2877"/>
      <c r="S415" s="2144">
        <v>512000</v>
      </c>
      <c r="T415" s="2144">
        <v>573440</v>
      </c>
      <c r="U415" s="2145"/>
      <c r="V415" s="2145"/>
      <c r="W415" s="2145"/>
      <c r="X415" s="2146">
        <v>45516</v>
      </c>
      <c r="Y415" s="2260" t="s">
        <v>18117</v>
      </c>
      <c r="Z415" s="3070">
        <v>45520</v>
      </c>
      <c r="AA415" s="3070">
        <v>45524</v>
      </c>
      <c r="AB415" s="3070">
        <v>47058</v>
      </c>
      <c r="AC415" s="2976"/>
      <c r="AD415" s="2976"/>
      <c r="AE415" s="118">
        <v>1</v>
      </c>
      <c r="AF415" s="118" t="s">
        <v>18151</v>
      </c>
    </row>
    <row r="416" spans="1:32">
      <c r="A416" s="3067">
        <v>45489</v>
      </c>
      <c r="B416" s="3068" t="s">
        <v>17900</v>
      </c>
      <c r="C416" s="3069" t="s">
        <v>16537</v>
      </c>
      <c r="D416" s="3069" t="s">
        <v>13844</v>
      </c>
      <c r="E416" s="3069" t="s">
        <v>13949</v>
      </c>
      <c r="F416" s="2914" t="s">
        <v>17901</v>
      </c>
      <c r="G416" s="3069"/>
      <c r="H416" s="3068"/>
      <c r="I416" s="3068" t="s">
        <v>242</v>
      </c>
      <c r="J416" s="3069" t="s">
        <v>42</v>
      </c>
      <c r="K416" s="3069"/>
      <c r="L416" s="2128">
        <v>1485000</v>
      </c>
      <c r="M416" s="3069" t="s">
        <v>251</v>
      </c>
      <c r="N416" s="3067">
        <v>45509</v>
      </c>
      <c r="O416" s="3067">
        <v>45548</v>
      </c>
      <c r="P416" s="3067"/>
      <c r="Q416" s="2136" t="s">
        <v>304</v>
      </c>
      <c r="R416" s="3069"/>
      <c r="S416" s="2128"/>
      <c r="T416" s="2128"/>
      <c r="U416" s="2094"/>
      <c r="V416" s="2094"/>
      <c r="W416" s="2094"/>
      <c r="X416" s="2281"/>
      <c r="Y416" s="2128"/>
      <c r="Z416" s="3067"/>
      <c r="AA416" s="3067">
        <v>45558</v>
      </c>
      <c r="AB416" s="3069"/>
      <c r="AC416" s="2976"/>
      <c r="AD416" s="2976"/>
    </row>
    <row r="417" spans="1:31">
      <c r="A417" s="3047">
        <v>45490</v>
      </c>
      <c r="B417" s="3018" t="s">
        <v>17907</v>
      </c>
      <c r="C417" s="3048" t="s">
        <v>16536</v>
      </c>
      <c r="D417" s="3048" t="s">
        <v>15129</v>
      </c>
      <c r="E417" s="3048" t="s">
        <v>15813</v>
      </c>
      <c r="F417" s="3049" t="s">
        <v>17908</v>
      </c>
      <c r="G417" s="3048"/>
      <c r="H417" s="3018"/>
      <c r="I417" s="3018" t="s">
        <v>4837</v>
      </c>
      <c r="J417" s="3048" t="s">
        <v>16226</v>
      </c>
      <c r="K417" s="3048"/>
      <c r="L417" s="2157">
        <v>3293118</v>
      </c>
      <c r="M417" s="3048" t="s">
        <v>251</v>
      </c>
      <c r="N417" s="3047">
        <v>45517</v>
      </c>
      <c r="O417" s="3047">
        <v>45552</v>
      </c>
      <c r="P417" s="3047"/>
      <c r="Q417" s="3018"/>
      <c r="R417" s="3048"/>
      <c r="S417" s="2157"/>
      <c r="T417" s="2157"/>
      <c r="U417" s="2415"/>
      <c r="V417" s="2415"/>
      <c r="W417" s="2415"/>
      <c r="X417" s="2160"/>
      <c r="Y417" s="2157"/>
      <c r="Z417" s="3047"/>
      <c r="AA417" s="3047"/>
      <c r="AB417" s="3048"/>
      <c r="AC417" s="2976"/>
      <c r="AD417" s="2976"/>
      <c r="AE417" s="118">
        <v>2</v>
      </c>
    </row>
    <row r="418" spans="1:31" ht="15.75" thickBot="1">
      <c r="A418" s="612">
        <v>45488</v>
      </c>
      <c r="B418" s="2911" t="s">
        <v>17898</v>
      </c>
      <c r="C418" s="609" t="s">
        <v>52</v>
      </c>
      <c r="D418" s="609" t="s">
        <v>16704</v>
      </c>
      <c r="E418" s="609" t="s">
        <v>13951</v>
      </c>
      <c r="F418" s="610" t="s">
        <v>17899</v>
      </c>
      <c r="G418" s="609"/>
      <c r="H418" s="2911"/>
      <c r="I418" s="2911" t="s">
        <v>15369</v>
      </c>
      <c r="J418" s="609" t="s">
        <v>17286</v>
      </c>
      <c r="K418" s="609"/>
      <c r="L418" s="417">
        <v>522000</v>
      </c>
      <c r="M418" s="609" t="s">
        <v>112</v>
      </c>
      <c r="N418" s="612">
        <v>45492</v>
      </c>
      <c r="O418" s="612">
        <v>45503</v>
      </c>
      <c r="P418" s="612">
        <v>45520</v>
      </c>
      <c r="Q418" s="2911" t="s">
        <v>17633</v>
      </c>
      <c r="R418" s="609"/>
      <c r="S418" s="417">
        <v>310500</v>
      </c>
      <c r="T418" s="417">
        <v>375705</v>
      </c>
      <c r="U418" s="1480"/>
      <c r="V418" s="1480"/>
      <c r="W418" s="1480"/>
      <c r="X418" s="513">
        <v>45520</v>
      </c>
      <c r="Y418" s="417" t="s">
        <v>18150</v>
      </c>
      <c r="Z418" s="612">
        <v>45532</v>
      </c>
      <c r="AA418" s="612">
        <v>45533</v>
      </c>
      <c r="AB418" s="609"/>
      <c r="AC418" s="2976"/>
      <c r="AD418" s="2976"/>
      <c r="AE418" s="118">
        <v>2</v>
      </c>
    </row>
    <row r="419" spans="1:31" ht="15.75" thickTop="1">
      <c r="A419" s="3325">
        <v>45503</v>
      </c>
      <c r="B419" s="3326" t="s">
        <v>18021</v>
      </c>
      <c r="C419" s="3327" t="s">
        <v>16536</v>
      </c>
      <c r="D419" s="3327" t="s">
        <v>15129</v>
      </c>
      <c r="E419" s="3327" t="s">
        <v>13949</v>
      </c>
      <c r="F419" s="3328" t="s">
        <v>18022</v>
      </c>
      <c r="G419" s="3327">
        <v>1</v>
      </c>
      <c r="H419" s="3326" t="s">
        <v>18023</v>
      </c>
      <c r="I419" s="3326" t="s">
        <v>15373</v>
      </c>
      <c r="J419" s="3327" t="s">
        <v>68</v>
      </c>
      <c r="K419" s="3327"/>
      <c r="L419" s="793">
        <v>32057790</v>
      </c>
      <c r="M419" s="3327" t="s">
        <v>251</v>
      </c>
      <c r="N419" s="3325">
        <v>45510</v>
      </c>
      <c r="O419" s="3325">
        <v>45546</v>
      </c>
      <c r="P419" s="3325">
        <v>45575</v>
      </c>
      <c r="Q419" s="3326" t="s">
        <v>13761</v>
      </c>
      <c r="R419" s="3327"/>
      <c r="S419" s="793">
        <v>32057785.949999999</v>
      </c>
      <c r="T419" s="793">
        <v>35904720.259999998</v>
      </c>
      <c r="U419" s="3329"/>
      <c r="V419" s="3329"/>
      <c r="W419" s="3329"/>
      <c r="X419" s="3417">
        <v>45575</v>
      </c>
      <c r="Y419" s="793" t="s">
        <v>18697</v>
      </c>
      <c r="Z419" s="3327"/>
      <c r="AA419" s="3327"/>
      <c r="AB419" s="3327"/>
      <c r="AC419" s="2976"/>
      <c r="AD419" s="2976"/>
      <c r="AE419" s="118">
        <v>1</v>
      </c>
    </row>
    <row r="420" spans="1:31" ht="15.75" thickBot="1">
      <c r="A420" s="3050">
        <v>45503</v>
      </c>
      <c r="B420" s="3051" t="s">
        <v>18020</v>
      </c>
      <c r="C420" s="3052" t="s">
        <v>16536</v>
      </c>
      <c r="D420" s="3052" t="s">
        <v>15129</v>
      </c>
      <c r="E420" s="3052" t="s">
        <v>13949</v>
      </c>
      <c r="F420" s="3053" t="s">
        <v>18022</v>
      </c>
      <c r="G420" s="3052">
        <v>2</v>
      </c>
      <c r="H420" s="3051" t="s">
        <v>18024</v>
      </c>
      <c r="I420" s="3051" t="s">
        <v>15373</v>
      </c>
      <c r="J420" s="3052" t="s">
        <v>68</v>
      </c>
      <c r="K420" s="3052"/>
      <c r="L420" s="2299">
        <v>15969462</v>
      </c>
      <c r="M420" s="3052" t="s">
        <v>251</v>
      </c>
      <c r="N420" s="3050">
        <v>45510</v>
      </c>
      <c r="O420" s="3050">
        <v>45546</v>
      </c>
      <c r="P420" s="3050">
        <v>45575</v>
      </c>
      <c r="Q420" s="3051" t="s">
        <v>13761</v>
      </c>
      <c r="R420" s="3052"/>
      <c r="S420" s="2299">
        <v>15774086.050000001</v>
      </c>
      <c r="T420" s="2299">
        <v>17666976.379999999</v>
      </c>
      <c r="U420" s="2443"/>
      <c r="V420" s="2443"/>
      <c r="W420" s="2443"/>
      <c r="X420" s="2315">
        <v>45575</v>
      </c>
      <c r="Y420" s="2299" t="s">
        <v>18698</v>
      </c>
      <c r="Z420" s="3052"/>
      <c r="AA420" s="3052"/>
      <c r="AB420" s="3052"/>
      <c r="AC420" s="2976"/>
      <c r="AD420" s="2976"/>
      <c r="AE420" s="118">
        <v>1</v>
      </c>
    </row>
    <row r="421" spans="1:31" ht="16.5" thickTop="1" thickBot="1">
      <c r="A421" s="3148">
        <v>45491</v>
      </c>
      <c r="B421" s="2936" t="s">
        <v>17909</v>
      </c>
      <c r="C421" s="190" t="s">
        <v>16684</v>
      </c>
      <c r="D421" s="190" t="s">
        <v>55</v>
      </c>
      <c r="E421" s="190" t="s">
        <v>13951</v>
      </c>
      <c r="F421" s="272" t="s">
        <v>17910</v>
      </c>
      <c r="G421" s="190"/>
      <c r="H421" s="2936"/>
      <c r="I421" s="2936" t="s">
        <v>242</v>
      </c>
      <c r="J421" s="190" t="s">
        <v>4312</v>
      </c>
      <c r="K421" s="190"/>
      <c r="L421" s="1542">
        <v>516396</v>
      </c>
      <c r="M421" s="190" t="s">
        <v>112</v>
      </c>
      <c r="N421" s="3148">
        <v>45497</v>
      </c>
      <c r="O421" s="3148">
        <v>45509</v>
      </c>
      <c r="P421" s="3148"/>
      <c r="Q421" s="2488" t="s">
        <v>18080</v>
      </c>
      <c r="R421" s="2627" t="s">
        <v>18166</v>
      </c>
      <c r="S421" s="1542"/>
      <c r="T421" s="1542"/>
      <c r="U421" s="1543"/>
      <c r="V421" s="1543"/>
      <c r="W421" s="1543"/>
      <c r="X421" s="3158"/>
      <c r="Y421" s="1542"/>
      <c r="Z421" s="3148"/>
      <c r="AA421" s="3148">
        <v>45510</v>
      </c>
      <c r="AB421" s="3148"/>
      <c r="AC421" s="2976"/>
      <c r="AD421" s="2976"/>
      <c r="AE421" s="118">
        <v>1</v>
      </c>
    </row>
    <row r="422" spans="1:31" ht="15.75" thickTop="1">
      <c r="A422" s="3038">
        <v>45497</v>
      </c>
      <c r="B422" s="3039" t="s">
        <v>17990</v>
      </c>
      <c r="C422" s="3040" t="s">
        <v>2434</v>
      </c>
      <c r="D422" s="3040" t="s">
        <v>3204</v>
      </c>
      <c r="E422" s="3040" t="s">
        <v>13948</v>
      </c>
      <c r="F422" s="3041" t="s">
        <v>17992</v>
      </c>
      <c r="G422" s="3040">
        <v>1</v>
      </c>
      <c r="H422" s="3039" t="s">
        <v>17090</v>
      </c>
      <c r="I422" s="3039" t="s">
        <v>15448</v>
      </c>
      <c r="J422" s="3040" t="s">
        <v>642</v>
      </c>
      <c r="K422" s="3040"/>
      <c r="L422" s="588">
        <v>4340000</v>
      </c>
      <c r="M422" s="3040" t="s">
        <v>251</v>
      </c>
      <c r="N422" s="3038">
        <v>45502</v>
      </c>
      <c r="O422" s="3038">
        <v>45586</v>
      </c>
      <c r="P422" s="3038"/>
      <c r="Q422" s="3039"/>
      <c r="R422" s="3040"/>
      <c r="S422" s="588"/>
      <c r="T422" s="588"/>
      <c r="U422" s="1483"/>
      <c r="V422" s="1483"/>
      <c r="W422" s="1483"/>
      <c r="X422" s="3001"/>
      <c r="Y422" s="588"/>
      <c r="Z422" s="3038"/>
      <c r="AA422" s="3038"/>
      <c r="AB422" s="3038"/>
      <c r="AC422" s="2976"/>
      <c r="AD422" s="2976"/>
    </row>
    <row r="423" spans="1:31" ht="15.75" thickBot="1">
      <c r="A423" s="3060">
        <v>45497</v>
      </c>
      <c r="B423" s="3003" t="s">
        <v>17991</v>
      </c>
      <c r="C423" s="3002" t="s">
        <v>2434</v>
      </c>
      <c r="D423" s="3002" t="s">
        <v>3204</v>
      </c>
      <c r="E423" s="3002" t="s">
        <v>13948</v>
      </c>
      <c r="F423" s="3079" t="s">
        <v>17992</v>
      </c>
      <c r="G423" s="3002">
        <v>2</v>
      </c>
      <c r="H423" s="3003" t="s">
        <v>3826</v>
      </c>
      <c r="I423" s="3003" t="s">
        <v>15448</v>
      </c>
      <c r="J423" s="3002" t="s">
        <v>642</v>
      </c>
      <c r="K423" s="3002"/>
      <c r="L423" s="2093">
        <v>6363249.3499999996</v>
      </c>
      <c r="M423" s="3002" t="s">
        <v>251</v>
      </c>
      <c r="N423" s="3060">
        <v>45502</v>
      </c>
      <c r="O423" s="3060">
        <v>45586</v>
      </c>
      <c r="P423" s="3060"/>
      <c r="Q423" s="3003"/>
      <c r="R423" s="3002"/>
      <c r="S423" s="2093"/>
      <c r="T423" s="2093"/>
      <c r="U423" s="2095"/>
      <c r="V423" s="2095"/>
      <c r="W423" s="2095"/>
      <c r="X423" s="3014"/>
      <c r="Y423" s="2093"/>
      <c r="Z423" s="3060"/>
      <c r="AA423" s="3060"/>
      <c r="AB423" s="3060"/>
      <c r="AC423" s="2976"/>
      <c r="AD423" s="2976"/>
    </row>
    <row r="424" spans="1:31" ht="15.75" thickTop="1">
      <c r="A424" s="3074">
        <v>45492</v>
      </c>
      <c r="B424" s="3075" t="s">
        <v>17920</v>
      </c>
      <c r="C424" s="3076" t="s">
        <v>16536</v>
      </c>
      <c r="D424" s="3076" t="s">
        <v>15131</v>
      </c>
      <c r="E424" s="3076" t="s">
        <v>15813</v>
      </c>
      <c r="F424" s="3077" t="s">
        <v>17921</v>
      </c>
      <c r="G424" s="3076"/>
      <c r="H424" s="3075"/>
      <c r="I424" s="3075" t="s">
        <v>15373</v>
      </c>
      <c r="J424" s="3076" t="s">
        <v>68</v>
      </c>
      <c r="K424" s="3076"/>
      <c r="L424" s="841">
        <v>6972815</v>
      </c>
      <c r="M424" s="3076" t="s">
        <v>251</v>
      </c>
      <c r="N424" s="3074">
        <v>45504</v>
      </c>
      <c r="O424" s="3074">
        <v>45539</v>
      </c>
      <c r="P424" s="3074">
        <v>45558</v>
      </c>
      <c r="Q424" s="3075" t="s">
        <v>13761</v>
      </c>
      <c r="R424" s="3076"/>
      <c r="S424" s="841">
        <v>6972814.7999999998</v>
      </c>
      <c r="T424" s="841">
        <v>7809552.5800000001</v>
      </c>
      <c r="U424" s="1489"/>
      <c r="V424" s="1489"/>
      <c r="W424" s="1489"/>
      <c r="X424" s="1392">
        <v>45558</v>
      </c>
      <c r="Y424" s="841" t="s">
        <v>18505</v>
      </c>
      <c r="Z424" s="3074"/>
      <c r="AA424" s="3074"/>
      <c r="AB424" s="3074"/>
      <c r="AC424" s="2976"/>
      <c r="AD424" s="2976"/>
      <c r="AE424" s="118">
        <v>1</v>
      </c>
    </row>
    <row r="425" spans="1:31">
      <c r="A425" s="3042">
        <v>45492</v>
      </c>
      <c r="B425" s="3043" t="s">
        <v>17922</v>
      </c>
      <c r="C425" s="3044" t="s">
        <v>16536</v>
      </c>
      <c r="D425" s="3044" t="s">
        <v>15131</v>
      </c>
      <c r="E425" s="3044" t="s">
        <v>15813</v>
      </c>
      <c r="F425" s="3021" t="s">
        <v>17976</v>
      </c>
      <c r="G425" s="3044"/>
      <c r="H425" s="3043"/>
      <c r="I425" s="3043" t="s">
        <v>15448</v>
      </c>
      <c r="J425" s="3044" t="s">
        <v>93</v>
      </c>
      <c r="K425" s="3044"/>
      <c r="L425" s="2092">
        <v>18808463</v>
      </c>
      <c r="M425" s="3044" t="s">
        <v>251</v>
      </c>
      <c r="N425" s="3042">
        <v>45497</v>
      </c>
      <c r="O425" s="3042">
        <v>45597</v>
      </c>
      <c r="P425" s="3042"/>
      <c r="Q425" s="3043"/>
      <c r="R425" s="3044"/>
      <c r="S425" s="2092"/>
      <c r="T425" s="2092"/>
      <c r="U425" s="2094"/>
      <c r="V425" s="2094"/>
      <c r="W425" s="2094"/>
      <c r="X425" s="2456"/>
      <c r="Y425" s="2092"/>
      <c r="Z425" s="3042"/>
      <c r="AA425" s="3042"/>
      <c r="AB425" s="3042"/>
      <c r="AC425" s="2976"/>
      <c r="AD425" s="2976"/>
    </row>
    <row r="426" spans="1:31">
      <c r="A426" s="3070">
        <v>45492</v>
      </c>
      <c r="B426" s="2289" t="s">
        <v>17926</v>
      </c>
      <c r="C426" s="2877" t="s">
        <v>16536</v>
      </c>
      <c r="D426" s="2877" t="s">
        <v>15131</v>
      </c>
      <c r="E426" s="2877" t="s">
        <v>15813</v>
      </c>
      <c r="F426" s="2913" t="s">
        <v>17927</v>
      </c>
      <c r="G426" s="2877"/>
      <c r="H426" s="2289"/>
      <c r="I426" s="2289" t="s">
        <v>15369</v>
      </c>
      <c r="J426" s="2877" t="s">
        <v>816</v>
      </c>
      <c r="K426" s="2877"/>
      <c r="L426" s="2144">
        <v>9061584</v>
      </c>
      <c r="M426" s="2877" t="s">
        <v>251</v>
      </c>
      <c r="N426" s="3070">
        <v>45497</v>
      </c>
      <c r="O426" s="3070">
        <v>45532</v>
      </c>
      <c r="P426" s="3070">
        <v>45544</v>
      </c>
      <c r="Q426" s="2289" t="s">
        <v>576</v>
      </c>
      <c r="R426" s="2877"/>
      <c r="S426" s="2144">
        <v>8713195.1999999993</v>
      </c>
      <c r="T426" s="2144">
        <v>9758778.6199999992</v>
      </c>
      <c r="U426" s="2145"/>
      <c r="V426" s="2145"/>
      <c r="W426" s="2145"/>
      <c r="X426" s="2146">
        <v>45544</v>
      </c>
      <c r="Y426" s="2144" t="s">
        <v>18385</v>
      </c>
      <c r="Z426" s="3070">
        <v>45579</v>
      </c>
      <c r="AA426" s="3047">
        <v>45580</v>
      </c>
      <c r="AB426" s="3070">
        <v>46673</v>
      </c>
      <c r="AC426" s="2976"/>
      <c r="AD426" s="2976"/>
      <c r="AE426" s="118">
        <v>2</v>
      </c>
    </row>
    <row r="427" spans="1:31">
      <c r="A427" s="3042">
        <v>45492</v>
      </c>
      <c r="B427" s="3043" t="s">
        <v>17928</v>
      </c>
      <c r="C427" s="3044" t="s">
        <v>16536</v>
      </c>
      <c r="D427" s="3044" t="s">
        <v>15129</v>
      </c>
      <c r="E427" s="3044" t="s">
        <v>13949</v>
      </c>
      <c r="F427" s="3344" t="s">
        <v>17929</v>
      </c>
      <c r="G427" s="3044"/>
      <c r="H427" s="3043"/>
      <c r="I427" s="3043" t="s">
        <v>15448</v>
      </c>
      <c r="J427" s="3044" t="s">
        <v>688</v>
      </c>
      <c r="K427" s="3044"/>
      <c r="L427" s="2092">
        <v>83497556</v>
      </c>
      <c r="M427" s="3044" t="s">
        <v>251</v>
      </c>
      <c r="N427" s="3042">
        <v>45575</v>
      </c>
      <c r="O427" s="3042">
        <v>45610</v>
      </c>
      <c r="P427" s="3042"/>
      <c r="Q427" s="3043"/>
      <c r="R427" s="3044"/>
      <c r="S427" s="2092"/>
      <c r="T427" s="2092"/>
      <c r="U427" s="2094"/>
      <c r="V427" s="2094"/>
      <c r="W427" s="2094"/>
      <c r="X427" s="2456"/>
      <c r="Y427" s="2092"/>
      <c r="Z427" s="3042"/>
      <c r="AA427" s="3042"/>
      <c r="AB427" s="3042"/>
      <c r="AC427" s="2976"/>
      <c r="AD427" s="2976"/>
    </row>
    <row r="428" spans="1:31">
      <c r="A428" s="3047">
        <v>45492</v>
      </c>
      <c r="B428" s="3018" t="s">
        <v>17930</v>
      </c>
      <c r="C428" s="3048" t="s">
        <v>16536</v>
      </c>
      <c r="D428" s="3048" t="s">
        <v>15131</v>
      </c>
      <c r="E428" s="3048" t="s">
        <v>15813</v>
      </c>
      <c r="F428" s="3049" t="s">
        <v>17931</v>
      </c>
      <c r="G428" s="3048"/>
      <c r="H428" s="3018"/>
      <c r="I428" s="3018" t="s">
        <v>15373</v>
      </c>
      <c r="J428" s="3048" t="s">
        <v>93</v>
      </c>
      <c r="K428" s="3048"/>
      <c r="L428" s="2157">
        <v>9390533</v>
      </c>
      <c r="M428" s="3048" t="s">
        <v>251</v>
      </c>
      <c r="N428" s="3047">
        <v>45496</v>
      </c>
      <c r="O428" s="3047">
        <v>45544</v>
      </c>
      <c r="P428" s="3047">
        <v>45562</v>
      </c>
      <c r="Q428" s="3018" t="s">
        <v>18486</v>
      </c>
      <c r="R428" s="3048"/>
      <c r="S428" s="2157">
        <v>9390531.9000000004</v>
      </c>
      <c r="T428" s="2157">
        <v>10517395.73</v>
      </c>
      <c r="U428" s="2094"/>
      <c r="V428" s="2094"/>
      <c r="W428" s="2094"/>
      <c r="X428" s="2160">
        <v>45562</v>
      </c>
      <c r="Y428" s="2157" t="s">
        <v>18566</v>
      </c>
      <c r="Z428" s="3047"/>
      <c r="AA428" s="3047"/>
      <c r="AB428" s="3047"/>
      <c r="AC428" s="2976"/>
      <c r="AD428" s="2976"/>
      <c r="AE428" s="118">
        <v>1</v>
      </c>
    </row>
    <row r="429" spans="1:31">
      <c r="A429" s="3047">
        <v>45492</v>
      </c>
      <c r="B429" s="3018" t="s">
        <v>17932</v>
      </c>
      <c r="C429" s="3048" t="s">
        <v>16537</v>
      </c>
      <c r="D429" s="3048" t="s">
        <v>13844</v>
      </c>
      <c r="E429" s="3048" t="s">
        <v>13949</v>
      </c>
      <c r="F429" s="3049" t="s">
        <v>17933</v>
      </c>
      <c r="G429" s="3048"/>
      <c r="H429" s="3018"/>
      <c r="I429" s="3018" t="s">
        <v>15373</v>
      </c>
      <c r="J429" s="3048" t="s">
        <v>17936</v>
      </c>
      <c r="K429" s="3048"/>
      <c r="L429" s="2157">
        <v>5553600</v>
      </c>
      <c r="M429" s="3048" t="s">
        <v>235</v>
      </c>
      <c r="N429" s="3047">
        <v>45531</v>
      </c>
      <c r="O429" s="3047">
        <v>45544</v>
      </c>
      <c r="P429" s="3047"/>
      <c r="Q429" s="3018" t="s">
        <v>6242</v>
      </c>
      <c r="R429" s="3048"/>
      <c r="S429" s="2157">
        <v>4272000</v>
      </c>
      <c r="T429" s="2157">
        <v>4784640</v>
      </c>
      <c r="U429" s="2094"/>
      <c r="V429" s="2094"/>
      <c r="W429" s="2094"/>
      <c r="X429" s="2160"/>
      <c r="Y429" s="2157"/>
      <c r="Z429" s="3047"/>
      <c r="AA429" s="3047"/>
      <c r="AB429" s="3047"/>
      <c r="AC429" s="2976"/>
      <c r="AD429" s="2976"/>
      <c r="AE429" s="118">
        <v>1</v>
      </c>
    </row>
    <row r="430" spans="1:31">
      <c r="A430" s="3067">
        <v>45504</v>
      </c>
      <c r="B430" s="3068" t="s">
        <v>17982</v>
      </c>
      <c r="C430" s="3069" t="s">
        <v>16536</v>
      </c>
      <c r="D430" s="3069" t="s">
        <v>15131</v>
      </c>
      <c r="E430" s="3069" t="s">
        <v>15813</v>
      </c>
      <c r="F430" s="769" t="s">
        <v>17983</v>
      </c>
      <c r="G430" s="3069"/>
      <c r="H430" s="3068"/>
      <c r="I430" s="3068" t="s">
        <v>242</v>
      </c>
      <c r="J430" s="3069" t="s">
        <v>4188</v>
      </c>
      <c r="K430" s="3069"/>
      <c r="L430" s="2128">
        <v>4675600</v>
      </c>
      <c r="M430" s="3069" t="s">
        <v>235</v>
      </c>
      <c r="N430" s="3067">
        <v>45511</v>
      </c>
      <c r="O430" s="3067">
        <v>45523</v>
      </c>
      <c r="P430" s="3067"/>
      <c r="Q430" s="2136" t="s">
        <v>18168</v>
      </c>
      <c r="R430" s="2320" t="s">
        <v>18218</v>
      </c>
      <c r="S430" s="2128"/>
      <c r="T430" s="2128"/>
      <c r="U430" s="2129"/>
      <c r="V430" s="2129"/>
      <c r="W430" s="2129"/>
      <c r="X430" s="2281"/>
      <c r="Y430" s="2128"/>
      <c r="Z430" s="3067"/>
      <c r="AA430" s="3067">
        <v>45552</v>
      </c>
      <c r="AB430" s="3195" t="s">
        <v>18432</v>
      </c>
      <c r="AC430" s="2976"/>
      <c r="AD430" s="2976"/>
      <c r="AE430" s="118">
        <v>1</v>
      </c>
    </row>
    <row r="431" spans="1:31">
      <c r="A431" s="3042">
        <v>45492</v>
      </c>
      <c r="B431" s="3043" t="s">
        <v>17934</v>
      </c>
      <c r="C431" s="3044" t="s">
        <v>16536</v>
      </c>
      <c r="D431" s="3044" t="s">
        <v>15129</v>
      </c>
      <c r="E431" s="3044" t="s">
        <v>13949</v>
      </c>
      <c r="F431" s="3344" t="s">
        <v>17935</v>
      </c>
      <c r="G431" s="3044"/>
      <c r="H431" s="3043"/>
      <c r="I431" s="3043" t="s">
        <v>15448</v>
      </c>
      <c r="J431" s="3044" t="s">
        <v>816</v>
      </c>
      <c r="K431" s="3044"/>
      <c r="L431" s="2092">
        <v>12596537</v>
      </c>
      <c r="M431" s="3044" t="s">
        <v>251</v>
      </c>
      <c r="N431" s="3042">
        <v>45560</v>
      </c>
      <c r="O431" s="3042">
        <v>45595</v>
      </c>
      <c r="P431" s="3042"/>
      <c r="Q431" s="3043"/>
      <c r="R431" s="3044"/>
      <c r="S431" s="2092"/>
      <c r="T431" s="2092"/>
      <c r="U431" s="2094"/>
      <c r="V431" s="2094"/>
      <c r="W431" s="2094"/>
      <c r="X431" s="2456"/>
      <c r="Y431" s="2092"/>
      <c r="Z431" s="3042"/>
      <c r="AA431" s="3042"/>
      <c r="AB431" s="3042"/>
      <c r="AC431" s="2976"/>
      <c r="AD431" s="2976"/>
    </row>
    <row r="432" spans="1:31">
      <c r="A432" s="3047">
        <v>45496</v>
      </c>
      <c r="B432" s="3018" t="s">
        <v>17979</v>
      </c>
      <c r="C432" s="3048" t="s">
        <v>2434</v>
      </c>
      <c r="D432" s="3048" t="s">
        <v>3204</v>
      </c>
      <c r="E432" s="3048" t="s">
        <v>13948</v>
      </c>
      <c r="F432" s="2462" t="s">
        <v>17980</v>
      </c>
      <c r="G432" s="3048"/>
      <c r="H432" s="3018"/>
      <c r="I432" s="3018" t="s">
        <v>4837</v>
      </c>
      <c r="J432" s="3048" t="s">
        <v>2800</v>
      </c>
      <c r="K432" s="3048"/>
      <c r="L432" s="2157">
        <v>54014586</v>
      </c>
      <c r="M432" s="3048" t="s">
        <v>251</v>
      </c>
      <c r="N432" s="3047">
        <v>45502</v>
      </c>
      <c r="O432" s="3047">
        <v>45538</v>
      </c>
      <c r="P432" s="3047"/>
      <c r="Q432" s="3018" t="s">
        <v>8465</v>
      </c>
      <c r="R432" s="3048"/>
      <c r="S432" s="2157">
        <v>54002810.240000002</v>
      </c>
      <c r="T432" s="2157">
        <v>60483147.469999999</v>
      </c>
      <c r="U432" s="2094"/>
      <c r="V432" s="2094"/>
      <c r="W432" s="2094"/>
      <c r="X432" s="2160"/>
      <c r="Y432" s="2157"/>
      <c r="Z432" s="3047"/>
      <c r="AA432" s="3047"/>
      <c r="AB432" s="3047"/>
      <c r="AC432" s="2976"/>
      <c r="AD432" s="2976"/>
      <c r="AE432" s="118">
        <v>1</v>
      </c>
    </row>
    <row r="433" spans="1:31">
      <c r="A433" s="3047">
        <v>45492</v>
      </c>
      <c r="B433" s="3018" t="s">
        <v>17937</v>
      </c>
      <c r="C433" s="3048" t="s">
        <v>16536</v>
      </c>
      <c r="D433" s="3048" t="s">
        <v>15131</v>
      </c>
      <c r="E433" s="3048" t="s">
        <v>15813</v>
      </c>
      <c r="F433" s="3049" t="s">
        <v>17938</v>
      </c>
      <c r="G433" s="3048"/>
      <c r="H433" s="3018"/>
      <c r="I433" s="3018" t="s">
        <v>15373</v>
      </c>
      <c r="J433" s="3048" t="s">
        <v>11795</v>
      </c>
      <c r="K433" s="3048"/>
      <c r="L433" s="2157">
        <v>4256236</v>
      </c>
      <c r="M433" s="3048" t="s">
        <v>251</v>
      </c>
      <c r="N433" s="3047">
        <v>45503</v>
      </c>
      <c r="O433" s="3047">
        <v>45538</v>
      </c>
      <c r="P433" s="3047">
        <v>45558</v>
      </c>
      <c r="Q433" s="3018" t="s">
        <v>13761</v>
      </c>
      <c r="R433" s="3048"/>
      <c r="S433" s="2157">
        <v>4247004.87</v>
      </c>
      <c r="T433" s="2157">
        <v>4756645.45</v>
      </c>
      <c r="U433" s="2094"/>
      <c r="V433" s="2094"/>
      <c r="W433" s="2094"/>
      <c r="X433" s="2160">
        <v>45558</v>
      </c>
      <c r="Y433" s="2157" t="s">
        <v>18507</v>
      </c>
      <c r="Z433" s="3047"/>
      <c r="AA433" s="3047"/>
      <c r="AB433" s="3047"/>
      <c r="AC433" s="2976"/>
      <c r="AD433" s="2976"/>
      <c r="AE433" s="118">
        <v>2</v>
      </c>
    </row>
    <row r="434" spans="1:31">
      <c r="A434" s="3070">
        <v>45492</v>
      </c>
      <c r="B434" s="2289" t="s">
        <v>17939</v>
      </c>
      <c r="C434" s="2877" t="s">
        <v>16536</v>
      </c>
      <c r="D434" s="2877" t="s">
        <v>15129</v>
      </c>
      <c r="E434" s="2877" t="s">
        <v>13949</v>
      </c>
      <c r="F434" s="409" t="s">
        <v>18014</v>
      </c>
      <c r="G434" s="2877"/>
      <c r="H434" s="2289"/>
      <c r="I434" s="2289" t="s">
        <v>15369</v>
      </c>
      <c r="J434" s="2877" t="s">
        <v>93</v>
      </c>
      <c r="K434" s="2877"/>
      <c r="L434" s="2144">
        <v>59950650</v>
      </c>
      <c r="M434" s="2877" t="s">
        <v>251</v>
      </c>
      <c r="N434" s="3070">
        <v>45513</v>
      </c>
      <c r="O434" s="3070">
        <v>45548</v>
      </c>
      <c r="P434" s="3070">
        <v>45565</v>
      </c>
      <c r="Q434" s="2289" t="s">
        <v>6805</v>
      </c>
      <c r="R434" s="2877"/>
      <c r="S434" s="2144">
        <v>59357075.700000003</v>
      </c>
      <c r="T434" s="2144">
        <v>66479924.780000001</v>
      </c>
      <c r="U434" s="2145"/>
      <c r="V434" s="2145"/>
      <c r="W434" s="2145"/>
      <c r="X434" s="2146">
        <v>45565</v>
      </c>
      <c r="Y434" s="2144" t="s">
        <v>18588</v>
      </c>
      <c r="Z434" s="3070">
        <v>45569</v>
      </c>
      <c r="AA434" s="3070">
        <v>45572</v>
      </c>
      <c r="AB434" s="3070">
        <v>46663</v>
      </c>
      <c r="AC434" s="2976"/>
      <c r="AD434" s="2976"/>
      <c r="AE434" s="118">
        <v>1</v>
      </c>
    </row>
    <row r="435" spans="1:31" ht="30">
      <c r="A435" s="3047">
        <v>45492</v>
      </c>
      <c r="B435" s="3018" t="s">
        <v>17940</v>
      </c>
      <c r="C435" s="3048" t="s">
        <v>58</v>
      </c>
      <c r="D435" s="3048" t="s">
        <v>15443</v>
      </c>
      <c r="E435" s="3048" t="s">
        <v>13948</v>
      </c>
      <c r="F435" s="3049" t="s">
        <v>17941</v>
      </c>
      <c r="G435" s="3048"/>
      <c r="H435" s="3018"/>
      <c r="I435" s="3018" t="s">
        <v>15373</v>
      </c>
      <c r="J435" s="3048" t="s">
        <v>4267</v>
      </c>
      <c r="K435" s="3048" t="s">
        <v>17942</v>
      </c>
      <c r="L435" s="2157">
        <v>3500000</v>
      </c>
      <c r="M435" s="3048" t="s">
        <v>251</v>
      </c>
      <c r="N435" s="3047">
        <v>45503</v>
      </c>
      <c r="O435" s="3047">
        <v>45539</v>
      </c>
      <c r="P435" s="3047">
        <v>45572</v>
      </c>
      <c r="Q435" s="3018" t="s">
        <v>13190</v>
      </c>
      <c r="R435" s="3048"/>
      <c r="S435" s="2157">
        <v>3458935</v>
      </c>
      <c r="T435" s="2157">
        <v>4185311.35</v>
      </c>
      <c r="U435" s="2094"/>
      <c r="V435" s="2094"/>
      <c r="W435" s="2094"/>
      <c r="X435" s="2160">
        <v>45572</v>
      </c>
      <c r="Y435" s="2326" t="s">
        <v>18672</v>
      </c>
      <c r="Z435" s="3047"/>
      <c r="AA435" s="3047"/>
      <c r="AB435" s="3047"/>
      <c r="AC435" s="2976"/>
      <c r="AD435" s="2976"/>
      <c r="AE435" s="118">
        <v>2</v>
      </c>
    </row>
    <row r="436" spans="1:31">
      <c r="A436" s="3067">
        <v>45492</v>
      </c>
      <c r="B436" s="3068" t="s">
        <v>17923</v>
      </c>
      <c r="C436" s="3069" t="s">
        <v>58</v>
      </c>
      <c r="D436" s="3069" t="s">
        <v>15443</v>
      </c>
      <c r="E436" s="3069" t="s">
        <v>13948</v>
      </c>
      <c r="F436" s="2914" t="s">
        <v>17924</v>
      </c>
      <c r="G436" s="3069"/>
      <c r="H436" s="3068"/>
      <c r="I436" s="3068" t="s">
        <v>242</v>
      </c>
      <c r="J436" s="3069" t="s">
        <v>845</v>
      </c>
      <c r="K436" s="3069" t="s">
        <v>17925</v>
      </c>
      <c r="L436" s="2128">
        <v>1116000</v>
      </c>
      <c r="M436" s="3069" t="s">
        <v>251</v>
      </c>
      <c r="N436" s="3067">
        <v>45523</v>
      </c>
      <c r="O436" s="3067">
        <v>45559</v>
      </c>
      <c r="P436" s="3067"/>
      <c r="Q436" s="2136" t="s">
        <v>18732</v>
      </c>
      <c r="R436" s="3069"/>
      <c r="S436" s="2128"/>
      <c r="T436" s="2128"/>
      <c r="U436" s="2129"/>
      <c r="V436" s="2129"/>
      <c r="W436" s="2129"/>
      <c r="X436" s="2281"/>
      <c r="Y436" s="2128"/>
      <c r="Z436" s="3067"/>
      <c r="AA436" s="3421"/>
      <c r="AB436" s="3195" t="s">
        <v>18731</v>
      </c>
      <c r="AC436" s="2976"/>
      <c r="AD436" s="2976"/>
      <c r="AE436" s="118">
        <v>2</v>
      </c>
    </row>
    <row r="437" spans="1:31" ht="30">
      <c r="A437" s="3047">
        <v>45495</v>
      </c>
      <c r="B437" s="3018" t="s">
        <v>17911</v>
      </c>
      <c r="C437" s="3048" t="s">
        <v>58</v>
      </c>
      <c r="D437" s="3048" t="s">
        <v>15443</v>
      </c>
      <c r="E437" s="3048" t="s">
        <v>13948</v>
      </c>
      <c r="F437" s="3049" t="s">
        <v>17912</v>
      </c>
      <c r="G437" s="3048"/>
      <c r="H437" s="3018"/>
      <c r="I437" s="3018" t="s">
        <v>15373</v>
      </c>
      <c r="J437" s="3048" t="s">
        <v>845</v>
      </c>
      <c r="K437" s="3048" t="s">
        <v>17913</v>
      </c>
      <c r="L437" s="2157">
        <v>1515000</v>
      </c>
      <c r="M437" s="3048" t="s">
        <v>251</v>
      </c>
      <c r="N437" s="3047">
        <v>45524</v>
      </c>
      <c r="O437" s="3047">
        <v>45560</v>
      </c>
      <c r="P437" s="3047">
        <v>45573</v>
      </c>
      <c r="Q437" s="3018" t="s">
        <v>11876</v>
      </c>
      <c r="R437" s="3048"/>
      <c r="S437" s="2157">
        <v>1454700</v>
      </c>
      <c r="T437" s="2157">
        <v>1760187</v>
      </c>
      <c r="U437" s="2094"/>
      <c r="V437" s="2094"/>
      <c r="W437" s="2094"/>
      <c r="X437" s="2160">
        <v>45573</v>
      </c>
      <c r="Y437" s="2326" t="s">
        <v>18677</v>
      </c>
      <c r="Z437" s="3047"/>
      <c r="AA437" s="3047"/>
      <c r="AB437" s="3047"/>
      <c r="AC437" s="2976"/>
      <c r="AD437" s="2976"/>
      <c r="AE437" s="118">
        <v>1</v>
      </c>
    </row>
    <row r="438" spans="1:31">
      <c r="A438" s="3047">
        <v>45495</v>
      </c>
      <c r="B438" s="3018" t="s">
        <v>17914</v>
      </c>
      <c r="C438" s="3048" t="s">
        <v>58</v>
      </c>
      <c r="D438" s="3048" t="s">
        <v>15443</v>
      </c>
      <c r="E438" s="3048" t="s">
        <v>13948</v>
      </c>
      <c r="F438" s="1298" t="s">
        <v>17915</v>
      </c>
      <c r="G438" s="3048"/>
      <c r="H438" s="3018"/>
      <c r="I438" s="3018" t="s">
        <v>4837</v>
      </c>
      <c r="J438" s="3048" t="s">
        <v>845</v>
      </c>
      <c r="K438" s="3048" t="s">
        <v>17916</v>
      </c>
      <c r="L438" s="2157">
        <v>715000</v>
      </c>
      <c r="M438" s="3048" t="s">
        <v>251</v>
      </c>
      <c r="N438" s="3047">
        <v>45525</v>
      </c>
      <c r="O438" s="3047">
        <v>45561</v>
      </c>
      <c r="P438" s="3047"/>
      <c r="Q438" s="3018" t="s">
        <v>11876</v>
      </c>
      <c r="R438" s="3048"/>
      <c r="S438" s="2157">
        <v>685620</v>
      </c>
      <c r="T438" s="2157">
        <v>829600.2</v>
      </c>
      <c r="U438" s="2094"/>
      <c r="V438" s="2094"/>
      <c r="W438" s="2094"/>
      <c r="X438" s="2160"/>
      <c r="Y438" s="2157"/>
      <c r="Z438" s="3047"/>
      <c r="AA438" s="3047"/>
      <c r="AB438" s="3047"/>
      <c r="AC438" s="2976"/>
      <c r="AD438" s="2976"/>
      <c r="AE438" s="118">
        <v>1</v>
      </c>
    </row>
    <row r="439" spans="1:31">
      <c r="A439" s="3047">
        <v>45495</v>
      </c>
      <c r="B439" s="3018" t="s">
        <v>17917</v>
      </c>
      <c r="C439" s="3048" t="s">
        <v>58</v>
      </c>
      <c r="D439" s="3048" t="s">
        <v>15443</v>
      </c>
      <c r="E439" s="3048" t="s">
        <v>13948</v>
      </c>
      <c r="F439" s="3049" t="s">
        <v>17918</v>
      </c>
      <c r="G439" s="3048"/>
      <c r="H439" s="3018"/>
      <c r="I439" s="3018" t="s">
        <v>4837</v>
      </c>
      <c r="J439" s="3048" t="s">
        <v>845</v>
      </c>
      <c r="K439" s="3048" t="s">
        <v>17919</v>
      </c>
      <c r="L439" s="2157">
        <v>1030000</v>
      </c>
      <c r="M439" s="3048" t="s">
        <v>251</v>
      </c>
      <c r="N439" s="3047">
        <v>45531</v>
      </c>
      <c r="O439" s="3047">
        <v>45567</v>
      </c>
      <c r="P439" s="3047"/>
      <c r="Q439" s="3018" t="s">
        <v>11876</v>
      </c>
      <c r="R439" s="3048"/>
      <c r="S439" s="2157">
        <v>1029700</v>
      </c>
      <c r="T439" s="2157">
        <v>1245937</v>
      </c>
      <c r="U439" s="2415"/>
      <c r="V439" s="2415"/>
      <c r="W439" s="2415"/>
      <c r="X439" s="2160"/>
      <c r="Y439" s="2326"/>
      <c r="Z439" s="3047"/>
      <c r="AA439" s="3047"/>
      <c r="AB439" s="3047"/>
      <c r="AC439" s="2976"/>
      <c r="AD439" s="2976"/>
      <c r="AE439" s="118">
        <v>1</v>
      </c>
    </row>
    <row r="440" spans="1:31">
      <c r="A440" s="3067">
        <v>45506</v>
      </c>
      <c r="B440" s="3068" t="s">
        <v>18068</v>
      </c>
      <c r="C440" s="3069" t="s">
        <v>52</v>
      </c>
      <c r="D440" s="3069" t="s">
        <v>18069</v>
      </c>
      <c r="E440" s="3069" t="s">
        <v>13950</v>
      </c>
      <c r="F440" s="2914" t="s">
        <v>18070</v>
      </c>
      <c r="G440" s="3069"/>
      <c r="H440" s="3068"/>
      <c r="I440" s="3068" t="s">
        <v>242</v>
      </c>
      <c r="J440" s="3069" t="s">
        <v>33</v>
      </c>
      <c r="K440" s="3069" t="s">
        <v>18071</v>
      </c>
      <c r="L440" s="2128">
        <v>75000000</v>
      </c>
      <c r="M440" s="3069" t="s">
        <v>216</v>
      </c>
      <c r="N440" s="3067">
        <v>45513</v>
      </c>
      <c r="O440" s="3067">
        <v>45534</v>
      </c>
      <c r="P440" s="3067"/>
      <c r="Q440" s="2136" t="s">
        <v>18132</v>
      </c>
      <c r="R440" s="2320" t="s">
        <v>18133</v>
      </c>
      <c r="S440" s="2128"/>
      <c r="T440" s="2128"/>
      <c r="U440" s="2129"/>
      <c r="V440" s="2129"/>
      <c r="W440" s="2129"/>
      <c r="X440" s="2281"/>
      <c r="Y440" s="2738"/>
      <c r="Z440" s="3067"/>
      <c r="AA440" s="3067">
        <v>45538</v>
      </c>
      <c r="AB440" s="3067" t="s">
        <v>18135</v>
      </c>
      <c r="AC440" s="2976"/>
      <c r="AD440" s="2976"/>
    </row>
    <row r="441" spans="1:31">
      <c r="A441" s="3047">
        <v>45495</v>
      </c>
      <c r="B441" s="3018" t="s">
        <v>17962</v>
      </c>
      <c r="C441" s="3048" t="s">
        <v>16536</v>
      </c>
      <c r="D441" s="3048" t="s">
        <v>15131</v>
      </c>
      <c r="E441" s="3048" t="s">
        <v>15813</v>
      </c>
      <c r="F441" s="1298" t="s">
        <v>17963</v>
      </c>
      <c r="G441" s="3048"/>
      <c r="H441" s="3018"/>
      <c r="I441" s="3018" t="s">
        <v>15373</v>
      </c>
      <c r="J441" s="3048" t="s">
        <v>3452</v>
      </c>
      <c r="K441" s="3048"/>
      <c r="L441" s="2157">
        <v>1692000</v>
      </c>
      <c r="M441" s="3048" t="s">
        <v>216</v>
      </c>
      <c r="N441" s="3047">
        <v>45503</v>
      </c>
      <c r="O441" s="3047">
        <v>45524</v>
      </c>
      <c r="P441" s="3047">
        <v>45562</v>
      </c>
      <c r="Q441" s="3018" t="s">
        <v>576</v>
      </c>
      <c r="R441" s="3048"/>
      <c r="S441" s="2157">
        <v>358140</v>
      </c>
      <c r="T441" s="2157">
        <v>401116.8</v>
      </c>
      <c r="U441" s="2094"/>
      <c r="V441" s="2094"/>
      <c r="W441" s="2094"/>
      <c r="X441" s="2160">
        <v>45562</v>
      </c>
      <c r="Y441" s="2157" t="s">
        <v>18568</v>
      </c>
      <c r="Z441" s="3047"/>
      <c r="AA441" s="3047"/>
      <c r="AB441" s="3047"/>
      <c r="AC441" s="2976"/>
      <c r="AD441" s="2976"/>
      <c r="AE441" s="118">
        <v>4</v>
      </c>
    </row>
    <row r="442" spans="1:31">
      <c r="A442" s="3047">
        <v>45496</v>
      </c>
      <c r="B442" s="3018" t="s">
        <v>17984</v>
      </c>
      <c r="C442" s="3048" t="s">
        <v>16536</v>
      </c>
      <c r="D442" s="3048" t="s">
        <v>15131</v>
      </c>
      <c r="E442" s="3048" t="s">
        <v>15813</v>
      </c>
      <c r="F442" s="3049" t="s">
        <v>17985</v>
      </c>
      <c r="G442" s="3048"/>
      <c r="H442" s="3018"/>
      <c r="I442" s="3018" t="s">
        <v>15373</v>
      </c>
      <c r="J442" s="3048" t="s">
        <v>5244</v>
      </c>
      <c r="K442" s="3048"/>
      <c r="L442" s="2157">
        <v>4050000</v>
      </c>
      <c r="M442" s="3048" t="s">
        <v>251</v>
      </c>
      <c r="N442" s="3047">
        <v>45503</v>
      </c>
      <c r="O442" s="3047">
        <v>45538</v>
      </c>
      <c r="P442" s="3047">
        <v>45562</v>
      </c>
      <c r="Q442" s="3018" t="s">
        <v>576</v>
      </c>
      <c r="R442" s="3048"/>
      <c r="S442" s="2157">
        <v>3972240</v>
      </c>
      <c r="T442" s="2157">
        <v>4448908.8</v>
      </c>
      <c r="U442" s="2094"/>
      <c r="V442" s="2094"/>
      <c r="W442" s="2094"/>
      <c r="X442" s="2160">
        <v>45562</v>
      </c>
      <c r="Y442" s="2157" t="s">
        <v>18567</v>
      </c>
      <c r="Z442" s="3047"/>
      <c r="AA442" s="3047"/>
      <c r="AB442" s="3047"/>
      <c r="AC442" s="2976"/>
      <c r="AD442" s="2976"/>
      <c r="AE442" s="118">
        <v>2</v>
      </c>
    </row>
    <row r="443" spans="1:31">
      <c r="A443" s="3070">
        <v>45502</v>
      </c>
      <c r="B443" s="2289" t="s">
        <v>18002</v>
      </c>
      <c r="C443" s="2877" t="s">
        <v>17003</v>
      </c>
      <c r="D443" s="2877" t="s">
        <v>2731</v>
      </c>
      <c r="E443" s="2877" t="s">
        <v>13951</v>
      </c>
      <c r="F443" s="2913" t="s">
        <v>18003</v>
      </c>
      <c r="G443" s="2877"/>
      <c r="H443" s="2289"/>
      <c r="I443" s="2289" t="s">
        <v>15369</v>
      </c>
      <c r="J443" s="2877" t="s">
        <v>1695</v>
      </c>
      <c r="K443" s="2877"/>
      <c r="L443" s="2144">
        <v>830000</v>
      </c>
      <c r="M443" s="2877" t="s">
        <v>112</v>
      </c>
      <c r="N443" s="3070">
        <v>45509</v>
      </c>
      <c r="O443" s="3070">
        <v>45520</v>
      </c>
      <c r="P443" s="3070">
        <v>45526</v>
      </c>
      <c r="Q443" s="2289" t="s">
        <v>18182</v>
      </c>
      <c r="R443" s="2877"/>
      <c r="S443" s="2144">
        <v>502216.67</v>
      </c>
      <c r="T443" s="2144">
        <v>607682.17000000004</v>
      </c>
      <c r="U443" s="2145"/>
      <c r="V443" s="2145"/>
      <c r="W443" s="2145"/>
      <c r="X443" s="2146">
        <v>45526</v>
      </c>
      <c r="Y443" s="2144" t="s">
        <v>18206</v>
      </c>
      <c r="Z443" s="3070">
        <v>45532</v>
      </c>
      <c r="AA443" s="3070">
        <v>45533</v>
      </c>
      <c r="AB443" s="3070">
        <v>45896</v>
      </c>
      <c r="AC443" s="2976"/>
      <c r="AD443" s="2976"/>
      <c r="AE443" s="118">
        <v>5</v>
      </c>
    </row>
    <row r="444" spans="1:31" ht="45">
      <c r="A444" s="3047">
        <v>45497</v>
      </c>
      <c r="B444" s="3018" t="s">
        <v>17986</v>
      </c>
      <c r="C444" s="3048" t="s">
        <v>2434</v>
      </c>
      <c r="D444" s="3048" t="s">
        <v>3204</v>
      </c>
      <c r="E444" s="3048" t="s">
        <v>13948</v>
      </c>
      <c r="F444" s="1298" t="s">
        <v>17987</v>
      </c>
      <c r="G444" s="3048"/>
      <c r="H444" s="3018"/>
      <c r="I444" s="3018" t="s">
        <v>15373</v>
      </c>
      <c r="J444" s="3048" t="s">
        <v>1880</v>
      </c>
      <c r="K444" s="3048"/>
      <c r="L444" s="2157">
        <v>4464285.5999999996</v>
      </c>
      <c r="M444" s="3048" t="s">
        <v>251</v>
      </c>
      <c r="N444" s="3047">
        <v>45499</v>
      </c>
      <c r="O444" s="3047">
        <v>45547</v>
      </c>
      <c r="P444" s="3047">
        <v>45565</v>
      </c>
      <c r="Q444" s="3018" t="s">
        <v>1433</v>
      </c>
      <c r="R444" s="2320"/>
      <c r="S444" s="2157">
        <v>4464285.5999999996</v>
      </c>
      <c r="T444" s="2157">
        <v>4999999.87</v>
      </c>
      <c r="U444" s="2415"/>
      <c r="V444" s="2415"/>
      <c r="W444" s="2415"/>
      <c r="X444" s="2160">
        <v>45565</v>
      </c>
      <c r="Y444" s="2326" t="s">
        <v>18601</v>
      </c>
      <c r="Z444" s="3048"/>
      <c r="AA444" s="3047"/>
      <c r="AB444" s="3048"/>
      <c r="AC444" s="2976"/>
      <c r="AD444" s="2976"/>
      <c r="AE444" s="118">
        <v>1</v>
      </c>
    </row>
    <row r="445" spans="1:31">
      <c r="A445" s="3070">
        <v>45498</v>
      </c>
      <c r="B445" s="2289" t="s">
        <v>17997</v>
      </c>
      <c r="C445" s="2877" t="s">
        <v>16688</v>
      </c>
      <c r="D445" s="2877" t="s">
        <v>7475</v>
      </c>
      <c r="E445" s="2877" t="s">
        <v>13951</v>
      </c>
      <c r="F445" s="2913" t="s">
        <v>17998</v>
      </c>
      <c r="G445" s="2877"/>
      <c r="H445" s="2289"/>
      <c r="I445" s="2289" t="s">
        <v>15369</v>
      </c>
      <c r="J445" s="2877" t="s">
        <v>1676</v>
      </c>
      <c r="K445" s="2877"/>
      <c r="L445" s="2144">
        <v>650000</v>
      </c>
      <c r="M445" s="2877" t="s">
        <v>112</v>
      </c>
      <c r="N445" s="3070">
        <v>45502</v>
      </c>
      <c r="O445" s="3070">
        <v>45513</v>
      </c>
      <c r="P445" s="3070">
        <v>45524</v>
      </c>
      <c r="Q445" s="2289" t="s">
        <v>15457</v>
      </c>
      <c r="R445" s="2877"/>
      <c r="S445" s="2144">
        <v>492031.78</v>
      </c>
      <c r="T445" s="2144">
        <v>595358.44999999995</v>
      </c>
      <c r="U445" s="2145"/>
      <c r="V445" s="2145"/>
      <c r="W445" s="2145"/>
      <c r="X445" s="2146">
        <v>45524</v>
      </c>
      <c r="Y445" s="2260" t="s">
        <v>18179</v>
      </c>
      <c r="Z445" s="3070">
        <v>45531</v>
      </c>
      <c r="AA445" s="3070">
        <v>45531</v>
      </c>
      <c r="AB445" s="2564"/>
      <c r="AC445" s="2976"/>
      <c r="AD445" s="2976"/>
      <c r="AE445" s="118">
        <v>5</v>
      </c>
    </row>
    <row r="446" spans="1:31">
      <c r="A446" s="3047">
        <v>45505</v>
      </c>
      <c r="B446" s="3018" t="s">
        <v>18035</v>
      </c>
      <c r="C446" s="3048" t="s">
        <v>16559</v>
      </c>
      <c r="D446" s="3048" t="s">
        <v>9080</v>
      </c>
      <c r="E446" s="3048" t="s">
        <v>13948</v>
      </c>
      <c r="F446" s="3321" t="s">
        <v>15358</v>
      </c>
      <c r="G446" s="3048"/>
      <c r="H446" s="3018"/>
      <c r="I446" s="3018" t="s">
        <v>4837</v>
      </c>
      <c r="J446" s="3048" t="s">
        <v>17752</v>
      </c>
      <c r="K446" s="3048"/>
      <c r="L446" s="2157">
        <v>3307000</v>
      </c>
      <c r="M446" s="3048" t="s">
        <v>251</v>
      </c>
      <c r="N446" s="3047">
        <v>45511</v>
      </c>
      <c r="O446" s="3047">
        <v>45547</v>
      </c>
      <c r="P446" s="3047"/>
      <c r="Q446" s="3018"/>
      <c r="R446" s="3048"/>
      <c r="S446" s="2157"/>
      <c r="T446" s="2157"/>
      <c r="U446" s="2415"/>
      <c r="V446" s="2415"/>
      <c r="W446" s="2415"/>
      <c r="X446" s="2160"/>
      <c r="Y446" s="2326"/>
      <c r="Z446" s="3047"/>
      <c r="AA446" s="3047"/>
      <c r="AB446" s="3331"/>
      <c r="AC446" s="2976"/>
      <c r="AD446" s="2976"/>
      <c r="AE446" s="118">
        <v>4</v>
      </c>
    </row>
    <row r="447" spans="1:31">
      <c r="A447" s="3067">
        <v>45502</v>
      </c>
      <c r="B447" s="3068" t="s">
        <v>18008</v>
      </c>
      <c r="C447" s="3069" t="s">
        <v>58</v>
      </c>
      <c r="D447" s="3069" t="s">
        <v>15443</v>
      </c>
      <c r="E447" s="3069" t="s">
        <v>13951</v>
      </c>
      <c r="F447" s="769" t="s">
        <v>18009</v>
      </c>
      <c r="G447" s="3069"/>
      <c r="H447" s="3068"/>
      <c r="I447" s="3068" t="s">
        <v>242</v>
      </c>
      <c r="J447" s="3069" t="s">
        <v>18011</v>
      </c>
      <c r="K447" s="3069" t="s">
        <v>18010</v>
      </c>
      <c r="L447" s="2128">
        <v>289900</v>
      </c>
      <c r="M447" s="3069" t="s">
        <v>112</v>
      </c>
      <c r="N447" s="3067">
        <v>45505</v>
      </c>
      <c r="O447" s="3067">
        <v>45523</v>
      </c>
      <c r="P447" s="3067"/>
      <c r="Q447" s="2136" t="s">
        <v>18300</v>
      </c>
      <c r="R447" s="2275" t="s">
        <v>18299</v>
      </c>
      <c r="S447" s="2128"/>
      <c r="T447" s="2128"/>
      <c r="U447" s="2094"/>
      <c r="V447" s="2094"/>
      <c r="W447" s="2094"/>
      <c r="X447" s="2281"/>
      <c r="Y447" s="2738"/>
      <c r="Z447" s="3067"/>
      <c r="AA447" s="3067">
        <v>45526</v>
      </c>
      <c r="AB447" s="3067"/>
      <c r="AC447" s="2976"/>
      <c r="AD447" s="2976"/>
      <c r="AE447" s="118">
        <v>1</v>
      </c>
    </row>
    <row r="448" spans="1:31">
      <c r="A448" s="3067">
        <v>45505</v>
      </c>
      <c r="B448" s="3068" t="s">
        <v>18033</v>
      </c>
      <c r="C448" s="3069" t="s">
        <v>16536</v>
      </c>
      <c r="D448" s="3069" t="s">
        <v>15129</v>
      </c>
      <c r="E448" s="3069" t="s">
        <v>13949</v>
      </c>
      <c r="F448" s="3420" t="s">
        <v>18034</v>
      </c>
      <c r="G448" s="3069"/>
      <c r="H448" s="3068"/>
      <c r="I448" s="3068" t="s">
        <v>242</v>
      </c>
      <c r="J448" s="3069" t="s">
        <v>3438</v>
      </c>
      <c r="K448" s="3069"/>
      <c r="L448" s="2128">
        <v>479867310</v>
      </c>
      <c r="M448" s="3069" t="s">
        <v>251</v>
      </c>
      <c r="N448" s="3067">
        <v>45510</v>
      </c>
      <c r="O448" s="3067">
        <v>45579</v>
      </c>
      <c r="P448" s="3067"/>
      <c r="Q448" s="2136" t="s">
        <v>304</v>
      </c>
      <c r="R448" s="3069"/>
      <c r="S448" s="2128"/>
      <c r="T448" s="2128"/>
      <c r="U448" s="2094"/>
      <c r="V448" s="2094"/>
      <c r="W448" s="2094"/>
      <c r="X448" s="2281"/>
      <c r="Y448" s="2128"/>
      <c r="Z448" s="3067"/>
      <c r="AA448" s="3421"/>
      <c r="AB448" s="3195" t="s">
        <v>18705</v>
      </c>
      <c r="AC448" s="2976"/>
      <c r="AD448" s="2976"/>
    </row>
    <row r="449" spans="1:31">
      <c r="A449" s="3047">
        <v>45507</v>
      </c>
      <c r="B449" s="3018" t="s">
        <v>18073</v>
      </c>
      <c r="C449" s="3048" t="s">
        <v>16559</v>
      </c>
      <c r="D449" s="3048" t="s">
        <v>9080</v>
      </c>
      <c r="E449" s="3048" t="s">
        <v>15813</v>
      </c>
      <c r="F449" s="3321" t="s">
        <v>18074</v>
      </c>
      <c r="G449" s="3048"/>
      <c r="H449" s="3018"/>
      <c r="I449" s="3018" t="s">
        <v>15373</v>
      </c>
      <c r="J449" s="3048" t="s">
        <v>642</v>
      </c>
      <c r="K449" s="3048"/>
      <c r="L449" s="2157">
        <v>2524796</v>
      </c>
      <c r="M449" s="3048" t="s">
        <v>216</v>
      </c>
      <c r="N449" s="3047">
        <v>45523</v>
      </c>
      <c r="O449" s="3047">
        <v>45544</v>
      </c>
      <c r="P449" s="3047">
        <v>45566</v>
      </c>
      <c r="Q449" s="3018" t="s">
        <v>18530</v>
      </c>
      <c r="R449" s="3048"/>
      <c r="S449" s="2157">
        <v>2524796</v>
      </c>
      <c r="T449" s="2157">
        <v>2827771.52</v>
      </c>
      <c r="U449" s="2094"/>
      <c r="V449" s="2094"/>
      <c r="W449" s="2094"/>
      <c r="X449" s="2160">
        <v>45566</v>
      </c>
      <c r="Y449" s="2157" t="s">
        <v>18626</v>
      </c>
      <c r="Z449" s="3047"/>
      <c r="AA449" s="3047"/>
      <c r="AB449" s="3047"/>
      <c r="AC449" s="2976"/>
      <c r="AD449" s="2976"/>
      <c r="AE449" s="118">
        <v>1</v>
      </c>
    </row>
    <row r="450" spans="1:31">
      <c r="A450" s="3047">
        <v>45505</v>
      </c>
      <c r="B450" s="3018" t="s">
        <v>18042</v>
      </c>
      <c r="C450" s="3048" t="s">
        <v>58</v>
      </c>
      <c r="D450" s="3048" t="s">
        <v>15443</v>
      </c>
      <c r="E450" s="3048" t="s">
        <v>13948</v>
      </c>
      <c r="F450" s="3049" t="s">
        <v>18043</v>
      </c>
      <c r="G450" s="3048"/>
      <c r="H450" s="3018"/>
      <c r="I450" s="3018" t="s">
        <v>4837</v>
      </c>
      <c r="J450" s="3048" t="s">
        <v>845</v>
      </c>
      <c r="K450" s="3048" t="s">
        <v>18044</v>
      </c>
      <c r="L450" s="2157">
        <v>886334</v>
      </c>
      <c r="M450" s="3048" t="s">
        <v>251</v>
      </c>
      <c r="N450" s="3047">
        <v>45531</v>
      </c>
      <c r="O450" s="3047">
        <v>45566</v>
      </c>
      <c r="P450" s="3047"/>
      <c r="Q450" s="3018" t="s">
        <v>11876</v>
      </c>
      <c r="R450" s="3048"/>
      <c r="S450" s="2157">
        <v>886030</v>
      </c>
      <c r="T450" s="2157">
        <v>1072096.3</v>
      </c>
      <c r="U450" s="2094"/>
      <c r="V450" s="2094"/>
      <c r="W450" s="2094"/>
      <c r="X450" s="2160"/>
      <c r="Y450" s="2157"/>
      <c r="Z450" s="3047"/>
      <c r="AA450" s="3047"/>
      <c r="AB450" s="3047"/>
      <c r="AC450" s="2976"/>
      <c r="AD450" s="2976"/>
      <c r="AE450" s="118">
        <v>1</v>
      </c>
    </row>
    <row r="451" spans="1:31" ht="15.75" thickBot="1">
      <c r="A451" s="3081">
        <v>45505</v>
      </c>
      <c r="B451" s="3082" t="s">
        <v>18045</v>
      </c>
      <c r="C451" s="3083" t="s">
        <v>58</v>
      </c>
      <c r="D451" s="3083" t="s">
        <v>15443</v>
      </c>
      <c r="E451" s="3083" t="s">
        <v>655</v>
      </c>
      <c r="F451" s="3084" t="s">
        <v>9772</v>
      </c>
      <c r="G451" s="3083"/>
      <c r="H451" s="3082"/>
      <c r="I451" s="3082" t="s">
        <v>242</v>
      </c>
      <c r="J451" s="3083" t="s">
        <v>275</v>
      </c>
      <c r="K451" s="3083" t="s">
        <v>18046</v>
      </c>
      <c r="L451" s="645">
        <v>558500</v>
      </c>
      <c r="M451" s="3083" t="s">
        <v>112</v>
      </c>
      <c r="N451" s="3081">
        <v>45511</v>
      </c>
      <c r="O451" s="3081">
        <v>45523</v>
      </c>
      <c r="P451" s="3083"/>
      <c r="Q451" s="644" t="s">
        <v>18298</v>
      </c>
      <c r="R451" s="2458" t="s">
        <v>18585</v>
      </c>
      <c r="S451" s="645"/>
      <c r="T451" s="645"/>
      <c r="U451" s="1534"/>
      <c r="V451" s="1534"/>
      <c r="W451" s="1534"/>
      <c r="X451" s="645"/>
      <c r="Y451" s="645"/>
      <c r="Z451" s="3083"/>
      <c r="AA451" s="3081">
        <v>45526</v>
      </c>
      <c r="AB451" s="3083"/>
      <c r="AC451" s="2976"/>
      <c r="AD451" s="2976"/>
      <c r="AE451" s="118">
        <v>1</v>
      </c>
    </row>
    <row r="452" spans="1:31" ht="30.75" thickTop="1">
      <c r="A452" s="3071">
        <v>45505</v>
      </c>
      <c r="B452" s="2036" t="s">
        <v>18047</v>
      </c>
      <c r="C452" s="3072" t="s">
        <v>58</v>
      </c>
      <c r="D452" s="3072" t="s">
        <v>15443</v>
      </c>
      <c r="E452" s="3072" t="s">
        <v>13948</v>
      </c>
      <c r="F452" s="3073" t="s">
        <v>15643</v>
      </c>
      <c r="G452" s="3072">
        <v>1</v>
      </c>
      <c r="H452" s="2036" t="s">
        <v>18053</v>
      </c>
      <c r="I452" s="2036" t="s">
        <v>15373</v>
      </c>
      <c r="J452" s="3072" t="s">
        <v>16806</v>
      </c>
      <c r="K452" s="3072" t="s">
        <v>18050</v>
      </c>
      <c r="L452" s="429">
        <v>2960000</v>
      </c>
      <c r="M452" s="3072" t="s">
        <v>251</v>
      </c>
      <c r="N452" s="3071">
        <v>45516</v>
      </c>
      <c r="O452" s="3071">
        <v>45551</v>
      </c>
      <c r="P452" s="3071">
        <v>45580</v>
      </c>
      <c r="Q452" s="2036" t="s">
        <v>5914</v>
      </c>
      <c r="R452" s="3072"/>
      <c r="S452" s="429">
        <v>2924913.44</v>
      </c>
      <c r="T452" s="429">
        <v>3539145.26</v>
      </c>
      <c r="U452" s="1483"/>
      <c r="V452" s="1483"/>
      <c r="W452" s="1483"/>
      <c r="X452" s="1384">
        <v>45580</v>
      </c>
      <c r="Y452" s="2031" t="s">
        <v>18730</v>
      </c>
      <c r="Z452" s="3071"/>
      <c r="AA452" s="3071"/>
      <c r="AB452" s="3071"/>
      <c r="AC452" s="2976"/>
      <c r="AD452" s="2976"/>
      <c r="AE452" s="118">
        <v>1</v>
      </c>
    </row>
    <row r="453" spans="1:31" ht="30">
      <c r="A453" s="3047">
        <v>45505</v>
      </c>
      <c r="B453" s="3018" t="s">
        <v>18048</v>
      </c>
      <c r="C453" s="3048" t="s">
        <v>58</v>
      </c>
      <c r="D453" s="3048" t="s">
        <v>15443</v>
      </c>
      <c r="E453" s="3048" t="s">
        <v>13948</v>
      </c>
      <c r="F453" s="3049" t="s">
        <v>15643</v>
      </c>
      <c r="G453" s="3048">
        <v>2</v>
      </c>
      <c r="H453" s="3018" t="s">
        <v>18531</v>
      </c>
      <c r="I453" s="3018" t="s">
        <v>15373</v>
      </c>
      <c r="J453" s="3048" t="s">
        <v>16806</v>
      </c>
      <c r="K453" s="3048" t="s">
        <v>18051</v>
      </c>
      <c r="L453" s="2157">
        <v>2060000</v>
      </c>
      <c r="M453" s="3048" t="s">
        <v>251</v>
      </c>
      <c r="N453" s="3047">
        <v>45516</v>
      </c>
      <c r="O453" s="3047">
        <v>45551</v>
      </c>
      <c r="P453" s="3047">
        <v>45580</v>
      </c>
      <c r="Q453" s="3018" t="s">
        <v>5913</v>
      </c>
      <c r="R453" s="3048"/>
      <c r="S453" s="2157">
        <v>1956800</v>
      </c>
      <c r="T453" s="2157">
        <v>2367728</v>
      </c>
      <c r="U453" s="2094"/>
      <c r="V453" s="2094"/>
      <c r="W453" s="2094"/>
      <c r="X453" s="2160">
        <v>45580</v>
      </c>
      <c r="Y453" s="2326" t="s">
        <v>18733</v>
      </c>
      <c r="Z453" s="3047"/>
      <c r="AA453" s="3047"/>
      <c r="AB453" s="3047"/>
      <c r="AC453" s="2976"/>
      <c r="AD453" s="2976"/>
      <c r="AE453" s="118">
        <v>1</v>
      </c>
    </row>
    <row r="454" spans="1:31" ht="30.75" thickBot="1">
      <c r="A454" s="3050">
        <v>45505</v>
      </c>
      <c r="B454" s="3051" t="s">
        <v>18049</v>
      </c>
      <c r="C454" s="3052" t="s">
        <v>58</v>
      </c>
      <c r="D454" s="3052" t="s">
        <v>15443</v>
      </c>
      <c r="E454" s="3052" t="s">
        <v>13948</v>
      </c>
      <c r="F454" s="3053" t="s">
        <v>15643</v>
      </c>
      <c r="G454" s="3052">
        <v>3</v>
      </c>
      <c r="H454" s="3051" t="s">
        <v>18532</v>
      </c>
      <c r="I454" s="3051" t="s">
        <v>15373</v>
      </c>
      <c r="J454" s="3052" t="s">
        <v>16806</v>
      </c>
      <c r="K454" s="3052" t="s">
        <v>18052</v>
      </c>
      <c r="L454" s="2299">
        <v>529388</v>
      </c>
      <c r="M454" s="3052" t="s">
        <v>251</v>
      </c>
      <c r="N454" s="3050">
        <v>45516</v>
      </c>
      <c r="O454" s="3050">
        <v>45551</v>
      </c>
      <c r="P454" s="3050">
        <v>45580</v>
      </c>
      <c r="Q454" s="3051" t="s">
        <v>5913</v>
      </c>
      <c r="R454" s="3052"/>
      <c r="S454" s="2299">
        <v>506800</v>
      </c>
      <c r="T454" s="2299">
        <v>613228</v>
      </c>
      <c r="U454" s="2095"/>
      <c r="V454" s="2095"/>
      <c r="W454" s="2095"/>
      <c r="X454" s="2315">
        <v>45580</v>
      </c>
      <c r="Y454" s="2341" t="s">
        <v>18734</v>
      </c>
      <c r="Z454" s="3050"/>
      <c r="AA454" s="3050"/>
      <c r="AB454" s="3050"/>
      <c r="AC454" s="2976"/>
      <c r="AD454" s="2976"/>
      <c r="AE454" s="118">
        <v>1</v>
      </c>
    </row>
    <row r="455" spans="1:31" ht="15.75" thickTop="1">
      <c r="A455" s="3038">
        <v>45533</v>
      </c>
      <c r="B455" s="3039" t="s">
        <v>18301</v>
      </c>
      <c r="C455" s="3040" t="s">
        <v>2434</v>
      </c>
      <c r="D455" s="3040" t="s">
        <v>219</v>
      </c>
      <c r="E455" s="3040" t="s">
        <v>15813</v>
      </c>
      <c r="F455" s="3041" t="s">
        <v>18054</v>
      </c>
      <c r="G455" s="3040">
        <v>1</v>
      </c>
      <c r="H455" s="3039" t="s">
        <v>18303</v>
      </c>
      <c r="I455" s="3039" t="s">
        <v>15448</v>
      </c>
      <c r="J455" s="3040" t="s">
        <v>18055</v>
      </c>
      <c r="K455" s="3040"/>
      <c r="L455" s="588">
        <v>203520</v>
      </c>
      <c r="M455" s="3040" t="s">
        <v>251</v>
      </c>
      <c r="N455" s="3038">
        <v>45538</v>
      </c>
      <c r="O455" s="3038">
        <v>45596</v>
      </c>
      <c r="P455" s="3040"/>
      <c r="Q455" s="3278"/>
      <c r="R455" s="3040"/>
      <c r="S455" s="588"/>
      <c r="T455" s="588"/>
      <c r="U455" s="1483"/>
      <c r="V455" s="1483"/>
      <c r="W455" s="1483"/>
      <c r="X455" s="588"/>
      <c r="Y455" s="588"/>
      <c r="Z455" s="3040"/>
      <c r="AA455" s="3038"/>
      <c r="AB455" s="3040"/>
      <c r="AC455" s="2976"/>
      <c r="AD455" s="2976"/>
    </row>
    <row r="456" spans="1:31" ht="15.75" thickBot="1">
      <c r="A456" s="3307">
        <v>45533</v>
      </c>
      <c r="B456" s="3237" t="s">
        <v>18302</v>
      </c>
      <c r="C456" s="3308" t="s">
        <v>2434</v>
      </c>
      <c r="D456" s="3308" t="s">
        <v>219</v>
      </c>
      <c r="E456" s="3308" t="s">
        <v>15813</v>
      </c>
      <c r="F456" s="3309" t="s">
        <v>18054</v>
      </c>
      <c r="G456" s="3308">
        <v>2</v>
      </c>
      <c r="H456" s="3237" t="s">
        <v>18304</v>
      </c>
      <c r="I456" s="3237" t="s">
        <v>15448</v>
      </c>
      <c r="J456" s="3308" t="s">
        <v>18055</v>
      </c>
      <c r="K456" s="3308"/>
      <c r="L456" s="3310">
        <v>4336400</v>
      </c>
      <c r="M456" s="3308" t="s">
        <v>251</v>
      </c>
      <c r="N456" s="3307">
        <v>45538</v>
      </c>
      <c r="O456" s="3307">
        <v>45596</v>
      </c>
      <c r="P456" s="3308"/>
      <c r="Q456" s="3311"/>
      <c r="R456" s="3308"/>
      <c r="S456" s="3310"/>
      <c r="T456" s="3310"/>
      <c r="U456" s="2417"/>
      <c r="V456" s="2417"/>
      <c r="W456" s="2417"/>
      <c r="X456" s="3310"/>
      <c r="Y456" s="3310"/>
      <c r="Z456" s="3308"/>
      <c r="AA456" s="3307"/>
      <c r="AB456" s="3308"/>
      <c r="AC456" s="2976"/>
      <c r="AD456" s="2976"/>
    </row>
    <row r="457" spans="1:31" ht="16.5" thickTop="1" thickBot="1">
      <c r="A457" s="3336">
        <v>45505</v>
      </c>
      <c r="B457" s="3337" t="s">
        <v>18056</v>
      </c>
      <c r="C457" s="3338" t="s">
        <v>58</v>
      </c>
      <c r="D457" s="3338" t="s">
        <v>15443</v>
      </c>
      <c r="E457" s="3338" t="s">
        <v>13948</v>
      </c>
      <c r="F457" s="3339" t="s">
        <v>18057</v>
      </c>
      <c r="G457" s="3338"/>
      <c r="H457" s="3337"/>
      <c r="I457" s="3337" t="s">
        <v>4837</v>
      </c>
      <c r="J457" s="3338" t="s">
        <v>1159</v>
      </c>
      <c r="K457" s="3338" t="s">
        <v>18058</v>
      </c>
      <c r="L457" s="1880">
        <v>4880880</v>
      </c>
      <c r="M457" s="3338" t="s">
        <v>251</v>
      </c>
      <c r="N457" s="3336">
        <v>45530</v>
      </c>
      <c r="O457" s="3336">
        <v>45565</v>
      </c>
      <c r="P457" s="3336"/>
      <c r="Q457" s="3337"/>
      <c r="R457" s="3338"/>
      <c r="S457" s="1880"/>
      <c r="T457" s="1880"/>
      <c r="U457" s="1537"/>
      <c r="V457" s="1537"/>
      <c r="W457" s="1537"/>
      <c r="X457" s="2343"/>
      <c r="Y457" s="1880"/>
      <c r="Z457" s="3336"/>
      <c r="AA457" s="3385"/>
      <c r="AB457" s="3336"/>
      <c r="AC457" s="2976"/>
      <c r="AD457" s="2976"/>
      <c r="AE457" s="118">
        <v>1</v>
      </c>
    </row>
    <row r="458" spans="1:31" ht="15.75" thickTop="1">
      <c r="A458" s="3038">
        <v>45512</v>
      </c>
      <c r="B458" s="3039" t="s">
        <v>18210</v>
      </c>
      <c r="C458" s="3040" t="s">
        <v>16536</v>
      </c>
      <c r="D458" s="3040" t="s">
        <v>15131</v>
      </c>
      <c r="E458" s="3040" t="s">
        <v>13949</v>
      </c>
      <c r="F458" s="3041" t="s">
        <v>18209</v>
      </c>
      <c r="G458" s="3040">
        <v>1</v>
      </c>
      <c r="H458" s="3039" t="s">
        <v>18213</v>
      </c>
      <c r="I458" s="3039" t="s">
        <v>15448</v>
      </c>
      <c r="J458" s="3040" t="s">
        <v>14498</v>
      </c>
      <c r="K458" s="3040"/>
      <c r="L458" s="588">
        <v>136164</v>
      </c>
      <c r="M458" s="3040" t="s">
        <v>251</v>
      </c>
      <c r="N458" s="3038">
        <v>45539</v>
      </c>
      <c r="O458" s="3038">
        <v>45597</v>
      </c>
      <c r="P458" s="3038"/>
      <c r="Q458" s="3039"/>
      <c r="R458" s="3040"/>
      <c r="S458" s="588"/>
      <c r="T458" s="588"/>
      <c r="U458" s="1483"/>
      <c r="V458" s="1483"/>
      <c r="W458" s="1483"/>
      <c r="X458" s="3001"/>
      <c r="Y458" s="588"/>
      <c r="Z458" s="3038"/>
      <c r="AA458" s="3298"/>
      <c r="AB458" s="3038"/>
      <c r="AC458" s="2976"/>
      <c r="AD458" s="2976"/>
    </row>
    <row r="459" spans="1:31">
      <c r="A459" s="3042">
        <v>45512</v>
      </c>
      <c r="B459" s="3043" t="s">
        <v>18211</v>
      </c>
      <c r="C459" s="3044" t="s">
        <v>16536</v>
      </c>
      <c r="D459" s="3044" t="s">
        <v>15131</v>
      </c>
      <c r="E459" s="3044" t="s">
        <v>13949</v>
      </c>
      <c r="F459" s="3021" t="s">
        <v>18209</v>
      </c>
      <c r="G459" s="3044">
        <v>2</v>
      </c>
      <c r="H459" s="3043" t="s">
        <v>17484</v>
      </c>
      <c r="I459" s="3043" t="s">
        <v>15448</v>
      </c>
      <c r="J459" s="3044" t="s">
        <v>14498</v>
      </c>
      <c r="K459" s="3044"/>
      <c r="L459" s="2092">
        <v>26400</v>
      </c>
      <c r="M459" s="3044" t="s">
        <v>251</v>
      </c>
      <c r="N459" s="3042">
        <v>45539</v>
      </c>
      <c r="O459" s="3042">
        <v>45597</v>
      </c>
      <c r="P459" s="3042"/>
      <c r="Q459" s="3043"/>
      <c r="R459" s="3044"/>
      <c r="S459" s="2092"/>
      <c r="T459" s="2092"/>
      <c r="U459" s="2094"/>
      <c r="V459" s="2094"/>
      <c r="W459" s="2094"/>
      <c r="X459" s="2456"/>
      <c r="Y459" s="2092"/>
      <c r="Z459" s="3042"/>
      <c r="AA459" s="2769"/>
      <c r="AB459" s="3042"/>
      <c r="AC459" s="2976"/>
      <c r="AD459" s="2976"/>
    </row>
    <row r="460" spans="1:31" ht="15.75" thickBot="1">
      <c r="A460" s="3060">
        <v>45512</v>
      </c>
      <c r="B460" s="3003" t="s">
        <v>18212</v>
      </c>
      <c r="C460" s="3002" t="s">
        <v>16536</v>
      </c>
      <c r="D460" s="3002" t="s">
        <v>15131</v>
      </c>
      <c r="E460" s="3002" t="s">
        <v>13949</v>
      </c>
      <c r="F460" s="3079" t="s">
        <v>18209</v>
      </c>
      <c r="G460" s="3002">
        <v>3</v>
      </c>
      <c r="H460" s="3003" t="s">
        <v>18214</v>
      </c>
      <c r="I460" s="3003" t="s">
        <v>15448</v>
      </c>
      <c r="J460" s="3002" t="s">
        <v>14498</v>
      </c>
      <c r="K460" s="3002"/>
      <c r="L460" s="2093">
        <v>9100</v>
      </c>
      <c r="M460" s="3002" t="s">
        <v>251</v>
      </c>
      <c r="N460" s="3060">
        <v>45539</v>
      </c>
      <c r="O460" s="3060">
        <v>45597</v>
      </c>
      <c r="P460" s="3060"/>
      <c r="Q460" s="3003"/>
      <c r="R460" s="3002"/>
      <c r="S460" s="2093"/>
      <c r="T460" s="2093"/>
      <c r="U460" s="2095"/>
      <c r="V460" s="2095"/>
      <c r="W460" s="2095"/>
      <c r="X460" s="3014"/>
      <c r="Y460" s="2093"/>
      <c r="Z460" s="3060"/>
      <c r="AA460" s="3299"/>
      <c r="AB460" s="3060"/>
      <c r="AC460" s="2976"/>
      <c r="AD460" s="2976"/>
    </row>
    <row r="461" spans="1:31" ht="15.75" thickTop="1">
      <c r="A461" s="3038">
        <v>45506</v>
      </c>
      <c r="B461" s="3039" t="s">
        <v>18062</v>
      </c>
      <c r="C461" s="3040" t="s">
        <v>2434</v>
      </c>
      <c r="D461" s="3040" t="s">
        <v>3204</v>
      </c>
      <c r="E461" s="3040" t="s">
        <v>15813</v>
      </c>
      <c r="F461" s="3041" t="s">
        <v>18066</v>
      </c>
      <c r="G461" s="3040">
        <v>1</v>
      </c>
      <c r="H461" s="3039" t="s">
        <v>18067</v>
      </c>
      <c r="I461" s="3039" t="s">
        <v>15448</v>
      </c>
      <c r="J461" s="3040" t="s">
        <v>642</v>
      </c>
      <c r="K461" s="3040"/>
      <c r="L461" s="588">
        <v>2550636.5</v>
      </c>
      <c r="M461" s="3040" t="s">
        <v>251</v>
      </c>
      <c r="N461" s="3038">
        <v>45533</v>
      </c>
      <c r="O461" s="3038">
        <v>45594</v>
      </c>
      <c r="P461" s="3038"/>
      <c r="Q461" s="3039"/>
      <c r="R461" s="3040"/>
      <c r="S461" s="588"/>
      <c r="T461" s="588"/>
      <c r="U461" s="1483"/>
      <c r="V461" s="1483"/>
      <c r="W461" s="1483"/>
      <c r="X461" s="3001"/>
      <c r="Y461" s="588"/>
      <c r="Z461" s="3038"/>
      <c r="AA461" s="3298"/>
      <c r="AB461" s="3038"/>
      <c r="AC461" s="2976"/>
      <c r="AD461" s="2976"/>
    </row>
    <row r="462" spans="1:31">
      <c r="A462" s="3042">
        <v>45506</v>
      </c>
      <c r="B462" s="3043" t="s">
        <v>18064</v>
      </c>
      <c r="C462" s="3044" t="s">
        <v>2434</v>
      </c>
      <c r="D462" s="3044" t="s">
        <v>3204</v>
      </c>
      <c r="E462" s="3044" t="s">
        <v>15813</v>
      </c>
      <c r="F462" s="3021" t="s">
        <v>18066</v>
      </c>
      <c r="G462" s="3044">
        <v>2</v>
      </c>
      <c r="H462" s="3043" t="s">
        <v>4083</v>
      </c>
      <c r="I462" s="3043" t="s">
        <v>15448</v>
      </c>
      <c r="J462" s="3044" t="s">
        <v>642</v>
      </c>
      <c r="K462" s="3044"/>
      <c r="L462" s="2092">
        <v>3546792.4</v>
      </c>
      <c r="M462" s="3044" t="s">
        <v>251</v>
      </c>
      <c r="N462" s="3042">
        <v>45533</v>
      </c>
      <c r="O462" s="3042">
        <v>45594</v>
      </c>
      <c r="P462" s="3042"/>
      <c r="Q462" s="3043"/>
      <c r="R462" s="3044"/>
      <c r="S462" s="2092"/>
      <c r="T462" s="2092"/>
      <c r="U462" s="2094"/>
      <c r="V462" s="2094"/>
      <c r="W462" s="2094"/>
      <c r="X462" s="2456"/>
      <c r="Y462" s="2092"/>
      <c r="Z462" s="3042"/>
      <c r="AA462" s="2769"/>
      <c r="AB462" s="3042"/>
      <c r="AC462" s="2976"/>
      <c r="AD462" s="2976"/>
    </row>
    <row r="463" spans="1:31">
      <c r="A463" s="3042">
        <v>45506</v>
      </c>
      <c r="B463" s="3043" t="s">
        <v>18063</v>
      </c>
      <c r="C463" s="3044" t="s">
        <v>2434</v>
      </c>
      <c r="D463" s="3044" t="s">
        <v>3204</v>
      </c>
      <c r="E463" s="3044" t="s">
        <v>15813</v>
      </c>
      <c r="F463" s="3021" t="s">
        <v>18066</v>
      </c>
      <c r="G463" s="3044">
        <v>3</v>
      </c>
      <c r="H463" s="3043" t="s">
        <v>4084</v>
      </c>
      <c r="I463" s="3043" t="s">
        <v>15448</v>
      </c>
      <c r="J463" s="3044" t="s">
        <v>642</v>
      </c>
      <c r="K463" s="3044"/>
      <c r="L463" s="2092">
        <v>69841.2</v>
      </c>
      <c r="M463" s="3044" t="s">
        <v>251</v>
      </c>
      <c r="N463" s="3042">
        <v>45533</v>
      </c>
      <c r="O463" s="3042">
        <v>45594</v>
      </c>
      <c r="P463" s="3042"/>
      <c r="Q463" s="3043"/>
      <c r="R463" s="3044"/>
      <c r="S463" s="2092"/>
      <c r="T463" s="2092"/>
      <c r="U463" s="2094"/>
      <c r="V463" s="2094"/>
      <c r="W463" s="2094"/>
      <c r="X463" s="2456"/>
      <c r="Y463" s="2092"/>
      <c r="Z463" s="3042"/>
      <c r="AA463" s="2769"/>
      <c r="AB463" s="3042"/>
      <c r="AC463" s="2976"/>
      <c r="AD463" s="2976"/>
    </row>
    <row r="464" spans="1:31" ht="15.75" thickBot="1">
      <c r="A464" s="3060">
        <v>45506</v>
      </c>
      <c r="B464" s="3003" t="s">
        <v>18065</v>
      </c>
      <c r="C464" s="3002" t="s">
        <v>2434</v>
      </c>
      <c r="D464" s="3002" t="s">
        <v>3204</v>
      </c>
      <c r="E464" s="3002" t="s">
        <v>15813</v>
      </c>
      <c r="F464" s="3079" t="s">
        <v>18066</v>
      </c>
      <c r="G464" s="3002">
        <v>4</v>
      </c>
      <c r="H464" s="3003" t="s">
        <v>4085</v>
      </c>
      <c r="I464" s="3003" t="s">
        <v>15448</v>
      </c>
      <c r="J464" s="3002" t="s">
        <v>642</v>
      </c>
      <c r="K464" s="3002"/>
      <c r="L464" s="2093">
        <v>194400</v>
      </c>
      <c r="M464" s="3002" t="s">
        <v>251</v>
      </c>
      <c r="N464" s="3060">
        <v>45533</v>
      </c>
      <c r="O464" s="3060">
        <v>45594</v>
      </c>
      <c r="P464" s="3060"/>
      <c r="Q464" s="3003"/>
      <c r="R464" s="3002"/>
      <c r="S464" s="2093"/>
      <c r="T464" s="2093"/>
      <c r="U464" s="2095"/>
      <c r="V464" s="2095"/>
      <c r="W464" s="2095"/>
      <c r="X464" s="3014"/>
      <c r="Y464" s="2093"/>
      <c r="Z464" s="3060"/>
      <c r="AA464" s="3299"/>
      <c r="AB464" s="3060"/>
      <c r="AC464" s="2976"/>
      <c r="AD464" s="2976"/>
    </row>
    <row r="465" spans="1:31" ht="15.75" thickTop="1">
      <c r="A465" s="252">
        <v>45505</v>
      </c>
      <c r="B465" s="3110" t="s">
        <v>18059</v>
      </c>
      <c r="C465" s="363" t="s">
        <v>58</v>
      </c>
      <c r="D465" s="363" t="s">
        <v>15443</v>
      </c>
      <c r="E465" s="363" t="s">
        <v>13951</v>
      </c>
      <c r="F465" s="409" t="s">
        <v>18060</v>
      </c>
      <c r="G465" s="363"/>
      <c r="H465" s="3110"/>
      <c r="I465" s="3110" t="s">
        <v>15369</v>
      </c>
      <c r="J465" s="363" t="s">
        <v>18061</v>
      </c>
      <c r="K465" s="363"/>
      <c r="L465" s="364">
        <v>200000</v>
      </c>
      <c r="M465" s="363" t="s">
        <v>112</v>
      </c>
      <c r="N465" s="252">
        <v>45512</v>
      </c>
      <c r="O465" s="252">
        <v>45523</v>
      </c>
      <c r="P465" s="252">
        <v>45530</v>
      </c>
      <c r="Q465" s="3110" t="s">
        <v>18181</v>
      </c>
      <c r="R465" s="363"/>
      <c r="S465" s="364">
        <v>183233.16</v>
      </c>
      <c r="T465" s="364">
        <v>221712.12</v>
      </c>
      <c r="U465" s="1473"/>
      <c r="V465" s="1473"/>
      <c r="W465" s="1473"/>
      <c r="X465" s="681">
        <v>45530</v>
      </c>
      <c r="Y465" s="364" t="s">
        <v>18242</v>
      </c>
      <c r="Z465" s="252">
        <v>45541</v>
      </c>
      <c r="AA465" s="252">
        <v>45544</v>
      </c>
      <c r="AB465" s="252">
        <v>46022</v>
      </c>
      <c r="AC465" s="2976"/>
      <c r="AD465" s="2976"/>
      <c r="AE465" s="118">
        <v>1</v>
      </c>
    </row>
    <row r="466" spans="1:31" ht="15.75" thickBot="1">
      <c r="A466" s="612">
        <v>45506</v>
      </c>
      <c r="B466" s="2911" t="s">
        <v>18077</v>
      </c>
      <c r="C466" s="609" t="s">
        <v>2434</v>
      </c>
      <c r="D466" s="609" t="s">
        <v>219</v>
      </c>
      <c r="E466" s="609" t="s">
        <v>655</v>
      </c>
      <c r="F466" s="610" t="s">
        <v>18078</v>
      </c>
      <c r="G466" s="609"/>
      <c r="H466" s="2911"/>
      <c r="I466" s="2911" t="s">
        <v>15369</v>
      </c>
      <c r="J466" s="609" t="s">
        <v>18079</v>
      </c>
      <c r="K466" s="609"/>
      <c r="L466" s="417">
        <v>1305650</v>
      </c>
      <c r="M466" s="609" t="s">
        <v>112</v>
      </c>
      <c r="N466" s="612">
        <v>45511</v>
      </c>
      <c r="O466" s="612">
        <v>45523</v>
      </c>
      <c r="P466" s="612">
        <v>45530</v>
      </c>
      <c r="Q466" s="2911" t="s">
        <v>11196</v>
      </c>
      <c r="R466" s="2277"/>
      <c r="S466" s="417">
        <v>1374336</v>
      </c>
      <c r="T466" s="417">
        <v>1539256.3200000001</v>
      </c>
      <c r="U466" s="1480"/>
      <c r="V466" s="1480"/>
      <c r="W466" s="1480"/>
      <c r="X466" s="513">
        <v>45530</v>
      </c>
      <c r="Y466" s="417" t="s">
        <v>18239</v>
      </c>
      <c r="Z466" s="612">
        <v>45539</v>
      </c>
      <c r="AA466" s="612">
        <v>45539</v>
      </c>
      <c r="AB466" s="612">
        <v>46999</v>
      </c>
      <c r="AC466" s="2976"/>
      <c r="AD466" s="2976"/>
      <c r="AE466" s="118">
        <v>1</v>
      </c>
    </row>
    <row r="467" spans="1:31" ht="15.75" thickTop="1">
      <c r="A467" s="3071">
        <v>45524</v>
      </c>
      <c r="B467" s="2036" t="s">
        <v>18169</v>
      </c>
      <c r="C467" s="3072" t="s">
        <v>2434</v>
      </c>
      <c r="D467" s="3072" t="s">
        <v>3204</v>
      </c>
      <c r="E467" s="3072" t="s">
        <v>15813</v>
      </c>
      <c r="F467" s="3073" t="s">
        <v>18172</v>
      </c>
      <c r="G467" s="3072">
        <v>1</v>
      </c>
      <c r="H467" s="2036" t="s">
        <v>18173</v>
      </c>
      <c r="I467" s="2036" t="s">
        <v>4837</v>
      </c>
      <c r="J467" s="3072" t="s">
        <v>642</v>
      </c>
      <c r="K467" s="3072"/>
      <c r="L467" s="429">
        <v>3469920</v>
      </c>
      <c r="M467" s="3072" t="s">
        <v>251</v>
      </c>
      <c r="N467" s="3071">
        <v>45532</v>
      </c>
      <c r="O467" s="3071">
        <v>45567</v>
      </c>
      <c r="P467" s="3072"/>
      <c r="Q467" s="1900"/>
      <c r="R467" s="3395"/>
      <c r="S467" s="429"/>
      <c r="T467" s="429"/>
      <c r="U467" s="1605"/>
      <c r="V467" s="1605"/>
      <c r="W467" s="1605"/>
      <c r="X467" s="429"/>
      <c r="Y467" s="429"/>
      <c r="Z467" s="3072"/>
      <c r="AA467" s="3071"/>
      <c r="AB467" s="3072"/>
      <c r="AC467" s="2976"/>
      <c r="AD467" s="2976"/>
      <c r="AE467" s="118">
        <v>1</v>
      </c>
    </row>
    <row r="468" spans="1:31">
      <c r="A468" s="3047">
        <v>45524</v>
      </c>
      <c r="B468" s="3018" t="s">
        <v>18170</v>
      </c>
      <c r="C468" s="3048" t="s">
        <v>2434</v>
      </c>
      <c r="D468" s="3048" t="s">
        <v>3204</v>
      </c>
      <c r="E468" s="3048" t="s">
        <v>15813</v>
      </c>
      <c r="F468" s="3049" t="s">
        <v>18172</v>
      </c>
      <c r="G468" s="3048">
        <v>2</v>
      </c>
      <c r="H468" s="3018" t="s">
        <v>18174</v>
      </c>
      <c r="I468" s="3018" t="s">
        <v>4837</v>
      </c>
      <c r="J468" s="3048" t="s">
        <v>642</v>
      </c>
      <c r="K468" s="3048"/>
      <c r="L468" s="2157">
        <v>904800</v>
      </c>
      <c r="M468" s="3048" t="s">
        <v>251</v>
      </c>
      <c r="N468" s="3047">
        <v>45532</v>
      </c>
      <c r="O468" s="3047">
        <v>45567</v>
      </c>
      <c r="P468" s="3048"/>
      <c r="Q468" s="3222"/>
      <c r="R468" s="2449"/>
      <c r="S468" s="2157"/>
      <c r="T468" s="2157"/>
      <c r="U468" s="2415"/>
      <c r="V468" s="2415"/>
      <c r="W468" s="2415"/>
      <c r="X468" s="2157"/>
      <c r="Y468" s="2157"/>
      <c r="Z468" s="3048"/>
      <c r="AA468" s="3047"/>
      <c r="AB468" s="3048"/>
      <c r="AC468" s="2976"/>
      <c r="AD468" s="2976"/>
      <c r="AE468" s="118">
        <v>1</v>
      </c>
    </row>
    <row r="469" spans="1:31" ht="15.75" thickBot="1">
      <c r="A469" s="3050">
        <v>45524</v>
      </c>
      <c r="B469" s="3051" t="s">
        <v>18171</v>
      </c>
      <c r="C469" s="3052" t="s">
        <v>2434</v>
      </c>
      <c r="D469" s="3052" t="s">
        <v>3204</v>
      </c>
      <c r="E469" s="3052" t="s">
        <v>15813</v>
      </c>
      <c r="F469" s="3053" t="s">
        <v>18172</v>
      </c>
      <c r="G469" s="3052">
        <v>3</v>
      </c>
      <c r="H469" s="3051" t="s">
        <v>18175</v>
      </c>
      <c r="I469" s="3051" t="s">
        <v>4837</v>
      </c>
      <c r="J469" s="3052" t="s">
        <v>642</v>
      </c>
      <c r="K469" s="3052"/>
      <c r="L469" s="2299">
        <v>1156560</v>
      </c>
      <c r="M469" s="3052" t="s">
        <v>251</v>
      </c>
      <c r="N469" s="3050">
        <v>45532</v>
      </c>
      <c r="O469" s="3050">
        <v>45567</v>
      </c>
      <c r="P469" s="3052"/>
      <c r="Q469" s="3387"/>
      <c r="R469" s="3388"/>
      <c r="S469" s="2299"/>
      <c r="T469" s="2299"/>
      <c r="U469" s="2443"/>
      <c r="V469" s="2443"/>
      <c r="W469" s="2443"/>
      <c r="X469" s="2299"/>
      <c r="Y469" s="2299"/>
      <c r="Z469" s="3052"/>
      <c r="AA469" s="3050"/>
      <c r="AB469" s="3052"/>
      <c r="AC469" s="2976"/>
      <c r="AD469" s="2976"/>
      <c r="AE469" s="118">
        <v>1</v>
      </c>
    </row>
    <row r="470" spans="1:31" ht="16.5" thickTop="1" thickBot="1">
      <c r="A470" s="3302">
        <v>45544</v>
      </c>
      <c r="B470" s="3305" t="s">
        <v>18392</v>
      </c>
      <c r="C470" s="3303" t="s">
        <v>16536</v>
      </c>
      <c r="D470" s="3303" t="s">
        <v>15129</v>
      </c>
      <c r="E470" s="3303" t="s">
        <v>15813</v>
      </c>
      <c r="F470" s="3304" t="s">
        <v>18393</v>
      </c>
      <c r="G470" s="3303"/>
      <c r="H470" s="3305"/>
      <c r="I470" s="3305" t="s">
        <v>15448</v>
      </c>
      <c r="J470" s="3303" t="s">
        <v>815</v>
      </c>
      <c r="K470" s="3303"/>
      <c r="L470" s="1734">
        <v>2187457</v>
      </c>
      <c r="M470" s="3303" t="s">
        <v>251</v>
      </c>
      <c r="N470" s="3302">
        <v>45548</v>
      </c>
      <c r="O470" s="3302">
        <v>45583</v>
      </c>
      <c r="P470" s="3303"/>
      <c r="Q470" s="3332"/>
      <c r="R470" s="3333"/>
      <c r="S470" s="1734"/>
      <c r="T470" s="1734"/>
      <c r="U470" s="1537"/>
      <c r="V470" s="1537"/>
      <c r="W470" s="1537"/>
      <c r="X470" s="1734"/>
      <c r="Y470" s="1734"/>
      <c r="Z470" s="3303"/>
      <c r="AA470" s="3302"/>
      <c r="AB470" s="3303"/>
      <c r="AC470" s="2976"/>
      <c r="AD470" s="2976"/>
    </row>
    <row r="471" spans="1:31" ht="15.75" thickTop="1">
      <c r="A471" s="3071">
        <v>45525</v>
      </c>
      <c r="B471" s="2036" t="s">
        <v>18191</v>
      </c>
      <c r="C471" s="3072" t="s">
        <v>2434</v>
      </c>
      <c r="D471" s="3072" t="s">
        <v>3204</v>
      </c>
      <c r="E471" s="3072" t="s">
        <v>15813</v>
      </c>
      <c r="F471" s="3073" t="s">
        <v>18192</v>
      </c>
      <c r="G471" s="3072"/>
      <c r="H471" s="2036"/>
      <c r="I471" s="2036" t="s">
        <v>4837</v>
      </c>
      <c r="J471" s="3072" t="s">
        <v>642</v>
      </c>
      <c r="K471" s="3072"/>
      <c r="L471" s="429">
        <v>3306182</v>
      </c>
      <c r="M471" s="3072" t="s">
        <v>251</v>
      </c>
      <c r="N471" s="3071">
        <v>45532</v>
      </c>
      <c r="O471" s="3071">
        <v>45579</v>
      </c>
      <c r="P471" s="3072"/>
      <c r="Q471" s="1900"/>
      <c r="R471" s="3395"/>
      <c r="S471" s="429"/>
      <c r="T471" s="429"/>
      <c r="U471" s="1483"/>
      <c r="V471" s="1483"/>
      <c r="W471" s="1483"/>
      <c r="X471" s="429"/>
      <c r="Y471" s="429"/>
      <c r="Z471" s="3072"/>
      <c r="AA471" s="3071"/>
      <c r="AB471" s="3072"/>
      <c r="AC471" s="2976"/>
      <c r="AD471" s="2976"/>
      <c r="AE471" s="118">
        <v>1</v>
      </c>
    </row>
    <row r="472" spans="1:31">
      <c r="A472" s="3124">
        <v>45525</v>
      </c>
      <c r="B472" s="3125" t="s">
        <v>18185</v>
      </c>
      <c r="C472" s="3126" t="s">
        <v>2434</v>
      </c>
      <c r="D472" s="3126" t="s">
        <v>3204</v>
      </c>
      <c r="E472" s="3126" t="s">
        <v>13948</v>
      </c>
      <c r="F472" s="3265" t="s">
        <v>18285</v>
      </c>
      <c r="G472" s="3126"/>
      <c r="H472" s="3125"/>
      <c r="I472" s="3125" t="s">
        <v>15448</v>
      </c>
      <c r="J472" s="3126" t="s">
        <v>642</v>
      </c>
      <c r="K472" s="3126"/>
      <c r="L472" s="581">
        <v>39203700</v>
      </c>
      <c r="M472" s="3126" t="s">
        <v>251</v>
      </c>
      <c r="N472" s="3124">
        <v>45539</v>
      </c>
      <c r="O472" s="3124">
        <v>45595</v>
      </c>
      <c r="P472" s="3126"/>
      <c r="Q472" s="3313"/>
      <c r="R472" s="3314"/>
      <c r="S472" s="581"/>
      <c r="T472" s="581"/>
      <c r="U472" s="1489"/>
      <c r="V472" s="1489"/>
      <c r="W472" s="1489"/>
      <c r="X472" s="581"/>
      <c r="Y472" s="581"/>
      <c r="Z472" s="3126"/>
      <c r="AA472" s="3124"/>
      <c r="AB472" s="3126"/>
      <c r="AC472" s="2976"/>
      <c r="AD472" s="2976"/>
    </row>
    <row r="473" spans="1:31">
      <c r="A473" s="252">
        <v>45523</v>
      </c>
      <c r="B473" s="3110" t="s">
        <v>18152</v>
      </c>
      <c r="C473" s="363" t="s">
        <v>16684</v>
      </c>
      <c r="D473" s="363" t="s">
        <v>55</v>
      </c>
      <c r="E473" s="363" t="s">
        <v>13951</v>
      </c>
      <c r="F473" s="362" t="s">
        <v>18153</v>
      </c>
      <c r="G473" s="363"/>
      <c r="H473" s="3110"/>
      <c r="I473" s="3110" t="s">
        <v>15369</v>
      </c>
      <c r="J473" s="363" t="s">
        <v>4312</v>
      </c>
      <c r="K473" s="363"/>
      <c r="L473" s="364">
        <v>516396</v>
      </c>
      <c r="M473" s="363" t="s">
        <v>112</v>
      </c>
      <c r="N473" s="252">
        <v>45526</v>
      </c>
      <c r="O473" s="252">
        <v>45537</v>
      </c>
      <c r="P473" s="252">
        <v>45538</v>
      </c>
      <c r="Q473" s="3110" t="s">
        <v>993</v>
      </c>
      <c r="R473" s="2265"/>
      <c r="S473" s="364">
        <v>516396</v>
      </c>
      <c r="T473" s="364">
        <v>624839.16</v>
      </c>
      <c r="U473" s="1473"/>
      <c r="V473" s="1473"/>
      <c r="W473" s="1473"/>
      <c r="X473" s="681">
        <v>45538</v>
      </c>
      <c r="Y473" s="364" t="s">
        <v>18331</v>
      </c>
      <c r="Z473" s="252">
        <v>45551</v>
      </c>
      <c r="AA473" s="252">
        <v>45552</v>
      </c>
      <c r="AB473" s="252">
        <v>45731</v>
      </c>
      <c r="AC473" s="2976"/>
      <c r="AD473" s="2976"/>
      <c r="AE473" s="118">
        <v>1</v>
      </c>
    </row>
    <row r="474" spans="1:31">
      <c r="A474" s="3067">
        <v>45523</v>
      </c>
      <c r="B474" s="3068" t="s">
        <v>18154</v>
      </c>
      <c r="C474" s="3069" t="s">
        <v>58</v>
      </c>
      <c r="D474" s="3069" t="s">
        <v>15443</v>
      </c>
      <c r="E474" s="3069" t="s">
        <v>655</v>
      </c>
      <c r="F474" s="2914" t="s">
        <v>18155</v>
      </c>
      <c r="G474" s="3069"/>
      <c r="H474" s="3068"/>
      <c r="I474" s="3068" t="s">
        <v>242</v>
      </c>
      <c r="J474" s="3069" t="s">
        <v>1159</v>
      </c>
      <c r="K474" s="3069" t="s">
        <v>18544</v>
      </c>
      <c r="L474" s="2128">
        <v>220000</v>
      </c>
      <c r="M474" s="3069" t="s">
        <v>112</v>
      </c>
      <c r="N474" s="3067">
        <v>45527</v>
      </c>
      <c r="O474" s="3067">
        <v>45538</v>
      </c>
      <c r="P474" s="3069"/>
      <c r="Q474" s="2136" t="s">
        <v>520</v>
      </c>
      <c r="R474" s="2320" t="s">
        <v>18587</v>
      </c>
      <c r="S474" s="2128"/>
      <c r="T474" s="2128"/>
      <c r="U474" s="2129"/>
      <c r="V474" s="2129"/>
      <c r="W474" s="2129"/>
      <c r="X474" s="2128"/>
      <c r="Y474" s="2128"/>
      <c r="Z474" s="3069"/>
      <c r="AA474" s="3067">
        <v>45544</v>
      </c>
      <c r="AB474" s="3069"/>
      <c r="AC474" s="2976"/>
      <c r="AD474" s="2976"/>
      <c r="AE474" s="118">
        <v>2</v>
      </c>
    </row>
    <row r="475" spans="1:31">
      <c r="A475" s="3047">
        <v>45513</v>
      </c>
      <c r="B475" s="3018" t="s">
        <v>18108</v>
      </c>
      <c r="C475" s="3048" t="s">
        <v>16536</v>
      </c>
      <c r="D475" s="3048" t="s">
        <v>15131</v>
      </c>
      <c r="E475" s="3048" t="s">
        <v>13949</v>
      </c>
      <c r="F475" s="3049" t="s">
        <v>18107</v>
      </c>
      <c r="G475" s="3048"/>
      <c r="H475" s="3018"/>
      <c r="I475" s="3018" t="s">
        <v>4837</v>
      </c>
      <c r="J475" s="3048" t="s">
        <v>671</v>
      </c>
      <c r="K475" s="3048"/>
      <c r="L475" s="2157">
        <v>1617724</v>
      </c>
      <c r="M475" s="3048" t="s">
        <v>251</v>
      </c>
      <c r="N475" s="3047">
        <v>45523</v>
      </c>
      <c r="O475" s="3047">
        <v>45558</v>
      </c>
      <c r="P475" s="3048"/>
      <c r="Q475" s="3222"/>
      <c r="R475" s="2449"/>
      <c r="S475" s="2157"/>
      <c r="T475" s="2157"/>
      <c r="U475" s="2094"/>
      <c r="V475" s="2094"/>
      <c r="W475" s="2094"/>
      <c r="X475" s="2157"/>
      <c r="Y475" s="2157"/>
      <c r="Z475" s="3048"/>
      <c r="AA475" s="3047"/>
      <c r="AB475" s="3048"/>
      <c r="AC475" s="2976"/>
      <c r="AD475" s="2976"/>
      <c r="AE475" s="118">
        <v>1</v>
      </c>
    </row>
    <row r="476" spans="1:31" ht="15.75" thickBot="1">
      <c r="A476" s="3102">
        <v>45512</v>
      </c>
      <c r="B476" s="3103" t="s">
        <v>18101</v>
      </c>
      <c r="C476" s="3104" t="s">
        <v>16536</v>
      </c>
      <c r="D476" s="3104" t="s">
        <v>15129</v>
      </c>
      <c r="E476" s="3104" t="s">
        <v>13949</v>
      </c>
      <c r="F476" s="3105" t="s">
        <v>18100</v>
      </c>
      <c r="G476" s="3104"/>
      <c r="H476" s="3103"/>
      <c r="I476" s="3103" t="s">
        <v>4837</v>
      </c>
      <c r="J476" s="3104" t="s">
        <v>93</v>
      </c>
      <c r="K476" s="3104"/>
      <c r="L476" s="465">
        <v>4963290</v>
      </c>
      <c r="M476" s="3104" t="s">
        <v>251</v>
      </c>
      <c r="N476" s="3102">
        <v>45530</v>
      </c>
      <c r="O476" s="3102">
        <v>45565</v>
      </c>
      <c r="P476" s="3104"/>
      <c r="Q476" s="2431"/>
      <c r="R476" s="3386"/>
      <c r="S476" s="465"/>
      <c r="T476" s="465"/>
      <c r="U476" s="1490"/>
      <c r="V476" s="1490"/>
      <c r="W476" s="1490"/>
      <c r="X476" s="465"/>
      <c r="Y476" s="465"/>
      <c r="Z476" s="3104"/>
      <c r="AA476" s="3102"/>
      <c r="AB476" s="3104"/>
      <c r="AC476" s="2976"/>
      <c r="AD476" s="2976"/>
      <c r="AE476" s="118">
        <v>1</v>
      </c>
    </row>
    <row r="477" spans="1:31" ht="15.75" thickTop="1">
      <c r="A477" s="687">
        <v>45512</v>
      </c>
      <c r="B477" s="1883" t="s">
        <v>18093</v>
      </c>
      <c r="C477" s="688" t="s">
        <v>16536</v>
      </c>
      <c r="D477" s="688" t="s">
        <v>15131</v>
      </c>
      <c r="E477" s="688" t="s">
        <v>13949</v>
      </c>
      <c r="F477" s="684" t="s">
        <v>18096</v>
      </c>
      <c r="G477" s="688">
        <v>1</v>
      </c>
      <c r="H477" s="1883" t="s">
        <v>18097</v>
      </c>
      <c r="I477" s="1883" t="s">
        <v>242</v>
      </c>
      <c r="J477" s="688" t="s">
        <v>17427</v>
      </c>
      <c r="K477" s="688"/>
      <c r="L477" s="444">
        <v>424500</v>
      </c>
      <c r="M477" s="688" t="s">
        <v>251</v>
      </c>
      <c r="N477" s="687">
        <v>45523</v>
      </c>
      <c r="O477" s="687">
        <v>45565</v>
      </c>
      <c r="P477" s="688"/>
      <c r="Q477" s="753" t="s">
        <v>304</v>
      </c>
      <c r="R477" s="437"/>
      <c r="S477" s="444"/>
      <c r="T477" s="444"/>
      <c r="U477" s="1483"/>
      <c r="V477" s="1483"/>
      <c r="W477" s="1483"/>
      <c r="X477" s="444"/>
      <c r="Y477" s="444"/>
      <c r="Z477" s="688"/>
      <c r="AA477" s="687">
        <v>45568</v>
      </c>
      <c r="AB477" s="688" t="s">
        <v>18640</v>
      </c>
      <c r="AC477" s="2976"/>
      <c r="AD477" s="2976"/>
    </row>
    <row r="478" spans="1:31">
      <c r="A478" s="3067">
        <v>45512</v>
      </c>
      <c r="B478" s="3068" t="s">
        <v>18094</v>
      </c>
      <c r="C478" s="3069" t="s">
        <v>16536</v>
      </c>
      <c r="D478" s="3069" t="s">
        <v>15131</v>
      </c>
      <c r="E478" s="3069" t="s">
        <v>13949</v>
      </c>
      <c r="F478" s="2914" t="s">
        <v>18096</v>
      </c>
      <c r="G478" s="3069">
        <v>2</v>
      </c>
      <c r="H478" s="3068" t="s">
        <v>18098</v>
      </c>
      <c r="I478" s="3068" t="s">
        <v>242</v>
      </c>
      <c r="J478" s="3069" t="s">
        <v>17427</v>
      </c>
      <c r="K478" s="3069"/>
      <c r="L478" s="2128">
        <v>1688721</v>
      </c>
      <c r="M478" s="3069" t="s">
        <v>251</v>
      </c>
      <c r="N478" s="3067">
        <v>45523</v>
      </c>
      <c r="O478" s="3067">
        <v>45565</v>
      </c>
      <c r="P478" s="3067"/>
      <c r="Q478" s="2136" t="s">
        <v>304</v>
      </c>
      <c r="R478" s="2314"/>
      <c r="S478" s="2128"/>
      <c r="T478" s="2128"/>
      <c r="U478" s="2094"/>
      <c r="V478" s="2094"/>
      <c r="W478" s="2094"/>
      <c r="X478" s="2128"/>
      <c r="Y478" s="2128"/>
      <c r="Z478" s="3069"/>
      <c r="AA478" s="3067">
        <v>45568</v>
      </c>
      <c r="AB478" s="3069" t="s">
        <v>18640</v>
      </c>
      <c r="AC478" s="2976"/>
      <c r="AD478" s="2976"/>
    </row>
    <row r="479" spans="1:31" ht="15.75" thickBot="1">
      <c r="A479" s="3050">
        <v>45512</v>
      </c>
      <c r="B479" s="3051" t="s">
        <v>18095</v>
      </c>
      <c r="C479" s="3052" t="s">
        <v>16536</v>
      </c>
      <c r="D479" s="3052" t="s">
        <v>15131</v>
      </c>
      <c r="E479" s="3052" t="s">
        <v>13949</v>
      </c>
      <c r="F479" s="3053" t="s">
        <v>18096</v>
      </c>
      <c r="G479" s="3052">
        <v>3</v>
      </c>
      <c r="H479" s="3051" t="s">
        <v>18099</v>
      </c>
      <c r="I479" s="3051" t="s">
        <v>4837</v>
      </c>
      <c r="J479" s="3052" t="s">
        <v>17427</v>
      </c>
      <c r="K479" s="3052"/>
      <c r="L479" s="2299">
        <v>100140</v>
      </c>
      <c r="M479" s="3052" t="s">
        <v>251</v>
      </c>
      <c r="N479" s="3050">
        <v>45523</v>
      </c>
      <c r="O479" s="3050">
        <v>45565</v>
      </c>
      <c r="P479" s="3050"/>
      <c r="Q479" s="3051" t="s">
        <v>13761</v>
      </c>
      <c r="R479" s="3388"/>
      <c r="S479" s="2299">
        <v>96772.29</v>
      </c>
      <c r="T479" s="2299">
        <v>108384.96000000001</v>
      </c>
      <c r="U479" s="2095"/>
      <c r="V479" s="2095"/>
      <c r="W479" s="2095"/>
      <c r="X479" s="2299"/>
      <c r="Y479" s="2299"/>
      <c r="Z479" s="3052"/>
      <c r="AA479" s="3050"/>
      <c r="AB479" s="3052"/>
      <c r="AC479" s="2976"/>
      <c r="AD479" s="2976"/>
      <c r="AE479" s="118">
        <v>1</v>
      </c>
    </row>
    <row r="480" spans="1:31" ht="15.75" thickTop="1">
      <c r="A480" s="3071">
        <v>45530</v>
      </c>
      <c r="B480" s="2036" t="s">
        <v>18235</v>
      </c>
      <c r="C480" s="3072" t="s">
        <v>16537</v>
      </c>
      <c r="D480" s="3072" t="s">
        <v>13844</v>
      </c>
      <c r="E480" s="3072" t="s">
        <v>13949</v>
      </c>
      <c r="F480" s="3073" t="s">
        <v>18236</v>
      </c>
      <c r="G480" s="3072"/>
      <c r="H480" s="2036"/>
      <c r="I480" s="2036" t="s">
        <v>4837</v>
      </c>
      <c r="J480" s="3072" t="s">
        <v>8554</v>
      </c>
      <c r="K480" s="3072" t="s">
        <v>18237</v>
      </c>
      <c r="L480" s="429">
        <v>9048000</v>
      </c>
      <c r="M480" s="3072" t="s">
        <v>235</v>
      </c>
      <c r="N480" s="3071">
        <v>45539</v>
      </c>
      <c r="O480" s="3071">
        <v>45568</v>
      </c>
      <c r="P480" s="3072"/>
      <c r="Q480" s="1900"/>
      <c r="R480" s="3395"/>
      <c r="S480" s="429"/>
      <c r="T480" s="429"/>
      <c r="U480" s="1605"/>
      <c r="V480" s="1605"/>
      <c r="W480" s="1605"/>
      <c r="X480" s="429"/>
      <c r="Y480" s="429"/>
      <c r="Z480" s="3072"/>
      <c r="AA480" s="3071"/>
      <c r="AB480" s="3072"/>
      <c r="AC480" s="2976"/>
      <c r="AD480" s="2976"/>
      <c r="AE480" s="118">
        <v>4</v>
      </c>
    </row>
    <row r="481" spans="1:31" ht="30">
      <c r="A481" s="252">
        <v>45523</v>
      </c>
      <c r="B481" s="3110" t="s">
        <v>18156</v>
      </c>
      <c r="C481" s="363" t="s">
        <v>58</v>
      </c>
      <c r="D481" s="363" t="s">
        <v>15443</v>
      </c>
      <c r="E481" s="363" t="s">
        <v>13951</v>
      </c>
      <c r="F481" s="362" t="s">
        <v>15624</v>
      </c>
      <c r="G481" s="363"/>
      <c r="H481" s="3110"/>
      <c r="I481" s="3110" t="s">
        <v>15369</v>
      </c>
      <c r="J481" s="363" t="s">
        <v>18157</v>
      </c>
      <c r="K481" s="363" t="s">
        <v>18158</v>
      </c>
      <c r="L481" s="364">
        <v>170000</v>
      </c>
      <c r="M481" s="363" t="s">
        <v>112</v>
      </c>
      <c r="N481" s="252">
        <v>45527</v>
      </c>
      <c r="O481" s="252">
        <v>45538</v>
      </c>
      <c r="P481" s="252">
        <v>45541</v>
      </c>
      <c r="Q481" s="3110" t="s">
        <v>18342</v>
      </c>
      <c r="R481" s="2265"/>
      <c r="S481" s="364">
        <v>133334</v>
      </c>
      <c r="T481" s="364">
        <v>161334.14000000001</v>
      </c>
      <c r="U481" s="1473"/>
      <c r="V481" s="1473"/>
      <c r="W481" s="1473"/>
      <c r="X481" s="681">
        <v>45541</v>
      </c>
      <c r="Y481" s="1417" t="s">
        <v>18364</v>
      </c>
      <c r="Z481" s="252">
        <v>45568</v>
      </c>
      <c r="AA481" s="252">
        <v>45572</v>
      </c>
      <c r="AB481" s="252">
        <v>45628</v>
      </c>
      <c r="AC481" s="2976"/>
      <c r="AD481" s="2976"/>
      <c r="AE481" s="118">
        <v>1</v>
      </c>
    </row>
    <row r="482" spans="1:31">
      <c r="A482" s="3124">
        <v>45512</v>
      </c>
      <c r="B482" s="3125" t="s">
        <v>18102</v>
      </c>
      <c r="C482" s="3126" t="s">
        <v>16536</v>
      </c>
      <c r="D482" s="3126" t="s">
        <v>15129</v>
      </c>
      <c r="E482" s="3126" t="s">
        <v>13949</v>
      </c>
      <c r="F482" s="3265" t="s">
        <v>18091</v>
      </c>
      <c r="G482" s="3126"/>
      <c r="H482" s="3125"/>
      <c r="I482" s="3125" t="s">
        <v>15448</v>
      </c>
      <c r="J482" s="3126" t="s">
        <v>72</v>
      </c>
      <c r="K482" s="3126"/>
      <c r="L482" s="581">
        <v>2790000</v>
      </c>
      <c r="M482" s="3126" t="s">
        <v>251</v>
      </c>
      <c r="N482" s="3124">
        <v>45517</v>
      </c>
      <c r="O482" s="3124">
        <v>45630</v>
      </c>
      <c r="P482" s="3124"/>
      <c r="Q482" s="3125"/>
      <c r="R482" s="3126"/>
      <c r="S482" s="581"/>
      <c r="T482" s="581"/>
      <c r="U482" s="1489"/>
      <c r="V482" s="1489"/>
      <c r="W482" s="1489"/>
      <c r="X482" s="3127"/>
      <c r="Y482" s="581"/>
      <c r="Z482" s="3124"/>
      <c r="AA482" s="3124"/>
      <c r="AB482" s="3124"/>
      <c r="AC482" s="2976"/>
      <c r="AD482" s="2976"/>
    </row>
    <row r="483" spans="1:31">
      <c r="A483" s="656">
        <v>45523</v>
      </c>
      <c r="B483" s="3061" t="s">
        <v>18159</v>
      </c>
      <c r="C483" s="3062" t="s">
        <v>58</v>
      </c>
      <c r="D483" s="3062" t="s">
        <v>15443</v>
      </c>
      <c r="E483" s="3062" t="s">
        <v>655</v>
      </c>
      <c r="F483" s="3063" t="s">
        <v>14261</v>
      </c>
      <c r="G483" s="3062"/>
      <c r="H483" s="3061"/>
      <c r="I483" s="3061" t="s">
        <v>242</v>
      </c>
      <c r="J483" s="3062" t="s">
        <v>260</v>
      </c>
      <c r="K483" s="3062" t="s">
        <v>18160</v>
      </c>
      <c r="L483" s="472">
        <v>116000</v>
      </c>
      <c r="M483" s="3062" t="s">
        <v>112</v>
      </c>
      <c r="N483" s="656">
        <v>45527</v>
      </c>
      <c r="O483" s="656">
        <v>45538</v>
      </c>
      <c r="P483" s="656"/>
      <c r="Q483" s="471" t="s">
        <v>304</v>
      </c>
      <c r="R483" s="3352" t="s">
        <v>18348</v>
      </c>
      <c r="S483" s="472"/>
      <c r="T483" s="472"/>
      <c r="U483" s="1489"/>
      <c r="V483" s="1489"/>
      <c r="W483" s="1489"/>
      <c r="X483" s="1547"/>
      <c r="Y483" s="472"/>
      <c r="Z483" s="656"/>
      <c r="AA483" s="656">
        <v>45538</v>
      </c>
      <c r="AB483" s="656"/>
      <c r="AC483" s="2976"/>
      <c r="AD483" s="2976"/>
    </row>
    <row r="484" spans="1:31">
      <c r="A484" s="3047">
        <v>45512</v>
      </c>
      <c r="B484" s="3018" t="s">
        <v>18103</v>
      </c>
      <c r="C484" s="3048" t="s">
        <v>16536</v>
      </c>
      <c r="D484" s="3048" t="s">
        <v>15129</v>
      </c>
      <c r="E484" s="3048" t="s">
        <v>13949</v>
      </c>
      <c r="F484" s="3049" t="s">
        <v>18104</v>
      </c>
      <c r="G484" s="3048"/>
      <c r="H484" s="3018"/>
      <c r="I484" s="3018" t="s">
        <v>4837</v>
      </c>
      <c r="J484" s="3048" t="s">
        <v>813</v>
      </c>
      <c r="K484" s="3048"/>
      <c r="L484" s="2157">
        <v>4512961</v>
      </c>
      <c r="M484" s="3048" t="s">
        <v>251</v>
      </c>
      <c r="N484" s="3047">
        <v>45530</v>
      </c>
      <c r="O484" s="3047">
        <v>45565</v>
      </c>
      <c r="P484" s="3047"/>
      <c r="Q484" s="3018" t="s">
        <v>13761</v>
      </c>
      <c r="R484" s="3048"/>
      <c r="S484" s="2157">
        <v>4483532.7</v>
      </c>
      <c r="T484" s="2157">
        <v>5021556.62</v>
      </c>
      <c r="U484" s="2094"/>
      <c r="V484" s="2094"/>
      <c r="W484" s="2094"/>
      <c r="X484" s="2160"/>
      <c r="Y484" s="2157"/>
      <c r="Z484" s="3047"/>
      <c r="AA484" s="3047"/>
      <c r="AB484" s="3047"/>
      <c r="AC484" s="2976"/>
      <c r="AD484" s="2976"/>
      <c r="AE484" s="118">
        <v>2</v>
      </c>
    </row>
    <row r="485" spans="1:31">
      <c r="A485" s="3042">
        <v>45513</v>
      </c>
      <c r="B485" s="3043" t="s">
        <v>18106</v>
      </c>
      <c r="C485" s="3044" t="s">
        <v>16536</v>
      </c>
      <c r="D485" s="3044" t="s">
        <v>15131</v>
      </c>
      <c r="E485" s="3044" t="s">
        <v>13949</v>
      </c>
      <c r="F485" s="3021" t="s">
        <v>18105</v>
      </c>
      <c r="G485" s="3044"/>
      <c r="H485" s="3043"/>
      <c r="I485" s="3043" t="s">
        <v>15448</v>
      </c>
      <c r="J485" s="3044" t="s">
        <v>68</v>
      </c>
      <c r="K485" s="3044"/>
      <c r="L485" s="2092">
        <v>12842048</v>
      </c>
      <c r="M485" s="3044" t="s">
        <v>251</v>
      </c>
      <c r="N485" s="3042">
        <v>45530</v>
      </c>
      <c r="O485" s="3042">
        <v>45597</v>
      </c>
      <c r="P485" s="3042"/>
      <c r="Q485" s="3043"/>
      <c r="R485" s="3044"/>
      <c r="S485" s="2092"/>
      <c r="T485" s="2092"/>
      <c r="U485" s="2094"/>
      <c r="V485" s="2094"/>
      <c r="W485" s="2094"/>
      <c r="X485" s="2456"/>
      <c r="Y485" s="2092"/>
      <c r="Z485" s="3042"/>
      <c r="AA485" s="3042"/>
      <c r="AB485" s="3042"/>
      <c r="AC485" s="2976"/>
      <c r="AD485" s="2976"/>
    </row>
    <row r="486" spans="1:31">
      <c r="A486" s="3042">
        <v>45525</v>
      </c>
      <c r="B486" s="3043" t="s">
        <v>18189</v>
      </c>
      <c r="C486" s="3044" t="s">
        <v>16559</v>
      </c>
      <c r="D486" s="3044" t="s">
        <v>9080</v>
      </c>
      <c r="E486" s="3044" t="s">
        <v>13948</v>
      </c>
      <c r="F486" s="1702" t="s">
        <v>18190</v>
      </c>
      <c r="G486" s="3044"/>
      <c r="H486" s="3043"/>
      <c r="I486" s="3043" t="s">
        <v>15448</v>
      </c>
      <c r="J486" s="3044" t="s">
        <v>642</v>
      </c>
      <c r="K486" s="3044"/>
      <c r="L486" s="2092">
        <v>2430000</v>
      </c>
      <c r="M486" s="3044" t="s">
        <v>251</v>
      </c>
      <c r="N486" s="3042">
        <v>45533</v>
      </c>
      <c r="O486" s="3042">
        <v>45582</v>
      </c>
      <c r="P486" s="3042"/>
      <c r="Q486" s="3043"/>
      <c r="R486" s="3044"/>
      <c r="S486" s="2092"/>
      <c r="T486" s="2092"/>
      <c r="U486" s="2094"/>
      <c r="V486" s="2094"/>
      <c r="W486" s="2094"/>
      <c r="X486" s="2456"/>
      <c r="Y486" s="2092"/>
      <c r="Z486" s="3042"/>
      <c r="AA486" s="3042"/>
      <c r="AB486" s="3042"/>
      <c r="AC486" s="2976"/>
      <c r="AD486" s="2976"/>
    </row>
    <row r="487" spans="1:31" ht="30">
      <c r="A487" s="3070">
        <v>45517</v>
      </c>
      <c r="B487" s="2289" t="s">
        <v>18125</v>
      </c>
      <c r="C487" s="2877" t="s">
        <v>16537</v>
      </c>
      <c r="D487" s="2877" t="s">
        <v>13844</v>
      </c>
      <c r="E487" s="2877" t="s">
        <v>13949</v>
      </c>
      <c r="F487" s="2913" t="s">
        <v>18126</v>
      </c>
      <c r="G487" s="2877"/>
      <c r="H487" s="2289"/>
      <c r="I487" s="2289" t="s">
        <v>15369</v>
      </c>
      <c r="J487" s="2289" t="s">
        <v>18127</v>
      </c>
      <c r="K487" s="2877"/>
      <c r="L487" s="2144">
        <v>8454850</v>
      </c>
      <c r="M487" s="2877" t="s">
        <v>235</v>
      </c>
      <c r="N487" s="3070">
        <v>45530</v>
      </c>
      <c r="O487" s="3070">
        <v>45541</v>
      </c>
      <c r="P487" s="3070">
        <v>45560</v>
      </c>
      <c r="Q487" s="2289" t="s">
        <v>18506</v>
      </c>
      <c r="R487" s="2910"/>
      <c r="S487" s="2144">
        <v>6501000</v>
      </c>
      <c r="T487" s="2144">
        <v>7281120</v>
      </c>
      <c r="U487" s="2145"/>
      <c r="V487" s="2145"/>
      <c r="W487" s="2145"/>
      <c r="X487" s="2146">
        <v>45560</v>
      </c>
      <c r="Y487" s="2260" t="s">
        <v>18537</v>
      </c>
      <c r="Z487" s="3070">
        <v>45579</v>
      </c>
      <c r="AA487" s="3047">
        <v>45580</v>
      </c>
      <c r="AB487" s="2779" t="s">
        <v>18710</v>
      </c>
      <c r="AC487" s="2976"/>
      <c r="AD487" s="2976"/>
      <c r="AE487" s="118">
        <v>1</v>
      </c>
    </row>
    <row r="488" spans="1:31">
      <c r="A488" s="3047" t="s">
        <v>17593</v>
      </c>
      <c r="B488" s="3018" t="s">
        <v>18201</v>
      </c>
      <c r="C488" s="3048" t="s">
        <v>16536</v>
      </c>
      <c r="D488" s="3048" t="s">
        <v>15129</v>
      </c>
      <c r="E488" s="3048" t="s">
        <v>13949</v>
      </c>
      <c r="F488" s="3049" t="s">
        <v>18202</v>
      </c>
      <c r="G488" s="3048"/>
      <c r="H488" s="3018"/>
      <c r="I488" s="3018" t="s">
        <v>4837</v>
      </c>
      <c r="J488" s="3101" t="s">
        <v>68</v>
      </c>
      <c r="K488" s="3048"/>
      <c r="L488" s="2157">
        <v>15562500</v>
      </c>
      <c r="M488" s="3048" t="s">
        <v>251</v>
      </c>
      <c r="N488" s="3047">
        <v>45530</v>
      </c>
      <c r="O488" s="3047">
        <v>45565</v>
      </c>
      <c r="P488" s="3047"/>
      <c r="Q488" s="3018"/>
      <c r="R488" s="3222"/>
      <c r="S488" s="2157"/>
      <c r="T488" s="2157"/>
      <c r="U488" s="2094"/>
      <c r="V488" s="2094"/>
      <c r="W488" s="2094"/>
      <c r="X488" s="2160"/>
      <c r="Y488" s="2157"/>
      <c r="Z488" s="3047"/>
      <c r="AA488" s="3047"/>
      <c r="AB488" s="3316"/>
      <c r="AC488" s="2976"/>
      <c r="AD488" s="2976"/>
      <c r="AE488" s="118">
        <v>4</v>
      </c>
    </row>
    <row r="489" spans="1:31">
      <c r="A489" s="3047">
        <v>45517</v>
      </c>
      <c r="B489" s="3018" t="s">
        <v>18128</v>
      </c>
      <c r="C489" s="3048" t="s">
        <v>16536</v>
      </c>
      <c r="D489" s="3048" t="s">
        <v>15129</v>
      </c>
      <c r="E489" s="3048" t="s">
        <v>13949</v>
      </c>
      <c r="F489" s="3049" t="s">
        <v>18129</v>
      </c>
      <c r="G489" s="3048"/>
      <c r="H489" s="3018"/>
      <c r="I489" s="3018" t="s">
        <v>15373</v>
      </c>
      <c r="J489" s="3048" t="s">
        <v>671</v>
      </c>
      <c r="K489" s="3048"/>
      <c r="L489" s="2157">
        <v>11778125</v>
      </c>
      <c r="M489" s="3048" t="s">
        <v>235</v>
      </c>
      <c r="N489" s="3047">
        <v>45534</v>
      </c>
      <c r="O489" s="3047">
        <v>45551</v>
      </c>
      <c r="P489" s="3047">
        <v>45575</v>
      </c>
      <c r="Q489" s="3018" t="s">
        <v>8856</v>
      </c>
      <c r="R489" s="3048"/>
      <c r="S489" s="2157">
        <v>11778124.800000001</v>
      </c>
      <c r="T489" s="2157">
        <v>13191499.779999999</v>
      </c>
      <c r="U489" s="2094"/>
      <c r="V489" s="2094"/>
      <c r="W489" s="2094"/>
      <c r="X489" s="2160">
        <v>45575</v>
      </c>
      <c r="Y489" s="2157" t="s">
        <v>18696</v>
      </c>
      <c r="Z489" s="3047"/>
      <c r="AA489" s="3047"/>
      <c r="AB489" s="3047"/>
      <c r="AC489" s="2976"/>
      <c r="AD489" s="2976"/>
      <c r="AE489" s="118">
        <v>1</v>
      </c>
    </row>
    <row r="490" spans="1:31">
      <c r="A490" s="3047">
        <v>45523</v>
      </c>
      <c r="B490" s="3018" t="s">
        <v>18161</v>
      </c>
      <c r="C490" s="3048" t="s">
        <v>16688</v>
      </c>
      <c r="D490" s="3048" t="s">
        <v>361</v>
      </c>
      <c r="E490" s="3048" t="s">
        <v>13950</v>
      </c>
      <c r="F490" s="3049" t="s">
        <v>18162</v>
      </c>
      <c r="G490" s="3048"/>
      <c r="H490" s="3018"/>
      <c r="I490" s="3018" t="s">
        <v>4837</v>
      </c>
      <c r="J490" s="3048" t="s">
        <v>10983</v>
      </c>
      <c r="K490" s="3048"/>
      <c r="L490" s="2157">
        <v>3600000</v>
      </c>
      <c r="M490" s="3048" t="s">
        <v>251</v>
      </c>
      <c r="N490" s="3047">
        <v>45538</v>
      </c>
      <c r="O490" s="3047">
        <v>45573</v>
      </c>
      <c r="P490" s="3047"/>
      <c r="Q490" s="3018"/>
      <c r="R490" s="3048"/>
      <c r="S490" s="2157"/>
      <c r="T490" s="2157"/>
      <c r="U490" s="2415"/>
      <c r="V490" s="2415"/>
      <c r="W490" s="2415"/>
      <c r="X490" s="2160"/>
      <c r="Y490" s="2157"/>
      <c r="Z490" s="3047"/>
      <c r="AA490" s="3047"/>
      <c r="AB490" s="3047"/>
      <c r="AC490" s="2976"/>
      <c r="AD490" s="2976"/>
      <c r="AE490" s="118">
        <v>1</v>
      </c>
    </row>
    <row r="491" spans="1:31">
      <c r="A491" s="3047">
        <v>45547</v>
      </c>
      <c r="B491" s="3018" t="s">
        <v>18138</v>
      </c>
      <c r="C491" s="3048" t="s">
        <v>17003</v>
      </c>
      <c r="D491" s="3048" t="s">
        <v>15076</v>
      </c>
      <c r="E491" s="3048" t="s">
        <v>655</v>
      </c>
      <c r="F491" s="3049" t="s">
        <v>18139</v>
      </c>
      <c r="G491" s="3048"/>
      <c r="H491" s="3018"/>
      <c r="I491" s="3018" t="s">
        <v>15373</v>
      </c>
      <c r="J491" s="3018" t="s">
        <v>18140</v>
      </c>
      <c r="K491" s="3048"/>
      <c r="L491" s="2157">
        <v>1000000</v>
      </c>
      <c r="M491" s="3048" t="s">
        <v>112</v>
      </c>
      <c r="N491" s="3047">
        <v>45548</v>
      </c>
      <c r="O491" s="3047">
        <v>45559</v>
      </c>
      <c r="P491" s="3047">
        <v>45562</v>
      </c>
      <c r="Q491" s="3018" t="s">
        <v>18533</v>
      </c>
      <c r="R491" s="3048"/>
      <c r="S491" s="2157">
        <v>375163.65</v>
      </c>
      <c r="T491" s="2157">
        <v>430450</v>
      </c>
      <c r="U491" s="2094"/>
      <c r="V491" s="2094"/>
      <c r="W491" s="2094"/>
      <c r="X491" s="2160">
        <v>45562</v>
      </c>
      <c r="Y491" s="2157" t="s">
        <v>18565</v>
      </c>
      <c r="Z491" s="3047"/>
      <c r="AA491" s="3047"/>
      <c r="AB491" s="3047"/>
      <c r="AC491" s="2976"/>
      <c r="AD491" s="2976"/>
      <c r="AE491" s="118">
        <v>3</v>
      </c>
    </row>
    <row r="492" spans="1:31">
      <c r="A492" s="3047">
        <v>45518</v>
      </c>
      <c r="B492" s="3018" t="s">
        <v>18130</v>
      </c>
      <c r="C492" s="3048" t="s">
        <v>52</v>
      </c>
      <c r="D492" s="3048" t="s">
        <v>18069</v>
      </c>
      <c r="E492" s="3048" t="s">
        <v>13950</v>
      </c>
      <c r="F492" s="3049" t="s">
        <v>18131</v>
      </c>
      <c r="G492" s="3048"/>
      <c r="H492" s="3018"/>
      <c r="I492" s="3018" t="s">
        <v>15373</v>
      </c>
      <c r="J492" s="3048" t="s">
        <v>33</v>
      </c>
      <c r="K492" s="3048" t="s">
        <v>18071</v>
      </c>
      <c r="L492" s="2157">
        <v>75000000</v>
      </c>
      <c r="M492" s="3048" t="s">
        <v>251</v>
      </c>
      <c r="N492" s="3047">
        <v>45518</v>
      </c>
      <c r="O492" s="3047">
        <v>45565</v>
      </c>
      <c r="P492" s="3047">
        <v>45580</v>
      </c>
      <c r="Q492" s="3018" t="s">
        <v>12041</v>
      </c>
      <c r="R492" s="3048"/>
      <c r="S492" s="2157">
        <v>99611408.659999996</v>
      </c>
      <c r="T492" s="2157">
        <v>120529804.48</v>
      </c>
      <c r="U492" s="2094"/>
      <c r="V492" s="2094"/>
      <c r="W492" s="2094"/>
      <c r="X492" s="2160">
        <v>45580</v>
      </c>
      <c r="Y492" s="2157" t="s">
        <v>18726</v>
      </c>
      <c r="Z492" s="3047"/>
      <c r="AA492" s="3047"/>
      <c r="AB492" s="3047"/>
      <c r="AC492" s="2976"/>
      <c r="AD492" s="2976"/>
      <c r="AE492" s="118">
        <v>2</v>
      </c>
    </row>
    <row r="493" spans="1:31">
      <c r="A493" s="3047">
        <v>45555</v>
      </c>
      <c r="B493" s="3018" t="s">
        <v>18482</v>
      </c>
      <c r="C493" s="3048" t="s">
        <v>16688</v>
      </c>
      <c r="D493" s="3048" t="s">
        <v>361</v>
      </c>
      <c r="E493" s="3048" t="s">
        <v>13950</v>
      </c>
      <c r="F493" s="1298" t="s">
        <v>18483</v>
      </c>
      <c r="G493" s="3048"/>
      <c r="H493" s="3018"/>
      <c r="I493" s="3018" t="s">
        <v>4837</v>
      </c>
      <c r="J493" s="3048" t="s">
        <v>7263</v>
      </c>
      <c r="K493" s="3048"/>
      <c r="L493" s="2157">
        <v>9500000</v>
      </c>
      <c r="M493" s="3048" t="s">
        <v>216</v>
      </c>
      <c r="N493" s="3047">
        <v>45559</v>
      </c>
      <c r="O493" s="3047">
        <v>45576</v>
      </c>
      <c r="P493" s="3047"/>
      <c r="Q493" s="3018"/>
      <c r="R493" s="3048"/>
      <c r="S493" s="2157"/>
      <c r="T493" s="2157"/>
      <c r="U493" s="2415"/>
      <c r="V493" s="2415"/>
      <c r="W493" s="2415"/>
      <c r="X493" s="2160"/>
      <c r="Y493" s="2157"/>
      <c r="Z493" s="3047"/>
      <c r="AA493" s="3047"/>
      <c r="AB493" s="3047"/>
      <c r="AC493" s="2976"/>
      <c r="AD493" s="2976"/>
      <c r="AE493" s="118">
        <v>3</v>
      </c>
    </row>
    <row r="494" spans="1:31">
      <c r="A494" s="3047">
        <v>45519</v>
      </c>
      <c r="B494" s="3018" t="s">
        <v>18144</v>
      </c>
      <c r="C494" s="3048" t="s">
        <v>16688</v>
      </c>
      <c r="D494" s="3048" t="s">
        <v>7475</v>
      </c>
      <c r="E494" s="3048" t="s">
        <v>13951</v>
      </c>
      <c r="F494" s="3049" t="s">
        <v>18145</v>
      </c>
      <c r="G494" s="3048"/>
      <c r="H494" s="3018"/>
      <c r="I494" s="3018" t="s">
        <v>15373</v>
      </c>
      <c r="J494" s="3048" t="s">
        <v>1150</v>
      </c>
      <c r="K494" s="3048"/>
      <c r="L494" s="2157">
        <v>750000</v>
      </c>
      <c r="M494" s="3048" t="s">
        <v>112</v>
      </c>
      <c r="N494" s="3047">
        <v>45525</v>
      </c>
      <c r="O494" s="3047">
        <v>45537</v>
      </c>
      <c r="P494" s="3047">
        <v>45573</v>
      </c>
      <c r="Q494" s="3018" t="s">
        <v>18514</v>
      </c>
      <c r="R494" s="3048"/>
      <c r="S494" s="2157">
        <v>1202647.8</v>
      </c>
      <c r="T494" s="2157">
        <v>1455203.84</v>
      </c>
      <c r="U494" s="2415"/>
      <c r="V494" s="2415"/>
      <c r="W494" s="2415"/>
      <c r="X494" s="2160">
        <v>45573</v>
      </c>
      <c r="Y494" s="2157" t="s">
        <v>18678</v>
      </c>
      <c r="Z494" s="3047"/>
      <c r="AA494" s="3047"/>
      <c r="AB494" s="3047"/>
      <c r="AC494" s="2976"/>
      <c r="AD494" s="2976"/>
      <c r="AE494" s="118">
        <v>3</v>
      </c>
    </row>
    <row r="495" spans="1:31">
      <c r="A495" s="3047">
        <v>45523</v>
      </c>
      <c r="B495" s="3018" t="s">
        <v>18163</v>
      </c>
      <c r="C495" s="3048" t="s">
        <v>16684</v>
      </c>
      <c r="D495" s="3048" t="s">
        <v>55</v>
      </c>
      <c r="E495" s="3048" t="s">
        <v>13948</v>
      </c>
      <c r="F495" s="3049" t="s">
        <v>718</v>
      </c>
      <c r="G495" s="3048"/>
      <c r="H495" s="3018"/>
      <c r="I495" s="3018" t="s">
        <v>4837</v>
      </c>
      <c r="J495" s="3048" t="s">
        <v>2920</v>
      </c>
      <c r="K495" s="3048"/>
      <c r="L495" s="2157">
        <v>2000000</v>
      </c>
      <c r="M495" s="3048" t="s">
        <v>251</v>
      </c>
      <c r="N495" s="3047">
        <v>45539</v>
      </c>
      <c r="O495" s="3047">
        <v>45574</v>
      </c>
      <c r="P495" s="3047"/>
      <c r="Q495" s="3018"/>
      <c r="R495" s="3048"/>
      <c r="S495" s="2157"/>
      <c r="T495" s="2157"/>
      <c r="U495" s="2415"/>
      <c r="V495" s="2415"/>
      <c r="W495" s="2415"/>
      <c r="X495" s="2160"/>
      <c r="Y495" s="2157"/>
      <c r="Z495" s="3047"/>
      <c r="AA495" s="3047"/>
      <c r="AB495" s="3047"/>
      <c r="AC495" s="2976"/>
      <c r="AD495" s="2976"/>
      <c r="AE495" s="118">
        <v>1</v>
      </c>
    </row>
    <row r="496" spans="1:31">
      <c r="A496" s="3042">
        <v>45523</v>
      </c>
      <c r="B496" s="3043" t="s">
        <v>18164</v>
      </c>
      <c r="C496" s="3044" t="s">
        <v>16684</v>
      </c>
      <c r="D496" s="3044" t="s">
        <v>55</v>
      </c>
      <c r="E496" s="3044" t="s">
        <v>13948</v>
      </c>
      <c r="F496" s="3021" t="s">
        <v>18165</v>
      </c>
      <c r="G496" s="3044"/>
      <c r="H496" s="3043"/>
      <c r="I496" s="3043" t="s">
        <v>15448</v>
      </c>
      <c r="J496" s="3044" t="s">
        <v>756</v>
      </c>
      <c r="K496" s="3044"/>
      <c r="L496" s="2092">
        <v>2160000</v>
      </c>
      <c r="M496" s="3044" t="s">
        <v>251</v>
      </c>
      <c r="N496" s="3042">
        <v>45540</v>
      </c>
      <c r="O496" s="3042">
        <v>45603</v>
      </c>
      <c r="P496" s="3042"/>
      <c r="Q496" s="3043"/>
      <c r="R496" s="3044"/>
      <c r="S496" s="2092"/>
      <c r="T496" s="2092"/>
      <c r="U496" s="2094"/>
      <c r="V496" s="2094"/>
      <c r="W496" s="2094"/>
      <c r="X496" s="2456"/>
      <c r="Y496" s="2092"/>
      <c r="Z496" s="3042"/>
      <c r="AA496" s="3042"/>
      <c r="AB496" s="3042"/>
      <c r="AC496" s="2976"/>
      <c r="AD496" s="2976"/>
    </row>
    <row r="497" spans="1:31" ht="30">
      <c r="A497" s="3047">
        <v>45524</v>
      </c>
      <c r="B497" s="3018" t="s">
        <v>18177</v>
      </c>
      <c r="C497" s="3048" t="s">
        <v>58</v>
      </c>
      <c r="D497" s="3048" t="s">
        <v>15443</v>
      </c>
      <c r="E497" s="3048" t="s">
        <v>13948</v>
      </c>
      <c r="F497" s="3049" t="s">
        <v>14302</v>
      </c>
      <c r="G497" s="3048"/>
      <c r="H497" s="3018"/>
      <c r="I497" s="3018" t="s">
        <v>15373</v>
      </c>
      <c r="J497" s="3048" t="s">
        <v>462</v>
      </c>
      <c r="K497" s="3048" t="s">
        <v>18178</v>
      </c>
      <c r="L497" s="2157">
        <v>307920</v>
      </c>
      <c r="M497" s="3048" t="s">
        <v>251</v>
      </c>
      <c r="N497" s="3047">
        <v>45530</v>
      </c>
      <c r="O497" s="3047">
        <v>45565</v>
      </c>
      <c r="P497" s="3047">
        <v>45580</v>
      </c>
      <c r="Q497" s="3018" t="s">
        <v>5913</v>
      </c>
      <c r="R497" s="3048"/>
      <c r="S497" s="2157">
        <v>293700</v>
      </c>
      <c r="T497" s="2157">
        <v>355377</v>
      </c>
      <c r="U497" s="2094"/>
      <c r="V497" s="2094"/>
      <c r="W497" s="2094"/>
      <c r="X497" s="2160">
        <v>45580</v>
      </c>
      <c r="Y497" s="2326" t="s">
        <v>18735</v>
      </c>
      <c r="Z497" s="3047"/>
      <c r="AA497" s="3047"/>
      <c r="AB497" s="3047"/>
      <c r="AC497" s="2976"/>
      <c r="AD497" s="2976"/>
      <c r="AE497" s="118">
        <v>1</v>
      </c>
    </row>
    <row r="498" spans="1:31">
      <c r="A498" s="3070">
        <v>45520</v>
      </c>
      <c r="B498" s="2877" t="s">
        <v>18611</v>
      </c>
      <c r="C498" s="2877" t="s">
        <v>16536</v>
      </c>
      <c r="D498" s="2877" t="s">
        <v>913</v>
      </c>
      <c r="E498" s="2877" t="s">
        <v>13949</v>
      </c>
      <c r="F498" s="2913" t="s">
        <v>18653</v>
      </c>
      <c r="G498" s="2877"/>
      <c r="H498" s="2289"/>
      <c r="I498" s="2289" t="s">
        <v>4837</v>
      </c>
      <c r="J498" s="2877" t="s">
        <v>11795</v>
      </c>
      <c r="K498" s="2877"/>
      <c r="L498" s="2144">
        <v>720000000</v>
      </c>
      <c r="M498" s="2877" t="s">
        <v>16391</v>
      </c>
      <c r="N498" s="3070">
        <v>45533</v>
      </c>
      <c r="O498" s="3070">
        <v>45566</v>
      </c>
      <c r="P498" s="3070">
        <v>45579</v>
      </c>
      <c r="Q498" s="2289" t="s">
        <v>17180</v>
      </c>
      <c r="R498" s="2275"/>
      <c r="S498" s="2144"/>
      <c r="T498" s="2144"/>
      <c r="U498" s="2080"/>
      <c r="V498" s="2080"/>
      <c r="W498" s="2080"/>
      <c r="X498" s="2146"/>
      <c r="Y498" s="2144"/>
      <c r="Z498" s="2877"/>
      <c r="AA498" s="3047">
        <v>45579</v>
      </c>
      <c r="AB498" s="2289"/>
      <c r="AC498" s="2976"/>
      <c r="AD498" s="2976"/>
      <c r="AE498" s="118">
        <v>9</v>
      </c>
    </row>
    <row r="499" spans="1:31">
      <c r="A499" s="3070">
        <v>45525</v>
      </c>
      <c r="B499" s="2289" t="s">
        <v>18183</v>
      </c>
      <c r="C499" s="2877" t="s">
        <v>52</v>
      </c>
      <c r="D499" s="2877" t="s">
        <v>18069</v>
      </c>
      <c r="E499" s="2877" t="s">
        <v>13951</v>
      </c>
      <c r="F499" s="2913" t="s">
        <v>18184</v>
      </c>
      <c r="G499" s="2877"/>
      <c r="H499" s="2289"/>
      <c r="I499" s="2289" t="s">
        <v>15369</v>
      </c>
      <c r="J499" s="2877" t="s">
        <v>17286</v>
      </c>
      <c r="K499" s="2877"/>
      <c r="L499" s="2144">
        <v>944400</v>
      </c>
      <c r="M499" s="2877" t="s">
        <v>112</v>
      </c>
      <c r="N499" s="3070">
        <v>45532</v>
      </c>
      <c r="O499" s="3070">
        <v>45544</v>
      </c>
      <c r="P499" s="3070">
        <v>45554</v>
      </c>
      <c r="Q499" s="2289" t="s">
        <v>18434</v>
      </c>
      <c r="R499" s="2877"/>
      <c r="S499" s="2144">
        <v>512400</v>
      </c>
      <c r="T499" s="2144">
        <v>512400</v>
      </c>
      <c r="U499" s="2145"/>
      <c r="V499" s="2145"/>
      <c r="W499" s="2145"/>
      <c r="X499" s="2146">
        <v>45554</v>
      </c>
      <c r="Y499" s="2144" t="s">
        <v>18467</v>
      </c>
      <c r="Z499" s="3070">
        <v>45567</v>
      </c>
      <c r="AA499" s="3070">
        <v>45572</v>
      </c>
      <c r="AB499" s="3070"/>
      <c r="AC499" s="2976"/>
      <c r="AD499" s="2976"/>
      <c r="AE499" s="118">
        <v>3</v>
      </c>
    </row>
    <row r="500" spans="1:31">
      <c r="A500" s="3067">
        <v>45525</v>
      </c>
      <c r="B500" s="3068" t="s">
        <v>18198</v>
      </c>
      <c r="C500" s="3069" t="s">
        <v>16536</v>
      </c>
      <c r="D500" s="3069" t="s">
        <v>15129</v>
      </c>
      <c r="E500" s="3069" t="s">
        <v>13949</v>
      </c>
      <c r="F500" s="2914" t="s">
        <v>18199</v>
      </c>
      <c r="G500" s="3069"/>
      <c r="H500" s="3068"/>
      <c r="I500" s="3068" t="s">
        <v>242</v>
      </c>
      <c r="J500" s="3069" t="s">
        <v>815</v>
      </c>
      <c r="K500" s="3069"/>
      <c r="L500" s="2128">
        <v>3540428</v>
      </c>
      <c r="M500" s="3069" t="s">
        <v>251</v>
      </c>
      <c r="N500" s="3067">
        <v>45501</v>
      </c>
      <c r="O500" s="3067">
        <v>45566</v>
      </c>
      <c r="P500" s="3067"/>
      <c r="Q500" s="2136" t="s">
        <v>304</v>
      </c>
      <c r="R500" s="3069"/>
      <c r="S500" s="2128"/>
      <c r="T500" s="2128"/>
      <c r="U500" s="2129"/>
      <c r="V500" s="2129"/>
      <c r="W500" s="2129"/>
      <c r="X500" s="2281"/>
      <c r="Y500" s="2128"/>
      <c r="Z500" s="3067"/>
      <c r="AA500" s="3067">
        <v>45568</v>
      </c>
      <c r="AB500" s="3067" t="s">
        <v>18640</v>
      </c>
      <c r="AC500" s="2976"/>
      <c r="AD500" s="2976"/>
    </row>
    <row r="501" spans="1:31">
      <c r="A501" s="3042">
        <v>45537</v>
      </c>
      <c r="B501" s="3043" t="s">
        <v>18328</v>
      </c>
      <c r="C501" s="3044" t="s">
        <v>58</v>
      </c>
      <c r="D501" s="3044" t="s">
        <v>15443</v>
      </c>
      <c r="E501" s="3044" t="s">
        <v>13948</v>
      </c>
      <c r="F501" s="3021" t="s">
        <v>18329</v>
      </c>
      <c r="G501" s="3044"/>
      <c r="H501" s="3043"/>
      <c r="I501" s="3043" t="s">
        <v>15448</v>
      </c>
      <c r="J501" s="3044" t="s">
        <v>5676</v>
      </c>
      <c r="K501" s="3044" t="s">
        <v>18330</v>
      </c>
      <c r="L501" s="2092">
        <v>1580000</v>
      </c>
      <c r="M501" s="3044" t="s">
        <v>251</v>
      </c>
      <c r="N501" s="3042">
        <v>45565</v>
      </c>
      <c r="O501" s="3042">
        <v>45601</v>
      </c>
      <c r="P501" s="3042"/>
      <c r="Q501" s="3043"/>
      <c r="R501" s="3044"/>
      <c r="S501" s="2092"/>
      <c r="T501" s="2092"/>
      <c r="U501" s="2094"/>
      <c r="V501" s="2094"/>
      <c r="W501" s="2094"/>
      <c r="X501" s="2456"/>
      <c r="Y501" s="2092"/>
      <c r="Z501" s="3042"/>
      <c r="AA501" s="3042"/>
      <c r="AB501" s="3042"/>
      <c r="AC501" s="2976"/>
      <c r="AD501" s="2976"/>
    </row>
    <row r="502" spans="1:31">
      <c r="A502" s="3042">
        <v>45530</v>
      </c>
      <c r="B502" s="3043" t="s">
        <v>18226</v>
      </c>
      <c r="C502" s="3044" t="s">
        <v>58</v>
      </c>
      <c r="D502" s="3044" t="s">
        <v>15443</v>
      </c>
      <c r="E502" s="3044" t="s">
        <v>13948</v>
      </c>
      <c r="F502" s="3021" t="s">
        <v>18227</v>
      </c>
      <c r="G502" s="3044"/>
      <c r="H502" s="3043"/>
      <c r="I502" s="3043" t="s">
        <v>15448</v>
      </c>
      <c r="J502" s="3044" t="s">
        <v>5676</v>
      </c>
      <c r="K502" s="3044" t="s">
        <v>18228</v>
      </c>
      <c r="L502" s="2092">
        <v>4580000</v>
      </c>
      <c r="M502" s="3044" t="s">
        <v>251</v>
      </c>
      <c r="N502" s="3042">
        <v>45558</v>
      </c>
      <c r="O502" s="3042">
        <v>45594</v>
      </c>
      <c r="P502" s="3042"/>
      <c r="Q502" s="3043"/>
      <c r="R502" s="3044"/>
      <c r="S502" s="2092"/>
      <c r="T502" s="2092"/>
      <c r="U502" s="2094"/>
      <c r="V502" s="2094"/>
      <c r="W502" s="2094"/>
      <c r="X502" s="2456"/>
      <c r="Y502" s="2092"/>
      <c r="Z502" s="3042"/>
      <c r="AA502" s="3042"/>
      <c r="AB502" s="3042"/>
      <c r="AC502" s="2976"/>
      <c r="AD502" s="2976"/>
    </row>
    <row r="503" spans="1:31">
      <c r="A503" s="3042">
        <v>45530</v>
      </c>
      <c r="B503" s="3043" t="s">
        <v>18223</v>
      </c>
      <c r="C503" s="3044" t="s">
        <v>58</v>
      </c>
      <c r="D503" s="3044" t="s">
        <v>15443</v>
      </c>
      <c r="E503" s="3044" t="s">
        <v>13948</v>
      </c>
      <c r="F503" s="3021" t="s">
        <v>18224</v>
      </c>
      <c r="G503" s="3044"/>
      <c r="H503" s="3043"/>
      <c r="I503" s="3043" t="s">
        <v>15448</v>
      </c>
      <c r="J503" s="3044" t="s">
        <v>5676</v>
      </c>
      <c r="K503" s="3044" t="s">
        <v>18225</v>
      </c>
      <c r="L503" s="2092">
        <v>4991039</v>
      </c>
      <c r="M503" s="3044" t="s">
        <v>251</v>
      </c>
      <c r="N503" s="3042">
        <v>45560</v>
      </c>
      <c r="O503" s="3042">
        <v>45596</v>
      </c>
      <c r="P503" s="3042"/>
      <c r="Q503" s="3043"/>
      <c r="R503" s="3044"/>
      <c r="S503" s="2092"/>
      <c r="T503" s="2092"/>
      <c r="U503" s="2094"/>
      <c r="V503" s="2094"/>
      <c r="W503" s="2094"/>
      <c r="X503" s="2456"/>
      <c r="Y503" s="2092"/>
      <c r="Z503" s="3042"/>
      <c r="AA503" s="3042"/>
      <c r="AB503" s="3042"/>
      <c r="AC503" s="2976"/>
      <c r="AD503" s="2976"/>
    </row>
    <row r="504" spans="1:31">
      <c r="A504" s="3047">
        <v>45525</v>
      </c>
      <c r="B504" s="3018" t="s">
        <v>18196</v>
      </c>
      <c r="C504" s="3048" t="s">
        <v>16536</v>
      </c>
      <c r="D504" s="3048" t="s">
        <v>15129</v>
      </c>
      <c r="E504" s="3048" t="s">
        <v>13949</v>
      </c>
      <c r="F504" s="3049" t="s">
        <v>18197</v>
      </c>
      <c r="G504" s="3048"/>
      <c r="H504" s="3018"/>
      <c r="I504" s="3018" t="s">
        <v>4837</v>
      </c>
      <c r="J504" s="3048" t="s">
        <v>12172</v>
      </c>
      <c r="K504" s="3048"/>
      <c r="L504" s="2157">
        <v>4720365</v>
      </c>
      <c r="M504" s="3048" t="s">
        <v>251</v>
      </c>
      <c r="N504" s="3047">
        <v>45531</v>
      </c>
      <c r="O504" s="3047">
        <v>45566</v>
      </c>
      <c r="P504" s="3048" t="s">
        <v>18466</v>
      </c>
      <c r="Q504" s="3222"/>
      <c r="R504" s="3048"/>
      <c r="S504" s="2157"/>
      <c r="T504" s="2157"/>
      <c r="U504" s="2094"/>
      <c r="V504" s="2094"/>
      <c r="W504" s="2094"/>
      <c r="X504" s="2157"/>
      <c r="Y504" s="2157"/>
      <c r="Z504" s="3048"/>
      <c r="AA504" s="3047"/>
      <c r="AB504" s="3018"/>
      <c r="AC504" s="2976"/>
      <c r="AD504" s="2976"/>
      <c r="AE504" s="118">
        <v>1</v>
      </c>
    </row>
    <row r="505" spans="1:31">
      <c r="A505" s="3042">
        <v>45530</v>
      </c>
      <c r="B505" s="3043" t="s">
        <v>18220</v>
      </c>
      <c r="C505" s="3044" t="s">
        <v>58</v>
      </c>
      <c r="D505" s="3044" t="s">
        <v>15443</v>
      </c>
      <c r="E505" s="3044" t="s">
        <v>13948</v>
      </c>
      <c r="F505" s="3021" t="s">
        <v>18221</v>
      </c>
      <c r="G505" s="3044"/>
      <c r="H505" s="3043"/>
      <c r="I505" s="3043" t="s">
        <v>15448</v>
      </c>
      <c r="J505" s="3044" t="s">
        <v>5676</v>
      </c>
      <c r="K505" s="3044" t="s">
        <v>18222</v>
      </c>
      <c r="L505" s="2092">
        <v>4339000</v>
      </c>
      <c r="M505" s="3044" t="s">
        <v>251</v>
      </c>
      <c r="N505" s="3042">
        <v>45561</v>
      </c>
      <c r="O505" s="3042">
        <v>45597</v>
      </c>
      <c r="P505" s="3044"/>
      <c r="Q505" s="2439"/>
      <c r="R505" s="3044"/>
      <c r="S505" s="2092"/>
      <c r="T505" s="2092"/>
      <c r="U505" s="2094"/>
      <c r="V505" s="2094"/>
      <c r="W505" s="2094"/>
      <c r="X505" s="2092"/>
      <c r="Y505" s="2092"/>
      <c r="Z505" s="3044"/>
      <c r="AA505" s="3042"/>
      <c r="AB505" s="3043"/>
      <c r="AC505" s="2976"/>
      <c r="AD505" s="2976"/>
    </row>
    <row r="506" spans="1:31" ht="30.75" thickBot="1">
      <c r="A506" s="612" t="s">
        <v>18008</v>
      </c>
      <c r="B506" s="2911" t="s">
        <v>18204</v>
      </c>
      <c r="C506" s="609" t="s">
        <v>58</v>
      </c>
      <c r="D506" s="609" t="s">
        <v>15443</v>
      </c>
      <c r="E506" s="609" t="s">
        <v>13951</v>
      </c>
      <c r="F506" s="610" t="s">
        <v>18205</v>
      </c>
      <c r="G506" s="609"/>
      <c r="H506" s="2911"/>
      <c r="I506" s="2911" t="s">
        <v>15369</v>
      </c>
      <c r="J506" s="609" t="s">
        <v>18011</v>
      </c>
      <c r="K506" s="609" t="s">
        <v>18010</v>
      </c>
      <c r="L506" s="417">
        <v>258300</v>
      </c>
      <c r="M506" s="609" t="s">
        <v>112</v>
      </c>
      <c r="N506" s="612">
        <v>45530</v>
      </c>
      <c r="O506" s="612">
        <v>45541</v>
      </c>
      <c r="P506" s="612">
        <v>45547</v>
      </c>
      <c r="Q506" s="2911" t="s">
        <v>5726</v>
      </c>
      <c r="R506" s="609"/>
      <c r="S506" s="417">
        <v>258300</v>
      </c>
      <c r="T506" s="417">
        <v>312543</v>
      </c>
      <c r="U506" s="1480"/>
      <c r="V506" s="1480"/>
      <c r="W506" s="1480"/>
      <c r="X506" s="513">
        <v>45547</v>
      </c>
      <c r="Y506" s="1553" t="s">
        <v>18443</v>
      </c>
      <c r="Z506" s="612">
        <v>45579</v>
      </c>
      <c r="AA506" s="3102"/>
      <c r="AB506" s="612">
        <v>45635</v>
      </c>
      <c r="AC506" s="2976"/>
      <c r="AD506" s="2976"/>
      <c r="AE506" s="118">
        <v>1</v>
      </c>
    </row>
    <row r="507" spans="1:31" ht="15.75" thickTop="1">
      <c r="A507" s="687">
        <v>45530</v>
      </c>
      <c r="B507" s="1883" t="s">
        <v>18229</v>
      </c>
      <c r="C507" s="688" t="s">
        <v>58</v>
      </c>
      <c r="D507" s="688" t="s">
        <v>15443</v>
      </c>
      <c r="E507" s="688" t="s">
        <v>15813</v>
      </c>
      <c r="F507" s="684" t="s">
        <v>14949</v>
      </c>
      <c r="G507" s="688">
        <v>1</v>
      </c>
      <c r="H507" s="1883" t="s">
        <v>18231</v>
      </c>
      <c r="I507" s="1883" t="s">
        <v>242</v>
      </c>
      <c r="J507" s="688" t="s">
        <v>292</v>
      </c>
      <c r="K507" s="688" t="s">
        <v>18232</v>
      </c>
      <c r="L507" s="444">
        <v>142000</v>
      </c>
      <c r="M507" s="688" t="s">
        <v>251</v>
      </c>
      <c r="N507" s="687">
        <v>45541</v>
      </c>
      <c r="O507" s="687">
        <v>45575</v>
      </c>
      <c r="P507" s="687"/>
      <c r="Q507" s="753" t="s">
        <v>304</v>
      </c>
      <c r="R507" s="688"/>
      <c r="S507" s="444"/>
      <c r="T507" s="444"/>
      <c r="U507" s="1483"/>
      <c r="V507" s="1483"/>
      <c r="W507" s="1483"/>
      <c r="X507" s="1884"/>
      <c r="Y507" s="2712"/>
      <c r="Z507" s="687"/>
      <c r="AA507" s="3416"/>
      <c r="AB507" s="3085" t="s">
        <v>18705</v>
      </c>
      <c r="AC507" s="2976"/>
      <c r="AD507" s="2976"/>
    </row>
    <row r="508" spans="1:31" ht="15.75" thickBot="1">
      <c r="A508" s="3050">
        <v>45530</v>
      </c>
      <c r="B508" s="3051" t="s">
        <v>18230</v>
      </c>
      <c r="C508" s="3052" t="s">
        <v>58</v>
      </c>
      <c r="D508" s="3052" t="s">
        <v>15443</v>
      </c>
      <c r="E508" s="3052" t="s">
        <v>15813</v>
      </c>
      <c r="F508" s="3053" t="s">
        <v>14949</v>
      </c>
      <c r="G508" s="3052">
        <v>2</v>
      </c>
      <c r="H508" s="3051" t="s">
        <v>18234</v>
      </c>
      <c r="I508" s="3051" t="s">
        <v>4837</v>
      </c>
      <c r="J508" s="3052" t="s">
        <v>292</v>
      </c>
      <c r="K508" s="3052" t="s">
        <v>18233</v>
      </c>
      <c r="L508" s="2299">
        <v>2046921</v>
      </c>
      <c r="M508" s="3052" t="s">
        <v>251</v>
      </c>
      <c r="N508" s="3050">
        <v>45541</v>
      </c>
      <c r="O508" s="3050">
        <v>45575</v>
      </c>
      <c r="P508" s="3050"/>
      <c r="Q508" s="3051"/>
      <c r="R508" s="3052"/>
      <c r="S508" s="2299"/>
      <c r="T508" s="2299"/>
      <c r="U508" s="2095"/>
      <c r="V508" s="2095"/>
      <c r="W508" s="2095"/>
      <c r="X508" s="2315"/>
      <c r="Y508" s="2341"/>
      <c r="Z508" s="3050"/>
      <c r="AA508" s="3050"/>
      <c r="AB508" s="3050"/>
      <c r="AC508" s="2976"/>
      <c r="AD508" s="2976"/>
      <c r="AE508" s="118">
        <v>1</v>
      </c>
    </row>
    <row r="509" spans="1:31" ht="15.75" thickTop="1">
      <c r="A509" s="3074">
        <v>45526</v>
      </c>
      <c r="B509" s="3075" t="s">
        <v>18215</v>
      </c>
      <c r="C509" s="3076" t="s">
        <v>2434</v>
      </c>
      <c r="D509" s="3076" t="s">
        <v>3204</v>
      </c>
      <c r="E509" s="3076" t="s">
        <v>13948</v>
      </c>
      <c r="F509" s="3077" t="s">
        <v>9111</v>
      </c>
      <c r="G509" s="3076"/>
      <c r="H509" s="3075"/>
      <c r="I509" s="3075" t="s">
        <v>4837</v>
      </c>
      <c r="J509" s="3076" t="s">
        <v>2800</v>
      </c>
      <c r="K509" s="3076"/>
      <c r="L509" s="841">
        <v>7885385</v>
      </c>
      <c r="M509" s="3076" t="s">
        <v>251</v>
      </c>
      <c r="N509" s="3074">
        <v>45532</v>
      </c>
      <c r="O509" s="3074">
        <v>45567</v>
      </c>
      <c r="P509" s="3074"/>
      <c r="Q509" s="3075"/>
      <c r="R509" s="3076"/>
      <c r="S509" s="841"/>
      <c r="T509" s="841"/>
      <c r="U509" s="1476"/>
      <c r="V509" s="1476"/>
      <c r="W509" s="1476"/>
      <c r="X509" s="1392"/>
      <c r="Y509" s="841"/>
      <c r="Z509" s="3074"/>
      <c r="AA509" s="3074"/>
      <c r="AB509" s="3076"/>
      <c r="AC509" s="2976"/>
      <c r="AD509" s="2976"/>
      <c r="AE509" s="118">
        <v>1</v>
      </c>
    </row>
    <row r="510" spans="1:31">
      <c r="A510" s="3047">
        <v>45532</v>
      </c>
      <c r="B510" s="3018" t="s">
        <v>18280</v>
      </c>
      <c r="C510" s="3048" t="s">
        <v>16559</v>
      </c>
      <c r="D510" s="3048" t="s">
        <v>9080</v>
      </c>
      <c r="E510" s="3048" t="s">
        <v>15813</v>
      </c>
      <c r="F510" s="3049" t="s">
        <v>18281</v>
      </c>
      <c r="G510" s="3048"/>
      <c r="H510" s="3018"/>
      <c r="I510" s="3018" t="s">
        <v>4837</v>
      </c>
      <c r="J510" s="3048" t="s">
        <v>17882</v>
      </c>
      <c r="K510" s="3048"/>
      <c r="L510" s="2157">
        <v>2330180</v>
      </c>
      <c r="M510" s="3048" t="s">
        <v>251</v>
      </c>
      <c r="N510" s="3047">
        <v>45539</v>
      </c>
      <c r="O510" s="3047">
        <v>45579</v>
      </c>
      <c r="P510" s="3047"/>
      <c r="Q510" s="3018"/>
      <c r="R510" s="3048"/>
      <c r="S510" s="2157"/>
      <c r="T510" s="2157"/>
      <c r="U510" s="2094"/>
      <c r="V510" s="2094"/>
      <c r="W510" s="2094"/>
      <c r="X510" s="2160"/>
      <c r="Y510" s="2157"/>
      <c r="Z510" s="3047"/>
      <c r="AA510" s="3047"/>
      <c r="AB510" s="3048"/>
      <c r="AC510" s="2976"/>
      <c r="AD510" s="2976"/>
      <c r="AE510" s="118">
        <v>3</v>
      </c>
    </row>
    <row r="511" spans="1:31">
      <c r="A511" s="3128">
        <v>45568</v>
      </c>
      <c r="B511" s="3129" t="s">
        <v>18243</v>
      </c>
      <c r="C511" s="3130" t="s">
        <v>16537</v>
      </c>
      <c r="D511" s="3130" t="s">
        <v>70</v>
      </c>
      <c r="E511" s="3130" t="s">
        <v>13949</v>
      </c>
      <c r="F511" s="3419" t="s">
        <v>14789</v>
      </c>
      <c r="G511" s="3130"/>
      <c r="H511" s="3129"/>
      <c r="I511" s="3129" t="s">
        <v>17975</v>
      </c>
      <c r="J511" s="3129" t="s">
        <v>8554</v>
      </c>
      <c r="K511" s="3130" t="s">
        <v>18244</v>
      </c>
      <c r="L511" s="2387">
        <v>26892400</v>
      </c>
      <c r="M511" s="3130" t="s">
        <v>251</v>
      </c>
      <c r="N511" s="3128"/>
      <c r="O511" s="3128"/>
      <c r="P511" s="3128"/>
      <c r="Q511" s="3129"/>
      <c r="R511" s="3130"/>
      <c r="S511" s="2387"/>
      <c r="T511" s="2387"/>
      <c r="U511" s="2080"/>
      <c r="V511" s="2080"/>
      <c r="W511" s="2080"/>
      <c r="X511" s="3322"/>
      <c r="Y511" s="2387"/>
      <c r="Z511" s="3128"/>
      <c r="AA511" s="3128"/>
      <c r="AB511" s="3130"/>
      <c r="AC511" s="2976"/>
      <c r="AD511" s="2976"/>
    </row>
    <row r="512" spans="1:31">
      <c r="A512" s="3102" t="s">
        <v>17982</v>
      </c>
      <c r="B512" s="3103" t="s">
        <v>18216</v>
      </c>
      <c r="C512" s="3104" t="s">
        <v>16536</v>
      </c>
      <c r="D512" s="3104" t="s">
        <v>15131</v>
      </c>
      <c r="E512" s="3104" t="s">
        <v>13949</v>
      </c>
      <c r="F512" s="3105" t="s">
        <v>18217</v>
      </c>
      <c r="G512" s="3104"/>
      <c r="H512" s="3103"/>
      <c r="I512" s="3103" t="s">
        <v>4837</v>
      </c>
      <c r="J512" s="3104" t="s">
        <v>4188</v>
      </c>
      <c r="K512" s="3104"/>
      <c r="L512" s="465">
        <v>4651492</v>
      </c>
      <c r="M512" s="3104" t="s">
        <v>235</v>
      </c>
      <c r="N512" s="3102">
        <v>45547</v>
      </c>
      <c r="O512" s="3102">
        <v>45559</v>
      </c>
      <c r="P512" s="3102"/>
      <c r="Q512" s="3103"/>
      <c r="R512" s="3104"/>
      <c r="S512" s="465"/>
      <c r="T512" s="465"/>
      <c r="U512" s="1490"/>
      <c r="V512" s="1490"/>
      <c r="W512" s="1490"/>
      <c r="X512" s="1809"/>
      <c r="Y512" s="1829"/>
      <c r="Z512" s="3102"/>
      <c r="AA512" s="3102"/>
      <c r="AB512" s="3102"/>
      <c r="AC512" s="2976"/>
      <c r="AD512" s="2976"/>
      <c r="AE512" s="118">
        <v>1</v>
      </c>
    </row>
    <row r="513" spans="1:31" ht="15.75" thickBot="1">
      <c r="A513" s="3261">
        <v>45580</v>
      </c>
      <c r="B513" s="3262" t="s">
        <v>18737</v>
      </c>
      <c r="C513" s="3059" t="s">
        <v>16537</v>
      </c>
      <c r="D513" s="3059" t="s">
        <v>13844</v>
      </c>
      <c r="E513" s="3059" t="s">
        <v>13949</v>
      </c>
      <c r="F513" s="3263" t="s">
        <v>18738</v>
      </c>
      <c r="G513" s="3059"/>
      <c r="H513" s="3262"/>
      <c r="I513" s="3262" t="s">
        <v>15370</v>
      </c>
      <c r="J513" s="3059" t="s">
        <v>18739</v>
      </c>
      <c r="K513" s="3059" t="s">
        <v>18749</v>
      </c>
      <c r="L513" s="3264">
        <v>4360800</v>
      </c>
      <c r="M513" s="3059" t="s">
        <v>251</v>
      </c>
      <c r="N513" s="3261"/>
      <c r="O513" s="3261"/>
      <c r="P513" s="3261"/>
      <c r="Q513" s="3262"/>
      <c r="R513" s="3059"/>
      <c r="S513" s="3264"/>
      <c r="T513" s="3264"/>
      <c r="U513" s="2924"/>
      <c r="V513" s="2924"/>
      <c r="W513" s="2924"/>
      <c r="X513" s="3269"/>
      <c r="Y513" s="3320"/>
      <c r="Z513" s="3261"/>
      <c r="AA513" s="3261"/>
      <c r="AB513" s="3261"/>
      <c r="AC513" s="2976"/>
      <c r="AD513" s="2976"/>
    </row>
    <row r="514" spans="1:31" ht="15.75" thickTop="1">
      <c r="A514" s="3071">
        <v>45531</v>
      </c>
      <c r="B514" s="2036" t="s">
        <v>18249</v>
      </c>
      <c r="C514" s="3072" t="s">
        <v>16536</v>
      </c>
      <c r="D514" s="3072" t="s">
        <v>15131</v>
      </c>
      <c r="E514" s="3072" t="s">
        <v>655</v>
      </c>
      <c r="F514" s="3073" t="s">
        <v>18250</v>
      </c>
      <c r="G514" s="3072">
        <v>1</v>
      </c>
      <c r="H514" s="2036" t="s">
        <v>18257</v>
      </c>
      <c r="I514" s="2036" t="s">
        <v>4837</v>
      </c>
      <c r="J514" s="3072" t="s">
        <v>2887</v>
      </c>
      <c r="K514" s="3072"/>
      <c r="L514" s="429">
        <v>20475</v>
      </c>
      <c r="M514" s="3072" t="s">
        <v>112</v>
      </c>
      <c r="N514" s="3071">
        <v>45539</v>
      </c>
      <c r="O514" s="3071">
        <v>45579</v>
      </c>
      <c r="P514" s="3071"/>
      <c r="Q514" s="2036"/>
      <c r="R514" s="3072"/>
      <c r="S514" s="429"/>
      <c r="T514" s="429"/>
      <c r="U514" s="1483"/>
      <c r="V514" s="1483"/>
      <c r="W514" s="1483"/>
      <c r="X514" s="1384"/>
      <c r="Y514" s="429"/>
      <c r="Z514" s="3071"/>
      <c r="AA514" s="3071"/>
      <c r="AB514" s="3071"/>
      <c r="AC514" s="2976"/>
      <c r="AD514" s="2976"/>
      <c r="AE514" s="118">
        <v>1</v>
      </c>
    </row>
    <row r="515" spans="1:31">
      <c r="A515" s="3047">
        <v>45531</v>
      </c>
      <c r="B515" s="3018" t="s">
        <v>18251</v>
      </c>
      <c r="C515" s="3048" t="s">
        <v>16536</v>
      </c>
      <c r="D515" s="3048" t="s">
        <v>15131</v>
      </c>
      <c r="E515" s="3048" t="s">
        <v>655</v>
      </c>
      <c r="F515" s="3049" t="s">
        <v>18250</v>
      </c>
      <c r="G515" s="3048">
        <v>2</v>
      </c>
      <c r="H515" s="3018" t="s">
        <v>18258</v>
      </c>
      <c r="I515" s="3018" t="s">
        <v>4837</v>
      </c>
      <c r="J515" s="3048" t="s">
        <v>2887</v>
      </c>
      <c r="K515" s="3048"/>
      <c r="L515" s="2157">
        <v>167888</v>
      </c>
      <c r="M515" s="3048" t="s">
        <v>112</v>
      </c>
      <c r="N515" s="3047">
        <v>45539</v>
      </c>
      <c r="O515" s="3047">
        <v>45579</v>
      </c>
      <c r="P515" s="3047"/>
      <c r="Q515" s="3018"/>
      <c r="R515" s="3048"/>
      <c r="S515" s="2157"/>
      <c r="T515" s="2157"/>
      <c r="U515" s="2094"/>
      <c r="V515" s="2094"/>
      <c r="W515" s="2094"/>
      <c r="X515" s="2160"/>
      <c r="Y515" s="2157"/>
      <c r="Z515" s="3047"/>
      <c r="AA515" s="3047"/>
      <c r="AB515" s="3047"/>
      <c r="AC515" s="2976"/>
      <c r="AD515" s="2976"/>
      <c r="AE515" s="118">
        <v>1</v>
      </c>
    </row>
    <row r="516" spans="1:31">
      <c r="A516" s="3047">
        <v>45531</v>
      </c>
      <c r="B516" s="3018" t="s">
        <v>18252</v>
      </c>
      <c r="C516" s="3048" t="s">
        <v>16536</v>
      </c>
      <c r="D516" s="3048" t="s">
        <v>15131</v>
      </c>
      <c r="E516" s="3048" t="s">
        <v>655</v>
      </c>
      <c r="F516" s="3049" t="s">
        <v>18250</v>
      </c>
      <c r="G516" s="3048">
        <v>3</v>
      </c>
      <c r="H516" s="3018" t="s">
        <v>18259</v>
      </c>
      <c r="I516" s="3018" t="s">
        <v>4837</v>
      </c>
      <c r="J516" s="3048" t="s">
        <v>2887</v>
      </c>
      <c r="K516" s="3048"/>
      <c r="L516" s="2157">
        <v>69300</v>
      </c>
      <c r="M516" s="3048" t="s">
        <v>112</v>
      </c>
      <c r="N516" s="3047">
        <v>45539</v>
      </c>
      <c r="O516" s="3047">
        <v>45579</v>
      </c>
      <c r="P516" s="3047"/>
      <c r="Q516" s="3018"/>
      <c r="R516" s="3048"/>
      <c r="S516" s="2157"/>
      <c r="T516" s="2157"/>
      <c r="U516" s="2094"/>
      <c r="V516" s="2094"/>
      <c r="W516" s="2094"/>
      <c r="X516" s="2160"/>
      <c r="Y516" s="2157"/>
      <c r="Z516" s="3047"/>
      <c r="AA516" s="3047"/>
      <c r="AB516" s="3047"/>
      <c r="AC516" s="2976"/>
      <c r="AD516" s="2976"/>
      <c r="AE516" s="118">
        <v>2</v>
      </c>
    </row>
    <row r="517" spans="1:31">
      <c r="A517" s="3047">
        <v>45531</v>
      </c>
      <c r="B517" s="3018" t="s">
        <v>18253</v>
      </c>
      <c r="C517" s="3048" t="s">
        <v>16536</v>
      </c>
      <c r="D517" s="3048" t="s">
        <v>15131</v>
      </c>
      <c r="E517" s="3048" t="s">
        <v>655</v>
      </c>
      <c r="F517" s="3049" t="s">
        <v>18250</v>
      </c>
      <c r="G517" s="3048">
        <v>4</v>
      </c>
      <c r="H517" s="3018" t="s">
        <v>18260</v>
      </c>
      <c r="I517" s="3018" t="s">
        <v>4837</v>
      </c>
      <c r="J517" s="3048" t="s">
        <v>2887</v>
      </c>
      <c r="K517" s="3048"/>
      <c r="L517" s="2157">
        <v>43782</v>
      </c>
      <c r="M517" s="3048" t="s">
        <v>112</v>
      </c>
      <c r="N517" s="3047">
        <v>45539</v>
      </c>
      <c r="O517" s="3047">
        <v>45579</v>
      </c>
      <c r="P517" s="3048"/>
      <c r="Q517" s="3222"/>
      <c r="R517" s="2320"/>
      <c r="S517" s="2157"/>
      <c r="T517" s="2157"/>
      <c r="U517" s="2094"/>
      <c r="V517" s="2094"/>
      <c r="W517" s="2094"/>
      <c r="X517" s="2157"/>
      <c r="Y517" s="2157"/>
      <c r="Z517" s="3048"/>
      <c r="AA517" s="3047"/>
      <c r="AB517" s="3048"/>
      <c r="AC517" s="2976"/>
      <c r="AD517" s="2976"/>
      <c r="AE517" s="118">
        <v>2</v>
      </c>
    </row>
    <row r="518" spans="1:31">
      <c r="A518" s="3047">
        <v>45531</v>
      </c>
      <c r="B518" s="3018" t="s">
        <v>18254</v>
      </c>
      <c r="C518" s="3048" t="s">
        <v>16536</v>
      </c>
      <c r="D518" s="3048" t="s">
        <v>15131</v>
      </c>
      <c r="E518" s="3048" t="s">
        <v>655</v>
      </c>
      <c r="F518" s="3049" t="s">
        <v>18250</v>
      </c>
      <c r="G518" s="3048">
        <v>5</v>
      </c>
      <c r="H518" s="3018" t="s">
        <v>18261</v>
      </c>
      <c r="I518" s="3018" t="s">
        <v>4837</v>
      </c>
      <c r="J518" s="3048" t="s">
        <v>2887</v>
      </c>
      <c r="K518" s="3048"/>
      <c r="L518" s="2157">
        <v>22008</v>
      </c>
      <c r="M518" s="3048" t="s">
        <v>112</v>
      </c>
      <c r="N518" s="3047">
        <v>45539</v>
      </c>
      <c r="O518" s="3047">
        <v>45579</v>
      </c>
      <c r="P518" s="3047"/>
      <c r="Q518" s="3018"/>
      <c r="R518" s="3048"/>
      <c r="S518" s="2157"/>
      <c r="T518" s="2157"/>
      <c r="U518" s="2094"/>
      <c r="V518" s="2094"/>
      <c r="W518" s="2094"/>
      <c r="X518" s="2160"/>
      <c r="Y518" s="2157"/>
      <c r="Z518" s="3047"/>
      <c r="AA518" s="3047"/>
      <c r="AB518" s="3048"/>
      <c r="AC518" s="2976"/>
      <c r="AD518" s="2976"/>
      <c r="AE518" s="118">
        <v>2</v>
      </c>
    </row>
    <row r="519" spans="1:31">
      <c r="A519" s="3047">
        <v>45531</v>
      </c>
      <c r="B519" s="3018" t="s">
        <v>18255</v>
      </c>
      <c r="C519" s="3048" t="s">
        <v>16536</v>
      </c>
      <c r="D519" s="3048" t="s">
        <v>15131</v>
      </c>
      <c r="E519" s="3048" t="s">
        <v>655</v>
      </c>
      <c r="F519" s="3049" t="s">
        <v>18250</v>
      </c>
      <c r="G519" s="3048">
        <v>6</v>
      </c>
      <c r="H519" s="3018" t="s">
        <v>18262</v>
      </c>
      <c r="I519" s="3018" t="s">
        <v>4837</v>
      </c>
      <c r="J519" s="3048" t="s">
        <v>2887</v>
      </c>
      <c r="K519" s="3048"/>
      <c r="L519" s="2157">
        <v>229878</v>
      </c>
      <c r="M519" s="3048" t="s">
        <v>112</v>
      </c>
      <c r="N519" s="3047">
        <v>45539</v>
      </c>
      <c r="O519" s="3047">
        <v>45579</v>
      </c>
      <c r="P519" s="3047"/>
      <c r="Q519" s="3018"/>
      <c r="R519" s="3048"/>
      <c r="S519" s="2157"/>
      <c r="T519" s="2157"/>
      <c r="U519" s="2094"/>
      <c r="V519" s="2094"/>
      <c r="W519" s="2094"/>
      <c r="X519" s="2160"/>
      <c r="Y519" s="2157"/>
      <c r="Z519" s="3047"/>
      <c r="AA519" s="3047"/>
      <c r="AB519" s="3048"/>
      <c r="AC519" s="2976"/>
      <c r="AD519" s="2976"/>
      <c r="AE519" s="118">
        <v>2</v>
      </c>
    </row>
    <row r="520" spans="1:31" ht="15.75" thickBot="1">
      <c r="A520" s="3050">
        <v>45531</v>
      </c>
      <c r="B520" s="3051" t="s">
        <v>18256</v>
      </c>
      <c r="C520" s="3052" t="s">
        <v>16536</v>
      </c>
      <c r="D520" s="3052" t="s">
        <v>15131</v>
      </c>
      <c r="E520" s="3052" t="s">
        <v>655</v>
      </c>
      <c r="F520" s="3053" t="s">
        <v>18250</v>
      </c>
      <c r="G520" s="3052">
        <v>7</v>
      </c>
      <c r="H520" s="3051" t="s">
        <v>18263</v>
      </c>
      <c r="I520" s="3051" t="s">
        <v>4837</v>
      </c>
      <c r="J520" s="3052" t="s">
        <v>2887</v>
      </c>
      <c r="K520" s="3052"/>
      <c r="L520" s="2299">
        <v>245760</v>
      </c>
      <c r="M520" s="3052" t="s">
        <v>112</v>
      </c>
      <c r="N520" s="3050">
        <v>45539</v>
      </c>
      <c r="O520" s="3050">
        <v>45579</v>
      </c>
      <c r="P520" s="3050"/>
      <c r="Q520" s="3051"/>
      <c r="R520" s="3052"/>
      <c r="S520" s="2299"/>
      <c r="T520" s="2299"/>
      <c r="U520" s="2095"/>
      <c r="V520" s="2095"/>
      <c r="W520" s="2095"/>
      <c r="X520" s="2315"/>
      <c r="Y520" s="2341"/>
      <c r="Z520" s="3050"/>
      <c r="AA520" s="3050"/>
      <c r="AB520" s="3050"/>
      <c r="AC520" s="2976"/>
      <c r="AD520" s="2976"/>
      <c r="AE520" s="118">
        <v>2</v>
      </c>
    </row>
    <row r="521" spans="1:31" ht="15.75" thickTop="1">
      <c r="A521" s="3336" t="s">
        <v>17808</v>
      </c>
      <c r="B521" s="3337" t="s">
        <v>18319</v>
      </c>
      <c r="C521" s="3338" t="s">
        <v>16536</v>
      </c>
      <c r="D521" s="3338" t="s">
        <v>15129</v>
      </c>
      <c r="E521" s="3338" t="s">
        <v>18336</v>
      </c>
      <c r="F521" s="3339" t="s">
        <v>18320</v>
      </c>
      <c r="G521" s="3338"/>
      <c r="H521" s="3337"/>
      <c r="I521" s="3337" t="s">
        <v>15373</v>
      </c>
      <c r="J521" s="3338" t="s">
        <v>93</v>
      </c>
      <c r="K521" s="3338"/>
      <c r="L521" s="1880">
        <v>14429119</v>
      </c>
      <c r="M521" s="3338" t="s">
        <v>235</v>
      </c>
      <c r="N521" s="3336">
        <v>45547</v>
      </c>
      <c r="O521" s="3336">
        <v>45567</v>
      </c>
      <c r="P521" s="3336">
        <v>45579</v>
      </c>
      <c r="Q521" s="3337" t="s">
        <v>6969</v>
      </c>
      <c r="R521" s="3338"/>
      <c r="S521" s="1880">
        <v>14429118.4</v>
      </c>
      <c r="T521" s="1880">
        <v>16160612.6</v>
      </c>
      <c r="U521" s="1881"/>
      <c r="V521" s="1881"/>
      <c r="W521" s="1881"/>
      <c r="X521" s="2343">
        <v>45579</v>
      </c>
      <c r="Y521" s="3340" t="s">
        <v>18706</v>
      </c>
      <c r="Z521" s="3336"/>
      <c r="AA521" s="3336"/>
      <c r="AB521" s="3336"/>
      <c r="AC521" s="2976"/>
      <c r="AD521" s="2976"/>
      <c r="AE521" s="118">
        <v>1</v>
      </c>
    </row>
    <row r="522" spans="1:31" ht="15.75" thickBot="1">
      <c r="A522" s="3060" t="s">
        <v>18381</v>
      </c>
      <c r="B522" s="3003" t="s">
        <v>18382</v>
      </c>
      <c r="C522" s="3002" t="s">
        <v>2434</v>
      </c>
      <c r="D522" s="3002" t="s">
        <v>3204</v>
      </c>
      <c r="E522" s="3002" t="s">
        <v>13948</v>
      </c>
      <c r="F522" s="3079" t="s">
        <v>18383</v>
      </c>
      <c r="G522" s="3002"/>
      <c r="H522" s="3003"/>
      <c r="I522" s="3003" t="s">
        <v>15448</v>
      </c>
      <c r="J522" s="3002" t="s">
        <v>642</v>
      </c>
      <c r="K522" s="3002"/>
      <c r="L522" s="2093">
        <v>29600000</v>
      </c>
      <c r="M522" s="3002" t="s">
        <v>251</v>
      </c>
      <c r="N522" s="3060">
        <v>45554</v>
      </c>
      <c r="O522" s="3060">
        <v>45589</v>
      </c>
      <c r="P522" s="3060"/>
      <c r="Q522" s="3003"/>
      <c r="R522" s="3002"/>
      <c r="S522" s="2093"/>
      <c r="T522" s="2093"/>
      <c r="U522" s="2095"/>
      <c r="V522" s="2095"/>
      <c r="W522" s="2095"/>
      <c r="X522" s="3014"/>
      <c r="Y522" s="3315"/>
      <c r="Z522" s="3060"/>
      <c r="AA522" s="3060"/>
      <c r="AB522" s="3060"/>
      <c r="AC522" s="2976"/>
      <c r="AD522" s="2976"/>
    </row>
    <row r="523" spans="1:31" ht="15.75" thickTop="1">
      <c r="A523" s="3071">
        <v>45532</v>
      </c>
      <c r="B523" s="2036" t="s">
        <v>18264</v>
      </c>
      <c r="C523" s="3072" t="s">
        <v>16536</v>
      </c>
      <c r="D523" s="3072" t="s">
        <v>15131</v>
      </c>
      <c r="E523" s="3072" t="s">
        <v>655</v>
      </c>
      <c r="F523" s="3073" t="s">
        <v>18317</v>
      </c>
      <c r="G523" s="3072">
        <v>1</v>
      </c>
      <c r="H523" s="2036" t="s">
        <v>18272</v>
      </c>
      <c r="I523" s="2036" t="s">
        <v>15373</v>
      </c>
      <c r="J523" s="3072" t="s">
        <v>2887</v>
      </c>
      <c r="K523" s="3072"/>
      <c r="L523" s="429">
        <v>243271</v>
      </c>
      <c r="M523" s="3072" t="s">
        <v>112</v>
      </c>
      <c r="N523" s="3071">
        <v>45539</v>
      </c>
      <c r="O523" s="3071">
        <v>45551</v>
      </c>
      <c r="P523" s="3071">
        <v>45566</v>
      </c>
      <c r="Q523" s="2036" t="s">
        <v>13761</v>
      </c>
      <c r="R523" s="3335"/>
      <c r="S523" s="429">
        <v>241218</v>
      </c>
      <c r="T523" s="429">
        <v>270164.15999999997</v>
      </c>
      <c r="U523" s="1483"/>
      <c r="V523" s="1483"/>
      <c r="W523" s="1483"/>
      <c r="X523" s="1384">
        <v>45566</v>
      </c>
      <c r="Y523" s="429" t="s">
        <v>18612</v>
      </c>
      <c r="Z523" s="3072"/>
      <c r="AA523" s="3071"/>
      <c r="AB523" s="2036"/>
      <c r="AC523" s="2976"/>
      <c r="AD523" s="2976"/>
      <c r="AE523" s="118">
        <v>2</v>
      </c>
    </row>
    <row r="524" spans="1:31">
      <c r="A524" s="3047">
        <v>45532</v>
      </c>
      <c r="B524" s="3075" t="s">
        <v>18265</v>
      </c>
      <c r="C524" s="3048" t="s">
        <v>16536</v>
      </c>
      <c r="D524" s="3048" t="s">
        <v>15131</v>
      </c>
      <c r="E524" s="3048" t="s">
        <v>655</v>
      </c>
      <c r="F524" s="3049" t="s">
        <v>18317</v>
      </c>
      <c r="G524" s="3048">
        <v>2</v>
      </c>
      <c r="H524" s="3018" t="s">
        <v>18273</v>
      </c>
      <c r="I524" s="3018" t="s">
        <v>15373</v>
      </c>
      <c r="J524" s="3048" t="s">
        <v>2887</v>
      </c>
      <c r="K524" s="3048"/>
      <c r="L524" s="2157">
        <v>42236</v>
      </c>
      <c r="M524" s="3048" t="s">
        <v>112</v>
      </c>
      <c r="N524" s="3047">
        <v>45539</v>
      </c>
      <c r="O524" s="3047">
        <v>45551</v>
      </c>
      <c r="P524" s="3047">
        <v>45566</v>
      </c>
      <c r="Q524" s="3018" t="s">
        <v>13761</v>
      </c>
      <c r="R524" s="3048"/>
      <c r="S524" s="2157">
        <v>41074.800000000003</v>
      </c>
      <c r="T524" s="2157">
        <v>46003.78</v>
      </c>
      <c r="U524" s="2094"/>
      <c r="V524" s="2094"/>
      <c r="W524" s="2094"/>
      <c r="X524" s="2160">
        <v>45566</v>
      </c>
      <c r="Y524" s="2326" t="s">
        <v>18613</v>
      </c>
      <c r="Z524" s="3047"/>
      <c r="AA524" s="3047"/>
      <c r="AB524" s="3047"/>
      <c r="AC524" s="2976"/>
      <c r="AD524" s="2976"/>
      <c r="AE524" s="118">
        <v>2</v>
      </c>
    </row>
    <row r="525" spans="1:31">
      <c r="A525" s="3047">
        <v>45532</v>
      </c>
      <c r="B525" s="3075" t="s">
        <v>18266</v>
      </c>
      <c r="C525" s="3048" t="s">
        <v>16536</v>
      </c>
      <c r="D525" s="3048" t="s">
        <v>15131</v>
      </c>
      <c r="E525" s="3048" t="s">
        <v>655</v>
      </c>
      <c r="F525" s="3049" t="s">
        <v>18317</v>
      </c>
      <c r="G525" s="3048">
        <v>3</v>
      </c>
      <c r="H525" s="3018" t="s">
        <v>18274</v>
      </c>
      <c r="I525" s="3018" t="s">
        <v>15373</v>
      </c>
      <c r="J525" s="3048" t="s">
        <v>2887</v>
      </c>
      <c r="K525" s="3048"/>
      <c r="L525" s="2157">
        <v>9312</v>
      </c>
      <c r="M525" s="3048" t="s">
        <v>112</v>
      </c>
      <c r="N525" s="3047">
        <v>45539</v>
      </c>
      <c r="O525" s="3047">
        <v>45551</v>
      </c>
      <c r="P525" s="3047">
        <v>45566</v>
      </c>
      <c r="Q525" s="3018" t="s">
        <v>13761</v>
      </c>
      <c r="R525" s="3048"/>
      <c r="S525" s="2157">
        <v>9302.4</v>
      </c>
      <c r="T525" s="2157">
        <v>10418.69</v>
      </c>
      <c r="U525" s="2094"/>
      <c r="V525" s="2094"/>
      <c r="W525" s="2094"/>
      <c r="X525" s="2160">
        <v>45566</v>
      </c>
      <c r="Y525" s="2326" t="s">
        <v>18614</v>
      </c>
      <c r="Z525" s="3047"/>
      <c r="AA525" s="3047"/>
      <c r="AB525" s="3047"/>
      <c r="AC525" s="2976"/>
      <c r="AD525" s="2976"/>
      <c r="AE525" s="118">
        <v>2</v>
      </c>
    </row>
    <row r="526" spans="1:31">
      <c r="A526" s="3047">
        <v>45532</v>
      </c>
      <c r="B526" s="3075" t="s">
        <v>18267</v>
      </c>
      <c r="C526" s="3048" t="s">
        <v>16536</v>
      </c>
      <c r="D526" s="3048" t="s">
        <v>15131</v>
      </c>
      <c r="E526" s="3048" t="s">
        <v>655</v>
      </c>
      <c r="F526" s="3049" t="s">
        <v>18317</v>
      </c>
      <c r="G526" s="3048">
        <v>4</v>
      </c>
      <c r="H526" s="3018" t="s">
        <v>18275</v>
      </c>
      <c r="I526" s="3018" t="s">
        <v>15373</v>
      </c>
      <c r="J526" s="3048" t="s">
        <v>2887</v>
      </c>
      <c r="K526" s="3048"/>
      <c r="L526" s="2157">
        <v>26621</v>
      </c>
      <c r="M526" s="3048" t="s">
        <v>112</v>
      </c>
      <c r="N526" s="3047">
        <v>45539</v>
      </c>
      <c r="O526" s="3047">
        <v>45551</v>
      </c>
      <c r="P526" s="3047">
        <v>45566</v>
      </c>
      <c r="Q526" s="3018" t="s">
        <v>13761</v>
      </c>
      <c r="R526" s="3048"/>
      <c r="S526" s="2157">
        <v>26432.1</v>
      </c>
      <c r="T526" s="2157">
        <v>29603.95</v>
      </c>
      <c r="U526" s="2094"/>
      <c r="V526" s="2094"/>
      <c r="W526" s="2094"/>
      <c r="X526" s="2160">
        <v>45566</v>
      </c>
      <c r="Y526" s="2326" t="s">
        <v>18615</v>
      </c>
      <c r="Z526" s="3047"/>
      <c r="AA526" s="3047"/>
      <c r="AB526" s="3047"/>
      <c r="AC526" s="2976"/>
      <c r="AD526" s="2976"/>
      <c r="AE526" s="118">
        <v>2</v>
      </c>
    </row>
    <row r="527" spans="1:31">
      <c r="A527" s="3047">
        <v>45532</v>
      </c>
      <c r="B527" s="3075" t="s">
        <v>18268</v>
      </c>
      <c r="C527" s="3048" t="s">
        <v>16536</v>
      </c>
      <c r="D527" s="3048" t="s">
        <v>15131</v>
      </c>
      <c r="E527" s="3048" t="s">
        <v>655</v>
      </c>
      <c r="F527" s="3049" t="s">
        <v>18317</v>
      </c>
      <c r="G527" s="3048">
        <v>5</v>
      </c>
      <c r="H527" s="3018" t="s">
        <v>18276</v>
      </c>
      <c r="I527" s="3018" t="s">
        <v>15373</v>
      </c>
      <c r="J527" s="3048" t="s">
        <v>2887</v>
      </c>
      <c r="K527" s="3048"/>
      <c r="L527" s="2157">
        <v>79113</v>
      </c>
      <c r="M527" s="3048" t="s">
        <v>112</v>
      </c>
      <c r="N527" s="3047">
        <v>45539</v>
      </c>
      <c r="O527" s="3047">
        <v>45551</v>
      </c>
      <c r="P527" s="3047">
        <v>45566</v>
      </c>
      <c r="Q527" s="3018" t="s">
        <v>13761</v>
      </c>
      <c r="R527" s="3048"/>
      <c r="S527" s="2157">
        <v>78337.2</v>
      </c>
      <c r="T527" s="2157">
        <v>87737.66</v>
      </c>
      <c r="U527" s="2094"/>
      <c r="V527" s="2094"/>
      <c r="W527" s="2094"/>
      <c r="X527" s="2160">
        <v>45566</v>
      </c>
      <c r="Y527" s="2326" t="s">
        <v>18616</v>
      </c>
      <c r="Z527" s="3047"/>
      <c r="AA527" s="3047"/>
      <c r="AB527" s="3047"/>
      <c r="AC527" s="2976"/>
      <c r="AD527" s="2976"/>
      <c r="AE527" s="118">
        <v>2</v>
      </c>
    </row>
    <row r="528" spans="1:31">
      <c r="A528" s="3047">
        <v>45532</v>
      </c>
      <c r="B528" s="3075" t="s">
        <v>18269</v>
      </c>
      <c r="C528" s="3048" t="s">
        <v>16536</v>
      </c>
      <c r="D528" s="3048" t="s">
        <v>15131</v>
      </c>
      <c r="E528" s="3048" t="s">
        <v>655</v>
      </c>
      <c r="F528" s="3049" t="s">
        <v>18317</v>
      </c>
      <c r="G528" s="3048">
        <v>6</v>
      </c>
      <c r="H528" s="3018" t="s">
        <v>18277</v>
      </c>
      <c r="I528" s="3018" t="s">
        <v>15373</v>
      </c>
      <c r="J528" s="3048" t="s">
        <v>2887</v>
      </c>
      <c r="K528" s="3048"/>
      <c r="L528" s="2157">
        <v>19436</v>
      </c>
      <c r="M528" s="3048" t="s">
        <v>112</v>
      </c>
      <c r="N528" s="3047">
        <v>45539</v>
      </c>
      <c r="O528" s="3047">
        <v>45551</v>
      </c>
      <c r="P528" s="3047">
        <v>45566</v>
      </c>
      <c r="Q528" s="3018" t="s">
        <v>13761</v>
      </c>
      <c r="R528" s="3048"/>
      <c r="S528" s="2157">
        <v>19273.2</v>
      </c>
      <c r="T528" s="2157">
        <v>21585.98</v>
      </c>
      <c r="U528" s="2094"/>
      <c r="V528" s="2094"/>
      <c r="W528" s="2094"/>
      <c r="X528" s="2160">
        <v>45566</v>
      </c>
      <c r="Y528" s="2326" t="s">
        <v>18617</v>
      </c>
      <c r="Z528" s="3047"/>
      <c r="AA528" s="3047"/>
      <c r="AB528" s="3047"/>
      <c r="AC528" s="2976"/>
      <c r="AD528" s="2976"/>
      <c r="AE528" s="118">
        <v>2</v>
      </c>
    </row>
    <row r="529" spans="1:31">
      <c r="A529" s="3047">
        <v>45532</v>
      </c>
      <c r="B529" s="3075" t="s">
        <v>18270</v>
      </c>
      <c r="C529" s="3048" t="s">
        <v>16536</v>
      </c>
      <c r="D529" s="3048" t="s">
        <v>15131</v>
      </c>
      <c r="E529" s="3048" t="s">
        <v>655</v>
      </c>
      <c r="F529" s="3049" t="s">
        <v>18317</v>
      </c>
      <c r="G529" s="3048">
        <v>7</v>
      </c>
      <c r="H529" s="3018" t="s">
        <v>18278</v>
      </c>
      <c r="I529" s="3018" t="s">
        <v>15373</v>
      </c>
      <c r="J529" s="3048" t="s">
        <v>2887</v>
      </c>
      <c r="K529" s="3048"/>
      <c r="L529" s="2157">
        <v>207087</v>
      </c>
      <c r="M529" s="3048" t="s">
        <v>112</v>
      </c>
      <c r="N529" s="3047">
        <v>45539</v>
      </c>
      <c r="O529" s="3047">
        <v>45551</v>
      </c>
      <c r="P529" s="3047">
        <v>45566</v>
      </c>
      <c r="Q529" s="3018" t="s">
        <v>13761</v>
      </c>
      <c r="R529" s="3048"/>
      <c r="S529" s="2157">
        <v>200613.6</v>
      </c>
      <c r="T529" s="2157">
        <v>224687.23</v>
      </c>
      <c r="U529" s="2094"/>
      <c r="V529" s="2094"/>
      <c r="W529" s="2094"/>
      <c r="X529" s="2160">
        <v>45566</v>
      </c>
      <c r="Y529" s="2326" t="s">
        <v>18618</v>
      </c>
      <c r="Z529" s="3047"/>
      <c r="AA529" s="3047"/>
      <c r="AB529" s="3047"/>
      <c r="AC529" s="2976"/>
      <c r="AD529" s="2976"/>
      <c r="AE529" s="118">
        <v>2</v>
      </c>
    </row>
    <row r="530" spans="1:31" ht="15.75" thickBot="1">
      <c r="A530" s="3050">
        <v>45532</v>
      </c>
      <c r="B530" s="3235" t="s">
        <v>18271</v>
      </c>
      <c r="C530" s="3052" t="s">
        <v>16536</v>
      </c>
      <c r="D530" s="3052" t="s">
        <v>15131</v>
      </c>
      <c r="E530" s="3052" t="s">
        <v>655</v>
      </c>
      <c r="F530" s="3053" t="s">
        <v>18317</v>
      </c>
      <c r="G530" s="3052">
        <v>8</v>
      </c>
      <c r="H530" s="3051" t="s">
        <v>18279</v>
      </c>
      <c r="I530" s="3051" t="s">
        <v>15373</v>
      </c>
      <c r="J530" s="3052" t="s">
        <v>2887</v>
      </c>
      <c r="K530" s="3052"/>
      <c r="L530" s="2299">
        <v>173223</v>
      </c>
      <c r="M530" s="3052" t="s">
        <v>112</v>
      </c>
      <c r="N530" s="3050">
        <v>45539</v>
      </c>
      <c r="O530" s="3050">
        <v>45551</v>
      </c>
      <c r="P530" s="3050">
        <v>45566</v>
      </c>
      <c r="Q530" s="3051" t="s">
        <v>13761</v>
      </c>
      <c r="R530" s="3052"/>
      <c r="S530" s="2299">
        <v>168526.8</v>
      </c>
      <c r="T530" s="2299">
        <v>188750.02</v>
      </c>
      <c r="U530" s="2095"/>
      <c r="V530" s="2095"/>
      <c r="W530" s="2095"/>
      <c r="X530" s="2315">
        <v>45566</v>
      </c>
      <c r="Y530" s="2299" t="s">
        <v>18619</v>
      </c>
      <c r="Z530" s="3052"/>
      <c r="AA530" s="3052"/>
      <c r="AB530" s="3052"/>
      <c r="AC530" s="2976"/>
      <c r="AD530" s="2976"/>
      <c r="AE530" s="118">
        <v>2</v>
      </c>
    </row>
    <row r="531" spans="1:31" ht="15.75" thickTop="1">
      <c r="A531" s="3038">
        <v>45541</v>
      </c>
      <c r="B531" s="3039" t="s">
        <v>18360</v>
      </c>
      <c r="C531" s="3040" t="s">
        <v>16536</v>
      </c>
      <c r="D531" s="3040" t="s">
        <v>15129</v>
      </c>
      <c r="E531" s="3040" t="s">
        <v>15813</v>
      </c>
      <c r="F531" s="3041" t="s">
        <v>18361</v>
      </c>
      <c r="G531" s="3040"/>
      <c r="H531" s="3039"/>
      <c r="I531" s="3039" t="s">
        <v>15448</v>
      </c>
      <c r="J531" s="3040" t="s">
        <v>16226</v>
      </c>
      <c r="K531" s="3040"/>
      <c r="L531" s="588">
        <v>4644514</v>
      </c>
      <c r="M531" s="3040" t="s">
        <v>251</v>
      </c>
      <c r="N531" s="3038">
        <v>45559</v>
      </c>
      <c r="O531" s="3038">
        <v>45594</v>
      </c>
      <c r="P531" s="3040"/>
      <c r="Q531" s="3039"/>
      <c r="R531" s="3040"/>
      <c r="S531" s="588"/>
      <c r="T531" s="588"/>
      <c r="U531" s="1483"/>
      <c r="V531" s="1483"/>
      <c r="W531" s="1483"/>
      <c r="X531" s="588"/>
      <c r="Y531" s="588"/>
      <c r="Z531" s="3040"/>
      <c r="AA531" s="3040"/>
      <c r="AB531" s="3040"/>
      <c r="AC531" s="2976"/>
      <c r="AD531" s="2976"/>
    </row>
    <row r="532" spans="1:31">
      <c r="A532" s="3128">
        <v>45548</v>
      </c>
      <c r="B532" s="3129" t="s">
        <v>18454</v>
      </c>
      <c r="C532" s="3130" t="s">
        <v>16536</v>
      </c>
      <c r="D532" s="3130" t="s">
        <v>15131</v>
      </c>
      <c r="E532" s="3130" t="s">
        <v>13949</v>
      </c>
      <c r="F532" s="3408" t="s">
        <v>18455</v>
      </c>
      <c r="G532" s="3130"/>
      <c r="H532" s="3129"/>
      <c r="I532" s="3129" t="s">
        <v>17975</v>
      </c>
      <c r="J532" s="3130" t="s">
        <v>671</v>
      </c>
      <c r="K532" s="3130"/>
      <c r="L532" s="2387">
        <v>1924890</v>
      </c>
      <c r="M532" s="3130" t="s">
        <v>251</v>
      </c>
      <c r="N532" s="3128"/>
      <c r="O532" s="3128"/>
      <c r="P532" s="3130"/>
      <c r="Q532" s="3129"/>
      <c r="R532" s="3130"/>
      <c r="S532" s="2387"/>
      <c r="T532" s="2387"/>
      <c r="U532" s="2923"/>
      <c r="V532" s="2923"/>
      <c r="W532" s="2923"/>
      <c r="X532" s="2387"/>
      <c r="Y532" s="2387"/>
      <c r="Z532" s="3130"/>
      <c r="AA532" s="3130"/>
      <c r="AB532" s="3130"/>
      <c r="AC532" s="2976"/>
      <c r="AD532" s="2976"/>
    </row>
    <row r="533" spans="1:31" ht="15.75" thickBot="1">
      <c r="A533" s="3302">
        <v>45532</v>
      </c>
      <c r="B533" s="3305" t="s">
        <v>18283</v>
      </c>
      <c r="C533" s="3303" t="s">
        <v>2434</v>
      </c>
      <c r="D533" s="3303" t="s">
        <v>3204</v>
      </c>
      <c r="E533" s="3303" t="s">
        <v>18336</v>
      </c>
      <c r="F533" s="3304" t="s">
        <v>18284</v>
      </c>
      <c r="G533" s="3303"/>
      <c r="H533" s="3305"/>
      <c r="I533" s="3305" t="s">
        <v>15448</v>
      </c>
      <c r="J533" s="3303" t="s">
        <v>642</v>
      </c>
      <c r="K533" s="3303"/>
      <c r="L533" s="1734">
        <v>9624000</v>
      </c>
      <c r="M533" s="3303" t="s">
        <v>251</v>
      </c>
      <c r="N533" s="3302">
        <v>45551</v>
      </c>
      <c r="O533" s="3302">
        <v>45586</v>
      </c>
      <c r="P533" s="3302"/>
      <c r="Q533" s="3305"/>
      <c r="R533" s="3303"/>
      <c r="S533" s="1734"/>
      <c r="T533" s="1734"/>
      <c r="U533" s="1537"/>
      <c r="V533" s="1537"/>
      <c r="W533" s="1537"/>
      <c r="X533" s="3306"/>
      <c r="Y533" s="3312"/>
      <c r="Z533" s="3302"/>
      <c r="AA533" s="3302"/>
      <c r="AB533" s="3302"/>
      <c r="AC533" s="2976"/>
      <c r="AD533" s="2976"/>
    </row>
    <row r="534" spans="1:31" ht="15.75" thickTop="1">
      <c r="A534" s="3038">
        <v>45533</v>
      </c>
      <c r="B534" s="3039" t="s">
        <v>18293</v>
      </c>
      <c r="C534" s="3040" t="s">
        <v>2434</v>
      </c>
      <c r="D534" s="3040" t="s">
        <v>219</v>
      </c>
      <c r="E534" s="3040" t="s">
        <v>13948</v>
      </c>
      <c r="F534" s="3041" t="s">
        <v>18297</v>
      </c>
      <c r="G534" s="3040">
        <v>1</v>
      </c>
      <c r="H534" s="3039" t="s">
        <v>9251</v>
      </c>
      <c r="I534" s="3039" t="s">
        <v>15448</v>
      </c>
      <c r="J534" s="3040" t="s">
        <v>3271</v>
      </c>
      <c r="K534" s="3040"/>
      <c r="L534" s="588">
        <v>2151303</v>
      </c>
      <c r="M534" s="3040" t="s">
        <v>251</v>
      </c>
      <c r="N534" s="3038">
        <v>45541</v>
      </c>
      <c r="O534" s="3038">
        <v>45589</v>
      </c>
      <c r="P534" s="3038"/>
      <c r="Q534" s="3039"/>
      <c r="R534" s="3040"/>
      <c r="S534" s="588"/>
      <c r="T534" s="588"/>
      <c r="U534" s="1483"/>
      <c r="V534" s="1483"/>
      <c r="W534" s="1483"/>
      <c r="X534" s="3001"/>
      <c r="Y534" s="588"/>
      <c r="Z534" s="3038"/>
      <c r="AA534" s="3038"/>
      <c r="AB534" s="3038"/>
      <c r="AC534" s="2976"/>
      <c r="AD534" s="2976"/>
    </row>
    <row r="535" spans="1:31">
      <c r="A535" s="3042">
        <v>45533</v>
      </c>
      <c r="B535" s="3043" t="s">
        <v>18294</v>
      </c>
      <c r="C535" s="3044" t="s">
        <v>2434</v>
      </c>
      <c r="D535" s="3044" t="s">
        <v>219</v>
      </c>
      <c r="E535" s="3044" t="s">
        <v>13948</v>
      </c>
      <c r="F535" s="3021" t="s">
        <v>18297</v>
      </c>
      <c r="G535" s="3044">
        <v>2</v>
      </c>
      <c r="H535" s="3043" t="s">
        <v>9252</v>
      </c>
      <c r="I535" s="3043" t="s">
        <v>15448</v>
      </c>
      <c r="J535" s="3044" t="s">
        <v>3271</v>
      </c>
      <c r="K535" s="3044"/>
      <c r="L535" s="2092">
        <v>3371000</v>
      </c>
      <c r="M535" s="3044" t="s">
        <v>251</v>
      </c>
      <c r="N535" s="3042">
        <v>45541</v>
      </c>
      <c r="O535" s="3042">
        <v>45589</v>
      </c>
      <c r="P535" s="3042"/>
      <c r="Q535" s="3043"/>
      <c r="R535" s="3044"/>
      <c r="S535" s="2092"/>
      <c r="T535" s="2092"/>
      <c r="U535" s="2094"/>
      <c r="V535" s="2094"/>
      <c r="W535" s="2094"/>
      <c r="X535" s="2456"/>
      <c r="Y535" s="2092"/>
      <c r="Z535" s="3042"/>
      <c r="AA535" s="3042"/>
      <c r="AB535" s="3044"/>
      <c r="AC535" s="2976"/>
      <c r="AD535" s="2976"/>
    </row>
    <row r="536" spans="1:31">
      <c r="A536" s="3042">
        <v>45533</v>
      </c>
      <c r="B536" s="3043" t="s">
        <v>18295</v>
      </c>
      <c r="C536" s="3044" t="s">
        <v>2434</v>
      </c>
      <c r="D536" s="3044" t="s">
        <v>219</v>
      </c>
      <c r="E536" s="3044" t="s">
        <v>13948</v>
      </c>
      <c r="F536" s="3021" t="s">
        <v>18297</v>
      </c>
      <c r="G536" s="3044">
        <v>3</v>
      </c>
      <c r="H536" s="3043" t="s">
        <v>9253</v>
      </c>
      <c r="I536" s="3043" t="s">
        <v>15448</v>
      </c>
      <c r="J536" s="3044" t="s">
        <v>3271</v>
      </c>
      <c r="K536" s="3044"/>
      <c r="L536" s="2092">
        <v>3658206</v>
      </c>
      <c r="M536" s="3044" t="s">
        <v>251</v>
      </c>
      <c r="N536" s="3042">
        <v>45541</v>
      </c>
      <c r="O536" s="3042">
        <v>45589</v>
      </c>
      <c r="P536" s="3042"/>
      <c r="Q536" s="3043"/>
      <c r="R536" s="3044"/>
      <c r="S536" s="2092"/>
      <c r="T536" s="2092"/>
      <c r="U536" s="2094"/>
      <c r="V536" s="2094"/>
      <c r="W536" s="2094"/>
      <c r="X536" s="2456"/>
      <c r="Y536" s="3016"/>
      <c r="Z536" s="3042"/>
      <c r="AA536" s="3042"/>
      <c r="AB536" s="3042"/>
      <c r="AC536" s="2976"/>
      <c r="AD536" s="2976"/>
    </row>
    <row r="537" spans="1:31" ht="15.75" thickBot="1">
      <c r="A537" s="3060">
        <v>45533</v>
      </c>
      <c r="B537" s="3003" t="s">
        <v>18296</v>
      </c>
      <c r="C537" s="3002" t="s">
        <v>2434</v>
      </c>
      <c r="D537" s="3002" t="s">
        <v>219</v>
      </c>
      <c r="E537" s="3002" t="s">
        <v>13948</v>
      </c>
      <c r="F537" s="3079" t="s">
        <v>18297</v>
      </c>
      <c r="G537" s="3002">
        <v>4</v>
      </c>
      <c r="H537" s="3003" t="s">
        <v>9259</v>
      </c>
      <c r="I537" s="3003" t="s">
        <v>15448</v>
      </c>
      <c r="J537" s="3002" t="s">
        <v>3271</v>
      </c>
      <c r="K537" s="3002"/>
      <c r="L537" s="2093">
        <v>1510000</v>
      </c>
      <c r="M537" s="3002" t="s">
        <v>251</v>
      </c>
      <c r="N537" s="3060">
        <v>45541</v>
      </c>
      <c r="O537" s="3060">
        <v>45589</v>
      </c>
      <c r="P537" s="3060"/>
      <c r="Q537" s="3003"/>
      <c r="R537" s="3002"/>
      <c r="S537" s="2093"/>
      <c r="T537" s="2093"/>
      <c r="U537" s="2095"/>
      <c r="V537" s="2095"/>
      <c r="W537" s="2095"/>
      <c r="X537" s="3014"/>
      <c r="Y537" s="3315"/>
      <c r="Z537" s="3060"/>
      <c r="AA537" s="3060"/>
      <c r="AB537" s="3060"/>
      <c r="AC537" s="2976"/>
      <c r="AD537" s="2976"/>
    </row>
    <row r="538" spans="1:31" ht="16.5" thickTop="1" thickBot="1">
      <c r="A538" s="3302">
        <v>45541</v>
      </c>
      <c r="B538" s="3305" t="s">
        <v>18363</v>
      </c>
      <c r="C538" s="3303" t="s">
        <v>16536</v>
      </c>
      <c r="D538" s="3303" t="s">
        <v>15129</v>
      </c>
      <c r="E538" s="3303" t="s">
        <v>15813</v>
      </c>
      <c r="F538" s="3304" t="s">
        <v>18362</v>
      </c>
      <c r="G538" s="3303"/>
      <c r="H538" s="3305"/>
      <c r="I538" s="3305" t="s">
        <v>15448</v>
      </c>
      <c r="J538" s="3303" t="s">
        <v>16226</v>
      </c>
      <c r="K538" s="3303"/>
      <c r="L538" s="1734">
        <v>6144133</v>
      </c>
      <c r="M538" s="3303" t="s">
        <v>251</v>
      </c>
      <c r="N538" s="3302">
        <v>45562</v>
      </c>
      <c r="O538" s="3302">
        <v>45597</v>
      </c>
      <c r="P538" s="3302"/>
      <c r="Q538" s="3305"/>
      <c r="R538" s="3303"/>
      <c r="S538" s="1734"/>
      <c r="T538" s="1734"/>
      <c r="U538" s="1537"/>
      <c r="V538" s="1537"/>
      <c r="W538" s="1537"/>
      <c r="X538" s="3306"/>
      <c r="Y538" s="3312"/>
      <c r="Z538" s="3302"/>
      <c r="AA538" s="3302"/>
      <c r="AB538" s="3302"/>
      <c r="AC538" s="2976"/>
      <c r="AD538" s="2976"/>
    </row>
    <row r="539" spans="1:31" ht="15.75" thickTop="1">
      <c r="A539" s="3071">
        <v>45534</v>
      </c>
      <c r="B539" s="2036" t="s">
        <v>18305</v>
      </c>
      <c r="C539" s="3072" t="s">
        <v>16536</v>
      </c>
      <c r="D539" s="3072" t="s">
        <v>15129</v>
      </c>
      <c r="E539" s="3072" t="s">
        <v>13949</v>
      </c>
      <c r="F539" s="3073" t="s">
        <v>18306</v>
      </c>
      <c r="G539" s="3072">
        <v>1</v>
      </c>
      <c r="H539" s="2036" t="s">
        <v>18309</v>
      </c>
      <c r="I539" s="2036" t="s">
        <v>4837</v>
      </c>
      <c r="J539" s="3218" t="s">
        <v>7097</v>
      </c>
      <c r="K539" s="3072"/>
      <c r="L539" s="429">
        <v>22172</v>
      </c>
      <c r="M539" s="3072" t="s">
        <v>112</v>
      </c>
      <c r="N539" s="3071">
        <v>45552</v>
      </c>
      <c r="O539" s="3071">
        <v>45565</v>
      </c>
      <c r="P539" s="3071"/>
      <c r="Q539" s="2036"/>
      <c r="R539" s="3072"/>
      <c r="S539" s="429"/>
      <c r="T539" s="429"/>
      <c r="U539" s="1483"/>
      <c r="V539" s="1483"/>
      <c r="W539" s="1483"/>
      <c r="X539" s="1384"/>
      <c r="Y539" s="429"/>
      <c r="Z539" s="3071"/>
      <c r="AA539" s="3071"/>
      <c r="AB539" s="3071"/>
      <c r="AC539" s="2976"/>
      <c r="AD539" s="2976"/>
      <c r="AE539" s="118">
        <v>3</v>
      </c>
    </row>
    <row r="540" spans="1:31">
      <c r="A540" s="3047">
        <v>45534</v>
      </c>
      <c r="B540" s="3018" t="s">
        <v>18307</v>
      </c>
      <c r="C540" s="3048" t="s">
        <v>16536</v>
      </c>
      <c r="D540" s="3048" t="s">
        <v>15129</v>
      </c>
      <c r="E540" s="3048" t="s">
        <v>13949</v>
      </c>
      <c r="F540" s="3049" t="s">
        <v>18306</v>
      </c>
      <c r="G540" s="3048">
        <v>2</v>
      </c>
      <c r="H540" s="3018" t="s">
        <v>18310</v>
      </c>
      <c r="I540" s="3018" t="s">
        <v>4837</v>
      </c>
      <c r="J540" s="3101" t="s">
        <v>7097</v>
      </c>
      <c r="K540" s="3048"/>
      <c r="L540" s="2157">
        <v>94965</v>
      </c>
      <c r="M540" s="3048" t="s">
        <v>112</v>
      </c>
      <c r="N540" s="3047">
        <v>45552</v>
      </c>
      <c r="O540" s="3047">
        <v>45565</v>
      </c>
      <c r="P540" s="3048"/>
      <c r="Q540" s="3222"/>
      <c r="R540" s="2320"/>
      <c r="S540" s="2157"/>
      <c r="T540" s="2157"/>
      <c r="U540" s="2094"/>
      <c r="V540" s="2094"/>
      <c r="W540" s="2094"/>
      <c r="X540" s="2157"/>
      <c r="Y540" s="2157"/>
      <c r="Z540" s="3048"/>
      <c r="AA540" s="3047"/>
      <c r="AB540" s="3048"/>
      <c r="AC540" s="2976"/>
      <c r="AD540" s="2976"/>
      <c r="AE540" s="118">
        <v>3</v>
      </c>
    </row>
    <row r="541" spans="1:31" ht="15.75" thickBot="1">
      <c r="A541" s="3050">
        <v>45534</v>
      </c>
      <c r="B541" s="3051" t="s">
        <v>18308</v>
      </c>
      <c r="C541" s="3052" t="s">
        <v>16536</v>
      </c>
      <c r="D541" s="3052" t="s">
        <v>15129</v>
      </c>
      <c r="E541" s="3052" t="s">
        <v>13949</v>
      </c>
      <c r="F541" s="3053" t="s">
        <v>18306</v>
      </c>
      <c r="G541" s="3052">
        <v>3</v>
      </c>
      <c r="H541" s="3051" t="s">
        <v>18311</v>
      </c>
      <c r="I541" s="3051" t="s">
        <v>4837</v>
      </c>
      <c r="J541" s="3384" t="s">
        <v>7097</v>
      </c>
      <c r="K541" s="3052"/>
      <c r="L541" s="2299">
        <v>97375</v>
      </c>
      <c r="M541" s="3052" t="s">
        <v>112</v>
      </c>
      <c r="N541" s="3050">
        <v>45552</v>
      </c>
      <c r="O541" s="3050">
        <v>45565</v>
      </c>
      <c r="P541" s="3050"/>
      <c r="Q541" s="3051"/>
      <c r="R541" s="3052"/>
      <c r="S541" s="2299"/>
      <c r="T541" s="2299"/>
      <c r="U541" s="2095"/>
      <c r="V541" s="2095"/>
      <c r="W541" s="2095"/>
      <c r="X541" s="2315"/>
      <c r="Y541" s="2299"/>
      <c r="Z541" s="3050"/>
      <c r="AA541" s="3050"/>
      <c r="AB541" s="3050"/>
      <c r="AC541" s="2976"/>
      <c r="AD541" s="2976"/>
      <c r="AE541" s="118">
        <v>3</v>
      </c>
    </row>
    <row r="542" spans="1:31" ht="16.5" thickTop="1" thickBot="1">
      <c r="A542" s="899">
        <v>45537</v>
      </c>
      <c r="B542" s="3123" t="s">
        <v>18315</v>
      </c>
      <c r="C542" s="286" t="s">
        <v>16688</v>
      </c>
      <c r="D542" s="286" t="s">
        <v>7475</v>
      </c>
      <c r="E542" s="286" t="s">
        <v>655</v>
      </c>
      <c r="F542" s="261" t="s">
        <v>18316</v>
      </c>
      <c r="G542" s="286"/>
      <c r="H542" s="3123"/>
      <c r="I542" s="3123" t="s">
        <v>15369</v>
      </c>
      <c r="J542" s="286" t="s">
        <v>1676</v>
      </c>
      <c r="K542" s="286"/>
      <c r="L542" s="499">
        <v>900000</v>
      </c>
      <c r="M542" s="286" t="s">
        <v>112</v>
      </c>
      <c r="N542" s="899">
        <v>45538</v>
      </c>
      <c r="O542" s="899">
        <v>45551</v>
      </c>
      <c r="P542" s="899">
        <v>45565</v>
      </c>
      <c r="Q542" s="3123" t="s">
        <v>409</v>
      </c>
      <c r="R542" s="286"/>
      <c r="S542" s="499">
        <v>740712</v>
      </c>
      <c r="T542" s="499">
        <v>896261.52</v>
      </c>
      <c r="U542" s="1545"/>
      <c r="V542" s="1545"/>
      <c r="W542" s="1545"/>
      <c r="X542" s="682">
        <v>45565</v>
      </c>
      <c r="Y542" s="1752" t="s">
        <v>18602</v>
      </c>
      <c r="Z542" s="899">
        <v>45574</v>
      </c>
      <c r="AA542" s="899">
        <v>45575</v>
      </c>
      <c r="AB542" s="899"/>
      <c r="AC542" s="2976"/>
      <c r="AD542" s="2976"/>
      <c r="AE542" s="118">
        <v>2</v>
      </c>
    </row>
    <row r="543" spans="1:31" ht="15.75" thickTop="1">
      <c r="A543" s="3038">
        <v>45537</v>
      </c>
      <c r="B543" s="3039" t="s">
        <v>18322</v>
      </c>
      <c r="C543" s="3040" t="s">
        <v>16536</v>
      </c>
      <c r="D543" s="3040" t="s">
        <v>15129</v>
      </c>
      <c r="E543" s="3040" t="s">
        <v>13949</v>
      </c>
      <c r="F543" s="3041" t="s">
        <v>18321</v>
      </c>
      <c r="G543" s="3040">
        <v>1</v>
      </c>
      <c r="H543" s="3039" t="s">
        <v>18325</v>
      </c>
      <c r="I543" s="3039" t="s">
        <v>15448</v>
      </c>
      <c r="J543" s="3040" t="s">
        <v>3633</v>
      </c>
      <c r="K543" s="3040"/>
      <c r="L543" s="588">
        <v>7484339</v>
      </c>
      <c r="M543" s="3040" t="s">
        <v>251</v>
      </c>
      <c r="N543" s="3038">
        <v>45569</v>
      </c>
      <c r="O543" s="3038">
        <v>45604</v>
      </c>
      <c r="P543" s="3038"/>
      <c r="Q543" s="3039"/>
      <c r="R543" s="3040"/>
      <c r="S543" s="588"/>
      <c r="T543" s="588"/>
      <c r="U543" s="1483"/>
      <c r="V543" s="1483"/>
      <c r="W543" s="1483"/>
      <c r="X543" s="3001"/>
      <c r="Y543" s="3317"/>
      <c r="Z543" s="3038"/>
      <c r="AA543" s="3038"/>
      <c r="AB543" s="3038"/>
      <c r="AC543" s="2976"/>
      <c r="AD543" s="2976"/>
    </row>
    <row r="544" spans="1:31">
      <c r="A544" s="3086">
        <v>45537</v>
      </c>
      <c r="B544" s="2966" t="s">
        <v>18323</v>
      </c>
      <c r="C544" s="2976" t="s">
        <v>16536</v>
      </c>
      <c r="D544" s="2976" t="s">
        <v>15129</v>
      </c>
      <c r="E544" s="2976" t="s">
        <v>13949</v>
      </c>
      <c r="F544" s="2973" t="s">
        <v>18321</v>
      </c>
      <c r="G544" s="2976">
        <v>2</v>
      </c>
      <c r="H544" s="2966" t="s">
        <v>18326</v>
      </c>
      <c r="I544" s="2966" t="s">
        <v>15370</v>
      </c>
      <c r="J544" s="2976" t="s">
        <v>3633</v>
      </c>
      <c r="K544" s="2976"/>
      <c r="L544" s="2961">
        <v>1075113</v>
      </c>
      <c r="M544" s="2976" t="s">
        <v>251</v>
      </c>
      <c r="N544" s="3086"/>
      <c r="O544" s="3086"/>
      <c r="P544" s="3086"/>
      <c r="Q544" s="2966"/>
      <c r="R544" s="2976"/>
      <c r="S544" s="2961"/>
      <c r="T544" s="2961"/>
      <c r="U544" s="2923"/>
      <c r="V544" s="2923"/>
      <c r="W544" s="2923"/>
      <c r="X544" s="2962"/>
      <c r="Y544" s="2971"/>
      <c r="Z544" s="3086"/>
      <c r="AA544" s="3086"/>
      <c r="AB544" s="3086"/>
      <c r="AC544" s="2976"/>
      <c r="AD544" s="2976"/>
    </row>
    <row r="545" spans="1:31" ht="15.75" thickBot="1">
      <c r="A545" s="3261">
        <v>45537</v>
      </c>
      <c r="B545" s="3262" t="s">
        <v>18324</v>
      </c>
      <c r="C545" s="3059" t="s">
        <v>16536</v>
      </c>
      <c r="D545" s="3059" t="s">
        <v>15129</v>
      </c>
      <c r="E545" s="3059" t="s">
        <v>13949</v>
      </c>
      <c r="F545" s="3263" t="s">
        <v>18321</v>
      </c>
      <c r="G545" s="3059">
        <v>3</v>
      </c>
      <c r="H545" s="3262" t="s">
        <v>18327</v>
      </c>
      <c r="I545" s="3262" t="s">
        <v>15370</v>
      </c>
      <c r="J545" s="3059" t="s">
        <v>3633</v>
      </c>
      <c r="K545" s="3059"/>
      <c r="L545" s="3264">
        <v>704683</v>
      </c>
      <c r="M545" s="3059" t="s">
        <v>251</v>
      </c>
      <c r="N545" s="3261"/>
      <c r="O545" s="3261"/>
      <c r="P545" s="3261"/>
      <c r="Q545" s="3262"/>
      <c r="R545" s="3059"/>
      <c r="S545" s="3264"/>
      <c r="T545" s="3264"/>
      <c r="U545" s="2924"/>
      <c r="V545" s="2924"/>
      <c r="W545" s="2924"/>
      <c r="X545" s="3269"/>
      <c r="Y545" s="3264"/>
      <c r="Z545" s="3261"/>
      <c r="AA545" s="3261"/>
      <c r="AB545" s="3261"/>
      <c r="AC545" s="2976"/>
      <c r="AD545" s="2976"/>
    </row>
    <row r="546" spans="1:31" ht="15.75" thickTop="1">
      <c r="A546" s="3074">
        <v>45538</v>
      </c>
      <c r="B546" s="3075" t="s">
        <v>18337</v>
      </c>
      <c r="C546" s="3076" t="s">
        <v>16537</v>
      </c>
      <c r="D546" s="3076" t="s">
        <v>13844</v>
      </c>
      <c r="E546" s="3076" t="s">
        <v>13949</v>
      </c>
      <c r="F546" s="1298" t="s">
        <v>18338</v>
      </c>
      <c r="G546" s="3076"/>
      <c r="H546" s="3075"/>
      <c r="I546" s="3075" t="s">
        <v>15373</v>
      </c>
      <c r="J546" s="3076" t="s">
        <v>42</v>
      </c>
      <c r="K546" s="3076"/>
      <c r="L546" s="841">
        <v>387600</v>
      </c>
      <c r="M546" s="3076" t="s">
        <v>235</v>
      </c>
      <c r="N546" s="3074">
        <v>45552</v>
      </c>
      <c r="O546" s="3074">
        <v>45566</v>
      </c>
      <c r="P546" s="3074">
        <v>45580</v>
      </c>
      <c r="Q546" s="3075" t="s">
        <v>18692</v>
      </c>
      <c r="R546" s="3352"/>
      <c r="S546" s="841">
        <v>387600</v>
      </c>
      <c r="T546" s="841">
        <v>468996</v>
      </c>
      <c r="U546" s="1489"/>
      <c r="V546" s="1489"/>
      <c r="W546" s="1489"/>
      <c r="X546" s="1392">
        <v>45580</v>
      </c>
      <c r="Y546" s="841" t="s">
        <v>18723</v>
      </c>
      <c r="Z546" s="3076"/>
      <c r="AA546" s="3074"/>
      <c r="AB546" s="3076"/>
      <c r="AC546" s="2976"/>
      <c r="AD546" s="2976"/>
      <c r="AE546" s="118">
        <v>1</v>
      </c>
    </row>
    <row r="547" spans="1:31">
      <c r="A547" s="3294">
        <v>45541</v>
      </c>
      <c r="B547" s="3295" t="s">
        <v>18358</v>
      </c>
      <c r="C547" s="3066" t="s">
        <v>16536</v>
      </c>
      <c r="D547" s="3066" t="s">
        <v>15129</v>
      </c>
      <c r="E547" s="3066" t="s">
        <v>13949</v>
      </c>
      <c r="F547" s="2973" t="s">
        <v>18359</v>
      </c>
      <c r="G547" s="3066"/>
      <c r="H547" s="3295"/>
      <c r="I547" s="3295" t="s">
        <v>15370</v>
      </c>
      <c r="J547" s="3066" t="s">
        <v>3634</v>
      </c>
      <c r="K547" s="3066"/>
      <c r="L547" s="3296">
        <v>11379403</v>
      </c>
      <c r="M547" s="3066" t="s">
        <v>251</v>
      </c>
      <c r="N547" s="3294"/>
      <c r="O547" s="3294"/>
      <c r="P547" s="3066"/>
      <c r="Q547" s="3318"/>
      <c r="R547" s="3319"/>
      <c r="S547" s="3296"/>
      <c r="T547" s="3296"/>
      <c r="U547" s="3297"/>
      <c r="V547" s="3297"/>
      <c r="W547" s="3297"/>
      <c r="X547" s="3296"/>
      <c r="Y547" s="3296"/>
      <c r="Z547" s="3066"/>
      <c r="AA547" s="3294"/>
      <c r="AB547" s="3066"/>
      <c r="AC547" s="2976"/>
      <c r="AD547" s="2976"/>
    </row>
    <row r="548" spans="1:31" ht="15.75" thickBot="1">
      <c r="A548" s="3045">
        <v>45540</v>
      </c>
      <c r="B548" s="3020" t="s">
        <v>18344</v>
      </c>
      <c r="C548" s="3046" t="s">
        <v>58</v>
      </c>
      <c r="D548" s="3046" t="s">
        <v>15443</v>
      </c>
      <c r="E548" s="3046" t="s">
        <v>13950</v>
      </c>
      <c r="F548" s="3026" t="s">
        <v>18345</v>
      </c>
      <c r="G548" s="3046"/>
      <c r="H548" s="3020"/>
      <c r="I548" s="3020" t="s">
        <v>15448</v>
      </c>
      <c r="J548" s="3046" t="s">
        <v>77</v>
      </c>
      <c r="K548" s="3046" t="s">
        <v>18552</v>
      </c>
      <c r="L548" s="1874">
        <v>410800000</v>
      </c>
      <c r="M548" s="3046" t="s">
        <v>251</v>
      </c>
      <c r="N548" s="3045">
        <v>45568</v>
      </c>
      <c r="O548" s="3045">
        <v>45602</v>
      </c>
      <c r="P548" s="3045"/>
      <c r="Q548" s="3020"/>
      <c r="R548" s="3046"/>
      <c r="S548" s="1874"/>
      <c r="T548" s="1874"/>
      <c r="U548" s="1490"/>
      <c r="V548" s="1490"/>
      <c r="W548" s="1490"/>
      <c r="X548" s="3280"/>
      <c r="Y548" s="1874"/>
      <c r="Z548" s="3045"/>
      <c r="AA548" s="3045"/>
      <c r="AB548" s="3045"/>
      <c r="AC548" s="2976"/>
      <c r="AD548" s="2976"/>
    </row>
    <row r="549" spans="1:31" ht="15.75" thickTop="1">
      <c r="A549" s="3038">
        <v>45541</v>
      </c>
      <c r="B549" s="3039" t="s">
        <v>18353</v>
      </c>
      <c r="C549" s="3040" t="s">
        <v>16536</v>
      </c>
      <c r="D549" s="3040" t="s">
        <v>15131</v>
      </c>
      <c r="E549" s="3040" t="s">
        <v>18336</v>
      </c>
      <c r="F549" s="3041" t="s">
        <v>18355</v>
      </c>
      <c r="G549" s="3040">
        <v>1</v>
      </c>
      <c r="H549" s="3039" t="s">
        <v>18356</v>
      </c>
      <c r="I549" s="3039" t="s">
        <v>15448</v>
      </c>
      <c r="J549" s="3040" t="s">
        <v>5244</v>
      </c>
      <c r="K549" s="3040"/>
      <c r="L549" s="588">
        <v>3113607</v>
      </c>
      <c r="M549" s="3040" t="s">
        <v>251</v>
      </c>
      <c r="N549" s="3038">
        <v>45548</v>
      </c>
      <c r="O549" s="3038">
        <v>45586</v>
      </c>
      <c r="P549" s="3038"/>
      <c r="Q549" s="3039"/>
      <c r="R549" s="3040"/>
      <c r="S549" s="588"/>
      <c r="T549" s="588"/>
      <c r="U549" s="1483"/>
      <c r="V549" s="1483"/>
      <c r="W549" s="1483"/>
      <c r="X549" s="3001"/>
      <c r="Y549" s="588"/>
      <c r="Z549" s="3038"/>
      <c r="AA549" s="3038"/>
      <c r="AB549" s="3038"/>
      <c r="AC549" s="2976"/>
      <c r="AD549" s="2976"/>
    </row>
    <row r="550" spans="1:31" ht="15.75" thickBot="1">
      <c r="A550" s="3060">
        <v>45541</v>
      </c>
      <c r="B550" s="3003" t="s">
        <v>18354</v>
      </c>
      <c r="C550" s="3002" t="s">
        <v>16536</v>
      </c>
      <c r="D550" s="3002" t="s">
        <v>15131</v>
      </c>
      <c r="E550" s="3002" t="s">
        <v>18336</v>
      </c>
      <c r="F550" s="3079" t="s">
        <v>18355</v>
      </c>
      <c r="G550" s="3002">
        <v>2</v>
      </c>
      <c r="H550" s="3003" t="s">
        <v>18357</v>
      </c>
      <c r="I550" s="3003" t="s">
        <v>15448</v>
      </c>
      <c r="J550" s="3002" t="s">
        <v>5244</v>
      </c>
      <c r="K550" s="3002"/>
      <c r="L550" s="2093">
        <v>2160044</v>
      </c>
      <c r="M550" s="3002" t="s">
        <v>251</v>
      </c>
      <c r="N550" s="3060">
        <v>45548</v>
      </c>
      <c r="O550" s="3060">
        <v>45586</v>
      </c>
      <c r="P550" s="3060"/>
      <c r="Q550" s="3003"/>
      <c r="R550" s="3002"/>
      <c r="S550" s="2093"/>
      <c r="T550" s="2093"/>
      <c r="U550" s="2095"/>
      <c r="V550" s="2095"/>
      <c r="W550" s="2095"/>
      <c r="X550" s="3014"/>
      <c r="Y550" s="2093"/>
      <c r="Z550" s="3060"/>
      <c r="AA550" s="3060"/>
      <c r="AB550" s="3060"/>
      <c r="AC550" s="2976"/>
      <c r="AD550" s="2976"/>
    </row>
    <row r="551" spans="1:31" ht="31.5" thickTop="1" thickBot="1">
      <c r="A551" s="899" t="s">
        <v>18005</v>
      </c>
      <c r="B551" s="3123" t="s">
        <v>18349</v>
      </c>
      <c r="C551" s="286" t="s">
        <v>58</v>
      </c>
      <c r="D551" s="286" t="s">
        <v>15443</v>
      </c>
      <c r="E551" s="286" t="s">
        <v>13951</v>
      </c>
      <c r="F551" s="261" t="s">
        <v>18350</v>
      </c>
      <c r="G551" s="286"/>
      <c r="H551" s="3123"/>
      <c r="I551" s="3123" t="s">
        <v>15369</v>
      </c>
      <c r="J551" s="286" t="s">
        <v>1159</v>
      </c>
      <c r="K551" s="286" t="s">
        <v>18351</v>
      </c>
      <c r="L551" s="499">
        <v>590000</v>
      </c>
      <c r="M551" s="286" t="s">
        <v>112</v>
      </c>
      <c r="N551" s="899">
        <v>45540</v>
      </c>
      <c r="O551" s="899">
        <v>45558</v>
      </c>
      <c r="P551" s="899">
        <v>45562</v>
      </c>
      <c r="Q551" s="3123" t="s">
        <v>18520</v>
      </c>
      <c r="R551" s="286"/>
      <c r="S551" s="499">
        <v>613622</v>
      </c>
      <c r="T551" s="499">
        <v>742482.62</v>
      </c>
      <c r="U551" s="1545"/>
      <c r="V551" s="1545"/>
      <c r="W551" s="1545"/>
      <c r="X551" s="682">
        <v>45562</v>
      </c>
      <c r="Y551" s="1752" t="s">
        <v>18569</v>
      </c>
      <c r="Z551" s="899">
        <v>45574</v>
      </c>
      <c r="AA551" s="899">
        <v>45576</v>
      </c>
      <c r="AB551" s="899">
        <v>45596</v>
      </c>
      <c r="AC551" s="2976"/>
      <c r="AD551" s="2976"/>
      <c r="AE551" s="118">
        <v>1</v>
      </c>
    </row>
    <row r="552" spans="1:31" ht="15.75" thickTop="1">
      <c r="A552" s="3038">
        <v>45548</v>
      </c>
      <c r="B552" s="3039" t="s">
        <v>18451</v>
      </c>
      <c r="C552" s="3040" t="s">
        <v>16536</v>
      </c>
      <c r="D552" s="3040" t="s">
        <v>15129</v>
      </c>
      <c r="E552" s="3040" t="s">
        <v>18336</v>
      </c>
      <c r="F552" s="3041" t="s">
        <v>18453</v>
      </c>
      <c r="G552" s="3040">
        <v>1</v>
      </c>
      <c r="H552" s="3039" t="s">
        <v>4880</v>
      </c>
      <c r="I552" s="3039" t="s">
        <v>15448</v>
      </c>
      <c r="J552" s="3040" t="s">
        <v>93</v>
      </c>
      <c r="K552" s="3040"/>
      <c r="L552" s="588">
        <v>231373</v>
      </c>
      <c r="M552" s="3040" t="s">
        <v>251</v>
      </c>
      <c r="N552" s="3038">
        <v>45558</v>
      </c>
      <c r="O552" s="3038">
        <v>45594</v>
      </c>
      <c r="P552" s="3038"/>
      <c r="Q552" s="3039"/>
      <c r="R552" s="3040"/>
      <c r="S552" s="588"/>
      <c r="T552" s="588"/>
      <c r="U552" s="1483"/>
      <c r="V552" s="1483"/>
      <c r="W552" s="1483"/>
      <c r="X552" s="3001"/>
      <c r="Y552" s="588"/>
      <c r="Z552" s="3038"/>
      <c r="AA552" s="3038"/>
      <c r="AB552" s="3038"/>
      <c r="AC552" s="2976"/>
      <c r="AD552" s="2976"/>
    </row>
    <row r="553" spans="1:31" ht="15.75" thickBot="1">
      <c r="A553" s="3060">
        <v>45548</v>
      </c>
      <c r="B553" s="3003" t="s">
        <v>18452</v>
      </c>
      <c r="C553" s="3002" t="s">
        <v>16536</v>
      </c>
      <c r="D553" s="3002" t="s">
        <v>15129</v>
      </c>
      <c r="E553" s="3002" t="s">
        <v>18336</v>
      </c>
      <c r="F553" s="3079" t="s">
        <v>18453</v>
      </c>
      <c r="G553" s="3002">
        <v>2</v>
      </c>
      <c r="H553" s="3003" t="s">
        <v>10827</v>
      </c>
      <c r="I553" s="3003" t="s">
        <v>15448</v>
      </c>
      <c r="J553" s="3002" t="s">
        <v>93</v>
      </c>
      <c r="K553" s="3002"/>
      <c r="L553" s="2093">
        <v>135147299</v>
      </c>
      <c r="M553" s="3002" t="s">
        <v>251</v>
      </c>
      <c r="N553" s="3060">
        <v>45558</v>
      </c>
      <c r="O553" s="3060">
        <v>45594</v>
      </c>
      <c r="P553" s="3060"/>
      <c r="Q553" s="3003"/>
      <c r="R553" s="3002"/>
      <c r="S553" s="2093"/>
      <c r="T553" s="2093"/>
      <c r="U553" s="2095"/>
      <c r="V553" s="2095"/>
      <c r="W553" s="2095"/>
      <c r="X553" s="3014"/>
      <c r="Y553" s="2093"/>
      <c r="Z553" s="3060"/>
      <c r="AA553" s="3060"/>
      <c r="AB553" s="3060"/>
      <c r="AC553" s="2976"/>
      <c r="AD553" s="2976"/>
    </row>
    <row r="554" spans="1:31" ht="30.75" thickTop="1">
      <c r="A554" s="3076" t="s">
        <v>18159</v>
      </c>
      <c r="B554" s="3075" t="s">
        <v>18347</v>
      </c>
      <c r="C554" s="3076" t="s">
        <v>58</v>
      </c>
      <c r="D554" s="3076" t="s">
        <v>15443</v>
      </c>
      <c r="E554" s="3076" t="s">
        <v>655</v>
      </c>
      <c r="F554" s="3077" t="s">
        <v>18346</v>
      </c>
      <c r="G554" s="3076"/>
      <c r="H554" s="3075"/>
      <c r="I554" s="3075" t="s">
        <v>15373</v>
      </c>
      <c r="J554" s="3076" t="s">
        <v>260</v>
      </c>
      <c r="K554" s="3076" t="s">
        <v>18160</v>
      </c>
      <c r="L554" s="841">
        <v>179000</v>
      </c>
      <c r="M554" s="3076" t="s">
        <v>112</v>
      </c>
      <c r="N554" s="3074">
        <v>45546</v>
      </c>
      <c r="O554" s="3074">
        <v>45558</v>
      </c>
      <c r="P554" s="3074">
        <v>45579</v>
      </c>
      <c r="Q554" s="3075" t="s">
        <v>18679</v>
      </c>
      <c r="R554" s="3076"/>
      <c r="S554" s="841">
        <v>150365</v>
      </c>
      <c r="T554" s="841">
        <v>181941.65</v>
      </c>
      <c r="U554" s="1489"/>
      <c r="V554" s="1489"/>
      <c r="W554" s="1489"/>
      <c r="X554" s="1392">
        <v>45579</v>
      </c>
      <c r="Y554" s="1796" t="s">
        <v>18701</v>
      </c>
      <c r="Z554" s="3074"/>
      <c r="AA554" s="3074"/>
      <c r="AB554" s="3074"/>
      <c r="AC554" s="2976"/>
      <c r="AD554" s="2976"/>
      <c r="AE554" s="118">
        <v>1</v>
      </c>
    </row>
    <row r="555" spans="1:31">
      <c r="A555" s="3086">
        <v>45544</v>
      </c>
      <c r="B555" s="2966" t="s">
        <v>18378</v>
      </c>
      <c r="C555" s="2976" t="s">
        <v>58</v>
      </c>
      <c r="D555" s="2976" t="s">
        <v>15443</v>
      </c>
      <c r="E555" s="2976" t="s">
        <v>13948</v>
      </c>
      <c r="F555" s="2973" t="s">
        <v>18379</v>
      </c>
      <c r="G555" s="2976"/>
      <c r="H555" s="2966"/>
      <c r="I555" s="2966" t="s">
        <v>15370</v>
      </c>
      <c r="J555" s="2976" t="s">
        <v>673</v>
      </c>
      <c r="K555" s="2976" t="s">
        <v>18380</v>
      </c>
      <c r="L555" s="2961">
        <v>3260000</v>
      </c>
      <c r="M555" s="2976" t="s">
        <v>251</v>
      </c>
      <c r="N555" s="3086"/>
      <c r="O555" s="3086"/>
      <c r="P555" s="3086"/>
      <c r="Q555" s="2966"/>
      <c r="R555" s="2976"/>
      <c r="S555" s="2961"/>
      <c r="T555" s="2961"/>
      <c r="U555" s="2923"/>
      <c r="V555" s="2923"/>
      <c r="W555" s="2923"/>
      <c r="X555" s="2962"/>
      <c r="Y555" s="2961"/>
      <c r="Z555" s="3086"/>
      <c r="AA555" s="3086"/>
      <c r="AB555" s="3086"/>
      <c r="AC555" s="2976"/>
      <c r="AD555" s="2976"/>
    </row>
    <row r="556" spans="1:31">
      <c r="A556" s="3070">
        <v>45544</v>
      </c>
      <c r="B556" s="2289" t="s">
        <v>18375</v>
      </c>
      <c r="C556" s="2877" t="s">
        <v>58</v>
      </c>
      <c r="D556" s="2877" t="s">
        <v>15443</v>
      </c>
      <c r="E556" s="2877" t="s">
        <v>655</v>
      </c>
      <c r="F556" s="2913" t="s">
        <v>18376</v>
      </c>
      <c r="G556" s="2877"/>
      <c r="H556" s="2289"/>
      <c r="I556" s="2289" t="s">
        <v>15369</v>
      </c>
      <c r="J556" s="2877" t="s">
        <v>480</v>
      </c>
      <c r="K556" s="2877" t="s">
        <v>18377</v>
      </c>
      <c r="L556" s="2144">
        <v>156000</v>
      </c>
      <c r="M556" s="2877" t="s">
        <v>112</v>
      </c>
      <c r="N556" s="3070">
        <v>45546</v>
      </c>
      <c r="O556" s="3070">
        <v>45558</v>
      </c>
      <c r="P556" s="3070">
        <v>45568</v>
      </c>
      <c r="Q556" s="2289" t="s">
        <v>11328</v>
      </c>
      <c r="R556" s="2877"/>
      <c r="S556" s="2144">
        <v>156000</v>
      </c>
      <c r="T556" s="2144">
        <v>188760</v>
      </c>
      <c r="U556" s="2145"/>
      <c r="V556" s="2145"/>
      <c r="W556" s="2145"/>
      <c r="X556" s="2146">
        <v>45568</v>
      </c>
      <c r="Y556" s="2144" t="s">
        <v>18641</v>
      </c>
      <c r="Z556" s="3070">
        <v>45574</v>
      </c>
      <c r="AA556" s="3070">
        <v>45575</v>
      </c>
      <c r="AB556" s="3070">
        <v>45614</v>
      </c>
      <c r="AC556" s="2976"/>
      <c r="AD556" s="2976"/>
      <c r="AE556" s="118">
        <v>1</v>
      </c>
    </row>
    <row r="557" spans="1:31" ht="30">
      <c r="A557" s="3070">
        <v>45544</v>
      </c>
      <c r="B557" s="2289" t="s">
        <v>18372</v>
      </c>
      <c r="C557" s="2877" t="s">
        <v>58</v>
      </c>
      <c r="D557" s="2877" t="s">
        <v>15443</v>
      </c>
      <c r="E557" s="2877" t="s">
        <v>13951</v>
      </c>
      <c r="F557" s="2913" t="s">
        <v>18373</v>
      </c>
      <c r="G557" s="2877"/>
      <c r="H557" s="2289"/>
      <c r="I557" s="2289" t="s">
        <v>15369</v>
      </c>
      <c r="J557" s="2877" t="s">
        <v>1159</v>
      </c>
      <c r="K557" s="2877" t="s">
        <v>18374</v>
      </c>
      <c r="L557" s="2144">
        <v>360000</v>
      </c>
      <c r="M557" s="2877" t="s">
        <v>112</v>
      </c>
      <c r="N557" s="3070">
        <v>45546</v>
      </c>
      <c r="O557" s="3070">
        <v>45558</v>
      </c>
      <c r="P557" s="3070">
        <v>45568</v>
      </c>
      <c r="Q557" s="2289" t="s">
        <v>18534</v>
      </c>
      <c r="R557" s="2877"/>
      <c r="S557" s="2144">
        <v>310000</v>
      </c>
      <c r="T557" s="2144">
        <v>375100</v>
      </c>
      <c r="U557" s="2145"/>
      <c r="V557" s="2145"/>
      <c r="W557" s="2145"/>
      <c r="X557" s="2146">
        <v>45568</v>
      </c>
      <c r="Y557" s="2260" t="s">
        <v>18652</v>
      </c>
      <c r="Z557" s="3070">
        <v>45579</v>
      </c>
      <c r="AA557" s="3047"/>
      <c r="AB557" s="3070">
        <v>45639</v>
      </c>
      <c r="AC557" s="2976"/>
      <c r="AD557" s="2976"/>
      <c r="AE557" s="118">
        <v>2</v>
      </c>
    </row>
    <row r="558" spans="1:31" ht="30">
      <c r="A558" s="3047">
        <v>45544</v>
      </c>
      <c r="B558" s="3018" t="s">
        <v>18369</v>
      </c>
      <c r="C558" s="3048" t="s">
        <v>58</v>
      </c>
      <c r="D558" s="3048" t="s">
        <v>15443</v>
      </c>
      <c r="E558" s="3048" t="s">
        <v>655</v>
      </c>
      <c r="F558" s="3049" t="s">
        <v>18370</v>
      </c>
      <c r="G558" s="3048"/>
      <c r="H558" s="3018"/>
      <c r="I558" s="3018" t="s">
        <v>15373</v>
      </c>
      <c r="J558" s="3048" t="s">
        <v>14299</v>
      </c>
      <c r="K558" s="3048" t="s">
        <v>18371</v>
      </c>
      <c r="L558" s="2157">
        <v>402000</v>
      </c>
      <c r="M558" s="3048" t="s">
        <v>112</v>
      </c>
      <c r="N558" s="3047">
        <v>45546</v>
      </c>
      <c r="O558" s="3047">
        <v>45558</v>
      </c>
      <c r="P558" s="3047">
        <v>45579</v>
      </c>
      <c r="Q558" s="3018" t="s">
        <v>637</v>
      </c>
      <c r="R558" s="3048"/>
      <c r="S558" s="2157">
        <v>398544</v>
      </c>
      <c r="T558" s="2157">
        <v>482238.24</v>
      </c>
      <c r="U558" s="2094"/>
      <c r="V558" s="2094"/>
      <c r="W558" s="2094"/>
      <c r="X558" s="2160">
        <v>45579</v>
      </c>
      <c r="Y558" s="2326" t="s">
        <v>18704</v>
      </c>
      <c r="Z558" s="3047"/>
      <c r="AA558" s="3047"/>
      <c r="AB558" s="3047"/>
      <c r="AC558" s="2976"/>
      <c r="AD558" s="2976"/>
      <c r="AE558" s="118">
        <v>1</v>
      </c>
    </row>
    <row r="559" spans="1:31">
      <c r="A559" s="3047">
        <v>45544</v>
      </c>
      <c r="B559" s="3018" t="s">
        <v>18367</v>
      </c>
      <c r="C559" s="3048" t="s">
        <v>16536</v>
      </c>
      <c r="D559" s="3048" t="s">
        <v>15129</v>
      </c>
      <c r="E559" s="3048" t="s">
        <v>18336</v>
      </c>
      <c r="F559" s="3049" t="s">
        <v>18368</v>
      </c>
      <c r="G559" s="3048"/>
      <c r="H559" s="3018"/>
      <c r="I559" s="3018" t="s">
        <v>15373</v>
      </c>
      <c r="J559" s="3048" t="s">
        <v>68</v>
      </c>
      <c r="K559" s="3048"/>
      <c r="L559" s="2157">
        <v>30457719</v>
      </c>
      <c r="M559" s="3048" t="s">
        <v>235</v>
      </c>
      <c r="N559" s="3047">
        <v>45547</v>
      </c>
      <c r="O559" s="3047">
        <v>45565</v>
      </c>
      <c r="P559" s="3047">
        <v>45580</v>
      </c>
      <c r="Q559" s="3018" t="s">
        <v>6805</v>
      </c>
      <c r="R559" s="3048"/>
      <c r="S559" s="2157">
        <v>30381761.640000001</v>
      </c>
      <c r="T559" s="2157">
        <v>34027573.039999999</v>
      </c>
      <c r="U559" s="2094"/>
      <c r="V559" s="2094"/>
      <c r="W559" s="2094"/>
      <c r="X559" s="2160">
        <v>45580</v>
      </c>
      <c r="Y559" s="2157" t="s">
        <v>18724</v>
      </c>
      <c r="Z559" s="3047"/>
      <c r="AA559" s="3047"/>
      <c r="AB559" s="3391" t="s">
        <v>18610</v>
      </c>
      <c r="AC559" s="2976"/>
      <c r="AD559" s="2976"/>
      <c r="AE559" s="118">
        <v>2</v>
      </c>
    </row>
    <row r="560" spans="1:31">
      <c r="A560" s="3102">
        <v>45546</v>
      </c>
      <c r="B560" s="3103" t="s">
        <v>18412</v>
      </c>
      <c r="C560" s="3104" t="s">
        <v>16536</v>
      </c>
      <c r="D560" s="3104" t="s">
        <v>15129</v>
      </c>
      <c r="E560" s="3104" t="s">
        <v>15813</v>
      </c>
      <c r="F560" s="3105" t="s">
        <v>18413</v>
      </c>
      <c r="G560" s="3104"/>
      <c r="H560" s="3103"/>
      <c r="I560" s="3103" t="s">
        <v>4837</v>
      </c>
      <c r="J560" s="3104" t="s">
        <v>815</v>
      </c>
      <c r="K560" s="3104"/>
      <c r="L560" s="465">
        <v>6056285</v>
      </c>
      <c r="M560" s="3104" t="s">
        <v>235</v>
      </c>
      <c r="N560" s="3102">
        <v>45558</v>
      </c>
      <c r="O560" s="3102">
        <v>45569</v>
      </c>
      <c r="P560" s="3102"/>
      <c r="Q560" s="3103"/>
      <c r="R560" s="3104"/>
      <c r="S560" s="465"/>
      <c r="T560" s="465"/>
      <c r="U560" s="1478"/>
      <c r="V560" s="1478"/>
      <c r="W560" s="1478"/>
      <c r="X560" s="1809"/>
      <c r="Y560" s="465"/>
      <c r="Z560" s="3102"/>
      <c r="AA560" s="3102"/>
      <c r="AB560" s="3102"/>
      <c r="AC560" s="2976"/>
      <c r="AD560" s="2976"/>
      <c r="AE560" s="118">
        <v>3</v>
      </c>
    </row>
    <row r="561" spans="1:31" ht="15.75" thickBot="1">
      <c r="A561" s="3045">
        <v>45545</v>
      </c>
      <c r="B561" s="3020" t="s">
        <v>18396</v>
      </c>
      <c r="C561" s="3046" t="s">
        <v>58</v>
      </c>
      <c r="D561" s="3046" t="s">
        <v>15443</v>
      </c>
      <c r="E561" s="3046" t="s">
        <v>18336</v>
      </c>
      <c r="F561" s="3026" t="s">
        <v>18397</v>
      </c>
      <c r="G561" s="3046"/>
      <c r="H561" s="3020"/>
      <c r="I561" s="3020" t="s">
        <v>15448</v>
      </c>
      <c r="J561" s="3046" t="s">
        <v>9759</v>
      </c>
      <c r="K561" s="3046" t="s">
        <v>18398</v>
      </c>
      <c r="L561" s="1874">
        <v>17319800</v>
      </c>
      <c r="M561" s="3046" t="s">
        <v>251</v>
      </c>
      <c r="N561" s="3045">
        <v>45561</v>
      </c>
      <c r="O561" s="3045">
        <v>45597</v>
      </c>
      <c r="P561" s="3045"/>
      <c r="Q561" s="3020"/>
      <c r="R561" s="3046"/>
      <c r="S561" s="1874"/>
      <c r="T561" s="1874"/>
      <c r="U561" s="1490"/>
      <c r="V561" s="1490"/>
      <c r="W561" s="1490"/>
      <c r="X561" s="3280"/>
      <c r="Y561" s="1874"/>
      <c r="Z561" s="3045"/>
      <c r="AA561" s="3045"/>
      <c r="AB561" s="3045"/>
      <c r="AC561" s="2976"/>
      <c r="AD561" s="2976"/>
    </row>
    <row r="562" spans="1:31" ht="15.75" thickTop="1">
      <c r="A562" s="3071">
        <v>45545</v>
      </c>
      <c r="B562" s="2036" t="s">
        <v>18402</v>
      </c>
      <c r="C562" s="3072" t="s">
        <v>58</v>
      </c>
      <c r="D562" s="3072" t="s">
        <v>15443</v>
      </c>
      <c r="E562" s="3072" t="s">
        <v>655</v>
      </c>
      <c r="F562" s="3073" t="s">
        <v>18404</v>
      </c>
      <c r="G562" s="3072">
        <v>1</v>
      </c>
      <c r="H562" s="2036" t="s">
        <v>18407</v>
      </c>
      <c r="I562" s="2036" t="s">
        <v>4837</v>
      </c>
      <c r="J562" s="3072" t="s">
        <v>5760</v>
      </c>
      <c r="K562" s="3072" t="s">
        <v>18405</v>
      </c>
      <c r="L562" s="429">
        <v>148000</v>
      </c>
      <c r="M562" s="3072" t="s">
        <v>112</v>
      </c>
      <c r="N562" s="3071">
        <v>45548</v>
      </c>
      <c r="O562" s="3071">
        <v>45566</v>
      </c>
      <c r="P562" s="3071"/>
      <c r="Q562" s="2036"/>
      <c r="R562" s="3072"/>
      <c r="S562" s="429"/>
      <c r="T562" s="429"/>
      <c r="U562" s="1483"/>
      <c r="V562" s="1483"/>
      <c r="W562" s="1483"/>
      <c r="X562" s="1384"/>
      <c r="Y562" s="429"/>
      <c r="Z562" s="3071"/>
      <c r="AA562" s="3071"/>
      <c r="AB562" s="3071"/>
      <c r="AC562" s="2976"/>
      <c r="AD562" s="2976"/>
      <c r="AE562" s="118">
        <v>2</v>
      </c>
    </row>
    <row r="563" spans="1:31" ht="15.75" thickBot="1">
      <c r="A563" s="3050">
        <v>45545</v>
      </c>
      <c r="B563" s="3051" t="s">
        <v>18403</v>
      </c>
      <c r="C563" s="3052" t="s">
        <v>58</v>
      </c>
      <c r="D563" s="3052" t="s">
        <v>15443</v>
      </c>
      <c r="E563" s="3052" t="s">
        <v>655</v>
      </c>
      <c r="F563" s="3053" t="s">
        <v>18404</v>
      </c>
      <c r="G563" s="3052">
        <v>2</v>
      </c>
      <c r="H563" s="3051" t="s">
        <v>18408</v>
      </c>
      <c r="I563" s="3051" t="s">
        <v>4837</v>
      </c>
      <c r="J563" s="3052" t="s">
        <v>5760</v>
      </c>
      <c r="K563" s="3052" t="s">
        <v>18406</v>
      </c>
      <c r="L563" s="2299">
        <v>210000</v>
      </c>
      <c r="M563" s="3052" t="s">
        <v>112</v>
      </c>
      <c r="N563" s="3050">
        <v>45548</v>
      </c>
      <c r="O563" s="3050">
        <v>45566</v>
      </c>
      <c r="P563" s="3050"/>
      <c r="Q563" s="3051"/>
      <c r="R563" s="3052"/>
      <c r="S563" s="2299"/>
      <c r="T563" s="2299"/>
      <c r="U563" s="2095"/>
      <c r="V563" s="2095"/>
      <c r="W563" s="2095"/>
      <c r="X563" s="2315"/>
      <c r="Y563" s="2299"/>
      <c r="Z563" s="3050"/>
      <c r="AA563" s="3050"/>
      <c r="AB563" s="3050"/>
      <c r="AC563" s="2976"/>
      <c r="AD563" s="2976"/>
      <c r="AE563" s="118">
        <v>1</v>
      </c>
    </row>
    <row r="564" spans="1:31" ht="15.75" thickTop="1">
      <c r="A564" s="656">
        <v>45545</v>
      </c>
      <c r="B564" s="3061" t="s">
        <v>18409</v>
      </c>
      <c r="C564" s="3062" t="s">
        <v>58</v>
      </c>
      <c r="D564" s="3062" t="s">
        <v>15443</v>
      </c>
      <c r="E564" s="3062" t="s">
        <v>13951</v>
      </c>
      <c r="F564" s="3063" t="s">
        <v>18410</v>
      </c>
      <c r="G564" s="3062"/>
      <c r="H564" s="3061"/>
      <c r="I564" s="3061" t="s">
        <v>242</v>
      </c>
      <c r="J564" s="3062" t="s">
        <v>5760</v>
      </c>
      <c r="K564" s="3062" t="s">
        <v>18411</v>
      </c>
      <c r="L564" s="472">
        <v>215000</v>
      </c>
      <c r="M564" s="3062" t="s">
        <v>112</v>
      </c>
      <c r="N564" s="656">
        <v>45548</v>
      </c>
      <c r="O564" s="656">
        <v>45559</v>
      </c>
      <c r="P564" s="656"/>
      <c r="Q564" s="471" t="s">
        <v>9114</v>
      </c>
      <c r="R564" s="2075" t="s">
        <v>18621</v>
      </c>
      <c r="S564" s="472"/>
      <c r="T564" s="472"/>
      <c r="U564" s="1516"/>
      <c r="V564" s="1516"/>
      <c r="W564" s="1516"/>
      <c r="X564" s="1547"/>
      <c r="Y564" s="472"/>
      <c r="Z564" s="656"/>
      <c r="AA564" s="656">
        <v>45560</v>
      </c>
      <c r="AB564" s="656"/>
      <c r="AC564" s="2976"/>
      <c r="AD564" s="2976"/>
      <c r="AE564" s="118">
        <v>1</v>
      </c>
    </row>
    <row r="565" spans="1:31">
      <c r="A565" s="3042">
        <v>45545</v>
      </c>
      <c r="B565" s="3043" t="s">
        <v>18399</v>
      </c>
      <c r="C565" s="3044" t="s">
        <v>58</v>
      </c>
      <c r="D565" s="3044" t="s">
        <v>15443</v>
      </c>
      <c r="E565" s="3044" t="s">
        <v>13948</v>
      </c>
      <c r="F565" s="3334" t="s">
        <v>18400</v>
      </c>
      <c r="G565" s="3044"/>
      <c r="H565" s="3043"/>
      <c r="I565" s="3043" t="s">
        <v>15448</v>
      </c>
      <c r="J565" s="3044" t="s">
        <v>275</v>
      </c>
      <c r="K565" s="3044" t="s">
        <v>18401</v>
      </c>
      <c r="L565" s="2092">
        <v>2442648.17</v>
      </c>
      <c r="M565" s="3044" t="s">
        <v>251</v>
      </c>
      <c r="N565" s="3042">
        <v>45551</v>
      </c>
      <c r="O565" s="3042">
        <v>45586</v>
      </c>
      <c r="P565" s="3042"/>
      <c r="Q565" s="3043"/>
      <c r="R565" s="3044"/>
      <c r="S565" s="2092"/>
      <c r="T565" s="2092"/>
      <c r="U565" s="2094"/>
      <c r="V565" s="2094"/>
      <c r="W565" s="2094"/>
      <c r="X565" s="2456"/>
      <c r="Y565" s="2092"/>
      <c r="Z565" s="3042"/>
      <c r="AA565" s="3042"/>
      <c r="AB565" s="3042"/>
      <c r="AC565" s="2976"/>
      <c r="AD565" s="2976"/>
    </row>
    <row r="566" spans="1:31">
      <c r="A566" s="3045">
        <v>45545</v>
      </c>
      <c r="B566" s="3020" t="s">
        <v>18394</v>
      </c>
      <c r="C566" s="3046" t="s">
        <v>16688</v>
      </c>
      <c r="D566" s="3046" t="s">
        <v>361</v>
      </c>
      <c r="E566" s="3046" t="s">
        <v>13950</v>
      </c>
      <c r="F566" s="1152" t="s">
        <v>18395</v>
      </c>
      <c r="G566" s="3046"/>
      <c r="H566" s="3020"/>
      <c r="I566" s="3020" t="s">
        <v>15448</v>
      </c>
      <c r="J566" s="3046" t="s">
        <v>4262</v>
      </c>
      <c r="K566" s="3046"/>
      <c r="L566" s="1874">
        <v>2644480</v>
      </c>
      <c r="M566" s="3046" t="s">
        <v>251</v>
      </c>
      <c r="N566" s="3045">
        <v>45547</v>
      </c>
      <c r="O566" s="3045">
        <v>45582</v>
      </c>
      <c r="P566" s="3045"/>
      <c r="Q566" s="3020"/>
      <c r="R566" s="3046"/>
      <c r="S566" s="1874"/>
      <c r="T566" s="1874"/>
      <c r="U566" s="1490"/>
      <c r="V566" s="1490"/>
      <c r="W566" s="1490"/>
      <c r="X566" s="3280"/>
      <c r="Y566" s="1874"/>
      <c r="Z566" s="3045"/>
      <c r="AA566" s="3045"/>
      <c r="AB566" s="3045"/>
      <c r="AC566" s="2976"/>
      <c r="AD566" s="2976"/>
    </row>
    <row r="567" spans="1:31">
      <c r="A567" s="3102">
        <v>45546</v>
      </c>
      <c r="B567" s="3103" t="s">
        <v>18425</v>
      </c>
      <c r="C567" s="3104" t="s">
        <v>2434</v>
      </c>
      <c r="D567" s="3104" t="s">
        <v>219</v>
      </c>
      <c r="E567" s="3104" t="s">
        <v>13951</v>
      </c>
      <c r="F567" s="2462" t="s">
        <v>18426</v>
      </c>
      <c r="G567" s="3104"/>
      <c r="H567" s="3103"/>
      <c r="I567" s="3103" t="s">
        <v>15373</v>
      </c>
      <c r="J567" s="3104" t="s">
        <v>18427</v>
      </c>
      <c r="K567" s="3104"/>
      <c r="L567" s="465">
        <v>1784680</v>
      </c>
      <c r="M567" s="3104" t="s">
        <v>112</v>
      </c>
      <c r="N567" s="3102">
        <v>45555</v>
      </c>
      <c r="O567" s="3102">
        <v>45566</v>
      </c>
      <c r="P567" s="3102">
        <v>45574</v>
      </c>
      <c r="Q567" s="3103" t="s">
        <v>13780</v>
      </c>
      <c r="R567" s="3104"/>
      <c r="S567" s="465">
        <v>1784680</v>
      </c>
      <c r="T567" s="465">
        <v>1998841.6</v>
      </c>
      <c r="U567" s="1490"/>
      <c r="V567" s="1490"/>
      <c r="W567" s="1490"/>
      <c r="X567" s="1809">
        <v>45574</v>
      </c>
      <c r="Y567" s="465" t="s">
        <v>18690</v>
      </c>
      <c r="Z567" s="3102"/>
      <c r="AA567" s="3102"/>
      <c r="AB567" s="3102"/>
      <c r="AC567" s="2976"/>
      <c r="AD567" s="2976"/>
      <c r="AE567" s="118">
        <v>1</v>
      </c>
    </row>
    <row r="568" spans="1:31">
      <c r="A568" s="3045">
        <v>45548</v>
      </c>
      <c r="B568" s="3020" t="s">
        <v>18449</v>
      </c>
      <c r="C568" s="3046" t="s">
        <v>16536</v>
      </c>
      <c r="D568" s="3046" t="s">
        <v>15131</v>
      </c>
      <c r="E568" s="3046" t="s">
        <v>15813</v>
      </c>
      <c r="F568" s="1702" t="s">
        <v>18450</v>
      </c>
      <c r="G568" s="3046"/>
      <c r="H568" s="3020"/>
      <c r="I568" s="3020" t="s">
        <v>15448</v>
      </c>
      <c r="J568" s="3046" t="s">
        <v>14498</v>
      </c>
      <c r="K568" s="3046"/>
      <c r="L568" s="1874">
        <v>669600</v>
      </c>
      <c r="M568" s="3046" t="s">
        <v>235</v>
      </c>
      <c r="N568" s="3045">
        <v>45567</v>
      </c>
      <c r="O568" s="3045">
        <v>45588</v>
      </c>
      <c r="P568" s="3045"/>
      <c r="Q568" s="3020"/>
      <c r="R568" s="3046"/>
      <c r="S568" s="1874"/>
      <c r="T568" s="1874"/>
      <c r="U568" s="1490"/>
      <c r="V568" s="1490"/>
      <c r="W568" s="1490"/>
      <c r="X568" s="3280"/>
      <c r="Y568" s="1874"/>
      <c r="Z568" s="3045"/>
      <c r="AA568" s="3045"/>
      <c r="AB568" s="3045"/>
      <c r="AC568" s="2976"/>
      <c r="AD568" s="2976"/>
    </row>
    <row r="569" spans="1:31" ht="15.75" thickBot="1">
      <c r="A569" s="3131">
        <v>45547</v>
      </c>
      <c r="B569" s="3118" t="s">
        <v>18428</v>
      </c>
      <c r="C569" s="3119" t="s">
        <v>58</v>
      </c>
      <c r="D569" s="3119" t="s">
        <v>15443</v>
      </c>
      <c r="E569" s="3119" t="s">
        <v>13951</v>
      </c>
      <c r="F569" s="3381" t="s">
        <v>18429</v>
      </c>
      <c r="G569" s="3119"/>
      <c r="H569" s="3118"/>
      <c r="I569" s="3118" t="s">
        <v>242</v>
      </c>
      <c r="J569" s="3119" t="s">
        <v>275</v>
      </c>
      <c r="K569" s="3119" t="s">
        <v>18440</v>
      </c>
      <c r="L569" s="2134">
        <v>271896</v>
      </c>
      <c r="M569" s="3119" t="s">
        <v>112</v>
      </c>
      <c r="N569" s="3131">
        <v>45548</v>
      </c>
      <c r="O569" s="3131">
        <v>45559</v>
      </c>
      <c r="P569" s="3131"/>
      <c r="Q569" s="2137" t="s">
        <v>4505</v>
      </c>
      <c r="R569" s="2878" t="s">
        <v>18623</v>
      </c>
      <c r="S569" s="2134"/>
      <c r="T569" s="2134"/>
      <c r="U569" s="2135"/>
      <c r="V569" s="2135"/>
      <c r="W569" s="2135"/>
      <c r="X569" s="2163"/>
      <c r="Y569" s="2134"/>
      <c r="Z569" s="3131"/>
      <c r="AA569" s="3131">
        <v>45560</v>
      </c>
      <c r="AB569" s="3131"/>
      <c r="AC569" s="2976"/>
      <c r="AD569" s="2976"/>
      <c r="AE569" s="118">
        <v>2</v>
      </c>
    </row>
    <row r="570" spans="1:31" ht="15.75" thickTop="1">
      <c r="A570" s="3266">
        <v>45546</v>
      </c>
      <c r="B570" s="3267" t="s">
        <v>18415</v>
      </c>
      <c r="C570" s="3058" t="s">
        <v>58</v>
      </c>
      <c r="D570" s="3058" t="s">
        <v>15443</v>
      </c>
      <c r="E570" s="3058" t="s">
        <v>13948</v>
      </c>
      <c r="F570" s="3330" t="s">
        <v>18414</v>
      </c>
      <c r="G570" s="3058">
        <v>1</v>
      </c>
      <c r="H570" s="3267" t="s">
        <v>17759</v>
      </c>
      <c r="I570" s="3267" t="s">
        <v>18680</v>
      </c>
      <c r="J570" s="3058" t="s">
        <v>260</v>
      </c>
      <c r="K570" s="3058"/>
      <c r="L570" s="1920">
        <v>5135600.4000000004</v>
      </c>
      <c r="M570" s="3058" t="s">
        <v>235</v>
      </c>
      <c r="N570" s="3266"/>
      <c r="O570" s="3266"/>
      <c r="P570" s="3266"/>
      <c r="Q570" s="3267"/>
      <c r="R570" s="3058"/>
      <c r="S570" s="1920"/>
      <c r="T570" s="1920"/>
      <c r="U570" s="2113"/>
      <c r="V570" s="2113"/>
      <c r="W570" s="2113"/>
      <c r="X570" s="3268"/>
      <c r="Y570" s="3301"/>
      <c r="Z570" s="3266"/>
      <c r="AA570" s="3266"/>
      <c r="AB570" s="3266"/>
      <c r="AC570" s="2976"/>
      <c r="AD570" s="2976"/>
    </row>
    <row r="571" spans="1:31">
      <c r="A571" s="3086">
        <v>45546</v>
      </c>
      <c r="B571" s="2966" t="s">
        <v>18416</v>
      </c>
      <c r="C571" s="2976" t="s">
        <v>58</v>
      </c>
      <c r="D571" s="2976" t="s">
        <v>15443</v>
      </c>
      <c r="E571" s="2976" t="s">
        <v>13948</v>
      </c>
      <c r="F571" s="2863" t="s">
        <v>18414</v>
      </c>
      <c r="G571" s="2976">
        <v>2</v>
      </c>
      <c r="H571" s="2966" t="s">
        <v>17760</v>
      </c>
      <c r="I571" s="2966" t="s">
        <v>18680</v>
      </c>
      <c r="J571" s="2976" t="s">
        <v>260</v>
      </c>
      <c r="K571" s="2976"/>
      <c r="L571" s="2961">
        <v>153242.25</v>
      </c>
      <c r="M571" s="2976" t="s">
        <v>235</v>
      </c>
      <c r="N571" s="3086"/>
      <c r="O571" s="3086"/>
      <c r="P571" s="3086"/>
      <c r="Q571" s="2966"/>
      <c r="R571" s="2976"/>
      <c r="S571" s="2961"/>
      <c r="T571" s="2961"/>
      <c r="U571" s="2923"/>
      <c r="V571" s="2923"/>
      <c r="W571" s="2923"/>
      <c r="X571" s="2962"/>
      <c r="Y571" s="2961"/>
      <c r="Z571" s="3086"/>
      <c r="AA571" s="3086"/>
      <c r="AB571" s="3086"/>
      <c r="AC571" s="2976"/>
      <c r="AD571" s="2976"/>
    </row>
    <row r="572" spans="1:31">
      <c r="A572" s="3086">
        <v>45546</v>
      </c>
      <c r="B572" s="2966" t="s">
        <v>18417</v>
      </c>
      <c r="C572" s="2976" t="s">
        <v>58</v>
      </c>
      <c r="D572" s="2976" t="s">
        <v>15443</v>
      </c>
      <c r="E572" s="2976" t="s">
        <v>13948</v>
      </c>
      <c r="F572" s="2863" t="s">
        <v>18414</v>
      </c>
      <c r="G572" s="2976">
        <v>3</v>
      </c>
      <c r="H572" s="2966" t="s">
        <v>18421</v>
      </c>
      <c r="I572" s="2966" t="s">
        <v>18680</v>
      </c>
      <c r="J572" s="2976" t="s">
        <v>260</v>
      </c>
      <c r="K572" s="2976"/>
      <c r="L572" s="2961">
        <v>494186</v>
      </c>
      <c r="M572" s="2976" t="s">
        <v>235</v>
      </c>
      <c r="N572" s="3086"/>
      <c r="O572" s="3086"/>
      <c r="P572" s="2976"/>
      <c r="Q572" s="2972"/>
      <c r="R572" s="2739"/>
      <c r="S572" s="2961"/>
      <c r="T572" s="2961"/>
      <c r="U572" s="2923"/>
      <c r="V572" s="2923"/>
      <c r="W572" s="2923"/>
      <c r="X572" s="2961"/>
      <c r="Y572" s="2961"/>
      <c r="Z572" s="2976"/>
      <c r="AA572" s="3086"/>
      <c r="AB572" s="2976"/>
      <c r="AC572" s="2976"/>
      <c r="AD572" s="2976"/>
    </row>
    <row r="573" spans="1:31">
      <c r="A573" s="3086">
        <v>45546</v>
      </c>
      <c r="B573" s="2966" t="s">
        <v>18418</v>
      </c>
      <c r="C573" s="2976" t="s">
        <v>58</v>
      </c>
      <c r="D573" s="2976" t="s">
        <v>15443</v>
      </c>
      <c r="E573" s="2976" t="s">
        <v>13948</v>
      </c>
      <c r="F573" s="2863" t="s">
        <v>18414</v>
      </c>
      <c r="G573" s="2976">
        <v>4</v>
      </c>
      <c r="H573" s="2966" t="s">
        <v>18422</v>
      </c>
      <c r="I573" s="2966" t="s">
        <v>18680</v>
      </c>
      <c r="J573" s="2976" t="s">
        <v>260</v>
      </c>
      <c r="K573" s="2976"/>
      <c r="L573" s="2961">
        <v>430363.64</v>
      </c>
      <c r="M573" s="2976" t="s">
        <v>235</v>
      </c>
      <c r="N573" s="3086"/>
      <c r="O573" s="3086"/>
      <c r="P573" s="2976"/>
      <c r="Q573" s="2972"/>
      <c r="R573" s="2739"/>
      <c r="S573" s="2961"/>
      <c r="T573" s="2961"/>
      <c r="U573" s="2923"/>
      <c r="V573" s="2923"/>
      <c r="W573" s="2923"/>
      <c r="X573" s="2961"/>
      <c r="Y573" s="2961"/>
      <c r="Z573" s="2976"/>
      <c r="AA573" s="3086"/>
      <c r="AB573" s="2976"/>
      <c r="AC573" s="2976"/>
      <c r="AD573" s="2976"/>
    </row>
    <row r="574" spans="1:31">
      <c r="A574" s="3086">
        <v>45546</v>
      </c>
      <c r="B574" s="2966" t="s">
        <v>18419</v>
      </c>
      <c r="C574" s="2976" t="s">
        <v>58</v>
      </c>
      <c r="D574" s="2976" t="s">
        <v>15443</v>
      </c>
      <c r="E574" s="2976" t="s">
        <v>13948</v>
      </c>
      <c r="F574" s="2863" t="s">
        <v>18414</v>
      </c>
      <c r="G574" s="2976">
        <v>5</v>
      </c>
      <c r="H574" s="2966" t="s">
        <v>18423</v>
      </c>
      <c r="I574" s="2966" t="s">
        <v>18680</v>
      </c>
      <c r="J574" s="2976" t="s">
        <v>260</v>
      </c>
      <c r="K574" s="2976"/>
      <c r="L574" s="2961">
        <v>618000</v>
      </c>
      <c r="M574" s="2976" t="s">
        <v>235</v>
      </c>
      <c r="N574" s="3086"/>
      <c r="O574" s="3086"/>
      <c r="P574" s="2976"/>
      <c r="Q574" s="2972"/>
      <c r="R574" s="2739"/>
      <c r="S574" s="2961"/>
      <c r="T574" s="2961"/>
      <c r="U574" s="2923"/>
      <c r="V574" s="2923"/>
      <c r="W574" s="2923"/>
      <c r="X574" s="2961"/>
      <c r="Y574" s="2961"/>
      <c r="Z574" s="2976"/>
      <c r="AA574" s="3086"/>
      <c r="AB574" s="2976"/>
      <c r="AC574" s="2976"/>
      <c r="AD574" s="2976"/>
    </row>
    <row r="575" spans="1:31" ht="15.75" thickBot="1">
      <c r="A575" s="3261">
        <v>45546</v>
      </c>
      <c r="B575" s="3262" t="s">
        <v>18420</v>
      </c>
      <c r="C575" s="3059" t="s">
        <v>58</v>
      </c>
      <c r="D575" s="3059" t="s">
        <v>15443</v>
      </c>
      <c r="E575" s="3059" t="s">
        <v>13948</v>
      </c>
      <c r="F575" s="3185" t="s">
        <v>18414</v>
      </c>
      <c r="G575" s="3059">
        <v>6</v>
      </c>
      <c r="H575" s="3262" t="s">
        <v>18424</v>
      </c>
      <c r="I575" s="3262" t="s">
        <v>18680</v>
      </c>
      <c r="J575" s="3059" t="s">
        <v>260</v>
      </c>
      <c r="K575" s="3059"/>
      <c r="L575" s="3264">
        <v>3636363.64</v>
      </c>
      <c r="M575" s="3059" t="s">
        <v>235</v>
      </c>
      <c r="N575" s="3261"/>
      <c r="O575" s="3261"/>
      <c r="P575" s="3261"/>
      <c r="Q575" s="3262"/>
      <c r="R575" s="3059"/>
      <c r="S575" s="3264"/>
      <c r="T575" s="3264"/>
      <c r="U575" s="2924"/>
      <c r="V575" s="2924"/>
      <c r="W575" s="2924"/>
      <c r="X575" s="3269"/>
      <c r="Y575" s="3320"/>
      <c r="Z575" s="3059"/>
      <c r="AA575" s="3059"/>
      <c r="AB575" s="3059"/>
      <c r="AC575" s="2976"/>
      <c r="AD575" s="2976"/>
    </row>
    <row r="576" spans="1:31" ht="15.75" thickTop="1">
      <c r="A576" s="3038">
        <v>45548</v>
      </c>
      <c r="B576" s="3039" t="s">
        <v>18447</v>
      </c>
      <c r="C576" s="3040" t="s">
        <v>16536</v>
      </c>
      <c r="D576" s="3040" t="s">
        <v>15131</v>
      </c>
      <c r="E576" s="3040" t="s">
        <v>15813</v>
      </c>
      <c r="F576" s="584" t="s">
        <v>18448</v>
      </c>
      <c r="G576" s="3040"/>
      <c r="H576" s="3039"/>
      <c r="I576" s="3039" t="s">
        <v>15448</v>
      </c>
      <c r="J576" s="3040" t="s">
        <v>14498</v>
      </c>
      <c r="K576" s="3040"/>
      <c r="L576" s="588">
        <v>511170</v>
      </c>
      <c r="M576" s="3040" t="s">
        <v>235</v>
      </c>
      <c r="N576" s="3038">
        <v>45568</v>
      </c>
      <c r="O576" s="3038">
        <v>45588</v>
      </c>
      <c r="P576" s="3038"/>
      <c r="Q576" s="3039"/>
      <c r="R576" s="3040"/>
      <c r="S576" s="588"/>
      <c r="T576" s="588"/>
      <c r="U576" s="1483"/>
      <c r="V576" s="1483"/>
      <c r="W576" s="1483"/>
      <c r="X576" s="3001"/>
      <c r="Y576" s="3317"/>
      <c r="Z576" s="3040"/>
      <c r="AA576" s="3040"/>
      <c r="AB576" s="3040"/>
      <c r="AC576" s="2976"/>
      <c r="AD576" s="2976"/>
    </row>
    <row r="577" spans="1:31">
      <c r="A577" s="1556">
        <v>45547</v>
      </c>
      <c r="B577" s="2329" t="s">
        <v>18430</v>
      </c>
      <c r="C577" s="2327" t="s">
        <v>58</v>
      </c>
      <c r="D577" s="2327" t="s">
        <v>15443</v>
      </c>
      <c r="E577" s="2327" t="s">
        <v>655</v>
      </c>
      <c r="F577" s="2328" t="s">
        <v>18431</v>
      </c>
      <c r="G577" s="2327"/>
      <c r="H577" s="2329"/>
      <c r="I577" s="2329" t="s">
        <v>242</v>
      </c>
      <c r="J577" s="2327" t="s">
        <v>260</v>
      </c>
      <c r="K577" s="2327" t="s">
        <v>18441</v>
      </c>
      <c r="L577" s="2330">
        <v>81000</v>
      </c>
      <c r="M577" s="2327" t="s">
        <v>112</v>
      </c>
      <c r="N577" s="1556">
        <v>45548</v>
      </c>
      <c r="O577" s="1556">
        <v>45562</v>
      </c>
      <c r="P577" s="1556"/>
      <c r="Q577" s="2947" t="s">
        <v>4505</v>
      </c>
      <c r="R577" s="3433" t="s">
        <v>18725</v>
      </c>
      <c r="S577" s="2330"/>
      <c r="T577" s="2330"/>
      <c r="U577" s="2331"/>
      <c r="V577" s="2331"/>
      <c r="W577" s="2331"/>
      <c r="X577" s="3430"/>
      <c r="Y577" s="3431"/>
      <c r="Z577" s="3432"/>
      <c r="AA577" s="1556">
        <v>45572</v>
      </c>
      <c r="AB577" s="1556"/>
      <c r="AC577" s="2976"/>
      <c r="AD577" s="2976"/>
      <c r="AE577" s="118">
        <v>1</v>
      </c>
    </row>
    <row r="578" spans="1:31">
      <c r="A578" s="3042">
        <v>45547</v>
      </c>
      <c r="B578" s="3043" t="s">
        <v>18436</v>
      </c>
      <c r="C578" s="3044" t="s">
        <v>2434</v>
      </c>
      <c r="D578" s="3044" t="s">
        <v>219</v>
      </c>
      <c r="E578" s="3044" t="s">
        <v>18336</v>
      </c>
      <c r="F578" s="3021" t="s">
        <v>6973</v>
      </c>
      <c r="G578" s="3044"/>
      <c r="H578" s="3043"/>
      <c r="I578" s="2770" t="s">
        <v>15448</v>
      </c>
      <c r="J578" s="3064" t="s">
        <v>642</v>
      </c>
      <c r="K578" s="3044"/>
      <c r="L578" s="2092">
        <v>2299040</v>
      </c>
      <c r="M578" s="3044" t="s">
        <v>251</v>
      </c>
      <c r="N578" s="3042">
        <v>45559</v>
      </c>
      <c r="O578" s="3042">
        <v>45595</v>
      </c>
      <c r="P578" s="3042"/>
      <c r="Q578" s="3043"/>
      <c r="R578" s="3044"/>
      <c r="S578" s="2092"/>
      <c r="T578" s="2092"/>
      <c r="U578" s="2094"/>
      <c r="V578" s="2094"/>
      <c r="W578" s="2094"/>
      <c r="X578" s="2456"/>
      <c r="Y578" s="2092"/>
      <c r="Z578" s="3042"/>
      <c r="AA578" s="3042"/>
      <c r="AB578" s="3042"/>
      <c r="AC578" s="2976"/>
      <c r="AD578" s="2976"/>
    </row>
    <row r="579" spans="1:31">
      <c r="A579" s="3042">
        <v>45547</v>
      </c>
      <c r="B579" s="3043" t="s">
        <v>18437</v>
      </c>
      <c r="C579" s="3044" t="s">
        <v>58</v>
      </c>
      <c r="D579" s="3044" t="s">
        <v>15443</v>
      </c>
      <c r="E579" s="3044" t="s">
        <v>13948</v>
      </c>
      <c r="F579" s="3021" t="s">
        <v>18438</v>
      </c>
      <c r="G579" s="3044"/>
      <c r="H579" s="3043"/>
      <c r="I579" s="3043" t="s">
        <v>15448</v>
      </c>
      <c r="J579" s="3044" t="s">
        <v>1798</v>
      </c>
      <c r="K579" s="3044" t="s">
        <v>18439</v>
      </c>
      <c r="L579" s="2092">
        <v>1800880</v>
      </c>
      <c r="M579" s="3044" t="s">
        <v>251</v>
      </c>
      <c r="N579" s="3042">
        <v>45558</v>
      </c>
      <c r="O579" s="3042">
        <v>45594</v>
      </c>
      <c r="P579" s="3042"/>
      <c r="Q579" s="3043"/>
      <c r="R579" s="3044"/>
      <c r="S579" s="2092"/>
      <c r="T579" s="2092"/>
      <c r="U579" s="2094"/>
      <c r="V579" s="2094"/>
      <c r="W579" s="2094"/>
      <c r="X579" s="2456"/>
      <c r="Y579" s="2092"/>
      <c r="Z579" s="3042"/>
      <c r="AA579" s="3042"/>
      <c r="AB579" s="3042"/>
      <c r="AC579" s="2976"/>
      <c r="AD579" s="2976"/>
    </row>
    <row r="580" spans="1:31">
      <c r="A580" s="3047">
        <v>45551</v>
      </c>
      <c r="B580" s="3018" t="s">
        <v>18458</v>
      </c>
      <c r="C580" s="3048" t="s">
        <v>2434</v>
      </c>
      <c r="D580" s="3048" t="s">
        <v>219</v>
      </c>
      <c r="E580" s="3048" t="s">
        <v>655</v>
      </c>
      <c r="F580" s="2462" t="s">
        <v>18459</v>
      </c>
      <c r="G580" s="3048"/>
      <c r="H580" s="3018"/>
      <c r="I580" s="3018" t="s">
        <v>4837</v>
      </c>
      <c r="J580" s="3048" t="s">
        <v>642</v>
      </c>
      <c r="K580" s="3048"/>
      <c r="L580" s="2157">
        <v>615000</v>
      </c>
      <c r="M580" s="3048" t="s">
        <v>112</v>
      </c>
      <c r="N580" s="3047">
        <v>45559</v>
      </c>
      <c r="O580" s="3047">
        <v>45572</v>
      </c>
      <c r="P580" s="3047"/>
      <c r="Q580" s="3018" t="s">
        <v>2973</v>
      </c>
      <c r="R580" s="3048"/>
      <c r="S580" s="2157">
        <v>615000</v>
      </c>
      <c r="T580" s="2157">
        <v>688800</v>
      </c>
      <c r="U580" s="2094"/>
      <c r="V580" s="2094"/>
      <c r="W580" s="2094"/>
      <c r="X580" s="2160"/>
      <c r="Y580" s="2157"/>
      <c r="Z580" s="3047"/>
      <c r="AA580" s="3047"/>
      <c r="AB580" s="3047"/>
      <c r="AC580" s="2976"/>
      <c r="AD580" s="2976"/>
      <c r="AE580" s="118">
        <v>1</v>
      </c>
    </row>
    <row r="581" spans="1:31">
      <c r="A581" s="3047">
        <v>45551</v>
      </c>
      <c r="B581" s="3018" t="s">
        <v>18456</v>
      </c>
      <c r="C581" s="3048" t="s">
        <v>2434</v>
      </c>
      <c r="D581" s="3048" t="s">
        <v>3204</v>
      </c>
      <c r="E581" s="3048" t="s">
        <v>13951</v>
      </c>
      <c r="F581" s="2462" t="s">
        <v>4751</v>
      </c>
      <c r="G581" s="3048"/>
      <c r="H581" s="3018"/>
      <c r="I581" s="3018" t="s">
        <v>4837</v>
      </c>
      <c r="J581" s="3048" t="s">
        <v>642</v>
      </c>
      <c r="K581" s="3048"/>
      <c r="L581" s="2157">
        <v>1020548</v>
      </c>
      <c r="M581" s="3048" t="s">
        <v>112</v>
      </c>
      <c r="N581" s="3047">
        <v>45555</v>
      </c>
      <c r="O581" s="3047">
        <v>45566</v>
      </c>
      <c r="P581" s="3047"/>
      <c r="Q581" s="3018"/>
      <c r="R581" s="3048"/>
      <c r="S581" s="2157"/>
      <c r="T581" s="2157"/>
      <c r="U581" s="2094"/>
      <c r="V581" s="2094"/>
      <c r="W581" s="2094"/>
      <c r="X581" s="2160"/>
      <c r="Y581" s="2157"/>
      <c r="Z581" s="3047"/>
      <c r="AA581" s="3047"/>
      <c r="AB581" s="3047"/>
      <c r="AC581" s="2976"/>
      <c r="AD581" s="2976"/>
      <c r="AE581" s="118">
        <v>2</v>
      </c>
    </row>
    <row r="582" spans="1:31">
      <c r="A582" s="2769">
        <v>45554</v>
      </c>
      <c r="B582" s="2770" t="s">
        <v>18471</v>
      </c>
      <c r="C582" s="2771" t="s">
        <v>16536</v>
      </c>
      <c r="D582" s="2771" t="s">
        <v>15129</v>
      </c>
      <c r="E582" s="2771" t="s">
        <v>18336</v>
      </c>
      <c r="F582" s="3376" t="s">
        <v>18472</v>
      </c>
      <c r="G582" s="2771"/>
      <c r="H582" s="2770"/>
      <c r="I582" s="2770" t="s">
        <v>15448</v>
      </c>
      <c r="J582" s="2771" t="s">
        <v>68</v>
      </c>
      <c r="K582" s="2771"/>
      <c r="L582" s="2773">
        <v>7869981</v>
      </c>
      <c r="M582" s="2771" t="s">
        <v>251</v>
      </c>
      <c r="N582" s="2769">
        <v>45559</v>
      </c>
      <c r="O582" s="2769">
        <v>45594</v>
      </c>
      <c r="P582" s="2769"/>
      <c r="Q582" s="2770"/>
      <c r="R582" s="3044"/>
      <c r="S582" s="2092"/>
      <c r="T582" s="2092"/>
      <c r="U582" s="2094"/>
      <c r="V582" s="2094"/>
      <c r="W582" s="2094"/>
      <c r="X582" s="2456"/>
      <c r="Y582" s="2092"/>
      <c r="Z582" s="3042"/>
      <c r="AA582" s="3042"/>
      <c r="AB582" s="3042"/>
      <c r="AC582" s="2976"/>
      <c r="AD582" s="2976"/>
    </row>
    <row r="583" spans="1:31">
      <c r="A583" s="3067">
        <v>45554</v>
      </c>
      <c r="B583" s="3068" t="s">
        <v>18469</v>
      </c>
      <c r="C583" s="3069" t="s">
        <v>16536</v>
      </c>
      <c r="D583" s="3069" t="s">
        <v>15131</v>
      </c>
      <c r="E583" s="3069" t="s">
        <v>655</v>
      </c>
      <c r="F583" s="3413" t="s">
        <v>18470</v>
      </c>
      <c r="G583" s="3069"/>
      <c r="H583" s="3068"/>
      <c r="I583" s="3068" t="s">
        <v>242</v>
      </c>
      <c r="J583" s="3069" t="s">
        <v>671</v>
      </c>
      <c r="K583" s="3069"/>
      <c r="L583" s="2128">
        <v>1647000</v>
      </c>
      <c r="M583" s="3069" t="s">
        <v>112</v>
      </c>
      <c r="N583" s="3067">
        <v>45559</v>
      </c>
      <c r="O583" s="3067">
        <v>45572</v>
      </c>
      <c r="P583" s="3067"/>
      <c r="Q583" s="2136" t="s">
        <v>304</v>
      </c>
      <c r="R583" s="2465" t="s">
        <v>18671</v>
      </c>
      <c r="S583" s="2128"/>
      <c r="T583" s="2128"/>
      <c r="U583" s="2094"/>
      <c r="V583" s="2094"/>
      <c r="W583" s="2094"/>
      <c r="X583" s="2281"/>
      <c r="Y583" s="2128"/>
      <c r="Z583" s="3067"/>
      <c r="AA583" s="3067">
        <v>45572</v>
      </c>
      <c r="AB583" s="3067"/>
      <c r="AC583" s="2976"/>
      <c r="AD583" s="2976"/>
    </row>
    <row r="584" spans="1:31">
      <c r="A584" s="3042">
        <v>45554</v>
      </c>
      <c r="B584" s="3043" t="s">
        <v>18473</v>
      </c>
      <c r="C584" s="3044" t="s">
        <v>16536</v>
      </c>
      <c r="D584" s="3044" t="s">
        <v>15131</v>
      </c>
      <c r="E584" s="3044" t="s">
        <v>13949</v>
      </c>
      <c r="F584" s="3344" t="s">
        <v>18474</v>
      </c>
      <c r="G584" s="3044"/>
      <c r="H584" s="3043"/>
      <c r="I584" s="3043" t="s">
        <v>15448</v>
      </c>
      <c r="J584" s="3044" t="s">
        <v>671</v>
      </c>
      <c r="K584" s="3044"/>
      <c r="L584" s="2092">
        <v>2509980</v>
      </c>
      <c r="M584" s="3044" t="s">
        <v>251</v>
      </c>
      <c r="N584" s="3042">
        <v>45567</v>
      </c>
      <c r="O584" s="3042">
        <v>45602</v>
      </c>
      <c r="P584" s="3042"/>
      <c r="Q584" s="3043"/>
      <c r="R584" s="3044"/>
      <c r="S584" s="2092"/>
      <c r="T584" s="2092"/>
      <c r="U584" s="2094"/>
      <c r="V584" s="2094"/>
      <c r="W584" s="2094"/>
      <c r="X584" s="2456"/>
      <c r="Y584" s="2092"/>
      <c r="Z584" s="3042"/>
      <c r="AA584" s="3042"/>
      <c r="AB584" s="3042"/>
      <c r="AC584" s="2976"/>
      <c r="AD584" s="2976"/>
    </row>
    <row r="585" spans="1:31">
      <c r="A585" s="3047">
        <v>45553</v>
      </c>
      <c r="B585" s="3018" t="s">
        <v>18461</v>
      </c>
      <c r="C585" s="3048" t="s">
        <v>2434</v>
      </c>
      <c r="D585" s="3048" t="s">
        <v>219</v>
      </c>
      <c r="E585" s="3048" t="s">
        <v>655</v>
      </c>
      <c r="F585" s="1298" t="s">
        <v>13585</v>
      </c>
      <c r="G585" s="3048"/>
      <c r="H585" s="3018"/>
      <c r="I585" s="3018" t="s">
        <v>4837</v>
      </c>
      <c r="J585" s="3048" t="s">
        <v>3271</v>
      </c>
      <c r="K585" s="3048"/>
      <c r="L585" s="2157">
        <v>705600</v>
      </c>
      <c r="M585" s="3048" t="s">
        <v>112</v>
      </c>
      <c r="N585" s="3047">
        <v>45555</v>
      </c>
      <c r="O585" s="3047">
        <v>45566</v>
      </c>
      <c r="P585" s="3047"/>
      <c r="Q585" s="3018"/>
      <c r="R585" s="3048"/>
      <c r="S585" s="2157"/>
      <c r="T585" s="2157"/>
      <c r="U585" s="2094"/>
      <c r="V585" s="2094"/>
      <c r="W585" s="2094"/>
      <c r="X585" s="2160"/>
      <c r="Y585" s="2157"/>
      <c r="Z585" s="3047"/>
      <c r="AA585" s="3047"/>
      <c r="AB585" s="3047"/>
      <c r="AC585" s="2976"/>
      <c r="AD585" s="2976"/>
      <c r="AE585" s="118">
        <v>1</v>
      </c>
    </row>
    <row r="586" spans="1:31" ht="15.75" thickBot="1">
      <c r="A586" s="3045">
        <v>45553</v>
      </c>
      <c r="B586" s="3020" t="s">
        <v>18462</v>
      </c>
      <c r="C586" s="3046" t="s">
        <v>16688</v>
      </c>
      <c r="D586" s="3046" t="s">
        <v>7475</v>
      </c>
      <c r="E586" s="3046" t="s">
        <v>13951</v>
      </c>
      <c r="F586" s="3026" t="s">
        <v>18463</v>
      </c>
      <c r="G586" s="3046"/>
      <c r="H586" s="3020"/>
      <c r="I586" s="3020" t="s">
        <v>15448</v>
      </c>
      <c r="J586" s="3046" t="s">
        <v>498</v>
      </c>
      <c r="K586" s="3046"/>
      <c r="L586" s="1874">
        <v>180000</v>
      </c>
      <c r="M586" s="3046" t="s">
        <v>112</v>
      </c>
      <c r="N586" s="3045">
        <v>45555</v>
      </c>
      <c r="O586" s="3045">
        <v>45583</v>
      </c>
      <c r="P586" s="3046"/>
      <c r="Q586" s="3134"/>
      <c r="R586" s="2929"/>
      <c r="S586" s="1874"/>
      <c r="T586" s="1874"/>
      <c r="U586" s="1490"/>
      <c r="V586" s="1490"/>
      <c r="W586" s="1490"/>
      <c r="X586" s="1874"/>
      <c r="Y586" s="1874"/>
      <c r="Z586" s="3046"/>
      <c r="AA586" s="3045"/>
      <c r="AB586" s="3046"/>
      <c r="AC586" s="2976"/>
      <c r="AD586" s="2976"/>
    </row>
    <row r="587" spans="1:31" ht="15.75" thickTop="1">
      <c r="A587" s="3038">
        <v>45554</v>
      </c>
      <c r="B587" s="3039" t="s">
        <v>18475</v>
      </c>
      <c r="C587" s="3040" t="s">
        <v>2434</v>
      </c>
      <c r="D587" s="3040" t="s">
        <v>3204</v>
      </c>
      <c r="E587" s="3040" t="s">
        <v>18336</v>
      </c>
      <c r="F587" s="3041" t="s">
        <v>18477</v>
      </c>
      <c r="G587" s="3040">
        <v>1</v>
      </c>
      <c r="H587" s="3039" t="s">
        <v>10014</v>
      </c>
      <c r="I587" s="3039" t="s">
        <v>15448</v>
      </c>
      <c r="J587" s="3341" t="s">
        <v>642</v>
      </c>
      <c r="K587" s="3040"/>
      <c r="L587" s="588">
        <v>1022292</v>
      </c>
      <c r="M587" s="3040" t="s">
        <v>251</v>
      </c>
      <c r="N587" s="3038">
        <v>45562</v>
      </c>
      <c r="O587" s="3038">
        <v>45597</v>
      </c>
      <c r="P587" s="3038"/>
      <c r="Q587" s="3039"/>
      <c r="R587" s="3040"/>
      <c r="S587" s="588"/>
      <c r="T587" s="588"/>
      <c r="U587" s="1483"/>
      <c r="V587" s="1483"/>
      <c r="W587" s="1483"/>
      <c r="X587" s="3001"/>
      <c r="Y587" s="588"/>
      <c r="Z587" s="3038"/>
      <c r="AA587" s="3038"/>
      <c r="AB587" s="3038"/>
      <c r="AC587" s="2976"/>
      <c r="AD587" s="2976"/>
    </row>
    <row r="588" spans="1:31" ht="15.75" thickBot="1">
      <c r="A588" s="3060">
        <v>45554</v>
      </c>
      <c r="B588" s="3003" t="s">
        <v>18476</v>
      </c>
      <c r="C588" s="3002" t="s">
        <v>2434</v>
      </c>
      <c r="D588" s="3002" t="s">
        <v>3204</v>
      </c>
      <c r="E588" s="3002" t="s">
        <v>18336</v>
      </c>
      <c r="F588" s="3079" t="s">
        <v>18477</v>
      </c>
      <c r="G588" s="3002">
        <v>2</v>
      </c>
      <c r="H588" s="3003" t="s">
        <v>18478</v>
      </c>
      <c r="I588" s="3003" t="s">
        <v>15448</v>
      </c>
      <c r="J588" s="3002" t="s">
        <v>642</v>
      </c>
      <c r="K588" s="3002"/>
      <c r="L588" s="2093">
        <v>120600</v>
      </c>
      <c r="M588" s="3002" t="s">
        <v>251</v>
      </c>
      <c r="N588" s="3060">
        <v>45562</v>
      </c>
      <c r="O588" s="3060">
        <v>45597</v>
      </c>
      <c r="P588" s="3060"/>
      <c r="Q588" s="3003"/>
      <c r="R588" s="3002"/>
      <c r="S588" s="2093"/>
      <c r="T588" s="2093"/>
      <c r="U588" s="2095"/>
      <c r="V588" s="2095"/>
      <c r="W588" s="2095"/>
      <c r="X588" s="3014"/>
      <c r="Y588" s="2093"/>
      <c r="Z588" s="3060"/>
      <c r="AA588" s="3060"/>
      <c r="AB588" s="3060"/>
      <c r="AC588" s="2976"/>
      <c r="AD588" s="2976"/>
    </row>
    <row r="589" spans="1:31" ht="15.75" thickTop="1">
      <c r="A589" s="3038">
        <v>45555</v>
      </c>
      <c r="B589" s="3039" t="s">
        <v>18499</v>
      </c>
      <c r="C589" s="3040" t="s">
        <v>58</v>
      </c>
      <c r="D589" s="3040" t="s">
        <v>15443</v>
      </c>
      <c r="E589" s="3040" t="s">
        <v>13948</v>
      </c>
      <c r="F589" s="3041" t="s">
        <v>18502</v>
      </c>
      <c r="G589" s="3040"/>
      <c r="H589" s="3039"/>
      <c r="I589" s="3039" t="s">
        <v>15448</v>
      </c>
      <c r="J589" s="3040" t="s">
        <v>5676</v>
      </c>
      <c r="K589" s="3040" t="s">
        <v>18503</v>
      </c>
      <c r="L589" s="588">
        <v>3590000</v>
      </c>
      <c r="M589" s="3040" t="s">
        <v>251</v>
      </c>
      <c r="N589" s="3038">
        <v>45580</v>
      </c>
      <c r="O589" s="3038">
        <v>45616</v>
      </c>
      <c r="P589" s="3038"/>
      <c r="Q589" s="3039"/>
      <c r="R589" s="3040"/>
      <c r="S589" s="588"/>
      <c r="T589" s="588"/>
      <c r="U589" s="1483"/>
      <c r="V589" s="1483"/>
      <c r="W589" s="1483"/>
      <c r="X589" s="3001"/>
      <c r="Y589" s="588"/>
      <c r="Z589" s="3038"/>
      <c r="AA589" s="3038"/>
      <c r="AB589" s="3038"/>
      <c r="AC589" s="2976"/>
      <c r="AD589" s="2976"/>
    </row>
    <row r="590" spans="1:31">
      <c r="A590" s="3128">
        <v>45555</v>
      </c>
      <c r="B590" s="3129" t="s">
        <v>18500</v>
      </c>
      <c r="C590" s="3130" t="s">
        <v>58</v>
      </c>
      <c r="D590" s="3130" t="s">
        <v>15443</v>
      </c>
      <c r="E590" s="3130" t="s">
        <v>13948</v>
      </c>
      <c r="F590" s="3419" t="s">
        <v>18501</v>
      </c>
      <c r="G590" s="3130"/>
      <c r="H590" s="3129"/>
      <c r="I590" s="3129" t="s">
        <v>17975</v>
      </c>
      <c r="J590" s="3130" t="s">
        <v>845</v>
      </c>
      <c r="K590" s="3130" t="s">
        <v>18504</v>
      </c>
      <c r="L590" s="2387">
        <v>2815000</v>
      </c>
      <c r="M590" s="3130" t="s">
        <v>251</v>
      </c>
      <c r="N590" s="3128"/>
      <c r="O590" s="3128"/>
      <c r="P590" s="3128"/>
      <c r="Q590" s="3129"/>
      <c r="R590" s="3130"/>
      <c r="S590" s="2387"/>
      <c r="T590" s="2387"/>
      <c r="U590" s="2080"/>
      <c r="V590" s="2080"/>
      <c r="W590" s="2080"/>
      <c r="X590" s="3322"/>
      <c r="Y590" s="2387"/>
      <c r="Z590" s="3128"/>
      <c r="AA590" s="3128"/>
      <c r="AB590" s="3128"/>
      <c r="AC590" s="2976"/>
      <c r="AD590" s="2976"/>
    </row>
    <row r="591" spans="1:31">
      <c r="A591" s="3086">
        <v>45555</v>
      </c>
      <c r="B591" s="2966" t="s">
        <v>18496</v>
      </c>
      <c r="C591" s="2976" t="s">
        <v>58</v>
      </c>
      <c r="D591" s="2976" t="s">
        <v>15443</v>
      </c>
      <c r="E591" s="2976" t="s">
        <v>13948</v>
      </c>
      <c r="F591" s="2973" t="s">
        <v>18497</v>
      </c>
      <c r="G591" s="2976"/>
      <c r="H591" s="2966"/>
      <c r="I591" s="2966" t="s">
        <v>15370</v>
      </c>
      <c r="J591" s="2976" t="s">
        <v>845</v>
      </c>
      <c r="K591" s="2976" t="s">
        <v>18498</v>
      </c>
      <c r="L591" s="2961">
        <v>4300000</v>
      </c>
      <c r="M591" s="2976" t="s">
        <v>251</v>
      </c>
      <c r="N591" s="3086"/>
      <c r="O591" s="3086"/>
      <c r="P591" s="3086"/>
      <c r="Q591" s="2966"/>
      <c r="R591" s="2976"/>
      <c r="S591" s="2961"/>
      <c r="T591" s="2961"/>
      <c r="U591" s="2923"/>
      <c r="V591" s="2923"/>
      <c r="W591" s="2923"/>
      <c r="X591" s="2962"/>
      <c r="Y591" s="2961"/>
      <c r="Z591" s="3086"/>
      <c r="AA591" s="3086"/>
      <c r="AB591" s="3086"/>
      <c r="AC591" s="2976"/>
      <c r="AD591" s="2976"/>
    </row>
    <row r="592" spans="1:31">
      <c r="A592" s="3409">
        <v>45555</v>
      </c>
      <c r="B592" s="3410" t="s">
        <v>18491</v>
      </c>
      <c r="C592" s="3411" t="s">
        <v>58</v>
      </c>
      <c r="D592" s="3411" t="s">
        <v>15443</v>
      </c>
      <c r="E592" s="3411" t="s">
        <v>13948</v>
      </c>
      <c r="F592" s="3412" t="s">
        <v>18494</v>
      </c>
      <c r="G592" s="3411"/>
      <c r="H592" s="3410"/>
      <c r="I592" s="3410" t="s">
        <v>17975</v>
      </c>
      <c r="J592" s="3411" t="s">
        <v>845</v>
      </c>
      <c r="K592" s="3411" t="s">
        <v>18495</v>
      </c>
      <c r="L592" s="2405">
        <v>998000</v>
      </c>
      <c r="M592" s="3411" t="s">
        <v>251</v>
      </c>
      <c r="N592" s="3409"/>
      <c r="O592" s="3409"/>
      <c r="P592" s="3409"/>
      <c r="Q592" s="3410"/>
      <c r="R592" s="3411"/>
      <c r="S592" s="2405"/>
      <c r="T592" s="2405"/>
      <c r="U592" s="2305"/>
      <c r="V592" s="2305"/>
      <c r="W592" s="2305"/>
      <c r="X592" s="3414"/>
      <c r="Y592" s="2405"/>
      <c r="Z592" s="3409"/>
      <c r="AA592" s="3409"/>
      <c r="AB592" s="3409"/>
      <c r="AC592" s="2976"/>
      <c r="AD592" s="2976"/>
    </row>
    <row r="593" spans="1:31">
      <c r="A593" s="3124" t="s">
        <v>17616</v>
      </c>
      <c r="B593" s="3125" t="s">
        <v>18492</v>
      </c>
      <c r="C593" s="3126" t="s">
        <v>58</v>
      </c>
      <c r="D593" s="3126" t="s">
        <v>15443</v>
      </c>
      <c r="E593" s="3126" t="s">
        <v>13948</v>
      </c>
      <c r="F593" s="3265" t="s">
        <v>15231</v>
      </c>
      <c r="G593" s="3126"/>
      <c r="H593" s="3125"/>
      <c r="I593" s="3125" t="s">
        <v>15448</v>
      </c>
      <c r="J593" s="3126" t="s">
        <v>845</v>
      </c>
      <c r="K593" s="3126" t="s">
        <v>17618</v>
      </c>
      <c r="L593" s="581">
        <v>266900</v>
      </c>
      <c r="M593" s="3126" t="s">
        <v>251</v>
      </c>
      <c r="N593" s="3124">
        <v>45576</v>
      </c>
      <c r="O593" s="3124">
        <v>45611</v>
      </c>
      <c r="P593" s="3124"/>
      <c r="Q593" s="3125"/>
      <c r="R593" s="3126"/>
      <c r="S593" s="581"/>
      <c r="T593" s="581"/>
      <c r="U593" s="1489"/>
      <c r="V593" s="1489"/>
      <c r="W593" s="1489"/>
      <c r="X593" s="3127"/>
      <c r="Y593" s="581"/>
      <c r="Z593" s="3124"/>
      <c r="AA593" s="3124"/>
      <c r="AB593" s="3124"/>
      <c r="AC593" s="2976"/>
      <c r="AD593" s="2976"/>
    </row>
    <row r="594" spans="1:31">
      <c r="A594" s="3074">
        <v>45555</v>
      </c>
      <c r="B594" s="3075" t="s">
        <v>18487</v>
      </c>
      <c r="C594" s="3076" t="s">
        <v>16536</v>
      </c>
      <c r="D594" s="3076" t="s">
        <v>15131</v>
      </c>
      <c r="E594" s="3076" t="s">
        <v>655</v>
      </c>
      <c r="F594" s="3077" t="s">
        <v>18488</v>
      </c>
      <c r="G594" s="3076"/>
      <c r="H594" s="3075"/>
      <c r="I594" s="3075" t="s">
        <v>4837</v>
      </c>
      <c r="J594" s="3076" t="s">
        <v>17427</v>
      </c>
      <c r="K594" s="3076"/>
      <c r="L594" s="841">
        <v>847380</v>
      </c>
      <c r="M594" s="3076" t="s">
        <v>112</v>
      </c>
      <c r="N594" s="3074">
        <v>45559</v>
      </c>
      <c r="O594" s="3074">
        <v>45579</v>
      </c>
      <c r="P594" s="3074"/>
      <c r="Q594" s="3075"/>
      <c r="R594" s="3076"/>
      <c r="S594" s="841"/>
      <c r="T594" s="841"/>
      <c r="U594" s="1489"/>
      <c r="V594" s="1489"/>
      <c r="W594" s="1489"/>
      <c r="X594" s="1392"/>
      <c r="Y594" s="841"/>
      <c r="Z594" s="3074"/>
      <c r="AA594" s="3074"/>
      <c r="AB594" s="3074"/>
      <c r="AC594" s="2976"/>
      <c r="AD594" s="2976"/>
      <c r="AE594" s="118">
        <v>1</v>
      </c>
    </row>
    <row r="595" spans="1:31">
      <c r="A595" s="3047">
        <v>45555</v>
      </c>
      <c r="B595" s="3018" t="s">
        <v>18479</v>
      </c>
      <c r="C595" s="3048" t="s">
        <v>16688</v>
      </c>
      <c r="D595" s="3048" t="s">
        <v>361</v>
      </c>
      <c r="E595" s="3048" t="s">
        <v>13951</v>
      </c>
      <c r="F595" s="3049" t="s">
        <v>18480</v>
      </c>
      <c r="G595" s="3048"/>
      <c r="H595" s="3018"/>
      <c r="I595" s="3018" t="s">
        <v>15373</v>
      </c>
      <c r="J595" s="3048" t="s">
        <v>7263</v>
      </c>
      <c r="K595" s="3048"/>
      <c r="L595" s="2157">
        <v>1250000</v>
      </c>
      <c r="M595" s="3048" t="s">
        <v>112</v>
      </c>
      <c r="N595" s="3047">
        <v>45560</v>
      </c>
      <c r="O595" s="3047">
        <v>45572</v>
      </c>
      <c r="P595" s="3047">
        <v>45580</v>
      </c>
      <c r="Q595" s="3018" t="s">
        <v>15457</v>
      </c>
      <c r="R595" s="3048"/>
      <c r="S595" s="2157">
        <v>832494.28</v>
      </c>
      <c r="T595" s="2157">
        <v>1007318.08</v>
      </c>
      <c r="U595" s="2094"/>
      <c r="V595" s="2094"/>
      <c r="W595" s="2094"/>
      <c r="X595" s="2160">
        <v>45580</v>
      </c>
      <c r="Y595" s="2157" t="s">
        <v>18736</v>
      </c>
      <c r="Z595" s="3047"/>
      <c r="AA595" s="3047"/>
      <c r="AB595" s="3047"/>
      <c r="AC595" s="2976"/>
      <c r="AD595" s="2976"/>
      <c r="AE595" s="118">
        <v>6</v>
      </c>
    </row>
    <row r="596" spans="1:31">
      <c r="A596" s="3042">
        <v>45561</v>
      </c>
      <c r="B596" s="3043" t="s">
        <v>18527</v>
      </c>
      <c r="C596" s="3044" t="s">
        <v>16559</v>
      </c>
      <c r="D596" s="3044" t="s">
        <v>9080</v>
      </c>
      <c r="E596" s="3044" t="s">
        <v>655</v>
      </c>
      <c r="F596" s="3021" t="s">
        <v>18528</v>
      </c>
      <c r="G596" s="3044"/>
      <c r="H596" s="3043"/>
      <c r="I596" s="3043" t="s">
        <v>15448</v>
      </c>
      <c r="J596" s="3044" t="s">
        <v>642</v>
      </c>
      <c r="K596" s="3044"/>
      <c r="L596" s="2092">
        <v>1264000</v>
      </c>
      <c r="M596" s="3044" t="s">
        <v>112</v>
      </c>
      <c r="N596" s="3042">
        <v>45568</v>
      </c>
      <c r="O596" s="3042">
        <v>45588</v>
      </c>
      <c r="P596" s="3042"/>
      <c r="Q596" s="3043"/>
      <c r="R596" s="3044"/>
      <c r="S596" s="2092"/>
      <c r="T596" s="2092"/>
      <c r="U596" s="2094"/>
      <c r="V596" s="2094"/>
      <c r="W596" s="2094"/>
      <c r="X596" s="2456"/>
      <c r="Y596" s="2092"/>
      <c r="Z596" s="3042"/>
      <c r="AA596" s="3042"/>
      <c r="AB596" s="3042"/>
      <c r="AC596" s="2976"/>
      <c r="AD596" s="2976"/>
    </row>
    <row r="597" spans="1:31">
      <c r="A597" s="3124">
        <v>45555</v>
      </c>
      <c r="B597" s="3125" t="s">
        <v>18489</v>
      </c>
      <c r="C597" s="3126" t="s">
        <v>16536</v>
      </c>
      <c r="D597" s="3126" t="s">
        <v>15129</v>
      </c>
      <c r="E597" s="3126" t="s">
        <v>15813</v>
      </c>
      <c r="F597" s="1702" t="s">
        <v>18490</v>
      </c>
      <c r="G597" s="3126"/>
      <c r="H597" s="3125"/>
      <c r="I597" s="3125" t="s">
        <v>15448</v>
      </c>
      <c r="J597" s="3126" t="s">
        <v>17427</v>
      </c>
      <c r="K597" s="3126"/>
      <c r="L597" s="581">
        <v>5905219</v>
      </c>
      <c r="M597" s="3126" t="s">
        <v>251</v>
      </c>
      <c r="N597" s="3124">
        <v>45566</v>
      </c>
      <c r="O597" s="3124">
        <v>45601</v>
      </c>
      <c r="P597" s="3124"/>
      <c r="Q597" s="3125"/>
      <c r="R597" s="3126"/>
      <c r="S597" s="581"/>
      <c r="T597" s="581"/>
      <c r="U597" s="1489"/>
      <c r="V597" s="1489"/>
      <c r="W597" s="1489"/>
      <c r="X597" s="3127"/>
      <c r="Y597" s="581"/>
      <c r="Z597" s="3124"/>
      <c r="AA597" s="3124"/>
      <c r="AB597" s="3124"/>
      <c r="AC597" s="2976"/>
      <c r="AD597" s="2976"/>
    </row>
    <row r="598" spans="1:31">
      <c r="A598" s="3347">
        <v>45573</v>
      </c>
      <c r="B598" s="3348" t="s">
        <v>18675</v>
      </c>
      <c r="C598" s="3078" t="s">
        <v>2434</v>
      </c>
      <c r="D598" s="3078" t="s">
        <v>219</v>
      </c>
      <c r="E598" s="3078" t="s">
        <v>15813</v>
      </c>
      <c r="F598" s="2863" t="s">
        <v>18676</v>
      </c>
      <c r="G598" s="3078"/>
      <c r="H598" s="3348"/>
      <c r="I598" s="3348" t="s">
        <v>15370</v>
      </c>
      <c r="J598" s="3078" t="s">
        <v>261</v>
      </c>
      <c r="K598" s="3078"/>
      <c r="L598" s="3349">
        <v>3828820</v>
      </c>
      <c r="M598" s="3078" t="s">
        <v>251</v>
      </c>
      <c r="N598" s="3347"/>
      <c r="O598" s="3347"/>
      <c r="P598" s="3347"/>
      <c r="Q598" s="3348"/>
      <c r="R598" s="3078"/>
      <c r="S598" s="3349"/>
      <c r="T598" s="3349"/>
      <c r="U598" s="3350"/>
      <c r="V598" s="3350"/>
      <c r="W598" s="3350"/>
      <c r="X598" s="3351"/>
      <c r="Y598" s="3349"/>
      <c r="Z598" s="3347"/>
      <c r="AA598" s="3347"/>
      <c r="AB598" s="3347"/>
      <c r="AC598" s="2976"/>
      <c r="AD598" s="2976"/>
    </row>
    <row r="599" spans="1:31">
      <c r="A599" s="3042">
        <v>45560</v>
      </c>
      <c r="B599" s="3043" t="s">
        <v>18522</v>
      </c>
      <c r="C599" s="3044" t="s">
        <v>2434</v>
      </c>
      <c r="D599" s="3044" t="s">
        <v>3204</v>
      </c>
      <c r="E599" s="3044" t="s">
        <v>655</v>
      </c>
      <c r="F599" s="3021" t="s">
        <v>18523</v>
      </c>
      <c r="G599" s="3044"/>
      <c r="H599" s="3043"/>
      <c r="I599" s="3043" t="s">
        <v>15448</v>
      </c>
      <c r="J599" s="3044" t="s">
        <v>642</v>
      </c>
      <c r="K599" s="3044"/>
      <c r="L599" s="2092">
        <v>1385700</v>
      </c>
      <c r="M599" s="3044" t="s">
        <v>112</v>
      </c>
      <c r="N599" s="3042">
        <v>45566</v>
      </c>
      <c r="O599" s="3042">
        <v>45594</v>
      </c>
      <c r="P599" s="3042"/>
      <c r="Q599" s="3043"/>
      <c r="R599" s="3044"/>
      <c r="S599" s="2092"/>
      <c r="T599" s="2092"/>
      <c r="U599" s="2094"/>
      <c r="V599" s="2094"/>
      <c r="W599" s="2094"/>
      <c r="X599" s="2456"/>
      <c r="Y599" s="2092"/>
      <c r="Z599" s="3042"/>
      <c r="AA599" s="3042"/>
      <c r="AB599" s="3042"/>
      <c r="AC599" s="2976"/>
      <c r="AD599" s="2976"/>
    </row>
    <row r="600" spans="1:31">
      <c r="A600" s="3047">
        <v>45560</v>
      </c>
      <c r="B600" s="3018" t="s">
        <v>18524</v>
      </c>
      <c r="C600" s="3048" t="s">
        <v>58</v>
      </c>
      <c r="D600" s="3048" t="s">
        <v>15443</v>
      </c>
      <c r="E600" s="3048" t="s">
        <v>655</v>
      </c>
      <c r="F600" s="3049" t="s">
        <v>18526</v>
      </c>
      <c r="G600" s="3048"/>
      <c r="H600" s="3018"/>
      <c r="I600" s="3018" t="s">
        <v>4837</v>
      </c>
      <c r="J600" s="3048" t="s">
        <v>480</v>
      </c>
      <c r="K600" s="3018" t="s">
        <v>18525</v>
      </c>
      <c r="L600" s="2157">
        <v>560240</v>
      </c>
      <c r="M600" s="3048" t="s">
        <v>112</v>
      </c>
      <c r="N600" s="3047">
        <v>45566</v>
      </c>
      <c r="O600" s="3047">
        <v>45579</v>
      </c>
      <c r="P600" s="3047"/>
      <c r="Q600" s="3018"/>
      <c r="R600" s="3048"/>
      <c r="S600" s="2157"/>
      <c r="T600" s="2157"/>
      <c r="U600" s="2094"/>
      <c r="V600" s="2094"/>
      <c r="W600" s="2094"/>
      <c r="X600" s="2160"/>
      <c r="Y600" s="2157"/>
      <c r="Z600" s="3047"/>
      <c r="AA600" s="3047"/>
      <c r="AB600" s="3047"/>
      <c r="AC600" s="2976"/>
      <c r="AD600" s="2976"/>
      <c r="AE600" s="118">
        <v>1</v>
      </c>
    </row>
    <row r="601" spans="1:31">
      <c r="A601" s="3045">
        <v>45562</v>
      </c>
      <c r="B601" s="3020" t="s">
        <v>18545</v>
      </c>
      <c r="C601" s="3046" t="s">
        <v>2434</v>
      </c>
      <c r="D601" s="3046" t="s">
        <v>219</v>
      </c>
      <c r="E601" s="3046" t="s">
        <v>18336</v>
      </c>
      <c r="F601" s="1702" t="s">
        <v>18546</v>
      </c>
      <c r="G601" s="3046"/>
      <c r="H601" s="3020"/>
      <c r="I601" s="3020" t="s">
        <v>15448</v>
      </c>
      <c r="J601" s="3020" t="s">
        <v>18547</v>
      </c>
      <c r="K601" s="3046"/>
      <c r="L601" s="1874">
        <v>2490000</v>
      </c>
      <c r="M601" s="3046" t="s">
        <v>251</v>
      </c>
      <c r="N601" s="3045">
        <v>45566</v>
      </c>
      <c r="O601" s="3045">
        <v>45602</v>
      </c>
      <c r="P601" s="3045"/>
      <c r="Q601" s="3020"/>
      <c r="R601" s="3046"/>
      <c r="S601" s="1874"/>
      <c r="T601" s="1874"/>
      <c r="U601" s="1490"/>
      <c r="V601" s="1490"/>
      <c r="W601" s="1490"/>
      <c r="X601" s="3280"/>
      <c r="Y601" s="1874"/>
      <c r="Z601" s="3045"/>
      <c r="AA601" s="3045"/>
      <c r="AB601" s="3045"/>
      <c r="AC601" s="2976"/>
      <c r="AD601" s="2976"/>
    </row>
    <row r="602" spans="1:31">
      <c r="A602" s="3042">
        <v>45565</v>
      </c>
      <c r="B602" s="3043" t="s">
        <v>18592</v>
      </c>
      <c r="C602" s="3044" t="s">
        <v>16536</v>
      </c>
      <c r="D602" s="3044" t="s">
        <v>15129</v>
      </c>
      <c r="E602" s="3044" t="s">
        <v>13949</v>
      </c>
      <c r="F602" s="3344" t="s">
        <v>18593</v>
      </c>
      <c r="G602" s="3044"/>
      <c r="H602" s="3043"/>
      <c r="I602" s="3043" t="s">
        <v>15448</v>
      </c>
      <c r="J602" s="3044" t="s">
        <v>4275</v>
      </c>
      <c r="K602" s="3044"/>
      <c r="L602" s="2092">
        <v>11334856</v>
      </c>
      <c r="M602" s="3044" t="s">
        <v>251</v>
      </c>
      <c r="N602" s="3042">
        <v>45568</v>
      </c>
      <c r="O602" s="3042">
        <v>45603</v>
      </c>
      <c r="P602" s="3042"/>
      <c r="Q602" s="3043"/>
      <c r="R602" s="3044"/>
      <c r="S602" s="2092"/>
      <c r="T602" s="2092"/>
      <c r="U602" s="2094"/>
      <c r="V602" s="2094"/>
      <c r="W602" s="2094"/>
      <c r="X602" s="2456"/>
      <c r="Y602" s="2092"/>
      <c r="Z602" s="3042"/>
      <c r="AA602" s="3042"/>
      <c r="AB602" s="3042"/>
      <c r="AC602" s="2976"/>
      <c r="AD602" s="2976"/>
    </row>
    <row r="603" spans="1:31">
      <c r="A603" s="3047">
        <v>45562</v>
      </c>
      <c r="B603" s="3018" t="s">
        <v>18548</v>
      </c>
      <c r="C603" s="3048" t="s">
        <v>58</v>
      </c>
      <c r="D603" s="3048" t="s">
        <v>15443</v>
      </c>
      <c r="E603" s="3048" t="s">
        <v>655</v>
      </c>
      <c r="F603" s="3049" t="s">
        <v>18549</v>
      </c>
      <c r="G603" s="3048"/>
      <c r="H603" s="3018"/>
      <c r="I603" s="3018" t="s">
        <v>4837</v>
      </c>
      <c r="J603" s="3048" t="s">
        <v>18550</v>
      </c>
      <c r="K603" s="3048" t="s">
        <v>18551</v>
      </c>
      <c r="L603" s="2157">
        <v>1502875</v>
      </c>
      <c r="M603" s="3048" t="s">
        <v>112</v>
      </c>
      <c r="N603" s="3047">
        <v>45569</v>
      </c>
      <c r="O603" s="3047">
        <v>45580</v>
      </c>
      <c r="P603" s="3047"/>
      <c r="Q603" s="3018"/>
      <c r="R603" s="3048"/>
      <c r="S603" s="2157"/>
      <c r="T603" s="2157"/>
      <c r="U603" s="2094"/>
      <c r="V603" s="2094"/>
      <c r="W603" s="2094"/>
      <c r="X603" s="2160"/>
      <c r="Y603" s="2157"/>
      <c r="Z603" s="3047"/>
      <c r="AA603" s="3047"/>
      <c r="AB603" s="3047"/>
      <c r="AC603" s="2976"/>
      <c r="AD603" s="2976"/>
      <c r="AE603" s="118">
        <v>1</v>
      </c>
    </row>
    <row r="604" spans="1:31">
      <c r="A604" s="3102" t="s">
        <v>18045</v>
      </c>
      <c r="B604" s="3103" t="s">
        <v>18581</v>
      </c>
      <c r="C604" s="3104" t="s">
        <v>58</v>
      </c>
      <c r="D604" s="3104" t="s">
        <v>15443</v>
      </c>
      <c r="E604" s="3104" t="s">
        <v>655</v>
      </c>
      <c r="F604" s="1298" t="s">
        <v>18584</v>
      </c>
      <c r="G604" s="3104"/>
      <c r="H604" s="3103"/>
      <c r="I604" s="3103" t="s">
        <v>4837</v>
      </c>
      <c r="J604" s="3104" t="s">
        <v>753</v>
      </c>
      <c r="K604" s="3104" t="s">
        <v>18046</v>
      </c>
      <c r="L604" s="465">
        <v>585500</v>
      </c>
      <c r="M604" s="3104" t="s">
        <v>112</v>
      </c>
      <c r="N604" s="3102">
        <v>45567</v>
      </c>
      <c r="O604" s="3102">
        <v>45580</v>
      </c>
      <c r="P604" s="3102"/>
      <c r="Q604" s="3103"/>
      <c r="R604" s="3104"/>
      <c r="S604" s="465"/>
      <c r="T604" s="465"/>
      <c r="U604" s="1490"/>
      <c r="V604" s="1490"/>
      <c r="W604" s="1490"/>
      <c r="X604" s="1809"/>
      <c r="Y604" s="465"/>
      <c r="Z604" s="3102"/>
      <c r="AA604" s="3102"/>
      <c r="AB604" s="3102"/>
      <c r="AC604" s="2976"/>
      <c r="AD604" s="2976"/>
      <c r="AE604" s="118">
        <v>1</v>
      </c>
    </row>
    <row r="605" spans="1:31">
      <c r="A605" s="3102" t="s">
        <v>18154</v>
      </c>
      <c r="B605" s="3103" t="s">
        <v>18582</v>
      </c>
      <c r="C605" s="3104" t="s">
        <v>58</v>
      </c>
      <c r="D605" s="3104" t="s">
        <v>15443</v>
      </c>
      <c r="E605" s="3104" t="s">
        <v>655</v>
      </c>
      <c r="F605" s="3105" t="s">
        <v>18586</v>
      </c>
      <c r="G605" s="3104"/>
      <c r="H605" s="3103"/>
      <c r="I605" s="3103" t="s">
        <v>4837</v>
      </c>
      <c r="J605" s="3104" t="s">
        <v>1159</v>
      </c>
      <c r="K605" s="3104" t="s">
        <v>18544</v>
      </c>
      <c r="L605" s="465">
        <v>220000</v>
      </c>
      <c r="M605" s="3104" t="s">
        <v>112</v>
      </c>
      <c r="N605" s="3102">
        <v>45567</v>
      </c>
      <c r="O605" s="3102">
        <v>45580</v>
      </c>
      <c r="P605" s="3102"/>
      <c r="Q605" s="3103"/>
      <c r="R605" s="3104"/>
      <c r="S605" s="465"/>
      <c r="T605" s="465"/>
      <c r="U605" s="1490"/>
      <c r="V605" s="1490"/>
      <c r="W605" s="1490"/>
      <c r="X605" s="1809"/>
      <c r="Y605" s="465"/>
      <c r="Z605" s="3102"/>
      <c r="AA605" s="3102"/>
      <c r="AB605" s="3102"/>
      <c r="AC605" s="2976"/>
      <c r="AD605" s="2976"/>
      <c r="AE605" s="118">
        <v>1</v>
      </c>
    </row>
    <row r="606" spans="1:31" ht="15.75" thickBot="1">
      <c r="A606" s="3045">
        <v>45565</v>
      </c>
      <c r="B606" s="3020" t="s">
        <v>18583</v>
      </c>
      <c r="C606" s="3046" t="s">
        <v>16688</v>
      </c>
      <c r="D606" s="3046" t="s">
        <v>361</v>
      </c>
      <c r="E606" s="3046" t="s">
        <v>13950</v>
      </c>
      <c r="F606" s="3026" t="s">
        <v>18590</v>
      </c>
      <c r="G606" s="3046"/>
      <c r="H606" s="3020"/>
      <c r="I606" s="3020" t="s">
        <v>15448</v>
      </c>
      <c r="J606" s="3046" t="s">
        <v>8460</v>
      </c>
      <c r="K606" s="3046" t="s">
        <v>18637</v>
      </c>
      <c r="L606" s="1874">
        <v>8264000</v>
      </c>
      <c r="M606" s="3046" t="s">
        <v>251</v>
      </c>
      <c r="N606" s="3045">
        <v>45574</v>
      </c>
      <c r="O606" s="3045">
        <v>45608</v>
      </c>
      <c r="P606" s="3045"/>
      <c r="Q606" s="3020"/>
      <c r="R606" s="3046"/>
      <c r="S606" s="1874"/>
      <c r="T606" s="1874"/>
      <c r="U606" s="1490"/>
      <c r="V606" s="1490"/>
      <c r="W606" s="1490"/>
      <c r="X606" s="3280"/>
      <c r="Y606" s="1874"/>
      <c r="Z606" s="3045"/>
      <c r="AA606" s="3045"/>
      <c r="AB606" s="3045"/>
      <c r="AC606" s="2976"/>
      <c r="AD606" s="2976"/>
    </row>
    <row r="607" spans="1:31" ht="15.75" thickTop="1">
      <c r="A607" s="3038">
        <v>45565</v>
      </c>
      <c r="B607" s="3039" t="s">
        <v>18595</v>
      </c>
      <c r="C607" s="3040" t="s">
        <v>16536</v>
      </c>
      <c r="D607" s="3040" t="s">
        <v>15131</v>
      </c>
      <c r="E607" s="3040" t="s">
        <v>15813</v>
      </c>
      <c r="F607" s="770" t="s">
        <v>18594</v>
      </c>
      <c r="G607" s="3040">
        <v>1</v>
      </c>
      <c r="H607" s="3039" t="s">
        <v>18603</v>
      </c>
      <c r="I607" s="3039" t="s">
        <v>15448</v>
      </c>
      <c r="J607" s="3040" t="s">
        <v>17427</v>
      </c>
      <c r="K607" s="3040"/>
      <c r="L607" s="588">
        <v>4299</v>
      </c>
      <c r="M607" s="3040" t="s">
        <v>251</v>
      </c>
      <c r="N607" s="3038">
        <v>45576</v>
      </c>
      <c r="O607" s="3038">
        <v>45611</v>
      </c>
      <c r="P607" s="3038"/>
      <c r="Q607" s="3039"/>
      <c r="R607" s="3040"/>
      <c r="S607" s="588"/>
      <c r="T607" s="588"/>
      <c r="U607" s="1483"/>
      <c r="V607" s="1483"/>
      <c r="W607" s="1483"/>
      <c r="X607" s="3001"/>
      <c r="Y607" s="588"/>
      <c r="Z607" s="3038"/>
      <c r="AA607" s="3038"/>
      <c r="AB607" s="3038"/>
      <c r="AC607" s="2976"/>
      <c r="AD607" s="2976"/>
    </row>
    <row r="608" spans="1:31">
      <c r="A608" s="3042">
        <v>45565</v>
      </c>
      <c r="B608" s="3043" t="s">
        <v>18596</v>
      </c>
      <c r="C608" s="3044" t="s">
        <v>16536</v>
      </c>
      <c r="D608" s="3044" t="s">
        <v>15131</v>
      </c>
      <c r="E608" s="3044" t="s">
        <v>15813</v>
      </c>
      <c r="F608" s="3344" t="s">
        <v>18594</v>
      </c>
      <c r="G608" s="3044">
        <v>2</v>
      </c>
      <c r="H608" s="3043" t="s">
        <v>18604</v>
      </c>
      <c r="I608" s="3043" t="s">
        <v>15448</v>
      </c>
      <c r="J608" s="3044" t="s">
        <v>17427</v>
      </c>
      <c r="K608" s="3044"/>
      <c r="L608" s="2092">
        <v>75513</v>
      </c>
      <c r="M608" s="3044" t="s">
        <v>251</v>
      </c>
      <c r="N608" s="3042">
        <v>45576</v>
      </c>
      <c r="O608" s="3042">
        <v>45611</v>
      </c>
      <c r="P608" s="3042"/>
      <c r="Q608" s="3043"/>
      <c r="R608" s="3044"/>
      <c r="S608" s="2092"/>
      <c r="T608" s="2092"/>
      <c r="U608" s="2094"/>
      <c r="V608" s="2094"/>
      <c r="W608" s="2094"/>
      <c r="X608" s="2456"/>
      <c r="Y608" s="2092"/>
      <c r="Z608" s="3042"/>
      <c r="AA608" s="3042"/>
      <c r="AB608" s="3042"/>
      <c r="AC608" s="2976"/>
      <c r="AD608" s="2976"/>
    </row>
    <row r="609" spans="1:30">
      <c r="A609" s="3042">
        <v>45565</v>
      </c>
      <c r="B609" s="3043" t="s">
        <v>18597</v>
      </c>
      <c r="C609" s="3044" t="s">
        <v>16536</v>
      </c>
      <c r="D609" s="3044" t="s">
        <v>15131</v>
      </c>
      <c r="E609" s="3044" t="s">
        <v>15813</v>
      </c>
      <c r="F609" s="3344" t="s">
        <v>18594</v>
      </c>
      <c r="G609" s="3044">
        <v>3</v>
      </c>
      <c r="H609" s="3043" t="s">
        <v>18605</v>
      </c>
      <c r="I609" s="3043" t="s">
        <v>15448</v>
      </c>
      <c r="J609" s="3044" t="s">
        <v>17427</v>
      </c>
      <c r="K609" s="3044"/>
      <c r="L609" s="2092">
        <v>351057</v>
      </c>
      <c r="M609" s="3044" t="s">
        <v>251</v>
      </c>
      <c r="N609" s="3042">
        <v>45576</v>
      </c>
      <c r="O609" s="3042">
        <v>45611</v>
      </c>
      <c r="P609" s="3042"/>
      <c r="Q609" s="3043"/>
      <c r="R609" s="3044"/>
      <c r="S609" s="2092"/>
      <c r="T609" s="2092"/>
      <c r="U609" s="2094"/>
      <c r="V609" s="2094"/>
      <c r="W609" s="2094"/>
      <c r="X609" s="2456"/>
      <c r="Y609" s="2092"/>
      <c r="Z609" s="3042"/>
      <c r="AA609" s="3042"/>
      <c r="AB609" s="3042"/>
      <c r="AC609" s="2976"/>
      <c r="AD609" s="2976"/>
    </row>
    <row r="610" spans="1:30">
      <c r="A610" s="3042">
        <v>45565</v>
      </c>
      <c r="B610" s="3043" t="s">
        <v>18598</v>
      </c>
      <c r="C610" s="3044" t="s">
        <v>16536</v>
      </c>
      <c r="D610" s="3044" t="s">
        <v>15131</v>
      </c>
      <c r="E610" s="3044" t="s">
        <v>15813</v>
      </c>
      <c r="F610" s="3344" t="s">
        <v>18594</v>
      </c>
      <c r="G610" s="3044">
        <v>4</v>
      </c>
      <c r="H610" s="3043" t="s">
        <v>18606</v>
      </c>
      <c r="I610" s="3043" t="s">
        <v>15448</v>
      </c>
      <c r="J610" s="3044" t="s">
        <v>17427</v>
      </c>
      <c r="K610" s="3044"/>
      <c r="L610" s="2092">
        <v>1756836</v>
      </c>
      <c r="M610" s="3044" t="s">
        <v>251</v>
      </c>
      <c r="N610" s="3042">
        <v>45576</v>
      </c>
      <c r="O610" s="3042">
        <v>45611</v>
      </c>
      <c r="P610" s="3042"/>
      <c r="Q610" s="3043"/>
      <c r="R610" s="3044"/>
      <c r="S610" s="2092"/>
      <c r="T610" s="2092"/>
      <c r="U610" s="2094"/>
      <c r="V610" s="2094"/>
      <c r="W610" s="2094"/>
      <c r="X610" s="2456"/>
      <c r="Y610" s="2092"/>
      <c r="Z610" s="3042"/>
      <c r="AA610" s="3042"/>
      <c r="AB610" s="3042"/>
      <c r="AC610" s="2976"/>
      <c r="AD610" s="2976"/>
    </row>
    <row r="611" spans="1:30">
      <c r="A611" s="3042">
        <v>45565</v>
      </c>
      <c r="B611" s="3043" t="s">
        <v>18599</v>
      </c>
      <c r="C611" s="3044" t="s">
        <v>16536</v>
      </c>
      <c r="D611" s="3044" t="s">
        <v>15131</v>
      </c>
      <c r="E611" s="3044" t="s">
        <v>15813</v>
      </c>
      <c r="F611" s="3344" t="s">
        <v>18594</v>
      </c>
      <c r="G611" s="3044">
        <v>5</v>
      </c>
      <c r="H611" s="3043" t="s">
        <v>18607</v>
      </c>
      <c r="I611" s="3043" t="s">
        <v>15448</v>
      </c>
      <c r="J611" s="3044" t="s">
        <v>17427</v>
      </c>
      <c r="K611" s="3044"/>
      <c r="L611" s="2092">
        <v>30945</v>
      </c>
      <c r="M611" s="3044" t="s">
        <v>251</v>
      </c>
      <c r="N611" s="3042">
        <v>45576</v>
      </c>
      <c r="O611" s="3042">
        <v>45611</v>
      </c>
      <c r="P611" s="3042"/>
      <c r="Q611" s="3043"/>
      <c r="R611" s="3044"/>
      <c r="S611" s="2092"/>
      <c r="T611" s="2092"/>
      <c r="U611" s="2094"/>
      <c r="V611" s="2094"/>
      <c r="W611" s="2094"/>
      <c r="X611" s="2456"/>
      <c r="Y611" s="2092"/>
      <c r="Z611" s="3042"/>
      <c r="AA611" s="3042"/>
      <c r="AB611" s="3042"/>
      <c r="AC611" s="2976"/>
      <c r="AD611" s="2976"/>
    </row>
    <row r="612" spans="1:30" ht="15.75" thickBot="1">
      <c r="A612" s="3060">
        <v>45565</v>
      </c>
      <c r="B612" s="3003" t="s">
        <v>18600</v>
      </c>
      <c r="C612" s="3002" t="s">
        <v>16536</v>
      </c>
      <c r="D612" s="3002" t="s">
        <v>15131</v>
      </c>
      <c r="E612" s="3002" t="s">
        <v>15813</v>
      </c>
      <c r="F612" s="3418" t="s">
        <v>18594</v>
      </c>
      <c r="G612" s="3002">
        <v>6</v>
      </c>
      <c r="H612" s="3003" t="s">
        <v>18608</v>
      </c>
      <c r="I612" s="3003" t="s">
        <v>15448</v>
      </c>
      <c r="J612" s="3002" t="s">
        <v>17427</v>
      </c>
      <c r="K612" s="3002"/>
      <c r="L612" s="2093">
        <v>19911</v>
      </c>
      <c r="M612" s="3002" t="s">
        <v>251</v>
      </c>
      <c r="N612" s="3060">
        <v>45576</v>
      </c>
      <c r="O612" s="3060">
        <v>45611</v>
      </c>
      <c r="P612" s="3060"/>
      <c r="Q612" s="3003"/>
      <c r="R612" s="3002"/>
      <c r="S612" s="2093"/>
      <c r="T612" s="2093"/>
      <c r="U612" s="2095"/>
      <c r="V612" s="2095"/>
      <c r="W612" s="2095"/>
      <c r="X612" s="3014"/>
      <c r="Y612" s="2093"/>
      <c r="Z612" s="3060"/>
      <c r="AA612" s="3060"/>
      <c r="AB612" s="3060"/>
      <c r="AC612" s="2976"/>
      <c r="AD612" s="2976"/>
    </row>
    <row r="613" spans="1:30" ht="16.5" thickTop="1" thickBot="1">
      <c r="A613" s="3302">
        <v>45565</v>
      </c>
      <c r="B613" s="3305" t="s">
        <v>18570</v>
      </c>
      <c r="C613" s="3303" t="s">
        <v>2434</v>
      </c>
      <c r="D613" s="3303" t="s">
        <v>219</v>
      </c>
      <c r="E613" s="3303" t="s">
        <v>18336</v>
      </c>
      <c r="F613" s="3304" t="s">
        <v>18577</v>
      </c>
      <c r="G613" s="3303"/>
      <c r="H613" s="3305"/>
      <c r="I613" s="3305" t="s">
        <v>15448</v>
      </c>
      <c r="J613" s="3303" t="s">
        <v>18578</v>
      </c>
      <c r="K613" s="3303"/>
      <c r="L613" s="1734">
        <v>2628000</v>
      </c>
      <c r="M613" s="3303" t="s">
        <v>251</v>
      </c>
      <c r="N613" s="3302">
        <v>45569</v>
      </c>
      <c r="O613" s="3302">
        <v>45607</v>
      </c>
      <c r="P613" s="3302"/>
      <c r="Q613" s="3305"/>
      <c r="R613" s="3303"/>
      <c r="S613" s="1734"/>
      <c r="T613" s="1734"/>
      <c r="U613" s="1537"/>
      <c r="V613" s="1537"/>
      <c r="W613" s="1537"/>
      <c r="X613" s="3306"/>
      <c r="Y613" s="1734"/>
      <c r="Z613" s="3302"/>
      <c r="AA613" s="3302"/>
      <c r="AB613" s="3302"/>
      <c r="AC613" s="2976"/>
      <c r="AD613" s="2976"/>
    </row>
    <row r="614" spans="1:30" ht="15.75" thickTop="1">
      <c r="A614" s="3038">
        <v>45565</v>
      </c>
      <c r="B614" s="3039" t="s">
        <v>18571</v>
      </c>
      <c r="C614" s="3040" t="s">
        <v>2434</v>
      </c>
      <c r="D614" s="3040" t="s">
        <v>3204</v>
      </c>
      <c r="E614" s="3040" t="s">
        <v>18336</v>
      </c>
      <c r="F614" s="3041" t="s">
        <v>18580</v>
      </c>
      <c r="G614" s="3040">
        <v>1</v>
      </c>
      <c r="H614" s="3039" t="s">
        <v>18579</v>
      </c>
      <c r="I614" s="3039" t="s">
        <v>15448</v>
      </c>
      <c r="J614" s="3040" t="s">
        <v>642</v>
      </c>
      <c r="K614" s="3040"/>
      <c r="L614" s="588">
        <v>2600000</v>
      </c>
      <c r="M614" s="3040" t="s">
        <v>251</v>
      </c>
      <c r="N614" s="3038">
        <v>45569</v>
      </c>
      <c r="O614" s="3038">
        <v>45607</v>
      </c>
      <c r="P614" s="3038"/>
      <c r="Q614" s="3039"/>
      <c r="R614" s="3040"/>
      <c r="S614" s="588"/>
      <c r="T614" s="588"/>
      <c r="U614" s="1483"/>
      <c r="V614" s="1483"/>
      <c r="W614" s="1483"/>
      <c r="X614" s="3001"/>
      <c r="Y614" s="588"/>
      <c r="Z614" s="3038"/>
      <c r="AA614" s="3038"/>
      <c r="AB614" s="3038"/>
      <c r="AC614" s="2976"/>
      <c r="AD614" s="2976"/>
    </row>
    <row r="615" spans="1:30">
      <c r="A615" s="3042">
        <v>45565</v>
      </c>
      <c r="B615" s="3043" t="s">
        <v>18572</v>
      </c>
      <c r="C615" s="3044" t="s">
        <v>2434</v>
      </c>
      <c r="D615" s="3044" t="s">
        <v>3204</v>
      </c>
      <c r="E615" s="3044" t="s">
        <v>18336</v>
      </c>
      <c r="F615" s="3021" t="s">
        <v>18580</v>
      </c>
      <c r="G615" s="3044">
        <v>2</v>
      </c>
      <c r="H615" s="3043" t="s">
        <v>4148</v>
      </c>
      <c r="I615" s="3043" t="s">
        <v>15448</v>
      </c>
      <c r="J615" s="3044" t="s">
        <v>642</v>
      </c>
      <c r="K615" s="3044"/>
      <c r="L615" s="2092">
        <v>284700</v>
      </c>
      <c r="M615" s="3044" t="s">
        <v>251</v>
      </c>
      <c r="N615" s="3042">
        <v>45569</v>
      </c>
      <c r="O615" s="3042">
        <v>45607</v>
      </c>
      <c r="P615" s="3042"/>
      <c r="Q615" s="3043"/>
      <c r="R615" s="3044"/>
      <c r="S615" s="2092"/>
      <c r="T615" s="2092"/>
      <c r="U615" s="2094"/>
      <c r="V615" s="2094"/>
      <c r="W615" s="2094"/>
      <c r="X615" s="2456"/>
      <c r="Y615" s="2092"/>
      <c r="Z615" s="3042"/>
      <c r="AA615" s="3042"/>
      <c r="AB615" s="3042"/>
      <c r="AC615" s="2976"/>
      <c r="AD615" s="2976"/>
    </row>
    <row r="616" spans="1:30">
      <c r="A616" s="3042">
        <v>45565</v>
      </c>
      <c r="B616" s="3043" t="s">
        <v>18573</v>
      </c>
      <c r="C616" s="3044" t="s">
        <v>2434</v>
      </c>
      <c r="D616" s="3044" t="s">
        <v>3204</v>
      </c>
      <c r="E616" s="3044" t="s">
        <v>18336</v>
      </c>
      <c r="F616" s="3021" t="s">
        <v>18580</v>
      </c>
      <c r="G616" s="3044">
        <v>3</v>
      </c>
      <c r="H616" s="3043" t="s">
        <v>9856</v>
      </c>
      <c r="I616" s="3043" t="s">
        <v>15448</v>
      </c>
      <c r="J616" s="3044" t="s">
        <v>642</v>
      </c>
      <c r="K616" s="3044"/>
      <c r="L616" s="2092">
        <v>3662400</v>
      </c>
      <c r="M616" s="3044" t="s">
        <v>251</v>
      </c>
      <c r="N616" s="3042">
        <v>45569</v>
      </c>
      <c r="O616" s="3042">
        <v>45607</v>
      </c>
      <c r="P616" s="3042"/>
      <c r="Q616" s="3043"/>
      <c r="R616" s="3044"/>
      <c r="S616" s="2092"/>
      <c r="T616" s="2092"/>
      <c r="U616" s="2094"/>
      <c r="V616" s="2094"/>
      <c r="W616" s="2094"/>
      <c r="X616" s="2456"/>
      <c r="Y616" s="2092"/>
      <c r="Z616" s="3042"/>
      <c r="AA616" s="3042"/>
      <c r="AB616" s="3042"/>
      <c r="AC616" s="2976"/>
      <c r="AD616" s="2976"/>
    </row>
    <row r="617" spans="1:30">
      <c r="A617" s="3042">
        <v>45565</v>
      </c>
      <c r="B617" s="3043" t="s">
        <v>18574</v>
      </c>
      <c r="C617" s="3044" t="s">
        <v>2434</v>
      </c>
      <c r="D617" s="3044" t="s">
        <v>3204</v>
      </c>
      <c r="E617" s="3044" t="s">
        <v>18336</v>
      </c>
      <c r="F617" s="3021" t="s">
        <v>18580</v>
      </c>
      <c r="G617" s="3044">
        <v>4</v>
      </c>
      <c r="H617" s="3043" t="s">
        <v>9858</v>
      </c>
      <c r="I617" s="3043" t="s">
        <v>15448</v>
      </c>
      <c r="J617" s="3044" t="s">
        <v>642</v>
      </c>
      <c r="K617" s="3044"/>
      <c r="L617" s="2092">
        <v>528000</v>
      </c>
      <c r="M617" s="3044" t="s">
        <v>251</v>
      </c>
      <c r="N617" s="3042">
        <v>45569</v>
      </c>
      <c r="O617" s="3042">
        <v>45607</v>
      </c>
      <c r="P617" s="3042"/>
      <c r="Q617" s="3043"/>
      <c r="R617" s="3044"/>
      <c r="S617" s="2092"/>
      <c r="T617" s="2092"/>
      <c r="U617" s="2094"/>
      <c r="V617" s="2094"/>
      <c r="W617" s="2094"/>
      <c r="X617" s="2456"/>
      <c r="Y617" s="2092"/>
      <c r="Z617" s="3042"/>
      <c r="AA617" s="3042"/>
      <c r="AB617" s="3042"/>
      <c r="AC617" s="2976"/>
      <c r="AD617" s="2976"/>
    </row>
    <row r="618" spans="1:30">
      <c r="A618" s="3042">
        <v>45565</v>
      </c>
      <c r="B618" s="3043" t="s">
        <v>18575</v>
      </c>
      <c r="C618" s="3044" t="s">
        <v>2434</v>
      </c>
      <c r="D618" s="3044" t="s">
        <v>3204</v>
      </c>
      <c r="E618" s="3044" t="s">
        <v>18336</v>
      </c>
      <c r="F618" s="3021" t="s">
        <v>18580</v>
      </c>
      <c r="G618" s="3044">
        <v>5</v>
      </c>
      <c r="H618" s="3043" t="s">
        <v>9859</v>
      </c>
      <c r="I618" s="3043" t="s">
        <v>15448</v>
      </c>
      <c r="J618" s="3064" t="s">
        <v>642</v>
      </c>
      <c r="K618" s="3044"/>
      <c r="L618" s="2092">
        <v>2607600</v>
      </c>
      <c r="M618" s="3044" t="s">
        <v>251</v>
      </c>
      <c r="N618" s="3042">
        <v>45569</v>
      </c>
      <c r="O618" s="3042">
        <v>45607</v>
      </c>
      <c r="P618" s="3042"/>
      <c r="Q618" s="3043"/>
      <c r="R618" s="3044"/>
      <c r="S618" s="2092"/>
      <c r="T618" s="2092"/>
      <c r="U618" s="2094"/>
      <c r="V618" s="2094"/>
      <c r="W618" s="2094"/>
      <c r="X618" s="2456"/>
      <c r="Y618" s="2092"/>
      <c r="Z618" s="3042"/>
      <c r="AA618" s="3042"/>
      <c r="AB618" s="3044"/>
      <c r="AC618" s="2976"/>
      <c r="AD618" s="2976"/>
    </row>
    <row r="619" spans="1:30" ht="15.75" thickBot="1">
      <c r="A619" s="3060">
        <v>45565</v>
      </c>
      <c r="B619" s="3003" t="s">
        <v>18576</v>
      </c>
      <c r="C619" s="3002" t="s">
        <v>2434</v>
      </c>
      <c r="D619" s="3002" t="s">
        <v>3204</v>
      </c>
      <c r="E619" s="3002" t="s">
        <v>18336</v>
      </c>
      <c r="F619" s="3079" t="s">
        <v>18580</v>
      </c>
      <c r="G619" s="3002">
        <v>6</v>
      </c>
      <c r="H619" s="3003" t="s">
        <v>4153</v>
      </c>
      <c r="I619" s="3003" t="s">
        <v>15448</v>
      </c>
      <c r="J619" s="3002" t="s">
        <v>642</v>
      </c>
      <c r="K619" s="3002"/>
      <c r="L619" s="2093">
        <v>29530000</v>
      </c>
      <c r="M619" s="3002" t="s">
        <v>251</v>
      </c>
      <c r="N619" s="3060">
        <v>45569</v>
      </c>
      <c r="O619" s="3060">
        <v>45607</v>
      </c>
      <c r="P619" s="3002"/>
      <c r="Q619" s="3397"/>
      <c r="R619" s="2878"/>
      <c r="S619" s="2093"/>
      <c r="T619" s="2093"/>
      <c r="U619" s="2095"/>
      <c r="V619" s="2095"/>
      <c r="W619" s="2095"/>
      <c r="X619" s="2093"/>
      <c r="Y619" s="2093"/>
      <c r="Z619" s="3002"/>
      <c r="AA619" s="3060"/>
      <c r="AB619" s="3003"/>
      <c r="AC619" s="2976"/>
      <c r="AD619" s="2976"/>
    </row>
    <row r="620" spans="1:30" ht="15.75" thickTop="1">
      <c r="A620" s="3038">
        <v>45572</v>
      </c>
      <c r="B620" s="3039" t="s">
        <v>18673</v>
      </c>
      <c r="C620" s="3040" t="s">
        <v>16559</v>
      </c>
      <c r="D620" s="3040" t="s">
        <v>9080</v>
      </c>
      <c r="E620" s="3040" t="s">
        <v>18336</v>
      </c>
      <c r="F620" s="3041" t="s">
        <v>18674</v>
      </c>
      <c r="G620" s="3040"/>
      <c r="H620" s="3039"/>
      <c r="I620" s="3039" t="s">
        <v>15448</v>
      </c>
      <c r="J620" s="3040" t="s">
        <v>17882</v>
      </c>
      <c r="K620" s="3040"/>
      <c r="L620" s="588">
        <v>1401000</v>
      </c>
      <c r="M620" s="3040" t="s">
        <v>251</v>
      </c>
      <c r="N620" s="3038">
        <v>45580</v>
      </c>
      <c r="O620" s="3038">
        <v>45615</v>
      </c>
      <c r="P620" s="3040"/>
      <c r="Q620" s="3278"/>
      <c r="R620" s="2072"/>
      <c r="S620" s="588"/>
      <c r="T620" s="588"/>
      <c r="U620" s="1483"/>
      <c r="V620" s="1483"/>
      <c r="W620" s="1483"/>
      <c r="X620" s="588"/>
      <c r="Y620" s="588"/>
      <c r="Z620" s="3040"/>
      <c r="AA620" s="3038"/>
      <c r="AB620" s="3039"/>
      <c r="AC620" s="2976"/>
      <c r="AD620" s="2976"/>
    </row>
    <row r="621" spans="1:30">
      <c r="A621" s="3124">
        <v>45567</v>
      </c>
      <c r="B621" s="3125" t="s">
        <v>18631</v>
      </c>
      <c r="C621" s="3126" t="s">
        <v>6561</v>
      </c>
      <c r="D621" s="3126" t="s">
        <v>4864</v>
      </c>
      <c r="E621" s="3126" t="s">
        <v>13951</v>
      </c>
      <c r="F621" s="3265" t="s">
        <v>18632</v>
      </c>
      <c r="G621" s="3126"/>
      <c r="H621" s="3125"/>
      <c r="I621" s="3125" t="s">
        <v>15448</v>
      </c>
      <c r="J621" s="3126" t="s">
        <v>12571</v>
      </c>
      <c r="K621" s="3126"/>
      <c r="L621" s="581">
        <v>5500000</v>
      </c>
      <c r="M621" s="3126" t="s">
        <v>112</v>
      </c>
      <c r="N621" s="3124">
        <v>45574</v>
      </c>
      <c r="O621" s="3124">
        <v>45586</v>
      </c>
      <c r="P621" s="3126"/>
      <c r="Q621" s="3313"/>
      <c r="R621" s="2075"/>
      <c r="S621" s="581"/>
      <c r="T621" s="581"/>
      <c r="U621" s="1489"/>
      <c r="V621" s="1489"/>
      <c r="W621" s="1489"/>
      <c r="X621" s="581"/>
      <c r="Y621" s="581"/>
      <c r="Z621" s="3126"/>
      <c r="AA621" s="3124"/>
      <c r="AB621" s="3125"/>
      <c r="AC621" s="2976"/>
      <c r="AD621" s="2976"/>
    </row>
    <row r="622" spans="1:30">
      <c r="A622" s="3124">
        <v>45567</v>
      </c>
      <c r="B622" s="3125" t="s">
        <v>18629</v>
      </c>
      <c r="C622" s="3126" t="s">
        <v>16688</v>
      </c>
      <c r="D622" s="3126" t="s">
        <v>361</v>
      </c>
      <c r="E622" s="3126" t="s">
        <v>13950</v>
      </c>
      <c r="F622" s="3265" t="s">
        <v>18630</v>
      </c>
      <c r="G622" s="3126"/>
      <c r="H622" s="3125"/>
      <c r="I622" s="3125" t="s">
        <v>15448</v>
      </c>
      <c r="J622" s="3126" t="s">
        <v>17353</v>
      </c>
      <c r="K622" s="3126"/>
      <c r="L622" s="581">
        <v>1000000</v>
      </c>
      <c r="M622" s="3126" t="s">
        <v>235</v>
      </c>
      <c r="N622" s="3124">
        <v>45569</v>
      </c>
      <c r="O622" s="3124">
        <v>45581</v>
      </c>
      <c r="P622" s="3126"/>
      <c r="Q622" s="3313"/>
      <c r="R622" s="2075"/>
      <c r="S622" s="581"/>
      <c r="T622" s="581"/>
      <c r="U622" s="1489"/>
      <c r="V622" s="1489"/>
      <c r="W622" s="1489"/>
      <c r="X622" s="581"/>
      <c r="Y622" s="581"/>
      <c r="Z622" s="3126"/>
      <c r="AA622" s="3124"/>
      <c r="AB622" s="3125"/>
      <c r="AC622" s="2976"/>
      <c r="AD622" s="2976"/>
    </row>
    <row r="623" spans="1:30">
      <c r="A623" s="3124">
        <v>45568</v>
      </c>
      <c r="B623" s="3125" t="s">
        <v>18644</v>
      </c>
      <c r="C623" s="3126" t="s">
        <v>1754</v>
      </c>
      <c r="D623" s="3126" t="s">
        <v>17501</v>
      </c>
      <c r="E623" s="3126" t="s">
        <v>655</v>
      </c>
      <c r="F623" s="3344" t="s">
        <v>13171</v>
      </c>
      <c r="G623" s="3126"/>
      <c r="H623" s="3125"/>
      <c r="I623" s="3125" t="s">
        <v>15448</v>
      </c>
      <c r="J623" s="3126" t="s">
        <v>13172</v>
      </c>
      <c r="K623" s="3126"/>
      <c r="L623" s="581">
        <v>810000</v>
      </c>
      <c r="M623" s="3126" t="s">
        <v>112</v>
      </c>
      <c r="N623" s="3124">
        <v>45574</v>
      </c>
      <c r="O623" s="3124">
        <v>45586</v>
      </c>
      <c r="P623" s="3126"/>
      <c r="Q623" s="3313"/>
      <c r="R623" s="2075"/>
      <c r="S623" s="581"/>
      <c r="T623" s="581"/>
      <c r="U623" s="1489"/>
      <c r="V623" s="1489"/>
      <c r="W623" s="1489"/>
      <c r="X623" s="581"/>
      <c r="Y623" s="581"/>
      <c r="Z623" s="3126"/>
      <c r="AA623" s="3124"/>
      <c r="AB623" s="3125"/>
      <c r="AC623" s="2976"/>
      <c r="AD623" s="2976"/>
    </row>
    <row r="624" spans="1:30">
      <c r="A624" s="3347">
        <v>45574</v>
      </c>
      <c r="B624" s="3348" t="s">
        <v>18684</v>
      </c>
      <c r="C624" s="3078" t="s">
        <v>16536</v>
      </c>
      <c r="D624" s="3078" t="s">
        <v>15131</v>
      </c>
      <c r="E624" s="3078" t="s">
        <v>13949</v>
      </c>
      <c r="F624" s="2863" t="s">
        <v>18685</v>
      </c>
      <c r="G624" s="3078"/>
      <c r="H624" s="3348"/>
      <c r="I624" s="3348" t="s">
        <v>15370</v>
      </c>
      <c r="J624" s="3078" t="s">
        <v>671</v>
      </c>
      <c r="K624" s="3078"/>
      <c r="L624" s="3349">
        <v>12739246</v>
      </c>
      <c r="M624" s="3078" t="s">
        <v>235</v>
      </c>
      <c r="N624" s="3347"/>
      <c r="O624" s="3347"/>
      <c r="P624" s="3078"/>
      <c r="Q624" s="1724"/>
      <c r="R624" s="3415"/>
      <c r="S624" s="3349"/>
      <c r="T624" s="3349"/>
      <c r="U624" s="3350"/>
      <c r="V624" s="3350"/>
      <c r="W624" s="3350"/>
      <c r="X624" s="3349"/>
      <c r="Y624" s="3349"/>
      <c r="Z624" s="3078"/>
      <c r="AA624" s="3347"/>
      <c r="AB624" s="3348"/>
      <c r="AC624" s="2976"/>
      <c r="AD624" s="2976"/>
    </row>
    <row r="625" spans="1:30">
      <c r="A625" s="3124" t="s">
        <v>18409</v>
      </c>
      <c r="B625" s="3125" t="s">
        <v>18620</v>
      </c>
      <c r="C625" s="3126" t="s">
        <v>58</v>
      </c>
      <c r="D625" s="3126" t="s">
        <v>15443</v>
      </c>
      <c r="E625" s="3126" t="s">
        <v>13951</v>
      </c>
      <c r="F625" s="3265" t="s">
        <v>18622</v>
      </c>
      <c r="G625" s="3126"/>
      <c r="H625" s="3125"/>
      <c r="I625" s="3125" t="s">
        <v>15448</v>
      </c>
      <c r="J625" s="3126" t="s">
        <v>5760</v>
      </c>
      <c r="K625" s="3126" t="s">
        <v>18411</v>
      </c>
      <c r="L625" s="581">
        <v>229200</v>
      </c>
      <c r="M625" s="3126" t="s">
        <v>112</v>
      </c>
      <c r="N625" s="3124">
        <v>45573</v>
      </c>
      <c r="O625" s="3124">
        <v>45586</v>
      </c>
      <c r="P625" s="3124"/>
      <c r="Q625" s="3125"/>
      <c r="R625" s="3126"/>
      <c r="S625" s="581"/>
      <c r="T625" s="581"/>
      <c r="U625" s="1489"/>
      <c r="V625" s="1489"/>
      <c r="W625" s="1489"/>
      <c r="X625" s="3127"/>
      <c r="Y625" s="581"/>
      <c r="Z625" s="3124"/>
      <c r="AA625" s="3124"/>
      <c r="AB625" s="3126"/>
      <c r="AC625" s="2976"/>
      <c r="AD625" s="2976"/>
    </row>
    <row r="626" spans="1:30">
      <c r="A626" s="3045" t="s">
        <v>18428</v>
      </c>
      <c r="B626" s="3020" t="s">
        <v>18624</v>
      </c>
      <c r="C626" s="3046" t="s">
        <v>58</v>
      </c>
      <c r="D626" s="3046" t="s">
        <v>15443</v>
      </c>
      <c r="E626" s="3046" t="s">
        <v>13951</v>
      </c>
      <c r="F626" s="3026" t="s">
        <v>18625</v>
      </c>
      <c r="G626" s="3046"/>
      <c r="H626" s="3020"/>
      <c r="I626" s="3020" t="s">
        <v>15448</v>
      </c>
      <c r="J626" s="3046" t="s">
        <v>275</v>
      </c>
      <c r="K626" s="3046" t="s">
        <v>18440</v>
      </c>
      <c r="L626" s="1874">
        <v>231896</v>
      </c>
      <c r="M626" s="3046" t="s">
        <v>112</v>
      </c>
      <c r="N626" s="3045">
        <v>45573</v>
      </c>
      <c r="O626" s="3045">
        <v>45586</v>
      </c>
      <c r="P626" s="3045"/>
      <c r="Q626" s="3020"/>
      <c r="R626" s="3046"/>
      <c r="S626" s="1874"/>
      <c r="T626" s="1874"/>
      <c r="U626" s="1490"/>
      <c r="V626" s="1490"/>
      <c r="W626" s="1490"/>
      <c r="X626" s="3280"/>
      <c r="Y626" s="1874"/>
      <c r="Z626" s="3045"/>
      <c r="AA626" s="3045"/>
      <c r="AB626" s="3045"/>
      <c r="AC626" s="2976"/>
      <c r="AD626" s="2976"/>
    </row>
    <row r="627" spans="1:30" ht="15.75" thickBot="1">
      <c r="A627" s="3060">
        <v>45574</v>
      </c>
      <c r="B627" s="3003" t="s">
        <v>18683</v>
      </c>
      <c r="C627" s="3002" t="s">
        <v>58</v>
      </c>
      <c r="D627" s="3002" t="s">
        <v>15443</v>
      </c>
      <c r="E627" s="3002" t="s">
        <v>655</v>
      </c>
      <c r="F627" s="3418" t="s">
        <v>18691</v>
      </c>
      <c r="G627" s="3002"/>
      <c r="H627" s="3003"/>
      <c r="I627" s="3003" t="s">
        <v>15448</v>
      </c>
      <c r="J627" s="3002" t="s">
        <v>4313</v>
      </c>
      <c r="K627" s="3002"/>
      <c r="L627" s="2093">
        <v>72000</v>
      </c>
      <c r="M627" s="3002" t="s">
        <v>112</v>
      </c>
      <c r="N627" s="3060">
        <v>45580</v>
      </c>
      <c r="O627" s="3060">
        <v>45594</v>
      </c>
      <c r="P627" s="3060"/>
      <c r="Q627" s="3003"/>
      <c r="R627" s="3002"/>
      <c r="S627" s="2093"/>
      <c r="T627" s="2093"/>
      <c r="U627" s="2095"/>
      <c r="V627" s="2095"/>
      <c r="W627" s="2095"/>
      <c r="X627" s="3014"/>
      <c r="Y627" s="2093"/>
      <c r="Z627" s="3060"/>
      <c r="AA627" s="3060"/>
      <c r="AB627" s="3060"/>
      <c r="AC627" s="2976"/>
      <c r="AD627" s="2976"/>
    </row>
    <row r="628" spans="1:30" ht="15.75" thickTop="1">
      <c r="A628" s="3038">
        <v>45569</v>
      </c>
      <c r="B628" s="3039" t="s">
        <v>18660</v>
      </c>
      <c r="C628" s="3040" t="s">
        <v>2434</v>
      </c>
      <c r="D628" s="3040" t="s">
        <v>3204</v>
      </c>
      <c r="E628" s="3040" t="s">
        <v>18336</v>
      </c>
      <c r="F628" s="3041" t="s">
        <v>18662</v>
      </c>
      <c r="G628" s="3040">
        <v>1</v>
      </c>
      <c r="H628" s="3039" t="s">
        <v>10015</v>
      </c>
      <c r="I628" s="3039" t="s">
        <v>15448</v>
      </c>
      <c r="J628" s="3040" t="s">
        <v>642</v>
      </c>
      <c r="K628" s="3040"/>
      <c r="L628" s="588">
        <v>2309500</v>
      </c>
      <c r="M628" s="3040" t="s">
        <v>251</v>
      </c>
      <c r="N628" s="3038">
        <v>45575</v>
      </c>
      <c r="O628" s="3038">
        <v>45610</v>
      </c>
      <c r="P628" s="3038"/>
      <c r="Q628" s="3039"/>
      <c r="R628" s="3040"/>
      <c r="S628" s="588"/>
      <c r="T628" s="588"/>
      <c r="U628" s="1483"/>
      <c r="V628" s="1483"/>
      <c r="W628" s="1483"/>
      <c r="X628" s="3001"/>
      <c r="Y628" s="588"/>
      <c r="Z628" s="3038"/>
      <c r="AA628" s="3038"/>
      <c r="AB628" s="3038"/>
      <c r="AC628" s="2976"/>
      <c r="AD628" s="2976"/>
    </row>
    <row r="629" spans="1:30" ht="15.75" thickBot="1">
      <c r="A629" s="3060">
        <v>45569</v>
      </c>
      <c r="B629" s="3003" t="s">
        <v>18661</v>
      </c>
      <c r="C629" s="3002" t="s">
        <v>2434</v>
      </c>
      <c r="D629" s="3002" t="s">
        <v>3204</v>
      </c>
      <c r="E629" s="3002" t="s">
        <v>18336</v>
      </c>
      <c r="F629" s="3079" t="s">
        <v>18662</v>
      </c>
      <c r="G629" s="3002">
        <v>2</v>
      </c>
      <c r="H629" s="3003" t="s">
        <v>10017</v>
      </c>
      <c r="I629" s="3003" t="s">
        <v>15448</v>
      </c>
      <c r="J629" s="3002" t="s">
        <v>642</v>
      </c>
      <c r="K629" s="3002"/>
      <c r="L629" s="2093">
        <v>704000</v>
      </c>
      <c r="M629" s="3002" t="s">
        <v>251</v>
      </c>
      <c r="N629" s="3060">
        <v>45575</v>
      </c>
      <c r="O629" s="3060">
        <v>45610</v>
      </c>
      <c r="P629" s="3060"/>
      <c r="Q629" s="3003"/>
      <c r="R629" s="3002"/>
      <c r="S629" s="2093"/>
      <c r="T629" s="2093"/>
      <c r="U629" s="2095"/>
      <c r="V629" s="2095"/>
      <c r="W629" s="2095"/>
      <c r="X629" s="3014"/>
      <c r="Y629" s="2093"/>
      <c r="Z629" s="3060"/>
      <c r="AA629" s="3060"/>
      <c r="AB629" s="3060"/>
      <c r="AC629" s="2976"/>
      <c r="AD629" s="2976"/>
    </row>
    <row r="630" spans="1:30" ht="15.75" thickTop="1">
      <c r="A630" s="3409">
        <v>45568</v>
      </c>
      <c r="B630" s="3410" t="s">
        <v>18645</v>
      </c>
      <c r="C630" s="3411" t="s">
        <v>16688</v>
      </c>
      <c r="D630" s="3411" t="s">
        <v>361</v>
      </c>
      <c r="E630" s="3411" t="s">
        <v>13950</v>
      </c>
      <c r="F630" s="3412" t="s">
        <v>18646</v>
      </c>
      <c r="G630" s="3411"/>
      <c r="H630" s="3410"/>
      <c r="I630" s="3410" t="s">
        <v>17975</v>
      </c>
      <c r="J630" s="3411" t="s">
        <v>498</v>
      </c>
      <c r="K630" s="3411"/>
      <c r="L630" s="2405">
        <v>3900000</v>
      </c>
      <c r="M630" s="3411" t="s">
        <v>251</v>
      </c>
      <c r="N630" s="3409"/>
      <c r="O630" s="3409"/>
      <c r="P630" s="3409"/>
      <c r="Q630" s="3410"/>
      <c r="R630" s="3411"/>
      <c r="S630" s="2405"/>
      <c r="T630" s="2405"/>
      <c r="U630" s="2305"/>
      <c r="V630" s="2305"/>
      <c r="W630" s="2305"/>
      <c r="X630" s="3414"/>
      <c r="Y630" s="2405"/>
      <c r="Z630" s="3409"/>
      <c r="AA630" s="3409"/>
      <c r="AB630" s="3409"/>
      <c r="AC630" s="2976"/>
      <c r="AD630" s="2976"/>
    </row>
    <row r="631" spans="1:30">
      <c r="A631" s="3042">
        <v>45567</v>
      </c>
      <c r="B631" s="3043" t="s">
        <v>18627</v>
      </c>
      <c r="C631" s="3044" t="s">
        <v>16688</v>
      </c>
      <c r="D631" s="3044" t="s">
        <v>361</v>
      </c>
      <c r="E631" s="3044" t="s">
        <v>655</v>
      </c>
      <c r="F631" s="1702" t="s">
        <v>18628</v>
      </c>
      <c r="G631" s="3044"/>
      <c r="H631" s="3043"/>
      <c r="I631" s="3043" t="s">
        <v>15448</v>
      </c>
      <c r="J631" s="3044" t="s">
        <v>1438</v>
      </c>
      <c r="K631" s="3044"/>
      <c r="L631" s="2092">
        <v>1300000</v>
      </c>
      <c r="M631" s="3044" t="s">
        <v>112</v>
      </c>
      <c r="N631" s="3042">
        <v>45572</v>
      </c>
      <c r="O631" s="3042">
        <v>45583</v>
      </c>
      <c r="P631" s="3042"/>
      <c r="Q631" s="3043"/>
      <c r="R631" s="3044"/>
      <c r="S631" s="2092"/>
      <c r="T631" s="2092"/>
      <c r="U631" s="2094"/>
      <c r="V631" s="2094"/>
      <c r="W631" s="2094"/>
      <c r="X631" s="2456"/>
      <c r="Y631" s="3016"/>
      <c r="Z631" s="3042"/>
      <c r="AA631" s="3042"/>
      <c r="AB631" s="3042"/>
      <c r="AC631" s="2976"/>
      <c r="AD631" s="2976"/>
    </row>
    <row r="632" spans="1:30">
      <c r="A632" s="3042">
        <v>45567</v>
      </c>
      <c r="B632" s="3043" t="s">
        <v>18633</v>
      </c>
      <c r="C632" s="3044" t="s">
        <v>16688</v>
      </c>
      <c r="D632" s="3044" t="s">
        <v>361</v>
      </c>
      <c r="E632" s="3044" t="s">
        <v>13951</v>
      </c>
      <c r="F632" s="3344" t="s">
        <v>18634</v>
      </c>
      <c r="G632" s="3044"/>
      <c r="H632" s="3043"/>
      <c r="I632" s="3043" t="s">
        <v>15448</v>
      </c>
      <c r="J632" s="3044" t="s">
        <v>18635</v>
      </c>
      <c r="K632" s="3044"/>
      <c r="L632" s="2092">
        <v>2000000</v>
      </c>
      <c r="M632" s="3044" t="s">
        <v>112</v>
      </c>
      <c r="N632" s="3042">
        <v>45574</v>
      </c>
      <c r="O632" s="3042">
        <v>45586</v>
      </c>
      <c r="P632" s="3042"/>
      <c r="Q632" s="3043"/>
      <c r="R632" s="3044"/>
      <c r="S632" s="2092"/>
      <c r="T632" s="2092"/>
      <c r="U632" s="2094"/>
      <c r="V632" s="2094"/>
      <c r="W632" s="2094"/>
      <c r="X632" s="2456"/>
      <c r="Y632" s="2092"/>
      <c r="Z632" s="3042"/>
      <c r="AA632" s="3042"/>
      <c r="AB632" s="3042"/>
      <c r="AC632" s="2976"/>
      <c r="AD632" s="2976"/>
    </row>
    <row r="633" spans="1:30">
      <c r="A633" s="3042">
        <v>45567</v>
      </c>
      <c r="B633" s="3043" t="s">
        <v>18638</v>
      </c>
      <c r="C633" s="3044" t="s">
        <v>2434</v>
      </c>
      <c r="D633" s="3044" t="s">
        <v>219</v>
      </c>
      <c r="E633" s="3044" t="s">
        <v>655</v>
      </c>
      <c r="F633" s="3021" t="s">
        <v>18639</v>
      </c>
      <c r="G633" s="3044"/>
      <c r="H633" s="3043"/>
      <c r="I633" s="3043" t="s">
        <v>15448</v>
      </c>
      <c r="J633" s="3064" t="s">
        <v>642</v>
      </c>
      <c r="K633" s="3044"/>
      <c r="L633" s="2092">
        <v>932400</v>
      </c>
      <c r="M633" s="3044" t="s">
        <v>112</v>
      </c>
      <c r="N633" s="3042">
        <v>45569</v>
      </c>
      <c r="O633" s="3042">
        <v>45581</v>
      </c>
      <c r="P633" s="3042"/>
      <c r="Q633" s="3043"/>
      <c r="R633" s="3044"/>
      <c r="S633" s="2092"/>
      <c r="T633" s="2092"/>
      <c r="U633" s="2094"/>
      <c r="V633" s="2094"/>
      <c r="W633" s="2094"/>
      <c r="X633" s="2456"/>
      <c r="Y633" s="2092"/>
      <c r="Z633" s="3042"/>
      <c r="AA633" s="3042"/>
      <c r="AB633" s="3044"/>
      <c r="AC633" s="2976"/>
      <c r="AD633" s="2976"/>
    </row>
    <row r="634" spans="1:30">
      <c r="A634" s="3128" t="s">
        <v>18469</v>
      </c>
      <c r="B634" s="3129" t="s">
        <v>18647</v>
      </c>
      <c r="C634" s="3130" t="s">
        <v>16536</v>
      </c>
      <c r="D634" s="3130" t="s">
        <v>15131</v>
      </c>
      <c r="E634" s="3130" t="s">
        <v>13949</v>
      </c>
      <c r="F634" s="3408" t="s">
        <v>18663</v>
      </c>
      <c r="G634" s="3130"/>
      <c r="H634" s="3129"/>
      <c r="I634" s="3129" t="s">
        <v>17975</v>
      </c>
      <c r="J634" s="3422" t="s">
        <v>671</v>
      </c>
      <c r="K634" s="3130"/>
      <c r="L634" s="2387">
        <v>1940000</v>
      </c>
      <c r="M634" s="3130" t="s">
        <v>251</v>
      </c>
      <c r="N634" s="3128"/>
      <c r="O634" s="3128"/>
      <c r="P634" s="3128"/>
      <c r="Q634" s="3129"/>
      <c r="R634" s="3130"/>
      <c r="S634" s="2387"/>
      <c r="T634" s="2387"/>
      <c r="U634" s="2080"/>
      <c r="V634" s="2080"/>
      <c r="W634" s="2080"/>
      <c r="X634" s="3322"/>
      <c r="Y634" s="2387"/>
      <c r="Z634" s="3128"/>
      <c r="AA634" s="3128"/>
      <c r="AB634" s="3130"/>
      <c r="AC634" s="2976"/>
      <c r="AD634" s="2976"/>
    </row>
    <row r="635" spans="1:30">
      <c r="A635" s="3042">
        <v>45568</v>
      </c>
      <c r="B635" s="3043" t="s">
        <v>18642</v>
      </c>
      <c r="C635" s="3044" t="s">
        <v>2434</v>
      </c>
      <c r="D635" s="3044" t="s">
        <v>3204</v>
      </c>
      <c r="E635" s="3044" t="s">
        <v>18336</v>
      </c>
      <c r="F635" s="3021" t="s">
        <v>18643</v>
      </c>
      <c r="G635" s="3044"/>
      <c r="H635" s="3043"/>
      <c r="I635" s="3043" t="s">
        <v>15448</v>
      </c>
      <c r="J635" s="3044" t="s">
        <v>642</v>
      </c>
      <c r="K635" s="3044"/>
      <c r="L635" s="2092">
        <v>13298000</v>
      </c>
      <c r="M635" s="3044" t="s">
        <v>251</v>
      </c>
      <c r="N635" s="3042">
        <v>45575</v>
      </c>
      <c r="O635" s="3042">
        <v>45610</v>
      </c>
      <c r="P635" s="3042"/>
      <c r="Q635" s="3043"/>
      <c r="R635" s="3044"/>
      <c r="S635" s="2092"/>
      <c r="T635" s="2092"/>
      <c r="U635" s="2094"/>
      <c r="V635" s="2094"/>
      <c r="W635" s="2094"/>
      <c r="X635" s="2456"/>
      <c r="Y635" s="2092"/>
      <c r="Z635" s="3042"/>
      <c r="AA635" s="3042"/>
      <c r="AB635" s="3044"/>
      <c r="AC635" s="2976"/>
      <c r="AD635" s="2976"/>
    </row>
    <row r="636" spans="1:30">
      <c r="A636" s="3042">
        <v>45568</v>
      </c>
      <c r="B636" s="3043" t="s">
        <v>18650</v>
      </c>
      <c r="C636" s="3044" t="s">
        <v>2434</v>
      </c>
      <c r="D636" s="3044" t="s">
        <v>219</v>
      </c>
      <c r="E636" s="3044" t="s">
        <v>655</v>
      </c>
      <c r="F636" s="3305" t="s">
        <v>18651</v>
      </c>
      <c r="G636" s="3044"/>
      <c r="H636" s="3043"/>
      <c r="I636" s="3043" t="s">
        <v>15448</v>
      </c>
      <c r="J636" s="3044" t="s">
        <v>3271</v>
      </c>
      <c r="K636" s="3044"/>
      <c r="L636" s="2092">
        <v>777600</v>
      </c>
      <c r="M636" s="3044" t="s">
        <v>112</v>
      </c>
      <c r="N636" s="3042">
        <v>45573</v>
      </c>
      <c r="O636" s="3042">
        <v>45586</v>
      </c>
      <c r="P636" s="3042"/>
      <c r="Q636" s="3043"/>
      <c r="R636" s="3044"/>
      <c r="S636" s="2092"/>
      <c r="T636" s="2092"/>
      <c r="U636" s="2094"/>
      <c r="V636" s="2094"/>
      <c r="W636" s="2094"/>
      <c r="X636" s="2456"/>
      <c r="Y636" s="2092"/>
      <c r="Z636" s="3042"/>
      <c r="AA636" s="3042"/>
      <c r="AB636" s="3044"/>
      <c r="AC636" s="2976"/>
      <c r="AD636" s="2976"/>
    </row>
    <row r="637" spans="1:30">
      <c r="A637" s="3086">
        <v>45568</v>
      </c>
      <c r="B637" s="2966" t="s">
        <v>18648</v>
      </c>
      <c r="C637" s="2976" t="s">
        <v>16536</v>
      </c>
      <c r="D637" s="2976" t="s">
        <v>15131</v>
      </c>
      <c r="E637" s="2976" t="s">
        <v>13949</v>
      </c>
      <c r="F637" s="2973" t="s">
        <v>18649</v>
      </c>
      <c r="G637" s="2976"/>
      <c r="H637" s="2966"/>
      <c r="I637" s="2966" t="s">
        <v>15370</v>
      </c>
      <c r="J637" s="2976" t="s">
        <v>17427</v>
      </c>
      <c r="K637" s="2976"/>
      <c r="L637" s="2961">
        <v>2113221</v>
      </c>
      <c r="M637" s="2976" t="s">
        <v>251</v>
      </c>
      <c r="N637" s="3086"/>
      <c r="O637" s="3086"/>
      <c r="P637" s="3086"/>
      <c r="Q637" s="2966"/>
      <c r="R637" s="2966"/>
      <c r="S637" s="2961"/>
      <c r="T637" s="2961"/>
      <c r="U637" s="2923"/>
      <c r="V637" s="2923"/>
      <c r="W637" s="2923"/>
      <c r="X637" s="2962"/>
      <c r="Y637" s="2961"/>
      <c r="Z637" s="3086"/>
      <c r="AA637" s="3086"/>
      <c r="AB637" s="3086"/>
      <c r="AC637" s="2976"/>
      <c r="AD637" s="2976"/>
    </row>
    <row r="638" spans="1:30">
      <c r="A638" s="3042">
        <v>45569</v>
      </c>
      <c r="B638" s="3043" t="s">
        <v>18664</v>
      </c>
      <c r="C638" s="3044" t="s">
        <v>16688</v>
      </c>
      <c r="D638" s="3044" t="s">
        <v>361</v>
      </c>
      <c r="E638" s="3044" t="s">
        <v>13951</v>
      </c>
      <c r="F638" s="3021" t="s">
        <v>18665</v>
      </c>
      <c r="G638" s="3044"/>
      <c r="H638" s="3043"/>
      <c r="I638" s="3043" t="s">
        <v>15448</v>
      </c>
      <c r="J638" s="3044" t="s">
        <v>18666</v>
      </c>
      <c r="K638" s="3044"/>
      <c r="L638" s="2092">
        <v>1400000</v>
      </c>
      <c r="M638" s="3044" t="s">
        <v>112</v>
      </c>
      <c r="N638" s="3042">
        <v>45574</v>
      </c>
      <c r="O638" s="3042">
        <v>45586</v>
      </c>
      <c r="P638" s="3044"/>
      <c r="Q638" s="3043"/>
      <c r="R638" s="3044"/>
      <c r="S638" s="2092"/>
      <c r="T638" s="2092"/>
      <c r="U638" s="2094"/>
      <c r="V638" s="2094"/>
      <c r="W638" s="2094"/>
      <c r="X638" s="2092"/>
      <c r="Y638" s="2092"/>
      <c r="Z638" s="3044"/>
      <c r="AA638" s="3044"/>
      <c r="AB638" s="3044"/>
      <c r="AC638" s="2976"/>
      <c r="AD638" s="2976"/>
    </row>
    <row r="639" spans="1:30">
      <c r="A639" s="3128">
        <v>45572</v>
      </c>
      <c r="B639" s="3129" t="s">
        <v>18669</v>
      </c>
      <c r="C639" s="3130" t="s">
        <v>2434</v>
      </c>
      <c r="D639" s="3130" t="s">
        <v>219</v>
      </c>
      <c r="E639" s="3130" t="s">
        <v>15813</v>
      </c>
      <c r="F639" s="1870" t="s">
        <v>18670</v>
      </c>
      <c r="G639" s="3130"/>
      <c r="H639" s="3129"/>
      <c r="I639" s="3129" t="s">
        <v>17975</v>
      </c>
      <c r="J639" s="3130" t="s">
        <v>642</v>
      </c>
      <c r="K639" s="3128"/>
      <c r="L639" s="2387">
        <v>2143000</v>
      </c>
      <c r="M639" s="3130" t="s">
        <v>251</v>
      </c>
      <c r="N639" s="3128"/>
      <c r="O639" s="3128"/>
      <c r="P639" s="3128"/>
      <c r="Q639" s="3129"/>
      <c r="R639" s="3130"/>
      <c r="S639" s="2387"/>
      <c r="T639" s="2387"/>
      <c r="U639" s="2080"/>
      <c r="V639" s="2080"/>
      <c r="W639" s="2080"/>
      <c r="X639" s="3322"/>
      <c r="Y639" s="2387"/>
      <c r="Z639" s="3128"/>
      <c r="AA639" s="3128"/>
      <c r="AB639" s="3130"/>
      <c r="AC639" s="2976"/>
      <c r="AD639" s="2976"/>
    </row>
    <row r="640" spans="1:30">
      <c r="A640" s="3042">
        <v>45574</v>
      </c>
      <c r="B640" s="3043" t="s">
        <v>18686</v>
      </c>
      <c r="C640" s="3044" t="s">
        <v>2434</v>
      </c>
      <c r="D640" s="3044" t="s">
        <v>219</v>
      </c>
      <c r="E640" s="3044" t="s">
        <v>18336</v>
      </c>
      <c r="F640" s="3021" t="s">
        <v>18687</v>
      </c>
      <c r="G640" s="3044"/>
      <c r="H640" s="3043"/>
      <c r="I640" s="3043" t="s">
        <v>15448</v>
      </c>
      <c r="J640" s="3044" t="s">
        <v>18688</v>
      </c>
      <c r="K640" s="3044"/>
      <c r="L640" s="2092">
        <v>2323660</v>
      </c>
      <c r="M640" s="3044" t="s">
        <v>251</v>
      </c>
      <c r="N640" s="3042">
        <v>45580</v>
      </c>
      <c r="O640" s="3042">
        <v>45615</v>
      </c>
      <c r="P640" s="3042"/>
      <c r="Q640" s="3043"/>
      <c r="R640" s="3044"/>
      <c r="S640" s="2092"/>
      <c r="T640" s="2092"/>
      <c r="U640" s="2094"/>
      <c r="V640" s="2094"/>
      <c r="W640" s="2094"/>
      <c r="X640" s="2456"/>
      <c r="Y640" s="3016"/>
      <c r="Z640" s="3042"/>
      <c r="AA640" s="3042"/>
      <c r="AB640" s="3042"/>
      <c r="AC640" s="2976"/>
      <c r="AD640" s="2976"/>
    </row>
    <row r="641" spans="1:30">
      <c r="A641" s="3086">
        <v>45579</v>
      </c>
      <c r="B641" s="2966" t="s">
        <v>18702</v>
      </c>
      <c r="C641" s="2976" t="s">
        <v>52</v>
      </c>
      <c r="D641" s="2976" t="s">
        <v>7503</v>
      </c>
      <c r="E641" s="2976" t="s">
        <v>13950</v>
      </c>
      <c r="F641" s="1944" t="s">
        <v>18703</v>
      </c>
      <c r="G641" s="2976"/>
      <c r="H641" s="2966"/>
      <c r="I641" s="2966" t="s">
        <v>15370</v>
      </c>
      <c r="J641" s="2976" t="s">
        <v>33</v>
      </c>
      <c r="K641" s="2976" t="s">
        <v>15969</v>
      </c>
      <c r="L641" s="2961">
        <v>28500000</v>
      </c>
      <c r="M641" s="2976" t="s">
        <v>216</v>
      </c>
      <c r="N641" s="3086"/>
      <c r="O641" s="3086"/>
      <c r="P641" s="3086"/>
      <c r="Q641" s="2966"/>
      <c r="R641" s="2976"/>
      <c r="S641" s="2961"/>
      <c r="T641" s="2961"/>
      <c r="U641" s="2923"/>
      <c r="V641" s="2923"/>
      <c r="W641" s="2923"/>
      <c r="X641" s="2962"/>
      <c r="Y641" s="2971"/>
      <c r="Z641" s="3086"/>
      <c r="AA641" s="3086"/>
      <c r="AB641" s="3086"/>
      <c r="AC641" s="2976"/>
      <c r="AD641" s="2976"/>
    </row>
    <row r="642" spans="1:30">
      <c r="A642" s="3423">
        <v>45575</v>
      </c>
      <c r="B642" s="3424" t="s">
        <v>18694</v>
      </c>
      <c r="C642" s="3065" t="s">
        <v>16536</v>
      </c>
      <c r="D642" s="3065" t="s">
        <v>15129</v>
      </c>
      <c r="E642" s="3065" t="s">
        <v>15813</v>
      </c>
      <c r="F642" s="3425" t="s">
        <v>18695</v>
      </c>
      <c r="G642" s="3065"/>
      <c r="H642" s="3424"/>
      <c r="I642" s="3424" t="s">
        <v>15370</v>
      </c>
      <c r="J642" s="3065" t="s">
        <v>68</v>
      </c>
      <c r="K642" s="3065"/>
      <c r="L642" s="971">
        <v>12692322</v>
      </c>
      <c r="M642" s="3065" t="s">
        <v>251</v>
      </c>
      <c r="N642" s="3423"/>
      <c r="O642" s="3423"/>
      <c r="P642" s="3423"/>
      <c r="Q642" s="3424"/>
      <c r="R642" s="3065"/>
      <c r="S642" s="971"/>
      <c r="T642" s="971"/>
      <c r="U642" s="3434"/>
      <c r="V642" s="3434"/>
      <c r="W642" s="3434"/>
      <c r="X642" s="3426"/>
      <c r="Y642" s="3427"/>
      <c r="Z642" s="3423"/>
      <c r="AA642" s="3423"/>
      <c r="AB642" s="3423"/>
      <c r="AC642" s="2976"/>
      <c r="AD642" s="2976"/>
    </row>
    <row r="643" spans="1:30">
      <c r="A643" s="3423">
        <v>45580</v>
      </c>
      <c r="B643" s="3424" t="s">
        <v>18728</v>
      </c>
      <c r="C643" s="3065" t="s">
        <v>52</v>
      </c>
      <c r="D643" s="3065" t="s">
        <v>18069</v>
      </c>
      <c r="E643" s="3065" t="s">
        <v>13951</v>
      </c>
      <c r="F643" s="3425" t="s">
        <v>18729</v>
      </c>
      <c r="G643" s="3065"/>
      <c r="H643" s="3424"/>
      <c r="I643" s="3424" t="s">
        <v>15370</v>
      </c>
      <c r="J643" s="3065" t="s">
        <v>12602</v>
      </c>
      <c r="K643" s="3065" t="s">
        <v>18727</v>
      </c>
      <c r="L643" s="971">
        <v>1033000</v>
      </c>
      <c r="M643" s="3065" t="s">
        <v>112</v>
      </c>
      <c r="N643" s="3423"/>
      <c r="O643" s="3423"/>
      <c r="P643" s="3423"/>
      <c r="Q643" s="3424"/>
      <c r="R643" s="3065"/>
      <c r="S643" s="971"/>
      <c r="T643" s="971"/>
      <c r="U643" s="3434"/>
      <c r="V643" s="3434"/>
      <c r="W643" s="3434"/>
      <c r="X643" s="3426"/>
      <c r="Y643" s="3427"/>
      <c r="Z643" s="3423"/>
      <c r="AA643" s="3423"/>
      <c r="AB643" s="3423"/>
      <c r="AC643" s="2976"/>
      <c r="AD643" s="2976"/>
    </row>
    <row r="644" spans="1:30">
      <c r="A644" s="3086">
        <v>45580</v>
      </c>
      <c r="B644" s="2966" t="s">
        <v>18740</v>
      </c>
      <c r="C644" s="2976" t="s">
        <v>16536</v>
      </c>
      <c r="D644" s="2976" t="s">
        <v>15131</v>
      </c>
      <c r="E644" s="2976" t="s">
        <v>15813</v>
      </c>
      <c r="F644" s="2973" t="s">
        <v>18743</v>
      </c>
      <c r="G644" s="2976"/>
      <c r="H644" s="2966"/>
      <c r="I644" s="2966" t="s">
        <v>15370</v>
      </c>
      <c r="J644" s="2976" t="s">
        <v>93</v>
      </c>
      <c r="K644" s="2976"/>
      <c r="L644" s="2961">
        <v>158522697</v>
      </c>
      <c r="M644" s="2976" t="s">
        <v>251</v>
      </c>
      <c r="N644" s="3086"/>
      <c r="O644" s="3086"/>
      <c r="P644" s="3086"/>
      <c r="Q644" s="2966"/>
      <c r="R644" s="2976"/>
      <c r="S644" s="2961"/>
      <c r="T644" s="2961"/>
      <c r="U644" s="2923"/>
      <c r="V644" s="2923"/>
      <c r="W644" s="2923"/>
      <c r="X644" s="2962"/>
      <c r="Y644" s="2971"/>
      <c r="Z644" s="3086"/>
      <c r="AA644" s="3086"/>
      <c r="AB644" s="3086"/>
      <c r="AC644" s="2976"/>
      <c r="AD644" s="2976"/>
    </row>
    <row r="645" spans="1:30">
      <c r="A645" s="3423">
        <v>45580</v>
      </c>
      <c r="B645" s="3424" t="s">
        <v>18741</v>
      </c>
      <c r="C645" s="3065" t="s">
        <v>16536</v>
      </c>
      <c r="D645" s="3065" t="s">
        <v>15131</v>
      </c>
      <c r="E645" s="3065" t="s">
        <v>18336</v>
      </c>
      <c r="F645" s="3425" t="s">
        <v>18742</v>
      </c>
      <c r="G645" s="3065"/>
      <c r="H645" s="3424"/>
      <c r="I645" s="3424" t="s">
        <v>15370</v>
      </c>
      <c r="J645" s="3065" t="s">
        <v>93</v>
      </c>
      <c r="K645" s="3065"/>
      <c r="L645" s="971">
        <v>11677756</v>
      </c>
      <c r="M645" s="3065" t="s">
        <v>251</v>
      </c>
      <c r="N645" s="3423"/>
      <c r="O645" s="3423"/>
      <c r="P645" s="3423"/>
      <c r="Q645" s="3424"/>
      <c r="R645" s="3065"/>
      <c r="S645" s="971"/>
      <c r="T645" s="971"/>
      <c r="U645" s="3434"/>
      <c r="V645" s="3434"/>
      <c r="W645" s="3434"/>
      <c r="X645" s="3426"/>
      <c r="Y645" s="3427"/>
      <c r="Z645" s="3423"/>
      <c r="AA645" s="3423"/>
      <c r="AB645" s="3423"/>
      <c r="AC645" s="2976"/>
      <c r="AD645" s="2976"/>
    </row>
    <row r="646" spans="1:30" ht="15.75" thickBot="1">
      <c r="A646" s="3261">
        <v>45580</v>
      </c>
      <c r="B646" s="3262" t="s">
        <v>18744</v>
      </c>
      <c r="C646" s="3059" t="s">
        <v>16536</v>
      </c>
      <c r="D646" s="3059" t="s">
        <v>15131</v>
      </c>
      <c r="E646" s="3059" t="s">
        <v>18336</v>
      </c>
      <c r="F646" s="3263" t="s">
        <v>18745</v>
      </c>
      <c r="G646" s="3059"/>
      <c r="H646" s="3262"/>
      <c r="I646" s="3262" t="s">
        <v>15370</v>
      </c>
      <c r="J646" s="3059" t="s">
        <v>93</v>
      </c>
      <c r="K646" s="3059"/>
      <c r="L646" s="3264">
        <v>9048020</v>
      </c>
      <c r="M646" s="3059" t="s">
        <v>251</v>
      </c>
      <c r="N646" s="3261"/>
      <c r="O646" s="3261"/>
      <c r="P646" s="3261"/>
      <c r="Q646" s="3262"/>
      <c r="R646" s="3059"/>
      <c r="S646" s="3264"/>
      <c r="T646" s="3264"/>
      <c r="U646" s="2924"/>
      <c r="V646" s="2924"/>
      <c r="W646" s="2924"/>
      <c r="X646" s="3269"/>
      <c r="Y646" s="3320"/>
      <c r="Z646" s="3261"/>
      <c r="AA646" s="3261"/>
      <c r="AB646" s="3261"/>
      <c r="AC646" s="2976"/>
      <c r="AD646" s="2976"/>
    </row>
    <row r="647" spans="1:30" ht="15.75" thickTop="1">
      <c r="A647" s="3347">
        <v>45580</v>
      </c>
      <c r="B647" s="3348" t="s">
        <v>18711</v>
      </c>
      <c r="C647" s="3078" t="s">
        <v>58</v>
      </c>
      <c r="D647" s="3078" t="s">
        <v>15443</v>
      </c>
      <c r="E647" s="3078" t="s">
        <v>13948</v>
      </c>
      <c r="F647" s="3428" t="s">
        <v>18714</v>
      </c>
      <c r="G647" s="3078">
        <v>1</v>
      </c>
      <c r="H647" s="3348" t="s">
        <v>18716</v>
      </c>
      <c r="I647" s="3348" t="s">
        <v>15370</v>
      </c>
      <c r="J647" s="3078" t="s">
        <v>16806</v>
      </c>
      <c r="K647" s="3078" t="s">
        <v>18715</v>
      </c>
      <c r="L647" s="3349">
        <v>2460000</v>
      </c>
      <c r="M647" s="3078" t="s">
        <v>251</v>
      </c>
      <c r="N647" s="3347"/>
      <c r="O647" s="3347"/>
      <c r="P647" s="3347"/>
      <c r="Q647" s="3348"/>
      <c r="R647" s="3078"/>
      <c r="S647" s="3349"/>
      <c r="T647" s="3349"/>
      <c r="U647" s="3350"/>
      <c r="V647" s="3350"/>
      <c r="W647" s="3350"/>
      <c r="X647" s="3351"/>
      <c r="Y647" s="3349"/>
      <c r="Z647" s="3347"/>
      <c r="AA647" s="3347"/>
      <c r="AB647" s="3078"/>
      <c r="AC647" s="2976"/>
      <c r="AD647" s="2976"/>
    </row>
    <row r="648" spans="1:30">
      <c r="A648" s="3086">
        <v>45580</v>
      </c>
      <c r="B648" s="2966" t="s">
        <v>18712</v>
      </c>
      <c r="C648" s="2976" t="s">
        <v>58</v>
      </c>
      <c r="D648" s="2976" t="s">
        <v>15443</v>
      </c>
      <c r="E648" s="2976" t="s">
        <v>13948</v>
      </c>
      <c r="F648" s="2973" t="s">
        <v>18714</v>
      </c>
      <c r="G648" s="2976">
        <v>2</v>
      </c>
      <c r="H648" s="2966" t="s">
        <v>18717</v>
      </c>
      <c r="I648" s="2966" t="s">
        <v>15370</v>
      </c>
      <c r="J648" s="2976" t="s">
        <v>16806</v>
      </c>
      <c r="K648" s="2976" t="s">
        <v>18718</v>
      </c>
      <c r="L648" s="2961">
        <v>1760000</v>
      </c>
      <c r="M648" s="2976" t="s">
        <v>251</v>
      </c>
      <c r="N648" s="3086"/>
      <c r="O648" s="3086"/>
      <c r="P648" s="3086"/>
      <c r="Q648" s="2966"/>
      <c r="R648" s="2976"/>
      <c r="S648" s="2961"/>
      <c r="T648" s="2961"/>
      <c r="U648" s="2923"/>
      <c r="V648" s="2923"/>
      <c r="W648" s="2923"/>
      <c r="X648" s="2962"/>
      <c r="Y648" s="2961"/>
      <c r="Z648" s="3086"/>
      <c r="AA648" s="3086"/>
      <c r="AB648" s="3086"/>
      <c r="AC648" s="2976"/>
      <c r="AD648" s="2976"/>
    </row>
    <row r="649" spans="1:30">
      <c r="A649" s="3086">
        <v>45580</v>
      </c>
      <c r="B649" s="2966" t="s">
        <v>18713</v>
      </c>
      <c r="C649" s="2976" t="s">
        <v>58</v>
      </c>
      <c r="D649" s="2976" t="s">
        <v>15443</v>
      </c>
      <c r="E649" s="2976" t="s">
        <v>13948</v>
      </c>
      <c r="F649" s="2973" t="s">
        <v>18714</v>
      </c>
      <c r="G649" s="2976">
        <v>3</v>
      </c>
      <c r="H649" s="2966" t="s">
        <v>18722</v>
      </c>
      <c r="I649" s="2966" t="s">
        <v>15370</v>
      </c>
      <c r="J649" s="2976" t="s">
        <v>16806</v>
      </c>
      <c r="K649" s="2976" t="s">
        <v>18719</v>
      </c>
      <c r="L649" s="2961">
        <v>1382240</v>
      </c>
      <c r="M649" s="2976" t="s">
        <v>251</v>
      </c>
      <c r="N649" s="3086"/>
      <c r="O649" s="3086"/>
      <c r="P649" s="2976"/>
      <c r="Q649" s="2972"/>
      <c r="R649" s="2976"/>
      <c r="S649" s="2961"/>
      <c r="T649" s="2961"/>
      <c r="U649" s="2923"/>
      <c r="V649" s="2923"/>
      <c r="W649" s="2923"/>
      <c r="X649" s="2961"/>
      <c r="Y649" s="2961"/>
      <c r="Z649" s="2976"/>
      <c r="AA649" s="3086"/>
      <c r="AB649" s="2976"/>
      <c r="AC649" s="2976"/>
      <c r="AD649" s="2976"/>
    </row>
    <row r="650" spans="1:30" ht="15.75" thickBot="1">
      <c r="A650" s="3261">
        <v>45580</v>
      </c>
      <c r="B650" s="3262" t="s">
        <v>18720</v>
      </c>
      <c r="C650" s="3059" t="s">
        <v>58</v>
      </c>
      <c r="D650" s="3059" t="s">
        <v>15443</v>
      </c>
      <c r="E650" s="3059" t="s">
        <v>13948</v>
      </c>
      <c r="F650" s="3263" t="s">
        <v>18714</v>
      </c>
      <c r="G650" s="3059">
        <v>4</v>
      </c>
      <c r="H650" s="3262" t="s">
        <v>18721</v>
      </c>
      <c r="I650" s="3262" t="s">
        <v>15370</v>
      </c>
      <c r="J650" s="3059" t="s">
        <v>16806</v>
      </c>
      <c r="K650" s="3059"/>
      <c r="L650" s="3264">
        <v>129000</v>
      </c>
      <c r="M650" s="3059" t="s">
        <v>251</v>
      </c>
      <c r="N650" s="3261"/>
      <c r="O650" s="3261"/>
      <c r="P650" s="3261"/>
      <c r="Q650" s="3262"/>
      <c r="R650" s="3059"/>
      <c r="S650" s="3264"/>
      <c r="T650" s="3264"/>
      <c r="U650" s="2923"/>
      <c r="V650" s="2923"/>
      <c r="W650" s="2923"/>
      <c r="X650" s="3269"/>
      <c r="Y650" s="3320"/>
      <c r="Z650" s="3261"/>
      <c r="AA650" s="3261"/>
      <c r="AB650" s="3261"/>
      <c r="AC650" s="2976"/>
      <c r="AD650" s="2976"/>
    </row>
    <row r="651" spans="1:30" ht="15.75" thickTop="1">
      <c r="A651" s="3347">
        <v>45580</v>
      </c>
      <c r="B651" s="3348" t="s">
        <v>18747</v>
      </c>
      <c r="C651" s="3078" t="s">
        <v>6561</v>
      </c>
      <c r="D651" s="3078" t="s">
        <v>4864</v>
      </c>
      <c r="E651" s="3078"/>
      <c r="F651" s="3435" t="s">
        <v>18748</v>
      </c>
      <c r="G651" s="3078"/>
      <c r="H651" s="3348"/>
      <c r="I651" s="3348" t="s">
        <v>15370</v>
      </c>
      <c r="J651" s="3078"/>
      <c r="K651" s="3078"/>
      <c r="L651" s="3349">
        <v>5800000</v>
      </c>
      <c r="M651" s="3078"/>
      <c r="N651" s="3347"/>
      <c r="O651" s="3347"/>
      <c r="P651" s="3347"/>
      <c r="Q651" s="3348"/>
      <c r="R651" s="3078"/>
      <c r="S651" s="3349"/>
      <c r="T651" s="3349"/>
      <c r="U651" s="2923"/>
      <c r="V651" s="2923"/>
      <c r="W651" s="2923"/>
      <c r="X651" s="3351"/>
      <c r="Y651" s="3429"/>
      <c r="Z651" s="3347"/>
      <c r="AA651" s="3347"/>
      <c r="AB651" s="3347"/>
      <c r="AC651" s="2976"/>
      <c r="AD651" s="2976"/>
    </row>
    <row r="652" spans="1:30">
      <c r="A652" s="3086"/>
      <c r="B652" s="2966"/>
      <c r="C652" s="2976"/>
      <c r="D652" s="2976"/>
      <c r="E652" s="2976"/>
      <c r="F652" s="2973"/>
      <c r="G652" s="2976"/>
      <c r="H652" s="2966"/>
      <c r="I652" s="2966"/>
      <c r="J652" s="2976"/>
      <c r="K652" s="2976"/>
      <c r="L652" s="2961"/>
      <c r="M652" s="2976"/>
      <c r="N652" s="3086"/>
      <c r="O652" s="3086"/>
      <c r="P652" s="3086"/>
      <c r="Q652" s="2966"/>
      <c r="R652" s="2976"/>
      <c r="S652" s="2961"/>
      <c r="T652" s="2961"/>
      <c r="U652" s="2923"/>
      <c r="V652" s="2923"/>
      <c r="W652" s="2923"/>
      <c r="X652" s="2962"/>
      <c r="Y652" s="2971"/>
      <c r="Z652" s="3086"/>
      <c r="AA652" s="3086"/>
      <c r="AB652" s="3086"/>
      <c r="AC652" s="2976"/>
      <c r="AD652" s="2976"/>
    </row>
    <row r="653" spans="1:30">
      <c r="A653" s="3086"/>
      <c r="B653" s="2966"/>
      <c r="C653" s="2976"/>
      <c r="D653" s="2976"/>
      <c r="E653" s="2976"/>
      <c r="F653" s="2973"/>
      <c r="G653" s="2976"/>
      <c r="H653" s="2966"/>
      <c r="I653" s="2966"/>
      <c r="J653" s="2976"/>
      <c r="K653" s="2976"/>
      <c r="L653" s="2961"/>
      <c r="M653" s="2976"/>
      <c r="N653" s="3086"/>
      <c r="O653" s="3086"/>
      <c r="P653" s="2976"/>
      <c r="Q653" s="2972"/>
      <c r="R653" s="2739"/>
      <c r="S653" s="2961"/>
      <c r="T653" s="2961"/>
      <c r="U653" s="2923"/>
      <c r="V653" s="2923"/>
      <c r="W653" s="2923"/>
      <c r="X653" s="2961"/>
      <c r="Y653" s="2961"/>
      <c r="Z653" s="2976"/>
      <c r="AA653" s="3086"/>
      <c r="AB653" s="2966"/>
      <c r="AC653" s="2976"/>
      <c r="AD653" s="2976"/>
    </row>
    <row r="654" spans="1:30">
      <c r="A654" s="3086"/>
      <c r="B654" s="2966"/>
      <c r="C654" s="2976"/>
      <c r="D654" s="2976"/>
      <c r="E654" s="2976"/>
      <c r="F654" s="2973"/>
      <c r="G654" s="2976"/>
      <c r="H654" s="2966"/>
      <c r="I654" s="2966"/>
      <c r="J654" s="2976"/>
      <c r="K654" s="2976"/>
      <c r="L654" s="2961"/>
      <c r="M654" s="2976"/>
      <c r="N654" s="3086"/>
      <c r="O654" s="3086"/>
      <c r="P654" s="3086"/>
      <c r="Q654" s="2966"/>
      <c r="R654" s="2976"/>
      <c r="S654" s="2961"/>
      <c r="T654" s="2961"/>
      <c r="U654" s="2923"/>
      <c r="V654" s="2923"/>
      <c r="W654" s="2923"/>
      <c r="X654" s="2962"/>
      <c r="Y654" s="2961"/>
      <c r="Z654" s="3086"/>
      <c r="AA654" s="3086"/>
      <c r="AB654" s="3086"/>
      <c r="AC654" s="2976"/>
      <c r="AD654" s="2976"/>
    </row>
    <row r="655" spans="1:30">
      <c r="A655" s="3086"/>
      <c r="B655" s="2966"/>
      <c r="C655" s="2976"/>
      <c r="D655" s="2976"/>
      <c r="E655" s="2976"/>
      <c r="F655" s="2973"/>
      <c r="G655" s="2976"/>
      <c r="H655" s="2966"/>
      <c r="I655" s="2966"/>
      <c r="J655" s="2976"/>
      <c r="K655" s="2976"/>
      <c r="L655" s="2961"/>
      <c r="M655" s="2976"/>
      <c r="N655" s="3086"/>
      <c r="O655" s="3086"/>
      <c r="P655" s="3086"/>
      <c r="Q655" s="2966"/>
      <c r="R655" s="2976"/>
      <c r="S655" s="2961"/>
      <c r="T655" s="2961"/>
      <c r="U655" s="2923"/>
      <c r="V655" s="2923"/>
      <c r="W655" s="2923"/>
      <c r="X655" s="2962"/>
      <c r="Y655" s="2961"/>
      <c r="Z655" s="3086"/>
      <c r="AA655" s="3086"/>
      <c r="AB655" s="3086"/>
      <c r="AC655" s="2976"/>
      <c r="AD655" s="2976"/>
    </row>
    <row r="656" spans="1:30">
      <c r="A656" s="3086"/>
      <c r="B656" s="2966"/>
      <c r="C656" s="2976"/>
      <c r="D656" s="2976"/>
      <c r="E656" s="2976"/>
      <c r="F656" s="2973"/>
      <c r="G656" s="2976"/>
      <c r="H656" s="2966"/>
      <c r="I656" s="2966"/>
      <c r="J656" s="2976"/>
      <c r="K656" s="2976"/>
      <c r="L656" s="2961"/>
      <c r="M656" s="2976"/>
      <c r="N656" s="3086"/>
      <c r="O656" s="3086"/>
      <c r="P656" s="3086"/>
      <c r="Q656" s="2966"/>
      <c r="R656" s="2976"/>
      <c r="S656" s="2961"/>
      <c r="T656" s="2961"/>
      <c r="U656" s="2923"/>
      <c r="V656" s="2923"/>
      <c r="W656" s="2923"/>
      <c r="X656" s="2962"/>
      <c r="Y656" s="2961"/>
      <c r="Z656" s="3086"/>
      <c r="AA656" s="3086"/>
      <c r="AB656" s="3086"/>
      <c r="AC656" s="2976"/>
      <c r="AD656" s="2976"/>
    </row>
    <row r="657" spans="1:30">
      <c r="A657" s="3086"/>
      <c r="B657" s="2966"/>
      <c r="C657" s="2976"/>
      <c r="D657" s="2976"/>
      <c r="E657" s="2976"/>
      <c r="F657" s="2973"/>
      <c r="G657" s="2976"/>
      <c r="H657" s="2966"/>
      <c r="I657" s="2966"/>
      <c r="J657" s="2976"/>
      <c r="K657" s="2976"/>
      <c r="L657" s="2961"/>
      <c r="M657" s="2976"/>
      <c r="N657" s="3086"/>
      <c r="O657" s="3086"/>
      <c r="P657" s="3086"/>
      <c r="Q657" s="2966"/>
      <c r="R657" s="2976"/>
      <c r="S657" s="2961"/>
      <c r="T657" s="2961"/>
      <c r="U657" s="2923"/>
      <c r="V657" s="2923"/>
      <c r="W657" s="2923"/>
      <c r="X657" s="2962"/>
      <c r="Y657" s="2961"/>
      <c r="Z657" s="3086"/>
      <c r="AA657" s="3086"/>
      <c r="AB657" s="3086"/>
      <c r="AC657" s="2976"/>
      <c r="AD657" s="2976"/>
    </row>
    <row r="658" spans="1:30">
      <c r="A658" s="3086"/>
      <c r="B658" s="2966"/>
      <c r="C658" s="2976"/>
      <c r="D658" s="2976"/>
      <c r="E658" s="2976"/>
      <c r="F658" s="2973"/>
      <c r="G658" s="2976"/>
      <c r="H658" s="2966"/>
      <c r="I658" s="2966"/>
      <c r="J658" s="2976"/>
      <c r="K658" s="2976"/>
      <c r="L658" s="2961"/>
      <c r="M658" s="2976"/>
      <c r="N658" s="3086"/>
      <c r="O658" s="3086"/>
      <c r="P658" s="2976"/>
      <c r="Q658" s="2972"/>
      <c r="R658" s="2739"/>
      <c r="S658" s="2961"/>
      <c r="T658" s="2961"/>
      <c r="U658" s="2923"/>
      <c r="V658" s="2923"/>
      <c r="W658" s="2923"/>
      <c r="X658" s="2961"/>
      <c r="Y658" s="2961"/>
      <c r="Z658" s="2976"/>
      <c r="AA658" s="3086"/>
      <c r="AB658" s="2976"/>
      <c r="AC658" s="2976"/>
      <c r="AD658" s="2976"/>
    </row>
    <row r="659" spans="1:30">
      <c r="A659" s="3086"/>
      <c r="B659" s="2966"/>
      <c r="C659" s="2976"/>
      <c r="D659" s="2976"/>
      <c r="E659" s="2976"/>
      <c r="F659" s="2973"/>
      <c r="G659" s="2976"/>
      <c r="H659" s="2966"/>
      <c r="I659" s="2966"/>
      <c r="J659" s="2976"/>
      <c r="K659" s="2976"/>
      <c r="L659" s="2961"/>
      <c r="M659" s="2976"/>
      <c r="N659" s="3086"/>
      <c r="O659" s="3086"/>
      <c r="P659" s="3086"/>
      <c r="Q659" s="2966"/>
      <c r="R659" s="2976"/>
      <c r="S659" s="2961"/>
      <c r="T659" s="2961"/>
      <c r="U659" s="2923"/>
      <c r="V659" s="2923"/>
      <c r="W659" s="2923"/>
      <c r="X659" s="2962"/>
      <c r="Y659" s="2961"/>
      <c r="Z659" s="3086"/>
      <c r="AA659" s="3086"/>
      <c r="AB659" s="3086"/>
      <c r="AC659" s="2976"/>
      <c r="AD659" s="2976"/>
    </row>
    <row r="660" spans="1:30">
      <c r="A660" s="3086"/>
      <c r="B660" s="2966"/>
      <c r="C660" s="2976"/>
      <c r="D660" s="2976"/>
      <c r="E660" s="2976"/>
      <c r="F660" s="2973"/>
      <c r="G660" s="2976"/>
      <c r="H660" s="2966"/>
      <c r="I660" s="2966"/>
      <c r="J660" s="2976"/>
      <c r="K660" s="2976"/>
      <c r="L660" s="2961"/>
      <c r="M660" s="2976"/>
      <c r="N660" s="3086"/>
      <c r="O660" s="3086"/>
      <c r="P660" s="2976"/>
      <c r="Q660" s="2972"/>
      <c r="R660" s="2976"/>
      <c r="S660" s="2961"/>
      <c r="T660" s="2961"/>
      <c r="U660" s="2923"/>
      <c r="V660" s="2923"/>
      <c r="W660" s="2923"/>
      <c r="X660" s="2961"/>
      <c r="Y660" s="2961"/>
      <c r="Z660" s="2976"/>
      <c r="AA660" s="3086"/>
      <c r="AB660" s="2966"/>
      <c r="AC660" s="2976"/>
      <c r="AD660" s="2976"/>
    </row>
    <row r="661" spans="1:30">
      <c r="A661" s="3086"/>
      <c r="B661" s="2966"/>
      <c r="C661" s="2976"/>
      <c r="D661" s="2976"/>
      <c r="E661" s="2976"/>
      <c r="F661" s="2973"/>
      <c r="G661" s="2976"/>
      <c r="H661" s="2966"/>
      <c r="I661" s="2966"/>
      <c r="J661" s="2976"/>
      <c r="K661" s="2976"/>
      <c r="L661" s="2961"/>
      <c r="M661" s="2976"/>
      <c r="N661" s="3086"/>
      <c r="O661" s="3086"/>
      <c r="P661" s="2976"/>
      <c r="Q661" s="2972"/>
      <c r="R661" s="2739"/>
      <c r="S661" s="2961"/>
      <c r="T661" s="2961"/>
      <c r="U661" s="2923"/>
      <c r="V661" s="2923"/>
      <c r="W661" s="2923"/>
      <c r="X661" s="2961"/>
      <c r="Y661" s="2961"/>
      <c r="Z661" s="2976"/>
      <c r="AA661" s="3086"/>
      <c r="AB661" s="2976"/>
      <c r="AC661" s="2976"/>
      <c r="AD661" s="2976"/>
    </row>
    <row r="662" spans="1:30">
      <c r="A662" s="3086"/>
      <c r="B662" s="2966"/>
      <c r="C662" s="2976"/>
      <c r="D662" s="2976"/>
      <c r="E662" s="2976"/>
      <c r="F662" s="2973"/>
      <c r="G662" s="2976"/>
      <c r="H662" s="2966"/>
      <c r="I662" s="2966"/>
      <c r="J662" s="2976"/>
      <c r="K662" s="2976"/>
      <c r="L662" s="2961"/>
      <c r="M662" s="2976"/>
      <c r="N662" s="3086"/>
      <c r="O662" s="3086"/>
      <c r="P662" s="2976"/>
      <c r="Q662" s="2972"/>
      <c r="R662" s="2976"/>
      <c r="S662" s="2961"/>
      <c r="T662" s="2961"/>
      <c r="U662" s="2923"/>
      <c r="V662" s="2923"/>
      <c r="W662" s="2923"/>
      <c r="X662" s="2961"/>
      <c r="Y662" s="2961"/>
      <c r="Z662" s="2976"/>
      <c r="AA662" s="3086"/>
      <c r="AB662" s="2966"/>
      <c r="AC662" s="2976"/>
      <c r="AD662" s="2976"/>
    </row>
    <row r="663" spans="1:30">
      <c r="A663" s="2963"/>
      <c r="B663" s="2873"/>
      <c r="C663" s="2964"/>
      <c r="D663" s="2964"/>
      <c r="E663" s="2964"/>
      <c r="F663" s="2965"/>
      <c r="G663" s="2964"/>
      <c r="H663" s="2873"/>
      <c r="I663" s="2966"/>
      <c r="J663" s="2964"/>
      <c r="K663" s="2964"/>
      <c r="L663" s="2967"/>
      <c r="M663" s="2964"/>
      <c r="N663" s="2963"/>
      <c r="O663" s="2963"/>
      <c r="P663" s="2964"/>
      <c r="Q663" s="2974"/>
      <c r="R663" s="2964"/>
      <c r="S663" s="2967"/>
      <c r="T663" s="2967"/>
      <c r="U663" s="2968"/>
      <c r="V663" s="2968"/>
      <c r="W663" s="2968"/>
      <c r="X663" s="2967"/>
      <c r="Y663" s="2967"/>
      <c r="Z663" s="2964"/>
      <c r="AA663" s="2963"/>
      <c r="AB663" s="2964"/>
      <c r="AC663" s="2976"/>
      <c r="AD663" s="2976"/>
    </row>
    <row r="664" spans="1:30">
      <c r="A664" s="3086"/>
      <c r="B664" s="2966"/>
      <c r="C664" s="2976"/>
      <c r="D664" s="2976"/>
      <c r="E664" s="2976"/>
      <c r="F664" s="2973"/>
      <c r="G664" s="2976"/>
      <c r="H664" s="2966"/>
      <c r="I664" s="2966"/>
      <c r="J664" s="2976"/>
      <c r="K664" s="2976"/>
      <c r="L664" s="2961"/>
      <c r="M664" s="2976"/>
      <c r="N664" s="3086"/>
      <c r="O664" s="3086"/>
      <c r="P664" s="3086"/>
      <c r="Q664" s="2966"/>
      <c r="R664" s="2976"/>
      <c r="S664" s="2961"/>
      <c r="T664" s="2961"/>
      <c r="U664" s="2923"/>
      <c r="V664" s="2923"/>
      <c r="W664" s="2923"/>
      <c r="X664" s="2962"/>
      <c r="Y664" s="2961"/>
      <c r="Z664" s="3086"/>
      <c r="AA664" s="3086"/>
      <c r="AB664" s="3086"/>
      <c r="AC664" s="2976"/>
      <c r="AD664" s="2976"/>
    </row>
    <row r="665" spans="1:30">
      <c r="A665" s="3086"/>
      <c r="B665" s="2966"/>
      <c r="C665" s="2976"/>
      <c r="D665" s="2976"/>
      <c r="E665" s="2976"/>
      <c r="F665" s="2973"/>
      <c r="G665" s="2976"/>
      <c r="H665" s="2966"/>
      <c r="I665" s="2966"/>
      <c r="J665" s="2976"/>
      <c r="K665" s="2976"/>
      <c r="L665" s="2961"/>
      <c r="M665" s="2976"/>
      <c r="N665" s="3086"/>
      <c r="O665" s="3086"/>
      <c r="P665" s="2976"/>
      <c r="Q665" s="2972"/>
      <c r="R665" s="2976"/>
      <c r="S665" s="2961"/>
      <c r="T665" s="2961"/>
      <c r="U665" s="2923"/>
      <c r="V665" s="2923"/>
      <c r="W665" s="2923"/>
      <c r="X665" s="2961"/>
      <c r="Y665" s="2961"/>
      <c r="Z665" s="2976"/>
      <c r="AA665" s="3086"/>
      <c r="AB665" s="2976"/>
      <c r="AC665" s="2976"/>
      <c r="AD665" s="2976"/>
    </row>
    <row r="666" spans="1:30">
      <c r="A666" s="3086"/>
      <c r="B666" s="2966"/>
      <c r="C666" s="2976"/>
      <c r="D666" s="2976"/>
      <c r="E666" s="2976"/>
      <c r="F666" s="2973"/>
      <c r="G666" s="2976"/>
      <c r="H666" s="2966"/>
      <c r="I666" s="2966"/>
      <c r="J666" s="2976"/>
      <c r="K666" s="2976"/>
      <c r="L666" s="2961"/>
      <c r="M666" s="2976"/>
      <c r="N666" s="3086"/>
      <c r="O666" s="3086"/>
      <c r="P666" s="3086"/>
      <c r="Q666" s="2966"/>
      <c r="R666" s="2976"/>
      <c r="S666" s="2961"/>
      <c r="T666" s="2961"/>
      <c r="U666" s="2923"/>
      <c r="V666" s="2923"/>
      <c r="W666" s="2923"/>
      <c r="X666" s="2962"/>
      <c r="Y666" s="2961"/>
      <c r="Z666" s="3086"/>
      <c r="AA666" s="3086"/>
      <c r="AB666" s="3086"/>
      <c r="AC666" s="2976"/>
      <c r="AD666" s="2976"/>
    </row>
    <row r="667" spans="1:30">
      <c r="A667" s="3086"/>
      <c r="B667" s="2966"/>
      <c r="C667" s="2976"/>
      <c r="D667" s="2976"/>
      <c r="E667" s="2976"/>
      <c r="F667" s="2973"/>
      <c r="G667" s="2976"/>
      <c r="H667" s="2966"/>
      <c r="I667" s="2966"/>
      <c r="J667" s="2976"/>
      <c r="K667" s="2976"/>
      <c r="L667" s="2961"/>
      <c r="M667" s="2976"/>
      <c r="N667" s="3086"/>
      <c r="O667" s="3086"/>
      <c r="P667" s="3086"/>
      <c r="Q667" s="2966"/>
      <c r="R667" s="2976"/>
      <c r="S667" s="2961"/>
      <c r="T667" s="2961"/>
      <c r="U667" s="2923"/>
      <c r="V667" s="2923"/>
      <c r="W667" s="2923"/>
      <c r="X667" s="2962"/>
      <c r="Y667" s="2961"/>
      <c r="Z667" s="3086"/>
      <c r="AA667" s="3086"/>
      <c r="AB667" s="3086"/>
      <c r="AC667" s="2976"/>
      <c r="AD667" s="2976"/>
    </row>
    <row r="668" spans="1:30">
      <c r="A668" s="3086"/>
      <c r="B668" s="2966"/>
      <c r="C668" s="2976"/>
      <c r="D668" s="2976"/>
      <c r="E668" s="2976"/>
      <c r="F668" s="2973"/>
      <c r="G668" s="2976"/>
      <c r="H668" s="2966"/>
      <c r="I668" s="2966"/>
      <c r="J668" s="2976"/>
      <c r="K668" s="2976"/>
      <c r="L668" s="2961"/>
      <c r="M668" s="2976"/>
      <c r="N668" s="3086"/>
      <c r="O668" s="3086"/>
      <c r="P668" s="3086"/>
      <c r="Q668" s="2966"/>
      <c r="R668" s="2976"/>
      <c r="S668" s="2961"/>
      <c r="T668" s="2961"/>
      <c r="U668" s="2923"/>
      <c r="V668" s="2923"/>
      <c r="W668" s="2923"/>
      <c r="X668" s="2962"/>
      <c r="Y668" s="2971"/>
      <c r="Z668" s="3086"/>
      <c r="AA668" s="3086"/>
      <c r="AB668" s="3086"/>
      <c r="AC668" s="2976"/>
      <c r="AD668" s="2976"/>
    </row>
    <row r="669" spans="1:30">
      <c r="A669" s="3086"/>
      <c r="B669" s="2966"/>
      <c r="C669" s="2976"/>
      <c r="D669" s="2976"/>
      <c r="E669" s="2976"/>
      <c r="F669" s="2973"/>
      <c r="G669" s="2976"/>
      <c r="H669" s="2966"/>
      <c r="I669" s="2966"/>
      <c r="J669" s="2976"/>
      <c r="K669" s="2976"/>
      <c r="L669" s="2961"/>
      <c r="M669" s="2976"/>
      <c r="N669" s="3086"/>
      <c r="O669" s="3086"/>
      <c r="P669" s="3086"/>
      <c r="Q669" s="2966"/>
      <c r="R669" s="2976"/>
      <c r="S669" s="2961"/>
      <c r="T669" s="2961"/>
      <c r="U669" s="2923"/>
      <c r="V669" s="2923"/>
      <c r="W669" s="2923"/>
      <c r="X669" s="2962"/>
      <c r="Y669" s="2961"/>
      <c r="Z669" s="3086"/>
      <c r="AA669" s="3086"/>
      <c r="AB669" s="3086"/>
      <c r="AC669" s="2976"/>
      <c r="AD669" s="2976"/>
    </row>
    <row r="670" spans="1:30">
      <c r="A670" s="2963"/>
      <c r="B670" s="2873"/>
      <c r="C670" s="2964"/>
      <c r="D670" s="2964"/>
      <c r="E670" s="2964"/>
      <c r="F670" s="2965"/>
      <c r="G670" s="2964"/>
      <c r="H670" s="2873"/>
      <c r="I670" s="2966"/>
      <c r="J670" s="2964"/>
      <c r="K670" s="2964"/>
      <c r="L670" s="2967"/>
      <c r="M670" s="2964"/>
      <c r="N670" s="2963"/>
      <c r="O670" s="2963"/>
      <c r="P670" s="2963"/>
      <c r="Q670" s="2873"/>
      <c r="R670" s="2964"/>
      <c r="S670" s="2967"/>
      <c r="T670" s="2967"/>
      <c r="U670" s="2968"/>
      <c r="V670" s="2968"/>
      <c r="W670" s="2968"/>
      <c r="X670" s="2969"/>
      <c r="Y670" s="2975"/>
      <c r="Z670" s="2963"/>
      <c r="AA670" s="2963"/>
      <c r="AB670" s="2963"/>
      <c r="AC670" s="2976"/>
      <c r="AD670" s="2976"/>
    </row>
    <row r="671" spans="1:30">
      <c r="A671" s="2963"/>
      <c r="B671" s="2873"/>
      <c r="C671" s="2964"/>
      <c r="D671" s="2964"/>
      <c r="E671" s="2964"/>
      <c r="F671" s="2965"/>
      <c r="G671" s="2964"/>
      <c r="H671" s="2873"/>
      <c r="I671" s="2966"/>
      <c r="J671" s="2964"/>
      <c r="K671" s="2964"/>
      <c r="L671" s="2967"/>
      <c r="M671" s="2964"/>
      <c r="N671" s="2963"/>
      <c r="O671" s="2963"/>
      <c r="P671" s="2963"/>
      <c r="Q671" s="2873"/>
      <c r="R671" s="2964"/>
      <c r="S671" s="2967"/>
      <c r="T671" s="2967"/>
      <c r="U671" s="2968"/>
      <c r="V671" s="2968"/>
      <c r="W671" s="2968"/>
      <c r="X671" s="2969"/>
      <c r="Y671" s="2975"/>
      <c r="Z671" s="2963"/>
      <c r="AA671" s="2963"/>
      <c r="AB671" s="2963"/>
      <c r="AC671" s="2976"/>
      <c r="AD671" s="2976"/>
    </row>
    <row r="672" spans="1:30">
      <c r="A672" s="2963"/>
      <c r="B672" s="2873"/>
      <c r="C672" s="2964"/>
      <c r="D672" s="2964"/>
      <c r="E672" s="2964"/>
      <c r="F672" s="2965"/>
      <c r="G672" s="2964"/>
      <c r="H672" s="2873"/>
      <c r="I672" s="2966"/>
      <c r="J672" s="2964"/>
      <c r="K672" s="2964"/>
      <c r="L672" s="2967"/>
      <c r="M672" s="2964"/>
      <c r="N672" s="2963"/>
      <c r="O672" s="2963"/>
      <c r="P672" s="2963"/>
      <c r="Q672" s="2873"/>
      <c r="R672" s="2964"/>
      <c r="S672" s="2967"/>
      <c r="T672" s="2967"/>
      <c r="U672" s="2968"/>
      <c r="V672" s="2968"/>
      <c r="W672" s="2968"/>
      <c r="X672" s="2969"/>
      <c r="Y672" s="2975"/>
      <c r="Z672" s="2963"/>
      <c r="AA672" s="2963"/>
      <c r="AB672" s="2963"/>
      <c r="AC672" s="2976"/>
      <c r="AD672" s="2976"/>
    </row>
    <row r="673" spans="1:30">
      <c r="A673" s="3086"/>
      <c r="B673" s="2966"/>
      <c r="C673" s="2976"/>
      <c r="D673" s="2976"/>
      <c r="E673" s="2976"/>
      <c r="F673" s="2973"/>
      <c r="G673" s="2976"/>
      <c r="H673" s="2966"/>
      <c r="I673" s="2966"/>
      <c r="J673" s="2976"/>
      <c r="K673" s="2976"/>
      <c r="L673" s="2961"/>
      <c r="M673" s="2976"/>
      <c r="N673" s="3086"/>
      <c r="O673" s="3086"/>
      <c r="P673" s="3086"/>
      <c r="Q673" s="2966"/>
      <c r="R673" s="2976"/>
      <c r="S673" s="2961"/>
      <c r="T673" s="2961"/>
      <c r="U673" s="2923"/>
      <c r="V673" s="2923"/>
      <c r="W673" s="2923"/>
      <c r="X673" s="2962"/>
      <c r="Y673" s="2961"/>
      <c r="Z673" s="3086"/>
      <c r="AA673" s="3086"/>
      <c r="AB673" s="3086"/>
      <c r="AC673" s="2976"/>
      <c r="AD673" s="2976"/>
    </row>
    <row r="674" spans="1:30">
      <c r="A674" s="3086"/>
      <c r="B674" s="2966"/>
      <c r="C674" s="2976"/>
      <c r="D674" s="2976"/>
      <c r="E674" s="2976"/>
      <c r="F674" s="2973"/>
      <c r="G674" s="2976"/>
      <c r="H674" s="2966"/>
      <c r="I674" s="2966"/>
      <c r="J674" s="2976"/>
      <c r="K674" s="2976"/>
      <c r="L674" s="2961"/>
      <c r="M674" s="2976"/>
      <c r="N674" s="3086"/>
      <c r="O674" s="3086"/>
      <c r="P674" s="3086"/>
      <c r="Q674" s="2966"/>
      <c r="R674" s="2976"/>
      <c r="S674" s="2961"/>
      <c r="T674" s="2961"/>
      <c r="U674" s="2923"/>
      <c r="V674" s="2923"/>
      <c r="W674" s="2923"/>
      <c r="X674" s="2962"/>
      <c r="Y674" s="2961"/>
      <c r="Z674" s="3086"/>
      <c r="AA674" s="3086"/>
      <c r="AB674" s="3086"/>
      <c r="AC674" s="2976"/>
      <c r="AD674" s="2976"/>
    </row>
    <row r="675" spans="1:30">
      <c r="A675" s="3086"/>
      <c r="B675" s="2966"/>
      <c r="C675" s="2976"/>
      <c r="D675" s="2976"/>
      <c r="E675" s="2976"/>
      <c r="F675" s="2973"/>
      <c r="G675" s="2976"/>
      <c r="H675" s="2966"/>
      <c r="I675" s="2966"/>
      <c r="J675" s="2976"/>
      <c r="K675" s="2976"/>
      <c r="L675" s="2961"/>
      <c r="M675" s="2976"/>
      <c r="N675" s="3086"/>
      <c r="O675" s="3086"/>
      <c r="P675" s="3086"/>
      <c r="Q675" s="2966"/>
      <c r="R675" s="2976"/>
      <c r="S675" s="2961"/>
      <c r="T675" s="2961"/>
      <c r="U675" s="2923"/>
      <c r="V675" s="2923"/>
      <c r="W675" s="2923"/>
      <c r="X675" s="2962"/>
      <c r="Y675" s="2971"/>
      <c r="Z675" s="3086"/>
      <c r="AA675" s="3086"/>
      <c r="AB675" s="3086"/>
      <c r="AC675" s="2976"/>
      <c r="AD675" s="2976"/>
    </row>
    <row r="676" spans="1:30">
      <c r="A676" s="3086"/>
      <c r="B676" s="2966"/>
      <c r="C676" s="2976"/>
      <c r="D676" s="2976"/>
      <c r="E676" s="2976"/>
      <c r="F676" s="2973"/>
      <c r="G676" s="2976"/>
      <c r="H676" s="2966"/>
      <c r="I676" s="2966"/>
      <c r="J676" s="2976"/>
      <c r="K676" s="2976"/>
      <c r="L676" s="2961"/>
      <c r="M676" s="2976"/>
      <c r="N676" s="3086"/>
      <c r="O676" s="3086"/>
      <c r="P676" s="3086"/>
      <c r="Q676" s="2966"/>
      <c r="R676" s="2976"/>
      <c r="S676" s="2961"/>
      <c r="T676" s="2961"/>
      <c r="U676" s="2923"/>
      <c r="V676" s="2923"/>
      <c r="W676" s="2923"/>
      <c r="X676" s="2962"/>
      <c r="Y676" s="2971"/>
      <c r="Z676" s="3086"/>
      <c r="AA676" s="3086"/>
      <c r="AB676" s="3086"/>
      <c r="AC676" s="2976"/>
      <c r="AD676" s="2976"/>
    </row>
    <row r="677" spans="1:30">
      <c r="A677" s="3086"/>
      <c r="B677" s="2966"/>
      <c r="C677" s="2976"/>
      <c r="D677" s="2976"/>
      <c r="E677" s="2976"/>
      <c r="F677" s="2973"/>
      <c r="G677" s="2976"/>
      <c r="H677" s="2966"/>
      <c r="I677" s="2966"/>
      <c r="J677" s="2976"/>
      <c r="K677" s="2976"/>
      <c r="L677" s="2961"/>
      <c r="M677" s="2976"/>
      <c r="N677" s="3086"/>
      <c r="O677" s="3086"/>
      <c r="P677" s="2976"/>
      <c r="Q677" s="2972"/>
      <c r="R677" s="2739"/>
      <c r="S677" s="2961"/>
      <c r="T677" s="2961"/>
      <c r="U677" s="2923"/>
      <c r="V677" s="2923"/>
      <c r="W677" s="2923"/>
      <c r="X677" s="2961"/>
      <c r="Y677" s="2961"/>
      <c r="Z677" s="2976"/>
      <c r="AA677" s="3086"/>
      <c r="AB677" s="2966"/>
      <c r="AC677" s="2976"/>
      <c r="AD677" s="2976"/>
    </row>
    <row r="678" spans="1:30">
      <c r="A678" s="3086"/>
      <c r="B678" s="2966"/>
      <c r="C678" s="2976"/>
      <c r="D678" s="2976"/>
      <c r="E678" s="2976"/>
      <c r="F678" s="2973"/>
      <c r="G678" s="2976"/>
      <c r="H678" s="2966"/>
      <c r="I678" s="2966"/>
      <c r="J678" s="2976"/>
      <c r="K678" s="2976"/>
      <c r="L678" s="2961"/>
      <c r="M678" s="2976"/>
      <c r="N678" s="3086"/>
      <c r="O678" s="3086"/>
      <c r="P678" s="3086"/>
      <c r="Q678" s="2966"/>
      <c r="R678" s="2976"/>
      <c r="S678" s="2961"/>
      <c r="T678" s="2961"/>
      <c r="U678" s="2923"/>
      <c r="V678" s="2923"/>
      <c r="W678" s="2923"/>
      <c r="X678" s="2962"/>
      <c r="Y678" s="2961"/>
      <c r="Z678" s="3086"/>
      <c r="AA678" s="3086"/>
      <c r="AB678" s="3086"/>
      <c r="AC678" s="2976"/>
      <c r="AD678" s="2976"/>
    </row>
    <row r="679" spans="1:30">
      <c r="A679" s="3086"/>
      <c r="B679" s="2966"/>
      <c r="C679" s="2976"/>
      <c r="D679" s="2976"/>
      <c r="E679" s="2976"/>
      <c r="F679" s="2973"/>
      <c r="G679" s="2976"/>
      <c r="H679" s="2966"/>
      <c r="I679" s="2966"/>
      <c r="J679" s="2976"/>
      <c r="K679" s="2976"/>
      <c r="L679" s="2961"/>
      <c r="M679" s="2976"/>
      <c r="N679" s="3086"/>
      <c r="O679" s="3086"/>
      <c r="P679" s="3086"/>
      <c r="Q679" s="2966"/>
      <c r="R679" s="2976"/>
      <c r="S679" s="2961"/>
      <c r="T679" s="2961"/>
      <c r="U679" s="2923"/>
      <c r="V679" s="2923"/>
      <c r="W679" s="2923"/>
      <c r="X679" s="2962"/>
      <c r="Y679" s="2961"/>
      <c r="Z679" s="3086"/>
      <c r="AA679" s="3086"/>
      <c r="AB679" s="3086"/>
      <c r="AC679" s="2976"/>
      <c r="AD679" s="2976"/>
    </row>
    <row r="680" spans="1:30">
      <c r="A680" s="3086"/>
      <c r="B680" s="2966"/>
      <c r="C680" s="2976"/>
      <c r="D680" s="2976"/>
      <c r="E680" s="2976"/>
      <c r="F680" s="2973"/>
      <c r="G680" s="2973"/>
      <c r="H680" s="2966"/>
      <c r="I680" s="2966"/>
      <c r="J680" s="2976"/>
      <c r="K680" s="2976"/>
      <c r="L680" s="2961"/>
      <c r="M680" s="2976"/>
      <c r="N680" s="3086"/>
      <c r="O680" s="3086"/>
      <c r="P680" s="3086"/>
      <c r="Q680" s="2966"/>
      <c r="R680" s="2976"/>
      <c r="S680" s="2961"/>
      <c r="T680" s="2961"/>
      <c r="U680" s="2923"/>
      <c r="V680" s="2923"/>
      <c r="W680" s="2923"/>
      <c r="X680" s="2962"/>
      <c r="Y680" s="2971"/>
      <c r="Z680" s="3086"/>
      <c r="AA680" s="3086"/>
      <c r="AB680" s="3086"/>
      <c r="AC680" s="2976"/>
      <c r="AD680" s="2976"/>
    </row>
    <row r="681" spans="1:30">
      <c r="A681" s="3086"/>
      <c r="B681" s="2966"/>
      <c r="C681" s="2976"/>
      <c r="D681" s="2976"/>
      <c r="E681" s="2976"/>
      <c r="F681" s="2973"/>
      <c r="G681" s="2976"/>
      <c r="H681" s="2966"/>
      <c r="I681" s="2966"/>
      <c r="J681" s="2976"/>
      <c r="K681" s="2976"/>
      <c r="L681" s="2961"/>
      <c r="M681" s="2976"/>
      <c r="N681" s="3086"/>
      <c r="O681" s="3086"/>
      <c r="P681" s="3086"/>
      <c r="Q681" s="2966"/>
      <c r="R681" s="2976"/>
      <c r="S681" s="2961"/>
      <c r="T681" s="2961"/>
      <c r="U681" s="2923"/>
      <c r="V681" s="2923"/>
      <c r="W681" s="2923"/>
      <c r="X681" s="2962"/>
      <c r="Y681" s="2961"/>
      <c r="Z681" s="3086"/>
      <c r="AA681" s="3086"/>
      <c r="AB681" s="3086"/>
      <c r="AC681" s="2976"/>
      <c r="AD681" s="2976"/>
    </row>
    <row r="682" spans="1:30">
      <c r="A682" s="3086"/>
      <c r="B682" s="2966"/>
      <c r="C682" s="2976"/>
      <c r="D682" s="2976"/>
      <c r="E682" s="2976"/>
      <c r="F682" s="2973"/>
      <c r="G682" s="2976"/>
      <c r="H682" s="2966"/>
      <c r="I682" s="2966"/>
      <c r="J682" s="2976"/>
      <c r="K682" s="2976"/>
      <c r="L682" s="2961"/>
      <c r="M682" s="2976"/>
      <c r="N682" s="3086"/>
      <c r="O682" s="3086"/>
      <c r="P682" s="3086"/>
      <c r="Q682" s="2966"/>
      <c r="R682" s="2976"/>
      <c r="S682" s="2961"/>
      <c r="T682" s="2961"/>
      <c r="U682" s="2923"/>
      <c r="V682" s="2923"/>
      <c r="W682" s="2923"/>
      <c r="X682" s="2962"/>
      <c r="Y682" s="2971"/>
      <c r="Z682" s="3086"/>
      <c r="AA682" s="3086"/>
      <c r="AB682" s="3086"/>
      <c r="AC682" s="2976"/>
      <c r="AD682" s="2976"/>
    </row>
    <row r="683" spans="1:30">
      <c r="A683" s="3086"/>
      <c r="B683" s="2966"/>
      <c r="C683" s="2976"/>
      <c r="D683" s="2976"/>
      <c r="E683" s="2976"/>
      <c r="F683" s="2973"/>
      <c r="G683" s="2976"/>
      <c r="H683" s="2966"/>
      <c r="I683" s="2966"/>
      <c r="J683" s="2976"/>
      <c r="K683" s="2976"/>
      <c r="L683" s="2961"/>
      <c r="M683" s="2976"/>
      <c r="N683" s="3086"/>
      <c r="O683" s="3086"/>
      <c r="P683" s="3086"/>
      <c r="Q683" s="2966"/>
      <c r="R683" s="2976"/>
      <c r="S683" s="2961"/>
      <c r="T683" s="2961"/>
      <c r="U683" s="2923"/>
      <c r="V683" s="2923"/>
      <c r="W683" s="2923"/>
      <c r="X683" s="2962"/>
      <c r="Y683" s="2971"/>
      <c r="Z683" s="3086"/>
      <c r="AA683" s="3086"/>
      <c r="AB683" s="3086"/>
      <c r="AC683" s="2976"/>
      <c r="AD683" s="2976"/>
    </row>
    <row r="684" spans="1:30">
      <c r="A684" s="3086"/>
      <c r="B684" s="2966"/>
      <c r="C684" s="2976"/>
      <c r="D684" s="2976"/>
      <c r="E684" s="2976"/>
      <c r="F684" s="2973"/>
      <c r="G684" s="2976"/>
      <c r="H684" s="2966"/>
      <c r="I684" s="2966"/>
      <c r="J684" s="2976"/>
      <c r="K684" s="2976"/>
      <c r="L684" s="2961"/>
      <c r="M684" s="2976"/>
      <c r="N684" s="3086"/>
      <c r="O684" s="3086"/>
      <c r="P684" s="3086"/>
      <c r="Q684" s="2966"/>
      <c r="R684" s="2976"/>
      <c r="S684" s="2961"/>
      <c r="T684" s="2961"/>
      <c r="U684" s="2923"/>
      <c r="V684" s="2923"/>
      <c r="W684" s="2923"/>
      <c r="X684" s="2962"/>
      <c r="Y684" s="2961"/>
      <c r="Z684" s="3086"/>
      <c r="AA684" s="3086"/>
      <c r="AB684" s="3086"/>
      <c r="AC684" s="2976"/>
      <c r="AD684" s="2976"/>
    </row>
    <row r="685" spans="1:30">
      <c r="A685" s="3086"/>
      <c r="B685" s="2966"/>
      <c r="C685" s="2976"/>
      <c r="D685" s="2976"/>
      <c r="E685" s="2976"/>
      <c r="F685" s="2973"/>
      <c r="G685" s="2976"/>
      <c r="H685" s="2966"/>
      <c r="I685" s="2966"/>
      <c r="J685" s="2976"/>
      <c r="K685" s="2976"/>
      <c r="L685" s="2961"/>
      <c r="M685" s="2976"/>
      <c r="N685" s="3086"/>
      <c r="O685" s="3086"/>
      <c r="P685" s="3086"/>
      <c r="Q685" s="2966"/>
      <c r="R685" s="2976"/>
      <c r="S685" s="2961"/>
      <c r="T685" s="2961"/>
      <c r="U685" s="2923"/>
      <c r="V685" s="2923"/>
      <c r="W685" s="2923"/>
      <c r="X685" s="2962"/>
      <c r="Y685" s="2971"/>
      <c r="Z685" s="3086"/>
      <c r="AA685" s="3086"/>
      <c r="AB685" s="3086"/>
      <c r="AC685" s="2976"/>
      <c r="AD685" s="2976"/>
    </row>
    <row r="686" spans="1:30">
      <c r="A686" s="3086"/>
      <c r="B686" s="2966"/>
      <c r="C686" s="2976"/>
      <c r="D686" s="2976"/>
      <c r="E686" s="2976"/>
      <c r="F686" s="2973"/>
      <c r="G686" s="2976"/>
      <c r="H686" s="2966"/>
      <c r="I686" s="2966"/>
      <c r="J686" s="2976"/>
      <c r="K686" s="2976"/>
      <c r="L686" s="2961"/>
      <c r="M686" s="2976"/>
      <c r="N686" s="3086"/>
      <c r="O686" s="3086"/>
      <c r="P686" s="3086"/>
      <c r="Q686" s="2966"/>
      <c r="R686" s="2976"/>
      <c r="S686" s="2961"/>
      <c r="T686" s="2961"/>
      <c r="U686" s="2923"/>
      <c r="V686" s="2923"/>
      <c r="W686" s="2923"/>
      <c r="X686" s="2962"/>
      <c r="Y686" s="2971"/>
      <c r="Z686" s="3086"/>
      <c r="AA686" s="3086"/>
      <c r="AB686" s="3086"/>
      <c r="AC686" s="2976"/>
      <c r="AD686" s="2976"/>
    </row>
    <row r="687" spans="1:30">
      <c r="A687" s="3086"/>
      <c r="B687" s="2966"/>
      <c r="C687" s="2976"/>
      <c r="D687" s="2976"/>
      <c r="E687" s="2976"/>
      <c r="F687" s="2973"/>
      <c r="G687" s="2976"/>
      <c r="H687" s="2966"/>
      <c r="I687" s="2966"/>
      <c r="J687" s="2976"/>
      <c r="K687" s="2976"/>
      <c r="L687" s="2961"/>
      <c r="M687" s="2976"/>
      <c r="N687" s="3086"/>
      <c r="O687" s="3086"/>
      <c r="P687" s="3086"/>
      <c r="Q687" s="2966"/>
      <c r="R687" s="2976"/>
      <c r="S687" s="2961"/>
      <c r="T687" s="2961"/>
      <c r="U687" s="2923"/>
      <c r="V687" s="2923"/>
      <c r="W687" s="2923"/>
      <c r="X687" s="2962"/>
      <c r="Y687" s="2971"/>
      <c r="Z687" s="3086"/>
      <c r="AA687" s="3086"/>
      <c r="AB687" s="3086"/>
      <c r="AC687" s="2976"/>
      <c r="AD687" s="2976"/>
    </row>
    <row r="688" spans="1:30">
      <c r="A688" s="2976"/>
      <c r="B688" s="2966"/>
      <c r="C688" s="2976"/>
      <c r="D688" s="2976"/>
      <c r="E688" s="2976"/>
      <c r="F688" s="2973"/>
      <c r="G688" s="2976"/>
      <c r="H688" s="2966"/>
      <c r="I688" s="2966"/>
      <c r="J688" s="2976"/>
      <c r="K688" s="2976"/>
      <c r="L688" s="2961"/>
      <c r="M688" s="2976"/>
      <c r="N688" s="3086"/>
      <c r="O688" s="3086"/>
      <c r="P688" s="3086"/>
      <c r="Q688" s="2966"/>
      <c r="R688" s="2976"/>
      <c r="S688" s="2961"/>
      <c r="T688" s="2961"/>
      <c r="U688" s="2923"/>
      <c r="V688" s="2923"/>
      <c r="W688" s="2923"/>
      <c r="X688" s="2962"/>
      <c r="Y688" s="2971"/>
      <c r="Z688" s="3086"/>
      <c r="AA688" s="3086"/>
      <c r="AB688" s="3086"/>
      <c r="AC688" s="2976"/>
      <c r="AD688" s="2976"/>
    </row>
    <row r="689" spans="1:30">
      <c r="A689" s="3086"/>
      <c r="B689" s="2966"/>
      <c r="C689" s="2976"/>
      <c r="D689" s="2976"/>
      <c r="E689" s="2976"/>
      <c r="F689" s="2973"/>
      <c r="G689" s="2976"/>
      <c r="H689" s="3087"/>
      <c r="I689" s="3087"/>
      <c r="J689" s="2976"/>
      <c r="K689" s="2976"/>
      <c r="L689" s="2967"/>
      <c r="M689" s="2976"/>
      <c r="N689" s="3086"/>
      <c r="O689" s="3086"/>
      <c r="P689" s="3086"/>
      <c r="Q689" s="2966"/>
      <c r="R689" s="2976"/>
      <c r="S689" s="2961"/>
      <c r="T689" s="2961"/>
      <c r="U689" s="2923"/>
      <c r="V689" s="2923"/>
      <c r="W689" s="2923"/>
      <c r="X689" s="2962"/>
      <c r="Y689" s="2971"/>
      <c r="Z689" s="3086"/>
      <c r="AA689" s="3086"/>
      <c r="AB689" s="3086"/>
      <c r="AC689" s="2976"/>
      <c r="AD689" s="2976"/>
    </row>
    <row r="690" spans="1:30">
      <c r="A690" s="3086"/>
      <c r="B690" s="2966"/>
      <c r="C690" s="2976"/>
      <c r="D690" s="2976"/>
      <c r="E690" s="2976"/>
      <c r="F690" s="2973"/>
      <c r="G690" s="2976"/>
      <c r="H690" s="3087"/>
      <c r="I690" s="3087"/>
      <c r="J690" s="2976"/>
      <c r="K690" s="2976"/>
      <c r="L690" s="2967"/>
      <c r="M690" s="2976"/>
      <c r="N690" s="3086"/>
      <c r="O690" s="3086"/>
      <c r="P690" s="3086"/>
      <c r="Q690" s="2966"/>
      <c r="R690" s="2976"/>
      <c r="S690" s="2961"/>
      <c r="T690" s="2961"/>
      <c r="U690" s="2923"/>
      <c r="V690" s="2923"/>
      <c r="W690" s="2923"/>
      <c r="X690" s="2962"/>
      <c r="Y690" s="2971"/>
      <c r="Z690" s="3086"/>
      <c r="AA690" s="3086"/>
      <c r="AB690" s="3086"/>
      <c r="AC690" s="2976"/>
      <c r="AD690" s="2976"/>
    </row>
    <row r="691" spans="1:30">
      <c r="A691" s="3086"/>
      <c r="B691" s="2966"/>
      <c r="C691" s="2976"/>
      <c r="D691" s="2976"/>
      <c r="E691" s="2976"/>
      <c r="F691" s="2973"/>
      <c r="G691" s="2976"/>
      <c r="H691" s="3087"/>
      <c r="I691" s="3087"/>
      <c r="J691" s="2976"/>
      <c r="K691" s="2976"/>
      <c r="L691" s="2967"/>
      <c r="M691" s="2976"/>
      <c r="N691" s="3086"/>
      <c r="O691" s="3086"/>
      <c r="P691" s="3086"/>
      <c r="Q691" s="2966"/>
      <c r="R691" s="2976"/>
      <c r="S691" s="2961"/>
      <c r="T691" s="2961"/>
      <c r="U691" s="2923"/>
      <c r="V691" s="2923"/>
      <c r="W691" s="2923"/>
      <c r="X691" s="2962"/>
      <c r="Y691" s="2971"/>
      <c r="Z691" s="3086"/>
      <c r="AA691" s="3086"/>
      <c r="AB691" s="3086"/>
      <c r="AC691" s="2976"/>
      <c r="AD691" s="2976"/>
    </row>
    <row r="692" spans="1:30">
      <c r="A692" s="3086"/>
      <c r="B692" s="2966"/>
      <c r="C692" s="2976"/>
      <c r="D692" s="2976"/>
      <c r="E692" s="2976"/>
      <c r="F692" s="2973"/>
      <c r="G692" s="2976"/>
      <c r="H692" s="3087"/>
      <c r="I692" s="3087"/>
      <c r="J692" s="2976"/>
      <c r="K692" s="2976"/>
      <c r="L692" s="2967"/>
      <c r="M692" s="2976"/>
      <c r="N692" s="3086"/>
      <c r="O692" s="3086"/>
      <c r="P692" s="3086"/>
      <c r="Q692" s="2966"/>
      <c r="R692" s="2976"/>
      <c r="S692" s="2961"/>
      <c r="T692" s="2961"/>
      <c r="U692" s="2923"/>
      <c r="V692" s="2923"/>
      <c r="W692" s="2923"/>
      <c r="X692" s="2962"/>
      <c r="Y692" s="2971"/>
      <c r="Z692" s="3086"/>
      <c r="AA692" s="3086"/>
      <c r="AB692" s="3086"/>
      <c r="AC692" s="2976"/>
      <c r="AD692" s="2976"/>
    </row>
    <row r="693" spans="1:30">
      <c r="A693" s="3086"/>
      <c r="B693" s="2966"/>
      <c r="C693" s="2976"/>
      <c r="D693" s="2976"/>
      <c r="E693" s="2976"/>
      <c r="F693" s="2973"/>
      <c r="G693" s="2976"/>
      <c r="H693" s="3087"/>
      <c r="I693" s="3087"/>
      <c r="J693" s="2976"/>
      <c r="K693" s="2976"/>
      <c r="L693" s="2967"/>
      <c r="M693" s="2976"/>
      <c r="N693" s="3086"/>
      <c r="O693" s="3086"/>
      <c r="P693" s="3086"/>
      <c r="Q693" s="2966"/>
      <c r="R693" s="2976"/>
      <c r="S693" s="2961"/>
      <c r="T693" s="2961"/>
      <c r="U693" s="2923"/>
      <c r="V693" s="2923"/>
      <c r="W693" s="2923"/>
      <c r="X693" s="2962"/>
      <c r="Y693" s="2971"/>
      <c r="Z693" s="3086"/>
      <c r="AA693" s="3086"/>
      <c r="AB693" s="3086"/>
      <c r="AC693" s="2976"/>
      <c r="AD693" s="2976"/>
    </row>
    <row r="694" spans="1:30">
      <c r="A694" s="3086"/>
      <c r="B694" s="2966"/>
      <c r="C694" s="2976"/>
      <c r="D694" s="2976"/>
      <c r="E694" s="2976"/>
      <c r="F694" s="2973"/>
      <c r="G694" s="2976"/>
      <c r="H694" s="3087"/>
      <c r="I694" s="3087"/>
      <c r="J694" s="2976"/>
      <c r="K694" s="2976"/>
      <c r="L694" s="2967"/>
      <c r="M694" s="2976"/>
      <c r="N694" s="3086"/>
      <c r="O694" s="3086"/>
      <c r="P694" s="3086"/>
      <c r="Q694" s="2966"/>
      <c r="R694" s="2976"/>
      <c r="S694" s="2961"/>
      <c r="T694" s="2961"/>
      <c r="U694" s="2923"/>
      <c r="V694" s="2923"/>
      <c r="W694" s="2923"/>
      <c r="X694" s="2962"/>
      <c r="Y694" s="2971"/>
      <c r="Z694" s="3086"/>
      <c r="AA694" s="3086"/>
      <c r="AB694" s="3086"/>
      <c r="AC694" s="2976"/>
      <c r="AD694" s="2976"/>
    </row>
    <row r="695" spans="1:30">
      <c r="A695" s="3086"/>
      <c r="B695" s="2966"/>
      <c r="C695" s="2976"/>
      <c r="D695" s="2976"/>
      <c r="E695" s="2976"/>
      <c r="F695" s="2973"/>
      <c r="G695" s="2976"/>
      <c r="H695" s="3087"/>
      <c r="I695" s="3087"/>
      <c r="J695" s="2976"/>
      <c r="K695" s="2976"/>
      <c r="L695" s="2967"/>
      <c r="M695" s="2976"/>
      <c r="N695" s="3086"/>
      <c r="O695" s="3086"/>
      <c r="P695" s="3086"/>
      <c r="Q695" s="2966"/>
      <c r="R695" s="2976"/>
      <c r="S695" s="2961"/>
      <c r="T695" s="2961"/>
      <c r="U695" s="2923"/>
      <c r="V695" s="2923"/>
      <c r="W695" s="2923"/>
      <c r="X695" s="2962"/>
      <c r="Y695" s="2971"/>
      <c r="Z695" s="3086"/>
      <c r="AA695" s="3086"/>
      <c r="AB695" s="3086"/>
      <c r="AC695" s="2976"/>
      <c r="AD695" s="2976"/>
    </row>
    <row r="696" spans="1:30">
      <c r="A696" s="3086"/>
      <c r="B696" s="2966"/>
      <c r="C696" s="2976"/>
      <c r="D696" s="2976"/>
      <c r="E696" s="2976"/>
      <c r="F696" s="2973"/>
      <c r="G696" s="2976"/>
      <c r="H696" s="3087"/>
      <c r="I696" s="3087"/>
      <c r="J696" s="2976"/>
      <c r="K696" s="2976"/>
      <c r="L696" s="2967"/>
      <c r="M696" s="2976"/>
      <c r="N696" s="3086"/>
      <c r="O696" s="3086"/>
      <c r="P696" s="2976"/>
      <c r="Q696" s="2972"/>
      <c r="R696" s="2739"/>
      <c r="S696" s="2961"/>
      <c r="T696" s="2961"/>
      <c r="U696" s="2923"/>
      <c r="V696" s="2923"/>
      <c r="W696" s="2923"/>
      <c r="X696" s="2961"/>
      <c r="Y696" s="2961"/>
      <c r="Z696" s="2976"/>
      <c r="AA696" s="3086"/>
      <c r="AB696" s="2966"/>
      <c r="AC696" s="2976"/>
      <c r="AD696" s="2976"/>
    </row>
    <row r="697" spans="1:30">
      <c r="A697" s="3086"/>
      <c r="B697" s="2966"/>
      <c r="C697" s="2976"/>
      <c r="D697" s="2976"/>
      <c r="E697" s="2976"/>
      <c r="F697" s="2973"/>
      <c r="G697" s="2976"/>
      <c r="H697" s="2966"/>
      <c r="I697" s="2966"/>
      <c r="J697" s="2976"/>
      <c r="K697" s="2976"/>
      <c r="L697" s="2961"/>
      <c r="M697" s="2976"/>
      <c r="N697" s="3086"/>
      <c r="O697" s="3086"/>
      <c r="P697" s="3086"/>
      <c r="Q697" s="2966"/>
      <c r="R697" s="2976"/>
      <c r="S697" s="2961"/>
      <c r="T697" s="2961"/>
      <c r="U697" s="2923"/>
      <c r="V697" s="2923"/>
      <c r="W697" s="2923"/>
      <c r="X697" s="2962"/>
      <c r="Y697" s="2971"/>
      <c r="Z697" s="3086"/>
      <c r="AA697" s="3086"/>
      <c r="AB697" s="3086"/>
      <c r="AC697" s="2976"/>
      <c r="AD697" s="2976"/>
    </row>
    <row r="698" spans="1:30">
      <c r="A698" s="3086"/>
      <c r="B698" s="2966"/>
      <c r="C698" s="2976"/>
      <c r="D698" s="2976"/>
      <c r="E698" s="2976"/>
      <c r="F698" s="2973"/>
      <c r="G698" s="2976"/>
      <c r="H698" s="2966"/>
      <c r="I698" s="2966"/>
      <c r="J698" s="2976"/>
      <c r="K698" s="2976"/>
      <c r="L698" s="2961"/>
      <c r="M698" s="2976"/>
      <c r="N698" s="3086"/>
      <c r="O698" s="3086"/>
      <c r="P698" s="3086"/>
      <c r="Q698" s="2966"/>
      <c r="R698" s="2976"/>
      <c r="S698" s="2961"/>
      <c r="T698" s="2961"/>
      <c r="U698" s="2923"/>
      <c r="V698" s="2923"/>
      <c r="W698" s="2923"/>
      <c r="X698" s="2962"/>
      <c r="Y698" s="2971"/>
      <c r="Z698" s="3086"/>
      <c r="AA698" s="3086"/>
      <c r="AB698" s="3086"/>
      <c r="AC698" s="2976"/>
      <c r="AD698" s="2976"/>
    </row>
    <row r="699" spans="1:30">
      <c r="A699" s="3086"/>
      <c r="B699" s="2966"/>
      <c r="C699" s="2976"/>
      <c r="D699" s="2976"/>
      <c r="E699" s="2976"/>
      <c r="F699" s="2973"/>
      <c r="G699" s="2976"/>
      <c r="H699" s="3087"/>
      <c r="I699" s="3087"/>
      <c r="J699" s="2976"/>
      <c r="K699" s="2976"/>
      <c r="L699" s="2961"/>
      <c r="M699" s="2976"/>
      <c r="N699" s="3086"/>
      <c r="O699" s="3086"/>
      <c r="P699" s="3086"/>
      <c r="Q699" s="2966"/>
      <c r="R699" s="2976"/>
      <c r="S699" s="2961"/>
      <c r="T699" s="2961"/>
      <c r="U699" s="2923"/>
      <c r="V699" s="2923"/>
      <c r="W699" s="2923"/>
      <c r="X699" s="2962"/>
      <c r="Y699" s="2971"/>
      <c r="Z699" s="3086"/>
      <c r="AA699" s="3086"/>
      <c r="AB699" s="3086"/>
      <c r="AC699" s="2976"/>
      <c r="AD699" s="2976"/>
    </row>
    <row r="700" spans="1:30">
      <c r="A700" s="2963"/>
      <c r="B700" s="2966"/>
      <c r="C700" s="2976"/>
      <c r="D700" s="2976"/>
      <c r="E700" s="2976"/>
      <c r="F700" s="2973"/>
      <c r="G700" s="2976"/>
      <c r="H700" s="3087"/>
      <c r="I700" s="3087"/>
      <c r="J700" s="2976"/>
      <c r="K700" s="2976"/>
      <c r="L700" s="2961"/>
      <c r="M700" s="2976"/>
      <c r="N700" s="3086"/>
      <c r="O700" s="3086"/>
      <c r="P700" s="3086"/>
      <c r="Q700" s="2966"/>
      <c r="R700" s="2976"/>
      <c r="S700" s="2961"/>
      <c r="T700" s="2961"/>
      <c r="U700" s="2923"/>
      <c r="V700" s="2923"/>
      <c r="W700" s="2923"/>
      <c r="X700" s="2962"/>
      <c r="Y700" s="2971"/>
      <c r="Z700" s="3086"/>
      <c r="AA700" s="3086"/>
      <c r="AB700" s="3086"/>
      <c r="AC700" s="2976"/>
      <c r="AD700" s="2976"/>
    </row>
    <row r="701" spans="1:30">
      <c r="A701" s="2963"/>
      <c r="B701" s="2966"/>
      <c r="C701" s="2976"/>
      <c r="D701" s="2976"/>
      <c r="E701" s="2976"/>
      <c r="F701" s="2973"/>
      <c r="G701" s="2976"/>
      <c r="H701" s="3087"/>
      <c r="I701" s="3087"/>
      <c r="J701" s="2976"/>
      <c r="K701" s="2976"/>
      <c r="L701" s="2961"/>
      <c r="M701" s="2976"/>
      <c r="N701" s="3086"/>
      <c r="O701" s="3086"/>
      <c r="P701" s="3086"/>
      <c r="Q701" s="2966"/>
      <c r="R701" s="2976"/>
      <c r="S701" s="2961"/>
      <c r="T701" s="2961"/>
      <c r="U701" s="2923"/>
      <c r="V701" s="2923"/>
      <c r="W701" s="2923"/>
      <c r="X701" s="2962"/>
      <c r="Y701" s="2971"/>
      <c r="Z701" s="3086"/>
      <c r="AA701" s="3086"/>
      <c r="AB701" s="3086"/>
      <c r="AC701" s="2976"/>
      <c r="AD701" s="2976"/>
    </row>
    <row r="702" spans="1:30">
      <c r="A702" s="3086"/>
      <c r="B702" s="2966"/>
      <c r="C702" s="2976"/>
      <c r="D702" s="2976"/>
      <c r="E702" s="2976"/>
      <c r="F702" s="2973"/>
      <c r="G702" s="2976"/>
      <c r="H702" s="3087"/>
      <c r="I702" s="3087"/>
      <c r="J702" s="2976"/>
      <c r="K702" s="2976"/>
      <c r="L702" s="2961"/>
      <c r="M702" s="2976"/>
      <c r="N702" s="3086"/>
      <c r="O702" s="3086"/>
      <c r="P702" s="2976"/>
      <c r="Q702" s="2972"/>
      <c r="R702" s="2976"/>
      <c r="S702" s="2961"/>
      <c r="T702" s="2961"/>
      <c r="U702" s="2923"/>
      <c r="V702" s="2923"/>
      <c r="W702" s="2923"/>
      <c r="X702" s="2961"/>
      <c r="Y702" s="2961"/>
      <c r="Z702" s="2976"/>
      <c r="AA702" s="3086"/>
      <c r="AB702" s="2966"/>
      <c r="AC702" s="2976"/>
      <c r="AD702" s="2976"/>
    </row>
    <row r="703" spans="1:30">
      <c r="A703" s="3086"/>
      <c r="B703" s="2966"/>
      <c r="C703" s="2976"/>
      <c r="D703" s="2976"/>
      <c r="E703" s="2976"/>
      <c r="F703" s="2973"/>
      <c r="G703" s="2976"/>
      <c r="H703" s="2966"/>
      <c r="I703" s="2966"/>
      <c r="J703" s="2976"/>
      <c r="K703" s="2976"/>
      <c r="L703" s="2961"/>
      <c r="M703" s="2976"/>
      <c r="N703" s="3086"/>
      <c r="O703" s="3086"/>
      <c r="P703" s="3086"/>
      <c r="Q703" s="2966"/>
      <c r="R703" s="2976"/>
      <c r="S703" s="2961"/>
      <c r="T703" s="2961"/>
      <c r="U703" s="2923"/>
      <c r="V703" s="2923"/>
      <c r="W703" s="2923"/>
      <c r="X703" s="2962"/>
      <c r="Y703" s="2971"/>
      <c r="Z703" s="3086"/>
      <c r="AA703" s="3086"/>
      <c r="AB703" s="3086"/>
      <c r="AC703" s="2976"/>
      <c r="AD703" s="2976"/>
    </row>
    <row r="704" spans="1:30">
      <c r="A704" s="3086"/>
      <c r="B704" s="2966"/>
      <c r="C704" s="2976"/>
      <c r="D704" s="2976"/>
      <c r="E704" s="2976"/>
      <c r="F704" s="2973"/>
      <c r="G704" s="2976"/>
      <c r="H704" s="2966"/>
      <c r="I704" s="2966"/>
      <c r="J704" s="2976"/>
      <c r="K704" s="2976"/>
      <c r="L704" s="2961"/>
      <c r="M704" s="2976"/>
      <c r="N704" s="3086"/>
      <c r="O704" s="3086"/>
      <c r="P704" s="3086"/>
      <c r="Q704" s="2966"/>
      <c r="R704" s="2976"/>
      <c r="S704" s="2961"/>
      <c r="T704" s="2961"/>
      <c r="U704" s="2923"/>
      <c r="V704" s="2923"/>
      <c r="W704" s="2923"/>
      <c r="X704" s="2962"/>
      <c r="Y704" s="2971"/>
      <c r="Z704" s="3086"/>
      <c r="AA704" s="3086"/>
      <c r="AB704" s="3086"/>
      <c r="AC704" s="2976"/>
      <c r="AD704" s="2976"/>
    </row>
    <row r="705" spans="1:30">
      <c r="A705" s="3086"/>
      <c r="B705" s="2966"/>
      <c r="C705" s="2976"/>
      <c r="D705" s="2976"/>
      <c r="E705" s="2976"/>
      <c r="F705" s="2973"/>
      <c r="G705" s="2976"/>
      <c r="H705" s="2966"/>
      <c r="I705" s="2966"/>
      <c r="J705" s="2976"/>
      <c r="K705" s="2976"/>
      <c r="L705" s="2961"/>
      <c r="M705" s="2976"/>
      <c r="N705" s="3086"/>
      <c r="O705" s="3086"/>
      <c r="P705" s="3086"/>
      <c r="Q705" s="2966"/>
      <c r="R705" s="2972"/>
      <c r="S705" s="2961"/>
      <c r="T705" s="2961"/>
      <c r="U705" s="2923"/>
      <c r="V705" s="2923"/>
      <c r="W705" s="2923"/>
      <c r="X705" s="2962"/>
      <c r="Y705" s="2961"/>
      <c r="Z705" s="3086"/>
      <c r="AA705" s="3086"/>
      <c r="AB705" s="2978"/>
      <c r="AC705" s="2976"/>
      <c r="AD705" s="2976"/>
    </row>
    <row r="706" spans="1:30">
      <c r="A706" s="3086"/>
      <c r="B706" s="2966"/>
      <c r="C706" s="2976"/>
      <c r="D706" s="2976"/>
      <c r="E706" s="2976"/>
      <c r="F706" s="2973"/>
      <c r="G706" s="2976"/>
      <c r="H706" s="2966"/>
      <c r="I706" s="2966"/>
      <c r="J706" s="2976"/>
      <c r="K706" s="2976"/>
      <c r="L706" s="2961"/>
      <c r="M706" s="2976"/>
      <c r="N706" s="3086"/>
      <c r="O706" s="3086"/>
      <c r="P706" s="3086"/>
      <c r="Q706" s="2966"/>
      <c r="R706" s="2976"/>
      <c r="S706" s="2961"/>
      <c r="T706" s="2961"/>
      <c r="U706" s="2923"/>
      <c r="V706" s="2923"/>
      <c r="W706" s="2923"/>
      <c r="X706" s="2962"/>
      <c r="Y706" s="2961"/>
      <c r="Z706" s="3086"/>
      <c r="AA706" s="3086"/>
      <c r="AB706" s="3086"/>
      <c r="AC706" s="2976"/>
      <c r="AD706" s="2976"/>
    </row>
    <row r="707" spans="1:30">
      <c r="A707" s="3086"/>
      <c r="B707" s="2966"/>
      <c r="C707" s="2976"/>
      <c r="D707" s="2976"/>
      <c r="E707" s="2976"/>
      <c r="F707" s="2973"/>
      <c r="G707" s="2976"/>
      <c r="H707" s="2966"/>
      <c r="I707" s="2966"/>
      <c r="J707" s="2976"/>
      <c r="K707" s="2976"/>
      <c r="L707" s="2961"/>
      <c r="M707" s="2976"/>
      <c r="N707" s="3086"/>
      <c r="O707" s="3086"/>
      <c r="P707" s="3086"/>
      <c r="Q707" s="2966"/>
      <c r="R707" s="2976"/>
      <c r="S707" s="2961"/>
      <c r="T707" s="2961"/>
      <c r="U707" s="2923"/>
      <c r="V707" s="2923"/>
      <c r="W707" s="2923"/>
      <c r="X707" s="2962"/>
      <c r="Y707" s="2971"/>
      <c r="Z707" s="3086"/>
      <c r="AA707" s="3086"/>
      <c r="AB707" s="3086"/>
      <c r="AC707" s="2976"/>
      <c r="AD707" s="2976"/>
    </row>
    <row r="708" spans="1:30">
      <c r="A708" s="3086"/>
      <c r="B708" s="2966"/>
      <c r="C708" s="2976"/>
      <c r="D708" s="2976"/>
      <c r="E708" s="2976"/>
      <c r="F708" s="2973"/>
      <c r="G708" s="2976"/>
      <c r="H708" s="2966"/>
      <c r="I708" s="2966"/>
      <c r="J708" s="2976"/>
      <c r="K708" s="2976"/>
      <c r="L708" s="2961"/>
      <c r="M708" s="2976"/>
      <c r="N708" s="3086"/>
      <c r="O708" s="3086"/>
      <c r="P708" s="3086"/>
      <c r="Q708" s="2966"/>
      <c r="R708" s="2976"/>
      <c r="S708" s="2961"/>
      <c r="T708" s="2961"/>
      <c r="U708" s="2923"/>
      <c r="V708" s="2923"/>
      <c r="W708" s="2923"/>
      <c r="X708" s="2962"/>
      <c r="Y708" s="2971"/>
      <c r="Z708" s="3086"/>
      <c r="AA708" s="3086"/>
      <c r="AB708" s="3086"/>
      <c r="AC708" s="2976"/>
      <c r="AD708" s="2976"/>
    </row>
    <row r="709" spans="1:30">
      <c r="A709" s="3086"/>
      <c r="B709" s="2966"/>
      <c r="C709" s="2976"/>
      <c r="D709" s="2976"/>
      <c r="E709" s="2976"/>
      <c r="F709" s="2973"/>
      <c r="G709" s="2976"/>
      <c r="H709" s="2966"/>
      <c r="I709" s="2966"/>
      <c r="J709" s="2976"/>
      <c r="K709" s="2976"/>
      <c r="L709" s="2961"/>
      <c r="M709" s="2976"/>
      <c r="N709" s="3086"/>
      <c r="O709" s="3086"/>
      <c r="P709" s="3086"/>
      <c r="Q709" s="2966"/>
      <c r="R709" s="2976"/>
      <c r="S709" s="2961"/>
      <c r="T709" s="2961"/>
      <c r="U709" s="2923"/>
      <c r="V709" s="2923"/>
      <c r="W709" s="2923"/>
      <c r="X709" s="2962"/>
      <c r="Y709" s="2971"/>
      <c r="Z709" s="3086"/>
      <c r="AA709" s="3086"/>
      <c r="AB709" s="3086"/>
      <c r="AC709" s="2976"/>
      <c r="AD709" s="2976"/>
    </row>
    <row r="710" spans="1:30">
      <c r="A710" s="3086"/>
      <c r="B710" s="2966"/>
      <c r="C710" s="2976"/>
      <c r="D710" s="2976"/>
      <c r="E710" s="2976"/>
      <c r="F710" s="2973"/>
      <c r="G710" s="2976"/>
      <c r="H710" s="2966"/>
      <c r="I710" s="2966"/>
      <c r="J710" s="2976"/>
      <c r="K710" s="2976"/>
      <c r="L710" s="2961"/>
      <c r="M710" s="2976"/>
      <c r="N710" s="3086"/>
      <c r="O710" s="3086"/>
      <c r="P710" s="3086"/>
      <c r="Q710" s="2966"/>
      <c r="R710" s="2976"/>
      <c r="S710" s="2961"/>
      <c r="T710" s="2961"/>
      <c r="U710" s="2923"/>
      <c r="V710" s="2923"/>
      <c r="W710" s="2923"/>
      <c r="X710" s="2962"/>
      <c r="Y710" s="2971"/>
      <c r="Z710" s="3086"/>
      <c r="AA710" s="3086"/>
      <c r="AB710" s="3086"/>
      <c r="AC710" s="2976"/>
      <c r="AD710" s="2976"/>
    </row>
    <row r="711" spans="1:30">
      <c r="A711" s="3086"/>
      <c r="B711" s="2966"/>
      <c r="C711" s="2976"/>
      <c r="D711" s="2976"/>
      <c r="E711" s="2976"/>
      <c r="F711" s="2973"/>
      <c r="G711" s="2976"/>
      <c r="H711" s="2966"/>
      <c r="I711" s="2966"/>
      <c r="J711" s="2976"/>
      <c r="K711" s="2976"/>
      <c r="L711" s="2961"/>
      <c r="M711" s="2976"/>
      <c r="N711" s="3086"/>
      <c r="O711" s="3086"/>
      <c r="P711" s="3086"/>
      <c r="Q711" s="2966"/>
      <c r="R711" s="2976"/>
      <c r="S711" s="2961"/>
      <c r="T711" s="2961"/>
      <c r="U711" s="2923"/>
      <c r="V711" s="2923"/>
      <c r="W711" s="2923"/>
      <c r="X711" s="2962"/>
      <c r="Y711" s="2971"/>
      <c r="Z711" s="3086"/>
      <c r="AA711" s="3086"/>
      <c r="AB711" s="3086"/>
      <c r="AC711" s="2976"/>
      <c r="AD711" s="2976"/>
    </row>
    <row r="712" spans="1:30">
      <c r="A712" s="3086"/>
      <c r="B712" s="2966"/>
      <c r="C712" s="2976"/>
      <c r="D712" s="2976"/>
      <c r="E712" s="2976"/>
      <c r="F712" s="2973"/>
      <c r="G712" s="2976"/>
      <c r="H712" s="2966"/>
      <c r="I712" s="2966"/>
      <c r="J712" s="2976"/>
      <c r="K712" s="2976"/>
      <c r="L712" s="2961"/>
      <c r="M712" s="2976"/>
      <c r="N712" s="2976"/>
      <c r="O712" s="2976"/>
      <c r="P712" s="2976"/>
      <c r="Q712" s="2972"/>
      <c r="R712" s="2976"/>
      <c r="S712" s="2961"/>
      <c r="T712" s="2961"/>
      <c r="U712" s="2923"/>
      <c r="V712" s="2923"/>
      <c r="W712" s="2923"/>
      <c r="X712" s="2961"/>
      <c r="Y712" s="2961"/>
      <c r="Z712" s="2976"/>
      <c r="AA712" s="2976"/>
      <c r="AB712" s="2976"/>
      <c r="AC712" s="2976"/>
      <c r="AD712" s="2976"/>
    </row>
    <row r="713" spans="1:30">
      <c r="A713" s="3086"/>
      <c r="B713" s="2966"/>
      <c r="C713" s="2976"/>
      <c r="D713" s="2976"/>
      <c r="E713" s="2976"/>
      <c r="F713" s="2973"/>
      <c r="G713" s="2976"/>
      <c r="H713" s="2966"/>
      <c r="I713" s="2966"/>
      <c r="J713" s="2976"/>
      <c r="K713" s="2976"/>
      <c r="L713" s="2961"/>
      <c r="M713" s="2976"/>
      <c r="N713" s="3086"/>
      <c r="O713" s="3086"/>
      <c r="P713" s="3086"/>
      <c r="Q713" s="2966"/>
      <c r="R713" s="2976"/>
      <c r="S713" s="2961"/>
      <c r="T713" s="2961"/>
      <c r="U713" s="2923"/>
      <c r="V713" s="2923"/>
      <c r="W713" s="2923"/>
      <c r="X713" s="2962"/>
      <c r="Y713" s="2971"/>
      <c r="Z713" s="3086"/>
      <c r="AA713" s="3086"/>
      <c r="AB713" s="3086"/>
      <c r="AC713" s="2976"/>
      <c r="AD713" s="2976"/>
    </row>
    <row r="714" spans="1:30">
      <c r="A714" s="2976"/>
      <c r="B714" s="2966"/>
      <c r="C714" s="2976"/>
      <c r="D714" s="3088"/>
      <c r="E714" s="2976"/>
      <c r="F714" s="2973"/>
      <c r="G714" s="2976"/>
      <c r="H714" s="2966"/>
      <c r="I714" s="2966"/>
      <c r="J714" s="2976"/>
      <c r="K714" s="2976"/>
      <c r="L714" s="2961"/>
      <c r="M714" s="2976"/>
      <c r="N714" s="3086"/>
      <c r="O714" s="3086"/>
      <c r="P714" s="3086"/>
      <c r="Q714" s="2966"/>
      <c r="R714" s="2976"/>
      <c r="S714" s="2961"/>
      <c r="T714" s="2961"/>
      <c r="U714" s="2923"/>
      <c r="V714" s="2923"/>
      <c r="W714" s="2923"/>
      <c r="X714" s="2962"/>
      <c r="Y714" s="2971"/>
      <c r="Z714" s="3086"/>
      <c r="AA714" s="3086"/>
      <c r="AB714" s="3086"/>
      <c r="AC714" s="2976"/>
      <c r="AD714" s="2976"/>
    </row>
    <row r="715" spans="1:30">
      <c r="A715" s="3086"/>
      <c r="B715" s="2966"/>
      <c r="C715" s="2976"/>
      <c r="D715" s="2976"/>
      <c r="E715" s="2976"/>
      <c r="F715" s="2973"/>
      <c r="G715" s="2976"/>
      <c r="H715" s="2966"/>
      <c r="I715" s="2966"/>
      <c r="J715" s="3088"/>
      <c r="K715" s="2976"/>
      <c r="L715" s="2961"/>
      <c r="M715" s="2976"/>
      <c r="N715" s="3086"/>
      <c r="O715" s="3086"/>
      <c r="P715" s="3086"/>
      <c r="Q715" s="2966"/>
      <c r="R715" s="2976"/>
      <c r="S715" s="2961"/>
      <c r="T715" s="2961"/>
      <c r="U715" s="2923"/>
      <c r="V715" s="2923"/>
      <c r="W715" s="2923"/>
      <c r="X715" s="2962"/>
      <c r="Y715" s="2961"/>
      <c r="Z715" s="3086"/>
      <c r="AA715" s="3086"/>
      <c r="AB715" s="3086"/>
      <c r="AC715" s="2976"/>
      <c r="AD715" s="2976"/>
    </row>
    <row r="716" spans="1:30">
      <c r="A716" s="3086"/>
      <c r="B716" s="2966"/>
      <c r="C716" s="2976"/>
      <c r="D716" s="2976"/>
      <c r="E716" s="2976"/>
      <c r="F716" s="2973"/>
      <c r="G716" s="2976"/>
      <c r="H716" s="2966"/>
      <c r="I716" s="2966"/>
      <c r="J716" s="2976"/>
      <c r="K716" s="2976"/>
      <c r="L716" s="2961"/>
      <c r="M716" s="2976"/>
      <c r="N716" s="3086"/>
      <c r="O716" s="3086"/>
      <c r="P716" s="3086"/>
      <c r="Q716" s="2966"/>
      <c r="R716" s="2976"/>
      <c r="S716" s="2961"/>
      <c r="T716" s="2961"/>
      <c r="U716" s="2923"/>
      <c r="V716" s="2923"/>
      <c r="W716" s="2923"/>
      <c r="X716" s="2962"/>
      <c r="Y716" s="2971"/>
      <c r="Z716" s="3094"/>
      <c r="AA716" s="3086"/>
      <c r="AB716" s="3086"/>
      <c r="AC716" s="2976"/>
      <c r="AD716" s="2976"/>
    </row>
    <row r="717" spans="1:30">
      <c r="A717" s="2963"/>
      <c r="B717" s="2873"/>
      <c r="C717" s="2964"/>
      <c r="D717" s="2964"/>
      <c r="E717" s="2964"/>
      <c r="F717" s="2965"/>
      <c r="G717" s="2964"/>
      <c r="H717" s="2873"/>
      <c r="I717" s="2966"/>
      <c r="J717" s="2964"/>
      <c r="K717" s="2964"/>
      <c r="L717" s="2967"/>
      <c r="M717" s="2964"/>
      <c r="N717" s="2963"/>
      <c r="O717" s="2963"/>
      <c r="P717" s="2963"/>
      <c r="Q717" s="2873"/>
      <c r="R717" s="2964"/>
      <c r="S717" s="2967"/>
      <c r="T717" s="2967"/>
      <c r="U717" s="2968"/>
      <c r="V717" s="2968"/>
      <c r="W717" s="2968"/>
      <c r="X717" s="2969"/>
      <c r="Y717" s="2975"/>
      <c r="Z717" s="2963"/>
      <c r="AA717" s="2963"/>
      <c r="AB717" s="2964"/>
      <c r="AC717" s="2976"/>
      <c r="AD717" s="2976"/>
    </row>
    <row r="718" spans="1:30">
      <c r="A718" s="3086"/>
      <c r="B718" s="2966"/>
      <c r="C718" s="2976"/>
      <c r="D718" s="2976"/>
      <c r="E718" s="2976"/>
      <c r="F718" s="2973"/>
      <c r="G718" s="2976"/>
      <c r="H718" s="2966"/>
      <c r="I718" s="2966"/>
      <c r="J718" s="2976"/>
      <c r="K718" s="2976"/>
      <c r="L718" s="2961"/>
      <c r="M718" s="2976"/>
      <c r="N718" s="3086"/>
      <c r="O718" s="3086"/>
      <c r="P718" s="3086"/>
      <c r="Q718" s="2966"/>
      <c r="R718" s="2976"/>
      <c r="S718" s="2961"/>
      <c r="T718" s="2961"/>
      <c r="U718" s="2923"/>
      <c r="V718" s="2923"/>
      <c r="W718" s="2923"/>
      <c r="X718" s="2962"/>
      <c r="Y718" s="2961"/>
      <c r="Z718" s="3086"/>
      <c r="AA718" s="3086"/>
      <c r="AB718" s="3086"/>
      <c r="AC718" s="2976"/>
      <c r="AD718" s="2976"/>
    </row>
    <row r="719" spans="1:30">
      <c r="A719" s="3086"/>
      <c r="B719" s="2966"/>
      <c r="C719" s="2976"/>
      <c r="D719" s="2976"/>
      <c r="E719" s="2976"/>
      <c r="F719" s="2973"/>
      <c r="G719" s="2976"/>
      <c r="H719" s="2966"/>
      <c r="I719" s="2966"/>
      <c r="J719" s="2976"/>
      <c r="K719" s="2976"/>
      <c r="L719" s="2961"/>
      <c r="M719" s="2976"/>
      <c r="N719" s="3086"/>
      <c r="O719" s="3086"/>
      <c r="P719" s="3086"/>
      <c r="Q719" s="2966"/>
      <c r="R719" s="2976"/>
      <c r="S719" s="2961"/>
      <c r="T719" s="2961"/>
      <c r="U719" s="2923"/>
      <c r="V719" s="2923"/>
      <c r="W719" s="2923"/>
      <c r="X719" s="2962"/>
      <c r="Y719" s="2961"/>
      <c r="Z719" s="3086"/>
      <c r="AA719" s="3086"/>
      <c r="AB719" s="3086"/>
      <c r="AC719" s="2976"/>
      <c r="AD719" s="2976"/>
    </row>
    <row r="720" spans="1:30">
      <c r="A720" s="3086"/>
      <c r="B720" s="2966"/>
      <c r="C720" s="2976"/>
      <c r="D720" s="2976"/>
      <c r="E720" s="2976"/>
      <c r="F720" s="2973"/>
      <c r="G720" s="2976"/>
      <c r="H720" s="2966"/>
      <c r="I720" s="2966"/>
      <c r="J720" s="2976"/>
      <c r="K720" s="2976"/>
      <c r="L720" s="2961"/>
      <c r="M720" s="2976"/>
      <c r="N720" s="3086"/>
      <c r="O720" s="3086"/>
      <c r="P720" s="3086"/>
      <c r="Q720" s="2966"/>
      <c r="R720" s="2976"/>
      <c r="S720" s="2961"/>
      <c r="T720" s="2961"/>
      <c r="U720" s="2923"/>
      <c r="V720" s="2923"/>
      <c r="W720" s="2923"/>
      <c r="X720" s="2962"/>
      <c r="Y720" s="2961"/>
      <c r="Z720" s="3086"/>
      <c r="AA720" s="3086"/>
      <c r="AB720" s="3086"/>
      <c r="AC720" s="2976"/>
      <c r="AD720" s="2976"/>
    </row>
    <row r="721" spans="1:30">
      <c r="A721" s="3086"/>
      <c r="B721" s="2966"/>
      <c r="C721" s="2976"/>
      <c r="D721" s="2976"/>
      <c r="E721" s="2976"/>
      <c r="F721" s="2973"/>
      <c r="G721" s="2976"/>
      <c r="H721" s="2966"/>
      <c r="I721" s="2966"/>
      <c r="J721" s="2976"/>
      <c r="K721" s="2976"/>
      <c r="L721" s="2961"/>
      <c r="M721" s="2976"/>
      <c r="N721" s="3086"/>
      <c r="O721" s="3086"/>
      <c r="P721" s="3086"/>
      <c r="Q721" s="2966"/>
      <c r="R721" s="2976"/>
      <c r="S721" s="2961"/>
      <c r="T721" s="2961"/>
      <c r="U721" s="2923"/>
      <c r="V721" s="2923"/>
      <c r="W721" s="2923"/>
      <c r="X721" s="2962"/>
      <c r="Y721" s="2961"/>
      <c r="Z721" s="3086"/>
      <c r="AA721" s="3086"/>
      <c r="AB721" s="3086"/>
      <c r="AC721" s="2976"/>
      <c r="AD721" s="2976"/>
    </row>
    <row r="722" spans="1:30">
      <c r="A722" s="3086"/>
      <c r="B722" s="2966"/>
      <c r="C722" s="2976"/>
      <c r="D722" s="2976"/>
      <c r="E722" s="2976"/>
      <c r="F722" s="2973"/>
      <c r="G722" s="2976"/>
      <c r="H722" s="2966"/>
      <c r="I722" s="2966"/>
      <c r="J722" s="2976"/>
      <c r="K722" s="2976"/>
      <c r="L722" s="2961"/>
      <c r="M722" s="2976"/>
      <c r="N722" s="3086"/>
      <c r="O722" s="3086"/>
      <c r="P722" s="3086"/>
      <c r="Q722" s="2966"/>
      <c r="R722" s="2976"/>
      <c r="S722" s="2961"/>
      <c r="T722" s="2961"/>
      <c r="U722" s="2923"/>
      <c r="V722" s="2923"/>
      <c r="W722" s="2923"/>
      <c r="X722" s="2962"/>
      <c r="Y722" s="2971"/>
      <c r="Z722" s="3086"/>
      <c r="AA722" s="3086"/>
      <c r="AB722" s="3086"/>
      <c r="AC722" s="2976"/>
      <c r="AD722" s="2976"/>
    </row>
    <row r="723" spans="1:30">
      <c r="A723" s="3086"/>
      <c r="B723" s="2966"/>
      <c r="C723" s="2976"/>
      <c r="D723" s="2976"/>
      <c r="E723" s="2976"/>
      <c r="F723" s="2973"/>
      <c r="G723" s="2976"/>
      <c r="H723" s="2966"/>
      <c r="I723" s="2966"/>
      <c r="J723" s="2976"/>
      <c r="K723" s="2976"/>
      <c r="L723" s="2961"/>
      <c r="M723" s="2976"/>
      <c r="N723" s="3086"/>
      <c r="O723" s="3086"/>
      <c r="P723" s="2976"/>
      <c r="Q723" s="2972"/>
      <c r="R723" s="2739"/>
      <c r="S723" s="2961"/>
      <c r="T723" s="2961"/>
      <c r="U723" s="2923"/>
      <c r="V723" s="2923"/>
      <c r="W723" s="2923"/>
      <c r="X723" s="2961"/>
      <c r="Y723" s="2961"/>
      <c r="Z723" s="2976"/>
      <c r="AA723" s="3086"/>
      <c r="AB723" s="2966"/>
      <c r="AC723" s="2976"/>
      <c r="AD723" s="2976"/>
    </row>
    <row r="724" spans="1:30">
      <c r="A724" s="3086"/>
      <c r="B724" s="2966"/>
      <c r="C724" s="2976"/>
      <c r="D724" s="2976"/>
      <c r="E724" s="2976"/>
      <c r="F724" s="2973"/>
      <c r="G724" s="2976"/>
      <c r="H724" s="2966"/>
      <c r="I724" s="2966"/>
      <c r="J724" s="2976"/>
      <c r="K724" s="2976"/>
      <c r="L724" s="2961"/>
      <c r="M724" s="2976"/>
      <c r="N724" s="3086"/>
      <c r="O724" s="3086"/>
      <c r="P724" s="2976"/>
      <c r="Q724" s="2972"/>
      <c r="R724" s="2739"/>
      <c r="S724" s="2961"/>
      <c r="T724" s="2961"/>
      <c r="U724" s="2923"/>
      <c r="V724" s="2923"/>
      <c r="W724" s="2923"/>
      <c r="X724" s="2961"/>
      <c r="Y724" s="2961"/>
      <c r="Z724" s="2976"/>
      <c r="AA724" s="3086"/>
      <c r="AB724" s="2966"/>
      <c r="AC724" s="2976"/>
      <c r="AD724" s="2976"/>
    </row>
    <row r="725" spans="1:30">
      <c r="A725" s="3086"/>
      <c r="B725" s="2966"/>
      <c r="C725" s="2976"/>
      <c r="D725" s="2976"/>
      <c r="E725" s="2976"/>
      <c r="F725" s="2973"/>
      <c r="G725" s="2976"/>
      <c r="H725" s="2966"/>
      <c r="I725" s="2966"/>
      <c r="J725" s="2976"/>
      <c r="K725" s="2976"/>
      <c r="L725" s="2961"/>
      <c r="M725" s="2976"/>
      <c r="N725" s="3086"/>
      <c r="O725" s="3086"/>
      <c r="P725" s="3086"/>
      <c r="Q725" s="2966"/>
      <c r="R725" s="2976"/>
      <c r="S725" s="2961"/>
      <c r="T725" s="2961"/>
      <c r="U725" s="2923"/>
      <c r="V725" s="2923"/>
      <c r="W725" s="2923"/>
      <c r="X725" s="2962"/>
      <c r="Y725" s="2961"/>
      <c r="Z725" s="3086"/>
      <c r="AA725" s="3086"/>
      <c r="AB725" s="3086"/>
      <c r="AC725" s="2976"/>
      <c r="AD725" s="2976"/>
    </row>
    <row r="726" spans="1:30">
      <c r="A726" s="3086"/>
      <c r="B726" s="2966"/>
      <c r="C726" s="2976"/>
      <c r="D726" s="2976"/>
      <c r="E726" s="2976"/>
      <c r="F726" s="2973"/>
      <c r="G726" s="2976"/>
      <c r="H726" s="2966"/>
      <c r="I726" s="2966"/>
      <c r="J726" s="2976"/>
      <c r="K726" s="2976"/>
      <c r="L726" s="2961"/>
      <c r="M726" s="3086"/>
      <c r="N726" s="3086"/>
      <c r="O726" s="3086"/>
      <c r="P726" s="2976"/>
      <c r="Q726" s="2972"/>
      <c r="R726" s="2739"/>
      <c r="S726" s="2961"/>
      <c r="T726" s="2961"/>
      <c r="U726" s="2923"/>
      <c r="V726" s="2923"/>
      <c r="W726" s="2923"/>
      <c r="X726" s="2961"/>
      <c r="Y726" s="2961"/>
      <c r="Z726" s="2976"/>
      <c r="AA726" s="3086"/>
      <c r="AB726" s="2966"/>
      <c r="AC726" s="2976"/>
      <c r="AD726" s="2976"/>
    </row>
    <row r="727" spans="1:30">
      <c r="A727" s="3086"/>
      <c r="B727" s="2966"/>
      <c r="C727" s="2976"/>
      <c r="D727" s="2976"/>
      <c r="E727" s="2976"/>
      <c r="F727" s="2973"/>
      <c r="G727" s="2976"/>
      <c r="H727" s="2966"/>
      <c r="I727" s="2966"/>
      <c r="J727" s="2976"/>
      <c r="K727" s="2976"/>
      <c r="L727" s="2961"/>
      <c r="M727" s="2976"/>
      <c r="N727" s="3086"/>
      <c r="O727" s="3086"/>
      <c r="P727" s="3086"/>
      <c r="Q727" s="2966"/>
      <c r="R727" s="2976"/>
      <c r="S727" s="2961"/>
      <c r="T727" s="2961"/>
      <c r="U727" s="2923"/>
      <c r="V727" s="2923"/>
      <c r="W727" s="2923"/>
      <c r="X727" s="2962"/>
      <c r="Y727" s="2961"/>
      <c r="Z727" s="3086"/>
      <c r="AA727" s="3086"/>
      <c r="AB727" s="3086"/>
      <c r="AC727" s="2976"/>
      <c r="AD727" s="2976"/>
    </row>
    <row r="728" spans="1:30">
      <c r="A728" s="3086"/>
      <c r="B728" s="2966"/>
      <c r="C728" s="2976"/>
      <c r="D728" s="2976"/>
      <c r="E728" s="2976"/>
      <c r="F728" s="2973"/>
      <c r="G728" s="2976"/>
      <c r="H728" s="2966"/>
      <c r="I728" s="2966"/>
      <c r="J728" s="2976"/>
      <c r="K728" s="2976"/>
      <c r="L728" s="2961"/>
      <c r="M728" s="2976"/>
      <c r="N728" s="3086"/>
      <c r="O728" s="3086"/>
      <c r="P728" s="3086"/>
      <c r="Q728" s="2966"/>
      <c r="R728" s="2976"/>
      <c r="S728" s="2961"/>
      <c r="T728" s="2961"/>
      <c r="U728" s="2923"/>
      <c r="V728" s="2923"/>
      <c r="W728" s="2923"/>
      <c r="X728" s="2962"/>
      <c r="Y728" s="2961"/>
      <c r="Z728" s="3086"/>
      <c r="AA728" s="3086"/>
      <c r="AB728" s="3086"/>
      <c r="AC728" s="2976"/>
      <c r="AD728" s="2976"/>
    </row>
    <row r="729" spans="1:30">
      <c r="A729" s="3086"/>
      <c r="B729" s="2966"/>
      <c r="C729" s="2976"/>
      <c r="D729" s="2976"/>
      <c r="E729" s="2976"/>
      <c r="F729" s="2973"/>
      <c r="G729" s="2976"/>
      <c r="H729" s="2966"/>
      <c r="I729" s="2966"/>
      <c r="J729" s="2976"/>
      <c r="K729" s="2976"/>
      <c r="L729" s="2961"/>
      <c r="M729" s="2976"/>
      <c r="N729" s="3086"/>
      <c r="O729" s="3086"/>
      <c r="P729" s="3086"/>
      <c r="Q729" s="2966"/>
      <c r="R729" s="2976"/>
      <c r="S729" s="2961"/>
      <c r="T729" s="2961"/>
      <c r="U729" s="2923"/>
      <c r="V729" s="2923"/>
      <c r="W729" s="2923"/>
      <c r="X729" s="2962"/>
      <c r="Y729" s="2961"/>
      <c r="Z729" s="3086"/>
      <c r="AA729" s="3086"/>
      <c r="AB729" s="3086"/>
      <c r="AC729" s="2976"/>
      <c r="AD729" s="2976"/>
    </row>
    <row r="730" spans="1:30">
      <c r="A730" s="3086"/>
      <c r="B730" s="2966"/>
      <c r="C730" s="2976"/>
      <c r="D730" s="2976"/>
      <c r="E730" s="2976"/>
      <c r="F730" s="2973"/>
      <c r="G730" s="2976"/>
      <c r="H730" s="2966"/>
      <c r="I730" s="2966"/>
      <c r="J730" s="2976"/>
      <c r="K730" s="2976"/>
      <c r="L730" s="2961"/>
      <c r="M730" s="2976"/>
      <c r="N730" s="3086"/>
      <c r="O730" s="3086"/>
      <c r="P730" s="3086"/>
      <c r="Q730" s="2966"/>
      <c r="R730" s="2976"/>
      <c r="S730" s="2961"/>
      <c r="T730" s="2961"/>
      <c r="U730" s="2923"/>
      <c r="V730" s="2923"/>
      <c r="W730" s="2923"/>
      <c r="X730" s="2962"/>
      <c r="Y730" s="2961"/>
      <c r="Z730" s="3086"/>
      <c r="AA730" s="3086"/>
      <c r="AB730" s="3086"/>
      <c r="AC730" s="2976"/>
      <c r="AD730" s="2976"/>
    </row>
    <row r="731" spans="1:30">
      <c r="A731" s="3086"/>
      <c r="B731" s="2966"/>
      <c r="C731" s="2976"/>
      <c r="D731" s="2976"/>
      <c r="E731" s="2976"/>
      <c r="F731" s="2973"/>
      <c r="G731" s="2976"/>
      <c r="H731" s="2966"/>
      <c r="I731" s="2966"/>
      <c r="J731" s="2976"/>
      <c r="K731" s="2976"/>
      <c r="L731" s="2961"/>
      <c r="M731" s="2976"/>
      <c r="N731" s="3086"/>
      <c r="O731" s="3086"/>
      <c r="P731" s="3086"/>
      <c r="Q731" s="2966"/>
      <c r="R731" s="2976"/>
      <c r="S731" s="2961"/>
      <c r="T731" s="2961"/>
      <c r="U731" s="2923"/>
      <c r="V731" s="2923"/>
      <c r="W731" s="2923"/>
      <c r="X731" s="2962"/>
      <c r="Y731" s="2961"/>
      <c r="Z731" s="3086"/>
      <c r="AA731" s="3086"/>
      <c r="AB731" s="3086"/>
      <c r="AC731" s="2976"/>
      <c r="AD731" s="2976"/>
    </row>
    <row r="732" spans="1:30">
      <c r="A732" s="3086"/>
      <c r="B732" s="2966"/>
      <c r="C732" s="2976"/>
      <c r="D732" s="2976"/>
      <c r="E732" s="2976"/>
      <c r="F732" s="2973"/>
      <c r="G732" s="2976"/>
      <c r="H732" s="2966"/>
      <c r="I732" s="2966"/>
      <c r="J732" s="2976"/>
      <c r="K732" s="2976"/>
      <c r="L732" s="2961"/>
      <c r="M732" s="2976"/>
      <c r="N732" s="3086"/>
      <c r="O732" s="3086"/>
      <c r="P732" s="3086"/>
      <c r="Q732" s="2972"/>
      <c r="R732" s="2739"/>
      <c r="S732" s="2961"/>
      <c r="T732" s="2961"/>
      <c r="U732" s="2923"/>
      <c r="V732" s="2923"/>
      <c r="W732" s="2923"/>
      <c r="X732" s="2962"/>
      <c r="Y732" s="2961"/>
      <c r="Z732" s="2976"/>
      <c r="AA732" s="3086"/>
      <c r="AB732" s="2976"/>
      <c r="AC732" s="2976"/>
      <c r="AD732" s="2976"/>
    </row>
    <row r="733" spans="1:30">
      <c r="A733" s="3086"/>
      <c r="B733" s="2966"/>
      <c r="C733" s="2976"/>
      <c r="D733" s="2976"/>
      <c r="E733" s="2976"/>
      <c r="F733" s="2973"/>
      <c r="G733" s="2976"/>
      <c r="H733" s="2966"/>
      <c r="I733" s="2966"/>
      <c r="J733" s="2976"/>
      <c r="K733" s="2976"/>
      <c r="L733" s="2961"/>
      <c r="M733" s="2976"/>
      <c r="N733" s="3086"/>
      <c r="O733" s="3086"/>
      <c r="P733" s="3086"/>
      <c r="Q733" s="2972"/>
      <c r="R733" s="2739"/>
      <c r="S733" s="2961"/>
      <c r="T733" s="2961"/>
      <c r="U733" s="2923"/>
      <c r="V733" s="2923"/>
      <c r="W733" s="2923"/>
      <c r="X733" s="2962"/>
      <c r="Y733" s="2961"/>
      <c r="Z733" s="2976"/>
      <c r="AA733" s="3086"/>
      <c r="AB733" s="2976"/>
      <c r="AC733" s="2976"/>
      <c r="AD733" s="2976"/>
    </row>
    <row r="734" spans="1:30">
      <c r="A734" s="3086"/>
      <c r="B734" s="2966"/>
      <c r="C734" s="2976"/>
      <c r="D734" s="2976"/>
      <c r="E734" s="2976"/>
      <c r="F734" s="2973"/>
      <c r="G734" s="2976"/>
      <c r="H734" s="2966"/>
      <c r="I734" s="2966"/>
      <c r="J734" s="2976"/>
      <c r="K734" s="2976"/>
      <c r="L734" s="2961"/>
      <c r="M734" s="2976"/>
      <c r="N734" s="3086"/>
      <c r="O734" s="3086"/>
      <c r="P734" s="3086"/>
      <c r="Q734" s="2972"/>
      <c r="R734" s="2739"/>
      <c r="S734" s="2961"/>
      <c r="T734" s="2961"/>
      <c r="U734" s="2923"/>
      <c r="V734" s="2923"/>
      <c r="W734" s="2923"/>
      <c r="X734" s="2962"/>
      <c r="Y734" s="2961"/>
      <c r="Z734" s="2976"/>
      <c r="AA734" s="3086"/>
      <c r="AB734" s="2976"/>
      <c r="AC734" s="2976"/>
      <c r="AD734" s="2976"/>
    </row>
    <row r="735" spans="1:30">
      <c r="A735" s="3086"/>
      <c r="B735" s="2966"/>
      <c r="C735" s="2976"/>
      <c r="D735" s="2976"/>
      <c r="E735" s="2976"/>
      <c r="F735" s="2973"/>
      <c r="G735" s="2976"/>
      <c r="H735" s="2966"/>
      <c r="I735" s="2966"/>
      <c r="J735" s="2976"/>
      <c r="K735" s="2976"/>
      <c r="L735" s="2961"/>
      <c r="M735" s="2976"/>
      <c r="N735" s="3086"/>
      <c r="O735" s="3086"/>
      <c r="P735" s="3086"/>
      <c r="Q735" s="2966"/>
      <c r="R735" s="2976"/>
      <c r="S735" s="2961"/>
      <c r="T735" s="2961"/>
      <c r="U735" s="2923"/>
      <c r="V735" s="2923"/>
      <c r="W735" s="2923"/>
      <c r="X735" s="2962"/>
      <c r="Y735" s="2961"/>
      <c r="Z735" s="3086"/>
      <c r="AA735" s="3086"/>
      <c r="AB735" s="2976"/>
      <c r="AC735" s="2976"/>
      <c r="AD735" s="2976"/>
    </row>
    <row r="736" spans="1:30">
      <c r="A736" s="3086"/>
      <c r="B736" s="2966"/>
      <c r="C736" s="2976"/>
      <c r="D736" s="2976"/>
      <c r="E736" s="2976"/>
      <c r="F736" s="2973"/>
      <c r="G736" s="2976"/>
      <c r="H736" s="2966"/>
      <c r="I736" s="2966"/>
      <c r="J736" s="2976"/>
      <c r="K736" s="2976"/>
      <c r="L736" s="2961"/>
      <c r="M736" s="2976"/>
      <c r="N736" s="3086"/>
      <c r="O736" s="3086"/>
      <c r="P736" s="2976"/>
      <c r="Q736" s="2972"/>
      <c r="R736" s="2739"/>
      <c r="S736" s="2961"/>
      <c r="T736" s="2961"/>
      <c r="U736" s="2923"/>
      <c r="V736" s="2923"/>
      <c r="W736" s="2923"/>
      <c r="X736" s="2961"/>
      <c r="Y736" s="2961"/>
      <c r="Z736" s="2976"/>
      <c r="AA736" s="3086"/>
      <c r="AB736" s="2976"/>
      <c r="AC736" s="2976"/>
      <c r="AD736" s="2976"/>
    </row>
    <row r="737" spans="1:30">
      <c r="A737" s="2976"/>
      <c r="B737" s="2966"/>
      <c r="C737" s="2976"/>
      <c r="D737" s="2976"/>
      <c r="E737" s="2976"/>
      <c r="F737" s="2973"/>
      <c r="G737" s="2976"/>
      <c r="H737" s="2966"/>
      <c r="I737" s="2966"/>
      <c r="J737" s="2976"/>
      <c r="K737" s="2976"/>
      <c r="L737" s="2961"/>
      <c r="M737" s="2976"/>
      <c r="N737" s="3086"/>
      <c r="O737" s="3086"/>
      <c r="P737" s="3086"/>
      <c r="Q737" s="2966"/>
      <c r="R737" s="2976"/>
      <c r="S737" s="2961"/>
      <c r="T737" s="2961"/>
      <c r="U737" s="2923"/>
      <c r="V737" s="2923"/>
      <c r="W737" s="2923"/>
      <c r="X737" s="2962"/>
      <c r="Y737" s="2961"/>
      <c r="Z737" s="3086"/>
      <c r="AA737" s="3086"/>
      <c r="AB737" s="3086"/>
      <c r="AC737" s="2976"/>
      <c r="AD737" s="2976"/>
    </row>
    <row r="738" spans="1:30">
      <c r="A738" s="3086"/>
      <c r="B738" s="2966"/>
      <c r="C738" s="2976"/>
      <c r="D738" s="2976"/>
      <c r="E738" s="2976"/>
      <c r="F738" s="2973"/>
      <c r="G738" s="2976"/>
      <c r="H738" s="2966"/>
      <c r="I738" s="2966"/>
      <c r="J738" s="2976"/>
      <c r="K738" s="2976"/>
      <c r="L738" s="2961"/>
      <c r="M738" s="2976"/>
      <c r="N738" s="3086"/>
      <c r="O738" s="3086"/>
      <c r="P738" s="3086"/>
      <c r="Q738" s="2966"/>
      <c r="R738" s="2976"/>
      <c r="S738" s="2961"/>
      <c r="T738" s="2961"/>
      <c r="U738" s="2923"/>
      <c r="V738" s="2923"/>
      <c r="W738" s="2923"/>
      <c r="X738" s="2962"/>
      <c r="Y738" s="2971"/>
      <c r="Z738" s="3086"/>
      <c r="AA738" s="3086"/>
      <c r="AB738" s="3086"/>
      <c r="AC738" s="2976"/>
      <c r="AD738" s="2976"/>
    </row>
    <row r="739" spans="1:30">
      <c r="A739" s="3086"/>
      <c r="B739" s="2966"/>
      <c r="C739" s="2976"/>
      <c r="D739" s="2976"/>
      <c r="E739" s="2976"/>
      <c r="F739" s="2973"/>
      <c r="G739" s="2976"/>
      <c r="H739" s="2966"/>
      <c r="I739" s="2966"/>
      <c r="J739" s="2976"/>
      <c r="K739" s="2976"/>
      <c r="L739" s="2961"/>
      <c r="M739" s="2976"/>
      <c r="N739" s="3086"/>
      <c r="O739" s="3086"/>
      <c r="P739" s="3086"/>
      <c r="Q739" s="2974"/>
      <c r="R739" s="2739"/>
      <c r="S739" s="2961"/>
      <c r="T739" s="2961"/>
      <c r="U739" s="2923"/>
      <c r="V739" s="2923"/>
      <c r="W739" s="2923"/>
      <c r="X739" s="2962"/>
      <c r="Y739" s="2961"/>
      <c r="Z739" s="2976"/>
      <c r="AA739" s="3086"/>
      <c r="AB739" s="2966"/>
      <c r="AC739" s="2976"/>
      <c r="AD739" s="2976"/>
    </row>
    <row r="740" spans="1:30">
      <c r="A740" s="3086"/>
      <c r="B740" s="2966"/>
      <c r="C740" s="2976"/>
      <c r="D740" s="2976"/>
      <c r="E740" s="2976"/>
      <c r="F740" s="2973"/>
      <c r="G740" s="2976"/>
      <c r="H740" s="2966"/>
      <c r="I740" s="2966"/>
      <c r="J740" s="2976"/>
      <c r="K740" s="2976"/>
      <c r="L740" s="2961"/>
      <c r="M740" s="2976"/>
      <c r="N740" s="3086"/>
      <c r="O740" s="3086"/>
      <c r="P740" s="2976"/>
      <c r="Q740" s="2972"/>
      <c r="R740" s="2739"/>
      <c r="S740" s="2961"/>
      <c r="T740" s="2961"/>
      <c r="U740" s="2923"/>
      <c r="V740" s="2923"/>
      <c r="W740" s="2923"/>
      <c r="X740" s="2961"/>
      <c r="Y740" s="2961"/>
      <c r="Z740" s="2976"/>
      <c r="AA740" s="3086"/>
      <c r="AB740" s="2966"/>
      <c r="AC740" s="2976"/>
      <c r="AD740" s="2976"/>
    </row>
    <row r="741" spans="1:30">
      <c r="A741" s="3086"/>
      <c r="B741" s="2966"/>
      <c r="C741" s="2976"/>
      <c r="D741" s="2976"/>
      <c r="E741" s="2976"/>
      <c r="F741" s="2973"/>
      <c r="G741" s="2976"/>
      <c r="H741" s="2966"/>
      <c r="I741" s="2966"/>
      <c r="J741" s="2976"/>
      <c r="K741" s="2976"/>
      <c r="L741" s="2961"/>
      <c r="M741" s="2976"/>
      <c r="N741" s="3086"/>
      <c r="O741" s="3086"/>
      <c r="P741" s="3086"/>
      <c r="Q741" s="2966"/>
      <c r="R741" s="2976"/>
      <c r="S741" s="2961"/>
      <c r="T741" s="2961"/>
      <c r="U741" s="2923"/>
      <c r="V741" s="2923"/>
      <c r="W741" s="2923"/>
      <c r="X741" s="2961"/>
      <c r="Y741" s="2961"/>
      <c r="Z741" s="2976"/>
      <c r="AA741" s="2976"/>
      <c r="AB741" s="2976"/>
      <c r="AC741" s="2976"/>
      <c r="AD741" s="2976"/>
    </row>
    <row r="742" spans="1:30">
      <c r="A742" s="3086"/>
      <c r="B742" s="2966"/>
      <c r="C742" s="2976"/>
      <c r="D742" s="2976"/>
      <c r="E742" s="2976"/>
      <c r="F742" s="2973"/>
      <c r="G742" s="2976"/>
      <c r="H742" s="2966"/>
      <c r="I742" s="2966"/>
      <c r="J742" s="2976"/>
      <c r="K742" s="2976"/>
      <c r="L742" s="2961"/>
      <c r="M742" s="2976"/>
      <c r="N742" s="3086"/>
      <c r="O742" s="3086"/>
      <c r="P742" s="2976"/>
      <c r="Q742" s="2966"/>
      <c r="R742" s="2976"/>
      <c r="S742" s="2961"/>
      <c r="T742" s="2961"/>
      <c r="U742" s="2923"/>
      <c r="V742" s="2923"/>
      <c r="W742" s="2923"/>
      <c r="X742" s="2961"/>
      <c r="Y742" s="2961"/>
      <c r="Z742" s="2976"/>
      <c r="AA742" s="2976"/>
      <c r="AB742" s="2976"/>
      <c r="AC742" s="2976"/>
      <c r="AD742" s="2976"/>
    </row>
    <row r="743" spans="1:30">
      <c r="A743" s="3086"/>
      <c r="B743" s="2966"/>
      <c r="C743" s="2976"/>
      <c r="D743" s="2976"/>
      <c r="E743" s="2976"/>
      <c r="F743" s="2973"/>
      <c r="G743" s="2976"/>
      <c r="H743" s="2966"/>
      <c r="I743" s="2966"/>
      <c r="J743" s="2976"/>
      <c r="K743" s="2976"/>
      <c r="L743" s="2961"/>
      <c r="M743" s="2976"/>
      <c r="N743" s="2976"/>
      <c r="O743" s="2976"/>
      <c r="P743" s="3086"/>
      <c r="Q743" s="2966"/>
      <c r="R743" s="2976"/>
      <c r="S743" s="2961"/>
      <c r="T743" s="2961"/>
      <c r="U743" s="2923"/>
      <c r="V743" s="2923"/>
      <c r="W743" s="2923"/>
      <c r="X743" s="2961"/>
      <c r="Y743" s="2961"/>
      <c r="Z743" s="2976"/>
      <c r="AA743" s="2976"/>
      <c r="AB743" s="2976"/>
      <c r="AC743" s="2976"/>
      <c r="AD743" s="2976"/>
    </row>
    <row r="744" spans="1:30">
      <c r="A744" s="3086"/>
      <c r="B744" s="2966"/>
      <c r="C744" s="2976"/>
      <c r="D744" s="2976"/>
      <c r="E744" s="2976"/>
      <c r="F744" s="2973"/>
      <c r="G744" s="2976"/>
      <c r="H744" s="2966"/>
      <c r="I744" s="2966"/>
      <c r="J744" s="2976"/>
      <c r="K744" s="2976"/>
      <c r="L744" s="2961"/>
      <c r="M744" s="2976"/>
      <c r="N744" s="2976"/>
      <c r="O744" s="2976"/>
      <c r="P744" s="2976"/>
      <c r="Q744" s="2966"/>
      <c r="R744" s="2976"/>
      <c r="S744" s="2961"/>
      <c r="T744" s="2961"/>
      <c r="U744" s="2923"/>
      <c r="V744" s="2923"/>
      <c r="W744" s="2923"/>
      <c r="X744" s="2961"/>
      <c r="Y744" s="2961"/>
      <c r="Z744" s="2976"/>
      <c r="AA744" s="2976"/>
      <c r="AB744" s="2976"/>
      <c r="AC744" s="2976"/>
      <c r="AD744" s="2976"/>
    </row>
    <row r="745" spans="1:30">
      <c r="A745" s="3086"/>
      <c r="B745" s="2966"/>
      <c r="C745" s="2976"/>
      <c r="D745" s="2976"/>
      <c r="E745" s="2976"/>
      <c r="F745" s="2973"/>
      <c r="G745" s="2976"/>
      <c r="H745" s="2966"/>
      <c r="I745" s="2966"/>
      <c r="J745" s="2976"/>
      <c r="K745" s="2976"/>
      <c r="L745" s="2961"/>
      <c r="M745" s="2976"/>
      <c r="N745" s="2976"/>
      <c r="O745" s="2976"/>
      <c r="P745" s="2976"/>
      <c r="Q745" s="2966"/>
      <c r="R745" s="2976"/>
      <c r="S745" s="2961"/>
      <c r="T745" s="2961"/>
      <c r="U745" s="2923"/>
      <c r="V745" s="2923"/>
      <c r="W745" s="2923"/>
      <c r="X745" s="2961"/>
      <c r="Y745" s="2961"/>
      <c r="Z745" s="2976"/>
      <c r="AA745" s="2976"/>
      <c r="AB745" s="2976"/>
      <c r="AC745" s="2976"/>
      <c r="AD745" s="2976"/>
    </row>
    <row r="746" spans="1:30">
      <c r="A746" s="3086"/>
      <c r="B746" s="2966"/>
      <c r="C746" s="2976"/>
      <c r="D746" s="2976"/>
      <c r="E746" s="2976"/>
      <c r="F746" s="2973"/>
      <c r="G746" s="2976"/>
      <c r="H746" s="2966"/>
      <c r="I746" s="2966"/>
      <c r="J746" s="2976"/>
      <c r="K746" s="2976"/>
      <c r="L746" s="2961"/>
      <c r="M746" s="2976"/>
      <c r="N746" s="2976"/>
      <c r="O746" s="2976"/>
      <c r="P746" s="2976"/>
      <c r="Q746" s="2966"/>
      <c r="R746" s="2976"/>
      <c r="S746" s="2961"/>
      <c r="T746" s="2961"/>
      <c r="U746" s="2923"/>
      <c r="V746" s="2923"/>
      <c r="W746" s="2923"/>
      <c r="X746" s="2961"/>
      <c r="Y746" s="2961"/>
      <c r="Z746" s="2976"/>
      <c r="AA746" s="2976"/>
      <c r="AB746" s="2976"/>
      <c r="AC746" s="2976"/>
      <c r="AD746" s="2976"/>
    </row>
    <row r="747" spans="1:30">
      <c r="A747" s="3086"/>
      <c r="B747" s="2966"/>
      <c r="C747" s="2976"/>
      <c r="D747" s="2976"/>
      <c r="E747" s="2976"/>
      <c r="F747" s="2973"/>
      <c r="G747" s="2976"/>
      <c r="H747" s="2966"/>
      <c r="I747" s="2966"/>
      <c r="J747" s="2976"/>
      <c r="K747" s="2976"/>
      <c r="L747" s="2961"/>
      <c r="M747" s="2976"/>
      <c r="N747" s="2976"/>
      <c r="O747" s="2976"/>
      <c r="P747" s="2976"/>
      <c r="Q747" s="2966"/>
      <c r="R747" s="2976"/>
      <c r="S747" s="2961"/>
      <c r="T747" s="2961"/>
      <c r="U747" s="2923"/>
      <c r="V747" s="2923"/>
      <c r="W747" s="2923"/>
      <c r="X747" s="2961"/>
      <c r="Y747" s="2961"/>
      <c r="Z747" s="2976"/>
      <c r="AA747" s="2976"/>
      <c r="AB747" s="2976"/>
      <c r="AC747" s="2976"/>
      <c r="AD747" s="2976"/>
    </row>
    <row r="748" spans="1:30">
      <c r="A748" s="3086"/>
      <c r="B748" s="2966"/>
      <c r="C748" s="2976"/>
      <c r="D748" s="2976"/>
      <c r="E748" s="2976"/>
      <c r="F748" s="2973"/>
      <c r="G748" s="2976"/>
      <c r="H748" s="2966"/>
      <c r="I748" s="2966"/>
      <c r="J748" s="2976"/>
      <c r="K748" s="2976"/>
      <c r="L748" s="2961"/>
      <c r="M748" s="2976"/>
      <c r="N748" s="2976"/>
      <c r="O748" s="2976"/>
      <c r="P748" s="2976"/>
      <c r="Q748" s="2966"/>
      <c r="R748" s="2976"/>
      <c r="S748" s="2961"/>
      <c r="T748" s="2961"/>
      <c r="U748" s="2923"/>
      <c r="V748" s="2923"/>
      <c r="W748" s="2923"/>
      <c r="X748" s="2961"/>
      <c r="Y748" s="2961"/>
      <c r="Z748" s="2976"/>
      <c r="AA748" s="2976"/>
      <c r="AB748" s="2976"/>
      <c r="AC748" s="2976"/>
      <c r="AD748" s="2976"/>
    </row>
    <row r="749" spans="1:30">
      <c r="A749" s="3086"/>
      <c r="B749" s="2966"/>
      <c r="C749" s="2976"/>
      <c r="D749" s="2976"/>
      <c r="E749" s="2976"/>
      <c r="F749" s="2973"/>
      <c r="G749" s="2976"/>
      <c r="H749" s="2966"/>
      <c r="I749" s="2966"/>
      <c r="J749" s="2976"/>
      <c r="K749" s="2976"/>
      <c r="L749" s="2961"/>
      <c r="M749" s="2976"/>
      <c r="N749" s="2976"/>
      <c r="O749" s="2976"/>
      <c r="P749" s="2976"/>
      <c r="Q749" s="2966"/>
      <c r="R749" s="2976"/>
      <c r="S749" s="2961"/>
      <c r="T749" s="2961"/>
      <c r="U749" s="2923"/>
      <c r="V749" s="2923"/>
      <c r="W749" s="2923"/>
      <c r="X749" s="2961"/>
      <c r="Y749" s="2961"/>
      <c r="Z749" s="2976"/>
      <c r="AA749" s="2976"/>
      <c r="AB749" s="2976"/>
      <c r="AC749" s="2976"/>
      <c r="AD749" s="2976"/>
    </row>
    <row r="750" spans="1:30">
      <c r="A750" s="3086"/>
      <c r="B750" s="2966"/>
      <c r="C750" s="2976"/>
      <c r="D750" s="2976"/>
      <c r="E750" s="2976"/>
      <c r="F750" s="2973"/>
      <c r="G750" s="2976"/>
      <c r="H750" s="2966"/>
      <c r="I750" s="2966"/>
      <c r="J750" s="2976"/>
      <c r="K750" s="2976"/>
      <c r="L750" s="2961"/>
      <c r="M750" s="2976"/>
      <c r="N750" s="2976"/>
      <c r="O750" s="2976"/>
      <c r="P750" s="2976"/>
      <c r="Q750" s="2966"/>
      <c r="R750" s="2739"/>
      <c r="S750" s="2961"/>
      <c r="T750" s="2961"/>
      <c r="U750" s="2923"/>
      <c r="V750" s="2923"/>
      <c r="W750" s="2923"/>
      <c r="X750" s="2961"/>
      <c r="Y750" s="2961"/>
      <c r="Z750" s="2976"/>
      <c r="AA750" s="2976"/>
      <c r="AB750" s="2976"/>
      <c r="AC750" s="2976"/>
      <c r="AD750" s="2976"/>
    </row>
    <row r="751" spans="1:30">
      <c r="A751" s="3086"/>
      <c r="B751" s="2966"/>
      <c r="C751" s="2976"/>
      <c r="D751" s="2976"/>
      <c r="E751" s="2976"/>
      <c r="F751" s="2973"/>
      <c r="G751" s="2976"/>
      <c r="H751" s="2966"/>
      <c r="I751" s="2966"/>
      <c r="J751" s="2976"/>
      <c r="K751" s="2976"/>
      <c r="L751" s="2961"/>
      <c r="M751" s="2976"/>
      <c r="N751" s="2976"/>
      <c r="O751" s="2976"/>
      <c r="P751" s="2976"/>
      <c r="Q751" s="2966"/>
      <c r="R751" s="2739"/>
      <c r="S751" s="2961"/>
      <c r="T751" s="2961"/>
      <c r="U751" s="2923"/>
      <c r="V751" s="2923"/>
      <c r="W751" s="2923"/>
      <c r="X751" s="2961"/>
      <c r="Y751" s="2961"/>
      <c r="Z751" s="2976"/>
      <c r="AA751" s="2976"/>
      <c r="AB751" s="2976"/>
      <c r="AC751" s="2976"/>
      <c r="AD751" s="2976"/>
    </row>
    <row r="752" spans="1:30">
      <c r="A752" s="3086"/>
      <c r="B752" s="2966"/>
      <c r="C752" s="2976"/>
      <c r="D752" s="2976"/>
      <c r="E752" s="2976"/>
      <c r="F752" s="2973"/>
      <c r="G752" s="2976"/>
      <c r="H752" s="2966"/>
      <c r="I752" s="2966"/>
      <c r="J752" s="2976"/>
      <c r="K752" s="2976"/>
      <c r="L752" s="2961"/>
      <c r="M752" s="2976"/>
      <c r="N752" s="2976"/>
      <c r="O752" s="2976"/>
      <c r="P752" s="2976"/>
      <c r="Q752" s="2966"/>
      <c r="R752" s="2739"/>
      <c r="S752" s="2961"/>
      <c r="T752" s="2961"/>
      <c r="U752" s="2923"/>
      <c r="V752" s="2923"/>
      <c r="W752" s="2923"/>
      <c r="X752" s="2961"/>
      <c r="Y752" s="2961"/>
      <c r="Z752" s="2976"/>
      <c r="AA752" s="2976"/>
      <c r="AB752" s="2976"/>
      <c r="AC752" s="2976"/>
      <c r="AD752" s="2976"/>
    </row>
    <row r="753" spans="1:30">
      <c r="A753" s="3086"/>
      <c r="B753" s="2966"/>
      <c r="C753" s="2976"/>
      <c r="D753" s="2976"/>
      <c r="E753" s="2976"/>
      <c r="F753" s="2973"/>
      <c r="G753" s="2976"/>
      <c r="H753" s="2966"/>
      <c r="I753" s="2966"/>
      <c r="J753" s="2976"/>
      <c r="K753" s="2976"/>
      <c r="L753" s="2961"/>
      <c r="M753" s="2976"/>
      <c r="N753" s="2976"/>
      <c r="O753" s="2976"/>
      <c r="P753" s="2976"/>
      <c r="Q753" s="2966"/>
      <c r="R753" s="2739"/>
      <c r="S753" s="2961"/>
      <c r="T753" s="2961"/>
      <c r="U753" s="2923"/>
      <c r="V753" s="2923"/>
      <c r="W753" s="2923"/>
      <c r="X753" s="2961"/>
      <c r="Y753" s="2961"/>
      <c r="Z753" s="2976"/>
      <c r="AA753" s="2976"/>
      <c r="AB753" s="2976"/>
      <c r="AC753" s="2976"/>
      <c r="AD753" s="2976"/>
    </row>
    <row r="754" spans="1:30">
      <c r="A754" s="3086"/>
      <c r="B754" s="2966"/>
      <c r="C754" s="2976"/>
      <c r="D754" s="2976"/>
      <c r="E754" s="2976"/>
      <c r="F754" s="2973"/>
      <c r="G754" s="2976"/>
      <c r="H754" s="2966"/>
      <c r="I754" s="2966"/>
      <c r="J754" s="2976"/>
      <c r="K754" s="2976"/>
      <c r="L754" s="2961"/>
      <c r="M754" s="2976"/>
      <c r="N754" s="2976"/>
      <c r="O754" s="2976"/>
      <c r="P754" s="2976"/>
      <c r="Q754" s="2966"/>
      <c r="R754" s="2739"/>
      <c r="S754" s="2961"/>
      <c r="T754" s="2961"/>
      <c r="U754" s="2923"/>
      <c r="V754" s="2923"/>
      <c r="W754" s="2923"/>
      <c r="X754" s="2961"/>
      <c r="Y754" s="2961"/>
      <c r="Z754" s="2976"/>
      <c r="AA754" s="2976"/>
      <c r="AB754" s="2976"/>
      <c r="AC754" s="2976"/>
      <c r="AD754" s="2976"/>
    </row>
    <row r="755" spans="1:30">
      <c r="A755" s="3086"/>
      <c r="B755" s="2966"/>
      <c r="C755" s="2976"/>
      <c r="D755" s="2976"/>
      <c r="E755" s="2976"/>
      <c r="F755" s="2973"/>
      <c r="G755" s="2976"/>
      <c r="H755" s="2966"/>
      <c r="I755" s="2966"/>
      <c r="J755" s="2976"/>
      <c r="K755" s="2976"/>
      <c r="L755" s="2961"/>
      <c r="M755" s="2976"/>
      <c r="N755" s="2976"/>
      <c r="O755" s="2976"/>
      <c r="P755" s="2976"/>
      <c r="Q755" s="2966"/>
      <c r="R755" s="2739"/>
      <c r="S755" s="2961"/>
      <c r="T755" s="2961"/>
      <c r="U755" s="2923"/>
      <c r="V755" s="2923"/>
      <c r="W755" s="2923"/>
      <c r="X755" s="2961"/>
      <c r="Y755" s="2961"/>
      <c r="Z755" s="2976"/>
      <c r="AA755" s="2976"/>
      <c r="AB755" s="2976"/>
      <c r="AC755" s="2976"/>
      <c r="AD755" s="2976"/>
    </row>
    <row r="756" spans="1:30">
      <c r="A756" s="3086"/>
      <c r="B756" s="2966"/>
      <c r="C756" s="2976"/>
      <c r="D756" s="2976"/>
      <c r="E756" s="2976"/>
      <c r="F756" s="2973"/>
      <c r="G756" s="2976"/>
      <c r="H756" s="2966"/>
      <c r="I756" s="2966"/>
      <c r="J756" s="2976"/>
      <c r="K756" s="2976"/>
      <c r="L756" s="2961"/>
      <c r="M756" s="2976"/>
      <c r="N756" s="2976"/>
      <c r="O756" s="2976"/>
      <c r="P756" s="2976"/>
      <c r="Q756" s="2966"/>
      <c r="R756" s="2739"/>
      <c r="S756" s="2961"/>
      <c r="T756" s="2961"/>
      <c r="U756" s="2923"/>
      <c r="V756" s="2923"/>
      <c r="W756" s="2923"/>
      <c r="X756" s="2961"/>
      <c r="Y756" s="2961"/>
      <c r="Z756" s="2976"/>
      <c r="AA756" s="2976"/>
      <c r="AB756" s="2976"/>
      <c r="AC756" s="2976"/>
      <c r="AD756" s="2976"/>
    </row>
    <row r="757" spans="1:30">
      <c r="A757" s="3086"/>
      <c r="B757" s="2966"/>
      <c r="C757" s="2976"/>
      <c r="D757" s="2976"/>
      <c r="E757" s="2976"/>
      <c r="F757" s="2973"/>
      <c r="G757" s="2976"/>
      <c r="H757" s="2966"/>
      <c r="I757" s="2966"/>
      <c r="J757" s="2976"/>
      <c r="K757" s="2976"/>
      <c r="L757" s="2961"/>
      <c r="M757" s="2976"/>
      <c r="N757" s="3086"/>
      <c r="O757" s="3086"/>
      <c r="P757" s="3086"/>
      <c r="Q757" s="2966"/>
      <c r="R757" s="2976"/>
      <c r="S757" s="2961"/>
      <c r="T757" s="2961"/>
      <c r="U757" s="2923"/>
      <c r="V757" s="2923"/>
      <c r="W757" s="2923"/>
      <c r="X757" s="2962"/>
      <c r="Y757" s="2971"/>
      <c r="Z757" s="3086"/>
      <c r="AA757" s="3086"/>
      <c r="AB757" s="2976"/>
      <c r="AC757" s="2976"/>
      <c r="AD757" s="2976"/>
    </row>
    <row r="758" spans="1:30">
      <c r="A758" s="3086"/>
      <c r="B758" s="2966"/>
      <c r="C758" s="2976"/>
      <c r="D758" s="2976"/>
      <c r="E758" s="2976"/>
      <c r="F758" s="2973"/>
      <c r="G758" s="2976"/>
      <c r="H758" s="2966"/>
      <c r="I758" s="2966"/>
      <c r="J758" s="2976"/>
      <c r="K758" s="2976"/>
      <c r="L758" s="2961"/>
      <c r="M758" s="2976"/>
      <c r="N758" s="3086"/>
      <c r="O758" s="3086"/>
      <c r="P758" s="3086"/>
      <c r="Q758" s="2966"/>
      <c r="R758" s="2976"/>
      <c r="S758" s="2961"/>
      <c r="T758" s="2961"/>
      <c r="U758" s="2923"/>
      <c r="V758" s="2923"/>
      <c r="W758" s="2923"/>
      <c r="X758" s="2962"/>
      <c r="Y758" s="2971"/>
      <c r="Z758" s="2976"/>
      <c r="AA758" s="2976"/>
      <c r="AB758" s="2976"/>
      <c r="AC758" s="2976"/>
      <c r="AD758" s="2976"/>
    </row>
    <row r="759" spans="1:30">
      <c r="A759" s="3086"/>
      <c r="B759" s="2966"/>
      <c r="C759" s="2976"/>
      <c r="D759" s="2976"/>
      <c r="E759" s="2976"/>
      <c r="F759" s="2973"/>
      <c r="G759" s="2976"/>
      <c r="H759" s="2966"/>
      <c r="I759" s="2966"/>
      <c r="J759" s="2976"/>
      <c r="K759" s="2976"/>
      <c r="L759" s="2961"/>
      <c r="M759" s="2976"/>
      <c r="N759" s="3086"/>
      <c r="O759" s="3086"/>
      <c r="P759" s="3086"/>
      <c r="Q759" s="2966"/>
      <c r="R759" s="2976"/>
      <c r="S759" s="2961"/>
      <c r="T759" s="2961"/>
      <c r="U759" s="2923"/>
      <c r="V759" s="2923"/>
      <c r="W759" s="2923"/>
      <c r="X759" s="2962"/>
      <c r="Y759" s="2961"/>
      <c r="Z759" s="3086"/>
      <c r="AA759" s="3086"/>
      <c r="AB759" s="3086"/>
      <c r="AC759" s="2976"/>
      <c r="AD759" s="2976"/>
    </row>
    <row r="760" spans="1:30">
      <c r="A760" s="3086"/>
      <c r="B760" s="2966"/>
      <c r="C760" s="2976"/>
      <c r="D760" s="2976"/>
      <c r="E760" s="2976"/>
      <c r="F760" s="2973"/>
      <c r="G760" s="2976"/>
      <c r="H760" s="2966"/>
      <c r="I760" s="2966"/>
      <c r="J760" s="2976"/>
      <c r="K760" s="2976"/>
      <c r="L760" s="2961"/>
      <c r="M760" s="2976"/>
      <c r="N760" s="3086"/>
      <c r="O760" s="3086"/>
      <c r="P760" s="3086"/>
      <c r="Q760" s="2966"/>
      <c r="R760" s="2977"/>
      <c r="S760" s="2961"/>
      <c r="T760" s="2961"/>
      <c r="U760" s="2923"/>
      <c r="V760" s="2923"/>
      <c r="W760" s="2923"/>
      <c r="X760" s="2962"/>
      <c r="Y760" s="2961"/>
      <c r="Z760" s="3086"/>
      <c r="AA760" s="3086"/>
      <c r="AB760" s="3086"/>
      <c r="AC760" s="2976"/>
      <c r="AD760" s="2976"/>
    </row>
    <row r="761" spans="1:30">
      <c r="A761" s="3086"/>
      <c r="B761" s="2966"/>
      <c r="C761" s="2976"/>
      <c r="D761" s="2976"/>
      <c r="E761" s="2976"/>
      <c r="F761" s="2973"/>
      <c r="G761" s="2976"/>
      <c r="H761" s="2966"/>
      <c r="I761" s="2966"/>
      <c r="J761" s="2976"/>
      <c r="K761" s="2976"/>
      <c r="L761" s="2961"/>
      <c r="M761" s="2976"/>
      <c r="N761" s="3086"/>
      <c r="O761" s="3086"/>
      <c r="P761" s="3086"/>
      <c r="Q761" s="2966"/>
      <c r="R761" s="2976"/>
      <c r="S761" s="2961"/>
      <c r="T761" s="2961"/>
      <c r="U761" s="2923"/>
      <c r="V761" s="2923"/>
      <c r="W761" s="2923"/>
      <c r="X761" s="2962"/>
      <c r="Y761" s="2961"/>
      <c r="Z761" s="3086"/>
      <c r="AA761" s="3086"/>
      <c r="AB761" s="3086"/>
      <c r="AC761" s="2976"/>
      <c r="AD761" s="2976"/>
    </row>
    <row r="762" spans="1:30">
      <c r="A762" s="3086"/>
      <c r="B762" s="2966"/>
      <c r="C762" s="2976"/>
      <c r="D762" s="2976"/>
      <c r="E762" s="2976"/>
      <c r="F762" s="2973"/>
      <c r="G762" s="2976"/>
      <c r="H762" s="2966"/>
      <c r="I762" s="2966"/>
      <c r="J762" s="2976"/>
      <c r="K762" s="2976"/>
      <c r="L762" s="2961"/>
      <c r="M762" s="2976"/>
      <c r="N762" s="3086"/>
      <c r="O762" s="3086"/>
      <c r="P762" s="3086"/>
      <c r="Q762" s="2966"/>
      <c r="R762" s="2976"/>
      <c r="S762" s="2961"/>
      <c r="T762" s="2961"/>
      <c r="U762" s="2923"/>
      <c r="V762" s="2923"/>
      <c r="W762" s="2923"/>
      <c r="X762" s="2962"/>
      <c r="Y762" s="2971"/>
      <c r="Z762" s="3086"/>
      <c r="AA762" s="3086"/>
      <c r="AB762" s="3086"/>
      <c r="AC762" s="2976"/>
      <c r="AD762" s="2976"/>
    </row>
    <row r="763" spans="1:30">
      <c r="A763" s="3086"/>
      <c r="B763" s="2966"/>
      <c r="C763" s="2976"/>
      <c r="D763" s="2976"/>
      <c r="E763" s="2976"/>
      <c r="F763" s="2973"/>
      <c r="G763" s="2976"/>
      <c r="H763" s="2966"/>
      <c r="I763" s="2966"/>
      <c r="J763" s="2976"/>
      <c r="K763" s="2976"/>
      <c r="L763" s="2961"/>
      <c r="M763" s="2976"/>
      <c r="N763" s="3086"/>
      <c r="O763" s="3086"/>
      <c r="P763" s="3086"/>
      <c r="Q763" s="2966"/>
      <c r="R763" s="2976"/>
      <c r="S763" s="2961"/>
      <c r="T763" s="2961"/>
      <c r="U763" s="2923"/>
      <c r="V763" s="2923"/>
      <c r="W763" s="2923"/>
      <c r="X763" s="2962"/>
      <c r="Y763" s="2971"/>
      <c r="Z763" s="3086"/>
      <c r="AA763" s="3086"/>
      <c r="AB763" s="3086"/>
      <c r="AC763" s="2976"/>
      <c r="AD763" s="2976"/>
    </row>
    <row r="764" spans="1:30">
      <c r="A764" s="3086"/>
      <c r="B764" s="2966"/>
      <c r="C764" s="2976"/>
      <c r="D764" s="2976"/>
      <c r="E764" s="2976"/>
      <c r="F764" s="2973"/>
      <c r="G764" s="2976"/>
      <c r="H764" s="2966"/>
      <c r="I764" s="2966"/>
      <c r="J764" s="2976"/>
      <c r="K764" s="2976"/>
      <c r="L764" s="2961"/>
      <c r="M764" s="2976"/>
      <c r="N764" s="3086"/>
      <c r="O764" s="3086"/>
      <c r="P764" s="3086"/>
      <c r="Q764" s="2966"/>
      <c r="R764" s="2976"/>
      <c r="S764" s="2961"/>
      <c r="T764" s="2961"/>
      <c r="U764" s="2923"/>
      <c r="V764" s="2923"/>
      <c r="W764" s="2923"/>
      <c r="X764" s="2962"/>
      <c r="Y764" s="2961"/>
      <c r="Z764" s="3086"/>
      <c r="AA764" s="3086"/>
      <c r="AB764" s="3086"/>
      <c r="AC764" s="2976"/>
      <c r="AD764" s="2976"/>
    </row>
    <row r="765" spans="1:30">
      <c r="A765" s="3086"/>
      <c r="B765" s="2966"/>
      <c r="C765" s="2976"/>
      <c r="D765" s="2976"/>
      <c r="E765" s="2976"/>
      <c r="F765" s="2973"/>
      <c r="G765" s="2976"/>
      <c r="H765" s="2966"/>
      <c r="I765" s="2966"/>
      <c r="J765" s="2976"/>
      <c r="K765" s="2976"/>
      <c r="L765" s="2961"/>
      <c r="M765" s="2976"/>
      <c r="N765" s="3086"/>
      <c r="O765" s="3086"/>
      <c r="P765" s="3086"/>
      <c r="Q765" s="2966"/>
      <c r="R765" s="2976"/>
      <c r="S765" s="2961"/>
      <c r="T765" s="2961"/>
      <c r="U765" s="2923"/>
      <c r="V765" s="2923"/>
      <c r="W765" s="2923"/>
      <c r="X765" s="2962"/>
      <c r="Y765" s="2961"/>
      <c r="Z765" s="3086"/>
      <c r="AA765" s="3086"/>
      <c r="AB765" s="3086"/>
      <c r="AC765" s="2976"/>
      <c r="AD765" s="2976"/>
    </row>
    <row r="766" spans="1:30">
      <c r="A766" s="3086"/>
      <c r="B766" s="2966"/>
      <c r="C766" s="2976"/>
      <c r="D766" s="2976"/>
      <c r="E766" s="2976"/>
      <c r="F766" s="2973"/>
      <c r="G766" s="2976"/>
      <c r="H766" s="2966"/>
      <c r="I766" s="2966"/>
      <c r="J766" s="2976"/>
      <c r="K766" s="2976"/>
      <c r="L766" s="2967"/>
      <c r="M766" s="2976"/>
      <c r="N766" s="3086"/>
      <c r="O766" s="3086"/>
      <c r="P766" s="3086"/>
      <c r="Q766" s="2966"/>
      <c r="R766" s="2976"/>
      <c r="S766" s="2961"/>
      <c r="T766" s="2961"/>
      <c r="U766" s="2923"/>
      <c r="V766" s="2923"/>
      <c r="W766" s="2923"/>
      <c r="X766" s="2962"/>
      <c r="Y766" s="2961"/>
      <c r="Z766" s="3086"/>
      <c r="AA766" s="3086"/>
      <c r="AB766" s="3086"/>
      <c r="AC766" s="2976"/>
      <c r="AD766" s="2976"/>
    </row>
    <row r="767" spans="1:30">
      <c r="A767" s="3086"/>
      <c r="B767" s="2966"/>
      <c r="C767" s="2976"/>
      <c r="D767" s="2976"/>
      <c r="E767" s="2976"/>
      <c r="F767" s="2973"/>
      <c r="G767" s="2976"/>
      <c r="H767" s="2966"/>
      <c r="I767" s="2966"/>
      <c r="J767" s="2976"/>
      <c r="K767" s="2976"/>
      <c r="L767" s="2967"/>
      <c r="M767" s="2976"/>
      <c r="N767" s="3086"/>
      <c r="O767" s="3086"/>
      <c r="P767" s="3086"/>
      <c r="Q767" s="2966"/>
      <c r="R767" s="2976"/>
      <c r="S767" s="2961"/>
      <c r="T767" s="2961"/>
      <c r="U767" s="2923"/>
      <c r="V767" s="2923"/>
      <c r="W767" s="2923"/>
      <c r="X767" s="2962"/>
      <c r="Y767" s="2961"/>
      <c r="Z767" s="3086"/>
      <c r="AA767" s="3086"/>
      <c r="AB767" s="3086"/>
      <c r="AC767" s="2976"/>
      <c r="AD767" s="2976"/>
    </row>
    <row r="768" spans="1:30">
      <c r="A768" s="3086"/>
      <c r="B768" s="2966"/>
      <c r="C768" s="2976"/>
      <c r="D768" s="2976"/>
      <c r="E768" s="2976"/>
      <c r="F768" s="2973"/>
      <c r="G768" s="2976"/>
      <c r="H768" s="2966"/>
      <c r="I768" s="2966"/>
      <c r="J768" s="2976"/>
      <c r="K768" s="2976"/>
      <c r="L768" s="2967"/>
      <c r="M768" s="2976"/>
      <c r="N768" s="3086"/>
      <c r="O768" s="3086"/>
      <c r="P768" s="3086"/>
      <c r="Q768" s="2966"/>
      <c r="R768" s="2976"/>
      <c r="S768" s="2961"/>
      <c r="T768" s="2961"/>
      <c r="U768" s="2923"/>
      <c r="V768" s="2923"/>
      <c r="W768" s="2923"/>
      <c r="X768" s="2962"/>
      <c r="Y768" s="2961"/>
      <c r="Z768" s="3086"/>
      <c r="AA768" s="3086"/>
      <c r="AB768" s="3086"/>
      <c r="AC768" s="2976"/>
      <c r="AD768" s="2976"/>
    </row>
    <row r="769" spans="1:30">
      <c r="A769" s="3086"/>
      <c r="B769" s="2966"/>
      <c r="C769" s="2976"/>
      <c r="D769" s="2976"/>
      <c r="E769" s="2976"/>
      <c r="F769" s="2973"/>
      <c r="G769" s="2976"/>
      <c r="H769" s="2966"/>
      <c r="I769" s="2966"/>
      <c r="J769" s="2976"/>
      <c r="K769" s="2976"/>
      <c r="L769" s="2967"/>
      <c r="M769" s="2976"/>
      <c r="N769" s="3086"/>
      <c r="O769" s="3086"/>
      <c r="P769" s="3086"/>
      <c r="Q769" s="2966"/>
      <c r="R769" s="2976"/>
      <c r="S769" s="2961"/>
      <c r="T769" s="2961"/>
      <c r="U769" s="2923"/>
      <c r="V769" s="2923"/>
      <c r="W769" s="2923"/>
      <c r="X769" s="2962"/>
      <c r="Y769" s="2961"/>
      <c r="Z769" s="3086"/>
      <c r="AA769" s="3086"/>
      <c r="AB769" s="3086"/>
      <c r="AC769" s="2976"/>
      <c r="AD769" s="2976"/>
    </row>
    <row r="770" spans="1:30">
      <c r="A770" s="3086"/>
      <c r="B770" s="2966"/>
      <c r="C770" s="2976"/>
      <c r="D770" s="2976"/>
      <c r="E770" s="2976"/>
      <c r="F770" s="2973"/>
      <c r="G770" s="2976"/>
      <c r="H770" s="2966"/>
      <c r="I770" s="2966"/>
      <c r="J770" s="2976"/>
      <c r="K770" s="2976"/>
      <c r="L770" s="2961"/>
      <c r="M770" s="2976"/>
      <c r="N770" s="3086"/>
      <c r="O770" s="3086"/>
      <c r="P770" s="3086"/>
      <c r="Q770" s="2966"/>
      <c r="R770" s="2976"/>
      <c r="S770" s="2961"/>
      <c r="T770" s="2961"/>
      <c r="U770" s="2923"/>
      <c r="V770" s="2923"/>
      <c r="W770" s="2923"/>
      <c r="X770" s="2962"/>
      <c r="Y770" s="2961"/>
      <c r="Z770" s="3086"/>
      <c r="AA770" s="3086"/>
      <c r="AB770" s="2976"/>
      <c r="AC770" s="2976"/>
      <c r="AD770" s="2976"/>
    </row>
    <row r="771" spans="1:30">
      <c r="A771" s="3086"/>
      <c r="B771" s="2966"/>
      <c r="C771" s="2976"/>
      <c r="D771" s="2976"/>
      <c r="E771" s="2976"/>
      <c r="F771" s="2973"/>
      <c r="G771" s="2976"/>
      <c r="H771" s="2966"/>
      <c r="I771" s="2966"/>
      <c r="J771" s="2976"/>
      <c r="K771" s="2976"/>
      <c r="L771" s="2961"/>
      <c r="M771" s="2976"/>
      <c r="N771" s="3086"/>
      <c r="O771" s="3086"/>
      <c r="P771" s="3086"/>
      <c r="Q771" s="2966"/>
      <c r="R771" s="2976"/>
      <c r="S771" s="2961"/>
      <c r="T771" s="2961"/>
      <c r="U771" s="2923"/>
      <c r="V771" s="2923"/>
      <c r="W771" s="2923"/>
      <c r="X771" s="2962"/>
      <c r="Y771" s="2961"/>
      <c r="Z771" s="3086"/>
      <c r="AA771" s="3086"/>
      <c r="AB771" s="2976"/>
      <c r="AC771" s="2976"/>
      <c r="AD771" s="2976"/>
    </row>
    <row r="772" spans="1:30">
      <c r="A772" s="3086"/>
      <c r="B772" s="2966"/>
      <c r="C772" s="2976"/>
      <c r="D772" s="2976"/>
      <c r="E772" s="2976"/>
      <c r="F772" s="2973"/>
      <c r="G772" s="2976"/>
      <c r="H772" s="2966"/>
      <c r="I772" s="2966"/>
      <c r="J772" s="2976"/>
      <c r="K772" s="2976"/>
      <c r="L772" s="2961"/>
      <c r="M772" s="2976"/>
      <c r="N772" s="3086"/>
      <c r="O772" s="3086"/>
      <c r="P772" s="3086"/>
      <c r="Q772" s="2966"/>
      <c r="R772" s="2976"/>
      <c r="S772" s="2961"/>
      <c r="T772" s="2961"/>
      <c r="U772" s="2923"/>
      <c r="V772" s="2923"/>
      <c r="W772" s="2923"/>
      <c r="X772" s="2962"/>
      <c r="Y772" s="2961"/>
      <c r="Z772" s="3086"/>
      <c r="AA772" s="3086"/>
      <c r="AB772" s="3086"/>
      <c r="AC772" s="2976"/>
      <c r="AD772" s="2976"/>
    </row>
    <row r="773" spans="1:30">
      <c r="A773" s="3086"/>
      <c r="B773" s="2966"/>
      <c r="C773" s="2976"/>
      <c r="D773" s="2976"/>
      <c r="E773" s="2976"/>
      <c r="F773" s="2973"/>
      <c r="G773" s="2976"/>
      <c r="H773" s="2966"/>
      <c r="I773" s="2966"/>
      <c r="J773" s="2976"/>
      <c r="K773" s="2976"/>
      <c r="L773" s="2961"/>
      <c r="M773" s="2976"/>
      <c r="N773" s="3086"/>
      <c r="O773" s="3086"/>
      <c r="P773" s="3086"/>
      <c r="Q773" s="2966"/>
      <c r="R773" s="2976"/>
      <c r="S773" s="2961"/>
      <c r="T773" s="2961"/>
      <c r="U773" s="2923"/>
      <c r="V773" s="2923"/>
      <c r="W773" s="2923"/>
      <c r="X773" s="2962"/>
      <c r="Y773" s="2961"/>
      <c r="Z773" s="3086"/>
      <c r="AA773" s="3086"/>
      <c r="AB773" s="3086"/>
      <c r="AC773" s="2976"/>
      <c r="AD773" s="2976"/>
    </row>
    <row r="774" spans="1:30">
      <c r="A774" s="3086"/>
      <c r="B774" s="2966"/>
      <c r="C774" s="2976"/>
      <c r="D774" s="2976"/>
      <c r="E774" s="2976"/>
      <c r="F774" s="2973"/>
      <c r="G774" s="2976"/>
      <c r="H774" s="2966"/>
      <c r="I774" s="2966"/>
      <c r="J774" s="2976"/>
      <c r="K774" s="2976"/>
      <c r="L774" s="2961"/>
      <c r="M774" s="2976"/>
      <c r="N774" s="3086"/>
      <c r="O774" s="3086"/>
      <c r="P774" s="2976"/>
      <c r="Q774" s="2972"/>
      <c r="R774" s="2739"/>
      <c r="S774" s="2961"/>
      <c r="T774" s="2961"/>
      <c r="U774" s="2923"/>
      <c r="V774" s="2923"/>
      <c r="W774" s="2923"/>
      <c r="X774" s="2961"/>
      <c r="Y774" s="2961"/>
      <c r="Z774" s="2976"/>
      <c r="AA774" s="3086"/>
      <c r="AB774" s="2966"/>
      <c r="AC774" s="2976"/>
      <c r="AD774" s="2976"/>
    </row>
    <row r="775" spans="1:30">
      <c r="A775" s="3086"/>
      <c r="B775" s="2966"/>
      <c r="C775" s="2976"/>
      <c r="D775" s="2976"/>
      <c r="E775" s="2976"/>
      <c r="F775" s="2973"/>
      <c r="G775" s="2976"/>
      <c r="H775" s="2966"/>
      <c r="I775" s="2966"/>
      <c r="J775" s="2976"/>
      <c r="K775" s="2976"/>
      <c r="L775" s="2961"/>
      <c r="M775" s="2976"/>
      <c r="N775" s="3086"/>
      <c r="O775" s="3086"/>
      <c r="P775" s="3086"/>
      <c r="Q775" s="2966"/>
      <c r="R775" s="2976"/>
      <c r="S775" s="2961"/>
      <c r="T775" s="2961"/>
      <c r="U775" s="2923"/>
      <c r="V775" s="2923"/>
      <c r="W775" s="2923"/>
      <c r="X775" s="2962"/>
      <c r="Y775" s="2961"/>
      <c r="Z775" s="3086"/>
      <c r="AA775" s="2976"/>
      <c r="AB775" s="3086"/>
      <c r="AC775" s="2976"/>
      <c r="AD775" s="2976"/>
    </row>
    <row r="776" spans="1:30">
      <c r="A776" s="3086"/>
      <c r="B776" s="2966"/>
      <c r="C776" s="2976"/>
      <c r="D776" s="2976"/>
      <c r="E776" s="2976"/>
      <c r="F776" s="2973"/>
      <c r="G776" s="2976"/>
      <c r="H776" s="2966"/>
      <c r="I776" s="2966"/>
      <c r="J776" s="2976"/>
      <c r="K776" s="2976"/>
      <c r="L776" s="2961"/>
      <c r="M776" s="2976"/>
      <c r="N776" s="3086"/>
      <c r="O776" s="3086"/>
      <c r="P776" s="2976"/>
      <c r="Q776" s="2972"/>
      <c r="R776" s="2976"/>
      <c r="S776" s="2961"/>
      <c r="T776" s="2961"/>
      <c r="U776" s="2923"/>
      <c r="V776" s="2923"/>
      <c r="W776" s="2923"/>
      <c r="X776" s="2961"/>
      <c r="Y776" s="2961"/>
      <c r="Z776" s="2976"/>
      <c r="AA776" s="3086"/>
      <c r="AB776" s="2966"/>
      <c r="AC776" s="2976"/>
      <c r="AD776" s="2976"/>
    </row>
    <row r="777" spans="1:30">
      <c r="A777" s="3086"/>
      <c r="B777" s="2966"/>
      <c r="C777" s="2976"/>
      <c r="D777" s="2976"/>
      <c r="E777" s="2976"/>
      <c r="F777" s="2973"/>
      <c r="G777" s="2976"/>
      <c r="H777" s="2966"/>
      <c r="I777" s="2966"/>
      <c r="J777" s="2976"/>
      <c r="K777" s="2976"/>
      <c r="L777" s="2961"/>
      <c r="M777" s="2976"/>
      <c r="N777" s="3086"/>
      <c r="O777" s="3086"/>
      <c r="P777" s="3086"/>
      <c r="Q777" s="2966"/>
      <c r="R777" s="2976"/>
      <c r="S777" s="2961"/>
      <c r="T777" s="2961"/>
      <c r="U777" s="2923"/>
      <c r="V777" s="2923"/>
      <c r="W777" s="2923"/>
      <c r="X777" s="2962"/>
      <c r="Y777" s="2971"/>
      <c r="Z777" s="3086"/>
      <c r="AA777" s="3086"/>
      <c r="AB777" s="3086"/>
      <c r="AC777" s="2976"/>
      <c r="AD777" s="2976"/>
    </row>
    <row r="778" spans="1:30">
      <c r="A778" s="3086"/>
      <c r="B778" s="2966"/>
      <c r="C778" s="2976"/>
      <c r="D778" s="2976"/>
      <c r="E778" s="2976"/>
      <c r="F778" s="2973"/>
      <c r="G778" s="2976"/>
      <c r="H778" s="2966"/>
      <c r="I778" s="2966"/>
      <c r="J778" s="2976"/>
      <c r="K778" s="2976"/>
      <c r="L778" s="2961"/>
      <c r="M778" s="2976"/>
      <c r="N778" s="3086"/>
      <c r="O778" s="3086"/>
      <c r="P778" s="3086"/>
      <c r="Q778" s="2966"/>
      <c r="R778" s="2976"/>
      <c r="S778" s="2961"/>
      <c r="T778" s="2961"/>
      <c r="U778" s="2923"/>
      <c r="V778" s="2923"/>
      <c r="W778" s="2923"/>
      <c r="X778" s="2962"/>
      <c r="Y778" s="2971"/>
      <c r="Z778" s="3086"/>
      <c r="AA778" s="3086"/>
      <c r="AB778" s="3086"/>
      <c r="AC778" s="2976"/>
      <c r="AD778" s="2976"/>
    </row>
    <row r="779" spans="1:30">
      <c r="A779" s="3086"/>
      <c r="B779" s="2966"/>
      <c r="C779" s="2976"/>
      <c r="D779" s="2976"/>
      <c r="E779" s="2976"/>
      <c r="F779" s="2973"/>
      <c r="G779" s="2976"/>
      <c r="H779" s="2966"/>
      <c r="I779" s="2966"/>
      <c r="J779" s="2976"/>
      <c r="K779" s="2976"/>
      <c r="L779" s="2961"/>
      <c r="M779" s="2976"/>
      <c r="N779" s="3086"/>
      <c r="O779" s="3086"/>
      <c r="P779" s="3086"/>
      <c r="Q779" s="2966"/>
      <c r="R779" s="2976"/>
      <c r="S779" s="2961"/>
      <c r="T779" s="2961"/>
      <c r="U779" s="2923"/>
      <c r="V779" s="2923"/>
      <c r="W779" s="2923"/>
      <c r="X779" s="2962"/>
      <c r="Y779" s="2961"/>
      <c r="Z779" s="3086"/>
      <c r="AA779" s="3086"/>
      <c r="AB779" s="2976"/>
      <c r="AC779" s="2976"/>
      <c r="AD779" s="2976"/>
    </row>
    <row r="780" spans="1:30">
      <c r="A780" s="3086"/>
      <c r="B780" s="2966"/>
      <c r="C780" s="2976"/>
      <c r="D780" s="2976"/>
      <c r="E780" s="2976"/>
      <c r="F780" s="2973"/>
      <c r="G780" s="2976"/>
      <c r="H780" s="2966"/>
      <c r="I780" s="2966"/>
      <c r="J780" s="2976"/>
      <c r="K780" s="2976"/>
      <c r="L780" s="2961"/>
      <c r="M780" s="2976"/>
      <c r="N780" s="3086"/>
      <c r="O780" s="3086"/>
      <c r="P780" s="3086"/>
      <c r="Q780" s="2966"/>
      <c r="R780" s="2976"/>
      <c r="S780" s="2961"/>
      <c r="T780" s="2961"/>
      <c r="U780" s="2923"/>
      <c r="V780" s="2923"/>
      <c r="W780" s="2923"/>
      <c r="X780" s="2962"/>
      <c r="Y780" s="2961"/>
      <c r="Z780" s="3086"/>
      <c r="AA780" s="3086"/>
      <c r="AB780" s="2976"/>
      <c r="AC780" s="2976"/>
      <c r="AD780" s="2976"/>
    </row>
    <row r="781" spans="1:30">
      <c r="A781" s="3086"/>
      <c r="B781" s="2966"/>
      <c r="C781" s="2976"/>
      <c r="D781" s="2976"/>
      <c r="E781" s="2976"/>
      <c r="F781" s="2973"/>
      <c r="G781" s="2976"/>
      <c r="H781" s="2966"/>
      <c r="I781" s="2966"/>
      <c r="J781" s="2976"/>
      <c r="K781" s="2976"/>
      <c r="L781" s="2961"/>
      <c r="M781" s="2976"/>
      <c r="N781" s="3086"/>
      <c r="O781" s="3086"/>
      <c r="P781" s="3086"/>
      <c r="Q781" s="2966"/>
      <c r="R781" s="2976"/>
      <c r="S781" s="2961"/>
      <c r="T781" s="2961"/>
      <c r="U781" s="2923"/>
      <c r="V781" s="2923"/>
      <c r="W781" s="2923"/>
      <c r="X781" s="2962"/>
      <c r="Y781" s="2961"/>
      <c r="Z781" s="3086"/>
      <c r="AA781" s="3086"/>
      <c r="AB781" s="3086"/>
      <c r="AC781" s="2976"/>
      <c r="AD781" s="2976"/>
    </row>
    <row r="782" spans="1:30">
      <c r="A782" s="3086"/>
      <c r="B782" s="2966"/>
      <c r="C782" s="2976"/>
      <c r="D782" s="2976"/>
      <c r="E782" s="2976"/>
      <c r="F782" s="2973"/>
      <c r="G782" s="2976"/>
      <c r="H782" s="2966"/>
      <c r="I782" s="2966"/>
      <c r="J782" s="2976"/>
      <c r="K782" s="2976"/>
      <c r="L782" s="2961"/>
      <c r="M782" s="2976"/>
      <c r="N782" s="3086"/>
      <c r="O782" s="3086"/>
      <c r="P782" s="3086"/>
      <c r="Q782" s="2966"/>
      <c r="R782" s="2976"/>
      <c r="S782" s="2961"/>
      <c r="T782" s="2961"/>
      <c r="U782" s="2923"/>
      <c r="V782" s="2923"/>
      <c r="W782" s="2923"/>
      <c r="X782" s="2962"/>
      <c r="Y782" s="2971"/>
      <c r="Z782" s="3086"/>
      <c r="AA782" s="3086"/>
      <c r="AB782" s="3086"/>
      <c r="AC782" s="2976"/>
      <c r="AD782" s="2976"/>
    </row>
    <row r="783" spans="1:30">
      <c r="A783" s="3086"/>
      <c r="B783" s="2966"/>
      <c r="C783" s="2976"/>
      <c r="D783" s="2976"/>
      <c r="E783" s="2976"/>
      <c r="F783" s="2973"/>
      <c r="G783" s="2976"/>
      <c r="H783" s="2966"/>
      <c r="I783" s="2966"/>
      <c r="J783" s="2976"/>
      <c r="K783" s="2976"/>
      <c r="L783" s="2961"/>
      <c r="M783" s="2976"/>
      <c r="N783" s="3086"/>
      <c r="O783" s="3086"/>
      <c r="P783" s="3086"/>
      <c r="Q783" s="2966"/>
      <c r="R783" s="2976"/>
      <c r="S783" s="2961"/>
      <c r="T783" s="2961"/>
      <c r="U783" s="2923"/>
      <c r="V783" s="2923"/>
      <c r="W783" s="2923"/>
      <c r="X783" s="2962"/>
      <c r="Y783" s="2971"/>
      <c r="Z783" s="3086"/>
      <c r="AA783" s="3086"/>
      <c r="AB783" s="3086"/>
      <c r="AC783" s="2976"/>
      <c r="AD783" s="2976"/>
    </row>
    <row r="784" spans="1:30">
      <c r="A784" s="3086"/>
      <c r="B784" s="2966"/>
      <c r="C784" s="2976"/>
      <c r="D784" s="2976"/>
      <c r="E784" s="2976"/>
      <c r="F784" s="2973"/>
      <c r="G784" s="2976"/>
      <c r="H784" s="2966"/>
      <c r="I784" s="2966"/>
      <c r="J784" s="2976"/>
      <c r="K784" s="2976"/>
      <c r="L784" s="2961"/>
      <c r="M784" s="2976"/>
      <c r="N784" s="3086"/>
      <c r="O784" s="3086"/>
      <c r="P784" s="3086"/>
      <c r="Q784" s="2966"/>
      <c r="R784" s="2976"/>
      <c r="S784" s="2961"/>
      <c r="T784" s="2961"/>
      <c r="U784" s="2923"/>
      <c r="V784" s="2923"/>
      <c r="W784" s="2923"/>
      <c r="X784" s="2962"/>
      <c r="Y784" s="2971"/>
      <c r="Z784" s="3086"/>
      <c r="AA784" s="3086"/>
      <c r="AB784" s="3086"/>
      <c r="AC784" s="2976"/>
      <c r="AD784" s="2976"/>
    </row>
    <row r="785" spans="1:30">
      <c r="A785" s="3086"/>
      <c r="B785" s="2966"/>
      <c r="C785" s="2976"/>
      <c r="D785" s="2976"/>
      <c r="E785" s="2976"/>
      <c r="F785" s="2973"/>
      <c r="G785" s="2976"/>
      <c r="H785" s="2966"/>
      <c r="I785" s="2966"/>
      <c r="J785" s="2976"/>
      <c r="K785" s="2976"/>
      <c r="L785" s="2961"/>
      <c r="M785" s="2976"/>
      <c r="N785" s="3086"/>
      <c r="O785" s="3086"/>
      <c r="P785" s="3086"/>
      <c r="Q785" s="2966"/>
      <c r="R785" s="2976"/>
      <c r="S785" s="2961"/>
      <c r="T785" s="2961"/>
      <c r="U785" s="2923"/>
      <c r="V785" s="2923"/>
      <c r="W785" s="2923"/>
      <c r="X785" s="2962"/>
      <c r="Y785" s="2971"/>
      <c r="Z785" s="3086"/>
      <c r="AA785" s="3086"/>
      <c r="AB785" s="3086"/>
      <c r="AC785" s="2976"/>
      <c r="AD785" s="2976"/>
    </row>
    <row r="786" spans="1:30">
      <c r="A786" s="3086"/>
      <c r="B786" s="2966"/>
      <c r="C786" s="2976"/>
      <c r="D786" s="2976"/>
      <c r="E786" s="2976"/>
      <c r="F786" s="2973"/>
      <c r="G786" s="2976"/>
      <c r="H786" s="2966"/>
      <c r="I786" s="2966"/>
      <c r="J786" s="2976"/>
      <c r="K786" s="2976"/>
      <c r="L786" s="2961"/>
      <c r="M786" s="2976"/>
      <c r="N786" s="3086"/>
      <c r="O786" s="3086"/>
      <c r="P786" s="3086"/>
      <c r="Q786" s="2966"/>
      <c r="R786" s="2976"/>
      <c r="S786" s="2961"/>
      <c r="T786" s="2961"/>
      <c r="U786" s="2923"/>
      <c r="V786" s="2923"/>
      <c r="W786" s="2923"/>
      <c r="X786" s="2962"/>
      <c r="Y786" s="2971"/>
      <c r="Z786" s="3086"/>
      <c r="AA786" s="3086"/>
      <c r="AB786" s="3086"/>
      <c r="AC786" s="2976"/>
      <c r="AD786" s="2976"/>
    </row>
    <row r="787" spans="1:30">
      <c r="A787" s="3086"/>
      <c r="B787" s="2966"/>
      <c r="C787" s="2976"/>
      <c r="D787" s="2976"/>
      <c r="E787" s="2976"/>
      <c r="F787" s="2973"/>
      <c r="G787" s="2976"/>
      <c r="H787" s="2966"/>
      <c r="I787" s="2966"/>
      <c r="J787" s="2976"/>
      <c r="K787" s="2976"/>
      <c r="L787" s="2961"/>
      <c r="M787" s="2976"/>
      <c r="N787" s="3086"/>
      <c r="O787" s="3086"/>
      <c r="P787" s="3086"/>
      <c r="Q787" s="2966"/>
      <c r="R787" s="2976"/>
      <c r="S787" s="2961"/>
      <c r="T787" s="2961"/>
      <c r="U787" s="2923"/>
      <c r="V787" s="2923"/>
      <c r="W787" s="2923"/>
      <c r="X787" s="2962"/>
      <c r="Y787" s="2971"/>
      <c r="Z787" s="3086"/>
      <c r="AA787" s="3086"/>
      <c r="AB787" s="3086"/>
      <c r="AC787" s="2976"/>
      <c r="AD787" s="2976"/>
    </row>
    <row r="788" spans="1:30">
      <c r="A788" s="3086"/>
      <c r="B788" s="2966"/>
      <c r="C788" s="2976"/>
      <c r="D788" s="2976"/>
      <c r="E788" s="2976"/>
      <c r="F788" s="2973"/>
      <c r="G788" s="2976"/>
      <c r="H788" s="2966"/>
      <c r="I788" s="2966"/>
      <c r="J788" s="2976"/>
      <c r="K788" s="2976"/>
      <c r="L788" s="2961"/>
      <c r="M788" s="2976"/>
      <c r="N788" s="3086"/>
      <c r="O788" s="3086"/>
      <c r="P788" s="3086"/>
      <c r="Q788" s="2966"/>
      <c r="R788" s="2976"/>
      <c r="S788" s="2961"/>
      <c r="T788" s="2961"/>
      <c r="U788" s="2923"/>
      <c r="V788" s="2923"/>
      <c r="W788" s="2923"/>
      <c r="X788" s="2962"/>
      <c r="Y788" s="2961"/>
      <c r="Z788" s="3086"/>
      <c r="AA788" s="3086"/>
      <c r="AB788" s="3086"/>
      <c r="AC788" s="2976"/>
      <c r="AD788" s="2976"/>
    </row>
    <row r="789" spans="1:30">
      <c r="A789" s="3086"/>
      <c r="B789" s="2966"/>
      <c r="C789" s="2976"/>
      <c r="D789" s="2976"/>
      <c r="E789" s="2976"/>
      <c r="F789" s="2973"/>
      <c r="G789" s="2976"/>
      <c r="H789" s="2966"/>
      <c r="I789" s="2966"/>
      <c r="J789" s="2976"/>
      <c r="K789" s="2976"/>
      <c r="L789" s="2961"/>
      <c r="M789" s="2976"/>
      <c r="N789" s="3086"/>
      <c r="O789" s="3086"/>
      <c r="P789" s="3086"/>
      <c r="Q789" s="2966"/>
      <c r="R789" s="2976"/>
      <c r="S789" s="2961"/>
      <c r="T789" s="2961"/>
      <c r="U789" s="2923"/>
      <c r="V789" s="2923"/>
      <c r="W789" s="2923"/>
      <c r="X789" s="2962"/>
      <c r="Y789" s="2961"/>
      <c r="Z789" s="3086"/>
      <c r="AA789" s="3086"/>
      <c r="AB789" s="3086"/>
      <c r="AC789" s="2976"/>
      <c r="AD789" s="2976"/>
    </row>
    <row r="790" spans="1:30">
      <c r="A790" s="3086"/>
      <c r="B790" s="2966"/>
      <c r="C790" s="2976"/>
      <c r="D790" s="2976"/>
      <c r="E790" s="2976"/>
      <c r="F790" s="2973"/>
      <c r="G790" s="2976"/>
      <c r="H790" s="2966"/>
      <c r="I790" s="2966"/>
      <c r="J790" s="2976"/>
      <c r="K790" s="2976"/>
      <c r="L790" s="2961"/>
      <c r="M790" s="2976"/>
      <c r="N790" s="3086"/>
      <c r="O790" s="3086"/>
      <c r="P790" s="3086"/>
      <c r="Q790" s="2966"/>
      <c r="R790" s="2976"/>
      <c r="S790" s="2961"/>
      <c r="T790" s="2961"/>
      <c r="U790" s="2923"/>
      <c r="V790" s="2923"/>
      <c r="W790" s="2923"/>
      <c r="X790" s="2962"/>
      <c r="Y790" s="2961"/>
      <c r="Z790" s="3086"/>
      <c r="AA790" s="3086"/>
      <c r="AB790" s="3086"/>
      <c r="AC790" s="2976"/>
      <c r="AD790" s="2976"/>
    </row>
    <row r="791" spans="1:30">
      <c r="A791" s="3086"/>
      <c r="B791" s="2966"/>
      <c r="C791" s="2976"/>
      <c r="D791" s="2976"/>
      <c r="E791" s="2976"/>
      <c r="F791" s="2973"/>
      <c r="G791" s="2976"/>
      <c r="H791" s="2966"/>
      <c r="I791" s="2966"/>
      <c r="J791" s="2976"/>
      <c r="K791" s="2976"/>
      <c r="L791" s="2961"/>
      <c r="M791" s="2976"/>
      <c r="N791" s="3086"/>
      <c r="O791" s="3086"/>
      <c r="P791" s="3086"/>
      <c r="Q791" s="2966"/>
      <c r="R791" s="2976"/>
      <c r="S791" s="2961"/>
      <c r="T791" s="2961"/>
      <c r="U791" s="2923"/>
      <c r="V791" s="2923"/>
      <c r="W791" s="2923"/>
      <c r="X791" s="2962"/>
      <c r="Y791" s="2961"/>
      <c r="Z791" s="3086"/>
      <c r="AA791" s="3086"/>
      <c r="AB791" s="2976"/>
      <c r="AC791" s="2976"/>
      <c r="AD791" s="2976"/>
    </row>
    <row r="792" spans="1:30">
      <c r="A792" s="3086"/>
      <c r="B792" s="2966"/>
      <c r="C792" s="2976"/>
      <c r="D792" s="2976"/>
      <c r="E792" s="2976"/>
      <c r="F792" s="2973"/>
      <c r="G792" s="2976"/>
      <c r="H792" s="2966"/>
      <c r="I792" s="2966"/>
      <c r="J792" s="2976"/>
      <c r="K792" s="2976"/>
      <c r="L792" s="2961"/>
      <c r="M792" s="2976"/>
      <c r="N792" s="3086"/>
      <c r="O792" s="3086"/>
      <c r="P792" s="2976"/>
      <c r="Q792" s="2972"/>
      <c r="R792" s="2739"/>
      <c r="S792" s="2961"/>
      <c r="T792" s="2961"/>
      <c r="U792" s="2923"/>
      <c r="V792" s="2923"/>
      <c r="W792" s="2923"/>
      <c r="X792" s="2961"/>
      <c r="Y792" s="2961"/>
      <c r="Z792" s="2976"/>
      <c r="AA792" s="3086"/>
      <c r="AB792" s="2966"/>
      <c r="AC792" s="2976"/>
      <c r="AD792" s="2976"/>
    </row>
    <row r="793" spans="1:30">
      <c r="A793" s="3086"/>
      <c r="B793" s="2966"/>
      <c r="C793" s="2976"/>
      <c r="D793" s="2976"/>
      <c r="E793" s="2976"/>
      <c r="F793" s="2973"/>
      <c r="G793" s="2976"/>
      <c r="H793" s="2966"/>
      <c r="I793" s="2966"/>
      <c r="J793" s="2976"/>
      <c r="K793" s="2976"/>
      <c r="L793" s="2961"/>
      <c r="M793" s="2976"/>
      <c r="N793" s="3086"/>
      <c r="O793" s="3086"/>
      <c r="P793" s="2976"/>
      <c r="Q793" s="2972"/>
      <c r="R793" s="2739"/>
      <c r="S793" s="2961"/>
      <c r="T793" s="2961"/>
      <c r="U793" s="2923"/>
      <c r="V793" s="2923"/>
      <c r="W793" s="2923"/>
      <c r="X793" s="2961"/>
      <c r="Y793" s="2961"/>
      <c r="Z793" s="2976"/>
      <c r="AA793" s="3086"/>
      <c r="AB793" s="2966"/>
      <c r="AC793" s="2976"/>
      <c r="AD793" s="2976"/>
    </row>
    <row r="794" spans="1:30">
      <c r="A794" s="3086"/>
      <c r="B794" s="2966"/>
      <c r="C794" s="2976"/>
      <c r="D794" s="2976"/>
      <c r="E794" s="2976"/>
      <c r="F794" s="2973"/>
      <c r="G794" s="2976"/>
      <c r="H794" s="2966"/>
      <c r="I794" s="2966"/>
      <c r="J794" s="2976"/>
      <c r="K794" s="2976"/>
      <c r="L794" s="2961"/>
      <c r="M794" s="2976"/>
      <c r="N794" s="3086"/>
      <c r="O794" s="3086"/>
      <c r="P794" s="3086"/>
      <c r="Q794" s="2966"/>
      <c r="R794" s="2976"/>
      <c r="S794" s="2961"/>
      <c r="T794" s="2961"/>
      <c r="U794" s="2923"/>
      <c r="V794" s="2923"/>
      <c r="W794" s="2923"/>
      <c r="X794" s="2962"/>
      <c r="Y794" s="2971"/>
      <c r="Z794" s="3086"/>
      <c r="AA794" s="3086"/>
      <c r="AB794" s="3086"/>
      <c r="AC794" s="2976"/>
      <c r="AD794" s="2976"/>
    </row>
    <row r="795" spans="1:30">
      <c r="A795" s="3086"/>
      <c r="B795" s="2966"/>
      <c r="C795" s="2976"/>
      <c r="D795" s="2976"/>
      <c r="E795" s="2976"/>
      <c r="F795" s="2973"/>
      <c r="G795" s="2976"/>
      <c r="H795" s="2966"/>
      <c r="I795" s="2966"/>
      <c r="J795" s="2976"/>
      <c r="K795" s="2976"/>
      <c r="L795" s="2961"/>
      <c r="M795" s="2976"/>
      <c r="N795" s="3086"/>
      <c r="O795" s="3086"/>
      <c r="P795" s="3086"/>
      <c r="Q795" s="2966"/>
      <c r="R795" s="2976"/>
      <c r="S795" s="2961"/>
      <c r="T795" s="2961"/>
      <c r="U795" s="2923"/>
      <c r="V795" s="2923"/>
      <c r="W795" s="2923"/>
      <c r="X795" s="2962"/>
      <c r="Y795" s="2971"/>
      <c r="Z795" s="3086"/>
      <c r="AA795" s="3086"/>
      <c r="AB795" s="3086"/>
      <c r="AC795" s="2976"/>
      <c r="AD795" s="2976"/>
    </row>
    <row r="796" spans="1:30">
      <c r="A796" s="3086"/>
      <c r="B796" s="2966"/>
      <c r="C796" s="2976"/>
      <c r="D796" s="2976"/>
      <c r="E796" s="2976"/>
      <c r="F796" s="2973"/>
      <c r="G796" s="2976"/>
      <c r="H796" s="2966"/>
      <c r="I796" s="2966"/>
      <c r="J796" s="2976"/>
      <c r="K796" s="2976"/>
      <c r="L796" s="2961"/>
      <c r="M796" s="2976"/>
      <c r="N796" s="3086"/>
      <c r="O796" s="3086"/>
      <c r="P796" s="3086"/>
      <c r="Q796" s="2966"/>
      <c r="R796" s="2976"/>
      <c r="S796" s="2961"/>
      <c r="T796" s="2961"/>
      <c r="U796" s="2923"/>
      <c r="V796" s="2923"/>
      <c r="W796" s="2923"/>
      <c r="X796" s="2962"/>
      <c r="Y796" s="2971"/>
      <c r="Z796" s="3086"/>
      <c r="AA796" s="3086"/>
      <c r="AB796" s="3086"/>
      <c r="AC796" s="2976"/>
      <c r="AD796" s="2976"/>
    </row>
    <row r="797" spans="1:30">
      <c r="A797" s="3086"/>
      <c r="B797" s="2966"/>
      <c r="C797" s="2976"/>
      <c r="D797" s="2976"/>
      <c r="E797" s="2976"/>
      <c r="F797" s="2973"/>
      <c r="G797" s="2976"/>
      <c r="H797" s="2966"/>
      <c r="I797" s="2966"/>
      <c r="J797" s="2976"/>
      <c r="K797" s="2976"/>
      <c r="L797" s="2961"/>
      <c r="M797" s="2976"/>
      <c r="N797" s="3086"/>
      <c r="O797" s="3086"/>
      <c r="P797" s="3086"/>
      <c r="Q797" s="2966"/>
      <c r="R797" s="2976"/>
      <c r="S797" s="2961"/>
      <c r="T797" s="2961"/>
      <c r="U797" s="2923"/>
      <c r="V797" s="2923"/>
      <c r="W797" s="2923"/>
      <c r="X797" s="2962"/>
      <c r="Y797" s="2971"/>
      <c r="Z797" s="3086"/>
      <c r="AA797" s="3086"/>
      <c r="AB797" s="3086"/>
      <c r="AC797" s="2976"/>
      <c r="AD797" s="2976"/>
    </row>
    <row r="798" spans="1:30">
      <c r="A798" s="3086"/>
      <c r="B798" s="2966"/>
      <c r="C798" s="2976"/>
      <c r="D798" s="2976"/>
      <c r="E798" s="2976"/>
      <c r="F798" s="2973"/>
      <c r="G798" s="2976"/>
      <c r="H798" s="2966"/>
      <c r="I798" s="2966"/>
      <c r="J798" s="2976"/>
      <c r="K798" s="2976"/>
      <c r="L798" s="2961"/>
      <c r="M798" s="2976"/>
      <c r="N798" s="3086"/>
      <c r="O798" s="3086"/>
      <c r="P798" s="3086"/>
      <c r="Q798" s="2966"/>
      <c r="R798" s="2976"/>
      <c r="S798" s="2961"/>
      <c r="T798" s="2961"/>
      <c r="U798" s="2923"/>
      <c r="V798" s="2923"/>
      <c r="W798" s="2923"/>
      <c r="X798" s="2962"/>
      <c r="Y798" s="2971"/>
      <c r="Z798" s="3086"/>
      <c r="AA798" s="3086"/>
      <c r="AB798" s="3086"/>
      <c r="AC798" s="2976"/>
      <c r="AD798" s="2976"/>
    </row>
    <row r="799" spans="1:30">
      <c r="A799" s="3086"/>
      <c r="B799" s="2966"/>
      <c r="C799" s="2976"/>
      <c r="D799" s="2976"/>
      <c r="E799" s="2976"/>
      <c r="F799" s="2973"/>
      <c r="G799" s="2976"/>
      <c r="H799" s="2966"/>
      <c r="I799" s="2966"/>
      <c r="J799" s="2976"/>
      <c r="K799" s="2976"/>
      <c r="L799" s="2961"/>
      <c r="M799" s="2976"/>
      <c r="N799" s="3086"/>
      <c r="O799" s="3086"/>
      <c r="P799" s="3086"/>
      <c r="Q799" s="2966"/>
      <c r="R799" s="2976"/>
      <c r="S799" s="2961"/>
      <c r="T799" s="2961"/>
      <c r="U799" s="2923"/>
      <c r="V799" s="2923"/>
      <c r="W799" s="2923"/>
      <c r="X799" s="2962"/>
      <c r="Y799" s="2961"/>
      <c r="Z799" s="3086"/>
      <c r="AA799" s="3086"/>
      <c r="AB799" s="2976"/>
      <c r="AC799" s="2976"/>
      <c r="AD799" s="2976"/>
    </row>
    <row r="800" spans="1:30">
      <c r="A800" s="3086"/>
      <c r="B800" s="2966"/>
      <c r="C800" s="2976"/>
      <c r="D800" s="2976"/>
      <c r="E800" s="2976"/>
      <c r="F800" s="2973"/>
      <c r="G800" s="2976"/>
      <c r="H800" s="2966"/>
      <c r="I800" s="2966"/>
      <c r="J800" s="2976"/>
      <c r="K800" s="2976"/>
      <c r="L800" s="2961"/>
      <c r="M800" s="2976"/>
      <c r="N800" s="3086"/>
      <c r="O800" s="3086"/>
      <c r="P800" s="3086"/>
      <c r="Q800" s="2966"/>
      <c r="R800" s="2976"/>
      <c r="S800" s="2961"/>
      <c r="T800" s="2961"/>
      <c r="U800" s="2923"/>
      <c r="V800" s="2923"/>
      <c r="W800" s="2923"/>
      <c r="X800" s="2962"/>
      <c r="Y800" s="2961"/>
      <c r="Z800" s="3086"/>
      <c r="AA800" s="3086"/>
      <c r="AB800" s="2976"/>
      <c r="AC800" s="2976"/>
      <c r="AD800" s="2976"/>
    </row>
    <row r="801" spans="1:30">
      <c r="A801" s="2976"/>
      <c r="B801" s="2966"/>
      <c r="C801" s="2976"/>
      <c r="D801" s="2976"/>
      <c r="E801" s="2976"/>
      <c r="F801" s="2973"/>
      <c r="G801" s="2976"/>
      <c r="H801" s="2966"/>
      <c r="I801" s="2966"/>
      <c r="J801" s="2976"/>
      <c r="K801" s="2976"/>
      <c r="L801" s="2961"/>
      <c r="M801" s="2976"/>
      <c r="N801" s="3086"/>
      <c r="O801" s="3086"/>
      <c r="P801" s="3086"/>
      <c r="Q801" s="2966"/>
      <c r="R801" s="2976"/>
      <c r="S801" s="2961"/>
      <c r="T801" s="2961"/>
      <c r="U801" s="2923"/>
      <c r="V801" s="2923"/>
      <c r="W801" s="2923"/>
      <c r="X801" s="2962"/>
      <c r="Y801" s="2961"/>
      <c r="Z801" s="3086"/>
      <c r="AA801" s="3086"/>
      <c r="AB801" s="2976"/>
      <c r="AC801" s="2976"/>
      <c r="AD801" s="2976"/>
    </row>
    <row r="802" spans="1:30">
      <c r="A802" s="2976"/>
      <c r="B802" s="2966"/>
      <c r="C802" s="2976"/>
      <c r="D802" s="2976"/>
      <c r="E802" s="2976"/>
      <c r="F802" s="2973"/>
      <c r="G802" s="2976"/>
      <c r="H802" s="2966"/>
      <c r="I802" s="2966"/>
      <c r="J802" s="2976"/>
      <c r="K802" s="2976"/>
      <c r="L802" s="2961"/>
      <c r="M802" s="2976"/>
      <c r="N802" s="3086"/>
      <c r="O802" s="3086"/>
      <c r="P802" s="3086"/>
      <c r="Q802" s="2966"/>
      <c r="R802" s="2976"/>
      <c r="S802" s="2961"/>
      <c r="T802" s="2961"/>
      <c r="U802" s="2923"/>
      <c r="V802" s="2923"/>
      <c r="W802" s="2923"/>
      <c r="X802" s="2962"/>
      <c r="Y802" s="2961"/>
      <c r="Z802" s="3086"/>
      <c r="AA802" s="3086"/>
      <c r="AB802" s="2976"/>
      <c r="AC802" s="2976"/>
      <c r="AD802" s="2976"/>
    </row>
    <row r="803" spans="1:30">
      <c r="A803" s="2976"/>
      <c r="B803" s="2966"/>
      <c r="C803" s="2976"/>
      <c r="D803" s="2976"/>
      <c r="E803" s="2976"/>
      <c r="F803" s="2973"/>
      <c r="G803" s="2976"/>
      <c r="H803" s="2966"/>
      <c r="I803" s="2966"/>
      <c r="J803" s="2976"/>
      <c r="K803" s="2976"/>
      <c r="L803" s="2961"/>
      <c r="M803" s="2976"/>
      <c r="N803" s="3086"/>
      <c r="O803" s="3086"/>
      <c r="P803" s="3086"/>
      <c r="Q803" s="2966"/>
      <c r="R803" s="2976"/>
      <c r="S803" s="2961"/>
      <c r="T803" s="2961"/>
      <c r="U803" s="2923"/>
      <c r="V803" s="2923"/>
      <c r="W803" s="2923"/>
      <c r="X803" s="2962"/>
      <c r="Y803" s="2961"/>
      <c r="Z803" s="3086"/>
      <c r="AA803" s="3086"/>
      <c r="AB803" s="2976"/>
      <c r="AC803" s="2976"/>
      <c r="AD803" s="2976"/>
    </row>
    <row r="804" spans="1:30">
      <c r="A804" s="3086"/>
      <c r="B804" s="2966"/>
      <c r="C804" s="2976"/>
      <c r="D804" s="2976"/>
      <c r="E804" s="2976"/>
      <c r="F804" s="2973"/>
      <c r="G804" s="2976"/>
      <c r="H804" s="2966"/>
      <c r="I804" s="2966"/>
      <c r="J804" s="2976"/>
      <c r="K804" s="2976"/>
      <c r="L804" s="2961"/>
      <c r="M804" s="2976"/>
      <c r="N804" s="3086"/>
      <c r="O804" s="3086"/>
      <c r="P804" s="3086"/>
      <c r="Q804" s="2966"/>
      <c r="R804" s="2976"/>
      <c r="S804" s="2961"/>
      <c r="T804" s="2961"/>
      <c r="U804" s="2923"/>
      <c r="V804" s="2923"/>
      <c r="W804" s="2923"/>
      <c r="X804" s="2962"/>
      <c r="Y804" s="2961"/>
      <c r="Z804" s="3086"/>
      <c r="AA804" s="3086"/>
      <c r="AB804" s="3086"/>
      <c r="AC804" s="2976"/>
      <c r="AD804" s="2976"/>
    </row>
    <row r="805" spans="1:30">
      <c r="A805" s="3086"/>
      <c r="B805" s="2966"/>
      <c r="C805" s="2976"/>
      <c r="D805" s="2976"/>
      <c r="E805" s="2976"/>
      <c r="F805" s="2973"/>
      <c r="G805" s="2976"/>
      <c r="H805" s="2966"/>
      <c r="I805" s="2966"/>
      <c r="J805" s="2976"/>
      <c r="K805" s="2976"/>
      <c r="L805" s="2961"/>
      <c r="M805" s="2976"/>
      <c r="N805" s="3086"/>
      <c r="O805" s="3086"/>
      <c r="P805" s="3086"/>
      <c r="Q805" s="2966"/>
      <c r="R805" s="2976"/>
      <c r="S805" s="2961"/>
      <c r="T805" s="2961"/>
      <c r="U805" s="2923"/>
      <c r="V805" s="2923"/>
      <c r="W805" s="2923"/>
      <c r="X805" s="2962"/>
      <c r="Y805" s="2971"/>
      <c r="Z805" s="3086"/>
      <c r="AA805" s="3086"/>
      <c r="AB805" s="3086"/>
      <c r="AC805" s="2976"/>
      <c r="AD805" s="2976"/>
    </row>
    <row r="806" spans="1:30">
      <c r="A806" s="3086"/>
      <c r="B806" s="2966"/>
      <c r="C806" s="2976"/>
      <c r="D806" s="2976"/>
      <c r="E806" s="2976"/>
      <c r="F806" s="2973"/>
      <c r="G806" s="2976"/>
      <c r="H806" s="2966"/>
      <c r="I806" s="2966"/>
      <c r="J806" s="2976"/>
      <c r="K806" s="2976"/>
      <c r="L806" s="2961"/>
      <c r="M806" s="2976"/>
      <c r="N806" s="3086"/>
      <c r="O806" s="3086"/>
      <c r="P806" s="3086"/>
      <c r="Q806" s="2966"/>
      <c r="R806" s="2976"/>
      <c r="S806" s="2961"/>
      <c r="T806" s="2961"/>
      <c r="U806" s="2923"/>
      <c r="V806" s="2923"/>
      <c r="W806" s="2923"/>
      <c r="X806" s="2962"/>
      <c r="Y806" s="2971"/>
      <c r="Z806" s="3086"/>
      <c r="AA806" s="3086"/>
      <c r="AB806" s="3086"/>
      <c r="AC806" s="2976"/>
      <c r="AD806" s="2976"/>
    </row>
    <row r="807" spans="1:30">
      <c r="A807" s="3086"/>
      <c r="B807" s="2966"/>
      <c r="C807" s="2976"/>
      <c r="D807" s="2976"/>
      <c r="E807" s="2976"/>
      <c r="F807" s="2973"/>
      <c r="G807" s="2976"/>
      <c r="H807" s="2966"/>
      <c r="I807" s="2966"/>
      <c r="J807" s="2976"/>
      <c r="K807" s="2976"/>
      <c r="L807" s="2961"/>
      <c r="M807" s="2976"/>
      <c r="N807" s="3086"/>
      <c r="O807" s="3086"/>
      <c r="P807" s="3086"/>
      <c r="Q807" s="2966"/>
      <c r="R807" s="2976"/>
      <c r="S807" s="2961"/>
      <c r="T807" s="2961"/>
      <c r="U807" s="2923"/>
      <c r="V807" s="2923"/>
      <c r="W807" s="2923"/>
      <c r="X807" s="2962"/>
      <c r="Y807" s="2971"/>
      <c r="Z807" s="2976"/>
      <c r="AA807" s="2976"/>
      <c r="AB807" s="2976"/>
      <c r="AC807" s="2976"/>
      <c r="AD807" s="2976"/>
    </row>
    <row r="808" spans="1:30">
      <c r="A808" s="3086"/>
      <c r="B808" s="2966"/>
      <c r="C808" s="2976"/>
      <c r="D808" s="2976"/>
      <c r="E808" s="2976"/>
      <c r="F808" s="2973"/>
      <c r="G808" s="2976"/>
      <c r="H808" s="2966"/>
      <c r="I808" s="2966"/>
      <c r="J808" s="2976"/>
      <c r="K808" s="2976"/>
      <c r="L808" s="2961"/>
      <c r="M808" s="2976"/>
      <c r="N808" s="3086"/>
      <c r="O808" s="3086"/>
      <c r="P808" s="3086"/>
      <c r="Q808" s="2966"/>
      <c r="R808" s="2976"/>
      <c r="S808" s="2961"/>
      <c r="T808" s="2961"/>
      <c r="U808" s="2923"/>
      <c r="V808" s="2923"/>
      <c r="W808" s="2923"/>
      <c r="X808" s="2962"/>
      <c r="Y808" s="2971"/>
      <c r="Z808" s="2976"/>
      <c r="AA808" s="2976"/>
      <c r="AB808" s="2976"/>
      <c r="AC808" s="2976"/>
      <c r="AD808" s="2976"/>
    </row>
    <row r="809" spans="1:30">
      <c r="A809" s="3086"/>
      <c r="B809" s="2966"/>
      <c r="C809" s="2976"/>
      <c r="D809" s="2976"/>
      <c r="E809" s="2976"/>
      <c r="F809" s="3098"/>
      <c r="G809" s="2976"/>
      <c r="H809" s="2966"/>
      <c r="I809" s="2966"/>
      <c r="J809" s="2976"/>
      <c r="K809" s="2976"/>
      <c r="L809" s="2961"/>
      <c r="M809" s="2976"/>
      <c r="N809" s="3086"/>
      <c r="O809" s="3086"/>
      <c r="P809" s="3086"/>
      <c r="Q809" s="2966"/>
      <c r="R809" s="2976"/>
      <c r="S809" s="2961"/>
      <c r="T809" s="2961"/>
      <c r="U809" s="2923"/>
      <c r="V809" s="2923"/>
      <c r="W809" s="2923"/>
      <c r="X809" s="2962"/>
      <c r="Y809" s="2961"/>
      <c r="Z809" s="3086"/>
      <c r="AA809" s="3086"/>
      <c r="AB809" s="2976"/>
      <c r="AC809" s="2976"/>
      <c r="AD809" s="2976"/>
    </row>
    <row r="810" spans="1:30">
      <c r="A810" s="2976"/>
      <c r="B810" s="2966"/>
      <c r="C810" s="2976"/>
      <c r="D810" s="2976"/>
      <c r="E810" s="2976"/>
      <c r="F810" s="2973"/>
      <c r="G810" s="2976"/>
      <c r="H810" s="2966"/>
      <c r="I810" s="2966"/>
      <c r="J810" s="2976"/>
      <c r="K810" s="2976"/>
      <c r="L810" s="2967"/>
      <c r="M810" s="2976"/>
      <c r="N810" s="3086"/>
      <c r="O810" s="3086"/>
      <c r="P810" s="3086"/>
      <c r="Q810" s="2966"/>
      <c r="R810" s="2976"/>
      <c r="S810" s="2961"/>
      <c r="T810" s="2961"/>
      <c r="U810" s="2923"/>
      <c r="V810" s="2923"/>
      <c r="W810" s="2923"/>
      <c r="X810" s="2962"/>
      <c r="Y810" s="2961"/>
      <c r="Z810" s="3086"/>
      <c r="AA810" s="3086"/>
      <c r="AB810" s="3086"/>
      <c r="AC810" s="2976"/>
      <c r="AD810" s="2976"/>
    </row>
    <row r="811" spans="1:30">
      <c r="A811" s="2976"/>
      <c r="B811" s="2966"/>
      <c r="C811" s="2976"/>
      <c r="D811" s="2976"/>
      <c r="E811" s="2976"/>
      <c r="F811" s="2973"/>
      <c r="G811" s="2976"/>
      <c r="H811" s="2966"/>
      <c r="I811" s="2966"/>
      <c r="J811" s="2976"/>
      <c r="K811" s="2976"/>
      <c r="L811" s="2961"/>
      <c r="M811" s="2976"/>
      <c r="N811" s="3086"/>
      <c r="O811" s="3086"/>
      <c r="P811" s="3086"/>
      <c r="Q811" s="2966"/>
      <c r="R811" s="2976"/>
      <c r="S811" s="2961"/>
      <c r="T811" s="2961"/>
      <c r="U811" s="2923"/>
      <c r="V811" s="2923"/>
      <c r="W811" s="2923"/>
      <c r="X811" s="2962"/>
      <c r="Y811" s="2971"/>
      <c r="Z811" s="3086"/>
      <c r="AA811" s="3086"/>
      <c r="AB811" s="3086"/>
      <c r="AC811" s="2976"/>
      <c r="AD811" s="2976"/>
    </row>
    <row r="812" spans="1:30">
      <c r="A812" s="3086"/>
      <c r="B812" s="2966"/>
      <c r="C812" s="2976"/>
      <c r="D812" s="2976"/>
      <c r="E812" s="2976"/>
      <c r="F812" s="2973"/>
      <c r="G812" s="2976"/>
      <c r="H812" s="2966"/>
      <c r="I812" s="2966"/>
      <c r="J812" s="2976"/>
      <c r="K812" s="2976"/>
      <c r="L812" s="2961"/>
      <c r="M812" s="2976"/>
      <c r="N812" s="3086"/>
      <c r="O812" s="3086"/>
      <c r="P812" s="3086"/>
      <c r="Q812" s="2966"/>
      <c r="R812" s="2976"/>
      <c r="S812" s="2961"/>
      <c r="T812" s="2961"/>
      <c r="U812" s="2923"/>
      <c r="V812" s="2923"/>
      <c r="W812" s="2923"/>
      <c r="X812" s="2962"/>
      <c r="Y812" s="2971"/>
      <c r="Z812" s="2976"/>
      <c r="AA812" s="2976"/>
      <c r="AB812" s="2976"/>
      <c r="AC812" s="2976"/>
      <c r="AD812" s="2976"/>
    </row>
    <row r="813" spans="1:30">
      <c r="A813" s="3086"/>
      <c r="B813" s="2966"/>
      <c r="C813" s="2976"/>
      <c r="D813" s="2976"/>
      <c r="E813" s="2976"/>
      <c r="F813" s="2973"/>
      <c r="G813" s="2976"/>
      <c r="H813" s="2966"/>
      <c r="I813" s="2966"/>
      <c r="J813" s="2976"/>
      <c r="K813" s="2976"/>
      <c r="L813" s="2961"/>
      <c r="M813" s="2976"/>
      <c r="N813" s="3086"/>
      <c r="O813" s="3086"/>
      <c r="P813" s="2976"/>
      <c r="Q813" s="2972"/>
      <c r="R813" s="2976"/>
      <c r="S813" s="2961"/>
      <c r="T813" s="2961"/>
      <c r="U813" s="2923"/>
      <c r="V813" s="2923"/>
      <c r="W813" s="2923"/>
      <c r="X813" s="2961"/>
      <c r="Y813" s="2961"/>
      <c r="Z813" s="2976"/>
      <c r="AA813" s="3086"/>
      <c r="AB813" s="2966"/>
      <c r="AC813" s="2976"/>
      <c r="AD813" s="2976"/>
    </row>
    <row r="814" spans="1:30">
      <c r="A814" s="3086"/>
      <c r="B814" s="2966"/>
      <c r="C814" s="2976"/>
      <c r="D814" s="2976"/>
      <c r="E814" s="2976"/>
      <c r="F814" s="2973"/>
      <c r="G814" s="2976"/>
      <c r="H814" s="2966"/>
      <c r="I814" s="2966"/>
      <c r="J814" s="2976"/>
      <c r="K814" s="2976"/>
      <c r="L814" s="2961"/>
      <c r="M814" s="2976"/>
      <c r="N814" s="3086"/>
      <c r="O814" s="3086"/>
      <c r="P814" s="2976"/>
      <c r="Q814" s="2972"/>
      <c r="R814" s="2976"/>
      <c r="S814" s="2961"/>
      <c r="T814" s="2961"/>
      <c r="U814" s="2923"/>
      <c r="V814" s="2923"/>
      <c r="W814" s="2923"/>
      <c r="X814" s="2961"/>
      <c r="Y814" s="2961"/>
      <c r="Z814" s="2976"/>
      <c r="AA814" s="3086"/>
      <c r="AB814" s="2966"/>
      <c r="AC814" s="2976"/>
      <c r="AD814" s="2976"/>
    </row>
    <row r="815" spans="1:30">
      <c r="A815" s="3086"/>
      <c r="B815" s="2966"/>
      <c r="C815" s="2976"/>
      <c r="D815" s="2976"/>
      <c r="E815" s="2976"/>
      <c r="F815" s="2973"/>
      <c r="G815" s="2976"/>
      <c r="H815" s="2966"/>
      <c r="I815" s="2966"/>
      <c r="J815" s="2976"/>
      <c r="K815" s="2976"/>
      <c r="L815" s="2961"/>
      <c r="M815" s="2976"/>
      <c r="N815" s="3086"/>
      <c r="O815" s="3086"/>
      <c r="P815" s="3086"/>
      <c r="Q815" s="2966"/>
      <c r="R815" s="2976"/>
      <c r="S815" s="2961"/>
      <c r="T815" s="2961"/>
      <c r="U815" s="2923"/>
      <c r="V815" s="2923"/>
      <c r="W815" s="2923"/>
      <c r="X815" s="2962"/>
      <c r="Y815" s="2971"/>
      <c r="Z815" s="2976"/>
      <c r="AA815" s="2976"/>
      <c r="AB815" s="2976"/>
      <c r="AC815" s="2976"/>
      <c r="AD815" s="2976"/>
    </row>
    <row r="816" spans="1:30">
      <c r="A816" s="3086"/>
      <c r="B816" s="2966"/>
      <c r="C816" s="2976"/>
      <c r="D816" s="2976"/>
      <c r="E816" s="2976"/>
      <c r="F816" s="2973"/>
      <c r="G816" s="2973"/>
      <c r="H816" s="2966"/>
      <c r="I816" s="2966"/>
      <c r="J816" s="2976"/>
      <c r="K816" s="2976"/>
      <c r="L816" s="2961"/>
      <c r="M816" s="2976"/>
      <c r="N816" s="3086"/>
      <c r="O816" s="3086"/>
      <c r="P816" s="3086"/>
      <c r="Q816" s="2966"/>
      <c r="R816" s="2976"/>
      <c r="S816" s="2961"/>
      <c r="T816" s="2961"/>
      <c r="U816" s="2923"/>
      <c r="V816" s="2923"/>
      <c r="W816" s="2923"/>
      <c r="X816" s="2962"/>
      <c r="Y816" s="2961"/>
      <c r="Z816" s="3086"/>
      <c r="AA816" s="3086"/>
      <c r="AB816" s="3086"/>
      <c r="AC816" s="2976"/>
      <c r="AD816" s="2976"/>
    </row>
    <row r="817" spans="1:44">
      <c r="A817" s="3086"/>
      <c r="B817" s="2966"/>
      <c r="C817" s="2976"/>
      <c r="D817" s="2976"/>
      <c r="E817" s="2976"/>
      <c r="F817" s="2973"/>
      <c r="G817" s="2973"/>
      <c r="H817" s="2966"/>
      <c r="I817" s="2966"/>
      <c r="J817" s="2976"/>
      <c r="K817" s="2976"/>
      <c r="L817" s="2961"/>
      <c r="M817" s="2976"/>
      <c r="N817" s="3086"/>
      <c r="O817" s="3086"/>
      <c r="P817" s="3086"/>
      <c r="Q817" s="2966"/>
      <c r="R817" s="2976"/>
      <c r="S817" s="2961"/>
      <c r="T817" s="2961"/>
      <c r="U817" s="2923"/>
      <c r="V817" s="2923"/>
      <c r="W817" s="2923"/>
      <c r="X817" s="2962"/>
      <c r="Y817" s="2971"/>
      <c r="Z817" s="3086"/>
      <c r="AA817" s="3086"/>
      <c r="AB817" s="3086"/>
      <c r="AC817" s="2976"/>
      <c r="AD817" s="2976"/>
    </row>
    <row r="818" spans="1:44">
      <c r="A818" s="3086"/>
      <c r="B818" s="2966"/>
      <c r="C818" s="2976"/>
      <c r="D818" s="2976"/>
      <c r="E818" s="2976"/>
      <c r="F818" s="2973"/>
      <c r="G818" s="2976"/>
      <c r="H818" s="2966"/>
      <c r="I818" s="2966"/>
      <c r="J818" s="2976"/>
      <c r="K818" s="2976"/>
      <c r="L818" s="2961"/>
      <c r="M818" s="2976"/>
      <c r="N818" s="3086"/>
      <c r="O818" s="3086"/>
      <c r="P818" s="3086"/>
      <c r="Q818" s="2966"/>
      <c r="R818" s="2976"/>
      <c r="S818" s="2961"/>
      <c r="T818" s="2961"/>
      <c r="U818" s="2923"/>
      <c r="V818" s="2923"/>
      <c r="W818" s="2923"/>
      <c r="X818" s="2962"/>
      <c r="Y818" s="2961"/>
      <c r="Z818" s="3086"/>
      <c r="AA818" s="3086"/>
      <c r="AB818" s="3086"/>
      <c r="AC818" s="2976"/>
      <c r="AD818" s="2976"/>
    </row>
    <row r="819" spans="1:44">
      <c r="A819" s="3086"/>
      <c r="B819" s="2966"/>
      <c r="C819" s="2976"/>
      <c r="D819" s="2976"/>
      <c r="E819" s="2976"/>
      <c r="F819" s="2973"/>
      <c r="G819" s="2976"/>
      <c r="H819" s="2966"/>
      <c r="I819" s="2966"/>
      <c r="J819" s="2976"/>
      <c r="K819" s="2976"/>
      <c r="L819" s="2961"/>
      <c r="M819" s="2976"/>
      <c r="N819" s="3086"/>
      <c r="O819" s="3086"/>
      <c r="P819" s="3086"/>
      <c r="Q819" s="2966"/>
      <c r="R819" s="2976"/>
      <c r="S819" s="2961"/>
      <c r="T819" s="2961"/>
      <c r="U819" s="2923"/>
      <c r="V819" s="2923"/>
      <c r="W819" s="2923"/>
      <c r="X819" s="2962"/>
      <c r="Y819" s="2971"/>
      <c r="Z819" s="3086"/>
      <c r="AA819" s="3086"/>
      <c r="AB819" s="3086"/>
      <c r="AC819" s="2976"/>
      <c r="AD819" s="2976"/>
    </row>
    <row r="820" spans="1:44">
      <c r="A820" s="3086"/>
      <c r="B820" s="2966"/>
      <c r="C820" s="2976"/>
      <c r="D820" s="2976"/>
      <c r="E820" s="2976"/>
      <c r="F820" s="2973"/>
      <c r="G820" s="2976"/>
      <c r="H820" s="2966"/>
      <c r="I820" s="2966"/>
      <c r="J820" s="2976"/>
      <c r="K820" s="2976"/>
      <c r="L820" s="2961"/>
      <c r="M820" s="2976"/>
      <c r="N820" s="3086"/>
      <c r="O820" s="3086"/>
      <c r="P820" s="3086"/>
      <c r="Q820" s="2966"/>
      <c r="R820" s="2976"/>
      <c r="S820" s="2961"/>
      <c r="T820" s="2961"/>
      <c r="U820" s="2923"/>
      <c r="V820" s="2923"/>
      <c r="W820" s="2923"/>
      <c r="X820" s="2962"/>
      <c r="Y820" s="2961"/>
      <c r="Z820" s="3086"/>
      <c r="AA820" s="3086"/>
      <c r="AB820" s="3086"/>
      <c r="AC820" s="2976"/>
      <c r="AD820" s="2976"/>
    </row>
    <row r="821" spans="1:44">
      <c r="A821" s="3086"/>
      <c r="B821" s="2966"/>
      <c r="C821" s="2976"/>
      <c r="D821" s="2976"/>
      <c r="E821" s="2976"/>
      <c r="F821" s="3098"/>
      <c r="G821" s="2976"/>
      <c r="H821" s="2966"/>
      <c r="I821" s="2966"/>
      <c r="J821" s="2976"/>
      <c r="K821" s="2976"/>
      <c r="L821" s="2961"/>
      <c r="M821" s="2976"/>
      <c r="N821" s="3086"/>
      <c r="O821" s="3086"/>
      <c r="P821" s="3086"/>
      <c r="Q821" s="2966"/>
      <c r="R821" s="2976"/>
      <c r="S821" s="2961"/>
      <c r="T821" s="2961"/>
      <c r="U821" s="2923"/>
      <c r="V821" s="2923"/>
      <c r="W821" s="2923"/>
      <c r="X821" s="2962"/>
      <c r="Y821" s="2971"/>
      <c r="Z821" s="3086"/>
      <c r="AA821" s="3086"/>
      <c r="AB821" s="3086"/>
      <c r="AC821" s="2976"/>
      <c r="AD821" s="2976"/>
    </row>
    <row r="822" spans="1:44">
      <c r="A822" s="3086"/>
      <c r="B822" s="2966"/>
      <c r="C822" s="2976"/>
      <c r="D822" s="2976"/>
      <c r="E822" s="2976"/>
      <c r="F822" s="2973"/>
      <c r="G822" s="2976"/>
      <c r="H822" s="2966"/>
      <c r="I822" s="2966"/>
      <c r="J822" s="2976"/>
      <c r="K822" s="2976"/>
      <c r="L822" s="2961"/>
      <c r="M822" s="2976"/>
      <c r="N822" s="3086"/>
      <c r="O822" s="3086"/>
      <c r="P822" s="3086"/>
      <c r="Q822" s="2966"/>
      <c r="R822" s="2976"/>
      <c r="S822" s="2961"/>
      <c r="T822" s="2961"/>
      <c r="U822" s="2923"/>
      <c r="V822" s="2923"/>
      <c r="W822" s="2923"/>
      <c r="X822" s="2962"/>
      <c r="Y822" s="2961"/>
      <c r="Z822" s="3086"/>
      <c r="AA822" s="3086"/>
      <c r="AB822" s="3086"/>
      <c r="AC822" s="2976"/>
      <c r="AD822" s="2976"/>
    </row>
    <row r="823" spans="1:44">
      <c r="A823" s="3086"/>
      <c r="B823" s="2966"/>
      <c r="C823" s="2976"/>
      <c r="D823" s="2976"/>
      <c r="E823" s="2976"/>
      <c r="F823" s="2973"/>
      <c r="G823" s="2976"/>
      <c r="H823" s="2966"/>
      <c r="I823" s="2966"/>
      <c r="J823" s="2976"/>
      <c r="K823" s="2976"/>
      <c r="L823" s="2961"/>
      <c r="M823" s="2976"/>
      <c r="N823" s="3086"/>
      <c r="O823" s="3086"/>
      <c r="P823" s="3086"/>
      <c r="Q823" s="2966"/>
      <c r="R823" s="2976"/>
      <c r="S823" s="2961"/>
      <c r="T823" s="2961"/>
      <c r="U823" s="2923"/>
      <c r="V823" s="2923"/>
      <c r="W823" s="2923"/>
      <c r="X823" s="2962"/>
      <c r="Y823" s="2961"/>
      <c r="Z823" s="3086"/>
      <c r="AA823" s="3086"/>
      <c r="AB823" s="3086"/>
      <c r="AC823" s="2976"/>
      <c r="AD823" s="2976"/>
    </row>
    <row r="824" spans="1:44">
      <c r="A824" s="3086"/>
      <c r="B824" s="2966"/>
      <c r="C824" s="2976"/>
      <c r="D824" s="2976"/>
      <c r="E824" s="2976"/>
      <c r="F824" s="2973"/>
      <c r="G824" s="2976"/>
      <c r="H824" s="2966"/>
      <c r="I824" s="2966"/>
      <c r="J824" s="2976"/>
      <c r="K824" s="2976"/>
      <c r="L824" s="2967"/>
      <c r="M824" s="2976"/>
      <c r="N824" s="3086"/>
      <c r="O824" s="3086"/>
      <c r="P824" s="3086"/>
      <c r="Q824" s="2966"/>
      <c r="R824" s="2976"/>
      <c r="S824" s="2961"/>
      <c r="T824" s="2961"/>
      <c r="U824" s="2923"/>
      <c r="V824" s="2923"/>
      <c r="W824" s="2923"/>
      <c r="X824" s="2961"/>
      <c r="Y824" s="2961"/>
      <c r="Z824" s="3086"/>
      <c r="AA824" s="3086"/>
      <c r="AB824" s="3086"/>
      <c r="AC824" s="2976"/>
      <c r="AD824" s="2976"/>
    </row>
    <row r="825" spans="1:44">
      <c r="A825" s="3086"/>
      <c r="B825" s="2966"/>
      <c r="C825" s="2976"/>
      <c r="D825" s="2976"/>
      <c r="E825" s="2976"/>
      <c r="F825" s="2973"/>
      <c r="G825" s="2976"/>
      <c r="H825" s="2966"/>
      <c r="I825" s="2966"/>
      <c r="J825" s="2976"/>
      <c r="K825" s="2976"/>
      <c r="L825" s="2961"/>
      <c r="M825" s="2976"/>
      <c r="N825" s="3086"/>
      <c r="O825" s="3086"/>
      <c r="P825" s="3086"/>
      <c r="Q825" s="2966"/>
      <c r="R825" s="2976"/>
      <c r="S825" s="2961"/>
      <c r="T825" s="2961"/>
      <c r="U825" s="2923"/>
      <c r="V825" s="2923"/>
      <c r="W825" s="2923"/>
      <c r="X825" s="2962"/>
      <c r="Y825" s="2961"/>
      <c r="Z825" s="3086"/>
      <c r="AA825" s="3086"/>
      <c r="AB825" s="2976"/>
      <c r="AC825" s="2976"/>
      <c r="AD825" s="2976"/>
    </row>
    <row r="826" spans="1:44">
      <c r="A826" s="3086"/>
      <c r="B826" s="2966"/>
      <c r="C826" s="2976"/>
      <c r="D826" s="2976"/>
      <c r="E826" s="2976"/>
      <c r="F826" s="2973"/>
      <c r="G826" s="2976"/>
      <c r="H826" s="2966"/>
      <c r="I826" s="2966"/>
      <c r="J826" s="2976"/>
      <c r="K826" s="2976"/>
      <c r="L826" s="2961"/>
      <c r="M826" s="2976"/>
      <c r="N826" s="3086"/>
      <c r="O826" s="3086"/>
      <c r="P826" s="3086"/>
      <c r="Q826" s="2966"/>
      <c r="R826" s="2976"/>
      <c r="S826" s="2961"/>
      <c r="T826" s="2961"/>
      <c r="U826" s="2923"/>
      <c r="V826" s="2923"/>
      <c r="W826" s="2923"/>
      <c r="X826" s="2962"/>
      <c r="Y826" s="2961"/>
      <c r="Z826" s="3086"/>
      <c r="AA826" s="3086"/>
      <c r="AB826" s="3086"/>
      <c r="AC826" s="2976"/>
      <c r="AD826" s="2976"/>
    </row>
    <row r="827" spans="1:44">
      <c r="A827" s="3086"/>
      <c r="B827" s="2966"/>
      <c r="C827" s="2976"/>
      <c r="D827" s="2976"/>
      <c r="E827" s="2976"/>
      <c r="F827" s="2973"/>
      <c r="G827" s="2976"/>
      <c r="H827" s="2966"/>
      <c r="I827" s="2966"/>
      <c r="J827" s="2976"/>
      <c r="K827" s="2976"/>
      <c r="L827" s="2961"/>
      <c r="M827" s="2976"/>
      <c r="N827" s="3086"/>
      <c r="O827" s="3086"/>
      <c r="P827" s="3086"/>
      <c r="Q827" s="2966"/>
      <c r="R827" s="2976"/>
      <c r="S827" s="2961"/>
      <c r="T827" s="2961"/>
      <c r="U827" s="2923"/>
      <c r="V827" s="2923"/>
      <c r="W827" s="2923"/>
      <c r="X827" s="2962"/>
      <c r="Y827" s="2961"/>
      <c r="Z827" s="3086"/>
      <c r="AA827" s="3086"/>
      <c r="AB827" s="3086"/>
      <c r="AC827" s="2976"/>
      <c r="AD827" s="2976"/>
    </row>
    <row r="828" spans="1:44">
      <c r="A828" s="3086"/>
      <c r="B828" s="2966"/>
      <c r="C828" s="2976"/>
      <c r="D828" s="2976"/>
      <c r="E828" s="2976"/>
      <c r="F828" s="2973"/>
      <c r="G828" s="2976"/>
      <c r="H828" s="2966"/>
      <c r="I828" s="2966"/>
      <c r="J828" s="2976"/>
      <c r="K828" s="2976"/>
      <c r="L828" s="2961"/>
      <c r="M828" s="2976"/>
      <c r="N828" s="3086"/>
      <c r="O828" s="3086"/>
      <c r="P828" s="2976"/>
      <c r="Q828" s="2972"/>
      <c r="R828" s="2739"/>
      <c r="S828" s="2961"/>
      <c r="T828" s="2961"/>
      <c r="U828" s="2923"/>
      <c r="V828" s="2923"/>
      <c r="W828" s="2923"/>
      <c r="X828" s="2961"/>
      <c r="Y828" s="2961"/>
      <c r="Z828" s="2976"/>
      <c r="AA828" s="3086"/>
      <c r="AB828" s="2966"/>
      <c r="AC828" s="2976"/>
      <c r="AD828" s="2976"/>
    </row>
    <row r="829" spans="1:44">
      <c r="A829" s="3086"/>
      <c r="B829" s="2966"/>
      <c r="C829" s="2976"/>
      <c r="D829" s="2976"/>
      <c r="E829" s="2976"/>
      <c r="F829" s="2973"/>
      <c r="G829" s="2976"/>
      <c r="H829" s="2966"/>
      <c r="I829" s="2966"/>
      <c r="J829" s="2976"/>
      <c r="K829" s="2976"/>
      <c r="L829" s="2961"/>
      <c r="M829" s="2976"/>
      <c r="N829" s="3086"/>
      <c r="O829" s="3086"/>
      <c r="P829" s="3086"/>
      <c r="Q829" s="2966"/>
      <c r="R829" s="2976"/>
      <c r="S829" s="2961"/>
      <c r="T829" s="2961"/>
      <c r="U829" s="2923"/>
      <c r="V829" s="2923"/>
      <c r="W829" s="2923"/>
      <c r="X829" s="2962"/>
      <c r="Y829" s="2961"/>
      <c r="Z829" s="3086"/>
      <c r="AA829" s="3086"/>
      <c r="AB829" s="3086"/>
      <c r="AC829" s="2976"/>
      <c r="AD829" s="2976"/>
    </row>
    <row r="830" spans="1:44">
      <c r="A830" s="3086"/>
      <c r="B830" s="2966"/>
      <c r="C830" s="2976"/>
      <c r="D830" s="2976"/>
      <c r="E830" s="2976"/>
      <c r="F830" s="2973"/>
      <c r="G830" s="2976"/>
      <c r="H830" s="2966"/>
      <c r="I830" s="2966"/>
      <c r="J830" s="2976"/>
      <c r="K830" s="2976"/>
      <c r="L830" s="2961"/>
      <c r="M830" s="2976"/>
      <c r="N830" s="3086"/>
      <c r="O830" s="3086"/>
      <c r="P830" s="3086"/>
      <c r="Q830" s="2966"/>
      <c r="R830" s="2976"/>
      <c r="S830" s="2961"/>
      <c r="T830" s="2961"/>
      <c r="U830" s="2923"/>
      <c r="V830" s="2923"/>
      <c r="W830" s="2923"/>
      <c r="X830" s="2962"/>
      <c r="Y830" s="2961"/>
      <c r="Z830" s="3086"/>
      <c r="AA830" s="3086"/>
      <c r="AB830" s="3086"/>
      <c r="AC830" s="2976"/>
      <c r="AD830" s="2976"/>
    </row>
    <row r="831" spans="1:44">
      <c r="A831" s="3086"/>
      <c r="B831" s="2966"/>
      <c r="C831" s="2976"/>
      <c r="D831" s="2976"/>
      <c r="E831" s="2976"/>
      <c r="F831" s="2973"/>
      <c r="G831" s="2976"/>
      <c r="H831" s="2966"/>
      <c r="I831" s="2966"/>
      <c r="J831" s="2976"/>
      <c r="K831" s="2976"/>
      <c r="L831" s="2961"/>
      <c r="M831" s="2976"/>
      <c r="N831" s="3086"/>
      <c r="O831" s="3086"/>
      <c r="P831" s="3086"/>
      <c r="Q831" s="2966"/>
      <c r="R831" s="2976"/>
      <c r="S831" s="2961"/>
      <c r="T831" s="2961"/>
      <c r="U831" s="2923"/>
      <c r="V831" s="2923"/>
      <c r="W831" s="2923"/>
      <c r="X831" s="2962"/>
      <c r="Y831" s="2961"/>
      <c r="Z831" s="3086"/>
      <c r="AA831" s="3086"/>
      <c r="AB831" s="2976"/>
      <c r="AC831" s="2976"/>
      <c r="AD831" s="2976"/>
    </row>
    <row r="832" spans="1:44" s="58" customFormat="1">
      <c r="A832" s="3086"/>
      <c r="B832" s="2966"/>
      <c r="C832" s="2976"/>
      <c r="D832" s="2976"/>
      <c r="E832" s="2976"/>
      <c r="F832" s="2973"/>
      <c r="G832" s="2976"/>
      <c r="H832" s="2966"/>
      <c r="I832" s="2966"/>
      <c r="J832" s="2976"/>
      <c r="K832" s="2976"/>
      <c r="L832" s="2961"/>
      <c r="M832" s="2976"/>
      <c r="N832" s="3086"/>
      <c r="O832" s="3086"/>
      <c r="P832" s="3086"/>
      <c r="Q832" s="2966"/>
      <c r="R832" s="2976"/>
      <c r="S832" s="2961"/>
      <c r="T832" s="2961"/>
      <c r="U832" s="2923"/>
      <c r="V832" s="2923"/>
      <c r="W832" s="2923"/>
      <c r="X832" s="2962"/>
      <c r="Y832" s="2961"/>
      <c r="Z832" s="3086"/>
      <c r="AA832" s="3086"/>
      <c r="AB832" s="2976"/>
      <c r="AC832" s="2976"/>
      <c r="AD832" s="2976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</row>
    <row r="833" spans="1:30">
      <c r="A833" s="3086"/>
      <c r="B833" s="2966"/>
      <c r="C833" s="2976"/>
      <c r="D833" s="2976"/>
      <c r="E833" s="2976"/>
      <c r="F833" s="2973"/>
      <c r="G833" s="2976"/>
      <c r="H833" s="2966"/>
      <c r="I833" s="2966"/>
      <c r="J833" s="2976"/>
      <c r="K833" s="2976"/>
      <c r="L833" s="2961"/>
      <c r="M833" s="2976"/>
      <c r="N833" s="3086"/>
      <c r="O833" s="3086"/>
      <c r="P833" s="3086"/>
      <c r="Q833" s="2966"/>
      <c r="R833" s="2976"/>
      <c r="S833" s="2961"/>
      <c r="T833" s="2961"/>
      <c r="U833" s="2923"/>
      <c r="V833" s="2923"/>
      <c r="W833" s="2923"/>
      <c r="X833" s="2962"/>
      <c r="Y833" s="2961"/>
      <c r="Z833" s="3086"/>
      <c r="AA833" s="3086"/>
      <c r="AB833" s="3086"/>
      <c r="AC833" s="2976"/>
      <c r="AD833" s="2976"/>
    </row>
    <row r="834" spans="1:30">
      <c r="A834" s="3086"/>
      <c r="B834" s="2966"/>
      <c r="C834" s="2976"/>
      <c r="D834" s="2976"/>
      <c r="E834" s="2976"/>
      <c r="F834" s="2973"/>
      <c r="G834" s="2976"/>
      <c r="H834" s="2966"/>
      <c r="I834" s="2966"/>
      <c r="J834" s="2976"/>
      <c r="K834" s="2976"/>
      <c r="L834" s="2961"/>
      <c r="M834" s="2976"/>
      <c r="N834" s="3086"/>
      <c r="O834" s="3086"/>
      <c r="P834" s="3086"/>
      <c r="Q834" s="2966"/>
      <c r="R834" s="2976"/>
      <c r="S834" s="2961"/>
      <c r="T834" s="2961"/>
      <c r="U834" s="2923"/>
      <c r="V834" s="2923"/>
      <c r="W834" s="2923"/>
      <c r="X834" s="2962"/>
      <c r="Y834" s="2961"/>
      <c r="Z834" s="3086"/>
      <c r="AA834" s="3086"/>
      <c r="AB834" s="3086"/>
      <c r="AC834" s="2976"/>
      <c r="AD834" s="2976"/>
    </row>
    <row r="835" spans="1:30">
      <c r="A835" s="3086"/>
      <c r="B835" s="2966"/>
      <c r="C835" s="2976"/>
      <c r="D835" s="2976"/>
      <c r="E835" s="2976"/>
      <c r="F835" s="2973"/>
      <c r="G835" s="2976"/>
      <c r="H835" s="2966"/>
      <c r="I835" s="2966"/>
      <c r="J835" s="2976"/>
      <c r="K835" s="2976"/>
      <c r="L835" s="2961"/>
      <c r="M835" s="2976"/>
      <c r="N835" s="3086"/>
      <c r="O835" s="3086"/>
      <c r="P835" s="3086"/>
      <c r="Q835" s="2966"/>
      <c r="R835" s="2976"/>
      <c r="S835" s="2961"/>
      <c r="T835" s="2961"/>
      <c r="U835" s="2923"/>
      <c r="V835" s="2923"/>
      <c r="W835" s="2923"/>
      <c r="X835" s="2962"/>
      <c r="Y835" s="2961"/>
      <c r="Z835" s="3086"/>
      <c r="AA835" s="3086"/>
      <c r="AB835" s="3086"/>
      <c r="AC835" s="2976"/>
      <c r="AD835" s="2976"/>
    </row>
    <row r="836" spans="1:30">
      <c r="A836" s="3086"/>
      <c r="B836" s="2966"/>
      <c r="C836" s="2976"/>
      <c r="D836" s="2976"/>
      <c r="E836" s="2976"/>
      <c r="F836" s="2973"/>
      <c r="G836" s="2976"/>
      <c r="H836" s="2966"/>
      <c r="I836" s="2966"/>
      <c r="J836" s="2976"/>
      <c r="K836" s="2976"/>
      <c r="L836" s="2961"/>
      <c r="M836" s="2976"/>
      <c r="N836" s="3086"/>
      <c r="O836" s="3086"/>
      <c r="P836" s="3086"/>
      <c r="Q836" s="2966"/>
      <c r="R836" s="2976"/>
      <c r="S836" s="2961"/>
      <c r="T836" s="2961"/>
      <c r="U836" s="2923"/>
      <c r="V836" s="2923"/>
      <c r="W836" s="2923"/>
      <c r="X836" s="2962"/>
      <c r="Y836" s="2961"/>
      <c r="Z836" s="3086"/>
      <c r="AA836" s="3086"/>
      <c r="AB836" s="3086"/>
      <c r="AC836" s="2976"/>
      <c r="AD836" s="2976"/>
    </row>
    <row r="837" spans="1:30">
      <c r="A837" s="3086"/>
      <c r="B837" s="2966"/>
      <c r="C837" s="2976"/>
      <c r="D837" s="2976"/>
      <c r="E837" s="2976"/>
      <c r="F837" s="2973"/>
      <c r="G837" s="2976"/>
      <c r="H837" s="2966"/>
      <c r="I837" s="2966"/>
      <c r="J837" s="2976"/>
      <c r="K837" s="2976"/>
      <c r="L837" s="2961"/>
      <c r="M837" s="2976"/>
      <c r="N837" s="2976"/>
      <c r="O837" s="2976"/>
      <c r="P837" s="2976"/>
      <c r="Q837" s="2966"/>
      <c r="R837" s="2976"/>
      <c r="S837" s="2961"/>
      <c r="T837" s="2961"/>
      <c r="U837" s="2923"/>
      <c r="V837" s="2923"/>
      <c r="W837" s="2923"/>
      <c r="X837" s="2961"/>
      <c r="Y837" s="2961"/>
      <c r="Z837" s="2976"/>
      <c r="AA837" s="2976"/>
      <c r="AB837" s="2976"/>
      <c r="AC837" s="2976"/>
      <c r="AD837" s="2976"/>
    </row>
    <row r="838" spans="1:30">
      <c r="A838" s="3086"/>
      <c r="B838" s="2966"/>
      <c r="C838" s="2976"/>
      <c r="D838" s="2976"/>
      <c r="E838" s="2976"/>
      <c r="F838" s="2973"/>
      <c r="G838" s="2976"/>
      <c r="H838" s="2966"/>
      <c r="I838" s="2966"/>
      <c r="J838" s="2976"/>
      <c r="K838" s="2976"/>
      <c r="L838" s="2961"/>
      <c r="M838" s="2976"/>
      <c r="N838" s="2976"/>
      <c r="O838" s="2976"/>
      <c r="P838" s="2976"/>
      <c r="Q838" s="2966"/>
      <c r="R838" s="2976"/>
      <c r="S838" s="2961"/>
      <c r="T838" s="2961"/>
      <c r="U838" s="2923"/>
      <c r="V838" s="2923"/>
      <c r="W838" s="2923"/>
      <c r="X838" s="2961"/>
      <c r="Y838" s="2961"/>
      <c r="Z838" s="2976"/>
      <c r="AA838" s="2976"/>
      <c r="AB838" s="2976"/>
      <c r="AC838" s="2976"/>
      <c r="AD838" s="2976"/>
    </row>
    <row r="839" spans="1:30">
      <c r="A839" s="3086"/>
      <c r="B839" s="2966"/>
      <c r="C839" s="2976"/>
      <c r="D839" s="2976"/>
      <c r="E839" s="2976"/>
      <c r="F839" s="2973"/>
      <c r="G839" s="2976"/>
      <c r="H839" s="2966"/>
      <c r="I839" s="2966"/>
      <c r="J839" s="2976"/>
      <c r="K839" s="2976"/>
      <c r="L839" s="2961"/>
      <c r="M839" s="2976"/>
      <c r="N839" s="2976"/>
      <c r="O839" s="2976"/>
      <c r="P839" s="2976"/>
      <c r="Q839" s="2966"/>
      <c r="R839" s="2976"/>
      <c r="S839" s="2961"/>
      <c r="T839" s="2961"/>
      <c r="U839" s="2923"/>
      <c r="V839" s="2923"/>
      <c r="W839" s="2923"/>
      <c r="X839" s="2961"/>
      <c r="Y839" s="2961"/>
      <c r="Z839" s="2976"/>
      <c r="AA839" s="2976"/>
      <c r="AB839" s="2976"/>
      <c r="AC839" s="2976"/>
      <c r="AD839" s="2976"/>
    </row>
    <row r="840" spans="1:30">
      <c r="A840" s="3086"/>
      <c r="B840" s="2966"/>
      <c r="C840" s="2976"/>
      <c r="D840" s="2976"/>
      <c r="E840" s="2976"/>
      <c r="F840" s="2973"/>
      <c r="G840" s="2976"/>
      <c r="H840" s="2966"/>
      <c r="I840" s="2966"/>
      <c r="J840" s="2976"/>
      <c r="K840" s="2976"/>
      <c r="L840" s="2961"/>
      <c r="M840" s="2976"/>
      <c r="N840" s="2976"/>
      <c r="O840" s="2976"/>
      <c r="P840" s="2976"/>
      <c r="Q840" s="2966"/>
      <c r="R840" s="2976"/>
      <c r="S840" s="2961"/>
      <c r="T840" s="2961"/>
      <c r="U840" s="2923"/>
      <c r="V840" s="2923"/>
      <c r="W840" s="2923"/>
      <c r="X840" s="2961"/>
      <c r="Y840" s="2961"/>
      <c r="Z840" s="2976"/>
      <c r="AA840" s="2976"/>
      <c r="AB840" s="2976"/>
      <c r="AC840" s="2976"/>
      <c r="AD840" s="2976"/>
    </row>
    <row r="841" spans="1:30">
      <c r="A841" s="3086"/>
      <c r="B841" s="2966"/>
      <c r="C841" s="2976"/>
      <c r="D841" s="2976"/>
      <c r="E841" s="2976"/>
      <c r="F841" s="2973"/>
      <c r="G841" s="2976"/>
      <c r="H841" s="2966"/>
      <c r="I841" s="2966"/>
      <c r="J841" s="2976"/>
      <c r="K841" s="2976"/>
      <c r="L841" s="2961"/>
      <c r="M841" s="2976"/>
      <c r="N841" s="2976"/>
      <c r="O841" s="2976"/>
      <c r="P841" s="2976"/>
      <c r="Q841" s="2966"/>
      <c r="R841" s="2976"/>
      <c r="S841" s="2961"/>
      <c r="T841" s="2961"/>
      <c r="U841" s="2923"/>
      <c r="V841" s="2923"/>
      <c r="W841" s="2923"/>
      <c r="X841" s="2961"/>
      <c r="Y841" s="2961"/>
      <c r="Z841" s="2976"/>
      <c r="AA841" s="2976"/>
      <c r="AB841" s="2976"/>
      <c r="AC841" s="2976"/>
      <c r="AD841" s="2976"/>
    </row>
    <row r="842" spans="1:30">
      <c r="A842" s="3086"/>
      <c r="B842" s="2966"/>
      <c r="C842" s="2976"/>
      <c r="D842" s="2976"/>
      <c r="E842" s="2976"/>
      <c r="F842" s="2973"/>
      <c r="G842" s="2976"/>
      <c r="H842" s="2966"/>
      <c r="I842" s="2966"/>
      <c r="J842" s="2976"/>
      <c r="K842" s="2976"/>
      <c r="L842" s="2961"/>
      <c r="M842" s="2976"/>
      <c r="N842" s="3086"/>
      <c r="O842" s="3086"/>
      <c r="P842" s="3086"/>
      <c r="Q842" s="2966"/>
      <c r="R842" s="2976"/>
      <c r="S842" s="2961"/>
      <c r="T842" s="2961"/>
      <c r="U842" s="2923"/>
      <c r="V842" s="2923"/>
      <c r="W842" s="2923"/>
      <c r="X842" s="2962"/>
      <c r="Y842" s="2961"/>
      <c r="Z842" s="3086"/>
      <c r="AA842" s="3086"/>
      <c r="AB842" s="3086"/>
      <c r="AC842" s="2976"/>
      <c r="AD842" s="2976"/>
    </row>
    <row r="843" spans="1:30">
      <c r="A843" s="3086"/>
      <c r="B843" s="2966"/>
      <c r="C843" s="2976"/>
      <c r="D843" s="2976"/>
      <c r="E843" s="2976"/>
      <c r="F843" s="2973"/>
      <c r="G843" s="2976"/>
      <c r="H843" s="2966"/>
      <c r="I843" s="2966"/>
      <c r="J843" s="2976"/>
      <c r="K843" s="2976"/>
      <c r="L843" s="2961"/>
      <c r="M843" s="2976"/>
      <c r="N843" s="3086"/>
      <c r="O843" s="3086"/>
      <c r="P843" s="2976"/>
      <c r="Q843" s="2966"/>
      <c r="R843" s="2976"/>
      <c r="S843" s="2961"/>
      <c r="T843" s="2961"/>
      <c r="U843" s="2923"/>
      <c r="V843" s="2923"/>
      <c r="W843" s="2923"/>
      <c r="X843" s="2961"/>
      <c r="Y843" s="2961"/>
      <c r="Z843" s="2976"/>
      <c r="AA843" s="3086"/>
      <c r="AB843" s="2976"/>
      <c r="AC843" s="2976"/>
      <c r="AD843" s="2976"/>
    </row>
    <row r="844" spans="1:30">
      <c r="A844" s="3086"/>
      <c r="B844" s="2966"/>
      <c r="C844" s="2976"/>
      <c r="D844" s="2976"/>
      <c r="E844" s="2976"/>
      <c r="F844" s="3095"/>
      <c r="G844" s="2976"/>
      <c r="H844" s="2966"/>
      <c r="I844" s="2966"/>
      <c r="J844" s="2976"/>
      <c r="K844" s="2976"/>
      <c r="L844" s="2961"/>
      <c r="M844" s="2976"/>
      <c r="N844" s="3086"/>
      <c r="O844" s="3086"/>
      <c r="P844" s="3086"/>
      <c r="Q844" s="2966"/>
      <c r="R844" s="2976"/>
      <c r="S844" s="2961"/>
      <c r="T844" s="2961"/>
      <c r="U844" s="2923"/>
      <c r="V844" s="2923"/>
      <c r="W844" s="2923"/>
      <c r="X844" s="2962"/>
      <c r="Y844" s="2961"/>
      <c r="Z844" s="3086"/>
      <c r="AA844" s="3086"/>
      <c r="AB844" s="3086"/>
      <c r="AC844" s="2976"/>
      <c r="AD844" s="2976"/>
    </row>
    <row r="845" spans="1:30">
      <c r="A845" s="3086"/>
      <c r="B845" s="2966"/>
      <c r="C845" s="2976"/>
      <c r="D845" s="2976"/>
      <c r="E845" s="2976"/>
      <c r="F845" s="2973"/>
      <c r="G845" s="2976"/>
      <c r="H845" s="2966"/>
      <c r="I845" s="2966"/>
      <c r="J845" s="2976"/>
      <c r="K845" s="2976"/>
      <c r="L845" s="2961"/>
      <c r="M845" s="2976"/>
      <c r="N845" s="3086"/>
      <c r="O845" s="3086"/>
      <c r="P845" s="3086"/>
      <c r="Q845" s="2966"/>
      <c r="R845" s="2976"/>
      <c r="S845" s="2961"/>
      <c r="T845" s="2961"/>
      <c r="U845" s="2923"/>
      <c r="V845" s="2923"/>
      <c r="W845" s="2923"/>
      <c r="X845" s="2962"/>
      <c r="Y845" s="2961"/>
      <c r="Z845" s="3086"/>
      <c r="AA845" s="3086"/>
      <c r="AB845" s="2976"/>
      <c r="AC845" s="2976"/>
      <c r="AD845" s="2976"/>
    </row>
    <row r="846" spans="1:30">
      <c r="A846" s="3086"/>
      <c r="B846" s="2966"/>
      <c r="C846" s="2976"/>
      <c r="D846" s="2976"/>
      <c r="E846" s="2976"/>
      <c r="F846" s="2973"/>
      <c r="G846" s="2976"/>
      <c r="H846" s="2966"/>
      <c r="I846" s="2966"/>
      <c r="J846" s="2976"/>
      <c r="K846" s="2976"/>
      <c r="L846" s="2961"/>
      <c r="M846" s="2976"/>
      <c r="N846" s="3086"/>
      <c r="O846" s="3086"/>
      <c r="P846" s="3086"/>
      <c r="Q846" s="2966"/>
      <c r="R846" s="2976"/>
      <c r="S846" s="2961"/>
      <c r="T846" s="2961"/>
      <c r="U846" s="2923"/>
      <c r="V846" s="2923"/>
      <c r="W846" s="2923"/>
      <c r="X846" s="2962"/>
      <c r="Y846" s="2971"/>
      <c r="Z846" s="3086"/>
      <c r="AA846" s="3086"/>
      <c r="AB846" s="3086"/>
      <c r="AC846" s="2976"/>
      <c r="AD846" s="2976"/>
    </row>
    <row r="847" spans="1:30">
      <c r="A847" s="3086"/>
      <c r="B847" s="2966"/>
      <c r="C847" s="2976"/>
      <c r="D847" s="2976"/>
      <c r="E847" s="2976"/>
      <c r="F847" s="2973"/>
      <c r="G847" s="2976"/>
      <c r="H847" s="2966"/>
      <c r="I847" s="2966"/>
      <c r="J847" s="2976"/>
      <c r="K847" s="2976"/>
      <c r="L847" s="2961"/>
      <c r="M847" s="2976"/>
      <c r="N847" s="3086"/>
      <c r="O847" s="3086"/>
      <c r="P847" s="3086"/>
      <c r="Q847" s="2966"/>
      <c r="R847" s="2976"/>
      <c r="S847" s="2961"/>
      <c r="T847" s="2961"/>
      <c r="U847" s="2923"/>
      <c r="V847" s="2923"/>
      <c r="W847" s="2923"/>
      <c r="X847" s="2962"/>
      <c r="Y847" s="2961"/>
      <c r="Z847" s="3086"/>
      <c r="AA847" s="3086"/>
      <c r="AB847" s="3086"/>
      <c r="AC847" s="2976"/>
      <c r="AD847" s="2976"/>
    </row>
    <row r="848" spans="1:30">
      <c r="A848" s="3086"/>
      <c r="B848" s="2966"/>
      <c r="C848" s="2976"/>
      <c r="D848" s="2976"/>
      <c r="E848" s="2976"/>
      <c r="F848" s="2973"/>
      <c r="G848" s="2976"/>
      <c r="H848" s="2966"/>
      <c r="I848" s="2966"/>
      <c r="J848" s="2976"/>
      <c r="K848" s="2976"/>
      <c r="L848" s="2961"/>
      <c r="M848" s="2976"/>
      <c r="N848" s="3086"/>
      <c r="O848" s="3086"/>
      <c r="P848" s="3086"/>
      <c r="Q848" s="2966"/>
      <c r="R848" s="2976"/>
      <c r="S848" s="2961"/>
      <c r="T848" s="2961"/>
      <c r="U848" s="2923"/>
      <c r="V848" s="2923"/>
      <c r="W848" s="2923"/>
      <c r="X848" s="2962"/>
      <c r="Y848" s="2961"/>
      <c r="Z848" s="3086"/>
      <c r="AA848" s="3086"/>
      <c r="AB848" s="2976"/>
      <c r="AC848" s="2976"/>
      <c r="AD848" s="2976"/>
    </row>
    <row r="849" spans="1:30">
      <c r="A849" s="3086"/>
      <c r="B849" s="2966"/>
      <c r="C849" s="2976"/>
      <c r="D849" s="2976"/>
      <c r="E849" s="2976"/>
      <c r="F849" s="2973"/>
      <c r="G849" s="2976"/>
      <c r="H849" s="2966"/>
      <c r="I849" s="2966"/>
      <c r="J849" s="2976"/>
      <c r="K849" s="2976"/>
      <c r="L849" s="2961"/>
      <c r="M849" s="2976"/>
      <c r="N849" s="3086"/>
      <c r="O849" s="3086"/>
      <c r="P849" s="3086"/>
      <c r="Q849" s="2966"/>
      <c r="R849" s="2976"/>
      <c r="S849" s="2961"/>
      <c r="T849" s="2961"/>
      <c r="U849" s="2923"/>
      <c r="V849" s="2923"/>
      <c r="W849" s="2923"/>
      <c r="X849" s="2962"/>
      <c r="Y849" s="2961"/>
      <c r="Z849" s="3086"/>
      <c r="AA849" s="3086"/>
      <c r="AB849" s="3086"/>
      <c r="AC849" s="2976"/>
      <c r="AD849" s="2976"/>
    </row>
    <row r="850" spans="1:30">
      <c r="A850" s="3086"/>
      <c r="B850" s="2966"/>
      <c r="C850" s="2976"/>
      <c r="D850" s="2976"/>
      <c r="E850" s="2976"/>
      <c r="F850" s="2973"/>
      <c r="G850" s="2976"/>
      <c r="H850" s="2966"/>
      <c r="I850" s="2966"/>
      <c r="J850" s="2976"/>
      <c r="K850" s="2976"/>
      <c r="L850" s="2961"/>
      <c r="M850" s="2976"/>
      <c r="N850" s="3086"/>
      <c r="O850" s="3086"/>
      <c r="P850" s="3086"/>
      <c r="Q850" s="2966"/>
      <c r="R850" s="2976"/>
      <c r="S850" s="2961"/>
      <c r="T850" s="2961"/>
      <c r="U850" s="2923"/>
      <c r="V850" s="2923"/>
      <c r="W850" s="2923"/>
      <c r="X850" s="2962"/>
      <c r="Y850" s="2961"/>
      <c r="Z850" s="3086"/>
      <c r="AA850" s="3086"/>
      <c r="AB850" s="3086"/>
      <c r="AC850" s="2976"/>
      <c r="AD850" s="2976"/>
    </row>
    <row r="851" spans="1:30">
      <c r="A851" s="3086"/>
      <c r="B851" s="2966"/>
      <c r="C851" s="2976"/>
      <c r="D851" s="2976"/>
      <c r="E851" s="2976"/>
      <c r="F851" s="2973"/>
      <c r="G851" s="2976"/>
      <c r="H851" s="2966"/>
      <c r="I851" s="2966"/>
      <c r="J851" s="2976"/>
      <c r="K851" s="2976"/>
      <c r="L851" s="2961"/>
      <c r="M851" s="2976"/>
      <c r="N851" s="3086"/>
      <c r="O851" s="3086"/>
      <c r="P851" s="3086"/>
      <c r="Q851" s="2966"/>
      <c r="R851" s="2976"/>
      <c r="S851" s="2961"/>
      <c r="T851" s="2961"/>
      <c r="U851" s="2923"/>
      <c r="V851" s="2923"/>
      <c r="W851" s="2923"/>
      <c r="X851" s="2962"/>
      <c r="Y851" s="2971"/>
      <c r="Z851" s="3086"/>
      <c r="AA851" s="3086"/>
      <c r="AB851" s="3086"/>
      <c r="AC851" s="2976"/>
      <c r="AD851" s="2976"/>
    </row>
    <row r="852" spans="1:30">
      <c r="A852" s="3086"/>
      <c r="B852" s="2966"/>
      <c r="C852" s="2976"/>
      <c r="D852" s="2976"/>
      <c r="E852" s="2976"/>
      <c r="F852" s="2973"/>
      <c r="G852" s="2976"/>
      <c r="H852" s="2966"/>
      <c r="I852" s="2966"/>
      <c r="J852" s="2976"/>
      <c r="K852" s="2976"/>
      <c r="L852" s="2961"/>
      <c r="M852" s="2976"/>
      <c r="N852" s="3086"/>
      <c r="O852" s="3086"/>
      <c r="P852" s="3086"/>
      <c r="Q852" s="2966"/>
      <c r="R852" s="2976"/>
      <c r="S852" s="2961"/>
      <c r="T852" s="2961"/>
      <c r="U852" s="2923"/>
      <c r="V852" s="2923"/>
      <c r="W852" s="2923"/>
      <c r="X852" s="2962"/>
      <c r="Y852" s="2961"/>
      <c r="Z852" s="3086"/>
      <c r="AA852" s="3086"/>
      <c r="AB852" s="3086"/>
      <c r="AC852" s="2976"/>
      <c r="AD852" s="2976"/>
    </row>
    <row r="853" spans="1:30">
      <c r="A853" s="3086"/>
      <c r="B853" s="2966"/>
      <c r="C853" s="2976"/>
      <c r="D853" s="2976"/>
      <c r="E853" s="2976"/>
      <c r="F853" s="2973"/>
      <c r="G853" s="2976"/>
      <c r="H853" s="2966"/>
      <c r="I853" s="2966"/>
      <c r="J853" s="2976"/>
      <c r="K853" s="2976"/>
      <c r="L853" s="2961"/>
      <c r="M853" s="2976"/>
      <c r="N853" s="3086"/>
      <c r="O853" s="3086"/>
      <c r="P853" s="3086"/>
      <c r="Q853" s="2966"/>
      <c r="R853" s="2976"/>
      <c r="S853" s="2961"/>
      <c r="T853" s="2961"/>
      <c r="U853" s="2923"/>
      <c r="V853" s="2923"/>
      <c r="W853" s="2923"/>
      <c r="X853" s="2962"/>
      <c r="Y853" s="2971"/>
      <c r="Z853" s="3086"/>
      <c r="AA853" s="3086"/>
      <c r="AB853" s="3086"/>
      <c r="AC853" s="2976"/>
      <c r="AD853" s="2976"/>
    </row>
    <row r="854" spans="1:30">
      <c r="A854" s="3086"/>
      <c r="B854" s="2966"/>
      <c r="C854" s="2976"/>
      <c r="D854" s="2976"/>
      <c r="E854" s="2976"/>
      <c r="F854" s="2973"/>
      <c r="G854" s="2976"/>
      <c r="H854" s="2966"/>
      <c r="I854" s="2966"/>
      <c r="J854" s="2976"/>
      <c r="K854" s="2976"/>
      <c r="L854" s="2961"/>
      <c r="M854" s="2976"/>
      <c r="N854" s="3086"/>
      <c r="O854" s="3086"/>
      <c r="P854" s="3086"/>
      <c r="Q854" s="2966"/>
      <c r="R854" s="2976"/>
      <c r="S854" s="2961"/>
      <c r="T854" s="2961"/>
      <c r="U854" s="2923"/>
      <c r="V854" s="2923"/>
      <c r="W854" s="2923"/>
      <c r="X854" s="2962"/>
      <c r="Y854" s="2971"/>
      <c r="Z854" s="3086"/>
      <c r="AA854" s="3086"/>
      <c r="AB854" s="3086"/>
      <c r="AC854" s="2976"/>
      <c r="AD854" s="2976"/>
    </row>
    <row r="855" spans="1:30">
      <c r="A855" s="3086"/>
      <c r="B855" s="2966"/>
      <c r="C855" s="2976"/>
      <c r="D855" s="2976"/>
      <c r="E855" s="2976"/>
      <c r="F855" s="2973"/>
      <c r="G855" s="2976"/>
      <c r="H855" s="2966"/>
      <c r="I855" s="2966"/>
      <c r="J855" s="2976"/>
      <c r="K855" s="2976"/>
      <c r="L855" s="2961"/>
      <c r="M855" s="2976"/>
      <c r="N855" s="3086"/>
      <c r="O855" s="3086"/>
      <c r="P855" s="3086"/>
      <c r="Q855" s="2966"/>
      <c r="R855" s="2976"/>
      <c r="S855" s="2961"/>
      <c r="T855" s="2961"/>
      <c r="U855" s="2923"/>
      <c r="V855" s="2923"/>
      <c r="W855" s="2923"/>
      <c r="X855" s="2962"/>
      <c r="Y855" s="2971"/>
      <c r="Z855" s="3086"/>
      <c r="AA855" s="3086"/>
      <c r="AB855" s="3086"/>
      <c r="AC855" s="2976"/>
      <c r="AD855" s="2976"/>
    </row>
    <row r="856" spans="1:30">
      <c r="A856" s="3086"/>
      <c r="B856" s="2966"/>
      <c r="C856" s="2976"/>
      <c r="D856" s="2976"/>
      <c r="E856" s="2976"/>
      <c r="F856" s="2973"/>
      <c r="G856" s="2976"/>
      <c r="H856" s="2966"/>
      <c r="I856" s="2966"/>
      <c r="J856" s="2976"/>
      <c r="K856" s="2976"/>
      <c r="L856" s="2961"/>
      <c r="M856" s="2976"/>
      <c r="N856" s="3086"/>
      <c r="O856" s="3086"/>
      <c r="P856" s="3086"/>
      <c r="Q856" s="2966"/>
      <c r="R856" s="2976"/>
      <c r="S856" s="2961"/>
      <c r="T856" s="2961"/>
      <c r="U856" s="2923"/>
      <c r="V856" s="2923"/>
      <c r="W856" s="2923"/>
      <c r="X856" s="2962"/>
      <c r="Y856" s="2971"/>
      <c r="Z856" s="3086"/>
      <c r="AA856" s="3086"/>
      <c r="AB856" s="3086"/>
      <c r="AC856" s="2976"/>
      <c r="AD856" s="2976"/>
    </row>
    <row r="857" spans="1:30">
      <c r="A857" s="3086"/>
      <c r="B857" s="2966"/>
      <c r="C857" s="2976"/>
      <c r="D857" s="2976"/>
      <c r="E857" s="2976"/>
      <c r="F857" s="2973"/>
      <c r="G857" s="2976"/>
      <c r="H857" s="2966"/>
      <c r="I857" s="2966"/>
      <c r="J857" s="2976"/>
      <c r="K857" s="2976"/>
      <c r="L857" s="2961"/>
      <c r="M857" s="2976"/>
      <c r="N857" s="3086"/>
      <c r="O857" s="3086"/>
      <c r="P857" s="3086"/>
      <c r="Q857" s="2966"/>
      <c r="R857" s="2976"/>
      <c r="S857" s="2961"/>
      <c r="T857" s="2961"/>
      <c r="U857" s="2923"/>
      <c r="V857" s="2923"/>
      <c r="W857" s="2923"/>
      <c r="X857" s="2962"/>
      <c r="Y857" s="2971"/>
      <c r="Z857" s="3086"/>
      <c r="AA857" s="3086"/>
      <c r="AB857" s="3086"/>
      <c r="AC857" s="2976"/>
      <c r="AD857" s="2976"/>
    </row>
    <row r="858" spans="1:30">
      <c r="A858" s="3086"/>
      <c r="B858" s="2966"/>
      <c r="C858" s="2976"/>
      <c r="D858" s="2976"/>
      <c r="E858" s="2976"/>
      <c r="F858" s="2973"/>
      <c r="G858" s="2976"/>
      <c r="H858" s="2966"/>
      <c r="I858" s="2966"/>
      <c r="J858" s="2976"/>
      <c r="K858" s="2976"/>
      <c r="L858" s="2961"/>
      <c r="M858" s="2976"/>
      <c r="N858" s="3086"/>
      <c r="O858" s="3086"/>
      <c r="P858" s="3086"/>
      <c r="Q858" s="2966"/>
      <c r="R858" s="2976"/>
      <c r="S858" s="2961"/>
      <c r="T858" s="2961"/>
      <c r="U858" s="2923"/>
      <c r="V858" s="2923"/>
      <c r="W858" s="2923"/>
      <c r="X858" s="2962"/>
      <c r="Y858" s="2961"/>
      <c r="Z858" s="3086"/>
      <c r="AA858" s="3086"/>
      <c r="AB858" s="3086"/>
      <c r="AC858" s="2976"/>
      <c r="AD858" s="2976"/>
    </row>
    <row r="859" spans="1:30">
      <c r="A859" s="3086"/>
      <c r="B859" s="2966"/>
      <c r="C859" s="2976"/>
      <c r="D859" s="2976"/>
      <c r="E859" s="2976"/>
      <c r="F859" s="2973"/>
      <c r="G859" s="2976"/>
      <c r="H859" s="2966"/>
      <c r="I859" s="2966"/>
      <c r="J859" s="2976"/>
      <c r="K859" s="2976"/>
      <c r="L859" s="2961"/>
      <c r="M859" s="2976"/>
      <c r="N859" s="3086"/>
      <c r="O859" s="3086"/>
      <c r="P859" s="3086"/>
      <c r="Q859" s="2966"/>
      <c r="R859" s="2976"/>
      <c r="S859" s="2961"/>
      <c r="T859" s="2961"/>
      <c r="U859" s="2923"/>
      <c r="V859" s="2923"/>
      <c r="W859" s="2923"/>
      <c r="X859" s="2962"/>
      <c r="Y859" s="2971"/>
      <c r="Z859" s="3086"/>
      <c r="AA859" s="3086"/>
      <c r="AB859" s="3086"/>
      <c r="AC859" s="2976"/>
      <c r="AD859" s="2976"/>
    </row>
    <row r="860" spans="1:30">
      <c r="A860" s="3086"/>
      <c r="B860" s="2966"/>
      <c r="C860" s="2976"/>
      <c r="D860" s="2976"/>
      <c r="E860" s="2976"/>
      <c r="F860" s="2973"/>
      <c r="G860" s="2976"/>
      <c r="H860" s="2966"/>
      <c r="I860" s="2966"/>
      <c r="J860" s="2976"/>
      <c r="K860" s="2976"/>
      <c r="L860" s="2961"/>
      <c r="M860" s="2976"/>
      <c r="N860" s="3086"/>
      <c r="O860" s="3086"/>
      <c r="P860" s="3086"/>
      <c r="Q860" s="2966"/>
      <c r="R860" s="2976"/>
      <c r="S860" s="2961"/>
      <c r="T860" s="2961"/>
      <c r="U860" s="2923"/>
      <c r="V860" s="2923"/>
      <c r="W860" s="2923"/>
      <c r="X860" s="2962"/>
      <c r="Y860" s="2961"/>
      <c r="Z860" s="3086"/>
      <c r="AA860" s="3086"/>
      <c r="AB860" s="2976"/>
      <c r="AC860" s="2976"/>
      <c r="AD860" s="2976"/>
    </row>
    <row r="861" spans="1:30">
      <c r="A861" s="3086"/>
      <c r="B861" s="2966"/>
      <c r="C861" s="2976"/>
      <c r="D861" s="2976"/>
      <c r="E861" s="2976"/>
      <c r="F861" s="2973"/>
      <c r="G861" s="2976"/>
      <c r="H861" s="2966"/>
      <c r="I861" s="2966"/>
      <c r="J861" s="2976"/>
      <c r="K861" s="2976"/>
      <c r="L861" s="2961"/>
      <c r="M861" s="2976"/>
      <c r="N861" s="3086"/>
      <c r="O861" s="3086"/>
      <c r="P861" s="2976"/>
      <c r="Q861" s="2972"/>
      <c r="R861" s="2739"/>
      <c r="S861" s="2961"/>
      <c r="T861" s="2961"/>
      <c r="U861" s="2923"/>
      <c r="V861" s="2923"/>
      <c r="W861" s="2923"/>
      <c r="X861" s="2961"/>
      <c r="Y861" s="2961"/>
      <c r="Z861" s="2976"/>
      <c r="AA861" s="3086"/>
      <c r="AB861" s="2966"/>
      <c r="AC861" s="2976"/>
      <c r="AD861" s="2976"/>
    </row>
    <row r="862" spans="1:30">
      <c r="A862" s="3086"/>
      <c r="B862" s="2966"/>
      <c r="C862" s="2976"/>
      <c r="D862" s="2976"/>
      <c r="E862" s="2976"/>
      <c r="F862" s="2973"/>
      <c r="G862" s="2976"/>
      <c r="H862" s="2966"/>
      <c r="I862" s="2966"/>
      <c r="J862" s="2976"/>
      <c r="K862" s="2976"/>
      <c r="L862" s="2961"/>
      <c r="M862" s="2976"/>
      <c r="N862" s="3086"/>
      <c r="O862" s="3086"/>
      <c r="P862" s="3086"/>
      <c r="Q862" s="2966"/>
      <c r="R862" s="2976"/>
      <c r="S862" s="2961"/>
      <c r="T862" s="2961"/>
      <c r="U862" s="2923"/>
      <c r="V862" s="2923"/>
      <c r="W862" s="2923"/>
      <c r="X862" s="2962"/>
      <c r="Y862" s="2961"/>
      <c r="Z862" s="3086"/>
      <c r="AA862" s="3086"/>
      <c r="AB862" s="3086"/>
      <c r="AC862" s="2976"/>
      <c r="AD862" s="2976"/>
    </row>
    <row r="863" spans="1:30">
      <c r="A863" s="3086"/>
      <c r="B863" s="2966"/>
      <c r="C863" s="2976"/>
      <c r="D863" s="2976"/>
      <c r="E863" s="2976"/>
      <c r="F863" s="2973"/>
      <c r="G863" s="2976"/>
      <c r="H863" s="2966"/>
      <c r="I863" s="2966"/>
      <c r="J863" s="2976"/>
      <c r="K863" s="2976"/>
      <c r="L863" s="2961"/>
      <c r="M863" s="2976"/>
      <c r="N863" s="3086"/>
      <c r="O863" s="3086"/>
      <c r="P863" s="2976"/>
      <c r="Q863" s="2972"/>
      <c r="R863" s="2976"/>
      <c r="S863" s="2961"/>
      <c r="T863" s="2961"/>
      <c r="U863" s="2923"/>
      <c r="V863" s="2923"/>
      <c r="W863" s="2923"/>
      <c r="X863" s="2961"/>
      <c r="Y863" s="2961"/>
      <c r="Z863" s="2976"/>
      <c r="AA863" s="3086"/>
      <c r="AB863" s="2966"/>
      <c r="AC863" s="2976"/>
      <c r="AD863" s="2976"/>
    </row>
    <row r="864" spans="1:30">
      <c r="A864" s="3086"/>
      <c r="B864" s="2966"/>
      <c r="C864" s="2976"/>
      <c r="D864" s="2976"/>
      <c r="E864" s="2976"/>
      <c r="F864" s="2973"/>
      <c r="G864" s="2976"/>
      <c r="H864" s="2966"/>
      <c r="I864" s="2966"/>
      <c r="J864" s="2976"/>
      <c r="K864" s="2976"/>
      <c r="L864" s="2961"/>
      <c r="M864" s="2976"/>
      <c r="N864" s="3086"/>
      <c r="O864" s="3086"/>
      <c r="P864" s="3086"/>
      <c r="Q864" s="2972"/>
      <c r="R864" s="2976"/>
      <c r="S864" s="2961"/>
      <c r="T864" s="2961"/>
      <c r="U864" s="2923"/>
      <c r="V864" s="2923"/>
      <c r="W864" s="2923"/>
      <c r="X864" s="2962"/>
      <c r="Y864" s="2961"/>
      <c r="Z864" s="2976"/>
      <c r="AA864" s="3086"/>
      <c r="AB864" s="2966"/>
      <c r="AC864" s="2976"/>
      <c r="AD864" s="2976"/>
    </row>
    <row r="865" spans="1:30">
      <c r="A865" s="3086"/>
      <c r="B865" s="2966"/>
      <c r="C865" s="2976"/>
      <c r="D865" s="2976"/>
      <c r="E865" s="2976"/>
      <c r="F865" s="2973"/>
      <c r="G865" s="2976"/>
      <c r="H865" s="2966"/>
      <c r="I865" s="2966"/>
      <c r="J865" s="2976"/>
      <c r="K865" s="2976"/>
      <c r="L865" s="2961"/>
      <c r="M865" s="2976"/>
      <c r="N865" s="3086"/>
      <c r="O865" s="3086"/>
      <c r="P865" s="3086"/>
      <c r="Q865" s="2966"/>
      <c r="R865" s="2976"/>
      <c r="S865" s="2961"/>
      <c r="T865" s="2961"/>
      <c r="U865" s="2923"/>
      <c r="V865" s="2923"/>
      <c r="W865" s="2923"/>
      <c r="X865" s="2962"/>
      <c r="Y865" s="2961"/>
      <c r="Z865" s="3086"/>
      <c r="AA865" s="3086"/>
      <c r="AB865" s="3086"/>
      <c r="AC865" s="2976"/>
      <c r="AD865" s="2976"/>
    </row>
    <row r="866" spans="1:30">
      <c r="A866" s="3086"/>
      <c r="B866" s="2966"/>
      <c r="C866" s="2976"/>
      <c r="D866" s="2976"/>
      <c r="E866" s="2976"/>
      <c r="F866" s="2973"/>
      <c r="G866" s="2976"/>
      <c r="H866" s="2966"/>
      <c r="I866" s="2966"/>
      <c r="J866" s="2976"/>
      <c r="K866" s="2976"/>
      <c r="L866" s="2961"/>
      <c r="M866" s="2976"/>
      <c r="N866" s="3086"/>
      <c r="O866" s="3086"/>
      <c r="P866" s="3086"/>
      <c r="Q866" s="2966"/>
      <c r="R866" s="2976"/>
      <c r="S866" s="2961"/>
      <c r="T866" s="2961"/>
      <c r="U866" s="2923"/>
      <c r="V866" s="2923"/>
      <c r="W866" s="2923"/>
      <c r="X866" s="2962"/>
      <c r="Y866" s="2961"/>
      <c r="Z866" s="3086"/>
      <c r="AA866" s="3086"/>
      <c r="AB866" s="3086"/>
      <c r="AC866" s="2976"/>
      <c r="AD866" s="2976"/>
    </row>
    <row r="867" spans="1:30">
      <c r="A867" s="3086"/>
      <c r="B867" s="2966"/>
      <c r="C867" s="2976"/>
      <c r="D867" s="2976"/>
      <c r="E867" s="2976"/>
      <c r="F867" s="2973"/>
      <c r="G867" s="2976"/>
      <c r="H867" s="2966"/>
      <c r="I867" s="2966"/>
      <c r="J867" s="2976"/>
      <c r="K867" s="2976"/>
      <c r="L867" s="2961"/>
      <c r="M867" s="2976"/>
      <c r="N867" s="3086"/>
      <c r="O867" s="3086"/>
      <c r="P867" s="2976"/>
      <c r="Q867" s="2972"/>
      <c r="R867" s="2976"/>
      <c r="S867" s="2961"/>
      <c r="T867" s="2961"/>
      <c r="U867" s="2923"/>
      <c r="V867" s="2923"/>
      <c r="W867" s="2923"/>
      <c r="X867" s="2961"/>
      <c r="Y867" s="2961"/>
      <c r="Z867" s="2976"/>
      <c r="AA867" s="3086"/>
      <c r="AB867" s="2966"/>
      <c r="AC867" s="2976"/>
      <c r="AD867" s="2976"/>
    </row>
    <row r="868" spans="1:30">
      <c r="A868" s="3086"/>
      <c r="B868" s="2966"/>
      <c r="C868" s="2976"/>
      <c r="D868" s="2976"/>
      <c r="E868" s="2976"/>
      <c r="F868" s="2973"/>
      <c r="G868" s="2976"/>
      <c r="H868" s="2966"/>
      <c r="I868" s="2966"/>
      <c r="J868" s="2976"/>
      <c r="K868" s="2976"/>
      <c r="L868" s="2961"/>
      <c r="M868" s="2976"/>
      <c r="N868" s="3086"/>
      <c r="O868" s="3086"/>
      <c r="P868" s="2976"/>
      <c r="Q868" s="2972"/>
      <c r="R868" s="2976"/>
      <c r="S868" s="2961"/>
      <c r="T868" s="2961"/>
      <c r="U868" s="2923"/>
      <c r="V868" s="2923"/>
      <c r="W868" s="2923"/>
      <c r="X868" s="2961"/>
      <c r="Y868" s="2961"/>
      <c r="Z868" s="2976"/>
      <c r="AA868" s="3086"/>
      <c r="AB868" s="2966"/>
      <c r="AC868" s="2976"/>
      <c r="AD868" s="2976"/>
    </row>
    <row r="869" spans="1:30">
      <c r="A869" s="3086"/>
      <c r="B869" s="2966"/>
      <c r="C869" s="2976"/>
      <c r="D869" s="2976"/>
      <c r="E869" s="2976"/>
      <c r="F869" s="2973"/>
      <c r="G869" s="2976"/>
      <c r="H869" s="2966"/>
      <c r="I869" s="2966"/>
      <c r="J869" s="2976"/>
      <c r="K869" s="2976"/>
      <c r="L869" s="2961"/>
      <c r="M869" s="2976"/>
      <c r="N869" s="3086"/>
      <c r="O869" s="3086"/>
      <c r="P869" s="3086"/>
      <c r="Q869" s="2966"/>
      <c r="R869" s="2976"/>
      <c r="S869" s="2961"/>
      <c r="T869" s="2961"/>
      <c r="U869" s="2923"/>
      <c r="V869" s="2923"/>
      <c r="W869" s="2923"/>
      <c r="X869" s="2962"/>
      <c r="Y869" s="2971"/>
      <c r="Z869" s="3086"/>
      <c r="AA869" s="3086"/>
      <c r="AB869" s="3086"/>
      <c r="AC869" s="2976"/>
      <c r="AD869" s="2976"/>
    </row>
    <row r="870" spans="1:30">
      <c r="A870" s="3086"/>
      <c r="B870" s="2966"/>
      <c r="C870" s="2976"/>
      <c r="D870" s="2976"/>
      <c r="E870" s="2976"/>
      <c r="F870" s="2973"/>
      <c r="G870" s="2976"/>
      <c r="H870" s="2966"/>
      <c r="I870" s="2966"/>
      <c r="J870" s="2976"/>
      <c r="K870" s="2976"/>
      <c r="L870" s="2961"/>
      <c r="M870" s="2976"/>
      <c r="N870" s="3086"/>
      <c r="O870" s="3086"/>
      <c r="P870" s="2976"/>
      <c r="Q870" s="2972"/>
      <c r="R870" s="2979"/>
      <c r="S870" s="2961"/>
      <c r="T870" s="2961"/>
      <c r="U870" s="2923"/>
      <c r="V870" s="2923"/>
      <c r="W870" s="2923"/>
      <c r="X870" s="2961"/>
      <c r="Y870" s="2961"/>
      <c r="Z870" s="2976"/>
      <c r="AA870" s="3086"/>
      <c r="AB870" s="2976"/>
      <c r="AC870" s="2976"/>
      <c r="AD870" s="2976"/>
    </row>
    <row r="871" spans="1:30">
      <c r="A871" s="3086"/>
      <c r="B871" s="2966"/>
      <c r="C871" s="2976"/>
      <c r="D871" s="2976"/>
      <c r="E871" s="2976"/>
      <c r="F871" s="2973"/>
      <c r="G871" s="2976"/>
      <c r="H871" s="2966"/>
      <c r="I871" s="2966"/>
      <c r="J871" s="2976"/>
      <c r="K871" s="2976"/>
      <c r="L871" s="2961"/>
      <c r="M871" s="2976"/>
      <c r="N871" s="3086"/>
      <c r="O871" s="3086"/>
      <c r="P871" s="3086"/>
      <c r="Q871" s="2966"/>
      <c r="R871" s="2976"/>
      <c r="S871" s="2961"/>
      <c r="T871" s="2961"/>
      <c r="U871" s="2923"/>
      <c r="V871" s="2923"/>
      <c r="W871" s="2923"/>
      <c r="X871" s="2962"/>
      <c r="Y871" s="2971"/>
      <c r="Z871" s="3086"/>
      <c r="AA871" s="3086"/>
      <c r="AB871" s="3086"/>
      <c r="AC871" s="2976"/>
      <c r="AD871" s="2976"/>
    </row>
    <row r="872" spans="1:30">
      <c r="A872" s="3086"/>
      <c r="B872" s="2966"/>
      <c r="C872" s="2976"/>
      <c r="D872" s="2976"/>
      <c r="E872" s="2976"/>
      <c r="F872" s="2973"/>
      <c r="G872" s="2976"/>
      <c r="H872" s="2966"/>
      <c r="I872" s="2966"/>
      <c r="J872" s="2976"/>
      <c r="K872" s="2976"/>
      <c r="L872" s="2961"/>
      <c r="M872" s="2976"/>
      <c r="N872" s="3086"/>
      <c r="O872" s="3086"/>
      <c r="P872" s="3086"/>
      <c r="Q872" s="2966"/>
      <c r="R872" s="2976"/>
      <c r="S872" s="2961"/>
      <c r="T872" s="2961"/>
      <c r="U872" s="2923"/>
      <c r="V872" s="2923"/>
      <c r="W872" s="2923"/>
      <c r="X872" s="2962"/>
      <c r="Y872" s="2971"/>
      <c r="Z872" s="3086"/>
      <c r="AA872" s="3086"/>
      <c r="AB872" s="2976"/>
      <c r="AC872" s="2976"/>
      <c r="AD872" s="2976"/>
    </row>
    <row r="873" spans="1:30">
      <c r="A873" s="3086"/>
      <c r="B873" s="2966"/>
      <c r="C873" s="2976"/>
      <c r="D873" s="2976"/>
      <c r="E873" s="2976"/>
      <c r="F873" s="2973"/>
      <c r="G873" s="2976"/>
      <c r="H873" s="2966"/>
      <c r="I873" s="2966"/>
      <c r="J873" s="2976"/>
      <c r="K873" s="2976"/>
      <c r="L873" s="2961"/>
      <c r="M873" s="2976"/>
      <c r="N873" s="3086"/>
      <c r="O873" s="3086"/>
      <c r="P873" s="3086"/>
      <c r="Q873" s="2966"/>
      <c r="R873" s="2976"/>
      <c r="S873" s="2961"/>
      <c r="T873" s="2961"/>
      <c r="U873" s="2923"/>
      <c r="V873" s="2923"/>
      <c r="W873" s="2923"/>
      <c r="X873" s="2962"/>
      <c r="Y873" s="2971"/>
      <c r="Z873" s="3086"/>
      <c r="AA873" s="3086"/>
      <c r="AB873" s="2976"/>
      <c r="AC873" s="2976"/>
      <c r="AD873" s="2976"/>
    </row>
    <row r="874" spans="1:30">
      <c r="A874" s="3086"/>
      <c r="B874" s="2966"/>
      <c r="C874" s="2976"/>
      <c r="D874" s="2976"/>
      <c r="E874" s="2976"/>
      <c r="F874" s="2973"/>
      <c r="G874" s="2976"/>
      <c r="H874" s="2966"/>
      <c r="I874" s="2966"/>
      <c r="J874" s="2976"/>
      <c r="K874" s="2976"/>
      <c r="L874" s="2961"/>
      <c r="M874" s="2976"/>
      <c r="N874" s="3086"/>
      <c r="O874" s="3086"/>
      <c r="P874" s="3086"/>
      <c r="Q874" s="2966"/>
      <c r="R874" s="2976"/>
      <c r="S874" s="2961"/>
      <c r="T874" s="2961"/>
      <c r="U874" s="2923"/>
      <c r="V874" s="2923"/>
      <c r="W874" s="2923"/>
      <c r="X874" s="2962"/>
      <c r="Y874" s="2961"/>
      <c r="Z874" s="3086"/>
      <c r="AA874" s="3086"/>
      <c r="AB874" s="3086"/>
      <c r="AC874" s="2976"/>
      <c r="AD874" s="2976"/>
    </row>
    <row r="875" spans="1:30">
      <c r="A875" s="3086"/>
      <c r="B875" s="2966"/>
      <c r="C875" s="2976"/>
      <c r="D875" s="2976"/>
      <c r="E875" s="2976"/>
      <c r="F875" s="2973"/>
      <c r="G875" s="2976"/>
      <c r="H875" s="2966"/>
      <c r="I875" s="2966"/>
      <c r="J875" s="2976"/>
      <c r="K875" s="2976"/>
      <c r="L875" s="2961"/>
      <c r="M875" s="2976"/>
      <c r="N875" s="3086"/>
      <c r="O875" s="3086"/>
      <c r="P875" s="3086"/>
      <c r="Q875" s="2966"/>
      <c r="R875" s="2976"/>
      <c r="S875" s="2961"/>
      <c r="T875" s="2961"/>
      <c r="U875" s="2923"/>
      <c r="V875" s="2923"/>
      <c r="W875" s="2923"/>
      <c r="X875" s="2962"/>
      <c r="Y875" s="2961"/>
      <c r="Z875" s="3086"/>
      <c r="AA875" s="3086"/>
      <c r="AB875" s="3086"/>
      <c r="AC875" s="2976"/>
      <c r="AD875" s="2976"/>
    </row>
    <row r="876" spans="1:30">
      <c r="A876" s="3086"/>
      <c r="B876" s="2966"/>
      <c r="C876" s="2976"/>
      <c r="D876" s="2976"/>
      <c r="E876" s="2976"/>
      <c r="F876" s="2973"/>
      <c r="G876" s="2976"/>
      <c r="H876" s="2966"/>
      <c r="I876" s="2966"/>
      <c r="J876" s="2976"/>
      <c r="K876" s="2976"/>
      <c r="L876" s="2961"/>
      <c r="M876" s="2976"/>
      <c r="N876" s="3086"/>
      <c r="O876" s="3086"/>
      <c r="P876" s="3086"/>
      <c r="Q876" s="2966"/>
      <c r="R876" s="2976"/>
      <c r="S876" s="2961"/>
      <c r="T876" s="2961"/>
      <c r="U876" s="2923"/>
      <c r="V876" s="2923"/>
      <c r="W876" s="2923"/>
      <c r="X876" s="2962"/>
      <c r="Y876" s="2961"/>
      <c r="Z876" s="3086"/>
      <c r="AA876" s="3086"/>
      <c r="AB876" s="2976"/>
      <c r="AC876" s="2976"/>
      <c r="AD876" s="2976"/>
    </row>
    <row r="877" spans="1:30">
      <c r="A877" s="3086"/>
      <c r="B877" s="2966"/>
      <c r="C877" s="2976"/>
      <c r="D877" s="2976"/>
      <c r="E877" s="2976"/>
      <c r="F877" s="2973"/>
      <c r="G877" s="2976"/>
      <c r="H877" s="2966"/>
      <c r="I877" s="2966"/>
      <c r="J877" s="2976"/>
      <c r="K877" s="2976"/>
      <c r="L877" s="2961"/>
      <c r="M877" s="2976"/>
      <c r="N877" s="3086"/>
      <c r="O877" s="3086"/>
      <c r="P877" s="3086"/>
      <c r="Q877" s="2966"/>
      <c r="R877" s="2976"/>
      <c r="S877" s="2961"/>
      <c r="T877" s="2961"/>
      <c r="U877" s="2923"/>
      <c r="V877" s="2923"/>
      <c r="W877" s="2923"/>
      <c r="X877" s="2962"/>
      <c r="Y877" s="2971"/>
      <c r="Z877" s="3086"/>
      <c r="AA877" s="3086"/>
      <c r="AB877" s="3086"/>
      <c r="AC877" s="2976"/>
      <c r="AD877" s="2976"/>
    </row>
    <row r="878" spans="1:30">
      <c r="A878" s="3086"/>
      <c r="B878" s="2966"/>
      <c r="C878" s="2976"/>
      <c r="D878" s="2976"/>
      <c r="E878" s="2976"/>
      <c r="F878" s="2973"/>
      <c r="G878" s="2976"/>
      <c r="H878" s="2966"/>
      <c r="I878" s="2966"/>
      <c r="J878" s="2976"/>
      <c r="K878" s="2976"/>
      <c r="L878" s="2961"/>
      <c r="M878" s="2976"/>
      <c r="N878" s="3086"/>
      <c r="O878" s="3086"/>
      <c r="P878" s="3086"/>
      <c r="Q878" s="2966"/>
      <c r="R878" s="2976"/>
      <c r="S878" s="2961"/>
      <c r="T878" s="2961"/>
      <c r="U878" s="2923"/>
      <c r="V878" s="2923"/>
      <c r="W878" s="2923"/>
      <c r="X878" s="2962"/>
      <c r="Y878" s="2971"/>
      <c r="Z878" s="3086"/>
      <c r="AA878" s="3086"/>
      <c r="AB878" s="3086"/>
      <c r="AC878" s="2976"/>
      <c r="AD878" s="2976"/>
    </row>
    <row r="879" spans="1:30">
      <c r="A879" s="3086"/>
      <c r="B879" s="2966"/>
      <c r="C879" s="2976"/>
      <c r="D879" s="2976"/>
      <c r="E879" s="2976"/>
      <c r="F879" s="2973"/>
      <c r="G879" s="2976"/>
      <c r="H879" s="2966"/>
      <c r="I879" s="2966"/>
      <c r="J879" s="2976"/>
      <c r="K879" s="2976"/>
      <c r="L879" s="2961"/>
      <c r="M879" s="2976"/>
      <c r="N879" s="3086"/>
      <c r="O879" s="3086"/>
      <c r="P879" s="3086"/>
      <c r="Q879" s="2966"/>
      <c r="R879" s="2976"/>
      <c r="S879" s="2961"/>
      <c r="T879" s="2961"/>
      <c r="U879" s="2923"/>
      <c r="V879" s="2923"/>
      <c r="W879" s="2923"/>
      <c r="X879" s="2962"/>
      <c r="Y879" s="2971"/>
      <c r="Z879" s="3086"/>
      <c r="AA879" s="3086"/>
      <c r="AB879" s="3086"/>
      <c r="AC879" s="2976"/>
      <c r="AD879" s="2976"/>
    </row>
    <row r="880" spans="1:30">
      <c r="A880" s="3086"/>
      <c r="B880" s="2966"/>
      <c r="C880" s="2976"/>
      <c r="D880" s="2976"/>
      <c r="E880" s="2976"/>
      <c r="F880" s="2973"/>
      <c r="G880" s="2976"/>
      <c r="H880" s="3087"/>
      <c r="I880" s="3087"/>
      <c r="J880" s="2976"/>
      <c r="K880" s="2976"/>
      <c r="L880" s="2961"/>
      <c r="M880" s="2976"/>
      <c r="N880" s="3086"/>
      <c r="O880" s="3086"/>
      <c r="P880" s="3086"/>
      <c r="Q880" s="2966"/>
      <c r="R880" s="2976"/>
      <c r="S880" s="2961"/>
      <c r="T880" s="2961"/>
      <c r="U880" s="2923"/>
      <c r="V880" s="2923"/>
      <c r="W880" s="2923"/>
      <c r="X880" s="2962"/>
      <c r="Y880" s="2971"/>
      <c r="Z880" s="3086"/>
      <c r="AA880" s="3086"/>
      <c r="AB880" s="3086"/>
      <c r="AC880" s="2976"/>
      <c r="AD880" s="2976"/>
    </row>
    <row r="881" spans="1:30">
      <c r="A881" s="3086"/>
      <c r="B881" s="2966"/>
      <c r="C881" s="2976"/>
      <c r="D881" s="2976"/>
      <c r="E881" s="2976"/>
      <c r="F881" s="2973"/>
      <c r="G881" s="2976"/>
      <c r="H881" s="3087"/>
      <c r="I881" s="3087"/>
      <c r="J881" s="2976"/>
      <c r="K881" s="2976"/>
      <c r="L881" s="2961"/>
      <c r="M881" s="2976"/>
      <c r="N881" s="3086"/>
      <c r="O881" s="3086"/>
      <c r="P881" s="2976"/>
      <c r="Q881" s="2972"/>
      <c r="R881" s="2739"/>
      <c r="S881" s="2961"/>
      <c r="T881" s="2961"/>
      <c r="U881" s="2923"/>
      <c r="V881" s="2923"/>
      <c r="W881" s="2923"/>
      <c r="X881" s="2961"/>
      <c r="Y881" s="2961"/>
      <c r="Z881" s="2976"/>
      <c r="AA881" s="3086"/>
      <c r="AB881" s="2966"/>
      <c r="AC881" s="2976"/>
      <c r="AD881" s="2976"/>
    </row>
    <row r="882" spans="1:30">
      <c r="A882" s="3086"/>
      <c r="B882" s="2966"/>
      <c r="C882" s="2976"/>
      <c r="D882" s="2976"/>
      <c r="E882" s="2976"/>
      <c r="F882" s="2973"/>
      <c r="G882" s="2976"/>
      <c r="H882" s="3087"/>
      <c r="I882" s="3087"/>
      <c r="J882" s="2976"/>
      <c r="K882" s="2976"/>
      <c r="L882" s="2961"/>
      <c r="M882" s="2976"/>
      <c r="N882" s="3086"/>
      <c r="O882" s="3086"/>
      <c r="P882" s="3086"/>
      <c r="Q882" s="2966"/>
      <c r="R882" s="2976"/>
      <c r="S882" s="2961"/>
      <c r="T882" s="2961"/>
      <c r="U882" s="2923"/>
      <c r="V882" s="2923"/>
      <c r="W882" s="2923"/>
      <c r="X882" s="2962"/>
      <c r="Y882" s="2971"/>
      <c r="Z882" s="3086"/>
      <c r="AA882" s="3086"/>
      <c r="AB882" s="3086"/>
      <c r="AC882" s="2976"/>
      <c r="AD882" s="2976"/>
    </row>
    <row r="883" spans="1:30">
      <c r="A883" s="3086"/>
      <c r="B883" s="2966"/>
      <c r="C883" s="2976"/>
      <c r="D883" s="2976"/>
      <c r="E883" s="2976"/>
      <c r="F883" s="2973"/>
      <c r="G883" s="2976"/>
      <c r="H883" s="3087"/>
      <c r="I883" s="3087"/>
      <c r="J883" s="2976"/>
      <c r="K883" s="2976"/>
      <c r="L883" s="2961"/>
      <c r="M883" s="2976"/>
      <c r="N883" s="3086"/>
      <c r="O883" s="3086"/>
      <c r="P883" s="3086"/>
      <c r="Q883" s="2966"/>
      <c r="R883" s="2976"/>
      <c r="S883" s="2961"/>
      <c r="T883" s="2961"/>
      <c r="U883" s="2923"/>
      <c r="V883" s="2923"/>
      <c r="W883" s="2923"/>
      <c r="X883" s="2962"/>
      <c r="Y883" s="2971"/>
      <c r="Z883" s="3086"/>
      <c r="AA883" s="3086"/>
      <c r="AB883" s="3086"/>
      <c r="AC883" s="2976"/>
      <c r="AD883" s="2976"/>
    </row>
    <row r="884" spans="1:30">
      <c r="A884" s="3086"/>
      <c r="B884" s="2966"/>
      <c r="C884" s="2976"/>
      <c r="D884" s="2976"/>
      <c r="E884" s="2976"/>
      <c r="F884" s="2973"/>
      <c r="G884" s="2976"/>
      <c r="H884" s="3087"/>
      <c r="I884" s="3087"/>
      <c r="J884" s="2976"/>
      <c r="K884" s="2976"/>
      <c r="L884" s="2961"/>
      <c r="M884" s="2976"/>
      <c r="N884" s="3086"/>
      <c r="O884" s="3086"/>
      <c r="P884" s="3086"/>
      <c r="Q884" s="2966"/>
      <c r="R884" s="2976"/>
      <c r="S884" s="2961"/>
      <c r="T884" s="2961"/>
      <c r="U884" s="2923"/>
      <c r="V884" s="2923"/>
      <c r="W884" s="2923"/>
      <c r="X884" s="2962"/>
      <c r="Y884" s="2971"/>
      <c r="Z884" s="3086"/>
      <c r="AA884" s="3086"/>
      <c r="AB884" s="3086"/>
      <c r="AC884" s="2976"/>
      <c r="AD884" s="2976"/>
    </row>
    <row r="885" spans="1:30">
      <c r="A885" s="3086"/>
      <c r="B885" s="2966"/>
      <c r="C885" s="2976"/>
      <c r="D885" s="2976"/>
      <c r="E885" s="2976"/>
      <c r="F885" s="2973"/>
      <c r="G885" s="2976"/>
      <c r="H885" s="3087"/>
      <c r="I885" s="3087"/>
      <c r="J885" s="2976"/>
      <c r="K885" s="2976"/>
      <c r="L885" s="2961"/>
      <c r="M885" s="2976"/>
      <c r="N885" s="3086"/>
      <c r="O885" s="3086"/>
      <c r="P885" s="3086"/>
      <c r="Q885" s="2966"/>
      <c r="R885" s="2976"/>
      <c r="S885" s="2961"/>
      <c r="T885" s="2961"/>
      <c r="U885" s="2923"/>
      <c r="V885" s="2923"/>
      <c r="W885" s="2923"/>
      <c r="X885" s="2962"/>
      <c r="Y885" s="2971"/>
      <c r="Z885" s="3086"/>
      <c r="AA885" s="3086"/>
      <c r="AB885" s="3086"/>
      <c r="AC885" s="2976"/>
      <c r="AD885" s="2976"/>
    </row>
    <row r="886" spans="1:30">
      <c r="A886" s="3086"/>
      <c r="B886" s="2966"/>
      <c r="C886" s="2976"/>
      <c r="D886" s="2976"/>
      <c r="E886" s="2976"/>
      <c r="F886" s="2973"/>
      <c r="G886" s="2976"/>
      <c r="H886" s="3087"/>
      <c r="I886" s="3087"/>
      <c r="J886" s="2976"/>
      <c r="K886" s="2976"/>
      <c r="L886" s="2961"/>
      <c r="M886" s="2976"/>
      <c r="N886" s="3086"/>
      <c r="O886" s="3086"/>
      <c r="P886" s="3086"/>
      <c r="Q886" s="2966"/>
      <c r="R886" s="2976"/>
      <c r="S886" s="2961"/>
      <c r="T886" s="2961"/>
      <c r="U886" s="2923"/>
      <c r="V886" s="2923"/>
      <c r="W886" s="2923"/>
      <c r="X886" s="2962"/>
      <c r="Y886" s="2971"/>
      <c r="Z886" s="3086"/>
      <c r="AA886" s="3086"/>
      <c r="AB886" s="3086"/>
      <c r="AC886" s="2976"/>
      <c r="AD886" s="2976"/>
    </row>
    <row r="887" spans="1:30">
      <c r="A887" s="3086"/>
      <c r="B887" s="2966"/>
      <c r="C887" s="2976"/>
      <c r="D887" s="2976"/>
      <c r="E887" s="2976"/>
      <c r="F887" s="2973"/>
      <c r="G887" s="2976"/>
      <c r="H887" s="3087"/>
      <c r="I887" s="3087"/>
      <c r="J887" s="2976"/>
      <c r="K887" s="2976"/>
      <c r="L887" s="2961"/>
      <c r="M887" s="2976"/>
      <c r="N887" s="3086"/>
      <c r="O887" s="3086"/>
      <c r="P887" s="3086"/>
      <c r="Q887" s="2966"/>
      <c r="R887" s="2976"/>
      <c r="S887" s="2961"/>
      <c r="T887" s="2961"/>
      <c r="U887" s="2923"/>
      <c r="V887" s="2923"/>
      <c r="W887" s="2923"/>
      <c r="X887" s="2962"/>
      <c r="Y887" s="2971"/>
      <c r="Z887" s="3086"/>
      <c r="AA887" s="3086"/>
      <c r="AB887" s="3086"/>
      <c r="AC887" s="2976"/>
      <c r="AD887" s="2976"/>
    </row>
    <row r="888" spans="1:30">
      <c r="A888" s="3086"/>
      <c r="B888" s="2966"/>
      <c r="C888" s="2976"/>
      <c r="D888" s="2976"/>
      <c r="E888" s="2976"/>
      <c r="F888" s="3099"/>
      <c r="G888" s="2976"/>
      <c r="H888" s="2966"/>
      <c r="I888" s="2966"/>
      <c r="J888" s="2976"/>
      <c r="K888" s="2976"/>
      <c r="L888" s="2961"/>
      <c r="M888" s="2976"/>
      <c r="N888" s="3086"/>
      <c r="O888" s="3086"/>
      <c r="P888" s="3086"/>
      <c r="Q888" s="2966"/>
      <c r="R888" s="2976"/>
      <c r="S888" s="2961"/>
      <c r="T888" s="2961"/>
      <c r="U888" s="2923"/>
      <c r="V888" s="2923"/>
      <c r="W888" s="2923"/>
      <c r="X888" s="2962"/>
      <c r="Y888" s="2961"/>
      <c r="Z888" s="3086"/>
      <c r="AA888" s="3086"/>
      <c r="AB888" s="3086"/>
      <c r="AC888" s="2976"/>
      <c r="AD888" s="2976"/>
    </row>
    <row r="889" spans="1:30">
      <c r="A889" s="3086"/>
      <c r="B889" s="2966"/>
      <c r="C889" s="2976"/>
      <c r="D889" s="2976"/>
      <c r="E889" s="2976"/>
      <c r="F889" s="2973"/>
      <c r="G889" s="2976"/>
      <c r="H889" s="2966"/>
      <c r="I889" s="2966"/>
      <c r="J889" s="2976"/>
      <c r="K889" s="2976"/>
      <c r="L889" s="2961"/>
      <c r="M889" s="2976"/>
      <c r="N889" s="3086"/>
      <c r="O889" s="3086"/>
      <c r="P889" s="3086"/>
      <c r="Q889" s="2966"/>
      <c r="R889" s="2976"/>
      <c r="S889" s="2961"/>
      <c r="T889" s="2961"/>
      <c r="U889" s="2923"/>
      <c r="V889" s="2923"/>
      <c r="W889" s="2923"/>
      <c r="X889" s="2962"/>
      <c r="Y889" s="2961"/>
      <c r="Z889" s="3086"/>
      <c r="AA889" s="3086"/>
      <c r="AB889" s="3086"/>
      <c r="AC889" s="2976"/>
      <c r="AD889" s="2976"/>
    </row>
    <row r="890" spans="1:30">
      <c r="A890" s="3086"/>
      <c r="B890" s="2966"/>
      <c r="C890" s="2976"/>
      <c r="D890" s="2976"/>
      <c r="E890" s="2976"/>
      <c r="F890" s="2973"/>
      <c r="G890" s="2976"/>
      <c r="H890" s="2966"/>
      <c r="I890" s="2966"/>
      <c r="J890" s="2976"/>
      <c r="K890" s="2976"/>
      <c r="L890" s="2961"/>
      <c r="M890" s="2976"/>
      <c r="N890" s="3086"/>
      <c r="O890" s="3086"/>
      <c r="P890" s="3086"/>
      <c r="Q890" s="2966"/>
      <c r="R890" s="2976"/>
      <c r="S890" s="2961"/>
      <c r="T890" s="2961"/>
      <c r="U890" s="2923"/>
      <c r="V890" s="2923"/>
      <c r="W890" s="2923"/>
      <c r="X890" s="2962"/>
      <c r="Y890" s="2961"/>
      <c r="Z890" s="3086"/>
      <c r="AA890" s="3086"/>
      <c r="AB890" s="2976"/>
      <c r="AC890" s="2976"/>
      <c r="AD890" s="2976"/>
    </row>
    <row r="891" spans="1:30">
      <c r="A891" s="3086"/>
      <c r="B891" s="2966"/>
      <c r="C891" s="2976"/>
      <c r="D891" s="2976"/>
      <c r="E891" s="2976"/>
      <c r="F891" s="2973"/>
      <c r="G891" s="2976"/>
      <c r="H891" s="2966"/>
      <c r="I891" s="2966"/>
      <c r="J891" s="2976"/>
      <c r="K891" s="2976"/>
      <c r="L891" s="2961"/>
      <c r="M891" s="2976"/>
      <c r="N891" s="3086"/>
      <c r="O891" s="3086"/>
      <c r="P891" s="3086"/>
      <c r="Q891" s="2966"/>
      <c r="R891" s="2976"/>
      <c r="S891" s="2961"/>
      <c r="T891" s="2961"/>
      <c r="U891" s="2923"/>
      <c r="V891" s="2923"/>
      <c r="W891" s="2923"/>
      <c r="X891" s="2962"/>
      <c r="Y891" s="2961"/>
      <c r="Z891" s="3086"/>
      <c r="AA891" s="3086"/>
      <c r="AB891" s="3086"/>
      <c r="AC891" s="2976"/>
      <c r="AD891" s="2976"/>
    </row>
    <row r="892" spans="1:30">
      <c r="A892" s="3086"/>
      <c r="B892" s="2966"/>
      <c r="C892" s="2976"/>
      <c r="D892" s="2976"/>
      <c r="E892" s="2976"/>
      <c r="F892" s="2973"/>
      <c r="G892" s="2976"/>
      <c r="H892" s="2966"/>
      <c r="I892" s="2966"/>
      <c r="J892" s="2976"/>
      <c r="K892" s="2976"/>
      <c r="L892" s="2961"/>
      <c r="M892" s="2976"/>
      <c r="N892" s="3086"/>
      <c r="O892" s="3086"/>
      <c r="P892" s="3086"/>
      <c r="Q892" s="2966"/>
      <c r="R892" s="2976"/>
      <c r="S892" s="2961"/>
      <c r="T892" s="2961"/>
      <c r="U892" s="2923"/>
      <c r="V892" s="2923"/>
      <c r="W892" s="2923"/>
      <c r="X892" s="2962"/>
      <c r="Y892" s="2961"/>
      <c r="Z892" s="3086"/>
      <c r="AA892" s="3086"/>
      <c r="AB892" s="3086"/>
      <c r="AC892" s="2976"/>
      <c r="AD892" s="2976"/>
    </row>
    <row r="893" spans="1:30">
      <c r="A893" s="3086"/>
      <c r="B893" s="2966"/>
      <c r="C893" s="2976"/>
      <c r="D893" s="2976"/>
      <c r="E893" s="2976"/>
      <c r="F893" s="2973"/>
      <c r="G893" s="2976"/>
      <c r="H893" s="2966"/>
      <c r="I893" s="2966"/>
      <c r="J893" s="2976"/>
      <c r="K893" s="2976"/>
      <c r="L893" s="2961"/>
      <c r="M893" s="2976"/>
      <c r="N893" s="3086"/>
      <c r="O893" s="3086"/>
      <c r="P893" s="3086"/>
      <c r="Q893" s="2966"/>
      <c r="R893" s="2976"/>
      <c r="S893" s="2961"/>
      <c r="T893" s="2961"/>
      <c r="U893" s="2923"/>
      <c r="V893" s="2923"/>
      <c r="W893" s="2923"/>
      <c r="X893" s="2962"/>
      <c r="Y893" s="2961"/>
      <c r="Z893" s="3086"/>
      <c r="AA893" s="3086"/>
      <c r="AB893" s="2963"/>
      <c r="AC893" s="2976"/>
      <c r="AD893" s="2976"/>
    </row>
    <row r="894" spans="1:30">
      <c r="A894" s="3086"/>
      <c r="B894" s="2966"/>
      <c r="C894" s="2976"/>
      <c r="D894" s="2976"/>
      <c r="E894" s="2976"/>
      <c r="F894" s="2973"/>
      <c r="G894" s="2976"/>
      <c r="H894" s="2966"/>
      <c r="I894" s="2966"/>
      <c r="J894" s="2976"/>
      <c r="K894" s="2976"/>
      <c r="L894" s="2961"/>
      <c r="M894" s="2976"/>
      <c r="N894" s="3086"/>
      <c r="O894" s="3086"/>
      <c r="P894" s="3086"/>
      <c r="Q894" s="2966"/>
      <c r="R894" s="2976"/>
      <c r="S894" s="2961"/>
      <c r="T894" s="2961"/>
      <c r="U894" s="2923"/>
      <c r="V894" s="2923"/>
      <c r="W894" s="2923"/>
      <c r="X894" s="2962"/>
      <c r="Y894" s="2961"/>
      <c r="Z894" s="3086"/>
      <c r="AA894" s="3086"/>
      <c r="AB894" s="2976"/>
      <c r="AC894" s="2976"/>
      <c r="AD894" s="2976"/>
    </row>
    <row r="895" spans="1:30">
      <c r="A895" s="3086"/>
      <c r="B895" s="2966"/>
      <c r="C895" s="2976"/>
      <c r="D895" s="2976"/>
      <c r="E895" s="2976"/>
      <c r="F895" s="2973"/>
      <c r="G895" s="2976"/>
      <c r="H895" s="2966"/>
      <c r="I895" s="2966"/>
      <c r="J895" s="2976"/>
      <c r="K895" s="2976"/>
      <c r="L895" s="2961"/>
      <c r="M895" s="2976"/>
      <c r="N895" s="3086"/>
      <c r="O895" s="3086"/>
      <c r="P895" s="3086"/>
      <c r="Q895" s="2966"/>
      <c r="R895" s="2976"/>
      <c r="S895" s="2961"/>
      <c r="T895" s="2961"/>
      <c r="U895" s="2923"/>
      <c r="V895" s="2923"/>
      <c r="W895" s="2923"/>
      <c r="X895" s="2962"/>
      <c r="Y895" s="2961"/>
      <c r="Z895" s="3086"/>
      <c r="AA895" s="3086"/>
      <c r="AB895" s="3086"/>
      <c r="AC895" s="2976"/>
      <c r="AD895" s="2976"/>
    </row>
    <row r="896" spans="1:30">
      <c r="A896" s="3086"/>
      <c r="B896" s="2966"/>
      <c r="C896" s="2976"/>
      <c r="D896" s="2976"/>
      <c r="E896" s="2976"/>
      <c r="F896" s="2973"/>
      <c r="G896" s="2976"/>
      <c r="H896" s="2966"/>
      <c r="I896" s="2966"/>
      <c r="J896" s="2976"/>
      <c r="K896" s="2976"/>
      <c r="L896" s="2961"/>
      <c r="M896" s="2976"/>
      <c r="N896" s="3086"/>
      <c r="O896" s="3086"/>
      <c r="P896" s="3086"/>
      <c r="Q896" s="2966"/>
      <c r="R896" s="2976"/>
      <c r="S896" s="2961"/>
      <c r="T896" s="2961"/>
      <c r="U896" s="2923"/>
      <c r="V896" s="2923"/>
      <c r="W896" s="2923"/>
      <c r="X896" s="2962"/>
      <c r="Y896" s="2961"/>
      <c r="Z896" s="3086"/>
      <c r="AA896" s="3086"/>
      <c r="AB896" s="3086"/>
      <c r="AC896" s="2976"/>
      <c r="AD896" s="2976"/>
    </row>
    <row r="897" spans="1:30">
      <c r="A897" s="3086"/>
      <c r="B897" s="2966"/>
      <c r="C897" s="2976"/>
      <c r="D897" s="2976"/>
      <c r="E897" s="2976"/>
      <c r="F897" s="2973"/>
      <c r="G897" s="2976"/>
      <c r="H897" s="2966"/>
      <c r="I897" s="2966"/>
      <c r="J897" s="2976"/>
      <c r="K897" s="2976"/>
      <c r="L897" s="2961"/>
      <c r="M897" s="2976"/>
      <c r="N897" s="3086"/>
      <c r="O897" s="3086"/>
      <c r="P897" s="3086"/>
      <c r="Q897" s="2966"/>
      <c r="R897" s="2976"/>
      <c r="S897" s="2961"/>
      <c r="T897" s="2961"/>
      <c r="U897" s="2923"/>
      <c r="V897" s="2923"/>
      <c r="W897" s="2923"/>
      <c r="X897" s="2962"/>
      <c r="Y897" s="2971"/>
      <c r="Z897" s="3086"/>
      <c r="AA897" s="3086"/>
      <c r="AB897" s="3086"/>
      <c r="AC897" s="2976"/>
      <c r="AD897" s="2976"/>
    </row>
    <row r="898" spans="1:30">
      <c r="A898" s="3086"/>
      <c r="B898" s="2966"/>
      <c r="C898" s="2976"/>
      <c r="D898" s="2976"/>
      <c r="E898" s="2976"/>
      <c r="F898" s="2973"/>
      <c r="G898" s="2976"/>
      <c r="H898" s="2966"/>
      <c r="I898" s="2966"/>
      <c r="J898" s="2976"/>
      <c r="K898" s="2976"/>
      <c r="L898" s="2961"/>
      <c r="M898" s="2976"/>
      <c r="N898" s="3086"/>
      <c r="O898" s="3086"/>
      <c r="P898" s="3086"/>
      <c r="Q898" s="2966"/>
      <c r="R898" s="2976"/>
      <c r="S898" s="2961"/>
      <c r="T898" s="2961"/>
      <c r="U898" s="2923"/>
      <c r="V898" s="2923"/>
      <c r="W898" s="2923"/>
      <c r="X898" s="2962"/>
      <c r="Y898" s="2971"/>
      <c r="Z898" s="3086"/>
      <c r="AA898" s="3086"/>
      <c r="AB898" s="3086"/>
      <c r="AC898" s="2976"/>
      <c r="AD898" s="2976"/>
    </row>
    <row r="899" spans="1:30">
      <c r="A899" s="3086"/>
      <c r="B899" s="2966"/>
      <c r="C899" s="2976"/>
      <c r="D899" s="2976"/>
      <c r="E899" s="2976"/>
      <c r="F899" s="2973"/>
      <c r="G899" s="2976"/>
      <c r="H899" s="2966"/>
      <c r="I899" s="2966"/>
      <c r="J899" s="2976"/>
      <c r="K899" s="2976"/>
      <c r="L899" s="2961"/>
      <c r="M899" s="2976"/>
      <c r="N899" s="3086"/>
      <c r="O899" s="3086"/>
      <c r="P899" s="3086"/>
      <c r="Q899" s="2972"/>
      <c r="R899" s="2739"/>
      <c r="S899" s="2961"/>
      <c r="T899" s="2961"/>
      <c r="U899" s="2923"/>
      <c r="V899" s="2923"/>
      <c r="W899" s="2923"/>
      <c r="X899" s="2961"/>
      <c r="Y899" s="2961"/>
      <c r="Z899" s="2976"/>
      <c r="AA899" s="3086"/>
      <c r="AB899" s="2966"/>
      <c r="AC899" s="2976"/>
      <c r="AD899" s="2976"/>
    </row>
    <row r="900" spans="1:30">
      <c r="A900" s="3086"/>
      <c r="B900" s="2966"/>
      <c r="C900" s="2976"/>
      <c r="D900" s="2976"/>
      <c r="E900" s="2976"/>
      <c r="F900" s="2973"/>
      <c r="G900" s="2976"/>
      <c r="H900" s="2966"/>
      <c r="I900" s="2966"/>
      <c r="J900" s="2976"/>
      <c r="K900" s="2976"/>
      <c r="L900" s="2961"/>
      <c r="M900" s="2976"/>
      <c r="N900" s="3086"/>
      <c r="O900" s="3086"/>
      <c r="P900" s="3086"/>
      <c r="Q900" s="2966"/>
      <c r="R900" s="2976"/>
      <c r="S900" s="2961"/>
      <c r="T900" s="2961"/>
      <c r="U900" s="2923"/>
      <c r="V900" s="2923"/>
      <c r="W900" s="2923"/>
      <c r="X900" s="2962"/>
      <c r="Y900" s="2961"/>
      <c r="Z900" s="3086"/>
      <c r="AA900" s="3086"/>
      <c r="AB900" s="3086"/>
      <c r="AC900" s="2976"/>
      <c r="AD900" s="2976"/>
    </row>
    <row r="901" spans="1:30">
      <c r="A901" s="3086"/>
      <c r="B901" s="2966"/>
      <c r="C901" s="2976"/>
      <c r="D901" s="2976"/>
      <c r="E901" s="2976"/>
      <c r="F901" s="2973"/>
      <c r="G901" s="2976"/>
      <c r="H901" s="2966"/>
      <c r="I901" s="2966"/>
      <c r="J901" s="2976"/>
      <c r="K901" s="2976"/>
      <c r="L901" s="2961"/>
      <c r="M901" s="2976"/>
      <c r="N901" s="3086"/>
      <c r="O901" s="3086"/>
      <c r="P901" s="3086"/>
      <c r="Q901" s="2966"/>
      <c r="R901" s="2976"/>
      <c r="S901" s="2961"/>
      <c r="T901" s="2961"/>
      <c r="U901" s="2923"/>
      <c r="V901" s="2923"/>
      <c r="W901" s="2923"/>
      <c r="X901" s="2962"/>
      <c r="Y901" s="2961"/>
      <c r="Z901" s="3086"/>
      <c r="AA901" s="3086"/>
      <c r="AB901" s="3086"/>
      <c r="AC901" s="2976"/>
      <c r="AD901" s="2976"/>
    </row>
    <row r="902" spans="1:30">
      <c r="A902" s="3086"/>
      <c r="B902" s="2966"/>
      <c r="C902" s="2976"/>
      <c r="D902" s="2976"/>
      <c r="E902" s="2976"/>
      <c r="F902" s="2973"/>
      <c r="G902" s="2976"/>
      <c r="H902" s="2966"/>
      <c r="I902" s="2966"/>
      <c r="J902" s="2976"/>
      <c r="K902" s="2976"/>
      <c r="L902" s="2961"/>
      <c r="M902" s="2976"/>
      <c r="N902" s="3086"/>
      <c r="O902" s="3086"/>
      <c r="P902" s="3086"/>
      <c r="Q902" s="2966"/>
      <c r="R902" s="2976"/>
      <c r="S902" s="2961"/>
      <c r="T902" s="2961"/>
      <c r="U902" s="2923"/>
      <c r="V902" s="2923"/>
      <c r="W902" s="2923"/>
      <c r="X902" s="2962"/>
      <c r="Y902" s="2961"/>
      <c r="Z902" s="3086"/>
      <c r="AA902" s="3086"/>
      <c r="AB902" s="3086"/>
      <c r="AC902" s="2976"/>
      <c r="AD902" s="2976"/>
    </row>
    <row r="903" spans="1:30">
      <c r="A903" s="3086"/>
      <c r="B903" s="2966"/>
      <c r="C903" s="2976"/>
      <c r="D903" s="2976"/>
      <c r="E903" s="2976"/>
      <c r="F903" s="2973"/>
      <c r="G903" s="2976"/>
      <c r="H903" s="2966"/>
      <c r="I903" s="2966"/>
      <c r="J903" s="2976"/>
      <c r="K903" s="2976"/>
      <c r="L903" s="2961"/>
      <c r="M903" s="2976"/>
      <c r="N903" s="3086"/>
      <c r="O903" s="3086"/>
      <c r="P903" s="2976"/>
      <c r="Q903" s="2966"/>
      <c r="R903" s="2976"/>
      <c r="S903" s="2961"/>
      <c r="T903" s="2961"/>
      <c r="U903" s="2923"/>
      <c r="V903" s="2923"/>
      <c r="W903" s="2923"/>
      <c r="X903" s="2961"/>
      <c r="Y903" s="2961"/>
      <c r="Z903" s="2976"/>
      <c r="AA903" s="2976"/>
      <c r="AB903" s="2976"/>
      <c r="AC903" s="2976"/>
      <c r="AD903" s="2976"/>
    </row>
    <row r="904" spans="1:30">
      <c r="A904" s="3086"/>
      <c r="B904" s="2966"/>
      <c r="C904" s="2976"/>
      <c r="D904" s="2976"/>
      <c r="E904" s="2976"/>
      <c r="F904" s="2973"/>
      <c r="G904" s="2976"/>
      <c r="H904" s="2966"/>
      <c r="I904" s="2966"/>
      <c r="J904" s="2976"/>
      <c r="K904" s="2976"/>
      <c r="L904" s="2961"/>
      <c r="M904" s="2976"/>
      <c r="N904" s="3086"/>
      <c r="O904" s="3086"/>
      <c r="P904" s="2976"/>
      <c r="Q904" s="2972"/>
      <c r="R904" s="2976"/>
      <c r="S904" s="2961"/>
      <c r="T904" s="2961"/>
      <c r="U904" s="2923"/>
      <c r="V904" s="2923"/>
      <c r="W904" s="2923"/>
      <c r="X904" s="2961"/>
      <c r="Y904" s="2961"/>
      <c r="Z904" s="2976"/>
      <c r="AA904" s="3086"/>
      <c r="AB904" s="2966"/>
      <c r="AC904" s="2976"/>
      <c r="AD904" s="2976"/>
    </row>
    <row r="905" spans="1:30">
      <c r="A905" s="3086"/>
      <c r="B905" s="2966"/>
      <c r="C905" s="2976"/>
      <c r="D905" s="2976"/>
      <c r="E905" s="2976"/>
      <c r="F905" s="2973"/>
      <c r="G905" s="2976"/>
      <c r="H905" s="2966"/>
      <c r="I905" s="2966"/>
      <c r="J905" s="2976"/>
      <c r="K905" s="2976"/>
      <c r="L905" s="2961"/>
      <c r="M905" s="2976"/>
      <c r="N905" s="3086"/>
      <c r="O905" s="3086"/>
      <c r="P905" s="3086"/>
      <c r="Q905" s="2966"/>
      <c r="R905" s="2976"/>
      <c r="S905" s="2961"/>
      <c r="T905" s="2961"/>
      <c r="U905" s="2923"/>
      <c r="V905" s="2923"/>
      <c r="W905" s="2923"/>
      <c r="X905" s="2962"/>
      <c r="Y905" s="2961"/>
      <c r="Z905" s="3086"/>
      <c r="AA905" s="3086"/>
      <c r="AB905" s="3086"/>
      <c r="AC905" s="2976"/>
      <c r="AD905" s="2976"/>
    </row>
    <row r="906" spans="1:30">
      <c r="A906" s="3086"/>
      <c r="B906" s="2966"/>
      <c r="C906" s="2976"/>
      <c r="D906" s="2976"/>
      <c r="E906" s="2976"/>
      <c r="F906" s="2973"/>
      <c r="G906" s="2976"/>
      <c r="H906" s="2966"/>
      <c r="I906" s="2966"/>
      <c r="J906" s="2976"/>
      <c r="K906" s="2976"/>
      <c r="L906" s="2961"/>
      <c r="M906" s="2976"/>
      <c r="N906" s="3086"/>
      <c r="O906" s="3086"/>
      <c r="P906" s="3086"/>
      <c r="Q906" s="2966"/>
      <c r="R906" s="2976"/>
      <c r="S906" s="2961"/>
      <c r="T906" s="2961"/>
      <c r="U906" s="2923"/>
      <c r="V906" s="2923"/>
      <c r="W906" s="2923"/>
      <c r="X906" s="2962"/>
      <c r="Y906" s="2961"/>
      <c r="Z906" s="3086"/>
      <c r="AA906" s="3086"/>
      <c r="AB906" s="3086"/>
      <c r="AC906" s="2976"/>
      <c r="AD906" s="2976"/>
    </row>
    <row r="907" spans="1:30">
      <c r="A907" s="3086"/>
      <c r="B907" s="2966"/>
      <c r="C907" s="2976"/>
      <c r="D907" s="2976"/>
      <c r="E907" s="2976"/>
      <c r="F907" s="2973"/>
      <c r="G907" s="2976"/>
      <c r="H907" s="2966"/>
      <c r="I907" s="2966"/>
      <c r="J907" s="2976"/>
      <c r="K907" s="2976"/>
      <c r="L907" s="2961"/>
      <c r="M907" s="2976"/>
      <c r="N907" s="3086"/>
      <c r="O907" s="3086"/>
      <c r="P907" s="3086"/>
      <c r="Q907" s="2966"/>
      <c r="R907" s="2976"/>
      <c r="S907" s="2961"/>
      <c r="T907" s="2961"/>
      <c r="U907" s="2923"/>
      <c r="V907" s="2923"/>
      <c r="W907" s="2923"/>
      <c r="X907" s="2962"/>
      <c r="Y907" s="2961"/>
      <c r="Z907" s="3086"/>
      <c r="AA907" s="3086"/>
      <c r="AB907" s="3086"/>
      <c r="AC907" s="2976"/>
      <c r="AD907" s="2976"/>
    </row>
    <row r="908" spans="1:30">
      <c r="A908" s="3086"/>
      <c r="B908" s="2966"/>
      <c r="C908" s="2976"/>
      <c r="D908" s="2976"/>
      <c r="E908" s="2976"/>
      <c r="F908" s="2973"/>
      <c r="G908" s="2976"/>
      <c r="H908" s="2966"/>
      <c r="I908" s="2966"/>
      <c r="J908" s="2976"/>
      <c r="K908" s="2976"/>
      <c r="L908" s="2961"/>
      <c r="M908" s="2976"/>
      <c r="N908" s="3086"/>
      <c r="O908" s="3086"/>
      <c r="P908" s="3086"/>
      <c r="Q908" s="2966"/>
      <c r="R908" s="2976"/>
      <c r="S908" s="2961"/>
      <c r="T908" s="2961"/>
      <c r="U908" s="2923"/>
      <c r="V908" s="2923"/>
      <c r="W908" s="2923"/>
      <c r="X908" s="2962"/>
      <c r="Y908" s="2961"/>
      <c r="Z908" s="3086"/>
      <c r="AA908" s="3086"/>
      <c r="AB908" s="3086"/>
      <c r="AC908" s="2976"/>
      <c r="AD908" s="2976"/>
    </row>
    <row r="909" spans="1:30">
      <c r="A909" s="3086"/>
      <c r="B909" s="2966"/>
      <c r="C909" s="2976"/>
      <c r="D909" s="2976"/>
      <c r="E909" s="2976"/>
      <c r="F909" s="2973"/>
      <c r="G909" s="2976"/>
      <c r="H909" s="2966"/>
      <c r="I909" s="2966"/>
      <c r="J909" s="2976"/>
      <c r="K909" s="2976"/>
      <c r="L909" s="2961"/>
      <c r="M909" s="2976"/>
      <c r="N909" s="3086"/>
      <c r="O909" s="3086"/>
      <c r="P909" s="3086"/>
      <c r="Q909" s="2966"/>
      <c r="R909" s="2976"/>
      <c r="S909" s="2961"/>
      <c r="T909" s="2961"/>
      <c r="U909" s="2923"/>
      <c r="V909" s="2923"/>
      <c r="W909" s="2923"/>
      <c r="X909" s="2962"/>
      <c r="Y909" s="2961"/>
      <c r="Z909" s="2976"/>
      <c r="AA909" s="2976"/>
      <c r="AB909" s="2976"/>
      <c r="AC909" s="2976"/>
      <c r="AD909" s="2976"/>
    </row>
    <row r="910" spans="1:30">
      <c r="A910" s="3086"/>
      <c r="B910" s="2966"/>
      <c r="C910" s="2976"/>
      <c r="D910" s="2976"/>
      <c r="E910" s="2976"/>
      <c r="F910" s="2973"/>
      <c r="G910" s="2976"/>
      <c r="H910" s="2966"/>
      <c r="I910" s="2966"/>
      <c r="J910" s="2976"/>
      <c r="K910" s="2976"/>
      <c r="L910" s="2961"/>
      <c r="M910" s="2976"/>
      <c r="N910" s="3086"/>
      <c r="O910" s="3086"/>
      <c r="P910" s="2976"/>
      <c r="Q910" s="2972"/>
      <c r="R910" s="2976"/>
      <c r="S910" s="2961"/>
      <c r="T910" s="2961"/>
      <c r="U910" s="2923"/>
      <c r="V910" s="2923"/>
      <c r="W910" s="2923"/>
      <c r="X910" s="2961"/>
      <c r="Y910" s="2961"/>
      <c r="Z910" s="2976"/>
      <c r="AA910" s="3086"/>
      <c r="AB910" s="2966"/>
      <c r="AC910" s="2976"/>
      <c r="AD910" s="2976"/>
    </row>
    <row r="911" spans="1:30">
      <c r="A911" s="3086"/>
      <c r="B911" s="2966"/>
      <c r="C911" s="2976"/>
      <c r="D911" s="2976"/>
      <c r="E911" s="2976"/>
      <c r="F911" s="2973"/>
      <c r="G911" s="2976"/>
      <c r="H911" s="2966"/>
      <c r="I911" s="2966"/>
      <c r="J911" s="2976"/>
      <c r="K911" s="2976"/>
      <c r="L911" s="2961"/>
      <c r="M911" s="2976"/>
      <c r="N911" s="3086"/>
      <c r="O911" s="3086"/>
      <c r="P911" s="3086"/>
      <c r="Q911" s="2966"/>
      <c r="R911" s="2976"/>
      <c r="S911" s="2961"/>
      <c r="T911" s="2961"/>
      <c r="U911" s="2923"/>
      <c r="V911" s="2923"/>
      <c r="W911" s="2923"/>
      <c r="X911" s="2962"/>
      <c r="Y911" s="2961"/>
      <c r="Z911" s="3086"/>
      <c r="AA911" s="3086"/>
      <c r="AB911" s="2976"/>
      <c r="AC911" s="2976"/>
      <c r="AD911" s="2976"/>
    </row>
    <row r="912" spans="1:30">
      <c r="A912" s="3086"/>
      <c r="B912" s="3096"/>
      <c r="C912" s="2976"/>
      <c r="D912" s="2976"/>
      <c r="E912" s="2976"/>
      <c r="F912" s="2973"/>
      <c r="G912" s="2976"/>
      <c r="H912" s="2966"/>
      <c r="I912" s="2966"/>
      <c r="J912" s="2976"/>
      <c r="K912" s="2976"/>
      <c r="L912" s="2961"/>
      <c r="M912" s="2976"/>
      <c r="N912" s="3086"/>
      <c r="O912" s="3086"/>
      <c r="P912" s="3086"/>
      <c r="Q912" s="2966"/>
      <c r="R912" s="2976"/>
      <c r="S912" s="2961"/>
      <c r="T912" s="2961"/>
      <c r="U912" s="2923"/>
      <c r="V912" s="2923"/>
      <c r="W912" s="2923"/>
      <c r="X912" s="2962"/>
      <c r="Y912" s="2961"/>
      <c r="Z912" s="3086"/>
      <c r="AA912" s="3086"/>
      <c r="AB912" s="2976"/>
      <c r="AC912" s="3093"/>
      <c r="AD912" s="2976"/>
    </row>
    <row r="913" spans="1:30">
      <c r="A913" s="3086"/>
      <c r="B913" s="2966"/>
      <c r="C913" s="2976"/>
      <c r="D913" s="2976"/>
      <c r="E913" s="2976"/>
      <c r="F913" s="2973"/>
      <c r="G913" s="2976"/>
      <c r="H913" s="2966"/>
      <c r="I913" s="2966"/>
      <c r="J913" s="2976"/>
      <c r="K913" s="2976"/>
      <c r="L913" s="2961"/>
      <c r="M913" s="2976"/>
      <c r="N913" s="3086"/>
      <c r="O913" s="3086"/>
      <c r="P913" s="3086"/>
      <c r="Q913" s="2966"/>
      <c r="R913" s="2976"/>
      <c r="S913" s="2961"/>
      <c r="T913" s="2961"/>
      <c r="U913" s="2923"/>
      <c r="V913" s="2923"/>
      <c r="W913" s="2923"/>
      <c r="X913" s="2962"/>
      <c r="Y913" s="2961"/>
      <c r="Z913" s="3086"/>
      <c r="AA913" s="3086"/>
      <c r="AB913" s="2976"/>
      <c r="AC913" s="3035"/>
      <c r="AD913" s="3035"/>
    </row>
    <row r="914" spans="1:30">
      <c r="A914" s="3086"/>
      <c r="B914" s="2966"/>
      <c r="C914" s="2976"/>
      <c r="D914" s="2976"/>
      <c r="E914" s="2976"/>
      <c r="F914" s="2973"/>
      <c r="G914" s="2976"/>
      <c r="H914" s="2966"/>
      <c r="I914" s="2966"/>
      <c r="J914" s="2976"/>
      <c r="K914" s="2976"/>
      <c r="L914" s="2961"/>
      <c r="M914" s="2976"/>
      <c r="N914" s="3086"/>
      <c r="O914" s="3086"/>
      <c r="P914" s="3086"/>
      <c r="Q914" s="2966"/>
      <c r="R914" s="2976"/>
      <c r="S914" s="2961"/>
      <c r="T914" s="2961"/>
      <c r="U914" s="2923"/>
      <c r="V914" s="2923"/>
      <c r="W914" s="2923"/>
      <c r="X914" s="2962"/>
      <c r="Y914" s="2961"/>
      <c r="Z914" s="3086"/>
      <c r="AA914" s="3086"/>
      <c r="AB914" s="2976"/>
      <c r="AC914" s="2976"/>
      <c r="AD914" s="2976"/>
    </row>
    <row r="915" spans="1:30">
      <c r="A915" s="3086"/>
      <c r="B915" s="2966"/>
      <c r="C915" s="2976"/>
      <c r="D915" s="2976"/>
      <c r="E915" s="2976"/>
      <c r="F915" s="2973"/>
      <c r="G915" s="2976"/>
      <c r="H915" s="2966"/>
      <c r="I915" s="2966"/>
      <c r="J915" s="2976"/>
      <c r="K915" s="2976"/>
      <c r="L915" s="2961"/>
      <c r="M915" s="2976"/>
      <c r="N915" s="3086"/>
      <c r="O915" s="3086"/>
      <c r="P915" s="3086"/>
      <c r="Q915" s="2966"/>
      <c r="R915" s="2976"/>
      <c r="S915" s="2961"/>
      <c r="T915" s="2961"/>
      <c r="U915" s="2923"/>
      <c r="V915" s="2923"/>
      <c r="W915" s="2923"/>
      <c r="X915" s="2962"/>
      <c r="Y915" s="2971"/>
      <c r="Z915" s="3086"/>
      <c r="AA915" s="3086"/>
      <c r="AB915" s="3086"/>
      <c r="AC915" s="2976"/>
      <c r="AD915" s="2976"/>
    </row>
    <row r="916" spans="1:30">
      <c r="A916" s="3086"/>
      <c r="B916" s="2966"/>
      <c r="C916" s="2976"/>
      <c r="D916" s="2976"/>
      <c r="E916" s="2976"/>
      <c r="F916" s="2973"/>
      <c r="G916" s="2976"/>
      <c r="H916" s="2966"/>
      <c r="I916" s="2966"/>
      <c r="J916" s="2976"/>
      <c r="K916" s="2976"/>
      <c r="L916" s="2961"/>
      <c r="M916" s="2976"/>
      <c r="N916" s="3086"/>
      <c r="O916" s="3086"/>
      <c r="P916" s="3086"/>
      <c r="Q916" s="2966"/>
      <c r="R916" s="2976"/>
      <c r="S916" s="2961"/>
      <c r="T916" s="2961"/>
      <c r="U916" s="2923"/>
      <c r="V916" s="2923"/>
      <c r="W916" s="2923"/>
      <c r="X916" s="2962"/>
      <c r="Y916" s="2971"/>
      <c r="Z916" s="3086"/>
      <c r="AA916" s="3086"/>
      <c r="AB916" s="3086"/>
      <c r="AC916" s="2976"/>
      <c r="AD916" s="2976"/>
    </row>
    <row r="917" spans="1:30">
      <c r="A917" s="3086"/>
      <c r="B917" s="2966"/>
      <c r="C917" s="2976"/>
      <c r="D917" s="2976"/>
      <c r="E917" s="2976"/>
      <c r="F917" s="2973"/>
      <c r="G917" s="2976"/>
      <c r="H917" s="2966"/>
      <c r="I917" s="2966"/>
      <c r="J917" s="2976"/>
      <c r="K917" s="2976"/>
      <c r="L917" s="2961"/>
      <c r="M917" s="2976"/>
      <c r="N917" s="3086"/>
      <c r="O917" s="3086"/>
      <c r="P917" s="3086"/>
      <c r="Q917" s="2966"/>
      <c r="R917" s="2976"/>
      <c r="S917" s="2961"/>
      <c r="T917" s="2961"/>
      <c r="U917" s="2923"/>
      <c r="V917" s="2923"/>
      <c r="W917" s="2923"/>
      <c r="X917" s="2962"/>
      <c r="Y917" s="2971"/>
      <c r="Z917" s="3086"/>
      <c r="AA917" s="3086"/>
      <c r="AB917" s="2976"/>
      <c r="AC917" s="2976"/>
      <c r="AD917" s="2976"/>
    </row>
    <row r="918" spans="1:30">
      <c r="A918" s="3086"/>
      <c r="B918" s="2966"/>
      <c r="C918" s="2976"/>
      <c r="D918" s="2976"/>
      <c r="E918" s="2976"/>
      <c r="F918" s="2973"/>
      <c r="G918" s="2976"/>
      <c r="H918" s="2966"/>
      <c r="I918" s="2966"/>
      <c r="J918" s="2976"/>
      <c r="K918" s="2976"/>
      <c r="L918" s="2961"/>
      <c r="M918" s="2976"/>
      <c r="N918" s="3086"/>
      <c r="O918" s="3086"/>
      <c r="P918" s="3086"/>
      <c r="Q918" s="2966"/>
      <c r="R918" s="2976"/>
      <c r="S918" s="2961"/>
      <c r="T918" s="2961"/>
      <c r="U918" s="2923"/>
      <c r="V918" s="2923"/>
      <c r="W918" s="2923"/>
      <c r="X918" s="2962"/>
      <c r="Y918" s="2971"/>
      <c r="Z918" s="3086"/>
      <c r="AA918" s="3086"/>
      <c r="AB918" s="3086"/>
      <c r="AC918" s="2976"/>
      <c r="AD918" s="2976"/>
    </row>
    <row r="919" spans="1:30">
      <c r="A919" s="3086"/>
      <c r="B919" s="2966"/>
      <c r="C919" s="2976"/>
      <c r="D919" s="2976"/>
      <c r="E919" s="2976"/>
      <c r="F919" s="2973"/>
      <c r="G919" s="2976"/>
      <c r="H919" s="2966"/>
      <c r="I919" s="2966"/>
      <c r="J919" s="2976"/>
      <c r="K919" s="2976"/>
      <c r="L919" s="2961"/>
      <c r="M919" s="2976"/>
      <c r="N919" s="3086"/>
      <c r="O919" s="3086"/>
      <c r="P919" s="3086"/>
      <c r="Q919" s="2966"/>
      <c r="R919" s="2976"/>
      <c r="S919" s="2961"/>
      <c r="T919" s="2961"/>
      <c r="U919" s="2923"/>
      <c r="V919" s="2923"/>
      <c r="W919" s="2923"/>
      <c r="X919" s="2962"/>
      <c r="Y919" s="2971"/>
      <c r="Z919" s="3086"/>
      <c r="AA919" s="3086"/>
      <c r="AB919" s="3086"/>
      <c r="AC919" s="2976"/>
      <c r="AD919" s="2976"/>
    </row>
    <row r="920" spans="1:30">
      <c r="A920" s="3086"/>
      <c r="B920" s="2966"/>
      <c r="C920" s="2976"/>
      <c r="D920" s="2976"/>
      <c r="E920" s="2976"/>
      <c r="F920" s="2973"/>
      <c r="G920" s="2976"/>
      <c r="H920" s="2966"/>
      <c r="I920" s="2966"/>
      <c r="J920" s="2976"/>
      <c r="K920" s="2976"/>
      <c r="L920" s="2961"/>
      <c r="M920" s="2976"/>
      <c r="N920" s="3086"/>
      <c r="O920" s="3086"/>
      <c r="P920" s="3086"/>
      <c r="Q920" s="2966"/>
      <c r="R920" s="2976"/>
      <c r="S920" s="2961"/>
      <c r="T920" s="2961"/>
      <c r="U920" s="2923"/>
      <c r="V920" s="2923"/>
      <c r="W920" s="2923"/>
      <c r="X920" s="2961"/>
      <c r="Y920" s="2971"/>
      <c r="Z920" s="3086"/>
      <c r="AA920" s="3086"/>
      <c r="AB920" s="3086"/>
      <c r="AC920" s="2976"/>
      <c r="AD920" s="2976"/>
    </row>
    <row r="921" spans="1:30">
      <c r="A921" s="3086"/>
      <c r="B921" s="2966"/>
      <c r="C921" s="2976"/>
      <c r="D921" s="2976"/>
      <c r="E921" s="2976"/>
      <c r="F921" s="2973"/>
      <c r="G921" s="2976"/>
      <c r="H921" s="2966"/>
      <c r="I921" s="2966"/>
      <c r="J921" s="2976"/>
      <c r="K921" s="2976"/>
      <c r="L921" s="2961"/>
      <c r="M921" s="2976"/>
      <c r="N921" s="3086"/>
      <c r="O921" s="3086"/>
      <c r="P921" s="3086"/>
      <c r="Q921" s="2966"/>
      <c r="R921" s="2976"/>
      <c r="S921" s="2961"/>
      <c r="T921" s="2961"/>
      <c r="U921" s="2923"/>
      <c r="V921" s="2923"/>
      <c r="W921" s="2923"/>
      <c r="X921" s="2962"/>
      <c r="Y921" s="2961"/>
      <c r="Z921" s="3086"/>
      <c r="AA921" s="3086"/>
      <c r="AB921" s="3086"/>
      <c r="AC921" s="2976"/>
      <c r="AD921" s="2976"/>
    </row>
    <row r="922" spans="1:30">
      <c r="A922" s="2976"/>
      <c r="B922" s="2966"/>
      <c r="C922" s="2976"/>
      <c r="D922" s="2976"/>
      <c r="E922" s="2976"/>
      <c r="F922" s="2973"/>
      <c r="G922" s="2976"/>
      <c r="H922" s="2966"/>
      <c r="I922" s="2966"/>
      <c r="J922" s="2976"/>
      <c r="K922" s="2976"/>
      <c r="L922" s="2961"/>
      <c r="M922" s="2976"/>
      <c r="N922" s="3086"/>
      <c r="O922" s="3086"/>
      <c r="P922" s="3086"/>
      <c r="Q922" s="2966"/>
      <c r="R922" s="2976"/>
      <c r="S922" s="2961"/>
      <c r="T922" s="2961"/>
      <c r="U922" s="2923"/>
      <c r="V922" s="2923"/>
      <c r="W922" s="2923"/>
      <c r="X922" s="2962"/>
      <c r="Y922" s="2971"/>
      <c r="Z922" s="3086"/>
      <c r="AA922" s="2976"/>
      <c r="AB922" s="3086"/>
      <c r="AC922" s="2976"/>
      <c r="AD922" s="2976"/>
    </row>
    <row r="923" spans="1:30">
      <c r="A923" s="3086"/>
      <c r="B923" s="2966"/>
      <c r="C923" s="2976"/>
      <c r="D923" s="2976"/>
      <c r="E923" s="2976"/>
      <c r="F923" s="2973"/>
      <c r="G923" s="2976"/>
      <c r="H923" s="2966"/>
      <c r="I923" s="2966"/>
      <c r="J923" s="2976"/>
      <c r="K923" s="2976"/>
      <c r="L923" s="2961"/>
      <c r="M923" s="2976"/>
      <c r="N923" s="3086"/>
      <c r="O923" s="3086"/>
      <c r="P923" s="3086"/>
      <c r="Q923" s="2966"/>
      <c r="R923" s="2976"/>
      <c r="S923" s="2961"/>
      <c r="T923" s="2961"/>
      <c r="U923" s="2923"/>
      <c r="V923" s="2923"/>
      <c r="W923" s="2923"/>
      <c r="X923" s="2962"/>
      <c r="Y923" s="2971"/>
      <c r="Z923" s="3086"/>
      <c r="AA923" s="2976"/>
      <c r="AB923" s="3086"/>
      <c r="AC923" s="2976"/>
      <c r="AD923" s="2976"/>
    </row>
    <row r="924" spans="1:30">
      <c r="A924" s="3086"/>
      <c r="B924" s="2966"/>
      <c r="C924" s="2976"/>
      <c r="D924" s="2976"/>
      <c r="E924" s="2976"/>
      <c r="F924" s="2973"/>
      <c r="G924" s="2976"/>
      <c r="H924" s="2966"/>
      <c r="I924" s="2966"/>
      <c r="J924" s="2976"/>
      <c r="K924" s="2976"/>
      <c r="L924" s="2961"/>
      <c r="M924" s="2976"/>
      <c r="N924" s="3086"/>
      <c r="O924" s="3086"/>
      <c r="P924" s="3086"/>
      <c r="Q924" s="2966"/>
      <c r="R924" s="2976"/>
      <c r="S924" s="2961"/>
      <c r="T924" s="2961"/>
      <c r="U924" s="2923"/>
      <c r="V924" s="2923"/>
      <c r="W924" s="2923"/>
      <c r="X924" s="2962"/>
      <c r="Y924" s="2961"/>
      <c r="Z924" s="3086"/>
      <c r="AA924" s="2976"/>
      <c r="AB924" s="3086"/>
      <c r="AC924" s="2976"/>
      <c r="AD924" s="2976"/>
    </row>
    <row r="925" spans="1:30">
      <c r="A925" s="3086"/>
      <c r="B925" s="2966"/>
      <c r="C925" s="2976"/>
      <c r="D925" s="2976"/>
      <c r="E925" s="2976"/>
      <c r="F925" s="2973"/>
      <c r="G925" s="2976"/>
      <c r="H925" s="2966"/>
      <c r="I925" s="2966"/>
      <c r="J925" s="2976"/>
      <c r="K925" s="2976"/>
      <c r="L925" s="2961"/>
      <c r="M925" s="2976"/>
      <c r="N925" s="3086"/>
      <c r="O925" s="3086"/>
      <c r="P925" s="2976"/>
      <c r="Q925" s="2972"/>
      <c r="R925" s="2739"/>
      <c r="S925" s="2961"/>
      <c r="T925" s="2961"/>
      <c r="U925" s="2923"/>
      <c r="V925" s="2923"/>
      <c r="W925" s="2923"/>
      <c r="X925" s="2961"/>
      <c r="Y925" s="2961"/>
      <c r="Z925" s="2976"/>
      <c r="AA925" s="3086"/>
      <c r="AB925" s="2966"/>
      <c r="AC925" s="2976"/>
      <c r="AD925" s="2976"/>
    </row>
    <row r="926" spans="1:30">
      <c r="A926" s="3086"/>
      <c r="B926" s="2966"/>
      <c r="C926" s="2976"/>
      <c r="D926" s="2976"/>
      <c r="E926" s="2976"/>
      <c r="F926" s="2973"/>
      <c r="G926" s="2976"/>
      <c r="H926" s="2966"/>
      <c r="I926" s="2966"/>
      <c r="J926" s="2976"/>
      <c r="K926" s="2976"/>
      <c r="L926" s="2961"/>
      <c r="M926" s="2976"/>
      <c r="N926" s="3086"/>
      <c r="O926" s="3086"/>
      <c r="P926" s="3086"/>
      <c r="Q926" s="2966"/>
      <c r="R926" s="2976"/>
      <c r="S926" s="2961"/>
      <c r="T926" s="2961"/>
      <c r="U926" s="2923"/>
      <c r="V926" s="2923"/>
      <c r="W926" s="2923"/>
      <c r="X926" s="2962"/>
      <c r="Y926" s="2961"/>
      <c r="Z926" s="3086"/>
      <c r="AA926" s="3086"/>
      <c r="AB926" s="3086"/>
      <c r="AC926" s="2976"/>
      <c r="AD926" s="2976"/>
    </row>
    <row r="927" spans="1:30">
      <c r="A927" s="3086"/>
      <c r="B927" s="2966"/>
      <c r="C927" s="2976"/>
      <c r="D927" s="2976"/>
      <c r="E927" s="2976"/>
      <c r="F927" s="2973"/>
      <c r="G927" s="2976"/>
      <c r="H927" s="2966"/>
      <c r="I927" s="2966"/>
      <c r="J927" s="2976"/>
      <c r="K927" s="2976"/>
      <c r="L927" s="2961"/>
      <c r="M927" s="2976"/>
      <c r="N927" s="3086"/>
      <c r="O927" s="3086"/>
      <c r="P927" s="3086"/>
      <c r="Q927" s="2966"/>
      <c r="R927" s="2976"/>
      <c r="S927" s="2961"/>
      <c r="T927" s="2961"/>
      <c r="U927" s="2923"/>
      <c r="V927" s="2923"/>
      <c r="W927" s="2923"/>
      <c r="X927" s="2962"/>
      <c r="Y927" s="2971"/>
      <c r="Z927" s="3086"/>
      <c r="AA927" s="3086"/>
      <c r="AB927" s="2976"/>
      <c r="AC927" s="2976"/>
      <c r="AD927" s="2976"/>
    </row>
    <row r="928" spans="1:30">
      <c r="A928" s="3086"/>
      <c r="B928" s="2966"/>
      <c r="C928" s="2976"/>
      <c r="D928" s="2976"/>
      <c r="E928" s="2976"/>
      <c r="F928" s="2973"/>
      <c r="G928" s="2976"/>
      <c r="H928" s="2966"/>
      <c r="I928" s="2966"/>
      <c r="J928" s="2976"/>
      <c r="K928" s="2976"/>
      <c r="L928" s="2961"/>
      <c r="M928" s="2976"/>
      <c r="N928" s="3086"/>
      <c r="O928" s="3086"/>
      <c r="P928" s="3086"/>
      <c r="Q928" s="2966"/>
      <c r="R928" s="2976"/>
      <c r="S928" s="2961"/>
      <c r="T928" s="2961"/>
      <c r="U928" s="2923"/>
      <c r="V928" s="2923"/>
      <c r="W928" s="2923"/>
      <c r="X928" s="2962"/>
      <c r="Y928" s="2971"/>
      <c r="Z928" s="3086"/>
      <c r="AA928" s="3086"/>
      <c r="AB928" s="2976"/>
      <c r="AC928" s="2976"/>
      <c r="AD928" s="2976"/>
    </row>
    <row r="929" spans="1:44">
      <c r="A929" s="2976"/>
      <c r="B929" s="2966"/>
      <c r="C929" s="2976"/>
      <c r="D929" s="2976"/>
      <c r="E929" s="2976"/>
      <c r="F929" s="2973"/>
      <c r="G929" s="2976"/>
      <c r="H929" s="2966"/>
      <c r="I929" s="2966"/>
      <c r="J929" s="2976"/>
      <c r="K929" s="2976"/>
      <c r="L929" s="2961"/>
      <c r="M929" s="2976"/>
      <c r="N929" s="3086"/>
      <c r="O929" s="3086"/>
      <c r="P929" s="2976"/>
      <c r="Q929" s="2966"/>
      <c r="R929" s="2976"/>
      <c r="S929" s="2961"/>
      <c r="T929" s="2961"/>
      <c r="U929" s="2923"/>
      <c r="V929" s="2923"/>
      <c r="W929" s="2923"/>
      <c r="X929" s="2961"/>
      <c r="Y929" s="2961"/>
      <c r="Z929" s="2976"/>
      <c r="AA929" s="2976"/>
      <c r="AB929" s="2976"/>
      <c r="AC929" s="2976"/>
      <c r="AD929" s="2976"/>
    </row>
    <row r="930" spans="1:44">
      <c r="A930" s="3086"/>
      <c r="B930" s="2966"/>
      <c r="C930" s="2976"/>
      <c r="D930" s="2976"/>
      <c r="E930" s="2976"/>
      <c r="F930" s="2973"/>
      <c r="G930" s="2976"/>
      <c r="H930" s="2966"/>
      <c r="I930" s="2966"/>
      <c r="J930" s="2976"/>
      <c r="K930" s="2976"/>
      <c r="L930" s="2961"/>
      <c r="M930" s="2976"/>
      <c r="N930" s="3086"/>
      <c r="O930" s="3086"/>
      <c r="P930" s="2976"/>
      <c r="Q930" s="2972"/>
      <c r="R930" s="2739"/>
      <c r="S930" s="2961"/>
      <c r="T930" s="2961"/>
      <c r="U930" s="2923"/>
      <c r="V930" s="2923"/>
      <c r="W930" s="2923"/>
      <c r="X930" s="2961"/>
      <c r="Y930" s="2961"/>
      <c r="Z930" s="2976"/>
      <c r="AA930" s="3086"/>
      <c r="AB930" s="2966"/>
      <c r="AC930" s="2976"/>
      <c r="AD930" s="2976"/>
    </row>
    <row r="931" spans="1:44">
      <c r="A931" s="3086"/>
      <c r="B931" s="2966"/>
      <c r="C931" s="2976"/>
      <c r="D931" s="2976"/>
      <c r="E931" s="2976"/>
      <c r="F931" s="2973"/>
      <c r="G931" s="2976"/>
      <c r="H931" s="2966"/>
      <c r="I931" s="2966"/>
      <c r="J931" s="2976"/>
      <c r="K931" s="2976"/>
      <c r="L931" s="2961"/>
      <c r="M931" s="2976"/>
      <c r="N931" s="3086"/>
      <c r="O931" s="3086"/>
      <c r="P931" s="2976"/>
      <c r="Q931" s="2966"/>
      <c r="R931" s="2976"/>
      <c r="S931" s="2961"/>
      <c r="T931" s="2961"/>
      <c r="U931" s="2923"/>
      <c r="V931" s="2923"/>
      <c r="W931" s="2923"/>
      <c r="X931" s="2961"/>
      <c r="Y931" s="2961"/>
      <c r="Z931" s="2976"/>
      <c r="AA931" s="2976"/>
      <c r="AB931" s="2976"/>
      <c r="AC931" s="2976"/>
      <c r="AD931" s="2976"/>
    </row>
    <row r="932" spans="1:44" s="58" customFormat="1">
      <c r="A932" s="3086"/>
      <c r="B932" s="2966"/>
      <c r="C932" s="2976"/>
      <c r="D932" s="2976"/>
      <c r="E932" s="2976"/>
      <c r="F932" s="2973"/>
      <c r="G932" s="2976"/>
      <c r="H932" s="2966"/>
      <c r="I932" s="2966"/>
      <c r="J932" s="2976"/>
      <c r="K932" s="2976"/>
      <c r="L932" s="2961"/>
      <c r="M932" s="2976"/>
      <c r="N932" s="3086"/>
      <c r="O932" s="3086"/>
      <c r="P932" s="3086"/>
      <c r="Q932" s="2966"/>
      <c r="R932" s="2976"/>
      <c r="S932" s="2961"/>
      <c r="T932" s="2961"/>
      <c r="U932" s="2923"/>
      <c r="V932" s="2923"/>
      <c r="W932" s="2923"/>
      <c r="X932" s="2962"/>
      <c r="Y932" s="2961"/>
      <c r="Z932" s="3086"/>
      <c r="AA932" s="3086"/>
      <c r="AB932" s="3086"/>
      <c r="AC932" s="2976"/>
      <c r="AD932" s="2976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</row>
    <row r="933" spans="1:44" s="58" customFormat="1">
      <c r="A933" s="3086"/>
      <c r="B933" s="2966"/>
      <c r="C933" s="2976"/>
      <c r="D933" s="2976"/>
      <c r="E933" s="2976"/>
      <c r="F933" s="2973"/>
      <c r="G933" s="2976"/>
      <c r="H933" s="2966"/>
      <c r="I933" s="2966"/>
      <c r="J933" s="2976"/>
      <c r="K933" s="2976"/>
      <c r="L933" s="2961"/>
      <c r="M933" s="2976"/>
      <c r="N933" s="3086"/>
      <c r="O933" s="3086"/>
      <c r="P933" s="2976"/>
      <c r="Q933" s="2972"/>
      <c r="R933" s="2976"/>
      <c r="S933" s="2961"/>
      <c r="T933" s="2961"/>
      <c r="U933" s="2923"/>
      <c r="V933" s="2923"/>
      <c r="W933" s="2923"/>
      <c r="X933" s="2961"/>
      <c r="Y933" s="2961"/>
      <c r="Z933" s="2976"/>
      <c r="AA933" s="3086"/>
      <c r="AB933" s="2966"/>
      <c r="AC933" s="2976"/>
      <c r="AD933" s="2976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</row>
    <row r="934" spans="1:44" s="58" customFormat="1">
      <c r="A934" s="3086"/>
      <c r="B934" s="2966"/>
      <c r="C934" s="2976"/>
      <c r="D934" s="2976"/>
      <c r="E934" s="2976"/>
      <c r="F934" s="2973"/>
      <c r="G934" s="2976"/>
      <c r="H934" s="2966"/>
      <c r="I934" s="2966"/>
      <c r="J934" s="2976"/>
      <c r="K934" s="2976"/>
      <c r="L934" s="2961"/>
      <c r="M934" s="2976"/>
      <c r="N934" s="3086"/>
      <c r="O934" s="3086"/>
      <c r="P934" s="3086"/>
      <c r="Q934" s="2966"/>
      <c r="R934" s="2976"/>
      <c r="S934" s="2961"/>
      <c r="T934" s="2961"/>
      <c r="U934" s="2923"/>
      <c r="V934" s="2923"/>
      <c r="W934" s="2923"/>
      <c r="X934" s="2962"/>
      <c r="Y934" s="2961"/>
      <c r="Z934" s="3086"/>
      <c r="AA934" s="3086"/>
      <c r="AB934" s="3086"/>
      <c r="AC934" s="2976"/>
      <c r="AD934" s="2976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</row>
    <row r="935" spans="1:44" s="58" customFormat="1">
      <c r="A935" s="3086"/>
      <c r="B935" s="2966"/>
      <c r="C935" s="2976"/>
      <c r="D935" s="2976"/>
      <c r="E935" s="2976"/>
      <c r="F935" s="2973"/>
      <c r="G935" s="2976"/>
      <c r="H935" s="2966"/>
      <c r="I935" s="2966"/>
      <c r="J935" s="2976"/>
      <c r="K935" s="2976"/>
      <c r="L935" s="2961"/>
      <c r="M935" s="2976"/>
      <c r="N935" s="3086"/>
      <c r="O935" s="3086"/>
      <c r="P935" s="3086"/>
      <c r="Q935" s="2966"/>
      <c r="R935" s="2976"/>
      <c r="S935" s="2961"/>
      <c r="T935" s="2961"/>
      <c r="U935" s="2923"/>
      <c r="V935" s="2923"/>
      <c r="W935" s="2923"/>
      <c r="X935" s="2962"/>
      <c r="Y935" s="2971"/>
      <c r="Z935" s="3086"/>
      <c r="AA935" s="3086"/>
      <c r="AB935" s="3086"/>
      <c r="AC935" s="2976"/>
      <c r="AD935" s="2976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</row>
    <row r="936" spans="1:44" s="58" customFormat="1">
      <c r="A936" s="3086"/>
      <c r="B936" s="2966"/>
      <c r="C936" s="2976"/>
      <c r="D936" s="2976"/>
      <c r="E936" s="2976"/>
      <c r="F936" s="2973"/>
      <c r="G936" s="2976"/>
      <c r="H936" s="2966"/>
      <c r="I936" s="2966"/>
      <c r="J936" s="2976"/>
      <c r="K936" s="2976"/>
      <c r="L936" s="2961"/>
      <c r="M936" s="2976"/>
      <c r="N936" s="3086"/>
      <c r="O936" s="3086"/>
      <c r="P936" s="2976"/>
      <c r="Q936" s="2966"/>
      <c r="R936" s="2976"/>
      <c r="S936" s="2961"/>
      <c r="T936" s="2961"/>
      <c r="U936" s="2923"/>
      <c r="V936" s="2923"/>
      <c r="W936" s="2923"/>
      <c r="X936" s="2961"/>
      <c r="Y936" s="2961"/>
      <c r="Z936" s="2976"/>
      <c r="AA936" s="2976"/>
      <c r="AB936" s="2976"/>
      <c r="AC936" s="2976"/>
      <c r="AD936" s="2976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</row>
    <row r="937" spans="1:44" s="58" customFormat="1">
      <c r="A937" s="3086"/>
      <c r="B937" s="2966"/>
      <c r="C937" s="2976"/>
      <c r="D937" s="2976"/>
      <c r="E937" s="2976"/>
      <c r="F937" s="2973"/>
      <c r="G937" s="2976"/>
      <c r="H937" s="2966"/>
      <c r="I937" s="2966"/>
      <c r="J937" s="2976"/>
      <c r="K937" s="2976"/>
      <c r="L937" s="2961"/>
      <c r="M937" s="2976"/>
      <c r="N937" s="3086"/>
      <c r="O937" s="3086"/>
      <c r="P937" s="3086"/>
      <c r="Q937" s="2966"/>
      <c r="R937" s="2976"/>
      <c r="S937" s="2961"/>
      <c r="T937" s="2961"/>
      <c r="U937" s="2923"/>
      <c r="V937" s="2923"/>
      <c r="W937" s="2923"/>
      <c r="X937" s="2962"/>
      <c r="Y937" s="2971"/>
      <c r="Z937" s="3086"/>
      <c r="AA937" s="3086"/>
      <c r="AB937" s="3086"/>
      <c r="AC937" s="2976"/>
      <c r="AD937" s="2976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</row>
    <row r="938" spans="1:44" s="58" customFormat="1">
      <c r="A938" s="3086"/>
      <c r="B938" s="2966"/>
      <c r="C938" s="2976"/>
      <c r="D938" s="2976"/>
      <c r="E938" s="2976"/>
      <c r="F938" s="2973"/>
      <c r="G938" s="2976"/>
      <c r="H938" s="2966"/>
      <c r="I938" s="2966"/>
      <c r="J938" s="2976"/>
      <c r="K938" s="2976"/>
      <c r="L938" s="2961"/>
      <c r="M938" s="2976"/>
      <c r="N938" s="3086"/>
      <c r="O938" s="3086"/>
      <c r="P938" s="3086"/>
      <c r="Q938" s="2966"/>
      <c r="R938" s="2976"/>
      <c r="S938" s="2961"/>
      <c r="T938" s="2961"/>
      <c r="U938" s="2923"/>
      <c r="V938" s="2923"/>
      <c r="W938" s="2923"/>
      <c r="X938" s="2962"/>
      <c r="Y938" s="2961"/>
      <c r="Z938" s="3086"/>
      <c r="AA938" s="3086"/>
      <c r="AB938" s="3086"/>
      <c r="AC938" s="2976"/>
      <c r="AD938" s="2976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</row>
    <row r="939" spans="1:44" s="58" customFormat="1">
      <c r="A939" s="3086"/>
      <c r="B939" s="2966"/>
      <c r="C939" s="2976"/>
      <c r="D939" s="2976"/>
      <c r="E939" s="2976"/>
      <c r="F939" s="2973"/>
      <c r="G939" s="2976"/>
      <c r="H939" s="2966"/>
      <c r="I939" s="2966"/>
      <c r="J939" s="2976"/>
      <c r="K939" s="2976"/>
      <c r="L939" s="2961"/>
      <c r="M939" s="2976"/>
      <c r="N939" s="3086"/>
      <c r="O939" s="3086"/>
      <c r="P939" s="3086"/>
      <c r="Q939" s="2966"/>
      <c r="R939" s="2976"/>
      <c r="S939" s="2961"/>
      <c r="T939" s="2961"/>
      <c r="U939" s="2923"/>
      <c r="V939" s="2923"/>
      <c r="W939" s="2923"/>
      <c r="X939" s="2962"/>
      <c r="Y939" s="2961"/>
      <c r="Z939" s="3086"/>
      <c r="AA939" s="3086"/>
      <c r="AB939" s="3086"/>
      <c r="AC939" s="2976"/>
      <c r="AD939" s="2976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</row>
    <row r="940" spans="1:44" s="58" customFormat="1">
      <c r="A940" s="3086"/>
      <c r="B940" s="2966"/>
      <c r="C940" s="2976"/>
      <c r="D940" s="2976"/>
      <c r="E940" s="2976"/>
      <c r="F940" s="2973"/>
      <c r="G940" s="2976"/>
      <c r="H940" s="2966"/>
      <c r="I940" s="2966"/>
      <c r="J940" s="2976"/>
      <c r="K940" s="2976"/>
      <c r="L940" s="2961"/>
      <c r="M940" s="2976"/>
      <c r="N940" s="3086"/>
      <c r="O940" s="3086"/>
      <c r="P940" s="2976"/>
      <c r="Q940" s="2966"/>
      <c r="R940" s="2976"/>
      <c r="S940" s="2961"/>
      <c r="T940" s="2961"/>
      <c r="U940" s="2923"/>
      <c r="V940" s="2923"/>
      <c r="W940" s="2923"/>
      <c r="X940" s="2961"/>
      <c r="Y940" s="2961"/>
      <c r="Z940" s="2976"/>
      <c r="AA940" s="2976"/>
      <c r="AB940" s="2976"/>
      <c r="AC940" s="2976"/>
      <c r="AD940" s="2976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</row>
    <row r="941" spans="1:44" s="58" customFormat="1">
      <c r="A941" s="3086"/>
      <c r="B941" s="2966"/>
      <c r="C941" s="2976"/>
      <c r="D941" s="2976"/>
      <c r="E941" s="2976"/>
      <c r="F941" s="2973"/>
      <c r="G941" s="2976"/>
      <c r="H941" s="2966"/>
      <c r="I941" s="2966"/>
      <c r="J941" s="2976"/>
      <c r="K941" s="2976"/>
      <c r="L941" s="2961"/>
      <c r="M941" s="2976"/>
      <c r="N941" s="3086"/>
      <c r="O941" s="3086"/>
      <c r="P941" s="2976"/>
      <c r="Q941" s="2966"/>
      <c r="R941" s="2976"/>
      <c r="S941" s="2961"/>
      <c r="T941" s="2961"/>
      <c r="U941" s="2923"/>
      <c r="V941" s="2923"/>
      <c r="W941" s="2923"/>
      <c r="X941" s="2961"/>
      <c r="Y941" s="2961"/>
      <c r="Z941" s="2976"/>
      <c r="AA941" s="2976"/>
      <c r="AB941" s="2976"/>
      <c r="AC941" s="2976"/>
      <c r="AD941" s="2976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</row>
    <row r="942" spans="1:44" s="58" customFormat="1">
      <c r="A942" s="3086"/>
      <c r="B942" s="2966"/>
      <c r="C942" s="2976"/>
      <c r="D942" s="2976"/>
      <c r="E942" s="2976"/>
      <c r="F942" s="2973"/>
      <c r="G942" s="2976"/>
      <c r="H942" s="2966"/>
      <c r="I942" s="2966"/>
      <c r="J942" s="2976"/>
      <c r="K942" s="2976"/>
      <c r="L942" s="2961"/>
      <c r="M942" s="2976"/>
      <c r="N942" s="3086"/>
      <c r="O942" s="3086"/>
      <c r="P942" s="2976"/>
      <c r="Q942" s="2966"/>
      <c r="R942" s="2976"/>
      <c r="S942" s="2961"/>
      <c r="T942" s="2961"/>
      <c r="U942" s="2923"/>
      <c r="V942" s="2923"/>
      <c r="W942" s="2923"/>
      <c r="X942" s="2961"/>
      <c r="Y942" s="2961"/>
      <c r="Z942" s="2976"/>
      <c r="AA942" s="2976"/>
      <c r="AB942" s="2976"/>
      <c r="AC942" s="2976"/>
      <c r="AD942" s="2976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</row>
    <row r="943" spans="1:44" s="58" customFormat="1">
      <c r="A943" s="3086"/>
      <c r="B943" s="2966"/>
      <c r="C943" s="2976"/>
      <c r="D943" s="2976"/>
      <c r="E943" s="2976"/>
      <c r="F943" s="2973"/>
      <c r="G943" s="2976"/>
      <c r="H943" s="2966"/>
      <c r="I943" s="2966"/>
      <c r="J943" s="2976"/>
      <c r="K943" s="2976"/>
      <c r="L943" s="2961"/>
      <c r="M943" s="2976"/>
      <c r="N943" s="3086"/>
      <c r="O943" s="3086"/>
      <c r="P943" s="2976"/>
      <c r="Q943" s="2966"/>
      <c r="R943" s="2976"/>
      <c r="S943" s="2961"/>
      <c r="T943" s="2961"/>
      <c r="U943" s="2923"/>
      <c r="V943" s="2923"/>
      <c r="W943" s="2923"/>
      <c r="X943" s="2961"/>
      <c r="Y943" s="2961"/>
      <c r="Z943" s="2976"/>
      <c r="AA943" s="2976"/>
      <c r="AB943" s="2976"/>
      <c r="AC943" s="2976"/>
      <c r="AD943" s="2976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</row>
    <row r="944" spans="1:44" s="58" customFormat="1">
      <c r="A944" s="3086"/>
      <c r="B944" s="2966"/>
      <c r="C944" s="2976"/>
      <c r="D944" s="2976"/>
      <c r="E944" s="2976"/>
      <c r="F944" s="2973"/>
      <c r="G944" s="2976"/>
      <c r="H944" s="2966"/>
      <c r="I944" s="2966"/>
      <c r="J944" s="2976"/>
      <c r="K944" s="2976"/>
      <c r="L944" s="2961"/>
      <c r="M944" s="2976"/>
      <c r="N944" s="3086"/>
      <c r="O944" s="3086"/>
      <c r="P944" s="2976"/>
      <c r="Q944" s="2966"/>
      <c r="R944" s="2976"/>
      <c r="S944" s="2961"/>
      <c r="T944" s="2961"/>
      <c r="U944" s="2923"/>
      <c r="V944" s="2923"/>
      <c r="W944" s="2923"/>
      <c r="X944" s="2961"/>
      <c r="Y944" s="2961"/>
      <c r="Z944" s="2976"/>
      <c r="AA944" s="2976"/>
      <c r="AB944" s="2976"/>
      <c r="AC944" s="2976"/>
      <c r="AD944" s="2976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</row>
    <row r="945" spans="1:44" s="58" customFormat="1">
      <c r="A945" s="3086"/>
      <c r="B945" s="2966"/>
      <c r="C945" s="2976"/>
      <c r="D945" s="2976"/>
      <c r="E945" s="2976"/>
      <c r="F945" s="2973"/>
      <c r="G945" s="2976"/>
      <c r="H945" s="2966"/>
      <c r="I945" s="2966"/>
      <c r="J945" s="2976"/>
      <c r="K945" s="2976"/>
      <c r="L945" s="2961"/>
      <c r="M945" s="2976"/>
      <c r="N945" s="3086"/>
      <c r="O945" s="3086"/>
      <c r="P945" s="2976"/>
      <c r="Q945" s="2972"/>
      <c r="R945" s="2976"/>
      <c r="S945" s="2961"/>
      <c r="T945" s="2961"/>
      <c r="U945" s="2923"/>
      <c r="V945" s="2923"/>
      <c r="W945" s="2923"/>
      <c r="X945" s="2961"/>
      <c r="Y945" s="2961"/>
      <c r="Z945" s="2976"/>
      <c r="AA945" s="2976"/>
      <c r="AB945" s="2966"/>
      <c r="AC945" s="2976"/>
      <c r="AD945" s="2976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</row>
    <row r="946" spans="1:44" s="58" customFormat="1">
      <c r="A946" s="3086"/>
      <c r="B946" s="2966"/>
      <c r="C946" s="2976"/>
      <c r="D946" s="2976"/>
      <c r="E946" s="2976"/>
      <c r="F946" s="2973"/>
      <c r="G946" s="2976"/>
      <c r="H946" s="2966"/>
      <c r="I946" s="2966"/>
      <c r="J946" s="2976"/>
      <c r="K946" s="2976"/>
      <c r="L946" s="2961"/>
      <c r="M946" s="3086"/>
      <c r="N946" s="3086"/>
      <c r="O946" s="3086"/>
      <c r="P946" s="3086"/>
      <c r="Q946" s="2966"/>
      <c r="R946" s="2976"/>
      <c r="S946" s="2961"/>
      <c r="T946" s="2961"/>
      <c r="U946" s="2923"/>
      <c r="V946" s="2923"/>
      <c r="W946" s="2923"/>
      <c r="X946" s="2962"/>
      <c r="Y946" s="2961"/>
      <c r="Z946" s="3086"/>
      <c r="AA946" s="2976"/>
      <c r="AB946" s="3086"/>
      <c r="AC946" s="2976"/>
      <c r="AD946" s="2976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</row>
    <row r="947" spans="1:44" s="58" customFormat="1">
      <c r="A947" s="3086"/>
      <c r="B947" s="2966"/>
      <c r="C947" s="2976"/>
      <c r="D947" s="2976"/>
      <c r="E947" s="2976"/>
      <c r="F947" s="2973"/>
      <c r="G947" s="2976"/>
      <c r="H947" s="2966"/>
      <c r="I947" s="2966"/>
      <c r="J947" s="2976"/>
      <c r="K947" s="2976"/>
      <c r="L947" s="2961"/>
      <c r="M947" s="2976"/>
      <c r="N947" s="3086"/>
      <c r="O947" s="3086"/>
      <c r="P947" s="3086"/>
      <c r="Q947" s="2966"/>
      <c r="R947" s="2976"/>
      <c r="S947" s="2961"/>
      <c r="T947" s="2961"/>
      <c r="U947" s="2923"/>
      <c r="V947" s="2923"/>
      <c r="W947" s="2923"/>
      <c r="X947" s="2962"/>
      <c r="Y947" s="2961"/>
      <c r="Z947" s="2976"/>
      <c r="AA947" s="2976"/>
      <c r="AB947" s="2976"/>
      <c r="AC947" s="2976"/>
      <c r="AD947" s="2976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</row>
    <row r="948" spans="1:44" s="58" customFormat="1">
      <c r="A948" s="3086"/>
      <c r="B948" s="2966"/>
      <c r="C948" s="2976"/>
      <c r="D948" s="2976"/>
      <c r="E948" s="2976"/>
      <c r="F948" s="2973"/>
      <c r="G948" s="2976"/>
      <c r="H948" s="2966"/>
      <c r="I948" s="2966"/>
      <c r="J948" s="2976"/>
      <c r="K948" s="2976"/>
      <c r="L948" s="2961"/>
      <c r="M948" s="2976"/>
      <c r="N948" s="3086"/>
      <c r="O948" s="3086"/>
      <c r="P948" s="2976"/>
      <c r="Q948" s="2972"/>
      <c r="R948" s="2739"/>
      <c r="S948" s="2961"/>
      <c r="T948" s="2961"/>
      <c r="U948" s="2923"/>
      <c r="V948" s="2923"/>
      <c r="W948" s="2923"/>
      <c r="X948" s="2961"/>
      <c r="Y948" s="2961"/>
      <c r="Z948" s="2976"/>
      <c r="AA948" s="3086"/>
      <c r="AB948" s="2966"/>
      <c r="AC948" s="2976"/>
      <c r="AD948" s="2976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</row>
    <row r="949" spans="1:44" s="58" customFormat="1">
      <c r="A949" s="3086"/>
      <c r="B949" s="2966"/>
      <c r="C949" s="2976"/>
      <c r="D949" s="2976"/>
      <c r="E949" s="2976"/>
      <c r="F949" s="2973"/>
      <c r="G949" s="2976"/>
      <c r="H949" s="2966"/>
      <c r="I949" s="2966"/>
      <c r="J949" s="2976"/>
      <c r="K949" s="2976"/>
      <c r="L949" s="2961"/>
      <c r="M949" s="2976"/>
      <c r="N949" s="3086"/>
      <c r="O949" s="3086"/>
      <c r="P949" s="3086"/>
      <c r="Q949" s="2966"/>
      <c r="R949" s="2976"/>
      <c r="S949" s="2961"/>
      <c r="T949" s="2961"/>
      <c r="U949" s="2923"/>
      <c r="V949" s="2923"/>
      <c r="W949" s="2923"/>
      <c r="X949" s="2962"/>
      <c r="Y949" s="2961"/>
      <c r="Z949" s="3086"/>
      <c r="AA949" s="3086"/>
      <c r="AB949" s="2976"/>
      <c r="AC949" s="2976"/>
      <c r="AD949" s="2976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</row>
    <row r="950" spans="1:44">
      <c r="A950" s="3086"/>
      <c r="B950" s="2966"/>
      <c r="C950" s="2976"/>
      <c r="D950" s="2976"/>
      <c r="E950" s="2976"/>
      <c r="F950" s="2973"/>
      <c r="G950" s="2976"/>
      <c r="H950" s="2966"/>
      <c r="I950" s="2966"/>
      <c r="J950" s="2976"/>
      <c r="K950" s="2976"/>
      <c r="L950" s="2961"/>
      <c r="M950" s="2976"/>
      <c r="N950" s="3086"/>
      <c r="O950" s="3086"/>
      <c r="P950" s="3086"/>
      <c r="Q950" s="2966"/>
      <c r="R950" s="2976"/>
      <c r="S950" s="2961"/>
      <c r="T950" s="2961"/>
      <c r="U950" s="2923"/>
      <c r="V950" s="2923"/>
      <c r="W950" s="2923"/>
      <c r="X950" s="2962"/>
      <c r="Y950" s="2961"/>
      <c r="Z950" s="3086"/>
      <c r="AA950" s="3086"/>
      <c r="AB950" s="3086"/>
      <c r="AC950" s="2976"/>
      <c r="AD950" s="2976"/>
    </row>
    <row r="951" spans="1:44">
      <c r="A951" s="3086"/>
      <c r="B951" s="2966"/>
      <c r="C951" s="2976"/>
      <c r="D951" s="2976"/>
      <c r="E951" s="2976"/>
      <c r="F951" s="2973"/>
      <c r="G951" s="2976"/>
      <c r="H951" s="2966"/>
      <c r="I951" s="2966"/>
      <c r="J951" s="2976"/>
      <c r="K951" s="2976"/>
      <c r="L951" s="2961"/>
      <c r="M951" s="2976"/>
      <c r="N951" s="3086"/>
      <c r="O951" s="3086"/>
      <c r="P951" s="3086"/>
      <c r="Q951" s="2966"/>
      <c r="R951" s="2976"/>
      <c r="S951" s="2961"/>
      <c r="T951" s="2961"/>
      <c r="U951" s="2923"/>
      <c r="V951" s="2923"/>
      <c r="W951" s="2923"/>
      <c r="X951" s="2962"/>
      <c r="Y951" s="2961"/>
      <c r="Z951" s="3086"/>
      <c r="AA951" s="3086"/>
      <c r="AB951" s="3086"/>
      <c r="AC951" s="2976"/>
      <c r="AD951" s="2976"/>
    </row>
    <row r="952" spans="1:44">
      <c r="A952" s="3086"/>
      <c r="B952" s="2966"/>
      <c r="C952" s="2976"/>
      <c r="D952" s="2976"/>
      <c r="E952" s="2976"/>
      <c r="F952" s="2973"/>
      <c r="G952" s="2976"/>
      <c r="H952" s="2966"/>
      <c r="I952" s="2966"/>
      <c r="J952" s="2976"/>
      <c r="K952" s="2976"/>
      <c r="L952" s="2961"/>
      <c r="M952" s="2976"/>
      <c r="N952" s="3086"/>
      <c r="O952" s="3086"/>
      <c r="P952" s="3086"/>
      <c r="Q952" s="2966"/>
      <c r="R952" s="2976"/>
      <c r="S952" s="2961"/>
      <c r="T952" s="2961"/>
      <c r="U952" s="2923"/>
      <c r="V952" s="2923"/>
      <c r="W952" s="2923"/>
      <c r="X952" s="2962"/>
      <c r="Y952" s="2971"/>
      <c r="Z952" s="3086"/>
      <c r="AA952" s="3086"/>
      <c r="AB952" s="2976"/>
      <c r="AC952" s="2976"/>
      <c r="AD952" s="2976"/>
    </row>
    <row r="953" spans="1:44">
      <c r="A953" s="3086"/>
      <c r="B953" s="2966"/>
      <c r="C953" s="2976"/>
      <c r="D953" s="2976"/>
      <c r="E953" s="2976"/>
      <c r="F953" s="2973"/>
      <c r="G953" s="2976"/>
      <c r="H953" s="2966"/>
      <c r="I953" s="2966"/>
      <c r="J953" s="2976"/>
      <c r="K953" s="2976"/>
      <c r="L953" s="2961"/>
      <c r="M953" s="2976"/>
      <c r="N953" s="3086"/>
      <c r="O953" s="3086"/>
      <c r="P953" s="2976"/>
      <c r="Q953" s="2972"/>
      <c r="R953" s="2739"/>
      <c r="S953" s="2961"/>
      <c r="T953" s="2961"/>
      <c r="U953" s="2923"/>
      <c r="V953" s="2923"/>
      <c r="W953" s="2923"/>
      <c r="X953" s="2961"/>
      <c r="Y953" s="2961"/>
      <c r="Z953" s="2976"/>
      <c r="AA953" s="3086"/>
      <c r="AB953" s="2976"/>
      <c r="AC953" s="2976"/>
      <c r="AD953" s="2976"/>
    </row>
    <row r="954" spans="1:44">
      <c r="A954" s="3086"/>
      <c r="B954" s="2966"/>
      <c r="C954" s="2976"/>
      <c r="D954" s="2976"/>
      <c r="E954" s="2976"/>
      <c r="F954" s="2973"/>
      <c r="G954" s="2976"/>
      <c r="H954" s="2966"/>
      <c r="I954" s="2966"/>
      <c r="J954" s="2976"/>
      <c r="K954" s="2976"/>
      <c r="L954" s="2961"/>
      <c r="M954" s="2976"/>
      <c r="N954" s="3086"/>
      <c r="O954" s="3086"/>
      <c r="P954" s="2976"/>
      <c r="Q954" s="2972"/>
      <c r="R954" s="2739"/>
      <c r="S954" s="2961"/>
      <c r="T954" s="2961"/>
      <c r="U954" s="2923"/>
      <c r="V954" s="2923"/>
      <c r="W954" s="2923"/>
      <c r="X954" s="2961"/>
      <c r="Y954" s="2961"/>
      <c r="Z954" s="2976"/>
      <c r="AA954" s="3086"/>
      <c r="AB954" s="2976"/>
      <c r="AC954" s="2976"/>
      <c r="AD954" s="2976"/>
    </row>
    <row r="955" spans="1:44">
      <c r="A955" s="3086"/>
      <c r="B955" s="2966"/>
      <c r="C955" s="2976"/>
      <c r="D955" s="2976"/>
      <c r="E955" s="2976"/>
      <c r="F955" s="2973"/>
      <c r="G955" s="2976"/>
      <c r="H955" s="2966"/>
      <c r="I955" s="2966"/>
      <c r="J955" s="2976"/>
      <c r="K955" s="2976"/>
      <c r="L955" s="2961"/>
      <c r="M955" s="2976"/>
      <c r="N955" s="3086"/>
      <c r="O955" s="3086"/>
      <c r="P955" s="2976"/>
      <c r="Q955" s="2972"/>
      <c r="R955" s="2739"/>
      <c r="S955" s="2961"/>
      <c r="T955" s="2961"/>
      <c r="U955" s="2923"/>
      <c r="V955" s="2923"/>
      <c r="W955" s="2923"/>
      <c r="X955" s="2961"/>
      <c r="Y955" s="2961"/>
      <c r="Z955" s="2976"/>
      <c r="AA955" s="3086"/>
      <c r="AB955" s="2976"/>
      <c r="AC955" s="2976"/>
      <c r="AD955" s="2976"/>
    </row>
    <row r="956" spans="1:44">
      <c r="A956" s="2963"/>
      <c r="B956" s="2966"/>
      <c r="C956" s="2976"/>
      <c r="D956" s="2976"/>
      <c r="E956" s="2976"/>
      <c r="F956" s="2973"/>
      <c r="G956" s="2976"/>
      <c r="H956" s="2966"/>
      <c r="I956" s="2966"/>
      <c r="J956" s="2976"/>
      <c r="K956" s="2976"/>
      <c r="L956" s="2961"/>
      <c r="M956" s="2976"/>
      <c r="N956" s="3086"/>
      <c r="O956" s="3086"/>
      <c r="P956" s="3086"/>
      <c r="Q956" s="2966"/>
      <c r="R956" s="2976"/>
      <c r="S956" s="2961"/>
      <c r="T956" s="2961"/>
      <c r="U956" s="2923"/>
      <c r="V956" s="2923"/>
      <c r="W956" s="2923"/>
      <c r="X956" s="2962"/>
      <c r="Y956" s="2961"/>
      <c r="Z956" s="3086"/>
      <c r="AA956" s="3086"/>
      <c r="AB956" s="2976"/>
      <c r="AC956" s="2976"/>
      <c r="AD956" s="2976"/>
    </row>
    <row r="957" spans="1:44">
      <c r="A957" s="3086"/>
      <c r="B957" s="2966"/>
      <c r="C957" s="2976"/>
      <c r="D957" s="2976"/>
      <c r="E957" s="2976"/>
      <c r="F957" s="2973"/>
      <c r="G957" s="2976"/>
      <c r="H957" s="2966"/>
      <c r="I957" s="2966"/>
      <c r="J957" s="2976"/>
      <c r="K957" s="2976"/>
      <c r="L957" s="2961"/>
      <c r="M957" s="2976"/>
      <c r="N957" s="3086"/>
      <c r="O957" s="3086"/>
      <c r="P957" s="3086"/>
      <c r="Q957" s="2966"/>
      <c r="R957" s="2976"/>
      <c r="S957" s="2961"/>
      <c r="T957" s="2961"/>
      <c r="U957" s="2923"/>
      <c r="V957" s="2923"/>
      <c r="W957" s="2923"/>
      <c r="X957" s="2962"/>
      <c r="Y957" s="2961"/>
      <c r="Z957" s="3086"/>
      <c r="AA957" s="3086"/>
      <c r="AB957" s="3086"/>
      <c r="AC957" s="2976"/>
      <c r="AD957" s="2976"/>
    </row>
    <row r="958" spans="1:44">
      <c r="A958" s="3086"/>
      <c r="B958" s="2966"/>
      <c r="C958" s="2976"/>
      <c r="D958" s="2976"/>
      <c r="E958" s="2976"/>
      <c r="F958" s="2973"/>
      <c r="G958" s="2976"/>
      <c r="H958" s="2966"/>
      <c r="I958" s="2966"/>
      <c r="J958" s="2976"/>
      <c r="K958" s="2976"/>
      <c r="L958" s="2961"/>
      <c r="M958" s="2976"/>
      <c r="N958" s="3086"/>
      <c r="O958" s="3086"/>
      <c r="P958" s="3086"/>
      <c r="Q958" s="2966"/>
      <c r="R958" s="2976"/>
      <c r="S958" s="2961"/>
      <c r="T958" s="2961"/>
      <c r="U958" s="2923"/>
      <c r="V958" s="2923"/>
      <c r="W958" s="2923"/>
      <c r="X958" s="2962"/>
      <c r="Y958" s="2961"/>
      <c r="Z958" s="3086"/>
      <c r="AA958" s="3086"/>
      <c r="AB958" s="3086"/>
      <c r="AC958" s="2976"/>
      <c r="AD958" s="2976"/>
    </row>
    <row r="959" spans="1:44">
      <c r="A959" s="3086"/>
      <c r="B959" s="2966"/>
      <c r="C959" s="2976"/>
      <c r="D959" s="2976"/>
      <c r="E959" s="2976"/>
      <c r="F959" s="2973"/>
      <c r="G959" s="2976"/>
      <c r="H959" s="2966"/>
      <c r="I959" s="2966"/>
      <c r="J959" s="2976"/>
      <c r="K959" s="2976"/>
      <c r="L959" s="2961"/>
      <c r="M959" s="2976"/>
      <c r="N959" s="3086"/>
      <c r="O959" s="3086"/>
      <c r="P959" s="3086"/>
      <c r="Q959" s="2966"/>
      <c r="R959" s="2976"/>
      <c r="S959" s="2961"/>
      <c r="T959" s="2961"/>
      <c r="U959" s="2923"/>
      <c r="V959" s="2923"/>
      <c r="W959" s="2923"/>
      <c r="X959" s="2962"/>
      <c r="Y959" s="2961"/>
      <c r="Z959" s="3086"/>
      <c r="AA959" s="3086"/>
      <c r="AB959" s="3086"/>
      <c r="AC959" s="2976"/>
      <c r="AD959" s="2976"/>
    </row>
    <row r="960" spans="1:44">
      <c r="A960" s="3086"/>
      <c r="B960" s="2966"/>
      <c r="C960" s="2976"/>
      <c r="D960" s="2976"/>
      <c r="E960" s="2976"/>
      <c r="F960" s="2973"/>
      <c r="G960" s="2976"/>
      <c r="H960" s="2966"/>
      <c r="I960" s="2966"/>
      <c r="J960" s="2976"/>
      <c r="K960" s="2976"/>
      <c r="L960" s="2961"/>
      <c r="M960" s="2976"/>
      <c r="N960" s="3086"/>
      <c r="O960" s="3086"/>
      <c r="P960" s="3086"/>
      <c r="Q960" s="2966"/>
      <c r="R960" s="2976"/>
      <c r="S960" s="2961"/>
      <c r="T960" s="2961"/>
      <c r="U960" s="2923"/>
      <c r="V960" s="2923"/>
      <c r="W960" s="2923"/>
      <c r="X960" s="2962"/>
      <c r="Y960" s="2961"/>
      <c r="Z960" s="3086"/>
      <c r="AA960" s="3086"/>
      <c r="AB960" s="3086"/>
      <c r="AC960" s="2976"/>
      <c r="AD960" s="2976"/>
    </row>
    <row r="961" spans="1:30">
      <c r="A961" s="3086"/>
      <c r="B961" s="2966"/>
      <c r="C961" s="2976"/>
      <c r="D961" s="2976"/>
      <c r="E961" s="2976"/>
      <c r="F961" s="2973"/>
      <c r="G961" s="2976"/>
      <c r="H961" s="2966"/>
      <c r="I961" s="2966"/>
      <c r="J961" s="2976"/>
      <c r="K961" s="2976"/>
      <c r="L961" s="2961"/>
      <c r="M961" s="2976"/>
      <c r="N961" s="3086"/>
      <c r="O961" s="3086"/>
      <c r="P961" s="3086"/>
      <c r="Q961" s="2966"/>
      <c r="R961" s="2976"/>
      <c r="S961" s="2961"/>
      <c r="T961" s="2961"/>
      <c r="U961" s="2923"/>
      <c r="V961" s="2923"/>
      <c r="W961" s="2923"/>
      <c r="X961" s="2962"/>
      <c r="Y961" s="2961"/>
      <c r="Z961" s="3086"/>
      <c r="AA961" s="3086"/>
      <c r="AB961" s="3086"/>
      <c r="AC961" s="2976"/>
      <c r="AD961" s="2976"/>
    </row>
    <row r="962" spans="1:30">
      <c r="A962" s="3086"/>
      <c r="B962" s="2966"/>
      <c r="C962" s="2976"/>
      <c r="D962" s="2976"/>
      <c r="E962" s="2976"/>
      <c r="F962" s="2973"/>
      <c r="G962" s="2976"/>
      <c r="H962" s="2966"/>
      <c r="I962" s="2966"/>
      <c r="J962" s="2976"/>
      <c r="K962" s="2976"/>
      <c r="L962" s="2961"/>
      <c r="M962" s="2976"/>
      <c r="N962" s="3086"/>
      <c r="O962" s="3086"/>
      <c r="P962" s="2976"/>
      <c r="Q962" s="2972"/>
      <c r="R962" s="2976"/>
      <c r="S962" s="2961"/>
      <c r="T962" s="2961"/>
      <c r="U962" s="2923"/>
      <c r="V962" s="2923"/>
      <c r="W962" s="2923"/>
      <c r="X962" s="2961"/>
      <c r="Y962" s="2961"/>
      <c r="Z962" s="2976"/>
      <c r="AA962" s="3086"/>
      <c r="AB962" s="2976"/>
      <c r="AC962" s="2976"/>
      <c r="AD962" s="2976"/>
    </row>
    <row r="963" spans="1:30">
      <c r="A963" s="3086"/>
      <c r="B963" s="2966"/>
      <c r="C963" s="2976"/>
      <c r="D963" s="2976"/>
      <c r="E963" s="2976"/>
      <c r="F963" s="2973"/>
      <c r="G963" s="2976"/>
      <c r="H963" s="2966"/>
      <c r="I963" s="2966"/>
      <c r="J963" s="2976"/>
      <c r="K963" s="2976"/>
      <c r="L963" s="2961"/>
      <c r="M963" s="2976"/>
      <c r="N963" s="3086"/>
      <c r="O963" s="3086"/>
      <c r="P963" s="3086"/>
      <c r="Q963" s="2966"/>
      <c r="R963" s="2976"/>
      <c r="S963" s="2961"/>
      <c r="T963" s="2961"/>
      <c r="U963" s="2923"/>
      <c r="V963" s="2923"/>
      <c r="W963" s="2923"/>
      <c r="X963" s="2962"/>
      <c r="Y963" s="2961"/>
      <c r="Z963" s="3086"/>
      <c r="AA963" s="3086"/>
      <c r="AB963" s="3086"/>
      <c r="AC963" s="2976"/>
      <c r="AD963" s="2976"/>
    </row>
    <row r="964" spans="1:30">
      <c r="A964" s="3086"/>
      <c r="B964" s="2966"/>
      <c r="C964" s="2976"/>
      <c r="D964" s="2976"/>
      <c r="E964" s="2976"/>
      <c r="F964" s="2973"/>
      <c r="G964" s="2976"/>
      <c r="H964" s="2966"/>
      <c r="I964" s="2966"/>
      <c r="J964" s="2976"/>
      <c r="K964" s="2976"/>
      <c r="L964" s="2961"/>
      <c r="M964" s="2976"/>
      <c r="N964" s="3086"/>
      <c r="O964" s="3086"/>
      <c r="P964" s="3086"/>
      <c r="Q964" s="2966"/>
      <c r="R964" s="2976"/>
      <c r="S964" s="2961"/>
      <c r="T964" s="2961"/>
      <c r="U964" s="2923"/>
      <c r="V964" s="2923"/>
      <c r="W964" s="2923"/>
      <c r="X964" s="2962"/>
      <c r="Y964" s="2961"/>
      <c r="Z964" s="3086"/>
      <c r="AA964" s="3086"/>
      <c r="AB964" s="3086"/>
      <c r="AC964" s="2976"/>
      <c r="AD964" s="2976"/>
    </row>
    <row r="965" spans="1:30">
      <c r="A965" s="3086"/>
      <c r="B965" s="2966"/>
      <c r="C965" s="2976"/>
      <c r="D965" s="2976"/>
      <c r="E965" s="2976"/>
      <c r="F965" s="2973"/>
      <c r="G965" s="2976"/>
      <c r="H965" s="2966"/>
      <c r="I965" s="2966"/>
      <c r="J965" s="2976"/>
      <c r="K965" s="2976"/>
      <c r="L965" s="2961"/>
      <c r="M965" s="2976"/>
      <c r="N965" s="3086"/>
      <c r="O965" s="3086"/>
      <c r="P965" s="2976"/>
      <c r="Q965" s="2972"/>
      <c r="R965" s="2739"/>
      <c r="S965" s="2961"/>
      <c r="T965" s="2961"/>
      <c r="U965" s="2923"/>
      <c r="V965" s="2923"/>
      <c r="W965" s="2923"/>
      <c r="X965" s="2961"/>
      <c r="Y965" s="2961"/>
      <c r="Z965" s="2976"/>
      <c r="AA965" s="3086"/>
      <c r="AB965" s="2976"/>
      <c r="AC965" s="2976"/>
      <c r="AD965" s="2976"/>
    </row>
    <row r="966" spans="1:30">
      <c r="A966" s="3086"/>
      <c r="B966" s="2966"/>
      <c r="C966" s="2976"/>
      <c r="D966" s="2976"/>
      <c r="E966" s="2976"/>
      <c r="F966" s="2973"/>
      <c r="G966" s="2976"/>
      <c r="H966" s="2966"/>
      <c r="I966" s="2966"/>
      <c r="J966" s="2976"/>
      <c r="K966" s="2976"/>
      <c r="L966" s="2961"/>
      <c r="M966" s="2976"/>
      <c r="N966" s="3086"/>
      <c r="O966" s="3086"/>
      <c r="P966" s="3086"/>
      <c r="Q966" s="2966"/>
      <c r="R966" s="2976"/>
      <c r="S966" s="2961"/>
      <c r="T966" s="2961"/>
      <c r="U966" s="2923"/>
      <c r="V966" s="2923"/>
      <c r="W966" s="2923"/>
      <c r="X966" s="2962"/>
      <c r="Y966" s="2971"/>
      <c r="Z966" s="3086"/>
      <c r="AA966" s="3086"/>
      <c r="AB966" s="2976"/>
      <c r="AC966" s="2976"/>
      <c r="AD966" s="2976"/>
    </row>
    <row r="967" spans="1:30">
      <c r="A967" s="3086"/>
      <c r="B967" s="2966"/>
      <c r="C967" s="2976"/>
      <c r="D967" s="2976"/>
      <c r="E967" s="2976"/>
      <c r="F967" s="2973"/>
      <c r="G967" s="2976"/>
      <c r="H967" s="2966"/>
      <c r="I967" s="2966"/>
      <c r="J967" s="2976"/>
      <c r="K967" s="2976"/>
      <c r="L967" s="2961"/>
      <c r="M967" s="2976"/>
      <c r="N967" s="3086"/>
      <c r="O967" s="3086"/>
      <c r="P967" s="3086"/>
      <c r="Q967" s="2966"/>
      <c r="R967" s="2976"/>
      <c r="S967" s="2961"/>
      <c r="T967" s="2961"/>
      <c r="U967" s="2923"/>
      <c r="V967" s="2923"/>
      <c r="W967" s="2923"/>
      <c r="X967" s="2962"/>
      <c r="Y967" s="2971"/>
      <c r="Z967" s="3086"/>
      <c r="AA967" s="3086"/>
      <c r="AB967" s="2976"/>
      <c r="AC967" s="2976"/>
      <c r="AD967" s="2976"/>
    </row>
    <row r="968" spans="1:30">
      <c r="A968" s="3086"/>
      <c r="B968" s="2966"/>
      <c r="C968" s="2976"/>
      <c r="D968" s="2976"/>
      <c r="E968" s="2976"/>
      <c r="F968" s="2973"/>
      <c r="G968" s="2976"/>
      <c r="H968" s="2966"/>
      <c r="I968" s="2966"/>
      <c r="J968" s="2976"/>
      <c r="K968" s="2976"/>
      <c r="L968" s="2961"/>
      <c r="M968" s="2976"/>
      <c r="N968" s="3086"/>
      <c r="O968" s="3086"/>
      <c r="P968" s="2976"/>
      <c r="Q968" s="2972"/>
      <c r="R968" s="2739"/>
      <c r="S968" s="2961"/>
      <c r="T968" s="2961"/>
      <c r="U968" s="2923"/>
      <c r="V968" s="2923"/>
      <c r="W968" s="2923"/>
      <c r="X968" s="2961"/>
      <c r="Y968" s="2961"/>
      <c r="Z968" s="2976"/>
      <c r="AA968" s="3086"/>
      <c r="AB968" s="2976"/>
      <c r="AC968" s="2976"/>
      <c r="AD968" s="2976"/>
    </row>
    <row r="969" spans="1:30">
      <c r="A969" s="3086"/>
      <c r="B969" s="2966"/>
      <c r="C969" s="2976"/>
      <c r="D969" s="2976"/>
      <c r="E969" s="2976"/>
      <c r="F969" s="2973"/>
      <c r="G969" s="2976"/>
      <c r="H969" s="2966"/>
      <c r="I969" s="2966"/>
      <c r="J969" s="2976"/>
      <c r="K969" s="2976"/>
      <c r="L969" s="2961"/>
      <c r="M969" s="2976"/>
      <c r="N969" s="3086"/>
      <c r="O969" s="3086"/>
      <c r="P969" s="2976"/>
      <c r="Q969" s="2966"/>
      <c r="R969" s="2976"/>
      <c r="S969" s="2961"/>
      <c r="T969" s="2961"/>
      <c r="U969" s="2923"/>
      <c r="V969" s="2923"/>
      <c r="W969" s="2923"/>
      <c r="X969" s="2961"/>
      <c r="Y969" s="2961"/>
      <c r="Z969" s="2976"/>
      <c r="AA969" s="2976"/>
      <c r="AB969" s="2976"/>
      <c r="AC969" s="2976"/>
      <c r="AD969" s="2976"/>
    </row>
    <row r="970" spans="1:30">
      <c r="A970" s="3086"/>
      <c r="B970" s="2966"/>
      <c r="C970" s="2976"/>
      <c r="D970" s="2976"/>
      <c r="E970" s="2976"/>
      <c r="F970" s="2973"/>
      <c r="G970" s="2976"/>
      <c r="H970" s="2966"/>
      <c r="I970" s="2966"/>
      <c r="J970" s="2976"/>
      <c r="K970" s="2976"/>
      <c r="L970" s="2961"/>
      <c r="M970" s="2976"/>
      <c r="N970" s="3086"/>
      <c r="O970" s="3086"/>
      <c r="P970" s="3086"/>
      <c r="Q970" s="2966"/>
      <c r="R970" s="2976"/>
      <c r="S970" s="2961"/>
      <c r="T970" s="2961"/>
      <c r="U970" s="2923"/>
      <c r="V970" s="2923"/>
      <c r="W970" s="2923"/>
      <c r="X970" s="2962"/>
      <c r="Y970" s="2961"/>
      <c r="Z970" s="3086"/>
      <c r="AA970" s="3086"/>
      <c r="AB970" s="3086"/>
      <c r="AC970" s="2976"/>
      <c r="AD970" s="2976"/>
    </row>
    <row r="971" spans="1:30">
      <c r="A971" s="3086"/>
      <c r="B971" s="2966"/>
      <c r="C971" s="2976"/>
      <c r="D971" s="2976"/>
      <c r="E971" s="2976"/>
      <c r="F971" s="2973"/>
      <c r="G971" s="2976"/>
      <c r="H971" s="2966"/>
      <c r="I971" s="2966"/>
      <c r="J971" s="2976"/>
      <c r="K971" s="2976"/>
      <c r="L971" s="2961"/>
      <c r="M971" s="2976"/>
      <c r="N971" s="3086"/>
      <c r="O971" s="3086"/>
      <c r="P971" s="3086"/>
      <c r="Q971" s="2966"/>
      <c r="R971" s="2976"/>
      <c r="S971" s="2961"/>
      <c r="T971" s="2961"/>
      <c r="U971" s="2923"/>
      <c r="V971" s="2923"/>
      <c r="W971" s="2923"/>
      <c r="X971" s="2962"/>
      <c r="Y971" s="2971"/>
      <c r="Z971" s="3086"/>
      <c r="AA971" s="3086"/>
      <c r="AB971" s="2976"/>
      <c r="AC971" s="2976"/>
      <c r="AD971" s="2976"/>
    </row>
    <row r="972" spans="1:30">
      <c r="A972" s="3086"/>
      <c r="B972" s="2966"/>
      <c r="C972" s="2976"/>
      <c r="D972" s="2976"/>
      <c r="E972" s="2976"/>
      <c r="F972" s="2973"/>
      <c r="G972" s="2976"/>
      <c r="H972" s="2966"/>
      <c r="I972" s="2966"/>
      <c r="J972" s="2976"/>
      <c r="K972" s="2976"/>
      <c r="L972" s="2961"/>
      <c r="M972" s="2976"/>
      <c r="N972" s="3086"/>
      <c r="O972" s="3086"/>
      <c r="P972" s="3086"/>
      <c r="Q972" s="2966"/>
      <c r="R972" s="2976"/>
      <c r="S972" s="2961"/>
      <c r="T972" s="2961"/>
      <c r="U972" s="2923"/>
      <c r="V972" s="2923"/>
      <c r="W972" s="2923"/>
      <c r="X972" s="2962"/>
      <c r="Y972" s="2961"/>
      <c r="Z972" s="3086"/>
      <c r="AA972" s="3086"/>
      <c r="AB972" s="3086"/>
      <c r="AC972" s="2976"/>
      <c r="AD972" s="2976"/>
    </row>
    <row r="973" spans="1:30">
      <c r="A973" s="3086"/>
      <c r="B973" s="2966"/>
      <c r="C973" s="2976"/>
      <c r="D973" s="2976"/>
      <c r="E973" s="2976"/>
      <c r="F973" s="2973"/>
      <c r="G973" s="2976"/>
      <c r="H973" s="2966"/>
      <c r="I973" s="2966"/>
      <c r="J973" s="2976"/>
      <c r="K973" s="2976"/>
      <c r="L973" s="2961"/>
      <c r="M973" s="2976"/>
      <c r="N973" s="3086"/>
      <c r="O973" s="3086"/>
      <c r="P973" s="3086"/>
      <c r="Q973" s="2966"/>
      <c r="R973" s="2976"/>
      <c r="S973" s="2961"/>
      <c r="T973" s="2961"/>
      <c r="U973" s="2923"/>
      <c r="V973" s="2923"/>
      <c r="W973" s="2923"/>
      <c r="X973" s="2962"/>
      <c r="Y973" s="2971"/>
      <c r="Z973" s="3086"/>
      <c r="AA973" s="3086"/>
      <c r="AB973" s="3086"/>
      <c r="AC973" s="2976"/>
      <c r="AD973" s="2976"/>
    </row>
    <row r="974" spans="1:30">
      <c r="A974" s="2976"/>
      <c r="B974" s="2966"/>
      <c r="C974" s="2976"/>
      <c r="D974" s="2976"/>
      <c r="E974" s="2976"/>
      <c r="F974" s="2973"/>
      <c r="G974" s="2976"/>
      <c r="H974" s="2966"/>
      <c r="I974" s="2966"/>
      <c r="J974" s="2976"/>
      <c r="K974" s="2976"/>
      <c r="L974" s="2961"/>
      <c r="M974" s="2976"/>
      <c r="N974" s="3086"/>
      <c r="O974" s="3086"/>
      <c r="P974" s="3086"/>
      <c r="Q974" s="2966"/>
      <c r="R974" s="2976"/>
      <c r="S974" s="2961"/>
      <c r="T974" s="2961"/>
      <c r="U974" s="2923"/>
      <c r="V974" s="2923"/>
      <c r="W974" s="2923"/>
      <c r="X974" s="2962"/>
      <c r="Y974" s="2971"/>
      <c r="Z974" s="3086"/>
      <c r="AA974" s="3086"/>
      <c r="AB974" s="3086"/>
      <c r="AC974" s="2976"/>
      <c r="AD974" s="2976"/>
    </row>
    <row r="975" spans="1:30">
      <c r="A975" s="3086"/>
      <c r="B975" s="2966"/>
      <c r="C975" s="2976"/>
      <c r="D975" s="2976"/>
      <c r="E975" s="2976"/>
      <c r="F975" s="2973"/>
      <c r="G975" s="2976"/>
      <c r="H975" s="2966"/>
      <c r="I975" s="2966"/>
      <c r="J975" s="2976"/>
      <c r="K975" s="2976"/>
      <c r="L975" s="2961"/>
      <c r="M975" s="2976"/>
      <c r="N975" s="3086"/>
      <c r="O975" s="3086"/>
      <c r="P975" s="2976"/>
      <c r="Q975" s="2966"/>
      <c r="R975" s="2976"/>
      <c r="S975" s="2961"/>
      <c r="T975" s="2961"/>
      <c r="U975" s="2923"/>
      <c r="V975" s="2923"/>
      <c r="W975" s="2923"/>
      <c r="X975" s="2961"/>
      <c r="Y975" s="2961"/>
      <c r="Z975" s="2976"/>
      <c r="AA975" s="2976"/>
      <c r="AB975" s="2976"/>
      <c r="AC975" s="2976"/>
      <c r="AD975" s="2976"/>
    </row>
    <row r="976" spans="1:30">
      <c r="A976" s="3086"/>
      <c r="B976" s="2966"/>
      <c r="C976" s="2976"/>
      <c r="D976" s="2976"/>
      <c r="E976" s="2976"/>
      <c r="F976" s="2973"/>
      <c r="G976" s="2976"/>
      <c r="H976" s="2966"/>
      <c r="I976" s="2966"/>
      <c r="J976" s="2976"/>
      <c r="K976" s="2976"/>
      <c r="L976" s="2961"/>
      <c r="M976" s="2976"/>
      <c r="N976" s="3086"/>
      <c r="O976" s="3086"/>
      <c r="P976" s="2976"/>
      <c r="Q976" s="2966"/>
      <c r="R976" s="2976"/>
      <c r="S976" s="2961"/>
      <c r="T976" s="2961"/>
      <c r="U976" s="2923"/>
      <c r="V976" s="2923"/>
      <c r="W976" s="2923"/>
      <c r="X976" s="2961"/>
      <c r="Y976" s="2961"/>
      <c r="Z976" s="2976"/>
      <c r="AA976" s="2976"/>
      <c r="AB976" s="2976"/>
      <c r="AC976" s="2976"/>
      <c r="AD976" s="2976"/>
    </row>
    <row r="977" spans="1:30">
      <c r="A977" s="3086"/>
      <c r="B977" s="2966"/>
      <c r="C977" s="2976"/>
      <c r="D977" s="2976"/>
      <c r="E977" s="2976"/>
      <c r="F977" s="2973"/>
      <c r="G977" s="2976"/>
      <c r="H977" s="2966"/>
      <c r="I977" s="2966"/>
      <c r="J977" s="2976"/>
      <c r="K977" s="2976"/>
      <c r="L977" s="2967"/>
      <c r="M977" s="2976"/>
      <c r="N977" s="3086"/>
      <c r="O977" s="3086"/>
      <c r="P977" s="3086"/>
      <c r="Q977" s="2966"/>
      <c r="R977" s="2976"/>
      <c r="S977" s="2961"/>
      <c r="T977" s="2961"/>
      <c r="U977" s="2923"/>
      <c r="V977" s="2923"/>
      <c r="W977" s="2923"/>
      <c r="X977" s="2962"/>
      <c r="Y977" s="2971"/>
      <c r="Z977" s="3086"/>
      <c r="AA977" s="3086"/>
      <c r="AB977" s="3086"/>
      <c r="AC977" s="2976"/>
      <c r="AD977" s="2976"/>
    </row>
    <row r="978" spans="1:30">
      <c r="A978" s="3086"/>
      <c r="B978" s="2966"/>
      <c r="C978" s="2976"/>
      <c r="D978" s="2976"/>
      <c r="E978" s="2976"/>
      <c r="F978" s="2973"/>
      <c r="G978" s="2976"/>
      <c r="H978" s="2966"/>
      <c r="I978" s="2966"/>
      <c r="J978" s="2976"/>
      <c r="K978" s="2976"/>
      <c r="L978" s="2961"/>
      <c r="M978" s="2976"/>
      <c r="N978" s="3086"/>
      <c r="O978" s="3086"/>
      <c r="P978" s="3086"/>
      <c r="Q978" s="2966"/>
      <c r="R978" s="2976"/>
      <c r="S978" s="2961"/>
      <c r="T978" s="2961"/>
      <c r="U978" s="2923"/>
      <c r="V978" s="2923"/>
      <c r="W978" s="2923"/>
      <c r="X978" s="2962"/>
      <c r="Y978" s="2971"/>
      <c r="Z978" s="3086"/>
      <c r="AA978" s="3086"/>
      <c r="AB978" s="3086"/>
      <c r="AC978" s="2976"/>
      <c r="AD978" s="2976"/>
    </row>
    <row r="979" spans="1:30">
      <c r="A979" s="3086"/>
      <c r="B979" s="2966"/>
      <c r="C979" s="2976"/>
      <c r="D979" s="2976"/>
      <c r="E979" s="2976"/>
      <c r="F979" s="2973"/>
      <c r="G979" s="2976"/>
      <c r="H979" s="2966"/>
      <c r="I979" s="2966"/>
      <c r="J979" s="2976"/>
      <c r="K979" s="2976"/>
      <c r="L979" s="2961"/>
      <c r="M979" s="2976"/>
      <c r="N979" s="3086"/>
      <c r="O979" s="3086"/>
      <c r="P979" s="3086"/>
      <c r="Q979" s="2966"/>
      <c r="R979" s="2976"/>
      <c r="S979" s="2961"/>
      <c r="T979" s="2961"/>
      <c r="U979" s="2923"/>
      <c r="V979" s="2923"/>
      <c r="W979" s="2923"/>
      <c r="X979" s="2962"/>
      <c r="Y979" s="2971"/>
      <c r="Z979" s="3086"/>
      <c r="AA979" s="3086"/>
      <c r="AB979" s="3086"/>
      <c r="AC979" s="2976"/>
      <c r="AD979" s="2976"/>
    </row>
    <row r="980" spans="1:30">
      <c r="A980" s="3086"/>
      <c r="B980" s="2966"/>
      <c r="C980" s="2976"/>
      <c r="D980" s="2976"/>
      <c r="E980" s="2976"/>
      <c r="F980" s="2973"/>
      <c r="G980" s="2976"/>
      <c r="H980" s="2966"/>
      <c r="I980" s="2966"/>
      <c r="J980" s="2976"/>
      <c r="K980" s="2976"/>
      <c r="L980" s="2961"/>
      <c r="M980" s="2976"/>
      <c r="N980" s="3086"/>
      <c r="O980" s="3086"/>
      <c r="P980" s="3086"/>
      <c r="Q980" s="2966"/>
      <c r="R980" s="2976"/>
      <c r="S980" s="2961"/>
      <c r="T980" s="2961"/>
      <c r="U980" s="2923"/>
      <c r="V980" s="2923"/>
      <c r="W980" s="2923"/>
      <c r="X980" s="2962"/>
      <c r="Y980" s="2971"/>
      <c r="Z980" s="3086"/>
      <c r="AA980" s="3086"/>
      <c r="AB980" s="3086"/>
      <c r="AC980" s="2976"/>
      <c r="AD980" s="2976"/>
    </row>
    <row r="981" spans="1:30">
      <c r="A981" s="3086"/>
      <c r="B981" s="2966"/>
      <c r="C981" s="2976"/>
      <c r="D981" s="2976"/>
      <c r="E981" s="2976"/>
      <c r="F981" s="2973"/>
      <c r="G981" s="2976"/>
      <c r="H981" s="2966"/>
      <c r="I981" s="2966"/>
      <c r="J981" s="2976"/>
      <c r="K981" s="2976"/>
      <c r="L981" s="2961"/>
      <c r="M981" s="2976"/>
      <c r="N981" s="3086"/>
      <c r="O981" s="3086"/>
      <c r="P981" s="2976"/>
      <c r="Q981" s="2972"/>
      <c r="R981" s="2739"/>
      <c r="S981" s="2961"/>
      <c r="T981" s="2961"/>
      <c r="U981" s="2923"/>
      <c r="V981" s="2923"/>
      <c r="W981" s="2923"/>
      <c r="X981" s="2961"/>
      <c r="Y981" s="2961"/>
      <c r="Z981" s="2976"/>
      <c r="AA981" s="3086"/>
      <c r="AB981" s="2966"/>
      <c r="AC981" s="2976"/>
      <c r="AD981" s="2976"/>
    </row>
    <row r="982" spans="1:30">
      <c r="A982" s="3086"/>
      <c r="B982" s="2966"/>
      <c r="C982" s="2976"/>
      <c r="D982" s="2976"/>
      <c r="E982" s="2976"/>
      <c r="F982" s="2973"/>
      <c r="G982" s="2976"/>
      <c r="H982" s="2966"/>
      <c r="I982" s="2966"/>
      <c r="J982" s="2976"/>
      <c r="K982" s="2976"/>
      <c r="L982" s="2961"/>
      <c r="M982" s="2976"/>
      <c r="N982" s="3086"/>
      <c r="O982" s="3086"/>
      <c r="P982" s="2976"/>
      <c r="Q982" s="2972"/>
      <c r="R982" s="2739"/>
      <c r="S982" s="2961"/>
      <c r="T982" s="2961"/>
      <c r="U982" s="2923"/>
      <c r="V982" s="2923"/>
      <c r="W982" s="2923"/>
      <c r="X982" s="2961"/>
      <c r="Y982" s="2961"/>
      <c r="Z982" s="2976"/>
      <c r="AA982" s="3086"/>
      <c r="AB982" s="2966"/>
      <c r="AC982" s="2976"/>
      <c r="AD982" s="2976"/>
    </row>
    <row r="983" spans="1:30">
      <c r="A983" s="3086"/>
      <c r="B983" s="2966"/>
      <c r="C983" s="2976"/>
      <c r="D983" s="2976"/>
      <c r="E983" s="2976"/>
      <c r="F983" s="2973"/>
      <c r="G983" s="2976"/>
      <c r="H983" s="2966"/>
      <c r="I983" s="2966"/>
      <c r="J983" s="2976"/>
      <c r="K983" s="2976"/>
      <c r="L983" s="2961"/>
      <c r="M983" s="2976"/>
      <c r="N983" s="3086"/>
      <c r="O983" s="3086"/>
      <c r="P983" s="3086"/>
      <c r="Q983" s="2966"/>
      <c r="R983" s="2976"/>
      <c r="S983" s="2961"/>
      <c r="T983" s="2961"/>
      <c r="U983" s="2923"/>
      <c r="V983" s="2923"/>
      <c r="W983" s="2923"/>
      <c r="X983" s="2962"/>
      <c r="Y983" s="2961"/>
      <c r="Z983" s="3086"/>
      <c r="AA983" s="3086"/>
      <c r="AB983" s="2976"/>
      <c r="AC983" s="2976"/>
      <c r="AD983" s="2976"/>
    </row>
    <row r="984" spans="1:30">
      <c r="A984" s="3086"/>
      <c r="B984" s="2966"/>
      <c r="C984" s="2976"/>
      <c r="D984" s="2976"/>
      <c r="E984" s="2976"/>
      <c r="F984" s="2973"/>
      <c r="G984" s="2976"/>
      <c r="H984" s="2966"/>
      <c r="I984" s="2966"/>
      <c r="J984" s="2976"/>
      <c r="K984" s="2976"/>
      <c r="L984" s="2961"/>
      <c r="M984" s="2976"/>
      <c r="N984" s="3086"/>
      <c r="O984" s="3086"/>
      <c r="P984" s="3086"/>
      <c r="Q984" s="2966"/>
      <c r="R984" s="2976"/>
      <c r="S984" s="2961"/>
      <c r="T984" s="2961"/>
      <c r="U984" s="2923"/>
      <c r="V984" s="2923"/>
      <c r="W984" s="2923"/>
      <c r="X984" s="2962"/>
      <c r="Y984" s="2961"/>
      <c r="Z984" s="3086"/>
      <c r="AA984" s="3086"/>
      <c r="AB984" s="3086"/>
      <c r="AC984" s="2976"/>
      <c r="AD984" s="2976"/>
    </row>
    <row r="985" spans="1:30">
      <c r="A985" s="3086"/>
      <c r="B985" s="2966"/>
      <c r="C985" s="2976"/>
      <c r="D985" s="2976"/>
      <c r="E985" s="2976"/>
      <c r="F985" s="2973"/>
      <c r="G985" s="2976"/>
      <c r="H985" s="2966"/>
      <c r="I985" s="2966"/>
      <c r="J985" s="2976"/>
      <c r="K985" s="2976"/>
      <c r="L985" s="2961"/>
      <c r="M985" s="2976"/>
      <c r="N985" s="3086"/>
      <c r="O985" s="3086"/>
      <c r="P985" s="3086"/>
      <c r="Q985" s="2966"/>
      <c r="R985" s="2976"/>
      <c r="S985" s="2961"/>
      <c r="T985" s="2961"/>
      <c r="U985" s="2923"/>
      <c r="V985" s="2923"/>
      <c r="W985" s="2923"/>
      <c r="X985" s="2962"/>
      <c r="Y985" s="2961"/>
      <c r="Z985" s="3086"/>
      <c r="AA985" s="3086"/>
      <c r="AB985" s="3086"/>
      <c r="AC985" s="2976"/>
      <c r="AD985" s="2976"/>
    </row>
    <row r="986" spans="1:30">
      <c r="A986" s="3086"/>
      <c r="B986" s="2966"/>
      <c r="C986" s="2976"/>
      <c r="D986" s="2976"/>
      <c r="E986" s="2976"/>
      <c r="F986" s="2973"/>
      <c r="G986" s="2976"/>
      <c r="H986" s="2966"/>
      <c r="I986" s="2966"/>
      <c r="J986" s="2976"/>
      <c r="K986" s="2976"/>
      <c r="L986" s="2961"/>
      <c r="M986" s="2976"/>
      <c r="N986" s="3086"/>
      <c r="O986" s="3086"/>
      <c r="P986" s="3086"/>
      <c r="Q986" s="2966"/>
      <c r="R986" s="2976"/>
      <c r="S986" s="2961"/>
      <c r="T986" s="2961"/>
      <c r="U986" s="2923"/>
      <c r="V986" s="2923"/>
      <c r="W986" s="2923"/>
      <c r="X986" s="2962"/>
      <c r="Y986" s="2961"/>
      <c r="Z986" s="3086"/>
      <c r="AA986" s="3086"/>
      <c r="AB986" s="3086"/>
      <c r="AC986" s="2976"/>
      <c r="AD986" s="2976"/>
    </row>
    <row r="987" spans="1:30">
      <c r="A987" s="3086"/>
      <c r="B987" s="2966"/>
      <c r="C987" s="2976"/>
      <c r="D987" s="2976"/>
      <c r="E987" s="2976"/>
      <c r="F987" s="2973"/>
      <c r="G987" s="2976"/>
      <c r="H987" s="2966"/>
      <c r="I987" s="2966"/>
      <c r="J987" s="2976"/>
      <c r="K987" s="2976"/>
      <c r="L987" s="2961"/>
      <c r="M987" s="2976"/>
      <c r="N987" s="3086"/>
      <c r="O987" s="3086"/>
      <c r="P987" s="2976"/>
      <c r="Q987" s="2966"/>
      <c r="R987" s="2976"/>
      <c r="S987" s="2961"/>
      <c r="T987" s="2961"/>
      <c r="U987" s="2923"/>
      <c r="V987" s="2923"/>
      <c r="W987" s="2923"/>
      <c r="X987" s="2961"/>
      <c r="Y987" s="2961"/>
      <c r="Z987" s="2976"/>
      <c r="AA987" s="2976"/>
      <c r="AB987" s="2976"/>
      <c r="AC987" s="2976"/>
      <c r="AD987" s="2976"/>
    </row>
    <row r="988" spans="1:30">
      <c r="A988" s="3086"/>
      <c r="B988" s="2966"/>
      <c r="C988" s="2976"/>
      <c r="D988" s="2976"/>
      <c r="E988" s="2976"/>
      <c r="F988" s="3100"/>
      <c r="G988" s="2976"/>
      <c r="H988" s="2966"/>
      <c r="I988" s="2966"/>
      <c r="J988" s="2976"/>
      <c r="K988" s="2976"/>
      <c r="L988" s="2961"/>
      <c r="M988" s="2976"/>
      <c r="N988" s="3086"/>
      <c r="O988" s="3086"/>
      <c r="P988" s="3086"/>
      <c r="Q988" s="2966"/>
      <c r="R988" s="2976"/>
      <c r="S988" s="2961"/>
      <c r="T988" s="2961"/>
      <c r="U988" s="2923"/>
      <c r="V988" s="2923"/>
      <c r="W988" s="2923"/>
      <c r="X988" s="2962"/>
      <c r="Y988" s="2961"/>
      <c r="Z988" s="3086"/>
      <c r="AA988" s="3086"/>
      <c r="AB988" s="3086"/>
      <c r="AC988" s="2976"/>
      <c r="AD988" s="2976"/>
    </row>
    <row r="989" spans="1:30">
      <c r="A989" s="3086"/>
      <c r="B989" s="2966"/>
      <c r="C989" s="2976"/>
      <c r="D989" s="2976"/>
      <c r="E989" s="2976"/>
      <c r="F989" s="2973"/>
      <c r="G989" s="2976"/>
      <c r="H989" s="2966"/>
      <c r="I989" s="2966"/>
      <c r="J989" s="2976"/>
      <c r="K989" s="2976"/>
      <c r="L989" s="2961"/>
      <c r="M989" s="2976"/>
      <c r="N989" s="3086"/>
      <c r="O989" s="3086"/>
      <c r="P989" s="2976"/>
      <c r="Q989" s="2972"/>
      <c r="R989" s="2976"/>
      <c r="S989" s="2961"/>
      <c r="T989" s="2961"/>
      <c r="U989" s="2923"/>
      <c r="V989" s="2923"/>
      <c r="W989" s="2923"/>
      <c r="X989" s="2961"/>
      <c r="Y989" s="2961"/>
      <c r="Z989" s="2976"/>
      <c r="AA989" s="2976"/>
      <c r="AB989" s="2976"/>
      <c r="AC989" s="2976"/>
      <c r="AD989" s="2976"/>
    </row>
    <row r="990" spans="1:30">
      <c r="A990" s="3086"/>
      <c r="B990" s="2966"/>
      <c r="C990" s="2976"/>
      <c r="D990" s="2976"/>
      <c r="E990" s="2976"/>
      <c r="F990" s="2973"/>
      <c r="G990" s="2976"/>
      <c r="H990" s="2966"/>
      <c r="I990" s="2966"/>
      <c r="J990" s="2976"/>
      <c r="K990" s="2976"/>
      <c r="L990" s="2961"/>
      <c r="M990" s="2976"/>
      <c r="N990" s="3086"/>
      <c r="O990" s="3086"/>
      <c r="P990" s="2976"/>
      <c r="Q990" s="2966"/>
      <c r="R990" s="2976"/>
      <c r="S990" s="2961"/>
      <c r="T990" s="2961"/>
      <c r="U990" s="2923"/>
      <c r="V990" s="2923"/>
      <c r="W990" s="2923"/>
      <c r="X990" s="2962"/>
      <c r="Y990" s="2961"/>
      <c r="Z990" s="2976"/>
      <c r="AA990" s="2976"/>
      <c r="AB990" s="2976"/>
      <c r="AC990" s="2976"/>
      <c r="AD990" s="2976"/>
    </row>
    <row r="991" spans="1:30">
      <c r="A991" s="3086"/>
      <c r="B991" s="2966"/>
      <c r="C991" s="2976"/>
      <c r="D991" s="2976"/>
      <c r="E991" s="2976"/>
      <c r="F991" s="2973"/>
      <c r="G991" s="2976"/>
      <c r="H991" s="2966"/>
      <c r="I991" s="2966"/>
      <c r="J991" s="2976"/>
      <c r="K991" s="2976"/>
      <c r="L991" s="2961"/>
      <c r="M991" s="2976"/>
      <c r="N991" s="3086"/>
      <c r="O991" s="3086"/>
      <c r="P991" s="3086"/>
      <c r="Q991" s="2966"/>
      <c r="R991" s="2976"/>
      <c r="S991" s="2961"/>
      <c r="T991" s="2961"/>
      <c r="U991" s="2923"/>
      <c r="V991" s="2923"/>
      <c r="W991" s="2923"/>
      <c r="X991" s="2962"/>
      <c r="Y991" s="2961"/>
      <c r="Z991" s="3086"/>
      <c r="AA991" s="3086"/>
      <c r="AB991" s="3086"/>
      <c r="AC991" s="2976"/>
      <c r="AD991" s="2976"/>
    </row>
    <row r="992" spans="1:30">
      <c r="A992" s="3086"/>
      <c r="B992" s="2966"/>
      <c r="C992" s="2976"/>
      <c r="D992" s="2976"/>
      <c r="E992" s="2976"/>
      <c r="F992" s="2973"/>
      <c r="G992" s="2976"/>
      <c r="H992" s="2966"/>
      <c r="I992" s="2966"/>
      <c r="J992" s="2976"/>
      <c r="K992" s="2976"/>
      <c r="L992" s="2961"/>
      <c r="M992" s="2976"/>
      <c r="N992" s="3086"/>
      <c r="O992" s="3086"/>
      <c r="P992" s="3086"/>
      <c r="Q992" s="2966"/>
      <c r="R992" s="2976"/>
      <c r="S992" s="2961"/>
      <c r="T992" s="2961"/>
      <c r="U992" s="2923"/>
      <c r="V992" s="2923"/>
      <c r="W992" s="2923"/>
      <c r="X992" s="2962"/>
      <c r="Y992" s="2961"/>
      <c r="Z992" s="3086"/>
      <c r="AA992" s="3086"/>
      <c r="AB992" s="3086"/>
      <c r="AC992" s="2976"/>
      <c r="AD992" s="2976"/>
    </row>
    <row r="993" spans="1:30">
      <c r="A993" s="2976"/>
      <c r="B993" s="2966"/>
      <c r="C993" s="2976"/>
      <c r="D993" s="2976"/>
      <c r="E993" s="2976"/>
      <c r="F993" s="2973"/>
      <c r="G993" s="2976"/>
      <c r="H993" s="2966"/>
      <c r="I993" s="2966"/>
      <c r="J993" s="2976"/>
      <c r="K993" s="2976"/>
      <c r="L993" s="2961"/>
      <c r="M993" s="2976"/>
      <c r="N993" s="3086"/>
      <c r="O993" s="3086"/>
      <c r="P993" s="3086"/>
      <c r="Q993" s="2966"/>
      <c r="R993" s="2976"/>
      <c r="S993" s="2961"/>
      <c r="T993" s="2961"/>
      <c r="U993" s="2923"/>
      <c r="V993" s="2923"/>
      <c r="W993" s="2923"/>
      <c r="X993" s="2962"/>
      <c r="Y993" s="2961"/>
      <c r="Z993" s="2976"/>
      <c r="AA993" s="2976"/>
      <c r="AB993" s="2976"/>
      <c r="AC993" s="2976"/>
      <c r="AD993" s="2976"/>
    </row>
    <row r="994" spans="1:30">
      <c r="A994" s="3086"/>
      <c r="B994" s="2966"/>
      <c r="C994" s="2976"/>
      <c r="D994" s="2976"/>
      <c r="E994" s="2976"/>
      <c r="F994" s="2973"/>
      <c r="G994" s="2976"/>
      <c r="H994" s="2966"/>
      <c r="I994" s="2966"/>
      <c r="J994" s="2976"/>
      <c r="K994" s="2976"/>
      <c r="L994" s="2961"/>
      <c r="M994" s="2976"/>
      <c r="N994" s="3086"/>
      <c r="O994" s="3086"/>
      <c r="P994" s="3086"/>
      <c r="Q994" s="2966"/>
      <c r="R994" s="2976"/>
      <c r="S994" s="2961"/>
      <c r="T994" s="2961"/>
      <c r="U994" s="2923"/>
      <c r="V994" s="2923"/>
      <c r="W994" s="2923"/>
      <c r="X994" s="2962"/>
      <c r="Y994" s="2971"/>
      <c r="Z994" s="3086"/>
      <c r="AA994" s="3086"/>
      <c r="AB994" s="3086"/>
      <c r="AC994" s="2976"/>
      <c r="AD994" s="2976"/>
    </row>
    <row r="995" spans="1:30">
      <c r="A995" s="3086"/>
      <c r="B995" s="2966"/>
      <c r="C995" s="2976"/>
      <c r="D995" s="2976"/>
      <c r="E995" s="2976"/>
      <c r="F995" s="2973"/>
      <c r="G995" s="2976"/>
      <c r="H995" s="2966"/>
      <c r="I995" s="2966"/>
      <c r="J995" s="2976"/>
      <c r="K995" s="2976"/>
      <c r="L995" s="2961"/>
      <c r="M995" s="2976"/>
      <c r="N995" s="3086"/>
      <c r="O995" s="3086"/>
      <c r="P995" s="2976"/>
      <c r="Q995" s="2972"/>
      <c r="R995" s="2739"/>
      <c r="S995" s="2961"/>
      <c r="T995" s="2961"/>
      <c r="U995" s="2923"/>
      <c r="V995" s="2923"/>
      <c r="W995" s="2923"/>
      <c r="X995" s="2961"/>
      <c r="Y995" s="2961"/>
      <c r="Z995" s="2976"/>
      <c r="AA995" s="3086"/>
      <c r="AB995" s="2976"/>
      <c r="AC995" s="2976"/>
      <c r="AD995" s="2976"/>
    </row>
    <row r="996" spans="1:30">
      <c r="A996" s="3086"/>
      <c r="B996" s="2966"/>
      <c r="C996" s="2976"/>
      <c r="D996" s="2976"/>
      <c r="E996" s="2976"/>
      <c r="F996" s="2973"/>
      <c r="G996" s="2976"/>
      <c r="H996" s="2966"/>
      <c r="I996" s="2966"/>
      <c r="J996" s="2976"/>
      <c r="K996" s="2976"/>
      <c r="L996" s="2961"/>
      <c r="M996" s="2976"/>
      <c r="N996" s="3086"/>
      <c r="O996" s="3086"/>
      <c r="P996" s="3086"/>
      <c r="Q996" s="2966"/>
      <c r="R996" s="2976"/>
      <c r="S996" s="2961"/>
      <c r="T996" s="2961"/>
      <c r="U996" s="2923"/>
      <c r="V996" s="2923"/>
      <c r="W996" s="2923"/>
      <c r="X996" s="2962"/>
      <c r="Y996" s="2971"/>
      <c r="Z996" s="3086"/>
      <c r="AA996" s="3086"/>
      <c r="AB996" s="3086"/>
      <c r="AC996" s="2976"/>
      <c r="AD996" s="2976"/>
    </row>
    <row r="997" spans="1:30">
      <c r="A997" s="3086"/>
      <c r="B997" s="2966"/>
      <c r="C997" s="2976"/>
      <c r="D997" s="2976"/>
      <c r="E997" s="2976"/>
      <c r="F997" s="2973"/>
      <c r="G997" s="2976"/>
      <c r="H997" s="2966"/>
      <c r="I997" s="2966"/>
      <c r="J997" s="2976"/>
      <c r="K997" s="2976"/>
      <c r="L997" s="2961"/>
      <c r="M997" s="2976"/>
      <c r="N997" s="3086"/>
      <c r="O997" s="3086"/>
      <c r="P997" s="3086"/>
      <c r="Q997" s="2966"/>
      <c r="R997" s="2976"/>
      <c r="S997" s="2961"/>
      <c r="T997" s="2961"/>
      <c r="U997" s="2923"/>
      <c r="V997" s="2923"/>
      <c r="W997" s="2923"/>
      <c r="X997" s="2962"/>
      <c r="Y997" s="2961"/>
      <c r="Z997" s="3086"/>
      <c r="AA997" s="3086"/>
      <c r="AB997" s="3086"/>
      <c r="AC997" s="2976"/>
      <c r="AD997" s="2976"/>
    </row>
    <row r="998" spans="1:30">
      <c r="A998" s="3086"/>
      <c r="B998" s="2966"/>
      <c r="C998" s="2976"/>
      <c r="D998" s="2976"/>
      <c r="E998" s="2976"/>
      <c r="F998" s="2973"/>
      <c r="G998" s="2976"/>
      <c r="H998" s="2966"/>
      <c r="I998" s="2966"/>
      <c r="J998" s="2976"/>
      <c r="K998" s="2976"/>
      <c r="L998" s="2961"/>
      <c r="M998" s="2976"/>
      <c r="N998" s="3086"/>
      <c r="O998" s="3086"/>
      <c r="P998" s="3086"/>
      <c r="Q998" s="2966"/>
      <c r="R998" s="2976"/>
      <c r="S998" s="2961"/>
      <c r="T998" s="2961"/>
      <c r="U998" s="2923"/>
      <c r="V998" s="2923"/>
      <c r="W998" s="2923"/>
      <c r="X998" s="2962"/>
      <c r="Y998" s="2961"/>
      <c r="Z998" s="3086"/>
      <c r="AA998" s="3086"/>
      <c r="AB998" s="3086"/>
      <c r="AC998" s="2976"/>
      <c r="AD998" s="2976"/>
    </row>
    <row r="999" spans="1:30">
      <c r="A999" s="3086"/>
      <c r="B999" s="2966"/>
      <c r="C999" s="2976"/>
      <c r="D999" s="2976"/>
      <c r="E999" s="2976"/>
      <c r="F999" s="2973"/>
      <c r="G999" s="2976"/>
      <c r="H999" s="2966"/>
      <c r="I999" s="2966"/>
      <c r="J999" s="2976"/>
      <c r="K999" s="2976"/>
      <c r="L999" s="2961"/>
      <c r="M999" s="2976"/>
      <c r="N999" s="3086"/>
      <c r="O999" s="3086"/>
      <c r="P999" s="3086"/>
      <c r="Q999" s="2966"/>
      <c r="R999" s="2976"/>
      <c r="S999" s="2961"/>
      <c r="T999" s="2961"/>
      <c r="U999" s="2923"/>
      <c r="V999" s="2923"/>
      <c r="W999" s="2923"/>
      <c r="X999" s="2962"/>
      <c r="Y999" s="2971"/>
      <c r="Z999" s="3086"/>
      <c r="AA999" s="3086"/>
      <c r="AB999" s="3086"/>
      <c r="AC999" s="2976"/>
      <c r="AD999" s="2976"/>
    </row>
    <row r="1000" spans="1:30">
      <c r="A1000" s="3086"/>
      <c r="B1000" s="2966"/>
      <c r="C1000" s="2976"/>
      <c r="D1000" s="2976"/>
      <c r="E1000" s="2976"/>
      <c r="F1000" s="2973"/>
      <c r="G1000" s="2976"/>
      <c r="H1000" s="2966"/>
      <c r="I1000" s="2966"/>
      <c r="J1000" s="2976"/>
      <c r="K1000" s="2976"/>
      <c r="L1000" s="2961"/>
      <c r="M1000" s="2976"/>
      <c r="N1000" s="3086"/>
      <c r="O1000" s="3086"/>
      <c r="P1000" s="3086"/>
      <c r="Q1000" s="2966"/>
      <c r="R1000" s="2976"/>
      <c r="S1000" s="2961"/>
      <c r="T1000" s="2961"/>
      <c r="U1000" s="2923"/>
      <c r="V1000" s="2923"/>
      <c r="W1000" s="2923"/>
      <c r="X1000" s="2962"/>
      <c r="Y1000" s="2971"/>
      <c r="Z1000" s="3086"/>
      <c r="AA1000" s="3086"/>
      <c r="AB1000" s="3086"/>
      <c r="AC1000" s="2976"/>
      <c r="AD1000" s="2976"/>
    </row>
    <row r="1001" spans="1:30">
      <c r="A1001" s="2976"/>
      <c r="B1001" s="2966"/>
      <c r="C1001" s="2976"/>
      <c r="D1001" s="2976"/>
      <c r="E1001" s="2976"/>
      <c r="F1001" s="2973"/>
      <c r="G1001" s="2976"/>
      <c r="H1001" s="2966"/>
      <c r="I1001" s="2966"/>
      <c r="J1001" s="2976"/>
      <c r="K1001" s="2976"/>
      <c r="L1001" s="2961"/>
      <c r="M1001" s="2976"/>
      <c r="N1001" s="3086"/>
      <c r="O1001" s="3086"/>
      <c r="P1001" s="3086"/>
      <c r="Q1001" s="2966"/>
      <c r="R1001" s="2976"/>
      <c r="S1001" s="2961"/>
      <c r="T1001" s="2961"/>
      <c r="U1001" s="2923"/>
      <c r="V1001" s="2923"/>
      <c r="W1001" s="2923"/>
      <c r="X1001" s="2962"/>
      <c r="Y1001" s="2961"/>
      <c r="Z1001" s="3086"/>
      <c r="AA1001" s="3086"/>
      <c r="AB1001" s="3086"/>
      <c r="AC1001" s="2976"/>
      <c r="AD1001" s="2976"/>
    </row>
    <row r="1002" spans="1:30">
      <c r="A1002" s="2976"/>
      <c r="B1002" s="2966"/>
      <c r="C1002" s="2976"/>
      <c r="D1002" s="2976"/>
      <c r="E1002" s="2976"/>
      <c r="F1002" s="2973"/>
      <c r="G1002" s="2976"/>
      <c r="H1002" s="2966"/>
      <c r="I1002" s="2966"/>
      <c r="J1002" s="2976"/>
      <c r="K1002" s="2976"/>
      <c r="L1002" s="2961"/>
      <c r="M1002" s="2976"/>
      <c r="N1002" s="3086"/>
      <c r="O1002" s="3086"/>
      <c r="P1002" s="3086"/>
      <c r="Q1002" s="2966"/>
      <c r="R1002" s="2976"/>
      <c r="S1002" s="2961"/>
      <c r="T1002" s="2961"/>
      <c r="U1002" s="2923"/>
      <c r="V1002" s="2923"/>
      <c r="W1002" s="2923"/>
      <c r="X1002" s="2962"/>
      <c r="Y1002" s="2971"/>
      <c r="Z1002" s="2976"/>
      <c r="AA1002" s="2976"/>
      <c r="AB1002" s="2976"/>
      <c r="AC1002" s="2976"/>
      <c r="AD1002" s="2976"/>
    </row>
    <row r="1003" spans="1:30">
      <c r="A1003" s="2976"/>
      <c r="B1003" s="2966"/>
      <c r="C1003" s="2976"/>
      <c r="D1003" s="2976"/>
      <c r="E1003" s="2976"/>
      <c r="F1003" s="2973"/>
      <c r="G1003" s="2976"/>
      <c r="H1003" s="2966"/>
      <c r="I1003" s="2966"/>
      <c r="J1003" s="2976"/>
      <c r="K1003" s="2976"/>
      <c r="L1003" s="2961"/>
      <c r="M1003" s="2976"/>
      <c r="N1003" s="3086"/>
      <c r="O1003" s="3086"/>
      <c r="P1003" s="3086"/>
      <c r="Q1003" s="2966"/>
      <c r="R1003" s="2976"/>
      <c r="S1003" s="2961"/>
      <c r="T1003" s="2961"/>
      <c r="U1003" s="2923"/>
      <c r="V1003" s="2923"/>
      <c r="W1003" s="2923"/>
      <c r="X1003" s="2962"/>
      <c r="Y1003" s="2971"/>
      <c r="Z1003" s="2976"/>
      <c r="AA1003" s="2976"/>
      <c r="AB1003" s="2976"/>
      <c r="AC1003" s="2976"/>
      <c r="AD1003" s="2976"/>
    </row>
    <row r="1004" spans="1:30">
      <c r="A1004" s="3086"/>
      <c r="B1004" s="2966"/>
      <c r="C1004" s="2976"/>
      <c r="D1004" s="2976"/>
      <c r="E1004" s="2976"/>
      <c r="F1004" s="2973"/>
      <c r="G1004" s="2976"/>
      <c r="H1004" s="2966"/>
      <c r="I1004" s="2966"/>
      <c r="J1004" s="2976"/>
      <c r="K1004" s="2976"/>
      <c r="L1004" s="2967"/>
      <c r="M1004" s="2976"/>
      <c r="N1004" s="3086"/>
      <c r="O1004" s="3086"/>
      <c r="P1004" s="2976"/>
      <c r="Q1004" s="2972"/>
      <c r="R1004" s="2977"/>
      <c r="S1004" s="2961"/>
      <c r="T1004" s="2961"/>
      <c r="U1004" s="2923"/>
      <c r="V1004" s="2923"/>
      <c r="W1004" s="2923"/>
      <c r="X1004" s="2961"/>
      <c r="Y1004" s="2961"/>
      <c r="Z1004" s="2976"/>
      <c r="AA1004" s="3086"/>
      <c r="AB1004" s="2976"/>
      <c r="AC1004" s="2976"/>
      <c r="AD1004" s="2976"/>
    </row>
    <row r="1005" spans="1:30">
      <c r="A1005" s="2976"/>
      <c r="B1005" s="2966"/>
      <c r="C1005" s="2976"/>
      <c r="D1005" s="2976"/>
      <c r="E1005" s="2976"/>
      <c r="F1005" s="2973"/>
      <c r="G1005" s="2976"/>
      <c r="H1005" s="2966"/>
      <c r="I1005" s="2966"/>
      <c r="J1005" s="2976"/>
      <c r="K1005" s="2976"/>
      <c r="L1005" s="2961"/>
      <c r="M1005" s="2976"/>
      <c r="N1005" s="3086"/>
      <c r="O1005" s="3086"/>
      <c r="P1005" s="3086"/>
      <c r="Q1005" s="2966"/>
      <c r="R1005" s="2976"/>
      <c r="S1005" s="2961"/>
      <c r="T1005" s="2961"/>
      <c r="U1005" s="2923"/>
      <c r="V1005" s="2923"/>
      <c r="W1005" s="2923"/>
      <c r="X1005" s="2962"/>
      <c r="Y1005" s="2961"/>
      <c r="Z1005" s="3086"/>
      <c r="AA1005" s="3086"/>
      <c r="AB1005" s="3086"/>
      <c r="AC1005" s="2976"/>
      <c r="AD1005" s="2976"/>
    </row>
    <row r="1006" spans="1:30">
      <c r="A1006" s="2976"/>
      <c r="B1006" s="2966"/>
      <c r="C1006" s="2976"/>
      <c r="D1006" s="2976"/>
      <c r="E1006" s="2976"/>
      <c r="F1006" s="2973"/>
      <c r="G1006" s="2976"/>
      <c r="H1006" s="2966"/>
      <c r="I1006" s="2966"/>
      <c r="J1006" s="2976"/>
      <c r="K1006" s="2976"/>
      <c r="L1006" s="2980"/>
      <c r="M1006" s="2976"/>
      <c r="N1006" s="2976"/>
      <c r="O1006" s="2976"/>
      <c r="P1006" s="2976"/>
      <c r="Q1006" s="2966"/>
      <c r="R1006" s="2976"/>
      <c r="S1006" s="2961"/>
      <c r="T1006" s="2961"/>
      <c r="U1006" s="2923"/>
      <c r="V1006" s="2923"/>
      <c r="W1006" s="2923"/>
      <c r="X1006" s="2961"/>
      <c r="Y1006" s="2961"/>
      <c r="Z1006" s="2976"/>
      <c r="AA1006" s="2976"/>
      <c r="AB1006" s="2976"/>
      <c r="AC1006" s="2976"/>
      <c r="AD1006" s="2976"/>
    </row>
    <row r="1007" spans="1:30">
      <c r="A1007" s="3086"/>
      <c r="B1007" s="2966"/>
      <c r="C1007" s="2976"/>
      <c r="D1007" s="2976"/>
      <c r="E1007" s="2976"/>
      <c r="F1007" s="2973"/>
      <c r="G1007" s="2976"/>
      <c r="H1007" s="2966"/>
      <c r="I1007" s="2966"/>
      <c r="J1007" s="2976"/>
      <c r="K1007" s="2976"/>
      <c r="L1007" s="2961"/>
      <c r="M1007" s="2976"/>
      <c r="N1007" s="3086"/>
      <c r="O1007" s="3086"/>
      <c r="P1007" s="3086"/>
      <c r="Q1007" s="2966"/>
      <c r="R1007" s="2976"/>
      <c r="S1007" s="2961"/>
      <c r="T1007" s="2961"/>
      <c r="U1007" s="2923"/>
      <c r="V1007" s="2923"/>
      <c r="W1007" s="2923"/>
      <c r="X1007" s="2962"/>
      <c r="Y1007" s="2961"/>
      <c r="Z1007" s="3086"/>
      <c r="AA1007" s="3086"/>
      <c r="AB1007" s="3086"/>
      <c r="AC1007" s="2976"/>
      <c r="AD1007" s="2976"/>
    </row>
    <row r="1008" spans="1:30">
      <c r="A1008" s="3086"/>
      <c r="B1008" s="2966"/>
      <c r="C1008" s="2976"/>
      <c r="D1008" s="2976"/>
      <c r="E1008" s="2976"/>
      <c r="F1008" s="2973"/>
      <c r="G1008" s="2976"/>
      <c r="H1008" s="2966"/>
      <c r="I1008" s="2966"/>
      <c r="J1008" s="2976"/>
      <c r="K1008" s="2976"/>
      <c r="L1008" s="2961"/>
      <c r="M1008" s="2976"/>
      <c r="N1008" s="3086"/>
      <c r="O1008" s="3086"/>
      <c r="P1008" s="3086"/>
      <c r="Q1008" s="2966"/>
      <c r="R1008" s="2976"/>
      <c r="S1008" s="2961"/>
      <c r="T1008" s="2961"/>
      <c r="U1008" s="2923"/>
      <c r="V1008" s="2923"/>
      <c r="W1008" s="2923"/>
      <c r="X1008" s="2962"/>
      <c r="Y1008" s="2961"/>
      <c r="Z1008" s="3086"/>
      <c r="AA1008" s="3086"/>
      <c r="AB1008" s="3086"/>
      <c r="AC1008" s="2976"/>
      <c r="AD1008" s="2976"/>
    </row>
    <row r="1009" spans="1:30">
      <c r="A1009" s="3086"/>
      <c r="B1009" s="2966"/>
      <c r="C1009" s="2976"/>
      <c r="D1009" s="2976"/>
      <c r="E1009" s="2976"/>
      <c r="F1009" s="2973"/>
      <c r="G1009" s="2976"/>
      <c r="H1009" s="2966"/>
      <c r="I1009" s="2966"/>
      <c r="J1009" s="2976"/>
      <c r="K1009" s="2976"/>
      <c r="L1009" s="2961"/>
      <c r="M1009" s="2976"/>
      <c r="N1009" s="3086"/>
      <c r="O1009" s="3086"/>
      <c r="P1009" s="2976"/>
      <c r="Q1009" s="2966"/>
      <c r="R1009" s="2976"/>
      <c r="S1009" s="2961"/>
      <c r="T1009" s="2961"/>
      <c r="U1009" s="2923"/>
      <c r="V1009" s="2923"/>
      <c r="W1009" s="2923"/>
      <c r="X1009" s="2961"/>
      <c r="Y1009" s="2961"/>
      <c r="Z1009" s="2976"/>
      <c r="AA1009" s="2976"/>
      <c r="AB1009" s="2976"/>
      <c r="AC1009" s="2976"/>
      <c r="AD1009" s="2976"/>
    </row>
    <row r="1010" spans="1:30">
      <c r="A1010" s="3086"/>
      <c r="B1010" s="2966"/>
      <c r="C1010" s="2976"/>
      <c r="D1010" s="2976"/>
      <c r="E1010" s="2976"/>
      <c r="F1010" s="2973"/>
      <c r="G1010" s="2976"/>
      <c r="H1010" s="2966"/>
      <c r="I1010" s="2966"/>
      <c r="J1010" s="2976"/>
      <c r="K1010" s="2976"/>
      <c r="L1010" s="2961"/>
      <c r="M1010" s="2976"/>
      <c r="N1010" s="3086"/>
      <c r="O1010" s="3086"/>
      <c r="P1010" s="3086"/>
      <c r="Q1010" s="2966"/>
      <c r="R1010" s="2976"/>
      <c r="S1010" s="2961"/>
      <c r="T1010" s="2961"/>
      <c r="U1010" s="2923"/>
      <c r="V1010" s="2923"/>
      <c r="W1010" s="2923"/>
      <c r="X1010" s="2962"/>
      <c r="Y1010" s="2961"/>
      <c r="Z1010" s="2976"/>
      <c r="AA1010" s="2976"/>
      <c r="AB1010" s="2976"/>
      <c r="AC1010" s="2976"/>
      <c r="AD1010" s="2976"/>
    </row>
    <row r="1011" spans="1:30">
      <c r="A1011" s="3086"/>
      <c r="B1011" s="2966"/>
      <c r="C1011" s="2976"/>
      <c r="D1011" s="2976"/>
      <c r="E1011" s="2976"/>
      <c r="F1011" s="2973"/>
      <c r="G1011" s="2976"/>
      <c r="H1011" s="2966"/>
      <c r="I1011" s="2966"/>
      <c r="J1011" s="2976"/>
      <c r="K1011" s="2976"/>
      <c r="L1011" s="2961"/>
      <c r="M1011" s="2976"/>
      <c r="N1011" s="3086"/>
      <c r="O1011" s="3086"/>
      <c r="P1011" s="3086"/>
      <c r="Q1011" s="2966"/>
      <c r="R1011" s="2976"/>
      <c r="S1011" s="2961"/>
      <c r="T1011" s="2961"/>
      <c r="U1011" s="2923"/>
      <c r="V1011" s="2923"/>
      <c r="W1011" s="2923"/>
      <c r="X1011" s="2962"/>
      <c r="Y1011" s="2961"/>
      <c r="Z1011" s="2976"/>
      <c r="AA1011" s="2976"/>
      <c r="AB1011" s="2976"/>
      <c r="AC1011" s="2976"/>
      <c r="AD1011" s="2976"/>
    </row>
    <row r="1012" spans="1:30">
      <c r="A1012" s="3086"/>
      <c r="B1012" s="2966"/>
      <c r="C1012" s="2976"/>
      <c r="D1012" s="2976"/>
      <c r="E1012" s="2976"/>
      <c r="F1012" s="2973"/>
      <c r="G1012" s="2976"/>
      <c r="H1012" s="2966"/>
      <c r="I1012" s="2966"/>
      <c r="J1012" s="2976"/>
      <c r="K1012" s="2976"/>
      <c r="L1012" s="2961"/>
      <c r="M1012" s="2976"/>
      <c r="N1012" s="3086"/>
      <c r="O1012" s="3086"/>
      <c r="P1012" s="2976"/>
      <c r="Q1012" s="2966"/>
      <c r="R1012" s="2976"/>
      <c r="S1012" s="2961"/>
      <c r="T1012" s="2961"/>
      <c r="U1012" s="2923"/>
      <c r="V1012" s="2923"/>
      <c r="W1012" s="2923"/>
      <c r="X1012" s="2961"/>
      <c r="Y1012" s="2961"/>
      <c r="Z1012" s="2976"/>
      <c r="AA1012" s="3086"/>
      <c r="AB1012" s="2966"/>
      <c r="AC1012" s="2976"/>
      <c r="AD1012" s="2976"/>
    </row>
    <row r="1013" spans="1:30">
      <c r="A1013" s="3086"/>
      <c r="B1013" s="2966"/>
      <c r="C1013" s="2976"/>
      <c r="D1013" s="2976"/>
      <c r="E1013" s="2976"/>
      <c r="F1013" s="2973"/>
      <c r="G1013" s="2976"/>
      <c r="H1013" s="2966"/>
      <c r="I1013" s="2966"/>
      <c r="J1013" s="2976"/>
      <c r="K1013" s="2976"/>
      <c r="L1013" s="2961"/>
      <c r="M1013" s="2976"/>
      <c r="N1013" s="3086"/>
      <c r="O1013" s="3086"/>
      <c r="P1013" s="3086"/>
      <c r="Q1013" s="2966"/>
      <c r="R1013" s="2976"/>
      <c r="S1013" s="2961"/>
      <c r="T1013" s="2961"/>
      <c r="U1013" s="2923"/>
      <c r="V1013" s="2923"/>
      <c r="W1013" s="2923"/>
      <c r="X1013" s="2962"/>
      <c r="Y1013" s="2961"/>
      <c r="Z1013" s="2976"/>
      <c r="AA1013" s="2976"/>
      <c r="AB1013" s="2976"/>
      <c r="AC1013" s="2976"/>
      <c r="AD1013" s="2976"/>
    </row>
    <row r="1014" spans="1:30">
      <c r="A1014" s="3086"/>
      <c r="B1014" s="2966"/>
      <c r="C1014" s="2976"/>
      <c r="D1014" s="2976"/>
      <c r="E1014" s="2976"/>
      <c r="F1014" s="3100"/>
      <c r="G1014" s="2976"/>
      <c r="H1014" s="2966"/>
      <c r="I1014" s="2966"/>
      <c r="J1014" s="2976"/>
      <c r="K1014" s="2976"/>
      <c r="L1014" s="2961"/>
      <c r="M1014" s="2976"/>
      <c r="N1014" s="3086"/>
      <c r="O1014" s="3086"/>
      <c r="P1014" s="3086"/>
      <c r="Q1014" s="2966"/>
      <c r="R1014" s="2976"/>
      <c r="S1014" s="2961"/>
      <c r="T1014" s="2961"/>
      <c r="U1014" s="2923"/>
      <c r="V1014" s="2923"/>
      <c r="W1014" s="2923"/>
      <c r="X1014" s="2962"/>
      <c r="Y1014" s="2961"/>
      <c r="Z1014" s="2976"/>
      <c r="AA1014" s="2976"/>
      <c r="AB1014" s="2976"/>
      <c r="AC1014" s="2976"/>
      <c r="AD1014" s="2976"/>
    </row>
    <row r="1015" spans="1:30">
      <c r="A1015" s="3086"/>
      <c r="B1015" s="2966"/>
      <c r="C1015" s="2976"/>
      <c r="D1015" s="2976"/>
      <c r="E1015" s="2976"/>
      <c r="F1015" s="3100"/>
      <c r="G1015" s="2976"/>
      <c r="H1015" s="2966"/>
      <c r="I1015" s="2966"/>
      <c r="J1015" s="2976"/>
      <c r="K1015" s="2976"/>
      <c r="L1015" s="2961"/>
      <c r="M1015" s="2976"/>
      <c r="N1015" s="3086"/>
      <c r="O1015" s="3086"/>
      <c r="P1015" s="2976"/>
      <c r="Q1015" s="2966"/>
      <c r="R1015" s="2976"/>
      <c r="S1015" s="2961"/>
      <c r="T1015" s="2961"/>
      <c r="U1015" s="2923"/>
      <c r="V1015" s="2923"/>
      <c r="W1015" s="2923"/>
      <c r="X1015" s="2961"/>
      <c r="Y1015" s="2961"/>
      <c r="Z1015" s="2966"/>
      <c r="AA1015" s="2976"/>
      <c r="AB1015" s="2966"/>
      <c r="AC1015" s="2976"/>
      <c r="AD1015" s="2976"/>
    </row>
    <row r="1016" spans="1:30">
      <c r="A1016" s="3086"/>
      <c r="B1016" s="2966"/>
      <c r="C1016" s="2976"/>
      <c r="D1016" s="2976"/>
      <c r="E1016" s="2976"/>
      <c r="F1016" s="3100"/>
      <c r="G1016" s="2976"/>
      <c r="H1016" s="2966"/>
      <c r="I1016" s="2966"/>
      <c r="J1016" s="2976"/>
      <c r="K1016" s="2976"/>
      <c r="L1016" s="2961"/>
      <c r="M1016" s="2976"/>
      <c r="N1016" s="3086"/>
      <c r="O1016" s="3086"/>
      <c r="P1016" s="2976"/>
      <c r="Q1016" s="2972"/>
      <c r="R1016" s="2976"/>
      <c r="S1016" s="2961"/>
      <c r="T1016" s="2961"/>
      <c r="U1016" s="2923"/>
      <c r="V1016" s="2923"/>
      <c r="W1016" s="2923"/>
      <c r="X1016" s="2961"/>
      <c r="Y1016" s="2961"/>
      <c r="Z1016" s="2976"/>
      <c r="AA1016" s="2963"/>
      <c r="AB1016" s="2966"/>
      <c r="AC1016" s="2976"/>
      <c r="AD1016" s="2976"/>
    </row>
    <row r="1017" spans="1:30">
      <c r="A1017" s="3086"/>
      <c r="B1017" s="2966"/>
      <c r="C1017" s="2976"/>
      <c r="D1017" s="2976"/>
      <c r="E1017" s="2976"/>
      <c r="F1017" s="2973"/>
      <c r="G1017" s="2976"/>
      <c r="H1017" s="2966"/>
      <c r="I1017" s="2966"/>
      <c r="J1017" s="2976"/>
      <c r="K1017" s="2976"/>
      <c r="L1017" s="2961"/>
      <c r="M1017" s="2976"/>
      <c r="N1017" s="3086"/>
      <c r="O1017" s="3086"/>
      <c r="P1017" s="3086"/>
      <c r="Q1017" s="2966"/>
      <c r="R1017" s="2976"/>
      <c r="S1017" s="2961"/>
      <c r="T1017" s="2961"/>
      <c r="U1017" s="2923"/>
      <c r="V1017" s="2923"/>
      <c r="W1017" s="2923"/>
      <c r="X1017" s="2962"/>
      <c r="Y1017" s="2961"/>
      <c r="Z1017" s="2976"/>
      <c r="AA1017" s="2976"/>
      <c r="AB1017" s="2976"/>
      <c r="AC1017" s="2976"/>
      <c r="AD1017" s="2976"/>
    </row>
    <row r="1018" spans="1:30">
      <c r="A1018" s="3086"/>
      <c r="B1018" s="2966"/>
      <c r="C1018" s="2976"/>
      <c r="D1018" s="2976"/>
      <c r="E1018" s="2976"/>
      <c r="F1018" s="2973"/>
      <c r="G1018" s="2976"/>
      <c r="H1018" s="2966"/>
      <c r="I1018" s="2966"/>
      <c r="J1018" s="2976"/>
      <c r="K1018" s="2976"/>
      <c r="L1018" s="2961"/>
      <c r="M1018" s="2976"/>
      <c r="N1018" s="3086"/>
      <c r="O1018" s="3086"/>
      <c r="P1018" s="3086"/>
      <c r="Q1018" s="2966"/>
      <c r="R1018" s="2976"/>
      <c r="S1018" s="2961"/>
      <c r="T1018" s="2961"/>
      <c r="U1018" s="2923"/>
      <c r="V1018" s="2923"/>
      <c r="W1018" s="2923"/>
      <c r="X1018" s="2962"/>
      <c r="Y1018" s="2961"/>
      <c r="Z1018" s="3086"/>
      <c r="AA1018" s="3086"/>
      <c r="AB1018" s="3086"/>
      <c r="AC1018" s="2976"/>
      <c r="AD1018" s="2976"/>
    </row>
    <row r="1019" spans="1:30">
      <c r="A1019" s="2976"/>
      <c r="B1019" s="2966"/>
      <c r="C1019" s="2976"/>
      <c r="D1019" s="2976"/>
      <c r="E1019" s="2976"/>
      <c r="F1019" s="2973"/>
      <c r="G1019" s="2976"/>
      <c r="H1019" s="2966"/>
      <c r="I1019" s="2966"/>
      <c r="J1019" s="2976"/>
      <c r="K1019" s="2976"/>
      <c r="L1019" s="2961"/>
      <c r="M1019" s="2976"/>
      <c r="N1019" s="3086"/>
      <c r="O1019" s="3086"/>
      <c r="P1019" s="3086"/>
      <c r="Q1019" s="2966"/>
      <c r="R1019" s="2976"/>
      <c r="S1019" s="2961"/>
      <c r="T1019" s="2961"/>
      <c r="U1019" s="2923"/>
      <c r="V1019" s="2923"/>
      <c r="W1019" s="2923"/>
      <c r="X1019" s="2962"/>
      <c r="Y1019" s="2971"/>
      <c r="Z1019" s="3086"/>
      <c r="AA1019" s="3086"/>
      <c r="AB1019" s="3086"/>
      <c r="AC1019" s="2976"/>
      <c r="AD1019" s="2976"/>
    </row>
    <row r="1020" spans="1:30">
      <c r="A1020" s="2963"/>
      <c r="B1020" s="2873"/>
      <c r="C1020" s="2964"/>
      <c r="D1020" s="2964"/>
      <c r="E1020" s="2964"/>
      <c r="F1020" s="2965"/>
      <c r="G1020" s="2964"/>
      <c r="H1020" s="2873"/>
      <c r="I1020" s="2873"/>
      <c r="J1020" s="2964"/>
      <c r="K1020" s="2964"/>
      <c r="L1020" s="2967"/>
      <c r="M1020" s="2964"/>
      <c r="N1020" s="2963"/>
      <c r="O1020" s="2963"/>
      <c r="P1020" s="2964"/>
      <c r="Q1020" s="2873"/>
      <c r="R1020" s="2964"/>
      <c r="S1020" s="2967"/>
      <c r="T1020" s="2967"/>
      <c r="U1020" s="2923"/>
      <c r="V1020" s="2923"/>
      <c r="W1020" s="2923"/>
      <c r="X1020" s="2967"/>
      <c r="Y1020" s="2967"/>
      <c r="Z1020" s="2964"/>
      <c r="AA1020" s="2964"/>
      <c r="AB1020" s="2964"/>
      <c r="AC1020" s="2976"/>
      <c r="AD1020" s="2976"/>
    </row>
    <row r="1021" spans="1:30">
      <c r="A1021" s="3086"/>
      <c r="B1021" s="2966"/>
      <c r="C1021" s="2976"/>
      <c r="D1021" s="2976"/>
      <c r="E1021" s="2976"/>
      <c r="F1021" s="2973"/>
      <c r="G1021" s="2976"/>
      <c r="H1021" s="2966"/>
      <c r="I1021" s="2966"/>
      <c r="J1021" s="2976"/>
      <c r="K1021" s="2976"/>
      <c r="L1021" s="2961"/>
      <c r="M1021" s="2976"/>
      <c r="N1021" s="3086"/>
      <c r="O1021" s="3086"/>
      <c r="P1021" s="2976"/>
      <c r="Q1021" s="2966"/>
      <c r="R1021" s="2976"/>
      <c r="S1021" s="2961"/>
      <c r="T1021" s="2961"/>
      <c r="U1021" s="2923"/>
      <c r="V1021" s="2923"/>
      <c r="W1021" s="2923"/>
      <c r="X1021" s="2961"/>
      <c r="Y1021" s="2961"/>
      <c r="Z1021" s="2976"/>
      <c r="AA1021" s="2976"/>
      <c r="AB1021" s="2976"/>
      <c r="AC1021" s="2976"/>
      <c r="AD1021" s="2976"/>
    </row>
    <row r="1022" spans="1:30">
      <c r="A1022" s="2976"/>
      <c r="B1022" s="2978"/>
      <c r="C1022" s="2981"/>
      <c r="D1022" s="2981"/>
      <c r="E1022" s="2981"/>
      <c r="F1022" s="2982"/>
      <c r="G1022" s="2981"/>
      <c r="H1022" s="2978"/>
      <c r="I1022" s="2978"/>
      <c r="J1022" s="2981"/>
      <c r="K1022" s="2981"/>
      <c r="L1022" s="2980"/>
      <c r="M1022" s="2981"/>
      <c r="N1022" s="2976"/>
      <c r="O1022" s="2976"/>
      <c r="P1022" s="2976"/>
      <c r="Q1022" s="2966"/>
      <c r="R1022" s="2976"/>
      <c r="S1022" s="2961"/>
      <c r="T1022" s="2961"/>
      <c r="U1022" s="2923"/>
      <c r="V1022" s="2923"/>
      <c r="W1022" s="2923"/>
      <c r="X1022" s="2961"/>
      <c r="Y1022" s="2961"/>
      <c r="Z1022" s="2976"/>
      <c r="AA1022" s="2976"/>
      <c r="AB1022" s="2976"/>
      <c r="AC1022" s="2976"/>
      <c r="AD1022" s="2976"/>
    </row>
    <row r="1023" spans="1:30">
      <c r="A1023" s="3086"/>
      <c r="B1023" s="2966"/>
      <c r="C1023" s="2976"/>
      <c r="D1023" s="2976"/>
      <c r="E1023" s="2976"/>
      <c r="F1023" s="2973"/>
      <c r="G1023" s="2976"/>
      <c r="H1023" s="2966"/>
      <c r="I1023" s="2966"/>
      <c r="J1023" s="2976"/>
      <c r="K1023" s="2976"/>
      <c r="L1023" s="2961"/>
      <c r="M1023" s="2976"/>
      <c r="N1023" s="3086"/>
      <c r="O1023" s="3086"/>
      <c r="P1023" s="3086"/>
      <c r="Q1023" s="2972"/>
      <c r="R1023" s="2976"/>
      <c r="S1023" s="2961"/>
      <c r="T1023" s="2961"/>
      <c r="U1023" s="2923"/>
      <c r="V1023" s="2923"/>
      <c r="W1023" s="2923"/>
      <c r="X1023" s="2962"/>
      <c r="Y1023" s="2961"/>
      <c r="Z1023" s="2976"/>
      <c r="AA1023" s="3086"/>
      <c r="AB1023" s="2976"/>
      <c r="AC1023" s="2976"/>
      <c r="AD1023" s="2976"/>
    </row>
    <row r="1024" spans="1:30">
      <c r="A1024" s="3086"/>
      <c r="B1024" s="2966"/>
      <c r="C1024" s="2976"/>
      <c r="D1024" s="2976"/>
      <c r="E1024" s="2976"/>
      <c r="F1024" s="2973"/>
      <c r="G1024" s="2976"/>
      <c r="H1024" s="2966"/>
      <c r="I1024" s="2966"/>
      <c r="J1024" s="2976"/>
      <c r="K1024" s="2976"/>
      <c r="L1024" s="2961"/>
      <c r="M1024" s="2976"/>
      <c r="N1024" s="3086"/>
      <c r="O1024" s="3086"/>
      <c r="P1024" s="3086"/>
      <c r="Q1024" s="2966"/>
      <c r="R1024" s="2976"/>
      <c r="S1024" s="2961"/>
      <c r="T1024" s="2961"/>
      <c r="U1024" s="2923"/>
      <c r="V1024" s="2923"/>
      <c r="W1024" s="2923"/>
      <c r="X1024" s="2962"/>
      <c r="Y1024" s="2971"/>
      <c r="Z1024" s="3086"/>
      <c r="AA1024" s="2976"/>
      <c r="AB1024" s="3086"/>
      <c r="AC1024" s="2976"/>
      <c r="AD1024" s="2976"/>
    </row>
    <row r="1025" spans="1:30">
      <c r="A1025" s="3086"/>
      <c r="B1025" s="2966"/>
      <c r="C1025" s="2976"/>
      <c r="D1025" s="2976"/>
      <c r="E1025" s="2976"/>
      <c r="F1025" s="2973"/>
      <c r="G1025" s="2976"/>
      <c r="H1025" s="2966"/>
      <c r="I1025" s="2966"/>
      <c r="J1025" s="2976"/>
      <c r="K1025" s="2976"/>
      <c r="L1025" s="2961"/>
      <c r="M1025" s="2976"/>
      <c r="N1025" s="3086"/>
      <c r="O1025" s="3086"/>
      <c r="P1025" s="3086"/>
      <c r="Q1025" s="2966"/>
      <c r="R1025" s="2976"/>
      <c r="S1025" s="2961"/>
      <c r="T1025" s="2961"/>
      <c r="U1025" s="2923"/>
      <c r="V1025" s="2923"/>
      <c r="W1025" s="2923"/>
      <c r="X1025" s="2962"/>
      <c r="Y1025" s="2971"/>
      <c r="Z1025" s="3086"/>
      <c r="AA1025" s="3086"/>
      <c r="AB1025" s="3086"/>
      <c r="AC1025" s="2976"/>
      <c r="AD1025" s="2976"/>
    </row>
    <row r="1026" spans="1:30">
      <c r="A1026" s="2976"/>
      <c r="B1026" s="2966"/>
      <c r="C1026" s="2976"/>
      <c r="D1026" s="2976"/>
      <c r="E1026" s="2976"/>
      <c r="F1026" s="2973"/>
      <c r="G1026" s="2976"/>
      <c r="H1026" s="2966"/>
      <c r="I1026" s="2966"/>
      <c r="J1026" s="2976"/>
      <c r="K1026" s="2976"/>
      <c r="L1026" s="2961"/>
      <c r="M1026" s="2976"/>
      <c r="N1026" s="3086"/>
      <c r="O1026" s="3086"/>
      <c r="P1026" s="3086"/>
      <c r="Q1026" s="2966"/>
      <c r="R1026" s="2976"/>
      <c r="S1026" s="2961"/>
      <c r="T1026" s="2961"/>
      <c r="U1026" s="2923"/>
      <c r="V1026" s="2923"/>
      <c r="W1026" s="2923"/>
      <c r="X1026" s="2962"/>
      <c r="Y1026" s="2961"/>
      <c r="Z1026" s="3086"/>
      <c r="AA1026" s="3086"/>
      <c r="AB1026" s="3086"/>
      <c r="AC1026" s="2976"/>
      <c r="AD1026" s="2976"/>
    </row>
    <row r="1027" spans="1:30">
      <c r="A1027" s="3086"/>
      <c r="B1027" s="2966"/>
      <c r="C1027" s="2976"/>
      <c r="D1027" s="2976"/>
      <c r="E1027" s="2976"/>
      <c r="F1027" s="2973"/>
      <c r="G1027" s="2976"/>
      <c r="H1027" s="2966"/>
      <c r="I1027" s="2966"/>
      <c r="J1027" s="2976"/>
      <c r="K1027" s="2976"/>
      <c r="L1027" s="2961"/>
      <c r="M1027" s="2976"/>
      <c r="N1027" s="3086"/>
      <c r="O1027" s="3086"/>
      <c r="P1027" s="3086"/>
      <c r="Q1027" s="2966"/>
      <c r="R1027" s="2976"/>
      <c r="S1027" s="2961"/>
      <c r="T1027" s="2961"/>
      <c r="U1027" s="2923"/>
      <c r="V1027" s="2923"/>
      <c r="W1027" s="2923"/>
      <c r="X1027" s="2962"/>
      <c r="Y1027" s="2971"/>
      <c r="Z1027" s="3086"/>
      <c r="AA1027" s="3086"/>
      <c r="AB1027" s="3086"/>
      <c r="AC1027" s="2976"/>
      <c r="AD1027" s="2976"/>
    </row>
    <row r="1028" spans="1:30">
      <c r="A1028" s="3086"/>
      <c r="B1028" s="2966"/>
      <c r="C1028" s="2976"/>
      <c r="D1028" s="2976"/>
      <c r="E1028" s="2976"/>
      <c r="F1028" s="2973"/>
      <c r="G1028" s="2976"/>
      <c r="H1028" s="2966"/>
      <c r="I1028" s="2966"/>
      <c r="J1028" s="2976"/>
      <c r="K1028" s="2976"/>
      <c r="L1028" s="2961"/>
      <c r="M1028" s="2976"/>
      <c r="N1028" s="3086"/>
      <c r="O1028" s="3086"/>
      <c r="P1028" s="2976"/>
      <c r="Q1028" s="2966"/>
      <c r="R1028" s="2976"/>
      <c r="S1028" s="2961"/>
      <c r="T1028" s="2961"/>
      <c r="U1028" s="2923"/>
      <c r="V1028" s="2923"/>
      <c r="W1028" s="2923"/>
      <c r="X1028" s="2961"/>
      <c r="Y1028" s="2961"/>
      <c r="Z1028" s="2976"/>
      <c r="AA1028" s="2976"/>
      <c r="AB1028" s="2976"/>
      <c r="AC1028" s="2976"/>
      <c r="AD1028" s="2976"/>
    </row>
    <row r="1029" spans="1:30">
      <c r="A1029" s="3086"/>
      <c r="B1029" s="2966"/>
      <c r="C1029" s="2976"/>
      <c r="D1029" s="2976"/>
      <c r="E1029" s="2976"/>
      <c r="F1029" s="2973"/>
      <c r="G1029" s="2976"/>
      <c r="H1029" s="2966"/>
      <c r="I1029" s="2966"/>
      <c r="J1029" s="2976"/>
      <c r="K1029" s="2976"/>
      <c r="L1029" s="2961"/>
      <c r="M1029" s="2976"/>
      <c r="N1029" s="3086"/>
      <c r="O1029" s="3086"/>
      <c r="P1029" s="2976"/>
      <c r="Q1029" s="2966"/>
      <c r="R1029" s="2976"/>
      <c r="S1029" s="2961"/>
      <c r="T1029" s="2961"/>
      <c r="U1029" s="2923"/>
      <c r="V1029" s="2923"/>
      <c r="W1029" s="2923"/>
      <c r="X1029" s="2961"/>
      <c r="Y1029" s="2961"/>
      <c r="Z1029" s="2976"/>
      <c r="AA1029" s="2976"/>
      <c r="AB1029" s="2976"/>
      <c r="AC1029" s="2976"/>
      <c r="AD1029" s="2976"/>
    </row>
    <row r="1030" spans="1:30">
      <c r="A1030" s="3086"/>
      <c r="B1030" s="2966"/>
      <c r="C1030" s="2976"/>
      <c r="D1030" s="2976"/>
      <c r="E1030" s="2976"/>
      <c r="F1030" s="2973"/>
      <c r="G1030" s="2976"/>
      <c r="H1030" s="2966"/>
      <c r="I1030" s="2966"/>
      <c r="J1030" s="2976"/>
      <c r="K1030" s="2976"/>
      <c r="L1030" s="2961"/>
      <c r="M1030" s="2976"/>
      <c r="N1030" s="3086"/>
      <c r="O1030" s="3086"/>
      <c r="P1030" s="2976"/>
      <c r="Q1030" s="2966"/>
      <c r="R1030" s="2976"/>
      <c r="S1030" s="2961"/>
      <c r="T1030" s="2961"/>
      <c r="U1030" s="2923"/>
      <c r="V1030" s="2923"/>
      <c r="W1030" s="2923"/>
      <c r="X1030" s="2961"/>
      <c r="Y1030" s="2961"/>
      <c r="Z1030" s="2976"/>
      <c r="AA1030" s="2976"/>
      <c r="AB1030" s="2976"/>
      <c r="AC1030" s="2976"/>
      <c r="AD1030" s="2976"/>
    </row>
    <row r="1031" spans="1:30">
      <c r="A1031" s="3086"/>
      <c r="B1031" s="2966"/>
      <c r="C1031" s="2976"/>
      <c r="D1031" s="2976"/>
      <c r="E1031" s="2976"/>
      <c r="F1031" s="2973"/>
      <c r="G1031" s="2976"/>
      <c r="H1031" s="2966"/>
      <c r="I1031" s="2966"/>
      <c r="J1031" s="2976"/>
      <c r="K1031" s="2976"/>
      <c r="L1031" s="2961"/>
      <c r="M1031" s="2976"/>
      <c r="N1031" s="3086"/>
      <c r="O1031" s="3086"/>
      <c r="P1031" s="2976"/>
      <c r="Q1031" s="2966"/>
      <c r="R1031" s="2976"/>
      <c r="S1031" s="2961"/>
      <c r="T1031" s="2961"/>
      <c r="U1031" s="2923"/>
      <c r="V1031" s="2923"/>
      <c r="W1031" s="2923"/>
      <c r="X1031" s="2961"/>
      <c r="Y1031" s="2961"/>
      <c r="Z1031" s="2976"/>
      <c r="AA1031" s="2976"/>
      <c r="AB1031" s="2976"/>
      <c r="AC1031" s="2976"/>
      <c r="AD1031" s="2976"/>
    </row>
    <row r="1032" spans="1:30">
      <c r="A1032" s="3086"/>
      <c r="B1032" s="2966"/>
      <c r="C1032" s="2976"/>
      <c r="D1032" s="2976"/>
      <c r="E1032" s="2976"/>
      <c r="F1032" s="2973"/>
      <c r="G1032" s="2976"/>
      <c r="H1032" s="2966"/>
      <c r="I1032" s="2966"/>
      <c r="J1032" s="2976"/>
      <c r="K1032" s="2976"/>
      <c r="L1032" s="2961"/>
      <c r="M1032" s="2976"/>
      <c r="N1032" s="3086"/>
      <c r="O1032" s="3086"/>
      <c r="P1032" s="3086"/>
      <c r="Q1032" s="2966"/>
      <c r="R1032" s="2976"/>
      <c r="S1032" s="2961"/>
      <c r="T1032" s="2961"/>
      <c r="U1032" s="2923"/>
      <c r="V1032" s="2923"/>
      <c r="W1032" s="2923"/>
      <c r="X1032" s="2962"/>
      <c r="Y1032" s="2961"/>
      <c r="Z1032" s="3086"/>
      <c r="AA1032" s="3086"/>
      <c r="AB1032" s="2976"/>
      <c r="AC1032" s="2976"/>
      <c r="AD1032" s="2976"/>
    </row>
    <row r="1033" spans="1:30">
      <c r="A1033" s="3086"/>
      <c r="B1033" s="2966"/>
      <c r="C1033" s="2976"/>
      <c r="D1033" s="2976"/>
      <c r="E1033" s="2976"/>
      <c r="F1033" s="2973"/>
      <c r="G1033" s="2976"/>
      <c r="H1033" s="2966"/>
      <c r="I1033" s="2966"/>
      <c r="J1033" s="2976"/>
      <c r="K1033" s="2976"/>
      <c r="L1033" s="2961"/>
      <c r="M1033" s="2976"/>
      <c r="N1033" s="3086"/>
      <c r="O1033" s="3086"/>
      <c r="P1033" s="3086"/>
      <c r="Q1033" s="2966"/>
      <c r="R1033" s="2976"/>
      <c r="S1033" s="2961"/>
      <c r="T1033" s="2961"/>
      <c r="U1033" s="2923"/>
      <c r="V1033" s="2923"/>
      <c r="W1033" s="2923"/>
      <c r="X1033" s="2962"/>
      <c r="Y1033" s="2961"/>
      <c r="Z1033" s="3086"/>
      <c r="AA1033" s="3086"/>
      <c r="AB1033" s="2976"/>
      <c r="AC1033" s="2976"/>
      <c r="AD1033" s="2976"/>
    </row>
    <row r="1034" spans="1:30">
      <c r="A1034" s="3086"/>
      <c r="B1034" s="2966"/>
      <c r="C1034" s="2976"/>
      <c r="D1034" s="2976"/>
      <c r="E1034" s="2976"/>
      <c r="F1034" s="2973"/>
      <c r="G1034" s="2976"/>
      <c r="H1034" s="2966"/>
      <c r="I1034" s="2966"/>
      <c r="J1034" s="2976"/>
      <c r="K1034" s="2976"/>
      <c r="L1034" s="2961"/>
      <c r="M1034" s="2976"/>
      <c r="N1034" s="3086"/>
      <c r="O1034" s="3086"/>
      <c r="P1034" s="2976"/>
      <c r="Q1034" s="2972"/>
      <c r="R1034" s="2739"/>
      <c r="S1034" s="2961"/>
      <c r="T1034" s="2961"/>
      <c r="U1034" s="2923"/>
      <c r="V1034" s="2923"/>
      <c r="W1034" s="2923"/>
      <c r="X1034" s="2961"/>
      <c r="Y1034" s="2961"/>
      <c r="Z1034" s="2976"/>
      <c r="AA1034" s="3086"/>
      <c r="AB1034" s="2976"/>
      <c r="AC1034" s="2976"/>
      <c r="AD1034" s="2976"/>
    </row>
    <row r="1035" spans="1:30">
      <c r="A1035" s="3086"/>
      <c r="B1035" s="2966"/>
      <c r="C1035" s="2976"/>
      <c r="D1035" s="2976"/>
      <c r="E1035" s="2976"/>
      <c r="F1035" s="2973"/>
      <c r="G1035" s="2976"/>
      <c r="H1035" s="2966"/>
      <c r="I1035" s="2966"/>
      <c r="J1035" s="2976"/>
      <c r="K1035" s="2976"/>
      <c r="L1035" s="2961"/>
      <c r="M1035" s="2976"/>
      <c r="N1035" s="3086"/>
      <c r="O1035" s="3086"/>
      <c r="P1035" s="3086"/>
      <c r="Q1035" s="2966"/>
      <c r="R1035" s="2976"/>
      <c r="S1035" s="2961"/>
      <c r="T1035" s="2961"/>
      <c r="U1035" s="2923"/>
      <c r="V1035" s="2923"/>
      <c r="W1035" s="2923"/>
      <c r="X1035" s="2962"/>
      <c r="Y1035" s="2961"/>
      <c r="Z1035" s="2976"/>
      <c r="AA1035" s="2976"/>
      <c r="AB1035" s="2976"/>
      <c r="AC1035" s="2976"/>
      <c r="AD1035" s="2976"/>
    </row>
    <row r="1036" spans="1:30">
      <c r="A1036" s="3086"/>
      <c r="B1036" s="2966"/>
      <c r="C1036" s="2976"/>
      <c r="D1036" s="2976"/>
      <c r="E1036" s="2976"/>
      <c r="F1036" s="2973"/>
      <c r="G1036" s="2976"/>
      <c r="H1036" s="2966"/>
      <c r="I1036" s="2966"/>
      <c r="J1036" s="2976"/>
      <c r="K1036" s="2976"/>
      <c r="L1036" s="2961"/>
      <c r="M1036" s="2976"/>
      <c r="N1036" s="3086"/>
      <c r="O1036" s="3086"/>
      <c r="P1036" s="3086"/>
      <c r="Q1036" s="2966"/>
      <c r="R1036" s="2976"/>
      <c r="S1036" s="2961"/>
      <c r="T1036" s="2961"/>
      <c r="U1036" s="2923"/>
      <c r="V1036" s="2923"/>
      <c r="W1036" s="2923"/>
      <c r="X1036" s="2962"/>
      <c r="Y1036" s="2961"/>
      <c r="Z1036" s="2976"/>
      <c r="AA1036" s="2976"/>
      <c r="AB1036" s="2976"/>
      <c r="AC1036" s="2976"/>
      <c r="AD1036" s="2976"/>
    </row>
    <row r="1037" spans="1:30">
      <c r="A1037" s="2963"/>
      <c r="B1037" s="2873"/>
      <c r="C1037" s="2964"/>
      <c r="D1037" s="2964"/>
      <c r="E1037" s="2964"/>
      <c r="F1037" s="2965"/>
      <c r="G1037" s="2964"/>
      <c r="H1037" s="2873"/>
      <c r="I1037" s="2873"/>
      <c r="J1037" s="2984"/>
      <c r="K1037" s="2964"/>
      <c r="L1037" s="2967"/>
      <c r="M1037" s="2964"/>
      <c r="N1037" s="2963"/>
      <c r="O1037" s="2963"/>
      <c r="P1037" s="2964"/>
      <c r="Q1037" s="2974"/>
      <c r="R1037" s="2985"/>
      <c r="S1037" s="2967"/>
      <c r="T1037" s="2967"/>
      <c r="U1037" s="2923"/>
      <c r="V1037" s="2923"/>
      <c r="W1037" s="2923"/>
      <c r="X1037" s="2967"/>
      <c r="Y1037" s="2967"/>
      <c r="Z1037" s="2964"/>
      <c r="AA1037" s="2964"/>
      <c r="AB1037" s="2964"/>
      <c r="AC1037" s="2976"/>
      <c r="AD1037" s="2976"/>
    </row>
    <row r="1038" spans="1:30">
      <c r="A1038" s="3086"/>
      <c r="B1038" s="2966"/>
      <c r="C1038" s="2976"/>
      <c r="D1038" s="2976"/>
      <c r="E1038" s="2976"/>
      <c r="F1038" s="2973"/>
      <c r="G1038" s="2976"/>
      <c r="H1038" s="2966"/>
      <c r="I1038" s="2966"/>
      <c r="J1038" s="2976"/>
      <c r="K1038" s="2976"/>
      <c r="L1038" s="2961"/>
      <c r="M1038" s="2976"/>
      <c r="N1038" s="3086"/>
      <c r="O1038" s="3086"/>
      <c r="P1038" s="2976"/>
      <c r="Q1038" s="2972"/>
      <c r="R1038" s="2739"/>
      <c r="S1038" s="2961"/>
      <c r="T1038" s="2961"/>
      <c r="U1038" s="2923"/>
      <c r="V1038" s="2923"/>
      <c r="W1038" s="2923"/>
      <c r="X1038" s="2961"/>
      <c r="Y1038" s="2961"/>
      <c r="Z1038" s="2976"/>
      <c r="AA1038" s="3086"/>
      <c r="AB1038" s="2976"/>
      <c r="AC1038" s="2976"/>
      <c r="AD1038" s="2976"/>
    </row>
    <row r="1039" spans="1:30">
      <c r="A1039" s="3086"/>
      <c r="B1039" s="2966"/>
      <c r="C1039" s="2976"/>
      <c r="D1039" s="2976"/>
      <c r="E1039" s="2976"/>
      <c r="F1039" s="2973"/>
      <c r="G1039" s="2976"/>
      <c r="H1039" s="2966"/>
      <c r="I1039" s="2966"/>
      <c r="J1039" s="2976"/>
      <c r="K1039" s="2976"/>
      <c r="L1039" s="2961"/>
      <c r="M1039" s="2976"/>
      <c r="N1039" s="3086"/>
      <c r="O1039" s="3086"/>
      <c r="P1039" s="2976"/>
      <c r="Q1039" s="2966"/>
      <c r="R1039" s="2976"/>
      <c r="S1039" s="2961"/>
      <c r="T1039" s="2961"/>
      <c r="U1039" s="2923"/>
      <c r="V1039" s="2923"/>
      <c r="W1039" s="2923"/>
      <c r="X1039" s="2961"/>
      <c r="Y1039" s="2961"/>
      <c r="Z1039" s="2976"/>
      <c r="AA1039" s="2976"/>
      <c r="AB1039" s="2976"/>
      <c r="AC1039" s="2976"/>
      <c r="AD1039" s="2976"/>
    </row>
    <row r="1040" spans="1:30">
      <c r="A1040" s="3086"/>
      <c r="B1040" s="2966"/>
      <c r="C1040" s="2976"/>
      <c r="D1040" s="2976"/>
      <c r="E1040" s="2976"/>
      <c r="F1040" s="2973"/>
      <c r="G1040" s="2976"/>
      <c r="H1040" s="2966"/>
      <c r="I1040" s="2966"/>
      <c r="J1040" s="2976"/>
      <c r="K1040" s="2976"/>
      <c r="L1040" s="2961"/>
      <c r="M1040" s="2976"/>
      <c r="N1040" s="3086"/>
      <c r="O1040" s="3086"/>
      <c r="P1040" s="3086"/>
      <c r="Q1040" s="2966"/>
      <c r="R1040" s="2976"/>
      <c r="S1040" s="2961"/>
      <c r="T1040" s="2961"/>
      <c r="U1040" s="2923"/>
      <c r="V1040" s="2923"/>
      <c r="W1040" s="2923"/>
      <c r="X1040" s="2962"/>
      <c r="Y1040" s="2961"/>
      <c r="Z1040" s="3086"/>
      <c r="AA1040" s="3086"/>
      <c r="AB1040" s="3086"/>
      <c r="AC1040" s="2976"/>
      <c r="AD1040" s="2976"/>
    </row>
    <row r="1041" spans="1:30">
      <c r="A1041" s="3086"/>
      <c r="B1041" s="2966"/>
      <c r="C1041" s="2976"/>
      <c r="D1041" s="2976"/>
      <c r="E1041" s="2976"/>
      <c r="F1041" s="2973"/>
      <c r="G1041" s="2976"/>
      <c r="H1041" s="2966"/>
      <c r="I1041" s="2966"/>
      <c r="J1041" s="2976"/>
      <c r="K1041" s="2976"/>
      <c r="L1041" s="2961"/>
      <c r="M1041" s="2976"/>
      <c r="N1041" s="2976"/>
      <c r="O1041" s="3086"/>
      <c r="P1041" s="2976"/>
      <c r="Q1041" s="2966"/>
      <c r="R1041" s="2976"/>
      <c r="S1041" s="2961"/>
      <c r="T1041" s="2961"/>
      <c r="U1041" s="2923"/>
      <c r="V1041" s="2923"/>
      <c r="W1041" s="2923"/>
      <c r="X1041" s="2961"/>
      <c r="Y1041" s="2961"/>
      <c r="Z1041" s="2976"/>
      <c r="AA1041" s="2976"/>
      <c r="AB1041" s="2976"/>
      <c r="AC1041" s="2976"/>
      <c r="AD1041" s="2976"/>
    </row>
    <row r="1042" spans="1:30">
      <c r="A1042" s="3086"/>
      <c r="B1042" s="2966"/>
      <c r="C1042" s="2976"/>
      <c r="D1042" s="2976"/>
      <c r="E1042" s="2976"/>
      <c r="F1042" s="2973"/>
      <c r="G1042" s="2976"/>
      <c r="H1042" s="2966"/>
      <c r="I1042" s="2966"/>
      <c r="J1042" s="2976"/>
      <c r="K1042" s="2976"/>
      <c r="L1042" s="2961"/>
      <c r="M1042" s="2976"/>
      <c r="N1042" s="3086"/>
      <c r="O1042" s="3086"/>
      <c r="P1042" s="2976"/>
      <c r="Q1042" s="2972"/>
      <c r="R1042" s="2976"/>
      <c r="S1042" s="2961"/>
      <c r="T1042" s="2961"/>
      <c r="U1042" s="2923"/>
      <c r="V1042" s="2923"/>
      <c r="W1042" s="2923"/>
      <c r="X1042" s="2961"/>
      <c r="Y1042" s="2961"/>
      <c r="Z1042" s="2976"/>
      <c r="AA1042" s="3086"/>
      <c r="AB1042" s="2966"/>
      <c r="AC1042" s="2976"/>
      <c r="AD1042" s="2976"/>
    </row>
    <row r="1043" spans="1:30">
      <c r="A1043" s="2976"/>
      <c r="B1043" s="2966"/>
      <c r="C1043" s="2976"/>
      <c r="D1043" s="2976"/>
      <c r="E1043" s="2976"/>
      <c r="F1043" s="2973"/>
      <c r="G1043" s="2976"/>
      <c r="H1043" s="2966"/>
      <c r="I1043" s="2966"/>
      <c r="J1043" s="2976"/>
      <c r="K1043" s="2976"/>
      <c r="L1043" s="2961"/>
      <c r="M1043" s="2976"/>
      <c r="N1043" s="3086"/>
      <c r="O1043" s="3086"/>
      <c r="P1043" s="3086"/>
      <c r="Q1043" s="2966"/>
      <c r="R1043" s="2976"/>
      <c r="S1043" s="2961"/>
      <c r="T1043" s="2961"/>
      <c r="U1043" s="2923"/>
      <c r="V1043" s="2923"/>
      <c r="W1043" s="2923"/>
      <c r="X1043" s="2961"/>
      <c r="Y1043" s="2961"/>
      <c r="Z1043" s="2976"/>
      <c r="AA1043" s="2976"/>
      <c r="AB1043" s="2976"/>
      <c r="AC1043" s="2976"/>
      <c r="AD1043" s="2976"/>
    </row>
    <row r="1044" spans="1:30">
      <c r="A1044" s="3086"/>
      <c r="B1044" s="2966"/>
      <c r="C1044" s="2976"/>
      <c r="D1044" s="2976"/>
      <c r="E1044" s="2976"/>
      <c r="F1044" s="2973"/>
      <c r="G1044" s="2976"/>
      <c r="H1044" s="2966"/>
      <c r="I1044" s="2966"/>
      <c r="J1044" s="2976"/>
      <c r="K1044" s="2976"/>
      <c r="L1044" s="2961"/>
      <c r="M1044" s="2976"/>
      <c r="N1044" s="3086"/>
      <c r="O1044" s="3086"/>
      <c r="P1044" s="3086"/>
      <c r="Q1044" s="2966"/>
      <c r="R1044" s="2976"/>
      <c r="S1044" s="2961"/>
      <c r="T1044" s="2961"/>
      <c r="U1044" s="2923"/>
      <c r="V1044" s="2923"/>
      <c r="W1044" s="2923"/>
      <c r="X1044" s="2962"/>
      <c r="Y1044" s="2971"/>
      <c r="Z1044" s="3086"/>
      <c r="AA1044" s="3086"/>
      <c r="AB1044" s="3086"/>
      <c r="AC1044" s="2976"/>
      <c r="AD1044" s="2976"/>
    </row>
    <row r="1045" spans="1:30">
      <c r="A1045" s="3086"/>
      <c r="B1045" s="2966"/>
      <c r="C1045" s="2976"/>
      <c r="D1045" s="2976"/>
      <c r="E1045" s="2976"/>
      <c r="F1045" s="2973"/>
      <c r="G1045" s="2976"/>
      <c r="H1045" s="2966"/>
      <c r="I1045" s="2966"/>
      <c r="J1045" s="2976"/>
      <c r="K1045" s="2976"/>
      <c r="L1045" s="2961"/>
      <c r="M1045" s="2976"/>
      <c r="N1045" s="3086"/>
      <c r="O1045" s="3086"/>
      <c r="P1045" s="3086"/>
      <c r="Q1045" s="2966"/>
      <c r="R1045" s="2976"/>
      <c r="S1045" s="2961"/>
      <c r="T1045" s="2961"/>
      <c r="U1045" s="2923"/>
      <c r="V1045" s="2923"/>
      <c r="W1045" s="2923"/>
      <c r="X1045" s="2962"/>
      <c r="Y1045" s="2961"/>
      <c r="Z1045" s="3086"/>
      <c r="AA1045" s="3086"/>
      <c r="AB1045" s="3086"/>
      <c r="AC1045" s="2976"/>
      <c r="AD1045" s="2976"/>
    </row>
    <row r="1046" spans="1:30">
      <c r="A1046" s="2976"/>
      <c r="B1046" s="2966"/>
      <c r="C1046" s="2976"/>
      <c r="D1046" s="2976"/>
      <c r="E1046" s="2976"/>
      <c r="F1046" s="2973"/>
      <c r="G1046" s="2976"/>
      <c r="H1046" s="2966"/>
      <c r="I1046" s="2966"/>
      <c r="J1046" s="2976"/>
      <c r="K1046" s="2976"/>
      <c r="L1046" s="2961"/>
      <c r="M1046" s="2976"/>
      <c r="N1046" s="3086"/>
      <c r="O1046" s="3086"/>
      <c r="P1046" s="3086"/>
      <c r="Q1046" s="2966"/>
      <c r="R1046" s="2976"/>
      <c r="S1046" s="2961"/>
      <c r="T1046" s="2961"/>
      <c r="U1046" s="2923"/>
      <c r="V1046" s="2923"/>
      <c r="W1046" s="2923"/>
      <c r="X1046" s="2962"/>
      <c r="Y1046" s="2971"/>
      <c r="Z1046" s="3086"/>
      <c r="AA1046" s="3086"/>
      <c r="AB1046" s="3086"/>
      <c r="AC1046" s="2976"/>
      <c r="AD1046" s="2976"/>
    </row>
    <row r="1047" spans="1:30">
      <c r="A1047" s="2976"/>
      <c r="B1047" s="2966"/>
      <c r="C1047" s="2976"/>
      <c r="D1047" s="2976"/>
      <c r="E1047" s="2976"/>
      <c r="F1047" s="2973"/>
      <c r="G1047" s="2976"/>
      <c r="H1047" s="2966"/>
      <c r="I1047" s="2966"/>
      <c r="J1047" s="2976"/>
      <c r="K1047" s="2976"/>
      <c r="L1047" s="2961"/>
      <c r="M1047" s="2976"/>
      <c r="N1047" s="3086"/>
      <c r="O1047" s="3086"/>
      <c r="P1047" s="3086"/>
      <c r="Q1047" s="2966"/>
      <c r="R1047" s="2976"/>
      <c r="S1047" s="2961"/>
      <c r="T1047" s="2961"/>
      <c r="U1047" s="2923"/>
      <c r="V1047" s="2923"/>
      <c r="W1047" s="2923"/>
      <c r="X1047" s="2962"/>
      <c r="Y1047" s="2961"/>
      <c r="Z1047" s="2976"/>
      <c r="AA1047" s="2976"/>
      <c r="AB1047" s="2976"/>
      <c r="AC1047" s="2976"/>
      <c r="AD1047" s="2976"/>
    </row>
    <row r="1048" spans="1:30">
      <c r="A1048" s="2964"/>
      <c r="B1048" s="2873"/>
      <c r="C1048" s="2964"/>
      <c r="D1048" s="2964"/>
      <c r="E1048" s="2964"/>
      <c r="F1048" s="2965"/>
      <c r="G1048" s="2964"/>
      <c r="H1048" s="2873"/>
      <c r="I1048" s="2873"/>
      <c r="J1048" s="2964"/>
      <c r="K1048" s="2964"/>
      <c r="L1048" s="2967"/>
      <c r="M1048" s="2964"/>
      <c r="N1048" s="2963"/>
      <c r="O1048" s="2963"/>
      <c r="P1048" s="2964"/>
      <c r="Q1048" s="2873"/>
      <c r="R1048" s="2964"/>
      <c r="S1048" s="2967"/>
      <c r="T1048" s="2967"/>
      <c r="U1048" s="2923"/>
      <c r="V1048" s="2923"/>
      <c r="W1048" s="2923"/>
      <c r="X1048" s="2967"/>
      <c r="Y1048" s="2967"/>
      <c r="Z1048" s="2964"/>
      <c r="AA1048" s="2964"/>
      <c r="AB1048" s="2964"/>
      <c r="AC1048" s="2976"/>
      <c r="AD1048" s="2976"/>
    </row>
    <row r="1049" spans="1:30">
      <c r="A1049" s="2964"/>
      <c r="B1049" s="2873"/>
      <c r="C1049" s="2964"/>
      <c r="D1049" s="2964"/>
      <c r="E1049" s="2964"/>
      <c r="F1049" s="2965"/>
      <c r="G1049" s="2964"/>
      <c r="H1049" s="2873"/>
      <c r="I1049" s="2873"/>
      <c r="J1049" s="2964"/>
      <c r="K1049" s="2964"/>
      <c r="L1049" s="2967"/>
      <c r="M1049" s="2964"/>
      <c r="N1049" s="2963"/>
      <c r="O1049" s="2963"/>
      <c r="P1049" s="2964"/>
      <c r="Q1049" s="2873"/>
      <c r="R1049" s="2964"/>
      <c r="S1049" s="2967"/>
      <c r="T1049" s="2967"/>
      <c r="U1049" s="2923"/>
      <c r="V1049" s="2923"/>
      <c r="W1049" s="2923"/>
      <c r="X1049" s="2967"/>
      <c r="Y1049" s="2967"/>
      <c r="Z1049" s="2964"/>
      <c r="AA1049" s="2964"/>
      <c r="AB1049" s="2964"/>
      <c r="AC1049" s="2976"/>
      <c r="AD1049" s="2976"/>
    </row>
    <row r="1050" spans="1:30">
      <c r="A1050" s="3086"/>
      <c r="B1050" s="2966"/>
      <c r="C1050" s="2976"/>
      <c r="D1050" s="2976"/>
      <c r="E1050" s="2976"/>
      <c r="F1050" s="2973"/>
      <c r="G1050" s="2976"/>
      <c r="H1050" s="2966"/>
      <c r="I1050" s="2966"/>
      <c r="J1050" s="2976"/>
      <c r="K1050" s="2976"/>
      <c r="L1050" s="2961"/>
      <c r="M1050" s="2976"/>
      <c r="N1050" s="3086"/>
      <c r="O1050" s="3086"/>
      <c r="P1050" s="3086"/>
      <c r="Q1050" s="2966"/>
      <c r="R1050" s="2976"/>
      <c r="S1050" s="2961"/>
      <c r="T1050" s="2961"/>
      <c r="U1050" s="2923"/>
      <c r="V1050" s="2923"/>
      <c r="W1050" s="2923"/>
      <c r="X1050" s="2962"/>
      <c r="Y1050" s="2971"/>
      <c r="Z1050" s="3086"/>
      <c r="AA1050" s="3086"/>
      <c r="AB1050" s="3086"/>
      <c r="AC1050" s="2976"/>
      <c r="AD1050" s="2976"/>
    </row>
    <row r="1051" spans="1:30">
      <c r="A1051" s="3086"/>
      <c r="B1051" s="2966"/>
      <c r="C1051" s="2976"/>
      <c r="D1051" s="2976"/>
      <c r="E1051" s="2976"/>
      <c r="F1051" s="2973"/>
      <c r="G1051" s="2976"/>
      <c r="H1051" s="2966"/>
      <c r="I1051" s="2966"/>
      <c r="J1051" s="2976"/>
      <c r="K1051" s="2976"/>
      <c r="L1051" s="2961"/>
      <c r="M1051" s="2976"/>
      <c r="N1051" s="3086"/>
      <c r="O1051" s="3086"/>
      <c r="P1051" s="2976"/>
      <c r="Q1051" s="2966"/>
      <c r="R1051" s="2976"/>
      <c r="S1051" s="2961"/>
      <c r="T1051" s="2961"/>
      <c r="U1051" s="2923"/>
      <c r="V1051" s="2923"/>
      <c r="W1051" s="2923"/>
      <c r="X1051" s="2961"/>
      <c r="Y1051" s="2961"/>
      <c r="Z1051" s="2976"/>
      <c r="AA1051" s="2976"/>
      <c r="AB1051" s="2976"/>
      <c r="AC1051" s="2976"/>
      <c r="AD1051" s="2976"/>
    </row>
    <row r="1052" spans="1:30">
      <c r="A1052" s="3086"/>
      <c r="B1052" s="2966"/>
      <c r="C1052" s="2976"/>
      <c r="D1052" s="2976"/>
      <c r="E1052" s="2976"/>
      <c r="F1052" s="2973"/>
      <c r="G1052" s="2976"/>
      <c r="H1052" s="2966"/>
      <c r="I1052" s="2966"/>
      <c r="J1052" s="2976"/>
      <c r="K1052" s="2976"/>
      <c r="L1052" s="2961"/>
      <c r="M1052" s="2976"/>
      <c r="N1052" s="3086"/>
      <c r="O1052" s="3086"/>
      <c r="P1052" s="3086"/>
      <c r="Q1052" s="2966"/>
      <c r="R1052" s="2976"/>
      <c r="S1052" s="2961"/>
      <c r="T1052" s="2961"/>
      <c r="U1052" s="2923"/>
      <c r="V1052" s="2923"/>
      <c r="W1052" s="2923"/>
      <c r="X1052" s="2962"/>
      <c r="Y1052" s="2961"/>
      <c r="Z1052" s="3086"/>
      <c r="AA1052" s="3086"/>
      <c r="AB1052" s="2976"/>
      <c r="AC1052" s="2976"/>
      <c r="AD1052" s="2976"/>
    </row>
    <row r="1053" spans="1:30">
      <c r="A1053" s="3086"/>
      <c r="B1053" s="2966"/>
      <c r="C1053" s="2976"/>
      <c r="D1053" s="2976"/>
      <c r="E1053" s="2976"/>
      <c r="F1053" s="2973"/>
      <c r="G1053" s="2976"/>
      <c r="H1053" s="2966"/>
      <c r="I1053" s="2966"/>
      <c r="J1053" s="2976"/>
      <c r="K1053" s="2976"/>
      <c r="L1053" s="2961"/>
      <c r="M1053" s="2976"/>
      <c r="N1053" s="3086"/>
      <c r="O1053" s="3086"/>
      <c r="P1053" s="2976"/>
      <c r="Q1053" s="2972"/>
      <c r="R1053" s="2739"/>
      <c r="S1053" s="2961"/>
      <c r="T1053" s="2961"/>
      <c r="U1053" s="2923"/>
      <c r="V1053" s="2923"/>
      <c r="W1053" s="2923"/>
      <c r="X1053" s="2961"/>
      <c r="Y1053" s="2961"/>
      <c r="Z1053" s="2976"/>
      <c r="AA1053" s="3086"/>
      <c r="AB1053" s="2976"/>
      <c r="AC1053" s="2976"/>
      <c r="AD1053" s="2976"/>
    </row>
    <row r="1054" spans="1:30">
      <c r="A1054" s="3086"/>
      <c r="B1054" s="2966"/>
      <c r="C1054" s="2976"/>
      <c r="D1054" s="2976"/>
      <c r="E1054" s="2976"/>
      <c r="F1054" s="2973"/>
      <c r="G1054" s="2976"/>
      <c r="H1054" s="2966"/>
      <c r="I1054" s="2966"/>
      <c r="J1054" s="2976"/>
      <c r="K1054" s="2976"/>
      <c r="L1054" s="2961"/>
      <c r="M1054" s="2976"/>
      <c r="N1054" s="3086"/>
      <c r="O1054" s="3086"/>
      <c r="P1054" s="2976"/>
      <c r="Q1054" s="2966"/>
      <c r="R1054" s="2976"/>
      <c r="S1054" s="2961"/>
      <c r="T1054" s="2961"/>
      <c r="U1054" s="2923"/>
      <c r="V1054" s="2923"/>
      <c r="W1054" s="2923"/>
      <c r="X1054" s="2961"/>
      <c r="Y1054" s="2961"/>
      <c r="Z1054" s="2976"/>
      <c r="AA1054" s="2976"/>
      <c r="AB1054" s="2976"/>
      <c r="AC1054" s="2976"/>
      <c r="AD1054" s="2976"/>
    </row>
    <row r="1055" spans="1:30">
      <c r="A1055" s="3086"/>
      <c r="B1055" s="2966"/>
      <c r="C1055" s="2976"/>
      <c r="D1055" s="2976"/>
      <c r="E1055" s="2976"/>
      <c r="F1055" s="2973"/>
      <c r="G1055" s="2976"/>
      <c r="H1055" s="2966"/>
      <c r="I1055" s="2966"/>
      <c r="J1055" s="2976"/>
      <c r="K1055" s="2976"/>
      <c r="L1055" s="2961"/>
      <c r="M1055" s="2976"/>
      <c r="N1055" s="3086"/>
      <c r="O1055" s="3086"/>
      <c r="P1055" s="2976"/>
      <c r="Q1055" s="2966"/>
      <c r="R1055" s="2976"/>
      <c r="S1055" s="2961"/>
      <c r="T1055" s="2961"/>
      <c r="U1055" s="2923"/>
      <c r="V1055" s="2923"/>
      <c r="W1055" s="2923"/>
      <c r="X1055" s="2961"/>
      <c r="Y1055" s="2961"/>
      <c r="Z1055" s="2976"/>
      <c r="AA1055" s="2976"/>
      <c r="AB1055" s="2976"/>
      <c r="AC1055" s="2976"/>
      <c r="AD1055" s="2976"/>
    </row>
    <row r="1056" spans="1:30">
      <c r="A1056" s="3086"/>
      <c r="B1056" s="2966"/>
      <c r="C1056" s="2976"/>
      <c r="D1056" s="2976"/>
      <c r="E1056" s="2976"/>
      <c r="F1056" s="2973"/>
      <c r="G1056" s="2976"/>
      <c r="H1056" s="2966"/>
      <c r="I1056" s="2966"/>
      <c r="J1056" s="2976"/>
      <c r="K1056" s="2976"/>
      <c r="L1056" s="2961"/>
      <c r="M1056" s="2976"/>
      <c r="N1056" s="3086"/>
      <c r="O1056" s="3086"/>
      <c r="P1056" s="3086"/>
      <c r="Q1056" s="2966"/>
      <c r="R1056" s="2976"/>
      <c r="S1056" s="2961"/>
      <c r="T1056" s="2961"/>
      <c r="U1056" s="2923"/>
      <c r="V1056" s="2923"/>
      <c r="W1056" s="2923"/>
      <c r="X1056" s="2962"/>
      <c r="Y1056" s="2971"/>
      <c r="Z1056" s="3086"/>
      <c r="AA1056" s="3086"/>
      <c r="AB1056" s="3086"/>
      <c r="AC1056" s="2976"/>
      <c r="AD1056" s="2976"/>
    </row>
    <row r="1057" spans="1:30">
      <c r="A1057" s="3086"/>
      <c r="B1057" s="2966"/>
      <c r="C1057" s="2976"/>
      <c r="D1057" s="2976"/>
      <c r="E1057" s="2976"/>
      <c r="F1057" s="2973"/>
      <c r="G1057" s="2976"/>
      <c r="H1057" s="2966"/>
      <c r="I1057" s="2966"/>
      <c r="J1057" s="2976"/>
      <c r="K1057" s="2976"/>
      <c r="L1057" s="2961"/>
      <c r="M1057" s="2976"/>
      <c r="N1057" s="3086"/>
      <c r="O1057" s="3086"/>
      <c r="P1057" s="3086"/>
      <c r="Q1057" s="2966"/>
      <c r="R1057" s="2976"/>
      <c r="S1057" s="2961"/>
      <c r="T1057" s="2961"/>
      <c r="U1057" s="2923"/>
      <c r="V1057" s="2923"/>
      <c r="W1057" s="2923"/>
      <c r="X1057" s="2962"/>
      <c r="Y1057" s="2971"/>
      <c r="Z1057" s="3086"/>
      <c r="AA1057" s="3086"/>
      <c r="AB1057" s="3086"/>
      <c r="AC1057" s="2976"/>
      <c r="AD1057" s="2976"/>
    </row>
    <row r="1058" spans="1:30">
      <c r="A1058" s="3086"/>
      <c r="B1058" s="2966"/>
      <c r="C1058" s="2976"/>
      <c r="D1058" s="2976"/>
      <c r="E1058" s="2976"/>
      <c r="F1058" s="2973"/>
      <c r="G1058" s="2976"/>
      <c r="H1058" s="2966"/>
      <c r="I1058" s="2966"/>
      <c r="J1058" s="2976"/>
      <c r="K1058" s="2976"/>
      <c r="L1058" s="2961"/>
      <c r="M1058" s="2976"/>
      <c r="N1058" s="3086"/>
      <c r="O1058" s="3086"/>
      <c r="P1058" s="2976"/>
      <c r="Q1058" s="2966"/>
      <c r="R1058" s="2976"/>
      <c r="S1058" s="2961"/>
      <c r="T1058" s="2961"/>
      <c r="U1058" s="2923"/>
      <c r="V1058" s="2923"/>
      <c r="W1058" s="2923"/>
      <c r="X1058" s="2961"/>
      <c r="Y1058" s="2961"/>
      <c r="Z1058" s="2976"/>
      <c r="AA1058" s="2976"/>
      <c r="AB1058" s="2976"/>
      <c r="AC1058" s="2976"/>
      <c r="AD1058" s="2976"/>
    </row>
    <row r="1059" spans="1:30">
      <c r="A1059" s="3086"/>
      <c r="B1059" s="2966"/>
      <c r="C1059" s="2976"/>
      <c r="D1059" s="2976"/>
      <c r="E1059" s="2976"/>
      <c r="F1059" s="2973"/>
      <c r="G1059" s="2976"/>
      <c r="H1059" s="2966"/>
      <c r="I1059" s="2966"/>
      <c r="J1059" s="2976"/>
      <c r="K1059" s="2976"/>
      <c r="L1059" s="2961"/>
      <c r="M1059" s="2976"/>
      <c r="N1059" s="3086"/>
      <c r="O1059" s="3086"/>
      <c r="P1059" s="2976"/>
      <c r="Q1059" s="2966"/>
      <c r="R1059" s="2976"/>
      <c r="S1059" s="2961"/>
      <c r="T1059" s="2961"/>
      <c r="U1059" s="2923"/>
      <c r="V1059" s="2923"/>
      <c r="W1059" s="2923"/>
      <c r="X1059" s="2961"/>
      <c r="Y1059" s="2961"/>
      <c r="Z1059" s="2976"/>
      <c r="AA1059" s="2976"/>
      <c r="AB1059" s="2976"/>
      <c r="AC1059" s="2976"/>
      <c r="AD1059" s="2976"/>
    </row>
    <row r="1060" spans="1:30">
      <c r="A1060" s="3086"/>
      <c r="B1060" s="2966"/>
      <c r="C1060" s="2976"/>
      <c r="D1060" s="2976"/>
      <c r="E1060" s="2976"/>
      <c r="F1060" s="2973"/>
      <c r="G1060" s="2976"/>
      <c r="H1060" s="2966"/>
      <c r="I1060" s="2966"/>
      <c r="J1060" s="2976"/>
      <c r="K1060" s="2976"/>
      <c r="L1060" s="2961"/>
      <c r="M1060" s="2976"/>
      <c r="N1060" s="3086"/>
      <c r="O1060" s="3086"/>
      <c r="P1060" s="2976"/>
      <c r="Q1060" s="2966"/>
      <c r="R1060" s="2976"/>
      <c r="S1060" s="2961"/>
      <c r="T1060" s="2961"/>
      <c r="U1060" s="2923"/>
      <c r="V1060" s="2923"/>
      <c r="W1060" s="2923"/>
      <c r="X1060" s="2961"/>
      <c r="Y1060" s="2961"/>
      <c r="Z1060" s="2976"/>
      <c r="AA1060" s="2976"/>
      <c r="AB1060" s="2976"/>
      <c r="AC1060" s="2976"/>
      <c r="AD1060" s="2976"/>
    </row>
    <row r="1061" spans="1:30">
      <c r="A1061" s="3086"/>
      <c r="B1061" s="2966"/>
      <c r="C1061" s="2976"/>
      <c r="D1061" s="2976"/>
      <c r="E1061" s="2976"/>
      <c r="F1061" s="2973"/>
      <c r="G1061" s="2976"/>
      <c r="H1061" s="2966"/>
      <c r="I1061" s="2966"/>
      <c r="J1061" s="2976"/>
      <c r="K1061" s="2976"/>
      <c r="L1061" s="2961"/>
      <c r="M1061" s="2976"/>
      <c r="N1061" s="3086"/>
      <c r="O1061" s="3086"/>
      <c r="P1061" s="2976"/>
      <c r="Q1061" s="2966"/>
      <c r="R1061" s="2976"/>
      <c r="S1061" s="2961"/>
      <c r="T1061" s="2961"/>
      <c r="U1061" s="2923"/>
      <c r="V1061" s="2923"/>
      <c r="W1061" s="2923"/>
      <c r="X1061" s="2961"/>
      <c r="Y1061" s="2961"/>
      <c r="Z1061" s="2976"/>
      <c r="AA1061" s="2976"/>
      <c r="AB1061" s="2976"/>
      <c r="AC1061" s="2976"/>
      <c r="AD1061" s="2976"/>
    </row>
    <row r="1062" spans="1:30">
      <c r="A1062" s="3086"/>
      <c r="B1062" s="2966"/>
      <c r="C1062" s="2976"/>
      <c r="D1062" s="2976"/>
      <c r="E1062" s="2976"/>
      <c r="F1062" s="2973"/>
      <c r="G1062" s="2976"/>
      <c r="H1062" s="2966"/>
      <c r="I1062" s="2966"/>
      <c r="J1062" s="2976"/>
      <c r="K1062" s="2976"/>
      <c r="L1062" s="2961"/>
      <c r="M1062" s="2976"/>
      <c r="N1062" s="3086"/>
      <c r="O1062" s="3086"/>
      <c r="P1062" s="2976"/>
      <c r="Q1062" s="2966"/>
      <c r="R1062" s="2976"/>
      <c r="S1062" s="2961"/>
      <c r="T1062" s="2961"/>
      <c r="U1062" s="2923"/>
      <c r="V1062" s="2923"/>
      <c r="W1062" s="2923"/>
      <c r="X1062" s="2961"/>
      <c r="Y1062" s="2961"/>
      <c r="Z1062" s="2976"/>
      <c r="AA1062" s="2976"/>
      <c r="AB1062" s="2976"/>
      <c r="AC1062" s="2976"/>
      <c r="AD1062" s="2976"/>
    </row>
    <row r="1063" spans="1:30">
      <c r="A1063" s="3086"/>
      <c r="B1063" s="2966"/>
      <c r="C1063" s="2976"/>
      <c r="D1063" s="2976"/>
      <c r="E1063" s="2976"/>
      <c r="F1063" s="2973"/>
      <c r="G1063" s="2976"/>
      <c r="H1063" s="2966"/>
      <c r="I1063" s="2966"/>
      <c r="J1063" s="2976"/>
      <c r="K1063" s="2976"/>
      <c r="L1063" s="2961"/>
      <c r="M1063" s="2976"/>
      <c r="N1063" s="3086"/>
      <c r="O1063" s="3086"/>
      <c r="P1063" s="2976"/>
      <c r="Q1063" s="2966"/>
      <c r="R1063" s="2976"/>
      <c r="S1063" s="2961"/>
      <c r="T1063" s="2961"/>
      <c r="U1063" s="2923"/>
      <c r="V1063" s="2923"/>
      <c r="W1063" s="2923"/>
      <c r="X1063" s="2961"/>
      <c r="Y1063" s="2961"/>
      <c r="Z1063" s="2976"/>
      <c r="AA1063" s="2976"/>
      <c r="AB1063" s="2976"/>
      <c r="AC1063" s="2976"/>
      <c r="AD1063" s="2976"/>
    </row>
    <row r="1064" spans="1:30">
      <c r="A1064" s="3086"/>
      <c r="B1064" s="2966"/>
      <c r="C1064" s="2976"/>
      <c r="D1064" s="2976"/>
      <c r="E1064" s="2976"/>
      <c r="F1064" s="2973"/>
      <c r="G1064" s="2976"/>
      <c r="H1064" s="2966"/>
      <c r="I1064" s="2966"/>
      <c r="J1064" s="2976"/>
      <c r="K1064" s="2976"/>
      <c r="L1064" s="2961"/>
      <c r="M1064" s="2976"/>
      <c r="N1064" s="3086"/>
      <c r="O1064" s="3086"/>
      <c r="P1064" s="2976"/>
      <c r="Q1064" s="2966"/>
      <c r="R1064" s="2976"/>
      <c r="S1064" s="2961"/>
      <c r="T1064" s="2961"/>
      <c r="U1064" s="2923"/>
      <c r="V1064" s="2923"/>
      <c r="W1064" s="2923"/>
      <c r="X1064" s="2961"/>
      <c r="Y1064" s="2961"/>
      <c r="Z1064" s="2976"/>
      <c r="AA1064" s="2976"/>
      <c r="AB1064" s="2976"/>
      <c r="AC1064" s="2976"/>
      <c r="AD1064" s="2976"/>
    </row>
    <row r="1065" spans="1:30">
      <c r="A1065" s="3086"/>
      <c r="B1065" s="2966"/>
      <c r="C1065" s="2976"/>
      <c r="D1065" s="2976"/>
      <c r="E1065" s="2976"/>
      <c r="F1065" s="2973"/>
      <c r="G1065" s="2976"/>
      <c r="H1065" s="2966"/>
      <c r="I1065" s="2966"/>
      <c r="J1065" s="2976"/>
      <c r="K1065" s="2976"/>
      <c r="L1065" s="2961"/>
      <c r="M1065" s="2976"/>
      <c r="N1065" s="3086"/>
      <c r="O1065" s="3086"/>
      <c r="P1065" s="2976"/>
      <c r="Q1065" s="2966"/>
      <c r="R1065" s="2976"/>
      <c r="S1065" s="2961"/>
      <c r="T1065" s="2961"/>
      <c r="U1065" s="2923"/>
      <c r="V1065" s="2923"/>
      <c r="W1065" s="2923"/>
      <c r="X1065" s="2961"/>
      <c r="Y1065" s="2961"/>
      <c r="Z1065" s="2976"/>
      <c r="AA1065" s="2976"/>
      <c r="AB1065" s="2976"/>
      <c r="AC1065" s="2976"/>
      <c r="AD1065" s="2976"/>
    </row>
    <row r="1066" spans="1:30">
      <c r="A1066" s="2963"/>
      <c r="B1066" s="2873"/>
      <c r="C1066" s="2964"/>
      <c r="D1066" s="2964"/>
      <c r="E1066" s="2964"/>
      <c r="F1066" s="2965"/>
      <c r="G1066" s="2964"/>
      <c r="H1066" s="2873"/>
      <c r="I1066" s="2873"/>
      <c r="J1066" s="2964"/>
      <c r="K1066" s="2964"/>
      <c r="L1066" s="2967"/>
      <c r="M1066" s="2964"/>
      <c r="N1066" s="2963"/>
      <c r="O1066" s="2963"/>
      <c r="P1066" s="2964"/>
      <c r="Q1066" s="2873"/>
      <c r="R1066" s="2964"/>
      <c r="S1066" s="2967"/>
      <c r="T1066" s="2967"/>
      <c r="U1066" s="2923"/>
      <c r="V1066" s="2923"/>
      <c r="W1066" s="2923"/>
      <c r="X1066" s="2967"/>
      <c r="Y1066" s="2967"/>
      <c r="Z1066" s="2964"/>
      <c r="AA1066" s="2964"/>
      <c r="AB1066" s="2964"/>
      <c r="AC1066" s="2976"/>
      <c r="AD1066" s="2976"/>
    </row>
    <row r="1067" spans="1:30">
      <c r="A1067" s="3086"/>
      <c r="B1067" s="2966"/>
      <c r="C1067" s="2976"/>
      <c r="D1067" s="2976"/>
      <c r="E1067" s="2976"/>
      <c r="F1067" s="2973"/>
      <c r="G1067" s="2976"/>
      <c r="H1067" s="2966"/>
      <c r="I1067" s="2966"/>
      <c r="J1067" s="2976"/>
      <c r="K1067" s="2976"/>
      <c r="L1067" s="2961"/>
      <c r="M1067" s="2976"/>
      <c r="N1067" s="3086"/>
      <c r="O1067" s="3086"/>
      <c r="P1067" s="3086"/>
      <c r="Q1067" s="2966"/>
      <c r="R1067" s="2976"/>
      <c r="S1067" s="2961"/>
      <c r="T1067" s="2961"/>
      <c r="U1067" s="2923"/>
      <c r="V1067" s="2923"/>
      <c r="W1067" s="2923"/>
      <c r="X1067" s="2962"/>
      <c r="Y1067" s="2961"/>
      <c r="Z1067" s="3086"/>
      <c r="AA1067" s="3086"/>
      <c r="AB1067" s="3086"/>
      <c r="AC1067" s="2976"/>
      <c r="AD1067" s="2976"/>
    </row>
    <row r="1068" spans="1:30">
      <c r="A1068" s="3086"/>
      <c r="B1068" s="2966"/>
      <c r="C1068" s="2976"/>
      <c r="D1068" s="2976"/>
      <c r="E1068" s="2976"/>
      <c r="F1068" s="2973"/>
      <c r="G1068" s="2976"/>
      <c r="H1068" s="2966"/>
      <c r="I1068" s="2966"/>
      <c r="J1068" s="2976"/>
      <c r="K1068" s="2976"/>
      <c r="L1068" s="2961"/>
      <c r="M1068" s="2976"/>
      <c r="N1068" s="3086"/>
      <c r="O1068" s="3086"/>
      <c r="P1068" s="2976"/>
      <c r="Q1068" s="2966"/>
      <c r="R1068" s="2976"/>
      <c r="S1068" s="2961"/>
      <c r="T1068" s="2961"/>
      <c r="U1068" s="2923"/>
      <c r="V1068" s="2923"/>
      <c r="W1068" s="2923"/>
      <c r="X1068" s="2961"/>
      <c r="Y1068" s="2961"/>
      <c r="Z1068" s="2976"/>
      <c r="AA1068" s="2976"/>
      <c r="AB1068" s="2976"/>
      <c r="AC1068" s="2976"/>
      <c r="AD1068" s="2976"/>
    </row>
    <row r="1069" spans="1:30">
      <c r="A1069" s="3086"/>
      <c r="B1069" s="2966"/>
      <c r="C1069" s="2976"/>
      <c r="D1069" s="2976"/>
      <c r="E1069" s="2976"/>
      <c r="F1069" s="2973"/>
      <c r="G1069" s="2976"/>
      <c r="H1069" s="2966"/>
      <c r="I1069" s="2966"/>
      <c r="J1069" s="2976"/>
      <c r="K1069" s="2976"/>
      <c r="L1069" s="2961"/>
      <c r="M1069" s="2976"/>
      <c r="N1069" s="3086"/>
      <c r="O1069" s="3086"/>
      <c r="P1069" s="2976"/>
      <c r="Q1069" s="2966"/>
      <c r="R1069" s="2976"/>
      <c r="S1069" s="2961"/>
      <c r="T1069" s="2961"/>
      <c r="U1069" s="2923"/>
      <c r="V1069" s="2923"/>
      <c r="W1069" s="2923"/>
      <c r="X1069" s="2961"/>
      <c r="Y1069" s="2961"/>
      <c r="Z1069" s="2976"/>
      <c r="AA1069" s="2976"/>
      <c r="AB1069" s="2976"/>
      <c r="AC1069" s="2976"/>
      <c r="AD1069" s="2976"/>
    </row>
    <row r="1070" spans="1:30">
      <c r="A1070" s="3086"/>
      <c r="B1070" s="2966"/>
      <c r="C1070" s="2976"/>
      <c r="D1070" s="2976"/>
      <c r="E1070" s="2976"/>
      <c r="F1070" s="2973"/>
      <c r="G1070" s="2976"/>
      <c r="H1070" s="2966"/>
      <c r="I1070" s="2966"/>
      <c r="J1070" s="2976"/>
      <c r="K1070" s="2976"/>
      <c r="L1070" s="2961"/>
      <c r="M1070" s="2976"/>
      <c r="N1070" s="3086"/>
      <c r="O1070" s="3086"/>
      <c r="P1070" s="2976"/>
      <c r="Q1070" s="2966"/>
      <c r="R1070" s="2976"/>
      <c r="S1070" s="2961"/>
      <c r="T1070" s="2961"/>
      <c r="U1070" s="2923"/>
      <c r="V1070" s="2923"/>
      <c r="W1070" s="2923"/>
      <c r="X1070" s="2961"/>
      <c r="Y1070" s="2961"/>
      <c r="Z1070" s="2976"/>
      <c r="AA1070" s="2976"/>
      <c r="AB1070" s="2976"/>
      <c r="AC1070" s="2976"/>
      <c r="AD1070" s="2976"/>
    </row>
    <row r="1071" spans="1:30">
      <c r="A1071" s="3086"/>
      <c r="B1071" s="2966"/>
      <c r="C1071" s="2976"/>
      <c r="D1071" s="2976"/>
      <c r="E1071" s="2976"/>
      <c r="F1071" s="2973"/>
      <c r="G1071" s="2976"/>
      <c r="H1071" s="2966"/>
      <c r="I1071" s="2966"/>
      <c r="J1071" s="2976"/>
      <c r="K1071" s="2976"/>
      <c r="L1071" s="2961"/>
      <c r="M1071" s="2976"/>
      <c r="N1071" s="3086"/>
      <c r="O1071" s="3086"/>
      <c r="P1071" s="2976"/>
      <c r="Q1071" s="2966"/>
      <c r="R1071" s="2976"/>
      <c r="S1071" s="2961"/>
      <c r="T1071" s="2961"/>
      <c r="U1071" s="2923"/>
      <c r="V1071" s="2923"/>
      <c r="W1071" s="2923"/>
      <c r="X1071" s="2961"/>
      <c r="Y1071" s="2961"/>
      <c r="Z1071" s="2976"/>
      <c r="AA1071" s="2976"/>
      <c r="AB1071" s="2976"/>
      <c r="AC1071" s="2976"/>
      <c r="AD1071" s="2976"/>
    </row>
    <row r="1072" spans="1:30">
      <c r="A1072" s="3086"/>
      <c r="B1072" s="2966"/>
      <c r="C1072" s="2976"/>
      <c r="D1072" s="2976"/>
      <c r="E1072" s="2976"/>
      <c r="F1072" s="2973"/>
      <c r="G1072" s="2976"/>
      <c r="H1072" s="2966"/>
      <c r="I1072" s="2966"/>
      <c r="J1072" s="2976"/>
      <c r="K1072" s="2976"/>
      <c r="L1072" s="2961"/>
      <c r="M1072" s="2976"/>
      <c r="N1072" s="3086"/>
      <c r="O1072" s="3086"/>
      <c r="P1072" s="2976"/>
      <c r="Q1072" s="2966"/>
      <c r="R1072" s="2976"/>
      <c r="S1072" s="2961"/>
      <c r="T1072" s="2961"/>
      <c r="U1072" s="2923"/>
      <c r="V1072" s="2923"/>
      <c r="W1072" s="2923"/>
      <c r="X1072" s="2961"/>
      <c r="Y1072" s="2961"/>
      <c r="Z1072" s="2976"/>
      <c r="AA1072" s="2976"/>
      <c r="AB1072" s="2976"/>
      <c r="AC1072" s="2976"/>
      <c r="AD1072" s="2976"/>
    </row>
    <row r="1073" spans="1:30">
      <c r="A1073" s="3086"/>
      <c r="B1073" s="2966"/>
      <c r="C1073" s="2976"/>
      <c r="D1073" s="2976"/>
      <c r="E1073" s="2976"/>
      <c r="F1073" s="2973"/>
      <c r="G1073" s="2976"/>
      <c r="H1073" s="2966"/>
      <c r="I1073" s="2966"/>
      <c r="J1073" s="2976"/>
      <c r="K1073" s="2976"/>
      <c r="L1073" s="2961"/>
      <c r="M1073" s="2976"/>
      <c r="N1073" s="2976"/>
      <c r="O1073" s="2976"/>
      <c r="P1073" s="2976"/>
      <c r="Q1073" s="2966"/>
      <c r="R1073" s="2976"/>
      <c r="S1073" s="2961"/>
      <c r="T1073" s="2961"/>
      <c r="U1073" s="2923"/>
      <c r="V1073" s="2923"/>
      <c r="W1073" s="2923"/>
      <c r="X1073" s="2961"/>
      <c r="Y1073" s="2961"/>
      <c r="Z1073" s="2976"/>
      <c r="AA1073" s="2976"/>
      <c r="AB1073" s="2976"/>
      <c r="AC1073" s="2976"/>
      <c r="AD1073" s="2976"/>
    </row>
    <row r="1074" spans="1:30">
      <c r="A1074" s="3086"/>
      <c r="B1074" s="2966"/>
      <c r="C1074" s="2976"/>
      <c r="D1074" s="2976"/>
      <c r="E1074" s="2976"/>
      <c r="F1074" s="2973"/>
      <c r="G1074" s="2976"/>
      <c r="H1074" s="2966"/>
      <c r="I1074" s="2966"/>
      <c r="J1074" s="2976"/>
      <c r="K1074" s="2976"/>
      <c r="L1074" s="2961"/>
      <c r="M1074" s="2976"/>
      <c r="N1074" s="3086"/>
      <c r="O1074" s="3086"/>
      <c r="P1074" s="3086"/>
      <c r="Q1074" s="2966"/>
      <c r="R1074" s="2976"/>
      <c r="S1074" s="2961"/>
      <c r="T1074" s="2961"/>
      <c r="U1074" s="2923"/>
      <c r="V1074" s="2923"/>
      <c r="W1074" s="2923"/>
      <c r="X1074" s="2962"/>
      <c r="Y1074" s="2971"/>
      <c r="Z1074" s="3086"/>
      <c r="AA1074" s="3086"/>
      <c r="AB1074" s="3086"/>
      <c r="AC1074" s="2976"/>
      <c r="AD1074" s="2976"/>
    </row>
    <row r="1075" spans="1:30">
      <c r="A1075" s="3086"/>
      <c r="B1075" s="2966"/>
      <c r="C1075" s="2976"/>
      <c r="D1075" s="2976"/>
      <c r="E1075" s="2976"/>
      <c r="F1075" s="2973"/>
      <c r="G1075" s="2976"/>
      <c r="H1075" s="2966"/>
      <c r="I1075" s="2966"/>
      <c r="J1075" s="2976"/>
      <c r="K1075" s="2976"/>
      <c r="L1075" s="2961"/>
      <c r="M1075" s="2976"/>
      <c r="N1075" s="3086"/>
      <c r="O1075" s="3086"/>
      <c r="P1075" s="2976"/>
      <c r="Q1075" s="2966"/>
      <c r="R1075" s="2976"/>
      <c r="S1075" s="2961"/>
      <c r="T1075" s="2961"/>
      <c r="U1075" s="2923"/>
      <c r="V1075" s="2923"/>
      <c r="W1075" s="2923"/>
      <c r="X1075" s="2961"/>
      <c r="Y1075" s="2961"/>
      <c r="Z1075" s="2976"/>
      <c r="AA1075" s="2976"/>
      <c r="AB1075" s="2976"/>
      <c r="AC1075" s="2976"/>
      <c r="AD1075" s="2976"/>
    </row>
    <row r="1076" spans="1:30">
      <c r="A1076" s="3086"/>
      <c r="B1076" s="2966"/>
      <c r="C1076" s="2976"/>
      <c r="D1076" s="2976"/>
      <c r="E1076" s="2976"/>
      <c r="F1076" s="2973"/>
      <c r="G1076" s="2976"/>
      <c r="H1076" s="2966"/>
      <c r="I1076" s="2966"/>
      <c r="J1076" s="2976"/>
      <c r="K1076" s="2976"/>
      <c r="L1076" s="2961"/>
      <c r="M1076" s="2976"/>
      <c r="N1076" s="3086"/>
      <c r="O1076" s="3086"/>
      <c r="P1076" s="2976"/>
      <c r="Q1076" s="2966"/>
      <c r="R1076" s="2976"/>
      <c r="S1076" s="2961"/>
      <c r="T1076" s="2961"/>
      <c r="U1076" s="2923"/>
      <c r="V1076" s="2923"/>
      <c r="W1076" s="2923"/>
      <c r="X1076" s="2961"/>
      <c r="Y1076" s="2961"/>
      <c r="Z1076" s="2976"/>
      <c r="AA1076" s="2976"/>
      <c r="AB1076" s="2976"/>
      <c r="AC1076" s="2976"/>
      <c r="AD1076" s="2976"/>
    </row>
    <row r="1077" spans="1:30">
      <c r="A1077" s="2963"/>
      <c r="B1077" s="2873"/>
      <c r="C1077" s="2964"/>
      <c r="D1077" s="2964"/>
      <c r="E1077" s="2964"/>
      <c r="F1077" s="2965"/>
      <c r="G1077" s="2964"/>
      <c r="H1077" s="2873"/>
      <c r="I1077" s="2873"/>
      <c r="J1077" s="2964"/>
      <c r="K1077" s="2964"/>
      <c r="L1077" s="2967"/>
      <c r="M1077" s="2964"/>
      <c r="N1077" s="2963"/>
      <c r="O1077" s="2963"/>
      <c r="P1077" s="2963"/>
      <c r="Q1077" s="2873"/>
      <c r="R1077" s="2964"/>
      <c r="S1077" s="2967"/>
      <c r="T1077" s="2967"/>
      <c r="U1077" s="2923"/>
      <c r="V1077" s="2923"/>
      <c r="W1077" s="2923"/>
      <c r="X1077" s="2969"/>
      <c r="Y1077" s="2975"/>
      <c r="Z1077" s="2963"/>
      <c r="AA1077" s="2963"/>
      <c r="AB1077" s="2963"/>
      <c r="AC1077" s="2976"/>
      <c r="AD1077" s="2976"/>
    </row>
    <row r="1078" spans="1:30">
      <c r="A1078" s="3086"/>
      <c r="B1078" s="2966"/>
      <c r="C1078" s="2976"/>
      <c r="D1078" s="2976"/>
      <c r="E1078" s="2976"/>
      <c r="F1078" s="2973"/>
      <c r="G1078" s="2976"/>
      <c r="H1078" s="2966"/>
      <c r="I1078" s="2966"/>
      <c r="J1078" s="2976"/>
      <c r="K1078" s="2976"/>
      <c r="L1078" s="2961"/>
      <c r="M1078" s="2976"/>
      <c r="N1078" s="3086"/>
      <c r="O1078" s="3086"/>
      <c r="P1078" s="3086"/>
      <c r="Q1078" s="2966"/>
      <c r="R1078" s="2976"/>
      <c r="S1078" s="2961"/>
      <c r="T1078" s="2961"/>
      <c r="U1078" s="2923"/>
      <c r="V1078" s="2923"/>
      <c r="W1078" s="2923"/>
      <c r="X1078" s="2962"/>
      <c r="Y1078" s="2961"/>
      <c r="Z1078" s="3086"/>
      <c r="AA1078" s="3086"/>
      <c r="AB1078" s="3086"/>
      <c r="AC1078" s="2976"/>
      <c r="AD1078" s="2976"/>
    </row>
    <row r="1079" spans="1:30">
      <c r="A1079" s="3086"/>
      <c r="B1079" s="2966"/>
      <c r="C1079" s="2976"/>
      <c r="D1079" s="2976"/>
      <c r="E1079" s="2976"/>
      <c r="F1079" s="2973"/>
      <c r="G1079" s="2976"/>
      <c r="H1079" s="2966"/>
      <c r="I1079" s="2966"/>
      <c r="J1079" s="2976"/>
      <c r="K1079" s="2976"/>
      <c r="L1079" s="2961"/>
      <c r="M1079" s="2976"/>
      <c r="N1079" s="2976"/>
      <c r="O1079" s="2976"/>
      <c r="P1079" s="2976"/>
      <c r="Q1079" s="2966"/>
      <c r="R1079" s="2976"/>
      <c r="S1079" s="2961"/>
      <c r="T1079" s="2961"/>
      <c r="U1079" s="2923"/>
      <c r="V1079" s="2923"/>
      <c r="W1079" s="2923"/>
      <c r="X1079" s="2961"/>
      <c r="Y1079" s="2961"/>
      <c r="Z1079" s="2976"/>
      <c r="AA1079" s="2976"/>
      <c r="AB1079" s="2976"/>
      <c r="AC1079" s="2976"/>
      <c r="AD1079" s="2976"/>
    </row>
    <row r="1080" spans="1:30">
      <c r="A1080" s="3086"/>
      <c r="B1080" s="2966"/>
      <c r="C1080" s="2976"/>
      <c r="D1080" s="2976"/>
      <c r="E1080" s="2976"/>
      <c r="F1080" s="2973"/>
      <c r="G1080" s="2976"/>
      <c r="H1080" s="2966"/>
      <c r="I1080" s="2966"/>
      <c r="J1080" s="2976"/>
      <c r="K1080" s="2976"/>
      <c r="L1080" s="2961"/>
      <c r="M1080" s="2976"/>
      <c r="N1080" s="3086"/>
      <c r="O1080" s="3086"/>
      <c r="P1080" s="2976"/>
      <c r="Q1080" s="2966"/>
      <c r="R1080" s="2976"/>
      <c r="S1080" s="2961"/>
      <c r="T1080" s="2961"/>
      <c r="U1080" s="2923"/>
      <c r="V1080" s="2923"/>
      <c r="W1080" s="2923"/>
      <c r="X1080" s="2961"/>
      <c r="Y1080" s="2961"/>
      <c r="Z1080" s="2976"/>
      <c r="AA1080" s="2976"/>
      <c r="AB1080" s="2976"/>
      <c r="AC1080" s="2976"/>
      <c r="AD1080" s="2976"/>
    </row>
    <row r="1081" spans="1:30">
      <c r="A1081" s="3086"/>
      <c r="B1081" s="2966"/>
      <c r="C1081" s="2976"/>
      <c r="D1081" s="2976"/>
      <c r="E1081" s="2976"/>
      <c r="F1081" s="2973"/>
      <c r="G1081" s="2976"/>
      <c r="H1081" s="2966"/>
      <c r="I1081" s="2966"/>
      <c r="J1081" s="2976"/>
      <c r="K1081" s="2976"/>
      <c r="L1081" s="2961"/>
      <c r="M1081" s="2976"/>
      <c r="N1081" s="3086"/>
      <c r="O1081" s="3086"/>
      <c r="P1081" s="2976"/>
      <c r="Q1081" s="2966"/>
      <c r="R1081" s="2976"/>
      <c r="S1081" s="2961"/>
      <c r="T1081" s="2961"/>
      <c r="U1081" s="2923"/>
      <c r="V1081" s="2923"/>
      <c r="W1081" s="2923"/>
      <c r="X1081" s="2961"/>
      <c r="Y1081" s="2961"/>
      <c r="Z1081" s="2976"/>
      <c r="AA1081" s="2976"/>
      <c r="AB1081" s="2976"/>
      <c r="AC1081" s="2976"/>
      <c r="AD1081" s="2976"/>
    </row>
    <row r="1082" spans="1:30">
      <c r="A1082" s="3086"/>
      <c r="B1082" s="2966"/>
      <c r="C1082" s="2976"/>
      <c r="D1082" s="2976"/>
      <c r="E1082" s="2976"/>
      <c r="F1082" s="2973"/>
      <c r="G1082" s="2976"/>
      <c r="H1082" s="2966"/>
      <c r="I1082" s="2966"/>
      <c r="J1082" s="2976"/>
      <c r="K1082" s="2976"/>
      <c r="L1082" s="2961"/>
      <c r="M1082" s="2976"/>
      <c r="N1082" s="3086"/>
      <c r="O1082" s="3086"/>
      <c r="P1082" s="2976"/>
      <c r="Q1082" s="2966"/>
      <c r="R1082" s="2976"/>
      <c r="S1082" s="2961"/>
      <c r="T1082" s="2961"/>
      <c r="U1082" s="2923"/>
      <c r="V1082" s="2923"/>
      <c r="W1082" s="2923"/>
      <c r="X1082" s="2961"/>
      <c r="Y1082" s="2961"/>
      <c r="Z1082" s="2976"/>
      <c r="AA1082" s="2976"/>
      <c r="AB1082" s="2976"/>
      <c r="AC1082" s="2976"/>
      <c r="AD1082" s="2976"/>
    </row>
    <row r="1083" spans="1:30">
      <c r="A1083" s="3086"/>
      <c r="B1083" s="2966"/>
      <c r="C1083" s="2976"/>
      <c r="D1083" s="2976"/>
      <c r="E1083" s="2976"/>
      <c r="F1083" s="2973"/>
      <c r="G1083" s="2976"/>
      <c r="H1083" s="2966"/>
      <c r="I1083" s="2966"/>
      <c r="J1083" s="2976"/>
      <c r="K1083" s="2976"/>
      <c r="L1083" s="2961"/>
      <c r="M1083" s="2976"/>
      <c r="N1083" s="3086"/>
      <c r="O1083" s="3086"/>
      <c r="P1083" s="3086"/>
      <c r="Q1083" s="2966"/>
      <c r="R1083" s="2976"/>
      <c r="S1083" s="2961"/>
      <c r="T1083" s="2961"/>
      <c r="U1083" s="2923"/>
      <c r="V1083" s="2923"/>
      <c r="W1083" s="2923"/>
      <c r="X1083" s="2962"/>
      <c r="Y1083" s="2961"/>
      <c r="Z1083" s="3086"/>
      <c r="AA1083" s="3086"/>
      <c r="AB1083" s="3086"/>
      <c r="AC1083" s="2976"/>
      <c r="AD1083" s="2976"/>
    </row>
    <row r="1084" spans="1:30">
      <c r="A1084" s="2963"/>
      <c r="B1084" s="2873"/>
      <c r="C1084" s="2964"/>
      <c r="D1084" s="2964"/>
      <c r="E1084" s="2964"/>
      <c r="F1084" s="2965"/>
      <c r="G1084" s="2964"/>
      <c r="H1084" s="2873"/>
      <c r="I1084" s="2873"/>
      <c r="J1084" s="2986"/>
      <c r="K1084" s="2964"/>
      <c r="L1084" s="2967"/>
      <c r="M1084" s="2964"/>
      <c r="N1084" s="2963"/>
      <c r="O1084" s="2963"/>
      <c r="P1084" s="2963"/>
      <c r="Q1084" s="2873"/>
      <c r="R1084" s="2964"/>
      <c r="S1084" s="2967"/>
      <c r="T1084" s="2967"/>
      <c r="U1084" s="2923"/>
      <c r="V1084" s="2923"/>
      <c r="W1084" s="2923"/>
      <c r="X1084" s="2969"/>
      <c r="Y1084" s="2967"/>
      <c r="Z1084" s="2964"/>
      <c r="AA1084" s="2964"/>
      <c r="AB1084" s="2964"/>
      <c r="AC1084" s="2976"/>
      <c r="AD1084" s="2976"/>
    </row>
    <row r="1085" spans="1:30">
      <c r="A1085" s="2976"/>
      <c r="B1085" s="2966"/>
      <c r="C1085" s="2976"/>
      <c r="D1085" s="2976"/>
      <c r="E1085" s="2976"/>
      <c r="F1085" s="2973"/>
      <c r="G1085" s="2976"/>
      <c r="H1085" s="2966"/>
      <c r="I1085" s="2966"/>
      <c r="J1085" s="2976"/>
      <c r="K1085" s="2976"/>
      <c r="L1085" s="2961"/>
      <c r="M1085" s="2976"/>
      <c r="N1085" s="3086"/>
      <c r="O1085" s="3086"/>
      <c r="P1085" s="3086"/>
      <c r="Q1085" s="2966"/>
      <c r="R1085" s="2976"/>
      <c r="S1085" s="2961"/>
      <c r="T1085" s="2961"/>
      <c r="U1085" s="2923"/>
      <c r="V1085" s="2923"/>
      <c r="W1085" s="2923"/>
      <c r="X1085" s="2962"/>
      <c r="Y1085" s="2961"/>
      <c r="Z1085" s="3086"/>
      <c r="AA1085" s="3086"/>
      <c r="AB1085" s="3086"/>
      <c r="AC1085" s="2976"/>
      <c r="AD1085" s="2976"/>
    </row>
    <row r="1086" spans="1:30">
      <c r="A1086" s="3086"/>
      <c r="B1086" s="2966"/>
      <c r="C1086" s="2976"/>
      <c r="D1086" s="2976"/>
      <c r="E1086" s="2976"/>
      <c r="F1086" s="2973"/>
      <c r="G1086" s="2976"/>
      <c r="H1086" s="2966"/>
      <c r="I1086" s="2966"/>
      <c r="J1086" s="2976"/>
      <c r="K1086" s="2976"/>
      <c r="L1086" s="2961"/>
      <c r="M1086" s="2976"/>
      <c r="N1086" s="3086"/>
      <c r="O1086" s="3086"/>
      <c r="P1086" s="3086"/>
      <c r="Q1086" s="2966"/>
      <c r="R1086" s="2976"/>
      <c r="S1086" s="2961"/>
      <c r="T1086" s="2961"/>
      <c r="U1086" s="2923"/>
      <c r="V1086" s="2923"/>
      <c r="W1086" s="2923"/>
      <c r="X1086" s="2962"/>
      <c r="Y1086" s="2961"/>
      <c r="Z1086" s="3086"/>
      <c r="AA1086" s="3086"/>
      <c r="AB1086" s="2976"/>
      <c r="AC1086" s="2976"/>
      <c r="AD1086" s="2976"/>
    </row>
    <row r="1087" spans="1:30">
      <c r="A1087" s="3086"/>
      <c r="B1087" s="2966"/>
      <c r="C1087" s="2976"/>
      <c r="D1087" s="2976"/>
      <c r="E1087" s="2976"/>
      <c r="F1087" s="2973"/>
      <c r="G1087" s="2976"/>
      <c r="H1087" s="2966"/>
      <c r="I1087" s="2966"/>
      <c r="J1087" s="2976"/>
      <c r="K1087" s="2976"/>
      <c r="L1087" s="2961"/>
      <c r="M1087" s="2976"/>
      <c r="N1087" s="3086"/>
      <c r="O1087" s="3086"/>
      <c r="P1087" s="3086"/>
      <c r="Q1087" s="2966"/>
      <c r="R1087" s="2976"/>
      <c r="S1087" s="2961"/>
      <c r="T1087" s="2961"/>
      <c r="U1087" s="2923"/>
      <c r="V1087" s="2923"/>
      <c r="W1087" s="2923"/>
      <c r="X1087" s="2962"/>
      <c r="Y1087" s="2961"/>
      <c r="Z1087" s="3086"/>
      <c r="AA1087" s="3086"/>
      <c r="AB1087" s="3086"/>
      <c r="AC1087" s="2976"/>
      <c r="AD1087" s="2976"/>
    </row>
    <row r="1088" spans="1:30">
      <c r="A1088" s="3086"/>
      <c r="B1088" s="2966"/>
      <c r="C1088" s="2976"/>
      <c r="D1088" s="2976"/>
      <c r="E1088" s="2976"/>
      <c r="F1088" s="2973"/>
      <c r="G1088" s="2976"/>
      <c r="H1088" s="2966"/>
      <c r="I1088" s="2966"/>
      <c r="J1088" s="2976"/>
      <c r="K1088" s="2976"/>
      <c r="L1088" s="2961"/>
      <c r="M1088" s="2976"/>
      <c r="N1088" s="3086"/>
      <c r="O1088" s="3086"/>
      <c r="P1088" s="3086"/>
      <c r="Q1088" s="2966"/>
      <c r="R1088" s="2976"/>
      <c r="S1088" s="2961"/>
      <c r="T1088" s="2961"/>
      <c r="U1088" s="2923"/>
      <c r="V1088" s="2923"/>
      <c r="W1088" s="2923"/>
      <c r="X1088" s="2962"/>
      <c r="Y1088" s="2961"/>
      <c r="Z1088" s="3086"/>
      <c r="AA1088" s="3086"/>
      <c r="AB1088" s="3086"/>
      <c r="AC1088" s="2976"/>
      <c r="AD1088" s="2976"/>
    </row>
    <row r="1089" spans="1:30">
      <c r="A1089" s="3086"/>
      <c r="B1089" s="2966"/>
      <c r="C1089" s="2976"/>
      <c r="D1089" s="2976"/>
      <c r="E1089" s="2976"/>
      <c r="F1089" s="2973"/>
      <c r="G1089" s="2976"/>
      <c r="H1089" s="2966"/>
      <c r="I1089" s="2966"/>
      <c r="J1089" s="2976"/>
      <c r="K1089" s="2976"/>
      <c r="L1089" s="2961"/>
      <c r="M1089" s="2976"/>
      <c r="N1089" s="3086"/>
      <c r="O1089" s="3086"/>
      <c r="P1089" s="2976"/>
      <c r="Q1089" s="2972"/>
      <c r="R1089" s="2976"/>
      <c r="S1089" s="2961"/>
      <c r="T1089" s="2961"/>
      <c r="U1089" s="2923"/>
      <c r="V1089" s="2923"/>
      <c r="W1089" s="2923"/>
      <c r="X1089" s="2961"/>
      <c r="Y1089" s="2961"/>
      <c r="Z1089" s="2976"/>
      <c r="AA1089" s="3086"/>
      <c r="AB1089" s="2966"/>
      <c r="AC1089" s="2976"/>
      <c r="AD1089" s="2976"/>
    </row>
    <row r="1090" spans="1:30">
      <c r="A1090" s="3086"/>
      <c r="B1090" s="2966"/>
      <c r="C1090" s="2976"/>
      <c r="D1090" s="2976"/>
      <c r="E1090" s="2976"/>
      <c r="F1090" s="2973"/>
      <c r="G1090" s="2976"/>
      <c r="H1090" s="2966"/>
      <c r="I1090" s="2966"/>
      <c r="J1090" s="2976"/>
      <c r="K1090" s="2976"/>
      <c r="L1090" s="2961"/>
      <c r="M1090" s="2976"/>
      <c r="N1090" s="3086"/>
      <c r="O1090" s="3086"/>
      <c r="P1090" s="2976"/>
      <c r="Q1090" s="2966"/>
      <c r="R1090" s="2976"/>
      <c r="S1090" s="2961"/>
      <c r="T1090" s="2961"/>
      <c r="U1090" s="2923"/>
      <c r="V1090" s="2923"/>
      <c r="W1090" s="2923"/>
      <c r="X1090" s="2961"/>
      <c r="Y1090" s="2961"/>
      <c r="Z1090" s="2976"/>
      <c r="AA1090" s="2976"/>
      <c r="AB1090" s="2976"/>
      <c r="AC1090" s="2976"/>
      <c r="AD1090" s="2976"/>
    </row>
    <row r="1091" spans="1:30">
      <c r="A1091" s="3086"/>
      <c r="B1091" s="2966"/>
      <c r="C1091" s="2976"/>
      <c r="D1091" s="2976"/>
      <c r="E1091" s="2976"/>
      <c r="F1091" s="2973"/>
      <c r="G1091" s="2976"/>
      <c r="H1091" s="2966"/>
      <c r="I1091" s="2966"/>
      <c r="J1091" s="2976"/>
      <c r="K1091" s="2976"/>
      <c r="L1091" s="2961"/>
      <c r="M1091" s="2976"/>
      <c r="N1091" s="3086"/>
      <c r="O1091" s="3086"/>
      <c r="P1091" s="2976"/>
      <c r="Q1091" s="2966"/>
      <c r="R1091" s="2976"/>
      <c r="S1091" s="2961"/>
      <c r="T1091" s="2961"/>
      <c r="U1091" s="2923"/>
      <c r="V1091" s="2923"/>
      <c r="W1091" s="2923"/>
      <c r="X1091" s="2961"/>
      <c r="Y1091" s="2961"/>
      <c r="Z1091" s="2976"/>
      <c r="AA1091" s="2976"/>
      <c r="AB1091" s="2976"/>
      <c r="AC1091" s="2976"/>
      <c r="AD1091" s="2976"/>
    </row>
    <row r="1092" spans="1:30">
      <c r="A1092" s="2964"/>
      <c r="B1092" s="2873"/>
      <c r="C1092" s="2964"/>
      <c r="D1092" s="2964"/>
      <c r="E1092" s="2964"/>
      <c r="F1092" s="2965"/>
      <c r="G1092" s="2964"/>
      <c r="H1092" s="2873"/>
      <c r="I1092" s="2873"/>
      <c r="J1092" s="2964"/>
      <c r="K1092" s="2964"/>
      <c r="L1092" s="2967"/>
      <c r="M1092" s="2964"/>
      <c r="N1092" s="2963"/>
      <c r="O1092" s="2963"/>
      <c r="P1092" s="2964"/>
      <c r="Q1092" s="2873"/>
      <c r="R1092" s="2964"/>
      <c r="S1092" s="2967"/>
      <c r="T1092" s="2967"/>
      <c r="U1092" s="2968"/>
      <c r="V1092" s="2968"/>
      <c r="W1092" s="2968"/>
      <c r="X1092" s="2967"/>
      <c r="Y1092" s="2967"/>
      <c r="Z1092" s="2964"/>
      <c r="AA1092" s="2964"/>
      <c r="AB1092" s="2964"/>
      <c r="AC1092" s="2976"/>
      <c r="AD1092" s="2976"/>
    </row>
    <row r="1093" spans="1:30">
      <c r="A1093" s="3086"/>
      <c r="B1093" s="2966"/>
      <c r="C1093" s="2976"/>
      <c r="D1093" s="2976"/>
      <c r="E1093" s="2976"/>
      <c r="F1093" s="2973"/>
      <c r="G1093" s="2976"/>
      <c r="H1093" s="2966"/>
      <c r="I1093" s="2966"/>
      <c r="J1093" s="2976"/>
      <c r="K1093" s="2976"/>
      <c r="L1093" s="2961"/>
      <c r="M1093" s="2976"/>
      <c r="N1093" s="3086"/>
      <c r="O1093" s="3086"/>
      <c r="P1093" s="2976"/>
      <c r="Q1093" s="2966"/>
      <c r="R1093" s="2976"/>
      <c r="S1093" s="2961"/>
      <c r="T1093" s="2961"/>
      <c r="U1093" s="2923"/>
      <c r="V1093" s="2923"/>
      <c r="W1093" s="2923"/>
      <c r="X1093" s="2961"/>
      <c r="Y1093" s="2961"/>
      <c r="Z1093" s="2976"/>
      <c r="AA1093" s="2976"/>
      <c r="AB1093" s="2976"/>
      <c r="AC1093" s="3093"/>
      <c r="AD1093" s="2976"/>
    </row>
    <row r="1094" spans="1:30">
      <c r="A1094" s="3086"/>
      <c r="B1094" s="2966"/>
      <c r="C1094" s="2976"/>
      <c r="D1094" s="2976"/>
      <c r="E1094" s="2976"/>
      <c r="F1094" s="2973"/>
      <c r="G1094" s="2976"/>
      <c r="H1094" s="2966"/>
      <c r="I1094" s="2966"/>
      <c r="J1094" s="2976"/>
      <c r="K1094" s="2976"/>
      <c r="L1094" s="2961"/>
      <c r="M1094" s="2976"/>
      <c r="N1094" s="3086"/>
      <c r="O1094" s="3086"/>
      <c r="P1094" s="3086"/>
      <c r="Q1094" s="2966"/>
      <c r="R1094" s="2976"/>
      <c r="S1094" s="2961"/>
      <c r="T1094" s="2961"/>
      <c r="U1094" s="2923"/>
      <c r="V1094" s="2923"/>
      <c r="W1094" s="2923"/>
      <c r="X1094" s="2962"/>
      <c r="Y1094" s="2971"/>
      <c r="Z1094" s="3086"/>
      <c r="AA1094" s="3086"/>
      <c r="AB1094" s="3086"/>
      <c r="AC1094" s="3093"/>
      <c r="AD1094" s="2976"/>
    </row>
    <row r="1095" spans="1:30">
      <c r="A1095" s="2976"/>
      <c r="B1095" s="2966"/>
      <c r="C1095" s="2976"/>
      <c r="D1095" s="2976"/>
      <c r="E1095" s="2976"/>
      <c r="F1095" s="2973"/>
      <c r="G1095" s="2976"/>
      <c r="H1095" s="2966"/>
      <c r="I1095" s="2966"/>
      <c r="J1095" s="2976"/>
      <c r="K1095" s="2976"/>
      <c r="L1095" s="2961"/>
      <c r="M1095" s="2976"/>
      <c r="N1095" s="3086"/>
      <c r="O1095" s="3086"/>
      <c r="P1095" s="3086"/>
      <c r="Q1095" s="2966"/>
      <c r="R1095" s="2976"/>
      <c r="S1095" s="2961"/>
      <c r="T1095" s="2961"/>
      <c r="U1095" s="2923"/>
      <c r="V1095" s="2923"/>
      <c r="W1095" s="2923"/>
      <c r="X1095" s="2962"/>
      <c r="Y1095" s="2971"/>
      <c r="Z1095" s="3086"/>
      <c r="AA1095" s="3086"/>
      <c r="AB1095" s="3086"/>
      <c r="AC1095" s="3093"/>
      <c r="AD1095" s="2976"/>
    </row>
    <row r="1096" spans="1:30">
      <c r="A1096" s="3086"/>
      <c r="B1096" s="2966"/>
      <c r="C1096" s="2976"/>
      <c r="D1096" s="2976"/>
      <c r="E1096" s="2976"/>
      <c r="F1096" s="2973"/>
      <c r="G1096" s="2976"/>
      <c r="H1096" s="2966"/>
      <c r="I1096" s="2966"/>
      <c r="J1096" s="2976"/>
      <c r="K1096" s="2976"/>
      <c r="L1096" s="2961"/>
      <c r="M1096" s="2976"/>
      <c r="N1096" s="3086"/>
      <c r="O1096" s="3086"/>
      <c r="P1096" s="2976"/>
      <c r="Q1096" s="2966"/>
      <c r="R1096" s="2976"/>
      <c r="S1096" s="2961"/>
      <c r="T1096" s="2961"/>
      <c r="U1096" s="2923"/>
      <c r="V1096" s="2923"/>
      <c r="W1096" s="2923"/>
      <c r="X1096" s="2961"/>
      <c r="Y1096" s="2961"/>
      <c r="Z1096" s="2976"/>
      <c r="AA1096" s="2976"/>
      <c r="AB1096" s="2976"/>
      <c r="AC1096" s="118"/>
      <c r="AD1096" s="118"/>
    </row>
    <row r="1097" spans="1:30">
      <c r="A1097" s="3086"/>
      <c r="B1097" s="2966"/>
      <c r="C1097" s="2976"/>
      <c r="D1097" s="2976"/>
      <c r="E1097" s="2976"/>
      <c r="F1097" s="2973"/>
      <c r="G1097" s="2976"/>
      <c r="H1097" s="2966"/>
      <c r="I1097" s="2966"/>
      <c r="J1097" s="2976"/>
      <c r="K1097" s="2976"/>
      <c r="L1097" s="2961"/>
      <c r="M1097" s="2976"/>
      <c r="N1097" s="3086"/>
      <c r="O1097" s="3086"/>
      <c r="P1097" s="2976"/>
      <c r="Q1097" s="2966"/>
      <c r="R1097" s="2976"/>
      <c r="S1097" s="2961"/>
      <c r="T1097" s="2961"/>
      <c r="U1097" s="2923"/>
      <c r="V1097" s="2923"/>
      <c r="W1097" s="2923"/>
      <c r="X1097" s="2961"/>
      <c r="Y1097" s="2961"/>
      <c r="Z1097" s="2976"/>
      <c r="AA1097" s="2976"/>
      <c r="AB1097" s="2976"/>
      <c r="AC1097" s="118"/>
      <c r="AD1097" s="118"/>
    </row>
    <row r="1098" spans="1:30">
      <c r="A1098" s="2976"/>
      <c r="B1098" s="2966"/>
      <c r="C1098" s="2976"/>
      <c r="D1098" s="2976"/>
      <c r="E1098" s="2976"/>
      <c r="F1098" s="2973"/>
      <c r="G1098" s="2976"/>
      <c r="H1098" s="2966"/>
      <c r="I1098" s="2966"/>
      <c r="J1098" s="2976"/>
      <c r="K1098" s="2976"/>
      <c r="L1098" s="2961"/>
      <c r="M1098" s="2976"/>
      <c r="N1098" s="3086"/>
      <c r="O1098" s="3086"/>
      <c r="P1098" s="3086"/>
      <c r="Q1098" s="2966"/>
      <c r="R1098" s="2976"/>
      <c r="S1098" s="2961"/>
      <c r="T1098" s="2961"/>
      <c r="U1098" s="2923"/>
      <c r="V1098" s="2923"/>
      <c r="W1098" s="2923"/>
      <c r="X1098" s="2962"/>
      <c r="Y1098" s="2961"/>
      <c r="Z1098" s="3086"/>
      <c r="AA1098" s="3086"/>
      <c r="AB1098" s="2976"/>
      <c r="AC1098" s="118"/>
      <c r="AD1098" s="118"/>
    </row>
    <row r="1099" spans="1:30">
      <c r="A1099" s="3086"/>
      <c r="B1099" s="2966"/>
      <c r="C1099" s="2976"/>
      <c r="D1099" s="2976"/>
      <c r="E1099" s="2976"/>
      <c r="F1099" s="2973"/>
      <c r="G1099" s="2976"/>
      <c r="H1099" s="2966"/>
      <c r="I1099" s="2966"/>
      <c r="J1099" s="2976"/>
      <c r="K1099" s="2976"/>
      <c r="L1099" s="2961"/>
      <c r="M1099" s="2976"/>
      <c r="N1099" s="3086"/>
      <c r="O1099" s="3086"/>
      <c r="P1099" s="2976"/>
      <c r="Q1099" s="2966"/>
      <c r="R1099" s="2976"/>
      <c r="S1099" s="2961"/>
      <c r="T1099" s="2961"/>
      <c r="U1099" s="2923"/>
      <c r="V1099" s="2923"/>
      <c r="W1099" s="2923"/>
      <c r="X1099" s="2961"/>
      <c r="Y1099" s="2961"/>
      <c r="Z1099" s="2976"/>
      <c r="AA1099" s="2976"/>
      <c r="AB1099" s="2976"/>
      <c r="AC1099" s="118"/>
      <c r="AD1099" s="118"/>
    </row>
    <row r="1100" spans="1:30">
      <c r="A1100" s="3086"/>
      <c r="B1100" s="2966"/>
      <c r="C1100" s="2976"/>
      <c r="D1100" s="2976"/>
      <c r="E1100" s="2976"/>
      <c r="F1100" s="2973"/>
      <c r="G1100" s="2976"/>
      <c r="H1100" s="2966"/>
      <c r="I1100" s="2966"/>
      <c r="J1100" s="2976"/>
      <c r="K1100" s="2976"/>
      <c r="L1100" s="2961"/>
      <c r="M1100" s="2976"/>
      <c r="N1100" s="3086"/>
      <c r="O1100" s="3086"/>
      <c r="P1100" s="3086"/>
      <c r="Q1100" s="2966"/>
      <c r="R1100" s="2976"/>
      <c r="S1100" s="2961"/>
      <c r="T1100" s="2961"/>
      <c r="U1100" s="2923"/>
      <c r="V1100" s="2923"/>
      <c r="W1100" s="2923"/>
      <c r="X1100" s="2962"/>
      <c r="Y1100" s="2961"/>
      <c r="Z1100" s="3086"/>
      <c r="AA1100" s="3086"/>
      <c r="AB1100" s="3086"/>
      <c r="AC1100" s="118"/>
      <c r="AD1100" s="118"/>
    </row>
    <row r="1101" spans="1:30">
      <c r="A1101" s="3086"/>
      <c r="B1101" s="2966"/>
      <c r="C1101" s="2976"/>
      <c r="D1101" s="2976"/>
      <c r="E1101" s="2976"/>
      <c r="F1101" s="2973"/>
      <c r="G1101" s="2976"/>
      <c r="H1101" s="2966"/>
      <c r="I1101" s="2966"/>
      <c r="J1101" s="2976"/>
      <c r="K1101" s="2976"/>
      <c r="L1101" s="2961"/>
      <c r="M1101" s="2976"/>
      <c r="N1101" s="3086"/>
      <c r="O1101" s="3086"/>
      <c r="P1101" s="2976"/>
      <c r="Q1101" s="2966"/>
      <c r="R1101" s="2976"/>
      <c r="S1101" s="2961"/>
      <c r="T1101" s="2961"/>
      <c r="U1101" s="2923"/>
      <c r="V1101" s="2923"/>
      <c r="W1101" s="2923"/>
      <c r="X1101" s="2961"/>
      <c r="Y1101" s="2961"/>
      <c r="Z1101" s="2976"/>
      <c r="AA1101" s="2976"/>
      <c r="AB1101" s="2976"/>
      <c r="AC1101" s="118"/>
      <c r="AD1101" s="118"/>
    </row>
    <row r="1102" spans="1:30">
      <c r="A1102" s="3086"/>
      <c r="B1102" s="2966"/>
      <c r="C1102" s="2976"/>
      <c r="D1102" s="2976"/>
      <c r="E1102" s="2976"/>
      <c r="F1102" s="2973"/>
      <c r="G1102" s="2976"/>
      <c r="H1102" s="2966"/>
      <c r="I1102" s="2966"/>
      <c r="J1102" s="2976"/>
      <c r="K1102" s="2976"/>
      <c r="L1102" s="2961"/>
      <c r="M1102" s="2976"/>
      <c r="N1102" s="3086"/>
      <c r="O1102" s="3086"/>
      <c r="P1102" s="2976"/>
      <c r="Q1102" s="2966"/>
      <c r="R1102" s="2976"/>
      <c r="S1102" s="2961"/>
      <c r="T1102" s="2961"/>
      <c r="U1102" s="2923"/>
      <c r="V1102" s="2923"/>
      <c r="W1102" s="2923"/>
      <c r="X1102" s="2961"/>
      <c r="Y1102" s="2961"/>
      <c r="Z1102" s="2976"/>
      <c r="AA1102" s="2976"/>
      <c r="AB1102" s="2976"/>
      <c r="AC1102" s="118"/>
      <c r="AD1102" s="118"/>
    </row>
    <row r="1103" spans="1:30">
      <c r="A1103" s="3086"/>
      <c r="B1103" s="2966"/>
      <c r="C1103" s="2976"/>
      <c r="D1103" s="2976"/>
      <c r="E1103" s="2976"/>
      <c r="F1103" s="2973"/>
      <c r="G1103" s="2976"/>
      <c r="H1103" s="2966"/>
      <c r="I1103" s="2966"/>
      <c r="J1103" s="2976"/>
      <c r="K1103" s="2976"/>
      <c r="L1103" s="2961"/>
      <c r="M1103" s="2976"/>
      <c r="N1103" s="3086"/>
      <c r="O1103" s="3086"/>
      <c r="P1103" s="2976"/>
      <c r="Q1103" s="2966"/>
      <c r="R1103" s="2976"/>
      <c r="S1103" s="2961"/>
      <c r="T1103" s="2961"/>
      <c r="U1103" s="2923"/>
      <c r="V1103" s="2923"/>
      <c r="W1103" s="2923"/>
      <c r="X1103" s="2961"/>
      <c r="Y1103" s="2961"/>
      <c r="Z1103" s="2976"/>
      <c r="AA1103" s="2976"/>
      <c r="AB1103" s="2976"/>
      <c r="AC1103" s="118"/>
      <c r="AD1103" s="118"/>
    </row>
    <row r="1104" spans="1:30">
      <c r="A1104" s="3086"/>
      <c r="B1104" s="2966"/>
      <c r="C1104" s="2976"/>
      <c r="D1104" s="2976"/>
      <c r="E1104" s="2976"/>
      <c r="F1104" s="2973"/>
      <c r="G1104" s="2976"/>
      <c r="H1104" s="2966"/>
      <c r="I1104" s="2966"/>
      <c r="J1104" s="2976"/>
      <c r="K1104" s="2976"/>
      <c r="L1104" s="2961"/>
      <c r="M1104" s="2976"/>
      <c r="N1104" s="3086"/>
      <c r="O1104" s="3086"/>
      <c r="P1104" s="2976"/>
      <c r="Q1104" s="2966"/>
      <c r="R1104" s="2976"/>
      <c r="S1104" s="2961"/>
      <c r="T1104" s="2961"/>
      <c r="U1104" s="2923"/>
      <c r="V1104" s="2923"/>
      <c r="W1104" s="2923"/>
      <c r="X1104" s="2961"/>
      <c r="Y1104" s="2961"/>
      <c r="Z1104" s="2976"/>
      <c r="AA1104" s="2976"/>
      <c r="AB1104" s="2976"/>
      <c r="AC1104" s="118"/>
      <c r="AD1104" s="118"/>
    </row>
    <row r="1105" spans="1:30">
      <c r="A1105" s="3086"/>
      <c r="B1105" s="2966"/>
      <c r="C1105" s="2976"/>
      <c r="D1105" s="2976"/>
      <c r="E1105" s="2976"/>
      <c r="F1105" s="2973"/>
      <c r="G1105" s="2976"/>
      <c r="H1105" s="2966"/>
      <c r="I1105" s="2966"/>
      <c r="J1105" s="2976"/>
      <c r="K1105" s="2976"/>
      <c r="L1105" s="2961"/>
      <c r="M1105" s="2976"/>
      <c r="N1105" s="3086"/>
      <c r="O1105" s="3086"/>
      <c r="P1105" s="3086"/>
      <c r="Q1105" s="2966"/>
      <c r="R1105" s="2976"/>
      <c r="S1105" s="2961"/>
      <c r="T1105" s="2961"/>
      <c r="U1105" s="2923"/>
      <c r="V1105" s="2923"/>
      <c r="W1105" s="2923"/>
      <c r="X1105" s="2962"/>
      <c r="Y1105" s="2971"/>
      <c r="Z1105" s="3086"/>
      <c r="AA1105" s="3086"/>
      <c r="AB1105" s="3086"/>
      <c r="AC1105" s="118"/>
      <c r="AD1105" s="118"/>
    </row>
    <row r="1106" spans="1:30">
      <c r="A1106" s="3086"/>
      <c r="B1106" s="2966"/>
      <c r="C1106" s="2976"/>
      <c r="D1106" s="2976"/>
      <c r="E1106" s="2976"/>
      <c r="F1106" s="2973"/>
      <c r="G1106" s="2976"/>
      <c r="H1106" s="2966"/>
      <c r="I1106" s="2966"/>
      <c r="J1106" s="2976"/>
      <c r="K1106" s="2976"/>
      <c r="L1106" s="2961"/>
      <c r="M1106" s="2976"/>
      <c r="N1106" s="3086"/>
      <c r="O1106" s="3086"/>
      <c r="P1106" s="3086"/>
      <c r="Q1106" s="2966"/>
      <c r="R1106" s="2976"/>
      <c r="S1106" s="2961"/>
      <c r="T1106" s="2961"/>
      <c r="U1106" s="2923"/>
      <c r="V1106" s="2923"/>
      <c r="W1106" s="2923"/>
      <c r="X1106" s="2962"/>
      <c r="Y1106" s="2961"/>
      <c r="Z1106" s="3086"/>
      <c r="AA1106" s="3086"/>
      <c r="AB1106" s="2976"/>
      <c r="AC1106" s="118"/>
      <c r="AD1106" s="118"/>
    </row>
    <row r="1107" spans="1:30">
      <c r="A1107" s="2976"/>
      <c r="B1107" s="2966"/>
      <c r="C1107" s="2976"/>
      <c r="D1107" s="2976"/>
      <c r="E1107" s="2976"/>
      <c r="F1107" s="2973"/>
      <c r="G1107" s="2976"/>
      <c r="H1107" s="2966"/>
      <c r="I1107" s="2966"/>
      <c r="J1107" s="2976"/>
      <c r="K1107" s="2976"/>
      <c r="L1107" s="2961"/>
      <c r="M1107" s="2976"/>
      <c r="N1107" s="3086"/>
      <c r="O1107" s="3086"/>
      <c r="P1107" s="3086"/>
      <c r="Q1107" s="2966"/>
      <c r="R1107" s="2976"/>
      <c r="S1107" s="2961"/>
      <c r="T1107" s="2961"/>
      <c r="U1107" s="2923"/>
      <c r="V1107" s="2923"/>
      <c r="W1107" s="2923"/>
      <c r="X1107" s="2962"/>
      <c r="Y1107" s="2961"/>
      <c r="Z1107" s="2976"/>
      <c r="AA1107" s="2976"/>
      <c r="AB1107" s="2976"/>
      <c r="AC1107" s="118"/>
      <c r="AD1107" s="118"/>
    </row>
    <row r="1108" spans="1:30">
      <c r="A1108" s="3086"/>
      <c r="B1108" s="2966"/>
      <c r="C1108" s="2976"/>
      <c r="D1108" s="2976"/>
      <c r="E1108" s="2976"/>
      <c r="F1108" s="2973"/>
      <c r="G1108" s="2976"/>
      <c r="H1108" s="2966"/>
      <c r="I1108" s="2966"/>
      <c r="J1108" s="2976"/>
      <c r="K1108" s="2976"/>
      <c r="L1108" s="2961"/>
      <c r="M1108" s="2976"/>
      <c r="N1108" s="3086"/>
      <c r="O1108" s="3086"/>
      <c r="P1108" s="3086"/>
      <c r="Q1108" s="2966"/>
      <c r="R1108" s="2976"/>
      <c r="S1108" s="2961"/>
      <c r="T1108" s="2961"/>
      <c r="U1108" s="2923"/>
      <c r="V1108" s="2923"/>
      <c r="W1108" s="2923"/>
      <c r="X1108" s="2962"/>
      <c r="Y1108" s="2961"/>
      <c r="Z1108" s="3086"/>
      <c r="AA1108" s="3086"/>
      <c r="AB1108" s="3086"/>
      <c r="AC1108" s="118"/>
      <c r="AD1108" s="118"/>
    </row>
    <row r="1109" spans="1:30">
      <c r="A1109" s="2976"/>
      <c r="B1109" s="2966"/>
      <c r="C1109" s="2976"/>
      <c r="D1109" s="2976"/>
      <c r="E1109" s="2976"/>
      <c r="F1109" s="2973"/>
      <c r="G1109" s="2976"/>
      <c r="H1109" s="2966"/>
      <c r="I1109" s="2966"/>
      <c r="J1109" s="2976"/>
      <c r="K1109" s="2976"/>
      <c r="L1109" s="2961"/>
      <c r="M1109" s="2976"/>
      <c r="N1109" s="3086"/>
      <c r="O1109" s="3086"/>
      <c r="P1109" s="2976"/>
      <c r="Q1109" s="2966"/>
      <c r="R1109" s="2976"/>
      <c r="S1109" s="2961"/>
      <c r="T1109" s="2961"/>
      <c r="U1109" s="2923"/>
      <c r="V1109" s="2923"/>
      <c r="W1109" s="2923"/>
      <c r="X1109" s="2961"/>
      <c r="Y1109" s="2961"/>
      <c r="Z1109" s="2976"/>
      <c r="AA1109" s="2976"/>
      <c r="AB1109" s="2976"/>
      <c r="AC1109" s="118"/>
      <c r="AD1109" s="118"/>
    </row>
    <row r="1110" spans="1:30">
      <c r="A1110" s="3086"/>
      <c r="B1110" s="2966"/>
      <c r="C1110" s="2976"/>
      <c r="D1110" s="2976"/>
      <c r="E1110" s="2976"/>
      <c r="F1110" s="2973"/>
      <c r="G1110" s="2976"/>
      <c r="H1110" s="2966"/>
      <c r="I1110" s="2966"/>
      <c r="J1110" s="2976"/>
      <c r="K1110" s="2976"/>
      <c r="L1110" s="2961"/>
      <c r="M1110" s="2976"/>
      <c r="N1110" s="3086"/>
      <c r="O1110" s="3086"/>
      <c r="P1110" s="2976"/>
      <c r="Q1110" s="2966"/>
      <c r="R1110" s="2976"/>
      <c r="S1110" s="2961"/>
      <c r="T1110" s="2961"/>
      <c r="U1110" s="2923"/>
      <c r="V1110" s="2923"/>
      <c r="W1110" s="2923"/>
      <c r="X1110" s="2961"/>
      <c r="Y1110" s="2961"/>
      <c r="Z1110" s="2976"/>
      <c r="AA1110" s="2976"/>
      <c r="AB1110" s="2976"/>
      <c r="AC1110" s="118"/>
      <c r="AD1110" s="118"/>
    </row>
    <row r="1111" spans="1:30">
      <c r="A1111" s="3086"/>
      <c r="B1111" s="2966"/>
      <c r="C1111" s="2976"/>
      <c r="D1111" s="2976"/>
      <c r="E1111" s="2976"/>
      <c r="F1111" s="2973"/>
      <c r="G1111" s="2976"/>
      <c r="H1111" s="2966"/>
      <c r="I1111" s="2966"/>
      <c r="J1111" s="2976"/>
      <c r="K1111" s="2976"/>
      <c r="L1111" s="2961"/>
      <c r="M1111" s="2976"/>
      <c r="N1111" s="3086"/>
      <c r="O1111" s="3086"/>
      <c r="P1111" s="2976"/>
      <c r="Q1111" s="2966"/>
      <c r="R1111" s="2976"/>
      <c r="S1111" s="2961"/>
      <c r="T1111" s="2961"/>
      <c r="U1111" s="2923"/>
      <c r="V1111" s="2923"/>
      <c r="W1111" s="2923"/>
      <c r="X1111" s="2961"/>
      <c r="Y1111" s="2961"/>
      <c r="Z1111" s="2976"/>
      <c r="AA1111" s="2976"/>
      <c r="AB1111" s="2976"/>
      <c r="AC1111" s="118"/>
      <c r="AD1111" s="118"/>
    </row>
    <row r="1112" spans="1:30">
      <c r="A1112" s="3086"/>
      <c r="B1112" s="2966"/>
      <c r="C1112" s="2976"/>
      <c r="D1112" s="2976"/>
      <c r="E1112" s="2976"/>
      <c r="F1112" s="2973"/>
      <c r="G1112" s="2976"/>
      <c r="H1112" s="2966"/>
      <c r="I1112" s="2966"/>
      <c r="J1112" s="2976"/>
      <c r="K1112" s="2976"/>
      <c r="L1112" s="2961"/>
      <c r="M1112" s="2976"/>
      <c r="N1112" s="3086"/>
      <c r="O1112" s="3086"/>
      <c r="P1112" s="2976"/>
      <c r="Q1112" s="2972"/>
      <c r="R1112" s="2976"/>
      <c r="S1112" s="2961"/>
      <c r="T1112" s="2961"/>
      <c r="U1112" s="2923"/>
      <c r="V1112" s="2923"/>
      <c r="W1112" s="2923"/>
      <c r="X1112" s="2961"/>
      <c r="Y1112" s="2961"/>
      <c r="Z1112" s="2976"/>
      <c r="AA1112" s="3086"/>
      <c r="AB1112" s="2976"/>
      <c r="AC1112" s="118"/>
      <c r="AD1112" s="118"/>
    </row>
    <row r="1113" spans="1:30">
      <c r="A1113" s="3086"/>
      <c r="B1113" s="2966"/>
      <c r="C1113" s="2976"/>
      <c r="D1113" s="2976"/>
      <c r="E1113" s="2976"/>
      <c r="F1113" s="2973"/>
      <c r="G1113" s="2976"/>
      <c r="H1113" s="2966"/>
      <c r="I1113" s="2966"/>
      <c r="J1113" s="2976"/>
      <c r="K1113" s="2976"/>
      <c r="L1113" s="2961"/>
      <c r="M1113" s="2976"/>
      <c r="N1113" s="3086"/>
      <c r="O1113" s="3086"/>
      <c r="P1113" s="3086"/>
      <c r="Q1113" s="2966"/>
      <c r="R1113" s="2976"/>
      <c r="S1113" s="2961"/>
      <c r="T1113" s="2961"/>
      <c r="U1113" s="2923"/>
      <c r="V1113" s="2923"/>
      <c r="W1113" s="2923"/>
      <c r="X1113" s="2962"/>
      <c r="Y1113" s="2971"/>
      <c r="Z1113" s="2976"/>
      <c r="AA1113" s="2976"/>
      <c r="AB1113" s="2976"/>
      <c r="AC1113" s="118"/>
      <c r="AD1113" s="118"/>
    </row>
    <row r="1114" spans="1:30">
      <c r="A1114" s="3086"/>
      <c r="B1114" s="2966"/>
      <c r="C1114" s="2976"/>
      <c r="D1114" s="2976"/>
      <c r="E1114" s="2976"/>
      <c r="F1114" s="2973"/>
      <c r="G1114" s="2976"/>
      <c r="H1114" s="2966"/>
      <c r="I1114" s="2966"/>
      <c r="J1114" s="2976"/>
      <c r="K1114" s="2976"/>
      <c r="L1114" s="2961"/>
      <c r="M1114" s="2976"/>
      <c r="N1114" s="3086"/>
      <c r="O1114" s="3086"/>
      <c r="P1114" s="2976"/>
      <c r="Q1114" s="2966"/>
      <c r="R1114" s="2976"/>
      <c r="S1114" s="2961"/>
      <c r="T1114" s="2961"/>
      <c r="U1114" s="2923"/>
      <c r="V1114" s="2923"/>
      <c r="W1114" s="2923"/>
      <c r="X1114" s="2961"/>
      <c r="Y1114" s="2961"/>
      <c r="Z1114" s="2976"/>
      <c r="AA1114" s="2976"/>
      <c r="AB1114" s="2976"/>
      <c r="AC1114" s="118"/>
      <c r="AD1114" s="118"/>
    </row>
    <row r="1115" spans="1:30">
      <c r="A1115" s="3086"/>
      <c r="B1115" s="2966"/>
      <c r="C1115" s="2976"/>
      <c r="D1115" s="2976"/>
      <c r="E1115" s="2976"/>
      <c r="F1115" s="2973"/>
      <c r="G1115" s="2976"/>
      <c r="H1115" s="2966"/>
      <c r="I1115" s="2966"/>
      <c r="J1115" s="2976"/>
      <c r="K1115" s="2976"/>
      <c r="L1115" s="2961"/>
      <c r="M1115" s="2976"/>
      <c r="N1115" s="3086"/>
      <c r="O1115" s="3086"/>
      <c r="P1115" s="3086"/>
      <c r="Q1115" s="2966"/>
      <c r="R1115" s="2976"/>
      <c r="S1115" s="2961"/>
      <c r="T1115" s="2961"/>
      <c r="U1115" s="2923"/>
      <c r="V1115" s="2923"/>
      <c r="W1115" s="2923"/>
      <c r="X1115" s="2962"/>
      <c r="Y1115" s="2961"/>
      <c r="Z1115" s="3086"/>
      <c r="AA1115" s="3086"/>
      <c r="AB1115" s="3086"/>
      <c r="AC1115" s="118"/>
      <c r="AD1115" s="118"/>
    </row>
    <row r="1116" spans="1:30">
      <c r="A1116" s="3086"/>
      <c r="B1116" s="2966"/>
      <c r="C1116" s="2976"/>
      <c r="D1116" s="2976"/>
      <c r="E1116" s="2976"/>
      <c r="F1116" s="2973"/>
      <c r="G1116" s="2976"/>
      <c r="H1116" s="2966"/>
      <c r="I1116" s="2966"/>
      <c r="J1116" s="2976"/>
      <c r="K1116" s="2976"/>
      <c r="L1116" s="2961"/>
      <c r="M1116" s="2976"/>
      <c r="N1116" s="3086"/>
      <c r="O1116" s="3086"/>
      <c r="P1116" s="3086"/>
      <c r="Q1116" s="2966"/>
      <c r="R1116" s="2976"/>
      <c r="S1116" s="2961"/>
      <c r="T1116" s="2961"/>
      <c r="U1116" s="2923"/>
      <c r="V1116" s="2923"/>
      <c r="W1116" s="2923"/>
      <c r="X1116" s="2962"/>
      <c r="Y1116" s="2961"/>
      <c r="Z1116" s="3086"/>
      <c r="AA1116" s="3086"/>
      <c r="AB1116" s="3086"/>
      <c r="AC1116" s="118"/>
      <c r="AD1116" s="118"/>
    </row>
    <row r="1117" spans="1:30">
      <c r="A1117" s="3086"/>
      <c r="B1117" s="2966"/>
      <c r="C1117" s="2976"/>
      <c r="D1117" s="2976"/>
      <c r="E1117" s="2976"/>
      <c r="F1117" s="2973"/>
      <c r="G1117" s="2976"/>
      <c r="H1117" s="2966"/>
      <c r="I1117" s="2966"/>
      <c r="J1117" s="2976"/>
      <c r="K1117" s="2976"/>
      <c r="L1117" s="2961"/>
      <c r="M1117" s="2976"/>
      <c r="N1117" s="3086"/>
      <c r="O1117" s="3086"/>
      <c r="P1117" s="3086"/>
      <c r="Q1117" s="2966"/>
      <c r="R1117" s="2976"/>
      <c r="S1117" s="2961"/>
      <c r="T1117" s="2961"/>
      <c r="U1117" s="2923"/>
      <c r="V1117" s="2923"/>
      <c r="W1117" s="2923"/>
      <c r="X1117" s="2962"/>
      <c r="Y1117" s="2961"/>
      <c r="Z1117" s="2976"/>
      <c r="AA1117" s="2976"/>
      <c r="AB1117" s="2976"/>
      <c r="AC1117" s="118"/>
      <c r="AD1117" s="118"/>
    </row>
    <row r="1118" spans="1:30">
      <c r="A1118" s="3086"/>
      <c r="B1118" s="2966"/>
      <c r="C1118" s="2976"/>
      <c r="D1118" s="2976"/>
      <c r="E1118" s="2976"/>
      <c r="F1118" s="2973"/>
      <c r="G1118" s="2976"/>
      <c r="H1118" s="2966"/>
      <c r="I1118" s="2966"/>
      <c r="J1118" s="2976"/>
      <c r="K1118" s="2976"/>
      <c r="L1118" s="2961"/>
      <c r="M1118" s="2976"/>
      <c r="N1118" s="3086"/>
      <c r="O1118" s="3086"/>
      <c r="P1118" s="2976"/>
      <c r="Q1118" s="2966"/>
      <c r="R1118" s="2976"/>
      <c r="S1118" s="2961"/>
      <c r="T1118" s="2961"/>
      <c r="U1118" s="2923"/>
      <c r="V1118" s="2923"/>
      <c r="W1118" s="2923"/>
      <c r="X1118" s="2961"/>
      <c r="Y1118" s="2961"/>
      <c r="Z1118" s="2976"/>
      <c r="AA1118" s="2976"/>
      <c r="AB1118" s="2976"/>
      <c r="AC1118" s="118"/>
      <c r="AD1118" s="118"/>
    </row>
    <row r="1119" spans="1:30">
      <c r="A1119" s="3086"/>
      <c r="B1119" s="2966"/>
      <c r="C1119" s="2976"/>
      <c r="D1119" s="2976"/>
      <c r="E1119" s="2976"/>
      <c r="F1119" s="2973"/>
      <c r="G1119" s="2976"/>
      <c r="H1119" s="2966"/>
      <c r="I1119" s="2966"/>
      <c r="J1119" s="2976"/>
      <c r="K1119" s="2976"/>
      <c r="L1119" s="2961"/>
      <c r="M1119" s="2976"/>
      <c r="N1119" s="3086"/>
      <c r="O1119" s="3086"/>
      <c r="P1119" s="3086"/>
      <c r="Q1119" s="2966"/>
      <c r="R1119" s="2976"/>
      <c r="S1119" s="2961"/>
      <c r="T1119" s="2961"/>
      <c r="U1119" s="2923"/>
      <c r="V1119" s="2923"/>
      <c r="W1119" s="2923"/>
      <c r="X1119" s="2962"/>
      <c r="Y1119" s="2961"/>
      <c r="Z1119" s="3086"/>
      <c r="AA1119" s="3086"/>
      <c r="AB1119" s="2976"/>
      <c r="AC1119" s="118"/>
      <c r="AD1119" s="118"/>
    </row>
    <row r="1120" spans="1:30">
      <c r="A1120" s="3086"/>
      <c r="B1120" s="2966"/>
      <c r="C1120" s="2976"/>
      <c r="D1120" s="2976"/>
      <c r="E1120" s="2976"/>
      <c r="F1120" s="2973"/>
      <c r="G1120" s="2976"/>
      <c r="H1120" s="2966"/>
      <c r="I1120" s="2966"/>
      <c r="J1120" s="2976"/>
      <c r="K1120" s="2976"/>
      <c r="L1120" s="2961"/>
      <c r="M1120" s="2976"/>
      <c r="N1120" s="3086"/>
      <c r="O1120" s="3086"/>
      <c r="P1120" s="2976"/>
      <c r="Q1120" s="2966"/>
      <c r="R1120" s="2976"/>
      <c r="S1120" s="2961"/>
      <c r="T1120" s="2961"/>
      <c r="U1120" s="2923"/>
      <c r="V1120" s="2923"/>
      <c r="W1120" s="2923"/>
      <c r="X1120" s="2961"/>
      <c r="Y1120" s="2961"/>
      <c r="Z1120" s="2976"/>
      <c r="AA1120" s="2976"/>
      <c r="AB1120" s="2976"/>
      <c r="AC1120" s="118"/>
      <c r="AD1120" s="118"/>
    </row>
    <row r="1121" spans="1:30">
      <c r="A1121" s="3086"/>
      <c r="B1121" s="2966"/>
      <c r="C1121" s="2976"/>
      <c r="D1121" s="2976"/>
      <c r="E1121" s="2976"/>
      <c r="F1121" s="2973"/>
      <c r="G1121" s="2976"/>
      <c r="H1121" s="2966"/>
      <c r="I1121" s="2966"/>
      <c r="J1121" s="2976"/>
      <c r="K1121" s="2976"/>
      <c r="L1121" s="2961"/>
      <c r="M1121" s="2976"/>
      <c r="N1121" s="3086"/>
      <c r="O1121" s="3086"/>
      <c r="P1121" s="2976"/>
      <c r="Q1121" s="2966"/>
      <c r="R1121" s="2976"/>
      <c r="S1121" s="2961"/>
      <c r="T1121" s="2961"/>
      <c r="U1121" s="2923"/>
      <c r="V1121" s="2923"/>
      <c r="W1121" s="2923"/>
      <c r="X1121" s="2961"/>
      <c r="Y1121" s="2961"/>
      <c r="Z1121" s="2976"/>
      <c r="AA1121" s="2976"/>
      <c r="AB1121" s="2976"/>
      <c r="AC1121" s="118"/>
      <c r="AD1121" s="118"/>
    </row>
    <row r="1122" spans="1:30">
      <c r="A1122" s="3086"/>
      <c r="B1122" s="2966"/>
      <c r="C1122" s="2976"/>
      <c r="D1122" s="2976"/>
      <c r="E1122" s="2976"/>
      <c r="F1122" s="2973"/>
      <c r="G1122" s="2976"/>
      <c r="H1122" s="2966"/>
      <c r="I1122" s="2966"/>
      <c r="J1122" s="2976"/>
      <c r="K1122" s="2976"/>
      <c r="L1122" s="2961"/>
      <c r="M1122" s="2976"/>
      <c r="N1122" s="3086"/>
      <c r="O1122" s="3086"/>
      <c r="P1122" s="2976"/>
      <c r="Q1122" s="2966"/>
      <c r="R1122" s="2976"/>
      <c r="S1122" s="2961"/>
      <c r="T1122" s="2961"/>
      <c r="U1122" s="2923"/>
      <c r="V1122" s="2923"/>
      <c r="W1122" s="2923"/>
      <c r="X1122" s="2961"/>
      <c r="Y1122" s="2961"/>
      <c r="Z1122" s="2976"/>
      <c r="AA1122" s="2976"/>
      <c r="AB1122" s="2976"/>
      <c r="AC1122" s="118"/>
      <c r="AD1122" s="118"/>
    </row>
    <row r="1123" spans="1:30">
      <c r="A1123" s="3086"/>
      <c r="B1123" s="2966"/>
      <c r="C1123" s="2976"/>
      <c r="D1123" s="2976"/>
      <c r="E1123" s="2976"/>
      <c r="F1123" s="2973"/>
      <c r="G1123" s="2976"/>
      <c r="H1123" s="2966"/>
      <c r="I1123" s="2966"/>
      <c r="J1123" s="2976"/>
      <c r="K1123" s="2976"/>
      <c r="L1123" s="2961"/>
      <c r="M1123" s="2976"/>
      <c r="N1123" s="3086"/>
      <c r="O1123" s="3086"/>
      <c r="P1123" s="2976"/>
      <c r="Q1123" s="2966"/>
      <c r="R1123" s="2976"/>
      <c r="S1123" s="2961"/>
      <c r="T1123" s="2961"/>
      <c r="U1123" s="2923"/>
      <c r="V1123" s="2923"/>
      <c r="W1123" s="2923"/>
      <c r="X1123" s="2961"/>
      <c r="Y1123" s="2961"/>
      <c r="Z1123" s="2976"/>
      <c r="AA1123" s="2976"/>
      <c r="AB1123" s="2976"/>
      <c r="AC1123" s="118"/>
      <c r="AD1123" s="118"/>
    </row>
    <row r="1124" spans="1:30">
      <c r="A1124" s="3086"/>
      <c r="B1124" s="2966"/>
      <c r="C1124" s="2976"/>
      <c r="D1124" s="2976"/>
      <c r="E1124" s="2976"/>
      <c r="F1124" s="2973"/>
      <c r="G1124" s="2976"/>
      <c r="H1124" s="2966"/>
      <c r="I1124" s="2966"/>
      <c r="J1124" s="2976"/>
      <c r="K1124" s="2976"/>
      <c r="L1124" s="2961"/>
      <c r="M1124" s="2976"/>
      <c r="N1124" s="3086"/>
      <c r="O1124" s="3086"/>
      <c r="P1124" s="2976"/>
      <c r="Q1124" s="2966"/>
      <c r="R1124" s="2976"/>
      <c r="S1124" s="2961"/>
      <c r="T1124" s="2961"/>
      <c r="U1124" s="2923"/>
      <c r="V1124" s="2923"/>
      <c r="W1124" s="2923"/>
      <c r="X1124" s="2961"/>
      <c r="Y1124" s="2961"/>
      <c r="Z1124" s="2976"/>
      <c r="AA1124" s="2976"/>
      <c r="AB1124" s="2976"/>
      <c r="AC1124" s="118"/>
      <c r="AD1124" s="118"/>
    </row>
    <row r="1125" spans="1:30">
      <c r="A1125" s="3086"/>
      <c r="B1125" s="2966"/>
      <c r="C1125" s="2976"/>
      <c r="D1125" s="2976"/>
      <c r="E1125" s="2976"/>
      <c r="F1125" s="2973"/>
      <c r="G1125" s="2976"/>
      <c r="H1125" s="2966"/>
      <c r="I1125" s="2966"/>
      <c r="J1125" s="3088"/>
      <c r="K1125" s="2976"/>
      <c r="L1125" s="2961"/>
      <c r="M1125" s="2976"/>
      <c r="N1125" s="3086"/>
      <c r="O1125" s="3086"/>
      <c r="P1125" s="2976"/>
      <c r="Q1125" s="2966"/>
      <c r="R1125" s="2976"/>
      <c r="S1125" s="2961"/>
      <c r="T1125" s="2961"/>
      <c r="U1125" s="2923"/>
      <c r="V1125" s="2923"/>
      <c r="W1125" s="2923"/>
      <c r="X1125" s="2961"/>
      <c r="Y1125" s="2961"/>
      <c r="Z1125" s="2976"/>
      <c r="AA1125" s="2976"/>
      <c r="AB1125" s="2976"/>
      <c r="AC1125" s="118"/>
      <c r="AD1125" s="118"/>
    </row>
    <row r="1126" spans="1:30">
      <c r="A1126" s="3086"/>
      <c r="B1126" s="2966"/>
      <c r="C1126" s="2976"/>
      <c r="D1126" s="2976"/>
      <c r="E1126" s="2976"/>
      <c r="F1126" s="2973"/>
      <c r="G1126" s="2976"/>
      <c r="H1126" s="2966"/>
      <c r="I1126" s="2966"/>
      <c r="J1126" s="3088"/>
      <c r="K1126" s="2976"/>
      <c r="L1126" s="2961"/>
      <c r="M1126" s="2976"/>
      <c r="N1126" s="3086"/>
      <c r="O1126" s="3086"/>
      <c r="P1126" s="2976"/>
      <c r="Q1126" s="2966"/>
      <c r="R1126" s="2976"/>
      <c r="S1126" s="2961"/>
      <c r="T1126" s="2961"/>
      <c r="U1126" s="2923"/>
      <c r="V1126" s="2923"/>
      <c r="W1126" s="2923"/>
      <c r="X1126" s="2961"/>
      <c r="Y1126" s="2961"/>
      <c r="Z1126" s="2976"/>
      <c r="AA1126" s="2976"/>
      <c r="AB1126" s="2976"/>
      <c r="AC1126" s="118"/>
      <c r="AD1126" s="118"/>
    </row>
    <row r="1127" spans="1:30">
      <c r="A1127" s="3086"/>
      <c r="B1127" s="2966"/>
      <c r="C1127" s="2976"/>
      <c r="D1127" s="2976"/>
      <c r="E1127" s="2976"/>
      <c r="F1127" s="2973"/>
      <c r="G1127" s="2976"/>
      <c r="H1127" s="2966"/>
      <c r="I1127" s="2966"/>
      <c r="J1127" s="3088"/>
      <c r="K1127" s="2976"/>
      <c r="L1127" s="2961"/>
      <c r="M1127" s="2976"/>
      <c r="N1127" s="3086"/>
      <c r="O1127" s="3086"/>
      <c r="P1127" s="2976"/>
      <c r="Q1127" s="2966"/>
      <c r="R1127" s="2976"/>
      <c r="S1127" s="2961"/>
      <c r="T1127" s="2961"/>
      <c r="U1127" s="2923"/>
      <c r="V1127" s="2923"/>
      <c r="W1127" s="2923"/>
      <c r="X1127" s="2961"/>
      <c r="Y1127" s="2961"/>
      <c r="Z1127" s="2976"/>
      <c r="AA1127" s="2976"/>
      <c r="AB1127" s="2976"/>
      <c r="AC1127" s="118"/>
      <c r="AD1127" s="118"/>
    </row>
    <row r="1128" spans="1:30">
      <c r="A1128" s="2976"/>
      <c r="B1128" s="2966"/>
      <c r="C1128" s="2976"/>
      <c r="D1128" s="2976"/>
      <c r="E1128" s="2976"/>
      <c r="F1128" s="2973"/>
      <c r="G1128" s="2976"/>
      <c r="H1128" s="2966"/>
      <c r="I1128" s="2966"/>
      <c r="J1128" s="2976"/>
      <c r="K1128" s="2976"/>
      <c r="L1128" s="2961"/>
      <c r="M1128" s="2976"/>
      <c r="N1128" s="3086"/>
      <c r="O1128" s="3086"/>
      <c r="P1128" s="2976"/>
      <c r="Q1128" s="2966"/>
      <c r="R1128" s="2976"/>
      <c r="S1128" s="2961"/>
      <c r="T1128" s="2961"/>
      <c r="U1128" s="2923"/>
      <c r="V1128" s="2923"/>
      <c r="W1128" s="2923"/>
      <c r="X1128" s="2961"/>
      <c r="Y1128" s="2961"/>
      <c r="Z1128" s="2976"/>
      <c r="AA1128" s="2976"/>
      <c r="AB1128" s="2976"/>
      <c r="AC1128" s="118"/>
      <c r="AD1128" s="118"/>
    </row>
    <row r="1129" spans="1:30">
      <c r="A1129" s="3086"/>
      <c r="B1129" s="2966"/>
      <c r="C1129" s="2976"/>
      <c r="D1129" s="2976"/>
      <c r="E1129" s="2976"/>
      <c r="F1129" s="2973"/>
      <c r="G1129" s="2976"/>
      <c r="H1129" s="2966"/>
      <c r="I1129" s="2966"/>
      <c r="J1129" s="2976"/>
      <c r="K1129" s="2976"/>
      <c r="L1129" s="2961"/>
      <c r="M1129" s="2976"/>
      <c r="N1129" s="3086"/>
      <c r="O1129" s="3086"/>
      <c r="P1129" s="2976"/>
      <c r="Q1129" s="2966"/>
      <c r="R1129" s="2976"/>
      <c r="S1129" s="2961"/>
      <c r="T1129" s="2961"/>
      <c r="U1129" s="2923"/>
      <c r="V1129" s="2923"/>
      <c r="W1129" s="2923"/>
      <c r="X1129" s="2961"/>
      <c r="Y1129" s="2961"/>
      <c r="Z1129" s="2976"/>
      <c r="AA1129" s="2976"/>
      <c r="AB1129" s="2976"/>
      <c r="AC1129" s="118"/>
      <c r="AD1129" s="118"/>
    </row>
    <row r="1130" spans="1:30">
      <c r="A1130" s="3086"/>
      <c r="B1130" s="2966"/>
      <c r="C1130" s="2976"/>
      <c r="D1130" s="2976"/>
      <c r="E1130" s="2976"/>
      <c r="F1130" s="2973"/>
      <c r="G1130" s="2976"/>
      <c r="H1130" s="2966"/>
      <c r="I1130" s="2966"/>
      <c r="J1130" s="2976"/>
      <c r="K1130" s="2976"/>
      <c r="L1130" s="2961"/>
      <c r="M1130" s="2976"/>
      <c r="N1130" s="3086"/>
      <c r="O1130" s="3086"/>
      <c r="P1130" s="3086"/>
      <c r="Q1130" s="2966"/>
      <c r="R1130" s="2976"/>
      <c r="S1130" s="2961"/>
      <c r="T1130" s="2961"/>
      <c r="U1130" s="2923"/>
      <c r="V1130" s="2923"/>
      <c r="W1130" s="2923"/>
      <c r="X1130" s="2961"/>
      <c r="Y1130" s="2961"/>
      <c r="Z1130" s="2976"/>
      <c r="AA1130" s="2976"/>
      <c r="AB1130" s="2976"/>
      <c r="AC1130" s="118"/>
      <c r="AD1130" s="118"/>
    </row>
    <row r="1131" spans="1:30">
      <c r="A1131" s="3086"/>
      <c r="B1131" s="2966"/>
      <c r="C1131" s="2976"/>
      <c r="D1131" s="2976"/>
      <c r="E1131" s="2976"/>
      <c r="F1131" s="2973"/>
      <c r="G1131" s="2976"/>
      <c r="H1131" s="2966"/>
      <c r="I1131" s="2966"/>
      <c r="J1131" s="2976"/>
      <c r="K1131" s="2976"/>
      <c r="L1131" s="2961"/>
      <c r="M1131" s="2976"/>
      <c r="N1131" s="3086"/>
      <c r="O1131" s="3086"/>
      <c r="P1131" s="2976"/>
      <c r="Q1131" s="2966"/>
      <c r="R1131" s="2976"/>
      <c r="S1131" s="2961"/>
      <c r="T1131" s="2961"/>
      <c r="U1131" s="2923"/>
      <c r="V1131" s="2923"/>
      <c r="W1131" s="2923"/>
      <c r="X1131" s="2961"/>
      <c r="Y1131" s="2961"/>
      <c r="Z1131" s="2976"/>
      <c r="AA1131" s="2976"/>
      <c r="AB1131" s="2976"/>
      <c r="AC1131" s="118"/>
      <c r="AD1131" s="118"/>
    </row>
    <row r="1132" spans="1:30">
      <c r="A1132" s="3086"/>
      <c r="B1132" s="2966"/>
      <c r="C1132" s="2976"/>
      <c r="D1132" s="2976"/>
      <c r="E1132" s="2976"/>
      <c r="F1132" s="2973"/>
      <c r="G1132" s="2976"/>
      <c r="H1132" s="2966"/>
      <c r="I1132" s="2966"/>
      <c r="J1132" s="2976"/>
      <c r="K1132" s="2976"/>
      <c r="L1132" s="2961"/>
      <c r="M1132" s="2976"/>
      <c r="N1132" s="3086"/>
      <c r="O1132" s="3086"/>
      <c r="P1132" s="2976"/>
      <c r="Q1132" s="2972"/>
      <c r="R1132" s="2739"/>
      <c r="S1132" s="2961"/>
      <c r="T1132" s="2961"/>
      <c r="U1132" s="2923"/>
      <c r="V1132" s="2923"/>
      <c r="W1132" s="2923"/>
      <c r="X1132" s="2961"/>
      <c r="Y1132" s="2961"/>
      <c r="Z1132" s="2976"/>
      <c r="AA1132" s="2976"/>
      <c r="AB1132" s="2976"/>
      <c r="AC1132" s="118"/>
      <c r="AD1132" s="118"/>
    </row>
    <row r="1133" spans="1:30">
      <c r="A1133" s="3086"/>
      <c r="B1133" s="2966"/>
      <c r="C1133" s="2976"/>
      <c r="D1133" s="2976"/>
      <c r="E1133" s="2976"/>
      <c r="F1133" s="2973"/>
      <c r="G1133" s="2976"/>
      <c r="H1133" s="2966"/>
      <c r="I1133" s="2966"/>
      <c r="J1133" s="2976"/>
      <c r="K1133" s="2976"/>
      <c r="L1133" s="2961"/>
      <c r="M1133" s="2976"/>
      <c r="N1133" s="2976"/>
      <c r="O1133" s="2976"/>
      <c r="P1133" s="2976"/>
      <c r="Q1133" s="2966"/>
      <c r="R1133" s="2976"/>
      <c r="S1133" s="2961"/>
      <c r="T1133" s="2961"/>
      <c r="U1133" s="2923"/>
      <c r="V1133" s="2923"/>
      <c r="W1133" s="2923"/>
      <c r="X1133" s="2961"/>
      <c r="Y1133" s="2961"/>
      <c r="Z1133" s="2976"/>
      <c r="AA1133" s="2976"/>
      <c r="AB1133" s="2976"/>
      <c r="AC1133" s="118"/>
      <c r="AD1133" s="118"/>
    </row>
    <row r="1134" spans="1:30">
      <c r="A1134" s="3086"/>
      <c r="B1134" s="2966"/>
      <c r="C1134" s="2976"/>
      <c r="D1134" s="2976"/>
      <c r="E1134" s="2976"/>
      <c r="F1134" s="2973"/>
      <c r="G1134" s="2976"/>
      <c r="H1134" s="2966"/>
      <c r="I1134" s="2966"/>
      <c r="J1134" s="2976"/>
      <c r="K1134" s="2976"/>
      <c r="L1134" s="2961"/>
      <c r="M1134" s="2976"/>
      <c r="N1134" s="3086"/>
      <c r="O1134" s="3086"/>
      <c r="P1134" s="2976"/>
      <c r="Q1134" s="2966"/>
      <c r="R1134" s="2976"/>
      <c r="S1134" s="2961"/>
      <c r="T1134" s="2961"/>
      <c r="U1134" s="2923"/>
      <c r="V1134" s="2923"/>
      <c r="W1134" s="2923"/>
      <c r="X1134" s="2961"/>
      <c r="Y1134" s="2961"/>
      <c r="Z1134" s="2976"/>
      <c r="AA1134" s="2976"/>
      <c r="AB1134" s="2976"/>
      <c r="AC1134" s="118"/>
      <c r="AD1134" s="118"/>
    </row>
    <row r="1135" spans="1:30">
      <c r="A1135" s="3086"/>
      <c r="B1135" s="2966"/>
      <c r="C1135" s="2976"/>
      <c r="D1135" s="2976"/>
      <c r="E1135" s="2976"/>
      <c r="F1135" s="2973"/>
      <c r="G1135" s="2976"/>
      <c r="H1135" s="2966"/>
      <c r="I1135" s="2966"/>
      <c r="J1135" s="2976"/>
      <c r="K1135" s="2976"/>
      <c r="L1135" s="2961"/>
      <c r="M1135" s="2976"/>
      <c r="N1135" s="3086"/>
      <c r="O1135" s="3086"/>
      <c r="P1135" s="2976"/>
      <c r="Q1135" s="2966"/>
      <c r="R1135" s="2976"/>
      <c r="S1135" s="2961"/>
      <c r="T1135" s="2961"/>
      <c r="U1135" s="2923"/>
      <c r="V1135" s="2923"/>
      <c r="W1135" s="2923"/>
      <c r="X1135" s="2961"/>
      <c r="Y1135" s="2961"/>
      <c r="Z1135" s="2976"/>
      <c r="AA1135" s="2976"/>
      <c r="AB1135" s="2976"/>
      <c r="AC1135" s="118"/>
      <c r="AD1135" s="118"/>
    </row>
    <row r="1136" spans="1:30">
      <c r="A1136" s="3086"/>
      <c r="B1136" s="2966"/>
      <c r="C1136" s="2976"/>
      <c r="D1136" s="2976"/>
      <c r="E1136" s="2976"/>
      <c r="F1136" s="2973"/>
      <c r="G1136" s="2976"/>
      <c r="H1136" s="2966"/>
      <c r="I1136" s="2966"/>
      <c r="J1136" s="2976"/>
      <c r="K1136" s="2976"/>
      <c r="L1136" s="2961"/>
      <c r="M1136" s="2976"/>
      <c r="N1136" s="3086"/>
      <c r="O1136" s="3086"/>
      <c r="P1136" s="2976"/>
      <c r="Q1136" s="2966"/>
      <c r="R1136" s="2976"/>
      <c r="S1136" s="2961"/>
      <c r="T1136" s="2961"/>
      <c r="U1136" s="2923"/>
      <c r="V1136" s="2923"/>
      <c r="W1136" s="2923"/>
      <c r="X1136" s="2961"/>
      <c r="Y1136" s="2961"/>
      <c r="Z1136" s="2976"/>
      <c r="AA1136" s="2976"/>
      <c r="AB1136" s="2976"/>
      <c r="AC1136" s="118"/>
      <c r="AD1136" s="118"/>
    </row>
    <row r="1137" spans="1:30">
      <c r="A1137" s="3086"/>
      <c r="B1137" s="2966"/>
      <c r="C1137" s="2976"/>
      <c r="D1137" s="2976"/>
      <c r="E1137" s="2976"/>
      <c r="F1137" s="2973"/>
      <c r="G1137" s="2976"/>
      <c r="H1137" s="2966"/>
      <c r="I1137" s="2966"/>
      <c r="J1137" s="2976"/>
      <c r="K1137" s="2976"/>
      <c r="L1137" s="2961"/>
      <c r="M1137" s="2976"/>
      <c r="N1137" s="3086"/>
      <c r="O1137" s="3086"/>
      <c r="P1137" s="2976"/>
      <c r="Q1137" s="2966"/>
      <c r="R1137" s="2976"/>
      <c r="S1137" s="2961"/>
      <c r="T1137" s="2961"/>
      <c r="U1137" s="2923"/>
      <c r="V1137" s="2923"/>
      <c r="W1137" s="2923"/>
      <c r="X1137" s="2961"/>
      <c r="Y1137" s="2961"/>
      <c r="Z1137" s="2976"/>
      <c r="AA1137" s="2976"/>
      <c r="AB1137" s="2976"/>
      <c r="AC1137" s="118"/>
      <c r="AD1137" s="118"/>
    </row>
    <row r="1138" spans="1:30">
      <c r="A1138" s="3086"/>
      <c r="B1138" s="2966"/>
      <c r="C1138" s="2976"/>
      <c r="D1138" s="2976"/>
      <c r="E1138" s="2976"/>
      <c r="F1138" s="2973"/>
      <c r="G1138" s="2976"/>
      <c r="H1138" s="2966"/>
      <c r="I1138" s="2966"/>
      <c r="J1138" s="2976"/>
      <c r="K1138" s="2976"/>
      <c r="L1138" s="2961"/>
      <c r="M1138" s="2976"/>
      <c r="N1138" s="3086"/>
      <c r="O1138" s="3086"/>
      <c r="P1138" s="3086"/>
      <c r="Q1138" s="2966"/>
      <c r="R1138" s="2976"/>
      <c r="S1138" s="2961"/>
      <c r="T1138" s="2961"/>
      <c r="U1138" s="2923"/>
      <c r="V1138" s="2923"/>
      <c r="W1138" s="2923"/>
      <c r="X1138" s="2962"/>
      <c r="Y1138" s="2961"/>
      <c r="Z1138" s="3086"/>
      <c r="AA1138" s="3086"/>
      <c r="AB1138" s="3086"/>
      <c r="AC1138" s="118"/>
      <c r="AD1138" s="118"/>
    </row>
    <row r="1139" spans="1:30">
      <c r="A1139" s="3086"/>
      <c r="B1139" s="2966"/>
      <c r="C1139" s="2976"/>
      <c r="D1139" s="2976"/>
      <c r="E1139" s="2976"/>
      <c r="F1139" s="2973"/>
      <c r="G1139" s="2976"/>
      <c r="H1139" s="2966"/>
      <c r="I1139" s="2966"/>
      <c r="J1139" s="2976"/>
      <c r="K1139" s="2976"/>
      <c r="L1139" s="2961"/>
      <c r="M1139" s="2976"/>
      <c r="N1139" s="3086"/>
      <c r="O1139" s="3086"/>
      <c r="P1139" s="2976"/>
      <c r="Q1139" s="2972"/>
      <c r="R1139" s="2976"/>
      <c r="S1139" s="2961"/>
      <c r="T1139" s="2961"/>
      <c r="U1139" s="2923"/>
      <c r="V1139" s="2923"/>
      <c r="W1139" s="2923"/>
      <c r="X1139" s="2961"/>
      <c r="Y1139" s="2961"/>
      <c r="Z1139" s="2976"/>
      <c r="AA1139" s="3086"/>
      <c r="AB1139" s="2976"/>
      <c r="AC1139" s="118"/>
      <c r="AD1139" s="118"/>
    </row>
    <row r="1140" spans="1:30">
      <c r="A1140" s="2963"/>
      <c r="B1140" s="2873"/>
      <c r="C1140" s="2964"/>
      <c r="D1140" s="2964"/>
      <c r="E1140" s="2964"/>
      <c r="F1140" s="2965"/>
      <c r="G1140" s="2964"/>
      <c r="H1140" s="2873"/>
      <c r="I1140" s="2873"/>
      <c r="J1140" s="2964"/>
      <c r="K1140" s="2964"/>
      <c r="L1140" s="2967"/>
      <c r="M1140" s="2964"/>
      <c r="N1140" s="2963"/>
      <c r="O1140" s="2963"/>
      <c r="P1140" s="2963"/>
      <c r="Q1140" s="2873"/>
      <c r="R1140" s="2964"/>
      <c r="S1140" s="2967"/>
      <c r="T1140" s="2967"/>
      <c r="U1140" s="2923"/>
      <c r="V1140" s="2923"/>
      <c r="W1140" s="2923"/>
      <c r="X1140" s="2969"/>
      <c r="Y1140" s="2975"/>
      <c r="Z1140" s="2964"/>
      <c r="AA1140" s="2964"/>
      <c r="AB1140" s="2964"/>
      <c r="AC1140" s="118"/>
      <c r="AD1140" s="118"/>
    </row>
    <row r="1141" spans="1:30">
      <c r="A1141" s="2976"/>
      <c r="B1141" s="2966"/>
      <c r="C1141" s="2976"/>
      <c r="D1141" s="2976"/>
      <c r="E1141" s="2976"/>
      <c r="F1141" s="2973"/>
      <c r="G1141" s="2976"/>
      <c r="H1141" s="2966"/>
      <c r="I1141" s="2966"/>
      <c r="J1141" s="2976"/>
      <c r="K1141" s="2976"/>
      <c r="L1141" s="2961"/>
      <c r="M1141" s="2976"/>
      <c r="N1141" s="3086"/>
      <c r="O1141" s="3086"/>
      <c r="P1141" s="2976"/>
      <c r="Q1141" s="2966"/>
      <c r="R1141" s="2976"/>
      <c r="S1141" s="2961"/>
      <c r="T1141" s="2961"/>
      <c r="U1141" s="2923"/>
      <c r="V1141" s="2923"/>
      <c r="W1141" s="2923"/>
      <c r="X1141" s="2961"/>
      <c r="Y1141" s="2961"/>
      <c r="Z1141" s="2976"/>
      <c r="AA1141" s="2976"/>
      <c r="AB1141" s="2976"/>
      <c r="AC1141" s="118"/>
      <c r="AD1141" s="118"/>
    </row>
    <row r="1142" spans="1:30">
      <c r="A1142" s="3086"/>
      <c r="B1142" s="2966"/>
      <c r="C1142" s="2976"/>
      <c r="D1142" s="2976"/>
      <c r="E1142" s="2976"/>
      <c r="F1142" s="2973"/>
      <c r="G1142" s="2976"/>
      <c r="H1142" s="2966"/>
      <c r="I1142" s="2966"/>
      <c r="J1142" s="2976"/>
      <c r="K1142" s="2976"/>
      <c r="L1142" s="2961"/>
      <c r="M1142" s="2976"/>
      <c r="N1142" s="2976"/>
      <c r="O1142" s="2976"/>
      <c r="P1142" s="2976"/>
      <c r="Q1142" s="2966"/>
      <c r="R1142" s="2976"/>
      <c r="S1142" s="2961"/>
      <c r="T1142" s="2961"/>
      <c r="U1142" s="2923"/>
      <c r="V1142" s="2923"/>
      <c r="W1142" s="2923"/>
      <c r="X1142" s="2961"/>
      <c r="Y1142" s="2961"/>
      <c r="Z1142" s="2976"/>
      <c r="AA1142" s="2976"/>
      <c r="AB1142" s="2976"/>
      <c r="AC1142" s="118"/>
      <c r="AD1142" s="118"/>
    </row>
    <row r="1143" spans="1:30">
      <c r="A1143" s="3086"/>
      <c r="B1143" s="2966"/>
      <c r="C1143" s="2976"/>
      <c r="D1143" s="2976"/>
      <c r="E1143" s="2976"/>
      <c r="F1143" s="2973"/>
      <c r="G1143" s="2976"/>
      <c r="H1143" s="2966"/>
      <c r="I1143" s="2966"/>
      <c r="J1143" s="2976"/>
      <c r="K1143" s="2976"/>
      <c r="L1143" s="2961"/>
      <c r="M1143" s="2976"/>
      <c r="N1143" s="3086"/>
      <c r="O1143" s="3086"/>
      <c r="P1143" s="2976"/>
      <c r="Q1143" s="2966"/>
      <c r="R1143" s="2976"/>
      <c r="S1143" s="2961"/>
      <c r="T1143" s="2961"/>
      <c r="U1143" s="2923"/>
      <c r="V1143" s="2923"/>
      <c r="W1143" s="2923"/>
      <c r="X1143" s="2961"/>
      <c r="Y1143" s="2961"/>
      <c r="Z1143" s="2976"/>
      <c r="AA1143" s="2976"/>
      <c r="AB1143" s="2976"/>
      <c r="AC1143" s="118"/>
      <c r="AD1143" s="118"/>
    </row>
    <row r="1144" spans="1:30">
      <c r="A1144" s="3086"/>
      <c r="B1144" s="2966"/>
      <c r="C1144" s="2976"/>
      <c r="D1144" s="2976"/>
      <c r="E1144" s="2976"/>
      <c r="F1144" s="2973"/>
      <c r="G1144" s="2976"/>
      <c r="H1144" s="2966"/>
      <c r="I1144" s="2966"/>
      <c r="J1144" s="2976"/>
      <c r="K1144" s="2976"/>
      <c r="L1144" s="2961"/>
      <c r="M1144" s="2976"/>
      <c r="N1144" s="3086"/>
      <c r="O1144" s="3086"/>
      <c r="P1144" s="2976"/>
      <c r="Q1144" s="2966"/>
      <c r="R1144" s="2976"/>
      <c r="S1144" s="2961"/>
      <c r="T1144" s="2961"/>
      <c r="U1144" s="2923"/>
      <c r="V1144" s="2923"/>
      <c r="W1144" s="2923"/>
      <c r="X1144" s="2961"/>
      <c r="Y1144" s="2961"/>
      <c r="Z1144" s="2976"/>
      <c r="AA1144" s="2976"/>
      <c r="AB1144" s="2976"/>
      <c r="AC1144" s="118"/>
      <c r="AD1144" s="118"/>
    </row>
    <row r="1145" spans="1:30">
      <c r="A1145" s="3086"/>
      <c r="B1145" s="2966"/>
      <c r="C1145" s="2976"/>
      <c r="D1145" s="2976"/>
      <c r="E1145" s="2976"/>
      <c r="F1145" s="2973"/>
      <c r="G1145" s="2976"/>
      <c r="H1145" s="2966"/>
      <c r="I1145" s="2966"/>
      <c r="J1145" s="2976"/>
      <c r="K1145" s="2976"/>
      <c r="L1145" s="2961"/>
      <c r="M1145" s="2976"/>
      <c r="N1145" s="3086"/>
      <c r="O1145" s="3086"/>
      <c r="P1145" s="2976"/>
      <c r="Q1145" s="2966"/>
      <c r="R1145" s="2976"/>
      <c r="S1145" s="2961"/>
      <c r="T1145" s="2961"/>
      <c r="U1145" s="2923"/>
      <c r="V1145" s="2923"/>
      <c r="W1145" s="2923"/>
      <c r="X1145" s="2961"/>
      <c r="Y1145" s="2961"/>
      <c r="Z1145" s="2976"/>
      <c r="AA1145" s="2976"/>
      <c r="AB1145" s="2976"/>
      <c r="AC1145" s="118"/>
      <c r="AD1145" s="118"/>
    </row>
    <row r="1146" spans="1:30">
      <c r="A1146" s="3086"/>
      <c r="B1146" s="2966"/>
      <c r="C1146" s="2976"/>
      <c r="D1146" s="2976"/>
      <c r="E1146" s="2976"/>
      <c r="F1146" s="2973"/>
      <c r="G1146" s="2976"/>
      <c r="H1146" s="2966"/>
      <c r="I1146" s="2966"/>
      <c r="J1146" s="2976"/>
      <c r="K1146" s="2976"/>
      <c r="L1146" s="2961"/>
      <c r="M1146" s="2976"/>
      <c r="N1146" s="3086"/>
      <c r="O1146" s="3086"/>
      <c r="P1146" s="2976"/>
      <c r="Q1146" s="2966"/>
      <c r="R1146" s="2976"/>
      <c r="S1146" s="2961"/>
      <c r="T1146" s="2961"/>
      <c r="U1146" s="2923"/>
      <c r="V1146" s="2923"/>
      <c r="W1146" s="2923"/>
      <c r="X1146" s="2961"/>
      <c r="Y1146" s="2961"/>
      <c r="Z1146" s="2976"/>
      <c r="AA1146" s="2976"/>
      <c r="AB1146" s="2976"/>
      <c r="AC1146" s="118"/>
      <c r="AD1146" s="118"/>
    </row>
    <row r="1147" spans="1:30">
      <c r="A1147" s="3086"/>
      <c r="B1147" s="2966"/>
      <c r="C1147" s="2976"/>
      <c r="D1147" s="2976"/>
      <c r="E1147" s="2976"/>
      <c r="F1147" s="2973"/>
      <c r="G1147" s="2976"/>
      <c r="H1147" s="2966"/>
      <c r="I1147" s="2966"/>
      <c r="J1147" s="2976"/>
      <c r="K1147" s="2976"/>
      <c r="L1147" s="2961"/>
      <c r="M1147" s="2976"/>
      <c r="N1147" s="3086"/>
      <c r="O1147" s="3086"/>
      <c r="P1147" s="2976"/>
      <c r="Q1147" s="2966"/>
      <c r="R1147" s="2976"/>
      <c r="S1147" s="2961"/>
      <c r="T1147" s="2961"/>
      <c r="U1147" s="2923"/>
      <c r="V1147" s="2923"/>
      <c r="W1147" s="2923"/>
      <c r="X1147" s="2961"/>
      <c r="Y1147" s="2961"/>
      <c r="Z1147" s="2976"/>
      <c r="AA1147" s="2976"/>
      <c r="AB1147" s="2976"/>
      <c r="AC1147" s="118"/>
      <c r="AD1147" s="118"/>
    </row>
    <row r="1148" spans="1:30">
      <c r="A1148" s="3086"/>
      <c r="B1148" s="2966"/>
      <c r="C1148" s="2976"/>
      <c r="D1148" s="2976"/>
      <c r="E1148" s="2976"/>
      <c r="F1148" s="2973"/>
      <c r="G1148" s="2976"/>
      <c r="H1148" s="2966"/>
      <c r="I1148" s="2966"/>
      <c r="J1148" s="2976"/>
      <c r="K1148" s="2976"/>
      <c r="L1148" s="2961"/>
      <c r="M1148" s="2976"/>
      <c r="N1148" s="3086"/>
      <c r="O1148" s="3086"/>
      <c r="P1148" s="2976"/>
      <c r="Q1148" s="2966"/>
      <c r="R1148" s="2976"/>
      <c r="S1148" s="2961"/>
      <c r="T1148" s="2961"/>
      <c r="U1148" s="2923"/>
      <c r="V1148" s="2923"/>
      <c r="W1148" s="2923"/>
      <c r="X1148" s="2961"/>
      <c r="Y1148" s="2961"/>
      <c r="Z1148" s="2976"/>
      <c r="AA1148" s="2976"/>
      <c r="AB1148" s="2976"/>
      <c r="AC1148" s="118"/>
      <c r="AD1148" s="118"/>
    </row>
    <row r="1149" spans="1:30">
      <c r="A1149" s="3086"/>
      <c r="B1149" s="2966"/>
      <c r="C1149" s="2976"/>
      <c r="D1149" s="2976"/>
      <c r="E1149" s="2976"/>
      <c r="F1149" s="2973"/>
      <c r="G1149" s="2976"/>
      <c r="H1149" s="2966"/>
      <c r="I1149" s="2966"/>
      <c r="J1149" s="2976"/>
      <c r="K1149" s="2976"/>
      <c r="L1149" s="2961"/>
      <c r="M1149" s="2976"/>
      <c r="N1149" s="3086"/>
      <c r="O1149" s="3086"/>
      <c r="P1149" s="2976"/>
      <c r="Q1149" s="2966"/>
      <c r="R1149" s="2976"/>
      <c r="S1149" s="2961"/>
      <c r="T1149" s="2961"/>
      <c r="U1149" s="2923"/>
      <c r="V1149" s="2923"/>
      <c r="W1149" s="2923"/>
      <c r="X1149" s="2961"/>
      <c r="Y1149" s="2961"/>
      <c r="Z1149" s="2976"/>
      <c r="AA1149" s="2976"/>
      <c r="AB1149" s="2976"/>
      <c r="AC1149" s="118"/>
      <c r="AD1149" s="118"/>
    </row>
    <row r="1150" spans="1:30">
      <c r="A1150" s="3086"/>
      <c r="B1150" s="2966"/>
      <c r="C1150" s="2976"/>
      <c r="D1150" s="2976"/>
      <c r="E1150" s="2976"/>
      <c r="F1150" s="2973"/>
      <c r="G1150" s="2976"/>
      <c r="H1150" s="2966"/>
      <c r="I1150" s="2966"/>
      <c r="J1150" s="2976"/>
      <c r="K1150" s="2976"/>
      <c r="L1150" s="2961"/>
      <c r="M1150" s="2976"/>
      <c r="N1150" s="3086"/>
      <c r="O1150" s="3086"/>
      <c r="P1150" s="2976"/>
      <c r="Q1150" s="2966"/>
      <c r="R1150" s="2976"/>
      <c r="S1150" s="2961"/>
      <c r="T1150" s="2961"/>
      <c r="U1150" s="2923"/>
      <c r="V1150" s="2923"/>
      <c r="W1150" s="2923"/>
      <c r="X1150" s="2961"/>
      <c r="Y1150" s="2961"/>
      <c r="Z1150" s="2976"/>
      <c r="AA1150" s="2976"/>
      <c r="AB1150" s="2976"/>
      <c r="AC1150" s="118"/>
      <c r="AD1150" s="118"/>
    </row>
    <row r="1151" spans="1:30">
      <c r="A1151" s="3086"/>
      <c r="B1151" s="2966"/>
      <c r="C1151" s="2976"/>
      <c r="D1151" s="2976"/>
      <c r="E1151" s="2976"/>
      <c r="F1151" s="2973"/>
      <c r="G1151" s="2976"/>
      <c r="H1151" s="2966"/>
      <c r="I1151" s="2966"/>
      <c r="J1151" s="2976"/>
      <c r="K1151" s="2976"/>
      <c r="L1151" s="2961"/>
      <c r="M1151" s="2976"/>
      <c r="N1151" s="3086"/>
      <c r="O1151" s="3086"/>
      <c r="P1151" s="2976"/>
      <c r="Q1151" s="2966"/>
      <c r="R1151" s="2976"/>
      <c r="S1151" s="2961"/>
      <c r="T1151" s="2961"/>
      <c r="U1151" s="2923"/>
      <c r="V1151" s="2923"/>
      <c r="W1151" s="2923"/>
      <c r="X1151" s="2961"/>
      <c r="Y1151" s="2961"/>
      <c r="Z1151" s="2976"/>
      <c r="AA1151" s="2976"/>
      <c r="AB1151" s="2976"/>
      <c r="AC1151" s="118"/>
      <c r="AD1151" s="118"/>
    </row>
    <row r="1152" spans="1:30">
      <c r="A1152" s="3086"/>
      <c r="B1152" s="2966"/>
      <c r="C1152" s="2976"/>
      <c r="D1152" s="2976"/>
      <c r="E1152" s="2976"/>
      <c r="F1152" s="2973"/>
      <c r="G1152" s="2976"/>
      <c r="H1152" s="2966"/>
      <c r="I1152" s="2966"/>
      <c r="J1152" s="2976"/>
      <c r="K1152" s="2976"/>
      <c r="L1152" s="2961"/>
      <c r="M1152" s="2976"/>
      <c r="N1152" s="3086"/>
      <c r="O1152" s="3086"/>
      <c r="P1152" s="2976"/>
      <c r="Q1152" s="2966"/>
      <c r="R1152" s="2976"/>
      <c r="S1152" s="2961"/>
      <c r="T1152" s="2961"/>
      <c r="U1152" s="2923"/>
      <c r="V1152" s="2923"/>
      <c r="W1152" s="2923"/>
      <c r="X1152" s="2961"/>
      <c r="Y1152" s="2961"/>
      <c r="Z1152" s="2976"/>
      <c r="AA1152" s="2976"/>
      <c r="AB1152" s="2976"/>
      <c r="AC1152" s="118"/>
      <c r="AD1152" s="118"/>
    </row>
    <row r="1153" spans="1:30">
      <c r="A1153" s="3086"/>
      <c r="B1153" s="2966"/>
      <c r="C1153" s="2976"/>
      <c r="D1153" s="2976"/>
      <c r="E1153" s="2976"/>
      <c r="F1153" s="2973"/>
      <c r="G1153" s="2976"/>
      <c r="H1153" s="2966"/>
      <c r="I1153" s="2966"/>
      <c r="J1153" s="2976"/>
      <c r="K1153" s="2976"/>
      <c r="L1153" s="2961"/>
      <c r="M1153" s="2976"/>
      <c r="N1153" s="3086"/>
      <c r="O1153" s="3086"/>
      <c r="P1153" s="2976"/>
      <c r="Q1153" s="2966"/>
      <c r="R1153" s="2976"/>
      <c r="S1153" s="2961"/>
      <c r="T1153" s="2961"/>
      <c r="U1153" s="2923"/>
      <c r="V1153" s="2923"/>
      <c r="W1153" s="2923"/>
      <c r="X1153" s="2961"/>
      <c r="Y1153" s="2961"/>
      <c r="Z1153" s="2976"/>
      <c r="AA1153" s="2976"/>
      <c r="AB1153" s="2976"/>
      <c r="AC1153" s="118"/>
      <c r="AD1153" s="118"/>
    </row>
    <row r="1154" spans="1:30">
      <c r="A1154" s="3086"/>
      <c r="B1154" s="2966"/>
      <c r="C1154" s="2976"/>
      <c r="D1154" s="2976"/>
      <c r="E1154" s="2976"/>
      <c r="F1154" s="2973"/>
      <c r="G1154" s="2976"/>
      <c r="H1154" s="2966"/>
      <c r="I1154" s="2966"/>
      <c r="J1154" s="2976"/>
      <c r="K1154" s="2976"/>
      <c r="L1154" s="2961"/>
      <c r="M1154" s="2976"/>
      <c r="N1154" s="3086"/>
      <c r="O1154" s="3086"/>
      <c r="P1154" s="2976"/>
      <c r="Q1154" s="2966"/>
      <c r="R1154" s="2976"/>
      <c r="S1154" s="2961"/>
      <c r="T1154" s="2961"/>
      <c r="U1154" s="2923"/>
      <c r="V1154" s="2923"/>
      <c r="W1154" s="2923"/>
      <c r="X1154" s="2961"/>
      <c r="Y1154" s="2961"/>
      <c r="Z1154" s="2976"/>
      <c r="AA1154" s="2976"/>
      <c r="AB1154" s="2976"/>
      <c r="AC1154" s="118"/>
      <c r="AD1154" s="118"/>
    </row>
    <row r="1155" spans="1:30">
      <c r="A1155" s="3086"/>
      <c r="B1155" s="2966"/>
      <c r="C1155" s="2976"/>
      <c r="D1155" s="2976"/>
      <c r="E1155" s="2976"/>
      <c r="F1155" s="2973"/>
      <c r="G1155" s="2976"/>
      <c r="H1155" s="2966"/>
      <c r="I1155" s="2966"/>
      <c r="J1155" s="2976"/>
      <c r="K1155" s="2976"/>
      <c r="L1155" s="2961"/>
      <c r="M1155" s="2976"/>
      <c r="N1155" s="3086"/>
      <c r="O1155" s="3086"/>
      <c r="P1155" s="2976"/>
      <c r="Q1155" s="2966"/>
      <c r="R1155" s="2976"/>
      <c r="S1155" s="2961"/>
      <c r="T1155" s="2961"/>
      <c r="U1155" s="2923"/>
      <c r="V1155" s="2923"/>
      <c r="W1155" s="2923"/>
      <c r="X1155" s="2961"/>
      <c r="Y1155" s="2961"/>
      <c r="Z1155" s="2976"/>
      <c r="AA1155" s="2976"/>
      <c r="AB1155" s="2976"/>
      <c r="AC1155" s="118"/>
      <c r="AD1155" s="118"/>
    </row>
    <row r="1156" spans="1:30">
      <c r="A1156" s="3086"/>
      <c r="B1156" s="2966"/>
      <c r="C1156" s="2976"/>
      <c r="D1156" s="2976"/>
      <c r="E1156" s="2976"/>
      <c r="F1156" s="2973"/>
      <c r="G1156" s="2976"/>
      <c r="H1156" s="2966"/>
      <c r="I1156" s="2966"/>
      <c r="J1156" s="2976"/>
      <c r="K1156" s="2976"/>
      <c r="L1156" s="2961"/>
      <c r="M1156" s="2976"/>
      <c r="N1156" s="3086"/>
      <c r="O1156" s="3086"/>
      <c r="P1156" s="2976"/>
      <c r="Q1156" s="2966"/>
      <c r="R1156" s="2976"/>
      <c r="S1156" s="2961"/>
      <c r="T1156" s="2961"/>
      <c r="U1156" s="2923"/>
      <c r="V1156" s="2923"/>
      <c r="W1156" s="2923"/>
      <c r="X1156" s="2961"/>
      <c r="Y1156" s="2961"/>
      <c r="Z1156" s="2976"/>
      <c r="AA1156" s="2976"/>
      <c r="AB1156" s="2976"/>
      <c r="AC1156" s="118"/>
      <c r="AD1156" s="118"/>
    </row>
    <row r="1157" spans="1:30">
      <c r="A1157" s="3086"/>
      <c r="B1157" s="2966"/>
      <c r="C1157" s="2976"/>
      <c r="D1157" s="2976"/>
      <c r="E1157" s="2976"/>
      <c r="F1157" s="2973"/>
      <c r="G1157" s="2976"/>
      <c r="H1157" s="2966"/>
      <c r="I1157" s="2966"/>
      <c r="J1157" s="2976"/>
      <c r="K1157" s="2976"/>
      <c r="L1157" s="2961"/>
      <c r="M1157" s="2976"/>
      <c r="N1157" s="3086"/>
      <c r="O1157" s="3086"/>
      <c r="P1157" s="2976"/>
      <c r="Q1157" s="2966"/>
      <c r="R1157" s="2976"/>
      <c r="S1157" s="2961"/>
      <c r="T1157" s="2961"/>
      <c r="U1157" s="2923"/>
      <c r="V1157" s="2923"/>
      <c r="W1157" s="2923"/>
      <c r="X1157" s="2961"/>
      <c r="Y1157" s="2961"/>
      <c r="Z1157" s="2976"/>
      <c r="AA1157" s="2976"/>
      <c r="AB1157" s="2976"/>
      <c r="AC1157" s="118"/>
      <c r="AD1157" s="118"/>
    </row>
    <row r="1158" spans="1:30">
      <c r="A1158" s="3086"/>
      <c r="B1158" s="2966"/>
      <c r="C1158" s="2976"/>
      <c r="D1158" s="2976"/>
      <c r="E1158" s="2976"/>
      <c r="F1158" s="2973"/>
      <c r="G1158" s="2976"/>
      <c r="H1158" s="2966"/>
      <c r="I1158" s="2966"/>
      <c r="J1158" s="2976"/>
      <c r="K1158" s="2976"/>
      <c r="L1158" s="2961"/>
      <c r="M1158" s="2976"/>
      <c r="N1158" s="3086"/>
      <c r="O1158" s="3086"/>
      <c r="P1158" s="2976"/>
      <c r="Q1158" s="2966"/>
      <c r="R1158" s="2976"/>
      <c r="S1158" s="2961"/>
      <c r="T1158" s="2961"/>
      <c r="U1158" s="2923"/>
      <c r="V1158" s="2923"/>
      <c r="W1158" s="2923"/>
      <c r="X1158" s="2961"/>
      <c r="Y1158" s="2961"/>
      <c r="Z1158" s="2976"/>
      <c r="AA1158" s="2976"/>
      <c r="AB1158" s="2976"/>
      <c r="AC1158" s="118"/>
      <c r="AD1158" s="118"/>
    </row>
    <row r="1159" spans="1:30">
      <c r="A1159" s="3086"/>
      <c r="B1159" s="2966"/>
      <c r="C1159" s="2976"/>
      <c r="D1159" s="2976"/>
      <c r="E1159" s="2976"/>
      <c r="F1159" s="2973"/>
      <c r="G1159" s="2976"/>
      <c r="H1159" s="2966"/>
      <c r="I1159" s="2966"/>
      <c r="J1159" s="2976"/>
      <c r="K1159" s="2976"/>
      <c r="L1159" s="2961"/>
      <c r="M1159" s="2976"/>
      <c r="N1159" s="3086"/>
      <c r="O1159" s="3086"/>
      <c r="P1159" s="2976"/>
      <c r="Q1159" s="2966"/>
      <c r="R1159" s="2976"/>
      <c r="S1159" s="2961"/>
      <c r="T1159" s="2961"/>
      <c r="U1159" s="2923"/>
      <c r="V1159" s="2923"/>
      <c r="W1159" s="2923"/>
      <c r="X1159" s="2961"/>
      <c r="Y1159" s="2961"/>
      <c r="Z1159" s="2976"/>
      <c r="AA1159" s="2976"/>
      <c r="AB1159" s="2976"/>
      <c r="AC1159" s="118"/>
      <c r="AD1159" s="118"/>
    </row>
    <row r="1160" spans="1:30">
      <c r="A1160" s="2976"/>
      <c r="B1160" s="2966"/>
      <c r="C1160" s="2976"/>
      <c r="D1160" s="2976"/>
      <c r="E1160" s="2976"/>
      <c r="F1160" s="2973"/>
      <c r="G1160" s="2976"/>
      <c r="H1160" s="2966"/>
      <c r="I1160" s="2966"/>
      <c r="J1160" s="2976"/>
      <c r="K1160" s="2976"/>
      <c r="L1160" s="2961"/>
      <c r="M1160" s="2976"/>
      <c r="N1160" s="3086"/>
      <c r="O1160" s="3086"/>
      <c r="P1160" s="2976"/>
      <c r="Q1160" s="2966"/>
      <c r="R1160" s="2976"/>
      <c r="S1160" s="2961"/>
      <c r="T1160" s="2961"/>
      <c r="U1160" s="2923"/>
      <c r="V1160" s="2923"/>
      <c r="W1160" s="2923"/>
      <c r="X1160" s="2961"/>
      <c r="Y1160" s="2961"/>
      <c r="Z1160" s="2976"/>
      <c r="AA1160" s="2976"/>
      <c r="AB1160" s="2976"/>
      <c r="AC1160" s="118"/>
      <c r="AD1160" s="118"/>
    </row>
    <row r="1161" spans="1:30">
      <c r="A1161" s="3086"/>
      <c r="B1161" s="2966"/>
      <c r="C1161" s="2976"/>
      <c r="D1161" s="3088"/>
      <c r="E1161" s="2976"/>
      <c r="F1161" s="2973"/>
      <c r="G1161" s="2976"/>
      <c r="H1161" s="2966"/>
      <c r="I1161" s="2966"/>
      <c r="J1161" s="2976"/>
      <c r="K1161" s="2976"/>
      <c r="L1161" s="2961"/>
      <c r="M1161" s="2976"/>
      <c r="N1161" s="3086"/>
      <c r="O1161" s="3086"/>
      <c r="P1161" s="2976"/>
      <c r="Q1161" s="2966"/>
      <c r="R1161" s="2976"/>
      <c r="S1161" s="2961"/>
      <c r="T1161" s="2961"/>
      <c r="U1161" s="2923"/>
      <c r="V1161" s="2923"/>
      <c r="W1161" s="2923"/>
      <c r="X1161" s="2961"/>
      <c r="Y1161" s="2961"/>
      <c r="Z1161" s="2976"/>
      <c r="AA1161" s="2976"/>
      <c r="AB1161" s="2976"/>
      <c r="AC1161" s="118"/>
      <c r="AD1161" s="118"/>
    </row>
    <row r="1162" spans="1:30">
      <c r="A1162" s="3086"/>
      <c r="B1162" s="2966"/>
      <c r="C1162" s="2976"/>
      <c r="D1162" s="2976"/>
      <c r="E1162" s="2976"/>
      <c r="F1162" s="2973"/>
      <c r="G1162" s="2976"/>
      <c r="H1162" s="2966"/>
      <c r="I1162" s="2966"/>
      <c r="J1162" s="2976"/>
      <c r="K1162" s="2976"/>
      <c r="L1162" s="2961"/>
      <c r="M1162" s="2976"/>
      <c r="N1162" s="3086"/>
      <c r="O1162" s="3086"/>
      <c r="P1162" s="2976"/>
      <c r="Q1162" s="2966"/>
      <c r="R1162" s="2976"/>
      <c r="S1162" s="2961"/>
      <c r="T1162" s="2961"/>
      <c r="U1162" s="2923"/>
      <c r="V1162" s="2923"/>
      <c r="W1162" s="2923"/>
      <c r="X1162" s="2961"/>
      <c r="Y1162" s="2961"/>
      <c r="Z1162" s="2976"/>
      <c r="AA1162" s="2976"/>
      <c r="AB1162" s="2976"/>
      <c r="AC1162" s="118"/>
      <c r="AD1162" s="118"/>
    </row>
    <row r="1163" spans="1:30">
      <c r="A1163" s="2976"/>
      <c r="B1163" s="2966"/>
      <c r="C1163" s="2976"/>
      <c r="D1163" s="2976"/>
      <c r="E1163" s="2976"/>
      <c r="F1163" s="2973"/>
      <c r="G1163" s="2976"/>
      <c r="H1163" s="2966"/>
      <c r="I1163" s="2966"/>
      <c r="J1163" s="3088"/>
      <c r="K1163" s="2976"/>
      <c r="L1163" s="2961"/>
      <c r="M1163" s="2976"/>
      <c r="N1163" s="3086"/>
      <c r="O1163" s="3086"/>
      <c r="P1163" s="2976"/>
      <c r="Q1163" s="2966"/>
      <c r="R1163" s="2976"/>
      <c r="S1163" s="2961"/>
      <c r="T1163" s="2961"/>
      <c r="U1163" s="2923"/>
      <c r="V1163" s="2923"/>
      <c r="W1163" s="2923"/>
      <c r="X1163" s="2961"/>
      <c r="Y1163" s="2961"/>
      <c r="Z1163" s="2976"/>
      <c r="AA1163" s="2976"/>
      <c r="AB1163" s="2976"/>
      <c r="AC1163" s="118"/>
      <c r="AD1163" s="118"/>
    </row>
    <row r="1164" spans="1:30">
      <c r="A1164" s="3086"/>
      <c r="B1164" s="2966"/>
      <c r="C1164" s="2976"/>
      <c r="D1164" s="2976"/>
      <c r="E1164" s="2976"/>
      <c r="F1164" s="2973"/>
      <c r="G1164" s="2976"/>
      <c r="H1164" s="2966"/>
      <c r="I1164" s="2966"/>
      <c r="J1164" s="2976"/>
      <c r="K1164" s="2976"/>
      <c r="L1164" s="2961"/>
      <c r="M1164" s="2976"/>
      <c r="N1164" s="3086"/>
      <c r="O1164" s="3086"/>
      <c r="P1164" s="2976"/>
      <c r="Q1164" s="2966"/>
      <c r="R1164" s="2976"/>
      <c r="S1164" s="2961"/>
      <c r="T1164" s="2961"/>
      <c r="U1164" s="2923"/>
      <c r="V1164" s="2923"/>
      <c r="W1164" s="2923"/>
      <c r="X1164" s="2961"/>
      <c r="Y1164" s="2961"/>
      <c r="Z1164" s="2976"/>
      <c r="AA1164" s="2976"/>
      <c r="AB1164" s="2976"/>
      <c r="AC1164" s="118"/>
      <c r="AD1164" s="118"/>
    </row>
    <row r="1165" spans="1:30">
      <c r="A1165" s="3086"/>
      <c r="B1165" s="2966"/>
      <c r="C1165" s="2976"/>
      <c r="D1165" s="2976"/>
      <c r="E1165" s="2976"/>
      <c r="F1165" s="2973"/>
      <c r="G1165" s="2976"/>
      <c r="H1165" s="2966"/>
      <c r="I1165" s="2966"/>
      <c r="J1165" s="2976"/>
      <c r="K1165" s="2976"/>
      <c r="L1165" s="2961"/>
      <c r="M1165" s="2976"/>
      <c r="N1165" s="2976"/>
      <c r="O1165" s="2976"/>
      <c r="P1165" s="2976"/>
      <c r="Q1165" s="2966"/>
      <c r="R1165" s="2976"/>
      <c r="S1165" s="2961"/>
      <c r="T1165" s="2961"/>
      <c r="U1165" s="2923"/>
      <c r="V1165" s="2923"/>
      <c r="W1165" s="2923"/>
      <c r="X1165" s="2961"/>
      <c r="Y1165" s="2961"/>
      <c r="Z1165" s="2976"/>
      <c r="AA1165" s="2976"/>
      <c r="AB1165" s="2976"/>
      <c r="AC1165" s="118"/>
      <c r="AD1165" s="118"/>
    </row>
    <row r="1166" spans="1:30">
      <c r="A1166" s="3086"/>
      <c r="B1166" s="2966"/>
      <c r="C1166" s="2976"/>
      <c r="D1166" s="2976"/>
      <c r="E1166" s="2976"/>
      <c r="F1166" s="2973"/>
      <c r="G1166" s="2976"/>
      <c r="H1166" s="2966"/>
      <c r="I1166" s="2966"/>
      <c r="J1166" s="2976"/>
      <c r="K1166" s="2976"/>
      <c r="L1166" s="2961"/>
      <c r="M1166" s="2976"/>
      <c r="N1166" s="2976"/>
      <c r="O1166" s="2976"/>
      <c r="P1166" s="2976"/>
      <c r="Q1166" s="2966"/>
      <c r="R1166" s="2976"/>
      <c r="S1166" s="2961"/>
      <c r="T1166" s="2961"/>
      <c r="U1166" s="2923"/>
      <c r="V1166" s="2923"/>
      <c r="W1166" s="2923"/>
      <c r="X1166" s="2961"/>
      <c r="Y1166" s="2961"/>
      <c r="Z1166" s="2976"/>
      <c r="AA1166" s="2976"/>
      <c r="AB1166" s="2976"/>
      <c r="AC1166" s="118"/>
      <c r="AD1166" s="118"/>
    </row>
    <row r="1167" spans="1:30">
      <c r="A1167" s="3086"/>
      <c r="B1167" s="2966"/>
      <c r="C1167" s="2976"/>
      <c r="D1167" s="2976"/>
      <c r="E1167" s="2976"/>
      <c r="F1167" s="2973"/>
      <c r="G1167" s="2976"/>
      <c r="H1167" s="2966"/>
      <c r="I1167" s="2966"/>
      <c r="J1167" s="2976"/>
      <c r="K1167" s="2976"/>
      <c r="L1167" s="2961"/>
      <c r="M1167" s="2976"/>
      <c r="N1167" s="2976"/>
      <c r="O1167" s="2976"/>
      <c r="P1167" s="2976"/>
      <c r="Q1167" s="2966"/>
      <c r="R1167" s="2976"/>
      <c r="S1167" s="2961"/>
      <c r="T1167" s="2961"/>
      <c r="U1167" s="2923"/>
      <c r="V1167" s="2923"/>
      <c r="W1167" s="2923"/>
      <c r="X1167" s="2961"/>
      <c r="Y1167" s="2961"/>
      <c r="Z1167" s="2976"/>
      <c r="AA1167" s="2976"/>
      <c r="AB1167" s="2976"/>
      <c r="AC1167" s="118"/>
      <c r="AD1167" s="118"/>
    </row>
    <row r="1168" spans="1:30">
      <c r="A1168" s="3086"/>
      <c r="B1168" s="2966"/>
      <c r="C1168" s="2976"/>
      <c r="D1168" s="2976"/>
      <c r="E1168" s="2976"/>
      <c r="F1168" s="2973"/>
      <c r="G1168" s="2976"/>
      <c r="H1168" s="2966"/>
      <c r="I1168" s="2966"/>
      <c r="J1168" s="2976"/>
      <c r="K1168" s="2976"/>
      <c r="L1168" s="2961"/>
      <c r="M1168" s="2976"/>
      <c r="N1168" s="2976"/>
      <c r="O1168" s="2976"/>
      <c r="P1168" s="2976"/>
      <c r="Q1168" s="2966"/>
      <c r="R1168" s="2976"/>
      <c r="S1168" s="2961"/>
      <c r="T1168" s="2961"/>
      <c r="U1168" s="2923"/>
      <c r="V1168" s="2923"/>
      <c r="W1168" s="2923"/>
      <c r="X1168" s="2961"/>
      <c r="Y1168" s="2961"/>
      <c r="Z1168" s="2976"/>
      <c r="AA1168" s="2976"/>
      <c r="AB1168" s="2976"/>
      <c r="AC1168" s="118"/>
      <c r="AD1168" s="118"/>
    </row>
    <row r="1169" spans="1:30">
      <c r="A1169" s="3086"/>
      <c r="B1169" s="2966"/>
      <c r="C1169" s="2976"/>
      <c r="D1169" s="2976"/>
      <c r="E1169" s="2976"/>
      <c r="F1169" s="2973"/>
      <c r="G1169" s="2976"/>
      <c r="H1169" s="2973"/>
      <c r="I1169" s="2966"/>
      <c r="J1169" s="2976"/>
      <c r="K1169" s="2976"/>
      <c r="L1169" s="2961"/>
      <c r="M1169" s="2976"/>
      <c r="N1169" s="2976"/>
      <c r="O1169" s="2976"/>
      <c r="P1169" s="2976"/>
      <c r="Q1169" s="2966"/>
      <c r="R1169" s="2976"/>
      <c r="S1169" s="2961"/>
      <c r="T1169" s="2961"/>
      <c r="U1169" s="2923"/>
      <c r="V1169" s="2923"/>
      <c r="W1169" s="2923"/>
      <c r="X1169" s="2961"/>
      <c r="Y1169" s="2961"/>
      <c r="Z1169" s="2976"/>
      <c r="AA1169" s="2976"/>
      <c r="AB1169" s="2976"/>
      <c r="AC1169" s="118"/>
      <c r="AD1169" s="118"/>
    </row>
    <row r="1170" spans="1:30">
      <c r="A1170" s="3086"/>
      <c r="B1170" s="2966"/>
      <c r="C1170" s="2976"/>
      <c r="D1170" s="2976"/>
      <c r="E1170" s="2976"/>
      <c r="F1170" s="2973"/>
      <c r="G1170" s="2976"/>
      <c r="H1170" s="2966"/>
      <c r="I1170" s="2966"/>
      <c r="J1170" s="2976"/>
      <c r="K1170" s="2976"/>
      <c r="L1170" s="2961"/>
      <c r="M1170" s="2976"/>
      <c r="N1170" s="2976"/>
      <c r="O1170" s="2976"/>
      <c r="P1170" s="2976"/>
      <c r="Q1170" s="2966"/>
      <c r="R1170" s="2976"/>
      <c r="S1170" s="2961"/>
      <c r="T1170" s="2961"/>
      <c r="U1170" s="2923"/>
      <c r="V1170" s="2923"/>
      <c r="W1170" s="2923"/>
      <c r="X1170" s="2961"/>
      <c r="Y1170" s="2961"/>
      <c r="Z1170" s="2976"/>
      <c r="AA1170" s="2976"/>
      <c r="AB1170" s="2976"/>
      <c r="AC1170" s="118"/>
      <c r="AD1170" s="118"/>
    </row>
    <row r="1171" spans="1:30">
      <c r="A1171" s="3086"/>
      <c r="B1171" s="2966"/>
      <c r="C1171" s="2976"/>
      <c r="D1171" s="2976"/>
      <c r="E1171" s="2976"/>
      <c r="F1171" s="2973"/>
      <c r="G1171" s="2976"/>
      <c r="H1171" s="2966"/>
      <c r="I1171" s="2966"/>
      <c r="J1171" s="2976"/>
      <c r="K1171" s="2976"/>
      <c r="L1171" s="2961"/>
      <c r="M1171" s="2976"/>
      <c r="N1171" s="2976"/>
      <c r="O1171" s="2976"/>
      <c r="P1171" s="2976"/>
      <c r="Q1171" s="2966"/>
      <c r="R1171" s="2976"/>
      <c r="S1171" s="2961"/>
      <c r="T1171" s="2961"/>
      <c r="U1171" s="2923"/>
      <c r="V1171" s="2923"/>
      <c r="W1171" s="2923"/>
      <c r="X1171" s="2961"/>
      <c r="Y1171" s="2961"/>
      <c r="Z1171" s="2976"/>
      <c r="AA1171" s="2976"/>
      <c r="AB1171" s="2976"/>
      <c r="AC1171" s="118"/>
      <c r="AD1171" s="118"/>
    </row>
    <row r="1172" spans="1:30">
      <c r="A1172" s="3086"/>
      <c r="B1172" s="2966"/>
      <c r="C1172" s="2976"/>
      <c r="D1172" s="2976"/>
      <c r="E1172" s="2976"/>
      <c r="F1172" s="2973"/>
      <c r="G1172" s="2976"/>
      <c r="H1172" s="2966"/>
      <c r="I1172" s="2966"/>
      <c r="J1172" s="2976"/>
      <c r="K1172" s="2976"/>
      <c r="L1172" s="2961"/>
      <c r="M1172" s="2976"/>
      <c r="N1172" s="2976"/>
      <c r="O1172" s="2976"/>
      <c r="P1172" s="2976"/>
      <c r="Q1172" s="2966"/>
      <c r="R1172" s="2976"/>
      <c r="S1172" s="2961"/>
      <c r="T1172" s="2961"/>
      <c r="U1172" s="2923"/>
      <c r="V1172" s="2923"/>
      <c r="W1172" s="2923"/>
      <c r="X1172" s="2961"/>
      <c r="Y1172" s="2961"/>
      <c r="Z1172" s="2976"/>
      <c r="AA1172" s="2976"/>
      <c r="AB1172" s="2976"/>
      <c r="AC1172" s="118"/>
      <c r="AD1172" s="118"/>
    </row>
    <row r="1173" spans="1:30">
      <c r="A1173" s="3086"/>
      <c r="B1173" s="2966"/>
      <c r="C1173" s="2976"/>
      <c r="D1173" s="2976"/>
      <c r="E1173" s="2976"/>
      <c r="F1173" s="2973"/>
      <c r="G1173" s="2976"/>
      <c r="H1173" s="2966"/>
      <c r="I1173" s="2966"/>
      <c r="J1173" s="2976"/>
      <c r="K1173" s="2976"/>
      <c r="L1173" s="2961"/>
      <c r="M1173" s="2976"/>
      <c r="N1173" s="2976"/>
      <c r="O1173" s="2976"/>
      <c r="P1173" s="2976"/>
      <c r="Q1173" s="2966"/>
      <c r="R1173" s="2976"/>
      <c r="S1173" s="2961"/>
      <c r="T1173" s="2961"/>
      <c r="U1173" s="2923"/>
      <c r="V1173" s="2923"/>
      <c r="W1173" s="2923"/>
      <c r="X1173" s="2961"/>
      <c r="Y1173" s="2961"/>
      <c r="Z1173" s="2976"/>
      <c r="AA1173" s="2976"/>
      <c r="AB1173" s="2976"/>
      <c r="AC1173" s="118"/>
      <c r="AD1173" s="118"/>
    </row>
    <row r="1174" spans="1:30">
      <c r="A1174" s="3086"/>
      <c r="B1174" s="2966"/>
      <c r="C1174" s="2976"/>
      <c r="D1174" s="2976"/>
      <c r="E1174" s="2976"/>
      <c r="F1174" s="2973"/>
      <c r="G1174" s="2976"/>
      <c r="H1174" s="2966"/>
      <c r="I1174" s="2966"/>
      <c r="J1174" s="2976"/>
      <c r="K1174" s="2976"/>
      <c r="L1174" s="2961"/>
      <c r="M1174" s="2976"/>
      <c r="N1174" s="2976"/>
      <c r="O1174" s="2976"/>
      <c r="P1174" s="2976"/>
      <c r="Q1174" s="2966"/>
      <c r="R1174" s="2976"/>
      <c r="S1174" s="2961"/>
      <c r="T1174" s="2961"/>
      <c r="U1174" s="2923"/>
      <c r="V1174" s="2923"/>
      <c r="W1174" s="2923"/>
      <c r="X1174" s="2961"/>
      <c r="Y1174" s="2961"/>
      <c r="Z1174" s="2976"/>
      <c r="AA1174" s="2976"/>
      <c r="AB1174" s="2976"/>
      <c r="AC1174" s="118"/>
      <c r="AD1174" s="118"/>
    </row>
    <row r="1175" spans="1:30">
      <c r="A1175" s="3086"/>
      <c r="B1175" s="2966"/>
      <c r="C1175" s="2976"/>
      <c r="D1175" s="2976"/>
      <c r="E1175" s="2976"/>
      <c r="F1175" s="2973"/>
      <c r="G1175" s="2976"/>
      <c r="H1175" s="2966"/>
      <c r="I1175" s="2966"/>
      <c r="J1175" s="2976"/>
      <c r="K1175" s="2976"/>
      <c r="L1175" s="2961"/>
      <c r="M1175" s="2976"/>
      <c r="N1175" s="2976"/>
      <c r="O1175" s="2976"/>
      <c r="P1175" s="2976"/>
      <c r="Q1175" s="2966"/>
      <c r="R1175" s="2976"/>
      <c r="S1175" s="2961"/>
      <c r="T1175" s="2961"/>
      <c r="U1175" s="2923"/>
      <c r="V1175" s="2923"/>
      <c r="W1175" s="2923"/>
      <c r="X1175" s="2961"/>
      <c r="Y1175" s="2961"/>
      <c r="Z1175" s="2976"/>
      <c r="AA1175" s="2976"/>
      <c r="AB1175" s="2976"/>
      <c r="AC1175" s="118"/>
      <c r="AD1175" s="118"/>
    </row>
    <row r="1176" spans="1:30">
      <c r="A1176" s="3086"/>
      <c r="B1176" s="2966"/>
      <c r="C1176" s="2976"/>
      <c r="D1176" s="2976"/>
      <c r="E1176" s="2976"/>
      <c r="F1176" s="2973"/>
      <c r="G1176" s="2976"/>
      <c r="H1176" s="2966"/>
      <c r="I1176" s="2966"/>
      <c r="J1176" s="2976"/>
      <c r="K1176" s="2976"/>
      <c r="L1176" s="2961"/>
      <c r="M1176" s="2976"/>
      <c r="N1176" s="2976"/>
      <c r="O1176" s="2976"/>
      <c r="P1176" s="2976"/>
      <c r="Q1176" s="2966"/>
      <c r="R1176" s="2976"/>
      <c r="S1176" s="2961"/>
      <c r="T1176" s="2961"/>
      <c r="U1176" s="2923"/>
      <c r="V1176" s="2923"/>
      <c r="W1176" s="2923"/>
      <c r="X1176" s="2961"/>
      <c r="Y1176" s="2961"/>
      <c r="Z1176" s="2976"/>
      <c r="AA1176" s="2976"/>
      <c r="AB1176" s="2976"/>
      <c r="AC1176" s="118"/>
      <c r="AD1176" s="118"/>
    </row>
    <row r="1177" spans="1:30">
      <c r="A1177" s="118"/>
      <c r="B1177" s="3097"/>
      <c r="C1177" s="118"/>
      <c r="D1177" s="118"/>
      <c r="E1177" s="118"/>
      <c r="F1177" s="58"/>
      <c r="G1177" s="118"/>
      <c r="H1177" s="3097"/>
      <c r="I1177" s="3097"/>
      <c r="J1177" s="118"/>
      <c r="K1177" s="118"/>
      <c r="L1177" s="2705"/>
      <c r="M1177" s="118"/>
      <c r="N1177" s="118"/>
      <c r="O1177" s="118"/>
      <c r="P1177" s="118"/>
      <c r="Q1177" s="3097"/>
      <c r="R1177" s="118"/>
      <c r="S1177" s="2705"/>
      <c r="T1177" s="2705"/>
      <c r="U1177" s="2983"/>
      <c r="V1177" s="2983"/>
      <c r="W1177" s="2983"/>
      <c r="X1177" s="2705"/>
      <c r="Y1177" s="2705"/>
      <c r="Z1177" s="118"/>
      <c r="AA1177" s="118"/>
      <c r="AB1177" s="118"/>
      <c r="AC1177" s="118"/>
      <c r="AD1177" s="118"/>
    </row>
  </sheetData>
  <autoFilter ref="A8:AE651" xr:uid="{465B6554-1124-49F7-84D7-0B0DF6469E0F}">
    <filterColumn colId="28" showButton="0"/>
  </autoFilter>
  <mergeCells count="1">
    <mergeCell ref="AC8:AD8"/>
  </mergeCells>
  <pageMargins left="0" right="0" top="0.78740157480314965" bottom="0.78740157480314965" header="0.31496062992125984" footer="0.31496062992125984"/>
  <pageSetup paperSize="9" scale="19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3">
    <pageSetUpPr fitToPage="1"/>
  </sheetPr>
  <dimension ref="A1:N89"/>
  <sheetViews>
    <sheetView topLeftCell="A70" zoomScaleNormal="100" workbookViewId="0">
      <selection activeCell="E91" sqref="E91"/>
    </sheetView>
  </sheetViews>
  <sheetFormatPr defaultColWidth="9.140625" defaultRowHeight="15"/>
  <cols>
    <col min="1" max="1" width="26.7109375" style="1229" customWidth="1"/>
    <col min="2" max="2" width="14" style="1229" customWidth="1"/>
    <col min="3" max="3" width="15.140625" style="3" customWidth="1"/>
    <col min="4" max="4" width="15.85546875" style="3" customWidth="1"/>
    <col min="5" max="6" width="20.85546875" style="1226" customWidth="1"/>
    <col min="7" max="7" width="21.140625" style="1226" customWidth="1"/>
    <col min="8" max="8" width="20.7109375" style="1229" customWidth="1"/>
    <col min="9" max="9" width="22.28515625" style="1227" bestFit="1" customWidth="1"/>
    <col min="10" max="10" width="17.140625" style="1229" customWidth="1"/>
    <col min="11" max="11" width="17.28515625" style="1229" customWidth="1"/>
    <col min="12" max="12" width="16.140625" style="3" customWidth="1"/>
    <col min="13" max="13" width="12.42578125" style="3" customWidth="1"/>
    <col min="14" max="14" width="20" style="3" customWidth="1"/>
    <col min="15" max="16384" width="9.140625" style="1229"/>
  </cols>
  <sheetData>
    <row r="1" spans="1:14" ht="6" customHeight="1" thickBot="1"/>
    <row r="2" spans="1:14" ht="29.25" thickTop="1">
      <c r="A2" s="3436">
        <v>2015</v>
      </c>
      <c r="B2" s="3437"/>
      <c r="C2" s="3437"/>
      <c r="D2" s="3437"/>
      <c r="E2" s="3437"/>
      <c r="F2" s="3437"/>
      <c r="G2" s="3437"/>
      <c r="H2" s="3437"/>
      <c r="I2" s="3437"/>
      <c r="J2" s="3437"/>
      <c r="K2" s="3438"/>
    </row>
    <row r="3" spans="1:14" ht="75">
      <c r="A3" s="776" t="s">
        <v>9095</v>
      </c>
      <c r="B3" s="766" t="s">
        <v>2618</v>
      </c>
      <c r="C3" s="766" t="s">
        <v>2033</v>
      </c>
      <c r="D3" s="766" t="s">
        <v>1495</v>
      </c>
      <c r="E3" s="1163" t="s">
        <v>2616</v>
      </c>
      <c r="F3" s="1163" t="s">
        <v>3018</v>
      </c>
      <c r="G3" s="1163" t="s">
        <v>2617</v>
      </c>
      <c r="H3" s="1163" t="s">
        <v>3326</v>
      </c>
      <c r="I3" s="1239" t="s">
        <v>3327</v>
      </c>
      <c r="J3" s="1239" t="s">
        <v>5969</v>
      </c>
      <c r="K3" s="1219" t="s">
        <v>2619</v>
      </c>
    </row>
    <row r="4" spans="1:14">
      <c r="A4" s="1222" t="s">
        <v>235</v>
      </c>
      <c r="B4" s="767">
        <v>10</v>
      </c>
      <c r="C4" s="1232">
        <v>10</v>
      </c>
      <c r="D4" s="1232">
        <v>8</v>
      </c>
      <c r="E4" s="1223">
        <v>11537708</v>
      </c>
      <c r="F4" s="1223">
        <f>GETPIVOTDATA("Součet z Předpokládaná hodnota VZ bez DPH",'Úspory 2015'!$A$3,"Druh VZ","DNS")</f>
        <v>11533008</v>
      </c>
      <c r="G4" s="1223">
        <f>GETPIVOTDATA("Součet z Vítězná cena bez DPH",'Úspory 2015'!$A$3,"Druh VZ","DNS")</f>
        <v>11458532.557107437</v>
      </c>
      <c r="H4" s="1023">
        <f>F4-G4</f>
        <v>74475.442892562598</v>
      </c>
      <c r="I4" s="1240">
        <f>100-(G4/F4*100)</f>
        <v>0.64575904995957956</v>
      </c>
      <c r="J4" s="1240">
        <f t="shared" ref="J4:J12" si="0">D4/C4*100</f>
        <v>80</v>
      </c>
      <c r="K4" s="768">
        <f>C4/B4*100</f>
        <v>100</v>
      </c>
    </row>
    <row r="5" spans="1:14">
      <c r="A5" s="1222" t="s">
        <v>502</v>
      </c>
      <c r="B5" s="767">
        <v>0</v>
      </c>
      <c r="C5" s="1232">
        <v>1</v>
      </c>
      <c r="D5" s="1232">
        <v>1</v>
      </c>
      <c r="E5" s="1223">
        <v>302000</v>
      </c>
      <c r="F5" s="1223">
        <f>GETPIVOTDATA("Součet z Předpokládaná hodnota VZ bez DPH",'Úspory 2015'!$A$3,"Druh VZ","EP")</f>
        <v>2202000</v>
      </c>
      <c r="G5" s="1223">
        <f>GETPIVOTDATA("Součet z Vítězná cena bez DPH",'Úspory 2015'!$A$3,"Druh VZ","EP")</f>
        <v>2324405.77</v>
      </c>
      <c r="H5" s="1023">
        <f t="shared" ref="H5:H12" si="1">F5-G5</f>
        <v>-122405.77000000002</v>
      </c>
      <c r="I5" s="1240">
        <f t="shared" ref="I5:I12" si="2">100-(G5/F5*100)</f>
        <v>-5.5588451407811164</v>
      </c>
      <c r="J5" s="1240">
        <f t="shared" si="0"/>
        <v>100</v>
      </c>
      <c r="K5" s="768">
        <v>0</v>
      </c>
    </row>
    <row r="6" spans="1:14">
      <c r="A6" s="1222" t="s">
        <v>645</v>
      </c>
      <c r="B6" s="767">
        <v>1</v>
      </c>
      <c r="C6" s="1232">
        <v>2</v>
      </c>
      <c r="D6" s="1232">
        <v>2</v>
      </c>
      <c r="E6" s="1223">
        <v>2022420</v>
      </c>
      <c r="F6" s="1223">
        <f>GETPIVOTDATA("Součet z Předpokládaná hodnota VZ bez DPH",'Úspory 2015'!$A$3,"Druh VZ","JŘBU")</f>
        <v>2022420</v>
      </c>
      <c r="G6" s="1223">
        <f>GETPIVOTDATA("Součet z Vítězná cena bez DPH",'Úspory 2015'!$A$3,"Druh VZ","JŘBU")</f>
        <v>2022420</v>
      </c>
      <c r="H6" s="1023">
        <f t="shared" si="1"/>
        <v>0</v>
      </c>
      <c r="I6" s="1240">
        <f t="shared" si="2"/>
        <v>0</v>
      </c>
      <c r="J6" s="1240">
        <f t="shared" si="0"/>
        <v>100</v>
      </c>
      <c r="K6" s="768">
        <f t="shared" ref="K6:K12" si="3">C6/B6*100</f>
        <v>200</v>
      </c>
    </row>
    <row r="7" spans="1:14">
      <c r="A7" s="1222" t="s">
        <v>251</v>
      </c>
      <c r="B7" s="767">
        <v>55</v>
      </c>
      <c r="C7" s="1232">
        <v>63</v>
      </c>
      <c r="D7" s="1232">
        <v>30</v>
      </c>
      <c r="E7" s="1223">
        <v>727370690.93999982</v>
      </c>
      <c r="F7" s="1223">
        <f>GETPIVOTDATA("Součet z Předpokládaná hodnota VZ bez DPH",'Úspory 2015'!$A$3,"Druh VZ","OŘ")</f>
        <v>204411281.06</v>
      </c>
      <c r="G7" s="1223">
        <f>GETPIVOTDATA("Součet z Vítězná cena bez DPH",'Úspory 2015'!$A$3,"Druh VZ","OŘ")</f>
        <v>185309881.41743806</v>
      </c>
      <c r="H7" s="1023">
        <f t="shared" si="1"/>
        <v>19101399.642561942</v>
      </c>
      <c r="I7" s="1240">
        <f t="shared" si="2"/>
        <v>9.3445917189644661</v>
      </c>
      <c r="J7" s="1240">
        <f t="shared" si="0"/>
        <v>47.619047619047613</v>
      </c>
      <c r="K7" s="768">
        <f t="shared" si="3"/>
        <v>114.54545454545455</v>
      </c>
    </row>
    <row r="8" spans="1:14">
      <c r="A8" s="1222" t="s">
        <v>2401</v>
      </c>
      <c r="B8" s="767">
        <v>3</v>
      </c>
      <c r="C8" s="1232">
        <v>3</v>
      </c>
      <c r="D8" s="1232">
        <v>3</v>
      </c>
      <c r="E8" s="1223">
        <v>3770000</v>
      </c>
      <c r="F8" s="1223">
        <f>GETPIVOTDATA("Součet z Předpokládaná hodnota VZ bez DPH",'Úspory 2015'!$A$3,"Druh VZ","TENDER")</f>
        <v>3770000</v>
      </c>
      <c r="G8" s="1223">
        <f>GETPIVOTDATA("Součet z Vítězná cena bez DPH",'Úspory 2015'!$A$3,"Druh VZ","TENDER")</f>
        <v>3482550</v>
      </c>
      <c r="H8" s="1023">
        <f t="shared" si="1"/>
        <v>287450</v>
      </c>
      <c r="I8" s="1240">
        <f t="shared" si="2"/>
        <v>7.6246684350132625</v>
      </c>
      <c r="J8" s="1240">
        <f t="shared" si="0"/>
        <v>100</v>
      </c>
      <c r="K8" s="768">
        <f t="shared" si="3"/>
        <v>100</v>
      </c>
    </row>
    <row r="9" spans="1:14">
      <c r="A9" s="1222" t="s">
        <v>109</v>
      </c>
      <c r="B9" s="767">
        <v>1</v>
      </c>
      <c r="C9" s="1232">
        <v>1</v>
      </c>
      <c r="D9" s="1232">
        <v>1</v>
      </c>
      <c r="E9" s="1223">
        <v>85000000</v>
      </c>
      <c r="F9" s="1223">
        <f>GETPIVOTDATA("Součet z Předpokládaná hodnota VZ bez DPH",'Úspory 2015'!$A$3,"Druh VZ","Užší řízení")</f>
        <v>85000000</v>
      </c>
      <c r="G9" s="1223">
        <f>GETPIVOTDATA("Součet z Vítězná cena bez DPH",'Úspory 2015'!$A$3,"Druh VZ","Užší řízení")</f>
        <v>86954208.549999997</v>
      </c>
      <c r="H9" s="1023">
        <f t="shared" si="1"/>
        <v>-1954208.549999997</v>
      </c>
      <c r="I9" s="1240">
        <f t="shared" si="2"/>
        <v>-2.299068882352941</v>
      </c>
      <c r="J9" s="1240">
        <f t="shared" si="0"/>
        <v>100</v>
      </c>
      <c r="K9" s="768">
        <f t="shared" si="3"/>
        <v>100</v>
      </c>
    </row>
    <row r="10" spans="1:14">
      <c r="A10" s="1222" t="s">
        <v>112</v>
      </c>
      <c r="B10" s="767">
        <v>90</v>
      </c>
      <c r="C10" s="1232">
        <v>100</v>
      </c>
      <c r="D10" s="1232">
        <v>77</v>
      </c>
      <c r="E10" s="1223">
        <v>79419000</v>
      </c>
      <c r="F10" s="1223">
        <f>GETPIVOTDATA("Součet z Předpokládaná hodnota VZ bez DPH",'Úspory 2015'!$A$3,"Druh VZ","VZMR")</f>
        <v>60313000</v>
      </c>
      <c r="G10" s="1223">
        <f>GETPIVOTDATA("Součet z Vítězná cena bez DPH",'Úspory 2015'!$A$3,"Druh VZ","VZMR")</f>
        <v>50461793.853801653</v>
      </c>
      <c r="H10" s="1023">
        <f t="shared" si="1"/>
        <v>9851206.1461983472</v>
      </c>
      <c r="I10" s="1240">
        <f t="shared" si="2"/>
        <v>16.333470638499733</v>
      </c>
      <c r="J10" s="1240">
        <f t="shared" si="0"/>
        <v>77</v>
      </c>
      <c r="K10" s="768">
        <f t="shared" si="3"/>
        <v>111.11111111111111</v>
      </c>
    </row>
    <row r="11" spans="1:14">
      <c r="A11" s="1222" t="s">
        <v>216</v>
      </c>
      <c r="B11" s="767">
        <v>10</v>
      </c>
      <c r="C11" s="1232">
        <v>8</v>
      </c>
      <c r="D11" s="1232">
        <v>4</v>
      </c>
      <c r="E11" s="1223">
        <v>20693079.879999999</v>
      </c>
      <c r="F11" s="1223">
        <f>GETPIVOTDATA("Součet z Předpokládaná hodnota VZ bez DPH",'Úspory 2015'!$A$3,"Druh VZ","ZPŘ")</f>
        <v>10545000</v>
      </c>
      <c r="G11" s="1223">
        <f>GETPIVOTDATA("Součet z Vítězná cena bez DPH",'Úspory 2015'!$A$3,"Druh VZ","ZPŘ")</f>
        <v>9890057.5999999996</v>
      </c>
      <c r="H11" s="1023">
        <f t="shared" si="1"/>
        <v>654942.40000000037</v>
      </c>
      <c r="I11" s="1240">
        <f t="shared" si="2"/>
        <v>6.2109284020862958</v>
      </c>
      <c r="J11" s="1240">
        <f t="shared" si="0"/>
        <v>50</v>
      </c>
      <c r="K11" s="768">
        <f t="shared" si="3"/>
        <v>80</v>
      </c>
    </row>
    <row r="12" spans="1:14" ht="15.75" thickBot="1">
      <c r="A12" s="1220" t="s">
        <v>740</v>
      </c>
      <c r="B12" s="1241">
        <f>SUM(B4:B11)</f>
        <v>170</v>
      </c>
      <c r="C12" s="1233">
        <v>188</v>
      </c>
      <c r="D12" s="1233">
        <v>126</v>
      </c>
      <c r="E12" s="1221">
        <v>930114898.81999981</v>
      </c>
      <c r="F12" s="1221">
        <f>SUM(F4:F11)</f>
        <v>379796709.06</v>
      </c>
      <c r="G12" s="1221">
        <f>SUM(G4:G11)</f>
        <v>351903849.74834716</v>
      </c>
      <c r="H12" s="1224">
        <f t="shared" si="1"/>
        <v>27892859.311652839</v>
      </c>
      <c r="I12" s="1242">
        <f t="shared" si="2"/>
        <v>7.3441550825145185</v>
      </c>
      <c r="J12" s="1242">
        <f t="shared" si="0"/>
        <v>67.021276595744681</v>
      </c>
      <c r="K12" s="1225">
        <f t="shared" si="3"/>
        <v>110.58823529411765</v>
      </c>
    </row>
    <row r="13" spans="1:14" ht="7.5" customHeight="1" thickTop="1" thickBot="1"/>
    <row r="14" spans="1:14" ht="29.25" thickTop="1">
      <c r="A14" s="3436">
        <v>2016</v>
      </c>
      <c r="B14" s="3437"/>
      <c r="C14" s="3437"/>
      <c r="D14" s="3437"/>
      <c r="E14" s="3437"/>
      <c r="F14" s="3437"/>
      <c r="G14" s="3437"/>
      <c r="H14" s="3437"/>
      <c r="I14" s="3437"/>
      <c r="J14" s="3437"/>
      <c r="K14" s="3437"/>
      <c r="L14" s="3437"/>
      <c r="M14" s="3437"/>
      <c r="N14" s="3438"/>
    </row>
    <row r="15" spans="1:14" ht="75">
      <c r="A15" s="776" t="s">
        <v>9095</v>
      </c>
      <c r="B15" s="766" t="s">
        <v>2618</v>
      </c>
      <c r="C15" s="766" t="s">
        <v>2033</v>
      </c>
      <c r="D15" s="766" t="s">
        <v>1495</v>
      </c>
      <c r="E15" s="1163" t="s">
        <v>2616</v>
      </c>
      <c r="F15" s="1163" t="s">
        <v>3018</v>
      </c>
      <c r="G15" s="1163" t="s">
        <v>2617</v>
      </c>
      <c r="H15" s="1163" t="s">
        <v>3326</v>
      </c>
      <c r="I15" s="1239" t="s">
        <v>3327</v>
      </c>
      <c r="J15" s="1239" t="s">
        <v>5969</v>
      </c>
      <c r="K15" s="1239" t="s">
        <v>2619</v>
      </c>
      <c r="L15" s="1239" t="s">
        <v>2620</v>
      </c>
      <c r="M15" s="1239" t="s">
        <v>2621</v>
      </c>
      <c r="N15" s="1219" t="s">
        <v>10543</v>
      </c>
    </row>
    <row r="16" spans="1:14">
      <c r="A16" s="1022" t="s">
        <v>235</v>
      </c>
      <c r="B16" s="767">
        <v>10</v>
      </c>
      <c r="C16" s="1234">
        <f>GETPIVOTDATA("Počet z Předpokládaná hodnota VZ bez DPH",'Přehled 2016'!$A$4,"Druh VZ","DNS")</f>
        <v>13</v>
      </c>
      <c r="D16" s="1234">
        <f>GETPIVOTDATA("Počet z Smlouva podepsána",'Přehled 2016'!$A$4,"Druh VZ","DNS")</f>
        <v>9</v>
      </c>
      <c r="E16" s="1023">
        <f>GETPIVOTDATA("Součet z Předpokládaná hodnota VZ bez DPH2",'Přehled 2016'!$A$4,"Druh VZ","DNS")</f>
        <v>14825520</v>
      </c>
      <c r="F16" s="1023">
        <f>GETPIVOTDATA("Součet z Předpokládaná hodnota VZ bez DPH",'Úspory 2016'!$A$3,"Druh VZ","DNS")</f>
        <v>13213925</v>
      </c>
      <c r="G16" s="1023">
        <f>GETPIVOTDATA("Součet z Vítězná cena bez DPH",'Úspory 2016'!$A$3,"Druh VZ","DNS")</f>
        <v>12303522.210000001</v>
      </c>
      <c r="H16" s="1023">
        <f>F16-G16</f>
        <v>910402.78999999911</v>
      </c>
      <c r="I16" s="1240">
        <f>100-(G16/F16*100)</f>
        <v>6.8897226978357935</v>
      </c>
      <c r="J16" s="1240">
        <f t="shared" ref="J16:J23" si="4">D16/C16*100</f>
        <v>69.230769230769226</v>
      </c>
      <c r="K16" s="1240">
        <f t="shared" ref="K16:K23" si="5">C16/B16*100</f>
        <v>130</v>
      </c>
      <c r="L16" s="767">
        <f>C16-C4</f>
        <v>3</v>
      </c>
      <c r="M16" s="767">
        <f t="shared" ref="M16:M20" si="6">D16-D4</f>
        <v>1</v>
      </c>
      <c r="N16" s="1243">
        <f>G16-G4</f>
        <v>844989.65289256349</v>
      </c>
    </row>
    <row r="17" spans="1:14">
      <c r="A17" s="1022" t="s">
        <v>502</v>
      </c>
      <c r="B17" s="767">
        <v>1</v>
      </c>
      <c r="C17" s="1234">
        <f>GETPIVOTDATA("Počet z Předpokládaná hodnota VZ bez DPH",'Přehled 2016'!$A$4,"Druh VZ","EP")</f>
        <v>1</v>
      </c>
      <c r="D17" s="1234">
        <f>GETPIVOTDATA("Počet z Smlouva podepsána",'Přehled 2016'!$A$4,"Druh VZ","EP")</f>
        <v>1</v>
      </c>
      <c r="E17" s="1023">
        <f>GETPIVOTDATA("Součet z Předpokládaná hodnota VZ bez DPH2",'Přehled 2016'!$A$4,"Druh VZ","EP")</f>
        <v>1900000</v>
      </c>
      <c r="F17" s="1023">
        <f>GETPIVOTDATA("Součet z Předpokládaná hodnota VZ bez DPH",'Úspory 2016'!$A$3,"Druh VZ","EP")</f>
        <v>1900000</v>
      </c>
      <c r="G17" s="1023">
        <f>GETPIVOTDATA("Součet z Vítězná cena bez DPH",'Úspory 2016'!$A$3,"Druh VZ","EP")</f>
        <v>1982405.77</v>
      </c>
      <c r="H17" s="1023">
        <f t="shared" ref="H17:H23" si="7">F17-G17</f>
        <v>-82405.770000000019</v>
      </c>
      <c r="I17" s="1240">
        <f t="shared" ref="I17:I23" si="8">100-(G17/F17*100)</f>
        <v>-4.3371457894736807</v>
      </c>
      <c r="J17" s="1240">
        <f t="shared" si="4"/>
        <v>100</v>
      </c>
      <c r="K17" s="1240">
        <f t="shared" si="5"/>
        <v>100</v>
      </c>
      <c r="L17" s="767">
        <f>C17-C5</f>
        <v>0</v>
      </c>
      <c r="M17" s="767">
        <f t="shared" si="6"/>
        <v>0</v>
      </c>
      <c r="N17" s="1243">
        <f>G17-G5</f>
        <v>-342000</v>
      </c>
    </row>
    <row r="18" spans="1:14">
      <c r="A18" s="1022" t="s">
        <v>1299</v>
      </c>
      <c r="B18" s="767">
        <v>1</v>
      </c>
      <c r="C18" s="1234">
        <f>GETPIVOTDATA("Počet z Předpokládaná hodnota VZ bez DPH",'Přehled 2016'!$A$4,"Druh VZ","JRBU")</f>
        <v>1</v>
      </c>
      <c r="D18" s="1234">
        <f>GETPIVOTDATA("Počet z Smlouva podepsána",'Přehled 2016'!$A$4,"Druh VZ","JRBU")</f>
        <v>1</v>
      </c>
      <c r="E18" s="1023">
        <f>GETPIVOTDATA("Součet z Předpokládaná hodnota VZ bez DPH2",'Přehled 2016'!$A$4,"Druh VZ","JRBU")</f>
        <v>438469</v>
      </c>
      <c r="F18" s="1023">
        <f>GETPIVOTDATA("Součet z Předpokládaná hodnota VZ bez DPH",'Úspory 2016'!$A$3,"Druh VZ","JRBU")</f>
        <v>438469</v>
      </c>
      <c r="G18" s="1023">
        <f>GETPIVOTDATA("Součet z Vítězná cena bez DPH",'Úspory 2016'!$A$3,"Druh VZ","JRBU")</f>
        <v>438469</v>
      </c>
      <c r="H18" s="1023">
        <f t="shared" si="7"/>
        <v>0</v>
      </c>
      <c r="I18" s="1240">
        <f t="shared" si="8"/>
        <v>0</v>
      </c>
      <c r="J18" s="1240">
        <f t="shared" si="4"/>
        <v>100</v>
      </c>
      <c r="K18" s="1240">
        <f t="shared" si="5"/>
        <v>100</v>
      </c>
      <c r="L18" s="767">
        <f>C18-C6</f>
        <v>-1</v>
      </c>
      <c r="M18" s="767">
        <f t="shared" si="6"/>
        <v>-1</v>
      </c>
      <c r="N18" s="1243">
        <f>G18-G6</f>
        <v>-1583951</v>
      </c>
    </row>
    <row r="19" spans="1:14">
      <c r="A19" s="1022" t="s">
        <v>251</v>
      </c>
      <c r="B19" s="767">
        <v>140</v>
      </c>
      <c r="C19" s="1234">
        <f>GETPIVOTDATA("Počet z Předpokládaná hodnota VZ bez DPH",'Přehled 2016'!$A$4,"Druh VZ","OŘ")</f>
        <v>155</v>
      </c>
      <c r="D19" s="1234">
        <f>GETPIVOTDATA("Počet z Smlouva podepsána",'Přehled 2016'!$A$4,"Druh VZ","OŘ")</f>
        <v>47</v>
      </c>
      <c r="E19" s="1023">
        <f>GETPIVOTDATA("Součet z Předpokládaná hodnota VZ bez DPH2",'Přehled 2016'!$A$4,"Druh VZ","OŘ")</f>
        <v>1322285128.2800004</v>
      </c>
      <c r="F19" s="1023">
        <f>GETPIVOTDATA("Součet z Předpokládaná hodnota VZ bez DPH",'Úspory 2016'!$A$3,"Druh VZ","OŘ")</f>
        <v>492559970.49999994</v>
      </c>
      <c r="G19" s="1023">
        <f>GETPIVOTDATA("Součet z Vítězná cena bez DPH",'Úspory 2016'!$A$3,"Druh VZ","OŘ")</f>
        <v>469218348.44000006</v>
      </c>
      <c r="H19" s="1023">
        <f t="shared" si="7"/>
        <v>23341622.059999883</v>
      </c>
      <c r="I19" s="1240">
        <f t="shared" si="8"/>
        <v>4.7388386101098803</v>
      </c>
      <c r="J19" s="1240">
        <f t="shared" si="4"/>
        <v>30.322580645161288</v>
      </c>
      <c r="K19" s="1240">
        <f t="shared" si="5"/>
        <v>110.71428571428572</v>
      </c>
      <c r="L19" s="767">
        <f>C19-C7</f>
        <v>92</v>
      </c>
      <c r="M19" s="767">
        <f t="shared" si="6"/>
        <v>17</v>
      </c>
      <c r="N19" s="1243">
        <f>G19-G7</f>
        <v>283908467.02256203</v>
      </c>
    </row>
    <row r="20" spans="1:14">
      <c r="A20" s="1022" t="s">
        <v>95</v>
      </c>
      <c r="B20" s="767">
        <v>3</v>
      </c>
      <c r="C20" s="1234">
        <f>GETPIVOTDATA("Počet z Předpokládaná hodnota VZ bez DPH",'Přehled 2016'!$A$4,"Druh VZ","TENDER")</f>
        <v>4</v>
      </c>
      <c r="D20" s="1234">
        <f>GETPIVOTDATA("Počet z Smlouva podepsána",'Přehled 2016'!$A$4,"Druh VZ","TENDER")</f>
        <v>3</v>
      </c>
      <c r="E20" s="1023">
        <f>GETPIVOTDATA("Součet z Předpokládaná hodnota VZ bez DPH2",'Přehled 2016'!$A$4,"Druh VZ","TENDER")</f>
        <v>4861005</v>
      </c>
      <c r="F20" s="1023">
        <f>GETPIVOTDATA("Součet z Předpokládaná hodnota VZ bez DPH",'Úspory 2016'!$A$3,"Druh VZ","TENDER")</f>
        <v>2991405</v>
      </c>
      <c r="G20" s="1023">
        <f>GETPIVOTDATA("Součet z Vítězná cena bez DPH",'Úspory 2016'!$A$3,"Druh VZ","TENDER")</f>
        <v>674529</v>
      </c>
      <c r="H20" s="1023">
        <f t="shared" si="7"/>
        <v>2316876</v>
      </c>
      <c r="I20" s="1240">
        <f t="shared" si="8"/>
        <v>77.451097394033908</v>
      </c>
      <c r="J20" s="1240">
        <f t="shared" si="4"/>
        <v>75</v>
      </c>
      <c r="K20" s="1240">
        <f t="shared" si="5"/>
        <v>133.33333333333331</v>
      </c>
      <c r="L20" s="767">
        <f>C20-C8</f>
        <v>1</v>
      </c>
      <c r="M20" s="767">
        <f t="shared" si="6"/>
        <v>0</v>
      </c>
      <c r="N20" s="1243">
        <f>G20-G8</f>
        <v>-2808021</v>
      </c>
    </row>
    <row r="21" spans="1:14">
      <c r="A21" s="1022" t="s">
        <v>112</v>
      </c>
      <c r="B21" s="767">
        <v>125</v>
      </c>
      <c r="C21" s="1234">
        <f>GETPIVOTDATA("Počet z Předpokládaná hodnota VZ bez DPH",'Přehled 2016'!$A$4,"Druh VZ","VZMR")</f>
        <v>141</v>
      </c>
      <c r="D21" s="1234">
        <f>GETPIVOTDATA("Počet z Smlouva podepsána",'Přehled 2016'!$A$4,"Druh VZ","VZMR")</f>
        <v>113</v>
      </c>
      <c r="E21" s="1023">
        <f>GETPIVOTDATA("Součet z Předpokládaná hodnota VZ bez DPH2",'Přehled 2016'!$A$4,"Druh VZ","VZMR")</f>
        <v>116595411</v>
      </c>
      <c r="F21" s="1023">
        <f>GETPIVOTDATA("Součet z Předpokládaná hodnota VZ bez DPH",'Úspory 2016'!$A$3,"Druh VZ","VZMR")</f>
        <v>93193031</v>
      </c>
      <c r="G21" s="1023">
        <f>GETPIVOTDATA("Součet z Vítězná cena bez DPH",'Úspory 2016'!$A$3,"Druh VZ","VZMR")</f>
        <v>80156667.641404971</v>
      </c>
      <c r="H21" s="1023">
        <f t="shared" si="7"/>
        <v>13036363.358595029</v>
      </c>
      <c r="I21" s="1240">
        <f t="shared" si="8"/>
        <v>13.988560323351891</v>
      </c>
      <c r="J21" s="1240">
        <f t="shared" si="4"/>
        <v>80.141843971631204</v>
      </c>
      <c r="K21" s="1240">
        <f t="shared" si="5"/>
        <v>112.79999999999998</v>
      </c>
      <c r="L21" s="767">
        <f>C21-C10</f>
        <v>41</v>
      </c>
      <c r="M21" s="767">
        <f>D21-D10</f>
        <v>36</v>
      </c>
      <c r="N21" s="1243">
        <f>G21-G10</f>
        <v>29694873.787603319</v>
      </c>
    </row>
    <row r="22" spans="1:14">
      <c r="A22" s="1022" t="s">
        <v>216</v>
      </c>
      <c r="B22" s="767">
        <v>20</v>
      </c>
      <c r="C22" s="1234">
        <f>GETPIVOTDATA("Počet z Předpokládaná hodnota VZ bez DPH",'Přehled 2016'!$A$4,"Druh VZ","ZPŘ")</f>
        <v>27</v>
      </c>
      <c r="D22" s="1234">
        <f>GETPIVOTDATA("Počet z Smlouva podepsána",'Přehled 2016'!$A$4,"Druh VZ","ZPŘ")</f>
        <v>18</v>
      </c>
      <c r="E22" s="1023">
        <f>GETPIVOTDATA("Součet z Předpokládaná hodnota VZ bez DPH2",'Přehled 2016'!$A$4,"Druh VZ","ZPŘ")</f>
        <v>60053279.879999995</v>
      </c>
      <c r="F22" s="1023">
        <f>GETPIVOTDATA("Součet z Předpokládaná hodnota VZ bez DPH",'Úspory 2016'!$A$3,"Druh VZ","ZPŘ")</f>
        <v>38191009.859999999</v>
      </c>
      <c r="G22" s="1023">
        <f>GETPIVOTDATA("Součet z Vítězná cena bez DPH",'Úspory 2016'!$A$3,"Druh VZ","ZPŘ")</f>
        <v>33713597.409999996</v>
      </c>
      <c r="H22" s="1023">
        <f t="shared" si="7"/>
        <v>4477412.450000003</v>
      </c>
      <c r="I22" s="1240">
        <f t="shared" si="8"/>
        <v>11.723734110234929</v>
      </c>
      <c r="J22" s="1240">
        <f t="shared" si="4"/>
        <v>66.666666666666657</v>
      </c>
      <c r="K22" s="1240">
        <f t="shared" si="5"/>
        <v>135</v>
      </c>
      <c r="L22" s="767">
        <f>C22-C11</f>
        <v>19</v>
      </c>
      <c r="M22" s="767">
        <f>D22-D11</f>
        <v>14</v>
      </c>
      <c r="N22" s="1243">
        <f>G22-G11</f>
        <v>23823539.809999995</v>
      </c>
    </row>
    <row r="23" spans="1:14" ht="15.75" thickBot="1">
      <c r="A23" s="1220" t="s">
        <v>740</v>
      </c>
      <c r="B23" s="1241">
        <f>SUM(B16:B22)</f>
        <v>300</v>
      </c>
      <c r="C23" s="1233">
        <f>GETPIVOTDATA("Počet z Předpokládaná hodnota VZ bez DPH",'Přehled 2016'!$A$4)</f>
        <v>342</v>
      </c>
      <c r="D23" s="1233">
        <f>GETPIVOTDATA("Počet z Smlouva podepsána",'Přehled 2016'!$A$4)</f>
        <v>192</v>
      </c>
      <c r="E23" s="1221">
        <f>GETPIVOTDATA("Součet z Předpokládaná hodnota VZ bez DPH2",'Přehled 2016'!$A$4)</f>
        <v>1520958813.1600006</v>
      </c>
      <c r="F23" s="1221">
        <f>SUM(F16:F22)</f>
        <v>642487810.36000001</v>
      </c>
      <c r="G23" s="1221">
        <f>SUM(G16:G22)</f>
        <v>598487539.47140503</v>
      </c>
      <c r="H23" s="1224">
        <f t="shared" si="7"/>
        <v>44000270.888594985</v>
      </c>
      <c r="I23" s="1242">
        <f t="shared" si="8"/>
        <v>6.848421118517507</v>
      </c>
      <c r="J23" s="1242">
        <f t="shared" si="4"/>
        <v>56.140350877192979</v>
      </c>
      <c r="K23" s="1242">
        <f t="shared" si="5"/>
        <v>113.99999999999999</v>
      </c>
      <c r="L23" s="1228">
        <f>SUM(L16:L22)-1</f>
        <v>154</v>
      </c>
      <c r="M23" s="1228">
        <f>SUM(M16:M22)-1</f>
        <v>66</v>
      </c>
      <c r="N23" s="1244">
        <f>SUM(N16:N22)-G9</f>
        <v>246583689.72305793</v>
      </c>
    </row>
    <row r="24" spans="1:14" ht="16.5" thickTop="1" thickBot="1">
      <c r="A24" s="1235"/>
      <c r="B24" s="1235"/>
      <c r="C24" s="1236"/>
      <c r="D24" s="1237"/>
      <c r="E24" s="1238"/>
      <c r="F24" s="1238"/>
      <c r="G24" s="1238"/>
    </row>
    <row r="25" spans="1:14" ht="29.25" thickTop="1">
      <c r="A25" s="3436">
        <v>2017</v>
      </c>
      <c r="B25" s="3437"/>
      <c r="C25" s="3437"/>
      <c r="D25" s="3437"/>
      <c r="E25" s="3437"/>
      <c r="F25" s="3437"/>
      <c r="G25" s="3437"/>
      <c r="H25" s="3437"/>
      <c r="I25" s="3437"/>
      <c r="J25" s="3437"/>
      <c r="K25" s="3437"/>
      <c r="L25" s="3437"/>
      <c r="M25" s="3437"/>
      <c r="N25" s="3438"/>
    </row>
    <row r="26" spans="1:14" ht="75">
      <c r="A26" s="776" t="s">
        <v>9095</v>
      </c>
      <c r="B26" s="766" t="s">
        <v>2618</v>
      </c>
      <c r="C26" s="766" t="s">
        <v>2033</v>
      </c>
      <c r="D26" s="766" t="s">
        <v>1495</v>
      </c>
      <c r="E26" s="1163" t="s">
        <v>2616</v>
      </c>
      <c r="F26" s="1163" t="s">
        <v>3018</v>
      </c>
      <c r="G26" s="1163" t="s">
        <v>2617</v>
      </c>
      <c r="H26" s="1163" t="s">
        <v>3326</v>
      </c>
      <c r="I26" s="1239" t="s">
        <v>3327</v>
      </c>
      <c r="J26" s="1239" t="s">
        <v>5969</v>
      </c>
      <c r="K26" s="1239" t="s">
        <v>2619</v>
      </c>
      <c r="L26" s="1239" t="s">
        <v>2620</v>
      </c>
      <c r="M26" s="1239" t="s">
        <v>2621</v>
      </c>
      <c r="N26" s="1219" t="s">
        <v>10543</v>
      </c>
    </row>
    <row r="27" spans="1:14">
      <c r="A27" s="1022" t="s">
        <v>235</v>
      </c>
      <c r="B27" s="767">
        <v>1</v>
      </c>
      <c r="C27" s="767">
        <f>GETPIVOTDATA("Počet z Předpokládaná hodnota VZ bez DPH",'Přehled 2017'!$A$3,"Druh VZ","DNS")</f>
        <v>1</v>
      </c>
      <c r="D27" s="767">
        <f>GETPIVOTDATA("Počet z Smlouva podepsána",'Přehled 2017'!$A$3,"Druh VZ","DNS")</f>
        <v>1</v>
      </c>
      <c r="E27" s="1023">
        <f>GETPIVOTDATA("Součet z Předpokládaná hodnota VZ bez DPH2",'Přehled 2017'!$A$3,"Druh VZ","DNS")</f>
        <v>3245000</v>
      </c>
      <c r="F27" s="1023">
        <f>GETPIVOTDATA("Součet z Předpokládaná hodnota VZ bez DPH",'Úspory 2017'!$A$3,"Druh VZ","DNS")</f>
        <v>3245000</v>
      </c>
      <c r="G27" s="1023">
        <f>GETPIVOTDATA("Součet z Vítězná cena bez DPH",'Úspory 2017'!$A$3,"Druh VZ","DNS")</f>
        <v>3349098</v>
      </c>
      <c r="H27" s="1023">
        <f>F27-G27</f>
        <v>-104098</v>
      </c>
      <c r="I27" s="1240">
        <f>100-(G27/F27*100)</f>
        <v>-3.2079506933744284</v>
      </c>
      <c r="J27" s="1240">
        <f>D27/C27*100</f>
        <v>100</v>
      </c>
      <c r="K27" s="1240">
        <f>C27/B27*100</f>
        <v>100</v>
      </c>
      <c r="L27" s="767">
        <f>C27-C16</f>
        <v>-12</v>
      </c>
      <c r="M27" s="767">
        <f>D27-D16</f>
        <v>-8</v>
      </c>
      <c r="N27" s="1020">
        <f>G27-G16</f>
        <v>-8954424.2100000009</v>
      </c>
    </row>
    <row r="28" spans="1:14">
      <c r="A28" s="1022" t="s">
        <v>251</v>
      </c>
      <c r="B28" s="767">
        <v>195</v>
      </c>
      <c r="C28" s="767">
        <f>GETPIVOTDATA("Počet z Předpokládaná hodnota VZ bez DPH",'Přehled 2017'!$A$3,"Druh VZ","OŘ")</f>
        <v>221</v>
      </c>
      <c r="D28" s="767">
        <f>GETPIVOTDATA("Počet z Smlouva podepsána",'Přehled 2017'!$A$3,"Druh VZ","OŘ")</f>
        <v>95</v>
      </c>
      <c r="E28" s="1023">
        <f>GETPIVOTDATA("Součet z Předpokládaná hodnota VZ bez DPH2",'Přehled 2017'!$A$3,"Druh VZ","OŘ")</f>
        <v>2162943377.6185989</v>
      </c>
      <c r="F28" s="1023">
        <f>GETPIVOTDATA("Součet z Předpokládaná hodnota VZ bez DPH",'Úspory 2017'!$A$3,"Druh VZ","OŘ")</f>
        <v>1024794158.1299996</v>
      </c>
      <c r="G28" s="1023">
        <f>GETPIVOTDATA("Součet z Vítězná cena bez DPH",'Úspory 2017'!$A$3,"Druh VZ","OŘ")</f>
        <v>955741919.6500001</v>
      </c>
      <c r="H28" s="1023">
        <f>F28-G28</f>
        <v>69052238.479999542</v>
      </c>
      <c r="I28" s="1240">
        <f>100-(G28/F28*100)</f>
        <v>6.7381569198250588</v>
      </c>
      <c r="J28" s="1240">
        <f>D28/C28*100</f>
        <v>42.986425339366519</v>
      </c>
      <c r="K28" s="1240">
        <f>C28/B28*100</f>
        <v>113.33333333333333</v>
      </c>
      <c r="L28" s="767">
        <f>C28-C19</f>
        <v>66</v>
      </c>
      <c r="M28" s="767">
        <f>D28-D19</f>
        <v>48</v>
      </c>
      <c r="N28" s="1020">
        <f>G28-G19</f>
        <v>486523571.21000004</v>
      </c>
    </row>
    <row r="29" spans="1:14">
      <c r="A29" s="1022" t="s">
        <v>112</v>
      </c>
      <c r="B29" s="767">
        <v>155</v>
      </c>
      <c r="C29" s="767">
        <f>GETPIVOTDATA("Počet z Předpokládaná hodnota VZ bez DPH",'Přehled 2017'!$A$3,"Druh VZ","VZMR")</f>
        <v>178</v>
      </c>
      <c r="D29" s="767">
        <f>GETPIVOTDATA("Počet z Smlouva podepsána",'Přehled 2017'!$A$3,"Druh VZ","VZMR")</f>
        <v>129</v>
      </c>
      <c r="E29" s="1023">
        <f>GETPIVOTDATA("Součet z Předpokládaná hodnota VZ bez DPH2",'Přehled 2017'!$A$3,"Druh VZ","VZMR")</f>
        <v>279071013.30000001</v>
      </c>
      <c r="F29" s="1023">
        <f>GETPIVOTDATA("Součet z Předpokládaná hodnota VZ bez DPH",'Úspory 2017'!$A$3,"Druh VZ","VZMR")</f>
        <v>173747900.94</v>
      </c>
      <c r="G29" s="1023">
        <f>GETPIVOTDATA("Součet z Vítězná cena bez DPH",'Úspory 2017'!$A$3,"Druh VZ","VZMR")</f>
        <v>111634449.88000001</v>
      </c>
      <c r="H29" s="1023">
        <f>F29-G29</f>
        <v>62113451.059999987</v>
      </c>
      <c r="I29" s="1240">
        <f>100-(G29/F29*100)</f>
        <v>35.749180694533692</v>
      </c>
      <c r="J29" s="1240">
        <f>D29/C29*100</f>
        <v>72.471910112359552</v>
      </c>
      <c r="K29" s="1240">
        <f>C29/B29*100</f>
        <v>114.83870967741936</v>
      </c>
      <c r="L29" s="767">
        <f>C29-C21</f>
        <v>37</v>
      </c>
      <c r="M29" s="767">
        <f>D29-D21</f>
        <v>16</v>
      </c>
      <c r="N29" s="1020">
        <f>G29-G21</f>
        <v>31477782.238595039</v>
      </c>
    </row>
    <row r="30" spans="1:14">
      <c r="A30" s="1022" t="s">
        <v>216</v>
      </c>
      <c r="B30" s="767">
        <v>25</v>
      </c>
      <c r="C30" s="767">
        <f>GETPIVOTDATA("Počet z Předpokládaná hodnota VZ bez DPH",'Přehled 2017'!$A$3,"Druh VZ","ZPŘ")</f>
        <v>28</v>
      </c>
      <c r="D30" s="767">
        <f>GETPIVOTDATA("Počet z Smlouva podepsána",'Přehled 2017'!$A$3,"Druh VZ","ZPŘ")</f>
        <v>20</v>
      </c>
      <c r="E30" s="1023">
        <f>GETPIVOTDATA("Součet z Předpokládaná hodnota VZ bez DPH2",'Přehled 2017'!$A$3,"Druh VZ","ZPŘ")</f>
        <v>122345000</v>
      </c>
      <c r="F30" s="1023">
        <f>GETPIVOTDATA("Součet z Předpokládaná hodnota VZ bez DPH",'Úspory 2017'!$A$3,"Druh VZ","ZPŘ")</f>
        <v>100194000</v>
      </c>
      <c r="G30" s="1023">
        <f>GETPIVOTDATA("Součet z Vítězná cena bez DPH",'Úspory 2017'!$A$3,"Druh VZ","ZPŘ")</f>
        <v>98313680.849999994</v>
      </c>
      <c r="H30" s="1023">
        <f>F30-G30</f>
        <v>1880319.150000006</v>
      </c>
      <c r="I30" s="1240">
        <f>100-(G30/F30*100)</f>
        <v>1.8766783939158103</v>
      </c>
      <c r="J30" s="1240">
        <f>D30/C30*100</f>
        <v>71.428571428571431</v>
      </c>
      <c r="K30" s="1240">
        <f>C30/B30*100</f>
        <v>112.00000000000001</v>
      </c>
      <c r="L30" s="767">
        <f>C30-C22</f>
        <v>1</v>
      </c>
      <c r="M30" s="767">
        <f>D30-D22</f>
        <v>2</v>
      </c>
      <c r="N30" s="1020">
        <f>G30-G22</f>
        <v>64600083.439999998</v>
      </c>
    </row>
    <row r="31" spans="1:14" ht="15.75" thickBot="1">
      <c r="A31" s="1220" t="s">
        <v>740</v>
      </c>
      <c r="B31" s="1228">
        <v>376</v>
      </c>
      <c r="C31" s="1228">
        <f>SUM(C27:C30)</f>
        <v>428</v>
      </c>
      <c r="D31" s="1228">
        <f>SUM(D27:D30)</f>
        <v>245</v>
      </c>
      <c r="E31" s="1221">
        <f>SUM(E27:E30)</f>
        <v>2567604390.9185991</v>
      </c>
      <c r="F31" s="1221">
        <f>SUM(F27:F30)</f>
        <v>1301981059.0699997</v>
      </c>
      <c r="G31" s="1221">
        <f>SUM(G27:G30)</f>
        <v>1169039148.3800001</v>
      </c>
      <c r="H31" s="1224">
        <f>F31-G31</f>
        <v>132941910.68999958</v>
      </c>
      <c r="I31" s="1242">
        <f>100-(G31/F31*100)</f>
        <v>10.210740760311793</v>
      </c>
      <c r="J31" s="1242">
        <f>D31/C31*100</f>
        <v>57.242990654205606</v>
      </c>
      <c r="K31" s="1242">
        <f>C31/B31*100</f>
        <v>113.82978723404256</v>
      </c>
      <c r="L31" s="1228">
        <f>SUM(L27:L30)-1-1-4</f>
        <v>86</v>
      </c>
      <c r="M31" s="1228">
        <f>SUM(M27:M30)-D17-D18-D20</f>
        <v>53</v>
      </c>
      <c r="N31" s="1245">
        <f>SUM(N27:N30)-G17-G18-G20</f>
        <v>570551608.90859509</v>
      </c>
    </row>
    <row r="32" spans="1:14" ht="16.5" thickTop="1" thickBot="1"/>
    <row r="33" spans="1:14" ht="29.25" thickTop="1">
      <c r="A33" s="3436">
        <v>2018</v>
      </c>
      <c r="B33" s="3437"/>
      <c r="C33" s="3437"/>
      <c r="D33" s="3437"/>
      <c r="E33" s="3437"/>
      <c r="F33" s="3437"/>
      <c r="G33" s="3437"/>
      <c r="H33" s="3437"/>
      <c r="I33" s="3437"/>
      <c r="J33" s="3437"/>
      <c r="K33" s="3437"/>
      <c r="L33" s="3437"/>
      <c r="M33" s="3437"/>
      <c r="N33" s="3438"/>
    </row>
    <row r="34" spans="1:14" ht="75">
      <c r="A34" s="776" t="s">
        <v>9095</v>
      </c>
      <c r="B34" s="766" t="s">
        <v>2618</v>
      </c>
      <c r="C34" s="766" t="s">
        <v>2033</v>
      </c>
      <c r="D34" s="766" t="s">
        <v>1495</v>
      </c>
      <c r="E34" s="1163" t="s">
        <v>2616</v>
      </c>
      <c r="F34" s="1163" t="s">
        <v>3018</v>
      </c>
      <c r="G34" s="1163" t="s">
        <v>2617</v>
      </c>
      <c r="H34" s="1163" t="s">
        <v>3326</v>
      </c>
      <c r="I34" s="1239" t="s">
        <v>3327</v>
      </c>
      <c r="J34" s="1239" t="s">
        <v>5969</v>
      </c>
      <c r="K34" s="1239" t="s">
        <v>2619</v>
      </c>
      <c r="L34" s="1239" t="s">
        <v>2620</v>
      </c>
      <c r="M34" s="1239" t="s">
        <v>2621</v>
      </c>
      <c r="N34" s="1219" t="s">
        <v>10543</v>
      </c>
    </row>
    <row r="35" spans="1:14">
      <c r="A35" s="1022" t="s">
        <v>251</v>
      </c>
      <c r="B35" s="767">
        <v>210</v>
      </c>
      <c r="C35" s="767">
        <f>GETPIVOTDATA("Počet z Předpokládaná hodnota VZ bez DPH",'Přehled 2018'!$A$3,"Druh VZ","OŘ")</f>
        <v>307</v>
      </c>
      <c r="D35" s="767">
        <f>GETPIVOTDATA("Počet z Smlouva podepsána",'Přehled 2018'!$A$3,"Druh VZ","OŘ")</f>
        <v>153</v>
      </c>
      <c r="E35" s="1198">
        <f>GETPIVOTDATA("Součet z Předpokládaná hodnota VZ bez DPH2",'Přehled 2018'!$A$3,"Druh VZ","OŘ")</f>
        <v>2761058542.0523992</v>
      </c>
      <c r="F35" s="1198">
        <f>GETPIVOTDATA("Součet z Předpokládaná hodnota VZ bez DPH",'Úspory 2018'!$A$3,"Druh VZ","OŘ")</f>
        <v>1557680346.0923986</v>
      </c>
      <c r="G35" s="1198">
        <f>GETPIVOTDATA("Součet z Vítězná cena bez DPH",'Úspory 2018'!$A$3,"Druh VZ","OŘ")</f>
        <v>1523964455.4899993</v>
      </c>
      <c r="H35" s="1230">
        <f>F35-G35</f>
        <v>33715890.602399349</v>
      </c>
      <c r="I35" s="1240">
        <f>100-(G35/F35*100)</f>
        <v>2.1644935488195074</v>
      </c>
      <c r="J35" s="1240">
        <f>D35/C35*100</f>
        <v>49.837133550488602</v>
      </c>
      <c r="K35" s="1240">
        <f>C35/B35*100</f>
        <v>146.19047619047618</v>
      </c>
      <c r="L35" s="767">
        <f>C35-C28</f>
        <v>86</v>
      </c>
      <c r="M35" s="767">
        <f t="shared" ref="M35:M37" si="9">D35-D28</f>
        <v>58</v>
      </c>
      <c r="N35" s="1246">
        <f>G35-G28</f>
        <v>568222535.8399992</v>
      </c>
    </row>
    <row r="36" spans="1:14">
      <c r="A36" s="1022" t="s">
        <v>112</v>
      </c>
      <c r="B36" s="767">
        <v>180</v>
      </c>
      <c r="C36" s="767">
        <f>GETPIVOTDATA("Počet z Předpokládaná hodnota VZ bez DPH",'Přehled 2018'!$A$3,"Druh VZ","VZMR")</f>
        <v>146</v>
      </c>
      <c r="D36" s="767">
        <f>GETPIVOTDATA("Počet z Smlouva podepsána",'Přehled 2018'!$A$3,"Druh VZ","VZMR")</f>
        <v>104</v>
      </c>
      <c r="E36" s="1198">
        <f>GETPIVOTDATA("Součet z Předpokládaná hodnota VZ bez DPH2",'Přehled 2018'!$A$3,"Druh VZ","VZMR")</f>
        <v>125286528</v>
      </c>
      <c r="F36" s="1198">
        <f>GETPIVOTDATA("Součet z Předpokládaná hodnota VZ bez DPH",'Úspory 2018'!$A$3,"Druh VZ","VZMR")</f>
        <v>86776999</v>
      </c>
      <c r="G36" s="1198">
        <f>GETPIVOTDATA("Součet z Vítězná cena bez DPH",'Úspory 2018'!$A$3,"Druh VZ","VZMR")</f>
        <v>80533404.958677679</v>
      </c>
      <c r="H36" s="1230">
        <f>F36-G36</f>
        <v>6243594.0413223207</v>
      </c>
      <c r="I36" s="1240">
        <f>100-(G36/F36*100)</f>
        <v>7.1949872815056892</v>
      </c>
      <c r="J36" s="1240">
        <f>D36/C36*100</f>
        <v>71.232876712328761</v>
      </c>
      <c r="K36" s="1240">
        <f>C36/B36*100</f>
        <v>81.111111111111114</v>
      </c>
      <c r="L36" s="767">
        <f>C36-C29</f>
        <v>-32</v>
      </c>
      <c r="M36" s="767">
        <f t="shared" si="9"/>
        <v>-25</v>
      </c>
      <c r="N36" s="1246">
        <f>G36-G29</f>
        <v>-31101044.921322331</v>
      </c>
    </row>
    <row r="37" spans="1:14">
      <c r="A37" s="1022" t="s">
        <v>216</v>
      </c>
      <c r="B37" s="767">
        <v>30</v>
      </c>
      <c r="C37" s="767">
        <f>GETPIVOTDATA("Počet z Předpokládaná hodnota VZ bez DPH",'Přehled 2018'!$A$3,"Druh VZ","ZPŘ")</f>
        <v>42</v>
      </c>
      <c r="D37" s="767">
        <f>GETPIVOTDATA("Počet z Smlouva podepsána",'Přehled 2018'!$A$3,"Druh VZ","ZPŘ")</f>
        <v>26</v>
      </c>
      <c r="E37" s="1198">
        <f>GETPIVOTDATA("Součet z Předpokládaná hodnota VZ bez DPH2",'Přehled 2018'!$A$3,"Druh VZ","ZPŘ")</f>
        <v>123684625</v>
      </c>
      <c r="F37" s="1198">
        <f>GETPIVOTDATA("Součet z Předpokládaná hodnota VZ bez DPH",'Úspory 2018'!$A$3,"Druh VZ","ZPŘ")</f>
        <v>76523075</v>
      </c>
      <c r="G37" s="1198">
        <f>GETPIVOTDATA("Součet z Vítězná cena bez DPH",'Úspory 2018'!$A$3,"Druh VZ","ZPŘ")</f>
        <v>61115187.659999996</v>
      </c>
      <c r="H37" s="1230">
        <f>F37-G37</f>
        <v>15407887.340000004</v>
      </c>
      <c r="I37" s="1240">
        <f>100-(G37/F37*100)</f>
        <v>20.134955815615101</v>
      </c>
      <c r="J37" s="1240">
        <f>D37/C37*100</f>
        <v>61.904761904761905</v>
      </c>
      <c r="K37" s="1240">
        <f>C37/B37*100</f>
        <v>140</v>
      </c>
      <c r="L37" s="767">
        <f>C37-C30</f>
        <v>14</v>
      </c>
      <c r="M37" s="767">
        <f t="shared" si="9"/>
        <v>6</v>
      </c>
      <c r="N37" s="1246">
        <f>G37-G30</f>
        <v>-37198493.189999998</v>
      </c>
    </row>
    <row r="38" spans="1:14" ht="15.75" thickBot="1">
      <c r="A38" s="1220" t="s">
        <v>740</v>
      </c>
      <c r="B38" s="1241">
        <f t="shared" ref="B38:G38" si="10">SUM(B35:B37)</f>
        <v>420</v>
      </c>
      <c r="C38" s="1228">
        <f t="shared" si="10"/>
        <v>495</v>
      </c>
      <c r="D38" s="1228">
        <f t="shared" si="10"/>
        <v>283</v>
      </c>
      <c r="E38" s="1218">
        <f t="shared" si="10"/>
        <v>3010029695.0523992</v>
      </c>
      <c r="F38" s="1218">
        <f t="shared" si="10"/>
        <v>1720980420.0923986</v>
      </c>
      <c r="G38" s="1218">
        <f t="shared" si="10"/>
        <v>1665613048.1086771</v>
      </c>
      <c r="H38" s="1231">
        <f>F38-G38</f>
        <v>55367371.983721495</v>
      </c>
      <c r="I38" s="1242">
        <f>100-(G38/F38*100)</f>
        <v>3.2171994136196389</v>
      </c>
      <c r="J38" s="1242">
        <f>D38/C38*100</f>
        <v>57.171717171717177</v>
      </c>
      <c r="K38" s="1242">
        <f>C38/B38*100</f>
        <v>117.85714285714286</v>
      </c>
      <c r="L38" s="1228">
        <f>SUM(L35:L37)-1</f>
        <v>67</v>
      </c>
      <c r="M38" s="1228">
        <f>SUM(M35:M37)-D27</f>
        <v>38</v>
      </c>
      <c r="N38" s="1247">
        <f>SUM(N35:N37)-G27</f>
        <v>496573899.72867686</v>
      </c>
    </row>
    <row r="39" spans="1:14" ht="16.5" thickTop="1" thickBot="1"/>
    <row r="40" spans="1:14" ht="29.25" thickTop="1">
      <c r="A40" s="3436">
        <v>2019</v>
      </c>
      <c r="B40" s="3437"/>
      <c r="C40" s="3437"/>
      <c r="D40" s="3437"/>
      <c r="E40" s="3437"/>
      <c r="F40" s="3437"/>
      <c r="G40" s="3437"/>
      <c r="H40" s="3437"/>
      <c r="I40" s="3437"/>
      <c r="J40" s="3437"/>
      <c r="K40" s="3437"/>
      <c r="L40" s="3437"/>
      <c r="M40" s="3437"/>
      <c r="N40" s="3438"/>
    </row>
    <row r="41" spans="1:14" ht="75">
      <c r="A41" s="776" t="s">
        <v>9095</v>
      </c>
      <c r="B41" s="766" t="s">
        <v>2618</v>
      </c>
      <c r="C41" s="766" t="s">
        <v>2033</v>
      </c>
      <c r="D41" s="766" t="s">
        <v>1495</v>
      </c>
      <c r="E41" s="1163" t="s">
        <v>2616</v>
      </c>
      <c r="F41" s="1163" t="s">
        <v>3018</v>
      </c>
      <c r="G41" s="1163" t="s">
        <v>2617</v>
      </c>
      <c r="H41" s="1163" t="s">
        <v>3326</v>
      </c>
      <c r="I41" s="1239" t="s">
        <v>3327</v>
      </c>
      <c r="J41" s="1239" t="s">
        <v>5969</v>
      </c>
      <c r="K41" s="1239" t="s">
        <v>2619</v>
      </c>
      <c r="L41" s="1239" t="s">
        <v>2620</v>
      </c>
      <c r="M41" s="1239" t="s">
        <v>2621</v>
      </c>
      <c r="N41" s="1219" t="s">
        <v>10543</v>
      </c>
    </row>
    <row r="42" spans="1:14">
      <c r="A42" s="1022" t="s">
        <v>251</v>
      </c>
      <c r="B42" s="767">
        <v>380</v>
      </c>
      <c r="C42" s="767">
        <f>GETPIVOTDATA("Počet z Předpokládaná hodnota VZ bez DPH",'Přehled 2019'!$A$3,"Druh VZ","OŘ")</f>
        <v>603</v>
      </c>
      <c r="D42" s="767">
        <f>GETPIVOTDATA("Počet z Smlouva podepsána",'Přehled 2019'!$A$3,"Druh VZ","OŘ")</f>
        <v>279</v>
      </c>
      <c r="E42" s="1198">
        <f>GETPIVOTDATA("Součet z Předpokládaná hodnota VZ bez DPH2",'Přehled 2019'!$A$3,"Druh VZ","OŘ")</f>
        <v>4283603623.3800006</v>
      </c>
      <c r="F42" s="1198">
        <f>GETPIVOTDATA("Součet z Předpokládaná hodnota VZ bez DPH",'Úspory 2019'!$A$3,"Druh VZ","OŘ")</f>
        <v>1646154431.7600002</v>
      </c>
      <c r="G42" s="1198">
        <f>GETPIVOTDATA("Součet z Vítězná cena bez DPH",'Úspory 2019'!$A$3,"Druh VZ","OŘ")</f>
        <v>1588124699.5300004</v>
      </c>
      <c r="H42" s="1230">
        <f>F42-G42</f>
        <v>58029732.229999781</v>
      </c>
      <c r="I42" s="1240">
        <f>100-(G42/F42*100)</f>
        <v>3.5251693954349577</v>
      </c>
      <c r="J42" s="1240">
        <f>D42/C42*100</f>
        <v>46.268656716417908</v>
      </c>
      <c r="K42" s="1240">
        <f>C42/B42*100</f>
        <v>158.68421052631578</v>
      </c>
      <c r="L42" s="767">
        <f>C42-C35</f>
        <v>296</v>
      </c>
      <c r="M42" s="767">
        <f t="shared" ref="M42:M44" si="11">D42-D35</f>
        <v>126</v>
      </c>
      <c r="N42" s="1246">
        <f>G42-G35</f>
        <v>64160244.040001154</v>
      </c>
    </row>
    <row r="43" spans="1:14">
      <c r="A43" s="1022" t="s">
        <v>112</v>
      </c>
      <c r="B43" s="767">
        <v>180</v>
      </c>
      <c r="C43" s="767">
        <f>GETPIVOTDATA("Počet z Předpokládaná hodnota VZ bez DPH",'Přehled 2019'!$A$3,"Druh VZ","VZMR")</f>
        <v>248</v>
      </c>
      <c r="D43" s="767">
        <f>GETPIVOTDATA("Počet z Smlouva podepsána",'Přehled 2019'!$A$3,"Druh VZ","VZMR")</f>
        <v>165</v>
      </c>
      <c r="E43" s="1198">
        <f>GETPIVOTDATA("Součet z Předpokládaná hodnota VZ bez DPH2",'Přehled 2019'!$A$3,"Druh VZ","VZMR")</f>
        <v>222573912.72000003</v>
      </c>
      <c r="F43" s="1198">
        <f>GETPIVOTDATA("Součet z Předpokládaná hodnota VZ bez DPH",'Úspory 2019'!$A$3,"Druh VZ","VZMR")</f>
        <v>142813495.68000001</v>
      </c>
      <c r="G43" s="1198">
        <f>GETPIVOTDATA("Součet z Vítězná cena bez DPH",'Úspory 2019'!$A$3,"Druh VZ","VZMR")</f>
        <v>142174629.83297518</v>
      </c>
      <c r="H43" s="1230">
        <f>F43-G43</f>
        <v>638865.8470248282</v>
      </c>
      <c r="I43" s="1240">
        <f>100-(G43/F43*100)</f>
        <v>0.44734276966114805</v>
      </c>
      <c r="J43" s="1240">
        <f>D43/C43*100</f>
        <v>66.532258064516128</v>
      </c>
      <c r="K43" s="1240">
        <f>C43/B43*100</f>
        <v>137.77777777777777</v>
      </c>
      <c r="L43" s="767">
        <f>C43-C36</f>
        <v>102</v>
      </c>
      <c r="M43" s="767">
        <f t="shared" si="11"/>
        <v>61</v>
      </c>
      <c r="N43" s="1246">
        <f>G43-G36</f>
        <v>61641224.8742975</v>
      </c>
    </row>
    <row r="44" spans="1:14">
      <c r="A44" s="1022" t="s">
        <v>216</v>
      </c>
      <c r="B44" s="767">
        <v>50</v>
      </c>
      <c r="C44" s="767">
        <f>GETPIVOTDATA("Počet z Předpokládaná hodnota VZ bez DPH",'Přehled 2019'!$A$3,"Druh VZ","ZPŘ")</f>
        <v>63</v>
      </c>
      <c r="D44" s="767">
        <f>GETPIVOTDATA("Počet z Smlouva podepsána",'Přehled 2019'!$A$3,"Druh VZ","ZPŘ")</f>
        <v>32</v>
      </c>
      <c r="E44" s="1198">
        <f>GETPIVOTDATA("Součet z Předpokládaná hodnota VZ bez DPH2",'Přehled 2019'!$A$3,"Druh VZ","ZPŘ")</f>
        <v>113423120.0607</v>
      </c>
      <c r="F44" s="1198">
        <f>GETPIVOTDATA("Součet z Předpokládaná hodnota VZ bez DPH",'Úspory 2019'!$A$3,"Druh VZ","ZPŘ")</f>
        <v>61676286</v>
      </c>
      <c r="G44" s="1198">
        <f>GETPIVOTDATA("Součet z Vítězná cena bez DPH",'Úspory 2019'!$A$3,"Druh VZ","ZPŘ")</f>
        <v>55887802.259999998</v>
      </c>
      <c r="H44" s="1230">
        <f>F44-G44</f>
        <v>5788483.7400000021</v>
      </c>
      <c r="I44" s="1240">
        <f>100-(G44/F44*100)</f>
        <v>9.3852663890948378</v>
      </c>
      <c r="J44" s="1240">
        <f>D44/C44*100</f>
        <v>50.793650793650791</v>
      </c>
      <c r="K44" s="1240">
        <f>C44/B44*100</f>
        <v>126</v>
      </c>
      <c r="L44" s="767">
        <f>C44-C37</f>
        <v>21</v>
      </c>
      <c r="M44" s="767">
        <f t="shared" si="11"/>
        <v>6</v>
      </c>
      <c r="N44" s="1246">
        <f>G44-G37</f>
        <v>-5227385.3999999985</v>
      </c>
    </row>
    <row r="45" spans="1:14" ht="15.75" thickBot="1">
      <c r="A45" s="1220" t="s">
        <v>740</v>
      </c>
      <c r="B45" s="1241">
        <f t="shared" ref="B45:G45" si="12">SUM(B42:B44)</f>
        <v>610</v>
      </c>
      <c r="C45" s="1228">
        <f t="shared" si="12"/>
        <v>914</v>
      </c>
      <c r="D45" s="1228">
        <f t="shared" si="12"/>
        <v>476</v>
      </c>
      <c r="E45" s="1218">
        <f t="shared" si="12"/>
        <v>4619600656.1607008</v>
      </c>
      <c r="F45" s="1218">
        <f t="shared" si="12"/>
        <v>1850644213.4400003</v>
      </c>
      <c r="G45" s="1218">
        <f t="shared" si="12"/>
        <v>1786187131.6229756</v>
      </c>
      <c r="H45" s="1231">
        <f>F45-G45</f>
        <v>64457081.817024708</v>
      </c>
      <c r="I45" s="1242">
        <f>100-(G45/F45*100)</f>
        <v>3.4829537384287903</v>
      </c>
      <c r="J45" s="1242">
        <f>D45/C45*100</f>
        <v>52.078774617067836</v>
      </c>
      <c r="K45" s="1242">
        <f>C45/B45*100</f>
        <v>149.8360655737705</v>
      </c>
      <c r="L45" s="1228">
        <f>SUM(L42:L44)</f>
        <v>419</v>
      </c>
      <c r="M45" s="1228">
        <f>SUM(M42:M44)</f>
        <v>193</v>
      </c>
      <c r="N45" s="1247">
        <f>SUM(N42:N44)</f>
        <v>120574083.51429865</v>
      </c>
    </row>
    <row r="46" spans="1:14" ht="16.5" thickTop="1" thickBot="1"/>
    <row r="47" spans="1:14" ht="29.25" thickTop="1">
      <c r="A47" s="3436">
        <v>2020</v>
      </c>
      <c r="B47" s="3437"/>
      <c r="C47" s="3437"/>
      <c r="D47" s="3437"/>
      <c r="E47" s="3437"/>
      <c r="F47" s="3437"/>
      <c r="G47" s="3437"/>
      <c r="H47" s="3437"/>
      <c r="I47" s="3437"/>
      <c r="J47" s="3437"/>
      <c r="K47" s="3437"/>
      <c r="L47" s="3437"/>
      <c r="M47" s="3437"/>
      <c r="N47" s="3438"/>
    </row>
    <row r="48" spans="1:14" ht="75">
      <c r="A48" s="776" t="s">
        <v>9095</v>
      </c>
      <c r="B48" s="766" t="s">
        <v>2618</v>
      </c>
      <c r="C48" s="766" t="s">
        <v>2033</v>
      </c>
      <c r="D48" s="766" t="s">
        <v>1495</v>
      </c>
      <c r="E48" s="1163" t="s">
        <v>2616</v>
      </c>
      <c r="F48" s="1163" t="s">
        <v>3018</v>
      </c>
      <c r="G48" s="1163" t="s">
        <v>2617</v>
      </c>
      <c r="H48" s="1163" t="s">
        <v>3326</v>
      </c>
      <c r="I48" s="1239" t="s">
        <v>3327</v>
      </c>
      <c r="J48" s="1239" t="s">
        <v>5969</v>
      </c>
      <c r="K48" s="1239" t="s">
        <v>2619</v>
      </c>
      <c r="L48" s="1239" t="s">
        <v>2620</v>
      </c>
      <c r="M48" s="1239" t="s">
        <v>2621</v>
      </c>
      <c r="N48" s="1219" t="s">
        <v>10543</v>
      </c>
    </row>
    <row r="49" spans="1:14">
      <c r="A49" s="1022" t="s">
        <v>251</v>
      </c>
      <c r="B49" s="767">
        <v>600</v>
      </c>
      <c r="C49" s="767">
        <f>GETPIVOTDATA("Počet z Předpokládaná hodnota VZ bez DPH",'Přehled 2020'!$A$3,"Druh VZ","OŘ")</f>
        <v>501</v>
      </c>
      <c r="D49" s="767">
        <f>GETPIVOTDATA("Počet z Smlouva podepsána",'Přehled 2020'!$A$3,"Druh VZ","OŘ")</f>
        <v>307</v>
      </c>
      <c r="E49" s="1198">
        <f>GETPIVOTDATA("Součet z Předpokládaná hodnota VZ bez DPH2",'Přehled 2020'!$A$3,"Druh VZ","OŘ")</f>
        <v>6711124015.6199989</v>
      </c>
      <c r="F49" s="1198">
        <f>GETPIVOTDATA("Součet z Předpokládaná hodnota VZ bez DPH",'Úspory 2020'!$A$3,"Druh VZ","OŘ")</f>
        <v>3525254994.71</v>
      </c>
      <c r="G49" s="1198">
        <f>GETPIVOTDATA("Součet z Vítězná cena bez DPH",'Úspory 2020'!$A$3,"Druh VZ","OŘ")</f>
        <v>3378810833.3299994</v>
      </c>
      <c r="H49" s="1230">
        <f>F49-G49</f>
        <v>146444161.38000059</v>
      </c>
      <c r="I49" s="1240">
        <f>100-(G49/F49*100)</f>
        <v>4.1541437881729024</v>
      </c>
      <c r="J49" s="1240">
        <f>D49/C49*100</f>
        <v>61.277445109780437</v>
      </c>
      <c r="K49" s="1240">
        <f>C49/B49*100</f>
        <v>83.5</v>
      </c>
      <c r="L49" s="767">
        <f>C49-C42</f>
        <v>-102</v>
      </c>
      <c r="M49" s="767">
        <f t="shared" ref="M49:M51" si="13">D49-D42</f>
        <v>28</v>
      </c>
      <c r="N49" s="1246">
        <f>G49-G42</f>
        <v>1790686133.799999</v>
      </c>
    </row>
    <row r="50" spans="1:14">
      <c r="A50" s="1022" t="s">
        <v>112</v>
      </c>
      <c r="B50" s="767">
        <v>250</v>
      </c>
      <c r="C50" s="767">
        <f>GETPIVOTDATA("Počet z Předpokládaná hodnota VZ bez DPH",'Přehled 2020'!$A$3,"Druh VZ","VZMR")</f>
        <v>218</v>
      </c>
      <c r="D50" s="767">
        <f>GETPIVOTDATA("Počet z Smlouva podepsána",'Přehled 2020'!$A$3,"Druh VZ","VZMR")</f>
        <v>153</v>
      </c>
      <c r="E50" s="1198">
        <f>GETPIVOTDATA("Součet z Předpokládaná hodnota VZ bez DPH2",'Přehled 2020'!$A$3,"Druh VZ","VZMR")</f>
        <v>230042927.13999999</v>
      </c>
      <c r="F50" s="1198">
        <f>GETPIVOTDATA("Součet z Předpokládaná hodnota VZ bez DPH",'Úspory 2020'!$A$3,"Druh VZ","VZMR")</f>
        <v>161815407.13999999</v>
      </c>
      <c r="G50" s="1198">
        <f>GETPIVOTDATA("Součet z Vítězná cena bez DPH",'Úspory 2020'!$A$3,"Druh VZ","VZMR")</f>
        <v>150148009.99999997</v>
      </c>
      <c r="H50" s="1230">
        <f>F50-G50</f>
        <v>11667397.140000015</v>
      </c>
      <c r="I50" s="1240">
        <f>100-(G50/F50*100)</f>
        <v>7.2103128782450057</v>
      </c>
      <c r="J50" s="1240">
        <f>D50/C50*100</f>
        <v>70.183486238532112</v>
      </c>
      <c r="K50" s="1240">
        <f>C50/B50*100</f>
        <v>87.2</v>
      </c>
      <c r="L50" s="767">
        <f>C50-C43</f>
        <v>-30</v>
      </c>
      <c r="M50" s="767">
        <f t="shared" si="13"/>
        <v>-12</v>
      </c>
      <c r="N50" s="1246">
        <f>G50-G43</f>
        <v>7973380.1670247912</v>
      </c>
    </row>
    <row r="51" spans="1:14">
      <c r="A51" s="1022" t="s">
        <v>216</v>
      </c>
      <c r="B51" s="767">
        <v>60</v>
      </c>
      <c r="C51" s="767">
        <f>GETPIVOTDATA("Počet z Předpokládaná hodnota VZ bez DPH",'Přehled 2020'!$A$3,"Druh VZ","ZPŘ")</f>
        <v>43</v>
      </c>
      <c r="D51" s="767">
        <f>GETPIVOTDATA("Počet z Smlouva podepsána",'Přehled 2020'!$A$3,"Druh VZ","ZPŘ")</f>
        <v>27</v>
      </c>
      <c r="E51" s="1198">
        <f>GETPIVOTDATA("Součet z Předpokládaná hodnota VZ bez DPH2",'Přehled 2020'!$A$3,"Druh VZ","ZPŘ")</f>
        <v>171209239.04000002</v>
      </c>
      <c r="F51" s="1198">
        <f>GETPIVOTDATA("Součet z Předpokládaná hodnota VZ bez DPH",'Úspory 2020'!$A$3,"Druh VZ","ZPŘ")</f>
        <v>96882992</v>
      </c>
      <c r="G51" s="1198">
        <f>GETPIVOTDATA("Součet z Vítězná cena bez DPH",'Úspory 2020'!$A$3,"Druh VZ","ZPŘ")</f>
        <v>94716474.089999989</v>
      </c>
      <c r="H51" s="1230">
        <f>F51-G51</f>
        <v>2166517.9100000113</v>
      </c>
      <c r="I51" s="1240">
        <f>100-(G51/F51*100)</f>
        <v>2.2362211006035011</v>
      </c>
      <c r="J51" s="1240">
        <f>D51/C51*100</f>
        <v>62.790697674418603</v>
      </c>
      <c r="K51" s="1240">
        <f>C51/B51*100</f>
        <v>71.666666666666671</v>
      </c>
      <c r="L51" s="767">
        <f>C51-C44</f>
        <v>-20</v>
      </c>
      <c r="M51" s="767">
        <f t="shared" si="13"/>
        <v>-5</v>
      </c>
      <c r="N51" s="1246">
        <f>G51-G44</f>
        <v>38828671.829999991</v>
      </c>
    </row>
    <row r="52" spans="1:14">
      <c r="A52" s="1968" t="s">
        <v>645</v>
      </c>
      <c r="B52" s="1969">
        <v>10</v>
      </c>
      <c r="C52" s="1969">
        <f>GETPIVOTDATA("Počet z Předpokládaná hodnota VZ bez DPH",'Přehled 2020'!$A$3,"Druh VZ","JŘBÚ")</f>
        <v>1</v>
      </c>
      <c r="D52" s="1969">
        <f>GETPIVOTDATA("Počet z Smlouva podepsána",'Přehled 2020'!$A$3,"Druh VZ","JŘBÚ")</f>
        <v>1</v>
      </c>
      <c r="E52" s="1970">
        <f>GETPIVOTDATA("Součet z Předpokládaná hodnota VZ bez DPH2",'Přehled 2020'!$A$3,"Druh VZ","JŘBÚ")</f>
        <v>4603306</v>
      </c>
      <c r="F52" s="1970">
        <f>GETPIVOTDATA("Součet z Předpokládaná hodnota VZ bez DPH",'Úspory 2020'!$A$3,"Druh VZ","JŘBÚ")</f>
        <v>4603306</v>
      </c>
      <c r="G52" s="1970">
        <f>GETPIVOTDATA("Součet z Vítězná cena bez DPH",'Úspory 2020'!$A$3,"Druh VZ","JŘBÚ")</f>
        <v>4569000</v>
      </c>
      <c r="H52" s="1971">
        <f>F52-G52</f>
        <v>34306</v>
      </c>
      <c r="I52" s="1972">
        <f>100-(G52/F52*100)</f>
        <v>0.74524700291486567</v>
      </c>
      <c r="J52" s="1972">
        <f>D52/C52*100</f>
        <v>100</v>
      </c>
      <c r="K52" s="1972">
        <f>C52/B52*100</f>
        <v>10</v>
      </c>
      <c r="L52" s="1969">
        <f>C52</f>
        <v>1</v>
      </c>
      <c r="M52" s="1969">
        <f>D52</f>
        <v>1</v>
      </c>
      <c r="N52" s="1973">
        <f>G52</f>
        <v>4569000</v>
      </c>
    </row>
    <row r="53" spans="1:14" ht="15.75" thickBot="1">
      <c r="A53" s="1220" t="s">
        <v>740</v>
      </c>
      <c r="B53" s="1241">
        <f t="shared" ref="B53:H53" si="14">SUM(B49:B52)</f>
        <v>920</v>
      </c>
      <c r="C53" s="1228">
        <f t="shared" si="14"/>
        <v>763</v>
      </c>
      <c r="D53" s="1228">
        <f t="shared" si="14"/>
        <v>488</v>
      </c>
      <c r="E53" s="1218">
        <f t="shared" si="14"/>
        <v>7116979487.7999992</v>
      </c>
      <c r="F53" s="1218">
        <f t="shared" si="14"/>
        <v>3788556699.8499999</v>
      </c>
      <c r="G53" s="1218">
        <f t="shared" si="14"/>
        <v>3628244317.4199996</v>
      </c>
      <c r="H53" s="1231">
        <f t="shared" si="14"/>
        <v>160312382.4300006</v>
      </c>
      <c r="I53" s="1242">
        <f>100-(G53/F53*100)</f>
        <v>4.2314895917051416</v>
      </c>
      <c r="J53" s="1242">
        <f>D53/C53*100</f>
        <v>63.958060288335517</v>
      </c>
      <c r="K53" s="1242">
        <f>C53/B53*100</f>
        <v>82.934782608695656</v>
      </c>
      <c r="L53" s="1228">
        <f>SUM(L49:L52)</f>
        <v>-151</v>
      </c>
      <c r="M53" s="1228">
        <f>SUM(M49:M52)</f>
        <v>12</v>
      </c>
      <c r="N53" s="1247">
        <f>SUM(N49:N52)</f>
        <v>1842057185.7970238</v>
      </c>
    </row>
    <row r="54" spans="1:14" ht="16.5" thickTop="1" thickBot="1"/>
    <row r="55" spans="1:14" ht="29.25" thickTop="1">
      <c r="A55" s="3436">
        <v>2021</v>
      </c>
      <c r="B55" s="3437"/>
      <c r="C55" s="3437"/>
      <c r="D55" s="3437"/>
      <c r="E55" s="3437"/>
      <c r="F55" s="3437"/>
      <c r="G55" s="3437"/>
      <c r="H55" s="3437"/>
      <c r="I55" s="3437"/>
      <c r="J55" s="3437"/>
      <c r="K55" s="3437"/>
      <c r="L55" s="3437"/>
      <c r="M55" s="3437"/>
      <c r="N55" s="3438"/>
    </row>
    <row r="56" spans="1:14" ht="82.5" customHeight="1">
      <c r="A56" s="2061" t="s">
        <v>9095</v>
      </c>
      <c r="B56" s="2062" t="s">
        <v>2618</v>
      </c>
      <c r="C56" s="2062" t="s">
        <v>2033</v>
      </c>
      <c r="D56" s="2062" t="s">
        <v>1495</v>
      </c>
      <c r="E56" s="2063" t="s">
        <v>2616</v>
      </c>
      <c r="F56" s="2063" t="s">
        <v>3018</v>
      </c>
      <c r="G56" s="2063" t="s">
        <v>2617</v>
      </c>
      <c r="H56" s="2063" t="s">
        <v>3326</v>
      </c>
      <c r="I56" s="2064" t="s">
        <v>3327</v>
      </c>
      <c r="J56" s="2064" t="s">
        <v>5969</v>
      </c>
      <c r="K56" s="2064" t="s">
        <v>2619</v>
      </c>
      <c r="L56" s="2064" t="s">
        <v>2620</v>
      </c>
      <c r="M56" s="2064" t="s">
        <v>2621</v>
      </c>
      <c r="N56" s="2065" t="s">
        <v>10543</v>
      </c>
    </row>
    <row r="57" spans="1:14">
      <c r="A57" s="2066" t="s">
        <v>251</v>
      </c>
      <c r="B57" s="2067">
        <v>510</v>
      </c>
      <c r="C57" s="2067">
        <f>GETPIVOTDATA("Počet z Předpokládaná hodnota VZ bez DPH",'Přehled 2021'!$A$3,"Druh VZ","OŘ")</f>
        <v>504</v>
      </c>
      <c r="D57" s="2067">
        <f>GETPIVOTDATA("Počet z Smlouva podepsána",'Přehled 2021'!$A$3,"Druh VZ","OŘ")</f>
        <v>258</v>
      </c>
      <c r="E57" s="2068">
        <f>GETPIVOTDATA("Součet z Předpokládaná hodnota VZ bez DPH2",'Přehled 2021'!$A$3,"Druh VZ","OŘ")</f>
        <v>6974920479.999999</v>
      </c>
      <c r="F57" s="2068">
        <f>GETPIVOTDATA("Součet z Předpokládaná hodnota VZ bez DPH",'Úspory 2021'!$A$3,"Druh VZ","OŘ")</f>
        <v>4151119758.9400001</v>
      </c>
      <c r="G57" s="2068">
        <f>GETPIVOTDATA("Součet z Vítězná cena bez DPH",'Úspory 2021'!$A$3,"Druh VZ","OŘ")</f>
        <v>3907599517.9060993</v>
      </c>
      <c r="H57" s="2068">
        <f>F57-G57</f>
        <v>243520241.03390074</v>
      </c>
      <c r="I57" s="2069">
        <f>100-(G57/F57*100)</f>
        <v>5.866374741645231</v>
      </c>
      <c r="J57" s="2069">
        <f>D57/C57*100</f>
        <v>51.19047619047619</v>
      </c>
      <c r="K57" s="2069">
        <f>C57/B57*100</f>
        <v>98.82352941176471</v>
      </c>
      <c r="L57" s="2067">
        <f>C57-C49</f>
        <v>3</v>
      </c>
      <c r="M57" s="2067">
        <f t="shared" ref="M57:M59" si="15">D57-D49</f>
        <v>-49</v>
      </c>
      <c r="N57" s="2070">
        <f>G57-G49</f>
        <v>528788684.57609987</v>
      </c>
    </row>
    <row r="58" spans="1:14">
      <c r="A58" s="2066" t="s">
        <v>112</v>
      </c>
      <c r="B58" s="2067">
        <v>220</v>
      </c>
      <c r="C58" s="2067">
        <f>GETPIVOTDATA("Počet z Předpokládaná hodnota VZ bez DPH",'Přehled 2021'!$A$3,"Druh VZ","VZMR")</f>
        <v>286</v>
      </c>
      <c r="D58" s="2067">
        <f>GETPIVOTDATA("Počet z Smlouva podepsána",'Přehled 2021'!$A$3,"Druh VZ","VZMR")</f>
        <v>183</v>
      </c>
      <c r="E58" s="2068">
        <f>GETPIVOTDATA("Součet z Předpokládaná hodnota VZ bez DPH2",'Přehled 2021'!$A$3,"Druh VZ","VZMR")</f>
        <v>226287791.37</v>
      </c>
      <c r="F58" s="2068">
        <f>GETPIVOTDATA("Součet z Předpokládaná hodnota VZ bez DPH",'Úspory 2021'!$A$3,"Druh VZ","VZMR")</f>
        <v>149966207.36999997</v>
      </c>
      <c r="G58" s="2068">
        <f>GETPIVOTDATA("Součet z Vítězná cena bez DPH",'Úspory 2021'!$A$3,"Druh VZ","VZMR")</f>
        <v>136766911.90000001</v>
      </c>
      <c r="H58" s="2068">
        <f>F58-G58</f>
        <v>13199295.469999969</v>
      </c>
      <c r="I58" s="2069">
        <f>100-(G58/F58*100)</f>
        <v>8.8015131551832724</v>
      </c>
      <c r="J58" s="2069">
        <f>D58/C58*100</f>
        <v>63.986013986013987</v>
      </c>
      <c r="K58" s="2069">
        <f>C58/B58*100</f>
        <v>130</v>
      </c>
      <c r="L58" s="2067">
        <f>C58-C50</f>
        <v>68</v>
      </c>
      <c r="M58" s="2067">
        <f t="shared" si="15"/>
        <v>30</v>
      </c>
      <c r="N58" s="2070">
        <f>G58-G50</f>
        <v>-13381098.099999964</v>
      </c>
    </row>
    <row r="59" spans="1:14">
      <c r="A59" s="2066" t="s">
        <v>216</v>
      </c>
      <c r="B59" s="2067">
        <v>45</v>
      </c>
      <c r="C59" s="2067">
        <f>GETPIVOTDATA("Počet z Předpokládaná hodnota VZ bez DPH",'Přehled 2021'!$A$3,"Druh VZ","ZPŘ")</f>
        <v>77</v>
      </c>
      <c r="D59" s="2067">
        <f>GETPIVOTDATA("Počet z Smlouva podepsána",'Přehled 2021'!$A$3,"Druh VZ","ZPŘ")</f>
        <v>48</v>
      </c>
      <c r="E59" s="2068">
        <f>GETPIVOTDATA("Součet z Předpokládaná hodnota VZ bez DPH2",'Přehled 2021'!$A$3,"Druh VZ","ZPŘ")</f>
        <v>385488771</v>
      </c>
      <c r="F59" s="2068">
        <f>GETPIVOTDATA("Součet z Předpokládaná hodnota VZ bez DPH",'Úspory 2021'!$A$3,"Druh VZ","ZPŘ")</f>
        <v>221564955</v>
      </c>
      <c r="G59" s="2068">
        <f>GETPIVOTDATA("Součet z Vítězná cena bez DPH",'Úspory 2021'!$A$3,"Druh VZ","ZPŘ")</f>
        <v>196871187.78999999</v>
      </c>
      <c r="H59" s="2068">
        <f>F59-G59</f>
        <v>24693767.210000008</v>
      </c>
      <c r="I59" s="2069">
        <f>100-(G59/F59*100)</f>
        <v>11.145159310054254</v>
      </c>
      <c r="J59" s="2069">
        <f>D59/C59*100</f>
        <v>62.337662337662337</v>
      </c>
      <c r="K59" s="2069">
        <f>C59/B59*100</f>
        <v>171.11111111111111</v>
      </c>
      <c r="L59" s="2067">
        <f>C59-C51</f>
        <v>34</v>
      </c>
      <c r="M59" s="2067">
        <f t="shared" si="15"/>
        <v>21</v>
      </c>
      <c r="N59" s="2070">
        <f>G59-G51</f>
        <v>102154713.7</v>
      </c>
    </row>
    <row r="60" spans="1:14">
      <c r="A60" s="1968" t="s">
        <v>645</v>
      </c>
      <c r="B60" s="1969">
        <v>1</v>
      </c>
      <c r="C60" s="1969">
        <v>1</v>
      </c>
      <c r="D60" s="1969">
        <f>GETPIVOTDATA("Počet z Smlouva podepsána",'Přehled 2021'!$A$3,"Druh VZ","JŘBU")</f>
        <v>0</v>
      </c>
      <c r="E60" s="2427">
        <f>GETPIVOTDATA("Součet z Předpokládaná hodnota VZ bez DPH2",'Přehled 2021'!$A$3,"Druh VZ","JŘBU")</f>
        <v>32332000</v>
      </c>
      <c r="F60" s="2427"/>
      <c r="G60" s="2427"/>
      <c r="H60" s="2427">
        <f>F60-G60</f>
        <v>0</v>
      </c>
      <c r="I60" s="1972" t="e">
        <f>100-(G60/F60*100)</f>
        <v>#DIV/0!</v>
      </c>
      <c r="J60" s="1972">
        <f>D60/C60*100</f>
        <v>0</v>
      </c>
      <c r="K60" s="1972">
        <f>C60/B60*100</f>
        <v>100</v>
      </c>
      <c r="L60" s="1969">
        <f>C60-C52</f>
        <v>0</v>
      </c>
      <c r="M60" s="1969">
        <f>D60-D52</f>
        <v>-1</v>
      </c>
      <c r="N60" s="2428">
        <f>G60-G52</f>
        <v>-4569000</v>
      </c>
    </row>
    <row r="61" spans="1:14" ht="15.75" thickBot="1">
      <c r="A61" s="2071" t="s">
        <v>740</v>
      </c>
      <c r="B61" s="2096">
        <f t="shared" ref="B61:H61" si="16">SUM(B57:B60)</f>
        <v>776</v>
      </c>
      <c r="C61" s="2096">
        <f t="shared" si="16"/>
        <v>868</v>
      </c>
      <c r="D61" s="2096">
        <f t="shared" si="16"/>
        <v>489</v>
      </c>
      <c r="E61" s="2097">
        <f t="shared" si="16"/>
        <v>7619029042.3699989</v>
      </c>
      <c r="F61" s="2097">
        <f t="shared" si="16"/>
        <v>4522650921.3100004</v>
      </c>
      <c r="G61" s="2097">
        <f t="shared" si="16"/>
        <v>4241237617.5960994</v>
      </c>
      <c r="H61" s="2097">
        <f t="shared" si="16"/>
        <v>281413303.71390069</v>
      </c>
      <c r="I61" s="2098">
        <f>100-(G61/F61*100)</f>
        <v>6.2223087434833246</v>
      </c>
      <c r="J61" s="2098">
        <f>D61/C61*100</f>
        <v>56.336405529953915</v>
      </c>
      <c r="K61" s="2098">
        <f>C61/B61*100</f>
        <v>111.85567010309279</v>
      </c>
      <c r="L61" s="2096">
        <f>SUM(L57:L60)</f>
        <v>105</v>
      </c>
      <c r="M61" s="2096">
        <f>SUM(M57:M60)</f>
        <v>1</v>
      </c>
      <c r="N61" s="2099">
        <f>SUM(N57:N60)</f>
        <v>612993300.1760999</v>
      </c>
    </row>
    <row r="62" spans="1:14" ht="9.75" customHeight="1" thickTop="1" thickBot="1"/>
    <row r="63" spans="1:14" ht="29.25" thickTop="1">
      <c r="A63" s="3436">
        <v>2022</v>
      </c>
      <c r="B63" s="3437"/>
      <c r="C63" s="3437"/>
      <c r="D63" s="3437"/>
      <c r="E63" s="3437"/>
      <c r="F63" s="3437"/>
      <c r="G63" s="3437"/>
      <c r="H63" s="3437"/>
      <c r="I63" s="3437"/>
      <c r="J63" s="3437"/>
      <c r="K63" s="3437"/>
      <c r="L63" s="3437"/>
      <c r="M63" s="3437"/>
      <c r="N63" s="3438"/>
    </row>
    <row r="64" spans="1:14" ht="87" customHeight="1">
      <c r="A64" s="2061" t="s">
        <v>9095</v>
      </c>
      <c r="B64" s="2062" t="s">
        <v>2618</v>
      </c>
      <c r="C64" s="2062" t="s">
        <v>2033</v>
      </c>
      <c r="D64" s="2062" t="s">
        <v>1495</v>
      </c>
      <c r="E64" s="2063" t="s">
        <v>2616</v>
      </c>
      <c r="F64" s="2063" t="s">
        <v>3018</v>
      </c>
      <c r="G64" s="2063" t="s">
        <v>2617</v>
      </c>
      <c r="H64" s="2063" t="s">
        <v>3326</v>
      </c>
      <c r="I64" s="2064" t="s">
        <v>3327</v>
      </c>
      <c r="J64" s="2064" t="s">
        <v>5969</v>
      </c>
      <c r="K64" s="2064" t="s">
        <v>2619</v>
      </c>
      <c r="L64" s="2064" t="s">
        <v>2620</v>
      </c>
      <c r="M64" s="2064" t="s">
        <v>2621</v>
      </c>
      <c r="N64" s="2065" t="s">
        <v>10543</v>
      </c>
    </row>
    <row r="65" spans="1:14">
      <c r="A65" s="2066" t="s">
        <v>251</v>
      </c>
      <c r="B65" s="2067">
        <v>520</v>
      </c>
      <c r="C65" s="2067">
        <f>GETPIVOTDATA("Počet z Předpokládaná hodnota VZ bez DPH",'Přehled 2022'!$A$3,"Druh VZ","OŘ")</f>
        <v>724</v>
      </c>
      <c r="D65" s="2067">
        <f>GETPIVOTDATA("Počet z Smlouva podepsána",'Přehled 2022'!$A$3,"Druh VZ","OŘ")</f>
        <v>469</v>
      </c>
      <c r="E65" s="2068">
        <f>GETPIVOTDATA("Součet z Předpokládaná hodnota VZ bez DPH",'Přehled 2022'!$A$3,"Druh VZ","OŘ")</f>
        <v>9542186282.5100002</v>
      </c>
      <c r="F65" s="2068">
        <f>GETPIVOTDATA("Součet z Předpokládaná hodnota VZ bez DPH",'Úspory 2022'!$A$3,"Druh VZ","OŘ")</f>
        <v>5612779496.1799994</v>
      </c>
      <c r="G65" s="2068">
        <f>GETPIVOTDATA("Součet z Vítězná cena bez DPH",'Úspory 2022'!$A$3,"Druh VZ","OŘ")</f>
        <v>5402941884.0399981</v>
      </c>
      <c r="H65" s="2068">
        <f>F65-G65</f>
        <v>209837612.1400013</v>
      </c>
      <c r="I65" s="2069">
        <f t="shared" ref="I65:I70" si="17">100-(G65/F65*100)</f>
        <v>3.7385686054977754</v>
      </c>
      <c r="J65" s="2069">
        <f t="shared" ref="J65:J70" si="18">D65/C65*100</f>
        <v>64.779005524861873</v>
      </c>
      <c r="K65" s="2069">
        <f t="shared" ref="K65:K70" si="19">C65/B65*100</f>
        <v>139.23076923076923</v>
      </c>
      <c r="L65" s="2067">
        <f>C65-C57</f>
        <v>220</v>
      </c>
      <c r="M65" s="2067">
        <f t="shared" ref="M65:M67" si="20">D65-D57</f>
        <v>211</v>
      </c>
      <c r="N65" s="2070">
        <f>G65-G57</f>
        <v>1495342366.1338987</v>
      </c>
    </row>
    <row r="66" spans="1:14">
      <c r="A66" s="2066" t="s">
        <v>112</v>
      </c>
      <c r="B66" s="2067">
        <v>280</v>
      </c>
      <c r="C66" s="2067">
        <f>GETPIVOTDATA("Počet z Předpokládaná hodnota VZ bez DPH",'Přehled 2022'!$A$3,"Druh VZ","VZMR")</f>
        <v>234</v>
      </c>
      <c r="D66" s="2067">
        <f>GETPIVOTDATA("Počet z Smlouva podepsána",'Přehled 2022'!$A$3,"Druh VZ","VZMR")</f>
        <v>185</v>
      </c>
      <c r="E66" s="2068">
        <f>GETPIVOTDATA("Součet z Předpokládaná hodnota VZ bez DPH",'Přehled 2022'!$A$3,"Druh VZ","VZMR")</f>
        <v>186692987.40000001</v>
      </c>
      <c r="F66" s="2068">
        <f>GETPIVOTDATA("Součet z Předpokládaná hodnota VZ bez DPH",'Úspory 2022'!$A$3,"Druh VZ","VZMR")</f>
        <v>139578815</v>
      </c>
      <c r="G66" s="2068">
        <f>GETPIVOTDATA("Součet z Vítězná cena bez DPH",'Úspory 2022'!$A$3,"Druh VZ","VZMR")</f>
        <v>132957009.55999999</v>
      </c>
      <c r="H66" s="2068">
        <f>F66-G66</f>
        <v>6621805.4400000125</v>
      </c>
      <c r="I66" s="2069">
        <f t="shared" si="17"/>
        <v>4.7441335850286492</v>
      </c>
      <c r="J66" s="2069">
        <f t="shared" si="18"/>
        <v>79.059829059829056</v>
      </c>
      <c r="K66" s="2069">
        <f t="shared" si="19"/>
        <v>83.571428571428569</v>
      </c>
      <c r="L66" s="2067">
        <f>C66-C58</f>
        <v>-52</v>
      </c>
      <c r="M66" s="2067">
        <f t="shared" si="20"/>
        <v>2</v>
      </c>
      <c r="N66" s="2070">
        <f>G66-G58</f>
        <v>-3809902.3400000185</v>
      </c>
    </row>
    <row r="67" spans="1:14">
      <c r="A67" s="2066" t="s">
        <v>216</v>
      </c>
      <c r="B67" s="2067">
        <v>75</v>
      </c>
      <c r="C67" s="2067">
        <f>GETPIVOTDATA("Počet z Předpokládaná hodnota VZ bez DPH",'Přehled 2022'!$A$3,"Druh VZ","ZPŘ")</f>
        <v>77</v>
      </c>
      <c r="D67" s="2067">
        <f>GETPIVOTDATA("Počet z Smlouva podepsána",'Přehled 2022'!$A$3,"Druh VZ","ZPŘ")</f>
        <v>49</v>
      </c>
      <c r="E67" s="2068">
        <f>GETPIVOTDATA("Součet z Předpokládaná hodnota VZ bez DPH",'Přehled 2022'!$A$3,"Druh VZ","ZPŘ")</f>
        <v>240383569.38</v>
      </c>
      <c r="F67" s="2068">
        <f>GETPIVOTDATA("Součet z Předpokládaná hodnota VZ bez DPH",'Úspory 2022'!$A$3,"Druh VZ","ZPŘ")</f>
        <v>182490956.38</v>
      </c>
      <c r="G67" s="2068">
        <f>GETPIVOTDATA("Součet z Vítězná cena bez DPH",'Úspory 2022'!$A$3,"Druh VZ","ZPŘ")</f>
        <v>185755693.65000004</v>
      </c>
      <c r="H67" s="2068">
        <f>F67-G67</f>
        <v>-3264737.2700000405</v>
      </c>
      <c r="I67" s="2069">
        <f t="shared" si="17"/>
        <v>-1.7889857857952762</v>
      </c>
      <c r="J67" s="2069">
        <f t="shared" si="18"/>
        <v>63.636363636363633</v>
      </c>
      <c r="K67" s="2069">
        <f t="shared" si="19"/>
        <v>102.66666666666666</v>
      </c>
      <c r="L67" s="2067">
        <f>C67-C59</f>
        <v>0</v>
      </c>
      <c r="M67" s="2067">
        <f t="shared" si="20"/>
        <v>1</v>
      </c>
      <c r="N67" s="2070">
        <f>G67-G59</f>
        <v>-11115494.139999956</v>
      </c>
    </row>
    <row r="68" spans="1:14">
      <c r="A68" s="1968" t="s">
        <v>645</v>
      </c>
      <c r="B68" s="1969">
        <v>2</v>
      </c>
      <c r="C68" s="1969">
        <f>GETPIVOTDATA("Počet z Předpokládaná hodnota VZ bez DPH",'Přehled 2022'!$A$3,"Druh VZ","JŘBU")</f>
        <v>2</v>
      </c>
      <c r="D68" s="1969">
        <f>GETPIVOTDATA("Počet z Smlouva podepsána",'Přehled 2022'!$A$3,"Druh VZ","JŘBU")</f>
        <v>2</v>
      </c>
      <c r="E68" s="2427">
        <f>GETPIVOTDATA("Součet z Předpokládaná hodnota VZ bez DPH",'Přehled 2022'!$A$3,"Druh VZ","JŘBU")</f>
        <v>38853834</v>
      </c>
      <c r="F68" s="2427">
        <f>GETPIVOTDATA("Součet z Předpokládaná hodnota VZ bez DPH",'Úspory 2022'!$A$3,"Druh VZ","JŘBU")</f>
        <v>38853834</v>
      </c>
      <c r="G68" s="2427">
        <f>GETPIVOTDATA("Součet z Vítězná cena bez DPH",'Úspory 2022'!$A$3,"Druh VZ","JŘBU")</f>
        <v>38853834</v>
      </c>
      <c r="H68" s="2427">
        <f>F68-G68</f>
        <v>0</v>
      </c>
      <c r="I68" s="1972">
        <f t="shared" si="17"/>
        <v>0</v>
      </c>
      <c r="J68" s="1972">
        <f t="shared" si="18"/>
        <v>100</v>
      </c>
      <c r="K68" s="1972">
        <f t="shared" si="19"/>
        <v>100</v>
      </c>
      <c r="L68" s="1969">
        <f>C68-C60</f>
        <v>1</v>
      </c>
      <c r="M68" s="1969">
        <f>D68-D60</f>
        <v>2</v>
      </c>
      <c r="N68" s="2428">
        <f>G68-G60</f>
        <v>38853834</v>
      </c>
    </row>
    <row r="69" spans="1:14">
      <c r="A69" s="1968" t="s">
        <v>235</v>
      </c>
      <c r="B69" s="1969">
        <v>1</v>
      </c>
      <c r="C69" s="1969">
        <v>1</v>
      </c>
      <c r="D69" s="1969">
        <f>GETPIVOTDATA("Počet z Smlouva podepsána",'Přehled 2022'!$A$3,"Druh VZ","DNS")</f>
        <v>1</v>
      </c>
      <c r="E69" s="2427">
        <f>GETPIVOTDATA("Součet z Předpokládaná hodnota VZ bez DPH",'Přehled 2022'!$A$3,"Druh VZ","DNS")</f>
        <v>240000</v>
      </c>
      <c r="F69" s="2427">
        <f>GETPIVOTDATA("Součet z Předpokládaná hodnota VZ bez DPH",'Úspory 2022'!$A$3,"Druh VZ","DNS")</f>
        <v>240000</v>
      </c>
      <c r="G69" s="2427">
        <f>GETPIVOTDATA("Součet z Vítězná cena bez DPH",'Úspory 2022'!$A$3,"Druh VZ","DNS")</f>
        <v>164000</v>
      </c>
      <c r="H69" s="2427">
        <f>F69-G69</f>
        <v>76000</v>
      </c>
      <c r="I69" s="1972">
        <f t="shared" si="17"/>
        <v>31.666666666666671</v>
      </c>
      <c r="J69" s="1972">
        <f t="shared" si="18"/>
        <v>100</v>
      </c>
      <c r="K69" s="1972">
        <f t="shared" si="19"/>
        <v>100</v>
      </c>
      <c r="L69" s="1969">
        <f>C69-0</f>
        <v>1</v>
      </c>
      <c r="M69" s="1969">
        <f>D69-0</f>
        <v>1</v>
      </c>
      <c r="N69" s="2428">
        <f>G69-0</f>
        <v>164000</v>
      </c>
    </row>
    <row r="70" spans="1:14" ht="15.75" thickBot="1">
      <c r="A70" s="2071" t="s">
        <v>740</v>
      </c>
      <c r="B70" s="2096">
        <f t="shared" ref="B70:H70" si="21">SUM(B65:B69)</f>
        <v>878</v>
      </c>
      <c r="C70" s="2096">
        <f t="shared" si="21"/>
        <v>1038</v>
      </c>
      <c r="D70" s="2096">
        <f t="shared" si="21"/>
        <v>706</v>
      </c>
      <c r="E70" s="2097">
        <f t="shared" si="21"/>
        <v>10008356673.289999</v>
      </c>
      <c r="F70" s="2097">
        <f t="shared" si="21"/>
        <v>5973943101.5599995</v>
      </c>
      <c r="G70" s="2097">
        <f t="shared" si="21"/>
        <v>5760672421.2499981</v>
      </c>
      <c r="H70" s="2097">
        <f t="shared" si="21"/>
        <v>213270680.31000125</v>
      </c>
      <c r="I70" s="2098">
        <f t="shared" si="17"/>
        <v>3.5700152593403374</v>
      </c>
      <c r="J70" s="2098">
        <f t="shared" si="18"/>
        <v>68.015414258188827</v>
      </c>
      <c r="K70" s="2098">
        <f t="shared" si="19"/>
        <v>118.22323462414579</v>
      </c>
      <c r="L70" s="2096">
        <f>SUM(L65:L69)</f>
        <v>170</v>
      </c>
      <c r="M70" s="2096">
        <f>SUM(M65:M69)</f>
        <v>217</v>
      </c>
      <c r="N70" s="2099">
        <f>SUM(N65:N69)</f>
        <v>1519434803.653899</v>
      </c>
    </row>
    <row r="71" spans="1:14" ht="9.75" customHeight="1" thickTop="1" thickBot="1"/>
    <row r="72" spans="1:14" ht="29.25" thickTop="1">
      <c r="A72" s="3436">
        <v>2023</v>
      </c>
      <c r="B72" s="3437"/>
      <c r="C72" s="3437"/>
      <c r="D72" s="3437"/>
      <c r="E72" s="3437"/>
      <c r="F72" s="3437"/>
      <c r="G72" s="3437"/>
      <c r="H72" s="3437"/>
      <c r="I72" s="3437"/>
      <c r="J72" s="3437"/>
      <c r="K72" s="3437"/>
      <c r="L72" s="3437"/>
      <c r="M72" s="3437"/>
      <c r="N72" s="3438"/>
    </row>
    <row r="73" spans="1:14" ht="75">
      <c r="A73" s="2061" t="s">
        <v>9095</v>
      </c>
      <c r="B73" s="2062" t="s">
        <v>2618</v>
      </c>
      <c r="C73" s="2062" t="s">
        <v>2033</v>
      </c>
      <c r="D73" s="2062" t="s">
        <v>1495</v>
      </c>
      <c r="E73" s="2063" t="s">
        <v>2616</v>
      </c>
      <c r="F73" s="2063" t="s">
        <v>3018</v>
      </c>
      <c r="G73" s="2063" t="s">
        <v>2617</v>
      </c>
      <c r="H73" s="2063" t="s">
        <v>3326</v>
      </c>
      <c r="I73" s="2064" t="s">
        <v>3327</v>
      </c>
      <c r="J73" s="2064" t="s">
        <v>5969</v>
      </c>
      <c r="K73" s="2064" t="s">
        <v>2619</v>
      </c>
      <c r="L73" s="2064" t="s">
        <v>2620</v>
      </c>
      <c r="M73" s="2064" t="s">
        <v>2621</v>
      </c>
      <c r="N73" s="2065" t="s">
        <v>10543</v>
      </c>
    </row>
    <row r="74" spans="1:14">
      <c r="A74" s="2066" t="s">
        <v>251</v>
      </c>
      <c r="B74" s="2067">
        <v>700</v>
      </c>
      <c r="C74" s="2067">
        <f>GETPIVOTDATA("Počet z Předpokládaná hodnota VZ bez DPH",'Přehled 2023'!$A$3,"Druh VZ","OŘ")</f>
        <v>618</v>
      </c>
      <c r="D74" s="2067">
        <f>GETPIVOTDATA("Počet z Smlouva podepsána",'Přehled 2023'!$A$3,"Druh VZ","OŘ")</f>
        <v>470</v>
      </c>
      <c r="E74" s="2068">
        <f>GETPIVOTDATA("Součet z Předpokládaná hodnota VZ bez DPH",'Přehled 2023'!$A$3,"Druh VZ","OŘ")</f>
        <v>11909867122.950001</v>
      </c>
      <c r="F74" s="2068">
        <f>GETPIVOTDATA("Součet z Předpokládaná hodnota VZ bez DPH",'Úspory 2023'!$A$3,"Druh VZ","OŘ")</f>
        <v>6843806867.5500002</v>
      </c>
      <c r="G74" s="2068">
        <f>GETPIVOTDATA("Součet z Vítězná cena bez DPH",'Úspory 2023'!$A$3,"Druh VZ","OŘ")</f>
        <v>6343671068.3400002</v>
      </c>
      <c r="H74" s="2068">
        <f>F74-G74</f>
        <v>500135799.21000004</v>
      </c>
      <c r="I74" s="2069">
        <f>100-(G74/F74*100)</f>
        <v>7.3078596297245042</v>
      </c>
      <c r="J74" s="2069">
        <f t="shared" ref="J74:J79" si="22">D74/C74*100</f>
        <v>76.051779935275079</v>
      </c>
      <c r="K74" s="2069">
        <f t="shared" ref="K74:K79" si="23">C74/B74*100</f>
        <v>88.285714285714292</v>
      </c>
      <c r="L74" s="2067">
        <f>C74-C65</f>
        <v>-106</v>
      </c>
      <c r="M74" s="2067">
        <f t="shared" ref="M74:M78" si="24">D74-D65</f>
        <v>1</v>
      </c>
      <c r="N74" s="2070">
        <f>G74-G65</f>
        <v>940729184.3000021</v>
      </c>
    </row>
    <row r="75" spans="1:14">
      <c r="A75" s="2066" t="s">
        <v>112</v>
      </c>
      <c r="B75" s="2067">
        <v>230</v>
      </c>
      <c r="C75" s="2067">
        <f>GETPIVOTDATA("Počet z Předpokládaná hodnota VZ bez DPH",'Přehled 2023'!$A$3,"Druh VZ","VZMR")</f>
        <v>235</v>
      </c>
      <c r="D75" s="2067">
        <f>GETPIVOTDATA("Počet z Smlouva podepsána",'Přehled 2023'!$A$3,"Druh VZ","VZMR")</f>
        <v>212</v>
      </c>
      <c r="E75" s="2068">
        <f>GETPIVOTDATA("Součet z Předpokládaná hodnota VZ bez DPH",'Přehled 2023'!$A$3,"Druh VZ","VZMR")</f>
        <v>216583954.41</v>
      </c>
      <c r="F75" s="2068">
        <f>GETPIVOTDATA("Součet z Předpokládaná hodnota VZ bez DPH",'Úspory 2023'!$A$3,"Druh VZ","VZMR")</f>
        <v>196899316.41</v>
      </c>
      <c r="G75" s="2068">
        <f>GETPIVOTDATA("Součet z Vítězná cena bez DPH",'Úspory 2023'!$A$3,"Druh VZ","VZMR")</f>
        <v>178481165.09999999</v>
      </c>
      <c r="H75" s="2068">
        <f>F75-G75</f>
        <v>18418151.310000002</v>
      </c>
      <c r="I75" s="2069">
        <f t="shared" ref="I75:I79" si="25">100-(G75/F75*100)</f>
        <v>9.354096116640747</v>
      </c>
      <c r="J75" s="2069">
        <f t="shared" si="22"/>
        <v>90.212765957446805</v>
      </c>
      <c r="K75" s="2069">
        <f t="shared" si="23"/>
        <v>102.17391304347827</v>
      </c>
      <c r="L75" s="2067">
        <f>C75-C66</f>
        <v>1</v>
      </c>
      <c r="M75" s="2067">
        <f t="shared" si="24"/>
        <v>27</v>
      </c>
      <c r="N75" s="2070">
        <f>G75-G66</f>
        <v>45524155.540000007</v>
      </c>
    </row>
    <row r="76" spans="1:14">
      <c r="A76" s="2066" t="s">
        <v>216</v>
      </c>
      <c r="B76" s="2067">
        <v>75</v>
      </c>
      <c r="C76" s="2067">
        <f>GETPIVOTDATA("Počet z Předpokládaná hodnota VZ bez DPH",'Přehled 2023'!$A$3,"Druh VZ","ZPŘ")</f>
        <v>58</v>
      </c>
      <c r="D76" s="2067">
        <f>GETPIVOTDATA("Počet z Smlouva podepsána",'Přehled 2023'!$A$3,"Druh VZ","ZPŘ")</f>
        <v>48</v>
      </c>
      <c r="E76" s="2068">
        <f>GETPIVOTDATA("Součet z Předpokládaná hodnota VZ bez DPH",'Přehled 2023'!$A$3,"Druh VZ","ZPŘ")</f>
        <v>206329311</v>
      </c>
      <c r="F76" s="2068">
        <f>GETPIVOTDATA("Součet z Předpokládaná hodnota VZ bez DPH",'Úspory 2023'!$A$3,"Druh VZ","ZPŘ")</f>
        <v>189562706</v>
      </c>
      <c r="G76" s="2068">
        <f>GETPIVOTDATA("Součet z Vítězná cena bez DPH",'Úspory 2023'!$A$3,"Druh VZ","ZPŘ")</f>
        <v>149696666.44999996</v>
      </c>
      <c r="H76" s="2068">
        <f>F76-G76</f>
        <v>39866039.550000042</v>
      </c>
      <c r="I76" s="2069">
        <f t="shared" si="25"/>
        <v>21.030528837249264</v>
      </c>
      <c r="J76" s="2069">
        <f t="shared" si="22"/>
        <v>82.758620689655174</v>
      </c>
      <c r="K76" s="2069">
        <f t="shared" si="23"/>
        <v>77.333333333333329</v>
      </c>
      <c r="L76" s="2067">
        <f>C76-C67</f>
        <v>-19</v>
      </c>
      <c r="M76" s="2067">
        <f t="shared" si="24"/>
        <v>-1</v>
      </c>
      <c r="N76" s="2070">
        <f>G76-G67</f>
        <v>-36059027.200000077</v>
      </c>
    </row>
    <row r="77" spans="1:14">
      <c r="A77" s="1968" t="s">
        <v>645</v>
      </c>
      <c r="B77" s="1969">
        <v>2</v>
      </c>
      <c r="C77" s="1969"/>
      <c r="D77" s="1969"/>
      <c r="E77" s="2427"/>
      <c r="F77" s="2427"/>
      <c r="G77" s="2427"/>
      <c r="H77" s="2427">
        <f>F77-G77</f>
        <v>0</v>
      </c>
      <c r="I77" s="1972" t="e">
        <f t="shared" si="25"/>
        <v>#DIV/0!</v>
      </c>
      <c r="J77" s="1972" t="e">
        <f t="shared" si="22"/>
        <v>#DIV/0!</v>
      </c>
      <c r="K77" s="1972">
        <f t="shared" si="23"/>
        <v>0</v>
      </c>
      <c r="L77" s="1969">
        <f>C77-C68</f>
        <v>-2</v>
      </c>
      <c r="M77" s="1969">
        <f t="shared" si="24"/>
        <v>-2</v>
      </c>
      <c r="N77" s="2428">
        <f>G77-G68</f>
        <v>-38853834</v>
      </c>
    </row>
    <row r="78" spans="1:14">
      <c r="A78" s="1968" t="s">
        <v>235</v>
      </c>
      <c r="B78" s="1969">
        <v>10</v>
      </c>
      <c r="C78" s="1969"/>
      <c r="D78" s="1969"/>
      <c r="E78" s="2427"/>
      <c r="F78" s="2427"/>
      <c r="G78" s="2427"/>
      <c r="H78" s="2427">
        <f>F78-G78</f>
        <v>0</v>
      </c>
      <c r="I78" s="1972" t="e">
        <f t="shared" si="25"/>
        <v>#DIV/0!</v>
      </c>
      <c r="J78" s="1972" t="e">
        <f t="shared" si="22"/>
        <v>#DIV/0!</v>
      </c>
      <c r="K78" s="1972">
        <f t="shared" si="23"/>
        <v>0</v>
      </c>
      <c r="L78" s="1969">
        <f>C78-C69</f>
        <v>-1</v>
      </c>
      <c r="M78" s="1969">
        <f t="shared" si="24"/>
        <v>-1</v>
      </c>
      <c r="N78" s="2428">
        <f>G78-G69</f>
        <v>-164000</v>
      </c>
    </row>
    <row r="79" spans="1:14" ht="15.75" thickBot="1">
      <c r="A79" s="2071" t="s">
        <v>740</v>
      </c>
      <c r="B79" s="2096">
        <f t="shared" ref="B79:H79" si="26">SUM(B74:B78)</f>
        <v>1017</v>
      </c>
      <c r="C79" s="2096">
        <f t="shared" si="26"/>
        <v>911</v>
      </c>
      <c r="D79" s="2096">
        <f t="shared" si="26"/>
        <v>730</v>
      </c>
      <c r="E79" s="2097">
        <f t="shared" si="26"/>
        <v>12332780388.360001</v>
      </c>
      <c r="F79" s="2097">
        <f t="shared" si="26"/>
        <v>7230268889.96</v>
      </c>
      <c r="G79" s="2097">
        <f t="shared" si="26"/>
        <v>6671848899.8900003</v>
      </c>
      <c r="H79" s="2097">
        <f t="shared" si="26"/>
        <v>558419990.07000005</v>
      </c>
      <c r="I79" s="2098">
        <f t="shared" si="25"/>
        <v>7.7233640763405873</v>
      </c>
      <c r="J79" s="2098">
        <f t="shared" si="22"/>
        <v>80.131723380900112</v>
      </c>
      <c r="K79" s="2098">
        <f t="shared" si="23"/>
        <v>89.577187807276303</v>
      </c>
      <c r="L79" s="2096">
        <f>SUM(L74:L78)</f>
        <v>-127</v>
      </c>
      <c r="M79" s="2096">
        <f>SUM(M74:M78)</f>
        <v>24</v>
      </c>
      <c r="N79" s="2099">
        <f>SUM(N74:N78)</f>
        <v>911176478.64000201</v>
      </c>
    </row>
    <row r="80" spans="1:14" ht="16.5" thickTop="1" thickBot="1"/>
    <row r="81" spans="1:14" ht="29.25" thickTop="1">
      <c r="A81" s="3457">
        <v>2024</v>
      </c>
      <c r="B81" s="3458"/>
      <c r="C81" s="3458"/>
      <c r="D81" s="3458"/>
      <c r="E81" s="3458"/>
      <c r="F81" s="3458"/>
      <c r="G81" s="3458"/>
      <c r="H81" s="3458"/>
      <c r="I81" s="3458"/>
      <c r="J81" s="3458"/>
      <c r="K81" s="3458"/>
      <c r="L81" s="3459"/>
      <c r="M81" s="2994"/>
      <c r="N81" s="2995"/>
    </row>
    <row r="82" spans="1:14" ht="90">
      <c r="A82" s="2061" t="s">
        <v>9095</v>
      </c>
      <c r="B82" s="2062" t="s">
        <v>2618</v>
      </c>
      <c r="C82" s="2062" t="s">
        <v>2033</v>
      </c>
      <c r="D82" s="2062" t="s">
        <v>16503</v>
      </c>
      <c r="E82" s="2062" t="s">
        <v>1495</v>
      </c>
      <c r="F82" s="2063" t="s">
        <v>2616</v>
      </c>
      <c r="G82" s="2063" t="s">
        <v>3018</v>
      </c>
      <c r="H82" s="2063" t="s">
        <v>2617</v>
      </c>
      <c r="I82" s="2063" t="s">
        <v>3326</v>
      </c>
      <c r="J82" s="2064" t="s">
        <v>3327</v>
      </c>
      <c r="K82" s="2064" t="s">
        <v>5969</v>
      </c>
      <c r="L82" s="2990" t="s">
        <v>2619</v>
      </c>
      <c r="M82" s="2996"/>
      <c r="N82" s="2997"/>
    </row>
    <row r="83" spans="1:14">
      <c r="A83" s="2066" t="s">
        <v>251</v>
      </c>
      <c r="B83" s="2067">
        <v>250</v>
      </c>
      <c r="C83" s="2067">
        <f>GETPIVOTDATA("Předpokládaná hodnota VZ bez DPH",'Přehled 2024'!$A$17,"Druh VZ","OŘ")</f>
        <v>257</v>
      </c>
      <c r="D83" s="2067">
        <f>GETPIVOTDATA("Počet z Předpokládaná hodnota VZ bez DPH",'Přehled 2024'!$A$4,"Druh VZ","OŘ")</f>
        <v>358</v>
      </c>
      <c r="E83" s="2067">
        <f>GETPIVOTDATA("Počet z Smlouva podepsána",'Přehled 2024'!$A$4,"Druh VZ","OŘ")</f>
        <v>148</v>
      </c>
      <c r="F83" s="2068">
        <f>GETPIVOTDATA("Součet z Předpokládaná hodnota VZ bez DPH",'Přehled 2024'!$A$3,"Druh VZ","OŘ")</f>
        <v>10345668487.410002</v>
      </c>
      <c r="G83" s="2068">
        <f>GETPIVOTDATA("Součet z Předpokládaná hodnota VZ bez DPH",'Úspory 2024'!$A$3,"Druh VZ","OŘ")</f>
        <v>6641234604.6600008</v>
      </c>
      <c r="H83" s="2068">
        <f>GETPIVOTDATA("Součet z Vítězná cena bez DPH",'Úspory 2024'!$A$3,"Druh VZ","OŘ")</f>
        <v>6208869101.1199989</v>
      </c>
      <c r="I83" s="2068">
        <f>G83-H83</f>
        <v>432365503.54000187</v>
      </c>
      <c r="J83" s="2069">
        <f>100-(H83/G83*100)</f>
        <v>6.5103181754281252</v>
      </c>
      <c r="K83" s="2069">
        <f t="shared" ref="K83:K88" si="27">E83/D83*100</f>
        <v>41.340782122905026</v>
      </c>
      <c r="L83" s="2991">
        <f t="shared" ref="L83:L88" si="28">C83/B83*100</f>
        <v>102.8</v>
      </c>
      <c r="M83" s="2998"/>
      <c r="N83" s="2999"/>
    </row>
    <row r="84" spans="1:14">
      <c r="A84" s="2066" t="s">
        <v>112</v>
      </c>
      <c r="B84" s="2067">
        <v>200</v>
      </c>
      <c r="C84" s="2067">
        <f>GETPIVOTDATA("Předpokládaná hodnota VZ bez DPH",'Přehled 2024'!$A$17,"Druh VZ","VZMR")</f>
        <v>179</v>
      </c>
      <c r="D84" s="2067">
        <f>GETPIVOTDATA("Počet z Předpokládaná hodnota VZ bez DPH",'Přehled 2024'!$A$4,"Druh VZ","VZMR")</f>
        <v>207</v>
      </c>
      <c r="E84" s="2067">
        <f>GETPIVOTDATA("Počet z Smlouva podepsána",'Přehled 2024'!$A$4,"Druh VZ","VZMR")</f>
        <v>128</v>
      </c>
      <c r="F84" s="2068">
        <f>GETPIVOTDATA("Součet z Předpokládaná hodnota VZ bez DPH",'Přehled 2024'!$A$4,"Druh VZ","VZMR")</f>
        <v>165179771.54000002</v>
      </c>
      <c r="G84" s="2068">
        <f>GETPIVOTDATA("Součet z Předpokládaná hodnota VZ bez DPH",'Úspory 2024'!$A$3,"Druh VZ","VZMR")</f>
        <v>110779946.53999999</v>
      </c>
      <c r="H84" s="2068">
        <f>GETPIVOTDATA("Součet z Vítězná cena bez DPH",'Úspory 2024'!$A$3,"Druh VZ","VZMR")</f>
        <v>101726500.88999999</v>
      </c>
      <c r="I84" s="2068">
        <f>G84-H84</f>
        <v>9053445.650000006</v>
      </c>
      <c r="J84" s="2069">
        <f t="shared" ref="J84:J88" si="29">100-(H84/G84*100)</f>
        <v>8.1724589447522646</v>
      </c>
      <c r="K84" s="2069">
        <f t="shared" si="27"/>
        <v>61.835748792270529</v>
      </c>
      <c r="L84" s="2991">
        <f t="shared" si="28"/>
        <v>89.5</v>
      </c>
      <c r="M84" s="2998"/>
      <c r="N84" s="2999"/>
    </row>
    <row r="85" spans="1:14">
      <c r="A85" s="2066" t="s">
        <v>216</v>
      </c>
      <c r="B85" s="2067">
        <v>35</v>
      </c>
      <c r="C85" s="2067">
        <f>GETPIVOTDATA("Předpokládaná hodnota VZ bez DPH",'Přehled 2024'!$A$17,"Druh VZ","ZPŘ")</f>
        <v>29</v>
      </c>
      <c r="D85" s="2067">
        <f>GETPIVOTDATA("Počet z Předpokládaná hodnota VZ bez DPH",'Přehled 2024'!$A$4,"Druh VZ","ZPŘ")</f>
        <v>35</v>
      </c>
      <c r="E85" s="2067">
        <f>GETPIVOTDATA("Počet z Smlouva podepsána",'Přehled 2024'!$A$4,"Druh VZ","ZPŘ")</f>
        <v>23</v>
      </c>
      <c r="F85" s="2068">
        <f>GETPIVOTDATA("Součet z Předpokládaná hodnota VZ bez DPH",'Přehled 2024'!$A$4,"Druh VZ","ZPŘ")</f>
        <v>206853231.90000001</v>
      </c>
      <c r="G85" s="2068">
        <f>GETPIVOTDATA("Součet z Předpokládaná hodnota VZ bez DPH",'Úspory 2024'!$A$3,"Druh VZ","ZPŘ")</f>
        <v>77667235.900000006</v>
      </c>
      <c r="H85" s="2068">
        <f>GETPIVOTDATA("Součet z Vítězná cena bez DPH",'Úspory 2024'!$A$3,"Druh VZ","ZPŘ")</f>
        <v>70931618.730000004</v>
      </c>
      <c r="I85" s="2068">
        <f>G85-H85</f>
        <v>6735617.1700000018</v>
      </c>
      <c r="J85" s="2069">
        <f t="shared" si="29"/>
        <v>8.6724048975714823</v>
      </c>
      <c r="K85" s="2069">
        <f t="shared" si="27"/>
        <v>65.714285714285708</v>
      </c>
      <c r="L85" s="2991">
        <f t="shared" si="28"/>
        <v>82.857142857142861</v>
      </c>
      <c r="M85" s="2998"/>
      <c r="N85" s="2999"/>
    </row>
    <row r="86" spans="1:14">
      <c r="A86" s="1968" t="s">
        <v>6651</v>
      </c>
      <c r="B86" s="1969">
        <v>2</v>
      </c>
      <c r="C86" s="1969">
        <f>GETPIVOTDATA("Předpokládaná hodnota VZ bez DPH",'Přehled 2024'!$A$17,"Druh VZ","JŘBU")</f>
        <v>1</v>
      </c>
      <c r="D86" s="1969">
        <f>GETPIVOTDATA("Počet z Předpokládaná hodnota VZ bez DPH",'Přehled 2024'!$A$4,"Druh VZ","JŘBU")</f>
        <v>1</v>
      </c>
      <c r="E86" s="1969">
        <f>GETPIVOTDATA("Počet z Smlouva podepsána",'Přehled 2024'!$A$4,"Druh VZ","JŘBU")</f>
        <v>1</v>
      </c>
      <c r="F86" s="2427">
        <f>GETPIVOTDATA("Součet z Předpokládaná hodnota VZ bez DPH",'Přehled 2024'!$A$4,"Druh VZ","JŘBU")</f>
        <v>230888939</v>
      </c>
      <c r="G86" s="2427">
        <f>GETPIVOTDATA("Součet z Předpokládaná hodnota VZ bez DPH",'Úspory 2024'!$A$3,"Druh VZ","JŘBU")</f>
        <v>230888939</v>
      </c>
      <c r="H86" s="2427">
        <f>GETPIVOTDATA("Součet z Vítězná cena bez DPH",'Úspory 2024'!$A$3,"Druh VZ","JŘBU")</f>
        <v>206150838.15000001</v>
      </c>
      <c r="I86" s="2427">
        <f>G86-H86</f>
        <v>24738100.849999994</v>
      </c>
      <c r="J86" s="2069">
        <f t="shared" si="29"/>
        <v>10.714285819469254</v>
      </c>
      <c r="K86" s="2069">
        <f t="shared" si="27"/>
        <v>100</v>
      </c>
      <c r="L86" s="2991">
        <f t="shared" si="28"/>
        <v>50</v>
      </c>
      <c r="M86" s="2998"/>
      <c r="N86" s="2999"/>
    </row>
    <row r="87" spans="1:14">
      <c r="A87" s="1968" t="s">
        <v>16502</v>
      </c>
      <c r="B87" s="1969">
        <v>30</v>
      </c>
      <c r="C87" s="1969">
        <f>GETPIVOTDATA("Předpokládaná hodnota VZ bez DPH",'Přehled 2024'!$A$17,"Druh VZ","DNS")</f>
        <v>28</v>
      </c>
      <c r="D87" s="1969">
        <f>GETPIVOTDATA("Počet z Předpokládaná hodnota VZ bez DPH",'Přehled 2024'!$A$4,"Druh VZ","DNS")</f>
        <v>36</v>
      </c>
      <c r="E87" s="1969">
        <f>GETPIVOTDATA("Počet z Smlouva podepsána",'Přehled 2024'!$A$4,"Druh VZ","DNS")</f>
        <v>15</v>
      </c>
      <c r="F87" s="2427">
        <f>GETPIVOTDATA("Součet z Předpokládaná hodnota VZ bez DPH",'Přehled 2024'!$A$4,"Druh VZ","DNS")</f>
        <v>215491767.26999998</v>
      </c>
      <c r="G87" s="2427">
        <f>GETPIVOTDATA("Součet z Předpokládaná hodnota VZ bez DPH",'Úspory 2024'!$A$3,"Druh VZ","DNS")</f>
        <v>85567864.340000004</v>
      </c>
      <c r="H87" s="2427">
        <f>GETPIVOTDATA("Součet z Vítězná cena bez DPH",'Úspory 2024'!$A$3,"Druh VZ","DNS")</f>
        <v>78042037.390000001</v>
      </c>
      <c r="I87" s="2427">
        <f>G87-H87</f>
        <v>7525826.950000003</v>
      </c>
      <c r="J87" s="1972">
        <f t="shared" si="29"/>
        <v>8.7951557609249988</v>
      </c>
      <c r="K87" s="1972">
        <f t="shared" si="27"/>
        <v>41.666666666666671</v>
      </c>
      <c r="L87" s="2992">
        <f t="shared" si="28"/>
        <v>93.333333333333329</v>
      </c>
      <c r="M87" s="2998"/>
      <c r="N87" s="2999"/>
    </row>
    <row r="88" spans="1:14" ht="15.75" thickBot="1">
      <c r="A88" s="2071" t="s">
        <v>740</v>
      </c>
      <c r="B88" s="2096">
        <f t="shared" ref="B88:I88" si="30">SUM(B83:B87)</f>
        <v>517</v>
      </c>
      <c r="C88" s="2096">
        <f t="shared" si="30"/>
        <v>494</v>
      </c>
      <c r="D88" s="2096">
        <f t="shared" si="30"/>
        <v>637</v>
      </c>
      <c r="E88" s="2096">
        <f t="shared" si="30"/>
        <v>315</v>
      </c>
      <c r="F88" s="2097">
        <f t="shared" si="30"/>
        <v>11164082197.120003</v>
      </c>
      <c r="G88" s="2097">
        <f t="shared" si="30"/>
        <v>7146138590.4400005</v>
      </c>
      <c r="H88" s="2097">
        <f t="shared" si="30"/>
        <v>6665720096.2799988</v>
      </c>
      <c r="I88" s="2097">
        <f t="shared" si="30"/>
        <v>480418494.16000181</v>
      </c>
      <c r="J88" s="2098">
        <f t="shared" si="29"/>
        <v>6.7227704595975553</v>
      </c>
      <c r="K88" s="2098">
        <f t="shared" si="27"/>
        <v>49.450549450549453</v>
      </c>
      <c r="L88" s="2993">
        <f t="shared" si="28"/>
        <v>95.551257253384918</v>
      </c>
      <c r="M88" s="2998"/>
      <c r="N88" s="2999"/>
    </row>
    <row r="89" spans="1:14" ht="15.75" thickTop="1"/>
  </sheetData>
  <mergeCells count="10">
    <mergeCell ref="A2:K2"/>
    <mergeCell ref="A14:N14"/>
    <mergeCell ref="A25:N25"/>
    <mergeCell ref="A33:N33"/>
    <mergeCell ref="A40:N40"/>
    <mergeCell ref="A81:L81"/>
    <mergeCell ref="A72:N72"/>
    <mergeCell ref="A63:N63"/>
    <mergeCell ref="A55:N55"/>
    <mergeCell ref="A47:N47"/>
  </mergeCells>
  <pageMargins left="0.19685039370078741" right="0.19685039370078741" top="0.27559055118110237" bottom="0.19685039370078741" header="0.31496062992125984" footer="0.31496062992125984"/>
  <pageSetup paperSize="9" scale="55" fitToHeight="2" orientation="landscape" r:id="rId1"/>
  <ignoredErrors>
    <ignoredError sqref="F51 I57" evalError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L2373"/>
  <sheetViews>
    <sheetView zoomScale="90" zoomScaleNormal="90" workbookViewId="0">
      <pane ySplit="1" topLeftCell="A421" activePane="bottomLeft" state="frozen"/>
      <selection activeCell="C281" sqref="C2:C281"/>
      <selection pane="bottomLeft" activeCell="A421" sqref="A421:I421"/>
    </sheetView>
  </sheetViews>
  <sheetFormatPr defaultColWidth="9.140625" defaultRowHeight="15"/>
  <cols>
    <col min="1" max="1" width="19" style="1166" bestFit="1" customWidth="1"/>
    <col min="2" max="2" width="58.85546875" style="807" customWidth="1"/>
    <col min="3" max="3" width="7.28515625" style="374" customWidth="1"/>
    <col min="4" max="4" width="52.42578125" style="807" customWidth="1"/>
    <col min="5" max="5" width="32.42578125" style="1166" customWidth="1"/>
    <col min="6" max="6" width="18.42578125" style="1944" customWidth="1"/>
    <col min="7" max="7" width="18.5703125" style="1944" customWidth="1"/>
    <col min="8" max="8" width="11.85546875" style="374" customWidth="1"/>
    <col min="9" max="9" width="17.28515625" style="374" customWidth="1"/>
    <col min="10" max="10" width="25.85546875" style="374" customWidth="1"/>
    <col min="11" max="11" width="18.42578125" style="374" hidden="1" customWidth="1"/>
    <col min="12" max="12" width="25.5703125" style="1944" customWidth="1"/>
    <col min="13" max="16384" width="9.140625" style="1944"/>
  </cols>
  <sheetData>
    <row r="1" spans="1:11" ht="30.75" thickTop="1">
      <c r="A1" s="2237" t="s">
        <v>11</v>
      </c>
      <c r="B1" s="2166" t="s">
        <v>1</v>
      </c>
      <c r="C1" s="2166" t="s">
        <v>8509</v>
      </c>
      <c r="D1" s="2166" t="s">
        <v>3489</v>
      </c>
      <c r="E1" s="2166" t="s">
        <v>7</v>
      </c>
      <c r="F1" s="2166" t="s">
        <v>8</v>
      </c>
      <c r="G1" s="2166" t="s">
        <v>9</v>
      </c>
      <c r="H1" s="2167" t="s">
        <v>10</v>
      </c>
      <c r="I1" s="2167" t="s">
        <v>4112</v>
      </c>
      <c r="J1" s="2166" t="s">
        <v>8510</v>
      </c>
      <c r="K1" s="2168" t="s">
        <v>4112</v>
      </c>
    </row>
    <row r="2" spans="1:11">
      <c r="A2" s="2238" t="s">
        <v>2486</v>
      </c>
      <c r="B2" s="2214" t="s">
        <v>2487</v>
      </c>
      <c r="C2" s="2218"/>
      <c r="D2" s="2214"/>
      <c r="E2" s="2371" t="s">
        <v>2556</v>
      </c>
      <c r="F2" s="2215">
        <v>971868</v>
      </c>
      <c r="G2" s="2215">
        <v>1176764.8999999999</v>
      </c>
      <c r="H2" s="2216">
        <v>43206</v>
      </c>
      <c r="I2" s="2216">
        <v>43570</v>
      </c>
      <c r="J2" s="2210" t="s">
        <v>3886</v>
      </c>
      <c r="K2" s="2217">
        <v>44317</v>
      </c>
    </row>
    <row r="3" spans="1:11">
      <c r="A3" s="2238" t="s">
        <v>3124</v>
      </c>
      <c r="B3" s="2214" t="s">
        <v>3125</v>
      </c>
      <c r="C3" s="2218"/>
      <c r="D3" s="2214"/>
      <c r="E3" s="2372" t="s">
        <v>459</v>
      </c>
      <c r="F3" s="2215">
        <v>4613400</v>
      </c>
      <c r="G3" s="2215">
        <v>5582214</v>
      </c>
      <c r="H3" s="2216">
        <v>43424</v>
      </c>
      <c r="I3" s="2216">
        <v>43788</v>
      </c>
      <c r="J3" s="2210" t="s">
        <v>6268</v>
      </c>
      <c r="K3" s="2217">
        <v>44735</v>
      </c>
    </row>
    <row r="4" spans="1:11" ht="30">
      <c r="A4" s="2238" t="s">
        <v>2435</v>
      </c>
      <c r="B4" s="2214" t="s">
        <v>2567</v>
      </c>
      <c r="C4" s="2218"/>
      <c r="D4" s="2214"/>
      <c r="E4" s="2372" t="s">
        <v>6074</v>
      </c>
      <c r="F4" s="2215">
        <v>908121.2</v>
      </c>
      <c r="G4" s="2215">
        <v>1098826.652</v>
      </c>
      <c r="H4" s="2216">
        <v>43143</v>
      </c>
      <c r="I4" s="2216">
        <v>43872</v>
      </c>
      <c r="J4" s="2210" t="s">
        <v>5994</v>
      </c>
      <c r="K4" s="2219">
        <v>44569</v>
      </c>
    </row>
    <row r="5" spans="1:11" ht="30">
      <c r="A5" s="2238" t="s">
        <v>2435</v>
      </c>
      <c r="B5" s="2214" t="s">
        <v>2568</v>
      </c>
      <c r="C5" s="2218"/>
      <c r="D5" s="2214"/>
      <c r="E5" s="2372" t="s">
        <v>659</v>
      </c>
      <c r="F5" s="2215">
        <v>482819</v>
      </c>
      <c r="G5" s="2215">
        <v>584210.99</v>
      </c>
      <c r="H5" s="2216">
        <v>43147</v>
      </c>
      <c r="I5" s="2216">
        <v>43876</v>
      </c>
      <c r="J5" s="2210" t="s">
        <v>5994</v>
      </c>
      <c r="K5" s="2219">
        <v>44580</v>
      </c>
    </row>
    <row r="6" spans="1:11" ht="30">
      <c r="A6" s="2238" t="s">
        <v>2739</v>
      </c>
      <c r="B6" s="2214" t="s">
        <v>2796</v>
      </c>
      <c r="C6" s="2218"/>
      <c r="D6" s="2214"/>
      <c r="E6" s="2372" t="s">
        <v>2776</v>
      </c>
      <c r="F6" s="2215">
        <v>6480000</v>
      </c>
      <c r="G6" s="2215">
        <v>7840000</v>
      </c>
      <c r="H6" s="2216">
        <v>43332</v>
      </c>
      <c r="I6" s="2216">
        <v>43880</v>
      </c>
      <c r="J6" s="2208" t="s">
        <v>6746</v>
      </c>
      <c r="K6" s="2219">
        <v>44804</v>
      </c>
    </row>
    <row r="7" spans="1:11" ht="30">
      <c r="A7" s="2238" t="s">
        <v>2739</v>
      </c>
      <c r="B7" s="2214" t="s">
        <v>2797</v>
      </c>
      <c r="C7" s="2218"/>
      <c r="D7" s="2214"/>
      <c r="E7" s="2371" t="s">
        <v>2776</v>
      </c>
      <c r="F7" s="2215">
        <v>545454.6</v>
      </c>
      <c r="G7" s="2215">
        <v>660000</v>
      </c>
      <c r="H7" s="2216">
        <v>43332</v>
      </c>
      <c r="I7" s="2216">
        <v>43880</v>
      </c>
      <c r="J7" s="2208" t="s">
        <v>6746</v>
      </c>
      <c r="K7" s="2219">
        <v>44804</v>
      </c>
    </row>
    <row r="8" spans="1:11">
      <c r="A8" s="2204" t="s">
        <v>3394</v>
      </c>
      <c r="B8" s="2174" t="s">
        <v>3518</v>
      </c>
      <c r="C8" s="2208">
        <v>2</v>
      </c>
      <c r="D8" s="2176" t="s">
        <v>3845</v>
      </c>
      <c r="E8" s="2212" t="s">
        <v>3502</v>
      </c>
      <c r="F8" s="2209">
        <v>900828</v>
      </c>
      <c r="G8" s="2209">
        <v>1090001.8799999999</v>
      </c>
      <c r="H8" s="2175">
        <v>43542</v>
      </c>
      <c r="I8" s="2175">
        <v>43907</v>
      </c>
      <c r="J8" s="2208"/>
      <c r="K8" s="2211"/>
    </row>
    <row r="9" spans="1:11">
      <c r="A9" s="2204" t="s">
        <v>3394</v>
      </c>
      <c r="B9" s="2174" t="s">
        <v>3518</v>
      </c>
      <c r="C9" s="2208">
        <v>1</v>
      </c>
      <c r="D9" s="2176" t="s">
        <v>3844</v>
      </c>
      <c r="E9" s="2212" t="s">
        <v>3501</v>
      </c>
      <c r="F9" s="2209">
        <v>814400</v>
      </c>
      <c r="G9" s="2209">
        <v>985424</v>
      </c>
      <c r="H9" s="2175">
        <v>43543</v>
      </c>
      <c r="I9" s="2175">
        <v>43908</v>
      </c>
      <c r="J9" s="2210"/>
      <c r="K9" s="2211"/>
    </row>
    <row r="10" spans="1:11">
      <c r="A10" s="2238" t="s">
        <v>2597</v>
      </c>
      <c r="B10" s="2214" t="s">
        <v>2475</v>
      </c>
      <c r="C10" s="2218"/>
      <c r="D10" s="2214"/>
      <c r="E10" s="2372" t="s">
        <v>2753</v>
      </c>
      <c r="F10" s="2215">
        <v>27290965</v>
      </c>
      <c r="G10" s="2215">
        <v>31384609.75</v>
      </c>
      <c r="H10" s="2216">
        <v>43313</v>
      </c>
      <c r="I10" s="2216">
        <v>43921</v>
      </c>
      <c r="J10" s="2208" t="s">
        <v>6825</v>
      </c>
      <c r="K10" s="2217">
        <v>45191</v>
      </c>
    </row>
    <row r="11" spans="1:11">
      <c r="A11" s="2238" t="s">
        <v>2597</v>
      </c>
      <c r="B11" s="2214" t="s">
        <v>2477</v>
      </c>
      <c r="C11" s="2218"/>
      <c r="D11" s="2214"/>
      <c r="E11" s="2372" t="s">
        <v>2776</v>
      </c>
      <c r="F11" s="2215">
        <v>390960.87</v>
      </c>
      <c r="G11" s="2215">
        <v>449605</v>
      </c>
      <c r="H11" s="2220">
        <v>43313</v>
      </c>
      <c r="I11" s="2220">
        <v>43921</v>
      </c>
      <c r="J11" s="2208" t="s">
        <v>6825</v>
      </c>
      <c r="K11" s="2217">
        <v>45191</v>
      </c>
    </row>
    <row r="12" spans="1:11">
      <c r="A12" s="2239" t="s">
        <v>2597</v>
      </c>
      <c r="B12" s="2221" t="s">
        <v>2478</v>
      </c>
      <c r="C12" s="2222"/>
      <c r="D12" s="2221"/>
      <c r="E12" s="2373" t="s">
        <v>2777</v>
      </c>
      <c r="F12" s="2223">
        <v>6016920</v>
      </c>
      <c r="G12" s="2223">
        <v>6919458</v>
      </c>
      <c r="H12" s="2220">
        <v>43313</v>
      </c>
      <c r="I12" s="2220">
        <v>43921</v>
      </c>
      <c r="J12" s="2208" t="s">
        <v>6825</v>
      </c>
      <c r="K12" s="2217">
        <v>45191</v>
      </c>
    </row>
    <row r="13" spans="1:11">
      <c r="A13" s="2238" t="s">
        <v>2597</v>
      </c>
      <c r="B13" s="2214" t="s">
        <v>2479</v>
      </c>
      <c r="C13" s="2218"/>
      <c r="D13" s="2214"/>
      <c r="E13" s="2372" t="s">
        <v>1433</v>
      </c>
      <c r="F13" s="2215">
        <v>6200000</v>
      </c>
      <c r="G13" s="2215">
        <v>7130000</v>
      </c>
      <c r="H13" s="2220">
        <v>43313</v>
      </c>
      <c r="I13" s="2220">
        <v>43921</v>
      </c>
      <c r="J13" s="2208" t="s">
        <v>6825</v>
      </c>
      <c r="K13" s="2217">
        <v>45191</v>
      </c>
    </row>
    <row r="14" spans="1:11">
      <c r="A14" s="2238" t="s">
        <v>2586</v>
      </c>
      <c r="B14" s="2214" t="s">
        <v>2471</v>
      </c>
      <c r="C14" s="2218"/>
      <c r="D14" s="2214"/>
      <c r="E14" s="2372" t="s">
        <v>3179</v>
      </c>
      <c r="F14" s="2215">
        <v>129840000</v>
      </c>
      <c r="G14" s="2215">
        <v>149316000</v>
      </c>
      <c r="H14" s="2216">
        <v>43319</v>
      </c>
      <c r="I14" s="2216">
        <v>43927</v>
      </c>
      <c r="J14" s="2208" t="s">
        <v>6847</v>
      </c>
      <c r="K14" s="2219">
        <v>45184</v>
      </c>
    </row>
    <row r="15" spans="1:11">
      <c r="A15" s="2238" t="s">
        <v>2586</v>
      </c>
      <c r="B15" s="2214" t="s">
        <v>2470</v>
      </c>
      <c r="C15" s="2218"/>
      <c r="D15" s="2214"/>
      <c r="E15" s="2372" t="s">
        <v>1433</v>
      </c>
      <c r="F15" s="2215">
        <v>2324426.0499999998</v>
      </c>
      <c r="G15" s="2215">
        <v>2673089.96</v>
      </c>
      <c r="H15" s="2216">
        <v>43319</v>
      </c>
      <c r="I15" s="2216">
        <v>43927</v>
      </c>
      <c r="J15" s="2210" t="s">
        <v>7998</v>
      </c>
      <c r="K15" s="2219">
        <v>45359</v>
      </c>
    </row>
    <row r="16" spans="1:11">
      <c r="A16" s="2238" t="s">
        <v>2586</v>
      </c>
      <c r="B16" s="2214" t="s">
        <v>2472</v>
      </c>
      <c r="C16" s="2218"/>
      <c r="D16" s="2214"/>
      <c r="E16" s="2372" t="s">
        <v>2776</v>
      </c>
      <c r="F16" s="2215">
        <v>27870300</v>
      </c>
      <c r="G16" s="2215">
        <v>32050845</v>
      </c>
      <c r="H16" s="2216">
        <v>43319</v>
      </c>
      <c r="I16" s="2216">
        <v>43927</v>
      </c>
      <c r="J16" s="2208" t="s">
        <v>6847</v>
      </c>
      <c r="K16" s="2219">
        <v>45184</v>
      </c>
    </row>
    <row r="17" spans="1:11">
      <c r="A17" s="2204" t="s">
        <v>2586</v>
      </c>
      <c r="B17" s="2174" t="s">
        <v>2473</v>
      </c>
      <c r="C17" s="2208"/>
      <c r="D17" s="2174"/>
      <c r="E17" s="2212" t="s">
        <v>4857</v>
      </c>
      <c r="F17" s="2209">
        <v>24760000</v>
      </c>
      <c r="G17" s="2209">
        <v>28474000</v>
      </c>
      <c r="H17" s="2175">
        <v>43319</v>
      </c>
      <c r="I17" s="2175">
        <v>43927</v>
      </c>
      <c r="J17" s="2210"/>
      <c r="K17" s="2211"/>
    </row>
    <row r="18" spans="1:11">
      <c r="A18" s="2238" t="s">
        <v>2586</v>
      </c>
      <c r="B18" s="2214" t="s">
        <v>2474</v>
      </c>
      <c r="C18" s="2218"/>
      <c r="D18" s="2214"/>
      <c r="E18" s="2372" t="s">
        <v>2755</v>
      </c>
      <c r="F18" s="2215">
        <v>5845500</v>
      </c>
      <c r="G18" s="2215">
        <v>6722325</v>
      </c>
      <c r="H18" s="2216">
        <v>43319</v>
      </c>
      <c r="I18" s="2216">
        <v>43927</v>
      </c>
      <c r="J18" s="2208" t="s">
        <v>6847</v>
      </c>
      <c r="K18" s="2219">
        <v>45184</v>
      </c>
    </row>
    <row r="19" spans="1:11">
      <c r="A19" s="2238" t="s">
        <v>2586</v>
      </c>
      <c r="B19" s="2214" t="s">
        <v>2580</v>
      </c>
      <c r="C19" s="2218"/>
      <c r="D19" s="2214"/>
      <c r="E19" s="2372" t="s">
        <v>2755</v>
      </c>
      <c r="F19" s="2215">
        <v>23718020</v>
      </c>
      <c r="G19" s="2215">
        <v>27275723</v>
      </c>
      <c r="H19" s="2216">
        <v>43319</v>
      </c>
      <c r="I19" s="2216">
        <v>43927</v>
      </c>
      <c r="J19" s="2208" t="s">
        <v>6847</v>
      </c>
      <c r="K19" s="2219">
        <v>45184</v>
      </c>
    </row>
    <row r="20" spans="1:11" ht="30">
      <c r="A20" s="2238" t="s">
        <v>2842</v>
      </c>
      <c r="B20" s="2214" t="s">
        <v>2843</v>
      </c>
      <c r="C20" s="2218"/>
      <c r="D20" s="2214"/>
      <c r="E20" s="2372" t="s">
        <v>2776</v>
      </c>
      <c r="F20" s="2215">
        <v>25152173.800000001</v>
      </c>
      <c r="G20" s="2215">
        <v>28925000</v>
      </c>
      <c r="H20" s="2216">
        <v>43406</v>
      </c>
      <c r="I20" s="2216">
        <v>43952</v>
      </c>
      <c r="J20" s="2210" t="s">
        <v>6338</v>
      </c>
      <c r="K20" s="2219">
        <v>44762</v>
      </c>
    </row>
    <row r="21" spans="1:11" ht="30">
      <c r="A21" s="2238" t="s">
        <v>2842</v>
      </c>
      <c r="B21" s="2214" t="s">
        <v>2846</v>
      </c>
      <c r="C21" s="2218"/>
      <c r="D21" s="2214"/>
      <c r="E21" s="2372" t="s">
        <v>6763</v>
      </c>
      <c r="F21" s="2215">
        <v>5869565.25</v>
      </c>
      <c r="G21" s="2215">
        <v>6750000</v>
      </c>
      <c r="H21" s="2216">
        <v>43406</v>
      </c>
      <c r="I21" s="2216">
        <v>43952</v>
      </c>
      <c r="J21" s="2210" t="s">
        <v>6338</v>
      </c>
      <c r="K21" s="2219">
        <v>44765</v>
      </c>
    </row>
    <row r="22" spans="1:11">
      <c r="A22" s="2238" t="s">
        <v>2847</v>
      </c>
      <c r="B22" s="2214" t="s">
        <v>2850</v>
      </c>
      <c r="C22" s="2218"/>
      <c r="D22" s="2214"/>
      <c r="E22" s="2372" t="s">
        <v>6695</v>
      </c>
      <c r="F22" s="2215">
        <v>235500</v>
      </c>
      <c r="G22" s="2215">
        <v>284955</v>
      </c>
      <c r="H22" s="2216">
        <v>43416</v>
      </c>
      <c r="I22" s="2216">
        <v>43962</v>
      </c>
      <c r="J22" s="2208" t="s">
        <v>6606</v>
      </c>
      <c r="K22" s="2219">
        <v>44693</v>
      </c>
    </row>
    <row r="23" spans="1:11" ht="30">
      <c r="A23" s="2238" t="s">
        <v>2847</v>
      </c>
      <c r="B23" s="2214" t="s">
        <v>2849</v>
      </c>
      <c r="C23" s="2218"/>
      <c r="D23" s="2214"/>
      <c r="E23" s="2372" t="s">
        <v>1433</v>
      </c>
      <c r="F23" s="2215">
        <v>1142400</v>
      </c>
      <c r="G23" s="2215">
        <v>1382304</v>
      </c>
      <c r="H23" s="2216">
        <v>43432</v>
      </c>
      <c r="I23" s="2216">
        <v>43978</v>
      </c>
      <c r="J23" s="2208" t="s">
        <v>6498</v>
      </c>
      <c r="K23" s="2219">
        <v>44677</v>
      </c>
    </row>
    <row r="24" spans="1:11" ht="30">
      <c r="A24" s="2238" t="s">
        <v>3216</v>
      </c>
      <c r="B24" s="2214" t="s">
        <v>3290</v>
      </c>
      <c r="C24" s="2218"/>
      <c r="D24" s="2214"/>
      <c r="E24" s="2372" t="s">
        <v>2755</v>
      </c>
      <c r="F24" s="2215">
        <v>5044290.99</v>
      </c>
      <c r="G24" s="2215">
        <v>5800934.6399999997</v>
      </c>
      <c r="H24" s="2216">
        <v>43441</v>
      </c>
      <c r="I24" s="2216">
        <v>43988</v>
      </c>
      <c r="J24" s="2259" t="s">
        <v>9062</v>
      </c>
      <c r="K24" s="2258" t="s">
        <v>9061</v>
      </c>
    </row>
    <row r="25" spans="1:11">
      <c r="A25" s="2238" t="s">
        <v>2638</v>
      </c>
      <c r="B25" s="2214" t="s">
        <v>2687</v>
      </c>
      <c r="C25" s="2218"/>
      <c r="D25" s="2214"/>
      <c r="E25" s="2372" t="s">
        <v>2971</v>
      </c>
      <c r="F25" s="2215">
        <v>1955000</v>
      </c>
      <c r="G25" s="2215">
        <v>2365550</v>
      </c>
      <c r="H25" s="2216">
        <v>43454</v>
      </c>
      <c r="I25" s="2216">
        <v>44001</v>
      </c>
      <c r="J25" s="2208" t="s">
        <v>8009</v>
      </c>
      <c r="K25" s="2219">
        <v>44995</v>
      </c>
    </row>
    <row r="26" spans="1:11">
      <c r="A26" s="2238" t="s">
        <v>2638</v>
      </c>
      <c r="B26" s="2214" t="s">
        <v>2688</v>
      </c>
      <c r="C26" s="2218"/>
      <c r="D26" s="2214"/>
      <c r="E26" s="2372" t="s">
        <v>2971</v>
      </c>
      <c r="F26" s="2215">
        <v>214500</v>
      </c>
      <c r="G26" s="2215">
        <v>259545</v>
      </c>
      <c r="H26" s="2216">
        <v>43454</v>
      </c>
      <c r="I26" s="2216">
        <v>44001</v>
      </c>
      <c r="J26" s="2208" t="s">
        <v>6526</v>
      </c>
      <c r="K26" s="2219">
        <v>44860</v>
      </c>
    </row>
    <row r="27" spans="1:11">
      <c r="A27" s="2238" t="s">
        <v>2638</v>
      </c>
      <c r="B27" s="2214" t="s">
        <v>2689</v>
      </c>
      <c r="C27" s="2218"/>
      <c r="D27" s="2214"/>
      <c r="E27" s="2372" t="s">
        <v>2971</v>
      </c>
      <c r="F27" s="2215">
        <v>128700</v>
      </c>
      <c r="G27" s="2215">
        <v>155727</v>
      </c>
      <c r="H27" s="2216">
        <v>43454</v>
      </c>
      <c r="I27" s="2216">
        <v>44001</v>
      </c>
      <c r="J27" s="2208" t="s">
        <v>8009</v>
      </c>
      <c r="K27" s="2219">
        <v>44995</v>
      </c>
    </row>
    <row r="28" spans="1:11">
      <c r="A28" s="2238" t="s">
        <v>2638</v>
      </c>
      <c r="B28" s="2214" t="s">
        <v>2690</v>
      </c>
      <c r="C28" s="2218"/>
      <c r="D28" s="2214"/>
      <c r="E28" s="2372" t="s">
        <v>2971</v>
      </c>
      <c r="F28" s="2215">
        <v>3120000</v>
      </c>
      <c r="G28" s="2215">
        <v>3775200</v>
      </c>
      <c r="H28" s="2216">
        <v>43454</v>
      </c>
      <c r="I28" s="2216">
        <v>44001</v>
      </c>
      <c r="J28" s="2208" t="s">
        <v>8009</v>
      </c>
      <c r="K28" s="2219">
        <v>44995</v>
      </c>
    </row>
    <row r="29" spans="1:11">
      <c r="A29" s="2238" t="s">
        <v>2638</v>
      </c>
      <c r="B29" s="2214" t="s">
        <v>2693</v>
      </c>
      <c r="C29" s="2218"/>
      <c r="D29" s="2214"/>
      <c r="E29" s="2372" t="s">
        <v>2971</v>
      </c>
      <c r="F29" s="2215">
        <v>890650</v>
      </c>
      <c r="G29" s="2215">
        <v>1077686.5</v>
      </c>
      <c r="H29" s="2216">
        <v>43454</v>
      </c>
      <c r="I29" s="2216">
        <v>44001</v>
      </c>
      <c r="J29" s="2208" t="s">
        <v>8009</v>
      </c>
      <c r="K29" s="2219">
        <v>44995</v>
      </c>
    </row>
    <row r="30" spans="1:11">
      <c r="A30" s="2238" t="s">
        <v>2638</v>
      </c>
      <c r="B30" s="2214" t="s">
        <v>2694</v>
      </c>
      <c r="C30" s="2218"/>
      <c r="D30" s="2214"/>
      <c r="E30" s="2372" t="s">
        <v>659</v>
      </c>
      <c r="F30" s="2215">
        <v>1274250</v>
      </c>
      <c r="G30" s="2215">
        <v>1541842.5</v>
      </c>
      <c r="H30" s="2216">
        <v>43454</v>
      </c>
      <c r="I30" s="2216">
        <v>44001</v>
      </c>
      <c r="J30" s="2208" t="s">
        <v>6526</v>
      </c>
      <c r="K30" s="2219">
        <v>44860</v>
      </c>
    </row>
    <row r="31" spans="1:11">
      <c r="A31" s="2238" t="s">
        <v>2638</v>
      </c>
      <c r="B31" s="2214" t="s">
        <v>2695</v>
      </c>
      <c r="C31" s="2218"/>
      <c r="D31" s="2214"/>
      <c r="E31" s="2372" t="s">
        <v>5908</v>
      </c>
      <c r="F31" s="2215">
        <v>4147500</v>
      </c>
      <c r="G31" s="2215">
        <v>5018475</v>
      </c>
      <c r="H31" s="2216">
        <v>43454</v>
      </c>
      <c r="I31" s="2216">
        <v>44001</v>
      </c>
      <c r="J31" s="2208" t="s">
        <v>6526</v>
      </c>
      <c r="K31" s="2219">
        <v>44860</v>
      </c>
    </row>
    <row r="32" spans="1:11">
      <c r="A32" s="2238" t="s">
        <v>2638</v>
      </c>
      <c r="B32" s="2214" t="s">
        <v>2696</v>
      </c>
      <c r="C32" s="2218"/>
      <c r="D32" s="2214"/>
      <c r="E32" s="2372" t="s">
        <v>993</v>
      </c>
      <c r="F32" s="2215">
        <v>1209495</v>
      </c>
      <c r="G32" s="2215">
        <v>1463488.95</v>
      </c>
      <c r="H32" s="2216">
        <v>43454</v>
      </c>
      <c r="I32" s="2216">
        <v>44001</v>
      </c>
      <c r="J32" s="2208" t="s">
        <v>6526</v>
      </c>
      <c r="K32" s="2217">
        <v>44863</v>
      </c>
    </row>
    <row r="33" spans="1:11">
      <c r="A33" s="2238" t="s">
        <v>2638</v>
      </c>
      <c r="B33" s="2214" t="s">
        <v>2697</v>
      </c>
      <c r="C33" s="2218"/>
      <c r="D33" s="2214"/>
      <c r="E33" s="2372" t="s">
        <v>2971</v>
      </c>
      <c r="F33" s="2215">
        <v>2625000</v>
      </c>
      <c r="G33" s="2215">
        <v>3176250</v>
      </c>
      <c r="H33" s="2216">
        <v>43454</v>
      </c>
      <c r="I33" s="2216">
        <v>44001</v>
      </c>
      <c r="J33" s="2208" t="s">
        <v>6526</v>
      </c>
      <c r="K33" s="2217">
        <v>44860</v>
      </c>
    </row>
    <row r="34" spans="1:11">
      <c r="A34" s="2238" t="s">
        <v>2638</v>
      </c>
      <c r="B34" s="2214" t="s">
        <v>2698</v>
      </c>
      <c r="C34" s="2218"/>
      <c r="D34" s="2214"/>
      <c r="E34" s="2372" t="s">
        <v>1433</v>
      </c>
      <c r="F34" s="2215">
        <v>472500</v>
      </c>
      <c r="G34" s="2215">
        <v>571725</v>
      </c>
      <c r="H34" s="2216">
        <v>43454</v>
      </c>
      <c r="I34" s="2216">
        <v>44001</v>
      </c>
      <c r="J34" s="2208" t="s">
        <v>8009</v>
      </c>
      <c r="K34" s="2217">
        <v>44995</v>
      </c>
    </row>
    <row r="35" spans="1:11">
      <c r="A35" s="2204" t="s">
        <v>2638</v>
      </c>
      <c r="B35" s="2174" t="s">
        <v>2700</v>
      </c>
      <c r="C35" s="2208"/>
      <c r="D35" s="2174"/>
      <c r="E35" s="2212" t="s">
        <v>2971</v>
      </c>
      <c r="F35" s="2209">
        <v>744000</v>
      </c>
      <c r="G35" s="2209">
        <v>900240</v>
      </c>
      <c r="H35" s="2175">
        <v>43454</v>
      </c>
      <c r="I35" s="2175">
        <v>44001</v>
      </c>
      <c r="J35" s="2210"/>
      <c r="K35" s="2211"/>
    </row>
    <row r="36" spans="1:11">
      <c r="A36" s="2204" t="s">
        <v>2638</v>
      </c>
      <c r="B36" s="2174" t="s">
        <v>2701</v>
      </c>
      <c r="C36" s="2208"/>
      <c r="D36" s="2174"/>
      <c r="E36" s="2212" t="s">
        <v>3179</v>
      </c>
      <c r="F36" s="2209">
        <v>1817000</v>
      </c>
      <c r="G36" s="2209">
        <v>2089550</v>
      </c>
      <c r="H36" s="2175">
        <v>43454</v>
      </c>
      <c r="I36" s="2175">
        <v>44001</v>
      </c>
      <c r="J36" s="2210"/>
      <c r="K36" s="2211"/>
    </row>
    <row r="37" spans="1:11">
      <c r="A37" s="2204" t="s">
        <v>2638</v>
      </c>
      <c r="B37" s="2174" t="s">
        <v>2702</v>
      </c>
      <c r="C37" s="2208"/>
      <c r="D37" s="2174"/>
      <c r="E37" s="2212" t="s">
        <v>2973</v>
      </c>
      <c r="F37" s="2209">
        <v>561000</v>
      </c>
      <c r="G37" s="2209">
        <v>645150</v>
      </c>
      <c r="H37" s="2175">
        <v>43454</v>
      </c>
      <c r="I37" s="2175">
        <v>44001</v>
      </c>
      <c r="J37" s="2210"/>
      <c r="K37" s="2211"/>
    </row>
    <row r="38" spans="1:11">
      <c r="A38" s="2204" t="s">
        <v>2638</v>
      </c>
      <c r="B38" s="2174" t="s">
        <v>2703</v>
      </c>
      <c r="C38" s="2208"/>
      <c r="D38" s="2174"/>
      <c r="E38" s="2212" t="s">
        <v>3179</v>
      </c>
      <c r="F38" s="2209">
        <v>12675000</v>
      </c>
      <c r="G38" s="2209">
        <v>14576250</v>
      </c>
      <c r="H38" s="2175">
        <v>43454</v>
      </c>
      <c r="I38" s="2175">
        <v>44001</v>
      </c>
      <c r="J38" s="2210"/>
      <c r="K38" s="2211"/>
    </row>
    <row r="39" spans="1:11">
      <c r="A39" s="2204" t="s">
        <v>2638</v>
      </c>
      <c r="B39" s="2174" t="s">
        <v>2705</v>
      </c>
      <c r="C39" s="2208"/>
      <c r="D39" s="2174"/>
      <c r="E39" s="2212" t="s">
        <v>993</v>
      </c>
      <c r="F39" s="2209">
        <v>1680000</v>
      </c>
      <c r="G39" s="2209">
        <v>1931999.9999999998</v>
      </c>
      <c r="H39" s="2175">
        <v>43454</v>
      </c>
      <c r="I39" s="2175">
        <v>44001</v>
      </c>
      <c r="J39" s="2210"/>
      <c r="K39" s="2211"/>
    </row>
    <row r="40" spans="1:11">
      <c r="A40" s="2204" t="s">
        <v>2638</v>
      </c>
      <c r="B40" s="2174" t="s">
        <v>2706</v>
      </c>
      <c r="C40" s="2208"/>
      <c r="D40" s="2174"/>
      <c r="E40" s="2212" t="s">
        <v>2973</v>
      </c>
      <c r="F40" s="2209">
        <v>1365000</v>
      </c>
      <c r="G40" s="2209">
        <v>1569749.9999999998</v>
      </c>
      <c r="H40" s="2175">
        <v>43454</v>
      </c>
      <c r="I40" s="2175">
        <v>44001</v>
      </c>
      <c r="J40" s="2210"/>
      <c r="K40" s="2211"/>
    </row>
    <row r="41" spans="1:11">
      <c r="A41" s="2204" t="s">
        <v>2638</v>
      </c>
      <c r="B41" s="2174" t="s">
        <v>2707</v>
      </c>
      <c r="C41" s="2208"/>
      <c r="D41" s="2174"/>
      <c r="E41" s="2212" t="s">
        <v>3179</v>
      </c>
      <c r="F41" s="2209">
        <v>1760850</v>
      </c>
      <c r="G41" s="2209">
        <v>2024977.4999999998</v>
      </c>
      <c r="H41" s="2175">
        <v>43454</v>
      </c>
      <c r="I41" s="2175">
        <v>44001</v>
      </c>
      <c r="J41" s="2210"/>
      <c r="K41" s="2211"/>
    </row>
    <row r="42" spans="1:11" ht="45">
      <c r="A42" s="2238" t="s">
        <v>2638</v>
      </c>
      <c r="B42" s="2214" t="s">
        <v>3505</v>
      </c>
      <c r="C42" s="2218">
        <v>6</v>
      </c>
      <c r="D42" s="2228" t="s">
        <v>3791</v>
      </c>
      <c r="E42" s="2372" t="s">
        <v>2755</v>
      </c>
      <c r="F42" s="2215">
        <v>870000</v>
      </c>
      <c r="G42" s="2215">
        <v>1052700</v>
      </c>
      <c r="H42" s="2216">
        <v>43469</v>
      </c>
      <c r="I42" s="2216">
        <v>44012</v>
      </c>
      <c r="J42" s="2208" t="s">
        <v>6526</v>
      </c>
      <c r="K42" s="2219">
        <v>44860</v>
      </c>
    </row>
    <row r="43" spans="1:11">
      <c r="A43" s="2204" t="s">
        <v>2638</v>
      </c>
      <c r="B43" s="2174" t="s">
        <v>3505</v>
      </c>
      <c r="C43" s="2208">
        <v>18</v>
      </c>
      <c r="D43" s="2176" t="s">
        <v>3792</v>
      </c>
      <c r="E43" s="2212" t="s">
        <v>2755</v>
      </c>
      <c r="F43" s="2209">
        <v>11856000</v>
      </c>
      <c r="G43" s="2209">
        <v>13634399.999999998</v>
      </c>
      <c r="H43" s="2175">
        <v>43469</v>
      </c>
      <c r="I43" s="2175">
        <v>44012</v>
      </c>
      <c r="J43" s="2210"/>
      <c r="K43" s="2211"/>
    </row>
    <row r="44" spans="1:11" ht="30">
      <c r="A44" s="2238" t="s">
        <v>2884</v>
      </c>
      <c r="B44" s="2214" t="s">
        <v>3508</v>
      </c>
      <c r="C44" s="2218">
        <v>1</v>
      </c>
      <c r="D44" s="2228" t="s">
        <v>3798</v>
      </c>
      <c r="E44" s="2372" t="s">
        <v>2776</v>
      </c>
      <c r="F44" s="2215">
        <v>540000</v>
      </c>
      <c r="G44" s="2215">
        <v>621000</v>
      </c>
      <c r="H44" s="2216">
        <v>43486</v>
      </c>
      <c r="I44" s="2216">
        <v>44032</v>
      </c>
      <c r="J44" s="2208" t="s">
        <v>6961</v>
      </c>
      <c r="K44" s="2219">
        <v>45240</v>
      </c>
    </row>
    <row r="45" spans="1:11" ht="30">
      <c r="A45" s="2238" t="s">
        <v>2884</v>
      </c>
      <c r="B45" s="2214" t="s">
        <v>3508</v>
      </c>
      <c r="C45" s="2218">
        <v>2</v>
      </c>
      <c r="D45" s="2228" t="s">
        <v>3799</v>
      </c>
      <c r="E45" s="2372" t="s">
        <v>4894</v>
      </c>
      <c r="F45" s="2215">
        <v>225650</v>
      </c>
      <c r="G45" s="2215">
        <v>259497.5</v>
      </c>
      <c r="H45" s="2216">
        <v>43486</v>
      </c>
      <c r="I45" s="2216">
        <v>44032</v>
      </c>
      <c r="J45" s="2208" t="s">
        <v>6961</v>
      </c>
      <c r="K45" s="2219">
        <v>45245</v>
      </c>
    </row>
    <row r="46" spans="1:11">
      <c r="A46" s="2238" t="s">
        <v>2884</v>
      </c>
      <c r="B46" s="2214" t="s">
        <v>3508</v>
      </c>
      <c r="C46" s="2218">
        <v>3</v>
      </c>
      <c r="D46" s="2228" t="s">
        <v>3800</v>
      </c>
      <c r="E46" s="2372" t="s">
        <v>2776</v>
      </c>
      <c r="F46" s="2215">
        <v>580000</v>
      </c>
      <c r="G46" s="2215">
        <v>667000</v>
      </c>
      <c r="H46" s="2216">
        <v>43486</v>
      </c>
      <c r="I46" s="2216">
        <v>44032</v>
      </c>
      <c r="J46" s="2208" t="s">
        <v>6961</v>
      </c>
      <c r="K46" s="2219">
        <v>45240</v>
      </c>
    </row>
    <row r="47" spans="1:11" ht="30">
      <c r="A47" s="2238" t="s">
        <v>2884</v>
      </c>
      <c r="B47" s="2214" t="s">
        <v>3508</v>
      </c>
      <c r="C47" s="2218">
        <v>4</v>
      </c>
      <c r="D47" s="2228" t="s">
        <v>3801</v>
      </c>
      <c r="E47" s="2372" t="s">
        <v>2776</v>
      </c>
      <c r="F47" s="2215">
        <v>6720000</v>
      </c>
      <c r="G47" s="2215">
        <v>7728000</v>
      </c>
      <c r="H47" s="2216">
        <v>43486</v>
      </c>
      <c r="I47" s="2216">
        <v>44032</v>
      </c>
      <c r="J47" s="2208" t="s">
        <v>6961</v>
      </c>
      <c r="K47" s="2219">
        <v>45240</v>
      </c>
    </row>
    <row r="48" spans="1:11" ht="30">
      <c r="A48" s="2238" t="s">
        <v>2884</v>
      </c>
      <c r="B48" s="2214" t="s">
        <v>3508</v>
      </c>
      <c r="C48" s="2218">
        <v>6</v>
      </c>
      <c r="D48" s="2228" t="s">
        <v>3802</v>
      </c>
      <c r="E48" s="2372" t="s">
        <v>6763</v>
      </c>
      <c r="F48" s="2215">
        <v>1792000</v>
      </c>
      <c r="G48" s="2215">
        <v>2060799.9999999998</v>
      </c>
      <c r="H48" s="2216">
        <v>43486</v>
      </c>
      <c r="I48" s="2216">
        <v>44032</v>
      </c>
      <c r="J48" s="2208" t="s">
        <v>6961</v>
      </c>
      <c r="K48" s="2219">
        <v>45240</v>
      </c>
    </row>
    <row r="49" spans="1:11">
      <c r="A49" s="2238" t="s">
        <v>2884</v>
      </c>
      <c r="B49" s="2214" t="s">
        <v>3508</v>
      </c>
      <c r="C49" s="2218">
        <v>7</v>
      </c>
      <c r="D49" s="2228" t="s">
        <v>3803</v>
      </c>
      <c r="E49" s="2372" t="s">
        <v>2776</v>
      </c>
      <c r="F49" s="2215">
        <v>700000</v>
      </c>
      <c r="G49" s="2215">
        <v>805000</v>
      </c>
      <c r="H49" s="2216">
        <v>43486</v>
      </c>
      <c r="I49" s="2216">
        <v>44032</v>
      </c>
      <c r="J49" s="2208" t="s">
        <v>6961</v>
      </c>
      <c r="K49" s="2219">
        <v>45240</v>
      </c>
    </row>
    <row r="50" spans="1:11" ht="30">
      <c r="A50" s="2238" t="s">
        <v>2884</v>
      </c>
      <c r="B50" s="2214" t="s">
        <v>3508</v>
      </c>
      <c r="C50" s="2218">
        <v>9</v>
      </c>
      <c r="D50" s="2228" t="s">
        <v>3804</v>
      </c>
      <c r="E50" s="2372" t="s">
        <v>6763</v>
      </c>
      <c r="F50" s="2215">
        <v>407460</v>
      </c>
      <c r="G50" s="2215">
        <v>468579</v>
      </c>
      <c r="H50" s="2216">
        <v>43486</v>
      </c>
      <c r="I50" s="2216">
        <v>44032</v>
      </c>
      <c r="J50" s="2208" t="s">
        <v>6961</v>
      </c>
      <c r="K50" s="2219">
        <v>45240</v>
      </c>
    </row>
    <row r="51" spans="1:11" ht="30">
      <c r="A51" s="2238" t="s">
        <v>3203</v>
      </c>
      <c r="B51" s="2214" t="s">
        <v>3205</v>
      </c>
      <c r="C51" s="2218"/>
      <c r="D51" s="2228"/>
      <c r="E51" s="2372" t="s">
        <v>2776</v>
      </c>
      <c r="F51" s="2215">
        <v>18039000</v>
      </c>
      <c r="G51" s="2215">
        <v>20744850</v>
      </c>
      <c r="H51" s="2216">
        <v>43489</v>
      </c>
      <c r="I51" s="2216">
        <v>44035</v>
      </c>
      <c r="J51" s="2210" t="s">
        <v>8516</v>
      </c>
      <c r="K51" s="2217">
        <v>45452</v>
      </c>
    </row>
    <row r="52" spans="1:11">
      <c r="A52" s="2238" t="s">
        <v>2950</v>
      </c>
      <c r="B52" s="2214" t="s">
        <v>3510</v>
      </c>
      <c r="C52" s="2218">
        <v>2</v>
      </c>
      <c r="D52" s="2228" t="s">
        <v>3810</v>
      </c>
      <c r="E52" s="2372" t="s">
        <v>3191</v>
      </c>
      <c r="F52" s="2215">
        <v>3240000</v>
      </c>
      <c r="G52" s="2215">
        <v>3726000</v>
      </c>
      <c r="H52" s="2216">
        <v>43500</v>
      </c>
      <c r="I52" s="2216">
        <v>44046</v>
      </c>
      <c r="J52" s="2208" t="s">
        <v>7146</v>
      </c>
      <c r="K52" s="2219">
        <v>44946</v>
      </c>
    </row>
    <row r="53" spans="1:11" ht="30">
      <c r="A53" s="2238" t="s">
        <v>2950</v>
      </c>
      <c r="B53" s="2214" t="s">
        <v>3510</v>
      </c>
      <c r="C53" s="2218">
        <v>3</v>
      </c>
      <c r="D53" s="2228" t="s">
        <v>3811</v>
      </c>
      <c r="E53" s="2372" t="s">
        <v>5696</v>
      </c>
      <c r="F53" s="2215">
        <v>276383</v>
      </c>
      <c r="G53" s="2215">
        <v>317840.45</v>
      </c>
      <c r="H53" s="2216">
        <v>43500</v>
      </c>
      <c r="I53" s="2216">
        <v>44046</v>
      </c>
      <c r="J53" s="2208" t="s">
        <v>7146</v>
      </c>
      <c r="K53" s="2219">
        <v>44960</v>
      </c>
    </row>
    <row r="54" spans="1:11">
      <c r="A54" s="2238" t="s">
        <v>2950</v>
      </c>
      <c r="B54" s="2214" t="s">
        <v>3510</v>
      </c>
      <c r="C54" s="2218">
        <v>4</v>
      </c>
      <c r="D54" s="2228" t="s">
        <v>3812</v>
      </c>
      <c r="E54" s="2372" t="s">
        <v>3191</v>
      </c>
      <c r="F54" s="2215">
        <v>398000</v>
      </c>
      <c r="G54" s="2215">
        <v>457700</v>
      </c>
      <c r="H54" s="2216">
        <v>43500</v>
      </c>
      <c r="I54" s="2216">
        <v>44046</v>
      </c>
      <c r="J54" s="2208" t="s">
        <v>7146</v>
      </c>
      <c r="K54" s="2219">
        <v>44946</v>
      </c>
    </row>
    <row r="55" spans="1:11">
      <c r="A55" s="2238" t="s">
        <v>2950</v>
      </c>
      <c r="B55" s="2214" t="s">
        <v>3510</v>
      </c>
      <c r="C55" s="2218">
        <v>5</v>
      </c>
      <c r="D55" s="2228" t="s">
        <v>3813</v>
      </c>
      <c r="E55" s="2372" t="s">
        <v>3191</v>
      </c>
      <c r="F55" s="2215">
        <v>1410000</v>
      </c>
      <c r="G55" s="2215">
        <v>1621500</v>
      </c>
      <c r="H55" s="2216">
        <v>43500</v>
      </c>
      <c r="I55" s="2216">
        <v>44046</v>
      </c>
      <c r="J55" s="2208" t="s">
        <v>7146</v>
      </c>
      <c r="K55" s="2219">
        <v>44946</v>
      </c>
    </row>
    <row r="56" spans="1:11" ht="30">
      <c r="A56" s="2238" t="s">
        <v>2950</v>
      </c>
      <c r="B56" s="2214" t="s">
        <v>3510</v>
      </c>
      <c r="C56" s="2218">
        <v>6</v>
      </c>
      <c r="D56" s="2228" t="s">
        <v>3814</v>
      </c>
      <c r="E56" s="2372" t="s">
        <v>3191</v>
      </c>
      <c r="F56" s="2215">
        <v>614250</v>
      </c>
      <c r="G56" s="2215">
        <v>706387.5</v>
      </c>
      <c r="H56" s="2216">
        <v>43500</v>
      </c>
      <c r="I56" s="2216">
        <v>44046</v>
      </c>
      <c r="J56" s="2208" t="s">
        <v>7146</v>
      </c>
      <c r="K56" s="2219">
        <v>44946</v>
      </c>
    </row>
    <row r="57" spans="1:11" ht="45">
      <c r="A57" s="2238" t="s">
        <v>2950</v>
      </c>
      <c r="B57" s="2214" t="s">
        <v>3510</v>
      </c>
      <c r="C57" s="2218">
        <v>7</v>
      </c>
      <c r="D57" s="2228" t="s">
        <v>3815</v>
      </c>
      <c r="E57" s="2372" t="s">
        <v>3191</v>
      </c>
      <c r="F57" s="2215">
        <v>2616000</v>
      </c>
      <c r="G57" s="2215">
        <v>3008400</v>
      </c>
      <c r="H57" s="2216">
        <v>43500</v>
      </c>
      <c r="I57" s="2216">
        <v>44046</v>
      </c>
      <c r="J57" s="2208" t="s">
        <v>7146</v>
      </c>
      <c r="K57" s="2219">
        <v>44946</v>
      </c>
    </row>
    <row r="58" spans="1:11" ht="30">
      <c r="A58" s="2238" t="s">
        <v>2950</v>
      </c>
      <c r="B58" s="2214" t="s">
        <v>3510</v>
      </c>
      <c r="C58" s="2218">
        <v>8</v>
      </c>
      <c r="D58" s="2228" t="s">
        <v>3816</v>
      </c>
      <c r="E58" s="2372" t="s">
        <v>3191</v>
      </c>
      <c r="F58" s="2215">
        <v>2160000</v>
      </c>
      <c r="G58" s="2215">
        <v>2484000</v>
      </c>
      <c r="H58" s="2216">
        <v>43500</v>
      </c>
      <c r="I58" s="2216">
        <v>44046</v>
      </c>
      <c r="J58" s="2208" t="s">
        <v>7146</v>
      </c>
      <c r="K58" s="2219">
        <v>44946</v>
      </c>
    </row>
    <row r="59" spans="1:11">
      <c r="A59" s="2238" t="s">
        <v>2950</v>
      </c>
      <c r="B59" s="2214" t="s">
        <v>3510</v>
      </c>
      <c r="C59" s="2218">
        <v>11</v>
      </c>
      <c r="D59" s="2228" t="s">
        <v>3819</v>
      </c>
      <c r="E59" s="2372" t="s">
        <v>5696</v>
      </c>
      <c r="F59" s="2215">
        <v>904000</v>
      </c>
      <c r="G59" s="2215">
        <v>1039600</v>
      </c>
      <c r="H59" s="2216">
        <v>43500</v>
      </c>
      <c r="I59" s="2216">
        <v>44046</v>
      </c>
      <c r="J59" s="2208" t="s">
        <v>7146</v>
      </c>
      <c r="K59" s="2219">
        <v>44960</v>
      </c>
    </row>
    <row r="60" spans="1:11">
      <c r="A60" s="2204" t="s">
        <v>2950</v>
      </c>
      <c r="B60" s="2174" t="s">
        <v>3510</v>
      </c>
      <c r="C60" s="2208">
        <v>13</v>
      </c>
      <c r="D60" s="2176" t="s">
        <v>3820</v>
      </c>
      <c r="E60" s="2212" t="s">
        <v>3192</v>
      </c>
      <c r="F60" s="2209">
        <v>172740.4</v>
      </c>
      <c r="G60" s="2209">
        <v>198651.46</v>
      </c>
      <c r="H60" s="2175">
        <v>43500</v>
      </c>
      <c r="I60" s="2175">
        <v>44046</v>
      </c>
      <c r="J60" s="2210"/>
      <c r="K60" s="2211"/>
    </row>
    <row r="61" spans="1:11" ht="30">
      <c r="A61" s="2239" t="s">
        <v>2950</v>
      </c>
      <c r="B61" s="2221" t="s">
        <v>3510</v>
      </c>
      <c r="C61" s="2222">
        <v>10</v>
      </c>
      <c r="D61" s="2229" t="s">
        <v>3818</v>
      </c>
      <c r="E61" s="2373" t="s">
        <v>3191</v>
      </c>
      <c r="F61" s="2223">
        <v>1320000</v>
      </c>
      <c r="G61" s="2223">
        <v>1518000</v>
      </c>
      <c r="H61" s="2220">
        <v>43504</v>
      </c>
      <c r="I61" s="2220">
        <v>44050</v>
      </c>
      <c r="J61" s="2208" t="s">
        <v>7146</v>
      </c>
      <c r="K61" s="2219">
        <v>44946</v>
      </c>
    </row>
    <row r="62" spans="1:11">
      <c r="A62" s="2204" t="s">
        <v>4970</v>
      </c>
      <c r="B62" s="2174" t="s">
        <v>4971</v>
      </c>
      <c r="C62" s="2208"/>
      <c r="D62" s="2176"/>
      <c r="E62" s="2212" t="s">
        <v>3179</v>
      </c>
      <c r="F62" s="2209">
        <v>1960200</v>
      </c>
      <c r="G62" s="2209">
        <v>2254230</v>
      </c>
      <c r="H62" s="2175">
        <v>43699</v>
      </c>
      <c r="I62" s="2175">
        <v>44064</v>
      </c>
      <c r="J62" s="2210"/>
      <c r="K62" s="2211"/>
    </row>
    <row r="63" spans="1:11" ht="30">
      <c r="A63" s="2238" t="s">
        <v>3011</v>
      </c>
      <c r="B63" s="2214" t="s">
        <v>3012</v>
      </c>
      <c r="C63" s="2218"/>
      <c r="D63" s="2214"/>
      <c r="E63" s="2372" t="s">
        <v>3320</v>
      </c>
      <c r="F63" s="2215">
        <v>3100920.18</v>
      </c>
      <c r="G63" s="2215">
        <v>3752112.74</v>
      </c>
      <c r="H63" s="2216">
        <v>43343</v>
      </c>
      <c r="I63" s="2216">
        <v>44073</v>
      </c>
      <c r="J63" s="2208" t="s">
        <v>6960</v>
      </c>
      <c r="K63" s="2230" t="s">
        <v>4096</v>
      </c>
    </row>
    <row r="64" spans="1:11">
      <c r="A64" s="2238" t="s">
        <v>2798</v>
      </c>
      <c r="B64" s="2214" t="s">
        <v>3506</v>
      </c>
      <c r="C64" s="2218">
        <v>2</v>
      </c>
      <c r="D64" s="2228" t="s">
        <v>3686</v>
      </c>
      <c r="E64" s="2372" t="s">
        <v>5696</v>
      </c>
      <c r="F64" s="2215">
        <v>990000</v>
      </c>
      <c r="G64" s="2215">
        <v>1138500</v>
      </c>
      <c r="H64" s="2216">
        <v>43535</v>
      </c>
      <c r="I64" s="2216">
        <v>44084</v>
      </c>
      <c r="J64" s="2208" t="s">
        <v>8162</v>
      </c>
      <c r="K64" s="2217">
        <v>45467</v>
      </c>
    </row>
    <row r="65" spans="1:11">
      <c r="A65" s="2238" t="s">
        <v>2798</v>
      </c>
      <c r="B65" s="2214" t="s">
        <v>3506</v>
      </c>
      <c r="C65" s="2218">
        <v>1</v>
      </c>
      <c r="D65" s="2228" t="s">
        <v>3685</v>
      </c>
      <c r="E65" s="2372" t="s">
        <v>3175</v>
      </c>
      <c r="F65" s="2215">
        <v>13797684.699999999</v>
      </c>
      <c r="G65" s="2215">
        <v>15867337.449999999</v>
      </c>
      <c r="H65" s="2216">
        <v>43539</v>
      </c>
      <c r="I65" s="2216">
        <v>44088</v>
      </c>
      <c r="J65" s="2208" t="s">
        <v>8162</v>
      </c>
      <c r="K65" s="2217">
        <v>45467</v>
      </c>
    </row>
    <row r="66" spans="1:11">
      <c r="A66" s="2238" t="s">
        <v>2798</v>
      </c>
      <c r="B66" s="2214" t="s">
        <v>3506</v>
      </c>
      <c r="C66" s="2218">
        <v>3</v>
      </c>
      <c r="D66" s="2228" t="s">
        <v>3687</v>
      </c>
      <c r="E66" s="2372" t="s">
        <v>3175</v>
      </c>
      <c r="F66" s="2215">
        <v>1677000</v>
      </c>
      <c r="G66" s="2215">
        <v>1928550</v>
      </c>
      <c r="H66" s="2216">
        <v>43539</v>
      </c>
      <c r="I66" s="2216">
        <v>44088</v>
      </c>
      <c r="J66" s="2208" t="s">
        <v>8162</v>
      </c>
      <c r="K66" s="2217">
        <v>45467</v>
      </c>
    </row>
    <row r="67" spans="1:11">
      <c r="A67" s="2238" t="s">
        <v>2798</v>
      </c>
      <c r="B67" s="2214" t="s">
        <v>3506</v>
      </c>
      <c r="C67" s="2218">
        <v>4</v>
      </c>
      <c r="D67" s="2228" t="s">
        <v>3688</v>
      </c>
      <c r="E67" s="2372" t="s">
        <v>3175</v>
      </c>
      <c r="F67" s="2215">
        <v>7097500</v>
      </c>
      <c r="G67" s="2215">
        <v>8162125</v>
      </c>
      <c r="H67" s="2216">
        <v>43539</v>
      </c>
      <c r="I67" s="2216">
        <v>44088</v>
      </c>
      <c r="J67" s="2208" t="s">
        <v>8162</v>
      </c>
      <c r="K67" s="2217">
        <v>45467</v>
      </c>
    </row>
    <row r="68" spans="1:11">
      <c r="A68" s="2238" t="s">
        <v>2798</v>
      </c>
      <c r="B68" s="2214" t="s">
        <v>3506</v>
      </c>
      <c r="C68" s="2218">
        <v>5</v>
      </c>
      <c r="D68" s="2228" t="s">
        <v>3689</v>
      </c>
      <c r="E68" s="2372" t="s">
        <v>3175</v>
      </c>
      <c r="F68" s="2215">
        <v>990000</v>
      </c>
      <c r="G68" s="2215">
        <v>1138500</v>
      </c>
      <c r="H68" s="2216">
        <v>43539</v>
      </c>
      <c r="I68" s="2216">
        <v>44088</v>
      </c>
      <c r="J68" s="2208" t="s">
        <v>8162</v>
      </c>
      <c r="K68" s="2217">
        <v>45467</v>
      </c>
    </row>
    <row r="69" spans="1:11">
      <c r="A69" s="2238" t="s">
        <v>2798</v>
      </c>
      <c r="B69" s="2214" t="s">
        <v>3506</v>
      </c>
      <c r="C69" s="2218">
        <v>6</v>
      </c>
      <c r="D69" s="2228" t="s">
        <v>3690</v>
      </c>
      <c r="E69" s="2372" t="s">
        <v>3175</v>
      </c>
      <c r="F69" s="2215">
        <v>1650000</v>
      </c>
      <c r="G69" s="2215">
        <v>1897500</v>
      </c>
      <c r="H69" s="2216">
        <v>43539</v>
      </c>
      <c r="I69" s="2216">
        <v>44088</v>
      </c>
      <c r="J69" s="2208" t="s">
        <v>8162</v>
      </c>
      <c r="K69" s="2217">
        <v>45467</v>
      </c>
    </row>
    <row r="70" spans="1:11">
      <c r="A70" s="2238" t="s">
        <v>3014</v>
      </c>
      <c r="B70" s="2214" t="s">
        <v>3015</v>
      </c>
      <c r="C70" s="2218"/>
      <c r="D70" s="2214"/>
      <c r="E70" s="2372" t="s">
        <v>1433</v>
      </c>
      <c r="F70" s="2215">
        <v>3732640</v>
      </c>
      <c r="G70" s="2215">
        <v>4516494.4000000004</v>
      </c>
      <c r="H70" s="2216">
        <v>43362</v>
      </c>
      <c r="I70" s="2216">
        <v>44092</v>
      </c>
      <c r="J70" s="2208" t="s">
        <v>8118</v>
      </c>
      <c r="K70" s="2217">
        <v>45043</v>
      </c>
    </row>
    <row r="71" spans="1:11">
      <c r="A71" s="2238" t="s">
        <v>3041</v>
      </c>
      <c r="B71" s="2214" t="s">
        <v>3514</v>
      </c>
      <c r="C71" s="2218">
        <v>2</v>
      </c>
      <c r="D71" s="2228" t="s">
        <v>3822</v>
      </c>
      <c r="E71" s="2372" t="s">
        <v>3179</v>
      </c>
      <c r="F71" s="2215">
        <v>3115500</v>
      </c>
      <c r="G71" s="2215">
        <v>3769755</v>
      </c>
      <c r="H71" s="2216">
        <v>43549</v>
      </c>
      <c r="I71" s="2216">
        <v>44098</v>
      </c>
      <c r="J71" s="2208" t="s">
        <v>8353</v>
      </c>
      <c r="K71" s="2217">
        <v>45465</v>
      </c>
    </row>
    <row r="72" spans="1:11">
      <c r="A72" s="2238" t="s">
        <v>3041</v>
      </c>
      <c r="B72" s="2214" t="s">
        <v>3514</v>
      </c>
      <c r="C72" s="2218">
        <v>4</v>
      </c>
      <c r="D72" s="2228" t="s">
        <v>3823</v>
      </c>
      <c r="E72" s="2372" t="s">
        <v>3179</v>
      </c>
      <c r="F72" s="2215">
        <v>600000</v>
      </c>
      <c r="G72" s="2215">
        <v>726000</v>
      </c>
      <c r="H72" s="2216">
        <v>43549</v>
      </c>
      <c r="I72" s="2216">
        <v>44098</v>
      </c>
      <c r="J72" s="2208" t="s">
        <v>8353</v>
      </c>
      <c r="K72" s="2217">
        <v>45465</v>
      </c>
    </row>
    <row r="73" spans="1:11">
      <c r="A73" s="2238" t="s">
        <v>3041</v>
      </c>
      <c r="B73" s="2214" t="s">
        <v>3514</v>
      </c>
      <c r="C73" s="2218">
        <v>5</v>
      </c>
      <c r="D73" s="2228" t="s">
        <v>3824</v>
      </c>
      <c r="E73" s="2372" t="s">
        <v>2776</v>
      </c>
      <c r="F73" s="2215">
        <v>3478512.4</v>
      </c>
      <c r="G73" s="2215">
        <v>4209000.0039999997</v>
      </c>
      <c r="H73" s="2216">
        <v>43549</v>
      </c>
      <c r="I73" s="2216">
        <v>44098</v>
      </c>
      <c r="J73" s="2208" t="s">
        <v>8353</v>
      </c>
      <c r="K73" s="2217">
        <v>45458</v>
      </c>
    </row>
    <row r="74" spans="1:11">
      <c r="A74" s="2238" t="s">
        <v>3041</v>
      </c>
      <c r="B74" s="2214" t="s">
        <v>3514</v>
      </c>
      <c r="C74" s="2218">
        <v>6</v>
      </c>
      <c r="D74" s="2228" t="s">
        <v>3825</v>
      </c>
      <c r="E74" s="2372" t="s">
        <v>3179</v>
      </c>
      <c r="F74" s="2215">
        <v>654000</v>
      </c>
      <c r="G74" s="2215">
        <v>791340</v>
      </c>
      <c r="H74" s="2216">
        <v>43549</v>
      </c>
      <c r="I74" s="2216">
        <v>44098</v>
      </c>
      <c r="J74" s="2208" t="s">
        <v>8353</v>
      </c>
      <c r="K74" s="2217">
        <v>45465</v>
      </c>
    </row>
    <row r="75" spans="1:11" ht="30">
      <c r="A75" s="2238" t="s">
        <v>3041</v>
      </c>
      <c r="B75" s="2214" t="s">
        <v>3514</v>
      </c>
      <c r="C75" s="2218">
        <v>1</v>
      </c>
      <c r="D75" s="2228" t="s">
        <v>3821</v>
      </c>
      <c r="E75" s="2372" t="s">
        <v>3478</v>
      </c>
      <c r="F75" s="2215">
        <v>19664619.829999998</v>
      </c>
      <c r="G75" s="2215">
        <v>23794189.994299997</v>
      </c>
      <c r="H75" s="2216">
        <v>43552</v>
      </c>
      <c r="I75" s="2216">
        <v>44101</v>
      </c>
      <c r="J75" s="2208" t="s">
        <v>8182</v>
      </c>
      <c r="K75" s="2217">
        <v>44391</v>
      </c>
    </row>
    <row r="76" spans="1:11">
      <c r="A76" s="2238" t="s">
        <v>3041</v>
      </c>
      <c r="B76" s="2214" t="s">
        <v>3514</v>
      </c>
      <c r="C76" s="2218">
        <v>7</v>
      </c>
      <c r="D76" s="2228" t="s">
        <v>3826</v>
      </c>
      <c r="E76" s="2372" t="s">
        <v>2776</v>
      </c>
      <c r="F76" s="2215">
        <v>676644.63</v>
      </c>
      <c r="G76" s="2215">
        <v>818740.00229999993</v>
      </c>
      <c r="H76" s="2216">
        <v>43552</v>
      </c>
      <c r="I76" s="2216">
        <v>44101</v>
      </c>
      <c r="J76" s="2208" t="s">
        <v>8353</v>
      </c>
      <c r="K76" s="2217">
        <v>45458</v>
      </c>
    </row>
    <row r="77" spans="1:11">
      <c r="A77" s="2238" t="s">
        <v>3041</v>
      </c>
      <c r="B77" s="2214" t="s">
        <v>3514</v>
      </c>
      <c r="C77" s="2218">
        <v>8</v>
      </c>
      <c r="D77" s="2228" t="s">
        <v>3827</v>
      </c>
      <c r="E77" s="2372" t="s">
        <v>2776</v>
      </c>
      <c r="F77" s="2215">
        <v>14126033.060000001</v>
      </c>
      <c r="G77" s="2215">
        <v>17092500.002599999</v>
      </c>
      <c r="H77" s="2216">
        <v>43552</v>
      </c>
      <c r="I77" s="2216">
        <v>44101</v>
      </c>
      <c r="J77" s="2208" t="s">
        <v>8353</v>
      </c>
      <c r="K77" s="2217">
        <v>45458</v>
      </c>
    </row>
    <row r="78" spans="1:11">
      <c r="A78" s="2238" t="s">
        <v>3041</v>
      </c>
      <c r="B78" s="2214" t="s">
        <v>3514</v>
      </c>
      <c r="C78" s="2218">
        <v>9</v>
      </c>
      <c r="D78" s="2228" t="s">
        <v>3828</v>
      </c>
      <c r="E78" s="2372" t="s">
        <v>2776</v>
      </c>
      <c r="F78" s="2215">
        <v>3800000</v>
      </c>
      <c r="G78" s="2215">
        <v>4598000</v>
      </c>
      <c r="H78" s="2216">
        <v>43552</v>
      </c>
      <c r="I78" s="2216">
        <v>44101</v>
      </c>
      <c r="J78" s="2208" t="s">
        <v>8353</v>
      </c>
      <c r="K78" s="2217">
        <v>45458</v>
      </c>
    </row>
    <row r="79" spans="1:11">
      <c r="A79" s="2238" t="s">
        <v>3041</v>
      </c>
      <c r="B79" s="2214" t="s">
        <v>3514</v>
      </c>
      <c r="C79" s="2218">
        <v>10</v>
      </c>
      <c r="D79" s="2228" t="s">
        <v>3829</v>
      </c>
      <c r="E79" s="2372" t="s">
        <v>3478</v>
      </c>
      <c r="F79" s="2215">
        <v>5625000</v>
      </c>
      <c r="G79" s="2215">
        <v>6806250</v>
      </c>
      <c r="H79" s="2216">
        <v>43552</v>
      </c>
      <c r="I79" s="2216">
        <v>44101</v>
      </c>
      <c r="J79" s="2208" t="s">
        <v>8353</v>
      </c>
      <c r="K79" s="2217">
        <v>45463</v>
      </c>
    </row>
    <row r="80" spans="1:11" ht="45">
      <c r="A80" s="2238" t="s">
        <v>3041</v>
      </c>
      <c r="B80" s="2214" t="s">
        <v>3514</v>
      </c>
      <c r="C80" s="2218">
        <v>11</v>
      </c>
      <c r="D80" s="2228" t="s">
        <v>3830</v>
      </c>
      <c r="E80" s="2372" t="s">
        <v>3478</v>
      </c>
      <c r="F80" s="2215">
        <v>1875000</v>
      </c>
      <c r="G80" s="2215">
        <v>2268750</v>
      </c>
      <c r="H80" s="2216">
        <v>43552</v>
      </c>
      <c r="I80" s="2216">
        <v>44101</v>
      </c>
      <c r="J80" s="2208" t="s">
        <v>8182</v>
      </c>
      <c r="K80" s="2217">
        <v>44391</v>
      </c>
    </row>
    <row r="81" spans="1:11" ht="30">
      <c r="A81" s="2238" t="s">
        <v>3041</v>
      </c>
      <c r="B81" s="2214" t="s">
        <v>3514</v>
      </c>
      <c r="C81" s="2218">
        <v>12</v>
      </c>
      <c r="D81" s="2228" t="s">
        <v>3831</v>
      </c>
      <c r="E81" s="2372" t="s">
        <v>3478</v>
      </c>
      <c r="F81" s="2215">
        <v>1156605.3799999999</v>
      </c>
      <c r="G81" s="2215">
        <v>1399492.5097999999</v>
      </c>
      <c r="H81" s="2216">
        <v>43552</v>
      </c>
      <c r="I81" s="2216">
        <v>44101</v>
      </c>
      <c r="J81" s="2208" t="s">
        <v>9073</v>
      </c>
      <c r="K81" s="2217">
        <v>45912</v>
      </c>
    </row>
    <row r="82" spans="1:11">
      <c r="A82" s="2238" t="s">
        <v>3135</v>
      </c>
      <c r="B82" s="2214" t="s">
        <v>3136</v>
      </c>
      <c r="C82" s="2218"/>
      <c r="D82" s="2214"/>
      <c r="E82" s="2372" t="s">
        <v>459</v>
      </c>
      <c r="F82" s="2215">
        <v>2529000</v>
      </c>
      <c r="G82" s="2215">
        <v>3060090</v>
      </c>
      <c r="H82" s="2216">
        <v>43424</v>
      </c>
      <c r="I82" s="2216">
        <v>44154</v>
      </c>
      <c r="J82" s="2208" t="s">
        <v>7194</v>
      </c>
      <c r="K82" s="2230" t="s">
        <v>4096</v>
      </c>
    </row>
    <row r="83" spans="1:11">
      <c r="A83" s="2238" t="s">
        <v>3214</v>
      </c>
      <c r="B83" s="2214" t="s">
        <v>3215</v>
      </c>
      <c r="C83" s="2218"/>
      <c r="D83" s="2214"/>
      <c r="E83" s="2372" t="s">
        <v>1433</v>
      </c>
      <c r="F83" s="2215">
        <v>1212500</v>
      </c>
      <c r="G83" s="2215">
        <v>1467125</v>
      </c>
      <c r="H83" s="2216">
        <v>43432</v>
      </c>
      <c r="I83" s="2216">
        <v>44162</v>
      </c>
      <c r="J83" s="2210" t="s">
        <v>8247</v>
      </c>
      <c r="K83" s="2217">
        <v>45029</v>
      </c>
    </row>
    <row r="84" spans="1:11" ht="30">
      <c r="A84" s="2238" t="s">
        <v>7793</v>
      </c>
      <c r="B84" s="2214" t="s">
        <v>7794</v>
      </c>
      <c r="C84" s="2218"/>
      <c r="D84" s="2372"/>
      <c r="E84" s="2372" t="s">
        <v>2285</v>
      </c>
      <c r="F84" s="2215">
        <v>1999006</v>
      </c>
      <c r="G84" s="2215">
        <v>2418797.2599999998</v>
      </c>
      <c r="H84" s="2216">
        <v>44151</v>
      </c>
      <c r="I84" s="2216">
        <v>44166</v>
      </c>
      <c r="J84" s="2302" t="s">
        <v>10871</v>
      </c>
      <c r="K84" s="2408"/>
    </row>
    <row r="85" spans="1:11">
      <c r="A85" s="2238" t="s">
        <v>7821</v>
      </c>
      <c r="B85" s="2214" t="s">
        <v>7822</v>
      </c>
      <c r="C85" s="2218"/>
      <c r="D85" s="2372"/>
      <c r="E85" s="2372" t="s">
        <v>7851</v>
      </c>
      <c r="F85" s="2215">
        <v>800120</v>
      </c>
      <c r="G85" s="2215">
        <v>968145.2</v>
      </c>
      <c r="H85" s="2216">
        <v>44155</v>
      </c>
      <c r="I85" s="2216">
        <v>44169</v>
      </c>
      <c r="J85" s="2210" t="s">
        <v>9688</v>
      </c>
      <c r="K85" s="2211"/>
    </row>
    <row r="86" spans="1:11" ht="30">
      <c r="A86" s="2238" t="s">
        <v>3294</v>
      </c>
      <c r="B86" s="2214" t="s">
        <v>3295</v>
      </c>
      <c r="C86" s="2218"/>
      <c r="D86" s="2214"/>
      <c r="E86" s="2372" t="s">
        <v>8190</v>
      </c>
      <c r="F86" s="2215">
        <v>6311208</v>
      </c>
      <c r="G86" s="2215">
        <v>7636561.6799999997</v>
      </c>
      <c r="H86" s="2216">
        <v>43441</v>
      </c>
      <c r="I86" s="2216">
        <v>44171</v>
      </c>
      <c r="J86" s="2210" t="s">
        <v>7942</v>
      </c>
      <c r="K86" s="2219">
        <v>46095</v>
      </c>
    </row>
    <row r="87" spans="1:11" ht="45">
      <c r="A87" s="2238" t="s">
        <v>2865</v>
      </c>
      <c r="B87" s="2214" t="s">
        <v>3507</v>
      </c>
      <c r="C87" s="2218">
        <v>1</v>
      </c>
      <c r="D87" s="2228" t="s">
        <v>3793</v>
      </c>
      <c r="E87" s="2372" t="s">
        <v>3393</v>
      </c>
      <c r="F87" s="2215">
        <v>4289133.8</v>
      </c>
      <c r="G87" s="2215">
        <v>4939616.2</v>
      </c>
      <c r="H87" s="2216">
        <v>43644</v>
      </c>
      <c r="I87" s="2216">
        <v>44192</v>
      </c>
      <c r="J87" s="2210" t="s">
        <v>7650</v>
      </c>
      <c r="K87" s="2230" t="s">
        <v>4096</v>
      </c>
    </row>
    <row r="88" spans="1:11" ht="45">
      <c r="A88" s="2238" t="s">
        <v>2865</v>
      </c>
      <c r="B88" s="2214" t="s">
        <v>3507</v>
      </c>
      <c r="C88" s="2218">
        <v>2</v>
      </c>
      <c r="D88" s="2228" t="s">
        <v>3794</v>
      </c>
      <c r="E88" s="2372" t="s">
        <v>3393</v>
      </c>
      <c r="F88" s="2215">
        <v>25803589.02</v>
      </c>
      <c r="G88" s="2215">
        <v>29701249.710000001</v>
      </c>
      <c r="H88" s="2216">
        <v>43644</v>
      </c>
      <c r="I88" s="2216">
        <v>44192</v>
      </c>
      <c r="J88" s="2210" t="s">
        <v>7650</v>
      </c>
      <c r="K88" s="2230" t="s">
        <v>4096</v>
      </c>
    </row>
    <row r="89" spans="1:11" ht="45">
      <c r="A89" s="2238" t="s">
        <v>2865</v>
      </c>
      <c r="B89" s="2214" t="s">
        <v>3507</v>
      </c>
      <c r="C89" s="2218">
        <v>3</v>
      </c>
      <c r="D89" s="2228" t="s">
        <v>3795</v>
      </c>
      <c r="E89" s="2372" t="s">
        <v>3393</v>
      </c>
      <c r="F89" s="2215">
        <v>7777523.2000000002</v>
      </c>
      <c r="G89" s="2215">
        <v>8960589.5999999996</v>
      </c>
      <c r="H89" s="2216">
        <v>43644</v>
      </c>
      <c r="I89" s="2216">
        <v>44192</v>
      </c>
      <c r="J89" s="2210" t="s">
        <v>8213</v>
      </c>
      <c r="K89" s="2211" t="s">
        <v>4096</v>
      </c>
    </row>
    <row r="90" spans="1:11" ht="30">
      <c r="A90" s="2238" t="s">
        <v>2865</v>
      </c>
      <c r="B90" s="2214" t="s">
        <v>3507</v>
      </c>
      <c r="C90" s="2218">
        <v>4</v>
      </c>
      <c r="D90" s="2228" t="s">
        <v>3796</v>
      </c>
      <c r="E90" s="2372" t="s">
        <v>3393</v>
      </c>
      <c r="F90" s="2215">
        <v>2451609.56</v>
      </c>
      <c r="G90" s="2215">
        <v>2825040.84</v>
      </c>
      <c r="H90" s="2216">
        <v>43644</v>
      </c>
      <c r="I90" s="2216">
        <v>44192</v>
      </c>
      <c r="J90" s="2210" t="s">
        <v>8213</v>
      </c>
      <c r="K90" s="2211" t="s">
        <v>4096</v>
      </c>
    </row>
    <row r="91" spans="1:11">
      <c r="A91" s="2238" t="s">
        <v>2865</v>
      </c>
      <c r="B91" s="2214" t="s">
        <v>3507</v>
      </c>
      <c r="C91" s="2218">
        <v>5</v>
      </c>
      <c r="D91" s="2228" t="s">
        <v>3797</v>
      </c>
      <c r="E91" s="2372" t="s">
        <v>3393</v>
      </c>
      <c r="F91" s="2215">
        <v>2958928.04</v>
      </c>
      <c r="G91" s="2215">
        <v>3408015.94</v>
      </c>
      <c r="H91" s="2216">
        <v>43644</v>
      </c>
      <c r="I91" s="2216">
        <v>44192</v>
      </c>
      <c r="J91" s="2210" t="s">
        <v>8213</v>
      </c>
      <c r="K91" s="2211" t="s">
        <v>4096</v>
      </c>
    </row>
    <row r="92" spans="1:11">
      <c r="A92" s="2238" t="s">
        <v>3384</v>
      </c>
      <c r="B92" s="2214" t="s">
        <v>3520</v>
      </c>
      <c r="C92" s="2218">
        <v>2</v>
      </c>
      <c r="D92" s="2228" t="s">
        <v>3843</v>
      </c>
      <c r="E92" s="2372" t="s">
        <v>4857</v>
      </c>
      <c r="F92" s="2215">
        <v>542640</v>
      </c>
      <c r="G92" s="2215">
        <v>656594.4</v>
      </c>
      <c r="H92" s="2216">
        <v>43482</v>
      </c>
      <c r="I92" s="2216">
        <v>44212</v>
      </c>
      <c r="J92" s="2210" t="s">
        <v>8177</v>
      </c>
      <c r="K92" s="2219">
        <v>45007</v>
      </c>
    </row>
    <row r="93" spans="1:11">
      <c r="A93" s="2238" t="s">
        <v>3384</v>
      </c>
      <c r="B93" s="2214" t="s">
        <v>3520</v>
      </c>
      <c r="C93" s="2218">
        <v>1</v>
      </c>
      <c r="D93" s="2228" t="s">
        <v>3842</v>
      </c>
      <c r="E93" s="2372" t="s">
        <v>1433</v>
      </c>
      <c r="F93" s="2215">
        <v>437800</v>
      </c>
      <c r="G93" s="2215">
        <v>529738</v>
      </c>
      <c r="H93" s="2216">
        <v>43487</v>
      </c>
      <c r="I93" s="2216">
        <v>44217</v>
      </c>
      <c r="J93" s="2210" t="s">
        <v>8177</v>
      </c>
      <c r="K93" s="2219">
        <v>44999</v>
      </c>
    </row>
    <row r="94" spans="1:11">
      <c r="A94" s="2238" t="s">
        <v>3269</v>
      </c>
      <c r="B94" s="2214" t="s">
        <v>3270</v>
      </c>
      <c r="C94" s="2218"/>
      <c r="D94" s="2228"/>
      <c r="E94" s="2228" t="s">
        <v>5696</v>
      </c>
      <c r="F94" s="2215">
        <v>6516492</v>
      </c>
      <c r="G94" s="2215">
        <v>7884956.6799999997</v>
      </c>
      <c r="H94" s="2216">
        <v>43489</v>
      </c>
      <c r="I94" s="2216">
        <v>44219</v>
      </c>
      <c r="J94" s="2210" t="s">
        <v>8193</v>
      </c>
      <c r="K94" s="2217">
        <v>45041</v>
      </c>
    </row>
    <row r="95" spans="1:11">
      <c r="A95" s="2238" t="s">
        <v>3213</v>
      </c>
      <c r="B95" s="2214" t="s">
        <v>3272</v>
      </c>
      <c r="C95" s="2218"/>
      <c r="D95" s="2228"/>
      <c r="E95" s="2372" t="s">
        <v>1433</v>
      </c>
      <c r="F95" s="2215">
        <v>900000</v>
      </c>
      <c r="G95" s="2215">
        <v>1089000</v>
      </c>
      <c r="H95" s="2216">
        <v>43501</v>
      </c>
      <c r="I95" s="2216">
        <v>44231</v>
      </c>
      <c r="J95" s="2210" t="s">
        <v>8246</v>
      </c>
      <c r="K95" s="2217">
        <v>44537</v>
      </c>
    </row>
    <row r="96" spans="1:11">
      <c r="A96" s="2238" t="s">
        <v>3463</v>
      </c>
      <c r="B96" s="2214" t="s">
        <v>3464</v>
      </c>
      <c r="C96" s="2218"/>
      <c r="D96" s="2228"/>
      <c r="E96" s="2372" t="s">
        <v>6763</v>
      </c>
      <c r="F96" s="2215">
        <v>940800</v>
      </c>
      <c r="G96" s="2215">
        <v>1138368</v>
      </c>
      <c r="H96" s="2216">
        <v>43511</v>
      </c>
      <c r="I96" s="2216">
        <v>44241</v>
      </c>
      <c r="J96" s="2210" t="s">
        <v>8172</v>
      </c>
      <c r="K96" s="2219">
        <v>44994</v>
      </c>
    </row>
    <row r="97" spans="1:11">
      <c r="A97" s="2238" t="s">
        <v>3562</v>
      </c>
      <c r="B97" s="2214" t="s">
        <v>3563</v>
      </c>
      <c r="C97" s="2218"/>
      <c r="D97" s="2228"/>
      <c r="E97" s="2372" t="s">
        <v>2285</v>
      </c>
      <c r="F97" s="2215">
        <v>1115140</v>
      </c>
      <c r="G97" s="2215">
        <v>1349319.4</v>
      </c>
      <c r="H97" s="2216">
        <v>43529</v>
      </c>
      <c r="I97" s="2216">
        <v>44259</v>
      </c>
      <c r="J97" s="2210" t="s">
        <v>8149</v>
      </c>
      <c r="K97" s="2217">
        <v>45444</v>
      </c>
    </row>
    <row r="98" spans="1:11">
      <c r="A98" s="2238" t="s">
        <v>4026</v>
      </c>
      <c r="B98" s="2214" t="s">
        <v>4027</v>
      </c>
      <c r="C98" s="2218"/>
      <c r="D98" s="2228"/>
      <c r="E98" s="2372" t="s">
        <v>3154</v>
      </c>
      <c r="F98" s="2215">
        <v>1104637.4399999999</v>
      </c>
      <c r="G98" s="2215">
        <v>1270333.06</v>
      </c>
      <c r="H98" s="2216">
        <v>43572</v>
      </c>
      <c r="I98" s="2216">
        <v>44302</v>
      </c>
      <c r="J98" s="2208" t="s">
        <v>8144</v>
      </c>
      <c r="K98" s="2219">
        <v>44981</v>
      </c>
    </row>
    <row r="99" spans="1:11" ht="30">
      <c r="A99" s="2238" t="s">
        <v>3957</v>
      </c>
      <c r="B99" s="2214" t="s">
        <v>3958</v>
      </c>
      <c r="C99" s="2218"/>
      <c r="D99" s="2228"/>
      <c r="E99" s="2372" t="s">
        <v>4464</v>
      </c>
      <c r="F99" s="2215">
        <v>1536000</v>
      </c>
      <c r="G99" s="2215">
        <v>1858560</v>
      </c>
      <c r="H99" s="2216">
        <v>43585</v>
      </c>
      <c r="I99" s="2216">
        <v>44315</v>
      </c>
      <c r="J99" s="2208" t="s">
        <v>8556</v>
      </c>
      <c r="K99" s="2217">
        <v>45438</v>
      </c>
    </row>
    <row r="100" spans="1:11">
      <c r="A100" s="2238" t="s">
        <v>3886</v>
      </c>
      <c r="B100" s="2214" t="s">
        <v>3887</v>
      </c>
      <c r="C100" s="2218"/>
      <c r="D100" s="2228"/>
      <c r="E100" s="2372" t="s">
        <v>4464</v>
      </c>
      <c r="F100" s="2215">
        <v>2517321</v>
      </c>
      <c r="G100" s="2215">
        <v>3043850.2</v>
      </c>
      <c r="H100" s="2216">
        <v>43587</v>
      </c>
      <c r="I100" s="2216">
        <v>44317</v>
      </c>
      <c r="J100" s="2210" t="s">
        <v>8394</v>
      </c>
      <c r="K100" s="2217">
        <v>45416</v>
      </c>
    </row>
    <row r="101" spans="1:11" ht="30">
      <c r="A101" s="2238" t="s">
        <v>3888</v>
      </c>
      <c r="B101" s="2214" t="s">
        <v>3889</v>
      </c>
      <c r="C101" s="2218"/>
      <c r="D101" s="2228"/>
      <c r="E101" s="2372" t="s">
        <v>4326</v>
      </c>
      <c r="F101" s="2215">
        <v>5600000</v>
      </c>
      <c r="G101" s="2215">
        <v>6776000</v>
      </c>
      <c r="H101" s="2216">
        <v>43602</v>
      </c>
      <c r="I101" s="2216">
        <v>44332</v>
      </c>
      <c r="J101" s="2210" t="s">
        <v>8289</v>
      </c>
      <c r="K101" s="2217">
        <v>45062</v>
      </c>
    </row>
    <row r="102" spans="1:11">
      <c r="A102" s="2238" t="s">
        <v>4445</v>
      </c>
      <c r="B102" s="2214" t="s">
        <v>4446</v>
      </c>
      <c r="C102" s="2218"/>
      <c r="D102" s="2228"/>
      <c r="E102" s="2372" t="s">
        <v>4692</v>
      </c>
      <c r="F102" s="2215">
        <v>719500</v>
      </c>
      <c r="G102" s="2215">
        <v>827425</v>
      </c>
      <c r="H102" s="2216">
        <v>43623</v>
      </c>
      <c r="I102" s="2216">
        <v>44353</v>
      </c>
      <c r="J102" s="2210" t="s">
        <v>8537</v>
      </c>
      <c r="K102" s="2217">
        <v>45425</v>
      </c>
    </row>
    <row r="103" spans="1:11">
      <c r="A103" s="2238" t="s">
        <v>4548</v>
      </c>
      <c r="B103" s="2214" t="s">
        <v>4549</v>
      </c>
      <c r="C103" s="2218"/>
      <c r="D103" s="2228"/>
      <c r="E103" s="2372" t="s">
        <v>4839</v>
      </c>
      <c r="F103" s="2215">
        <v>1750000</v>
      </c>
      <c r="G103" s="2215">
        <v>2012500</v>
      </c>
      <c r="H103" s="2216">
        <v>43634</v>
      </c>
      <c r="I103" s="2216">
        <v>44364</v>
      </c>
      <c r="J103" s="2210" t="s">
        <v>8589</v>
      </c>
      <c r="K103" s="2217">
        <v>45460</v>
      </c>
    </row>
    <row r="104" spans="1:11">
      <c r="A104" s="2238" t="s">
        <v>4570</v>
      </c>
      <c r="B104" s="2214" t="s">
        <v>4213</v>
      </c>
      <c r="C104" s="2218"/>
      <c r="D104" s="2228"/>
      <c r="E104" s="2372" t="s">
        <v>4839</v>
      </c>
      <c r="F104" s="2215">
        <v>330750</v>
      </c>
      <c r="G104" s="2215">
        <v>400207.5</v>
      </c>
      <c r="H104" s="2216">
        <v>43634</v>
      </c>
      <c r="I104" s="2216">
        <v>44364</v>
      </c>
      <c r="J104" s="2210" t="s">
        <v>8594</v>
      </c>
      <c r="K104" s="2217">
        <v>45073</v>
      </c>
    </row>
    <row r="105" spans="1:11">
      <c r="A105" s="2238" t="s">
        <v>4525</v>
      </c>
      <c r="B105" s="2214" t="s">
        <v>3386</v>
      </c>
      <c r="C105" s="2218"/>
      <c r="D105" s="2228"/>
      <c r="E105" s="2372" t="s">
        <v>3478</v>
      </c>
      <c r="F105" s="2215">
        <v>869000</v>
      </c>
      <c r="G105" s="2215">
        <v>1051490</v>
      </c>
      <c r="H105" s="2216">
        <v>43640</v>
      </c>
      <c r="I105" s="2216">
        <v>44370</v>
      </c>
      <c r="J105" s="2210" t="s">
        <v>8956</v>
      </c>
      <c r="K105" s="2217">
        <v>45492</v>
      </c>
    </row>
    <row r="106" spans="1:11">
      <c r="A106" s="2238" t="s">
        <v>4553</v>
      </c>
      <c r="B106" s="2214" t="s">
        <v>4554</v>
      </c>
      <c r="C106" s="2218"/>
      <c r="D106" s="2228"/>
      <c r="E106" s="2372" t="s">
        <v>4839</v>
      </c>
      <c r="F106" s="2215">
        <v>774900</v>
      </c>
      <c r="G106" s="2215">
        <v>891135</v>
      </c>
      <c r="H106" s="2216">
        <v>43642</v>
      </c>
      <c r="I106" s="2216">
        <v>44372</v>
      </c>
      <c r="J106" s="2208" t="s">
        <v>8590</v>
      </c>
      <c r="K106" s="2217">
        <v>45468</v>
      </c>
    </row>
    <row r="107" spans="1:11">
      <c r="A107" s="2238" t="s">
        <v>4565</v>
      </c>
      <c r="B107" s="2214" t="s">
        <v>4566</v>
      </c>
      <c r="C107" s="2218"/>
      <c r="D107" s="2228"/>
      <c r="E107" s="2372" t="s">
        <v>2097</v>
      </c>
      <c r="F107" s="2215">
        <v>405000</v>
      </c>
      <c r="G107" s="2215">
        <v>490050</v>
      </c>
      <c r="H107" s="2216">
        <v>43642</v>
      </c>
      <c r="I107" s="2216">
        <v>44372</v>
      </c>
      <c r="J107" s="2210" t="s">
        <v>8815</v>
      </c>
      <c r="K107" s="2217">
        <v>45468</v>
      </c>
    </row>
    <row r="108" spans="1:11" ht="30">
      <c r="A108" s="2238" t="s">
        <v>4571</v>
      </c>
      <c r="B108" s="2214" t="s">
        <v>4214</v>
      </c>
      <c r="C108" s="2218"/>
      <c r="D108" s="2228"/>
      <c r="E108" s="2372" t="s">
        <v>7296</v>
      </c>
      <c r="F108" s="2215">
        <v>524480</v>
      </c>
      <c r="G108" s="2215">
        <v>634620.80000000005</v>
      </c>
      <c r="H108" s="2216">
        <v>43644</v>
      </c>
      <c r="I108" s="2216">
        <v>44374</v>
      </c>
      <c r="J108" s="2210" t="s">
        <v>8593</v>
      </c>
      <c r="K108" s="2217">
        <v>45470</v>
      </c>
    </row>
    <row r="109" spans="1:11">
      <c r="A109" s="2238" t="s">
        <v>4567</v>
      </c>
      <c r="B109" s="2214" t="s">
        <v>4210</v>
      </c>
      <c r="C109" s="2218"/>
      <c r="D109" s="2228"/>
      <c r="E109" s="2372" t="s">
        <v>576</v>
      </c>
      <c r="F109" s="2215">
        <v>540000</v>
      </c>
      <c r="G109" s="2215">
        <v>653400</v>
      </c>
      <c r="H109" s="2216">
        <v>43663</v>
      </c>
      <c r="I109" s="2216">
        <v>44393</v>
      </c>
      <c r="J109" s="2210" t="s">
        <v>8860</v>
      </c>
      <c r="K109" s="2217">
        <v>45443</v>
      </c>
    </row>
    <row r="110" spans="1:11">
      <c r="A110" s="2238" t="s">
        <v>4732</v>
      </c>
      <c r="B110" s="2214" t="s">
        <v>4733</v>
      </c>
      <c r="C110" s="2218"/>
      <c r="D110" s="2228"/>
      <c r="E110" s="2371" t="s">
        <v>4839</v>
      </c>
      <c r="F110" s="2215">
        <v>444640</v>
      </c>
      <c r="G110" s="2215">
        <v>538014.4</v>
      </c>
      <c r="H110" s="2216">
        <v>43663</v>
      </c>
      <c r="I110" s="2216">
        <v>44393</v>
      </c>
      <c r="J110" s="2210" t="s">
        <v>8859</v>
      </c>
      <c r="K110" s="2217">
        <v>45489</v>
      </c>
    </row>
    <row r="111" spans="1:11">
      <c r="A111" s="2238" t="s">
        <v>4730</v>
      </c>
      <c r="B111" s="2214" t="s">
        <v>4731</v>
      </c>
      <c r="C111" s="2218"/>
      <c r="D111" s="2228"/>
      <c r="E111" s="2372" t="s">
        <v>7296</v>
      </c>
      <c r="F111" s="2215">
        <v>311600</v>
      </c>
      <c r="G111" s="2215">
        <v>377036</v>
      </c>
      <c r="H111" s="2216">
        <v>43665</v>
      </c>
      <c r="I111" s="2216">
        <v>44395</v>
      </c>
      <c r="J111" s="2210" t="s">
        <v>8794</v>
      </c>
      <c r="K111" s="2217">
        <v>45491</v>
      </c>
    </row>
    <row r="112" spans="1:11">
      <c r="A112" s="2238" t="s">
        <v>4447</v>
      </c>
      <c r="B112" s="2214" t="s">
        <v>4448</v>
      </c>
      <c r="C112" s="2218">
        <v>2</v>
      </c>
      <c r="D112" s="2228" t="s">
        <v>4515</v>
      </c>
      <c r="E112" s="2372" t="s">
        <v>4905</v>
      </c>
      <c r="F112" s="2215">
        <v>458800</v>
      </c>
      <c r="G112" s="2215">
        <v>555148</v>
      </c>
      <c r="H112" s="2216">
        <v>43670</v>
      </c>
      <c r="I112" s="2216">
        <v>44400</v>
      </c>
      <c r="J112" s="2210" t="s">
        <v>9056</v>
      </c>
      <c r="K112" s="2217">
        <v>44401</v>
      </c>
    </row>
    <row r="113" spans="1:11">
      <c r="A113" s="2238" t="s">
        <v>4958</v>
      </c>
      <c r="B113" s="2214" t="s">
        <v>4959</v>
      </c>
      <c r="C113" s="2218"/>
      <c r="D113" s="2228"/>
      <c r="E113" s="2372" t="s">
        <v>5908</v>
      </c>
      <c r="F113" s="2215">
        <v>315260</v>
      </c>
      <c r="G113" s="2215">
        <v>381464.6</v>
      </c>
      <c r="H113" s="2216">
        <v>43672</v>
      </c>
      <c r="I113" s="2216">
        <v>44402</v>
      </c>
      <c r="J113" s="2210" t="s">
        <v>8858</v>
      </c>
      <c r="K113" s="2217">
        <v>45498</v>
      </c>
    </row>
    <row r="114" spans="1:11">
      <c r="A114" s="2238" t="s">
        <v>4447</v>
      </c>
      <c r="B114" s="2214" t="s">
        <v>4448</v>
      </c>
      <c r="C114" s="2218">
        <v>1</v>
      </c>
      <c r="D114" s="2228" t="s">
        <v>4514</v>
      </c>
      <c r="E114" s="2372" t="s">
        <v>4905</v>
      </c>
      <c r="F114" s="2215">
        <v>745308</v>
      </c>
      <c r="G114" s="2215">
        <v>901822.68</v>
      </c>
      <c r="H114" s="2216">
        <v>43676</v>
      </c>
      <c r="I114" s="2216">
        <v>44406</v>
      </c>
      <c r="J114" s="2210" t="s">
        <v>9056</v>
      </c>
      <c r="K114" s="2217">
        <v>44406</v>
      </c>
    </row>
    <row r="115" spans="1:11">
      <c r="A115" s="2238" t="s">
        <v>4569</v>
      </c>
      <c r="B115" s="2214" t="s">
        <v>4212</v>
      </c>
      <c r="C115" s="2218"/>
      <c r="D115" s="2228"/>
      <c r="E115" s="2372" t="s">
        <v>2776</v>
      </c>
      <c r="F115" s="2215">
        <v>293600</v>
      </c>
      <c r="G115" s="2215">
        <v>337640</v>
      </c>
      <c r="H115" s="2216">
        <v>43676</v>
      </c>
      <c r="I115" s="2216">
        <v>44406</v>
      </c>
      <c r="J115" s="2210" t="s">
        <v>8857</v>
      </c>
      <c r="K115" s="2217">
        <v>45502</v>
      </c>
    </row>
    <row r="116" spans="1:11">
      <c r="A116" s="2238" t="s">
        <v>2647</v>
      </c>
      <c r="B116" s="2214" t="s">
        <v>2648</v>
      </c>
      <c r="C116" s="2218"/>
      <c r="D116" s="2214"/>
      <c r="E116" s="2372" t="s">
        <v>4063</v>
      </c>
      <c r="F116" s="2215">
        <v>1496348.19</v>
      </c>
      <c r="G116" s="2215">
        <v>1810581.31</v>
      </c>
      <c r="H116" s="2216">
        <v>43313</v>
      </c>
      <c r="I116" s="2216">
        <v>44408</v>
      </c>
      <c r="J116" s="2210" t="s">
        <v>9067</v>
      </c>
      <c r="K116" s="2217">
        <v>45504</v>
      </c>
    </row>
    <row r="117" spans="1:11">
      <c r="A117" s="2238" t="s">
        <v>4960</v>
      </c>
      <c r="B117" s="2214" t="s">
        <v>4961</v>
      </c>
      <c r="C117" s="2218"/>
      <c r="D117" s="2228"/>
      <c r="E117" s="2372" t="s">
        <v>5209</v>
      </c>
      <c r="F117" s="2215">
        <v>492000</v>
      </c>
      <c r="G117" s="2215">
        <v>595320</v>
      </c>
      <c r="H117" s="2216">
        <v>43691</v>
      </c>
      <c r="I117" s="2216">
        <v>44421</v>
      </c>
      <c r="J117" s="2210" t="s">
        <v>9409</v>
      </c>
      <c r="K117" s="2217">
        <v>45517</v>
      </c>
    </row>
    <row r="118" spans="1:11">
      <c r="A118" s="2238" t="s">
        <v>4119</v>
      </c>
      <c r="B118" s="2214" t="s">
        <v>4120</v>
      </c>
      <c r="C118" s="2218">
        <v>1</v>
      </c>
      <c r="D118" s="2228" t="s">
        <v>4154</v>
      </c>
      <c r="E118" s="2372" t="s">
        <v>4893</v>
      </c>
      <c r="F118" s="2215">
        <v>1393200</v>
      </c>
      <c r="G118" s="2215">
        <v>1602180</v>
      </c>
      <c r="H118" s="2216">
        <v>43696</v>
      </c>
      <c r="I118" s="2216">
        <v>44426</v>
      </c>
      <c r="J118" s="2210" t="s">
        <v>9519</v>
      </c>
      <c r="K118" s="2217">
        <v>45589</v>
      </c>
    </row>
    <row r="119" spans="1:11">
      <c r="A119" s="2238" t="s">
        <v>4119</v>
      </c>
      <c r="B119" s="2214" t="s">
        <v>4120</v>
      </c>
      <c r="C119" s="2218">
        <v>2</v>
      </c>
      <c r="D119" s="2228" t="s">
        <v>4155</v>
      </c>
      <c r="E119" s="2372" t="s">
        <v>2973</v>
      </c>
      <c r="F119" s="2215">
        <v>1852140</v>
      </c>
      <c r="G119" s="2215">
        <v>2129961</v>
      </c>
      <c r="H119" s="2216">
        <v>43696</v>
      </c>
      <c r="I119" s="2216">
        <v>44426</v>
      </c>
      <c r="J119" s="2210" t="s">
        <v>9519</v>
      </c>
      <c r="K119" s="2217">
        <v>45589</v>
      </c>
    </row>
    <row r="120" spans="1:11" ht="45">
      <c r="A120" s="2238" t="s">
        <v>4119</v>
      </c>
      <c r="B120" s="2214" t="s">
        <v>4120</v>
      </c>
      <c r="C120" s="2218">
        <v>4</v>
      </c>
      <c r="D120" s="2228" t="s">
        <v>4157</v>
      </c>
      <c r="E120" s="2372" t="s">
        <v>4893</v>
      </c>
      <c r="F120" s="2215">
        <v>232200</v>
      </c>
      <c r="G120" s="2215">
        <v>267030</v>
      </c>
      <c r="H120" s="2216">
        <v>43696</v>
      </c>
      <c r="I120" s="2216">
        <v>44426</v>
      </c>
      <c r="J120" s="2302" t="s">
        <v>10242</v>
      </c>
      <c r="K120" s="2211"/>
    </row>
    <row r="121" spans="1:11">
      <c r="A121" s="2238" t="s">
        <v>4119</v>
      </c>
      <c r="B121" s="2214" t="s">
        <v>4120</v>
      </c>
      <c r="C121" s="2218">
        <v>5</v>
      </c>
      <c r="D121" s="2228" t="s">
        <v>4158</v>
      </c>
      <c r="E121" s="2372" t="s">
        <v>2973</v>
      </c>
      <c r="F121" s="2215">
        <v>3478000</v>
      </c>
      <c r="G121" s="2215">
        <v>3999700</v>
      </c>
      <c r="H121" s="2216">
        <v>43696</v>
      </c>
      <c r="I121" s="2216">
        <v>44426</v>
      </c>
      <c r="J121" s="2210" t="s">
        <v>9519</v>
      </c>
      <c r="K121" s="2217">
        <v>45589</v>
      </c>
    </row>
    <row r="122" spans="1:11">
      <c r="A122" s="2238" t="s">
        <v>4123</v>
      </c>
      <c r="B122" s="2214" t="s">
        <v>4124</v>
      </c>
      <c r="C122" s="2218">
        <v>1</v>
      </c>
      <c r="D122" s="2228" t="s">
        <v>4140</v>
      </c>
      <c r="E122" s="2372" t="s">
        <v>4838</v>
      </c>
      <c r="F122" s="2215">
        <v>3963844</v>
      </c>
      <c r="G122" s="2215">
        <v>4796251.24</v>
      </c>
      <c r="H122" s="2216">
        <v>43699</v>
      </c>
      <c r="I122" s="2216">
        <v>44429</v>
      </c>
      <c r="J122" s="2210" t="s">
        <v>9473</v>
      </c>
      <c r="K122" s="2217">
        <v>44482</v>
      </c>
    </row>
    <row r="123" spans="1:11" ht="30">
      <c r="A123" s="2238" t="s">
        <v>4123</v>
      </c>
      <c r="B123" s="2214" t="s">
        <v>4124</v>
      </c>
      <c r="C123" s="2218">
        <v>4</v>
      </c>
      <c r="D123" s="2228" t="s">
        <v>4143</v>
      </c>
      <c r="E123" s="2372" t="s">
        <v>4839</v>
      </c>
      <c r="F123" s="2215">
        <v>144580</v>
      </c>
      <c r="G123" s="2215">
        <v>174941.8</v>
      </c>
      <c r="H123" s="2216">
        <v>43699</v>
      </c>
      <c r="I123" s="2216">
        <v>44429</v>
      </c>
      <c r="J123" s="2302" t="s">
        <v>9860</v>
      </c>
      <c r="K123" s="2217">
        <v>45624</v>
      </c>
    </row>
    <row r="124" spans="1:11" ht="30">
      <c r="A124" s="2238" t="s">
        <v>4123</v>
      </c>
      <c r="B124" s="2214" t="s">
        <v>4124</v>
      </c>
      <c r="C124" s="2218">
        <v>5</v>
      </c>
      <c r="D124" s="2228" t="s">
        <v>4144</v>
      </c>
      <c r="E124" s="2372" t="s">
        <v>4839</v>
      </c>
      <c r="F124" s="2215">
        <v>603200</v>
      </c>
      <c r="G124" s="2215">
        <v>729872</v>
      </c>
      <c r="H124" s="2216">
        <v>43699</v>
      </c>
      <c r="I124" s="2216">
        <v>44429</v>
      </c>
      <c r="J124" s="2302" t="s">
        <v>9860</v>
      </c>
      <c r="K124" s="2217">
        <v>45624</v>
      </c>
    </row>
    <row r="125" spans="1:11" ht="30">
      <c r="A125" s="2238" t="s">
        <v>4123</v>
      </c>
      <c r="B125" s="2214" t="s">
        <v>4124</v>
      </c>
      <c r="C125" s="2218">
        <v>6</v>
      </c>
      <c r="D125" s="2228" t="s">
        <v>4145</v>
      </c>
      <c r="E125" s="2372" t="s">
        <v>4839</v>
      </c>
      <c r="F125" s="2215">
        <v>50599.5</v>
      </c>
      <c r="G125" s="2215">
        <v>61225.4</v>
      </c>
      <c r="H125" s="2216">
        <v>43699</v>
      </c>
      <c r="I125" s="2216">
        <v>44429</v>
      </c>
      <c r="J125" s="2302" t="s">
        <v>9860</v>
      </c>
      <c r="K125" s="2217">
        <v>45624</v>
      </c>
    </row>
    <row r="126" spans="1:11" ht="30">
      <c r="A126" s="2357" t="s">
        <v>4123</v>
      </c>
      <c r="B126" s="2358" t="s">
        <v>4124</v>
      </c>
      <c r="C126" s="2359">
        <v>2</v>
      </c>
      <c r="D126" s="2360" t="s">
        <v>4141</v>
      </c>
      <c r="E126" s="2263" t="s">
        <v>7296</v>
      </c>
      <c r="F126" s="2361">
        <v>89090</v>
      </c>
      <c r="G126" s="2361">
        <v>107798.9</v>
      </c>
      <c r="H126" s="2362">
        <v>43699</v>
      </c>
      <c r="I126" s="2362">
        <v>44429</v>
      </c>
      <c r="J126" s="2496" t="s">
        <v>10205</v>
      </c>
      <c r="K126" s="2211" t="s">
        <v>2774</v>
      </c>
    </row>
    <row r="127" spans="1:11">
      <c r="A127" s="2238" t="s">
        <v>4304</v>
      </c>
      <c r="B127" s="2214" t="s">
        <v>4322</v>
      </c>
      <c r="C127" s="2218">
        <v>4</v>
      </c>
      <c r="D127" s="2228" t="s">
        <v>4307</v>
      </c>
      <c r="E127" s="2372" t="s">
        <v>7296</v>
      </c>
      <c r="F127" s="2215">
        <v>1081200</v>
      </c>
      <c r="G127" s="2215">
        <v>1243380</v>
      </c>
      <c r="H127" s="2216">
        <v>43705</v>
      </c>
      <c r="I127" s="2216">
        <v>44435</v>
      </c>
      <c r="J127" s="2210" t="s">
        <v>9381</v>
      </c>
      <c r="K127" s="2217">
        <v>45534</v>
      </c>
    </row>
    <row r="128" spans="1:11">
      <c r="A128" s="2238" t="s">
        <v>4080</v>
      </c>
      <c r="B128" s="2214" t="s">
        <v>4081</v>
      </c>
      <c r="C128" s="2218">
        <v>1</v>
      </c>
      <c r="D128" s="2228" t="s">
        <v>4082</v>
      </c>
      <c r="E128" s="2372" t="s">
        <v>4838</v>
      </c>
      <c r="F128" s="2215">
        <v>1078008.75</v>
      </c>
      <c r="G128" s="2215">
        <v>1304390.5900000001</v>
      </c>
      <c r="H128" s="2216">
        <v>43706</v>
      </c>
      <c r="I128" s="2216">
        <v>44436</v>
      </c>
      <c r="J128" s="2210" t="s">
        <v>9410</v>
      </c>
      <c r="K128" s="2217">
        <v>45611</v>
      </c>
    </row>
    <row r="129" spans="1:11">
      <c r="A129" s="2238" t="s">
        <v>4080</v>
      </c>
      <c r="B129" s="2214" t="s">
        <v>4081</v>
      </c>
      <c r="C129" s="2218">
        <v>2</v>
      </c>
      <c r="D129" s="2228" t="s">
        <v>4083</v>
      </c>
      <c r="E129" s="2228" t="s">
        <v>7296</v>
      </c>
      <c r="F129" s="2215">
        <v>1567195.5</v>
      </c>
      <c r="G129" s="2215">
        <v>1896306.6</v>
      </c>
      <c r="H129" s="2216">
        <v>43706</v>
      </c>
      <c r="I129" s="2216">
        <v>44436</v>
      </c>
      <c r="J129" s="2210" t="s">
        <v>9410</v>
      </c>
      <c r="K129" s="2217">
        <v>45610</v>
      </c>
    </row>
    <row r="130" spans="1:11" ht="30">
      <c r="A130" s="2238" t="s">
        <v>4080</v>
      </c>
      <c r="B130" s="2214" t="s">
        <v>4081</v>
      </c>
      <c r="C130" s="2218">
        <v>3</v>
      </c>
      <c r="D130" s="2228" t="s">
        <v>4084</v>
      </c>
      <c r="E130" s="2372" t="s">
        <v>4838</v>
      </c>
      <c r="F130" s="2215">
        <v>104833.72</v>
      </c>
      <c r="G130" s="2215">
        <v>126848.8</v>
      </c>
      <c r="H130" s="2216">
        <v>43706</v>
      </c>
      <c r="I130" s="2216">
        <v>44436</v>
      </c>
      <c r="J130" s="2302" t="s">
        <v>11016</v>
      </c>
      <c r="K130" s="2211"/>
    </row>
    <row r="131" spans="1:11">
      <c r="A131" s="2238" t="s">
        <v>4080</v>
      </c>
      <c r="B131" s="2214" t="s">
        <v>4081</v>
      </c>
      <c r="C131" s="2218">
        <v>4</v>
      </c>
      <c r="D131" s="2228" t="s">
        <v>4085</v>
      </c>
      <c r="E131" s="2372" t="s">
        <v>4464</v>
      </c>
      <c r="F131" s="2215">
        <v>58320</v>
      </c>
      <c r="G131" s="2215">
        <v>70567.199999999997</v>
      </c>
      <c r="H131" s="2216">
        <v>43706</v>
      </c>
      <c r="I131" s="2216">
        <v>44436</v>
      </c>
      <c r="J131" s="2210" t="s">
        <v>9410</v>
      </c>
      <c r="K131" s="2217">
        <v>45610</v>
      </c>
    </row>
    <row r="132" spans="1:11">
      <c r="A132" s="2238" t="s">
        <v>4121</v>
      </c>
      <c r="B132" s="2214" t="s">
        <v>4122</v>
      </c>
      <c r="C132" s="2218">
        <v>2</v>
      </c>
      <c r="D132" s="2228" t="s">
        <v>4147</v>
      </c>
      <c r="E132" s="2372" t="s">
        <v>4894</v>
      </c>
      <c r="F132" s="2215">
        <v>1000000</v>
      </c>
      <c r="G132" s="2215">
        <v>1150000</v>
      </c>
      <c r="H132" s="2216">
        <v>43712</v>
      </c>
      <c r="I132" s="2216">
        <v>44442</v>
      </c>
      <c r="J132" s="2210" t="s">
        <v>9854</v>
      </c>
      <c r="K132" s="2211"/>
    </row>
    <row r="133" spans="1:11">
      <c r="A133" s="2238" t="s">
        <v>4121</v>
      </c>
      <c r="B133" s="2214" t="s">
        <v>4122</v>
      </c>
      <c r="C133" s="2218">
        <v>3</v>
      </c>
      <c r="D133" s="2228" t="s">
        <v>4148</v>
      </c>
      <c r="E133" s="2372" t="s">
        <v>4893</v>
      </c>
      <c r="F133" s="2215">
        <v>247500</v>
      </c>
      <c r="G133" s="2215">
        <v>284625</v>
      </c>
      <c r="H133" s="2216">
        <v>43712</v>
      </c>
      <c r="I133" s="2216">
        <v>44442</v>
      </c>
      <c r="J133" s="2210" t="s">
        <v>9854</v>
      </c>
      <c r="K133" s="2211"/>
    </row>
    <row r="134" spans="1:11">
      <c r="A134" s="2238" t="s">
        <v>4121</v>
      </c>
      <c r="B134" s="2214" t="s">
        <v>4122</v>
      </c>
      <c r="C134" s="2218">
        <v>4</v>
      </c>
      <c r="D134" s="2228" t="s">
        <v>4149</v>
      </c>
      <c r="E134" s="2372" t="s">
        <v>2973</v>
      </c>
      <c r="F134" s="2215">
        <v>1090000</v>
      </c>
      <c r="G134" s="2215">
        <v>1253500</v>
      </c>
      <c r="H134" s="2216">
        <v>43712</v>
      </c>
      <c r="I134" s="2216">
        <v>44442</v>
      </c>
      <c r="J134" s="2210" t="s">
        <v>9854</v>
      </c>
      <c r="K134" s="2211"/>
    </row>
    <row r="135" spans="1:11" ht="30">
      <c r="A135" s="2238" t="s">
        <v>4121</v>
      </c>
      <c r="B135" s="2214" t="s">
        <v>4122</v>
      </c>
      <c r="C135" s="2218">
        <v>5</v>
      </c>
      <c r="D135" s="2228" t="s">
        <v>4150</v>
      </c>
      <c r="E135" s="2372" t="s">
        <v>2973</v>
      </c>
      <c r="F135" s="2215">
        <v>228400</v>
      </c>
      <c r="G135" s="2215">
        <v>262660</v>
      </c>
      <c r="H135" s="2216">
        <v>43712</v>
      </c>
      <c r="I135" s="2216">
        <v>44442</v>
      </c>
      <c r="J135" s="2302" t="s">
        <v>11017</v>
      </c>
      <c r="K135" s="2211" t="s">
        <v>2774</v>
      </c>
    </row>
    <row r="136" spans="1:11">
      <c r="A136" s="2238" t="s">
        <v>4121</v>
      </c>
      <c r="B136" s="2214" t="s">
        <v>4122</v>
      </c>
      <c r="C136" s="2218">
        <v>6</v>
      </c>
      <c r="D136" s="2228" t="s">
        <v>4151</v>
      </c>
      <c r="E136" s="2372" t="s">
        <v>4894</v>
      </c>
      <c r="F136" s="2215">
        <v>264000</v>
      </c>
      <c r="G136" s="2215">
        <v>303600</v>
      </c>
      <c r="H136" s="2216">
        <v>43712</v>
      </c>
      <c r="I136" s="2216">
        <v>44442</v>
      </c>
      <c r="J136" s="2210" t="s">
        <v>9854</v>
      </c>
      <c r="K136" s="2211"/>
    </row>
    <row r="137" spans="1:11">
      <c r="A137" s="2238" t="s">
        <v>4121</v>
      </c>
      <c r="B137" s="2214" t="s">
        <v>4122</v>
      </c>
      <c r="C137" s="2218">
        <v>7</v>
      </c>
      <c r="D137" s="2228" t="s">
        <v>4152</v>
      </c>
      <c r="E137" s="2372" t="s">
        <v>2973</v>
      </c>
      <c r="F137" s="2215">
        <v>217300</v>
      </c>
      <c r="G137" s="2215">
        <v>249895</v>
      </c>
      <c r="H137" s="2216">
        <v>43712</v>
      </c>
      <c r="I137" s="2216">
        <v>44442</v>
      </c>
      <c r="J137" s="2210" t="s">
        <v>9854</v>
      </c>
      <c r="K137" s="2211"/>
    </row>
    <row r="138" spans="1:11">
      <c r="A138" s="2238" t="s">
        <v>4121</v>
      </c>
      <c r="B138" s="2214" t="s">
        <v>4122</v>
      </c>
      <c r="C138" s="2218">
        <v>8</v>
      </c>
      <c r="D138" s="2228" t="s">
        <v>4153</v>
      </c>
      <c r="E138" s="2372" t="s">
        <v>4839</v>
      </c>
      <c r="F138" s="2215">
        <v>14765000</v>
      </c>
      <c r="G138" s="2215">
        <v>16979750</v>
      </c>
      <c r="H138" s="2216">
        <v>43712</v>
      </c>
      <c r="I138" s="2216">
        <v>44442</v>
      </c>
      <c r="J138" s="2210" t="s">
        <v>9854</v>
      </c>
      <c r="K138" s="2211"/>
    </row>
    <row r="139" spans="1:11">
      <c r="A139" s="2239" t="s">
        <v>5067</v>
      </c>
      <c r="B139" s="2221" t="s">
        <v>5069</v>
      </c>
      <c r="C139" s="2222"/>
      <c r="D139" s="2229"/>
      <c r="E139" s="2371" t="s">
        <v>7296</v>
      </c>
      <c r="F139" s="2223">
        <v>409600</v>
      </c>
      <c r="G139" s="2223">
        <v>495616</v>
      </c>
      <c r="H139" s="2220">
        <v>43712</v>
      </c>
      <c r="I139" s="2220">
        <v>44442</v>
      </c>
      <c r="J139" s="2210" t="s">
        <v>9914</v>
      </c>
      <c r="K139" s="2217">
        <v>44502</v>
      </c>
    </row>
    <row r="140" spans="1:11">
      <c r="A140" s="2238" t="s">
        <v>4744</v>
      </c>
      <c r="B140" s="2214" t="s">
        <v>4826</v>
      </c>
      <c r="C140" s="2218">
        <v>1</v>
      </c>
      <c r="D140" s="2228" t="s">
        <v>4745</v>
      </c>
      <c r="E140" s="2372" t="s">
        <v>4893</v>
      </c>
      <c r="F140" s="2215">
        <v>255000</v>
      </c>
      <c r="G140" s="2215">
        <v>308550</v>
      </c>
      <c r="H140" s="2216">
        <v>43720</v>
      </c>
      <c r="I140" s="2216">
        <v>44450</v>
      </c>
      <c r="J140" s="2210" t="s">
        <v>9913</v>
      </c>
      <c r="K140" s="2217">
        <v>45624</v>
      </c>
    </row>
    <row r="141" spans="1:11">
      <c r="A141" s="2238" t="s">
        <v>4744</v>
      </c>
      <c r="B141" s="2214" t="s">
        <v>4826</v>
      </c>
      <c r="C141" s="2218">
        <v>2</v>
      </c>
      <c r="D141" s="2228" t="s">
        <v>4746</v>
      </c>
      <c r="E141" s="2372" t="s">
        <v>4893</v>
      </c>
      <c r="F141" s="2215">
        <v>64400</v>
      </c>
      <c r="G141" s="2215">
        <v>77924</v>
      </c>
      <c r="H141" s="2216">
        <v>43720</v>
      </c>
      <c r="I141" s="2216">
        <v>44450</v>
      </c>
      <c r="J141" s="2210" t="s">
        <v>9913</v>
      </c>
      <c r="K141" s="2217">
        <v>45624</v>
      </c>
    </row>
    <row r="142" spans="1:11" ht="30">
      <c r="A142" s="2238" t="s">
        <v>4744</v>
      </c>
      <c r="B142" s="2214" t="s">
        <v>4826</v>
      </c>
      <c r="C142" s="2218">
        <v>3</v>
      </c>
      <c r="D142" s="2228" t="s">
        <v>4831</v>
      </c>
      <c r="E142" s="2372" t="s">
        <v>4893</v>
      </c>
      <c r="F142" s="2215">
        <v>860200</v>
      </c>
      <c r="G142" s="2215">
        <v>1040842</v>
      </c>
      <c r="H142" s="2216">
        <v>43720</v>
      </c>
      <c r="I142" s="2216">
        <v>44450</v>
      </c>
      <c r="J142" s="2210" t="s">
        <v>9913</v>
      </c>
      <c r="K142" s="2217">
        <v>45624</v>
      </c>
    </row>
    <row r="143" spans="1:11" ht="30">
      <c r="A143" s="2238" t="s">
        <v>4092</v>
      </c>
      <c r="B143" s="2214" t="s">
        <v>4093</v>
      </c>
      <c r="C143" s="2218">
        <v>1</v>
      </c>
      <c r="D143" s="2228" t="s">
        <v>4094</v>
      </c>
      <c r="E143" s="2372" t="s">
        <v>659</v>
      </c>
      <c r="F143" s="2215">
        <v>2725650</v>
      </c>
      <c r="G143" s="2215">
        <v>3298036.5</v>
      </c>
      <c r="H143" s="2216">
        <v>43725</v>
      </c>
      <c r="I143" s="2216">
        <v>44455</v>
      </c>
      <c r="J143" s="2210" t="s">
        <v>10367</v>
      </c>
      <c r="K143" s="2211"/>
    </row>
    <row r="144" spans="1:11">
      <c r="A144" s="2204" t="s">
        <v>4999</v>
      </c>
      <c r="B144" s="2174" t="s">
        <v>5000</v>
      </c>
      <c r="C144" s="2208"/>
      <c r="D144" s="2176"/>
      <c r="E144" s="2212" t="s">
        <v>659</v>
      </c>
      <c r="F144" s="2209">
        <v>192000</v>
      </c>
      <c r="G144" s="2209">
        <v>232320</v>
      </c>
      <c r="H144" s="2175">
        <v>43725</v>
      </c>
      <c r="I144" s="2175">
        <v>44455</v>
      </c>
      <c r="J144" s="2210"/>
      <c r="K144" s="2211"/>
    </row>
    <row r="145" spans="1:11">
      <c r="A145" s="2238" t="s">
        <v>5091</v>
      </c>
      <c r="B145" s="2214" t="s">
        <v>5092</v>
      </c>
      <c r="C145" s="2218"/>
      <c r="D145" s="2228"/>
      <c r="E145" s="2372" t="s">
        <v>5266</v>
      </c>
      <c r="F145" s="2215">
        <v>674408</v>
      </c>
      <c r="G145" s="2215">
        <v>775569.2</v>
      </c>
      <c r="H145" s="2216">
        <v>43735</v>
      </c>
      <c r="I145" s="2216">
        <v>44465</v>
      </c>
      <c r="J145" s="2210" t="s">
        <v>9915</v>
      </c>
      <c r="K145" s="2217">
        <v>45611</v>
      </c>
    </row>
    <row r="146" spans="1:11" ht="30">
      <c r="A146" s="2238" t="s">
        <v>4279</v>
      </c>
      <c r="B146" s="2214" t="s">
        <v>4280</v>
      </c>
      <c r="C146" s="2218">
        <v>2</v>
      </c>
      <c r="D146" s="2228" t="s">
        <v>4282</v>
      </c>
      <c r="E146" s="2372" t="s">
        <v>4894</v>
      </c>
      <c r="F146" s="2215">
        <v>3461500</v>
      </c>
      <c r="G146" s="2215">
        <v>3980725</v>
      </c>
      <c r="H146" s="2216">
        <v>43752</v>
      </c>
      <c r="I146" s="2216">
        <v>44482</v>
      </c>
      <c r="J146" s="2210" t="s">
        <v>10010</v>
      </c>
      <c r="K146" s="2211"/>
    </row>
    <row r="147" spans="1:11">
      <c r="A147" s="2238" t="s">
        <v>4414</v>
      </c>
      <c r="B147" s="2214" t="s">
        <v>4415</v>
      </c>
      <c r="C147" s="2218">
        <v>1</v>
      </c>
      <c r="D147" s="2228" t="s">
        <v>4416</v>
      </c>
      <c r="E147" s="2372" t="s">
        <v>7296</v>
      </c>
      <c r="F147" s="2215">
        <v>512000</v>
      </c>
      <c r="G147" s="2215">
        <v>588800</v>
      </c>
      <c r="H147" s="2216">
        <v>43752</v>
      </c>
      <c r="I147" s="2216">
        <v>44482</v>
      </c>
      <c r="J147" s="2210" t="s">
        <v>10193</v>
      </c>
      <c r="K147" s="2211"/>
    </row>
    <row r="148" spans="1:11">
      <c r="A148" s="2204" t="s">
        <v>4414</v>
      </c>
      <c r="B148" s="2174" t="s">
        <v>4415</v>
      </c>
      <c r="C148" s="2208">
        <v>2</v>
      </c>
      <c r="D148" s="2176" t="s">
        <v>4417</v>
      </c>
      <c r="E148" s="2212" t="s">
        <v>7296</v>
      </c>
      <c r="F148" s="2209">
        <v>229515</v>
      </c>
      <c r="G148" s="2209">
        <v>263942.25</v>
      </c>
      <c r="H148" s="2175">
        <v>43752</v>
      </c>
      <c r="I148" s="2175">
        <v>44482</v>
      </c>
      <c r="J148" s="2210"/>
      <c r="K148" s="2211"/>
    </row>
    <row r="149" spans="1:11">
      <c r="A149" s="2204" t="s">
        <v>4414</v>
      </c>
      <c r="B149" s="2174" t="s">
        <v>4415</v>
      </c>
      <c r="C149" s="2208">
        <v>3</v>
      </c>
      <c r="D149" s="2176" t="s">
        <v>4418</v>
      </c>
      <c r="E149" s="2212" t="s">
        <v>7296</v>
      </c>
      <c r="F149" s="2209">
        <v>229515</v>
      </c>
      <c r="G149" s="2209">
        <v>263942.25</v>
      </c>
      <c r="H149" s="2175">
        <v>43752</v>
      </c>
      <c r="I149" s="2175">
        <v>44482</v>
      </c>
      <c r="J149" s="2210"/>
      <c r="K149" s="2211"/>
    </row>
    <row r="150" spans="1:11" ht="30">
      <c r="A150" s="2238" t="s">
        <v>4414</v>
      </c>
      <c r="B150" s="2214" t="s">
        <v>4415</v>
      </c>
      <c r="C150" s="2218">
        <v>4</v>
      </c>
      <c r="D150" s="2228" t="s">
        <v>4419</v>
      </c>
      <c r="E150" s="2372" t="s">
        <v>7296</v>
      </c>
      <c r="F150" s="2215">
        <v>258000</v>
      </c>
      <c r="G150" s="2215">
        <v>296700</v>
      </c>
      <c r="H150" s="2216">
        <v>43752</v>
      </c>
      <c r="I150" s="2216">
        <v>44482</v>
      </c>
      <c r="J150" s="2210" t="s">
        <v>10193</v>
      </c>
      <c r="K150" s="2211"/>
    </row>
    <row r="151" spans="1:11">
      <c r="A151" s="2204" t="s">
        <v>4414</v>
      </c>
      <c r="B151" s="2174" t="s">
        <v>4415</v>
      </c>
      <c r="C151" s="2208">
        <v>6</v>
      </c>
      <c r="D151" s="2176" t="s">
        <v>4421</v>
      </c>
      <c r="E151" s="2212" t="s">
        <v>7296</v>
      </c>
      <c r="F151" s="2209">
        <v>289896</v>
      </c>
      <c r="G151" s="2209">
        <v>333380.40000000002</v>
      </c>
      <c r="H151" s="2175">
        <v>43752</v>
      </c>
      <c r="I151" s="2175">
        <v>44482</v>
      </c>
      <c r="J151" s="2210"/>
      <c r="K151" s="2211"/>
    </row>
    <row r="152" spans="1:11" ht="30">
      <c r="A152" s="2238" t="s">
        <v>4414</v>
      </c>
      <c r="B152" s="2214" t="s">
        <v>4415</v>
      </c>
      <c r="C152" s="2218">
        <v>7</v>
      </c>
      <c r="D152" s="2228" t="s">
        <v>4422</v>
      </c>
      <c r="E152" s="2372" t="s">
        <v>7296</v>
      </c>
      <c r="F152" s="2215">
        <v>56650</v>
      </c>
      <c r="G152" s="2215">
        <v>65147.5</v>
      </c>
      <c r="H152" s="2216">
        <v>43752</v>
      </c>
      <c r="I152" s="2216">
        <v>44482</v>
      </c>
      <c r="J152" s="2210" t="s">
        <v>10193</v>
      </c>
      <c r="K152" s="2211"/>
    </row>
    <row r="153" spans="1:11" ht="30">
      <c r="A153" s="2238" t="s">
        <v>4414</v>
      </c>
      <c r="B153" s="2214" t="s">
        <v>4415</v>
      </c>
      <c r="C153" s="2218">
        <v>11</v>
      </c>
      <c r="D153" s="2228" t="s">
        <v>4426</v>
      </c>
      <c r="E153" s="2372" t="s">
        <v>7296</v>
      </c>
      <c r="F153" s="2215">
        <v>234300</v>
      </c>
      <c r="G153" s="2215">
        <v>269445</v>
      </c>
      <c r="H153" s="2216">
        <v>43752</v>
      </c>
      <c r="I153" s="2216">
        <v>44482</v>
      </c>
      <c r="J153" s="2210" t="s">
        <v>10193</v>
      </c>
      <c r="K153" s="2211"/>
    </row>
    <row r="154" spans="1:11">
      <c r="A154" s="2204" t="s">
        <v>4414</v>
      </c>
      <c r="B154" s="2174" t="s">
        <v>4415</v>
      </c>
      <c r="C154" s="2208">
        <v>12</v>
      </c>
      <c r="D154" s="2176" t="s">
        <v>4427</v>
      </c>
      <c r="E154" s="2212" t="s">
        <v>7296</v>
      </c>
      <c r="F154" s="2209">
        <v>93720</v>
      </c>
      <c r="G154" s="2209">
        <v>107778</v>
      </c>
      <c r="H154" s="2175">
        <v>43752</v>
      </c>
      <c r="I154" s="2175">
        <v>44482</v>
      </c>
      <c r="J154" s="2210"/>
      <c r="K154" s="2211"/>
    </row>
    <row r="155" spans="1:11">
      <c r="A155" s="2238" t="s">
        <v>4414</v>
      </c>
      <c r="B155" s="2214" t="s">
        <v>4415</v>
      </c>
      <c r="C155" s="2218">
        <v>13</v>
      </c>
      <c r="D155" s="2228" t="s">
        <v>4428</v>
      </c>
      <c r="E155" s="2372" t="s">
        <v>7296</v>
      </c>
      <c r="F155" s="2215">
        <v>737440</v>
      </c>
      <c r="G155" s="2215">
        <v>848056</v>
      </c>
      <c r="H155" s="2216">
        <v>43752</v>
      </c>
      <c r="I155" s="2216">
        <v>44482</v>
      </c>
      <c r="J155" s="2210" t="s">
        <v>10193</v>
      </c>
      <c r="K155" s="2211"/>
    </row>
    <row r="156" spans="1:11" ht="30">
      <c r="A156" s="2238" t="s">
        <v>4414</v>
      </c>
      <c r="B156" s="2214" t="s">
        <v>4415</v>
      </c>
      <c r="C156" s="2218">
        <v>14</v>
      </c>
      <c r="D156" s="2228" t="s">
        <v>4429</v>
      </c>
      <c r="E156" s="2372" t="s">
        <v>7296</v>
      </c>
      <c r="F156" s="2215">
        <v>3532279.2</v>
      </c>
      <c r="G156" s="2215">
        <v>4062121.08</v>
      </c>
      <c r="H156" s="2216">
        <v>43752</v>
      </c>
      <c r="I156" s="2216">
        <v>44482</v>
      </c>
      <c r="J156" s="2210" t="s">
        <v>10193</v>
      </c>
      <c r="K156" s="2211"/>
    </row>
    <row r="157" spans="1:11">
      <c r="A157" s="2238" t="s">
        <v>4749</v>
      </c>
      <c r="B157" s="2214" t="s">
        <v>4750</v>
      </c>
      <c r="C157" s="2218">
        <v>1</v>
      </c>
      <c r="D157" s="2228" t="s">
        <v>4751</v>
      </c>
      <c r="E157" s="2372" t="s">
        <v>7296</v>
      </c>
      <c r="F157" s="2215">
        <v>213450</v>
      </c>
      <c r="G157" s="2215">
        <v>258274.5</v>
      </c>
      <c r="H157" s="2216">
        <v>43752</v>
      </c>
      <c r="I157" s="2216">
        <v>44482</v>
      </c>
      <c r="J157" s="2208" t="s">
        <v>9909</v>
      </c>
      <c r="K157" s="2217">
        <v>45611</v>
      </c>
    </row>
    <row r="158" spans="1:11">
      <c r="A158" s="2238" t="s">
        <v>4749</v>
      </c>
      <c r="B158" s="2214" t="s">
        <v>4750</v>
      </c>
      <c r="C158" s="2218">
        <v>2</v>
      </c>
      <c r="D158" s="2228" t="s">
        <v>4752</v>
      </c>
      <c r="E158" s="2372" t="s">
        <v>7296</v>
      </c>
      <c r="F158" s="2215">
        <v>37028</v>
      </c>
      <c r="G158" s="2215">
        <v>44803.88</v>
      </c>
      <c r="H158" s="2216">
        <v>43752</v>
      </c>
      <c r="I158" s="2216">
        <v>44482</v>
      </c>
      <c r="J158" s="2208" t="s">
        <v>9909</v>
      </c>
      <c r="K158" s="2217">
        <v>45611</v>
      </c>
    </row>
    <row r="159" spans="1:11">
      <c r="A159" s="2238" t="s">
        <v>4868</v>
      </c>
      <c r="B159" s="2214" t="s">
        <v>4869</v>
      </c>
      <c r="C159" s="2218"/>
      <c r="D159" s="2228"/>
      <c r="E159" s="2372" t="s">
        <v>576</v>
      </c>
      <c r="F159" s="2215">
        <v>2177820</v>
      </c>
      <c r="G159" s="2215">
        <v>2635162.2000000002</v>
      </c>
      <c r="H159" s="2216">
        <v>43759</v>
      </c>
      <c r="I159" s="2216">
        <v>44489</v>
      </c>
      <c r="J159" s="2210" t="s">
        <v>10008</v>
      </c>
      <c r="K159" s="2211"/>
    </row>
    <row r="160" spans="1:11">
      <c r="A160" s="2238" t="s">
        <v>4025</v>
      </c>
      <c r="B160" s="2214" t="s">
        <v>5268</v>
      </c>
      <c r="C160" s="2218">
        <v>1</v>
      </c>
      <c r="D160" s="2228" t="s">
        <v>4038</v>
      </c>
      <c r="E160" s="2372" t="s">
        <v>659</v>
      </c>
      <c r="F160" s="2215">
        <v>210100</v>
      </c>
      <c r="G160" s="2215">
        <v>254221</v>
      </c>
      <c r="H160" s="2216">
        <v>43763</v>
      </c>
      <c r="I160" s="2216">
        <v>44493</v>
      </c>
      <c r="J160" s="2210" t="s">
        <v>10133</v>
      </c>
      <c r="K160" s="2211"/>
    </row>
    <row r="161" spans="1:11">
      <c r="A161" s="2238" t="s">
        <v>4025</v>
      </c>
      <c r="B161" s="2214" t="s">
        <v>5268</v>
      </c>
      <c r="C161" s="2218">
        <v>2</v>
      </c>
      <c r="D161" s="2228" t="s">
        <v>4039</v>
      </c>
      <c r="E161" s="2372" t="s">
        <v>4838</v>
      </c>
      <c r="F161" s="2215">
        <v>2188489.4</v>
      </c>
      <c r="G161" s="2215">
        <v>2648072.17</v>
      </c>
      <c r="H161" s="2216">
        <v>43763</v>
      </c>
      <c r="I161" s="2216">
        <v>44493</v>
      </c>
      <c r="J161" s="2210" t="s">
        <v>10133</v>
      </c>
      <c r="K161" s="2211"/>
    </row>
    <row r="162" spans="1:11">
      <c r="A162" s="2238" t="s">
        <v>4025</v>
      </c>
      <c r="B162" s="2214" t="s">
        <v>5268</v>
      </c>
      <c r="C162" s="2218">
        <v>3</v>
      </c>
      <c r="D162" s="2228" t="s">
        <v>4040</v>
      </c>
      <c r="E162" s="2372" t="s">
        <v>7296</v>
      </c>
      <c r="F162" s="2215">
        <v>338022</v>
      </c>
      <c r="G162" s="2215">
        <v>409006.6</v>
      </c>
      <c r="H162" s="2216">
        <v>43763</v>
      </c>
      <c r="I162" s="2216">
        <v>44493</v>
      </c>
      <c r="J162" s="2210" t="s">
        <v>10133</v>
      </c>
      <c r="K162" s="2211"/>
    </row>
    <row r="163" spans="1:11" ht="30">
      <c r="A163" s="2239" t="s">
        <v>4025</v>
      </c>
      <c r="B163" s="2221" t="s">
        <v>5268</v>
      </c>
      <c r="C163" s="2222">
        <v>4</v>
      </c>
      <c r="D163" s="2229" t="s">
        <v>4041</v>
      </c>
      <c r="E163" s="2373" t="s">
        <v>4839</v>
      </c>
      <c r="F163" s="2223">
        <v>298310</v>
      </c>
      <c r="G163" s="2223">
        <v>360955.1</v>
      </c>
      <c r="H163" s="2220">
        <v>43763</v>
      </c>
      <c r="I163" s="2220">
        <v>44493</v>
      </c>
      <c r="J163" s="2694" t="s">
        <v>12662</v>
      </c>
      <c r="K163" s="2408" t="s">
        <v>10875</v>
      </c>
    </row>
    <row r="164" spans="1:11">
      <c r="A164" s="2238" t="s">
        <v>4025</v>
      </c>
      <c r="B164" s="2214" t="s">
        <v>5268</v>
      </c>
      <c r="C164" s="2218">
        <v>5</v>
      </c>
      <c r="D164" s="2228" t="s">
        <v>4042</v>
      </c>
      <c r="E164" s="2372" t="s">
        <v>5209</v>
      </c>
      <c r="F164" s="2215">
        <v>328783.55</v>
      </c>
      <c r="G164" s="2215">
        <v>397828.1</v>
      </c>
      <c r="H164" s="2216">
        <v>43763</v>
      </c>
      <c r="I164" s="2216">
        <v>44493</v>
      </c>
      <c r="J164" s="2210" t="s">
        <v>10133</v>
      </c>
      <c r="K164" s="2211"/>
    </row>
    <row r="165" spans="1:11">
      <c r="A165" s="2238" t="s">
        <v>4025</v>
      </c>
      <c r="B165" s="2214" t="s">
        <v>5268</v>
      </c>
      <c r="C165" s="2218">
        <v>7</v>
      </c>
      <c r="D165" s="2228" t="s">
        <v>4044</v>
      </c>
      <c r="E165" s="2372" t="s">
        <v>4839</v>
      </c>
      <c r="F165" s="2215">
        <v>609420</v>
      </c>
      <c r="G165" s="2215">
        <v>737398.2</v>
      </c>
      <c r="H165" s="2216">
        <v>43763</v>
      </c>
      <c r="I165" s="2216">
        <v>44493</v>
      </c>
      <c r="J165" s="2210" t="s">
        <v>10133</v>
      </c>
      <c r="K165" s="2211"/>
    </row>
    <row r="166" spans="1:11">
      <c r="A166" s="2238" t="s">
        <v>4530</v>
      </c>
      <c r="B166" s="2214" t="s">
        <v>4531</v>
      </c>
      <c r="C166" s="2218">
        <v>1</v>
      </c>
      <c r="D166" s="2228" t="s">
        <v>4532</v>
      </c>
      <c r="E166" s="2372" t="s">
        <v>8793</v>
      </c>
      <c r="F166" s="2215">
        <v>2455000</v>
      </c>
      <c r="G166" s="2215">
        <v>2970550</v>
      </c>
      <c r="H166" s="2216">
        <v>43763</v>
      </c>
      <c r="I166" s="2216">
        <v>44493</v>
      </c>
      <c r="J166" s="2210" t="s">
        <v>10295</v>
      </c>
      <c r="K166" s="2211"/>
    </row>
    <row r="167" spans="1:11">
      <c r="A167" s="2238" t="s">
        <v>4530</v>
      </c>
      <c r="B167" s="2214" t="s">
        <v>4531</v>
      </c>
      <c r="C167" s="2218">
        <v>2</v>
      </c>
      <c r="D167" s="2228" t="s">
        <v>4533</v>
      </c>
      <c r="E167" s="2372" t="s">
        <v>4893</v>
      </c>
      <c r="F167" s="2215">
        <v>360000</v>
      </c>
      <c r="G167" s="2215">
        <v>435600</v>
      </c>
      <c r="H167" s="2216">
        <v>43763</v>
      </c>
      <c r="I167" s="2216">
        <v>44493</v>
      </c>
      <c r="J167" s="2210" t="s">
        <v>10295</v>
      </c>
      <c r="K167" s="2211"/>
    </row>
    <row r="168" spans="1:11">
      <c r="A168" s="2238" t="s">
        <v>4530</v>
      </c>
      <c r="B168" s="2214" t="s">
        <v>4531</v>
      </c>
      <c r="C168" s="2218">
        <v>3</v>
      </c>
      <c r="D168" s="2228" t="s">
        <v>4534</v>
      </c>
      <c r="E168" s="2372" t="s">
        <v>7296</v>
      </c>
      <c r="F168" s="2215">
        <v>245000</v>
      </c>
      <c r="G168" s="2215">
        <v>296450</v>
      </c>
      <c r="H168" s="2216">
        <v>43763</v>
      </c>
      <c r="I168" s="2216">
        <v>44493</v>
      </c>
      <c r="J168" s="2210" t="s">
        <v>10295</v>
      </c>
      <c r="K168" s="2211"/>
    </row>
    <row r="169" spans="1:11">
      <c r="A169" s="2238" t="s">
        <v>4530</v>
      </c>
      <c r="B169" s="2214" t="s">
        <v>4531</v>
      </c>
      <c r="C169" s="2218">
        <v>4</v>
      </c>
      <c r="D169" s="2228" t="s">
        <v>4535</v>
      </c>
      <c r="E169" s="2372" t="s">
        <v>5908</v>
      </c>
      <c r="F169" s="2215">
        <v>1634400</v>
      </c>
      <c r="G169" s="2215">
        <v>1634400</v>
      </c>
      <c r="H169" s="2216">
        <v>43763</v>
      </c>
      <c r="I169" s="2216">
        <v>44493</v>
      </c>
      <c r="J169" s="2210" t="s">
        <v>10295</v>
      </c>
      <c r="K169" s="2211"/>
    </row>
    <row r="170" spans="1:11">
      <c r="A170" s="2238" t="s">
        <v>4530</v>
      </c>
      <c r="B170" s="2214" t="s">
        <v>4531</v>
      </c>
      <c r="C170" s="2218">
        <v>5</v>
      </c>
      <c r="D170" s="2228" t="s">
        <v>4536</v>
      </c>
      <c r="E170" s="2372" t="s">
        <v>8793</v>
      </c>
      <c r="F170" s="2215">
        <v>132000</v>
      </c>
      <c r="G170" s="2215">
        <v>159720</v>
      </c>
      <c r="H170" s="2216">
        <v>43763</v>
      </c>
      <c r="I170" s="2216">
        <v>44493</v>
      </c>
      <c r="J170" s="2210" t="s">
        <v>10295</v>
      </c>
      <c r="K170" s="2211"/>
    </row>
    <row r="171" spans="1:11" ht="30">
      <c r="A171" s="2238" t="s">
        <v>4530</v>
      </c>
      <c r="B171" s="2214" t="s">
        <v>4531</v>
      </c>
      <c r="C171" s="2218">
        <v>6</v>
      </c>
      <c r="D171" s="2228" t="s">
        <v>4537</v>
      </c>
      <c r="E171" s="2372" t="s">
        <v>8793</v>
      </c>
      <c r="F171" s="2215">
        <v>623200</v>
      </c>
      <c r="G171" s="2215">
        <v>754072</v>
      </c>
      <c r="H171" s="2216">
        <v>43763</v>
      </c>
      <c r="I171" s="2216">
        <v>44493</v>
      </c>
      <c r="J171" s="2208" t="s">
        <v>10295</v>
      </c>
      <c r="K171" s="2211"/>
    </row>
    <row r="172" spans="1:11" ht="30">
      <c r="A172" s="2238" t="s">
        <v>4530</v>
      </c>
      <c r="B172" s="2214" t="s">
        <v>4531</v>
      </c>
      <c r="C172" s="2218">
        <v>8</v>
      </c>
      <c r="D172" s="2228" t="s">
        <v>4539</v>
      </c>
      <c r="E172" s="2372" t="s">
        <v>8793</v>
      </c>
      <c r="F172" s="2215">
        <v>61260</v>
      </c>
      <c r="G172" s="2215">
        <v>74124.600000000006</v>
      </c>
      <c r="H172" s="2216">
        <v>43763</v>
      </c>
      <c r="I172" s="2216">
        <v>44493</v>
      </c>
      <c r="J172" s="2792" t="s">
        <v>13665</v>
      </c>
      <c r="K172" s="2211" t="s">
        <v>2774</v>
      </c>
    </row>
    <row r="173" spans="1:11">
      <c r="A173" s="2238" t="s">
        <v>4078</v>
      </c>
      <c r="B173" s="2214" t="s">
        <v>4079</v>
      </c>
      <c r="C173" s="2218">
        <v>1</v>
      </c>
      <c r="D173" s="2228" t="s">
        <v>4086</v>
      </c>
      <c r="E173" s="2372" t="s">
        <v>7296</v>
      </c>
      <c r="F173" s="2215">
        <v>567900</v>
      </c>
      <c r="G173" s="2215">
        <v>687159</v>
      </c>
      <c r="H173" s="2216">
        <v>43770</v>
      </c>
      <c r="I173" s="2216">
        <v>44500</v>
      </c>
      <c r="J173" s="2208" t="s">
        <v>10013</v>
      </c>
      <c r="K173" s="2211"/>
    </row>
    <row r="174" spans="1:11" ht="30">
      <c r="A174" s="2238" t="s">
        <v>4078</v>
      </c>
      <c r="B174" s="2214" t="s">
        <v>4079</v>
      </c>
      <c r="C174" s="2218">
        <v>2</v>
      </c>
      <c r="D174" s="2228" t="s">
        <v>4087</v>
      </c>
      <c r="E174" s="2372" t="s">
        <v>576</v>
      </c>
      <c r="F174" s="2215">
        <v>840000</v>
      </c>
      <c r="G174" s="2215">
        <v>1016400</v>
      </c>
      <c r="H174" s="2216">
        <v>43770</v>
      </c>
      <c r="I174" s="2216">
        <v>44500</v>
      </c>
      <c r="J174" s="2484" t="s">
        <v>10533</v>
      </c>
      <c r="K174" s="2211" t="s">
        <v>10360</v>
      </c>
    </row>
    <row r="175" spans="1:11">
      <c r="A175" s="2238" t="s">
        <v>4078</v>
      </c>
      <c r="B175" s="2214" t="s">
        <v>4079</v>
      </c>
      <c r="C175" s="2218">
        <v>3</v>
      </c>
      <c r="D175" s="2228" t="s">
        <v>4088</v>
      </c>
      <c r="E175" s="2372" t="s">
        <v>4838</v>
      </c>
      <c r="F175" s="2215">
        <v>80487.360000000001</v>
      </c>
      <c r="G175" s="2215">
        <v>97389.71</v>
      </c>
      <c r="H175" s="2216">
        <v>43770</v>
      </c>
      <c r="I175" s="2216">
        <v>44500</v>
      </c>
      <c r="J175" s="2208" t="s">
        <v>10013</v>
      </c>
      <c r="K175" s="2211"/>
    </row>
    <row r="176" spans="1:11" ht="30">
      <c r="A176" s="2238" t="s">
        <v>4078</v>
      </c>
      <c r="B176" s="2214" t="s">
        <v>4079</v>
      </c>
      <c r="C176" s="2218">
        <v>4</v>
      </c>
      <c r="D176" s="2228" t="s">
        <v>4089</v>
      </c>
      <c r="E176" s="2372" t="s">
        <v>5908</v>
      </c>
      <c r="F176" s="2215">
        <v>125160</v>
      </c>
      <c r="G176" s="2215">
        <v>151443.6</v>
      </c>
      <c r="H176" s="2216">
        <v>43770</v>
      </c>
      <c r="I176" s="2216">
        <v>44500</v>
      </c>
      <c r="J176" s="2484" t="s">
        <v>10533</v>
      </c>
      <c r="K176" s="2211" t="s">
        <v>2774</v>
      </c>
    </row>
    <row r="177" spans="1:12" ht="45">
      <c r="A177" s="2238" t="s">
        <v>4078</v>
      </c>
      <c r="B177" s="2214" t="s">
        <v>4079</v>
      </c>
      <c r="C177" s="2218">
        <v>5</v>
      </c>
      <c r="D177" s="2228" t="s">
        <v>4090</v>
      </c>
      <c r="E177" s="2372" t="s">
        <v>5209</v>
      </c>
      <c r="F177" s="2215">
        <v>971092.5</v>
      </c>
      <c r="G177" s="2215">
        <v>1175021.93</v>
      </c>
      <c r="H177" s="2216">
        <v>43770</v>
      </c>
      <c r="I177" s="2216">
        <v>44500</v>
      </c>
      <c r="J177" s="2484" t="s">
        <v>11979</v>
      </c>
      <c r="K177" s="2211" t="s">
        <v>2774</v>
      </c>
    </row>
    <row r="178" spans="1:12">
      <c r="A178" s="2238" t="s">
        <v>5629</v>
      </c>
      <c r="B178" s="2214" t="s">
        <v>5630</v>
      </c>
      <c r="C178" s="2218"/>
      <c r="D178" s="2228"/>
      <c r="E178" s="2372" t="s">
        <v>5908</v>
      </c>
      <c r="F178" s="2215">
        <v>630000</v>
      </c>
      <c r="G178" s="2215">
        <v>762300</v>
      </c>
      <c r="H178" s="2216">
        <v>43794</v>
      </c>
      <c r="I178" s="2216">
        <v>44524</v>
      </c>
      <c r="J178" s="2208" t="s">
        <v>10367</v>
      </c>
      <c r="K178" s="2211"/>
    </row>
    <row r="179" spans="1:12" ht="30">
      <c r="A179" s="2238" t="s">
        <v>4467</v>
      </c>
      <c r="B179" s="2214" t="s">
        <v>4468</v>
      </c>
      <c r="C179" s="2218">
        <v>1</v>
      </c>
      <c r="D179" s="2214" t="s">
        <v>4470</v>
      </c>
      <c r="E179" s="2372" t="s">
        <v>2097</v>
      </c>
      <c r="F179" s="2215">
        <v>862800</v>
      </c>
      <c r="G179" s="2215">
        <v>1043988</v>
      </c>
      <c r="H179" s="2216">
        <v>43822</v>
      </c>
      <c r="I179" s="2216">
        <v>44552</v>
      </c>
      <c r="J179" s="2192" t="s">
        <v>9569</v>
      </c>
      <c r="K179" s="2217">
        <v>44484</v>
      </c>
      <c r="L179" s="2263" t="s">
        <v>9087</v>
      </c>
    </row>
    <row r="180" spans="1:12" ht="30">
      <c r="A180" s="2238" t="s">
        <v>4467</v>
      </c>
      <c r="B180" s="2214" t="s">
        <v>4468</v>
      </c>
      <c r="C180" s="2218">
        <v>2</v>
      </c>
      <c r="D180" s="2228" t="s">
        <v>4469</v>
      </c>
      <c r="E180" s="2372" t="s">
        <v>2097</v>
      </c>
      <c r="F180" s="2215">
        <v>2904760</v>
      </c>
      <c r="G180" s="2215">
        <v>3514759.6</v>
      </c>
      <c r="H180" s="2216">
        <v>43822</v>
      </c>
      <c r="I180" s="2216">
        <v>44552</v>
      </c>
      <c r="J180" s="2302" t="s">
        <v>9569</v>
      </c>
      <c r="K180" s="2217">
        <v>44484</v>
      </c>
      <c r="L180" s="2263" t="s">
        <v>9087</v>
      </c>
    </row>
    <row r="181" spans="1:12">
      <c r="A181" s="2238" t="s">
        <v>5994</v>
      </c>
      <c r="B181" s="2214" t="s">
        <v>5995</v>
      </c>
      <c r="C181" s="2218">
        <v>1</v>
      </c>
      <c r="D181" s="2372" t="s">
        <v>6003</v>
      </c>
      <c r="E181" s="2372" t="s">
        <v>6074</v>
      </c>
      <c r="F181" s="2215">
        <v>614920</v>
      </c>
      <c r="G181" s="2215">
        <v>744053.2</v>
      </c>
      <c r="H181" s="2216">
        <v>43839</v>
      </c>
      <c r="I181" s="2216">
        <v>44569</v>
      </c>
      <c r="J181" s="2210" t="s">
        <v>10160</v>
      </c>
      <c r="K181" s="2211"/>
    </row>
    <row r="182" spans="1:12" ht="30">
      <c r="A182" s="2238" t="s">
        <v>5994</v>
      </c>
      <c r="B182" s="2214" t="s">
        <v>5995</v>
      </c>
      <c r="C182" s="2218">
        <v>2</v>
      </c>
      <c r="D182" s="2372" t="s">
        <v>6004</v>
      </c>
      <c r="E182" s="2372" t="s">
        <v>659</v>
      </c>
      <c r="F182" s="2215">
        <v>327954.8</v>
      </c>
      <c r="G182" s="2215">
        <v>396825.30799999996</v>
      </c>
      <c r="H182" s="2216">
        <v>43850</v>
      </c>
      <c r="I182" s="2216">
        <v>44580</v>
      </c>
      <c r="J182" s="2302" t="s">
        <v>10550</v>
      </c>
      <c r="K182" s="2211"/>
    </row>
    <row r="183" spans="1:12">
      <c r="A183" s="2238" t="s">
        <v>5372</v>
      </c>
      <c r="B183" s="2590" t="s">
        <v>5373</v>
      </c>
      <c r="C183" s="2218"/>
      <c r="D183" s="2372"/>
      <c r="E183" s="2372" t="s">
        <v>2776</v>
      </c>
      <c r="F183" s="2215">
        <v>3942981.82</v>
      </c>
      <c r="G183" s="2215">
        <v>4771008</v>
      </c>
      <c r="H183" s="2216">
        <v>43860</v>
      </c>
      <c r="I183" s="2216">
        <v>44590</v>
      </c>
      <c r="J183" s="2210" t="s">
        <v>10831</v>
      </c>
      <c r="K183" s="2211"/>
    </row>
    <row r="184" spans="1:12" ht="30">
      <c r="A184" s="2238" t="s">
        <v>5641</v>
      </c>
      <c r="B184" s="2214" t="s">
        <v>5480</v>
      </c>
      <c r="C184" s="2218"/>
      <c r="D184" s="2372"/>
      <c r="E184" s="2372" t="s">
        <v>3332</v>
      </c>
      <c r="F184" s="2215">
        <v>263012</v>
      </c>
      <c r="G184" s="2215">
        <v>318244.52</v>
      </c>
      <c r="H184" s="2216">
        <v>43887</v>
      </c>
      <c r="I184" s="2216">
        <v>44617</v>
      </c>
      <c r="J184" s="2302" t="s">
        <v>10425</v>
      </c>
      <c r="K184" s="2211"/>
    </row>
    <row r="185" spans="1:12">
      <c r="A185" s="2238" t="s">
        <v>8082</v>
      </c>
      <c r="B185" s="2214" t="s">
        <v>7364</v>
      </c>
      <c r="C185" s="2218"/>
      <c r="D185" s="2372"/>
      <c r="E185" s="2372" t="s">
        <v>8256</v>
      </c>
      <c r="F185" s="2215">
        <v>30000000</v>
      </c>
      <c r="G185" s="2215">
        <v>36300000</v>
      </c>
      <c r="H185" s="2216">
        <v>44270</v>
      </c>
      <c r="I185" s="2216">
        <v>44634</v>
      </c>
      <c r="J185" s="2210" t="s">
        <v>10639</v>
      </c>
      <c r="K185" s="2211"/>
    </row>
    <row r="186" spans="1:12" ht="30">
      <c r="A186" s="2238" t="s">
        <v>5463</v>
      </c>
      <c r="B186" s="2214" t="s">
        <v>5464</v>
      </c>
      <c r="C186" s="2218">
        <v>1</v>
      </c>
      <c r="D186" s="2372" t="s">
        <v>4306</v>
      </c>
      <c r="E186" s="2372" t="s">
        <v>6322</v>
      </c>
      <c r="F186" s="2215">
        <v>3733240</v>
      </c>
      <c r="G186" s="2215">
        <v>4293226</v>
      </c>
      <c r="H186" s="2216">
        <v>43885</v>
      </c>
      <c r="I186" s="2216">
        <v>44615</v>
      </c>
      <c r="J186" s="2302" t="s">
        <v>11434</v>
      </c>
      <c r="K186" s="2211"/>
    </row>
    <row r="187" spans="1:12" ht="30">
      <c r="A187" s="2238" t="s">
        <v>5463</v>
      </c>
      <c r="B187" s="2214" t="s">
        <v>5464</v>
      </c>
      <c r="C187" s="2218">
        <v>2</v>
      </c>
      <c r="D187" s="2372" t="s">
        <v>4308</v>
      </c>
      <c r="E187" s="2372" t="s">
        <v>6322</v>
      </c>
      <c r="F187" s="2215">
        <v>141890</v>
      </c>
      <c r="G187" s="2215">
        <v>163173.5</v>
      </c>
      <c r="H187" s="2216">
        <v>43885</v>
      </c>
      <c r="I187" s="2216">
        <v>44615</v>
      </c>
      <c r="J187" s="2302" t="s">
        <v>11434</v>
      </c>
      <c r="K187" s="2211"/>
    </row>
    <row r="188" spans="1:12">
      <c r="A188" s="2238" t="s">
        <v>6498</v>
      </c>
      <c r="B188" s="2214" t="s">
        <v>6499</v>
      </c>
      <c r="C188" s="2218">
        <v>1</v>
      </c>
      <c r="D188" s="2372" t="s">
        <v>6521</v>
      </c>
      <c r="E188" s="2372" t="s">
        <v>1433</v>
      </c>
      <c r="F188" s="2215">
        <v>815750</v>
      </c>
      <c r="G188" s="2215">
        <v>987060</v>
      </c>
      <c r="H188" s="2216">
        <v>43948</v>
      </c>
      <c r="I188" s="2216">
        <v>44677</v>
      </c>
      <c r="J188" s="2210" t="s">
        <v>10716</v>
      </c>
      <c r="K188" s="2211"/>
    </row>
    <row r="189" spans="1:12">
      <c r="A189" s="2238" t="s">
        <v>4168</v>
      </c>
      <c r="B189" s="2214" t="s">
        <v>4169</v>
      </c>
      <c r="C189" s="2218"/>
      <c r="D189" s="2228"/>
      <c r="E189" s="2372" t="s">
        <v>1400</v>
      </c>
      <c r="F189" s="2215">
        <v>717178.02</v>
      </c>
      <c r="G189" s="2215">
        <v>867785.40419999999</v>
      </c>
      <c r="H189" s="2216">
        <v>43591</v>
      </c>
      <c r="I189" s="2216">
        <v>44686</v>
      </c>
      <c r="J189" s="2210" t="s">
        <v>10776</v>
      </c>
      <c r="K189" s="2211"/>
    </row>
    <row r="190" spans="1:12">
      <c r="A190" s="2238" t="s">
        <v>6606</v>
      </c>
      <c r="B190" s="2214" t="s">
        <v>6522</v>
      </c>
      <c r="C190" s="2218"/>
      <c r="D190" s="2372"/>
      <c r="E190" s="2372" t="s">
        <v>6695</v>
      </c>
      <c r="F190" s="2215">
        <v>560000</v>
      </c>
      <c r="G190" s="2215">
        <v>677600</v>
      </c>
      <c r="H190" s="2216">
        <v>43964</v>
      </c>
      <c r="I190" s="2216">
        <v>44693</v>
      </c>
      <c r="J190" s="2210" t="s">
        <v>10716</v>
      </c>
      <c r="K190" s="2211"/>
    </row>
    <row r="191" spans="1:12" ht="30">
      <c r="A191" s="2541" t="s">
        <v>4833</v>
      </c>
      <c r="B191" s="2542" t="s">
        <v>4832</v>
      </c>
      <c r="C191" s="2543"/>
      <c r="D191" s="2544"/>
      <c r="E191" s="2545" t="s">
        <v>3179</v>
      </c>
      <c r="F191" s="2546">
        <v>1123965.2</v>
      </c>
      <c r="G191" s="2546">
        <v>1359997.9</v>
      </c>
      <c r="H191" s="2547">
        <v>43636</v>
      </c>
      <c r="I191" s="2547">
        <v>44731</v>
      </c>
      <c r="J191" s="2543" t="s">
        <v>13582</v>
      </c>
      <c r="K191" s="2211"/>
    </row>
    <row r="192" spans="1:12">
      <c r="A192" s="2238" t="s">
        <v>4563</v>
      </c>
      <c r="B192" s="2214" t="s">
        <v>4564</v>
      </c>
      <c r="C192" s="2218"/>
      <c r="D192" s="2228"/>
      <c r="E192" s="2372" t="s">
        <v>4857</v>
      </c>
      <c r="F192" s="2215">
        <v>668863.5</v>
      </c>
      <c r="G192" s="2215">
        <v>809324.84</v>
      </c>
      <c r="H192" s="2216">
        <v>43640</v>
      </c>
      <c r="I192" s="2216">
        <v>44735</v>
      </c>
      <c r="J192" s="2210" t="s">
        <v>11553</v>
      </c>
      <c r="K192" s="2211"/>
    </row>
    <row r="193" spans="1:11">
      <c r="A193" s="2238" t="s">
        <v>6268</v>
      </c>
      <c r="B193" s="2214" t="s">
        <v>6270</v>
      </c>
      <c r="C193" s="2218"/>
      <c r="D193" s="2372"/>
      <c r="E193" s="2372" t="s">
        <v>459</v>
      </c>
      <c r="F193" s="2215">
        <v>7941600</v>
      </c>
      <c r="G193" s="2215">
        <v>9609336</v>
      </c>
      <c r="H193" s="2216">
        <v>44006</v>
      </c>
      <c r="I193" s="2216">
        <v>44735</v>
      </c>
      <c r="J193" s="2210" t="s">
        <v>11289</v>
      </c>
      <c r="K193" s="2211"/>
    </row>
    <row r="194" spans="1:11" ht="30">
      <c r="A194" s="3398" t="s">
        <v>2818</v>
      </c>
      <c r="B194" s="3399" t="s">
        <v>2819</v>
      </c>
      <c r="C194" s="3400"/>
      <c r="D194" s="3399"/>
      <c r="E194" s="3402" t="s">
        <v>2995</v>
      </c>
      <c r="F194" s="3403">
        <v>14294993.550000001</v>
      </c>
      <c r="G194" s="3403">
        <v>17296942.199999999</v>
      </c>
      <c r="H194" s="3404">
        <v>43297</v>
      </c>
      <c r="I194" s="3407" t="s">
        <v>10357</v>
      </c>
      <c r="J194" s="2407"/>
      <c r="K194" s="2211"/>
    </row>
    <row r="195" spans="1:11" ht="30">
      <c r="A195" s="2204" t="s">
        <v>10779</v>
      </c>
      <c r="B195" s="2174" t="s">
        <v>10778</v>
      </c>
      <c r="C195" s="2208"/>
      <c r="D195" s="2212"/>
      <c r="E195" s="2212" t="s">
        <v>12929</v>
      </c>
      <c r="F195" s="2209">
        <v>416100</v>
      </c>
      <c r="G195" s="2209">
        <v>503481</v>
      </c>
      <c r="H195" s="2175">
        <v>44581</v>
      </c>
      <c r="I195" s="2175">
        <v>44761</v>
      </c>
      <c r="J195" s="2210"/>
      <c r="K195" s="2217"/>
    </row>
    <row r="196" spans="1:11" ht="30">
      <c r="A196" s="2238" t="s">
        <v>6338</v>
      </c>
      <c r="B196" s="2214" t="s">
        <v>6339</v>
      </c>
      <c r="C196" s="2218">
        <v>1</v>
      </c>
      <c r="D196" s="2214" t="s">
        <v>6414</v>
      </c>
      <c r="E196" s="2372" t="s">
        <v>2776</v>
      </c>
      <c r="F196" s="2215">
        <v>64515000</v>
      </c>
      <c r="G196" s="2215">
        <v>74192250</v>
      </c>
      <c r="H196" s="2216">
        <v>44033</v>
      </c>
      <c r="I196" s="2216">
        <v>44762</v>
      </c>
      <c r="J196" s="2208" t="s">
        <v>12328</v>
      </c>
      <c r="K196" s="2211"/>
    </row>
    <row r="197" spans="1:11" ht="30">
      <c r="A197" s="3398" t="s">
        <v>2778</v>
      </c>
      <c r="B197" s="3399" t="s">
        <v>2779</v>
      </c>
      <c r="C197" s="3400"/>
      <c r="D197" s="3399"/>
      <c r="E197" s="3402" t="s">
        <v>1792</v>
      </c>
      <c r="F197" s="3403">
        <v>8408000</v>
      </c>
      <c r="G197" s="3403">
        <v>10173680</v>
      </c>
      <c r="H197" s="3404">
        <v>43304</v>
      </c>
      <c r="I197" s="3407" t="s">
        <v>10345</v>
      </c>
      <c r="J197" s="2175"/>
      <c r="K197" s="2211"/>
    </row>
    <row r="198" spans="1:11" ht="30">
      <c r="A198" s="2238" t="s">
        <v>6338</v>
      </c>
      <c r="B198" s="2214" t="s">
        <v>6339</v>
      </c>
      <c r="C198" s="2218">
        <v>3</v>
      </c>
      <c r="D198" s="2214" t="s">
        <v>6345</v>
      </c>
      <c r="E198" s="2372" t="s">
        <v>6763</v>
      </c>
      <c r="F198" s="2215">
        <v>89167500</v>
      </c>
      <c r="G198" s="2215">
        <v>102542625</v>
      </c>
      <c r="H198" s="2216">
        <v>44036</v>
      </c>
      <c r="I198" s="2216">
        <v>44765</v>
      </c>
      <c r="J198" s="2208" t="s">
        <v>12328</v>
      </c>
      <c r="K198" s="2211"/>
    </row>
    <row r="199" spans="1:11" ht="30">
      <c r="A199" s="2238" t="s">
        <v>7017</v>
      </c>
      <c r="B199" s="2214" t="s">
        <v>7030</v>
      </c>
      <c r="C199" s="2218"/>
      <c r="D199" s="2372"/>
      <c r="E199" s="2372" t="s">
        <v>6322</v>
      </c>
      <c r="F199" s="2215">
        <v>727625</v>
      </c>
      <c r="G199" s="2215">
        <v>880426.7</v>
      </c>
      <c r="H199" s="2216">
        <v>44040</v>
      </c>
      <c r="I199" s="2216">
        <v>44769</v>
      </c>
      <c r="J199" s="2208" t="s">
        <v>11821</v>
      </c>
      <c r="K199" s="2211"/>
    </row>
    <row r="200" spans="1:11">
      <c r="A200" s="2238" t="s">
        <v>7018</v>
      </c>
      <c r="B200" s="2214" t="s">
        <v>7031</v>
      </c>
      <c r="C200" s="2218"/>
      <c r="D200" s="2372"/>
      <c r="E200" s="2372" t="s">
        <v>6322</v>
      </c>
      <c r="F200" s="2215">
        <v>531880.56000000006</v>
      </c>
      <c r="G200" s="2215">
        <v>643575.48</v>
      </c>
      <c r="H200" s="2216">
        <v>44040</v>
      </c>
      <c r="I200" s="2216">
        <v>44769</v>
      </c>
      <c r="J200" s="2208" t="s">
        <v>11874</v>
      </c>
      <c r="K200" s="2211"/>
    </row>
    <row r="201" spans="1:11" ht="30">
      <c r="A201" s="3398" t="s">
        <v>2876</v>
      </c>
      <c r="B201" s="3399" t="s">
        <v>2877</v>
      </c>
      <c r="C201" s="3400"/>
      <c r="D201" s="3399"/>
      <c r="E201" s="3402" t="s">
        <v>7296</v>
      </c>
      <c r="F201" s="3403">
        <v>6518400</v>
      </c>
      <c r="G201" s="3403">
        <v>7887264</v>
      </c>
      <c r="H201" s="3404">
        <v>43343</v>
      </c>
      <c r="I201" s="3407" t="s">
        <v>10359</v>
      </c>
      <c r="J201" s="2175"/>
      <c r="K201" s="2211"/>
    </row>
    <row r="202" spans="1:11" ht="30">
      <c r="A202" s="2238" t="s">
        <v>6746</v>
      </c>
      <c r="B202" s="2214" t="s">
        <v>6747</v>
      </c>
      <c r="C202" s="2218">
        <v>1</v>
      </c>
      <c r="D202" s="2372" t="s">
        <v>6748</v>
      </c>
      <c r="E202" s="2372" t="s">
        <v>2776</v>
      </c>
      <c r="F202" s="2215">
        <v>14446280</v>
      </c>
      <c r="G202" s="2215">
        <v>17480000</v>
      </c>
      <c r="H202" s="2216">
        <v>44075</v>
      </c>
      <c r="I202" s="2216">
        <v>44804</v>
      </c>
      <c r="J202" s="2177" t="s">
        <v>13735</v>
      </c>
      <c r="K202" s="2211"/>
    </row>
    <row r="203" spans="1:11" ht="30">
      <c r="A203" s="2238" t="s">
        <v>6746</v>
      </c>
      <c r="B203" s="2214" t="s">
        <v>6747</v>
      </c>
      <c r="C203" s="2218">
        <v>2</v>
      </c>
      <c r="D203" s="2372" t="s">
        <v>6750</v>
      </c>
      <c r="E203" s="2372" t="s">
        <v>2776</v>
      </c>
      <c r="F203" s="2215">
        <v>1454545.45</v>
      </c>
      <c r="G203" s="2215">
        <v>1760000</v>
      </c>
      <c r="H203" s="2216">
        <v>44075</v>
      </c>
      <c r="I203" s="2216">
        <v>44804</v>
      </c>
      <c r="J203" s="2175" t="s">
        <v>12585</v>
      </c>
      <c r="K203" s="2211"/>
    </row>
    <row r="204" spans="1:11" ht="30">
      <c r="A204" s="3398" t="s">
        <v>3108</v>
      </c>
      <c r="B204" s="3399" t="s">
        <v>3109</v>
      </c>
      <c r="C204" s="3400"/>
      <c r="D204" s="3399"/>
      <c r="E204" s="3402" t="s">
        <v>3154</v>
      </c>
      <c r="F204" s="3403">
        <v>3699739.44</v>
      </c>
      <c r="G204" s="3403">
        <v>4254700.4000000004</v>
      </c>
      <c r="H204" s="3404">
        <v>43353</v>
      </c>
      <c r="I204" s="3407" t="s">
        <v>10346</v>
      </c>
      <c r="J204" s="2175"/>
      <c r="K204" s="2211"/>
    </row>
    <row r="205" spans="1:11">
      <c r="A205" s="2238" t="s">
        <v>6972</v>
      </c>
      <c r="B205" s="2214" t="s">
        <v>6973</v>
      </c>
      <c r="C205" s="2218"/>
      <c r="D205" s="2372"/>
      <c r="E205" s="2372" t="s">
        <v>7190</v>
      </c>
      <c r="F205" s="2215">
        <v>1650972.4</v>
      </c>
      <c r="G205" s="2215">
        <v>1997646</v>
      </c>
      <c r="H205" s="2216">
        <v>44090</v>
      </c>
      <c r="I205" s="2216">
        <v>44819</v>
      </c>
      <c r="J205" s="2208" t="s">
        <v>12051</v>
      </c>
      <c r="K205" s="2211"/>
    </row>
    <row r="206" spans="1:11">
      <c r="A206" s="2238" t="s">
        <v>6952</v>
      </c>
      <c r="B206" s="2214" t="s">
        <v>6951</v>
      </c>
      <c r="C206" s="2218">
        <v>1</v>
      </c>
      <c r="D206" s="2372" t="s">
        <v>6953</v>
      </c>
      <c r="E206" s="2372" t="s">
        <v>7296</v>
      </c>
      <c r="F206" s="2215">
        <v>1548000</v>
      </c>
      <c r="G206" s="2215">
        <v>1780199.9999999998</v>
      </c>
      <c r="H206" s="2216">
        <v>44105</v>
      </c>
      <c r="I206" s="2216">
        <v>44834</v>
      </c>
      <c r="J206" s="2175" t="s">
        <v>12517</v>
      </c>
      <c r="K206" s="2211"/>
    </row>
    <row r="207" spans="1:11">
      <c r="A207" s="2238" t="s">
        <v>6952</v>
      </c>
      <c r="B207" s="2214" t="s">
        <v>6951</v>
      </c>
      <c r="C207" s="2218">
        <v>2</v>
      </c>
      <c r="D207" s="2372" t="s">
        <v>6954</v>
      </c>
      <c r="E207" s="2372" t="s">
        <v>7296</v>
      </c>
      <c r="F207" s="2215">
        <v>3151000</v>
      </c>
      <c r="G207" s="2215">
        <v>3623649.9999999995</v>
      </c>
      <c r="H207" s="2216">
        <v>44105</v>
      </c>
      <c r="I207" s="2216">
        <v>44834</v>
      </c>
      <c r="J207" s="2175" t="s">
        <v>12517</v>
      </c>
      <c r="K207" s="2211"/>
    </row>
    <row r="208" spans="1:11" ht="45">
      <c r="A208" s="2238" t="s">
        <v>6952</v>
      </c>
      <c r="B208" s="2214" t="s">
        <v>6951</v>
      </c>
      <c r="C208" s="2218">
        <v>3</v>
      </c>
      <c r="D208" s="2228" t="s">
        <v>6956</v>
      </c>
      <c r="E208" s="2372" t="s">
        <v>7296</v>
      </c>
      <c r="F208" s="2215">
        <v>6798000</v>
      </c>
      <c r="G208" s="2215">
        <v>7817699.9999999991</v>
      </c>
      <c r="H208" s="2216">
        <v>44105</v>
      </c>
      <c r="I208" s="2216">
        <v>44834</v>
      </c>
      <c r="J208" s="2175" t="s">
        <v>12517</v>
      </c>
      <c r="K208" s="2211"/>
    </row>
    <row r="209" spans="1:11">
      <c r="A209" s="2238" t="s">
        <v>6952</v>
      </c>
      <c r="B209" s="2214" t="s">
        <v>6951</v>
      </c>
      <c r="C209" s="2218">
        <v>4</v>
      </c>
      <c r="D209" s="2372" t="s">
        <v>6955</v>
      </c>
      <c r="E209" s="2372" t="s">
        <v>7296</v>
      </c>
      <c r="F209" s="2215">
        <v>254000</v>
      </c>
      <c r="G209" s="2215">
        <v>292100</v>
      </c>
      <c r="H209" s="2216">
        <v>44105</v>
      </c>
      <c r="I209" s="2216">
        <v>44834</v>
      </c>
      <c r="J209" s="2175" t="s">
        <v>12517</v>
      </c>
      <c r="K209" s="2211"/>
    </row>
    <row r="210" spans="1:11" ht="45">
      <c r="A210" s="2238" t="s">
        <v>6952</v>
      </c>
      <c r="B210" s="2214" t="s">
        <v>6951</v>
      </c>
      <c r="C210" s="2218">
        <v>5</v>
      </c>
      <c r="D210" s="2228" t="s">
        <v>6957</v>
      </c>
      <c r="E210" s="2372" t="s">
        <v>7296</v>
      </c>
      <c r="F210" s="2215">
        <v>3028400</v>
      </c>
      <c r="G210" s="2215">
        <v>3482659.9999999995</v>
      </c>
      <c r="H210" s="2216">
        <v>44105</v>
      </c>
      <c r="I210" s="2216">
        <v>44834</v>
      </c>
      <c r="J210" s="2175" t="s">
        <v>12517</v>
      </c>
      <c r="K210" s="2211"/>
    </row>
    <row r="211" spans="1:11" ht="30">
      <c r="A211" s="2238" t="s">
        <v>5312</v>
      </c>
      <c r="B211" s="2214" t="s">
        <v>5313</v>
      </c>
      <c r="C211" s="2218"/>
      <c r="D211" s="2228"/>
      <c r="E211" s="2372" t="s">
        <v>5696</v>
      </c>
      <c r="F211" s="2215">
        <v>1346625</v>
      </c>
      <c r="G211" s="2215">
        <v>1548621.9</v>
      </c>
      <c r="H211" s="2216">
        <v>43762</v>
      </c>
      <c r="I211" s="2216">
        <v>44857</v>
      </c>
      <c r="J211" s="2210" t="s">
        <v>12818</v>
      </c>
      <c r="K211" s="2211"/>
    </row>
    <row r="212" spans="1:11">
      <c r="A212" s="2238" t="s">
        <v>6526</v>
      </c>
      <c r="B212" s="2214" t="s">
        <v>6527</v>
      </c>
      <c r="C212" s="2218">
        <v>2</v>
      </c>
      <c r="D212" s="2868" t="s">
        <v>6529</v>
      </c>
      <c r="E212" s="2372" t="s">
        <v>8793</v>
      </c>
      <c r="F212" s="2215">
        <v>256000</v>
      </c>
      <c r="G212" s="2215">
        <v>309760</v>
      </c>
      <c r="H212" s="2216">
        <v>44131</v>
      </c>
      <c r="I212" s="2216">
        <v>44860</v>
      </c>
      <c r="J212" s="2210" t="s">
        <v>12977</v>
      </c>
      <c r="K212" s="2211"/>
    </row>
    <row r="213" spans="1:11" ht="45">
      <c r="A213" s="2238" t="s">
        <v>6526</v>
      </c>
      <c r="B213" s="2214" t="s">
        <v>6527</v>
      </c>
      <c r="C213" s="2218">
        <v>6</v>
      </c>
      <c r="D213" s="2874" t="s">
        <v>3791</v>
      </c>
      <c r="E213" s="2372" t="s">
        <v>8793</v>
      </c>
      <c r="F213" s="2215">
        <v>1734000</v>
      </c>
      <c r="G213" s="2215">
        <v>2098140</v>
      </c>
      <c r="H213" s="2216">
        <v>44131</v>
      </c>
      <c r="I213" s="2216">
        <v>44860</v>
      </c>
      <c r="J213" s="2210" t="s">
        <v>12981</v>
      </c>
      <c r="K213" s="2211"/>
    </row>
    <row r="214" spans="1:11">
      <c r="A214" s="2238" t="s">
        <v>6526</v>
      </c>
      <c r="B214" s="2214" t="s">
        <v>6527</v>
      </c>
      <c r="C214" s="2218">
        <v>8</v>
      </c>
      <c r="D214" s="2870" t="s">
        <v>6533</v>
      </c>
      <c r="E214" s="2372" t="s">
        <v>5908</v>
      </c>
      <c r="F214" s="2215">
        <v>3160000</v>
      </c>
      <c r="G214" s="2215">
        <v>3823600</v>
      </c>
      <c r="H214" s="2216">
        <v>44131</v>
      </c>
      <c r="I214" s="2216">
        <v>44860</v>
      </c>
      <c r="J214" s="2210" t="s">
        <v>12982</v>
      </c>
      <c r="K214" s="2211"/>
    </row>
    <row r="215" spans="1:11">
      <c r="A215" s="2238" t="s">
        <v>6526</v>
      </c>
      <c r="B215" s="2214" t="s">
        <v>6527</v>
      </c>
      <c r="C215" s="2218">
        <v>9</v>
      </c>
      <c r="D215" s="2870" t="s">
        <v>6534</v>
      </c>
      <c r="E215" s="2372" t="s">
        <v>5908</v>
      </c>
      <c r="F215" s="2215">
        <v>5530000</v>
      </c>
      <c r="G215" s="2215">
        <v>6691300</v>
      </c>
      <c r="H215" s="2216">
        <v>44131</v>
      </c>
      <c r="I215" s="2216">
        <v>44860</v>
      </c>
      <c r="J215" s="2210" t="s">
        <v>12983</v>
      </c>
      <c r="K215" s="2211"/>
    </row>
    <row r="216" spans="1:11" ht="30">
      <c r="A216" s="2357" t="s">
        <v>6526</v>
      </c>
      <c r="B216" s="2358" t="s">
        <v>6527</v>
      </c>
      <c r="C216" s="2359">
        <v>12</v>
      </c>
      <c r="D216" s="2802" t="s">
        <v>6537</v>
      </c>
      <c r="E216" s="2263" t="s">
        <v>1433</v>
      </c>
      <c r="F216" s="2361">
        <v>2520000</v>
      </c>
      <c r="G216" s="2361">
        <v>3049200</v>
      </c>
      <c r="H216" s="2362">
        <v>44131</v>
      </c>
      <c r="I216" s="2362">
        <v>44860</v>
      </c>
      <c r="J216" s="2803" t="s">
        <v>13719</v>
      </c>
      <c r="K216" s="2211"/>
    </row>
    <row r="217" spans="1:11">
      <c r="A217" s="2238" t="s">
        <v>6526</v>
      </c>
      <c r="B217" s="2214" t="s">
        <v>6527</v>
      </c>
      <c r="C217" s="2218">
        <v>5</v>
      </c>
      <c r="D217" s="2874" t="s">
        <v>6540</v>
      </c>
      <c r="E217" s="2372" t="s">
        <v>4894</v>
      </c>
      <c r="F217" s="2215">
        <v>2760000</v>
      </c>
      <c r="G217" s="2215">
        <v>3339600</v>
      </c>
      <c r="H217" s="2216">
        <v>44134</v>
      </c>
      <c r="I217" s="2216">
        <v>44863</v>
      </c>
      <c r="J217" s="2210" t="s">
        <v>12980</v>
      </c>
      <c r="K217" s="2211"/>
    </row>
    <row r="218" spans="1:11">
      <c r="A218" s="2238" t="s">
        <v>6526</v>
      </c>
      <c r="B218" s="2214" t="s">
        <v>6527</v>
      </c>
      <c r="C218" s="2218">
        <v>11</v>
      </c>
      <c r="D218" s="2869" t="s">
        <v>6536</v>
      </c>
      <c r="E218" s="2372" t="s">
        <v>993</v>
      </c>
      <c r="F218" s="2215">
        <v>1680000</v>
      </c>
      <c r="G218" s="2215">
        <v>2032800</v>
      </c>
      <c r="H218" s="2216">
        <v>44134</v>
      </c>
      <c r="I218" s="2216">
        <v>44863</v>
      </c>
      <c r="J218" s="2208" t="s">
        <v>12985</v>
      </c>
      <c r="K218" s="2211"/>
    </row>
    <row r="219" spans="1:11">
      <c r="A219" s="2238" t="s">
        <v>6526</v>
      </c>
      <c r="B219" s="2214" t="s">
        <v>6527</v>
      </c>
      <c r="C219" s="2218">
        <v>10</v>
      </c>
      <c r="D219" s="2870" t="s">
        <v>6535</v>
      </c>
      <c r="E219" s="2372" t="s">
        <v>7574</v>
      </c>
      <c r="F219" s="2215">
        <v>588200</v>
      </c>
      <c r="G219" s="2215">
        <v>711722</v>
      </c>
      <c r="H219" s="2216">
        <v>44137</v>
      </c>
      <c r="I219" s="2216">
        <v>44866</v>
      </c>
      <c r="J219" s="2208" t="s">
        <v>12984</v>
      </c>
      <c r="K219" s="2211"/>
    </row>
    <row r="220" spans="1:11">
      <c r="A220" s="2238" t="s">
        <v>7294</v>
      </c>
      <c r="B220" s="2214" t="s">
        <v>7295</v>
      </c>
      <c r="C220" s="2218">
        <v>1</v>
      </c>
      <c r="D220" s="2372" t="s">
        <v>7290</v>
      </c>
      <c r="E220" s="2372" t="s">
        <v>6592</v>
      </c>
      <c r="F220" s="2215">
        <v>565000</v>
      </c>
      <c r="G220" s="2215">
        <v>683650</v>
      </c>
      <c r="H220" s="2216">
        <v>44160</v>
      </c>
      <c r="I220" s="2216">
        <v>44889</v>
      </c>
      <c r="J220" s="2407" t="s">
        <v>13490</v>
      </c>
      <c r="K220" s="2211"/>
    </row>
    <row r="221" spans="1:11">
      <c r="A221" s="2238" t="s">
        <v>7294</v>
      </c>
      <c r="B221" s="2214" t="s">
        <v>7295</v>
      </c>
      <c r="C221" s="2218">
        <v>2</v>
      </c>
      <c r="D221" s="2372" t="s">
        <v>7808</v>
      </c>
      <c r="E221" s="2372" t="s">
        <v>6592</v>
      </c>
      <c r="F221" s="2215">
        <v>1928335</v>
      </c>
      <c r="G221" s="2215">
        <v>2333285.35</v>
      </c>
      <c r="H221" s="2216">
        <v>44160</v>
      </c>
      <c r="I221" s="2216">
        <v>44889</v>
      </c>
      <c r="J221" s="2407" t="s">
        <v>13490</v>
      </c>
      <c r="K221" s="2211"/>
    </row>
    <row r="222" spans="1:11">
      <c r="A222" s="2238" t="s">
        <v>7294</v>
      </c>
      <c r="B222" s="2214" t="s">
        <v>7295</v>
      </c>
      <c r="C222" s="2218">
        <v>3</v>
      </c>
      <c r="D222" s="2372" t="s">
        <v>7292</v>
      </c>
      <c r="E222" s="2372" t="s">
        <v>6592</v>
      </c>
      <c r="F222" s="2215">
        <v>1560000</v>
      </c>
      <c r="G222" s="2215">
        <v>1887600</v>
      </c>
      <c r="H222" s="2216">
        <v>44160</v>
      </c>
      <c r="I222" s="2216">
        <v>44889</v>
      </c>
      <c r="J222" s="2407" t="s">
        <v>13490</v>
      </c>
      <c r="K222" s="2211"/>
    </row>
    <row r="223" spans="1:11" ht="30">
      <c r="A223" s="2238" t="s">
        <v>10783</v>
      </c>
      <c r="B223" s="2214" t="s">
        <v>10784</v>
      </c>
      <c r="C223" s="2218"/>
      <c r="D223" s="2372"/>
      <c r="E223" s="2372" t="s">
        <v>3059</v>
      </c>
      <c r="F223" s="2866">
        <v>459990</v>
      </c>
      <c r="G223" s="2215">
        <v>556587.9</v>
      </c>
      <c r="H223" s="2216">
        <v>44531</v>
      </c>
      <c r="I223" s="2216">
        <v>44895</v>
      </c>
      <c r="J223" s="2407" t="s">
        <v>13584</v>
      </c>
      <c r="K223" s="2211"/>
    </row>
    <row r="224" spans="1:11" ht="30">
      <c r="A224" s="2238" t="s">
        <v>7289</v>
      </c>
      <c r="B224" s="2214" t="s">
        <v>7291</v>
      </c>
      <c r="C224" s="2218">
        <v>1</v>
      </c>
      <c r="D224" s="2372" t="s">
        <v>8034</v>
      </c>
      <c r="E224" s="2372" t="s">
        <v>5696</v>
      </c>
      <c r="F224" s="2215">
        <v>988250</v>
      </c>
      <c r="G224" s="2215">
        <v>1195782.5</v>
      </c>
      <c r="H224" s="2216">
        <v>44173</v>
      </c>
      <c r="I224" s="2216">
        <v>44902</v>
      </c>
      <c r="J224" s="2302" t="s">
        <v>14411</v>
      </c>
      <c r="K224" s="2211"/>
    </row>
    <row r="225" spans="1:11" ht="30">
      <c r="A225" s="2238" t="s">
        <v>7289</v>
      </c>
      <c r="B225" s="2214" t="s">
        <v>7291</v>
      </c>
      <c r="C225" s="2218">
        <v>2</v>
      </c>
      <c r="D225" s="2372" t="s">
        <v>7808</v>
      </c>
      <c r="E225" s="2372" t="s">
        <v>5696</v>
      </c>
      <c r="F225" s="2215">
        <v>3600000</v>
      </c>
      <c r="G225" s="2215">
        <v>4356000</v>
      </c>
      <c r="H225" s="2216">
        <v>44173</v>
      </c>
      <c r="I225" s="2216">
        <v>44902</v>
      </c>
      <c r="J225" s="2302" t="s">
        <v>14410</v>
      </c>
      <c r="K225" s="2211"/>
    </row>
    <row r="226" spans="1:11" ht="30">
      <c r="A226" s="2238" t="s">
        <v>7289</v>
      </c>
      <c r="B226" s="2214" t="s">
        <v>7291</v>
      </c>
      <c r="C226" s="2218">
        <v>3</v>
      </c>
      <c r="D226" s="2372" t="s">
        <v>7427</v>
      </c>
      <c r="E226" s="2372" t="s">
        <v>5696</v>
      </c>
      <c r="F226" s="2215">
        <v>3088000</v>
      </c>
      <c r="G226" s="2215">
        <v>3736480</v>
      </c>
      <c r="H226" s="2216">
        <v>44173</v>
      </c>
      <c r="I226" s="2216">
        <v>44902</v>
      </c>
      <c r="J226" s="2302" t="s">
        <v>14409</v>
      </c>
      <c r="K226" s="2211"/>
    </row>
    <row r="227" spans="1:11">
      <c r="A227" s="2238" t="s">
        <v>7146</v>
      </c>
      <c r="B227" s="2214" t="s">
        <v>3510</v>
      </c>
      <c r="C227" s="2218">
        <v>3</v>
      </c>
      <c r="D227" s="2228" t="s">
        <v>7149</v>
      </c>
      <c r="E227" s="2372" t="s">
        <v>3191</v>
      </c>
      <c r="F227" s="2215">
        <v>5400000</v>
      </c>
      <c r="G227" s="2215">
        <v>6210000</v>
      </c>
      <c r="H227" s="2216">
        <v>44217</v>
      </c>
      <c r="I227" s="2216">
        <v>44946</v>
      </c>
      <c r="J227" s="2210" t="s">
        <v>13570</v>
      </c>
      <c r="K227" s="2211"/>
    </row>
    <row r="228" spans="1:11" ht="30">
      <c r="A228" s="2238" t="s">
        <v>7146</v>
      </c>
      <c r="B228" s="2214" t="s">
        <v>3510</v>
      </c>
      <c r="C228" s="2218">
        <v>5</v>
      </c>
      <c r="D228" s="2228" t="s">
        <v>7151</v>
      </c>
      <c r="E228" s="2373" t="s">
        <v>3191</v>
      </c>
      <c r="F228" s="2223">
        <v>995000</v>
      </c>
      <c r="G228" s="2223">
        <v>1144250</v>
      </c>
      <c r="H228" s="2216">
        <v>44217</v>
      </c>
      <c r="I228" s="2216">
        <v>44946</v>
      </c>
      <c r="J228" s="2210" t="s">
        <v>13572</v>
      </c>
      <c r="K228" s="2211"/>
    </row>
    <row r="229" spans="1:11" ht="30">
      <c r="A229" s="2238" t="s">
        <v>7146</v>
      </c>
      <c r="B229" s="2214" t="s">
        <v>3510</v>
      </c>
      <c r="C229" s="2218">
        <v>6</v>
      </c>
      <c r="D229" s="2228" t="s">
        <v>7152</v>
      </c>
      <c r="E229" s="2372" t="s">
        <v>3191</v>
      </c>
      <c r="F229" s="2215">
        <v>2820000</v>
      </c>
      <c r="G229" s="2215">
        <v>3243000</v>
      </c>
      <c r="H229" s="2216">
        <v>44217</v>
      </c>
      <c r="I229" s="2216">
        <v>44946</v>
      </c>
      <c r="J229" s="2210" t="s">
        <v>13573</v>
      </c>
      <c r="K229" s="2211"/>
    </row>
    <row r="230" spans="1:11" ht="45">
      <c r="A230" s="2238" t="s">
        <v>7146</v>
      </c>
      <c r="B230" s="2214" t="s">
        <v>3510</v>
      </c>
      <c r="C230" s="2218">
        <v>7</v>
      </c>
      <c r="D230" s="2228" t="s">
        <v>7153</v>
      </c>
      <c r="E230" s="2372" t="s">
        <v>3191</v>
      </c>
      <c r="F230" s="2215">
        <v>1365000</v>
      </c>
      <c r="G230" s="2215">
        <v>1569750</v>
      </c>
      <c r="H230" s="2216">
        <v>44217</v>
      </c>
      <c r="I230" s="2216">
        <v>44946</v>
      </c>
      <c r="J230" s="2210" t="s">
        <v>13574</v>
      </c>
      <c r="K230" s="2211"/>
    </row>
    <row r="231" spans="1:11" ht="45">
      <c r="A231" s="2238" t="s">
        <v>7146</v>
      </c>
      <c r="B231" s="2214" t="s">
        <v>3510</v>
      </c>
      <c r="C231" s="2218">
        <v>8</v>
      </c>
      <c r="D231" s="2228" t="s">
        <v>7154</v>
      </c>
      <c r="E231" s="2372" t="s">
        <v>3191</v>
      </c>
      <c r="F231" s="2215">
        <v>7630000</v>
      </c>
      <c r="G231" s="2215">
        <v>8774500</v>
      </c>
      <c r="H231" s="2216">
        <v>44217</v>
      </c>
      <c r="I231" s="2216">
        <v>44946</v>
      </c>
      <c r="J231" s="2210" t="s">
        <v>13575</v>
      </c>
      <c r="K231" s="2211"/>
    </row>
    <row r="232" spans="1:11" ht="30">
      <c r="A232" s="2238" t="s">
        <v>7146</v>
      </c>
      <c r="B232" s="2214" t="s">
        <v>3510</v>
      </c>
      <c r="C232" s="2218">
        <v>9</v>
      </c>
      <c r="D232" s="2228" t="s">
        <v>7155</v>
      </c>
      <c r="E232" s="2372" t="s">
        <v>3191</v>
      </c>
      <c r="F232" s="2215">
        <v>1720000</v>
      </c>
      <c r="G232" s="2215">
        <v>1978000</v>
      </c>
      <c r="H232" s="2216">
        <v>44217</v>
      </c>
      <c r="I232" s="2216">
        <v>44946</v>
      </c>
      <c r="J232" s="2210" t="s">
        <v>13576</v>
      </c>
      <c r="K232" s="2211"/>
    </row>
    <row r="233" spans="1:11" ht="30">
      <c r="A233" s="2541" t="s">
        <v>7146</v>
      </c>
      <c r="B233" s="2542" t="s">
        <v>3510</v>
      </c>
      <c r="C233" s="2543">
        <v>11</v>
      </c>
      <c r="D233" s="2544" t="s">
        <v>7157</v>
      </c>
      <c r="E233" s="2545" t="s">
        <v>3191</v>
      </c>
      <c r="F233" s="2546">
        <v>2640000</v>
      </c>
      <c r="G233" s="2546">
        <v>3036000</v>
      </c>
      <c r="H233" s="2547">
        <v>44217</v>
      </c>
      <c r="I233" s="2547">
        <v>44946</v>
      </c>
      <c r="J233" s="2543" t="s">
        <v>13582</v>
      </c>
      <c r="K233" s="2211"/>
    </row>
    <row r="234" spans="1:11" ht="30">
      <c r="A234" s="2238" t="s">
        <v>7146</v>
      </c>
      <c r="B234" s="2214" t="s">
        <v>3510</v>
      </c>
      <c r="C234" s="2218">
        <v>13</v>
      </c>
      <c r="D234" s="2228" t="s">
        <v>7159</v>
      </c>
      <c r="E234" s="2372" t="s">
        <v>7945</v>
      </c>
      <c r="F234" s="2215">
        <v>2070000</v>
      </c>
      <c r="G234" s="2215">
        <v>2380500</v>
      </c>
      <c r="H234" s="2216">
        <v>44217</v>
      </c>
      <c r="I234" s="2216">
        <v>44946</v>
      </c>
      <c r="J234" s="2210" t="s">
        <v>13579</v>
      </c>
      <c r="K234" s="2211"/>
    </row>
    <row r="235" spans="1:11" ht="30">
      <c r="A235" s="2238" t="s">
        <v>7146</v>
      </c>
      <c r="B235" s="2214" t="s">
        <v>3510</v>
      </c>
      <c r="C235" s="2218">
        <v>2</v>
      </c>
      <c r="D235" s="2228" t="s">
        <v>7148</v>
      </c>
      <c r="E235" s="2372" t="s">
        <v>5696</v>
      </c>
      <c r="F235" s="2215">
        <v>272250</v>
      </c>
      <c r="G235" s="2215">
        <v>313087.5</v>
      </c>
      <c r="H235" s="2216">
        <v>44231</v>
      </c>
      <c r="I235" s="2216">
        <v>44960</v>
      </c>
      <c r="J235" s="2210" t="s">
        <v>13565</v>
      </c>
      <c r="K235" s="2211"/>
    </row>
    <row r="236" spans="1:11" ht="30">
      <c r="A236" s="2238" t="s">
        <v>7146</v>
      </c>
      <c r="B236" s="2214" t="s">
        <v>3510</v>
      </c>
      <c r="C236" s="2218">
        <v>4</v>
      </c>
      <c r="D236" s="2228" t="s">
        <v>7150</v>
      </c>
      <c r="E236" s="2372" t="s">
        <v>5696</v>
      </c>
      <c r="F236" s="2215">
        <v>565680</v>
      </c>
      <c r="G236" s="2215">
        <v>650532</v>
      </c>
      <c r="H236" s="2216">
        <v>44231</v>
      </c>
      <c r="I236" s="2216">
        <v>44960</v>
      </c>
      <c r="J236" s="2210" t="s">
        <v>13571</v>
      </c>
      <c r="K236" s="2211"/>
    </row>
    <row r="237" spans="1:11" ht="45">
      <c r="A237" s="2238" t="s">
        <v>7146</v>
      </c>
      <c r="B237" s="2214" t="s">
        <v>3510</v>
      </c>
      <c r="C237" s="2218">
        <v>10</v>
      </c>
      <c r="D237" s="2228" t="s">
        <v>7156</v>
      </c>
      <c r="E237" s="2372" t="s">
        <v>5696</v>
      </c>
      <c r="F237" s="2215">
        <v>2900000</v>
      </c>
      <c r="G237" s="2215">
        <v>3335000</v>
      </c>
      <c r="H237" s="2216">
        <v>44231</v>
      </c>
      <c r="I237" s="2216">
        <v>44960</v>
      </c>
      <c r="J237" s="2210" t="s">
        <v>13577</v>
      </c>
      <c r="K237" s="2211"/>
    </row>
    <row r="238" spans="1:11" ht="30">
      <c r="A238" s="2238" t="s">
        <v>7146</v>
      </c>
      <c r="B238" s="2214" t="s">
        <v>3510</v>
      </c>
      <c r="C238" s="2218">
        <v>12</v>
      </c>
      <c r="D238" s="2228" t="s">
        <v>7158</v>
      </c>
      <c r="E238" s="2372" t="s">
        <v>5696</v>
      </c>
      <c r="F238" s="2215">
        <v>2260000</v>
      </c>
      <c r="G238" s="2215">
        <v>2651800</v>
      </c>
      <c r="H238" s="2216">
        <v>44231</v>
      </c>
      <c r="I238" s="2216">
        <v>44960</v>
      </c>
      <c r="J238" s="2210" t="s">
        <v>13578</v>
      </c>
      <c r="K238" s="2211"/>
    </row>
    <row r="239" spans="1:11">
      <c r="A239" s="2238" t="s">
        <v>5301</v>
      </c>
      <c r="B239" s="2214" t="s">
        <v>5302</v>
      </c>
      <c r="C239" s="2218"/>
      <c r="D239" s="2372"/>
      <c r="E239" s="2372" t="s">
        <v>6071</v>
      </c>
      <c r="F239" s="2215">
        <v>2346120</v>
      </c>
      <c r="G239" s="2215">
        <v>2838805.2</v>
      </c>
      <c r="H239" s="2216">
        <v>43866</v>
      </c>
      <c r="I239" s="2216">
        <v>44961</v>
      </c>
      <c r="J239" s="2407" t="s">
        <v>13614</v>
      </c>
      <c r="K239" s="2211"/>
    </row>
    <row r="240" spans="1:11" ht="30">
      <c r="A240" s="2238" t="s">
        <v>10307</v>
      </c>
      <c r="B240" s="2214" t="s">
        <v>10308</v>
      </c>
      <c r="C240" s="2218"/>
      <c r="D240" s="2372"/>
      <c r="E240" s="2372" t="s">
        <v>2776</v>
      </c>
      <c r="F240" s="2215">
        <v>13891304.4</v>
      </c>
      <c r="G240" s="2215">
        <v>15975000</v>
      </c>
      <c r="H240" s="2216">
        <v>44615</v>
      </c>
      <c r="I240" s="2216">
        <v>44979</v>
      </c>
      <c r="J240" s="2407" t="s">
        <v>13744</v>
      </c>
      <c r="K240" s="2211"/>
    </row>
    <row r="241" spans="1:12">
      <c r="A241" s="2238" t="s">
        <v>8144</v>
      </c>
      <c r="B241" s="2214" t="s">
        <v>13583</v>
      </c>
      <c r="C241" s="2218"/>
      <c r="D241" s="2372"/>
      <c r="E241" s="2372" t="s">
        <v>3154</v>
      </c>
      <c r="F241" s="2215">
        <v>1553400</v>
      </c>
      <c r="G241" s="2215">
        <v>1786410</v>
      </c>
      <c r="H241" s="2216">
        <v>44252</v>
      </c>
      <c r="I241" s="2216">
        <v>44981</v>
      </c>
      <c r="J241" s="2407" t="s">
        <v>13595</v>
      </c>
      <c r="K241" s="2211"/>
    </row>
    <row r="242" spans="1:12" ht="30">
      <c r="A242" s="3398" t="s">
        <v>3410</v>
      </c>
      <c r="B242" s="3399" t="s">
        <v>3411</v>
      </c>
      <c r="C242" s="3400"/>
      <c r="D242" s="3401"/>
      <c r="E242" s="3402" t="s">
        <v>8190</v>
      </c>
      <c r="F242" s="3403">
        <v>2898000</v>
      </c>
      <c r="G242" s="3403">
        <v>3332700</v>
      </c>
      <c r="H242" s="3404">
        <v>43522</v>
      </c>
      <c r="I242" s="3405" t="s">
        <v>10358</v>
      </c>
      <c r="J242" s="2407"/>
      <c r="K242" s="2211"/>
    </row>
    <row r="243" spans="1:12">
      <c r="A243" s="2238" t="s">
        <v>11198</v>
      </c>
      <c r="B243" s="2214" t="s">
        <v>11199</v>
      </c>
      <c r="C243" s="2218"/>
      <c r="D243" s="2228"/>
      <c r="E243" s="2372" t="s">
        <v>11200</v>
      </c>
      <c r="F243" s="2215">
        <v>246800</v>
      </c>
      <c r="G243" s="2215">
        <v>298628</v>
      </c>
      <c r="H243" s="2216">
        <v>44620</v>
      </c>
      <c r="I243" s="2879">
        <v>44984</v>
      </c>
      <c r="J243" s="2175" t="s">
        <v>13954</v>
      </c>
      <c r="K243" s="2211"/>
    </row>
    <row r="244" spans="1:12">
      <c r="A244" s="2238" t="s">
        <v>8172</v>
      </c>
      <c r="B244" s="2214" t="s">
        <v>3382</v>
      </c>
      <c r="C244" s="2218"/>
      <c r="D244" s="2372"/>
      <c r="E244" s="2372" t="s">
        <v>6763</v>
      </c>
      <c r="F244" s="2215">
        <v>764400</v>
      </c>
      <c r="G244" s="2215">
        <v>924924</v>
      </c>
      <c r="H244" s="2216">
        <v>44265</v>
      </c>
      <c r="I244" s="2216">
        <v>44994</v>
      </c>
      <c r="J244" s="2407" t="s">
        <v>13717</v>
      </c>
      <c r="K244" s="2211"/>
    </row>
    <row r="245" spans="1:12">
      <c r="A245" s="2238" t="s">
        <v>8009</v>
      </c>
      <c r="B245" s="2214" t="s">
        <v>8010</v>
      </c>
      <c r="C245" s="2218">
        <v>1</v>
      </c>
      <c r="D245" s="2372" t="s">
        <v>6528</v>
      </c>
      <c r="E245" s="2372" t="s">
        <v>8278</v>
      </c>
      <c r="F245" s="2215">
        <v>2762500</v>
      </c>
      <c r="G245" s="2215">
        <v>3342625</v>
      </c>
      <c r="H245" s="2216">
        <v>44266</v>
      </c>
      <c r="I245" s="2216">
        <v>44995</v>
      </c>
      <c r="J245" s="2210" t="s">
        <v>13621</v>
      </c>
      <c r="K245" s="2211"/>
    </row>
    <row r="246" spans="1:12">
      <c r="A246" s="2238" t="s">
        <v>8009</v>
      </c>
      <c r="B246" s="2214" t="s">
        <v>8010</v>
      </c>
      <c r="C246" s="2218">
        <v>2</v>
      </c>
      <c r="D246" s="2372" t="s">
        <v>6530</v>
      </c>
      <c r="E246" s="2372" t="s">
        <v>8278</v>
      </c>
      <c r="F246" s="2215">
        <v>248000</v>
      </c>
      <c r="G246" s="2215">
        <v>300080</v>
      </c>
      <c r="H246" s="2216">
        <v>44266</v>
      </c>
      <c r="I246" s="2216">
        <v>44995</v>
      </c>
      <c r="J246" s="2210" t="s">
        <v>13624</v>
      </c>
      <c r="K246" s="2211"/>
    </row>
    <row r="247" spans="1:12" ht="45">
      <c r="A247" s="2238" t="s">
        <v>8009</v>
      </c>
      <c r="B247" s="2214" t="s">
        <v>8010</v>
      </c>
      <c r="C247" s="2218">
        <v>3</v>
      </c>
      <c r="D247" s="2228" t="s">
        <v>6531</v>
      </c>
      <c r="E247" s="2372" t="s">
        <v>8278</v>
      </c>
      <c r="F247" s="2215">
        <v>4290000</v>
      </c>
      <c r="G247" s="2215">
        <v>5190900</v>
      </c>
      <c r="H247" s="2216">
        <v>44266</v>
      </c>
      <c r="I247" s="2216">
        <v>44995</v>
      </c>
      <c r="J247" s="2210" t="s">
        <v>13625</v>
      </c>
      <c r="K247" s="2211"/>
    </row>
    <row r="248" spans="1:12">
      <c r="A248" s="2238" t="s">
        <v>8009</v>
      </c>
      <c r="B248" s="2214" t="s">
        <v>8010</v>
      </c>
      <c r="C248" s="2218">
        <v>4</v>
      </c>
      <c r="D248" s="2372" t="s">
        <v>6532</v>
      </c>
      <c r="E248" s="2372" t="s">
        <v>8278</v>
      </c>
      <c r="F248" s="2215">
        <v>1326500</v>
      </c>
      <c r="G248" s="2215">
        <v>1605065</v>
      </c>
      <c r="H248" s="2216">
        <v>44266</v>
      </c>
      <c r="I248" s="2216">
        <v>44995</v>
      </c>
      <c r="J248" s="2210" t="s">
        <v>13626</v>
      </c>
      <c r="K248" s="2211"/>
    </row>
    <row r="249" spans="1:12">
      <c r="A249" s="2238" t="s">
        <v>8009</v>
      </c>
      <c r="B249" s="2214" t="s">
        <v>8010</v>
      </c>
      <c r="C249" s="2218">
        <v>6</v>
      </c>
      <c r="D249" s="2372" t="s">
        <v>8021</v>
      </c>
      <c r="E249" s="2372" t="s">
        <v>8278</v>
      </c>
      <c r="F249" s="2215">
        <v>976000</v>
      </c>
      <c r="G249" s="2215">
        <v>1180960</v>
      </c>
      <c r="H249" s="2216">
        <v>44266</v>
      </c>
      <c r="I249" s="2216">
        <v>44995</v>
      </c>
      <c r="J249" s="2210" t="s">
        <v>13627</v>
      </c>
      <c r="K249" s="2211"/>
    </row>
    <row r="250" spans="1:12">
      <c r="A250" s="2238" t="s">
        <v>8247</v>
      </c>
      <c r="B250" s="2214" t="s">
        <v>3215</v>
      </c>
      <c r="C250" s="2218"/>
      <c r="D250" s="2372"/>
      <c r="E250" s="2372" t="s">
        <v>1433</v>
      </c>
      <c r="F250" s="2215">
        <v>2425000</v>
      </c>
      <c r="G250" s="2215">
        <v>2934250</v>
      </c>
      <c r="H250" s="2216">
        <v>44300</v>
      </c>
      <c r="I250" s="2216">
        <v>45029</v>
      </c>
      <c r="J250" s="2407" t="s">
        <v>13604</v>
      </c>
      <c r="K250" s="2211"/>
    </row>
    <row r="251" spans="1:12" ht="30">
      <c r="A251" s="2238" t="s">
        <v>8177</v>
      </c>
      <c r="B251" s="2214" t="s">
        <v>8437</v>
      </c>
      <c r="C251" s="2218">
        <v>1</v>
      </c>
      <c r="D251" s="2372" t="s">
        <v>8180</v>
      </c>
      <c r="E251" s="2372" t="s">
        <v>1433</v>
      </c>
      <c r="F251" s="2215">
        <v>331200</v>
      </c>
      <c r="G251" s="2215">
        <v>400752</v>
      </c>
      <c r="H251" s="2216">
        <v>44270</v>
      </c>
      <c r="I251" s="2216">
        <v>44999</v>
      </c>
      <c r="J251" s="2855" t="s">
        <v>13828</v>
      </c>
      <c r="K251" s="2211"/>
    </row>
    <row r="252" spans="1:12">
      <c r="A252" s="2238" t="s">
        <v>9182</v>
      </c>
      <c r="B252" s="2214" t="s">
        <v>9183</v>
      </c>
      <c r="C252" s="2218"/>
      <c r="D252" s="2372"/>
      <c r="E252" s="2372" t="s">
        <v>8793</v>
      </c>
      <c r="F252" s="2215">
        <v>299967</v>
      </c>
      <c r="G252" s="2215">
        <v>362960.07</v>
      </c>
      <c r="H252" s="2216">
        <v>44272</v>
      </c>
      <c r="I252" s="2216">
        <v>45001</v>
      </c>
      <c r="J252" s="2210" t="s">
        <v>13601</v>
      </c>
      <c r="K252" s="2230" t="s">
        <v>13602</v>
      </c>
      <c r="L252" s="1944" t="s">
        <v>13603</v>
      </c>
    </row>
    <row r="253" spans="1:12">
      <c r="A253" s="2238" t="s">
        <v>8177</v>
      </c>
      <c r="B253" s="2214" t="s">
        <v>8437</v>
      </c>
      <c r="C253" s="2218">
        <v>2</v>
      </c>
      <c r="D253" s="2372" t="s">
        <v>8181</v>
      </c>
      <c r="E253" s="2372" t="s">
        <v>6763</v>
      </c>
      <c r="F253" s="2215">
        <v>542640</v>
      </c>
      <c r="G253" s="2215">
        <v>656594</v>
      </c>
      <c r="H253" s="2216">
        <v>44278</v>
      </c>
      <c r="I253" s="2216">
        <v>45007</v>
      </c>
      <c r="J253" s="2407" t="s">
        <v>13723</v>
      </c>
      <c r="K253" s="2230"/>
    </row>
    <row r="254" spans="1:12">
      <c r="A254" s="2238" t="s">
        <v>8333</v>
      </c>
      <c r="B254" s="2214" t="s">
        <v>8334</v>
      </c>
      <c r="C254" s="2218"/>
      <c r="D254" s="2372"/>
      <c r="E254" s="2372" t="s">
        <v>3154</v>
      </c>
      <c r="F254" s="2215">
        <v>1772680</v>
      </c>
      <c r="G254" s="2215">
        <v>2038582</v>
      </c>
      <c r="H254" s="2216">
        <v>44286</v>
      </c>
      <c r="I254" s="2216">
        <v>45015</v>
      </c>
      <c r="J254" s="2407" t="s">
        <v>13673</v>
      </c>
      <c r="K254" s="2230"/>
    </row>
    <row r="255" spans="1:12" ht="30">
      <c r="A255" s="2238" t="s">
        <v>8384</v>
      </c>
      <c r="B255" s="2214" t="s">
        <v>8400</v>
      </c>
      <c r="C255" s="2218"/>
      <c r="D255" s="2372"/>
      <c r="E255" s="2372" t="s">
        <v>2776</v>
      </c>
      <c r="F255" s="2215">
        <v>1331404</v>
      </c>
      <c r="G255" s="2215">
        <v>1611000</v>
      </c>
      <c r="H255" s="2216">
        <v>44294</v>
      </c>
      <c r="I255" s="2216">
        <v>45023</v>
      </c>
      <c r="J255" s="2175" t="s">
        <v>13945</v>
      </c>
      <c r="K255" s="2230"/>
    </row>
    <row r="256" spans="1:12" ht="30">
      <c r="A256" s="2238" t="s">
        <v>8419</v>
      </c>
      <c r="B256" s="2214" t="s">
        <v>8420</v>
      </c>
      <c r="C256" s="2218"/>
      <c r="D256" s="2372"/>
      <c r="E256" s="2372" t="s">
        <v>5696</v>
      </c>
      <c r="F256" s="2215">
        <v>1823900</v>
      </c>
      <c r="G256" s="2215">
        <v>2097485</v>
      </c>
      <c r="H256" s="2216">
        <v>44300</v>
      </c>
      <c r="I256" s="2216">
        <v>45029</v>
      </c>
      <c r="J256" s="2855" t="s">
        <v>14284</v>
      </c>
      <c r="K256" s="2230"/>
    </row>
    <row r="257" spans="1:11" ht="30">
      <c r="A257" s="3398" t="s">
        <v>3967</v>
      </c>
      <c r="B257" s="3399" t="s">
        <v>3969</v>
      </c>
      <c r="C257" s="3400">
        <v>2</v>
      </c>
      <c r="D257" s="3399" t="s">
        <v>3970</v>
      </c>
      <c r="E257" s="3402" t="s">
        <v>6074</v>
      </c>
      <c r="F257" s="3403">
        <v>1284000</v>
      </c>
      <c r="G257" s="3403">
        <v>1553640</v>
      </c>
      <c r="H257" s="3404">
        <v>43570</v>
      </c>
      <c r="I257" s="3405" t="s">
        <v>10347</v>
      </c>
      <c r="J257" s="2407"/>
      <c r="K257" s="2230"/>
    </row>
    <row r="258" spans="1:11">
      <c r="A258" s="2238" t="s">
        <v>8193</v>
      </c>
      <c r="B258" s="2214" t="s">
        <v>3270</v>
      </c>
      <c r="C258" s="2218"/>
      <c r="D258" s="2214"/>
      <c r="E258" s="2372" t="s">
        <v>5696</v>
      </c>
      <c r="F258" s="2215">
        <v>9595654</v>
      </c>
      <c r="G258" s="2215">
        <v>11610741.34</v>
      </c>
      <c r="H258" s="2216">
        <v>44312</v>
      </c>
      <c r="I258" s="2216">
        <v>45041</v>
      </c>
      <c r="J258" s="2208" t="s">
        <v>13620</v>
      </c>
      <c r="K258" s="2230"/>
    </row>
    <row r="259" spans="1:11">
      <c r="A259" s="2238" t="s">
        <v>8403</v>
      </c>
      <c r="B259" s="2214" t="s">
        <v>8404</v>
      </c>
      <c r="C259" s="2218"/>
      <c r="D259" s="2214"/>
      <c r="E259" s="2372" t="s">
        <v>5696</v>
      </c>
      <c r="F259" s="2215">
        <v>1006400</v>
      </c>
      <c r="G259" s="2215">
        <v>1157360</v>
      </c>
      <c r="H259" s="2216">
        <v>44313</v>
      </c>
      <c r="I259" s="2216">
        <v>45042</v>
      </c>
      <c r="J259" s="2175" t="s">
        <v>13769</v>
      </c>
      <c r="K259" s="2230"/>
    </row>
    <row r="260" spans="1:11">
      <c r="A260" s="2238" t="s">
        <v>8118</v>
      </c>
      <c r="B260" s="2214" t="s">
        <v>8119</v>
      </c>
      <c r="C260" s="2218"/>
      <c r="D260" s="2214"/>
      <c r="E260" s="2372" t="s">
        <v>1433</v>
      </c>
      <c r="F260" s="2215">
        <v>3107400</v>
      </c>
      <c r="G260" s="2215">
        <v>3759954</v>
      </c>
      <c r="H260" s="2216">
        <v>44314</v>
      </c>
      <c r="I260" s="2216">
        <v>45043</v>
      </c>
      <c r="J260" s="2175" t="s">
        <v>13967</v>
      </c>
      <c r="K260" s="2230"/>
    </row>
    <row r="261" spans="1:11">
      <c r="A261" s="2238" t="s">
        <v>8505</v>
      </c>
      <c r="B261" s="2214" t="s">
        <v>8506</v>
      </c>
      <c r="C261" s="2218"/>
      <c r="D261" s="2214"/>
      <c r="E261" s="2372" t="s">
        <v>5696</v>
      </c>
      <c r="F261" s="2215">
        <v>1720000</v>
      </c>
      <c r="G261" s="2215">
        <v>1978000</v>
      </c>
      <c r="H261" s="2216">
        <v>44321</v>
      </c>
      <c r="I261" s="2216">
        <v>45050</v>
      </c>
      <c r="J261" s="2175" t="s">
        <v>14269</v>
      </c>
      <c r="K261" s="2230"/>
    </row>
    <row r="262" spans="1:11">
      <c r="A262" s="2238" t="s">
        <v>8331</v>
      </c>
      <c r="B262" s="2214" t="s">
        <v>8332</v>
      </c>
      <c r="C262" s="2218"/>
      <c r="D262" s="2214"/>
      <c r="E262" s="2372" t="s">
        <v>2755</v>
      </c>
      <c r="F262" s="2215">
        <v>3260400</v>
      </c>
      <c r="G262" s="2215">
        <v>3749460</v>
      </c>
      <c r="H262" s="2216">
        <v>44321</v>
      </c>
      <c r="I262" s="2216">
        <v>45050</v>
      </c>
      <c r="J262" s="2208" t="s">
        <v>14031</v>
      </c>
      <c r="K262" s="2230"/>
    </row>
    <row r="263" spans="1:11" ht="45">
      <c r="A263" s="2867" t="s">
        <v>10786</v>
      </c>
      <c r="B263" s="2867" t="s">
        <v>10785</v>
      </c>
      <c r="C263" s="2543"/>
      <c r="D263" s="2542"/>
      <c r="E263" s="2545" t="s">
        <v>6592</v>
      </c>
      <c r="F263" s="2546">
        <v>480000</v>
      </c>
      <c r="G263" s="2546">
        <v>580800</v>
      </c>
      <c r="H263" s="2547">
        <v>44323</v>
      </c>
      <c r="I263" s="2547">
        <v>45052</v>
      </c>
      <c r="J263" s="2192" t="s">
        <v>14033</v>
      </c>
      <c r="K263" s="2230"/>
    </row>
    <row r="264" spans="1:11">
      <c r="A264" s="2238" t="s">
        <v>8544</v>
      </c>
      <c r="B264" s="2214" t="s">
        <v>8545</v>
      </c>
      <c r="C264" s="2218"/>
      <c r="D264" s="2214"/>
      <c r="E264" s="2372" t="s">
        <v>3191</v>
      </c>
      <c r="F264" s="2215">
        <v>531900</v>
      </c>
      <c r="G264" s="2215">
        <v>611685</v>
      </c>
      <c r="H264" s="2216">
        <v>44326</v>
      </c>
      <c r="I264" s="2216">
        <v>45055</v>
      </c>
      <c r="J264" s="2208" t="s">
        <v>13565</v>
      </c>
      <c r="K264" s="2230"/>
    </row>
    <row r="265" spans="1:11">
      <c r="A265" s="2238" t="s">
        <v>10639</v>
      </c>
      <c r="B265" s="2214" t="s">
        <v>10638</v>
      </c>
      <c r="C265" s="2218"/>
      <c r="D265" s="2214"/>
      <c r="E265" s="2372" t="s">
        <v>11799</v>
      </c>
      <c r="F265" s="2215">
        <v>5940000</v>
      </c>
      <c r="G265" s="2215">
        <v>7187400</v>
      </c>
      <c r="H265" s="2216">
        <v>44691</v>
      </c>
      <c r="I265" s="2216">
        <v>45055</v>
      </c>
      <c r="J265" s="2208" t="s">
        <v>13953</v>
      </c>
      <c r="K265" s="2230"/>
    </row>
    <row r="266" spans="1:11" ht="30">
      <c r="A266" s="2541" t="s">
        <v>9186</v>
      </c>
      <c r="B266" s="2542" t="s">
        <v>9187</v>
      </c>
      <c r="C266" s="2543"/>
      <c r="D266" s="2542"/>
      <c r="E266" s="2545" t="s">
        <v>5696</v>
      </c>
      <c r="F266" s="2546">
        <v>156000</v>
      </c>
      <c r="G266" s="2546">
        <v>179400</v>
      </c>
      <c r="H266" s="2547">
        <v>44330</v>
      </c>
      <c r="I266" s="2547">
        <v>45059</v>
      </c>
      <c r="J266" s="2192" t="s">
        <v>15028</v>
      </c>
      <c r="K266" s="2230"/>
    </row>
    <row r="267" spans="1:11" ht="30">
      <c r="A267" s="2238" t="s">
        <v>8289</v>
      </c>
      <c r="B267" s="2214" t="s">
        <v>8290</v>
      </c>
      <c r="C267" s="2218"/>
      <c r="D267" s="2214"/>
      <c r="E267" s="2372" t="s">
        <v>4326</v>
      </c>
      <c r="F267" s="2215">
        <v>2590000</v>
      </c>
      <c r="G267" s="2215">
        <v>3133900</v>
      </c>
      <c r="H267" s="2216">
        <v>44307</v>
      </c>
      <c r="I267" s="2216">
        <v>45062</v>
      </c>
      <c r="J267" s="2175" t="s">
        <v>13957</v>
      </c>
      <c r="K267" s="2230"/>
    </row>
    <row r="268" spans="1:11">
      <c r="A268" s="2238" t="s">
        <v>8452</v>
      </c>
      <c r="B268" s="2214" t="s">
        <v>8453</v>
      </c>
      <c r="C268" s="2218">
        <v>1</v>
      </c>
      <c r="D268" s="2214" t="s">
        <v>8784</v>
      </c>
      <c r="E268" s="2372" t="s">
        <v>5696</v>
      </c>
      <c r="F268" s="2215">
        <v>1270000</v>
      </c>
      <c r="G268" s="2215">
        <v>1460500</v>
      </c>
      <c r="H268" s="2216">
        <v>44341</v>
      </c>
      <c r="I268" s="2216">
        <v>45070</v>
      </c>
      <c r="J268" s="2175" t="s">
        <v>14268</v>
      </c>
      <c r="K268" s="2211"/>
    </row>
    <row r="269" spans="1:11" ht="30">
      <c r="A269" s="2238" t="s">
        <v>8452</v>
      </c>
      <c r="B269" s="2214" t="s">
        <v>8453</v>
      </c>
      <c r="C269" s="2218">
        <v>3</v>
      </c>
      <c r="D269" s="2214" t="s">
        <v>8785</v>
      </c>
      <c r="E269" s="2372" t="s">
        <v>5696</v>
      </c>
      <c r="F269" s="2215">
        <v>460000</v>
      </c>
      <c r="G269" s="2215">
        <v>529000</v>
      </c>
      <c r="H269" s="2216">
        <v>44341</v>
      </c>
      <c r="I269" s="2216">
        <v>45070</v>
      </c>
      <c r="J269" s="2175" t="s">
        <v>14268</v>
      </c>
      <c r="K269" s="2211"/>
    </row>
    <row r="270" spans="1:11">
      <c r="A270" s="2238" t="s">
        <v>8557</v>
      </c>
      <c r="B270" s="2214" t="s">
        <v>8558</v>
      </c>
      <c r="C270" s="2218"/>
      <c r="D270" s="2214"/>
      <c r="E270" s="2372" t="s">
        <v>8793</v>
      </c>
      <c r="F270" s="2215">
        <v>1138000</v>
      </c>
      <c r="G270" s="2215">
        <v>1308700</v>
      </c>
      <c r="H270" s="2216">
        <v>44341</v>
      </c>
      <c r="I270" s="2216">
        <v>45070</v>
      </c>
      <c r="J270" s="2208" t="s">
        <v>14214</v>
      </c>
      <c r="K270" s="2211"/>
    </row>
    <row r="271" spans="1:11" ht="30">
      <c r="A271" s="2238" t="s">
        <v>9184</v>
      </c>
      <c r="B271" s="2214" t="s">
        <v>9185</v>
      </c>
      <c r="C271" s="2218"/>
      <c r="D271" s="2214"/>
      <c r="E271" s="2372" t="s">
        <v>5696</v>
      </c>
      <c r="F271" s="2215">
        <v>504000</v>
      </c>
      <c r="G271" s="2215">
        <v>579600</v>
      </c>
      <c r="H271" s="2216">
        <v>44343</v>
      </c>
      <c r="I271" s="2216">
        <v>45072</v>
      </c>
      <c r="J271" s="2175" t="s">
        <v>14270</v>
      </c>
      <c r="K271" s="2211"/>
    </row>
    <row r="272" spans="1:11">
      <c r="A272" s="2238" t="s">
        <v>8336</v>
      </c>
      <c r="B272" s="2214" t="s">
        <v>9063</v>
      </c>
      <c r="C272" s="2218"/>
      <c r="D272" s="2214"/>
      <c r="E272" s="2372" t="s">
        <v>2755</v>
      </c>
      <c r="F272" s="2215">
        <v>7302500</v>
      </c>
      <c r="G272" s="2215">
        <v>8440475</v>
      </c>
      <c r="H272" s="2216">
        <v>44344</v>
      </c>
      <c r="I272" s="2216">
        <v>45073</v>
      </c>
      <c r="J272" s="2208" t="s">
        <v>14290</v>
      </c>
      <c r="K272" s="2211"/>
    </row>
    <row r="273" spans="1:11">
      <c r="A273" s="2238" t="s">
        <v>8452</v>
      </c>
      <c r="B273" s="2214" t="s">
        <v>8453</v>
      </c>
      <c r="C273" s="2218">
        <v>2</v>
      </c>
      <c r="D273" s="2214" t="s">
        <v>8786</v>
      </c>
      <c r="E273" s="2372" t="s">
        <v>5696</v>
      </c>
      <c r="F273" s="2215">
        <v>665000</v>
      </c>
      <c r="G273" s="2215">
        <v>764750</v>
      </c>
      <c r="H273" s="2216">
        <v>44347</v>
      </c>
      <c r="I273" s="2216">
        <v>45076</v>
      </c>
      <c r="J273" s="2175" t="s">
        <v>14268</v>
      </c>
      <c r="K273" s="2211"/>
    </row>
    <row r="274" spans="1:11">
      <c r="A274" s="2238" t="s">
        <v>6485</v>
      </c>
      <c r="B274" s="2214" t="s">
        <v>6486</v>
      </c>
      <c r="C274" s="2218"/>
      <c r="D274" s="2372"/>
      <c r="E274" s="2372" t="s">
        <v>6833</v>
      </c>
      <c r="F274" s="2215">
        <v>1547581.1</v>
      </c>
      <c r="G274" s="2215">
        <v>1779730.9</v>
      </c>
      <c r="H274" s="2216">
        <v>44011</v>
      </c>
      <c r="I274" s="2216">
        <v>45105</v>
      </c>
      <c r="J274" s="2175" t="s">
        <v>14252</v>
      </c>
      <c r="K274" s="2211"/>
    </row>
    <row r="275" spans="1:11">
      <c r="A275" s="2238" t="s">
        <v>12444</v>
      </c>
      <c r="B275" s="2214" t="s">
        <v>12443</v>
      </c>
      <c r="C275" s="2218"/>
      <c r="D275" s="2372"/>
      <c r="E275" s="2372" t="s">
        <v>4315</v>
      </c>
      <c r="F275" s="2215"/>
      <c r="G275" s="2215"/>
      <c r="H275" s="2216">
        <v>44743</v>
      </c>
      <c r="I275" s="2216">
        <v>45097</v>
      </c>
      <c r="J275" s="2210" t="s">
        <v>14291</v>
      </c>
      <c r="K275" s="2211"/>
    </row>
    <row r="276" spans="1:11" ht="45">
      <c r="A276" s="2238" t="s">
        <v>3675</v>
      </c>
      <c r="B276" s="2214" t="s">
        <v>3676</v>
      </c>
      <c r="C276" s="2218"/>
      <c r="D276" s="2228"/>
      <c r="E276" s="2372" t="s">
        <v>5696</v>
      </c>
      <c r="F276" s="2215">
        <v>4320000</v>
      </c>
      <c r="G276" s="2215">
        <v>4968000</v>
      </c>
      <c r="H276" s="2216">
        <v>43648</v>
      </c>
      <c r="I276" s="2216">
        <v>45108</v>
      </c>
      <c r="J276" s="2302" t="s">
        <v>16757</v>
      </c>
      <c r="K276" s="2211"/>
    </row>
    <row r="277" spans="1:11">
      <c r="A277" s="2541" t="s">
        <v>6837</v>
      </c>
      <c r="B277" s="2542" t="s">
        <v>6838</v>
      </c>
      <c r="C277" s="2543"/>
      <c r="D277" s="2545"/>
      <c r="E277" s="2545" t="s">
        <v>1564</v>
      </c>
      <c r="F277" s="2546">
        <v>1377000</v>
      </c>
      <c r="G277" s="2546">
        <v>1666170</v>
      </c>
      <c r="H277" s="2547">
        <v>44049</v>
      </c>
      <c r="I277" s="2547">
        <v>45143</v>
      </c>
      <c r="J277" s="2374" t="s">
        <v>14989</v>
      </c>
      <c r="K277" s="2211"/>
    </row>
    <row r="278" spans="1:11">
      <c r="A278" s="2541" t="s">
        <v>8852</v>
      </c>
      <c r="B278" s="2542" t="s">
        <v>7581</v>
      </c>
      <c r="C278" s="2543">
        <v>1</v>
      </c>
      <c r="D278" s="2545" t="s">
        <v>8853</v>
      </c>
      <c r="E278" s="2545" t="s">
        <v>8765</v>
      </c>
      <c r="F278" s="2546">
        <v>496000</v>
      </c>
      <c r="G278" s="2546">
        <v>600160</v>
      </c>
      <c r="H278" s="2547">
        <v>44417</v>
      </c>
      <c r="I278" s="2547">
        <v>45146</v>
      </c>
      <c r="J278" s="2210" t="s">
        <v>13582</v>
      </c>
      <c r="K278" s="2211"/>
    </row>
    <row r="279" spans="1:11">
      <c r="A279" s="2541" t="s">
        <v>8852</v>
      </c>
      <c r="B279" s="2542" t="s">
        <v>7581</v>
      </c>
      <c r="C279" s="2543">
        <v>3</v>
      </c>
      <c r="D279" s="2545" t="s">
        <v>8855</v>
      </c>
      <c r="E279" s="2545" t="s">
        <v>8765</v>
      </c>
      <c r="F279" s="2546">
        <v>220000</v>
      </c>
      <c r="G279" s="2546">
        <v>266200</v>
      </c>
      <c r="H279" s="2547">
        <v>44417</v>
      </c>
      <c r="I279" s="2547">
        <v>45146</v>
      </c>
      <c r="J279" s="2210" t="s">
        <v>13582</v>
      </c>
      <c r="K279" s="2211"/>
    </row>
    <row r="280" spans="1:11">
      <c r="A280" s="2238" t="s">
        <v>8548</v>
      </c>
      <c r="B280" s="2214" t="s">
        <v>8549</v>
      </c>
      <c r="C280" s="2218">
        <v>1</v>
      </c>
      <c r="D280" s="2372" t="s">
        <v>9019</v>
      </c>
      <c r="E280" s="2372" t="s">
        <v>8793</v>
      </c>
      <c r="F280" s="2215">
        <v>2211264</v>
      </c>
      <c r="G280" s="2215">
        <v>2675629.44</v>
      </c>
      <c r="H280" s="2216">
        <v>44420</v>
      </c>
      <c r="I280" s="2216">
        <v>45149</v>
      </c>
      <c r="J280" s="2210" t="s">
        <v>14517</v>
      </c>
      <c r="K280" s="2211"/>
    </row>
    <row r="281" spans="1:11">
      <c r="A281" s="2238" t="s">
        <v>8548</v>
      </c>
      <c r="B281" s="2214" t="s">
        <v>8549</v>
      </c>
      <c r="C281" s="2218">
        <v>2</v>
      </c>
      <c r="D281" s="2372" t="s">
        <v>9020</v>
      </c>
      <c r="E281" s="2372" t="s">
        <v>8793</v>
      </c>
      <c r="F281" s="2215">
        <v>504000</v>
      </c>
      <c r="G281" s="2215">
        <v>609840</v>
      </c>
      <c r="H281" s="2216">
        <v>44420</v>
      </c>
      <c r="I281" s="2216">
        <v>45149</v>
      </c>
      <c r="J281" s="2210" t="s">
        <v>14517</v>
      </c>
      <c r="K281" s="2211"/>
    </row>
    <row r="282" spans="1:11">
      <c r="A282" s="2238" t="s">
        <v>8852</v>
      </c>
      <c r="B282" s="2214" t="s">
        <v>7581</v>
      </c>
      <c r="C282" s="2218">
        <v>2</v>
      </c>
      <c r="D282" s="2372" t="s">
        <v>8854</v>
      </c>
      <c r="E282" s="2372" t="s">
        <v>8526</v>
      </c>
      <c r="F282" s="2215">
        <v>2085000</v>
      </c>
      <c r="G282" s="2215">
        <v>2522850</v>
      </c>
      <c r="H282" s="2216">
        <v>44438</v>
      </c>
      <c r="I282" s="2216">
        <v>45167</v>
      </c>
      <c r="J282" s="2210" t="s">
        <v>14590</v>
      </c>
      <c r="K282" s="2211"/>
    </row>
    <row r="283" spans="1:11">
      <c r="A283" s="2238" t="s">
        <v>9305</v>
      </c>
      <c r="B283" s="2214" t="s">
        <v>9306</v>
      </c>
      <c r="C283" s="2218"/>
      <c r="D283" s="2372"/>
      <c r="E283" s="2372" t="s">
        <v>2755</v>
      </c>
      <c r="F283" s="2215">
        <v>980000</v>
      </c>
      <c r="G283" s="2215">
        <v>1185800</v>
      </c>
      <c r="H283" s="2216">
        <v>44439</v>
      </c>
      <c r="I283" s="2216">
        <v>45168</v>
      </c>
      <c r="J283" s="2210" t="s">
        <v>14588</v>
      </c>
      <c r="K283" s="2211"/>
    </row>
    <row r="284" spans="1:11">
      <c r="A284" s="2541" t="s">
        <v>6847</v>
      </c>
      <c r="B284" s="2542" t="s">
        <v>6848</v>
      </c>
      <c r="C284" s="2543">
        <v>1</v>
      </c>
      <c r="D284" s="2545" t="s">
        <v>6849</v>
      </c>
      <c r="E284" s="2545" t="s">
        <v>3179</v>
      </c>
      <c r="F284" s="2546">
        <v>250080000</v>
      </c>
      <c r="G284" s="2546">
        <v>287592000</v>
      </c>
      <c r="H284" s="2547">
        <v>44090</v>
      </c>
      <c r="I284" s="2547">
        <v>45184</v>
      </c>
      <c r="J284" s="2210" t="s">
        <v>13582</v>
      </c>
      <c r="K284" s="2211"/>
    </row>
    <row r="285" spans="1:11">
      <c r="A285" s="2238" t="s">
        <v>6847</v>
      </c>
      <c r="B285" s="2214" t="s">
        <v>6848</v>
      </c>
      <c r="C285" s="2218">
        <v>2</v>
      </c>
      <c r="D285" s="2372" t="s">
        <v>6850</v>
      </c>
      <c r="E285" s="2372" t="s">
        <v>2776</v>
      </c>
      <c r="F285" s="2215">
        <v>56923000</v>
      </c>
      <c r="G285" s="2215">
        <v>65461450</v>
      </c>
      <c r="H285" s="2216">
        <v>44090</v>
      </c>
      <c r="I285" s="2216">
        <v>45184</v>
      </c>
      <c r="J285" s="2210" t="s">
        <v>14600</v>
      </c>
      <c r="K285" s="2211"/>
    </row>
    <row r="286" spans="1:11">
      <c r="A286" s="2238" t="s">
        <v>6847</v>
      </c>
      <c r="B286" s="2214" t="s">
        <v>6848</v>
      </c>
      <c r="C286" s="2218">
        <v>4</v>
      </c>
      <c r="D286" s="2372" t="s">
        <v>6852</v>
      </c>
      <c r="E286" s="2372" t="s">
        <v>2755</v>
      </c>
      <c r="F286" s="2215">
        <v>72497500</v>
      </c>
      <c r="G286" s="2215">
        <v>83396125</v>
      </c>
      <c r="H286" s="2216">
        <v>44090</v>
      </c>
      <c r="I286" s="2216">
        <v>45184</v>
      </c>
      <c r="J286" s="2210" t="s">
        <v>14601</v>
      </c>
      <c r="K286" s="2211"/>
    </row>
    <row r="287" spans="1:11" ht="45">
      <c r="A287" s="2238" t="s">
        <v>6825</v>
      </c>
      <c r="B287" s="2214" t="s">
        <v>6826</v>
      </c>
      <c r="C287" s="2218">
        <v>1</v>
      </c>
      <c r="D287" s="2214" t="s">
        <v>6832</v>
      </c>
      <c r="E287" s="2372" t="s">
        <v>3179</v>
      </c>
      <c r="F287" s="2215">
        <v>45869095</v>
      </c>
      <c r="G287" s="2215">
        <v>52749459.25</v>
      </c>
      <c r="H287" s="2216">
        <v>44097</v>
      </c>
      <c r="I287" s="2216">
        <v>45191</v>
      </c>
      <c r="J287" s="2210" t="s">
        <v>14645</v>
      </c>
      <c r="K287" s="2207"/>
    </row>
    <row r="288" spans="1:11" ht="30">
      <c r="A288" s="2238" t="s">
        <v>6825</v>
      </c>
      <c r="B288" s="2214" t="s">
        <v>6826</v>
      </c>
      <c r="C288" s="2218">
        <v>2</v>
      </c>
      <c r="D288" s="2214" t="s">
        <v>6831</v>
      </c>
      <c r="E288" s="2372" t="s">
        <v>2776</v>
      </c>
      <c r="F288" s="2215">
        <v>9624913.0399999991</v>
      </c>
      <c r="G288" s="2215">
        <v>11068650</v>
      </c>
      <c r="H288" s="2216">
        <v>44097</v>
      </c>
      <c r="I288" s="2216">
        <v>45191</v>
      </c>
      <c r="J288" s="2210" t="s">
        <v>14646</v>
      </c>
      <c r="K288" s="2211"/>
    </row>
    <row r="289" spans="1:11" ht="60">
      <c r="A289" s="2238" t="s">
        <v>6825</v>
      </c>
      <c r="B289" s="2214" t="s">
        <v>6826</v>
      </c>
      <c r="C289" s="2218">
        <v>4</v>
      </c>
      <c r="D289" s="2214" t="s">
        <v>6829</v>
      </c>
      <c r="E289" s="2372" t="s">
        <v>2777</v>
      </c>
      <c r="F289" s="2215">
        <v>7238400</v>
      </c>
      <c r="G289" s="2215">
        <v>8324160</v>
      </c>
      <c r="H289" s="2216">
        <v>44097</v>
      </c>
      <c r="I289" s="2216">
        <v>45191</v>
      </c>
      <c r="J289" s="2210" t="s">
        <v>14648</v>
      </c>
      <c r="K289" s="2211"/>
    </row>
    <row r="290" spans="1:11" ht="30">
      <c r="A290" s="2238" t="s">
        <v>6825</v>
      </c>
      <c r="B290" s="2214" t="s">
        <v>6826</v>
      </c>
      <c r="C290" s="2218">
        <v>5</v>
      </c>
      <c r="D290" s="2214" t="s">
        <v>6828</v>
      </c>
      <c r="E290" s="2372" t="s">
        <v>1433</v>
      </c>
      <c r="F290" s="2215">
        <v>8525000</v>
      </c>
      <c r="G290" s="2215">
        <v>9803750</v>
      </c>
      <c r="H290" s="2216">
        <v>44097</v>
      </c>
      <c r="I290" s="2216">
        <v>45191</v>
      </c>
      <c r="J290" s="2210" t="s">
        <v>14649</v>
      </c>
      <c r="K290" s="2211"/>
    </row>
    <row r="291" spans="1:11">
      <c r="A291" s="2238" t="s">
        <v>9284</v>
      </c>
      <c r="B291" s="2214" t="s">
        <v>9285</v>
      </c>
      <c r="C291" s="2218"/>
      <c r="D291" s="2214"/>
      <c r="E291" s="2372" t="s">
        <v>9770</v>
      </c>
      <c r="F291" s="2215">
        <v>1433600</v>
      </c>
      <c r="G291" s="2215">
        <v>1734656</v>
      </c>
      <c r="H291" s="2216">
        <v>44462</v>
      </c>
      <c r="I291" s="2216">
        <v>45191</v>
      </c>
      <c r="J291" s="2210" t="s">
        <v>14669</v>
      </c>
      <c r="K291" s="2370"/>
    </row>
    <row r="292" spans="1:11">
      <c r="A292" s="2238" t="s">
        <v>8996</v>
      </c>
      <c r="B292" s="2214" t="s">
        <v>8997</v>
      </c>
      <c r="C292" s="2218"/>
      <c r="D292" s="2214"/>
      <c r="E292" s="2372" t="s">
        <v>8793</v>
      </c>
      <c r="F292" s="2215">
        <v>2660000</v>
      </c>
      <c r="G292" s="2215">
        <v>3218600</v>
      </c>
      <c r="H292" s="2216">
        <v>44462</v>
      </c>
      <c r="I292" s="2216">
        <v>45191</v>
      </c>
      <c r="J292" s="2210" t="s">
        <v>14744</v>
      </c>
      <c r="K292" s="2370"/>
    </row>
    <row r="293" spans="1:11">
      <c r="A293" s="2917" t="s">
        <v>7090</v>
      </c>
      <c r="B293" s="2918" t="s">
        <v>7091</v>
      </c>
      <c r="C293" s="2919"/>
      <c r="D293" s="2920"/>
      <c r="E293" s="2920" t="s">
        <v>3179</v>
      </c>
      <c r="F293" s="2921">
        <v>7128000</v>
      </c>
      <c r="G293" s="2921">
        <v>8197200</v>
      </c>
      <c r="H293" s="2922">
        <v>44103</v>
      </c>
      <c r="I293" s="2922">
        <v>45197</v>
      </c>
      <c r="J293" s="1672" t="s">
        <v>14643</v>
      </c>
      <c r="K293" s="2211"/>
    </row>
    <row r="294" spans="1:11">
      <c r="A294" s="2238" t="s">
        <v>9082</v>
      </c>
      <c r="B294" s="2214" t="s">
        <v>9295</v>
      </c>
      <c r="C294" s="2218">
        <v>1</v>
      </c>
      <c r="D294" s="1510" t="s">
        <v>9021</v>
      </c>
      <c r="E294" s="2372" t="s">
        <v>8793</v>
      </c>
      <c r="F294" s="2215">
        <v>230000</v>
      </c>
      <c r="G294" s="2215">
        <v>278300</v>
      </c>
      <c r="H294" s="2216">
        <v>44475</v>
      </c>
      <c r="I294" s="2216">
        <v>45204</v>
      </c>
      <c r="J294" s="2210" t="s">
        <v>14802</v>
      </c>
      <c r="K294" s="2211"/>
    </row>
    <row r="295" spans="1:11">
      <c r="A295" s="2238" t="s">
        <v>9082</v>
      </c>
      <c r="B295" s="2214" t="s">
        <v>9295</v>
      </c>
      <c r="C295" s="2218">
        <v>2</v>
      </c>
      <c r="D295" s="1510" t="s">
        <v>9022</v>
      </c>
      <c r="E295" s="2372" t="s">
        <v>8793</v>
      </c>
      <c r="F295" s="2215">
        <v>230000</v>
      </c>
      <c r="G295" s="2215">
        <v>278300</v>
      </c>
      <c r="H295" s="2216">
        <v>44475</v>
      </c>
      <c r="I295" s="2216">
        <v>45204</v>
      </c>
      <c r="J295" s="2210" t="s">
        <v>14802</v>
      </c>
      <c r="K295" s="2211"/>
    </row>
    <row r="296" spans="1:11">
      <c r="A296" s="2238" t="s">
        <v>9082</v>
      </c>
      <c r="B296" s="2214" t="s">
        <v>9295</v>
      </c>
      <c r="C296" s="2218">
        <v>3</v>
      </c>
      <c r="D296" s="1510" t="s">
        <v>9023</v>
      </c>
      <c r="E296" s="2372" t="s">
        <v>8793</v>
      </c>
      <c r="F296" s="2215">
        <v>690000</v>
      </c>
      <c r="G296" s="2215">
        <v>834900</v>
      </c>
      <c r="H296" s="2216">
        <v>44475</v>
      </c>
      <c r="I296" s="2216">
        <v>45204</v>
      </c>
      <c r="J296" s="2210" t="s">
        <v>14802</v>
      </c>
      <c r="K296" s="2211"/>
    </row>
    <row r="297" spans="1:11">
      <c r="A297" s="2891" t="s">
        <v>12955</v>
      </c>
      <c r="B297" s="2892" t="s">
        <v>12956</v>
      </c>
      <c r="C297" s="2893"/>
      <c r="D297" s="2894"/>
      <c r="E297" s="2895" t="s">
        <v>2097</v>
      </c>
      <c r="F297" s="2896">
        <v>389760</v>
      </c>
      <c r="G297" s="2896">
        <v>471609.59999999998</v>
      </c>
      <c r="H297" s="2897">
        <v>44858</v>
      </c>
      <c r="I297" s="2897">
        <v>45222</v>
      </c>
      <c r="J297" s="1674" t="s">
        <v>14797</v>
      </c>
      <c r="K297" s="2211"/>
    </row>
    <row r="298" spans="1:11" ht="30">
      <c r="A298" s="2891" t="s">
        <v>6426</v>
      </c>
      <c r="B298" s="2892" t="s">
        <v>5683</v>
      </c>
      <c r="C298" s="2893"/>
      <c r="D298" s="2895"/>
      <c r="E298" s="2895" t="s">
        <v>6128</v>
      </c>
      <c r="F298" s="2896">
        <v>10626240</v>
      </c>
      <c r="G298" s="2896">
        <v>12865440</v>
      </c>
      <c r="H298" s="2897">
        <v>44131</v>
      </c>
      <c r="I298" s="2897">
        <v>45225</v>
      </c>
      <c r="J298" s="1674" t="s">
        <v>14873</v>
      </c>
      <c r="K298" s="2211"/>
    </row>
    <row r="299" spans="1:11">
      <c r="A299" s="2891" t="s">
        <v>9307</v>
      </c>
      <c r="B299" s="2892" t="s">
        <v>9308</v>
      </c>
      <c r="C299" s="2893"/>
      <c r="D299" s="2895"/>
      <c r="E299" s="2895" t="s">
        <v>8526</v>
      </c>
      <c r="F299" s="2896">
        <v>1260000</v>
      </c>
      <c r="G299" s="2896">
        <v>1524600</v>
      </c>
      <c r="H299" s="2897">
        <v>44508</v>
      </c>
      <c r="I299" s="2897">
        <v>45237</v>
      </c>
      <c r="J299" s="1674" t="s">
        <v>15142</v>
      </c>
      <c r="K299" s="2211"/>
    </row>
    <row r="300" spans="1:11" ht="30">
      <c r="A300" s="2238" t="s">
        <v>6961</v>
      </c>
      <c r="B300" s="2214" t="s">
        <v>6968</v>
      </c>
      <c r="C300" s="2218">
        <v>1</v>
      </c>
      <c r="D300" s="2221" t="s">
        <v>6962</v>
      </c>
      <c r="E300" s="2372" t="s">
        <v>2776</v>
      </c>
      <c r="F300" s="2215">
        <v>1350000</v>
      </c>
      <c r="G300" s="2215">
        <v>1552500</v>
      </c>
      <c r="H300" s="2216">
        <v>44146</v>
      </c>
      <c r="I300" s="2216">
        <v>45240</v>
      </c>
      <c r="J300" s="2210" t="s">
        <v>15284</v>
      </c>
      <c r="K300" s="2211"/>
    </row>
    <row r="301" spans="1:11">
      <c r="A301" s="2238" t="s">
        <v>6961</v>
      </c>
      <c r="B301" s="2214" t="s">
        <v>6968</v>
      </c>
      <c r="C301" s="2218">
        <v>3</v>
      </c>
      <c r="D301" s="2221" t="s">
        <v>3800</v>
      </c>
      <c r="E301" s="2372" t="s">
        <v>2776</v>
      </c>
      <c r="F301" s="2215">
        <v>580000</v>
      </c>
      <c r="G301" s="2215">
        <v>667000</v>
      </c>
      <c r="H301" s="2216">
        <v>44146</v>
      </c>
      <c r="I301" s="2216">
        <v>45240</v>
      </c>
      <c r="J301" s="2210" t="s">
        <v>15286</v>
      </c>
      <c r="K301" s="2211"/>
    </row>
    <row r="302" spans="1:11" ht="30">
      <c r="A302" s="2541" t="s">
        <v>6961</v>
      </c>
      <c r="B302" s="2542" t="s">
        <v>6968</v>
      </c>
      <c r="C302" s="2543">
        <v>4</v>
      </c>
      <c r="D302" s="2903" t="s">
        <v>3801</v>
      </c>
      <c r="E302" s="2545" t="s">
        <v>2776</v>
      </c>
      <c r="F302" s="2546">
        <v>15840000</v>
      </c>
      <c r="G302" s="2546">
        <v>18216000</v>
      </c>
      <c r="H302" s="2547">
        <v>44146</v>
      </c>
      <c r="I302" s="2547">
        <v>45240</v>
      </c>
      <c r="J302" s="2210" t="s">
        <v>13582</v>
      </c>
      <c r="K302" s="2211"/>
    </row>
    <row r="303" spans="1:11" ht="30">
      <c r="A303" s="2541" t="s">
        <v>6961</v>
      </c>
      <c r="B303" s="2542" t="s">
        <v>6968</v>
      </c>
      <c r="C303" s="2543">
        <v>5</v>
      </c>
      <c r="D303" s="2903" t="s">
        <v>6963</v>
      </c>
      <c r="E303" s="2545" t="s">
        <v>6763</v>
      </c>
      <c r="F303" s="2546">
        <v>2922750</v>
      </c>
      <c r="G303" s="2546">
        <v>3361162.5</v>
      </c>
      <c r="H303" s="2547">
        <v>44146</v>
      </c>
      <c r="I303" s="2547">
        <v>45240</v>
      </c>
      <c r="J303" s="2210" t="s">
        <v>13582</v>
      </c>
      <c r="K303" s="2211"/>
    </row>
    <row r="304" spans="1:11" ht="30">
      <c r="A304" s="2238" t="s">
        <v>6961</v>
      </c>
      <c r="B304" s="2214" t="s">
        <v>6968</v>
      </c>
      <c r="C304" s="2218">
        <v>6</v>
      </c>
      <c r="D304" s="2221" t="s">
        <v>6964</v>
      </c>
      <c r="E304" s="2372" t="s">
        <v>6763</v>
      </c>
      <c r="F304" s="2215">
        <v>3584000</v>
      </c>
      <c r="G304" s="2215">
        <v>4121600</v>
      </c>
      <c r="H304" s="2216">
        <v>44146</v>
      </c>
      <c r="I304" s="2216">
        <v>45240</v>
      </c>
      <c r="J304" s="2210" t="s">
        <v>15287</v>
      </c>
      <c r="K304" s="2211"/>
    </row>
    <row r="305" spans="1:11">
      <c r="A305" s="2238" t="s">
        <v>6961</v>
      </c>
      <c r="B305" s="2214" t="s">
        <v>6968</v>
      </c>
      <c r="C305" s="2218">
        <v>7</v>
      </c>
      <c r="D305" s="2221" t="s">
        <v>3803</v>
      </c>
      <c r="E305" s="2372" t="s">
        <v>2776</v>
      </c>
      <c r="F305" s="2215">
        <v>1540000</v>
      </c>
      <c r="G305" s="2215">
        <v>1771000</v>
      </c>
      <c r="H305" s="2216">
        <v>44146</v>
      </c>
      <c r="I305" s="2216">
        <v>45240</v>
      </c>
      <c r="J305" s="2210" t="s">
        <v>15288</v>
      </c>
      <c r="K305" s="2211"/>
    </row>
    <row r="306" spans="1:11" ht="30">
      <c r="A306" s="2238" t="s">
        <v>6961</v>
      </c>
      <c r="B306" s="2214" t="s">
        <v>6968</v>
      </c>
      <c r="C306" s="2218">
        <v>8</v>
      </c>
      <c r="D306" s="2221" t="s">
        <v>6965</v>
      </c>
      <c r="E306" s="2372" t="s">
        <v>6763</v>
      </c>
      <c r="F306" s="2215">
        <v>824400</v>
      </c>
      <c r="G306" s="2215">
        <v>948060</v>
      </c>
      <c r="H306" s="2216">
        <v>44146</v>
      </c>
      <c r="I306" s="2216">
        <v>45240</v>
      </c>
      <c r="J306" s="2210" t="s">
        <v>15289</v>
      </c>
      <c r="K306" s="2211"/>
    </row>
    <row r="307" spans="1:11" ht="30">
      <c r="A307" s="2238" t="s">
        <v>6961</v>
      </c>
      <c r="B307" s="2214" t="s">
        <v>6968</v>
      </c>
      <c r="C307" s="2218">
        <v>9</v>
      </c>
      <c r="D307" s="2221" t="s">
        <v>6966</v>
      </c>
      <c r="E307" s="2372" t="s">
        <v>6763</v>
      </c>
      <c r="F307" s="2215">
        <v>1018650</v>
      </c>
      <c r="G307" s="2215">
        <v>1171447.5</v>
      </c>
      <c r="H307" s="2216">
        <v>44146</v>
      </c>
      <c r="I307" s="2216">
        <v>45240</v>
      </c>
      <c r="J307" s="2210" t="s">
        <v>15290</v>
      </c>
      <c r="K307" s="2211"/>
    </row>
    <row r="308" spans="1:11" ht="45">
      <c r="A308" s="2238" t="s">
        <v>6961</v>
      </c>
      <c r="B308" s="2214" t="s">
        <v>6968</v>
      </c>
      <c r="C308" s="2218">
        <v>10</v>
      </c>
      <c r="D308" s="2221" t="s">
        <v>6967</v>
      </c>
      <c r="E308" s="2372" t="s">
        <v>6763</v>
      </c>
      <c r="F308" s="2215">
        <v>2592000</v>
      </c>
      <c r="G308" s="2215">
        <v>2980800</v>
      </c>
      <c r="H308" s="2216">
        <v>44146</v>
      </c>
      <c r="I308" s="2216">
        <v>45240</v>
      </c>
      <c r="J308" s="2210" t="s">
        <v>15291</v>
      </c>
      <c r="K308" s="2211"/>
    </row>
    <row r="309" spans="1:11">
      <c r="A309" s="2238" t="s">
        <v>6882</v>
      </c>
      <c r="B309" s="2214" t="s">
        <v>6883</v>
      </c>
      <c r="C309" s="2218">
        <v>1</v>
      </c>
      <c r="D309" s="2372" t="s">
        <v>6885</v>
      </c>
      <c r="E309" s="2372" t="s">
        <v>3179</v>
      </c>
      <c r="F309" s="2215">
        <v>26880000</v>
      </c>
      <c r="G309" s="2215">
        <v>30911999.999999996</v>
      </c>
      <c r="H309" s="2216">
        <v>44148</v>
      </c>
      <c r="I309" s="2216">
        <v>45242</v>
      </c>
      <c r="J309" s="2210" t="s">
        <v>15160</v>
      </c>
      <c r="K309" s="2211"/>
    </row>
    <row r="310" spans="1:11">
      <c r="A310" s="2238" t="s">
        <v>6882</v>
      </c>
      <c r="B310" s="2214" t="s">
        <v>6883</v>
      </c>
      <c r="C310" s="2218">
        <v>2</v>
      </c>
      <c r="D310" s="2372" t="s">
        <v>6886</v>
      </c>
      <c r="E310" s="2372" t="s">
        <v>2755</v>
      </c>
      <c r="F310" s="2215">
        <v>14520000</v>
      </c>
      <c r="G310" s="2215">
        <v>16697999.999999998</v>
      </c>
      <c r="H310" s="2216">
        <v>44148</v>
      </c>
      <c r="I310" s="2216">
        <v>45242</v>
      </c>
      <c r="J310" s="2210" t="s">
        <v>15162</v>
      </c>
      <c r="K310" s="2211"/>
    </row>
    <row r="311" spans="1:11">
      <c r="A311" s="2238" t="s">
        <v>6882</v>
      </c>
      <c r="B311" s="2214" t="s">
        <v>6883</v>
      </c>
      <c r="C311" s="2218">
        <v>3</v>
      </c>
      <c r="D311" s="2372" t="s">
        <v>6887</v>
      </c>
      <c r="E311" s="2372" t="s">
        <v>7391</v>
      </c>
      <c r="F311" s="2215">
        <v>6525000</v>
      </c>
      <c r="G311" s="2215">
        <v>7503749.9999999991</v>
      </c>
      <c r="H311" s="2216">
        <v>44148</v>
      </c>
      <c r="I311" s="2216">
        <v>45242</v>
      </c>
      <c r="J311" s="2210" t="s">
        <v>15163</v>
      </c>
      <c r="K311" s="2211"/>
    </row>
    <row r="312" spans="1:11">
      <c r="A312" s="2541" t="s">
        <v>6882</v>
      </c>
      <c r="B312" s="2542" t="s">
        <v>6883</v>
      </c>
      <c r="C312" s="2543">
        <v>6</v>
      </c>
      <c r="D312" s="2545" t="s">
        <v>6890</v>
      </c>
      <c r="E312" s="2545" t="s">
        <v>3179</v>
      </c>
      <c r="F312" s="2546">
        <v>1580000</v>
      </c>
      <c r="G312" s="2546">
        <v>1816999.9999999998</v>
      </c>
      <c r="H312" s="2547">
        <v>44148</v>
      </c>
      <c r="I312" s="2547">
        <v>45242</v>
      </c>
      <c r="J312" s="2210" t="s">
        <v>13582</v>
      </c>
      <c r="K312" s="2211"/>
    </row>
    <row r="313" spans="1:11" ht="45">
      <c r="A313" s="2238" t="s">
        <v>6961</v>
      </c>
      <c r="B313" s="2214" t="s">
        <v>6968</v>
      </c>
      <c r="C313" s="2218">
        <v>2</v>
      </c>
      <c r="D313" s="2221" t="s">
        <v>3799</v>
      </c>
      <c r="E313" s="2372" t="s">
        <v>4894</v>
      </c>
      <c r="F313" s="2215">
        <v>225650</v>
      </c>
      <c r="G313" s="2215">
        <v>259497.5</v>
      </c>
      <c r="H313" s="2216">
        <v>44151</v>
      </c>
      <c r="I313" s="2216">
        <v>45245</v>
      </c>
      <c r="J313" s="2302" t="s">
        <v>15654</v>
      </c>
      <c r="K313" s="2211"/>
    </row>
    <row r="314" spans="1:11">
      <c r="A314" s="2238" t="s">
        <v>9560</v>
      </c>
      <c r="B314" s="2214" t="s">
        <v>9561</v>
      </c>
      <c r="C314" s="2218"/>
      <c r="D314" s="2221"/>
      <c r="E314" s="2372" t="s">
        <v>9770</v>
      </c>
      <c r="F314" s="2215">
        <v>1986000</v>
      </c>
      <c r="G314" s="2215">
        <v>2403060</v>
      </c>
      <c r="H314" s="2216">
        <v>44516</v>
      </c>
      <c r="I314" s="2216">
        <v>45245</v>
      </c>
      <c r="J314" s="2210" t="s">
        <v>15434</v>
      </c>
      <c r="K314" s="2211"/>
    </row>
    <row r="315" spans="1:11">
      <c r="A315" s="2238" t="s">
        <v>6882</v>
      </c>
      <c r="B315" s="2214" t="s">
        <v>6883</v>
      </c>
      <c r="C315" s="2218">
        <v>5</v>
      </c>
      <c r="D315" s="2372" t="s">
        <v>6889</v>
      </c>
      <c r="E315" s="2372" t="s">
        <v>2973</v>
      </c>
      <c r="F315" s="2215">
        <v>2724000</v>
      </c>
      <c r="G315" s="2215">
        <v>3132599.9999999995</v>
      </c>
      <c r="H315" s="2216">
        <v>44155</v>
      </c>
      <c r="I315" s="2216">
        <v>45249</v>
      </c>
      <c r="J315" s="2210" t="s">
        <v>15161</v>
      </c>
      <c r="K315" s="2211"/>
    </row>
    <row r="316" spans="1:11">
      <c r="A316" s="2238" t="s">
        <v>6882</v>
      </c>
      <c r="B316" s="2214" t="s">
        <v>6883</v>
      </c>
      <c r="C316" s="2218">
        <v>4</v>
      </c>
      <c r="D316" s="2372" t="s">
        <v>6888</v>
      </c>
      <c r="E316" s="2372" t="s">
        <v>8793</v>
      </c>
      <c r="F316" s="2215">
        <v>7260000</v>
      </c>
      <c r="G316" s="2215">
        <v>8348999.9999999991</v>
      </c>
      <c r="H316" s="2216">
        <v>44160</v>
      </c>
      <c r="I316" s="2216">
        <v>45254</v>
      </c>
      <c r="J316" s="2210" t="s">
        <v>15164</v>
      </c>
      <c r="K316" s="2211"/>
    </row>
    <row r="317" spans="1:11">
      <c r="A317" s="2238" t="s">
        <v>9549</v>
      </c>
      <c r="B317" s="2214" t="s">
        <v>9550</v>
      </c>
      <c r="C317" s="2218">
        <v>1</v>
      </c>
      <c r="D317" s="2372" t="s">
        <v>9570</v>
      </c>
      <c r="E317" s="2372" t="s">
        <v>9770</v>
      </c>
      <c r="F317" s="2215">
        <v>118000</v>
      </c>
      <c r="G317" s="2215">
        <v>142780</v>
      </c>
      <c r="H317" s="2216">
        <v>44529</v>
      </c>
      <c r="I317" s="2216">
        <v>45258</v>
      </c>
      <c r="J317" s="2210" t="s">
        <v>15680</v>
      </c>
      <c r="K317" s="2211"/>
    </row>
    <row r="318" spans="1:11">
      <c r="A318" s="2238" t="s">
        <v>9549</v>
      </c>
      <c r="B318" s="2214" t="s">
        <v>9550</v>
      </c>
      <c r="C318" s="2218">
        <v>2</v>
      </c>
      <c r="D318" s="2372" t="s">
        <v>9571</v>
      </c>
      <c r="E318" s="2372" t="s">
        <v>9770</v>
      </c>
      <c r="F318" s="2215">
        <v>164000</v>
      </c>
      <c r="G318" s="2215">
        <v>198440</v>
      </c>
      <c r="H318" s="2216">
        <v>44529</v>
      </c>
      <c r="I318" s="2216">
        <v>45258</v>
      </c>
      <c r="J318" s="2210" t="s">
        <v>15679</v>
      </c>
      <c r="K318" s="2211"/>
    </row>
    <row r="319" spans="1:11">
      <c r="A319" s="2238" t="s">
        <v>8246</v>
      </c>
      <c r="B319" s="2214" t="s">
        <v>8248</v>
      </c>
      <c r="C319" s="2218"/>
      <c r="D319" s="2372"/>
      <c r="E319" s="2372" t="s">
        <v>1433</v>
      </c>
      <c r="F319" s="2215">
        <v>1250000</v>
      </c>
      <c r="G319" s="2215">
        <v>1512500</v>
      </c>
      <c r="H319" s="2216">
        <v>44537</v>
      </c>
      <c r="I319" s="2216">
        <v>45266</v>
      </c>
      <c r="J319" s="2210" t="s">
        <v>15526</v>
      </c>
      <c r="K319" s="2211"/>
    </row>
    <row r="320" spans="1:11" ht="30">
      <c r="A320" s="2238" t="s">
        <v>9764</v>
      </c>
      <c r="B320" s="2214" t="s">
        <v>9765</v>
      </c>
      <c r="C320" s="2218"/>
      <c r="D320" s="2372"/>
      <c r="E320" s="2372" t="s">
        <v>8793</v>
      </c>
      <c r="F320" s="2215">
        <v>2100000</v>
      </c>
      <c r="G320" s="2215">
        <v>2541000</v>
      </c>
      <c r="H320" s="2216">
        <v>44537</v>
      </c>
      <c r="I320" s="2216">
        <v>45266</v>
      </c>
      <c r="J320" s="2694" t="s">
        <v>16078</v>
      </c>
      <c r="K320" s="2211"/>
    </row>
    <row r="321" spans="1:11">
      <c r="A321" s="2238" t="s">
        <v>9562</v>
      </c>
      <c r="B321" s="2214" t="s">
        <v>9563</v>
      </c>
      <c r="C321" s="2218"/>
      <c r="D321" s="2372"/>
      <c r="E321" s="2372" t="s">
        <v>8793</v>
      </c>
      <c r="F321" s="2215">
        <v>3510000</v>
      </c>
      <c r="G321" s="2215">
        <v>4247100</v>
      </c>
      <c r="H321" s="2216">
        <v>44539</v>
      </c>
      <c r="I321" s="2216">
        <v>45268</v>
      </c>
      <c r="J321" s="2210" t="s">
        <v>15764</v>
      </c>
      <c r="K321" s="2211"/>
    </row>
    <row r="322" spans="1:11">
      <c r="A322" s="2238" t="s">
        <v>10149</v>
      </c>
      <c r="B322" s="2214" t="s">
        <v>10187</v>
      </c>
      <c r="C322" s="2218"/>
      <c r="D322" s="2372"/>
      <c r="E322" s="2372" t="s">
        <v>8526</v>
      </c>
      <c r="F322" s="2215">
        <v>386000</v>
      </c>
      <c r="G322" s="2215">
        <v>467060</v>
      </c>
      <c r="H322" s="2216">
        <v>44543</v>
      </c>
      <c r="I322" s="2216">
        <v>45272</v>
      </c>
      <c r="J322" s="2210" t="s">
        <v>15980</v>
      </c>
      <c r="K322" s="2211"/>
    </row>
    <row r="323" spans="1:11">
      <c r="A323" s="2238" t="s">
        <v>9549</v>
      </c>
      <c r="B323" s="2214" t="s">
        <v>9550</v>
      </c>
      <c r="C323" s="2218">
        <v>3</v>
      </c>
      <c r="D323" s="2372" t="s">
        <v>9572</v>
      </c>
      <c r="E323" s="2372" t="s">
        <v>10562</v>
      </c>
      <c r="F323" s="2215">
        <v>477000</v>
      </c>
      <c r="G323" s="2215">
        <v>577170</v>
      </c>
      <c r="H323" s="2216">
        <v>44543</v>
      </c>
      <c r="I323" s="2216">
        <v>45272</v>
      </c>
      <c r="J323" s="2210" t="s">
        <v>15681</v>
      </c>
      <c r="K323" s="2211"/>
    </row>
    <row r="324" spans="1:11">
      <c r="A324" s="2238" t="s">
        <v>13145</v>
      </c>
      <c r="B324" s="2214" t="s">
        <v>13146</v>
      </c>
      <c r="C324" s="2218"/>
      <c r="D324" s="2372"/>
      <c r="E324" s="2371" t="s">
        <v>9770</v>
      </c>
      <c r="F324" s="2215">
        <v>792000</v>
      </c>
      <c r="G324" s="2215">
        <v>958320</v>
      </c>
      <c r="H324" s="2216">
        <v>44914</v>
      </c>
      <c r="I324" s="2216">
        <v>45278</v>
      </c>
      <c r="J324" s="2210" t="s">
        <v>15154</v>
      </c>
      <c r="K324" s="2211"/>
    </row>
    <row r="325" spans="1:11">
      <c r="A325" s="2238" t="s">
        <v>11955</v>
      </c>
      <c r="B325" s="2214" t="s">
        <v>11956</v>
      </c>
      <c r="C325" s="2218"/>
      <c r="D325" s="2372"/>
      <c r="E325" s="2372" t="s">
        <v>5321</v>
      </c>
      <c r="F325" s="2215">
        <v>505690.5</v>
      </c>
      <c r="G325" s="2215">
        <v>611885.51</v>
      </c>
      <c r="H325" s="2216">
        <v>44750</v>
      </c>
      <c r="I325" s="2216">
        <v>45291</v>
      </c>
      <c r="J325" s="2210" t="s">
        <v>15559</v>
      </c>
      <c r="K325" s="2211"/>
    </row>
    <row r="326" spans="1:11">
      <c r="A326" s="2238" t="s">
        <v>13584</v>
      </c>
      <c r="B326" s="2214" t="s">
        <v>13585</v>
      </c>
      <c r="C326" s="2218"/>
      <c r="D326" s="2372"/>
      <c r="E326" s="2372" t="s">
        <v>3059</v>
      </c>
      <c r="F326" s="2215">
        <v>529200</v>
      </c>
      <c r="G326" s="2215">
        <v>640332</v>
      </c>
      <c r="H326" s="2216">
        <v>44935</v>
      </c>
      <c r="I326" s="2216">
        <v>45299</v>
      </c>
      <c r="J326" s="2210" t="s">
        <v>15907</v>
      </c>
      <c r="K326" s="2211"/>
    </row>
    <row r="327" spans="1:11" ht="45">
      <c r="A327" s="2541" t="s">
        <v>7997</v>
      </c>
      <c r="B327" s="2542" t="s">
        <v>6830</v>
      </c>
      <c r="C327" s="2543"/>
      <c r="D327" s="2545"/>
      <c r="E327" s="2545" t="s">
        <v>1433</v>
      </c>
      <c r="F327" s="2546">
        <v>3103825</v>
      </c>
      <c r="G327" s="2546">
        <v>3569398.7499999995</v>
      </c>
      <c r="H327" s="2547">
        <v>44264</v>
      </c>
      <c r="I327" s="2547">
        <v>45359</v>
      </c>
      <c r="J327" s="2210" t="s">
        <v>13582</v>
      </c>
      <c r="K327" s="2211"/>
    </row>
    <row r="328" spans="1:11" ht="30">
      <c r="A328" s="2238" t="s">
        <v>7998</v>
      </c>
      <c r="B328" s="2214" t="s">
        <v>7999</v>
      </c>
      <c r="C328" s="2218"/>
      <c r="D328" s="2372"/>
      <c r="E328" s="2372" t="s">
        <v>1433</v>
      </c>
      <c r="F328" s="2215">
        <v>25040000</v>
      </c>
      <c r="G328" s="2215">
        <v>28795999.999999996</v>
      </c>
      <c r="H328" s="2216">
        <v>44264</v>
      </c>
      <c r="I328" s="2216">
        <v>45359</v>
      </c>
      <c r="J328" s="2302" t="s">
        <v>15970</v>
      </c>
      <c r="K328" s="2211"/>
    </row>
    <row r="329" spans="1:11">
      <c r="A329" s="2238" t="s">
        <v>10748</v>
      </c>
      <c r="B329" s="2214" t="s">
        <v>10749</v>
      </c>
      <c r="C329" s="2218"/>
      <c r="D329" s="2372"/>
      <c r="E329" s="2372" t="s">
        <v>10562</v>
      </c>
      <c r="F329" s="2215">
        <v>867780</v>
      </c>
      <c r="G329" s="2215">
        <v>1050013.8</v>
      </c>
      <c r="H329" s="2216">
        <v>44634</v>
      </c>
      <c r="I329" s="2216">
        <v>45364</v>
      </c>
      <c r="J329" s="2210" t="s">
        <v>17611</v>
      </c>
      <c r="K329" s="2211"/>
    </row>
    <row r="330" spans="1:11">
      <c r="A330" s="2240" t="s">
        <v>14931</v>
      </c>
      <c r="B330" s="2224" t="s">
        <v>14932</v>
      </c>
      <c r="C330" s="2225"/>
      <c r="D330" s="2272"/>
      <c r="E330" s="2272" t="s">
        <v>3175</v>
      </c>
      <c r="F330" s="2226">
        <v>912220</v>
      </c>
      <c r="G330" s="2226">
        <v>1103786.2</v>
      </c>
      <c r="H330" s="2227">
        <v>45210</v>
      </c>
      <c r="I330" s="2227">
        <v>45392</v>
      </c>
      <c r="J330" s="2210" t="s">
        <v>17201</v>
      </c>
      <c r="K330" s="2211"/>
    </row>
    <row r="331" spans="1:11" ht="30">
      <c r="A331" s="2238" t="s">
        <v>8160</v>
      </c>
      <c r="B331" s="2214" t="s">
        <v>7941</v>
      </c>
      <c r="C331" s="2218"/>
      <c r="D331" s="2372"/>
      <c r="E331" s="2372" t="s">
        <v>2973</v>
      </c>
      <c r="F331" s="2215">
        <v>5785125</v>
      </c>
      <c r="G331" s="2215">
        <v>7000000</v>
      </c>
      <c r="H331" s="2216">
        <v>44298</v>
      </c>
      <c r="I331" s="2216">
        <v>45393</v>
      </c>
      <c r="J331" s="2210" t="s">
        <v>16367</v>
      </c>
      <c r="K331" s="2211"/>
    </row>
    <row r="332" spans="1:11">
      <c r="A332" s="2238" t="s">
        <v>11073</v>
      </c>
      <c r="B332" s="2214" t="s">
        <v>11257</v>
      </c>
      <c r="C332" s="2218"/>
      <c r="D332" s="2372"/>
      <c r="E332" s="2372" t="s">
        <v>8526</v>
      </c>
      <c r="F332" s="2215">
        <v>845600</v>
      </c>
      <c r="G332" s="2215">
        <v>1023176</v>
      </c>
      <c r="H332" s="2216">
        <v>44670</v>
      </c>
      <c r="I332" s="2216">
        <v>45400</v>
      </c>
      <c r="J332" s="2210" t="s">
        <v>16569</v>
      </c>
      <c r="K332" s="2211"/>
    </row>
    <row r="333" spans="1:11">
      <c r="A333" s="2238" t="s">
        <v>14730</v>
      </c>
      <c r="B333" s="2214" t="s">
        <v>14731</v>
      </c>
      <c r="C333" s="2218"/>
      <c r="D333" s="2372"/>
      <c r="E333" s="2372" t="s">
        <v>14729</v>
      </c>
      <c r="F333" s="2215">
        <v>177000</v>
      </c>
      <c r="G333" s="2215">
        <v>203550</v>
      </c>
      <c r="H333" s="2216">
        <v>45041</v>
      </c>
      <c r="I333" s="2216">
        <v>45406</v>
      </c>
      <c r="J333" s="2210" t="s">
        <v>16570</v>
      </c>
      <c r="K333" s="2211"/>
    </row>
    <row r="334" spans="1:11">
      <c r="A334" s="2238" t="s">
        <v>6484</v>
      </c>
      <c r="B334" s="2214" t="s">
        <v>5872</v>
      </c>
      <c r="C334" s="2218">
        <v>2</v>
      </c>
      <c r="D334" s="2869" t="s">
        <v>6609</v>
      </c>
      <c r="E334" s="2372" t="s">
        <v>637</v>
      </c>
      <c r="F334" s="2215">
        <v>2052176</v>
      </c>
      <c r="G334" s="2215">
        <v>2483132.96</v>
      </c>
      <c r="H334" s="2216">
        <v>43950</v>
      </c>
      <c r="I334" s="2216">
        <v>45410</v>
      </c>
      <c r="J334" s="2210" t="s">
        <v>16292</v>
      </c>
      <c r="K334" s="2230"/>
    </row>
    <row r="335" spans="1:11">
      <c r="A335" s="2238" t="s">
        <v>8141</v>
      </c>
      <c r="B335" s="2214" t="s">
        <v>16690</v>
      </c>
      <c r="C335" s="2218"/>
      <c r="D335" s="2869"/>
      <c r="E335" s="2372" t="s">
        <v>993</v>
      </c>
      <c r="F335" s="2215">
        <v>3640015</v>
      </c>
      <c r="G335" s="2215">
        <v>4192637.05</v>
      </c>
      <c r="H335" s="2216">
        <v>45416</v>
      </c>
      <c r="I335" s="2216">
        <v>45415</v>
      </c>
      <c r="J335" s="2210" t="s">
        <v>16714</v>
      </c>
      <c r="K335" s="2230"/>
    </row>
    <row r="336" spans="1:11" ht="30">
      <c r="A336" s="2238" t="s">
        <v>8394</v>
      </c>
      <c r="B336" s="2214" t="s">
        <v>3887</v>
      </c>
      <c r="C336" s="2218"/>
      <c r="D336" s="2869"/>
      <c r="E336" s="2372" t="s">
        <v>4464</v>
      </c>
      <c r="F336" s="2215">
        <v>4157250</v>
      </c>
      <c r="G336" s="2215">
        <v>5030272.5</v>
      </c>
      <c r="H336" s="2216">
        <v>44321</v>
      </c>
      <c r="I336" s="2216">
        <v>45416</v>
      </c>
      <c r="J336" s="2302" t="s">
        <v>15873</v>
      </c>
      <c r="K336" s="2230"/>
    </row>
    <row r="337" spans="1:12" ht="30">
      <c r="A337" s="2239" t="s">
        <v>10767</v>
      </c>
      <c r="B337" s="2221" t="s">
        <v>11438</v>
      </c>
      <c r="C337" s="2222">
        <v>2</v>
      </c>
      <c r="D337" s="2221" t="s">
        <v>11440</v>
      </c>
      <c r="E337" s="2373" t="s">
        <v>9770</v>
      </c>
      <c r="F337" s="2223">
        <v>1419617.39</v>
      </c>
      <c r="G337" s="2223">
        <v>1632560</v>
      </c>
      <c r="H337" s="2220">
        <v>44686</v>
      </c>
      <c r="I337" s="2220">
        <v>45416</v>
      </c>
      <c r="J337" s="2374" t="s">
        <v>16783</v>
      </c>
      <c r="K337" s="2230"/>
    </row>
    <row r="338" spans="1:12" ht="30">
      <c r="A338" s="2239" t="s">
        <v>10767</v>
      </c>
      <c r="B338" s="2221" t="s">
        <v>11438</v>
      </c>
      <c r="C338" s="2222">
        <v>3</v>
      </c>
      <c r="D338" s="2221" t="s">
        <v>11441</v>
      </c>
      <c r="E338" s="2373" t="s">
        <v>9770</v>
      </c>
      <c r="F338" s="2223">
        <v>476139.13</v>
      </c>
      <c r="G338" s="2223">
        <v>547560</v>
      </c>
      <c r="H338" s="2220">
        <v>44686</v>
      </c>
      <c r="I338" s="2220">
        <v>45416</v>
      </c>
      <c r="J338" s="2374" t="s">
        <v>16783</v>
      </c>
      <c r="K338" s="2230"/>
    </row>
    <row r="339" spans="1:12" ht="30">
      <c r="A339" s="2541" t="s">
        <v>8162</v>
      </c>
      <c r="B339" s="2542" t="s">
        <v>8164</v>
      </c>
      <c r="C339" s="2543">
        <v>4</v>
      </c>
      <c r="D339" s="3028" t="s">
        <v>8165</v>
      </c>
      <c r="E339" s="2545" t="s">
        <v>993</v>
      </c>
      <c r="F339" s="2546">
        <v>750000</v>
      </c>
      <c r="G339" s="2546">
        <f>F339*1.15</f>
        <v>862499.99999999988</v>
      </c>
      <c r="H339" s="2547">
        <v>44326</v>
      </c>
      <c r="I339" s="2547">
        <v>45421</v>
      </c>
      <c r="J339" s="2210" t="s">
        <v>16875</v>
      </c>
      <c r="K339" s="2211"/>
    </row>
    <row r="340" spans="1:12" ht="30">
      <c r="A340" s="2238" t="s">
        <v>8507</v>
      </c>
      <c r="B340" s="2214" t="s">
        <v>8508</v>
      </c>
      <c r="C340" s="2218"/>
      <c r="D340" s="2869"/>
      <c r="E340" s="2372" t="s">
        <v>10542</v>
      </c>
      <c r="F340" s="2215">
        <v>990000</v>
      </c>
      <c r="G340" s="2215">
        <v>1197900</v>
      </c>
      <c r="H340" s="2216">
        <v>45425</v>
      </c>
      <c r="I340" s="2216">
        <v>45424</v>
      </c>
      <c r="J340" s="2210" t="s">
        <v>16288</v>
      </c>
      <c r="K340" s="2211"/>
    </row>
    <row r="341" spans="1:12">
      <c r="A341" s="2238" t="s">
        <v>8537</v>
      </c>
      <c r="B341" s="2214" t="s">
        <v>4446</v>
      </c>
      <c r="C341" s="2218"/>
      <c r="D341" s="2869"/>
      <c r="E341" s="2372" t="s">
        <v>4692</v>
      </c>
      <c r="F341" s="2215">
        <v>1250550</v>
      </c>
      <c r="G341" s="2215">
        <v>1438132.5</v>
      </c>
      <c r="H341" s="2216">
        <v>44330</v>
      </c>
      <c r="I341" s="2216">
        <v>45425</v>
      </c>
      <c r="J341" s="2210" t="s">
        <v>16328</v>
      </c>
      <c r="K341" s="2211"/>
    </row>
    <row r="342" spans="1:12" ht="30">
      <c r="A342" s="2238" t="s">
        <v>10767</v>
      </c>
      <c r="B342" s="2214" t="s">
        <v>11438</v>
      </c>
      <c r="C342" s="2218">
        <v>1</v>
      </c>
      <c r="D342" s="2214" t="s">
        <v>11439</v>
      </c>
      <c r="E342" s="2372" t="s">
        <v>8793</v>
      </c>
      <c r="F342" s="2215">
        <v>4965000</v>
      </c>
      <c r="G342" s="2215">
        <v>5709750</v>
      </c>
      <c r="H342" s="2216">
        <v>44697</v>
      </c>
      <c r="I342" s="2216">
        <v>45427</v>
      </c>
      <c r="J342" s="2210" t="s">
        <v>16775</v>
      </c>
      <c r="K342" s="2211"/>
    </row>
    <row r="343" spans="1:12" ht="30">
      <c r="A343" s="2238" t="s">
        <v>8556</v>
      </c>
      <c r="B343" s="2214" t="s">
        <v>3958</v>
      </c>
      <c r="C343" s="2218"/>
      <c r="D343" s="2869"/>
      <c r="E343" s="2372" t="s">
        <v>4464</v>
      </c>
      <c r="F343" s="2215">
        <v>1602120</v>
      </c>
      <c r="G343" s="2215">
        <v>1938565.2</v>
      </c>
      <c r="H343" s="2216">
        <v>44341</v>
      </c>
      <c r="I343" s="2216">
        <v>45436</v>
      </c>
      <c r="J343" s="2210" t="s">
        <v>16334</v>
      </c>
      <c r="K343" s="2211"/>
    </row>
    <row r="344" spans="1:12" ht="30">
      <c r="A344" s="2238" t="s">
        <v>8860</v>
      </c>
      <c r="B344" s="2214" t="s">
        <v>9189</v>
      </c>
      <c r="C344" s="2218"/>
      <c r="D344" s="2214"/>
      <c r="E344" s="2372" t="s">
        <v>4838</v>
      </c>
      <c r="F344" s="2215">
        <v>375000</v>
      </c>
      <c r="G344" s="2215">
        <v>453750</v>
      </c>
      <c r="H344" s="2216">
        <v>44348</v>
      </c>
      <c r="I344" s="2216">
        <v>45443</v>
      </c>
      <c r="J344" s="2175" t="s">
        <v>16679</v>
      </c>
      <c r="K344" s="2211"/>
    </row>
    <row r="345" spans="1:12">
      <c r="A345" s="2357" t="s">
        <v>8149</v>
      </c>
      <c r="B345" s="3144" t="s">
        <v>8150</v>
      </c>
      <c r="C345" s="2359"/>
      <c r="D345" s="3145"/>
      <c r="E345" s="2263" t="s">
        <v>8767</v>
      </c>
      <c r="F345" s="2361">
        <v>3150000</v>
      </c>
      <c r="G345" s="2361">
        <v>3813000</v>
      </c>
      <c r="H345" s="2362">
        <v>44349</v>
      </c>
      <c r="I345" s="2362">
        <v>45444</v>
      </c>
      <c r="J345" s="2210" t="s">
        <v>16631</v>
      </c>
      <c r="K345" s="2211"/>
    </row>
    <row r="346" spans="1:12" ht="30">
      <c r="A346" s="2238" t="s">
        <v>8836</v>
      </c>
      <c r="B346" s="2214" t="s">
        <v>8837</v>
      </c>
      <c r="C346" s="2218"/>
      <c r="D346" s="2869"/>
      <c r="E346" s="2372" t="s">
        <v>4893</v>
      </c>
      <c r="F346" s="2215">
        <v>1138800</v>
      </c>
      <c r="G346" s="2215">
        <v>1309620</v>
      </c>
      <c r="H346" s="2216">
        <v>44354</v>
      </c>
      <c r="I346" s="2216">
        <v>45449</v>
      </c>
      <c r="J346" s="2694" t="s">
        <v>17682</v>
      </c>
      <c r="K346" s="2211"/>
    </row>
    <row r="347" spans="1:12">
      <c r="A347" s="2238" t="s">
        <v>8780</v>
      </c>
      <c r="B347" s="2214" t="s">
        <v>8781</v>
      </c>
      <c r="C347" s="2218"/>
      <c r="D347" s="2869"/>
      <c r="E347" s="2372" t="s">
        <v>9134</v>
      </c>
      <c r="F347" s="2215">
        <v>616115.28</v>
      </c>
      <c r="G347" s="2215">
        <v>745500</v>
      </c>
      <c r="H347" s="2216">
        <v>44354</v>
      </c>
      <c r="I347" s="2216">
        <v>45449</v>
      </c>
      <c r="J347" s="2208" t="s">
        <v>15154</v>
      </c>
      <c r="K347" s="2211"/>
      <c r="L347" s="1944" t="s">
        <v>15337</v>
      </c>
    </row>
    <row r="348" spans="1:12" ht="30">
      <c r="A348" s="2238" t="s">
        <v>8516</v>
      </c>
      <c r="B348" s="2214" t="s">
        <v>8517</v>
      </c>
      <c r="C348" s="2218"/>
      <c r="D348" s="2869"/>
      <c r="E348" s="2372" t="s">
        <v>2776</v>
      </c>
      <c r="F348" s="2215">
        <v>26043478.260000002</v>
      </c>
      <c r="G348" s="2215">
        <v>29950000</v>
      </c>
      <c r="H348" s="2216">
        <v>44357</v>
      </c>
      <c r="I348" s="2216">
        <v>45452</v>
      </c>
      <c r="J348" s="2855" t="s">
        <v>17628</v>
      </c>
      <c r="K348" s="2211"/>
    </row>
    <row r="349" spans="1:12">
      <c r="A349" s="2238" t="s">
        <v>11761</v>
      </c>
      <c r="B349" s="2214" t="s">
        <v>11758</v>
      </c>
      <c r="C349" s="2218">
        <v>1</v>
      </c>
      <c r="D349" s="2869" t="s">
        <v>11759</v>
      </c>
      <c r="E349" s="2372" t="s">
        <v>8793</v>
      </c>
      <c r="F349" s="2215">
        <v>255000</v>
      </c>
      <c r="G349" s="2215">
        <v>293250</v>
      </c>
      <c r="H349" s="2216">
        <v>44725</v>
      </c>
      <c r="I349" s="2216">
        <v>45455</v>
      </c>
      <c r="J349" s="2210" t="s">
        <v>16788</v>
      </c>
      <c r="K349" s="2211"/>
    </row>
    <row r="350" spans="1:12">
      <c r="A350" s="2238" t="s">
        <v>11762</v>
      </c>
      <c r="B350" s="2214" t="s">
        <v>11758</v>
      </c>
      <c r="C350" s="2218">
        <v>2</v>
      </c>
      <c r="D350" s="2869" t="s">
        <v>11760</v>
      </c>
      <c r="E350" s="2372" t="s">
        <v>8793</v>
      </c>
      <c r="F350" s="2215">
        <v>85000</v>
      </c>
      <c r="G350" s="2215">
        <v>97750</v>
      </c>
      <c r="H350" s="2216">
        <v>44725</v>
      </c>
      <c r="I350" s="2216">
        <v>45455</v>
      </c>
      <c r="J350" s="2210" t="s">
        <v>16788</v>
      </c>
      <c r="K350" s="2211"/>
    </row>
    <row r="351" spans="1:12">
      <c r="A351" s="2240" t="s">
        <v>8533</v>
      </c>
      <c r="B351" s="2224" t="s">
        <v>8534</v>
      </c>
      <c r="C351" s="2225"/>
      <c r="D351" s="2945"/>
      <c r="E351" s="2272" t="s">
        <v>9175</v>
      </c>
      <c r="F351" s="2226">
        <v>3563538.45</v>
      </c>
      <c r="G351" s="2226">
        <v>4311881.5199999996</v>
      </c>
      <c r="H351" s="2227">
        <v>44361</v>
      </c>
      <c r="I351" s="2227">
        <v>45456</v>
      </c>
      <c r="J351" s="2210" t="s">
        <v>16595</v>
      </c>
      <c r="K351" s="2211"/>
    </row>
    <row r="352" spans="1:12" ht="30">
      <c r="A352" s="2240" t="s">
        <v>8162</v>
      </c>
      <c r="B352" s="2224" t="s">
        <v>8164</v>
      </c>
      <c r="C352" s="2225">
        <v>1</v>
      </c>
      <c r="D352" s="2945" t="s">
        <v>8166</v>
      </c>
      <c r="E352" s="2272" t="s">
        <v>3175</v>
      </c>
      <c r="F352" s="2226">
        <v>33949850.399999999</v>
      </c>
      <c r="G352" s="2226">
        <f>F352*1.15</f>
        <v>39042327.959999993</v>
      </c>
      <c r="H352" s="2227">
        <v>44362</v>
      </c>
      <c r="I352" s="2227">
        <v>45457</v>
      </c>
      <c r="J352" s="2694" t="s">
        <v>17994</v>
      </c>
      <c r="K352" s="2211"/>
    </row>
    <row r="353" spans="1:11" ht="30">
      <c r="A353" s="2238" t="s">
        <v>8162</v>
      </c>
      <c r="B353" s="2214" t="s">
        <v>8164</v>
      </c>
      <c r="C353" s="2218">
        <v>2</v>
      </c>
      <c r="D353" s="2869" t="s">
        <v>8167</v>
      </c>
      <c r="E353" s="2372" t="s">
        <v>3175</v>
      </c>
      <c r="F353" s="2215">
        <v>7617500</v>
      </c>
      <c r="G353" s="2215">
        <f>F353*1.15</f>
        <v>8760125</v>
      </c>
      <c r="H353" s="2216">
        <v>44362</v>
      </c>
      <c r="I353" s="2216">
        <v>45457</v>
      </c>
      <c r="J353" s="2210" t="s">
        <v>16838</v>
      </c>
      <c r="K353" s="2211"/>
    </row>
    <row r="354" spans="1:11" ht="30">
      <c r="A354" s="2238" t="s">
        <v>8162</v>
      </c>
      <c r="B354" s="2214" t="s">
        <v>8164</v>
      </c>
      <c r="C354" s="2218">
        <v>3</v>
      </c>
      <c r="D354" s="2869" t="s">
        <v>8163</v>
      </c>
      <c r="E354" s="2372" t="s">
        <v>3175</v>
      </c>
      <c r="F354" s="2215">
        <v>18885000</v>
      </c>
      <c r="G354" s="2215">
        <f>F354*1.15</f>
        <v>21717750</v>
      </c>
      <c r="H354" s="2216">
        <v>44362</v>
      </c>
      <c r="I354" s="2216">
        <v>45457</v>
      </c>
      <c r="J354" s="2210" t="s">
        <v>16840</v>
      </c>
      <c r="K354" s="2211"/>
    </row>
    <row r="355" spans="1:11">
      <c r="A355" s="2238" t="s">
        <v>8353</v>
      </c>
      <c r="B355" s="2214" t="s">
        <v>8354</v>
      </c>
      <c r="C355" s="2218">
        <v>3</v>
      </c>
      <c r="D355" s="2869" t="s">
        <v>3824</v>
      </c>
      <c r="E355" s="2372" t="s">
        <v>2776</v>
      </c>
      <c r="F355" s="2215">
        <v>619800</v>
      </c>
      <c r="G355" s="2215">
        <v>749958</v>
      </c>
      <c r="H355" s="2216">
        <v>44363</v>
      </c>
      <c r="I355" s="2216">
        <v>45458</v>
      </c>
      <c r="J355" s="2210" t="s">
        <v>17084</v>
      </c>
      <c r="K355" s="2211"/>
    </row>
    <row r="356" spans="1:11" ht="30">
      <c r="A356" s="2905" t="s">
        <v>8353</v>
      </c>
      <c r="B356" s="3199" t="s">
        <v>8354</v>
      </c>
      <c r="C356" s="2906">
        <v>5</v>
      </c>
      <c r="D356" s="3017" t="s">
        <v>8351</v>
      </c>
      <c r="E356" s="2907" t="s">
        <v>2776</v>
      </c>
      <c r="F356" s="2908">
        <v>3372873.6</v>
      </c>
      <c r="G356" s="2908">
        <v>4081200</v>
      </c>
      <c r="H356" s="2909">
        <v>44363</v>
      </c>
      <c r="I356" s="2909">
        <v>45458</v>
      </c>
      <c r="J356" s="2694" t="s">
        <v>17993</v>
      </c>
      <c r="K356" s="2211"/>
    </row>
    <row r="357" spans="1:11">
      <c r="A357" s="2238" t="s">
        <v>8353</v>
      </c>
      <c r="B357" s="2214" t="s">
        <v>8354</v>
      </c>
      <c r="C357" s="2218">
        <v>6</v>
      </c>
      <c r="D357" s="2869" t="s">
        <v>8352</v>
      </c>
      <c r="E357" s="2372" t="s">
        <v>2776</v>
      </c>
      <c r="F357" s="2215">
        <v>26578800</v>
      </c>
      <c r="G357" s="2215">
        <v>32160348</v>
      </c>
      <c r="H357" s="2216">
        <v>44363</v>
      </c>
      <c r="I357" s="2216">
        <v>45458</v>
      </c>
      <c r="J357" s="2210" t="s">
        <v>17087</v>
      </c>
      <c r="K357" s="2211"/>
    </row>
    <row r="358" spans="1:11">
      <c r="A358" s="2238" t="s">
        <v>8353</v>
      </c>
      <c r="B358" s="2214" t="s">
        <v>8354</v>
      </c>
      <c r="C358" s="2218">
        <v>7</v>
      </c>
      <c r="D358" s="2869" t="s">
        <v>3828</v>
      </c>
      <c r="E358" s="2372" t="s">
        <v>2776</v>
      </c>
      <c r="F358" s="2215">
        <v>6840000</v>
      </c>
      <c r="G358" s="2215">
        <v>8276400</v>
      </c>
      <c r="H358" s="2216">
        <v>44363</v>
      </c>
      <c r="I358" s="2216">
        <v>45458</v>
      </c>
      <c r="J358" s="2210" t="s">
        <v>17088</v>
      </c>
      <c r="K358" s="2211"/>
    </row>
    <row r="359" spans="1:11">
      <c r="A359" s="2238" t="s">
        <v>8589</v>
      </c>
      <c r="B359" s="2214" t="s">
        <v>4211</v>
      </c>
      <c r="C359" s="2218"/>
      <c r="D359" s="2869"/>
      <c r="E359" s="2372" t="s">
        <v>4839</v>
      </c>
      <c r="F359" s="2215">
        <v>2100000</v>
      </c>
      <c r="G359" s="2215">
        <v>2415000</v>
      </c>
      <c r="H359" s="2216">
        <v>44363</v>
      </c>
      <c r="I359" s="2216">
        <v>45460</v>
      </c>
      <c r="J359" s="2210" t="s">
        <v>16769</v>
      </c>
      <c r="K359" s="2211"/>
    </row>
    <row r="360" spans="1:11">
      <c r="A360" s="2238" t="s">
        <v>8594</v>
      </c>
      <c r="B360" s="3113" t="s">
        <v>4213</v>
      </c>
      <c r="C360" s="2218"/>
      <c r="D360" s="2214"/>
      <c r="E360" s="2372" t="s">
        <v>3478</v>
      </c>
      <c r="F360" s="2215">
        <v>661500</v>
      </c>
      <c r="G360" s="2215">
        <v>800415</v>
      </c>
      <c r="H360" s="2216">
        <v>44344</v>
      </c>
      <c r="I360" s="2216">
        <v>45462</v>
      </c>
      <c r="J360" s="2208" t="s">
        <v>16891</v>
      </c>
      <c r="K360" s="2211"/>
    </row>
    <row r="361" spans="1:11" ht="30">
      <c r="A361" s="2905" t="s">
        <v>8353</v>
      </c>
      <c r="B361" s="3199" t="s">
        <v>8354</v>
      </c>
      <c r="C361" s="2906">
        <v>8</v>
      </c>
      <c r="D361" s="3017" t="s">
        <v>3829</v>
      </c>
      <c r="E361" s="2907" t="s">
        <v>3478</v>
      </c>
      <c r="F361" s="2908">
        <v>28925000</v>
      </c>
      <c r="G361" s="2908">
        <v>34999250</v>
      </c>
      <c r="H361" s="2909">
        <v>44368</v>
      </c>
      <c r="I361" s="2909">
        <v>45463</v>
      </c>
      <c r="J361" s="2694" t="s">
        <v>18464</v>
      </c>
      <c r="K361" s="2211"/>
    </row>
    <row r="362" spans="1:11">
      <c r="A362" s="2238" t="s">
        <v>8353</v>
      </c>
      <c r="B362" s="2214" t="s">
        <v>8354</v>
      </c>
      <c r="C362" s="2218">
        <v>1</v>
      </c>
      <c r="D362" s="2869" t="s">
        <v>8349</v>
      </c>
      <c r="E362" s="2372" t="s">
        <v>3179</v>
      </c>
      <c r="F362" s="2215">
        <v>9012000</v>
      </c>
      <c r="G362" s="2215">
        <v>10904520</v>
      </c>
      <c r="H362" s="2216">
        <v>44370</v>
      </c>
      <c r="I362" s="2216">
        <v>45465</v>
      </c>
      <c r="J362" s="2210" t="s">
        <v>17082</v>
      </c>
      <c r="K362" s="2211"/>
    </row>
    <row r="363" spans="1:11" ht="30">
      <c r="A363" s="2905" t="s">
        <v>8353</v>
      </c>
      <c r="B363" s="3199" t="s">
        <v>8354</v>
      </c>
      <c r="C363" s="2906">
        <v>2</v>
      </c>
      <c r="D363" s="3017" t="s">
        <v>8350</v>
      </c>
      <c r="E363" s="2907" t="s">
        <v>3179</v>
      </c>
      <c r="F363" s="2908">
        <v>4170000</v>
      </c>
      <c r="G363" s="2908">
        <v>5045700</v>
      </c>
      <c r="H363" s="2909">
        <v>44370</v>
      </c>
      <c r="I363" s="2909">
        <v>45465</v>
      </c>
      <c r="J363" s="2694" t="s">
        <v>17995</v>
      </c>
      <c r="K363" s="2211"/>
    </row>
    <row r="364" spans="1:11">
      <c r="A364" s="2238" t="s">
        <v>8353</v>
      </c>
      <c r="B364" s="2214" t="s">
        <v>8354</v>
      </c>
      <c r="C364" s="2218">
        <v>4</v>
      </c>
      <c r="D364" s="2869" t="s">
        <v>3825</v>
      </c>
      <c r="E364" s="2372" t="s">
        <v>3179</v>
      </c>
      <c r="F364" s="2215">
        <v>9429800</v>
      </c>
      <c r="G364" s="2215">
        <v>11410058</v>
      </c>
      <c r="H364" s="2216">
        <v>44370</v>
      </c>
      <c r="I364" s="2216">
        <v>45465</v>
      </c>
      <c r="J364" s="2210" t="s">
        <v>17085</v>
      </c>
      <c r="K364" s="2211"/>
    </row>
    <row r="365" spans="1:11" ht="30">
      <c r="A365" s="3398" t="s">
        <v>6732</v>
      </c>
      <c r="B365" s="3399" t="s">
        <v>3968</v>
      </c>
      <c r="C365" s="3400"/>
      <c r="D365" s="3402"/>
      <c r="E365" s="3402" t="s">
        <v>6787</v>
      </c>
      <c r="F365" s="3403">
        <v>1588800</v>
      </c>
      <c r="G365" s="3403">
        <v>1922440</v>
      </c>
      <c r="H365" s="3404">
        <v>44006</v>
      </c>
      <c r="I365" s="3407" t="s">
        <v>10348</v>
      </c>
      <c r="J365" s="3111" t="s">
        <v>16971</v>
      </c>
      <c r="K365" s="2211"/>
    </row>
    <row r="366" spans="1:11" ht="30">
      <c r="A366" s="2238" t="s">
        <v>8590</v>
      </c>
      <c r="B366" s="2214" t="s">
        <v>4554</v>
      </c>
      <c r="C366" s="2218"/>
      <c r="D366" s="2869"/>
      <c r="E366" s="2372" t="s">
        <v>4839</v>
      </c>
      <c r="F366" s="2215">
        <v>2066400</v>
      </c>
      <c r="G366" s="2215">
        <v>2376360</v>
      </c>
      <c r="H366" s="2216">
        <v>44363</v>
      </c>
      <c r="I366" s="2216">
        <v>45468</v>
      </c>
      <c r="J366" s="2694" t="s">
        <v>17677</v>
      </c>
      <c r="K366" s="2211"/>
    </row>
    <row r="367" spans="1:11">
      <c r="A367" s="2238" t="s">
        <v>8815</v>
      </c>
      <c r="B367" s="2214" t="s">
        <v>8816</v>
      </c>
      <c r="C367" s="2218"/>
      <c r="D367" s="2869"/>
      <c r="E367" s="2372" t="s">
        <v>2097</v>
      </c>
      <c r="F367" s="2215">
        <v>420000</v>
      </c>
      <c r="G367" s="2215">
        <v>508200</v>
      </c>
      <c r="H367" s="2216">
        <v>44347</v>
      </c>
      <c r="I367" s="2216">
        <v>45468</v>
      </c>
      <c r="J367" s="2210" t="s">
        <v>16785</v>
      </c>
      <c r="K367" s="2211"/>
    </row>
    <row r="368" spans="1:11" ht="30">
      <c r="A368" s="2238" t="s">
        <v>8593</v>
      </c>
      <c r="B368" s="2214" t="s">
        <v>4214</v>
      </c>
      <c r="C368" s="2218"/>
      <c r="D368" s="2869"/>
      <c r="E368" s="2372" t="s">
        <v>7296</v>
      </c>
      <c r="F368" s="2215">
        <v>524480</v>
      </c>
      <c r="G368" s="2215">
        <v>634620.80000000005</v>
      </c>
      <c r="H368" s="2216">
        <v>44329</v>
      </c>
      <c r="I368" s="2216">
        <v>45470</v>
      </c>
      <c r="J368" s="2210" t="s">
        <v>16784</v>
      </c>
      <c r="K368" s="2211"/>
    </row>
    <row r="369" spans="1:11">
      <c r="A369" s="2238" t="s">
        <v>8986</v>
      </c>
      <c r="B369" s="2214" t="s">
        <v>8987</v>
      </c>
      <c r="C369" s="2218"/>
      <c r="D369" s="2869"/>
      <c r="E369" s="2372" t="s">
        <v>5908</v>
      </c>
      <c r="F369" s="2215">
        <v>513000</v>
      </c>
      <c r="G369" s="2215">
        <v>620730</v>
      </c>
      <c r="H369" s="2216">
        <v>44377</v>
      </c>
      <c r="I369" s="2216">
        <v>45472</v>
      </c>
      <c r="J369" s="2210" t="s">
        <v>16791</v>
      </c>
      <c r="K369" s="2211"/>
    </row>
    <row r="370" spans="1:11">
      <c r="A370" s="2238" t="s">
        <v>8980</v>
      </c>
      <c r="B370" s="2214" t="s">
        <v>8981</v>
      </c>
      <c r="C370" s="2218"/>
      <c r="D370" s="2869"/>
      <c r="E370" s="2372" t="s">
        <v>5908</v>
      </c>
      <c r="F370" s="2215">
        <v>607500</v>
      </c>
      <c r="G370" s="2215">
        <v>698625</v>
      </c>
      <c r="H370" s="2216">
        <v>44377</v>
      </c>
      <c r="I370" s="2216">
        <v>45473</v>
      </c>
      <c r="J370" s="2210" t="s">
        <v>16792</v>
      </c>
      <c r="K370" s="2211"/>
    </row>
    <row r="371" spans="1:11">
      <c r="A371" s="2238" t="s">
        <v>11326</v>
      </c>
      <c r="B371" s="2214" t="s">
        <v>11327</v>
      </c>
      <c r="C371" s="2218"/>
      <c r="D371" s="2869"/>
      <c r="E371" s="2372" t="s">
        <v>4464</v>
      </c>
      <c r="F371" s="2215">
        <v>930000</v>
      </c>
      <c r="G371" s="2215">
        <v>1125300</v>
      </c>
      <c r="H371" s="2216">
        <v>44753</v>
      </c>
      <c r="I371" s="2216">
        <v>45483</v>
      </c>
      <c r="J371" s="2210" t="s">
        <v>16853</v>
      </c>
      <c r="K371" s="2211"/>
    </row>
    <row r="372" spans="1:11">
      <c r="A372" s="2238" t="s">
        <v>12042</v>
      </c>
      <c r="B372" s="2214" t="s">
        <v>12043</v>
      </c>
      <c r="C372" s="2218"/>
      <c r="D372" s="2869"/>
      <c r="E372" s="2372" t="s">
        <v>8765</v>
      </c>
      <c r="F372" s="2215">
        <v>1850400</v>
      </c>
      <c r="G372" s="2215">
        <v>2238984</v>
      </c>
      <c r="H372" s="2216">
        <v>44756</v>
      </c>
      <c r="I372" s="2216">
        <v>45486</v>
      </c>
      <c r="J372" s="2210" t="s">
        <v>16858</v>
      </c>
      <c r="K372" s="2211"/>
    </row>
    <row r="373" spans="1:11" ht="30">
      <c r="A373" s="2238" t="s">
        <v>8859</v>
      </c>
      <c r="B373" s="2214" t="s">
        <v>9188</v>
      </c>
      <c r="C373" s="2218"/>
      <c r="D373" s="2869"/>
      <c r="E373" s="2372" t="s">
        <v>4839</v>
      </c>
      <c r="F373" s="2215">
        <v>222300</v>
      </c>
      <c r="G373" s="2215">
        <f>F373*1.21</f>
        <v>268983</v>
      </c>
      <c r="H373" s="2216">
        <v>44394</v>
      </c>
      <c r="I373" s="2216">
        <v>45489</v>
      </c>
      <c r="J373" s="2210" t="s">
        <v>16798</v>
      </c>
      <c r="K373" s="2211"/>
    </row>
    <row r="374" spans="1:11">
      <c r="A374" s="2238" t="s">
        <v>8794</v>
      </c>
      <c r="B374" s="2214" t="s">
        <v>4731</v>
      </c>
      <c r="C374" s="2218"/>
      <c r="D374" s="2869"/>
      <c r="E374" s="2372" t="s">
        <v>7296</v>
      </c>
      <c r="F374" s="2215">
        <v>623200</v>
      </c>
      <c r="G374" s="2215">
        <v>754072</v>
      </c>
      <c r="H374" s="2216">
        <v>44349</v>
      </c>
      <c r="I374" s="2216">
        <v>45491</v>
      </c>
      <c r="J374" s="2210" t="s">
        <v>16811</v>
      </c>
      <c r="K374" s="2211"/>
    </row>
    <row r="375" spans="1:11" ht="30">
      <c r="A375" s="2238" t="s">
        <v>8956</v>
      </c>
      <c r="B375" s="2214" t="s">
        <v>8957</v>
      </c>
      <c r="C375" s="2218"/>
      <c r="D375" s="2869"/>
      <c r="E375" s="2372" t="s">
        <v>3478</v>
      </c>
      <c r="F375" s="2215">
        <v>1185000</v>
      </c>
      <c r="G375" s="2215">
        <v>1433850</v>
      </c>
      <c r="H375" s="2216">
        <v>45493</v>
      </c>
      <c r="I375" s="2216">
        <v>45492</v>
      </c>
      <c r="J375" s="2302" t="s">
        <v>16825</v>
      </c>
      <c r="K375" s="2211"/>
    </row>
    <row r="376" spans="1:11">
      <c r="A376" s="2238" t="s">
        <v>11446</v>
      </c>
      <c r="B376" s="2214" t="s">
        <v>11435</v>
      </c>
      <c r="C376" s="2218"/>
      <c r="D376" s="2869"/>
      <c r="E376" s="2372" t="s">
        <v>8765</v>
      </c>
      <c r="F376" s="2215">
        <v>2167627.6</v>
      </c>
      <c r="G376" s="2215">
        <v>2622829.4</v>
      </c>
      <c r="H376" s="2216">
        <v>44764</v>
      </c>
      <c r="I376" s="2216">
        <v>45494</v>
      </c>
      <c r="J376" s="2210" t="s">
        <v>16932</v>
      </c>
      <c r="K376" s="2211"/>
    </row>
    <row r="377" spans="1:11">
      <c r="A377" s="2238" t="s">
        <v>9056</v>
      </c>
      <c r="B377" s="2214" t="s">
        <v>4448</v>
      </c>
      <c r="C377" s="2218">
        <v>2</v>
      </c>
      <c r="D377" s="2228" t="s">
        <v>4515</v>
      </c>
      <c r="E377" s="2372" t="s">
        <v>1433</v>
      </c>
      <c r="F377" s="2215">
        <v>400800</v>
      </c>
      <c r="G377" s="2215">
        <v>484968</v>
      </c>
      <c r="H377" s="2216">
        <v>45492</v>
      </c>
      <c r="I377" s="2216">
        <v>45497</v>
      </c>
      <c r="J377" s="2210" t="s">
        <v>16969</v>
      </c>
      <c r="K377" s="2211"/>
    </row>
    <row r="378" spans="1:11">
      <c r="A378" s="2238" t="s">
        <v>8858</v>
      </c>
      <c r="B378" s="2214" t="s">
        <v>4959</v>
      </c>
      <c r="C378" s="2218"/>
      <c r="D378" s="2228"/>
      <c r="E378" s="2372" t="s">
        <v>5908</v>
      </c>
      <c r="F378" s="2215">
        <v>315260</v>
      </c>
      <c r="G378" s="2215">
        <v>381464.6</v>
      </c>
      <c r="H378" s="2216">
        <v>44396</v>
      </c>
      <c r="I378" s="2216">
        <v>45498</v>
      </c>
      <c r="J378" s="2210" t="s">
        <v>16928</v>
      </c>
      <c r="K378" s="2211"/>
    </row>
    <row r="379" spans="1:11">
      <c r="A379" s="2541" t="s">
        <v>12037</v>
      </c>
      <c r="B379" s="2542" t="s">
        <v>12038</v>
      </c>
      <c r="C379" s="2543"/>
      <c r="D379" s="2544"/>
      <c r="E379" s="2545" t="s">
        <v>10562</v>
      </c>
      <c r="F379" s="2546">
        <v>650000</v>
      </c>
      <c r="G379" s="2546">
        <v>786500</v>
      </c>
      <c r="H379" s="2547">
        <v>44768</v>
      </c>
      <c r="I379" s="2547">
        <v>45498</v>
      </c>
      <c r="J379" s="3291" t="s">
        <v>18246</v>
      </c>
      <c r="K379" s="2211"/>
    </row>
    <row r="380" spans="1:11">
      <c r="A380" s="2238" t="s">
        <v>8857</v>
      </c>
      <c r="B380" s="2214" t="s">
        <v>4212</v>
      </c>
      <c r="C380" s="2218"/>
      <c r="D380" s="2869"/>
      <c r="E380" s="2372" t="s">
        <v>2776</v>
      </c>
      <c r="F380" s="2215">
        <v>534099.12</v>
      </c>
      <c r="G380" s="2215">
        <v>614214</v>
      </c>
      <c r="H380" s="2216">
        <v>44354</v>
      </c>
      <c r="I380" s="2216">
        <v>45502</v>
      </c>
      <c r="J380" s="2210" t="s">
        <v>16991</v>
      </c>
      <c r="K380" s="2211"/>
    </row>
    <row r="381" spans="1:11">
      <c r="A381" s="2238" t="s">
        <v>9056</v>
      </c>
      <c r="B381" s="2214" t="s">
        <v>4448</v>
      </c>
      <c r="C381" s="2218">
        <v>1</v>
      </c>
      <c r="D381" s="2228" t="s">
        <v>4514</v>
      </c>
      <c r="E381" s="2372" t="s">
        <v>1433</v>
      </c>
      <c r="F381" s="2215">
        <v>991800</v>
      </c>
      <c r="G381" s="2215">
        <v>1200078</v>
      </c>
      <c r="H381" s="2216">
        <v>45492</v>
      </c>
      <c r="I381" s="2216">
        <v>45502</v>
      </c>
      <c r="J381" s="2210" t="s">
        <v>16969</v>
      </c>
      <c r="K381" s="2211"/>
    </row>
    <row r="382" spans="1:11" ht="30">
      <c r="A382" s="2238" t="s">
        <v>9067</v>
      </c>
      <c r="B382" s="2869" t="s">
        <v>9294</v>
      </c>
      <c r="C382" s="2218"/>
      <c r="D382" s="2869"/>
      <c r="E382" s="2372" t="s">
        <v>9197</v>
      </c>
      <c r="F382" s="2215">
        <v>1505798.22</v>
      </c>
      <c r="G382" s="2215">
        <v>1822015.85</v>
      </c>
      <c r="H382" s="2216">
        <v>44379</v>
      </c>
      <c r="I382" s="2216">
        <v>45504</v>
      </c>
      <c r="J382" s="2694" t="s">
        <v>17023</v>
      </c>
      <c r="K382" s="2211"/>
    </row>
    <row r="383" spans="1:11">
      <c r="A383" s="2541" t="s">
        <v>9409</v>
      </c>
      <c r="B383" s="3028" t="s">
        <v>4961</v>
      </c>
      <c r="C383" s="2543"/>
      <c r="D383" s="3028"/>
      <c r="E383" s="2545" t="s">
        <v>6322</v>
      </c>
      <c r="F383" s="2546">
        <v>246000</v>
      </c>
      <c r="G383" s="2546"/>
      <c r="H383" s="2547">
        <v>44425</v>
      </c>
      <c r="I383" s="2547">
        <v>45520</v>
      </c>
      <c r="J383" s="3291" t="s">
        <v>18247</v>
      </c>
      <c r="K383" s="2207"/>
    </row>
    <row r="384" spans="1:11">
      <c r="A384" s="2238" t="s">
        <v>9381</v>
      </c>
      <c r="B384" s="2869" t="s">
        <v>9742</v>
      </c>
      <c r="C384" s="2218"/>
      <c r="D384" s="2869"/>
      <c r="E384" s="2372" t="s">
        <v>7296</v>
      </c>
      <c r="F384" s="2215">
        <v>1973190</v>
      </c>
      <c r="G384" s="2215">
        <v>2269168.5</v>
      </c>
      <c r="H384" s="2216">
        <v>44439</v>
      </c>
      <c r="I384" s="2216">
        <v>45534</v>
      </c>
      <c r="J384" s="2210" t="s">
        <v>16974</v>
      </c>
      <c r="K384" s="2230"/>
    </row>
    <row r="385" spans="1:11">
      <c r="A385" s="2238" t="s">
        <v>9280</v>
      </c>
      <c r="B385" s="2869" t="s">
        <v>9278</v>
      </c>
      <c r="C385" s="2218"/>
      <c r="D385" s="2869"/>
      <c r="E385" s="2372" t="s">
        <v>12929</v>
      </c>
      <c r="F385" s="2215">
        <v>2819340</v>
      </c>
      <c r="G385" s="2215">
        <v>3411401.4</v>
      </c>
      <c r="H385" s="2216">
        <v>44440</v>
      </c>
      <c r="I385" s="2216">
        <v>45535</v>
      </c>
      <c r="J385" s="2210" t="s">
        <v>16972</v>
      </c>
      <c r="K385" s="2230"/>
    </row>
    <row r="386" spans="1:11">
      <c r="A386" s="2541" t="s">
        <v>16121</v>
      </c>
      <c r="B386" s="3028" t="s">
        <v>16122</v>
      </c>
      <c r="C386" s="2543"/>
      <c r="D386" s="3028"/>
      <c r="E386" s="2545" t="s">
        <v>16240</v>
      </c>
      <c r="F386" s="2546">
        <v>445500</v>
      </c>
      <c r="G386" s="2546">
        <v>539055</v>
      </c>
      <c r="H386" s="2547">
        <v>45268</v>
      </c>
      <c r="I386" s="2547">
        <v>45542</v>
      </c>
      <c r="J386" s="3291" t="s">
        <v>18248</v>
      </c>
      <c r="K386" s="2230"/>
    </row>
    <row r="387" spans="1:11">
      <c r="A387" s="2905" t="s">
        <v>9110</v>
      </c>
      <c r="B387" s="3017" t="s">
        <v>9111</v>
      </c>
      <c r="C387" s="2906"/>
      <c r="D387" s="3017"/>
      <c r="E387" s="2907" t="s">
        <v>9585</v>
      </c>
      <c r="F387" s="2908">
        <v>9248125</v>
      </c>
      <c r="G387" s="2908">
        <v>10635343.75</v>
      </c>
      <c r="H387" s="2909">
        <v>44454</v>
      </c>
      <c r="I387" s="2909">
        <v>45549</v>
      </c>
      <c r="J387" s="2210" t="s">
        <v>18215</v>
      </c>
      <c r="K387" s="2230"/>
    </row>
    <row r="388" spans="1:11">
      <c r="A388" s="2238" t="s">
        <v>9177</v>
      </c>
      <c r="B388" s="2869" t="s">
        <v>9178</v>
      </c>
      <c r="C388" s="2218"/>
      <c r="D388" s="2869"/>
      <c r="E388" s="2372" t="s">
        <v>659</v>
      </c>
      <c r="F388" s="2215">
        <v>1457849.88</v>
      </c>
      <c r="G388" s="2215">
        <v>1763998.35</v>
      </c>
      <c r="H388" s="2216">
        <v>44454</v>
      </c>
      <c r="I388" s="2216">
        <v>45549</v>
      </c>
      <c r="J388" s="2210" t="s">
        <v>18040</v>
      </c>
      <c r="K388" s="2230"/>
    </row>
    <row r="389" spans="1:11" ht="30">
      <c r="A389" s="3398" t="s">
        <v>6960</v>
      </c>
      <c r="B389" s="3399" t="s">
        <v>3012</v>
      </c>
      <c r="C389" s="3400"/>
      <c r="D389" s="3402"/>
      <c r="E389" s="3402" t="s">
        <v>4905</v>
      </c>
      <c r="F389" s="3403">
        <v>6518986.4000000004</v>
      </c>
      <c r="G389" s="3403">
        <v>7887972.0800000001</v>
      </c>
      <c r="H389" s="3404">
        <v>44103</v>
      </c>
      <c r="I389" s="3405" t="s">
        <v>10349</v>
      </c>
      <c r="J389" s="2407"/>
      <c r="K389" s="2379"/>
    </row>
    <row r="390" spans="1:11">
      <c r="A390" s="3223" t="s">
        <v>11240</v>
      </c>
      <c r="B390" s="2903" t="s">
        <v>11241</v>
      </c>
      <c r="C390" s="3224">
        <v>4</v>
      </c>
      <c r="D390" s="3225" t="s">
        <v>11248</v>
      </c>
      <c r="E390" s="3225" t="s">
        <v>8793</v>
      </c>
      <c r="F390" s="3226">
        <v>115500</v>
      </c>
      <c r="G390" s="3226">
        <v>139755</v>
      </c>
      <c r="H390" s="3227">
        <v>44844</v>
      </c>
      <c r="I390" s="3228">
        <v>45574</v>
      </c>
      <c r="J390" s="2407" t="s">
        <v>16875</v>
      </c>
      <c r="K390" s="2379"/>
    </row>
    <row r="391" spans="1:11">
      <c r="A391" s="3354" t="s">
        <v>11240</v>
      </c>
      <c r="B391" s="3355" t="s">
        <v>11241</v>
      </c>
      <c r="C391" s="3356">
        <v>2</v>
      </c>
      <c r="D391" s="3357" t="s">
        <v>11246</v>
      </c>
      <c r="E391" s="3357" t="s">
        <v>8765</v>
      </c>
      <c r="F391" s="3358">
        <v>748000</v>
      </c>
      <c r="G391" s="3358">
        <v>905080</v>
      </c>
      <c r="H391" s="3359">
        <v>44845</v>
      </c>
      <c r="I391" s="3360">
        <v>45575</v>
      </c>
      <c r="J391" s="2407" t="s">
        <v>17811</v>
      </c>
      <c r="K391" s="2379"/>
    </row>
    <row r="392" spans="1:11">
      <c r="A392" s="3223" t="s">
        <v>11240</v>
      </c>
      <c r="B392" s="2903" t="s">
        <v>11241</v>
      </c>
      <c r="C392" s="3224">
        <v>3</v>
      </c>
      <c r="D392" s="3225" t="s">
        <v>11247</v>
      </c>
      <c r="E392" s="3225" t="s">
        <v>8765</v>
      </c>
      <c r="F392" s="3226">
        <v>77830</v>
      </c>
      <c r="G392" s="3226">
        <v>94174.3</v>
      </c>
      <c r="H392" s="3227">
        <v>44845</v>
      </c>
      <c r="I392" s="3228">
        <v>45575</v>
      </c>
      <c r="J392" s="2407" t="s">
        <v>16875</v>
      </c>
      <c r="K392" s="2379"/>
    </row>
    <row r="393" spans="1:11" ht="30">
      <c r="A393" s="3398" t="s">
        <v>7055</v>
      </c>
      <c r="B393" s="3399" t="s">
        <v>7056</v>
      </c>
      <c r="C393" s="3400">
        <v>1</v>
      </c>
      <c r="D393" s="3406" t="s">
        <v>7277</v>
      </c>
      <c r="E393" s="3402" t="s">
        <v>6071</v>
      </c>
      <c r="F393" s="3403">
        <v>5049102</v>
      </c>
      <c r="G393" s="3403">
        <v>6109413.4199999999</v>
      </c>
      <c r="H393" s="3404">
        <v>44116</v>
      </c>
      <c r="I393" s="3405" t="s">
        <v>10350</v>
      </c>
      <c r="J393" s="2407"/>
      <c r="K393" s="2379"/>
    </row>
    <row r="394" spans="1:11" ht="30">
      <c r="A394" s="3398" t="s">
        <v>7055</v>
      </c>
      <c r="B394" s="3399" t="s">
        <v>7278</v>
      </c>
      <c r="C394" s="3400">
        <v>2</v>
      </c>
      <c r="D394" s="3406" t="s">
        <v>7279</v>
      </c>
      <c r="E394" s="3402" t="s">
        <v>3502</v>
      </c>
      <c r="F394" s="3403">
        <v>3986590.4</v>
      </c>
      <c r="G394" s="3403">
        <v>4823774.38</v>
      </c>
      <c r="H394" s="3404">
        <v>44116</v>
      </c>
      <c r="I394" s="3405" t="s">
        <v>10350</v>
      </c>
      <c r="J394" s="2407"/>
      <c r="K394" s="2379"/>
    </row>
    <row r="395" spans="1:11">
      <c r="A395" s="2240" t="s">
        <v>9473</v>
      </c>
      <c r="B395" s="2945" t="s">
        <v>9474</v>
      </c>
      <c r="C395" s="2225">
        <v>1</v>
      </c>
      <c r="D395" s="2272" t="s">
        <v>9475</v>
      </c>
      <c r="E395" s="2272" t="s">
        <v>4838</v>
      </c>
      <c r="F395" s="2226">
        <v>3043930</v>
      </c>
      <c r="G395" s="2226">
        <v>3683155.3</v>
      </c>
      <c r="H395" s="2227">
        <v>44482</v>
      </c>
      <c r="I395" s="2227">
        <v>45577</v>
      </c>
      <c r="J395" s="2210" t="s">
        <v>17720</v>
      </c>
      <c r="K395" s="2379"/>
    </row>
    <row r="396" spans="1:11" ht="30">
      <c r="A396" s="2905" t="s">
        <v>9532</v>
      </c>
      <c r="B396" s="3017" t="s">
        <v>9533</v>
      </c>
      <c r="C396" s="2906"/>
      <c r="D396" s="2907"/>
      <c r="E396" s="2907" t="s">
        <v>1433</v>
      </c>
      <c r="F396" s="2908">
        <v>3769850</v>
      </c>
      <c r="G396" s="2908">
        <v>4651518.5</v>
      </c>
      <c r="H396" s="2909">
        <v>44484</v>
      </c>
      <c r="I396" s="2909">
        <v>45579</v>
      </c>
      <c r="J396" s="2694" t="s">
        <v>18457</v>
      </c>
      <c r="K396" s="2379"/>
    </row>
    <row r="397" spans="1:11">
      <c r="A397" s="2917" t="s">
        <v>11765</v>
      </c>
      <c r="B397" s="3281" t="s">
        <v>11767</v>
      </c>
      <c r="C397" s="2919">
        <v>3</v>
      </c>
      <c r="D397" s="2920" t="s">
        <v>11768</v>
      </c>
      <c r="E397" s="2920" t="s">
        <v>9770</v>
      </c>
      <c r="F397" s="2921">
        <v>418800</v>
      </c>
      <c r="G397" s="2921">
        <v>481620</v>
      </c>
      <c r="H397" s="2922">
        <v>44858</v>
      </c>
      <c r="I397" s="2922">
        <v>45588</v>
      </c>
      <c r="J397" s="1672" t="s">
        <v>17668</v>
      </c>
      <c r="K397" s="2379"/>
    </row>
    <row r="398" spans="1:11">
      <c r="A398" s="2917" t="s">
        <v>9761</v>
      </c>
      <c r="B398" s="3281" t="s">
        <v>10173</v>
      </c>
      <c r="C398" s="2919"/>
      <c r="D398" s="2920"/>
      <c r="E398" s="2920" t="s">
        <v>9945</v>
      </c>
      <c r="F398" s="2921">
        <v>2348351.75</v>
      </c>
      <c r="G398" s="2921">
        <v>2841153.87</v>
      </c>
      <c r="H398" s="2922">
        <v>44494</v>
      </c>
      <c r="I398" s="2922">
        <v>45589</v>
      </c>
      <c r="J398" s="1672" t="s">
        <v>17494</v>
      </c>
      <c r="K398" s="2379"/>
    </row>
    <row r="399" spans="1:11">
      <c r="A399" s="2238" t="s">
        <v>9519</v>
      </c>
      <c r="B399" s="2869" t="s">
        <v>4120</v>
      </c>
      <c r="C399" s="2218">
        <v>1</v>
      </c>
      <c r="D399" s="2372" t="s">
        <v>9520</v>
      </c>
      <c r="E399" s="2372" t="s">
        <v>4893</v>
      </c>
      <c r="F399" s="2215">
        <v>600000</v>
      </c>
      <c r="G399" s="2215">
        <v>690000</v>
      </c>
      <c r="H399" s="2216">
        <v>44494</v>
      </c>
      <c r="I399" s="2216">
        <v>45589</v>
      </c>
      <c r="J399" s="2208" t="s">
        <v>17619</v>
      </c>
      <c r="K399" s="2379"/>
    </row>
    <row r="400" spans="1:11">
      <c r="A400" s="2238" t="s">
        <v>9519</v>
      </c>
      <c r="B400" s="2869" t="s">
        <v>4120</v>
      </c>
      <c r="C400" s="2218">
        <v>2</v>
      </c>
      <c r="D400" s="2372" t="s">
        <v>9521</v>
      </c>
      <c r="E400" s="2372" t="s">
        <v>4894</v>
      </c>
      <c r="F400" s="2215">
        <v>2478265.83</v>
      </c>
      <c r="G400" s="2215">
        <v>2850005.7</v>
      </c>
      <c r="H400" s="2216">
        <v>44494</v>
      </c>
      <c r="I400" s="2216">
        <v>45589</v>
      </c>
      <c r="J400" s="2208" t="s">
        <v>17620</v>
      </c>
      <c r="K400" s="2379"/>
    </row>
    <row r="401" spans="1:11">
      <c r="A401" s="2238" t="s">
        <v>9519</v>
      </c>
      <c r="B401" s="2869" t="s">
        <v>4120</v>
      </c>
      <c r="C401" s="2218">
        <v>4</v>
      </c>
      <c r="D401" s="2372" t="s">
        <v>9523</v>
      </c>
      <c r="E401" s="2372" t="s">
        <v>4894</v>
      </c>
      <c r="F401" s="2215">
        <v>2644000</v>
      </c>
      <c r="G401" s="2215">
        <v>3040600</v>
      </c>
      <c r="H401" s="2216">
        <v>44494</v>
      </c>
      <c r="I401" s="2216">
        <v>45589</v>
      </c>
      <c r="J401" s="2208" t="s">
        <v>17622</v>
      </c>
      <c r="K401" s="2370"/>
    </row>
    <row r="402" spans="1:11">
      <c r="A402" s="2238" t="s">
        <v>9519</v>
      </c>
      <c r="B402" s="2869" t="s">
        <v>4120</v>
      </c>
      <c r="C402" s="2218">
        <v>5</v>
      </c>
      <c r="D402" s="2372" t="s">
        <v>9524</v>
      </c>
      <c r="E402" s="2372" t="s">
        <v>4894</v>
      </c>
      <c r="F402" s="2215">
        <v>8982288.7799999993</v>
      </c>
      <c r="G402" s="2215">
        <v>10329632.1</v>
      </c>
      <c r="H402" s="2216">
        <v>44494</v>
      </c>
      <c r="I402" s="2216">
        <v>45589</v>
      </c>
      <c r="J402" s="2208" t="s">
        <v>17620</v>
      </c>
      <c r="K402" s="2211"/>
    </row>
    <row r="403" spans="1:11">
      <c r="A403" s="2891" t="s">
        <v>9527</v>
      </c>
      <c r="B403" s="3194" t="s">
        <v>9525</v>
      </c>
      <c r="C403" s="2893"/>
      <c r="D403" s="2895"/>
      <c r="E403" s="2895" t="s">
        <v>1433</v>
      </c>
      <c r="F403" s="2896">
        <f>'VZ-2021'!R535</f>
        <v>4347826</v>
      </c>
      <c r="G403" s="2896">
        <f>'VZ-2021'!S535</f>
        <v>5000000</v>
      </c>
      <c r="H403" s="2897">
        <v>44501</v>
      </c>
      <c r="I403" s="2897">
        <v>45586</v>
      </c>
      <c r="J403" s="2278" t="s">
        <v>17551</v>
      </c>
      <c r="K403" s="2211"/>
    </row>
    <row r="404" spans="1:11">
      <c r="A404" s="3229" t="s">
        <v>11240</v>
      </c>
      <c r="B404" s="3230" t="s">
        <v>11241</v>
      </c>
      <c r="C404" s="3231">
        <v>1</v>
      </c>
      <c r="D404" s="3232" t="s">
        <v>11242</v>
      </c>
      <c r="E404" s="3232" t="s">
        <v>8526</v>
      </c>
      <c r="F404" s="3233">
        <v>176000</v>
      </c>
      <c r="G404" s="3233">
        <v>212960</v>
      </c>
      <c r="H404" s="3234">
        <v>45591</v>
      </c>
      <c r="I404" s="3234">
        <v>45590</v>
      </c>
      <c r="J404" s="2278" t="s">
        <v>16875</v>
      </c>
      <c r="K404" s="2211"/>
    </row>
    <row r="405" spans="1:11">
      <c r="A405" s="3361" t="s">
        <v>11240</v>
      </c>
      <c r="B405" s="3362" t="s">
        <v>11241</v>
      </c>
      <c r="C405" s="3363">
        <v>5</v>
      </c>
      <c r="D405" s="3364" t="s">
        <v>11243</v>
      </c>
      <c r="E405" s="3364" t="s">
        <v>8526</v>
      </c>
      <c r="F405" s="3365">
        <v>243000</v>
      </c>
      <c r="G405" s="3365">
        <v>294030</v>
      </c>
      <c r="H405" s="3366">
        <v>45591</v>
      </c>
      <c r="I405" s="3366">
        <v>45590</v>
      </c>
      <c r="J405" s="2278" t="s">
        <v>17812</v>
      </c>
      <c r="K405" s="2211"/>
    </row>
    <row r="406" spans="1:11">
      <c r="A406" s="3254" t="s">
        <v>11240</v>
      </c>
      <c r="B406" s="3255" t="s">
        <v>11241</v>
      </c>
      <c r="C406" s="3256">
        <v>6</v>
      </c>
      <c r="D406" s="3257" t="s">
        <v>11244</v>
      </c>
      <c r="E406" s="3257" t="s">
        <v>8526</v>
      </c>
      <c r="F406" s="3258">
        <v>560000</v>
      </c>
      <c r="G406" s="3258">
        <v>677600</v>
      </c>
      <c r="H406" s="3259">
        <v>45591</v>
      </c>
      <c r="I406" s="3259">
        <v>45590</v>
      </c>
      <c r="J406" s="2278" t="s">
        <v>17813</v>
      </c>
      <c r="K406" s="2211"/>
    </row>
    <row r="407" spans="1:11">
      <c r="A407" s="3254" t="s">
        <v>11240</v>
      </c>
      <c r="B407" s="3255" t="s">
        <v>11241</v>
      </c>
      <c r="C407" s="3256">
        <v>7</v>
      </c>
      <c r="D407" s="3257" t="s">
        <v>13425</v>
      </c>
      <c r="E407" s="3257" t="s">
        <v>8526</v>
      </c>
      <c r="F407" s="3258">
        <v>205000</v>
      </c>
      <c r="G407" s="3258">
        <v>248050</v>
      </c>
      <c r="H407" s="3259">
        <v>45591</v>
      </c>
      <c r="I407" s="3259">
        <v>45590</v>
      </c>
      <c r="J407" s="2278" t="s">
        <v>17813</v>
      </c>
      <c r="K407" s="2211"/>
    </row>
    <row r="408" spans="1:11">
      <c r="A408" s="2891" t="s">
        <v>9914</v>
      </c>
      <c r="B408" s="3194" t="s">
        <v>4215</v>
      </c>
      <c r="C408" s="2893"/>
      <c r="D408" s="2895"/>
      <c r="E408" s="2895" t="s">
        <v>7296</v>
      </c>
      <c r="F408" s="2896">
        <v>640000</v>
      </c>
      <c r="G408" s="2896">
        <v>774400</v>
      </c>
      <c r="H408" s="2897">
        <v>44502</v>
      </c>
      <c r="I408" s="2897">
        <v>45597</v>
      </c>
      <c r="J408" s="2278" t="s">
        <v>17894</v>
      </c>
      <c r="K408" s="2211"/>
    </row>
    <row r="409" spans="1:11" ht="30">
      <c r="A409" s="3398" t="s">
        <v>7471</v>
      </c>
      <c r="B409" s="3399" t="s">
        <v>7472</v>
      </c>
      <c r="C409" s="3400"/>
      <c r="D409" s="3402"/>
      <c r="E409" s="3402" t="s">
        <v>7680</v>
      </c>
      <c r="F409" s="3403">
        <v>744000</v>
      </c>
      <c r="G409" s="3403">
        <v>900240</v>
      </c>
      <c r="H409" s="3404">
        <v>44137</v>
      </c>
      <c r="I409" s="3405" t="s">
        <v>10352</v>
      </c>
      <c r="J409" s="2407"/>
      <c r="K409" s="2211"/>
    </row>
    <row r="410" spans="1:11" ht="30">
      <c r="A410" s="3398" t="s">
        <v>7194</v>
      </c>
      <c r="B410" s="3399" t="s">
        <v>7195</v>
      </c>
      <c r="C410" s="3400"/>
      <c r="D410" s="3402"/>
      <c r="E410" s="3402" t="s">
        <v>459</v>
      </c>
      <c r="F410" s="3403">
        <v>2166400</v>
      </c>
      <c r="G410" s="3403">
        <v>2621344</v>
      </c>
      <c r="H410" s="3404">
        <v>44146</v>
      </c>
      <c r="I410" s="3405" t="s">
        <v>10351</v>
      </c>
      <c r="J410" s="2407"/>
      <c r="K410" s="2211"/>
    </row>
    <row r="411" spans="1:11">
      <c r="A411" s="3203" t="s">
        <v>9410</v>
      </c>
      <c r="B411" s="3204" t="s">
        <v>9414</v>
      </c>
      <c r="C411" s="3205">
        <v>2</v>
      </c>
      <c r="D411" s="3206" t="s">
        <v>9416</v>
      </c>
      <c r="E411" s="3206" t="s">
        <v>7296</v>
      </c>
      <c r="F411" s="3207">
        <v>3097773.8</v>
      </c>
      <c r="G411" s="3207">
        <v>3748306.3</v>
      </c>
      <c r="H411" s="3208">
        <v>44515</v>
      </c>
      <c r="I411" s="3208">
        <v>45610</v>
      </c>
      <c r="J411" s="2278" t="s">
        <v>18064</v>
      </c>
      <c r="K411" s="2211"/>
    </row>
    <row r="412" spans="1:11">
      <c r="A412" s="3203" t="s">
        <v>9410</v>
      </c>
      <c r="B412" s="3204" t="s">
        <v>9414</v>
      </c>
      <c r="C412" s="3205">
        <v>4</v>
      </c>
      <c r="D412" s="3206" t="s">
        <v>4085</v>
      </c>
      <c r="E412" s="3206" t="s">
        <v>4464</v>
      </c>
      <c r="F412" s="3207">
        <v>64800</v>
      </c>
      <c r="G412" s="3207">
        <v>78408</v>
      </c>
      <c r="H412" s="3208">
        <v>44515</v>
      </c>
      <c r="I412" s="3208">
        <v>45610</v>
      </c>
      <c r="J412" s="2278" t="s">
        <v>18063</v>
      </c>
      <c r="K412" s="2211"/>
    </row>
    <row r="413" spans="1:11">
      <c r="A413" s="3203" t="s">
        <v>9410</v>
      </c>
      <c r="B413" s="3204" t="s">
        <v>9414</v>
      </c>
      <c r="C413" s="3205">
        <v>1</v>
      </c>
      <c r="D413" s="3206" t="s">
        <v>9415</v>
      </c>
      <c r="E413" s="3206" t="s">
        <v>4838</v>
      </c>
      <c r="F413" s="3207">
        <v>1516154</v>
      </c>
      <c r="G413" s="3207">
        <v>1870846.34</v>
      </c>
      <c r="H413" s="3208">
        <v>44516</v>
      </c>
      <c r="I413" s="3208">
        <v>45611</v>
      </c>
      <c r="J413" s="2278" t="s">
        <v>18062</v>
      </c>
      <c r="K413" s="2211"/>
    </row>
    <row r="414" spans="1:11">
      <c r="A414" s="2891" t="s">
        <v>9909</v>
      </c>
      <c r="B414" s="3194" t="s">
        <v>4750</v>
      </c>
      <c r="C414" s="2893">
        <v>1</v>
      </c>
      <c r="D414" s="2895" t="s">
        <v>4751</v>
      </c>
      <c r="E414" s="2895" t="s">
        <v>7296</v>
      </c>
      <c r="F414" s="2896">
        <v>341520</v>
      </c>
      <c r="G414" s="2896">
        <v>413239.2</v>
      </c>
      <c r="H414" s="2897">
        <v>44516</v>
      </c>
      <c r="I414" s="2897">
        <v>45611</v>
      </c>
      <c r="J414" s="2278" t="s">
        <v>18241</v>
      </c>
      <c r="K414" s="2211"/>
    </row>
    <row r="415" spans="1:11">
      <c r="A415" s="2891" t="s">
        <v>9909</v>
      </c>
      <c r="B415" s="3194" t="s">
        <v>4750</v>
      </c>
      <c r="C415" s="2893">
        <v>2</v>
      </c>
      <c r="D415" s="2895" t="s">
        <v>4752</v>
      </c>
      <c r="E415" s="2895" t="s">
        <v>7296</v>
      </c>
      <c r="F415" s="2896">
        <v>92560</v>
      </c>
      <c r="G415" s="2896">
        <v>111997.6</v>
      </c>
      <c r="H415" s="2897">
        <v>44516</v>
      </c>
      <c r="I415" s="2897">
        <v>45611</v>
      </c>
      <c r="J415" s="2278" t="s">
        <v>18241</v>
      </c>
      <c r="K415" s="2211"/>
    </row>
    <row r="416" spans="1:11">
      <c r="A416" s="2891" t="s">
        <v>9915</v>
      </c>
      <c r="B416" s="3194" t="s">
        <v>4748</v>
      </c>
      <c r="C416" s="2893"/>
      <c r="D416" s="2895"/>
      <c r="E416" s="2895" t="s">
        <v>5266</v>
      </c>
      <c r="F416" s="2896">
        <v>1405730</v>
      </c>
      <c r="G416" s="2896">
        <v>1616589.5</v>
      </c>
      <c r="H416" s="2897">
        <v>44516</v>
      </c>
      <c r="I416" s="2897">
        <v>45611</v>
      </c>
      <c r="J416" s="2278" t="s">
        <v>17822</v>
      </c>
      <c r="K416" s="2211"/>
    </row>
    <row r="417" spans="1:11">
      <c r="A417" s="2891" t="s">
        <v>11763</v>
      </c>
      <c r="B417" s="3194" t="s">
        <v>11767</v>
      </c>
      <c r="C417" s="2893">
        <v>1</v>
      </c>
      <c r="D417" s="2895" t="s">
        <v>11766</v>
      </c>
      <c r="E417" s="2895" t="s">
        <v>10562</v>
      </c>
      <c r="F417" s="2896">
        <v>387345</v>
      </c>
      <c r="G417" s="2896">
        <v>445446.75</v>
      </c>
      <c r="H417" s="2897">
        <v>44881</v>
      </c>
      <c r="I417" s="2897">
        <v>45611</v>
      </c>
      <c r="J417" s="2278" t="s">
        <v>17666</v>
      </c>
      <c r="K417" s="2211"/>
    </row>
    <row r="418" spans="1:11">
      <c r="A418" s="2891" t="s">
        <v>11764</v>
      </c>
      <c r="B418" s="3194" t="s">
        <v>11767</v>
      </c>
      <c r="C418" s="2893">
        <v>2</v>
      </c>
      <c r="D418" s="2895" t="s">
        <v>11769</v>
      </c>
      <c r="E418" s="2895" t="s">
        <v>10562</v>
      </c>
      <c r="F418" s="2896">
        <v>1164800</v>
      </c>
      <c r="G418" s="2896">
        <v>1339520</v>
      </c>
      <c r="H418" s="2897">
        <v>44881</v>
      </c>
      <c r="I418" s="2897">
        <v>45611</v>
      </c>
      <c r="J418" s="2278" t="s">
        <v>17667</v>
      </c>
      <c r="K418" s="2211"/>
    </row>
    <row r="419" spans="1:11">
      <c r="A419" s="3203" t="s">
        <v>8819</v>
      </c>
      <c r="B419" s="3204" t="s">
        <v>8820</v>
      </c>
      <c r="C419" s="3205"/>
      <c r="D419" s="3206"/>
      <c r="E419" s="3206" t="s">
        <v>7928</v>
      </c>
      <c r="F419" s="3207">
        <v>20284280.399999999</v>
      </c>
      <c r="G419" s="3207">
        <v>23415000</v>
      </c>
      <c r="H419" s="3208">
        <v>44518</v>
      </c>
      <c r="I419" s="3208">
        <v>45613</v>
      </c>
      <c r="J419" s="2278" t="s">
        <v>18185</v>
      </c>
      <c r="K419" s="2211"/>
    </row>
    <row r="420" spans="1:11" ht="30">
      <c r="A420" s="3398" t="s">
        <v>7505</v>
      </c>
      <c r="B420" s="3399" t="s">
        <v>7506</v>
      </c>
      <c r="C420" s="3400">
        <v>1</v>
      </c>
      <c r="D420" s="3402" t="s">
        <v>7556</v>
      </c>
      <c r="E420" s="3402" t="s">
        <v>5726</v>
      </c>
      <c r="F420" s="3403">
        <v>1224000</v>
      </c>
      <c r="G420" s="3403">
        <v>1481040</v>
      </c>
      <c r="H420" s="3404">
        <v>44160</v>
      </c>
      <c r="I420" s="3405" t="s">
        <v>10353</v>
      </c>
      <c r="J420" s="2407"/>
      <c r="K420" s="2211"/>
    </row>
    <row r="421" spans="1:11">
      <c r="A421" s="2240" t="s">
        <v>9913</v>
      </c>
      <c r="B421" s="2224" t="s">
        <v>4826</v>
      </c>
      <c r="C421" s="2225"/>
      <c r="D421" s="2272"/>
      <c r="E421" s="2272" t="s">
        <v>4893</v>
      </c>
      <c r="F421" s="2226">
        <v>2054300</v>
      </c>
      <c r="G421" s="2226">
        <v>2485703</v>
      </c>
      <c r="H421" s="2227">
        <v>44529</v>
      </c>
      <c r="I421" s="3392">
        <v>45624</v>
      </c>
      <c r="J421" s="2407" t="s">
        <v>18191</v>
      </c>
      <c r="K421" s="2211"/>
    </row>
    <row r="422" spans="1:11">
      <c r="A422" s="2905" t="s">
        <v>9849</v>
      </c>
      <c r="B422" s="3199" t="s">
        <v>9850</v>
      </c>
      <c r="C422" s="2906">
        <v>2</v>
      </c>
      <c r="D422" s="2907" t="s">
        <v>9477</v>
      </c>
      <c r="E422" s="2907" t="s">
        <v>4839</v>
      </c>
      <c r="F422" s="2908">
        <v>3036180</v>
      </c>
      <c r="G422" s="2908">
        <v>3673777.8</v>
      </c>
      <c r="H422" s="2909">
        <v>44529</v>
      </c>
      <c r="I422" s="3292">
        <v>45624</v>
      </c>
      <c r="J422" s="2407" t="s">
        <v>18169</v>
      </c>
      <c r="K422" s="2211"/>
    </row>
    <row r="423" spans="1:11">
      <c r="A423" s="2905" t="s">
        <v>9849</v>
      </c>
      <c r="B423" s="3199" t="s">
        <v>9850</v>
      </c>
      <c r="C423" s="2906">
        <v>3</v>
      </c>
      <c r="D423" s="2907" t="s">
        <v>9478</v>
      </c>
      <c r="E423" s="2907" t="s">
        <v>4839</v>
      </c>
      <c r="F423" s="2908">
        <v>829400</v>
      </c>
      <c r="G423" s="2908">
        <v>1003574</v>
      </c>
      <c r="H423" s="2909">
        <v>44529</v>
      </c>
      <c r="I423" s="3292">
        <v>45624</v>
      </c>
      <c r="J423" s="2407" t="s">
        <v>18170</v>
      </c>
      <c r="K423" s="2211"/>
    </row>
    <row r="424" spans="1:11">
      <c r="A424" s="2905" t="s">
        <v>9849</v>
      </c>
      <c r="B424" s="3199" t="s">
        <v>9850</v>
      </c>
      <c r="C424" s="2906">
        <v>4</v>
      </c>
      <c r="D424" s="2907" t="s">
        <v>9479</v>
      </c>
      <c r="E424" s="2907" t="s">
        <v>4839</v>
      </c>
      <c r="F424" s="2908">
        <v>209626.5</v>
      </c>
      <c r="G424" s="2908">
        <v>253648.07</v>
      </c>
      <c r="H424" s="2909">
        <v>44529</v>
      </c>
      <c r="I424" s="3292">
        <v>45624</v>
      </c>
      <c r="J424" s="2407" t="s">
        <v>18171</v>
      </c>
      <c r="K424" s="2211"/>
    </row>
    <row r="425" spans="1:11" ht="30">
      <c r="A425" s="2238" t="s">
        <v>10158</v>
      </c>
      <c r="B425" s="2214" t="s">
        <v>10159</v>
      </c>
      <c r="C425" s="2218"/>
      <c r="D425" s="2372"/>
      <c r="E425" s="2372" t="s">
        <v>5726</v>
      </c>
      <c r="F425" s="2215">
        <v>1881000</v>
      </c>
      <c r="G425" s="2215">
        <v>2276010</v>
      </c>
      <c r="H425" s="2216">
        <v>44530</v>
      </c>
      <c r="I425" s="2879">
        <v>45625</v>
      </c>
      <c r="J425" s="2407" t="s">
        <v>17855</v>
      </c>
      <c r="K425" s="2211"/>
    </row>
    <row r="426" spans="1:11" ht="30">
      <c r="A426" s="3377" t="s">
        <v>12051</v>
      </c>
      <c r="B426" s="3378" t="s">
        <v>12052</v>
      </c>
      <c r="C426" s="2906"/>
      <c r="D426" s="2907"/>
      <c r="E426" s="3377" t="s">
        <v>7190</v>
      </c>
      <c r="F426" s="3379">
        <v>3577320</v>
      </c>
      <c r="G426" s="2908">
        <v>4328557.2</v>
      </c>
      <c r="H426" s="2909">
        <v>44902</v>
      </c>
      <c r="I426" s="3292">
        <v>45632</v>
      </c>
      <c r="J426" s="3353" t="s">
        <v>18508</v>
      </c>
      <c r="K426" s="2211"/>
    </row>
    <row r="427" spans="1:11" ht="30">
      <c r="A427" s="2267" t="s">
        <v>10788</v>
      </c>
      <c r="B427" s="2267" t="s">
        <v>10787</v>
      </c>
      <c r="C427" s="2218"/>
      <c r="D427" s="2372"/>
      <c r="E427" s="2267" t="s">
        <v>10789</v>
      </c>
      <c r="F427" s="2866">
        <v>222750</v>
      </c>
      <c r="G427" s="2215"/>
      <c r="H427" s="2216">
        <v>44538</v>
      </c>
      <c r="I427" s="2879">
        <v>45633</v>
      </c>
      <c r="J427" s="2407" t="s">
        <v>18365</v>
      </c>
      <c r="K427" s="2211"/>
    </row>
    <row r="428" spans="1:11">
      <c r="A428" s="2905" t="s">
        <v>9249</v>
      </c>
      <c r="B428" s="3199" t="s">
        <v>9250</v>
      </c>
      <c r="C428" s="2906">
        <v>1</v>
      </c>
      <c r="D428" s="2907" t="s">
        <v>9251</v>
      </c>
      <c r="E428" s="2907" t="s">
        <v>5696</v>
      </c>
      <c r="F428" s="2908">
        <v>2315091.25</v>
      </c>
      <c r="G428" s="2908">
        <v>2801260.41</v>
      </c>
      <c r="H428" s="2909">
        <v>44543</v>
      </c>
      <c r="I428" s="3292">
        <v>45638</v>
      </c>
      <c r="J428" s="2407" t="s">
        <v>18293</v>
      </c>
      <c r="K428" s="2211"/>
    </row>
    <row r="429" spans="1:11">
      <c r="A429" s="2905" t="s">
        <v>9249</v>
      </c>
      <c r="B429" s="3199" t="s">
        <v>9250</v>
      </c>
      <c r="C429" s="2906">
        <v>3</v>
      </c>
      <c r="D429" s="2907" t="s">
        <v>9253</v>
      </c>
      <c r="E429" s="2907" t="s">
        <v>5696</v>
      </c>
      <c r="F429" s="2908">
        <v>2354096.5</v>
      </c>
      <c r="G429" s="2908">
        <v>2848456.77</v>
      </c>
      <c r="H429" s="2909">
        <v>44543</v>
      </c>
      <c r="I429" s="3292">
        <v>45638</v>
      </c>
      <c r="J429" s="2407" t="s">
        <v>18295</v>
      </c>
      <c r="K429" s="2211"/>
    </row>
    <row r="430" spans="1:11">
      <c r="A430" s="2905" t="s">
        <v>9249</v>
      </c>
      <c r="B430" s="3199" t="s">
        <v>9250</v>
      </c>
      <c r="C430" s="2906">
        <v>2</v>
      </c>
      <c r="D430" s="2907" t="s">
        <v>9252</v>
      </c>
      <c r="E430" s="2907" t="s">
        <v>993</v>
      </c>
      <c r="F430" s="2908">
        <v>1889700</v>
      </c>
      <c r="G430" s="2908">
        <v>2286537</v>
      </c>
      <c r="H430" s="2909">
        <v>44545</v>
      </c>
      <c r="I430" s="3292">
        <v>45640</v>
      </c>
      <c r="J430" s="2407" t="s">
        <v>18294</v>
      </c>
      <c r="K430" s="2211"/>
    </row>
    <row r="431" spans="1:11">
      <c r="A431" s="3367" t="s">
        <v>12940</v>
      </c>
      <c r="B431" s="3368" t="s">
        <v>12941</v>
      </c>
      <c r="C431" s="3369"/>
      <c r="D431" s="3370"/>
      <c r="E431" s="3370" t="s">
        <v>659</v>
      </c>
      <c r="F431" s="3371">
        <v>3493012</v>
      </c>
      <c r="G431" s="3371">
        <v>4226544.5199999996</v>
      </c>
      <c r="H431" s="3372">
        <v>44915</v>
      </c>
      <c r="I431" s="3373">
        <v>45645</v>
      </c>
      <c r="J431" s="3374" t="s">
        <v>18510</v>
      </c>
      <c r="K431" s="2211"/>
    </row>
    <row r="432" spans="1:11">
      <c r="A432" s="3367" t="s">
        <v>9596</v>
      </c>
      <c r="B432" s="3368" t="s">
        <v>4207</v>
      </c>
      <c r="C432" s="3369">
        <v>1</v>
      </c>
      <c r="D432" s="3370" t="s">
        <v>9597</v>
      </c>
      <c r="E432" s="3370" t="s">
        <v>4894</v>
      </c>
      <c r="F432" s="3371">
        <v>753900</v>
      </c>
      <c r="G432" s="3371">
        <v>866985</v>
      </c>
      <c r="H432" s="3372">
        <v>44551</v>
      </c>
      <c r="I432" s="3373">
        <v>45646</v>
      </c>
      <c r="J432" s="3374" t="s">
        <v>18511</v>
      </c>
      <c r="K432" s="2211"/>
    </row>
    <row r="433" spans="1:11">
      <c r="A433" s="2905" t="s">
        <v>9854</v>
      </c>
      <c r="B433" s="3199" t="s">
        <v>4122</v>
      </c>
      <c r="C433" s="2906">
        <v>3</v>
      </c>
      <c r="D433" s="2907" t="s">
        <v>9856</v>
      </c>
      <c r="E433" s="2907" t="s">
        <v>2973</v>
      </c>
      <c r="F433" s="2908">
        <v>1635000</v>
      </c>
      <c r="G433" s="2908">
        <v>1880250</v>
      </c>
      <c r="H433" s="2909">
        <v>44564</v>
      </c>
      <c r="I433" s="3292">
        <v>45659</v>
      </c>
      <c r="J433" s="2407" t="s">
        <v>18573</v>
      </c>
      <c r="K433" s="2211"/>
    </row>
    <row r="434" spans="1:11">
      <c r="A434" s="2905" t="s">
        <v>9854</v>
      </c>
      <c r="B434" s="3199" t="s">
        <v>4122</v>
      </c>
      <c r="C434" s="2906">
        <v>6</v>
      </c>
      <c r="D434" s="2907" t="s">
        <v>9859</v>
      </c>
      <c r="E434" s="2907" t="s">
        <v>2973</v>
      </c>
      <c r="F434" s="2908">
        <v>651900</v>
      </c>
      <c r="G434" s="2908">
        <v>749685</v>
      </c>
      <c r="H434" s="2909">
        <v>44564</v>
      </c>
      <c r="I434" s="3292">
        <v>45659</v>
      </c>
      <c r="J434" s="2407" t="s">
        <v>18575</v>
      </c>
      <c r="K434" s="2211"/>
    </row>
    <row r="435" spans="1:11">
      <c r="A435" s="2905" t="s">
        <v>10013</v>
      </c>
      <c r="B435" s="3199" t="s">
        <v>4079</v>
      </c>
      <c r="C435" s="2906">
        <v>1</v>
      </c>
      <c r="D435" s="2907" t="s">
        <v>10014</v>
      </c>
      <c r="E435" s="2907" t="s">
        <v>7296</v>
      </c>
      <c r="F435" s="2908">
        <v>681480</v>
      </c>
      <c r="G435" s="2908">
        <v>824590.8</v>
      </c>
      <c r="H435" s="2909">
        <v>44564</v>
      </c>
      <c r="I435" s="3292">
        <v>45659</v>
      </c>
      <c r="J435" s="2407" t="s">
        <v>18475</v>
      </c>
      <c r="K435" s="2211"/>
    </row>
    <row r="436" spans="1:11">
      <c r="A436" s="2240" t="s">
        <v>10421</v>
      </c>
      <c r="B436" s="2224" t="s">
        <v>10422</v>
      </c>
      <c r="C436" s="2225">
        <v>3</v>
      </c>
      <c r="D436" s="2272" t="s">
        <v>4753</v>
      </c>
      <c r="E436" s="2272" t="s">
        <v>3332</v>
      </c>
      <c r="F436" s="2226">
        <v>365897.6</v>
      </c>
      <c r="G436" s="2226">
        <v>442736.1</v>
      </c>
      <c r="H436" s="2227">
        <v>44564</v>
      </c>
      <c r="I436" s="3392">
        <v>45659</v>
      </c>
      <c r="J436" s="2407" t="s">
        <v>18456</v>
      </c>
      <c r="K436" s="2211"/>
    </row>
    <row r="437" spans="1:11">
      <c r="A437" s="2905" t="s">
        <v>9854</v>
      </c>
      <c r="B437" s="3199" t="s">
        <v>4122</v>
      </c>
      <c r="C437" s="2906">
        <v>1</v>
      </c>
      <c r="D437" s="2907" t="s">
        <v>9855</v>
      </c>
      <c r="E437" s="2907" t="s">
        <v>4894</v>
      </c>
      <c r="F437" s="2908">
        <v>1500000</v>
      </c>
      <c r="G437" s="2908">
        <v>1725000</v>
      </c>
      <c r="H437" s="2909">
        <v>44565</v>
      </c>
      <c r="I437" s="3292">
        <v>45660</v>
      </c>
      <c r="J437" s="2407" t="s">
        <v>18571</v>
      </c>
      <c r="K437" s="2211"/>
    </row>
    <row r="438" spans="1:11">
      <c r="A438" s="2905" t="s">
        <v>9854</v>
      </c>
      <c r="B438" s="3199" t="s">
        <v>4122</v>
      </c>
      <c r="C438" s="2906">
        <v>2</v>
      </c>
      <c r="D438" s="2907" t="s">
        <v>4148</v>
      </c>
      <c r="E438" s="2907" t="s">
        <v>4893</v>
      </c>
      <c r="F438" s="2908">
        <v>189800</v>
      </c>
      <c r="G438" s="2908">
        <v>218270</v>
      </c>
      <c r="H438" s="2909">
        <v>44565</v>
      </c>
      <c r="I438" s="3292">
        <v>45660</v>
      </c>
      <c r="J438" s="2407" t="s">
        <v>18572</v>
      </c>
      <c r="K438" s="2211"/>
    </row>
    <row r="439" spans="1:11">
      <c r="A439" s="2905" t="s">
        <v>9854</v>
      </c>
      <c r="B439" s="3199" t="s">
        <v>4122</v>
      </c>
      <c r="C439" s="2906">
        <v>5</v>
      </c>
      <c r="D439" s="2907" t="s">
        <v>9858</v>
      </c>
      <c r="E439" s="2907" t="s">
        <v>4894</v>
      </c>
      <c r="F439" s="2908">
        <v>528000</v>
      </c>
      <c r="G439" s="2908">
        <v>607200</v>
      </c>
      <c r="H439" s="2909">
        <v>44565</v>
      </c>
      <c r="I439" s="3292">
        <v>45660</v>
      </c>
      <c r="J439" s="2407" t="s">
        <v>18574</v>
      </c>
      <c r="K439" s="2211"/>
    </row>
    <row r="440" spans="1:11">
      <c r="A440" s="2905" t="s">
        <v>9249</v>
      </c>
      <c r="B440" s="3199" t="s">
        <v>9250</v>
      </c>
      <c r="C440" s="2906">
        <v>9</v>
      </c>
      <c r="D440" s="2907" t="s">
        <v>9259</v>
      </c>
      <c r="E440" s="2907" t="s">
        <v>993</v>
      </c>
      <c r="F440" s="2908">
        <v>694000</v>
      </c>
      <c r="G440" s="2908">
        <v>839740</v>
      </c>
      <c r="H440" s="2909">
        <v>44567</v>
      </c>
      <c r="I440" s="3292">
        <v>45662</v>
      </c>
      <c r="J440" s="2407" t="s">
        <v>18296</v>
      </c>
      <c r="K440" s="2211"/>
    </row>
    <row r="441" spans="1:11">
      <c r="A441" s="2240" t="s">
        <v>15907</v>
      </c>
      <c r="B441" s="2224" t="s">
        <v>13585</v>
      </c>
      <c r="C441" s="2225"/>
      <c r="D441" s="2272"/>
      <c r="E441" s="2272" t="s">
        <v>3059</v>
      </c>
      <c r="F441" s="2226">
        <v>352800</v>
      </c>
      <c r="G441" s="2226">
        <v>426888</v>
      </c>
      <c r="H441" s="2227">
        <v>45203</v>
      </c>
      <c r="I441" s="3392">
        <v>45665</v>
      </c>
      <c r="J441" s="2407" t="s">
        <v>18461</v>
      </c>
      <c r="K441" s="2211"/>
    </row>
    <row r="442" spans="1:11">
      <c r="A442" s="2905" t="s">
        <v>9854</v>
      </c>
      <c r="B442" s="3199" t="s">
        <v>4122</v>
      </c>
      <c r="C442" s="2906">
        <v>7</v>
      </c>
      <c r="D442" s="2907" t="s">
        <v>4153</v>
      </c>
      <c r="E442" s="2907" t="s">
        <v>4839</v>
      </c>
      <c r="F442" s="2908">
        <v>26577000</v>
      </c>
      <c r="G442" s="2908">
        <v>30563550</v>
      </c>
      <c r="H442" s="2909">
        <v>44571</v>
      </c>
      <c r="I442" s="3292">
        <v>45666</v>
      </c>
      <c r="J442" s="2407" t="s">
        <v>18576</v>
      </c>
      <c r="K442" s="2211"/>
    </row>
    <row r="443" spans="1:11">
      <c r="A443" s="2905" t="s">
        <v>12853</v>
      </c>
      <c r="B443" s="3199" t="s">
        <v>12854</v>
      </c>
      <c r="C443" s="2906">
        <v>1</v>
      </c>
      <c r="D443" s="2907" t="s">
        <v>12859</v>
      </c>
      <c r="E443" s="2907" t="s">
        <v>8765</v>
      </c>
      <c r="F443" s="2908">
        <v>22351</v>
      </c>
      <c r="G443" s="2908">
        <v>27044.71</v>
      </c>
      <c r="H443" s="2909">
        <v>44939</v>
      </c>
      <c r="I443" s="3292">
        <v>45669</v>
      </c>
      <c r="J443" s="2407" t="s">
        <v>18522</v>
      </c>
      <c r="K443" s="2211"/>
    </row>
    <row r="444" spans="1:11">
      <c r="A444" s="2905" t="s">
        <v>12855</v>
      </c>
      <c r="B444" s="3199" t="s">
        <v>12854</v>
      </c>
      <c r="C444" s="2906">
        <v>2</v>
      </c>
      <c r="D444" s="2907" t="s">
        <v>12858</v>
      </c>
      <c r="E444" s="2907" t="s">
        <v>8765</v>
      </c>
      <c r="F444" s="2908">
        <v>254801.4</v>
      </c>
      <c r="G444" s="2908">
        <v>308309.69</v>
      </c>
      <c r="H444" s="2909">
        <v>44939</v>
      </c>
      <c r="I444" s="3292">
        <v>45669</v>
      </c>
      <c r="J444" s="2407" t="s">
        <v>18522</v>
      </c>
      <c r="K444" s="2211"/>
    </row>
    <row r="445" spans="1:11">
      <c r="A445" s="2905" t="s">
        <v>12856</v>
      </c>
      <c r="B445" s="3199" t="s">
        <v>12854</v>
      </c>
      <c r="C445" s="2906">
        <v>3</v>
      </c>
      <c r="D445" s="2907" t="s">
        <v>12860</v>
      </c>
      <c r="E445" s="2907" t="s">
        <v>8765</v>
      </c>
      <c r="F445" s="2908">
        <v>219039.8</v>
      </c>
      <c r="G445" s="2908">
        <v>265038.15999999997</v>
      </c>
      <c r="H445" s="2909">
        <v>44939</v>
      </c>
      <c r="I445" s="3292">
        <v>45669</v>
      </c>
      <c r="J445" s="2407" t="s">
        <v>18522</v>
      </c>
      <c r="K445" s="2211"/>
    </row>
    <row r="446" spans="1:11">
      <c r="A446" s="2905" t="s">
        <v>12857</v>
      </c>
      <c r="B446" s="3199" t="s">
        <v>12854</v>
      </c>
      <c r="C446" s="2906">
        <v>4</v>
      </c>
      <c r="D446" s="2907" t="s">
        <v>12861</v>
      </c>
      <c r="E446" s="2907" t="s">
        <v>8765</v>
      </c>
      <c r="F446" s="2908">
        <v>764404.2</v>
      </c>
      <c r="G446" s="2908">
        <v>924929.08</v>
      </c>
      <c r="H446" s="2909">
        <v>44939</v>
      </c>
      <c r="I446" s="3292">
        <v>45669</v>
      </c>
      <c r="J446" s="2407" t="s">
        <v>18522</v>
      </c>
      <c r="K446" s="2211"/>
    </row>
    <row r="447" spans="1:11" ht="30">
      <c r="A447" s="2905" t="s">
        <v>10010</v>
      </c>
      <c r="B447" s="3199" t="s">
        <v>4280</v>
      </c>
      <c r="C447" s="2906">
        <v>1</v>
      </c>
      <c r="D447" s="2907" t="s">
        <v>10011</v>
      </c>
      <c r="E447" s="2907" t="s">
        <v>4894</v>
      </c>
      <c r="F447" s="2908">
        <v>3311000</v>
      </c>
      <c r="G447" s="2908">
        <v>3807650</v>
      </c>
      <c r="H447" s="2909">
        <v>44578</v>
      </c>
      <c r="I447" s="3292">
        <v>45673</v>
      </c>
      <c r="J447" s="2407" t="s">
        <v>18642</v>
      </c>
      <c r="K447" s="2211"/>
    </row>
    <row r="448" spans="1:11" ht="30">
      <c r="A448" s="2905" t="s">
        <v>10010</v>
      </c>
      <c r="B448" s="3199" t="s">
        <v>4280</v>
      </c>
      <c r="C448" s="2906">
        <v>2</v>
      </c>
      <c r="D448" s="2907" t="s">
        <v>10012</v>
      </c>
      <c r="E448" s="2907" t="s">
        <v>4894</v>
      </c>
      <c r="F448" s="2908">
        <v>5168000</v>
      </c>
      <c r="G448" s="2908">
        <v>5943200</v>
      </c>
      <c r="H448" s="2909">
        <v>44578</v>
      </c>
      <c r="I448" s="3292">
        <v>45673</v>
      </c>
      <c r="J448" s="2407" t="s">
        <v>18642</v>
      </c>
      <c r="K448" s="2211"/>
    </row>
    <row r="449" spans="1:11">
      <c r="A449" s="2905" t="s">
        <v>10553</v>
      </c>
      <c r="B449" s="3199" t="s">
        <v>10554</v>
      </c>
      <c r="C449" s="2906"/>
      <c r="D449" s="2907"/>
      <c r="E449" s="2907" t="s">
        <v>1433</v>
      </c>
      <c r="F449" s="2908">
        <v>950400</v>
      </c>
      <c r="G449" s="2908">
        <v>1149984</v>
      </c>
      <c r="H449" s="2909">
        <v>44578</v>
      </c>
      <c r="I449" s="3292">
        <v>45673</v>
      </c>
      <c r="J449" s="2407" t="s">
        <v>18650</v>
      </c>
      <c r="K449" s="2211"/>
    </row>
    <row r="450" spans="1:11">
      <c r="A450" s="2905" t="s">
        <v>10013</v>
      </c>
      <c r="B450" s="3199" t="s">
        <v>4079</v>
      </c>
      <c r="C450" s="2906">
        <v>3</v>
      </c>
      <c r="D450" s="2907" t="s">
        <v>10016</v>
      </c>
      <c r="E450" s="2907" t="s">
        <v>4838</v>
      </c>
      <c r="F450" s="2908">
        <v>120600</v>
      </c>
      <c r="G450" s="2908">
        <v>145926</v>
      </c>
      <c r="H450" s="2909">
        <v>44581</v>
      </c>
      <c r="I450" s="3292">
        <v>45676</v>
      </c>
      <c r="J450" s="2407" t="s">
        <v>18476</v>
      </c>
      <c r="K450" s="2211"/>
    </row>
    <row r="451" spans="1:11">
      <c r="A451" s="2204" t="s">
        <v>10994</v>
      </c>
      <c r="B451" s="2511" t="s">
        <v>10995</v>
      </c>
      <c r="C451" s="2208"/>
      <c r="D451" s="2212"/>
      <c r="E451" s="2212" t="s">
        <v>2776</v>
      </c>
      <c r="F451" s="2209">
        <v>360000</v>
      </c>
      <c r="G451" s="2209">
        <v>435600</v>
      </c>
      <c r="H451" s="2175">
        <v>44581</v>
      </c>
      <c r="I451" s="2177">
        <v>45676</v>
      </c>
      <c r="J451" s="2407"/>
      <c r="K451" s="2211"/>
    </row>
    <row r="452" spans="1:11">
      <c r="A452" s="2204" t="s">
        <v>10008</v>
      </c>
      <c r="B452" s="1903" t="s">
        <v>10009</v>
      </c>
      <c r="C452" s="2208"/>
      <c r="D452" s="2212"/>
      <c r="E452" s="2212" t="s">
        <v>8278</v>
      </c>
      <c r="F452" s="2209">
        <v>4851000</v>
      </c>
      <c r="G452" s="2209">
        <v>5869710</v>
      </c>
      <c r="H452" s="2175">
        <v>44582</v>
      </c>
      <c r="I452" s="2177">
        <v>45677</v>
      </c>
      <c r="J452" s="2407"/>
      <c r="K452" s="2211"/>
    </row>
    <row r="453" spans="1:11">
      <c r="A453" s="2238" t="s">
        <v>10241</v>
      </c>
      <c r="B453" s="3323" t="s">
        <v>9522</v>
      </c>
      <c r="C453" s="2218"/>
      <c r="D453" s="2372"/>
      <c r="E453" s="2372" t="s">
        <v>7296</v>
      </c>
      <c r="F453" s="2215">
        <v>945000</v>
      </c>
      <c r="G453" s="2215">
        <v>1086750</v>
      </c>
      <c r="H453" s="2216">
        <v>44582</v>
      </c>
      <c r="I453" s="2879">
        <v>45677</v>
      </c>
      <c r="J453" s="2407" t="s">
        <v>17621</v>
      </c>
      <c r="K453" s="2211"/>
    </row>
    <row r="454" spans="1:11">
      <c r="A454" s="2204" t="s">
        <v>10193</v>
      </c>
      <c r="B454" s="2486" t="s">
        <v>10194</v>
      </c>
      <c r="C454" s="2208">
        <v>1</v>
      </c>
      <c r="D454" s="2212" t="s">
        <v>10195</v>
      </c>
      <c r="E454" s="2212" t="s">
        <v>7296</v>
      </c>
      <c r="F454" s="2209">
        <v>640000</v>
      </c>
      <c r="G454" s="2209">
        <v>736000</v>
      </c>
      <c r="H454" s="2175">
        <v>44582</v>
      </c>
      <c r="I454" s="2177">
        <v>45677</v>
      </c>
      <c r="J454" s="2407"/>
      <c r="K454" s="2211"/>
    </row>
    <row r="455" spans="1:11">
      <c r="A455" s="2204" t="s">
        <v>10193</v>
      </c>
      <c r="B455" s="2486" t="s">
        <v>10194</v>
      </c>
      <c r="C455" s="2208">
        <v>2</v>
      </c>
      <c r="D455" s="2212" t="s">
        <v>10196</v>
      </c>
      <c r="E455" s="2212" t="s">
        <v>7296</v>
      </c>
      <c r="F455" s="2209">
        <v>1935000</v>
      </c>
      <c r="G455" s="2209">
        <v>2225250</v>
      </c>
      <c r="H455" s="2175">
        <v>44582</v>
      </c>
      <c r="I455" s="2177">
        <v>45677</v>
      </c>
      <c r="J455" s="2407"/>
      <c r="K455" s="2211"/>
    </row>
    <row r="456" spans="1:11">
      <c r="A456" s="2204" t="s">
        <v>10193</v>
      </c>
      <c r="B456" s="2486" t="s">
        <v>10194</v>
      </c>
      <c r="C456" s="2208">
        <v>3</v>
      </c>
      <c r="D456" s="2212" t="s">
        <v>10197</v>
      </c>
      <c r="E456" s="2212" t="s">
        <v>7296</v>
      </c>
      <c r="F456" s="2209">
        <v>113300</v>
      </c>
      <c r="G456" s="2209">
        <v>130295</v>
      </c>
      <c r="H456" s="2175">
        <v>44582</v>
      </c>
      <c r="I456" s="2177">
        <v>45677</v>
      </c>
      <c r="J456" s="2407"/>
      <c r="K456" s="2211"/>
    </row>
    <row r="457" spans="1:11">
      <c r="A457" s="2204" t="s">
        <v>10193</v>
      </c>
      <c r="B457" s="2486" t="s">
        <v>10194</v>
      </c>
      <c r="C457" s="2208">
        <v>4</v>
      </c>
      <c r="D457" s="2212" t="s">
        <v>10198</v>
      </c>
      <c r="E457" s="2212" t="s">
        <v>7296</v>
      </c>
      <c r="F457" s="2209">
        <v>292875</v>
      </c>
      <c r="G457" s="2209">
        <v>336806.25</v>
      </c>
      <c r="H457" s="2175">
        <v>44582</v>
      </c>
      <c r="I457" s="2177">
        <v>45677</v>
      </c>
      <c r="J457" s="2407"/>
      <c r="K457" s="2211"/>
    </row>
    <row r="458" spans="1:11">
      <c r="A458" s="2204" t="s">
        <v>10193</v>
      </c>
      <c r="B458" s="2486" t="s">
        <v>10194</v>
      </c>
      <c r="C458" s="2208">
        <v>5</v>
      </c>
      <c r="D458" s="2212" t="s">
        <v>10199</v>
      </c>
      <c r="E458" s="2212" t="s">
        <v>7296</v>
      </c>
      <c r="F458" s="2209">
        <v>921800</v>
      </c>
      <c r="G458" s="2209">
        <v>1060070</v>
      </c>
      <c r="H458" s="2175">
        <v>44582</v>
      </c>
      <c r="I458" s="2177">
        <v>45677</v>
      </c>
      <c r="J458" s="2407"/>
      <c r="K458" s="2211"/>
    </row>
    <row r="459" spans="1:11">
      <c r="A459" s="2204" t="s">
        <v>10193</v>
      </c>
      <c r="B459" s="2486" t="s">
        <v>10194</v>
      </c>
      <c r="C459" s="2208">
        <v>6</v>
      </c>
      <c r="D459" s="2212" t="s">
        <v>10200</v>
      </c>
      <c r="E459" s="2212" t="s">
        <v>7296</v>
      </c>
      <c r="F459" s="2209">
        <v>4415340</v>
      </c>
      <c r="G459" s="2209">
        <v>5077641</v>
      </c>
      <c r="H459" s="2175">
        <v>44582</v>
      </c>
      <c r="I459" s="2177">
        <v>45677</v>
      </c>
      <c r="J459" s="2407"/>
      <c r="K459" s="2211"/>
    </row>
    <row r="460" spans="1:11" ht="45">
      <c r="A460" s="3398" t="s">
        <v>7650</v>
      </c>
      <c r="B460" s="3399" t="s">
        <v>7651</v>
      </c>
      <c r="C460" s="3400">
        <v>1</v>
      </c>
      <c r="D460" s="3401" t="s">
        <v>7652</v>
      </c>
      <c r="E460" s="3402" t="s">
        <v>7928</v>
      </c>
      <c r="F460" s="3403">
        <v>13692775.68</v>
      </c>
      <c r="G460" s="3403">
        <v>15806771.359999999</v>
      </c>
      <c r="H460" s="3404">
        <v>44217</v>
      </c>
      <c r="I460" s="3405" t="s">
        <v>10354</v>
      </c>
      <c r="J460" s="2407"/>
      <c r="K460" s="2211"/>
    </row>
    <row r="461" spans="1:11" ht="45">
      <c r="A461" s="3398" t="s">
        <v>7650</v>
      </c>
      <c r="B461" s="3399" t="s">
        <v>7651</v>
      </c>
      <c r="C461" s="3400">
        <v>2</v>
      </c>
      <c r="D461" s="3401" t="s">
        <v>7653</v>
      </c>
      <c r="E461" s="3402" t="s">
        <v>7928</v>
      </c>
      <c r="F461" s="3403">
        <v>81157914.239999995</v>
      </c>
      <c r="G461" s="3403">
        <v>93603937.439999998</v>
      </c>
      <c r="H461" s="3404">
        <v>44217</v>
      </c>
      <c r="I461" s="3405" t="s">
        <v>10354</v>
      </c>
      <c r="J461" s="2407"/>
      <c r="K461" s="2211"/>
    </row>
    <row r="462" spans="1:11" ht="30">
      <c r="A462" s="3398" t="s">
        <v>7909</v>
      </c>
      <c r="B462" s="3399" t="s">
        <v>7557</v>
      </c>
      <c r="C462" s="3400"/>
      <c r="D462" s="3402"/>
      <c r="E462" s="3402" t="s">
        <v>2400</v>
      </c>
      <c r="F462" s="3403">
        <v>2115360</v>
      </c>
      <c r="G462" s="3403">
        <v>2559585.6</v>
      </c>
      <c r="H462" s="3404">
        <v>44230</v>
      </c>
      <c r="I462" s="3405" t="s">
        <v>10356</v>
      </c>
      <c r="J462" s="2407"/>
      <c r="K462" s="2211"/>
    </row>
    <row r="463" spans="1:11">
      <c r="A463" s="2204" t="s">
        <v>10518</v>
      </c>
      <c r="B463" s="2174" t="s">
        <v>10519</v>
      </c>
      <c r="C463" s="2208"/>
      <c r="D463" s="2212"/>
      <c r="E463" s="2212" t="s">
        <v>993</v>
      </c>
      <c r="F463" s="2209">
        <v>2883740</v>
      </c>
      <c r="G463" s="2209">
        <v>3489325.4</v>
      </c>
      <c r="H463" s="2175">
        <v>44606</v>
      </c>
      <c r="I463" s="2177">
        <v>45701</v>
      </c>
      <c r="J463" s="2407"/>
      <c r="K463" s="2211"/>
    </row>
    <row r="464" spans="1:11">
      <c r="A464" s="2905" t="s">
        <v>10515</v>
      </c>
      <c r="B464" s="3199" t="s">
        <v>10516</v>
      </c>
      <c r="C464" s="2906">
        <v>1</v>
      </c>
      <c r="D464" s="2907" t="s">
        <v>10015</v>
      </c>
      <c r="E464" s="2907" t="s">
        <v>4838</v>
      </c>
      <c r="F464" s="2908">
        <v>1315000</v>
      </c>
      <c r="G464" s="2908">
        <v>1591150</v>
      </c>
      <c r="H464" s="2909">
        <v>44615</v>
      </c>
      <c r="I464" s="3292">
        <v>45710</v>
      </c>
      <c r="J464" s="2407" t="s">
        <v>18660</v>
      </c>
      <c r="K464" s="2211"/>
    </row>
    <row r="465" spans="1:11">
      <c r="A465" s="2905" t="s">
        <v>10515</v>
      </c>
      <c r="B465" s="3199" t="s">
        <v>10516</v>
      </c>
      <c r="C465" s="2906">
        <v>2</v>
      </c>
      <c r="D465" s="2907" t="s">
        <v>10017</v>
      </c>
      <c r="E465" s="2907" t="s">
        <v>3332</v>
      </c>
      <c r="F465" s="2908">
        <v>192000</v>
      </c>
      <c r="G465" s="2908">
        <v>232320</v>
      </c>
      <c r="H465" s="2909">
        <v>44616</v>
      </c>
      <c r="I465" s="3292">
        <v>45711</v>
      </c>
      <c r="J465" s="2407" t="s">
        <v>18661</v>
      </c>
      <c r="K465" s="2211"/>
    </row>
    <row r="466" spans="1:11">
      <c r="A466" s="2204" t="s">
        <v>10469</v>
      </c>
      <c r="B466" s="2174" t="s">
        <v>10470</v>
      </c>
      <c r="C466" s="2208"/>
      <c r="D466" s="2212"/>
      <c r="E466" s="2212" t="s">
        <v>8793</v>
      </c>
      <c r="F466" s="2527">
        <v>5986474.5</v>
      </c>
      <c r="G466" s="2209">
        <v>7243634.2999999998</v>
      </c>
      <c r="H466" s="2175">
        <v>45712</v>
      </c>
      <c r="I466" s="2177">
        <v>45711</v>
      </c>
      <c r="J466" s="2407"/>
      <c r="K466" s="2211"/>
    </row>
    <row r="467" spans="1:11">
      <c r="A467" s="2204" t="s">
        <v>10651</v>
      </c>
      <c r="B467" s="2174" t="s">
        <v>10652</v>
      </c>
      <c r="C467" s="2208"/>
      <c r="D467" s="2212"/>
      <c r="E467" s="2212" t="s">
        <v>8793</v>
      </c>
      <c r="F467" s="2527">
        <v>821700</v>
      </c>
      <c r="G467" s="2209">
        <v>994257</v>
      </c>
      <c r="H467" s="2175">
        <v>44617</v>
      </c>
      <c r="I467" s="2177">
        <v>45712</v>
      </c>
      <c r="J467" s="2407"/>
      <c r="K467" s="2211"/>
    </row>
    <row r="468" spans="1:11">
      <c r="A468" s="2204" t="s">
        <v>10471</v>
      </c>
      <c r="B468" s="2174" t="s">
        <v>10473</v>
      </c>
      <c r="C468" s="2208"/>
      <c r="D468" s="2212"/>
      <c r="E468" s="2212" t="s">
        <v>5696</v>
      </c>
      <c r="F468" s="2527">
        <v>2123130</v>
      </c>
      <c r="G468" s="2209">
        <v>2568987.2999999998</v>
      </c>
      <c r="H468" s="2175">
        <v>44617</v>
      </c>
      <c r="I468" s="2177">
        <v>45712</v>
      </c>
      <c r="J468" s="2407"/>
      <c r="K468" s="2211"/>
    </row>
    <row r="469" spans="1:11">
      <c r="A469" s="2204" t="s">
        <v>10295</v>
      </c>
      <c r="B469" s="2174" t="s">
        <v>4531</v>
      </c>
      <c r="C469" s="2208">
        <v>7</v>
      </c>
      <c r="D469" s="2212" t="s">
        <v>10302</v>
      </c>
      <c r="E469" s="2212" t="s">
        <v>6322</v>
      </c>
      <c r="F469" s="2527">
        <v>364140</v>
      </c>
      <c r="G469" s="2209">
        <v>440609.4</v>
      </c>
      <c r="H469" s="2175">
        <v>44623</v>
      </c>
      <c r="I469" s="2177">
        <v>45718</v>
      </c>
      <c r="J469" s="2407"/>
      <c r="K469" s="2211"/>
    </row>
    <row r="470" spans="1:11">
      <c r="A470" s="2204" t="s">
        <v>10658</v>
      </c>
      <c r="B470" s="2174" t="s">
        <v>10659</v>
      </c>
      <c r="C470" s="2208"/>
      <c r="D470" s="2212"/>
      <c r="E470" s="2212" t="s">
        <v>8526</v>
      </c>
      <c r="F470" s="2527">
        <v>499770</v>
      </c>
      <c r="G470" s="2209">
        <v>604721.69999999995</v>
      </c>
      <c r="H470" s="2175">
        <v>44624</v>
      </c>
      <c r="I470" s="2177">
        <v>45719</v>
      </c>
      <c r="J470" s="2407"/>
      <c r="K470" s="2211"/>
    </row>
    <row r="471" spans="1:11" ht="30">
      <c r="A471" s="2204" t="s">
        <v>13972</v>
      </c>
      <c r="B471" s="2174" t="s">
        <v>13973</v>
      </c>
      <c r="C471" s="2208"/>
      <c r="D471" s="2212"/>
      <c r="E471" s="2212" t="s">
        <v>1433</v>
      </c>
      <c r="F471" s="2527">
        <v>1704347.82</v>
      </c>
      <c r="G471" s="2209">
        <v>1960000</v>
      </c>
      <c r="H471" s="2175">
        <v>44991</v>
      </c>
      <c r="I471" s="2177">
        <v>45721</v>
      </c>
      <c r="J471" s="2407"/>
      <c r="K471" s="2211"/>
    </row>
    <row r="472" spans="1:11">
      <c r="A472" s="2204" t="s">
        <v>10133</v>
      </c>
      <c r="B472" s="2174" t="s">
        <v>5268</v>
      </c>
      <c r="C472" s="2208">
        <v>3</v>
      </c>
      <c r="D472" s="2212" t="s">
        <v>10156</v>
      </c>
      <c r="E472" s="2212" t="s">
        <v>7296</v>
      </c>
      <c r="F472" s="2527">
        <v>772131.6</v>
      </c>
      <c r="G472" s="2209">
        <v>934279.24</v>
      </c>
      <c r="H472" s="2175">
        <v>44628</v>
      </c>
      <c r="I472" s="2177">
        <v>45723</v>
      </c>
      <c r="J472" s="2407"/>
      <c r="K472" s="2211"/>
    </row>
    <row r="473" spans="1:11">
      <c r="A473" s="2204" t="s">
        <v>10295</v>
      </c>
      <c r="B473" s="2174" t="s">
        <v>4531</v>
      </c>
      <c r="C473" s="2208">
        <v>2</v>
      </c>
      <c r="D473" s="2212" t="s">
        <v>10297</v>
      </c>
      <c r="E473" s="2212" t="s">
        <v>4893</v>
      </c>
      <c r="F473" s="2527">
        <v>720000</v>
      </c>
      <c r="G473" s="2209">
        <v>871200</v>
      </c>
      <c r="H473" s="2175">
        <v>44628</v>
      </c>
      <c r="I473" s="2177">
        <v>45723</v>
      </c>
      <c r="J473" s="2407"/>
      <c r="K473" s="2211"/>
    </row>
    <row r="474" spans="1:11">
      <c r="A474" s="2204" t="s">
        <v>10295</v>
      </c>
      <c r="B474" s="2174" t="s">
        <v>4531</v>
      </c>
      <c r="C474" s="2208">
        <v>3</v>
      </c>
      <c r="D474" s="2212" t="s">
        <v>10298</v>
      </c>
      <c r="E474" s="2212" t="s">
        <v>7296</v>
      </c>
      <c r="F474" s="2527">
        <v>367500</v>
      </c>
      <c r="G474" s="2209">
        <v>444675</v>
      </c>
      <c r="H474" s="2175">
        <v>44628</v>
      </c>
      <c r="I474" s="2177">
        <v>45723</v>
      </c>
      <c r="J474" s="2407"/>
      <c r="K474" s="2211"/>
    </row>
    <row r="475" spans="1:11">
      <c r="A475" s="2204" t="s">
        <v>12076</v>
      </c>
      <c r="B475" s="2174" t="s">
        <v>12077</v>
      </c>
      <c r="C475" s="2208"/>
      <c r="D475" s="2212"/>
      <c r="E475" s="2212" t="s">
        <v>2973</v>
      </c>
      <c r="F475" s="2527">
        <v>342600</v>
      </c>
      <c r="G475" s="2209">
        <v>414546</v>
      </c>
      <c r="H475" s="2175">
        <v>44629</v>
      </c>
      <c r="I475" s="2177">
        <v>45724</v>
      </c>
      <c r="J475" s="2407"/>
      <c r="K475" s="2211"/>
    </row>
    <row r="476" spans="1:11">
      <c r="A476" s="2204" t="s">
        <v>10295</v>
      </c>
      <c r="B476" s="2174" t="s">
        <v>4531</v>
      </c>
      <c r="C476" s="2208">
        <v>4</v>
      </c>
      <c r="D476" s="2212" t="s">
        <v>10299</v>
      </c>
      <c r="E476" s="2212" t="s">
        <v>5908</v>
      </c>
      <c r="F476" s="2527">
        <v>2451600</v>
      </c>
      <c r="G476" s="2209">
        <v>2966436</v>
      </c>
      <c r="H476" s="2175">
        <v>44630</v>
      </c>
      <c r="I476" s="2177">
        <v>45725</v>
      </c>
      <c r="J476" s="2407"/>
      <c r="K476" s="2211"/>
    </row>
    <row r="477" spans="1:11">
      <c r="A477" s="2204" t="s">
        <v>10133</v>
      </c>
      <c r="B477" s="2174" t="s">
        <v>5268</v>
      </c>
      <c r="C477" s="2208">
        <v>2</v>
      </c>
      <c r="D477" s="2212" t="s">
        <v>10152</v>
      </c>
      <c r="E477" s="2212" t="s">
        <v>4838</v>
      </c>
      <c r="F477" s="2527">
        <v>5617422.7999999998</v>
      </c>
      <c r="G477" s="2209">
        <v>6797081.5899999999</v>
      </c>
      <c r="H477" s="2175">
        <v>44630</v>
      </c>
      <c r="I477" s="2177">
        <v>45725</v>
      </c>
      <c r="J477" s="2407"/>
      <c r="K477" s="2211"/>
    </row>
    <row r="478" spans="1:11">
      <c r="A478" s="2204" t="s">
        <v>10133</v>
      </c>
      <c r="B478" s="2174" t="s">
        <v>5268</v>
      </c>
      <c r="C478" s="2208">
        <v>5</v>
      </c>
      <c r="D478" s="2212" t="s">
        <v>10154</v>
      </c>
      <c r="E478" s="2212" t="s">
        <v>6322</v>
      </c>
      <c r="F478" s="2527">
        <v>1129933</v>
      </c>
      <c r="G478" s="2209">
        <v>1367218.93</v>
      </c>
      <c r="H478" s="2175">
        <v>44631</v>
      </c>
      <c r="I478" s="2177">
        <v>45726</v>
      </c>
      <c r="J478" s="2407"/>
      <c r="K478" s="2211"/>
    </row>
    <row r="479" spans="1:11">
      <c r="A479" s="2204" t="s">
        <v>10295</v>
      </c>
      <c r="B479" s="2174" t="s">
        <v>4531</v>
      </c>
      <c r="C479" s="2208">
        <v>1</v>
      </c>
      <c r="D479" s="2212" t="s">
        <v>10296</v>
      </c>
      <c r="E479" s="2212" t="s">
        <v>8793</v>
      </c>
      <c r="F479" s="2527">
        <v>3523500</v>
      </c>
      <c r="G479" s="2209">
        <v>4263435</v>
      </c>
      <c r="H479" s="2175">
        <v>44631</v>
      </c>
      <c r="I479" s="2177">
        <v>45726</v>
      </c>
      <c r="J479" s="2407"/>
      <c r="K479" s="2211"/>
    </row>
    <row r="480" spans="1:11">
      <c r="A480" s="2204" t="s">
        <v>10295</v>
      </c>
      <c r="B480" s="2174" t="s">
        <v>4531</v>
      </c>
      <c r="C480" s="2208">
        <v>5</v>
      </c>
      <c r="D480" s="2212" t="s">
        <v>10300</v>
      </c>
      <c r="E480" s="2212" t="s">
        <v>8793</v>
      </c>
      <c r="F480" s="2527">
        <v>1300000</v>
      </c>
      <c r="G480" s="2209">
        <v>1573000</v>
      </c>
      <c r="H480" s="2175">
        <v>44631</v>
      </c>
      <c r="I480" s="2177">
        <v>45726</v>
      </c>
      <c r="J480" s="2407"/>
      <c r="K480" s="2211"/>
    </row>
    <row r="481" spans="1:11">
      <c r="A481" s="2204" t="s">
        <v>10295</v>
      </c>
      <c r="B481" s="2174" t="s">
        <v>4531</v>
      </c>
      <c r="C481" s="2208">
        <v>6</v>
      </c>
      <c r="D481" s="2212" t="s">
        <v>10301</v>
      </c>
      <c r="E481" s="2212" t="s">
        <v>8793</v>
      </c>
      <c r="F481" s="2527">
        <v>915000</v>
      </c>
      <c r="G481" s="2209">
        <v>1107150</v>
      </c>
      <c r="H481" s="2175">
        <v>44631</v>
      </c>
      <c r="I481" s="2177">
        <v>45726</v>
      </c>
      <c r="J481" s="2407"/>
      <c r="K481" s="2211"/>
    </row>
    <row r="482" spans="1:11">
      <c r="A482" s="2905" t="s">
        <v>11613</v>
      </c>
      <c r="B482" s="3199" t="s">
        <v>11614</v>
      </c>
      <c r="C482" s="2906"/>
      <c r="D482" s="2907"/>
      <c r="E482" s="2907" t="s">
        <v>4838</v>
      </c>
      <c r="F482" s="3300">
        <v>209520</v>
      </c>
      <c r="G482" s="2908">
        <v>253519.2</v>
      </c>
      <c r="H482" s="2909">
        <v>44638</v>
      </c>
      <c r="I482" s="3292">
        <v>45733</v>
      </c>
      <c r="J482" s="2407" t="s">
        <v>18065</v>
      </c>
      <c r="K482" s="2211"/>
    </row>
    <row r="483" spans="1:11">
      <c r="A483" s="2204" t="s">
        <v>10133</v>
      </c>
      <c r="B483" s="2174" t="s">
        <v>5268</v>
      </c>
      <c r="C483" s="2208">
        <v>6</v>
      </c>
      <c r="D483" s="2212" t="s">
        <v>10153</v>
      </c>
      <c r="E483" s="2212" t="s">
        <v>4839</v>
      </c>
      <c r="F483" s="2527">
        <v>609420</v>
      </c>
      <c r="G483" s="2209">
        <v>737398.2</v>
      </c>
      <c r="H483" s="2175">
        <v>44641</v>
      </c>
      <c r="I483" s="2177">
        <v>45736</v>
      </c>
      <c r="J483" s="2407"/>
      <c r="K483" s="2211"/>
    </row>
    <row r="484" spans="1:11">
      <c r="A484" s="2204" t="s">
        <v>10133</v>
      </c>
      <c r="B484" s="2174" t="s">
        <v>5268</v>
      </c>
      <c r="C484" s="2208">
        <v>1</v>
      </c>
      <c r="D484" s="2212" t="s">
        <v>10151</v>
      </c>
      <c r="E484" s="2212" t="s">
        <v>993</v>
      </c>
      <c r="F484" s="2527">
        <v>274000</v>
      </c>
      <c r="G484" s="2209">
        <v>331540</v>
      </c>
      <c r="H484" s="2175">
        <v>44641</v>
      </c>
      <c r="I484" s="2177">
        <v>45736</v>
      </c>
      <c r="J484" s="2407"/>
      <c r="K484" s="2211"/>
    </row>
    <row r="485" spans="1:11">
      <c r="A485" s="2204" t="s">
        <v>10367</v>
      </c>
      <c r="B485" s="2174" t="s">
        <v>4093</v>
      </c>
      <c r="C485" s="2208">
        <v>1</v>
      </c>
      <c r="D485" s="2212" t="s">
        <v>10368</v>
      </c>
      <c r="E485" s="2212" t="s">
        <v>5908</v>
      </c>
      <c r="F485" s="2527">
        <v>4002000</v>
      </c>
      <c r="G485" s="2209">
        <v>4842420</v>
      </c>
      <c r="H485" s="2175">
        <v>44649</v>
      </c>
      <c r="I485" s="2177">
        <v>45744</v>
      </c>
      <c r="J485" s="2407"/>
      <c r="K485" s="2211"/>
    </row>
    <row r="486" spans="1:11">
      <c r="A486" s="2204" t="s">
        <v>10367</v>
      </c>
      <c r="B486" s="2174" t="s">
        <v>4093</v>
      </c>
      <c r="C486" s="2208">
        <v>2</v>
      </c>
      <c r="D486" s="2212" t="s">
        <v>10369</v>
      </c>
      <c r="E486" s="2212" t="s">
        <v>5908</v>
      </c>
      <c r="F486" s="2527">
        <v>850000</v>
      </c>
      <c r="G486" s="2209">
        <v>1028500</v>
      </c>
      <c r="H486" s="2175">
        <v>44649</v>
      </c>
      <c r="I486" s="2177">
        <v>45744</v>
      </c>
      <c r="J486" s="2407"/>
      <c r="K486" s="2211"/>
    </row>
    <row r="487" spans="1:11">
      <c r="A487" s="2204" t="s">
        <v>14531</v>
      </c>
      <c r="B487" s="2174" t="s">
        <v>14530</v>
      </c>
      <c r="C487" s="2208"/>
      <c r="D487" s="2212"/>
      <c r="E487" s="2212" t="s">
        <v>11876</v>
      </c>
      <c r="F487" s="2527">
        <v>60000</v>
      </c>
      <c r="G487" s="2209">
        <v>72600</v>
      </c>
      <c r="H487" s="2175">
        <v>45016</v>
      </c>
      <c r="I487" s="2177">
        <v>45746</v>
      </c>
      <c r="J487" s="2407"/>
      <c r="K487" s="2211"/>
    </row>
    <row r="488" spans="1:11">
      <c r="A488" s="2204" t="s">
        <v>10500</v>
      </c>
      <c r="B488" s="2174" t="s">
        <v>9598</v>
      </c>
      <c r="C488" s="2208">
        <v>1</v>
      </c>
      <c r="D488" s="2212" t="s">
        <v>10501</v>
      </c>
      <c r="E488" s="2212" t="s">
        <v>4692</v>
      </c>
      <c r="F488" s="2527">
        <v>1145774</v>
      </c>
      <c r="G488" s="2209">
        <v>1317640.1000000001</v>
      </c>
      <c r="H488" s="2175">
        <v>44656</v>
      </c>
      <c r="I488" s="2177">
        <v>45751</v>
      </c>
      <c r="J488" s="2407"/>
      <c r="K488" s="2211"/>
    </row>
    <row r="489" spans="1:11">
      <c r="A489" s="2204" t="s">
        <v>10624</v>
      </c>
      <c r="B489" s="2174" t="s">
        <v>10625</v>
      </c>
      <c r="C489" s="2208"/>
      <c r="D489" s="2212"/>
      <c r="E489" s="2212" t="s">
        <v>4692</v>
      </c>
      <c r="F489" s="2527">
        <v>2294037</v>
      </c>
      <c r="G489" s="2209">
        <v>2638142.5499999998</v>
      </c>
      <c r="H489" s="2175">
        <v>44663</v>
      </c>
      <c r="I489" s="2177">
        <v>45758</v>
      </c>
      <c r="J489" s="2407"/>
      <c r="K489" s="2211"/>
    </row>
    <row r="490" spans="1:11">
      <c r="A490" s="2204" t="s">
        <v>14683</v>
      </c>
      <c r="B490" s="2174" t="s">
        <v>215</v>
      </c>
      <c r="C490" s="2208">
        <v>2</v>
      </c>
      <c r="D490" s="2212" t="s">
        <v>13956</v>
      </c>
      <c r="E490" s="2212" t="s">
        <v>11200</v>
      </c>
      <c r="F490" s="2527">
        <v>546000</v>
      </c>
      <c r="G490" s="2209">
        <v>660660</v>
      </c>
      <c r="H490" s="2175">
        <v>45040</v>
      </c>
      <c r="I490" s="2177">
        <v>45770</v>
      </c>
      <c r="J490" s="2407"/>
      <c r="K490" s="2211"/>
    </row>
    <row r="491" spans="1:11">
      <c r="A491" s="2204" t="s">
        <v>10716</v>
      </c>
      <c r="B491" s="2174" t="s">
        <v>10717</v>
      </c>
      <c r="C491" s="2208">
        <v>2</v>
      </c>
      <c r="D491" s="2212" t="s">
        <v>10719</v>
      </c>
      <c r="E491" s="2212" t="s">
        <v>6695</v>
      </c>
      <c r="F491" s="2527">
        <v>400000</v>
      </c>
      <c r="G491" s="2209">
        <v>484000</v>
      </c>
      <c r="H491" s="2175">
        <v>44617</v>
      </c>
      <c r="I491" s="2177">
        <v>45772</v>
      </c>
      <c r="J491" s="2407"/>
      <c r="K491" s="2211"/>
    </row>
    <row r="492" spans="1:11">
      <c r="A492" s="2204" t="s">
        <v>10831</v>
      </c>
      <c r="B492" s="2174" t="s">
        <v>10832</v>
      </c>
      <c r="C492" s="2208"/>
      <c r="D492" s="2212"/>
      <c r="E492" s="2212" t="s">
        <v>2776</v>
      </c>
      <c r="F492" s="2527">
        <v>10267768.59</v>
      </c>
      <c r="G492" s="2209">
        <v>12424000</v>
      </c>
      <c r="H492" s="2175">
        <v>44683</v>
      </c>
      <c r="I492" s="2177">
        <v>45778</v>
      </c>
      <c r="J492" s="2407"/>
      <c r="K492" s="2211"/>
    </row>
    <row r="493" spans="1:11">
      <c r="A493" s="2204" t="s">
        <v>13953</v>
      </c>
      <c r="B493" s="2174" t="s">
        <v>215</v>
      </c>
      <c r="C493" s="2208">
        <v>1</v>
      </c>
      <c r="D493" s="2212" t="s">
        <v>13955</v>
      </c>
      <c r="E493" s="2212" t="s">
        <v>14251</v>
      </c>
      <c r="F493" s="2527">
        <v>6400000</v>
      </c>
      <c r="G493" s="2209">
        <v>7744000</v>
      </c>
      <c r="H493" s="2175">
        <v>45040</v>
      </c>
      <c r="I493" s="2177">
        <v>45786</v>
      </c>
      <c r="J493" s="2407"/>
      <c r="K493" s="2211"/>
    </row>
    <row r="494" spans="1:11">
      <c r="A494" s="2204" t="s">
        <v>10716</v>
      </c>
      <c r="B494" s="2174" t="s">
        <v>10717</v>
      </c>
      <c r="C494" s="2208">
        <v>1</v>
      </c>
      <c r="D494" s="2212" t="s">
        <v>10718</v>
      </c>
      <c r="E494" s="2212" t="s">
        <v>1433</v>
      </c>
      <c r="F494" s="2527">
        <v>1468350</v>
      </c>
      <c r="G494" s="2209">
        <v>1776708</v>
      </c>
      <c r="H494" s="2175">
        <v>44631</v>
      </c>
      <c r="I494" s="2177">
        <v>45788</v>
      </c>
      <c r="J494" s="2407"/>
      <c r="K494" s="2211"/>
    </row>
    <row r="495" spans="1:11">
      <c r="A495" s="2204" t="s">
        <v>11352</v>
      </c>
      <c r="B495" s="2174" t="s">
        <v>11353</v>
      </c>
      <c r="C495" s="2208"/>
      <c r="D495" s="2212"/>
      <c r="E495" s="2212" t="s">
        <v>3154</v>
      </c>
      <c r="F495" s="2527">
        <v>2782400</v>
      </c>
      <c r="G495" s="2209">
        <v>3199760</v>
      </c>
      <c r="H495" s="2175">
        <v>44705</v>
      </c>
      <c r="I495" s="2177">
        <v>45800</v>
      </c>
      <c r="J495" s="2407"/>
      <c r="K495" s="2211"/>
    </row>
    <row r="496" spans="1:11">
      <c r="A496" s="2204" t="s">
        <v>11348</v>
      </c>
      <c r="B496" s="2174" t="s">
        <v>11349</v>
      </c>
      <c r="C496" s="2208"/>
      <c r="D496" s="2212"/>
      <c r="E496" s="2212" t="s">
        <v>6322</v>
      </c>
      <c r="F496" s="2527">
        <v>13758670</v>
      </c>
      <c r="G496" s="2209">
        <v>15822470.5</v>
      </c>
      <c r="H496" s="2175">
        <v>44708</v>
      </c>
      <c r="I496" s="2177">
        <v>45803</v>
      </c>
      <c r="J496" s="2407"/>
      <c r="K496" s="2211"/>
    </row>
    <row r="497" spans="1:11">
      <c r="A497" s="2204" t="s">
        <v>11238</v>
      </c>
      <c r="B497" s="2174" t="s">
        <v>11239</v>
      </c>
      <c r="C497" s="2208"/>
      <c r="D497" s="2212"/>
      <c r="E497" s="2212" t="s">
        <v>6322</v>
      </c>
      <c r="F497" s="2527">
        <v>2080500</v>
      </c>
      <c r="G497" s="2209">
        <v>2517405</v>
      </c>
      <c r="H497" s="2175">
        <v>44708</v>
      </c>
      <c r="I497" s="2177">
        <v>45803</v>
      </c>
      <c r="J497" s="2407"/>
      <c r="K497" s="2211"/>
    </row>
    <row r="498" spans="1:11">
      <c r="A498" s="2204" t="s">
        <v>14023</v>
      </c>
      <c r="B498" s="2174" t="s">
        <v>14024</v>
      </c>
      <c r="C498" s="2208">
        <v>1</v>
      </c>
      <c r="D498" s="2212" t="s">
        <v>14026</v>
      </c>
      <c r="E498" s="2212" t="s">
        <v>12177</v>
      </c>
      <c r="F498" s="2527">
        <v>2359570</v>
      </c>
      <c r="G498" s="2209">
        <v>2855079.7</v>
      </c>
      <c r="H498" s="2175">
        <v>45075</v>
      </c>
      <c r="I498" s="2177">
        <v>45805</v>
      </c>
      <c r="J498" s="2407"/>
      <c r="K498" s="2211"/>
    </row>
    <row r="499" spans="1:11">
      <c r="A499" s="2204" t="s">
        <v>11340</v>
      </c>
      <c r="B499" s="2174" t="s">
        <v>11260</v>
      </c>
      <c r="C499" s="2208">
        <v>2</v>
      </c>
      <c r="D499" s="2212" t="s">
        <v>11262</v>
      </c>
      <c r="E499" s="2212" t="s">
        <v>1433</v>
      </c>
      <c r="F499" s="2527">
        <v>830620</v>
      </c>
      <c r="G499" s="2209">
        <v>1005050.2</v>
      </c>
      <c r="H499" s="2175">
        <v>44712</v>
      </c>
      <c r="I499" s="2177">
        <v>45807</v>
      </c>
      <c r="J499" s="2407"/>
      <c r="K499" s="2211"/>
    </row>
    <row r="500" spans="1:11" ht="45">
      <c r="A500" s="2238" t="s">
        <v>8213</v>
      </c>
      <c r="B500" s="2869" t="s">
        <v>8214</v>
      </c>
      <c r="C500" s="2218">
        <v>1</v>
      </c>
      <c r="D500" s="2228" t="s">
        <v>3795</v>
      </c>
      <c r="E500" s="2372" t="s">
        <v>7928</v>
      </c>
      <c r="F500" s="2215">
        <v>38794688</v>
      </c>
      <c r="G500" s="2215">
        <v>44793519</v>
      </c>
      <c r="H500" s="2216">
        <v>44349</v>
      </c>
      <c r="I500" s="3346" t="s">
        <v>10355</v>
      </c>
      <c r="J500" s="2407" t="s">
        <v>18188</v>
      </c>
      <c r="K500" s="2211"/>
    </row>
    <row r="501" spans="1:11" ht="30">
      <c r="A501" s="3398" t="s">
        <v>8213</v>
      </c>
      <c r="B501" s="3406" t="s">
        <v>8214</v>
      </c>
      <c r="C501" s="3400">
        <v>2</v>
      </c>
      <c r="D501" s="3401" t="s">
        <v>8399</v>
      </c>
      <c r="E501" s="3402" t="s">
        <v>7928</v>
      </c>
      <c r="F501" s="3403">
        <v>7340860.9199999999</v>
      </c>
      <c r="G501" s="3403">
        <v>8458339.5600000005</v>
      </c>
      <c r="H501" s="3404">
        <v>44349</v>
      </c>
      <c r="I501" s="3405" t="s">
        <v>10355</v>
      </c>
      <c r="J501" s="2407"/>
      <c r="K501" s="2211"/>
    </row>
    <row r="502" spans="1:11" ht="30">
      <c r="A502" s="3398" t="s">
        <v>8213</v>
      </c>
      <c r="B502" s="3406" t="s">
        <v>8214</v>
      </c>
      <c r="C502" s="3400">
        <v>3</v>
      </c>
      <c r="D502" s="3401" t="s">
        <v>3797</v>
      </c>
      <c r="E502" s="3402" t="s">
        <v>7928</v>
      </c>
      <c r="F502" s="3403">
        <v>11805145.800000001</v>
      </c>
      <c r="G502" s="3403">
        <v>13631965.199999999</v>
      </c>
      <c r="H502" s="3404">
        <v>44349</v>
      </c>
      <c r="I502" s="3405" t="s">
        <v>10355</v>
      </c>
      <c r="J502" s="2407"/>
      <c r="K502" s="2211"/>
    </row>
    <row r="503" spans="1:11">
      <c r="A503" s="2204" t="s">
        <v>14395</v>
      </c>
      <c r="B503" s="2213" t="s">
        <v>14396</v>
      </c>
      <c r="C503" s="2208"/>
      <c r="D503" s="2176"/>
      <c r="E503" s="2212" t="s">
        <v>1433</v>
      </c>
      <c r="F503" s="2209">
        <v>1932940</v>
      </c>
      <c r="G503" s="2209">
        <v>2338857.4</v>
      </c>
      <c r="H503" s="2175">
        <v>45083</v>
      </c>
      <c r="I503" s="2177">
        <v>45813</v>
      </c>
      <c r="J503" s="2407"/>
      <c r="K503" s="2211"/>
    </row>
    <row r="504" spans="1:11">
      <c r="A504" s="2204" t="s">
        <v>11237</v>
      </c>
      <c r="B504" s="2213" t="s">
        <v>11236</v>
      </c>
      <c r="C504" s="2208"/>
      <c r="D504" s="2176"/>
      <c r="E504" s="2212" t="s">
        <v>11810</v>
      </c>
      <c r="F504" s="2209">
        <v>158714871</v>
      </c>
      <c r="G504" s="2209">
        <v>192044994</v>
      </c>
      <c r="H504" s="2175">
        <v>44729</v>
      </c>
      <c r="I504" s="2177">
        <v>45824</v>
      </c>
      <c r="J504" s="2407"/>
      <c r="K504" s="2211"/>
    </row>
    <row r="505" spans="1:11">
      <c r="A505" s="2204" t="s">
        <v>14534</v>
      </c>
      <c r="B505" s="2213" t="s">
        <v>14533</v>
      </c>
      <c r="C505" s="2208">
        <v>2</v>
      </c>
      <c r="D505" s="2176" t="s">
        <v>14538</v>
      </c>
      <c r="E505" s="2212" t="s">
        <v>14869</v>
      </c>
      <c r="F505" s="2209">
        <v>944650.6</v>
      </c>
      <c r="G505" s="2209">
        <v>1086618.19</v>
      </c>
      <c r="H505" s="2175">
        <v>45096</v>
      </c>
      <c r="I505" s="2177">
        <v>45826</v>
      </c>
      <c r="J505" s="2407"/>
      <c r="K505" s="2211"/>
    </row>
    <row r="506" spans="1:11">
      <c r="A506" s="2204" t="s">
        <v>9249</v>
      </c>
      <c r="B506" s="2213" t="s">
        <v>9250</v>
      </c>
      <c r="C506" s="2208">
        <v>6</v>
      </c>
      <c r="D506" s="2176" t="s">
        <v>9256</v>
      </c>
      <c r="E506" s="2212" t="s">
        <v>5696</v>
      </c>
      <c r="F506" s="2209">
        <v>2737708</v>
      </c>
      <c r="G506" s="2209">
        <v>3312626.68</v>
      </c>
      <c r="H506" s="2175">
        <v>44732</v>
      </c>
      <c r="I506" s="2177">
        <v>45827</v>
      </c>
      <c r="J506" s="2407"/>
      <c r="K506" s="2211"/>
    </row>
    <row r="507" spans="1:11">
      <c r="A507" s="2204" t="s">
        <v>9249</v>
      </c>
      <c r="B507" s="2213" t="s">
        <v>9250</v>
      </c>
      <c r="C507" s="2208">
        <v>10</v>
      </c>
      <c r="D507" s="2176" t="s">
        <v>4266</v>
      </c>
      <c r="E507" s="2212" t="s">
        <v>993</v>
      </c>
      <c r="F507" s="2209">
        <f>'VZ-2022'!R18</f>
        <v>817000</v>
      </c>
      <c r="G507" s="2209">
        <f>'VZ-2022'!S18</f>
        <v>988570</v>
      </c>
      <c r="H507" s="2175">
        <v>44735</v>
      </c>
      <c r="I507" s="2177">
        <v>45830</v>
      </c>
      <c r="J507" s="2407"/>
      <c r="K507" s="2211"/>
    </row>
    <row r="508" spans="1:11">
      <c r="A508" s="2204" t="s">
        <v>14940</v>
      </c>
      <c r="B508" s="2213" t="s">
        <v>14941</v>
      </c>
      <c r="C508" s="2208"/>
      <c r="D508" s="2176"/>
      <c r="E508" s="2212" t="s">
        <v>993</v>
      </c>
      <c r="F508" s="2209">
        <v>1150000</v>
      </c>
      <c r="G508" s="2209">
        <v>1391500</v>
      </c>
      <c r="H508" s="2175">
        <v>45105</v>
      </c>
      <c r="I508" s="2177">
        <v>45836</v>
      </c>
      <c r="J508" s="2407"/>
      <c r="K508" s="2211"/>
    </row>
    <row r="509" spans="1:11">
      <c r="A509" s="2204" t="s">
        <v>11698</v>
      </c>
      <c r="B509" s="2213" t="s">
        <v>11699</v>
      </c>
      <c r="C509" s="2208"/>
      <c r="D509" s="2176" t="s">
        <v>11261</v>
      </c>
      <c r="E509" s="2212" t="s">
        <v>12440</v>
      </c>
      <c r="F509" s="2209">
        <v>1176687</v>
      </c>
      <c r="G509" s="2209">
        <v>1493791.27</v>
      </c>
      <c r="H509" s="2175">
        <v>44743</v>
      </c>
      <c r="I509" s="2177">
        <v>45838</v>
      </c>
      <c r="J509" s="2407"/>
      <c r="K509" s="2211"/>
    </row>
    <row r="510" spans="1:11">
      <c r="A510" s="2204" t="s">
        <v>14335</v>
      </c>
      <c r="B510" s="2213" t="s">
        <v>14336</v>
      </c>
      <c r="C510" s="2208"/>
      <c r="D510" s="2176"/>
      <c r="E510" s="2212" t="s">
        <v>43</v>
      </c>
      <c r="F510" s="2209">
        <v>1503110</v>
      </c>
      <c r="G510" s="2209">
        <v>1818763.1</v>
      </c>
      <c r="H510" s="2175">
        <v>45030</v>
      </c>
      <c r="I510" s="2177">
        <v>45838</v>
      </c>
      <c r="J510" s="2407"/>
      <c r="K510" s="2211"/>
    </row>
    <row r="511" spans="1:11" ht="30">
      <c r="A511" s="2204" t="s">
        <v>8182</v>
      </c>
      <c r="B511" s="2174" t="s">
        <v>7983</v>
      </c>
      <c r="C511" s="2208">
        <v>1</v>
      </c>
      <c r="D511" s="2213" t="s">
        <v>8242</v>
      </c>
      <c r="E511" s="2212" t="s">
        <v>3478</v>
      </c>
      <c r="F511" s="2209">
        <v>76586280</v>
      </c>
      <c r="G511" s="2209">
        <v>92669398.799999997</v>
      </c>
      <c r="H511" s="2175">
        <v>44391</v>
      </c>
      <c r="I511" s="2175">
        <v>45851</v>
      </c>
      <c r="J511" s="2210"/>
      <c r="K511" s="2211"/>
    </row>
    <row r="512" spans="1:11" ht="30">
      <c r="A512" s="2204" t="s">
        <v>8182</v>
      </c>
      <c r="B512" s="2174" t="s">
        <v>7983</v>
      </c>
      <c r="C512" s="2278">
        <v>2</v>
      </c>
      <c r="D512" s="2279" t="s">
        <v>8243</v>
      </c>
      <c r="E512" s="2369" t="s">
        <v>3478</v>
      </c>
      <c r="F512" s="2280">
        <v>23760000</v>
      </c>
      <c r="G512" s="2280">
        <v>28749600</v>
      </c>
      <c r="H512" s="2175">
        <v>44391</v>
      </c>
      <c r="I512" s="2175">
        <v>45851</v>
      </c>
      <c r="J512" s="2210"/>
      <c r="K512" s="2211"/>
    </row>
    <row r="513" spans="1:11">
      <c r="A513" s="2204" t="s">
        <v>11096</v>
      </c>
      <c r="B513" s="2174" t="s">
        <v>11097</v>
      </c>
      <c r="C513" s="2278">
        <v>1</v>
      </c>
      <c r="D513" s="2279" t="s">
        <v>9255</v>
      </c>
      <c r="E513" s="2369" t="s">
        <v>1433</v>
      </c>
      <c r="F513" s="2280">
        <v>700000</v>
      </c>
      <c r="G513" s="2280">
        <v>847000</v>
      </c>
      <c r="H513" s="2175">
        <v>44764</v>
      </c>
      <c r="I513" s="2175">
        <v>45859</v>
      </c>
      <c r="J513" s="2210"/>
      <c r="K513" s="2211"/>
    </row>
    <row r="514" spans="1:11">
      <c r="A514" s="2204" t="s">
        <v>11096</v>
      </c>
      <c r="B514" s="2174" t="s">
        <v>11097</v>
      </c>
      <c r="C514" s="2278">
        <v>2</v>
      </c>
      <c r="D514" s="2279" t="s">
        <v>9258</v>
      </c>
      <c r="E514" s="2369" t="s">
        <v>1433</v>
      </c>
      <c r="F514" s="2280">
        <v>3488800</v>
      </c>
      <c r="G514" s="2280">
        <v>4221448</v>
      </c>
      <c r="H514" s="2175">
        <v>44764</v>
      </c>
      <c r="I514" s="2175">
        <v>45859</v>
      </c>
      <c r="J514" s="2210"/>
      <c r="K514" s="2211"/>
    </row>
    <row r="515" spans="1:11">
      <c r="A515" s="2204" t="s">
        <v>15062</v>
      </c>
      <c r="B515" s="2174" t="s">
        <v>15063</v>
      </c>
      <c r="C515" s="2278"/>
      <c r="D515" s="2279"/>
      <c r="E515" s="2369" t="s">
        <v>13594</v>
      </c>
      <c r="F515" s="2280">
        <v>1383800</v>
      </c>
      <c r="G515" s="2280">
        <v>1674398</v>
      </c>
      <c r="H515" s="2175">
        <v>45131</v>
      </c>
      <c r="I515" s="2175">
        <v>45861</v>
      </c>
      <c r="J515" s="2210"/>
      <c r="K515" s="2211"/>
    </row>
    <row r="516" spans="1:11">
      <c r="A516" s="2204" t="s">
        <v>15094</v>
      </c>
      <c r="B516" s="2174" t="s">
        <v>15095</v>
      </c>
      <c r="C516" s="2208"/>
      <c r="D516" s="2212"/>
      <c r="E516" s="2212" t="s">
        <v>659</v>
      </c>
      <c r="F516" s="2527">
        <v>1164800</v>
      </c>
      <c r="G516" s="2209">
        <v>1409408</v>
      </c>
      <c r="H516" s="2175">
        <v>45135</v>
      </c>
      <c r="I516" s="2177">
        <v>45865</v>
      </c>
      <c r="J516" s="2407"/>
      <c r="K516" s="2211"/>
    </row>
    <row r="517" spans="1:11">
      <c r="A517" s="2204" t="s">
        <v>12255</v>
      </c>
      <c r="B517" s="2174" t="s">
        <v>12256</v>
      </c>
      <c r="C517" s="2278"/>
      <c r="D517" s="2279"/>
      <c r="E517" s="2369" t="s">
        <v>1433</v>
      </c>
      <c r="F517" s="2280">
        <v>1667592.11</v>
      </c>
      <c r="G517" s="2280">
        <v>2017786.45</v>
      </c>
      <c r="H517" s="2175">
        <v>44775</v>
      </c>
      <c r="I517" s="2175">
        <v>45870</v>
      </c>
      <c r="J517" s="2210"/>
      <c r="K517" s="2211"/>
    </row>
    <row r="518" spans="1:11">
      <c r="A518" s="2204" t="s">
        <v>11461</v>
      </c>
      <c r="B518" s="2174" t="s">
        <v>11462</v>
      </c>
      <c r="C518" s="2278"/>
      <c r="D518" s="2279"/>
      <c r="E518" s="2369" t="s">
        <v>4839</v>
      </c>
      <c r="F518" s="2280">
        <v>1167300</v>
      </c>
      <c r="G518" s="2280">
        <v>1412433</v>
      </c>
      <c r="H518" s="2175">
        <v>44776</v>
      </c>
      <c r="I518" s="2175">
        <v>45871</v>
      </c>
      <c r="J518" s="2210"/>
      <c r="K518" s="2211"/>
    </row>
    <row r="519" spans="1:11" ht="30">
      <c r="A519" s="2204" t="s">
        <v>12341</v>
      </c>
      <c r="B519" s="2174" t="s">
        <v>12342</v>
      </c>
      <c r="C519" s="2278"/>
      <c r="D519" s="2279"/>
      <c r="E519" s="2369" t="s">
        <v>10562</v>
      </c>
      <c r="F519" s="2280">
        <v>1297500</v>
      </c>
      <c r="G519" s="2280">
        <v>1569975</v>
      </c>
      <c r="H519" s="2175">
        <v>44791</v>
      </c>
      <c r="I519" s="2175">
        <v>45886</v>
      </c>
      <c r="J519" s="2210"/>
      <c r="K519" s="2211"/>
    </row>
    <row r="520" spans="1:11">
      <c r="A520" s="2204" t="s">
        <v>9249</v>
      </c>
      <c r="B520" s="2174" t="s">
        <v>9250</v>
      </c>
      <c r="C520" s="2278">
        <v>4</v>
      </c>
      <c r="D520" s="2279" t="s">
        <v>9254</v>
      </c>
      <c r="E520" s="2369" t="s">
        <v>993</v>
      </c>
      <c r="F520" s="2280">
        <v>811725</v>
      </c>
      <c r="G520" s="2280">
        <v>982187.25</v>
      </c>
      <c r="H520" s="2175">
        <v>44796</v>
      </c>
      <c r="I520" s="2175">
        <v>45891</v>
      </c>
      <c r="J520" s="2210"/>
      <c r="K520" s="2211"/>
    </row>
    <row r="521" spans="1:11">
      <c r="A521" s="2204" t="s">
        <v>9249</v>
      </c>
      <c r="B521" s="2174" t="s">
        <v>9250</v>
      </c>
      <c r="C521" s="2278">
        <v>7</v>
      </c>
      <c r="D521" s="2279" t="s">
        <v>9257</v>
      </c>
      <c r="E521" s="2369" t="s">
        <v>993</v>
      </c>
      <c r="F521" s="2280">
        <v>1999300</v>
      </c>
      <c r="G521" s="2280">
        <v>2419153</v>
      </c>
      <c r="H521" s="2175">
        <v>44796</v>
      </c>
      <c r="I521" s="2175">
        <v>45891</v>
      </c>
      <c r="J521" s="2210"/>
      <c r="K521" s="2211"/>
    </row>
    <row r="522" spans="1:11" ht="30">
      <c r="A522" s="2204" t="s">
        <v>12053</v>
      </c>
      <c r="B522" s="2174" t="s">
        <v>12054</v>
      </c>
      <c r="C522" s="2278"/>
      <c r="D522" s="2279"/>
      <c r="E522" s="2369" t="s">
        <v>2776</v>
      </c>
      <c r="F522" s="2280">
        <v>1919007.83</v>
      </c>
      <c r="G522" s="2280">
        <v>2322000</v>
      </c>
      <c r="H522" s="2175">
        <v>44804</v>
      </c>
      <c r="I522" s="2175">
        <v>45899</v>
      </c>
      <c r="J522" s="2210"/>
      <c r="K522" s="2211"/>
    </row>
    <row r="523" spans="1:11">
      <c r="A523" s="2204" t="s">
        <v>12976</v>
      </c>
      <c r="B523" s="2174" t="s">
        <v>12434</v>
      </c>
      <c r="C523" s="2278"/>
      <c r="D523" s="2279"/>
      <c r="E523" s="2369" t="s">
        <v>12760</v>
      </c>
      <c r="F523" s="2280">
        <v>556311</v>
      </c>
      <c r="G523" s="2280">
        <v>673136.31</v>
      </c>
      <c r="H523" s="2175">
        <v>44809</v>
      </c>
      <c r="I523" s="2175">
        <v>45904</v>
      </c>
      <c r="J523" s="2210"/>
      <c r="K523" s="2211"/>
    </row>
    <row r="524" spans="1:11" ht="30">
      <c r="A524" s="2204" t="s">
        <v>9073</v>
      </c>
      <c r="B524" s="2174" t="s">
        <v>7983</v>
      </c>
      <c r="C524" s="2278">
        <v>3</v>
      </c>
      <c r="D524" s="2279" t="s">
        <v>9078</v>
      </c>
      <c r="E524" s="2369" t="s">
        <v>3478</v>
      </c>
      <c r="F524" s="2280">
        <v>29719005.600000001</v>
      </c>
      <c r="G524" s="2280">
        <v>35960000</v>
      </c>
      <c r="H524" s="2175">
        <v>44452</v>
      </c>
      <c r="I524" s="2175">
        <v>45912</v>
      </c>
      <c r="J524" s="2210"/>
      <c r="K524" s="2211"/>
    </row>
    <row r="525" spans="1:11">
      <c r="A525" s="2204" t="s">
        <v>11234</v>
      </c>
      <c r="B525" s="2477" t="s">
        <v>11235</v>
      </c>
      <c r="C525" s="2278"/>
      <c r="D525" s="2279"/>
      <c r="E525" s="2369" t="s">
        <v>5908</v>
      </c>
      <c r="F525" s="2280">
        <v>2181740</v>
      </c>
      <c r="G525" s="2280">
        <v>2639905.4</v>
      </c>
      <c r="H525" s="2175">
        <v>44818</v>
      </c>
      <c r="I525" s="2175">
        <v>45913</v>
      </c>
      <c r="J525" s="2210"/>
      <c r="K525" s="2211"/>
    </row>
    <row r="526" spans="1:11">
      <c r="A526" s="2204" t="s">
        <v>11892</v>
      </c>
      <c r="B526" s="2477" t="s">
        <v>11893</v>
      </c>
      <c r="C526" s="2278"/>
      <c r="D526" s="2279"/>
      <c r="E526" s="2369" t="s">
        <v>3154</v>
      </c>
      <c r="F526" s="2280">
        <v>6170016.7999999998</v>
      </c>
      <c r="G526" s="2280">
        <v>7095520</v>
      </c>
      <c r="H526" s="2175">
        <v>44819</v>
      </c>
      <c r="I526" s="2175">
        <v>45914</v>
      </c>
      <c r="J526" s="2210"/>
      <c r="K526" s="2211"/>
    </row>
    <row r="527" spans="1:11">
      <c r="A527" s="2204" t="s">
        <v>11821</v>
      </c>
      <c r="B527" s="2477" t="s">
        <v>11822</v>
      </c>
      <c r="C527" s="2278"/>
      <c r="D527" s="2279"/>
      <c r="E527" s="2369" t="s">
        <v>6322</v>
      </c>
      <c r="F527" s="2280">
        <v>1193055.25</v>
      </c>
      <c r="G527" s="2280">
        <v>1443596.85</v>
      </c>
      <c r="H527" s="2175">
        <v>44826</v>
      </c>
      <c r="I527" s="2175">
        <v>45921</v>
      </c>
      <c r="J527" s="2210"/>
      <c r="K527" s="2211"/>
    </row>
    <row r="528" spans="1:11">
      <c r="A528" s="2204" t="s">
        <v>15078</v>
      </c>
      <c r="B528" s="2477" t="s">
        <v>15079</v>
      </c>
      <c r="C528" s="2278"/>
      <c r="D528" s="2279"/>
      <c r="E528" s="2369" t="s">
        <v>993</v>
      </c>
      <c r="F528" s="2280">
        <v>581640</v>
      </c>
      <c r="G528" s="2280">
        <v>703784.4</v>
      </c>
      <c r="H528" s="2175">
        <v>45196</v>
      </c>
      <c r="I528" s="2175">
        <v>45926</v>
      </c>
      <c r="J528" s="2210"/>
      <c r="K528" s="2211"/>
    </row>
    <row r="529" spans="1:11">
      <c r="A529" s="2204" t="s">
        <v>11874</v>
      </c>
      <c r="B529" s="2477" t="s">
        <v>11875</v>
      </c>
      <c r="C529" s="2278"/>
      <c r="D529" s="2279"/>
      <c r="E529" s="2369" t="s">
        <v>6322</v>
      </c>
      <c r="F529" s="2280">
        <v>1083460.6000000001</v>
      </c>
      <c r="G529" s="2280">
        <v>1310987.08</v>
      </c>
      <c r="H529" s="2175">
        <v>44844</v>
      </c>
      <c r="I529" s="2175">
        <v>45939</v>
      </c>
      <c r="J529" s="2210"/>
      <c r="K529" s="2211"/>
    </row>
    <row r="530" spans="1:11" ht="30">
      <c r="A530" s="2204" t="s">
        <v>12938</v>
      </c>
      <c r="B530" s="2477" t="s">
        <v>12939</v>
      </c>
      <c r="C530" s="2278"/>
      <c r="D530" s="2279"/>
      <c r="E530" s="2369" t="s">
        <v>6763</v>
      </c>
      <c r="F530" s="2280">
        <v>1695000</v>
      </c>
      <c r="G530" s="2280">
        <v>1949250</v>
      </c>
      <c r="H530" s="2175">
        <v>44845</v>
      </c>
      <c r="I530" s="2175">
        <v>45940</v>
      </c>
      <c r="J530" s="2210"/>
      <c r="K530" s="2211"/>
    </row>
    <row r="531" spans="1:11" ht="30">
      <c r="A531" s="2204" t="s">
        <v>12307</v>
      </c>
      <c r="B531" s="2477" t="s">
        <v>12308</v>
      </c>
      <c r="C531" s="2278"/>
      <c r="D531" s="2279"/>
      <c r="E531" s="2369" t="s">
        <v>12929</v>
      </c>
      <c r="F531" s="2280">
        <v>373940.73</v>
      </c>
      <c r="G531" s="2280">
        <v>430031.88</v>
      </c>
      <c r="H531" s="2175">
        <v>44847</v>
      </c>
      <c r="I531" s="2175">
        <v>45942</v>
      </c>
      <c r="J531" s="2210"/>
      <c r="K531" s="2211"/>
    </row>
    <row r="532" spans="1:11" ht="30">
      <c r="A532" s="2204" t="s">
        <v>15182</v>
      </c>
      <c r="B532" s="2477" t="s">
        <v>12308</v>
      </c>
      <c r="C532" s="2278"/>
      <c r="D532" s="2279"/>
      <c r="E532" s="2369" t="s">
        <v>12929</v>
      </c>
      <c r="F532" s="2280">
        <v>593641.80000000005</v>
      </c>
      <c r="G532" s="2280">
        <v>682688.07</v>
      </c>
      <c r="H532" s="2175">
        <v>45128</v>
      </c>
      <c r="I532" s="2175">
        <v>45942</v>
      </c>
      <c r="J532" s="2210"/>
      <c r="K532" s="2211"/>
    </row>
    <row r="533" spans="1:11">
      <c r="A533" s="2204" t="s">
        <v>13081</v>
      </c>
      <c r="B533" s="2477" t="s">
        <v>13082</v>
      </c>
      <c r="C533" s="2278"/>
      <c r="D533" s="2279"/>
      <c r="E533" s="2369" t="s">
        <v>13191</v>
      </c>
      <c r="F533" s="2280">
        <v>1620595</v>
      </c>
      <c r="G533" s="2280">
        <v>1960919.95</v>
      </c>
      <c r="H533" s="2175">
        <v>44852</v>
      </c>
      <c r="I533" s="2175">
        <v>45947</v>
      </c>
      <c r="J533" s="2210"/>
      <c r="K533" s="2211"/>
    </row>
    <row r="534" spans="1:11" ht="30">
      <c r="A534" s="2204" t="s">
        <v>12328</v>
      </c>
      <c r="B534" s="2477" t="s">
        <v>12320</v>
      </c>
      <c r="C534" s="2278">
        <v>1</v>
      </c>
      <c r="D534" s="2182" t="s">
        <v>12324</v>
      </c>
      <c r="E534" s="2369" t="s">
        <v>2776</v>
      </c>
      <c r="F534" s="2280">
        <v>125235000</v>
      </c>
      <c r="G534" s="2280">
        <v>144020250</v>
      </c>
      <c r="H534" s="2175">
        <v>44852</v>
      </c>
      <c r="I534" s="2175">
        <v>45947</v>
      </c>
      <c r="J534" s="2210"/>
      <c r="K534" s="2211"/>
    </row>
    <row r="535" spans="1:11" ht="30">
      <c r="A535" s="2204" t="s">
        <v>12328</v>
      </c>
      <c r="B535" s="2477" t="s">
        <v>12320</v>
      </c>
      <c r="C535" s="2278">
        <v>3</v>
      </c>
      <c r="D535" s="2182" t="s">
        <v>12326</v>
      </c>
      <c r="E535" s="2369" t="s">
        <v>6763</v>
      </c>
      <c r="F535" s="2280">
        <v>106212660</v>
      </c>
      <c r="G535" s="2280">
        <v>122144559</v>
      </c>
      <c r="H535" s="2175">
        <v>44853</v>
      </c>
      <c r="I535" s="2175">
        <v>45948</v>
      </c>
      <c r="J535" s="2210"/>
      <c r="K535" s="2211"/>
    </row>
    <row r="536" spans="1:11" ht="30">
      <c r="A536" s="2204" t="s">
        <v>12328</v>
      </c>
      <c r="B536" s="2477" t="s">
        <v>12320</v>
      </c>
      <c r="C536" s="2278">
        <v>4</v>
      </c>
      <c r="D536" s="2182" t="s">
        <v>12327</v>
      </c>
      <c r="E536" s="2369" t="s">
        <v>6763</v>
      </c>
      <c r="F536" s="2280">
        <v>67157310</v>
      </c>
      <c r="G536" s="2280">
        <v>77230906.5</v>
      </c>
      <c r="H536" s="2175">
        <v>44853</v>
      </c>
      <c r="I536" s="2175">
        <v>45948</v>
      </c>
      <c r="J536" s="2210"/>
      <c r="K536" s="2211"/>
    </row>
    <row r="537" spans="1:11">
      <c r="A537" s="2204" t="s">
        <v>15793</v>
      </c>
      <c r="B537" s="2477" t="s">
        <v>15792</v>
      </c>
      <c r="C537" s="2278"/>
      <c r="D537" s="2182"/>
      <c r="E537" s="2369" t="s">
        <v>15975</v>
      </c>
      <c r="F537" s="2280">
        <v>1178430</v>
      </c>
      <c r="G537" s="2280">
        <v>1425900.5</v>
      </c>
      <c r="H537" s="2175">
        <v>45218</v>
      </c>
      <c r="I537" s="2175">
        <v>45948</v>
      </c>
      <c r="J537" s="2210"/>
      <c r="K537" s="2211"/>
    </row>
    <row r="538" spans="1:11">
      <c r="A538" s="2204" t="s">
        <v>12964</v>
      </c>
      <c r="B538" s="2477" t="s">
        <v>12965</v>
      </c>
      <c r="C538" s="2278"/>
      <c r="D538" s="2182"/>
      <c r="E538" s="2369" t="s">
        <v>8190</v>
      </c>
      <c r="F538" s="2280">
        <v>1453200</v>
      </c>
      <c r="G538" s="2280">
        <v>1758372</v>
      </c>
      <c r="H538" s="2175">
        <v>44858</v>
      </c>
      <c r="I538" s="2175">
        <v>45953</v>
      </c>
      <c r="J538" s="2210"/>
      <c r="K538" s="2211"/>
    </row>
    <row r="539" spans="1:11" ht="30">
      <c r="A539" s="2204" t="s">
        <v>12818</v>
      </c>
      <c r="B539" s="2477" t="s">
        <v>5313</v>
      </c>
      <c r="C539" s="2278"/>
      <c r="D539" s="2182"/>
      <c r="E539" s="2369" t="s">
        <v>6833</v>
      </c>
      <c r="F539" s="2280">
        <v>363375</v>
      </c>
      <c r="G539" s="2280">
        <v>417881.25</v>
      </c>
      <c r="H539" s="2175">
        <v>44826</v>
      </c>
      <c r="I539" s="2175">
        <v>45953</v>
      </c>
      <c r="J539" s="2210"/>
      <c r="K539" s="2211"/>
    </row>
    <row r="540" spans="1:11">
      <c r="A540" s="2204" t="s">
        <v>9685</v>
      </c>
      <c r="B540" s="2402" t="s">
        <v>9686</v>
      </c>
      <c r="C540" s="2278"/>
      <c r="D540" s="2279"/>
      <c r="E540" s="2369" t="s">
        <v>9987</v>
      </c>
      <c r="F540" s="2280">
        <v>2492808.5</v>
      </c>
      <c r="G540" s="2280">
        <v>3016298.29</v>
      </c>
      <c r="H540" s="2175">
        <v>44501</v>
      </c>
      <c r="I540" s="2175">
        <v>45961</v>
      </c>
      <c r="J540" s="2210"/>
      <c r="K540" s="2211"/>
    </row>
    <row r="541" spans="1:11">
      <c r="A541" s="2204" t="s">
        <v>12446</v>
      </c>
      <c r="B541" s="2668" t="s">
        <v>13482</v>
      </c>
      <c r="C541" s="2278"/>
      <c r="D541" s="2279"/>
      <c r="E541" s="2369" t="s">
        <v>13481</v>
      </c>
      <c r="F541" s="2280">
        <v>4327776</v>
      </c>
      <c r="G541" s="2280">
        <v>5236608.96</v>
      </c>
      <c r="H541" s="2175">
        <v>44868</v>
      </c>
      <c r="I541" s="2175">
        <v>45963</v>
      </c>
      <c r="J541" s="2210"/>
      <c r="K541" s="2211"/>
    </row>
    <row r="542" spans="1:11">
      <c r="A542" s="2204" t="s">
        <v>15332</v>
      </c>
      <c r="B542" s="2942" t="s">
        <v>15311</v>
      </c>
      <c r="C542" s="2278"/>
      <c r="D542" s="2279"/>
      <c r="E542" s="2369" t="s">
        <v>13191</v>
      </c>
      <c r="F542" s="2280">
        <v>2988000</v>
      </c>
      <c r="G542" s="2280">
        <v>3615480</v>
      </c>
      <c r="H542" s="2175">
        <v>45238</v>
      </c>
      <c r="I542" s="2175">
        <v>45968</v>
      </c>
      <c r="J542" s="2210"/>
      <c r="K542" s="2211"/>
    </row>
    <row r="543" spans="1:11">
      <c r="A543" s="2204" t="s">
        <v>12522</v>
      </c>
      <c r="B543" s="2941" t="s">
        <v>13552</v>
      </c>
      <c r="C543" s="2278">
        <v>1</v>
      </c>
      <c r="D543" s="2182" t="s">
        <v>6953</v>
      </c>
      <c r="E543" s="2369" t="s">
        <v>7296</v>
      </c>
      <c r="F543" s="2280">
        <v>2580000</v>
      </c>
      <c r="G543" s="2280">
        <v>2967000</v>
      </c>
      <c r="H543" s="2175">
        <v>44881</v>
      </c>
      <c r="I543" s="2175">
        <v>45976</v>
      </c>
      <c r="J543" s="2210"/>
      <c r="K543" s="2211"/>
    </row>
    <row r="544" spans="1:11">
      <c r="A544" s="2204" t="s">
        <v>12524</v>
      </c>
      <c r="B544" s="2786" t="s">
        <v>13552</v>
      </c>
      <c r="C544" s="2278">
        <v>2</v>
      </c>
      <c r="D544" s="2182" t="s">
        <v>6954</v>
      </c>
      <c r="E544" s="2369" t="s">
        <v>7296</v>
      </c>
      <c r="F544" s="2280">
        <v>4110000</v>
      </c>
      <c r="G544" s="2280">
        <v>4726500</v>
      </c>
      <c r="H544" s="2175">
        <v>44881</v>
      </c>
      <c r="I544" s="2175">
        <v>45976</v>
      </c>
      <c r="J544" s="2210"/>
      <c r="K544" s="2211"/>
    </row>
    <row r="545" spans="1:11" ht="45">
      <c r="A545" s="2204" t="s">
        <v>12525</v>
      </c>
      <c r="B545" s="2786" t="s">
        <v>13552</v>
      </c>
      <c r="C545" s="2278">
        <v>3</v>
      </c>
      <c r="D545" s="2182" t="s">
        <v>12528</v>
      </c>
      <c r="E545" s="2369" t="s">
        <v>7296</v>
      </c>
      <c r="F545" s="2280">
        <v>8384200</v>
      </c>
      <c r="G545" s="2280">
        <v>9641830</v>
      </c>
      <c r="H545" s="2175">
        <v>44881</v>
      </c>
      <c r="I545" s="2175">
        <v>45976</v>
      </c>
      <c r="J545" s="2210"/>
      <c r="K545" s="2211"/>
    </row>
    <row r="546" spans="1:11" ht="30">
      <c r="A546" s="2204" t="s">
        <v>12526</v>
      </c>
      <c r="B546" s="2786" t="s">
        <v>13552</v>
      </c>
      <c r="C546" s="2278">
        <v>4</v>
      </c>
      <c r="D546" s="2182" t="s">
        <v>12529</v>
      </c>
      <c r="E546" s="2369" t="s">
        <v>7296</v>
      </c>
      <c r="F546" s="2280">
        <v>4362500</v>
      </c>
      <c r="G546" s="2280">
        <v>5016875</v>
      </c>
      <c r="H546" s="2175">
        <v>44881</v>
      </c>
      <c r="I546" s="2175">
        <v>45976</v>
      </c>
      <c r="J546" s="2210"/>
      <c r="K546" s="2211"/>
    </row>
    <row r="547" spans="1:11" ht="30">
      <c r="A547" s="2204" t="s">
        <v>12527</v>
      </c>
      <c r="B547" s="2786" t="s">
        <v>13552</v>
      </c>
      <c r="C547" s="2278">
        <v>5</v>
      </c>
      <c r="D547" s="2182" t="s">
        <v>12530</v>
      </c>
      <c r="E547" s="2369" t="s">
        <v>7296</v>
      </c>
      <c r="F547" s="2280">
        <v>3785500</v>
      </c>
      <c r="G547" s="2280">
        <v>4353325</v>
      </c>
      <c r="H547" s="2175">
        <v>44881</v>
      </c>
      <c r="I547" s="2175">
        <v>45976</v>
      </c>
      <c r="J547" s="2210"/>
      <c r="K547" s="2211"/>
    </row>
    <row r="548" spans="1:11">
      <c r="A548" s="2204" t="s">
        <v>12112</v>
      </c>
      <c r="B548" s="2786" t="s">
        <v>12109</v>
      </c>
      <c r="C548" s="2278">
        <v>3</v>
      </c>
      <c r="D548" s="2182" t="s">
        <v>12114</v>
      </c>
      <c r="E548" s="2369" t="s">
        <v>1433</v>
      </c>
      <c r="F548" s="2280">
        <v>1958239.8</v>
      </c>
      <c r="G548" s="2280">
        <v>2369471.7000000002</v>
      </c>
      <c r="H548" s="2175">
        <v>44888</v>
      </c>
      <c r="I548" s="2175">
        <v>45983</v>
      </c>
      <c r="J548" s="2210"/>
      <c r="K548" s="2211"/>
    </row>
    <row r="549" spans="1:11">
      <c r="A549" s="2204" t="s">
        <v>12111</v>
      </c>
      <c r="B549" s="2786" t="s">
        <v>12109</v>
      </c>
      <c r="C549" s="2278">
        <v>2</v>
      </c>
      <c r="D549" s="2182" t="s">
        <v>12113</v>
      </c>
      <c r="E549" s="2369" t="s">
        <v>4857</v>
      </c>
      <c r="F549" s="2280">
        <v>1715345.4</v>
      </c>
      <c r="G549" s="2280">
        <v>2075567.93</v>
      </c>
      <c r="H549" s="2175">
        <v>44893</v>
      </c>
      <c r="I549" s="2175">
        <v>45988</v>
      </c>
      <c r="J549" s="2210"/>
      <c r="K549" s="2211"/>
    </row>
    <row r="550" spans="1:11" ht="30">
      <c r="A550" s="2204" t="s">
        <v>12321</v>
      </c>
      <c r="B550" s="2793" t="s">
        <v>12320</v>
      </c>
      <c r="C550" s="2278">
        <v>2</v>
      </c>
      <c r="D550" s="2182" t="s">
        <v>12325</v>
      </c>
      <c r="E550" s="2369" t="s">
        <v>8793</v>
      </c>
      <c r="F550" s="2280">
        <v>25047000</v>
      </c>
      <c r="G550" s="2280">
        <v>30306870</v>
      </c>
      <c r="H550" s="2175">
        <v>44895</v>
      </c>
      <c r="I550" s="2175">
        <v>45990</v>
      </c>
      <c r="J550" s="2210"/>
      <c r="K550" s="2211"/>
    </row>
    <row r="551" spans="1:11">
      <c r="A551" s="2204" t="s">
        <v>12108</v>
      </c>
      <c r="B551" s="2786" t="s">
        <v>12109</v>
      </c>
      <c r="C551" s="2278">
        <v>1</v>
      </c>
      <c r="D551" s="2182" t="s">
        <v>12110</v>
      </c>
      <c r="E551" s="2369" t="s">
        <v>6763</v>
      </c>
      <c r="F551" s="2280">
        <v>3802500</v>
      </c>
      <c r="G551" s="2280">
        <v>4601025</v>
      </c>
      <c r="H551" s="2175">
        <v>44896</v>
      </c>
      <c r="I551" s="2175">
        <v>45991</v>
      </c>
      <c r="J551" s="2210"/>
      <c r="K551" s="2211"/>
    </row>
    <row r="552" spans="1:11">
      <c r="A552" s="2204" t="s">
        <v>13284</v>
      </c>
      <c r="B552" s="2786" t="s">
        <v>13285</v>
      </c>
      <c r="C552" s="2278"/>
      <c r="D552" s="2182"/>
      <c r="E552" s="2369" t="s">
        <v>9770</v>
      </c>
      <c r="F552" s="2280">
        <v>614400</v>
      </c>
      <c r="G552" s="2280">
        <v>743424</v>
      </c>
      <c r="H552" s="2175">
        <v>44896</v>
      </c>
      <c r="I552" s="2175">
        <v>45991</v>
      </c>
      <c r="J552" s="2210"/>
      <c r="K552" s="2211"/>
    </row>
    <row r="553" spans="1:11" ht="30">
      <c r="A553" s="2204" t="s">
        <v>12011</v>
      </c>
      <c r="B553" s="2793" t="s">
        <v>11496</v>
      </c>
      <c r="C553" s="2278">
        <v>1</v>
      </c>
      <c r="D553" s="2182" t="s">
        <v>11499</v>
      </c>
      <c r="E553" s="2369" t="s">
        <v>5696</v>
      </c>
      <c r="F553" s="2280">
        <v>900823.53</v>
      </c>
      <c r="G553" s="2280">
        <v>1089996.31</v>
      </c>
      <c r="H553" s="2175">
        <v>44896</v>
      </c>
      <c r="I553" s="2175">
        <v>45991</v>
      </c>
      <c r="J553" s="2210"/>
      <c r="K553" s="2211"/>
    </row>
    <row r="554" spans="1:11" ht="30">
      <c r="A554" s="2204" t="s">
        <v>12012</v>
      </c>
      <c r="B554" s="2793" t="s">
        <v>11496</v>
      </c>
      <c r="C554" s="2278">
        <v>2</v>
      </c>
      <c r="D554" s="2182" t="s">
        <v>11497</v>
      </c>
      <c r="E554" s="2369" t="s">
        <v>1400</v>
      </c>
      <c r="F554" s="2280">
        <v>1958815.08</v>
      </c>
      <c r="G554" s="2280">
        <v>2259329.9900000002</v>
      </c>
      <c r="H554" s="2175">
        <v>44901</v>
      </c>
      <c r="I554" s="2175">
        <v>45996</v>
      </c>
      <c r="J554" s="2210"/>
      <c r="K554" s="2211"/>
    </row>
    <row r="555" spans="1:11" ht="30">
      <c r="A555" s="2204" t="s">
        <v>12013</v>
      </c>
      <c r="B555" s="2793" t="s">
        <v>11496</v>
      </c>
      <c r="C555" s="2278">
        <v>3</v>
      </c>
      <c r="D555" s="2182" t="s">
        <v>11498</v>
      </c>
      <c r="E555" s="2369" t="s">
        <v>1400</v>
      </c>
      <c r="F555" s="2280">
        <v>1585198.62</v>
      </c>
      <c r="G555" s="2280">
        <v>1842406.97</v>
      </c>
      <c r="H555" s="2175">
        <v>44901</v>
      </c>
      <c r="I555" s="2175">
        <v>45996</v>
      </c>
      <c r="J555" s="2210"/>
      <c r="K555" s="2211"/>
    </row>
    <row r="556" spans="1:11">
      <c r="A556" s="2204" t="s">
        <v>16385</v>
      </c>
      <c r="B556" s="2793" t="s">
        <v>16273</v>
      </c>
      <c r="C556" s="2278"/>
      <c r="D556" s="2182"/>
      <c r="E556" s="2369" t="s">
        <v>13780</v>
      </c>
      <c r="F556" s="2280">
        <v>1088192</v>
      </c>
      <c r="G556" s="2280">
        <v>1316712.32</v>
      </c>
      <c r="H556" s="2175">
        <v>45268</v>
      </c>
      <c r="I556" s="2175">
        <v>45998</v>
      </c>
      <c r="J556" s="2210"/>
      <c r="K556" s="2211"/>
    </row>
    <row r="557" spans="1:11">
      <c r="A557" s="2204" t="s">
        <v>12967</v>
      </c>
      <c r="B557" s="2793" t="s">
        <v>12968</v>
      </c>
      <c r="C557" s="2278"/>
      <c r="D557" s="2182"/>
      <c r="E557" s="2369" t="s">
        <v>13418</v>
      </c>
      <c r="F557" s="2280">
        <v>1440000</v>
      </c>
      <c r="G557" s="2280">
        <v>1742400</v>
      </c>
      <c r="H557" s="2175">
        <v>44907</v>
      </c>
      <c r="I557" s="2175">
        <v>46002</v>
      </c>
      <c r="J557" s="2210"/>
      <c r="K557" s="2211"/>
    </row>
    <row r="558" spans="1:11">
      <c r="A558" s="2204" t="s">
        <v>12932</v>
      </c>
      <c r="B558" s="2793" t="s">
        <v>12935</v>
      </c>
      <c r="C558" s="2278">
        <v>2</v>
      </c>
      <c r="D558" s="2182" t="s">
        <v>12936</v>
      </c>
      <c r="E558" s="2369" t="s">
        <v>6695</v>
      </c>
      <c r="F558" s="2280">
        <v>10230000</v>
      </c>
      <c r="G558" s="2280">
        <v>12378300</v>
      </c>
      <c r="H558" s="2175">
        <v>44915</v>
      </c>
      <c r="I558" s="2175">
        <v>46010</v>
      </c>
      <c r="J558" s="2210"/>
      <c r="K558" s="2211"/>
    </row>
    <row r="559" spans="1:11">
      <c r="A559" s="2204" t="s">
        <v>12933</v>
      </c>
      <c r="B559" s="2793" t="s">
        <v>12935</v>
      </c>
      <c r="C559" s="2278">
        <v>3</v>
      </c>
      <c r="D559" s="2182" t="s">
        <v>12937</v>
      </c>
      <c r="E559" s="2369" t="s">
        <v>6695</v>
      </c>
      <c r="F559" s="2280">
        <v>290000</v>
      </c>
      <c r="G559" s="2280">
        <v>350900</v>
      </c>
      <c r="H559" s="2175">
        <v>44915</v>
      </c>
      <c r="I559" s="2175">
        <v>46010</v>
      </c>
      <c r="J559" s="2210"/>
      <c r="K559" s="2211"/>
    </row>
    <row r="560" spans="1:11">
      <c r="A560" s="2204" t="s">
        <v>10160</v>
      </c>
      <c r="B560" s="2477" t="s">
        <v>10161</v>
      </c>
      <c r="C560" s="2278">
        <v>1</v>
      </c>
      <c r="D560" s="2279" t="s">
        <v>10162</v>
      </c>
      <c r="E560" s="2369" t="s">
        <v>10551</v>
      </c>
      <c r="F560" s="2280">
        <v>1656392</v>
      </c>
      <c r="G560" s="2280">
        <v>2004928</v>
      </c>
      <c r="H560" s="2175">
        <v>44564</v>
      </c>
      <c r="I560" s="2175">
        <v>46024</v>
      </c>
      <c r="J560" s="2210"/>
      <c r="K560" s="2211"/>
    </row>
    <row r="561" spans="1:11">
      <c r="A561" s="2204" t="s">
        <v>9929</v>
      </c>
      <c r="B561" s="2477" t="s">
        <v>9930</v>
      </c>
      <c r="C561" s="2278"/>
      <c r="D561" s="2279"/>
      <c r="E561" s="2369" t="s">
        <v>1404</v>
      </c>
      <c r="F561" s="2280">
        <v>3247680</v>
      </c>
      <c r="G561" s="2280">
        <v>3734852</v>
      </c>
      <c r="H561" s="2175">
        <v>44564</v>
      </c>
      <c r="I561" s="2175">
        <v>46024</v>
      </c>
      <c r="J561" s="2210"/>
      <c r="K561" s="2211"/>
    </row>
    <row r="562" spans="1:11">
      <c r="A562" s="2204" t="s">
        <v>13601</v>
      </c>
      <c r="B562" s="2477" t="s">
        <v>14064</v>
      </c>
      <c r="C562" s="2278"/>
      <c r="D562" s="2279"/>
      <c r="E562" s="2369" t="s">
        <v>8278</v>
      </c>
      <c r="F562" s="2280">
        <v>119520</v>
      </c>
      <c r="G562" s="2280">
        <v>144619.20000000001</v>
      </c>
      <c r="H562" s="2175">
        <v>44931</v>
      </c>
      <c r="I562" s="2175">
        <v>46026</v>
      </c>
      <c r="J562" s="2210"/>
      <c r="K562" s="2211"/>
    </row>
    <row r="563" spans="1:11">
      <c r="A563" s="2204" t="s">
        <v>14065</v>
      </c>
      <c r="B563" s="2477" t="s">
        <v>14066</v>
      </c>
      <c r="C563" s="2278"/>
      <c r="D563" s="2279"/>
      <c r="E563" s="2369" t="s">
        <v>9770</v>
      </c>
      <c r="F563" s="2280">
        <v>417000</v>
      </c>
      <c r="G563" s="2280">
        <v>504570</v>
      </c>
      <c r="H563" s="2175">
        <v>44931</v>
      </c>
      <c r="I563" s="2175">
        <v>46026</v>
      </c>
      <c r="J563" s="2210"/>
      <c r="K563" s="2211"/>
    </row>
    <row r="564" spans="1:11">
      <c r="A564" s="2204" t="s">
        <v>12931</v>
      </c>
      <c r="B564" s="2793" t="s">
        <v>12935</v>
      </c>
      <c r="C564" s="2278">
        <v>1</v>
      </c>
      <c r="D564" s="2279" t="s">
        <v>12934</v>
      </c>
      <c r="E564" s="2369" t="s">
        <v>2776</v>
      </c>
      <c r="F564" s="2280">
        <v>14801652.890000001</v>
      </c>
      <c r="G564" s="2280">
        <v>17910000</v>
      </c>
      <c r="H564" s="2175">
        <v>44935</v>
      </c>
      <c r="I564" s="2175">
        <v>46030</v>
      </c>
      <c r="J564" s="2210"/>
      <c r="K564" s="2211"/>
    </row>
    <row r="565" spans="1:11">
      <c r="A565" s="2204" t="s">
        <v>12554</v>
      </c>
      <c r="B565" s="2793" t="s">
        <v>12553</v>
      </c>
      <c r="C565" s="2278">
        <v>2</v>
      </c>
      <c r="D565" s="2279" t="s">
        <v>12556</v>
      </c>
      <c r="E565" s="2369" t="s">
        <v>2776</v>
      </c>
      <c r="F565" s="2280">
        <v>3965289.26</v>
      </c>
      <c r="G565" s="2280">
        <v>4798000</v>
      </c>
      <c r="H565" s="2175">
        <v>44935</v>
      </c>
      <c r="I565" s="2175">
        <v>46030</v>
      </c>
      <c r="J565" s="2210"/>
      <c r="K565" s="2211"/>
    </row>
    <row r="566" spans="1:11">
      <c r="A566" s="2204" t="s">
        <v>12550</v>
      </c>
      <c r="B566" s="2793" t="s">
        <v>12551</v>
      </c>
      <c r="C566" s="2278"/>
      <c r="D566" s="2279"/>
      <c r="E566" s="2369" t="s">
        <v>2776</v>
      </c>
      <c r="F566" s="2280">
        <v>3841694.21</v>
      </c>
      <c r="G566" s="2280">
        <v>4648450</v>
      </c>
      <c r="H566" s="2175">
        <v>44936</v>
      </c>
      <c r="I566" s="2175">
        <v>46031</v>
      </c>
      <c r="J566" s="2210"/>
      <c r="K566" s="2211"/>
    </row>
    <row r="567" spans="1:11">
      <c r="A567" s="2204" t="s">
        <v>16080</v>
      </c>
      <c r="B567" s="2793" t="s">
        <v>16081</v>
      </c>
      <c r="C567" s="2278"/>
      <c r="D567" s="2279"/>
      <c r="E567" s="2369" t="s">
        <v>2776</v>
      </c>
      <c r="F567" s="2280">
        <v>15625800</v>
      </c>
      <c r="G567" s="2280">
        <v>17969670</v>
      </c>
      <c r="H567" s="2175">
        <v>45301</v>
      </c>
      <c r="I567" s="2175">
        <v>46031</v>
      </c>
      <c r="J567" s="2210"/>
      <c r="K567" s="2211"/>
    </row>
    <row r="568" spans="1:11">
      <c r="A568" s="2204" t="s">
        <v>12728</v>
      </c>
      <c r="B568" s="2793" t="s">
        <v>12729</v>
      </c>
      <c r="C568" s="2278">
        <v>1</v>
      </c>
      <c r="D568" s="2279" t="s">
        <v>10303</v>
      </c>
      <c r="E568" s="2369" t="s">
        <v>8793</v>
      </c>
      <c r="F568" s="2280">
        <v>122520</v>
      </c>
      <c r="G568" s="2280">
        <v>148249.20000000001</v>
      </c>
      <c r="H568" s="2175">
        <v>44939</v>
      </c>
      <c r="I568" s="2175">
        <v>46034</v>
      </c>
      <c r="J568" s="2210"/>
      <c r="K568" s="2211"/>
    </row>
    <row r="569" spans="1:11">
      <c r="A569" s="2204" t="s">
        <v>12730</v>
      </c>
      <c r="B569" s="2793" t="s">
        <v>12729</v>
      </c>
      <c r="C569" s="2278">
        <v>2</v>
      </c>
      <c r="D569" s="2279" t="s">
        <v>12731</v>
      </c>
      <c r="E569" s="2369" t="s">
        <v>8793</v>
      </c>
      <c r="F569" s="2280">
        <v>386654.02</v>
      </c>
      <c r="G569" s="2280">
        <v>467851.7</v>
      </c>
      <c r="H569" s="2175">
        <v>44939</v>
      </c>
      <c r="I569" s="2175">
        <v>46034</v>
      </c>
      <c r="J569" s="2210"/>
      <c r="K569" s="2211"/>
    </row>
    <row r="570" spans="1:11">
      <c r="A570" s="2204" t="s">
        <v>12977</v>
      </c>
      <c r="B570" s="2793" t="s">
        <v>12978</v>
      </c>
      <c r="C570" s="2278">
        <v>1</v>
      </c>
      <c r="D570" s="2279" t="s">
        <v>12979</v>
      </c>
      <c r="E570" s="2369" t="s">
        <v>8278</v>
      </c>
      <c r="F570" s="2280">
        <v>472500</v>
      </c>
      <c r="G570" s="2280">
        <v>571725</v>
      </c>
      <c r="H570" s="2175">
        <v>44946</v>
      </c>
      <c r="I570" s="2175">
        <v>46041</v>
      </c>
      <c r="J570" s="2210"/>
      <c r="K570" s="2211"/>
    </row>
    <row r="571" spans="1:11">
      <c r="A571" s="2204" t="s">
        <v>12984</v>
      </c>
      <c r="B571" s="2793" t="s">
        <v>12978</v>
      </c>
      <c r="C571" s="2278">
        <v>6</v>
      </c>
      <c r="D571" s="2279" t="s">
        <v>12994</v>
      </c>
      <c r="E571" s="2369" t="s">
        <v>7574</v>
      </c>
      <c r="F571" s="2280">
        <v>2646900</v>
      </c>
      <c r="G571" s="2280">
        <v>3202749</v>
      </c>
      <c r="H571" s="2175">
        <v>44946</v>
      </c>
      <c r="I571" s="2175">
        <v>46041</v>
      </c>
      <c r="J571" s="2210"/>
      <c r="K571" s="2211"/>
    </row>
    <row r="572" spans="1:11">
      <c r="A572" s="2204" t="s">
        <v>12985</v>
      </c>
      <c r="B572" s="2793" t="s">
        <v>12978</v>
      </c>
      <c r="C572" s="2278">
        <v>7</v>
      </c>
      <c r="D572" s="2279" t="s">
        <v>12995</v>
      </c>
      <c r="E572" s="2369" t="s">
        <v>431</v>
      </c>
      <c r="F572" s="2280">
        <v>2250000</v>
      </c>
      <c r="G572" s="2280">
        <v>2722500</v>
      </c>
      <c r="H572" s="2175">
        <v>44946</v>
      </c>
      <c r="I572" s="2175">
        <v>46041</v>
      </c>
      <c r="J572" s="2210"/>
      <c r="K572" s="2211"/>
    </row>
    <row r="573" spans="1:11">
      <c r="A573" s="2204" t="s">
        <v>12989</v>
      </c>
      <c r="B573" s="2793" t="s">
        <v>12978</v>
      </c>
      <c r="C573" s="2278">
        <v>11</v>
      </c>
      <c r="D573" s="2279" t="s">
        <v>12998</v>
      </c>
      <c r="E573" s="2369" t="s">
        <v>2973</v>
      </c>
      <c r="F573" s="2280">
        <v>748000</v>
      </c>
      <c r="G573" s="2280">
        <v>905080</v>
      </c>
      <c r="H573" s="2175">
        <v>44946</v>
      </c>
      <c r="I573" s="2175">
        <v>46041</v>
      </c>
      <c r="J573" s="2210"/>
      <c r="K573" s="2211"/>
    </row>
    <row r="574" spans="1:11">
      <c r="A574" s="2204" t="s">
        <v>12981</v>
      </c>
      <c r="B574" s="2793" t="s">
        <v>12978</v>
      </c>
      <c r="C574" s="2278">
        <v>3</v>
      </c>
      <c r="D574" s="2872" t="s">
        <v>12991</v>
      </c>
      <c r="E574" s="2369" t="s">
        <v>2755</v>
      </c>
      <c r="F574" s="2280">
        <v>735000</v>
      </c>
      <c r="G574" s="2280">
        <v>889350</v>
      </c>
      <c r="H574" s="2175">
        <v>44952</v>
      </c>
      <c r="I574" s="2175">
        <v>46047</v>
      </c>
      <c r="J574" s="2210"/>
      <c r="K574" s="2211"/>
    </row>
    <row r="575" spans="1:11">
      <c r="A575" s="2204" t="s">
        <v>12982</v>
      </c>
      <c r="B575" s="2793" t="s">
        <v>12978</v>
      </c>
      <c r="C575" s="2278">
        <v>4</v>
      </c>
      <c r="D575" s="2873" t="s">
        <v>12992</v>
      </c>
      <c r="E575" s="2369" t="s">
        <v>14117</v>
      </c>
      <c r="F575" s="2280">
        <v>3555000</v>
      </c>
      <c r="G575" s="2280">
        <v>4301550</v>
      </c>
      <c r="H575" s="2175">
        <v>44952</v>
      </c>
      <c r="I575" s="2175">
        <v>46047</v>
      </c>
      <c r="J575" s="2210"/>
      <c r="K575" s="2211"/>
    </row>
    <row r="576" spans="1:11">
      <c r="A576" s="2204" t="s">
        <v>12983</v>
      </c>
      <c r="B576" s="2793" t="s">
        <v>12978</v>
      </c>
      <c r="C576" s="2278">
        <v>5</v>
      </c>
      <c r="D576" s="2872" t="s">
        <v>12993</v>
      </c>
      <c r="E576" s="2369" t="s">
        <v>14117</v>
      </c>
      <c r="F576" s="2280">
        <v>13825000</v>
      </c>
      <c r="G576" s="2280">
        <v>16728250</v>
      </c>
      <c r="H576" s="2175">
        <v>44952</v>
      </c>
      <c r="I576" s="2175">
        <v>46047</v>
      </c>
      <c r="J576" s="2210"/>
      <c r="K576" s="2211"/>
    </row>
    <row r="577" spans="1:11">
      <c r="A577" s="2204" t="s">
        <v>12987</v>
      </c>
      <c r="B577" s="2793" t="s">
        <v>12978</v>
      </c>
      <c r="C577" s="2278">
        <v>9</v>
      </c>
      <c r="D577" s="2757" t="s">
        <v>12996</v>
      </c>
      <c r="E577" s="2369" t="s">
        <v>8278</v>
      </c>
      <c r="F577" s="2280">
        <v>900000</v>
      </c>
      <c r="G577" s="2280">
        <v>1089000</v>
      </c>
      <c r="H577" s="2175">
        <v>44957</v>
      </c>
      <c r="I577" s="2175">
        <v>46052</v>
      </c>
      <c r="J577" s="2210"/>
      <c r="K577" s="2211"/>
    </row>
    <row r="578" spans="1:11">
      <c r="A578" s="2204" t="s">
        <v>16967</v>
      </c>
      <c r="B578" s="2793" t="s">
        <v>16968</v>
      </c>
      <c r="C578" s="2278"/>
      <c r="D578" s="2757"/>
      <c r="E578" s="2369" t="s">
        <v>8793</v>
      </c>
      <c r="F578" s="2280">
        <v>1948500</v>
      </c>
      <c r="G578" s="2280">
        <v>2182320</v>
      </c>
      <c r="H578" s="2175">
        <v>45447</v>
      </c>
      <c r="I578" s="2175">
        <v>46056</v>
      </c>
      <c r="J578" s="2210"/>
      <c r="K578" s="2211"/>
    </row>
    <row r="579" spans="1:11">
      <c r="A579" s="2204" t="s">
        <v>13488</v>
      </c>
      <c r="B579" s="2793" t="s">
        <v>13368</v>
      </c>
      <c r="C579" s="2278"/>
      <c r="D579" s="2757"/>
      <c r="E579" s="2369" t="s">
        <v>13780</v>
      </c>
      <c r="F579" s="2280">
        <v>2873340</v>
      </c>
      <c r="G579" s="2280">
        <v>3476741.4</v>
      </c>
      <c r="H579" s="2175">
        <v>44963</v>
      </c>
      <c r="I579" s="2175">
        <v>46058</v>
      </c>
      <c r="J579" s="2210"/>
      <c r="K579" s="2211"/>
    </row>
    <row r="580" spans="1:11">
      <c r="A580" s="2204" t="s">
        <v>12980</v>
      </c>
      <c r="B580" s="2793" t="s">
        <v>12978</v>
      </c>
      <c r="C580" s="2278">
        <v>2</v>
      </c>
      <c r="D580" s="2757" t="s">
        <v>12990</v>
      </c>
      <c r="E580" s="2369" t="s">
        <v>4894</v>
      </c>
      <c r="F580" s="2280">
        <v>4860000</v>
      </c>
      <c r="G580" s="2280">
        <v>5880600</v>
      </c>
      <c r="H580" s="2175">
        <v>44966</v>
      </c>
      <c r="I580" s="2175">
        <v>46061</v>
      </c>
      <c r="J580" s="2210"/>
      <c r="K580" s="2211"/>
    </row>
    <row r="581" spans="1:11">
      <c r="A581" s="2204" t="s">
        <v>11069</v>
      </c>
      <c r="B581" s="2477" t="s">
        <v>11071</v>
      </c>
      <c r="C581" s="2278"/>
      <c r="D581" s="2279"/>
      <c r="E581" s="2522" t="s">
        <v>11070</v>
      </c>
      <c r="F581" s="2280">
        <v>251520</v>
      </c>
      <c r="G581" s="2280">
        <v>304339.20000000001</v>
      </c>
      <c r="H581" s="2175">
        <v>44606</v>
      </c>
      <c r="I581" s="2175">
        <v>46066</v>
      </c>
      <c r="J581" s="2210"/>
      <c r="K581" s="2211"/>
    </row>
    <row r="582" spans="1:11">
      <c r="A582" s="2204" t="s">
        <v>10702</v>
      </c>
      <c r="B582" s="2477" t="s">
        <v>10705</v>
      </c>
      <c r="C582" s="2278"/>
      <c r="D582" s="2279"/>
      <c r="E582" s="2212" t="s">
        <v>1433</v>
      </c>
      <c r="F582" s="2280">
        <v>1050000</v>
      </c>
      <c r="G582" s="2280">
        <v>1270500</v>
      </c>
      <c r="H582" s="2175">
        <v>44613</v>
      </c>
      <c r="I582" s="2175">
        <v>46073</v>
      </c>
      <c r="J582" s="2210"/>
      <c r="K582" s="2211"/>
    </row>
    <row r="583" spans="1:11">
      <c r="A583" s="2204" t="s">
        <v>13595</v>
      </c>
      <c r="B583" s="2477" t="s">
        <v>13596</v>
      </c>
      <c r="C583" s="2278"/>
      <c r="D583" s="2279"/>
      <c r="E583" s="2212" t="s">
        <v>3154</v>
      </c>
      <c r="F583" s="2280">
        <v>2589000</v>
      </c>
      <c r="G583" s="2280">
        <v>2977350</v>
      </c>
      <c r="H583" s="2175">
        <v>44952</v>
      </c>
      <c r="I583" s="2175">
        <v>46077</v>
      </c>
      <c r="J583" s="2210"/>
      <c r="K583" s="2211"/>
    </row>
    <row r="584" spans="1:11">
      <c r="A584" s="2204" t="s">
        <v>10698</v>
      </c>
      <c r="B584" s="2477" t="s">
        <v>10700</v>
      </c>
      <c r="C584" s="2278"/>
      <c r="D584" s="2279"/>
      <c r="E584" s="2212" t="s">
        <v>3479</v>
      </c>
      <c r="F584" s="2280">
        <v>1117200</v>
      </c>
      <c r="G584" s="2280">
        <v>1351812</v>
      </c>
      <c r="H584" s="2175">
        <v>44620</v>
      </c>
      <c r="I584" s="2175">
        <v>46080</v>
      </c>
      <c r="J584" s="2210"/>
      <c r="K584" s="2211"/>
    </row>
    <row r="585" spans="1:11" ht="30">
      <c r="A585" s="2204" t="s">
        <v>16083</v>
      </c>
      <c r="B585" s="2477" t="s">
        <v>16082</v>
      </c>
      <c r="C585" s="2278"/>
      <c r="D585" s="2279"/>
      <c r="E585" s="2212" t="s">
        <v>16819</v>
      </c>
      <c r="F585" s="2280">
        <v>4323600</v>
      </c>
      <c r="G585" s="2280">
        <v>4842432</v>
      </c>
      <c r="H585" s="2175">
        <v>45357</v>
      </c>
      <c r="I585" s="2175">
        <v>46086</v>
      </c>
      <c r="J585" s="2210"/>
      <c r="K585" s="2211"/>
    </row>
    <row r="586" spans="1:11" ht="30">
      <c r="A586" s="2204" t="s">
        <v>7942</v>
      </c>
      <c r="B586" s="2174" t="s">
        <v>7943</v>
      </c>
      <c r="C586" s="2208"/>
      <c r="D586" s="2213"/>
      <c r="E586" s="2212" t="s">
        <v>8190</v>
      </c>
      <c r="F586" s="2209">
        <v>18301500</v>
      </c>
      <c r="G586" s="2209">
        <v>22144815</v>
      </c>
      <c r="H586" s="2175">
        <v>44270</v>
      </c>
      <c r="I586" s="2175">
        <v>46095</v>
      </c>
      <c r="J586" s="2210"/>
      <c r="K586" s="2211"/>
    </row>
    <row r="587" spans="1:11">
      <c r="A587" s="2204" t="s">
        <v>10736</v>
      </c>
      <c r="B587" s="2174" t="s">
        <v>10737</v>
      </c>
      <c r="C587" s="2208"/>
      <c r="D587" s="2213"/>
      <c r="E587" s="2212" t="s">
        <v>11127</v>
      </c>
      <c r="F587" s="2209">
        <v>754000</v>
      </c>
      <c r="G587" s="2209">
        <v>912340</v>
      </c>
      <c r="H587" s="2175">
        <v>44642</v>
      </c>
      <c r="I587" s="2175">
        <v>46102</v>
      </c>
      <c r="J587" s="2210"/>
      <c r="K587" s="2211"/>
    </row>
    <row r="588" spans="1:11">
      <c r="A588" s="2204" t="s">
        <v>10234</v>
      </c>
      <c r="B588" s="2174" t="s">
        <v>10219</v>
      </c>
      <c r="C588" s="2208"/>
      <c r="D588" s="2213"/>
      <c r="E588" s="2212" t="s">
        <v>2776</v>
      </c>
      <c r="F588" s="2209">
        <v>4080000</v>
      </c>
      <c r="G588" s="2209">
        <v>4936800</v>
      </c>
      <c r="H588" s="2175">
        <v>44642</v>
      </c>
      <c r="I588" s="2175">
        <v>46102</v>
      </c>
      <c r="J588" s="2210"/>
      <c r="K588" s="2211"/>
    </row>
    <row r="589" spans="1:11">
      <c r="A589" s="2204" t="s">
        <v>13614</v>
      </c>
      <c r="B589" s="2174" t="s">
        <v>13613</v>
      </c>
      <c r="C589" s="2208"/>
      <c r="D589" s="2213"/>
      <c r="E589" s="2212" t="s">
        <v>14510</v>
      </c>
      <c r="F589" s="2209">
        <v>2899840</v>
      </c>
      <c r="G589" s="2209">
        <v>3336676</v>
      </c>
      <c r="H589" s="2175">
        <v>45014</v>
      </c>
      <c r="I589" s="2175">
        <v>46109</v>
      </c>
      <c r="J589" s="2210"/>
      <c r="K589" s="2211"/>
    </row>
    <row r="590" spans="1:11">
      <c r="A590" s="2204" t="s">
        <v>10776</v>
      </c>
      <c r="B590" s="2174" t="s">
        <v>10777</v>
      </c>
      <c r="C590" s="2208"/>
      <c r="D590" s="2213"/>
      <c r="E590" s="2212" t="s">
        <v>11477</v>
      </c>
      <c r="F590" s="2209">
        <v>890758.8</v>
      </c>
      <c r="G590" s="2209">
        <v>1077818</v>
      </c>
      <c r="H590" s="2175">
        <v>44655</v>
      </c>
      <c r="I590" s="2175">
        <v>46117</v>
      </c>
      <c r="J590" s="2210"/>
      <c r="K590" s="2211"/>
    </row>
    <row r="591" spans="1:11">
      <c r="A591" s="2204" t="s">
        <v>2506</v>
      </c>
      <c r="B591" s="2174" t="s">
        <v>8799</v>
      </c>
      <c r="C591" s="2208"/>
      <c r="D591" s="2174"/>
      <c r="E591" s="2212" t="s">
        <v>2764</v>
      </c>
      <c r="F591" s="2485">
        <v>2628500</v>
      </c>
      <c r="G591" s="2485">
        <f>F591*1.21</f>
        <v>3180485</v>
      </c>
      <c r="H591" s="2175">
        <v>43203</v>
      </c>
      <c r="I591" s="2175">
        <v>46124</v>
      </c>
      <c r="J591" s="2210"/>
      <c r="K591" s="2211"/>
    </row>
    <row r="592" spans="1:11">
      <c r="A592" s="2204" t="s">
        <v>10548</v>
      </c>
      <c r="B592" s="2174" t="s">
        <v>6004</v>
      </c>
      <c r="C592" s="2208"/>
      <c r="D592" s="2174"/>
      <c r="E592" s="2212" t="s">
        <v>659</v>
      </c>
      <c r="F592" s="2189">
        <v>495936</v>
      </c>
      <c r="G592" s="2189">
        <v>600082.56000000006</v>
      </c>
      <c r="H592" s="2175">
        <v>44670</v>
      </c>
      <c r="I592" s="2175">
        <v>46130</v>
      </c>
      <c r="J592" s="2210"/>
      <c r="K592" s="2211"/>
    </row>
    <row r="593" spans="1:11" ht="30">
      <c r="A593" s="2204" t="s">
        <v>10731</v>
      </c>
      <c r="B593" s="2174" t="s">
        <v>10729</v>
      </c>
      <c r="C593" s="2208">
        <v>1</v>
      </c>
      <c r="D593" s="2174" t="s">
        <v>10738</v>
      </c>
      <c r="E593" s="2212" t="s">
        <v>5726</v>
      </c>
      <c r="F593" s="2189">
        <v>1456720</v>
      </c>
      <c r="G593" s="2189">
        <v>1762631.2</v>
      </c>
      <c r="H593" s="2175">
        <v>44673</v>
      </c>
      <c r="I593" s="2175">
        <v>46133</v>
      </c>
      <c r="J593" s="2210"/>
      <c r="K593" s="2211"/>
    </row>
    <row r="594" spans="1:11" ht="30">
      <c r="A594" s="2204" t="s">
        <v>10731</v>
      </c>
      <c r="B594" s="2174" t="s">
        <v>10729</v>
      </c>
      <c r="C594" s="2208">
        <v>2</v>
      </c>
      <c r="D594" s="2174" t="s">
        <v>10739</v>
      </c>
      <c r="E594" s="2212" t="s">
        <v>342</v>
      </c>
      <c r="F594" s="2189">
        <v>1230000</v>
      </c>
      <c r="G594" s="2189">
        <v>1488300</v>
      </c>
      <c r="H594" s="2175">
        <v>44678</v>
      </c>
      <c r="I594" s="2175">
        <v>46138</v>
      </c>
      <c r="J594" s="2210"/>
      <c r="K594" s="2211"/>
    </row>
    <row r="595" spans="1:11">
      <c r="A595" s="2204" t="s">
        <v>8461</v>
      </c>
      <c r="B595" s="2174" t="s">
        <v>8462</v>
      </c>
      <c r="C595" s="2208"/>
      <c r="D595" s="2174"/>
      <c r="E595" s="2212" t="s">
        <v>993</v>
      </c>
      <c r="F595" s="2209">
        <v>1249287</v>
      </c>
      <c r="G595" s="2209">
        <f>F595*1.21</f>
        <v>1511637.27</v>
      </c>
      <c r="H595" s="2175">
        <v>44314</v>
      </c>
      <c r="I595" s="2175">
        <v>46139</v>
      </c>
      <c r="J595" s="2210"/>
      <c r="K595" s="2211"/>
    </row>
    <row r="596" spans="1:11">
      <c r="A596" s="2204" t="s">
        <v>13627</v>
      </c>
      <c r="B596" s="2174" t="s">
        <v>13622</v>
      </c>
      <c r="C596" s="2208">
        <v>5</v>
      </c>
      <c r="D596" s="2174" t="s">
        <v>13631</v>
      </c>
      <c r="E596" s="2212" t="s">
        <v>4464</v>
      </c>
      <c r="F596" s="2209">
        <v>1495000</v>
      </c>
      <c r="G596" s="2209">
        <v>1808950</v>
      </c>
      <c r="H596" s="2175">
        <v>45044</v>
      </c>
      <c r="I596" s="2175">
        <v>46139</v>
      </c>
      <c r="J596" s="2210"/>
      <c r="K596" s="2211"/>
    </row>
    <row r="597" spans="1:11">
      <c r="A597" s="2204" t="s">
        <v>13709</v>
      </c>
      <c r="B597" s="2174" t="s">
        <v>13622</v>
      </c>
      <c r="C597" s="2208">
        <v>9</v>
      </c>
      <c r="D597" s="2174" t="s">
        <v>12997</v>
      </c>
      <c r="E597" s="2212" t="s">
        <v>1400</v>
      </c>
      <c r="F597" s="2209">
        <v>1309091.1299999999</v>
      </c>
      <c r="G597" s="2209">
        <v>1584000.27</v>
      </c>
      <c r="H597" s="2175">
        <v>45044</v>
      </c>
      <c r="I597" s="2175">
        <v>46139</v>
      </c>
      <c r="J597" s="2210"/>
      <c r="K597" s="2211"/>
    </row>
    <row r="598" spans="1:11">
      <c r="A598" s="2204" t="s">
        <v>13706</v>
      </c>
      <c r="B598" s="2174" t="s">
        <v>13622</v>
      </c>
      <c r="C598" s="2208">
        <v>6</v>
      </c>
      <c r="D598" s="2174" t="s">
        <v>13710</v>
      </c>
      <c r="E598" s="2212" t="s">
        <v>1433</v>
      </c>
      <c r="F598" s="2209">
        <v>2584000</v>
      </c>
      <c r="G598" s="2209">
        <v>3126640</v>
      </c>
      <c r="H598" s="2175">
        <v>45049</v>
      </c>
      <c r="I598" s="2175">
        <v>46144</v>
      </c>
      <c r="J598" s="2210"/>
      <c r="K598" s="2211"/>
    </row>
    <row r="599" spans="1:11">
      <c r="A599" s="2204" t="s">
        <v>13708</v>
      </c>
      <c r="B599" s="2174" t="s">
        <v>13622</v>
      </c>
      <c r="C599" s="2208">
        <v>8</v>
      </c>
      <c r="D599" s="2174" t="s">
        <v>13712</v>
      </c>
      <c r="E599" s="2212" t="s">
        <v>1433</v>
      </c>
      <c r="F599" s="2209">
        <v>816000</v>
      </c>
      <c r="G599" s="2209">
        <v>987360</v>
      </c>
      <c r="H599" s="2175">
        <v>45049</v>
      </c>
      <c r="I599" s="2175">
        <v>46144</v>
      </c>
      <c r="J599" s="2210"/>
      <c r="K599" s="2211"/>
    </row>
    <row r="600" spans="1:11">
      <c r="A600" s="2204" t="s">
        <v>10521</v>
      </c>
      <c r="B600" s="2174" t="s">
        <v>10520</v>
      </c>
      <c r="C600" s="2208"/>
      <c r="D600" s="2174"/>
      <c r="E600" s="2212" t="s">
        <v>10733</v>
      </c>
      <c r="F600" s="2209">
        <v>2013580.8</v>
      </c>
      <c r="G600" s="2209">
        <v>2436033.6</v>
      </c>
      <c r="H600" s="2175">
        <v>44684</v>
      </c>
      <c r="I600" s="2175">
        <v>46144</v>
      </c>
      <c r="J600" s="2210"/>
      <c r="K600" s="2211"/>
    </row>
    <row r="601" spans="1:11">
      <c r="A601" s="2204" t="s">
        <v>10635</v>
      </c>
      <c r="B601" s="2174" t="s">
        <v>10636</v>
      </c>
      <c r="C601" s="2208"/>
      <c r="D601" s="2174"/>
      <c r="E601" s="2212" t="s">
        <v>4523</v>
      </c>
      <c r="F601" s="2209">
        <v>6463140</v>
      </c>
      <c r="G601" s="2209">
        <v>7820399.4000000004</v>
      </c>
      <c r="H601" s="2175">
        <v>44684</v>
      </c>
      <c r="I601" s="2175">
        <v>46144</v>
      </c>
      <c r="J601" s="2210"/>
      <c r="K601" s="2211"/>
    </row>
    <row r="602" spans="1:11">
      <c r="A602" s="2204" t="s">
        <v>13621</v>
      </c>
      <c r="B602" s="2174" t="s">
        <v>13622</v>
      </c>
      <c r="C602" s="2208">
        <v>1</v>
      </c>
      <c r="D602" s="2174" t="s">
        <v>13623</v>
      </c>
      <c r="E602" s="2212" t="s">
        <v>8278</v>
      </c>
      <c r="F602" s="2209">
        <v>4292500</v>
      </c>
      <c r="G602" s="2209">
        <v>5193925</v>
      </c>
      <c r="H602" s="2175">
        <v>45051</v>
      </c>
      <c r="I602" s="2175">
        <v>46146</v>
      </c>
      <c r="J602" s="2210"/>
      <c r="K602" s="2211"/>
    </row>
    <row r="603" spans="1:11" ht="45">
      <c r="A603" s="2204" t="s">
        <v>13625</v>
      </c>
      <c r="B603" s="2174" t="s">
        <v>13622</v>
      </c>
      <c r="C603" s="2208">
        <v>3</v>
      </c>
      <c r="D603" s="2174" t="s">
        <v>13629</v>
      </c>
      <c r="E603" s="2212" t="s">
        <v>8278</v>
      </c>
      <c r="F603" s="2209">
        <v>6435000</v>
      </c>
      <c r="G603" s="2209">
        <v>7786350</v>
      </c>
      <c r="H603" s="2175">
        <v>45051</v>
      </c>
      <c r="I603" s="2175">
        <v>46146</v>
      </c>
      <c r="J603" s="2210"/>
      <c r="K603" s="2211"/>
    </row>
    <row r="604" spans="1:11" ht="30">
      <c r="A604" s="2204" t="s">
        <v>13626</v>
      </c>
      <c r="B604" s="2174" t="s">
        <v>13622</v>
      </c>
      <c r="C604" s="2208">
        <v>4</v>
      </c>
      <c r="D604" s="2174" t="s">
        <v>13630</v>
      </c>
      <c r="E604" s="2212" t="s">
        <v>8278</v>
      </c>
      <c r="F604" s="2209">
        <v>1895000</v>
      </c>
      <c r="G604" s="2209">
        <v>2292950</v>
      </c>
      <c r="H604" s="2175">
        <v>45051</v>
      </c>
      <c r="I604" s="2175">
        <v>46146</v>
      </c>
      <c r="J604" s="2210"/>
      <c r="K604" s="2211"/>
    </row>
    <row r="605" spans="1:11">
      <c r="A605" s="2204" t="s">
        <v>11381</v>
      </c>
      <c r="B605" s="2174" t="s">
        <v>11382</v>
      </c>
      <c r="C605" s="2208"/>
      <c r="D605" s="2174"/>
      <c r="E605" s="2212" t="s">
        <v>3179</v>
      </c>
      <c r="F605" s="2209">
        <v>1437000</v>
      </c>
      <c r="G605" s="2209">
        <v>1652550</v>
      </c>
      <c r="H605" s="2175">
        <v>44690</v>
      </c>
      <c r="I605" s="2175">
        <v>46150</v>
      </c>
      <c r="J605" s="2210"/>
      <c r="K605" s="2211"/>
    </row>
    <row r="606" spans="1:11">
      <c r="A606" s="2204" t="s">
        <v>11553</v>
      </c>
      <c r="B606" s="2174" t="s">
        <v>11554</v>
      </c>
      <c r="C606" s="2208"/>
      <c r="D606" s="2174"/>
      <c r="E606" s="2212" t="s">
        <v>4857</v>
      </c>
      <c r="F606" s="2209">
        <v>965900</v>
      </c>
      <c r="G606" s="2209">
        <v>1168739</v>
      </c>
      <c r="H606" s="2175">
        <v>44697</v>
      </c>
      <c r="I606" s="2175">
        <v>46157</v>
      </c>
      <c r="J606" s="2210"/>
      <c r="K606" s="2211"/>
    </row>
    <row r="607" spans="1:11" ht="30">
      <c r="A607" s="2204" t="s">
        <v>13624</v>
      </c>
      <c r="B607" s="2174" t="s">
        <v>13622</v>
      </c>
      <c r="C607" s="2208">
        <v>2</v>
      </c>
      <c r="D607" s="2174" t="s">
        <v>13628</v>
      </c>
      <c r="E607" s="2212" t="s">
        <v>8278</v>
      </c>
      <c r="F607" s="2209">
        <v>248000</v>
      </c>
      <c r="G607" s="2209">
        <v>300080</v>
      </c>
      <c r="H607" s="2175">
        <v>45063</v>
      </c>
      <c r="I607" s="2175">
        <v>46158</v>
      </c>
      <c r="J607" s="2210"/>
      <c r="K607" s="2211"/>
    </row>
    <row r="608" spans="1:11" ht="30">
      <c r="A608" s="2204" t="s">
        <v>13707</v>
      </c>
      <c r="B608" s="2174" t="s">
        <v>13622</v>
      </c>
      <c r="C608" s="2208">
        <v>7</v>
      </c>
      <c r="D608" s="2174" t="s">
        <v>13711</v>
      </c>
      <c r="E608" s="2212" t="s">
        <v>8278</v>
      </c>
      <c r="F608" s="2209">
        <v>1200000</v>
      </c>
      <c r="G608" s="2209">
        <v>1452000</v>
      </c>
      <c r="H608" s="2175">
        <v>45063</v>
      </c>
      <c r="I608" s="2175">
        <v>46158</v>
      </c>
      <c r="J608" s="2210"/>
      <c r="K608" s="2211"/>
    </row>
    <row r="609" spans="1:11">
      <c r="A609" s="2204" t="s">
        <v>11514</v>
      </c>
      <c r="B609" s="2174" t="s">
        <v>11515</v>
      </c>
      <c r="C609" s="2208"/>
      <c r="D609" s="2174"/>
      <c r="E609" s="2212" t="s">
        <v>4326</v>
      </c>
      <c r="F609" s="2209">
        <v>727200</v>
      </c>
      <c r="G609" s="2209">
        <v>879912</v>
      </c>
      <c r="H609" s="2175">
        <v>44700</v>
      </c>
      <c r="I609" s="2175">
        <v>46160</v>
      </c>
      <c r="J609" s="2210"/>
      <c r="K609" s="2211"/>
    </row>
    <row r="610" spans="1:11">
      <c r="A610" s="2204" t="s">
        <v>10940</v>
      </c>
      <c r="B610" s="2174" t="s">
        <v>10941</v>
      </c>
      <c r="C610" s="2208"/>
      <c r="D610" s="2174"/>
      <c r="E610" s="2212" t="s">
        <v>11481</v>
      </c>
      <c r="F610" s="2209">
        <v>14529282.1</v>
      </c>
      <c r="G610" s="2209">
        <v>17407386.82</v>
      </c>
      <c r="H610" s="2175">
        <v>44707</v>
      </c>
      <c r="I610" s="2175">
        <v>46167</v>
      </c>
      <c r="J610" s="2210"/>
      <c r="K610" s="2211"/>
    </row>
    <row r="611" spans="1:11" ht="30">
      <c r="A611" s="2204" t="s">
        <v>11014</v>
      </c>
      <c r="B611" s="2174" t="s">
        <v>11015</v>
      </c>
      <c r="C611" s="2208"/>
      <c r="D611" s="2174"/>
      <c r="E611" s="2212" t="s">
        <v>8765</v>
      </c>
      <c r="F611" s="2209">
        <v>1792416</v>
      </c>
      <c r="G611" s="2209">
        <v>2168823.36</v>
      </c>
      <c r="H611" s="2175">
        <v>44655</v>
      </c>
      <c r="I611" s="2175">
        <v>46173</v>
      </c>
      <c r="J611" s="2210"/>
      <c r="K611" s="2211"/>
    </row>
    <row r="612" spans="1:11">
      <c r="A612" s="2204" t="s">
        <v>14214</v>
      </c>
      <c r="B612" s="2174" t="s">
        <v>14215</v>
      </c>
      <c r="C612" s="2208"/>
      <c r="D612" s="2174"/>
      <c r="E612" s="2212" t="s">
        <v>8793</v>
      </c>
      <c r="F612" s="2209">
        <v>10980000</v>
      </c>
      <c r="G612" s="2209">
        <v>12627000</v>
      </c>
      <c r="H612" s="2175">
        <v>45078</v>
      </c>
      <c r="I612" s="2175">
        <v>46173</v>
      </c>
      <c r="J612" s="2210"/>
      <c r="K612" s="2211"/>
    </row>
    <row r="613" spans="1:11">
      <c r="A613" s="2204" t="s">
        <v>10653</v>
      </c>
      <c r="B613" s="2174" t="s">
        <v>10654</v>
      </c>
      <c r="C613" s="2208"/>
      <c r="D613" s="2174"/>
      <c r="E613" s="2212" t="s">
        <v>11992</v>
      </c>
      <c r="F613" s="2209">
        <v>2808000</v>
      </c>
      <c r="G613" s="2209">
        <v>3397680</v>
      </c>
      <c r="H613" s="2175">
        <v>44729</v>
      </c>
      <c r="I613" s="2175">
        <v>46189</v>
      </c>
      <c r="J613" s="2210"/>
      <c r="K613" s="2211"/>
    </row>
    <row r="614" spans="1:11">
      <c r="A614" s="2204" t="s">
        <v>14268</v>
      </c>
      <c r="B614" s="2174" t="s">
        <v>14271</v>
      </c>
      <c r="C614" s="2208">
        <v>1</v>
      </c>
      <c r="D614" s="2174" t="s">
        <v>14273</v>
      </c>
      <c r="E614" s="2212" t="s">
        <v>5696</v>
      </c>
      <c r="F614" s="2209">
        <v>2596000</v>
      </c>
      <c r="G614" s="2209">
        <v>2985400</v>
      </c>
      <c r="H614" s="2175">
        <v>45096</v>
      </c>
      <c r="I614" s="2175">
        <v>46192</v>
      </c>
      <c r="J614" s="2210"/>
      <c r="K614" s="2211"/>
    </row>
    <row r="615" spans="1:11">
      <c r="A615" s="2204" t="s">
        <v>14269</v>
      </c>
      <c r="B615" s="2174" t="s">
        <v>14271</v>
      </c>
      <c r="C615" s="2208">
        <v>2</v>
      </c>
      <c r="D615" s="2174" t="s">
        <v>14272</v>
      </c>
      <c r="E615" s="2212" t="s">
        <v>5696</v>
      </c>
      <c r="F615" s="2209">
        <v>1200000</v>
      </c>
      <c r="G615" s="2209">
        <v>1380000</v>
      </c>
      <c r="H615" s="2175">
        <v>45096</v>
      </c>
      <c r="I615" s="2175">
        <v>46192</v>
      </c>
      <c r="J615" s="2210"/>
      <c r="K615" s="2211"/>
    </row>
    <row r="616" spans="1:11">
      <c r="A616" s="2204" t="s">
        <v>14270</v>
      </c>
      <c r="B616" s="2174" t="s">
        <v>14271</v>
      </c>
      <c r="C616" s="2208">
        <v>3</v>
      </c>
      <c r="D616" s="2174" t="s">
        <v>14274</v>
      </c>
      <c r="E616" s="2212" t="s">
        <v>5696</v>
      </c>
      <c r="F616" s="2209">
        <v>975000</v>
      </c>
      <c r="G616" s="2209">
        <v>1121250</v>
      </c>
      <c r="H616" s="2175">
        <v>45096</v>
      </c>
      <c r="I616" s="2175">
        <v>46192</v>
      </c>
      <c r="J616" s="2210"/>
      <c r="K616" s="2211"/>
    </row>
    <row r="617" spans="1:11" ht="30">
      <c r="A617" s="2204" t="s">
        <v>14289</v>
      </c>
      <c r="B617" s="2174" t="s">
        <v>15011</v>
      </c>
      <c r="C617" s="2208">
        <v>1</v>
      </c>
      <c r="D617" s="2174" t="s">
        <v>14378</v>
      </c>
      <c r="E617" s="2212" t="s">
        <v>2755</v>
      </c>
      <c r="F617" s="2209">
        <v>1990000</v>
      </c>
      <c r="G617" s="2209">
        <v>2304580</v>
      </c>
      <c r="H617" s="2175">
        <v>45076</v>
      </c>
      <c r="I617" s="2175">
        <v>46171</v>
      </c>
      <c r="J617" s="2210"/>
      <c r="K617" s="2211"/>
    </row>
    <row r="618" spans="1:11" ht="45">
      <c r="A618" s="2204" t="s">
        <v>14293</v>
      </c>
      <c r="B618" s="2174" t="s">
        <v>15011</v>
      </c>
      <c r="C618" s="2208">
        <v>2</v>
      </c>
      <c r="D618" s="2174" t="s">
        <v>14294</v>
      </c>
      <c r="E618" s="2212" t="s">
        <v>2755</v>
      </c>
      <c r="F618" s="2209">
        <v>8667000</v>
      </c>
      <c r="G618" s="2209">
        <v>10007550</v>
      </c>
      <c r="H618" s="2175">
        <v>45076</v>
      </c>
      <c r="I618" s="2175">
        <v>46171</v>
      </c>
      <c r="J618" s="2210"/>
      <c r="K618" s="2211"/>
    </row>
    <row r="619" spans="1:11">
      <c r="A619" s="2204" t="s">
        <v>14542</v>
      </c>
      <c r="B619" s="2174" t="s">
        <v>14543</v>
      </c>
      <c r="C619" s="2208"/>
      <c r="D619" s="2174"/>
      <c r="E619" s="2212" t="s">
        <v>4523</v>
      </c>
      <c r="F619" s="2209">
        <v>870000</v>
      </c>
      <c r="G619" s="2209">
        <v>1052700</v>
      </c>
      <c r="H619" s="2175">
        <v>45105</v>
      </c>
      <c r="I619" s="2175">
        <v>46201</v>
      </c>
      <c r="J619" s="2210"/>
      <c r="K619" s="2211"/>
    </row>
    <row r="620" spans="1:11" ht="45">
      <c r="A620" s="2204" t="s">
        <v>11479</v>
      </c>
      <c r="B620" s="2174" t="s">
        <v>11480</v>
      </c>
      <c r="C620" s="2208"/>
      <c r="D620" s="2174"/>
      <c r="E620" s="2212" t="s">
        <v>3179</v>
      </c>
      <c r="F620" s="2209">
        <v>459200000</v>
      </c>
      <c r="G620" s="2209">
        <v>528080000</v>
      </c>
      <c r="H620" s="2175">
        <v>44743</v>
      </c>
      <c r="I620" s="2175">
        <v>46203</v>
      </c>
      <c r="J620" s="2210"/>
      <c r="K620" s="2211"/>
    </row>
    <row r="621" spans="1:11">
      <c r="A621" s="2204" t="s">
        <v>14291</v>
      </c>
      <c r="B621" s="2174" t="s">
        <v>14295</v>
      </c>
      <c r="C621" s="2208"/>
      <c r="D621" s="2174"/>
      <c r="E621" s="2212" t="s">
        <v>4315</v>
      </c>
      <c r="F621" s="2209">
        <v>743880</v>
      </c>
      <c r="G621" s="2209">
        <v>900094.8</v>
      </c>
      <c r="H621" s="2175">
        <v>45040</v>
      </c>
      <c r="I621" s="2175">
        <v>46203</v>
      </c>
      <c r="J621" s="2210"/>
      <c r="K621" s="2211"/>
    </row>
    <row r="622" spans="1:11" ht="30">
      <c r="A622" s="2204" t="s">
        <v>17659</v>
      </c>
      <c r="B622" s="2174" t="s">
        <v>17660</v>
      </c>
      <c r="C622" s="2208"/>
      <c r="D622" s="2174"/>
      <c r="E622" s="2212" t="s">
        <v>659</v>
      </c>
      <c r="F622" s="2209">
        <v>1170000</v>
      </c>
      <c r="G622" s="2209">
        <v>1310400</v>
      </c>
      <c r="H622" s="2175">
        <v>45489</v>
      </c>
      <c r="I622" s="2175">
        <v>46218</v>
      </c>
      <c r="J622" s="2210"/>
      <c r="K622" s="2211"/>
    </row>
    <row r="623" spans="1:11">
      <c r="A623" s="2204" t="s">
        <v>15157</v>
      </c>
      <c r="B623" s="2174" t="s">
        <v>15158</v>
      </c>
      <c r="C623" s="2208"/>
      <c r="D623" s="2174"/>
      <c r="E623" s="2212" t="s">
        <v>6763</v>
      </c>
      <c r="F623" s="2209">
        <v>1500837</v>
      </c>
      <c r="G623" s="2209">
        <v>1816012.77</v>
      </c>
      <c r="H623" s="2175">
        <v>45132</v>
      </c>
      <c r="I623" s="2175">
        <v>46227</v>
      </c>
      <c r="J623" s="2210"/>
      <c r="K623" s="2211"/>
    </row>
    <row r="624" spans="1:11">
      <c r="A624" s="2204" t="s">
        <v>10842</v>
      </c>
      <c r="B624" s="2174" t="s">
        <v>8482</v>
      </c>
      <c r="C624" s="2208"/>
      <c r="D624" s="2174"/>
      <c r="E624" s="2212" t="s">
        <v>431</v>
      </c>
      <c r="F624" s="2209">
        <v>25325528</v>
      </c>
      <c r="G624" s="2209">
        <v>30643889.030000001</v>
      </c>
      <c r="H624" s="2175">
        <v>44768</v>
      </c>
      <c r="I624" s="2175">
        <v>46228</v>
      </c>
      <c r="J624" s="2210"/>
      <c r="K624" s="2211"/>
    </row>
    <row r="625" spans="1:11">
      <c r="A625" s="2204" t="s">
        <v>11628</v>
      </c>
      <c r="B625" s="2174" t="s">
        <v>12668</v>
      </c>
      <c r="C625" s="2208"/>
      <c r="D625" s="2174"/>
      <c r="E625" s="2212" t="s">
        <v>12310</v>
      </c>
      <c r="F625" s="2209">
        <v>13817636</v>
      </c>
      <c r="G625" s="2209">
        <v>16719339.560000001</v>
      </c>
      <c r="H625" s="2175">
        <v>44781</v>
      </c>
      <c r="I625" s="2175">
        <v>46241</v>
      </c>
      <c r="J625" s="2210"/>
      <c r="K625" s="2211"/>
    </row>
    <row r="626" spans="1:11">
      <c r="A626" s="2204" t="s">
        <v>11289</v>
      </c>
      <c r="B626" s="2174" t="s">
        <v>11290</v>
      </c>
      <c r="C626" s="2208"/>
      <c r="D626" s="2174"/>
      <c r="E626" s="2212" t="s">
        <v>459</v>
      </c>
      <c r="F626" s="2209">
        <v>12643200</v>
      </c>
      <c r="G626" s="2209">
        <v>15298272</v>
      </c>
      <c r="H626" s="2175">
        <v>44785</v>
      </c>
      <c r="I626" s="2175">
        <v>46245</v>
      </c>
      <c r="J626" s="2210"/>
      <c r="K626" s="2211"/>
    </row>
    <row r="627" spans="1:11">
      <c r="A627" s="2204" t="s">
        <v>12885</v>
      </c>
      <c r="B627" s="2174" t="s">
        <v>10020</v>
      </c>
      <c r="C627" s="2208"/>
      <c r="D627" s="2174"/>
      <c r="E627" s="2212" t="s">
        <v>12177</v>
      </c>
      <c r="F627" s="2209">
        <v>2415671</v>
      </c>
      <c r="G627" s="2209">
        <v>2922961.91</v>
      </c>
      <c r="H627" s="2175">
        <v>44799</v>
      </c>
      <c r="I627" s="2175">
        <v>46259</v>
      </c>
      <c r="J627" s="2210"/>
      <c r="K627" s="2211"/>
    </row>
    <row r="628" spans="1:11">
      <c r="A628" s="2204" t="s">
        <v>12437</v>
      </c>
      <c r="B628" s="2174" t="s">
        <v>12438</v>
      </c>
      <c r="C628" s="2208"/>
      <c r="D628" s="2174"/>
      <c r="E628" s="2212" t="s">
        <v>7296</v>
      </c>
      <c r="F628" s="2209">
        <v>1360000</v>
      </c>
      <c r="G628" s="2209">
        <v>1645600</v>
      </c>
      <c r="H628" s="2175">
        <v>44809</v>
      </c>
      <c r="I628" s="2175">
        <v>46269</v>
      </c>
      <c r="J628" s="2210"/>
      <c r="K628" s="2211"/>
    </row>
    <row r="629" spans="1:11" ht="30">
      <c r="A629" s="2204" t="s">
        <v>11999</v>
      </c>
      <c r="B629" s="2477" t="s">
        <v>12000</v>
      </c>
      <c r="C629" s="2278"/>
      <c r="D629" s="2279"/>
      <c r="E629" s="2369" t="s">
        <v>6128</v>
      </c>
      <c r="F629" s="2280">
        <v>2993737.52</v>
      </c>
      <c r="G629" s="2280">
        <v>3622422.4</v>
      </c>
      <c r="H629" s="2175">
        <v>44819</v>
      </c>
      <c r="I629" s="2175">
        <v>46279</v>
      </c>
      <c r="J629" s="2210"/>
      <c r="K629" s="2211"/>
    </row>
    <row r="630" spans="1:11">
      <c r="A630" s="2204" t="s">
        <v>12334</v>
      </c>
      <c r="B630" s="2477" t="s">
        <v>12335</v>
      </c>
      <c r="C630" s="2278"/>
      <c r="D630" s="2279"/>
      <c r="E630" s="2369" t="s">
        <v>2777</v>
      </c>
      <c r="F630" s="2280">
        <v>17913000</v>
      </c>
      <c r="G630" s="2280">
        <v>20599950</v>
      </c>
      <c r="H630" s="2175">
        <v>44819</v>
      </c>
      <c r="I630" s="2175">
        <v>46279</v>
      </c>
      <c r="J630" s="2210"/>
      <c r="K630" s="2211"/>
    </row>
    <row r="631" spans="1:11">
      <c r="A631" s="2204" t="s">
        <v>18040</v>
      </c>
      <c r="B631" s="2477" t="s">
        <v>18041</v>
      </c>
      <c r="C631" s="2278"/>
      <c r="D631" s="2279"/>
      <c r="E631" s="2369" t="s">
        <v>659</v>
      </c>
      <c r="F631" s="2280">
        <v>319200</v>
      </c>
      <c r="G631" s="2280">
        <v>357504</v>
      </c>
      <c r="H631" s="2175">
        <v>45441</v>
      </c>
      <c r="I631" s="2175">
        <v>46279</v>
      </c>
      <c r="J631" s="2210"/>
      <c r="K631" s="2211"/>
    </row>
    <row r="632" spans="1:11" ht="30">
      <c r="A632" s="2204" t="s">
        <v>12098</v>
      </c>
      <c r="B632" s="2477" t="s">
        <v>12099</v>
      </c>
      <c r="C632" s="2278"/>
      <c r="D632" s="2279"/>
      <c r="E632" s="2369" t="s">
        <v>4905</v>
      </c>
      <c r="F632" s="2280">
        <v>6482641.2800000003</v>
      </c>
      <c r="G632" s="2280">
        <v>7843996.1600000001</v>
      </c>
      <c r="H632" s="2175">
        <v>44824</v>
      </c>
      <c r="I632" s="2175">
        <v>46284</v>
      </c>
      <c r="J632" s="2210"/>
      <c r="K632" s="2211"/>
    </row>
    <row r="633" spans="1:11" ht="30">
      <c r="A633" s="2204" t="s">
        <v>12084</v>
      </c>
      <c r="B633" s="2477" t="s">
        <v>12085</v>
      </c>
      <c r="C633" s="2278"/>
      <c r="D633" s="2279"/>
      <c r="E633" s="2369" t="s">
        <v>2755</v>
      </c>
      <c r="F633" s="2280">
        <v>31304000</v>
      </c>
      <c r="G633" s="2280">
        <v>35999600</v>
      </c>
      <c r="H633" s="2175">
        <v>44838</v>
      </c>
      <c r="I633" s="2175">
        <v>46298</v>
      </c>
      <c r="J633" s="2210"/>
      <c r="K633" s="2211"/>
    </row>
    <row r="634" spans="1:11">
      <c r="A634" s="2204" t="s">
        <v>12724</v>
      </c>
      <c r="B634" s="2477" t="s">
        <v>12725</v>
      </c>
      <c r="C634" s="2278"/>
      <c r="D634" s="2279"/>
      <c r="E634" s="2369" t="s">
        <v>4326</v>
      </c>
      <c r="F634" s="2280">
        <v>843094</v>
      </c>
      <c r="G634" s="2280">
        <v>1020143.74</v>
      </c>
      <c r="H634" s="2175">
        <v>44840</v>
      </c>
      <c r="I634" s="2175">
        <v>46300</v>
      </c>
      <c r="J634" s="2210"/>
      <c r="K634" s="2211"/>
    </row>
    <row r="635" spans="1:11">
      <c r="A635" s="2204" t="s">
        <v>12069</v>
      </c>
      <c r="B635" s="2477" t="s">
        <v>12070</v>
      </c>
      <c r="C635" s="2278"/>
      <c r="D635" s="2279"/>
      <c r="E635" s="2369" t="s">
        <v>5696</v>
      </c>
      <c r="F635" s="2280">
        <v>19318887.800000001</v>
      </c>
      <c r="G635" s="2280">
        <v>22216721.640000001</v>
      </c>
      <c r="H635" s="2175">
        <v>44858</v>
      </c>
      <c r="I635" s="2175">
        <v>46318</v>
      </c>
      <c r="J635" s="2210"/>
      <c r="K635" s="2211"/>
    </row>
    <row r="636" spans="1:11">
      <c r="A636" s="2204" t="s">
        <v>14797</v>
      </c>
      <c r="B636" s="2477" t="s">
        <v>14798</v>
      </c>
      <c r="C636" s="2278"/>
      <c r="D636" s="2279"/>
      <c r="E636" s="2369" t="s">
        <v>2097</v>
      </c>
      <c r="F636" s="2280">
        <v>1722600</v>
      </c>
      <c r="G636" s="2280">
        <v>2084346</v>
      </c>
      <c r="H636" s="2175">
        <v>45086</v>
      </c>
      <c r="I636" s="2175">
        <v>46318</v>
      </c>
      <c r="J636" s="2210"/>
      <c r="K636" s="2211"/>
    </row>
    <row r="637" spans="1:11" ht="30">
      <c r="A637" s="2204" t="s">
        <v>14546</v>
      </c>
      <c r="B637" s="2477" t="s">
        <v>14547</v>
      </c>
      <c r="C637" s="2278"/>
      <c r="D637" s="2279"/>
      <c r="E637" s="2369" t="s">
        <v>659</v>
      </c>
      <c r="F637" s="2280">
        <v>547470</v>
      </c>
      <c r="G637" s="2280">
        <v>662437.69999999995</v>
      </c>
      <c r="H637" s="2175">
        <v>45224</v>
      </c>
      <c r="I637" s="2175">
        <v>46319</v>
      </c>
      <c r="J637" s="2210"/>
      <c r="K637" s="2211"/>
    </row>
    <row r="638" spans="1:11">
      <c r="A638" s="2204" t="s">
        <v>12009</v>
      </c>
      <c r="B638" s="2477" t="s">
        <v>12010</v>
      </c>
      <c r="C638" s="2278"/>
      <c r="D638" s="2279"/>
      <c r="E638" s="2369" t="s">
        <v>13447</v>
      </c>
      <c r="F638" s="2280">
        <v>15536023.439999999</v>
      </c>
      <c r="G638" s="2280">
        <v>18798588.359999999</v>
      </c>
      <c r="H638" s="2175">
        <v>44866</v>
      </c>
      <c r="I638" s="2175">
        <v>46326</v>
      </c>
      <c r="J638" s="2210"/>
      <c r="K638" s="2211"/>
    </row>
    <row r="639" spans="1:11">
      <c r="A639" s="2204" t="s">
        <v>12726</v>
      </c>
      <c r="B639" s="2477" t="s">
        <v>12727</v>
      </c>
      <c r="C639" s="2278"/>
      <c r="D639" s="2279"/>
      <c r="E639" s="2369" t="s">
        <v>2097</v>
      </c>
      <c r="F639" s="2280">
        <v>40000000</v>
      </c>
      <c r="G639" s="2280">
        <v>46000000</v>
      </c>
      <c r="H639" s="2175">
        <v>44876</v>
      </c>
      <c r="I639" s="2175">
        <v>46336</v>
      </c>
      <c r="J639" s="2210"/>
      <c r="K639" s="2211"/>
    </row>
    <row r="640" spans="1:11">
      <c r="A640" s="2204" t="s">
        <v>12874</v>
      </c>
      <c r="B640" s="2477" t="s">
        <v>12875</v>
      </c>
      <c r="C640" s="2278"/>
      <c r="D640" s="2279"/>
      <c r="E640" s="2369" t="s">
        <v>6173</v>
      </c>
      <c r="F640" s="2280">
        <v>4679692</v>
      </c>
      <c r="G640" s="2280">
        <v>5662427.3200000003</v>
      </c>
      <c r="H640" s="2175">
        <v>44903</v>
      </c>
      <c r="I640" s="2175">
        <v>46363</v>
      </c>
      <c r="J640" s="2210"/>
      <c r="K640" s="2211"/>
    </row>
    <row r="641" spans="1:11">
      <c r="A641" s="2204" t="s">
        <v>11222</v>
      </c>
      <c r="B641" s="2477" t="s">
        <v>11223</v>
      </c>
      <c r="C641" s="2278"/>
      <c r="D641" s="2279"/>
      <c r="E641" s="2369" t="s">
        <v>13536</v>
      </c>
      <c r="F641" s="2280">
        <v>11910294.4</v>
      </c>
      <c r="G641" s="2280">
        <v>14411456.220000001</v>
      </c>
      <c r="H641" s="2175">
        <v>44918</v>
      </c>
      <c r="I641" s="2175">
        <v>46378</v>
      </c>
      <c r="J641" s="2210"/>
      <c r="K641" s="2211"/>
    </row>
    <row r="642" spans="1:11">
      <c r="A642" s="2204" t="s">
        <v>12581</v>
      </c>
      <c r="B642" s="2477" t="s">
        <v>12582</v>
      </c>
      <c r="C642" s="2278"/>
      <c r="D642" s="2279"/>
      <c r="E642" s="2369" t="s">
        <v>13481</v>
      </c>
      <c r="F642" s="2280">
        <v>11452320</v>
      </c>
      <c r="G642" s="2280">
        <v>12038824</v>
      </c>
      <c r="H642" s="2175">
        <v>44918</v>
      </c>
      <c r="I642" s="2175">
        <v>46378</v>
      </c>
      <c r="J642" s="2210"/>
      <c r="K642" s="2211"/>
    </row>
    <row r="643" spans="1:11">
      <c r="A643" s="2204" t="s">
        <v>3144</v>
      </c>
      <c r="B643" s="2174" t="s">
        <v>8800</v>
      </c>
      <c r="C643" s="2208"/>
      <c r="D643" s="2174"/>
      <c r="E643" s="2212" t="s">
        <v>3479</v>
      </c>
      <c r="F643" s="2209">
        <v>1351100</v>
      </c>
      <c r="G643" s="2209">
        <v>1634831</v>
      </c>
      <c r="H643" s="2208" t="s">
        <v>8801</v>
      </c>
      <c r="I643" s="2175">
        <v>46436</v>
      </c>
      <c r="J643" s="2210"/>
      <c r="K643" s="2211"/>
    </row>
    <row r="644" spans="1:11" ht="30">
      <c r="A644" s="2204" t="s">
        <v>13744</v>
      </c>
      <c r="B644" s="2174" t="s">
        <v>13745</v>
      </c>
      <c r="C644" s="2208"/>
      <c r="D644" s="2174"/>
      <c r="E644" s="2212" t="s">
        <v>2776</v>
      </c>
      <c r="F644" s="2209">
        <v>36939130.399999999</v>
      </c>
      <c r="G644" s="2209">
        <v>42480000</v>
      </c>
      <c r="H644" s="2175">
        <v>44970</v>
      </c>
      <c r="I644" s="2175">
        <v>46440</v>
      </c>
      <c r="J644" s="2210"/>
      <c r="K644" s="2211"/>
    </row>
    <row r="645" spans="1:11">
      <c r="A645" s="2204" t="s">
        <v>13267</v>
      </c>
      <c r="B645" s="2174" t="s">
        <v>13268</v>
      </c>
      <c r="C645" s="2208">
        <v>1</v>
      </c>
      <c r="D645" s="2174" t="s">
        <v>13271</v>
      </c>
      <c r="E645" s="2212" t="s">
        <v>6592</v>
      </c>
      <c r="F645" s="2209">
        <v>1275260</v>
      </c>
      <c r="G645" s="2209">
        <v>1543064</v>
      </c>
      <c r="H645" s="2175">
        <v>44981</v>
      </c>
      <c r="I645" s="2175">
        <v>46441</v>
      </c>
      <c r="J645" s="2210"/>
      <c r="K645" s="2211"/>
    </row>
    <row r="646" spans="1:11" ht="30">
      <c r="A646" s="2204" t="s">
        <v>13269</v>
      </c>
      <c r="B646" s="2174" t="s">
        <v>13268</v>
      </c>
      <c r="C646" s="2208">
        <v>2</v>
      </c>
      <c r="D646" s="2174" t="s">
        <v>13272</v>
      </c>
      <c r="E646" s="2212" t="s">
        <v>6592</v>
      </c>
      <c r="F646" s="2209">
        <v>2967535</v>
      </c>
      <c r="G646" s="2209">
        <v>3590720.7</v>
      </c>
      <c r="H646" s="2175">
        <v>44981</v>
      </c>
      <c r="I646" s="2175">
        <v>46441</v>
      </c>
      <c r="J646" s="2210"/>
      <c r="K646" s="2211"/>
    </row>
    <row r="647" spans="1:11" ht="30">
      <c r="A647" s="2204" t="s">
        <v>13270</v>
      </c>
      <c r="B647" s="2174" t="s">
        <v>13268</v>
      </c>
      <c r="C647" s="2208">
        <v>3</v>
      </c>
      <c r="D647" s="2174" t="s">
        <v>13273</v>
      </c>
      <c r="E647" s="2212" t="s">
        <v>6592</v>
      </c>
      <c r="F647" s="2209">
        <v>5280000</v>
      </c>
      <c r="G647" s="2209">
        <v>6388800</v>
      </c>
      <c r="H647" s="2175">
        <v>44981</v>
      </c>
      <c r="I647" s="2175">
        <v>46441</v>
      </c>
      <c r="J647" s="2210"/>
      <c r="K647" s="2211"/>
    </row>
    <row r="648" spans="1:11" ht="30">
      <c r="A648" s="2204" t="s">
        <v>13565</v>
      </c>
      <c r="B648" s="2174" t="s">
        <v>3510</v>
      </c>
      <c r="C648" s="2208">
        <v>1</v>
      </c>
      <c r="D648" s="2174" t="s">
        <v>13566</v>
      </c>
      <c r="E648" s="2212" t="s">
        <v>3191</v>
      </c>
      <c r="F648" s="2209">
        <v>3546000</v>
      </c>
      <c r="G648" s="2209">
        <v>4077900</v>
      </c>
      <c r="H648" s="2175">
        <v>44985</v>
      </c>
      <c r="I648" s="2175">
        <v>46445</v>
      </c>
      <c r="J648" s="2210"/>
      <c r="K648" s="2211"/>
    </row>
    <row r="649" spans="1:11">
      <c r="A649" s="2204" t="s">
        <v>13570</v>
      </c>
      <c r="B649" s="2174" t="s">
        <v>3510</v>
      </c>
      <c r="C649" s="2208">
        <v>2</v>
      </c>
      <c r="D649" s="2174" t="s">
        <v>13567</v>
      </c>
      <c r="E649" s="2212" t="s">
        <v>3191</v>
      </c>
      <c r="F649" s="2209">
        <v>17280000</v>
      </c>
      <c r="G649" s="2209">
        <v>19872000</v>
      </c>
      <c r="H649" s="2175">
        <v>44985</v>
      </c>
      <c r="I649" s="2175">
        <v>46445</v>
      </c>
      <c r="J649" s="2210"/>
      <c r="K649" s="2211"/>
    </row>
    <row r="650" spans="1:11" ht="30">
      <c r="A650" s="2204" t="s">
        <v>13571</v>
      </c>
      <c r="B650" s="2174" t="s">
        <v>3510</v>
      </c>
      <c r="C650" s="2208">
        <v>3</v>
      </c>
      <c r="D650" s="2174" t="s">
        <v>7150</v>
      </c>
      <c r="E650" s="2212" t="s">
        <v>5696</v>
      </c>
      <c r="F650" s="2209">
        <v>1950000</v>
      </c>
      <c r="G650" s="2209">
        <v>2242500</v>
      </c>
      <c r="H650" s="2175">
        <v>44985</v>
      </c>
      <c r="I650" s="2175">
        <v>46445</v>
      </c>
      <c r="J650" s="2210"/>
      <c r="K650" s="2211"/>
    </row>
    <row r="651" spans="1:11" ht="30">
      <c r="A651" s="2204" t="s">
        <v>13572</v>
      </c>
      <c r="B651" s="2174" t="s">
        <v>3510</v>
      </c>
      <c r="C651" s="2208">
        <v>4</v>
      </c>
      <c r="D651" s="2174" t="s">
        <v>7151</v>
      </c>
      <c r="E651" s="2212" t="s">
        <v>3191</v>
      </c>
      <c r="F651" s="2209">
        <v>2388000</v>
      </c>
      <c r="G651" s="2209">
        <v>2746200</v>
      </c>
      <c r="H651" s="2175">
        <v>44985</v>
      </c>
      <c r="I651" s="2175">
        <v>46445</v>
      </c>
      <c r="J651" s="2210"/>
      <c r="K651" s="2211"/>
    </row>
    <row r="652" spans="1:11" ht="30">
      <c r="A652" s="2204" t="s">
        <v>13573</v>
      </c>
      <c r="B652" s="2174" t="s">
        <v>3510</v>
      </c>
      <c r="C652" s="2208">
        <v>5</v>
      </c>
      <c r="D652" s="2174" t="s">
        <v>7152</v>
      </c>
      <c r="E652" s="2212" t="s">
        <v>3191</v>
      </c>
      <c r="F652" s="2209">
        <v>2350000</v>
      </c>
      <c r="G652" s="2209">
        <v>2702500</v>
      </c>
      <c r="H652" s="2175">
        <v>44985</v>
      </c>
      <c r="I652" s="2175">
        <v>46445</v>
      </c>
      <c r="J652" s="2210"/>
      <c r="K652" s="2211"/>
    </row>
    <row r="653" spans="1:11" ht="45">
      <c r="A653" s="2204" t="s">
        <v>13574</v>
      </c>
      <c r="B653" s="2174" t="s">
        <v>3510</v>
      </c>
      <c r="C653" s="2208">
        <v>6</v>
      </c>
      <c r="D653" s="2174" t="s">
        <v>7153</v>
      </c>
      <c r="E653" s="2212" t="s">
        <v>3191</v>
      </c>
      <c r="F653" s="2209">
        <v>3412500</v>
      </c>
      <c r="G653" s="2209">
        <v>3924375</v>
      </c>
      <c r="H653" s="2175">
        <v>44985</v>
      </c>
      <c r="I653" s="2175">
        <v>46445</v>
      </c>
      <c r="J653" s="2210"/>
      <c r="K653" s="2211"/>
    </row>
    <row r="654" spans="1:11" ht="45">
      <c r="A654" s="2204" t="s">
        <v>13575</v>
      </c>
      <c r="B654" s="2174" t="s">
        <v>3510</v>
      </c>
      <c r="C654" s="2208">
        <v>7</v>
      </c>
      <c r="D654" s="2174" t="s">
        <v>7154</v>
      </c>
      <c r="E654" s="2212" t="s">
        <v>3191</v>
      </c>
      <c r="F654" s="2209">
        <v>20780000</v>
      </c>
      <c r="G654" s="2209">
        <v>23897000</v>
      </c>
      <c r="H654" s="2175">
        <v>44985</v>
      </c>
      <c r="I654" s="2175">
        <v>46445</v>
      </c>
      <c r="J654" s="2210"/>
      <c r="K654" s="2211"/>
    </row>
    <row r="655" spans="1:11" ht="30">
      <c r="A655" s="2204" t="s">
        <v>13578</v>
      </c>
      <c r="B655" s="2174" t="s">
        <v>3510</v>
      </c>
      <c r="C655" s="2208">
        <v>10</v>
      </c>
      <c r="D655" s="2174" t="s">
        <v>7158</v>
      </c>
      <c r="E655" s="2212" t="s">
        <v>5696</v>
      </c>
      <c r="F655" s="2527">
        <v>2260000</v>
      </c>
      <c r="G655" s="2209">
        <v>2626600</v>
      </c>
      <c r="H655" s="2175">
        <v>44985</v>
      </c>
      <c r="I655" s="2175">
        <v>46445</v>
      </c>
      <c r="J655" s="2210"/>
      <c r="K655" s="2211"/>
    </row>
    <row r="656" spans="1:11" ht="30">
      <c r="A656" s="2204" t="s">
        <v>13580</v>
      </c>
      <c r="B656" s="2174" t="s">
        <v>3510</v>
      </c>
      <c r="C656" s="2208">
        <v>12</v>
      </c>
      <c r="D656" s="2174" t="s">
        <v>13568</v>
      </c>
      <c r="E656" s="2212" t="s">
        <v>3191</v>
      </c>
      <c r="F656" s="2209">
        <v>4504200</v>
      </c>
      <c r="G656" s="2209">
        <v>5179830</v>
      </c>
      <c r="H656" s="2175">
        <v>44985</v>
      </c>
      <c r="I656" s="2175">
        <v>46445</v>
      </c>
      <c r="J656" s="2210"/>
      <c r="K656" s="2211"/>
    </row>
    <row r="657" spans="1:12">
      <c r="A657" s="2204" t="s">
        <v>13581</v>
      </c>
      <c r="B657" s="2174" t="s">
        <v>3510</v>
      </c>
      <c r="C657" s="2208">
        <v>13</v>
      </c>
      <c r="D657" s="2174" t="s">
        <v>13569</v>
      </c>
      <c r="E657" s="2212" t="s">
        <v>3191</v>
      </c>
      <c r="F657" s="2209">
        <v>3473600</v>
      </c>
      <c r="G657" s="2209">
        <v>3994640</v>
      </c>
      <c r="H657" s="2175">
        <v>44985</v>
      </c>
      <c r="I657" s="2175">
        <v>46445</v>
      </c>
      <c r="J657" s="2210"/>
      <c r="K657" s="2211"/>
    </row>
    <row r="658" spans="1:12" ht="30">
      <c r="A658" s="2204" t="s">
        <v>13576</v>
      </c>
      <c r="B658" s="2174" t="s">
        <v>3510</v>
      </c>
      <c r="C658" s="2208">
        <v>8</v>
      </c>
      <c r="D658" s="2174" t="s">
        <v>7155</v>
      </c>
      <c r="E658" s="2212" t="s">
        <v>3191</v>
      </c>
      <c r="F658" s="2209">
        <v>1456000</v>
      </c>
      <c r="G658" s="2209">
        <v>1674400</v>
      </c>
      <c r="H658" s="2175">
        <v>44991</v>
      </c>
      <c r="I658" s="2175">
        <v>46451</v>
      </c>
      <c r="J658" s="2210"/>
      <c r="K658" s="2211"/>
    </row>
    <row r="659" spans="1:12" ht="46.5" customHeight="1">
      <c r="A659" s="2204" t="s">
        <v>13577</v>
      </c>
      <c r="B659" s="2174" t="s">
        <v>3510</v>
      </c>
      <c r="C659" s="2208">
        <v>9</v>
      </c>
      <c r="D659" s="2174" t="s">
        <v>7156</v>
      </c>
      <c r="E659" s="2212" t="s">
        <v>3191</v>
      </c>
      <c r="F659" s="2209">
        <v>2180400</v>
      </c>
      <c r="G659" s="2209">
        <v>2507460</v>
      </c>
      <c r="H659" s="2175">
        <v>44991</v>
      </c>
      <c r="I659" s="2175">
        <v>46451</v>
      </c>
      <c r="J659" s="2210"/>
      <c r="K659" s="2211"/>
    </row>
    <row r="660" spans="1:12" ht="46.5" customHeight="1">
      <c r="A660" s="2204" t="s">
        <v>13579</v>
      </c>
      <c r="B660" s="2174" t="s">
        <v>3510</v>
      </c>
      <c r="C660" s="2208">
        <v>11</v>
      </c>
      <c r="D660" s="2174" t="s">
        <v>7159</v>
      </c>
      <c r="E660" s="2212" t="s">
        <v>13970</v>
      </c>
      <c r="F660" s="2209">
        <v>4140000</v>
      </c>
      <c r="G660" s="2209">
        <v>4761000</v>
      </c>
      <c r="H660" s="2175">
        <v>44994</v>
      </c>
      <c r="I660" s="2175">
        <v>46454</v>
      </c>
      <c r="J660" s="2210"/>
      <c r="K660" s="2211"/>
    </row>
    <row r="661" spans="1:12">
      <c r="A661" s="2204" t="s">
        <v>13829</v>
      </c>
      <c r="B661" s="2174" t="s">
        <v>13830</v>
      </c>
      <c r="C661" s="2208"/>
      <c r="D661" s="2174"/>
      <c r="E661" s="2212" t="s">
        <v>1433</v>
      </c>
      <c r="F661" s="2209">
        <v>403700</v>
      </c>
      <c r="G661" s="2209">
        <v>488477</v>
      </c>
      <c r="H661" s="2175">
        <v>44956</v>
      </c>
      <c r="I661" s="2175">
        <v>46460</v>
      </c>
      <c r="J661" s="2210"/>
      <c r="K661" s="2211"/>
    </row>
    <row r="662" spans="1:12">
      <c r="A662" s="2204" t="s">
        <v>13717</v>
      </c>
      <c r="B662" s="2174" t="s">
        <v>3382</v>
      </c>
      <c r="C662" s="2208"/>
      <c r="D662" s="2174"/>
      <c r="E662" s="2212" t="s">
        <v>6763</v>
      </c>
      <c r="F662" s="2209">
        <v>1992000</v>
      </c>
      <c r="G662" s="2209">
        <v>2410320</v>
      </c>
      <c r="H662" s="2175">
        <v>45007</v>
      </c>
      <c r="I662" s="2175">
        <v>46467</v>
      </c>
      <c r="J662" s="2210"/>
      <c r="K662" s="2211"/>
    </row>
    <row r="663" spans="1:12">
      <c r="A663" s="2204" t="s">
        <v>13723</v>
      </c>
      <c r="B663" s="2174" t="s">
        <v>8437</v>
      </c>
      <c r="C663" s="2208">
        <v>2</v>
      </c>
      <c r="D663" s="2174" t="s">
        <v>13725</v>
      </c>
      <c r="E663" s="2212" t="s">
        <v>6763</v>
      </c>
      <c r="F663" s="2209">
        <v>877800</v>
      </c>
      <c r="G663" s="2209">
        <v>1062138</v>
      </c>
      <c r="H663" s="2175">
        <v>44946</v>
      </c>
      <c r="I663" s="2175">
        <v>46468</v>
      </c>
      <c r="J663" s="2210"/>
      <c r="K663" s="2211"/>
    </row>
    <row r="664" spans="1:12">
      <c r="A664" s="2204" t="s">
        <v>13673</v>
      </c>
      <c r="B664" s="2174" t="s">
        <v>13674</v>
      </c>
      <c r="C664" s="2208"/>
      <c r="D664" s="2174"/>
      <c r="E664" s="2212" t="s">
        <v>3154</v>
      </c>
      <c r="F664" s="2209">
        <v>2786400</v>
      </c>
      <c r="G664" s="2209">
        <v>3371544</v>
      </c>
      <c r="H664" s="2175">
        <v>44992</v>
      </c>
      <c r="I664" s="2175">
        <v>46476</v>
      </c>
      <c r="J664" s="2210"/>
      <c r="K664" s="2211"/>
    </row>
    <row r="665" spans="1:12">
      <c r="A665" s="2204" t="s">
        <v>16570</v>
      </c>
      <c r="B665" s="2174" t="s">
        <v>14731</v>
      </c>
      <c r="C665" s="2208"/>
      <c r="D665" s="2174"/>
      <c r="E665" s="2212" t="s">
        <v>16680</v>
      </c>
      <c r="F665" s="2209">
        <v>531000</v>
      </c>
      <c r="G665" s="2209">
        <v>594720</v>
      </c>
      <c r="H665" s="2175">
        <v>45331</v>
      </c>
      <c r="I665" s="2175">
        <v>46500</v>
      </c>
      <c r="J665" s="2210"/>
      <c r="K665" s="2211"/>
      <c r="L665" s="1944" t="s">
        <v>16774</v>
      </c>
    </row>
    <row r="666" spans="1:12" ht="30">
      <c r="A666" s="2204" t="s">
        <v>13945</v>
      </c>
      <c r="B666" s="2174" t="s">
        <v>13946</v>
      </c>
      <c r="C666" s="2208"/>
      <c r="D666" s="2174"/>
      <c r="E666" s="2212" t="s">
        <v>2776</v>
      </c>
      <c r="F666" s="2209">
        <v>4659914</v>
      </c>
      <c r="G666" s="2209">
        <v>5638495.9400000004</v>
      </c>
      <c r="H666" s="2175">
        <v>45040</v>
      </c>
      <c r="I666" s="2175">
        <v>46500</v>
      </c>
      <c r="J666" s="2210"/>
      <c r="K666" s="2211"/>
    </row>
    <row r="667" spans="1:12">
      <c r="A667" s="2204" t="s">
        <v>17104</v>
      </c>
      <c r="B667" s="2174" t="s">
        <v>17105</v>
      </c>
      <c r="C667" s="2208"/>
      <c r="D667" s="2174"/>
      <c r="E667" s="2212" t="s">
        <v>8765</v>
      </c>
      <c r="F667" s="2209">
        <v>1221000</v>
      </c>
      <c r="G667" s="2209">
        <v>1477410</v>
      </c>
      <c r="H667" s="2175">
        <v>45407</v>
      </c>
      <c r="I667" s="2175">
        <v>46501</v>
      </c>
      <c r="J667" s="2210"/>
      <c r="K667" s="2211"/>
    </row>
    <row r="668" spans="1:12" ht="30">
      <c r="A668" s="2204" t="s">
        <v>13620</v>
      </c>
      <c r="B668" s="2174" t="s">
        <v>3270</v>
      </c>
      <c r="C668" s="2208"/>
      <c r="D668" s="2174"/>
      <c r="E668" s="2212" t="s">
        <v>5696</v>
      </c>
      <c r="F668" s="2209">
        <v>19960447</v>
      </c>
      <c r="G668" s="2209">
        <v>24152140.870000001</v>
      </c>
      <c r="H668" s="2175">
        <v>45006</v>
      </c>
      <c r="I668" s="2177" t="s">
        <v>14427</v>
      </c>
      <c r="J668" s="2210"/>
      <c r="K668" s="2211"/>
      <c r="L668" s="807" t="s">
        <v>14428</v>
      </c>
    </row>
    <row r="669" spans="1:12" ht="30">
      <c r="A669" s="2204" t="s">
        <v>14165</v>
      </c>
      <c r="B669" s="2174" t="s">
        <v>8420</v>
      </c>
      <c r="C669" s="2208"/>
      <c r="D669" s="2174"/>
      <c r="E669" s="2212" t="s">
        <v>5696</v>
      </c>
      <c r="F669" s="2209">
        <v>2712000</v>
      </c>
      <c r="G669" s="2209">
        <v>3118800</v>
      </c>
      <c r="H669" s="2175">
        <v>45042</v>
      </c>
      <c r="I669" s="2177">
        <v>46502</v>
      </c>
      <c r="J669" s="2210"/>
      <c r="K669" s="2211"/>
      <c r="L669" s="807"/>
    </row>
    <row r="670" spans="1:12">
      <c r="A670" s="2204" t="s">
        <v>13769</v>
      </c>
      <c r="B670" s="2174" t="s">
        <v>13770</v>
      </c>
      <c r="C670" s="2208"/>
      <c r="D670" s="2174"/>
      <c r="E670" s="2212" t="s">
        <v>5696</v>
      </c>
      <c r="F670" s="2209">
        <v>2012800</v>
      </c>
      <c r="G670" s="2209">
        <v>2314720</v>
      </c>
      <c r="H670" s="2175">
        <v>44992</v>
      </c>
      <c r="I670" s="2175">
        <v>46503</v>
      </c>
      <c r="J670" s="2210"/>
      <c r="K670" s="2211"/>
    </row>
    <row r="671" spans="1:12">
      <c r="A671" s="2204" t="s">
        <v>14031</v>
      </c>
      <c r="B671" s="2174" t="s">
        <v>14032</v>
      </c>
      <c r="C671" s="2208"/>
      <c r="D671" s="2174"/>
      <c r="E671" s="2212" t="s">
        <v>2755</v>
      </c>
      <c r="F671" s="2209">
        <v>5434000</v>
      </c>
      <c r="G671" s="2209">
        <v>6249100</v>
      </c>
      <c r="H671" s="2175">
        <v>45049</v>
      </c>
      <c r="I671" s="2175">
        <v>46511</v>
      </c>
      <c r="J671" s="2210"/>
      <c r="K671" s="2211"/>
    </row>
    <row r="672" spans="1:12">
      <c r="A672" s="2204" t="s">
        <v>16714</v>
      </c>
      <c r="B672" s="2174" t="s">
        <v>8142</v>
      </c>
      <c r="C672" s="2208"/>
      <c r="D672" s="2174"/>
      <c r="E672" s="2212" t="s">
        <v>993</v>
      </c>
      <c r="F672" s="2209">
        <v>6597950.8399999999</v>
      </c>
      <c r="G672" s="2209">
        <v>7389704.9400000004</v>
      </c>
      <c r="H672" s="2175">
        <v>45419</v>
      </c>
      <c r="I672" s="2175">
        <v>46513</v>
      </c>
      <c r="J672" s="2210"/>
      <c r="K672" s="2211"/>
    </row>
    <row r="673" spans="1:11" ht="30">
      <c r="A673" s="2204" t="s">
        <v>13957</v>
      </c>
      <c r="B673" s="2174" t="s">
        <v>14820</v>
      </c>
      <c r="C673" s="2208"/>
      <c r="D673" s="2174"/>
      <c r="E673" s="2212" t="s">
        <v>4326</v>
      </c>
      <c r="F673" s="2209">
        <v>5878500</v>
      </c>
      <c r="G673" s="2209">
        <v>7112985</v>
      </c>
      <c r="H673" s="2175">
        <v>45051</v>
      </c>
      <c r="I673" s="2175">
        <v>46523</v>
      </c>
      <c r="J673" s="2210"/>
      <c r="K673" s="2211"/>
    </row>
    <row r="674" spans="1:11">
      <c r="A674" s="2204" t="s">
        <v>13967</v>
      </c>
      <c r="B674" s="2174" t="s">
        <v>8119</v>
      </c>
      <c r="C674" s="2208"/>
      <c r="D674" s="2174"/>
      <c r="E674" s="2212" t="s">
        <v>1433</v>
      </c>
      <c r="F674" s="2209">
        <v>3929600</v>
      </c>
      <c r="G674" s="2209">
        <v>4754816</v>
      </c>
      <c r="H674" s="2175">
        <v>45070</v>
      </c>
      <c r="I674" s="2175">
        <v>46530</v>
      </c>
      <c r="J674" s="2210"/>
      <c r="K674" s="2211"/>
    </row>
    <row r="675" spans="1:11">
      <c r="A675" s="2204" t="s">
        <v>14545</v>
      </c>
      <c r="B675" s="2174" t="s">
        <v>13605</v>
      </c>
      <c r="C675" s="2208"/>
      <c r="D675" s="2174"/>
      <c r="E675" s="2212" t="s">
        <v>1433</v>
      </c>
      <c r="F675" s="2209">
        <v>4850000</v>
      </c>
      <c r="G675" s="2209">
        <v>5868500</v>
      </c>
      <c r="H675" s="2175">
        <v>45019</v>
      </c>
      <c r="I675" s="2175">
        <v>46538</v>
      </c>
      <c r="J675" s="2210"/>
      <c r="K675" s="2211"/>
    </row>
    <row r="676" spans="1:11" ht="30">
      <c r="A676" s="2204" t="s">
        <v>17153</v>
      </c>
      <c r="B676" s="2174" t="s">
        <v>17154</v>
      </c>
      <c r="C676" s="2208"/>
      <c r="D676" s="2174"/>
      <c r="E676" s="2212" t="s">
        <v>2097</v>
      </c>
      <c r="F676" s="2209">
        <v>24260850</v>
      </c>
      <c r="G676" s="2209">
        <v>27172152</v>
      </c>
      <c r="H676" s="2175">
        <v>45464</v>
      </c>
      <c r="I676" s="2175">
        <v>46558</v>
      </c>
      <c r="J676" s="2210"/>
      <c r="K676" s="2211"/>
    </row>
    <row r="677" spans="1:11">
      <c r="A677" s="2204" t="s">
        <v>14252</v>
      </c>
      <c r="B677" s="2174" t="s">
        <v>14253</v>
      </c>
      <c r="C677" s="2208"/>
      <c r="D677" s="2174"/>
      <c r="E677" s="2212" t="s">
        <v>14418</v>
      </c>
      <c r="F677" s="2209">
        <v>1461920.49</v>
      </c>
      <c r="G677" s="2209">
        <v>1681238.01</v>
      </c>
      <c r="H677" s="2175">
        <v>45027</v>
      </c>
      <c r="I677" s="2175">
        <v>46566</v>
      </c>
      <c r="J677" s="2210"/>
      <c r="K677" s="2211"/>
    </row>
    <row r="678" spans="1:11">
      <c r="A678" s="2204" t="s">
        <v>14635</v>
      </c>
      <c r="B678" s="2174" t="s">
        <v>14636</v>
      </c>
      <c r="C678" s="2208"/>
      <c r="D678" s="2174"/>
      <c r="E678" s="2212" t="s">
        <v>15067</v>
      </c>
      <c r="F678" s="2209">
        <v>1734000</v>
      </c>
      <c r="G678" s="2209">
        <v>2098140</v>
      </c>
      <c r="H678" s="2175">
        <v>45117</v>
      </c>
      <c r="I678" s="2175">
        <v>46577</v>
      </c>
      <c r="J678" s="2210"/>
      <c r="K678" s="2211"/>
    </row>
    <row r="679" spans="1:11" ht="30">
      <c r="A679" s="2204" t="s">
        <v>14606</v>
      </c>
      <c r="B679" s="2174" t="s">
        <v>14607</v>
      </c>
      <c r="C679" s="2208"/>
      <c r="D679" s="2174"/>
      <c r="E679" s="2212" t="s">
        <v>3502</v>
      </c>
      <c r="F679" s="2527">
        <v>21115200</v>
      </c>
      <c r="G679" s="2209">
        <v>25549392</v>
      </c>
      <c r="H679" s="2175">
        <v>45121</v>
      </c>
      <c r="I679" s="2175">
        <v>46581</v>
      </c>
      <c r="J679" s="2210"/>
      <c r="K679" s="2211"/>
    </row>
    <row r="680" spans="1:11">
      <c r="A680" s="2204" t="s">
        <v>17082</v>
      </c>
      <c r="B680" s="2174" t="s">
        <v>8354</v>
      </c>
      <c r="C680" s="2208">
        <v>1</v>
      </c>
      <c r="D680" s="2174" t="s">
        <v>3822</v>
      </c>
      <c r="E680" s="2212" t="s">
        <v>2974</v>
      </c>
      <c r="F680" s="2527">
        <v>2677500</v>
      </c>
      <c r="G680" s="2209">
        <v>2998800</v>
      </c>
      <c r="H680" s="2175">
        <v>45503</v>
      </c>
      <c r="I680" s="2175">
        <v>46597</v>
      </c>
      <c r="J680" s="2210"/>
      <c r="K680" s="2211"/>
    </row>
    <row r="681" spans="1:11">
      <c r="A681" s="2204" t="s">
        <v>17085</v>
      </c>
      <c r="B681" s="2174" t="s">
        <v>8354</v>
      </c>
      <c r="C681" s="2208">
        <v>4</v>
      </c>
      <c r="D681" s="2174" t="s">
        <v>3825</v>
      </c>
      <c r="E681" s="2212" t="s">
        <v>2974</v>
      </c>
      <c r="F681" s="2527">
        <v>3327540</v>
      </c>
      <c r="G681" s="2209">
        <v>3726844.8</v>
      </c>
      <c r="H681" s="2175">
        <v>45503</v>
      </c>
      <c r="I681" s="2175">
        <v>46597</v>
      </c>
      <c r="J681" s="2210"/>
      <c r="K681" s="2211"/>
    </row>
    <row r="682" spans="1:11">
      <c r="A682" s="2204" t="s">
        <v>17087</v>
      </c>
      <c r="B682" s="2174" t="s">
        <v>8354</v>
      </c>
      <c r="C682" s="2208">
        <v>6</v>
      </c>
      <c r="D682" s="2174" t="s">
        <v>17091</v>
      </c>
      <c r="E682" s="2212" t="s">
        <v>2776</v>
      </c>
      <c r="F682" s="2527">
        <v>34796400</v>
      </c>
      <c r="G682" s="2209">
        <v>38971968</v>
      </c>
      <c r="H682" s="2175">
        <v>45503</v>
      </c>
      <c r="I682" s="2175">
        <v>46597</v>
      </c>
      <c r="J682" s="2210"/>
      <c r="K682" s="2211"/>
    </row>
    <row r="683" spans="1:11">
      <c r="A683" s="2204" t="s">
        <v>17088</v>
      </c>
      <c r="B683" s="2174" t="s">
        <v>8354</v>
      </c>
      <c r="C683" s="2208">
        <v>7</v>
      </c>
      <c r="D683" s="2174" t="s">
        <v>3828</v>
      </c>
      <c r="E683" s="2212" t="s">
        <v>2776</v>
      </c>
      <c r="F683" s="2527">
        <v>17328000</v>
      </c>
      <c r="G683" s="2209">
        <v>19407360</v>
      </c>
      <c r="H683" s="2175">
        <v>45503</v>
      </c>
      <c r="I683" s="2175">
        <v>46597</v>
      </c>
      <c r="J683" s="2210"/>
      <c r="K683" s="2211"/>
    </row>
    <row r="684" spans="1:11">
      <c r="A684" s="2204" t="s">
        <v>15154</v>
      </c>
      <c r="B684" s="2174" t="s">
        <v>15155</v>
      </c>
      <c r="C684" s="2208"/>
      <c r="D684" s="2174"/>
      <c r="E684" s="2212" t="s">
        <v>9770</v>
      </c>
      <c r="F684" s="2527">
        <v>1360000</v>
      </c>
      <c r="G684" s="2209">
        <v>1645600</v>
      </c>
      <c r="H684" s="2175">
        <v>45139</v>
      </c>
      <c r="I684" s="2175">
        <v>46599</v>
      </c>
      <c r="J684" s="2210"/>
      <c r="K684" s="2211"/>
    </row>
    <row r="685" spans="1:11">
      <c r="A685" s="2204" t="s">
        <v>16988</v>
      </c>
      <c r="B685" s="2174" t="s">
        <v>9068</v>
      </c>
      <c r="C685" s="2208"/>
      <c r="D685" s="2174"/>
      <c r="E685" s="2212" t="s">
        <v>9197</v>
      </c>
      <c r="F685" s="2527">
        <v>2138725.98</v>
      </c>
      <c r="G685" s="2209">
        <v>2395373.1</v>
      </c>
      <c r="H685" s="2175">
        <v>45412</v>
      </c>
      <c r="I685" s="2175">
        <v>46599</v>
      </c>
      <c r="J685" s="2210"/>
      <c r="K685" s="2211"/>
    </row>
    <row r="686" spans="1:11">
      <c r="A686" s="2204" t="s">
        <v>17084</v>
      </c>
      <c r="B686" s="2174" t="s">
        <v>8354</v>
      </c>
      <c r="C686" s="2208">
        <v>3</v>
      </c>
      <c r="D686" s="2174" t="s">
        <v>3824</v>
      </c>
      <c r="E686" s="2212" t="s">
        <v>2776</v>
      </c>
      <c r="F686" s="2527">
        <v>5974000</v>
      </c>
      <c r="G686" s="2209">
        <v>6690880</v>
      </c>
      <c r="H686" s="2175">
        <v>45506</v>
      </c>
      <c r="I686" s="2175">
        <v>46600</v>
      </c>
      <c r="J686" s="2210"/>
      <c r="K686" s="2211"/>
    </row>
    <row r="687" spans="1:11">
      <c r="A687" s="2204" t="s">
        <v>14346</v>
      </c>
      <c r="B687" s="2174" t="s">
        <v>14348</v>
      </c>
      <c r="C687" s="2208"/>
      <c r="D687" s="2174"/>
      <c r="E687" s="2212" t="s">
        <v>5696</v>
      </c>
      <c r="F687" s="2527">
        <v>7469500</v>
      </c>
      <c r="G687" s="2209">
        <v>9038095</v>
      </c>
      <c r="H687" s="2175">
        <v>45145</v>
      </c>
      <c r="I687" s="2175">
        <v>46605</v>
      </c>
      <c r="J687" s="2210"/>
      <c r="K687" s="2211"/>
    </row>
    <row r="688" spans="1:11">
      <c r="A688" s="2204" t="s">
        <v>14069</v>
      </c>
      <c r="B688" s="2174" t="s">
        <v>14071</v>
      </c>
      <c r="C688" s="2208">
        <v>1</v>
      </c>
      <c r="D688" s="2174" t="s">
        <v>15092</v>
      </c>
      <c r="E688" s="2212" t="s">
        <v>1404</v>
      </c>
      <c r="F688" s="2527">
        <v>5914300.4000000004</v>
      </c>
      <c r="G688" s="2209">
        <v>7156303.4800000004</v>
      </c>
      <c r="H688" s="2175">
        <v>45147</v>
      </c>
      <c r="I688" s="2175">
        <v>46607</v>
      </c>
      <c r="J688" s="2210"/>
      <c r="K688" s="2211"/>
    </row>
    <row r="689" spans="1:12">
      <c r="A689" s="2204" t="s">
        <v>14517</v>
      </c>
      <c r="B689" s="2174" t="s">
        <v>14518</v>
      </c>
      <c r="C689" s="2208"/>
      <c r="D689" s="2174"/>
      <c r="E689" s="2212" t="s">
        <v>8793</v>
      </c>
      <c r="F689" s="2209">
        <v>6400704</v>
      </c>
      <c r="G689" s="2209">
        <v>7744851.8399999999</v>
      </c>
      <c r="H689" s="2175">
        <v>45118</v>
      </c>
      <c r="I689" s="2175">
        <v>46610</v>
      </c>
      <c r="J689" s="2210"/>
      <c r="K689" s="2211"/>
    </row>
    <row r="690" spans="1:12">
      <c r="A690" s="2204" t="s">
        <v>14588</v>
      </c>
      <c r="B690" s="2174" t="s">
        <v>14589</v>
      </c>
      <c r="C690" s="2208"/>
      <c r="D690" s="2174"/>
      <c r="E690" s="2212" t="s">
        <v>9770</v>
      </c>
      <c r="F690" s="2209">
        <v>1260000</v>
      </c>
      <c r="G690" s="2209">
        <v>1524600</v>
      </c>
      <c r="H690" s="2175">
        <v>45083</v>
      </c>
      <c r="I690" s="2175">
        <v>46629</v>
      </c>
      <c r="J690" s="2210"/>
      <c r="K690" s="2211"/>
    </row>
    <row r="691" spans="1:12" ht="30">
      <c r="A691" s="2204" t="s">
        <v>14600</v>
      </c>
      <c r="B691" s="2174" t="s">
        <v>14581</v>
      </c>
      <c r="C691" s="2208">
        <v>1</v>
      </c>
      <c r="D691" s="2174" t="s">
        <v>14603</v>
      </c>
      <c r="E691" s="2212" t="s">
        <v>2776</v>
      </c>
      <c r="F691" s="2209">
        <v>42180000</v>
      </c>
      <c r="G691" s="2209">
        <v>48507000</v>
      </c>
      <c r="H691" s="2175">
        <v>45153</v>
      </c>
      <c r="I691" s="2175">
        <v>46645</v>
      </c>
      <c r="J691" s="2210"/>
      <c r="K691" s="2211"/>
      <c r="L691" s="1944" t="s">
        <v>15593</v>
      </c>
    </row>
    <row r="692" spans="1:12" ht="30">
      <c r="A692" s="2204" t="s">
        <v>14601</v>
      </c>
      <c r="B692" s="2174" t="s">
        <v>14581</v>
      </c>
      <c r="C692" s="2208">
        <v>2</v>
      </c>
      <c r="D692" s="2174" t="s">
        <v>14604</v>
      </c>
      <c r="E692" s="2212" t="s">
        <v>7201</v>
      </c>
      <c r="F692" s="2209">
        <v>53099500</v>
      </c>
      <c r="G692" s="2209">
        <v>61064425</v>
      </c>
      <c r="H692" s="2175">
        <v>45153</v>
      </c>
      <c r="I692" s="2175">
        <v>46645</v>
      </c>
      <c r="J692" s="2210"/>
      <c r="K692" s="2211"/>
      <c r="L692" s="1944" t="s">
        <v>15593</v>
      </c>
    </row>
    <row r="693" spans="1:12" ht="30">
      <c r="A693" s="2204" t="s">
        <v>16838</v>
      </c>
      <c r="B693" s="2174" t="s">
        <v>8164</v>
      </c>
      <c r="C693" s="2208">
        <v>1</v>
      </c>
      <c r="D693" s="2174" t="s">
        <v>8167</v>
      </c>
      <c r="E693" s="2212" t="s">
        <v>8465</v>
      </c>
      <c r="F693" s="2209">
        <v>8324522.4000000004</v>
      </c>
      <c r="G693" s="2209">
        <v>9323465.0899999999</v>
      </c>
      <c r="H693" s="2175">
        <v>45551</v>
      </c>
      <c r="I693" s="2175">
        <v>46645</v>
      </c>
      <c r="J693" s="2210"/>
      <c r="K693" s="2211"/>
    </row>
    <row r="694" spans="1:12" ht="30">
      <c r="A694" s="2204" t="s">
        <v>16839</v>
      </c>
      <c r="B694" s="2174" t="s">
        <v>8164</v>
      </c>
      <c r="C694" s="2208">
        <v>3</v>
      </c>
      <c r="D694" s="2174" t="s">
        <v>16841</v>
      </c>
      <c r="E694" s="2212" t="s">
        <v>8465</v>
      </c>
      <c r="F694" s="2209">
        <v>45743190</v>
      </c>
      <c r="G694" s="2209">
        <v>51232372.799999997</v>
      </c>
      <c r="H694" s="2175">
        <v>45551</v>
      </c>
      <c r="I694" s="2175">
        <v>46645</v>
      </c>
      <c r="J694" s="2210"/>
      <c r="K694" s="2211"/>
    </row>
    <row r="695" spans="1:12" ht="45">
      <c r="A695" s="2204" t="s">
        <v>14645</v>
      </c>
      <c r="B695" s="2174" t="s">
        <v>14580</v>
      </c>
      <c r="C695" s="2208">
        <v>1</v>
      </c>
      <c r="D695" s="2174" t="s">
        <v>14650</v>
      </c>
      <c r="E695" s="2212" t="s">
        <v>2974</v>
      </c>
      <c r="F695" s="2209">
        <v>87542500</v>
      </c>
      <c r="G695" s="2209">
        <v>100673875</v>
      </c>
      <c r="H695" s="2175">
        <v>45153</v>
      </c>
      <c r="I695" s="2175">
        <v>46652</v>
      </c>
      <c r="J695" s="2210"/>
      <c r="K695" s="2211"/>
      <c r="L695" s="1944" t="s">
        <v>15550</v>
      </c>
    </row>
    <row r="696" spans="1:12" ht="45">
      <c r="A696" s="2204" t="s">
        <v>14646</v>
      </c>
      <c r="B696" s="2174" t="s">
        <v>14580</v>
      </c>
      <c r="C696" s="2208">
        <v>2</v>
      </c>
      <c r="D696" s="2174" t="s">
        <v>14651</v>
      </c>
      <c r="E696" s="2212" t="s">
        <v>2776</v>
      </c>
      <c r="F696" s="2209">
        <v>14636522</v>
      </c>
      <c r="G696" s="2209">
        <v>16832000.300000001</v>
      </c>
      <c r="H696" s="2175">
        <v>45153</v>
      </c>
      <c r="I696" s="2175">
        <v>46652</v>
      </c>
      <c r="J696" s="2210"/>
      <c r="K696" s="2211"/>
      <c r="L696" s="1944" t="s">
        <v>15550</v>
      </c>
    </row>
    <row r="697" spans="1:12" ht="45">
      <c r="A697" s="2204" t="s">
        <v>14647</v>
      </c>
      <c r="B697" s="2174" t="s">
        <v>14580</v>
      </c>
      <c r="C697" s="2208">
        <v>3</v>
      </c>
      <c r="D697" s="2174" t="s">
        <v>14652</v>
      </c>
      <c r="E697" s="2212" t="s">
        <v>7201</v>
      </c>
      <c r="F697" s="2209">
        <v>10764000</v>
      </c>
      <c r="G697" s="2209">
        <v>12378600</v>
      </c>
      <c r="H697" s="2175">
        <v>45153</v>
      </c>
      <c r="I697" s="2175">
        <v>46652</v>
      </c>
      <c r="J697" s="2210"/>
      <c r="K697" s="2211"/>
      <c r="L697" s="1944" t="s">
        <v>15550</v>
      </c>
    </row>
    <row r="698" spans="1:12" ht="30">
      <c r="A698" s="2204" t="s">
        <v>14648</v>
      </c>
      <c r="B698" s="2174" t="s">
        <v>14580</v>
      </c>
      <c r="C698" s="2208">
        <v>4</v>
      </c>
      <c r="D698" s="2174" t="s">
        <v>14653</v>
      </c>
      <c r="E698" s="2212" t="s">
        <v>2777</v>
      </c>
      <c r="F698" s="2209">
        <v>8143200</v>
      </c>
      <c r="G698" s="2209">
        <v>9364680</v>
      </c>
      <c r="H698" s="2175">
        <v>45153</v>
      </c>
      <c r="I698" s="2175">
        <v>46652</v>
      </c>
      <c r="J698" s="2210"/>
      <c r="K698" s="2211"/>
      <c r="L698" s="1944" t="s">
        <v>15550</v>
      </c>
    </row>
    <row r="699" spans="1:12" ht="30">
      <c r="A699" s="2204" t="s">
        <v>14649</v>
      </c>
      <c r="B699" s="2174" t="s">
        <v>14580</v>
      </c>
      <c r="C699" s="2208">
        <v>5</v>
      </c>
      <c r="D699" s="2174" t="s">
        <v>6828</v>
      </c>
      <c r="E699" s="2212" t="s">
        <v>1433</v>
      </c>
      <c r="F699" s="2209">
        <v>15500000</v>
      </c>
      <c r="G699" s="2209">
        <v>17825000</v>
      </c>
      <c r="H699" s="2175">
        <v>45153</v>
      </c>
      <c r="I699" s="2175">
        <v>46652</v>
      </c>
      <c r="J699" s="2210"/>
      <c r="K699" s="2211"/>
      <c r="L699" s="1944" t="s">
        <v>15550</v>
      </c>
    </row>
    <row r="700" spans="1:12">
      <c r="A700" s="2204" t="s">
        <v>14744</v>
      </c>
      <c r="B700" s="2174" t="s">
        <v>8997</v>
      </c>
      <c r="C700" s="2208"/>
      <c r="D700" s="2174"/>
      <c r="E700" s="2212" t="s">
        <v>8793</v>
      </c>
      <c r="F700" s="2209">
        <v>7800000</v>
      </c>
      <c r="G700" s="2209">
        <v>9438000</v>
      </c>
      <c r="H700" s="2175">
        <v>45145</v>
      </c>
      <c r="I700" s="2175">
        <v>46652</v>
      </c>
      <c r="J700" s="2210"/>
      <c r="K700" s="2211"/>
      <c r="L700" s="1944" t="s">
        <v>15550</v>
      </c>
    </row>
    <row r="701" spans="1:12">
      <c r="A701" s="2204" t="s">
        <v>14669</v>
      </c>
      <c r="B701" s="2174" t="s">
        <v>14670</v>
      </c>
      <c r="C701" s="2208"/>
      <c r="D701" s="2174"/>
      <c r="E701" s="2212" t="s">
        <v>8526</v>
      </c>
      <c r="F701" s="2209">
        <v>3949000</v>
      </c>
      <c r="G701" s="2209">
        <v>4778290</v>
      </c>
      <c r="H701" s="2175">
        <v>45145</v>
      </c>
      <c r="I701" s="2175">
        <v>46652</v>
      </c>
      <c r="J701" s="2210"/>
      <c r="K701" s="2211"/>
      <c r="L701" s="1944" t="s">
        <v>15550</v>
      </c>
    </row>
    <row r="702" spans="1:12">
      <c r="A702" s="2204" t="s">
        <v>14643</v>
      </c>
      <c r="B702" s="2174" t="s">
        <v>14644</v>
      </c>
      <c r="C702" s="2208"/>
      <c r="D702" s="2174"/>
      <c r="E702" s="2212" t="s">
        <v>3179</v>
      </c>
      <c r="F702" s="2209">
        <v>13305600</v>
      </c>
      <c r="G702" s="2209">
        <v>15301440</v>
      </c>
      <c r="H702" s="2175">
        <v>45128</v>
      </c>
      <c r="I702" s="2175">
        <v>46658</v>
      </c>
      <c r="J702" s="2210"/>
      <c r="K702" s="2211"/>
      <c r="L702" s="1944" t="s">
        <v>15435</v>
      </c>
    </row>
    <row r="703" spans="1:12">
      <c r="A703" s="2204" t="s">
        <v>15437</v>
      </c>
      <c r="B703" s="2174" t="s">
        <v>14803</v>
      </c>
      <c r="C703" s="2208"/>
      <c r="D703" s="2174"/>
      <c r="E703" s="2212" t="s">
        <v>8793</v>
      </c>
      <c r="F703" s="2209">
        <v>2416000</v>
      </c>
      <c r="G703" s="2209">
        <v>2923360</v>
      </c>
      <c r="H703" s="2175">
        <v>45128</v>
      </c>
      <c r="I703" s="2175">
        <v>46665</v>
      </c>
      <c r="J703" s="2210"/>
      <c r="K703" s="2211"/>
      <c r="L703" s="1944" t="s">
        <v>15436</v>
      </c>
    </row>
    <row r="704" spans="1:12" ht="30">
      <c r="A704" s="2204" t="s">
        <v>15749</v>
      </c>
      <c r="B704" s="2174" t="s">
        <v>15750</v>
      </c>
      <c r="C704" s="2208"/>
      <c r="D704" s="2174"/>
      <c r="E704" s="2212" t="s">
        <v>10214</v>
      </c>
      <c r="F704" s="2209">
        <v>710752</v>
      </c>
      <c r="G704" s="2209">
        <v>860009.89</v>
      </c>
      <c r="H704" s="2175">
        <v>45205</v>
      </c>
      <c r="I704" s="2175">
        <v>46665</v>
      </c>
      <c r="J704" s="2210"/>
      <c r="K704" s="2211"/>
    </row>
    <row r="705" spans="1:12">
      <c r="A705" s="2204" t="s">
        <v>15869</v>
      </c>
      <c r="B705" s="2174" t="s">
        <v>15870</v>
      </c>
      <c r="C705" s="2208"/>
      <c r="D705" s="2174"/>
      <c r="E705" s="2212" t="s">
        <v>16039</v>
      </c>
      <c r="F705" s="2209">
        <v>770800</v>
      </c>
      <c r="G705" s="2209">
        <v>932668</v>
      </c>
      <c r="H705" s="2175">
        <v>45232</v>
      </c>
      <c r="I705" s="2175">
        <v>46692</v>
      </c>
      <c r="J705" s="2210"/>
      <c r="K705" s="2211"/>
    </row>
    <row r="706" spans="1:12">
      <c r="A706" s="2204" t="s">
        <v>15142</v>
      </c>
      <c r="B706" s="2174" t="s">
        <v>15143</v>
      </c>
      <c r="C706" s="2208"/>
      <c r="D706" s="2174"/>
      <c r="E706" s="2212" t="s">
        <v>10562</v>
      </c>
      <c r="F706" s="2209">
        <v>480000</v>
      </c>
      <c r="G706" s="2209">
        <v>580800</v>
      </c>
      <c r="H706" s="2175">
        <v>45161</v>
      </c>
      <c r="I706" s="2175">
        <v>46698</v>
      </c>
      <c r="J706" s="2210"/>
      <c r="K706" s="2211"/>
      <c r="L706" s="1944" t="s">
        <v>15729</v>
      </c>
    </row>
    <row r="707" spans="1:12" ht="30">
      <c r="A707" s="2204" t="s">
        <v>15284</v>
      </c>
      <c r="B707" s="2174" t="s">
        <v>15293</v>
      </c>
      <c r="C707" s="2208">
        <v>1</v>
      </c>
      <c r="D707" s="2174" t="s">
        <v>3798</v>
      </c>
      <c r="E707" s="2212" t="s">
        <v>2776</v>
      </c>
      <c r="F707" s="2209">
        <v>600000</v>
      </c>
      <c r="G707" s="2209">
        <v>690000</v>
      </c>
      <c r="H707" s="2175">
        <v>45223</v>
      </c>
      <c r="I707" s="2175">
        <v>46701</v>
      </c>
      <c r="J707" s="2210"/>
      <c r="K707" s="2211"/>
      <c r="L707" s="1944" t="s">
        <v>16079</v>
      </c>
    </row>
    <row r="708" spans="1:12">
      <c r="A708" s="2204" t="s">
        <v>15286</v>
      </c>
      <c r="B708" s="2174" t="s">
        <v>15293</v>
      </c>
      <c r="C708" s="2208">
        <v>3</v>
      </c>
      <c r="D708" s="2174" t="s">
        <v>3800</v>
      </c>
      <c r="E708" s="2212" t="s">
        <v>2776</v>
      </c>
      <c r="F708" s="2209">
        <v>348000</v>
      </c>
      <c r="G708" s="2209">
        <v>400200</v>
      </c>
      <c r="H708" s="2175">
        <v>45223</v>
      </c>
      <c r="I708" s="2175">
        <v>46701</v>
      </c>
      <c r="J708" s="2210"/>
      <c r="K708" s="2211"/>
      <c r="L708" s="1944" t="s">
        <v>16079</v>
      </c>
    </row>
    <row r="709" spans="1:12" ht="30">
      <c r="A709" s="2204" t="s">
        <v>15287</v>
      </c>
      <c r="B709" s="2174" t="s">
        <v>15293</v>
      </c>
      <c r="C709" s="2208">
        <v>4</v>
      </c>
      <c r="D709" s="2174" t="s">
        <v>3802</v>
      </c>
      <c r="E709" s="2176" t="s">
        <v>6763</v>
      </c>
      <c r="F709" s="2209">
        <v>30900000</v>
      </c>
      <c r="G709" s="2209">
        <v>35535000</v>
      </c>
      <c r="H709" s="2175">
        <v>45217</v>
      </c>
      <c r="I709" s="2175">
        <v>46701</v>
      </c>
      <c r="J709" s="2210"/>
      <c r="K709" s="2211"/>
      <c r="L709" s="1944" t="s">
        <v>16079</v>
      </c>
    </row>
    <row r="710" spans="1:12">
      <c r="A710" s="2204" t="s">
        <v>15288</v>
      </c>
      <c r="B710" s="2174" t="s">
        <v>15293</v>
      </c>
      <c r="C710" s="2208">
        <v>5</v>
      </c>
      <c r="D710" s="2174" t="s">
        <v>3803</v>
      </c>
      <c r="E710" s="2176" t="s">
        <v>2776</v>
      </c>
      <c r="F710" s="2209">
        <v>1904000</v>
      </c>
      <c r="G710" s="2209">
        <v>2189600</v>
      </c>
      <c r="H710" s="2175">
        <v>45223</v>
      </c>
      <c r="I710" s="2175">
        <v>46701</v>
      </c>
      <c r="J710" s="2210"/>
      <c r="K710" s="2211"/>
      <c r="L710" s="1944" t="s">
        <v>16079</v>
      </c>
    </row>
    <row r="711" spans="1:12" ht="30">
      <c r="A711" s="2204" t="s">
        <v>15289</v>
      </c>
      <c r="B711" s="2174" t="s">
        <v>15293</v>
      </c>
      <c r="C711" s="2208">
        <v>6</v>
      </c>
      <c r="D711" s="2174" t="s">
        <v>15294</v>
      </c>
      <c r="E711" s="2176" t="s">
        <v>6763</v>
      </c>
      <c r="F711" s="2209">
        <v>1914000</v>
      </c>
      <c r="G711" s="2209">
        <v>2201100</v>
      </c>
      <c r="H711" s="2175">
        <v>45217</v>
      </c>
      <c r="I711" s="2175">
        <v>46701</v>
      </c>
      <c r="J711" s="2210"/>
      <c r="K711" s="2211"/>
      <c r="L711" s="1944" t="s">
        <v>16079</v>
      </c>
    </row>
    <row r="712" spans="1:12" ht="30">
      <c r="A712" s="2204" t="s">
        <v>15290</v>
      </c>
      <c r="B712" s="2174" t="s">
        <v>15293</v>
      </c>
      <c r="C712" s="2208">
        <v>7</v>
      </c>
      <c r="D712" s="2174" t="s">
        <v>15295</v>
      </c>
      <c r="E712" s="2176" t="s">
        <v>6763</v>
      </c>
      <c r="F712" s="2209">
        <v>1450000</v>
      </c>
      <c r="G712" s="2209">
        <v>1667500</v>
      </c>
      <c r="H712" s="2175">
        <v>45217</v>
      </c>
      <c r="I712" s="2175">
        <v>46701</v>
      </c>
      <c r="J712" s="2210"/>
      <c r="K712" s="2211"/>
      <c r="L712" s="1944" t="s">
        <v>16079</v>
      </c>
    </row>
    <row r="713" spans="1:12" ht="45">
      <c r="A713" s="2204" t="s">
        <v>15291</v>
      </c>
      <c r="B713" s="2174" t="s">
        <v>15293</v>
      </c>
      <c r="C713" s="2208">
        <v>8</v>
      </c>
      <c r="D713" s="2174" t="s">
        <v>15296</v>
      </c>
      <c r="E713" s="2176" t="s">
        <v>6763</v>
      </c>
      <c r="F713" s="2209">
        <v>3110400</v>
      </c>
      <c r="G713" s="2209">
        <v>3576960</v>
      </c>
      <c r="H713" s="2175">
        <v>45217</v>
      </c>
      <c r="I713" s="2175">
        <v>46701</v>
      </c>
      <c r="J713" s="2210"/>
      <c r="K713" s="2211"/>
      <c r="L713" s="1944" t="s">
        <v>16079</v>
      </c>
    </row>
    <row r="714" spans="1:12">
      <c r="A714" s="2204" t="s">
        <v>15160</v>
      </c>
      <c r="B714" s="2174" t="s">
        <v>15165</v>
      </c>
      <c r="C714" s="2208">
        <v>1</v>
      </c>
      <c r="D714" s="2174" t="s">
        <v>15166</v>
      </c>
      <c r="E714" s="2212" t="s">
        <v>2974</v>
      </c>
      <c r="F714" s="2209">
        <v>43520000</v>
      </c>
      <c r="G714" s="2209">
        <v>50048000</v>
      </c>
      <c r="H714" s="2175">
        <v>45191</v>
      </c>
      <c r="I714" s="2175">
        <v>46703</v>
      </c>
      <c r="J714" s="2210"/>
      <c r="K714" s="2211"/>
      <c r="L714" s="1944" t="s">
        <v>15854</v>
      </c>
    </row>
    <row r="715" spans="1:12">
      <c r="A715" s="2204" t="s">
        <v>15162</v>
      </c>
      <c r="B715" s="2174" t="s">
        <v>15165</v>
      </c>
      <c r="C715" s="2208">
        <v>2</v>
      </c>
      <c r="D715" s="2174" t="s">
        <v>15167</v>
      </c>
      <c r="E715" s="2212" t="s">
        <v>7201</v>
      </c>
      <c r="F715" s="2209">
        <v>44400000</v>
      </c>
      <c r="G715" s="2209">
        <v>51060000</v>
      </c>
      <c r="H715" s="2175">
        <v>45191</v>
      </c>
      <c r="I715" s="2175">
        <v>46703</v>
      </c>
      <c r="J715" s="2210"/>
      <c r="K715" s="2211"/>
      <c r="L715" s="1944" t="s">
        <v>15854</v>
      </c>
    </row>
    <row r="716" spans="1:12">
      <c r="A716" s="2204" t="s">
        <v>15163</v>
      </c>
      <c r="B716" s="2174" t="s">
        <v>15165</v>
      </c>
      <c r="C716" s="2208">
        <v>3</v>
      </c>
      <c r="D716" s="2174" t="s">
        <v>15168</v>
      </c>
      <c r="E716" s="2212" t="s">
        <v>7391</v>
      </c>
      <c r="F716" s="2209">
        <v>2900000</v>
      </c>
      <c r="G716" s="2209">
        <v>3335000</v>
      </c>
      <c r="H716" s="2175">
        <v>45191</v>
      </c>
      <c r="I716" s="2175">
        <v>46703</v>
      </c>
      <c r="J716" s="2210"/>
      <c r="K716" s="2211"/>
      <c r="L716" s="1944" t="s">
        <v>15854</v>
      </c>
    </row>
    <row r="717" spans="1:12">
      <c r="A717" s="2204" t="s">
        <v>15931</v>
      </c>
      <c r="B717" s="2174" t="s">
        <v>15932</v>
      </c>
      <c r="C717" s="2208"/>
      <c r="D717" s="2174"/>
      <c r="E717" s="2212" t="s">
        <v>16275</v>
      </c>
      <c r="F717" s="2209">
        <v>600000</v>
      </c>
      <c r="G717" s="2209">
        <v>726000</v>
      </c>
      <c r="H717" s="2175">
        <v>45245</v>
      </c>
      <c r="I717" s="2175">
        <v>46705</v>
      </c>
      <c r="J717" s="2210"/>
      <c r="K717" s="2211"/>
    </row>
    <row r="718" spans="1:12">
      <c r="A718" s="2204" t="s">
        <v>15434</v>
      </c>
      <c r="B718" s="2174" t="s">
        <v>9561</v>
      </c>
      <c r="C718" s="2208"/>
      <c r="D718" s="2174"/>
      <c r="E718" s="2212" t="s">
        <v>9770</v>
      </c>
      <c r="F718" s="2209">
        <v>2967000</v>
      </c>
      <c r="G718" s="2209">
        <v>3590070</v>
      </c>
      <c r="H718" s="2175">
        <v>45218</v>
      </c>
      <c r="I718" s="2175">
        <v>46706</v>
      </c>
      <c r="J718" s="2210"/>
      <c r="K718" s="2211"/>
      <c r="L718" s="1944" t="s">
        <v>15828</v>
      </c>
    </row>
    <row r="719" spans="1:12" ht="30">
      <c r="A719" s="2204" t="s">
        <v>15652</v>
      </c>
      <c r="B719" s="2174" t="s">
        <v>3799</v>
      </c>
      <c r="C719" s="2208"/>
      <c r="D719" s="2174"/>
      <c r="E719" s="2212" t="s">
        <v>4894</v>
      </c>
      <c r="F719" s="2209">
        <v>992860</v>
      </c>
      <c r="G719" s="2209">
        <v>1141789</v>
      </c>
      <c r="H719" s="2175">
        <v>45230</v>
      </c>
      <c r="I719" s="2175">
        <v>46706</v>
      </c>
      <c r="J719" s="2210"/>
      <c r="K719" s="2211"/>
      <c r="L719" s="1944" t="s">
        <v>15828</v>
      </c>
    </row>
    <row r="720" spans="1:12">
      <c r="A720" s="2204" t="s">
        <v>15524</v>
      </c>
      <c r="B720" s="2174" t="s">
        <v>15503</v>
      </c>
      <c r="C720" s="2208">
        <v>1</v>
      </c>
      <c r="D720" s="2174" t="s">
        <v>15504</v>
      </c>
      <c r="E720" s="2212" t="s">
        <v>5939</v>
      </c>
      <c r="F720" s="2209">
        <v>964000</v>
      </c>
      <c r="G720" s="2209">
        <v>1108600</v>
      </c>
      <c r="H720" s="2175">
        <v>45246</v>
      </c>
      <c r="I720" s="2175">
        <v>46706</v>
      </c>
      <c r="J720" s="2210"/>
      <c r="K720" s="2211"/>
    </row>
    <row r="721" spans="1:12">
      <c r="A721" s="2204" t="s">
        <v>15525</v>
      </c>
      <c r="B721" s="2174" t="s">
        <v>15503</v>
      </c>
      <c r="C721" s="2208">
        <v>2</v>
      </c>
      <c r="D721" s="2174" t="s">
        <v>15505</v>
      </c>
      <c r="E721" s="2212" t="s">
        <v>5939</v>
      </c>
      <c r="F721" s="2209">
        <v>7968000</v>
      </c>
      <c r="G721" s="2209">
        <v>9163200</v>
      </c>
      <c r="H721" s="2175">
        <v>45246</v>
      </c>
      <c r="I721" s="2175">
        <v>46706</v>
      </c>
      <c r="J721" s="2210"/>
      <c r="K721" s="2211"/>
    </row>
    <row r="722" spans="1:12">
      <c r="A722" s="2204" t="s">
        <v>15161</v>
      </c>
      <c r="B722" s="2174" t="s">
        <v>15165</v>
      </c>
      <c r="C722" s="2208">
        <v>5</v>
      </c>
      <c r="D722" s="2174" t="s">
        <v>15170</v>
      </c>
      <c r="E722" s="2212" t="s">
        <v>2973</v>
      </c>
      <c r="F722" s="2209">
        <v>3632000</v>
      </c>
      <c r="G722" s="2209">
        <v>4176800</v>
      </c>
      <c r="H722" s="2175">
        <v>45191</v>
      </c>
      <c r="I722" s="2175">
        <v>46710</v>
      </c>
      <c r="J722" s="2210"/>
      <c r="K722" s="2211"/>
      <c r="L722" s="1944" t="s">
        <v>15856</v>
      </c>
    </row>
    <row r="723" spans="1:12" ht="30">
      <c r="A723" s="2204" t="s">
        <v>15662</v>
      </c>
      <c r="B723" s="2174" t="s">
        <v>15663</v>
      </c>
      <c r="C723" s="2208"/>
      <c r="D723" s="2174"/>
      <c r="E723" s="2212" t="s">
        <v>2995</v>
      </c>
      <c r="F723" s="2209">
        <v>10780000</v>
      </c>
      <c r="G723" s="2209">
        <v>13043800</v>
      </c>
      <c r="H723" s="2175">
        <v>45252</v>
      </c>
      <c r="I723" s="2175">
        <v>46712</v>
      </c>
      <c r="J723" s="2210"/>
      <c r="K723" s="2211"/>
    </row>
    <row r="724" spans="1:12">
      <c r="A724" s="2204" t="s">
        <v>15164</v>
      </c>
      <c r="B724" s="2174" t="s">
        <v>15165</v>
      </c>
      <c r="C724" s="2208">
        <v>4</v>
      </c>
      <c r="D724" s="2174" t="s">
        <v>15169</v>
      </c>
      <c r="E724" s="2212" t="s">
        <v>8793</v>
      </c>
      <c r="F724" s="2209">
        <v>7260000</v>
      </c>
      <c r="G724" s="2209">
        <v>8349000</v>
      </c>
      <c r="H724" s="2175">
        <v>45191</v>
      </c>
      <c r="I724" s="2175">
        <v>46715</v>
      </c>
      <c r="J724" s="2210"/>
      <c r="K724" s="2211"/>
      <c r="L724" s="1944" t="s">
        <v>15855</v>
      </c>
    </row>
    <row r="725" spans="1:12">
      <c r="A725" s="2204" t="s">
        <v>15680</v>
      </c>
      <c r="B725" s="2174" t="s">
        <v>15682</v>
      </c>
      <c r="C725" s="2208">
        <v>1</v>
      </c>
      <c r="D725" s="2174" t="s">
        <v>15683</v>
      </c>
      <c r="E725" s="2212" t="s">
        <v>9770</v>
      </c>
      <c r="F725" s="2209">
        <v>47200</v>
      </c>
      <c r="G725" s="2209">
        <v>57112</v>
      </c>
      <c r="H725" s="2175">
        <v>45205</v>
      </c>
      <c r="I725" s="2175">
        <v>46719</v>
      </c>
      <c r="J725" s="2210"/>
      <c r="K725" s="2211"/>
      <c r="L725" s="1944" t="s">
        <v>15961</v>
      </c>
    </row>
    <row r="726" spans="1:12">
      <c r="A726" s="2204" t="s">
        <v>15679</v>
      </c>
      <c r="B726" s="2174" t="s">
        <v>15682</v>
      </c>
      <c r="C726" s="2208">
        <v>2</v>
      </c>
      <c r="D726" s="2174" t="s">
        <v>15684</v>
      </c>
      <c r="E726" s="2212" t="s">
        <v>9770</v>
      </c>
      <c r="F726" s="2209">
        <v>64800</v>
      </c>
      <c r="G726" s="2209">
        <v>78408</v>
      </c>
      <c r="H726" s="2175">
        <v>45205</v>
      </c>
      <c r="I726" s="2175">
        <v>46719</v>
      </c>
      <c r="J726" s="2210"/>
      <c r="K726" s="2211"/>
      <c r="L726" s="1944" t="s">
        <v>15961</v>
      </c>
    </row>
    <row r="727" spans="1:12" ht="30">
      <c r="A727" s="2204" t="s">
        <v>14592</v>
      </c>
      <c r="B727" s="2174" t="s">
        <v>14591</v>
      </c>
      <c r="C727" s="2208">
        <v>1</v>
      </c>
      <c r="D727" s="2174" t="s">
        <v>14596</v>
      </c>
      <c r="E727" s="2212" t="s">
        <v>8526</v>
      </c>
      <c r="F727" s="2209">
        <v>2248000</v>
      </c>
      <c r="G727" s="2209">
        <v>2720080</v>
      </c>
      <c r="H727" s="2175">
        <v>45264</v>
      </c>
      <c r="I727" s="2175">
        <v>46724</v>
      </c>
      <c r="J727" s="2210"/>
      <c r="K727" s="2211"/>
    </row>
    <row r="728" spans="1:12" ht="30">
      <c r="A728" s="2204" t="s">
        <v>14593</v>
      </c>
      <c r="B728" s="2174" t="s">
        <v>14591</v>
      </c>
      <c r="C728" s="2208">
        <v>2</v>
      </c>
      <c r="D728" s="2174" t="s">
        <v>14597</v>
      </c>
      <c r="E728" s="2212" t="s">
        <v>9770</v>
      </c>
      <c r="F728" s="2209">
        <v>2780000</v>
      </c>
      <c r="G728" s="2209">
        <v>3363800</v>
      </c>
      <c r="H728" s="2175">
        <v>45264</v>
      </c>
      <c r="I728" s="2175">
        <v>46724</v>
      </c>
      <c r="J728" s="2210"/>
      <c r="K728" s="2211"/>
    </row>
    <row r="729" spans="1:12" ht="30">
      <c r="A729" s="2204" t="s">
        <v>14594</v>
      </c>
      <c r="B729" s="2174" t="s">
        <v>14591</v>
      </c>
      <c r="C729" s="2208">
        <v>3</v>
      </c>
      <c r="D729" s="2174" t="s">
        <v>14598</v>
      </c>
      <c r="E729" s="2212" t="s">
        <v>9770</v>
      </c>
      <c r="F729" s="2209">
        <v>5560000</v>
      </c>
      <c r="G729" s="2209">
        <v>6727600</v>
      </c>
      <c r="H729" s="2175">
        <v>45264</v>
      </c>
      <c r="I729" s="2175">
        <v>46724</v>
      </c>
      <c r="J729" s="2210"/>
      <c r="K729" s="2211"/>
    </row>
    <row r="730" spans="1:12">
      <c r="A730" s="2204" t="s">
        <v>15526</v>
      </c>
      <c r="B730" s="2174" t="s">
        <v>8248</v>
      </c>
      <c r="C730" s="2208"/>
      <c r="D730" s="2174"/>
      <c r="E730" s="2212" t="s">
        <v>1433</v>
      </c>
      <c r="F730" s="2209">
        <v>2625000</v>
      </c>
      <c r="G730" s="2209">
        <v>3176250</v>
      </c>
      <c r="H730" s="2175">
        <v>45226</v>
      </c>
      <c r="I730" s="2175">
        <v>46727</v>
      </c>
      <c r="J730" s="2210"/>
      <c r="K730" s="2211"/>
      <c r="L730" s="1944" t="s">
        <v>16137</v>
      </c>
    </row>
    <row r="731" spans="1:12" ht="30">
      <c r="A731" s="2204" t="s">
        <v>16167</v>
      </c>
      <c r="B731" s="2174" t="s">
        <v>16168</v>
      </c>
      <c r="C731" s="2208"/>
      <c r="D731" s="2174"/>
      <c r="E731" s="2212" t="s">
        <v>16039</v>
      </c>
      <c r="F731" s="2209">
        <v>589800</v>
      </c>
      <c r="G731" s="2209">
        <v>713658</v>
      </c>
      <c r="H731" s="2175">
        <v>45268</v>
      </c>
      <c r="I731" s="2175">
        <v>46728</v>
      </c>
      <c r="J731" s="2210"/>
      <c r="K731" s="2211"/>
    </row>
    <row r="732" spans="1:12">
      <c r="A732" s="2204" t="s">
        <v>16386</v>
      </c>
      <c r="B732" s="2174" t="s">
        <v>14876</v>
      </c>
      <c r="C732" s="2208"/>
      <c r="D732" s="2174"/>
      <c r="E732" s="2212" t="s">
        <v>6128</v>
      </c>
      <c r="F732" s="2960">
        <v>15356000</v>
      </c>
      <c r="G732" s="2209">
        <v>18580760</v>
      </c>
      <c r="H732" s="2175">
        <v>45268</v>
      </c>
      <c r="I732" s="2175">
        <v>46728</v>
      </c>
      <c r="J732" s="2210"/>
      <c r="K732" s="2211"/>
    </row>
    <row r="733" spans="1:12">
      <c r="A733" s="2204" t="s">
        <v>16284</v>
      </c>
      <c r="B733" s="2174" t="s">
        <v>16398</v>
      </c>
      <c r="C733" s="2208">
        <v>1</v>
      </c>
      <c r="D733" s="2174" t="s">
        <v>16286</v>
      </c>
      <c r="E733" s="2212" t="s">
        <v>8793</v>
      </c>
      <c r="F733" s="2209">
        <v>3890000</v>
      </c>
      <c r="G733" s="2209">
        <v>4706900</v>
      </c>
      <c r="H733" s="2175">
        <v>45272</v>
      </c>
      <c r="I733" s="2175">
        <v>46732</v>
      </c>
      <c r="J733" s="2210"/>
      <c r="K733" s="2211"/>
    </row>
    <row r="734" spans="1:12">
      <c r="A734" s="2204" t="s">
        <v>16285</v>
      </c>
      <c r="B734" s="2174" t="s">
        <v>16398</v>
      </c>
      <c r="C734" s="2208">
        <v>2</v>
      </c>
      <c r="D734" s="2174" t="s">
        <v>9563</v>
      </c>
      <c r="E734" s="2212" t="s">
        <v>8793</v>
      </c>
      <c r="F734" s="2209">
        <v>778000</v>
      </c>
      <c r="G734" s="2209">
        <v>941380</v>
      </c>
      <c r="H734" s="2175">
        <v>45272</v>
      </c>
      <c r="I734" s="2175">
        <v>46732</v>
      </c>
      <c r="J734" s="2210"/>
      <c r="K734" s="2211"/>
    </row>
    <row r="735" spans="1:12">
      <c r="A735" s="2204" t="s">
        <v>15681</v>
      </c>
      <c r="B735" s="2174" t="s">
        <v>15682</v>
      </c>
      <c r="C735" s="2208">
        <v>3</v>
      </c>
      <c r="D735" s="2174" t="s">
        <v>15685</v>
      </c>
      <c r="E735" s="2212" t="s">
        <v>9770</v>
      </c>
      <c r="F735" s="2209">
        <v>415200</v>
      </c>
      <c r="G735" s="2209">
        <v>502392</v>
      </c>
      <c r="H735" s="2175">
        <v>45205</v>
      </c>
      <c r="I735" s="2175">
        <v>46733</v>
      </c>
      <c r="J735" s="2210"/>
      <c r="K735" s="2211"/>
      <c r="L735" s="1944" t="s">
        <v>15962</v>
      </c>
    </row>
    <row r="736" spans="1:12">
      <c r="A736" s="2204" t="s">
        <v>5328</v>
      </c>
      <c r="B736" s="2174" t="s">
        <v>8803</v>
      </c>
      <c r="C736" s="2208"/>
      <c r="D736" s="2174"/>
      <c r="E736" s="2212" t="s">
        <v>5939</v>
      </c>
      <c r="F736" s="2209">
        <v>320800</v>
      </c>
      <c r="G736" s="2209">
        <f>F736*1.21</f>
        <v>388168</v>
      </c>
      <c r="H736" s="2208" t="s">
        <v>8804</v>
      </c>
      <c r="I736" s="2175">
        <v>46733</v>
      </c>
      <c r="J736" s="2210"/>
      <c r="K736" s="2211"/>
    </row>
    <row r="737" spans="1:12">
      <c r="A737" s="2204" t="s">
        <v>15980</v>
      </c>
      <c r="B737" s="2174" t="s">
        <v>9670</v>
      </c>
      <c r="C737" s="2208"/>
      <c r="D737" s="2174"/>
      <c r="E737" s="2212" t="s">
        <v>8526</v>
      </c>
      <c r="F737" s="2209">
        <v>1113000</v>
      </c>
      <c r="G737" s="2209">
        <v>1346730</v>
      </c>
      <c r="H737" s="2175">
        <v>45258</v>
      </c>
      <c r="I737" s="2175">
        <v>46733</v>
      </c>
      <c r="J737" s="2210"/>
      <c r="K737" s="2211"/>
      <c r="L737" s="1944" t="s">
        <v>15962</v>
      </c>
    </row>
    <row r="738" spans="1:12">
      <c r="A738" s="2204" t="s">
        <v>15772</v>
      </c>
      <c r="B738" s="2174" t="s">
        <v>15774</v>
      </c>
      <c r="C738" s="2208">
        <v>1</v>
      </c>
      <c r="D738" s="2174" t="s">
        <v>15775</v>
      </c>
      <c r="E738" s="2212" t="s">
        <v>8526</v>
      </c>
      <c r="F738" s="2209">
        <v>1546800</v>
      </c>
      <c r="G738" s="2209">
        <v>1871628</v>
      </c>
      <c r="H738" s="2175">
        <v>44979</v>
      </c>
      <c r="I738" s="2175">
        <v>46742</v>
      </c>
      <c r="J738" s="2210"/>
      <c r="K738" s="2211"/>
    </row>
    <row r="739" spans="1:12">
      <c r="A739" s="2204" t="s">
        <v>15773</v>
      </c>
      <c r="B739" s="2174" t="s">
        <v>15774</v>
      </c>
      <c r="C739" s="2208">
        <v>2</v>
      </c>
      <c r="D739" s="2174" t="s">
        <v>15776</v>
      </c>
      <c r="E739" s="2212" t="s">
        <v>8526</v>
      </c>
      <c r="F739" s="2209">
        <v>257800</v>
      </c>
      <c r="G739" s="2209">
        <v>311938</v>
      </c>
      <c r="H739" s="2175">
        <v>44979</v>
      </c>
      <c r="I739" s="2175">
        <v>46742</v>
      </c>
      <c r="J739" s="2210"/>
      <c r="K739" s="2211"/>
    </row>
    <row r="740" spans="1:12">
      <c r="A740" s="2204" t="s">
        <v>15559</v>
      </c>
      <c r="B740" s="2174" t="s">
        <v>15502</v>
      </c>
      <c r="C740" s="2208"/>
      <c r="D740" s="2174"/>
      <c r="E740" s="2212" t="s">
        <v>5726</v>
      </c>
      <c r="F740" s="2209">
        <v>1643960</v>
      </c>
      <c r="G740" s="2209">
        <v>1989191.6</v>
      </c>
      <c r="H740" s="2175">
        <v>45181</v>
      </c>
      <c r="I740" s="2175">
        <v>46752</v>
      </c>
      <c r="J740" s="2210"/>
      <c r="K740" s="2211"/>
      <c r="L740" s="1944" t="s">
        <v>15801</v>
      </c>
    </row>
    <row r="741" spans="1:12">
      <c r="A741" s="2206" t="s">
        <v>4495</v>
      </c>
      <c r="B741" s="2194" t="s">
        <v>4496</v>
      </c>
      <c r="C741" s="2231">
        <v>2</v>
      </c>
      <c r="D741" s="2233" t="s">
        <v>4498</v>
      </c>
      <c r="E741" s="2233" t="s">
        <v>4838</v>
      </c>
      <c r="F741" s="2232">
        <v>18450000</v>
      </c>
      <c r="G741" s="2232">
        <v>22324500</v>
      </c>
      <c r="H741" s="2179">
        <v>43836</v>
      </c>
      <c r="I741" s="2179">
        <v>46757</v>
      </c>
      <c r="J741" s="2210"/>
      <c r="K741" s="2211"/>
    </row>
    <row r="742" spans="1:12" ht="30">
      <c r="A742" s="2206" t="s">
        <v>16288</v>
      </c>
      <c r="B742" s="2194" t="s">
        <v>8508</v>
      </c>
      <c r="C742" s="2231"/>
      <c r="D742" s="2233"/>
      <c r="E742" s="2233" t="s">
        <v>10562</v>
      </c>
      <c r="F742" s="2232">
        <v>1418646.4</v>
      </c>
      <c r="G742" s="2232">
        <v>1716561.6</v>
      </c>
      <c r="H742" s="2179">
        <v>45293</v>
      </c>
      <c r="I742" s="2179">
        <v>46761</v>
      </c>
      <c r="J742" s="2210"/>
      <c r="K742" s="2211"/>
      <c r="L742" s="1944" t="s">
        <v>16546</v>
      </c>
    </row>
    <row r="743" spans="1:12" ht="30">
      <c r="A743" s="2206" t="s">
        <v>15820</v>
      </c>
      <c r="B743" s="2194" t="s">
        <v>15821</v>
      </c>
      <c r="C743" s="2231"/>
      <c r="D743" s="2233"/>
      <c r="E743" s="2233" t="s">
        <v>993</v>
      </c>
      <c r="F743" s="2232">
        <v>7798560</v>
      </c>
      <c r="G743" s="2232">
        <v>9436257.5999999996</v>
      </c>
      <c r="H743" s="2179">
        <v>45310</v>
      </c>
      <c r="I743" s="2179">
        <v>46770</v>
      </c>
      <c r="J743" s="2210"/>
      <c r="K743" s="2211"/>
    </row>
    <row r="744" spans="1:12">
      <c r="A744" s="2204" t="s">
        <v>4850</v>
      </c>
      <c r="B744" s="2174" t="s">
        <v>8802</v>
      </c>
      <c r="C744" s="2208"/>
      <c r="D744" s="2174"/>
      <c r="E744" s="2212" t="s">
        <v>5939</v>
      </c>
      <c r="F744" s="2209">
        <v>2456200</v>
      </c>
      <c r="G744" s="2209">
        <v>2972002</v>
      </c>
      <c r="H744" s="2175">
        <v>43850</v>
      </c>
      <c r="I744" s="2175">
        <v>46771</v>
      </c>
      <c r="J744" s="2210"/>
      <c r="K744" s="2211"/>
    </row>
    <row r="745" spans="1:12">
      <c r="A745" s="2204" t="s">
        <v>15928</v>
      </c>
      <c r="B745" s="2174" t="s">
        <v>15930</v>
      </c>
      <c r="C745" s="2208"/>
      <c r="D745" s="2174"/>
      <c r="E745" s="2212" t="s">
        <v>2974</v>
      </c>
      <c r="F745" s="2209">
        <v>51040000</v>
      </c>
      <c r="G745" s="2209">
        <v>57164800</v>
      </c>
      <c r="H745" s="2175">
        <v>45313</v>
      </c>
      <c r="I745" s="2175">
        <v>46773</v>
      </c>
      <c r="J745" s="2210"/>
      <c r="K745" s="2211"/>
    </row>
    <row r="746" spans="1:12">
      <c r="A746" s="2204" t="s">
        <v>5861</v>
      </c>
      <c r="B746" s="2174" t="s">
        <v>8805</v>
      </c>
      <c r="C746" s="2208"/>
      <c r="D746" s="2174"/>
      <c r="E746" s="2212" t="s">
        <v>6109</v>
      </c>
      <c r="F746" s="2209">
        <v>6219800</v>
      </c>
      <c r="G746" s="2209">
        <f>F746*1.21</f>
        <v>7525958</v>
      </c>
      <c r="H746" s="2175">
        <v>43859</v>
      </c>
      <c r="I746" s="2175">
        <v>46780</v>
      </c>
      <c r="J746" s="2210"/>
      <c r="K746" s="2211"/>
    </row>
    <row r="747" spans="1:12">
      <c r="A747" s="2204" t="s">
        <v>9688</v>
      </c>
      <c r="B747" s="2174" t="s">
        <v>9689</v>
      </c>
      <c r="C747" s="2208"/>
      <c r="D747" s="2174"/>
      <c r="E747" s="2212" t="s">
        <v>3502</v>
      </c>
      <c r="F747" s="2209">
        <v>41146779</v>
      </c>
      <c r="G747" s="2209">
        <v>49363486.590000004</v>
      </c>
      <c r="H747" s="2175">
        <v>44595</v>
      </c>
      <c r="I747" s="2175">
        <v>46785</v>
      </c>
      <c r="J747" s="2210"/>
      <c r="K747" s="2211"/>
    </row>
    <row r="748" spans="1:12">
      <c r="A748" s="2204" t="s">
        <v>16796</v>
      </c>
      <c r="B748" s="2174" t="s">
        <v>16204</v>
      </c>
      <c r="C748" s="2208"/>
      <c r="D748" s="2174"/>
      <c r="E748" s="2212" t="s">
        <v>993</v>
      </c>
      <c r="F748" s="2209">
        <v>4664280</v>
      </c>
      <c r="G748" s="2209">
        <v>5223993.5999999996</v>
      </c>
      <c r="H748" s="2175">
        <v>45338</v>
      </c>
      <c r="I748" s="2175">
        <v>46798</v>
      </c>
      <c r="J748" s="2210"/>
      <c r="K748" s="2211"/>
    </row>
    <row r="749" spans="1:12">
      <c r="A749" s="2204" t="s">
        <v>16654</v>
      </c>
      <c r="B749" s="2174" t="s">
        <v>16655</v>
      </c>
      <c r="C749" s="2208"/>
      <c r="D749" s="2174"/>
      <c r="E749" s="2212" t="s">
        <v>10252</v>
      </c>
      <c r="F749" s="2209">
        <v>1853294</v>
      </c>
      <c r="G749" s="2209">
        <v>2242485.7400000002</v>
      </c>
      <c r="H749" s="2175">
        <v>45349</v>
      </c>
      <c r="I749" s="2175">
        <v>46809</v>
      </c>
      <c r="J749" s="2210"/>
      <c r="K749" s="2211"/>
    </row>
    <row r="750" spans="1:12">
      <c r="A750" s="2204" t="s">
        <v>15987</v>
      </c>
      <c r="B750" s="2174" t="s">
        <v>15984</v>
      </c>
      <c r="C750" s="2208">
        <v>3</v>
      </c>
      <c r="D750" s="2174" t="s">
        <v>15989</v>
      </c>
      <c r="E750" s="2212" t="s">
        <v>10562</v>
      </c>
      <c r="F750" s="2209">
        <v>400909.2</v>
      </c>
      <c r="G750" s="2209">
        <v>485100.13</v>
      </c>
      <c r="H750" s="2175">
        <v>45366</v>
      </c>
      <c r="I750" s="2175">
        <v>46826</v>
      </c>
      <c r="J750" s="2210"/>
      <c r="K750" s="2211"/>
    </row>
    <row r="751" spans="1:12">
      <c r="A751" s="2204" t="s">
        <v>16846</v>
      </c>
      <c r="B751" s="2174" t="s">
        <v>16847</v>
      </c>
      <c r="C751" s="2208"/>
      <c r="D751" s="2174"/>
      <c r="E751" s="2212" t="s">
        <v>1433</v>
      </c>
      <c r="F751" s="2209">
        <v>578360</v>
      </c>
      <c r="G751" s="2209">
        <v>647763.19999999995</v>
      </c>
      <c r="H751" s="2175">
        <v>45370</v>
      </c>
      <c r="I751" s="2175">
        <v>46830</v>
      </c>
      <c r="J751" s="2210"/>
      <c r="K751" s="2211"/>
    </row>
    <row r="752" spans="1:12">
      <c r="A752" s="2204" t="s">
        <v>16305</v>
      </c>
      <c r="B752" s="2174" t="s">
        <v>16306</v>
      </c>
      <c r="C752" s="2208"/>
      <c r="D752" s="2174"/>
      <c r="E752" s="2212" t="s">
        <v>2776</v>
      </c>
      <c r="F752" s="2209">
        <v>3140495.87</v>
      </c>
      <c r="G752" s="2209">
        <v>3800000</v>
      </c>
      <c r="H752" s="2175">
        <v>45370</v>
      </c>
      <c r="I752" s="2175">
        <v>46830</v>
      </c>
      <c r="J752" s="2210"/>
      <c r="K752" s="2211"/>
    </row>
    <row r="753" spans="1:12">
      <c r="A753" s="2204" t="s">
        <v>16734</v>
      </c>
      <c r="B753" s="2174" t="s">
        <v>16735</v>
      </c>
      <c r="C753" s="2208"/>
      <c r="D753" s="2174"/>
      <c r="E753" s="2212" t="s">
        <v>4905</v>
      </c>
      <c r="F753" s="2209">
        <v>3638965.76</v>
      </c>
      <c r="G753" s="2209">
        <v>4075641.65</v>
      </c>
      <c r="H753" s="2175">
        <v>45376</v>
      </c>
      <c r="I753" s="2175">
        <v>46836</v>
      </c>
      <c r="J753" s="2210"/>
      <c r="K753" s="2211"/>
    </row>
    <row r="754" spans="1:12">
      <c r="A754" s="2204" t="s">
        <v>6306</v>
      </c>
      <c r="B754" s="2174" t="s">
        <v>8806</v>
      </c>
      <c r="C754" s="2208"/>
      <c r="D754" s="2174"/>
      <c r="E754" s="2212" t="s">
        <v>3479</v>
      </c>
      <c r="F754" s="2209">
        <v>1469320</v>
      </c>
      <c r="G754" s="2209">
        <v>1777877.2</v>
      </c>
      <c r="H754" s="2175">
        <v>43929</v>
      </c>
      <c r="I754" s="2175">
        <v>46850</v>
      </c>
      <c r="J754" s="2210"/>
      <c r="K754" s="2211"/>
    </row>
    <row r="755" spans="1:12" ht="30">
      <c r="A755" s="2204" t="s">
        <v>16367</v>
      </c>
      <c r="B755" s="2174" t="s">
        <v>16368</v>
      </c>
      <c r="C755" s="2208"/>
      <c r="D755" s="2174"/>
      <c r="E755" s="2212" t="s">
        <v>2973</v>
      </c>
      <c r="F755" s="2209">
        <v>13884000</v>
      </c>
      <c r="G755" s="2209">
        <v>15550080</v>
      </c>
      <c r="H755" s="2175">
        <v>45321</v>
      </c>
      <c r="I755" s="2175">
        <v>46854</v>
      </c>
      <c r="J755" s="2210"/>
      <c r="K755" s="2211"/>
      <c r="L755" s="1944" t="s">
        <v>16706</v>
      </c>
    </row>
    <row r="756" spans="1:12" ht="30">
      <c r="A756" s="2204" t="s">
        <v>16648</v>
      </c>
      <c r="B756" s="2174" t="s">
        <v>16649</v>
      </c>
      <c r="C756" s="2208"/>
      <c r="D756" s="2174"/>
      <c r="E756" s="2212" t="s">
        <v>2776</v>
      </c>
      <c r="F756" s="2209">
        <v>290110000</v>
      </c>
      <c r="G756" s="2209">
        <v>324923200</v>
      </c>
      <c r="H756" s="2175">
        <v>45394</v>
      </c>
      <c r="I756" s="2175">
        <v>46854</v>
      </c>
      <c r="J756" s="2210"/>
      <c r="K756" s="2211"/>
    </row>
    <row r="757" spans="1:12">
      <c r="A757" s="2204" t="s">
        <v>16569</v>
      </c>
      <c r="B757" s="2174" t="s">
        <v>16566</v>
      </c>
      <c r="C757" s="2208"/>
      <c r="D757" s="2174"/>
      <c r="E757" s="2212" t="s">
        <v>8765</v>
      </c>
      <c r="F757" s="2209">
        <v>766400</v>
      </c>
      <c r="G757" s="2209">
        <v>858368</v>
      </c>
      <c r="H757" s="2175">
        <v>45331</v>
      </c>
      <c r="I757" s="2175">
        <v>46861</v>
      </c>
      <c r="J757" s="2210"/>
      <c r="K757" s="2211"/>
    </row>
    <row r="758" spans="1:12">
      <c r="A758" s="2204" t="s">
        <v>16828</v>
      </c>
      <c r="B758" s="2174" t="s">
        <v>16829</v>
      </c>
      <c r="C758" s="2208"/>
      <c r="D758" s="2174"/>
      <c r="E758" s="2212" t="s">
        <v>993</v>
      </c>
      <c r="F758" s="2209">
        <v>2520000</v>
      </c>
      <c r="G758" s="2209">
        <v>2822400</v>
      </c>
      <c r="H758" s="2175">
        <v>45405</v>
      </c>
      <c r="I758" s="2175">
        <v>46865</v>
      </c>
      <c r="J758" s="2210"/>
      <c r="K758" s="2211"/>
    </row>
    <row r="759" spans="1:12">
      <c r="A759" s="2204" t="s">
        <v>16833</v>
      </c>
      <c r="B759" s="2174" t="s">
        <v>16832</v>
      </c>
      <c r="C759" s="2208"/>
      <c r="D759" s="2174"/>
      <c r="E759" s="2212" t="s">
        <v>2776</v>
      </c>
      <c r="F759" s="2209">
        <v>6621446</v>
      </c>
      <c r="G759" s="2209">
        <v>7416019.5199999996</v>
      </c>
      <c r="H759" s="2175">
        <v>45408</v>
      </c>
      <c r="I759" s="2175">
        <v>46868</v>
      </c>
      <c r="J759" s="2210"/>
      <c r="K759" s="2211"/>
    </row>
    <row r="760" spans="1:12">
      <c r="A760" s="2204" t="s">
        <v>15352</v>
      </c>
      <c r="B760" s="2174" t="s">
        <v>15353</v>
      </c>
      <c r="C760" s="2208"/>
      <c r="D760" s="2174"/>
      <c r="E760" s="2212" t="s">
        <v>2097</v>
      </c>
      <c r="F760" s="2209">
        <v>6864320</v>
      </c>
      <c r="G760" s="2209">
        <v>8305827.2000000002</v>
      </c>
      <c r="H760" s="2175">
        <v>45419</v>
      </c>
      <c r="I760" s="2175">
        <v>46879</v>
      </c>
      <c r="J760" s="2210"/>
      <c r="K760" s="2211"/>
    </row>
    <row r="761" spans="1:12" ht="30">
      <c r="A761" s="2204" t="s">
        <v>16999</v>
      </c>
      <c r="B761" s="2174" t="s">
        <v>17000</v>
      </c>
      <c r="C761" s="2208"/>
      <c r="D761" s="2174"/>
      <c r="E761" s="2212" t="s">
        <v>3154</v>
      </c>
      <c r="F761" s="2209">
        <v>3610468</v>
      </c>
      <c r="G761" s="2209">
        <v>4043724.16</v>
      </c>
      <c r="H761" s="2175">
        <v>45425</v>
      </c>
      <c r="I761" s="2175">
        <v>46885</v>
      </c>
      <c r="J761" s="2210"/>
      <c r="K761" s="2211"/>
    </row>
    <row r="762" spans="1:12" ht="30">
      <c r="A762" s="2204" t="s">
        <v>16784</v>
      </c>
      <c r="B762" s="2174" t="s">
        <v>17018</v>
      </c>
      <c r="C762" s="2208"/>
      <c r="D762" s="2174"/>
      <c r="E762" s="2212" t="s">
        <v>7296</v>
      </c>
      <c r="F762" s="2209">
        <v>476800</v>
      </c>
      <c r="G762" s="2209">
        <v>534016</v>
      </c>
      <c r="H762" s="2175">
        <v>45363</v>
      </c>
      <c r="I762" s="2175">
        <v>46885</v>
      </c>
      <c r="J762" s="2210"/>
      <c r="K762" s="2211"/>
      <c r="L762" s="1944" t="s">
        <v>17017</v>
      </c>
    </row>
    <row r="763" spans="1:12">
      <c r="A763" s="2204" t="s">
        <v>16328</v>
      </c>
      <c r="B763" s="2174" t="s">
        <v>16329</v>
      </c>
      <c r="C763" s="2208"/>
      <c r="D763" s="2174"/>
      <c r="E763" s="2212" t="s">
        <v>4692</v>
      </c>
      <c r="F763" s="2209">
        <v>1429200</v>
      </c>
      <c r="G763" s="2209">
        <v>1600704</v>
      </c>
      <c r="H763" s="2175">
        <v>45384</v>
      </c>
      <c r="I763" s="2175">
        <v>46886</v>
      </c>
      <c r="J763" s="2210"/>
      <c r="K763" s="2211"/>
      <c r="L763" s="1944" t="s">
        <v>17150</v>
      </c>
    </row>
    <row r="764" spans="1:12" ht="30">
      <c r="A764" s="2204" t="s">
        <v>16775</v>
      </c>
      <c r="B764" s="2174" t="s">
        <v>16776</v>
      </c>
      <c r="C764" s="2208"/>
      <c r="D764" s="2174"/>
      <c r="E764" s="2212" t="s">
        <v>8793</v>
      </c>
      <c r="F764" s="2209">
        <v>6185200</v>
      </c>
      <c r="G764" s="2209">
        <v>6927424</v>
      </c>
      <c r="H764" s="2175">
        <v>45427</v>
      </c>
      <c r="I764" s="2175">
        <v>46888</v>
      </c>
      <c r="J764" s="2210"/>
      <c r="K764" s="2211"/>
      <c r="L764" s="1944" t="s">
        <v>17476</v>
      </c>
    </row>
    <row r="765" spans="1:12" ht="30">
      <c r="A765" s="2204" t="s">
        <v>16334</v>
      </c>
      <c r="B765" s="2174" t="s">
        <v>3958</v>
      </c>
      <c r="C765" s="2208"/>
      <c r="D765" s="2174"/>
      <c r="E765" s="2212" t="s">
        <v>4464</v>
      </c>
      <c r="F765" s="2209">
        <v>3196000</v>
      </c>
      <c r="G765" s="2209">
        <v>3579520</v>
      </c>
      <c r="H765" s="2175">
        <v>45338</v>
      </c>
      <c r="I765" s="2175">
        <v>46897</v>
      </c>
      <c r="J765" s="2210"/>
      <c r="K765" s="2211"/>
      <c r="L765" s="1944" t="s">
        <v>16795</v>
      </c>
    </row>
    <row r="766" spans="1:12">
      <c r="A766" s="2204" t="s">
        <v>16891</v>
      </c>
      <c r="B766" s="2174" t="s">
        <v>4213</v>
      </c>
      <c r="C766" s="2208"/>
      <c r="D766" s="2174"/>
      <c r="E766" s="2212" t="s">
        <v>1433</v>
      </c>
      <c r="F766" s="2209">
        <v>320800</v>
      </c>
      <c r="G766" s="2209">
        <v>359296</v>
      </c>
      <c r="H766" s="2175">
        <v>45362</v>
      </c>
      <c r="I766" s="2175">
        <v>46899</v>
      </c>
      <c r="J766" s="2210"/>
      <c r="K766" s="2211"/>
      <c r="L766" s="1944" t="s">
        <v>17015</v>
      </c>
    </row>
    <row r="767" spans="1:12">
      <c r="A767" s="2204" t="s">
        <v>16989</v>
      </c>
      <c r="B767" s="2174" t="s">
        <v>16990</v>
      </c>
      <c r="C767" s="2208"/>
      <c r="D767" s="2174"/>
      <c r="E767" s="2212" t="s">
        <v>6763</v>
      </c>
      <c r="F767" s="2209">
        <v>868000</v>
      </c>
      <c r="G767" s="2209">
        <v>972160</v>
      </c>
      <c r="H767" s="2175">
        <v>45441</v>
      </c>
      <c r="I767" s="2175">
        <v>46901</v>
      </c>
      <c r="J767" s="2210"/>
      <c r="K767" s="2211"/>
    </row>
    <row r="768" spans="1:12">
      <c r="A768" s="2204" t="s">
        <v>16785</v>
      </c>
      <c r="B768" s="2174" t="s">
        <v>8816</v>
      </c>
      <c r="C768" s="2208"/>
      <c r="D768" s="2174"/>
      <c r="E768" s="2212" t="s">
        <v>1433</v>
      </c>
      <c r="F768" s="2209">
        <v>316800</v>
      </c>
      <c r="G768" s="2209">
        <v>354816</v>
      </c>
      <c r="H768" s="2175">
        <v>45363</v>
      </c>
      <c r="I768" s="2175">
        <v>46903</v>
      </c>
      <c r="J768" s="2210"/>
      <c r="K768" s="2211"/>
      <c r="L768" s="1944" t="s">
        <v>17016</v>
      </c>
    </row>
    <row r="769" spans="1:12">
      <c r="A769" s="2204" t="s">
        <v>16811</v>
      </c>
      <c r="B769" s="2174" t="s">
        <v>16812</v>
      </c>
      <c r="C769" s="2208"/>
      <c r="D769" s="2174"/>
      <c r="E769" s="2212" t="s">
        <v>7296</v>
      </c>
      <c r="F769" s="2209">
        <v>1558000</v>
      </c>
      <c r="G769" s="2209">
        <v>1744960</v>
      </c>
      <c r="H769" s="2175">
        <v>45370</v>
      </c>
      <c r="I769" s="2175">
        <v>46904</v>
      </c>
      <c r="J769" s="2210"/>
      <c r="K769" s="2211"/>
      <c r="L769" s="1944" t="s">
        <v>17050</v>
      </c>
    </row>
    <row r="770" spans="1:12">
      <c r="A770" s="2204" t="s">
        <v>16674</v>
      </c>
      <c r="B770" s="2174" t="s">
        <v>16676</v>
      </c>
      <c r="C770" s="2208">
        <v>1</v>
      </c>
      <c r="D770" s="2174" t="s">
        <v>16677</v>
      </c>
      <c r="E770" s="2212" t="s">
        <v>4838</v>
      </c>
      <c r="F770" s="2209">
        <v>1425000</v>
      </c>
      <c r="G770" s="2209">
        <v>1596000</v>
      </c>
      <c r="H770" s="2175">
        <v>45405</v>
      </c>
      <c r="I770" s="2175">
        <v>46904</v>
      </c>
      <c r="J770" s="2210"/>
      <c r="K770" s="2211"/>
      <c r="L770" s="1944" t="s">
        <v>17050</v>
      </c>
    </row>
    <row r="771" spans="1:12">
      <c r="A771" s="2204" t="s">
        <v>16675</v>
      </c>
      <c r="B771" s="2174" t="s">
        <v>16676</v>
      </c>
      <c r="C771" s="2208">
        <v>2</v>
      </c>
      <c r="D771" s="2174" t="s">
        <v>16678</v>
      </c>
      <c r="E771" s="2212" t="s">
        <v>17345</v>
      </c>
      <c r="F771" s="2209">
        <v>757144.75</v>
      </c>
      <c r="G771" s="2209">
        <v>848002.12</v>
      </c>
      <c r="H771" s="2175">
        <v>45406</v>
      </c>
      <c r="I771" s="2175">
        <v>46904</v>
      </c>
      <c r="J771" s="2210"/>
      <c r="K771" s="2211"/>
      <c r="L771" s="1944" t="s">
        <v>17050</v>
      </c>
    </row>
    <row r="772" spans="1:12" ht="30">
      <c r="A772" s="2204" t="s">
        <v>17021</v>
      </c>
      <c r="B772" s="2174" t="s">
        <v>17022</v>
      </c>
      <c r="C772" s="2208"/>
      <c r="D772" s="2174"/>
      <c r="E772" s="2212" t="s">
        <v>4838</v>
      </c>
      <c r="F772" s="2209">
        <v>9340081.8000000007</v>
      </c>
      <c r="G772" s="2209">
        <v>10460891.619999999</v>
      </c>
      <c r="H772" s="2175">
        <v>45455</v>
      </c>
      <c r="I772" s="2175">
        <v>46915</v>
      </c>
      <c r="J772" s="2210"/>
      <c r="K772" s="2211"/>
    </row>
    <row r="773" spans="1:12">
      <c r="A773" s="2204" t="s">
        <v>17012</v>
      </c>
      <c r="B773" s="2174" t="s">
        <v>17013</v>
      </c>
      <c r="C773" s="2208"/>
      <c r="D773" s="2174"/>
      <c r="E773" s="2212" t="s">
        <v>6322</v>
      </c>
      <c r="F773" s="2209">
        <v>2726000</v>
      </c>
      <c r="G773" s="2209">
        <v>3053120</v>
      </c>
      <c r="H773" s="2175">
        <v>45455</v>
      </c>
      <c r="I773" s="2175">
        <v>46915</v>
      </c>
      <c r="J773" s="2210"/>
      <c r="K773" s="2211"/>
    </row>
    <row r="774" spans="1:12">
      <c r="A774" s="2204" t="s">
        <v>18036</v>
      </c>
      <c r="B774" s="2174" t="s">
        <v>11758</v>
      </c>
      <c r="C774" s="2208">
        <v>1</v>
      </c>
      <c r="D774" s="2174" t="s">
        <v>18038</v>
      </c>
      <c r="E774" s="2212" t="s">
        <v>8793</v>
      </c>
      <c r="F774" s="2209">
        <v>232120</v>
      </c>
      <c r="G774" s="2209">
        <v>259974.39999999999</v>
      </c>
      <c r="H774" s="2175">
        <v>45386</v>
      </c>
      <c r="I774" s="2175">
        <v>46916</v>
      </c>
      <c r="J774" s="2210"/>
      <c r="K774" s="2211"/>
      <c r="L774" s="1944" t="s">
        <v>18037</v>
      </c>
    </row>
    <row r="775" spans="1:12">
      <c r="A775" s="2204" t="s">
        <v>16788</v>
      </c>
      <c r="B775" s="2174" t="s">
        <v>11758</v>
      </c>
      <c r="C775" s="2208">
        <v>2</v>
      </c>
      <c r="D775" s="2174" t="s">
        <v>18039</v>
      </c>
      <c r="E775" s="2212" t="s">
        <v>8793</v>
      </c>
      <c r="F775" s="2209">
        <v>182380</v>
      </c>
      <c r="G775" s="2209">
        <v>204265.60000000001</v>
      </c>
      <c r="H775" s="2175">
        <v>45386</v>
      </c>
      <c r="I775" s="2175">
        <v>46916</v>
      </c>
      <c r="J775" s="2210"/>
      <c r="K775" s="2211"/>
      <c r="L775" s="1944" t="s">
        <v>18037</v>
      </c>
    </row>
    <row r="776" spans="1:12">
      <c r="A776" s="2204" t="s">
        <v>16769</v>
      </c>
      <c r="B776" s="2174" t="s">
        <v>4211</v>
      </c>
      <c r="C776" s="2208"/>
      <c r="D776" s="2174"/>
      <c r="E776" s="2212" t="s">
        <v>4839</v>
      </c>
      <c r="F776" s="2209">
        <v>2800000</v>
      </c>
      <c r="G776" s="2209">
        <v>3136000</v>
      </c>
      <c r="H776" s="2175">
        <v>45427</v>
      </c>
      <c r="I776" s="2175">
        <v>46919</v>
      </c>
      <c r="J776" s="2210"/>
      <c r="K776" s="2211"/>
      <c r="L776" s="1944" t="s">
        <v>17171</v>
      </c>
    </row>
    <row r="777" spans="1:12" ht="30">
      <c r="A777" s="2204" t="s">
        <v>17387</v>
      </c>
      <c r="B777" s="2174" t="s">
        <v>16695</v>
      </c>
      <c r="C777" s="2208"/>
      <c r="D777" s="2174"/>
      <c r="E777" s="2212" t="s">
        <v>2776</v>
      </c>
      <c r="F777" s="2209">
        <v>31251600</v>
      </c>
      <c r="G777" s="2209">
        <v>35001792</v>
      </c>
      <c r="H777" s="2175">
        <v>45469</v>
      </c>
      <c r="I777" s="2175">
        <v>46929</v>
      </c>
      <c r="J777" s="2210"/>
      <c r="K777" s="2211"/>
    </row>
    <row r="778" spans="1:12">
      <c r="A778" s="2204" t="s">
        <v>16791</v>
      </c>
      <c r="B778" s="2174" t="s">
        <v>17020</v>
      </c>
      <c r="C778" s="2208"/>
      <c r="D778" s="2174"/>
      <c r="E778" s="2212" t="s">
        <v>14117</v>
      </c>
      <c r="F778" s="2209">
        <v>380000</v>
      </c>
      <c r="G778" s="2209">
        <v>425600</v>
      </c>
      <c r="H778" s="2175">
        <v>45363</v>
      </c>
      <c r="I778" s="2175">
        <v>46933</v>
      </c>
      <c r="J778" s="2210"/>
      <c r="K778" s="2211"/>
      <c r="L778" s="1944" t="s">
        <v>17019</v>
      </c>
    </row>
    <row r="779" spans="1:12">
      <c r="A779" s="2204" t="s">
        <v>16792</v>
      </c>
      <c r="B779" s="2174" t="s">
        <v>16793</v>
      </c>
      <c r="C779" s="2208"/>
      <c r="D779" s="2174"/>
      <c r="E779" s="2212" t="s">
        <v>14117</v>
      </c>
      <c r="F779" s="2209">
        <v>540000</v>
      </c>
      <c r="G779" s="2209">
        <v>604800</v>
      </c>
      <c r="H779" s="2175">
        <v>45370</v>
      </c>
      <c r="I779" s="2175">
        <v>46934</v>
      </c>
      <c r="J779" s="2210"/>
      <c r="K779" s="2211"/>
      <c r="L779" s="1944" t="s">
        <v>17035</v>
      </c>
    </row>
    <row r="780" spans="1:12" ht="30">
      <c r="A780" s="2204" t="s">
        <v>16753</v>
      </c>
      <c r="B780" s="2174" t="s">
        <v>16752</v>
      </c>
      <c r="C780" s="2208">
        <v>1</v>
      </c>
      <c r="D780" s="2174" t="s">
        <v>16754</v>
      </c>
      <c r="E780" s="2212" t="s">
        <v>8465</v>
      </c>
      <c r="F780" s="2209">
        <v>16299331.199999999</v>
      </c>
      <c r="G780" s="2209">
        <v>18255250.940000001</v>
      </c>
      <c r="H780" s="2175">
        <v>45477</v>
      </c>
      <c r="I780" s="2175">
        <v>46937</v>
      </c>
      <c r="J780" s="2210"/>
      <c r="K780" s="2211"/>
    </row>
    <row r="781" spans="1:12" ht="30">
      <c r="A781" s="2204" t="s">
        <v>16756</v>
      </c>
      <c r="B781" s="2174" t="s">
        <v>16752</v>
      </c>
      <c r="C781" s="2208">
        <v>2</v>
      </c>
      <c r="D781" s="2174" t="s">
        <v>16755</v>
      </c>
      <c r="E781" s="2212" t="s">
        <v>17629</v>
      </c>
      <c r="F781" s="2209">
        <v>10136780</v>
      </c>
      <c r="G781" s="2209">
        <v>11353193.6</v>
      </c>
      <c r="H781" s="2175">
        <v>45477</v>
      </c>
      <c r="I781" s="2175">
        <v>46937</v>
      </c>
      <c r="J781" s="2210"/>
      <c r="K781" s="2211"/>
    </row>
    <row r="782" spans="1:12">
      <c r="A782" s="2204" t="s">
        <v>16853</v>
      </c>
      <c r="B782" s="2174" t="s">
        <v>16854</v>
      </c>
      <c r="C782" s="2208"/>
      <c r="D782" s="2174"/>
      <c r="E782" s="2212" t="s">
        <v>10562</v>
      </c>
      <c r="F782" s="2209">
        <v>3659750</v>
      </c>
      <c r="G782" s="2209">
        <v>4098920</v>
      </c>
      <c r="H782" s="2175">
        <v>45398</v>
      </c>
      <c r="I782" s="2175">
        <v>46944</v>
      </c>
      <c r="J782" s="2210"/>
      <c r="K782" s="2211"/>
      <c r="L782" s="1944" t="s">
        <v>17256</v>
      </c>
    </row>
    <row r="783" spans="1:12">
      <c r="A783" s="2204" t="s">
        <v>16858</v>
      </c>
      <c r="B783" s="2174" t="s">
        <v>16859</v>
      </c>
      <c r="C783" s="2208"/>
      <c r="D783" s="2174"/>
      <c r="E783" s="2212" t="s">
        <v>8765</v>
      </c>
      <c r="F783" s="2209">
        <v>1850400</v>
      </c>
      <c r="G783" s="2209">
        <v>2072448</v>
      </c>
      <c r="H783" s="2175">
        <v>45384</v>
      </c>
      <c r="I783" s="2175">
        <v>46947</v>
      </c>
      <c r="J783" s="2210"/>
      <c r="K783" s="2211"/>
      <c r="L783" s="1944" t="s">
        <v>17159</v>
      </c>
    </row>
    <row r="784" spans="1:12">
      <c r="A784" s="2204" t="s">
        <v>17357</v>
      </c>
      <c r="B784" s="2174" t="s">
        <v>17358</v>
      </c>
      <c r="C784" s="2208"/>
      <c r="D784" s="2174"/>
      <c r="E784" s="2212" t="s">
        <v>6592</v>
      </c>
      <c r="F784" s="2209">
        <v>3628966</v>
      </c>
      <c r="G784" s="2209">
        <v>4064441.92</v>
      </c>
      <c r="H784" s="2175">
        <v>45489</v>
      </c>
      <c r="I784" s="2175">
        <v>46949</v>
      </c>
      <c r="J784" s="2210"/>
      <c r="K784" s="2211"/>
    </row>
    <row r="785" spans="1:12">
      <c r="A785" s="2204" t="s">
        <v>16749</v>
      </c>
      <c r="B785" s="2174" t="s">
        <v>16750</v>
      </c>
      <c r="C785" s="2208"/>
      <c r="D785" s="2174"/>
      <c r="E785" s="2212" t="s">
        <v>2973</v>
      </c>
      <c r="F785" s="2209">
        <v>774792.5</v>
      </c>
      <c r="G785" s="2209">
        <v>867767.6</v>
      </c>
      <c r="H785" s="2175">
        <v>45376</v>
      </c>
      <c r="I785" s="2175">
        <v>46950</v>
      </c>
      <c r="J785" s="2210"/>
      <c r="K785" s="2211"/>
      <c r="L785" s="1944" t="s">
        <v>17069</v>
      </c>
    </row>
    <row r="786" spans="1:12" ht="30">
      <c r="A786" s="2204" t="s">
        <v>16798</v>
      </c>
      <c r="B786" s="2174" t="s">
        <v>9188</v>
      </c>
      <c r="C786" s="2208"/>
      <c r="D786" s="2174"/>
      <c r="E786" s="2212" t="s">
        <v>4839</v>
      </c>
      <c r="F786" s="2209">
        <v>266760</v>
      </c>
      <c r="G786" s="2209">
        <v>298771.20000000001</v>
      </c>
      <c r="H786" s="2175">
        <v>45429</v>
      </c>
      <c r="I786" s="2175">
        <v>46950</v>
      </c>
      <c r="J786" s="2210"/>
      <c r="K786" s="2211"/>
      <c r="L786" s="1944" t="s">
        <v>17069</v>
      </c>
    </row>
    <row r="787" spans="1:12">
      <c r="A787" s="2204" t="s">
        <v>16823</v>
      </c>
      <c r="B787" s="2174" t="s">
        <v>8957</v>
      </c>
      <c r="C787" s="2208"/>
      <c r="D787" s="2174"/>
      <c r="E787" s="2212" t="s">
        <v>3478</v>
      </c>
      <c r="F787" s="2209">
        <v>632000</v>
      </c>
      <c r="G787" s="2209">
        <v>707840</v>
      </c>
      <c r="H787" s="2175">
        <v>45386</v>
      </c>
      <c r="I787" s="2175">
        <v>46952</v>
      </c>
      <c r="J787" s="2210"/>
      <c r="K787" s="2211"/>
      <c r="L787" s="1944" t="s">
        <v>17160</v>
      </c>
    </row>
    <row r="788" spans="1:12">
      <c r="A788" s="2204" t="s">
        <v>16932</v>
      </c>
      <c r="B788" s="2174" t="s">
        <v>16933</v>
      </c>
      <c r="C788" s="2208"/>
      <c r="D788" s="2174"/>
      <c r="E788" s="2212" t="s">
        <v>8765</v>
      </c>
      <c r="F788" s="2209">
        <v>3062533.9</v>
      </c>
      <c r="G788" s="2209">
        <v>3430037.97</v>
      </c>
      <c r="H788" s="2175">
        <v>45404</v>
      </c>
      <c r="I788" s="2175">
        <v>46955</v>
      </c>
      <c r="J788" s="2210"/>
      <c r="K788" s="2211"/>
      <c r="L788" s="1944" t="s">
        <v>17312</v>
      </c>
    </row>
    <row r="789" spans="1:12">
      <c r="A789" s="2206" t="s">
        <v>4495</v>
      </c>
      <c r="B789" s="2194" t="s">
        <v>4496</v>
      </c>
      <c r="C789" s="2231">
        <v>1</v>
      </c>
      <c r="D789" s="2233" t="s">
        <v>4497</v>
      </c>
      <c r="E789" s="2233" t="s">
        <v>6362</v>
      </c>
      <c r="F789" s="2232">
        <v>31192000</v>
      </c>
      <c r="G789" s="2232">
        <v>37742320</v>
      </c>
      <c r="H789" s="2179">
        <v>44035</v>
      </c>
      <c r="I789" s="2179">
        <v>46956</v>
      </c>
      <c r="J789" s="2210"/>
      <c r="K789" s="2211"/>
    </row>
    <row r="790" spans="1:12">
      <c r="A790" s="2206" t="s">
        <v>17537</v>
      </c>
      <c r="B790" s="2194" t="s">
        <v>17538</v>
      </c>
      <c r="C790" s="2231"/>
      <c r="D790" s="2233"/>
      <c r="E790" s="2233" t="s">
        <v>17762</v>
      </c>
      <c r="F790" s="2232">
        <v>1630160</v>
      </c>
      <c r="G790" s="2232">
        <v>1972493.6</v>
      </c>
      <c r="H790" s="2179">
        <v>45496</v>
      </c>
      <c r="I790" s="2179">
        <v>46956</v>
      </c>
      <c r="J790" s="2210"/>
      <c r="K790" s="2211"/>
    </row>
    <row r="791" spans="1:12">
      <c r="A791" s="2206" t="s">
        <v>16928</v>
      </c>
      <c r="B791" s="2194" t="s">
        <v>16929</v>
      </c>
      <c r="C791" s="2231"/>
      <c r="D791" s="2233"/>
      <c r="E791" s="2233" t="s">
        <v>14117</v>
      </c>
      <c r="F791" s="2232">
        <v>713000</v>
      </c>
      <c r="G791" s="2232">
        <v>798560</v>
      </c>
      <c r="H791" s="2179">
        <v>45412</v>
      </c>
      <c r="I791" s="2179">
        <v>46959</v>
      </c>
      <c r="J791" s="2210"/>
      <c r="K791" s="2211"/>
      <c r="L791" s="1944" t="s">
        <v>17397</v>
      </c>
    </row>
    <row r="792" spans="1:12">
      <c r="A792" s="2206" t="s">
        <v>16969</v>
      </c>
      <c r="B792" s="2194" t="s">
        <v>16970</v>
      </c>
      <c r="C792" s="2231"/>
      <c r="D792" s="2233"/>
      <c r="E792" s="2233" t="s">
        <v>1433</v>
      </c>
      <c r="F792" s="2232">
        <v>1074000</v>
      </c>
      <c r="G792" s="2232">
        <v>1202880</v>
      </c>
      <c r="H792" s="2179">
        <v>45407</v>
      </c>
      <c r="I792" s="2179">
        <v>46963</v>
      </c>
      <c r="J792" s="2210"/>
      <c r="K792" s="2211"/>
      <c r="L792" s="1944" t="s">
        <v>17348</v>
      </c>
    </row>
    <row r="793" spans="1:12">
      <c r="A793" s="2206" t="s">
        <v>17670</v>
      </c>
      <c r="B793" s="2194" t="s">
        <v>17671</v>
      </c>
      <c r="C793" s="2231"/>
      <c r="D793" s="2233"/>
      <c r="E793" s="2233" t="s">
        <v>4839</v>
      </c>
      <c r="F793" s="2232">
        <v>2583000</v>
      </c>
      <c r="G793" s="2232">
        <v>2892960</v>
      </c>
      <c r="H793" s="2179">
        <v>45503</v>
      </c>
      <c r="I793" s="2179">
        <v>46963</v>
      </c>
      <c r="J793" s="2210"/>
      <c r="K793" s="2211"/>
    </row>
    <row r="794" spans="1:12">
      <c r="A794" s="2206" t="s">
        <v>17611</v>
      </c>
      <c r="B794" s="2194" t="s">
        <v>18509</v>
      </c>
      <c r="C794" s="2231"/>
      <c r="D794" s="2233"/>
      <c r="E794" s="2233" t="s">
        <v>9770</v>
      </c>
      <c r="F794" s="2232">
        <v>399000</v>
      </c>
      <c r="G794" s="2232">
        <v>446880</v>
      </c>
      <c r="H794" s="2179">
        <v>45503</v>
      </c>
      <c r="I794" s="2179">
        <v>46963</v>
      </c>
      <c r="J794" s="2210"/>
      <c r="K794" s="2211"/>
    </row>
    <row r="795" spans="1:12">
      <c r="A795" s="2206" t="s">
        <v>16991</v>
      </c>
      <c r="B795" s="2194" t="s">
        <v>16992</v>
      </c>
      <c r="C795" s="2231"/>
      <c r="D795" s="2233"/>
      <c r="E795" s="2233" t="s">
        <v>2776</v>
      </c>
      <c r="F795" s="2232">
        <v>1225147.6000000001</v>
      </c>
      <c r="G795" s="2232">
        <v>1372165.4</v>
      </c>
      <c r="H795" s="2179">
        <v>45404</v>
      </c>
      <c r="I795" s="2179">
        <v>46965</v>
      </c>
      <c r="J795" s="2210"/>
      <c r="K795" s="2211"/>
      <c r="L795" s="1944" t="s">
        <v>17313</v>
      </c>
    </row>
    <row r="796" spans="1:12" ht="30">
      <c r="A796" s="2206" t="s">
        <v>17866</v>
      </c>
      <c r="B796" s="2194" t="s">
        <v>17867</v>
      </c>
      <c r="C796" s="2231"/>
      <c r="D796" s="2233"/>
      <c r="E796" s="2233" t="s">
        <v>1433</v>
      </c>
      <c r="F796" s="2232">
        <v>685894</v>
      </c>
      <c r="G796" s="2232">
        <v>784042.4</v>
      </c>
      <c r="H796" s="2179">
        <v>45523</v>
      </c>
      <c r="I796" s="2179">
        <v>46983</v>
      </c>
      <c r="J796" s="2210"/>
      <c r="K796" s="2211"/>
    </row>
    <row r="797" spans="1:12">
      <c r="A797" s="2206" t="s">
        <v>17880</v>
      </c>
      <c r="B797" s="2194" t="s">
        <v>17884</v>
      </c>
      <c r="C797" s="2231"/>
      <c r="D797" s="2233"/>
      <c r="E797" s="2233" t="s">
        <v>13594</v>
      </c>
      <c r="F797" s="2232">
        <v>1395280</v>
      </c>
      <c r="G797" s="2232">
        <v>1562713.6</v>
      </c>
      <c r="H797" s="2179">
        <v>45523</v>
      </c>
      <c r="I797" s="2179">
        <v>46983</v>
      </c>
      <c r="J797" s="2210"/>
      <c r="K797" s="2211"/>
    </row>
    <row r="798" spans="1:12">
      <c r="A798" s="2206" t="s">
        <v>17223</v>
      </c>
      <c r="B798" s="2194" t="s">
        <v>17224</v>
      </c>
      <c r="C798" s="2231"/>
      <c r="D798" s="2233"/>
      <c r="E798" s="2233" t="s">
        <v>659</v>
      </c>
      <c r="F798" s="2232">
        <v>2998000</v>
      </c>
      <c r="G798" s="2232">
        <v>3357760</v>
      </c>
      <c r="H798" s="2179">
        <v>45527</v>
      </c>
      <c r="I798" s="2179">
        <v>46987</v>
      </c>
      <c r="J798" s="2210"/>
      <c r="K798" s="2211"/>
    </row>
    <row r="799" spans="1:12">
      <c r="A799" s="2206" t="s">
        <v>16738</v>
      </c>
      <c r="B799" s="2194" t="s">
        <v>16739</v>
      </c>
      <c r="C799" s="2231"/>
      <c r="D799" s="2233"/>
      <c r="E799" s="2233" t="s">
        <v>7296</v>
      </c>
      <c r="F799" s="2232">
        <v>860200</v>
      </c>
      <c r="G799" s="2232">
        <v>963424</v>
      </c>
      <c r="H799" s="2179">
        <v>45370</v>
      </c>
      <c r="I799" s="2179">
        <v>46995</v>
      </c>
      <c r="J799" s="2210"/>
      <c r="K799" s="2211"/>
      <c r="L799" s="1944" t="s">
        <v>17031</v>
      </c>
    </row>
    <row r="800" spans="1:12">
      <c r="A800" s="2206" t="s">
        <v>16974</v>
      </c>
      <c r="B800" s="2194" t="s">
        <v>16975</v>
      </c>
      <c r="C800" s="2231"/>
      <c r="D800" s="2233"/>
      <c r="E800" s="2233" t="s">
        <v>7296</v>
      </c>
      <c r="F800" s="2232">
        <v>2703000</v>
      </c>
      <c r="G800" s="2232">
        <v>3027360</v>
      </c>
      <c r="H800" s="2179">
        <v>45406</v>
      </c>
      <c r="I800" s="2179">
        <v>46995</v>
      </c>
      <c r="J800" s="2210"/>
      <c r="K800" s="2211"/>
      <c r="L800" s="1944" t="s">
        <v>17031</v>
      </c>
    </row>
    <row r="801" spans="1:12">
      <c r="A801" s="2206" t="s">
        <v>16972</v>
      </c>
      <c r="B801" s="2194" t="s">
        <v>16973</v>
      </c>
      <c r="C801" s="2231"/>
      <c r="D801" s="2233"/>
      <c r="E801" s="2233" t="s">
        <v>12929</v>
      </c>
      <c r="F801" s="2232">
        <v>5627200</v>
      </c>
      <c r="G801" s="2232">
        <v>6302464</v>
      </c>
      <c r="H801" s="2179">
        <v>45440</v>
      </c>
      <c r="I801" s="2179">
        <v>46996</v>
      </c>
      <c r="J801" s="2210"/>
      <c r="K801" s="2211"/>
      <c r="L801" s="1944" t="s">
        <v>17549</v>
      </c>
    </row>
    <row r="802" spans="1:12">
      <c r="A802" s="2204" t="s">
        <v>18077</v>
      </c>
      <c r="B802" s="2174" t="s">
        <v>18078</v>
      </c>
      <c r="C802" s="2208"/>
      <c r="D802" s="2174"/>
      <c r="E802" s="2212" t="s">
        <v>8765</v>
      </c>
      <c r="F802" s="2209">
        <v>1374336</v>
      </c>
      <c r="G802" s="2209">
        <v>1539256.3200000001</v>
      </c>
      <c r="H802" s="2175">
        <v>45539</v>
      </c>
      <c r="I802" s="2175">
        <v>46999</v>
      </c>
      <c r="J802" s="2210"/>
      <c r="K802" s="2211"/>
    </row>
    <row r="803" spans="1:12">
      <c r="A803" s="2204" t="s">
        <v>17349</v>
      </c>
      <c r="B803" s="2174" t="s">
        <v>17350</v>
      </c>
      <c r="C803" s="2208"/>
      <c r="D803" s="2174"/>
      <c r="E803" s="2212" t="s">
        <v>2974</v>
      </c>
      <c r="F803" s="2209">
        <v>65015305</v>
      </c>
      <c r="G803" s="2209">
        <v>72817141.599999994</v>
      </c>
      <c r="H803" s="2175">
        <v>45541</v>
      </c>
      <c r="I803" s="2175">
        <v>47001</v>
      </c>
      <c r="J803" s="2210"/>
      <c r="K803" s="2211"/>
    </row>
    <row r="804" spans="1:12">
      <c r="A804" s="2204" t="s">
        <v>17459</v>
      </c>
      <c r="B804" s="2174" t="s">
        <v>17460</v>
      </c>
      <c r="C804" s="2208"/>
      <c r="D804" s="2174"/>
      <c r="E804" s="2212" t="s">
        <v>18136</v>
      </c>
      <c r="F804" s="2209">
        <v>716000</v>
      </c>
      <c r="G804" s="2209">
        <v>716000</v>
      </c>
      <c r="H804" s="2175">
        <v>45548</v>
      </c>
      <c r="I804" s="2175">
        <v>47008</v>
      </c>
      <c r="J804" s="2210"/>
      <c r="K804" s="2211"/>
    </row>
    <row r="805" spans="1:12" ht="30">
      <c r="A805" s="2204" t="s">
        <v>17447</v>
      </c>
      <c r="B805" s="2174" t="s">
        <v>17448</v>
      </c>
      <c r="C805" s="2208"/>
      <c r="D805" s="2174"/>
      <c r="E805" s="2212" t="s">
        <v>7928</v>
      </c>
      <c r="F805" s="2209">
        <v>21880322.870000001</v>
      </c>
      <c r="G805" s="2209">
        <v>24505961.609999999</v>
      </c>
      <c r="H805" s="2175">
        <v>45555</v>
      </c>
      <c r="I805" s="2175">
        <v>47015</v>
      </c>
      <c r="J805" s="2210"/>
      <c r="K805" s="2211"/>
    </row>
    <row r="806" spans="1:12">
      <c r="A806" s="2204" t="s">
        <v>17681</v>
      </c>
      <c r="B806" s="2174" t="s">
        <v>17680</v>
      </c>
      <c r="C806" s="2208"/>
      <c r="D806" s="2174"/>
      <c r="E806" s="2212" t="s">
        <v>8793</v>
      </c>
      <c r="F806" s="2209">
        <v>2272400</v>
      </c>
      <c r="G806" s="2209">
        <v>2545088</v>
      </c>
      <c r="H806" s="2175">
        <v>45568</v>
      </c>
      <c r="I806" s="2175">
        <v>47028</v>
      </c>
      <c r="J806" s="2210"/>
      <c r="K806" s="2211"/>
    </row>
    <row r="807" spans="1:12">
      <c r="A807" s="2204" t="s">
        <v>7419</v>
      </c>
      <c r="B807" s="2174" t="s">
        <v>8807</v>
      </c>
      <c r="C807" s="2208"/>
      <c r="D807" s="2174"/>
      <c r="E807" s="2212" t="s">
        <v>5901</v>
      </c>
      <c r="F807" s="2209">
        <v>1049838.48</v>
      </c>
      <c r="G807" s="2209">
        <v>1270304.56</v>
      </c>
      <c r="H807" s="2175">
        <v>44118</v>
      </c>
      <c r="I807" s="2175">
        <v>47039</v>
      </c>
      <c r="J807" s="2210"/>
      <c r="K807" s="2211"/>
    </row>
    <row r="808" spans="1:12">
      <c r="A808" s="2204" t="s">
        <v>17494</v>
      </c>
      <c r="B808" s="2174" t="s">
        <v>9762</v>
      </c>
      <c r="C808" s="2208"/>
      <c r="D808" s="2174"/>
      <c r="E808" s="2212" t="s">
        <v>12177</v>
      </c>
      <c r="F808" s="2209">
        <v>4148000</v>
      </c>
      <c r="G808" s="2209">
        <v>4645760</v>
      </c>
      <c r="H808" s="2175">
        <v>45523</v>
      </c>
      <c r="I808" s="2175">
        <v>47050</v>
      </c>
      <c r="J808" s="2210"/>
      <c r="K808" s="2211"/>
    </row>
    <row r="809" spans="1:12">
      <c r="A809" s="2204" t="s">
        <v>17619</v>
      </c>
      <c r="B809" s="2174" t="s">
        <v>17623</v>
      </c>
      <c r="C809" s="2208">
        <v>1</v>
      </c>
      <c r="D809" s="2174" t="s">
        <v>4154</v>
      </c>
      <c r="E809" s="2212" t="s">
        <v>6128</v>
      </c>
      <c r="F809" s="2209">
        <v>1580000</v>
      </c>
      <c r="G809" s="2209">
        <v>1769600</v>
      </c>
      <c r="H809" s="2175">
        <v>45544</v>
      </c>
      <c r="I809" s="2175">
        <v>47050</v>
      </c>
      <c r="J809" s="2210"/>
      <c r="K809" s="2211"/>
      <c r="L809" s="1944" t="s">
        <v>18388</v>
      </c>
    </row>
    <row r="810" spans="1:12">
      <c r="A810" s="2204" t="s">
        <v>17620</v>
      </c>
      <c r="B810" s="2174" t="s">
        <v>17623</v>
      </c>
      <c r="C810" s="2208">
        <v>2</v>
      </c>
      <c r="D810" s="2174" t="s">
        <v>4155</v>
      </c>
      <c r="E810" s="2212" t="s">
        <v>4894</v>
      </c>
      <c r="F810" s="2209">
        <v>16791329.760000002</v>
      </c>
      <c r="G810" s="2209">
        <v>18806289.329999998</v>
      </c>
      <c r="H810" s="2175">
        <v>45544</v>
      </c>
      <c r="I810" s="2175">
        <v>47050</v>
      </c>
      <c r="J810" s="2210"/>
      <c r="K810" s="2211"/>
      <c r="L810" s="1944" t="s">
        <v>18388</v>
      </c>
    </row>
    <row r="811" spans="1:12">
      <c r="A811" s="2204" t="s">
        <v>17622</v>
      </c>
      <c r="B811" s="2174" t="s">
        <v>17623</v>
      </c>
      <c r="C811" s="2208">
        <v>4</v>
      </c>
      <c r="D811" s="2174" t="s">
        <v>4158</v>
      </c>
      <c r="E811" s="2212" t="s">
        <v>4894</v>
      </c>
      <c r="F811" s="2209">
        <v>3966000</v>
      </c>
      <c r="G811" s="2209">
        <v>4441920</v>
      </c>
      <c r="H811" s="2175">
        <v>45544</v>
      </c>
      <c r="I811" s="2175">
        <v>47050</v>
      </c>
      <c r="J811" s="2210"/>
      <c r="K811" s="2211"/>
      <c r="L811" s="1944" t="s">
        <v>18388</v>
      </c>
    </row>
    <row r="812" spans="1:12">
      <c r="A812" s="2204" t="s">
        <v>17894</v>
      </c>
      <c r="B812" s="2174" t="s">
        <v>17895</v>
      </c>
      <c r="C812" s="2208"/>
      <c r="D812" s="2174"/>
      <c r="E812" s="2212" t="s">
        <v>7296</v>
      </c>
      <c r="F812" s="2209">
        <v>512000</v>
      </c>
      <c r="G812" s="2209">
        <v>573440</v>
      </c>
      <c r="H812" s="2175">
        <v>45520</v>
      </c>
      <c r="I812" s="2175">
        <v>47058</v>
      </c>
      <c r="J812" s="2210"/>
      <c r="K812" s="2211"/>
    </row>
    <row r="813" spans="1:12">
      <c r="A813" s="2204" t="s">
        <v>18241</v>
      </c>
      <c r="B813" s="2174" t="s">
        <v>18682</v>
      </c>
      <c r="C813" s="2208"/>
      <c r="D813" s="2174"/>
      <c r="E813" s="2212" t="s">
        <v>7296</v>
      </c>
      <c r="F813" s="2209">
        <v>244808</v>
      </c>
      <c r="G813" s="2209">
        <v>274184.96000000002</v>
      </c>
      <c r="H813" s="2175">
        <v>45555</v>
      </c>
      <c r="I813" s="2175">
        <v>47070</v>
      </c>
      <c r="J813" s="2210"/>
      <c r="K813" s="2211"/>
      <c r="L813" s="1944" t="s">
        <v>18681</v>
      </c>
    </row>
    <row r="814" spans="1:12">
      <c r="A814" s="2204" t="s">
        <v>17822</v>
      </c>
      <c r="B814" s="2174" t="s">
        <v>17823</v>
      </c>
      <c r="C814" s="2208"/>
      <c r="D814" s="2174"/>
      <c r="E814" s="2212" t="s">
        <v>5266</v>
      </c>
      <c r="F814" s="2209">
        <v>2495090</v>
      </c>
      <c r="G814" s="2209">
        <v>2794500.8</v>
      </c>
      <c r="H814" s="2175">
        <v>45574</v>
      </c>
      <c r="I814" s="2175">
        <v>47072</v>
      </c>
      <c r="J814" s="2210"/>
      <c r="K814" s="2211"/>
      <c r="L814" s="1944" t="s">
        <v>18335</v>
      </c>
    </row>
    <row r="815" spans="1:12">
      <c r="A815" s="2204" t="s">
        <v>17666</v>
      </c>
      <c r="B815" s="2174" t="s">
        <v>17669</v>
      </c>
      <c r="C815" s="2208">
        <v>1</v>
      </c>
      <c r="D815" s="2174"/>
      <c r="E815" s="2212" t="s">
        <v>10562</v>
      </c>
      <c r="F815" s="2209">
        <v>168300</v>
      </c>
      <c r="G815" s="2209">
        <v>188496</v>
      </c>
      <c r="H815" s="2175">
        <v>45540</v>
      </c>
      <c r="I815" s="2175">
        <v>47072</v>
      </c>
      <c r="J815" s="2210"/>
      <c r="K815" s="2211"/>
      <c r="L815" s="1944" t="s">
        <v>18335</v>
      </c>
    </row>
    <row r="816" spans="1:12">
      <c r="A816" s="2204" t="s">
        <v>17667</v>
      </c>
      <c r="B816" s="2174" t="s">
        <v>17669</v>
      </c>
      <c r="C816" s="2208">
        <v>2</v>
      </c>
      <c r="D816" s="2174" t="s">
        <v>11769</v>
      </c>
      <c r="E816" s="2212" t="s">
        <v>10562</v>
      </c>
      <c r="F816" s="2209">
        <v>858000</v>
      </c>
      <c r="G816" s="2209">
        <v>960960</v>
      </c>
      <c r="H816" s="2175">
        <v>45539</v>
      </c>
      <c r="I816" s="2175">
        <v>47072</v>
      </c>
      <c r="J816" s="2210"/>
      <c r="K816" s="2211"/>
      <c r="L816" s="1944" t="s">
        <v>18335</v>
      </c>
    </row>
    <row r="817" spans="1:12">
      <c r="A817" s="2204" t="s">
        <v>17668</v>
      </c>
      <c r="B817" s="2174" t="s">
        <v>17669</v>
      </c>
      <c r="C817" s="2208">
        <v>3</v>
      </c>
      <c r="D817" s="2174" t="s">
        <v>11768</v>
      </c>
      <c r="E817" s="2212" t="s">
        <v>9770</v>
      </c>
      <c r="F817" s="2209">
        <v>737000</v>
      </c>
      <c r="G817" s="2209">
        <v>825440</v>
      </c>
      <c r="H817" s="2175">
        <v>45538</v>
      </c>
      <c r="I817" s="2175">
        <v>47072</v>
      </c>
      <c r="J817" s="2210"/>
      <c r="K817" s="2211"/>
      <c r="L817" s="1944" t="s">
        <v>18335</v>
      </c>
    </row>
    <row r="818" spans="1:12" ht="30">
      <c r="A818" s="2204" t="s">
        <v>17855</v>
      </c>
      <c r="B818" s="2174" t="s">
        <v>10159</v>
      </c>
      <c r="C818" s="2208"/>
      <c r="D818" s="2174"/>
      <c r="E818" s="2212" t="s">
        <v>5726</v>
      </c>
      <c r="F818" s="2209">
        <v>633520</v>
      </c>
      <c r="G818" s="2209">
        <v>709542.40000000002</v>
      </c>
      <c r="H818" s="2175">
        <v>45510</v>
      </c>
      <c r="I818" s="2175">
        <v>47086</v>
      </c>
      <c r="J818" s="2210"/>
      <c r="K818" s="2211"/>
      <c r="L818" s="1944" t="s">
        <v>18084</v>
      </c>
    </row>
    <row r="819" spans="1:12">
      <c r="A819" s="2204" t="s">
        <v>18365</v>
      </c>
      <c r="B819" s="2174" t="s">
        <v>18366</v>
      </c>
      <c r="C819" s="2208"/>
      <c r="D819" s="2174"/>
      <c r="E819" s="2212" t="s">
        <v>10789</v>
      </c>
      <c r="F819" s="2209">
        <v>234000</v>
      </c>
      <c r="G819" s="2209">
        <v>262080</v>
      </c>
      <c r="H819" s="2175">
        <v>45505</v>
      </c>
      <c r="I819" s="2175">
        <v>47094</v>
      </c>
      <c r="J819" s="2210"/>
      <c r="K819" s="2211"/>
    </row>
    <row r="820" spans="1:12">
      <c r="A820" s="2204" t="s">
        <v>17621</v>
      </c>
      <c r="B820" s="2174" t="s">
        <v>17623</v>
      </c>
      <c r="C820" s="2208">
        <v>3</v>
      </c>
      <c r="D820" s="2174" t="s">
        <v>17624</v>
      </c>
      <c r="E820" s="2212" t="s">
        <v>17345</v>
      </c>
      <c r="F820" s="2209">
        <v>3150000</v>
      </c>
      <c r="G820" s="2209">
        <v>3528000</v>
      </c>
      <c r="H820" s="2175">
        <v>45544</v>
      </c>
      <c r="I820" s="2175">
        <v>47138</v>
      </c>
      <c r="J820" s="2210"/>
      <c r="K820" s="2211"/>
      <c r="L820" s="1944" t="s">
        <v>18390</v>
      </c>
    </row>
    <row r="821" spans="1:12">
      <c r="A821" s="2204" t="s">
        <v>7922</v>
      </c>
      <c r="B821" s="2174" t="s">
        <v>8810</v>
      </c>
      <c r="C821" s="2208"/>
      <c r="D821" s="2174"/>
      <c r="E821" s="2212" t="s">
        <v>8116</v>
      </c>
      <c r="F821" s="2209">
        <v>10121328.4</v>
      </c>
      <c r="G821" s="2209">
        <v>12246807.359999999</v>
      </c>
      <c r="H821" s="2175">
        <v>44249</v>
      </c>
      <c r="I821" s="2175">
        <v>47170</v>
      </c>
      <c r="J821" s="2210"/>
      <c r="K821" s="2211"/>
    </row>
    <row r="822" spans="1:12">
      <c r="A822" s="2204" t="s">
        <v>7803</v>
      </c>
      <c r="B822" s="2174" t="s">
        <v>7804</v>
      </c>
      <c r="C822" s="2208"/>
      <c r="D822" s="2174"/>
      <c r="E822" s="2212" t="s">
        <v>6242</v>
      </c>
      <c r="F822" s="2209">
        <v>1703400</v>
      </c>
      <c r="G822" s="2209">
        <v>2061114</v>
      </c>
      <c r="H822" s="2175">
        <v>44257</v>
      </c>
      <c r="I822" s="2175">
        <v>47178</v>
      </c>
      <c r="J822" s="2210"/>
      <c r="K822" s="2211"/>
    </row>
    <row r="823" spans="1:12">
      <c r="A823" s="2204" t="s">
        <v>7774</v>
      </c>
      <c r="B823" s="2174" t="s">
        <v>8809</v>
      </c>
      <c r="C823" s="2208"/>
      <c r="D823" s="2174"/>
      <c r="E823" s="2212" t="s">
        <v>8238</v>
      </c>
      <c r="F823" s="2209">
        <v>1182513.58</v>
      </c>
      <c r="G823" s="2209">
        <v>1393678</v>
      </c>
      <c r="H823" s="2175">
        <v>44258</v>
      </c>
      <c r="I823" s="2175">
        <v>47179</v>
      </c>
      <c r="J823" s="2210"/>
      <c r="K823" s="2211"/>
    </row>
    <row r="824" spans="1:12">
      <c r="A824" s="2204" t="s">
        <v>8174</v>
      </c>
      <c r="B824" s="2174" t="s">
        <v>8175</v>
      </c>
      <c r="C824" s="2208"/>
      <c r="D824" s="2174"/>
      <c r="E824" s="2212" t="s">
        <v>4857</v>
      </c>
      <c r="F824" s="2209">
        <v>26069957.5</v>
      </c>
      <c r="G824" s="2209">
        <v>31544648.579999998</v>
      </c>
      <c r="H824" s="2175">
        <v>44309</v>
      </c>
      <c r="I824" s="2175">
        <v>47230</v>
      </c>
      <c r="J824" s="2210"/>
      <c r="K824" s="2211"/>
    </row>
    <row r="825" spans="1:12">
      <c r="A825" s="2204" t="s">
        <v>8222</v>
      </c>
      <c r="B825" s="2174" t="s">
        <v>9106</v>
      </c>
      <c r="C825" s="2208"/>
      <c r="D825" s="2174"/>
      <c r="E825" s="2212" t="s">
        <v>8526</v>
      </c>
      <c r="F825" s="2209">
        <v>3133665</v>
      </c>
      <c r="G825" s="2209">
        <v>3791734.65</v>
      </c>
      <c r="H825" s="2175">
        <v>44314</v>
      </c>
      <c r="I825" s="2175">
        <v>47235</v>
      </c>
      <c r="J825" s="2210"/>
      <c r="K825" s="2211"/>
    </row>
    <row r="826" spans="1:12">
      <c r="A826" s="2204" t="s">
        <v>8134</v>
      </c>
      <c r="B826" s="2174" t="s">
        <v>9107</v>
      </c>
      <c r="C826" s="2208"/>
      <c r="D826" s="2174" t="s">
        <v>8926</v>
      </c>
      <c r="E826" s="2212" t="s">
        <v>144</v>
      </c>
      <c r="F826" s="2209">
        <v>7999600</v>
      </c>
      <c r="G826" s="2209">
        <v>9679516</v>
      </c>
      <c r="H826" s="2175">
        <v>44326</v>
      </c>
      <c r="I826" s="2175">
        <v>47247</v>
      </c>
      <c r="J826" s="2210"/>
      <c r="K826" s="2211"/>
    </row>
    <row r="827" spans="1:12">
      <c r="A827" s="2204" t="s">
        <v>8450</v>
      </c>
      <c r="B827" s="2174" t="s">
        <v>8451</v>
      </c>
      <c r="C827" s="2208"/>
      <c r="D827" s="2174" t="s">
        <v>9136</v>
      </c>
      <c r="E827" s="2212" t="s">
        <v>8906</v>
      </c>
      <c r="F827" s="2209">
        <v>275500</v>
      </c>
      <c r="G827" s="2209">
        <v>333355</v>
      </c>
      <c r="H827" s="2175">
        <v>44354</v>
      </c>
      <c r="I827" s="2175">
        <v>47276</v>
      </c>
      <c r="J827" s="2210"/>
      <c r="K827" s="2211"/>
    </row>
    <row r="828" spans="1:12">
      <c r="A828" s="2204" t="s">
        <v>7617</v>
      </c>
      <c r="B828" s="2174" t="s">
        <v>8808</v>
      </c>
      <c r="C828" s="2208"/>
      <c r="D828" s="2174"/>
      <c r="E828" s="2212" t="s">
        <v>8183</v>
      </c>
      <c r="F828" s="2209">
        <v>1585336</v>
      </c>
      <c r="G828" s="2209">
        <v>1918256.56</v>
      </c>
      <c r="H828" s="2175">
        <v>44356</v>
      </c>
      <c r="I828" s="2175">
        <v>47277</v>
      </c>
      <c r="J828" s="2210"/>
      <c r="K828" s="2211"/>
    </row>
    <row r="829" spans="1:12">
      <c r="A829" s="2241" t="s">
        <v>8535</v>
      </c>
      <c r="B829" s="2234" t="s">
        <v>8536</v>
      </c>
      <c r="C829" s="2210"/>
      <c r="D829" s="2234"/>
      <c r="E829" s="2374" t="s">
        <v>459</v>
      </c>
      <c r="F829" s="2535">
        <v>72480000</v>
      </c>
      <c r="G829" s="2535">
        <v>87700800</v>
      </c>
      <c r="H829" s="2407">
        <v>44617</v>
      </c>
      <c r="I829" s="2407">
        <v>47538</v>
      </c>
      <c r="J829" s="2210"/>
      <c r="K829" s="2211"/>
    </row>
    <row r="830" spans="1:12" ht="30">
      <c r="A830" s="2241" t="s">
        <v>11072</v>
      </c>
      <c r="B830" s="2234" t="s">
        <v>12003</v>
      </c>
      <c r="C830" s="2210"/>
      <c r="D830" s="2234"/>
      <c r="E830" s="2374" t="s">
        <v>5939</v>
      </c>
      <c r="F830" s="2535">
        <v>4777470</v>
      </c>
      <c r="G830" s="2535">
        <v>5494090.5</v>
      </c>
      <c r="H830" s="2407">
        <v>44712</v>
      </c>
      <c r="I830" s="2407">
        <v>47633</v>
      </c>
      <c r="J830" s="2210"/>
      <c r="K830" s="2211"/>
    </row>
    <row r="831" spans="1:12" ht="30">
      <c r="A831" s="2241" t="s">
        <v>11899</v>
      </c>
      <c r="B831" s="2234" t="s">
        <v>13416</v>
      </c>
      <c r="C831" s="2210"/>
      <c r="D831" s="2234"/>
      <c r="E831" s="2374" t="s">
        <v>12765</v>
      </c>
      <c r="F831" s="2535">
        <v>4800000</v>
      </c>
      <c r="G831" s="2535">
        <v>5808000</v>
      </c>
      <c r="H831" s="2407">
        <v>44860</v>
      </c>
      <c r="I831" s="2407">
        <v>47781</v>
      </c>
      <c r="J831" s="2210"/>
      <c r="K831" s="2211"/>
    </row>
    <row r="832" spans="1:12">
      <c r="A832" s="2241" t="s">
        <v>16292</v>
      </c>
      <c r="B832" s="2234" t="s">
        <v>16293</v>
      </c>
      <c r="C832" s="2210"/>
      <c r="D832" s="2234"/>
      <c r="E832" s="2374" t="s">
        <v>16763</v>
      </c>
      <c r="F832" s="2535">
        <v>640200</v>
      </c>
      <c r="G832" s="2535">
        <v>774642</v>
      </c>
      <c r="H832" s="2407">
        <v>45364</v>
      </c>
      <c r="I832" s="2407">
        <v>48944</v>
      </c>
      <c r="J832" s="2210"/>
      <c r="K832" s="2211"/>
    </row>
    <row r="833" spans="1:11">
      <c r="A833" s="2241"/>
      <c r="B833" s="2234"/>
      <c r="C833" s="2210"/>
      <c r="D833" s="2234"/>
      <c r="E833" s="2374"/>
      <c r="F833" s="2235"/>
      <c r="G833" s="2235"/>
      <c r="H833" s="2210"/>
      <c r="I833" s="2210"/>
      <c r="J833" s="2210"/>
      <c r="K833" s="2211"/>
    </row>
    <row r="834" spans="1:11">
      <c r="A834" s="2241"/>
      <c r="B834" s="2234"/>
      <c r="C834" s="2210"/>
      <c r="D834" s="2234"/>
      <c r="E834" s="2374"/>
      <c r="F834" s="2235"/>
      <c r="G834" s="2235"/>
      <c r="H834" s="2210"/>
      <c r="I834" s="2210"/>
      <c r="J834" s="2210"/>
      <c r="K834" s="2211"/>
    </row>
    <row r="835" spans="1:11">
      <c r="A835" s="2241"/>
      <c r="B835" s="2234"/>
      <c r="C835" s="2210"/>
      <c r="D835" s="2234"/>
      <c r="E835" s="2374"/>
      <c r="F835" s="2235"/>
      <c r="G835" s="2235"/>
      <c r="H835" s="2210"/>
      <c r="I835" s="2210"/>
      <c r="J835" s="2210"/>
      <c r="K835" s="2211"/>
    </row>
    <row r="836" spans="1:11">
      <c r="A836" s="2241"/>
      <c r="B836" s="2234"/>
      <c r="C836" s="2210"/>
      <c r="D836" s="2234"/>
      <c r="E836" s="2374"/>
      <c r="F836" s="2235"/>
      <c r="G836" s="2235"/>
      <c r="H836" s="2210"/>
      <c r="I836" s="2210"/>
      <c r="J836" s="2210"/>
      <c r="K836" s="2211"/>
    </row>
    <row r="837" spans="1:11">
      <c r="A837" s="2241"/>
      <c r="B837" s="2234"/>
      <c r="C837" s="2210"/>
      <c r="D837" s="2234"/>
      <c r="E837" s="2374"/>
      <c r="F837" s="2235"/>
      <c r="G837" s="2235"/>
      <c r="H837" s="2210"/>
      <c r="I837" s="2210"/>
      <c r="J837" s="2210"/>
      <c r="K837" s="2211"/>
    </row>
    <row r="838" spans="1:11">
      <c r="A838" s="2241"/>
      <c r="B838" s="2234"/>
      <c r="C838" s="2210"/>
      <c r="D838" s="2234"/>
      <c r="E838" s="2374"/>
      <c r="F838" s="2235"/>
      <c r="G838" s="2235"/>
      <c r="H838" s="2210"/>
      <c r="I838" s="2210"/>
      <c r="J838" s="2210"/>
      <c r="K838" s="2211"/>
    </row>
    <row r="839" spans="1:11">
      <c r="A839" s="2241"/>
      <c r="B839" s="2234"/>
      <c r="C839" s="2210"/>
      <c r="D839" s="2234"/>
      <c r="E839" s="2374"/>
      <c r="F839" s="2235"/>
      <c r="G839" s="2235"/>
      <c r="H839" s="2210"/>
      <c r="I839" s="2210"/>
      <c r="J839" s="2210"/>
      <c r="K839" s="2211"/>
    </row>
    <row r="840" spans="1:11">
      <c r="A840" s="2241"/>
      <c r="B840" s="2234"/>
      <c r="C840" s="2210"/>
      <c r="D840" s="2234"/>
      <c r="E840" s="2374"/>
      <c r="F840" s="2235"/>
      <c r="G840" s="2235"/>
      <c r="H840" s="2210"/>
      <c r="I840" s="2210"/>
      <c r="J840" s="2210"/>
      <c r="K840" s="2211"/>
    </row>
    <row r="841" spans="1:11">
      <c r="A841" s="2241"/>
      <c r="B841" s="2234"/>
      <c r="C841" s="2210"/>
      <c r="D841" s="2234"/>
      <c r="E841" s="2374"/>
      <c r="F841" s="2235"/>
      <c r="G841" s="2235"/>
      <c r="H841" s="2210"/>
      <c r="I841" s="2210"/>
      <c r="J841" s="2210"/>
      <c r="K841" s="2211"/>
    </row>
    <row r="842" spans="1:11">
      <c r="A842" s="2241"/>
      <c r="B842" s="2234"/>
      <c r="C842" s="2210"/>
      <c r="D842" s="2234"/>
      <c r="E842" s="2374"/>
      <c r="F842" s="2235"/>
      <c r="G842" s="2235"/>
      <c r="H842" s="2210"/>
      <c r="I842" s="2210"/>
      <c r="J842" s="2210"/>
      <c r="K842" s="2211"/>
    </row>
    <row r="843" spans="1:11">
      <c r="A843" s="2241"/>
      <c r="B843" s="2234"/>
      <c r="C843" s="2210"/>
      <c r="D843" s="2234"/>
      <c r="E843" s="2374"/>
      <c r="F843" s="2235"/>
      <c r="G843" s="2235"/>
      <c r="H843" s="2210"/>
      <c r="I843" s="2210"/>
      <c r="J843" s="2210"/>
      <c r="K843" s="2211"/>
    </row>
    <row r="844" spans="1:11">
      <c r="A844" s="2241"/>
      <c r="B844" s="2234"/>
      <c r="C844" s="2210"/>
      <c r="D844" s="2234"/>
      <c r="E844" s="2374"/>
      <c r="F844" s="2235"/>
      <c r="G844" s="2235"/>
      <c r="H844" s="2210"/>
      <c r="I844" s="2210"/>
      <c r="J844" s="2210"/>
      <c r="K844" s="2211"/>
    </row>
    <row r="845" spans="1:11">
      <c r="A845" s="2241"/>
      <c r="B845" s="2234"/>
      <c r="C845" s="2210"/>
      <c r="D845" s="2234"/>
      <c r="E845" s="2374"/>
      <c r="F845" s="2235"/>
      <c r="G845" s="2235"/>
      <c r="H845" s="2210"/>
      <c r="I845" s="2210"/>
      <c r="J845" s="2210"/>
      <c r="K845" s="2211"/>
    </row>
    <row r="846" spans="1:11">
      <c r="A846" s="2241"/>
      <c r="B846" s="2234"/>
      <c r="C846" s="2210"/>
      <c r="D846" s="2234"/>
      <c r="E846" s="2374"/>
      <c r="F846" s="2235"/>
      <c r="G846" s="2235"/>
      <c r="H846" s="2210"/>
      <c r="I846" s="2210"/>
      <c r="J846" s="2210"/>
      <c r="K846" s="2211"/>
    </row>
    <row r="847" spans="1:11">
      <c r="A847" s="2241"/>
      <c r="B847" s="2234"/>
      <c r="C847" s="2210"/>
      <c r="D847" s="2234"/>
      <c r="E847" s="2374"/>
      <c r="F847" s="2235"/>
      <c r="G847" s="2235"/>
      <c r="H847" s="2210"/>
      <c r="I847" s="2210"/>
      <c r="J847" s="2210"/>
      <c r="K847" s="2211"/>
    </row>
    <row r="848" spans="1:11">
      <c r="A848" s="2241"/>
      <c r="B848" s="2234"/>
      <c r="C848" s="2210"/>
      <c r="D848" s="2234"/>
      <c r="E848" s="2374"/>
      <c r="F848" s="2235"/>
      <c r="G848" s="2235"/>
      <c r="H848" s="2210"/>
      <c r="I848" s="2210"/>
      <c r="J848" s="2210"/>
      <c r="K848" s="2211"/>
    </row>
    <row r="849" spans="1:11">
      <c r="A849" s="2241"/>
      <c r="B849" s="2234"/>
      <c r="C849" s="2210"/>
      <c r="D849" s="2234"/>
      <c r="E849" s="2374"/>
      <c r="F849" s="2235"/>
      <c r="G849" s="2235"/>
      <c r="H849" s="2210"/>
      <c r="I849" s="2210"/>
      <c r="J849" s="2210"/>
      <c r="K849" s="2211"/>
    </row>
    <row r="850" spans="1:11">
      <c r="A850" s="2241"/>
      <c r="B850" s="2234"/>
      <c r="C850" s="2210"/>
      <c r="D850" s="2234"/>
      <c r="E850" s="2374"/>
      <c r="F850" s="2235"/>
      <c r="G850" s="2235"/>
      <c r="H850" s="2210"/>
      <c r="I850" s="2210"/>
      <c r="J850" s="2210"/>
      <c r="K850" s="2211"/>
    </row>
    <row r="851" spans="1:11">
      <c r="A851" s="2241"/>
      <c r="B851" s="2234"/>
      <c r="C851" s="2210"/>
      <c r="D851" s="2234"/>
      <c r="E851" s="2374"/>
      <c r="F851" s="2235"/>
      <c r="G851" s="2235"/>
      <c r="H851" s="2210"/>
      <c r="I851" s="2210"/>
      <c r="J851" s="2210"/>
      <c r="K851" s="2211"/>
    </row>
    <row r="852" spans="1:11">
      <c r="A852" s="2241"/>
      <c r="B852" s="2234"/>
      <c r="C852" s="2210"/>
      <c r="D852" s="2234"/>
      <c r="E852" s="2374"/>
      <c r="F852" s="2235"/>
      <c r="G852" s="2235"/>
      <c r="H852" s="2210"/>
      <c r="I852" s="2210"/>
      <c r="J852" s="2210"/>
      <c r="K852" s="2211"/>
    </row>
    <row r="853" spans="1:11">
      <c r="A853" s="2241"/>
      <c r="B853" s="2234"/>
      <c r="C853" s="2210"/>
      <c r="D853" s="2234"/>
      <c r="E853" s="2374"/>
      <c r="F853" s="2235"/>
      <c r="G853" s="2235"/>
      <c r="H853" s="2210"/>
      <c r="I853" s="2210"/>
      <c r="J853" s="2210"/>
      <c r="K853" s="2211"/>
    </row>
    <row r="854" spans="1:11">
      <c r="A854" s="2241"/>
      <c r="B854" s="2234"/>
      <c r="C854" s="2210"/>
      <c r="D854" s="2234"/>
      <c r="E854" s="2374"/>
      <c r="F854" s="2235"/>
      <c r="G854" s="2235"/>
      <c r="H854" s="2210"/>
      <c r="I854" s="2210"/>
      <c r="J854" s="2210"/>
      <c r="K854" s="2211"/>
    </row>
    <row r="855" spans="1:11">
      <c r="A855" s="2241"/>
      <c r="B855" s="2234"/>
      <c r="C855" s="2210"/>
      <c r="D855" s="2234"/>
      <c r="E855" s="2374"/>
      <c r="F855" s="2235"/>
      <c r="G855" s="2235"/>
      <c r="H855" s="2210"/>
      <c r="I855" s="2210"/>
      <c r="J855" s="2210"/>
      <c r="K855" s="2211"/>
    </row>
    <row r="856" spans="1:11">
      <c r="A856" s="2241"/>
      <c r="B856" s="2234"/>
      <c r="C856" s="2210"/>
      <c r="D856" s="2234"/>
      <c r="E856" s="2374"/>
      <c r="F856" s="2235"/>
      <c r="G856" s="2235"/>
      <c r="H856" s="2210"/>
      <c r="I856" s="2210"/>
      <c r="J856" s="2210"/>
      <c r="K856" s="2211"/>
    </row>
    <row r="857" spans="1:11">
      <c r="A857" s="2241"/>
      <c r="B857" s="2234"/>
      <c r="C857" s="2210"/>
      <c r="D857" s="2234"/>
      <c r="E857" s="2374"/>
      <c r="F857" s="2235"/>
      <c r="G857" s="2235"/>
      <c r="H857" s="2210"/>
      <c r="I857" s="2210"/>
      <c r="J857" s="2210"/>
      <c r="K857" s="2211"/>
    </row>
    <row r="858" spans="1:11">
      <c r="A858" s="2241"/>
      <c r="B858" s="2234"/>
      <c r="C858" s="2210"/>
      <c r="D858" s="2234"/>
      <c r="E858" s="2374"/>
      <c r="F858" s="2235"/>
      <c r="G858" s="2235"/>
      <c r="H858" s="2210"/>
      <c r="I858" s="2210"/>
      <c r="J858" s="2210"/>
      <c r="K858" s="2211"/>
    </row>
    <row r="859" spans="1:11">
      <c r="A859" s="2241"/>
      <c r="B859" s="2234"/>
      <c r="C859" s="2210"/>
      <c r="D859" s="2234"/>
      <c r="E859" s="2374"/>
      <c r="F859" s="2235"/>
      <c r="G859" s="2235"/>
      <c r="H859" s="2210"/>
      <c r="I859" s="2210"/>
      <c r="J859" s="2210"/>
      <c r="K859" s="2211"/>
    </row>
    <row r="860" spans="1:11">
      <c r="A860" s="2241"/>
      <c r="B860" s="2234"/>
      <c r="C860" s="2210"/>
      <c r="D860" s="2234"/>
      <c r="E860" s="2374"/>
      <c r="F860" s="2235"/>
      <c r="G860" s="2235"/>
      <c r="H860" s="2210"/>
      <c r="I860" s="2210"/>
      <c r="J860" s="2210"/>
      <c r="K860" s="2211"/>
    </row>
    <row r="861" spans="1:11">
      <c r="A861" s="2241"/>
      <c r="B861" s="2234"/>
      <c r="C861" s="2210"/>
      <c r="D861" s="2234"/>
      <c r="E861" s="2374"/>
      <c r="F861" s="2235"/>
      <c r="G861" s="2235"/>
      <c r="H861" s="2210"/>
      <c r="I861" s="2210"/>
      <c r="J861" s="2210"/>
      <c r="K861" s="2211"/>
    </row>
    <row r="862" spans="1:11">
      <c r="A862" s="2241"/>
      <c r="B862" s="2234"/>
      <c r="C862" s="2210"/>
      <c r="D862" s="2234"/>
      <c r="E862" s="2374"/>
      <c r="F862" s="2235"/>
      <c r="G862" s="2235"/>
      <c r="H862" s="2210"/>
      <c r="I862" s="2210"/>
      <c r="J862" s="2210"/>
      <c r="K862" s="2211"/>
    </row>
    <row r="863" spans="1:11">
      <c r="A863" s="2241"/>
      <c r="B863" s="2234"/>
      <c r="C863" s="2210"/>
      <c r="D863" s="2234"/>
      <c r="E863" s="2374"/>
      <c r="F863" s="2235"/>
      <c r="G863" s="2235"/>
      <c r="H863" s="2210"/>
      <c r="I863" s="2210"/>
      <c r="J863" s="2210"/>
      <c r="K863" s="2211"/>
    </row>
    <row r="864" spans="1:11">
      <c r="A864" s="2241"/>
      <c r="B864" s="2234"/>
      <c r="C864" s="2210"/>
      <c r="D864" s="2234"/>
      <c r="E864" s="2374"/>
      <c r="F864" s="2235"/>
      <c r="G864" s="2235"/>
      <c r="H864" s="2210"/>
      <c r="I864" s="2210"/>
      <c r="J864" s="2210"/>
      <c r="K864" s="2211"/>
    </row>
    <row r="865" spans="1:11">
      <c r="A865" s="2241"/>
      <c r="B865" s="2234"/>
      <c r="C865" s="2210"/>
      <c r="D865" s="2234"/>
      <c r="E865" s="2374"/>
      <c r="F865" s="2235"/>
      <c r="G865" s="2235"/>
      <c r="H865" s="2210"/>
      <c r="I865" s="2210"/>
      <c r="J865" s="2210"/>
      <c r="K865" s="2211"/>
    </row>
    <row r="866" spans="1:11">
      <c r="A866" s="2241"/>
      <c r="B866" s="2234"/>
      <c r="C866" s="2210"/>
      <c r="D866" s="2234"/>
      <c r="E866" s="2374"/>
      <c r="F866" s="2235"/>
      <c r="G866" s="2235"/>
      <c r="H866" s="2210"/>
      <c r="I866" s="2210"/>
      <c r="J866" s="2210"/>
      <c r="K866" s="2211"/>
    </row>
    <row r="867" spans="1:11">
      <c r="A867" s="2241"/>
      <c r="B867" s="2234"/>
      <c r="C867" s="2210"/>
      <c r="D867" s="2234"/>
      <c r="E867" s="2374"/>
      <c r="F867" s="2235"/>
      <c r="G867" s="2235"/>
      <c r="H867" s="2210"/>
      <c r="I867" s="2210"/>
      <c r="J867" s="2210"/>
      <c r="K867" s="2211"/>
    </row>
    <row r="868" spans="1:11">
      <c r="A868" s="2241"/>
      <c r="B868" s="2234"/>
      <c r="C868" s="2210"/>
      <c r="D868" s="2234"/>
      <c r="E868" s="2374"/>
      <c r="F868" s="2235"/>
      <c r="G868" s="2235"/>
      <c r="H868" s="2210"/>
      <c r="I868" s="2210"/>
      <c r="J868" s="2210"/>
      <c r="K868" s="2211"/>
    </row>
    <row r="869" spans="1:11">
      <c r="A869" s="2241"/>
      <c r="B869" s="2234"/>
      <c r="C869" s="2210"/>
      <c r="D869" s="2234"/>
      <c r="E869" s="2374"/>
      <c r="F869" s="2235"/>
      <c r="G869" s="2235"/>
      <c r="H869" s="2210"/>
      <c r="I869" s="2210"/>
      <c r="J869" s="2210"/>
      <c r="K869" s="2211"/>
    </row>
    <row r="870" spans="1:11">
      <c r="A870" s="2241"/>
      <c r="B870" s="2234"/>
      <c r="C870" s="2210"/>
      <c r="D870" s="2234"/>
      <c r="E870" s="2374"/>
      <c r="F870" s="2235"/>
      <c r="G870" s="2235"/>
      <c r="H870" s="2210"/>
      <c r="I870" s="2210"/>
      <c r="J870" s="2210"/>
      <c r="K870" s="2211"/>
    </row>
    <row r="871" spans="1:11">
      <c r="A871" s="2241"/>
      <c r="B871" s="2234"/>
      <c r="C871" s="2210"/>
      <c r="D871" s="2234"/>
      <c r="E871" s="2374"/>
      <c r="F871" s="2235"/>
      <c r="G871" s="2235"/>
      <c r="H871" s="2210"/>
      <c r="I871" s="2210"/>
      <c r="J871" s="2210"/>
      <c r="K871" s="2211"/>
    </row>
    <row r="872" spans="1:11">
      <c r="A872" s="2241"/>
      <c r="B872" s="2234"/>
      <c r="C872" s="2210"/>
      <c r="D872" s="2234"/>
      <c r="E872" s="2374"/>
      <c r="F872" s="2235"/>
      <c r="G872" s="2235"/>
      <c r="H872" s="2210"/>
      <c r="I872" s="2210"/>
      <c r="J872" s="2210"/>
      <c r="K872" s="2211"/>
    </row>
    <row r="873" spans="1:11">
      <c r="A873" s="2241"/>
      <c r="B873" s="2234"/>
      <c r="C873" s="2210"/>
      <c r="D873" s="2234"/>
      <c r="E873" s="2374"/>
      <c r="F873" s="2235"/>
      <c r="G873" s="2235"/>
      <c r="H873" s="2210"/>
      <c r="I873" s="2210"/>
      <c r="J873" s="2210"/>
      <c r="K873" s="2211"/>
    </row>
    <row r="874" spans="1:11">
      <c r="A874" s="2241"/>
      <c r="B874" s="2234"/>
      <c r="C874" s="2210"/>
      <c r="D874" s="2234"/>
      <c r="E874" s="2374"/>
      <c r="F874" s="2235"/>
      <c r="G874" s="2235"/>
      <c r="H874" s="2210"/>
      <c r="I874" s="2210"/>
      <c r="J874" s="2210"/>
      <c r="K874" s="2211"/>
    </row>
    <row r="875" spans="1:11">
      <c r="A875" s="2241"/>
      <c r="B875" s="2234"/>
      <c r="C875" s="2210"/>
      <c r="D875" s="2234"/>
      <c r="E875" s="2374"/>
      <c r="F875" s="2235"/>
      <c r="G875" s="2235"/>
      <c r="H875" s="2210"/>
      <c r="I875" s="2210"/>
      <c r="J875" s="2210"/>
      <c r="K875" s="2211"/>
    </row>
    <row r="876" spans="1:11">
      <c r="A876" s="2241"/>
      <c r="B876" s="2234"/>
      <c r="C876" s="2210"/>
      <c r="D876" s="2234"/>
      <c r="E876" s="2374"/>
      <c r="F876" s="2235"/>
      <c r="G876" s="2235"/>
      <c r="H876" s="2210"/>
      <c r="I876" s="2210"/>
      <c r="J876" s="2210"/>
      <c r="K876" s="2211"/>
    </row>
    <row r="877" spans="1:11">
      <c r="A877" s="2241"/>
      <c r="B877" s="2234"/>
      <c r="C877" s="2210"/>
      <c r="D877" s="2234"/>
      <c r="E877" s="2374"/>
      <c r="F877" s="2235"/>
      <c r="G877" s="2235"/>
      <c r="H877" s="2210"/>
      <c r="I877" s="2210"/>
      <c r="J877" s="2210"/>
      <c r="K877" s="2211"/>
    </row>
    <row r="878" spans="1:11">
      <c r="A878" s="2241"/>
      <c r="B878" s="2234"/>
      <c r="C878" s="2210"/>
      <c r="D878" s="2234"/>
      <c r="E878" s="2374"/>
      <c r="F878" s="2235"/>
      <c r="G878" s="2235"/>
      <c r="H878" s="2210"/>
      <c r="I878" s="2210"/>
      <c r="J878" s="2210"/>
      <c r="K878" s="2211"/>
    </row>
    <row r="879" spans="1:11">
      <c r="A879" s="2241"/>
      <c r="B879" s="2234"/>
      <c r="C879" s="2210"/>
      <c r="D879" s="2234"/>
      <c r="E879" s="2374"/>
      <c r="F879" s="2235"/>
      <c r="G879" s="2235"/>
      <c r="H879" s="2210"/>
      <c r="I879" s="2210"/>
      <c r="J879" s="2210"/>
      <c r="K879" s="2211"/>
    </row>
    <row r="880" spans="1:11">
      <c r="A880" s="2241"/>
      <c r="B880" s="2234"/>
      <c r="C880" s="2210"/>
      <c r="D880" s="2234"/>
      <c r="E880" s="2374"/>
      <c r="F880" s="2235"/>
      <c r="G880" s="2235"/>
      <c r="H880" s="2210"/>
      <c r="I880" s="2210"/>
      <c r="J880" s="2210"/>
      <c r="K880" s="2211"/>
    </row>
    <row r="881" spans="1:11">
      <c r="A881" s="2241"/>
      <c r="B881" s="2234"/>
      <c r="C881" s="2210"/>
      <c r="D881" s="2234"/>
      <c r="E881" s="2374"/>
      <c r="F881" s="2235"/>
      <c r="G881" s="2235"/>
      <c r="H881" s="2210"/>
      <c r="I881" s="2210"/>
      <c r="J881" s="2210"/>
      <c r="K881" s="2211"/>
    </row>
    <row r="882" spans="1:11">
      <c r="A882" s="2241"/>
      <c r="B882" s="2234"/>
      <c r="C882" s="2210"/>
      <c r="D882" s="2234"/>
      <c r="E882" s="2374"/>
      <c r="F882" s="2235"/>
      <c r="G882" s="2235"/>
      <c r="H882" s="2210"/>
      <c r="I882" s="2210"/>
      <c r="J882" s="2210"/>
      <c r="K882" s="2211"/>
    </row>
    <row r="883" spans="1:11">
      <c r="A883" s="2241"/>
      <c r="B883" s="2234"/>
      <c r="C883" s="2210"/>
      <c r="D883" s="2234"/>
      <c r="E883" s="2374"/>
      <c r="F883" s="2235"/>
      <c r="G883" s="2235"/>
      <c r="H883" s="2210"/>
      <c r="I883" s="2210"/>
      <c r="J883" s="2210"/>
      <c r="K883" s="2211"/>
    </row>
    <row r="884" spans="1:11">
      <c r="A884" s="2241"/>
      <c r="B884" s="2234"/>
      <c r="C884" s="2210"/>
      <c r="D884" s="2234"/>
      <c r="E884" s="2374"/>
      <c r="F884" s="2235"/>
      <c r="G884" s="2235"/>
      <c r="H884" s="2210"/>
      <c r="I884" s="2210"/>
      <c r="J884" s="2210"/>
      <c r="K884" s="2211"/>
    </row>
    <row r="885" spans="1:11">
      <c r="A885" s="2241"/>
      <c r="B885" s="2234"/>
      <c r="C885" s="2210"/>
      <c r="D885" s="2234"/>
      <c r="E885" s="2374"/>
      <c r="F885" s="2235"/>
      <c r="G885" s="2235"/>
      <c r="H885" s="2210"/>
      <c r="I885" s="2210"/>
      <c r="J885" s="2210"/>
      <c r="K885" s="2211"/>
    </row>
    <row r="886" spans="1:11">
      <c r="A886" s="2241"/>
      <c r="B886" s="2234"/>
      <c r="C886" s="2210"/>
      <c r="D886" s="2234"/>
      <c r="E886" s="2374"/>
      <c r="F886" s="2235"/>
      <c r="G886" s="2235"/>
      <c r="H886" s="2210"/>
      <c r="I886" s="2210"/>
      <c r="J886" s="2210"/>
      <c r="K886" s="2211"/>
    </row>
    <row r="887" spans="1:11">
      <c r="A887" s="2241"/>
      <c r="B887" s="2234"/>
      <c r="C887" s="2210"/>
      <c r="D887" s="2234"/>
      <c r="E887" s="2374"/>
      <c r="F887" s="2235"/>
      <c r="G887" s="2235"/>
      <c r="H887" s="2210"/>
      <c r="I887" s="2210"/>
      <c r="J887" s="2210"/>
      <c r="K887" s="2211"/>
    </row>
    <row r="888" spans="1:11">
      <c r="A888" s="2241"/>
      <c r="B888" s="2234"/>
      <c r="C888" s="2210"/>
      <c r="D888" s="2234"/>
      <c r="E888" s="2374"/>
      <c r="F888" s="2235"/>
      <c r="G888" s="2235"/>
      <c r="H888" s="2210"/>
      <c r="I888" s="2210"/>
      <c r="J888" s="2210"/>
      <c r="K888" s="2211"/>
    </row>
    <row r="889" spans="1:11">
      <c r="A889" s="2241"/>
      <c r="B889" s="2234"/>
      <c r="C889" s="2210"/>
      <c r="D889" s="2234"/>
      <c r="E889" s="2374"/>
      <c r="F889" s="2235"/>
      <c r="G889" s="2235"/>
      <c r="H889" s="2210"/>
      <c r="I889" s="2210"/>
      <c r="J889" s="2210"/>
      <c r="K889" s="2211"/>
    </row>
    <row r="890" spans="1:11">
      <c r="A890" s="2241"/>
      <c r="B890" s="2234"/>
      <c r="C890" s="2210"/>
      <c r="D890" s="2234"/>
      <c r="E890" s="2374"/>
      <c r="F890" s="2235"/>
      <c r="G890" s="2235"/>
      <c r="H890" s="2210"/>
      <c r="I890" s="2210"/>
      <c r="J890" s="2210"/>
      <c r="K890" s="2211"/>
    </row>
    <row r="891" spans="1:11">
      <c r="A891" s="2241"/>
      <c r="B891" s="2234"/>
      <c r="C891" s="2210"/>
      <c r="D891" s="2234"/>
      <c r="E891" s="2374"/>
      <c r="F891" s="2235"/>
      <c r="G891" s="2235"/>
      <c r="H891" s="2210"/>
      <c r="I891" s="2210"/>
      <c r="J891" s="2210"/>
      <c r="K891" s="2211"/>
    </row>
    <row r="892" spans="1:11">
      <c r="A892" s="2241"/>
      <c r="B892" s="2234"/>
      <c r="C892" s="2210"/>
      <c r="D892" s="2234"/>
      <c r="E892" s="2374"/>
      <c r="F892" s="2235"/>
      <c r="G892" s="2235"/>
      <c r="H892" s="2210"/>
      <c r="I892" s="2210"/>
      <c r="J892" s="2210"/>
      <c r="K892" s="2211"/>
    </row>
    <row r="893" spans="1:11">
      <c r="A893" s="2241"/>
      <c r="B893" s="2234"/>
      <c r="C893" s="2210"/>
      <c r="D893" s="2234"/>
      <c r="E893" s="2374"/>
      <c r="F893" s="2235"/>
      <c r="G893" s="2235"/>
      <c r="H893" s="2210"/>
      <c r="I893" s="2210"/>
      <c r="J893" s="2210"/>
      <c r="K893" s="2211"/>
    </row>
    <row r="894" spans="1:11">
      <c r="A894" s="2241"/>
      <c r="B894" s="2234"/>
      <c r="C894" s="2210"/>
      <c r="D894" s="2234"/>
      <c r="E894" s="2374"/>
      <c r="F894" s="2235"/>
      <c r="G894" s="2235"/>
      <c r="H894" s="2210"/>
      <c r="I894" s="2210"/>
      <c r="J894" s="2210"/>
      <c r="K894" s="2211"/>
    </row>
    <row r="895" spans="1:11">
      <c r="A895" s="2241"/>
      <c r="B895" s="2234"/>
      <c r="C895" s="2210"/>
      <c r="D895" s="2234"/>
      <c r="E895" s="2374"/>
      <c r="F895" s="2235"/>
      <c r="G895" s="2235"/>
      <c r="H895" s="2210"/>
      <c r="I895" s="2210"/>
      <c r="J895" s="2210"/>
      <c r="K895" s="2211"/>
    </row>
    <row r="896" spans="1:11">
      <c r="A896" s="2241"/>
      <c r="B896" s="2234"/>
      <c r="C896" s="2210"/>
      <c r="D896" s="2234"/>
      <c r="E896" s="2374"/>
      <c r="F896" s="2235"/>
      <c r="G896" s="2235"/>
      <c r="H896" s="2210"/>
      <c r="I896" s="2210"/>
      <c r="J896" s="2210"/>
      <c r="K896" s="2211"/>
    </row>
    <row r="897" spans="1:11">
      <c r="A897" s="2241"/>
      <c r="B897" s="2234"/>
      <c r="C897" s="2210"/>
      <c r="D897" s="2234"/>
      <c r="E897" s="2374"/>
      <c r="F897" s="2235"/>
      <c r="G897" s="2235"/>
      <c r="H897" s="2210"/>
      <c r="I897" s="2210"/>
      <c r="J897" s="2210"/>
      <c r="K897" s="2211"/>
    </row>
    <row r="898" spans="1:11">
      <c r="A898" s="2241"/>
      <c r="B898" s="2234"/>
      <c r="C898" s="2210"/>
      <c r="D898" s="2234"/>
      <c r="E898" s="2374"/>
      <c r="F898" s="2235"/>
      <c r="G898" s="2235"/>
      <c r="H898" s="2210"/>
      <c r="I898" s="2210"/>
      <c r="J898" s="2210"/>
      <c r="K898" s="2211"/>
    </row>
    <row r="899" spans="1:11">
      <c r="A899" s="2241"/>
      <c r="B899" s="2234"/>
      <c r="C899" s="2210"/>
      <c r="D899" s="2234"/>
      <c r="E899" s="2374"/>
      <c r="F899" s="2235"/>
      <c r="G899" s="2235"/>
      <c r="H899" s="2210"/>
      <c r="I899" s="2210"/>
      <c r="J899" s="2210"/>
      <c r="K899" s="2211"/>
    </row>
    <row r="900" spans="1:11">
      <c r="A900" s="2241"/>
      <c r="B900" s="2234"/>
      <c r="C900" s="2210"/>
      <c r="D900" s="2234"/>
      <c r="E900" s="2374"/>
      <c r="F900" s="2235"/>
      <c r="G900" s="2235"/>
      <c r="H900" s="2210"/>
      <c r="I900" s="2210"/>
      <c r="J900" s="2210"/>
      <c r="K900" s="2211"/>
    </row>
    <row r="901" spans="1:11">
      <c r="A901" s="2241"/>
      <c r="B901" s="2234"/>
      <c r="C901" s="2210"/>
      <c r="D901" s="2234"/>
      <c r="E901" s="2374"/>
      <c r="F901" s="2235"/>
      <c r="G901" s="2235"/>
      <c r="H901" s="2210"/>
      <c r="I901" s="2210"/>
      <c r="J901" s="2210"/>
      <c r="K901" s="2211"/>
    </row>
    <row r="902" spans="1:11">
      <c r="A902" s="2241"/>
      <c r="B902" s="2234"/>
      <c r="C902" s="2210"/>
      <c r="D902" s="2234"/>
      <c r="E902" s="2374"/>
      <c r="F902" s="2235"/>
      <c r="G902" s="2235"/>
      <c r="H902" s="2210"/>
      <c r="I902" s="2210"/>
      <c r="J902" s="2210"/>
      <c r="K902" s="2211"/>
    </row>
    <row r="903" spans="1:11">
      <c r="A903" s="2241"/>
      <c r="B903" s="2234"/>
      <c r="C903" s="2210"/>
      <c r="D903" s="2234"/>
      <c r="E903" s="2374"/>
      <c r="F903" s="2235"/>
      <c r="G903" s="2235"/>
      <c r="H903" s="2210"/>
      <c r="I903" s="2210"/>
      <c r="J903" s="2210"/>
      <c r="K903" s="2211"/>
    </row>
    <row r="904" spans="1:11">
      <c r="A904" s="2241"/>
      <c r="B904" s="2234"/>
      <c r="C904" s="2210"/>
      <c r="D904" s="2234"/>
      <c r="E904" s="2374"/>
      <c r="F904" s="2235"/>
      <c r="G904" s="2235"/>
      <c r="H904" s="2210"/>
      <c r="I904" s="2210"/>
      <c r="J904" s="2210"/>
      <c r="K904" s="2211"/>
    </row>
    <row r="905" spans="1:11">
      <c r="A905" s="2241"/>
      <c r="B905" s="2234"/>
      <c r="C905" s="2210"/>
      <c r="D905" s="2234"/>
      <c r="E905" s="2374"/>
      <c r="F905" s="2235"/>
      <c r="G905" s="2235"/>
      <c r="H905" s="2210"/>
      <c r="I905" s="2210"/>
      <c r="J905" s="2210"/>
      <c r="K905" s="2211"/>
    </row>
    <row r="906" spans="1:11">
      <c r="A906" s="2241"/>
      <c r="B906" s="2234"/>
      <c r="C906" s="2210"/>
      <c r="D906" s="2234"/>
      <c r="E906" s="2374"/>
      <c r="F906" s="2235"/>
      <c r="G906" s="2235"/>
      <c r="H906" s="2210"/>
      <c r="I906" s="2210"/>
      <c r="J906" s="2210"/>
      <c r="K906" s="2211"/>
    </row>
    <row r="907" spans="1:11">
      <c r="A907" s="2241"/>
      <c r="B907" s="2234"/>
      <c r="C907" s="2210"/>
      <c r="D907" s="2234"/>
      <c r="E907" s="2374"/>
      <c r="F907" s="2235"/>
      <c r="G907" s="2235"/>
      <c r="H907" s="2210"/>
      <c r="I907" s="2210"/>
      <c r="J907" s="2210"/>
      <c r="K907" s="2211"/>
    </row>
    <row r="908" spans="1:11">
      <c r="A908" s="2241"/>
      <c r="B908" s="2234"/>
      <c r="C908" s="2210"/>
      <c r="D908" s="2234"/>
      <c r="E908" s="2374"/>
      <c r="F908" s="2235"/>
      <c r="G908" s="2235"/>
      <c r="H908" s="2210"/>
      <c r="I908" s="2210"/>
      <c r="J908" s="2210"/>
      <c r="K908" s="2211"/>
    </row>
    <row r="909" spans="1:11">
      <c r="A909" s="2241"/>
      <c r="B909" s="2234"/>
      <c r="C909" s="2210"/>
      <c r="D909" s="2234"/>
      <c r="E909" s="2374"/>
      <c r="F909" s="2235"/>
      <c r="G909" s="2235"/>
      <c r="H909" s="2210"/>
      <c r="I909" s="2210"/>
      <c r="J909" s="2210"/>
      <c r="K909" s="2211"/>
    </row>
    <row r="910" spans="1:11">
      <c r="A910" s="2241"/>
      <c r="B910" s="2234"/>
      <c r="C910" s="2210"/>
      <c r="D910" s="2234"/>
      <c r="E910" s="2374"/>
      <c r="F910" s="2235"/>
      <c r="G910" s="2235"/>
      <c r="H910" s="2210"/>
      <c r="I910" s="2210"/>
      <c r="J910" s="2210"/>
      <c r="K910" s="2211"/>
    </row>
    <row r="911" spans="1:11">
      <c r="A911" s="2241"/>
      <c r="B911" s="2234"/>
      <c r="C911" s="2210"/>
      <c r="D911" s="2234"/>
      <c r="E911" s="2374"/>
      <c r="F911" s="2235"/>
      <c r="G911" s="2235"/>
      <c r="H911" s="2210"/>
      <c r="I911" s="2210"/>
      <c r="J911" s="2210"/>
      <c r="K911" s="2211"/>
    </row>
    <row r="912" spans="1:11">
      <c r="A912" s="2241"/>
      <c r="B912" s="2234"/>
      <c r="C912" s="2210"/>
      <c r="D912" s="2234"/>
      <c r="E912" s="2374"/>
      <c r="F912" s="2235"/>
      <c r="G912" s="2235"/>
      <c r="H912" s="2210"/>
      <c r="I912" s="2210"/>
      <c r="J912" s="2210"/>
      <c r="K912" s="2211"/>
    </row>
    <row r="913" spans="1:11">
      <c r="A913" s="2241"/>
      <c r="B913" s="2234"/>
      <c r="C913" s="2210"/>
      <c r="D913" s="2234"/>
      <c r="E913" s="2374"/>
      <c r="F913" s="2235"/>
      <c r="G913" s="2235"/>
      <c r="H913" s="2210"/>
      <c r="I913" s="2210"/>
      <c r="J913" s="2210"/>
      <c r="K913" s="2211"/>
    </row>
    <row r="914" spans="1:11">
      <c r="A914" s="2241"/>
      <c r="B914" s="2234"/>
      <c r="C914" s="2210"/>
      <c r="D914" s="2234"/>
      <c r="E914" s="2374"/>
      <c r="F914" s="2235"/>
      <c r="G914" s="2235"/>
      <c r="H914" s="2210"/>
      <c r="I914" s="2210"/>
      <c r="J914" s="2210"/>
      <c r="K914" s="2211"/>
    </row>
    <row r="915" spans="1:11">
      <c r="A915" s="2241"/>
      <c r="B915" s="2234"/>
      <c r="C915" s="2210"/>
      <c r="D915" s="2234"/>
      <c r="E915" s="2374"/>
      <c r="F915" s="2235"/>
      <c r="G915" s="2235"/>
      <c r="H915" s="2210"/>
      <c r="I915" s="2210"/>
      <c r="J915" s="2210"/>
      <c r="K915" s="2211"/>
    </row>
    <row r="916" spans="1:11">
      <c r="A916" s="2241"/>
      <c r="B916" s="2234"/>
      <c r="C916" s="2210"/>
      <c r="D916" s="2234"/>
      <c r="E916" s="2374"/>
      <c r="F916" s="2235"/>
      <c r="G916" s="2235"/>
      <c r="H916" s="2210"/>
      <c r="I916" s="2210"/>
      <c r="J916" s="2210"/>
      <c r="K916" s="2211"/>
    </row>
    <row r="917" spans="1:11">
      <c r="A917" s="2241"/>
      <c r="B917" s="2234"/>
      <c r="C917" s="2210"/>
      <c r="D917" s="2234"/>
      <c r="E917" s="2374"/>
      <c r="F917" s="2235"/>
      <c r="G917" s="2235"/>
      <c r="H917" s="2210"/>
      <c r="I917" s="2210"/>
      <c r="J917" s="2210"/>
      <c r="K917" s="2211"/>
    </row>
    <row r="918" spans="1:11">
      <c r="A918" s="2241"/>
      <c r="B918" s="2234"/>
      <c r="C918" s="2210"/>
      <c r="D918" s="2234"/>
      <c r="E918" s="2374"/>
      <c r="F918" s="2235"/>
      <c r="G918" s="2235"/>
      <c r="H918" s="2210"/>
      <c r="I918" s="2210"/>
      <c r="J918" s="2210"/>
      <c r="K918" s="2211"/>
    </row>
    <row r="919" spans="1:11">
      <c r="A919" s="2241"/>
      <c r="B919" s="2234"/>
      <c r="C919" s="2210"/>
      <c r="D919" s="2234"/>
      <c r="E919" s="2374"/>
      <c r="F919" s="2235"/>
      <c r="G919" s="2235"/>
      <c r="H919" s="2210"/>
      <c r="I919" s="2210"/>
      <c r="J919" s="2210"/>
      <c r="K919" s="2211"/>
    </row>
    <row r="920" spans="1:11">
      <c r="A920" s="2241"/>
      <c r="B920" s="2234"/>
      <c r="C920" s="2210"/>
      <c r="D920" s="2234"/>
      <c r="E920" s="2374"/>
      <c r="F920" s="2235"/>
      <c r="G920" s="2235"/>
      <c r="H920" s="2210"/>
      <c r="I920" s="2210"/>
      <c r="J920" s="2210"/>
      <c r="K920" s="2211"/>
    </row>
    <row r="921" spans="1:11">
      <c r="A921" s="2241"/>
      <c r="B921" s="2234"/>
      <c r="C921" s="2210"/>
      <c r="D921" s="2234"/>
      <c r="E921" s="2374"/>
      <c r="F921" s="2235"/>
      <c r="G921" s="2235"/>
      <c r="H921" s="2210"/>
      <c r="I921" s="2210"/>
      <c r="J921" s="2210"/>
      <c r="K921" s="2211"/>
    </row>
    <row r="922" spans="1:11">
      <c r="A922" s="2241"/>
      <c r="B922" s="2234"/>
      <c r="C922" s="2210"/>
      <c r="D922" s="2234"/>
      <c r="E922" s="2374"/>
      <c r="F922" s="2235"/>
      <c r="G922" s="2235"/>
      <c r="H922" s="2210"/>
      <c r="I922" s="2210"/>
      <c r="J922" s="2210"/>
      <c r="K922" s="2211"/>
    </row>
    <row r="923" spans="1:11">
      <c r="A923" s="2241"/>
      <c r="B923" s="2234"/>
      <c r="C923" s="2210"/>
      <c r="D923" s="2234"/>
      <c r="E923" s="2374"/>
      <c r="F923" s="2235"/>
      <c r="G923" s="2235"/>
      <c r="H923" s="2210"/>
      <c r="I923" s="2210"/>
      <c r="J923" s="2210"/>
      <c r="K923" s="2211"/>
    </row>
    <row r="924" spans="1:11">
      <c r="A924" s="2241"/>
      <c r="B924" s="2234"/>
      <c r="C924" s="2210"/>
      <c r="D924" s="2234"/>
      <c r="E924" s="2374"/>
      <c r="F924" s="2235"/>
      <c r="G924" s="2235"/>
      <c r="H924" s="2210"/>
      <c r="I924" s="2210"/>
      <c r="J924" s="2210"/>
      <c r="K924" s="2211"/>
    </row>
    <row r="925" spans="1:11">
      <c r="A925" s="2241"/>
      <c r="B925" s="2234"/>
      <c r="C925" s="2210"/>
      <c r="D925" s="2234"/>
      <c r="E925" s="2374"/>
      <c r="F925" s="2235"/>
      <c r="G925" s="2235"/>
      <c r="H925" s="2210"/>
      <c r="I925" s="2210"/>
      <c r="J925" s="2210"/>
      <c r="K925" s="2211"/>
    </row>
    <row r="926" spans="1:11">
      <c r="A926" s="2241"/>
      <c r="B926" s="2234"/>
      <c r="C926" s="2210"/>
      <c r="D926" s="2234"/>
      <c r="E926" s="2374"/>
      <c r="F926" s="2235"/>
      <c r="G926" s="2235"/>
      <c r="H926" s="2210"/>
      <c r="I926" s="2210"/>
      <c r="J926" s="2210"/>
      <c r="K926" s="2211"/>
    </row>
    <row r="927" spans="1:11">
      <c r="A927" s="2241"/>
      <c r="B927" s="2234"/>
      <c r="C927" s="2210"/>
      <c r="D927" s="2234"/>
      <c r="E927" s="2374"/>
      <c r="F927" s="2235"/>
      <c r="G927" s="2235"/>
      <c r="H927" s="2210"/>
      <c r="I927" s="2210"/>
      <c r="J927" s="2210"/>
      <c r="K927" s="2211"/>
    </row>
    <row r="928" spans="1:11">
      <c r="A928" s="2241"/>
      <c r="B928" s="2234"/>
      <c r="C928" s="2210"/>
      <c r="D928" s="2234"/>
      <c r="E928" s="2374"/>
      <c r="F928" s="2235"/>
      <c r="G928" s="2235"/>
      <c r="H928" s="2210"/>
      <c r="I928" s="2210"/>
      <c r="J928" s="2210"/>
      <c r="K928" s="2211"/>
    </row>
    <row r="929" spans="1:11">
      <c r="A929" s="2241"/>
      <c r="B929" s="2234"/>
      <c r="C929" s="2210"/>
      <c r="D929" s="2234"/>
      <c r="E929" s="2374"/>
      <c r="F929" s="2235"/>
      <c r="G929" s="2235"/>
      <c r="H929" s="2210"/>
      <c r="I929" s="2210"/>
      <c r="J929" s="2210"/>
      <c r="K929" s="2211"/>
    </row>
    <row r="930" spans="1:11">
      <c r="A930" s="2241"/>
      <c r="B930" s="2234"/>
      <c r="C930" s="2210"/>
      <c r="D930" s="2234"/>
      <c r="E930" s="2374"/>
      <c r="F930" s="2235"/>
      <c r="G930" s="2235"/>
      <c r="H930" s="2210"/>
      <c r="I930" s="2210"/>
      <c r="J930" s="2210"/>
      <c r="K930" s="2211"/>
    </row>
    <row r="931" spans="1:11">
      <c r="A931" s="2241"/>
      <c r="B931" s="2234"/>
      <c r="C931" s="2210"/>
      <c r="D931" s="2234"/>
      <c r="E931" s="2374"/>
      <c r="F931" s="2235"/>
      <c r="G931" s="2235"/>
      <c r="H931" s="2210"/>
      <c r="I931" s="2210"/>
      <c r="J931" s="2210"/>
      <c r="K931" s="2211"/>
    </row>
    <row r="932" spans="1:11">
      <c r="A932" s="2241"/>
      <c r="B932" s="2234"/>
      <c r="C932" s="2210"/>
      <c r="D932" s="2234"/>
      <c r="E932" s="2374"/>
      <c r="F932" s="2235"/>
      <c r="G932" s="2235"/>
      <c r="H932" s="2210"/>
      <c r="I932" s="2210"/>
      <c r="J932" s="2210"/>
      <c r="K932" s="2211"/>
    </row>
    <row r="933" spans="1:11">
      <c r="A933" s="2241"/>
      <c r="B933" s="2234"/>
      <c r="C933" s="2210"/>
      <c r="D933" s="2234"/>
      <c r="E933" s="2374"/>
      <c r="F933" s="2235"/>
      <c r="G933" s="2235"/>
      <c r="H933" s="2210"/>
      <c r="I933" s="2210"/>
      <c r="J933" s="2210"/>
      <c r="K933" s="2211"/>
    </row>
    <row r="934" spans="1:11">
      <c r="A934" s="2241"/>
      <c r="B934" s="2234"/>
      <c r="C934" s="2210"/>
      <c r="D934" s="2234"/>
      <c r="E934" s="2374"/>
      <c r="F934" s="2235"/>
      <c r="G934" s="2235"/>
      <c r="H934" s="2210"/>
      <c r="I934" s="2210"/>
      <c r="J934" s="2210"/>
      <c r="K934" s="2211"/>
    </row>
    <row r="935" spans="1:11">
      <c r="A935" s="2241"/>
      <c r="B935" s="2234"/>
      <c r="C935" s="2210"/>
      <c r="D935" s="2234"/>
      <c r="E935" s="2374"/>
      <c r="F935" s="2235"/>
      <c r="G935" s="2235"/>
      <c r="H935" s="2210"/>
      <c r="I935" s="2210"/>
      <c r="J935" s="2210"/>
      <c r="K935" s="2211"/>
    </row>
    <row r="936" spans="1:11">
      <c r="A936" s="2241"/>
      <c r="B936" s="2234"/>
      <c r="C936" s="2210"/>
      <c r="D936" s="2234"/>
      <c r="E936" s="2374"/>
      <c r="F936" s="2235"/>
      <c r="G936" s="2235"/>
      <c r="H936" s="2210"/>
      <c r="I936" s="2210"/>
      <c r="J936" s="2210"/>
      <c r="K936" s="2211"/>
    </row>
    <row r="937" spans="1:11">
      <c r="A937" s="2241"/>
      <c r="B937" s="2234"/>
      <c r="C937" s="2210"/>
      <c r="D937" s="2234"/>
      <c r="E937" s="2374"/>
      <c r="F937" s="2235"/>
      <c r="G937" s="2235"/>
      <c r="H937" s="2210"/>
      <c r="I937" s="2210"/>
      <c r="J937" s="2210"/>
      <c r="K937" s="2211"/>
    </row>
    <row r="938" spans="1:11">
      <c r="A938" s="2241"/>
      <c r="B938" s="2234"/>
      <c r="C938" s="2210"/>
      <c r="D938" s="2234"/>
      <c r="E938" s="2374"/>
      <c r="F938" s="2235"/>
      <c r="G938" s="2235"/>
      <c r="H938" s="2210"/>
      <c r="I938" s="2210"/>
      <c r="J938" s="2210"/>
      <c r="K938" s="2211"/>
    </row>
    <row r="939" spans="1:11">
      <c r="A939" s="2241"/>
      <c r="B939" s="2234"/>
      <c r="C939" s="2210"/>
      <c r="D939" s="2234"/>
      <c r="E939" s="2374"/>
      <c r="F939" s="2235"/>
      <c r="G939" s="2235"/>
      <c r="H939" s="2210"/>
      <c r="I939" s="2210"/>
      <c r="J939" s="2210"/>
      <c r="K939" s="2211"/>
    </row>
    <row r="940" spans="1:11">
      <c r="A940" s="2241"/>
      <c r="B940" s="2234"/>
      <c r="C940" s="2210"/>
      <c r="D940" s="2234"/>
      <c r="E940" s="2374"/>
      <c r="F940" s="2235"/>
      <c r="G940" s="2235"/>
      <c r="H940" s="2210"/>
      <c r="I940" s="2210"/>
      <c r="J940" s="2210"/>
      <c r="K940" s="2211"/>
    </row>
    <row r="941" spans="1:11">
      <c r="A941" s="2241"/>
      <c r="B941" s="2234"/>
      <c r="C941" s="2210"/>
      <c r="D941" s="2234"/>
      <c r="E941" s="2374"/>
      <c r="F941" s="2235"/>
      <c r="G941" s="2235"/>
      <c r="H941" s="2210"/>
      <c r="I941" s="2210"/>
      <c r="J941" s="2210"/>
      <c r="K941" s="2211"/>
    </row>
    <row r="942" spans="1:11">
      <c r="A942" s="2241"/>
      <c r="B942" s="2234"/>
      <c r="C942" s="2210"/>
      <c r="D942" s="2234"/>
      <c r="E942" s="2374"/>
      <c r="F942" s="2235"/>
      <c r="G942" s="2235"/>
      <c r="H942" s="2210"/>
      <c r="I942" s="2210"/>
      <c r="J942" s="2210"/>
      <c r="K942" s="2211"/>
    </row>
    <row r="943" spans="1:11">
      <c r="A943" s="2241"/>
      <c r="B943" s="2234"/>
      <c r="C943" s="2210"/>
      <c r="D943" s="2234"/>
      <c r="E943" s="2374"/>
      <c r="F943" s="2235"/>
      <c r="G943" s="2235"/>
      <c r="H943" s="2210"/>
      <c r="I943" s="2210"/>
      <c r="J943" s="2210"/>
      <c r="K943" s="2211"/>
    </row>
    <row r="944" spans="1:11">
      <c r="A944" s="2241"/>
      <c r="B944" s="2234"/>
      <c r="C944" s="2210"/>
      <c r="D944" s="2234"/>
      <c r="E944" s="2374"/>
      <c r="F944" s="2235"/>
      <c r="G944" s="2235"/>
      <c r="H944" s="2210"/>
      <c r="I944" s="2210"/>
      <c r="J944" s="2210"/>
      <c r="K944" s="2211"/>
    </row>
    <row r="945" spans="1:11">
      <c r="A945" s="2241"/>
      <c r="B945" s="2234"/>
      <c r="C945" s="2210"/>
      <c r="D945" s="2234"/>
      <c r="E945" s="2374"/>
      <c r="F945" s="2235"/>
      <c r="G945" s="2235"/>
      <c r="H945" s="2210"/>
      <c r="I945" s="2210"/>
      <c r="J945" s="2210"/>
      <c r="K945" s="2211"/>
    </row>
    <row r="946" spans="1:11">
      <c r="A946" s="2241"/>
      <c r="B946" s="2234"/>
      <c r="C946" s="2210"/>
      <c r="D946" s="2234"/>
      <c r="E946" s="2374"/>
      <c r="F946" s="2235"/>
      <c r="G946" s="2235"/>
      <c r="H946" s="2210"/>
      <c r="I946" s="2210"/>
      <c r="J946" s="2210"/>
      <c r="K946" s="2211"/>
    </row>
    <row r="947" spans="1:11">
      <c r="A947" s="2241"/>
      <c r="B947" s="2234"/>
      <c r="C947" s="2210"/>
      <c r="D947" s="2234"/>
      <c r="E947" s="2374"/>
      <c r="F947" s="2235"/>
      <c r="G947" s="2235"/>
      <c r="H947" s="2210"/>
      <c r="I947" s="2210"/>
      <c r="J947" s="2210"/>
      <c r="K947" s="2211"/>
    </row>
    <row r="948" spans="1:11">
      <c r="A948" s="2241"/>
      <c r="B948" s="2234"/>
      <c r="C948" s="2210"/>
      <c r="D948" s="2234"/>
      <c r="E948" s="2374"/>
      <c r="F948" s="2235"/>
      <c r="G948" s="2235"/>
      <c r="H948" s="2210"/>
      <c r="I948" s="2210"/>
      <c r="J948" s="2210"/>
      <c r="K948" s="2211"/>
    </row>
    <row r="949" spans="1:11">
      <c r="A949" s="2241"/>
      <c r="B949" s="2234"/>
      <c r="C949" s="2210"/>
      <c r="D949" s="2234"/>
      <c r="E949" s="2374"/>
      <c r="F949" s="2235"/>
      <c r="G949" s="2235"/>
      <c r="H949" s="2210"/>
      <c r="I949" s="2210"/>
      <c r="J949" s="2210"/>
      <c r="K949" s="2211"/>
    </row>
    <row r="950" spans="1:11">
      <c r="A950" s="2241"/>
      <c r="B950" s="2234"/>
      <c r="C950" s="2210"/>
      <c r="D950" s="2234"/>
      <c r="E950" s="2374"/>
      <c r="F950" s="2235"/>
      <c r="G950" s="2235"/>
      <c r="H950" s="2210"/>
      <c r="I950" s="2210"/>
      <c r="J950" s="2210"/>
      <c r="K950" s="2211"/>
    </row>
    <row r="951" spans="1:11">
      <c r="A951" s="2241"/>
      <c r="B951" s="2234"/>
      <c r="C951" s="2210"/>
      <c r="D951" s="2234"/>
      <c r="E951" s="2374"/>
      <c r="F951" s="2235"/>
      <c r="G951" s="2235"/>
      <c r="H951" s="2210"/>
      <c r="I951" s="2210"/>
      <c r="J951" s="2210"/>
      <c r="K951" s="2211"/>
    </row>
    <row r="952" spans="1:11">
      <c r="A952" s="2241"/>
      <c r="B952" s="2234"/>
      <c r="C952" s="2210"/>
      <c r="D952" s="2234"/>
      <c r="E952" s="2374"/>
      <c r="F952" s="2235"/>
      <c r="G952" s="2235"/>
      <c r="H952" s="2210"/>
      <c r="I952" s="2210"/>
      <c r="J952" s="2210"/>
      <c r="K952" s="2211"/>
    </row>
    <row r="953" spans="1:11">
      <c r="A953" s="2241"/>
      <c r="B953" s="2234"/>
      <c r="C953" s="2210"/>
      <c r="D953" s="2234"/>
      <c r="E953" s="2374"/>
      <c r="F953" s="2235"/>
      <c r="G953" s="2235"/>
      <c r="H953" s="2210"/>
      <c r="I953" s="2210"/>
      <c r="J953" s="2210"/>
      <c r="K953" s="2211"/>
    </row>
    <row r="954" spans="1:11">
      <c r="A954" s="2241"/>
      <c r="B954" s="2234"/>
      <c r="C954" s="2210"/>
      <c r="D954" s="2234"/>
      <c r="E954" s="2374"/>
      <c r="F954" s="2235"/>
      <c r="G954" s="2235"/>
      <c r="H954" s="2210"/>
      <c r="I954" s="2210"/>
      <c r="J954" s="2210"/>
      <c r="K954" s="2211"/>
    </row>
    <row r="955" spans="1:11">
      <c r="A955" s="2241"/>
      <c r="B955" s="2234"/>
      <c r="C955" s="2210"/>
      <c r="D955" s="2234"/>
      <c r="E955" s="2374"/>
      <c r="F955" s="2235"/>
      <c r="G955" s="2235"/>
      <c r="H955" s="2210"/>
      <c r="I955" s="2210"/>
      <c r="J955" s="2210"/>
      <c r="K955" s="2211"/>
    </row>
    <row r="956" spans="1:11">
      <c r="A956" s="2241"/>
      <c r="B956" s="2234"/>
      <c r="C956" s="2210"/>
      <c r="D956" s="2234"/>
      <c r="E956" s="2374"/>
      <c r="F956" s="2235"/>
      <c r="G956" s="2235"/>
      <c r="H956" s="2210"/>
      <c r="I956" s="2210"/>
      <c r="J956" s="2210"/>
      <c r="K956" s="2211"/>
    </row>
    <row r="957" spans="1:11">
      <c r="A957" s="2241"/>
      <c r="B957" s="2234"/>
      <c r="C957" s="2210"/>
      <c r="D957" s="2234"/>
      <c r="E957" s="2374"/>
      <c r="F957" s="2235"/>
      <c r="G957" s="2235"/>
      <c r="H957" s="2210"/>
      <c r="I957" s="2210"/>
      <c r="J957" s="2210"/>
      <c r="K957" s="2211"/>
    </row>
    <row r="958" spans="1:11">
      <c r="A958" s="2241"/>
      <c r="B958" s="2234"/>
      <c r="C958" s="2210"/>
      <c r="D958" s="2234"/>
      <c r="E958" s="2374"/>
      <c r="F958" s="2235"/>
      <c r="G958" s="2235"/>
      <c r="H958" s="2210"/>
      <c r="I958" s="2210"/>
      <c r="J958" s="2210"/>
      <c r="K958" s="2211"/>
    </row>
    <row r="959" spans="1:11">
      <c r="A959" s="2241"/>
      <c r="B959" s="2234"/>
      <c r="C959" s="2210"/>
      <c r="D959" s="2234"/>
      <c r="E959" s="2374"/>
      <c r="F959" s="2235"/>
      <c r="G959" s="2235"/>
      <c r="H959" s="2210"/>
      <c r="I959" s="2210"/>
      <c r="J959" s="2210"/>
      <c r="K959" s="2211"/>
    </row>
    <row r="960" spans="1:11">
      <c r="A960" s="2241"/>
      <c r="B960" s="2234"/>
      <c r="C960" s="2210"/>
      <c r="D960" s="2234"/>
      <c r="E960" s="2374"/>
      <c r="F960" s="2235"/>
      <c r="G960" s="2235"/>
      <c r="H960" s="2210"/>
      <c r="I960" s="2210"/>
      <c r="J960" s="2210"/>
      <c r="K960" s="2211"/>
    </row>
    <row r="961" spans="1:11">
      <c r="A961" s="2241"/>
      <c r="B961" s="2234"/>
      <c r="C961" s="2210"/>
      <c r="D961" s="2234"/>
      <c r="E961" s="2374"/>
      <c r="F961" s="2235"/>
      <c r="G961" s="2235"/>
      <c r="H961" s="2210"/>
      <c r="I961" s="2210"/>
      <c r="J961" s="2210"/>
      <c r="K961" s="2211"/>
    </row>
    <row r="962" spans="1:11">
      <c r="A962" s="2241"/>
      <c r="B962" s="2234"/>
      <c r="C962" s="2210"/>
      <c r="D962" s="2234"/>
      <c r="E962" s="2374"/>
      <c r="F962" s="2235"/>
      <c r="G962" s="2235"/>
      <c r="H962" s="2210"/>
      <c r="I962" s="2210"/>
      <c r="J962" s="2210"/>
      <c r="K962" s="2211"/>
    </row>
    <row r="963" spans="1:11">
      <c r="A963" s="2241"/>
      <c r="B963" s="2234"/>
      <c r="C963" s="2210"/>
      <c r="D963" s="2234"/>
      <c r="E963" s="2374"/>
      <c r="F963" s="2235"/>
      <c r="G963" s="2235"/>
      <c r="H963" s="2210"/>
      <c r="I963" s="2210"/>
      <c r="J963" s="2210"/>
      <c r="K963" s="2211"/>
    </row>
    <row r="964" spans="1:11">
      <c r="A964" s="2241"/>
      <c r="B964" s="2234"/>
      <c r="C964" s="2210"/>
      <c r="D964" s="2234"/>
      <c r="E964" s="2374"/>
      <c r="F964" s="2235"/>
      <c r="G964" s="2235"/>
      <c r="H964" s="2210"/>
      <c r="I964" s="2210"/>
      <c r="J964" s="2210"/>
      <c r="K964" s="2211"/>
    </row>
    <row r="965" spans="1:11">
      <c r="A965" s="2241"/>
      <c r="B965" s="2234"/>
      <c r="C965" s="2210"/>
      <c r="D965" s="2234"/>
      <c r="E965" s="2374"/>
      <c r="F965" s="2235"/>
      <c r="G965" s="2235"/>
      <c r="H965" s="2210"/>
      <c r="I965" s="2210"/>
      <c r="J965" s="2210"/>
      <c r="K965" s="2211"/>
    </row>
    <row r="966" spans="1:11">
      <c r="A966" s="2241"/>
      <c r="B966" s="2234"/>
      <c r="C966" s="2210"/>
      <c r="D966" s="2234"/>
      <c r="E966" s="2374"/>
      <c r="F966" s="2235"/>
      <c r="G966" s="2235"/>
      <c r="H966" s="2210"/>
      <c r="I966" s="2210"/>
      <c r="J966" s="2210"/>
      <c r="K966" s="2211"/>
    </row>
    <row r="967" spans="1:11">
      <c r="A967" s="2241"/>
      <c r="B967" s="2234"/>
      <c r="C967" s="2210"/>
      <c r="D967" s="2234"/>
      <c r="E967" s="2374"/>
      <c r="F967" s="2235"/>
      <c r="G967" s="2235"/>
      <c r="H967" s="2210"/>
      <c r="I967" s="2210"/>
      <c r="J967" s="2210"/>
      <c r="K967" s="2211"/>
    </row>
    <row r="968" spans="1:11">
      <c r="A968" s="2241"/>
      <c r="B968" s="2234"/>
      <c r="C968" s="2210"/>
      <c r="D968" s="2234"/>
      <c r="E968" s="2374"/>
      <c r="F968" s="2235"/>
      <c r="G968" s="2235"/>
      <c r="H968" s="2210"/>
      <c r="I968" s="2210"/>
      <c r="J968" s="2210"/>
      <c r="K968" s="2211"/>
    </row>
    <row r="969" spans="1:11">
      <c r="A969" s="2241"/>
      <c r="B969" s="2234"/>
      <c r="C969" s="2210"/>
      <c r="D969" s="2234"/>
      <c r="E969" s="2374"/>
      <c r="F969" s="2235"/>
      <c r="G969" s="2235"/>
      <c r="H969" s="2210"/>
      <c r="I969" s="2210"/>
      <c r="J969" s="2210"/>
      <c r="K969" s="2211"/>
    </row>
    <row r="970" spans="1:11">
      <c r="A970" s="2241"/>
      <c r="B970" s="2234"/>
      <c r="C970" s="2210"/>
      <c r="D970" s="2234"/>
      <c r="E970" s="2374"/>
      <c r="F970" s="2235"/>
      <c r="G970" s="2235"/>
      <c r="H970" s="2210"/>
      <c r="I970" s="2210"/>
      <c r="J970" s="2210"/>
      <c r="K970" s="2211"/>
    </row>
    <row r="971" spans="1:11">
      <c r="A971" s="2241"/>
      <c r="B971" s="2234"/>
      <c r="C971" s="2210"/>
      <c r="D971" s="2234"/>
      <c r="E971" s="2374"/>
      <c r="F971" s="2235"/>
      <c r="G971" s="2235"/>
      <c r="H971" s="2210"/>
      <c r="I971" s="2210"/>
      <c r="J971" s="2210"/>
      <c r="K971" s="2211"/>
    </row>
    <row r="972" spans="1:11">
      <c r="A972" s="2241"/>
      <c r="B972" s="2234"/>
      <c r="C972" s="2210"/>
      <c r="D972" s="2234"/>
      <c r="E972" s="2374"/>
      <c r="F972" s="2235"/>
      <c r="G972" s="2235"/>
      <c r="H972" s="2210"/>
      <c r="I972" s="2210"/>
      <c r="J972" s="2210"/>
      <c r="K972" s="2211"/>
    </row>
    <row r="973" spans="1:11">
      <c r="A973" s="2241"/>
      <c r="B973" s="2234"/>
      <c r="C973" s="2210"/>
      <c r="D973" s="2234"/>
      <c r="E973" s="2374"/>
      <c r="F973" s="2235"/>
      <c r="G973" s="2235"/>
      <c r="H973" s="2210"/>
      <c r="I973" s="2210"/>
      <c r="J973" s="2210"/>
      <c r="K973" s="2211"/>
    </row>
    <row r="974" spans="1:11">
      <c r="A974" s="2241"/>
      <c r="B974" s="2234"/>
      <c r="C974" s="2210"/>
      <c r="D974" s="2234"/>
      <c r="E974" s="2374"/>
      <c r="F974" s="2235"/>
      <c r="G974" s="2235"/>
      <c r="H974" s="2210"/>
      <c r="I974" s="2210"/>
      <c r="J974" s="2210"/>
      <c r="K974" s="2211"/>
    </row>
    <row r="975" spans="1:11">
      <c r="A975" s="2241"/>
      <c r="B975" s="2234"/>
      <c r="C975" s="2210"/>
      <c r="D975" s="2234"/>
      <c r="E975" s="2374"/>
      <c r="F975" s="2235"/>
      <c r="G975" s="2235"/>
      <c r="H975" s="2210"/>
      <c r="I975" s="2210"/>
      <c r="J975" s="2210"/>
      <c r="K975" s="2211"/>
    </row>
    <row r="976" spans="1:11">
      <c r="A976" s="2241"/>
      <c r="B976" s="2234"/>
      <c r="C976" s="2210"/>
      <c r="D976" s="2234"/>
      <c r="E976" s="2374"/>
      <c r="F976" s="2235"/>
      <c r="G976" s="2235"/>
      <c r="H976" s="2210"/>
      <c r="I976" s="2210"/>
      <c r="J976" s="2210"/>
      <c r="K976" s="2211"/>
    </row>
    <row r="977" spans="1:11">
      <c r="A977" s="2241"/>
      <c r="B977" s="2234"/>
      <c r="C977" s="2210"/>
      <c r="D977" s="2234"/>
      <c r="E977" s="2374"/>
      <c r="F977" s="2235"/>
      <c r="G977" s="2235"/>
      <c r="H977" s="2210"/>
      <c r="I977" s="2210"/>
      <c r="J977" s="2210"/>
      <c r="K977" s="2211"/>
    </row>
    <row r="978" spans="1:11">
      <c r="A978" s="2241"/>
      <c r="B978" s="2234"/>
      <c r="C978" s="2210"/>
      <c r="D978" s="2234"/>
      <c r="E978" s="2374"/>
      <c r="F978" s="2235"/>
      <c r="G978" s="2235"/>
      <c r="H978" s="2210"/>
      <c r="I978" s="2210"/>
      <c r="J978" s="2210"/>
      <c r="K978" s="2211"/>
    </row>
    <row r="979" spans="1:11">
      <c r="A979" s="2241"/>
      <c r="B979" s="2234"/>
      <c r="C979" s="2210"/>
      <c r="D979" s="2234"/>
      <c r="E979" s="2374"/>
      <c r="F979" s="2235"/>
      <c r="G979" s="2235"/>
      <c r="H979" s="2210"/>
      <c r="I979" s="2210"/>
      <c r="J979" s="2210"/>
      <c r="K979" s="2211"/>
    </row>
    <row r="980" spans="1:11">
      <c r="A980" s="2241"/>
      <c r="B980" s="2234"/>
      <c r="C980" s="2210"/>
      <c r="D980" s="2234"/>
      <c r="E980" s="2374"/>
      <c r="F980" s="2235"/>
      <c r="G980" s="2235"/>
      <c r="H980" s="2210"/>
      <c r="I980" s="2210"/>
      <c r="J980" s="2210"/>
      <c r="K980" s="2211"/>
    </row>
    <row r="981" spans="1:11">
      <c r="A981" s="2241"/>
      <c r="B981" s="2234"/>
      <c r="C981" s="2210"/>
      <c r="D981" s="2234"/>
      <c r="E981" s="2374"/>
      <c r="F981" s="2235"/>
      <c r="G981" s="2235"/>
      <c r="H981" s="2210"/>
      <c r="I981" s="2210"/>
      <c r="J981" s="2210"/>
      <c r="K981" s="2211"/>
    </row>
    <row r="982" spans="1:11">
      <c r="A982" s="2241"/>
      <c r="B982" s="2234"/>
      <c r="C982" s="2210"/>
      <c r="D982" s="2234"/>
      <c r="E982" s="2374"/>
      <c r="F982" s="2235"/>
      <c r="G982" s="2235"/>
      <c r="H982" s="2210"/>
      <c r="I982" s="2210"/>
      <c r="J982" s="2210"/>
      <c r="K982" s="2211"/>
    </row>
    <row r="983" spans="1:11">
      <c r="A983" s="2241"/>
      <c r="B983" s="2234"/>
      <c r="C983" s="2210"/>
      <c r="D983" s="2234"/>
      <c r="E983" s="2374"/>
      <c r="F983" s="2235"/>
      <c r="G983" s="2235"/>
      <c r="H983" s="2210"/>
      <c r="I983" s="2210"/>
      <c r="J983" s="2210"/>
      <c r="K983" s="2211"/>
    </row>
    <row r="984" spans="1:11">
      <c r="A984" s="2241"/>
      <c r="B984" s="2234"/>
      <c r="C984" s="2210"/>
      <c r="D984" s="2234"/>
      <c r="E984" s="2374"/>
      <c r="F984" s="2235"/>
      <c r="G984" s="2235"/>
      <c r="H984" s="2210"/>
      <c r="I984" s="2210"/>
      <c r="J984" s="2210"/>
      <c r="K984" s="2211"/>
    </row>
    <row r="985" spans="1:11">
      <c r="A985" s="2241"/>
      <c r="B985" s="2234"/>
      <c r="C985" s="2210"/>
      <c r="D985" s="2234"/>
      <c r="E985" s="2374"/>
      <c r="F985" s="2235"/>
      <c r="G985" s="2235"/>
      <c r="H985" s="2210"/>
      <c r="I985" s="2210"/>
      <c r="J985" s="2210"/>
      <c r="K985" s="2211"/>
    </row>
    <row r="986" spans="1:11">
      <c r="A986" s="2241"/>
      <c r="B986" s="2234"/>
      <c r="C986" s="2210"/>
      <c r="D986" s="2234"/>
      <c r="E986" s="2374"/>
      <c r="F986" s="2235"/>
      <c r="G986" s="2235"/>
      <c r="H986" s="2210"/>
      <c r="I986" s="2210"/>
      <c r="J986" s="2210"/>
      <c r="K986" s="2211"/>
    </row>
    <row r="987" spans="1:11">
      <c r="A987" s="2241"/>
      <c r="B987" s="2234"/>
      <c r="C987" s="2210"/>
      <c r="D987" s="2234"/>
      <c r="E987" s="2374"/>
      <c r="F987" s="2235"/>
      <c r="G987" s="2235"/>
      <c r="H987" s="2210"/>
      <c r="I987" s="2210"/>
      <c r="J987" s="2210"/>
      <c r="K987" s="2211"/>
    </row>
    <row r="988" spans="1:11">
      <c r="A988" s="2241"/>
      <c r="B988" s="2234"/>
      <c r="C988" s="2210"/>
      <c r="D988" s="2234"/>
      <c r="E988" s="2374"/>
      <c r="F988" s="2235"/>
      <c r="G988" s="2235"/>
      <c r="H988" s="2210"/>
      <c r="I988" s="2210"/>
      <c r="J988" s="2210"/>
      <c r="K988" s="2211"/>
    </row>
    <row r="989" spans="1:11">
      <c r="A989" s="2241"/>
      <c r="B989" s="2234"/>
      <c r="C989" s="2210"/>
      <c r="D989" s="2234"/>
      <c r="E989" s="2374"/>
      <c r="F989" s="2235"/>
      <c r="G989" s="2235"/>
      <c r="H989" s="2210"/>
      <c r="I989" s="2210"/>
      <c r="J989" s="2210"/>
      <c r="K989" s="2211"/>
    </row>
    <row r="990" spans="1:11">
      <c r="A990" s="2241"/>
      <c r="B990" s="2234"/>
      <c r="C990" s="2210"/>
      <c r="D990" s="2234"/>
      <c r="E990" s="2374"/>
      <c r="F990" s="2235"/>
      <c r="G990" s="2235"/>
      <c r="H990" s="2210"/>
      <c r="I990" s="2210"/>
      <c r="J990" s="2210"/>
      <c r="K990" s="2211"/>
    </row>
    <row r="991" spans="1:11">
      <c r="A991" s="2241"/>
      <c r="B991" s="2234"/>
      <c r="C991" s="2210"/>
      <c r="D991" s="2234"/>
      <c r="E991" s="2374"/>
      <c r="F991" s="2235"/>
      <c r="G991" s="2235"/>
      <c r="H991" s="2210"/>
      <c r="I991" s="2210"/>
      <c r="J991" s="2210"/>
      <c r="K991" s="2211"/>
    </row>
    <row r="992" spans="1:11">
      <c r="A992" s="2241"/>
      <c r="B992" s="2234"/>
      <c r="C992" s="2210"/>
      <c r="D992" s="2234"/>
      <c r="E992" s="2374"/>
      <c r="F992" s="2235"/>
      <c r="G992" s="2235"/>
      <c r="H992" s="2210"/>
      <c r="I992" s="2210"/>
      <c r="J992" s="2210"/>
      <c r="K992" s="2211"/>
    </row>
    <row r="993" spans="1:11">
      <c r="A993" s="2241"/>
      <c r="B993" s="2234"/>
      <c r="C993" s="2210"/>
      <c r="D993" s="2234"/>
      <c r="E993" s="2374"/>
      <c r="F993" s="2235"/>
      <c r="G993" s="2235"/>
      <c r="H993" s="2210"/>
      <c r="I993" s="2210"/>
      <c r="J993" s="2210"/>
      <c r="K993" s="2211"/>
    </row>
    <row r="994" spans="1:11">
      <c r="A994" s="2241"/>
      <c r="B994" s="2234"/>
      <c r="C994" s="2210"/>
      <c r="D994" s="2234"/>
      <c r="E994" s="2374"/>
      <c r="F994" s="2235"/>
      <c r="G994" s="2235"/>
      <c r="H994" s="2210"/>
      <c r="I994" s="2210"/>
      <c r="J994" s="2210"/>
      <c r="K994" s="2211"/>
    </row>
    <row r="995" spans="1:11">
      <c r="A995" s="2241"/>
      <c r="B995" s="2234"/>
      <c r="C995" s="2210"/>
      <c r="D995" s="2234"/>
      <c r="E995" s="2374"/>
      <c r="F995" s="2235"/>
      <c r="G995" s="2235"/>
      <c r="H995" s="2210"/>
      <c r="I995" s="2210"/>
      <c r="J995" s="2210"/>
      <c r="K995" s="2211"/>
    </row>
    <row r="996" spans="1:11">
      <c r="A996" s="2241"/>
      <c r="B996" s="2234"/>
      <c r="C996" s="2210"/>
      <c r="D996" s="2234"/>
      <c r="E996" s="2374"/>
      <c r="F996" s="2235"/>
      <c r="G996" s="2235"/>
      <c r="H996" s="2210"/>
      <c r="I996" s="2210"/>
      <c r="J996" s="2210"/>
      <c r="K996" s="2211"/>
    </row>
    <row r="997" spans="1:11">
      <c r="A997" s="2241"/>
      <c r="B997" s="2234"/>
      <c r="C997" s="2210"/>
      <c r="D997" s="2234"/>
      <c r="E997" s="2374"/>
      <c r="F997" s="2235"/>
      <c r="G997" s="2235"/>
      <c r="H997" s="2210"/>
      <c r="I997" s="2210"/>
      <c r="J997" s="2210"/>
      <c r="K997" s="2211"/>
    </row>
    <row r="998" spans="1:11">
      <c r="A998" s="2241"/>
      <c r="B998" s="2234"/>
      <c r="C998" s="2210"/>
      <c r="D998" s="2234"/>
      <c r="E998" s="2374"/>
      <c r="F998" s="2235"/>
      <c r="G998" s="2235"/>
      <c r="H998" s="2210"/>
      <c r="I998" s="2210"/>
      <c r="J998" s="2210"/>
      <c r="K998" s="2211"/>
    </row>
    <row r="999" spans="1:11">
      <c r="A999" s="2241"/>
      <c r="B999" s="2234"/>
      <c r="C999" s="2210"/>
      <c r="D999" s="2234"/>
      <c r="E999" s="2374"/>
      <c r="F999" s="2235"/>
      <c r="G999" s="2235"/>
      <c r="H999" s="2210"/>
      <c r="I999" s="2210"/>
      <c r="J999" s="2210"/>
      <c r="K999" s="2211"/>
    </row>
    <row r="1000" spans="1:11">
      <c r="A1000" s="2241"/>
      <c r="B1000" s="2234"/>
      <c r="C1000" s="2210"/>
      <c r="D1000" s="2234"/>
      <c r="E1000" s="2374"/>
      <c r="F1000" s="2235"/>
      <c r="G1000" s="2235"/>
      <c r="H1000" s="2210"/>
      <c r="I1000" s="2210"/>
      <c r="J1000" s="2210"/>
      <c r="K1000" s="2211"/>
    </row>
    <row r="1001" spans="1:11">
      <c r="A1001" s="2241"/>
      <c r="B1001" s="2234"/>
      <c r="C1001" s="2210"/>
      <c r="D1001" s="2234"/>
      <c r="E1001" s="2374"/>
      <c r="F1001" s="2235"/>
      <c r="G1001" s="2235"/>
      <c r="H1001" s="2210"/>
      <c r="I1001" s="2210"/>
      <c r="J1001" s="2210"/>
      <c r="K1001" s="2211"/>
    </row>
    <row r="1002" spans="1:11">
      <c r="A1002" s="2241"/>
      <c r="B1002" s="2234"/>
      <c r="C1002" s="2210"/>
      <c r="D1002" s="2234"/>
      <c r="E1002" s="2374"/>
      <c r="F1002" s="2235"/>
      <c r="G1002" s="2235"/>
      <c r="H1002" s="2210"/>
      <c r="I1002" s="2210"/>
      <c r="J1002" s="2210"/>
      <c r="K1002" s="2211"/>
    </row>
    <row r="1003" spans="1:11">
      <c r="A1003" s="2241"/>
      <c r="B1003" s="2234"/>
      <c r="C1003" s="2210"/>
      <c r="D1003" s="2234"/>
      <c r="E1003" s="2374"/>
      <c r="F1003" s="2235"/>
      <c r="G1003" s="2235"/>
      <c r="H1003" s="2210"/>
      <c r="I1003" s="2210"/>
      <c r="J1003" s="2210"/>
      <c r="K1003" s="2211"/>
    </row>
    <row r="1004" spans="1:11">
      <c r="A1004" s="2241"/>
      <c r="B1004" s="2234"/>
      <c r="C1004" s="2210"/>
      <c r="D1004" s="2234"/>
      <c r="E1004" s="2374"/>
      <c r="F1004" s="2235"/>
      <c r="G1004" s="2235"/>
      <c r="H1004" s="2210"/>
      <c r="I1004" s="2210"/>
      <c r="J1004" s="2210"/>
      <c r="K1004" s="2211"/>
    </row>
    <row r="1005" spans="1:11">
      <c r="A1005" s="2241"/>
      <c r="B1005" s="2234"/>
      <c r="C1005" s="2210"/>
      <c r="D1005" s="2234"/>
      <c r="E1005" s="2374"/>
      <c r="F1005" s="2235"/>
      <c r="G1005" s="2235"/>
      <c r="H1005" s="2210"/>
      <c r="I1005" s="2210"/>
      <c r="J1005" s="2210"/>
      <c r="K1005" s="2211"/>
    </row>
    <row r="1006" spans="1:11">
      <c r="A1006" s="2241"/>
      <c r="B1006" s="2234"/>
      <c r="C1006" s="2210"/>
      <c r="D1006" s="2234"/>
      <c r="E1006" s="2374"/>
      <c r="F1006" s="2235"/>
      <c r="G1006" s="2235"/>
      <c r="H1006" s="2210"/>
      <c r="I1006" s="2210"/>
      <c r="J1006" s="2210"/>
      <c r="K1006" s="2211"/>
    </row>
    <row r="1007" spans="1:11">
      <c r="A1007" s="2241"/>
      <c r="B1007" s="2234"/>
      <c r="C1007" s="2210"/>
      <c r="D1007" s="2234"/>
      <c r="E1007" s="2374"/>
      <c r="F1007" s="2235"/>
      <c r="G1007" s="2235"/>
      <c r="H1007" s="2210"/>
      <c r="I1007" s="2210"/>
      <c r="J1007" s="2210"/>
      <c r="K1007" s="2211"/>
    </row>
    <row r="1008" spans="1:11">
      <c r="A1008" s="2241"/>
      <c r="B1008" s="2234"/>
      <c r="C1008" s="2210"/>
      <c r="D1008" s="2234"/>
      <c r="E1008" s="2374"/>
      <c r="F1008" s="2235"/>
      <c r="G1008" s="2235"/>
      <c r="H1008" s="2210"/>
      <c r="I1008" s="2210"/>
      <c r="J1008" s="2210"/>
      <c r="K1008" s="2211"/>
    </row>
    <row r="1009" spans="1:11">
      <c r="A1009" s="2241"/>
      <c r="B1009" s="2234"/>
      <c r="C1009" s="2210"/>
      <c r="D1009" s="2234"/>
      <c r="E1009" s="2374"/>
      <c r="F1009" s="2235"/>
      <c r="G1009" s="2235"/>
      <c r="H1009" s="2210"/>
      <c r="I1009" s="2210"/>
      <c r="J1009" s="2210"/>
      <c r="K1009" s="2211"/>
    </row>
    <row r="1010" spans="1:11">
      <c r="A1010" s="2241"/>
      <c r="B1010" s="2234"/>
      <c r="C1010" s="2210"/>
      <c r="D1010" s="2234"/>
      <c r="E1010" s="2374"/>
      <c r="F1010" s="2235"/>
      <c r="G1010" s="2235"/>
      <c r="H1010" s="2210"/>
      <c r="I1010" s="2210"/>
      <c r="J1010" s="2210"/>
      <c r="K1010" s="2211"/>
    </row>
    <row r="1011" spans="1:11">
      <c r="A1011" s="2241"/>
      <c r="B1011" s="2234"/>
      <c r="C1011" s="2210"/>
      <c r="D1011" s="2234"/>
      <c r="E1011" s="2374"/>
      <c r="F1011" s="2235"/>
      <c r="G1011" s="2235"/>
      <c r="H1011" s="2210"/>
      <c r="I1011" s="2210"/>
      <c r="J1011" s="2210"/>
      <c r="K1011" s="2211"/>
    </row>
    <row r="1012" spans="1:11">
      <c r="A1012" s="2241"/>
      <c r="B1012" s="2234"/>
      <c r="C1012" s="2210"/>
      <c r="D1012" s="2234"/>
      <c r="E1012" s="2374"/>
      <c r="F1012" s="2235"/>
      <c r="G1012" s="2235"/>
      <c r="H1012" s="2210"/>
      <c r="I1012" s="2210"/>
      <c r="J1012" s="2210"/>
      <c r="K1012" s="2211"/>
    </row>
    <row r="1013" spans="1:11">
      <c r="A1013" s="2241"/>
      <c r="B1013" s="2234"/>
      <c r="C1013" s="2210"/>
      <c r="D1013" s="2234"/>
      <c r="E1013" s="2374"/>
      <c r="F1013" s="2235"/>
      <c r="G1013" s="2235"/>
      <c r="H1013" s="2210"/>
      <c r="I1013" s="2210"/>
      <c r="J1013" s="2210"/>
      <c r="K1013" s="2211"/>
    </row>
    <row r="1014" spans="1:11">
      <c r="A1014" s="2241"/>
      <c r="B1014" s="2234"/>
      <c r="C1014" s="2210"/>
      <c r="D1014" s="2234"/>
      <c r="E1014" s="2374"/>
      <c r="F1014" s="2235"/>
      <c r="G1014" s="2235"/>
      <c r="H1014" s="2210"/>
      <c r="I1014" s="2210"/>
      <c r="J1014" s="2210"/>
      <c r="K1014" s="2211"/>
    </row>
    <row r="1015" spans="1:11">
      <c r="A1015" s="2241"/>
      <c r="B1015" s="2234"/>
      <c r="C1015" s="2210"/>
      <c r="D1015" s="2234"/>
      <c r="E1015" s="2374"/>
      <c r="F1015" s="2235"/>
      <c r="G1015" s="2235"/>
      <c r="H1015" s="2210"/>
      <c r="I1015" s="2210"/>
      <c r="J1015" s="2210"/>
      <c r="K1015" s="2211"/>
    </row>
    <row r="1016" spans="1:11">
      <c r="A1016" s="2241"/>
      <c r="B1016" s="2234"/>
      <c r="C1016" s="2210"/>
      <c r="D1016" s="2234"/>
      <c r="E1016" s="2374"/>
      <c r="F1016" s="2235"/>
      <c r="G1016" s="2235"/>
      <c r="H1016" s="2210"/>
      <c r="I1016" s="2210"/>
      <c r="J1016" s="2210"/>
      <c r="K1016" s="2211"/>
    </row>
    <row r="1017" spans="1:11">
      <c r="A1017" s="2241"/>
      <c r="B1017" s="2234"/>
      <c r="C1017" s="2210"/>
      <c r="D1017" s="2234"/>
      <c r="E1017" s="2374"/>
      <c r="F1017" s="2235"/>
      <c r="G1017" s="2235"/>
      <c r="H1017" s="2210"/>
      <c r="I1017" s="2210"/>
      <c r="J1017" s="2210"/>
      <c r="K1017" s="2211"/>
    </row>
    <row r="1018" spans="1:11">
      <c r="A1018" s="2241"/>
      <c r="B1018" s="2234"/>
      <c r="C1018" s="2210"/>
      <c r="D1018" s="2234"/>
      <c r="E1018" s="2374"/>
      <c r="F1018" s="2235"/>
      <c r="G1018" s="2235"/>
      <c r="H1018" s="2210"/>
      <c r="I1018" s="2210"/>
      <c r="J1018" s="2210"/>
      <c r="K1018" s="2211"/>
    </row>
    <row r="1019" spans="1:11">
      <c r="A1019" s="2241"/>
      <c r="B1019" s="2234"/>
      <c r="C1019" s="2210"/>
      <c r="D1019" s="2234"/>
      <c r="E1019" s="2374"/>
      <c r="F1019" s="2235"/>
      <c r="G1019" s="2235"/>
      <c r="H1019" s="2210"/>
      <c r="I1019" s="2210"/>
      <c r="J1019" s="2210"/>
      <c r="K1019" s="2211"/>
    </row>
    <row r="1020" spans="1:11">
      <c r="A1020" s="2241"/>
      <c r="B1020" s="2234"/>
      <c r="C1020" s="2210"/>
      <c r="D1020" s="2234"/>
      <c r="E1020" s="2374"/>
      <c r="F1020" s="2235"/>
      <c r="G1020" s="2235"/>
      <c r="H1020" s="2210"/>
      <c r="I1020" s="2210"/>
      <c r="J1020" s="2210"/>
      <c r="K1020" s="2211"/>
    </row>
    <row r="1021" spans="1:11">
      <c r="A1021" s="2241"/>
      <c r="B1021" s="2234"/>
      <c r="C1021" s="2210"/>
      <c r="D1021" s="2234"/>
      <c r="E1021" s="2374"/>
      <c r="F1021" s="2235"/>
      <c r="G1021" s="2235"/>
      <c r="H1021" s="2210"/>
      <c r="I1021" s="2210"/>
      <c r="J1021" s="2210"/>
      <c r="K1021" s="2211"/>
    </row>
    <row r="1022" spans="1:11">
      <c r="A1022" s="2241"/>
      <c r="B1022" s="2234"/>
      <c r="C1022" s="2210"/>
      <c r="D1022" s="2234"/>
      <c r="E1022" s="2374"/>
      <c r="F1022" s="2235"/>
      <c r="G1022" s="2235"/>
      <c r="H1022" s="2210"/>
      <c r="I1022" s="2210"/>
      <c r="J1022" s="2210"/>
      <c r="K1022" s="2211"/>
    </row>
    <row r="1023" spans="1:11">
      <c r="A1023" s="2241"/>
      <c r="B1023" s="2234"/>
      <c r="C1023" s="2210"/>
      <c r="D1023" s="2234"/>
      <c r="E1023" s="2374"/>
      <c r="F1023" s="2235"/>
      <c r="G1023" s="2235"/>
      <c r="H1023" s="2210"/>
      <c r="I1023" s="2210"/>
      <c r="J1023" s="2210"/>
      <c r="K1023" s="2211"/>
    </row>
    <row r="1024" spans="1:11">
      <c r="A1024" s="2241"/>
      <c r="B1024" s="2234"/>
      <c r="C1024" s="2210"/>
      <c r="D1024" s="2234"/>
      <c r="E1024" s="2374"/>
      <c r="F1024" s="2235"/>
      <c r="G1024" s="2235"/>
      <c r="H1024" s="2210"/>
      <c r="I1024" s="2210"/>
      <c r="J1024" s="2210"/>
      <c r="K1024" s="2211"/>
    </row>
    <row r="1025" spans="1:11">
      <c r="A1025" s="2241"/>
      <c r="B1025" s="2234"/>
      <c r="C1025" s="2210"/>
      <c r="D1025" s="2234"/>
      <c r="E1025" s="2374"/>
      <c r="F1025" s="2235"/>
      <c r="G1025" s="2235"/>
      <c r="H1025" s="2210"/>
      <c r="I1025" s="2210"/>
      <c r="J1025" s="2210"/>
      <c r="K1025" s="2211"/>
    </row>
    <row r="1026" spans="1:11">
      <c r="A1026" s="2241"/>
      <c r="B1026" s="2234"/>
      <c r="C1026" s="2210"/>
      <c r="D1026" s="2234"/>
      <c r="E1026" s="2374"/>
      <c r="F1026" s="2235"/>
      <c r="G1026" s="2235"/>
      <c r="H1026" s="2210"/>
      <c r="I1026" s="2210"/>
      <c r="J1026" s="2210"/>
      <c r="K1026" s="2211"/>
    </row>
    <row r="1027" spans="1:11">
      <c r="A1027" s="2241"/>
      <c r="B1027" s="2234"/>
      <c r="C1027" s="2210"/>
      <c r="D1027" s="2234"/>
      <c r="E1027" s="2374"/>
      <c r="F1027" s="2235"/>
      <c r="G1027" s="2235"/>
      <c r="H1027" s="2210"/>
      <c r="I1027" s="2210"/>
      <c r="J1027" s="2210"/>
      <c r="K1027" s="2211"/>
    </row>
    <row r="1028" spans="1:11">
      <c r="A1028" s="2241"/>
      <c r="B1028" s="2234"/>
      <c r="C1028" s="2210"/>
      <c r="D1028" s="2234"/>
      <c r="E1028" s="2374"/>
      <c r="F1028" s="2235"/>
      <c r="G1028" s="2235"/>
      <c r="H1028" s="2210"/>
      <c r="I1028" s="2210"/>
      <c r="J1028" s="2210"/>
      <c r="K1028" s="2211"/>
    </row>
    <row r="1029" spans="1:11">
      <c r="A1029" s="2241"/>
      <c r="B1029" s="2234"/>
      <c r="C1029" s="2210"/>
      <c r="D1029" s="2234"/>
      <c r="E1029" s="2374"/>
      <c r="F1029" s="2235"/>
      <c r="G1029" s="2235"/>
      <c r="H1029" s="2210"/>
      <c r="I1029" s="2210"/>
      <c r="J1029" s="2210"/>
      <c r="K1029" s="2211"/>
    </row>
    <row r="1030" spans="1:11">
      <c r="A1030" s="2241"/>
      <c r="B1030" s="2234"/>
      <c r="C1030" s="2210"/>
      <c r="D1030" s="2234"/>
      <c r="E1030" s="2374"/>
      <c r="F1030" s="2235"/>
      <c r="G1030" s="2235"/>
      <c r="H1030" s="2210"/>
      <c r="I1030" s="2210"/>
      <c r="J1030" s="2210"/>
      <c r="K1030" s="2211"/>
    </row>
    <row r="1031" spans="1:11">
      <c r="A1031" s="2241"/>
      <c r="B1031" s="2234"/>
      <c r="C1031" s="2210"/>
      <c r="D1031" s="2234"/>
      <c r="E1031" s="2374"/>
      <c r="F1031" s="2235"/>
      <c r="G1031" s="2235"/>
      <c r="H1031" s="2210"/>
      <c r="I1031" s="2210"/>
      <c r="J1031" s="2210"/>
      <c r="K1031" s="2211"/>
    </row>
    <row r="1032" spans="1:11">
      <c r="A1032" s="2241"/>
      <c r="B1032" s="2234"/>
      <c r="C1032" s="2210"/>
      <c r="D1032" s="2234"/>
      <c r="E1032" s="2374"/>
      <c r="F1032" s="2235"/>
      <c r="G1032" s="2235"/>
      <c r="H1032" s="2210"/>
      <c r="I1032" s="2210"/>
      <c r="J1032" s="2210"/>
      <c r="K1032" s="2211"/>
    </row>
    <row r="1033" spans="1:11">
      <c r="A1033" s="2241"/>
      <c r="B1033" s="2234"/>
      <c r="C1033" s="2210"/>
      <c r="D1033" s="2234"/>
      <c r="E1033" s="2374"/>
      <c r="F1033" s="2235"/>
      <c r="G1033" s="2235"/>
      <c r="H1033" s="2210"/>
      <c r="I1033" s="2210"/>
      <c r="J1033" s="2210"/>
      <c r="K1033" s="2211"/>
    </row>
    <row r="1034" spans="1:11">
      <c r="A1034" s="2241"/>
      <c r="B1034" s="2234"/>
      <c r="C1034" s="2210"/>
      <c r="D1034" s="2234"/>
      <c r="E1034" s="2374"/>
      <c r="F1034" s="2235"/>
      <c r="G1034" s="2235"/>
      <c r="H1034" s="2210"/>
      <c r="I1034" s="2210"/>
      <c r="J1034" s="2210"/>
      <c r="K1034" s="2211"/>
    </row>
    <row r="1035" spans="1:11">
      <c r="A1035" s="2241"/>
      <c r="B1035" s="2234"/>
      <c r="C1035" s="2210"/>
      <c r="D1035" s="2234"/>
      <c r="E1035" s="2374"/>
      <c r="F1035" s="2235"/>
      <c r="G1035" s="2235"/>
      <c r="H1035" s="2210"/>
      <c r="I1035" s="2210"/>
      <c r="J1035" s="2210"/>
      <c r="K1035" s="2211"/>
    </row>
    <row r="1036" spans="1:11">
      <c r="A1036" s="2241"/>
      <c r="B1036" s="2234"/>
      <c r="C1036" s="2210"/>
      <c r="D1036" s="2234"/>
      <c r="E1036" s="2374"/>
      <c r="F1036" s="2235"/>
      <c r="G1036" s="2235"/>
      <c r="H1036" s="2210"/>
      <c r="I1036" s="2210"/>
      <c r="J1036" s="2210"/>
      <c r="K1036" s="2211"/>
    </row>
    <row r="1037" spans="1:11">
      <c r="A1037" s="2241"/>
      <c r="B1037" s="2234"/>
      <c r="C1037" s="2210"/>
      <c r="D1037" s="2234"/>
      <c r="E1037" s="2374"/>
      <c r="F1037" s="2235"/>
      <c r="G1037" s="2235"/>
      <c r="H1037" s="2210"/>
      <c r="I1037" s="2210"/>
      <c r="J1037" s="2210"/>
      <c r="K1037" s="2211"/>
    </row>
    <row r="1038" spans="1:11">
      <c r="A1038" s="2241"/>
      <c r="B1038" s="2234"/>
      <c r="C1038" s="2210"/>
      <c r="D1038" s="2234"/>
      <c r="E1038" s="2374"/>
      <c r="F1038" s="2235"/>
      <c r="G1038" s="2235"/>
      <c r="H1038" s="2210"/>
      <c r="I1038" s="2210"/>
      <c r="J1038" s="2210"/>
      <c r="K1038" s="2211"/>
    </row>
    <row r="1039" spans="1:11">
      <c r="A1039" s="2241"/>
      <c r="B1039" s="2234"/>
      <c r="C1039" s="2210"/>
      <c r="D1039" s="2234"/>
      <c r="E1039" s="2374"/>
      <c r="F1039" s="2235"/>
      <c r="G1039" s="2235"/>
      <c r="H1039" s="2210"/>
      <c r="I1039" s="2210"/>
      <c r="J1039" s="2210"/>
      <c r="K1039" s="2211"/>
    </row>
    <row r="1040" spans="1:11">
      <c r="A1040" s="2241"/>
      <c r="B1040" s="2234"/>
      <c r="C1040" s="2210"/>
      <c r="D1040" s="2234"/>
      <c r="E1040" s="2374"/>
      <c r="F1040" s="2235"/>
      <c r="G1040" s="2235"/>
      <c r="H1040" s="2210"/>
      <c r="I1040" s="2210"/>
      <c r="J1040" s="2210"/>
      <c r="K1040" s="2211"/>
    </row>
    <row r="1041" spans="1:11">
      <c r="A1041" s="2241"/>
      <c r="B1041" s="2234"/>
      <c r="C1041" s="2210"/>
      <c r="D1041" s="2234"/>
      <c r="E1041" s="2374"/>
      <c r="F1041" s="2235"/>
      <c r="G1041" s="2235"/>
      <c r="H1041" s="2210"/>
      <c r="I1041" s="2210"/>
      <c r="J1041" s="2210"/>
      <c r="K1041" s="2211"/>
    </row>
    <row r="1042" spans="1:11">
      <c r="A1042" s="2241"/>
      <c r="B1042" s="2234"/>
      <c r="C1042" s="2210"/>
      <c r="D1042" s="2234"/>
      <c r="E1042" s="2374"/>
      <c r="F1042" s="2235"/>
      <c r="G1042" s="2235"/>
      <c r="H1042" s="2210"/>
      <c r="I1042" s="2210"/>
      <c r="J1042" s="2210"/>
      <c r="K1042" s="2211"/>
    </row>
    <row r="1043" spans="1:11">
      <c r="A1043" s="2241"/>
      <c r="B1043" s="2234"/>
      <c r="C1043" s="2210"/>
      <c r="D1043" s="2234"/>
      <c r="E1043" s="2374"/>
      <c r="F1043" s="2235"/>
      <c r="G1043" s="2235"/>
      <c r="H1043" s="2210"/>
      <c r="I1043" s="2210"/>
      <c r="J1043" s="2210"/>
      <c r="K1043" s="2211"/>
    </row>
    <row r="1044" spans="1:11">
      <c r="A1044" s="2241"/>
      <c r="B1044" s="2234"/>
      <c r="C1044" s="2210"/>
      <c r="D1044" s="2234"/>
      <c r="E1044" s="2374"/>
      <c r="F1044" s="2235"/>
      <c r="G1044" s="2235"/>
      <c r="H1044" s="2210"/>
      <c r="I1044" s="2210"/>
      <c r="J1044" s="2210"/>
      <c r="K1044" s="2211"/>
    </row>
    <row r="1045" spans="1:11">
      <c r="A1045" s="2241"/>
      <c r="B1045" s="2234"/>
      <c r="C1045" s="2210"/>
      <c r="D1045" s="2234"/>
      <c r="E1045" s="2374"/>
      <c r="F1045" s="2235"/>
      <c r="G1045" s="2235"/>
      <c r="H1045" s="2210"/>
      <c r="I1045" s="2210"/>
      <c r="J1045" s="2210"/>
      <c r="K1045" s="2211"/>
    </row>
    <row r="1046" spans="1:11">
      <c r="A1046" s="2241"/>
      <c r="B1046" s="2234"/>
      <c r="C1046" s="2210"/>
      <c r="D1046" s="2234"/>
      <c r="E1046" s="2374"/>
      <c r="F1046" s="2235"/>
      <c r="G1046" s="2235"/>
      <c r="H1046" s="2210"/>
      <c r="I1046" s="2210"/>
      <c r="J1046" s="2210"/>
      <c r="K1046" s="2211"/>
    </row>
    <row r="1047" spans="1:11">
      <c r="A1047" s="2241"/>
      <c r="B1047" s="2234"/>
      <c r="C1047" s="2210"/>
      <c r="D1047" s="2234"/>
      <c r="E1047" s="2374"/>
      <c r="F1047" s="2235"/>
      <c r="G1047" s="2235"/>
      <c r="H1047" s="2210"/>
      <c r="I1047" s="2210"/>
      <c r="J1047" s="2210"/>
      <c r="K1047" s="2211"/>
    </row>
    <row r="1048" spans="1:11">
      <c r="A1048" s="2241"/>
      <c r="B1048" s="2234"/>
      <c r="C1048" s="2210"/>
      <c r="D1048" s="2234"/>
      <c r="E1048" s="2374"/>
      <c r="F1048" s="2235"/>
      <c r="G1048" s="2235"/>
      <c r="H1048" s="2210"/>
      <c r="I1048" s="2210"/>
      <c r="J1048" s="2210"/>
      <c r="K1048" s="2211"/>
    </row>
    <row r="1049" spans="1:11">
      <c r="A1049" s="2241"/>
      <c r="B1049" s="2234"/>
      <c r="C1049" s="2210"/>
      <c r="D1049" s="2234"/>
      <c r="E1049" s="2374"/>
      <c r="F1049" s="2235"/>
      <c r="G1049" s="2235"/>
      <c r="H1049" s="2210"/>
      <c r="I1049" s="2210"/>
      <c r="J1049" s="2210"/>
      <c r="K1049" s="2211"/>
    </row>
    <row r="1050" spans="1:11">
      <c r="A1050" s="2241"/>
      <c r="B1050" s="2234"/>
      <c r="C1050" s="2210"/>
      <c r="D1050" s="2234"/>
      <c r="E1050" s="2374"/>
      <c r="F1050" s="2235"/>
      <c r="G1050" s="2235"/>
      <c r="H1050" s="2210"/>
      <c r="I1050" s="2210"/>
      <c r="J1050" s="2210"/>
      <c r="K1050" s="2211"/>
    </row>
    <row r="1051" spans="1:11">
      <c r="A1051" s="2241"/>
      <c r="B1051" s="2234"/>
      <c r="C1051" s="2210"/>
      <c r="D1051" s="2234"/>
      <c r="E1051" s="2374"/>
      <c r="F1051" s="2235"/>
      <c r="G1051" s="2235"/>
      <c r="H1051" s="2210"/>
      <c r="I1051" s="2210"/>
      <c r="J1051" s="2210"/>
      <c r="K1051" s="2211"/>
    </row>
    <row r="1052" spans="1:11">
      <c r="A1052" s="2241"/>
      <c r="B1052" s="2234"/>
      <c r="C1052" s="2210"/>
      <c r="D1052" s="2234"/>
      <c r="E1052" s="2374"/>
      <c r="F1052" s="2235"/>
      <c r="G1052" s="2235"/>
      <c r="H1052" s="2210"/>
      <c r="I1052" s="2210"/>
      <c r="J1052" s="2210"/>
      <c r="K1052" s="2211"/>
    </row>
    <row r="1053" spans="1:11">
      <c r="A1053" s="2241"/>
      <c r="B1053" s="2234"/>
      <c r="C1053" s="2210"/>
      <c r="D1053" s="2234"/>
      <c r="E1053" s="2374"/>
      <c r="F1053" s="2235"/>
      <c r="G1053" s="2235"/>
      <c r="H1053" s="2210"/>
      <c r="I1053" s="2210"/>
      <c r="J1053" s="2210"/>
      <c r="K1053" s="2211"/>
    </row>
    <row r="1054" spans="1:11">
      <c r="A1054" s="2241"/>
      <c r="B1054" s="2234"/>
      <c r="C1054" s="2210"/>
      <c r="D1054" s="2234"/>
      <c r="E1054" s="2374"/>
      <c r="F1054" s="2235"/>
      <c r="G1054" s="2235"/>
      <c r="H1054" s="2210"/>
      <c r="I1054" s="2210"/>
      <c r="J1054" s="2210"/>
      <c r="K1054" s="2211"/>
    </row>
    <row r="1055" spans="1:11">
      <c r="A1055" s="2241"/>
      <c r="B1055" s="2234"/>
      <c r="C1055" s="2210"/>
      <c r="D1055" s="2234"/>
      <c r="E1055" s="2374"/>
      <c r="F1055" s="2235"/>
      <c r="G1055" s="2235"/>
      <c r="H1055" s="2210"/>
      <c r="I1055" s="2210"/>
      <c r="J1055" s="2210"/>
      <c r="K1055" s="2211"/>
    </row>
    <row r="1056" spans="1:11">
      <c r="A1056" s="2241"/>
      <c r="B1056" s="2234"/>
      <c r="C1056" s="2210"/>
      <c r="D1056" s="2234"/>
      <c r="E1056" s="2374"/>
      <c r="F1056" s="2235"/>
      <c r="G1056" s="2235"/>
      <c r="H1056" s="2210"/>
      <c r="I1056" s="2210"/>
      <c r="J1056" s="2210"/>
      <c r="K1056" s="2211"/>
    </row>
    <row r="1057" spans="1:11">
      <c r="A1057" s="2241"/>
      <c r="B1057" s="2234"/>
      <c r="C1057" s="2210"/>
      <c r="D1057" s="2234"/>
      <c r="E1057" s="2374"/>
      <c r="F1057" s="2235"/>
      <c r="G1057" s="2235"/>
      <c r="H1057" s="2210"/>
      <c r="I1057" s="2210"/>
      <c r="J1057" s="2210"/>
      <c r="K1057" s="2211"/>
    </row>
    <row r="1058" spans="1:11">
      <c r="A1058" s="2241"/>
      <c r="B1058" s="2234"/>
      <c r="C1058" s="2210"/>
      <c r="D1058" s="2234"/>
      <c r="E1058" s="2374"/>
      <c r="F1058" s="2235"/>
      <c r="G1058" s="2235"/>
      <c r="H1058" s="2210"/>
      <c r="I1058" s="2210"/>
      <c r="J1058" s="2210"/>
      <c r="K1058" s="2211"/>
    </row>
    <row r="1059" spans="1:11">
      <c r="A1059" s="2241"/>
      <c r="B1059" s="2234"/>
      <c r="C1059" s="2210"/>
      <c r="D1059" s="2234"/>
      <c r="E1059" s="2374"/>
      <c r="F1059" s="2235"/>
      <c r="G1059" s="2235"/>
      <c r="H1059" s="2210"/>
      <c r="I1059" s="2210"/>
      <c r="J1059" s="2210"/>
      <c r="K1059" s="2211"/>
    </row>
    <row r="1060" spans="1:11">
      <c r="A1060" s="2241"/>
      <c r="B1060" s="2234"/>
      <c r="C1060" s="2210"/>
      <c r="D1060" s="2234"/>
      <c r="E1060" s="2374"/>
      <c r="F1060" s="2235"/>
      <c r="G1060" s="2235"/>
      <c r="H1060" s="2210"/>
      <c r="I1060" s="2210"/>
      <c r="J1060" s="2210"/>
      <c r="K1060" s="2211"/>
    </row>
    <row r="1061" spans="1:11">
      <c r="A1061" s="2241"/>
      <c r="B1061" s="2234"/>
      <c r="C1061" s="2210"/>
      <c r="D1061" s="2234"/>
      <c r="E1061" s="2374"/>
      <c r="F1061" s="2235"/>
      <c r="G1061" s="2235"/>
      <c r="H1061" s="2210"/>
      <c r="I1061" s="2210"/>
      <c r="J1061" s="2210"/>
      <c r="K1061" s="2211"/>
    </row>
    <row r="1062" spans="1:11">
      <c r="A1062" s="2241"/>
      <c r="B1062" s="2234"/>
      <c r="C1062" s="2210"/>
      <c r="D1062" s="2234"/>
      <c r="E1062" s="2374"/>
      <c r="F1062" s="2235"/>
      <c r="G1062" s="2235"/>
      <c r="H1062" s="2210"/>
      <c r="I1062" s="2210"/>
      <c r="J1062" s="2210"/>
      <c r="K1062" s="2211"/>
    </row>
    <row r="1063" spans="1:11">
      <c r="A1063" s="2241"/>
      <c r="B1063" s="2234"/>
      <c r="C1063" s="2210"/>
      <c r="D1063" s="2234"/>
      <c r="E1063" s="2374"/>
      <c r="F1063" s="2235"/>
      <c r="G1063" s="2235"/>
      <c r="H1063" s="2210"/>
      <c r="I1063" s="2210"/>
      <c r="J1063" s="2210"/>
      <c r="K1063" s="2211"/>
    </row>
    <row r="1064" spans="1:11">
      <c r="A1064" s="2241"/>
      <c r="B1064" s="2234"/>
      <c r="C1064" s="2210"/>
      <c r="D1064" s="2234"/>
      <c r="E1064" s="2374"/>
      <c r="F1064" s="2235"/>
      <c r="G1064" s="2235"/>
      <c r="H1064" s="2210"/>
      <c r="I1064" s="2210"/>
      <c r="J1064" s="2210"/>
      <c r="K1064" s="2211"/>
    </row>
    <row r="1065" spans="1:11">
      <c r="A1065" s="2241"/>
      <c r="B1065" s="2234"/>
      <c r="C1065" s="2210"/>
      <c r="D1065" s="2234"/>
      <c r="E1065" s="2374"/>
      <c r="F1065" s="2235"/>
      <c r="G1065" s="2235"/>
      <c r="H1065" s="2210"/>
      <c r="I1065" s="2210"/>
      <c r="J1065" s="2210"/>
      <c r="K1065" s="2211"/>
    </row>
    <row r="1066" spans="1:11">
      <c r="A1066" s="2241"/>
      <c r="B1066" s="2234"/>
      <c r="C1066" s="2210"/>
      <c r="D1066" s="2234"/>
      <c r="E1066" s="2374"/>
      <c r="F1066" s="2235"/>
      <c r="G1066" s="2235"/>
      <c r="H1066" s="2210"/>
      <c r="I1066" s="2210"/>
      <c r="J1066" s="2210"/>
      <c r="K1066" s="2211"/>
    </row>
    <row r="1067" spans="1:11">
      <c r="A1067" s="2241"/>
      <c r="B1067" s="2234"/>
      <c r="C1067" s="2210"/>
      <c r="D1067" s="2234"/>
      <c r="E1067" s="2374"/>
      <c r="F1067" s="2235"/>
      <c r="G1067" s="2235"/>
      <c r="H1067" s="2210"/>
      <c r="I1067" s="2210"/>
      <c r="J1067" s="2210"/>
      <c r="K1067" s="2211"/>
    </row>
    <row r="1068" spans="1:11">
      <c r="A1068" s="2241"/>
      <c r="B1068" s="2234"/>
      <c r="C1068" s="2210"/>
      <c r="D1068" s="2234"/>
      <c r="E1068" s="2374"/>
      <c r="F1068" s="2235"/>
      <c r="G1068" s="2235"/>
      <c r="H1068" s="2210"/>
      <c r="I1068" s="2210"/>
      <c r="J1068" s="2210"/>
      <c r="K1068" s="2211"/>
    </row>
    <row r="1069" spans="1:11">
      <c r="A1069" s="2241"/>
      <c r="B1069" s="2234"/>
      <c r="C1069" s="2210"/>
      <c r="D1069" s="2234"/>
      <c r="E1069" s="2374"/>
      <c r="F1069" s="2235"/>
      <c r="G1069" s="2235"/>
      <c r="H1069" s="2210"/>
      <c r="I1069" s="2210"/>
      <c r="J1069" s="2210"/>
      <c r="K1069" s="2211"/>
    </row>
    <row r="1070" spans="1:11">
      <c r="A1070" s="2241"/>
      <c r="B1070" s="2234"/>
      <c r="C1070" s="2210"/>
      <c r="D1070" s="2234"/>
      <c r="E1070" s="2374"/>
      <c r="F1070" s="2235"/>
      <c r="G1070" s="2235"/>
      <c r="H1070" s="2210"/>
      <c r="I1070" s="2210"/>
      <c r="J1070" s="2210"/>
      <c r="K1070" s="2211"/>
    </row>
    <row r="1071" spans="1:11">
      <c r="A1071" s="2241"/>
      <c r="B1071" s="2234"/>
      <c r="C1071" s="2210"/>
      <c r="D1071" s="2234"/>
      <c r="E1071" s="2374"/>
      <c r="F1071" s="2235"/>
      <c r="G1071" s="2235"/>
      <c r="H1071" s="2210"/>
      <c r="I1071" s="2210"/>
      <c r="J1071" s="2210"/>
      <c r="K1071" s="2211"/>
    </row>
    <row r="1072" spans="1:11">
      <c r="A1072" s="2241"/>
      <c r="B1072" s="2234"/>
      <c r="C1072" s="2210"/>
      <c r="D1072" s="2234"/>
      <c r="E1072" s="2374"/>
      <c r="F1072" s="2235"/>
      <c r="G1072" s="2235"/>
      <c r="H1072" s="2210"/>
      <c r="I1072" s="2210"/>
      <c r="J1072" s="2210"/>
      <c r="K1072" s="2211"/>
    </row>
    <row r="1073" spans="1:11">
      <c r="A1073" s="2241"/>
      <c r="B1073" s="2234"/>
      <c r="C1073" s="2210"/>
      <c r="D1073" s="2234"/>
      <c r="E1073" s="2374"/>
      <c r="F1073" s="2235"/>
      <c r="G1073" s="2235"/>
      <c r="H1073" s="2210"/>
      <c r="I1073" s="2210"/>
      <c r="J1073" s="2210"/>
      <c r="K1073" s="2211"/>
    </row>
    <row r="1074" spans="1:11">
      <c r="A1074" s="2241"/>
      <c r="B1074" s="2234"/>
      <c r="C1074" s="2210"/>
      <c r="D1074" s="2234"/>
      <c r="E1074" s="2374"/>
      <c r="F1074" s="2235"/>
      <c r="G1074" s="2235"/>
      <c r="H1074" s="2210"/>
      <c r="I1074" s="2210"/>
      <c r="J1074" s="2210"/>
      <c r="K1074" s="2211"/>
    </row>
    <row r="1075" spans="1:11">
      <c r="A1075" s="2241"/>
      <c r="B1075" s="2234"/>
      <c r="C1075" s="2210"/>
      <c r="D1075" s="2234"/>
      <c r="E1075" s="2374"/>
      <c r="F1075" s="2235"/>
      <c r="G1075" s="2235"/>
      <c r="H1075" s="2210"/>
      <c r="I1075" s="2210"/>
      <c r="J1075" s="2210"/>
      <c r="K1075" s="2211"/>
    </row>
    <row r="1076" spans="1:11">
      <c r="A1076" s="2241"/>
      <c r="B1076" s="2234"/>
      <c r="C1076" s="2210"/>
      <c r="D1076" s="2234"/>
      <c r="E1076" s="2374"/>
      <c r="F1076" s="2235"/>
      <c r="G1076" s="2235"/>
      <c r="H1076" s="2210"/>
      <c r="I1076" s="2210"/>
      <c r="J1076" s="2210"/>
      <c r="K1076" s="2211"/>
    </row>
    <row r="1077" spans="1:11">
      <c r="A1077" s="2241"/>
      <c r="B1077" s="2234"/>
      <c r="C1077" s="2210"/>
      <c r="D1077" s="2234"/>
      <c r="E1077" s="2374"/>
      <c r="F1077" s="2235"/>
      <c r="G1077" s="2235"/>
      <c r="H1077" s="2210"/>
      <c r="I1077" s="2210"/>
      <c r="J1077" s="2210"/>
      <c r="K1077" s="2211"/>
    </row>
    <row r="1078" spans="1:11">
      <c r="A1078" s="2241"/>
      <c r="B1078" s="2234"/>
      <c r="C1078" s="2210"/>
      <c r="D1078" s="2234"/>
      <c r="E1078" s="2374"/>
      <c r="F1078" s="2235"/>
      <c r="G1078" s="2235"/>
      <c r="H1078" s="2210"/>
      <c r="I1078" s="2210"/>
      <c r="J1078" s="2210"/>
      <c r="K1078" s="2211"/>
    </row>
    <row r="1079" spans="1:11">
      <c r="A1079" s="2241"/>
      <c r="B1079" s="2234"/>
      <c r="C1079" s="2210"/>
      <c r="D1079" s="2234"/>
      <c r="E1079" s="2374"/>
      <c r="F1079" s="2235"/>
      <c r="G1079" s="2235"/>
      <c r="H1079" s="2210"/>
      <c r="I1079" s="2210"/>
      <c r="J1079" s="2210"/>
      <c r="K1079" s="2211"/>
    </row>
    <row r="1080" spans="1:11">
      <c r="A1080" s="2241"/>
      <c r="B1080" s="2234"/>
      <c r="C1080" s="2210"/>
      <c r="D1080" s="2234"/>
      <c r="E1080" s="2374"/>
      <c r="F1080" s="2235"/>
      <c r="G1080" s="2235"/>
      <c r="H1080" s="2210"/>
      <c r="I1080" s="2210"/>
      <c r="J1080" s="2210"/>
      <c r="K1080" s="2211"/>
    </row>
    <row r="1081" spans="1:11">
      <c r="A1081" s="2241"/>
      <c r="B1081" s="2234"/>
      <c r="C1081" s="2210"/>
      <c r="D1081" s="2234"/>
      <c r="E1081" s="2374"/>
      <c r="F1081" s="2235"/>
      <c r="G1081" s="2235"/>
      <c r="H1081" s="2210"/>
      <c r="I1081" s="2210"/>
      <c r="J1081" s="2210"/>
      <c r="K1081" s="2211"/>
    </row>
    <row r="1082" spans="1:11">
      <c r="A1082" s="2241"/>
      <c r="B1082" s="2234"/>
      <c r="C1082" s="2210"/>
      <c r="D1082" s="2234"/>
      <c r="E1082" s="2374"/>
      <c r="F1082" s="2235"/>
      <c r="G1082" s="2235"/>
      <c r="H1082" s="2210"/>
      <c r="I1082" s="2210"/>
      <c r="J1082" s="2210"/>
      <c r="K1082" s="2211"/>
    </row>
    <row r="1083" spans="1:11">
      <c r="A1083" s="2241"/>
      <c r="B1083" s="2234"/>
      <c r="C1083" s="2210"/>
      <c r="D1083" s="2234"/>
      <c r="E1083" s="2374"/>
      <c r="F1083" s="2235"/>
      <c r="G1083" s="2235"/>
      <c r="H1083" s="2210"/>
      <c r="I1083" s="2210"/>
      <c r="J1083" s="2210"/>
      <c r="K1083" s="2211"/>
    </row>
    <row r="1084" spans="1:11">
      <c r="A1084" s="2241"/>
      <c r="B1084" s="2234"/>
      <c r="C1084" s="2210"/>
      <c r="D1084" s="2234"/>
      <c r="E1084" s="2374"/>
      <c r="F1084" s="2235"/>
      <c r="G1084" s="2235"/>
      <c r="H1084" s="2210"/>
      <c r="I1084" s="2210"/>
      <c r="J1084" s="2210"/>
      <c r="K1084" s="2211"/>
    </row>
    <row r="1085" spans="1:11">
      <c r="A1085" s="2241"/>
      <c r="B1085" s="2234"/>
      <c r="C1085" s="2210"/>
      <c r="D1085" s="2234"/>
      <c r="E1085" s="2374"/>
      <c r="F1085" s="2235"/>
      <c r="G1085" s="2235"/>
      <c r="H1085" s="2210"/>
      <c r="I1085" s="2210"/>
      <c r="J1085" s="2210"/>
      <c r="K1085" s="2211"/>
    </row>
    <row r="1086" spans="1:11">
      <c r="A1086" s="2241"/>
      <c r="B1086" s="2234"/>
      <c r="C1086" s="2210"/>
      <c r="D1086" s="2234"/>
      <c r="E1086" s="2374"/>
      <c r="F1086" s="2235"/>
      <c r="G1086" s="2235"/>
      <c r="H1086" s="2210"/>
      <c r="I1086" s="2210"/>
      <c r="J1086" s="2210"/>
      <c r="K1086" s="2211"/>
    </row>
    <row r="1087" spans="1:11">
      <c r="A1087" s="2241"/>
      <c r="B1087" s="2234"/>
      <c r="C1087" s="2210"/>
      <c r="D1087" s="2234"/>
      <c r="E1087" s="2374"/>
      <c r="F1087" s="2235"/>
      <c r="G1087" s="2235"/>
      <c r="H1087" s="2210"/>
      <c r="I1087" s="2210"/>
      <c r="J1087" s="2210"/>
      <c r="K1087" s="2211"/>
    </row>
    <row r="1088" spans="1:11">
      <c r="A1088" s="2241"/>
      <c r="B1088" s="2234"/>
      <c r="C1088" s="2210"/>
      <c r="D1088" s="2234"/>
      <c r="E1088" s="2374"/>
      <c r="F1088" s="2235"/>
      <c r="G1088" s="2235"/>
      <c r="H1088" s="2210"/>
      <c r="I1088" s="2210"/>
      <c r="J1088" s="2210"/>
      <c r="K1088" s="2211"/>
    </row>
    <row r="1089" spans="1:11">
      <c r="A1089" s="2241"/>
      <c r="B1089" s="2234"/>
      <c r="C1089" s="2210"/>
      <c r="D1089" s="2234"/>
      <c r="E1089" s="2374"/>
      <c r="F1089" s="2235"/>
      <c r="G1089" s="2235"/>
      <c r="H1089" s="2210"/>
      <c r="I1089" s="2210"/>
      <c r="J1089" s="2210"/>
      <c r="K1089" s="2211"/>
    </row>
    <row r="1090" spans="1:11">
      <c r="A1090" s="2241"/>
      <c r="B1090" s="2234"/>
      <c r="C1090" s="2210"/>
      <c r="D1090" s="2234"/>
      <c r="E1090" s="2374"/>
      <c r="F1090" s="2235"/>
      <c r="G1090" s="2235"/>
      <c r="H1090" s="2210"/>
      <c r="I1090" s="2210"/>
      <c r="J1090" s="2210"/>
      <c r="K1090" s="2211"/>
    </row>
    <row r="1091" spans="1:11">
      <c r="A1091" s="2241"/>
      <c r="B1091" s="2234"/>
      <c r="C1091" s="2210"/>
      <c r="D1091" s="2234"/>
      <c r="E1091" s="2374"/>
      <c r="F1091" s="2235"/>
      <c r="G1091" s="2235"/>
      <c r="H1091" s="2210"/>
      <c r="I1091" s="2210"/>
      <c r="J1091" s="2210"/>
      <c r="K1091" s="2211"/>
    </row>
    <row r="1092" spans="1:11">
      <c r="A1092" s="2241"/>
      <c r="B1092" s="2234"/>
      <c r="C1092" s="2210"/>
      <c r="D1092" s="2234"/>
      <c r="E1092" s="2374"/>
      <c r="F1092" s="2235"/>
      <c r="G1092" s="2235"/>
      <c r="H1092" s="2210"/>
      <c r="I1092" s="2210"/>
      <c r="J1092" s="2210"/>
      <c r="K1092" s="2211"/>
    </row>
    <row r="1093" spans="1:11">
      <c r="A1093" s="2241"/>
      <c r="B1093" s="2234"/>
      <c r="C1093" s="2210"/>
      <c r="D1093" s="2234"/>
      <c r="E1093" s="2374"/>
      <c r="F1093" s="2235"/>
      <c r="G1093" s="2235"/>
      <c r="H1093" s="2210"/>
      <c r="I1093" s="2210"/>
      <c r="J1093" s="2210"/>
      <c r="K1093" s="2211"/>
    </row>
    <row r="1094" spans="1:11">
      <c r="A1094" s="2241"/>
      <c r="B1094" s="2234"/>
      <c r="C1094" s="2210"/>
      <c r="D1094" s="2234"/>
      <c r="E1094" s="2374"/>
      <c r="F1094" s="2235"/>
      <c r="G1094" s="2235"/>
      <c r="H1094" s="2210"/>
      <c r="I1094" s="2210"/>
      <c r="J1094" s="2210"/>
      <c r="K1094" s="2211"/>
    </row>
    <row r="1095" spans="1:11">
      <c r="A1095" s="2241"/>
      <c r="B1095" s="2234"/>
      <c r="C1095" s="2210"/>
      <c r="D1095" s="2234"/>
      <c r="E1095" s="2374"/>
      <c r="F1095" s="2235"/>
      <c r="G1095" s="2235"/>
      <c r="H1095" s="2210"/>
      <c r="I1095" s="2210"/>
      <c r="J1095" s="2210"/>
      <c r="K1095" s="2211"/>
    </row>
    <row r="1096" spans="1:11">
      <c r="A1096" s="2241"/>
      <c r="B1096" s="2234"/>
      <c r="C1096" s="2210"/>
      <c r="D1096" s="2234"/>
      <c r="E1096" s="2374"/>
      <c r="F1096" s="2235"/>
      <c r="G1096" s="2235"/>
      <c r="H1096" s="2210"/>
      <c r="I1096" s="2210"/>
      <c r="J1096" s="2210"/>
      <c r="K1096" s="2211"/>
    </row>
    <row r="1097" spans="1:11">
      <c r="A1097" s="2241"/>
      <c r="B1097" s="2234"/>
      <c r="C1097" s="2210"/>
      <c r="D1097" s="2234"/>
      <c r="E1097" s="2374"/>
      <c r="F1097" s="2235"/>
      <c r="G1097" s="2235"/>
      <c r="H1097" s="2210"/>
      <c r="I1097" s="2210"/>
      <c r="J1097" s="2210"/>
      <c r="K1097" s="2211"/>
    </row>
    <row r="1098" spans="1:11">
      <c r="A1098" s="2241"/>
      <c r="B1098" s="2234"/>
      <c r="C1098" s="2210"/>
      <c r="D1098" s="2234"/>
      <c r="E1098" s="2374"/>
      <c r="F1098" s="2235"/>
      <c r="G1098" s="2235"/>
      <c r="H1098" s="2210"/>
      <c r="I1098" s="2210"/>
      <c r="J1098" s="2210"/>
      <c r="K1098" s="2211"/>
    </row>
    <row r="1099" spans="1:11">
      <c r="A1099" s="2241"/>
      <c r="B1099" s="2234"/>
      <c r="C1099" s="2210"/>
      <c r="D1099" s="2234"/>
      <c r="E1099" s="2374"/>
      <c r="F1099" s="2235"/>
      <c r="G1099" s="2235"/>
      <c r="H1099" s="2210"/>
      <c r="I1099" s="2210"/>
      <c r="J1099" s="2210"/>
      <c r="K1099" s="2211"/>
    </row>
    <row r="1100" spans="1:11">
      <c r="A1100" s="2241"/>
      <c r="B1100" s="2234"/>
      <c r="C1100" s="2210"/>
      <c r="D1100" s="2234"/>
      <c r="E1100" s="2374"/>
      <c r="F1100" s="2235"/>
      <c r="G1100" s="2235"/>
      <c r="H1100" s="2210"/>
      <c r="I1100" s="2210"/>
      <c r="J1100" s="2210"/>
      <c r="K1100" s="2211"/>
    </row>
    <row r="1101" spans="1:11">
      <c r="A1101" s="2241"/>
      <c r="B1101" s="2234"/>
      <c r="C1101" s="2210"/>
      <c r="D1101" s="2234"/>
      <c r="E1101" s="2374"/>
      <c r="F1101" s="2235"/>
      <c r="G1101" s="2235"/>
      <c r="H1101" s="2210"/>
      <c r="I1101" s="2210"/>
      <c r="J1101" s="2210"/>
      <c r="K1101" s="2211"/>
    </row>
    <row r="1102" spans="1:11">
      <c r="A1102" s="2241"/>
      <c r="B1102" s="2234"/>
      <c r="C1102" s="2210"/>
      <c r="D1102" s="2234"/>
      <c r="E1102" s="2374"/>
      <c r="F1102" s="2235"/>
      <c r="G1102" s="2235"/>
      <c r="H1102" s="2210"/>
      <c r="I1102" s="2210"/>
      <c r="J1102" s="2210"/>
      <c r="K1102" s="2211"/>
    </row>
    <row r="1103" spans="1:11">
      <c r="A1103" s="2241"/>
      <c r="B1103" s="2234"/>
      <c r="C1103" s="2210"/>
      <c r="D1103" s="2234"/>
      <c r="E1103" s="2374"/>
      <c r="F1103" s="2235"/>
      <c r="G1103" s="2235"/>
      <c r="H1103" s="2210"/>
      <c r="I1103" s="2210"/>
      <c r="J1103" s="2210"/>
      <c r="K1103" s="2211"/>
    </row>
    <row r="1104" spans="1:11">
      <c r="A1104" s="2241"/>
      <c r="B1104" s="2234"/>
      <c r="C1104" s="2210"/>
      <c r="D1104" s="2234"/>
      <c r="E1104" s="2374"/>
      <c r="F1104" s="2235"/>
      <c r="G1104" s="2235"/>
      <c r="H1104" s="2210"/>
      <c r="I1104" s="2210"/>
      <c r="J1104" s="2210"/>
      <c r="K1104" s="2211"/>
    </row>
    <row r="1105" spans="1:11">
      <c r="A1105" s="2241"/>
      <c r="B1105" s="2234"/>
      <c r="C1105" s="2210"/>
      <c r="D1105" s="2234"/>
      <c r="E1105" s="2374"/>
      <c r="F1105" s="2235"/>
      <c r="G1105" s="2235"/>
      <c r="H1105" s="2210"/>
      <c r="I1105" s="2210"/>
      <c r="J1105" s="2210"/>
      <c r="K1105" s="2211"/>
    </row>
    <row r="1106" spans="1:11">
      <c r="A1106" s="2241"/>
      <c r="B1106" s="2234"/>
      <c r="C1106" s="2210"/>
      <c r="D1106" s="2234"/>
      <c r="E1106" s="2374"/>
      <c r="F1106" s="2235"/>
      <c r="G1106" s="2235"/>
      <c r="H1106" s="2210"/>
      <c r="I1106" s="2210"/>
      <c r="J1106" s="2210"/>
      <c r="K1106" s="2211"/>
    </row>
    <row r="1107" spans="1:11">
      <c r="A1107" s="2241"/>
      <c r="B1107" s="2234"/>
      <c r="C1107" s="2210"/>
      <c r="D1107" s="2234"/>
      <c r="E1107" s="2374"/>
      <c r="F1107" s="2235"/>
      <c r="G1107" s="2235"/>
      <c r="H1107" s="2210"/>
      <c r="I1107" s="2210"/>
      <c r="J1107" s="2210"/>
      <c r="K1107" s="2211"/>
    </row>
    <row r="1108" spans="1:11">
      <c r="A1108" s="2241"/>
      <c r="B1108" s="2234"/>
      <c r="C1108" s="2210"/>
      <c r="D1108" s="2234"/>
      <c r="E1108" s="2374"/>
      <c r="F1108" s="2235"/>
      <c r="G1108" s="2235"/>
      <c r="H1108" s="2210"/>
      <c r="I1108" s="2210"/>
      <c r="J1108" s="2210"/>
      <c r="K1108" s="2211"/>
    </row>
    <row r="1109" spans="1:11">
      <c r="A1109" s="2241"/>
      <c r="B1109" s="2234"/>
      <c r="C1109" s="2210"/>
      <c r="D1109" s="2234"/>
      <c r="E1109" s="2374"/>
      <c r="F1109" s="2235"/>
      <c r="G1109" s="2235"/>
      <c r="H1109" s="2210"/>
      <c r="I1109" s="2210"/>
      <c r="J1109" s="2210"/>
      <c r="K1109" s="2211"/>
    </row>
    <row r="1110" spans="1:11">
      <c r="A1110" s="2241"/>
      <c r="B1110" s="2234"/>
      <c r="C1110" s="2210"/>
      <c r="D1110" s="2234"/>
      <c r="E1110" s="2374"/>
      <c r="F1110" s="2235"/>
      <c r="G1110" s="2235"/>
      <c r="H1110" s="2210"/>
      <c r="I1110" s="2210"/>
      <c r="J1110" s="2210"/>
      <c r="K1110" s="2211"/>
    </row>
    <row r="1111" spans="1:11">
      <c r="A1111" s="2241"/>
      <c r="B1111" s="2234"/>
      <c r="C1111" s="2210"/>
      <c r="D1111" s="2234"/>
      <c r="E1111" s="2374"/>
      <c r="F1111" s="2235"/>
      <c r="G1111" s="2235"/>
      <c r="H1111" s="2210"/>
      <c r="I1111" s="2210"/>
      <c r="J1111" s="2210"/>
      <c r="K1111" s="2211"/>
    </row>
    <row r="1112" spans="1:11">
      <c r="A1112" s="2241"/>
      <c r="B1112" s="2234"/>
      <c r="C1112" s="2210"/>
      <c r="D1112" s="2234"/>
      <c r="E1112" s="2374"/>
      <c r="F1112" s="2235"/>
      <c r="G1112" s="2235"/>
      <c r="H1112" s="2210"/>
      <c r="I1112" s="2210"/>
      <c r="J1112" s="2210"/>
      <c r="K1112" s="2211"/>
    </row>
    <row r="1113" spans="1:11">
      <c r="A1113" s="2241"/>
      <c r="B1113" s="2234"/>
      <c r="C1113" s="2210"/>
      <c r="D1113" s="2234"/>
      <c r="E1113" s="2374"/>
      <c r="F1113" s="2235"/>
      <c r="G1113" s="2235"/>
      <c r="H1113" s="2210"/>
      <c r="I1113" s="2210"/>
      <c r="J1113" s="2210"/>
      <c r="K1113" s="2211"/>
    </row>
    <row r="1114" spans="1:11">
      <c r="A1114" s="2241"/>
      <c r="B1114" s="2234"/>
      <c r="C1114" s="2210"/>
      <c r="D1114" s="2234"/>
      <c r="E1114" s="2374"/>
      <c r="F1114" s="2235"/>
      <c r="G1114" s="2235"/>
      <c r="H1114" s="2210"/>
      <c r="I1114" s="2210"/>
      <c r="J1114" s="2210"/>
      <c r="K1114" s="2211"/>
    </row>
    <row r="1115" spans="1:11">
      <c r="A1115" s="2241"/>
      <c r="B1115" s="2234"/>
      <c r="C1115" s="2210"/>
      <c r="D1115" s="2234"/>
      <c r="E1115" s="2374"/>
      <c r="F1115" s="2235"/>
      <c r="G1115" s="2235"/>
      <c r="H1115" s="2210"/>
      <c r="I1115" s="2210"/>
      <c r="J1115" s="2210"/>
      <c r="K1115" s="2211"/>
    </row>
    <row r="1116" spans="1:11">
      <c r="A1116" s="2241"/>
      <c r="B1116" s="2234"/>
      <c r="C1116" s="2210"/>
      <c r="D1116" s="2234"/>
      <c r="E1116" s="2374"/>
      <c r="F1116" s="2235"/>
      <c r="G1116" s="2235"/>
      <c r="H1116" s="2210"/>
      <c r="I1116" s="2210"/>
      <c r="J1116" s="2210"/>
      <c r="K1116" s="2211"/>
    </row>
    <row r="1117" spans="1:11">
      <c r="A1117" s="2241"/>
      <c r="B1117" s="2234"/>
      <c r="C1117" s="2210"/>
      <c r="D1117" s="2234"/>
      <c r="E1117" s="2374"/>
      <c r="F1117" s="2235"/>
      <c r="G1117" s="2235"/>
      <c r="H1117" s="2210"/>
      <c r="I1117" s="2210"/>
      <c r="J1117" s="2210"/>
      <c r="K1117" s="2211"/>
    </row>
    <row r="1118" spans="1:11">
      <c r="A1118" s="2241"/>
      <c r="B1118" s="2234"/>
      <c r="C1118" s="2210"/>
      <c r="D1118" s="2234"/>
      <c r="E1118" s="2374"/>
      <c r="F1118" s="2235"/>
      <c r="G1118" s="2235"/>
      <c r="H1118" s="2210"/>
      <c r="I1118" s="2210"/>
      <c r="J1118" s="2210"/>
      <c r="K1118" s="2211"/>
    </row>
    <row r="1119" spans="1:11">
      <c r="A1119" s="2241"/>
      <c r="B1119" s="2234"/>
      <c r="C1119" s="2210"/>
      <c r="D1119" s="2234"/>
      <c r="E1119" s="2374"/>
      <c r="F1119" s="2235"/>
      <c r="G1119" s="2235"/>
      <c r="H1119" s="2210"/>
      <c r="I1119" s="2210"/>
      <c r="J1119" s="2210"/>
      <c r="K1119" s="2211"/>
    </row>
    <row r="1120" spans="1:11">
      <c r="A1120" s="2241"/>
      <c r="B1120" s="2234"/>
      <c r="C1120" s="2210"/>
      <c r="D1120" s="2234"/>
      <c r="E1120" s="2374"/>
      <c r="F1120" s="2235"/>
      <c r="G1120" s="2235"/>
      <c r="H1120" s="2210"/>
      <c r="I1120" s="2210"/>
      <c r="J1120" s="2210"/>
      <c r="K1120" s="2211"/>
    </row>
    <row r="1121" spans="1:11">
      <c r="A1121" s="2241"/>
      <c r="B1121" s="2234"/>
      <c r="C1121" s="2210"/>
      <c r="D1121" s="2234"/>
      <c r="E1121" s="2374"/>
      <c r="F1121" s="2235"/>
      <c r="G1121" s="2235"/>
      <c r="H1121" s="2210"/>
      <c r="I1121" s="2210"/>
      <c r="J1121" s="2210"/>
      <c r="K1121" s="2211"/>
    </row>
    <row r="1122" spans="1:11">
      <c r="A1122" s="2241"/>
      <c r="B1122" s="2234"/>
      <c r="C1122" s="2210"/>
      <c r="D1122" s="2234"/>
      <c r="E1122" s="2374"/>
      <c r="F1122" s="2235"/>
      <c r="G1122" s="2235"/>
      <c r="H1122" s="2210"/>
      <c r="I1122" s="2210"/>
      <c r="J1122" s="2210"/>
      <c r="K1122" s="2211"/>
    </row>
    <row r="1123" spans="1:11">
      <c r="A1123" s="2241"/>
      <c r="B1123" s="2234"/>
      <c r="C1123" s="2210"/>
      <c r="D1123" s="2234"/>
      <c r="E1123" s="2374"/>
      <c r="F1123" s="2235"/>
      <c r="G1123" s="2235"/>
      <c r="H1123" s="2210"/>
      <c r="I1123" s="2210"/>
      <c r="J1123" s="2210"/>
      <c r="K1123" s="2211"/>
    </row>
    <row r="1124" spans="1:11">
      <c r="A1124" s="2241"/>
      <c r="B1124" s="2234"/>
      <c r="C1124" s="2210"/>
      <c r="D1124" s="2234"/>
      <c r="E1124" s="2374"/>
      <c r="F1124" s="2235"/>
      <c r="G1124" s="2235"/>
      <c r="H1124" s="2210"/>
      <c r="I1124" s="2210"/>
      <c r="J1124" s="2210"/>
      <c r="K1124" s="2211"/>
    </row>
    <row r="1125" spans="1:11">
      <c r="A1125" s="2241"/>
      <c r="B1125" s="2234"/>
      <c r="C1125" s="2210"/>
      <c r="D1125" s="2234"/>
      <c r="E1125" s="2374"/>
      <c r="F1125" s="2235"/>
      <c r="G1125" s="2235"/>
      <c r="H1125" s="2210"/>
      <c r="I1125" s="2210"/>
      <c r="J1125" s="2210"/>
      <c r="K1125" s="2211"/>
    </row>
    <row r="1126" spans="1:11">
      <c r="A1126" s="2241"/>
      <c r="B1126" s="2234"/>
      <c r="C1126" s="2210"/>
      <c r="D1126" s="2234"/>
      <c r="E1126" s="2374"/>
      <c r="F1126" s="2235"/>
      <c r="G1126" s="2235"/>
      <c r="H1126" s="2210"/>
      <c r="I1126" s="2210"/>
      <c r="J1126" s="2210"/>
      <c r="K1126" s="2211"/>
    </row>
    <row r="1127" spans="1:11">
      <c r="A1127" s="2241"/>
      <c r="B1127" s="2234"/>
      <c r="C1127" s="2210"/>
      <c r="D1127" s="2234"/>
      <c r="E1127" s="2374"/>
      <c r="F1127" s="2235"/>
      <c r="G1127" s="2235"/>
      <c r="H1127" s="2210"/>
      <c r="I1127" s="2210"/>
      <c r="J1127" s="2210"/>
      <c r="K1127" s="2211"/>
    </row>
    <row r="1128" spans="1:11">
      <c r="A1128" s="2241"/>
      <c r="B1128" s="2234"/>
      <c r="C1128" s="2210"/>
      <c r="D1128" s="2234"/>
      <c r="E1128" s="2374"/>
      <c r="F1128" s="2235"/>
      <c r="G1128" s="2235"/>
      <c r="H1128" s="2210"/>
      <c r="I1128" s="2210"/>
      <c r="J1128" s="2210"/>
      <c r="K1128" s="2211"/>
    </row>
    <row r="1129" spans="1:11">
      <c r="A1129" s="2241"/>
      <c r="B1129" s="2234"/>
      <c r="C1129" s="2210"/>
      <c r="D1129" s="2234"/>
      <c r="E1129" s="2374"/>
      <c r="F1129" s="2235"/>
      <c r="G1129" s="2235"/>
      <c r="H1129" s="2210"/>
      <c r="I1129" s="2210"/>
      <c r="J1129" s="2210"/>
      <c r="K1129" s="2211"/>
    </row>
    <row r="1130" spans="1:11">
      <c r="A1130" s="2241"/>
      <c r="B1130" s="2234"/>
      <c r="C1130" s="2210"/>
      <c r="D1130" s="2234"/>
      <c r="E1130" s="2374"/>
      <c r="F1130" s="2235"/>
      <c r="G1130" s="2235"/>
      <c r="H1130" s="2210"/>
      <c r="I1130" s="2210"/>
      <c r="J1130" s="2210"/>
      <c r="K1130" s="2211"/>
    </row>
    <row r="1131" spans="1:11">
      <c r="A1131" s="2241"/>
      <c r="B1131" s="2234"/>
      <c r="C1131" s="2210"/>
      <c r="D1131" s="2234"/>
      <c r="E1131" s="2374"/>
      <c r="F1131" s="2235"/>
      <c r="G1131" s="2235"/>
      <c r="H1131" s="2210"/>
      <c r="I1131" s="2210"/>
      <c r="J1131" s="2210"/>
      <c r="K1131" s="2211"/>
    </row>
    <row r="1132" spans="1:11">
      <c r="A1132" s="2241"/>
      <c r="B1132" s="2234"/>
      <c r="C1132" s="2210"/>
      <c r="D1132" s="2234"/>
      <c r="E1132" s="2374"/>
      <c r="F1132" s="2235"/>
      <c r="G1132" s="2235"/>
      <c r="H1132" s="2210"/>
      <c r="I1132" s="2210"/>
      <c r="J1132" s="2210"/>
      <c r="K1132" s="2211"/>
    </row>
    <row r="1133" spans="1:11">
      <c r="A1133" s="2241"/>
      <c r="B1133" s="2234"/>
      <c r="C1133" s="2210"/>
      <c r="D1133" s="2234"/>
      <c r="E1133" s="2374"/>
      <c r="F1133" s="2235"/>
      <c r="G1133" s="2235"/>
      <c r="H1133" s="2210"/>
      <c r="I1133" s="2210"/>
      <c r="J1133" s="2210"/>
      <c r="K1133" s="2211"/>
    </row>
    <row r="1134" spans="1:11">
      <c r="A1134" s="2241"/>
      <c r="B1134" s="2234"/>
      <c r="C1134" s="2210"/>
      <c r="D1134" s="2234"/>
      <c r="E1134" s="2374"/>
      <c r="F1134" s="2235"/>
      <c r="G1134" s="2235"/>
      <c r="H1134" s="2210"/>
      <c r="I1134" s="2210"/>
      <c r="J1134" s="2210"/>
      <c r="K1134" s="2211"/>
    </row>
    <row r="1135" spans="1:11">
      <c r="A1135" s="2241"/>
      <c r="B1135" s="2234"/>
      <c r="C1135" s="2210"/>
      <c r="D1135" s="2234"/>
      <c r="E1135" s="2374"/>
      <c r="F1135" s="2235"/>
      <c r="G1135" s="2235"/>
      <c r="H1135" s="2210"/>
      <c r="I1135" s="2210"/>
      <c r="J1135" s="2210"/>
      <c r="K1135" s="2211"/>
    </row>
    <row r="1136" spans="1:11">
      <c r="A1136" s="2241"/>
      <c r="B1136" s="2234"/>
      <c r="C1136" s="2210"/>
      <c r="D1136" s="2234"/>
      <c r="E1136" s="2374"/>
      <c r="F1136" s="2235"/>
      <c r="G1136" s="2235"/>
      <c r="H1136" s="2210"/>
      <c r="I1136" s="2210"/>
      <c r="J1136" s="2210"/>
      <c r="K1136" s="2211"/>
    </row>
    <row r="1137" spans="1:11">
      <c r="A1137" s="2241"/>
      <c r="B1137" s="2234"/>
      <c r="C1137" s="2210"/>
      <c r="D1137" s="2234"/>
      <c r="E1137" s="2374"/>
      <c r="F1137" s="2235"/>
      <c r="G1137" s="2235"/>
      <c r="H1137" s="2210"/>
      <c r="I1137" s="2210"/>
      <c r="J1137" s="2210"/>
      <c r="K1137" s="2211"/>
    </row>
    <row r="1138" spans="1:11">
      <c r="A1138" s="2241"/>
      <c r="B1138" s="2234"/>
      <c r="C1138" s="2210"/>
      <c r="D1138" s="2234"/>
      <c r="E1138" s="2374"/>
      <c r="F1138" s="2235"/>
      <c r="G1138" s="2235"/>
      <c r="H1138" s="2210"/>
      <c r="I1138" s="2210"/>
      <c r="J1138" s="2210"/>
      <c r="K1138" s="2211"/>
    </row>
    <row r="1139" spans="1:11">
      <c r="A1139" s="2241"/>
      <c r="B1139" s="2234"/>
      <c r="C1139" s="2210"/>
      <c r="D1139" s="2234"/>
      <c r="E1139" s="2374"/>
      <c r="F1139" s="2235"/>
      <c r="G1139" s="2235"/>
      <c r="H1139" s="2210"/>
      <c r="I1139" s="2210"/>
      <c r="J1139" s="2210"/>
      <c r="K1139" s="2211"/>
    </row>
    <row r="1140" spans="1:11">
      <c r="A1140" s="2241"/>
      <c r="B1140" s="2234"/>
      <c r="C1140" s="2210"/>
      <c r="D1140" s="2234"/>
      <c r="E1140" s="2374"/>
      <c r="F1140" s="2235"/>
      <c r="G1140" s="2235"/>
      <c r="H1140" s="2210"/>
      <c r="I1140" s="2210"/>
      <c r="J1140" s="2210"/>
      <c r="K1140" s="2211"/>
    </row>
    <row r="1141" spans="1:11">
      <c r="A1141" s="2241"/>
      <c r="B1141" s="2234"/>
      <c r="C1141" s="2210"/>
      <c r="D1141" s="2234"/>
      <c r="E1141" s="2374"/>
      <c r="F1141" s="2235"/>
      <c r="G1141" s="2235"/>
      <c r="H1141" s="2210"/>
      <c r="I1141" s="2210"/>
      <c r="J1141" s="2210"/>
      <c r="K1141" s="2211"/>
    </row>
    <row r="1142" spans="1:11">
      <c r="A1142" s="2241"/>
      <c r="B1142" s="2234"/>
      <c r="C1142" s="2210"/>
      <c r="D1142" s="2234"/>
      <c r="E1142" s="2374"/>
      <c r="F1142" s="2235"/>
      <c r="G1142" s="2235"/>
      <c r="H1142" s="2210"/>
      <c r="I1142" s="2210"/>
      <c r="J1142" s="2210"/>
      <c r="K1142" s="2211"/>
    </row>
    <row r="1143" spans="1:11">
      <c r="A1143" s="2241"/>
      <c r="B1143" s="2234"/>
      <c r="C1143" s="2210"/>
      <c r="D1143" s="2234"/>
      <c r="E1143" s="2374"/>
      <c r="F1143" s="2235"/>
      <c r="G1143" s="2235"/>
      <c r="H1143" s="2210"/>
      <c r="I1143" s="2210"/>
      <c r="J1143" s="2210"/>
      <c r="K1143" s="2211"/>
    </row>
    <row r="1144" spans="1:11">
      <c r="A1144" s="2241"/>
      <c r="B1144" s="2234"/>
      <c r="C1144" s="2210"/>
      <c r="D1144" s="2234"/>
      <c r="E1144" s="2374"/>
      <c r="F1144" s="2235"/>
      <c r="G1144" s="2235"/>
      <c r="H1144" s="2210"/>
      <c r="I1144" s="2210"/>
      <c r="J1144" s="2210"/>
      <c r="K1144" s="2211"/>
    </row>
    <row r="1145" spans="1:11">
      <c r="A1145" s="2241"/>
      <c r="B1145" s="2234"/>
      <c r="C1145" s="2210"/>
      <c r="D1145" s="2234"/>
      <c r="E1145" s="2374"/>
      <c r="F1145" s="2235"/>
      <c r="G1145" s="2235"/>
      <c r="H1145" s="2210"/>
      <c r="I1145" s="2210"/>
      <c r="J1145" s="2210"/>
      <c r="K1145" s="2211"/>
    </row>
    <row r="1146" spans="1:11">
      <c r="A1146" s="2241"/>
      <c r="B1146" s="2234"/>
      <c r="C1146" s="2210"/>
      <c r="D1146" s="2234"/>
      <c r="E1146" s="2374"/>
      <c r="F1146" s="2235"/>
      <c r="G1146" s="2235"/>
      <c r="H1146" s="2210"/>
      <c r="I1146" s="2210"/>
      <c r="J1146" s="2210"/>
      <c r="K1146" s="2211"/>
    </row>
    <row r="1147" spans="1:11">
      <c r="A1147" s="2241"/>
      <c r="B1147" s="2234"/>
      <c r="C1147" s="2210"/>
      <c r="D1147" s="2234"/>
      <c r="E1147" s="2374"/>
      <c r="F1147" s="2235"/>
      <c r="G1147" s="2235"/>
      <c r="H1147" s="2210"/>
      <c r="I1147" s="2210"/>
      <c r="J1147" s="2210"/>
      <c r="K1147" s="2211"/>
    </row>
    <row r="1148" spans="1:11">
      <c r="A1148" s="2241"/>
      <c r="B1148" s="2234"/>
      <c r="C1148" s="2210"/>
      <c r="D1148" s="2234"/>
      <c r="E1148" s="2374"/>
      <c r="F1148" s="2235"/>
      <c r="G1148" s="2235"/>
      <c r="H1148" s="2210"/>
      <c r="I1148" s="2210"/>
      <c r="J1148" s="2210"/>
      <c r="K1148" s="2211"/>
    </row>
    <row r="1149" spans="1:11">
      <c r="A1149" s="2241"/>
      <c r="B1149" s="2234"/>
      <c r="C1149" s="2210"/>
      <c r="D1149" s="2234"/>
      <c r="E1149" s="2374"/>
      <c r="F1149" s="2235"/>
      <c r="G1149" s="2235"/>
      <c r="H1149" s="2210"/>
      <c r="I1149" s="2210"/>
      <c r="J1149" s="2210"/>
      <c r="K1149" s="2211"/>
    </row>
    <row r="1150" spans="1:11">
      <c r="A1150" s="2241"/>
      <c r="B1150" s="2234"/>
      <c r="C1150" s="2210"/>
      <c r="D1150" s="2234"/>
      <c r="E1150" s="2374"/>
      <c r="F1150" s="2235"/>
      <c r="G1150" s="2235"/>
      <c r="H1150" s="2210"/>
      <c r="I1150" s="2210"/>
      <c r="J1150" s="2210"/>
      <c r="K1150" s="2211"/>
    </row>
    <row r="1151" spans="1:11">
      <c r="A1151" s="2241"/>
      <c r="B1151" s="2234"/>
      <c r="C1151" s="2210"/>
      <c r="D1151" s="2234"/>
      <c r="E1151" s="2374"/>
      <c r="F1151" s="2235"/>
      <c r="G1151" s="2235"/>
      <c r="H1151" s="2210"/>
      <c r="I1151" s="2210"/>
      <c r="J1151" s="2210"/>
      <c r="K1151" s="2211"/>
    </row>
    <row r="1152" spans="1:11">
      <c r="A1152" s="2241"/>
      <c r="B1152" s="2234"/>
      <c r="C1152" s="2210"/>
      <c r="D1152" s="2234"/>
      <c r="E1152" s="2374"/>
      <c r="F1152" s="2235"/>
      <c r="G1152" s="2235"/>
      <c r="H1152" s="2210"/>
      <c r="I1152" s="2210"/>
      <c r="J1152" s="2210"/>
      <c r="K1152" s="2211"/>
    </row>
    <row r="1153" spans="1:11">
      <c r="A1153" s="2241"/>
      <c r="B1153" s="2234"/>
      <c r="C1153" s="2210"/>
      <c r="D1153" s="2234"/>
      <c r="E1153" s="2374"/>
      <c r="F1153" s="2235"/>
      <c r="G1153" s="2235"/>
      <c r="H1153" s="2210"/>
      <c r="I1153" s="2210"/>
      <c r="J1153" s="2210"/>
      <c r="K1153" s="2211"/>
    </row>
    <row r="1154" spans="1:11">
      <c r="A1154" s="2241"/>
      <c r="B1154" s="2234"/>
      <c r="C1154" s="2210"/>
      <c r="D1154" s="2234"/>
      <c r="E1154" s="2374"/>
      <c r="F1154" s="2235"/>
      <c r="G1154" s="2235"/>
      <c r="H1154" s="2210"/>
      <c r="I1154" s="2210"/>
      <c r="J1154" s="2210"/>
      <c r="K1154" s="2211"/>
    </row>
    <row r="1155" spans="1:11">
      <c r="A1155" s="2241"/>
      <c r="B1155" s="2234"/>
      <c r="C1155" s="2210"/>
      <c r="D1155" s="2234"/>
      <c r="E1155" s="2374"/>
      <c r="F1155" s="2235"/>
      <c r="G1155" s="2235"/>
      <c r="H1155" s="2210"/>
      <c r="I1155" s="2210"/>
      <c r="J1155" s="2210"/>
      <c r="K1155" s="2211"/>
    </row>
    <row r="1156" spans="1:11">
      <c r="A1156" s="2241"/>
      <c r="B1156" s="2234"/>
      <c r="C1156" s="2210"/>
      <c r="D1156" s="2234"/>
      <c r="E1156" s="2374"/>
      <c r="F1156" s="2235"/>
      <c r="G1156" s="2235"/>
      <c r="H1156" s="2210"/>
      <c r="I1156" s="2210"/>
      <c r="J1156" s="2210"/>
      <c r="K1156" s="2211"/>
    </row>
    <row r="1157" spans="1:11">
      <c r="A1157" s="2241"/>
      <c r="B1157" s="2234"/>
      <c r="C1157" s="2210"/>
      <c r="D1157" s="2234"/>
      <c r="E1157" s="2374"/>
      <c r="F1157" s="2235"/>
      <c r="G1157" s="2235"/>
      <c r="H1157" s="2210"/>
      <c r="I1157" s="2210"/>
      <c r="J1157" s="2210"/>
      <c r="K1157" s="2211"/>
    </row>
    <row r="1158" spans="1:11">
      <c r="A1158" s="2241"/>
      <c r="B1158" s="2234"/>
      <c r="C1158" s="2210"/>
      <c r="D1158" s="2234"/>
      <c r="E1158" s="2374"/>
      <c r="F1158" s="2235"/>
      <c r="G1158" s="2235"/>
      <c r="H1158" s="2210"/>
      <c r="I1158" s="2210"/>
      <c r="J1158" s="2210"/>
      <c r="K1158" s="2211"/>
    </row>
    <row r="1159" spans="1:11">
      <c r="A1159" s="2241"/>
      <c r="B1159" s="2234"/>
      <c r="C1159" s="2210"/>
      <c r="D1159" s="2234"/>
      <c r="E1159" s="2374"/>
      <c r="F1159" s="2235"/>
      <c r="G1159" s="2235"/>
      <c r="H1159" s="2210"/>
      <c r="I1159" s="2210"/>
      <c r="J1159" s="2210"/>
      <c r="K1159" s="2211"/>
    </row>
    <row r="1160" spans="1:11">
      <c r="A1160" s="2241"/>
      <c r="B1160" s="2234"/>
      <c r="C1160" s="2210"/>
      <c r="D1160" s="2234"/>
      <c r="E1160" s="2374"/>
      <c r="F1160" s="2235"/>
      <c r="G1160" s="2235"/>
      <c r="H1160" s="2210"/>
      <c r="I1160" s="2210"/>
      <c r="J1160" s="2210"/>
      <c r="K1160" s="2211"/>
    </row>
    <row r="1161" spans="1:11">
      <c r="A1161" s="2241"/>
      <c r="B1161" s="2234"/>
      <c r="C1161" s="2210"/>
      <c r="D1161" s="2234"/>
      <c r="E1161" s="2374"/>
      <c r="F1161" s="2235"/>
      <c r="G1161" s="2235"/>
      <c r="H1161" s="2210"/>
      <c r="I1161" s="2210"/>
      <c r="J1161" s="2210"/>
      <c r="K1161" s="2211"/>
    </row>
    <row r="1162" spans="1:11">
      <c r="A1162" s="2241"/>
      <c r="B1162" s="2234"/>
      <c r="C1162" s="2210"/>
      <c r="D1162" s="2234"/>
      <c r="E1162" s="2374"/>
      <c r="F1162" s="2235"/>
      <c r="G1162" s="2235"/>
      <c r="H1162" s="2210"/>
      <c r="I1162" s="2210"/>
      <c r="J1162" s="2210"/>
      <c r="K1162" s="2211"/>
    </row>
    <row r="1163" spans="1:11">
      <c r="A1163" s="2241"/>
      <c r="B1163" s="2234"/>
      <c r="C1163" s="2210"/>
      <c r="D1163" s="2234"/>
      <c r="E1163" s="2374"/>
      <c r="F1163" s="2235"/>
      <c r="G1163" s="2235"/>
      <c r="H1163" s="2210"/>
      <c r="I1163" s="2210"/>
      <c r="J1163" s="2210"/>
      <c r="K1163" s="2211"/>
    </row>
    <row r="1164" spans="1:11">
      <c r="A1164" s="2241"/>
      <c r="B1164" s="2234"/>
      <c r="C1164" s="2210"/>
      <c r="D1164" s="2234"/>
      <c r="E1164" s="2374"/>
      <c r="F1164" s="2235"/>
      <c r="G1164" s="2235"/>
      <c r="H1164" s="2210"/>
      <c r="I1164" s="2210"/>
      <c r="J1164" s="2210"/>
      <c r="K1164" s="2211"/>
    </row>
    <row r="1165" spans="1:11">
      <c r="A1165" s="2241"/>
      <c r="B1165" s="2234"/>
      <c r="C1165" s="2210"/>
      <c r="D1165" s="2234"/>
      <c r="E1165" s="2374"/>
      <c r="F1165" s="2235"/>
      <c r="G1165" s="2235"/>
      <c r="H1165" s="2210"/>
      <c r="I1165" s="2210"/>
      <c r="J1165" s="2210"/>
      <c r="K1165" s="2211"/>
    </row>
    <row r="1166" spans="1:11">
      <c r="A1166" s="2241"/>
      <c r="B1166" s="2234"/>
      <c r="C1166" s="2210"/>
      <c r="D1166" s="2234"/>
      <c r="E1166" s="2374"/>
      <c r="F1166" s="2235"/>
      <c r="G1166" s="2235"/>
      <c r="H1166" s="2210"/>
      <c r="I1166" s="2210"/>
      <c r="J1166" s="2210"/>
      <c r="K1166" s="2211"/>
    </row>
    <row r="1167" spans="1:11">
      <c r="A1167" s="2241"/>
      <c r="B1167" s="2234"/>
      <c r="C1167" s="2210"/>
      <c r="D1167" s="2234"/>
      <c r="E1167" s="2374"/>
      <c r="F1167" s="2235"/>
      <c r="G1167" s="2235"/>
      <c r="H1167" s="2210"/>
      <c r="I1167" s="2210"/>
      <c r="J1167" s="2210"/>
      <c r="K1167" s="2211"/>
    </row>
    <row r="1168" spans="1:11">
      <c r="A1168" s="2241"/>
      <c r="B1168" s="2234"/>
      <c r="C1168" s="2210"/>
      <c r="D1168" s="2234"/>
      <c r="E1168" s="2374"/>
      <c r="F1168" s="2235"/>
      <c r="G1168" s="2235"/>
      <c r="H1168" s="2210"/>
      <c r="I1168" s="2210"/>
      <c r="J1168" s="2210"/>
      <c r="K1168" s="2211"/>
    </row>
    <row r="1169" spans="1:11">
      <c r="A1169" s="2241"/>
      <c r="B1169" s="2234"/>
      <c r="C1169" s="2210"/>
      <c r="D1169" s="2234"/>
      <c r="E1169" s="2374"/>
      <c r="F1169" s="2235"/>
      <c r="G1169" s="2235"/>
      <c r="H1169" s="2210"/>
      <c r="I1169" s="2210"/>
      <c r="J1169" s="2210"/>
      <c r="K1169" s="2211"/>
    </row>
    <row r="1170" spans="1:11">
      <c r="A1170" s="2241"/>
      <c r="B1170" s="2234"/>
      <c r="C1170" s="2210"/>
      <c r="D1170" s="2234"/>
      <c r="E1170" s="2374"/>
      <c r="F1170" s="2235"/>
      <c r="G1170" s="2235"/>
      <c r="H1170" s="2210"/>
      <c r="I1170" s="2210"/>
      <c r="J1170" s="2210"/>
      <c r="K1170" s="2211"/>
    </row>
    <row r="1171" spans="1:11">
      <c r="A1171" s="2241"/>
      <c r="B1171" s="2234"/>
      <c r="C1171" s="2210"/>
      <c r="D1171" s="2234"/>
      <c r="E1171" s="2374"/>
      <c r="F1171" s="2235"/>
      <c r="G1171" s="2235"/>
      <c r="H1171" s="2210"/>
      <c r="I1171" s="2210"/>
      <c r="J1171" s="2210"/>
      <c r="K1171" s="2211"/>
    </row>
    <row r="1172" spans="1:11">
      <c r="A1172" s="2241"/>
      <c r="B1172" s="2234"/>
      <c r="C1172" s="2210"/>
      <c r="D1172" s="2234"/>
      <c r="E1172" s="2374"/>
      <c r="F1172" s="2235"/>
      <c r="G1172" s="2235"/>
      <c r="H1172" s="2210"/>
      <c r="I1172" s="2210"/>
      <c r="J1172" s="2210"/>
      <c r="K1172" s="2211"/>
    </row>
    <row r="1173" spans="1:11">
      <c r="A1173" s="2241"/>
      <c r="B1173" s="2234"/>
      <c r="C1173" s="2210"/>
      <c r="D1173" s="2234"/>
      <c r="E1173" s="2374"/>
      <c r="F1173" s="2235"/>
      <c r="G1173" s="2235"/>
      <c r="H1173" s="2210"/>
      <c r="I1173" s="2210"/>
      <c r="J1173" s="2210"/>
      <c r="K1173" s="2211"/>
    </row>
    <row r="1174" spans="1:11">
      <c r="A1174" s="2241"/>
      <c r="B1174" s="2234"/>
      <c r="C1174" s="2210"/>
      <c r="D1174" s="2234"/>
      <c r="E1174" s="2374"/>
      <c r="F1174" s="2235"/>
      <c r="G1174" s="2235"/>
      <c r="H1174" s="2210"/>
      <c r="I1174" s="2210"/>
      <c r="J1174" s="2210"/>
      <c r="K1174" s="2211"/>
    </row>
    <row r="1175" spans="1:11">
      <c r="A1175" s="2241"/>
      <c r="B1175" s="2234"/>
      <c r="C1175" s="2210"/>
      <c r="D1175" s="2234"/>
      <c r="E1175" s="2374"/>
      <c r="F1175" s="2235"/>
      <c r="G1175" s="2235"/>
      <c r="H1175" s="2210"/>
      <c r="I1175" s="2210"/>
      <c r="J1175" s="2210"/>
      <c r="K1175" s="2211"/>
    </row>
    <row r="1176" spans="1:11">
      <c r="A1176" s="2241"/>
      <c r="B1176" s="2234"/>
      <c r="C1176" s="2210"/>
      <c r="D1176" s="2234"/>
      <c r="E1176" s="2374"/>
      <c r="F1176" s="2235"/>
      <c r="G1176" s="2235"/>
      <c r="H1176" s="2210"/>
      <c r="I1176" s="2210"/>
      <c r="J1176" s="2210"/>
      <c r="K1176" s="2211"/>
    </row>
    <row r="1177" spans="1:11">
      <c r="A1177" s="2241"/>
      <c r="B1177" s="2234"/>
      <c r="C1177" s="2210"/>
      <c r="D1177" s="2234"/>
      <c r="E1177" s="2374"/>
      <c r="F1177" s="2235"/>
      <c r="G1177" s="2235"/>
      <c r="H1177" s="2210"/>
      <c r="I1177" s="2210"/>
      <c r="J1177" s="2210"/>
      <c r="K1177" s="2211"/>
    </row>
    <row r="1178" spans="1:11">
      <c r="A1178" s="2241"/>
      <c r="B1178" s="2234"/>
      <c r="C1178" s="2210"/>
      <c r="D1178" s="2234"/>
      <c r="E1178" s="2374"/>
      <c r="F1178" s="2235"/>
      <c r="G1178" s="2235"/>
      <c r="H1178" s="2210"/>
      <c r="I1178" s="2210"/>
      <c r="J1178" s="2210"/>
      <c r="K1178" s="2211"/>
    </row>
    <row r="1179" spans="1:11">
      <c r="A1179" s="2241"/>
      <c r="B1179" s="2234"/>
      <c r="C1179" s="2210"/>
      <c r="D1179" s="2234"/>
      <c r="E1179" s="2374"/>
      <c r="F1179" s="2235"/>
      <c r="G1179" s="2235"/>
      <c r="H1179" s="2210"/>
      <c r="I1179" s="2210"/>
      <c r="J1179" s="2210"/>
      <c r="K1179" s="2211"/>
    </row>
    <row r="1180" spans="1:11">
      <c r="A1180" s="2241"/>
      <c r="B1180" s="2234"/>
      <c r="C1180" s="2210"/>
      <c r="D1180" s="2234"/>
      <c r="E1180" s="2374"/>
      <c r="F1180" s="2235"/>
      <c r="G1180" s="2235"/>
      <c r="H1180" s="2210"/>
      <c r="I1180" s="2210"/>
      <c r="J1180" s="2210"/>
      <c r="K1180" s="2211"/>
    </row>
    <row r="1181" spans="1:11">
      <c r="A1181" s="2241"/>
      <c r="B1181" s="2234"/>
      <c r="C1181" s="2210"/>
      <c r="D1181" s="2234"/>
      <c r="E1181" s="2374"/>
      <c r="F1181" s="2235"/>
      <c r="G1181" s="2235"/>
      <c r="H1181" s="2210"/>
      <c r="I1181" s="2210"/>
      <c r="J1181" s="2210"/>
      <c r="K1181" s="2211"/>
    </row>
    <row r="1182" spans="1:11">
      <c r="A1182" s="2241"/>
      <c r="B1182" s="2234"/>
      <c r="C1182" s="2210"/>
      <c r="D1182" s="2234"/>
      <c r="E1182" s="2374"/>
      <c r="F1182" s="2235"/>
      <c r="G1182" s="2235"/>
      <c r="H1182" s="2210"/>
      <c r="I1182" s="2210"/>
      <c r="J1182" s="2210"/>
      <c r="K1182" s="2211"/>
    </row>
    <row r="1183" spans="1:11">
      <c r="A1183" s="2241"/>
      <c r="B1183" s="2234"/>
      <c r="C1183" s="2210"/>
      <c r="D1183" s="2234"/>
      <c r="E1183" s="2374"/>
      <c r="F1183" s="2235"/>
      <c r="G1183" s="2235"/>
      <c r="H1183" s="2210"/>
      <c r="I1183" s="2210"/>
      <c r="J1183" s="2210"/>
      <c r="K1183" s="2211"/>
    </row>
    <row r="1184" spans="1:11">
      <c r="A1184" s="2241"/>
      <c r="B1184" s="2234"/>
      <c r="C1184" s="2210"/>
      <c r="D1184" s="2234"/>
      <c r="E1184" s="2374"/>
      <c r="F1184" s="2235"/>
      <c r="G1184" s="2235"/>
      <c r="H1184" s="2210"/>
      <c r="I1184" s="2210"/>
      <c r="J1184" s="2210"/>
      <c r="K1184" s="2211"/>
    </row>
    <row r="1185" spans="1:11">
      <c r="A1185" s="2241"/>
      <c r="B1185" s="2234"/>
      <c r="C1185" s="2210"/>
      <c r="D1185" s="2234"/>
      <c r="E1185" s="2374"/>
      <c r="F1185" s="2235"/>
      <c r="G1185" s="2235"/>
      <c r="H1185" s="2210"/>
      <c r="I1185" s="2210"/>
      <c r="J1185" s="2210"/>
      <c r="K1185" s="2211"/>
    </row>
    <row r="1186" spans="1:11">
      <c r="A1186" s="2241"/>
      <c r="B1186" s="2234"/>
      <c r="C1186" s="2210"/>
      <c r="D1186" s="2234"/>
      <c r="E1186" s="2374"/>
      <c r="F1186" s="2235"/>
      <c r="G1186" s="2235"/>
      <c r="H1186" s="2210"/>
      <c r="I1186" s="2210"/>
      <c r="J1186" s="2210"/>
      <c r="K1186" s="2211"/>
    </row>
    <row r="1187" spans="1:11">
      <c r="A1187" s="2241"/>
      <c r="B1187" s="2234"/>
      <c r="C1187" s="2210"/>
      <c r="D1187" s="2234"/>
      <c r="E1187" s="2374"/>
      <c r="F1187" s="2235"/>
      <c r="G1187" s="2235"/>
      <c r="H1187" s="2210"/>
      <c r="I1187" s="2210"/>
      <c r="J1187" s="2210"/>
      <c r="K1187" s="2211"/>
    </row>
    <row r="1188" spans="1:11">
      <c r="A1188" s="2241"/>
      <c r="B1188" s="2234"/>
      <c r="C1188" s="2210"/>
      <c r="D1188" s="2234"/>
      <c r="E1188" s="2374"/>
      <c r="F1188" s="2235"/>
      <c r="G1188" s="2235"/>
      <c r="H1188" s="2210"/>
      <c r="I1188" s="2210"/>
      <c r="J1188" s="2210"/>
      <c r="K1188" s="2211"/>
    </row>
    <row r="1189" spans="1:11">
      <c r="A1189" s="2241"/>
      <c r="B1189" s="2234"/>
      <c r="C1189" s="2210"/>
      <c r="D1189" s="2234"/>
      <c r="E1189" s="2374"/>
      <c r="F1189" s="2235"/>
      <c r="G1189" s="2235"/>
      <c r="H1189" s="2210"/>
      <c r="I1189" s="2210"/>
      <c r="J1189" s="2210"/>
      <c r="K1189" s="2211"/>
    </row>
    <row r="1190" spans="1:11">
      <c r="A1190" s="2241"/>
      <c r="B1190" s="2234"/>
      <c r="C1190" s="2210"/>
      <c r="D1190" s="2234"/>
      <c r="E1190" s="2374"/>
      <c r="F1190" s="2235"/>
      <c r="G1190" s="2235"/>
      <c r="H1190" s="2210"/>
      <c r="I1190" s="2210"/>
      <c r="J1190" s="2210"/>
      <c r="K1190" s="2211"/>
    </row>
    <row r="1191" spans="1:11">
      <c r="A1191" s="2241"/>
      <c r="B1191" s="2234"/>
      <c r="C1191" s="2210"/>
      <c r="D1191" s="2234"/>
      <c r="E1191" s="2374"/>
      <c r="F1191" s="2235"/>
      <c r="G1191" s="2235"/>
      <c r="H1191" s="2210"/>
      <c r="I1191" s="2210"/>
      <c r="J1191" s="2210"/>
      <c r="K1191" s="2211"/>
    </row>
    <row r="1192" spans="1:11">
      <c r="A1192" s="2241"/>
      <c r="B1192" s="2234"/>
      <c r="C1192" s="2210"/>
      <c r="D1192" s="2234"/>
      <c r="E1192" s="2374"/>
      <c r="F1192" s="2235"/>
      <c r="G1192" s="2235"/>
      <c r="H1192" s="2210"/>
      <c r="I1192" s="2210"/>
      <c r="J1192" s="2210"/>
      <c r="K1192" s="2211"/>
    </row>
    <row r="1193" spans="1:11">
      <c r="A1193" s="2241"/>
      <c r="B1193" s="2234"/>
      <c r="C1193" s="2210"/>
      <c r="D1193" s="2234"/>
      <c r="E1193" s="2374"/>
      <c r="F1193" s="2235"/>
      <c r="G1193" s="2235"/>
      <c r="H1193" s="2210"/>
      <c r="I1193" s="2210"/>
      <c r="J1193" s="2210"/>
      <c r="K1193" s="2211"/>
    </row>
    <row r="1194" spans="1:11">
      <c r="A1194" s="2241"/>
      <c r="B1194" s="2234"/>
      <c r="C1194" s="2210"/>
      <c r="D1194" s="2234"/>
      <c r="E1194" s="2374"/>
      <c r="F1194" s="2235"/>
      <c r="G1194" s="2235"/>
      <c r="H1194" s="2210"/>
      <c r="I1194" s="2210"/>
      <c r="J1194" s="2210"/>
      <c r="K1194" s="2211"/>
    </row>
    <row r="1195" spans="1:11">
      <c r="A1195" s="2241"/>
      <c r="B1195" s="2234"/>
      <c r="C1195" s="2210"/>
      <c r="D1195" s="2234"/>
      <c r="E1195" s="2374"/>
      <c r="F1195" s="2235"/>
      <c r="G1195" s="2235"/>
      <c r="H1195" s="2210"/>
      <c r="I1195" s="2210"/>
      <c r="J1195" s="2210"/>
      <c r="K1195" s="2211"/>
    </row>
    <row r="1196" spans="1:11">
      <c r="A1196" s="2241"/>
      <c r="B1196" s="2234"/>
      <c r="C1196" s="2210"/>
      <c r="D1196" s="2234"/>
      <c r="E1196" s="2374"/>
      <c r="F1196" s="2235"/>
      <c r="G1196" s="2235"/>
      <c r="H1196" s="2210"/>
      <c r="I1196" s="2210"/>
      <c r="J1196" s="2210"/>
      <c r="K1196" s="2211"/>
    </row>
    <row r="1197" spans="1:11">
      <c r="A1197" s="2241"/>
      <c r="B1197" s="2234"/>
      <c r="C1197" s="2210"/>
      <c r="D1197" s="2234"/>
      <c r="E1197" s="2374"/>
      <c r="F1197" s="2235"/>
      <c r="G1197" s="2235"/>
      <c r="H1197" s="2210"/>
      <c r="I1197" s="2210"/>
      <c r="J1197" s="2210"/>
      <c r="K1197" s="2211"/>
    </row>
    <row r="1198" spans="1:11">
      <c r="A1198" s="2241"/>
      <c r="B1198" s="2234"/>
      <c r="C1198" s="2210"/>
      <c r="D1198" s="2234"/>
      <c r="E1198" s="2374"/>
      <c r="F1198" s="2235"/>
      <c r="G1198" s="2235"/>
      <c r="H1198" s="2210"/>
      <c r="I1198" s="2210"/>
      <c r="J1198" s="2210"/>
      <c r="K1198" s="2211"/>
    </row>
    <row r="1199" spans="1:11">
      <c r="A1199" s="2241"/>
      <c r="B1199" s="2234"/>
      <c r="C1199" s="2210"/>
      <c r="D1199" s="2234"/>
      <c r="E1199" s="2374"/>
      <c r="F1199" s="2235"/>
      <c r="G1199" s="2235"/>
      <c r="H1199" s="2210"/>
      <c r="I1199" s="2210"/>
      <c r="J1199" s="2210"/>
      <c r="K1199" s="2211"/>
    </row>
    <row r="1200" spans="1:11">
      <c r="A1200" s="2241"/>
      <c r="B1200" s="2234"/>
      <c r="C1200" s="2210"/>
      <c r="D1200" s="2234"/>
      <c r="E1200" s="2374"/>
      <c r="F1200" s="2235"/>
      <c r="G1200" s="2235"/>
      <c r="H1200" s="2210"/>
      <c r="I1200" s="2210"/>
      <c r="J1200" s="2210"/>
      <c r="K1200" s="2211"/>
    </row>
    <row r="1201" spans="1:11">
      <c r="A1201" s="2241"/>
      <c r="B1201" s="2234"/>
      <c r="C1201" s="2210"/>
      <c r="D1201" s="2234"/>
      <c r="E1201" s="2374"/>
      <c r="F1201" s="2235"/>
      <c r="G1201" s="2235"/>
      <c r="H1201" s="2210"/>
      <c r="I1201" s="2210"/>
      <c r="J1201" s="2210"/>
      <c r="K1201" s="2211"/>
    </row>
    <row r="1202" spans="1:11">
      <c r="A1202" s="2241"/>
      <c r="B1202" s="2234"/>
      <c r="C1202" s="2210"/>
      <c r="D1202" s="2234"/>
      <c r="E1202" s="2374"/>
      <c r="F1202" s="2235"/>
      <c r="G1202" s="2235"/>
      <c r="H1202" s="2210"/>
      <c r="I1202" s="2210"/>
      <c r="J1202" s="2210"/>
      <c r="K1202" s="2211"/>
    </row>
    <row r="1203" spans="1:11">
      <c r="A1203" s="2241"/>
      <c r="B1203" s="2234"/>
      <c r="C1203" s="2210"/>
      <c r="D1203" s="2234"/>
      <c r="E1203" s="2374"/>
      <c r="F1203" s="2235"/>
      <c r="G1203" s="2235"/>
      <c r="H1203" s="2210"/>
      <c r="I1203" s="2210"/>
      <c r="J1203" s="2210"/>
      <c r="K1203" s="2211"/>
    </row>
    <row r="1204" spans="1:11">
      <c r="A1204" s="2241"/>
      <c r="B1204" s="2234"/>
      <c r="C1204" s="2210"/>
      <c r="D1204" s="2234"/>
      <c r="E1204" s="2374"/>
      <c r="F1204" s="2235"/>
      <c r="G1204" s="2235"/>
      <c r="H1204" s="2210"/>
      <c r="I1204" s="2210"/>
      <c r="J1204" s="2210"/>
      <c r="K1204" s="2211"/>
    </row>
    <row r="1205" spans="1:11">
      <c r="A1205" s="2241"/>
      <c r="B1205" s="2234"/>
      <c r="C1205" s="2210"/>
      <c r="D1205" s="2234"/>
      <c r="E1205" s="2374"/>
      <c r="F1205" s="2235"/>
      <c r="G1205" s="2235"/>
      <c r="H1205" s="2210"/>
      <c r="I1205" s="2210"/>
      <c r="J1205" s="2210"/>
      <c r="K1205" s="2211"/>
    </row>
    <row r="1206" spans="1:11">
      <c r="A1206" s="2241"/>
      <c r="B1206" s="2234"/>
      <c r="C1206" s="2210"/>
      <c r="D1206" s="2234"/>
      <c r="E1206" s="2374"/>
      <c r="F1206" s="2235"/>
      <c r="G1206" s="2235"/>
      <c r="H1206" s="2210"/>
      <c r="I1206" s="2210"/>
      <c r="J1206" s="2210"/>
      <c r="K1206" s="2211"/>
    </row>
    <row r="1207" spans="1:11">
      <c r="A1207" s="2241"/>
      <c r="B1207" s="2234"/>
      <c r="C1207" s="2210"/>
      <c r="D1207" s="2234"/>
      <c r="E1207" s="2374"/>
      <c r="F1207" s="2235"/>
      <c r="G1207" s="2235"/>
      <c r="H1207" s="2210"/>
      <c r="I1207" s="2210"/>
      <c r="J1207" s="2210"/>
      <c r="K1207" s="2211"/>
    </row>
    <row r="1208" spans="1:11">
      <c r="A1208" s="2241"/>
      <c r="B1208" s="2234"/>
      <c r="C1208" s="2210"/>
      <c r="D1208" s="2234"/>
      <c r="E1208" s="2374"/>
      <c r="F1208" s="2235"/>
      <c r="G1208" s="2235"/>
      <c r="H1208" s="2210"/>
      <c r="I1208" s="2210"/>
      <c r="J1208" s="2210"/>
      <c r="K1208" s="2211"/>
    </row>
    <row r="1209" spans="1:11">
      <c r="A1209" s="2241"/>
      <c r="B1209" s="2234"/>
      <c r="C1209" s="2210"/>
      <c r="D1209" s="2234"/>
      <c r="E1209" s="2374"/>
      <c r="F1209" s="2235"/>
      <c r="G1209" s="2235"/>
      <c r="H1209" s="2210"/>
      <c r="I1209" s="2210"/>
      <c r="J1209" s="2210"/>
      <c r="K1209" s="2211"/>
    </row>
    <row r="1210" spans="1:11">
      <c r="A1210" s="2241"/>
      <c r="B1210" s="2234"/>
      <c r="C1210" s="2210"/>
      <c r="D1210" s="2234"/>
      <c r="E1210" s="2374"/>
      <c r="F1210" s="2235"/>
      <c r="G1210" s="2235"/>
      <c r="H1210" s="2210"/>
      <c r="I1210" s="2210"/>
      <c r="J1210" s="2210"/>
      <c r="K1210" s="2211"/>
    </row>
    <row r="1211" spans="1:11">
      <c r="A1211" s="2241"/>
      <c r="B1211" s="2234"/>
      <c r="C1211" s="2210"/>
      <c r="D1211" s="2234"/>
      <c r="E1211" s="2374"/>
      <c r="F1211" s="2235"/>
      <c r="G1211" s="2235"/>
      <c r="H1211" s="2210"/>
      <c r="I1211" s="2210"/>
      <c r="J1211" s="2210"/>
      <c r="K1211" s="2211"/>
    </row>
    <row r="1212" spans="1:11">
      <c r="A1212" s="2241"/>
      <c r="B1212" s="2234"/>
      <c r="C1212" s="2210"/>
      <c r="D1212" s="2234"/>
      <c r="E1212" s="2374"/>
      <c r="F1212" s="2235"/>
      <c r="G1212" s="2235"/>
      <c r="H1212" s="2210"/>
      <c r="I1212" s="2210"/>
      <c r="J1212" s="2210"/>
      <c r="K1212" s="2211"/>
    </row>
    <row r="1213" spans="1:11">
      <c r="A1213" s="2241"/>
      <c r="B1213" s="2234"/>
      <c r="C1213" s="2210"/>
      <c r="D1213" s="2234"/>
      <c r="E1213" s="2374"/>
      <c r="F1213" s="2235"/>
      <c r="G1213" s="2235"/>
      <c r="H1213" s="2210"/>
      <c r="I1213" s="2210"/>
      <c r="J1213" s="2210"/>
      <c r="K1213" s="2211"/>
    </row>
    <row r="1214" spans="1:11">
      <c r="A1214" s="2241"/>
      <c r="B1214" s="2234"/>
      <c r="C1214" s="2210"/>
      <c r="D1214" s="2234"/>
      <c r="E1214" s="2374"/>
      <c r="F1214" s="2235"/>
      <c r="G1214" s="2235"/>
      <c r="H1214" s="2210"/>
      <c r="I1214" s="2210"/>
      <c r="J1214" s="2210"/>
      <c r="K1214" s="2211"/>
    </row>
    <row r="1215" spans="1:11">
      <c r="A1215" s="2241"/>
      <c r="B1215" s="2234"/>
      <c r="C1215" s="2210"/>
      <c r="D1215" s="2234"/>
      <c r="E1215" s="2374"/>
      <c r="F1215" s="2235"/>
      <c r="G1215" s="2235"/>
      <c r="H1215" s="2210"/>
      <c r="I1215" s="2210"/>
      <c r="J1215" s="2210"/>
      <c r="K1215" s="2211"/>
    </row>
    <row r="1216" spans="1:11">
      <c r="A1216" s="2241"/>
      <c r="B1216" s="2234"/>
      <c r="C1216" s="2210"/>
      <c r="D1216" s="2234"/>
      <c r="E1216" s="2374"/>
      <c r="F1216" s="2235"/>
      <c r="G1216" s="2235"/>
      <c r="H1216" s="2210"/>
      <c r="I1216" s="2210"/>
      <c r="J1216" s="2210"/>
      <c r="K1216" s="2211"/>
    </row>
    <row r="1217" spans="1:11">
      <c r="A1217" s="2241"/>
      <c r="B1217" s="2234"/>
      <c r="C1217" s="2210"/>
      <c r="D1217" s="2234"/>
      <c r="E1217" s="2374"/>
      <c r="F1217" s="2235"/>
      <c r="G1217" s="2235"/>
      <c r="H1217" s="2210"/>
      <c r="I1217" s="2210"/>
      <c r="J1217" s="2210"/>
      <c r="K1217" s="2211"/>
    </row>
    <row r="1218" spans="1:11">
      <c r="A1218" s="2241"/>
      <c r="B1218" s="2234"/>
      <c r="C1218" s="2210"/>
      <c r="D1218" s="2234"/>
      <c r="E1218" s="2374"/>
      <c r="F1218" s="2235"/>
      <c r="G1218" s="2235"/>
      <c r="H1218" s="2210"/>
      <c r="I1218" s="2210"/>
      <c r="J1218" s="2210"/>
      <c r="K1218" s="2211"/>
    </row>
    <row r="1219" spans="1:11">
      <c r="A1219" s="2241"/>
      <c r="B1219" s="2234"/>
      <c r="C1219" s="2210"/>
      <c r="D1219" s="2234"/>
      <c r="E1219" s="2374"/>
      <c r="F1219" s="2235"/>
      <c r="G1219" s="2235"/>
      <c r="H1219" s="2210"/>
      <c r="I1219" s="2210"/>
      <c r="J1219" s="2210"/>
      <c r="K1219" s="2211"/>
    </row>
    <row r="1220" spans="1:11">
      <c r="A1220" s="2241"/>
      <c r="B1220" s="2234"/>
      <c r="C1220" s="2210"/>
      <c r="D1220" s="2234"/>
      <c r="E1220" s="2374"/>
      <c r="F1220" s="2235"/>
      <c r="G1220" s="2235"/>
      <c r="H1220" s="2210"/>
      <c r="I1220" s="2210"/>
      <c r="J1220" s="2210"/>
      <c r="K1220" s="2211"/>
    </row>
    <row r="1221" spans="1:11">
      <c r="A1221" s="2241"/>
      <c r="B1221" s="2234"/>
      <c r="C1221" s="2210"/>
      <c r="D1221" s="2234"/>
      <c r="E1221" s="2374"/>
      <c r="F1221" s="2235"/>
      <c r="G1221" s="2235"/>
      <c r="H1221" s="2210"/>
      <c r="I1221" s="2210"/>
      <c r="J1221" s="2210"/>
      <c r="K1221" s="2211"/>
    </row>
    <row r="1222" spans="1:11">
      <c r="A1222" s="2241"/>
      <c r="B1222" s="2234"/>
      <c r="C1222" s="2210"/>
      <c r="D1222" s="2234"/>
      <c r="E1222" s="2374"/>
      <c r="F1222" s="2235"/>
      <c r="G1222" s="2235"/>
      <c r="H1222" s="2210"/>
      <c r="I1222" s="2210"/>
      <c r="J1222" s="2210"/>
      <c r="K1222" s="2211"/>
    </row>
    <row r="1223" spans="1:11">
      <c r="A1223" s="2241"/>
      <c r="B1223" s="2234"/>
      <c r="C1223" s="2210"/>
      <c r="D1223" s="2234"/>
      <c r="E1223" s="2374"/>
      <c r="F1223" s="2235"/>
      <c r="G1223" s="2235"/>
      <c r="H1223" s="2210"/>
      <c r="I1223" s="2210"/>
      <c r="J1223" s="2210"/>
      <c r="K1223" s="2211"/>
    </row>
    <row r="1224" spans="1:11">
      <c r="A1224" s="2241"/>
      <c r="B1224" s="2234"/>
      <c r="C1224" s="2210"/>
      <c r="D1224" s="2234"/>
      <c r="E1224" s="2374"/>
      <c r="F1224" s="2235"/>
      <c r="G1224" s="2235"/>
      <c r="H1224" s="2210"/>
      <c r="I1224" s="2210"/>
      <c r="J1224" s="2210"/>
      <c r="K1224" s="2211"/>
    </row>
    <row r="1225" spans="1:11">
      <c r="A1225" s="2241"/>
      <c r="B1225" s="2234"/>
      <c r="C1225" s="2210"/>
      <c r="D1225" s="2234"/>
      <c r="E1225" s="2374"/>
      <c r="F1225" s="2235"/>
      <c r="G1225" s="2235"/>
      <c r="H1225" s="2210"/>
      <c r="I1225" s="2210"/>
      <c r="J1225" s="2210"/>
      <c r="K1225" s="2211"/>
    </row>
    <row r="1226" spans="1:11">
      <c r="A1226" s="2241"/>
      <c r="B1226" s="2234"/>
      <c r="C1226" s="2210"/>
      <c r="D1226" s="2234"/>
      <c r="E1226" s="2374"/>
      <c r="F1226" s="2235"/>
      <c r="G1226" s="2235"/>
      <c r="H1226" s="2210"/>
      <c r="I1226" s="2210"/>
      <c r="J1226" s="2210"/>
      <c r="K1226" s="2211"/>
    </row>
    <row r="1227" spans="1:11">
      <c r="A1227" s="2241"/>
      <c r="B1227" s="2234"/>
      <c r="C1227" s="2210"/>
      <c r="D1227" s="2234"/>
      <c r="E1227" s="2374"/>
      <c r="F1227" s="2235"/>
      <c r="G1227" s="2235"/>
      <c r="H1227" s="2210"/>
      <c r="I1227" s="2210"/>
      <c r="J1227" s="2210"/>
      <c r="K1227" s="2211"/>
    </row>
    <row r="1228" spans="1:11">
      <c r="A1228" s="2241"/>
      <c r="B1228" s="2234"/>
      <c r="C1228" s="2210"/>
      <c r="D1228" s="2234"/>
      <c r="E1228" s="2374"/>
      <c r="F1228" s="2235"/>
      <c r="G1228" s="2235"/>
      <c r="H1228" s="2210"/>
      <c r="I1228" s="2210"/>
      <c r="J1228" s="2210"/>
      <c r="K1228" s="2211"/>
    </row>
    <row r="1229" spans="1:11">
      <c r="A1229" s="2241"/>
      <c r="B1229" s="2234"/>
      <c r="C1229" s="2210"/>
      <c r="D1229" s="2234"/>
      <c r="E1229" s="2374"/>
      <c r="F1229" s="2235"/>
      <c r="G1229" s="2235"/>
      <c r="H1229" s="2210"/>
      <c r="I1229" s="2210"/>
      <c r="J1229" s="2210"/>
      <c r="K1229" s="2211"/>
    </row>
    <row r="1230" spans="1:11">
      <c r="A1230" s="2241"/>
      <c r="B1230" s="2234"/>
      <c r="C1230" s="2210"/>
      <c r="D1230" s="2234"/>
      <c r="E1230" s="2374"/>
      <c r="F1230" s="2235"/>
      <c r="G1230" s="2235"/>
      <c r="H1230" s="2210"/>
      <c r="I1230" s="2210"/>
      <c r="J1230" s="2210"/>
      <c r="K1230" s="2211"/>
    </row>
    <row r="1231" spans="1:11">
      <c r="A1231" s="2241"/>
      <c r="B1231" s="2234"/>
      <c r="C1231" s="2210"/>
      <c r="D1231" s="2234"/>
      <c r="E1231" s="2374"/>
      <c r="F1231" s="2235"/>
      <c r="G1231" s="2235"/>
      <c r="H1231" s="2210"/>
      <c r="I1231" s="2210"/>
      <c r="J1231" s="2210"/>
      <c r="K1231" s="2211"/>
    </row>
    <row r="1232" spans="1:11">
      <c r="A1232" s="2241"/>
      <c r="B1232" s="2234"/>
      <c r="C1232" s="2210"/>
      <c r="D1232" s="2234"/>
      <c r="E1232" s="2374"/>
      <c r="F1232" s="2235"/>
      <c r="G1232" s="2235"/>
      <c r="H1232" s="2210"/>
      <c r="I1232" s="2210"/>
      <c r="J1232" s="2210"/>
      <c r="K1232" s="2211"/>
    </row>
    <row r="1233" spans="1:11">
      <c r="A1233" s="2241"/>
      <c r="B1233" s="2234"/>
      <c r="C1233" s="2210"/>
      <c r="D1233" s="2234"/>
      <c r="E1233" s="2374"/>
      <c r="F1233" s="2235"/>
      <c r="G1233" s="2235"/>
      <c r="H1233" s="2210"/>
      <c r="I1233" s="2210"/>
      <c r="J1233" s="2210"/>
      <c r="K1233" s="2211"/>
    </row>
    <row r="1234" spans="1:11">
      <c r="A1234" s="2241"/>
      <c r="B1234" s="2234"/>
      <c r="C1234" s="2210"/>
      <c r="D1234" s="2234"/>
      <c r="E1234" s="2374"/>
      <c r="F1234" s="2235"/>
      <c r="G1234" s="2235"/>
      <c r="H1234" s="2210"/>
      <c r="I1234" s="2210"/>
      <c r="J1234" s="2210"/>
      <c r="K1234" s="2211"/>
    </row>
    <row r="1235" spans="1:11">
      <c r="A1235" s="2241"/>
      <c r="B1235" s="2234"/>
      <c r="C1235" s="2210"/>
      <c r="D1235" s="2234"/>
      <c r="E1235" s="2374"/>
      <c r="F1235" s="2235"/>
      <c r="G1235" s="2235"/>
      <c r="H1235" s="2210"/>
      <c r="I1235" s="2210"/>
      <c r="J1235" s="2210"/>
      <c r="K1235" s="2211"/>
    </row>
    <row r="1236" spans="1:11">
      <c r="A1236" s="2241"/>
      <c r="B1236" s="2234"/>
      <c r="C1236" s="2210"/>
      <c r="D1236" s="2234"/>
      <c r="E1236" s="2374"/>
      <c r="F1236" s="2235"/>
      <c r="G1236" s="2235"/>
      <c r="H1236" s="2210"/>
      <c r="I1236" s="2210"/>
      <c r="J1236" s="2210"/>
      <c r="K1236" s="2211"/>
    </row>
    <row r="1237" spans="1:11">
      <c r="A1237" s="2241"/>
      <c r="B1237" s="2234"/>
      <c r="C1237" s="2210"/>
      <c r="D1237" s="2234"/>
      <c r="E1237" s="2374"/>
      <c r="F1237" s="2235"/>
      <c r="G1237" s="2235"/>
      <c r="H1237" s="2210"/>
      <c r="I1237" s="2210"/>
      <c r="J1237" s="2210"/>
      <c r="K1237" s="2211"/>
    </row>
    <row r="1238" spans="1:11">
      <c r="A1238" s="2241"/>
      <c r="B1238" s="2234"/>
      <c r="C1238" s="2210"/>
      <c r="D1238" s="2234"/>
      <c r="E1238" s="2374"/>
      <c r="F1238" s="2235"/>
      <c r="G1238" s="2235"/>
      <c r="H1238" s="2210"/>
      <c r="I1238" s="2210"/>
      <c r="J1238" s="2210"/>
      <c r="K1238" s="2211"/>
    </row>
    <row r="1239" spans="1:11">
      <c r="A1239" s="2241"/>
      <c r="B1239" s="2234"/>
      <c r="C1239" s="2210"/>
      <c r="D1239" s="2234"/>
      <c r="E1239" s="2374"/>
      <c r="F1239" s="2235"/>
      <c r="G1239" s="2235"/>
      <c r="H1239" s="2210"/>
      <c r="I1239" s="2210"/>
      <c r="J1239" s="2210"/>
      <c r="K1239" s="2211"/>
    </row>
    <row r="1240" spans="1:11">
      <c r="A1240" s="2241"/>
      <c r="B1240" s="2234"/>
      <c r="C1240" s="2210"/>
      <c r="D1240" s="2234"/>
      <c r="E1240" s="2374"/>
      <c r="F1240" s="2235"/>
      <c r="G1240" s="2235"/>
      <c r="H1240" s="2210"/>
      <c r="I1240" s="2210"/>
      <c r="J1240" s="2210"/>
      <c r="K1240" s="2211"/>
    </row>
    <row r="1241" spans="1:11">
      <c r="A1241" s="2241"/>
      <c r="B1241" s="2234"/>
      <c r="C1241" s="2210"/>
      <c r="D1241" s="2234"/>
      <c r="E1241" s="2374"/>
      <c r="F1241" s="2235"/>
      <c r="G1241" s="2235"/>
      <c r="H1241" s="2210"/>
      <c r="I1241" s="2210"/>
      <c r="J1241" s="2210"/>
      <c r="K1241" s="2211"/>
    </row>
    <row r="1242" spans="1:11">
      <c r="A1242" s="2241"/>
      <c r="B1242" s="2234"/>
      <c r="C1242" s="2210"/>
      <c r="D1242" s="2234"/>
      <c r="E1242" s="2374"/>
      <c r="F1242" s="2235"/>
      <c r="G1242" s="2235"/>
      <c r="H1242" s="2210"/>
      <c r="I1242" s="2210"/>
      <c r="J1242" s="2210"/>
      <c r="K1242" s="2211"/>
    </row>
    <row r="1243" spans="1:11">
      <c r="A1243" s="2241"/>
      <c r="B1243" s="2234"/>
      <c r="C1243" s="2210"/>
      <c r="D1243" s="2234"/>
      <c r="E1243" s="2374"/>
      <c r="F1243" s="2235"/>
      <c r="G1243" s="2235"/>
      <c r="H1243" s="2210"/>
      <c r="I1243" s="2210"/>
      <c r="J1243" s="2210"/>
      <c r="K1243" s="2211"/>
    </row>
    <row r="1244" spans="1:11">
      <c r="A1244" s="2241"/>
      <c r="B1244" s="2234"/>
      <c r="C1244" s="2210"/>
      <c r="D1244" s="2234"/>
      <c r="E1244" s="2374"/>
      <c r="F1244" s="2235"/>
      <c r="G1244" s="2235"/>
      <c r="H1244" s="2210"/>
      <c r="I1244" s="2210"/>
      <c r="J1244" s="2210"/>
      <c r="K1244" s="2211"/>
    </row>
    <row r="1245" spans="1:11">
      <c r="A1245" s="2241"/>
      <c r="B1245" s="2234"/>
      <c r="C1245" s="2210"/>
      <c r="D1245" s="2234"/>
      <c r="E1245" s="2374"/>
      <c r="F1245" s="2235"/>
      <c r="G1245" s="2235"/>
      <c r="H1245" s="2210"/>
      <c r="I1245" s="2210"/>
      <c r="J1245" s="2210"/>
      <c r="K1245" s="2211"/>
    </row>
    <row r="1246" spans="1:11">
      <c r="A1246" s="2241"/>
      <c r="B1246" s="2234"/>
      <c r="C1246" s="2210"/>
      <c r="D1246" s="2234"/>
      <c r="E1246" s="2374"/>
      <c r="F1246" s="2235"/>
      <c r="G1246" s="2235"/>
      <c r="H1246" s="2210"/>
      <c r="I1246" s="2210"/>
      <c r="J1246" s="2210"/>
      <c r="K1246" s="2211"/>
    </row>
    <row r="1247" spans="1:11">
      <c r="A1247" s="2241"/>
      <c r="B1247" s="2234"/>
      <c r="C1247" s="2210"/>
      <c r="D1247" s="2234"/>
      <c r="E1247" s="2374"/>
      <c r="F1247" s="2235"/>
      <c r="G1247" s="2235"/>
      <c r="H1247" s="2210"/>
      <c r="I1247" s="2210"/>
      <c r="J1247" s="2210"/>
      <c r="K1247" s="2211"/>
    </row>
    <row r="1248" spans="1:11">
      <c r="A1248" s="2241"/>
      <c r="B1248" s="2234"/>
      <c r="C1248" s="2210"/>
      <c r="D1248" s="2234"/>
      <c r="E1248" s="2374"/>
      <c r="F1248" s="2235"/>
      <c r="G1248" s="2235"/>
      <c r="H1248" s="2210"/>
      <c r="I1248" s="2210"/>
      <c r="J1248" s="2210"/>
      <c r="K1248" s="2211"/>
    </row>
    <row r="1249" spans="1:11">
      <c r="A1249" s="2241"/>
      <c r="B1249" s="2234"/>
      <c r="C1249" s="2210"/>
      <c r="D1249" s="2234"/>
      <c r="E1249" s="2374"/>
      <c r="F1249" s="2235"/>
      <c r="G1249" s="2235"/>
      <c r="H1249" s="2210"/>
      <c r="I1249" s="2210"/>
      <c r="J1249" s="2210"/>
      <c r="K1249" s="2211"/>
    </row>
    <row r="1250" spans="1:11">
      <c r="A1250" s="2241"/>
      <c r="B1250" s="2234"/>
      <c r="C1250" s="2210"/>
      <c r="D1250" s="2234"/>
      <c r="E1250" s="2374"/>
      <c r="F1250" s="2235"/>
      <c r="G1250" s="2235"/>
      <c r="H1250" s="2210"/>
      <c r="I1250" s="2210"/>
      <c r="J1250" s="2210"/>
      <c r="K1250" s="2211"/>
    </row>
    <row r="1251" spans="1:11">
      <c r="A1251" s="2241"/>
      <c r="B1251" s="2234"/>
      <c r="C1251" s="2210"/>
      <c r="D1251" s="2234"/>
      <c r="E1251" s="2374"/>
      <c r="F1251" s="2235"/>
      <c r="G1251" s="2235"/>
      <c r="H1251" s="2210"/>
      <c r="I1251" s="2210"/>
      <c r="J1251" s="2210"/>
      <c r="K1251" s="2211"/>
    </row>
    <row r="1252" spans="1:11">
      <c r="A1252" s="2241"/>
      <c r="B1252" s="2234"/>
      <c r="C1252" s="2210"/>
      <c r="D1252" s="2234"/>
      <c r="E1252" s="2374"/>
      <c r="F1252" s="2235"/>
      <c r="G1252" s="2235"/>
      <c r="H1252" s="2210"/>
      <c r="I1252" s="2210"/>
      <c r="J1252" s="2210"/>
      <c r="K1252" s="2211"/>
    </row>
    <row r="1253" spans="1:11">
      <c r="A1253" s="2241"/>
      <c r="B1253" s="2234"/>
      <c r="C1253" s="2210"/>
      <c r="D1253" s="2234"/>
      <c r="E1253" s="2374"/>
      <c r="F1253" s="2235"/>
      <c r="G1253" s="2235"/>
      <c r="H1253" s="2210"/>
      <c r="I1253" s="2210"/>
      <c r="J1253" s="2210"/>
      <c r="K1253" s="2211"/>
    </row>
    <row r="1254" spans="1:11">
      <c r="A1254" s="2241"/>
      <c r="B1254" s="2234"/>
      <c r="C1254" s="2210"/>
      <c r="D1254" s="2234"/>
      <c r="E1254" s="2374"/>
      <c r="F1254" s="2235"/>
      <c r="G1254" s="2235"/>
      <c r="H1254" s="2210"/>
      <c r="I1254" s="2210"/>
      <c r="J1254" s="2210"/>
      <c r="K1254" s="2211"/>
    </row>
    <row r="1255" spans="1:11">
      <c r="A1255" s="2241"/>
      <c r="B1255" s="2234"/>
      <c r="C1255" s="2210"/>
      <c r="D1255" s="2234"/>
      <c r="E1255" s="2374"/>
      <c r="F1255" s="2235"/>
      <c r="G1255" s="2235"/>
      <c r="H1255" s="2210"/>
      <c r="I1255" s="2210"/>
      <c r="J1255" s="2210"/>
      <c r="K1255" s="2211"/>
    </row>
    <row r="1256" spans="1:11">
      <c r="A1256" s="2241"/>
      <c r="B1256" s="2234"/>
      <c r="C1256" s="2210"/>
      <c r="D1256" s="2234"/>
      <c r="E1256" s="2374"/>
      <c r="F1256" s="2235"/>
      <c r="G1256" s="2235"/>
      <c r="H1256" s="2210"/>
      <c r="I1256" s="2210"/>
      <c r="J1256" s="2210"/>
      <c r="K1256" s="2211"/>
    </row>
    <row r="1257" spans="1:11">
      <c r="A1257" s="2241"/>
      <c r="B1257" s="2234"/>
      <c r="C1257" s="2210"/>
      <c r="D1257" s="2234"/>
      <c r="E1257" s="2374"/>
      <c r="F1257" s="2235"/>
      <c r="G1257" s="2235"/>
      <c r="H1257" s="2210"/>
      <c r="I1257" s="2210"/>
      <c r="J1257" s="2210"/>
      <c r="K1257" s="2211"/>
    </row>
    <row r="1258" spans="1:11">
      <c r="A1258" s="2241"/>
      <c r="B1258" s="2234"/>
      <c r="C1258" s="2210"/>
      <c r="D1258" s="2234"/>
      <c r="E1258" s="2374"/>
      <c r="F1258" s="2235"/>
      <c r="G1258" s="2235"/>
      <c r="H1258" s="2210"/>
      <c r="I1258" s="2210"/>
      <c r="J1258" s="2210"/>
      <c r="K1258" s="2211"/>
    </row>
    <row r="1259" spans="1:11">
      <c r="A1259" s="2241"/>
      <c r="B1259" s="2234"/>
      <c r="C1259" s="2210"/>
      <c r="D1259" s="2234"/>
      <c r="E1259" s="2374"/>
      <c r="F1259" s="2235"/>
      <c r="G1259" s="2235"/>
      <c r="H1259" s="2210"/>
      <c r="I1259" s="2210"/>
      <c r="J1259" s="2210"/>
      <c r="K1259" s="2211"/>
    </row>
    <row r="1260" spans="1:11">
      <c r="A1260" s="2241"/>
      <c r="B1260" s="2234"/>
      <c r="C1260" s="2210"/>
      <c r="D1260" s="2234"/>
      <c r="E1260" s="2374"/>
      <c r="F1260" s="2235"/>
      <c r="G1260" s="2235"/>
      <c r="H1260" s="2210"/>
      <c r="I1260" s="2210"/>
      <c r="J1260" s="2210"/>
      <c r="K1260" s="2211"/>
    </row>
    <row r="1261" spans="1:11">
      <c r="A1261" s="2241"/>
      <c r="B1261" s="2234"/>
      <c r="C1261" s="2210"/>
      <c r="D1261" s="2234"/>
      <c r="E1261" s="2374"/>
      <c r="F1261" s="2235"/>
      <c r="G1261" s="2235"/>
      <c r="H1261" s="2210"/>
      <c r="I1261" s="2210"/>
      <c r="J1261" s="2210"/>
      <c r="K1261" s="2211"/>
    </row>
    <row r="1262" spans="1:11">
      <c r="A1262" s="2241"/>
      <c r="B1262" s="2234"/>
      <c r="C1262" s="2210"/>
      <c r="D1262" s="2234"/>
      <c r="E1262" s="2374"/>
      <c r="F1262" s="2235"/>
      <c r="G1262" s="2235"/>
      <c r="H1262" s="2210"/>
      <c r="I1262" s="2210"/>
      <c r="J1262" s="2210"/>
      <c r="K1262" s="2211"/>
    </row>
    <row r="1263" spans="1:11">
      <c r="A1263" s="2241"/>
      <c r="B1263" s="2234"/>
      <c r="C1263" s="2210"/>
      <c r="D1263" s="2234"/>
      <c r="E1263" s="2374"/>
      <c r="F1263" s="2235"/>
      <c r="G1263" s="2235"/>
      <c r="H1263" s="2210"/>
      <c r="I1263" s="2210"/>
      <c r="J1263" s="2210"/>
      <c r="K1263" s="2211"/>
    </row>
    <row r="1264" spans="1:11">
      <c r="A1264" s="2241"/>
      <c r="B1264" s="2234"/>
      <c r="C1264" s="2210"/>
      <c r="D1264" s="2234"/>
      <c r="E1264" s="2374"/>
      <c r="F1264" s="2235"/>
      <c r="G1264" s="2235"/>
      <c r="H1264" s="2210"/>
      <c r="I1264" s="2210"/>
      <c r="J1264" s="2210"/>
      <c r="K1264" s="2211"/>
    </row>
    <row r="1265" spans="1:11">
      <c r="A1265" s="2241"/>
      <c r="B1265" s="2234"/>
      <c r="C1265" s="2210"/>
      <c r="D1265" s="2234"/>
      <c r="E1265" s="2374"/>
      <c r="F1265" s="2235"/>
      <c r="G1265" s="2235"/>
      <c r="H1265" s="2210"/>
      <c r="I1265" s="2210"/>
      <c r="J1265" s="2210"/>
      <c r="K1265" s="2211"/>
    </row>
    <row r="1266" spans="1:11">
      <c r="A1266" s="2241"/>
      <c r="B1266" s="2234"/>
      <c r="C1266" s="2210"/>
      <c r="D1266" s="2234"/>
      <c r="E1266" s="2374"/>
      <c r="F1266" s="2235"/>
      <c r="G1266" s="2235"/>
      <c r="H1266" s="2210"/>
      <c r="I1266" s="2210"/>
      <c r="J1266" s="2210"/>
      <c r="K1266" s="2211"/>
    </row>
    <row r="1267" spans="1:11">
      <c r="A1267" s="2241"/>
      <c r="B1267" s="2234"/>
      <c r="C1267" s="2210"/>
      <c r="D1267" s="2234"/>
      <c r="E1267" s="2374"/>
      <c r="F1267" s="2235"/>
      <c r="G1267" s="2235"/>
      <c r="H1267" s="2210"/>
      <c r="I1267" s="2210"/>
      <c r="J1267" s="2210"/>
      <c r="K1267" s="2211"/>
    </row>
    <row r="1268" spans="1:11">
      <c r="A1268" s="2241"/>
      <c r="B1268" s="2234"/>
      <c r="C1268" s="2210"/>
      <c r="D1268" s="2234"/>
      <c r="E1268" s="2374"/>
      <c r="F1268" s="2235"/>
      <c r="G1268" s="2235"/>
      <c r="H1268" s="2210"/>
      <c r="I1268" s="2210"/>
      <c r="J1268" s="2210"/>
      <c r="K1268" s="2211"/>
    </row>
    <row r="1269" spans="1:11">
      <c r="A1269" s="2241"/>
      <c r="B1269" s="2234"/>
      <c r="C1269" s="2210"/>
      <c r="D1269" s="2234"/>
      <c r="E1269" s="2374"/>
      <c r="F1269" s="2235"/>
      <c r="G1269" s="2235"/>
      <c r="H1269" s="2210"/>
      <c r="I1269" s="2210"/>
      <c r="J1269" s="2210"/>
      <c r="K1269" s="2211"/>
    </row>
    <row r="1270" spans="1:11">
      <c r="A1270" s="2241"/>
      <c r="B1270" s="2234"/>
      <c r="C1270" s="2210"/>
      <c r="D1270" s="2234"/>
      <c r="E1270" s="2374"/>
      <c r="F1270" s="2235"/>
      <c r="G1270" s="2235"/>
      <c r="H1270" s="2210"/>
      <c r="I1270" s="2210"/>
      <c r="J1270" s="2210"/>
      <c r="K1270" s="2211"/>
    </row>
    <row r="1271" spans="1:11">
      <c r="A1271" s="2241"/>
      <c r="B1271" s="2234"/>
      <c r="C1271" s="2210"/>
      <c r="D1271" s="2234"/>
      <c r="E1271" s="2374"/>
      <c r="F1271" s="2235"/>
      <c r="G1271" s="2235"/>
      <c r="H1271" s="2210"/>
      <c r="I1271" s="2210"/>
      <c r="J1271" s="2210"/>
      <c r="K1271" s="2211"/>
    </row>
    <row r="1272" spans="1:11">
      <c r="A1272" s="2241"/>
      <c r="B1272" s="2234"/>
      <c r="C1272" s="2210"/>
      <c r="D1272" s="2234"/>
      <c r="E1272" s="2374"/>
      <c r="F1272" s="2235"/>
      <c r="G1272" s="2235"/>
      <c r="H1272" s="2210"/>
      <c r="I1272" s="2210"/>
      <c r="J1272" s="2210"/>
      <c r="K1272" s="2211"/>
    </row>
    <row r="1273" spans="1:11">
      <c r="A1273" s="2241"/>
      <c r="B1273" s="2234"/>
      <c r="C1273" s="2210"/>
      <c r="D1273" s="2234"/>
      <c r="E1273" s="2374"/>
      <c r="F1273" s="2235"/>
      <c r="G1273" s="2235"/>
      <c r="H1273" s="2210"/>
      <c r="I1273" s="2210"/>
      <c r="J1273" s="2210"/>
      <c r="K1273" s="2211"/>
    </row>
    <row r="1274" spans="1:11">
      <c r="A1274" s="2241"/>
      <c r="B1274" s="2234"/>
      <c r="C1274" s="2210"/>
      <c r="D1274" s="2234"/>
      <c r="E1274" s="2374"/>
      <c r="F1274" s="2235"/>
      <c r="G1274" s="2235"/>
      <c r="H1274" s="2210"/>
      <c r="I1274" s="2210"/>
      <c r="J1274" s="2210"/>
      <c r="K1274" s="2211"/>
    </row>
    <row r="1275" spans="1:11">
      <c r="A1275" s="2241"/>
      <c r="B1275" s="2234"/>
      <c r="C1275" s="2210"/>
      <c r="D1275" s="2234"/>
      <c r="E1275" s="2374"/>
      <c r="F1275" s="2235"/>
      <c r="G1275" s="2235"/>
      <c r="H1275" s="2210"/>
      <c r="I1275" s="2210"/>
      <c r="J1275" s="2210"/>
      <c r="K1275" s="2211"/>
    </row>
    <row r="1276" spans="1:11">
      <c r="A1276" s="2241"/>
      <c r="B1276" s="2234"/>
      <c r="C1276" s="2210"/>
      <c r="D1276" s="2234"/>
      <c r="E1276" s="2374"/>
      <c r="F1276" s="2235"/>
      <c r="G1276" s="2235"/>
      <c r="H1276" s="2210"/>
      <c r="I1276" s="2210"/>
      <c r="J1276" s="2210"/>
      <c r="K1276" s="2211"/>
    </row>
    <row r="1277" spans="1:11">
      <c r="A1277" s="2241"/>
      <c r="B1277" s="2234"/>
      <c r="C1277" s="2210"/>
      <c r="D1277" s="2234"/>
      <c r="E1277" s="2374"/>
      <c r="F1277" s="2235"/>
      <c r="G1277" s="2235"/>
      <c r="H1277" s="2210"/>
      <c r="I1277" s="2210"/>
      <c r="J1277" s="2210"/>
      <c r="K1277" s="2211"/>
    </row>
    <row r="1278" spans="1:11">
      <c r="A1278" s="2241"/>
      <c r="B1278" s="2234"/>
      <c r="C1278" s="2210"/>
      <c r="D1278" s="2234"/>
      <c r="E1278" s="2374"/>
      <c r="F1278" s="2235"/>
      <c r="G1278" s="2235"/>
      <c r="H1278" s="2210"/>
      <c r="I1278" s="2210"/>
      <c r="J1278" s="2210"/>
      <c r="K1278" s="2211"/>
    </row>
    <row r="1279" spans="1:11">
      <c r="A1279" s="2241"/>
      <c r="B1279" s="2234"/>
      <c r="C1279" s="2210"/>
      <c r="D1279" s="2234"/>
      <c r="E1279" s="2374"/>
      <c r="F1279" s="2235"/>
      <c r="G1279" s="2235"/>
      <c r="H1279" s="2210"/>
      <c r="I1279" s="2210"/>
      <c r="J1279" s="2210"/>
      <c r="K1279" s="2211"/>
    </row>
    <row r="1280" spans="1:11">
      <c r="A1280" s="2241"/>
      <c r="B1280" s="2234"/>
      <c r="C1280" s="2210"/>
      <c r="D1280" s="2234"/>
      <c r="E1280" s="2374"/>
      <c r="F1280" s="2235"/>
      <c r="G1280" s="2235"/>
      <c r="H1280" s="2210"/>
      <c r="I1280" s="2210"/>
      <c r="J1280" s="2210"/>
      <c r="K1280" s="2211"/>
    </row>
    <row r="1281" spans="1:11">
      <c r="A1281" s="2241"/>
      <c r="B1281" s="2234"/>
      <c r="C1281" s="2210"/>
      <c r="D1281" s="2234"/>
      <c r="E1281" s="2374"/>
      <c r="F1281" s="2235"/>
      <c r="G1281" s="2235"/>
      <c r="H1281" s="2210"/>
      <c r="I1281" s="2210"/>
      <c r="J1281" s="2210"/>
      <c r="K1281" s="2211"/>
    </row>
    <row r="1282" spans="1:11">
      <c r="A1282" s="2241"/>
      <c r="B1282" s="2234"/>
      <c r="C1282" s="2210"/>
      <c r="D1282" s="2234"/>
      <c r="E1282" s="2374"/>
      <c r="F1282" s="2235"/>
      <c r="G1282" s="2235"/>
      <c r="H1282" s="2210"/>
      <c r="I1282" s="2210"/>
      <c r="J1282" s="2210"/>
      <c r="K1282" s="2211"/>
    </row>
    <row r="1283" spans="1:11">
      <c r="A1283" s="2241"/>
      <c r="B1283" s="2234"/>
      <c r="C1283" s="2210"/>
      <c r="D1283" s="2234"/>
      <c r="E1283" s="2374"/>
      <c r="F1283" s="2235"/>
      <c r="G1283" s="2235"/>
      <c r="H1283" s="2210"/>
      <c r="I1283" s="2210"/>
      <c r="J1283" s="2210"/>
      <c r="K1283" s="2211"/>
    </row>
    <row r="1284" spans="1:11">
      <c r="A1284" s="2241"/>
      <c r="B1284" s="2234"/>
      <c r="C1284" s="2210"/>
      <c r="D1284" s="2234"/>
      <c r="E1284" s="2374"/>
      <c r="F1284" s="2235"/>
      <c r="G1284" s="2235"/>
      <c r="H1284" s="2210"/>
      <c r="I1284" s="2210"/>
      <c r="J1284" s="2210"/>
      <c r="K1284" s="2211"/>
    </row>
    <row r="1285" spans="1:11">
      <c r="A1285" s="2241"/>
      <c r="B1285" s="2234"/>
      <c r="C1285" s="2210"/>
      <c r="D1285" s="2234"/>
      <c r="E1285" s="2374"/>
      <c r="F1285" s="2235"/>
      <c r="G1285" s="2235"/>
      <c r="H1285" s="2210"/>
      <c r="I1285" s="2210"/>
      <c r="J1285" s="2210"/>
      <c r="K1285" s="2211"/>
    </row>
    <row r="1286" spans="1:11">
      <c r="A1286" s="2241"/>
      <c r="B1286" s="2234"/>
      <c r="C1286" s="2210"/>
      <c r="D1286" s="2234"/>
      <c r="E1286" s="2374"/>
      <c r="F1286" s="2235"/>
      <c r="G1286" s="2235"/>
      <c r="H1286" s="2210"/>
      <c r="I1286" s="2210"/>
      <c r="J1286" s="2210"/>
      <c r="K1286" s="2211"/>
    </row>
    <row r="1287" spans="1:11">
      <c r="A1287" s="2241"/>
      <c r="B1287" s="2234"/>
      <c r="C1287" s="2210"/>
      <c r="D1287" s="2234"/>
      <c r="E1287" s="2374"/>
      <c r="F1287" s="2235"/>
      <c r="G1287" s="2235"/>
      <c r="H1287" s="2210"/>
      <c r="I1287" s="2210"/>
      <c r="J1287" s="2210"/>
      <c r="K1287" s="2211"/>
    </row>
    <row r="1288" spans="1:11">
      <c r="A1288" s="2241"/>
      <c r="B1288" s="2234"/>
      <c r="C1288" s="2210"/>
      <c r="D1288" s="2234"/>
      <c r="E1288" s="2374"/>
      <c r="F1288" s="2235"/>
      <c r="G1288" s="2235"/>
      <c r="H1288" s="2210"/>
      <c r="I1288" s="2210"/>
      <c r="J1288" s="2210"/>
      <c r="K1288" s="2211"/>
    </row>
    <row r="1289" spans="1:11">
      <c r="A1289" s="2241"/>
      <c r="B1289" s="2234"/>
      <c r="C1289" s="2210"/>
      <c r="D1289" s="2234"/>
      <c r="E1289" s="2374"/>
      <c r="F1289" s="2235"/>
      <c r="G1289" s="2235"/>
      <c r="H1289" s="2210"/>
      <c r="I1289" s="2210"/>
      <c r="J1289" s="2210"/>
      <c r="K1289" s="2211"/>
    </row>
    <row r="1290" spans="1:11">
      <c r="A1290" s="2241"/>
      <c r="B1290" s="2234"/>
      <c r="C1290" s="2210"/>
      <c r="D1290" s="2234"/>
      <c r="E1290" s="2374"/>
      <c r="F1290" s="2235"/>
      <c r="G1290" s="2235"/>
      <c r="H1290" s="2210"/>
      <c r="I1290" s="2210"/>
      <c r="J1290" s="2210"/>
      <c r="K1290" s="2211"/>
    </row>
    <row r="1291" spans="1:11">
      <c r="A1291" s="2241"/>
      <c r="B1291" s="2234"/>
      <c r="C1291" s="2210"/>
      <c r="D1291" s="2234"/>
      <c r="E1291" s="2374"/>
      <c r="F1291" s="2235"/>
      <c r="G1291" s="2235"/>
      <c r="H1291" s="2210"/>
      <c r="I1291" s="2210"/>
      <c r="J1291" s="2210"/>
      <c r="K1291" s="2211"/>
    </row>
    <row r="1292" spans="1:11">
      <c r="A1292" s="2241"/>
      <c r="B1292" s="2234"/>
      <c r="C1292" s="2210"/>
      <c r="D1292" s="2234"/>
      <c r="E1292" s="2374"/>
      <c r="F1292" s="2235"/>
      <c r="G1292" s="2235"/>
      <c r="H1292" s="2210"/>
      <c r="I1292" s="2210"/>
      <c r="J1292" s="2210"/>
      <c r="K1292" s="2211"/>
    </row>
    <row r="1293" spans="1:11">
      <c r="A1293" s="2241"/>
      <c r="B1293" s="2234"/>
      <c r="C1293" s="2210"/>
      <c r="D1293" s="2234"/>
      <c r="E1293" s="2374"/>
      <c r="F1293" s="2235"/>
      <c r="G1293" s="2235"/>
      <c r="H1293" s="2210"/>
      <c r="I1293" s="2210"/>
      <c r="J1293" s="2210"/>
      <c r="K1293" s="2211"/>
    </row>
    <row r="1294" spans="1:11">
      <c r="A1294" s="2241"/>
      <c r="B1294" s="2234"/>
      <c r="C1294" s="2210"/>
      <c r="D1294" s="2234"/>
      <c r="E1294" s="2374"/>
      <c r="F1294" s="2235"/>
      <c r="G1294" s="2235"/>
      <c r="H1294" s="2210"/>
      <c r="I1294" s="2210"/>
      <c r="J1294" s="2210"/>
      <c r="K1294" s="2211"/>
    </row>
    <row r="1295" spans="1:11">
      <c r="A1295" s="2241"/>
      <c r="B1295" s="2234"/>
      <c r="C1295" s="2210"/>
      <c r="D1295" s="2234"/>
      <c r="E1295" s="2374"/>
      <c r="F1295" s="2235"/>
      <c r="G1295" s="2235"/>
      <c r="H1295" s="2210"/>
      <c r="I1295" s="2210"/>
      <c r="J1295" s="2210"/>
      <c r="K1295" s="2211"/>
    </row>
    <row r="1296" spans="1:11">
      <c r="A1296" s="2241"/>
      <c r="B1296" s="2234"/>
      <c r="C1296" s="2210"/>
      <c r="D1296" s="2234"/>
      <c r="E1296" s="2374"/>
      <c r="F1296" s="2235"/>
      <c r="G1296" s="2235"/>
      <c r="H1296" s="2210"/>
      <c r="I1296" s="2210"/>
      <c r="J1296" s="2210"/>
      <c r="K1296" s="2211"/>
    </row>
    <row r="1297" spans="1:11">
      <c r="A1297" s="2241"/>
      <c r="B1297" s="2234"/>
      <c r="C1297" s="2210"/>
      <c r="D1297" s="2234"/>
      <c r="E1297" s="2374"/>
      <c r="F1297" s="2235"/>
      <c r="G1297" s="2235"/>
      <c r="H1297" s="2210"/>
      <c r="I1297" s="2210"/>
      <c r="J1297" s="2210"/>
      <c r="K1297" s="2211"/>
    </row>
    <row r="1298" spans="1:11">
      <c r="A1298" s="2241"/>
      <c r="B1298" s="2234"/>
      <c r="C1298" s="2210"/>
      <c r="D1298" s="2234"/>
      <c r="E1298" s="2374"/>
      <c r="F1298" s="2235"/>
      <c r="G1298" s="2235"/>
      <c r="H1298" s="2210"/>
      <c r="I1298" s="2210"/>
      <c r="J1298" s="2210"/>
      <c r="K1298" s="2211"/>
    </row>
    <row r="1299" spans="1:11">
      <c r="A1299" s="2241"/>
      <c r="B1299" s="2234"/>
      <c r="C1299" s="2210"/>
      <c r="D1299" s="2234"/>
      <c r="E1299" s="2374"/>
      <c r="F1299" s="2235"/>
      <c r="G1299" s="2235"/>
      <c r="H1299" s="2210"/>
      <c r="I1299" s="2210"/>
      <c r="J1299" s="2210"/>
      <c r="K1299" s="2211"/>
    </row>
    <row r="1300" spans="1:11">
      <c r="A1300" s="2241"/>
      <c r="B1300" s="2234"/>
      <c r="C1300" s="2210"/>
      <c r="D1300" s="2234"/>
      <c r="E1300" s="2374"/>
      <c r="F1300" s="2235"/>
      <c r="G1300" s="2235"/>
      <c r="H1300" s="2210"/>
      <c r="I1300" s="2210"/>
      <c r="J1300" s="2210"/>
      <c r="K1300" s="2211"/>
    </row>
    <row r="1301" spans="1:11">
      <c r="A1301" s="2241"/>
      <c r="B1301" s="2234"/>
      <c r="C1301" s="2210"/>
      <c r="D1301" s="2234"/>
      <c r="E1301" s="2374"/>
      <c r="F1301" s="2235"/>
      <c r="G1301" s="2235"/>
      <c r="H1301" s="2210"/>
      <c r="I1301" s="2210"/>
      <c r="J1301" s="2210"/>
      <c r="K1301" s="2211"/>
    </row>
    <row r="1302" spans="1:11">
      <c r="A1302" s="2241"/>
      <c r="B1302" s="2234"/>
      <c r="C1302" s="2210"/>
      <c r="D1302" s="2234"/>
      <c r="E1302" s="2374"/>
      <c r="F1302" s="2235"/>
      <c r="G1302" s="2235"/>
      <c r="H1302" s="2210"/>
      <c r="I1302" s="2210"/>
      <c r="J1302" s="2210"/>
      <c r="K1302" s="2211"/>
    </row>
    <row r="1303" spans="1:11">
      <c r="A1303" s="2241"/>
      <c r="B1303" s="2234"/>
      <c r="C1303" s="2210"/>
      <c r="D1303" s="2234"/>
      <c r="E1303" s="2374"/>
      <c r="F1303" s="2235"/>
      <c r="G1303" s="2235"/>
      <c r="H1303" s="2210"/>
      <c r="I1303" s="2210"/>
      <c r="J1303" s="2210"/>
      <c r="K1303" s="2211"/>
    </row>
    <row r="1304" spans="1:11">
      <c r="A1304" s="2241"/>
      <c r="B1304" s="2234"/>
      <c r="C1304" s="2210"/>
      <c r="D1304" s="2234"/>
      <c r="E1304" s="2374"/>
      <c r="F1304" s="2235"/>
      <c r="G1304" s="2235"/>
      <c r="H1304" s="2210"/>
      <c r="I1304" s="2210"/>
      <c r="J1304" s="2210"/>
      <c r="K1304" s="2211"/>
    </row>
    <row r="1305" spans="1:11">
      <c r="A1305" s="2241"/>
      <c r="B1305" s="2234"/>
      <c r="C1305" s="2210"/>
      <c r="D1305" s="2234"/>
      <c r="E1305" s="2374"/>
      <c r="F1305" s="2235"/>
      <c r="G1305" s="2235"/>
      <c r="H1305" s="2210"/>
      <c r="I1305" s="2210"/>
      <c r="J1305" s="2210"/>
      <c r="K1305" s="2211"/>
    </row>
    <row r="1306" spans="1:11">
      <c r="A1306" s="2241"/>
      <c r="B1306" s="2234"/>
      <c r="C1306" s="2210"/>
      <c r="D1306" s="2234"/>
      <c r="E1306" s="2374"/>
      <c r="F1306" s="2235"/>
      <c r="G1306" s="2235"/>
      <c r="H1306" s="2210"/>
      <c r="I1306" s="2210"/>
      <c r="J1306" s="2210"/>
      <c r="K1306" s="2211"/>
    </row>
    <row r="1307" spans="1:11">
      <c r="A1307" s="2241"/>
      <c r="B1307" s="2234"/>
      <c r="C1307" s="2210"/>
      <c r="D1307" s="2234"/>
      <c r="E1307" s="2374"/>
      <c r="F1307" s="2235"/>
      <c r="G1307" s="2235"/>
      <c r="H1307" s="2210"/>
      <c r="I1307" s="2210"/>
      <c r="J1307" s="2210"/>
      <c r="K1307" s="2211"/>
    </row>
    <row r="1308" spans="1:11">
      <c r="A1308" s="2241"/>
      <c r="B1308" s="2234"/>
      <c r="C1308" s="2210"/>
      <c r="D1308" s="2234"/>
      <c r="E1308" s="2374"/>
      <c r="F1308" s="2235"/>
      <c r="G1308" s="2235"/>
      <c r="H1308" s="2210"/>
      <c r="I1308" s="2210"/>
      <c r="J1308" s="2210"/>
      <c r="K1308" s="2211"/>
    </row>
    <row r="1309" spans="1:11">
      <c r="A1309" s="2241"/>
      <c r="B1309" s="2234"/>
      <c r="C1309" s="2210"/>
      <c r="D1309" s="2234"/>
      <c r="E1309" s="2374"/>
      <c r="F1309" s="2235"/>
      <c r="G1309" s="2235"/>
      <c r="H1309" s="2210"/>
      <c r="I1309" s="2210"/>
      <c r="J1309" s="2210"/>
      <c r="K1309" s="2211"/>
    </row>
    <row r="1310" spans="1:11">
      <c r="A1310" s="2241"/>
      <c r="B1310" s="2234"/>
      <c r="C1310" s="2210"/>
      <c r="D1310" s="2234"/>
      <c r="E1310" s="2374"/>
      <c r="F1310" s="2235"/>
      <c r="G1310" s="2235"/>
      <c r="H1310" s="2210"/>
      <c r="I1310" s="2210"/>
      <c r="J1310" s="2210"/>
      <c r="K1310" s="2211"/>
    </row>
    <row r="1311" spans="1:11">
      <c r="A1311" s="2241"/>
      <c r="B1311" s="2234"/>
      <c r="C1311" s="2210"/>
      <c r="D1311" s="2234"/>
      <c r="E1311" s="2374"/>
      <c r="F1311" s="2235"/>
      <c r="G1311" s="2235"/>
      <c r="H1311" s="2210"/>
      <c r="I1311" s="2210"/>
      <c r="J1311" s="2210"/>
      <c r="K1311" s="2211"/>
    </row>
    <row r="1312" spans="1:11">
      <c r="A1312" s="2241"/>
      <c r="B1312" s="2234"/>
      <c r="C1312" s="2210"/>
      <c r="D1312" s="2234"/>
      <c r="E1312" s="2374"/>
      <c r="F1312" s="2235"/>
      <c r="G1312" s="2235"/>
      <c r="H1312" s="2210"/>
      <c r="I1312" s="2210"/>
      <c r="J1312" s="2210"/>
      <c r="K1312" s="2211"/>
    </row>
    <row r="1313" spans="1:11">
      <c r="A1313" s="2241"/>
      <c r="B1313" s="2234"/>
      <c r="C1313" s="2210"/>
      <c r="D1313" s="2234"/>
      <c r="E1313" s="2374"/>
      <c r="F1313" s="2235"/>
      <c r="G1313" s="2235"/>
      <c r="H1313" s="2210"/>
      <c r="I1313" s="2210"/>
      <c r="J1313" s="2210"/>
      <c r="K1313" s="2211"/>
    </row>
    <row r="1314" spans="1:11">
      <c r="A1314" s="2241"/>
      <c r="B1314" s="2234"/>
      <c r="C1314" s="2210"/>
      <c r="D1314" s="2234"/>
      <c r="E1314" s="2374"/>
      <c r="F1314" s="2235"/>
      <c r="G1314" s="2235"/>
      <c r="H1314" s="2210"/>
      <c r="I1314" s="2210"/>
      <c r="J1314" s="2210"/>
      <c r="K1314" s="2211"/>
    </row>
    <row r="1315" spans="1:11">
      <c r="A1315" s="2241"/>
      <c r="B1315" s="2234"/>
      <c r="C1315" s="2210"/>
      <c r="D1315" s="2234"/>
      <c r="E1315" s="2374"/>
      <c r="F1315" s="2235"/>
      <c r="G1315" s="2235"/>
      <c r="H1315" s="2210"/>
      <c r="I1315" s="2210"/>
      <c r="J1315" s="2210"/>
      <c r="K1315" s="2211"/>
    </row>
    <row r="1316" spans="1:11">
      <c r="A1316" s="2241"/>
      <c r="B1316" s="2234"/>
      <c r="C1316" s="2210"/>
      <c r="D1316" s="2234"/>
      <c r="E1316" s="2374"/>
      <c r="F1316" s="2235"/>
      <c r="G1316" s="2235"/>
      <c r="H1316" s="2210"/>
      <c r="I1316" s="2210"/>
      <c r="J1316" s="2210"/>
      <c r="K1316" s="2211"/>
    </row>
    <row r="1317" spans="1:11">
      <c r="A1317" s="2241"/>
      <c r="B1317" s="2234"/>
      <c r="C1317" s="2210"/>
      <c r="D1317" s="2234"/>
      <c r="E1317" s="2374"/>
      <c r="F1317" s="2235"/>
      <c r="G1317" s="2235"/>
      <c r="H1317" s="2210"/>
      <c r="I1317" s="2210"/>
      <c r="J1317" s="2210"/>
      <c r="K1317" s="2211"/>
    </row>
    <row r="1318" spans="1:11">
      <c r="A1318" s="2241"/>
      <c r="B1318" s="2234"/>
      <c r="C1318" s="2210"/>
      <c r="D1318" s="2234"/>
      <c r="E1318" s="2374"/>
      <c r="F1318" s="2235"/>
      <c r="G1318" s="2235"/>
      <c r="H1318" s="2210"/>
      <c r="I1318" s="2210"/>
      <c r="J1318" s="2210"/>
      <c r="K1318" s="2211"/>
    </row>
    <row r="1319" spans="1:11">
      <c r="A1319" s="2241"/>
      <c r="B1319" s="2234"/>
      <c r="C1319" s="2210"/>
      <c r="D1319" s="2234"/>
      <c r="E1319" s="2374"/>
      <c r="F1319" s="2235"/>
      <c r="G1319" s="2235"/>
      <c r="H1319" s="2210"/>
      <c r="I1319" s="2210"/>
      <c r="J1319" s="2210"/>
      <c r="K1319" s="2211"/>
    </row>
    <row r="1320" spans="1:11">
      <c r="A1320" s="2241"/>
      <c r="B1320" s="2234"/>
      <c r="C1320" s="2210"/>
      <c r="D1320" s="2234"/>
      <c r="E1320" s="2374"/>
      <c r="F1320" s="2235"/>
      <c r="G1320" s="2235"/>
      <c r="H1320" s="2210"/>
      <c r="I1320" s="2210"/>
      <c r="J1320" s="2210"/>
      <c r="K1320" s="2211"/>
    </row>
    <row r="1321" spans="1:11">
      <c r="A1321" s="2241"/>
      <c r="B1321" s="2234"/>
      <c r="C1321" s="2210"/>
      <c r="D1321" s="2234"/>
      <c r="E1321" s="2374"/>
      <c r="F1321" s="2235"/>
      <c r="G1321" s="2235"/>
      <c r="H1321" s="2210"/>
      <c r="I1321" s="2210"/>
      <c r="J1321" s="2210"/>
      <c r="K1321" s="2211"/>
    </row>
    <row r="1322" spans="1:11">
      <c r="A1322" s="2241"/>
      <c r="B1322" s="2234"/>
      <c r="C1322" s="2210"/>
      <c r="D1322" s="2234"/>
      <c r="E1322" s="2374"/>
      <c r="F1322" s="2235"/>
      <c r="G1322" s="2235"/>
      <c r="H1322" s="2210"/>
      <c r="I1322" s="2210"/>
      <c r="J1322" s="2210"/>
      <c r="K1322" s="2211"/>
    </row>
    <row r="1323" spans="1:11">
      <c r="A1323" s="2241"/>
      <c r="B1323" s="2234"/>
      <c r="C1323" s="2210"/>
      <c r="D1323" s="2234"/>
      <c r="E1323" s="2374"/>
      <c r="F1323" s="2235"/>
      <c r="G1323" s="2235"/>
      <c r="H1323" s="2210"/>
      <c r="I1323" s="2210"/>
      <c r="J1323" s="2210"/>
      <c r="K1323" s="2211"/>
    </row>
    <row r="1324" spans="1:11">
      <c r="A1324" s="2241"/>
      <c r="B1324" s="2234"/>
      <c r="C1324" s="2210"/>
      <c r="D1324" s="2234"/>
      <c r="E1324" s="2374"/>
      <c r="F1324" s="2235"/>
      <c r="G1324" s="2235"/>
      <c r="H1324" s="2210"/>
      <c r="I1324" s="2210"/>
      <c r="J1324" s="2210"/>
      <c r="K1324" s="2211"/>
    </row>
    <row r="1325" spans="1:11">
      <c r="A1325" s="2241"/>
      <c r="B1325" s="2234"/>
      <c r="C1325" s="2210"/>
      <c r="D1325" s="2234"/>
      <c r="E1325" s="2374"/>
      <c r="F1325" s="2235"/>
      <c r="G1325" s="2235"/>
      <c r="H1325" s="2210"/>
      <c r="I1325" s="2210"/>
      <c r="J1325" s="2210"/>
      <c r="K1325" s="2211"/>
    </row>
    <row r="1326" spans="1:11">
      <c r="A1326" s="2241"/>
      <c r="B1326" s="2234"/>
      <c r="C1326" s="2210"/>
      <c r="D1326" s="2234"/>
      <c r="E1326" s="2374"/>
      <c r="F1326" s="2235"/>
      <c r="G1326" s="2235"/>
      <c r="H1326" s="2210"/>
      <c r="I1326" s="2210"/>
      <c r="J1326" s="2210"/>
      <c r="K1326" s="2211"/>
    </row>
    <row r="1327" spans="1:11">
      <c r="A1327" s="2241"/>
      <c r="B1327" s="2234"/>
      <c r="C1327" s="2210"/>
      <c r="D1327" s="2234"/>
      <c r="E1327" s="2374"/>
      <c r="F1327" s="2235"/>
      <c r="G1327" s="2235"/>
      <c r="H1327" s="2210"/>
      <c r="I1327" s="2210"/>
      <c r="J1327" s="2210"/>
      <c r="K1327" s="2211"/>
    </row>
    <row r="1328" spans="1:11">
      <c r="A1328" s="2241"/>
      <c r="B1328" s="2234"/>
      <c r="C1328" s="2210"/>
      <c r="D1328" s="2234"/>
      <c r="E1328" s="2374"/>
      <c r="F1328" s="2235"/>
      <c r="G1328" s="2235"/>
      <c r="H1328" s="2210"/>
      <c r="I1328" s="2210"/>
      <c r="J1328" s="2210"/>
      <c r="K1328" s="2211"/>
    </row>
    <row r="1329" spans="1:11">
      <c r="A1329" s="2241"/>
      <c r="B1329" s="2234"/>
      <c r="C1329" s="2210"/>
      <c r="D1329" s="2234"/>
      <c r="E1329" s="2374"/>
      <c r="F1329" s="2235"/>
      <c r="G1329" s="2235"/>
      <c r="H1329" s="2210"/>
      <c r="I1329" s="2210"/>
      <c r="J1329" s="2210"/>
      <c r="K1329" s="2211"/>
    </row>
    <row r="1330" spans="1:11">
      <c r="A1330" s="2241"/>
      <c r="B1330" s="2234"/>
      <c r="C1330" s="2210"/>
      <c r="D1330" s="2234"/>
      <c r="E1330" s="2374"/>
      <c r="F1330" s="2235"/>
      <c r="G1330" s="2235"/>
      <c r="H1330" s="2210"/>
      <c r="I1330" s="2210"/>
      <c r="J1330" s="2210"/>
      <c r="K1330" s="2211"/>
    </row>
    <row r="1331" spans="1:11">
      <c r="A1331" s="2241"/>
      <c r="B1331" s="2234"/>
      <c r="C1331" s="2210"/>
      <c r="D1331" s="2234"/>
      <c r="E1331" s="2374"/>
      <c r="F1331" s="2235"/>
      <c r="G1331" s="2235"/>
      <c r="H1331" s="2210"/>
      <c r="I1331" s="2210"/>
      <c r="J1331" s="2210"/>
      <c r="K1331" s="2211"/>
    </row>
    <row r="1332" spans="1:11">
      <c r="A1332" s="2241"/>
      <c r="B1332" s="2234"/>
      <c r="C1332" s="2210"/>
      <c r="D1332" s="2234"/>
      <c r="E1332" s="2374"/>
      <c r="F1332" s="2235"/>
      <c r="G1332" s="2235"/>
      <c r="H1332" s="2210"/>
      <c r="I1332" s="2210"/>
      <c r="J1332" s="2210"/>
      <c r="K1332" s="2211"/>
    </row>
    <row r="1333" spans="1:11">
      <c r="A1333" s="2241"/>
      <c r="B1333" s="2234"/>
      <c r="C1333" s="2210"/>
      <c r="D1333" s="2234"/>
      <c r="E1333" s="2374"/>
      <c r="F1333" s="2235"/>
      <c r="G1333" s="2235"/>
      <c r="H1333" s="2210"/>
      <c r="I1333" s="2210"/>
      <c r="J1333" s="2210"/>
      <c r="K1333" s="2211"/>
    </row>
    <row r="1334" spans="1:11">
      <c r="A1334" s="2241"/>
      <c r="B1334" s="2234"/>
      <c r="C1334" s="2210"/>
      <c r="D1334" s="2234"/>
      <c r="E1334" s="2374"/>
      <c r="F1334" s="2235"/>
      <c r="G1334" s="2235"/>
      <c r="H1334" s="2210"/>
      <c r="I1334" s="2210"/>
      <c r="J1334" s="2210"/>
      <c r="K1334" s="2211"/>
    </row>
    <row r="1335" spans="1:11">
      <c r="A1335" s="2241"/>
      <c r="B1335" s="2234"/>
      <c r="C1335" s="2210"/>
      <c r="D1335" s="2234"/>
      <c r="E1335" s="2374"/>
      <c r="F1335" s="2235"/>
      <c r="G1335" s="2235"/>
      <c r="H1335" s="2210"/>
      <c r="I1335" s="2210"/>
      <c r="J1335" s="2210"/>
      <c r="K1335" s="2211"/>
    </row>
    <row r="1336" spans="1:11">
      <c r="A1336" s="2241"/>
      <c r="B1336" s="2234"/>
      <c r="C1336" s="2210"/>
      <c r="D1336" s="2234"/>
      <c r="E1336" s="2374"/>
      <c r="F1336" s="2235"/>
      <c r="G1336" s="2235"/>
      <c r="H1336" s="2210"/>
      <c r="I1336" s="2210"/>
      <c r="J1336" s="2210"/>
      <c r="K1336" s="2211"/>
    </row>
    <row r="1337" spans="1:11">
      <c r="A1337" s="2241"/>
      <c r="B1337" s="2234"/>
      <c r="C1337" s="2210"/>
      <c r="D1337" s="2234"/>
      <c r="E1337" s="2374"/>
      <c r="F1337" s="2235"/>
      <c r="G1337" s="2235"/>
      <c r="H1337" s="2210"/>
      <c r="I1337" s="2210"/>
      <c r="J1337" s="2210"/>
      <c r="K1337" s="2211"/>
    </row>
    <row r="1338" spans="1:11">
      <c r="A1338" s="2241"/>
      <c r="B1338" s="2234"/>
      <c r="C1338" s="2210"/>
      <c r="D1338" s="2234"/>
      <c r="E1338" s="2374"/>
      <c r="F1338" s="2235"/>
      <c r="G1338" s="2235"/>
      <c r="H1338" s="2210"/>
      <c r="I1338" s="2210"/>
      <c r="J1338" s="2210"/>
      <c r="K1338" s="2211"/>
    </row>
    <row r="1339" spans="1:11">
      <c r="A1339" s="2241"/>
      <c r="B1339" s="2234"/>
      <c r="C1339" s="2210"/>
      <c r="D1339" s="2234"/>
      <c r="E1339" s="2374"/>
      <c r="F1339" s="2235"/>
      <c r="G1339" s="2235"/>
      <c r="H1339" s="2210"/>
      <c r="I1339" s="2210"/>
      <c r="J1339" s="2210"/>
      <c r="K1339" s="2211"/>
    </row>
    <row r="1340" spans="1:11">
      <c r="A1340" s="2241"/>
      <c r="B1340" s="2234"/>
      <c r="C1340" s="2210"/>
      <c r="D1340" s="2234"/>
      <c r="E1340" s="2374"/>
      <c r="F1340" s="2235"/>
      <c r="G1340" s="2235"/>
      <c r="H1340" s="2210"/>
      <c r="I1340" s="2210"/>
      <c r="J1340" s="2210"/>
      <c r="K1340" s="2211"/>
    </row>
    <row r="1341" spans="1:11">
      <c r="A1341" s="2241"/>
      <c r="B1341" s="2234"/>
      <c r="C1341" s="2210"/>
      <c r="D1341" s="2234"/>
      <c r="E1341" s="2374"/>
      <c r="F1341" s="2235"/>
      <c r="G1341" s="2235"/>
      <c r="H1341" s="2210"/>
      <c r="I1341" s="2210"/>
      <c r="J1341" s="2210"/>
      <c r="K1341" s="2211"/>
    </row>
    <row r="1342" spans="1:11">
      <c r="A1342" s="2241"/>
      <c r="B1342" s="2234"/>
      <c r="C1342" s="2210"/>
      <c r="D1342" s="2234"/>
      <c r="E1342" s="2374"/>
      <c r="F1342" s="2235"/>
      <c r="G1342" s="2235"/>
      <c r="H1342" s="2210"/>
      <c r="I1342" s="2210"/>
      <c r="J1342" s="2210"/>
      <c r="K1342" s="2211"/>
    </row>
    <row r="1343" spans="1:11">
      <c r="A1343" s="2241"/>
      <c r="B1343" s="2234"/>
      <c r="C1343" s="2210"/>
      <c r="D1343" s="2234"/>
      <c r="E1343" s="2374"/>
      <c r="F1343" s="2235"/>
      <c r="G1343" s="2235"/>
      <c r="H1343" s="2210"/>
      <c r="I1343" s="2210"/>
      <c r="J1343" s="2210"/>
      <c r="K1343" s="2211"/>
    </row>
    <row r="1344" spans="1:11">
      <c r="A1344" s="2241"/>
      <c r="B1344" s="2234"/>
      <c r="C1344" s="2210"/>
      <c r="D1344" s="2234"/>
      <c r="E1344" s="2374"/>
      <c r="F1344" s="2235"/>
      <c r="G1344" s="2235"/>
      <c r="H1344" s="2210"/>
      <c r="I1344" s="2210"/>
      <c r="J1344" s="2210"/>
      <c r="K1344" s="2211"/>
    </row>
    <row r="1345" spans="1:11">
      <c r="A1345" s="2241"/>
      <c r="B1345" s="2234"/>
      <c r="C1345" s="2210"/>
      <c r="D1345" s="2234"/>
      <c r="E1345" s="2374"/>
      <c r="F1345" s="2235"/>
      <c r="G1345" s="2235"/>
      <c r="H1345" s="2210"/>
      <c r="I1345" s="2210"/>
      <c r="J1345" s="2210"/>
      <c r="K1345" s="2211"/>
    </row>
    <row r="1346" spans="1:11">
      <c r="A1346" s="2241"/>
      <c r="B1346" s="2234"/>
      <c r="C1346" s="2210"/>
      <c r="D1346" s="2234"/>
      <c r="E1346" s="2374"/>
      <c r="F1346" s="2235"/>
      <c r="G1346" s="2235"/>
      <c r="H1346" s="2210"/>
      <c r="I1346" s="2210"/>
      <c r="J1346" s="2210"/>
      <c r="K1346" s="2211"/>
    </row>
    <row r="1347" spans="1:11">
      <c r="A1347" s="2241"/>
      <c r="B1347" s="2234"/>
      <c r="C1347" s="2210"/>
      <c r="D1347" s="2234"/>
      <c r="E1347" s="2374"/>
      <c r="F1347" s="2235"/>
      <c r="G1347" s="2235"/>
      <c r="H1347" s="2210"/>
      <c r="I1347" s="2210"/>
      <c r="J1347" s="2210"/>
      <c r="K1347" s="2211"/>
    </row>
    <row r="1348" spans="1:11">
      <c r="A1348" s="2241"/>
      <c r="B1348" s="2234"/>
      <c r="C1348" s="2210"/>
      <c r="D1348" s="2234"/>
      <c r="E1348" s="2374"/>
      <c r="F1348" s="2235"/>
      <c r="G1348" s="2235"/>
      <c r="H1348" s="2210"/>
      <c r="I1348" s="2210"/>
      <c r="J1348" s="2210"/>
      <c r="K1348" s="2211"/>
    </row>
    <row r="1349" spans="1:11">
      <c r="A1349" s="2241"/>
      <c r="B1349" s="2234"/>
      <c r="C1349" s="2210"/>
      <c r="D1349" s="2234"/>
      <c r="E1349" s="2374"/>
      <c r="F1349" s="2235"/>
      <c r="G1349" s="2235"/>
      <c r="H1349" s="2210"/>
      <c r="I1349" s="2210"/>
      <c r="J1349" s="2210"/>
      <c r="K1349" s="2211"/>
    </row>
    <row r="1350" spans="1:11">
      <c r="A1350" s="2241"/>
      <c r="B1350" s="2234"/>
      <c r="C1350" s="2210"/>
      <c r="D1350" s="2234"/>
      <c r="E1350" s="2374"/>
      <c r="F1350" s="2235"/>
      <c r="G1350" s="2235"/>
      <c r="H1350" s="2210"/>
      <c r="I1350" s="2210"/>
      <c r="J1350" s="2210"/>
      <c r="K1350" s="2211"/>
    </row>
    <row r="1351" spans="1:11">
      <c r="A1351" s="2241"/>
      <c r="B1351" s="2234"/>
      <c r="C1351" s="2210"/>
      <c r="D1351" s="2234"/>
      <c r="E1351" s="2374"/>
      <c r="F1351" s="2235"/>
      <c r="G1351" s="2235"/>
      <c r="H1351" s="2210"/>
      <c r="I1351" s="2210"/>
      <c r="J1351" s="2210"/>
      <c r="K1351" s="2211"/>
    </row>
    <row r="1352" spans="1:11">
      <c r="A1352" s="2241"/>
      <c r="B1352" s="2234"/>
      <c r="C1352" s="2210"/>
      <c r="D1352" s="2234"/>
      <c r="E1352" s="2374"/>
      <c r="F1352" s="2235"/>
      <c r="G1352" s="2235"/>
      <c r="H1352" s="2210"/>
      <c r="I1352" s="2210"/>
      <c r="J1352" s="2210"/>
      <c r="K1352" s="2211"/>
    </row>
    <row r="1353" spans="1:11">
      <c r="A1353" s="2241"/>
      <c r="B1353" s="2234"/>
      <c r="C1353" s="2210"/>
      <c r="D1353" s="2234"/>
      <c r="E1353" s="2374"/>
      <c r="F1353" s="2235"/>
      <c r="G1353" s="2235"/>
      <c r="H1353" s="2210"/>
      <c r="I1353" s="2210"/>
      <c r="J1353" s="2210"/>
      <c r="K1353" s="2211"/>
    </row>
    <row r="1354" spans="1:11">
      <c r="A1354" s="2241"/>
      <c r="B1354" s="2234"/>
      <c r="C1354" s="2210"/>
      <c r="D1354" s="2234"/>
      <c r="E1354" s="2374"/>
      <c r="F1354" s="2235"/>
      <c r="G1354" s="2235"/>
      <c r="H1354" s="2210"/>
      <c r="I1354" s="2210"/>
      <c r="J1354" s="2210"/>
      <c r="K1354" s="2211"/>
    </row>
    <row r="1355" spans="1:11">
      <c r="A1355" s="2241"/>
      <c r="B1355" s="2234"/>
      <c r="C1355" s="2210"/>
      <c r="D1355" s="2234"/>
      <c r="E1355" s="2374"/>
      <c r="F1355" s="2235"/>
      <c r="G1355" s="2235"/>
      <c r="H1355" s="2210"/>
      <c r="I1355" s="2210"/>
      <c r="J1355" s="2210"/>
      <c r="K1355" s="2211"/>
    </row>
    <row r="1356" spans="1:11">
      <c r="A1356" s="2241"/>
      <c r="B1356" s="2234"/>
      <c r="C1356" s="2210"/>
      <c r="D1356" s="2234"/>
      <c r="E1356" s="2374"/>
      <c r="F1356" s="2235"/>
      <c r="G1356" s="2235"/>
      <c r="H1356" s="2210"/>
      <c r="I1356" s="2210"/>
      <c r="J1356" s="2210"/>
      <c r="K1356" s="2211"/>
    </row>
    <row r="1357" spans="1:11">
      <c r="A1357" s="2241"/>
      <c r="B1357" s="2234"/>
      <c r="C1357" s="2210"/>
      <c r="D1357" s="2234"/>
      <c r="E1357" s="2374"/>
      <c r="F1357" s="2235"/>
      <c r="G1357" s="2235"/>
      <c r="H1357" s="2210"/>
      <c r="I1357" s="2210"/>
      <c r="J1357" s="2210"/>
      <c r="K1357" s="2211"/>
    </row>
    <row r="1358" spans="1:11">
      <c r="A1358" s="2241"/>
      <c r="B1358" s="2234"/>
      <c r="C1358" s="2210"/>
      <c r="D1358" s="2234"/>
      <c r="E1358" s="2374"/>
      <c r="F1358" s="2235"/>
      <c r="G1358" s="2235"/>
      <c r="H1358" s="2210"/>
      <c r="I1358" s="2210"/>
      <c r="J1358" s="2210"/>
      <c r="K1358" s="2211"/>
    </row>
    <row r="1359" spans="1:11">
      <c r="A1359" s="2241"/>
      <c r="B1359" s="2234"/>
      <c r="C1359" s="2210"/>
      <c r="D1359" s="2234"/>
      <c r="E1359" s="2374"/>
      <c r="F1359" s="2235"/>
      <c r="G1359" s="2235"/>
      <c r="H1359" s="2210"/>
      <c r="I1359" s="2210"/>
      <c r="J1359" s="2210"/>
      <c r="K1359" s="2211"/>
    </row>
    <row r="1360" spans="1:11">
      <c r="A1360" s="2241"/>
      <c r="B1360" s="2234"/>
      <c r="C1360" s="2210"/>
      <c r="D1360" s="2234"/>
      <c r="E1360" s="2374"/>
      <c r="F1360" s="2235"/>
      <c r="G1360" s="2235"/>
      <c r="H1360" s="2210"/>
      <c r="I1360" s="2210"/>
      <c r="J1360" s="2210"/>
      <c r="K1360" s="2211"/>
    </row>
    <row r="1361" spans="1:11">
      <c r="A1361" s="2241"/>
      <c r="B1361" s="2234"/>
      <c r="C1361" s="2210"/>
      <c r="D1361" s="2234"/>
      <c r="E1361" s="2374"/>
      <c r="F1361" s="2235"/>
      <c r="G1361" s="2235"/>
      <c r="H1361" s="2210"/>
      <c r="I1361" s="2210"/>
      <c r="J1361" s="2210"/>
      <c r="K1361" s="2211"/>
    </row>
    <row r="1362" spans="1:11">
      <c r="A1362" s="2241"/>
      <c r="B1362" s="2234"/>
      <c r="C1362" s="2210"/>
      <c r="D1362" s="2234"/>
      <c r="E1362" s="2374"/>
      <c r="F1362" s="2235"/>
      <c r="G1362" s="2235"/>
      <c r="H1362" s="2210"/>
      <c r="I1362" s="2210"/>
      <c r="J1362" s="2210"/>
      <c r="K1362" s="2211"/>
    </row>
    <row r="1363" spans="1:11">
      <c r="A1363" s="2241"/>
      <c r="B1363" s="2234"/>
      <c r="C1363" s="2210"/>
      <c r="D1363" s="2234"/>
      <c r="E1363" s="2374"/>
      <c r="F1363" s="2235"/>
      <c r="G1363" s="2235"/>
      <c r="H1363" s="2210"/>
      <c r="I1363" s="2210"/>
      <c r="J1363" s="2210"/>
      <c r="K1363" s="2211"/>
    </row>
    <row r="1364" spans="1:11">
      <c r="A1364" s="2241"/>
      <c r="B1364" s="2234"/>
      <c r="C1364" s="2210"/>
      <c r="D1364" s="2234"/>
      <c r="E1364" s="2374"/>
      <c r="F1364" s="2235"/>
      <c r="G1364" s="2235"/>
      <c r="H1364" s="2210"/>
      <c r="I1364" s="2210"/>
      <c r="J1364" s="2210"/>
      <c r="K1364" s="2211"/>
    </row>
    <row r="1365" spans="1:11">
      <c r="A1365" s="2241"/>
      <c r="B1365" s="2234"/>
      <c r="C1365" s="2210"/>
      <c r="D1365" s="2234"/>
      <c r="E1365" s="2374"/>
      <c r="F1365" s="2235"/>
      <c r="G1365" s="2235"/>
      <c r="H1365" s="2210"/>
      <c r="I1365" s="2210"/>
      <c r="J1365" s="2210"/>
      <c r="K1365" s="2211"/>
    </row>
    <row r="1366" spans="1:11">
      <c r="A1366" s="2241"/>
      <c r="B1366" s="2234"/>
      <c r="C1366" s="2210"/>
      <c r="D1366" s="2234"/>
      <c r="E1366" s="2374"/>
      <c r="F1366" s="2235"/>
      <c r="G1366" s="2235"/>
      <c r="H1366" s="2210"/>
      <c r="I1366" s="2210"/>
      <c r="J1366" s="2210"/>
      <c r="K1366" s="2211"/>
    </row>
    <row r="1367" spans="1:11">
      <c r="A1367" s="2241"/>
      <c r="B1367" s="2234"/>
      <c r="C1367" s="2210"/>
      <c r="D1367" s="2234"/>
      <c r="E1367" s="2374"/>
      <c r="F1367" s="2235"/>
      <c r="G1367" s="2235"/>
      <c r="H1367" s="2210"/>
      <c r="I1367" s="2210"/>
      <c r="J1367" s="2210"/>
      <c r="K1367" s="2211"/>
    </row>
    <row r="1368" spans="1:11">
      <c r="A1368" s="2241"/>
      <c r="B1368" s="2234"/>
      <c r="C1368" s="2210"/>
      <c r="D1368" s="2234"/>
      <c r="E1368" s="2374"/>
      <c r="F1368" s="2235"/>
      <c r="G1368" s="2235"/>
      <c r="H1368" s="2210"/>
      <c r="I1368" s="2210"/>
      <c r="J1368" s="2210"/>
      <c r="K1368" s="2211"/>
    </row>
    <row r="1369" spans="1:11">
      <c r="A1369" s="2241"/>
      <c r="B1369" s="2234"/>
      <c r="C1369" s="2210"/>
      <c r="D1369" s="2234"/>
      <c r="E1369" s="2374"/>
      <c r="F1369" s="2235"/>
      <c r="G1369" s="2235"/>
      <c r="H1369" s="2210"/>
      <c r="I1369" s="2210"/>
      <c r="J1369" s="2210"/>
      <c r="K1369" s="2211"/>
    </row>
    <row r="1370" spans="1:11">
      <c r="A1370" s="2241"/>
      <c r="B1370" s="2234"/>
      <c r="C1370" s="2210"/>
      <c r="D1370" s="2234"/>
      <c r="E1370" s="2374"/>
      <c r="F1370" s="2235"/>
      <c r="G1370" s="2235"/>
      <c r="H1370" s="2210"/>
      <c r="I1370" s="2210"/>
      <c r="J1370" s="2210"/>
      <c r="K1370" s="2211"/>
    </row>
    <row r="1371" spans="1:11">
      <c r="A1371" s="2241"/>
      <c r="B1371" s="2234"/>
      <c r="C1371" s="2210"/>
      <c r="D1371" s="2234"/>
      <c r="E1371" s="2374"/>
      <c r="F1371" s="2235"/>
      <c r="G1371" s="2235"/>
      <c r="H1371" s="2210"/>
      <c r="I1371" s="2210"/>
      <c r="J1371" s="2210"/>
      <c r="K1371" s="2211"/>
    </row>
    <row r="1372" spans="1:11">
      <c r="A1372" s="2241"/>
      <c r="B1372" s="2234"/>
      <c r="C1372" s="2210"/>
      <c r="D1372" s="2234"/>
      <c r="E1372" s="2374"/>
      <c r="F1372" s="2235"/>
      <c r="G1372" s="2235"/>
      <c r="H1372" s="2210"/>
      <c r="I1372" s="2210"/>
      <c r="J1372" s="2210"/>
      <c r="K1372" s="2211"/>
    </row>
    <row r="1373" spans="1:11">
      <c r="A1373" s="2241"/>
      <c r="B1373" s="2234"/>
      <c r="C1373" s="2210"/>
      <c r="D1373" s="2234"/>
      <c r="E1373" s="2374"/>
      <c r="F1373" s="2235"/>
      <c r="G1373" s="2235"/>
      <c r="H1373" s="2210"/>
      <c r="I1373" s="2210"/>
      <c r="J1373" s="2210"/>
      <c r="K1373" s="2211"/>
    </row>
    <row r="1374" spans="1:11">
      <c r="A1374" s="2241"/>
      <c r="B1374" s="2234"/>
      <c r="C1374" s="2210"/>
      <c r="D1374" s="2234"/>
      <c r="E1374" s="2374"/>
      <c r="F1374" s="2235"/>
      <c r="G1374" s="2235"/>
      <c r="H1374" s="2210"/>
      <c r="I1374" s="2210"/>
      <c r="J1374" s="2210"/>
      <c r="K1374" s="2211"/>
    </row>
    <row r="1375" spans="1:11">
      <c r="A1375" s="2241"/>
      <c r="B1375" s="2234"/>
      <c r="C1375" s="2210"/>
      <c r="D1375" s="2234"/>
      <c r="E1375" s="2374"/>
      <c r="F1375" s="2235"/>
      <c r="G1375" s="2235"/>
      <c r="H1375" s="2210"/>
      <c r="I1375" s="2210"/>
      <c r="J1375" s="2210"/>
      <c r="K1375" s="2211"/>
    </row>
    <row r="1376" spans="1:11">
      <c r="A1376" s="2241"/>
      <c r="B1376" s="2234"/>
      <c r="C1376" s="2210"/>
      <c r="D1376" s="2234"/>
      <c r="E1376" s="2374"/>
      <c r="F1376" s="2235"/>
      <c r="G1376" s="2235"/>
      <c r="H1376" s="2210"/>
      <c r="I1376" s="2210"/>
      <c r="J1376" s="2210"/>
      <c r="K1376" s="2211"/>
    </row>
    <row r="1377" spans="1:11">
      <c r="A1377" s="2241"/>
      <c r="B1377" s="2234"/>
      <c r="C1377" s="2210"/>
      <c r="D1377" s="2234"/>
      <c r="E1377" s="2374"/>
      <c r="F1377" s="2235"/>
      <c r="G1377" s="2235"/>
      <c r="H1377" s="2210"/>
      <c r="I1377" s="2210"/>
      <c r="J1377" s="2210"/>
      <c r="K1377" s="2211"/>
    </row>
    <row r="1378" spans="1:11">
      <c r="A1378" s="2241"/>
      <c r="B1378" s="2234"/>
      <c r="C1378" s="2210"/>
      <c r="D1378" s="2234"/>
      <c r="E1378" s="2374"/>
      <c r="F1378" s="2235"/>
      <c r="G1378" s="2235"/>
      <c r="H1378" s="2210"/>
      <c r="I1378" s="2210"/>
      <c r="J1378" s="2210"/>
      <c r="K1378" s="2211"/>
    </row>
    <row r="1379" spans="1:11">
      <c r="A1379" s="2241"/>
      <c r="B1379" s="2234"/>
      <c r="C1379" s="2210"/>
      <c r="D1379" s="2234"/>
      <c r="E1379" s="2374"/>
      <c r="F1379" s="2235"/>
      <c r="G1379" s="2235"/>
      <c r="H1379" s="2210"/>
      <c r="I1379" s="2210"/>
      <c r="J1379" s="2210"/>
      <c r="K1379" s="2211"/>
    </row>
    <row r="1380" spans="1:11">
      <c r="A1380" s="2241"/>
      <c r="B1380" s="2234"/>
      <c r="C1380" s="2210"/>
      <c r="D1380" s="2234"/>
      <c r="E1380" s="2374"/>
      <c r="F1380" s="2235"/>
      <c r="G1380" s="2235"/>
      <c r="H1380" s="2210"/>
      <c r="I1380" s="2210"/>
      <c r="J1380" s="2210"/>
      <c r="K1380" s="2211"/>
    </row>
    <row r="1381" spans="1:11">
      <c r="A1381" s="2241"/>
      <c r="B1381" s="2234"/>
      <c r="C1381" s="2210"/>
      <c r="D1381" s="2234"/>
      <c r="E1381" s="2374"/>
      <c r="F1381" s="2235"/>
      <c r="G1381" s="2235"/>
      <c r="H1381" s="2210"/>
      <c r="I1381" s="2210"/>
      <c r="J1381" s="2210"/>
      <c r="K1381" s="2211"/>
    </row>
    <row r="1382" spans="1:11">
      <c r="A1382" s="2241"/>
      <c r="B1382" s="2234"/>
      <c r="C1382" s="2210"/>
      <c r="D1382" s="2234"/>
      <c r="E1382" s="2374"/>
      <c r="F1382" s="2235"/>
      <c r="G1382" s="2235"/>
      <c r="H1382" s="2210"/>
      <c r="I1382" s="2210"/>
      <c r="J1382" s="2210"/>
      <c r="K1382" s="2211"/>
    </row>
    <row r="1383" spans="1:11">
      <c r="A1383" s="2241"/>
      <c r="B1383" s="2234"/>
      <c r="C1383" s="2210"/>
      <c r="D1383" s="2234"/>
      <c r="E1383" s="2374"/>
      <c r="F1383" s="2235"/>
      <c r="G1383" s="2235"/>
      <c r="H1383" s="2210"/>
      <c r="I1383" s="2210"/>
      <c r="J1383" s="2210"/>
      <c r="K1383" s="2211"/>
    </row>
    <row r="1384" spans="1:11">
      <c r="A1384" s="2241"/>
      <c r="B1384" s="2234"/>
      <c r="C1384" s="2210"/>
      <c r="D1384" s="2234"/>
      <c r="E1384" s="2374"/>
      <c r="F1384" s="2235"/>
      <c r="G1384" s="2235"/>
      <c r="H1384" s="2210"/>
      <c r="I1384" s="2210"/>
      <c r="J1384" s="2210"/>
      <c r="K1384" s="2211"/>
    </row>
    <row r="1385" spans="1:11">
      <c r="A1385" s="2241"/>
      <c r="B1385" s="2234"/>
      <c r="C1385" s="2210"/>
      <c r="D1385" s="2234"/>
      <c r="E1385" s="2374"/>
      <c r="F1385" s="2235"/>
      <c r="G1385" s="2235"/>
      <c r="H1385" s="2210"/>
      <c r="I1385" s="2210"/>
      <c r="J1385" s="2210"/>
      <c r="K1385" s="2211"/>
    </row>
    <row r="1386" spans="1:11">
      <c r="A1386" s="2241"/>
      <c r="B1386" s="2234"/>
      <c r="C1386" s="2210"/>
      <c r="D1386" s="2234"/>
      <c r="E1386" s="2374"/>
      <c r="F1386" s="2235"/>
      <c r="G1386" s="2235"/>
      <c r="H1386" s="2210"/>
      <c r="I1386" s="2210"/>
      <c r="J1386" s="2210"/>
      <c r="K1386" s="2211"/>
    </row>
    <row r="1387" spans="1:11">
      <c r="A1387" s="2241"/>
      <c r="B1387" s="2234"/>
      <c r="C1387" s="2210"/>
      <c r="D1387" s="2234"/>
      <c r="E1387" s="2374"/>
      <c r="F1387" s="2235"/>
      <c r="G1387" s="2235"/>
      <c r="H1387" s="2210"/>
      <c r="I1387" s="2210"/>
      <c r="J1387" s="2210"/>
      <c r="K1387" s="2211"/>
    </row>
    <row r="1388" spans="1:11">
      <c r="A1388" s="2241"/>
      <c r="B1388" s="2234"/>
      <c r="C1388" s="2210"/>
      <c r="D1388" s="2234"/>
      <c r="E1388" s="2374"/>
      <c r="F1388" s="2235"/>
      <c r="G1388" s="2235"/>
      <c r="H1388" s="2210"/>
      <c r="I1388" s="2210"/>
      <c r="J1388" s="2210"/>
      <c r="K1388" s="2211"/>
    </row>
    <row r="1389" spans="1:11">
      <c r="A1389" s="2241"/>
      <c r="B1389" s="2234"/>
      <c r="C1389" s="2210"/>
      <c r="D1389" s="2234"/>
      <c r="E1389" s="2374"/>
      <c r="F1389" s="2235"/>
      <c r="G1389" s="2235"/>
      <c r="H1389" s="2210"/>
      <c r="I1389" s="2210"/>
      <c r="J1389" s="2210"/>
      <c r="K1389" s="2211"/>
    </row>
    <row r="1390" spans="1:11">
      <c r="A1390" s="2241"/>
      <c r="B1390" s="2234"/>
      <c r="C1390" s="2210"/>
      <c r="D1390" s="2234"/>
      <c r="E1390" s="2374"/>
      <c r="F1390" s="2235"/>
      <c r="G1390" s="2235"/>
      <c r="H1390" s="2210"/>
      <c r="I1390" s="2210"/>
      <c r="J1390" s="2210"/>
      <c r="K1390" s="2211"/>
    </row>
    <row r="1391" spans="1:11">
      <c r="A1391" s="2241"/>
      <c r="B1391" s="2234"/>
      <c r="C1391" s="2210"/>
      <c r="D1391" s="2234"/>
      <c r="E1391" s="2374"/>
      <c r="F1391" s="2235"/>
      <c r="G1391" s="2235"/>
      <c r="H1391" s="2210"/>
      <c r="I1391" s="2210"/>
      <c r="J1391" s="2210"/>
      <c r="K1391" s="2211"/>
    </row>
    <row r="1392" spans="1:11">
      <c r="A1392" s="2241"/>
      <c r="B1392" s="2234"/>
      <c r="C1392" s="2210"/>
      <c r="D1392" s="2234"/>
      <c r="E1392" s="2374"/>
      <c r="F1392" s="2235"/>
      <c r="G1392" s="2235"/>
      <c r="H1392" s="2210"/>
      <c r="I1392" s="2210"/>
      <c r="J1392" s="2210"/>
      <c r="K1392" s="2211"/>
    </row>
    <row r="1393" spans="1:11">
      <c r="A1393" s="2241"/>
      <c r="B1393" s="2234"/>
      <c r="C1393" s="2210"/>
      <c r="D1393" s="2234"/>
      <c r="E1393" s="2374"/>
      <c r="F1393" s="2235"/>
      <c r="G1393" s="2235"/>
      <c r="H1393" s="2210"/>
      <c r="I1393" s="2210"/>
      <c r="J1393" s="2210"/>
      <c r="K1393" s="2211"/>
    </row>
    <row r="1394" spans="1:11">
      <c r="A1394" s="2241"/>
      <c r="B1394" s="2234"/>
      <c r="C1394" s="2210"/>
      <c r="D1394" s="2234"/>
      <c r="E1394" s="2374"/>
      <c r="F1394" s="2235"/>
      <c r="G1394" s="2235"/>
      <c r="H1394" s="2210"/>
      <c r="I1394" s="2210"/>
      <c r="J1394" s="2210"/>
      <c r="K1394" s="2211"/>
    </row>
    <row r="1395" spans="1:11">
      <c r="A1395" s="2241"/>
      <c r="B1395" s="2234"/>
      <c r="C1395" s="2210"/>
      <c r="D1395" s="2234"/>
      <c r="E1395" s="2374"/>
      <c r="F1395" s="2235"/>
      <c r="G1395" s="2235"/>
      <c r="H1395" s="2210"/>
      <c r="I1395" s="2210"/>
      <c r="J1395" s="2210"/>
      <c r="K1395" s="2211"/>
    </row>
    <row r="1396" spans="1:11">
      <c r="A1396" s="2241"/>
      <c r="B1396" s="2234"/>
      <c r="C1396" s="2210"/>
      <c r="D1396" s="2234"/>
      <c r="E1396" s="2374"/>
      <c r="F1396" s="2235"/>
      <c r="G1396" s="2235"/>
      <c r="H1396" s="2210"/>
      <c r="I1396" s="2210"/>
      <c r="J1396" s="2210"/>
      <c r="K1396" s="2211"/>
    </row>
    <row r="1397" spans="1:11">
      <c r="A1397" s="2241"/>
      <c r="B1397" s="2234"/>
      <c r="C1397" s="2210"/>
      <c r="D1397" s="2234"/>
      <c r="E1397" s="2374"/>
      <c r="F1397" s="2235"/>
      <c r="G1397" s="2235"/>
      <c r="H1397" s="2210"/>
      <c r="I1397" s="2210"/>
      <c r="J1397" s="2210"/>
      <c r="K1397" s="2211"/>
    </row>
    <row r="1398" spans="1:11">
      <c r="A1398" s="2241"/>
      <c r="B1398" s="2234"/>
      <c r="C1398" s="2210"/>
      <c r="D1398" s="2234"/>
      <c r="E1398" s="2374"/>
      <c r="F1398" s="2235"/>
      <c r="G1398" s="2235"/>
      <c r="H1398" s="2210"/>
      <c r="I1398" s="2210"/>
      <c r="J1398" s="2210"/>
      <c r="K1398" s="2211"/>
    </row>
    <row r="1399" spans="1:11">
      <c r="A1399" s="2241"/>
      <c r="B1399" s="2234"/>
      <c r="C1399" s="2210"/>
      <c r="D1399" s="2234"/>
      <c r="E1399" s="2374"/>
      <c r="F1399" s="2235"/>
      <c r="G1399" s="2235"/>
      <c r="H1399" s="2210"/>
      <c r="I1399" s="2210"/>
      <c r="J1399" s="2210"/>
      <c r="K1399" s="2211"/>
    </row>
    <row r="1400" spans="1:11">
      <c r="A1400" s="2241"/>
      <c r="B1400" s="2234"/>
      <c r="C1400" s="2210"/>
      <c r="D1400" s="2234"/>
      <c r="E1400" s="2374"/>
      <c r="F1400" s="2235"/>
      <c r="G1400" s="2235"/>
      <c r="H1400" s="2210"/>
      <c r="I1400" s="2210"/>
      <c r="J1400" s="2210"/>
      <c r="K1400" s="2211"/>
    </row>
    <row r="1401" spans="1:11">
      <c r="A1401" s="2241"/>
      <c r="B1401" s="2234"/>
      <c r="C1401" s="2210"/>
      <c r="D1401" s="2234"/>
      <c r="E1401" s="2374"/>
      <c r="F1401" s="2235"/>
      <c r="G1401" s="2235"/>
      <c r="H1401" s="2210"/>
      <c r="I1401" s="2210"/>
      <c r="J1401" s="2210"/>
      <c r="K1401" s="2211"/>
    </row>
    <row r="1402" spans="1:11">
      <c r="A1402" s="2241"/>
      <c r="B1402" s="2234"/>
      <c r="C1402" s="2210"/>
      <c r="D1402" s="2234"/>
      <c r="E1402" s="2374"/>
      <c r="F1402" s="2235"/>
      <c r="G1402" s="2235"/>
      <c r="H1402" s="2210"/>
      <c r="I1402" s="2210"/>
      <c r="J1402" s="2210"/>
      <c r="K1402" s="2211"/>
    </row>
    <row r="1403" spans="1:11">
      <c r="A1403" s="2241"/>
      <c r="B1403" s="2234"/>
      <c r="C1403" s="2210"/>
      <c r="D1403" s="2234"/>
      <c r="E1403" s="2374"/>
      <c r="F1403" s="2235"/>
      <c r="G1403" s="2235"/>
      <c r="H1403" s="2210"/>
      <c r="I1403" s="2210"/>
      <c r="J1403" s="2210"/>
      <c r="K1403" s="2211"/>
    </row>
    <row r="1404" spans="1:11">
      <c r="A1404" s="2241"/>
      <c r="B1404" s="2234"/>
      <c r="C1404" s="2210"/>
      <c r="D1404" s="2234"/>
      <c r="E1404" s="2374"/>
      <c r="F1404" s="2235"/>
      <c r="G1404" s="2235"/>
      <c r="H1404" s="2210"/>
      <c r="I1404" s="2210"/>
      <c r="J1404" s="2210"/>
      <c r="K1404" s="2211"/>
    </row>
    <row r="1405" spans="1:11">
      <c r="A1405" s="2241"/>
      <c r="B1405" s="2234"/>
      <c r="C1405" s="2210"/>
      <c r="D1405" s="2234"/>
      <c r="E1405" s="2374"/>
      <c r="F1405" s="2235"/>
      <c r="G1405" s="2235"/>
      <c r="H1405" s="2210"/>
      <c r="I1405" s="2210"/>
      <c r="J1405" s="2210"/>
      <c r="K1405" s="2211"/>
    </row>
    <row r="1406" spans="1:11">
      <c r="A1406" s="2241"/>
      <c r="B1406" s="2234"/>
      <c r="C1406" s="2210"/>
      <c r="D1406" s="2234"/>
      <c r="E1406" s="2374"/>
      <c r="F1406" s="2235"/>
      <c r="G1406" s="2235"/>
      <c r="H1406" s="2210"/>
      <c r="I1406" s="2210"/>
      <c r="J1406" s="2210"/>
      <c r="K1406" s="2211"/>
    </row>
    <row r="1407" spans="1:11">
      <c r="A1407" s="2241"/>
      <c r="B1407" s="2234"/>
      <c r="C1407" s="2210"/>
      <c r="D1407" s="2234"/>
      <c r="E1407" s="2374"/>
      <c r="F1407" s="2235"/>
      <c r="G1407" s="2235"/>
      <c r="H1407" s="2210"/>
      <c r="I1407" s="2210"/>
      <c r="J1407" s="2210"/>
      <c r="K1407" s="2211"/>
    </row>
    <row r="1408" spans="1:11">
      <c r="A1408" s="2241"/>
      <c r="B1408" s="2234"/>
      <c r="C1408" s="2210"/>
      <c r="D1408" s="2234"/>
      <c r="E1408" s="2374"/>
      <c r="F1408" s="2235"/>
      <c r="G1408" s="2235"/>
      <c r="H1408" s="2210"/>
      <c r="I1408" s="2210"/>
      <c r="J1408" s="2210"/>
      <c r="K1408" s="2211"/>
    </row>
    <row r="1409" spans="1:11">
      <c r="A1409" s="2241"/>
      <c r="B1409" s="2234"/>
      <c r="C1409" s="2210"/>
      <c r="D1409" s="2234"/>
      <c r="E1409" s="2374"/>
      <c r="F1409" s="2235"/>
      <c r="G1409" s="2235"/>
      <c r="H1409" s="2210"/>
      <c r="I1409" s="2210"/>
      <c r="J1409" s="2210"/>
      <c r="K1409" s="2211"/>
    </row>
    <row r="1410" spans="1:11">
      <c r="A1410" s="2241"/>
      <c r="B1410" s="2234"/>
      <c r="C1410" s="2210"/>
      <c r="D1410" s="2234"/>
      <c r="E1410" s="2374"/>
      <c r="F1410" s="2235"/>
      <c r="G1410" s="2235"/>
      <c r="H1410" s="2210"/>
      <c r="I1410" s="2210"/>
      <c r="J1410" s="2210"/>
      <c r="K1410" s="2211"/>
    </row>
    <row r="1411" spans="1:11">
      <c r="A1411" s="2241"/>
      <c r="B1411" s="2234"/>
      <c r="C1411" s="2210"/>
      <c r="D1411" s="2234"/>
      <c r="E1411" s="2374"/>
      <c r="F1411" s="2235"/>
      <c r="G1411" s="2235"/>
      <c r="H1411" s="2210"/>
      <c r="I1411" s="2210"/>
      <c r="J1411" s="2210"/>
      <c r="K1411" s="2211"/>
    </row>
    <row r="1412" spans="1:11">
      <c r="A1412" s="2241"/>
      <c r="B1412" s="2234"/>
      <c r="C1412" s="2210"/>
      <c r="D1412" s="2234"/>
      <c r="E1412" s="2374"/>
      <c r="F1412" s="2235"/>
      <c r="G1412" s="2235"/>
      <c r="H1412" s="2210"/>
      <c r="I1412" s="2210"/>
      <c r="J1412" s="2210"/>
      <c r="K1412" s="2211"/>
    </row>
    <row r="1413" spans="1:11">
      <c r="A1413" s="2241"/>
      <c r="B1413" s="2234"/>
      <c r="C1413" s="2210"/>
      <c r="D1413" s="2234"/>
      <c r="E1413" s="2374"/>
      <c r="F1413" s="2235"/>
      <c r="G1413" s="2235"/>
      <c r="H1413" s="2210"/>
      <c r="I1413" s="2210"/>
      <c r="J1413" s="2210"/>
      <c r="K1413" s="2211"/>
    </row>
    <row r="1414" spans="1:11">
      <c r="A1414" s="2241"/>
      <c r="B1414" s="2234"/>
      <c r="C1414" s="2210"/>
      <c r="D1414" s="2234"/>
      <c r="E1414" s="2374"/>
      <c r="F1414" s="2235"/>
      <c r="G1414" s="2235"/>
      <c r="H1414" s="2210"/>
      <c r="I1414" s="2210"/>
      <c r="J1414" s="2210"/>
      <c r="K1414" s="2211"/>
    </row>
    <row r="1415" spans="1:11">
      <c r="A1415" s="2241"/>
      <c r="B1415" s="2234"/>
      <c r="C1415" s="2210"/>
      <c r="D1415" s="2234"/>
      <c r="E1415" s="2374"/>
      <c r="F1415" s="2235"/>
      <c r="G1415" s="2235"/>
      <c r="H1415" s="2210"/>
      <c r="I1415" s="2210"/>
      <c r="J1415" s="2210"/>
      <c r="K1415" s="2211"/>
    </row>
    <row r="1416" spans="1:11">
      <c r="A1416" s="2241"/>
      <c r="B1416" s="2234"/>
      <c r="C1416" s="2210"/>
      <c r="D1416" s="2234"/>
      <c r="E1416" s="2374"/>
      <c r="F1416" s="2235"/>
      <c r="G1416" s="2235"/>
      <c r="H1416" s="2210"/>
      <c r="I1416" s="2210"/>
      <c r="J1416" s="2210"/>
      <c r="K1416" s="2211"/>
    </row>
    <row r="1417" spans="1:11">
      <c r="A1417" s="2241"/>
      <c r="B1417" s="2234"/>
      <c r="C1417" s="2210"/>
      <c r="D1417" s="2234"/>
      <c r="E1417" s="2374"/>
      <c r="F1417" s="2235"/>
      <c r="G1417" s="2235"/>
      <c r="H1417" s="2210"/>
      <c r="I1417" s="2210"/>
      <c r="J1417" s="2210"/>
      <c r="K1417" s="2211"/>
    </row>
    <row r="1418" spans="1:11">
      <c r="A1418" s="2241"/>
      <c r="B1418" s="2234"/>
      <c r="C1418" s="2210"/>
      <c r="D1418" s="2234"/>
      <c r="E1418" s="2374"/>
      <c r="F1418" s="2235"/>
      <c r="G1418" s="2235"/>
      <c r="H1418" s="2210"/>
      <c r="I1418" s="2210"/>
      <c r="J1418" s="2210"/>
      <c r="K1418" s="2211"/>
    </row>
    <row r="1419" spans="1:11">
      <c r="A1419" s="2241"/>
      <c r="B1419" s="2234"/>
      <c r="C1419" s="2210"/>
      <c r="D1419" s="2234"/>
      <c r="E1419" s="2374"/>
      <c r="F1419" s="2235"/>
      <c r="G1419" s="2235"/>
      <c r="H1419" s="2210"/>
      <c r="I1419" s="2210"/>
      <c r="J1419" s="2210"/>
      <c r="K1419" s="2211"/>
    </row>
    <row r="1420" spans="1:11">
      <c r="A1420" s="2241"/>
      <c r="B1420" s="2234"/>
      <c r="C1420" s="2210"/>
      <c r="D1420" s="2234"/>
      <c r="E1420" s="2374"/>
      <c r="F1420" s="2235"/>
      <c r="G1420" s="2235"/>
      <c r="H1420" s="2210"/>
      <c r="I1420" s="2210"/>
      <c r="J1420" s="2210"/>
      <c r="K1420" s="2211"/>
    </row>
    <row r="1421" spans="1:11">
      <c r="A1421" s="2241"/>
      <c r="B1421" s="2234"/>
      <c r="C1421" s="2210"/>
      <c r="D1421" s="2234"/>
      <c r="E1421" s="2374"/>
      <c r="F1421" s="2235"/>
      <c r="G1421" s="2235"/>
      <c r="H1421" s="2210"/>
      <c r="I1421" s="2210"/>
      <c r="J1421" s="2210"/>
      <c r="K1421" s="2211"/>
    </row>
    <row r="1422" spans="1:11">
      <c r="A1422" s="2241"/>
      <c r="B1422" s="2234"/>
      <c r="C1422" s="2210"/>
      <c r="D1422" s="2234"/>
      <c r="E1422" s="2374"/>
      <c r="F1422" s="2235"/>
      <c r="G1422" s="2235"/>
      <c r="H1422" s="2210"/>
      <c r="I1422" s="2210"/>
      <c r="J1422" s="2210"/>
      <c r="K1422" s="2211"/>
    </row>
    <row r="1423" spans="1:11">
      <c r="A1423" s="2241"/>
      <c r="B1423" s="2234"/>
      <c r="C1423" s="2210"/>
      <c r="D1423" s="2234"/>
      <c r="E1423" s="2374"/>
      <c r="F1423" s="2235"/>
      <c r="G1423" s="2235"/>
      <c r="H1423" s="2210"/>
      <c r="I1423" s="2210"/>
      <c r="J1423" s="2210"/>
      <c r="K1423" s="2211"/>
    </row>
    <row r="1424" spans="1:11">
      <c r="A1424" s="2241"/>
      <c r="B1424" s="2234"/>
      <c r="C1424" s="2210"/>
      <c r="D1424" s="2234"/>
      <c r="E1424" s="2374"/>
      <c r="F1424" s="2235"/>
      <c r="G1424" s="2235"/>
      <c r="H1424" s="2210"/>
      <c r="I1424" s="2210"/>
      <c r="J1424" s="2210"/>
      <c r="K1424" s="2211"/>
    </row>
    <row r="1425" spans="1:11">
      <c r="A1425" s="2241"/>
      <c r="B1425" s="2234"/>
      <c r="C1425" s="2210"/>
      <c r="D1425" s="2234"/>
      <c r="E1425" s="2374"/>
      <c r="F1425" s="2235"/>
      <c r="G1425" s="2235"/>
      <c r="H1425" s="2210"/>
      <c r="I1425" s="2210"/>
      <c r="J1425" s="2210"/>
      <c r="K1425" s="2211"/>
    </row>
    <row r="1426" spans="1:11">
      <c r="A1426" s="2241"/>
      <c r="B1426" s="2234"/>
      <c r="C1426" s="2210"/>
      <c r="D1426" s="2234"/>
      <c r="E1426" s="2374"/>
      <c r="F1426" s="2235"/>
      <c r="G1426" s="2235"/>
      <c r="H1426" s="2210"/>
      <c r="I1426" s="2210"/>
      <c r="J1426" s="2210"/>
      <c r="K1426" s="2211"/>
    </row>
    <row r="1427" spans="1:11">
      <c r="A1427" s="2241"/>
      <c r="B1427" s="2234"/>
      <c r="C1427" s="2210"/>
      <c r="D1427" s="2234"/>
      <c r="E1427" s="2374"/>
      <c r="F1427" s="2235"/>
      <c r="G1427" s="2235"/>
      <c r="H1427" s="2210"/>
      <c r="I1427" s="2210"/>
      <c r="J1427" s="2210"/>
      <c r="K1427" s="2211"/>
    </row>
    <row r="1428" spans="1:11">
      <c r="A1428" s="2241"/>
      <c r="B1428" s="2234"/>
      <c r="C1428" s="2210"/>
      <c r="D1428" s="2234"/>
      <c r="E1428" s="2374"/>
      <c r="F1428" s="2235"/>
      <c r="G1428" s="2235"/>
      <c r="H1428" s="2210"/>
      <c r="I1428" s="2210"/>
      <c r="J1428" s="2210"/>
      <c r="K1428" s="2211"/>
    </row>
    <row r="1429" spans="1:11">
      <c r="A1429" s="2241"/>
      <c r="B1429" s="2234"/>
      <c r="C1429" s="2210"/>
      <c r="D1429" s="2234"/>
      <c r="E1429" s="2374"/>
      <c r="F1429" s="2235"/>
      <c r="G1429" s="2235"/>
      <c r="H1429" s="2210"/>
      <c r="I1429" s="2210"/>
      <c r="J1429" s="2210"/>
      <c r="K1429" s="2211"/>
    </row>
    <row r="1430" spans="1:11">
      <c r="A1430" s="2241"/>
      <c r="B1430" s="2234"/>
      <c r="C1430" s="2210"/>
      <c r="D1430" s="2234"/>
      <c r="E1430" s="2374"/>
      <c r="F1430" s="2235"/>
      <c r="G1430" s="2235"/>
      <c r="H1430" s="2210"/>
      <c r="I1430" s="2210"/>
      <c r="J1430" s="2210"/>
      <c r="K1430" s="2211"/>
    </row>
    <row r="1431" spans="1:11">
      <c r="A1431" s="2241"/>
      <c r="B1431" s="2234"/>
      <c r="C1431" s="2210"/>
      <c r="D1431" s="2234"/>
      <c r="E1431" s="2374"/>
      <c r="F1431" s="2235"/>
      <c r="G1431" s="2235"/>
      <c r="H1431" s="2210"/>
      <c r="I1431" s="2210"/>
      <c r="J1431" s="2210"/>
      <c r="K1431" s="2211"/>
    </row>
    <row r="1432" spans="1:11">
      <c r="A1432" s="2241"/>
      <c r="B1432" s="2234"/>
      <c r="C1432" s="2210"/>
      <c r="D1432" s="2234"/>
      <c r="E1432" s="2374"/>
      <c r="F1432" s="2235"/>
      <c r="G1432" s="2235"/>
      <c r="H1432" s="2210"/>
      <c r="I1432" s="2210"/>
      <c r="J1432" s="2210"/>
      <c r="K1432" s="2211"/>
    </row>
    <row r="1433" spans="1:11">
      <c r="A1433" s="2241"/>
      <c r="B1433" s="2234"/>
      <c r="C1433" s="2210"/>
      <c r="D1433" s="2234"/>
      <c r="E1433" s="2374"/>
      <c r="F1433" s="2235"/>
      <c r="G1433" s="2235"/>
      <c r="H1433" s="2210"/>
      <c r="I1433" s="2210"/>
      <c r="J1433" s="2210"/>
      <c r="K1433" s="2211"/>
    </row>
    <row r="1434" spans="1:11">
      <c r="A1434" s="2241"/>
      <c r="B1434" s="2234"/>
      <c r="C1434" s="2210"/>
      <c r="D1434" s="2234"/>
      <c r="E1434" s="2374"/>
      <c r="F1434" s="2235"/>
      <c r="G1434" s="2235"/>
      <c r="H1434" s="2210"/>
      <c r="I1434" s="2210"/>
      <c r="J1434" s="2210"/>
      <c r="K1434" s="2211"/>
    </row>
    <row r="1435" spans="1:11">
      <c r="A1435" s="2241"/>
      <c r="B1435" s="2234"/>
      <c r="C1435" s="2210"/>
      <c r="D1435" s="2234"/>
      <c r="E1435" s="2374"/>
      <c r="F1435" s="2235"/>
      <c r="G1435" s="2235"/>
      <c r="H1435" s="2210"/>
      <c r="I1435" s="2210"/>
      <c r="J1435" s="2210"/>
      <c r="K1435" s="2211"/>
    </row>
    <row r="1436" spans="1:11">
      <c r="A1436" s="2241"/>
      <c r="B1436" s="2234"/>
      <c r="C1436" s="2210"/>
      <c r="D1436" s="2234"/>
      <c r="E1436" s="2374"/>
      <c r="F1436" s="2235"/>
      <c r="G1436" s="2235"/>
      <c r="H1436" s="2210"/>
      <c r="I1436" s="2210"/>
      <c r="J1436" s="2210"/>
      <c r="K1436" s="2211"/>
    </row>
    <row r="1437" spans="1:11">
      <c r="A1437" s="2241"/>
      <c r="B1437" s="2234"/>
      <c r="C1437" s="2210"/>
      <c r="D1437" s="2234"/>
      <c r="E1437" s="2374"/>
      <c r="F1437" s="2235"/>
      <c r="G1437" s="2235"/>
      <c r="H1437" s="2210"/>
      <c r="I1437" s="2210"/>
      <c r="J1437" s="2210"/>
      <c r="K1437" s="2211"/>
    </row>
    <row r="1438" spans="1:11">
      <c r="A1438" s="2241"/>
      <c r="B1438" s="2234"/>
      <c r="C1438" s="2210"/>
      <c r="D1438" s="2234"/>
      <c r="E1438" s="2374"/>
      <c r="F1438" s="2235"/>
      <c r="G1438" s="2235"/>
      <c r="H1438" s="2210"/>
      <c r="I1438" s="2210"/>
      <c r="J1438" s="2210"/>
      <c r="K1438" s="2211"/>
    </row>
    <row r="1439" spans="1:11">
      <c r="A1439" s="2241"/>
      <c r="B1439" s="2234"/>
      <c r="C1439" s="2210"/>
      <c r="D1439" s="2234"/>
      <c r="E1439" s="2374"/>
      <c r="F1439" s="2235"/>
      <c r="G1439" s="2235"/>
      <c r="H1439" s="2210"/>
      <c r="I1439" s="2210"/>
      <c r="J1439" s="2210"/>
      <c r="K1439" s="2211"/>
    </row>
    <row r="1440" spans="1:11">
      <c r="A1440" s="2241"/>
      <c r="B1440" s="2234"/>
      <c r="C1440" s="2210"/>
      <c r="D1440" s="2234"/>
      <c r="E1440" s="2374"/>
      <c r="F1440" s="2235"/>
      <c r="G1440" s="2235"/>
      <c r="H1440" s="2210"/>
      <c r="I1440" s="2210"/>
      <c r="J1440" s="2210"/>
      <c r="K1440" s="2211"/>
    </row>
    <row r="1441" spans="1:11">
      <c r="A1441" s="2241"/>
      <c r="B1441" s="2234"/>
      <c r="C1441" s="2210"/>
      <c r="D1441" s="2234"/>
      <c r="E1441" s="2374"/>
      <c r="F1441" s="2235"/>
      <c r="G1441" s="2235"/>
      <c r="H1441" s="2210"/>
      <c r="I1441" s="2210"/>
      <c r="J1441" s="2210"/>
      <c r="K1441" s="2211"/>
    </row>
    <row r="1442" spans="1:11">
      <c r="A1442" s="2241"/>
      <c r="B1442" s="2234"/>
      <c r="C1442" s="2210"/>
      <c r="D1442" s="2234"/>
      <c r="E1442" s="2374"/>
      <c r="F1442" s="2235"/>
      <c r="G1442" s="2235"/>
      <c r="H1442" s="2210"/>
      <c r="I1442" s="2210"/>
      <c r="J1442" s="2210"/>
      <c r="K1442" s="2211"/>
    </row>
    <row r="1443" spans="1:11">
      <c r="A1443" s="2241"/>
      <c r="B1443" s="2234"/>
      <c r="C1443" s="2210"/>
      <c r="D1443" s="2234"/>
      <c r="E1443" s="2374"/>
      <c r="F1443" s="2235"/>
      <c r="G1443" s="2235"/>
      <c r="H1443" s="2210"/>
      <c r="I1443" s="2210"/>
      <c r="J1443" s="2210"/>
      <c r="K1443" s="2211"/>
    </row>
    <row r="1444" spans="1:11">
      <c r="A1444" s="2241"/>
      <c r="B1444" s="2234"/>
      <c r="C1444" s="2210"/>
      <c r="D1444" s="2234"/>
      <c r="E1444" s="2374"/>
      <c r="F1444" s="2235"/>
      <c r="G1444" s="2235"/>
      <c r="H1444" s="2210"/>
      <c r="I1444" s="2210"/>
      <c r="J1444" s="2210"/>
      <c r="K1444" s="2211"/>
    </row>
    <row r="1445" spans="1:11">
      <c r="A1445" s="2241"/>
      <c r="B1445" s="2234"/>
      <c r="C1445" s="2210"/>
      <c r="D1445" s="2234"/>
      <c r="E1445" s="2374"/>
      <c r="F1445" s="2235"/>
      <c r="G1445" s="2235"/>
      <c r="H1445" s="2210"/>
      <c r="I1445" s="2210"/>
      <c r="J1445" s="2210"/>
      <c r="K1445" s="2211"/>
    </row>
    <row r="1446" spans="1:11">
      <c r="A1446" s="2241"/>
      <c r="B1446" s="2234"/>
      <c r="C1446" s="2210"/>
      <c r="D1446" s="2234"/>
      <c r="E1446" s="2374"/>
      <c r="F1446" s="2235"/>
      <c r="G1446" s="2235"/>
      <c r="H1446" s="2210"/>
      <c r="I1446" s="2210"/>
      <c r="J1446" s="2210"/>
      <c r="K1446" s="2211"/>
    </row>
    <row r="1447" spans="1:11">
      <c r="A1447" s="2241"/>
      <c r="B1447" s="2234"/>
      <c r="C1447" s="2210"/>
      <c r="D1447" s="2234"/>
      <c r="E1447" s="2374"/>
      <c r="F1447" s="2235"/>
      <c r="G1447" s="2235"/>
      <c r="H1447" s="2210"/>
      <c r="I1447" s="2210"/>
      <c r="J1447" s="2210"/>
      <c r="K1447" s="2211"/>
    </row>
    <row r="1448" spans="1:11">
      <c r="A1448" s="2241"/>
      <c r="B1448" s="2234"/>
      <c r="C1448" s="2210"/>
      <c r="D1448" s="2234"/>
      <c r="E1448" s="2374"/>
      <c r="F1448" s="2235"/>
      <c r="G1448" s="2235"/>
      <c r="H1448" s="2210"/>
      <c r="I1448" s="2210"/>
      <c r="J1448" s="2210"/>
      <c r="K1448" s="2211"/>
    </row>
    <row r="1449" spans="1:11">
      <c r="A1449" s="2241"/>
      <c r="B1449" s="2234"/>
      <c r="C1449" s="2210"/>
      <c r="D1449" s="2234"/>
      <c r="E1449" s="2374"/>
      <c r="F1449" s="2235"/>
      <c r="G1449" s="2235"/>
      <c r="H1449" s="2210"/>
      <c r="I1449" s="2210"/>
      <c r="J1449" s="2210"/>
      <c r="K1449" s="2211"/>
    </row>
    <row r="1450" spans="1:11">
      <c r="A1450" s="2241"/>
      <c r="B1450" s="2234"/>
      <c r="C1450" s="2210"/>
      <c r="D1450" s="2234"/>
      <c r="E1450" s="2374"/>
      <c r="F1450" s="2235"/>
      <c r="G1450" s="2235"/>
      <c r="H1450" s="2210"/>
      <c r="I1450" s="2210"/>
      <c r="J1450" s="2210"/>
      <c r="K1450" s="2211"/>
    </row>
    <row r="1451" spans="1:11">
      <c r="A1451" s="2241"/>
      <c r="B1451" s="2234"/>
      <c r="C1451" s="2210"/>
      <c r="D1451" s="2234"/>
      <c r="E1451" s="2374"/>
      <c r="F1451" s="2235"/>
      <c r="G1451" s="2235"/>
      <c r="H1451" s="2210"/>
      <c r="I1451" s="2210"/>
      <c r="J1451" s="2210"/>
      <c r="K1451" s="2211"/>
    </row>
    <row r="1452" spans="1:11">
      <c r="A1452" s="2241"/>
      <c r="B1452" s="2234"/>
      <c r="C1452" s="2210"/>
      <c r="D1452" s="2234"/>
      <c r="E1452" s="2374"/>
      <c r="F1452" s="2235"/>
      <c r="G1452" s="2235"/>
      <c r="H1452" s="2210"/>
      <c r="I1452" s="2210"/>
      <c r="J1452" s="2210"/>
      <c r="K1452" s="2211"/>
    </row>
    <row r="1453" spans="1:11">
      <c r="A1453" s="2241"/>
      <c r="B1453" s="2234"/>
      <c r="C1453" s="2210"/>
      <c r="D1453" s="2234"/>
      <c r="E1453" s="2374"/>
      <c r="F1453" s="2235"/>
      <c r="G1453" s="2235"/>
      <c r="H1453" s="2210"/>
      <c r="I1453" s="2210"/>
      <c r="J1453" s="2210"/>
      <c r="K1453" s="2211"/>
    </row>
    <row r="1454" spans="1:11">
      <c r="A1454" s="2241"/>
      <c r="B1454" s="2234"/>
      <c r="C1454" s="2210"/>
      <c r="D1454" s="2234"/>
      <c r="E1454" s="2374"/>
      <c r="F1454" s="2235"/>
      <c r="G1454" s="2235"/>
      <c r="H1454" s="2210"/>
      <c r="I1454" s="2210"/>
      <c r="J1454" s="2210"/>
      <c r="K1454" s="2211"/>
    </row>
    <row r="1455" spans="1:11">
      <c r="A1455" s="2241"/>
      <c r="B1455" s="2234"/>
      <c r="C1455" s="2210"/>
      <c r="D1455" s="2234"/>
      <c r="E1455" s="2374"/>
      <c r="F1455" s="2235"/>
      <c r="G1455" s="2235"/>
      <c r="H1455" s="2210"/>
      <c r="I1455" s="2210"/>
      <c r="J1455" s="2210"/>
      <c r="K1455" s="2211"/>
    </row>
    <row r="1456" spans="1:11">
      <c r="A1456" s="2241"/>
      <c r="B1456" s="2234"/>
      <c r="C1456" s="2210"/>
      <c r="D1456" s="2234"/>
      <c r="E1456" s="2374"/>
      <c r="F1456" s="2235"/>
      <c r="G1456" s="2235"/>
      <c r="H1456" s="2210"/>
      <c r="I1456" s="2210"/>
      <c r="J1456" s="2210"/>
      <c r="K1456" s="2211"/>
    </row>
    <row r="1457" spans="1:11">
      <c r="A1457" s="2241"/>
      <c r="B1457" s="2234"/>
      <c r="C1457" s="2210"/>
      <c r="D1457" s="2234"/>
      <c r="E1457" s="2374"/>
      <c r="F1457" s="2235"/>
      <c r="G1457" s="2235"/>
      <c r="H1457" s="2210"/>
      <c r="I1457" s="2210"/>
      <c r="J1457" s="2210"/>
      <c r="K1457" s="2211"/>
    </row>
    <row r="1458" spans="1:11">
      <c r="A1458" s="2241"/>
      <c r="B1458" s="2234"/>
      <c r="C1458" s="2210"/>
      <c r="D1458" s="2234"/>
      <c r="E1458" s="2374"/>
      <c r="F1458" s="2235"/>
      <c r="G1458" s="2235"/>
      <c r="H1458" s="2210"/>
      <c r="I1458" s="2210"/>
      <c r="J1458" s="2210"/>
      <c r="K1458" s="2211"/>
    </row>
    <row r="1459" spans="1:11">
      <c r="A1459" s="2241"/>
      <c r="B1459" s="2234"/>
      <c r="C1459" s="2210"/>
      <c r="D1459" s="2234"/>
      <c r="E1459" s="2374"/>
      <c r="F1459" s="2235"/>
      <c r="G1459" s="2235"/>
      <c r="H1459" s="2210"/>
      <c r="I1459" s="2210"/>
      <c r="J1459" s="2210"/>
      <c r="K1459" s="2211"/>
    </row>
    <row r="1460" spans="1:11">
      <c r="A1460" s="2241"/>
      <c r="B1460" s="2234"/>
      <c r="C1460" s="2210"/>
      <c r="D1460" s="2234"/>
      <c r="E1460" s="2374"/>
      <c r="F1460" s="2235"/>
      <c r="G1460" s="2235"/>
      <c r="H1460" s="2210"/>
      <c r="I1460" s="2210"/>
      <c r="J1460" s="2210"/>
      <c r="K1460" s="2211"/>
    </row>
    <row r="1461" spans="1:11">
      <c r="A1461" s="2241"/>
      <c r="B1461" s="2234"/>
      <c r="C1461" s="2210"/>
      <c r="D1461" s="2234"/>
      <c r="E1461" s="2374"/>
      <c r="F1461" s="2235"/>
      <c r="G1461" s="2235"/>
      <c r="H1461" s="2210"/>
      <c r="I1461" s="2210"/>
      <c r="J1461" s="2210"/>
      <c r="K1461" s="2211"/>
    </row>
    <row r="1462" spans="1:11">
      <c r="A1462" s="2241"/>
      <c r="B1462" s="2234"/>
      <c r="C1462" s="2210"/>
      <c r="D1462" s="2234"/>
      <c r="E1462" s="2374"/>
      <c r="F1462" s="2235"/>
      <c r="G1462" s="2235"/>
      <c r="H1462" s="2210"/>
      <c r="I1462" s="2210"/>
      <c r="J1462" s="2210"/>
      <c r="K1462" s="2211"/>
    </row>
    <row r="1463" spans="1:11">
      <c r="A1463" s="2241"/>
      <c r="B1463" s="2234"/>
      <c r="C1463" s="2210"/>
      <c r="D1463" s="2234"/>
      <c r="E1463" s="2374"/>
      <c r="F1463" s="2235"/>
      <c r="G1463" s="2235"/>
      <c r="H1463" s="2210"/>
      <c r="I1463" s="2210"/>
      <c r="J1463" s="2210"/>
      <c r="K1463" s="2211"/>
    </row>
    <row r="1464" spans="1:11">
      <c r="A1464" s="2241"/>
      <c r="B1464" s="2234"/>
      <c r="C1464" s="2210"/>
      <c r="D1464" s="2234"/>
      <c r="E1464" s="2374"/>
      <c r="F1464" s="2235"/>
      <c r="G1464" s="2235"/>
      <c r="H1464" s="2210"/>
      <c r="I1464" s="2210"/>
      <c r="J1464" s="2210"/>
      <c r="K1464" s="2211"/>
    </row>
    <row r="1465" spans="1:11">
      <c r="A1465" s="2241"/>
      <c r="B1465" s="2234"/>
      <c r="C1465" s="2210"/>
      <c r="D1465" s="2234"/>
      <c r="E1465" s="2374"/>
      <c r="F1465" s="2235"/>
      <c r="G1465" s="2235"/>
      <c r="H1465" s="2210"/>
      <c r="I1465" s="2210"/>
      <c r="J1465" s="2210"/>
      <c r="K1465" s="2211"/>
    </row>
    <row r="1466" spans="1:11">
      <c r="A1466" s="2241"/>
      <c r="B1466" s="2234"/>
      <c r="C1466" s="2210"/>
      <c r="D1466" s="2234"/>
      <c r="E1466" s="2374"/>
      <c r="F1466" s="2235"/>
      <c r="G1466" s="2235"/>
      <c r="H1466" s="2210"/>
      <c r="I1466" s="2210"/>
      <c r="J1466" s="2210"/>
      <c r="K1466" s="2211"/>
    </row>
    <row r="1467" spans="1:11">
      <c r="A1467" s="2241"/>
      <c r="B1467" s="2234"/>
      <c r="C1467" s="2210"/>
      <c r="D1467" s="2234"/>
      <c r="E1467" s="2374"/>
      <c r="F1467" s="2235"/>
      <c r="G1467" s="2235"/>
      <c r="H1467" s="2210"/>
      <c r="I1467" s="2210"/>
      <c r="J1467" s="2210"/>
      <c r="K1467" s="2211"/>
    </row>
    <row r="1468" spans="1:11">
      <c r="A1468" s="2241"/>
      <c r="B1468" s="2234"/>
      <c r="C1468" s="2210"/>
      <c r="D1468" s="2234"/>
      <c r="E1468" s="2374"/>
      <c r="F1468" s="2235"/>
      <c r="G1468" s="2235"/>
      <c r="H1468" s="2210"/>
      <c r="I1468" s="2210"/>
      <c r="J1468" s="2210"/>
      <c r="K1468" s="2211"/>
    </row>
    <row r="1469" spans="1:11">
      <c r="A1469" s="2241"/>
      <c r="B1469" s="2234"/>
      <c r="C1469" s="2210"/>
      <c r="D1469" s="2234"/>
      <c r="E1469" s="2374"/>
      <c r="F1469" s="2235"/>
      <c r="G1469" s="2235"/>
      <c r="H1469" s="2210"/>
      <c r="I1469" s="2210"/>
      <c r="J1469" s="2210"/>
      <c r="K1469" s="2211"/>
    </row>
    <row r="1470" spans="1:11">
      <c r="A1470" s="2241"/>
      <c r="B1470" s="2234"/>
      <c r="C1470" s="2210"/>
      <c r="D1470" s="2234"/>
      <c r="E1470" s="2374"/>
      <c r="F1470" s="2235"/>
      <c r="G1470" s="2235"/>
      <c r="H1470" s="2210"/>
      <c r="I1470" s="2210"/>
      <c r="J1470" s="2210"/>
      <c r="K1470" s="2211"/>
    </row>
    <row r="1471" spans="1:11">
      <c r="A1471" s="2241"/>
      <c r="B1471" s="2234"/>
      <c r="C1471" s="2210"/>
      <c r="D1471" s="2234"/>
      <c r="E1471" s="2374"/>
      <c r="F1471" s="2235"/>
      <c r="G1471" s="2235"/>
      <c r="H1471" s="2210"/>
      <c r="I1471" s="2210"/>
      <c r="J1471" s="2210"/>
      <c r="K1471" s="2211"/>
    </row>
    <row r="1472" spans="1:11">
      <c r="A1472" s="2241"/>
      <c r="B1472" s="2234"/>
      <c r="C1472" s="2210"/>
      <c r="D1472" s="2234"/>
      <c r="E1472" s="2374"/>
      <c r="F1472" s="2235"/>
      <c r="G1472" s="2235"/>
      <c r="H1472" s="2210"/>
      <c r="I1472" s="2210"/>
      <c r="J1472" s="2210"/>
      <c r="K1472" s="2211"/>
    </row>
    <row r="1473" spans="1:11">
      <c r="A1473" s="2241"/>
      <c r="B1473" s="2234"/>
      <c r="C1473" s="2210"/>
      <c r="D1473" s="2234"/>
      <c r="E1473" s="2374"/>
      <c r="F1473" s="2235"/>
      <c r="G1473" s="2235"/>
      <c r="H1473" s="2210"/>
      <c r="I1473" s="2210"/>
      <c r="J1473" s="2210"/>
      <c r="K1473" s="2211"/>
    </row>
    <row r="1474" spans="1:11">
      <c r="A1474" s="2241"/>
      <c r="B1474" s="2234"/>
      <c r="C1474" s="2210"/>
      <c r="D1474" s="2234"/>
      <c r="E1474" s="2374"/>
      <c r="F1474" s="2235"/>
      <c r="G1474" s="2235"/>
      <c r="H1474" s="2210"/>
      <c r="I1474" s="2210"/>
      <c r="J1474" s="2210"/>
      <c r="K1474" s="2211"/>
    </row>
    <row r="1475" spans="1:11">
      <c r="A1475" s="2241"/>
      <c r="B1475" s="2234"/>
      <c r="C1475" s="2210"/>
      <c r="D1475" s="2234"/>
      <c r="E1475" s="2374"/>
      <c r="F1475" s="2235"/>
      <c r="G1475" s="2235"/>
      <c r="H1475" s="2210"/>
      <c r="I1475" s="2210"/>
      <c r="J1475" s="2210"/>
      <c r="K1475" s="2211"/>
    </row>
    <row r="1476" spans="1:11">
      <c r="A1476" s="2241"/>
      <c r="B1476" s="2234"/>
      <c r="C1476" s="2210"/>
      <c r="D1476" s="2234"/>
      <c r="E1476" s="2374"/>
      <c r="F1476" s="2235"/>
      <c r="G1476" s="2235"/>
      <c r="H1476" s="2210"/>
      <c r="I1476" s="2210"/>
      <c r="J1476" s="2210"/>
      <c r="K1476" s="2211"/>
    </row>
    <row r="1477" spans="1:11">
      <c r="A1477" s="2241"/>
      <c r="B1477" s="2234"/>
      <c r="C1477" s="2210"/>
      <c r="D1477" s="2234"/>
      <c r="E1477" s="2374"/>
      <c r="F1477" s="2235"/>
      <c r="G1477" s="2235"/>
      <c r="H1477" s="2210"/>
      <c r="I1477" s="2210"/>
      <c r="J1477" s="2210"/>
      <c r="K1477" s="2211"/>
    </row>
    <row r="1478" spans="1:11">
      <c r="A1478" s="2241"/>
      <c r="B1478" s="2234"/>
      <c r="C1478" s="2210"/>
      <c r="D1478" s="2234"/>
      <c r="E1478" s="2374"/>
      <c r="F1478" s="2235"/>
      <c r="G1478" s="2235"/>
      <c r="H1478" s="2210"/>
      <c r="I1478" s="2210"/>
      <c r="J1478" s="2210"/>
      <c r="K1478" s="2211"/>
    </row>
    <row r="1479" spans="1:11">
      <c r="A1479" s="2241"/>
      <c r="B1479" s="2234"/>
      <c r="C1479" s="2210"/>
      <c r="D1479" s="2234"/>
      <c r="E1479" s="2374"/>
      <c r="F1479" s="2235"/>
      <c r="G1479" s="2235"/>
      <c r="H1479" s="2210"/>
      <c r="I1479" s="2210"/>
      <c r="J1479" s="2210"/>
      <c r="K1479" s="2211"/>
    </row>
    <row r="1480" spans="1:11">
      <c r="A1480" s="2241"/>
      <c r="B1480" s="2234"/>
      <c r="C1480" s="2210"/>
      <c r="D1480" s="2234"/>
      <c r="E1480" s="2374"/>
      <c r="F1480" s="2235"/>
      <c r="G1480" s="2235"/>
      <c r="H1480" s="2210"/>
      <c r="I1480" s="2210"/>
      <c r="J1480" s="2210"/>
      <c r="K1480" s="2211"/>
    </row>
    <row r="1481" spans="1:11">
      <c r="A1481" s="2241"/>
      <c r="B1481" s="2234"/>
      <c r="C1481" s="2210"/>
      <c r="D1481" s="2234"/>
      <c r="E1481" s="2374"/>
      <c r="F1481" s="2235"/>
      <c r="G1481" s="2235"/>
      <c r="H1481" s="2210"/>
      <c r="I1481" s="2210"/>
      <c r="J1481" s="2210"/>
      <c r="K1481" s="2211"/>
    </row>
    <row r="1482" spans="1:11">
      <c r="A1482" s="2241"/>
      <c r="B1482" s="2234"/>
      <c r="C1482" s="2210"/>
      <c r="D1482" s="2234"/>
      <c r="E1482" s="2374"/>
      <c r="F1482" s="2235"/>
      <c r="G1482" s="2235"/>
      <c r="H1482" s="2210"/>
      <c r="I1482" s="2210"/>
      <c r="J1482" s="2210"/>
      <c r="K1482" s="2211"/>
    </row>
    <row r="1483" spans="1:11">
      <c r="A1483" s="2241"/>
      <c r="B1483" s="2234"/>
      <c r="C1483" s="2210"/>
      <c r="D1483" s="2234"/>
      <c r="E1483" s="2374"/>
      <c r="F1483" s="2235"/>
      <c r="G1483" s="2235"/>
      <c r="H1483" s="2210"/>
      <c r="I1483" s="2210"/>
      <c r="J1483" s="2210"/>
      <c r="K1483" s="2211"/>
    </row>
    <row r="1484" spans="1:11">
      <c r="A1484" s="2241"/>
      <c r="B1484" s="2234"/>
      <c r="C1484" s="2210"/>
      <c r="D1484" s="2234"/>
      <c r="E1484" s="2374"/>
      <c r="F1484" s="2235"/>
      <c r="G1484" s="2235"/>
      <c r="H1484" s="2210"/>
      <c r="I1484" s="2210"/>
      <c r="J1484" s="2210"/>
      <c r="K1484" s="2211"/>
    </row>
    <row r="1485" spans="1:11">
      <c r="A1485" s="2241"/>
      <c r="B1485" s="2234"/>
      <c r="C1485" s="2210"/>
      <c r="D1485" s="2234"/>
      <c r="E1485" s="2374"/>
      <c r="F1485" s="2235"/>
      <c r="G1485" s="2235"/>
      <c r="H1485" s="2210"/>
      <c r="I1485" s="2210"/>
      <c r="J1485" s="2210"/>
      <c r="K1485" s="2211"/>
    </row>
    <row r="1486" spans="1:11">
      <c r="A1486" s="2241"/>
      <c r="B1486" s="2234"/>
      <c r="C1486" s="2210"/>
      <c r="D1486" s="2234"/>
      <c r="E1486" s="2374"/>
      <c r="F1486" s="2235"/>
      <c r="G1486" s="2235"/>
      <c r="H1486" s="2210"/>
      <c r="I1486" s="2210"/>
      <c r="J1486" s="2210"/>
      <c r="K1486" s="2211"/>
    </row>
    <row r="1487" spans="1:11">
      <c r="A1487" s="2241"/>
      <c r="B1487" s="2234"/>
      <c r="C1487" s="2210"/>
      <c r="D1487" s="2234"/>
      <c r="E1487" s="2374"/>
      <c r="F1487" s="2235"/>
      <c r="G1487" s="2235"/>
      <c r="H1487" s="2210"/>
      <c r="I1487" s="2210"/>
      <c r="J1487" s="2210"/>
      <c r="K1487" s="2211"/>
    </row>
    <row r="1488" spans="1:11">
      <c r="A1488" s="2241"/>
      <c r="B1488" s="2234"/>
      <c r="C1488" s="2210"/>
      <c r="D1488" s="2234"/>
      <c r="E1488" s="2374"/>
      <c r="F1488" s="2235"/>
      <c r="G1488" s="2235"/>
      <c r="H1488" s="2210"/>
      <c r="I1488" s="2210"/>
      <c r="J1488" s="2210"/>
      <c r="K1488" s="2211"/>
    </row>
    <row r="1489" spans="1:11">
      <c r="A1489" s="2241"/>
      <c r="B1489" s="2234"/>
      <c r="C1489" s="2210"/>
      <c r="D1489" s="2234"/>
      <c r="E1489" s="2374"/>
      <c r="F1489" s="2235"/>
      <c r="G1489" s="2235"/>
      <c r="H1489" s="2210"/>
      <c r="I1489" s="2210"/>
      <c r="J1489" s="2210"/>
      <c r="K1489" s="2211"/>
    </row>
    <row r="1490" spans="1:11">
      <c r="A1490" s="2241"/>
      <c r="B1490" s="2234"/>
      <c r="C1490" s="2210"/>
      <c r="D1490" s="2234"/>
      <c r="E1490" s="2374"/>
      <c r="F1490" s="2235"/>
      <c r="G1490" s="2235"/>
      <c r="H1490" s="2210"/>
      <c r="I1490" s="2210"/>
      <c r="J1490" s="2210"/>
      <c r="K1490" s="2211"/>
    </row>
    <row r="1491" spans="1:11">
      <c r="A1491" s="2241"/>
      <c r="B1491" s="2234"/>
      <c r="C1491" s="2210"/>
      <c r="D1491" s="2234"/>
      <c r="E1491" s="2374"/>
      <c r="F1491" s="2235"/>
      <c r="G1491" s="2235"/>
      <c r="H1491" s="2210"/>
      <c r="I1491" s="2210"/>
      <c r="J1491" s="2210"/>
      <c r="K1491" s="2211"/>
    </row>
    <row r="1492" spans="1:11">
      <c r="A1492" s="2241"/>
      <c r="B1492" s="2234"/>
      <c r="C1492" s="2210"/>
      <c r="D1492" s="2234"/>
      <c r="E1492" s="2374"/>
      <c r="F1492" s="2235"/>
      <c r="G1492" s="2235"/>
      <c r="H1492" s="2210"/>
      <c r="I1492" s="2210"/>
      <c r="J1492" s="2210"/>
      <c r="K1492" s="2211"/>
    </row>
    <row r="1493" spans="1:11">
      <c r="A1493" s="2241"/>
      <c r="B1493" s="2234"/>
      <c r="C1493" s="2210"/>
      <c r="D1493" s="2234"/>
      <c r="E1493" s="2374"/>
      <c r="F1493" s="2235"/>
      <c r="G1493" s="2235"/>
      <c r="H1493" s="2210"/>
      <c r="I1493" s="2210"/>
      <c r="J1493" s="2210"/>
      <c r="K1493" s="2211"/>
    </row>
    <row r="1494" spans="1:11">
      <c r="A1494" s="2241"/>
      <c r="B1494" s="2234"/>
      <c r="C1494" s="2210"/>
      <c r="D1494" s="2234"/>
      <c r="E1494" s="2374"/>
      <c r="F1494" s="2235"/>
      <c r="G1494" s="2235"/>
      <c r="H1494" s="2210"/>
      <c r="I1494" s="2210"/>
      <c r="J1494" s="2210"/>
      <c r="K1494" s="2211"/>
    </row>
    <row r="1495" spans="1:11">
      <c r="A1495" s="2241"/>
      <c r="B1495" s="2234"/>
      <c r="C1495" s="2210"/>
      <c r="D1495" s="2234"/>
      <c r="E1495" s="2374"/>
      <c r="F1495" s="2235"/>
      <c r="G1495" s="2235"/>
      <c r="H1495" s="2210"/>
      <c r="I1495" s="2210"/>
      <c r="J1495" s="2210"/>
      <c r="K1495" s="2211"/>
    </row>
    <row r="1496" spans="1:11">
      <c r="A1496" s="2241"/>
      <c r="B1496" s="2234"/>
      <c r="C1496" s="2210"/>
      <c r="D1496" s="2234"/>
      <c r="E1496" s="2374"/>
      <c r="F1496" s="2235"/>
      <c r="G1496" s="2235"/>
      <c r="H1496" s="2210"/>
      <c r="I1496" s="2210"/>
      <c r="J1496" s="2210"/>
      <c r="K1496" s="2211"/>
    </row>
    <row r="1497" spans="1:11">
      <c r="A1497" s="2241"/>
      <c r="B1497" s="2234"/>
      <c r="C1497" s="2210"/>
      <c r="D1497" s="2234"/>
      <c r="E1497" s="2374"/>
      <c r="F1497" s="2235"/>
      <c r="G1497" s="2235"/>
      <c r="H1497" s="2210"/>
      <c r="I1497" s="2210"/>
      <c r="J1497" s="2210"/>
      <c r="K1497" s="2211"/>
    </row>
    <row r="1498" spans="1:11">
      <c r="A1498" s="2241"/>
      <c r="B1498" s="2234"/>
      <c r="C1498" s="2210"/>
      <c r="D1498" s="2234"/>
      <c r="E1498" s="2374"/>
      <c r="F1498" s="2235"/>
      <c r="G1498" s="2235"/>
      <c r="H1498" s="2210"/>
      <c r="I1498" s="2210"/>
      <c r="J1498" s="2210"/>
      <c r="K1498" s="2211"/>
    </row>
    <row r="1499" spans="1:11">
      <c r="A1499" s="2241"/>
      <c r="B1499" s="2234"/>
      <c r="C1499" s="2210"/>
      <c r="D1499" s="2234"/>
      <c r="E1499" s="2374"/>
      <c r="F1499" s="2235"/>
      <c r="G1499" s="2235"/>
      <c r="H1499" s="2210"/>
      <c r="I1499" s="2210"/>
      <c r="J1499" s="2210"/>
      <c r="K1499" s="2211"/>
    </row>
    <row r="1500" spans="1:11">
      <c r="A1500" s="2241"/>
      <c r="B1500" s="2234"/>
      <c r="C1500" s="2210"/>
      <c r="D1500" s="2234"/>
      <c r="E1500" s="2374"/>
      <c r="F1500" s="2235"/>
      <c r="G1500" s="2235"/>
      <c r="H1500" s="2210"/>
      <c r="I1500" s="2210"/>
      <c r="J1500" s="2210"/>
      <c r="K1500" s="2211"/>
    </row>
    <row r="1501" spans="1:11">
      <c r="A1501" s="2241"/>
      <c r="B1501" s="2234"/>
      <c r="C1501" s="2210"/>
      <c r="D1501" s="2234"/>
      <c r="E1501" s="2374"/>
      <c r="F1501" s="2235"/>
      <c r="G1501" s="2235"/>
      <c r="H1501" s="2210"/>
      <c r="I1501" s="2210"/>
      <c r="J1501" s="2210"/>
      <c r="K1501" s="2211"/>
    </row>
    <row r="1502" spans="1:11">
      <c r="A1502" s="2241"/>
      <c r="B1502" s="2234"/>
      <c r="C1502" s="2210"/>
      <c r="D1502" s="2234"/>
      <c r="E1502" s="2374"/>
      <c r="F1502" s="2235"/>
      <c r="G1502" s="2235"/>
      <c r="H1502" s="2210"/>
      <c r="I1502" s="2210"/>
      <c r="J1502" s="2210"/>
      <c r="K1502" s="2211"/>
    </row>
    <row r="1503" spans="1:11">
      <c r="A1503" s="2241"/>
      <c r="B1503" s="2234"/>
      <c r="C1503" s="2210"/>
      <c r="D1503" s="2234"/>
      <c r="E1503" s="2374"/>
      <c r="F1503" s="2235"/>
      <c r="G1503" s="2235"/>
      <c r="H1503" s="2210"/>
      <c r="I1503" s="2210"/>
      <c r="J1503" s="2210"/>
      <c r="K1503" s="2211"/>
    </row>
    <row r="1504" spans="1:11">
      <c r="A1504" s="2241"/>
      <c r="B1504" s="2234"/>
      <c r="C1504" s="2210"/>
      <c r="D1504" s="2234"/>
      <c r="E1504" s="2374"/>
      <c r="F1504" s="2235"/>
      <c r="G1504" s="2235"/>
      <c r="H1504" s="2210"/>
      <c r="I1504" s="2210"/>
      <c r="J1504" s="2210"/>
      <c r="K1504" s="2211"/>
    </row>
    <row r="1505" spans="1:11">
      <c r="A1505" s="2241"/>
      <c r="B1505" s="2234"/>
      <c r="C1505" s="2210"/>
      <c r="D1505" s="2234"/>
      <c r="E1505" s="2374"/>
      <c r="F1505" s="2235"/>
      <c r="G1505" s="2235"/>
      <c r="H1505" s="2210"/>
      <c r="I1505" s="2210"/>
      <c r="J1505" s="2210"/>
      <c r="K1505" s="2211"/>
    </row>
    <row r="1506" spans="1:11">
      <c r="A1506" s="2241"/>
      <c r="B1506" s="2234"/>
      <c r="C1506" s="2210"/>
      <c r="D1506" s="2234"/>
      <c r="E1506" s="2374"/>
      <c r="F1506" s="2235"/>
      <c r="G1506" s="2235"/>
      <c r="H1506" s="2210"/>
      <c r="I1506" s="2210"/>
      <c r="J1506" s="2210"/>
      <c r="K1506" s="2211"/>
    </row>
    <row r="1507" spans="1:11">
      <c r="A1507" s="2241"/>
      <c r="B1507" s="2234"/>
      <c r="C1507" s="2210"/>
      <c r="D1507" s="2234"/>
      <c r="E1507" s="2374"/>
      <c r="F1507" s="2235"/>
      <c r="G1507" s="2235"/>
      <c r="H1507" s="2210"/>
      <c r="I1507" s="2210"/>
      <c r="J1507" s="2210"/>
      <c r="K1507" s="2211"/>
    </row>
    <row r="1508" spans="1:11">
      <c r="A1508" s="2241"/>
      <c r="B1508" s="2234"/>
      <c r="C1508" s="2210"/>
      <c r="D1508" s="2234"/>
      <c r="E1508" s="2374"/>
      <c r="F1508" s="2235"/>
      <c r="G1508" s="2235"/>
      <c r="H1508" s="2210"/>
      <c r="I1508" s="2210"/>
      <c r="J1508" s="2210"/>
      <c r="K1508" s="2211"/>
    </row>
    <row r="1509" spans="1:11">
      <c r="A1509" s="2241"/>
      <c r="B1509" s="2234"/>
      <c r="C1509" s="2210"/>
      <c r="D1509" s="2234"/>
      <c r="E1509" s="2374"/>
      <c r="F1509" s="2235"/>
      <c r="G1509" s="2235"/>
      <c r="H1509" s="2210"/>
      <c r="I1509" s="2210"/>
      <c r="J1509" s="2210"/>
      <c r="K1509" s="2211"/>
    </row>
    <row r="1510" spans="1:11">
      <c r="A1510" s="2241"/>
      <c r="B1510" s="2234"/>
      <c r="C1510" s="2210"/>
      <c r="D1510" s="2234"/>
      <c r="E1510" s="2374"/>
      <c r="F1510" s="2235"/>
      <c r="G1510" s="2235"/>
      <c r="H1510" s="2210"/>
      <c r="I1510" s="2210"/>
      <c r="J1510" s="2210"/>
      <c r="K1510" s="2211"/>
    </row>
    <row r="1511" spans="1:11">
      <c r="A1511" s="2241"/>
      <c r="B1511" s="2234"/>
      <c r="C1511" s="2210"/>
      <c r="D1511" s="2234"/>
      <c r="E1511" s="2374"/>
      <c r="F1511" s="2235"/>
      <c r="G1511" s="2235"/>
      <c r="H1511" s="2210"/>
      <c r="I1511" s="2210"/>
      <c r="J1511" s="2210"/>
      <c r="K1511" s="2211"/>
    </row>
    <row r="1512" spans="1:11">
      <c r="A1512" s="2241"/>
      <c r="B1512" s="2234"/>
      <c r="C1512" s="2210"/>
      <c r="D1512" s="2234"/>
      <c r="E1512" s="2374"/>
      <c r="F1512" s="2235"/>
      <c r="G1512" s="2235"/>
      <c r="H1512" s="2210"/>
      <c r="I1512" s="2210"/>
      <c r="J1512" s="2210"/>
      <c r="K1512" s="2211"/>
    </row>
    <row r="1513" spans="1:11">
      <c r="A1513" s="2241"/>
      <c r="B1513" s="2234"/>
      <c r="C1513" s="2210"/>
      <c r="D1513" s="2234"/>
      <c r="E1513" s="2374"/>
      <c r="F1513" s="2235"/>
      <c r="G1513" s="2235"/>
      <c r="H1513" s="2210"/>
      <c r="I1513" s="2210"/>
      <c r="J1513" s="2210"/>
      <c r="K1513" s="2211"/>
    </row>
    <row r="1514" spans="1:11">
      <c r="A1514" s="2241"/>
      <c r="B1514" s="2234"/>
      <c r="C1514" s="2210"/>
      <c r="D1514" s="2234"/>
      <c r="E1514" s="2374"/>
      <c r="F1514" s="2235"/>
      <c r="G1514" s="2235"/>
      <c r="H1514" s="2210"/>
      <c r="I1514" s="2210"/>
      <c r="J1514" s="2210"/>
      <c r="K1514" s="2211"/>
    </row>
    <row r="1515" spans="1:11">
      <c r="A1515" s="2241"/>
      <c r="B1515" s="2234"/>
      <c r="C1515" s="2210"/>
      <c r="D1515" s="2234"/>
      <c r="E1515" s="2374"/>
      <c r="F1515" s="2235"/>
      <c r="G1515" s="2235"/>
      <c r="H1515" s="2210"/>
      <c r="I1515" s="2210"/>
      <c r="J1515" s="2210"/>
      <c r="K1515" s="2211"/>
    </row>
    <row r="1516" spans="1:11">
      <c r="A1516" s="2241"/>
      <c r="B1516" s="2234"/>
      <c r="C1516" s="2210"/>
      <c r="D1516" s="2234"/>
      <c r="E1516" s="2374"/>
      <c r="F1516" s="2235"/>
      <c r="G1516" s="2235"/>
      <c r="H1516" s="2210"/>
      <c r="I1516" s="2210"/>
      <c r="J1516" s="2210"/>
      <c r="K1516" s="2211"/>
    </row>
    <row r="1517" spans="1:11">
      <c r="A1517" s="2241"/>
      <c r="B1517" s="2234"/>
      <c r="C1517" s="2210"/>
      <c r="D1517" s="2234"/>
      <c r="E1517" s="2374"/>
      <c r="F1517" s="2235"/>
      <c r="G1517" s="2235"/>
      <c r="H1517" s="2210"/>
      <c r="I1517" s="2210"/>
      <c r="J1517" s="2210"/>
      <c r="K1517" s="2211"/>
    </row>
    <row r="1518" spans="1:11">
      <c r="A1518" s="2241"/>
      <c r="B1518" s="2234"/>
      <c r="C1518" s="2210"/>
      <c r="D1518" s="2234"/>
      <c r="E1518" s="2374"/>
      <c r="F1518" s="2235"/>
      <c r="G1518" s="2235"/>
      <c r="H1518" s="2210"/>
      <c r="I1518" s="2210"/>
      <c r="J1518" s="2210"/>
      <c r="K1518" s="2211"/>
    </row>
    <row r="1519" spans="1:11">
      <c r="A1519" s="2241"/>
      <c r="B1519" s="2234"/>
      <c r="C1519" s="2210"/>
      <c r="D1519" s="2234"/>
      <c r="E1519" s="2374"/>
      <c r="F1519" s="2235"/>
      <c r="G1519" s="2235"/>
      <c r="H1519" s="2210"/>
      <c r="I1519" s="2210"/>
      <c r="J1519" s="2210"/>
      <c r="K1519" s="2211"/>
    </row>
    <row r="1520" spans="1:11">
      <c r="A1520" s="2241"/>
      <c r="B1520" s="2234"/>
      <c r="C1520" s="2210"/>
      <c r="D1520" s="2234"/>
      <c r="E1520" s="2374"/>
      <c r="F1520" s="2235"/>
      <c r="G1520" s="2235"/>
      <c r="H1520" s="2210"/>
      <c r="I1520" s="2210"/>
      <c r="J1520" s="2210"/>
      <c r="K1520" s="2211"/>
    </row>
    <row r="1521" spans="1:11">
      <c r="A1521" s="2241"/>
      <c r="B1521" s="2234"/>
      <c r="C1521" s="2210"/>
      <c r="D1521" s="2234"/>
      <c r="E1521" s="2374"/>
      <c r="F1521" s="2235"/>
      <c r="G1521" s="2235"/>
      <c r="H1521" s="2210"/>
      <c r="I1521" s="2210"/>
      <c r="J1521" s="2210"/>
      <c r="K1521" s="2211"/>
    </row>
    <row r="1522" spans="1:11">
      <c r="A1522" s="2241"/>
      <c r="B1522" s="2234"/>
      <c r="C1522" s="2210"/>
      <c r="D1522" s="2234"/>
      <c r="E1522" s="2374"/>
      <c r="F1522" s="2235"/>
      <c r="G1522" s="2235"/>
      <c r="H1522" s="2210"/>
      <c r="I1522" s="2210"/>
      <c r="J1522" s="2210"/>
      <c r="K1522" s="2211"/>
    </row>
    <row r="1523" spans="1:11">
      <c r="A1523" s="2241"/>
      <c r="B1523" s="2234"/>
      <c r="C1523" s="2210"/>
      <c r="D1523" s="2234"/>
      <c r="E1523" s="2374"/>
      <c r="F1523" s="2235"/>
      <c r="G1523" s="2235"/>
      <c r="H1523" s="2210"/>
      <c r="I1523" s="2210"/>
      <c r="J1523" s="2210"/>
      <c r="K1523" s="2211"/>
    </row>
    <row r="1524" spans="1:11">
      <c r="A1524" s="2241"/>
      <c r="B1524" s="2234"/>
      <c r="C1524" s="2210"/>
      <c r="D1524" s="2234"/>
      <c r="E1524" s="2374"/>
      <c r="F1524" s="2235"/>
      <c r="G1524" s="2235"/>
      <c r="H1524" s="2210"/>
      <c r="I1524" s="2210"/>
      <c r="J1524" s="2210"/>
      <c r="K1524" s="2211"/>
    </row>
    <row r="1525" spans="1:11">
      <c r="A1525" s="2241"/>
      <c r="B1525" s="2234"/>
      <c r="C1525" s="2210"/>
      <c r="D1525" s="2234"/>
      <c r="E1525" s="2374"/>
      <c r="F1525" s="2235"/>
      <c r="G1525" s="2235"/>
      <c r="H1525" s="2210"/>
      <c r="I1525" s="2210"/>
      <c r="J1525" s="2210"/>
      <c r="K1525" s="2211"/>
    </row>
    <row r="1526" spans="1:11">
      <c r="A1526" s="2241"/>
      <c r="B1526" s="2234"/>
      <c r="C1526" s="2210"/>
      <c r="D1526" s="2234"/>
      <c r="E1526" s="2374"/>
      <c r="F1526" s="2235"/>
      <c r="G1526" s="2235"/>
      <c r="H1526" s="2210"/>
      <c r="I1526" s="2210"/>
      <c r="J1526" s="2210"/>
      <c r="K1526" s="2211"/>
    </row>
    <row r="1527" spans="1:11">
      <c r="A1527" s="2241"/>
      <c r="B1527" s="2234"/>
      <c r="C1527" s="2210"/>
      <c r="D1527" s="2234"/>
      <c r="E1527" s="2374"/>
      <c r="F1527" s="2235"/>
      <c r="G1527" s="2235"/>
      <c r="H1527" s="2210"/>
      <c r="I1527" s="2210"/>
      <c r="J1527" s="2210"/>
      <c r="K1527" s="2211"/>
    </row>
    <row r="1528" spans="1:11">
      <c r="A1528" s="2241"/>
      <c r="B1528" s="2234"/>
      <c r="C1528" s="2210"/>
      <c r="D1528" s="2234"/>
      <c r="E1528" s="2374"/>
      <c r="F1528" s="2235"/>
      <c r="G1528" s="2235"/>
      <c r="H1528" s="2210"/>
      <c r="I1528" s="2210"/>
      <c r="J1528" s="2210"/>
      <c r="K1528" s="2211"/>
    </row>
    <row r="1529" spans="1:11">
      <c r="A1529" s="2241"/>
      <c r="B1529" s="2234"/>
      <c r="C1529" s="2210"/>
      <c r="D1529" s="2234"/>
      <c r="E1529" s="2374"/>
      <c r="F1529" s="2235"/>
      <c r="G1529" s="2235"/>
      <c r="H1529" s="2210"/>
      <c r="I1529" s="2210"/>
      <c r="J1529" s="2210"/>
      <c r="K1529" s="2211"/>
    </row>
    <row r="1530" spans="1:11">
      <c r="A1530" s="2241"/>
      <c r="B1530" s="2234"/>
      <c r="C1530" s="2210"/>
      <c r="D1530" s="2234"/>
      <c r="E1530" s="2374"/>
      <c r="F1530" s="2235"/>
      <c r="G1530" s="2235"/>
      <c r="H1530" s="2210"/>
      <c r="I1530" s="2210"/>
      <c r="J1530" s="2210"/>
      <c r="K1530" s="2211"/>
    </row>
    <row r="1531" spans="1:11">
      <c r="A1531" s="2241"/>
      <c r="B1531" s="2234"/>
      <c r="C1531" s="2210"/>
      <c r="D1531" s="2234"/>
      <c r="E1531" s="2374"/>
      <c r="F1531" s="2235"/>
      <c r="G1531" s="2235"/>
      <c r="H1531" s="2210"/>
      <c r="I1531" s="2210"/>
      <c r="J1531" s="2210"/>
      <c r="K1531" s="2211"/>
    </row>
    <row r="1532" spans="1:11">
      <c r="A1532" s="2241"/>
      <c r="B1532" s="2234"/>
      <c r="C1532" s="2210"/>
      <c r="D1532" s="2234"/>
      <c r="E1532" s="2374"/>
      <c r="F1532" s="2235"/>
      <c r="G1532" s="2235"/>
      <c r="H1532" s="2210"/>
      <c r="I1532" s="2210"/>
      <c r="J1532" s="2210"/>
      <c r="K1532" s="2211"/>
    </row>
    <row r="1533" spans="1:11">
      <c r="A1533" s="2241"/>
      <c r="B1533" s="2234"/>
      <c r="C1533" s="2210"/>
      <c r="D1533" s="2234"/>
      <c r="E1533" s="2374"/>
      <c r="F1533" s="2235"/>
      <c r="G1533" s="2235"/>
      <c r="H1533" s="2210"/>
      <c r="I1533" s="2210"/>
      <c r="J1533" s="2210"/>
      <c r="K1533" s="2211"/>
    </row>
    <row r="1534" spans="1:11">
      <c r="A1534" s="2241"/>
      <c r="B1534" s="2234"/>
      <c r="C1534" s="2210"/>
      <c r="D1534" s="2234"/>
      <c r="E1534" s="2374"/>
      <c r="F1534" s="2235"/>
      <c r="G1534" s="2235"/>
      <c r="H1534" s="2210"/>
      <c r="I1534" s="2210"/>
      <c r="J1534" s="2210"/>
      <c r="K1534" s="2211"/>
    </row>
    <row r="1535" spans="1:11">
      <c r="A1535" s="2241"/>
      <c r="B1535" s="2234"/>
      <c r="C1535" s="2210"/>
      <c r="D1535" s="2234"/>
      <c r="E1535" s="2374"/>
      <c r="F1535" s="2235"/>
      <c r="G1535" s="2235"/>
      <c r="H1535" s="2210"/>
      <c r="I1535" s="2210"/>
      <c r="J1535" s="2210"/>
      <c r="K1535" s="2211"/>
    </row>
    <row r="1536" spans="1:11">
      <c r="A1536" s="2241"/>
      <c r="B1536" s="2234"/>
      <c r="C1536" s="2210"/>
      <c r="D1536" s="2234"/>
      <c r="E1536" s="2374"/>
      <c r="F1536" s="2235"/>
      <c r="G1536" s="2235"/>
      <c r="H1536" s="2210"/>
      <c r="I1536" s="2210"/>
      <c r="J1536" s="2210"/>
      <c r="K1536" s="2211"/>
    </row>
    <row r="1537" spans="1:11">
      <c r="A1537" s="2241"/>
      <c r="B1537" s="2234"/>
      <c r="C1537" s="2210"/>
      <c r="D1537" s="2234"/>
      <c r="E1537" s="2374"/>
      <c r="F1537" s="2235"/>
      <c r="G1537" s="2235"/>
      <c r="H1537" s="2210"/>
      <c r="I1537" s="2210"/>
      <c r="J1537" s="2210"/>
      <c r="K1537" s="2211"/>
    </row>
    <row r="1538" spans="1:11">
      <c r="A1538" s="2241"/>
      <c r="B1538" s="2234"/>
      <c r="C1538" s="2210"/>
      <c r="D1538" s="2234"/>
      <c r="E1538" s="2374"/>
      <c r="F1538" s="2235"/>
      <c r="G1538" s="2235"/>
      <c r="H1538" s="2210"/>
      <c r="I1538" s="2210"/>
      <c r="J1538" s="2210"/>
      <c r="K1538" s="2211"/>
    </row>
    <row r="1539" spans="1:11">
      <c r="A1539" s="2241"/>
      <c r="B1539" s="2234"/>
      <c r="C1539" s="2210"/>
      <c r="D1539" s="2234"/>
      <c r="E1539" s="2374"/>
      <c r="F1539" s="2235"/>
      <c r="G1539" s="2235"/>
      <c r="H1539" s="2210"/>
      <c r="I1539" s="2210"/>
      <c r="J1539" s="2210"/>
      <c r="K1539" s="2211"/>
    </row>
    <row r="1540" spans="1:11">
      <c r="A1540" s="2241"/>
      <c r="B1540" s="2234"/>
      <c r="C1540" s="2210"/>
      <c r="D1540" s="2234"/>
      <c r="E1540" s="2374"/>
      <c r="F1540" s="2235"/>
      <c r="G1540" s="2235"/>
      <c r="H1540" s="2210"/>
      <c r="I1540" s="2210"/>
      <c r="J1540" s="2210"/>
      <c r="K1540" s="2211"/>
    </row>
    <row r="1541" spans="1:11">
      <c r="A1541" s="2241"/>
      <c r="B1541" s="2234"/>
      <c r="C1541" s="2210"/>
      <c r="D1541" s="2234"/>
      <c r="E1541" s="2374"/>
      <c r="F1541" s="2235"/>
      <c r="G1541" s="2235"/>
      <c r="H1541" s="2210"/>
      <c r="I1541" s="2210"/>
      <c r="J1541" s="2210"/>
      <c r="K1541" s="2211"/>
    </row>
    <row r="1542" spans="1:11">
      <c r="A1542" s="2241"/>
      <c r="B1542" s="2234"/>
      <c r="C1542" s="2210"/>
      <c r="D1542" s="2234"/>
      <c r="E1542" s="2374"/>
      <c r="F1542" s="2235"/>
      <c r="G1542" s="2235"/>
      <c r="H1542" s="2210"/>
      <c r="I1542" s="2210"/>
      <c r="J1542" s="2210"/>
      <c r="K1542" s="2211"/>
    </row>
    <row r="1543" spans="1:11">
      <c r="A1543" s="2241"/>
      <c r="B1543" s="2234"/>
      <c r="C1543" s="2210"/>
      <c r="D1543" s="2234"/>
      <c r="E1543" s="2374"/>
      <c r="F1543" s="2235"/>
      <c r="G1543" s="2235"/>
      <c r="H1543" s="2210"/>
      <c r="I1543" s="2210"/>
      <c r="J1543" s="2210"/>
      <c r="K1543" s="2211"/>
    </row>
    <row r="1544" spans="1:11">
      <c r="A1544" s="2241"/>
      <c r="B1544" s="2234"/>
      <c r="C1544" s="2210"/>
      <c r="D1544" s="2234"/>
      <c r="E1544" s="2374"/>
      <c r="F1544" s="2235"/>
      <c r="G1544" s="2235"/>
      <c r="H1544" s="2210"/>
      <c r="I1544" s="2210"/>
      <c r="J1544" s="2210"/>
      <c r="K1544" s="2211"/>
    </row>
    <row r="1545" spans="1:11">
      <c r="A1545" s="2241"/>
      <c r="B1545" s="2234"/>
      <c r="C1545" s="2210"/>
      <c r="D1545" s="2234"/>
      <c r="E1545" s="2374"/>
      <c r="F1545" s="2235"/>
      <c r="G1545" s="2235"/>
      <c r="H1545" s="2210"/>
      <c r="I1545" s="2210"/>
      <c r="J1545" s="2210"/>
      <c r="K1545" s="2211"/>
    </row>
    <row r="1546" spans="1:11">
      <c r="A1546" s="2241"/>
      <c r="B1546" s="2234"/>
      <c r="C1546" s="2210"/>
      <c r="D1546" s="2234"/>
      <c r="E1546" s="2374"/>
      <c r="F1546" s="2235"/>
      <c r="G1546" s="2235"/>
      <c r="H1546" s="2210"/>
      <c r="I1546" s="2210"/>
      <c r="J1546" s="2210"/>
      <c r="K1546" s="2211"/>
    </row>
    <row r="1547" spans="1:11">
      <c r="A1547" s="2241"/>
      <c r="B1547" s="2234"/>
      <c r="C1547" s="2210"/>
      <c r="D1547" s="2234"/>
      <c r="E1547" s="2374"/>
      <c r="F1547" s="2235"/>
      <c r="G1547" s="2235"/>
      <c r="H1547" s="2210"/>
      <c r="I1547" s="2210"/>
      <c r="J1547" s="2210"/>
      <c r="K1547" s="2211"/>
    </row>
    <row r="1548" spans="1:11">
      <c r="A1548" s="2241"/>
      <c r="B1548" s="2234"/>
      <c r="C1548" s="2210"/>
      <c r="D1548" s="2234"/>
      <c r="E1548" s="2374"/>
      <c r="F1548" s="2235"/>
      <c r="G1548" s="2235"/>
      <c r="H1548" s="2210"/>
      <c r="I1548" s="2210"/>
      <c r="J1548" s="2210"/>
      <c r="K1548" s="2211"/>
    </row>
    <row r="1549" spans="1:11">
      <c r="A1549" s="2241"/>
      <c r="B1549" s="2234"/>
      <c r="C1549" s="2210"/>
      <c r="D1549" s="2234"/>
      <c r="E1549" s="2374"/>
      <c r="F1549" s="2235"/>
      <c r="G1549" s="2235"/>
      <c r="H1549" s="2210"/>
      <c r="I1549" s="2210"/>
      <c r="J1549" s="2210"/>
      <c r="K1549" s="2211"/>
    </row>
    <row r="1550" spans="1:11">
      <c r="A1550" s="2241"/>
      <c r="B1550" s="2234"/>
      <c r="C1550" s="2210"/>
      <c r="D1550" s="2234"/>
      <c r="E1550" s="2374"/>
      <c r="F1550" s="2235"/>
      <c r="G1550" s="2235"/>
      <c r="H1550" s="2210"/>
      <c r="I1550" s="2210"/>
      <c r="J1550" s="2210"/>
      <c r="K1550" s="2211"/>
    </row>
    <row r="1551" spans="1:11">
      <c r="A1551" s="2241"/>
      <c r="B1551" s="2234"/>
      <c r="C1551" s="2210"/>
      <c r="D1551" s="2234"/>
      <c r="E1551" s="2374"/>
      <c r="F1551" s="2235"/>
      <c r="G1551" s="2235"/>
      <c r="H1551" s="2210"/>
      <c r="I1551" s="2210"/>
      <c r="J1551" s="2210"/>
      <c r="K1551" s="2211"/>
    </row>
    <row r="1552" spans="1:11">
      <c r="A1552" s="2241"/>
      <c r="B1552" s="2234"/>
      <c r="C1552" s="2210"/>
      <c r="D1552" s="2234"/>
      <c r="E1552" s="2374"/>
      <c r="F1552" s="2235"/>
      <c r="G1552" s="2235"/>
      <c r="H1552" s="2210"/>
      <c r="I1552" s="2210"/>
      <c r="J1552" s="2210"/>
      <c r="K1552" s="2211"/>
    </row>
    <row r="1553" spans="1:11">
      <c r="A1553" s="2241"/>
      <c r="B1553" s="2234"/>
      <c r="C1553" s="2210"/>
      <c r="D1553" s="2234"/>
      <c r="E1553" s="2374"/>
      <c r="F1553" s="2235"/>
      <c r="G1553" s="2235"/>
      <c r="H1553" s="2210"/>
      <c r="I1553" s="2210"/>
      <c r="J1553" s="2210"/>
      <c r="K1553" s="2211"/>
    </row>
    <row r="1554" spans="1:11">
      <c r="A1554" s="2241"/>
      <c r="B1554" s="2234"/>
      <c r="C1554" s="2210"/>
      <c r="D1554" s="2234"/>
      <c r="E1554" s="2374"/>
      <c r="F1554" s="2235"/>
      <c r="G1554" s="2235"/>
      <c r="H1554" s="2210"/>
      <c r="I1554" s="2210"/>
      <c r="J1554" s="2210"/>
      <c r="K1554" s="2211"/>
    </row>
    <row r="1555" spans="1:11">
      <c r="A1555" s="2241"/>
      <c r="B1555" s="2234"/>
      <c r="C1555" s="2210"/>
      <c r="D1555" s="2234"/>
      <c r="E1555" s="2374"/>
      <c r="F1555" s="2235"/>
      <c r="G1555" s="2235"/>
      <c r="H1555" s="2210"/>
      <c r="I1555" s="2210"/>
      <c r="J1555" s="2210"/>
      <c r="K1555" s="2211"/>
    </row>
    <row r="1556" spans="1:11">
      <c r="A1556" s="2241"/>
      <c r="B1556" s="2234"/>
      <c r="C1556" s="2210"/>
      <c r="D1556" s="2234"/>
      <c r="E1556" s="2374"/>
      <c r="F1556" s="2235"/>
      <c r="G1556" s="2235"/>
      <c r="H1556" s="2210"/>
      <c r="I1556" s="2210"/>
      <c r="J1556" s="2210"/>
      <c r="K1556" s="2211"/>
    </row>
    <row r="1557" spans="1:11">
      <c r="A1557" s="2241"/>
      <c r="B1557" s="2234"/>
      <c r="C1557" s="2210"/>
      <c r="D1557" s="2234"/>
      <c r="E1557" s="2374"/>
      <c r="F1557" s="2235"/>
      <c r="G1557" s="2235"/>
      <c r="H1557" s="2210"/>
      <c r="I1557" s="2210"/>
      <c r="J1557" s="2210"/>
      <c r="K1557" s="2211"/>
    </row>
    <row r="1558" spans="1:11">
      <c r="A1558" s="2241"/>
      <c r="B1558" s="2234"/>
      <c r="C1558" s="2210"/>
      <c r="D1558" s="2234"/>
      <c r="E1558" s="2374"/>
      <c r="F1558" s="2235"/>
      <c r="G1558" s="2235"/>
      <c r="H1558" s="2210"/>
      <c r="I1558" s="2210"/>
      <c r="J1558" s="2210"/>
      <c r="K1558" s="2211"/>
    </row>
    <row r="1559" spans="1:11">
      <c r="A1559" s="2241"/>
      <c r="B1559" s="2234"/>
      <c r="C1559" s="2210"/>
      <c r="D1559" s="2234"/>
      <c r="E1559" s="2374"/>
      <c r="F1559" s="2235"/>
      <c r="G1559" s="2235"/>
      <c r="H1559" s="2210"/>
      <c r="I1559" s="2210"/>
      <c r="J1559" s="2210"/>
      <c r="K1559" s="2211"/>
    </row>
    <row r="1560" spans="1:11">
      <c r="A1560" s="2241"/>
      <c r="B1560" s="2234"/>
      <c r="C1560" s="2210"/>
      <c r="D1560" s="2234"/>
      <c r="E1560" s="2374"/>
      <c r="F1560" s="2235"/>
      <c r="G1560" s="2235"/>
      <c r="H1560" s="2210"/>
      <c r="I1560" s="2210"/>
      <c r="J1560" s="2210"/>
      <c r="K1560" s="2211"/>
    </row>
    <row r="1561" spans="1:11">
      <c r="A1561" s="2241"/>
      <c r="B1561" s="2234"/>
      <c r="C1561" s="2210"/>
      <c r="D1561" s="2234"/>
      <c r="E1561" s="2374"/>
      <c r="F1561" s="2235"/>
      <c r="G1561" s="2235"/>
      <c r="H1561" s="2210"/>
      <c r="I1561" s="2210"/>
      <c r="J1561" s="2210"/>
      <c r="K1561" s="2211"/>
    </row>
    <row r="1562" spans="1:11">
      <c r="A1562" s="2241"/>
      <c r="B1562" s="2234"/>
      <c r="C1562" s="2210"/>
      <c r="D1562" s="2234"/>
      <c r="E1562" s="2374"/>
      <c r="F1562" s="2235"/>
      <c r="G1562" s="2235"/>
      <c r="H1562" s="2210"/>
      <c r="I1562" s="2210"/>
      <c r="J1562" s="2210"/>
      <c r="K1562" s="2211"/>
    </row>
    <row r="1563" spans="1:11">
      <c r="A1563" s="2241"/>
      <c r="B1563" s="2234"/>
      <c r="C1563" s="2210"/>
      <c r="D1563" s="2234"/>
      <c r="E1563" s="2374"/>
      <c r="F1563" s="2235"/>
      <c r="G1563" s="2235"/>
      <c r="H1563" s="2210"/>
      <c r="I1563" s="2210"/>
      <c r="J1563" s="2210"/>
      <c r="K1563" s="2211"/>
    </row>
    <row r="1564" spans="1:11">
      <c r="A1564" s="2241"/>
      <c r="B1564" s="2234"/>
      <c r="C1564" s="2210"/>
      <c r="D1564" s="2234"/>
      <c r="E1564" s="2374"/>
      <c r="F1564" s="2235"/>
      <c r="G1564" s="2235"/>
      <c r="H1564" s="2210"/>
      <c r="I1564" s="2210"/>
      <c r="J1564" s="2210"/>
      <c r="K1564" s="2211"/>
    </row>
    <row r="1565" spans="1:11">
      <c r="A1565" s="2241"/>
      <c r="B1565" s="2234"/>
      <c r="C1565" s="2210"/>
      <c r="D1565" s="2234"/>
      <c r="E1565" s="2374"/>
      <c r="F1565" s="2235"/>
      <c r="G1565" s="2235"/>
      <c r="H1565" s="2210"/>
      <c r="I1565" s="2210"/>
      <c r="J1565" s="2210"/>
      <c r="K1565" s="2211"/>
    </row>
    <row r="1566" spans="1:11">
      <c r="A1566" s="2241"/>
      <c r="B1566" s="2234"/>
      <c r="C1566" s="2210"/>
      <c r="D1566" s="2234"/>
      <c r="E1566" s="2374"/>
      <c r="F1566" s="2235"/>
      <c r="G1566" s="2235"/>
      <c r="H1566" s="2210"/>
      <c r="I1566" s="2210"/>
      <c r="J1566" s="2210"/>
      <c r="K1566" s="2211"/>
    </row>
    <row r="1567" spans="1:11">
      <c r="A1567" s="2241"/>
      <c r="B1567" s="2234"/>
      <c r="C1567" s="2210"/>
      <c r="D1567" s="2234"/>
      <c r="E1567" s="2374"/>
      <c r="F1567" s="2235"/>
      <c r="G1567" s="2235"/>
      <c r="H1567" s="2210"/>
      <c r="I1567" s="2210"/>
      <c r="J1567" s="2210"/>
      <c r="K1567" s="2211"/>
    </row>
    <row r="1568" spans="1:11">
      <c r="A1568" s="2241"/>
      <c r="B1568" s="2234"/>
      <c r="C1568" s="2210"/>
      <c r="D1568" s="2234"/>
      <c r="E1568" s="2374"/>
      <c r="F1568" s="2235"/>
      <c r="G1568" s="2235"/>
      <c r="H1568" s="2210"/>
      <c r="I1568" s="2210"/>
      <c r="J1568" s="2210"/>
      <c r="K1568" s="2211"/>
    </row>
    <row r="1569" spans="1:11">
      <c r="A1569" s="2241"/>
      <c r="B1569" s="2234"/>
      <c r="C1569" s="2210"/>
      <c r="D1569" s="2234"/>
      <c r="E1569" s="2374"/>
      <c r="F1569" s="2235"/>
      <c r="G1569" s="2235"/>
      <c r="H1569" s="2210"/>
      <c r="I1569" s="2210"/>
      <c r="J1569" s="2210"/>
      <c r="K1569" s="2211"/>
    </row>
    <row r="1570" spans="1:11">
      <c r="A1570" s="2241"/>
      <c r="B1570" s="2234"/>
      <c r="C1570" s="2210"/>
      <c r="D1570" s="2234"/>
      <c r="E1570" s="2374"/>
      <c r="F1570" s="2235"/>
      <c r="G1570" s="2235"/>
      <c r="H1570" s="2210"/>
      <c r="I1570" s="2210"/>
      <c r="J1570" s="2210"/>
      <c r="K1570" s="2211"/>
    </row>
    <row r="1571" spans="1:11">
      <c r="A1571" s="2241"/>
      <c r="B1571" s="2234"/>
      <c r="C1571" s="2210"/>
      <c r="D1571" s="2234"/>
      <c r="E1571" s="2374"/>
      <c r="F1571" s="2235"/>
      <c r="G1571" s="2235"/>
      <c r="H1571" s="2210"/>
      <c r="I1571" s="2210"/>
      <c r="J1571" s="2210"/>
      <c r="K1571" s="2211"/>
    </row>
    <row r="1572" spans="1:11">
      <c r="A1572" s="2241"/>
      <c r="B1572" s="2234"/>
      <c r="C1572" s="2210"/>
      <c r="D1572" s="2234"/>
      <c r="E1572" s="2374"/>
      <c r="F1572" s="2235"/>
      <c r="G1572" s="2235"/>
      <c r="H1572" s="2210"/>
      <c r="I1572" s="2210"/>
      <c r="J1572" s="2210"/>
      <c r="K1572" s="2211"/>
    </row>
    <row r="1573" spans="1:11">
      <c r="A1573" s="2241"/>
      <c r="B1573" s="2234"/>
      <c r="C1573" s="2210"/>
      <c r="D1573" s="2234"/>
      <c r="E1573" s="2374"/>
      <c r="F1573" s="2235"/>
      <c r="G1573" s="2235"/>
      <c r="H1573" s="2210"/>
      <c r="I1573" s="2210"/>
      <c r="J1573" s="2210"/>
      <c r="K1573" s="2211"/>
    </row>
    <row r="1574" spans="1:11">
      <c r="A1574" s="2241"/>
      <c r="B1574" s="2234"/>
      <c r="C1574" s="2210"/>
      <c r="D1574" s="2234"/>
      <c r="E1574" s="2374"/>
      <c r="F1574" s="2235"/>
      <c r="G1574" s="2235"/>
      <c r="H1574" s="2210"/>
      <c r="I1574" s="2210"/>
      <c r="J1574" s="2210"/>
      <c r="K1574" s="2211"/>
    </row>
    <row r="1575" spans="1:11">
      <c r="A1575" s="2241"/>
      <c r="B1575" s="2234"/>
      <c r="C1575" s="2210"/>
      <c r="D1575" s="2234"/>
      <c r="E1575" s="2374"/>
      <c r="F1575" s="2235"/>
      <c r="G1575" s="2235"/>
      <c r="H1575" s="2210"/>
      <c r="I1575" s="2210"/>
      <c r="J1575" s="2210"/>
      <c r="K1575" s="2211"/>
    </row>
    <row r="1576" spans="1:11">
      <c r="A1576" s="2241"/>
      <c r="B1576" s="2234"/>
      <c r="C1576" s="2210"/>
      <c r="D1576" s="2234"/>
      <c r="E1576" s="2374"/>
      <c r="F1576" s="2235"/>
      <c r="G1576" s="2235"/>
      <c r="H1576" s="2210"/>
      <c r="I1576" s="2210"/>
      <c r="J1576" s="2210"/>
      <c r="K1576" s="2211"/>
    </row>
    <row r="1577" spans="1:11">
      <c r="A1577" s="2241"/>
      <c r="B1577" s="2234"/>
      <c r="C1577" s="2210"/>
      <c r="D1577" s="2234"/>
      <c r="E1577" s="2374"/>
      <c r="F1577" s="2235"/>
      <c r="G1577" s="2235"/>
      <c r="H1577" s="2210"/>
      <c r="I1577" s="2210"/>
      <c r="J1577" s="2210"/>
      <c r="K1577" s="2211"/>
    </row>
    <row r="1578" spans="1:11">
      <c r="A1578" s="2241"/>
      <c r="B1578" s="2234"/>
      <c r="C1578" s="2210"/>
      <c r="D1578" s="2234"/>
      <c r="E1578" s="2374"/>
      <c r="F1578" s="2235"/>
      <c r="G1578" s="2235"/>
      <c r="H1578" s="2210"/>
      <c r="I1578" s="2210"/>
      <c r="J1578" s="2210"/>
      <c r="K1578" s="2211"/>
    </row>
    <row r="1579" spans="1:11">
      <c r="A1579" s="2241"/>
      <c r="B1579" s="2234"/>
      <c r="C1579" s="2210"/>
      <c r="D1579" s="2234"/>
      <c r="E1579" s="2374"/>
      <c r="F1579" s="2235"/>
      <c r="G1579" s="2235"/>
      <c r="H1579" s="2210"/>
      <c r="I1579" s="2210"/>
      <c r="J1579" s="2210"/>
      <c r="K1579" s="2211"/>
    </row>
    <row r="1580" spans="1:11">
      <c r="A1580" s="2241"/>
      <c r="B1580" s="2234"/>
      <c r="C1580" s="2210"/>
      <c r="D1580" s="2234"/>
      <c r="E1580" s="2374"/>
      <c r="F1580" s="2235"/>
      <c r="G1580" s="2235"/>
      <c r="H1580" s="2210"/>
      <c r="I1580" s="2210"/>
      <c r="J1580" s="2210"/>
      <c r="K1580" s="2211"/>
    </row>
    <row r="1581" spans="1:11">
      <c r="A1581" s="2241"/>
      <c r="B1581" s="2234"/>
      <c r="C1581" s="2210"/>
      <c r="D1581" s="2234"/>
      <c r="E1581" s="2374"/>
      <c r="F1581" s="2235"/>
      <c r="G1581" s="2235"/>
      <c r="H1581" s="2210"/>
      <c r="I1581" s="2210"/>
      <c r="J1581" s="2210"/>
      <c r="K1581" s="2211"/>
    </row>
    <row r="1582" spans="1:11">
      <c r="A1582" s="2241"/>
      <c r="B1582" s="2234"/>
      <c r="C1582" s="2210"/>
      <c r="D1582" s="2234"/>
      <c r="E1582" s="2374"/>
      <c r="F1582" s="2235"/>
      <c r="G1582" s="2235"/>
      <c r="H1582" s="2210"/>
      <c r="I1582" s="2210"/>
      <c r="J1582" s="2210"/>
      <c r="K1582" s="2211"/>
    </row>
    <row r="1583" spans="1:11">
      <c r="A1583" s="2241"/>
      <c r="B1583" s="2234"/>
      <c r="C1583" s="2210"/>
      <c r="D1583" s="2234"/>
      <c r="E1583" s="2374"/>
      <c r="F1583" s="2235"/>
      <c r="G1583" s="2235"/>
      <c r="H1583" s="2210"/>
      <c r="I1583" s="2210"/>
      <c r="J1583" s="2210"/>
      <c r="K1583" s="2211"/>
    </row>
    <row r="1584" spans="1:11">
      <c r="A1584" s="2241"/>
      <c r="B1584" s="2234"/>
      <c r="C1584" s="2210"/>
      <c r="D1584" s="2234"/>
      <c r="E1584" s="2374"/>
      <c r="F1584" s="2235"/>
      <c r="G1584" s="2235"/>
      <c r="H1584" s="2210"/>
      <c r="I1584" s="2210"/>
      <c r="J1584" s="2210"/>
      <c r="K1584" s="2211"/>
    </row>
    <row r="1585" spans="1:11">
      <c r="A1585" s="2241"/>
      <c r="B1585" s="2234"/>
      <c r="C1585" s="2210"/>
      <c r="D1585" s="2234"/>
      <c r="E1585" s="2374"/>
      <c r="F1585" s="2235"/>
      <c r="G1585" s="2235"/>
      <c r="H1585" s="2210"/>
      <c r="I1585" s="2210"/>
      <c r="J1585" s="2210"/>
      <c r="K1585" s="2211"/>
    </row>
    <row r="1586" spans="1:11">
      <c r="A1586" s="2241"/>
      <c r="B1586" s="2234"/>
      <c r="C1586" s="2210"/>
      <c r="D1586" s="2234"/>
      <c r="E1586" s="2374"/>
      <c r="F1586" s="2235"/>
      <c r="G1586" s="2235"/>
      <c r="H1586" s="2210"/>
      <c r="I1586" s="2210"/>
      <c r="J1586" s="2210"/>
      <c r="K1586" s="2211"/>
    </row>
    <row r="1587" spans="1:11">
      <c r="A1587" s="2241"/>
      <c r="B1587" s="2234"/>
      <c r="C1587" s="2210"/>
      <c r="D1587" s="2234"/>
      <c r="E1587" s="2374"/>
      <c r="F1587" s="2235"/>
      <c r="G1587" s="2235"/>
      <c r="H1587" s="2210"/>
      <c r="I1587" s="2210"/>
      <c r="J1587" s="2210"/>
      <c r="K1587" s="2211"/>
    </row>
    <row r="1588" spans="1:11">
      <c r="A1588" s="2241"/>
      <c r="B1588" s="2234"/>
      <c r="C1588" s="2210"/>
      <c r="D1588" s="2234"/>
      <c r="E1588" s="2374"/>
      <c r="F1588" s="2235"/>
      <c r="G1588" s="2235"/>
      <c r="H1588" s="2210"/>
      <c r="I1588" s="2210"/>
      <c r="J1588" s="2210"/>
      <c r="K1588" s="2211"/>
    </row>
    <row r="1589" spans="1:11">
      <c r="A1589" s="2241"/>
      <c r="B1589" s="2234"/>
      <c r="C1589" s="2210"/>
      <c r="D1589" s="2234"/>
      <c r="E1589" s="2374"/>
      <c r="F1589" s="2235"/>
      <c r="G1589" s="2235"/>
      <c r="H1589" s="2210"/>
      <c r="I1589" s="2210"/>
      <c r="J1589" s="2210"/>
      <c r="K1589" s="2211"/>
    </row>
    <row r="1590" spans="1:11">
      <c r="A1590" s="2241"/>
      <c r="B1590" s="2234"/>
      <c r="C1590" s="2210"/>
      <c r="D1590" s="2234"/>
      <c r="E1590" s="2374"/>
      <c r="F1590" s="2235"/>
      <c r="G1590" s="2235"/>
      <c r="H1590" s="2210"/>
      <c r="I1590" s="2210"/>
      <c r="J1590" s="2210"/>
      <c r="K1590" s="2211"/>
    </row>
    <row r="1591" spans="1:11">
      <c r="A1591" s="2241"/>
      <c r="B1591" s="2234"/>
      <c r="C1591" s="2210"/>
      <c r="D1591" s="2234"/>
      <c r="E1591" s="2374"/>
      <c r="F1591" s="2235"/>
      <c r="G1591" s="2235"/>
      <c r="H1591" s="2210"/>
      <c r="I1591" s="2210"/>
      <c r="J1591" s="2210"/>
      <c r="K1591" s="2211"/>
    </row>
    <row r="1592" spans="1:11">
      <c r="A1592" s="2241"/>
      <c r="B1592" s="2234"/>
      <c r="C1592" s="2210"/>
      <c r="D1592" s="2234"/>
      <c r="E1592" s="2374"/>
      <c r="F1592" s="2235"/>
      <c r="G1592" s="2235"/>
      <c r="H1592" s="2210"/>
      <c r="I1592" s="2210"/>
      <c r="J1592" s="2210"/>
      <c r="K1592" s="2211"/>
    </row>
    <row r="1593" spans="1:11">
      <c r="A1593" s="2241"/>
      <c r="B1593" s="2234"/>
      <c r="C1593" s="2210"/>
      <c r="D1593" s="2234"/>
      <c r="E1593" s="2374"/>
      <c r="F1593" s="2235"/>
      <c r="G1593" s="2235"/>
      <c r="H1593" s="2210"/>
      <c r="I1593" s="2210"/>
      <c r="J1593" s="2210"/>
      <c r="K1593" s="2211"/>
    </row>
    <row r="1594" spans="1:11">
      <c r="A1594" s="2241"/>
      <c r="B1594" s="2234"/>
      <c r="C1594" s="2210"/>
      <c r="D1594" s="2234"/>
      <c r="E1594" s="2374"/>
      <c r="F1594" s="2235"/>
      <c r="G1594" s="2235"/>
      <c r="H1594" s="2210"/>
      <c r="I1594" s="2210"/>
      <c r="J1594" s="2210"/>
      <c r="K1594" s="2211"/>
    </row>
    <row r="1595" spans="1:11">
      <c r="A1595" s="2241"/>
      <c r="B1595" s="2234"/>
      <c r="C1595" s="2210"/>
      <c r="D1595" s="2234"/>
      <c r="E1595" s="2374"/>
      <c r="F1595" s="2235"/>
      <c r="G1595" s="2235"/>
      <c r="H1595" s="2210"/>
      <c r="I1595" s="2210"/>
      <c r="J1595" s="2210"/>
      <c r="K1595" s="2211"/>
    </row>
    <row r="1596" spans="1:11">
      <c r="A1596" s="2241"/>
      <c r="B1596" s="2234"/>
      <c r="C1596" s="2210"/>
      <c r="D1596" s="2234"/>
      <c r="E1596" s="2374"/>
      <c r="F1596" s="2235"/>
      <c r="G1596" s="2235"/>
      <c r="H1596" s="2210"/>
      <c r="I1596" s="2210"/>
      <c r="J1596" s="2210"/>
      <c r="K1596" s="2211"/>
    </row>
    <row r="1597" spans="1:11">
      <c r="A1597" s="2241"/>
      <c r="B1597" s="2234"/>
      <c r="C1597" s="2210"/>
      <c r="D1597" s="2234"/>
      <c r="E1597" s="2374"/>
      <c r="F1597" s="2235"/>
      <c r="G1597" s="2235"/>
      <c r="H1597" s="2210"/>
      <c r="I1597" s="2210"/>
      <c r="J1597" s="2210"/>
      <c r="K1597" s="2211"/>
    </row>
    <row r="1598" spans="1:11">
      <c r="A1598" s="2241"/>
      <c r="B1598" s="2234"/>
      <c r="C1598" s="2210"/>
      <c r="D1598" s="2234"/>
      <c r="E1598" s="2374"/>
      <c r="F1598" s="2235"/>
      <c r="G1598" s="2235"/>
      <c r="H1598" s="2210"/>
      <c r="I1598" s="2210"/>
      <c r="J1598" s="2210"/>
      <c r="K1598" s="2211"/>
    </row>
    <row r="1599" spans="1:11">
      <c r="A1599" s="2241"/>
      <c r="B1599" s="2234"/>
      <c r="C1599" s="2210"/>
      <c r="D1599" s="2234"/>
      <c r="E1599" s="2374"/>
      <c r="F1599" s="2235"/>
      <c r="G1599" s="2235"/>
      <c r="H1599" s="2210"/>
      <c r="I1599" s="2210"/>
      <c r="J1599" s="2210"/>
      <c r="K1599" s="2211"/>
    </row>
    <row r="1600" spans="1:11">
      <c r="A1600" s="2241"/>
      <c r="B1600" s="2234"/>
      <c r="C1600" s="2210"/>
      <c r="D1600" s="2234"/>
      <c r="E1600" s="2374"/>
      <c r="F1600" s="2235"/>
      <c r="G1600" s="2235"/>
      <c r="H1600" s="2210"/>
      <c r="I1600" s="2210"/>
      <c r="J1600" s="2210"/>
      <c r="K1600" s="2211"/>
    </row>
    <row r="1601" spans="1:11">
      <c r="A1601" s="2241"/>
      <c r="B1601" s="2234"/>
      <c r="C1601" s="2210"/>
      <c r="D1601" s="2234"/>
      <c r="E1601" s="2374"/>
      <c r="F1601" s="2235"/>
      <c r="G1601" s="2235"/>
      <c r="H1601" s="2210"/>
      <c r="I1601" s="2210"/>
      <c r="J1601" s="2210"/>
      <c r="K1601" s="2211"/>
    </row>
    <row r="1602" spans="1:11">
      <c r="A1602" s="2241"/>
      <c r="B1602" s="2234"/>
      <c r="C1602" s="2210"/>
      <c r="D1602" s="2234"/>
      <c r="E1602" s="2374"/>
      <c r="F1602" s="2235"/>
      <c r="G1602" s="2235"/>
      <c r="H1602" s="2210"/>
      <c r="I1602" s="2210"/>
      <c r="J1602" s="2210"/>
      <c r="K1602" s="2211"/>
    </row>
    <row r="1603" spans="1:11">
      <c r="A1603" s="2241"/>
      <c r="B1603" s="2234"/>
      <c r="C1603" s="2210"/>
      <c r="D1603" s="2234"/>
      <c r="E1603" s="2374"/>
      <c r="F1603" s="2235"/>
      <c r="G1603" s="2235"/>
      <c r="H1603" s="2210"/>
      <c r="I1603" s="2210"/>
      <c r="J1603" s="2210"/>
      <c r="K1603" s="2211"/>
    </row>
    <row r="1604" spans="1:11">
      <c r="A1604" s="2241"/>
      <c r="B1604" s="2234"/>
      <c r="C1604" s="2210"/>
      <c r="D1604" s="2234"/>
      <c r="E1604" s="2374"/>
      <c r="F1604" s="2235"/>
      <c r="G1604" s="2235"/>
      <c r="H1604" s="2210"/>
      <c r="I1604" s="2210"/>
      <c r="J1604" s="2210"/>
      <c r="K1604" s="2211"/>
    </row>
    <row r="1605" spans="1:11">
      <c r="A1605" s="2241"/>
      <c r="B1605" s="2234"/>
      <c r="C1605" s="2210"/>
      <c r="D1605" s="2234"/>
      <c r="E1605" s="2374"/>
      <c r="F1605" s="2235"/>
      <c r="G1605" s="2235"/>
      <c r="H1605" s="2210"/>
      <c r="I1605" s="2210"/>
      <c r="J1605" s="2210"/>
      <c r="K1605" s="2211"/>
    </row>
    <row r="1606" spans="1:11">
      <c r="A1606" s="2241"/>
      <c r="B1606" s="2234"/>
      <c r="C1606" s="2210"/>
      <c r="D1606" s="2234"/>
      <c r="E1606" s="2374"/>
      <c r="F1606" s="2235"/>
      <c r="G1606" s="2235"/>
      <c r="H1606" s="2210"/>
      <c r="I1606" s="2210"/>
      <c r="J1606" s="2210"/>
      <c r="K1606" s="2211"/>
    </row>
    <row r="1607" spans="1:11">
      <c r="A1607" s="2241"/>
      <c r="B1607" s="2234"/>
      <c r="C1607" s="2210"/>
      <c r="D1607" s="2234"/>
      <c r="E1607" s="2374"/>
      <c r="F1607" s="2235"/>
      <c r="G1607" s="2235"/>
      <c r="H1607" s="2210"/>
      <c r="I1607" s="2210"/>
      <c r="J1607" s="2210"/>
      <c r="K1607" s="2211"/>
    </row>
    <row r="1608" spans="1:11">
      <c r="A1608" s="2241"/>
      <c r="B1608" s="2234"/>
      <c r="C1608" s="2210"/>
      <c r="D1608" s="2234"/>
      <c r="E1608" s="2374"/>
      <c r="F1608" s="2235"/>
      <c r="G1608" s="2235"/>
      <c r="H1608" s="2210"/>
      <c r="I1608" s="2210"/>
      <c r="J1608" s="2210"/>
      <c r="K1608" s="2211"/>
    </row>
    <row r="1609" spans="1:11">
      <c r="A1609" s="2241"/>
      <c r="B1609" s="2234"/>
      <c r="C1609" s="2210"/>
      <c r="D1609" s="2234"/>
      <c r="E1609" s="2374"/>
      <c r="F1609" s="2235"/>
      <c r="G1609" s="2235"/>
      <c r="H1609" s="2210"/>
      <c r="I1609" s="2210"/>
      <c r="J1609" s="2210"/>
      <c r="K1609" s="2211"/>
    </row>
    <row r="1610" spans="1:11">
      <c r="A1610" s="2241"/>
      <c r="B1610" s="2234"/>
      <c r="C1610" s="2210"/>
      <c r="D1610" s="2234"/>
      <c r="E1610" s="2374"/>
      <c r="F1610" s="2235"/>
      <c r="G1610" s="2235"/>
      <c r="H1610" s="2210"/>
      <c r="I1610" s="2210"/>
      <c r="J1610" s="2210"/>
      <c r="K1610" s="2211"/>
    </row>
    <row r="1611" spans="1:11">
      <c r="A1611" s="2241"/>
      <c r="B1611" s="2234"/>
      <c r="C1611" s="2210"/>
      <c r="D1611" s="2234"/>
      <c r="E1611" s="2374"/>
      <c r="F1611" s="2235"/>
      <c r="G1611" s="2235"/>
      <c r="H1611" s="2210"/>
      <c r="I1611" s="2210"/>
      <c r="J1611" s="2210"/>
      <c r="K1611" s="2211"/>
    </row>
    <row r="1612" spans="1:11">
      <c r="A1612" s="2241"/>
      <c r="B1612" s="2234"/>
      <c r="C1612" s="2210"/>
      <c r="D1612" s="2234"/>
      <c r="E1612" s="2374"/>
      <c r="F1612" s="2235"/>
      <c r="G1612" s="2235"/>
      <c r="H1612" s="2210"/>
      <c r="I1612" s="2210"/>
      <c r="J1612" s="2210"/>
      <c r="K1612" s="2211"/>
    </row>
    <row r="1613" spans="1:11">
      <c r="A1613" s="2241"/>
      <c r="B1613" s="2234"/>
      <c r="C1613" s="2210"/>
      <c r="D1613" s="2234"/>
      <c r="E1613" s="2374"/>
      <c r="F1613" s="2235"/>
      <c r="G1613" s="2235"/>
      <c r="H1613" s="2210"/>
      <c r="I1613" s="2210"/>
      <c r="J1613" s="2210"/>
      <c r="K1613" s="2211"/>
    </row>
    <row r="1614" spans="1:11">
      <c r="A1614" s="2241"/>
      <c r="B1614" s="2234"/>
      <c r="C1614" s="2210"/>
      <c r="D1614" s="2234"/>
      <c r="E1614" s="2374"/>
      <c r="F1614" s="2235"/>
      <c r="G1614" s="2235"/>
      <c r="H1614" s="2210"/>
      <c r="I1614" s="2210"/>
      <c r="J1614" s="2210"/>
      <c r="K1614" s="2211"/>
    </row>
    <row r="1615" spans="1:11">
      <c r="A1615" s="2241"/>
      <c r="B1615" s="2234"/>
      <c r="C1615" s="2210"/>
      <c r="D1615" s="2234"/>
      <c r="E1615" s="2374"/>
      <c r="F1615" s="2235"/>
      <c r="G1615" s="2235"/>
      <c r="H1615" s="2210"/>
      <c r="I1615" s="2210"/>
      <c r="J1615" s="2210"/>
      <c r="K1615" s="2211"/>
    </row>
    <row r="1616" spans="1:11">
      <c r="A1616" s="2241"/>
      <c r="B1616" s="2234"/>
      <c r="C1616" s="2210"/>
      <c r="D1616" s="2234"/>
      <c r="E1616" s="2374"/>
      <c r="F1616" s="2235"/>
      <c r="G1616" s="2235"/>
      <c r="H1616" s="2210"/>
      <c r="I1616" s="2210"/>
      <c r="J1616" s="2210"/>
      <c r="K1616" s="2211"/>
    </row>
    <row r="1617" spans="1:11">
      <c r="A1617" s="2241"/>
      <c r="B1617" s="2234"/>
      <c r="C1617" s="2210"/>
      <c r="D1617" s="2234"/>
      <c r="E1617" s="2374"/>
      <c r="F1617" s="2235"/>
      <c r="G1617" s="2235"/>
      <c r="H1617" s="2210"/>
      <c r="I1617" s="2210"/>
      <c r="J1617" s="2210"/>
      <c r="K1617" s="2211"/>
    </row>
    <row r="1618" spans="1:11">
      <c r="A1618" s="2241"/>
      <c r="B1618" s="2234"/>
      <c r="C1618" s="2210"/>
      <c r="D1618" s="2234"/>
      <c r="E1618" s="2374"/>
      <c r="F1618" s="2235"/>
      <c r="G1618" s="2235"/>
      <c r="H1618" s="2210"/>
      <c r="I1618" s="2210"/>
      <c r="J1618" s="2210"/>
      <c r="K1618" s="2211"/>
    </row>
    <row r="1619" spans="1:11">
      <c r="A1619" s="2241"/>
      <c r="B1619" s="2234"/>
      <c r="C1619" s="2210"/>
      <c r="D1619" s="2234"/>
      <c r="E1619" s="2374"/>
      <c r="F1619" s="2235"/>
      <c r="G1619" s="2235"/>
      <c r="H1619" s="2210"/>
      <c r="I1619" s="2210"/>
      <c r="J1619" s="2210"/>
      <c r="K1619" s="2211"/>
    </row>
    <row r="1620" spans="1:11">
      <c r="A1620" s="2241"/>
      <c r="B1620" s="2234"/>
      <c r="C1620" s="2210"/>
      <c r="D1620" s="2234"/>
      <c r="E1620" s="2374"/>
      <c r="F1620" s="2235"/>
      <c r="G1620" s="2235"/>
      <c r="H1620" s="2210"/>
      <c r="I1620" s="2210"/>
      <c r="J1620" s="2210"/>
      <c r="K1620" s="2211"/>
    </row>
    <row r="1621" spans="1:11">
      <c r="A1621" s="2241"/>
      <c r="B1621" s="2234"/>
      <c r="C1621" s="2210"/>
      <c r="D1621" s="2234"/>
      <c r="E1621" s="2374"/>
      <c r="F1621" s="2235"/>
      <c r="G1621" s="2235"/>
      <c r="H1621" s="2210"/>
      <c r="I1621" s="2210"/>
      <c r="J1621" s="2210"/>
      <c r="K1621" s="2211"/>
    </row>
    <row r="1622" spans="1:11">
      <c r="A1622" s="2241"/>
      <c r="B1622" s="2234"/>
      <c r="C1622" s="2210"/>
      <c r="D1622" s="2234"/>
      <c r="E1622" s="2374"/>
      <c r="F1622" s="2235"/>
      <c r="G1622" s="2235"/>
      <c r="H1622" s="2210"/>
      <c r="I1622" s="2210"/>
      <c r="J1622" s="2210"/>
      <c r="K1622" s="2211"/>
    </row>
    <row r="1623" spans="1:11">
      <c r="A1623" s="2241"/>
      <c r="B1623" s="2234"/>
      <c r="C1623" s="2210"/>
      <c r="D1623" s="2234"/>
      <c r="E1623" s="2374"/>
      <c r="F1623" s="2235"/>
      <c r="G1623" s="2235"/>
      <c r="H1623" s="2210"/>
      <c r="I1623" s="2210"/>
      <c r="J1623" s="2210"/>
      <c r="K1623" s="2211"/>
    </row>
    <row r="1624" spans="1:11">
      <c r="A1624" s="2241"/>
      <c r="B1624" s="2234"/>
      <c r="C1624" s="2210"/>
      <c r="D1624" s="2234"/>
      <c r="E1624" s="2374"/>
      <c r="F1624" s="2235"/>
      <c r="G1624" s="2235"/>
      <c r="H1624" s="2210"/>
      <c r="I1624" s="2210"/>
      <c r="J1624" s="2210"/>
      <c r="K1624" s="2211"/>
    </row>
    <row r="1625" spans="1:11">
      <c r="A1625" s="2241"/>
      <c r="B1625" s="2234"/>
      <c r="C1625" s="2210"/>
      <c r="D1625" s="2234"/>
      <c r="E1625" s="2374"/>
      <c r="F1625" s="2235"/>
      <c r="G1625" s="2235"/>
      <c r="H1625" s="2210"/>
      <c r="I1625" s="2210"/>
      <c r="J1625" s="2210"/>
      <c r="K1625" s="2211"/>
    </row>
    <row r="1626" spans="1:11">
      <c r="A1626" s="2241"/>
      <c r="B1626" s="2234"/>
      <c r="C1626" s="2210"/>
      <c r="D1626" s="2234"/>
      <c r="E1626" s="2374"/>
      <c r="F1626" s="2235"/>
      <c r="G1626" s="2235"/>
      <c r="H1626" s="2210"/>
      <c r="I1626" s="2210"/>
      <c r="J1626" s="2210"/>
      <c r="K1626" s="2211"/>
    </row>
    <row r="1627" spans="1:11">
      <c r="A1627" s="2241"/>
      <c r="B1627" s="2234"/>
      <c r="C1627" s="2210"/>
      <c r="D1627" s="2234"/>
      <c r="E1627" s="2374"/>
      <c r="F1627" s="2235"/>
      <c r="G1627" s="2235"/>
      <c r="H1627" s="2210"/>
      <c r="I1627" s="2210"/>
      <c r="J1627" s="2210"/>
      <c r="K1627" s="2211"/>
    </row>
    <row r="1628" spans="1:11">
      <c r="A1628" s="2241"/>
      <c r="B1628" s="2234"/>
      <c r="C1628" s="2210"/>
      <c r="D1628" s="2234"/>
      <c r="E1628" s="2374"/>
      <c r="F1628" s="2235"/>
      <c r="G1628" s="2235"/>
      <c r="H1628" s="2210"/>
      <c r="I1628" s="2210"/>
      <c r="J1628" s="2210"/>
      <c r="K1628" s="2211"/>
    </row>
    <row r="1629" spans="1:11">
      <c r="A1629" s="2241"/>
      <c r="B1629" s="2234"/>
      <c r="C1629" s="2210"/>
      <c r="D1629" s="2234"/>
      <c r="E1629" s="2374"/>
      <c r="F1629" s="2235"/>
      <c r="G1629" s="2235"/>
      <c r="H1629" s="2210"/>
      <c r="I1629" s="2210"/>
      <c r="J1629" s="2210"/>
      <c r="K1629" s="2211"/>
    </row>
    <row r="1630" spans="1:11">
      <c r="A1630" s="2241"/>
      <c r="B1630" s="2234"/>
      <c r="C1630" s="2210"/>
      <c r="D1630" s="2234"/>
      <c r="E1630" s="2374"/>
      <c r="F1630" s="2235"/>
      <c r="G1630" s="2235"/>
      <c r="H1630" s="2210"/>
      <c r="I1630" s="2210"/>
      <c r="J1630" s="2210"/>
      <c r="K1630" s="2211"/>
    </row>
    <row r="1631" spans="1:11">
      <c r="A1631" s="2241"/>
      <c r="B1631" s="2234"/>
      <c r="C1631" s="2210"/>
      <c r="D1631" s="2234"/>
      <c r="E1631" s="2374"/>
      <c r="F1631" s="2235"/>
      <c r="G1631" s="2235"/>
      <c r="H1631" s="2210"/>
      <c r="I1631" s="2210"/>
      <c r="J1631" s="2210"/>
      <c r="K1631" s="2211"/>
    </row>
    <row r="1632" spans="1:11">
      <c r="A1632" s="2241"/>
      <c r="B1632" s="2234"/>
      <c r="C1632" s="2210"/>
      <c r="D1632" s="2234"/>
      <c r="E1632" s="2374"/>
      <c r="F1632" s="2235"/>
      <c r="G1632" s="2235"/>
      <c r="H1632" s="2210"/>
      <c r="I1632" s="2210"/>
      <c r="J1632" s="2210"/>
      <c r="K1632" s="2211"/>
    </row>
    <row r="1633" spans="1:11">
      <c r="A1633" s="2241"/>
      <c r="B1633" s="2234"/>
      <c r="C1633" s="2210"/>
      <c r="D1633" s="2234"/>
      <c r="E1633" s="2374"/>
      <c r="F1633" s="2235"/>
      <c r="G1633" s="2235"/>
      <c r="H1633" s="2210"/>
      <c r="I1633" s="2210"/>
      <c r="J1633" s="2210"/>
      <c r="K1633" s="2211"/>
    </row>
    <row r="1634" spans="1:11">
      <c r="A1634" s="2241"/>
      <c r="B1634" s="2234"/>
      <c r="C1634" s="2210"/>
      <c r="D1634" s="2234"/>
      <c r="E1634" s="2374"/>
      <c r="F1634" s="2235"/>
      <c r="G1634" s="2235"/>
      <c r="H1634" s="2210"/>
      <c r="I1634" s="2210"/>
      <c r="J1634" s="2210"/>
      <c r="K1634" s="2211"/>
    </row>
    <row r="1635" spans="1:11">
      <c r="A1635" s="2241"/>
      <c r="B1635" s="2234"/>
      <c r="C1635" s="2210"/>
      <c r="D1635" s="2234"/>
      <c r="E1635" s="2374"/>
      <c r="F1635" s="2235"/>
      <c r="G1635" s="2235"/>
      <c r="H1635" s="2210"/>
      <c r="I1635" s="2210"/>
      <c r="J1635" s="2210"/>
      <c r="K1635" s="2211"/>
    </row>
    <row r="1636" spans="1:11">
      <c r="A1636" s="2241"/>
      <c r="B1636" s="2234"/>
      <c r="C1636" s="2210"/>
      <c r="D1636" s="2234"/>
      <c r="E1636" s="2374"/>
      <c r="F1636" s="2235"/>
      <c r="G1636" s="2235"/>
      <c r="H1636" s="2210"/>
      <c r="I1636" s="2210"/>
      <c r="J1636" s="2210"/>
      <c r="K1636" s="2211"/>
    </row>
    <row r="1637" spans="1:11">
      <c r="A1637" s="2241"/>
      <c r="B1637" s="2234"/>
      <c r="C1637" s="2210"/>
      <c r="D1637" s="2234"/>
      <c r="E1637" s="2374"/>
      <c r="F1637" s="2235"/>
      <c r="G1637" s="2235"/>
      <c r="H1637" s="2210"/>
      <c r="I1637" s="2210"/>
      <c r="J1637" s="2210"/>
      <c r="K1637" s="2211"/>
    </row>
    <row r="1638" spans="1:11">
      <c r="A1638" s="2241"/>
      <c r="B1638" s="2234"/>
      <c r="C1638" s="2210"/>
      <c r="D1638" s="2234"/>
      <c r="E1638" s="2374"/>
      <c r="F1638" s="2235"/>
      <c r="G1638" s="2235"/>
      <c r="H1638" s="2210"/>
      <c r="I1638" s="2210"/>
      <c r="J1638" s="2210"/>
      <c r="K1638" s="2211"/>
    </row>
    <row r="1639" spans="1:11">
      <c r="A1639" s="2241"/>
      <c r="B1639" s="2234"/>
      <c r="C1639" s="2210"/>
      <c r="D1639" s="2234"/>
      <c r="E1639" s="2374"/>
      <c r="F1639" s="2235"/>
      <c r="G1639" s="2235"/>
      <c r="H1639" s="2210"/>
      <c r="I1639" s="2210"/>
      <c r="J1639" s="2210"/>
      <c r="K1639" s="2211"/>
    </row>
    <row r="1640" spans="1:11">
      <c r="A1640" s="2241"/>
      <c r="B1640" s="2234"/>
      <c r="C1640" s="2210"/>
      <c r="D1640" s="2234"/>
      <c r="E1640" s="2374"/>
      <c r="F1640" s="2235"/>
      <c r="G1640" s="2235"/>
      <c r="H1640" s="2210"/>
      <c r="I1640" s="2210"/>
      <c r="J1640" s="2210"/>
      <c r="K1640" s="2211"/>
    </row>
    <row r="1641" spans="1:11">
      <c r="A1641" s="2241"/>
      <c r="B1641" s="2234"/>
      <c r="C1641" s="2210"/>
      <c r="D1641" s="2234"/>
      <c r="E1641" s="2374"/>
      <c r="F1641" s="2235"/>
      <c r="G1641" s="2235"/>
      <c r="H1641" s="2210"/>
      <c r="I1641" s="2210"/>
      <c r="J1641" s="2210"/>
      <c r="K1641" s="2211"/>
    </row>
    <row r="1642" spans="1:11">
      <c r="A1642" s="2241"/>
      <c r="B1642" s="2234"/>
      <c r="C1642" s="2210"/>
      <c r="D1642" s="2234"/>
      <c r="E1642" s="2374"/>
      <c r="F1642" s="2235"/>
      <c r="G1642" s="2235"/>
      <c r="H1642" s="2210"/>
      <c r="I1642" s="2210"/>
      <c r="J1642" s="2210"/>
      <c r="K1642" s="2211"/>
    </row>
    <row r="1643" spans="1:11">
      <c r="A1643" s="2241"/>
      <c r="B1643" s="2234"/>
      <c r="C1643" s="2210"/>
      <c r="D1643" s="2234"/>
      <c r="E1643" s="2374"/>
      <c r="F1643" s="2235"/>
      <c r="G1643" s="2235"/>
      <c r="H1643" s="2210"/>
      <c r="I1643" s="2210"/>
      <c r="J1643" s="2210"/>
      <c r="K1643" s="2211"/>
    </row>
    <row r="1644" spans="1:11">
      <c r="A1644" s="2241"/>
      <c r="B1644" s="2234"/>
      <c r="C1644" s="2210"/>
      <c r="D1644" s="2234"/>
      <c r="E1644" s="2374"/>
      <c r="F1644" s="2235"/>
      <c r="G1644" s="2235"/>
      <c r="H1644" s="2210"/>
      <c r="I1644" s="2210"/>
      <c r="J1644" s="2210"/>
      <c r="K1644" s="2211"/>
    </row>
    <row r="1645" spans="1:11">
      <c r="A1645" s="2241"/>
      <c r="B1645" s="2234"/>
      <c r="C1645" s="2210"/>
      <c r="D1645" s="2234"/>
      <c r="E1645" s="2374"/>
      <c r="F1645" s="2235"/>
      <c r="G1645" s="2235"/>
      <c r="H1645" s="2210"/>
      <c r="I1645" s="2210"/>
      <c r="J1645" s="2210"/>
      <c r="K1645" s="2211"/>
    </row>
    <row r="1646" spans="1:11">
      <c r="A1646" s="2241"/>
      <c r="B1646" s="2234"/>
      <c r="C1646" s="2210"/>
      <c r="D1646" s="2234"/>
      <c r="E1646" s="2374"/>
      <c r="F1646" s="2235"/>
      <c r="G1646" s="2235"/>
      <c r="H1646" s="2210"/>
      <c r="I1646" s="2210"/>
      <c r="J1646" s="2210"/>
      <c r="K1646" s="2211"/>
    </row>
    <row r="1647" spans="1:11">
      <c r="A1647" s="2241"/>
      <c r="B1647" s="2234"/>
      <c r="C1647" s="2210"/>
      <c r="D1647" s="2234"/>
      <c r="E1647" s="2374"/>
      <c r="F1647" s="2235"/>
      <c r="G1647" s="2235"/>
      <c r="H1647" s="2210"/>
      <c r="I1647" s="2210"/>
      <c r="J1647" s="2210"/>
      <c r="K1647" s="2211"/>
    </row>
    <row r="1648" spans="1:11">
      <c r="A1648" s="2241"/>
      <c r="B1648" s="2234"/>
      <c r="C1648" s="2210"/>
      <c r="D1648" s="2234"/>
      <c r="E1648" s="2374"/>
      <c r="F1648" s="2235"/>
      <c r="G1648" s="2235"/>
      <c r="H1648" s="2210"/>
      <c r="I1648" s="2210"/>
      <c r="J1648" s="2210"/>
      <c r="K1648" s="2211"/>
    </row>
    <row r="1649" spans="1:11">
      <c r="A1649" s="2241"/>
      <c r="B1649" s="2234"/>
      <c r="C1649" s="2210"/>
      <c r="D1649" s="2234"/>
      <c r="E1649" s="2374"/>
      <c r="F1649" s="2235"/>
      <c r="G1649" s="2235"/>
      <c r="H1649" s="2210"/>
      <c r="I1649" s="2210"/>
      <c r="J1649" s="2210"/>
      <c r="K1649" s="2211"/>
    </row>
    <row r="1650" spans="1:11">
      <c r="A1650" s="2241"/>
      <c r="B1650" s="2234"/>
      <c r="C1650" s="2210"/>
      <c r="D1650" s="2234"/>
      <c r="E1650" s="2374"/>
      <c r="F1650" s="2235"/>
      <c r="G1650" s="2235"/>
      <c r="H1650" s="2210"/>
      <c r="I1650" s="2210"/>
      <c r="J1650" s="2210"/>
      <c r="K1650" s="2211"/>
    </row>
    <row r="1651" spans="1:11">
      <c r="A1651" s="2241"/>
      <c r="B1651" s="2234"/>
      <c r="C1651" s="2210"/>
      <c r="D1651" s="2234"/>
      <c r="E1651" s="2374"/>
      <c r="F1651" s="2235"/>
      <c r="G1651" s="2235"/>
      <c r="H1651" s="2210"/>
      <c r="I1651" s="2210"/>
      <c r="J1651" s="2210"/>
      <c r="K1651" s="2211"/>
    </row>
    <row r="1652" spans="1:11">
      <c r="A1652" s="2241"/>
      <c r="B1652" s="2234"/>
      <c r="C1652" s="2210"/>
      <c r="D1652" s="2234"/>
      <c r="E1652" s="2374"/>
      <c r="F1652" s="2235"/>
      <c r="G1652" s="2235"/>
      <c r="H1652" s="2210"/>
      <c r="I1652" s="2210"/>
      <c r="J1652" s="2210"/>
      <c r="K1652" s="2211"/>
    </row>
    <row r="1653" spans="1:11">
      <c r="A1653" s="2241"/>
      <c r="B1653" s="2234"/>
      <c r="C1653" s="2210"/>
      <c r="D1653" s="2234"/>
      <c r="E1653" s="2374"/>
      <c r="F1653" s="2235"/>
      <c r="G1653" s="2235"/>
      <c r="H1653" s="2210"/>
      <c r="I1653" s="2210"/>
      <c r="J1653" s="2210"/>
      <c r="K1653" s="2211"/>
    </row>
    <row r="1654" spans="1:11">
      <c r="A1654" s="2241"/>
      <c r="B1654" s="2234"/>
      <c r="C1654" s="2210"/>
      <c r="D1654" s="2234"/>
      <c r="E1654" s="2374"/>
      <c r="F1654" s="2235"/>
      <c r="G1654" s="2235"/>
      <c r="H1654" s="2210"/>
      <c r="I1654" s="2210"/>
      <c r="J1654" s="2210"/>
      <c r="K1654" s="2211"/>
    </row>
    <row r="1655" spans="1:11">
      <c r="A1655" s="2241"/>
      <c r="B1655" s="2234"/>
      <c r="C1655" s="2210"/>
      <c r="D1655" s="2234"/>
      <c r="E1655" s="2374"/>
      <c r="F1655" s="2235"/>
      <c r="G1655" s="2235"/>
      <c r="H1655" s="2210"/>
      <c r="I1655" s="2210"/>
      <c r="J1655" s="2210"/>
      <c r="K1655" s="2211"/>
    </row>
    <row r="1656" spans="1:11">
      <c r="A1656" s="2241"/>
      <c r="B1656" s="2234"/>
      <c r="C1656" s="2210"/>
      <c r="D1656" s="2234"/>
      <c r="E1656" s="2374"/>
      <c r="F1656" s="2235"/>
      <c r="G1656" s="2235"/>
      <c r="H1656" s="2210"/>
      <c r="I1656" s="2210"/>
      <c r="J1656" s="2210"/>
      <c r="K1656" s="2211"/>
    </row>
    <row r="1657" spans="1:11">
      <c r="A1657" s="2241"/>
      <c r="B1657" s="2234"/>
      <c r="C1657" s="2210"/>
      <c r="D1657" s="2234"/>
      <c r="E1657" s="2374"/>
      <c r="F1657" s="2235"/>
      <c r="G1657" s="2235"/>
      <c r="H1657" s="2210"/>
      <c r="I1657" s="2210"/>
      <c r="J1657" s="2210"/>
      <c r="K1657" s="2211"/>
    </row>
    <row r="1658" spans="1:11">
      <c r="A1658" s="2241"/>
      <c r="B1658" s="2234"/>
      <c r="C1658" s="2210"/>
      <c r="D1658" s="2234"/>
      <c r="E1658" s="2374"/>
      <c r="F1658" s="2235"/>
      <c r="G1658" s="2235"/>
      <c r="H1658" s="2210"/>
      <c r="I1658" s="2210"/>
      <c r="J1658" s="2210"/>
      <c r="K1658" s="2211"/>
    </row>
    <row r="1659" spans="1:11">
      <c r="A1659" s="2241"/>
      <c r="B1659" s="2234"/>
      <c r="C1659" s="2210"/>
      <c r="D1659" s="2234"/>
      <c r="E1659" s="2374"/>
      <c r="F1659" s="2235"/>
      <c r="G1659" s="2235"/>
      <c r="H1659" s="2210"/>
      <c r="I1659" s="2210"/>
      <c r="J1659" s="2210"/>
      <c r="K1659" s="2211"/>
    </row>
    <row r="1660" spans="1:11">
      <c r="A1660" s="2241"/>
      <c r="B1660" s="2234"/>
      <c r="C1660" s="2210"/>
      <c r="D1660" s="2234"/>
      <c r="E1660" s="2374"/>
      <c r="F1660" s="2235"/>
      <c r="G1660" s="2235"/>
      <c r="H1660" s="2210"/>
      <c r="I1660" s="2210"/>
      <c r="J1660" s="2210"/>
      <c r="K1660" s="2211"/>
    </row>
    <row r="1661" spans="1:11">
      <c r="A1661" s="2241"/>
      <c r="B1661" s="2234"/>
      <c r="C1661" s="2210"/>
      <c r="D1661" s="2234"/>
      <c r="E1661" s="2374"/>
      <c r="F1661" s="2235"/>
      <c r="G1661" s="2235"/>
      <c r="H1661" s="2210"/>
      <c r="I1661" s="2210"/>
      <c r="J1661" s="2210"/>
      <c r="K1661" s="2211"/>
    </row>
    <row r="1662" spans="1:11">
      <c r="A1662" s="2241"/>
      <c r="B1662" s="2234"/>
      <c r="C1662" s="2210"/>
      <c r="D1662" s="2234"/>
      <c r="E1662" s="2374"/>
      <c r="F1662" s="2235"/>
      <c r="G1662" s="2235"/>
      <c r="H1662" s="2210"/>
      <c r="I1662" s="2210"/>
      <c r="J1662" s="2210"/>
      <c r="K1662" s="2211"/>
    </row>
    <row r="1663" spans="1:11">
      <c r="A1663" s="2241"/>
      <c r="B1663" s="2234"/>
      <c r="C1663" s="2210"/>
      <c r="D1663" s="2234"/>
      <c r="E1663" s="2374"/>
      <c r="F1663" s="2235"/>
      <c r="G1663" s="2235"/>
      <c r="H1663" s="2210"/>
      <c r="I1663" s="2210"/>
      <c r="J1663" s="2210"/>
      <c r="K1663" s="2211"/>
    </row>
    <row r="1664" spans="1:11">
      <c r="A1664" s="2241"/>
      <c r="B1664" s="2234"/>
      <c r="C1664" s="2210"/>
      <c r="D1664" s="2234"/>
      <c r="E1664" s="2374"/>
      <c r="F1664" s="2235"/>
      <c r="G1664" s="2235"/>
      <c r="H1664" s="2210"/>
      <c r="I1664" s="2210"/>
      <c r="J1664" s="2210"/>
      <c r="K1664" s="2211"/>
    </row>
    <row r="1665" spans="1:11">
      <c r="A1665" s="2241"/>
      <c r="B1665" s="2234"/>
      <c r="C1665" s="2210"/>
      <c r="D1665" s="2234"/>
      <c r="E1665" s="2374"/>
      <c r="F1665" s="2235"/>
      <c r="G1665" s="2235"/>
      <c r="H1665" s="2210"/>
      <c r="I1665" s="2210"/>
      <c r="J1665" s="2210"/>
      <c r="K1665" s="2211"/>
    </row>
    <row r="1666" spans="1:11">
      <c r="A1666" s="2241"/>
      <c r="B1666" s="2234"/>
      <c r="C1666" s="2210"/>
      <c r="D1666" s="2234"/>
      <c r="E1666" s="2374"/>
      <c r="F1666" s="2235"/>
      <c r="G1666" s="2235"/>
      <c r="H1666" s="2210"/>
      <c r="I1666" s="2210"/>
      <c r="J1666" s="2210"/>
      <c r="K1666" s="2211"/>
    </row>
    <row r="1667" spans="1:11">
      <c r="A1667" s="2241"/>
      <c r="B1667" s="2234"/>
      <c r="C1667" s="2210"/>
      <c r="D1667" s="2234"/>
      <c r="E1667" s="2374"/>
      <c r="F1667" s="2235"/>
      <c r="G1667" s="2235"/>
      <c r="H1667" s="2210"/>
      <c r="I1667" s="2210"/>
      <c r="J1667" s="2210"/>
      <c r="K1667" s="2211"/>
    </row>
    <row r="1668" spans="1:11">
      <c r="A1668" s="2241"/>
      <c r="B1668" s="2234"/>
      <c r="C1668" s="2210"/>
      <c r="D1668" s="2234"/>
      <c r="E1668" s="2374"/>
      <c r="F1668" s="2235"/>
      <c r="G1668" s="2235"/>
      <c r="H1668" s="2210"/>
      <c r="I1668" s="2210"/>
      <c r="J1668" s="2210"/>
      <c r="K1668" s="2211"/>
    </row>
    <row r="1669" spans="1:11">
      <c r="A1669" s="2241"/>
      <c r="B1669" s="2234"/>
      <c r="C1669" s="2210"/>
      <c r="D1669" s="2234"/>
      <c r="E1669" s="2374"/>
      <c r="F1669" s="2235"/>
      <c r="G1669" s="2235"/>
      <c r="H1669" s="2210"/>
      <c r="I1669" s="2210"/>
      <c r="J1669" s="2210"/>
      <c r="K1669" s="2211"/>
    </row>
    <row r="1670" spans="1:11">
      <c r="A1670" s="2241"/>
      <c r="B1670" s="2234"/>
      <c r="C1670" s="2210"/>
      <c r="D1670" s="2234"/>
      <c r="E1670" s="2374"/>
      <c r="F1670" s="2235"/>
      <c r="G1670" s="2235"/>
      <c r="H1670" s="2210"/>
      <c r="I1670" s="2210"/>
      <c r="J1670" s="2210"/>
      <c r="K1670" s="2211"/>
    </row>
    <row r="1671" spans="1:11">
      <c r="A1671" s="2241"/>
      <c r="B1671" s="2234"/>
      <c r="C1671" s="2210"/>
      <c r="D1671" s="2234"/>
      <c r="E1671" s="2374"/>
      <c r="F1671" s="2235"/>
      <c r="G1671" s="2235"/>
      <c r="H1671" s="2210"/>
      <c r="I1671" s="2210"/>
      <c r="J1671" s="2210"/>
      <c r="K1671" s="2211"/>
    </row>
    <row r="1672" spans="1:11">
      <c r="A1672" s="2241"/>
      <c r="B1672" s="2234"/>
      <c r="C1672" s="2210"/>
      <c r="D1672" s="2234"/>
      <c r="E1672" s="2374"/>
      <c r="F1672" s="2235"/>
      <c r="G1672" s="2235"/>
      <c r="H1672" s="2210"/>
      <c r="I1672" s="2210"/>
      <c r="J1672" s="2210"/>
      <c r="K1672" s="2211"/>
    </row>
    <row r="1673" spans="1:11">
      <c r="A1673" s="2241"/>
      <c r="B1673" s="2234"/>
      <c r="C1673" s="2210"/>
      <c r="D1673" s="2234"/>
      <c r="E1673" s="2374"/>
      <c r="F1673" s="2235"/>
      <c r="G1673" s="2235"/>
      <c r="H1673" s="2210"/>
      <c r="I1673" s="2210"/>
      <c r="J1673" s="2210"/>
      <c r="K1673" s="2211"/>
    </row>
    <row r="1674" spans="1:11">
      <c r="A1674" s="2241"/>
      <c r="B1674" s="2234"/>
      <c r="C1674" s="2210"/>
      <c r="D1674" s="2234"/>
      <c r="E1674" s="2374"/>
      <c r="F1674" s="2235"/>
      <c r="G1674" s="2235"/>
      <c r="H1674" s="2210"/>
      <c r="I1674" s="2210"/>
      <c r="J1674" s="2210"/>
      <c r="K1674" s="2211"/>
    </row>
    <row r="1675" spans="1:11">
      <c r="A1675" s="2241"/>
      <c r="B1675" s="2234"/>
      <c r="C1675" s="2210"/>
      <c r="D1675" s="2234"/>
      <c r="E1675" s="2374"/>
      <c r="F1675" s="2235"/>
      <c r="G1675" s="2235"/>
      <c r="H1675" s="2210"/>
      <c r="I1675" s="2210"/>
      <c r="J1675" s="2210"/>
      <c r="K1675" s="2211"/>
    </row>
    <row r="1676" spans="1:11">
      <c r="A1676" s="2241"/>
      <c r="B1676" s="2234"/>
      <c r="C1676" s="2210"/>
      <c r="D1676" s="2234"/>
      <c r="E1676" s="2374"/>
      <c r="F1676" s="2235"/>
      <c r="G1676" s="2235"/>
      <c r="H1676" s="2210"/>
      <c r="I1676" s="2210"/>
      <c r="J1676" s="2210"/>
      <c r="K1676" s="2211"/>
    </row>
    <row r="1677" spans="1:11">
      <c r="A1677" s="2241"/>
      <c r="B1677" s="2234"/>
      <c r="C1677" s="2210"/>
      <c r="D1677" s="2234"/>
      <c r="E1677" s="2374"/>
      <c r="F1677" s="2235"/>
      <c r="G1677" s="2235"/>
      <c r="H1677" s="2210"/>
      <c r="I1677" s="2210"/>
      <c r="J1677" s="2210"/>
      <c r="K1677" s="2211"/>
    </row>
    <row r="1678" spans="1:11">
      <c r="A1678" s="2241"/>
      <c r="B1678" s="2234"/>
      <c r="C1678" s="2210"/>
      <c r="D1678" s="2234"/>
      <c r="E1678" s="2374"/>
      <c r="F1678" s="2235"/>
      <c r="G1678" s="2235"/>
      <c r="H1678" s="2210"/>
      <c r="I1678" s="2210"/>
      <c r="J1678" s="2210"/>
      <c r="K1678" s="2211"/>
    </row>
    <row r="1679" spans="1:11">
      <c r="A1679" s="2241"/>
      <c r="B1679" s="2234"/>
      <c r="C1679" s="2210"/>
      <c r="D1679" s="2234"/>
      <c r="E1679" s="2374"/>
      <c r="F1679" s="2235"/>
      <c r="G1679" s="2235"/>
      <c r="H1679" s="2210"/>
      <c r="I1679" s="2210"/>
      <c r="J1679" s="2210"/>
      <c r="K1679" s="2211"/>
    </row>
    <row r="1680" spans="1:11">
      <c r="A1680" s="2241"/>
      <c r="B1680" s="2234"/>
      <c r="C1680" s="2210"/>
      <c r="D1680" s="2234"/>
      <c r="E1680" s="2374"/>
      <c r="F1680" s="2235"/>
      <c r="G1680" s="2235"/>
      <c r="H1680" s="2210"/>
      <c r="I1680" s="2210"/>
      <c r="J1680" s="2210"/>
      <c r="K1680" s="2211"/>
    </row>
    <row r="1681" spans="1:11">
      <c r="A1681" s="2241"/>
      <c r="B1681" s="2234"/>
      <c r="C1681" s="2210"/>
      <c r="D1681" s="2234"/>
      <c r="E1681" s="2374"/>
      <c r="F1681" s="2235"/>
      <c r="G1681" s="2235"/>
      <c r="H1681" s="2210"/>
      <c r="I1681" s="2210"/>
      <c r="J1681" s="2210"/>
      <c r="K1681" s="2211"/>
    </row>
    <row r="1682" spans="1:11">
      <c r="A1682" s="2241"/>
      <c r="B1682" s="2234"/>
      <c r="C1682" s="2210"/>
      <c r="D1682" s="2234"/>
      <c r="E1682" s="2374"/>
      <c r="F1682" s="2235"/>
      <c r="G1682" s="2235"/>
      <c r="H1682" s="2210"/>
      <c r="I1682" s="2210"/>
      <c r="J1682" s="2210"/>
      <c r="K1682" s="2211"/>
    </row>
    <row r="1683" spans="1:11">
      <c r="A1683" s="2241"/>
      <c r="B1683" s="2234"/>
      <c r="C1683" s="2210"/>
      <c r="D1683" s="2234"/>
      <c r="E1683" s="2374"/>
      <c r="F1683" s="2235"/>
      <c r="G1683" s="2235"/>
      <c r="H1683" s="2210"/>
      <c r="I1683" s="2210"/>
      <c r="J1683" s="2210"/>
      <c r="K1683" s="2211"/>
    </row>
    <row r="1684" spans="1:11">
      <c r="A1684" s="2241"/>
      <c r="B1684" s="2234"/>
      <c r="C1684" s="2210"/>
      <c r="D1684" s="2234"/>
      <c r="E1684" s="2374"/>
      <c r="F1684" s="2235"/>
      <c r="G1684" s="2235"/>
      <c r="H1684" s="2210"/>
      <c r="I1684" s="2210"/>
      <c r="J1684" s="2210"/>
      <c r="K1684" s="2211"/>
    </row>
    <row r="1685" spans="1:11">
      <c r="A1685" s="2241"/>
      <c r="B1685" s="2234"/>
      <c r="C1685" s="2210"/>
      <c r="D1685" s="2234"/>
      <c r="E1685" s="2374"/>
      <c r="F1685" s="2235"/>
      <c r="G1685" s="2235"/>
      <c r="H1685" s="2210"/>
      <c r="I1685" s="2210"/>
      <c r="J1685" s="2210"/>
      <c r="K1685" s="2211"/>
    </row>
    <row r="1686" spans="1:11">
      <c r="A1686" s="2241"/>
      <c r="B1686" s="2234"/>
      <c r="C1686" s="2210"/>
      <c r="D1686" s="2234"/>
      <c r="E1686" s="2374"/>
      <c r="F1686" s="2235"/>
      <c r="G1686" s="2235"/>
      <c r="H1686" s="2210"/>
      <c r="I1686" s="2210"/>
      <c r="J1686" s="2210"/>
      <c r="K1686" s="2211"/>
    </row>
    <row r="1687" spans="1:11">
      <c r="A1687" s="2241"/>
      <c r="B1687" s="2234"/>
      <c r="C1687" s="2210"/>
      <c r="D1687" s="2234"/>
      <c r="E1687" s="2374"/>
      <c r="F1687" s="2235"/>
      <c r="G1687" s="2235"/>
      <c r="H1687" s="2210"/>
      <c r="I1687" s="2210"/>
      <c r="J1687" s="2210"/>
      <c r="K1687" s="2211"/>
    </row>
    <row r="1688" spans="1:11">
      <c r="A1688" s="2241"/>
      <c r="B1688" s="2234"/>
      <c r="C1688" s="2210"/>
      <c r="D1688" s="2234"/>
      <c r="E1688" s="2374"/>
      <c r="F1688" s="2235"/>
      <c r="G1688" s="2235"/>
      <c r="H1688" s="2210"/>
      <c r="I1688" s="2210"/>
      <c r="J1688" s="2210"/>
      <c r="K1688" s="2211"/>
    </row>
    <row r="1689" spans="1:11">
      <c r="A1689" s="2241"/>
      <c r="B1689" s="2234"/>
      <c r="C1689" s="2210"/>
      <c r="D1689" s="2234"/>
      <c r="E1689" s="2374"/>
      <c r="F1689" s="2235"/>
      <c r="G1689" s="2235"/>
      <c r="H1689" s="2210"/>
      <c r="I1689" s="2210"/>
      <c r="J1689" s="2210"/>
      <c r="K1689" s="2211"/>
    </row>
    <row r="1690" spans="1:11">
      <c r="A1690" s="2241"/>
      <c r="B1690" s="2234"/>
      <c r="C1690" s="2210"/>
      <c r="D1690" s="2234"/>
      <c r="E1690" s="2374"/>
      <c r="F1690" s="2235"/>
      <c r="G1690" s="2235"/>
      <c r="H1690" s="2210"/>
      <c r="I1690" s="2210"/>
      <c r="J1690" s="2210"/>
      <c r="K1690" s="2211"/>
    </row>
    <row r="1691" spans="1:11">
      <c r="A1691" s="2241"/>
      <c r="B1691" s="2234"/>
      <c r="C1691" s="2210"/>
      <c r="D1691" s="2234"/>
      <c r="E1691" s="2374"/>
      <c r="F1691" s="2235"/>
      <c r="G1691" s="2235"/>
      <c r="H1691" s="2210"/>
      <c r="I1691" s="2210"/>
      <c r="J1691" s="2210"/>
      <c r="K1691" s="2211"/>
    </row>
    <row r="1692" spans="1:11">
      <c r="A1692" s="2241"/>
      <c r="B1692" s="2234"/>
      <c r="C1692" s="2210"/>
      <c r="D1692" s="2234"/>
      <c r="E1692" s="2374"/>
      <c r="F1692" s="2235"/>
      <c r="G1692" s="2235"/>
      <c r="H1692" s="2210"/>
      <c r="I1692" s="2210"/>
      <c r="J1692" s="2210"/>
      <c r="K1692" s="2211"/>
    </row>
    <row r="1693" spans="1:11">
      <c r="A1693" s="2241"/>
      <c r="B1693" s="2234"/>
      <c r="C1693" s="2210"/>
      <c r="D1693" s="2234"/>
      <c r="E1693" s="2374"/>
      <c r="F1693" s="2235"/>
      <c r="G1693" s="2235"/>
      <c r="H1693" s="2210"/>
      <c r="I1693" s="2210"/>
      <c r="J1693" s="2210"/>
      <c r="K1693" s="2211"/>
    </row>
    <row r="1694" spans="1:11">
      <c r="A1694" s="2241"/>
      <c r="B1694" s="2234"/>
      <c r="C1694" s="2210"/>
      <c r="D1694" s="2234"/>
      <c r="E1694" s="2374"/>
      <c r="F1694" s="2235"/>
      <c r="G1694" s="2235"/>
      <c r="H1694" s="2210"/>
      <c r="I1694" s="2210"/>
      <c r="J1694" s="2210"/>
      <c r="K1694" s="2211"/>
    </row>
    <row r="1695" spans="1:11">
      <c r="A1695" s="2241"/>
      <c r="B1695" s="2234"/>
      <c r="C1695" s="2210"/>
      <c r="D1695" s="2234"/>
      <c r="E1695" s="2374"/>
      <c r="F1695" s="2235"/>
      <c r="G1695" s="2235"/>
      <c r="H1695" s="2210"/>
      <c r="I1695" s="2210"/>
      <c r="J1695" s="2210"/>
      <c r="K1695" s="2211"/>
    </row>
    <row r="1696" spans="1:11">
      <c r="A1696" s="2241"/>
      <c r="B1696" s="2234"/>
      <c r="C1696" s="2210"/>
      <c r="D1696" s="2234"/>
      <c r="E1696" s="2374"/>
      <c r="F1696" s="2235"/>
      <c r="G1696" s="2235"/>
      <c r="H1696" s="2210"/>
      <c r="I1696" s="2210"/>
      <c r="J1696" s="2210"/>
      <c r="K1696" s="2211"/>
    </row>
    <row r="1697" spans="1:11">
      <c r="A1697" s="2241"/>
      <c r="B1697" s="2234"/>
      <c r="C1697" s="2210"/>
      <c r="D1697" s="2234"/>
      <c r="E1697" s="2374"/>
      <c r="F1697" s="2235"/>
      <c r="G1697" s="2235"/>
      <c r="H1697" s="2210"/>
      <c r="I1697" s="2210"/>
      <c r="J1697" s="2210"/>
      <c r="K1697" s="2211"/>
    </row>
    <row r="1698" spans="1:11">
      <c r="A1698" s="2241"/>
      <c r="B1698" s="2234"/>
      <c r="C1698" s="2210"/>
      <c r="D1698" s="2234"/>
      <c r="E1698" s="2374"/>
      <c r="F1698" s="2235"/>
      <c r="G1698" s="2235"/>
      <c r="H1698" s="2210"/>
      <c r="I1698" s="2210"/>
      <c r="J1698" s="2210"/>
      <c r="K1698" s="2211"/>
    </row>
    <row r="1699" spans="1:11">
      <c r="A1699" s="2241"/>
      <c r="B1699" s="2234"/>
      <c r="C1699" s="2210"/>
      <c r="D1699" s="2234"/>
      <c r="E1699" s="2374"/>
      <c r="F1699" s="2235"/>
      <c r="G1699" s="2235"/>
      <c r="H1699" s="2210"/>
      <c r="I1699" s="2210"/>
      <c r="J1699" s="2210"/>
      <c r="K1699" s="2211"/>
    </row>
    <row r="1700" spans="1:11">
      <c r="A1700" s="2241"/>
      <c r="B1700" s="2234"/>
      <c r="C1700" s="2210"/>
      <c r="D1700" s="2234"/>
      <c r="E1700" s="2374"/>
      <c r="F1700" s="2235"/>
      <c r="G1700" s="2235"/>
      <c r="H1700" s="2210"/>
      <c r="I1700" s="2210"/>
      <c r="J1700" s="2210"/>
      <c r="K1700" s="2211"/>
    </row>
    <row r="1701" spans="1:11">
      <c r="A1701" s="2241"/>
      <c r="B1701" s="2234"/>
      <c r="C1701" s="2210"/>
      <c r="D1701" s="2234"/>
      <c r="E1701" s="2374"/>
      <c r="F1701" s="2235"/>
      <c r="G1701" s="2235"/>
      <c r="H1701" s="2210"/>
      <c r="I1701" s="2210"/>
      <c r="J1701" s="2210"/>
      <c r="K1701" s="2211"/>
    </row>
    <row r="1702" spans="1:11">
      <c r="A1702" s="2241"/>
      <c r="B1702" s="2234"/>
      <c r="C1702" s="2210"/>
      <c r="D1702" s="2234"/>
      <c r="E1702" s="2374"/>
      <c r="F1702" s="2235"/>
      <c r="G1702" s="2235"/>
      <c r="H1702" s="2210"/>
      <c r="I1702" s="2210"/>
      <c r="J1702" s="2210"/>
      <c r="K1702" s="2211"/>
    </row>
    <row r="1703" spans="1:11">
      <c r="A1703" s="2241"/>
      <c r="B1703" s="2234"/>
      <c r="C1703" s="2210"/>
      <c r="D1703" s="2234"/>
      <c r="E1703" s="2374"/>
      <c r="F1703" s="2235"/>
      <c r="G1703" s="2235"/>
      <c r="H1703" s="2210"/>
      <c r="I1703" s="2210"/>
      <c r="J1703" s="2210"/>
      <c r="K1703" s="2211"/>
    </row>
    <row r="1704" spans="1:11">
      <c r="A1704" s="2241"/>
      <c r="B1704" s="2234"/>
      <c r="C1704" s="2210"/>
      <c r="D1704" s="2234"/>
      <c r="E1704" s="2374"/>
      <c r="F1704" s="2235"/>
      <c r="G1704" s="2235"/>
      <c r="H1704" s="2210"/>
      <c r="I1704" s="2210"/>
      <c r="J1704" s="2210"/>
      <c r="K1704" s="2211"/>
    </row>
    <row r="1705" spans="1:11">
      <c r="A1705" s="2241"/>
      <c r="B1705" s="2234"/>
      <c r="C1705" s="2210"/>
      <c r="D1705" s="2234"/>
      <c r="E1705" s="2374"/>
      <c r="F1705" s="2235"/>
      <c r="G1705" s="2235"/>
      <c r="H1705" s="2210"/>
      <c r="I1705" s="2210"/>
      <c r="J1705" s="2210"/>
      <c r="K1705" s="2211"/>
    </row>
    <row r="1706" spans="1:11">
      <c r="A1706" s="2241"/>
      <c r="B1706" s="2234"/>
      <c r="C1706" s="2210"/>
      <c r="D1706" s="2234"/>
      <c r="E1706" s="2374"/>
      <c r="F1706" s="2235"/>
      <c r="G1706" s="2235"/>
      <c r="H1706" s="2210"/>
      <c r="I1706" s="2210"/>
      <c r="J1706" s="2210"/>
      <c r="K1706" s="2211"/>
    </row>
    <row r="1707" spans="1:11">
      <c r="A1707" s="2241"/>
      <c r="B1707" s="2234"/>
      <c r="C1707" s="2210"/>
      <c r="D1707" s="2234"/>
      <c r="E1707" s="2374"/>
      <c r="F1707" s="2235"/>
      <c r="G1707" s="2235"/>
      <c r="H1707" s="2210"/>
      <c r="I1707" s="2210"/>
      <c r="J1707" s="2210"/>
      <c r="K1707" s="2211"/>
    </row>
    <row r="1708" spans="1:11">
      <c r="A1708" s="2241"/>
      <c r="B1708" s="2234"/>
      <c r="C1708" s="2210"/>
      <c r="D1708" s="2234"/>
      <c r="E1708" s="2374"/>
      <c r="F1708" s="2235"/>
      <c r="G1708" s="2235"/>
      <c r="H1708" s="2210"/>
      <c r="I1708" s="2210"/>
      <c r="J1708" s="2210"/>
      <c r="K1708" s="2211"/>
    </row>
    <row r="1709" spans="1:11">
      <c r="A1709" s="2241"/>
      <c r="B1709" s="2234"/>
      <c r="C1709" s="2210"/>
      <c r="D1709" s="2234"/>
      <c r="E1709" s="2374"/>
      <c r="F1709" s="2235"/>
      <c r="G1709" s="2235"/>
      <c r="H1709" s="2210"/>
      <c r="I1709" s="2210"/>
      <c r="J1709" s="2210"/>
      <c r="K1709" s="2211"/>
    </row>
    <row r="1710" spans="1:11">
      <c r="A1710" s="2241"/>
      <c r="B1710" s="2234"/>
      <c r="C1710" s="2210"/>
      <c r="D1710" s="2234"/>
      <c r="E1710" s="2374"/>
      <c r="F1710" s="2235"/>
      <c r="G1710" s="2235"/>
      <c r="H1710" s="2210"/>
      <c r="I1710" s="2210"/>
      <c r="J1710" s="2210"/>
      <c r="K1710" s="2211"/>
    </row>
    <row r="1711" spans="1:11">
      <c r="A1711" s="2241"/>
      <c r="B1711" s="2234"/>
      <c r="C1711" s="2210"/>
      <c r="D1711" s="2234"/>
      <c r="E1711" s="2374"/>
      <c r="F1711" s="2235"/>
      <c r="G1711" s="2235"/>
      <c r="H1711" s="2210"/>
      <c r="I1711" s="2210"/>
      <c r="J1711" s="2210"/>
      <c r="K1711" s="2211"/>
    </row>
    <row r="1712" spans="1:11">
      <c r="A1712" s="2241"/>
      <c r="B1712" s="2234"/>
      <c r="C1712" s="2210"/>
      <c r="D1712" s="2234"/>
      <c r="E1712" s="2374"/>
      <c r="F1712" s="2235"/>
      <c r="G1712" s="2235"/>
      <c r="H1712" s="2210"/>
      <c r="I1712" s="2210"/>
      <c r="J1712" s="2210"/>
      <c r="K1712" s="2211"/>
    </row>
    <row r="1713" spans="1:11">
      <c r="A1713" s="2241"/>
      <c r="B1713" s="2234"/>
      <c r="C1713" s="2210"/>
      <c r="D1713" s="2234"/>
      <c r="E1713" s="2374"/>
      <c r="F1713" s="2235"/>
      <c r="G1713" s="2235"/>
      <c r="H1713" s="2210"/>
      <c r="I1713" s="2210"/>
      <c r="J1713" s="2210"/>
      <c r="K1713" s="2211"/>
    </row>
    <row r="1714" spans="1:11">
      <c r="A1714" s="2241"/>
      <c r="B1714" s="2234"/>
      <c r="C1714" s="2210"/>
      <c r="D1714" s="2234"/>
      <c r="E1714" s="2374"/>
      <c r="F1714" s="2235"/>
      <c r="G1714" s="2235"/>
      <c r="H1714" s="2210"/>
      <c r="I1714" s="2210"/>
      <c r="J1714" s="2210"/>
      <c r="K1714" s="2211"/>
    </row>
    <row r="1715" spans="1:11">
      <c r="A1715" s="2241"/>
      <c r="B1715" s="2234"/>
      <c r="C1715" s="2210"/>
      <c r="D1715" s="2234"/>
      <c r="E1715" s="2374"/>
      <c r="F1715" s="2235"/>
      <c r="G1715" s="2235"/>
      <c r="H1715" s="2210"/>
      <c r="I1715" s="2210"/>
      <c r="J1715" s="2210"/>
      <c r="K1715" s="2211"/>
    </row>
    <row r="1716" spans="1:11">
      <c r="A1716" s="2241"/>
      <c r="B1716" s="2234"/>
      <c r="C1716" s="2210"/>
      <c r="D1716" s="2234"/>
      <c r="E1716" s="2374"/>
      <c r="F1716" s="2235"/>
      <c r="G1716" s="2235"/>
      <c r="H1716" s="2210"/>
      <c r="I1716" s="2210"/>
      <c r="J1716" s="2210"/>
      <c r="K1716" s="2211"/>
    </row>
    <row r="1717" spans="1:11">
      <c r="A1717" s="2241"/>
      <c r="B1717" s="2234"/>
      <c r="C1717" s="2210"/>
      <c r="D1717" s="2234"/>
      <c r="E1717" s="2374"/>
      <c r="F1717" s="2235"/>
      <c r="G1717" s="2235"/>
      <c r="H1717" s="2210"/>
      <c r="I1717" s="2210"/>
      <c r="J1717" s="2210"/>
      <c r="K1717" s="2211"/>
    </row>
    <row r="1718" spans="1:11">
      <c r="A1718" s="2241"/>
      <c r="B1718" s="2234"/>
      <c r="C1718" s="2210"/>
      <c r="D1718" s="2234"/>
      <c r="E1718" s="2374"/>
      <c r="F1718" s="2235"/>
      <c r="G1718" s="2235"/>
      <c r="H1718" s="2210"/>
      <c r="I1718" s="2210"/>
      <c r="J1718" s="2210"/>
      <c r="K1718" s="2211"/>
    </row>
    <row r="1719" spans="1:11">
      <c r="A1719" s="2241"/>
      <c r="B1719" s="2234"/>
      <c r="C1719" s="2210"/>
      <c r="D1719" s="2234"/>
      <c r="E1719" s="2374"/>
      <c r="F1719" s="2235"/>
      <c r="G1719" s="2235"/>
      <c r="H1719" s="2210"/>
      <c r="I1719" s="2210"/>
      <c r="J1719" s="2210"/>
      <c r="K1719" s="2211"/>
    </row>
    <row r="1720" spans="1:11">
      <c r="A1720" s="2241"/>
      <c r="B1720" s="2234"/>
      <c r="C1720" s="2210"/>
      <c r="D1720" s="2234"/>
      <c r="E1720" s="2374"/>
      <c r="F1720" s="2235"/>
      <c r="G1720" s="2235"/>
      <c r="H1720" s="2210"/>
      <c r="I1720" s="2210"/>
      <c r="J1720" s="2210"/>
      <c r="K1720" s="2211"/>
    </row>
    <row r="1721" spans="1:11">
      <c r="A1721" s="2241"/>
      <c r="B1721" s="2234"/>
      <c r="C1721" s="2210"/>
      <c r="D1721" s="2234"/>
      <c r="E1721" s="2374"/>
      <c r="F1721" s="2235"/>
      <c r="G1721" s="2235"/>
      <c r="H1721" s="2210"/>
      <c r="I1721" s="2210"/>
      <c r="J1721" s="2210"/>
      <c r="K1721" s="2211"/>
    </row>
    <row r="1722" spans="1:11">
      <c r="A1722" s="2241"/>
      <c r="B1722" s="2234"/>
      <c r="C1722" s="2210"/>
      <c r="D1722" s="2234"/>
      <c r="E1722" s="2374"/>
      <c r="F1722" s="2235"/>
      <c r="G1722" s="2235"/>
      <c r="H1722" s="2210"/>
      <c r="I1722" s="2210"/>
      <c r="J1722" s="2210"/>
      <c r="K1722" s="2211"/>
    </row>
    <row r="1723" spans="1:11">
      <c r="A1723" s="2241"/>
      <c r="B1723" s="2234"/>
      <c r="C1723" s="2210"/>
      <c r="D1723" s="2234"/>
      <c r="E1723" s="2374"/>
      <c r="F1723" s="2235"/>
      <c r="G1723" s="2235"/>
      <c r="H1723" s="2210"/>
      <c r="I1723" s="2210"/>
      <c r="J1723" s="2210"/>
      <c r="K1723" s="2211"/>
    </row>
    <row r="1724" spans="1:11">
      <c r="A1724" s="2241"/>
      <c r="B1724" s="2234"/>
      <c r="C1724" s="2210"/>
      <c r="D1724" s="2234"/>
      <c r="E1724" s="2374"/>
      <c r="F1724" s="2235"/>
      <c r="G1724" s="2235"/>
      <c r="H1724" s="2210"/>
      <c r="I1724" s="2210"/>
      <c r="J1724" s="2210"/>
      <c r="K1724" s="2211"/>
    </row>
    <row r="1725" spans="1:11">
      <c r="A1725" s="2241"/>
      <c r="B1725" s="2234"/>
      <c r="C1725" s="2210"/>
      <c r="D1725" s="2234"/>
      <c r="E1725" s="2374"/>
      <c r="F1725" s="2235"/>
      <c r="G1725" s="2235"/>
      <c r="H1725" s="2210"/>
      <c r="I1725" s="2210"/>
      <c r="J1725" s="2210"/>
      <c r="K1725" s="2211"/>
    </row>
    <row r="1726" spans="1:11">
      <c r="A1726" s="2241"/>
      <c r="B1726" s="2234"/>
      <c r="C1726" s="2210"/>
      <c r="D1726" s="2234"/>
      <c r="E1726" s="2374"/>
      <c r="F1726" s="2235"/>
      <c r="G1726" s="2235"/>
      <c r="H1726" s="2210"/>
      <c r="I1726" s="2210"/>
      <c r="J1726" s="2210"/>
      <c r="K1726" s="2211"/>
    </row>
    <row r="1727" spans="1:11">
      <c r="A1727" s="2241"/>
      <c r="B1727" s="2234"/>
      <c r="C1727" s="2210"/>
      <c r="D1727" s="2234"/>
      <c r="E1727" s="2374"/>
      <c r="F1727" s="2235"/>
      <c r="G1727" s="2235"/>
      <c r="H1727" s="2210"/>
      <c r="I1727" s="2210"/>
      <c r="J1727" s="2210"/>
      <c r="K1727" s="2211"/>
    </row>
    <row r="1728" spans="1:11">
      <c r="A1728" s="2241"/>
      <c r="B1728" s="2234"/>
      <c r="C1728" s="2210"/>
      <c r="D1728" s="2234"/>
      <c r="E1728" s="2374"/>
      <c r="F1728" s="2235"/>
      <c r="G1728" s="2235"/>
      <c r="H1728" s="2210"/>
      <c r="I1728" s="2210"/>
      <c r="J1728" s="2210"/>
      <c r="K1728" s="2211"/>
    </row>
    <row r="1729" spans="1:11">
      <c r="A1729" s="2241"/>
      <c r="B1729" s="2234"/>
      <c r="C1729" s="2210"/>
      <c r="D1729" s="2234"/>
      <c r="E1729" s="2374"/>
      <c r="F1729" s="2235"/>
      <c r="G1729" s="2235"/>
      <c r="H1729" s="2210"/>
      <c r="I1729" s="2210"/>
      <c r="J1729" s="2210"/>
      <c r="K1729" s="2211"/>
    </row>
    <row r="1730" spans="1:11">
      <c r="A1730" s="2241"/>
      <c r="B1730" s="2234"/>
      <c r="C1730" s="2210"/>
      <c r="D1730" s="2234"/>
      <c r="E1730" s="2374"/>
      <c r="F1730" s="2235"/>
      <c r="G1730" s="2235"/>
      <c r="H1730" s="2210"/>
      <c r="I1730" s="2210"/>
      <c r="J1730" s="2210"/>
      <c r="K1730" s="2211"/>
    </row>
    <row r="1731" spans="1:11">
      <c r="A1731" s="2241"/>
      <c r="B1731" s="2234"/>
      <c r="C1731" s="2210"/>
      <c r="D1731" s="2234"/>
      <c r="E1731" s="2374"/>
      <c r="F1731" s="2235"/>
      <c r="G1731" s="2235"/>
      <c r="H1731" s="2210"/>
      <c r="I1731" s="2210"/>
      <c r="J1731" s="2210"/>
      <c r="K1731" s="2211"/>
    </row>
    <row r="1732" spans="1:11">
      <c r="A1732" s="2241"/>
      <c r="B1732" s="2234"/>
      <c r="C1732" s="2210"/>
      <c r="D1732" s="2234"/>
      <c r="E1732" s="2374"/>
      <c r="F1732" s="2235"/>
      <c r="G1732" s="2235"/>
      <c r="H1732" s="2210"/>
      <c r="I1732" s="2210"/>
      <c r="J1732" s="2210"/>
      <c r="K1732" s="2211"/>
    </row>
    <row r="1733" spans="1:11">
      <c r="A1733" s="2241"/>
      <c r="B1733" s="2234"/>
      <c r="C1733" s="2210"/>
      <c r="D1733" s="2234"/>
      <c r="E1733" s="2374"/>
      <c r="F1733" s="2235"/>
      <c r="G1733" s="2235"/>
      <c r="H1733" s="2210"/>
      <c r="I1733" s="2210"/>
      <c r="J1733" s="2210"/>
      <c r="K1733" s="2211"/>
    </row>
    <row r="1734" spans="1:11">
      <c r="A1734" s="2241"/>
      <c r="B1734" s="2234"/>
      <c r="C1734" s="2210"/>
      <c r="D1734" s="2234"/>
      <c r="E1734" s="2374"/>
      <c r="F1734" s="2235"/>
      <c r="G1734" s="2235"/>
      <c r="H1734" s="2210"/>
      <c r="I1734" s="2210"/>
      <c r="J1734" s="2210"/>
      <c r="K1734" s="2211"/>
    </row>
    <row r="1735" spans="1:11">
      <c r="A1735" s="2241"/>
      <c r="B1735" s="2234"/>
      <c r="C1735" s="2210"/>
      <c r="D1735" s="2234"/>
      <c r="E1735" s="2374"/>
      <c r="F1735" s="2235"/>
      <c r="G1735" s="2235"/>
      <c r="H1735" s="2210"/>
      <c r="I1735" s="2210"/>
      <c r="J1735" s="2210"/>
      <c r="K1735" s="2211"/>
    </row>
    <row r="1736" spans="1:11">
      <c r="A1736" s="2241"/>
      <c r="B1736" s="2234"/>
      <c r="C1736" s="2210"/>
      <c r="D1736" s="2234"/>
      <c r="E1736" s="2374"/>
      <c r="F1736" s="2235"/>
      <c r="G1736" s="2235"/>
      <c r="H1736" s="2210"/>
      <c r="I1736" s="2210"/>
      <c r="J1736" s="2210"/>
      <c r="K1736" s="2211"/>
    </row>
    <row r="1737" spans="1:11">
      <c r="A1737" s="2241"/>
      <c r="B1737" s="2234"/>
      <c r="C1737" s="2210"/>
      <c r="D1737" s="2234"/>
      <c r="E1737" s="2374"/>
      <c r="F1737" s="2235"/>
      <c r="G1737" s="2235"/>
      <c r="H1737" s="2210"/>
      <c r="I1737" s="2210"/>
      <c r="J1737" s="2210"/>
      <c r="K1737" s="2211"/>
    </row>
    <row r="1738" spans="1:11">
      <c r="A1738" s="2241"/>
      <c r="B1738" s="2234"/>
      <c r="C1738" s="2210"/>
      <c r="D1738" s="2234"/>
      <c r="E1738" s="2374"/>
      <c r="F1738" s="2235"/>
      <c r="G1738" s="2235"/>
      <c r="H1738" s="2210"/>
      <c r="I1738" s="2210"/>
      <c r="J1738" s="2210"/>
      <c r="K1738" s="2211"/>
    </row>
    <row r="1739" spans="1:11">
      <c r="A1739" s="2241"/>
      <c r="B1739" s="2234"/>
      <c r="C1739" s="2210"/>
      <c r="D1739" s="2234"/>
      <c r="E1739" s="2374"/>
      <c r="F1739" s="2235"/>
      <c r="G1739" s="2235"/>
      <c r="H1739" s="2210"/>
      <c r="I1739" s="2210"/>
      <c r="J1739" s="2210"/>
      <c r="K1739" s="2211"/>
    </row>
    <row r="1740" spans="1:11">
      <c r="A1740" s="2241"/>
      <c r="B1740" s="2234"/>
      <c r="C1740" s="2210"/>
      <c r="D1740" s="2234"/>
      <c r="E1740" s="2374"/>
      <c r="F1740" s="2235"/>
      <c r="G1740" s="2235"/>
      <c r="H1740" s="2210"/>
      <c r="I1740" s="2210"/>
      <c r="J1740" s="2210"/>
      <c r="K1740" s="2211"/>
    </row>
    <row r="1741" spans="1:11">
      <c r="A1741" s="2241"/>
      <c r="B1741" s="2234"/>
      <c r="C1741" s="2210"/>
      <c r="D1741" s="2234"/>
      <c r="E1741" s="2374"/>
      <c r="F1741" s="2235"/>
      <c r="G1741" s="2235"/>
      <c r="H1741" s="2210"/>
      <c r="I1741" s="2210"/>
      <c r="J1741" s="2210"/>
      <c r="K1741" s="2211"/>
    </row>
    <row r="1742" spans="1:11">
      <c r="A1742" s="2241"/>
      <c r="B1742" s="2234"/>
      <c r="C1742" s="2210"/>
      <c r="D1742" s="2234"/>
      <c r="E1742" s="2374"/>
      <c r="F1742" s="2235"/>
      <c r="G1742" s="2235"/>
      <c r="H1742" s="2210"/>
      <c r="I1742" s="2210"/>
      <c r="J1742" s="2210"/>
      <c r="K1742" s="2211"/>
    </row>
    <row r="1743" spans="1:11">
      <c r="A1743" s="2241"/>
      <c r="B1743" s="2234"/>
      <c r="C1743" s="2210"/>
      <c r="D1743" s="2234"/>
      <c r="E1743" s="2374"/>
      <c r="F1743" s="2235"/>
      <c r="G1743" s="2235"/>
      <c r="H1743" s="2210"/>
      <c r="I1743" s="2210"/>
      <c r="J1743" s="2210"/>
      <c r="K1743" s="2211"/>
    </row>
    <row r="1744" spans="1:11">
      <c r="A1744" s="2241"/>
      <c r="B1744" s="2234"/>
      <c r="C1744" s="2210"/>
      <c r="D1744" s="2234"/>
      <c r="E1744" s="2374"/>
      <c r="F1744" s="2235"/>
      <c r="G1744" s="2235"/>
      <c r="H1744" s="2210"/>
      <c r="I1744" s="2210"/>
      <c r="J1744" s="2210"/>
      <c r="K1744" s="2211"/>
    </row>
    <row r="1745" spans="1:11">
      <c r="A1745" s="2241"/>
      <c r="B1745" s="2234"/>
      <c r="C1745" s="2210"/>
      <c r="D1745" s="2234"/>
      <c r="E1745" s="2374"/>
      <c r="F1745" s="2235"/>
      <c r="G1745" s="2235"/>
      <c r="H1745" s="2210"/>
      <c r="I1745" s="2210"/>
      <c r="J1745" s="2210"/>
      <c r="K1745" s="2211"/>
    </row>
    <row r="1746" spans="1:11">
      <c r="A1746" s="2241"/>
      <c r="B1746" s="2234"/>
      <c r="C1746" s="2210"/>
      <c r="D1746" s="2234"/>
      <c r="E1746" s="2374"/>
      <c r="F1746" s="2235"/>
      <c r="G1746" s="2235"/>
      <c r="H1746" s="2210"/>
      <c r="I1746" s="2210"/>
      <c r="J1746" s="2210"/>
      <c r="K1746" s="2211"/>
    </row>
    <row r="1747" spans="1:11">
      <c r="A1747" s="2241"/>
      <c r="B1747" s="2234"/>
      <c r="C1747" s="2210"/>
      <c r="D1747" s="2234"/>
      <c r="E1747" s="2374"/>
      <c r="F1747" s="2235"/>
      <c r="G1747" s="2235"/>
      <c r="H1747" s="2210"/>
      <c r="I1747" s="2210"/>
      <c r="J1747" s="2210"/>
      <c r="K1747" s="2211"/>
    </row>
    <row r="1748" spans="1:11">
      <c r="A1748" s="2241"/>
      <c r="B1748" s="2234"/>
      <c r="C1748" s="2210"/>
      <c r="D1748" s="2234"/>
      <c r="E1748" s="2374"/>
      <c r="F1748" s="2235"/>
      <c r="G1748" s="2235"/>
      <c r="H1748" s="2210"/>
      <c r="I1748" s="2210"/>
      <c r="J1748" s="2210"/>
      <c r="K1748" s="2211"/>
    </row>
    <row r="1749" spans="1:11">
      <c r="A1749" s="2241"/>
      <c r="B1749" s="2234"/>
      <c r="C1749" s="2210"/>
      <c r="D1749" s="2234"/>
      <c r="E1749" s="2374"/>
      <c r="F1749" s="2235"/>
      <c r="G1749" s="2235"/>
      <c r="H1749" s="2210"/>
      <c r="I1749" s="2210"/>
      <c r="J1749" s="2210"/>
      <c r="K1749" s="2211"/>
    </row>
    <row r="1750" spans="1:11">
      <c r="A1750" s="2241"/>
      <c r="B1750" s="2234"/>
      <c r="C1750" s="2210"/>
      <c r="D1750" s="2234"/>
      <c r="E1750" s="2374"/>
      <c r="F1750" s="2235"/>
      <c r="G1750" s="2235"/>
      <c r="H1750" s="2210"/>
      <c r="I1750" s="2210"/>
      <c r="J1750" s="2210"/>
      <c r="K1750" s="2211"/>
    </row>
    <row r="1751" spans="1:11">
      <c r="A1751" s="2241"/>
      <c r="B1751" s="2234"/>
      <c r="C1751" s="2210"/>
      <c r="D1751" s="2234"/>
      <c r="E1751" s="2374"/>
      <c r="F1751" s="2235"/>
      <c r="G1751" s="2235"/>
      <c r="H1751" s="2210"/>
      <c r="I1751" s="2210"/>
      <c r="J1751" s="2210"/>
      <c r="K1751" s="2211"/>
    </row>
    <row r="1752" spans="1:11">
      <c r="A1752" s="2241"/>
      <c r="B1752" s="2234"/>
      <c r="C1752" s="2210"/>
      <c r="D1752" s="2234"/>
      <c r="E1752" s="2374"/>
      <c r="F1752" s="2235"/>
      <c r="G1752" s="2235"/>
      <c r="H1752" s="2210"/>
      <c r="I1752" s="2210"/>
      <c r="J1752" s="2210"/>
      <c r="K1752" s="2211"/>
    </row>
    <row r="1753" spans="1:11">
      <c r="A1753" s="2241"/>
      <c r="B1753" s="2234"/>
      <c r="C1753" s="2210"/>
      <c r="D1753" s="2234"/>
      <c r="E1753" s="2374"/>
      <c r="F1753" s="2235"/>
      <c r="G1753" s="2235"/>
      <c r="H1753" s="2210"/>
      <c r="I1753" s="2210"/>
      <c r="J1753" s="2210"/>
      <c r="K1753" s="2211"/>
    </row>
    <row r="1754" spans="1:11">
      <c r="A1754" s="2241"/>
      <c r="B1754" s="2234"/>
      <c r="C1754" s="2210"/>
      <c r="D1754" s="2234"/>
      <c r="E1754" s="2374"/>
      <c r="F1754" s="2235"/>
      <c r="G1754" s="2235"/>
      <c r="H1754" s="2210"/>
      <c r="I1754" s="2210"/>
      <c r="J1754" s="2210"/>
      <c r="K1754" s="2211"/>
    </row>
    <row r="1755" spans="1:11">
      <c r="A1755" s="2241"/>
      <c r="B1755" s="2234"/>
      <c r="C1755" s="2210"/>
      <c r="D1755" s="2234"/>
      <c r="E1755" s="2374"/>
      <c r="F1755" s="2235"/>
      <c r="G1755" s="2235"/>
      <c r="H1755" s="2210"/>
      <c r="I1755" s="2210"/>
      <c r="J1755" s="2210"/>
      <c r="K1755" s="2211"/>
    </row>
    <row r="1756" spans="1:11">
      <c r="A1756" s="2241"/>
      <c r="B1756" s="2234"/>
      <c r="C1756" s="2210"/>
      <c r="D1756" s="2234"/>
      <c r="E1756" s="2374"/>
      <c r="F1756" s="2235"/>
      <c r="G1756" s="2235"/>
      <c r="H1756" s="2210"/>
      <c r="I1756" s="2210"/>
      <c r="J1756" s="2210"/>
      <c r="K1756" s="2211"/>
    </row>
    <row r="1757" spans="1:11">
      <c r="A1757" s="2241"/>
      <c r="B1757" s="2234"/>
      <c r="C1757" s="2210"/>
      <c r="D1757" s="2234"/>
      <c r="E1757" s="2374"/>
      <c r="F1757" s="2235"/>
      <c r="G1757" s="2235"/>
      <c r="H1757" s="2210"/>
      <c r="I1757" s="2210"/>
      <c r="J1757" s="2210"/>
      <c r="K1757" s="2211"/>
    </row>
    <row r="1758" spans="1:11">
      <c r="A1758" s="2241"/>
      <c r="B1758" s="2234"/>
      <c r="C1758" s="2210"/>
      <c r="D1758" s="2234"/>
      <c r="E1758" s="2374"/>
      <c r="F1758" s="2235"/>
      <c r="G1758" s="2235"/>
      <c r="H1758" s="2210"/>
      <c r="I1758" s="2210"/>
      <c r="J1758" s="2210"/>
      <c r="K1758" s="2211"/>
    </row>
    <row r="1759" spans="1:11">
      <c r="A1759" s="2241"/>
      <c r="B1759" s="2234"/>
      <c r="C1759" s="2210"/>
      <c r="D1759" s="2234"/>
      <c r="E1759" s="2374"/>
      <c r="F1759" s="2235"/>
      <c r="G1759" s="2235"/>
      <c r="H1759" s="2210"/>
      <c r="I1759" s="2210"/>
      <c r="J1759" s="2210"/>
      <c r="K1759" s="2211"/>
    </row>
    <row r="1760" spans="1:11">
      <c r="A1760" s="2241"/>
      <c r="B1760" s="2234"/>
      <c r="C1760" s="2210"/>
      <c r="D1760" s="2234"/>
      <c r="E1760" s="2374"/>
      <c r="F1760" s="2235"/>
      <c r="G1760" s="2235"/>
      <c r="H1760" s="2210"/>
      <c r="I1760" s="2210"/>
      <c r="J1760" s="2210"/>
      <c r="K1760" s="2211"/>
    </row>
    <row r="1761" spans="1:11">
      <c r="A1761" s="2241"/>
      <c r="B1761" s="2234"/>
      <c r="C1761" s="2210"/>
      <c r="D1761" s="2234"/>
      <c r="E1761" s="2374"/>
      <c r="F1761" s="2235"/>
      <c r="G1761" s="2235"/>
      <c r="H1761" s="2210"/>
      <c r="I1761" s="2210"/>
      <c r="J1761" s="2210"/>
      <c r="K1761" s="2211"/>
    </row>
    <row r="1762" spans="1:11">
      <c r="A1762" s="2241"/>
      <c r="B1762" s="2234"/>
      <c r="C1762" s="2210"/>
      <c r="D1762" s="2234"/>
      <c r="E1762" s="2374"/>
      <c r="F1762" s="2235"/>
      <c r="G1762" s="2235"/>
      <c r="H1762" s="2210"/>
      <c r="I1762" s="2210"/>
      <c r="J1762" s="2210"/>
      <c r="K1762" s="2211"/>
    </row>
    <row r="1763" spans="1:11">
      <c r="A1763" s="2241"/>
      <c r="B1763" s="2234"/>
      <c r="C1763" s="2210"/>
      <c r="D1763" s="2234"/>
      <c r="E1763" s="2374"/>
      <c r="F1763" s="2235"/>
      <c r="G1763" s="2235"/>
      <c r="H1763" s="2210"/>
      <c r="I1763" s="2210"/>
      <c r="J1763" s="2210"/>
      <c r="K1763" s="2211"/>
    </row>
    <row r="1764" spans="1:11">
      <c r="A1764" s="2241"/>
      <c r="B1764" s="2234"/>
      <c r="C1764" s="2210"/>
      <c r="D1764" s="2234"/>
      <c r="E1764" s="2374"/>
      <c r="F1764" s="2235"/>
      <c r="G1764" s="2235"/>
      <c r="H1764" s="2210"/>
      <c r="I1764" s="2210"/>
      <c r="J1764" s="2210"/>
      <c r="K1764" s="2211"/>
    </row>
    <row r="1765" spans="1:11">
      <c r="A1765" s="2241"/>
      <c r="B1765" s="2234"/>
      <c r="C1765" s="2210"/>
      <c r="D1765" s="2234"/>
      <c r="E1765" s="2374"/>
      <c r="F1765" s="2235"/>
      <c r="G1765" s="2235"/>
      <c r="H1765" s="2210"/>
      <c r="I1765" s="2210"/>
      <c r="J1765" s="2210"/>
      <c r="K1765" s="2211"/>
    </row>
    <row r="1766" spans="1:11">
      <c r="A1766" s="2241"/>
      <c r="B1766" s="2234"/>
      <c r="C1766" s="2210"/>
      <c r="D1766" s="2234"/>
      <c r="E1766" s="2374"/>
      <c r="F1766" s="2235"/>
      <c r="G1766" s="2235"/>
      <c r="H1766" s="2210"/>
      <c r="I1766" s="2210"/>
      <c r="J1766" s="2210"/>
      <c r="K1766" s="2211"/>
    </row>
    <row r="1767" spans="1:11">
      <c r="A1767" s="2241"/>
      <c r="B1767" s="2234"/>
      <c r="C1767" s="2210"/>
      <c r="D1767" s="2234"/>
      <c r="E1767" s="2374"/>
      <c r="F1767" s="2235"/>
      <c r="G1767" s="2235"/>
      <c r="H1767" s="2210"/>
      <c r="I1767" s="2210"/>
      <c r="J1767" s="2210"/>
      <c r="K1767" s="2211"/>
    </row>
    <row r="1768" spans="1:11">
      <c r="A1768" s="2241"/>
      <c r="B1768" s="2234"/>
      <c r="C1768" s="2210"/>
      <c r="D1768" s="2234"/>
      <c r="E1768" s="2374"/>
      <c r="F1768" s="2235"/>
      <c r="G1768" s="2235"/>
      <c r="H1768" s="2210"/>
      <c r="I1768" s="2210"/>
      <c r="J1768" s="2210"/>
      <c r="K1768" s="2211"/>
    </row>
    <row r="1769" spans="1:11">
      <c r="A1769" s="2241"/>
      <c r="B1769" s="2234"/>
      <c r="C1769" s="2210"/>
      <c r="D1769" s="2234"/>
      <c r="E1769" s="2374"/>
      <c r="F1769" s="2235"/>
      <c r="G1769" s="2235"/>
      <c r="H1769" s="2210"/>
      <c r="I1769" s="2210"/>
      <c r="J1769" s="2210"/>
      <c r="K1769" s="2211"/>
    </row>
    <row r="1770" spans="1:11">
      <c r="A1770" s="2241"/>
      <c r="B1770" s="2234"/>
      <c r="C1770" s="2210"/>
      <c r="D1770" s="2234"/>
      <c r="E1770" s="2374"/>
      <c r="F1770" s="2235"/>
      <c r="G1770" s="2235"/>
      <c r="H1770" s="2210"/>
      <c r="I1770" s="2210"/>
      <c r="J1770" s="2210"/>
      <c r="K1770" s="2211"/>
    </row>
    <row r="1771" spans="1:11">
      <c r="A1771" s="2241"/>
      <c r="B1771" s="2234"/>
      <c r="C1771" s="2210"/>
      <c r="D1771" s="2234"/>
      <c r="E1771" s="2374"/>
      <c r="F1771" s="2235"/>
      <c r="G1771" s="2235"/>
      <c r="H1771" s="2210"/>
      <c r="I1771" s="2210"/>
      <c r="J1771" s="2210"/>
      <c r="K1771" s="2211"/>
    </row>
    <row r="1772" spans="1:11">
      <c r="A1772" s="2241"/>
      <c r="B1772" s="2234"/>
      <c r="C1772" s="2210"/>
      <c r="D1772" s="2234"/>
      <c r="E1772" s="2374"/>
      <c r="F1772" s="2235"/>
      <c r="G1772" s="2235"/>
      <c r="H1772" s="2210"/>
      <c r="I1772" s="2210"/>
      <c r="J1772" s="2210"/>
      <c r="K1772" s="2211"/>
    </row>
    <row r="1773" spans="1:11">
      <c r="A1773" s="2241"/>
      <c r="B1773" s="2234"/>
      <c r="C1773" s="2210"/>
      <c r="D1773" s="2234"/>
      <c r="E1773" s="2374"/>
      <c r="F1773" s="2235"/>
      <c r="G1773" s="2235"/>
      <c r="H1773" s="2210"/>
      <c r="I1773" s="2210"/>
      <c r="J1773" s="2210"/>
      <c r="K1773" s="2211"/>
    </row>
    <row r="1774" spans="1:11">
      <c r="A1774" s="2241"/>
      <c r="B1774" s="2234"/>
      <c r="C1774" s="2210"/>
      <c r="D1774" s="2234"/>
      <c r="E1774" s="2374"/>
      <c r="F1774" s="2235"/>
      <c r="G1774" s="2235"/>
      <c r="H1774" s="2210"/>
      <c r="I1774" s="2210"/>
      <c r="J1774" s="2210"/>
      <c r="K1774" s="2211"/>
    </row>
    <row r="1775" spans="1:11">
      <c r="A1775" s="2241"/>
      <c r="B1775" s="2234"/>
      <c r="C1775" s="2210"/>
      <c r="D1775" s="2234"/>
      <c r="E1775" s="2374"/>
      <c r="F1775" s="2235"/>
      <c r="G1775" s="2235"/>
      <c r="H1775" s="2210"/>
      <c r="I1775" s="2210"/>
      <c r="J1775" s="2210"/>
      <c r="K1775" s="2211"/>
    </row>
    <row r="1776" spans="1:11">
      <c r="A1776" s="2241"/>
      <c r="B1776" s="2234"/>
      <c r="C1776" s="2210"/>
      <c r="D1776" s="2234"/>
      <c r="E1776" s="2374"/>
      <c r="F1776" s="2235"/>
      <c r="G1776" s="2235"/>
      <c r="H1776" s="2210"/>
      <c r="I1776" s="2210"/>
      <c r="J1776" s="2210"/>
      <c r="K1776" s="2211"/>
    </row>
    <row r="1777" spans="1:11">
      <c r="A1777" s="2241"/>
      <c r="B1777" s="2234"/>
      <c r="C1777" s="2210"/>
      <c r="D1777" s="2234"/>
      <c r="E1777" s="2374"/>
      <c r="F1777" s="2235"/>
      <c r="G1777" s="2235"/>
      <c r="H1777" s="2210"/>
      <c r="I1777" s="2210"/>
      <c r="J1777" s="2210"/>
      <c r="K1777" s="2211"/>
    </row>
    <row r="1778" spans="1:11">
      <c r="A1778" s="2241"/>
      <c r="B1778" s="2234"/>
      <c r="C1778" s="2210"/>
      <c r="D1778" s="2234"/>
      <c r="E1778" s="2374"/>
      <c r="F1778" s="2235"/>
      <c r="G1778" s="2235"/>
      <c r="H1778" s="2210"/>
      <c r="I1778" s="2210"/>
      <c r="J1778" s="2210"/>
      <c r="K1778" s="2211"/>
    </row>
    <row r="1779" spans="1:11">
      <c r="A1779" s="2241"/>
      <c r="B1779" s="2234"/>
      <c r="C1779" s="2210"/>
      <c r="D1779" s="2234"/>
      <c r="E1779" s="2374"/>
      <c r="F1779" s="2235"/>
      <c r="G1779" s="2235"/>
      <c r="H1779" s="2210"/>
      <c r="I1779" s="2210"/>
      <c r="J1779" s="2210"/>
      <c r="K1779" s="2211"/>
    </row>
    <row r="1780" spans="1:11">
      <c r="A1780" s="2241"/>
      <c r="B1780" s="2234"/>
      <c r="C1780" s="2210"/>
      <c r="D1780" s="2234"/>
      <c r="E1780" s="2374"/>
      <c r="F1780" s="2235"/>
      <c r="G1780" s="2235"/>
      <c r="H1780" s="2210"/>
      <c r="I1780" s="2210"/>
      <c r="J1780" s="2210"/>
      <c r="K1780" s="2211"/>
    </row>
    <row r="1781" spans="1:11">
      <c r="A1781" s="2241"/>
      <c r="B1781" s="2234"/>
      <c r="C1781" s="2210"/>
      <c r="D1781" s="2234"/>
      <c r="E1781" s="2374"/>
      <c r="F1781" s="2235"/>
      <c r="G1781" s="2235"/>
      <c r="H1781" s="2210"/>
      <c r="I1781" s="2210"/>
      <c r="J1781" s="2210"/>
      <c r="K1781" s="2211"/>
    </row>
    <row r="1782" spans="1:11">
      <c r="A1782" s="2241"/>
      <c r="B1782" s="2234"/>
      <c r="C1782" s="2210"/>
      <c r="D1782" s="2234"/>
      <c r="E1782" s="2374"/>
      <c r="F1782" s="2235"/>
      <c r="G1782" s="2235"/>
      <c r="H1782" s="2210"/>
      <c r="I1782" s="2210"/>
      <c r="J1782" s="2210"/>
      <c r="K1782" s="2211"/>
    </row>
    <row r="1783" spans="1:11">
      <c r="A1783" s="2241"/>
      <c r="B1783" s="2234"/>
      <c r="C1783" s="2210"/>
      <c r="D1783" s="2234"/>
      <c r="E1783" s="2374"/>
      <c r="F1783" s="2235"/>
      <c r="G1783" s="2235"/>
      <c r="H1783" s="2210"/>
      <c r="I1783" s="2210"/>
      <c r="J1783" s="2210"/>
      <c r="K1783" s="2211"/>
    </row>
    <row r="1784" spans="1:11">
      <c r="A1784" s="2241"/>
      <c r="B1784" s="2234"/>
      <c r="C1784" s="2210"/>
      <c r="D1784" s="2234"/>
      <c r="E1784" s="2374"/>
      <c r="F1784" s="2235"/>
      <c r="G1784" s="2235"/>
      <c r="H1784" s="2210"/>
      <c r="I1784" s="2210"/>
      <c r="J1784" s="2210"/>
      <c r="K1784" s="2211"/>
    </row>
    <row r="1785" spans="1:11">
      <c r="A1785" s="2241"/>
      <c r="B1785" s="2234"/>
      <c r="C1785" s="2210"/>
      <c r="D1785" s="2234"/>
      <c r="E1785" s="2374"/>
      <c r="F1785" s="2235"/>
      <c r="G1785" s="2235"/>
      <c r="H1785" s="2210"/>
      <c r="I1785" s="2210"/>
      <c r="J1785" s="2210"/>
      <c r="K1785" s="2211"/>
    </row>
    <row r="1786" spans="1:11">
      <c r="A1786" s="2241"/>
      <c r="B1786" s="2234"/>
      <c r="C1786" s="2210"/>
      <c r="D1786" s="2234"/>
      <c r="E1786" s="2374"/>
      <c r="F1786" s="2235"/>
      <c r="G1786" s="2235"/>
      <c r="H1786" s="2210"/>
      <c r="I1786" s="2210"/>
      <c r="J1786" s="2210"/>
      <c r="K1786" s="2211"/>
    </row>
    <row r="1787" spans="1:11">
      <c r="A1787" s="2241"/>
      <c r="B1787" s="2234"/>
      <c r="C1787" s="2210"/>
      <c r="D1787" s="2234"/>
      <c r="E1787" s="2374"/>
      <c r="F1787" s="2235"/>
      <c r="G1787" s="2235"/>
      <c r="H1787" s="2210"/>
      <c r="I1787" s="2210"/>
      <c r="J1787" s="2210"/>
      <c r="K1787" s="2211"/>
    </row>
    <row r="1788" spans="1:11">
      <c r="A1788" s="2241"/>
      <c r="B1788" s="2234"/>
      <c r="C1788" s="2210"/>
      <c r="D1788" s="2234"/>
      <c r="E1788" s="2374"/>
      <c r="F1788" s="2235"/>
      <c r="G1788" s="2235"/>
      <c r="H1788" s="2210"/>
      <c r="I1788" s="2210"/>
      <c r="J1788" s="2210"/>
      <c r="K1788" s="2211"/>
    </row>
    <row r="1789" spans="1:11">
      <c r="A1789" s="2241"/>
      <c r="B1789" s="2234"/>
      <c r="C1789" s="2210"/>
      <c r="D1789" s="2234"/>
      <c r="E1789" s="2374"/>
      <c r="F1789" s="2235"/>
      <c r="G1789" s="2235"/>
      <c r="H1789" s="2210"/>
      <c r="I1789" s="2210"/>
      <c r="J1789" s="2210"/>
      <c r="K1789" s="2211"/>
    </row>
    <row r="1790" spans="1:11">
      <c r="A1790" s="2241"/>
      <c r="B1790" s="2234"/>
      <c r="C1790" s="2210"/>
      <c r="D1790" s="2234"/>
      <c r="E1790" s="2374"/>
      <c r="F1790" s="2235"/>
      <c r="G1790" s="2235"/>
      <c r="H1790" s="2210"/>
      <c r="I1790" s="2210"/>
      <c r="J1790" s="2210"/>
      <c r="K1790" s="2211"/>
    </row>
    <row r="1791" spans="1:11">
      <c r="A1791" s="2241"/>
      <c r="B1791" s="2234"/>
      <c r="C1791" s="2210"/>
      <c r="D1791" s="2234"/>
      <c r="E1791" s="2374"/>
      <c r="F1791" s="2235"/>
      <c r="G1791" s="2235"/>
      <c r="H1791" s="2210"/>
      <c r="I1791" s="2210"/>
      <c r="J1791" s="2210"/>
      <c r="K1791" s="2211"/>
    </row>
    <row r="1792" spans="1:11">
      <c r="A1792" s="2241"/>
      <c r="B1792" s="2234"/>
      <c r="C1792" s="2210"/>
      <c r="D1792" s="2234"/>
      <c r="E1792" s="2374"/>
      <c r="F1792" s="2235"/>
      <c r="G1792" s="2235"/>
      <c r="H1792" s="2210"/>
      <c r="I1792" s="2210"/>
      <c r="J1792" s="2210"/>
      <c r="K1792" s="2211"/>
    </row>
    <row r="1793" spans="1:11">
      <c r="A1793" s="2241"/>
      <c r="B1793" s="2234"/>
      <c r="C1793" s="2210"/>
      <c r="D1793" s="2234"/>
      <c r="E1793" s="2374"/>
      <c r="F1793" s="2235"/>
      <c r="G1793" s="2235"/>
      <c r="H1793" s="2210"/>
      <c r="I1793" s="2210"/>
      <c r="J1793" s="2210"/>
      <c r="K1793" s="2211"/>
    </row>
    <row r="1794" spans="1:11">
      <c r="A1794" s="2241"/>
      <c r="B1794" s="2234"/>
      <c r="C1794" s="2210"/>
      <c r="D1794" s="2234"/>
      <c r="E1794" s="2374"/>
      <c r="F1794" s="2235"/>
      <c r="G1794" s="2235"/>
      <c r="H1794" s="2210"/>
      <c r="I1794" s="2210"/>
      <c r="J1794" s="2210"/>
      <c r="K1794" s="2211"/>
    </row>
    <row r="1795" spans="1:11">
      <c r="A1795" s="2241"/>
      <c r="B1795" s="2234"/>
      <c r="C1795" s="2210"/>
      <c r="D1795" s="2234"/>
      <c r="E1795" s="2374"/>
      <c r="F1795" s="2235"/>
      <c r="G1795" s="2235"/>
      <c r="H1795" s="2210"/>
      <c r="I1795" s="2210"/>
      <c r="J1795" s="2210"/>
      <c r="K1795" s="2211"/>
    </row>
    <row r="1796" spans="1:11">
      <c r="A1796" s="2241"/>
      <c r="B1796" s="2234"/>
      <c r="C1796" s="2210"/>
      <c r="D1796" s="2234"/>
      <c r="E1796" s="2374"/>
      <c r="F1796" s="2235"/>
      <c r="G1796" s="2235"/>
      <c r="H1796" s="2210"/>
      <c r="I1796" s="2210"/>
      <c r="J1796" s="2210"/>
      <c r="K1796" s="2211"/>
    </row>
    <row r="1797" spans="1:11">
      <c r="A1797" s="2241"/>
      <c r="B1797" s="2234"/>
      <c r="C1797" s="2210"/>
      <c r="D1797" s="2234"/>
      <c r="E1797" s="2374"/>
      <c r="F1797" s="2235"/>
      <c r="G1797" s="2235"/>
      <c r="H1797" s="2210"/>
      <c r="I1797" s="2210"/>
      <c r="J1797" s="2210"/>
      <c r="K1797" s="2211"/>
    </row>
    <row r="1798" spans="1:11">
      <c r="A1798" s="2241"/>
      <c r="B1798" s="2234"/>
      <c r="C1798" s="2210"/>
      <c r="D1798" s="2234"/>
      <c r="E1798" s="2374"/>
      <c r="F1798" s="2235"/>
      <c r="G1798" s="2235"/>
      <c r="H1798" s="2210"/>
      <c r="I1798" s="2210"/>
      <c r="J1798" s="2210"/>
      <c r="K1798" s="2211"/>
    </row>
    <row r="1799" spans="1:11">
      <c r="A1799" s="2241"/>
      <c r="B1799" s="2234"/>
      <c r="C1799" s="2210"/>
      <c r="D1799" s="2234"/>
      <c r="E1799" s="2374"/>
      <c r="F1799" s="2235"/>
      <c r="G1799" s="2235"/>
      <c r="H1799" s="2210"/>
      <c r="I1799" s="2210"/>
      <c r="J1799" s="2210"/>
      <c r="K1799" s="2211"/>
    </row>
    <row r="1800" spans="1:11">
      <c r="A1800" s="2241"/>
      <c r="B1800" s="2234"/>
      <c r="C1800" s="2210"/>
      <c r="D1800" s="2234"/>
      <c r="E1800" s="2374"/>
      <c r="F1800" s="2235"/>
      <c r="G1800" s="2235"/>
      <c r="H1800" s="2210"/>
      <c r="I1800" s="2210"/>
      <c r="J1800" s="2210"/>
      <c r="K1800" s="2211"/>
    </row>
    <row r="1801" spans="1:11">
      <c r="A1801" s="2241"/>
      <c r="B1801" s="2234"/>
      <c r="C1801" s="2210"/>
      <c r="D1801" s="2234"/>
      <c r="E1801" s="2374"/>
      <c r="F1801" s="2235"/>
      <c r="G1801" s="2235"/>
      <c r="H1801" s="2210"/>
      <c r="I1801" s="2210"/>
      <c r="J1801" s="2210"/>
      <c r="K1801" s="2211"/>
    </row>
    <row r="1802" spans="1:11">
      <c r="A1802" s="2241"/>
      <c r="B1802" s="2234"/>
      <c r="C1802" s="2210"/>
      <c r="D1802" s="2234"/>
      <c r="E1802" s="2374"/>
      <c r="F1802" s="2235"/>
      <c r="G1802" s="2235"/>
      <c r="H1802" s="2210"/>
      <c r="I1802" s="2210"/>
      <c r="J1802" s="2210"/>
      <c r="K1802" s="2211"/>
    </row>
    <row r="1803" spans="1:11">
      <c r="A1803" s="2241"/>
      <c r="B1803" s="2234"/>
      <c r="C1803" s="2210"/>
      <c r="D1803" s="2234"/>
      <c r="E1803" s="2374"/>
      <c r="F1803" s="2235"/>
      <c r="G1803" s="2235"/>
      <c r="H1803" s="2210"/>
      <c r="I1803" s="2210"/>
      <c r="J1803" s="2210"/>
      <c r="K1803" s="2211"/>
    </row>
    <row r="1804" spans="1:11">
      <c r="A1804" s="2241"/>
      <c r="B1804" s="2234"/>
      <c r="C1804" s="2210"/>
      <c r="D1804" s="2234"/>
      <c r="E1804" s="2374"/>
      <c r="F1804" s="2235"/>
      <c r="G1804" s="2235"/>
      <c r="H1804" s="2210"/>
      <c r="I1804" s="2210"/>
      <c r="J1804" s="2210"/>
      <c r="K1804" s="2211"/>
    </row>
    <row r="1805" spans="1:11">
      <c r="A1805" s="2241"/>
      <c r="B1805" s="2234"/>
      <c r="C1805" s="2210"/>
      <c r="D1805" s="2234"/>
      <c r="E1805" s="2374"/>
      <c r="F1805" s="2235"/>
      <c r="G1805" s="2235"/>
      <c r="H1805" s="2210"/>
      <c r="I1805" s="2210"/>
      <c r="J1805" s="2210"/>
      <c r="K1805" s="2211"/>
    </row>
    <row r="1806" spans="1:11">
      <c r="A1806" s="2241"/>
      <c r="B1806" s="2234"/>
      <c r="C1806" s="2210"/>
      <c r="D1806" s="2234"/>
      <c r="E1806" s="2374"/>
      <c r="F1806" s="2235"/>
      <c r="G1806" s="2235"/>
      <c r="H1806" s="2210"/>
      <c r="I1806" s="2210"/>
      <c r="J1806" s="2210"/>
      <c r="K1806" s="2211"/>
    </row>
    <row r="1807" spans="1:11">
      <c r="A1807" s="2241"/>
      <c r="B1807" s="2234"/>
      <c r="C1807" s="2210"/>
      <c r="D1807" s="2234"/>
      <c r="E1807" s="2374"/>
      <c r="F1807" s="2235"/>
      <c r="G1807" s="2235"/>
      <c r="H1807" s="2210"/>
      <c r="I1807" s="2210"/>
      <c r="J1807" s="2210"/>
      <c r="K1807" s="2211"/>
    </row>
    <row r="1808" spans="1:11">
      <c r="A1808" s="2241"/>
      <c r="B1808" s="2234"/>
      <c r="C1808" s="2210"/>
      <c r="D1808" s="2234"/>
      <c r="E1808" s="2374"/>
      <c r="F1808" s="2235"/>
      <c r="G1808" s="2235"/>
      <c r="H1808" s="2210"/>
      <c r="I1808" s="2210"/>
      <c r="J1808" s="2210"/>
      <c r="K1808" s="2211"/>
    </row>
    <row r="1809" spans="1:11">
      <c r="A1809" s="2241"/>
      <c r="B1809" s="2234"/>
      <c r="C1809" s="2210"/>
      <c r="D1809" s="2234"/>
      <c r="E1809" s="2374"/>
      <c r="F1809" s="2235"/>
      <c r="G1809" s="2235"/>
      <c r="H1809" s="2210"/>
      <c r="I1809" s="2210"/>
      <c r="J1809" s="2210"/>
      <c r="K1809" s="2211"/>
    </row>
    <row r="1810" spans="1:11">
      <c r="A1810" s="2241"/>
      <c r="B1810" s="2234"/>
      <c r="C1810" s="2210"/>
      <c r="D1810" s="2234"/>
      <c r="E1810" s="2374"/>
      <c r="F1810" s="2235"/>
      <c r="G1810" s="2235"/>
      <c r="H1810" s="2210"/>
      <c r="I1810" s="2210"/>
      <c r="J1810" s="2210"/>
      <c r="K1810" s="2211"/>
    </row>
    <row r="1811" spans="1:11">
      <c r="A1811" s="2241"/>
      <c r="B1811" s="2234"/>
      <c r="C1811" s="2210"/>
      <c r="D1811" s="2234"/>
      <c r="E1811" s="2374"/>
      <c r="F1811" s="2235"/>
      <c r="G1811" s="2235"/>
      <c r="H1811" s="2210"/>
      <c r="I1811" s="2210"/>
      <c r="J1811" s="2210"/>
      <c r="K1811" s="2211"/>
    </row>
    <row r="1812" spans="1:11">
      <c r="A1812" s="2241"/>
      <c r="B1812" s="2234"/>
      <c r="C1812" s="2210"/>
      <c r="D1812" s="2234"/>
      <c r="E1812" s="2374"/>
      <c r="F1812" s="2235"/>
      <c r="G1812" s="2235"/>
      <c r="H1812" s="2210"/>
      <c r="I1812" s="2210"/>
      <c r="J1812" s="2210"/>
      <c r="K1812" s="2211"/>
    </row>
    <row r="1813" spans="1:11">
      <c r="A1813" s="2241"/>
      <c r="B1813" s="2234"/>
      <c r="C1813" s="2210"/>
      <c r="D1813" s="2234"/>
      <c r="E1813" s="2374"/>
      <c r="F1813" s="2235"/>
      <c r="G1813" s="2235"/>
      <c r="H1813" s="2210"/>
      <c r="I1813" s="2210"/>
      <c r="J1813" s="2210"/>
      <c r="K1813" s="2211"/>
    </row>
    <row r="1814" spans="1:11">
      <c r="A1814" s="2241"/>
      <c r="B1814" s="2234"/>
      <c r="C1814" s="2210"/>
      <c r="D1814" s="2234"/>
      <c r="E1814" s="2374"/>
      <c r="F1814" s="2235"/>
      <c r="G1814" s="2235"/>
      <c r="H1814" s="2210"/>
      <c r="I1814" s="2210"/>
      <c r="J1814" s="2210"/>
      <c r="K1814" s="2211"/>
    </row>
    <row r="1815" spans="1:11">
      <c r="A1815" s="2241"/>
      <c r="B1815" s="2234"/>
      <c r="C1815" s="2210"/>
      <c r="D1815" s="2234"/>
      <c r="E1815" s="2374"/>
      <c r="F1815" s="2235"/>
      <c r="G1815" s="2235"/>
      <c r="H1815" s="2210"/>
      <c r="I1815" s="2210"/>
      <c r="J1815" s="2210"/>
      <c r="K1815" s="2211"/>
    </row>
    <row r="1816" spans="1:11">
      <c r="A1816" s="2241"/>
      <c r="B1816" s="2234"/>
      <c r="C1816" s="2210"/>
      <c r="D1816" s="2234"/>
      <c r="E1816" s="2374"/>
      <c r="F1816" s="2235"/>
      <c r="G1816" s="2235"/>
      <c r="H1816" s="2210"/>
      <c r="I1816" s="2210"/>
      <c r="J1816" s="2210"/>
      <c r="K1816" s="2211"/>
    </row>
    <row r="1817" spans="1:11">
      <c r="A1817" s="2241"/>
      <c r="B1817" s="2234"/>
      <c r="C1817" s="2210"/>
      <c r="D1817" s="2234"/>
      <c r="E1817" s="2374"/>
      <c r="F1817" s="2235"/>
      <c r="G1817" s="2235"/>
      <c r="H1817" s="2210"/>
      <c r="I1817" s="2210"/>
      <c r="J1817" s="2210"/>
      <c r="K1817" s="2211"/>
    </row>
    <row r="1818" spans="1:11">
      <c r="A1818" s="2241"/>
      <c r="B1818" s="2234"/>
      <c r="C1818" s="2210"/>
      <c r="D1818" s="2234"/>
      <c r="E1818" s="2374"/>
      <c r="F1818" s="2235"/>
      <c r="G1818" s="2235"/>
      <c r="H1818" s="2210"/>
      <c r="I1818" s="2210"/>
      <c r="J1818" s="2210"/>
      <c r="K1818" s="2211"/>
    </row>
    <row r="1819" spans="1:11">
      <c r="A1819" s="2241"/>
      <c r="B1819" s="2234"/>
      <c r="C1819" s="2210"/>
      <c r="D1819" s="2234"/>
      <c r="E1819" s="2374"/>
      <c r="F1819" s="2235"/>
      <c r="G1819" s="2235"/>
      <c r="H1819" s="2210"/>
      <c r="I1819" s="2210"/>
      <c r="J1819" s="2210"/>
      <c r="K1819" s="2211"/>
    </row>
    <row r="1820" spans="1:11">
      <c r="A1820" s="2241"/>
      <c r="B1820" s="2234"/>
      <c r="C1820" s="2210"/>
      <c r="D1820" s="2234"/>
      <c r="E1820" s="2374"/>
      <c r="F1820" s="2235"/>
      <c r="G1820" s="2235"/>
      <c r="H1820" s="2210"/>
      <c r="I1820" s="2210"/>
      <c r="J1820" s="2210"/>
      <c r="K1820" s="2211"/>
    </row>
    <row r="1821" spans="1:11">
      <c r="A1821" s="2241"/>
      <c r="B1821" s="2234"/>
      <c r="C1821" s="2210"/>
      <c r="D1821" s="2234"/>
      <c r="E1821" s="2374"/>
      <c r="F1821" s="2235"/>
      <c r="G1821" s="2235"/>
      <c r="H1821" s="2210"/>
      <c r="I1821" s="2210"/>
      <c r="J1821" s="2210"/>
      <c r="K1821" s="2211"/>
    </row>
    <row r="1822" spans="1:11">
      <c r="A1822" s="2241"/>
      <c r="B1822" s="2234"/>
      <c r="C1822" s="2210"/>
      <c r="D1822" s="2234"/>
      <c r="E1822" s="2374"/>
      <c r="F1822" s="2235"/>
      <c r="G1822" s="2235"/>
      <c r="H1822" s="2210"/>
      <c r="I1822" s="2210"/>
      <c r="J1822" s="2210"/>
      <c r="K1822" s="2211"/>
    </row>
    <row r="1823" spans="1:11">
      <c r="A1823" s="2241"/>
      <c r="B1823" s="2234"/>
      <c r="C1823" s="2210"/>
      <c r="D1823" s="2234"/>
      <c r="E1823" s="2374"/>
      <c r="F1823" s="2235"/>
      <c r="G1823" s="2235"/>
      <c r="H1823" s="2210"/>
      <c r="I1823" s="2210"/>
      <c r="J1823" s="2210"/>
      <c r="K1823" s="2211"/>
    </row>
    <row r="1824" spans="1:11">
      <c r="A1824" s="2241"/>
      <c r="B1824" s="2234"/>
      <c r="C1824" s="2210"/>
      <c r="D1824" s="2234"/>
      <c r="E1824" s="2374"/>
      <c r="F1824" s="2235"/>
      <c r="G1824" s="2235"/>
      <c r="H1824" s="2210"/>
      <c r="I1824" s="2210"/>
      <c r="J1824" s="2210"/>
      <c r="K1824" s="2211"/>
    </row>
    <row r="1825" spans="1:11">
      <c r="A1825" s="2241"/>
      <c r="B1825" s="2234"/>
      <c r="C1825" s="2210"/>
      <c r="D1825" s="2234"/>
      <c r="E1825" s="2374"/>
      <c r="F1825" s="2235"/>
      <c r="G1825" s="2235"/>
      <c r="H1825" s="2210"/>
      <c r="I1825" s="2210"/>
      <c r="J1825" s="2210"/>
      <c r="K1825" s="2211"/>
    </row>
    <row r="1826" spans="1:11">
      <c r="A1826" s="2241"/>
      <c r="B1826" s="2234"/>
      <c r="C1826" s="2210"/>
      <c r="D1826" s="2234"/>
      <c r="E1826" s="2374"/>
      <c r="F1826" s="2235"/>
      <c r="G1826" s="2235"/>
      <c r="H1826" s="2210"/>
      <c r="I1826" s="2210"/>
      <c r="J1826" s="2210"/>
      <c r="K1826" s="2211"/>
    </row>
    <row r="1827" spans="1:11">
      <c r="A1827" s="2241"/>
      <c r="B1827" s="2234"/>
      <c r="C1827" s="2210"/>
      <c r="D1827" s="2234"/>
      <c r="E1827" s="2374"/>
      <c r="F1827" s="2235"/>
      <c r="G1827" s="2235"/>
      <c r="H1827" s="2210"/>
      <c r="I1827" s="2210"/>
      <c r="J1827" s="2210"/>
      <c r="K1827" s="2211"/>
    </row>
    <row r="1828" spans="1:11">
      <c r="A1828" s="2241"/>
      <c r="B1828" s="2234"/>
      <c r="C1828" s="2210"/>
      <c r="D1828" s="2234"/>
      <c r="E1828" s="2374"/>
      <c r="F1828" s="2235"/>
      <c r="G1828" s="2235"/>
      <c r="H1828" s="2210"/>
      <c r="I1828" s="2210"/>
      <c r="J1828" s="2210"/>
      <c r="K1828" s="2211"/>
    </row>
    <row r="1829" spans="1:11">
      <c r="A1829" s="2241"/>
      <c r="B1829" s="2234"/>
      <c r="C1829" s="2210"/>
      <c r="D1829" s="2234"/>
      <c r="E1829" s="2374"/>
      <c r="F1829" s="2235"/>
      <c r="G1829" s="2235"/>
      <c r="H1829" s="2210"/>
      <c r="I1829" s="2210"/>
      <c r="J1829" s="2210"/>
      <c r="K1829" s="2211"/>
    </row>
    <row r="1830" spans="1:11">
      <c r="A1830" s="2241"/>
      <c r="B1830" s="2234"/>
      <c r="C1830" s="2210"/>
      <c r="D1830" s="2234"/>
      <c r="E1830" s="2374"/>
      <c r="F1830" s="2235"/>
      <c r="G1830" s="2235"/>
      <c r="H1830" s="2210"/>
      <c r="I1830" s="2210"/>
      <c r="J1830" s="2210"/>
      <c r="K1830" s="2211"/>
    </row>
    <row r="1831" spans="1:11">
      <c r="A1831" s="2241"/>
      <c r="B1831" s="2234"/>
      <c r="C1831" s="2210"/>
      <c r="D1831" s="2234"/>
      <c r="E1831" s="2374"/>
      <c r="F1831" s="2235"/>
      <c r="G1831" s="2235"/>
      <c r="H1831" s="2210"/>
      <c r="I1831" s="2210"/>
      <c r="J1831" s="2210"/>
      <c r="K1831" s="2211"/>
    </row>
    <row r="1832" spans="1:11">
      <c r="A1832" s="2241"/>
      <c r="B1832" s="2234"/>
      <c r="C1832" s="2210"/>
      <c r="D1832" s="2234"/>
      <c r="E1832" s="2374"/>
      <c r="F1832" s="2235"/>
      <c r="G1832" s="2235"/>
      <c r="H1832" s="2210"/>
      <c r="I1832" s="2210"/>
      <c r="J1832" s="2210"/>
      <c r="K1832" s="2211"/>
    </row>
    <row r="1833" spans="1:11">
      <c r="A1833" s="2241"/>
      <c r="B1833" s="2234"/>
      <c r="C1833" s="2210"/>
      <c r="D1833" s="2234"/>
      <c r="E1833" s="2374"/>
      <c r="F1833" s="2235"/>
      <c r="G1833" s="2235"/>
      <c r="H1833" s="2210"/>
      <c r="I1833" s="2210"/>
      <c r="J1833" s="2210"/>
      <c r="K1833" s="2211"/>
    </row>
    <row r="1834" spans="1:11">
      <c r="A1834" s="2241"/>
      <c r="B1834" s="2234"/>
      <c r="C1834" s="2210"/>
      <c r="D1834" s="2234"/>
      <c r="E1834" s="2374"/>
      <c r="F1834" s="2235"/>
      <c r="G1834" s="2235"/>
      <c r="H1834" s="2210"/>
      <c r="I1834" s="2210"/>
      <c r="J1834" s="2210"/>
      <c r="K1834" s="2211"/>
    </row>
    <row r="1835" spans="1:11">
      <c r="A1835" s="2241"/>
      <c r="B1835" s="2234"/>
      <c r="C1835" s="2210"/>
      <c r="D1835" s="2234"/>
      <c r="E1835" s="2374"/>
      <c r="F1835" s="2235"/>
      <c r="G1835" s="2235"/>
      <c r="H1835" s="2210"/>
      <c r="I1835" s="2210"/>
      <c r="J1835" s="2210"/>
      <c r="K1835" s="2211"/>
    </row>
    <row r="1836" spans="1:11">
      <c r="A1836" s="2241"/>
      <c r="B1836" s="2234"/>
      <c r="C1836" s="2210"/>
      <c r="D1836" s="2234"/>
      <c r="E1836" s="2374"/>
      <c r="F1836" s="2235"/>
      <c r="G1836" s="2235"/>
      <c r="H1836" s="2210"/>
      <c r="I1836" s="2210"/>
      <c r="J1836" s="2210"/>
      <c r="K1836" s="2211"/>
    </row>
    <row r="1837" spans="1:11">
      <c r="A1837" s="2241"/>
      <c r="B1837" s="2234"/>
      <c r="C1837" s="2210"/>
      <c r="D1837" s="2234"/>
      <c r="E1837" s="2374"/>
      <c r="F1837" s="2235"/>
      <c r="G1837" s="2235"/>
      <c r="H1837" s="2210"/>
      <c r="I1837" s="2210"/>
      <c r="J1837" s="2210"/>
      <c r="K1837" s="2211"/>
    </row>
    <row r="1838" spans="1:11">
      <c r="A1838" s="2241"/>
      <c r="B1838" s="2234"/>
      <c r="C1838" s="2210"/>
      <c r="D1838" s="2234"/>
      <c r="E1838" s="2374"/>
      <c r="F1838" s="2235"/>
      <c r="G1838" s="2235"/>
      <c r="H1838" s="2210"/>
      <c r="I1838" s="2210"/>
      <c r="J1838" s="2210"/>
      <c r="K1838" s="2211"/>
    </row>
    <row r="1839" spans="1:11">
      <c r="A1839" s="2241"/>
      <c r="B1839" s="2234"/>
      <c r="C1839" s="2210"/>
      <c r="D1839" s="2234"/>
      <c r="E1839" s="2374"/>
      <c r="F1839" s="2235"/>
      <c r="G1839" s="2235"/>
      <c r="H1839" s="2210"/>
      <c r="I1839" s="2210"/>
      <c r="J1839" s="2210"/>
      <c r="K1839" s="2211"/>
    </row>
    <row r="1840" spans="1:11">
      <c r="A1840" s="2241"/>
      <c r="B1840" s="2234"/>
      <c r="C1840" s="2210"/>
      <c r="D1840" s="2234"/>
      <c r="E1840" s="2374"/>
      <c r="F1840" s="2235"/>
      <c r="G1840" s="2235"/>
      <c r="H1840" s="2210"/>
      <c r="I1840" s="2210"/>
      <c r="J1840" s="2210"/>
      <c r="K1840" s="2211"/>
    </row>
    <row r="1841" spans="1:11">
      <c r="A1841" s="2241"/>
      <c r="B1841" s="2234"/>
      <c r="C1841" s="2210"/>
      <c r="D1841" s="2234"/>
      <c r="E1841" s="2374"/>
      <c r="F1841" s="2235"/>
      <c r="G1841" s="2235"/>
      <c r="H1841" s="2210"/>
      <c r="I1841" s="2210"/>
      <c r="J1841" s="2210"/>
      <c r="K1841" s="2211"/>
    </row>
    <row r="1842" spans="1:11">
      <c r="A1842" s="2241"/>
      <c r="B1842" s="2234"/>
      <c r="C1842" s="2210"/>
      <c r="D1842" s="2234"/>
      <c r="E1842" s="2374"/>
      <c r="F1842" s="2235"/>
      <c r="G1842" s="2235"/>
      <c r="H1842" s="2210"/>
      <c r="I1842" s="2210"/>
      <c r="J1842" s="2210"/>
      <c r="K1842" s="2211"/>
    </row>
    <row r="1843" spans="1:11">
      <c r="A1843" s="2241"/>
      <c r="B1843" s="2234"/>
      <c r="C1843" s="2210"/>
      <c r="D1843" s="2234"/>
      <c r="E1843" s="2374"/>
      <c r="F1843" s="2235"/>
      <c r="G1843" s="2235"/>
      <c r="H1843" s="2210"/>
      <c r="I1843" s="2210"/>
      <c r="J1843" s="2210"/>
      <c r="K1843" s="2211"/>
    </row>
    <row r="1844" spans="1:11">
      <c r="A1844" s="2241"/>
      <c r="B1844" s="2234"/>
      <c r="C1844" s="2210"/>
      <c r="D1844" s="2234"/>
      <c r="E1844" s="2374"/>
      <c r="F1844" s="2235"/>
      <c r="G1844" s="2235"/>
      <c r="H1844" s="2210"/>
      <c r="I1844" s="2210"/>
      <c r="J1844" s="2210"/>
      <c r="K1844" s="2211"/>
    </row>
    <row r="1845" spans="1:11">
      <c r="A1845" s="2241"/>
      <c r="B1845" s="2234"/>
      <c r="C1845" s="2210"/>
      <c r="D1845" s="2234"/>
      <c r="E1845" s="2374"/>
      <c r="F1845" s="2235"/>
      <c r="G1845" s="2235"/>
      <c r="H1845" s="2210"/>
      <c r="I1845" s="2210"/>
      <c r="J1845" s="2210"/>
      <c r="K1845" s="2211"/>
    </row>
    <row r="1846" spans="1:11">
      <c r="A1846" s="2241"/>
      <c r="B1846" s="2234"/>
      <c r="C1846" s="2210"/>
      <c r="D1846" s="2234"/>
      <c r="E1846" s="2374"/>
      <c r="F1846" s="2235"/>
      <c r="G1846" s="2235"/>
      <c r="H1846" s="2210"/>
      <c r="I1846" s="2210"/>
      <c r="J1846" s="2210"/>
      <c r="K1846" s="2211"/>
    </row>
    <row r="1847" spans="1:11">
      <c r="A1847" s="2241"/>
      <c r="B1847" s="2234"/>
      <c r="C1847" s="2210"/>
      <c r="D1847" s="2234"/>
      <c r="E1847" s="2374"/>
      <c r="F1847" s="2235"/>
      <c r="G1847" s="2235"/>
      <c r="H1847" s="2210"/>
      <c r="I1847" s="2210"/>
      <c r="J1847" s="2210"/>
      <c r="K1847" s="2211"/>
    </row>
    <row r="1848" spans="1:11">
      <c r="A1848" s="2241"/>
      <c r="B1848" s="2234"/>
      <c r="C1848" s="2210"/>
      <c r="D1848" s="2234"/>
      <c r="E1848" s="2374"/>
      <c r="F1848" s="2235"/>
      <c r="G1848" s="2235"/>
      <c r="H1848" s="2210"/>
      <c r="I1848" s="2210"/>
      <c r="J1848" s="2210"/>
      <c r="K1848" s="2211"/>
    </row>
    <row r="1849" spans="1:11">
      <c r="A1849" s="2241"/>
      <c r="B1849" s="2234"/>
      <c r="C1849" s="2210"/>
      <c r="D1849" s="2234"/>
      <c r="E1849" s="2374"/>
      <c r="F1849" s="2235"/>
      <c r="G1849" s="2235"/>
      <c r="H1849" s="2210"/>
      <c r="I1849" s="2210"/>
      <c r="J1849" s="2210"/>
      <c r="K1849" s="2211"/>
    </row>
    <row r="1850" spans="1:11">
      <c r="A1850" s="2241"/>
      <c r="B1850" s="2234"/>
      <c r="C1850" s="2210"/>
      <c r="D1850" s="2234"/>
      <c r="E1850" s="2374"/>
      <c r="F1850" s="2235"/>
      <c r="G1850" s="2235"/>
      <c r="H1850" s="2210"/>
      <c r="I1850" s="2210"/>
      <c r="J1850" s="2210"/>
      <c r="K1850" s="2211"/>
    </row>
    <row r="1851" spans="1:11">
      <c r="A1851" s="2241"/>
      <c r="B1851" s="2234"/>
      <c r="C1851" s="2210"/>
      <c r="D1851" s="2234"/>
      <c r="E1851" s="2374"/>
      <c r="F1851" s="2235"/>
      <c r="G1851" s="2235"/>
      <c r="H1851" s="2210"/>
      <c r="I1851" s="2210"/>
      <c r="J1851" s="2210"/>
      <c r="K1851" s="2211"/>
    </row>
    <row r="1852" spans="1:11">
      <c r="A1852" s="2241"/>
      <c r="B1852" s="2234"/>
      <c r="C1852" s="2210"/>
      <c r="D1852" s="2234"/>
      <c r="E1852" s="2374"/>
      <c r="F1852" s="2235"/>
      <c r="G1852" s="2235"/>
      <c r="H1852" s="2210"/>
      <c r="I1852" s="2210"/>
      <c r="J1852" s="2210"/>
      <c r="K1852" s="2211"/>
    </row>
    <row r="1853" spans="1:11">
      <c r="A1853" s="2241"/>
      <c r="B1853" s="2234"/>
      <c r="C1853" s="2210"/>
      <c r="D1853" s="2234"/>
      <c r="E1853" s="2374"/>
      <c r="F1853" s="2235"/>
      <c r="G1853" s="2235"/>
      <c r="H1853" s="2210"/>
      <c r="I1853" s="2210"/>
      <c r="J1853" s="2210"/>
      <c r="K1853" s="2211"/>
    </row>
    <row r="1854" spans="1:11">
      <c r="A1854" s="2241"/>
      <c r="B1854" s="2234"/>
      <c r="C1854" s="2210"/>
      <c r="D1854" s="2234"/>
      <c r="E1854" s="2374"/>
      <c r="F1854" s="2235"/>
      <c r="G1854" s="2235"/>
      <c r="H1854" s="2210"/>
      <c r="I1854" s="2210"/>
      <c r="J1854" s="2210"/>
      <c r="K1854" s="2211"/>
    </row>
    <row r="1855" spans="1:11">
      <c r="A1855" s="2241"/>
      <c r="B1855" s="2234"/>
      <c r="C1855" s="2210"/>
      <c r="D1855" s="2234"/>
      <c r="E1855" s="2374"/>
      <c r="F1855" s="2235"/>
      <c r="G1855" s="2235"/>
      <c r="H1855" s="2210"/>
      <c r="I1855" s="2210"/>
      <c r="J1855" s="2210"/>
      <c r="K1855" s="2211"/>
    </row>
    <row r="1856" spans="1:11">
      <c r="A1856" s="2241"/>
      <c r="B1856" s="2234"/>
      <c r="C1856" s="2210"/>
      <c r="D1856" s="2234"/>
      <c r="E1856" s="2374"/>
      <c r="F1856" s="2235"/>
      <c r="G1856" s="2235"/>
      <c r="H1856" s="2210"/>
      <c r="I1856" s="2210"/>
      <c r="J1856" s="2210"/>
      <c r="K1856" s="2211"/>
    </row>
    <row r="1857" spans="1:11">
      <c r="A1857" s="2241"/>
      <c r="B1857" s="2234"/>
      <c r="C1857" s="2210"/>
      <c r="D1857" s="2234"/>
      <c r="E1857" s="2374"/>
      <c r="F1857" s="2235"/>
      <c r="G1857" s="2235"/>
      <c r="H1857" s="2210"/>
      <c r="I1857" s="2210"/>
      <c r="J1857" s="2210"/>
      <c r="K1857" s="2211"/>
    </row>
    <row r="1858" spans="1:11">
      <c r="A1858" s="2241"/>
      <c r="B1858" s="2234"/>
      <c r="C1858" s="2210"/>
      <c r="D1858" s="2234"/>
      <c r="E1858" s="2374"/>
      <c r="F1858" s="2235"/>
      <c r="G1858" s="2235"/>
      <c r="H1858" s="2210"/>
      <c r="I1858" s="2210"/>
      <c r="J1858" s="2210"/>
      <c r="K1858" s="2211"/>
    </row>
    <row r="1859" spans="1:11">
      <c r="A1859" s="2241"/>
      <c r="B1859" s="2234"/>
      <c r="C1859" s="2210"/>
      <c r="D1859" s="2234"/>
      <c r="E1859" s="2374"/>
      <c r="F1859" s="2235"/>
      <c r="G1859" s="2235"/>
      <c r="H1859" s="2210"/>
      <c r="I1859" s="2210"/>
      <c r="J1859" s="2210"/>
      <c r="K1859" s="2211"/>
    </row>
    <row r="1860" spans="1:11">
      <c r="A1860" s="2241"/>
      <c r="B1860" s="2234"/>
      <c r="C1860" s="2210"/>
      <c r="D1860" s="2234"/>
      <c r="E1860" s="2374"/>
      <c r="F1860" s="2235"/>
      <c r="G1860" s="2235"/>
      <c r="H1860" s="2210"/>
      <c r="I1860" s="2210"/>
      <c r="J1860" s="2210"/>
      <c r="K1860" s="2211"/>
    </row>
    <row r="1861" spans="1:11">
      <c r="A1861" s="2241"/>
      <c r="B1861" s="2234"/>
      <c r="C1861" s="2210"/>
      <c r="D1861" s="2234"/>
      <c r="E1861" s="2374"/>
      <c r="F1861" s="2235"/>
      <c r="G1861" s="2235"/>
      <c r="H1861" s="2210"/>
      <c r="I1861" s="2210"/>
      <c r="J1861" s="2210"/>
      <c r="K1861" s="2211"/>
    </row>
    <row r="1862" spans="1:11">
      <c r="A1862" s="2241"/>
      <c r="B1862" s="2234"/>
      <c r="C1862" s="2210"/>
      <c r="D1862" s="2234"/>
      <c r="E1862" s="2374"/>
      <c r="F1862" s="2235"/>
      <c r="G1862" s="2235"/>
      <c r="H1862" s="2210"/>
      <c r="I1862" s="2210"/>
      <c r="J1862" s="2210"/>
      <c r="K1862" s="2211"/>
    </row>
    <row r="1863" spans="1:11">
      <c r="A1863" s="2241"/>
      <c r="B1863" s="2234"/>
      <c r="C1863" s="2210"/>
      <c r="D1863" s="2234"/>
      <c r="E1863" s="2374"/>
      <c r="F1863" s="2235"/>
      <c r="G1863" s="2235"/>
      <c r="H1863" s="2210"/>
      <c r="I1863" s="2210"/>
      <c r="J1863" s="2210"/>
      <c r="K1863" s="2211"/>
    </row>
    <row r="1864" spans="1:11">
      <c r="A1864" s="2241"/>
      <c r="B1864" s="2234"/>
      <c r="C1864" s="2210"/>
      <c r="D1864" s="2234"/>
      <c r="E1864" s="2374"/>
      <c r="F1864" s="2235"/>
      <c r="G1864" s="2235"/>
      <c r="H1864" s="2210"/>
      <c r="I1864" s="2210"/>
      <c r="J1864" s="2210"/>
      <c r="K1864" s="2211"/>
    </row>
    <row r="1865" spans="1:11">
      <c r="A1865" s="2241"/>
      <c r="B1865" s="2234"/>
      <c r="C1865" s="2210"/>
      <c r="D1865" s="2234"/>
      <c r="E1865" s="2374"/>
      <c r="F1865" s="2235"/>
      <c r="G1865" s="2235"/>
      <c r="H1865" s="2210"/>
      <c r="I1865" s="2210"/>
      <c r="J1865" s="2210"/>
      <c r="K1865" s="2211"/>
    </row>
    <row r="1866" spans="1:11">
      <c r="A1866" s="2241"/>
      <c r="B1866" s="2234"/>
      <c r="C1866" s="2210"/>
      <c r="D1866" s="2234"/>
      <c r="E1866" s="2374"/>
      <c r="F1866" s="2235"/>
      <c r="G1866" s="2235"/>
      <c r="H1866" s="2210"/>
      <c r="I1866" s="2210"/>
      <c r="J1866" s="2210"/>
      <c r="K1866" s="2211"/>
    </row>
    <row r="1867" spans="1:11">
      <c r="A1867" s="2241"/>
      <c r="B1867" s="2234"/>
      <c r="C1867" s="2210"/>
      <c r="D1867" s="2234"/>
      <c r="E1867" s="2374"/>
      <c r="F1867" s="2235"/>
      <c r="G1867" s="2235"/>
      <c r="H1867" s="2210"/>
      <c r="I1867" s="2210"/>
      <c r="J1867" s="2210"/>
      <c r="K1867" s="2211"/>
    </row>
    <row r="1868" spans="1:11">
      <c r="A1868" s="2241"/>
      <c r="B1868" s="2234"/>
      <c r="C1868" s="2210"/>
      <c r="D1868" s="2234"/>
      <c r="E1868" s="2374"/>
      <c r="F1868" s="2235"/>
      <c r="G1868" s="2235"/>
      <c r="H1868" s="2210"/>
      <c r="I1868" s="2210"/>
      <c r="J1868" s="2210"/>
      <c r="K1868" s="2211"/>
    </row>
    <row r="1869" spans="1:11">
      <c r="A1869" s="2241"/>
      <c r="B1869" s="2234"/>
      <c r="C1869" s="2210"/>
      <c r="D1869" s="2234"/>
      <c r="E1869" s="2374"/>
      <c r="F1869" s="2235"/>
      <c r="G1869" s="2235"/>
      <c r="H1869" s="2210"/>
      <c r="I1869" s="2210"/>
      <c r="J1869" s="2210"/>
      <c r="K1869" s="2211"/>
    </row>
    <row r="1870" spans="1:11">
      <c r="A1870" s="2241"/>
      <c r="B1870" s="2234"/>
      <c r="C1870" s="2210"/>
      <c r="D1870" s="2234"/>
      <c r="E1870" s="2374"/>
      <c r="F1870" s="2235"/>
      <c r="G1870" s="2235"/>
      <c r="H1870" s="2210"/>
      <c r="I1870" s="2210"/>
      <c r="J1870" s="2210"/>
      <c r="K1870" s="2211"/>
    </row>
    <row r="1871" spans="1:11">
      <c r="A1871" s="2241"/>
      <c r="B1871" s="2234"/>
      <c r="C1871" s="2210"/>
      <c r="D1871" s="2234"/>
      <c r="E1871" s="2374"/>
      <c r="F1871" s="2235"/>
      <c r="G1871" s="2235"/>
      <c r="H1871" s="2210"/>
      <c r="I1871" s="2210"/>
      <c r="J1871" s="2210"/>
      <c r="K1871" s="2211"/>
    </row>
    <row r="1872" spans="1:11">
      <c r="A1872" s="2241"/>
      <c r="B1872" s="2234"/>
      <c r="C1872" s="2210"/>
      <c r="D1872" s="2234"/>
      <c r="E1872" s="2374"/>
      <c r="F1872" s="2235"/>
      <c r="G1872" s="2235"/>
      <c r="H1872" s="2210"/>
      <c r="I1872" s="2210"/>
      <c r="J1872" s="2210"/>
      <c r="K1872" s="2211"/>
    </row>
    <row r="1873" spans="1:11">
      <c r="A1873" s="2241"/>
      <c r="B1873" s="2234"/>
      <c r="C1873" s="2210"/>
      <c r="D1873" s="2234"/>
      <c r="E1873" s="2374"/>
      <c r="F1873" s="2235"/>
      <c r="G1873" s="2235"/>
      <c r="H1873" s="2210"/>
      <c r="I1873" s="2210"/>
      <c r="J1873" s="2210"/>
      <c r="K1873" s="2211"/>
    </row>
    <row r="1874" spans="1:11">
      <c r="A1874" s="2241"/>
      <c r="B1874" s="2234"/>
      <c r="C1874" s="2210"/>
      <c r="D1874" s="2234"/>
      <c r="E1874" s="2374"/>
      <c r="F1874" s="2235"/>
      <c r="G1874" s="2235"/>
      <c r="H1874" s="2210"/>
      <c r="I1874" s="2210"/>
      <c r="J1874" s="2210"/>
      <c r="K1874" s="2211"/>
    </row>
    <row r="1875" spans="1:11">
      <c r="A1875" s="2241"/>
      <c r="B1875" s="2234"/>
      <c r="C1875" s="2210"/>
      <c r="D1875" s="2234"/>
      <c r="E1875" s="2374"/>
      <c r="F1875" s="2235"/>
      <c r="G1875" s="2235"/>
      <c r="H1875" s="2210"/>
      <c r="I1875" s="2210"/>
      <c r="J1875" s="2210"/>
      <c r="K1875" s="2211"/>
    </row>
    <row r="1876" spans="1:11">
      <c r="A1876" s="2241"/>
      <c r="B1876" s="2234"/>
      <c r="C1876" s="2210"/>
      <c r="D1876" s="2234"/>
      <c r="E1876" s="2374"/>
      <c r="F1876" s="2235"/>
      <c r="G1876" s="2235"/>
      <c r="H1876" s="2210"/>
      <c r="I1876" s="2210"/>
      <c r="J1876" s="2210"/>
      <c r="K1876" s="2211"/>
    </row>
    <row r="1877" spans="1:11">
      <c r="A1877" s="2241"/>
      <c r="B1877" s="2234"/>
      <c r="C1877" s="2210"/>
      <c r="D1877" s="2234"/>
      <c r="E1877" s="2374"/>
      <c r="F1877" s="2235"/>
      <c r="G1877" s="2235"/>
      <c r="H1877" s="2210"/>
      <c r="I1877" s="2210"/>
      <c r="J1877" s="2210"/>
      <c r="K1877" s="2211"/>
    </row>
    <row r="1878" spans="1:11">
      <c r="A1878" s="2241"/>
      <c r="B1878" s="2234"/>
      <c r="C1878" s="2210"/>
      <c r="D1878" s="2234"/>
      <c r="E1878" s="2374"/>
      <c r="F1878" s="2235"/>
      <c r="G1878" s="2235"/>
      <c r="H1878" s="2210"/>
      <c r="I1878" s="2210"/>
      <c r="J1878" s="2210"/>
      <c r="K1878" s="2211"/>
    </row>
    <row r="1879" spans="1:11">
      <c r="A1879" s="2241"/>
      <c r="B1879" s="2234"/>
      <c r="C1879" s="2210"/>
      <c r="D1879" s="2234"/>
      <c r="E1879" s="2374"/>
      <c r="F1879" s="2235"/>
      <c r="G1879" s="2235"/>
      <c r="H1879" s="2210"/>
      <c r="I1879" s="2210"/>
      <c r="J1879" s="2210"/>
      <c r="K1879" s="2211"/>
    </row>
    <row r="1880" spans="1:11">
      <c r="A1880" s="2241"/>
      <c r="B1880" s="2234"/>
      <c r="C1880" s="2210"/>
      <c r="D1880" s="2234"/>
      <c r="E1880" s="2374"/>
      <c r="F1880" s="2235"/>
      <c r="G1880" s="2235"/>
      <c r="H1880" s="2210"/>
      <c r="I1880" s="2210"/>
      <c r="J1880" s="2210"/>
      <c r="K1880" s="2211"/>
    </row>
    <row r="1881" spans="1:11">
      <c r="A1881" s="2241"/>
      <c r="B1881" s="2234"/>
      <c r="C1881" s="2210"/>
      <c r="D1881" s="2234"/>
      <c r="E1881" s="2374"/>
      <c r="F1881" s="2235"/>
      <c r="G1881" s="2235"/>
      <c r="H1881" s="2210"/>
      <c r="I1881" s="2210"/>
      <c r="J1881" s="2210"/>
      <c r="K1881" s="2211"/>
    </row>
    <row r="1882" spans="1:11">
      <c r="A1882" s="2241"/>
      <c r="B1882" s="2234"/>
      <c r="C1882" s="2210"/>
      <c r="D1882" s="2234"/>
      <c r="E1882" s="2374"/>
      <c r="F1882" s="2235"/>
      <c r="G1882" s="2235"/>
      <c r="H1882" s="2210"/>
      <c r="I1882" s="2210"/>
      <c r="J1882" s="2210"/>
      <c r="K1882" s="2211"/>
    </row>
    <row r="1883" spans="1:11">
      <c r="A1883" s="2241"/>
      <c r="B1883" s="2234"/>
      <c r="C1883" s="2210"/>
      <c r="D1883" s="2234"/>
      <c r="E1883" s="2374"/>
      <c r="F1883" s="2235"/>
      <c r="G1883" s="2235"/>
      <c r="H1883" s="2210"/>
      <c r="I1883" s="2210"/>
      <c r="J1883" s="2210"/>
      <c r="K1883" s="2211"/>
    </row>
    <row r="1884" spans="1:11">
      <c r="A1884" s="2241"/>
      <c r="B1884" s="2234"/>
      <c r="C1884" s="2210"/>
      <c r="D1884" s="2234"/>
      <c r="E1884" s="2374"/>
      <c r="F1884" s="2235"/>
      <c r="G1884" s="2235"/>
      <c r="H1884" s="2210"/>
      <c r="I1884" s="2210"/>
      <c r="J1884" s="2210"/>
      <c r="K1884" s="2211"/>
    </row>
    <row r="1885" spans="1:11">
      <c r="A1885" s="2241"/>
      <c r="B1885" s="2234"/>
      <c r="C1885" s="2210"/>
      <c r="D1885" s="2234"/>
      <c r="E1885" s="2374"/>
      <c r="F1885" s="2235"/>
      <c r="G1885" s="2235"/>
      <c r="H1885" s="2210"/>
      <c r="I1885" s="2210"/>
      <c r="J1885" s="2210"/>
      <c r="K1885" s="2211"/>
    </row>
    <row r="1886" spans="1:11">
      <c r="A1886" s="2241"/>
      <c r="B1886" s="2234"/>
      <c r="C1886" s="2210"/>
      <c r="D1886" s="2234"/>
      <c r="E1886" s="2374"/>
      <c r="F1886" s="2235"/>
      <c r="G1886" s="2235"/>
      <c r="H1886" s="2210"/>
      <c r="I1886" s="2210"/>
      <c r="J1886" s="2210"/>
      <c r="K1886" s="2211"/>
    </row>
    <row r="1887" spans="1:11">
      <c r="A1887" s="2241"/>
      <c r="B1887" s="2234"/>
      <c r="C1887" s="2210"/>
      <c r="D1887" s="2234"/>
      <c r="E1887" s="2374"/>
      <c r="F1887" s="2235"/>
      <c r="G1887" s="2235"/>
      <c r="H1887" s="2210"/>
      <c r="I1887" s="2210"/>
      <c r="J1887" s="2210"/>
      <c r="K1887" s="2211"/>
    </row>
    <row r="1888" spans="1:11">
      <c r="A1888" s="2241"/>
      <c r="B1888" s="2234"/>
      <c r="C1888" s="2210"/>
      <c r="D1888" s="2234"/>
      <c r="E1888" s="2374"/>
      <c r="F1888" s="2235"/>
      <c r="G1888" s="2235"/>
      <c r="H1888" s="2210"/>
      <c r="I1888" s="2210"/>
      <c r="J1888" s="2210"/>
      <c r="K1888" s="2211"/>
    </row>
    <row r="1889" spans="1:11">
      <c r="A1889" s="2241"/>
      <c r="B1889" s="2234"/>
      <c r="C1889" s="2210"/>
      <c r="D1889" s="2234"/>
      <c r="E1889" s="2374"/>
      <c r="F1889" s="2235"/>
      <c r="G1889" s="2235"/>
      <c r="H1889" s="2210"/>
      <c r="I1889" s="2210"/>
      <c r="J1889" s="2210"/>
      <c r="K1889" s="2211"/>
    </row>
    <row r="1890" spans="1:11">
      <c r="A1890" s="2241"/>
      <c r="B1890" s="2234"/>
      <c r="C1890" s="2210"/>
      <c r="D1890" s="2234"/>
      <c r="E1890" s="2374"/>
      <c r="F1890" s="2235"/>
      <c r="G1890" s="2235"/>
      <c r="H1890" s="2210"/>
      <c r="I1890" s="2210"/>
      <c r="J1890" s="2210"/>
      <c r="K1890" s="2211"/>
    </row>
    <row r="1891" spans="1:11">
      <c r="A1891" s="2241"/>
      <c r="B1891" s="2234"/>
      <c r="C1891" s="2210"/>
      <c r="D1891" s="2234"/>
      <c r="E1891" s="2374"/>
      <c r="F1891" s="2235"/>
      <c r="G1891" s="2235"/>
      <c r="H1891" s="2210"/>
      <c r="I1891" s="2210"/>
      <c r="J1891" s="2210"/>
      <c r="K1891" s="2211"/>
    </row>
    <row r="1892" spans="1:11">
      <c r="A1892" s="2241"/>
      <c r="B1892" s="2234"/>
      <c r="C1892" s="2210"/>
      <c r="D1892" s="2234"/>
      <c r="E1892" s="2374"/>
      <c r="F1892" s="2235"/>
      <c r="G1892" s="2235"/>
      <c r="H1892" s="2210"/>
      <c r="I1892" s="2210"/>
      <c r="J1892" s="2210"/>
      <c r="K1892" s="2211"/>
    </row>
    <row r="1893" spans="1:11">
      <c r="A1893" s="2241"/>
      <c r="B1893" s="2234"/>
      <c r="C1893" s="2210"/>
      <c r="D1893" s="2234"/>
      <c r="E1893" s="2374"/>
      <c r="F1893" s="2235"/>
      <c r="G1893" s="2235"/>
      <c r="H1893" s="2210"/>
      <c r="I1893" s="2210"/>
      <c r="J1893" s="2210"/>
      <c r="K1893" s="2211"/>
    </row>
    <row r="1894" spans="1:11">
      <c r="A1894" s="2241"/>
      <c r="B1894" s="2234"/>
      <c r="C1894" s="2210"/>
      <c r="D1894" s="2234"/>
      <c r="E1894" s="2374"/>
      <c r="F1894" s="2235"/>
      <c r="G1894" s="2235"/>
      <c r="H1894" s="2210"/>
      <c r="I1894" s="2210"/>
      <c r="J1894" s="2210"/>
      <c r="K1894" s="2211"/>
    </row>
    <row r="1895" spans="1:11">
      <c r="A1895" s="2241"/>
      <c r="B1895" s="2234"/>
      <c r="C1895" s="2210"/>
      <c r="D1895" s="2234"/>
      <c r="E1895" s="2374"/>
      <c r="F1895" s="2235"/>
      <c r="G1895" s="2235"/>
      <c r="H1895" s="2210"/>
      <c r="I1895" s="2210"/>
      <c r="J1895" s="2210"/>
      <c r="K1895" s="2211"/>
    </row>
    <row r="1896" spans="1:11">
      <c r="A1896" s="2241"/>
      <c r="B1896" s="2234"/>
      <c r="C1896" s="2210"/>
      <c r="D1896" s="2234"/>
      <c r="E1896" s="2374"/>
      <c r="F1896" s="2235"/>
      <c r="G1896" s="2235"/>
      <c r="H1896" s="2210"/>
      <c r="I1896" s="2210"/>
      <c r="J1896" s="2210"/>
      <c r="K1896" s="2211"/>
    </row>
    <row r="1897" spans="1:11">
      <c r="A1897" s="2241"/>
      <c r="B1897" s="2234"/>
      <c r="C1897" s="2210"/>
      <c r="D1897" s="2234"/>
      <c r="E1897" s="2374"/>
      <c r="F1897" s="2235"/>
      <c r="G1897" s="2235"/>
      <c r="H1897" s="2210"/>
      <c r="I1897" s="2210"/>
      <c r="J1897" s="2210"/>
      <c r="K1897" s="2211"/>
    </row>
    <row r="1898" spans="1:11">
      <c r="A1898" s="2241"/>
      <c r="B1898" s="2234"/>
      <c r="C1898" s="2210"/>
      <c r="D1898" s="2234"/>
      <c r="E1898" s="2374"/>
      <c r="F1898" s="2235"/>
      <c r="G1898" s="2235"/>
      <c r="H1898" s="2210"/>
      <c r="I1898" s="2210"/>
      <c r="J1898" s="2210"/>
      <c r="K1898" s="2211"/>
    </row>
    <row r="1899" spans="1:11">
      <c r="A1899" s="2241"/>
      <c r="B1899" s="2234"/>
      <c r="C1899" s="2210"/>
      <c r="D1899" s="2234"/>
      <c r="E1899" s="2374"/>
      <c r="F1899" s="2235"/>
      <c r="G1899" s="2235"/>
      <c r="H1899" s="2210"/>
      <c r="I1899" s="2210"/>
      <c r="J1899" s="2210"/>
      <c r="K1899" s="2211"/>
    </row>
    <row r="1900" spans="1:11">
      <c r="A1900" s="2241"/>
      <c r="B1900" s="2234"/>
      <c r="C1900" s="2210"/>
      <c r="D1900" s="2234"/>
      <c r="E1900" s="2374"/>
      <c r="F1900" s="2235"/>
      <c r="G1900" s="2235"/>
      <c r="H1900" s="2210"/>
      <c r="I1900" s="2210"/>
      <c r="J1900" s="2210"/>
      <c r="K1900" s="2211"/>
    </row>
    <row r="1901" spans="1:11">
      <c r="A1901" s="2241"/>
      <c r="B1901" s="2234"/>
      <c r="C1901" s="2210"/>
      <c r="D1901" s="2234"/>
      <c r="E1901" s="2374"/>
      <c r="F1901" s="2235"/>
      <c r="G1901" s="2235"/>
      <c r="H1901" s="2210"/>
      <c r="I1901" s="2210"/>
      <c r="J1901" s="2210"/>
      <c r="K1901" s="2211"/>
    </row>
    <row r="1902" spans="1:11">
      <c r="A1902" s="2241"/>
      <c r="B1902" s="2234"/>
      <c r="C1902" s="2210"/>
      <c r="D1902" s="2234"/>
      <c r="E1902" s="2374"/>
      <c r="F1902" s="2235"/>
      <c r="G1902" s="2235"/>
      <c r="H1902" s="2210"/>
      <c r="I1902" s="2210"/>
      <c r="J1902" s="2210"/>
      <c r="K1902" s="2211"/>
    </row>
    <row r="1903" spans="1:11">
      <c r="A1903" s="2241"/>
      <c r="B1903" s="2234"/>
      <c r="C1903" s="2210"/>
      <c r="D1903" s="2234"/>
      <c r="E1903" s="2374"/>
      <c r="F1903" s="2235"/>
      <c r="G1903" s="2235"/>
      <c r="H1903" s="2210"/>
      <c r="I1903" s="2210"/>
      <c r="J1903" s="2210"/>
      <c r="K1903" s="2211"/>
    </row>
    <row r="1904" spans="1:11">
      <c r="A1904" s="2241"/>
      <c r="B1904" s="2234"/>
      <c r="C1904" s="2210"/>
      <c r="D1904" s="2234"/>
      <c r="E1904" s="2374"/>
      <c r="F1904" s="2235"/>
      <c r="G1904" s="2235"/>
      <c r="H1904" s="2210"/>
      <c r="I1904" s="2210"/>
      <c r="J1904" s="2210"/>
      <c r="K1904" s="2211"/>
    </row>
    <row r="1905" spans="1:11">
      <c r="A1905" s="2241"/>
      <c r="B1905" s="2234"/>
      <c r="C1905" s="2210"/>
      <c r="D1905" s="2234"/>
      <c r="E1905" s="2374"/>
      <c r="F1905" s="2235"/>
      <c r="G1905" s="2235"/>
      <c r="H1905" s="2210"/>
      <c r="I1905" s="2210"/>
      <c r="J1905" s="2210"/>
      <c r="K1905" s="2211"/>
    </row>
    <row r="1906" spans="1:11">
      <c r="A1906" s="2241"/>
      <c r="B1906" s="2234"/>
      <c r="C1906" s="2210"/>
      <c r="D1906" s="2234"/>
      <c r="E1906" s="2374"/>
      <c r="F1906" s="2235"/>
      <c r="G1906" s="2235"/>
      <c r="H1906" s="2210"/>
      <c r="I1906" s="2210"/>
      <c r="J1906" s="2210"/>
      <c r="K1906" s="2211"/>
    </row>
    <row r="1907" spans="1:11">
      <c r="A1907" s="2241"/>
      <c r="B1907" s="2234"/>
      <c r="C1907" s="2210"/>
      <c r="D1907" s="2234"/>
      <c r="E1907" s="2374"/>
      <c r="F1907" s="2235"/>
      <c r="G1907" s="2235"/>
      <c r="H1907" s="2210"/>
      <c r="I1907" s="2210"/>
      <c r="J1907" s="2210"/>
      <c r="K1907" s="2211"/>
    </row>
    <row r="1908" spans="1:11">
      <c r="A1908" s="2241"/>
      <c r="B1908" s="2234"/>
      <c r="C1908" s="2210"/>
      <c r="D1908" s="2234"/>
      <c r="E1908" s="2374"/>
      <c r="F1908" s="2235"/>
      <c r="G1908" s="2235"/>
      <c r="H1908" s="2210"/>
      <c r="I1908" s="2210"/>
      <c r="J1908" s="2210"/>
      <c r="K1908" s="2211"/>
    </row>
    <row r="1909" spans="1:11">
      <c r="A1909" s="2241"/>
      <c r="B1909" s="2234"/>
      <c r="C1909" s="2210"/>
      <c r="D1909" s="2234"/>
      <c r="E1909" s="2374"/>
      <c r="F1909" s="2235"/>
      <c r="G1909" s="2235"/>
      <c r="H1909" s="2210"/>
      <c r="I1909" s="2210"/>
      <c r="J1909" s="2210"/>
      <c r="K1909" s="2211"/>
    </row>
    <row r="1910" spans="1:11">
      <c r="A1910" s="2241"/>
      <c r="B1910" s="2234"/>
      <c r="C1910" s="2210"/>
      <c r="D1910" s="2234"/>
      <c r="E1910" s="2374"/>
      <c r="F1910" s="2235"/>
      <c r="G1910" s="2235"/>
      <c r="H1910" s="2210"/>
      <c r="I1910" s="2210"/>
      <c r="J1910" s="2210"/>
      <c r="K1910" s="2211"/>
    </row>
    <row r="1911" spans="1:11">
      <c r="A1911" s="2241"/>
      <c r="B1911" s="2234"/>
      <c r="C1911" s="2210"/>
      <c r="D1911" s="2234"/>
      <c r="E1911" s="2374"/>
      <c r="F1911" s="2235"/>
      <c r="G1911" s="2235"/>
      <c r="H1911" s="2210"/>
      <c r="I1911" s="2210"/>
      <c r="J1911" s="2210"/>
      <c r="K1911" s="2211"/>
    </row>
    <row r="1912" spans="1:11">
      <c r="A1912" s="2241"/>
      <c r="B1912" s="2234"/>
      <c r="C1912" s="2210"/>
      <c r="D1912" s="2234"/>
      <c r="E1912" s="2374"/>
      <c r="F1912" s="2235"/>
      <c r="G1912" s="2235"/>
      <c r="H1912" s="2210"/>
      <c r="I1912" s="2210"/>
      <c r="J1912" s="2210"/>
      <c r="K1912" s="2211"/>
    </row>
    <row r="1913" spans="1:11">
      <c r="A1913" s="2241"/>
      <c r="B1913" s="2234"/>
      <c r="C1913" s="2210"/>
      <c r="D1913" s="2234"/>
      <c r="E1913" s="2374"/>
      <c r="F1913" s="2235"/>
      <c r="G1913" s="2235"/>
      <c r="H1913" s="2210"/>
      <c r="I1913" s="2210"/>
      <c r="J1913" s="2210"/>
      <c r="K1913" s="2211"/>
    </row>
    <row r="1914" spans="1:11">
      <c r="A1914" s="2241"/>
      <c r="B1914" s="2234"/>
      <c r="C1914" s="2210"/>
      <c r="D1914" s="2234"/>
      <c r="E1914" s="2374"/>
      <c r="F1914" s="2235"/>
      <c r="G1914" s="2235"/>
      <c r="H1914" s="2210"/>
      <c r="I1914" s="2210"/>
      <c r="J1914" s="2210"/>
      <c r="K1914" s="2211"/>
    </row>
    <row r="1915" spans="1:11">
      <c r="A1915" s="2241"/>
      <c r="B1915" s="2234"/>
      <c r="C1915" s="2210"/>
      <c r="D1915" s="2234"/>
      <c r="E1915" s="2374"/>
      <c r="F1915" s="2235"/>
      <c r="G1915" s="2235"/>
      <c r="H1915" s="2210"/>
      <c r="I1915" s="2210"/>
      <c r="J1915" s="2210"/>
      <c r="K1915" s="2211"/>
    </row>
    <row r="1916" spans="1:11">
      <c r="A1916" s="2241"/>
      <c r="B1916" s="2234"/>
      <c r="C1916" s="2210"/>
      <c r="D1916" s="2234"/>
      <c r="E1916" s="2374"/>
      <c r="F1916" s="2235"/>
      <c r="G1916" s="2235"/>
      <c r="H1916" s="2210"/>
      <c r="I1916" s="2210"/>
      <c r="J1916" s="2210"/>
      <c r="K1916" s="2211"/>
    </row>
    <row r="1917" spans="1:11">
      <c r="A1917" s="2241"/>
      <c r="B1917" s="2234"/>
      <c r="C1917" s="2210"/>
      <c r="D1917" s="2234"/>
      <c r="E1917" s="2374"/>
      <c r="F1917" s="2235"/>
      <c r="G1917" s="2235"/>
      <c r="H1917" s="2210"/>
      <c r="I1917" s="2210"/>
      <c r="J1917" s="2210"/>
      <c r="K1917" s="2211"/>
    </row>
    <row r="1918" spans="1:11">
      <c r="A1918" s="2241"/>
      <c r="B1918" s="2234"/>
      <c r="C1918" s="2210"/>
      <c r="D1918" s="2234"/>
      <c r="E1918" s="2374"/>
      <c r="F1918" s="2235"/>
      <c r="G1918" s="2235"/>
      <c r="H1918" s="2210"/>
      <c r="I1918" s="2210"/>
      <c r="J1918" s="2210"/>
      <c r="K1918" s="2211"/>
    </row>
    <row r="1919" spans="1:11">
      <c r="A1919" s="2241"/>
      <c r="B1919" s="2234"/>
      <c r="C1919" s="2210"/>
      <c r="D1919" s="2234"/>
      <c r="E1919" s="2374"/>
      <c r="F1919" s="2235"/>
      <c r="G1919" s="2235"/>
      <c r="H1919" s="2210"/>
      <c r="I1919" s="2210"/>
      <c r="J1919" s="2210"/>
      <c r="K1919" s="2211"/>
    </row>
    <row r="1920" spans="1:11">
      <c r="A1920" s="2241"/>
      <c r="B1920" s="2234"/>
      <c r="C1920" s="2210"/>
      <c r="D1920" s="2234"/>
      <c r="E1920" s="2374"/>
      <c r="F1920" s="2235"/>
      <c r="G1920" s="2235"/>
      <c r="H1920" s="2210"/>
      <c r="I1920" s="2210"/>
      <c r="J1920" s="2210"/>
      <c r="K1920" s="2211"/>
    </row>
    <row r="1921" spans="1:11">
      <c r="A1921" s="2241"/>
      <c r="B1921" s="2234"/>
      <c r="C1921" s="2210"/>
      <c r="D1921" s="2234"/>
      <c r="E1921" s="2374"/>
      <c r="F1921" s="2235"/>
      <c r="G1921" s="2235"/>
      <c r="H1921" s="2210"/>
      <c r="I1921" s="2210"/>
      <c r="J1921" s="2210"/>
      <c r="K1921" s="2211"/>
    </row>
    <row r="1922" spans="1:11">
      <c r="A1922" s="2241"/>
      <c r="B1922" s="2234"/>
      <c r="C1922" s="2210"/>
      <c r="D1922" s="2234"/>
      <c r="E1922" s="2374"/>
      <c r="F1922" s="2235"/>
      <c r="G1922" s="2235"/>
      <c r="H1922" s="2210"/>
      <c r="I1922" s="2210"/>
      <c r="J1922" s="2210"/>
      <c r="K1922" s="2211"/>
    </row>
    <row r="1923" spans="1:11">
      <c r="A1923" s="2241"/>
      <c r="B1923" s="2234"/>
      <c r="C1923" s="2210"/>
      <c r="D1923" s="2234"/>
      <c r="E1923" s="2374"/>
      <c r="F1923" s="2235"/>
      <c r="G1923" s="2235"/>
      <c r="H1923" s="2210"/>
      <c r="I1923" s="2210"/>
      <c r="J1923" s="2210"/>
      <c r="K1923" s="2211"/>
    </row>
    <row r="1924" spans="1:11">
      <c r="A1924" s="2241"/>
      <c r="B1924" s="2234"/>
      <c r="C1924" s="2210"/>
      <c r="D1924" s="2234"/>
      <c r="E1924" s="2374"/>
      <c r="F1924" s="2235"/>
      <c r="G1924" s="2235"/>
      <c r="H1924" s="2210"/>
      <c r="I1924" s="2210"/>
      <c r="J1924" s="2210"/>
      <c r="K1924" s="2211"/>
    </row>
    <row r="1925" spans="1:11">
      <c r="A1925" s="2241"/>
      <c r="B1925" s="2234"/>
      <c r="C1925" s="2210"/>
      <c r="D1925" s="2234"/>
      <c r="E1925" s="2374"/>
      <c r="F1925" s="2235"/>
      <c r="G1925" s="2235"/>
      <c r="H1925" s="2210"/>
      <c r="I1925" s="2210"/>
      <c r="J1925" s="2210"/>
      <c r="K1925" s="2211"/>
    </row>
    <row r="1926" spans="1:11">
      <c r="A1926" s="2241"/>
      <c r="B1926" s="2234"/>
      <c r="C1926" s="2210"/>
      <c r="D1926" s="2234"/>
      <c r="E1926" s="2374"/>
      <c r="F1926" s="2235"/>
      <c r="G1926" s="2235"/>
      <c r="H1926" s="2210"/>
      <c r="I1926" s="2210"/>
      <c r="J1926" s="2210"/>
      <c r="K1926" s="2211"/>
    </row>
    <row r="1927" spans="1:11">
      <c r="A1927" s="2241"/>
      <c r="B1927" s="2234"/>
      <c r="C1927" s="2210"/>
      <c r="D1927" s="2234"/>
      <c r="E1927" s="2374"/>
      <c r="F1927" s="2235"/>
      <c r="G1927" s="2235"/>
      <c r="H1927" s="2210"/>
      <c r="I1927" s="2210"/>
      <c r="J1927" s="2210"/>
      <c r="K1927" s="2211"/>
    </row>
    <row r="1928" spans="1:11">
      <c r="A1928" s="2241"/>
      <c r="B1928" s="2234"/>
      <c r="C1928" s="2210"/>
      <c r="D1928" s="2234"/>
      <c r="E1928" s="2374"/>
      <c r="F1928" s="2235"/>
      <c r="G1928" s="2235"/>
      <c r="H1928" s="2210"/>
      <c r="I1928" s="2210"/>
      <c r="J1928" s="2210"/>
      <c r="K1928" s="2211"/>
    </row>
    <row r="1929" spans="1:11">
      <c r="A1929" s="2241"/>
      <c r="B1929" s="2234"/>
      <c r="C1929" s="2210"/>
      <c r="D1929" s="2234"/>
      <c r="E1929" s="2374"/>
      <c r="F1929" s="2235"/>
      <c r="G1929" s="2235"/>
      <c r="H1929" s="2210"/>
      <c r="I1929" s="2210"/>
      <c r="J1929" s="2210"/>
      <c r="K1929" s="2211"/>
    </row>
    <row r="1930" spans="1:11">
      <c r="A1930" s="2241"/>
      <c r="B1930" s="2234"/>
      <c r="C1930" s="2210"/>
      <c r="D1930" s="2234"/>
      <c r="E1930" s="2374"/>
      <c r="F1930" s="2235"/>
      <c r="G1930" s="2235"/>
      <c r="H1930" s="2210"/>
      <c r="I1930" s="2210"/>
      <c r="J1930" s="2210"/>
      <c r="K1930" s="2211"/>
    </row>
    <row r="1931" spans="1:11">
      <c r="A1931" s="2241"/>
      <c r="B1931" s="2234"/>
      <c r="C1931" s="2210"/>
      <c r="D1931" s="2234"/>
      <c r="E1931" s="2374"/>
      <c r="F1931" s="2235"/>
      <c r="G1931" s="2235"/>
      <c r="H1931" s="2210"/>
      <c r="I1931" s="2210"/>
      <c r="J1931" s="2210"/>
      <c r="K1931" s="2211"/>
    </row>
    <row r="1932" spans="1:11">
      <c r="A1932" s="2241"/>
      <c r="B1932" s="2234"/>
      <c r="C1932" s="2210"/>
      <c r="D1932" s="2234"/>
      <c r="E1932" s="2374"/>
      <c r="F1932" s="2235"/>
      <c r="G1932" s="2235"/>
      <c r="H1932" s="2210"/>
      <c r="I1932" s="2210"/>
      <c r="J1932" s="2210"/>
      <c r="K1932" s="2211"/>
    </row>
    <row r="1933" spans="1:11">
      <c r="A1933" s="2241"/>
      <c r="B1933" s="2234"/>
      <c r="C1933" s="2210"/>
      <c r="D1933" s="2234"/>
      <c r="E1933" s="2374"/>
      <c r="F1933" s="2235"/>
      <c r="G1933" s="2235"/>
      <c r="H1933" s="2210"/>
      <c r="I1933" s="2210"/>
      <c r="J1933" s="2210"/>
      <c r="K1933" s="2211"/>
    </row>
    <row r="1934" spans="1:11">
      <c r="A1934" s="2241"/>
      <c r="B1934" s="2234"/>
      <c r="C1934" s="2210"/>
      <c r="D1934" s="2234"/>
      <c r="E1934" s="2374"/>
      <c r="F1934" s="2235"/>
      <c r="G1934" s="2235"/>
      <c r="H1934" s="2210"/>
      <c r="I1934" s="2210"/>
      <c r="J1934" s="2210"/>
      <c r="K1934" s="2211"/>
    </row>
    <row r="1935" spans="1:11">
      <c r="A1935" s="2241"/>
      <c r="B1935" s="2234"/>
      <c r="C1935" s="2210"/>
      <c r="D1935" s="2234"/>
      <c r="E1935" s="2374"/>
      <c r="F1935" s="2235"/>
      <c r="G1935" s="2235"/>
      <c r="H1935" s="2210"/>
      <c r="I1935" s="2210"/>
      <c r="J1935" s="2210"/>
      <c r="K1935" s="2211"/>
    </row>
    <row r="1936" spans="1:11">
      <c r="A1936" s="2241"/>
      <c r="B1936" s="2234"/>
      <c r="C1936" s="2210"/>
      <c r="D1936" s="2234"/>
      <c r="E1936" s="2374"/>
      <c r="F1936" s="2235"/>
      <c r="G1936" s="2235"/>
      <c r="H1936" s="2210"/>
      <c r="I1936" s="2210"/>
      <c r="J1936" s="2210"/>
      <c r="K1936" s="2211"/>
    </row>
    <row r="1937" spans="1:11">
      <c r="A1937" s="2241"/>
      <c r="B1937" s="2234"/>
      <c r="C1937" s="2210"/>
      <c r="D1937" s="2234"/>
      <c r="E1937" s="2374"/>
      <c r="F1937" s="2235"/>
      <c r="G1937" s="2235"/>
      <c r="H1937" s="2210"/>
      <c r="I1937" s="2210"/>
      <c r="J1937" s="2210"/>
      <c r="K1937" s="2211"/>
    </row>
    <row r="1938" spans="1:11">
      <c r="A1938" s="2241"/>
      <c r="B1938" s="2234"/>
      <c r="C1938" s="2210"/>
      <c r="D1938" s="2234"/>
      <c r="E1938" s="2374"/>
      <c r="F1938" s="2235"/>
      <c r="G1938" s="2235"/>
      <c r="H1938" s="2210"/>
      <c r="I1938" s="2210"/>
      <c r="J1938" s="2210"/>
      <c r="K1938" s="2211"/>
    </row>
    <row r="1939" spans="1:11">
      <c r="A1939" s="2241"/>
      <c r="B1939" s="2234"/>
      <c r="C1939" s="2210"/>
      <c r="D1939" s="2234"/>
      <c r="E1939" s="2374"/>
      <c r="F1939" s="2235"/>
      <c r="G1939" s="2235"/>
      <c r="H1939" s="2210"/>
      <c r="I1939" s="2210"/>
      <c r="J1939" s="2210"/>
      <c r="K1939" s="2211"/>
    </row>
    <row r="1940" spans="1:11">
      <c r="A1940" s="2241"/>
      <c r="B1940" s="2234"/>
      <c r="C1940" s="2210"/>
      <c r="D1940" s="2234"/>
      <c r="E1940" s="2374"/>
      <c r="F1940" s="2235"/>
      <c r="G1940" s="2235"/>
      <c r="H1940" s="2210"/>
      <c r="I1940" s="2210"/>
      <c r="J1940" s="2210"/>
      <c r="K1940" s="2211"/>
    </row>
    <row r="1941" spans="1:11">
      <c r="A1941" s="2241"/>
      <c r="B1941" s="2234"/>
      <c r="C1941" s="2210"/>
      <c r="D1941" s="2234"/>
      <c r="E1941" s="2374"/>
      <c r="F1941" s="2235"/>
      <c r="G1941" s="2235"/>
      <c r="H1941" s="2210"/>
      <c r="I1941" s="2210"/>
      <c r="J1941" s="2210"/>
      <c r="K1941" s="2211"/>
    </row>
    <row r="1942" spans="1:11">
      <c r="A1942" s="2241"/>
      <c r="B1942" s="2234"/>
      <c r="C1942" s="2210"/>
      <c r="D1942" s="2234"/>
      <c r="E1942" s="2374"/>
      <c r="F1942" s="2235"/>
      <c r="G1942" s="2235"/>
      <c r="H1942" s="2210"/>
      <c r="I1942" s="2210"/>
      <c r="J1942" s="2210"/>
      <c r="K1942" s="2211"/>
    </row>
    <row r="1943" spans="1:11">
      <c r="A1943" s="2241"/>
      <c r="B1943" s="2234"/>
      <c r="C1943" s="2210"/>
      <c r="D1943" s="2234"/>
      <c r="E1943" s="2374"/>
      <c r="F1943" s="2235"/>
      <c r="G1943" s="2235"/>
      <c r="H1943" s="2210"/>
      <c r="I1943" s="2210"/>
      <c r="J1943" s="2210"/>
      <c r="K1943" s="2211"/>
    </row>
    <row r="1944" spans="1:11">
      <c r="A1944" s="2241"/>
      <c r="B1944" s="2234"/>
      <c r="C1944" s="2210"/>
      <c r="D1944" s="2234"/>
      <c r="E1944" s="2374"/>
      <c r="F1944" s="2235"/>
      <c r="G1944" s="2235"/>
      <c r="H1944" s="2210"/>
      <c r="I1944" s="2210"/>
      <c r="J1944" s="2210"/>
      <c r="K1944" s="2211"/>
    </row>
    <row r="1945" spans="1:11">
      <c r="A1945" s="2241"/>
      <c r="B1945" s="2234"/>
      <c r="C1945" s="2210"/>
      <c r="D1945" s="2234"/>
      <c r="E1945" s="2374"/>
      <c r="F1945" s="2235"/>
      <c r="G1945" s="2235"/>
      <c r="H1945" s="2210"/>
      <c r="I1945" s="2210"/>
      <c r="J1945" s="2210"/>
      <c r="K1945" s="2211"/>
    </row>
    <row r="1946" spans="1:11">
      <c r="A1946" s="2241"/>
      <c r="B1946" s="2234"/>
      <c r="C1946" s="2210"/>
      <c r="D1946" s="2234"/>
      <c r="E1946" s="2374"/>
      <c r="F1946" s="2235"/>
      <c r="G1946" s="2235"/>
      <c r="H1946" s="2210"/>
      <c r="I1946" s="2210"/>
      <c r="J1946" s="2210"/>
      <c r="K1946" s="2211"/>
    </row>
    <row r="1947" spans="1:11">
      <c r="A1947" s="2241"/>
      <c r="B1947" s="2234"/>
      <c r="C1947" s="2210"/>
      <c r="D1947" s="2234"/>
      <c r="E1947" s="2374"/>
      <c r="F1947" s="2235"/>
      <c r="G1947" s="2235"/>
      <c r="H1947" s="2210"/>
      <c r="I1947" s="2210"/>
      <c r="J1947" s="2210"/>
      <c r="K1947" s="2211"/>
    </row>
    <row r="1948" spans="1:11">
      <c r="A1948" s="2241"/>
      <c r="B1948" s="2234"/>
      <c r="C1948" s="2210"/>
      <c r="D1948" s="2234"/>
      <c r="E1948" s="2374"/>
      <c r="F1948" s="2235"/>
      <c r="G1948" s="2235"/>
      <c r="H1948" s="2210"/>
      <c r="I1948" s="2210"/>
      <c r="J1948" s="2210"/>
      <c r="K1948" s="2211"/>
    </row>
    <row r="1949" spans="1:11">
      <c r="A1949" s="2241"/>
      <c r="B1949" s="2234"/>
      <c r="C1949" s="2210"/>
      <c r="D1949" s="2234"/>
      <c r="E1949" s="2374"/>
      <c r="F1949" s="2235"/>
      <c r="G1949" s="2235"/>
      <c r="H1949" s="2210"/>
      <c r="I1949" s="2210"/>
      <c r="J1949" s="2210"/>
      <c r="K1949" s="2211"/>
    </row>
    <row r="1950" spans="1:11">
      <c r="A1950" s="2241"/>
      <c r="B1950" s="2234"/>
      <c r="C1950" s="2210"/>
      <c r="D1950" s="2234"/>
      <c r="E1950" s="2374"/>
      <c r="F1950" s="2235"/>
      <c r="G1950" s="2235"/>
      <c r="H1950" s="2210"/>
      <c r="I1950" s="2210"/>
      <c r="J1950" s="2210"/>
      <c r="K1950" s="2211"/>
    </row>
    <row r="1951" spans="1:11">
      <c r="A1951" s="2241"/>
      <c r="B1951" s="2234"/>
      <c r="C1951" s="2210"/>
      <c r="D1951" s="2234"/>
      <c r="E1951" s="2374"/>
      <c r="F1951" s="2235"/>
      <c r="G1951" s="2235"/>
      <c r="H1951" s="2210"/>
      <c r="I1951" s="2210"/>
      <c r="J1951" s="2210"/>
      <c r="K1951" s="2211"/>
    </row>
    <row r="1952" spans="1:11">
      <c r="A1952" s="2241"/>
      <c r="B1952" s="2234"/>
      <c r="C1952" s="2210"/>
      <c r="D1952" s="2234"/>
      <c r="E1952" s="2374"/>
      <c r="F1952" s="2235"/>
      <c r="G1952" s="2235"/>
      <c r="H1952" s="2210"/>
      <c r="I1952" s="2210"/>
      <c r="J1952" s="2210"/>
      <c r="K1952" s="2211"/>
    </row>
    <row r="1953" spans="1:11">
      <c r="A1953" s="2241"/>
      <c r="B1953" s="2234"/>
      <c r="C1953" s="2210"/>
      <c r="D1953" s="2234"/>
      <c r="E1953" s="2374"/>
      <c r="F1953" s="2235"/>
      <c r="G1953" s="2235"/>
      <c r="H1953" s="2210"/>
      <c r="I1953" s="2210"/>
      <c r="J1953" s="2210"/>
      <c r="K1953" s="2211"/>
    </row>
    <row r="1954" spans="1:11">
      <c r="A1954" s="2241"/>
      <c r="B1954" s="2234"/>
      <c r="C1954" s="2210"/>
      <c r="D1954" s="2234"/>
      <c r="E1954" s="2374"/>
      <c r="F1954" s="2235"/>
      <c r="G1954" s="2235"/>
      <c r="H1954" s="2210"/>
      <c r="I1954" s="2210"/>
      <c r="J1954" s="2210"/>
      <c r="K1954" s="2211"/>
    </row>
    <row r="1955" spans="1:11">
      <c r="A1955" s="2241"/>
      <c r="B1955" s="2234"/>
      <c r="C1955" s="2210"/>
      <c r="D1955" s="2234"/>
      <c r="E1955" s="2374"/>
      <c r="F1955" s="2235"/>
      <c r="G1955" s="2235"/>
      <c r="H1955" s="2210"/>
      <c r="I1955" s="2210"/>
      <c r="J1955" s="2210"/>
      <c r="K1955" s="2211"/>
    </row>
    <row r="1956" spans="1:11">
      <c r="A1956" s="2241"/>
      <c r="B1956" s="2234"/>
      <c r="C1956" s="2210"/>
      <c r="D1956" s="2234"/>
      <c r="E1956" s="2374"/>
      <c r="F1956" s="2235"/>
      <c r="G1956" s="2235"/>
      <c r="H1956" s="2210"/>
      <c r="I1956" s="2210"/>
      <c r="J1956" s="2210"/>
      <c r="K1956" s="2211"/>
    </row>
    <row r="1957" spans="1:11">
      <c r="A1957" s="2241"/>
      <c r="B1957" s="2234"/>
      <c r="C1957" s="2210"/>
      <c r="D1957" s="2234"/>
      <c r="E1957" s="2374"/>
      <c r="F1957" s="2235"/>
      <c r="G1957" s="2235"/>
      <c r="H1957" s="2210"/>
      <c r="I1957" s="2210"/>
      <c r="J1957" s="2210"/>
      <c r="K1957" s="2211"/>
    </row>
    <row r="1958" spans="1:11">
      <c r="A1958" s="2241"/>
      <c r="B1958" s="2234"/>
      <c r="C1958" s="2210"/>
      <c r="D1958" s="2234"/>
      <c r="E1958" s="2374"/>
      <c r="F1958" s="2235"/>
      <c r="G1958" s="2235"/>
      <c r="H1958" s="2210"/>
      <c r="I1958" s="2210"/>
      <c r="J1958" s="2210"/>
      <c r="K1958" s="2211"/>
    </row>
    <row r="1959" spans="1:11">
      <c r="A1959" s="2241"/>
      <c r="B1959" s="2234"/>
      <c r="C1959" s="2210"/>
      <c r="D1959" s="2234"/>
      <c r="E1959" s="2374"/>
      <c r="F1959" s="2235"/>
      <c r="G1959" s="2235"/>
      <c r="H1959" s="2210"/>
      <c r="I1959" s="2210"/>
      <c r="J1959" s="2210"/>
      <c r="K1959" s="2211"/>
    </row>
    <row r="1960" spans="1:11">
      <c r="A1960" s="2241"/>
      <c r="B1960" s="2234"/>
      <c r="C1960" s="2210"/>
      <c r="D1960" s="2234"/>
      <c r="E1960" s="2374"/>
      <c r="F1960" s="2235"/>
      <c r="G1960" s="2235"/>
      <c r="H1960" s="2210"/>
      <c r="I1960" s="2210"/>
      <c r="J1960" s="2210"/>
      <c r="K1960" s="2211"/>
    </row>
    <row r="1961" spans="1:11">
      <c r="A1961" s="2241"/>
      <c r="B1961" s="2234"/>
      <c r="C1961" s="2210"/>
      <c r="D1961" s="2234"/>
      <c r="E1961" s="2374"/>
      <c r="F1961" s="2235"/>
      <c r="G1961" s="2235"/>
      <c r="H1961" s="2210"/>
      <c r="I1961" s="2210"/>
      <c r="J1961" s="2210"/>
      <c r="K1961" s="2211"/>
    </row>
    <row r="1962" spans="1:11">
      <c r="A1962" s="2241"/>
      <c r="B1962" s="2234"/>
      <c r="C1962" s="2210"/>
      <c r="D1962" s="2234"/>
      <c r="E1962" s="2374"/>
      <c r="F1962" s="2235"/>
      <c r="G1962" s="2235"/>
      <c r="H1962" s="2210"/>
      <c r="I1962" s="2210"/>
      <c r="J1962" s="2210"/>
      <c r="K1962" s="2211"/>
    </row>
    <row r="1963" spans="1:11">
      <c r="A1963" s="2241"/>
      <c r="B1963" s="2234"/>
      <c r="C1963" s="2210"/>
      <c r="D1963" s="2234"/>
      <c r="E1963" s="2374"/>
      <c r="F1963" s="2235"/>
      <c r="G1963" s="2235"/>
      <c r="H1963" s="2210"/>
      <c r="I1963" s="2210"/>
      <c r="J1963" s="2210"/>
      <c r="K1963" s="2211"/>
    </row>
    <row r="1964" spans="1:11">
      <c r="A1964" s="2241"/>
      <c r="B1964" s="2234"/>
      <c r="C1964" s="2210"/>
      <c r="D1964" s="2234"/>
      <c r="E1964" s="2374"/>
      <c r="F1964" s="2235"/>
      <c r="G1964" s="2235"/>
      <c r="H1964" s="2210"/>
      <c r="I1964" s="2210"/>
      <c r="J1964" s="2210"/>
      <c r="K1964" s="2211"/>
    </row>
    <row r="1965" spans="1:11">
      <c r="A1965" s="2241"/>
      <c r="B1965" s="2234"/>
      <c r="C1965" s="2210"/>
      <c r="D1965" s="2234"/>
      <c r="E1965" s="2374"/>
      <c r="F1965" s="2235"/>
      <c r="G1965" s="2235"/>
      <c r="H1965" s="2210"/>
      <c r="I1965" s="2210"/>
      <c r="J1965" s="2210"/>
      <c r="K1965" s="2211"/>
    </row>
    <row r="1966" spans="1:11">
      <c r="A1966" s="2241"/>
      <c r="B1966" s="2234"/>
      <c r="C1966" s="2210"/>
      <c r="D1966" s="2234"/>
      <c r="E1966" s="2374"/>
      <c r="F1966" s="2235"/>
      <c r="G1966" s="2235"/>
      <c r="H1966" s="2210"/>
      <c r="I1966" s="2210"/>
      <c r="J1966" s="2210"/>
      <c r="K1966" s="2211"/>
    </row>
    <row r="1967" spans="1:11">
      <c r="A1967" s="2241"/>
      <c r="B1967" s="2234"/>
      <c r="C1967" s="2210"/>
      <c r="D1967" s="2234"/>
      <c r="E1967" s="2374"/>
      <c r="F1967" s="2235"/>
      <c r="G1967" s="2235"/>
      <c r="H1967" s="2210"/>
      <c r="I1967" s="2210"/>
      <c r="J1967" s="2210"/>
      <c r="K1967" s="2211"/>
    </row>
    <row r="1968" spans="1:11">
      <c r="A1968" s="2241"/>
      <c r="B1968" s="2234"/>
      <c r="C1968" s="2210"/>
      <c r="D1968" s="2234"/>
      <c r="E1968" s="2374"/>
      <c r="F1968" s="2235"/>
      <c r="G1968" s="2235"/>
      <c r="H1968" s="2210"/>
      <c r="I1968" s="2210"/>
      <c r="J1968" s="2210"/>
      <c r="K1968" s="2211"/>
    </row>
    <row r="1969" spans="1:11">
      <c r="A1969" s="2241"/>
      <c r="B1969" s="2234"/>
      <c r="C1969" s="2210"/>
      <c r="D1969" s="2234"/>
      <c r="E1969" s="2374"/>
      <c r="F1969" s="2235"/>
      <c r="G1969" s="2235"/>
      <c r="H1969" s="2210"/>
      <c r="I1969" s="2210"/>
      <c r="J1969" s="2210"/>
      <c r="K1969" s="2211"/>
    </row>
    <row r="1970" spans="1:11">
      <c r="A1970" s="2241"/>
      <c r="B1970" s="2234"/>
      <c r="C1970" s="2210"/>
      <c r="D1970" s="2234"/>
      <c r="E1970" s="2374"/>
      <c r="F1970" s="2235"/>
      <c r="G1970" s="2235"/>
      <c r="H1970" s="2210"/>
      <c r="I1970" s="2210"/>
      <c r="J1970" s="2210"/>
      <c r="K1970" s="2211"/>
    </row>
    <row r="1971" spans="1:11">
      <c r="A1971" s="2241"/>
      <c r="B1971" s="2234"/>
      <c r="C1971" s="2210"/>
      <c r="D1971" s="2234"/>
      <c r="E1971" s="2374"/>
      <c r="F1971" s="2235"/>
      <c r="G1971" s="2235"/>
      <c r="H1971" s="2210"/>
      <c r="I1971" s="2210"/>
      <c r="J1971" s="2210"/>
      <c r="K1971" s="2211"/>
    </row>
    <row r="1972" spans="1:11">
      <c r="A1972" s="2241"/>
      <c r="B1972" s="2234"/>
      <c r="C1972" s="2210"/>
      <c r="D1972" s="2234"/>
      <c r="E1972" s="2374"/>
      <c r="F1972" s="2235"/>
      <c r="G1972" s="2235"/>
      <c r="H1972" s="2210"/>
      <c r="I1972" s="2210"/>
      <c r="J1972" s="2210"/>
      <c r="K1972" s="2211"/>
    </row>
    <row r="1973" spans="1:11">
      <c r="A1973" s="2241"/>
      <c r="B1973" s="2234"/>
      <c r="C1973" s="2210"/>
      <c r="D1973" s="2234"/>
      <c r="E1973" s="2374"/>
      <c r="F1973" s="2235"/>
      <c r="G1973" s="2235"/>
      <c r="H1973" s="2210"/>
      <c r="I1973" s="2210"/>
      <c r="J1973" s="2210"/>
      <c r="K1973" s="2211"/>
    </row>
    <row r="1974" spans="1:11">
      <c r="A1974" s="2241"/>
      <c r="B1974" s="2234"/>
      <c r="C1974" s="2210"/>
      <c r="D1974" s="2234"/>
      <c r="E1974" s="2374"/>
      <c r="F1974" s="2235"/>
      <c r="G1974" s="2235"/>
      <c r="H1974" s="2210"/>
      <c r="I1974" s="2210"/>
      <c r="J1974" s="2210"/>
      <c r="K1974" s="2211"/>
    </row>
    <row r="1975" spans="1:11">
      <c r="A1975" s="2241"/>
      <c r="B1975" s="2234"/>
      <c r="C1975" s="2210"/>
      <c r="D1975" s="2234"/>
      <c r="E1975" s="2374"/>
      <c r="F1975" s="2235"/>
      <c r="G1975" s="2235"/>
      <c r="H1975" s="2210"/>
      <c r="I1975" s="2210"/>
      <c r="J1975" s="2210"/>
      <c r="K1975" s="2211"/>
    </row>
    <row r="1976" spans="1:11">
      <c r="A1976" s="2241"/>
      <c r="B1976" s="2234"/>
      <c r="C1976" s="2210"/>
      <c r="D1976" s="2234"/>
      <c r="E1976" s="2374"/>
      <c r="F1976" s="2235"/>
      <c r="G1976" s="2235"/>
      <c r="H1976" s="2210"/>
      <c r="I1976" s="2210"/>
      <c r="J1976" s="2210"/>
      <c r="K1976" s="2211"/>
    </row>
    <row r="1977" spans="1:11">
      <c r="A1977" s="2241"/>
      <c r="B1977" s="2234"/>
      <c r="C1977" s="2210"/>
      <c r="D1977" s="2234"/>
      <c r="E1977" s="2374"/>
      <c r="F1977" s="2235"/>
      <c r="G1977" s="2235"/>
      <c r="H1977" s="2210"/>
      <c r="I1977" s="2210"/>
      <c r="J1977" s="2210"/>
      <c r="K1977" s="2211"/>
    </row>
    <row r="1978" spans="1:11">
      <c r="A1978" s="2241"/>
      <c r="B1978" s="2234"/>
      <c r="C1978" s="2210"/>
      <c r="D1978" s="2234"/>
      <c r="E1978" s="2374"/>
      <c r="F1978" s="2235"/>
      <c r="G1978" s="2235"/>
      <c r="H1978" s="2210"/>
      <c r="I1978" s="2210"/>
      <c r="J1978" s="2210"/>
      <c r="K1978" s="2211"/>
    </row>
    <row r="1979" spans="1:11">
      <c r="A1979" s="2241"/>
      <c r="B1979" s="2234"/>
      <c r="C1979" s="2210"/>
      <c r="D1979" s="2234"/>
      <c r="E1979" s="2374"/>
      <c r="F1979" s="2235"/>
      <c r="G1979" s="2235"/>
      <c r="H1979" s="2210"/>
      <c r="I1979" s="2210"/>
      <c r="J1979" s="2210"/>
      <c r="K1979" s="2211"/>
    </row>
    <row r="1980" spans="1:11">
      <c r="A1980" s="2241"/>
      <c r="B1980" s="2234"/>
      <c r="C1980" s="2210"/>
      <c r="D1980" s="2234"/>
      <c r="E1980" s="2374"/>
      <c r="F1980" s="2235"/>
      <c r="G1980" s="2235"/>
      <c r="H1980" s="2210"/>
      <c r="I1980" s="2210"/>
      <c r="J1980" s="2210"/>
      <c r="K1980" s="2211"/>
    </row>
    <row r="1981" spans="1:11">
      <c r="A1981" s="2241"/>
      <c r="B1981" s="2234"/>
      <c r="C1981" s="2210"/>
      <c r="D1981" s="2234"/>
      <c r="E1981" s="2374"/>
      <c r="F1981" s="2235"/>
      <c r="G1981" s="2235"/>
      <c r="H1981" s="2210"/>
      <c r="I1981" s="2210"/>
      <c r="J1981" s="2210"/>
      <c r="K1981" s="2211"/>
    </row>
    <row r="1982" spans="1:11">
      <c r="A1982" s="2241"/>
      <c r="B1982" s="2234"/>
      <c r="C1982" s="2210"/>
      <c r="D1982" s="2234"/>
      <c r="E1982" s="2374"/>
      <c r="F1982" s="2235"/>
      <c r="G1982" s="2235"/>
      <c r="H1982" s="2210"/>
      <c r="I1982" s="2210"/>
      <c r="J1982" s="2210"/>
      <c r="K1982" s="2211"/>
    </row>
    <row r="1983" spans="1:11">
      <c r="A1983" s="2241"/>
      <c r="B1983" s="2234"/>
      <c r="C1983" s="2210"/>
      <c r="D1983" s="2234"/>
      <c r="E1983" s="2374"/>
      <c r="F1983" s="2235"/>
      <c r="G1983" s="2235"/>
      <c r="H1983" s="2210"/>
      <c r="I1983" s="2210"/>
      <c r="J1983" s="2210"/>
      <c r="K1983" s="2211"/>
    </row>
    <row r="1984" spans="1:11">
      <c r="A1984" s="2241"/>
      <c r="B1984" s="2234"/>
      <c r="C1984" s="2210"/>
      <c r="D1984" s="2234"/>
      <c r="E1984" s="2374"/>
      <c r="F1984" s="2235"/>
      <c r="G1984" s="2235"/>
      <c r="H1984" s="2210"/>
      <c r="I1984" s="2210"/>
      <c r="J1984" s="2210"/>
      <c r="K1984" s="2211"/>
    </row>
    <row r="1985" spans="1:11">
      <c r="A1985" s="2241"/>
      <c r="B1985" s="2234"/>
      <c r="C1985" s="2210"/>
      <c r="D1985" s="2234"/>
      <c r="E1985" s="2374"/>
      <c r="F1985" s="2235"/>
      <c r="G1985" s="2235"/>
      <c r="H1985" s="2210"/>
      <c r="I1985" s="2210"/>
      <c r="J1985" s="2210"/>
      <c r="K1985" s="2211"/>
    </row>
    <row r="1986" spans="1:11">
      <c r="A1986" s="2241"/>
      <c r="B1986" s="2234"/>
      <c r="C1986" s="2210"/>
      <c r="D1986" s="2234"/>
      <c r="E1986" s="2374"/>
      <c r="F1986" s="2235"/>
      <c r="G1986" s="2235"/>
      <c r="H1986" s="2210"/>
      <c r="I1986" s="2210"/>
      <c r="J1986" s="2210"/>
      <c r="K1986" s="2211"/>
    </row>
    <row r="1987" spans="1:11">
      <c r="A1987" s="2241"/>
      <c r="B1987" s="2234"/>
      <c r="C1987" s="2210"/>
      <c r="D1987" s="2234"/>
      <c r="E1987" s="2374"/>
      <c r="F1987" s="2235"/>
      <c r="G1987" s="2235"/>
      <c r="H1987" s="2210"/>
      <c r="I1987" s="2210"/>
      <c r="J1987" s="2210"/>
      <c r="K1987" s="2211"/>
    </row>
    <row r="1988" spans="1:11">
      <c r="A1988" s="2241"/>
      <c r="B1988" s="2234"/>
      <c r="C1988" s="2210"/>
      <c r="D1988" s="2234"/>
      <c r="E1988" s="2374"/>
      <c r="F1988" s="2235"/>
      <c r="G1988" s="2235"/>
      <c r="H1988" s="2210"/>
      <c r="I1988" s="2210"/>
      <c r="J1988" s="2210"/>
      <c r="K1988" s="2211"/>
    </row>
    <row r="1989" spans="1:11">
      <c r="A1989" s="2241"/>
      <c r="B1989" s="2234"/>
      <c r="C1989" s="2210"/>
      <c r="D1989" s="2234"/>
      <c r="E1989" s="2374"/>
      <c r="F1989" s="2235"/>
      <c r="G1989" s="2235"/>
      <c r="H1989" s="2210"/>
      <c r="I1989" s="2210"/>
      <c r="J1989" s="2210"/>
      <c r="K1989" s="2211"/>
    </row>
    <row r="1990" spans="1:11">
      <c r="A1990" s="2241"/>
      <c r="B1990" s="2234"/>
      <c r="C1990" s="2210"/>
      <c r="D1990" s="2234"/>
      <c r="E1990" s="2374"/>
      <c r="F1990" s="2235"/>
      <c r="G1990" s="2235"/>
      <c r="H1990" s="2210"/>
      <c r="I1990" s="2210"/>
      <c r="J1990" s="2210"/>
      <c r="K1990" s="2211"/>
    </row>
    <row r="1991" spans="1:11">
      <c r="A1991" s="2241"/>
      <c r="B1991" s="2234"/>
      <c r="C1991" s="2210"/>
      <c r="D1991" s="2234"/>
      <c r="E1991" s="2374"/>
      <c r="F1991" s="2235"/>
      <c r="G1991" s="2235"/>
      <c r="H1991" s="2210"/>
      <c r="I1991" s="2210"/>
      <c r="J1991" s="2210"/>
      <c r="K1991" s="2211"/>
    </row>
    <row r="1992" spans="1:11">
      <c r="A1992" s="2241"/>
      <c r="B1992" s="2234"/>
      <c r="C1992" s="2210"/>
      <c r="D1992" s="2234"/>
      <c r="E1992" s="2374"/>
      <c r="F1992" s="2235"/>
      <c r="G1992" s="2235"/>
      <c r="H1992" s="2210"/>
      <c r="I1992" s="2210"/>
      <c r="J1992" s="2210"/>
      <c r="K1992" s="2211"/>
    </row>
    <row r="1993" spans="1:11">
      <c r="A1993" s="2241"/>
      <c r="B1993" s="2234"/>
      <c r="C1993" s="2210"/>
      <c r="D1993" s="2234"/>
      <c r="E1993" s="2374"/>
      <c r="F1993" s="2235"/>
      <c r="G1993" s="2235"/>
      <c r="H1993" s="2210"/>
      <c r="I1993" s="2210"/>
      <c r="J1993" s="2210"/>
      <c r="K1993" s="2211"/>
    </row>
    <row r="1994" spans="1:11">
      <c r="A1994" s="2241"/>
      <c r="B1994" s="2234"/>
      <c r="C1994" s="2210"/>
      <c r="D1994" s="2234"/>
      <c r="E1994" s="2374"/>
      <c r="F1994" s="2235"/>
      <c r="G1994" s="2235"/>
      <c r="H1994" s="2210"/>
      <c r="I1994" s="2210"/>
      <c r="J1994" s="2210"/>
      <c r="K1994" s="2211"/>
    </row>
    <row r="1995" spans="1:11">
      <c r="A1995" s="2241"/>
      <c r="B1995" s="2234"/>
      <c r="C1995" s="2210"/>
      <c r="D1995" s="2234"/>
      <c r="E1995" s="2374"/>
      <c r="F1995" s="2235"/>
      <c r="G1995" s="2235"/>
      <c r="H1995" s="2210"/>
      <c r="I1995" s="2210"/>
      <c r="J1995" s="2210"/>
      <c r="K1995" s="2211"/>
    </row>
    <row r="1996" spans="1:11">
      <c r="A1996" s="2241"/>
      <c r="B1996" s="2234"/>
      <c r="C1996" s="2210"/>
      <c r="D1996" s="2234"/>
      <c r="E1996" s="2374"/>
      <c r="F1996" s="2235"/>
      <c r="G1996" s="2235"/>
      <c r="H1996" s="2210"/>
      <c r="I1996" s="2210"/>
      <c r="J1996" s="2210"/>
      <c r="K1996" s="2211"/>
    </row>
    <row r="1997" spans="1:11">
      <c r="A1997" s="2241"/>
      <c r="B1997" s="2234"/>
      <c r="C1997" s="2210"/>
      <c r="D1997" s="2234"/>
      <c r="E1997" s="2374"/>
      <c r="F1997" s="2235"/>
      <c r="G1997" s="2235"/>
      <c r="H1997" s="2210"/>
      <c r="I1997" s="2210"/>
      <c r="J1997" s="2210"/>
      <c r="K1997" s="2211"/>
    </row>
    <row r="1998" spans="1:11">
      <c r="A1998" s="2241"/>
      <c r="B1998" s="2234"/>
      <c r="C1998" s="2210"/>
      <c r="D1998" s="2234"/>
      <c r="E1998" s="2374"/>
      <c r="F1998" s="2235"/>
      <c r="G1998" s="2235"/>
      <c r="H1998" s="2210"/>
      <c r="I1998" s="2210"/>
      <c r="J1998" s="2210"/>
      <c r="K1998" s="2211"/>
    </row>
    <row r="1999" spans="1:11">
      <c r="A1999" s="2241"/>
      <c r="B1999" s="2234"/>
      <c r="C1999" s="2210"/>
      <c r="D1999" s="2234"/>
      <c r="E1999" s="2374"/>
      <c r="F1999" s="2235"/>
      <c r="G1999" s="2235"/>
      <c r="H1999" s="2210"/>
      <c r="I1999" s="2210"/>
      <c r="J1999" s="2210"/>
      <c r="K1999" s="2211"/>
    </row>
    <row r="2000" spans="1:11">
      <c r="A2000" s="2241"/>
      <c r="B2000" s="2234"/>
      <c r="C2000" s="2210"/>
      <c r="D2000" s="2234"/>
      <c r="E2000" s="2374"/>
      <c r="F2000" s="2235"/>
      <c r="G2000" s="2235"/>
      <c r="H2000" s="2210"/>
      <c r="I2000" s="2210"/>
      <c r="J2000" s="2210"/>
      <c r="K2000" s="2211"/>
    </row>
    <row r="2001" spans="1:11">
      <c r="A2001" s="2241"/>
      <c r="B2001" s="2234"/>
      <c r="C2001" s="2210"/>
      <c r="D2001" s="2234"/>
      <c r="E2001" s="2374"/>
      <c r="F2001" s="2235"/>
      <c r="G2001" s="2235"/>
      <c r="H2001" s="2210"/>
      <c r="I2001" s="2210"/>
      <c r="J2001" s="2210"/>
      <c r="K2001" s="2211"/>
    </row>
    <row r="2002" spans="1:11">
      <c r="A2002" s="2241"/>
      <c r="B2002" s="2234"/>
      <c r="C2002" s="2210"/>
      <c r="D2002" s="2234"/>
      <c r="E2002" s="2374"/>
      <c r="F2002" s="2235"/>
      <c r="G2002" s="2235"/>
      <c r="H2002" s="2210"/>
      <c r="I2002" s="2210"/>
      <c r="J2002" s="2210"/>
      <c r="K2002" s="2211"/>
    </row>
    <row r="2003" spans="1:11">
      <c r="A2003" s="2241"/>
      <c r="B2003" s="2234"/>
      <c r="C2003" s="2210"/>
      <c r="D2003" s="2234"/>
      <c r="E2003" s="2374"/>
      <c r="F2003" s="2235"/>
      <c r="G2003" s="2235"/>
      <c r="H2003" s="2210"/>
      <c r="I2003" s="2210"/>
      <c r="J2003" s="2210"/>
      <c r="K2003" s="2211"/>
    </row>
    <row r="2004" spans="1:11">
      <c r="A2004" s="2241"/>
      <c r="B2004" s="2234"/>
      <c r="C2004" s="2210"/>
      <c r="D2004" s="2234"/>
      <c r="E2004" s="2374"/>
      <c r="F2004" s="2235"/>
      <c r="G2004" s="2235"/>
      <c r="H2004" s="2210"/>
      <c r="I2004" s="2210"/>
      <c r="J2004" s="2210"/>
      <c r="K2004" s="2211"/>
    </row>
    <row r="2005" spans="1:11">
      <c r="A2005" s="2241"/>
      <c r="B2005" s="2234"/>
      <c r="C2005" s="2210"/>
      <c r="D2005" s="2234"/>
      <c r="E2005" s="2374"/>
      <c r="F2005" s="2235"/>
      <c r="G2005" s="2235"/>
      <c r="H2005" s="2210"/>
      <c r="I2005" s="2210"/>
      <c r="J2005" s="2210"/>
      <c r="K2005" s="2211"/>
    </row>
    <row r="2006" spans="1:11">
      <c r="A2006" s="2241"/>
      <c r="B2006" s="2234"/>
      <c r="C2006" s="2210"/>
      <c r="D2006" s="2234"/>
      <c r="E2006" s="2374"/>
      <c r="F2006" s="2235"/>
      <c r="G2006" s="2235"/>
      <c r="H2006" s="2210"/>
      <c r="I2006" s="2210"/>
      <c r="J2006" s="2210"/>
      <c r="K2006" s="2211"/>
    </row>
    <row r="2007" spans="1:11">
      <c r="A2007" s="2241"/>
      <c r="B2007" s="2234"/>
      <c r="C2007" s="2210"/>
      <c r="D2007" s="2234"/>
      <c r="E2007" s="2374"/>
      <c r="F2007" s="2235"/>
      <c r="G2007" s="2235"/>
      <c r="H2007" s="2210"/>
      <c r="I2007" s="2210"/>
      <c r="J2007" s="2210"/>
      <c r="K2007" s="2211"/>
    </row>
    <row r="2008" spans="1:11">
      <c r="A2008" s="2241"/>
      <c r="B2008" s="2234"/>
      <c r="C2008" s="2210"/>
      <c r="D2008" s="2234"/>
      <c r="E2008" s="2374"/>
      <c r="F2008" s="2235"/>
      <c r="G2008" s="2235"/>
      <c r="H2008" s="2210"/>
      <c r="I2008" s="2210"/>
      <c r="J2008" s="2210"/>
      <c r="K2008" s="2211"/>
    </row>
    <row r="2009" spans="1:11">
      <c r="A2009" s="2241"/>
      <c r="B2009" s="2234"/>
      <c r="C2009" s="2210"/>
      <c r="D2009" s="2234"/>
      <c r="E2009" s="2374"/>
      <c r="F2009" s="2235"/>
      <c r="G2009" s="2235"/>
      <c r="H2009" s="2210"/>
      <c r="I2009" s="2210"/>
      <c r="J2009" s="2210"/>
      <c r="K2009" s="2211"/>
    </row>
    <row r="2010" spans="1:11">
      <c r="A2010" s="2241"/>
      <c r="B2010" s="2234"/>
      <c r="C2010" s="2210"/>
      <c r="D2010" s="2234"/>
      <c r="E2010" s="2374"/>
      <c r="F2010" s="2235"/>
      <c r="G2010" s="2235"/>
      <c r="H2010" s="2210"/>
      <c r="I2010" s="2210"/>
      <c r="J2010" s="2210"/>
      <c r="K2010" s="2211"/>
    </row>
    <row r="2011" spans="1:11">
      <c r="A2011" s="2241"/>
      <c r="B2011" s="2234"/>
      <c r="C2011" s="2210"/>
      <c r="D2011" s="2234"/>
      <c r="E2011" s="2374"/>
      <c r="F2011" s="2235"/>
      <c r="G2011" s="2235"/>
      <c r="H2011" s="2210"/>
      <c r="I2011" s="2210"/>
      <c r="J2011" s="2210"/>
      <c r="K2011" s="2211"/>
    </row>
    <row r="2012" spans="1:11">
      <c r="A2012" s="2241"/>
      <c r="B2012" s="2234"/>
      <c r="C2012" s="2210"/>
      <c r="D2012" s="2234"/>
      <c r="E2012" s="2374"/>
      <c r="F2012" s="2235"/>
      <c r="G2012" s="2235"/>
      <c r="H2012" s="2210"/>
      <c r="I2012" s="2210"/>
      <c r="J2012" s="2210"/>
      <c r="K2012" s="2211"/>
    </row>
    <row r="2013" spans="1:11">
      <c r="A2013" s="2241"/>
      <c r="B2013" s="2234"/>
      <c r="C2013" s="2210"/>
      <c r="D2013" s="2234"/>
      <c r="E2013" s="2374"/>
      <c r="F2013" s="2235"/>
      <c r="G2013" s="2235"/>
      <c r="H2013" s="2210"/>
      <c r="I2013" s="2210"/>
      <c r="J2013" s="2210"/>
      <c r="K2013" s="2211"/>
    </row>
    <row r="2014" spans="1:11">
      <c r="A2014" s="2241"/>
      <c r="B2014" s="2234"/>
      <c r="C2014" s="2210"/>
      <c r="D2014" s="2234"/>
      <c r="E2014" s="2374"/>
      <c r="F2014" s="2235"/>
      <c r="G2014" s="2235"/>
      <c r="H2014" s="2210"/>
      <c r="I2014" s="2210"/>
      <c r="J2014" s="2210"/>
      <c r="K2014" s="2211"/>
    </row>
    <row r="2015" spans="1:11">
      <c r="A2015" s="2241"/>
      <c r="B2015" s="2234"/>
      <c r="C2015" s="2210"/>
      <c r="D2015" s="2234"/>
      <c r="E2015" s="2374"/>
      <c r="F2015" s="2235"/>
      <c r="G2015" s="2235"/>
      <c r="H2015" s="2210"/>
      <c r="I2015" s="2210"/>
      <c r="J2015" s="2210"/>
      <c r="K2015" s="2211"/>
    </row>
    <row r="2016" spans="1:11">
      <c r="A2016" s="2241"/>
      <c r="B2016" s="2234"/>
      <c r="C2016" s="2210"/>
      <c r="D2016" s="2234"/>
      <c r="E2016" s="2374"/>
      <c r="F2016" s="2235"/>
      <c r="G2016" s="2235"/>
      <c r="H2016" s="2210"/>
      <c r="I2016" s="2210"/>
      <c r="J2016" s="2210"/>
      <c r="K2016" s="2211"/>
    </row>
    <row r="2017" spans="1:11">
      <c r="A2017" s="2241"/>
      <c r="B2017" s="2234"/>
      <c r="C2017" s="2210"/>
      <c r="D2017" s="2234"/>
      <c r="E2017" s="2374"/>
      <c r="F2017" s="2235"/>
      <c r="G2017" s="2235"/>
      <c r="H2017" s="2210"/>
      <c r="I2017" s="2210"/>
      <c r="J2017" s="2210"/>
      <c r="K2017" s="2211"/>
    </row>
    <row r="2018" spans="1:11">
      <c r="A2018" s="2241"/>
      <c r="B2018" s="2234"/>
      <c r="C2018" s="2210"/>
      <c r="D2018" s="2234"/>
      <c r="E2018" s="2374"/>
      <c r="F2018" s="2235"/>
      <c r="G2018" s="2235"/>
      <c r="H2018" s="2210"/>
      <c r="I2018" s="2210"/>
      <c r="J2018" s="2210"/>
      <c r="K2018" s="2211"/>
    </row>
    <row r="2019" spans="1:11">
      <c r="A2019" s="2241"/>
      <c r="B2019" s="2234"/>
      <c r="C2019" s="2210"/>
      <c r="D2019" s="2234"/>
      <c r="E2019" s="2374"/>
      <c r="F2019" s="2235"/>
      <c r="G2019" s="2235"/>
      <c r="H2019" s="2210"/>
      <c r="I2019" s="2210"/>
      <c r="J2019" s="2210"/>
      <c r="K2019" s="2211"/>
    </row>
    <row r="2020" spans="1:11">
      <c r="A2020" s="2241"/>
      <c r="B2020" s="2234"/>
      <c r="C2020" s="2210"/>
      <c r="D2020" s="2234"/>
      <c r="E2020" s="2374"/>
      <c r="F2020" s="2235"/>
      <c r="G2020" s="2235"/>
      <c r="H2020" s="2210"/>
      <c r="I2020" s="2210"/>
      <c r="J2020" s="2210"/>
      <c r="K2020" s="2211"/>
    </row>
    <row r="2021" spans="1:11">
      <c r="A2021" s="2241"/>
      <c r="B2021" s="2234"/>
      <c r="C2021" s="2210"/>
      <c r="D2021" s="2234"/>
      <c r="E2021" s="2374"/>
      <c r="F2021" s="2235"/>
      <c r="G2021" s="2235"/>
      <c r="H2021" s="2210"/>
      <c r="I2021" s="2210"/>
      <c r="J2021" s="2210"/>
      <c r="K2021" s="2211"/>
    </row>
    <row r="2022" spans="1:11">
      <c r="A2022" s="2241"/>
      <c r="B2022" s="2234"/>
      <c r="C2022" s="2210"/>
      <c r="D2022" s="2234"/>
      <c r="E2022" s="2374"/>
      <c r="F2022" s="2235"/>
      <c r="G2022" s="2235"/>
      <c r="H2022" s="2210"/>
      <c r="I2022" s="2210"/>
      <c r="J2022" s="2210"/>
      <c r="K2022" s="2211"/>
    </row>
    <row r="2023" spans="1:11">
      <c r="A2023" s="2241"/>
      <c r="B2023" s="2234"/>
      <c r="C2023" s="2210"/>
      <c r="D2023" s="2234"/>
      <c r="E2023" s="2374"/>
      <c r="F2023" s="2235"/>
      <c r="G2023" s="2235"/>
      <c r="H2023" s="2210"/>
      <c r="I2023" s="2210"/>
      <c r="J2023" s="2210"/>
      <c r="K2023" s="2211"/>
    </row>
    <row r="2024" spans="1:11">
      <c r="A2024" s="2241"/>
      <c r="B2024" s="2234"/>
      <c r="C2024" s="2210"/>
      <c r="D2024" s="2234"/>
      <c r="E2024" s="2374"/>
      <c r="F2024" s="2235"/>
      <c r="G2024" s="2235"/>
      <c r="H2024" s="2210"/>
      <c r="I2024" s="2210"/>
      <c r="J2024" s="2210"/>
      <c r="K2024" s="2211"/>
    </row>
    <row r="2025" spans="1:11">
      <c r="A2025" s="2241"/>
      <c r="B2025" s="2234"/>
      <c r="C2025" s="2210"/>
      <c r="D2025" s="2234"/>
      <c r="E2025" s="2374"/>
      <c r="F2025" s="2235"/>
      <c r="G2025" s="2235"/>
      <c r="H2025" s="2210"/>
      <c r="I2025" s="2210"/>
      <c r="J2025" s="2210"/>
      <c r="K2025" s="2211"/>
    </row>
    <row r="2026" spans="1:11">
      <c r="A2026" s="2241"/>
      <c r="B2026" s="2234"/>
      <c r="C2026" s="2210"/>
      <c r="D2026" s="2234"/>
      <c r="E2026" s="2374"/>
      <c r="F2026" s="2235"/>
      <c r="G2026" s="2235"/>
      <c r="H2026" s="2210"/>
      <c r="I2026" s="2210"/>
      <c r="J2026" s="2210"/>
      <c r="K2026" s="2211"/>
    </row>
    <row r="2027" spans="1:11">
      <c r="A2027" s="2241"/>
      <c r="B2027" s="2234"/>
      <c r="C2027" s="2210"/>
      <c r="D2027" s="2234"/>
      <c r="E2027" s="2374"/>
      <c r="F2027" s="2235"/>
      <c r="G2027" s="2235"/>
      <c r="H2027" s="2210"/>
      <c r="I2027" s="2210"/>
      <c r="J2027" s="2210"/>
      <c r="K2027" s="2211"/>
    </row>
    <row r="2028" spans="1:11">
      <c r="A2028" s="2241"/>
      <c r="B2028" s="2234"/>
      <c r="C2028" s="2210"/>
      <c r="D2028" s="2234"/>
      <c r="E2028" s="2374"/>
      <c r="F2028" s="2235"/>
      <c r="G2028" s="2235"/>
      <c r="H2028" s="2210"/>
      <c r="I2028" s="2210"/>
      <c r="J2028" s="2210"/>
      <c r="K2028" s="2211"/>
    </row>
    <row r="2029" spans="1:11">
      <c r="A2029" s="2241"/>
      <c r="B2029" s="2234"/>
      <c r="C2029" s="2210"/>
      <c r="D2029" s="2234"/>
      <c r="E2029" s="2374"/>
      <c r="F2029" s="2235"/>
      <c r="G2029" s="2235"/>
      <c r="H2029" s="2210"/>
      <c r="I2029" s="2210"/>
      <c r="J2029" s="2210"/>
      <c r="K2029" s="2211"/>
    </row>
    <row r="2030" spans="1:11">
      <c r="A2030" s="2241"/>
      <c r="B2030" s="2234"/>
      <c r="C2030" s="2210"/>
      <c r="D2030" s="2234"/>
      <c r="E2030" s="2374"/>
      <c r="F2030" s="2235"/>
      <c r="G2030" s="2235"/>
      <c r="H2030" s="2210"/>
      <c r="I2030" s="2210"/>
      <c r="J2030" s="2210"/>
      <c r="K2030" s="2211"/>
    </row>
    <row r="2031" spans="1:11">
      <c r="A2031" s="2241"/>
      <c r="B2031" s="2234"/>
      <c r="C2031" s="2210"/>
      <c r="D2031" s="2234"/>
      <c r="E2031" s="2374"/>
      <c r="F2031" s="2235"/>
      <c r="G2031" s="2235"/>
      <c r="H2031" s="2210"/>
      <c r="I2031" s="2210"/>
      <c r="J2031" s="2210"/>
      <c r="K2031" s="2211"/>
    </row>
    <row r="2032" spans="1:11">
      <c r="A2032" s="2241"/>
      <c r="B2032" s="2234"/>
      <c r="C2032" s="2210"/>
      <c r="D2032" s="2234"/>
      <c r="E2032" s="2374"/>
      <c r="F2032" s="2235"/>
      <c r="G2032" s="2235"/>
      <c r="H2032" s="2210"/>
      <c r="I2032" s="2210"/>
      <c r="J2032" s="2210"/>
      <c r="K2032" s="2211"/>
    </row>
    <row r="2033" spans="1:11">
      <c r="A2033" s="2241"/>
      <c r="B2033" s="2234"/>
      <c r="C2033" s="2210"/>
      <c r="D2033" s="2234"/>
      <c r="E2033" s="2374"/>
      <c r="F2033" s="2235"/>
      <c r="G2033" s="2235"/>
      <c r="H2033" s="2210"/>
      <c r="I2033" s="2210"/>
      <c r="J2033" s="2210"/>
      <c r="K2033" s="2211"/>
    </row>
    <row r="2034" spans="1:11">
      <c r="A2034" s="2241"/>
      <c r="B2034" s="2234"/>
      <c r="C2034" s="2210"/>
      <c r="D2034" s="2234"/>
      <c r="E2034" s="2374"/>
      <c r="F2034" s="2235"/>
      <c r="G2034" s="2235"/>
      <c r="H2034" s="2210"/>
      <c r="I2034" s="2210"/>
      <c r="J2034" s="2210"/>
      <c r="K2034" s="2211"/>
    </row>
    <row r="2035" spans="1:11">
      <c r="A2035" s="2241"/>
      <c r="B2035" s="2234"/>
      <c r="C2035" s="2210"/>
      <c r="D2035" s="2234"/>
      <c r="E2035" s="2374"/>
      <c r="F2035" s="2235"/>
      <c r="G2035" s="2235"/>
      <c r="H2035" s="2210"/>
      <c r="I2035" s="2210"/>
      <c r="J2035" s="2210"/>
      <c r="K2035" s="2211"/>
    </row>
    <row r="2036" spans="1:11">
      <c r="A2036" s="2241"/>
      <c r="B2036" s="2234"/>
      <c r="C2036" s="2210"/>
      <c r="D2036" s="2234"/>
      <c r="E2036" s="2374"/>
      <c r="F2036" s="2235"/>
      <c r="G2036" s="2235"/>
      <c r="H2036" s="2210"/>
      <c r="I2036" s="2210"/>
      <c r="J2036" s="2210"/>
      <c r="K2036" s="2211"/>
    </row>
    <row r="2037" spans="1:11">
      <c r="A2037" s="2241"/>
      <c r="B2037" s="2234"/>
      <c r="C2037" s="2210"/>
      <c r="D2037" s="2234"/>
      <c r="E2037" s="2374"/>
      <c r="F2037" s="2235"/>
      <c r="G2037" s="2235"/>
      <c r="H2037" s="2210"/>
      <c r="I2037" s="2210"/>
      <c r="J2037" s="2210"/>
      <c r="K2037" s="2211"/>
    </row>
    <row r="2038" spans="1:11">
      <c r="A2038" s="2241"/>
      <c r="B2038" s="2234"/>
      <c r="C2038" s="2210"/>
      <c r="D2038" s="2234"/>
      <c r="E2038" s="2374"/>
      <c r="F2038" s="2235"/>
      <c r="G2038" s="2235"/>
      <c r="H2038" s="2210"/>
      <c r="I2038" s="2210"/>
      <c r="J2038" s="2210"/>
      <c r="K2038" s="2211"/>
    </row>
    <row r="2039" spans="1:11">
      <c r="A2039" s="2241"/>
      <c r="B2039" s="2234"/>
      <c r="C2039" s="2210"/>
      <c r="D2039" s="2234"/>
      <c r="E2039" s="2374"/>
      <c r="F2039" s="2235"/>
      <c r="G2039" s="2235"/>
      <c r="H2039" s="2210"/>
      <c r="I2039" s="2210"/>
      <c r="J2039" s="2210"/>
      <c r="K2039" s="2211"/>
    </row>
    <row r="2040" spans="1:11">
      <c r="A2040" s="2241"/>
      <c r="B2040" s="2234"/>
      <c r="C2040" s="2210"/>
      <c r="D2040" s="2234"/>
      <c r="E2040" s="2374"/>
      <c r="F2040" s="2235"/>
      <c r="G2040" s="2235"/>
      <c r="H2040" s="2210"/>
      <c r="I2040" s="2210"/>
      <c r="J2040" s="2210"/>
      <c r="K2040" s="2211"/>
    </row>
    <row r="2041" spans="1:11">
      <c r="A2041" s="2241"/>
      <c r="B2041" s="2234"/>
      <c r="C2041" s="2210"/>
      <c r="D2041" s="2234"/>
      <c r="E2041" s="2374"/>
      <c r="F2041" s="2235"/>
      <c r="G2041" s="2235"/>
      <c r="H2041" s="2210"/>
      <c r="I2041" s="2210"/>
      <c r="J2041" s="2210"/>
      <c r="K2041" s="2211"/>
    </row>
    <row r="2042" spans="1:11">
      <c r="A2042" s="2241"/>
      <c r="B2042" s="2234"/>
      <c r="C2042" s="2210"/>
      <c r="D2042" s="2234"/>
      <c r="E2042" s="2374"/>
      <c r="F2042" s="2235"/>
      <c r="G2042" s="2235"/>
      <c r="H2042" s="2210"/>
      <c r="I2042" s="2210"/>
      <c r="J2042" s="2210"/>
      <c r="K2042" s="2211"/>
    </row>
    <row r="2043" spans="1:11">
      <c r="A2043" s="2241"/>
      <c r="B2043" s="2234"/>
      <c r="C2043" s="2210"/>
      <c r="D2043" s="2234"/>
      <c r="E2043" s="2374"/>
      <c r="F2043" s="2235"/>
      <c r="G2043" s="2235"/>
      <c r="H2043" s="2210"/>
      <c r="I2043" s="2210"/>
      <c r="J2043" s="2210"/>
      <c r="K2043" s="2211"/>
    </row>
    <row r="2044" spans="1:11">
      <c r="A2044" s="2241"/>
      <c r="B2044" s="2234"/>
      <c r="C2044" s="2210"/>
      <c r="D2044" s="2234"/>
      <c r="E2044" s="2374"/>
      <c r="F2044" s="2235"/>
      <c r="G2044" s="2235"/>
      <c r="H2044" s="2210"/>
      <c r="I2044" s="2210"/>
      <c r="J2044" s="2210"/>
      <c r="K2044" s="2211"/>
    </row>
    <row r="2045" spans="1:11">
      <c r="A2045" s="2241"/>
      <c r="B2045" s="2234"/>
      <c r="C2045" s="2210"/>
      <c r="D2045" s="2234"/>
      <c r="E2045" s="2374"/>
      <c r="F2045" s="2235"/>
      <c r="G2045" s="2235"/>
      <c r="H2045" s="2210"/>
      <c r="I2045" s="2210"/>
      <c r="J2045" s="2210"/>
      <c r="K2045" s="2211"/>
    </row>
    <row r="2046" spans="1:11">
      <c r="A2046" s="2241"/>
      <c r="B2046" s="2234"/>
      <c r="C2046" s="2210"/>
      <c r="D2046" s="2234"/>
      <c r="E2046" s="2374"/>
      <c r="F2046" s="2235"/>
      <c r="G2046" s="2235"/>
      <c r="H2046" s="2210"/>
      <c r="I2046" s="2210"/>
      <c r="J2046" s="2210"/>
      <c r="K2046" s="2211"/>
    </row>
    <row r="2047" spans="1:11">
      <c r="A2047" s="2241"/>
      <c r="B2047" s="2234"/>
      <c r="C2047" s="2210"/>
      <c r="D2047" s="2234"/>
      <c r="E2047" s="2374"/>
      <c r="F2047" s="2235"/>
      <c r="G2047" s="2235"/>
      <c r="H2047" s="2210"/>
      <c r="I2047" s="2210"/>
      <c r="J2047" s="2210"/>
      <c r="K2047" s="2211"/>
    </row>
    <row r="2048" spans="1:11">
      <c r="A2048" s="2241"/>
      <c r="B2048" s="2234"/>
      <c r="C2048" s="2210"/>
      <c r="D2048" s="2234"/>
      <c r="E2048" s="2374"/>
      <c r="F2048" s="2235"/>
      <c r="G2048" s="2235"/>
      <c r="H2048" s="2210"/>
      <c r="I2048" s="2210"/>
      <c r="J2048" s="2210"/>
      <c r="K2048" s="2211"/>
    </row>
    <row r="2049" spans="1:11">
      <c r="A2049" s="2241"/>
      <c r="B2049" s="2234"/>
      <c r="C2049" s="2210"/>
      <c r="D2049" s="2234"/>
      <c r="E2049" s="2374"/>
      <c r="F2049" s="2235"/>
      <c r="G2049" s="2235"/>
      <c r="H2049" s="2210"/>
      <c r="I2049" s="2210"/>
      <c r="J2049" s="2210"/>
      <c r="K2049" s="2211"/>
    </row>
    <row r="2050" spans="1:11">
      <c r="A2050" s="2241"/>
      <c r="B2050" s="2234"/>
      <c r="C2050" s="2210"/>
      <c r="D2050" s="2234"/>
      <c r="E2050" s="2374"/>
      <c r="F2050" s="2235"/>
      <c r="G2050" s="2235"/>
      <c r="H2050" s="2210"/>
      <c r="I2050" s="2210"/>
      <c r="J2050" s="2210"/>
      <c r="K2050" s="2211"/>
    </row>
    <row r="2051" spans="1:11">
      <c r="A2051" s="2241"/>
      <c r="B2051" s="2234"/>
      <c r="C2051" s="2210"/>
      <c r="D2051" s="2234"/>
      <c r="E2051" s="2374"/>
      <c r="F2051" s="2235"/>
      <c r="G2051" s="2235"/>
      <c r="H2051" s="2210"/>
      <c r="I2051" s="2210"/>
      <c r="J2051" s="2210"/>
      <c r="K2051" s="2211"/>
    </row>
    <row r="2052" spans="1:11">
      <c r="A2052" s="2241"/>
      <c r="B2052" s="2234"/>
      <c r="C2052" s="2210"/>
      <c r="D2052" s="2234"/>
      <c r="E2052" s="2374"/>
      <c r="F2052" s="2235"/>
      <c r="G2052" s="2235"/>
      <c r="H2052" s="2210"/>
      <c r="I2052" s="2210"/>
      <c r="J2052" s="2210"/>
      <c r="K2052" s="2211"/>
    </row>
    <row r="2053" spans="1:11">
      <c r="A2053" s="2241"/>
      <c r="B2053" s="2234"/>
      <c r="C2053" s="2210"/>
      <c r="D2053" s="2234"/>
      <c r="E2053" s="2374"/>
      <c r="F2053" s="2235"/>
      <c r="G2053" s="2235"/>
      <c r="H2053" s="2210"/>
      <c r="I2053" s="2210"/>
      <c r="J2053" s="2210"/>
      <c r="K2053" s="2211"/>
    </row>
    <row r="2054" spans="1:11">
      <c r="A2054" s="2241"/>
      <c r="B2054" s="2234"/>
      <c r="C2054" s="2210"/>
      <c r="D2054" s="2234"/>
      <c r="E2054" s="2374"/>
      <c r="F2054" s="2235"/>
      <c r="G2054" s="2235"/>
      <c r="H2054" s="2210"/>
      <c r="I2054" s="2210"/>
      <c r="J2054" s="2210"/>
      <c r="K2054" s="2211"/>
    </row>
    <row r="2055" spans="1:11">
      <c r="A2055" s="2241"/>
      <c r="B2055" s="2234"/>
      <c r="C2055" s="2210"/>
      <c r="D2055" s="2234"/>
      <c r="E2055" s="2374"/>
      <c r="F2055" s="2235"/>
      <c r="G2055" s="2235"/>
      <c r="H2055" s="2210"/>
      <c r="I2055" s="2210"/>
      <c r="J2055" s="2210"/>
      <c r="K2055" s="2211"/>
    </row>
    <row r="2056" spans="1:11">
      <c r="A2056" s="2241"/>
      <c r="B2056" s="2234"/>
      <c r="C2056" s="2210"/>
      <c r="D2056" s="2234"/>
      <c r="E2056" s="2374"/>
      <c r="F2056" s="2235"/>
      <c r="G2056" s="2235"/>
      <c r="H2056" s="2210"/>
      <c r="I2056" s="2210"/>
      <c r="J2056" s="2210"/>
      <c r="K2056" s="2211"/>
    </row>
    <row r="2057" spans="1:11">
      <c r="A2057" s="2241"/>
      <c r="B2057" s="2234"/>
      <c r="C2057" s="2210"/>
      <c r="D2057" s="2234"/>
      <c r="E2057" s="2374"/>
      <c r="F2057" s="2235"/>
      <c r="G2057" s="2235"/>
      <c r="H2057" s="2210"/>
      <c r="I2057" s="2210"/>
      <c r="J2057" s="2210"/>
      <c r="K2057" s="2211"/>
    </row>
    <row r="2058" spans="1:11">
      <c r="A2058" s="2241"/>
      <c r="B2058" s="2234"/>
      <c r="C2058" s="2210"/>
      <c r="D2058" s="2234"/>
      <c r="E2058" s="2374"/>
      <c r="F2058" s="2235"/>
      <c r="G2058" s="2235"/>
      <c r="H2058" s="2210"/>
      <c r="I2058" s="2210"/>
      <c r="J2058" s="2210"/>
      <c r="K2058" s="2211"/>
    </row>
    <row r="2059" spans="1:11">
      <c r="A2059" s="2241"/>
      <c r="B2059" s="2234"/>
      <c r="C2059" s="2210"/>
      <c r="D2059" s="2234"/>
      <c r="E2059" s="2374"/>
      <c r="F2059" s="2235"/>
      <c r="G2059" s="2235"/>
      <c r="H2059" s="2210"/>
      <c r="I2059" s="2210"/>
      <c r="J2059" s="2210"/>
      <c r="K2059" s="2211"/>
    </row>
    <row r="2060" spans="1:11">
      <c r="A2060" s="2241"/>
      <c r="B2060" s="2234"/>
      <c r="C2060" s="2210"/>
      <c r="D2060" s="2234"/>
      <c r="E2060" s="2374"/>
      <c r="F2060" s="2235"/>
      <c r="G2060" s="2235"/>
      <c r="H2060" s="2210"/>
      <c r="I2060" s="2210"/>
      <c r="J2060" s="2210"/>
      <c r="K2060" s="2211"/>
    </row>
    <row r="2061" spans="1:11">
      <c r="A2061" s="2241"/>
      <c r="B2061" s="2234"/>
      <c r="C2061" s="2210"/>
      <c r="D2061" s="2234"/>
      <c r="E2061" s="2374"/>
      <c r="F2061" s="2235"/>
      <c r="G2061" s="2235"/>
      <c r="H2061" s="2210"/>
      <c r="I2061" s="2210"/>
      <c r="J2061" s="2210"/>
      <c r="K2061" s="2211"/>
    </row>
    <row r="2062" spans="1:11">
      <c r="A2062" s="2241"/>
      <c r="B2062" s="2234"/>
      <c r="C2062" s="2210"/>
      <c r="D2062" s="2234"/>
      <c r="E2062" s="2374"/>
      <c r="F2062" s="2235"/>
      <c r="G2062" s="2235"/>
      <c r="H2062" s="2210"/>
      <c r="I2062" s="2210"/>
      <c r="J2062" s="2210"/>
      <c r="K2062" s="2211"/>
    </row>
    <row r="2063" spans="1:11">
      <c r="A2063" s="2241"/>
      <c r="B2063" s="2234"/>
      <c r="C2063" s="2210"/>
      <c r="D2063" s="2234"/>
      <c r="E2063" s="2374"/>
      <c r="F2063" s="2235"/>
      <c r="G2063" s="2235"/>
      <c r="H2063" s="2210"/>
      <c r="I2063" s="2210"/>
      <c r="J2063" s="2210"/>
      <c r="K2063" s="2211"/>
    </row>
    <row r="2064" spans="1:11">
      <c r="A2064" s="2241"/>
      <c r="B2064" s="2234"/>
      <c r="C2064" s="2210"/>
      <c r="D2064" s="2234"/>
      <c r="E2064" s="2374"/>
      <c r="F2064" s="2235"/>
      <c r="G2064" s="2235"/>
      <c r="H2064" s="2210"/>
      <c r="I2064" s="2210"/>
      <c r="J2064" s="2210"/>
      <c r="K2064" s="2211"/>
    </row>
    <row r="2065" spans="1:11">
      <c r="A2065" s="2241"/>
      <c r="B2065" s="2234"/>
      <c r="C2065" s="2210"/>
      <c r="D2065" s="2234"/>
      <c r="E2065" s="2374"/>
      <c r="F2065" s="2235"/>
      <c r="G2065" s="2235"/>
      <c r="H2065" s="2210"/>
      <c r="I2065" s="2210"/>
      <c r="J2065" s="2210"/>
      <c r="K2065" s="2211"/>
    </row>
    <row r="2066" spans="1:11">
      <c r="A2066" s="2241"/>
      <c r="B2066" s="2234"/>
      <c r="C2066" s="2210"/>
      <c r="D2066" s="2234"/>
      <c r="E2066" s="2374"/>
      <c r="F2066" s="2235"/>
      <c r="G2066" s="2235"/>
      <c r="H2066" s="2210"/>
      <c r="I2066" s="2210"/>
      <c r="J2066" s="2210"/>
      <c r="K2066" s="2211"/>
    </row>
    <row r="2067" spans="1:11">
      <c r="A2067" s="2241"/>
      <c r="B2067" s="2234"/>
      <c r="C2067" s="2210"/>
      <c r="D2067" s="2234"/>
      <c r="E2067" s="2374"/>
      <c r="F2067" s="2235"/>
      <c r="G2067" s="2235"/>
      <c r="H2067" s="2210"/>
      <c r="I2067" s="2210"/>
      <c r="J2067" s="2210"/>
      <c r="K2067" s="2211"/>
    </row>
    <row r="2068" spans="1:11">
      <c r="A2068" s="2241"/>
      <c r="B2068" s="2234"/>
      <c r="C2068" s="2210"/>
      <c r="D2068" s="2234"/>
      <c r="E2068" s="2374"/>
      <c r="F2068" s="2235"/>
      <c r="G2068" s="2235"/>
      <c r="H2068" s="2210"/>
      <c r="I2068" s="2210"/>
      <c r="J2068" s="2210"/>
      <c r="K2068" s="2211"/>
    </row>
    <row r="2069" spans="1:11">
      <c r="A2069" s="2241"/>
      <c r="B2069" s="2234"/>
      <c r="C2069" s="2210"/>
      <c r="D2069" s="2234"/>
      <c r="E2069" s="2374"/>
      <c r="F2069" s="2235"/>
      <c r="G2069" s="2235"/>
      <c r="H2069" s="2210"/>
      <c r="I2069" s="2210"/>
      <c r="J2069" s="2210"/>
      <c r="K2069" s="2211"/>
    </row>
    <row r="2070" spans="1:11">
      <c r="A2070" s="2241"/>
      <c r="B2070" s="2234"/>
      <c r="C2070" s="2210"/>
      <c r="D2070" s="2234"/>
      <c r="E2070" s="2374"/>
      <c r="F2070" s="2235"/>
      <c r="G2070" s="2235"/>
      <c r="H2070" s="2210"/>
      <c r="I2070" s="2210"/>
      <c r="J2070" s="2210"/>
      <c r="K2070" s="2211"/>
    </row>
    <row r="2071" spans="1:11">
      <c r="A2071" s="2241"/>
      <c r="B2071" s="2234"/>
      <c r="C2071" s="2210"/>
      <c r="D2071" s="2234"/>
      <c r="E2071" s="2374"/>
      <c r="F2071" s="2235"/>
      <c r="G2071" s="2235"/>
      <c r="H2071" s="2210"/>
      <c r="I2071" s="2210"/>
      <c r="J2071" s="2210"/>
      <c r="K2071" s="2211"/>
    </row>
    <row r="2072" spans="1:11">
      <c r="A2072" s="2241"/>
      <c r="B2072" s="2234"/>
      <c r="C2072" s="2210"/>
      <c r="D2072" s="2234"/>
      <c r="E2072" s="2374"/>
      <c r="F2072" s="2235"/>
      <c r="G2072" s="2235"/>
      <c r="H2072" s="2210"/>
      <c r="I2072" s="2210"/>
      <c r="J2072" s="2210"/>
      <c r="K2072" s="2211"/>
    </row>
    <row r="2073" spans="1:11">
      <c r="A2073" s="2241"/>
      <c r="B2073" s="2234"/>
      <c r="C2073" s="2210"/>
      <c r="D2073" s="2234"/>
      <c r="E2073" s="2374"/>
      <c r="F2073" s="2235"/>
      <c r="G2073" s="2235"/>
      <c r="H2073" s="2210"/>
      <c r="I2073" s="2210"/>
      <c r="J2073" s="2210"/>
      <c r="K2073" s="2211"/>
    </row>
    <row r="2074" spans="1:11">
      <c r="A2074" s="2241"/>
      <c r="B2074" s="2234"/>
      <c r="C2074" s="2210"/>
      <c r="D2074" s="2234"/>
      <c r="E2074" s="2374"/>
      <c r="F2074" s="2235"/>
      <c r="G2074" s="2235"/>
      <c r="H2074" s="2210"/>
      <c r="I2074" s="2210"/>
      <c r="J2074" s="2210"/>
      <c r="K2074" s="2211"/>
    </row>
    <row r="2075" spans="1:11">
      <c r="A2075" s="2241"/>
      <c r="B2075" s="2234"/>
      <c r="C2075" s="2210"/>
      <c r="D2075" s="2234"/>
      <c r="E2075" s="2374"/>
      <c r="F2075" s="2235"/>
      <c r="G2075" s="2235"/>
      <c r="H2075" s="2210"/>
      <c r="I2075" s="2210"/>
      <c r="J2075" s="2210"/>
      <c r="K2075" s="2211"/>
    </row>
    <row r="2076" spans="1:11">
      <c r="A2076" s="2241"/>
      <c r="B2076" s="2234"/>
      <c r="C2076" s="2210"/>
      <c r="D2076" s="2234"/>
      <c r="E2076" s="2374"/>
      <c r="F2076" s="2235"/>
      <c r="G2076" s="2235"/>
      <c r="H2076" s="2210"/>
      <c r="I2076" s="2210"/>
      <c r="J2076" s="2210"/>
      <c r="K2076" s="2211"/>
    </row>
    <row r="2077" spans="1:11">
      <c r="A2077" s="2241"/>
      <c r="B2077" s="2234"/>
      <c r="C2077" s="2210"/>
      <c r="D2077" s="2234"/>
      <c r="E2077" s="2374"/>
      <c r="F2077" s="2235"/>
      <c r="G2077" s="2235"/>
      <c r="H2077" s="2210"/>
      <c r="I2077" s="2210"/>
      <c r="J2077" s="2210"/>
      <c r="K2077" s="2211"/>
    </row>
    <row r="2078" spans="1:11">
      <c r="A2078" s="2241"/>
      <c r="B2078" s="2234"/>
      <c r="C2078" s="2210"/>
      <c r="D2078" s="2234"/>
      <c r="E2078" s="2374"/>
      <c r="F2078" s="2235"/>
      <c r="G2078" s="2235"/>
      <c r="H2078" s="2210"/>
      <c r="I2078" s="2210"/>
      <c r="J2078" s="2210"/>
      <c r="K2078" s="2211"/>
    </row>
    <row r="2079" spans="1:11">
      <c r="A2079" s="2241"/>
      <c r="B2079" s="2234"/>
      <c r="C2079" s="2210"/>
      <c r="D2079" s="2234"/>
      <c r="E2079" s="2374"/>
      <c r="F2079" s="2235"/>
      <c r="G2079" s="2235"/>
      <c r="H2079" s="2210"/>
      <c r="I2079" s="2210"/>
      <c r="J2079" s="2210"/>
      <c r="K2079" s="2211"/>
    </row>
    <row r="2080" spans="1:11">
      <c r="A2080" s="2241"/>
      <c r="B2080" s="2234"/>
      <c r="C2080" s="2210"/>
      <c r="D2080" s="2234"/>
      <c r="E2080" s="2374"/>
      <c r="F2080" s="2235"/>
      <c r="G2080" s="2235"/>
      <c r="H2080" s="2210"/>
      <c r="I2080" s="2210"/>
      <c r="J2080" s="2210"/>
      <c r="K2080" s="2211"/>
    </row>
    <row r="2081" spans="1:11">
      <c r="A2081" s="2241"/>
      <c r="B2081" s="2234"/>
      <c r="C2081" s="2210"/>
      <c r="D2081" s="2234"/>
      <c r="E2081" s="2374"/>
      <c r="F2081" s="2235"/>
      <c r="G2081" s="2235"/>
      <c r="H2081" s="2210"/>
      <c r="I2081" s="2210"/>
      <c r="J2081" s="2210"/>
      <c r="K2081" s="2211"/>
    </row>
    <row r="2082" spans="1:11">
      <c r="A2082" s="2241"/>
      <c r="B2082" s="2234"/>
      <c r="C2082" s="2210"/>
      <c r="D2082" s="2234"/>
      <c r="E2082" s="2374"/>
      <c r="F2082" s="2235"/>
      <c r="G2082" s="2235"/>
      <c r="H2082" s="2210"/>
      <c r="I2082" s="2210"/>
      <c r="J2082" s="2210"/>
      <c r="K2082" s="2211"/>
    </row>
    <row r="2083" spans="1:11">
      <c r="A2083" s="2241"/>
      <c r="B2083" s="2234"/>
      <c r="C2083" s="2210"/>
      <c r="D2083" s="2234"/>
      <c r="E2083" s="2374"/>
      <c r="F2083" s="2235"/>
      <c r="G2083" s="2235"/>
      <c r="H2083" s="2210"/>
      <c r="I2083" s="2210"/>
      <c r="J2083" s="2210"/>
      <c r="K2083" s="2211"/>
    </row>
    <row r="2084" spans="1:11">
      <c r="A2084" s="2241"/>
      <c r="B2084" s="2234"/>
      <c r="C2084" s="2210"/>
      <c r="D2084" s="2234"/>
      <c r="E2084" s="2374"/>
      <c r="F2084" s="2235"/>
      <c r="G2084" s="2235"/>
      <c r="H2084" s="2210"/>
      <c r="I2084" s="2210"/>
      <c r="J2084" s="2210"/>
      <c r="K2084" s="2211"/>
    </row>
    <row r="2085" spans="1:11">
      <c r="A2085" s="2241"/>
      <c r="B2085" s="2234"/>
      <c r="C2085" s="2210"/>
      <c r="D2085" s="2234"/>
      <c r="E2085" s="2374"/>
      <c r="F2085" s="2235"/>
      <c r="G2085" s="2235"/>
      <c r="H2085" s="2210"/>
      <c r="I2085" s="2210"/>
      <c r="J2085" s="2210"/>
      <c r="K2085" s="2211"/>
    </row>
    <row r="2086" spans="1:11">
      <c r="A2086" s="2241"/>
      <c r="B2086" s="2234"/>
      <c r="C2086" s="2210"/>
      <c r="D2086" s="2234"/>
      <c r="E2086" s="2374"/>
      <c r="F2086" s="2235"/>
      <c r="G2086" s="2235"/>
      <c r="H2086" s="2210"/>
      <c r="I2086" s="2210"/>
      <c r="J2086" s="2210"/>
      <c r="K2086" s="2211"/>
    </row>
    <row r="2087" spans="1:11">
      <c r="A2087" s="2241"/>
      <c r="B2087" s="2234"/>
      <c r="C2087" s="2210"/>
      <c r="D2087" s="2234"/>
      <c r="E2087" s="2374"/>
      <c r="F2087" s="2235"/>
      <c r="G2087" s="2235"/>
      <c r="H2087" s="2210"/>
      <c r="I2087" s="2210"/>
      <c r="J2087" s="2210"/>
      <c r="K2087" s="2211"/>
    </row>
    <row r="2088" spans="1:11">
      <c r="A2088" s="2241"/>
      <c r="B2088" s="2234"/>
      <c r="C2088" s="2210"/>
      <c r="D2088" s="2234"/>
      <c r="E2088" s="2374"/>
      <c r="F2088" s="2235"/>
      <c r="G2088" s="2235"/>
      <c r="H2088" s="2210"/>
      <c r="I2088" s="2210"/>
      <c r="J2088" s="2210"/>
      <c r="K2088" s="2211"/>
    </row>
    <row r="2089" spans="1:11">
      <c r="A2089" s="2241"/>
      <c r="B2089" s="2234"/>
      <c r="C2089" s="2210"/>
      <c r="D2089" s="2234"/>
      <c r="E2089" s="2374"/>
      <c r="F2089" s="2235"/>
      <c r="G2089" s="2235"/>
      <c r="H2089" s="2210"/>
      <c r="I2089" s="2210"/>
      <c r="J2089" s="2210"/>
      <c r="K2089" s="2211"/>
    </row>
    <row r="2090" spans="1:11">
      <c r="A2090" s="2241"/>
      <c r="B2090" s="2234"/>
      <c r="C2090" s="2210"/>
      <c r="D2090" s="2234"/>
      <c r="E2090" s="2374"/>
      <c r="F2090" s="2235"/>
      <c r="G2090" s="2235"/>
      <c r="H2090" s="2210"/>
      <c r="I2090" s="2210"/>
      <c r="J2090" s="2210"/>
      <c r="K2090" s="2211"/>
    </row>
    <row r="2091" spans="1:11">
      <c r="A2091" s="2241"/>
      <c r="B2091" s="2234"/>
      <c r="C2091" s="2210"/>
      <c r="D2091" s="2234"/>
      <c r="E2091" s="2374"/>
      <c r="F2091" s="2235"/>
      <c r="G2091" s="2235"/>
      <c r="H2091" s="2210"/>
      <c r="I2091" s="2210"/>
      <c r="J2091" s="2210"/>
      <c r="K2091" s="2211"/>
    </row>
    <row r="2092" spans="1:11">
      <c r="A2092" s="2241"/>
      <c r="B2092" s="2234"/>
      <c r="C2092" s="2210"/>
      <c r="D2092" s="2234"/>
      <c r="E2092" s="2374"/>
      <c r="F2092" s="2235"/>
      <c r="G2092" s="2235"/>
      <c r="H2092" s="2210"/>
      <c r="I2092" s="2210"/>
      <c r="J2092" s="2210"/>
      <c r="K2092" s="2211"/>
    </row>
    <row r="2093" spans="1:11">
      <c r="A2093" s="2241"/>
      <c r="B2093" s="2234"/>
      <c r="C2093" s="2210"/>
      <c r="D2093" s="2234"/>
      <c r="E2093" s="2374"/>
      <c r="F2093" s="2235"/>
      <c r="G2093" s="2235"/>
      <c r="H2093" s="2210"/>
      <c r="I2093" s="2210"/>
      <c r="J2093" s="2210"/>
      <c r="K2093" s="2211"/>
    </row>
    <row r="2094" spans="1:11">
      <c r="A2094" s="2241"/>
      <c r="B2094" s="2234"/>
      <c r="C2094" s="2210"/>
      <c r="D2094" s="2234"/>
      <c r="E2094" s="2374"/>
      <c r="F2094" s="2235"/>
      <c r="G2094" s="2235"/>
      <c r="H2094" s="2210"/>
      <c r="I2094" s="2210"/>
      <c r="J2094" s="2210"/>
      <c r="K2094" s="2211"/>
    </row>
    <row r="2095" spans="1:11">
      <c r="A2095" s="2241"/>
      <c r="B2095" s="2234"/>
      <c r="C2095" s="2210"/>
      <c r="D2095" s="2234"/>
      <c r="E2095" s="2374"/>
      <c r="F2095" s="2235"/>
      <c r="G2095" s="2235"/>
      <c r="H2095" s="2210"/>
      <c r="I2095" s="2210"/>
      <c r="J2095" s="2210"/>
      <c r="K2095" s="2211"/>
    </row>
    <row r="2096" spans="1:11">
      <c r="A2096" s="2241"/>
      <c r="B2096" s="2234"/>
      <c r="C2096" s="2210"/>
      <c r="D2096" s="2234"/>
      <c r="E2096" s="2374"/>
      <c r="F2096" s="2235"/>
      <c r="G2096" s="2235"/>
      <c r="H2096" s="2210"/>
      <c r="I2096" s="2210"/>
      <c r="J2096" s="2210"/>
      <c r="K2096" s="2211"/>
    </row>
    <row r="2097" spans="1:11">
      <c r="A2097" s="2241"/>
      <c r="B2097" s="2234"/>
      <c r="C2097" s="2210"/>
      <c r="D2097" s="2234"/>
      <c r="E2097" s="2374"/>
      <c r="F2097" s="2235"/>
      <c r="G2097" s="2235"/>
      <c r="H2097" s="2210"/>
      <c r="I2097" s="2210"/>
      <c r="J2097" s="2210"/>
      <c r="K2097" s="2211"/>
    </row>
    <row r="2098" spans="1:11">
      <c r="A2098" s="2241"/>
      <c r="B2098" s="2234"/>
      <c r="C2098" s="2210"/>
      <c r="D2098" s="2234"/>
      <c r="E2098" s="2374"/>
      <c r="F2098" s="2235"/>
      <c r="G2098" s="2235"/>
      <c r="H2098" s="2210"/>
      <c r="I2098" s="2210"/>
      <c r="J2098" s="2210"/>
      <c r="K2098" s="2211"/>
    </row>
    <row r="2099" spans="1:11">
      <c r="A2099" s="2241"/>
      <c r="B2099" s="2234"/>
      <c r="C2099" s="2210"/>
      <c r="D2099" s="2234"/>
      <c r="E2099" s="2374"/>
      <c r="F2099" s="2235"/>
      <c r="G2099" s="2235"/>
      <c r="H2099" s="2210"/>
      <c r="I2099" s="2210"/>
      <c r="J2099" s="2210"/>
      <c r="K2099" s="2211"/>
    </row>
    <row r="2100" spans="1:11">
      <c r="A2100" s="2241"/>
      <c r="B2100" s="2234"/>
      <c r="C2100" s="2210"/>
      <c r="D2100" s="2234"/>
      <c r="E2100" s="2374"/>
      <c r="F2100" s="2235"/>
      <c r="G2100" s="2235"/>
      <c r="H2100" s="2210"/>
      <c r="I2100" s="2210"/>
      <c r="J2100" s="2210"/>
      <c r="K2100" s="2211"/>
    </row>
    <row r="2101" spans="1:11">
      <c r="A2101" s="2241"/>
      <c r="B2101" s="2234"/>
      <c r="C2101" s="2210"/>
      <c r="D2101" s="2234"/>
      <c r="E2101" s="2374"/>
      <c r="F2101" s="2235"/>
      <c r="G2101" s="2235"/>
      <c r="H2101" s="2210"/>
      <c r="I2101" s="2210"/>
      <c r="J2101" s="2210"/>
      <c r="K2101" s="2211"/>
    </row>
    <row r="2102" spans="1:11">
      <c r="A2102" s="2241"/>
      <c r="B2102" s="2234"/>
      <c r="C2102" s="2210"/>
      <c r="D2102" s="2234"/>
      <c r="E2102" s="2374"/>
      <c r="F2102" s="2235"/>
      <c r="G2102" s="2235"/>
      <c r="H2102" s="2210"/>
      <c r="I2102" s="2210"/>
      <c r="J2102" s="2210"/>
      <c r="K2102" s="2211"/>
    </row>
    <row r="2103" spans="1:11">
      <c r="A2103" s="2241"/>
      <c r="B2103" s="2234"/>
      <c r="C2103" s="2210"/>
      <c r="D2103" s="2234"/>
      <c r="E2103" s="2374"/>
      <c r="F2103" s="2235"/>
      <c r="G2103" s="2235"/>
      <c r="H2103" s="2210"/>
      <c r="I2103" s="2210"/>
      <c r="J2103" s="2210"/>
      <c r="K2103" s="2211"/>
    </row>
    <row r="2104" spans="1:11">
      <c r="A2104" s="2241"/>
      <c r="B2104" s="2234"/>
      <c r="C2104" s="2210"/>
      <c r="D2104" s="2234"/>
      <c r="E2104" s="2374"/>
      <c r="F2104" s="2235"/>
      <c r="G2104" s="2235"/>
      <c r="H2104" s="2210"/>
      <c r="I2104" s="2210"/>
      <c r="J2104" s="2210"/>
      <c r="K2104" s="2211"/>
    </row>
    <row r="2105" spans="1:11">
      <c r="A2105" s="2241"/>
      <c r="B2105" s="2234"/>
      <c r="C2105" s="2210"/>
      <c r="D2105" s="2234"/>
      <c r="E2105" s="2374"/>
      <c r="F2105" s="2235"/>
      <c r="G2105" s="2235"/>
      <c r="H2105" s="2210"/>
      <c r="I2105" s="2210"/>
      <c r="J2105" s="2210"/>
      <c r="K2105" s="2211"/>
    </row>
    <row r="2106" spans="1:11">
      <c r="A2106" s="2241"/>
      <c r="B2106" s="2234"/>
      <c r="C2106" s="2210"/>
      <c r="D2106" s="2234"/>
      <c r="E2106" s="2374"/>
      <c r="F2106" s="2235"/>
      <c r="G2106" s="2235"/>
      <c r="H2106" s="2210"/>
      <c r="I2106" s="2210"/>
      <c r="J2106" s="2210"/>
      <c r="K2106" s="2211"/>
    </row>
    <row r="2107" spans="1:11">
      <c r="A2107" s="2241"/>
      <c r="B2107" s="2234"/>
      <c r="C2107" s="2210"/>
      <c r="D2107" s="2234"/>
      <c r="E2107" s="2374"/>
      <c r="F2107" s="2235"/>
      <c r="G2107" s="2235"/>
      <c r="H2107" s="2210"/>
      <c r="I2107" s="2210"/>
      <c r="J2107" s="2210"/>
      <c r="K2107" s="2211"/>
    </row>
    <row r="2108" spans="1:11">
      <c r="A2108" s="2241"/>
      <c r="B2108" s="2234"/>
      <c r="C2108" s="2210"/>
      <c r="D2108" s="2234"/>
      <c r="E2108" s="2374"/>
      <c r="F2108" s="2235"/>
      <c r="G2108" s="2235"/>
      <c r="H2108" s="2210"/>
      <c r="I2108" s="2210"/>
      <c r="J2108" s="2210"/>
      <c r="K2108" s="2211"/>
    </row>
    <row r="2109" spans="1:11">
      <c r="A2109" s="2241"/>
      <c r="B2109" s="2234"/>
      <c r="C2109" s="2210"/>
      <c r="D2109" s="2234"/>
      <c r="E2109" s="2374"/>
      <c r="F2109" s="2235"/>
      <c r="G2109" s="2235"/>
      <c r="H2109" s="2210"/>
      <c r="I2109" s="2210"/>
      <c r="J2109" s="2210"/>
      <c r="K2109" s="2211"/>
    </row>
    <row r="2110" spans="1:11">
      <c r="A2110" s="2241"/>
      <c r="B2110" s="2234"/>
      <c r="C2110" s="2210"/>
      <c r="D2110" s="2234"/>
      <c r="E2110" s="2374"/>
      <c r="F2110" s="2235"/>
      <c r="G2110" s="2235"/>
      <c r="H2110" s="2210"/>
      <c r="I2110" s="2210"/>
      <c r="J2110" s="2210"/>
      <c r="K2110" s="2211"/>
    </row>
    <row r="2111" spans="1:11">
      <c r="A2111" s="2241"/>
      <c r="B2111" s="2234"/>
      <c r="C2111" s="2210"/>
      <c r="D2111" s="2234"/>
      <c r="E2111" s="2374"/>
      <c r="F2111" s="2235"/>
      <c r="G2111" s="2235"/>
      <c r="H2111" s="2210"/>
      <c r="I2111" s="2210"/>
      <c r="J2111" s="2210"/>
      <c r="K2111" s="2211"/>
    </row>
    <row r="2112" spans="1:11">
      <c r="A2112" s="2241"/>
      <c r="B2112" s="2234"/>
      <c r="C2112" s="2210"/>
      <c r="D2112" s="2234"/>
      <c r="E2112" s="2374"/>
      <c r="F2112" s="2235"/>
      <c r="G2112" s="2235"/>
      <c r="H2112" s="2210"/>
      <c r="I2112" s="2210"/>
      <c r="J2112" s="2210"/>
      <c r="K2112" s="2211"/>
    </row>
    <row r="2113" spans="1:11">
      <c r="A2113" s="2241"/>
      <c r="B2113" s="2234"/>
      <c r="C2113" s="2210"/>
      <c r="D2113" s="2234"/>
      <c r="E2113" s="2374"/>
      <c r="F2113" s="2235"/>
      <c r="G2113" s="2235"/>
      <c r="H2113" s="2210"/>
      <c r="I2113" s="2210"/>
      <c r="J2113" s="2210"/>
      <c r="K2113" s="2211"/>
    </row>
    <row r="2114" spans="1:11">
      <c r="A2114" s="2241"/>
      <c r="B2114" s="2234"/>
      <c r="C2114" s="2210"/>
      <c r="D2114" s="2234"/>
      <c r="E2114" s="2374"/>
      <c r="F2114" s="2235"/>
      <c r="G2114" s="2235"/>
      <c r="H2114" s="2210"/>
      <c r="I2114" s="2210"/>
      <c r="J2114" s="2210"/>
      <c r="K2114" s="2211"/>
    </row>
    <row r="2115" spans="1:11">
      <c r="A2115" s="2241"/>
      <c r="B2115" s="2234"/>
      <c r="C2115" s="2210"/>
      <c r="D2115" s="2234"/>
      <c r="E2115" s="2374"/>
      <c r="F2115" s="2235"/>
      <c r="G2115" s="2235"/>
      <c r="H2115" s="2210"/>
      <c r="I2115" s="2210"/>
      <c r="J2115" s="2210"/>
      <c r="K2115" s="2211"/>
    </row>
    <row r="2116" spans="1:11">
      <c r="A2116" s="2241"/>
      <c r="B2116" s="2234"/>
      <c r="C2116" s="2210"/>
      <c r="D2116" s="2234"/>
      <c r="E2116" s="2374"/>
      <c r="F2116" s="2235"/>
      <c r="G2116" s="2235"/>
      <c r="H2116" s="2210"/>
      <c r="I2116" s="2210"/>
      <c r="J2116" s="2210"/>
      <c r="K2116" s="2211"/>
    </row>
    <row r="2117" spans="1:11">
      <c r="A2117" s="2241"/>
      <c r="B2117" s="2234"/>
      <c r="C2117" s="2210"/>
      <c r="D2117" s="2234"/>
      <c r="E2117" s="2374"/>
      <c r="F2117" s="2235"/>
      <c r="G2117" s="2235"/>
      <c r="H2117" s="2210"/>
      <c r="I2117" s="2210"/>
      <c r="J2117" s="2210"/>
      <c r="K2117" s="2211"/>
    </row>
    <row r="2118" spans="1:11">
      <c r="A2118" s="2241"/>
      <c r="B2118" s="2234"/>
      <c r="C2118" s="2210"/>
      <c r="D2118" s="2234"/>
      <c r="E2118" s="2374"/>
      <c r="F2118" s="2235"/>
      <c r="G2118" s="2235"/>
      <c r="H2118" s="2210"/>
      <c r="I2118" s="2210"/>
      <c r="J2118" s="2210"/>
      <c r="K2118" s="2211"/>
    </row>
    <row r="2119" spans="1:11">
      <c r="A2119" s="2241"/>
      <c r="B2119" s="2234"/>
      <c r="C2119" s="2210"/>
      <c r="D2119" s="2234"/>
      <c r="E2119" s="2374"/>
      <c r="F2119" s="2235"/>
      <c r="G2119" s="2235"/>
      <c r="H2119" s="2210"/>
      <c r="I2119" s="2210"/>
      <c r="J2119" s="2210"/>
      <c r="K2119" s="2211"/>
    </row>
    <row r="2120" spans="1:11">
      <c r="A2120" s="2241"/>
      <c r="B2120" s="2234"/>
      <c r="C2120" s="2210"/>
      <c r="D2120" s="2234"/>
      <c r="E2120" s="2374"/>
      <c r="F2120" s="2235"/>
      <c r="G2120" s="2235"/>
      <c r="H2120" s="2210"/>
      <c r="I2120" s="2210"/>
      <c r="J2120" s="2210"/>
      <c r="K2120" s="2211"/>
    </row>
    <row r="2121" spans="1:11">
      <c r="A2121" s="2241"/>
      <c r="B2121" s="2234"/>
      <c r="C2121" s="2210"/>
      <c r="D2121" s="2234"/>
      <c r="E2121" s="2374"/>
      <c r="F2121" s="2235"/>
      <c r="G2121" s="2235"/>
      <c r="H2121" s="2210"/>
      <c r="I2121" s="2210"/>
      <c r="J2121" s="2210"/>
      <c r="K2121" s="2211"/>
    </row>
    <row r="2122" spans="1:11">
      <c r="A2122" s="2241"/>
      <c r="B2122" s="2234"/>
      <c r="C2122" s="2210"/>
      <c r="D2122" s="2234"/>
      <c r="E2122" s="2374"/>
      <c r="F2122" s="2235"/>
      <c r="G2122" s="2235"/>
      <c r="H2122" s="2210"/>
      <c r="I2122" s="2210"/>
      <c r="J2122" s="2210"/>
      <c r="K2122" s="2211"/>
    </row>
    <row r="2123" spans="1:11">
      <c r="A2123" s="2241"/>
      <c r="B2123" s="2234"/>
      <c r="C2123" s="2210"/>
      <c r="D2123" s="2234"/>
      <c r="E2123" s="2374"/>
      <c r="F2123" s="2235"/>
      <c r="G2123" s="2235"/>
      <c r="H2123" s="2210"/>
      <c r="I2123" s="2210"/>
      <c r="J2123" s="2210"/>
      <c r="K2123" s="2211"/>
    </row>
    <row r="2124" spans="1:11">
      <c r="A2124" s="2241"/>
      <c r="B2124" s="2234"/>
      <c r="C2124" s="2210"/>
      <c r="D2124" s="2234"/>
      <c r="E2124" s="2374"/>
      <c r="F2124" s="2235"/>
      <c r="G2124" s="2235"/>
      <c r="H2124" s="2210"/>
      <c r="I2124" s="2210"/>
      <c r="J2124" s="2210"/>
      <c r="K2124" s="2211"/>
    </row>
    <row r="2125" spans="1:11">
      <c r="A2125" s="2241"/>
      <c r="B2125" s="2234"/>
      <c r="C2125" s="2210"/>
      <c r="D2125" s="2234"/>
      <c r="E2125" s="2374"/>
      <c r="F2125" s="2235"/>
      <c r="G2125" s="2235"/>
      <c r="H2125" s="2210"/>
      <c r="I2125" s="2210"/>
      <c r="J2125" s="2210"/>
      <c r="K2125" s="2211"/>
    </row>
    <row r="2126" spans="1:11">
      <c r="A2126" s="2241"/>
      <c r="B2126" s="2234"/>
      <c r="C2126" s="2210"/>
      <c r="D2126" s="2234"/>
      <c r="E2126" s="2374"/>
      <c r="F2126" s="2235"/>
      <c r="G2126" s="2235"/>
      <c r="H2126" s="2210"/>
      <c r="I2126" s="2210"/>
      <c r="J2126" s="2210"/>
      <c r="K2126" s="2211"/>
    </row>
    <row r="2127" spans="1:11">
      <c r="A2127" s="2241"/>
      <c r="B2127" s="2234"/>
      <c r="C2127" s="2210"/>
      <c r="D2127" s="2234"/>
      <c r="E2127" s="2374"/>
      <c r="F2127" s="2235"/>
      <c r="G2127" s="2235"/>
      <c r="H2127" s="2210"/>
      <c r="I2127" s="2210"/>
      <c r="J2127" s="2210"/>
      <c r="K2127" s="2211"/>
    </row>
    <row r="2128" spans="1:11">
      <c r="A2128" s="2241"/>
      <c r="B2128" s="2234"/>
      <c r="C2128" s="2210"/>
      <c r="D2128" s="2234"/>
      <c r="E2128" s="2374"/>
      <c r="F2128" s="2235"/>
      <c r="G2128" s="2235"/>
      <c r="H2128" s="2210"/>
      <c r="I2128" s="2210"/>
      <c r="J2128" s="2210"/>
      <c r="K2128" s="2211"/>
    </row>
    <row r="2129" spans="1:11">
      <c r="A2129" s="2241"/>
      <c r="B2129" s="2234"/>
      <c r="C2129" s="2210"/>
      <c r="D2129" s="2234"/>
      <c r="E2129" s="2374"/>
      <c r="F2129" s="2235"/>
      <c r="G2129" s="2235"/>
      <c r="H2129" s="2210"/>
      <c r="I2129" s="2210"/>
      <c r="J2129" s="2210"/>
      <c r="K2129" s="2211"/>
    </row>
    <row r="2130" spans="1:11">
      <c r="A2130" s="2241"/>
      <c r="B2130" s="2234"/>
      <c r="C2130" s="2210"/>
      <c r="D2130" s="2234"/>
      <c r="E2130" s="2374"/>
      <c r="F2130" s="2235"/>
      <c r="G2130" s="2235"/>
      <c r="H2130" s="2210"/>
      <c r="I2130" s="2210"/>
      <c r="J2130" s="2210"/>
      <c r="K2130" s="2211"/>
    </row>
    <row r="2131" spans="1:11">
      <c r="A2131" s="2241"/>
      <c r="B2131" s="2234"/>
      <c r="C2131" s="2210"/>
      <c r="D2131" s="2234"/>
      <c r="E2131" s="2374"/>
      <c r="F2131" s="2235"/>
      <c r="G2131" s="2235"/>
      <c r="H2131" s="2210"/>
      <c r="I2131" s="2210"/>
      <c r="J2131" s="2210"/>
      <c r="K2131" s="2211"/>
    </row>
    <row r="2132" spans="1:11">
      <c r="A2132" s="2241"/>
      <c r="B2132" s="2234"/>
      <c r="C2132" s="2210"/>
      <c r="D2132" s="2234"/>
      <c r="E2132" s="2374"/>
      <c r="F2132" s="2235"/>
      <c r="G2132" s="2235"/>
      <c r="H2132" s="2210"/>
      <c r="I2132" s="2210"/>
      <c r="J2132" s="2210"/>
      <c r="K2132" s="2211"/>
    </row>
    <row r="2133" spans="1:11">
      <c r="A2133" s="2241"/>
      <c r="B2133" s="2234"/>
      <c r="C2133" s="2210"/>
      <c r="D2133" s="2234"/>
      <c r="E2133" s="2374"/>
      <c r="F2133" s="2235"/>
      <c r="G2133" s="2235"/>
      <c r="H2133" s="2210"/>
      <c r="I2133" s="2210"/>
      <c r="J2133" s="2210"/>
      <c r="K2133" s="2211"/>
    </row>
    <row r="2134" spans="1:11">
      <c r="A2134" s="2241"/>
      <c r="B2134" s="2234"/>
      <c r="C2134" s="2210"/>
      <c r="D2134" s="2234"/>
      <c r="E2134" s="2374"/>
      <c r="F2134" s="2235"/>
      <c r="G2134" s="2235"/>
      <c r="H2134" s="2210"/>
      <c r="I2134" s="2210"/>
      <c r="J2134" s="2210"/>
      <c r="K2134" s="2211"/>
    </row>
    <row r="2135" spans="1:11">
      <c r="A2135" s="2241"/>
      <c r="B2135" s="2234"/>
      <c r="C2135" s="2210"/>
      <c r="D2135" s="2234"/>
      <c r="E2135" s="2374"/>
      <c r="F2135" s="2235"/>
      <c r="G2135" s="2235"/>
      <c r="H2135" s="2210"/>
      <c r="I2135" s="2210"/>
      <c r="J2135" s="2210"/>
      <c r="K2135" s="2211"/>
    </row>
    <row r="2136" spans="1:11">
      <c r="A2136" s="2241"/>
      <c r="B2136" s="2234"/>
      <c r="C2136" s="2210"/>
      <c r="D2136" s="2234"/>
      <c r="E2136" s="2374"/>
      <c r="F2136" s="2235"/>
      <c r="G2136" s="2235"/>
      <c r="H2136" s="2210"/>
      <c r="I2136" s="2210"/>
      <c r="J2136" s="2210"/>
      <c r="K2136" s="2211"/>
    </row>
    <row r="2137" spans="1:11">
      <c r="A2137" s="2241"/>
      <c r="B2137" s="2234"/>
      <c r="C2137" s="2210"/>
      <c r="D2137" s="2234"/>
      <c r="E2137" s="2374"/>
      <c r="F2137" s="2235"/>
      <c r="G2137" s="2235"/>
      <c r="H2137" s="2210"/>
      <c r="I2137" s="2210"/>
      <c r="J2137" s="2210"/>
      <c r="K2137" s="2211"/>
    </row>
    <row r="2138" spans="1:11">
      <c r="A2138" s="2241"/>
      <c r="B2138" s="2234"/>
      <c r="C2138" s="2210"/>
      <c r="D2138" s="2234"/>
      <c r="E2138" s="2374"/>
      <c r="F2138" s="2235"/>
      <c r="G2138" s="2235"/>
      <c r="H2138" s="2210"/>
      <c r="I2138" s="2210"/>
      <c r="J2138" s="2210"/>
      <c r="K2138" s="2211"/>
    </row>
    <row r="2139" spans="1:11">
      <c r="A2139" s="2241"/>
      <c r="B2139" s="2234"/>
      <c r="C2139" s="2210"/>
      <c r="D2139" s="2234"/>
      <c r="E2139" s="2374"/>
      <c r="F2139" s="2235"/>
      <c r="G2139" s="2235"/>
      <c r="H2139" s="2210"/>
      <c r="I2139" s="2210"/>
      <c r="J2139" s="2210"/>
      <c r="K2139" s="2211"/>
    </row>
    <row r="2140" spans="1:11">
      <c r="A2140" s="2241"/>
      <c r="B2140" s="2234"/>
      <c r="C2140" s="2210"/>
      <c r="D2140" s="2234"/>
      <c r="E2140" s="2374"/>
      <c r="F2140" s="2235"/>
      <c r="G2140" s="2235"/>
      <c r="H2140" s="2210"/>
      <c r="I2140" s="2210"/>
      <c r="J2140" s="2210"/>
      <c r="K2140" s="2211"/>
    </row>
    <row r="2141" spans="1:11">
      <c r="A2141" s="2241"/>
      <c r="B2141" s="2234"/>
      <c r="C2141" s="2210"/>
      <c r="D2141" s="2234"/>
      <c r="E2141" s="2374"/>
      <c r="F2141" s="2235"/>
      <c r="G2141" s="2235"/>
      <c r="H2141" s="2210"/>
      <c r="I2141" s="2210"/>
      <c r="J2141" s="2210"/>
      <c r="K2141" s="2211"/>
    </row>
    <row r="2142" spans="1:11">
      <c r="A2142" s="2241"/>
      <c r="B2142" s="2234"/>
      <c r="C2142" s="2210"/>
      <c r="D2142" s="2234"/>
      <c r="E2142" s="2374"/>
      <c r="F2142" s="2235"/>
      <c r="G2142" s="2235"/>
      <c r="H2142" s="2210"/>
      <c r="I2142" s="2210"/>
      <c r="J2142" s="2210"/>
      <c r="K2142" s="2211"/>
    </row>
    <row r="2143" spans="1:11">
      <c r="A2143" s="2241"/>
      <c r="B2143" s="2234"/>
      <c r="C2143" s="2210"/>
      <c r="D2143" s="2234"/>
      <c r="E2143" s="2374"/>
      <c r="F2143" s="2235"/>
      <c r="G2143" s="2235"/>
      <c r="H2143" s="2210"/>
      <c r="I2143" s="2210"/>
      <c r="J2143" s="2210"/>
      <c r="K2143" s="2211"/>
    </row>
    <row r="2144" spans="1:11">
      <c r="A2144" s="2241"/>
      <c r="B2144" s="2234"/>
      <c r="C2144" s="2210"/>
      <c r="D2144" s="2234"/>
      <c r="E2144" s="2374"/>
      <c r="F2144" s="2235"/>
      <c r="G2144" s="2235"/>
      <c r="H2144" s="2210"/>
      <c r="I2144" s="2210"/>
      <c r="J2144" s="2210"/>
      <c r="K2144" s="2211"/>
    </row>
    <row r="2145" spans="1:11">
      <c r="A2145" s="2241"/>
      <c r="B2145" s="2234"/>
      <c r="C2145" s="2210"/>
      <c r="D2145" s="2234"/>
      <c r="E2145" s="2374"/>
      <c r="F2145" s="2235"/>
      <c r="G2145" s="2235"/>
      <c r="H2145" s="2210"/>
      <c r="I2145" s="2210"/>
      <c r="J2145" s="2210"/>
      <c r="K2145" s="2211"/>
    </row>
    <row r="2146" spans="1:11">
      <c r="A2146" s="2241"/>
      <c r="B2146" s="2234"/>
      <c r="C2146" s="2210"/>
      <c r="D2146" s="2234"/>
      <c r="E2146" s="2374"/>
      <c r="F2146" s="2235"/>
      <c r="G2146" s="2235"/>
      <c r="H2146" s="2210"/>
      <c r="I2146" s="2210"/>
      <c r="J2146" s="2210"/>
      <c r="K2146" s="2211"/>
    </row>
    <row r="2147" spans="1:11">
      <c r="A2147" s="2241"/>
      <c r="B2147" s="2234"/>
      <c r="C2147" s="2210"/>
      <c r="D2147" s="2234"/>
      <c r="E2147" s="2374"/>
      <c r="F2147" s="2235"/>
      <c r="G2147" s="2235"/>
      <c r="H2147" s="2210"/>
      <c r="I2147" s="2210"/>
      <c r="J2147" s="2210"/>
      <c r="K2147" s="2211"/>
    </row>
    <row r="2148" spans="1:11">
      <c r="A2148" s="2241"/>
      <c r="B2148" s="2234"/>
      <c r="C2148" s="2210"/>
      <c r="D2148" s="2234"/>
      <c r="E2148" s="2374"/>
      <c r="F2148" s="2235"/>
      <c r="G2148" s="2235"/>
      <c r="H2148" s="2210"/>
      <c r="I2148" s="2210"/>
      <c r="J2148" s="2210"/>
      <c r="K2148" s="2211"/>
    </row>
    <row r="2149" spans="1:11">
      <c r="A2149" s="2241"/>
      <c r="B2149" s="2234"/>
      <c r="C2149" s="2210"/>
      <c r="D2149" s="2234"/>
      <c r="E2149" s="2374"/>
      <c r="F2149" s="2235"/>
      <c r="G2149" s="2235"/>
      <c r="H2149" s="2210"/>
      <c r="I2149" s="2210"/>
      <c r="J2149" s="2210"/>
      <c r="K2149" s="2211"/>
    </row>
    <row r="2150" spans="1:11">
      <c r="A2150" s="2241"/>
      <c r="B2150" s="2234"/>
      <c r="C2150" s="2210"/>
      <c r="D2150" s="2234"/>
      <c r="E2150" s="2374"/>
      <c r="F2150" s="2235"/>
      <c r="G2150" s="2235"/>
      <c r="H2150" s="2210"/>
      <c r="I2150" s="2210"/>
      <c r="J2150" s="2210"/>
      <c r="K2150" s="2211"/>
    </row>
    <row r="2151" spans="1:11">
      <c r="A2151" s="2241"/>
      <c r="B2151" s="2234"/>
      <c r="C2151" s="2210"/>
      <c r="D2151" s="2234"/>
      <c r="E2151" s="2374"/>
      <c r="F2151" s="2235"/>
      <c r="G2151" s="2235"/>
      <c r="H2151" s="2210"/>
      <c r="I2151" s="2210"/>
      <c r="J2151" s="2210"/>
      <c r="K2151" s="2211"/>
    </row>
    <row r="2152" spans="1:11">
      <c r="A2152" s="2241"/>
      <c r="B2152" s="2234"/>
      <c r="C2152" s="2210"/>
      <c r="D2152" s="2234"/>
      <c r="E2152" s="2374"/>
      <c r="F2152" s="2235"/>
      <c r="G2152" s="2235"/>
      <c r="H2152" s="2210"/>
      <c r="I2152" s="2210"/>
      <c r="J2152" s="2210"/>
      <c r="K2152" s="2211"/>
    </row>
    <row r="2153" spans="1:11">
      <c r="A2153" s="2241"/>
      <c r="B2153" s="2234"/>
      <c r="C2153" s="2210"/>
      <c r="D2153" s="2234"/>
      <c r="E2153" s="2374"/>
      <c r="F2153" s="2235"/>
      <c r="G2153" s="2235"/>
      <c r="H2153" s="2210"/>
      <c r="I2153" s="2210"/>
      <c r="J2153" s="2210"/>
      <c r="K2153" s="2211"/>
    </row>
    <row r="2154" spans="1:11">
      <c r="A2154" s="2241"/>
      <c r="B2154" s="2234"/>
      <c r="C2154" s="2210"/>
      <c r="D2154" s="2234"/>
      <c r="E2154" s="2374"/>
      <c r="F2154" s="2235"/>
      <c r="G2154" s="2235"/>
      <c r="H2154" s="2210"/>
      <c r="I2154" s="2210"/>
      <c r="J2154" s="2210"/>
      <c r="K2154" s="2211"/>
    </row>
    <row r="2155" spans="1:11">
      <c r="A2155" s="2241"/>
      <c r="B2155" s="2234"/>
      <c r="C2155" s="2210"/>
      <c r="D2155" s="2234"/>
      <c r="E2155" s="2374"/>
      <c r="F2155" s="2235"/>
      <c r="G2155" s="2235"/>
      <c r="H2155" s="2210"/>
      <c r="I2155" s="2210"/>
      <c r="J2155" s="2210"/>
      <c r="K2155" s="2211"/>
    </row>
    <row r="2156" spans="1:11">
      <c r="A2156" s="2241"/>
      <c r="B2156" s="2234"/>
      <c r="C2156" s="2210"/>
      <c r="D2156" s="2234"/>
      <c r="E2156" s="2374"/>
      <c r="F2156" s="2235"/>
      <c r="G2156" s="2235"/>
      <c r="H2156" s="2210"/>
      <c r="I2156" s="2210"/>
      <c r="J2156" s="2210"/>
      <c r="K2156" s="2211"/>
    </row>
    <row r="2157" spans="1:11">
      <c r="A2157" s="2241"/>
      <c r="B2157" s="2234"/>
      <c r="C2157" s="2210"/>
      <c r="D2157" s="2234"/>
      <c r="E2157" s="2374"/>
      <c r="F2157" s="2235"/>
      <c r="G2157" s="2235"/>
      <c r="H2157" s="2210"/>
      <c r="I2157" s="2210"/>
      <c r="J2157" s="2210"/>
      <c r="K2157" s="2211"/>
    </row>
    <row r="2158" spans="1:11">
      <c r="A2158" s="2241"/>
      <c r="B2158" s="2234"/>
      <c r="C2158" s="2210"/>
      <c r="D2158" s="2234"/>
      <c r="E2158" s="2374"/>
      <c r="F2158" s="2235"/>
      <c r="G2158" s="2235"/>
      <c r="H2158" s="2210"/>
      <c r="I2158" s="2210"/>
      <c r="J2158" s="2210"/>
      <c r="K2158" s="2211"/>
    </row>
    <row r="2159" spans="1:11">
      <c r="A2159" s="2241"/>
      <c r="B2159" s="2234"/>
      <c r="C2159" s="2210"/>
      <c r="D2159" s="2234"/>
      <c r="E2159" s="2374"/>
      <c r="F2159" s="2235"/>
      <c r="G2159" s="2235"/>
      <c r="H2159" s="2210"/>
      <c r="I2159" s="2210"/>
      <c r="J2159" s="2210"/>
      <c r="K2159" s="2211"/>
    </row>
    <row r="2160" spans="1:11">
      <c r="A2160" s="2241"/>
      <c r="B2160" s="2234"/>
      <c r="C2160" s="2210"/>
      <c r="D2160" s="2234"/>
      <c r="E2160" s="2374"/>
      <c r="F2160" s="2235"/>
      <c r="G2160" s="2235"/>
      <c r="H2160" s="2210"/>
      <c r="I2160" s="2210"/>
      <c r="J2160" s="2210"/>
      <c r="K2160" s="2211"/>
    </row>
    <row r="2161" spans="1:11">
      <c r="A2161" s="2241"/>
      <c r="B2161" s="2234"/>
      <c r="C2161" s="2210"/>
      <c r="D2161" s="2234"/>
      <c r="E2161" s="2374"/>
      <c r="F2161" s="2235"/>
      <c r="G2161" s="2235"/>
      <c r="H2161" s="2210"/>
      <c r="I2161" s="2210"/>
      <c r="J2161" s="2210"/>
      <c r="K2161" s="2211"/>
    </row>
    <row r="2162" spans="1:11">
      <c r="A2162" s="2241"/>
      <c r="B2162" s="2234"/>
      <c r="C2162" s="2210"/>
      <c r="D2162" s="2234"/>
      <c r="E2162" s="2374"/>
      <c r="F2162" s="2235"/>
      <c r="G2162" s="2235"/>
      <c r="H2162" s="2210"/>
      <c r="I2162" s="2210"/>
      <c r="J2162" s="2210"/>
      <c r="K2162" s="2211"/>
    </row>
    <row r="2163" spans="1:11">
      <c r="A2163" s="2241"/>
      <c r="B2163" s="2234"/>
      <c r="C2163" s="2210"/>
      <c r="D2163" s="2234"/>
      <c r="E2163" s="2374"/>
      <c r="F2163" s="2235"/>
      <c r="G2163" s="2235"/>
      <c r="H2163" s="2210"/>
      <c r="I2163" s="2210"/>
      <c r="J2163" s="2210"/>
      <c r="K2163" s="2211"/>
    </row>
    <row r="2164" spans="1:11">
      <c r="A2164" s="2241"/>
      <c r="B2164" s="2234"/>
      <c r="C2164" s="2210"/>
      <c r="D2164" s="2234"/>
      <c r="E2164" s="2374"/>
      <c r="F2164" s="2235"/>
      <c r="G2164" s="2235"/>
      <c r="H2164" s="2210"/>
      <c r="I2164" s="2210"/>
      <c r="J2164" s="2210"/>
      <c r="K2164" s="2211"/>
    </row>
    <row r="2165" spans="1:11">
      <c r="A2165" s="2241"/>
      <c r="B2165" s="2234"/>
      <c r="C2165" s="2210"/>
      <c r="D2165" s="2234"/>
      <c r="E2165" s="2374"/>
      <c r="F2165" s="2235"/>
      <c r="G2165" s="2235"/>
      <c r="H2165" s="2210"/>
      <c r="I2165" s="2210"/>
      <c r="J2165" s="2210"/>
      <c r="K2165" s="2211"/>
    </row>
    <row r="2166" spans="1:11">
      <c r="A2166" s="2241"/>
      <c r="B2166" s="2234"/>
      <c r="C2166" s="2210"/>
      <c r="D2166" s="2234"/>
      <c r="E2166" s="2374"/>
      <c r="F2166" s="2235"/>
      <c r="G2166" s="2235"/>
      <c r="H2166" s="2210"/>
      <c r="I2166" s="2210"/>
      <c r="J2166" s="2210"/>
      <c r="K2166" s="2211"/>
    </row>
    <row r="2167" spans="1:11">
      <c r="A2167" s="2241"/>
      <c r="B2167" s="2234"/>
      <c r="C2167" s="2210"/>
      <c r="D2167" s="2234"/>
      <c r="E2167" s="2374"/>
      <c r="F2167" s="2235"/>
      <c r="G2167" s="2235"/>
      <c r="H2167" s="2210"/>
      <c r="I2167" s="2210"/>
      <c r="J2167" s="2210"/>
      <c r="K2167" s="2211"/>
    </row>
    <row r="2168" spans="1:11">
      <c r="A2168" s="2241"/>
      <c r="B2168" s="2234"/>
      <c r="C2168" s="2210"/>
      <c r="D2168" s="2234"/>
      <c r="E2168" s="2374"/>
      <c r="F2168" s="2235"/>
      <c r="G2168" s="2235"/>
      <c r="H2168" s="2210"/>
      <c r="I2168" s="2210"/>
      <c r="J2168" s="2210"/>
      <c r="K2168" s="2211"/>
    </row>
    <row r="2169" spans="1:11">
      <c r="A2169" s="2241"/>
      <c r="B2169" s="2234"/>
      <c r="C2169" s="2210"/>
      <c r="D2169" s="2234"/>
      <c r="E2169" s="2374"/>
      <c r="F2169" s="2235"/>
      <c r="G2169" s="2235"/>
      <c r="H2169" s="2210"/>
      <c r="I2169" s="2210"/>
      <c r="J2169" s="2210"/>
      <c r="K2169" s="2211"/>
    </row>
    <row r="2170" spans="1:11">
      <c r="A2170" s="2241"/>
      <c r="B2170" s="2234"/>
      <c r="C2170" s="2210"/>
      <c r="D2170" s="2234"/>
      <c r="E2170" s="2374"/>
      <c r="F2170" s="2235"/>
      <c r="G2170" s="2235"/>
      <c r="H2170" s="2210"/>
      <c r="I2170" s="2210"/>
      <c r="J2170" s="2210"/>
      <c r="K2170" s="2211"/>
    </row>
    <row r="2171" spans="1:11">
      <c r="A2171" s="2241"/>
      <c r="B2171" s="2234"/>
      <c r="C2171" s="2210"/>
      <c r="D2171" s="2234"/>
      <c r="E2171" s="2374"/>
      <c r="F2171" s="2235"/>
      <c r="G2171" s="2235"/>
      <c r="H2171" s="2210"/>
      <c r="I2171" s="2210"/>
      <c r="J2171" s="2210"/>
      <c r="K2171" s="2211"/>
    </row>
    <row r="2172" spans="1:11">
      <c r="A2172" s="2241"/>
      <c r="B2172" s="2234"/>
      <c r="C2172" s="2210"/>
      <c r="D2172" s="2234"/>
      <c r="E2172" s="2374"/>
      <c r="F2172" s="2235"/>
      <c r="G2172" s="2235"/>
      <c r="H2172" s="2210"/>
      <c r="I2172" s="2210"/>
      <c r="J2172" s="2210"/>
      <c r="K2172" s="2211"/>
    </row>
    <row r="2173" spans="1:11">
      <c r="A2173" s="2241"/>
      <c r="B2173" s="2234"/>
      <c r="C2173" s="2210"/>
      <c r="D2173" s="2234"/>
      <c r="E2173" s="2374"/>
      <c r="F2173" s="2235"/>
      <c r="G2173" s="2235"/>
      <c r="H2173" s="2210"/>
      <c r="I2173" s="2210"/>
      <c r="J2173" s="2210"/>
      <c r="K2173" s="2211"/>
    </row>
    <row r="2174" spans="1:11">
      <c r="A2174" s="2241"/>
      <c r="B2174" s="2234"/>
      <c r="C2174" s="2210"/>
      <c r="D2174" s="2234"/>
      <c r="E2174" s="2374"/>
      <c r="F2174" s="2235"/>
      <c r="G2174" s="2235"/>
      <c r="H2174" s="2210"/>
      <c r="I2174" s="2210"/>
      <c r="J2174" s="2210"/>
      <c r="K2174" s="2211"/>
    </row>
    <row r="2175" spans="1:11">
      <c r="A2175" s="2241"/>
      <c r="B2175" s="2234"/>
      <c r="C2175" s="2210"/>
      <c r="D2175" s="2234"/>
      <c r="E2175" s="2374"/>
      <c r="F2175" s="2235"/>
      <c r="G2175" s="2235"/>
      <c r="H2175" s="2210"/>
      <c r="I2175" s="2210"/>
      <c r="J2175" s="2210"/>
      <c r="K2175" s="2211"/>
    </row>
    <row r="2176" spans="1:11">
      <c r="A2176" s="2241"/>
      <c r="B2176" s="2234"/>
      <c r="C2176" s="2210"/>
      <c r="D2176" s="2234"/>
      <c r="E2176" s="2374"/>
      <c r="F2176" s="2235"/>
      <c r="G2176" s="2235"/>
      <c r="H2176" s="2210"/>
      <c r="I2176" s="2210"/>
      <c r="J2176" s="2210"/>
      <c r="K2176" s="2211"/>
    </row>
    <row r="2177" spans="1:11">
      <c r="A2177" s="2241"/>
      <c r="B2177" s="2234"/>
      <c r="C2177" s="2210"/>
      <c r="D2177" s="2234"/>
      <c r="E2177" s="2374"/>
      <c r="F2177" s="2235"/>
      <c r="G2177" s="2235"/>
      <c r="H2177" s="2210"/>
      <c r="I2177" s="2210"/>
      <c r="J2177" s="2210"/>
      <c r="K2177" s="2211"/>
    </row>
    <row r="2178" spans="1:11">
      <c r="A2178" s="2241"/>
      <c r="B2178" s="2234"/>
      <c r="C2178" s="2210"/>
      <c r="D2178" s="2234"/>
      <c r="E2178" s="2374"/>
      <c r="F2178" s="2235"/>
      <c r="G2178" s="2235"/>
      <c r="H2178" s="2210"/>
      <c r="I2178" s="2210"/>
      <c r="J2178" s="2210"/>
      <c r="K2178" s="2211"/>
    </row>
    <row r="2179" spans="1:11">
      <c r="A2179" s="2241"/>
      <c r="B2179" s="2234"/>
      <c r="C2179" s="2210"/>
      <c r="D2179" s="2234"/>
      <c r="E2179" s="2374"/>
      <c r="F2179" s="2235"/>
      <c r="G2179" s="2235"/>
      <c r="H2179" s="2210"/>
      <c r="I2179" s="2210"/>
      <c r="J2179" s="2210"/>
      <c r="K2179" s="2211"/>
    </row>
    <row r="2180" spans="1:11">
      <c r="A2180" s="2241"/>
      <c r="B2180" s="2234"/>
      <c r="C2180" s="2210"/>
      <c r="D2180" s="2234"/>
      <c r="E2180" s="2374"/>
      <c r="F2180" s="2235"/>
      <c r="G2180" s="2235"/>
      <c r="H2180" s="2210"/>
      <c r="I2180" s="2210"/>
      <c r="J2180" s="2210"/>
      <c r="K2180" s="2211"/>
    </row>
    <row r="2181" spans="1:11">
      <c r="A2181" s="2241"/>
      <c r="B2181" s="2234"/>
      <c r="C2181" s="2210"/>
      <c r="D2181" s="2234"/>
      <c r="E2181" s="2374"/>
      <c r="F2181" s="2235"/>
      <c r="G2181" s="2235"/>
      <c r="H2181" s="2210"/>
      <c r="I2181" s="2210"/>
      <c r="J2181" s="2210"/>
      <c r="K2181" s="2211"/>
    </row>
    <row r="2182" spans="1:11">
      <c r="A2182" s="2241"/>
      <c r="B2182" s="2234"/>
      <c r="C2182" s="2210"/>
      <c r="D2182" s="2234"/>
      <c r="E2182" s="2374"/>
      <c r="F2182" s="2235"/>
      <c r="G2182" s="2235"/>
      <c r="H2182" s="2210"/>
      <c r="I2182" s="2210"/>
      <c r="J2182" s="2210"/>
      <c r="K2182" s="2211"/>
    </row>
    <row r="2183" spans="1:11">
      <c r="A2183" s="2241"/>
      <c r="B2183" s="2234"/>
      <c r="C2183" s="2210"/>
      <c r="D2183" s="2234"/>
      <c r="E2183" s="2374"/>
      <c r="F2183" s="2235"/>
      <c r="G2183" s="2235"/>
      <c r="H2183" s="2210"/>
      <c r="I2183" s="2210"/>
      <c r="J2183" s="2210"/>
      <c r="K2183" s="2211"/>
    </row>
    <row r="2184" spans="1:11">
      <c r="A2184" s="2241"/>
      <c r="B2184" s="2234"/>
      <c r="C2184" s="2210"/>
      <c r="D2184" s="2234"/>
      <c r="E2184" s="2374"/>
      <c r="F2184" s="2235"/>
      <c r="G2184" s="2235"/>
      <c r="H2184" s="2210"/>
      <c r="I2184" s="2210"/>
      <c r="J2184" s="2210"/>
      <c r="K2184" s="2211"/>
    </row>
    <row r="2185" spans="1:11">
      <c r="A2185" s="2241"/>
      <c r="B2185" s="2234"/>
      <c r="C2185" s="2210"/>
      <c r="D2185" s="2234"/>
      <c r="E2185" s="2374"/>
      <c r="F2185" s="2235"/>
      <c r="G2185" s="2235"/>
      <c r="H2185" s="2210"/>
      <c r="I2185" s="2210"/>
      <c r="J2185" s="2210"/>
      <c r="K2185" s="2211"/>
    </row>
    <row r="2186" spans="1:11">
      <c r="A2186" s="2241"/>
      <c r="B2186" s="2234"/>
      <c r="C2186" s="2210"/>
      <c r="D2186" s="2234"/>
      <c r="E2186" s="2374"/>
      <c r="F2186" s="2235"/>
      <c r="G2186" s="2235"/>
      <c r="H2186" s="2210"/>
      <c r="I2186" s="2210"/>
      <c r="J2186" s="2210"/>
      <c r="K2186" s="2211"/>
    </row>
    <row r="2187" spans="1:11">
      <c r="A2187" s="2241"/>
      <c r="B2187" s="2234"/>
      <c r="C2187" s="2210"/>
      <c r="D2187" s="2234"/>
      <c r="E2187" s="2374"/>
      <c r="F2187" s="2235"/>
      <c r="G2187" s="2235"/>
      <c r="H2187" s="2210"/>
      <c r="I2187" s="2210"/>
      <c r="J2187" s="2210"/>
      <c r="K2187" s="2211"/>
    </row>
    <row r="2188" spans="1:11">
      <c r="A2188" s="2241"/>
      <c r="B2188" s="2234"/>
      <c r="C2188" s="2210"/>
      <c r="D2188" s="2234"/>
      <c r="E2188" s="2374"/>
      <c r="F2188" s="2235"/>
      <c r="G2188" s="2235"/>
      <c r="H2188" s="2210"/>
      <c r="I2188" s="2210"/>
      <c r="J2188" s="2210"/>
      <c r="K2188" s="2211"/>
    </row>
    <row r="2189" spans="1:11">
      <c r="A2189" s="2241"/>
      <c r="B2189" s="2234"/>
      <c r="C2189" s="2210"/>
      <c r="D2189" s="2234"/>
      <c r="E2189" s="2374"/>
      <c r="F2189" s="2235"/>
      <c r="G2189" s="2235"/>
      <c r="H2189" s="2210"/>
      <c r="I2189" s="2210"/>
      <c r="J2189" s="2210"/>
      <c r="K2189" s="2211"/>
    </row>
    <row r="2190" spans="1:11">
      <c r="A2190" s="2241"/>
      <c r="B2190" s="2234"/>
      <c r="C2190" s="2210"/>
      <c r="D2190" s="2234"/>
      <c r="E2190" s="2374"/>
      <c r="F2190" s="2235"/>
      <c r="G2190" s="2235"/>
      <c r="H2190" s="2210"/>
      <c r="I2190" s="2210"/>
      <c r="J2190" s="2210"/>
      <c r="K2190" s="2211"/>
    </row>
    <row r="2191" spans="1:11">
      <c r="A2191" s="2241"/>
      <c r="B2191" s="2234"/>
      <c r="C2191" s="2210"/>
      <c r="D2191" s="2234"/>
      <c r="E2191" s="2374"/>
      <c r="F2191" s="2235"/>
      <c r="G2191" s="2235"/>
      <c r="H2191" s="2210"/>
      <c r="I2191" s="2210"/>
      <c r="J2191" s="2210"/>
      <c r="K2191" s="2211"/>
    </row>
    <row r="2192" spans="1:11">
      <c r="A2192" s="2241"/>
      <c r="B2192" s="2234"/>
      <c r="C2192" s="2210"/>
      <c r="D2192" s="2234"/>
      <c r="E2192" s="2374"/>
      <c r="F2192" s="2235"/>
      <c r="G2192" s="2235"/>
      <c r="H2192" s="2210"/>
      <c r="I2192" s="2210"/>
      <c r="J2192" s="2210"/>
      <c r="K2192" s="2211"/>
    </row>
    <row r="2193" spans="1:11">
      <c r="A2193" s="2241"/>
      <c r="B2193" s="2234"/>
      <c r="C2193" s="2210"/>
      <c r="D2193" s="2234"/>
      <c r="E2193" s="2374"/>
      <c r="F2193" s="2235"/>
      <c r="G2193" s="2235"/>
      <c r="H2193" s="2210"/>
      <c r="I2193" s="2210"/>
      <c r="J2193" s="2210"/>
      <c r="K2193" s="2211"/>
    </row>
    <row r="2194" spans="1:11">
      <c r="A2194" s="2241"/>
      <c r="B2194" s="2234"/>
      <c r="C2194" s="2210"/>
      <c r="D2194" s="2234"/>
      <c r="E2194" s="2374"/>
      <c r="F2194" s="2235"/>
      <c r="G2194" s="2235"/>
      <c r="H2194" s="2210"/>
      <c r="I2194" s="2210"/>
      <c r="J2194" s="2210"/>
      <c r="K2194" s="2211"/>
    </row>
    <row r="2195" spans="1:11">
      <c r="A2195" s="2241"/>
      <c r="B2195" s="2234"/>
      <c r="C2195" s="2210"/>
      <c r="D2195" s="2234"/>
      <c r="E2195" s="2374"/>
      <c r="F2195" s="2235"/>
      <c r="G2195" s="2235"/>
      <c r="H2195" s="2210"/>
      <c r="I2195" s="2210"/>
      <c r="J2195" s="2210"/>
      <c r="K2195" s="2211"/>
    </row>
    <row r="2196" spans="1:11">
      <c r="A2196" s="2241"/>
      <c r="B2196" s="2234"/>
      <c r="C2196" s="2210"/>
      <c r="D2196" s="2234"/>
      <c r="E2196" s="2374"/>
      <c r="F2196" s="2235"/>
      <c r="G2196" s="2235"/>
      <c r="H2196" s="2210"/>
      <c r="I2196" s="2210"/>
      <c r="J2196" s="2210"/>
      <c r="K2196" s="2211"/>
    </row>
    <row r="2197" spans="1:11">
      <c r="A2197" s="2241"/>
      <c r="B2197" s="2234"/>
      <c r="C2197" s="2210"/>
      <c r="D2197" s="2234"/>
      <c r="E2197" s="2374"/>
      <c r="F2197" s="2235"/>
      <c r="G2197" s="2235"/>
      <c r="H2197" s="2210"/>
      <c r="I2197" s="2210"/>
      <c r="J2197" s="2210"/>
      <c r="K2197" s="2211"/>
    </row>
    <row r="2198" spans="1:11">
      <c r="A2198" s="2241"/>
      <c r="B2198" s="2234"/>
      <c r="C2198" s="2210"/>
      <c r="D2198" s="2234"/>
      <c r="E2198" s="2374"/>
      <c r="F2198" s="2235"/>
      <c r="G2198" s="2235"/>
      <c r="H2198" s="2210"/>
      <c r="I2198" s="2210"/>
      <c r="J2198" s="2210"/>
      <c r="K2198" s="2211"/>
    </row>
    <row r="2199" spans="1:11">
      <c r="A2199" s="2241"/>
      <c r="B2199" s="2234"/>
      <c r="C2199" s="2210"/>
      <c r="D2199" s="2234"/>
      <c r="E2199" s="2374"/>
      <c r="F2199" s="2235"/>
      <c r="G2199" s="2235"/>
      <c r="H2199" s="2210"/>
      <c r="I2199" s="2210"/>
      <c r="J2199" s="2210"/>
      <c r="K2199" s="2211"/>
    </row>
    <row r="2200" spans="1:11">
      <c r="A2200" s="2241"/>
      <c r="B2200" s="2234"/>
      <c r="C2200" s="2210"/>
      <c r="D2200" s="2234"/>
      <c r="E2200" s="2374"/>
      <c r="F2200" s="2235"/>
      <c r="G2200" s="2235"/>
      <c r="H2200" s="2210"/>
      <c r="I2200" s="2210"/>
      <c r="J2200" s="2210"/>
      <c r="K2200" s="2211"/>
    </row>
    <row r="2201" spans="1:11">
      <c r="A2201" s="2241"/>
      <c r="B2201" s="2234"/>
      <c r="C2201" s="2210"/>
      <c r="D2201" s="2234"/>
      <c r="E2201" s="2374"/>
      <c r="F2201" s="2235"/>
      <c r="G2201" s="2235"/>
      <c r="H2201" s="2210"/>
      <c r="I2201" s="2210"/>
      <c r="J2201" s="2210"/>
      <c r="K2201" s="2211"/>
    </row>
    <row r="2202" spans="1:11">
      <c r="A2202" s="2241"/>
      <c r="B2202" s="2234"/>
      <c r="C2202" s="2210"/>
      <c r="D2202" s="2234"/>
      <c r="E2202" s="2374"/>
      <c r="F2202" s="2235"/>
      <c r="G2202" s="2235"/>
      <c r="H2202" s="2210"/>
      <c r="I2202" s="2210"/>
      <c r="J2202" s="2210"/>
      <c r="K2202" s="2211"/>
    </row>
    <row r="2203" spans="1:11">
      <c r="A2203" s="2241"/>
      <c r="B2203" s="2234"/>
      <c r="C2203" s="2210"/>
      <c r="D2203" s="2234"/>
      <c r="E2203" s="2374"/>
      <c r="F2203" s="2235"/>
      <c r="G2203" s="2235"/>
      <c r="H2203" s="2210"/>
      <c r="I2203" s="2210"/>
      <c r="J2203" s="2210"/>
      <c r="K2203" s="2211"/>
    </row>
    <row r="2204" spans="1:11">
      <c r="A2204" s="2241"/>
      <c r="B2204" s="2234"/>
      <c r="C2204" s="2210"/>
      <c r="D2204" s="2234"/>
      <c r="E2204" s="2374"/>
      <c r="F2204" s="2235"/>
      <c r="G2204" s="2235"/>
      <c r="H2204" s="2210"/>
      <c r="I2204" s="2210"/>
      <c r="J2204" s="2210"/>
      <c r="K2204" s="2211"/>
    </row>
    <row r="2205" spans="1:11">
      <c r="A2205" s="2241"/>
      <c r="B2205" s="2234"/>
      <c r="C2205" s="2210"/>
      <c r="D2205" s="2234"/>
      <c r="E2205" s="2374"/>
      <c r="F2205" s="2235"/>
      <c r="G2205" s="2235"/>
      <c r="H2205" s="2210"/>
      <c r="I2205" s="2210"/>
      <c r="J2205" s="2210"/>
      <c r="K2205" s="2211"/>
    </row>
    <row r="2206" spans="1:11">
      <c r="A2206" s="2241"/>
      <c r="B2206" s="2234"/>
      <c r="C2206" s="2210"/>
      <c r="D2206" s="2234"/>
      <c r="E2206" s="2374"/>
      <c r="F2206" s="2235"/>
      <c r="G2206" s="2235"/>
      <c r="H2206" s="2210"/>
      <c r="I2206" s="2210"/>
      <c r="J2206" s="2210"/>
      <c r="K2206" s="2211"/>
    </row>
    <row r="2207" spans="1:11">
      <c r="A2207" s="2241"/>
      <c r="B2207" s="2234"/>
      <c r="C2207" s="2210"/>
      <c r="D2207" s="2234"/>
      <c r="E2207" s="2374"/>
      <c r="F2207" s="2235"/>
      <c r="G2207" s="2235"/>
      <c r="H2207" s="2210"/>
      <c r="I2207" s="2210"/>
      <c r="J2207" s="2210"/>
      <c r="K2207" s="2211"/>
    </row>
    <row r="2208" spans="1:11">
      <c r="A2208" s="2241"/>
      <c r="B2208" s="2234"/>
      <c r="C2208" s="2210"/>
      <c r="D2208" s="2234"/>
      <c r="E2208" s="2374"/>
      <c r="F2208" s="2235"/>
      <c r="G2208" s="2235"/>
      <c r="H2208" s="2210"/>
      <c r="I2208" s="2210"/>
      <c r="J2208" s="2210"/>
      <c r="K2208" s="2211"/>
    </row>
    <row r="2209" spans="1:11">
      <c r="A2209" s="2241"/>
      <c r="B2209" s="2234"/>
      <c r="C2209" s="2210"/>
      <c r="D2209" s="2234"/>
      <c r="E2209" s="2374"/>
      <c r="F2209" s="2235"/>
      <c r="G2209" s="2235"/>
      <c r="H2209" s="2210"/>
      <c r="I2209" s="2210"/>
      <c r="J2209" s="2210"/>
      <c r="K2209" s="2211"/>
    </row>
    <row r="2210" spans="1:11">
      <c r="A2210" s="2241"/>
      <c r="B2210" s="2234"/>
      <c r="C2210" s="2210"/>
      <c r="D2210" s="2234"/>
      <c r="E2210" s="2374"/>
      <c r="F2210" s="2235"/>
      <c r="G2210" s="2235"/>
      <c r="H2210" s="2210"/>
      <c r="I2210" s="2210"/>
      <c r="J2210" s="2210"/>
      <c r="K2210" s="2211"/>
    </row>
    <row r="2211" spans="1:11">
      <c r="A2211" s="2241"/>
      <c r="B2211" s="2234"/>
      <c r="C2211" s="2210"/>
      <c r="D2211" s="2234"/>
      <c r="E2211" s="2374"/>
      <c r="F2211" s="2235"/>
      <c r="G2211" s="2235"/>
      <c r="H2211" s="2210"/>
      <c r="I2211" s="2210"/>
      <c r="J2211" s="2210"/>
      <c r="K2211" s="2211"/>
    </row>
    <row r="2212" spans="1:11">
      <c r="A2212" s="2241"/>
      <c r="B2212" s="2234"/>
      <c r="C2212" s="2210"/>
      <c r="D2212" s="2234"/>
      <c r="E2212" s="2374"/>
      <c r="F2212" s="2235"/>
      <c r="G2212" s="2235"/>
      <c r="H2212" s="2210"/>
      <c r="I2212" s="2210"/>
      <c r="J2212" s="2210"/>
      <c r="K2212" s="2211"/>
    </row>
    <row r="2213" spans="1:11">
      <c r="A2213" s="2241"/>
      <c r="B2213" s="2234"/>
      <c r="C2213" s="2210"/>
      <c r="D2213" s="2234"/>
      <c r="E2213" s="2374"/>
      <c r="F2213" s="2235"/>
      <c r="G2213" s="2235"/>
      <c r="H2213" s="2210"/>
      <c r="I2213" s="2210"/>
      <c r="J2213" s="2210"/>
      <c r="K2213" s="2211"/>
    </row>
    <row r="2214" spans="1:11">
      <c r="A2214" s="2241"/>
      <c r="B2214" s="2234"/>
      <c r="C2214" s="2210"/>
      <c r="D2214" s="2234"/>
      <c r="E2214" s="2374"/>
      <c r="F2214" s="2235"/>
      <c r="G2214" s="2235"/>
      <c r="H2214" s="2210"/>
      <c r="I2214" s="2210"/>
      <c r="J2214" s="2210"/>
      <c r="K2214" s="2211"/>
    </row>
    <row r="2215" spans="1:11">
      <c r="A2215" s="2241"/>
      <c r="B2215" s="2234"/>
      <c r="C2215" s="2210"/>
      <c r="D2215" s="2234"/>
      <c r="E2215" s="2374"/>
      <c r="F2215" s="2235"/>
      <c r="G2215" s="2235"/>
      <c r="H2215" s="2210"/>
      <c r="I2215" s="2210"/>
      <c r="J2215" s="2210"/>
      <c r="K2215" s="2211"/>
    </row>
    <row r="2216" spans="1:11">
      <c r="A2216" s="2241"/>
      <c r="B2216" s="2234"/>
      <c r="C2216" s="2210"/>
      <c r="D2216" s="2234"/>
      <c r="E2216" s="2374"/>
      <c r="F2216" s="2235"/>
      <c r="G2216" s="2235"/>
      <c r="H2216" s="2210"/>
      <c r="I2216" s="2210"/>
      <c r="J2216" s="2210"/>
      <c r="K2216" s="2211"/>
    </row>
    <row r="2217" spans="1:11">
      <c r="A2217" s="2241"/>
      <c r="B2217" s="2234"/>
      <c r="C2217" s="2210"/>
      <c r="D2217" s="2234"/>
      <c r="E2217" s="2374"/>
      <c r="F2217" s="2235"/>
      <c r="G2217" s="2235"/>
      <c r="H2217" s="2210"/>
      <c r="I2217" s="2210"/>
      <c r="J2217" s="2210"/>
      <c r="K2217" s="2211"/>
    </row>
    <row r="2218" spans="1:11">
      <c r="A2218" s="2241"/>
      <c r="B2218" s="2234"/>
      <c r="C2218" s="2210"/>
      <c r="D2218" s="2234"/>
      <c r="E2218" s="2374"/>
      <c r="F2218" s="2235"/>
      <c r="G2218" s="2235"/>
      <c r="H2218" s="2210"/>
      <c r="I2218" s="2210"/>
      <c r="J2218" s="2210"/>
      <c r="K2218" s="2211"/>
    </row>
    <row r="2219" spans="1:11">
      <c r="A2219" s="2241"/>
      <c r="B2219" s="2234"/>
      <c r="C2219" s="2210"/>
      <c r="D2219" s="2234"/>
      <c r="E2219" s="2374"/>
      <c r="F2219" s="2235"/>
      <c r="G2219" s="2235"/>
      <c r="H2219" s="2210"/>
      <c r="I2219" s="2210"/>
      <c r="J2219" s="2210"/>
      <c r="K2219" s="2211"/>
    </row>
    <row r="2220" spans="1:11">
      <c r="A2220" s="2241"/>
      <c r="B2220" s="2234"/>
      <c r="C2220" s="2210"/>
      <c r="D2220" s="2234"/>
      <c r="E2220" s="2374"/>
      <c r="F2220" s="2235"/>
      <c r="G2220" s="2235"/>
      <c r="H2220" s="2210"/>
      <c r="I2220" s="2210"/>
      <c r="J2220" s="2210"/>
      <c r="K2220" s="2211"/>
    </row>
    <row r="2221" spans="1:11">
      <c r="A2221" s="2241"/>
      <c r="B2221" s="2234"/>
      <c r="C2221" s="2210"/>
      <c r="D2221" s="2234"/>
      <c r="E2221" s="2374"/>
      <c r="F2221" s="2235"/>
      <c r="G2221" s="2235"/>
      <c r="H2221" s="2210"/>
      <c r="I2221" s="2210"/>
      <c r="J2221" s="2210"/>
      <c r="K2221" s="2211"/>
    </row>
    <row r="2222" spans="1:11">
      <c r="A2222" s="2241"/>
      <c r="B2222" s="2234"/>
      <c r="C2222" s="2210"/>
      <c r="D2222" s="2234"/>
      <c r="E2222" s="2374"/>
      <c r="F2222" s="2235"/>
      <c r="G2222" s="2235"/>
      <c r="H2222" s="2210"/>
      <c r="I2222" s="2210"/>
      <c r="J2222" s="2210"/>
      <c r="K2222" s="2211"/>
    </row>
    <row r="2223" spans="1:11">
      <c r="A2223" s="2241"/>
      <c r="B2223" s="2234"/>
      <c r="C2223" s="2210"/>
      <c r="D2223" s="2234"/>
      <c r="E2223" s="2374"/>
      <c r="F2223" s="2235"/>
      <c r="G2223" s="2235"/>
      <c r="H2223" s="2210"/>
      <c r="I2223" s="2210"/>
      <c r="J2223" s="2210"/>
      <c r="K2223" s="2211"/>
    </row>
    <row r="2224" spans="1:11">
      <c r="A2224" s="2241"/>
      <c r="B2224" s="2234"/>
      <c r="C2224" s="2210"/>
      <c r="D2224" s="2234"/>
      <c r="E2224" s="2374"/>
      <c r="F2224" s="2235"/>
      <c r="G2224" s="2235"/>
      <c r="H2224" s="2210"/>
      <c r="I2224" s="2210"/>
      <c r="J2224" s="2210"/>
      <c r="K2224" s="2211"/>
    </row>
    <row r="2225" spans="1:11">
      <c r="A2225" s="2241"/>
      <c r="B2225" s="2234"/>
      <c r="C2225" s="2210"/>
      <c r="D2225" s="2234"/>
      <c r="E2225" s="2374"/>
      <c r="F2225" s="2235"/>
      <c r="G2225" s="2235"/>
      <c r="H2225" s="2210"/>
      <c r="I2225" s="2210"/>
      <c r="J2225" s="2210"/>
      <c r="K2225" s="2211"/>
    </row>
    <row r="2226" spans="1:11">
      <c r="A2226" s="2241"/>
      <c r="B2226" s="2234"/>
      <c r="C2226" s="2210"/>
      <c r="D2226" s="2234"/>
      <c r="E2226" s="2374"/>
      <c r="F2226" s="2235"/>
      <c r="G2226" s="2235"/>
      <c r="H2226" s="2210"/>
      <c r="I2226" s="2210"/>
      <c r="J2226" s="2210"/>
      <c r="K2226" s="2211"/>
    </row>
    <row r="2227" spans="1:11">
      <c r="A2227" s="2241"/>
      <c r="B2227" s="2234"/>
      <c r="C2227" s="2210"/>
      <c r="D2227" s="2234"/>
      <c r="E2227" s="2374"/>
      <c r="F2227" s="2235"/>
      <c r="G2227" s="2235"/>
      <c r="H2227" s="2210"/>
      <c r="I2227" s="2210"/>
      <c r="J2227" s="2210"/>
      <c r="K2227" s="2211"/>
    </row>
    <row r="2228" spans="1:11">
      <c r="A2228" s="2241"/>
      <c r="B2228" s="2234"/>
      <c r="C2228" s="2210"/>
      <c r="D2228" s="2234"/>
      <c r="E2228" s="2374"/>
      <c r="F2228" s="2235"/>
      <c r="G2228" s="2235"/>
      <c r="H2228" s="2210"/>
      <c r="I2228" s="2210"/>
      <c r="J2228" s="2210"/>
      <c r="K2228" s="2211"/>
    </row>
    <row r="2229" spans="1:11">
      <c r="A2229" s="2241"/>
      <c r="B2229" s="2234"/>
      <c r="C2229" s="2210"/>
      <c r="D2229" s="2234"/>
      <c r="E2229" s="2374"/>
      <c r="F2229" s="2235"/>
      <c r="G2229" s="2235"/>
      <c r="H2229" s="2210"/>
      <c r="I2229" s="2210"/>
      <c r="J2229" s="2210"/>
      <c r="K2229" s="2211"/>
    </row>
    <row r="2230" spans="1:11">
      <c r="A2230" s="2241"/>
      <c r="B2230" s="2234"/>
      <c r="C2230" s="2210"/>
      <c r="D2230" s="2234"/>
      <c r="E2230" s="2374"/>
      <c r="F2230" s="2235"/>
      <c r="G2230" s="2235"/>
      <c r="H2230" s="2210"/>
      <c r="I2230" s="2210"/>
      <c r="J2230" s="2210"/>
      <c r="K2230" s="2211"/>
    </row>
    <row r="2231" spans="1:11">
      <c r="A2231" s="2241"/>
      <c r="B2231" s="2234"/>
      <c r="C2231" s="2210"/>
      <c r="D2231" s="2234"/>
      <c r="E2231" s="2374"/>
      <c r="F2231" s="2235"/>
      <c r="G2231" s="2235"/>
      <c r="H2231" s="2210"/>
      <c r="I2231" s="2210"/>
      <c r="J2231" s="2210"/>
      <c r="K2231" s="2211"/>
    </row>
    <row r="2232" spans="1:11">
      <c r="A2232" s="2241"/>
      <c r="B2232" s="2234"/>
      <c r="C2232" s="2210"/>
      <c r="D2232" s="2234"/>
      <c r="E2232" s="2374"/>
      <c r="F2232" s="2235"/>
      <c r="G2232" s="2235"/>
      <c r="H2232" s="2210"/>
      <c r="I2232" s="2210"/>
      <c r="J2232" s="2210"/>
      <c r="K2232" s="2211"/>
    </row>
    <row r="2233" spans="1:11">
      <c r="A2233" s="2241"/>
      <c r="B2233" s="2234"/>
      <c r="C2233" s="2210"/>
      <c r="D2233" s="2234"/>
      <c r="E2233" s="2374"/>
      <c r="F2233" s="2235"/>
      <c r="G2233" s="2235"/>
      <c r="H2233" s="2210"/>
      <c r="I2233" s="2210"/>
      <c r="J2233" s="2210"/>
      <c r="K2233" s="2211"/>
    </row>
    <row r="2234" spans="1:11">
      <c r="A2234" s="2241"/>
      <c r="B2234" s="2234"/>
      <c r="C2234" s="2210"/>
      <c r="D2234" s="2234"/>
      <c r="E2234" s="2374"/>
      <c r="F2234" s="2235"/>
      <c r="G2234" s="2235"/>
      <c r="H2234" s="2210"/>
      <c r="I2234" s="2210"/>
      <c r="J2234" s="2210"/>
      <c r="K2234" s="2211"/>
    </row>
    <row r="2235" spans="1:11">
      <c r="A2235" s="2241"/>
      <c r="B2235" s="2234"/>
      <c r="C2235" s="2210"/>
      <c r="D2235" s="2234"/>
      <c r="E2235" s="2374"/>
      <c r="F2235" s="2235"/>
      <c r="G2235" s="2235"/>
      <c r="H2235" s="2210"/>
      <c r="I2235" s="2210"/>
      <c r="J2235" s="2210"/>
      <c r="K2235" s="2211"/>
    </row>
    <row r="2236" spans="1:11">
      <c r="A2236" s="2241"/>
      <c r="B2236" s="2234"/>
      <c r="C2236" s="2210"/>
      <c r="D2236" s="2234"/>
      <c r="E2236" s="2374"/>
      <c r="F2236" s="2235"/>
      <c r="G2236" s="2235"/>
      <c r="H2236" s="2210"/>
      <c r="I2236" s="2210"/>
      <c r="J2236" s="2210"/>
      <c r="K2236" s="2211"/>
    </row>
    <row r="2237" spans="1:11">
      <c r="A2237" s="2241"/>
      <c r="B2237" s="2234"/>
      <c r="C2237" s="2210"/>
      <c r="D2237" s="2234"/>
      <c r="E2237" s="2374"/>
      <c r="F2237" s="2235"/>
      <c r="G2237" s="2235"/>
      <c r="H2237" s="2210"/>
      <c r="I2237" s="2210"/>
      <c r="J2237" s="2210"/>
      <c r="K2237" s="2211"/>
    </row>
    <row r="2238" spans="1:11">
      <c r="A2238" s="2241"/>
      <c r="B2238" s="2234"/>
      <c r="C2238" s="2210"/>
      <c r="D2238" s="2234"/>
      <c r="E2238" s="2374"/>
      <c r="F2238" s="2235"/>
      <c r="G2238" s="2235"/>
      <c r="H2238" s="2210"/>
      <c r="I2238" s="2210"/>
      <c r="J2238" s="2210"/>
      <c r="K2238" s="2211"/>
    </row>
    <row r="2239" spans="1:11">
      <c r="A2239" s="2241"/>
      <c r="B2239" s="2234"/>
      <c r="C2239" s="2210"/>
      <c r="D2239" s="2234"/>
      <c r="E2239" s="2374"/>
      <c r="F2239" s="2235"/>
      <c r="G2239" s="2235"/>
      <c r="H2239" s="2210"/>
      <c r="I2239" s="2210"/>
      <c r="J2239" s="2210"/>
      <c r="K2239" s="2211"/>
    </row>
    <row r="2240" spans="1:11">
      <c r="A2240" s="2241"/>
      <c r="B2240" s="2234"/>
      <c r="C2240" s="2210"/>
      <c r="D2240" s="2234"/>
      <c r="E2240" s="2374"/>
      <c r="F2240" s="2235"/>
      <c r="G2240" s="2235"/>
      <c r="H2240" s="2210"/>
      <c r="I2240" s="2210"/>
      <c r="J2240" s="2210"/>
      <c r="K2240" s="2211"/>
    </row>
    <row r="2241" spans="1:11">
      <c r="A2241" s="2241"/>
      <c r="B2241" s="2234"/>
      <c r="C2241" s="2210"/>
      <c r="D2241" s="2234"/>
      <c r="E2241" s="2374"/>
      <c r="F2241" s="2235"/>
      <c r="G2241" s="2235"/>
      <c r="H2241" s="2210"/>
      <c r="I2241" s="2210"/>
      <c r="J2241" s="2210"/>
      <c r="K2241" s="2211"/>
    </row>
    <row r="2242" spans="1:11">
      <c r="A2242" s="2241"/>
      <c r="B2242" s="2234"/>
      <c r="C2242" s="2210"/>
      <c r="D2242" s="2234"/>
      <c r="E2242" s="2374"/>
      <c r="F2242" s="2235"/>
      <c r="G2242" s="2235"/>
      <c r="H2242" s="2210"/>
      <c r="I2242" s="2210"/>
      <c r="J2242" s="2210"/>
      <c r="K2242" s="2211"/>
    </row>
    <row r="2243" spans="1:11">
      <c r="A2243" s="2241"/>
      <c r="B2243" s="2234"/>
      <c r="C2243" s="2210"/>
      <c r="D2243" s="2234"/>
      <c r="E2243" s="2374"/>
      <c r="F2243" s="2235"/>
      <c r="G2243" s="2235"/>
      <c r="H2243" s="2210"/>
      <c r="I2243" s="2210"/>
      <c r="J2243" s="2210"/>
      <c r="K2243" s="2211"/>
    </row>
    <row r="2244" spans="1:11">
      <c r="A2244" s="2241"/>
      <c r="B2244" s="2234"/>
      <c r="C2244" s="2210"/>
      <c r="D2244" s="2234"/>
      <c r="E2244" s="2374"/>
      <c r="F2244" s="2235"/>
      <c r="G2244" s="2235"/>
      <c r="H2244" s="2210"/>
      <c r="I2244" s="2210"/>
      <c r="J2244" s="2210"/>
      <c r="K2244" s="2211"/>
    </row>
    <row r="2245" spans="1:11">
      <c r="A2245" s="2241"/>
      <c r="B2245" s="2234"/>
      <c r="C2245" s="2210"/>
      <c r="D2245" s="2234"/>
      <c r="E2245" s="2374"/>
      <c r="F2245" s="2235"/>
      <c r="G2245" s="2235"/>
      <c r="H2245" s="2210"/>
      <c r="I2245" s="2210"/>
      <c r="J2245" s="2210"/>
      <c r="K2245" s="2211"/>
    </row>
    <row r="2246" spans="1:11">
      <c r="A2246" s="2241"/>
      <c r="B2246" s="2234"/>
      <c r="C2246" s="2210"/>
      <c r="D2246" s="2234"/>
      <c r="E2246" s="2374"/>
      <c r="F2246" s="2235"/>
      <c r="G2246" s="2235"/>
      <c r="H2246" s="2210"/>
      <c r="I2246" s="2210"/>
      <c r="J2246" s="2210"/>
      <c r="K2246" s="2211"/>
    </row>
    <row r="2247" spans="1:11">
      <c r="A2247" s="2241"/>
      <c r="B2247" s="2234"/>
      <c r="C2247" s="2210"/>
      <c r="D2247" s="2234"/>
      <c r="E2247" s="2374"/>
      <c r="F2247" s="2235"/>
      <c r="G2247" s="2235"/>
      <c r="H2247" s="2210"/>
      <c r="I2247" s="2210"/>
      <c r="J2247" s="2210"/>
      <c r="K2247" s="2211"/>
    </row>
    <row r="2248" spans="1:11">
      <c r="A2248" s="2241"/>
      <c r="B2248" s="2234"/>
      <c r="C2248" s="2210"/>
      <c r="D2248" s="2234"/>
      <c r="E2248" s="2374"/>
      <c r="F2248" s="2235"/>
      <c r="G2248" s="2235"/>
      <c r="H2248" s="2210"/>
      <c r="I2248" s="2210"/>
      <c r="J2248" s="2210"/>
      <c r="K2248" s="2211"/>
    </row>
    <row r="2249" spans="1:11">
      <c r="A2249" s="2241"/>
      <c r="B2249" s="2234"/>
      <c r="C2249" s="2210"/>
      <c r="D2249" s="2234"/>
      <c r="E2249" s="2374"/>
      <c r="F2249" s="2235"/>
      <c r="G2249" s="2235"/>
      <c r="H2249" s="2210"/>
      <c r="I2249" s="2210"/>
      <c r="J2249" s="2210"/>
      <c r="K2249" s="2211"/>
    </row>
    <row r="2250" spans="1:11">
      <c r="A2250" s="2241"/>
      <c r="B2250" s="2234"/>
      <c r="C2250" s="2210"/>
      <c r="D2250" s="2234"/>
      <c r="E2250" s="2374"/>
      <c r="F2250" s="2235"/>
      <c r="G2250" s="2235"/>
      <c r="H2250" s="2210"/>
      <c r="I2250" s="2210"/>
      <c r="J2250" s="2210"/>
      <c r="K2250" s="2211"/>
    </row>
    <row r="2251" spans="1:11">
      <c r="A2251" s="2241"/>
      <c r="B2251" s="2234"/>
      <c r="C2251" s="2210"/>
      <c r="D2251" s="2234"/>
      <c r="E2251" s="2374"/>
      <c r="F2251" s="2235"/>
      <c r="G2251" s="2235"/>
      <c r="H2251" s="2210"/>
      <c r="I2251" s="2210"/>
      <c r="J2251" s="2210"/>
      <c r="K2251" s="2211"/>
    </row>
    <row r="2252" spans="1:11">
      <c r="A2252" s="2241"/>
      <c r="B2252" s="2234"/>
      <c r="C2252" s="2210"/>
      <c r="D2252" s="2234"/>
      <c r="E2252" s="2374"/>
      <c r="F2252" s="2235"/>
      <c r="G2252" s="2235"/>
      <c r="H2252" s="2210"/>
      <c r="I2252" s="2210"/>
      <c r="J2252" s="2210"/>
      <c r="K2252" s="2211"/>
    </row>
    <row r="2253" spans="1:11">
      <c r="A2253" s="2241"/>
      <c r="B2253" s="2234"/>
      <c r="C2253" s="2210"/>
      <c r="D2253" s="2234"/>
      <c r="E2253" s="2374"/>
      <c r="F2253" s="2235"/>
      <c r="G2253" s="2235"/>
      <c r="H2253" s="2210"/>
      <c r="I2253" s="2210"/>
      <c r="J2253" s="2210"/>
      <c r="K2253" s="2211"/>
    </row>
    <row r="2254" spans="1:11">
      <c r="A2254" s="2241"/>
      <c r="B2254" s="2234"/>
      <c r="C2254" s="2210"/>
      <c r="D2254" s="2234"/>
      <c r="E2254" s="2374"/>
      <c r="F2254" s="2235"/>
      <c r="G2254" s="2235"/>
      <c r="H2254" s="2210"/>
      <c r="I2254" s="2210"/>
      <c r="J2254" s="2210"/>
      <c r="K2254" s="2211"/>
    </row>
    <row r="2255" spans="1:11">
      <c r="A2255" s="2241"/>
      <c r="B2255" s="2234"/>
      <c r="C2255" s="2210"/>
      <c r="D2255" s="2234"/>
      <c r="E2255" s="2374"/>
      <c r="F2255" s="2235"/>
      <c r="G2255" s="2235"/>
      <c r="H2255" s="2210"/>
      <c r="I2255" s="2210"/>
      <c r="J2255" s="2210"/>
      <c r="K2255" s="2211"/>
    </row>
    <row r="2256" spans="1:11">
      <c r="A2256" s="2241"/>
      <c r="B2256" s="2234"/>
      <c r="C2256" s="2210"/>
      <c r="D2256" s="2234"/>
      <c r="E2256" s="2374"/>
      <c r="F2256" s="2235"/>
      <c r="G2256" s="2235"/>
      <c r="H2256" s="2210"/>
      <c r="I2256" s="2210"/>
      <c r="J2256" s="2210"/>
      <c r="K2256" s="2211"/>
    </row>
    <row r="2257" spans="1:11">
      <c r="A2257" s="2241"/>
      <c r="B2257" s="2234"/>
      <c r="C2257" s="2210"/>
      <c r="D2257" s="2234"/>
      <c r="E2257" s="2374"/>
      <c r="F2257" s="2235"/>
      <c r="G2257" s="2235"/>
      <c r="H2257" s="2210"/>
      <c r="I2257" s="2210"/>
      <c r="J2257" s="2210"/>
      <c r="K2257" s="2211"/>
    </row>
    <row r="2258" spans="1:11">
      <c r="A2258" s="2241"/>
      <c r="B2258" s="2234"/>
      <c r="C2258" s="2210"/>
      <c r="D2258" s="2234"/>
      <c r="E2258" s="2374"/>
      <c r="F2258" s="2235"/>
      <c r="G2258" s="2235"/>
      <c r="H2258" s="2210"/>
      <c r="I2258" s="2210"/>
      <c r="J2258" s="2210"/>
      <c r="K2258" s="2211"/>
    </row>
    <row r="2259" spans="1:11">
      <c r="A2259" s="2241"/>
      <c r="B2259" s="2234"/>
      <c r="C2259" s="2210"/>
      <c r="D2259" s="2234"/>
      <c r="E2259" s="2374"/>
      <c r="F2259" s="2235"/>
      <c r="G2259" s="2235"/>
      <c r="H2259" s="2210"/>
      <c r="I2259" s="2210"/>
      <c r="J2259" s="2210"/>
      <c r="K2259" s="2211"/>
    </row>
    <row r="2260" spans="1:11">
      <c r="A2260" s="2241"/>
      <c r="B2260" s="2234"/>
      <c r="C2260" s="2210"/>
      <c r="D2260" s="2234"/>
      <c r="E2260" s="2374"/>
      <c r="F2260" s="2235"/>
      <c r="G2260" s="2235"/>
      <c r="H2260" s="2210"/>
      <c r="I2260" s="2210"/>
      <c r="J2260" s="2210"/>
      <c r="K2260" s="2211"/>
    </row>
    <row r="2261" spans="1:11">
      <c r="A2261" s="2241"/>
      <c r="B2261" s="2234"/>
      <c r="C2261" s="2210"/>
      <c r="D2261" s="2234"/>
      <c r="E2261" s="2374"/>
      <c r="F2261" s="2235"/>
      <c r="G2261" s="2235"/>
      <c r="H2261" s="2210"/>
      <c r="I2261" s="2210"/>
      <c r="J2261" s="2210"/>
      <c r="K2261" s="2211"/>
    </row>
    <row r="2262" spans="1:11">
      <c r="A2262" s="2241"/>
      <c r="B2262" s="2234"/>
      <c r="C2262" s="2210"/>
      <c r="D2262" s="2234"/>
      <c r="E2262" s="2374"/>
      <c r="F2262" s="2235"/>
      <c r="G2262" s="2235"/>
      <c r="H2262" s="2210"/>
      <c r="I2262" s="2210"/>
      <c r="J2262" s="2210"/>
      <c r="K2262" s="2211"/>
    </row>
    <row r="2263" spans="1:11">
      <c r="A2263" s="2241"/>
      <c r="B2263" s="2234"/>
      <c r="C2263" s="2210"/>
      <c r="D2263" s="2234"/>
      <c r="E2263" s="2374"/>
      <c r="F2263" s="2235"/>
      <c r="G2263" s="2235"/>
      <c r="H2263" s="2210"/>
      <c r="I2263" s="2210"/>
      <c r="J2263" s="2210"/>
      <c r="K2263" s="2211"/>
    </row>
    <row r="2264" spans="1:11">
      <c r="A2264" s="2241"/>
      <c r="B2264" s="2234"/>
      <c r="C2264" s="2210"/>
      <c r="D2264" s="2234"/>
      <c r="E2264" s="2374"/>
      <c r="F2264" s="2235"/>
      <c r="G2264" s="2235"/>
      <c r="H2264" s="2210"/>
      <c r="I2264" s="2210"/>
      <c r="J2264" s="2210"/>
      <c r="K2264" s="2211"/>
    </row>
    <row r="2265" spans="1:11">
      <c r="A2265" s="2241"/>
      <c r="B2265" s="2234"/>
      <c r="C2265" s="2210"/>
      <c r="D2265" s="2234"/>
      <c r="E2265" s="2374"/>
      <c r="F2265" s="2235"/>
      <c r="G2265" s="2235"/>
      <c r="H2265" s="2210"/>
      <c r="I2265" s="2210"/>
      <c r="J2265" s="2210"/>
      <c r="K2265" s="2211"/>
    </row>
    <row r="2266" spans="1:11">
      <c r="A2266" s="2241"/>
      <c r="B2266" s="2234"/>
      <c r="C2266" s="2210"/>
      <c r="D2266" s="2234"/>
      <c r="E2266" s="2374"/>
      <c r="F2266" s="2235"/>
      <c r="G2266" s="2235"/>
      <c r="H2266" s="2210"/>
      <c r="I2266" s="2210"/>
      <c r="J2266" s="2210"/>
      <c r="K2266" s="2211"/>
    </row>
    <row r="2267" spans="1:11">
      <c r="A2267" s="2241"/>
      <c r="B2267" s="2234"/>
      <c r="C2267" s="2210"/>
      <c r="D2267" s="2234"/>
      <c r="E2267" s="2374"/>
      <c r="F2267" s="2235"/>
      <c r="G2267" s="2235"/>
      <c r="H2267" s="2210"/>
      <c r="I2267" s="2210"/>
      <c r="J2267" s="2210"/>
      <c r="K2267" s="2211"/>
    </row>
    <row r="2268" spans="1:11">
      <c r="A2268" s="2241"/>
      <c r="B2268" s="2234"/>
      <c r="C2268" s="2210"/>
      <c r="D2268" s="2234"/>
      <c r="E2268" s="2374"/>
      <c r="F2268" s="2235"/>
      <c r="G2268" s="2235"/>
      <c r="H2268" s="2210"/>
      <c r="I2268" s="2210"/>
      <c r="J2268" s="2210"/>
      <c r="K2268" s="2211"/>
    </row>
    <row r="2269" spans="1:11">
      <c r="A2269" s="2241"/>
      <c r="B2269" s="2234"/>
      <c r="C2269" s="2210"/>
      <c r="D2269" s="2234"/>
      <c r="E2269" s="2374"/>
      <c r="F2269" s="2235"/>
      <c r="G2269" s="2235"/>
      <c r="H2269" s="2210"/>
      <c r="I2269" s="2210"/>
      <c r="J2269" s="2210"/>
      <c r="K2269" s="2211"/>
    </row>
    <row r="2270" spans="1:11">
      <c r="A2270" s="2241"/>
      <c r="B2270" s="2234"/>
      <c r="C2270" s="2210"/>
      <c r="D2270" s="2234"/>
      <c r="E2270" s="2374"/>
      <c r="F2270" s="2235"/>
      <c r="G2270" s="2235"/>
      <c r="H2270" s="2210"/>
      <c r="I2270" s="2210"/>
      <c r="J2270" s="2210"/>
      <c r="K2270" s="2211"/>
    </row>
    <row r="2271" spans="1:11">
      <c r="A2271" s="2241"/>
      <c r="B2271" s="2234"/>
      <c r="C2271" s="2210"/>
      <c r="D2271" s="2234"/>
      <c r="E2271" s="2374"/>
      <c r="F2271" s="2235"/>
      <c r="G2271" s="2235"/>
      <c r="H2271" s="2210"/>
      <c r="I2271" s="2210"/>
      <c r="J2271" s="2210"/>
      <c r="K2271" s="2211"/>
    </row>
    <row r="2272" spans="1:11">
      <c r="A2272" s="2241"/>
      <c r="B2272" s="2234"/>
      <c r="C2272" s="2210"/>
      <c r="D2272" s="2234"/>
      <c r="E2272" s="2374"/>
      <c r="F2272" s="2235"/>
      <c r="G2272" s="2235"/>
      <c r="H2272" s="2210"/>
      <c r="I2272" s="2210"/>
      <c r="J2272" s="2210"/>
      <c r="K2272" s="2211"/>
    </row>
    <row r="2273" spans="1:11">
      <c r="A2273" s="2241"/>
      <c r="B2273" s="2234"/>
      <c r="C2273" s="2210"/>
      <c r="D2273" s="2234"/>
      <c r="E2273" s="2374"/>
      <c r="F2273" s="2235"/>
      <c r="G2273" s="2235"/>
      <c r="H2273" s="2210"/>
      <c r="I2273" s="2210"/>
      <c r="J2273" s="2210"/>
      <c r="K2273" s="2211"/>
    </row>
    <row r="2274" spans="1:11">
      <c r="A2274" s="2241"/>
      <c r="B2274" s="2234"/>
      <c r="C2274" s="2210"/>
      <c r="D2274" s="2234"/>
      <c r="E2274" s="2374"/>
      <c r="F2274" s="2235"/>
      <c r="G2274" s="2235"/>
      <c r="H2274" s="2210"/>
      <c r="I2274" s="2210"/>
      <c r="J2274" s="2210"/>
      <c r="K2274" s="2211"/>
    </row>
    <row r="2275" spans="1:11">
      <c r="A2275" s="2241"/>
      <c r="B2275" s="2234"/>
      <c r="C2275" s="2210"/>
      <c r="D2275" s="2234"/>
      <c r="E2275" s="2374"/>
      <c r="F2275" s="2235"/>
      <c r="G2275" s="2235"/>
      <c r="H2275" s="2210"/>
      <c r="I2275" s="2210"/>
      <c r="J2275" s="2210"/>
      <c r="K2275" s="2211"/>
    </row>
    <row r="2276" spans="1:11">
      <c r="A2276" s="2241"/>
      <c r="B2276" s="2234"/>
      <c r="C2276" s="2210"/>
      <c r="D2276" s="2234"/>
      <c r="E2276" s="2374"/>
      <c r="F2276" s="2235"/>
      <c r="G2276" s="2235"/>
      <c r="H2276" s="2210"/>
      <c r="I2276" s="2210"/>
      <c r="J2276" s="2210"/>
      <c r="K2276" s="2211"/>
    </row>
    <row r="2277" spans="1:11">
      <c r="A2277" s="2241"/>
      <c r="B2277" s="2234"/>
      <c r="C2277" s="2210"/>
      <c r="D2277" s="2234"/>
      <c r="E2277" s="2374"/>
      <c r="F2277" s="2235"/>
      <c r="G2277" s="2235"/>
      <c r="H2277" s="2210"/>
      <c r="I2277" s="2210"/>
      <c r="J2277" s="2210"/>
      <c r="K2277" s="2211"/>
    </row>
    <row r="2278" spans="1:11">
      <c r="A2278" s="2241"/>
      <c r="B2278" s="2234"/>
      <c r="C2278" s="2210"/>
      <c r="D2278" s="2234"/>
      <c r="E2278" s="2374"/>
      <c r="F2278" s="2235"/>
      <c r="G2278" s="2235"/>
      <c r="H2278" s="2210"/>
      <c r="I2278" s="2210"/>
      <c r="J2278" s="2210"/>
      <c r="K2278" s="2211"/>
    </row>
    <row r="2279" spans="1:11">
      <c r="A2279" s="2241"/>
      <c r="B2279" s="2234"/>
      <c r="C2279" s="2210"/>
      <c r="D2279" s="2234"/>
      <c r="E2279" s="2374"/>
      <c r="F2279" s="2235"/>
      <c r="G2279" s="2235"/>
      <c r="H2279" s="2210"/>
      <c r="I2279" s="2210"/>
      <c r="J2279" s="2210"/>
      <c r="K2279" s="2211"/>
    </row>
    <row r="2280" spans="1:11">
      <c r="A2280" s="2241"/>
      <c r="B2280" s="2234"/>
      <c r="C2280" s="2210"/>
      <c r="D2280" s="2234"/>
      <c r="E2280" s="2374"/>
      <c r="F2280" s="2235"/>
      <c r="G2280" s="2235"/>
      <c r="H2280" s="2210"/>
      <c r="I2280" s="2210"/>
      <c r="J2280" s="2210"/>
      <c r="K2280" s="2211"/>
    </row>
    <row r="2281" spans="1:11">
      <c r="A2281" s="2241"/>
      <c r="B2281" s="2234"/>
      <c r="C2281" s="2210"/>
      <c r="D2281" s="2234"/>
      <c r="E2281" s="2374"/>
      <c r="F2281" s="2235"/>
      <c r="G2281" s="2235"/>
      <c r="H2281" s="2210"/>
      <c r="I2281" s="2210"/>
      <c r="J2281" s="2210"/>
      <c r="K2281" s="2211"/>
    </row>
    <row r="2282" spans="1:11">
      <c r="A2282" s="2241"/>
      <c r="B2282" s="2234"/>
      <c r="C2282" s="2210"/>
      <c r="D2282" s="2234"/>
      <c r="E2282" s="2374"/>
      <c r="F2282" s="2235"/>
      <c r="G2282" s="2235"/>
      <c r="H2282" s="2210"/>
      <c r="I2282" s="2210"/>
      <c r="J2282" s="2210"/>
      <c r="K2282" s="2211"/>
    </row>
    <row r="2283" spans="1:11">
      <c r="A2283" s="2241"/>
      <c r="B2283" s="2234"/>
      <c r="C2283" s="2210"/>
      <c r="D2283" s="2234"/>
      <c r="E2283" s="2374"/>
      <c r="F2283" s="2235"/>
      <c r="G2283" s="2235"/>
      <c r="H2283" s="2210"/>
      <c r="I2283" s="2210"/>
      <c r="J2283" s="2210"/>
      <c r="K2283" s="2211"/>
    </row>
    <row r="2284" spans="1:11">
      <c r="A2284" s="2241"/>
      <c r="B2284" s="2234"/>
      <c r="C2284" s="2210"/>
      <c r="D2284" s="2234"/>
      <c r="E2284" s="2374"/>
      <c r="F2284" s="2235"/>
      <c r="G2284" s="2235"/>
      <c r="H2284" s="2210"/>
      <c r="I2284" s="2210"/>
      <c r="J2284" s="2210"/>
      <c r="K2284" s="2211"/>
    </row>
    <row r="2285" spans="1:11">
      <c r="A2285" s="2241"/>
      <c r="B2285" s="2234"/>
      <c r="C2285" s="2210"/>
      <c r="D2285" s="2234"/>
      <c r="E2285" s="2374"/>
      <c r="F2285" s="2235"/>
      <c r="G2285" s="2235"/>
      <c r="H2285" s="2210"/>
      <c r="I2285" s="2210"/>
      <c r="J2285" s="2210"/>
      <c r="K2285" s="2211"/>
    </row>
    <row r="2286" spans="1:11">
      <c r="A2286" s="2241"/>
      <c r="B2286" s="2234"/>
      <c r="C2286" s="2210"/>
      <c r="D2286" s="2234"/>
      <c r="E2286" s="2374"/>
      <c r="F2286" s="2235"/>
      <c r="G2286" s="2235"/>
      <c r="H2286" s="2210"/>
      <c r="I2286" s="2210"/>
      <c r="J2286" s="2210"/>
      <c r="K2286" s="2211"/>
    </row>
    <row r="2287" spans="1:11">
      <c r="A2287" s="2241"/>
      <c r="B2287" s="2234"/>
      <c r="C2287" s="2210"/>
      <c r="D2287" s="2234"/>
      <c r="E2287" s="2374"/>
      <c r="F2287" s="2235"/>
      <c r="G2287" s="2235"/>
      <c r="H2287" s="2210"/>
      <c r="I2287" s="2210"/>
      <c r="J2287" s="2210"/>
      <c r="K2287" s="2211"/>
    </row>
    <row r="2288" spans="1:11">
      <c r="A2288" s="2241"/>
      <c r="B2288" s="2234"/>
      <c r="C2288" s="2210"/>
      <c r="D2288" s="2234"/>
      <c r="E2288" s="2374"/>
      <c r="F2288" s="2235"/>
      <c r="G2288" s="2235"/>
      <c r="H2288" s="2210"/>
      <c r="I2288" s="2210"/>
      <c r="J2288" s="2210"/>
      <c r="K2288" s="2211"/>
    </row>
    <row r="2289" spans="1:11">
      <c r="A2289" s="2241"/>
      <c r="B2289" s="2234"/>
      <c r="C2289" s="2210"/>
      <c r="D2289" s="2234"/>
      <c r="E2289" s="2374"/>
      <c r="F2289" s="2235"/>
      <c r="G2289" s="2235"/>
      <c r="H2289" s="2210"/>
      <c r="I2289" s="2210"/>
      <c r="J2289" s="2210"/>
      <c r="K2289" s="2211"/>
    </row>
    <row r="2290" spans="1:11">
      <c r="A2290" s="2241"/>
      <c r="B2290" s="2234"/>
      <c r="C2290" s="2210"/>
      <c r="D2290" s="2234"/>
      <c r="E2290" s="2374"/>
      <c r="F2290" s="2235"/>
      <c r="G2290" s="2235"/>
      <c r="H2290" s="2210"/>
      <c r="I2290" s="2210"/>
      <c r="J2290" s="2210"/>
      <c r="K2290" s="2211"/>
    </row>
    <row r="2291" spans="1:11">
      <c r="A2291" s="2241"/>
      <c r="B2291" s="2234"/>
      <c r="C2291" s="2210"/>
      <c r="D2291" s="2234"/>
      <c r="E2291" s="2374"/>
      <c r="F2291" s="2235"/>
      <c r="G2291" s="2235"/>
      <c r="H2291" s="2210"/>
      <c r="I2291" s="2210"/>
      <c r="J2291" s="2210"/>
      <c r="K2291" s="2211"/>
    </row>
    <row r="2292" spans="1:11">
      <c r="A2292" s="2241"/>
      <c r="B2292" s="2234"/>
      <c r="C2292" s="2210"/>
      <c r="D2292" s="2234"/>
      <c r="E2292" s="2374"/>
      <c r="F2292" s="2235"/>
      <c r="G2292" s="2235"/>
      <c r="H2292" s="2210"/>
      <c r="I2292" s="2210"/>
      <c r="J2292" s="2210"/>
      <c r="K2292" s="2211"/>
    </row>
    <row r="2293" spans="1:11">
      <c r="A2293" s="2241"/>
      <c r="B2293" s="2234"/>
      <c r="C2293" s="2210"/>
      <c r="D2293" s="2234"/>
      <c r="E2293" s="2374"/>
      <c r="F2293" s="2235"/>
      <c r="G2293" s="2235"/>
      <c r="H2293" s="2210"/>
      <c r="I2293" s="2210"/>
      <c r="J2293" s="2210"/>
      <c r="K2293" s="2211"/>
    </row>
    <row r="2294" spans="1:11">
      <c r="A2294" s="2241"/>
      <c r="B2294" s="2234"/>
      <c r="C2294" s="2210"/>
      <c r="D2294" s="2234"/>
      <c r="E2294" s="2374"/>
      <c r="F2294" s="2235"/>
      <c r="G2294" s="2235"/>
      <c r="H2294" s="2210"/>
      <c r="I2294" s="2210"/>
      <c r="J2294" s="2210"/>
      <c r="K2294" s="2211"/>
    </row>
    <row r="2295" spans="1:11">
      <c r="A2295" s="2241"/>
      <c r="B2295" s="2234"/>
      <c r="C2295" s="2210"/>
      <c r="D2295" s="2234"/>
      <c r="E2295" s="2374"/>
      <c r="F2295" s="2235"/>
      <c r="G2295" s="2235"/>
      <c r="H2295" s="2210"/>
      <c r="I2295" s="2210"/>
      <c r="J2295" s="2210"/>
      <c r="K2295" s="2211"/>
    </row>
    <row r="2296" spans="1:11">
      <c r="A2296" s="2241"/>
      <c r="B2296" s="2234"/>
      <c r="C2296" s="2210"/>
      <c r="D2296" s="2234"/>
      <c r="E2296" s="2374"/>
      <c r="F2296" s="2235"/>
      <c r="G2296" s="2235"/>
      <c r="H2296" s="2210"/>
      <c r="I2296" s="2210"/>
      <c r="J2296" s="2210"/>
      <c r="K2296" s="2211"/>
    </row>
    <row r="2297" spans="1:11">
      <c r="A2297" s="2241"/>
      <c r="B2297" s="2234"/>
      <c r="C2297" s="2210"/>
      <c r="D2297" s="2234"/>
      <c r="E2297" s="2374"/>
      <c r="F2297" s="2235"/>
      <c r="G2297" s="2235"/>
      <c r="H2297" s="2210"/>
      <c r="I2297" s="2210"/>
      <c r="J2297" s="2210"/>
      <c r="K2297" s="2211"/>
    </row>
    <row r="2298" spans="1:11">
      <c r="A2298" s="2241"/>
      <c r="B2298" s="2234"/>
      <c r="C2298" s="2210"/>
      <c r="D2298" s="2234"/>
      <c r="E2298" s="2374"/>
      <c r="F2298" s="2235"/>
      <c r="G2298" s="2235"/>
      <c r="H2298" s="2210"/>
      <c r="I2298" s="2210"/>
      <c r="J2298" s="2210"/>
      <c r="K2298" s="2211"/>
    </row>
    <row r="2299" spans="1:11">
      <c r="A2299" s="2241"/>
      <c r="B2299" s="2234"/>
      <c r="C2299" s="2210"/>
      <c r="D2299" s="2234"/>
      <c r="E2299" s="2374"/>
      <c r="F2299" s="2235"/>
      <c r="G2299" s="2235"/>
      <c r="H2299" s="2210"/>
      <c r="I2299" s="2210"/>
      <c r="J2299" s="2210"/>
      <c r="K2299" s="2211"/>
    </row>
    <row r="2300" spans="1:11">
      <c r="A2300" s="2241"/>
      <c r="B2300" s="2234"/>
      <c r="C2300" s="2210"/>
      <c r="D2300" s="2234"/>
      <c r="E2300" s="2374"/>
      <c r="F2300" s="2235"/>
      <c r="G2300" s="2235"/>
      <c r="H2300" s="2210"/>
      <c r="I2300" s="2210"/>
      <c r="J2300" s="2210"/>
      <c r="K2300" s="2211"/>
    </row>
    <row r="2301" spans="1:11">
      <c r="A2301" s="2241"/>
      <c r="B2301" s="2234"/>
      <c r="C2301" s="2210"/>
      <c r="D2301" s="2234"/>
      <c r="E2301" s="2374"/>
      <c r="F2301" s="2235"/>
      <c r="G2301" s="2235"/>
      <c r="H2301" s="2210"/>
      <c r="I2301" s="2210"/>
      <c r="J2301" s="2210"/>
      <c r="K2301" s="2211"/>
    </row>
    <row r="2302" spans="1:11">
      <c r="A2302" s="2241"/>
      <c r="B2302" s="2234"/>
      <c r="C2302" s="2210"/>
      <c r="D2302" s="2234"/>
      <c r="E2302" s="2374"/>
      <c r="F2302" s="2235"/>
      <c r="G2302" s="2235"/>
      <c r="H2302" s="2210"/>
      <c r="I2302" s="2210"/>
      <c r="J2302" s="2210"/>
      <c r="K2302" s="2211"/>
    </row>
    <row r="2303" spans="1:11">
      <c r="A2303" s="2241"/>
      <c r="B2303" s="2234"/>
      <c r="C2303" s="2210"/>
      <c r="D2303" s="2234"/>
      <c r="E2303" s="2374"/>
      <c r="F2303" s="2235"/>
      <c r="G2303" s="2235"/>
      <c r="H2303" s="2210"/>
      <c r="I2303" s="2210"/>
      <c r="J2303" s="2210"/>
      <c r="K2303" s="2211"/>
    </row>
    <row r="2304" spans="1:11">
      <c r="A2304" s="2241"/>
      <c r="B2304" s="2234"/>
      <c r="C2304" s="2210"/>
      <c r="D2304" s="2234"/>
      <c r="E2304" s="2374"/>
      <c r="F2304" s="2235"/>
      <c r="G2304" s="2235"/>
      <c r="H2304" s="2210"/>
      <c r="I2304" s="2210"/>
      <c r="J2304" s="2210"/>
      <c r="K2304" s="2211"/>
    </row>
    <row r="2305" spans="1:11">
      <c r="A2305" s="2241"/>
      <c r="B2305" s="2234"/>
      <c r="C2305" s="2210"/>
      <c r="D2305" s="2234"/>
      <c r="E2305" s="2374"/>
      <c r="F2305" s="2235"/>
      <c r="G2305" s="2235"/>
      <c r="H2305" s="2210"/>
      <c r="I2305" s="2210"/>
      <c r="J2305" s="2210"/>
      <c r="K2305" s="2211"/>
    </row>
    <row r="2306" spans="1:11">
      <c r="A2306" s="2241"/>
      <c r="B2306" s="2234"/>
      <c r="C2306" s="2210"/>
      <c r="D2306" s="2234"/>
      <c r="E2306" s="2374"/>
      <c r="F2306" s="2235"/>
      <c r="G2306" s="2235"/>
      <c r="H2306" s="2210"/>
      <c r="I2306" s="2210"/>
      <c r="J2306" s="2210"/>
      <c r="K2306" s="2211"/>
    </row>
    <row r="2307" spans="1:11">
      <c r="A2307" s="2241"/>
      <c r="B2307" s="2234"/>
      <c r="C2307" s="2210"/>
      <c r="D2307" s="2234"/>
      <c r="E2307" s="2374"/>
      <c r="F2307" s="2235"/>
      <c r="G2307" s="2235"/>
      <c r="H2307" s="2210"/>
      <c r="I2307" s="2210"/>
      <c r="J2307" s="2210"/>
      <c r="K2307" s="2211"/>
    </row>
    <row r="2308" spans="1:11">
      <c r="A2308" s="2241"/>
      <c r="B2308" s="2234"/>
      <c r="C2308" s="2210"/>
      <c r="D2308" s="2234"/>
      <c r="E2308" s="2374"/>
      <c r="F2308" s="2235"/>
      <c r="G2308" s="2235"/>
      <c r="H2308" s="2210"/>
      <c r="I2308" s="2210"/>
      <c r="J2308" s="2210"/>
      <c r="K2308" s="2211"/>
    </row>
    <row r="2309" spans="1:11">
      <c r="A2309" s="2241"/>
      <c r="B2309" s="2234"/>
      <c r="C2309" s="2210"/>
      <c r="D2309" s="2234"/>
      <c r="E2309" s="2374"/>
      <c r="F2309" s="2235"/>
      <c r="G2309" s="2235"/>
      <c r="H2309" s="2210"/>
      <c r="I2309" s="2210"/>
      <c r="J2309" s="2210"/>
      <c r="K2309" s="2211"/>
    </row>
    <row r="2310" spans="1:11">
      <c r="A2310" s="2241"/>
      <c r="B2310" s="2234"/>
      <c r="C2310" s="2210"/>
      <c r="D2310" s="2234"/>
      <c r="E2310" s="2374"/>
      <c r="F2310" s="2235"/>
      <c r="G2310" s="2235"/>
      <c r="H2310" s="2210"/>
      <c r="I2310" s="2210"/>
      <c r="J2310" s="2210"/>
      <c r="K2310" s="2211"/>
    </row>
    <row r="2311" spans="1:11">
      <c r="A2311" s="2241"/>
      <c r="B2311" s="2234"/>
      <c r="C2311" s="2210"/>
      <c r="D2311" s="2234"/>
      <c r="E2311" s="2374"/>
      <c r="F2311" s="2235"/>
      <c r="G2311" s="2235"/>
      <c r="H2311" s="2210"/>
      <c r="I2311" s="2210"/>
      <c r="J2311" s="2210"/>
      <c r="K2311" s="2211"/>
    </row>
    <row r="2312" spans="1:11">
      <c r="A2312" s="2241"/>
      <c r="B2312" s="2234"/>
      <c r="C2312" s="2210"/>
      <c r="D2312" s="2234"/>
      <c r="E2312" s="2374"/>
      <c r="F2312" s="2235"/>
      <c r="G2312" s="2235"/>
      <c r="H2312" s="2210"/>
      <c r="I2312" s="2210"/>
      <c r="J2312" s="2210"/>
      <c r="K2312" s="2211"/>
    </row>
    <row r="2313" spans="1:11">
      <c r="A2313" s="2241"/>
      <c r="B2313" s="2234"/>
      <c r="C2313" s="2210"/>
      <c r="D2313" s="2234"/>
      <c r="E2313" s="2374"/>
      <c r="F2313" s="2235"/>
      <c r="G2313" s="2235"/>
      <c r="H2313" s="2210"/>
      <c r="I2313" s="2210"/>
      <c r="J2313" s="2210"/>
      <c r="K2313" s="2211"/>
    </row>
    <row r="2314" spans="1:11">
      <c r="A2314" s="2241"/>
      <c r="B2314" s="2234"/>
      <c r="C2314" s="2210"/>
      <c r="D2314" s="2234"/>
      <c r="E2314" s="2374"/>
      <c r="F2314" s="2235"/>
      <c r="G2314" s="2235"/>
      <c r="H2314" s="2210"/>
      <c r="I2314" s="2210"/>
      <c r="J2314" s="2210"/>
      <c r="K2314" s="2211"/>
    </row>
    <row r="2315" spans="1:11">
      <c r="A2315" s="2241"/>
      <c r="B2315" s="2234"/>
      <c r="C2315" s="2210"/>
      <c r="D2315" s="2234"/>
      <c r="E2315" s="2374"/>
      <c r="F2315" s="2235"/>
      <c r="G2315" s="2235"/>
      <c r="H2315" s="2210"/>
      <c r="I2315" s="2210"/>
      <c r="J2315" s="2210"/>
      <c r="K2315" s="2211"/>
    </row>
    <row r="2316" spans="1:11">
      <c r="A2316" s="2241"/>
      <c r="B2316" s="2234"/>
      <c r="C2316" s="2210"/>
      <c r="D2316" s="2234"/>
      <c r="E2316" s="2374"/>
      <c r="F2316" s="2235"/>
      <c r="G2316" s="2235"/>
      <c r="H2316" s="2210"/>
      <c r="I2316" s="2210"/>
      <c r="J2316" s="2210"/>
      <c r="K2316" s="2211"/>
    </row>
    <row r="2317" spans="1:11">
      <c r="A2317" s="2241"/>
      <c r="B2317" s="2234"/>
      <c r="C2317" s="2210"/>
      <c r="D2317" s="2234"/>
      <c r="E2317" s="2374"/>
      <c r="F2317" s="2235"/>
      <c r="G2317" s="2235"/>
      <c r="H2317" s="2210"/>
      <c r="I2317" s="2210"/>
      <c r="J2317" s="2210"/>
      <c r="K2317" s="2211"/>
    </row>
    <row r="2318" spans="1:11">
      <c r="A2318" s="2241"/>
      <c r="B2318" s="2234"/>
      <c r="C2318" s="2210"/>
      <c r="D2318" s="2234"/>
      <c r="E2318" s="2374"/>
      <c r="F2318" s="2235"/>
      <c r="G2318" s="2235"/>
      <c r="H2318" s="2210"/>
      <c r="I2318" s="2210"/>
      <c r="J2318" s="2210"/>
      <c r="K2318" s="2211"/>
    </row>
    <row r="2319" spans="1:11">
      <c r="A2319" s="2241"/>
      <c r="B2319" s="2234"/>
      <c r="C2319" s="2210"/>
      <c r="D2319" s="2234"/>
      <c r="E2319" s="2374"/>
      <c r="F2319" s="2235"/>
      <c r="G2319" s="2235"/>
      <c r="H2319" s="2210"/>
      <c r="I2319" s="2210"/>
      <c r="J2319" s="2210"/>
      <c r="K2319" s="2211"/>
    </row>
    <row r="2320" spans="1:11">
      <c r="A2320" s="2241"/>
      <c r="B2320" s="2234"/>
      <c r="C2320" s="2210"/>
      <c r="D2320" s="2234"/>
      <c r="E2320" s="2374"/>
      <c r="F2320" s="2235"/>
      <c r="G2320" s="2235"/>
      <c r="H2320" s="2210"/>
      <c r="I2320" s="2210"/>
      <c r="J2320" s="2210"/>
      <c r="K2320" s="2211"/>
    </row>
    <row r="2321" spans="1:11">
      <c r="A2321" s="2241"/>
      <c r="B2321" s="2234"/>
      <c r="C2321" s="2210"/>
      <c r="D2321" s="2234"/>
      <c r="E2321" s="2374"/>
      <c r="F2321" s="2235"/>
      <c r="G2321" s="2235"/>
      <c r="H2321" s="2210"/>
      <c r="I2321" s="2210"/>
      <c r="J2321" s="2210"/>
      <c r="K2321" s="2211"/>
    </row>
    <row r="2322" spans="1:11">
      <c r="A2322" s="2241"/>
      <c r="B2322" s="2234"/>
      <c r="C2322" s="2210"/>
      <c r="D2322" s="2234"/>
      <c r="E2322" s="2374"/>
      <c r="F2322" s="2235"/>
      <c r="G2322" s="2235"/>
      <c r="H2322" s="2210"/>
      <c r="I2322" s="2210"/>
      <c r="J2322" s="2210"/>
      <c r="K2322" s="2211"/>
    </row>
    <row r="2323" spans="1:11">
      <c r="A2323" s="2241"/>
      <c r="B2323" s="2234"/>
      <c r="C2323" s="2210"/>
      <c r="D2323" s="2234"/>
      <c r="E2323" s="2374"/>
      <c r="F2323" s="2235"/>
      <c r="G2323" s="2235"/>
      <c r="H2323" s="2210"/>
      <c r="I2323" s="2210"/>
      <c r="J2323" s="2210"/>
      <c r="K2323" s="2211"/>
    </row>
    <row r="2324" spans="1:11">
      <c r="A2324" s="2241"/>
      <c r="B2324" s="2234"/>
      <c r="C2324" s="2210"/>
      <c r="D2324" s="2234"/>
      <c r="E2324" s="2374"/>
      <c r="F2324" s="2235"/>
      <c r="G2324" s="2235"/>
      <c r="H2324" s="2210"/>
      <c r="I2324" s="2210"/>
      <c r="J2324" s="2210"/>
      <c r="K2324" s="2211"/>
    </row>
    <row r="2325" spans="1:11">
      <c r="A2325" s="2241"/>
      <c r="B2325" s="2234"/>
      <c r="C2325" s="2210"/>
      <c r="D2325" s="2234"/>
      <c r="E2325" s="2374"/>
      <c r="F2325" s="2235"/>
      <c r="G2325" s="2235"/>
      <c r="H2325" s="2210"/>
      <c r="I2325" s="2210"/>
      <c r="J2325" s="2210"/>
      <c r="K2325" s="2211"/>
    </row>
    <row r="2326" spans="1:11">
      <c r="A2326" s="2241"/>
      <c r="B2326" s="2234"/>
      <c r="C2326" s="2210"/>
      <c r="D2326" s="2234"/>
      <c r="E2326" s="2374"/>
      <c r="F2326" s="2235"/>
      <c r="G2326" s="2235"/>
      <c r="H2326" s="2210"/>
      <c r="I2326" s="2210"/>
      <c r="J2326" s="2210"/>
      <c r="K2326" s="2211"/>
    </row>
    <row r="2327" spans="1:11">
      <c r="A2327" s="2241"/>
      <c r="B2327" s="2234"/>
      <c r="C2327" s="2210"/>
      <c r="D2327" s="2234"/>
      <c r="E2327" s="2374"/>
      <c r="F2327" s="2235"/>
      <c r="G2327" s="2235"/>
      <c r="H2327" s="2210"/>
      <c r="I2327" s="2210"/>
      <c r="J2327" s="2210"/>
      <c r="K2327" s="2211"/>
    </row>
    <row r="2328" spans="1:11">
      <c r="A2328" s="2241"/>
      <c r="B2328" s="2234"/>
      <c r="C2328" s="2210"/>
      <c r="D2328" s="2234"/>
      <c r="E2328" s="2374"/>
      <c r="F2328" s="2235"/>
      <c r="G2328" s="2235"/>
      <c r="H2328" s="2210"/>
      <c r="I2328" s="2210"/>
      <c r="J2328" s="2210"/>
      <c r="K2328" s="2211"/>
    </row>
    <row r="2329" spans="1:11">
      <c r="A2329" s="2241"/>
      <c r="B2329" s="2234"/>
      <c r="C2329" s="2210"/>
      <c r="D2329" s="2234"/>
      <c r="E2329" s="2374"/>
      <c r="F2329" s="2235"/>
      <c r="G2329" s="2235"/>
      <c r="H2329" s="2210"/>
      <c r="I2329" s="2210"/>
      <c r="J2329" s="2210"/>
      <c r="K2329" s="2211"/>
    </row>
    <row r="2330" spans="1:11">
      <c r="A2330" s="2241"/>
      <c r="B2330" s="2234"/>
      <c r="C2330" s="2210"/>
      <c r="D2330" s="2234"/>
      <c r="E2330" s="2374"/>
      <c r="F2330" s="2235"/>
      <c r="G2330" s="2235"/>
      <c r="H2330" s="2210"/>
      <c r="I2330" s="2210"/>
      <c r="J2330" s="2210"/>
      <c r="K2330" s="2211"/>
    </row>
    <row r="2331" spans="1:11">
      <c r="A2331" s="2241"/>
      <c r="B2331" s="2234"/>
      <c r="C2331" s="2210"/>
      <c r="D2331" s="2234"/>
      <c r="E2331" s="2374"/>
      <c r="F2331" s="2235"/>
      <c r="G2331" s="2235"/>
      <c r="H2331" s="2210"/>
      <c r="I2331" s="2210"/>
      <c r="J2331" s="2210"/>
      <c r="K2331" s="2211"/>
    </row>
    <row r="2332" spans="1:11">
      <c r="A2332" s="2241"/>
      <c r="B2332" s="2234"/>
      <c r="C2332" s="2210"/>
      <c r="D2332" s="2234"/>
      <c r="E2332" s="2374"/>
      <c r="F2332" s="2235"/>
      <c r="G2332" s="2235"/>
      <c r="H2332" s="2210"/>
      <c r="I2332" s="2210"/>
      <c r="J2332" s="2210"/>
      <c r="K2332" s="2211"/>
    </row>
    <row r="2333" spans="1:11">
      <c r="A2333" s="2241"/>
      <c r="B2333" s="2234"/>
      <c r="C2333" s="2210"/>
      <c r="D2333" s="2234"/>
      <c r="E2333" s="2374"/>
      <c r="F2333" s="2235"/>
      <c r="G2333" s="2235"/>
      <c r="H2333" s="2210"/>
      <c r="I2333" s="2210"/>
      <c r="J2333" s="2210"/>
      <c r="K2333" s="2211"/>
    </row>
    <row r="2334" spans="1:11">
      <c r="A2334" s="2241"/>
      <c r="B2334" s="2234"/>
      <c r="C2334" s="2210"/>
      <c r="D2334" s="2234"/>
      <c r="E2334" s="2374"/>
      <c r="F2334" s="2235"/>
      <c r="G2334" s="2235"/>
      <c r="H2334" s="2210"/>
      <c r="I2334" s="2210"/>
      <c r="J2334" s="2210"/>
      <c r="K2334" s="2211"/>
    </row>
    <row r="2335" spans="1:11">
      <c r="A2335" s="2241"/>
      <c r="B2335" s="2234"/>
      <c r="C2335" s="2210"/>
      <c r="D2335" s="2234"/>
      <c r="E2335" s="2374"/>
      <c r="F2335" s="2235"/>
      <c r="G2335" s="2235"/>
      <c r="H2335" s="2210"/>
      <c r="I2335" s="2210"/>
      <c r="J2335" s="2210"/>
      <c r="K2335" s="2211"/>
    </row>
    <row r="2336" spans="1:11">
      <c r="A2336" s="2241"/>
      <c r="B2336" s="2234"/>
      <c r="C2336" s="2210"/>
      <c r="D2336" s="2234"/>
      <c r="E2336" s="2374"/>
      <c r="F2336" s="2235"/>
      <c r="G2336" s="2235"/>
      <c r="H2336" s="2210"/>
      <c r="I2336" s="2210"/>
      <c r="J2336" s="2210"/>
      <c r="K2336" s="2211"/>
    </row>
    <row r="2337" spans="1:11">
      <c r="A2337" s="2241"/>
      <c r="B2337" s="2234"/>
      <c r="C2337" s="2210"/>
      <c r="D2337" s="2234"/>
      <c r="E2337" s="2374"/>
      <c r="F2337" s="2235"/>
      <c r="G2337" s="2235"/>
      <c r="H2337" s="2210"/>
      <c r="I2337" s="2210"/>
      <c r="J2337" s="2210"/>
      <c r="K2337" s="2211"/>
    </row>
    <row r="2338" spans="1:11">
      <c r="A2338" s="2241"/>
      <c r="B2338" s="2234"/>
      <c r="C2338" s="2210"/>
      <c r="D2338" s="2234"/>
      <c r="E2338" s="2374"/>
      <c r="F2338" s="2235"/>
      <c r="G2338" s="2235"/>
      <c r="H2338" s="2210"/>
      <c r="I2338" s="2210"/>
      <c r="J2338" s="2210"/>
      <c r="K2338" s="2211"/>
    </row>
    <row r="2339" spans="1:11">
      <c r="A2339" s="2241"/>
      <c r="B2339" s="2234"/>
      <c r="C2339" s="2210"/>
      <c r="D2339" s="2234"/>
      <c r="E2339" s="2374"/>
      <c r="F2339" s="2235"/>
      <c r="G2339" s="2235"/>
      <c r="H2339" s="2210"/>
      <c r="I2339" s="2210"/>
      <c r="J2339" s="2210"/>
      <c r="K2339" s="2211"/>
    </row>
    <row r="2340" spans="1:11">
      <c r="A2340" s="2241"/>
      <c r="B2340" s="2234"/>
      <c r="C2340" s="2210"/>
      <c r="D2340" s="2234"/>
      <c r="E2340" s="2374"/>
      <c r="F2340" s="2235"/>
      <c r="G2340" s="2235"/>
      <c r="H2340" s="2210"/>
      <c r="I2340" s="2210"/>
      <c r="J2340" s="2210"/>
      <c r="K2340" s="2211"/>
    </row>
    <row r="2341" spans="1:11">
      <c r="A2341" s="2241"/>
      <c r="B2341" s="2234"/>
      <c r="C2341" s="2210"/>
      <c r="D2341" s="2234"/>
      <c r="E2341" s="2374"/>
      <c r="F2341" s="2235"/>
      <c r="G2341" s="2235"/>
      <c r="H2341" s="2210"/>
      <c r="I2341" s="2210"/>
      <c r="J2341" s="2210"/>
      <c r="K2341" s="2211"/>
    </row>
    <row r="2342" spans="1:11">
      <c r="A2342" s="2241"/>
      <c r="B2342" s="2234"/>
      <c r="C2342" s="2210"/>
      <c r="D2342" s="2234"/>
      <c r="E2342" s="2374"/>
      <c r="F2342" s="2235"/>
      <c r="G2342" s="2235"/>
      <c r="H2342" s="2210"/>
      <c r="I2342" s="2210"/>
      <c r="J2342" s="2210"/>
      <c r="K2342" s="2211"/>
    </row>
    <row r="2343" spans="1:11">
      <c r="A2343" s="2241"/>
      <c r="B2343" s="2234"/>
      <c r="C2343" s="2210"/>
      <c r="D2343" s="2234"/>
      <c r="E2343" s="2374"/>
      <c r="F2343" s="2235"/>
      <c r="G2343" s="2235"/>
      <c r="H2343" s="2210"/>
      <c r="I2343" s="2210"/>
      <c r="J2343" s="2210"/>
      <c r="K2343" s="2211"/>
    </row>
    <row r="2344" spans="1:11">
      <c r="A2344" s="2241"/>
      <c r="B2344" s="2234"/>
      <c r="C2344" s="2210"/>
      <c r="D2344" s="2234"/>
      <c r="E2344" s="2374"/>
      <c r="F2344" s="2235"/>
      <c r="G2344" s="2235"/>
      <c r="H2344" s="2210"/>
      <c r="I2344" s="2210"/>
      <c r="J2344" s="2210"/>
      <c r="K2344" s="2211"/>
    </row>
    <row r="2345" spans="1:11">
      <c r="A2345" s="2241"/>
      <c r="B2345" s="2234"/>
      <c r="C2345" s="2210"/>
      <c r="D2345" s="2234"/>
      <c r="E2345" s="2374"/>
      <c r="F2345" s="2235"/>
      <c r="G2345" s="2235"/>
      <c r="H2345" s="2210"/>
      <c r="I2345" s="2210"/>
      <c r="J2345" s="2210"/>
      <c r="K2345" s="2211"/>
    </row>
    <row r="2346" spans="1:11">
      <c r="A2346" s="2241"/>
      <c r="B2346" s="2234"/>
      <c r="C2346" s="2210"/>
      <c r="D2346" s="2234"/>
      <c r="E2346" s="2374"/>
      <c r="F2346" s="2235"/>
      <c r="G2346" s="2235"/>
      <c r="H2346" s="2210"/>
      <c r="I2346" s="2210"/>
      <c r="J2346" s="2210"/>
      <c r="K2346" s="2211"/>
    </row>
    <row r="2347" spans="1:11">
      <c r="A2347" s="2241"/>
      <c r="B2347" s="2234"/>
      <c r="C2347" s="2210"/>
      <c r="D2347" s="2234"/>
      <c r="E2347" s="2374"/>
      <c r="F2347" s="2235"/>
      <c r="G2347" s="2235"/>
      <c r="H2347" s="2210"/>
      <c r="I2347" s="2210"/>
      <c r="J2347" s="2210"/>
      <c r="K2347" s="2211"/>
    </row>
    <row r="2348" spans="1:11">
      <c r="A2348" s="2241"/>
      <c r="B2348" s="2234"/>
      <c r="C2348" s="2210"/>
      <c r="D2348" s="2234"/>
      <c r="E2348" s="2374"/>
      <c r="F2348" s="2235"/>
      <c r="G2348" s="2235"/>
      <c r="H2348" s="2210"/>
      <c r="I2348" s="2210"/>
      <c r="J2348" s="2210"/>
      <c r="K2348" s="2211"/>
    </row>
    <row r="2349" spans="1:11">
      <c r="A2349" s="2241"/>
      <c r="B2349" s="2234"/>
      <c r="C2349" s="2210"/>
      <c r="D2349" s="2234"/>
      <c r="E2349" s="2374"/>
      <c r="F2349" s="2235"/>
      <c r="G2349" s="2235"/>
      <c r="H2349" s="2210"/>
      <c r="I2349" s="2210"/>
      <c r="J2349" s="2210"/>
      <c r="K2349" s="2211"/>
    </row>
    <row r="2350" spans="1:11">
      <c r="A2350" s="2241"/>
      <c r="B2350" s="2234"/>
      <c r="C2350" s="2210"/>
      <c r="D2350" s="2234"/>
      <c r="E2350" s="2374"/>
      <c r="F2350" s="2235"/>
      <c r="G2350" s="2235"/>
      <c r="H2350" s="2210"/>
      <c r="I2350" s="2210"/>
      <c r="J2350" s="2210"/>
      <c r="K2350" s="2211"/>
    </row>
    <row r="2351" spans="1:11">
      <c r="A2351" s="2241"/>
      <c r="B2351" s="2234"/>
      <c r="C2351" s="2210"/>
      <c r="D2351" s="2234"/>
      <c r="E2351" s="2374"/>
      <c r="F2351" s="2235"/>
      <c r="G2351" s="2235"/>
      <c r="H2351" s="2210"/>
      <c r="I2351" s="2210"/>
      <c r="J2351" s="2210"/>
      <c r="K2351" s="2211"/>
    </row>
    <row r="2352" spans="1:11">
      <c r="A2352" s="2241"/>
      <c r="B2352" s="2234"/>
      <c r="C2352" s="2210"/>
      <c r="D2352" s="2234"/>
      <c r="E2352" s="2374"/>
      <c r="F2352" s="2235"/>
      <c r="G2352" s="2235"/>
      <c r="H2352" s="2210"/>
      <c r="I2352" s="2210"/>
      <c r="J2352" s="2210"/>
      <c r="K2352" s="2211"/>
    </row>
    <row r="2353" spans="1:11">
      <c r="A2353" s="2241"/>
      <c r="B2353" s="2234"/>
      <c r="C2353" s="2210"/>
      <c r="D2353" s="2234"/>
      <c r="E2353" s="2374"/>
      <c r="F2353" s="2235"/>
      <c r="G2353" s="2235"/>
      <c r="H2353" s="2210"/>
      <c r="I2353" s="2210"/>
      <c r="J2353" s="2210"/>
      <c r="K2353" s="2211"/>
    </row>
    <row r="2354" spans="1:11">
      <c r="A2354" s="2241"/>
      <c r="B2354" s="2234"/>
      <c r="C2354" s="2210"/>
      <c r="D2354" s="2234"/>
      <c r="E2354" s="2374"/>
      <c r="F2354" s="2235"/>
      <c r="G2354" s="2235"/>
      <c r="H2354" s="2210"/>
      <c r="I2354" s="2210"/>
      <c r="J2354" s="2210"/>
      <c r="K2354" s="2207"/>
    </row>
    <row r="2355" spans="1:11">
      <c r="A2355" s="2241"/>
      <c r="B2355" s="2234"/>
      <c r="C2355" s="2210"/>
      <c r="D2355" s="2234"/>
      <c r="E2355" s="2374"/>
      <c r="F2355" s="2235"/>
      <c r="G2355" s="2235"/>
      <c r="H2355" s="2210"/>
      <c r="I2355" s="2210"/>
      <c r="J2355" s="2210"/>
    </row>
    <row r="2356" spans="1:11">
      <c r="A2356" s="2241"/>
      <c r="B2356" s="2234"/>
      <c r="C2356" s="2210"/>
      <c r="D2356" s="2234"/>
      <c r="E2356" s="2374"/>
      <c r="F2356" s="2235"/>
      <c r="G2356" s="2235"/>
      <c r="H2356" s="2210"/>
      <c r="I2356" s="2210"/>
      <c r="J2356" s="2210"/>
    </row>
    <row r="2357" spans="1:11">
      <c r="A2357" s="2241"/>
      <c r="B2357" s="2234"/>
      <c r="C2357" s="2210"/>
      <c r="D2357" s="2234"/>
      <c r="E2357" s="2374"/>
      <c r="F2357" s="2235"/>
      <c r="G2357" s="2235"/>
      <c r="H2357" s="2210"/>
      <c r="I2357" s="2210"/>
      <c r="J2357" s="2210"/>
    </row>
    <row r="2358" spans="1:11">
      <c r="A2358" s="2241"/>
      <c r="B2358" s="2234"/>
      <c r="C2358" s="2210"/>
      <c r="D2358" s="2234"/>
      <c r="E2358" s="2374"/>
      <c r="F2358" s="2235"/>
      <c r="G2358" s="2235"/>
      <c r="H2358" s="2210"/>
      <c r="I2358" s="2210"/>
      <c r="J2358" s="2210"/>
    </row>
    <row r="2359" spans="1:11">
      <c r="A2359" s="2241"/>
      <c r="B2359" s="2234"/>
      <c r="C2359" s="2210"/>
      <c r="D2359" s="2234"/>
      <c r="E2359" s="2374"/>
      <c r="F2359" s="2235"/>
      <c r="G2359" s="2235"/>
      <c r="H2359" s="2210"/>
      <c r="I2359" s="2210"/>
      <c r="J2359" s="2210"/>
    </row>
    <row r="2360" spans="1:11">
      <c r="A2360" s="2241"/>
      <c r="B2360" s="2234"/>
      <c r="C2360" s="2210"/>
      <c r="D2360" s="2234"/>
      <c r="E2360" s="2374"/>
      <c r="F2360" s="2235"/>
      <c r="G2360" s="2235"/>
      <c r="H2360" s="2210"/>
      <c r="I2360" s="2210"/>
      <c r="J2360" s="2210"/>
    </row>
    <row r="2361" spans="1:11">
      <c r="A2361" s="2241"/>
      <c r="B2361" s="2234"/>
      <c r="C2361" s="2210"/>
      <c r="D2361" s="2234"/>
      <c r="E2361" s="2374"/>
      <c r="F2361" s="2235"/>
      <c r="G2361" s="2235"/>
      <c r="H2361" s="2210"/>
      <c r="I2361" s="2210"/>
      <c r="J2361" s="2210"/>
    </row>
    <row r="2362" spans="1:11">
      <c r="A2362" s="2241"/>
      <c r="B2362" s="2234"/>
      <c r="C2362" s="2210"/>
      <c r="D2362" s="2234"/>
      <c r="E2362" s="2374"/>
      <c r="F2362" s="2235"/>
      <c r="G2362" s="2235"/>
      <c r="H2362" s="2210"/>
      <c r="I2362" s="2210"/>
      <c r="J2362" s="2210"/>
    </row>
    <row r="2363" spans="1:11">
      <c r="A2363" s="2241"/>
      <c r="B2363" s="2234"/>
      <c r="C2363" s="2210"/>
      <c r="D2363" s="2234"/>
      <c r="E2363" s="2374"/>
      <c r="F2363" s="2235"/>
      <c r="G2363" s="2235"/>
      <c r="H2363" s="2210"/>
      <c r="I2363" s="2210"/>
      <c r="J2363" s="2210"/>
    </row>
    <row r="2364" spans="1:11">
      <c r="A2364" s="2241"/>
      <c r="B2364" s="2234"/>
      <c r="C2364" s="2210"/>
      <c r="D2364" s="2234"/>
      <c r="E2364" s="2374"/>
      <c r="F2364" s="2235"/>
      <c r="G2364" s="2235"/>
      <c r="H2364" s="2210"/>
      <c r="I2364" s="2210"/>
      <c r="J2364" s="2210"/>
    </row>
    <row r="2365" spans="1:11">
      <c r="A2365" s="2241"/>
      <c r="B2365" s="2234"/>
      <c r="C2365" s="2210"/>
      <c r="D2365" s="2234"/>
      <c r="E2365" s="2374"/>
      <c r="F2365" s="2235"/>
      <c r="G2365" s="2235"/>
      <c r="H2365" s="2210"/>
      <c r="I2365" s="2210"/>
      <c r="J2365" s="2210"/>
    </row>
    <row r="2366" spans="1:11">
      <c r="A2366" s="2241"/>
      <c r="B2366" s="2234"/>
      <c r="C2366" s="2210"/>
      <c r="D2366" s="2234"/>
      <c r="E2366" s="2374"/>
      <c r="F2366" s="2235"/>
      <c r="G2366" s="2235"/>
      <c r="H2366" s="2210"/>
      <c r="I2366" s="2210"/>
      <c r="J2366" s="2210"/>
    </row>
    <row r="2367" spans="1:11">
      <c r="A2367" s="2241"/>
      <c r="B2367" s="2234"/>
      <c r="C2367" s="2210"/>
      <c r="D2367" s="2234"/>
      <c r="E2367" s="2374"/>
      <c r="F2367" s="2235"/>
      <c r="G2367" s="2235"/>
      <c r="H2367" s="2210"/>
      <c r="I2367" s="2210"/>
      <c r="J2367" s="2210"/>
    </row>
    <row r="2368" spans="1:11">
      <c r="A2368" s="2241"/>
      <c r="B2368" s="2234"/>
      <c r="C2368" s="2210"/>
      <c r="D2368" s="2234"/>
      <c r="E2368" s="2374"/>
      <c r="F2368" s="2235"/>
      <c r="G2368" s="2235"/>
      <c r="H2368" s="2210"/>
      <c r="I2368" s="2210"/>
      <c r="J2368" s="2210"/>
    </row>
    <row r="2369" spans="1:10">
      <c r="A2369" s="2241"/>
      <c r="B2369" s="2234"/>
      <c r="C2369" s="2210"/>
      <c r="D2369" s="2234"/>
      <c r="E2369" s="2374"/>
      <c r="F2369" s="2235"/>
      <c r="G2369" s="2235"/>
      <c r="H2369" s="2210"/>
      <c r="I2369" s="2210"/>
      <c r="J2369" s="2210"/>
    </row>
    <row r="2370" spans="1:10">
      <c r="A2370" s="2241"/>
      <c r="B2370" s="2234"/>
      <c r="C2370" s="2210"/>
      <c r="D2370" s="2234"/>
      <c r="E2370" s="2374"/>
      <c r="F2370" s="2235"/>
      <c r="G2370" s="2235"/>
      <c r="H2370" s="2210"/>
      <c r="I2370" s="2210"/>
      <c r="J2370" s="2210"/>
    </row>
    <row r="2371" spans="1:10">
      <c r="A2371" s="2241"/>
      <c r="B2371" s="2234"/>
      <c r="C2371" s="2210"/>
      <c r="D2371" s="2234"/>
      <c r="E2371" s="2374"/>
      <c r="F2371" s="2235"/>
      <c r="G2371" s="2235"/>
      <c r="H2371" s="2210"/>
      <c r="I2371" s="2210"/>
      <c r="J2371" s="2210"/>
    </row>
    <row r="2372" spans="1:10">
      <c r="A2372" s="2241"/>
      <c r="B2372" s="2234"/>
      <c r="C2372" s="2210"/>
      <c r="D2372" s="2234"/>
      <c r="E2372" s="2374"/>
      <c r="F2372" s="2235"/>
      <c r="G2372" s="2235"/>
      <c r="H2372" s="2210"/>
      <c r="I2372" s="2210"/>
      <c r="J2372" s="2210"/>
    </row>
    <row r="2373" spans="1:10">
      <c r="A2373" s="2242"/>
      <c r="B2373" s="2236"/>
      <c r="C2373" s="1672"/>
      <c r="D2373" s="2236"/>
      <c r="E2373" s="2375"/>
      <c r="F2373" s="1671"/>
      <c r="G2373" s="1671"/>
      <c r="H2373" s="1672"/>
      <c r="I2373" s="1672"/>
      <c r="J2373" s="1672"/>
    </row>
  </sheetData>
  <autoFilter ref="A1:K832" xr:uid="{00000000-0009-0000-0000-000023000000}">
    <sortState ref="A123:K126">
      <sortCondition ref="J1:J830"/>
    </sortState>
  </autoFilter>
  <sortState ref="A2:I347">
    <sortCondition ref="I1"/>
  </sortState>
  <pageMargins left="0" right="0" top="0.78740157480314965" bottom="0.78740157480314965" header="0.31496062992125984" footer="0.31496062992125984"/>
  <pageSetup paperSize="9" scale="5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5A6E4-B4F4-43D2-BF6F-771003EC92A9}">
  <dimension ref="A1:C120"/>
  <sheetViews>
    <sheetView workbookViewId="0">
      <selection activeCell="B1" sqref="B1"/>
    </sheetView>
  </sheetViews>
  <sheetFormatPr defaultRowHeight="15"/>
  <cols>
    <col min="1" max="1" width="19" bestFit="1" customWidth="1"/>
    <col min="2" max="2" width="41.28515625" style="2797" bestFit="1" customWidth="1"/>
    <col min="3" max="3" width="28.28515625" style="2797" bestFit="1" customWidth="1"/>
  </cols>
  <sheetData>
    <row r="1" spans="1:3">
      <c r="A1" s="2861" t="s">
        <v>10</v>
      </c>
      <c r="B1" s="2864" t="s">
        <v>745</v>
      </c>
    </row>
    <row r="3" spans="1:3">
      <c r="A3" s="2861" t="s">
        <v>739</v>
      </c>
      <c r="B3" s="2864" t="s">
        <v>741</v>
      </c>
      <c r="C3" s="2864" t="s">
        <v>743</v>
      </c>
    </row>
    <row r="4" spans="1:3">
      <c r="A4" s="2862" t="s">
        <v>251</v>
      </c>
      <c r="B4" s="2864">
        <v>6843806867.5500002</v>
      </c>
      <c r="C4" s="2864">
        <v>6343671068.3400002</v>
      </c>
    </row>
    <row r="5" spans="1:3">
      <c r="A5" s="2862" t="s">
        <v>112</v>
      </c>
      <c r="B5" s="2864">
        <v>196899316.41</v>
      </c>
      <c r="C5" s="2864">
        <v>178481165.09999999</v>
      </c>
    </row>
    <row r="6" spans="1:3">
      <c r="A6" s="2862" t="s">
        <v>216</v>
      </c>
      <c r="B6" s="2864">
        <v>189562706</v>
      </c>
      <c r="C6" s="2864">
        <v>149696666.44999996</v>
      </c>
    </row>
    <row r="7" spans="1:3">
      <c r="A7" s="2862" t="s">
        <v>740</v>
      </c>
      <c r="B7" s="2864">
        <v>7230268889.96</v>
      </c>
      <c r="C7" s="2864">
        <v>6671848899.8900003</v>
      </c>
    </row>
    <row r="8" spans="1:3">
      <c r="B8"/>
      <c r="C8"/>
    </row>
    <row r="9" spans="1:3">
      <c r="B9"/>
      <c r="C9"/>
    </row>
    <row r="10" spans="1:3">
      <c r="B10"/>
      <c r="C10"/>
    </row>
    <row r="11" spans="1:3">
      <c r="B11"/>
      <c r="C11"/>
    </row>
    <row r="12" spans="1:3">
      <c r="B12"/>
      <c r="C12"/>
    </row>
    <row r="13" spans="1:3">
      <c r="B13"/>
      <c r="C13"/>
    </row>
    <row r="14" spans="1:3">
      <c r="B14"/>
      <c r="C14"/>
    </row>
    <row r="15" spans="1:3">
      <c r="B15"/>
      <c r="C15"/>
    </row>
    <row r="16" spans="1:3">
      <c r="B16"/>
      <c r="C16"/>
    </row>
    <row r="17" spans="2:3">
      <c r="B17"/>
      <c r="C17"/>
    </row>
    <row r="18" spans="2:3">
      <c r="B18"/>
      <c r="C18"/>
    </row>
    <row r="19" spans="2:3">
      <c r="B19"/>
      <c r="C19"/>
    </row>
    <row r="20" spans="2:3">
      <c r="B20"/>
      <c r="C20"/>
    </row>
    <row r="21" spans="2:3">
      <c r="B21"/>
      <c r="C21"/>
    </row>
    <row r="22" spans="2:3">
      <c r="B22"/>
      <c r="C22"/>
    </row>
    <row r="23" spans="2:3">
      <c r="B23"/>
      <c r="C23"/>
    </row>
    <row r="24" spans="2:3">
      <c r="B24"/>
      <c r="C24"/>
    </row>
    <row r="25" spans="2:3">
      <c r="B25"/>
      <c r="C25"/>
    </row>
    <row r="26" spans="2:3">
      <c r="B26"/>
      <c r="C26"/>
    </row>
    <row r="27" spans="2:3">
      <c r="B27"/>
      <c r="C27"/>
    </row>
    <row r="28" spans="2:3">
      <c r="B28"/>
      <c r="C28"/>
    </row>
    <row r="29" spans="2:3">
      <c r="B29"/>
      <c r="C29"/>
    </row>
    <row r="30" spans="2:3">
      <c r="B30"/>
      <c r="C30"/>
    </row>
    <row r="31" spans="2:3">
      <c r="B31"/>
      <c r="C31"/>
    </row>
    <row r="32" spans="2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</sheetData>
  <pageMargins left="0.7" right="0.7" top="0.78740157499999996" bottom="0.78740157499999996" header="0.3" footer="0.3"/>
  <pageSetup paperSize="9" orientation="portrait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86C76-95A4-4C06-AAC3-39A193BD08E4}">
  <dimension ref="A1:J236"/>
  <sheetViews>
    <sheetView zoomScale="90" zoomScaleNormal="90" workbookViewId="0">
      <selection activeCell="D16" sqref="D16"/>
    </sheetView>
  </sheetViews>
  <sheetFormatPr defaultRowHeight="15"/>
  <cols>
    <col min="1" max="1" width="18.5703125" bestFit="1" customWidth="1"/>
    <col min="2" max="2" width="68.7109375" bestFit="1" customWidth="1"/>
    <col min="4" max="4" width="74.85546875" bestFit="1" customWidth="1"/>
    <col min="5" max="5" width="36.28515625" bestFit="1" customWidth="1"/>
    <col min="6" max="6" width="21.28515625" bestFit="1" customWidth="1"/>
    <col min="7" max="7" width="17.5703125" bestFit="1" customWidth="1"/>
    <col min="8" max="8" width="12.28515625" customWidth="1"/>
    <col min="9" max="9" width="11" bestFit="1" customWidth="1"/>
    <col min="10" max="10" width="15.7109375" bestFit="1" customWidth="1"/>
  </cols>
  <sheetData>
    <row r="1" spans="1:10" ht="31.5" thickTop="1" thickBot="1">
      <c r="A1" s="3176" t="s">
        <v>11</v>
      </c>
      <c r="B1" s="3177" t="s">
        <v>1</v>
      </c>
      <c r="C1" s="3177" t="s">
        <v>8509</v>
      </c>
      <c r="D1" s="3177" t="s">
        <v>3489</v>
      </c>
      <c r="E1" s="3177" t="s">
        <v>7</v>
      </c>
      <c r="F1" s="3177" t="s">
        <v>8</v>
      </c>
      <c r="G1" s="3177" t="s">
        <v>9</v>
      </c>
      <c r="H1" s="3178" t="s">
        <v>10</v>
      </c>
      <c r="I1" s="3178" t="s">
        <v>4112</v>
      </c>
      <c r="J1" s="3177" t="s">
        <v>8510</v>
      </c>
    </row>
    <row r="2" spans="1:10" ht="15.75" thickTop="1">
      <c r="A2" s="3187" t="s">
        <v>9750</v>
      </c>
      <c r="B2" s="473" t="s">
        <v>9751</v>
      </c>
      <c r="C2" s="453"/>
      <c r="D2" s="1420"/>
      <c r="E2" s="1420" t="s">
        <v>3598</v>
      </c>
      <c r="F2" s="457">
        <v>1990701</v>
      </c>
      <c r="G2" s="457">
        <v>2408748.21</v>
      </c>
      <c r="H2" s="474">
        <v>44475</v>
      </c>
      <c r="I2" s="474">
        <v>44839</v>
      </c>
      <c r="J2" s="3179" t="s">
        <v>14175</v>
      </c>
    </row>
    <row r="3" spans="1:10">
      <c r="A3" s="3188" t="s">
        <v>9413</v>
      </c>
      <c r="B3" s="2142" t="s">
        <v>9411</v>
      </c>
      <c r="C3" s="2141"/>
      <c r="D3" s="2143"/>
      <c r="E3" s="2143" t="s">
        <v>9809</v>
      </c>
      <c r="F3" s="2144">
        <v>718596.2</v>
      </c>
      <c r="G3" s="2144">
        <v>869501.4</v>
      </c>
      <c r="H3" s="2140">
        <v>44480</v>
      </c>
      <c r="I3" s="2140">
        <v>44844</v>
      </c>
      <c r="J3" s="3180" t="s">
        <v>13720</v>
      </c>
    </row>
    <row r="4" spans="1:10">
      <c r="A4" s="3188" t="s">
        <v>9545</v>
      </c>
      <c r="B4" s="2142" t="s">
        <v>9546</v>
      </c>
      <c r="C4" s="2141"/>
      <c r="D4" s="2143"/>
      <c r="E4" s="2143" t="s">
        <v>9868</v>
      </c>
      <c r="F4" s="2144">
        <v>906066</v>
      </c>
      <c r="G4" s="2144">
        <v>1096333.7</v>
      </c>
      <c r="H4" s="2140">
        <v>44484</v>
      </c>
      <c r="I4" s="2140">
        <v>44848</v>
      </c>
      <c r="J4" s="3180" t="s">
        <v>14177</v>
      </c>
    </row>
    <row r="5" spans="1:10">
      <c r="A5" s="3188" t="s">
        <v>12251</v>
      </c>
      <c r="B5" s="2142" t="s">
        <v>12252</v>
      </c>
      <c r="C5" s="2141"/>
      <c r="D5" s="2143"/>
      <c r="E5" s="2143" t="s">
        <v>12543</v>
      </c>
      <c r="F5" s="2144">
        <v>895020</v>
      </c>
      <c r="G5" s="2144">
        <v>1082974.2</v>
      </c>
      <c r="H5" s="2140">
        <v>44775</v>
      </c>
      <c r="I5" s="2140">
        <v>44958</v>
      </c>
      <c r="J5" s="3183" t="s">
        <v>14177</v>
      </c>
    </row>
    <row r="6" spans="1:10">
      <c r="A6" s="3188" t="s">
        <v>13839</v>
      </c>
      <c r="B6" s="2142" t="s">
        <v>13840</v>
      </c>
      <c r="C6" s="2141"/>
      <c r="D6" s="2143"/>
      <c r="E6" s="2143" t="s">
        <v>14416</v>
      </c>
      <c r="F6" s="2144">
        <v>627829.56000000006</v>
      </c>
      <c r="G6" s="2144">
        <v>759673.77</v>
      </c>
      <c r="H6" s="2140">
        <v>45014</v>
      </c>
      <c r="I6" s="2140">
        <v>45197</v>
      </c>
      <c r="J6" s="3180" t="s">
        <v>16558</v>
      </c>
    </row>
    <row r="7" spans="1:10">
      <c r="A7" s="3188" t="s">
        <v>14177</v>
      </c>
      <c r="B7" s="2142" t="s">
        <v>14178</v>
      </c>
      <c r="C7" s="2141"/>
      <c r="D7" s="2143"/>
      <c r="E7" s="2143" t="s">
        <v>14408</v>
      </c>
      <c r="F7" s="2144">
        <v>833832</v>
      </c>
      <c r="G7" s="2144">
        <v>1008895.5</v>
      </c>
      <c r="H7" s="2140">
        <v>45022</v>
      </c>
      <c r="I7" s="2140">
        <v>45204</v>
      </c>
      <c r="J7" s="3180" t="s">
        <v>16592</v>
      </c>
    </row>
    <row r="8" spans="1:10">
      <c r="A8" s="3188" t="s">
        <v>13720</v>
      </c>
      <c r="B8" s="2142" t="s">
        <v>13721</v>
      </c>
      <c r="C8" s="2141"/>
      <c r="D8" s="2143"/>
      <c r="E8" s="2143" t="s">
        <v>6641</v>
      </c>
      <c r="F8" s="2144">
        <v>983592.8</v>
      </c>
      <c r="G8" s="2144">
        <v>1190147.29</v>
      </c>
      <c r="H8" s="2140">
        <v>44953</v>
      </c>
      <c r="I8" s="2140">
        <v>45317</v>
      </c>
      <c r="J8" s="3180" t="s">
        <v>16630</v>
      </c>
    </row>
    <row r="9" spans="1:10">
      <c r="A9" s="3188" t="s">
        <v>14388</v>
      </c>
      <c r="B9" s="2142" t="s">
        <v>14389</v>
      </c>
      <c r="C9" s="2141"/>
      <c r="D9" s="2143"/>
      <c r="E9" s="2143" t="s">
        <v>14668</v>
      </c>
      <c r="F9" s="2144">
        <v>975000</v>
      </c>
      <c r="G9" s="2144">
        <v>1179750</v>
      </c>
      <c r="H9" s="2140">
        <v>45051</v>
      </c>
      <c r="I9" s="2140">
        <v>45416</v>
      </c>
      <c r="J9" s="3180" t="s">
        <v>17463</v>
      </c>
    </row>
    <row r="10" spans="1:10">
      <c r="A10" s="3188" t="s">
        <v>14175</v>
      </c>
      <c r="B10" s="2142" t="s">
        <v>14176</v>
      </c>
      <c r="C10" s="2141"/>
      <c r="D10" s="2143"/>
      <c r="E10" s="2143" t="s">
        <v>3598</v>
      </c>
      <c r="F10" s="2144">
        <v>2865587.9</v>
      </c>
      <c r="G10" s="2144">
        <v>3467361.36</v>
      </c>
      <c r="H10" s="2140">
        <v>45056</v>
      </c>
      <c r="I10" s="2140">
        <v>45421</v>
      </c>
      <c r="J10" s="3180" t="s">
        <v>17038</v>
      </c>
    </row>
    <row r="11" spans="1:10">
      <c r="A11" s="3188" t="s">
        <v>14433</v>
      </c>
      <c r="B11" s="2142" t="s">
        <v>14434</v>
      </c>
      <c r="C11" s="2141"/>
      <c r="D11" s="2143"/>
      <c r="E11" s="2143" t="s">
        <v>14864</v>
      </c>
      <c r="F11" s="2144">
        <v>704000</v>
      </c>
      <c r="G11" s="2144">
        <v>851840</v>
      </c>
      <c r="H11" s="2140">
        <v>45078</v>
      </c>
      <c r="I11" s="2140">
        <v>45443</v>
      </c>
      <c r="J11" s="3180" t="s">
        <v>17343</v>
      </c>
    </row>
    <row r="12" spans="1:10" s="2860" customFormat="1">
      <c r="A12" s="3221" t="s">
        <v>17796</v>
      </c>
      <c r="B12" s="2457" t="s">
        <v>17797</v>
      </c>
      <c r="C12" s="2106"/>
      <c r="D12" s="2872"/>
      <c r="E12" s="2872" t="s">
        <v>17798</v>
      </c>
      <c r="F12" s="2961">
        <v>213500</v>
      </c>
      <c r="G12" s="2961">
        <v>258335</v>
      </c>
      <c r="H12" s="3174">
        <v>45338</v>
      </c>
      <c r="I12" s="3174">
        <v>45703</v>
      </c>
      <c r="J12" s="3180"/>
    </row>
    <row r="13" spans="1:10">
      <c r="A13" s="3181" t="s">
        <v>16558</v>
      </c>
      <c r="B13" s="2973" t="s">
        <v>13618</v>
      </c>
      <c r="C13" s="3175"/>
      <c r="D13" s="3175"/>
      <c r="E13" s="2966" t="s">
        <v>16766</v>
      </c>
      <c r="F13" s="2961">
        <v>1267536.77</v>
      </c>
      <c r="G13" s="2961">
        <v>1533719.5</v>
      </c>
      <c r="H13" s="3086">
        <v>45342</v>
      </c>
      <c r="I13" s="3086">
        <v>45707</v>
      </c>
      <c r="J13" s="3180"/>
    </row>
    <row r="14" spans="1:10">
      <c r="A14" s="3181" t="s">
        <v>16630</v>
      </c>
      <c r="B14" s="2973" t="s">
        <v>6428</v>
      </c>
      <c r="C14" s="3175"/>
      <c r="D14" s="3175"/>
      <c r="E14" s="2966" t="s">
        <v>9809</v>
      </c>
      <c r="F14" s="2961">
        <v>845333.15</v>
      </c>
      <c r="G14" s="2961">
        <v>1022853.11</v>
      </c>
      <c r="H14" s="3086">
        <v>45357</v>
      </c>
      <c r="I14" s="3086">
        <v>45721</v>
      </c>
      <c r="J14" s="3180"/>
    </row>
    <row r="15" spans="1:10">
      <c r="A15" s="3181" t="s">
        <v>16592</v>
      </c>
      <c r="B15" s="2973" t="s">
        <v>16593</v>
      </c>
      <c r="C15" s="3175"/>
      <c r="D15" s="3175"/>
      <c r="E15" s="2966" t="s">
        <v>16842</v>
      </c>
      <c r="F15" s="2961">
        <v>1098380</v>
      </c>
      <c r="G15" s="2961">
        <v>1329039.8</v>
      </c>
      <c r="H15" s="3086">
        <v>45384</v>
      </c>
      <c r="I15" s="3086">
        <v>45748</v>
      </c>
      <c r="J15" s="3180"/>
    </row>
    <row r="16" spans="1:10">
      <c r="A16" s="2966" t="s">
        <v>17038</v>
      </c>
      <c r="B16" s="2973" t="s">
        <v>17039</v>
      </c>
      <c r="C16" s="3175"/>
      <c r="D16" s="3175"/>
      <c r="E16" s="2966" t="s">
        <v>17307</v>
      </c>
      <c r="F16" s="2961">
        <v>3129593</v>
      </c>
      <c r="G16" s="2961">
        <v>3786807.53</v>
      </c>
      <c r="H16" s="3086">
        <v>45433</v>
      </c>
      <c r="I16" s="3086">
        <v>45797</v>
      </c>
      <c r="J16" s="3180"/>
    </row>
    <row r="17" spans="1:10" s="2860" customFormat="1">
      <c r="A17" s="2966" t="s">
        <v>17783</v>
      </c>
      <c r="B17" s="2973" t="s">
        <v>17784</v>
      </c>
      <c r="C17" s="3175"/>
      <c r="D17" s="3175"/>
      <c r="E17" s="2966" t="s">
        <v>17785</v>
      </c>
      <c r="F17" s="2961">
        <v>205470</v>
      </c>
      <c r="G17" s="2961">
        <v>248618.7</v>
      </c>
      <c r="H17" s="3086">
        <v>45439</v>
      </c>
      <c r="I17" s="3086">
        <v>45803</v>
      </c>
      <c r="J17" s="3180"/>
    </row>
    <row r="18" spans="1:10" s="2860" customFormat="1">
      <c r="A18" s="2966" t="s">
        <v>17343</v>
      </c>
      <c r="B18" s="2973" t="s">
        <v>17344</v>
      </c>
      <c r="C18" s="3175"/>
      <c r="D18" s="3175"/>
      <c r="E18" s="2966" t="s">
        <v>17495</v>
      </c>
      <c r="F18" s="2961">
        <v>732700</v>
      </c>
      <c r="G18" s="2961">
        <v>886567</v>
      </c>
      <c r="H18" s="3086">
        <v>45447</v>
      </c>
      <c r="I18" s="3086">
        <v>45811</v>
      </c>
      <c r="J18" s="3180"/>
    </row>
    <row r="19" spans="1:10" s="2860" customFormat="1">
      <c r="A19" s="2966" t="s">
        <v>17781</v>
      </c>
      <c r="B19" s="2973" t="s">
        <v>17782</v>
      </c>
      <c r="C19" s="3175"/>
      <c r="D19" s="3175"/>
      <c r="E19" s="2966" t="s">
        <v>3598</v>
      </c>
      <c r="F19" s="2961">
        <v>330600</v>
      </c>
      <c r="G19" s="2961">
        <v>400026</v>
      </c>
      <c r="H19" s="3086">
        <v>45447</v>
      </c>
      <c r="I19" s="3086">
        <v>45811</v>
      </c>
      <c r="J19" s="3180"/>
    </row>
    <row r="20" spans="1:10" s="2860" customFormat="1">
      <c r="A20" s="2966" t="s">
        <v>17787</v>
      </c>
      <c r="B20" s="2973" t="s">
        <v>17788</v>
      </c>
      <c r="C20" s="3175"/>
      <c r="D20" s="3175"/>
      <c r="E20" s="2966" t="s">
        <v>17786</v>
      </c>
      <c r="F20" s="2961">
        <v>643970</v>
      </c>
      <c r="G20" s="2961">
        <v>779203.7</v>
      </c>
      <c r="H20" s="3086">
        <v>45464</v>
      </c>
      <c r="I20" s="3086">
        <v>45828</v>
      </c>
      <c r="J20" s="3180"/>
    </row>
    <row r="21" spans="1:10" s="2860" customFormat="1">
      <c r="A21" s="2966" t="s">
        <v>17789</v>
      </c>
      <c r="B21" s="2973" t="s">
        <v>17790</v>
      </c>
      <c r="C21" s="3175"/>
      <c r="D21" s="3175"/>
      <c r="E21" s="2966" t="s">
        <v>17791</v>
      </c>
      <c r="F21" s="2961">
        <v>409999</v>
      </c>
      <c r="G21" s="2961">
        <v>496098.79</v>
      </c>
      <c r="H21" s="3086">
        <v>45464</v>
      </c>
      <c r="I21" s="3086">
        <v>45828</v>
      </c>
      <c r="J21" s="3180"/>
    </row>
    <row r="22" spans="1:10" s="2860" customFormat="1">
      <c r="A22" s="2966" t="s">
        <v>17792</v>
      </c>
      <c r="B22" s="2973" t="s">
        <v>17793</v>
      </c>
      <c r="C22" s="3175"/>
      <c r="D22" s="3175"/>
      <c r="E22" s="2966" t="s">
        <v>17786</v>
      </c>
      <c r="F22" s="2961">
        <v>207945</v>
      </c>
      <c r="G22" s="2961">
        <v>251613.45</v>
      </c>
      <c r="H22" s="3086">
        <v>45464</v>
      </c>
      <c r="I22" s="3086">
        <v>45828</v>
      </c>
      <c r="J22" s="3180"/>
    </row>
    <row r="23" spans="1:10" s="2860" customFormat="1">
      <c r="A23" s="2966" t="s">
        <v>17794</v>
      </c>
      <c r="B23" s="2973" t="s">
        <v>17795</v>
      </c>
      <c r="C23" s="3175"/>
      <c r="D23" s="3175"/>
      <c r="E23" s="2966" t="s">
        <v>17786</v>
      </c>
      <c r="F23" s="2961">
        <v>230440</v>
      </c>
      <c r="G23" s="2961">
        <v>278832.40000000002</v>
      </c>
      <c r="H23" s="3086">
        <v>45464</v>
      </c>
      <c r="I23" s="3086">
        <v>45828</v>
      </c>
      <c r="J23" s="3180"/>
    </row>
    <row r="24" spans="1:10" s="2860" customFormat="1">
      <c r="A24" s="2966" t="s">
        <v>17463</v>
      </c>
      <c r="B24" s="2973" t="s">
        <v>17464</v>
      </c>
      <c r="C24" s="3175"/>
      <c r="D24" s="3175"/>
      <c r="E24" s="2966" t="s">
        <v>17820</v>
      </c>
      <c r="F24" s="2961">
        <v>1881200</v>
      </c>
      <c r="G24" s="2961">
        <v>2276252</v>
      </c>
      <c r="H24" s="3086">
        <v>45505</v>
      </c>
      <c r="I24" s="3086">
        <v>45869</v>
      </c>
      <c r="J24" s="3180"/>
    </row>
    <row r="25" spans="1:10">
      <c r="A25" s="2872" t="s">
        <v>9929</v>
      </c>
      <c r="B25" s="2457" t="s">
        <v>9930</v>
      </c>
      <c r="C25" s="2106"/>
      <c r="D25" s="2872"/>
      <c r="E25" s="2872" t="s">
        <v>1404</v>
      </c>
      <c r="F25" s="2961">
        <v>3247680</v>
      </c>
      <c r="G25" s="2961">
        <v>3734852</v>
      </c>
      <c r="H25" s="3174">
        <v>44564</v>
      </c>
      <c r="I25" s="3174">
        <v>46024</v>
      </c>
      <c r="J25" s="3183"/>
    </row>
    <row r="26" spans="1:10">
      <c r="A26" s="2872" t="s">
        <v>10653</v>
      </c>
      <c r="B26" s="2457" t="s">
        <v>10654</v>
      </c>
      <c r="C26" s="2106">
        <v>2</v>
      </c>
      <c r="D26" s="2872" t="s">
        <v>9461</v>
      </c>
      <c r="E26" s="2966" t="s">
        <v>11992</v>
      </c>
      <c r="F26" s="2961">
        <v>2808000</v>
      </c>
      <c r="G26" s="2961">
        <v>3397680</v>
      </c>
      <c r="H26" s="2963">
        <v>44729</v>
      </c>
      <c r="I26" s="3174">
        <v>46189</v>
      </c>
      <c r="J26" s="3183"/>
    </row>
    <row r="27" spans="1:10">
      <c r="A27" s="2872" t="s">
        <v>11467</v>
      </c>
      <c r="B27" s="2457" t="s">
        <v>11466</v>
      </c>
      <c r="C27" s="2106"/>
      <c r="D27" s="2872"/>
      <c r="E27" s="2872" t="s">
        <v>13594</v>
      </c>
      <c r="F27" s="2961">
        <v>9130000</v>
      </c>
      <c r="G27" s="2961">
        <v>11047300</v>
      </c>
      <c r="H27" s="3174">
        <v>44910</v>
      </c>
      <c r="I27" s="3174">
        <v>46370</v>
      </c>
      <c r="J27" s="3183"/>
    </row>
    <row r="28" spans="1:10">
      <c r="A28" s="2872" t="s">
        <v>11222</v>
      </c>
      <c r="B28" s="3189" t="s">
        <v>11223</v>
      </c>
      <c r="C28" s="2106"/>
      <c r="D28" s="2872"/>
      <c r="E28" s="2872" t="s">
        <v>13536</v>
      </c>
      <c r="F28" s="2961">
        <v>11910294.4</v>
      </c>
      <c r="G28" s="2961">
        <v>14411456.220000001</v>
      </c>
      <c r="H28" s="3174">
        <v>44918</v>
      </c>
      <c r="I28" s="3174">
        <v>46378</v>
      </c>
      <c r="J28" s="3183"/>
    </row>
    <row r="29" spans="1:10">
      <c r="A29" s="2872" t="s">
        <v>12581</v>
      </c>
      <c r="B29" s="2457" t="s">
        <v>12582</v>
      </c>
      <c r="C29" s="2106"/>
      <c r="D29" s="2872"/>
      <c r="E29" s="2872" t="s">
        <v>13594</v>
      </c>
      <c r="F29" s="2961">
        <v>11452320</v>
      </c>
      <c r="G29" s="2961">
        <v>12038824</v>
      </c>
      <c r="H29" s="3174">
        <v>44918</v>
      </c>
      <c r="I29" s="3174">
        <v>46378</v>
      </c>
      <c r="J29" s="3183"/>
    </row>
    <row r="30" spans="1:10">
      <c r="A30" s="2872" t="s">
        <v>14069</v>
      </c>
      <c r="B30" s="2457" t="s">
        <v>14071</v>
      </c>
      <c r="C30" s="2106">
        <v>1</v>
      </c>
      <c r="D30" s="2872" t="s">
        <v>15092</v>
      </c>
      <c r="E30" s="2872" t="s">
        <v>15343</v>
      </c>
      <c r="F30" s="2961">
        <v>5914300.4000000004</v>
      </c>
      <c r="G30" s="2961">
        <v>7156303.4800000004</v>
      </c>
      <c r="H30" s="3174">
        <v>45147</v>
      </c>
      <c r="I30" s="3174">
        <v>46607</v>
      </c>
      <c r="J30" s="3180"/>
    </row>
    <row r="31" spans="1:10">
      <c r="A31" s="2872" t="s">
        <v>14070</v>
      </c>
      <c r="B31" s="2457" t="s">
        <v>14071</v>
      </c>
      <c r="C31" s="2106">
        <v>2</v>
      </c>
      <c r="D31" s="2872" t="s">
        <v>14072</v>
      </c>
      <c r="E31" s="2872" t="s">
        <v>993</v>
      </c>
      <c r="F31" s="2961">
        <v>9544000</v>
      </c>
      <c r="G31" s="2961">
        <v>11548240</v>
      </c>
      <c r="H31" s="3174">
        <v>45153</v>
      </c>
      <c r="I31" s="3174">
        <v>46613</v>
      </c>
      <c r="J31" s="3180"/>
    </row>
    <row r="32" spans="1:10">
      <c r="A32" s="2872" t="s">
        <v>14187</v>
      </c>
      <c r="B32" s="2457" t="s">
        <v>12348</v>
      </c>
      <c r="C32" s="2106"/>
      <c r="D32" s="2872"/>
      <c r="E32" s="2872" t="s">
        <v>15343</v>
      </c>
      <c r="F32" s="2961">
        <v>5052479.84</v>
      </c>
      <c r="G32" s="2961">
        <v>6113500.6100000003</v>
      </c>
      <c r="H32" s="3174">
        <v>45188</v>
      </c>
      <c r="I32" s="3174">
        <v>46648</v>
      </c>
      <c r="J32" s="3180"/>
    </row>
    <row r="33" spans="1:10">
      <c r="A33" s="3182" t="s">
        <v>17389</v>
      </c>
      <c r="B33" s="2863" t="s">
        <v>17391</v>
      </c>
      <c r="C33" s="2863"/>
      <c r="D33" s="2863"/>
      <c r="E33" s="2863" t="s">
        <v>18446</v>
      </c>
      <c r="F33" s="3390">
        <v>1167075</v>
      </c>
      <c r="G33" s="3390">
        <v>1412160.75</v>
      </c>
      <c r="H33" s="3389">
        <v>45562</v>
      </c>
      <c r="I33" s="3389">
        <v>47022</v>
      </c>
      <c r="J33" s="3183"/>
    </row>
    <row r="34" spans="1:10">
      <c r="A34" s="3182"/>
      <c r="B34" s="2863"/>
      <c r="C34" s="2863"/>
      <c r="D34" s="2863"/>
      <c r="E34" s="2863"/>
      <c r="F34" s="2863"/>
      <c r="G34" s="2863"/>
      <c r="H34" s="2863"/>
      <c r="I34" s="2863"/>
      <c r="J34" s="3183"/>
    </row>
    <row r="35" spans="1:10">
      <c r="A35" s="3182"/>
      <c r="B35" s="2863"/>
      <c r="C35" s="2863"/>
      <c r="D35" s="2863"/>
      <c r="E35" s="2863"/>
      <c r="F35" s="2863"/>
      <c r="G35" s="2863"/>
      <c r="H35" s="2863"/>
      <c r="I35" s="2863"/>
      <c r="J35" s="3183"/>
    </row>
    <row r="36" spans="1:10">
      <c r="A36" s="3182"/>
      <c r="B36" s="2863"/>
      <c r="C36" s="2863"/>
      <c r="D36" s="2863"/>
      <c r="E36" s="2863"/>
      <c r="F36" s="2863"/>
      <c r="G36" s="2863"/>
      <c r="H36" s="2863"/>
      <c r="I36" s="2863"/>
      <c r="J36" s="3183"/>
    </row>
    <row r="37" spans="1:10">
      <c r="A37" s="3182"/>
      <c r="B37" s="2863"/>
      <c r="C37" s="2863"/>
      <c r="D37" s="2863"/>
      <c r="E37" s="2863"/>
      <c r="F37" s="2863"/>
      <c r="G37" s="2863"/>
      <c r="H37" s="2863"/>
      <c r="I37" s="2863"/>
      <c r="J37" s="3183"/>
    </row>
    <row r="38" spans="1:10">
      <c r="A38" s="3182"/>
      <c r="B38" s="2863"/>
      <c r="C38" s="2863"/>
      <c r="D38" s="2863"/>
      <c r="E38" s="2863"/>
      <c r="F38" s="2863"/>
      <c r="G38" s="2863"/>
      <c r="H38" s="2863"/>
      <c r="I38" s="2863"/>
      <c r="J38" s="3183"/>
    </row>
    <row r="39" spans="1:10">
      <c r="A39" s="3182"/>
      <c r="B39" s="2863"/>
      <c r="C39" s="2863"/>
      <c r="D39" s="2863"/>
      <c r="E39" s="2863"/>
      <c r="F39" s="2863"/>
      <c r="G39" s="2863"/>
      <c r="H39" s="2863"/>
      <c r="I39" s="2863"/>
      <c r="J39" s="3183"/>
    </row>
    <row r="40" spans="1:10">
      <c r="A40" s="3182"/>
      <c r="B40" s="2863"/>
      <c r="C40" s="2863"/>
      <c r="D40" s="2863"/>
      <c r="E40" s="2863"/>
      <c r="F40" s="2863"/>
      <c r="G40" s="2863"/>
      <c r="H40" s="2863"/>
      <c r="I40" s="2863"/>
      <c r="J40" s="3183"/>
    </row>
    <row r="41" spans="1:10">
      <c r="A41" s="3182"/>
      <c r="B41" s="2863"/>
      <c r="C41" s="2863"/>
      <c r="D41" s="2863"/>
      <c r="E41" s="2863"/>
      <c r="F41" s="2863"/>
      <c r="G41" s="2863"/>
      <c r="H41" s="2863"/>
      <c r="I41" s="2863"/>
      <c r="J41" s="3183"/>
    </row>
    <row r="42" spans="1:10">
      <c r="A42" s="3182"/>
      <c r="B42" s="2863"/>
      <c r="C42" s="2863"/>
      <c r="D42" s="2863"/>
      <c r="E42" s="2863"/>
      <c r="F42" s="2863"/>
      <c r="G42" s="2863"/>
      <c r="H42" s="2863"/>
      <c r="I42" s="2863"/>
      <c r="J42" s="3183"/>
    </row>
    <row r="43" spans="1:10">
      <c r="A43" s="3182"/>
      <c r="B43" s="2863"/>
      <c r="C43" s="2863"/>
      <c r="D43" s="2863"/>
      <c r="E43" s="2863"/>
      <c r="F43" s="2863"/>
      <c r="G43" s="2863"/>
      <c r="H43" s="2863"/>
      <c r="I43" s="2863"/>
      <c r="J43" s="3183"/>
    </row>
    <row r="44" spans="1:10">
      <c r="A44" s="3182"/>
      <c r="B44" s="2863"/>
      <c r="C44" s="2863"/>
      <c r="D44" s="2863"/>
      <c r="E44" s="2863"/>
      <c r="F44" s="2863"/>
      <c r="G44" s="2863"/>
      <c r="H44" s="2863"/>
      <c r="I44" s="2863"/>
      <c r="J44" s="3183"/>
    </row>
    <row r="45" spans="1:10">
      <c r="A45" s="3182"/>
      <c r="B45" s="2863"/>
      <c r="C45" s="2863"/>
      <c r="D45" s="2863"/>
      <c r="E45" s="2863"/>
      <c r="F45" s="2863"/>
      <c r="G45" s="2863"/>
      <c r="H45" s="2863"/>
      <c r="I45" s="2863"/>
      <c r="J45" s="3183"/>
    </row>
    <row r="46" spans="1:10">
      <c r="A46" s="3182"/>
      <c r="B46" s="2863"/>
      <c r="C46" s="2863"/>
      <c r="D46" s="2863"/>
      <c r="E46" s="2863"/>
      <c r="F46" s="2863"/>
      <c r="G46" s="2863"/>
      <c r="H46" s="2863"/>
      <c r="I46" s="2863"/>
      <c r="J46" s="3183"/>
    </row>
    <row r="47" spans="1:10">
      <c r="A47" s="3182"/>
      <c r="B47" s="2863"/>
      <c r="C47" s="2863"/>
      <c r="D47" s="2863"/>
      <c r="E47" s="2863"/>
      <c r="F47" s="2863"/>
      <c r="G47" s="2863"/>
      <c r="H47" s="2863"/>
      <c r="I47" s="2863"/>
      <c r="J47" s="3183"/>
    </row>
    <row r="48" spans="1:10">
      <c r="A48" s="3182"/>
      <c r="B48" s="2863"/>
      <c r="C48" s="2863"/>
      <c r="D48" s="2863"/>
      <c r="E48" s="2863"/>
      <c r="F48" s="2863"/>
      <c r="G48" s="2863"/>
      <c r="H48" s="2863"/>
      <c r="I48" s="2863"/>
      <c r="J48" s="3183"/>
    </row>
    <row r="49" spans="1:10">
      <c r="A49" s="3182"/>
      <c r="B49" s="2863"/>
      <c r="C49" s="2863"/>
      <c r="D49" s="2863"/>
      <c r="E49" s="2863"/>
      <c r="F49" s="2863"/>
      <c r="G49" s="2863"/>
      <c r="H49" s="2863"/>
      <c r="I49" s="2863"/>
      <c r="J49" s="3183"/>
    </row>
    <row r="50" spans="1:10">
      <c r="A50" s="3182"/>
      <c r="B50" s="2863"/>
      <c r="C50" s="2863"/>
      <c r="D50" s="2863"/>
      <c r="E50" s="2863"/>
      <c r="F50" s="2863"/>
      <c r="G50" s="2863"/>
      <c r="H50" s="2863"/>
      <c r="I50" s="2863"/>
      <c r="J50" s="3183"/>
    </row>
    <row r="51" spans="1:10">
      <c r="A51" s="3182"/>
      <c r="B51" s="2863"/>
      <c r="C51" s="2863"/>
      <c r="D51" s="2863"/>
      <c r="E51" s="2863"/>
      <c r="F51" s="2863"/>
      <c r="G51" s="2863"/>
      <c r="H51" s="2863"/>
      <c r="I51" s="2863"/>
      <c r="J51" s="3183"/>
    </row>
    <row r="52" spans="1:10">
      <c r="A52" s="3182"/>
      <c r="B52" s="2863"/>
      <c r="C52" s="2863"/>
      <c r="D52" s="2863"/>
      <c r="E52" s="2863"/>
      <c r="F52" s="2863"/>
      <c r="G52" s="2863"/>
      <c r="H52" s="2863"/>
      <c r="I52" s="2863"/>
      <c r="J52" s="3183"/>
    </row>
    <row r="53" spans="1:10">
      <c r="A53" s="3182"/>
      <c r="B53" s="2863"/>
      <c r="C53" s="2863"/>
      <c r="D53" s="2863"/>
      <c r="E53" s="2863"/>
      <c r="F53" s="2863"/>
      <c r="G53" s="2863"/>
      <c r="H53" s="2863"/>
      <c r="I53" s="2863"/>
      <c r="J53" s="3183"/>
    </row>
    <row r="54" spans="1:10">
      <c r="A54" s="3182"/>
      <c r="B54" s="2863"/>
      <c r="C54" s="2863"/>
      <c r="D54" s="2863"/>
      <c r="E54" s="2863"/>
      <c r="F54" s="2863"/>
      <c r="G54" s="2863"/>
      <c r="H54" s="2863"/>
      <c r="I54" s="2863"/>
      <c r="J54" s="3183"/>
    </row>
    <row r="55" spans="1:10">
      <c r="A55" s="3182"/>
      <c r="B55" s="2863"/>
      <c r="C55" s="2863"/>
      <c r="D55" s="2863"/>
      <c r="E55" s="2863"/>
      <c r="F55" s="2863"/>
      <c r="G55" s="2863"/>
      <c r="H55" s="2863"/>
      <c r="I55" s="2863"/>
      <c r="J55" s="3183"/>
    </row>
    <row r="56" spans="1:10">
      <c r="A56" s="3182"/>
      <c r="B56" s="2863"/>
      <c r="C56" s="2863"/>
      <c r="D56" s="2863"/>
      <c r="E56" s="2863"/>
      <c r="F56" s="2863"/>
      <c r="G56" s="2863"/>
      <c r="H56" s="2863"/>
      <c r="I56" s="2863"/>
      <c r="J56" s="3183"/>
    </row>
    <row r="57" spans="1:10">
      <c r="A57" s="3182"/>
      <c r="B57" s="2863"/>
      <c r="C57" s="2863"/>
      <c r="D57" s="2863"/>
      <c r="E57" s="2863"/>
      <c r="F57" s="2863"/>
      <c r="G57" s="2863"/>
      <c r="H57" s="2863"/>
      <c r="I57" s="2863"/>
      <c r="J57" s="3183"/>
    </row>
    <row r="58" spans="1:10">
      <c r="A58" s="3182"/>
      <c r="B58" s="2863"/>
      <c r="C58" s="2863"/>
      <c r="D58" s="2863"/>
      <c r="E58" s="2863"/>
      <c r="F58" s="2863"/>
      <c r="G58" s="2863"/>
      <c r="H58" s="2863"/>
      <c r="I58" s="2863"/>
      <c r="J58" s="3183"/>
    </row>
    <row r="59" spans="1:10">
      <c r="A59" s="3182"/>
      <c r="B59" s="2863"/>
      <c r="C59" s="2863"/>
      <c r="D59" s="2863"/>
      <c r="E59" s="2863"/>
      <c r="F59" s="2863"/>
      <c r="G59" s="2863"/>
      <c r="H59" s="2863"/>
      <c r="I59" s="2863"/>
      <c r="J59" s="3183"/>
    </row>
    <row r="60" spans="1:10">
      <c r="A60" s="3182"/>
      <c r="B60" s="2863"/>
      <c r="C60" s="2863"/>
      <c r="D60" s="2863"/>
      <c r="E60" s="2863"/>
      <c r="F60" s="2863"/>
      <c r="G60" s="2863"/>
      <c r="H60" s="2863"/>
      <c r="I60" s="2863"/>
      <c r="J60" s="3183"/>
    </row>
    <row r="61" spans="1:10">
      <c r="A61" s="3182"/>
      <c r="B61" s="2863"/>
      <c r="C61" s="2863"/>
      <c r="D61" s="2863"/>
      <c r="E61" s="2863"/>
      <c r="F61" s="2863"/>
      <c r="G61" s="2863"/>
      <c r="H61" s="2863"/>
      <c r="I61" s="2863"/>
      <c r="J61" s="3183"/>
    </row>
    <row r="62" spans="1:10">
      <c r="A62" s="3182"/>
      <c r="B62" s="2863"/>
      <c r="C62" s="2863"/>
      <c r="D62" s="2863"/>
      <c r="E62" s="2863"/>
      <c r="F62" s="2863"/>
      <c r="G62" s="2863"/>
      <c r="H62" s="2863"/>
      <c r="I62" s="2863"/>
      <c r="J62" s="3183"/>
    </row>
    <row r="63" spans="1:10">
      <c r="A63" s="3182"/>
      <c r="B63" s="2863"/>
      <c r="C63" s="2863"/>
      <c r="D63" s="2863"/>
      <c r="E63" s="2863"/>
      <c r="F63" s="2863"/>
      <c r="G63" s="2863"/>
      <c r="H63" s="2863"/>
      <c r="I63" s="2863"/>
      <c r="J63" s="3183"/>
    </row>
    <row r="64" spans="1:10">
      <c r="A64" s="3182"/>
      <c r="B64" s="2863"/>
      <c r="C64" s="2863"/>
      <c r="D64" s="2863"/>
      <c r="E64" s="2863"/>
      <c r="F64" s="2863"/>
      <c r="G64" s="2863"/>
      <c r="H64" s="2863"/>
      <c r="I64" s="2863"/>
      <c r="J64" s="3183"/>
    </row>
    <row r="65" spans="1:10">
      <c r="A65" s="3182"/>
      <c r="B65" s="2863"/>
      <c r="C65" s="2863"/>
      <c r="D65" s="2863"/>
      <c r="E65" s="2863"/>
      <c r="F65" s="2863"/>
      <c r="G65" s="2863"/>
      <c r="H65" s="2863"/>
      <c r="I65" s="2863"/>
      <c r="J65" s="3183"/>
    </row>
    <row r="66" spans="1:10">
      <c r="A66" s="3182"/>
      <c r="B66" s="2863"/>
      <c r="C66" s="2863"/>
      <c r="D66" s="2863"/>
      <c r="E66" s="2863"/>
      <c r="F66" s="2863"/>
      <c r="G66" s="2863"/>
      <c r="H66" s="2863"/>
      <c r="I66" s="2863"/>
      <c r="J66" s="3183"/>
    </row>
    <row r="67" spans="1:10">
      <c r="A67" s="3182"/>
      <c r="B67" s="2863"/>
      <c r="C67" s="2863"/>
      <c r="D67" s="2863"/>
      <c r="E67" s="2863"/>
      <c r="F67" s="2863"/>
      <c r="G67" s="2863"/>
      <c r="H67" s="2863"/>
      <c r="I67" s="2863"/>
      <c r="J67" s="3183"/>
    </row>
    <row r="68" spans="1:10">
      <c r="A68" s="3182"/>
      <c r="B68" s="2863"/>
      <c r="C68" s="2863"/>
      <c r="D68" s="2863"/>
      <c r="E68" s="2863"/>
      <c r="F68" s="2863"/>
      <c r="G68" s="2863"/>
      <c r="H68" s="2863"/>
      <c r="I68" s="2863"/>
      <c r="J68" s="3183"/>
    </row>
    <row r="69" spans="1:10">
      <c r="A69" s="3182"/>
      <c r="B69" s="2863"/>
      <c r="C69" s="2863"/>
      <c r="D69" s="2863"/>
      <c r="E69" s="2863"/>
      <c r="F69" s="2863"/>
      <c r="G69" s="2863"/>
      <c r="H69" s="2863"/>
      <c r="I69" s="2863"/>
      <c r="J69" s="3183"/>
    </row>
    <row r="70" spans="1:10">
      <c r="A70" s="3182"/>
      <c r="B70" s="2863"/>
      <c r="C70" s="2863"/>
      <c r="D70" s="2863"/>
      <c r="E70" s="2863"/>
      <c r="F70" s="2863"/>
      <c r="G70" s="2863"/>
      <c r="H70" s="2863"/>
      <c r="I70" s="2863"/>
      <c r="J70" s="3183"/>
    </row>
    <row r="71" spans="1:10">
      <c r="A71" s="3182"/>
      <c r="B71" s="2863"/>
      <c r="C71" s="2863"/>
      <c r="D71" s="2863"/>
      <c r="E71" s="2863"/>
      <c r="F71" s="2863"/>
      <c r="G71" s="2863"/>
      <c r="H71" s="2863"/>
      <c r="I71" s="2863"/>
      <c r="J71" s="3183"/>
    </row>
    <row r="72" spans="1:10">
      <c r="A72" s="3182"/>
      <c r="B72" s="2863"/>
      <c r="C72" s="2863"/>
      <c r="D72" s="2863"/>
      <c r="E72" s="2863"/>
      <c r="F72" s="2863"/>
      <c r="G72" s="2863"/>
      <c r="H72" s="2863"/>
      <c r="I72" s="2863"/>
      <c r="J72" s="3183"/>
    </row>
    <row r="73" spans="1:10">
      <c r="A73" s="3182"/>
      <c r="B73" s="2863"/>
      <c r="C73" s="2863"/>
      <c r="D73" s="2863"/>
      <c r="E73" s="2863"/>
      <c r="F73" s="2863"/>
      <c r="G73" s="2863"/>
      <c r="H73" s="2863"/>
      <c r="I73" s="2863"/>
      <c r="J73" s="3183"/>
    </row>
    <row r="74" spans="1:10">
      <c r="A74" s="3182"/>
      <c r="B74" s="2863"/>
      <c r="C74" s="2863"/>
      <c r="D74" s="2863"/>
      <c r="E74" s="2863"/>
      <c r="F74" s="2863"/>
      <c r="G74" s="2863"/>
      <c r="H74" s="2863"/>
      <c r="I74" s="2863"/>
      <c r="J74" s="3183"/>
    </row>
    <row r="75" spans="1:10">
      <c r="A75" s="3182"/>
      <c r="B75" s="2863"/>
      <c r="C75" s="2863"/>
      <c r="D75" s="2863"/>
      <c r="E75" s="2863"/>
      <c r="F75" s="2863"/>
      <c r="G75" s="2863"/>
      <c r="H75" s="2863"/>
      <c r="I75" s="2863"/>
      <c r="J75" s="3183"/>
    </row>
    <row r="76" spans="1:10">
      <c r="A76" s="3182"/>
      <c r="B76" s="2863"/>
      <c r="C76" s="2863"/>
      <c r="D76" s="2863"/>
      <c r="E76" s="2863"/>
      <c r="F76" s="2863"/>
      <c r="G76" s="2863"/>
      <c r="H76" s="2863"/>
      <c r="I76" s="2863"/>
      <c r="J76" s="3183"/>
    </row>
    <row r="77" spans="1:10">
      <c r="A77" s="3182"/>
      <c r="B77" s="2863"/>
      <c r="C77" s="2863"/>
      <c r="D77" s="2863"/>
      <c r="E77" s="2863"/>
      <c r="F77" s="2863"/>
      <c r="G77" s="2863"/>
      <c r="H77" s="2863"/>
      <c r="I77" s="2863"/>
      <c r="J77" s="3183"/>
    </row>
    <row r="78" spans="1:10">
      <c r="A78" s="3182"/>
      <c r="B78" s="2863"/>
      <c r="C78" s="2863"/>
      <c r="D78" s="2863"/>
      <c r="E78" s="2863"/>
      <c r="F78" s="2863"/>
      <c r="G78" s="2863"/>
      <c r="H78" s="2863"/>
      <c r="I78" s="2863"/>
      <c r="J78" s="3183"/>
    </row>
    <row r="79" spans="1:10">
      <c r="A79" s="3182"/>
      <c r="B79" s="2863"/>
      <c r="C79" s="2863"/>
      <c r="D79" s="2863"/>
      <c r="E79" s="2863"/>
      <c r="F79" s="2863"/>
      <c r="G79" s="2863"/>
      <c r="H79" s="2863"/>
      <c r="I79" s="2863"/>
      <c r="J79" s="3183"/>
    </row>
    <row r="80" spans="1:10">
      <c r="A80" s="3182"/>
      <c r="B80" s="2863"/>
      <c r="C80" s="2863"/>
      <c r="D80" s="2863"/>
      <c r="E80" s="2863"/>
      <c r="F80" s="2863"/>
      <c r="G80" s="2863"/>
      <c r="H80" s="2863"/>
      <c r="I80" s="2863"/>
      <c r="J80" s="3183"/>
    </row>
    <row r="81" spans="1:10">
      <c r="A81" s="3182"/>
      <c r="B81" s="2863"/>
      <c r="C81" s="2863"/>
      <c r="D81" s="2863"/>
      <c r="E81" s="2863"/>
      <c r="F81" s="2863"/>
      <c r="G81" s="2863"/>
      <c r="H81" s="2863"/>
      <c r="I81" s="2863"/>
      <c r="J81" s="3183"/>
    </row>
    <row r="82" spans="1:10">
      <c r="A82" s="3182"/>
      <c r="B82" s="2863"/>
      <c r="C82" s="2863"/>
      <c r="D82" s="2863"/>
      <c r="E82" s="2863"/>
      <c r="F82" s="2863"/>
      <c r="G82" s="2863"/>
      <c r="H82" s="2863"/>
      <c r="I82" s="2863"/>
      <c r="J82" s="3183"/>
    </row>
    <row r="83" spans="1:10">
      <c r="A83" s="3182"/>
      <c r="B83" s="2863"/>
      <c r="C83" s="2863"/>
      <c r="D83" s="2863"/>
      <c r="E83" s="2863"/>
      <c r="F83" s="2863"/>
      <c r="G83" s="2863"/>
      <c r="H83" s="2863"/>
      <c r="I83" s="2863"/>
      <c r="J83" s="3183"/>
    </row>
    <row r="84" spans="1:10">
      <c r="A84" s="3182"/>
      <c r="B84" s="2863"/>
      <c r="C84" s="2863"/>
      <c r="D84" s="2863"/>
      <c r="E84" s="2863"/>
      <c r="F84" s="2863"/>
      <c r="G84" s="2863"/>
      <c r="H84" s="2863"/>
      <c r="I84" s="2863"/>
      <c r="J84" s="3183"/>
    </row>
    <row r="85" spans="1:10">
      <c r="A85" s="3182"/>
      <c r="B85" s="2863"/>
      <c r="C85" s="2863"/>
      <c r="D85" s="2863"/>
      <c r="E85" s="2863"/>
      <c r="F85" s="2863"/>
      <c r="G85" s="2863"/>
      <c r="H85" s="2863"/>
      <c r="I85" s="2863"/>
      <c r="J85" s="3183"/>
    </row>
    <row r="86" spans="1:10">
      <c r="A86" s="3182"/>
      <c r="B86" s="2863"/>
      <c r="C86" s="2863"/>
      <c r="D86" s="2863"/>
      <c r="E86" s="2863"/>
      <c r="F86" s="2863"/>
      <c r="G86" s="2863"/>
      <c r="H86" s="2863"/>
      <c r="I86" s="2863"/>
      <c r="J86" s="3183"/>
    </row>
    <row r="87" spans="1:10">
      <c r="A87" s="3182"/>
      <c r="B87" s="2863"/>
      <c r="C87" s="2863"/>
      <c r="D87" s="2863"/>
      <c r="E87" s="2863"/>
      <c r="F87" s="2863"/>
      <c r="G87" s="2863"/>
      <c r="H87" s="2863"/>
      <c r="I87" s="2863"/>
      <c r="J87" s="3183"/>
    </row>
    <row r="88" spans="1:10">
      <c r="A88" s="3182"/>
      <c r="B88" s="2863"/>
      <c r="C88" s="2863"/>
      <c r="D88" s="2863"/>
      <c r="E88" s="2863"/>
      <c r="F88" s="2863"/>
      <c r="G88" s="2863"/>
      <c r="H88" s="2863"/>
      <c r="I88" s="2863"/>
      <c r="J88" s="3183"/>
    </row>
    <row r="89" spans="1:10">
      <c r="A89" s="3182"/>
      <c r="B89" s="2863"/>
      <c r="C89" s="2863"/>
      <c r="D89" s="2863"/>
      <c r="E89" s="2863"/>
      <c r="F89" s="2863"/>
      <c r="G89" s="2863"/>
      <c r="H89" s="2863"/>
      <c r="I89" s="2863"/>
      <c r="J89" s="3183"/>
    </row>
    <row r="90" spans="1:10">
      <c r="A90" s="3182"/>
      <c r="B90" s="2863"/>
      <c r="C90" s="2863"/>
      <c r="D90" s="2863"/>
      <c r="E90" s="2863"/>
      <c r="F90" s="2863"/>
      <c r="G90" s="2863"/>
      <c r="H90" s="2863"/>
      <c r="I90" s="2863"/>
      <c r="J90" s="3183"/>
    </row>
    <row r="91" spans="1:10">
      <c r="A91" s="3182"/>
      <c r="B91" s="2863"/>
      <c r="C91" s="2863"/>
      <c r="D91" s="2863"/>
      <c r="E91" s="2863"/>
      <c r="F91" s="2863"/>
      <c r="G91" s="2863"/>
      <c r="H91" s="2863"/>
      <c r="I91" s="2863"/>
      <c r="J91" s="3183"/>
    </row>
    <row r="92" spans="1:10">
      <c r="A92" s="3182"/>
      <c r="B92" s="2863"/>
      <c r="C92" s="2863"/>
      <c r="D92" s="2863"/>
      <c r="E92" s="2863"/>
      <c r="F92" s="2863"/>
      <c r="G92" s="2863"/>
      <c r="H92" s="2863"/>
      <c r="I92" s="2863"/>
      <c r="J92" s="3183"/>
    </row>
    <row r="93" spans="1:10">
      <c r="A93" s="3182"/>
      <c r="B93" s="2863"/>
      <c r="C93" s="2863"/>
      <c r="D93" s="2863"/>
      <c r="E93" s="2863"/>
      <c r="F93" s="2863"/>
      <c r="G93" s="2863"/>
      <c r="H93" s="2863"/>
      <c r="I93" s="2863"/>
      <c r="J93" s="3183"/>
    </row>
    <row r="94" spans="1:10">
      <c r="A94" s="3182"/>
      <c r="B94" s="2863"/>
      <c r="C94" s="2863"/>
      <c r="D94" s="2863"/>
      <c r="E94" s="2863"/>
      <c r="F94" s="2863"/>
      <c r="G94" s="2863"/>
      <c r="H94" s="2863"/>
      <c r="I94" s="2863"/>
      <c r="J94" s="3183"/>
    </row>
    <row r="95" spans="1:10">
      <c r="A95" s="3182"/>
      <c r="B95" s="2863"/>
      <c r="C95" s="2863"/>
      <c r="D95" s="2863"/>
      <c r="E95" s="2863"/>
      <c r="F95" s="2863"/>
      <c r="G95" s="2863"/>
      <c r="H95" s="2863"/>
      <c r="I95" s="2863"/>
      <c r="J95" s="3183"/>
    </row>
    <row r="96" spans="1:10">
      <c r="A96" s="3182"/>
      <c r="B96" s="2863"/>
      <c r="C96" s="2863"/>
      <c r="D96" s="2863"/>
      <c r="E96" s="2863"/>
      <c r="F96" s="2863"/>
      <c r="G96" s="2863"/>
      <c r="H96" s="2863"/>
      <c r="I96" s="2863"/>
      <c r="J96" s="3183"/>
    </row>
    <row r="97" spans="1:10">
      <c r="A97" s="3182"/>
      <c r="B97" s="2863"/>
      <c r="C97" s="2863"/>
      <c r="D97" s="2863"/>
      <c r="E97" s="2863"/>
      <c r="F97" s="2863"/>
      <c r="G97" s="2863"/>
      <c r="H97" s="2863"/>
      <c r="I97" s="2863"/>
      <c r="J97" s="3183"/>
    </row>
    <row r="98" spans="1:10">
      <c r="A98" s="3182"/>
      <c r="B98" s="2863"/>
      <c r="C98" s="2863"/>
      <c r="D98" s="2863"/>
      <c r="E98" s="2863"/>
      <c r="F98" s="2863"/>
      <c r="G98" s="2863"/>
      <c r="H98" s="2863"/>
      <c r="I98" s="2863"/>
      <c r="J98" s="3183"/>
    </row>
    <row r="99" spans="1:10">
      <c r="A99" s="3182"/>
      <c r="B99" s="2863"/>
      <c r="C99" s="2863"/>
      <c r="D99" s="2863"/>
      <c r="E99" s="2863"/>
      <c r="F99" s="2863"/>
      <c r="G99" s="2863"/>
      <c r="H99" s="2863"/>
      <c r="I99" s="2863"/>
      <c r="J99" s="3183"/>
    </row>
    <row r="100" spans="1:10">
      <c r="A100" s="3182"/>
      <c r="B100" s="2863"/>
      <c r="C100" s="2863"/>
      <c r="D100" s="2863"/>
      <c r="E100" s="2863"/>
      <c r="F100" s="2863"/>
      <c r="G100" s="2863"/>
      <c r="H100" s="2863"/>
      <c r="I100" s="2863"/>
      <c r="J100" s="3183"/>
    </row>
    <row r="101" spans="1:10">
      <c r="A101" s="3182"/>
      <c r="B101" s="2863"/>
      <c r="C101" s="2863"/>
      <c r="D101" s="2863"/>
      <c r="E101" s="2863"/>
      <c r="F101" s="2863"/>
      <c r="G101" s="2863"/>
      <c r="H101" s="2863"/>
      <c r="I101" s="2863"/>
      <c r="J101" s="3183"/>
    </row>
    <row r="102" spans="1:10">
      <c r="A102" s="3182"/>
      <c r="B102" s="2863"/>
      <c r="C102" s="2863"/>
      <c r="D102" s="2863"/>
      <c r="E102" s="2863"/>
      <c r="F102" s="2863"/>
      <c r="G102" s="2863"/>
      <c r="H102" s="2863"/>
      <c r="I102" s="2863"/>
      <c r="J102" s="3183"/>
    </row>
    <row r="103" spans="1:10">
      <c r="A103" s="3182"/>
      <c r="B103" s="2863"/>
      <c r="C103" s="2863"/>
      <c r="D103" s="2863"/>
      <c r="E103" s="2863"/>
      <c r="F103" s="2863"/>
      <c r="G103" s="2863"/>
      <c r="H103" s="2863"/>
      <c r="I103" s="2863"/>
      <c r="J103" s="3183"/>
    </row>
    <row r="104" spans="1:10">
      <c r="A104" s="3182"/>
      <c r="B104" s="2863"/>
      <c r="C104" s="2863"/>
      <c r="D104" s="2863"/>
      <c r="E104" s="2863"/>
      <c r="F104" s="2863"/>
      <c r="G104" s="2863"/>
      <c r="H104" s="2863"/>
      <c r="I104" s="2863"/>
      <c r="J104" s="3183"/>
    </row>
    <row r="105" spans="1:10">
      <c r="A105" s="3182"/>
      <c r="B105" s="2863"/>
      <c r="C105" s="2863"/>
      <c r="D105" s="2863"/>
      <c r="E105" s="2863"/>
      <c r="F105" s="2863"/>
      <c r="G105" s="2863"/>
      <c r="H105" s="2863"/>
      <c r="I105" s="2863"/>
      <c r="J105" s="3183"/>
    </row>
    <row r="106" spans="1:10">
      <c r="A106" s="3182"/>
      <c r="B106" s="2863"/>
      <c r="C106" s="2863"/>
      <c r="D106" s="2863"/>
      <c r="E106" s="2863"/>
      <c r="F106" s="2863"/>
      <c r="G106" s="2863"/>
      <c r="H106" s="2863"/>
      <c r="I106" s="2863"/>
      <c r="J106" s="3183"/>
    </row>
    <row r="107" spans="1:10">
      <c r="A107" s="3182"/>
      <c r="B107" s="2863"/>
      <c r="C107" s="2863"/>
      <c r="D107" s="2863"/>
      <c r="E107" s="2863"/>
      <c r="F107" s="2863"/>
      <c r="G107" s="2863"/>
      <c r="H107" s="2863"/>
      <c r="I107" s="2863"/>
      <c r="J107" s="3183"/>
    </row>
    <row r="108" spans="1:10">
      <c r="A108" s="3182"/>
      <c r="B108" s="2863"/>
      <c r="C108" s="2863"/>
      <c r="D108" s="2863"/>
      <c r="E108" s="2863"/>
      <c r="F108" s="2863"/>
      <c r="G108" s="2863"/>
      <c r="H108" s="2863"/>
      <c r="I108" s="2863"/>
      <c r="J108" s="3183"/>
    </row>
    <row r="109" spans="1:10">
      <c r="A109" s="3182"/>
      <c r="B109" s="2863"/>
      <c r="C109" s="2863"/>
      <c r="D109" s="2863"/>
      <c r="E109" s="2863"/>
      <c r="F109" s="2863"/>
      <c r="G109" s="2863"/>
      <c r="H109" s="2863"/>
      <c r="I109" s="2863"/>
      <c r="J109" s="3183"/>
    </row>
    <row r="110" spans="1:10">
      <c r="A110" s="3182"/>
      <c r="B110" s="2863"/>
      <c r="C110" s="2863"/>
      <c r="D110" s="2863"/>
      <c r="E110" s="2863"/>
      <c r="F110" s="2863"/>
      <c r="G110" s="2863"/>
      <c r="H110" s="2863"/>
      <c r="I110" s="2863"/>
      <c r="J110" s="3183"/>
    </row>
    <row r="111" spans="1:10">
      <c r="A111" s="3182"/>
      <c r="B111" s="2863"/>
      <c r="C111" s="2863"/>
      <c r="D111" s="2863"/>
      <c r="E111" s="2863"/>
      <c r="F111" s="2863"/>
      <c r="G111" s="2863"/>
      <c r="H111" s="2863"/>
      <c r="I111" s="2863"/>
      <c r="J111" s="3183"/>
    </row>
    <row r="112" spans="1:10">
      <c r="A112" s="3182"/>
      <c r="B112" s="2863"/>
      <c r="C112" s="2863"/>
      <c r="D112" s="2863"/>
      <c r="E112" s="2863"/>
      <c r="F112" s="2863"/>
      <c r="G112" s="2863"/>
      <c r="H112" s="2863"/>
      <c r="I112" s="2863"/>
      <c r="J112" s="3183"/>
    </row>
    <row r="113" spans="1:10">
      <c r="A113" s="3182"/>
      <c r="B113" s="2863"/>
      <c r="C113" s="2863"/>
      <c r="D113" s="2863"/>
      <c r="E113" s="2863"/>
      <c r="F113" s="2863"/>
      <c r="G113" s="2863"/>
      <c r="H113" s="2863"/>
      <c r="I113" s="2863"/>
      <c r="J113" s="3183"/>
    </row>
    <row r="114" spans="1:10">
      <c r="A114" s="3182"/>
      <c r="B114" s="2863"/>
      <c r="C114" s="2863"/>
      <c r="D114" s="2863"/>
      <c r="E114" s="2863"/>
      <c r="F114" s="2863"/>
      <c r="G114" s="2863"/>
      <c r="H114" s="2863"/>
      <c r="I114" s="2863"/>
      <c r="J114" s="3183"/>
    </row>
    <row r="115" spans="1:10">
      <c r="A115" s="3182"/>
      <c r="B115" s="2863"/>
      <c r="C115" s="2863"/>
      <c r="D115" s="2863"/>
      <c r="E115" s="2863"/>
      <c r="F115" s="2863"/>
      <c r="G115" s="2863"/>
      <c r="H115" s="2863"/>
      <c r="I115" s="2863"/>
      <c r="J115" s="3183"/>
    </row>
    <row r="116" spans="1:10">
      <c r="A116" s="3182"/>
      <c r="B116" s="2863"/>
      <c r="C116" s="2863"/>
      <c r="D116" s="2863"/>
      <c r="E116" s="2863"/>
      <c r="F116" s="2863"/>
      <c r="G116" s="2863"/>
      <c r="H116" s="2863"/>
      <c r="I116" s="2863"/>
      <c r="J116" s="3183"/>
    </row>
    <row r="117" spans="1:10">
      <c r="A117" s="3182"/>
      <c r="B117" s="2863"/>
      <c r="C117" s="2863"/>
      <c r="D117" s="2863"/>
      <c r="E117" s="2863"/>
      <c r="F117" s="2863"/>
      <c r="G117" s="2863"/>
      <c r="H117" s="2863"/>
      <c r="I117" s="2863"/>
      <c r="J117" s="3183"/>
    </row>
    <row r="118" spans="1:10">
      <c r="A118" s="3182"/>
      <c r="B118" s="2863"/>
      <c r="C118" s="2863"/>
      <c r="D118" s="2863"/>
      <c r="E118" s="2863"/>
      <c r="F118" s="2863"/>
      <c r="G118" s="2863"/>
      <c r="H118" s="2863"/>
      <c r="I118" s="2863"/>
      <c r="J118" s="3183"/>
    </row>
    <row r="119" spans="1:10">
      <c r="A119" s="3182"/>
      <c r="B119" s="2863"/>
      <c r="C119" s="2863"/>
      <c r="D119" s="2863"/>
      <c r="E119" s="2863"/>
      <c r="F119" s="2863"/>
      <c r="G119" s="2863"/>
      <c r="H119" s="2863"/>
      <c r="I119" s="2863"/>
      <c r="J119" s="3183"/>
    </row>
    <row r="120" spans="1:10">
      <c r="A120" s="3182"/>
      <c r="B120" s="2863"/>
      <c r="C120" s="2863"/>
      <c r="D120" s="2863"/>
      <c r="E120" s="2863"/>
      <c r="F120" s="2863"/>
      <c r="G120" s="2863"/>
      <c r="H120" s="2863"/>
      <c r="I120" s="2863"/>
      <c r="J120" s="3183"/>
    </row>
    <row r="121" spans="1:10">
      <c r="A121" s="3182"/>
      <c r="B121" s="2863"/>
      <c r="C121" s="2863"/>
      <c r="D121" s="2863"/>
      <c r="E121" s="2863"/>
      <c r="F121" s="2863"/>
      <c r="G121" s="2863"/>
      <c r="H121" s="2863"/>
      <c r="I121" s="2863"/>
      <c r="J121" s="3183"/>
    </row>
    <row r="122" spans="1:10">
      <c r="A122" s="3182"/>
      <c r="B122" s="2863"/>
      <c r="C122" s="2863"/>
      <c r="D122" s="2863"/>
      <c r="E122" s="2863"/>
      <c r="F122" s="2863"/>
      <c r="G122" s="2863"/>
      <c r="H122" s="2863"/>
      <c r="I122" s="2863"/>
      <c r="J122" s="3183"/>
    </row>
    <row r="123" spans="1:10">
      <c r="A123" s="3182"/>
      <c r="B123" s="2863"/>
      <c r="C123" s="2863"/>
      <c r="D123" s="2863"/>
      <c r="E123" s="2863"/>
      <c r="F123" s="2863"/>
      <c r="G123" s="2863"/>
      <c r="H123" s="2863"/>
      <c r="I123" s="2863"/>
      <c r="J123" s="3183"/>
    </row>
    <row r="124" spans="1:10">
      <c r="A124" s="3182"/>
      <c r="B124" s="2863"/>
      <c r="C124" s="2863"/>
      <c r="D124" s="2863"/>
      <c r="E124" s="2863"/>
      <c r="F124" s="2863"/>
      <c r="G124" s="2863"/>
      <c r="H124" s="2863"/>
      <c r="I124" s="2863"/>
      <c r="J124" s="3183"/>
    </row>
    <row r="125" spans="1:10">
      <c r="A125" s="3182"/>
      <c r="B125" s="2863"/>
      <c r="C125" s="2863"/>
      <c r="D125" s="2863"/>
      <c r="E125" s="2863"/>
      <c r="F125" s="2863"/>
      <c r="G125" s="2863"/>
      <c r="H125" s="2863"/>
      <c r="I125" s="2863"/>
      <c r="J125" s="3183"/>
    </row>
    <row r="126" spans="1:10">
      <c r="A126" s="3182"/>
      <c r="B126" s="2863"/>
      <c r="C126" s="2863"/>
      <c r="D126" s="2863"/>
      <c r="E126" s="2863"/>
      <c r="F126" s="2863"/>
      <c r="G126" s="2863"/>
      <c r="H126" s="2863"/>
      <c r="I126" s="2863"/>
      <c r="J126" s="3183"/>
    </row>
    <row r="127" spans="1:10">
      <c r="A127" s="3182"/>
      <c r="B127" s="2863"/>
      <c r="C127" s="2863"/>
      <c r="D127" s="2863"/>
      <c r="E127" s="2863"/>
      <c r="F127" s="2863"/>
      <c r="G127" s="2863"/>
      <c r="H127" s="2863"/>
      <c r="I127" s="2863"/>
      <c r="J127" s="3183"/>
    </row>
    <row r="128" spans="1:10">
      <c r="A128" s="3182"/>
      <c r="B128" s="2863"/>
      <c r="C128" s="2863"/>
      <c r="D128" s="2863"/>
      <c r="E128" s="2863"/>
      <c r="F128" s="2863"/>
      <c r="G128" s="2863"/>
      <c r="H128" s="2863"/>
      <c r="I128" s="2863"/>
      <c r="J128" s="3183"/>
    </row>
    <row r="129" spans="1:10">
      <c r="A129" s="3182"/>
      <c r="B129" s="2863"/>
      <c r="C129" s="2863"/>
      <c r="D129" s="2863"/>
      <c r="E129" s="2863"/>
      <c r="F129" s="2863"/>
      <c r="G129" s="2863"/>
      <c r="H129" s="2863"/>
      <c r="I129" s="2863"/>
      <c r="J129" s="3183"/>
    </row>
    <row r="130" spans="1:10">
      <c r="A130" s="3182"/>
      <c r="B130" s="2863"/>
      <c r="C130" s="2863"/>
      <c r="D130" s="2863"/>
      <c r="E130" s="2863"/>
      <c r="F130" s="2863"/>
      <c r="G130" s="2863"/>
      <c r="H130" s="2863"/>
      <c r="I130" s="2863"/>
      <c r="J130" s="3183"/>
    </row>
    <row r="131" spans="1:10">
      <c r="A131" s="3182"/>
      <c r="B131" s="2863"/>
      <c r="C131" s="2863"/>
      <c r="D131" s="2863"/>
      <c r="E131" s="2863"/>
      <c r="F131" s="2863"/>
      <c r="G131" s="2863"/>
      <c r="H131" s="2863"/>
      <c r="I131" s="2863"/>
      <c r="J131" s="3183"/>
    </row>
    <row r="132" spans="1:10">
      <c r="A132" s="3182"/>
      <c r="B132" s="2863"/>
      <c r="C132" s="2863"/>
      <c r="D132" s="2863"/>
      <c r="E132" s="2863"/>
      <c r="F132" s="2863"/>
      <c r="G132" s="2863"/>
      <c r="H132" s="2863"/>
      <c r="I132" s="2863"/>
      <c r="J132" s="3183"/>
    </row>
    <row r="133" spans="1:10">
      <c r="A133" s="3182"/>
      <c r="B133" s="2863"/>
      <c r="C133" s="2863"/>
      <c r="D133" s="2863"/>
      <c r="E133" s="2863"/>
      <c r="F133" s="2863"/>
      <c r="G133" s="2863"/>
      <c r="H133" s="2863"/>
      <c r="I133" s="2863"/>
      <c r="J133" s="3183"/>
    </row>
    <row r="134" spans="1:10">
      <c r="A134" s="3182"/>
      <c r="B134" s="2863"/>
      <c r="C134" s="2863"/>
      <c r="D134" s="2863"/>
      <c r="E134" s="2863"/>
      <c r="F134" s="2863"/>
      <c r="G134" s="2863"/>
      <c r="H134" s="2863"/>
      <c r="I134" s="2863"/>
      <c r="J134" s="3183"/>
    </row>
    <row r="135" spans="1:10">
      <c r="A135" s="3182"/>
      <c r="B135" s="2863"/>
      <c r="C135" s="2863"/>
      <c r="D135" s="2863"/>
      <c r="E135" s="2863"/>
      <c r="F135" s="2863"/>
      <c r="G135" s="2863"/>
      <c r="H135" s="2863"/>
      <c r="I135" s="2863"/>
      <c r="J135" s="3183"/>
    </row>
    <row r="136" spans="1:10">
      <c r="A136" s="3182"/>
      <c r="B136" s="2863"/>
      <c r="C136" s="2863"/>
      <c r="D136" s="2863"/>
      <c r="E136" s="2863"/>
      <c r="F136" s="2863"/>
      <c r="G136" s="2863"/>
      <c r="H136" s="2863"/>
      <c r="I136" s="2863"/>
      <c r="J136" s="3183"/>
    </row>
    <row r="137" spans="1:10">
      <c r="A137" s="3182"/>
      <c r="B137" s="2863"/>
      <c r="C137" s="2863"/>
      <c r="D137" s="2863"/>
      <c r="E137" s="2863"/>
      <c r="F137" s="2863"/>
      <c r="G137" s="2863"/>
      <c r="H137" s="2863"/>
      <c r="I137" s="2863"/>
      <c r="J137" s="3183"/>
    </row>
    <row r="138" spans="1:10">
      <c r="A138" s="3182"/>
      <c r="B138" s="2863"/>
      <c r="C138" s="2863"/>
      <c r="D138" s="2863"/>
      <c r="E138" s="2863"/>
      <c r="F138" s="2863"/>
      <c r="G138" s="2863"/>
      <c r="H138" s="2863"/>
      <c r="I138" s="2863"/>
      <c r="J138" s="3183"/>
    </row>
    <row r="139" spans="1:10">
      <c r="A139" s="3182"/>
      <c r="B139" s="2863"/>
      <c r="C139" s="2863"/>
      <c r="D139" s="2863"/>
      <c r="E139" s="2863"/>
      <c r="F139" s="2863"/>
      <c r="G139" s="2863"/>
      <c r="H139" s="2863"/>
      <c r="I139" s="2863"/>
      <c r="J139" s="3183"/>
    </row>
    <row r="140" spans="1:10">
      <c r="A140" s="3182"/>
      <c r="B140" s="2863"/>
      <c r="C140" s="2863"/>
      <c r="D140" s="2863"/>
      <c r="E140" s="2863"/>
      <c r="F140" s="2863"/>
      <c r="G140" s="2863"/>
      <c r="H140" s="2863"/>
      <c r="I140" s="2863"/>
      <c r="J140" s="3183"/>
    </row>
    <row r="141" spans="1:10">
      <c r="A141" s="3182"/>
      <c r="B141" s="2863"/>
      <c r="C141" s="2863"/>
      <c r="D141" s="2863"/>
      <c r="E141" s="2863"/>
      <c r="F141" s="2863"/>
      <c r="G141" s="2863"/>
      <c r="H141" s="2863"/>
      <c r="I141" s="2863"/>
      <c r="J141" s="3183"/>
    </row>
    <row r="142" spans="1:10">
      <c r="A142" s="3182"/>
      <c r="B142" s="2863"/>
      <c r="C142" s="2863"/>
      <c r="D142" s="2863"/>
      <c r="E142" s="2863"/>
      <c r="F142" s="2863"/>
      <c r="G142" s="2863"/>
      <c r="H142" s="2863"/>
      <c r="I142" s="2863"/>
      <c r="J142" s="3183"/>
    </row>
    <row r="143" spans="1:10">
      <c r="A143" s="3182"/>
      <c r="B143" s="2863"/>
      <c r="C143" s="2863"/>
      <c r="D143" s="2863"/>
      <c r="E143" s="2863"/>
      <c r="F143" s="2863"/>
      <c r="G143" s="2863"/>
      <c r="H143" s="2863"/>
      <c r="I143" s="2863"/>
      <c r="J143" s="3183"/>
    </row>
    <row r="144" spans="1:10">
      <c r="A144" s="3182"/>
      <c r="B144" s="2863"/>
      <c r="C144" s="2863"/>
      <c r="D144" s="2863"/>
      <c r="E144" s="2863"/>
      <c r="F144" s="2863"/>
      <c r="G144" s="2863"/>
      <c r="H144" s="2863"/>
      <c r="I144" s="2863"/>
      <c r="J144" s="3183"/>
    </row>
    <row r="145" spans="1:10">
      <c r="A145" s="3182"/>
      <c r="B145" s="2863"/>
      <c r="C145" s="2863"/>
      <c r="D145" s="2863"/>
      <c r="E145" s="2863"/>
      <c r="F145" s="2863"/>
      <c r="G145" s="2863"/>
      <c r="H145" s="2863"/>
      <c r="I145" s="2863"/>
      <c r="J145" s="3183"/>
    </row>
    <row r="146" spans="1:10">
      <c r="A146" s="3182"/>
      <c r="B146" s="2863"/>
      <c r="C146" s="2863"/>
      <c r="D146" s="2863"/>
      <c r="E146" s="2863"/>
      <c r="F146" s="2863"/>
      <c r="G146" s="2863"/>
      <c r="H146" s="2863"/>
      <c r="I146" s="2863"/>
      <c r="J146" s="3183"/>
    </row>
    <row r="147" spans="1:10">
      <c r="A147" s="3182"/>
      <c r="B147" s="2863"/>
      <c r="C147" s="2863"/>
      <c r="D147" s="2863"/>
      <c r="E147" s="2863"/>
      <c r="F147" s="2863"/>
      <c r="G147" s="2863"/>
      <c r="H147" s="2863"/>
      <c r="I147" s="2863"/>
      <c r="J147" s="3183"/>
    </row>
    <row r="148" spans="1:10">
      <c r="A148" s="3182"/>
      <c r="B148" s="2863"/>
      <c r="C148" s="2863"/>
      <c r="D148" s="2863"/>
      <c r="E148" s="2863"/>
      <c r="F148" s="2863"/>
      <c r="G148" s="2863"/>
      <c r="H148" s="2863"/>
      <c r="I148" s="2863"/>
      <c r="J148" s="3183"/>
    </row>
    <row r="149" spans="1:10">
      <c r="A149" s="3182"/>
      <c r="B149" s="2863"/>
      <c r="C149" s="2863"/>
      <c r="D149" s="2863"/>
      <c r="E149" s="2863"/>
      <c r="F149" s="2863"/>
      <c r="G149" s="2863"/>
      <c r="H149" s="2863"/>
      <c r="I149" s="2863"/>
      <c r="J149" s="3183"/>
    </row>
    <row r="150" spans="1:10">
      <c r="A150" s="3182"/>
      <c r="B150" s="2863"/>
      <c r="C150" s="2863"/>
      <c r="D150" s="2863"/>
      <c r="E150" s="2863"/>
      <c r="F150" s="2863"/>
      <c r="G150" s="2863"/>
      <c r="H150" s="2863"/>
      <c r="I150" s="2863"/>
      <c r="J150" s="3183"/>
    </row>
    <row r="151" spans="1:10">
      <c r="A151" s="3182"/>
      <c r="B151" s="2863"/>
      <c r="C151" s="2863"/>
      <c r="D151" s="2863"/>
      <c r="E151" s="2863"/>
      <c r="F151" s="2863"/>
      <c r="G151" s="2863"/>
      <c r="H151" s="2863"/>
      <c r="I151" s="2863"/>
      <c r="J151" s="3183"/>
    </row>
    <row r="152" spans="1:10">
      <c r="A152" s="3182"/>
      <c r="B152" s="2863"/>
      <c r="C152" s="2863"/>
      <c r="D152" s="2863"/>
      <c r="E152" s="2863"/>
      <c r="F152" s="2863"/>
      <c r="G152" s="2863"/>
      <c r="H152" s="2863"/>
      <c r="I152" s="2863"/>
      <c r="J152" s="3183"/>
    </row>
    <row r="153" spans="1:10">
      <c r="A153" s="3182"/>
      <c r="B153" s="2863"/>
      <c r="C153" s="2863"/>
      <c r="D153" s="2863"/>
      <c r="E153" s="2863"/>
      <c r="F153" s="2863"/>
      <c r="G153" s="2863"/>
      <c r="H153" s="2863"/>
      <c r="I153" s="2863"/>
      <c r="J153" s="3183"/>
    </row>
    <row r="154" spans="1:10">
      <c r="A154" s="3182"/>
      <c r="B154" s="2863"/>
      <c r="C154" s="2863"/>
      <c r="D154" s="2863"/>
      <c r="E154" s="2863"/>
      <c r="F154" s="2863"/>
      <c r="G154" s="2863"/>
      <c r="H154" s="2863"/>
      <c r="I154" s="2863"/>
      <c r="J154" s="3183"/>
    </row>
    <row r="155" spans="1:10">
      <c r="A155" s="3182"/>
      <c r="B155" s="2863"/>
      <c r="C155" s="2863"/>
      <c r="D155" s="2863"/>
      <c r="E155" s="2863"/>
      <c r="F155" s="2863"/>
      <c r="G155" s="2863"/>
      <c r="H155" s="2863"/>
      <c r="I155" s="2863"/>
      <c r="J155" s="3183"/>
    </row>
    <row r="156" spans="1:10">
      <c r="A156" s="3182"/>
      <c r="B156" s="2863"/>
      <c r="C156" s="2863"/>
      <c r="D156" s="2863"/>
      <c r="E156" s="2863"/>
      <c r="F156" s="2863"/>
      <c r="G156" s="2863"/>
      <c r="H156" s="2863"/>
      <c r="I156" s="2863"/>
      <c r="J156" s="3183"/>
    </row>
    <row r="157" spans="1:10">
      <c r="A157" s="3182"/>
      <c r="B157" s="2863"/>
      <c r="C157" s="2863"/>
      <c r="D157" s="2863"/>
      <c r="E157" s="2863"/>
      <c r="F157" s="2863"/>
      <c r="G157" s="2863"/>
      <c r="H157" s="2863"/>
      <c r="I157" s="2863"/>
      <c r="J157" s="3183"/>
    </row>
    <row r="158" spans="1:10">
      <c r="A158" s="3182"/>
      <c r="B158" s="2863"/>
      <c r="C158" s="2863"/>
      <c r="D158" s="2863"/>
      <c r="E158" s="2863"/>
      <c r="F158" s="2863"/>
      <c r="G158" s="2863"/>
      <c r="H158" s="2863"/>
      <c r="I158" s="2863"/>
      <c r="J158" s="3183"/>
    </row>
    <row r="159" spans="1:10">
      <c r="A159" s="3182"/>
      <c r="B159" s="2863"/>
      <c r="C159" s="2863"/>
      <c r="D159" s="2863"/>
      <c r="E159" s="2863"/>
      <c r="F159" s="2863"/>
      <c r="G159" s="2863"/>
      <c r="H159" s="2863"/>
      <c r="I159" s="2863"/>
      <c r="J159" s="3183"/>
    </row>
    <row r="160" spans="1:10">
      <c r="A160" s="3182"/>
      <c r="B160" s="2863"/>
      <c r="C160" s="2863"/>
      <c r="D160" s="2863"/>
      <c r="E160" s="2863"/>
      <c r="F160" s="2863"/>
      <c r="G160" s="2863"/>
      <c r="H160" s="2863"/>
      <c r="I160" s="2863"/>
      <c r="J160" s="3183"/>
    </row>
    <row r="161" spans="1:10">
      <c r="A161" s="3182"/>
      <c r="B161" s="2863"/>
      <c r="C161" s="2863"/>
      <c r="D161" s="2863"/>
      <c r="E161" s="2863"/>
      <c r="F161" s="2863"/>
      <c r="G161" s="2863"/>
      <c r="H161" s="2863"/>
      <c r="I161" s="2863"/>
      <c r="J161" s="3183"/>
    </row>
    <row r="162" spans="1:10">
      <c r="A162" s="3182"/>
      <c r="B162" s="2863"/>
      <c r="C162" s="2863"/>
      <c r="D162" s="2863"/>
      <c r="E162" s="2863"/>
      <c r="F162" s="2863"/>
      <c r="G162" s="2863"/>
      <c r="H162" s="2863"/>
      <c r="I162" s="2863"/>
      <c r="J162" s="3183"/>
    </row>
    <row r="163" spans="1:10">
      <c r="A163" s="3182"/>
      <c r="B163" s="2863"/>
      <c r="C163" s="2863"/>
      <c r="D163" s="2863"/>
      <c r="E163" s="2863"/>
      <c r="F163" s="2863"/>
      <c r="G163" s="2863"/>
      <c r="H163" s="2863"/>
      <c r="I163" s="2863"/>
      <c r="J163" s="3183"/>
    </row>
    <row r="164" spans="1:10">
      <c r="A164" s="3182"/>
      <c r="B164" s="2863"/>
      <c r="C164" s="2863"/>
      <c r="D164" s="2863"/>
      <c r="E164" s="2863"/>
      <c r="F164" s="2863"/>
      <c r="G164" s="2863"/>
      <c r="H164" s="2863"/>
      <c r="I164" s="2863"/>
      <c r="J164" s="3183"/>
    </row>
    <row r="165" spans="1:10">
      <c r="A165" s="3182"/>
      <c r="B165" s="2863"/>
      <c r="C165" s="2863"/>
      <c r="D165" s="2863"/>
      <c r="E165" s="2863"/>
      <c r="F165" s="2863"/>
      <c r="G165" s="2863"/>
      <c r="H165" s="2863"/>
      <c r="I165" s="2863"/>
      <c r="J165" s="3183"/>
    </row>
    <row r="166" spans="1:10">
      <c r="A166" s="3182"/>
      <c r="B166" s="2863"/>
      <c r="C166" s="2863"/>
      <c r="D166" s="2863"/>
      <c r="E166" s="2863"/>
      <c r="F166" s="2863"/>
      <c r="G166" s="2863"/>
      <c r="H166" s="2863"/>
      <c r="I166" s="2863"/>
      <c r="J166" s="3183"/>
    </row>
    <row r="167" spans="1:10">
      <c r="A167" s="3182"/>
      <c r="B167" s="2863"/>
      <c r="C167" s="2863"/>
      <c r="D167" s="2863"/>
      <c r="E167" s="2863"/>
      <c r="F167" s="2863"/>
      <c r="G167" s="2863"/>
      <c r="H167" s="2863"/>
      <c r="I167" s="2863"/>
      <c r="J167" s="3183"/>
    </row>
    <row r="168" spans="1:10">
      <c r="A168" s="3182"/>
      <c r="B168" s="2863"/>
      <c r="C168" s="2863"/>
      <c r="D168" s="2863"/>
      <c r="E168" s="2863"/>
      <c r="F168" s="2863"/>
      <c r="G168" s="2863"/>
      <c r="H168" s="2863"/>
      <c r="I168" s="2863"/>
      <c r="J168" s="3183"/>
    </row>
    <row r="169" spans="1:10">
      <c r="A169" s="3182"/>
      <c r="B169" s="2863"/>
      <c r="C169" s="2863"/>
      <c r="D169" s="2863"/>
      <c r="E169" s="2863"/>
      <c r="F169" s="2863"/>
      <c r="G169" s="2863"/>
      <c r="H169" s="2863"/>
      <c r="I169" s="2863"/>
      <c r="J169" s="3183"/>
    </row>
    <row r="170" spans="1:10">
      <c r="A170" s="3182"/>
      <c r="B170" s="2863"/>
      <c r="C170" s="2863"/>
      <c r="D170" s="2863"/>
      <c r="E170" s="2863"/>
      <c r="F170" s="2863"/>
      <c r="G170" s="2863"/>
      <c r="H170" s="2863"/>
      <c r="I170" s="2863"/>
      <c r="J170" s="3183"/>
    </row>
    <row r="171" spans="1:10">
      <c r="A171" s="3182"/>
      <c r="B171" s="2863"/>
      <c r="C171" s="2863"/>
      <c r="D171" s="2863"/>
      <c r="E171" s="2863"/>
      <c r="F171" s="2863"/>
      <c r="G171" s="2863"/>
      <c r="H171" s="2863"/>
      <c r="I171" s="2863"/>
      <c r="J171" s="3183"/>
    </row>
    <row r="172" spans="1:10">
      <c r="A172" s="3182"/>
      <c r="B172" s="2863"/>
      <c r="C172" s="2863"/>
      <c r="D172" s="2863"/>
      <c r="E172" s="2863"/>
      <c r="F172" s="2863"/>
      <c r="G172" s="2863"/>
      <c r="H172" s="2863"/>
      <c r="I172" s="2863"/>
      <c r="J172" s="3183"/>
    </row>
    <row r="173" spans="1:10">
      <c r="A173" s="3182"/>
      <c r="B173" s="2863"/>
      <c r="C173" s="2863"/>
      <c r="D173" s="2863"/>
      <c r="E173" s="2863"/>
      <c r="F173" s="2863"/>
      <c r="G173" s="2863"/>
      <c r="H173" s="2863"/>
      <c r="I173" s="2863"/>
      <c r="J173" s="3183"/>
    </row>
    <row r="174" spans="1:10">
      <c r="A174" s="3182"/>
      <c r="B174" s="2863"/>
      <c r="C174" s="2863"/>
      <c r="D174" s="2863"/>
      <c r="E174" s="2863"/>
      <c r="F174" s="2863"/>
      <c r="G174" s="2863"/>
      <c r="H174" s="2863"/>
      <c r="I174" s="2863"/>
      <c r="J174" s="3183"/>
    </row>
    <row r="175" spans="1:10">
      <c r="A175" s="3182"/>
      <c r="B175" s="2863"/>
      <c r="C175" s="2863"/>
      <c r="D175" s="2863"/>
      <c r="E175" s="2863"/>
      <c r="F175" s="2863"/>
      <c r="G175" s="2863"/>
      <c r="H175" s="2863"/>
      <c r="I175" s="2863"/>
      <c r="J175" s="3183"/>
    </row>
    <row r="176" spans="1:10">
      <c r="A176" s="3182"/>
      <c r="B176" s="2863"/>
      <c r="C176" s="2863"/>
      <c r="D176" s="2863"/>
      <c r="E176" s="2863"/>
      <c r="F176" s="2863"/>
      <c r="G176" s="2863"/>
      <c r="H176" s="2863"/>
      <c r="I176" s="2863"/>
      <c r="J176" s="3183"/>
    </row>
    <row r="177" spans="1:10">
      <c r="A177" s="3182"/>
      <c r="B177" s="2863"/>
      <c r="C177" s="2863"/>
      <c r="D177" s="2863"/>
      <c r="E177" s="2863"/>
      <c r="F177" s="2863"/>
      <c r="G177" s="2863"/>
      <c r="H177" s="2863"/>
      <c r="I177" s="2863"/>
      <c r="J177" s="3183"/>
    </row>
    <row r="178" spans="1:10">
      <c r="A178" s="3182"/>
      <c r="B178" s="2863"/>
      <c r="C178" s="2863"/>
      <c r="D178" s="2863"/>
      <c r="E178" s="2863"/>
      <c r="F178" s="2863"/>
      <c r="G178" s="2863"/>
      <c r="H178" s="2863"/>
      <c r="I178" s="2863"/>
      <c r="J178" s="3183"/>
    </row>
    <row r="179" spans="1:10">
      <c r="A179" s="3182"/>
      <c r="B179" s="2863"/>
      <c r="C179" s="2863"/>
      <c r="D179" s="2863"/>
      <c r="E179" s="2863"/>
      <c r="F179" s="2863"/>
      <c r="G179" s="2863"/>
      <c r="H179" s="2863"/>
      <c r="I179" s="2863"/>
      <c r="J179" s="3183"/>
    </row>
    <row r="180" spans="1:10">
      <c r="A180" s="3182"/>
      <c r="B180" s="2863"/>
      <c r="C180" s="2863"/>
      <c r="D180" s="2863"/>
      <c r="E180" s="2863"/>
      <c r="F180" s="2863"/>
      <c r="G180" s="2863"/>
      <c r="H180" s="2863"/>
      <c r="I180" s="2863"/>
      <c r="J180" s="3183"/>
    </row>
    <row r="181" spans="1:10">
      <c r="A181" s="3182"/>
      <c r="B181" s="2863"/>
      <c r="C181" s="2863"/>
      <c r="D181" s="2863"/>
      <c r="E181" s="2863"/>
      <c r="F181" s="2863"/>
      <c r="G181" s="2863"/>
      <c r="H181" s="2863"/>
      <c r="I181" s="2863"/>
      <c r="J181" s="3183"/>
    </row>
    <row r="182" spans="1:10">
      <c r="A182" s="3182"/>
      <c r="B182" s="2863"/>
      <c r="C182" s="2863"/>
      <c r="D182" s="2863"/>
      <c r="E182" s="2863"/>
      <c r="F182" s="2863"/>
      <c r="G182" s="2863"/>
      <c r="H182" s="2863"/>
      <c r="I182" s="2863"/>
      <c r="J182" s="3183"/>
    </row>
    <row r="183" spans="1:10">
      <c r="A183" s="3182"/>
      <c r="B183" s="2863"/>
      <c r="C183" s="2863"/>
      <c r="D183" s="2863"/>
      <c r="E183" s="2863"/>
      <c r="F183" s="2863"/>
      <c r="G183" s="2863"/>
      <c r="H183" s="2863"/>
      <c r="I183" s="2863"/>
      <c r="J183" s="3183"/>
    </row>
    <row r="184" spans="1:10">
      <c r="A184" s="3182"/>
      <c r="B184" s="2863"/>
      <c r="C184" s="2863"/>
      <c r="D184" s="2863"/>
      <c r="E184" s="2863"/>
      <c r="F184" s="2863"/>
      <c r="G184" s="2863"/>
      <c r="H184" s="2863"/>
      <c r="I184" s="2863"/>
      <c r="J184" s="3183"/>
    </row>
    <row r="185" spans="1:10">
      <c r="A185" s="3182"/>
      <c r="B185" s="2863"/>
      <c r="C185" s="2863"/>
      <c r="D185" s="2863"/>
      <c r="E185" s="2863"/>
      <c r="F185" s="2863"/>
      <c r="G185" s="2863"/>
      <c r="H185" s="2863"/>
      <c r="I185" s="2863"/>
      <c r="J185" s="3183"/>
    </row>
    <row r="186" spans="1:10">
      <c r="A186" s="3182"/>
      <c r="B186" s="2863"/>
      <c r="C186" s="2863"/>
      <c r="D186" s="2863"/>
      <c r="E186" s="2863"/>
      <c r="F186" s="2863"/>
      <c r="G186" s="2863"/>
      <c r="H186" s="2863"/>
      <c r="I186" s="2863"/>
      <c r="J186" s="3183"/>
    </row>
    <row r="187" spans="1:10">
      <c r="A187" s="3182"/>
      <c r="B187" s="2863"/>
      <c r="C187" s="2863"/>
      <c r="D187" s="2863"/>
      <c r="E187" s="2863"/>
      <c r="F187" s="2863"/>
      <c r="G187" s="2863"/>
      <c r="H187" s="2863"/>
      <c r="I187" s="2863"/>
      <c r="J187" s="3183"/>
    </row>
    <row r="188" spans="1:10">
      <c r="A188" s="3182"/>
      <c r="B188" s="2863"/>
      <c r="C188" s="2863"/>
      <c r="D188" s="2863"/>
      <c r="E188" s="2863"/>
      <c r="F188" s="2863"/>
      <c r="G188" s="2863"/>
      <c r="H188" s="2863"/>
      <c r="I188" s="2863"/>
      <c r="J188" s="3183"/>
    </row>
    <row r="189" spans="1:10">
      <c r="A189" s="3182"/>
      <c r="B189" s="2863"/>
      <c r="C189" s="2863"/>
      <c r="D189" s="2863"/>
      <c r="E189" s="2863"/>
      <c r="F189" s="2863"/>
      <c r="G189" s="2863"/>
      <c r="H189" s="2863"/>
      <c r="I189" s="2863"/>
      <c r="J189" s="3183"/>
    </row>
    <row r="190" spans="1:10">
      <c r="A190" s="3182"/>
      <c r="B190" s="2863"/>
      <c r="C190" s="2863"/>
      <c r="D190" s="2863"/>
      <c r="E190" s="2863"/>
      <c r="F190" s="2863"/>
      <c r="G190" s="2863"/>
      <c r="H190" s="2863"/>
      <c r="I190" s="2863"/>
      <c r="J190" s="3183"/>
    </row>
    <row r="191" spans="1:10">
      <c r="A191" s="3182"/>
      <c r="B191" s="2863"/>
      <c r="C191" s="2863"/>
      <c r="D191" s="2863"/>
      <c r="E191" s="2863"/>
      <c r="F191" s="2863"/>
      <c r="G191" s="2863"/>
      <c r="H191" s="2863"/>
      <c r="I191" s="2863"/>
      <c r="J191" s="3183"/>
    </row>
    <row r="192" spans="1:10">
      <c r="A192" s="3182"/>
      <c r="B192" s="2863"/>
      <c r="C192" s="2863"/>
      <c r="D192" s="2863"/>
      <c r="E192" s="2863"/>
      <c r="F192" s="2863"/>
      <c r="G192" s="2863"/>
      <c r="H192" s="2863"/>
      <c r="I192" s="2863"/>
      <c r="J192" s="3183"/>
    </row>
    <row r="193" spans="1:10">
      <c r="A193" s="3182"/>
      <c r="B193" s="2863"/>
      <c r="C193" s="2863"/>
      <c r="D193" s="2863"/>
      <c r="E193" s="2863"/>
      <c r="F193" s="2863"/>
      <c r="G193" s="2863"/>
      <c r="H193" s="2863"/>
      <c r="I193" s="2863"/>
      <c r="J193" s="3183"/>
    </row>
    <row r="194" spans="1:10">
      <c r="A194" s="3182"/>
      <c r="B194" s="2863"/>
      <c r="C194" s="2863"/>
      <c r="D194" s="2863"/>
      <c r="E194" s="2863"/>
      <c r="F194" s="2863"/>
      <c r="G194" s="2863"/>
      <c r="H194" s="2863"/>
      <c r="I194" s="2863"/>
      <c r="J194" s="3183"/>
    </row>
    <row r="195" spans="1:10">
      <c r="A195" s="3182"/>
      <c r="B195" s="2863"/>
      <c r="C195" s="2863"/>
      <c r="D195" s="2863"/>
      <c r="E195" s="2863"/>
      <c r="F195" s="2863"/>
      <c r="G195" s="2863"/>
      <c r="H195" s="2863"/>
      <c r="I195" s="2863"/>
      <c r="J195" s="3183"/>
    </row>
    <row r="196" spans="1:10">
      <c r="A196" s="3182"/>
      <c r="B196" s="2863"/>
      <c r="C196" s="2863"/>
      <c r="D196" s="2863"/>
      <c r="E196" s="2863"/>
      <c r="F196" s="2863"/>
      <c r="G196" s="2863"/>
      <c r="H196" s="2863"/>
      <c r="I196" s="2863"/>
      <c r="J196" s="3183"/>
    </row>
    <row r="197" spans="1:10">
      <c r="A197" s="3182"/>
      <c r="B197" s="2863"/>
      <c r="C197" s="2863"/>
      <c r="D197" s="2863"/>
      <c r="E197" s="2863"/>
      <c r="F197" s="2863"/>
      <c r="G197" s="2863"/>
      <c r="H197" s="2863"/>
      <c r="I197" s="2863"/>
      <c r="J197" s="3183"/>
    </row>
    <row r="198" spans="1:10">
      <c r="A198" s="3182"/>
      <c r="B198" s="2863"/>
      <c r="C198" s="2863"/>
      <c r="D198" s="2863"/>
      <c r="E198" s="2863"/>
      <c r="F198" s="2863"/>
      <c r="G198" s="2863"/>
      <c r="H198" s="2863"/>
      <c r="I198" s="2863"/>
      <c r="J198" s="3183"/>
    </row>
    <row r="199" spans="1:10">
      <c r="A199" s="3182"/>
      <c r="B199" s="2863"/>
      <c r="C199" s="2863"/>
      <c r="D199" s="2863"/>
      <c r="E199" s="2863"/>
      <c r="F199" s="2863"/>
      <c r="G199" s="2863"/>
      <c r="H199" s="2863"/>
      <c r="I199" s="2863"/>
      <c r="J199" s="3183"/>
    </row>
    <row r="200" spans="1:10">
      <c r="A200" s="3182"/>
      <c r="B200" s="2863"/>
      <c r="C200" s="2863"/>
      <c r="D200" s="2863"/>
      <c r="E200" s="2863"/>
      <c r="F200" s="2863"/>
      <c r="G200" s="2863"/>
      <c r="H200" s="2863"/>
      <c r="I200" s="2863"/>
      <c r="J200" s="3183"/>
    </row>
    <row r="201" spans="1:10">
      <c r="A201" s="3182"/>
      <c r="B201" s="2863"/>
      <c r="C201" s="2863"/>
      <c r="D201" s="2863"/>
      <c r="E201" s="2863"/>
      <c r="F201" s="2863"/>
      <c r="G201" s="2863"/>
      <c r="H201" s="2863"/>
      <c r="I201" s="2863"/>
      <c r="J201" s="3183"/>
    </row>
    <row r="202" spans="1:10">
      <c r="A202" s="3182"/>
      <c r="B202" s="2863"/>
      <c r="C202" s="2863"/>
      <c r="D202" s="2863"/>
      <c r="E202" s="2863"/>
      <c r="F202" s="2863"/>
      <c r="G202" s="2863"/>
      <c r="H202" s="2863"/>
      <c r="I202" s="2863"/>
      <c r="J202" s="3183"/>
    </row>
    <row r="203" spans="1:10">
      <c r="A203" s="3182"/>
      <c r="B203" s="2863"/>
      <c r="C203" s="2863"/>
      <c r="D203" s="2863"/>
      <c r="E203" s="2863"/>
      <c r="F203" s="2863"/>
      <c r="G203" s="2863"/>
      <c r="H203" s="2863"/>
      <c r="I203" s="2863"/>
      <c r="J203" s="3183"/>
    </row>
    <row r="204" spans="1:10">
      <c r="A204" s="3182"/>
      <c r="B204" s="2863"/>
      <c r="C204" s="2863"/>
      <c r="D204" s="2863"/>
      <c r="E204" s="2863"/>
      <c r="F204" s="2863"/>
      <c r="G204" s="2863"/>
      <c r="H204" s="2863"/>
      <c r="I204" s="2863"/>
      <c r="J204" s="3183"/>
    </row>
    <row r="205" spans="1:10">
      <c r="A205" s="3182"/>
      <c r="B205" s="2863"/>
      <c r="C205" s="2863"/>
      <c r="D205" s="2863"/>
      <c r="E205" s="2863"/>
      <c r="F205" s="2863"/>
      <c r="G205" s="2863"/>
      <c r="H205" s="2863"/>
      <c r="I205" s="2863"/>
      <c r="J205" s="3183"/>
    </row>
    <row r="206" spans="1:10">
      <c r="A206" s="3182"/>
      <c r="B206" s="2863"/>
      <c r="C206" s="2863"/>
      <c r="D206" s="2863"/>
      <c r="E206" s="2863"/>
      <c r="F206" s="2863"/>
      <c r="G206" s="2863"/>
      <c r="H206" s="2863"/>
      <c r="I206" s="2863"/>
      <c r="J206" s="3183"/>
    </row>
    <row r="207" spans="1:10">
      <c r="A207" s="3182"/>
      <c r="B207" s="2863"/>
      <c r="C207" s="2863"/>
      <c r="D207" s="2863"/>
      <c r="E207" s="2863"/>
      <c r="F207" s="2863"/>
      <c r="G207" s="2863"/>
      <c r="H207" s="2863"/>
      <c r="I207" s="2863"/>
      <c r="J207" s="3183"/>
    </row>
    <row r="208" spans="1:10">
      <c r="A208" s="3182"/>
      <c r="B208" s="2863"/>
      <c r="C208" s="2863"/>
      <c r="D208" s="2863"/>
      <c r="E208" s="2863"/>
      <c r="F208" s="2863"/>
      <c r="G208" s="2863"/>
      <c r="H208" s="2863"/>
      <c r="I208" s="2863"/>
      <c r="J208" s="3183"/>
    </row>
    <row r="209" spans="1:10">
      <c r="A209" s="3182"/>
      <c r="B209" s="2863"/>
      <c r="C209" s="2863"/>
      <c r="D209" s="2863"/>
      <c r="E209" s="2863"/>
      <c r="F209" s="2863"/>
      <c r="G209" s="2863"/>
      <c r="H209" s="2863"/>
      <c r="I209" s="2863"/>
      <c r="J209" s="3183"/>
    </row>
    <row r="210" spans="1:10">
      <c r="A210" s="3182"/>
      <c r="B210" s="2863"/>
      <c r="C210" s="2863"/>
      <c r="D210" s="2863"/>
      <c r="E210" s="2863"/>
      <c r="F210" s="2863"/>
      <c r="G210" s="2863"/>
      <c r="H210" s="2863"/>
      <c r="I210" s="2863"/>
      <c r="J210" s="3183"/>
    </row>
    <row r="211" spans="1:10">
      <c r="A211" s="3182"/>
      <c r="B211" s="2863"/>
      <c r="C211" s="2863"/>
      <c r="D211" s="2863"/>
      <c r="E211" s="2863"/>
      <c r="F211" s="2863"/>
      <c r="G211" s="2863"/>
      <c r="H211" s="2863"/>
      <c r="I211" s="2863"/>
      <c r="J211" s="3183"/>
    </row>
    <row r="212" spans="1:10">
      <c r="A212" s="3182"/>
      <c r="B212" s="2863"/>
      <c r="C212" s="2863"/>
      <c r="D212" s="2863"/>
      <c r="E212" s="2863"/>
      <c r="F212" s="2863"/>
      <c r="G212" s="2863"/>
      <c r="H212" s="2863"/>
      <c r="I212" s="2863"/>
      <c r="J212" s="3183"/>
    </row>
    <row r="213" spans="1:10">
      <c r="A213" s="3182"/>
      <c r="B213" s="2863"/>
      <c r="C213" s="2863"/>
      <c r="D213" s="2863"/>
      <c r="E213" s="2863"/>
      <c r="F213" s="2863"/>
      <c r="G213" s="2863"/>
      <c r="H213" s="2863"/>
      <c r="I213" s="2863"/>
      <c r="J213" s="3183"/>
    </row>
    <row r="214" spans="1:10">
      <c r="A214" s="3182"/>
      <c r="B214" s="2863"/>
      <c r="C214" s="2863"/>
      <c r="D214" s="2863"/>
      <c r="E214" s="2863"/>
      <c r="F214" s="2863"/>
      <c r="G214" s="2863"/>
      <c r="H214" s="2863"/>
      <c r="I214" s="2863"/>
      <c r="J214" s="3183"/>
    </row>
    <row r="215" spans="1:10">
      <c r="A215" s="3182"/>
      <c r="B215" s="2863"/>
      <c r="C215" s="2863"/>
      <c r="D215" s="2863"/>
      <c r="E215" s="2863"/>
      <c r="F215" s="2863"/>
      <c r="G215" s="2863"/>
      <c r="H215" s="2863"/>
      <c r="I215" s="2863"/>
      <c r="J215" s="3183"/>
    </row>
    <row r="216" spans="1:10">
      <c r="A216" s="3182"/>
      <c r="B216" s="2863"/>
      <c r="C216" s="2863"/>
      <c r="D216" s="2863"/>
      <c r="E216" s="2863"/>
      <c r="F216" s="2863"/>
      <c r="G216" s="2863"/>
      <c r="H216" s="2863"/>
      <c r="I216" s="2863"/>
      <c r="J216" s="3183"/>
    </row>
    <row r="217" spans="1:10">
      <c r="A217" s="3182"/>
      <c r="B217" s="2863"/>
      <c r="C217" s="2863"/>
      <c r="D217" s="2863"/>
      <c r="E217" s="2863"/>
      <c r="F217" s="2863"/>
      <c r="G217" s="2863"/>
      <c r="H217" s="2863"/>
      <c r="I217" s="2863"/>
      <c r="J217" s="3183"/>
    </row>
    <row r="218" spans="1:10">
      <c r="A218" s="3182"/>
      <c r="B218" s="2863"/>
      <c r="C218" s="2863"/>
      <c r="D218" s="2863"/>
      <c r="E218" s="2863"/>
      <c r="F218" s="2863"/>
      <c r="G218" s="2863"/>
      <c r="H218" s="2863"/>
      <c r="I218" s="2863"/>
      <c r="J218" s="3183"/>
    </row>
    <row r="219" spans="1:10">
      <c r="A219" s="3182"/>
      <c r="B219" s="2863"/>
      <c r="C219" s="2863"/>
      <c r="D219" s="2863"/>
      <c r="E219" s="2863"/>
      <c r="F219" s="2863"/>
      <c r="G219" s="2863"/>
      <c r="H219" s="2863"/>
      <c r="I219" s="2863"/>
      <c r="J219" s="3183"/>
    </row>
    <row r="220" spans="1:10">
      <c r="A220" s="3182"/>
      <c r="B220" s="2863"/>
      <c r="C220" s="2863"/>
      <c r="D220" s="2863"/>
      <c r="E220" s="2863"/>
      <c r="F220" s="2863"/>
      <c r="G220" s="2863"/>
      <c r="H220" s="2863"/>
      <c r="I220" s="2863"/>
      <c r="J220" s="3183"/>
    </row>
    <row r="221" spans="1:10">
      <c r="A221" s="3182"/>
      <c r="B221" s="2863"/>
      <c r="C221" s="2863"/>
      <c r="D221" s="2863"/>
      <c r="E221" s="2863"/>
      <c r="F221" s="2863"/>
      <c r="G221" s="2863"/>
      <c r="H221" s="2863"/>
      <c r="I221" s="2863"/>
      <c r="J221" s="3183"/>
    </row>
    <row r="222" spans="1:10">
      <c r="A222" s="3182"/>
      <c r="B222" s="2863"/>
      <c r="C222" s="2863"/>
      <c r="D222" s="2863"/>
      <c r="E222" s="2863"/>
      <c r="F222" s="2863"/>
      <c r="G222" s="2863"/>
      <c r="H222" s="2863"/>
      <c r="I222" s="2863"/>
      <c r="J222" s="3183"/>
    </row>
    <row r="223" spans="1:10">
      <c r="A223" s="3182"/>
      <c r="B223" s="2863"/>
      <c r="C223" s="2863"/>
      <c r="D223" s="2863"/>
      <c r="E223" s="2863"/>
      <c r="F223" s="2863"/>
      <c r="G223" s="2863"/>
      <c r="H223" s="2863"/>
      <c r="I223" s="2863"/>
      <c r="J223" s="3183"/>
    </row>
    <row r="224" spans="1:10">
      <c r="A224" s="3182"/>
      <c r="B224" s="2863"/>
      <c r="C224" s="2863"/>
      <c r="D224" s="2863"/>
      <c r="E224" s="2863"/>
      <c r="F224" s="2863"/>
      <c r="G224" s="2863"/>
      <c r="H224" s="2863"/>
      <c r="I224" s="2863"/>
      <c r="J224" s="3183"/>
    </row>
    <row r="225" spans="1:10">
      <c r="A225" s="3182"/>
      <c r="B225" s="2863"/>
      <c r="C225" s="2863"/>
      <c r="D225" s="2863"/>
      <c r="E225" s="2863"/>
      <c r="F225" s="2863"/>
      <c r="G225" s="2863"/>
      <c r="H225" s="2863"/>
      <c r="I225" s="2863"/>
      <c r="J225" s="3183"/>
    </row>
    <row r="226" spans="1:10">
      <c r="A226" s="3182"/>
      <c r="B226" s="2863"/>
      <c r="C226" s="2863"/>
      <c r="D226" s="2863"/>
      <c r="E226" s="2863"/>
      <c r="F226" s="2863"/>
      <c r="G226" s="2863"/>
      <c r="H226" s="2863"/>
      <c r="I226" s="2863"/>
      <c r="J226" s="3183"/>
    </row>
    <row r="227" spans="1:10">
      <c r="A227" s="3182"/>
      <c r="B227" s="2863"/>
      <c r="C227" s="2863"/>
      <c r="D227" s="2863"/>
      <c r="E227" s="2863"/>
      <c r="F227" s="2863"/>
      <c r="G227" s="2863"/>
      <c r="H227" s="2863"/>
      <c r="I227" s="2863"/>
      <c r="J227" s="3183"/>
    </row>
    <row r="228" spans="1:10">
      <c r="A228" s="3182"/>
      <c r="B228" s="2863"/>
      <c r="C228" s="2863"/>
      <c r="D228" s="2863"/>
      <c r="E228" s="2863"/>
      <c r="F228" s="2863"/>
      <c r="G228" s="2863"/>
      <c r="H228" s="2863"/>
      <c r="I228" s="2863"/>
      <c r="J228" s="3183"/>
    </row>
    <row r="229" spans="1:10">
      <c r="A229" s="3182"/>
      <c r="B229" s="2863"/>
      <c r="C229" s="2863"/>
      <c r="D229" s="2863"/>
      <c r="E229" s="2863"/>
      <c r="F229" s="2863"/>
      <c r="G229" s="2863"/>
      <c r="H229" s="2863"/>
      <c r="I229" s="2863"/>
      <c r="J229" s="3183"/>
    </row>
    <row r="230" spans="1:10">
      <c r="A230" s="3182"/>
      <c r="B230" s="2863"/>
      <c r="C230" s="2863"/>
      <c r="D230" s="2863"/>
      <c r="E230" s="2863"/>
      <c r="F230" s="2863"/>
      <c r="G230" s="2863"/>
      <c r="H230" s="2863"/>
      <c r="I230" s="2863"/>
      <c r="J230" s="3183"/>
    </row>
    <row r="231" spans="1:10">
      <c r="A231" s="3182"/>
      <c r="B231" s="2863"/>
      <c r="C231" s="2863"/>
      <c r="D231" s="2863"/>
      <c r="E231" s="2863"/>
      <c r="F231" s="2863"/>
      <c r="G231" s="2863"/>
      <c r="H231" s="2863"/>
      <c r="I231" s="2863"/>
      <c r="J231" s="3183"/>
    </row>
    <row r="232" spans="1:10">
      <c r="A232" s="3182"/>
      <c r="B232" s="2863"/>
      <c r="C232" s="2863"/>
      <c r="D232" s="2863"/>
      <c r="E232" s="2863"/>
      <c r="F232" s="2863"/>
      <c r="G232" s="2863"/>
      <c r="H232" s="2863"/>
      <c r="I232" s="2863"/>
      <c r="J232" s="3183"/>
    </row>
    <row r="233" spans="1:10">
      <c r="A233" s="3182"/>
      <c r="B233" s="2863"/>
      <c r="C233" s="2863"/>
      <c r="D233" s="2863"/>
      <c r="E233" s="2863"/>
      <c r="F233" s="2863"/>
      <c r="G233" s="2863"/>
      <c r="H233" s="2863"/>
      <c r="I233" s="2863"/>
      <c r="J233" s="3183"/>
    </row>
    <row r="234" spans="1:10">
      <c r="A234" s="3182"/>
      <c r="B234" s="2863"/>
      <c r="C234" s="2863"/>
      <c r="D234" s="2863"/>
      <c r="E234" s="2863"/>
      <c r="F234" s="2863"/>
      <c r="G234" s="2863"/>
      <c r="H234" s="2863"/>
      <c r="I234" s="2863"/>
      <c r="J234" s="3183"/>
    </row>
    <row r="235" spans="1:10" ht="15.75" thickBot="1">
      <c r="A235" s="3184"/>
      <c r="B235" s="3185"/>
      <c r="C235" s="3185"/>
      <c r="D235" s="3185"/>
      <c r="E235" s="3185"/>
      <c r="F235" s="3185"/>
      <c r="G235" s="3185"/>
      <c r="H235" s="3185"/>
      <c r="I235" s="3185"/>
      <c r="J235" s="3186"/>
    </row>
    <row r="236" spans="1:10" ht="15.75" thickTop="1"/>
  </sheetData>
  <autoFilter ref="A1:J1" xr:uid="{71B77DBB-ECFE-4F01-A217-053F0523FA1C}">
    <sortState ref="A2:J32">
      <sortCondition ref="I1"/>
    </sortState>
  </autoFilter>
  <pageMargins left="0.7" right="0.7" top="0.78740157499999996" bottom="0.78740157499999996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AC523-A689-4AE6-9AB7-DA20C8381658}">
  <dimension ref="A1:J33"/>
  <sheetViews>
    <sheetView zoomScaleNormal="100" workbookViewId="0">
      <selection activeCell="E17" sqref="E17"/>
    </sheetView>
  </sheetViews>
  <sheetFormatPr defaultRowHeight="15"/>
  <cols>
    <col min="1" max="1" width="15.7109375" bestFit="1" customWidth="1"/>
    <col min="2" max="2" width="77.5703125" customWidth="1"/>
    <col min="4" max="4" width="38.28515625" customWidth="1"/>
    <col min="5" max="5" width="23.85546875" bestFit="1" customWidth="1"/>
    <col min="6" max="7" width="14.85546875" bestFit="1" customWidth="1"/>
    <col min="8" max="9" width="11" bestFit="1" customWidth="1"/>
    <col min="10" max="10" width="23.140625" customWidth="1"/>
  </cols>
  <sheetData>
    <row r="1" spans="1:10" ht="30.75" thickTop="1">
      <c r="A1" s="3176" t="s">
        <v>11</v>
      </c>
      <c r="B1" s="3177" t="s">
        <v>1</v>
      </c>
      <c r="C1" s="3177" t="s">
        <v>8509</v>
      </c>
      <c r="D1" s="3177" t="s">
        <v>3489</v>
      </c>
      <c r="E1" s="3177" t="s">
        <v>7</v>
      </c>
      <c r="F1" s="3177" t="s">
        <v>8</v>
      </c>
      <c r="G1" s="3177" t="s">
        <v>9</v>
      </c>
      <c r="H1" s="3178" t="s">
        <v>10</v>
      </c>
      <c r="I1" s="3178" t="s">
        <v>4112</v>
      </c>
      <c r="J1" s="3177" t="s">
        <v>8510</v>
      </c>
    </row>
    <row r="2" spans="1:10">
      <c r="A2" s="2156" t="s">
        <v>11473</v>
      </c>
      <c r="B2" s="2155" t="s">
        <v>11474</v>
      </c>
      <c r="C2" s="2462"/>
      <c r="D2" s="2462"/>
      <c r="E2" s="2156" t="s">
        <v>4523</v>
      </c>
      <c r="F2" s="2157">
        <v>689750.6</v>
      </c>
      <c r="G2" s="2157">
        <v>834598.24</v>
      </c>
      <c r="H2" s="2153">
        <v>44718</v>
      </c>
      <c r="I2" s="2153">
        <v>45448</v>
      </c>
      <c r="J2" s="3175" t="s">
        <v>17722</v>
      </c>
    </row>
    <row r="3" spans="1:10">
      <c r="A3" s="2872" t="s">
        <v>11586</v>
      </c>
      <c r="B3" s="2457" t="s">
        <v>11587</v>
      </c>
      <c r="C3" s="3175"/>
      <c r="D3" s="3175"/>
      <c r="E3" s="2872" t="s">
        <v>993</v>
      </c>
      <c r="F3" s="2961">
        <v>357306</v>
      </c>
      <c r="G3" s="2961">
        <v>432339.06</v>
      </c>
      <c r="H3" s="3174">
        <v>44719</v>
      </c>
      <c r="I3" s="3174">
        <v>45449</v>
      </c>
      <c r="J3" s="3175"/>
    </row>
    <row r="4" spans="1:10">
      <c r="A4" s="2863"/>
      <c r="B4" s="2863"/>
      <c r="C4" s="2863"/>
      <c r="D4" s="2863"/>
      <c r="E4" s="2863"/>
      <c r="F4" s="2863"/>
      <c r="G4" s="2863"/>
      <c r="H4" s="2863"/>
      <c r="I4" s="2863"/>
      <c r="J4" s="2863"/>
    </row>
    <row r="5" spans="1:10">
      <c r="A5" s="2863"/>
      <c r="B5" s="2863"/>
      <c r="C5" s="2863"/>
      <c r="D5" s="2863"/>
      <c r="E5" s="2863"/>
      <c r="F5" s="2863"/>
      <c r="G5" s="2863"/>
      <c r="H5" s="2863"/>
      <c r="I5" s="2863"/>
      <c r="J5" s="2863"/>
    </row>
    <row r="6" spans="1:10">
      <c r="A6" s="2863"/>
      <c r="B6" s="2863"/>
      <c r="C6" s="2863"/>
      <c r="D6" s="2863"/>
      <c r="E6" s="2863"/>
      <c r="F6" s="2863"/>
      <c r="G6" s="2863"/>
      <c r="H6" s="2863"/>
      <c r="I6" s="2863"/>
      <c r="J6" s="2863"/>
    </row>
    <row r="7" spans="1:10">
      <c r="A7" s="2863"/>
      <c r="B7" s="2863"/>
      <c r="C7" s="2863"/>
      <c r="D7" s="2863"/>
      <c r="E7" s="2863"/>
      <c r="F7" s="2863"/>
      <c r="G7" s="2863"/>
      <c r="H7" s="2863"/>
      <c r="I7" s="2863"/>
      <c r="J7" s="2863"/>
    </row>
    <row r="8" spans="1:10">
      <c r="A8" s="2863"/>
      <c r="B8" s="3197"/>
      <c r="C8" s="2863"/>
      <c r="D8" s="2863"/>
      <c r="E8" s="2863"/>
      <c r="F8" s="2863"/>
      <c r="G8" s="2863"/>
      <c r="H8" s="2863"/>
      <c r="I8" s="2863"/>
      <c r="J8" s="2863"/>
    </row>
    <row r="9" spans="1:10">
      <c r="A9" s="2863"/>
      <c r="B9" s="2863"/>
      <c r="C9" s="2863"/>
      <c r="D9" s="2863"/>
      <c r="E9" s="2863"/>
      <c r="F9" s="2863"/>
      <c r="G9" s="2863"/>
      <c r="H9" s="2863"/>
      <c r="I9" s="2863"/>
      <c r="J9" s="2863"/>
    </row>
    <row r="10" spans="1:10">
      <c r="A10" s="2863"/>
      <c r="B10" s="2863"/>
      <c r="C10" s="2863"/>
      <c r="D10" s="2863"/>
      <c r="E10" s="2863"/>
      <c r="F10" s="2863"/>
      <c r="G10" s="2863"/>
      <c r="H10" s="2863"/>
      <c r="I10" s="2863"/>
      <c r="J10" s="2863"/>
    </row>
    <row r="11" spans="1:10">
      <c r="A11" s="2863"/>
      <c r="B11" s="2863"/>
      <c r="C11" s="2863"/>
      <c r="D11" s="2863"/>
      <c r="E11" s="2863"/>
      <c r="F11" s="2863"/>
      <c r="G11" s="2863"/>
      <c r="H11" s="2863"/>
      <c r="I11" s="2863"/>
      <c r="J11" s="2863"/>
    </row>
    <row r="12" spans="1:10">
      <c r="A12" s="2863"/>
      <c r="B12" s="2863"/>
      <c r="C12" s="2863"/>
      <c r="D12" s="2863"/>
      <c r="E12" s="2863"/>
      <c r="F12" s="2863"/>
      <c r="G12" s="2863"/>
      <c r="H12" s="2863"/>
      <c r="I12" s="2863"/>
      <c r="J12" s="2863"/>
    </row>
    <row r="13" spans="1:10">
      <c r="A13" s="2863"/>
      <c r="B13" s="2863"/>
      <c r="C13" s="2863"/>
      <c r="D13" s="2863"/>
      <c r="E13" s="2863"/>
      <c r="F13" s="2863"/>
      <c r="G13" s="2863"/>
      <c r="H13" s="2863"/>
      <c r="I13" s="2863"/>
      <c r="J13" s="2863"/>
    </row>
    <row r="14" spans="1:10">
      <c r="A14" s="2863"/>
      <c r="B14" s="2863"/>
      <c r="C14" s="2863"/>
      <c r="D14" s="2863"/>
      <c r="E14" s="2863"/>
      <c r="F14" s="2863"/>
      <c r="G14" s="2863"/>
      <c r="H14" s="2863"/>
      <c r="I14" s="2863"/>
      <c r="J14" s="2863"/>
    </row>
    <row r="15" spans="1:10">
      <c r="A15" s="2863"/>
      <c r="B15" s="2863"/>
      <c r="C15" s="2863"/>
      <c r="D15" s="2863"/>
      <c r="E15" s="2863"/>
      <c r="F15" s="2863"/>
      <c r="G15" s="2863"/>
      <c r="H15" s="2863"/>
      <c r="I15" s="2863"/>
      <c r="J15" s="2863"/>
    </row>
    <row r="16" spans="1:10">
      <c r="A16" s="2863"/>
      <c r="B16" s="2863"/>
      <c r="C16" s="2863"/>
      <c r="D16" s="2863"/>
      <c r="E16" s="2863"/>
      <c r="F16" s="2863"/>
      <c r="G16" s="2863"/>
      <c r="H16" s="2863"/>
      <c r="I16" s="2863"/>
      <c r="J16" s="2863"/>
    </row>
    <row r="17" spans="1:10">
      <c r="A17" s="2863"/>
      <c r="B17" s="2863"/>
      <c r="C17" s="2863"/>
      <c r="D17" s="2863"/>
      <c r="E17" s="2863"/>
      <c r="F17" s="2863"/>
      <c r="G17" s="2863"/>
      <c r="H17" s="2863"/>
      <c r="I17" s="2863"/>
      <c r="J17" s="2863"/>
    </row>
    <row r="18" spans="1:10">
      <c r="A18" s="2863"/>
      <c r="B18" s="2863"/>
      <c r="C18" s="2863"/>
      <c r="D18" s="2863"/>
      <c r="E18" s="2863"/>
      <c r="F18" s="2863"/>
      <c r="G18" s="2863"/>
      <c r="H18" s="2863"/>
      <c r="I18" s="2863"/>
      <c r="J18" s="2863"/>
    </row>
    <row r="19" spans="1:10">
      <c r="A19" s="2863"/>
      <c r="B19" s="2863"/>
      <c r="C19" s="2863"/>
      <c r="D19" s="2863"/>
      <c r="E19" s="2863"/>
      <c r="F19" s="2863"/>
      <c r="G19" s="2863"/>
      <c r="H19" s="2863"/>
      <c r="I19" s="2863"/>
      <c r="J19" s="2863"/>
    </row>
    <row r="20" spans="1:10">
      <c r="A20" s="2863"/>
      <c r="B20" s="2863"/>
      <c r="C20" s="2863"/>
      <c r="D20" s="2863"/>
      <c r="E20" s="2863"/>
      <c r="F20" s="2863"/>
      <c r="G20" s="2863"/>
      <c r="H20" s="2863"/>
      <c r="I20" s="2863"/>
      <c r="J20" s="2863"/>
    </row>
    <row r="21" spans="1:10">
      <c r="A21" s="2863"/>
      <c r="B21" s="2863"/>
      <c r="C21" s="2863"/>
      <c r="D21" s="2863"/>
      <c r="E21" s="2863"/>
      <c r="F21" s="2863"/>
      <c r="G21" s="2863"/>
      <c r="H21" s="2863"/>
      <c r="I21" s="2863"/>
      <c r="J21" s="2863"/>
    </row>
    <row r="22" spans="1:10">
      <c r="A22" s="2863"/>
      <c r="B22" s="2863"/>
      <c r="C22" s="2863"/>
      <c r="D22" s="2863"/>
      <c r="E22" s="2863"/>
      <c r="F22" s="2863"/>
      <c r="G22" s="2863"/>
      <c r="H22" s="2863"/>
      <c r="I22" s="2863"/>
      <c r="J22" s="2863"/>
    </row>
    <row r="23" spans="1:10">
      <c r="A23" s="2863"/>
      <c r="B23" s="2863"/>
      <c r="C23" s="2863"/>
      <c r="D23" s="2863"/>
      <c r="E23" s="2863"/>
      <c r="F23" s="2863"/>
      <c r="G23" s="2863"/>
      <c r="H23" s="2863"/>
      <c r="I23" s="2863"/>
      <c r="J23" s="2863"/>
    </row>
    <row r="24" spans="1:10">
      <c r="A24" s="2863"/>
      <c r="B24" s="2863"/>
      <c r="C24" s="2863"/>
      <c r="D24" s="2863"/>
      <c r="E24" s="2863"/>
      <c r="F24" s="2863"/>
      <c r="G24" s="2863"/>
      <c r="H24" s="2863"/>
      <c r="I24" s="2863"/>
      <c r="J24" s="2863"/>
    </row>
    <row r="25" spans="1:10">
      <c r="A25" s="2863"/>
      <c r="B25" s="2863"/>
      <c r="C25" s="2863"/>
      <c r="D25" s="2863"/>
      <c r="E25" s="2863"/>
      <c r="F25" s="2863"/>
      <c r="G25" s="2863"/>
      <c r="H25" s="2863"/>
      <c r="I25" s="2863"/>
      <c r="J25" s="2863"/>
    </row>
    <row r="26" spans="1:10">
      <c r="A26" s="2863"/>
      <c r="B26" s="2863"/>
      <c r="C26" s="2863"/>
      <c r="D26" s="2863"/>
      <c r="E26" s="2863"/>
      <c r="F26" s="2863"/>
      <c r="G26" s="2863"/>
      <c r="H26" s="2863"/>
      <c r="I26" s="2863"/>
      <c r="J26" s="2863"/>
    </row>
    <row r="27" spans="1:10">
      <c r="A27" s="2863"/>
      <c r="B27" s="2863"/>
      <c r="C27" s="2863"/>
      <c r="D27" s="2863"/>
      <c r="E27" s="2863"/>
      <c r="F27" s="2863"/>
      <c r="G27" s="2863"/>
      <c r="H27" s="2863"/>
      <c r="I27" s="2863"/>
      <c r="J27" s="2863"/>
    </row>
    <row r="28" spans="1:10">
      <c r="A28" s="2863"/>
      <c r="B28" s="2863"/>
      <c r="C28" s="2863"/>
      <c r="D28" s="2863"/>
      <c r="E28" s="2863"/>
      <c r="F28" s="2863"/>
      <c r="G28" s="2863"/>
      <c r="H28" s="2863"/>
      <c r="I28" s="2863"/>
      <c r="J28" s="2863"/>
    </row>
    <row r="29" spans="1:10">
      <c r="A29" s="2863"/>
      <c r="B29" s="2863"/>
      <c r="C29" s="2863"/>
      <c r="D29" s="2863"/>
      <c r="E29" s="2863"/>
      <c r="F29" s="2863"/>
      <c r="G29" s="2863"/>
      <c r="H29" s="2863"/>
      <c r="I29" s="2863"/>
      <c r="J29" s="2863"/>
    </row>
    <row r="30" spans="1:10">
      <c r="A30" s="2863"/>
      <c r="B30" s="2863"/>
      <c r="C30" s="2863"/>
      <c r="D30" s="2863"/>
      <c r="E30" s="2863"/>
      <c r="F30" s="2863"/>
      <c r="G30" s="2863"/>
      <c r="H30" s="2863"/>
      <c r="I30" s="2863"/>
      <c r="J30" s="2863"/>
    </row>
    <row r="31" spans="1:10">
      <c r="A31" s="2863"/>
      <c r="B31" s="2863"/>
      <c r="C31" s="2863"/>
      <c r="D31" s="2863"/>
      <c r="E31" s="2863"/>
      <c r="F31" s="2863"/>
      <c r="G31" s="2863"/>
      <c r="H31" s="2863"/>
      <c r="I31" s="2863"/>
      <c r="J31" s="2863"/>
    </row>
    <row r="32" spans="1:10">
      <c r="A32" s="2863"/>
      <c r="B32" s="2863"/>
      <c r="C32" s="2863"/>
      <c r="D32" s="2863"/>
      <c r="E32" s="2863"/>
      <c r="F32" s="2863"/>
      <c r="G32" s="2863"/>
      <c r="H32" s="2863"/>
      <c r="I32" s="2863"/>
      <c r="J32" s="2863"/>
    </row>
    <row r="33" spans="1:10">
      <c r="A33" s="2863"/>
      <c r="B33" s="2863"/>
      <c r="C33" s="2863"/>
      <c r="D33" s="2863"/>
      <c r="E33" s="2863"/>
      <c r="F33" s="2863"/>
      <c r="G33" s="2863"/>
      <c r="H33" s="2863"/>
      <c r="I33" s="2863"/>
      <c r="J33" s="2863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ED0ED-424A-4F49-8694-7F13D044F2C6}">
  <dimension ref="A1:P87"/>
  <sheetViews>
    <sheetView workbookViewId="0">
      <selection activeCell="C19" sqref="C19"/>
    </sheetView>
  </sheetViews>
  <sheetFormatPr defaultRowHeight="15"/>
  <cols>
    <col min="1" max="1" width="19" bestFit="1" customWidth="1"/>
    <col min="2" max="2" width="41.28515625" style="2864" bestFit="1" customWidth="1"/>
    <col min="3" max="3" width="28.28515625" style="2864" bestFit="1" customWidth="1"/>
  </cols>
  <sheetData>
    <row r="1" spans="1:3">
      <c r="A1" s="2861" t="s">
        <v>10</v>
      </c>
      <c r="B1" s="2864" t="s">
        <v>745</v>
      </c>
    </row>
    <row r="3" spans="1:3">
      <c r="A3" s="2861" t="s">
        <v>739</v>
      </c>
      <c r="B3" s="2864" t="s">
        <v>741</v>
      </c>
      <c r="C3" s="2864" t="s">
        <v>743</v>
      </c>
    </row>
    <row r="4" spans="1:3">
      <c r="A4" s="2862" t="s">
        <v>251</v>
      </c>
      <c r="B4" s="2864">
        <v>6641234604.6600008</v>
      </c>
      <c r="C4" s="2864">
        <v>6208869101.1199989</v>
      </c>
    </row>
    <row r="5" spans="1:3">
      <c r="A5" s="2862" t="s">
        <v>112</v>
      </c>
      <c r="B5" s="2864">
        <v>110779946.53999999</v>
      </c>
      <c r="C5" s="2864">
        <v>101726500.88999999</v>
      </c>
    </row>
    <row r="6" spans="1:3">
      <c r="A6" s="2862" t="s">
        <v>216</v>
      </c>
      <c r="B6" s="2864">
        <v>77667235.900000006</v>
      </c>
      <c r="C6" s="2864">
        <v>70931618.730000004</v>
      </c>
    </row>
    <row r="7" spans="1:3">
      <c r="A7" s="2862" t="s">
        <v>235</v>
      </c>
      <c r="B7" s="2864">
        <v>85567864.340000004</v>
      </c>
      <c r="C7" s="2864">
        <v>78042037.390000001</v>
      </c>
    </row>
    <row r="8" spans="1:3">
      <c r="A8" s="2862" t="s">
        <v>645</v>
      </c>
      <c r="B8" s="2864">
        <v>230888939</v>
      </c>
      <c r="C8" s="2864">
        <v>206150838.15000001</v>
      </c>
    </row>
    <row r="9" spans="1:3">
      <c r="A9" s="2862" t="s">
        <v>740</v>
      </c>
      <c r="B9" s="2864">
        <v>7146138590.4400005</v>
      </c>
      <c r="C9" s="2864">
        <v>6665720096.2799988</v>
      </c>
    </row>
    <row r="10" spans="1:3">
      <c r="B10"/>
      <c r="C10"/>
    </row>
    <row r="11" spans="1:3">
      <c r="B11"/>
      <c r="C11"/>
    </row>
    <row r="12" spans="1:3">
      <c r="B12"/>
      <c r="C12"/>
    </row>
    <row r="13" spans="1:3">
      <c r="B13"/>
      <c r="C13"/>
    </row>
    <row r="14" spans="1:3">
      <c r="B14"/>
      <c r="C14"/>
    </row>
    <row r="15" spans="1:3">
      <c r="B15"/>
      <c r="C15"/>
    </row>
    <row r="16" spans="1:3">
      <c r="B16"/>
      <c r="C16"/>
    </row>
    <row r="17" spans="2:3">
      <c r="B17"/>
      <c r="C17"/>
    </row>
    <row r="18" spans="2:3">
      <c r="B18"/>
      <c r="C18"/>
    </row>
    <row r="19" spans="2:3">
      <c r="B19"/>
      <c r="C19"/>
    </row>
    <row r="20" spans="2:3">
      <c r="B20"/>
      <c r="C20"/>
    </row>
    <row r="21" spans="2:3">
      <c r="B21"/>
      <c r="C21"/>
    </row>
    <row r="22" spans="2:3">
      <c r="B22"/>
      <c r="C22"/>
    </row>
    <row r="23" spans="2:3">
      <c r="B23"/>
      <c r="C23"/>
    </row>
    <row r="24" spans="2:3">
      <c r="B24"/>
      <c r="C24"/>
    </row>
    <row r="25" spans="2:3">
      <c r="B25"/>
      <c r="C25"/>
    </row>
    <row r="26" spans="2:3">
      <c r="B26"/>
      <c r="C26"/>
    </row>
    <row r="27" spans="2:3">
      <c r="B27"/>
      <c r="C27"/>
    </row>
    <row r="28" spans="2:3">
      <c r="B28"/>
      <c r="C28"/>
    </row>
    <row r="29" spans="2:3">
      <c r="B29"/>
      <c r="C29"/>
    </row>
    <row r="30" spans="2:3">
      <c r="B30"/>
      <c r="C30"/>
    </row>
    <row r="31" spans="2:3">
      <c r="B31"/>
      <c r="C31"/>
    </row>
    <row r="32" spans="2:3">
      <c r="B32"/>
      <c r="C32"/>
    </row>
    <row r="33" spans="2:16">
      <c r="B33"/>
      <c r="C33"/>
    </row>
    <row r="34" spans="2:16">
      <c r="B34"/>
      <c r="C34"/>
    </row>
    <row r="35" spans="2:16">
      <c r="B35"/>
      <c r="C35"/>
    </row>
    <row r="36" spans="2:16">
      <c r="B36"/>
      <c r="C36"/>
      <c r="N36" s="3005"/>
      <c r="O36" s="3006"/>
      <c r="P36" s="3007"/>
    </row>
    <row r="37" spans="2:16">
      <c r="B37"/>
      <c r="C37"/>
      <c r="N37" s="3008"/>
      <c r="O37" s="3009"/>
      <c r="P37" s="3010"/>
    </row>
    <row r="38" spans="2:16">
      <c r="B38"/>
      <c r="C38"/>
      <c r="N38" s="3008"/>
      <c r="O38" s="3009"/>
      <c r="P38" s="3010"/>
    </row>
    <row r="39" spans="2:16">
      <c r="B39"/>
      <c r="C39"/>
      <c r="N39" s="3008"/>
      <c r="O39" s="3009"/>
      <c r="P39" s="3010"/>
    </row>
    <row r="40" spans="2:16">
      <c r="B40"/>
      <c r="C40"/>
      <c r="N40" s="3008"/>
      <c r="O40" s="3009"/>
      <c r="P40" s="3010"/>
    </row>
    <row r="41" spans="2:16">
      <c r="B41"/>
      <c r="C41"/>
      <c r="N41" s="3008"/>
      <c r="O41" s="3009"/>
      <c r="P41" s="3010"/>
    </row>
    <row r="42" spans="2:16">
      <c r="B42"/>
      <c r="C42"/>
      <c r="N42" s="3008"/>
      <c r="O42" s="3009"/>
      <c r="P42" s="3010"/>
    </row>
    <row r="43" spans="2:16">
      <c r="B43"/>
      <c r="C43"/>
      <c r="N43" s="3008"/>
      <c r="O43" s="3009"/>
      <c r="P43" s="3010"/>
    </row>
    <row r="44" spans="2:16">
      <c r="B44"/>
      <c r="C44"/>
      <c r="N44" s="3008"/>
      <c r="O44" s="3009"/>
      <c r="P44" s="3010"/>
    </row>
    <row r="45" spans="2:16">
      <c r="B45"/>
      <c r="C45"/>
      <c r="N45" s="3008"/>
      <c r="O45" s="3009"/>
      <c r="P45" s="3010"/>
    </row>
    <row r="46" spans="2:16">
      <c r="B46"/>
      <c r="C46"/>
      <c r="N46" s="3008"/>
      <c r="O46" s="3009"/>
      <c r="P46" s="3010"/>
    </row>
    <row r="47" spans="2:16">
      <c r="B47"/>
      <c r="C47"/>
      <c r="N47" s="3008"/>
      <c r="O47" s="3009"/>
      <c r="P47" s="3010"/>
    </row>
    <row r="48" spans="2:16">
      <c r="B48"/>
      <c r="C48"/>
      <c r="N48" s="3008"/>
      <c r="O48" s="3009"/>
      <c r="P48" s="3010"/>
    </row>
    <row r="49" spans="2:16">
      <c r="B49"/>
      <c r="C49"/>
      <c r="N49" s="3008"/>
      <c r="O49" s="3009"/>
      <c r="P49" s="3010"/>
    </row>
    <row r="50" spans="2:16">
      <c r="B50"/>
      <c r="C50"/>
      <c r="N50" s="3008"/>
      <c r="O50" s="3009"/>
      <c r="P50" s="3010"/>
    </row>
    <row r="51" spans="2:16">
      <c r="B51"/>
      <c r="C51"/>
      <c r="N51" s="3008"/>
      <c r="O51" s="3009"/>
      <c r="P51" s="3010"/>
    </row>
    <row r="52" spans="2:16">
      <c r="B52"/>
      <c r="C52"/>
      <c r="N52" s="3008"/>
      <c r="O52" s="3009"/>
      <c r="P52" s="3010"/>
    </row>
    <row r="53" spans="2:16">
      <c r="B53"/>
      <c r="C53"/>
      <c r="N53" s="3011"/>
      <c r="O53" s="3012"/>
      <c r="P53" s="3013"/>
    </row>
    <row r="54" spans="2:16">
      <c r="B54"/>
      <c r="C54"/>
    </row>
    <row r="55" spans="2:16">
      <c r="B55"/>
      <c r="C55"/>
    </row>
    <row r="56" spans="2:16">
      <c r="B56"/>
      <c r="C56"/>
    </row>
    <row r="57" spans="2:16">
      <c r="B57"/>
      <c r="C57"/>
    </row>
    <row r="58" spans="2:16">
      <c r="B58"/>
      <c r="C58"/>
    </row>
    <row r="59" spans="2:16">
      <c r="B59"/>
      <c r="C59"/>
    </row>
    <row r="60" spans="2:16">
      <c r="B60"/>
      <c r="C60"/>
    </row>
    <row r="61" spans="2:16">
      <c r="B61"/>
      <c r="C61"/>
    </row>
    <row r="62" spans="2:16">
      <c r="B62"/>
      <c r="C62"/>
    </row>
    <row r="63" spans="2:16">
      <c r="B63"/>
      <c r="C63"/>
    </row>
    <row r="64" spans="2:16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</sheetData>
  <pageMargins left="0.7" right="0.7" top="0.78740157499999996" bottom="0.78740157499999996" header="0.3" footer="0.3"/>
  <pageSetup paperSize="9" orientation="portrait" verticalDpi="0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0D5E2-0775-4081-968C-A50CE5128C5C}">
  <dimension ref="A1:D34"/>
  <sheetViews>
    <sheetView workbookViewId="0">
      <selection activeCell="D19" sqref="D19"/>
    </sheetView>
  </sheetViews>
  <sheetFormatPr defaultRowHeight="15"/>
  <cols>
    <col min="1" max="1" width="19" bestFit="1" customWidth="1"/>
    <col min="2" max="2" width="40.28515625" style="2196" bestFit="1" customWidth="1"/>
    <col min="3" max="3" width="10.7109375" style="2196" bestFit="1" customWidth="1"/>
    <col min="4" max="4" width="19.140625" style="2988" bestFit="1" customWidth="1"/>
  </cols>
  <sheetData>
    <row r="1" spans="1:4">
      <c r="B1"/>
    </row>
    <row r="2" spans="1:4">
      <c r="A2" s="2861" t="s">
        <v>10</v>
      </c>
      <c r="B2" s="2196" t="s">
        <v>2502</v>
      </c>
    </row>
    <row r="3" spans="1:4" ht="45.75" customHeight="1">
      <c r="B3"/>
      <c r="C3"/>
      <c r="D3"/>
    </row>
    <row r="4" spans="1:4" ht="45">
      <c r="A4" s="2861" t="s">
        <v>739</v>
      </c>
      <c r="B4" s="500" t="s">
        <v>1191</v>
      </c>
      <c r="C4" s="500" t="s">
        <v>744</v>
      </c>
      <c r="D4" s="2989" t="s">
        <v>741</v>
      </c>
    </row>
    <row r="5" spans="1:4">
      <c r="A5" s="2862" t="s">
        <v>251</v>
      </c>
      <c r="B5" s="2987">
        <v>358</v>
      </c>
      <c r="C5" s="2987">
        <v>148</v>
      </c>
      <c r="D5" s="2988">
        <v>10345668487.410002</v>
      </c>
    </row>
    <row r="6" spans="1:4">
      <c r="A6" s="2862" t="s">
        <v>9690</v>
      </c>
      <c r="B6" s="2987">
        <v>1</v>
      </c>
      <c r="C6" s="2987"/>
      <c r="D6" s="2988">
        <v>5800000</v>
      </c>
    </row>
    <row r="7" spans="1:4">
      <c r="A7" s="2862" t="s">
        <v>112</v>
      </c>
      <c r="B7" s="2987">
        <v>207</v>
      </c>
      <c r="C7" s="2987">
        <v>128</v>
      </c>
      <c r="D7" s="2988">
        <v>165179771.54000002</v>
      </c>
    </row>
    <row r="8" spans="1:4">
      <c r="A8" s="2862" t="s">
        <v>216</v>
      </c>
      <c r="B8" s="2987">
        <v>35</v>
      </c>
      <c r="C8" s="2987">
        <v>23</v>
      </c>
      <c r="D8" s="2988">
        <v>206853231.90000001</v>
      </c>
    </row>
    <row r="9" spans="1:4">
      <c r="A9" s="2862" t="s">
        <v>16391</v>
      </c>
      <c r="B9" s="2987">
        <v>5</v>
      </c>
      <c r="C9" s="2987"/>
      <c r="D9" s="2988">
        <v>1350000000</v>
      </c>
    </row>
    <row r="10" spans="1:4">
      <c r="A10" s="2862" t="s">
        <v>235</v>
      </c>
      <c r="B10" s="2987">
        <v>36</v>
      </c>
      <c r="C10" s="2987">
        <v>15</v>
      </c>
      <c r="D10" s="2988">
        <v>215491767.26999998</v>
      </c>
    </row>
    <row r="11" spans="1:4">
      <c r="A11" s="2862" t="s">
        <v>645</v>
      </c>
      <c r="B11" s="2987">
        <v>1</v>
      </c>
      <c r="C11" s="2987">
        <v>1</v>
      </c>
      <c r="D11" s="2988">
        <v>230888939</v>
      </c>
    </row>
    <row r="12" spans="1:4">
      <c r="A12" s="2862" t="s">
        <v>740</v>
      </c>
      <c r="B12" s="2987">
        <v>643</v>
      </c>
      <c r="C12" s="2987">
        <v>315</v>
      </c>
      <c r="D12" s="2988">
        <v>12519882197.119999</v>
      </c>
    </row>
    <row r="13" spans="1:4">
      <c r="B13"/>
      <c r="C13"/>
      <c r="D13"/>
    </row>
    <row r="14" spans="1:4">
      <c r="B14"/>
      <c r="C14"/>
      <c r="D14"/>
    </row>
    <row r="15" spans="1:4">
      <c r="A15" s="2861" t="s">
        <v>3684</v>
      </c>
      <c r="B15" s="2860" t="s">
        <v>745</v>
      </c>
    </row>
    <row r="17" spans="1:3">
      <c r="A17" s="2861" t="s">
        <v>739</v>
      </c>
      <c r="B17" t="s">
        <v>1191</v>
      </c>
      <c r="C17"/>
    </row>
    <row r="18" spans="1:3">
      <c r="A18" s="2862" t="s">
        <v>251</v>
      </c>
      <c r="B18" s="805">
        <v>257</v>
      </c>
      <c r="C18"/>
    </row>
    <row r="19" spans="1:3">
      <c r="A19" s="2862" t="s">
        <v>9690</v>
      </c>
      <c r="B19" s="805">
        <v>1</v>
      </c>
      <c r="C19"/>
    </row>
    <row r="20" spans="1:3">
      <c r="A20" s="2862" t="s">
        <v>112</v>
      </c>
      <c r="B20" s="805">
        <v>179</v>
      </c>
      <c r="C20"/>
    </row>
    <row r="21" spans="1:3">
      <c r="A21" s="2862" t="s">
        <v>216</v>
      </c>
      <c r="B21" s="805">
        <v>29</v>
      </c>
      <c r="C21"/>
    </row>
    <row r="22" spans="1:3">
      <c r="A22" s="2862" t="s">
        <v>16391</v>
      </c>
      <c r="B22" s="805">
        <v>5</v>
      </c>
      <c r="C22"/>
    </row>
    <row r="23" spans="1:3">
      <c r="A23" s="2862" t="s">
        <v>235</v>
      </c>
      <c r="B23" s="805">
        <v>28</v>
      </c>
      <c r="C23"/>
    </row>
    <row r="24" spans="1:3">
      <c r="A24" s="2862" t="s">
        <v>645</v>
      </c>
      <c r="B24" s="805">
        <v>1</v>
      </c>
      <c r="C24"/>
    </row>
    <row r="25" spans="1:3">
      <c r="A25" s="2862" t="s">
        <v>740</v>
      </c>
      <c r="B25" s="805">
        <v>500</v>
      </c>
      <c r="C25"/>
    </row>
    <row r="26" spans="1:3">
      <c r="B26"/>
      <c r="C26"/>
    </row>
    <row r="27" spans="1:3">
      <c r="B27"/>
      <c r="C27"/>
    </row>
    <row r="28" spans="1:3">
      <c r="B28"/>
      <c r="C28"/>
    </row>
    <row r="29" spans="1:3">
      <c r="B29"/>
      <c r="C29"/>
    </row>
    <row r="30" spans="1:3">
      <c r="B30"/>
      <c r="C30"/>
    </row>
    <row r="31" spans="1:3">
      <c r="B31"/>
      <c r="C31"/>
    </row>
    <row r="32" spans="1:3">
      <c r="B32"/>
      <c r="C32"/>
    </row>
    <row r="33" spans="2:3">
      <c r="B33"/>
      <c r="C33"/>
    </row>
    <row r="34" spans="2:3">
      <c r="B34"/>
      <c r="C34"/>
    </row>
  </sheetData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J481"/>
  <sheetViews>
    <sheetView zoomScale="90" zoomScaleNormal="90" workbookViewId="0">
      <pane ySplit="1" topLeftCell="A399" activePane="bottomLeft" state="frozen"/>
      <selection pane="bottomLeft" activeCell="H471" sqref="H471"/>
    </sheetView>
  </sheetViews>
  <sheetFormatPr defaultRowHeight="15"/>
  <cols>
    <col min="1" max="1" width="16.85546875" style="372" customWidth="1"/>
    <col min="2" max="2" width="42.7109375" style="2196" customWidth="1"/>
    <col min="3" max="3" width="7.5703125" style="2199" customWidth="1"/>
    <col min="4" max="4" width="32.42578125" style="2196" customWidth="1"/>
    <col min="5" max="5" width="36.85546875" style="2196" customWidth="1"/>
    <col min="6" max="6" width="23.140625" style="2056" customWidth="1"/>
    <col min="7" max="7" width="23" style="2056" customWidth="1"/>
    <col min="8" max="8" width="15.42578125" style="802" customWidth="1"/>
    <col min="9" max="9" width="15.28515625" style="802" customWidth="1"/>
    <col min="10" max="10" width="24" style="1944" customWidth="1"/>
  </cols>
  <sheetData>
    <row r="1" spans="1:10" ht="30.75" thickBot="1">
      <c r="A1" s="2202" t="s">
        <v>11</v>
      </c>
      <c r="B1" s="2184" t="s">
        <v>1</v>
      </c>
      <c r="C1" s="2184" t="s">
        <v>3684</v>
      </c>
      <c r="D1" s="2184" t="s">
        <v>8555</v>
      </c>
      <c r="E1" s="2184" t="s">
        <v>7</v>
      </c>
      <c r="F1" s="2186" t="s">
        <v>8</v>
      </c>
      <c r="G1" s="2186" t="s">
        <v>9</v>
      </c>
      <c r="H1" s="2184" t="s">
        <v>10</v>
      </c>
      <c r="I1" s="2184" t="s">
        <v>4112</v>
      </c>
      <c r="J1" s="2185" t="s">
        <v>8651</v>
      </c>
    </row>
    <row r="2" spans="1:10" ht="30">
      <c r="A2" s="2203" t="s">
        <v>2488</v>
      </c>
      <c r="B2" s="2182" t="s">
        <v>2467</v>
      </c>
      <c r="C2" s="2197"/>
      <c r="D2" s="2182"/>
      <c r="E2" s="2200" t="s">
        <v>2533</v>
      </c>
      <c r="F2" s="2187">
        <v>14135582.060000001</v>
      </c>
      <c r="G2" s="2187">
        <v>15549140.266000003</v>
      </c>
      <c r="H2" s="2183">
        <v>43206</v>
      </c>
      <c r="I2" s="2183">
        <v>43281</v>
      </c>
      <c r="J2" s="2243"/>
    </row>
    <row r="3" spans="1:10" ht="30">
      <c r="A3" s="2204" t="s">
        <v>2903</v>
      </c>
      <c r="B3" s="2174" t="s">
        <v>2942</v>
      </c>
      <c r="C3" s="2192"/>
      <c r="D3" s="2174"/>
      <c r="E3" s="2176" t="s">
        <v>1402</v>
      </c>
      <c r="F3" s="2188">
        <v>779932.8</v>
      </c>
      <c r="G3" s="2188">
        <v>857926.08</v>
      </c>
      <c r="H3" s="2175">
        <v>43362</v>
      </c>
      <c r="I3" s="2175">
        <v>43585</v>
      </c>
      <c r="J3" s="2244"/>
    </row>
    <row r="4" spans="1:10">
      <c r="A4" s="2204" t="s">
        <v>4329</v>
      </c>
      <c r="B4" s="2174" t="s">
        <v>4330</v>
      </c>
      <c r="C4" s="2192">
        <v>1</v>
      </c>
      <c r="D4" s="2176" t="s">
        <v>4331</v>
      </c>
      <c r="E4" s="2176" t="s">
        <v>1564</v>
      </c>
      <c r="F4" s="2188">
        <v>548680</v>
      </c>
      <c r="G4" s="2188">
        <v>603548</v>
      </c>
      <c r="H4" s="2175">
        <v>43712</v>
      </c>
      <c r="I4" s="2175">
        <v>43711</v>
      </c>
      <c r="J4" s="2244"/>
    </row>
    <row r="5" spans="1:10" ht="45">
      <c r="A5" s="2204" t="s">
        <v>3232</v>
      </c>
      <c r="B5" s="2174" t="s">
        <v>3233</v>
      </c>
      <c r="C5" s="2192"/>
      <c r="D5" s="2174"/>
      <c r="E5" s="2176" t="s">
        <v>578</v>
      </c>
      <c r="F5" s="2188">
        <v>851840.86</v>
      </c>
      <c r="G5" s="2188">
        <v>937024.94600000011</v>
      </c>
      <c r="H5" s="2175">
        <v>43413</v>
      </c>
      <c r="I5" s="2175">
        <v>43777</v>
      </c>
      <c r="J5" s="2244"/>
    </row>
    <row r="6" spans="1:10">
      <c r="A6" s="2204" t="s">
        <v>3232</v>
      </c>
      <c r="B6" s="2174" t="s">
        <v>3235</v>
      </c>
      <c r="C6" s="2192"/>
      <c r="D6" s="2174"/>
      <c r="E6" s="2176" t="s">
        <v>2097</v>
      </c>
      <c r="F6" s="2188">
        <v>2200939.02</v>
      </c>
      <c r="G6" s="2188">
        <v>2421032.9220000003</v>
      </c>
      <c r="H6" s="2175">
        <v>43413</v>
      </c>
      <c r="I6" s="2175">
        <v>43777</v>
      </c>
      <c r="J6" s="2244"/>
    </row>
    <row r="7" spans="1:10" ht="30">
      <c r="A7" s="2204" t="s">
        <v>2063</v>
      </c>
      <c r="B7" s="2174" t="s">
        <v>2226</v>
      </c>
      <c r="C7" s="2192"/>
      <c r="D7" s="2174"/>
      <c r="E7" s="2176" t="s">
        <v>1564</v>
      </c>
      <c r="F7" s="2188">
        <v>1087227.6000000001</v>
      </c>
      <c r="G7" s="2188">
        <v>1195950.3600000001</v>
      </c>
      <c r="H7" s="2175">
        <v>43104</v>
      </c>
      <c r="I7" s="2175">
        <v>43833</v>
      </c>
      <c r="J7" s="2244"/>
    </row>
    <row r="8" spans="1:10" ht="30">
      <c r="A8" s="2204" t="s">
        <v>2063</v>
      </c>
      <c r="B8" s="2174" t="s">
        <v>2234</v>
      </c>
      <c r="C8" s="2192"/>
      <c r="D8" s="2174"/>
      <c r="E8" s="2176" t="s">
        <v>1402</v>
      </c>
      <c r="F8" s="2188">
        <v>378320.36</v>
      </c>
      <c r="G8" s="2188">
        <v>416152.39600000001</v>
      </c>
      <c r="H8" s="2175">
        <v>43104</v>
      </c>
      <c r="I8" s="2175">
        <v>43833</v>
      </c>
      <c r="J8" s="2244"/>
    </row>
    <row r="9" spans="1:10" ht="30">
      <c r="A9" s="2204" t="s">
        <v>3185</v>
      </c>
      <c r="B9" s="2174" t="s">
        <v>3186</v>
      </c>
      <c r="C9" s="2192">
        <v>1</v>
      </c>
      <c r="D9" s="2176" t="s">
        <v>3731</v>
      </c>
      <c r="E9" s="2176" t="s">
        <v>1646</v>
      </c>
      <c r="F9" s="2188">
        <v>1833158.71</v>
      </c>
      <c r="G9" s="2188">
        <v>2016474.58</v>
      </c>
      <c r="H9" s="2175">
        <v>43479</v>
      </c>
      <c r="I9" s="2175">
        <v>43843</v>
      </c>
      <c r="J9" s="2244"/>
    </row>
    <row r="10" spans="1:10" ht="30">
      <c r="A10" s="2204" t="s">
        <v>2295</v>
      </c>
      <c r="B10" s="2174" t="s">
        <v>2300</v>
      </c>
      <c r="C10" s="2192"/>
      <c r="D10" s="2174"/>
      <c r="E10" s="2176" t="s">
        <v>2548</v>
      </c>
      <c r="F10" s="2188">
        <v>27821554.02</v>
      </c>
      <c r="G10" s="2188">
        <v>30603709.422000002</v>
      </c>
      <c r="H10" s="2175">
        <v>43116</v>
      </c>
      <c r="I10" s="2175">
        <v>43845</v>
      </c>
      <c r="J10" s="2244"/>
    </row>
    <row r="11" spans="1:10" ht="30">
      <c r="A11" s="2204" t="s">
        <v>2295</v>
      </c>
      <c r="B11" s="2174" t="s">
        <v>2299</v>
      </c>
      <c r="C11" s="2192"/>
      <c r="D11" s="2174"/>
      <c r="E11" s="2176" t="s">
        <v>2548</v>
      </c>
      <c r="F11" s="2188">
        <v>146844</v>
      </c>
      <c r="G11" s="2188">
        <v>161528.40000000002</v>
      </c>
      <c r="H11" s="2175">
        <v>43116</v>
      </c>
      <c r="I11" s="2175">
        <v>43845</v>
      </c>
      <c r="J11" s="2244"/>
    </row>
    <row r="12" spans="1:10" ht="30">
      <c r="A12" s="2204" t="s">
        <v>2295</v>
      </c>
      <c r="B12" s="2174" t="s">
        <v>2298</v>
      </c>
      <c r="C12" s="2192"/>
      <c r="D12" s="2174"/>
      <c r="E12" s="2176" t="s">
        <v>576</v>
      </c>
      <c r="F12" s="2188">
        <v>298302</v>
      </c>
      <c r="G12" s="2188">
        <v>328132.2</v>
      </c>
      <c r="H12" s="2175">
        <v>43116</v>
      </c>
      <c r="I12" s="2175">
        <v>43845</v>
      </c>
      <c r="J12" s="2244"/>
    </row>
    <row r="13" spans="1:10" ht="30">
      <c r="A13" s="2204" t="s">
        <v>2295</v>
      </c>
      <c r="B13" s="2174" t="s">
        <v>2297</v>
      </c>
      <c r="C13" s="2192"/>
      <c r="D13" s="2174"/>
      <c r="E13" s="2176" t="s">
        <v>2548</v>
      </c>
      <c r="F13" s="2188">
        <v>157830</v>
      </c>
      <c r="G13" s="2188">
        <v>173613</v>
      </c>
      <c r="H13" s="2175">
        <v>43116</v>
      </c>
      <c r="I13" s="2175">
        <v>43845</v>
      </c>
      <c r="J13" s="2244"/>
    </row>
    <row r="14" spans="1:10">
      <c r="A14" s="2204" t="s">
        <v>2254</v>
      </c>
      <c r="B14" s="2174" t="s">
        <v>2256</v>
      </c>
      <c r="C14" s="2192"/>
      <c r="D14" s="2174"/>
      <c r="E14" s="2176" t="s">
        <v>2548</v>
      </c>
      <c r="F14" s="2188">
        <v>3910198.44</v>
      </c>
      <c r="G14" s="2188">
        <v>4301218.28</v>
      </c>
      <c r="H14" s="2175">
        <v>43144</v>
      </c>
      <c r="I14" s="2175">
        <v>43873</v>
      </c>
      <c r="J14" s="2244"/>
    </row>
    <row r="15" spans="1:10">
      <c r="A15" s="2204" t="s">
        <v>2254</v>
      </c>
      <c r="B15" s="2174" t="s">
        <v>2258</v>
      </c>
      <c r="C15" s="2192"/>
      <c r="D15" s="2174"/>
      <c r="E15" s="2176" t="s">
        <v>2402</v>
      </c>
      <c r="F15" s="2188">
        <v>744167.52</v>
      </c>
      <c r="G15" s="2188">
        <v>818584.27</v>
      </c>
      <c r="H15" s="2175">
        <v>43144</v>
      </c>
      <c r="I15" s="2175">
        <v>43873</v>
      </c>
      <c r="J15" s="2244"/>
    </row>
    <row r="16" spans="1:10">
      <c r="A16" s="2204" t="s">
        <v>2337</v>
      </c>
      <c r="B16" s="2174" t="s">
        <v>2338</v>
      </c>
      <c r="C16" s="2192"/>
      <c r="D16" s="2174"/>
      <c r="E16" s="2176" t="s">
        <v>2548</v>
      </c>
      <c r="F16" s="2188">
        <v>2281312.7999999998</v>
      </c>
      <c r="G16" s="2188">
        <v>2509444.08</v>
      </c>
      <c r="H16" s="2175">
        <v>43144</v>
      </c>
      <c r="I16" s="2175">
        <v>43873</v>
      </c>
      <c r="J16" s="2244"/>
    </row>
    <row r="17" spans="1:10">
      <c r="A17" s="2204" t="s">
        <v>2337</v>
      </c>
      <c r="B17" s="2174" t="s">
        <v>2339</v>
      </c>
      <c r="C17" s="2192"/>
      <c r="D17" s="2174"/>
      <c r="E17" s="2176" t="s">
        <v>2548</v>
      </c>
      <c r="F17" s="2188">
        <v>7766640</v>
      </c>
      <c r="G17" s="2188">
        <v>8543304</v>
      </c>
      <c r="H17" s="2175">
        <v>43144</v>
      </c>
      <c r="I17" s="2175">
        <v>43873</v>
      </c>
      <c r="J17" s="2244"/>
    </row>
    <row r="18" spans="1:10" ht="30">
      <c r="A18" s="2204" t="s">
        <v>2337</v>
      </c>
      <c r="B18" s="2174" t="s">
        <v>2340</v>
      </c>
      <c r="C18" s="2192"/>
      <c r="D18" s="2174"/>
      <c r="E18" s="2176" t="s">
        <v>576</v>
      </c>
      <c r="F18" s="2188">
        <v>5014850.16</v>
      </c>
      <c r="G18" s="2188">
        <v>5516335.1760000009</v>
      </c>
      <c r="H18" s="2175">
        <v>43144</v>
      </c>
      <c r="I18" s="2175">
        <v>43873</v>
      </c>
      <c r="J18" s="2244"/>
    </row>
    <row r="19" spans="1:10" ht="30">
      <c r="A19" s="2204" t="s">
        <v>2381</v>
      </c>
      <c r="B19" s="2174" t="s">
        <v>2511</v>
      </c>
      <c r="C19" s="2192"/>
      <c r="D19" s="2174"/>
      <c r="E19" s="2176" t="s">
        <v>576</v>
      </c>
      <c r="F19" s="2188">
        <v>39474370</v>
      </c>
      <c r="G19" s="2188">
        <v>43421807</v>
      </c>
      <c r="H19" s="2175">
        <v>43144</v>
      </c>
      <c r="I19" s="2175">
        <v>43873</v>
      </c>
      <c r="J19" s="2244"/>
    </row>
    <row r="20" spans="1:10" ht="30">
      <c r="A20" s="2204" t="s">
        <v>2381</v>
      </c>
      <c r="B20" s="2174" t="s">
        <v>2512</v>
      </c>
      <c r="C20" s="2192"/>
      <c r="D20" s="2174"/>
      <c r="E20" s="2176" t="s">
        <v>2548</v>
      </c>
      <c r="F20" s="2188">
        <v>11502108.060000001</v>
      </c>
      <c r="G20" s="2188">
        <v>12652318.866000002</v>
      </c>
      <c r="H20" s="2175">
        <v>43144</v>
      </c>
      <c r="I20" s="2175">
        <v>43873</v>
      </c>
      <c r="J20" s="2244"/>
    </row>
    <row r="21" spans="1:10" ht="30">
      <c r="A21" s="2204" t="s">
        <v>2381</v>
      </c>
      <c r="B21" s="2174" t="s">
        <v>2513</v>
      </c>
      <c r="C21" s="2192"/>
      <c r="D21" s="2174"/>
      <c r="E21" s="2176" t="s">
        <v>1319</v>
      </c>
      <c r="F21" s="2188">
        <v>12729355.68</v>
      </c>
      <c r="G21" s="2188">
        <v>14002291.248000002</v>
      </c>
      <c r="H21" s="2175">
        <v>43144</v>
      </c>
      <c r="I21" s="2175">
        <v>43873</v>
      </c>
      <c r="J21" s="2244"/>
    </row>
    <row r="22" spans="1:10" ht="30">
      <c r="A22" s="2204" t="s">
        <v>2381</v>
      </c>
      <c r="B22" s="2174" t="s">
        <v>2514</v>
      </c>
      <c r="C22" s="2192"/>
      <c r="D22" s="2174"/>
      <c r="E22" s="2176" t="s">
        <v>2548</v>
      </c>
      <c r="F22" s="2188">
        <v>46981891</v>
      </c>
      <c r="G22" s="2188">
        <v>51680080.100000001</v>
      </c>
      <c r="H22" s="2175">
        <v>43144</v>
      </c>
      <c r="I22" s="2175">
        <v>43873</v>
      </c>
      <c r="J22" s="2244"/>
    </row>
    <row r="23" spans="1:10" ht="30">
      <c r="A23" s="2204" t="s">
        <v>2381</v>
      </c>
      <c r="B23" s="2174" t="s">
        <v>2515</v>
      </c>
      <c r="C23" s="2192"/>
      <c r="D23" s="2174"/>
      <c r="E23" s="2176" t="s">
        <v>2518</v>
      </c>
      <c r="F23" s="2188">
        <v>3726366.28</v>
      </c>
      <c r="G23" s="2188">
        <v>4099002.9080000003</v>
      </c>
      <c r="H23" s="2175">
        <v>43144</v>
      </c>
      <c r="I23" s="2175">
        <v>43873</v>
      </c>
      <c r="J23" s="2244"/>
    </row>
    <row r="24" spans="1:10" ht="30">
      <c r="A24" s="2204" t="s">
        <v>2381</v>
      </c>
      <c r="B24" s="2174" t="s">
        <v>2516</v>
      </c>
      <c r="C24" s="2192"/>
      <c r="D24" s="2174"/>
      <c r="E24" s="2176" t="s">
        <v>1646</v>
      </c>
      <c r="F24" s="2188">
        <v>23613480</v>
      </c>
      <c r="G24" s="2188">
        <v>25974828.000000004</v>
      </c>
      <c r="H24" s="2175">
        <v>43144</v>
      </c>
      <c r="I24" s="2175">
        <v>43873</v>
      </c>
      <c r="J24" s="2244"/>
    </row>
    <row r="25" spans="1:10" ht="30">
      <c r="A25" s="2204" t="s">
        <v>2381</v>
      </c>
      <c r="B25" s="2174" t="s">
        <v>2517</v>
      </c>
      <c r="C25" s="2192"/>
      <c r="D25" s="2174"/>
      <c r="E25" s="2176" t="s">
        <v>576</v>
      </c>
      <c r="F25" s="2188">
        <v>846764.64</v>
      </c>
      <c r="G25" s="2188">
        <v>931441.10400000005</v>
      </c>
      <c r="H25" s="2175">
        <v>43144</v>
      </c>
      <c r="I25" s="2175">
        <v>43873</v>
      </c>
      <c r="J25" s="2244"/>
    </row>
    <row r="26" spans="1:10" ht="30">
      <c r="A26" s="2204" t="s">
        <v>2301</v>
      </c>
      <c r="B26" s="2174" t="s">
        <v>2303</v>
      </c>
      <c r="C26" s="2192"/>
      <c r="D26" s="2174"/>
      <c r="E26" s="2176" t="s">
        <v>2548</v>
      </c>
      <c r="F26" s="2188">
        <v>421822.88</v>
      </c>
      <c r="G26" s="2188">
        <v>464005.16800000006</v>
      </c>
      <c r="H26" s="2175">
        <v>43146</v>
      </c>
      <c r="I26" s="2175">
        <v>43875</v>
      </c>
      <c r="J26" s="2244"/>
    </row>
    <row r="27" spans="1:10" ht="30">
      <c r="A27" s="2204" t="s">
        <v>2301</v>
      </c>
      <c r="B27" s="2174" t="s">
        <v>2304</v>
      </c>
      <c r="C27" s="2192"/>
      <c r="D27" s="2174"/>
      <c r="E27" s="2176" t="s">
        <v>576</v>
      </c>
      <c r="F27" s="2188">
        <v>4066536.34</v>
      </c>
      <c r="G27" s="2188">
        <v>4473189.9740000004</v>
      </c>
      <c r="H27" s="2175">
        <v>43146</v>
      </c>
      <c r="I27" s="2175">
        <v>43875</v>
      </c>
      <c r="J27" s="2244"/>
    </row>
    <row r="28" spans="1:10" ht="30">
      <c r="A28" s="2204" t="s">
        <v>2301</v>
      </c>
      <c r="B28" s="2174" t="s">
        <v>2305</v>
      </c>
      <c r="C28" s="2192"/>
      <c r="D28" s="2174"/>
      <c r="E28" s="2176" t="s">
        <v>1319</v>
      </c>
      <c r="F28" s="2188">
        <v>4454820.18</v>
      </c>
      <c r="G28" s="2188">
        <v>4900302.1979999999</v>
      </c>
      <c r="H28" s="2175">
        <v>43146</v>
      </c>
      <c r="I28" s="2175">
        <v>43875</v>
      </c>
      <c r="J28" s="2244"/>
    </row>
    <row r="29" spans="1:10" ht="30">
      <c r="A29" s="2204" t="s">
        <v>2301</v>
      </c>
      <c r="B29" s="2174" t="s">
        <v>2387</v>
      </c>
      <c r="C29" s="2192"/>
      <c r="D29" s="2174"/>
      <c r="E29" s="2176" t="s">
        <v>2548</v>
      </c>
      <c r="F29" s="2188">
        <v>8263134</v>
      </c>
      <c r="G29" s="2188">
        <v>9089447.4000000004</v>
      </c>
      <c r="H29" s="2175">
        <v>43146</v>
      </c>
      <c r="I29" s="2175">
        <v>43875</v>
      </c>
      <c r="J29" s="2244"/>
    </row>
    <row r="30" spans="1:10" ht="30">
      <c r="A30" s="2204" t="s">
        <v>2301</v>
      </c>
      <c r="B30" s="2174" t="s">
        <v>2386</v>
      </c>
      <c r="C30" s="2192"/>
      <c r="D30" s="2174"/>
      <c r="E30" s="2176" t="s">
        <v>2534</v>
      </c>
      <c r="F30" s="2188">
        <v>17024000</v>
      </c>
      <c r="G30" s="2188">
        <v>18726400</v>
      </c>
      <c r="H30" s="2175">
        <v>43146</v>
      </c>
      <c r="I30" s="2175">
        <v>43875</v>
      </c>
      <c r="J30" s="2244"/>
    </row>
    <row r="31" spans="1:10" ht="30">
      <c r="A31" s="2204" t="s">
        <v>2181</v>
      </c>
      <c r="B31" s="2174" t="s">
        <v>2167</v>
      </c>
      <c r="C31" s="2192"/>
      <c r="D31" s="2174"/>
      <c r="E31" s="2176" t="s">
        <v>576</v>
      </c>
      <c r="F31" s="2188">
        <v>2854864.68</v>
      </c>
      <c r="G31" s="2188">
        <v>3140351.1480000005</v>
      </c>
      <c r="H31" s="2175">
        <v>43158</v>
      </c>
      <c r="I31" s="2175">
        <v>43887</v>
      </c>
      <c r="J31" s="2244"/>
    </row>
    <row r="32" spans="1:10">
      <c r="A32" s="2204" t="s">
        <v>2181</v>
      </c>
      <c r="B32" s="2174" t="s">
        <v>2168</v>
      </c>
      <c r="C32" s="2192"/>
      <c r="D32" s="2174"/>
      <c r="E32" s="2176" t="s">
        <v>2548</v>
      </c>
      <c r="F32" s="2188">
        <v>22780920</v>
      </c>
      <c r="G32" s="2188">
        <v>25059012.000000004</v>
      </c>
      <c r="H32" s="2175">
        <v>43158</v>
      </c>
      <c r="I32" s="2175">
        <v>43887</v>
      </c>
      <c r="J32" s="2244"/>
    </row>
    <row r="33" spans="1:10">
      <c r="A33" s="2204" t="s">
        <v>2181</v>
      </c>
      <c r="B33" s="2174" t="s">
        <v>2169</v>
      </c>
      <c r="C33" s="2192"/>
      <c r="D33" s="2174"/>
      <c r="E33" s="2176" t="s">
        <v>576</v>
      </c>
      <c r="F33" s="2188">
        <v>48195114.479999997</v>
      </c>
      <c r="G33" s="2188">
        <v>53014625.928000003</v>
      </c>
      <c r="H33" s="2175">
        <v>43158</v>
      </c>
      <c r="I33" s="2175">
        <v>43887</v>
      </c>
      <c r="J33" s="2244"/>
    </row>
    <row r="34" spans="1:10">
      <c r="A34" s="2204" t="s">
        <v>2181</v>
      </c>
      <c r="B34" s="2174" t="s">
        <v>2171</v>
      </c>
      <c r="C34" s="2192"/>
      <c r="D34" s="2174"/>
      <c r="E34" s="2176" t="s">
        <v>1646</v>
      </c>
      <c r="F34" s="2188">
        <v>41814288</v>
      </c>
      <c r="G34" s="2188">
        <v>45995716.800000004</v>
      </c>
      <c r="H34" s="2175">
        <v>43158</v>
      </c>
      <c r="I34" s="2175">
        <v>43887</v>
      </c>
      <c r="J34" s="2244"/>
    </row>
    <row r="35" spans="1:10">
      <c r="A35" s="2204" t="s">
        <v>2181</v>
      </c>
      <c r="B35" s="2174" t="s">
        <v>2172</v>
      </c>
      <c r="C35" s="2192"/>
      <c r="D35" s="2174"/>
      <c r="E35" s="2176" t="s">
        <v>2405</v>
      </c>
      <c r="F35" s="2188">
        <v>15485324.960000001</v>
      </c>
      <c r="G35" s="2188">
        <v>17033858.199999999</v>
      </c>
      <c r="H35" s="2175">
        <v>43158</v>
      </c>
      <c r="I35" s="2175">
        <v>43887</v>
      </c>
      <c r="J35" s="2244"/>
    </row>
    <row r="36" spans="1:10" ht="30">
      <c r="A36" s="2204" t="s">
        <v>2306</v>
      </c>
      <c r="B36" s="2174" t="s">
        <v>2307</v>
      </c>
      <c r="C36" s="2192"/>
      <c r="D36" s="2174"/>
      <c r="E36" s="2176" t="s">
        <v>576</v>
      </c>
      <c r="F36" s="2188">
        <v>2424242</v>
      </c>
      <c r="G36" s="2188">
        <v>2666666.2000000002</v>
      </c>
      <c r="H36" s="2175">
        <v>43166</v>
      </c>
      <c r="I36" s="2175">
        <v>43896</v>
      </c>
      <c r="J36" s="2244"/>
    </row>
    <row r="37" spans="1:10" ht="30">
      <c r="A37" s="2204" t="s">
        <v>2306</v>
      </c>
      <c r="B37" s="2174" t="s">
        <v>2309</v>
      </c>
      <c r="C37" s="2192"/>
      <c r="D37" s="2174"/>
      <c r="E37" s="2176" t="s">
        <v>2490</v>
      </c>
      <c r="F37" s="2188">
        <v>12396122.52</v>
      </c>
      <c r="G37" s="2188">
        <v>13635734.772</v>
      </c>
      <c r="H37" s="2175">
        <v>43166</v>
      </c>
      <c r="I37" s="2175">
        <v>43896</v>
      </c>
      <c r="J37" s="2244"/>
    </row>
    <row r="38" spans="1:10" ht="30">
      <c r="A38" s="2204" t="s">
        <v>2306</v>
      </c>
      <c r="B38" s="2174" t="s">
        <v>2310</v>
      </c>
      <c r="C38" s="2192"/>
      <c r="D38" s="2174"/>
      <c r="E38" s="2176" t="s">
        <v>1646</v>
      </c>
      <c r="F38" s="2188">
        <v>6800669.8899999997</v>
      </c>
      <c r="G38" s="2188">
        <v>7480736.8790000007</v>
      </c>
      <c r="H38" s="2175">
        <v>43166</v>
      </c>
      <c r="I38" s="2175">
        <v>43896</v>
      </c>
      <c r="J38" s="2244"/>
    </row>
    <row r="39" spans="1:10" ht="30">
      <c r="A39" s="2204" t="s">
        <v>2306</v>
      </c>
      <c r="B39" s="2174" t="s">
        <v>2311</v>
      </c>
      <c r="C39" s="2192"/>
      <c r="D39" s="2174"/>
      <c r="E39" s="2176" t="s">
        <v>576</v>
      </c>
      <c r="F39" s="2188">
        <v>6660432</v>
      </c>
      <c r="G39" s="2188">
        <v>7326475.2000000002</v>
      </c>
      <c r="H39" s="2175">
        <v>43166</v>
      </c>
      <c r="I39" s="2175">
        <v>43896</v>
      </c>
      <c r="J39" s="2244"/>
    </row>
    <row r="40" spans="1:10" ht="30">
      <c r="A40" s="2204" t="s">
        <v>2378</v>
      </c>
      <c r="B40" s="2174" t="s">
        <v>2351</v>
      </c>
      <c r="C40" s="2192"/>
      <c r="D40" s="2174"/>
      <c r="E40" s="2176" t="s">
        <v>576</v>
      </c>
      <c r="F40" s="2188">
        <v>131673.32</v>
      </c>
      <c r="G40" s="2188">
        <v>144840.65</v>
      </c>
      <c r="H40" s="2175">
        <v>43174</v>
      </c>
      <c r="I40" s="2175">
        <v>43904</v>
      </c>
      <c r="J40" s="2244"/>
    </row>
    <row r="41" spans="1:10" ht="30">
      <c r="A41" s="2204" t="s">
        <v>2378</v>
      </c>
      <c r="B41" s="2174" t="s">
        <v>2352</v>
      </c>
      <c r="C41" s="2192"/>
      <c r="D41" s="2174"/>
      <c r="E41" s="2176" t="s">
        <v>2554</v>
      </c>
      <c r="F41" s="2188">
        <v>16902723.82</v>
      </c>
      <c r="G41" s="2188">
        <v>18592996.199999999</v>
      </c>
      <c r="H41" s="2175">
        <v>43174</v>
      </c>
      <c r="I41" s="2175">
        <v>43904</v>
      </c>
      <c r="J41" s="2244"/>
    </row>
    <row r="42" spans="1:10">
      <c r="A42" s="2204" t="s">
        <v>2379</v>
      </c>
      <c r="B42" s="2174" t="s">
        <v>2349</v>
      </c>
      <c r="C42" s="2192"/>
      <c r="D42" s="2174"/>
      <c r="E42" s="2176" t="s">
        <v>576</v>
      </c>
      <c r="F42" s="2188">
        <v>2038596</v>
      </c>
      <c r="G42" s="2188">
        <v>2242455.6</v>
      </c>
      <c r="H42" s="2175">
        <v>43174</v>
      </c>
      <c r="I42" s="2175">
        <v>43904</v>
      </c>
      <c r="J42" s="2244"/>
    </row>
    <row r="43" spans="1:10" ht="30">
      <c r="A43" s="2204" t="s">
        <v>2379</v>
      </c>
      <c r="B43" s="2174" t="s">
        <v>2350</v>
      </c>
      <c r="C43" s="2192"/>
      <c r="D43" s="2174"/>
      <c r="E43" s="2176" t="s">
        <v>1646</v>
      </c>
      <c r="F43" s="2188">
        <v>4152182.9</v>
      </c>
      <c r="G43" s="2188">
        <v>4567401.1900000004</v>
      </c>
      <c r="H43" s="2175">
        <v>43174</v>
      </c>
      <c r="I43" s="2175">
        <v>43904</v>
      </c>
      <c r="J43" s="2244"/>
    </row>
    <row r="44" spans="1:10" ht="30">
      <c r="A44" s="2204" t="s">
        <v>2439</v>
      </c>
      <c r="B44" s="2174" t="s">
        <v>2571</v>
      </c>
      <c r="C44" s="2192"/>
      <c r="D44" s="2174"/>
      <c r="E44" s="2176" t="s">
        <v>1646</v>
      </c>
      <c r="F44" s="2188">
        <v>1706551.24</v>
      </c>
      <c r="G44" s="2188">
        <v>1877206.3640000001</v>
      </c>
      <c r="H44" s="2175">
        <v>43180</v>
      </c>
      <c r="I44" s="2175">
        <v>43910</v>
      </c>
      <c r="J44" s="2244"/>
    </row>
    <row r="45" spans="1:10" ht="30">
      <c r="A45" s="2204" t="s">
        <v>2439</v>
      </c>
      <c r="B45" s="2174" t="s">
        <v>2573</v>
      </c>
      <c r="C45" s="2192"/>
      <c r="D45" s="2174"/>
      <c r="E45" s="2176" t="s">
        <v>1646</v>
      </c>
      <c r="F45" s="2188">
        <v>705125.42</v>
      </c>
      <c r="G45" s="2188">
        <v>775637.96200000006</v>
      </c>
      <c r="H45" s="2175">
        <v>43180</v>
      </c>
      <c r="I45" s="2175">
        <v>43910</v>
      </c>
      <c r="J45" s="2244"/>
    </row>
    <row r="46" spans="1:10" ht="30">
      <c r="A46" s="2204" t="s">
        <v>2439</v>
      </c>
      <c r="B46" s="2174" t="s">
        <v>2574</v>
      </c>
      <c r="C46" s="2192"/>
      <c r="D46" s="2174"/>
      <c r="E46" s="2176" t="s">
        <v>576</v>
      </c>
      <c r="F46" s="2188">
        <v>5838408.4000000004</v>
      </c>
      <c r="G46" s="2188">
        <v>6422249.2400000012</v>
      </c>
      <c r="H46" s="2175">
        <v>43180</v>
      </c>
      <c r="I46" s="2175">
        <v>43910</v>
      </c>
      <c r="J46" s="2244"/>
    </row>
    <row r="47" spans="1:10" ht="30">
      <c r="A47" s="2204" t="s">
        <v>2439</v>
      </c>
      <c r="B47" s="2174" t="s">
        <v>2577</v>
      </c>
      <c r="C47" s="2192"/>
      <c r="D47" s="2174"/>
      <c r="E47" s="2176" t="s">
        <v>578</v>
      </c>
      <c r="F47" s="2188">
        <v>10176789.800000001</v>
      </c>
      <c r="G47" s="2188">
        <v>11194468.780000001</v>
      </c>
      <c r="H47" s="2175">
        <v>43180</v>
      </c>
      <c r="I47" s="2175">
        <v>43910</v>
      </c>
      <c r="J47" s="2244"/>
    </row>
    <row r="48" spans="1:10" ht="30">
      <c r="A48" s="2204" t="s">
        <v>2448</v>
      </c>
      <c r="B48" s="2174" t="s">
        <v>2560</v>
      </c>
      <c r="C48" s="2192"/>
      <c r="D48" s="2174"/>
      <c r="E48" s="2176" t="s">
        <v>1318</v>
      </c>
      <c r="F48" s="2188">
        <v>40465770</v>
      </c>
      <c r="G48" s="2188">
        <v>44512347</v>
      </c>
      <c r="H48" s="2175">
        <v>43180</v>
      </c>
      <c r="I48" s="2175">
        <v>43910</v>
      </c>
      <c r="J48" s="2244"/>
    </row>
    <row r="49" spans="1:10" ht="30">
      <c r="A49" s="2204" t="s">
        <v>2448</v>
      </c>
      <c r="B49" s="2174" t="s">
        <v>2562</v>
      </c>
      <c r="C49" s="2192"/>
      <c r="D49" s="2174"/>
      <c r="E49" s="2176" t="s">
        <v>576</v>
      </c>
      <c r="F49" s="2188">
        <v>80635181.540000007</v>
      </c>
      <c r="G49" s="2188">
        <v>88698699.694000021</v>
      </c>
      <c r="H49" s="2175">
        <v>43180</v>
      </c>
      <c r="I49" s="2175">
        <v>43910</v>
      </c>
      <c r="J49" s="2244"/>
    </row>
    <row r="50" spans="1:10" ht="30">
      <c r="A50" s="2204" t="s">
        <v>2448</v>
      </c>
      <c r="B50" s="2174" t="s">
        <v>2563</v>
      </c>
      <c r="C50" s="2192"/>
      <c r="D50" s="2174"/>
      <c r="E50" s="2176" t="s">
        <v>2333</v>
      </c>
      <c r="F50" s="2188">
        <v>27845932.800000001</v>
      </c>
      <c r="G50" s="2188">
        <v>30630526.080000002</v>
      </c>
      <c r="H50" s="2175">
        <v>43180</v>
      </c>
      <c r="I50" s="2175">
        <v>43910</v>
      </c>
      <c r="J50" s="2244"/>
    </row>
    <row r="51" spans="1:10" ht="30">
      <c r="A51" s="2204" t="s">
        <v>2448</v>
      </c>
      <c r="B51" s="2174" t="s">
        <v>2564</v>
      </c>
      <c r="C51" s="2192"/>
      <c r="D51" s="2174"/>
      <c r="E51" s="2176" t="s">
        <v>2333</v>
      </c>
      <c r="F51" s="2188">
        <v>3061411.8</v>
      </c>
      <c r="G51" s="2188">
        <v>3367552.98</v>
      </c>
      <c r="H51" s="2175">
        <v>43180</v>
      </c>
      <c r="I51" s="2175">
        <v>43910</v>
      </c>
      <c r="J51" s="2244"/>
    </row>
    <row r="52" spans="1:10" ht="30">
      <c r="A52" s="2204" t="s">
        <v>2406</v>
      </c>
      <c r="B52" s="2174" t="s">
        <v>2519</v>
      </c>
      <c r="C52" s="2192"/>
      <c r="D52" s="2174"/>
      <c r="E52" s="2176" t="s">
        <v>1646</v>
      </c>
      <c r="F52" s="2188">
        <v>215084.44</v>
      </c>
      <c r="G52" s="2188">
        <v>236592.88400000002</v>
      </c>
      <c r="H52" s="2175">
        <v>43181</v>
      </c>
      <c r="I52" s="2175">
        <v>43911</v>
      </c>
      <c r="J52" s="2244"/>
    </row>
    <row r="53" spans="1:10" ht="30">
      <c r="A53" s="2204" t="s">
        <v>2406</v>
      </c>
      <c r="B53" s="2174" t="s">
        <v>2520</v>
      </c>
      <c r="C53" s="2192"/>
      <c r="D53" s="2174"/>
      <c r="E53" s="2176" t="s">
        <v>576</v>
      </c>
      <c r="F53" s="2188">
        <v>884156.96</v>
      </c>
      <c r="G53" s="2188">
        <v>972572.65600000008</v>
      </c>
      <c r="H53" s="2175">
        <v>43181</v>
      </c>
      <c r="I53" s="2175">
        <v>43911</v>
      </c>
      <c r="J53" s="2244"/>
    </row>
    <row r="54" spans="1:10">
      <c r="A54" s="2204" t="s">
        <v>2406</v>
      </c>
      <c r="B54" s="2174" t="s">
        <v>2521</v>
      </c>
      <c r="C54" s="2192"/>
      <c r="D54" s="2174"/>
      <c r="E54" s="2176" t="s">
        <v>1319</v>
      </c>
      <c r="F54" s="2188">
        <v>21963590.640000001</v>
      </c>
      <c r="G54" s="2188">
        <v>24159949.704000004</v>
      </c>
      <c r="H54" s="2175">
        <v>43181</v>
      </c>
      <c r="I54" s="2175">
        <v>43911</v>
      </c>
      <c r="J54" s="2244"/>
    </row>
    <row r="55" spans="1:10" ht="30">
      <c r="A55" s="2204" t="s">
        <v>2406</v>
      </c>
      <c r="B55" s="2174" t="s">
        <v>2522</v>
      </c>
      <c r="C55" s="2192"/>
      <c r="D55" s="2174"/>
      <c r="E55" s="2176" t="s">
        <v>2548</v>
      </c>
      <c r="F55" s="2188">
        <v>15393728.699999999</v>
      </c>
      <c r="G55" s="2188">
        <v>16933101.57</v>
      </c>
      <c r="H55" s="2175">
        <v>43181</v>
      </c>
      <c r="I55" s="2175">
        <v>43911</v>
      </c>
      <c r="J55" s="2244"/>
    </row>
    <row r="56" spans="1:10" ht="30">
      <c r="A56" s="2204" t="s">
        <v>2406</v>
      </c>
      <c r="B56" s="2174" t="s">
        <v>2523</v>
      </c>
      <c r="C56" s="2192"/>
      <c r="D56" s="2174"/>
      <c r="E56" s="2176" t="s">
        <v>2548</v>
      </c>
      <c r="F56" s="2188">
        <v>100133671</v>
      </c>
      <c r="G56" s="2188">
        <v>110147038.10000001</v>
      </c>
      <c r="H56" s="2175">
        <v>43181</v>
      </c>
      <c r="I56" s="2175">
        <v>43911</v>
      </c>
      <c r="J56" s="2244"/>
    </row>
    <row r="57" spans="1:10" ht="30">
      <c r="A57" s="2204" t="s">
        <v>2382</v>
      </c>
      <c r="B57" s="2174" t="s">
        <v>2526</v>
      </c>
      <c r="C57" s="2192"/>
      <c r="D57" s="2174"/>
      <c r="E57" s="2176" t="s">
        <v>576</v>
      </c>
      <c r="F57" s="2188">
        <v>19702774.98</v>
      </c>
      <c r="G57" s="2188">
        <v>21673052.478000004</v>
      </c>
      <c r="H57" s="2175">
        <v>43199</v>
      </c>
      <c r="I57" s="2175">
        <v>43929</v>
      </c>
      <c r="J57" s="2244"/>
    </row>
    <row r="58" spans="1:10" ht="30">
      <c r="A58" s="2204" t="s">
        <v>2382</v>
      </c>
      <c r="B58" s="2174" t="s">
        <v>2527</v>
      </c>
      <c r="C58" s="2192"/>
      <c r="D58" s="2174"/>
      <c r="E58" s="2176" t="s">
        <v>576</v>
      </c>
      <c r="F58" s="2188">
        <v>7155494.7599999998</v>
      </c>
      <c r="G58" s="2188">
        <v>7871044.2360000005</v>
      </c>
      <c r="H58" s="2175">
        <v>43199</v>
      </c>
      <c r="I58" s="2175">
        <v>43929</v>
      </c>
      <c r="J58" s="2244"/>
    </row>
    <row r="59" spans="1:10" ht="30">
      <c r="A59" s="2204" t="s">
        <v>2382</v>
      </c>
      <c r="B59" s="2174" t="s">
        <v>2528</v>
      </c>
      <c r="C59" s="2192"/>
      <c r="D59" s="2174"/>
      <c r="E59" s="2176" t="s">
        <v>576</v>
      </c>
      <c r="F59" s="2188">
        <v>3150552</v>
      </c>
      <c r="G59" s="2188">
        <v>3465607.2</v>
      </c>
      <c r="H59" s="2175">
        <v>43199</v>
      </c>
      <c r="I59" s="2175">
        <v>43929</v>
      </c>
      <c r="J59" s="2244"/>
    </row>
    <row r="60" spans="1:10" ht="30">
      <c r="A60" s="2204" t="s">
        <v>2382</v>
      </c>
      <c r="B60" s="2174" t="s">
        <v>2530</v>
      </c>
      <c r="C60" s="2192"/>
      <c r="D60" s="2174"/>
      <c r="E60" s="2176" t="s">
        <v>2533</v>
      </c>
      <c r="F60" s="2188">
        <v>6035861.1200000001</v>
      </c>
      <c r="G60" s="2188">
        <v>6639447.2320000008</v>
      </c>
      <c r="H60" s="2175">
        <v>43199</v>
      </c>
      <c r="I60" s="2175">
        <v>43929</v>
      </c>
      <c r="J60" s="2244"/>
    </row>
    <row r="61" spans="1:10" ht="30">
      <c r="A61" s="2204" t="s">
        <v>2382</v>
      </c>
      <c r="B61" s="2174" t="s">
        <v>2531</v>
      </c>
      <c r="C61" s="2192"/>
      <c r="D61" s="2174"/>
      <c r="E61" s="2176" t="s">
        <v>1319</v>
      </c>
      <c r="F61" s="2188">
        <v>2513968.2000000002</v>
      </c>
      <c r="G61" s="2188">
        <v>2765365.0200000005</v>
      </c>
      <c r="H61" s="2175">
        <v>43199</v>
      </c>
      <c r="I61" s="2175">
        <v>43929</v>
      </c>
      <c r="J61" s="2244"/>
    </row>
    <row r="62" spans="1:10" ht="30">
      <c r="A62" s="2204" t="s">
        <v>2382</v>
      </c>
      <c r="B62" s="2174" t="s">
        <v>2532</v>
      </c>
      <c r="C62" s="2192"/>
      <c r="D62" s="2174"/>
      <c r="E62" s="2176" t="s">
        <v>2548</v>
      </c>
      <c r="F62" s="2188">
        <v>6451139.04</v>
      </c>
      <c r="G62" s="2188">
        <v>7096252.9440000011</v>
      </c>
      <c r="H62" s="2175">
        <v>43199</v>
      </c>
      <c r="I62" s="2175">
        <v>43929</v>
      </c>
      <c r="J62" s="2244"/>
    </row>
    <row r="63" spans="1:10" ht="30">
      <c r="A63" s="2204" t="s">
        <v>2439</v>
      </c>
      <c r="B63" s="2174" t="s">
        <v>2575</v>
      </c>
      <c r="C63" s="2192"/>
      <c r="D63" s="2174"/>
      <c r="E63" s="2176" t="s">
        <v>576</v>
      </c>
      <c r="F63" s="2188">
        <v>1494426.6</v>
      </c>
      <c r="G63" s="2188">
        <v>7805878.238400002</v>
      </c>
      <c r="H63" s="2175">
        <v>43199</v>
      </c>
      <c r="I63" s="2175">
        <v>43929</v>
      </c>
      <c r="J63" s="2244"/>
    </row>
    <row r="64" spans="1:10">
      <c r="A64" s="2204" t="s">
        <v>3865</v>
      </c>
      <c r="B64" s="2174" t="s">
        <v>3866</v>
      </c>
      <c r="C64" s="2192"/>
      <c r="D64" s="2176"/>
      <c r="E64" s="2176" t="s">
        <v>578</v>
      </c>
      <c r="F64" s="2188">
        <v>3949502.1</v>
      </c>
      <c r="G64" s="2188">
        <v>4344452.3099999996</v>
      </c>
      <c r="H64" s="2175">
        <v>43567</v>
      </c>
      <c r="I64" s="2175">
        <v>43932</v>
      </c>
      <c r="J64" s="2244"/>
    </row>
    <row r="65" spans="1:10">
      <c r="A65" s="2204" t="s">
        <v>2488</v>
      </c>
      <c r="B65" s="2174" t="s">
        <v>2461</v>
      </c>
      <c r="C65" s="2192"/>
      <c r="D65" s="2174"/>
      <c r="E65" s="2176" t="s">
        <v>576</v>
      </c>
      <c r="F65" s="2188">
        <v>15914941.6</v>
      </c>
      <c r="G65" s="2188">
        <v>17506435.760000002</v>
      </c>
      <c r="H65" s="2175">
        <v>43203</v>
      </c>
      <c r="I65" s="2175">
        <v>43933</v>
      </c>
      <c r="J65" s="2244"/>
    </row>
    <row r="66" spans="1:10">
      <c r="A66" s="2204" t="s">
        <v>2182</v>
      </c>
      <c r="B66" s="2174" t="s">
        <v>2176</v>
      </c>
      <c r="C66" s="2192"/>
      <c r="D66" s="2174"/>
      <c r="E66" s="2176" t="s">
        <v>2333</v>
      </c>
      <c r="F66" s="2188">
        <v>998719</v>
      </c>
      <c r="G66" s="2188">
        <v>1098590.9000000001</v>
      </c>
      <c r="H66" s="2175">
        <v>43206</v>
      </c>
      <c r="I66" s="2175">
        <v>43936</v>
      </c>
      <c r="J66" s="2244"/>
    </row>
    <row r="67" spans="1:10" ht="30">
      <c r="A67" s="2204" t="s">
        <v>2488</v>
      </c>
      <c r="B67" s="2174" t="s">
        <v>2462</v>
      </c>
      <c r="C67" s="2192"/>
      <c r="D67" s="2174"/>
      <c r="E67" s="2176" t="s">
        <v>2518</v>
      </c>
      <c r="F67" s="2188">
        <v>2900993.94</v>
      </c>
      <c r="G67" s="2188">
        <v>3191093.3340000003</v>
      </c>
      <c r="H67" s="2175">
        <v>43206</v>
      </c>
      <c r="I67" s="2175">
        <v>43936</v>
      </c>
      <c r="J67" s="2244"/>
    </row>
    <row r="68" spans="1:10" ht="30">
      <c r="A68" s="2204" t="s">
        <v>2488</v>
      </c>
      <c r="B68" s="2174" t="s">
        <v>2463</v>
      </c>
      <c r="C68" s="2192"/>
      <c r="D68" s="2174"/>
      <c r="E68" s="2176" t="s">
        <v>576</v>
      </c>
      <c r="F68" s="2188">
        <v>12262496</v>
      </c>
      <c r="G68" s="2188">
        <v>13488745.600000001</v>
      </c>
      <c r="H68" s="2175">
        <v>43206</v>
      </c>
      <c r="I68" s="2175">
        <v>43936</v>
      </c>
      <c r="J68" s="2244"/>
    </row>
    <row r="69" spans="1:10">
      <c r="A69" s="2204" t="s">
        <v>2488</v>
      </c>
      <c r="B69" s="2174" t="s">
        <v>2466</v>
      </c>
      <c r="C69" s="2192"/>
      <c r="D69" s="2174"/>
      <c r="E69" s="2176" t="s">
        <v>2490</v>
      </c>
      <c r="F69" s="2188">
        <v>50787000</v>
      </c>
      <c r="G69" s="2188">
        <v>55865700.000000007</v>
      </c>
      <c r="H69" s="2175">
        <v>43206</v>
      </c>
      <c r="I69" s="2175">
        <v>43936</v>
      </c>
      <c r="J69" s="2244"/>
    </row>
    <row r="70" spans="1:10" ht="30">
      <c r="A70" s="2204" t="s">
        <v>2488</v>
      </c>
      <c r="B70" s="2174" t="s">
        <v>2468</v>
      </c>
      <c r="C70" s="2192"/>
      <c r="D70" s="2174"/>
      <c r="E70" s="2176" t="s">
        <v>2548</v>
      </c>
      <c r="F70" s="2188">
        <v>4387441.76</v>
      </c>
      <c r="G70" s="2188">
        <v>4826185.9359999998</v>
      </c>
      <c r="H70" s="2175">
        <v>43206</v>
      </c>
      <c r="I70" s="2175">
        <v>43936</v>
      </c>
      <c r="J70" s="2244"/>
    </row>
    <row r="71" spans="1:10">
      <c r="A71" s="2205" t="s">
        <v>8666</v>
      </c>
      <c r="B71" s="2193" t="s">
        <v>8667</v>
      </c>
      <c r="C71" s="2198">
        <v>1</v>
      </c>
      <c r="D71" s="2193" t="s">
        <v>8668</v>
      </c>
      <c r="E71" s="2193" t="s">
        <v>8669</v>
      </c>
      <c r="F71" s="2190">
        <v>125828</v>
      </c>
      <c r="G71" s="2190">
        <v>138410.80000000002</v>
      </c>
      <c r="H71" s="2191">
        <v>43368</v>
      </c>
      <c r="I71" s="2191">
        <v>44012</v>
      </c>
      <c r="J71" s="2244" t="s">
        <v>8615</v>
      </c>
    </row>
    <row r="72" spans="1:10" ht="30">
      <c r="A72" s="2204" t="s">
        <v>2750</v>
      </c>
      <c r="B72" s="2174" t="s">
        <v>2873</v>
      </c>
      <c r="C72" s="2192"/>
      <c r="D72" s="2174"/>
      <c r="E72" s="2176" t="s">
        <v>576</v>
      </c>
      <c r="F72" s="2188">
        <v>2053268.8</v>
      </c>
      <c r="G72" s="2188">
        <v>2258595.6800000002</v>
      </c>
      <c r="H72" s="2175">
        <v>43304</v>
      </c>
      <c r="I72" s="2175">
        <v>44034</v>
      </c>
      <c r="J72" s="2244"/>
    </row>
    <row r="73" spans="1:10" ht="30">
      <c r="A73" s="2204" t="s">
        <v>2750</v>
      </c>
      <c r="B73" s="2174" t="s">
        <v>2874</v>
      </c>
      <c r="C73" s="2192"/>
      <c r="D73" s="2174"/>
      <c r="E73" s="2176" t="s">
        <v>576</v>
      </c>
      <c r="F73" s="2188">
        <v>1774950.3</v>
      </c>
      <c r="G73" s="2188">
        <v>1952445.33</v>
      </c>
      <c r="H73" s="2175">
        <v>43304</v>
      </c>
      <c r="I73" s="2175">
        <v>44034</v>
      </c>
      <c r="J73" s="2244"/>
    </row>
    <row r="74" spans="1:10">
      <c r="A74" s="2204" t="s">
        <v>6454</v>
      </c>
      <c r="B74" s="2174" t="s">
        <v>6469</v>
      </c>
      <c r="C74" s="2192">
        <v>6</v>
      </c>
      <c r="D74" s="2176" t="s">
        <v>6460</v>
      </c>
      <c r="E74" s="2176" t="s">
        <v>6969</v>
      </c>
      <c r="F74" s="2188">
        <v>7622913.5999999996</v>
      </c>
      <c r="G74" s="2188">
        <v>8385204.96</v>
      </c>
      <c r="H74" s="2175">
        <v>44040</v>
      </c>
      <c r="I74" s="2175">
        <v>44039</v>
      </c>
      <c r="J74" s="2244"/>
    </row>
    <row r="75" spans="1:10">
      <c r="A75" s="2204" t="s">
        <v>4877</v>
      </c>
      <c r="B75" s="2174" t="s">
        <v>4876</v>
      </c>
      <c r="C75" s="2192"/>
      <c r="D75" s="2176"/>
      <c r="E75" s="2176" t="s">
        <v>578</v>
      </c>
      <c r="F75" s="2188">
        <v>15091188.189999999</v>
      </c>
      <c r="G75" s="2188">
        <v>16600307.01</v>
      </c>
      <c r="H75" s="2175">
        <v>43720</v>
      </c>
      <c r="I75" s="2175">
        <v>44085</v>
      </c>
      <c r="J75" s="2244"/>
    </row>
    <row r="76" spans="1:10" ht="30">
      <c r="A76" s="2204" t="s">
        <v>2903</v>
      </c>
      <c r="B76" s="2174" t="s">
        <v>2941</v>
      </c>
      <c r="C76" s="2192"/>
      <c r="D76" s="2174"/>
      <c r="E76" s="2176" t="s">
        <v>576</v>
      </c>
      <c r="F76" s="2188">
        <v>591578</v>
      </c>
      <c r="G76" s="2188">
        <v>650735.80000000005</v>
      </c>
      <c r="H76" s="2177">
        <v>43362</v>
      </c>
      <c r="I76" s="2177">
        <v>44092</v>
      </c>
      <c r="J76" s="2244"/>
    </row>
    <row r="77" spans="1:10" ht="30">
      <c r="A77" s="2204" t="s">
        <v>2903</v>
      </c>
      <c r="B77" s="2174" t="s">
        <v>2943</v>
      </c>
      <c r="C77" s="2192"/>
      <c r="D77" s="2174"/>
      <c r="E77" s="2176" t="s">
        <v>2548</v>
      </c>
      <c r="F77" s="2188">
        <v>356240.08</v>
      </c>
      <c r="G77" s="2188">
        <v>391864.09</v>
      </c>
      <c r="H77" s="2175">
        <v>43362</v>
      </c>
      <c r="I77" s="2175">
        <v>44092</v>
      </c>
      <c r="J77" s="2244"/>
    </row>
    <row r="78" spans="1:10" ht="30">
      <c r="A78" s="2204" t="s">
        <v>2903</v>
      </c>
      <c r="B78" s="2174" t="s">
        <v>2944</v>
      </c>
      <c r="C78" s="2192"/>
      <c r="D78" s="2174"/>
      <c r="E78" s="2176" t="s">
        <v>1646</v>
      </c>
      <c r="F78" s="2188">
        <v>1000546.4</v>
      </c>
      <c r="G78" s="2188">
        <v>1100601.04</v>
      </c>
      <c r="H78" s="2175">
        <v>43362</v>
      </c>
      <c r="I78" s="2175">
        <v>44092</v>
      </c>
      <c r="J78" s="2244"/>
    </row>
    <row r="79" spans="1:10" ht="30">
      <c r="A79" s="2204" t="s">
        <v>2903</v>
      </c>
      <c r="B79" s="2174" t="s">
        <v>2945</v>
      </c>
      <c r="C79" s="2192"/>
      <c r="D79" s="2174"/>
      <c r="E79" s="2176" t="s">
        <v>1402</v>
      </c>
      <c r="F79" s="2188">
        <v>164617.60000000001</v>
      </c>
      <c r="G79" s="2188">
        <v>181079.36</v>
      </c>
      <c r="H79" s="2175">
        <v>43362</v>
      </c>
      <c r="I79" s="2175">
        <v>44092</v>
      </c>
      <c r="J79" s="2244"/>
    </row>
    <row r="80" spans="1:10" ht="30">
      <c r="A80" s="2204" t="s">
        <v>2903</v>
      </c>
      <c r="B80" s="2174" t="s">
        <v>2946</v>
      </c>
      <c r="C80" s="2192"/>
      <c r="D80" s="2174"/>
      <c r="E80" s="2176" t="s">
        <v>2548</v>
      </c>
      <c r="F80" s="2188">
        <v>312274.84000000003</v>
      </c>
      <c r="G80" s="2188">
        <v>343502.32</v>
      </c>
      <c r="H80" s="2175">
        <v>43362</v>
      </c>
      <c r="I80" s="2175">
        <v>44092</v>
      </c>
      <c r="J80" s="2244"/>
    </row>
    <row r="81" spans="1:10" ht="30">
      <c r="A81" s="2204" t="s">
        <v>7222</v>
      </c>
      <c r="B81" s="2174" t="s">
        <v>7223</v>
      </c>
      <c r="C81" s="2192"/>
      <c r="D81" s="2176"/>
      <c r="E81" s="2176" t="s">
        <v>7316</v>
      </c>
      <c r="F81" s="2188">
        <v>157630</v>
      </c>
      <c r="G81" s="2188">
        <v>190732.3</v>
      </c>
      <c r="H81" s="2175">
        <v>44085</v>
      </c>
      <c r="I81" s="2175">
        <v>44096</v>
      </c>
      <c r="J81" s="2244"/>
    </row>
    <row r="82" spans="1:10">
      <c r="A82" s="2204" t="s">
        <v>7230</v>
      </c>
      <c r="B82" s="2174" t="s">
        <v>7231</v>
      </c>
      <c r="C82" s="2192">
        <v>4</v>
      </c>
      <c r="D82" s="2176" t="s">
        <v>7235</v>
      </c>
      <c r="E82" s="2176" t="s">
        <v>7409</v>
      </c>
      <c r="F82" s="2188">
        <v>214596.9</v>
      </c>
      <c r="G82" s="2188">
        <v>259662.25</v>
      </c>
      <c r="H82" s="2175">
        <v>44089</v>
      </c>
      <c r="I82" s="2175">
        <v>44097</v>
      </c>
      <c r="J82" s="2244"/>
    </row>
    <row r="83" spans="1:10" ht="60">
      <c r="A83" s="2204" t="s">
        <v>7225</v>
      </c>
      <c r="B83" s="2174" t="s">
        <v>7226</v>
      </c>
      <c r="C83" s="2192">
        <v>1</v>
      </c>
      <c r="D83" s="2176" t="s">
        <v>7268</v>
      </c>
      <c r="E83" s="2176" t="s">
        <v>7316</v>
      </c>
      <c r="F83" s="2188">
        <v>104900</v>
      </c>
      <c r="G83" s="2188">
        <v>126929</v>
      </c>
      <c r="H83" s="2175">
        <v>44095</v>
      </c>
      <c r="I83" s="2175">
        <v>44103</v>
      </c>
      <c r="J83" s="2244"/>
    </row>
    <row r="84" spans="1:10" ht="45">
      <c r="A84" s="2204" t="s">
        <v>7225</v>
      </c>
      <c r="B84" s="2174" t="s">
        <v>7226</v>
      </c>
      <c r="C84" s="2192">
        <v>4</v>
      </c>
      <c r="D84" s="2176" t="s">
        <v>7229</v>
      </c>
      <c r="E84" s="2176" t="s">
        <v>7316</v>
      </c>
      <c r="F84" s="2188">
        <v>17380</v>
      </c>
      <c r="G84" s="2188">
        <v>21029.8</v>
      </c>
      <c r="H84" s="2175">
        <v>44095</v>
      </c>
      <c r="I84" s="2175">
        <v>44103</v>
      </c>
      <c r="J84" s="2244"/>
    </row>
    <row r="85" spans="1:10">
      <c r="A85" s="2204" t="s">
        <v>7230</v>
      </c>
      <c r="B85" s="2174" t="s">
        <v>7231</v>
      </c>
      <c r="C85" s="2192">
        <v>1</v>
      </c>
      <c r="D85" s="2176" t="s">
        <v>7232</v>
      </c>
      <c r="E85" s="2176" t="s">
        <v>993</v>
      </c>
      <c r="F85" s="2188">
        <v>249476</v>
      </c>
      <c r="G85" s="2188">
        <v>301865.96000000002</v>
      </c>
      <c r="H85" s="2175">
        <v>44097</v>
      </c>
      <c r="I85" s="2175">
        <v>44106</v>
      </c>
      <c r="J85" s="2244"/>
    </row>
    <row r="86" spans="1:10">
      <c r="A86" s="2204" t="s">
        <v>7230</v>
      </c>
      <c r="B86" s="2174" t="s">
        <v>7231</v>
      </c>
      <c r="C86" s="2192">
        <v>3</v>
      </c>
      <c r="D86" s="2176" t="s">
        <v>7234</v>
      </c>
      <c r="E86" s="2176" t="s">
        <v>431</v>
      </c>
      <c r="F86" s="2188">
        <v>62080</v>
      </c>
      <c r="G86" s="2188">
        <v>75116.800000000003</v>
      </c>
      <c r="H86" s="2175">
        <v>44097</v>
      </c>
      <c r="I86" s="2175">
        <v>44106</v>
      </c>
      <c r="J86" s="2244"/>
    </row>
    <row r="87" spans="1:10">
      <c r="A87" s="2204" t="s">
        <v>7230</v>
      </c>
      <c r="B87" s="2174" t="s">
        <v>7231</v>
      </c>
      <c r="C87" s="2192">
        <v>5</v>
      </c>
      <c r="D87" s="2176" t="s">
        <v>7236</v>
      </c>
      <c r="E87" s="2176" t="s">
        <v>431</v>
      </c>
      <c r="F87" s="2188">
        <v>63228</v>
      </c>
      <c r="G87" s="2188">
        <v>76505.88</v>
      </c>
      <c r="H87" s="2175">
        <v>44097</v>
      </c>
      <c r="I87" s="2175">
        <v>44106</v>
      </c>
      <c r="J87" s="2244"/>
    </row>
    <row r="88" spans="1:10">
      <c r="A88" s="2204" t="s">
        <v>7230</v>
      </c>
      <c r="B88" s="2174" t="s">
        <v>7231</v>
      </c>
      <c r="C88" s="2192">
        <v>6</v>
      </c>
      <c r="D88" s="2176" t="s">
        <v>7237</v>
      </c>
      <c r="E88" s="2176" t="s">
        <v>431</v>
      </c>
      <c r="F88" s="2188">
        <v>11983</v>
      </c>
      <c r="G88" s="2188">
        <v>14499.43</v>
      </c>
      <c r="H88" s="2175">
        <v>44097</v>
      </c>
      <c r="I88" s="2175">
        <v>44106</v>
      </c>
      <c r="J88" s="2244"/>
    </row>
    <row r="89" spans="1:10" ht="30">
      <c r="A89" s="2204" t="s">
        <v>4629</v>
      </c>
      <c r="B89" s="2174" t="s">
        <v>4597</v>
      </c>
      <c r="C89" s="2192">
        <v>1</v>
      </c>
      <c r="D89" s="2176" t="s">
        <v>4598</v>
      </c>
      <c r="E89" s="2176" t="s">
        <v>5597</v>
      </c>
      <c r="F89" s="2188">
        <v>1311111</v>
      </c>
      <c r="G89" s="2188">
        <v>1586444.31</v>
      </c>
      <c r="H89" s="2175">
        <v>43746</v>
      </c>
      <c r="I89" s="2175">
        <v>44111</v>
      </c>
      <c r="J89" s="2244"/>
    </row>
    <row r="90" spans="1:10" ht="30">
      <c r="A90" s="2204" t="s">
        <v>4629</v>
      </c>
      <c r="B90" s="2174" t="s">
        <v>4597</v>
      </c>
      <c r="C90" s="2192">
        <v>2</v>
      </c>
      <c r="D90" s="2176" t="s">
        <v>4599</v>
      </c>
      <c r="E90" s="2176" t="s">
        <v>2066</v>
      </c>
      <c r="F90" s="2188">
        <v>23901</v>
      </c>
      <c r="G90" s="2188">
        <v>28920.21</v>
      </c>
      <c r="H90" s="2175">
        <v>43746</v>
      </c>
      <c r="I90" s="2175">
        <v>44111</v>
      </c>
      <c r="J90" s="2244"/>
    </row>
    <row r="91" spans="1:10" ht="30">
      <c r="A91" s="2204" t="s">
        <v>4629</v>
      </c>
      <c r="B91" s="2174" t="s">
        <v>4597</v>
      </c>
      <c r="C91" s="2192">
        <v>3</v>
      </c>
      <c r="D91" s="2176" t="s">
        <v>4600</v>
      </c>
      <c r="E91" s="2176" t="s">
        <v>5597</v>
      </c>
      <c r="F91" s="2188">
        <v>7513930</v>
      </c>
      <c r="G91" s="2188">
        <v>9091855.2999999989</v>
      </c>
      <c r="H91" s="2175">
        <v>43746</v>
      </c>
      <c r="I91" s="2175">
        <v>44111</v>
      </c>
      <c r="J91" s="2244"/>
    </row>
    <row r="92" spans="1:10">
      <c r="A92" s="2204" t="s">
        <v>4637</v>
      </c>
      <c r="B92" s="2174" t="s">
        <v>4649</v>
      </c>
      <c r="C92" s="2192">
        <v>1</v>
      </c>
      <c r="D92" s="2176" t="s">
        <v>4648</v>
      </c>
      <c r="E92" s="2176" t="s">
        <v>5233</v>
      </c>
      <c r="F92" s="2188">
        <v>5924407.6799999997</v>
      </c>
      <c r="G92" s="2188">
        <v>7168533.29</v>
      </c>
      <c r="H92" s="2175">
        <v>43746</v>
      </c>
      <c r="I92" s="2175">
        <v>44111</v>
      </c>
      <c r="J92" s="2244"/>
    </row>
    <row r="93" spans="1:10" ht="75">
      <c r="A93" s="2204" t="s">
        <v>7225</v>
      </c>
      <c r="B93" s="2174" t="s">
        <v>7226</v>
      </c>
      <c r="C93" s="2192">
        <v>2</v>
      </c>
      <c r="D93" s="2176" t="s">
        <v>7227</v>
      </c>
      <c r="E93" s="2176" t="s">
        <v>7316</v>
      </c>
      <c r="F93" s="2188">
        <v>167220</v>
      </c>
      <c r="G93" s="2188">
        <v>202336.19999999998</v>
      </c>
      <c r="H93" s="2175">
        <v>44103</v>
      </c>
      <c r="I93" s="2175">
        <v>44111</v>
      </c>
      <c r="J93" s="2244"/>
    </row>
    <row r="94" spans="1:10" ht="75">
      <c r="A94" s="2204" t="s">
        <v>7225</v>
      </c>
      <c r="B94" s="2174" t="s">
        <v>7226</v>
      </c>
      <c r="C94" s="2192">
        <v>3</v>
      </c>
      <c r="D94" s="2176" t="s">
        <v>7228</v>
      </c>
      <c r="E94" s="2176" t="s">
        <v>7316</v>
      </c>
      <c r="F94" s="2188">
        <v>98400</v>
      </c>
      <c r="G94" s="2188">
        <v>119064</v>
      </c>
      <c r="H94" s="2175">
        <v>44109</v>
      </c>
      <c r="I94" s="2175">
        <v>44118</v>
      </c>
      <c r="J94" s="2244"/>
    </row>
    <row r="95" spans="1:10">
      <c r="A95" s="2204" t="s">
        <v>5314</v>
      </c>
      <c r="B95" s="2174" t="s">
        <v>5315</v>
      </c>
      <c r="C95" s="2192">
        <v>1</v>
      </c>
      <c r="D95" s="2176" t="s">
        <v>5316</v>
      </c>
      <c r="E95" s="2176" t="s">
        <v>2548</v>
      </c>
      <c r="F95" s="2188">
        <v>120377.4</v>
      </c>
      <c r="G95" s="2188">
        <v>132415.14000000001</v>
      </c>
      <c r="H95" s="2175">
        <v>43759</v>
      </c>
      <c r="I95" s="2175">
        <v>44124</v>
      </c>
      <c r="J95" s="2244"/>
    </row>
    <row r="96" spans="1:10" ht="30">
      <c r="A96" s="2204" t="s">
        <v>5314</v>
      </c>
      <c r="B96" s="2174" t="s">
        <v>5315</v>
      </c>
      <c r="C96" s="2192">
        <v>2</v>
      </c>
      <c r="D96" s="2176" t="s">
        <v>5317</v>
      </c>
      <c r="E96" s="2176" t="s">
        <v>2548</v>
      </c>
      <c r="F96" s="2188">
        <v>12558</v>
      </c>
      <c r="G96" s="2188">
        <v>13813.800000000001</v>
      </c>
      <c r="H96" s="2175">
        <v>43759</v>
      </c>
      <c r="I96" s="2175">
        <v>44124</v>
      </c>
      <c r="J96" s="2244"/>
    </row>
    <row r="97" spans="1:10">
      <c r="A97" s="2204" t="s">
        <v>5314</v>
      </c>
      <c r="B97" s="2174" t="s">
        <v>5315</v>
      </c>
      <c r="C97" s="2192">
        <v>3</v>
      </c>
      <c r="D97" s="2176" t="s">
        <v>5318</v>
      </c>
      <c r="E97" s="2176" t="s">
        <v>2548</v>
      </c>
      <c r="F97" s="2188">
        <v>844785.6</v>
      </c>
      <c r="G97" s="2188">
        <v>929264.16</v>
      </c>
      <c r="H97" s="2175">
        <v>43759</v>
      </c>
      <c r="I97" s="2175">
        <v>44124</v>
      </c>
      <c r="J97" s="2244"/>
    </row>
    <row r="98" spans="1:10" ht="30">
      <c r="A98" s="2204" t="s">
        <v>5314</v>
      </c>
      <c r="B98" s="2174" t="s">
        <v>5315</v>
      </c>
      <c r="C98" s="2192">
        <v>4</v>
      </c>
      <c r="D98" s="2176" t="s">
        <v>5319</v>
      </c>
      <c r="E98" s="2176" t="s">
        <v>2548</v>
      </c>
      <c r="F98" s="2188">
        <v>2690.4</v>
      </c>
      <c r="G98" s="2188">
        <v>2959.4400000000005</v>
      </c>
      <c r="H98" s="2175">
        <v>43759</v>
      </c>
      <c r="I98" s="2175">
        <v>44124</v>
      </c>
      <c r="J98" s="2244"/>
    </row>
    <row r="99" spans="1:10" ht="30">
      <c r="A99" s="2204" t="s">
        <v>4635</v>
      </c>
      <c r="B99" s="2174" t="s">
        <v>4616</v>
      </c>
      <c r="C99" s="2192">
        <v>1</v>
      </c>
      <c r="D99" s="2176" t="s">
        <v>4676</v>
      </c>
      <c r="E99" s="2176" t="s">
        <v>5470</v>
      </c>
      <c r="F99" s="2188">
        <v>518350</v>
      </c>
      <c r="G99" s="2188">
        <v>627203.5</v>
      </c>
      <c r="H99" s="2175">
        <v>43774</v>
      </c>
      <c r="I99" s="2175">
        <v>44139</v>
      </c>
      <c r="J99" s="2244"/>
    </row>
    <row r="100" spans="1:10" ht="30">
      <c r="A100" s="2204" t="s">
        <v>4635</v>
      </c>
      <c r="B100" s="2174" t="s">
        <v>4616</v>
      </c>
      <c r="C100" s="2192">
        <v>3</v>
      </c>
      <c r="D100" s="2176" t="s">
        <v>4678</v>
      </c>
      <c r="E100" s="2176" t="s">
        <v>5471</v>
      </c>
      <c r="F100" s="2188">
        <v>129404.85</v>
      </c>
      <c r="G100" s="2188">
        <v>156579.87</v>
      </c>
      <c r="H100" s="2175">
        <v>43774</v>
      </c>
      <c r="I100" s="2175">
        <v>44139</v>
      </c>
      <c r="J100" s="2244"/>
    </row>
    <row r="101" spans="1:10" ht="30">
      <c r="A101" s="2204" t="s">
        <v>4635</v>
      </c>
      <c r="B101" s="2174" t="s">
        <v>4616</v>
      </c>
      <c r="C101" s="2192">
        <v>7</v>
      </c>
      <c r="D101" s="2176" t="s">
        <v>4682</v>
      </c>
      <c r="E101" s="2176" t="s">
        <v>5354</v>
      </c>
      <c r="F101" s="2188">
        <v>230141.95</v>
      </c>
      <c r="G101" s="2188">
        <v>278471.76</v>
      </c>
      <c r="H101" s="2175">
        <v>43774</v>
      </c>
      <c r="I101" s="2175">
        <v>44139</v>
      </c>
      <c r="J101" s="2244"/>
    </row>
    <row r="102" spans="1:10" ht="30">
      <c r="A102" s="2204" t="s">
        <v>4635</v>
      </c>
      <c r="B102" s="2174" t="s">
        <v>4616</v>
      </c>
      <c r="C102" s="2192">
        <v>9</v>
      </c>
      <c r="D102" s="2176" t="s">
        <v>4684</v>
      </c>
      <c r="E102" s="2176" t="s">
        <v>5472</v>
      </c>
      <c r="F102" s="2188">
        <v>242122</v>
      </c>
      <c r="G102" s="2188">
        <v>292967.62</v>
      </c>
      <c r="H102" s="2175">
        <v>43774</v>
      </c>
      <c r="I102" s="2175">
        <v>44139</v>
      </c>
      <c r="J102" s="2244"/>
    </row>
    <row r="103" spans="1:10" ht="30">
      <c r="A103" s="2204" t="s">
        <v>4635</v>
      </c>
      <c r="B103" s="2174" t="s">
        <v>4616</v>
      </c>
      <c r="C103" s="2192">
        <v>13</v>
      </c>
      <c r="D103" s="2176" t="s">
        <v>4688</v>
      </c>
      <c r="E103" s="2176" t="s">
        <v>5471</v>
      </c>
      <c r="F103" s="2188">
        <v>15498</v>
      </c>
      <c r="G103" s="2188">
        <v>18752.580000000002</v>
      </c>
      <c r="H103" s="2175">
        <v>43774</v>
      </c>
      <c r="I103" s="2175">
        <v>44139</v>
      </c>
      <c r="J103" s="2244"/>
    </row>
    <row r="104" spans="1:10">
      <c r="A104" s="2204" t="s">
        <v>4632</v>
      </c>
      <c r="B104" s="2174" t="s">
        <v>4612</v>
      </c>
      <c r="C104" s="2192">
        <v>1</v>
      </c>
      <c r="D104" s="2176" t="s">
        <v>4613</v>
      </c>
      <c r="E104" s="2176" t="s">
        <v>1319</v>
      </c>
      <c r="F104" s="2188">
        <v>10400789.970000001</v>
      </c>
      <c r="G104" s="2188">
        <v>12584955.859999999</v>
      </c>
      <c r="H104" s="2175">
        <v>43776</v>
      </c>
      <c r="I104" s="2175">
        <v>44141</v>
      </c>
      <c r="J104" s="2244"/>
    </row>
    <row r="105" spans="1:10" ht="30">
      <c r="A105" s="2204" t="s">
        <v>4631</v>
      </c>
      <c r="B105" s="2174" t="s">
        <v>4611</v>
      </c>
      <c r="C105" s="2192">
        <v>1</v>
      </c>
      <c r="D105" s="2176" t="s">
        <v>4607</v>
      </c>
      <c r="E105" s="2176" t="s">
        <v>2066</v>
      </c>
      <c r="F105" s="2188">
        <v>245492.5</v>
      </c>
      <c r="G105" s="2188">
        <v>297045.93</v>
      </c>
      <c r="H105" s="2175">
        <v>43782</v>
      </c>
      <c r="I105" s="2175">
        <v>44147</v>
      </c>
      <c r="J105" s="2244"/>
    </row>
    <row r="106" spans="1:10" ht="30">
      <c r="A106" s="2204" t="s">
        <v>4631</v>
      </c>
      <c r="B106" s="2174" t="s">
        <v>4611</v>
      </c>
      <c r="C106" s="2192">
        <v>3</v>
      </c>
      <c r="D106" s="2176" t="s">
        <v>4609</v>
      </c>
      <c r="E106" s="2176" t="s">
        <v>5639</v>
      </c>
      <c r="F106" s="2188">
        <v>372700</v>
      </c>
      <c r="G106" s="2188">
        <v>450967</v>
      </c>
      <c r="H106" s="2175">
        <v>43782</v>
      </c>
      <c r="I106" s="2175">
        <v>44147</v>
      </c>
      <c r="J106" s="2244"/>
    </row>
    <row r="107" spans="1:10" ht="30">
      <c r="A107" s="2204" t="s">
        <v>4631</v>
      </c>
      <c r="B107" s="2174" t="s">
        <v>4611</v>
      </c>
      <c r="C107" s="2192">
        <v>4</v>
      </c>
      <c r="D107" s="2176" t="s">
        <v>4610</v>
      </c>
      <c r="E107" s="2176" t="s">
        <v>1319</v>
      </c>
      <c r="F107" s="2188">
        <v>9421090.1199999992</v>
      </c>
      <c r="G107" s="2188">
        <v>11399519.050000001</v>
      </c>
      <c r="H107" s="2175">
        <v>43782</v>
      </c>
      <c r="I107" s="2175">
        <v>44147</v>
      </c>
      <c r="J107" s="2244"/>
    </row>
    <row r="108" spans="1:10" ht="30">
      <c r="A108" s="2204" t="s">
        <v>4630</v>
      </c>
      <c r="B108" s="2174" t="s">
        <v>4601</v>
      </c>
      <c r="C108" s="2192">
        <v>1</v>
      </c>
      <c r="D108" s="2176" t="s">
        <v>4602</v>
      </c>
      <c r="E108" s="2176" t="s">
        <v>2066</v>
      </c>
      <c r="F108" s="2188">
        <v>7218</v>
      </c>
      <c r="G108" s="2188">
        <v>8733.7800000000007</v>
      </c>
      <c r="H108" s="2175">
        <v>43787</v>
      </c>
      <c r="I108" s="2175">
        <v>44152</v>
      </c>
      <c r="J108" s="2244"/>
    </row>
    <row r="109" spans="1:10" ht="30">
      <c r="A109" s="2204" t="s">
        <v>4630</v>
      </c>
      <c r="B109" s="2174" t="s">
        <v>4601</v>
      </c>
      <c r="C109" s="2192">
        <v>2</v>
      </c>
      <c r="D109" s="2176" t="s">
        <v>4603</v>
      </c>
      <c r="E109" s="2176" t="s">
        <v>1319</v>
      </c>
      <c r="F109" s="2188">
        <v>6443280.1600000001</v>
      </c>
      <c r="G109" s="2188">
        <v>7796368.9900000002</v>
      </c>
      <c r="H109" s="2175">
        <v>43787</v>
      </c>
      <c r="I109" s="2175">
        <v>44152</v>
      </c>
      <c r="J109" s="2244"/>
    </row>
    <row r="110" spans="1:10">
      <c r="A110" s="2204" t="s">
        <v>4630</v>
      </c>
      <c r="B110" s="2174" t="s">
        <v>4601</v>
      </c>
      <c r="C110" s="2192">
        <v>3</v>
      </c>
      <c r="D110" s="2176" t="s">
        <v>4604</v>
      </c>
      <c r="E110" s="2176" t="s">
        <v>3107</v>
      </c>
      <c r="F110" s="2188">
        <v>941643</v>
      </c>
      <c r="G110" s="2188">
        <v>1139388.03</v>
      </c>
      <c r="H110" s="2175">
        <v>43787</v>
      </c>
      <c r="I110" s="2175">
        <v>44152</v>
      </c>
      <c r="J110" s="2244"/>
    </row>
    <row r="111" spans="1:10">
      <c r="A111" s="2204" t="s">
        <v>4630</v>
      </c>
      <c r="B111" s="2174" t="s">
        <v>4601</v>
      </c>
      <c r="C111" s="2192">
        <v>4</v>
      </c>
      <c r="D111" s="2176" t="s">
        <v>4605</v>
      </c>
      <c r="E111" s="2176" t="s">
        <v>5639</v>
      </c>
      <c r="F111" s="2188">
        <v>2580</v>
      </c>
      <c r="G111" s="2188">
        <v>3121.8</v>
      </c>
      <c r="H111" s="2175">
        <v>43787</v>
      </c>
      <c r="I111" s="2175">
        <v>44152</v>
      </c>
      <c r="J111" s="2244"/>
    </row>
    <row r="112" spans="1:10">
      <c r="A112" s="2205" t="s">
        <v>8662</v>
      </c>
      <c r="B112" s="2193" t="s">
        <v>8663</v>
      </c>
      <c r="C112" s="2198">
        <v>1</v>
      </c>
      <c r="D112" s="2193" t="s">
        <v>8664</v>
      </c>
      <c r="E112" s="2193" t="s">
        <v>8665</v>
      </c>
      <c r="F112" s="2190">
        <v>140876</v>
      </c>
      <c r="G112" s="2190">
        <v>154963.6</v>
      </c>
      <c r="H112" s="2191">
        <v>43426</v>
      </c>
      <c r="I112" s="2191">
        <v>44156</v>
      </c>
      <c r="J112" s="2244" t="s">
        <v>8614</v>
      </c>
    </row>
    <row r="113" spans="1:10">
      <c r="A113" s="2205" t="s">
        <v>8656</v>
      </c>
      <c r="B113" s="2193" t="s">
        <v>8657</v>
      </c>
      <c r="C113" s="2198">
        <v>1</v>
      </c>
      <c r="D113" s="2193" t="s">
        <v>8658</v>
      </c>
      <c r="E113" s="2193" t="s">
        <v>8655</v>
      </c>
      <c r="F113" s="2190">
        <v>226136.42</v>
      </c>
      <c r="G113" s="2190">
        <v>248750.06200000003</v>
      </c>
      <c r="H113" s="2191">
        <v>43426</v>
      </c>
      <c r="I113" s="2191">
        <v>44156</v>
      </c>
      <c r="J113" s="2244" t="s">
        <v>8612</v>
      </c>
    </row>
    <row r="114" spans="1:10">
      <c r="A114" s="2205" t="s">
        <v>8659</v>
      </c>
      <c r="B114" s="2193" t="s">
        <v>8660</v>
      </c>
      <c r="C114" s="2198">
        <v>1</v>
      </c>
      <c r="D114" s="2193" t="s">
        <v>8661</v>
      </c>
      <c r="E114" s="2193" t="s">
        <v>8655</v>
      </c>
      <c r="F114" s="2190">
        <v>231979.84</v>
      </c>
      <c r="G114" s="2190">
        <v>255177.82400000002</v>
      </c>
      <c r="H114" s="2191">
        <v>43426</v>
      </c>
      <c r="I114" s="2191">
        <v>44156</v>
      </c>
      <c r="J114" s="2244" t="s">
        <v>8613</v>
      </c>
    </row>
    <row r="115" spans="1:10">
      <c r="A115" s="2204" t="s">
        <v>4634</v>
      </c>
      <c r="B115" s="2174" t="s">
        <v>4615</v>
      </c>
      <c r="C115" s="2192">
        <v>1</v>
      </c>
      <c r="D115" s="2176" t="s">
        <v>4673</v>
      </c>
      <c r="E115" s="2176" t="s">
        <v>5356</v>
      </c>
      <c r="F115" s="2188">
        <v>114895</v>
      </c>
      <c r="G115" s="2188">
        <v>139022.95000000001</v>
      </c>
      <c r="H115" s="2175">
        <v>43796</v>
      </c>
      <c r="I115" s="2175">
        <v>44161</v>
      </c>
      <c r="J115" s="2244"/>
    </row>
    <row r="116" spans="1:10">
      <c r="A116" s="2204" t="s">
        <v>4634</v>
      </c>
      <c r="B116" s="2174" t="s">
        <v>4615</v>
      </c>
      <c r="C116" s="2192">
        <v>2</v>
      </c>
      <c r="D116" s="2176" t="s">
        <v>4674</v>
      </c>
      <c r="E116" s="2176" t="s">
        <v>5356</v>
      </c>
      <c r="F116" s="2188">
        <v>5628645</v>
      </c>
      <c r="G116" s="2188">
        <v>6810660.4500000002</v>
      </c>
      <c r="H116" s="2175">
        <v>43796</v>
      </c>
      <c r="I116" s="2175">
        <v>44161</v>
      </c>
      <c r="J116" s="2244"/>
    </row>
    <row r="117" spans="1:10" ht="30">
      <c r="A117" s="2204" t="s">
        <v>4634</v>
      </c>
      <c r="B117" s="2174" t="s">
        <v>4615</v>
      </c>
      <c r="C117" s="2192">
        <v>3</v>
      </c>
      <c r="D117" s="2176" t="s">
        <v>4675</v>
      </c>
      <c r="E117" s="2176" t="s">
        <v>3107</v>
      </c>
      <c r="F117" s="2188">
        <v>3854751</v>
      </c>
      <c r="G117" s="2188">
        <v>4664248.71</v>
      </c>
      <c r="H117" s="2175">
        <v>43796</v>
      </c>
      <c r="I117" s="2175">
        <v>44161</v>
      </c>
      <c r="J117" s="2244"/>
    </row>
    <row r="118" spans="1:10" ht="30">
      <c r="A118" s="2204" t="s">
        <v>4639</v>
      </c>
      <c r="B118" s="2174" t="s">
        <v>4618</v>
      </c>
      <c r="C118" s="2192">
        <v>1</v>
      </c>
      <c r="D118" s="2176" t="s">
        <v>4619</v>
      </c>
      <c r="E118" s="2176" t="s">
        <v>5900</v>
      </c>
      <c r="F118" s="2188">
        <v>59000</v>
      </c>
      <c r="G118" s="2188">
        <v>71390</v>
      </c>
      <c r="H118" s="2175">
        <v>43817</v>
      </c>
      <c r="I118" s="2175">
        <v>44182</v>
      </c>
      <c r="J118" s="2244"/>
    </row>
    <row r="119" spans="1:10" ht="30">
      <c r="A119" s="2204" t="s">
        <v>4639</v>
      </c>
      <c r="B119" s="2174" t="s">
        <v>4618</v>
      </c>
      <c r="C119" s="2192">
        <v>4</v>
      </c>
      <c r="D119" s="2176" t="s">
        <v>4622</v>
      </c>
      <c r="E119" s="2176" t="s">
        <v>5901</v>
      </c>
      <c r="F119" s="2188">
        <v>1022982</v>
      </c>
      <c r="G119" s="2188">
        <v>1237808.22</v>
      </c>
      <c r="H119" s="2175">
        <v>43817</v>
      </c>
      <c r="I119" s="2175">
        <v>44182</v>
      </c>
      <c r="J119" s="2244"/>
    </row>
    <row r="120" spans="1:10">
      <c r="A120" s="2204" t="s">
        <v>4639</v>
      </c>
      <c r="B120" s="2174" t="s">
        <v>4618</v>
      </c>
      <c r="C120" s="2192">
        <v>6</v>
      </c>
      <c r="D120" s="2176" t="s">
        <v>4624</v>
      </c>
      <c r="E120" s="2176" t="s">
        <v>5902</v>
      </c>
      <c r="F120" s="2188">
        <v>107624.79</v>
      </c>
      <c r="G120" s="2188">
        <v>130226.01</v>
      </c>
      <c r="H120" s="2175">
        <v>43817</v>
      </c>
      <c r="I120" s="2175">
        <v>44182</v>
      </c>
      <c r="J120" s="2244"/>
    </row>
    <row r="121" spans="1:10">
      <c r="A121" s="2204" t="s">
        <v>4639</v>
      </c>
      <c r="B121" s="2174" t="s">
        <v>4618</v>
      </c>
      <c r="C121" s="2192">
        <v>8</v>
      </c>
      <c r="D121" s="2176" t="s">
        <v>4626</v>
      </c>
      <c r="E121" s="2176" t="s">
        <v>5902</v>
      </c>
      <c r="F121" s="2188">
        <v>117233.47</v>
      </c>
      <c r="G121" s="2188">
        <v>142149.51999999999</v>
      </c>
      <c r="H121" s="2175">
        <v>43817</v>
      </c>
      <c r="I121" s="2175">
        <v>44182</v>
      </c>
      <c r="J121" s="2244"/>
    </row>
    <row r="122" spans="1:10">
      <c r="A122" s="2204" t="s">
        <v>3246</v>
      </c>
      <c r="B122" s="2174" t="s">
        <v>3524</v>
      </c>
      <c r="C122" s="2192">
        <v>3</v>
      </c>
      <c r="D122" s="2176" t="s">
        <v>3698</v>
      </c>
      <c r="E122" s="2176" t="s">
        <v>1318</v>
      </c>
      <c r="F122" s="2188">
        <v>41204810.799999997</v>
      </c>
      <c r="G122" s="2188">
        <v>45325291.880000003</v>
      </c>
      <c r="H122" s="2175">
        <v>43469</v>
      </c>
      <c r="I122" s="2175">
        <v>44199</v>
      </c>
      <c r="J122" s="2244"/>
    </row>
    <row r="123" spans="1:10">
      <c r="A123" s="2204" t="s">
        <v>3246</v>
      </c>
      <c r="B123" s="2174" t="s">
        <v>3524</v>
      </c>
      <c r="C123" s="2192">
        <v>6</v>
      </c>
      <c r="D123" s="2176" t="s">
        <v>3699</v>
      </c>
      <c r="E123" s="2176" t="s">
        <v>1318</v>
      </c>
      <c r="F123" s="2188">
        <v>11439502.880000001</v>
      </c>
      <c r="G123" s="2188">
        <v>12583453.17</v>
      </c>
      <c r="H123" s="2175">
        <v>43469</v>
      </c>
      <c r="I123" s="2175">
        <v>44199</v>
      </c>
      <c r="J123" s="2244"/>
    </row>
    <row r="124" spans="1:10">
      <c r="A124" s="2204" t="s">
        <v>7044</v>
      </c>
      <c r="B124" s="2174" t="s">
        <v>7045</v>
      </c>
      <c r="C124" s="2192"/>
      <c r="D124" s="2176"/>
      <c r="E124" s="2176" t="s">
        <v>7315</v>
      </c>
      <c r="F124" s="2188">
        <v>7488400</v>
      </c>
      <c r="G124" s="2188">
        <v>9060964</v>
      </c>
      <c r="H124" s="2175">
        <v>44083</v>
      </c>
      <c r="I124" s="2175">
        <v>44205</v>
      </c>
      <c r="J124" s="2244"/>
    </row>
    <row r="125" spans="1:10" ht="30">
      <c r="A125" s="2204" t="s">
        <v>4639</v>
      </c>
      <c r="B125" s="2174" t="s">
        <v>4618</v>
      </c>
      <c r="C125" s="2192">
        <v>3</v>
      </c>
      <c r="D125" s="2176" t="s">
        <v>4621</v>
      </c>
      <c r="E125" s="2176" t="s">
        <v>1319</v>
      </c>
      <c r="F125" s="2188">
        <v>1053324.42</v>
      </c>
      <c r="G125" s="2188">
        <v>1274522.55</v>
      </c>
      <c r="H125" s="2175">
        <v>43850</v>
      </c>
      <c r="I125" s="2175">
        <v>44215</v>
      </c>
      <c r="J125" s="2244"/>
    </row>
    <row r="126" spans="1:10">
      <c r="A126" s="2204" t="s">
        <v>4639</v>
      </c>
      <c r="B126" s="2174" t="s">
        <v>4618</v>
      </c>
      <c r="C126" s="2192">
        <v>5</v>
      </c>
      <c r="D126" s="2176" t="s">
        <v>4623</v>
      </c>
      <c r="E126" s="2176" t="s">
        <v>5353</v>
      </c>
      <c r="F126" s="2188">
        <v>256725</v>
      </c>
      <c r="G126" s="2188">
        <v>310637.25</v>
      </c>
      <c r="H126" s="2175">
        <v>43850</v>
      </c>
      <c r="I126" s="2175">
        <v>44215</v>
      </c>
      <c r="J126" s="2244"/>
    </row>
    <row r="127" spans="1:10">
      <c r="A127" s="2204" t="s">
        <v>4773</v>
      </c>
      <c r="B127" s="2174" t="s">
        <v>4783</v>
      </c>
      <c r="C127" s="2192">
        <v>2</v>
      </c>
      <c r="D127" s="2176" t="s">
        <v>4785</v>
      </c>
      <c r="E127" s="2176" t="s">
        <v>2066</v>
      </c>
      <c r="F127" s="2188">
        <v>120018</v>
      </c>
      <c r="G127" s="2188">
        <v>145221.78</v>
      </c>
      <c r="H127" s="2175">
        <v>43850</v>
      </c>
      <c r="I127" s="2175">
        <v>44215</v>
      </c>
      <c r="J127" s="2244"/>
    </row>
    <row r="128" spans="1:10" ht="30">
      <c r="A128" s="2204" t="s">
        <v>4774</v>
      </c>
      <c r="B128" s="2174" t="s">
        <v>4792</v>
      </c>
      <c r="C128" s="2192">
        <v>2</v>
      </c>
      <c r="D128" s="2176" t="s">
        <v>4794</v>
      </c>
      <c r="E128" s="2176" t="s">
        <v>5901</v>
      </c>
      <c r="F128" s="2188">
        <v>142931.54</v>
      </c>
      <c r="G128" s="2188">
        <v>172947.16</v>
      </c>
      <c r="H128" s="2175">
        <v>43850</v>
      </c>
      <c r="I128" s="2175">
        <v>44215</v>
      </c>
      <c r="J128" s="2244"/>
    </row>
    <row r="129" spans="1:10" ht="30">
      <c r="A129" s="2204" t="s">
        <v>4774</v>
      </c>
      <c r="B129" s="2174" t="s">
        <v>4792</v>
      </c>
      <c r="C129" s="2192">
        <v>4</v>
      </c>
      <c r="D129" s="2176" t="s">
        <v>4796</v>
      </c>
      <c r="E129" s="2176" t="s">
        <v>5949</v>
      </c>
      <c r="F129" s="2188">
        <v>235926</v>
      </c>
      <c r="G129" s="2188">
        <v>285470.46000000002</v>
      </c>
      <c r="H129" s="2175">
        <v>43850</v>
      </c>
      <c r="I129" s="2175">
        <v>44215</v>
      </c>
      <c r="J129" s="2244"/>
    </row>
    <row r="130" spans="1:10" ht="30">
      <c r="A130" s="2204" t="s">
        <v>4774</v>
      </c>
      <c r="B130" s="2174" t="s">
        <v>4792</v>
      </c>
      <c r="C130" s="2192">
        <v>5</v>
      </c>
      <c r="D130" s="2176" t="s">
        <v>4797</v>
      </c>
      <c r="E130" s="2176" t="s">
        <v>2993</v>
      </c>
      <c r="F130" s="2188">
        <v>74700</v>
      </c>
      <c r="G130" s="2188">
        <v>90387</v>
      </c>
      <c r="H130" s="2175">
        <v>43850</v>
      </c>
      <c r="I130" s="2175">
        <v>44215</v>
      </c>
      <c r="J130" s="2244"/>
    </row>
    <row r="131" spans="1:10">
      <c r="A131" s="2204" t="s">
        <v>4774</v>
      </c>
      <c r="B131" s="2174" t="s">
        <v>4792</v>
      </c>
      <c r="C131" s="2192">
        <v>8</v>
      </c>
      <c r="D131" s="2176" t="s">
        <v>4800</v>
      </c>
      <c r="E131" s="2176" t="s">
        <v>5983</v>
      </c>
      <c r="F131" s="2188">
        <v>479481</v>
      </c>
      <c r="G131" s="2188">
        <v>580172.01</v>
      </c>
      <c r="H131" s="2175">
        <v>43850</v>
      </c>
      <c r="I131" s="2175">
        <v>44215</v>
      </c>
      <c r="J131" s="2244"/>
    </row>
    <row r="132" spans="1:10">
      <c r="A132" s="2205" t="s">
        <v>8652</v>
      </c>
      <c r="B132" s="2193" t="s">
        <v>8653</v>
      </c>
      <c r="C132" s="2198">
        <v>1</v>
      </c>
      <c r="D132" s="2193" t="s">
        <v>8654</v>
      </c>
      <c r="E132" s="2193" t="s">
        <v>8655</v>
      </c>
      <c r="F132" s="2190">
        <v>195919.8</v>
      </c>
      <c r="G132" s="2190">
        <v>215511.78</v>
      </c>
      <c r="H132" s="2191">
        <v>43494</v>
      </c>
      <c r="I132" s="2191">
        <v>44224</v>
      </c>
      <c r="J132" s="2244" t="s">
        <v>8611</v>
      </c>
    </row>
    <row r="133" spans="1:10">
      <c r="A133" s="2204" t="s">
        <v>4639</v>
      </c>
      <c r="B133" s="2174" t="s">
        <v>4618</v>
      </c>
      <c r="C133" s="2192">
        <v>9</v>
      </c>
      <c r="D133" s="2176" t="s">
        <v>4627</v>
      </c>
      <c r="E133" s="2176" t="s">
        <v>5903</v>
      </c>
      <c r="F133" s="2188">
        <v>91578</v>
      </c>
      <c r="G133" s="2188">
        <v>110809.38</v>
      </c>
      <c r="H133" s="2175">
        <v>43859</v>
      </c>
      <c r="I133" s="2175">
        <v>44224</v>
      </c>
      <c r="J133" s="2244"/>
    </row>
    <row r="134" spans="1:10" ht="30">
      <c r="A134" s="2204" t="s">
        <v>4773</v>
      </c>
      <c r="B134" s="2174" t="s">
        <v>4783</v>
      </c>
      <c r="C134" s="2192">
        <v>3</v>
      </c>
      <c r="D134" s="2176" t="s">
        <v>4786</v>
      </c>
      <c r="E134" s="2176" t="s">
        <v>5333</v>
      </c>
      <c r="F134" s="2188">
        <v>61860</v>
      </c>
      <c r="G134" s="2188">
        <v>74850.600000000006</v>
      </c>
      <c r="H134" s="2175">
        <v>43874</v>
      </c>
      <c r="I134" s="2175">
        <v>44239</v>
      </c>
      <c r="J134" s="2244"/>
    </row>
    <row r="135" spans="1:10" ht="30">
      <c r="A135" s="2204" t="s">
        <v>4773</v>
      </c>
      <c r="B135" s="2174" t="s">
        <v>4783</v>
      </c>
      <c r="C135" s="2192">
        <v>4</v>
      </c>
      <c r="D135" s="2176" t="s">
        <v>4787</v>
      </c>
      <c r="E135" s="2176" t="s">
        <v>5979</v>
      </c>
      <c r="F135" s="2188">
        <v>258489</v>
      </c>
      <c r="G135" s="2188">
        <v>312771.69</v>
      </c>
      <c r="H135" s="2175">
        <v>43874</v>
      </c>
      <c r="I135" s="2175">
        <v>44239</v>
      </c>
      <c r="J135" s="2244"/>
    </row>
    <row r="136" spans="1:10" ht="30">
      <c r="A136" s="2204" t="s">
        <v>4773</v>
      </c>
      <c r="B136" s="2174" t="s">
        <v>4783</v>
      </c>
      <c r="C136" s="2192">
        <v>6</v>
      </c>
      <c r="D136" s="2176" t="s">
        <v>4789</v>
      </c>
      <c r="E136" s="2176" t="s">
        <v>5471</v>
      </c>
      <c r="F136" s="2188">
        <v>1052298.1000000001</v>
      </c>
      <c r="G136" s="2188">
        <v>1273280.7</v>
      </c>
      <c r="H136" s="2175">
        <v>43874</v>
      </c>
      <c r="I136" s="2175">
        <v>44239</v>
      </c>
      <c r="J136" s="2244"/>
    </row>
    <row r="137" spans="1:10" ht="30">
      <c r="A137" s="2204" t="s">
        <v>4773</v>
      </c>
      <c r="B137" s="2174" t="s">
        <v>4783</v>
      </c>
      <c r="C137" s="2192">
        <v>8</v>
      </c>
      <c r="D137" s="2176" t="s">
        <v>4791</v>
      </c>
      <c r="E137" s="2176" t="s">
        <v>1319</v>
      </c>
      <c r="F137" s="2188">
        <v>133296</v>
      </c>
      <c r="G137" s="2188">
        <v>161288.16</v>
      </c>
      <c r="H137" s="2175">
        <v>43874</v>
      </c>
      <c r="I137" s="2175">
        <v>44239</v>
      </c>
      <c r="J137" s="2244"/>
    </row>
    <row r="138" spans="1:10" ht="30">
      <c r="A138" s="2204" t="s">
        <v>4774</v>
      </c>
      <c r="B138" s="2174" t="s">
        <v>4792</v>
      </c>
      <c r="C138" s="2192">
        <v>6</v>
      </c>
      <c r="D138" s="2176" t="s">
        <v>4798</v>
      </c>
      <c r="E138" s="2176" t="s">
        <v>5471</v>
      </c>
      <c r="F138" s="2188">
        <v>749113.9</v>
      </c>
      <c r="G138" s="2188">
        <v>906427.82</v>
      </c>
      <c r="H138" s="2175">
        <v>43878</v>
      </c>
      <c r="I138" s="2175">
        <v>44243</v>
      </c>
      <c r="J138" s="2244"/>
    </row>
    <row r="139" spans="1:10" ht="30">
      <c r="A139" s="2204" t="s">
        <v>4774</v>
      </c>
      <c r="B139" s="2174" t="s">
        <v>4792</v>
      </c>
      <c r="C139" s="2192">
        <v>7</v>
      </c>
      <c r="D139" s="2176" t="s">
        <v>4799</v>
      </c>
      <c r="E139" s="2176" t="s">
        <v>1319</v>
      </c>
      <c r="F139" s="2188">
        <v>653039.55000000005</v>
      </c>
      <c r="G139" s="2188">
        <v>790177.86</v>
      </c>
      <c r="H139" s="2175">
        <v>43878</v>
      </c>
      <c r="I139" s="2175">
        <v>44243</v>
      </c>
      <c r="J139" s="2244"/>
    </row>
    <row r="140" spans="1:10">
      <c r="A140" s="2204" t="s">
        <v>4774</v>
      </c>
      <c r="B140" s="2174" t="s">
        <v>4792</v>
      </c>
      <c r="C140" s="2192">
        <v>9</v>
      </c>
      <c r="D140" s="2176" t="s">
        <v>4801</v>
      </c>
      <c r="E140" s="2176" t="s">
        <v>5984</v>
      </c>
      <c r="F140" s="2188">
        <v>741850</v>
      </c>
      <c r="G140" s="2188">
        <v>897638.5</v>
      </c>
      <c r="H140" s="2175">
        <v>43878</v>
      </c>
      <c r="I140" s="2175">
        <v>44243</v>
      </c>
      <c r="J140" s="2244"/>
    </row>
    <row r="141" spans="1:10">
      <c r="A141" s="2204" t="s">
        <v>4628</v>
      </c>
      <c r="B141" s="2174" t="s">
        <v>4578</v>
      </c>
      <c r="C141" s="2192">
        <v>1</v>
      </c>
      <c r="D141" s="2176" t="s">
        <v>4579</v>
      </c>
      <c r="E141" s="2176" t="s">
        <v>5639</v>
      </c>
      <c r="F141" s="2188">
        <v>7800</v>
      </c>
      <c r="G141" s="2188">
        <v>9438</v>
      </c>
      <c r="H141" s="2175">
        <v>43880</v>
      </c>
      <c r="I141" s="2175">
        <v>44245</v>
      </c>
      <c r="J141" s="2244"/>
    </row>
    <row r="142" spans="1:10" ht="30">
      <c r="A142" s="2204" t="s">
        <v>4628</v>
      </c>
      <c r="B142" s="2174" t="s">
        <v>4578</v>
      </c>
      <c r="C142" s="2192">
        <v>3</v>
      </c>
      <c r="D142" s="2176" t="s">
        <v>4581</v>
      </c>
      <c r="E142" s="2176" t="s">
        <v>3479</v>
      </c>
      <c r="F142" s="2188">
        <v>450000</v>
      </c>
      <c r="G142" s="2188">
        <v>544500</v>
      </c>
      <c r="H142" s="2175">
        <v>43880</v>
      </c>
      <c r="I142" s="2175">
        <v>44245</v>
      </c>
      <c r="J142" s="2244"/>
    </row>
    <row r="143" spans="1:10" ht="30">
      <c r="A143" s="2204" t="s">
        <v>4628</v>
      </c>
      <c r="B143" s="2174" t="s">
        <v>4578</v>
      </c>
      <c r="C143" s="2192">
        <v>4</v>
      </c>
      <c r="D143" s="2176" t="s">
        <v>4582</v>
      </c>
      <c r="E143" s="2176" t="s">
        <v>3479</v>
      </c>
      <c r="F143" s="2188">
        <v>43450</v>
      </c>
      <c r="G143" s="2188">
        <v>52574.5</v>
      </c>
      <c r="H143" s="2175">
        <v>43880</v>
      </c>
      <c r="I143" s="2175">
        <v>44245</v>
      </c>
      <c r="J143" s="2244"/>
    </row>
    <row r="144" spans="1:10" ht="30">
      <c r="A144" s="2204" t="s">
        <v>4628</v>
      </c>
      <c r="B144" s="2174" t="s">
        <v>4578</v>
      </c>
      <c r="C144" s="2192">
        <v>5</v>
      </c>
      <c r="D144" s="2176" t="s">
        <v>4583</v>
      </c>
      <c r="E144" s="2176" t="s">
        <v>3479</v>
      </c>
      <c r="F144" s="2188">
        <v>9780</v>
      </c>
      <c r="G144" s="2188">
        <v>11833.8</v>
      </c>
      <c r="H144" s="2175">
        <v>43880</v>
      </c>
      <c r="I144" s="2175">
        <v>44245</v>
      </c>
      <c r="J144" s="2244"/>
    </row>
    <row r="145" spans="1:10" ht="30">
      <c r="A145" s="2204" t="s">
        <v>4628</v>
      </c>
      <c r="B145" s="2174" t="s">
        <v>4578</v>
      </c>
      <c r="C145" s="2192">
        <v>6</v>
      </c>
      <c r="D145" s="2176" t="s">
        <v>4584</v>
      </c>
      <c r="E145" s="2176" t="s">
        <v>3479</v>
      </c>
      <c r="F145" s="2188">
        <v>1800</v>
      </c>
      <c r="G145" s="2188">
        <v>2178</v>
      </c>
      <c r="H145" s="2175">
        <v>43880</v>
      </c>
      <c r="I145" s="2175">
        <v>44245</v>
      </c>
      <c r="J145" s="2244"/>
    </row>
    <row r="146" spans="1:10">
      <c r="A146" s="2204" t="s">
        <v>4628</v>
      </c>
      <c r="B146" s="2174" t="s">
        <v>4578</v>
      </c>
      <c r="C146" s="2192">
        <v>7</v>
      </c>
      <c r="D146" s="2176" t="s">
        <v>4585</v>
      </c>
      <c r="E146" s="2176" t="s">
        <v>5353</v>
      </c>
      <c r="F146" s="2188">
        <v>204400</v>
      </c>
      <c r="G146" s="2188">
        <v>247324</v>
      </c>
      <c r="H146" s="2175">
        <v>43880</v>
      </c>
      <c r="I146" s="2175">
        <v>44245</v>
      </c>
      <c r="J146" s="2244"/>
    </row>
    <row r="147" spans="1:10">
      <c r="A147" s="2204" t="s">
        <v>4628</v>
      </c>
      <c r="B147" s="2174" t="s">
        <v>4578</v>
      </c>
      <c r="C147" s="2192">
        <v>9</v>
      </c>
      <c r="D147" s="2176" t="s">
        <v>4587</v>
      </c>
      <c r="E147" s="2176" t="s">
        <v>5804</v>
      </c>
      <c r="F147" s="2188">
        <v>160200</v>
      </c>
      <c r="G147" s="2188">
        <v>193842</v>
      </c>
      <c r="H147" s="2175">
        <v>43880</v>
      </c>
      <c r="I147" s="2175">
        <v>44245</v>
      </c>
      <c r="J147" s="2244"/>
    </row>
    <row r="148" spans="1:10">
      <c r="A148" s="2204" t="s">
        <v>4628</v>
      </c>
      <c r="B148" s="2174" t="s">
        <v>4578</v>
      </c>
      <c r="C148" s="2192">
        <v>10</v>
      </c>
      <c r="D148" s="2176" t="s">
        <v>4588</v>
      </c>
      <c r="E148" s="2176" t="s">
        <v>2066</v>
      </c>
      <c r="F148" s="2188">
        <v>8750</v>
      </c>
      <c r="G148" s="2188">
        <v>10587.5</v>
      </c>
      <c r="H148" s="2175">
        <v>43880</v>
      </c>
      <c r="I148" s="2175">
        <v>44245</v>
      </c>
      <c r="J148" s="2244"/>
    </row>
    <row r="149" spans="1:10">
      <c r="A149" s="2204" t="s">
        <v>4628</v>
      </c>
      <c r="B149" s="2174" t="s">
        <v>4578</v>
      </c>
      <c r="C149" s="2192">
        <v>14</v>
      </c>
      <c r="D149" s="2176" t="s">
        <v>4592</v>
      </c>
      <c r="E149" s="2176" t="s">
        <v>6117</v>
      </c>
      <c r="F149" s="2188">
        <v>242505.8</v>
      </c>
      <c r="G149" s="2188">
        <v>293432.02</v>
      </c>
      <c r="H149" s="2175">
        <v>43880</v>
      </c>
      <c r="I149" s="2175">
        <v>44245</v>
      </c>
      <c r="J149" s="2244"/>
    </row>
    <row r="150" spans="1:10" ht="30">
      <c r="A150" s="2204" t="s">
        <v>4628</v>
      </c>
      <c r="B150" s="2174" t="s">
        <v>4578</v>
      </c>
      <c r="C150" s="2192">
        <v>15</v>
      </c>
      <c r="D150" s="2176" t="s">
        <v>4593</v>
      </c>
      <c r="E150" s="2176" t="s">
        <v>3107</v>
      </c>
      <c r="F150" s="2188">
        <v>1023157.5</v>
      </c>
      <c r="G150" s="2188">
        <v>1238020.58</v>
      </c>
      <c r="H150" s="2175">
        <v>43880</v>
      </c>
      <c r="I150" s="2175">
        <v>44245</v>
      </c>
      <c r="J150" s="2244"/>
    </row>
    <row r="151" spans="1:10">
      <c r="A151" s="2204" t="s">
        <v>4636</v>
      </c>
      <c r="B151" s="2174" t="s">
        <v>4617</v>
      </c>
      <c r="C151" s="2192">
        <v>1</v>
      </c>
      <c r="D151" s="2176" t="s">
        <v>4640</v>
      </c>
      <c r="E151" s="2176" t="s">
        <v>5979</v>
      </c>
      <c r="F151" s="2188">
        <v>2903040</v>
      </c>
      <c r="G151" s="2188">
        <v>3512678.3999999999</v>
      </c>
      <c r="H151" s="2175">
        <v>43886</v>
      </c>
      <c r="I151" s="2175">
        <v>44251</v>
      </c>
      <c r="J151" s="2244"/>
    </row>
    <row r="152" spans="1:10" ht="30">
      <c r="A152" s="2204" t="s">
        <v>4636</v>
      </c>
      <c r="B152" s="2174" t="s">
        <v>4617</v>
      </c>
      <c r="C152" s="2192">
        <v>3</v>
      </c>
      <c r="D152" s="2176" t="s">
        <v>4642</v>
      </c>
      <c r="E152" s="2176" t="s">
        <v>1319</v>
      </c>
      <c r="F152" s="2188">
        <v>285400</v>
      </c>
      <c r="G152" s="2188">
        <v>345334</v>
      </c>
      <c r="H152" s="2175">
        <v>43886</v>
      </c>
      <c r="I152" s="2175">
        <v>44251</v>
      </c>
      <c r="J152" s="2244"/>
    </row>
    <row r="153" spans="1:10" ht="30">
      <c r="A153" s="2204" t="s">
        <v>4636</v>
      </c>
      <c r="B153" s="2174" t="s">
        <v>4617</v>
      </c>
      <c r="C153" s="2192">
        <v>5</v>
      </c>
      <c r="D153" s="2176" t="s">
        <v>4644</v>
      </c>
      <c r="E153" s="2176" t="s">
        <v>4857</v>
      </c>
      <c r="F153" s="2188">
        <v>237646.8</v>
      </c>
      <c r="G153" s="2188">
        <v>287552.63</v>
      </c>
      <c r="H153" s="2175">
        <v>43886</v>
      </c>
      <c r="I153" s="2175">
        <v>44251</v>
      </c>
      <c r="J153" s="2244"/>
    </row>
    <row r="154" spans="1:10" ht="30">
      <c r="A154" s="2204" t="s">
        <v>4636</v>
      </c>
      <c r="B154" s="2174" t="s">
        <v>4617</v>
      </c>
      <c r="C154" s="2192">
        <v>7</v>
      </c>
      <c r="D154" s="2176" t="s">
        <v>4646</v>
      </c>
      <c r="E154" s="2176" t="s">
        <v>6117</v>
      </c>
      <c r="F154" s="2188">
        <v>906965.5</v>
      </c>
      <c r="G154" s="2188">
        <v>1097428.26</v>
      </c>
      <c r="H154" s="2175">
        <v>43886</v>
      </c>
      <c r="I154" s="2175">
        <v>44251</v>
      </c>
      <c r="J154" s="2244"/>
    </row>
    <row r="155" spans="1:10" ht="30">
      <c r="A155" s="2204" t="s">
        <v>4636</v>
      </c>
      <c r="B155" s="2174" t="s">
        <v>4617</v>
      </c>
      <c r="C155" s="2192">
        <v>8</v>
      </c>
      <c r="D155" s="2176" t="s">
        <v>4647</v>
      </c>
      <c r="E155" s="2176" t="s">
        <v>6173</v>
      </c>
      <c r="F155" s="2188">
        <v>2723403.66</v>
      </c>
      <c r="G155" s="2188">
        <v>3295318.43</v>
      </c>
      <c r="H155" s="2175">
        <v>43886</v>
      </c>
      <c r="I155" s="2175">
        <v>44251</v>
      </c>
      <c r="J155" s="2244"/>
    </row>
    <row r="156" spans="1:10" ht="30">
      <c r="A156" s="2204" t="s">
        <v>4633</v>
      </c>
      <c r="B156" s="2174" t="s">
        <v>4614</v>
      </c>
      <c r="C156" s="2192">
        <v>1</v>
      </c>
      <c r="D156" s="2176" t="s">
        <v>4666</v>
      </c>
      <c r="E156" s="2176" t="s">
        <v>6128</v>
      </c>
      <c r="F156" s="2188">
        <v>252220</v>
      </c>
      <c r="G156" s="2188">
        <v>305186.2</v>
      </c>
      <c r="H156" s="2175">
        <v>43886</v>
      </c>
      <c r="I156" s="2175">
        <v>44251</v>
      </c>
      <c r="J156" s="2244"/>
    </row>
    <row r="157" spans="1:10" ht="30">
      <c r="A157" s="2204" t="s">
        <v>4633</v>
      </c>
      <c r="B157" s="2174" t="s">
        <v>4614</v>
      </c>
      <c r="C157" s="2192">
        <v>2</v>
      </c>
      <c r="D157" s="2176" t="s">
        <v>5491</v>
      </c>
      <c r="E157" s="2176" t="s">
        <v>6129</v>
      </c>
      <c r="F157" s="2188">
        <v>3001319</v>
      </c>
      <c r="G157" s="2188">
        <v>3631595.99</v>
      </c>
      <c r="H157" s="2175">
        <v>43886</v>
      </c>
      <c r="I157" s="2175">
        <v>44251</v>
      </c>
      <c r="J157" s="2244"/>
    </row>
    <row r="158" spans="1:10">
      <c r="A158" s="2204" t="s">
        <v>4633</v>
      </c>
      <c r="B158" s="2174" t="s">
        <v>4614</v>
      </c>
      <c r="C158" s="2192">
        <v>5</v>
      </c>
      <c r="D158" s="2176" t="s">
        <v>4667</v>
      </c>
      <c r="E158" s="2176" t="s">
        <v>5333</v>
      </c>
      <c r="F158" s="2188">
        <v>107440</v>
      </c>
      <c r="G158" s="2188">
        <v>130002.4</v>
      </c>
      <c r="H158" s="2175">
        <v>43886</v>
      </c>
      <c r="I158" s="2175">
        <v>44251</v>
      </c>
      <c r="J158" s="2244"/>
    </row>
    <row r="159" spans="1:10" ht="30">
      <c r="A159" s="2204" t="s">
        <v>4633</v>
      </c>
      <c r="B159" s="2174" t="s">
        <v>4614</v>
      </c>
      <c r="C159" s="2192">
        <v>6</v>
      </c>
      <c r="D159" s="2176" t="s">
        <v>4668</v>
      </c>
      <c r="E159" s="2176" t="s">
        <v>6130</v>
      </c>
      <c r="F159" s="2188">
        <v>443294</v>
      </c>
      <c r="G159" s="2188">
        <v>509788.1</v>
      </c>
      <c r="H159" s="2175">
        <v>43886</v>
      </c>
      <c r="I159" s="2175">
        <v>44251</v>
      </c>
      <c r="J159" s="2244"/>
    </row>
    <row r="160" spans="1:10" ht="30">
      <c r="A160" s="2204" t="s">
        <v>4633</v>
      </c>
      <c r="B160" s="2174" t="s">
        <v>4614</v>
      </c>
      <c r="C160" s="2192">
        <v>9</v>
      </c>
      <c r="D160" s="2176" t="s">
        <v>4671</v>
      </c>
      <c r="E160" s="2176" t="s">
        <v>6131</v>
      </c>
      <c r="F160" s="2188">
        <v>630740</v>
      </c>
      <c r="G160" s="2188">
        <v>763195.4</v>
      </c>
      <c r="H160" s="2175">
        <v>43886</v>
      </c>
      <c r="I160" s="2175">
        <v>44251</v>
      </c>
      <c r="J160" s="2244"/>
    </row>
    <row r="161" spans="1:10" ht="30">
      <c r="A161" s="2204" t="s">
        <v>4638</v>
      </c>
      <c r="B161" s="2174" t="s">
        <v>4665</v>
      </c>
      <c r="C161" s="2192">
        <v>1</v>
      </c>
      <c r="D161" s="2176" t="s">
        <v>4650</v>
      </c>
      <c r="E161" s="2176" t="s">
        <v>6518</v>
      </c>
      <c r="F161" s="2188">
        <v>182306.4</v>
      </c>
      <c r="G161" s="2188">
        <v>220590.74</v>
      </c>
      <c r="H161" s="2175">
        <v>43887</v>
      </c>
      <c r="I161" s="2175">
        <v>44252</v>
      </c>
      <c r="J161" s="2244"/>
    </row>
    <row r="162" spans="1:10" ht="30">
      <c r="A162" s="2204" t="s">
        <v>4638</v>
      </c>
      <c r="B162" s="2174" t="s">
        <v>4665</v>
      </c>
      <c r="C162" s="2192">
        <v>2</v>
      </c>
      <c r="D162" s="2176" t="s">
        <v>4651</v>
      </c>
      <c r="E162" s="2176" t="s">
        <v>2066</v>
      </c>
      <c r="F162" s="2188">
        <v>280887</v>
      </c>
      <c r="G162" s="2188">
        <v>339873.27</v>
      </c>
      <c r="H162" s="2175">
        <v>43887</v>
      </c>
      <c r="I162" s="2175">
        <v>44252</v>
      </c>
      <c r="J162" s="2244"/>
    </row>
    <row r="163" spans="1:10" ht="30">
      <c r="A163" s="2204" t="s">
        <v>4638</v>
      </c>
      <c r="B163" s="2174" t="s">
        <v>4665</v>
      </c>
      <c r="C163" s="2192">
        <v>3</v>
      </c>
      <c r="D163" s="2176" t="s">
        <v>4652</v>
      </c>
      <c r="E163" s="2176" t="s">
        <v>6242</v>
      </c>
      <c r="F163" s="2188">
        <v>12355</v>
      </c>
      <c r="G163" s="2188">
        <v>14949.55</v>
      </c>
      <c r="H163" s="2175">
        <v>43887</v>
      </c>
      <c r="I163" s="2175">
        <v>44252</v>
      </c>
      <c r="J163" s="2244"/>
    </row>
    <row r="164" spans="1:10" ht="30">
      <c r="A164" s="2204" t="s">
        <v>4638</v>
      </c>
      <c r="B164" s="2174" t="s">
        <v>4665</v>
      </c>
      <c r="C164" s="2192">
        <v>4</v>
      </c>
      <c r="D164" s="2176" t="s">
        <v>4653</v>
      </c>
      <c r="E164" s="2176" t="s">
        <v>6131</v>
      </c>
      <c r="F164" s="2188">
        <v>377920</v>
      </c>
      <c r="G164" s="2188">
        <v>457283.2</v>
      </c>
      <c r="H164" s="2175">
        <v>43887</v>
      </c>
      <c r="I164" s="2175">
        <v>44252</v>
      </c>
      <c r="J164" s="2244"/>
    </row>
    <row r="165" spans="1:10">
      <c r="A165" s="2204" t="s">
        <v>4638</v>
      </c>
      <c r="B165" s="2174" t="s">
        <v>4665</v>
      </c>
      <c r="C165" s="2192">
        <v>5</v>
      </c>
      <c r="D165" s="2176" t="s">
        <v>4654</v>
      </c>
      <c r="E165" s="2176" t="s">
        <v>6243</v>
      </c>
      <c r="F165" s="2188">
        <v>354775.75</v>
      </c>
      <c r="G165" s="2188">
        <v>429278.66</v>
      </c>
      <c r="H165" s="2175">
        <v>43887</v>
      </c>
      <c r="I165" s="2175">
        <v>44252</v>
      </c>
      <c r="J165" s="2244"/>
    </row>
    <row r="166" spans="1:10" ht="30">
      <c r="A166" s="2204" t="s">
        <v>4638</v>
      </c>
      <c r="B166" s="2174" t="s">
        <v>4665</v>
      </c>
      <c r="C166" s="2192">
        <v>6</v>
      </c>
      <c r="D166" s="2176" t="s">
        <v>4655</v>
      </c>
      <c r="E166" s="2176" t="s">
        <v>6173</v>
      </c>
      <c r="F166" s="2188">
        <v>159480.6</v>
      </c>
      <c r="G166" s="2188">
        <v>192971.53</v>
      </c>
      <c r="H166" s="2175">
        <v>43887</v>
      </c>
      <c r="I166" s="2175">
        <v>44252</v>
      </c>
      <c r="J166" s="2244"/>
    </row>
    <row r="167" spans="1:10" ht="30">
      <c r="A167" s="2204" t="s">
        <v>4638</v>
      </c>
      <c r="B167" s="2174" t="s">
        <v>4665</v>
      </c>
      <c r="C167" s="2192">
        <v>8</v>
      </c>
      <c r="D167" s="2176" t="s">
        <v>4657</v>
      </c>
      <c r="E167" s="2176" t="s">
        <v>6244</v>
      </c>
      <c r="F167" s="2188">
        <v>193451</v>
      </c>
      <c r="G167" s="2188">
        <v>234075.71</v>
      </c>
      <c r="H167" s="2175">
        <v>43887</v>
      </c>
      <c r="I167" s="2175">
        <v>44252</v>
      </c>
      <c r="J167" s="2244"/>
    </row>
    <row r="168" spans="1:10" ht="30">
      <c r="A168" s="2204" t="s">
        <v>4638</v>
      </c>
      <c r="B168" s="2174" t="s">
        <v>4665</v>
      </c>
      <c r="C168" s="2192">
        <v>9</v>
      </c>
      <c r="D168" s="2176" t="s">
        <v>4658</v>
      </c>
      <c r="E168" s="2176" t="s">
        <v>6242</v>
      </c>
      <c r="F168" s="2188">
        <v>600024</v>
      </c>
      <c r="G168" s="2188">
        <v>726029.04</v>
      </c>
      <c r="H168" s="2175">
        <v>43887</v>
      </c>
      <c r="I168" s="2175">
        <v>44252</v>
      </c>
      <c r="J168" s="2244"/>
    </row>
    <row r="169" spans="1:10" ht="30">
      <c r="A169" s="2204" t="s">
        <v>4638</v>
      </c>
      <c r="B169" s="2174" t="s">
        <v>4665</v>
      </c>
      <c r="C169" s="2192">
        <v>10</v>
      </c>
      <c r="D169" s="2176" t="s">
        <v>4659</v>
      </c>
      <c r="E169" s="2176" t="s">
        <v>6173</v>
      </c>
      <c r="F169" s="2188">
        <v>253671.2</v>
      </c>
      <c r="G169" s="2188">
        <v>306942.15000000002</v>
      </c>
      <c r="H169" s="2175">
        <v>43887</v>
      </c>
      <c r="I169" s="2175">
        <v>44252</v>
      </c>
      <c r="J169" s="2244"/>
    </row>
    <row r="170" spans="1:10" ht="30">
      <c r="A170" s="2204" t="s">
        <v>4638</v>
      </c>
      <c r="B170" s="2174" t="s">
        <v>4665</v>
      </c>
      <c r="C170" s="2192">
        <v>11</v>
      </c>
      <c r="D170" s="2176" t="s">
        <v>4660</v>
      </c>
      <c r="E170" s="2176" t="s">
        <v>5332</v>
      </c>
      <c r="F170" s="2188">
        <v>428961</v>
      </c>
      <c r="G170" s="2188">
        <v>519042.81</v>
      </c>
      <c r="H170" s="2175">
        <v>43887</v>
      </c>
      <c r="I170" s="2175">
        <v>44252</v>
      </c>
      <c r="J170" s="2244"/>
    </row>
    <row r="171" spans="1:10">
      <c r="A171" s="2204" t="s">
        <v>4638</v>
      </c>
      <c r="B171" s="2174" t="s">
        <v>4665</v>
      </c>
      <c r="C171" s="2192">
        <v>12</v>
      </c>
      <c r="D171" s="2176" t="s">
        <v>4661</v>
      </c>
      <c r="E171" s="2176" t="s">
        <v>4857</v>
      </c>
      <c r="F171" s="2188">
        <v>813050</v>
      </c>
      <c r="G171" s="2188">
        <v>983790.5</v>
      </c>
      <c r="H171" s="2175">
        <v>43887</v>
      </c>
      <c r="I171" s="2175">
        <v>44252</v>
      </c>
      <c r="J171" s="2244"/>
    </row>
    <row r="172" spans="1:10">
      <c r="A172" s="2204" t="s">
        <v>4638</v>
      </c>
      <c r="B172" s="2174" t="s">
        <v>4665</v>
      </c>
      <c r="C172" s="2192">
        <v>13</v>
      </c>
      <c r="D172" s="2176" t="s">
        <v>4662</v>
      </c>
      <c r="E172" s="2176" t="s">
        <v>6131</v>
      </c>
      <c r="F172" s="2188">
        <v>320000</v>
      </c>
      <c r="G172" s="2188">
        <v>387200</v>
      </c>
      <c r="H172" s="2175">
        <v>43887</v>
      </c>
      <c r="I172" s="2175">
        <v>44252</v>
      </c>
      <c r="J172" s="2244"/>
    </row>
    <row r="173" spans="1:10" ht="30">
      <c r="A173" s="2204" t="s">
        <v>4638</v>
      </c>
      <c r="B173" s="2174" t="s">
        <v>4665</v>
      </c>
      <c r="C173" s="2192">
        <v>14</v>
      </c>
      <c r="D173" s="2176" t="s">
        <v>4663</v>
      </c>
      <c r="E173" s="2176" t="s">
        <v>5331</v>
      </c>
      <c r="F173" s="2188">
        <v>96305</v>
      </c>
      <c r="G173" s="2188">
        <v>116529.05</v>
      </c>
      <c r="H173" s="2175">
        <v>43887</v>
      </c>
      <c r="I173" s="2175">
        <v>44252</v>
      </c>
      <c r="J173" s="2244"/>
    </row>
    <row r="174" spans="1:10" ht="90">
      <c r="A174" s="2204" t="s">
        <v>3103</v>
      </c>
      <c r="B174" s="2174" t="s">
        <v>3515</v>
      </c>
      <c r="C174" s="2192">
        <v>1</v>
      </c>
      <c r="D174" s="2176" t="s">
        <v>3732</v>
      </c>
      <c r="E174" s="2176" t="s">
        <v>3287</v>
      </c>
      <c r="F174" s="2188">
        <v>1635600</v>
      </c>
      <c r="G174" s="2188">
        <v>1799160.0000000002</v>
      </c>
      <c r="H174" s="2175">
        <v>43542</v>
      </c>
      <c r="I174" s="2175">
        <v>44272</v>
      </c>
      <c r="J174" s="2244"/>
    </row>
    <row r="175" spans="1:10" ht="45">
      <c r="A175" s="2204" t="s">
        <v>3103</v>
      </c>
      <c r="B175" s="2174" t="s">
        <v>3515</v>
      </c>
      <c r="C175" s="2192">
        <v>2</v>
      </c>
      <c r="D175" s="2176" t="s">
        <v>3733</v>
      </c>
      <c r="E175" s="2176" t="s">
        <v>3288</v>
      </c>
      <c r="F175" s="2188">
        <v>74090</v>
      </c>
      <c r="G175" s="2188">
        <v>81499</v>
      </c>
      <c r="H175" s="2175">
        <v>43542</v>
      </c>
      <c r="I175" s="2175">
        <v>44272</v>
      </c>
      <c r="J175" s="2244"/>
    </row>
    <row r="176" spans="1:10" ht="30">
      <c r="A176" s="2204" t="s">
        <v>3103</v>
      </c>
      <c r="B176" s="2174" t="s">
        <v>3515</v>
      </c>
      <c r="C176" s="2192">
        <v>3</v>
      </c>
      <c r="D176" s="2176" t="s">
        <v>3734</v>
      </c>
      <c r="E176" s="2176" t="s">
        <v>2518</v>
      </c>
      <c r="F176" s="2188">
        <v>2302872.08</v>
      </c>
      <c r="G176" s="2188">
        <v>2533159.2880000002</v>
      </c>
      <c r="H176" s="2175">
        <v>43542</v>
      </c>
      <c r="I176" s="2175">
        <v>44272</v>
      </c>
      <c r="J176" s="2244"/>
    </row>
    <row r="177" spans="1:10" ht="30">
      <c r="A177" s="2204" t="s">
        <v>3426</v>
      </c>
      <c r="B177" s="2174" t="s">
        <v>3528</v>
      </c>
      <c r="C177" s="2192">
        <v>1</v>
      </c>
      <c r="D177" s="2176" t="s">
        <v>3702</v>
      </c>
      <c r="E177" s="2176" t="s">
        <v>576</v>
      </c>
      <c r="F177" s="2188">
        <v>7353707.2199999997</v>
      </c>
      <c r="G177" s="2188">
        <v>8089077.9420000007</v>
      </c>
      <c r="H177" s="2175">
        <v>43552</v>
      </c>
      <c r="I177" s="2175">
        <v>44282</v>
      </c>
      <c r="J177" s="2244"/>
    </row>
    <row r="178" spans="1:10" ht="30">
      <c r="A178" s="2204" t="s">
        <v>3426</v>
      </c>
      <c r="B178" s="2174" t="s">
        <v>3528</v>
      </c>
      <c r="C178" s="2192">
        <v>2</v>
      </c>
      <c r="D178" s="2176" t="s">
        <v>3703</v>
      </c>
      <c r="E178" s="2176" t="s">
        <v>1646</v>
      </c>
      <c r="F178" s="2188">
        <v>2429964.12</v>
      </c>
      <c r="G178" s="2188">
        <v>2672960.5320000001</v>
      </c>
      <c r="H178" s="2175">
        <v>43552</v>
      </c>
      <c r="I178" s="2175">
        <v>44282</v>
      </c>
      <c r="J178" s="2244"/>
    </row>
    <row r="179" spans="1:10" ht="30">
      <c r="A179" s="2204" t="s">
        <v>3426</v>
      </c>
      <c r="B179" s="2174" t="s">
        <v>3528</v>
      </c>
      <c r="C179" s="2192">
        <v>4</v>
      </c>
      <c r="D179" s="2176" t="s">
        <v>3705</v>
      </c>
      <c r="E179" s="2176" t="s">
        <v>578</v>
      </c>
      <c r="F179" s="2188">
        <v>3039688.4</v>
      </c>
      <c r="G179" s="2188">
        <v>3343657.24</v>
      </c>
      <c r="H179" s="2175">
        <v>43549</v>
      </c>
      <c r="I179" s="2175">
        <v>44282</v>
      </c>
      <c r="J179" s="2244"/>
    </row>
    <row r="180" spans="1:10" ht="30">
      <c r="A180" s="2204" t="s">
        <v>3426</v>
      </c>
      <c r="B180" s="2174" t="s">
        <v>3528</v>
      </c>
      <c r="C180" s="2192">
        <v>5</v>
      </c>
      <c r="D180" s="2176" t="s">
        <v>3706</v>
      </c>
      <c r="E180" s="2176" t="s">
        <v>578</v>
      </c>
      <c r="F180" s="2188">
        <v>8889294.7799999993</v>
      </c>
      <c r="G180" s="2188">
        <v>9778224.2579999994</v>
      </c>
      <c r="H180" s="2175">
        <v>43549</v>
      </c>
      <c r="I180" s="2175">
        <v>44282</v>
      </c>
      <c r="J180" s="2244"/>
    </row>
    <row r="181" spans="1:10" ht="30">
      <c r="A181" s="2204" t="s">
        <v>3236</v>
      </c>
      <c r="B181" s="2174" t="s">
        <v>3525</v>
      </c>
      <c r="C181" s="2192">
        <v>1</v>
      </c>
      <c r="D181" s="2176" t="s">
        <v>3738</v>
      </c>
      <c r="E181" s="2176" t="s">
        <v>576</v>
      </c>
      <c r="F181" s="2188">
        <v>1636059.1</v>
      </c>
      <c r="G181" s="2188">
        <v>1799665.0100000002</v>
      </c>
      <c r="H181" s="2175">
        <v>43556</v>
      </c>
      <c r="I181" s="2175">
        <v>44286</v>
      </c>
      <c r="J181" s="2244"/>
    </row>
    <row r="182" spans="1:10" ht="75">
      <c r="A182" s="2204" t="s">
        <v>3236</v>
      </c>
      <c r="B182" s="2174" t="s">
        <v>3525</v>
      </c>
      <c r="C182" s="2192">
        <v>2</v>
      </c>
      <c r="D182" s="2176" t="s">
        <v>3739</v>
      </c>
      <c r="E182" s="2176" t="s">
        <v>576</v>
      </c>
      <c r="F182" s="2188">
        <v>207044.7</v>
      </c>
      <c r="G182" s="2188">
        <v>227749.17000000004</v>
      </c>
      <c r="H182" s="2175">
        <v>43556</v>
      </c>
      <c r="I182" s="2175">
        <v>44286</v>
      </c>
      <c r="J182" s="2244"/>
    </row>
    <row r="183" spans="1:10" ht="30">
      <c r="A183" s="2204" t="s">
        <v>3236</v>
      </c>
      <c r="B183" s="2174" t="s">
        <v>3525</v>
      </c>
      <c r="C183" s="2192">
        <v>3</v>
      </c>
      <c r="D183" s="2176" t="s">
        <v>3740</v>
      </c>
      <c r="E183" s="2176" t="s">
        <v>2548</v>
      </c>
      <c r="F183" s="2188">
        <v>13426404.6</v>
      </c>
      <c r="G183" s="2188">
        <v>14769045.060000001</v>
      </c>
      <c r="H183" s="2175">
        <v>43556</v>
      </c>
      <c r="I183" s="2175">
        <v>44286</v>
      </c>
      <c r="J183" s="2244"/>
    </row>
    <row r="184" spans="1:10" ht="30">
      <c r="A184" s="2204" t="s">
        <v>3236</v>
      </c>
      <c r="B184" s="2174" t="s">
        <v>3525</v>
      </c>
      <c r="C184" s="2192">
        <v>4</v>
      </c>
      <c r="D184" s="2176" t="s">
        <v>3741</v>
      </c>
      <c r="E184" s="2176" t="s">
        <v>576</v>
      </c>
      <c r="F184" s="2188">
        <v>8837280</v>
      </c>
      <c r="G184" s="2188">
        <v>9721008</v>
      </c>
      <c r="H184" s="2175">
        <v>43556</v>
      </c>
      <c r="I184" s="2175">
        <v>44286</v>
      </c>
      <c r="J184" s="2244"/>
    </row>
    <row r="185" spans="1:10" ht="30">
      <c r="A185" s="2204" t="s">
        <v>3236</v>
      </c>
      <c r="B185" s="2174" t="s">
        <v>3525</v>
      </c>
      <c r="C185" s="2192">
        <v>8</v>
      </c>
      <c r="D185" s="2176" t="s">
        <v>3745</v>
      </c>
      <c r="E185" s="2176" t="s">
        <v>576</v>
      </c>
      <c r="F185" s="2188">
        <v>996934.08</v>
      </c>
      <c r="G185" s="2188">
        <v>1096627.49</v>
      </c>
      <c r="H185" s="2175">
        <v>43556</v>
      </c>
      <c r="I185" s="2175">
        <v>44286</v>
      </c>
      <c r="J185" s="2244"/>
    </row>
    <row r="186" spans="1:10">
      <c r="A186" s="2204" t="s">
        <v>3408</v>
      </c>
      <c r="B186" s="2176" t="s">
        <v>3409</v>
      </c>
      <c r="C186" s="2192">
        <v>1</v>
      </c>
      <c r="D186" s="2176" t="s">
        <v>3763</v>
      </c>
      <c r="E186" s="2176" t="s">
        <v>1389</v>
      </c>
      <c r="F186" s="2188">
        <v>33976800</v>
      </c>
      <c r="G186" s="2188">
        <v>37374480</v>
      </c>
      <c r="H186" s="2175">
        <v>43556</v>
      </c>
      <c r="I186" s="2175">
        <v>44286</v>
      </c>
      <c r="J186" s="2244"/>
    </row>
    <row r="187" spans="1:10" ht="30">
      <c r="A187" s="2204" t="s">
        <v>3444</v>
      </c>
      <c r="B187" s="2174" t="s">
        <v>3529</v>
      </c>
      <c r="C187" s="2192">
        <v>2</v>
      </c>
      <c r="D187" s="2176" t="s">
        <v>3709</v>
      </c>
      <c r="E187" s="2176" t="s">
        <v>578</v>
      </c>
      <c r="F187" s="2188">
        <v>4758558.76</v>
      </c>
      <c r="G187" s="2188">
        <v>5234414.6359999999</v>
      </c>
      <c r="H187" s="2175">
        <v>43556</v>
      </c>
      <c r="I187" s="2175">
        <v>44286</v>
      </c>
      <c r="J187" s="2244"/>
    </row>
    <row r="188" spans="1:10" ht="30">
      <c r="A188" s="2204" t="s">
        <v>3444</v>
      </c>
      <c r="B188" s="2174" t="s">
        <v>3529</v>
      </c>
      <c r="C188" s="2192">
        <v>3</v>
      </c>
      <c r="D188" s="2176" t="s">
        <v>3710</v>
      </c>
      <c r="E188" s="2176" t="s">
        <v>576</v>
      </c>
      <c r="F188" s="2188">
        <v>1434357.12</v>
      </c>
      <c r="G188" s="2188">
        <v>1577792.8320000002</v>
      </c>
      <c r="H188" s="2175">
        <v>43556</v>
      </c>
      <c r="I188" s="2175">
        <v>44286</v>
      </c>
      <c r="J188" s="2244"/>
    </row>
    <row r="189" spans="1:10" ht="30">
      <c r="A189" s="2204" t="s">
        <v>3444</v>
      </c>
      <c r="B189" s="2174" t="s">
        <v>3529</v>
      </c>
      <c r="C189" s="2192">
        <v>4</v>
      </c>
      <c r="D189" s="2176" t="s">
        <v>3711</v>
      </c>
      <c r="E189" s="2176" t="s">
        <v>576</v>
      </c>
      <c r="F189" s="2188">
        <v>140030</v>
      </c>
      <c r="G189" s="2188">
        <v>154033</v>
      </c>
      <c r="H189" s="2175">
        <v>43556</v>
      </c>
      <c r="I189" s="2175">
        <v>44286</v>
      </c>
      <c r="J189" s="2244"/>
    </row>
    <row r="190" spans="1:10" ht="30">
      <c r="A190" s="2204" t="s">
        <v>3444</v>
      </c>
      <c r="B190" s="2174" t="s">
        <v>3529</v>
      </c>
      <c r="C190" s="2192">
        <v>5</v>
      </c>
      <c r="D190" s="2176" t="s">
        <v>3712</v>
      </c>
      <c r="E190" s="2176" t="s">
        <v>576</v>
      </c>
      <c r="F190" s="2188">
        <v>472430.08000000002</v>
      </c>
      <c r="G190" s="2188">
        <v>519673.08800000005</v>
      </c>
      <c r="H190" s="2175">
        <v>43556</v>
      </c>
      <c r="I190" s="2175">
        <v>44286</v>
      </c>
      <c r="J190" s="2244"/>
    </row>
    <row r="191" spans="1:10" ht="30">
      <c r="A191" s="2204" t="s">
        <v>3444</v>
      </c>
      <c r="B191" s="2174" t="s">
        <v>3529</v>
      </c>
      <c r="C191" s="2192">
        <v>6</v>
      </c>
      <c r="D191" s="2176" t="s">
        <v>3713</v>
      </c>
      <c r="E191" s="2176" t="s">
        <v>576</v>
      </c>
      <c r="F191" s="2188">
        <v>7719800</v>
      </c>
      <c r="G191" s="2188">
        <v>8491780</v>
      </c>
      <c r="H191" s="2175">
        <v>43556</v>
      </c>
      <c r="I191" s="2175">
        <v>44286</v>
      </c>
      <c r="J191" s="2244"/>
    </row>
    <row r="192" spans="1:10" ht="30">
      <c r="A192" s="2204" t="s">
        <v>3253</v>
      </c>
      <c r="B192" s="2174" t="s">
        <v>3523</v>
      </c>
      <c r="C192" s="2192">
        <v>2</v>
      </c>
      <c r="D192" s="2176" t="s">
        <v>3757</v>
      </c>
      <c r="E192" s="2176" t="s">
        <v>576</v>
      </c>
      <c r="F192" s="2188">
        <v>41202.9</v>
      </c>
      <c r="G192" s="2188">
        <v>45323.19</v>
      </c>
      <c r="H192" s="2175">
        <v>43558</v>
      </c>
      <c r="I192" s="2175">
        <v>44288</v>
      </c>
      <c r="J192" s="2244"/>
    </row>
    <row r="193" spans="1:10" ht="30">
      <c r="A193" s="2204" t="s">
        <v>3253</v>
      </c>
      <c r="B193" s="2174" t="s">
        <v>3523</v>
      </c>
      <c r="C193" s="2192">
        <v>8</v>
      </c>
      <c r="D193" s="2176" t="s">
        <v>3759</v>
      </c>
      <c r="E193" s="2176" t="s">
        <v>2405</v>
      </c>
      <c r="F193" s="2188">
        <v>2891520</v>
      </c>
      <c r="G193" s="2188">
        <v>3180672</v>
      </c>
      <c r="H193" s="2175">
        <v>43558</v>
      </c>
      <c r="I193" s="2175">
        <v>44288</v>
      </c>
      <c r="J193" s="2244"/>
    </row>
    <row r="194" spans="1:10" ht="60">
      <c r="A194" s="2204" t="s">
        <v>3630</v>
      </c>
      <c r="B194" s="2174" t="s">
        <v>3631</v>
      </c>
      <c r="C194" s="2192">
        <v>1</v>
      </c>
      <c r="D194" s="2176" t="s">
        <v>3714</v>
      </c>
      <c r="E194" s="2176" t="s">
        <v>576</v>
      </c>
      <c r="F194" s="2188">
        <v>352274.24</v>
      </c>
      <c r="G194" s="2188">
        <v>387501.66400000005</v>
      </c>
      <c r="H194" s="2175">
        <v>43563</v>
      </c>
      <c r="I194" s="2175">
        <v>44293</v>
      </c>
      <c r="J194" s="2244"/>
    </row>
    <row r="195" spans="1:10" ht="60">
      <c r="A195" s="2204" t="s">
        <v>3630</v>
      </c>
      <c r="B195" s="2174" t="s">
        <v>3631</v>
      </c>
      <c r="C195" s="2192">
        <v>2</v>
      </c>
      <c r="D195" s="2176" t="s">
        <v>3715</v>
      </c>
      <c r="E195" s="2176" t="s">
        <v>576</v>
      </c>
      <c r="F195" s="2188">
        <v>3910413.28</v>
      </c>
      <c r="G195" s="2188">
        <v>4301454.608</v>
      </c>
      <c r="H195" s="2175">
        <v>43563</v>
      </c>
      <c r="I195" s="2175">
        <v>44293</v>
      </c>
      <c r="J195" s="2244"/>
    </row>
    <row r="196" spans="1:10" ht="60">
      <c r="A196" s="2204" t="s">
        <v>3630</v>
      </c>
      <c r="B196" s="2174" t="s">
        <v>3631</v>
      </c>
      <c r="C196" s="2192">
        <v>5</v>
      </c>
      <c r="D196" s="2176" t="s">
        <v>3718</v>
      </c>
      <c r="E196" s="2176" t="s">
        <v>576</v>
      </c>
      <c r="F196" s="2188">
        <v>4261228.68</v>
      </c>
      <c r="G196" s="2188">
        <v>4687351.5480000004</v>
      </c>
      <c r="H196" s="2175">
        <v>43563</v>
      </c>
      <c r="I196" s="2175">
        <v>44293</v>
      </c>
      <c r="J196" s="2244"/>
    </row>
    <row r="197" spans="1:10" ht="30">
      <c r="A197" s="2204" t="s">
        <v>3462</v>
      </c>
      <c r="B197" s="2174" t="s">
        <v>3530</v>
      </c>
      <c r="C197" s="2192">
        <v>1</v>
      </c>
      <c r="D197" s="2176" t="s">
        <v>3787</v>
      </c>
      <c r="E197" s="2176" t="s">
        <v>576</v>
      </c>
      <c r="F197" s="2188">
        <v>6798782.4000000004</v>
      </c>
      <c r="G197" s="2188">
        <v>8226526.7039999999</v>
      </c>
      <c r="H197" s="2175">
        <v>43570</v>
      </c>
      <c r="I197" s="2175">
        <v>44300</v>
      </c>
      <c r="J197" s="2244"/>
    </row>
    <row r="198" spans="1:10">
      <c r="A198" s="2204" t="s">
        <v>3650</v>
      </c>
      <c r="B198" s="2174" t="s">
        <v>3649</v>
      </c>
      <c r="C198" s="2192">
        <v>2</v>
      </c>
      <c r="D198" s="2176" t="s">
        <v>3730</v>
      </c>
      <c r="E198" s="2176" t="s">
        <v>2548</v>
      </c>
      <c r="F198" s="2188">
        <v>10712898</v>
      </c>
      <c r="G198" s="2188">
        <v>11784187.800000001</v>
      </c>
      <c r="H198" s="2175">
        <v>43634</v>
      </c>
      <c r="I198" s="2175">
        <v>44364</v>
      </c>
      <c r="J198" s="2244"/>
    </row>
    <row r="199" spans="1:10" ht="30">
      <c r="A199" s="2205" t="s">
        <v>8757</v>
      </c>
      <c r="B199" s="2193" t="s">
        <v>8758</v>
      </c>
      <c r="C199" s="2198">
        <v>1</v>
      </c>
      <c r="D199" s="2193" t="s">
        <v>8758</v>
      </c>
      <c r="E199" s="2193" t="s">
        <v>8759</v>
      </c>
      <c r="F199" s="2190">
        <v>402012</v>
      </c>
      <c r="G199" s="2190">
        <v>442213.2</v>
      </c>
      <c r="H199" s="2191">
        <v>44011</v>
      </c>
      <c r="I199" s="2191">
        <v>44375</v>
      </c>
      <c r="J199" s="2244" t="s">
        <v>8650</v>
      </c>
    </row>
    <row r="200" spans="1:10" ht="30">
      <c r="A200" s="2204" t="s">
        <v>3636</v>
      </c>
      <c r="B200" s="2174" t="s">
        <v>3635</v>
      </c>
      <c r="C200" s="2192">
        <v>1</v>
      </c>
      <c r="D200" s="2176" t="s">
        <v>3721</v>
      </c>
      <c r="E200" s="2176" t="s">
        <v>1646</v>
      </c>
      <c r="F200" s="2188">
        <v>468605.22</v>
      </c>
      <c r="G200" s="2188">
        <v>515465.74</v>
      </c>
      <c r="H200" s="2175">
        <v>43648</v>
      </c>
      <c r="I200" s="2175">
        <v>44378</v>
      </c>
      <c r="J200" s="2244"/>
    </row>
    <row r="201" spans="1:10">
      <c r="A201" s="2204" t="s">
        <v>3636</v>
      </c>
      <c r="B201" s="2174" t="s">
        <v>3635</v>
      </c>
      <c r="C201" s="2192">
        <v>2</v>
      </c>
      <c r="D201" s="2176" t="s">
        <v>3722</v>
      </c>
      <c r="E201" s="2176" t="s">
        <v>576</v>
      </c>
      <c r="F201" s="2188">
        <v>18231</v>
      </c>
      <c r="G201" s="2188">
        <v>20054.099999999999</v>
      </c>
      <c r="H201" s="2175">
        <v>43648</v>
      </c>
      <c r="I201" s="2175">
        <v>44378</v>
      </c>
      <c r="J201" s="2244"/>
    </row>
    <row r="202" spans="1:10">
      <c r="A202" s="2204" t="s">
        <v>3636</v>
      </c>
      <c r="B202" s="2174" t="s">
        <v>3635</v>
      </c>
      <c r="C202" s="2192">
        <v>3</v>
      </c>
      <c r="D202" s="2176" t="s">
        <v>3723</v>
      </c>
      <c r="E202" s="2176" t="s">
        <v>1646</v>
      </c>
      <c r="F202" s="2188">
        <v>576435.6</v>
      </c>
      <c r="G202" s="2188">
        <v>634079.16</v>
      </c>
      <c r="H202" s="2175">
        <v>43648</v>
      </c>
      <c r="I202" s="2175">
        <v>44378</v>
      </c>
      <c r="J202" s="2244"/>
    </row>
    <row r="203" spans="1:10">
      <c r="A203" s="2204" t="s">
        <v>3636</v>
      </c>
      <c r="B203" s="2174" t="s">
        <v>3635</v>
      </c>
      <c r="C203" s="2192">
        <v>4</v>
      </c>
      <c r="D203" s="2176" t="s">
        <v>3724</v>
      </c>
      <c r="E203" s="2176" t="s">
        <v>1646</v>
      </c>
      <c r="F203" s="2188">
        <v>900488.9</v>
      </c>
      <c r="G203" s="2188">
        <v>990537.79</v>
      </c>
      <c r="H203" s="2175">
        <v>43648</v>
      </c>
      <c r="I203" s="2175">
        <v>44378</v>
      </c>
      <c r="J203" s="2244"/>
    </row>
    <row r="204" spans="1:10">
      <c r="A204" s="2204" t="s">
        <v>3636</v>
      </c>
      <c r="B204" s="2174" t="s">
        <v>3635</v>
      </c>
      <c r="C204" s="2192">
        <v>5</v>
      </c>
      <c r="D204" s="2176" t="s">
        <v>3725</v>
      </c>
      <c r="E204" s="2176" t="s">
        <v>2548</v>
      </c>
      <c r="F204" s="2188">
        <v>21208836.100000001</v>
      </c>
      <c r="G204" s="2188">
        <v>23329719.710000001</v>
      </c>
      <c r="H204" s="2175">
        <v>43648</v>
      </c>
      <c r="I204" s="2175">
        <v>44378</v>
      </c>
      <c r="J204" s="2244"/>
    </row>
    <row r="205" spans="1:10">
      <c r="A205" s="2204" t="s">
        <v>3636</v>
      </c>
      <c r="B205" s="2174" t="s">
        <v>3635</v>
      </c>
      <c r="C205" s="2192">
        <v>6</v>
      </c>
      <c r="D205" s="2176" t="s">
        <v>3726</v>
      </c>
      <c r="E205" s="2176" t="s">
        <v>2548</v>
      </c>
      <c r="F205" s="2188">
        <v>2391694.98</v>
      </c>
      <c r="G205" s="2188">
        <v>2630864.48</v>
      </c>
      <c r="H205" s="2175">
        <v>43648</v>
      </c>
      <c r="I205" s="2175">
        <v>44378</v>
      </c>
      <c r="J205" s="2244"/>
    </row>
    <row r="206" spans="1:10">
      <c r="A206" s="2204" t="s">
        <v>3636</v>
      </c>
      <c r="B206" s="2174" t="s">
        <v>3635</v>
      </c>
      <c r="C206" s="2192">
        <v>7</v>
      </c>
      <c r="D206" s="2176" t="s">
        <v>3727</v>
      </c>
      <c r="E206" s="2176" t="s">
        <v>1646</v>
      </c>
      <c r="F206" s="2188">
        <v>272565.03999999998</v>
      </c>
      <c r="G206" s="2188">
        <v>299821.53999999998</v>
      </c>
      <c r="H206" s="2175">
        <v>43648</v>
      </c>
      <c r="I206" s="2175">
        <v>44378</v>
      </c>
      <c r="J206" s="2244"/>
    </row>
    <row r="207" spans="1:10">
      <c r="A207" s="2204" t="s">
        <v>4329</v>
      </c>
      <c r="B207" s="2174" t="s">
        <v>4330</v>
      </c>
      <c r="C207" s="2192">
        <v>2</v>
      </c>
      <c r="D207" s="2176" t="s">
        <v>4332</v>
      </c>
      <c r="E207" s="2176" t="s">
        <v>2548</v>
      </c>
      <c r="F207" s="2188">
        <v>1335012.8999999999</v>
      </c>
      <c r="G207" s="2188">
        <v>1468514.19</v>
      </c>
      <c r="H207" s="2175">
        <v>43712</v>
      </c>
      <c r="I207" s="2175">
        <v>44442</v>
      </c>
      <c r="J207" s="2244"/>
    </row>
    <row r="208" spans="1:10">
      <c r="A208" s="2204" t="s">
        <v>4193</v>
      </c>
      <c r="B208" s="2174" t="s">
        <v>4194</v>
      </c>
      <c r="C208" s="2192">
        <v>1</v>
      </c>
      <c r="D208" s="2176" t="s">
        <v>4195</v>
      </c>
      <c r="E208" s="2176" t="s">
        <v>5211</v>
      </c>
      <c r="F208" s="2188">
        <v>122114868.40000001</v>
      </c>
      <c r="G208" s="2188">
        <v>134326355.24000001</v>
      </c>
      <c r="H208" s="2175">
        <v>43718</v>
      </c>
      <c r="I208" s="2175">
        <v>44448</v>
      </c>
      <c r="J208" s="2244"/>
    </row>
    <row r="209" spans="1:10">
      <c r="A209" s="2204" t="s">
        <v>4986</v>
      </c>
      <c r="B209" s="2174" t="s">
        <v>4987</v>
      </c>
      <c r="C209" s="2192">
        <v>1</v>
      </c>
      <c r="D209" s="2176" t="s">
        <v>4988</v>
      </c>
      <c r="E209" s="2176" t="s">
        <v>2548</v>
      </c>
      <c r="F209" s="2188">
        <v>1355567.67</v>
      </c>
      <c r="G209" s="2188">
        <v>1491124.54</v>
      </c>
      <c r="H209" s="2175">
        <v>43718</v>
      </c>
      <c r="I209" s="2175">
        <v>44448</v>
      </c>
      <c r="J209" s="2244"/>
    </row>
    <row r="210" spans="1:10">
      <c r="A210" s="2205" t="s">
        <v>8711</v>
      </c>
      <c r="B210" s="2193" t="s">
        <v>8712</v>
      </c>
      <c r="C210" s="2198">
        <v>1</v>
      </c>
      <c r="D210" s="2193" t="s">
        <v>8713</v>
      </c>
      <c r="E210" s="2193" t="s">
        <v>8714</v>
      </c>
      <c r="F210" s="2190">
        <v>357079</v>
      </c>
      <c r="G210" s="2190">
        <v>392786.9</v>
      </c>
      <c r="H210" s="2191">
        <v>44095</v>
      </c>
      <c r="I210" s="2191">
        <v>44459</v>
      </c>
      <c r="J210" s="2244" t="s">
        <v>8630</v>
      </c>
    </row>
    <row r="211" spans="1:10">
      <c r="A211" s="2204" t="s">
        <v>4186</v>
      </c>
      <c r="B211" s="2174" t="s">
        <v>4187</v>
      </c>
      <c r="C211" s="2192">
        <v>4</v>
      </c>
      <c r="D211" s="2176" t="s">
        <v>4190</v>
      </c>
      <c r="E211" s="2176" t="s">
        <v>2548</v>
      </c>
      <c r="F211" s="2188">
        <v>3767853.64</v>
      </c>
      <c r="G211" s="2188">
        <v>4144639.0040000007</v>
      </c>
      <c r="H211" s="2175">
        <v>43731</v>
      </c>
      <c r="I211" s="2175">
        <v>44461</v>
      </c>
      <c r="J211" s="2244"/>
    </row>
    <row r="212" spans="1:10">
      <c r="A212" s="2205" t="s">
        <v>8670</v>
      </c>
      <c r="B212" s="2193" t="s">
        <v>8671</v>
      </c>
      <c r="C212" s="2198">
        <v>1</v>
      </c>
      <c r="D212" s="2193" t="s">
        <v>8672</v>
      </c>
      <c r="E212" s="2193" t="s">
        <v>8655</v>
      </c>
      <c r="F212" s="2190">
        <v>82273.05</v>
      </c>
      <c r="G212" s="2190">
        <v>90500.35500000001</v>
      </c>
      <c r="H212" s="2191">
        <v>43369</v>
      </c>
      <c r="I212" s="2191">
        <v>44464</v>
      </c>
      <c r="J212" s="2244" t="s">
        <v>8616</v>
      </c>
    </row>
    <row r="213" spans="1:10">
      <c r="A213" s="2204" t="s">
        <v>4436</v>
      </c>
      <c r="B213" s="2174" t="s">
        <v>4270</v>
      </c>
      <c r="C213" s="2192"/>
      <c r="D213" s="2176"/>
      <c r="E213" s="2176" t="s">
        <v>472</v>
      </c>
      <c r="F213" s="2188">
        <v>17107857.199999999</v>
      </c>
      <c r="G213" s="2188">
        <v>20190047.199999999</v>
      </c>
      <c r="H213" s="2175">
        <v>43738</v>
      </c>
      <c r="I213" s="2175">
        <v>44468</v>
      </c>
      <c r="J213" s="2244"/>
    </row>
    <row r="214" spans="1:10" ht="30">
      <c r="A214" s="2204" t="s">
        <v>4337</v>
      </c>
      <c r="B214" s="2174" t="s">
        <v>4338</v>
      </c>
      <c r="C214" s="2192">
        <v>1</v>
      </c>
      <c r="D214" s="2176" t="s">
        <v>4339</v>
      </c>
      <c r="E214" s="2176" t="s">
        <v>2548</v>
      </c>
      <c r="F214" s="2188">
        <v>2437091.4</v>
      </c>
      <c r="G214" s="2188">
        <v>2680800.54</v>
      </c>
      <c r="H214" s="2175">
        <v>43745</v>
      </c>
      <c r="I214" s="2175">
        <v>44475</v>
      </c>
      <c r="J214" s="2244"/>
    </row>
    <row r="215" spans="1:10" ht="30">
      <c r="A215" s="2204" t="s">
        <v>4337</v>
      </c>
      <c r="B215" s="2174" t="s">
        <v>4338</v>
      </c>
      <c r="C215" s="2192">
        <v>3</v>
      </c>
      <c r="D215" s="2176" t="s">
        <v>4343</v>
      </c>
      <c r="E215" s="2176" t="s">
        <v>576</v>
      </c>
      <c r="F215" s="2188">
        <v>5236623.3</v>
      </c>
      <c r="G215" s="2188">
        <v>5760285.6299999999</v>
      </c>
      <c r="H215" s="2175">
        <v>43745</v>
      </c>
      <c r="I215" s="2175">
        <v>44475</v>
      </c>
      <c r="J215" s="2244"/>
    </row>
    <row r="216" spans="1:10" ht="30">
      <c r="A216" s="2204" t="s">
        <v>4337</v>
      </c>
      <c r="B216" s="2174" t="s">
        <v>4338</v>
      </c>
      <c r="C216" s="2192">
        <v>5</v>
      </c>
      <c r="D216" s="2176" t="s">
        <v>4347</v>
      </c>
      <c r="E216" s="2176" t="s">
        <v>2548</v>
      </c>
      <c r="F216" s="2188">
        <v>395329.6</v>
      </c>
      <c r="G216" s="2188">
        <v>434862.56</v>
      </c>
      <c r="H216" s="2175">
        <v>43745</v>
      </c>
      <c r="I216" s="2175">
        <v>44475</v>
      </c>
      <c r="J216" s="2244"/>
    </row>
    <row r="217" spans="1:10" ht="30">
      <c r="A217" s="2204" t="s">
        <v>4337</v>
      </c>
      <c r="B217" s="2174" t="s">
        <v>4338</v>
      </c>
      <c r="C217" s="2192">
        <v>6</v>
      </c>
      <c r="D217" s="2176" t="s">
        <v>4349</v>
      </c>
      <c r="E217" s="2176" t="s">
        <v>2548</v>
      </c>
      <c r="F217" s="2188">
        <v>264811</v>
      </c>
      <c r="G217" s="2188">
        <v>291292.09999999998</v>
      </c>
      <c r="H217" s="2175">
        <v>43745</v>
      </c>
      <c r="I217" s="2175">
        <v>44475</v>
      </c>
      <c r="J217" s="2244"/>
    </row>
    <row r="218" spans="1:10" ht="30">
      <c r="A218" s="2204" t="s">
        <v>4337</v>
      </c>
      <c r="B218" s="2174" t="s">
        <v>4338</v>
      </c>
      <c r="C218" s="2192">
        <v>7</v>
      </c>
      <c r="D218" s="2176" t="s">
        <v>4351</v>
      </c>
      <c r="E218" s="2176" t="s">
        <v>2548</v>
      </c>
      <c r="F218" s="2188">
        <v>298459.02</v>
      </c>
      <c r="G218" s="2188">
        <v>328304.92</v>
      </c>
      <c r="H218" s="2175">
        <v>43745</v>
      </c>
      <c r="I218" s="2175">
        <v>44475</v>
      </c>
      <c r="J218" s="2244"/>
    </row>
    <row r="219" spans="1:10" ht="30">
      <c r="A219" s="2204" t="s">
        <v>4337</v>
      </c>
      <c r="B219" s="2174" t="s">
        <v>4338</v>
      </c>
      <c r="C219" s="2192">
        <v>9</v>
      </c>
      <c r="D219" s="2176" t="s">
        <v>4355</v>
      </c>
      <c r="E219" s="2176" t="s">
        <v>2548</v>
      </c>
      <c r="F219" s="2188">
        <v>81699.600000000006</v>
      </c>
      <c r="G219" s="2188">
        <v>89869.56</v>
      </c>
      <c r="H219" s="2175">
        <v>43745</v>
      </c>
      <c r="I219" s="2175">
        <v>44475</v>
      </c>
      <c r="J219" s="2244"/>
    </row>
    <row r="220" spans="1:10">
      <c r="A220" s="2204" t="s">
        <v>4907</v>
      </c>
      <c r="B220" s="2174" t="s">
        <v>4908</v>
      </c>
      <c r="C220" s="2192">
        <v>2</v>
      </c>
      <c r="D220" s="2176" t="s">
        <v>4909</v>
      </c>
      <c r="E220" s="2176" t="s">
        <v>5236</v>
      </c>
      <c r="F220" s="2188">
        <v>2059116.8</v>
      </c>
      <c r="G220" s="2188">
        <v>2265028.4800000004</v>
      </c>
      <c r="H220" s="2175">
        <v>43747</v>
      </c>
      <c r="I220" s="2175">
        <v>44477</v>
      </c>
      <c r="J220" s="2244"/>
    </row>
    <row r="221" spans="1:10">
      <c r="A221" s="2204" t="s">
        <v>4907</v>
      </c>
      <c r="B221" s="2174" t="s">
        <v>4908</v>
      </c>
      <c r="C221" s="2192">
        <v>3</v>
      </c>
      <c r="D221" s="2176" t="s">
        <v>4911</v>
      </c>
      <c r="E221" s="2176" t="s">
        <v>1319</v>
      </c>
      <c r="F221" s="2188">
        <v>26947074.600000001</v>
      </c>
      <c r="G221" s="2188">
        <v>29641782.060000002</v>
      </c>
      <c r="H221" s="2175">
        <v>43747</v>
      </c>
      <c r="I221" s="2175">
        <v>44477</v>
      </c>
      <c r="J221" s="2244"/>
    </row>
    <row r="222" spans="1:10">
      <c r="A222" s="2204" t="s">
        <v>4907</v>
      </c>
      <c r="B222" s="2174" t="s">
        <v>4908</v>
      </c>
      <c r="C222" s="2192">
        <v>4</v>
      </c>
      <c r="D222" s="2176" t="s">
        <v>4912</v>
      </c>
      <c r="E222" s="2176" t="s">
        <v>578</v>
      </c>
      <c r="F222" s="2188">
        <v>15472372.800000001</v>
      </c>
      <c r="G222" s="2188">
        <v>17019610.080000002</v>
      </c>
      <c r="H222" s="2175">
        <v>43747</v>
      </c>
      <c r="I222" s="2175">
        <v>44477</v>
      </c>
      <c r="J222" s="2244"/>
    </row>
    <row r="223" spans="1:10">
      <c r="A223" s="2204" t="s">
        <v>4907</v>
      </c>
      <c r="B223" s="2174" t="s">
        <v>4908</v>
      </c>
      <c r="C223" s="2192">
        <v>5</v>
      </c>
      <c r="D223" s="2176" t="s">
        <v>4913</v>
      </c>
      <c r="E223" s="2176" t="s">
        <v>576</v>
      </c>
      <c r="F223" s="2188">
        <v>5661190.4000000004</v>
      </c>
      <c r="G223" s="2188">
        <v>6227309.4400000013</v>
      </c>
      <c r="H223" s="2175">
        <v>43747</v>
      </c>
      <c r="I223" s="2175">
        <v>44477</v>
      </c>
      <c r="J223" s="2244"/>
    </row>
    <row r="224" spans="1:10" ht="30">
      <c r="A224" s="2204" t="s">
        <v>4357</v>
      </c>
      <c r="B224" s="2174" t="s">
        <v>4358</v>
      </c>
      <c r="C224" s="2192">
        <v>1</v>
      </c>
      <c r="D224" s="2176" t="s">
        <v>4359</v>
      </c>
      <c r="E224" s="2176" t="s">
        <v>1402</v>
      </c>
      <c r="F224" s="2188">
        <v>3874189.2</v>
      </c>
      <c r="G224" s="2188">
        <v>4261608.12</v>
      </c>
      <c r="H224" s="2175">
        <v>43752</v>
      </c>
      <c r="I224" s="2175">
        <v>44482</v>
      </c>
      <c r="J224" s="2244"/>
    </row>
    <row r="225" spans="1:10" ht="30">
      <c r="A225" s="2204" t="s">
        <v>4357</v>
      </c>
      <c r="B225" s="2174" t="s">
        <v>4358</v>
      </c>
      <c r="C225" s="2192">
        <v>2</v>
      </c>
      <c r="D225" s="2176" t="s">
        <v>4361</v>
      </c>
      <c r="E225" s="2176" t="s">
        <v>1564</v>
      </c>
      <c r="F225" s="2188">
        <v>715200</v>
      </c>
      <c r="G225" s="2188">
        <v>786720.00000000012</v>
      </c>
      <c r="H225" s="2175">
        <v>43752</v>
      </c>
      <c r="I225" s="2175">
        <v>44482</v>
      </c>
      <c r="J225" s="2244"/>
    </row>
    <row r="226" spans="1:10" ht="30">
      <c r="A226" s="2204" t="s">
        <v>4357</v>
      </c>
      <c r="B226" s="2174" t="s">
        <v>4358</v>
      </c>
      <c r="C226" s="2192">
        <v>3</v>
      </c>
      <c r="D226" s="2176" t="s">
        <v>4363</v>
      </c>
      <c r="E226" s="2176" t="s">
        <v>1564</v>
      </c>
      <c r="F226" s="2188">
        <v>567724</v>
      </c>
      <c r="G226" s="2188">
        <v>624496.4</v>
      </c>
      <c r="H226" s="2175">
        <v>43752</v>
      </c>
      <c r="I226" s="2175">
        <v>44482</v>
      </c>
      <c r="J226" s="2244"/>
    </row>
    <row r="227" spans="1:10" ht="30">
      <c r="A227" s="2204" t="s">
        <v>4357</v>
      </c>
      <c r="B227" s="2174" t="s">
        <v>4358</v>
      </c>
      <c r="C227" s="2192">
        <v>5</v>
      </c>
      <c r="D227" s="2176" t="s">
        <v>4365</v>
      </c>
      <c r="E227" s="2176" t="s">
        <v>2548</v>
      </c>
      <c r="F227" s="2188">
        <v>657227.19999999995</v>
      </c>
      <c r="G227" s="2188">
        <v>722949.92</v>
      </c>
      <c r="H227" s="2175">
        <v>43752</v>
      </c>
      <c r="I227" s="2175">
        <v>44482</v>
      </c>
      <c r="J227" s="2244"/>
    </row>
    <row r="228" spans="1:10" ht="30">
      <c r="A228" s="2204" t="s">
        <v>4357</v>
      </c>
      <c r="B228" s="2174" t="s">
        <v>4358</v>
      </c>
      <c r="C228" s="2192">
        <v>7</v>
      </c>
      <c r="D228" s="2176" t="s">
        <v>4369</v>
      </c>
      <c r="E228" s="2176" t="s">
        <v>1402</v>
      </c>
      <c r="F228" s="2188">
        <v>229138.28</v>
      </c>
      <c r="G228" s="2188">
        <v>252052.10800000001</v>
      </c>
      <c r="H228" s="2175">
        <v>43752</v>
      </c>
      <c r="I228" s="2175">
        <v>44482</v>
      </c>
      <c r="J228" s="2244"/>
    </row>
    <row r="229" spans="1:10" ht="30">
      <c r="A229" s="2204" t="s">
        <v>4357</v>
      </c>
      <c r="B229" s="2174" t="s">
        <v>4358</v>
      </c>
      <c r="C229" s="2192">
        <v>8</v>
      </c>
      <c r="D229" s="2176" t="s">
        <v>4371</v>
      </c>
      <c r="E229" s="2176" t="s">
        <v>2548</v>
      </c>
      <c r="F229" s="2188">
        <v>447222.64</v>
      </c>
      <c r="G229" s="2188">
        <v>491944.90400000004</v>
      </c>
      <c r="H229" s="2175">
        <v>43752</v>
      </c>
      <c r="I229" s="2175">
        <v>44482</v>
      </c>
      <c r="J229" s="2244"/>
    </row>
    <row r="230" spans="1:10" ht="30">
      <c r="A230" s="2204" t="s">
        <v>4357</v>
      </c>
      <c r="B230" s="2174" t="s">
        <v>4358</v>
      </c>
      <c r="C230" s="2192">
        <v>9</v>
      </c>
      <c r="D230" s="2176" t="s">
        <v>4373</v>
      </c>
      <c r="E230" s="2176" t="s">
        <v>1402</v>
      </c>
      <c r="F230" s="2188">
        <v>652999.72</v>
      </c>
      <c r="G230" s="2188">
        <v>718299.69200000004</v>
      </c>
      <c r="H230" s="2175">
        <v>43752</v>
      </c>
      <c r="I230" s="2175">
        <v>44482</v>
      </c>
      <c r="J230" s="2244"/>
    </row>
    <row r="231" spans="1:10" ht="30">
      <c r="A231" s="2204" t="s">
        <v>4765</v>
      </c>
      <c r="B231" s="2174" t="s">
        <v>4766</v>
      </c>
      <c r="C231" s="2192">
        <v>1</v>
      </c>
      <c r="D231" s="2176" t="s">
        <v>4767</v>
      </c>
      <c r="E231" s="2176" t="s">
        <v>5353</v>
      </c>
      <c r="F231" s="2188">
        <v>14328</v>
      </c>
      <c r="G231" s="2188">
        <v>17227.98</v>
      </c>
      <c r="H231" s="2175">
        <v>43752</v>
      </c>
      <c r="I231" s="2175">
        <v>44482</v>
      </c>
      <c r="J231" s="2244"/>
    </row>
    <row r="232" spans="1:10" ht="30">
      <c r="A232" s="2204" t="s">
        <v>4765</v>
      </c>
      <c r="B232" s="2174" t="s">
        <v>4766</v>
      </c>
      <c r="C232" s="2192">
        <v>4</v>
      </c>
      <c r="D232" s="2176" t="s">
        <v>4770</v>
      </c>
      <c r="E232" s="2176" t="s">
        <v>5354</v>
      </c>
      <c r="F232" s="2188">
        <v>9031060</v>
      </c>
      <c r="G232" s="2188">
        <v>10927582.6</v>
      </c>
      <c r="H232" s="2175">
        <v>43752</v>
      </c>
      <c r="I232" s="2175">
        <v>44482</v>
      </c>
      <c r="J232" s="2244"/>
    </row>
    <row r="233" spans="1:10">
      <c r="A233" s="2204" t="s">
        <v>5475</v>
      </c>
      <c r="B233" s="2174" t="s">
        <v>5476</v>
      </c>
      <c r="C233" s="2192">
        <v>1</v>
      </c>
      <c r="D233" s="2176" t="s">
        <v>5477</v>
      </c>
      <c r="E233" s="2176" t="s">
        <v>1318</v>
      </c>
      <c r="F233" s="2188">
        <v>280965.8</v>
      </c>
      <c r="G233" s="2188">
        <v>309062.38</v>
      </c>
      <c r="H233" s="2175">
        <v>43755</v>
      </c>
      <c r="I233" s="2175">
        <v>44485</v>
      </c>
      <c r="J233" s="2244"/>
    </row>
    <row r="234" spans="1:10">
      <c r="A234" s="2204" t="s">
        <v>5475</v>
      </c>
      <c r="B234" s="2174" t="s">
        <v>5476</v>
      </c>
      <c r="C234" s="2192">
        <v>3</v>
      </c>
      <c r="D234" s="2176" t="s">
        <v>5479</v>
      </c>
      <c r="E234" s="2176" t="s">
        <v>5774</v>
      </c>
      <c r="F234" s="2188">
        <v>397633.32</v>
      </c>
      <c r="G234" s="2188">
        <v>437396.65</v>
      </c>
      <c r="H234" s="2175">
        <v>43755</v>
      </c>
      <c r="I234" s="2175">
        <v>44485</v>
      </c>
      <c r="J234" s="2244"/>
    </row>
    <row r="235" spans="1:10">
      <c r="A235" s="2204" t="s">
        <v>5468</v>
      </c>
      <c r="B235" s="2174" t="s">
        <v>5605</v>
      </c>
      <c r="C235" s="2192">
        <v>1</v>
      </c>
      <c r="D235" s="2176" t="s">
        <v>5605</v>
      </c>
      <c r="E235" s="2176" t="s">
        <v>1319</v>
      </c>
      <c r="F235" s="2188">
        <v>1483940.64</v>
      </c>
      <c r="G235" s="2188">
        <v>1632334.7039999999</v>
      </c>
      <c r="H235" s="2175">
        <v>43761</v>
      </c>
      <c r="I235" s="2175">
        <v>44491</v>
      </c>
      <c r="J235" s="2244"/>
    </row>
    <row r="236" spans="1:10">
      <c r="A236" s="2205" t="s">
        <v>8723</v>
      </c>
      <c r="B236" s="2193" t="s">
        <v>8724</v>
      </c>
      <c r="C236" s="2198">
        <v>1</v>
      </c>
      <c r="D236" s="2193" t="s">
        <v>8725</v>
      </c>
      <c r="E236" s="2193" t="s">
        <v>8669</v>
      </c>
      <c r="F236" s="2190">
        <v>299591.78000000003</v>
      </c>
      <c r="G236" s="2190">
        <v>329550.95800000004</v>
      </c>
      <c r="H236" s="2191">
        <v>44133</v>
      </c>
      <c r="I236" s="2191">
        <v>44497</v>
      </c>
      <c r="J236" s="2244" t="s">
        <v>8633</v>
      </c>
    </row>
    <row r="237" spans="1:10" ht="30">
      <c r="A237" s="2205" t="s">
        <v>8735</v>
      </c>
      <c r="B237" s="2193" t="s">
        <v>8736</v>
      </c>
      <c r="C237" s="2198">
        <v>1</v>
      </c>
      <c r="D237" s="2193" t="s">
        <v>8736</v>
      </c>
      <c r="E237" s="2193" t="s">
        <v>8737</v>
      </c>
      <c r="F237" s="2190">
        <v>120800</v>
      </c>
      <c r="G237" s="2190">
        <v>132880</v>
      </c>
      <c r="H237" s="2191">
        <v>44137</v>
      </c>
      <c r="I237" s="2191">
        <v>44501</v>
      </c>
      <c r="J237" s="2244" t="s">
        <v>8638</v>
      </c>
    </row>
    <row r="238" spans="1:10">
      <c r="A238" s="2204" t="s">
        <v>4914</v>
      </c>
      <c r="B238" s="2174" t="s">
        <v>4915</v>
      </c>
      <c r="C238" s="2192">
        <v>1</v>
      </c>
      <c r="D238" s="2176" t="s">
        <v>4916</v>
      </c>
      <c r="E238" s="2176" t="s">
        <v>5805</v>
      </c>
      <c r="F238" s="2188">
        <v>11906766.199999999</v>
      </c>
      <c r="G238" s="2188">
        <v>13097442.82</v>
      </c>
      <c r="H238" s="2175">
        <v>43775</v>
      </c>
      <c r="I238" s="2175">
        <v>44505</v>
      </c>
      <c r="J238" s="2244"/>
    </row>
    <row r="239" spans="1:10">
      <c r="A239" s="2204" t="s">
        <v>4914</v>
      </c>
      <c r="B239" s="2174" t="s">
        <v>4915</v>
      </c>
      <c r="C239" s="2192">
        <v>2</v>
      </c>
      <c r="D239" s="2176" t="s">
        <v>4917</v>
      </c>
      <c r="E239" s="2176" t="s">
        <v>5774</v>
      </c>
      <c r="F239" s="2188">
        <v>1180926.6599999999</v>
      </c>
      <c r="G239" s="2188">
        <v>1299019.3260000001</v>
      </c>
      <c r="H239" s="2175">
        <v>43775</v>
      </c>
      <c r="I239" s="2175">
        <v>44505</v>
      </c>
      <c r="J239" s="2244"/>
    </row>
    <row r="240" spans="1:10">
      <c r="A240" s="2204" t="s">
        <v>4914</v>
      </c>
      <c r="B240" s="2174" t="s">
        <v>4915</v>
      </c>
      <c r="C240" s="2192">
        <v>3</v>
      </c>
      <c r="D240" s="2176" t="s">
        <v>4918</v>
      </c>
      <c r="E240" s="2176" t="s">
        <v>2548</v>
      </c>
      <c r="F240" s="2188">
        <v>1321502.8</v>
      </c>
      <c r="G240" s="2188">
        <v>1453653.08</v>
      </c>
      <c r="H240" s="2175">
        <v>43775</v>
      </c>
      <c r="I240" s="2175">
        <v>44505</v>
      </c>
      <c r="J240" s="2244"/>
    </row>
    <row r="241" spans="1:10">
      <c r="A241" s="2204" t="s">
        <v>5475</v>
      </c>
      <c r="B241" s="2174" t="s">
        <v>5476</v>
      </c>
      <c r="C241" s="2192">
        <v>2</v>
      </c>
      <c r="D241" s="2176" t="s">
        <v>5478</v>
      </c>
      <c r="E241" s="2176" t="s">
        <v>576</v>
      </c>
      <c r="F241" s="2188">
        <v>310202.88</v>
      </c>
      <c r="G241" s="2188">
        <v>341223.17</v>
      </c>
      <c r="H241" s="2175">
        <v>43784</v>
      </c>
      <c r="I241" s="2175">
        <v>44514</v>
      </c>
      <c r="J241" s="2244"/>
    </row>
    <row r="242" spans="1:10">
      <c r="A242" s="2204" t="s">
        <v>4878</v>
      </c>
      <c r="B242" s="2174" t="s">
        <v>4889</v>
      </c>
      <c r="C242" s="2192">
        <v>7</v>
      </c>
      <c r="D242" s="2174" t="s">
        <v>4885</v>
      </c>
      <c r="E242" s="2176" t="s">
        <v>5774</v>
      </c>
      <c r="F242" s="2188">
        <v>3109876</v>
      </c>
      <c r="G242" s="2188">
        <v>3420863.6</v>
      </c>
      <c r="H242" s="2175">
        <v>43795</v>
      </c>
      <c r="I242" s="2175">
        <v>44525</v>
      </c>
      <c r="J242" s="2244"/>
    </row>
    <row r="243" spans="1:10">
      <c r="A243" s="2204" t="s">
        <v>4878</v>
      </c>
      <c r="B243" s="2174" t="s">
        <v>4889</v>
      </c>
      <c r="C243" s="2192">
        <v>1</v>
      </c>
      <c r="D243" s="2174" t="s">
        <v>4879</v>
      </c>
      <c r="E243" s="2176" t="s">
        <v>5566</v>
      </c>
      <c r="F243" s="2188">
        <v>2780260.18</v>
      </c>
      <c r="G243" s="2188">
        <v>3058286.2</v>
      </c>
      <c r="H243" s="2175">
        <v>43796</v>
      </c>
      <c r="I243" s="2175">
        <v>44526</v>
      </c>
      <c r="J243" s="2244"/>
    </row>
    <row r="244" spans="1:10">
      <c r="A244" s="2204" t="s">
        <v>4878</v>
      </c>
      <c r="B244" s="2174" t="s">
        <v>4889</v>
      </c>
      <c r="C244" s="2192">
        <v>3</v>
      </c>
      <c r="D244" s="2174" t="s">
        <v>4881</v>
      </c>
      <c r="E244" s="2176" t="s">
        <v>2548</v>
      </c>
      <c r="F244" s="2188">
        <v>201035.84</v>
      </c>
      <c r="G244" s="2188">
        <v>221139.43</v>
      </c>
      <c r="H244" s="2175">
        <v>43796</v>
      </c>
      <c r="I244" s="2175">
        <v>44526</v>
      </c>
      <c r="J244" s="2244"/>
    </row>
    <row r="245" spans="1:10">
      <c r="A245" s="2204" t="s">
        <v>4878</v>
      </c>
      <c r="B245" s="2174" t="s">
        <v>4889</v>
      </c>
      <c r="C245" s="2192">
        <v>4</v>
      </c>
      <c r="D245" s="2174" t="s">
        <v>4882</v>
      </c>
      <c r="E245" s="2176" t="s">
        <v>2548</v>
      </c>
      <c r="F245" s="2188">
        <v>12070000</v>
      </c>
      <c r="G245" s="2188">
        <v>13277000</v>
      </c>
      <c r="H245" s="2175">
        <v>43796</v>
      </c>
      <c r="I245" s="2175">
        <v>44526</v>
      </c>
      <c r="J245" s="2244"/>
    </row>
    <row r="246" spans="1:10">
      <c r="A246" s="2204" t="s">
        <v>4878</v>
      </c>
      <c r="B246" s="2174" t="s">
        <v>4889</v>
      </c>
      <c r="C246" s="2192">
        <v>5</v>
      </c>
      <c r="D246" s="2174" t="s">
        <v>4883</v>
      </c>
      <c r="E246" s="2176" t="s">
        <v>2548</v>
      </c>
      <c r="F246" s="2188">
        <v>3029447.74</v>
      </c>
      <c r="G246" s="2188">
        <v>3332392.51</v>
      </c>
      <c r="H246" s="2175">
        <v>43796</v>
      </c>
      <c r="I246" s="2175">
        <v>44526</v>
      </c>
      <c r="J246" s="2244"/>
    </row>
    <row r="247" spans="1:10">
      <c r="A247" s="2204" t="s">
        <v>4878</v>
      </c>
      <c r="B247" s="2174" t="s">
        <v>4889</v>
      </c>
      <c r="C247" s="2192">
        <v>6</v>
      </c>
      <c r="D247" s="2174" t="s">
        <v>4884</v>
      </c>
      <c r="E247" s="2176" t="s">
        <v>576</v>
      </c>
      <c r="F247" s="2188">
        <v>1538049.52</v>
      </c>
      <c r="G247" s="2188">
        <v>1691854.47</v>
      </c>
      <c r="H247" s="2175">
        <v>43796</v>
      </c>
      <c r="I247" s="2175">
        <v>44526</v>
      </c>
      <c r="J247" s="2244"/>
    </row>
    <row r="248" spans="1:10">
      <c r="A248" s="2204" t="s">
        <v>4878</v>
      </c>
      <c r="B248" s="2174" t="s">
        <v>4889</v>
      </c>
      <c r="C248" s="2192">
        <v>8</v>
      </c>
      <c r="D248" s="2174" t="s">
        <v>4886</v>
      </c>
      <c r="E248" s="2176" t="s">
        <v>2548</v>
      </c>
      <c r="F248" s="2188">
        <v>8006822.04</v>
      </c>
      <c r="G248" s="2188">
        <v>8807504.2400000002</v>
      </c>
      <c r="H248" s="2175">
        <v>43796</v>
      </c>
      <c r="I248" s="2175">
        <v>44526</v>
      </c>
      <c r="J248" s="2244"/>
    </row>
    <row r="249" spans="1:10">
      <c r="A249" s="2204" t="s">
        <v>4878</v>
      </c>
      <c r="B249" s="2174" t="s">
        <v>4889</v>
      </c>
      <c r="C249" s="2192">
        <v>10</v>
      </c>
      <c r="D249" s="2174" t="s">
        <v>4888</v>
      </c>
      <c r="E249" s="2176" t="s">
        <v>1319</v>
      </c>
      <c r="F249" s="2188">
        <v>5488380</v>
      </c>
      <c r="G249" s="2188">
        <v>6037218</v>
      </c>
      <c r="H249" s="2175">
        <v>43796</v>
      </c>
      <c r="I249" s="2175">
        <v>44526</v>
      </c>
      <c r="J249" s="2244"/>
    </row>
    <row r="250" spans="1:10" ht="30">
      <c r="A250" s="2204" t="s">
        <v>4573</v>
      </c>
      <c r="B250" s="2174" t="s">
        <v>4574</v>
      </c>
      <c r="C250" s="2192">
        <v>1</v>
      </c>
      <c r="D250" s="2176" t="s">
        <v>4343</v>
      </c>
      <c r="E250" s="2176" t="s">
        <v>576</v>
      </c>
      <c r="F250" s="2188">
        <v>2343698.2799999998</v>
      </c>
      <c r="G250" s="2188">
        <v>2578068.11</v>
      </c>
      <c r="H250" s="2175">
        <v>43798</v>
      </c>
      <c r="I250" s="2175">
        <v>44528</v>
      </c>
      <c r="J250" s="2244"/>
    </row>
    <row r="251" spans="1:10" ht="30">
      <c r="A251" s="2204" t="s">
        <v>4573</v>
      </c>
      <c r="B251" s="2174" t="s">
        <v>4574</v>
      </c>
      <c r="C251" s="2192">
        <v>3</v>
      </c>
      <c r="D251" s="2176" t="s">
        <v>4575</v>
      </c>
      <c r="E251" s="2176" t="s">
        <v>1402</v>
      </c>
      <c r="F251" s="2188">
        <v>257585.64</v>
      </c>
      <c r="G251" s="2188">
        <v>283344.2</v>
      </c>
      <c r="H251" s="2175">
        <v>43798</v>
      </c>
      <c r="I251" s="2175">
        <v>44528</v>
      </c>
      <c r="J251" s="2244"/>
    </row>
    <row r="252" spans="1:10" ht="30">
      <c r="A252" s="2204" t="s">
        <v>4573</v>
      </c>
      <c r="B252" s="2174" t="s">
        <v>4574</v>
      </c>
      <c r="C252" s="2192">
        <v>6</v>
      </c>
      <c r="D252" s="2176" t="s">
        <v>4369</v>
      </c>
      <c r="E252" s="2176" t="s">
        <v>1402</v>
      </c>
      <c r="F252" s="2188">
        <v>135008.04</v>
      </c>
      <c r="G252" s="2188">
        <v>148508.84</v>
      </c>
      <c r="H252" s="2175">
        <v>43798</v>
      </c>
      <c r="I252" s="2175">
        <v>44528</v>
      </c>
      <c r="J252" s="2244"/>
    </row>
    <row r="253" spans="1:10" ht="30">
      <c r="A253" s="2204" t="s">
        <v>4573</v>
      </c>
      <c r="B253" s="2174" t="s">
        <v>4574</v>
      </c>
      <c r="C253" s="2192">
        <v>7</v>
      </c>
      <c r="D253" s="2176" t="s">
        <v>4393</v>
      </c>
      <c r="E253" s="2176" t="s">
        <v>1402</v>
      </c>
      <c r="F253" s="2188">
        <v>544810.54</v>
      </c>
      <c r="G253" s="2188">
        <v>599291.59</v>
      </c>
      <c r="H253" s="2175">
        <v>43798</v>
      </c>
      <c r="I253" s="2175">
        <v>44528</v>
      </c>
      <c r="J253" s="2244"/>
    </row>
    <row r="254" spans="1:10">
      <c r="A254" s="2204" t="s">
        <v>5008</v>
      </c>
      <c r="B254" s="2174" t="s">
        <v>5009</v>
      </c>
      <c r="C254" s="2192">
        <v>1</v>
      </c>
      <c r="D254" s="2176" t="s">
        <v>5011</v>
      </c>
      <c r="E254" s="2176" t="s">
        <v>1646</v>
      </c>
      <c r="F254" s="2188">
        <v>48037.919999999998</v>
      </c>
      <c r="G254" s="2188">
        <v>52841.712</v>
      </c>
      <c r="H254" s="2175">
        <v>43798</v>
      </c>
      <c r="I254" s="2175">
        <v>44528</v>
      </c>
      <c r="J254" s="2244"/>
    </row>
    <row r="255" spans="1:10">
      <c r="A255" s="2204" t="s">
        <v>5008</v>
      </c>
      <c r="B255" s="2174" t="s">
        <v>5009</v>
      </c>
      <c r="C255" s="2192">
        <v>3</v>
      </c>
      <c r="D255" s="2176" t="s">
        <v>5013</v>
      </c>
      <c r="E255" s="2176" t="s">
        <v>1319</v>
      </c>
      <c r="F255" s="2188">
        <v>15893577</v>
      </c>
      <c r="G255" s="2188">
        <v>17255801.199999999</v>
      </c>
      <c r="H255" s="2175">
        <v>43798</v>
      </c>
      <c r="I255" s="2175">
        <v>44528</v>
      </c>
      <c r="J255" s="2244"/>
    </row>
    <row r="256" spans="1:10">
      <c r="A256" s="2204" t="s">
        <v>5008</v>
      </c>
      <c r="B256" s="2174" t="s">
        <v>5009</v>
      </c>
      <c r="C256" s="2192">
        <v>4</v>
      </c>
      <c r="D256" s="2176" t="s">
        <v>5014</v>
      </c>
      <c r="E256" s="2176" t="s">
        <v>2548</v>
      </c>
      <c r="F256" s="2188">
        <v>10485580.560000001</v>
      </c>
      <c r="G256" s="2188">
        <v>11534138.619999999</v>
      </c>
      <c r="H256" s="2175">
        <v>43798</v>
      </c>
      <c r="I256" s="2175">
        <v>44528</v>
      </c>
      <c r="J256" s="2244"/>
    </row>
    <row r="257" spans="1:10">
      <c r="A257" s="2204" t="s">
        <v>5008</v>
      </c>
      <c r="B257" s="2174" t="s">
        <v>5009</v>
      </c>
      <c r="C257" s="2192">
        <v>5</v>
      </c>
      <c r="D257" s="2176" t="s">
        <v>5015</v>
      </c>
      <c r="E257" s="2176" t="s">
        <v>2548</v>
      </c>
      <c r="F257" s="2188">
        <v>97397567.939999998</v>
      </c>
      <c r="G257" s="2188">
        <v>107137324.73</v>
      </c>
      <c r="H257" s="2175">
        <v>43798</v>
      </c>
      <c r="I257" s="2175">
        <v>44528</v>
      </c>
      <c r="J257" s="2244"/>
    </row>
    <row r="258" spans="1:10">
      <c r="A258" s="2206" t="s">
        <v>4329</v>
      </c>
      <c r="B258" s="2194" t="s">
        <v>4330</v>
      </c>
      <c r="C258" s="2195">
        <v>3</v>
      </c>
      <c r="D258" s="2178" t="s">
        <v>4333</v>
      </c>
      <c r="E258" s="2178" t="s">
        <v>5640</v>
      </c>
      <c r="F258" s="2189">
        <v>7487084.4800000004</v>
      </c>
      <c r="G258" s="2189">
        <v>8235792.9280000012</v>
      </c>
      <c r="H258" s="2179">
        <v>43799</v>
      </c>
      <c r="I258" s="2179">
        <v>44529</v>
      </c>
      <c r="J258" s="2244"/>
    </row>
    <row r="259" spans="1:10">
      <c r="A259" s="2204" t="s">
        <v>4757</v>
      </c>
      <c r="B259" s="2174" t="s">
        <v>4764</v>
      </c>
      <c r="C259" s="2192">
        <v>1</v>
      </c>
      <c r="D259" s="2176" t="s">
        <v>4758</v>
      </c>
      <c r="E259" s="2176" t="s">
        <v>5901</v>
      </c>
      <c r="F259" s="2188">
        <v>4639906</v>
      </c>
      <c r="G259" s="2188">
        <v>5614286.2599999998</v>
      </c>
      <c r="H259" s="2175">
        <v>43808</v>
      </c>
      <c r="I259" s="2175">
        <v>44538</v>
      </c>
      <c r="J259" s="2244"/>
    </row>
    <row r="260" spans="1:10" ht="30">
      <c r="A260" s="2204" t="s">
        <v>4757</v>
      </c>
      <c r="B260" s="2174" t="s">
        <v>4764</v>
      </c>
      <c r="C260" s="2192">
        <v>4</v>
      </c>
      <c r="D260" s="2176" t="s">
        <v>4761</v>
      </c>
      <c r="E260" s="2176" t="s">
        <v>5949</v>
      </c>
      <c r="F260" s="2188">
        <v>361716</v>
      </c>
      <c r="G260" s="2188">
        <v>437676.36</v>
      </c>
      <c r="H260" s="2175">
        <v>43808</v>
      </c>
      <c r="I260" s="2175">
        <v>44538</v>
      </c>
      <c r="J260" s="2244"/>
    </row>
    <row r="261" spans="1:10">
      <c r="A261" s="2205" t="s">
        <v>8729</v>
      </c>
      <c r="B261" s="2193" t="s">
        <v>8730</v>
      </c>
      <c r="C261" s="2198">
        <v>2</v>
      </c>
      <c r="D261" s="2193" t="s">
        <v>8730</v>
      </c>
      <c r="E261" s="2193" t="s">
        <v>8732</v>
      </c>
      <c r="F261" s="2190">
        <v>15730</v>
      </c>
      <c r="G261" s="2190">
        <v>17303</v>
      </c>
      <c r="H261" s="2191">
        <v>44181</v>
      </c>
      <c r="I261" s="2191">
        <v>44545</v>
      </c>
      <c r="J261" s="2244" t="s">
        <v>8760</v>
      </c>
    </row>
    <row r="262" spans="1:10">
      <c r="A262" s="2205" t="s">
        <v>8729</v>
      </c>
      <c r="B262" s="2193" t="s">
        <v>8730</v>
      </c>
      <c r="C262" s="2198">
        <v>3</v>
      </c>
      <c r="D262" s="2193" t="s">
        <v>8730</v>
      </c>
      <c r="E262" s="2193" t="s">
        <v>8733</v>
      </c>
      <c r="F262" s="2190">
        <v>112470</v>
      </c>
      <c r="G262" s="2190">
        <v>123717.00000000001</v>
      </c>
      <c r="H262" s="2191">
        <v>44181</v>
      </c>
      <c r="I262" s="2191">
        <v>44545</v>
      </c>
      <c r="J262" s="2244" t="s">
        <v>8636</v>
      </c>
    </row>
    <row r="263" spans="1:10">
      <c r="A263" s="2205" t="s">
        <v>8726</v>
      </c>
      <c r="B263" s="2193" t="s">
        <v>8727</v>
      </c>
      <c r="C263" s="2198">
        <v>1</v>
      </c>
      <c r="D263" s="2193" t="s">
        <v>8728</v>
      </c>
      <c r="E263" s="2193" t="s">
        <v>8655</v>
      </c>
      <c r="F263" s="2190">
        <v>185173.35</v>
      </c>
      <c r="G263" s="2190">
        <v>203690.68500000003</v>
      </c>
      <c r="H263" s="2191">
        <v>44195</v>
      </c>
      <c r="I263" s="2191">
        <v>44559</v>
      </c>
      <c r="J263" s="2244" t="s">
        <v>8634</v>
      </c>
    </row>
    <row r="264" spans="1:10" ht="30">
      <c r="A264" s="2204" t="s">
        <v>4573</v>
      </c>
      <c r="B264" s="2174" t="s">
        <v>4574</v>
      </c>
      <c r="C264" s="2192">
        <v>5</v>
      </c>
      <c r="D264" s="2176" t="s">
        <v>4367</v>
      </c>
      <c r="E264" s="2176" t="s">
        <v>576</v>
      </c>
      <c r="F264" s="2188">
        <v>215896.32000000001</v>
      </c>
      <c r="G264" s="2188">
        <v>237485.95</v>
      </c>
      <c r="H264" s="2175">
        <v>43836</v>
      </c>
      <c r="I264" s="2175">
        <v>44566</v>
      </c>
      <c r="J264" s="2244"/>
    </row>
    <row r="265" spans="1:10">
      <c r="A265" s="2204" t="s">
        <v>4989</v>
      </c>
      <c r="B265" s="2174" t="s">
        <v>4990</v>
      </c>
      <c r="C265" s="2192">
        <v>1</v>
      </c>
      <c r="D265" s="2176" t="s">
        <v>4991</v>
      </c>
      <c r="E265" s="2176" t="s">
        <v>576</v>
      </c>
      <c r="F265" s="2188">
        <v>11889360</v>
      </c>
      <c r="G265" s="2188">
        <v>13078296</v>
      </c>
      <c r="H265" s="2175">
        <v>43836</v>
      </c>
      <c r="I265" s="2175">
        <v>44566</v>
      </c>
      <c r="J265" s="2244"/>
    </row>
    <row r="266" spans="1:10">
      <c r="A266" s="2204" t="s">
        <v>5466</v>
      </c>
      <c r="B266" s="2174" t="s">
        <v>5465</v>
      </c>
      <c r="C266" s="2192">
        <v>1</v>
      </c>
      <c r="D266" s="2176" t="s">
        <v>5467</v>
      </c>
      <c r="E266" s="2176" t="s">
        <v>576</v>
      </c>
      <c r="F266" s="2188">
        <v>19686799.440000001</v>
      </c>
      <c r="G266" s="2188">
        <v>21655479.379999999</v>
      </c>
      <c r="H266" s="2175">
        <v>43836</v>
      </c>
      <c r="I266" s="2175">
        <v>44566</v>
      </c>
      <c r="J266" s="2244"/>
    </row>
    <row r="267" spans="1:10">
      <c r="A267" s="2204" t="s">
        <v>5240</v>
      </c>
      <c r="B267" s="2174" t="s">
        <v>5241</v>
      </c>
      <c r="C267" s="2192">
        <v>1</v>
      </c>
      <c r="D267" s="2176" t="s">
        <v>5242</v>
      </c>
      <c r="E267" s="2176" t="s">
        <v>576</v>
      </c>
      <c r="F267" s="2188">
        <v>5767106.8799999999</v>
      </c>
      <c r="G267" s="2188">
        <v>6343817.5700000003</v>
      </c>
      <c r="H267" s="2175">
        <v>43839</v>
      </c>
      <c r="I267" s="2175">
        <v>44569</v>
      </c>
      <c r="J267" s="2244"/>
    </row>
    <row r="268" spans="1:10" ht="30">
      <c r="A268" s="2204" t="s">
        <v>4771</v>
      </c>
      <c r="B268" s="2174" t="s">
        <v>4772</v>
      </c>
      <c r="C268" s="2192">
        <v>2</v>
      </c>
      <c r="D268" s="2176" t="s">
        <v>4776</v>
      </c>
      <c r="E268" s="2176" t="s">
        <v>5332</v>
      </c>
      <c r="F268" s="2188">
        <v>1390872</v>
      </c>
      <c r="G268" s="2188">
        <v>1682955.12</v>
      </c>
      <c r="H268" s="2175">
        <v>43843</v>
      </c>
      <c r="I268" s="2175">
        <v>44573</v>
      </c>
      <c r="J268" s="2244"/>
    </row>
    <row r="269" spans="1:10" ht="30">
      <c r="A269" s="2204" t="s">
        <v>4771</v>
      </c>
      <c r="B269" s="2174" t="s">
        <v>4772</v>
      </c>
      <c r="C269" s="2192">
        <v>4</v>
      </c>
      <c r="D269" s="2176" t="s">
        <v>4778</v>
      </c>
      <c r="E269" s="2176" t="s">
        <v>5900</v>
      </c>
      <c r="F269" s="2188">
        <v>1458000</v>
      </c>
      <c r="G269" s="2188">
        <v>1764180</v>
      </c>
      <c r="H269" s="2175">
        <v>43843</v>
      </c>
      <c r="I269" s="2175">
        <v>44573</v>
      </c>
      <c r="J269" s="2244"/>
    </row>
    <row r="270" spans="1:10" ht="30">
      <c r="A270" s="2204" t="s">
        <v>4771</v>
      </c>
      <c r="B270" s="2174" t="s">
        <v>4772</v>
      </c>
      <c r="C270" s="2192">
        <v>8</v>
      </c>
      <c r="D270" s="2176" t="s">
        <v>4782</v>
      </c>
      <c r="E270" s="2176" t="s">
        <v>5472</v>
      </c>
      <c r="F270" s="2188">
        <v>2367830</v>
      </c>
      <c r="G270" s="2188">
        <v>2865074.3</v>
      </c>
      <c r="H270" s="2175">
        <v>43843</v>
      </c>
      <c r="I270" s="2175">
        <v>44573</v>
      </c>
      <c r="J270" s="2244"/>
    </row>
    <row r="271" spans="1:10" ht="30">
      <c r="A271" s="2204" t="s">
        <v>5402</v>
      </c>
      <c r="B271" s="2174" t="s">
        <v>5404</v>
      </c>
      <c r="C271" s="2192">
        <v>1</v>
      </c>
      <c r="D271" s="2176" t="s">
        <v>3740</v>
      </c>
      <c r="E271" s="2176" t="s">
        <v>2548</v>
      </c>
      <c r="F271" s="2188">
        <v>8316786.4000000004</v>
      </c>
      <c r="G271" s="2188">
        <v>9148465.0399999991</v>
      </c>
      <c r="H271" s="2175">
        <v>43844</v>
      </c>
      <c r="I271" s="2175">
        <v>44574</v>
      </c>
      <c r="J271" s="2244"/>
    </row>
    <row r="272" spans="1:10">
      <c r="A272" s="2204" t="s">
        <v>5403</v>
      </c>
      <c r="B272" s="2174" t="s">
        <v>5405</v>
      </c>
      <c r="C272" s="2192">
        <v>1</v>
      </c>
      <c r="D272" s="2176" t="s">
        <v>5406</v>
      </c>
      <c r="E272" s="2176" t="s">
        <v>1407</v>
      </c>
      <c r="F272" s="2188">
        <v>28747836</v>
      </c>
      <c r="G272" s="2188">
        <v>31622620</v>
      </c>
      <c r="H272" s="2175">
        <v>43844</v>
      </c>
      <c r="I272" s="2175">
        <v>44574</v>
      </c>
      <c r="J272" s="2244"/>
    </row>
    <row r="273" spans="1:10" ht="30">
      <c r="A273" s="2204" t="s">
        <v>4573</v>
      </c>
      <c r="B273" s="2174" t="s">
        <v>4574</v>
      </c>
      <c r="C273" s="2192">
        <v>4</v>
      </c>
      <c r="D273" s="2176" t="s">
        <v>4576</v>
      </c>
      <c r="E273" s="2176" t="s">
        <v>576</v>
      </c>
      <c r="F273" s="2188">
        <v>134452.5</v>
      </c>
      <c r="G273" s="2188">
        <v>147897.75</v>
      </c>
      <c r="H273" s="2175">
        <v>43854</v>
      </c>
      <c r="I273" s="2175">
        <v>44584</v>
      </c>
      <c r="J273" s="2244"/>
    </row>
    <row r="274" spans="1:10">
      <c r="A274" s="2204" t="s">
        <v>5189</v>
      </c>
      <c r="B274" s="2174" t="s">
        <v>5190</v>
      </c>
      <c r="C274" s="2192">
        <v>5</v>
      </c>
      <c r="D274" s="2176" t="s">
        <v>5195</v>
      </c>
      <c r="E274" s="2176" t="s">
        <v>2548</v>
      </c>
      <c r="F274" s="2188">
        <v>24687189.539999999</v>
      </c>
      <c r="G274" s="2188">
        <v>27155908.489999998</v>
      </c>
      <c r="H274" s="2175">
        <v>43861</v>
      </c>
      <c r="I274" s="2175">
        <v>44591</v>
      </c>
      <c r="J274" s="2244"/>
    </row>
    <row r="275" spans="1:10" ht="45">
      <c r="A275" s="2204" t="s">
        <v>5407</v>
      </c>
      <c r="B275" s="2174" t="s">
        <v>5411</v>
      </c>
      <c r="C275" s="2192">
        <v>1</v>
      </c>
      <c r="D275" s="2176" t="s">
        <v>5408</v>
      </c>
      <c r="E275" s="2176" t="s">
        <v>1407</v>
      </c>
      <c r="F275" s="2188">
        <v>8023182</v>
      </c>
      <c r="G275" s="2188">
        <v>8825500.1999999993</v>
      </c>
      <c r="H275" s="2175">
        <v>43861</v>
      </c>
      <c r="I275" s="2175">
        <v>44591</v>
      </c>
      <c r="J275" s="2244"/>
    </row>
    <row r="276" spans="1:10">
      <c r="A276" s="2204" t="s">
        <v>4979</v>
      </c>
      <c r="B276" s="2174" t="s">
        <v>4980</v>
      </c>
      <c r="C276" s="2192">
        <v>1</v>
      </c>
      <c r="D276" s="2176" t="s">
        <v>4981</v>
      </c>
      <c r="E276" s="2176" t="s">
        <v>5774</v>
      </c>
      <c r="F276" s="2188">
        <v>2279198.2000000002</v>
      </c>
      <c r="G276" s="2188">
        <v>2507118.02</v>
      </c>
      <c r="H276" s="2175">
        <v>43871</v>
      </c>
      <c r="I276" s="2175">
        <v>44601</v>
      </c>
      <c r="J276" s="2244"/>
    </row>
    <row r="277" spans="1:10">
      <c r="A277" s="2204" t="s">
        <v>4979</v>
      </c>
      <c r="B277" s="2174" t="s">
        <v>4980</v>
      </c>
      <c r="C277" s="2192">
        <v>3</v>
      </c>
      <c r="D277" s="2176" t="s">
        <v>4983</v>
      </c>
      <c r="E277" s="2176" t="s">
        <v>2518</v>
      </c>
      <c r="F277" s="2188">
        <v>4011000</v>
      </c>
      <c r="G277" s="2188">
        <v>4412100</v>
      </c>
      <c r="H277" s="2175">
        <v>43871</v>
      </c>
      <c r="I277" s="2175">
        <v>44601</v>
      </c>
      <c r="J277" s="2244"/>
    </row>
    <row r="278" spans="1:10">
      <c r="A278" s="2204" t="s">
        <v>4979</v>
      </c>
      <c r="B278" s="2174" t="s">
        <v>4980</v>
      </c>
      <c r="C278" s="2192">
        <v>5</v>
      </c>
      <c r="D278" s="2176" t="s">
        <v>4985</v>
      </c>
      <c r="E278" s="2176" t="s">
        <v>1318</v>
      </c>
      <c r="F278" s="2188">
        <v>11639164.960000001</v>
      </c>
      <c r="G278" s="2188">
        <v>12803081.460000001</v>
      </c>
      <c r="H278" s="2175">
        <v>43871</v>
      </c>
      <c r="I278" s="2175">
        <v>44601</v>
      </c>
      <c r="J278" s="2244"/>
    </row>
    <row r="279" spans="1:10" ht="60">
      <c r="A279" s="2204" t="s">
        <v>5431</v>
      </c>
      <c r="B279" s="2174" t="s">
        <v>5437</v>
      </c>
      <c r="C279" s="2192">
        <v>3</v>
      </c>
      <c r="D279" s="2176" t="s">
        <v>5434</v>
      </c>
      <c r="E279" s="2176" t="s">
        <v>2548</v>
      </c>
      <c r="F279" s="2188">
        <v>195963.12</v>
      </c>
      <c r="G279" s="2188">
        <v>215559.43</v>
      </c>
      <c r="H279" s="2175">
        <v>43871</v>
      </c>
      <c r="I279" s="2175">
        <v>44601</v>
      </c>
      <c r="J279" s="2244"/>
    </row>
    <row r="280" spans="1:10">
      <c r="A280" s="2204" t="s">
        <v>5431</v>
      </c>
      <c r="B280" s="2174" t="s">
        <v>5437</v>
      </c>
      <c r="C280" s="2192">
        <v>4</v>
      </c>
      <c r="D280" s="2176" t="s">
        <v>5435</v>
      </c>
      <c r="E280" s="2176" t="s">
        <v>5774</v>
      </c>
      <c r="F280" s="2188">
        <v>6806504</v>
      </c>
      <c r="G280" s="2188">
        <v>7487154.4000000004</v>
      </c>
      <c r="H280" s="2175">
        <v>43871</v>
      </c>
      <c r="I280" s="2175">
        <v>44601</v>
      </c>
      <c r="J280" s="2244"/>
    </row>
    <row r="281" spans="1:10">
      <c r="A281" s="2204" t="s">
        <v>5691</v>
      </c>
      <c r="B281" s="2174" t="s">
        <v>5692</v>
      </c>
      <c r="C281" s="2192">
        <v>1</v>
      </c>
      <c r="D281" s="2176" t="s">
        <v>5693</v>
      </c>
      <c r="E281" s="2176" t="s">
        <v>2548</v>
      </c>
      <c r="F281" s="2188">
        <v>21226705.920000002</v>
      </c>
      <c r="G281" s="2188">
        <v>23349376.510000002</v>
      </c>
      <c r="H281" s="2175">
        <v>43871</v>
      </c>
      <c r="I281" s="2175">
        <v>44601</v>
      </c>
      <c r="J281" s="2244"/>
    </row>
    <row r="282" spans="1:10">
      <c r="A282" s="2204" t="s">
        <v>5691</v>
      </c>
      <c r="B282" s="2174" t="s">
        <v>5692</v>
      </c>
      <c r="C282" s="2192">
        <v>2</v>
      </c>
      <c r="D282" s="2176" t="s">
        <v>5694</v>
      </c>
      <c r="E282" s="2176" t="s">
        <v>5774</v>
      </c>
      <c r="F282" s="2188">
        <v>1057645.1599999999</v>
      </c>
      <c r="G282" s="2188">
        <v>1163409.68</v>
      </c>
      <c r="H282" s="2175">
        <v>43871</v>
      </c>
      <c r="I282" s="2175">
        <v>44601</v>
      </c>
      <c r="J282" s="2244"/>
    </row>
    <row r="283" spans="1:10">
      <c r="A283" s="2204" t="s">
        <v>5691</v>
      </c>
      <c r="B283" s="2174" t="s">
        <v>5692</v>
      </c>
      <c r="C283" s="2192">
        <v>3</v>
      </c>
      <c r="D283" s="2176" t="s">
        <v>5695</v>
      </c>
      <c r="E283" s="2176" t="s">
        <v>5774</v>
      </c>
      <c r="F283" s="2188">
        <v>65363.72</v>
      </c>
      <c r="G283" s="2188">
        <v>71900.09</v>
      </c>
      <c r="H283" s="2175">
        <v>43871</v>
      </c>
      <c r="I283" s="2175">
        <v>44601</v>
      </c>
      <c r="J283" s="2244"/>
    </row>
    <row r="284" spans="1:10">
      <c r="A284" s="2204" t="s">
        <v>2124</v>
      </c>
      <c r="B284" s="2174" t="s">
        <v>2125</v>
      </c>
      <c r="C284" s="2192"/>
      <c r="D284" s="2174"/>
      <c r="E284" s="2176" t="s">
        <v>1143</v>
      </c>
      <c r="F284" s="2188">
        <v>3381000</v>
      </c>
      <c r="G284" s="2188">
        <v>4091010</v>
      </c>
      <c r="H284" s="2175">
        <v>43144</v>
      </c>
      <c r="I284" s="2175">
        <v>44604</v>
      </c>
      <c r="J284" s="2244"/>
    </row>
    <row r="285" spans="1:10">
      <c r="A285" s="2205" t="s">
        <v>8729</v>
      </c>
      <c r="B285" s="2193" t="s">
        <v>8730</v>
      </c>
      <c r="C285" s="2198">
        <v>4</v>
      </c>
      <c r="D285" s="2193" t="s">
        <v>8730</v>
      </c>
      <c r="E285" s="2193" t="s">
        <v>8734</v>
      </c>
      <c r="F285" s="2190">
        <v>269912.78000000003</v>
      </c>
      <c r="G285" s="2190">
        <v>296904.05800000008</v>
      </c>
      <c r="H285" s="2191">
        <v>44244</v>
      </c>
      <c r="I285" s="2191">
        <v>44608</v>
      </c>
      <c r="J285" s="2244" t="s">
        <v>8637</v>
      </c>
    </row>
    <row r="286" spans="1:10">
      <c r="A286" s="2204" t="s">
        <v>5295</v>
      </c>
      <c r="B286" s="2174" t="s">
        <v>5296</v>
      </c>
      <c r="C286" s="2192">
        <v>1</v>
      </c>
      <c r="D286" s="2176" t="s">
        <v>5297</v>
      </c>
      <c r="E286" s="2176" t="s">
        <v>576</v>
      </c>
      <c r="F286" s="2188">
        <v>1381846.8</v>
      </c>
      <c r="G286" s="2188">
        <v>1520031.48</v>
      </c>
      <c r="H286" s="2175">
        <v>43880</v>
      </c>
      <c r="I286" s="2175">
        <v>44610</v>
      </c>
      <c r="J286" s="2244"/>
    </row>
    <row r="287" spans="1:10" ht="30">
      <c r="A287" s="2204" t="s">
        <v>4375</v>
      </c>
      <c r="B287" s="2174" t="s">
        <v>4376</v>
      </c>
      <c r="C287" s="2192">
        <v>2</v>
      </c>
      <c r="D287" s="2176" t="s">
        <v>4379</v>
      </c>
      <c r="E287" s="2176" t="s">
        <v>576</v>
      </c>
      <c r="F287" s="2188">
        <v>565770.1</v>
      </c>
      <c r="G287" s="2188">
        <v>622347.11</v>
      </c>
      <c r="H287" s="2175">
        <v>43885</v>
      </c>
      <c r="I287" s="2175">
        <v>44615</v>
      </c>
      <c r="J287" s="2244"/>
    </row>
    <row r="288" spans="1:10" ht="30">
      <c r="A288" s="2204" t="s">
        <v>4375</v>
      </c>
      <c r="B288" s="2174" t="s">
        <v>4376</v>
      </c>
      <c r="C288" s="2192">
        <v>8</v>
      </c>
      <c r="D288" s="2176" t="s">
        <v>4389</v>
      </c>
      <c r="E288" s="2176" t="s">
        <v>1564</v>
      </c>
      <c r="F288" s="2188">
        <v>229270</v>
      </c>
      <c r="G288" s="2188">
        <v>252197</v>
      </c>
      <c r="H288" s="2175">
        <v>43885</v>
      </c>
      <c r="I288" s="2175">
        <v>44615</v>
      </c>
      <c r="J288" s="2244"/>
    </row>
    <row r="289" spans="1:10" ht="30">
      <c r="A289" s="2204" t="s">
        <v>4375</v>
      </c>
      <c r="B289" s="2174" t="s">
        <v>4376</v>
      </c>
      <c r="C289" s="2192">
        <v>9</v>
      </c>
      <c r="D289" s="2176" t="s">
        <v>4391</v>
      </c>
      <c r="E289" s="2176" t="s">
        <v>2548</v>
      </c>
      <c r="F289" s="2188">
        <v>1057608</v>
      </c>
      <c r="G289" s="2188">
        <v>1163368</v>
      </c>
      <c r="H289" s="2175">
        <v>43885</v>
      </c>
      <c r="I289" s="2175">
        <v>44615</v>
      </c>
      <c r="J289" s="2244"/>
    </row>
    <row r="290" spans="1:10" ht="30">
      <c r="A290" s="2204" t="s">
        <v>4375</v>
      </c>
      <c r="B290" s="2174" t="s">
        <v>4376</v>
      </c>
      <c r="C290" s="2192">
        <v>10</v>
      </c>
      <c r="D290" s="2176" t="s">
        <v>4393</v>
      </c>
      <c r="E290" s="2176" t="s">
        <v>5774</v>
      </c>
      <c r="F290" s="2188">
        <v>1833340.74</v>
      </c>
      <c r="G290" s="2188">
        <v>2016674.81</v>
      </c>
      <c r="H290" s="2175">
        <v>43885</v>
      </c>
      <c r="I290" s="2175">
        <v>44615</v>
      </c>
      <c r="J290" s="2244"/>
    </row>
    <row r="291" spans="1:10" ht="30">
      <c r="A291" s="2204" t="s">
        <v>4375</v>
      </c>
      <c r="B291" s="2174" t="s">
        <v>4376</v>
      </c>
      <c r="C291" s="2192">
        <v>11</v>
      </c>
      <c r="D291" s="2176" t="s">
        <v>4395</v>
      </c>
      <c r="E291" s="2176" t="s">
        <v>2548</v>
      </c>
      <c r="F291" s="2188">
        <v>150348.79999999999</v>
      </c>
      <c r="G291" s="2188">
        <v>165383.67999999999</v>
      </c>
      <c r="H291" s="2175">
        <v>43885</v>
      </c>
      <c r="I291" s="2175">
        <v>44615</v>
      </c>
      <c r="J291" s="2244"/>
    </row>
    <row r="292" spans="1:10" ht="30">
      <c r="A292" s="2204" t="s">
        <v>4375</v>
      </c>
      <c r="B292" s="2174" t="s">
        <v>4376</v>
      </c>
      <c r="C292" s="2192">
        <v>12</v>
      </c>
      <c r="D292" s="2176" t="s">
        <v>4397</v>
      </c>
      <c r="E292" s="2176" t="s">
        <v>5774</v>
      </c>
      <c r="F292" s="2188">
        <v>258834.2</v>
      </c>
      <c r="G292" s="2188">
        <v>284717.62</v>
      </c>
      <c r="H292" s="2175">
        <v>43885</v>
      </c>
      <c r="I292" s="2175">
        <v>44615</v>
      </c>
      <c r="J292" s="2244"/>
    </row>
    <row r="293" spans="1:10" ht="30">
      <c r="A293" s="2204" t="s">
        <v>4375</v>
      </c>
      <c r="B293" s="2174" t="s">
        <v>4376</v>
      </c>
      <c r="C293" s="2192">
        <v>13</v>
      </c>
      <c r="D293" s="2176" t="s">
        <v>4399</v>
      </c>
      <c r="E293" s="2176" t="s">
        <v>5640</v>
      </c>
      <c r="F293" s="2188">
        <v>942993.6</v>
      </c>
      <c r="G293" s="2188">
        <v>1037292.96</v>
      </c>
      <c r="H293" s="2175">
        <v>43885</v>
      </c>
      <c r="I293" s="2175">
        <v>44615</v>
      </c>
      <c r="J293" s="2244"/>
    </row>
    <row r="294" spans="1:10">
      <c r="A294" s="2204" t="s">
        <v>5412</v>
      </c>
      <c r="B294" s="2174" t="s">
        <v>5413</v>
      </c>
      <c r="C294" s="2192">
        <v>1</v>
      </c>
      <c r="D294" s="2176" t="s">
        <v>5414</v>
      </c>
      <c r="E294" s="2176" t="s">
        <v>2548</v>
      </c>
      <c r="F294" s="2188">
        <v>999670.34</v>
      </c>
      <c r="G294" s="2188">
        <v>1099637.3700000001</v>
      </c>
      <c r="H294" s="2175">
        <v>43889</v>
      </c>
      <c r="I294" s="2175">
        <v>44619</v>
      </c>
      <c r="J294" s="2244"/>
    </row>
    <row r="295" spans="1:10">
      <c r="A295" s="2204" t="s">
        <v>5412</v>
      </c>
      <c r="B295" s="2174" t="s">
        <v>5413</v>
      </c>
      <c r="C295" s="2192">
        <v>2</v>
      </c>
      <c r="D295" s="2176" t="s">
        <v>5415</v>
      </c>
      <c r="E295" s="2176" t="s">
        <v>2548</v>
      </c>
      <c r="F295" s="2188">
        <v>2607720.96</v>
      </c>
      <c r="G295" s="2188">
        <v>2868493.06</v>
      </c>
      <c r="H295" s="2175">
        <v>43889</v>
      </c>
      <c r="I295" s="2175">
        <v>44619</v>
      </c>
      <c r="J295" s="2244"/>
    </row>
    <row r="296" spans="1:10">
      <c r="A296" s="2204" t="s">
        <v>5412</v>
      </c>
      <c r="B296" s="2174" t="s">
        <v>5413</v>
      </c>
      <c r="C296" s="2192">
        <v>5</v>
      </c>
      <c r="D296" s="2176" t="s">
        <v>5418</v>
      </c>
      <c r="E296" s="2176" t="s">
        <v>576</v>
      </c>
      <c r="F296" s="2188">
        <v>2365392.4</v>
      </c>
      <c r="G296" s="2188">
        <v>2601931.64</v>
      </c>
      <c r="H296" s="2175">
        <v>43889</v>
      </c>
      <c r="I296" s="2175">
        <v>44619</v>
      </c>
      <c r="J296" s="2244"/>
    </row>
    <row r="297" spans="1:10">
      <c r="A297" s="2204" t="s">
        <v>5412</v>
      </c>
      <c r="B297" s="2174" t="s">
        <v>5413</v>
      </c>
      <c r="C297" s="2192">
        <v>6</v>
      </c>
      <c r="D297" s="2176" t="s">
        <v>5419</v>
      </c>
      <c r="E297" s="2176" t="s">
        <v>576</v>
      </c>
      <c r="F297" s="2188">
        <v>2893071.36</v>
      </c>
      <c r="G297" s="2188">
        <v>3182378.5</v>
      </c>
      <c r="H297" s="2175">
        <v>43889</v>
      </c>
      <c r="I297" s="2175">
        <v>44619</v>
      </c>
      <c r="J297" s="2244"/>
    </row>
    <row r="298" spans="1:10">
      <c r="A298" s="2204" t="s">
        <v>5412</v>
      </c>
      <c r="B298" s="2174" t="s">
        <v>5413</v>
      </c>
      <c r="C298" s="2192">
        <v>7</v>
      </c>
      <c r="D298" s="2176" t="s">
        <v>5420</v>
      </c>
      <c r="E298" s="2176" t="s">
        <v>576</v>
      </c>
      <c r="F298" s="2188">
        <v>4405134.5599999996</v>
      </c>
      <c r="G298" s="2188">
        <v>4845648.0199999996</v>
      </c>
      <c r="H298" s="2175">
        <v>43889</v>
      </c>
      <c r="I298" s="2175">
        <v>44619</v>
      </c>
      <c r="J298" s="2244"/>
    </row>
    <row r="299" spans="1:10" ht="30">
      <c r="A299" s="2204" t="s">
        <v>4375</v>
      </c>
      <c r="B299" s="2174" t="s">
        <v>4376</v>
      </c>
      <c r="C299" s="2192">
        <v>15</v>
      </c>
      <c r="D299" s="2176" t="s">
        <v>4403</v>
      </c>
      <c r="E299" s="2178" t="s">
        <v>5774</v>
      </c>
      <c r="F299" s="2189">
        <v>164807.20000000001</v>
      </c>
      <c r="G299" s="2189">
        <v>181287.92000000004</v>
      </c>
      <c r="H299" s="2179">
        <v>43892</v>
      </c>
      <c r="I299" s="2179">
        <v>44621</v>
      </c>
      <c r="J299" s="2244"/>
    </row>
    <row r="300" spans="1:10">
      <c r="A300" s="2204" t="s">
        <v>5426</v>
      </c>
      <c r="B300" s="2174" t="s">
        <v>5427</v>
      </c>
      <c r="C300" s="2192">
        <v>1</v>
      </c>
      <c r="D300" s="2176" t="s">
        <v>5428</v>
      </c>
      <c r="E300" s="2176" t="s">
        <v>576</v>
      </c>
      <c r="F300" s="2188">
        <v>20785905</v>
      </c>
      <c r="G300" s="2188">
        <v>22864495.5</v>
      </c>
      <c r="H300" s="2175">
        <v>43908</v>
      </c>
      <c r="I300" s="2175">
        <v>44637</v>
      </c>
      <c r="J300" s="2244"/>
    </row>
    <row r="301" spans="1:10">
      <c r="A301" s="2204" t="s">
        <v>5426</v>
      </c>
      <c r="B301" s="2174" t="s">
        <v>5427</v>
      </c>
      <c r="C301" s="2192">
        <v>2</v>
      </c>
      <c r="D301" s="2176" t="s">
        <v>5429</v>
      </c>
      <c r="E301" s="2176" t="s">
        <v>1407</v>
      </c>
      <c r="F301" s="2188">
        <v>20787114.149999999</v>
      </c>
      <c r="G301" s="2188">
        <v>22865825.57</v>
      </c>
      <c r="H301" s="2175">
        <v>43908</v>
      </c>
      <c r="I301" s="2175">
        <v>44637</v>
      </c>
      <c r="J301" s="2244"/>
    </row>
    <row r="302" spans="1:10">
      <c r="A302" s="2204" t="s">
        <v>5426</v>
      </c>
      <c r="B302" s="2174" t="s">
        <v>5427</v>
      </c>
      <c r="C302" s="2192">
        <v>3</v>
      </c>
      <c r="D302" s="2176" t="s">
        <v>5430</v>
      </c>
      <c r="E302" s="2176" t="s">
        <v>1407</v>
      </c>
      <c r="F302" s="2188">
        <v>823600.2</v>
      </c>
      <c r="G302" s="2188">
        <v>905960.22</v>
      </c>
      <c r="H302" s="2175">
        <v>43908</v>
      </c>
      <c r="I302" s="2175">
        <v>44637</v>
      </c>
      <c r="J302" s="2244"/>
    </row>
    <row r="303" spans="1:10">
      <c r="A303" s="2204" t="s">
        <v>5151</v>
      </c>
      <c r="B303" s="2174" t="s">
        <v>5152</v>
      </c>
      <c r="C303" s="2192">
        <v>1</v>
      </c>
      <c r="D303" s="2176" t="s">
        <v>4873</v>
      </c>
      <c r="E303" s="2176" t="s">
        <v>5774</v>
      </c>
      <c r="F303" s="2188">
        <v>2143890</v>
      </c>
      <c r="G303" s="2188">
        <v>2358279</v>
      </c>
      <c r="H303" s="2175">
        <v>43910</v>
      </c>
      <c r="I303" s="2175">
        <v>44639</v>
      </c>
      <c r="J303" s="2244"/>
    </row>
    <row r="304" spans="1:10">
      <c r="A304" s="2204" t="s">
        <v>5151</v>
      </c>
      <c r="B304" s="2174" t="s">
        <v>5152</v>
      </c>
      <c r="C304" s="2192">
        <v>2</v>
      </c>
      <c r="D304" s="2176" t="s">
        <v>4874</v>
      </c>
      <c r="E304" s="2176" t="s">
        <v>7042</v>
      </c>
      <c r="F304" s="2188">
        <v>3153926.88</v>
      </c>
      <c r="G304" s="2188">
        <v>3469319.57</v>
      </c>
      <c r="H304" s="2175">
        <v>43910</v>
      </c>
      <c r="I304" s="2175">
        <v>44639</v>
      </c>
      <c r="J304" s="2244"/>
    </row>
    <row r="305" spans="1:10" ht="30">
      <c r="A305" s="2204" t="s">
        <v>5876</v>
      </c>
      <c r="B305" s="2174" t="s">
        <v>5892</v>
      </c>
      <c r="C305" s="2192">
        <v>1</v>
      </c>
      <c r="D305" s="2174" t="s">
        <v>5877</v>
      </c>
      <c r="E305" s="2176" t="s">
        <v>2548</v>
      </c>
      <c r="F305" s="2188">
        <v>1386261.84</v>
      </c>
      <c r="G305" s="2188">
        <v>1524888.02</v>
      </c>
      <c r="H305" s="2175">
        <v>43921</v>
      </c>
      <c r="I305" s="2175">
        <v>44650</v>
      </c>
      <c r="J305" s="2244"/>
    </row>
    <row r="306" spans="1:10" ht="30">
      <c r="A306" s="2204" t="s">
        <v>5876</v>
      </c>
      <c r="B306" s="2174" t="s">
        <v>5892</v>
      </c>
      <c r="C306" s="2192">
        <v>4</v>
      </c>
      <c r="D306" s="2174" t="s">
        <v>5880</v>
      </c>
      <c r="E306" s="2176" t="s">
        <v>2548</v>
      </c>
      <c r="F306" s="2188">
        <v>5133281.32</v>
      </c>
      <c r="G306" s="2188">
        <v>5646609.4500000002</v>
      </c>
      <c r="H306" s="2175">
        <v>43921</v>
      </c>
      <c r="I306" s="2175">
        <v>44650</v>
      </c>
      <c r="J306" s="2244"/>
    </row>
    <row r="307" spans="1:10" ht="30">
      <c r="A307" s="2204" t="s">
        <v>5876</v>
      </c>
      <c r="B307" s="2174" t="s">
        <v>5892</v>
      </c>
      <c r="C307" s="2192">
        <v>5</v>
      </c>
      <c r="D307" s="2174" t="s">
        <v>5881</v>
      </c>
      <c r="E307" s="2176" t="s">
        <v>576</v>
      </c>
      <c r="F307" s="2188">
        <v>2611675.3199999998</v>
      </c>
      <c r="G307" s="2188">
        <v>2872842.85</v>
      </c>
      <c r="H307" s="2175">
        <v>43921</v>
      </c>
      <c r="I307" s="2175">
        <v>44650</v>
      </c>
      <c r="J307" s="2244"/>
    </row>
    <row r="308" spans="1:10">
      <c r="A308" s="2204" t="s">
        <v>6081</v>
      </c>
      <c r="B308" s="2174" t="s">
        <v>6082</v>
      </c>
      <c r="C308" s="2192">
        <v>1</v>
      </c>
      <c r="D308" s="2176" t="s">
        <v>6083</v>
      </c>
      <c r="E308" s="2176" t="s">
        <v>2518</v>
      </c>
      <c r="F308" s="2188">
        <v>5511955.8600000003</v>
      </c>
      <c r="G308" s="2188">
        <v>6063151.4500000002</v>
      </c>
      <c r="H308" s="2175">
        <v>43921</v>
      </c>
      <c r="I308" s="2175">
        <v>44650</v>
      </c>
      <c r="J308" s="2244"/>
    </row>
    <row r="309" spans="1:10">
      <c r="A309" s="2204" t="s">
        <v>6081</v>
      </c>
      <c r="B309" s="2174" t="s">
        <v>6082</v>
      </c>
      <c r="C309" s="2192">
        <v>3</v>
      </c>
      <c r="D309" s="2176" t="s">
        <v>6085</v>
      </c>
      <c r="E309" s="2176" t="s">
        <v>1407</v>
      </c>
      <c r="F309" s="2188">
        <v>95343903</v>
      </c>
      <c r="G309" s="2188">
        <v>104878293.3</v>
      </c>
      <c r="H309" s="2175">
        <v>43921</v>
      </c>
      <c r="I309" s="2175">
        <v>44650</v>
      </c>
      <c r="J309" s="2244"/>
    </row>
    <row r="310" spans="1:10">
      <c r="A310" s="2204" t="s">
        <v>6081</v>
      </c>
      <c r="B310" s="2174" t="s">
        <v>6082</v>
      </c>
      <c r="C310" s="2192">
        <v>5</v>
      </c>
      <c r="D310" s="2176" t="s">
        <v>6086</v>
      </c>
      <c r="E310" s="2176" t="s">
        <v>576</v>
      </c>
      <c r="F310" s="2188">
        <v>704779.28</v>
      </c>
      <c r="G310" s="2188">
        <v>775257.21</v>
      </c>
      <c r="H310" s="2175">
        <v>43921</v>
      </c>
      <c r="I310" s="2175">
        <v>44650</v>
      </c>
      <c r="J310" s="2244"/>
    </row>
    <row r="311" spans="1:10">
      <c r="A311" s="2204" t="s">
        <v>6081</v>
      </c>
      <c r="B311" s="2174" t="s">
        <v>6082</v>
      </c>
      <c r="C311" s="2192">
        <v>6</v>
      </c>
      <c r="D311" s="2176" t="s">
        <v>6087</v>
      </c>
      <c r="E311" s="2176" t="s">
        <v>2548</v>
      </c>
      <c r="F311" s="2188">
        <v>23288929.039999999</v>
      </c>
      <c r="G311" s="2188">
        <v>25617821.940000001</v>
      </c>
      <c r="H311" s="2175">
        <v>43921</v>
      </c>
      <c r="I311" s="2175">
        <v>44650</v>
      </c>
      <c r="J311" s="2244"/>
    </row>
    <row r="312" spans="1:10">
      <c r="A312" s="2204" t="s">
        <v>5874</v>
      </c>
      <c r="B312" s="2174" t="s">
        <v>5891</v>
      </c>
      <c r="C312" s="2192">
        <v>1</v>
      </c>
      <c r="D312" s="2174" t="s">
        <v>5875</v>
      </c>
      <c r="E312" s="2176" t="s">
        <v>1319</v>
      </c>
      <c r="F312" s="2188">
        <v>12595776</v>
      </c>
      <c r="G312" s="2188">
        <v>13855353.600000001</v>
      </c>
      <c r="H312" s="2175">
        <v>43938</v>
      </c>
      <c r="I312" s="2175">
        <v>44667</v>
      </c>
      <c r="J312" s="2244"/>
    </row>
    <row r="313" spans="1:10" ht="30">
      <c r="A313" s="2204" t="s">
        <v>5684</v>
      </c>
      <c r="B313" s="2174" t="s">
        <v>5685</v>
      </c>
      <c r="C313" s="2192">
        <v>2</v>
      </c>
      <c r="D313" s="2176" t="s">
        <v>5687</v>
      </c>
      <c r="E313" s="2176" t="s">
        <v>2548</v>
      </c>
      <c r="F313" s="2188">
        <v>780184</v>
      </c>
      <c r="G313" s="2188">
        <v>858202.4</v>
      </c>
      <c r="H313" s="2175">
        <v>43944</v>
      </c>
      <c r="I313" s="2175">
        <v>44673</v>
      </c>
      <c r="J313" s="2244"/>
    </row>
    <row r="314" spans="1:10" ht="30">
      <c r="A314" s="2204" t="s">
        <v>5684</v>
      </c>
      <c r="B314" s="2174" t="s">
        <v>5685</v>
      </c>
      <c r="C314" s="2192">
        <v>5</v>
      </c>
      <c r="D314" s="2176" t="s">
        <v>5690</v>
      </c>
      <c r="E314" s="2176" t="s">
        <v>5774</v>
      </c>
      <c r="F314" s="2188">
        <v>196957.72</v>
      </c>
      <c r="G314" s="2188">
        <v>216653.49</v>
      </c>
      <c r="H314" s="2175">
        <v>43944</v>
      </c>
      <c r="I314" s="2175">
        <v>44673</v>
      </c>
      <c r="J314" s="2244"/>
    </row>
    <row r="315" spans="1:10">
      <c r="A315" s="2204" t="s">
        <v>5457</v>
      </c>
      <c r="B315" s="2174" t="s">
        <v>5456</v>
      </c>
      <c r="C315" s="2192">
        <v>2</v>
      </c>
      <c r="D315" s="2176" t="s">
        <v>5450</v>
      </c>
      <c r="E315" s="2176" t="s">
        <v>576</v>
      </c>
      <c r="F315" s="2188">
        <v>547806.48</v>
      </c>
      <c r="G315" s="2188">
        <v>602587.13</v>
      </c>
      <c r="H315" s="2175">
        <v>43948</v>
      </c>
      <c r="I315" s="2175">
        <v>44677</v>
      </c>
      <c r="J315" s="2244"/>
    </row>
    <row r="316" spans="1:10">
      <c r="A316" s="2204" t="s">
        <v>5457</v>
      </c>
      <c r="B316" s="2174" t="s">
        <v>5456</v>
      </c>
      <c r="C316" s="2192">
        <v>3</v>
      </c>
      <c r="D316" s="2176" t="s">
        <v>5451</v>
      </c>
      <c r="E316" s="2176" t="s">
        <v>1319</v>
      </c>
      <c r="F316" s="2188">
        <v>6102513.7999999998</v>
      </c>
      <c r="G316" s="2188">
        <v>6712765.1799999997</v>
      </c>
      <c r="H316" s="2175">
        <v>43948</v>
      </c>
      <c r="I316" s="2175">
        <v>44677</v>
      </c>
      <c r="J316" s="2244"/>
    </row>
    <row r="317" spans="1:10">
      <c r="A317" s="2204" t="s">
        <v>5457</v>
      </c>
      <c r="B317" s="2174" t="s">
        <v>5456</v>
      </c>
      <c r="C317" s="2192">
        <v>4</v>
      </c>
      <c r="D317" s="2176" t="s">
        <v>5452</v>
      </c>
      <c r="E317" s="2176" t="s">
        <v>2548</v>
      </c>
      <c r="F317" s="2188">
        <v>11043079</v>
      </c>
      <c r="G317" s="2188">
        <v>12147386.83</v>
      </c>
      <c r="H317" s="2175">
        <v>43948</v>
      </c>
      <c r="I317" s="2175">
        <v>44677</v>
      </c>
      <c r="J317" s="2244"/>
    </row>
    <row r="318" spans="1:10">
      <c r="A318" s="2204" t="s">
        <v>5457</v>
      </c>
      <c r="B318" s="2174" t="s">
        <v>5456</v>
      </c>
      <c r="C318" s="2192">
        <v>7</v>
      </c>
      <c r="D318" s="2176" t="s">
        <v>5455</v>
      </c>
      <c r="E318" s="2176" t="s">
        <v>6546</v>
      </c>
      <c r="F318" s="2188">
        <v>2452038</v>
      </c>
      <c r="G318" s="2188">
        <v>2697241.8</v>
      </c>
      <c r="H318" s="2175">
        <v>43948</v>
      </c>
      <c r="I318" s="2175">
        <v>44677</v>
      </c>
      <c r="J318" s="2244"/>
    </row>
    <row r="319" spans="1:10">
      <c r="A319" s="2204" t="s">
        <v>6169</v>
      </c>
      <c r="B319" s="2174" t="s">
        <v>6162</v>
      </c>
      <c r="C319" s="2192">
        <v>2</v>
      </c>
      <c r="D319" s="2176" t="s">
        <v>6164</v>
      </c>
      <c r="E319" s="2176" t="s">
        <v>2548</v>
      </c>
      <c r="F319" s="2188">
        <v>48895033.399999999</v>
      </c>
      <c r="G319" s="2188">
        <v>53784536.740000002</v>
      </c>
      <c r="H319" s="2175">
        <v>43948</v>
      </c>
      <c r="I319" s="2175">
        <v>44677</v>
      </c>
      <c r="J319" s="2244"/>
    </row>
    <row r="320" spans="1:10">
      <c r="A320" s="2204" t="s">
        <v>6169</v>
      </c>
      <c r="B320" s="2174" t="s">
        <v>6162</v>
      </c>
      <c r="C320" s="2192">
        <v>3</v>
      </c>
      <c r="D320" s="2176" t="s">
        <v>6165</v>
      </c>
      <c r="E320" s="2176" t="s">
        <v>2518</v>
      </c>
      <c r="F320" s="2188">
        <v>15048786.9</v>
      </c>
      <c r="G320" s="2188">
        <v>16553665.590000002</v>
      </c>
      <c r="H320" s="2175">
        <v>43948</v>
      </c>
      <c r="I320" s="2175">
        <v>44677</v>
      </c>
      <c r="J320" s="2244"/>
    </row>
    <row r="321" spans="1:10">
      <c r="A321" s="2204" t="s">
        <v>6169</v>
      </c>
      <c r="B321" s="2174" t="s">
        <v>6162</v>
      </c>
      <c r="C321" s="2192">
        <v>4</v>
      </c>
      <c r="D321" s="2176" t="s">
        <v>6166</v>
      </c>
      <c r="E321" s="2176" t="s">
        <v>2548</v>
      </c>
      <c r="F321" s="2188">
        <v>23843105.48</v>
      </c>
      <c r="G321" s="2188">
        <v>26227416.028000001</v>
      </c>
      <c r="H321" s="2175">
        <v>43948</v>
      </c>
      <c r="I321" s="2175">
        <v>44677</v>
      </c>
      <c r="J321" s="2244"/>
    </row>
    <row r="322" spans="1:10">
      <c r="A322" s="2204" t="s">
        <v>6169</v>
      </c>
      <c r="B322" s="2174" t="s">
        <v>6162</v>
      </c>
      <c r="C322" s="2192">
        <v>6</v>
      </c>
      <c r="D322" s="2176" t="s">
        <v>6168</v>
      </c>
      <c r="E322" s="2176" t="s">
        <v>2548</v>
      </c>
      <c r="F322" s="2188">
        <v>304832.48</v>
      </c>
      <c r="G322" s="2188">
        <v>335315.728</v>
      </c>
      <c r="H322" s="2175">
        <v>43948</v>
      </c>
      <c r="I322" s="2175">
        <v>44677</v>
      </c>
      <c r="J322" s="2244"/>
    </row>
    <row r="323" spans="1:10" ht="30">
      <c r="A323" s="2204" t="s">
        <v>5684</v>
      </c>
      <c r="B323" s="2174" t="s">
        <v>5685</v>
      </c>
      <c r="C323" s="2192">
        <v>1</v>
      </c>
      <c r="D323" s="2176" t="s">
        <v>5686</v>
      </c>
      <c r="E323" s="2176" t="s">
        <v>7042</v>
      </c>
      <c r="F323" s="2188">
        <v>5455971.8399999999</v>
      </c>
      <c r="G323" s="2188">
        <v>6001569.0199999996</v>
      </c>
      <c r="H323" s="2175">
        <v>43955</v>
      </c>
      <c r="I323" s="2175">
        <v>44684</v>
      </c>
      <c r="J323" s="2244"/>
    </row>
    <row r="324" spans="1:10" ht="30">
      <c r="A324" s="2204" t="s">
        <v>3441</v>
      </c>
      <c r="B324" s="2174" t="s">
        <v>3526</v>
      </c>
      <c r="C324" s="2192">
        <v>1</v>
      </c>
      <c r="D324" s="2176" t="s">
        <v>3765</v>
      </c>
      <c r="E324" s="2176" t="s">
        <v>3501</v>
      </c>
      <c r="F324" s="2188">
        <v>990714</v>
      </c>
      <c r="G324" s="2188">
        <v>1089785.3999999999</v>
      </c>
      <c r="H324" s="2175">
        <v>43591</v>
      </c>
      <c r="I324" s="2175">
        <v>44686</v>
      </c>
      <c r="J324" s="2244"/>
    </row>
    <row r="325" spans="1:10" ht="30">
      <c r="A325" s="2204" t="s">
        <v>3441</v>
      </c>
      <c r="B325" s="2174" t="s">
        <v>3526</v>
      </c>
      <c r="C325" s="2192">
        <v>2</v>
      </c>
      <c r="D325" s="2176" t="s">
        <v>3767</v>
      </c>
      <c r="E325" s="2176" t="s">
        <v>3501</v>
      </c>
      <c r="F325" s="2188">
        <v>8552650</v>
      </c>
      <c r="G325" s="2188">
        <v>9407915</v>
      </c>
      <c r="H325" s="2175">
        <v>43591</v>
      </c>
      <c r="I325" s="2175">
        <v>44686</v>
      </c>
      <c r="J325" s="2244"/>
    </row>
    <row r="326" spans="1:10" ht="30">
      <c r="A326" s="2204" t="s">
        <v>3441</v>
      </c>
      <c r="B326" s="2174" t="s">
        <v>3526</v>
      </c>
      <c r="C326" s="2192">
        <v>3</v>
      </c>
      <c r="D326" s="2176" t="s">
        <v>3768</v>
      </c>
      <c r="E326" s="2176" t="s">
        <v>3501</v>
      </c>
      <c r="F326" s="2188">
        <v>65751</v>
      </c>
      <c r="G326" s="2188">
        <v>72326.539999999994</v>
      </c>
      <c r="H326" s="2175">
        <v>43591</v>
      </c>
      <c r="I326" s="2175">
        <v>44686</v>
      </c>
      <c r="J326" s="2244"/>
    </row>
    <row r="327" spans="1:10" ht="30">
      <c r="A327" s="2204" t="s">
        <v>3441</v>
      </c>
      <c r="B327" s="2174" t="s">
        <v>3526</v>
      </c>
      <c r="C327" s="2192">
        <v>4</v>
      </c>
      <c r="D327" s="2176" t="s">
        <v>3769</v>
      </c>
      <c r="E327" s="2176" t="s">
        <v>576</v>
      </c>
      <c r="F327" s="2188">
        <v>3873244.32</v>
      </c>
      <c r="G327" s="2188">
        <v>4260568.75</v>
      </c>
      <c r="H327" s="2175">
        <v>43591</v>
      </c>
      <c r="I327" s="2175">
        <v>44686</v>
      </c>
      <c r="J327" s="2244"/>
    </row>
    <row r="328" spans="1:10" ht="30">
      <c r="A328" s="2204" t="s">
        <v>3441</v>
      </c>
      <c r="B328" s="2174" t="s">
        <v>3526</v>
      </c>
      <c r="C328" s="2192">
        <v>5</v>
      </c>
      <c r="D328" s="2176" t="s">
        <v>3771</v>
      </c>
      <c r="E328" s="2176" t="s">
        <v>3501</v>
      </c>
      <c r="F328" s="2188">
        <v>1018997.7</v>
      </c>
      <c r="G328" s="2188">
        <v>1171847.3600000001</v>
      </c>
      <c r="H328" s="2175">
        <v>43591</v>
      </c>
      <c r="I328" s="2175">
        <v>44686</v>
      </c>
      <c r="J328" s="2244"/>
    </row>
    <row r="329" spans="1:10" ht="30">
      <c r="A329" s="2204" t="s">
        <v>3441</v>
      </c>
      <c r="B329" s="2174" t="s">
        <v>3526</v>
      </c>
      <c r="C329" s="2192">
        <v>6</v>
      </c>
      <c r="D329" s="2176" t="s">
        <v>3772</v>
      </c>
      <c r="E329" s="2176" t="s">
        <v>576</v>
      </c>
      <c r="F329" s="2188">
        <v>3518438.04</v>
      </c>
      <c r="G329" s="2188">
        <v>3870281.84</v>
      </c>
      <c r="H329" s="2175">
        <v>43591</v>
      </c>
      <c r="I329" s="2175">
        <v>44686</v>
      </c>
      <c r="J329" s="2244"/>
    </row>
    <row r="330" spans="1:10" ht="30">
      <c r="A330" s="2204" t="s">
        <v>3441</v>
      </c>
      <c r="B330" s="2174" t="s">
        <v>3526</v>
      </c>
      <c r="C330" s="2192">
        <v>7</v>
      </c>
      <c r="D330" s="2176" t="s">
        <v>3774</v>
      </c>
      <c r="E330" s="2176" t="s">
        <v>576</v>
      </c>
      <c r="F330" s="2188">
        <v>1999611.72</v>
      </c>
      <c r="G330" s="2188">
        <v>2199572.89</v>
      </c>
      <c r="H330" s="2175">
        <v>43591</v>
      </c>
      <c r="I330" s="2175">
        <v>44686</v>
      </c>
      <c r="J330" s="2244"/>
    </row>
    <row r="331" spans="1:10">
      <c r="A331" s="2204" t="s">
        <v>5457</v>
      </c>
      <c r="B331" s="2174" t="s">
        <v>5456</v>
      </c>
      <c r="C331" s="2192">
        <v>1</v>
      </c>
      <c r="D331" s="2176" t="s">
        <v>5449</v>
      </c>
      <c r="E331" s="2176" t="s">
        <v>576</v>
      </c>
      <c r="F331" s="2188">
        <v>2255428.7999999998</v>
      </c>
      <c r="G331" s="2188">
        <v>2480971.6800000002</v>
      </c>
      <c r="H331" s="2175">
        <v>43957</v>
      </c>
      <c r="I331" s="2175">
        <v>44686</v>
      </c>
      <c r="J331" s="2244"/>
    </row>
    <row r="332" spans="1:10">
      <c r="A332" s="2204" t="s">
        <v>5457</v>
      </c>
      <c r="B332" s="2174" t="s">
        <v>5456</v>
      </c>
      <c r="C332" s="2192">
        <v>5</v>
      </c>
      <c r="D332" s="2176" t="s">
        <v>5453</v>
      </c>
      <c r="E332" s="2176" t="s">
        <v>2548</v>
      </c>
      <c r="F332" s="2188">
        <v>469153</v>
      </c>
      <c r="G332" s="2188">
        <v>516068.74</v>
      </c>
      <c r="H332" s="2175">
        <v>43957</v>
      </c>
      <c r="I332" s="2175">
        <v>44686</v>
      </c>
      <c r="J332" s="2244"/>
    </row>
    <row r="333" spans="1:10">
      <c r="A333" s="2204" t="s">
        <v>5457</v>
      </c>
      <c r="B333" s="2174" t="s">
        <v>5456</v>
      </c>
      <c r="C333" s="2192">
        <v>6</v>
      </c>
      <c r="D333" s="2176" t="s">
        <v>5454</v>
      </c>
      <c r="E333" s="2176" t="s">
        <v>576</v>
      </c>
      <c r="F333" s="2188">
        <v>25724949.039999999</v>
      </c>
      <c r="G333" s="2188">
        <v>28297443.940000001</v>
      </c>
      <c r="H333" s="2175">
        <v>43957</v>
      </c>
      <c r="I333" s="2175">
        <v>44686</v>
      </c>
      <c r="J333" s="2244"/>
    </row>
    <row r="334" spans="1:10" ht="30">
      <c r="A334" s="2204" t="s">
        <v>6169</v>
      </c>
      <c r="B334" s="2174" t="s">
        <v>6162</v>
      </c>
      <c r="C334" s="2192">
        <v>5</v>
      </c>
      <c r="D334" s="2176" t="s">
        <v>6167</v>
      </c>
      <c r="E334" s="2176" t="s">
        <v>576</v>
      </c>
      <c r="F334" s="2188">
        <v>2377086.4</v>
      </c>
      <c r="G334" s="2188">
        <v>2614795.04</v>
      </c>
      <c r="H334" s="2175">
        <v>43957</v>
      </c>
      <c r="I334" s="2175">
        <v>44686</v>
      </c>
      <c r="J334" s="2244"/>
    </row>
    <row r="335" spans="1:10" ht="30">
      <c r="A335" s="2204" t="s">
        <v>6223</v>
      </c>
      <c r="B335" s="2174" t="s">
        <v>6054</v>
      </c>
      <c r="C335" s="2192">
        <v>1</v>
      </c>
      <c r="D335" s="2176" t="s">
        <v>6055</v>
      </c>
      <c r="E335" s="2176" t="s">
        <v>576</v>
      </c>
      <c r="F335" s="2188">
        <v>47341395.380000003</v>
      </c>
      <c r="G335" s="2188">
        <v>52075534.918000005</v>
      </c>
      <c r="H335" s="2175">
        <v>43957</v>
      </c>
      <c r="I335" s="2175">
        <v>44686</v>
      </c>
      <c r="J335" s="2244"/>
    </row>
    <row r="336" spans="1:10">
      <c r="A336" s="2204" t="s">
        <v>5882</v>
      </c>
      <c r="B336" s="2174" t="s">
        <v>5893</v>
      </c>
      <c r="C336" s="2192">
        <v>1</v>
      </c>
      <c r="D336" s="2174" t="s">
        <v>5883</v>
      </c>
      <c r="E336" s="2176" t="s">
        <v>576</v>
      </c>
      <c r="F336" s="2188">
        <v>7377097.6399999997</v>
      </c>
      <c r="G336" s="2188">
        <v>8114807.4000000004</v>
      </c>
      <c r="H336" s="2175">
        <v>43965</v>
      </c>
      <c r="I336" s="2175">
        <v>44694</v>
      </c>
      <c r="J336" s="2244"/>
    </row>
    <row r="337" spans="1:10">
      <c r="A337" s="2204" t="s">
        <v>5882</v>
      </c>
      <c r="B337" s="2174" t="s">
        <v>5893</v>
      </c>
      <c r="C337" s="2192">
        <v>2</v>
      </c>
      <c r="D337" s="2174" t="s">
        <v>5884</v>
      </c>
      <c r="E337" s="2176" t="s">
        <v>576</v>
      </c>
      <c r="F337" s="2188">
        <v>6720852.96</v>
      </c>
      <c r="G337" s="2188">
        <v>7392938.2599999998</v>
      </c>
      <c r="H337" s="2175">
        <v>43965</v>
      </c>
      <c r="I337" s="2175">
        <v>44694</v>
      </c>
      <c r="J337" s="2244"/>
    </row>
    <row r="338" spans="1:10">
      <c r="A338" s="2204" t="s">
        <v>5882</v>
      </c>
      <c r="B338" s="2174" t="s">
        <v>5893</v>
      </c>
      <c r="C338" s="2192">
        <v>4</v>
      </c>
      <c r="D338" s="2174" t="s">
        <v>5886</v>
      </c>
      <c r="E338" s="2176" t="s">
        <v>1319</v>
      </c>
      <c r="F338" s="2188">
        <v>2736450</v>
      </c>
      <c r="G338" s="2188">
        <v>3010095</v>
      </c>
      <c r="H338" s="2175">
        <v>43965</v>
      </c>
      <c r="I338" s="2175">
        <v>44694</v>
      </c>
      <c r="J338" s="2244"/>
    </row>
    <row r="339" spans="1:10">
      <c r="A339" s="2204" t="s">
        <v>5882</v>
      </c>
      <c r="B339" s="2174" t="s">
        <v>5893</v>
      </c>
      <c r="C339" s="2192">
        <v>5</v>
      </c>
      <c r="D339" s="2174" t="s">
        <v>5887</v>
      </c>
      <c r="E339" s="2176" t="s">
        <v>2548</v>
      </c>
      <c r="F339" s="2188">
        <v>1260998</v>
      </c>
      <c r="G339" s="2188">
        <v>1387097.8</v>
      </c>
      <c r="H339" s="2175">
        <v>43965</v>
      </c>
      <c r="I339" s="2175">
        <v>44694</v>
      </c>
      <c r="J339" s="2244"/>
    </row>
    <row r="340" spans="1:10">
      <c r="A340" s="2204" t="s">
        <v>5882</v>
      </c>
      <c r="B340" s="2174" t="s">
        <v>5893</v>
      </c>
      <c r="C340" s="2192">
        <v>6</v>
      </c>
      <c r="D340" s="2174" t="s">
        <v>5888</v>
      </c>
      <c r="E340" s="2176" t="s">
        <v>576</v>
      </c>
      <c r="F340" s="2188">
        <v>22631621.52</v>
      </c>
      <c r="G340" s="2188">
        <v>24894783.670000002</v>
      </c>
      <c r="H340" s="2175">
        <v>43965</v>
      </c>
      <c r="I340" s="2175">
        <v>44694</v>
      </c>
      <c r="J340" s="2244"/>
    </row>
    <row r="341" spans="1:10" ht="30">
      <c r="A341" s="2204" t="s">
        <v>6224</v>
      </c>
      <c r="B341" s="2174" t="s">
        <v>6060</v>
      </c>
      <c r="C341" s="2192">
        <v>1</v>
      </c>
      <c r="D341" s="2176" t="s">
        <v>6061</v>
      </c>
      <c r="E341" s="2176" t="s">
        <v>7042</v>
      </c>
      <c r="F341" s="2188">
        <v>1210712.3999999999</v>
      </c>
      <c r="G341" s="2188">
        <v>1331783.8</v>
      </c>
      <c r="H341" s="2175">
        <v>43965</v>
      </c>
      <c r="I341" s="2175">
        <v>44694</v>
      </c>
      <c r="J341" s="2244"/>
    </row>
    <row r="342" spans="1:10" ht="30">
      <c r="A342" s="2204" t="s">
        <v>6224</v>
      </c>
      <c r="B342" s="2174" t="s">
        <v>6060</v>
      </c>
      <c r="C342" s="2192">
        <v>2</v>
      </c>
      <c r="D342" s="2176" t="s">
        <v>6062</v>
      </c>
      <c r="E342" s="2176" t="s">
        <v>2548</v>
      </c>
      <c r="F342" s="2188">
        <v>632793.19999999995</v>
      </c>
      <c r="G342" s="2188">
        <v>696072.52</v>
      </c>
      <c r="H342" s="2175">
        <v>43965</v>
      </c>
      <c r="I342" s="2175">
        <v>44694</v>
      </c>
      <c r="J342" s="2244"/>
    </row>
    <row r="343" spans="1:10">
      <c r="A343" s="2204" t="s">
        <v>5412</v>
      </c>
      <c r="B343" s="2174" t="s">
        <v>5413</v>
      </c>
      <c r="C343" s="2192">
        <v>3</v>
      </c>
      <c r="D343" s="2176" t="s">
        <v>5416</v>
      </c>
      <c r="E343" s="2176" t="s">
        <v>576</v>
      </c>
      <c r="F343" s="2188">
        <v>3847272.38</v>
      </c>
      <c r="G343" s="2188">
        <v>4230326.1900000004</v>
      </c>
      <c r="H343" s="2175">
        <v>43971</v>
      </c>
      <c r="I343" s="2175">
        <v>44700</v>
      </c>
      <c r="J343" s="2244"/>
    </row>
    <row r="344" spans="1:10">
      <c r="A344" s="2204" t="s">
        <v>6372</v>
      </c>
      <c r="B344" s="2174" t="s">
        <v>6374</v>
      </c>
      <c r="C344" s="2192">
        <v>3</v>
      </c>
      <c r="D344" s="2176" t="s">
        <v>6381</v>
      </c>
      <c r="E344" s="2176" t="s">
        <v>1407</v>
      </c>
      <c r="F344" s="2188">
        <v>11846737.880000001</v>
      </c>
      <c r="G344" s="2188">
        <v>13031411.67</v>
      </c>
      <c r="H344" s="2175">
        <v>43976</v>
      </c>
      <c r="I344" s="2175">
        <v>44705</v>
      </c>
      <c r="J344" s="2244"/>
    </row>
    <row r="345" spans="1:10">
      <c r="A345" s="2204" t="s">
        <v>6372</v>
      </c>
      <c r="B345" s="2174" t="s">
        <v>6374</v>
      </c>
      <c r="C345" s="2192">
        <v>4</v>
      </c>
      <c r="D345" s="2176" t="s">
        <v>6382</v>
      </c>
      <c r="E345" s="2176" t="s">
        <v>1319</v>
      </c>
      <c r="F345" s="2188">
        <v>1516195.3</v>
      </c>
      <c r="G345" s="2188">
        <v>1667814.83</v>
      </c>
      <c r="H345" s="2175">
        <v>43976</v>
      </c>
      <c r="I345" s="2175">
        <v>44705</v>
      </c>
      <c r="J345" s="2244"/>
    </row>
    <row r="346" spans="1:10">
      <c r="A346" s="2205" t="s">
        <v>8677</v>
      </c>
      <c r="B346" s="2193" t="s">
        <v>8678</v>
      </c>
      <c r="C346" s="2198">
        <v>1</v>
      </c>
      <c r="D346" s="2193" t="s">
        <v>8679</v>
      </c>
      <c r="E346" s="2193" t="s">
        <v>8655</v>
      </c>
      <c r="F346" s="2190">
        <v>286557.92</v>
      </c>
      <c r="G346" s="2190">
        <v>315213.712</v>
      </c>
      <c r="H346" s="2191">
        <v>43979</v>
      </c>
      <c r="I346" s="2191">
        <v>44708</v>
      </c>
      <c r="J346" s="2244" t="s">
        <v>8618</v>
      </c>
    </row>
    <row r="347" spans="1:10">
      <c r="A347" s="2205" t="s">
        <v>8681</v>
      </c>
      <c r="B347" s="2193" t="s">
        <v>8682</v>
      </c>
      <c r="C347" s="2198">
        <v>1</v>
      </c>
      <c r="D347" s="2193" t="s">
        <v>8683</v>
      </c>
      <c r="E347" s="2193" t="s">
        <v>8655</v>
      </c>
      <c r="F347" s="2190">
        <v>84951</v>
      </c>
      <c r="G347" s="2190">
        <v>93446.1</v>
      </c>
      <c r="H347" s="2191">
        <v>43979</v>
      </c>
      <c r="I347" s="2191">
        <v>44708</v>
      </c>
      <c r="J347" s="2244" t="s">
        <v>8620</v>
      </c>
    </row>
    <row r="348" spans="1:10">
      <c r="A348" s="2204" t="s">
        <v>6102</v>
      </c>
      <c r="B348" s="2174" t="s">
        <v>6103</v>
      </c>
      <c r="C348" s="2192">
        <v>3</v>
      </c>
      <c r="D348" s="2176" t="s">
        <v>6106</v>
      </c>
      <c r="E348" s="2201" t="s">
        <v>2548</v>
      </c>
      <c r="F348" s="2188">
        <v>33302768.399999999</v>
      </c>
      <c r="G348" s="2188">
        <v>36633045.240000002</v>
      </c>
      <c r="H348" s="2175">
        <v>43983</v>
      </c>
      <c r="I348" s="2175">
        <v>44711</v>
      </c>
      <c r="J348" s="2244"/>
    </row>
    <row r="349" spans="1:10">
      <c r="A349" s="2204" t="s">
        <v>6102</v>
      </c>
      <c r="B349" s="2174" t="s">
        <v>6103</v>
      </c>
      <c r="C349" s="2192">
        <v>4</v>
      </c>
      <c r="D349" s="2176" t="s">
        <v>6107</v>
      </c>
      <c r="E349" s="2176" t="s">
        <v>576</v>
      </c>
      <c r="F349" s="2188">
        <v>2226791.2200000002</v>
      </c>
      <c r="G349" s="2188">
        <v>2449470.34</v>
      </c>
      <c r="H349" s="2175">
        <v>43983</v>
      </c>
      <c r="I349" s="2175">
        <v>44711</v>
      </c>
      <c r="J349" s="2244"/>
    </row>
    <row r="350" spans="1:10">
      <c r="A350" s="2204" t="s">
        <v>6102</v>
      </c>
      <c r="B350" s="2174" t="s">
        <v>6103</v>
      </c>
      <c r="C350" s="2192">
        <v>5</v>
      </c>
      <c r="D350" s="2176" t="s">
        <v>6108</v>
      </c>
      <c r="E350" s="2176" t="s">
        <v>2548</v>
      </c>
      <c r="F350" s="2188">
        <v>2440587.7999999998</v>
      </c>
      <c r="G350" s="2188">
        <v>2684646.58</v>
      </c>
      <c r="H350" s="2175">
        <v>43983</v>
      </c>
      <c r="I350" s="2175">
        <v>44711</v>
      </c>
      <c r="J350" s="2244"/>
    </row>
    <row r="351" spans="1:10">
      <c r="A351" s="2204" t="s">
        <v>6371</v>
      </c>
      <c r="B351" s="2174" t="s">
        <v>6373</v>
      </c>
      <c r="C351" s="2192">
        <v>1</v>
      </c>
      <c r="D351" s="2176" t="s">
        <v>6375</v>
      </c>
      <c r="E351" s="2176" t="s">
        <v>6805</v>
      </c>
      <c r="F351" s="2188">
        <v>22860644.629999999</v>
      </c>
      <c r="G351" s="2188">
        <v>25146709.09</v>
      </c>
      <c r="H351" s="2175">
        <v>43983</v>
      </c>
      <c r="I351" s="2175">
        <v>44711</v>
      </c>
      <c r="J351" s="2244"/>
    </row>
    <row r="352" spans="1:10">
      <c r="A352" s="2204" t="s">
        <v>6371</v>
      </c>
      <c r="B352" s="2174" t="s">
        <v>6373</v>
      </c>
      <c r="C352" s="2192">
        <v>2</v>
      </c>
      <c r="D352" s="2176" t="s">
        <v>6376</v>
      </c>
      <c r="E352" s="2176" t="s">
        <v>1318</v>
      </c>
      <c r="F352" s="2188">
        <v>3355444.7</v>
      </c>
      <c r="G352" s="2188">
        <v>3690989.17</v>
      </c>
      <c r="H352" s="2175">
        <v>43983</v>
      </c>
      <c r="I352" s="2175">
        <v>44711</v>
      </c>
      <c r="J352" s="2244"/>
    </row>
    <row r="353" spans="1:10">
      <c r="A353" s="2204" t="s">
        <v>6371</v>
      </c>
      <c r="B353" s="2174" t="s">
        <v>6373</v>
      </c>
      <c r="C353" s="2192">
        <v>3</v>
      </c>
      <c r="D353" s="2176" t="s">
        <v>6377</v>
      </c>
      <c r="E353" s="2176" t="s">
        <v>1319</v>
      </c>
      <c r="F353" s="2188">
        <v>9600000</v>
      </c>
      <c r="G353" s="2188">
        <v>10560000</v>
      </c>
      <c r="H353" s="2175">
        <v>43983</v>
      </c>
      <c r="I353" s="2175">
        <v>44711</v>
      </c>
      <c r="J353" s="2244"/>
    </row>
    <row r="354" spans="1:10">
      <c r="A354" s="2204" t="s">
        <v>6371</v>
      </c>
      <c r="B354" s="2174" t="s">
        <v>6373</v>
      </c>
      <c r="C354" s="2192">
        <v>4</v>
      </c>
      <c r="D354" s="2176" t="s">
        <v>6378</v>
      </c>
      <c r="E354" s="2176" t="s">
        <v>1319</v>
      </c>
      <c r="F354" s="2188">
        <v>2263276.7999999998</v>
      </c>
      <c r="G354" s="2188">
        <v>2489604.48</v>
      </c>
      <c r="H354" s="2175">
        <v>43983</v>
      </c>
      <c r="I354" s="2175">
        <v>44711</v>
      </c>
      <c r="J354" s="2244"/>
    </row>
    <row r="355" spans="1:10">
      <c r="A355" s="2204" t="s">
        <v>5882</v>
      </c>
      <c r="B355" s="2174" t="s">
        <v>5893</v>
      </c>
      <c r="C355" s="2192">
        <v>3</v>
      </c>
      <c r="D355" s="2174" t="s">
        <v>5885</v>
      </c>
      <c r="E355" s="2176" t="s">
        <v>6605</v>
      </c>
      <c r="F355" s="2188">
        <v>4568562.3899999997</v>
      </c>
      <c r="G355" s="2188">
        <v>5025418.63</v>
      </c>
      <c r="H355" s="2175">
        <v>43990</v>
      </c>
      <c r="I355" s="2175">
        <v>44719</v>
      </c>
      <c r="J355" s="2244"/>
    </row>
    <row r="356" spans="1:10">
      <c r="A356" s="2205" t="s">
        <v>8684</v>
      </c>
      <c r="B356" s="2193" t="s">
        <v>8685</v>
      </c>
      <c r="C356" s="2198">
        <v>1</v>
      </c>
      <c r="D356" s="2193" t="s">
        <v>8686</v>
      </c>
      <c r="E356" s="2193" t="s">
        <v>8669</v>
      </c>
      <c r="F356" s="2190">
        <v>265138</v>
      </c>
      <c r="G356" s="2190">
        <v>291651.80000000005</v>
      </c>
      <c r="H356" s="2191">
        <v>43990</v>
      </c>
      <c r="I356" s="2191">
        <v>44719</v>
      </c>
      <c r="J356" s="2244" t="s">
        <v>8621</v>
      </c>
    </row>
    <row r="357" spans="1:10">
      <c r="A357" s="2205" t="s">
        <v>8687</v>
      </c>
      <c r="B357" s="2193" t="s">
        <v>8688</v>
      </c>
      <c r="C357" s="2198">
        <v>1</v>
      </c>
      <c r="D357" s="2193" t="s">
        <v>8689</v>
      </c>
      <c r="E357" s="2193" t="s">
        <v>8655</v>
      </c>
      <c r="F357" s="2190">
        <v>400502.9</v>
      </c>
      <c r="G357" s="2190">
        <v>440553.19000000006</v>
      </c>
      <c r="H357" s="2191">
        <v>43990</v>
      </c>
      <c r="I357" s="2191">
        <v>44719</v>
      </c>
      <c r="J357" s="2244" t="s">
        <v>8622</v>
      </c>
    </row>
    <row r="358" spans="1:10">
      <c r="A358" s="2205" t="s">
        <v>8690</v>
      </c>
      <c r="B358" s="2193" t="s">
        <v>8691</v>
      </c>
      <c r="C358" s="2198">
        <v>1</v>
      </c>
      <c r="D358" s="2193" t="s">
        <v>8692</v>
      </c>
      <c r="E358" s="2193" t="s">
        <v>8655</v>
      </c>
      <c r="F358" s="2190">
        <v>409213.52</v>
      </c>
      <c r="G358" s="2190">
        <v>450134.87200000003</v>
      </c>
      <c r="H358" s="2191">
        <v>43990</v>
      </c>
      <c r="I358" s="2191">
        <v>44719</v>
      </c>
      <c r="J358" s="2244" t="s">
        <v>8623</v>
      </c>
    </row>
    <row r="359" spans="1:10">
      <c r="A359" s="2205" t="s">
        <v>8699</v>
      </c>
      <c r="B359" s="2193" t="s">
        <v>8700</v>
      </c>
      <c r="C359" s="2198">
        <v>1</v>
      </c>
      <c r="D359" s="2193" t="s">
        <v>8701</v>
      </c>
      <c r="E359" s="2193" t="s">
        <v>8655</v>
      </c>
      <c r="F359" s="2190">
        <v>464334</v>
      </c>
      <c r="G359" s="2190">
        <v>510767.4</v>
      </c>
      <c r="H359" s="2191">
        <v>43990</v>
      </c>
      <c r="I359" s="2191">
        <v>44719</v>
      </c>
      <c r="J359" s="2244" t="s">
        <v>8626</v>
      </c>
    </row>
    <row r="360" spans="1:10">
      <c r="A360" s="2205" t="s">
        <v>8708</v>
      </c>
      <c r="B360" s="2193" t="s">
        <v>8709</v>
      </c>
      <c r="C360" s="2198">
        <v>1</v>
      </c>
      <c r="D360" s="2193" t="s">
        <v>8710</v>
      </c>
      <c r="E360" s="2193" t="s">
        <v>8655</v>
      </c>
      <c r="F360" s="2190">
        <v>452293.6</v>
      </c>
      <c r="G360" s="2190">
        <v>497522.96</v>
      </c>
      <c r="H360" s="2191">
        <v>43990</v>
      </c>
      <c r="I360" s="2191">
        <v>44719</v>
      </c>
      <c r="J360" s="2244" t="s">
        <v>8629</v>
      </c>
    </row>
    <row r="361" spans="1:10">
      <c r="A361" s="2205" t="s">
        <v>8696</v>
      </c>
      <c r="B361" s="2193" t="s">
        <v>8697</v>
      </c>
      <c r="C361" s="2198">
        <v>1</v>
      </c>
      <c r="D361" s="2193" t="s">
        <v>8698</v>
      </c>
      <c r="E361" s="2193" t="s">
        <v>8669</v>
      </c>
      <c r="F361" s="2190">
        <v>318874.2</v>
      </c>
      <c r="G361" s="2190">
        <v>350761.62000000005</v>
      </c>
      <c r="H361" s="2191">
        <v>43991</v>
      </c>
      <c r="I361" s="2191">
        <v>44720</v>
      </c>
      <c r="J361" s="2244" t="s">
        <v>8625</v>
      </c>
    </row>
    <row r="362" spans="1:10">
      <c r="A362" s="2204" t="s">
        <v>4028</v>
      </c>
      <c r="B362" s="2174" t="s">
        <v>4029</v>
      </c>
      <c r="C362" s="2192">
        <v>1</v>
      </c>
      <c r="D362" s="2176" t="s">
        <v>4030</v>
      </c>
      <c r="E362" s="2176" t="s">
        <v>576</v>
      </c>
      <c r="F362" s="2188">
        <v>22366350</v>
      </c>
      <c r="G362" s="2188">
        <v>24602985</v>
      </c>
      <c r="H362" s="2175">
        <v>43627</v>
      </c>
      <c r="I362" s="2175">
        <v>44722</v>
      </c>
      <c r="J362" s="2244"/>
    </row>
    <row r="363" spans="1:10">
      <c r="A363" s="2204" t="s">
        <v>4028</v>
      </c>
      <c r="B363" s="2174" t="s">
        <v>4029</v>
      </c>
      <c r="C363" s="2192">
        <v>3</v>
      </c>
      <c r="D363" s="2176" t="s">
        <v>4034</v>
      </c>
      <c r="E363" s="2176" t="s">
        <v>2548</v>
      </c>
      <c r="F363" s="2188">
        <v>1049966.58</v>
      </c>
      <c r="G363" s="2188">
        <v>1154963.24</v>
      </c>
      <c r="H363" s="2175">
        <v>43627</v>
      </c>
      <c r="I363" s="2175">
        <v>44722</v>
      </c>
      <c r="J363" s="2244"/>
    </row>
    <row r="364" spans="1:10">
      <c r="A364" s="2204" t="s">
        <v>4028</v>
      </c>
      <c r="B364" s="2174" t="s">
        <v>4029</v>
      </c>
      <c r="C364" s="2192">
        <v>4</v>
      </c>
      <c r="D364" s="2176" t="s">
        <v>4036</v>
      </c>
      <c r="E364" s="2176" t="s">
        <v>1319</v>
      </c>
      <c r="F364" s="2188">
        <v>13071596.73</v>
      </c>
      <c r="G364" s="2188">
        <v>14378756.4</v>
      </c>
      <c r="H364" s="2175">
        <v>43627</v>
      </c>
      <c r="I364" s="2175">
        <v>44722</v>
      </c>
      <c r="J364" s="2244"/>
    </row>
    <row r="365" spans="1:10">
      <c r="A365" s="2205" t="s">
        <v>8702</v>
      </c>
      <c r="B365" s="2193" t="s">
        <v>8703</v>
      </c>
      <c r="C365" s="2198">
        <v>1</v>
      </c>
      <c r="D365" s="2193" t="s">
        <v>8704</v>
      </c>
      <c r="E365" s="2193" t="s">
        <v>8669</v>
      </c>
      <c r="F365" s="2190">
        <v>396806</v>
      </c>
      <c r="G365" s="2190">
        <v>436486.60000000003</v>
      </c>
      <c r="H365" s="2191">
        <v>43999</v>
      </c>
      <c r="I365" s="2191">
        <v>44728</v>
      </c>
      <c r="J365" s="2244" t="s">
        <v>8627</v>
      </c>
    </row>
    <row r="366" spans="1:10">
      <c r="A366" s="2205" t="s">
        <v>8673</v>
      </c>
      <c r="B366" s="2193" t="s">
        <v>8674</v>
      </c>
      <c r="C366" s="2198">
        <v>1</v>
      </c>
      <c r="D366" s="2193" t="s">
        <v>8675</v>
      </c>
      <c r="E366" s="2193" t="s">
        <v>8676</v>
      </c>
      <c r="F366" s="2190">
        <v>296590</v>
      </c>
      <c r="G366" s="2190">
        <v>326249</v>
      </c>
      <c r="H366" s="2191">
        <v>44011</v>
      </c>
      <c r="I366" s="2191">
        <v>44740</v>
      </c>
      <c r="J366" s="2244" t="s">
        <v>8617</v>
      </c>
    </row>
    <row r="367" spans="1:10">
      <c r="A367" s="2204" t="s">
        <v>6232</v>
      </c>
      <c r="B367" s="2174" t="s">
        <v>5446</v>
      </c>
      <c r="C367" s="2192">
        <v>1</v>
      </c>
      <c r="D367" s="2176" t="s">
        <v>5438</v>
      </c>
      <c r="E367" s="2176" t="s">
        <v>1646</v>
      </c>
      <c r="F367" s="2188">
        <v>1029078</v>
      </c>
      <c r="G367" s="2188">
        <v>1131985.8</v>
      </c>
      <c r="H367" s="2175">
        <v>44013</v>
      </c>
      <c r="I367" s="2175">
        <v>44742</v>
      </c>
      <c r="J367" s="2244"/>
    </row>
    <row r="368" spans="1:10">
      <c r="A368" s="2204" t="s">
        <v>6232</v>
      </c>
      <c r="B368" s="2174" t="s">
        <v>5446</v>
      </c>
      <c r="C368" s="2192">
        <v>3</v>
      </c>
      <c r="D368" s="2176" t="s">
        <v>5440</v>
      </c>
      <c r="E368" s="2176" t="s">
        <v>1564</v>
      </c>
      <c r="F368" s="2188">
        <v>480627.6</v>
      </c>
      <c r="G368" s="2188">
        <v>528690.36</v>
      </c>
      <c r="H368" s="2175">
        <v>44013</v>
      </c>
      <c r="I368" s="2175">
        <v>44742</v>
      </c>
      <c r="J368" s="2244"/>
    </row>
    <row r="369" spans="1:10">
      <c r="A369" s="2204" t="s">
        <v>6232</v>
      </c>
      <c r="B369" s="2174" t="s">
        <v>5446</v>
      </c>
      <c r="C369" s="2192">
        <v>7</v>
      </c>
      <c r="D369" s="2176" t="s">
        <v>5444</v>
      </c>
      <c r="E369" s="2176" t="s">
        <v>2548</v>
      </c>
      <c r="F369" s="2188">
        <v>32477.439999999999</v>
      </c>
      <c r="G369" s="2188">
        <v>35725.18</v>
      </c>
      <c r="H369" s="2175">
        <v>44013</v>
      </c>
      <c r="I369" s="2175">
        <v>44742</v>
      </c>
      <c r="J369" s="2244"/>
    </row>
    <row r="370" spans="1:10">
      <c r="A370" s="2204" t="s">
        <v>6232</v>
      </c>
      <c r="B370" s="2174" t="s">
        <v>5446</v>
      </c>
      <c r="C370" s="2192">
        <v>5</v>
      </c>
      <c r="D370" s="2176" t="s">
        <v>5442</v>
      </c>
      <c r="E370" s="2176" t="s">
        <v>7042</v>
      </c>
      <c r="F370" s="2188">
        <v>3476527.3</v>
      </c>
      <c r="G370" s="2188">
        <v>3824180.03</v>
      </c>
      <c r="H370" s="2175">
        <v>44019</v>
      </c>
      <c r="I370" s="2175">
        <v>44748</v>
      </c>
      <c r="J370" s="2244"/>
    </row>
    <row r="371" spans="1:10">
      <c r="A371" s="2204" t="s">
        <v>6232</v>
      </c>
      <c r="B371" s="2174" t="s">
        <v>5446</v>
      </c>
      <c r="C371" s="2192">
        <v>4</v>
      </c>
      <c r="D371" s="2176" t="s">
        <v>5441</v>
      </c>
      <c r="E371" s="2176" t="s">
        <v>2548</v>
      </c>
      <c r="F371" s="2188">
        <v>8530960.8200000003</v>
      </c>
      <c r="G371" s="2188">
        <v>9384056.9000000004</v>
      </c>
      <c r="H371" s="2175">
        <v>44033</v>
      </c>
      <c r="I371" s="2175">
        <v>44762</v>
      </c>
      <c r="J371" s="2244"/>
    </row>
    <row r="372" spans="1:10">
      <c r="A372" s="2205" t="s">
        <v>8677</v>
      </c>
      <c r="B372" s="2193" t="s">
        <v>8678</v>
      </c>
      <c r="C372" s="2198">
        <v>2</v>
      </c>
      <c r="D372" s="2193" t="s">
        <v>8680</v>
      </c>
      <c r="E372" s="2193" t="s">
        <v>8676</v>
      </c>
      <c r="F372" s="2190">
        <v>102411.5</v>
      </c>
      <c r="G372" s="2190">
        <v>112652.65000000001</v>
      </c>
      <c r="H372" s="2191">
        <v>44067</v>
      </c>
      <c r="I372" s="2191">
        <v>44796</v>
      </c>
      <c r="J372" s="2244" t="s">
        <v>8619</v>
      </c>
    </row>
    <row r="373" spans="1:10">
      <c r="A373" s="2204" t="s">
        <v>3223</v>
      </c>
      <c r="B373" s="2174" t="s">
        <v>3517</v>
      </c>
      <c r="C373" s="2192">
        <v>1</v>
      </c>
      <c r="D373" s="2176" t="s">
        <v>3691</v>
      </c>
      <c r="E373" s="2176" t="s">
        <v>2548</v>
      </c>
      <c r="F373" s="2188">
        <v>41104437.479999997</v>
      </c>
      <c r="G373" s="2188">
        <v>45214881.228</v>
      </c>
      <c r="H373" s="2175">
        <v>43475</v>
      </c>
      <c r="I373" s="2175">
        <v>44935</v>
      </c>
      <c r="J373" s="2244"/>
    </row>
    <row r="374" spans="1:10">
      <c r="A374" s="2204" t="s">
        <v>3223</v>
      </c>
      <c r="B374" s="2174" t="s">
        <v>3517</v>
      </c>
      <c r="C374" s="2192">
        <v>2</v>
      </c>
      <c r="D374" s="2176" t="s">
        <v>3692</v>
      </c>
      <c r="E374" s="2176" t="s">
        <v>2548</v>
      </c>
      <c r="F374" s="2188">
        <v>18736351.109999999</v>
      </c>
      <c r="G374" s="2188">
        <v>20609986.221000001</v>
      </c>
      <c r="H374" s="2175">
        <v>43475</v>
      </c>
      <c r="I374" s="2175">
        <v>44935</v>
      </c>
      <c r="J374" s="2244"/>
    </row>
    <row r="375" spans="1:10">
      <c r="A375" s="2204" t="s">
        <v>3223</v>
      </c>
      <c r="B375" s="2174" t="s">
        <v>3517</v>
      </c>
      <c r="C375" s="2192">
        <v>3</v>
      </c>
      <c r="D375" s="2176" t="s">
        <v>3693</v>
      </c>
      <c r="E375" s="2176" t="s">
        <v>1646</v>
      </c>
      <c r="F375" s="2188">
        <v>42803439.280000001</v>
      </c>
      <c r="G375" s="2188">
        <v>47083783.208000004</v>
      </c>
      <c r="H375" s="2175">
        <v>43475</v>
      </c>
      <c r="I375" s="2175">
        <v>44935</v>
      </c>
      <c r="J375" s="2244"/>
    </row>
    <row r="376" spans="1:10">
      <c r="A376" s="2204" t="s">
        <v>3223</v>
      </c>
      <c r="B376" s="2174" t="s">
        <v>3517</v>
      </c>
      <c r="C376" s="2192">
        <v>4</v>
      </c>
      <c r="D376" s="2176" t="s">
        <v>3694</v>
      </c>
      <c r="E376" s="2176" t="s">
        <v>2548</v>
      </c>
      <c r="F376" s="2188">
        <v>5485924</v>
      </c>
      <c r="G376" s="2188">
        <v>6034516.4000000004</v>
      </c>
      <c r="H376" s="2175">
        <v>43475</v>
      </c>
      <c r="I376" s="2175">
        <v>44935</v>
      </c>
      <c r="J376" s="2244"/>
    </row>
    <row r="377" spans="1:10">
      <c r="A377" s="2204" t="s">
        <v>3223</v>
      </c>
      <c r="B377" s="2174" t="s">
        <v>3517</v>
      </c>
      <c r="C377" s="2192">
        <v>5</v>
      </c>
      <c r="D377" s="2176" t="s">
        <v>3695</v>
      </c>
      <c r="E377" s="2176" t="s">
        <v>1402</v>
      </c>
      <c r="F377" s="2188">
        <v>16587621.630000001</v>
      </c>
      <c r="G377" s="2188">
        <v>18246383.793000001</v>
      </c>
      <c r="H377" s="2175">
        <v>43475</v>
      </c>
      <c r="I377" s="2175">
        <v>44935</v>
      </c>
      <c r="J377" s="2244"/>
    </row>
    <row r="378" spans="1:10">
      <c r="A378" s="2204" t="s">
        <v>3223</v>
      </c>
      <c r="B378" s="2174" t="s">
        <v>3517</v>
      </c>
      <c r="C378" s="2192">
        <v>6</v>
      </c>
      <c r="D378" s="2176" t="s">
        <v>3696</v>
      </c>
      <c r="E378" s="2176" t="s">
        <v>2548</v>
      </c>
      <c r="F378" s="2188">
        <v>12608680.5</v>
      </c>
      <c r="G378" s="2188">
        <v>13869548.550000001</v>
      </c>
      <c r="H378" s="2175">
        <v>43475</v>
      </c>
      <c r="I378" s="2175">
        <v>44935</v>
      </c>
      <c r="J378" s="2244"/>
    </row>
    <row r="379" spans="1:10">
      <c r="A379" s="2204" t="s">
        <v>3223</v>
      </c>
      <c r="B379" s="2174" t="s">
        <v>3517</v>
      </c>
      <c r="C379" s="2192">
        <v>7</v>
      </c>
      <c r="D379" s="2176" t="s">
        <v>3697</v>
      </c>
      <c r="E379" s="2176" t="s">
        <v>1646</v>
      </c>
      <c r="F379" s="2188">
        <v>11362478.16</v>
      </c>
      <c r="G379" s="2188">
        <v>12498725.976000002</v>
      </c>
      <c r="H379" s="2175">
        <v>43475</v>
      </c>
      <c r="I379" s="2175">
        <v>44935</v>
      </c>
      <c r="J379" s="2244"/>
    </row>
    <row r="380" spans="1:10">
      <c r="A380" s="2204" t="s">
        <v>3262</v>
      </c>
      <c r="B380" s="2174" t="s">
        <v>3522</v>
      </c>
      <c r="C380" s="2192">
        <v>1</v>
      </c>
      <c r="D380" s="2176" t="s">
        <v>3700</v>
      </c>
      <c r="E380" s="2176" t="s">
        <v>2097</v>
      </c>
      <c r="F380" s="2188">
        <v>952944.48</v>
      </c>
      <c r="G380" s="2188">
        <v>1048238.9280000001</v>
      </c>
      <c r="H380" s="2175">
        <v>43567</v>
      </c>
      <c r="I380" s="2175">
        <v>45027</v>
      </c>
      <c r="J380" s="2244"/>
    </row>
    <row r="381" spans="1:10">
      <c r="A381" s="2204" t="s">
        <v>6336</v>
      </c>
      <c r="B381" s="2174" t="s">
        <v>6337</v>
      </c>
      <c r="C381" s="2192"/>
      <c r="D381" s="2176"/>
      <c r="E381" s="2176" t="s">
        <v>4857</v>
      </c>
      <c r="F381" s="2188">
        <v>2264700</v>
      </c>
      <c r="G381" s="2188">
        <v>2740287</v>
      </c>
      <c r="H381" s="2175">
        <v>43948</v>
      </c>
      <c r="I381" s="2175">
        <v>45042</v>
      </c>
      <c r="J381" s="2244"/>
    </row>
    <row r="382" spans="1:10">
      <c r="A382" s="2204" t="s">
        <v>5196</v>
      </c>
      <c r="B382" s="2174" t="s">
        <v>5197</v>
      </c>
      <c r="C382" s="2192">
        <v>1</v>
      </c>
      <c r="D382" s="2176" t="s">
        <v>5198</v>
      </c>
      <c r="E382" s="2176" t="s">
        <v>7042</v>
      </c>
      <c r="F382" s="2188">
        <v>27093269.640000001</v>
      </c>
      <c r="G382" s="2188">
        <v>29802596.600000001</v>
      </c>
      <c r="H382" s="2175">
        <v>43965</v>
      </c>
      <c r="I382" s="2175">
        <v>45059</v>
      </c>
      <c r="J382" s="2244"/>
    </row>
    <row r="383" spans="1:10">
      <c r="A383" s="2204" t="s">
        <v>5289</v>
      </c>
      <c r="B383" s="2174" t="s">
        <v>5290</v>
      </c>
      <c r="C383" s="2192">
        <v>1</v>
      </c>
      <c r="D383" s="2176" t="s">
        <v>5291</v>
      </c>
      <c r="E383" s="2176" t="s">
        <v>7042</v>
      </c>
      <c r="F383" s="2188">
        <v>109012617.59999999</v>
      </c>
      <c r="G383" s="2188">
        <v>119913879.36</v>
      </c>
      <c r="H383" s="2175">
        <v>43965</v>
      </c>
      <c r="I383" s="2175">
        <v>45059</v>
      </c>
      <c r="J383" s="2244"/>
    </row>
    <row r="384" spans="1:10">
      <c r="A384" s="2205" t="s">
        <v>8693</v>
      </c>
      <c r="B384" s="2193" t="s">
        <v>8694</v>
      </c>
      <c r="C384" s="2198">
        <v>1</v>
      </c>
      <c r="D384" s="2193" t="s">
        <v>8695</v>
      </c>
      <c r="E384" s="2193" t="s">
        <v>8655</v>
      </c>
      <c r="F384" s="2190">
        <v>87024</v>
      </c>
      <c r="G384" s="2190">
        <v>95726.400000000009</v>
      </c>
      <c r="H384" s="2191">
        <v>43990</v>
      </c>
      <c r="I384" s="2191">
        <v>45084</v>
      </c>
      <c r="J384" s="2244" t="s">
        <v>8624</v>
      </c>
    </row>
    <row r="385" spans="1:10">
      <c r="A385" s="2205" t="s">
        <v>8705</v>
      </c>
      <c r="B385" s="2193" t="s">
        <v>8706</v>
      </c>
      <c r="C385" s="2198">
        <v>1</v>
      </c>
      <c r="D385" s="2193" t="s">
        <v>8707</v>
      </c>
      <c r="E385" s="2193" t="s">
        <v>8669</v>
      </c>
      <c r="F385" s="2190">
        <v>429047.01</v>
      </c>
      <c r="G385" s="2190">
        <v>471951.71100000007</v>
      </c>
      <c r="H385" s="2191">
        <v>43999</v>
      </c>
      <c r="I385" s="2191">
        <v>45093</v>
      </c>
      <c r="J385" s="2244" t="s">
        <v>8628</v>
      </c>
    </row>
    <row r="386" spans="1:10" ht="30">
      <c r="A386" s="2205" t="s">
        <v>8751</v>
      </c>
      <c r="B386" s="2193" t="s">
        <v>8752</v>
      </c>
      <c r="C386" s="2198">
        <v>1</v>
      </c>
      <c r="D386" s="2193" t="s">
        <v>8752</v>
      </c>
      <c r="E386" s="2193" t="s">
        <v>8753</v>
      </c>
      <c r="F386" s="2190">
        <v>99430</v>
      </c>
      <c r="G386" s="2190">
        <v>109373.00000000001</v>
      </c>
      <c r="H386" s="2191">
        <v>43999</v>
      </c>
      <c r="I386" s="2191">
        <v>45093</v>
      </c>
      <c r="J386" s="2244" t="s">
        <v>8645</v>
      </c>
    </row>
    <row r="387" spans="1:10" ht="30">
      <c r="A387" s="2205" t="s">
        <v>8748</v>
      </c>
      <c r="B387" s="2193" t="s">
        <v>8749</v>
      </c>
      <c r="C387" s="2198">
        <v>1</v>
      </c>
      <c r="D387" s="2193" t="s">
        <v>8749</v>
      </c>
      <c r="E387" s="2193" t="s">
        <v>8733</v>
      </c>
      <c r="F387" s="2190">
        <v>73155</v>
      </c>
      <c r="G387" s="2190">
        <v>80470.5</v>
      </c>
      <c r="H387" s="2191">
        <v>44011</v>
      </c>
      <c r="I387" s="2191">
        <v>45105</v>
      </c>
      <c r="J387" s="2244" t="s">
        <v>8643</v>
      </c>
    </row>
    <row r="388" spans="1:10" ht="30">
      <c r="A388" s="2205" t="s">
        <v>8751</v>
      </c>
      <c r="B388" s="2193" t="s">
        <v>8752</v>
      </c>
      <c r="C388" s="2198">
        <v>2</v>
      </c>
      <c r="D388" s="2193" t="s">
        <v>8752</v>
      </c>
      <c r="E388" s="2193" t="s">
        <v>8744</v>
      </c>
      <c r="F388" s="2190">
        <v>222955.94</v>
      </c>
      <c r="G388" s="2190">
        <v>245251.53400000001</v>
      </c>
      <c r="H388" s="2191">
        <v>44025</v>
      </c>
      <c r="I388" s="2191">
        <v>45119</v>
      </c>
      <c r="J388" s="2244" t="s">
        <v>8646</v>
      </c>
    </row>
    <row r="389" spans="1:10" ht="30">
      <c r="A389" s="2205" t="s">
        <v>8754</v>
      </c>
      <c r="B389" s="2193" t="s">
        <v>8755</v>
      </c>
      <c r="C389" s="2198">
        <v>2</v>
      </c>
      <c r="D389" s="2193" t="s">
        <v>8755</v>
      </c>
      <c r="E389" s="2193" t="s">
        <v>8756</v>
      </c>
      <c r="F389" s="2190">
        <v>12624</v>
      </c>
      <c r="G389" s="2190">
        <v>13886.400000000001</v>
      </c>
      <c r="H389" s="2191">
        <v>44026</v>
      </c>
      <c r="I389" s="2191">
        <v>45120</v>
      </c>
      <c r="J389" s="2244" t="s">
        <v>8648</v>
      </c>
    </row>
    <row r="390" spans="1:10" ht="30">
      <c r="A390" s="2205" t="s">
        <v>8754</v>
      </c>
      <c r="B390" s="2193" t="s">
        <v>8755</v>
      </c>
      <c r="C390" s="2198">
        <v>1</v>
      </c>
      <c r="D390" s="2193" t="s">
        <v>8755</v>
      </c>
      <c r="E390" s="2193" t="s">
        <v>8733</v>
      </c>
      <c r="F390" s="2190">
        <v>236300</v>
      </c>
      <c r="G390" s="2190">
        <v>259930.00000000003</v>
      </c>
      <c r="H390" s="2191">
        <v>44028</v>
      </c>
      <c r="I390" s="2191">
        <v>45122</v>
      </c>
      <c r="J390" s="2244" t="s">
        <v>8647</v>
      </c>
    </row>
    <row r="391" spans="1:10" ht="30">
      <c r="A391" s="2205" t="s">
        <v>8754</v>
      </c>
      <c r="B391" s="2193" t="s">
        <v>8755</v>
      </c>
      <c r="C391" s="2198">
        <v>3</v>
      </c>
      <c r="D391" s="2193" t="s">
        <v>8755</v>
      </c>
      <c r="E391" s="2193" t="s">
        <v>8744</v>
      </c>
      <c r="F391" s="2190">
        <v>231975</v>
      </c>
      <c r="G391" s="2190">
        <v>255172.50000000003</v>
      </c>
      <c r="H391" s="2191">
        <v>44028</v>
      </c>
      <c r="I391" s="2191">
        <v>45122</v>
      </c>
      <c r="J391" s="2244" t="s">
        <v>8649</v>
      </c>
    </row>
    <row r="392" spans="1:10" ht="30">
      <c r="A392" s="2205" t="s">
        <v>8748</v>
      </c>
      <c r="B392" s="2193" t="s">
        <v>8749</v>
      </c>
      <c r="C392" s="2198">
        <v>2</v>
      </c>
      <c r="D392" s="2193" t="s">
        <v>8749</v>
      </c>
      <c r="E392" s="2193" t="s">
        <v>8750</v>
      </c>
      <c r="F392" s="2190">
        <v>162627</v>
      </c>
      <c r="G392" s="2190">
        <v>178889.7</v>
      </c>
      <c r="H392" s="2191">
        <v>44026</v>
      </c>
      <c r="I392" s="2191">
        <v>45123</v>
      </c>
      <c r="J392" s="2244" t="s">
        <v>8644</v>
      </c>
    </row>
    <row r="393" spans="1:10" ht="30">
      <c r="A393" s="2205" t="s">
        <v>8745</v>
      </c>
      <c r="B393" s="2193" t="s">
        <v>8746</v>
      </c>
      <c r="C393" s="2198">
        <v>1</v>
      </c>
      <c r="D393" s="2193" t="s">
        <v>8746</v>
      </c>
      <c r="E393" s="2193" t="s">
        <v>8747</v>
      </c>
      <c r="F393" s="2190">
        <v>70522.92</v>
      </c>
      <c r="G393" s="2190">
        <v>77575.212</v>
      </c>
      <c r="H393" s="2191">
        <v>44029</v>
      </c>
      <c r="I393" s="2191">
        <v>45123</v>
      </c>
      <c r="J393" s="2244" t="s">
        <v>8642</v>
      </c>
    </row>
    <row r="394" spans="1:10">
      <c r="A394" s="2204" t="s">
        <v>6446</v>
      </c>
      <c r="B394" s="2174" t="s">
        <v>6450</v>
      </c>
      <c r="C394" s="2192">
        <v>3</v>
      </c>
      <c r="D394" s="2176" t="s">
        <v>6449</v>
      </c>
      <c r="E394" s="2176" t="s">
        <v>5774</v>
      </c>
      <c r="F394" s="2188">
        <v>2764543.92</v>
      </c>
      <c r="G394" s="2188">
        <v>3040998.31</v>
      </c>
      <c r="H394" s="2175">
        <v>44032</v>
      </c>
      <c r="I394" s="2175">
        <v>45126</v>
      </c>
      <c r="J394" s="2244"/>
    </row>
    <row r="395" spans="1:10">
      <c r="A395" s="2204" t="s">
        <v>6612</v>
      </c>
      <c r="B395" s="2174" t="s">
        <v>6615</v>
      </c>
      <c r="C395" s="2192">
        <v>1</v>
      </c>
      <c r="D395" s="2176" t="s">
        <v>6632</v>
      </c>
      <c r="E395" s="2176" t="s">
        <v>6924</v>
      </c>
      <c r="F395" s="2188">
        <v>14033580</v>
      </c>
      <c r="G395" s="2188">
        <v>15436938</v>
      </c>
      <c r="H395" s="2175">
        <v>44033</v>
      </c>
      <c r="I395" s="2175">
        <v>45127</v>
      </c>
      <c r="J395" s="2244"/>
    </row>
    <row r="396" spans="1:10">
      <c r="A396" s="2204" t="s">
        <v>6612</v>
      </c>
      <c r="B396" s="2174" t="s">
        <v>6615</v>
      </c>
      <c r="C396" s="2192">
        <v>2</v>
      </c>
      <c r="D396" s="2176" t="s">
        <v>6633</v>
      </c>
      <c r="E396" s="2176" t="s">
        <v>6925</v>
      </c>
      <c r="F396" s="2188">
        <v>16125300</v>
      </c>
      <c r="G396" s="2188">
        <v>17737830</v>
      </c>
      <c r="H396" s="2175">
        <v>44033</v>
      </c>
      <c r="I396" s="2175">
        <v>45127</v>
      </c>
      <c r="J396" s="2244"/>
    </row>
    <row r="397" spans="1:10">
      <c r="A397" s="2204" t="s">
        <v>6612</v>
      </c>
      <c r="B397" s="2174" t="s">
        <v>6615</v>
      </c>
      <c r="C397" s="2192">
        <v>3</v>
      </c>
      <c r="D397" s="2176" t="s">
        <v>6634</v>
      </c>
      <c r="E397" s="2176" t="s">
        <v>2548</v>
      </c>
      <c r="F397" s="2188">
        <v>4173724.8</v>
      </c>
      <c r="G397" s="2188">
        <v>4591097.28</v>
      </c>
      <c r="H397" s="2175">
        <v>44033</v>
      </c>
      <c r="I397" s="2175">
        <v>45127</v>
      </c>
      <c r="J397" s="2244"/>
    </row>
    <row r="398" spans="1:10">
      <c r="A398" s="2204" t="s">
        <v>6645</v>
      </c>
      <c r="B398" s="2174" t="s">
        <v>6646</v>
      </c>
      <c r="C398" s="2192">
        <v>1</v>
      </c>
      <c r="D398" s="2176" t="s">
        <v>6655</v>
      </c>
      <c r="E398" s="2176" t="s">
        <v>576</v>
      </c>
      <c r="F398" s="2188">
        <v>3199999.44</v>
      </c>
      <c r="G398" s="2188">
        <v>3519999.38</v>
      </c>
      <c r="H398" s="2175">
        <v>44033</v>
      </c>
      <c r="I398" s="2175">
        <v>45127</v>
      </c>
      <c r="J398" s="2244"/>
    </row>
    <row r="399" spans="1:10">
      <c r="A399" s="2204" t="s">
        <v>6645</v>
      </c>
      <c r="B399" s="2174" t="s">
        <v>6646</v>
      </c>
      <c r="C399" s="2192">
        <v>2</v>
      </c>
      <c r="D399" s="2176" t="s">
        <v>4875</v>
      </c>
      <c r="E399" s="2176" t="s">
        <v>6982</v>
      </c>
      <c r="F399" s="2188">
        <v>4936083.3</v>
      </c>
      <c r="G399" s="2188">
        <v>5429691.6299999999</v>
      </c>
      <c r="H399" s="2175">
        <v>44033</v>
      </c>
      <c r="I399" s="2175">
        <v>45127</v>
      </c>
      <c r="J399" s="2244"/>
    </row>
    <row r="400" spans="1:10">
      <c r="A400" s="2204" t="s">
        <v>6645</v>
      </c>
      <c r="B400" s="2174" t="s">
        <v>6646</v>
      </c>
      <c r="C400" s="2192">
        <v>3</v>
      </c>
      <c r="D400" s="2176" t="s">
        <v>6656</v>
      </c>
      <c r="E400" s="2176" t="s">
        <v>576</v>
      </c>
      <c r="F400" s="2188">
        <v>1979937.27</v>
      </c>
      <c r="G400" s="2188">
        <v>2177931</v>
      </c>
      <c r="H400" s="2175">
        <v>44033</v>
      </c>
      <c r="I400" s="2175">
        <v>45127</v>
      </c>
      <c r="J400" s="2244"/>
    </row>
    <row r="401" spans="1:10">
      <c r="A401" s="2204" t="s">
        <v>6645</v>
      </c>
      <c r="B401" s="2174" t="s">
        <v>6646</v>
      </c>
      <c r="C401" s="2192">
        <v>4</v>
      </c>
      <c r="D401" s="2176" t="s">
        <v>6657</v>
      </c>
      <c r="E401" s="2176" t="s">
        <v>576</v>
      </c>
      <c r="F401" s="2188">
        <v>26912561.82</v>
      </c>
      <c r="G401" s="2188">
        <v>29603818</v>
      </c>
      <c r="H401" s="2175">
        <v>44033</v>
      </c>
      <c r="I401" s="2175">
        <v>45127</v>
      </c>
      <c r="J401" s="2244"/>
    </row>
    <row r="402" spans="1:10">
      <c r="A402" s="2204" t="s">
        <v>6645</v>
      </c>
      <c r="B402" s="2174" t="s">
        <v>6646</v>
      </c>
      <c r="C402" s="2192">
        <v>5</v>
      </c>
      <c r="D402" s="2176" t="s">
        <v>6379</v>
      </c>
      <c r="E402" s="2176" t="s">
        <v>2405</v>
      </c>
      <c r="F402" s="2188">
        <v>36817333.350000001</v>
      </c>
      <c r="G402" s="2188">
        <v>40499066.689999998</v>
      </c>
      <c r="H402" s="2175">
        <v>44033</v>
      </c>
      <c r="I402" s="2175">
        <v>45127</v>
      </c>
      <c r="J402" s="2244"/>
    </row>
    <row r="403" spans="1:10">
      <c r="A403" s="2204" t="s">
        <v>6645</v>
      </c>
      <c r="B403" s="2174" t="s">
        <v>6646</v>
      </c>
      <c r="C403" s="2192">
        <v>6</v>
      </c>
      <c r="D403" s="2176" t="s">
        <v>6658</v>
      </c>
      <c r="E403" s="2176" t="s">
        <v>576</v>
      </c>
      <c r="F403" s="2188">
        <v>9788229</v>
      </c>
      <c r="G403" s="2188">
        <v>10767051.9</v>
      </c>
      <c r="H403" s="2175">
        <v>44033</v>
      </c>
      <c r="I403" s="2175">
        <v>45127</v>
      </c>
      <c r="J403" s="2244"/>
    </row>
    <row r="404" spans="1:10">
      <c r="A404" s="2204" t="s">
        <v>6454</v>
      </c>
      <c r="B404" s="2174" t="s">
        <v>6469</v>
      </c>
      <c r="C404" s="2192">
        <v>1</v>
      </c>
      <c r="D404" s="2176" t="s">
        <v>6455</v>
      </c>
      <c r="E404" s="2176" t="s">
        <v>2548</v>
      </c>
      <c r="F404" s="2188">
        <v>8519745.7200000007</v>
      </c>
      <c r="G404" s="2188">
        <v>9371720.2899999991</v>
      </c>
      <c r="H404" s="2175">
        <v>44036</v>
      </c>
      <c r="I404" s="2175">
        <v>45130</v>
      </c>
      <c r="J404" s="2244"/>
    </row>
    <row r="405" spans="1:10">
      <c r="A405" s="2204" t="s">
        <v>6454</v>
      </c>
      <c r="B405" s="2174" t="s">
        <v>6469</v>
      </c>
      <c r="C405" s="2192">
        <v>2</v>
      </c>
      <c r="D405" s="2176" t="s">
        <v>6456</v>
      </c>
      <c r="E405" s="2176" t="s">
        <v>2548</v>
      </c>
      <c r="F405" s="2188">
        <v>3538087.5</v>
      </c>
      <c r="G405" s="2188">
        <v>3891896.25</v>
      </c>
      <c r="H405" s="2175">
        <v>44036</v>
      </c>
      <c r="I405" s="2175">
        <v>45130</v>
      </c>
      <c r="J405" s="2244"/>
    </row>
    <row r="406" spans="1:10">
      <c r="A406" s="2204" t="s">
        <v>6454</v>
      </c>
      <c r="B406" s="2174" t="s">
        <v>6469</v>
      </c>
      <c r="C406" s="2192">
        <v>3</v>
      </c>
      <c r="D406" s="2176" t="s">
        <v>6457</v>
      </c>
      <c r="E406" s="2176" t="s">
        <v>1318</v>
      </c>
      <c r="F406" s="2188">
        <v>51821830.5</v>
      </c>
      <c r="G406" s="2188">
        <v>57004013.549999997</v>
      </c>
      <c r="H406" s="2175">
        <v>44036</v>
      </c>
      <c r="I406" s="2175">
        <v>45130</v>
      </c>
      <c r="J406" s="2244"/>
    </row>
    <row r="407" spans="1:10">
      <c r="A407" s="2204" t="s">
        <v>6454</v>
      </c>
      <c r="B407" s="2174" t="s">
        <v>6469</v>
      </c>
      <c r="C407" s="2192">
        <v>4</v>
      </c>
      <c r="D407" s="2176" t="s">
        <v>6458</v>
      </c>
      <c r="E407" s="2176" t="s">
        <v>2548</v>
      </c>
      <c r="F407" s="2188">
        <v>619900.59</v>
      </c>
      <c r="G407" s="2188">
        <v>681890.65</v>
      </c>
      <c r="H407" s="2175">
        <v>44036</v>
      </c>
      <c r="I407" s="2175">
        <v>45130</v>
      </c>
      <c r="J407" s="2244"/>
    </row>
    <row r="408" spans="1:10">
      <c r="A408" s="2204" t="s">
        <v>6454</v>
      </c>
      <c r="B408" s="2174" t="s">
        <v>6469</v>
      </c>
      <c r="C408" s="2192">
        <v>5</v>
      </c>
      <c r="D408" s="2176" t="s">
        <v>6459</v>
      </c>
      <c r="E408" s="2176" t="s">
        <v>576</v>
      </c>
      <c r="F408" s="2188">
        <v>158286062.88</v>
      </c>
      <c r="G408" s="2188">
        <v>174114669.16999999</v>
      </c>
      <c r="H408" s="2175">
        <v>44036</v>
      </c>
      <c r="I408" s="2175">
        <v>45130</v>
      </c>
      <c r="J408" s="2244"/>
    </row>
    <row r="409" spans="1:10">
      <c r="A409" s="2204" t="s">
        <v>6454</v>
      </c>
      <c r="B409" s="2174" t="s">
        <v>6469</v>
      </c>
      <c r="C409" s="2192">
        <v>7</v>
      </c>
      <c r="D409" s="2176" t="s">
        <v>6461</v>
      </c>
      <c r="E409" s="2176" t="s">
        <v>576</v>
      </c>
      <c r="F409" s="2188">
        <v>54746420.609999999</v>
      </c>
      <c r="G409" s="2188">
        <v>60221062.670000002</v>
      </c>
      <c r="H409" s="2175">
        <v>44036</v>
      </c>
      <c r="I409" s="2175">
        <v>45130</v>
      </c>
      <c r="J409" s="2244"/>
    </row>
    <row r="410" spans="1:10">
      <c r="A410" s="2204" t="s">
        <v>6446</v>
      </c>
      <c r="B410" s="2174" t="s">
        <v>6450</v>
      </c>
      <c r="C410" s="2192">
        <v>1</v>
      </c>
      <c r="D410" s="2176" t="s">
        <v>6447</v>
      </c>
      <c r="E410" s="2176" t="s">
        <v>2548</v>
      </c>
      <c r="F410" s="2188">
        <v>912366</v>
      </c>
      <c r="G410" s="2188">
        <v>1003602.6</v>
      </c>
      <c r="H410" s="2175">
        <v>44032</v>
      </c>
      <c r="I410" s="2175">
        <v>45143</v>
      </c>
      <c r="J410" s="2244"/>
    </row>
    <row r="411" spans="1:10" ht="30">
      <c r="A411" s="2205" t="s">
        <v>8742</v>
      </c>
      <c r="B411" s="2193" t="s">
        <v>8743</v>
      </c>
      <c r="C411" s="2198">
        <v>1</v>
      </c>
      <c r="D411" s="2193" t="s">
        <v>8743</v>
      </c>
      <c r="E411" s="2193" t="s">
        <v>8744</v>
      </c>
      <c r="F411" s="2190">
        <v>18100</v>
      </c>
      <c r="G411" s="2190">
        <v>19910</v>
      </c>
      <c r="H411" s="2191">
        <v>44049</v>
      </c>
      <c r="I411" s="2191">
        <v>45145</v>
      </c>
      <c r="J411" s="2244" t="s">
        <v>8641</v>
      </c>
    </row>
    <row r="412" spans="1:10">
      <c r="A412" s="2204" t="s">
        <v>6798</v>
      </c>
      <c r="B412" s="2174" t="s">
        <v>6797</v>
      </c>
      <c r="C412" s="2192">
        <v>5</v>
      </c>
      <c r="D412" s="2176" t="s">
        <v>6796</v>
      </c>
      <c r="E412" s="2176" t="s">
        <v>2548</v>
      </c>
      <c r="F412" s="2188">
        <v>4223467.29</v>
      </c>
      <c r="G412" s="2188">
        <v>4645814.0199999996</v>
      </c>
      <c r="H412" s="2175">
        <v>44055</v>
      </c>
      <c r="I412" s="2175">
        <v>45149</v>
      </c>
      <c r="J412" s="2244"/>
    </row>
    <row r="413" spans="1:10">
      <c r="A413" s="2204" t="s">
        <v>6798</v>
      </c>
      <c r="B413" s="2174" t="s">
        <v>6797</v>
      </c>
      <c r="C413" s="2192">
        <v>4</v>
      </c>
      <c r="D413" s="2176" t="s">
        <v>6795</v>
      </c>
      <c r="E413" s="2176" t="s">
        <v>576</v>
      </c>
      <c r="F413" s="2188">
        <v>4799665.3499999996</v>
      </c>
      <c r="G413" s="2188">
        <v>5279631.8899999997</v>
      </c>
      <c r="H413" s="2175">
        <v>44057</v>
      </c>
      <c r="I413" s="2175">
        <v>45151</v>
      </c>
      <c r="J413" s="2244"/>
    </row>
    <row r="414" spans="1:10" ht="30">
      <c r="A414" s="2204" t="s">
        <v>3868</v>
      </c>
      <c r="B414" s="2174" t="s">
        <v>3869</v>
      </c>
      <c r="C414" s="2192"/>
      <c r="D414" s="2176"/>
      <c r="E414" s="2176" t="s">
        <v>5049</v>
      </c>
      <c r="F414" s="2188">
        <v>4355520</v>
      </c>
      <c r="G414" s="2188">
        <v>5270179.2</v>
      </c>
      <c r="H414" s="2175">
        <v>43693</v>
      </c>
      <c r="I414" s="2175">
        <v>45153</v>
      </c>
      <c r="J414" s="2244"/>
    </row>
    <row r="415" spans="1:10">
      <c r="A415" s="2204" t="s">
        <v>6798</v>
      </c>
      <c r="B415" s="2174" t="s">
        <v>6797</v>
      </c>
      <c r="C415" s="2192">
        <v>3</v>
      </c>
      <c r="D415" s="2176" t="s">
        <v>6794</v>
      </c>
      <c r="E415" s="2176" t="s">
        <v>1319</v>
      </c>
      <c r="F415" s="2188">
        <v>3276624</v>
      </c>
      <c r="G415" s="2188">
        <v>3604286.4</v>
      </c>
      <c r="H415" s="2175">
        <v>44060</v>
      </c>
      <c r="I415" s="2175">
        <v>45154</v>
      </c>
      <c r="J415" s="2244"/>
    </row>
    <row r="416" spans="1:10">
      <c r="A416" s="2204" t="s">
        <v>6798</v>
      </c>
      <c r="B416" s="2174" t="s">
        <v>6797</v>
      </c>
      <c r="C416" s="2192">
        <v>1</v>
      </c>
      <c r="D416" s="2176" t="s">
        <v>6792</v>
      </c>
      <c r="E416" s="2176" t="s">
        <v>7130</v>
      </c>
      <c r="F416" s="2188">
        <v>2123053.5</v>
      </c>
      <c r="G416" s="2188">
        <v>2335358.85</v>
      </c>
      <c r="H416" s="2175">
        <v>44070</v>
      </c>
      <c r="I416" s="2175">
        <v>45164</v>
      </c>
      <c r="J416" s="2244"/>
    </row>
    <row r="417" spans="1:10">
      <c r="A417" s="2204" t="s">
        <v>6648</v>
      </c>
      <c r="B417" s="2174" t="s">
        <v>6647</v>
      </c>
      <c r="C417" s="2192">
        <v>1</v>
      </c>
      <c r="D417" s="2176" t="s">
        <v>6665</v>
      </c>
      <c r="E417" s="2176" t="s">
        <v>2548</v>
      </c>
      <c r="F417" s="2188">
        <v>25575264</v>
      </c>
      <c r="G417" s="2188">
        <v>28132790.399999999</v>
      </c>
      <c r="H417" s="2175">
        <v>44085</v>
      </c>
      <c r="I417" s="2175">
        <v>45179</v>
      </c>
      <c r="J417" s="2244"/>
    </row>
    <row r="418" spans="1:10">
      <c r="A418" s="2204" t="s">
        <v>6648</v>
      </c>
      <c r="B418" s="2174" t="s">
        <v>6647</v>
      </c>
      <c r="C418" s="2192">
        <v>2</v>
      </c>
      <c r="D418" s="2176" t="s">
        <v>6666</v>
      </c>
      <c r="E418" s="2176" t="s">
        <v>576</v>
      </c>
      <c r="F418" s="2188">
        <v>7847409.7800000003</v>
      </c>
      <c r="G418" s="2188">
        <v>8632150.7599999998</v>
      </c>
      <c r="H418" s="2175">
        <v>44085</v>
      </c>
      <c r="I418" s="2175">
        <v>45179</v>
      </c>
      <c r="J418" s="2244"/>
    </row>
    <row r="419" spans="1:10">
      <c r="A419" s="2204" t="s">
        <v>6648</v>
      </c>
      <c r="B419" s="2174" t="s">
        <v>6647</v>
      </c>
      <c r="C419" s="2192">
        <v>3</v>
      </c>
      <c r="D419" s="2176" t="s">
        <v>6667</v>
      </c>
      <c r="E419" s="2176" t="s">
        <v>2405</v>
      </c>
      <c r="F419" s="2188">
        <v>12200995.439999999</v>
      </c>
      <c r="G419" s="2188">
        <v>13421094.98</v>
      </c>
      <c r="H419" s="2175">
        <v>44085</v>
      </c>
      <c r="I419" s="2175">
        <v>45179</v>
      </c>
      <c r="J419" s="2244"/>
    </row>
    <row r="420" spans="1:10" ht="30">
      <c r="A420" s="2204" t="s">
        <v>6823</v>
      </c>
      <c r="B420" s="2174" t="s">
        <v>6824</v>
      </c>
      <c r="C420" s="2192"/>
      <c r="D420" s="2176"/>
      <c r="E420" s="2176" t="s">
        <v>578</v>
      </c>
      <c r="F420" s="2188">
        <v>87098146.290000007</v>
      </c>
      <c r="G420" s="2188">
        <v>95807960.920000002</v>
      </c>
      <c r="H420" s="2175">
        <v>44085</v>
      </c>
      <c r="I420" s="2175">
        <v>45179</v>
      </c>
      <c r="J420" s="2244"/>
    </row>
    <row r="421" spans="1:10" ht="60">
      <c r="A421" s="2204" t="s">
        <v>6904</v>
      </c>
      <c r="B421" s="2174" t="s">
        <v>6905</v>
      </c>
      <c r="C421" s="2192">
        <v>2</v>
      </c>
      <c r="D421" s="2176" t="s">
        <v>6907</v>
      </c>
      <c r="E421" s="2176" t="s">
        <v>5774</v>
      </c>
      <c r="F421" s="2188">
        <v>29887120</v>
      </c>
      <c r="G421" s="2188">
        <v>32864832</v>
      </c>
      <c r="H421" s="2175">
        <v>44085</v>
      </c>
      <c r="I421" s="2175">
        <v>45179</v>
      </c>
      <c r="J421" s="2244"/>
    </row>
    <row r="422" spans="1:10" ht="60">
      <c r="A422" s="2204" t="s">
        <v>6904</v>
      </c>
      <c r="B422" s="2174" t="s">
        <v>6905</v>
      </c>
      <c r="C422" s="2192">
        <v>3</v>
      </c>
      <c r="D422" s="2176" t="s">
        <v>6908</v>
      </c>
      <c r="E422" s="2176" t="s">
        <v>5774</v>
      </c>
      <c r="F422" s="2188">
        <v>4979520</v>
      </c>
      <c r="G422" s="2188">
        <v>5477472</v>
      </c>
      <c r="H422" s="2175">
        <v>44085</v>
      </c>
      <c r="I422" s="2175">
        <v>45179</v>
      </c>
      <c r="J422" s="2244"/>
    </row>
    <row r="423" spans="1:10" ht="30">
      <c r="A423" s="2204" t="s">
        <v>6909</v>
      </c>
      <c r="B423" s="2174" t="s">
        <v>6910</v>
      </c>
      <c r="C423" s="2192">
        <v>2</v>
      </c>
      <c r="D423" s="2176" t="s">
        <v>6912</v>
      </c>
      <c r="E423" s="2176" t="s">
        <v>7327</v>
      </c>
      <c r="F423" s="2188">
        <v>12057256.5</v>
      </c>
      <c r="G423" s="2188">
        <v>13262982.15</v>
      </c>
      <c r="H423" s="2175">
        <v>44085</v>
      </c>
      <c r="I423" s="2175">
        <v>45179</v>
      </c>
      <c r="J423" s="2244"/>
    </row>
    <row r="424" spans="1:10">
      <c r="A424" s="2204" t="s">
        <v>6909</v>
      </c>
      <c r="B424" s="2174" t="s">
        <v>6910</v>
      </c>
      <c r="C424" s="2192">
        <v>4</v>
      </c>
      <c r="D424" s="2176" t="s">
        <v>6914</v>
      </c>
      <c r="E424" s="2176" t="s">
        <v>5774</v>
      </c>
      <c r="F424" s="2188">
        <v>1444950</v>
      </c>
      <c r="G424" s="2188">
        <v>1589445</v>
      </c>
      <c r="H424" s="2175">
        <v>44085</v>
      </c>
      <c r="I424" s="2175">
        <v>45179</v>
      </c>
      <c r="J424" s="2244"/>
    </row>
    <row r="425" spans="1:10">
      <c r="A425" s="2204" t="s">
        <v>6909</v>
      </c>
      <c r="B425" s="2174" t="s">
        <v>6910</v>
      </c>
      <c r="C425" s="2192">
        <v>5</v>
      </c>
      <c r="D425" s="2176" t="s">
        <v>6915</v>
      </c>
      <c r="E425" s="2176" t="s">
        <v>576</v>
      </c>
      <c r="F425" s="2188">
        <v>6326726.9400000004</v>
      </c>
      <c r="G425" s="2188">
        <v>6959399.6299999999</v>
      </c>
      <c r="H425" s="2175">
        <v>44085</v>
      </c>
      <c r="I425" s="2175">
        <v>45179</v>
      </c>
      <c r="J425" s="2244"/>
    </row>
    <row r="426" spans="1:10" ht="30">
      <c r="A426" s="2204" t="s">
        <v>6909</v>
      </c>
      <c r="B426" s="2174" t="s">
        <v>6910</v>
      </c>
      <c r="C426" s="2192">
        <v>6</v>
      </c>
      <c r="D426" s="2176" t="s">
        <v>6916</v>
      </c>
      <c r="E426" s="2176" t="s">
        <v>7327</v>
      </c>
      <c r="F426" s="2188">
        <v>3093236.88</v>
      </c>
      <c r="G426" s="2188">
        <v>3402560.57</v>
      </c>
      <c r="H426" s="2175">
        <v>44085</v>
      </c>
      <c r="I426" s="2175">
        <v>45179</v>
      </c>
      <c r="J426" s="2244"/>
    </row>
    <row r="427" spans="1:10">
      <c r="A427" s="2204" t="s">
        <v>6998</v>
      </c>
      <c r="B427" s="2174" t="s">
        <v>6999</v>
      </c>
      <c r="C427" s="2192"/>
      <c r="D427" s="2176"/>
      <c r="E427" s="2176" t="s">
        <v>585</v>
      </c>
      <c r="F427" s="2188">
        <v>1496880</v>
      </c>
      <c r="G427" s="2188">
        <v>1721412</v>
      </c>
      <c r="H427" s="2175">
        <v>44085</v>
      </c>
      <c r="I427" s="2175">
        <v>45179</v>
      </c>
      <c r="J427" s="2244"/>
    </row>
    <row r="428" spans="1:10">
      <c r="A428" s="2204" t="s">
        <v>7006</v>
      </c>
      <c r="B428" s="2174" t="s">
        <v>7007</v>
      </c>
      <c r="C428" s="2192">
        <v>1</v>
      </c>
      <c r="D428" s="2176" t="s">
        <v>7008</v>
      </c>
      <c r="E428" s="2176" t="s">
        <v>576</v>
      </c>
      <c r="F428" s="2188">
        <v>1173750</v>
      </c>
      <c r="G428" s="2188">
        <v>1291125</v>
      </c>
      <c r="H428" s="2175">
        <v>44085</v>
      </c>
      <c r="I428" s="2175">
        <v>45179</v>
      </c>
      <c r="J428" s="2244"/>
    </row>
    <row r="429" spans="1:10">
      <c r="A429" s="2204" t="s">
        <v>7006</v>
      </c>
      <c r="B429" s="2174" t="s">
        <v>7007</v>
      </c>
      <c r="C429" s="2192">
        <v>2</v>
      </c>
      <c r="D429" s="2176" t="s">
        <v>7009</v>
      </c>
      <c r="E429" s="2176" t="s">
        <v>576</v>
      </c>
      <c r="F429" s="2188">
        <v>11337300</v>
      </c>
      <c r="G429" s="2188">
        <v>12471030</v>
      </c>
      <c r="H429" s="2175">
        <v>44085</v>
      </c>
      <c r="I429" s="2175">
        <v>45179</v>
      </c>
      <c r="J429" s="2244"/>
    </row>
    <row r="430" spans="1:10">
      <c r="A430" s="2204" t="s">
        <v>7006</v>
      </c>
      <c r="B430" s="2174" t="s">
        <v>7007</v>
      </c>
      <c r="C430" s="2192">
        <v>3</v>
      </c>
      <c r="D430" s="2176" t="s">
        <v>7010</v>
      </c>
      <c r="E430" s="2176" t="s">
        <v>5774</v>
      </c>
      <c r="F430" s="2188">
        <v>11158418.1</v>
      </c>
      <c r="G430" s="2188">
        <v>12274259.91</v>
      </c>
      <c r="H430" s="2175">
        <v>44085</v>
      </c>
      <c r="I430" s="2175">
        <v>45179</v>
      </c>
      <c r="J430" s="2244"/>
    </row>
    <row r="431" spans="1:10">
      <c r="A431" s="2204" t="s">
        <v>7000</v>
      </c>
      <c r="B431" s="2174" t="s">
        <v>7011</v>
      </c>
      <c r="C431" s="2192">
        <v>2</v>
      </c>
      <c r="D431" s="2176" t="s">
        <v>7013</v>
      </c>
      <c r="E431" s="2176" t="s">
        <v>7316</v>
      </c>
      <c r="F431" s="2188">
        <v>6532122.1500000004</v>
      </c>
      <c r="G431" s="2188">
        <v>7185334.3700000001</v>
      </c>
      <c r="H431" s="2175">
        <v>44085</v>
      </c>
      <c r="I431" s="2175">
        <v>45179</v>
      </c>
      <c r="J431" s="2244"/>
    </row>
    <row r="432" spans="1:10">
      <c r="A432" s="2204" t="s">
        <v>7000</v>
      </c>
      <c r="B432" s="2174" t="s">
        <v>7011</v>
      </c>
      <c r="C432" s="2192">
        <v>3</v>
      </c>
      <c r="D432" s="2176" t="s">
        <v>7014</v>
      </c>
      <c r="E432" s="2176" t="s">
        <v>576</v>
      </c>
      <c r="F432" s="2188">
        <v>936032.7</v>
      </c>
      <c r="G432" s="2188">
        <v>1029635.97</v>
      </c>
      <c r="H432" s="2175">
        <v>44085</v>
      </c>
      <c r="I432" s="2175">
        <v>45179</v>
      </c>
      <c r="J432" s="2244"/>
    </row>
    <row r="433" spans="1:10">
      <c r="A433" s="2204" t="s">
        <v>7000</v>
      </c>
      <c r="B433" s="2174" t="s">
        <v>7011</v>
      </c>
      <c r="C433" s="2192">
        <v>4</v>
      </c>
      <c r="D433" s="2176" t="s">
        <v>7015</v>
      </c>
      <c r="E433" s="2176" t="s">
        <v>576</v>
      </c>
      <c r="F433" s="2188">
        <v>1742463.48</v>
      </c>
      <c r="G433" s="2188">
        <v>1916709.83</v>
      </c>
      <c r="H433" s="2175">
        <v>44085</v>
      </c>
      <c r="I433" s="2175">
        <v>45179</v>
      </c>
      <c r="J433" s="2244"/>
    </row>
    <row r="434" spans="1:10">
      <c r="A434" s="2204" t="s">
        <v>6613</v>
      </c>
      <c r="B434" s="2174" t="s">
        <v>6614</v>
      </c>
      <c r="C434" s="2192">
        <v>3</v>
      </c>
      <c r="D434" s="2176" t="s">
        <v>6637</v>
      </c>
      <c r="E434" s="2176" t="s">
        <v>2548</v>
      </c>
      <c r="F434" s="2188">
        <v>1278425.7</v>
      </c>
      <c r="G434" s="2188">
        <v>1406268.27</v>
      </c>
      <c r="H434" s="2175">
        <v>44096</v>
      </c>
      <c r="I434" s="2175">
        <v>45190</v>
      </c>
      <c r="J434" s="2244"/>
    </row>
    <row r="435" spans="1:10">
      <c r="A435" s="2204" t="s">
        <v>6900</v>
      </c>
      <c r="B435" s="2174" t="s">
        <v>6901</v>
      </c>
      <c r="C435" s="2192">
        <v>2</v>
      </c>
      <c r="D435" s="2176" t="s">
        <v>6903</v>
      </c>
      <c r="E435" s="2176" t="s">
        <v>6805</v>
      </c>
      <c r="F435" s="2188">
        <v>4395618</v>
      </c>
      <c r="G435" s="2188">
        <v>4835179.8</v>
      </c>
      <c r="H435" s="2175">
        <v>44096</v>
      </c>
      <c r="I435" s="2175">
        <v>45190</v>
      </c>
      <c r="J435" s="2244"/>
    </row>
    <row r="436" spans="1:10" ht="90">
      <c r="A436" s="2204" t="s">
        <v>6904</v>
      </c>
      <c r="B436" s="2174" t="s">
        <v>6905</v>
      </c>
      <c r="C436" s="2192">
        <v>1</v>
      </c>
      <c r="D436" s="2176" t="s">
        <v>6906</v>
      </c>
      <c r="E436" s="2176" t="s">
        <v>2548</v>
      </c>
      <c r="F436" s="2188">
        <v>16646602.5</v>
      </c>
      <c r="G436" s="2188">
        <v>18311262.75</v>
      </c>
      <c r="H436" s="2175">
        <v>44096</v>
      </c>
      <c r="I436" s="2175">
        <v>45190</v>
      </c>
      <c r="J436" s="2244"/>
    </row>
    <row r="437" spans="1:10">
      <c r="A437" s="2204" t="s">
        <v>6909</v>
      </c>
      <c r="B437" s="2174" t="s">
        <v>6910</v>
      </c>
      <c r="C437" s="2192">
        <v>1</v>
      </c>
      <c r="D437" s="2176" t="s">
        <v>6911</v>
      </c>
      <c r="E437" s="2176" t="s">
        <v>2548</v>
      </c>
      <c r="F437" s="2188">
        <v>2811375</v>
      </c>
      <c r="G437" s="2188">
        <v>3092512.5</v>
      </c>
      <c r="H437" s="2175">
        <v>44096</v>
      </c>
      <c r="I437" s="2175">
        <v>45190</v>
      </c>
      <c r="J437" s="2244"/>
    </row>
    <row r="438" spans="1:10">
      <c r="A438" s="2204" t="s">
        <v>6909</v>
      </c>
      <c r="B438" s="2174" t="s">
        <v>6910</v>
      </c>
      <c r="C438" s="2192">
        <v>3</v>
      </c>
      <c r="D438" s="2176" t="s">
        <v>6913</v>
      </c>
      <c r="E438" s="2176" t="s">
        <v>2548</v>
      </c>
      <c r="F438" s="2188">
        <v>338916</v>
      </c>
      <c r="G438" s="2188">
        <v>372807.6</v>
      </c>
      <c r="H438" s="2175">
        <v>44096</v>
      </c>
      <c r="I438" s="2175">
        <v>45190</v>
      </c>
      <c r="J438" s="2244"/>
    </row>
    <row r="439" spans="1:10">
      <c r="A439" s="2204" t="s">
        <v>7000</v>
      </c>
      <c r="B439" s="2174" t="s">
        <v>7011</v>
      </c>
      <c r="C439" s="2192">
        <v>1</v>
      </c>
      <c r="D439" s="2176" t="s">
        <v>7012</v>
      </c>
      <c r="E439" s="2176" t="s">
        <v>2548</v>
      </c>
      <c r="F439" s="2188">
        <v>482160</v>
      </c>
      <c r="G439" s="2188">
        <v>530376</v>
      </c>
      <c r="H439" s="2175">
        <v>44096</v>
      </c>
      <c r="I439" s="2175">
        <v>45190</v>
      </c>
      <c r="J439" s="2244"/>
    </row>
    <row r="440" spans="1:10">
      <c r="A440" s="2205" t="s">
        <v>7000</v>
      </c>
      <c r="B440" s="2193" t="s">
        <v>8715</v>
      </c>
      <c r="C440" s="2198">
        <v>1</v>
      </c>
      <c r="D440" s="2193" t="s">
        <v>8716</v>
      </c>
      <c r="E440" s="2193" t="s">
        <v>8655</v>
      </c>
      <c r="F440" s="2190">
        <v>482160</v>
      </c>
      <c r="G440" s="2190">
        <v>530376</v>
      </c>
      <c r="H440" s="2191">
        <v>44096</v>
      </c>
      <c r="I440" s="2191">
        <v>45190</v>
      </c>
      <c r="J440" s="2244" t="s">
        <v>7347</v>
      </c>
    </row>
    <row r="441" spans="1:10">
      <c r="A441" s="2204" t="s">
        <v>6900</v>
      </c>
      <c r="B441" s="2174" t="s">
        <v>6901</v>
      </c>
      <c r="C441" s="2192">
        <v>1</v>
      </c>
      <c r="D441" s="2176" t="s">
        <v>6902</v>
      </c>
      <c r="E441" s="2176" t="s">
        <v>2548</v>
      </c>
      <c r="F441" s="2188">
        <v>2725192.8</v>
      </c>
      <c r="G441" s="2188">
        <v>2997712.08</v>
      </c>
      <c r="H441" s="2175">
        <v>44097</v>
      </c>
      <c r="I441" s="2175">
        <v>45191</v>
      </c>
      <c r="J441" s="2244"/>
    </row>
    <row r="442" spans="1:10">
      <c r="A442" s="2204" t="s">
        <v>6613</v>
      </c>
      <c r="B442" s="2174" t="s">
        <v>6614</v>
      </c>
      <c r="C442" s="2192">
        <v>1</v>
      </c>
      <c r="D442" s="2176" t="s">
        <v>6635</v>
      </c>
      <c r="E442" s="2176" t="s">
        <v>6924</v>
      </c>
      <c r="F442" s="2188">
        <v>334411.2</v>
      </c>
      <c r="G442" s="2188">
        <v>367852.32</v>
      </c>
      <c r="H442" s="2175">
        <v>44103</v>
      </c>
      <c r="I442" s="2175">
        <v>45197</v>
      </c>
      <c r="J442" s="2244"/>
    </row>
    <row r="443" spans="1:10">
      <c r="A443" s="2204" t="s">
        <v>6613</v>
      </c>
      <c r="B443" s="2174" t="s">
        <v>6614</v>
      </c>
      <c r="C443" s="2192">
        <v>2</v>
      </c>
      <c r="D443" s="2176" t="s">
        <v>6636</v>
      </c>
      <c r="E443" s="2176" t="s">
        <v>6924</v>
      </c>
      <c r="F443" s="2188">
        <v>2257168.2000000002</v>
      </c>
      <c r="G443" s="2188">
        <v>2482885.02</v>
      </c>
      <c r="H443" s="2175">
        <v>44103</v>
      </c>
      <c r="I443" s="2175">
        <v>45197</v>
      </c>
      <c r="J443" s="2244"/>
    </row>
    <row r="444" spans="1:10">
      <c r="A444" s="2204" t="s">
        <v>6613</v>
      </c>
      <c r="B444" s="2174" t="s">
        <v>6614</v>
      </c>
      <c r="C444" s="2192">
        <v>4</v>
      </c>
      <c r="D444" s="2176" t="s">
        <v>6638</v>
      </c>
      <c r="E444" s="2176" t="s">
        <v>6924</v>
      </c>
      <c r="F444" s="2188">
        <v>275370</v>
      </c>
      <c r="G444" s="2188">
        <v>302907</v>
      </c>
      <c r="H444" s="2175">
        <v>44103</v>
      </c>
      <c r="I444" s="2175">
        <v>45197</v>
      </c>
      <c r="J444" s="2244"/>
    </row>
    <row r="445" spans="1:10">
      <c r="A445" s="2205" t="s">
        <v>8717</v>
      </c>
      <c r="B445" s="2193" t="s">
        <v>8718</v>
      </c>
      <c r="C445" s="2198">
        <v>1</v>
      </c>
      <c r="D445" s="2193" t="s">
        <v>8719</v>
      </c>
      <c r="E445" s="2193" t="s">
        <v>8669</v>
      </c>
      <c r="F445" s="2190">
        <v>113465</v>
      </c>
      <c r="G445" s="2190">
        <v>124811.50000000001</v>
      </c>
      <c r="H445" s="2191">
        <v>44109</v>
      </c>
      <c r="I445" s="2191">
        <v>45203</v>
      </c>
      <c r="J445" s="2244" t="s">
        <v>8631</v>
      </c>
    </row>
    <row r="446" spans="1:10">
      <c r="A446" s="2205" t="s">
        <v>8720</v>
      </c>
      <c r="B446" s="2193" t="s">
        <v>8721</v>
      </c>
      <c r="C446" s="2198">
        <v>1</v>
      </c>
      <c r="D446" s="2193" t="s">
        <v>8722</v>
      </c>
      <c r="E446" s="2193" t="s">
        <v>8669</v>
      </c>
      <c r="F446" s="2190">
        <v>143317.98000000001</v>
      </c>
      <c r="G446" s="2190">
        <v>157649.77800000002</v>
      </c>
      <c r="H446" s="2191">
        <v>44109</v>
      </c>
      <c r="I446" s="2191">
        <v>45203</v>
      </c>
      <c r="J446" s="2244" t="s">
        <v>8632</v>
      </c>
    </row>
    <row r="447" spans="1:10" ht="30">
      <c r="A447" s="2204" t="s">
        <v>7032</v>
      </c>
      <c r="B447" s="2174" t="s">
        <v>7033</v>
      </c>
      <c r="C447" s="2192">
        <v>1</v>
      </c>
      <c r="D447" s="2176" t="s">
        <v>7034</v>
      </c>
      <c r="E447" s="2176" t="s">
        <v>7327</v>
      </c>
      <c r="F447" s="2188">
        <v>2110980</v>
      </c>
      <c r="G447" s="2188">
        <v>2322078</v>
      </c>
      <c r="H447" s="2175">
        <v>44112</v>
      </c>
      <c r="I447" s="2175">
        <v>45206</v>
      </c>
      <c r="J447" s="2244"/>
    </row>
    <row r="448" spans="1:10">
      <c r="A448" s="2204" t="s">
        <v>7032</v>
      </c>
      <c r="B448" s="2174" t="s">
        <v>7033</v>
      </c>
      <c r="C448" s="2192">
        <v>3</v>
      </c>
      <c r="D448" s="2176" t="s">
        <v>7036</v>
      </c>
      <c r="E448" s="2176" t="s">
        <v>7130</v>
      </c>
      <c r="F448" s="2188">
        <v>7763381.4900000002</v>
      </c>
      <c r="G448" s="2188">
        <v>8539719.6400000006</v>
      </c>
      <c r="H448" s="2175">
        <v>44112</v>
      </c>
      <c r="I448" s="2175">
        <v>45206</v>
      </c>
      <c r="J448" s="2244"/>
    </row>
    <row r="449" spans="1:10" ht="30">
      <c r="A449" s="2204" t="s">
        <v>7032</v>
      </c>
      <c r="B449" s="2174" t="s">
        <v>7033</v>
      </c>
      <c r="C449" s="2192">
        <v>4</v>
      </c>
      <c r="D449" s="2176" t="s">
        <v>7037</v>
      </c>
      <c r="E449" s="2176" t="s">
        <v>7327</v>
      </c>
      <c r="F449" s="2188">
        <v>11793000</v>
      </c>
      <c r="G449" s="2188">
        <v>12972300</v>
      </c>
      <c r="H449" s="2175">
        <v>44112</v>
      </c>
      <c r="I449" s="2175">
        <v>45206</v>
      </c>
      <c r="J449" s="2244"/>
    </row>
    <row r="450" spans="1:10">
      <c r="A450" s="2205" t="s">
        <v>8738</v>
      </c>
      <c r="B450" s="2193" t="s">
        <v>8739</v>
      </c>
      <c r="C450" s="2198">
        <v>1</v>
      </c>
      <c r="D450" s="2193" t="s">
        <v>8739</v>
      </c>
      <c r="E450" s="2193" t="s">
        <v>8740</v>
      </c>
      <c r="F450" s="2190">
        <v>94538</v>
      </c>
      <c r="G450" s="2190">
        <v>103991.8</v>
      </c>
      <c r="H450" s="2191">
        <v>44120</v>
      </c>
      <c r="I450" s="2191">
        <v>45214</v>
      </c>
      <c r="J450" s="2244" t="s">
        <v>8639</v>
      </c>
    </row>
    <row r="451" spans="1:10">
      <c r="A451" s="2204" t="s">
        <v>7274</v>
      </c>
      <c r="B451" s="2174" t="s">
        <v>7275</v>
      </c>
      <c r="C451" s="2192">
        <v>3</v>
      </c>
      <c r="D451" s="2176" t="s">
        <v>7005</v>
      </c>
      <c r="E451" s="2176" t="s">
        <v>2548</v>
      </c>
      <c r="F451" s="2188">
        <v>9225000</v>
      </c>
      <c r="G451" s="2188">
        <v>10147500</v>
      </c>
      <c r="H451" s="2175">
        <v>44124</v>
      </c>
      <c r="I451" s="2175">
        <v>45218</v>
      </c>
      <c r="J451" s="2244"/>
    </row>
    <row r="452" spans="1:10">
      <c r="A452" s="2205" t="s">
        <v>8738</v>
      </c>
      <c r="B452" s="2193" t="s">
        <v>8739</v>
      </c>
      <c r="C452" s="2198">
        <v>2</v>
      </c>
      <c r="D452" s="2193" t="s">
        <v>8739</v>
      </c>
      <c r="E452" s="2193" t="s">
        <v>8741</v>
      </c>
      <c r="F452" s="2190">
        <v>210581</v>
      </c>
      <c r="G452" s="2190">
        <v>231639.1</v>
      </c>
      <c r="H452" s="2191">
        <v>44124</v>
      </c>
      <c r="I452" s="2191">
        <v>45218</v>
      </c>
      <c r="J452" s="2244" t="s">
        <v>8640</v>
      </c>
    </row>
    <row r="453" spans="1:10">
      <c r="A453" s="2204" t="s">
        <v>7304</v>
      </c>
      <c r="B453" s="2174" t="s">
        <v>7305</v>
      </c>
      <c r="C453" s="2192">
        <v>2</v>
      </c>
      <c r="D453" s="2176" t="s">
        <v>7307</v>
      </c>
      <c r="E453" s="2176" t="s">
        <v>2548</v>
      </c>
      <c r="F453" s="2188">
        <v>2296032.81</v>
      </c>
      <c r="G453" s="2188">
        <v>2525636.09</v>
      </c>
      <c r="H453" s="2175">
        <v>44137</v>
      </c>
      <c r="I453" s="2175">
        <v>45231</v>
      </c>
      <c r="J453" s="2244"/>
    </row>
    <row r="454" spans="1:10">
      <c r="A454" s="2204" t="s">
        <v>6788</v>
      </c>
      <c r="B454" s="2174" t="s">
        <v>6809</v>
      </c>
      <c r="C454" s="2192">
        <v>2</v>
      </c>
      <c r="D454" s="2176" t="s">
        <v>6789</v>
      </c>
      <c r="E454" s="2176" t="s">
        <v>2548</v>
      </c>
      <c r="F454" s="2188">
        <v>11805472.5</v>
      </c>
      <c r="G454" s="2188">
        <v>12986019.75</v>
      </c>
      <c r="H454" s="2175">
        <v>44139</v>
      </c>
      <c r="I454" s="2175">
        <v>45233</v>
      </c>
      <c r="J454" s="2244"/>
    </row>
    <row r="455" spans="1:10">
      <c r="A455" s="2204" t="s">
        <v>6788</v>
      </c>
      <c r="B455" s="2174" t="s">
        <v>6809</v>
      </c>
      <c r="C455" s="2192">
        <v>5</v>
      </c>
      <c r="D455" s="2176" t="s">
        <v>6105</v>
      </c>
      <c r="E455" s="2176" t="s">
        <v>576</v>
      </c>
      <c r="F455" s="2188">
        <v>1582576.2</v>
      </c>
      <c r="G455" s="2188">
        <v>1740833.82</v>
      </c>
      <c r="H455" s="2175">
        <v>44139</v>
      </c>
      <c r="I455" s="2175">
        <v>45233</v>
      </c>
      <c r="J455" s="2244"/>
    </row>
    <row r="456" spans="1:10">
      <c r="A456" s="2204" t="s">
        <v>7274</v>
      </c>
      <c r="B456" s="2174" t="s">
        <v>7275</v>
      </c>
      <c r="C456" s="2192">
        <v>1</v>
      </c>
      <c r="D456" s="2176" t="s">
        <v>7003</v>
      </c>
      <c r="E456" s="2176" t="s">
        <v>576</v>
      </c>
      <c r="F456" s="2188">
        <v>6835224.5</v>
      </c>
      <c r="G456" s="2188">
        <v>7518746.9500000002</v>
      </c>
      <c r="H456" s="2175">
        <v>44139</v>
      </c>
      <c r="I456" s="2175">
        <v>45233</v>
      </c>
      <c r="J456" s="2244"/>
    </row>
    <row r="457" spans="1:10">
      <c r="A457" s="2204" t="s">
        <v>7093</v>
      </c>
      <c r="B457" s="2174" t="s">
        <v>7094</v>
      </c>
      <c r="C457" s="2192">
        <v>2</v>
      </c>
      <c r="D457" s="2176" t="s">
        <v>7099</v>
      </c>
      <c r="E457" s="2176" t="s">
        <v>576</v>
      </c>
      <c r="F457" s="2188">
        <v>705431.77</v>
      </c>
      <c r="G457" s="2188">
        <v>811246.54</v>
      </c>
      <c r="H457" s="2175">
        <v>44146</v>
      </c>
      <c r="I457" s="2175">
        <v>45240</v>
      </c>
      <c r="J457" s="2244"/>
    </row>
    <row r="458" spans="1:10">
      <c r="A458" s="2204" t="s">
        <v>6788</v>
      </c>
      <c r="B458" s="2174" t="s">
        <v>6809</v>
      </c>
      <c r="C458" s="2192">
        <v>4</v>
      </c>
      <c r="D458" s="2176" t="s">
        <v>6791</v>
      </c>
      <c r="E458" s="2176" t="s">
        <v>6605</v>
      </c>
      <c r="F458" s="2188">
        <v>6916305.7800000003</v>
      </c>
      <c r="G458" s="2188">
        <v>7607936.3600000003</v>
      </c>
      <c r="H458" s="2175">
        <v>44148</v>
      </c>
      <c r="I458" s="2175">
        <v>45242</v>
      </c>
      <c r="J458" s="2244"/>
    </row>
    <row r="459" spans="1:10">
      <c r="A459" s="2204" t="s">
        <v>7386</v>
      </c>
      <c r="B459" s="2174" t="s">
        <v>7421</v>
      </c>
      <c r="C459" s="2192">
        <v>2</v>
      </c>
      <c r="D459" s="2176" t="s">
        <v>7388</v>
      </c>
      <c r="E459" s="2176" t="s">
        <v>5566</v>
      </c>
      <c r="F459" s="2188">
        <v>10405040.1</v>
      </c>
      <c r="G459" s="2188">
        <v>11445544.109999999</v>
      </c>
      <c r="H459" s="2175">
        <v>44148</v>
      </c>
      <c r="I459" s="2175">
        <v>45242</v>
      </c>
      <c r="J459" s="2244"/>
    </row>
    <row r="460" spans="1:10">
      <c r="A460" s="2204" t="s">
        <v>7386</v>
      </c>
      <c r="B460" s="2174" t="s">
        <v>7421</v>
      </c>
      <c r="C460" s="2192">
        <v>1</v>
      </c>
      <c r="D460" s="2176" t="s">
        <v>7387</v>
      </c>
      <c r="E460" s="2176" t="s">
        <v>578</v>
      </c>
      <c r="F460" s="2188">
        <v>16043040</v>
      </c>
      <c r="G460" s="2188">
        <v>17647344</v>
      </c>
      <c r="H460" s="2175">
        <v>44151</v>
      </c>
      <c r="I460" s="2175">
        <v>45245</v>
      </c>
      <c r="J460" s="2244"/>
    </row>
    <row r="461" spans="1:10" ht="45">
      <c r="A461" s="2204" t="s">
        <v>7381</v>
      </c>
      <c r="B461" s="2174" t="s">
        <v>7382</v>
      </c>
      <c r="C461" s="2192">
        <v>1</v>
      </c>
      <c r="D461" s="2176" t="s">
        <v>7383</v>
      </c>
      <c r="E461" s="2176" t="s">
        <v>7316</v>
      </c>
      <c r="F461" s="2188">
        <v>371280</v>
      </c>
      <c r="G461" s="2188">
        <v>408408</v>
      </c>
      <c r="H461" s="2175">
        <v>44155</v>
      </c>
      <c r="I461" s="2175">
        <v>45249</v>
      </c>
      <c r="J461" s="2244"/>
    </row>
    <row r="462" spans="1:10" ht="45">
      <c r="A462" s="2204" t="s">
        <v>7381</v>
      </c>
      <c r="B462" s="2174" t="s">
        <v>7382</v>
      </c>
      <c r="C462" s="2192">
        <v>2</v>
      </c>
      <c r="D462" s="2176" t="s">
        <v>7384</v>
      </c>
      <c r="E462" s="2176" t="s">
        <v>1646</v>
      </c>
      <c r="F462" s="2188">
        <v>3115092.24</v>
      </c>
      <c r="G462" s="2188">
        <v>3426601.46</v>
      </c>
      <c r="H462" s="2175">
        <v>44155</v>
      </c>
      <c r="I462" s="2175">
        <v>45249</v>
      </c>
      <c r="J462" s="2244"/>
    </row>
    <row r="463" spans="1:10">
      <c r="A463" s="2204" t="s">
        <v>7381</v>
      </c>
      <c r="B463" s="2174" t="s">
        <v>7382</v>
      </c>
      <c r="C463" s="2192">
        <v>3</v>
      </c>
      <c r="D463" s="2176" t="s">
        <v>7385</v>
      </c>
      <c r="E463" s="2176" t="s">
        <v>7316</v>
      </c>
      <c r="F463" s="2188">
        <v>3224804.67</v>
      </c>
      <c r="G463" s="2188">
        <v>3547281.84</v>
      </c>
      <c r="H463" s="2175">
        <v>44155</v>
      </c>
      <c r="I463" s="2175">
        <v>45249</v>
      </c>
      <c r="J463" s="2244"/>
    </row>
    <row r="464" spans="1:10">
      <c r="A464" s="2204" t="s">
        <v>7344</v>
      </c>
      <c r="B464" s="2174" t="s">
        <v>7345</v>
      </c>
      <c r="C464" s="2192">
        <v>1</v>
      </c>
      <c r="D464" s="2176" t="s">
        <v>7160</v>
      </c>
      <c r="E464" s="2176" t="s">
        <v>576</v>
      </c>
      <c r="F464" s="2188">
        <v>822850.75</v>
      </c>
      <c r="G464" s="2188">
        <v>946278.36</v>
      </c>
      <c r="H464" s="2175">
        <v>44172</v>
      </c>
      <c r="I464" s="2175">
        <v>45266</v>
      </c>
      <c r="J464" s="2244"/>
    </row>
    <row r="465" spans="1:10">
      <c r="A465" s="2204" t="s">
        <v>7344</v>
      </c>
      <c r="B465" s="2174" t="s">
        <v>7345</v>
      </c>
      <c r="C465" s="2192">
        <v>2</v>
      </c>
      <c r="D465" s="2176" t="s">
        <v>7310</v>
      </c>
      <c r="E465" s="2176" t="s">
        <v>576</v>
      </c>
      <c r="F465" s="2188">
        <v>3532990.39</v>
      </c>
      <c r="G465" s="2188">
        <v>4062938.95</v>
      </c>
      <c r="H465" s="2175">
        <v>44172</v>
      </c>
      <c r="I465" s="2175">
        <v>45266</v>
      </c>
      <c r="J465" s="2244"/>
    </row>
    <row r="466" spans="1:10">
      <c r="A466" s="2204" t="s">
        <v>5184</v>
      </c>
      <c r="B466" s="2174" t="s">
        <v>5185</v>
      </c>
      <c r="C466" s="2192">
        <v>1</v>
      </c>
      <c r="D466" s="2176" t="s">
        <v>5186</v>
      </c>
      <c r="E466" s="2176" t="s">
        <v>578</v>
      </c>
      <c r="F466" s="2188">
        <v>31779972.199999999</v>
      </c>
      <c r="G466" s="2188">
        <v>34957969.420000002</v>
      </c>
      <c r="H466" s="2175">
        <v>43902</v>
      </c>
      <c r="I466" s="2175">
        <v>45362</v>
      </c>
      <c r="J466" s="2244"/>
    </row>
    <row r="467" spans="1:10" s="1943" customFormat="1" ht="30">
      <c r="A467" s="2204" t="s">
        <v>7949</v>
      </c>
      <c r="B467" s="2174" t="s">
        <v>7950</v>
      </c>
      <c r="C467" s="2192">
        <v>5</v>
      </c>
      <c r="D467" s="2176" t="s">
        <v>7955</v>
      </c>
      <c r="E467" s="2176" t="s">
        <v>5805</v>
      </c>
      <c r="F467" s="2188">
        <v>3505626.27</v>
      </c>
      <c r="G467" s="2188">
        <v>3856188.9</v>
      </c>
      <c r="H467" s="2175">
        <v>44314</v>
      </c>
      <c r="I467" s="2175">
        <v>45409</v>
      </c>
      <c r="J467" s="2244" t="s">
        <v>8378</v>
      </c>
    </row>
    <row r="468" spans="1:10" ht="30">
      <c r="A468" s="2204" t="s">
        <v>6650</v>
      </c>
      <c r="B468" s="2174" t="s">
        <v>6649</v>
      </c>
      <c r="C468" s="2192">
        <v>1</v>
      </c>
      <c r="D468" s="2176" t="s">
        <v>6673</v>
      </c>
      <c r="E468" s="2176" t="s">
        <v>6981</v>
      </c>
      <c r="F468" s="2188">
        <v>5831516.4800000004</v>
      </c>
      <c r="G468" s="2188">
        <v>6414668.1299999999</v>
      </c>
      <c r="H468" s="2175">
        <v>44057</v>
      </c>
      <c r="I468" s="2175">
        <v>45517</v>
      </c>
      <c r="J468" s="2244"/>
    </row>
    <row r="469" spans="1:10" ht="30">
      <c r="A469" s="2204" t="s">
        <v>6650</v>
      </c>
      <c r="B469" s="2174" t="s">
        <v>6649</v>
      </c>
      <c r="C469" s="2192">
        <v>3</v>
      </c>
      <c r="D469" s="2176" t="s">
        <v>6676</v>
      </c>
      <c r="E469" s="2176" t="s">
        <v>6981</v>
      </c>
      <c r="F469" s="2188">
        <v>64076999.840000004</v>
      </c>
      <c r="G469" s="2188">
        <v>70484699.819999993</v>
      </c>
      <c r="H469" s="2175">
        <v>44057</v>
      </c>
      <c r="I469" s="2175">
        <v>45517</v>
      </c>
      <c r="J469" s="2244"/>
    </row>
    <row r="470" spans="1:10" ht="30">
      <c r="A470" s="2204" t="s">
        <v>6821</v>
      </c>
      <c r="B470" s="2174" t="s">
        <v>6822</v>
      </c>
      <c r="C470" s="2192"/>
      <c r="D470" s="2176"/>
      <c r="E470" s="2176" t="s">
        <v>2534</v>
      </c>
      <c r="F470" s="2188">
        <v>66386350.719999999</v>
      </c>
      <c r="G470" s="2188">
        <v>73024985.790000007</v>
      </c>
      <c r="H470" s="2175">
        <v>44120</v>
      </c>
      <c r="I470" s="2175">
        <v>45580</v>
      </c>
      <c r="J470" s="2244"/>
    </row>
    <row r="471" spans="1:10" ht="30">
      <c r="A471" s="2204" t="s">
        <v>7272</v>
      </c>
      <c r="B471" s="2174" t="s">
        <v>7273</v>
      </c>
      <c r="C471" s="2192">
        <v>1</v>
      </c>
      <c r="D471" s="2176" t="s">
        <v>5294</v>
      </c>
      <c r="E471" s="2176" t="s">
        <v>6981</v>
      </c>
      <c r="F471" s="2188">
        <v>21558474</v>
      </c>
      <c r="G471" s="2188">
        <v>23714321.399999999</v>
      </c>
      <c r="H471" s="2175">
        <v>44134</v>
      </c>
      <c r="I471" s="2175">
        <v>45594</v>
      </c>
      <c r="J471" s="2244"/>
    </row>
    <row r="472" spans="1:10" ht="30">
      <c r="A472" s="2204" t="s">
        <v>7428</v>
      </c>
      <c r="B472" s="2174" t="s">
        <v>7429</v>
      </c>
      <c r="C472" s="2192"/>
      <c r="D472" s="2176"/>
      <c r="E472" s="2176" t="s">
        <v>7316</v>
      </c>
      <c r="F472" s="2188">
        <v>3444614.88</v>
      </c>
      <c r="G472" s="2188">
        <v>4167984</v>
      </c>
      <c r="H472" s="2175">
        <v>44180</v>
      </c>
      <c r="I472" s="2175">
        <v>45640</v>
      </c>
      <c r="J472" s="2244"/>
    </row>
    <row r="473" spans="1:10">
      <c r="A473" s="2204" t="s">
        <v>4444</v>
      </c>
      <c r="B473" s="2174" t="s">
        <v>4443</v>
      </c>
      <c r="C473" s="2192"/>
      <c r="D473" s="2176"/>
      <c r="E473" s="2176" t="s">
        <v>5804</v>
      </c>
      <c r="F473" s="2188">
        <v>4570200</v>
      </c>
      <c r="G473" s="2188">
        <v>5529942</v>
      </c>
      <c r="H473" s="2175">
        <v>43794</v>
      </c>
      <c r="I473" s="2175">
        <v>45985</v>
      </c>
      <c r="J473" s="2244"/>
    </row>
    <row r="474" spans="1:10" ht="30">
      <c r="A474" s="2204" t="s">
        <v>7530</v>
      </c>
      <c r="B474" s="2174" t="s">
        <v>7531</v>
      </c>
      <c r="C474" s="2192">
        <v>2</v>
      </c>
      <c r="D474" s="2176" t="s">
        <v>7533</v>
      </c>
      <c r="E474" s="2176" t="s">
        <v>2405</v>
      </c>
      <c r="F474" s="2188">
        <v>3165978</v>
      </c>
      <c r="G474" s="2188">
        <v>3482575.8</v>
      </c>
      <c r="H474" s="2175">
        <v>44183</v>
      </c>
      <c r="I474" s="2175">
        <v>46008</v>
      </c>
      <c r="J474" s="2244"/>
    </row>
    <row r="475" spans="1:10" ht="45">
      <c r="A475" s="2204" t="s">
        <v>7530</v>
      </c>
      <c r="B475" s="2174" t="s">
        <v>7531</v>
      </c>
      <c r="C475" s="2192">
        <v>3</v>
      </c>
      <c r="D475" s="2176" t="s">
        <v>7534</v>
      </c>
      <c r="E475" s="2176" t="s">
        <v>2097</v>
      </c>
      <c r="F475" s="2188">
        <v>19105550</v>
      </c>
      <c r="G475" s="2188">
        <v>21016105</v>
      </c>
      <c r="H475" s="2175">
        <v>44183</v>
      </c>
      <c r="I475" s="2175">
        <v>46008</v>
      </c>
      <c r="J475" s="2244"/>
    </row>
    <row r="476" spans="1:10" ht="45">
      <c r="A476" s="2204" t="s">
        <v>4992</v>
      </c>
      <c r="B476" s="2174" t="s">
        <v>4993</v>
      </c>
      <c r="C476" s="2192"/>
      <c r="D476" s="2176"/>
      <c r="E476" s="2176" t="s">
        <v>2066</v>
      </c>
      <c r="F476" s="2188">
        <v>17151844.68</v>
      </c>
      <c r="G476" s="2188">
        <v>19822392.530000001</v>
      </c>
      <c r="H476" s="2175">
        <v>43901</v>
      </c>
      <c r="I476" s="2175">
        <v>46091</v>
      </c>
      <c r="J476" s="2244"/>
    </row>
    <row r="477" spans="1:10">
      <c r="A477" s="2205" t="s">
        <v>8729</v>
      </c>
      <c r="B477" s="2193" t="s">
        <v>8730</v>
      </c>
      <c r="C477" s="2198">
        <v>1</v>
      </c>
      <c r="D477" s="2193" t="s">
        <v>8730</v>
      </c>
      <c r="E477" s="2193" t="s">
        <v>8731</v>
      </c>
      <c r="F477" s="2190">
        <v>5550</v>
      </c>
      <c r="G477" s="2190">
        <v>6105.0000000000009</v>
      </c>
      <c r="H477" s="2191">
        <v>44195</v>
      </c>
      <c r="I477" s="2191">
        <v>46093</v>
      </c>
      <c r="J477" s="2244" t="s">
        <v>8635</v>
      </c>
    </row>
    <row r="478" spans="1:10" ht="30">
      <c r="A478" s="2204" t="s">
        <v>5980</v>
      </c>
      <c r="B478" s="2174" t="s">
        <v>5981</v>
      </c>
      <c r="C478" s="2192"/>
      <c r="D478" s="2174" t="s">
        <v>5981</v>
      </c>
      <c r="E478" s="2176" t="s">
        <v>6242</v>
      </c>
      <c r="F478" s="2188">
        <v>5928756</v>
      </c>
      <c r="G478" s="2188">
        <v>7173795</v>
      </c>
      <c r="H478" s="2175">
        <v>43942</v>
      </c>
      <c r="I478" s="2175">
        <v>46132</v>
      </c>
      <c r="J478" s="2244"/>
    </row>
    <row r="479" spans="1:10" ht="30">
      <c r="A479" s="2204" t="s">
        <v>6302</v>
      </c>
      <c r="B479" s="2174" t="s">
        <v>5620</v>
      </c>
      <c r="C479" s="2192"/>
      <c r="D479" s="2176"/>
      <c r="E479" s="2176" t="s">
        <v>6242</v>
      </c>
      <c r="F479" s="2188">
        <v>1440000</v>
      </c>
      <c r="G479" s="2188">
        <v>1742400</v>
      </c>
      <c r="H479" s="2175">
        <v>43942</v>
      </c>
      <c r="I479" s="2175">
        <v>46132</v>
      </c>
      <c r="J479" s="2244"/>
    </row>
    <row r="480" spans="1:10" ht="45">
      <c r="A480" s="2204" t="s">
        <v>3536</v>
      </c>
      <c r="B480" s="2174" t="s">
        <v>3407</v>
      </c>
      <c r="C480" s="2192">
        <v>1</v>
      </c>
      <c r="D480" s="2176" t="s">
        <v>3407</v>
      </c>
      <c r="E480" s="2176" t="s">
        <v>1153</v>
      </c>
      <c r="F480" s="2188">
        <v>8388000</v>
      </c>
      <c r="G480" s="2188">
        <v>10149480</v>
      </c>
      <c r="H480" s="2175">
        <v>43570</v>
      </c>
      <c r="I480" s="2175">
        <v>46491</v>
      </c>
      <c r="J480" s="2244"/>
    </row>
    <row r="481" spans="1:10" ht="30">
      <c r="A481" s="2204" t="s">
        <v>2245</v>
      </c>
      <c r="B481" s="2174" t="s">
        <v>2246</v>
      </c>
      <c r="C481" s="2192"/>
      <c r="D481" s="2174"/>
      <c r="E481" s="2176" t="s">
        <v>2097</v>
      </c>
      <c r="F481" s="2188">
        <v>8612882</v>
      </c>
      <c r="G481" s="2188">
        <v>10421587.220000001</v>
      </c>
      <c r="H481" s="2175">
        <v>43130</v>
      </c>
      <c r="I481" s="2175" t="s">
        <v>4096</v>
      </c>
      <c r="J481" s="2244"/>
    </row>
  </sheetData>
  <autoFilter ref="A1:J1" xr:uid="{00000000-0009-0000-0000-000025000000}">
    <sortState ref="A2:J480">
      <sortCondition ref="I1"/>
    </sortState>
  </autoFilter>
  <pageMargins left="0.23622047244094491" right="0.23622047244094491" top="0.74803149606299213" bottom="0.74803149606299213" header="0.31496062992125984" footer="0.31496062992125984"/>
  <pageSetup paperSize="9" scale="40" fitToHeight="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2:F152"/>
  <sheetViews>
    <sheetView workbookViewId="0">
      <selection activeCell="A12" sqref="A12"/>
    </sheetView>
  </sheetViews>
  <sheetFormatPr defaultRowHeight="15"/>
  <cols>
    <col min="1" max="1" width="19" customWidth="1"/>
    <col min="2" max="2" width="16" customWidth="1"/>
    <col min="3" max="3" width="15.42578125" bestFit="1" customWidth="1"/>
    <col min="4" max="4" width="22.42578125" style="555" customWidth="1"/>
    <col min="5" max="5" width="20.28515625" style="556" customWidth="1"/>
  </cols>
  <sheetData>
    <row r="2" spans="1:6">
      <c r="A2" s="375" t="s">
        <v>10</v>
      </c>
      <c r="B2" s="1025" t="s">
        <v>745</v>
      </c>
    </row>
    <row r="3" spans="1:6">
      <c r="D3"/>
      <c r="E3"/>
    </row>
    <row r="4" spans="1:6" s="500" customFormat="1">
      <c r="A4"/>
      <c r="B4" s="375" t="s">
        <v>742</v>
      </c>
      <c r="C4"/>
      <c r="D4"/>
      <c r="E4"/>
    </row>
    <row r="5" spans="1:6" ht="60">
      <c r="A5" s="607" t="s">
        <v>739</v>
      </c>
      <c r="B5" s="481" t="s">
        <v>1191</v>
      </c>
      <c r="C5" s="481" t="s">
        <v>744</v>
      </c>
      <c r="D5" s="481" t="s">
        <v>1428</v>
      </c>
      <c r="E5" s="481" t="s">
        <v>743</v>
      </c>
      <c r="F5" s="500"/>
    </row>
    <row r="6" spans="1:6">
      <c r="A6" s="482" t="s">
        <v>235</v>
      </c>
      <c r="B6" s="504">
        <v>13</v>
      </c>
      <c r="C6" s="504">
        <v>9</v>
      </c>
      <c r="D6" s="608">
        <v>14825520</v>
      </c>
      <c r="E6" s="479">
        <v>13693045</v>
      </c>
    </row>
    <row r="7" spans="1:6">
      <c r="A7" s="482" t="s">
        <v>502</v>
      </c>
      <c r="B7" s="504">
        <v>1</v>
      </c>
      <c r="C7" s="504">
        <v>1</v>
      </c>
      <c r="D7" s="608">
        <v>1900000</v>
      </c>
      <c r="E7" s="479">
        <v>1982405.77</v>
      </c>
    </row>
    <row r="8" spans="1:6">
      <c r="A8" s="482" t="s">
        <v>1299</v>
      </c>
      <c r="B8" s="504">
        <v>1</v>
      </c>
      <c r="C8" s="504">
        <v>1</v>
      </c>
      <c r="D8" s="608">
        <v>438469</v>
      </c>
      <c r="E8" s="479">
        <v>438469</v>
      </c>
    </row>
    <row r="9" spans="1:6">
      <c r="A9" s="482" t="s">
        <v>251</v>
      </c>
      <c r="B9" s="504">
        <v>155</v>
      </c>
      <c r="C9" s="504">
        <v>47</v>
      </c>
      <c r="D9" s="608">
        <v>1322285128.2800004</v>
      </c>
      <c r="E9" s="479">
        <v>784025817.45999992</v>
      </c>
    </row>
    <row r="10" spans="1:6">
      <c r="A10" s="482" t="s">
        <v>95</v>
      </c>
      <c r="B10" s="504">
        <v>4</v>
      </c>
      <c r="C10" s="504">
        <v>3</v>
      </c>
      <c r="D10" s="608">
        <v>4861005</v>
      </c>
      <c r="E10" s="479">
        <v>2521329</v>
      </c>
    </row>
    <row r="11" spans="1:6">
      <c r="A11" s="482" t="s">
        <v>112</v>
      </c>
      <c r="B11" s="504">
        <v>141</v>
      </c>
      <c r="C11" s="504">
        <v>113</v>
      </c>
      <c r="D11" s="608">
        <v>116595411</v>
      </c>
      <c r="E11" s="479">
        <v>84596221.921404943</v>
      </c>
    </row>
    <row r="12" spans="1:6">
      <c r="A12" s="482" t="s">
        <v>216</v>
      </c>
      <c r="B12" s="504">
        <v>27</v>
      </c>
      <c r="C12" s="504">
        <v>18</v>
      </c>
      <c r="D12" s="608">
        <v>60053279.879999995</v>
      </c>
      <c r="E12" s="479">
        <v>33713597.409999996</v>
      </c>
    </row>
    <row r="13" spans="1:6">
      <c r="A13" s="482" t="s">
        <v>794</v>
      </c>
      <c r="B13" s="504"/>
      <c r="C13" s="504"/>
      <c r="D13" s="608"/>
      <c r="E13" s="479"/>
    </row>
    <row r="14" spans="1:6">
      <c r="A14" s="482" t="s">
        <v>740</v>
      </c>
      <c r="B14" s="504">
        <v>342</v>
      </c>
      <c r="C14" s="504">
        <v>192</v>
      </c>
      <c r="D14" s="608">
        <v>1520958813.1600006</v>
      </c>
      <c r="E14" s="479">
        <v>920970885.56140471</v>
      </c>
    </row>
    <row r="15" spans="1:6">
      <c r="D15"/>
      <c r="E15"/>
    </row>
    <row r="16" spans="1:6">
      <c r="D16"/>
      <c r="E16"/>
    </row>
    <row r="17" spans="4:5">
      <c r="D17"/>
      <c r="E17"/>
    </row>
    <row r="18" spans="4:5">
      <c r="D18"/>
      <c r="E18"/>
    </row>
    <row r="19" spans="4:5">
      <c r="D19"/>
      <c r="E19"/>
    </row>
    <row r="20" spans="4:5">
      <c r="D20"/>
      <c r="E20"/>
    </row>
    <row r="21" spans="4:5">
      <c r="D21"/>
      <c r="E21"/>
    </row>
    <row r="22" spans="4:5">
      <c r="D22"/>
      <c r="E22"/>
    </row>
    <row r="23" spans="4:5">
      <c r="D23"/>
      <c r="E23"/>
    </row>
    <row r="24" spans="4:5">
      <c r="D24"/>
      <c r="E24"/>
    </row>
    <row r="25" spans="4:5">
      <c r="D25"/>
      <c r="E25"/>
    </row>
    <row r="26" spans="4:5">
      <c r="D26"/>
      <c r="E26"/>
    </row>
    <row r="27" spans="4:5">
      <c r="D27"/>
      <c r="E27"/>
    </row>
    <row r="28" spans="4:5">
      <c r="D28"/>
      <c r="E28"/>
    </row>
    <row r="29" spans="4:5">
      <c r="D29"/>
      <c r="E29"/>
    </row>
    <row r="30" spans="4:5">
      <c r="D30"/>
      <c r="E30"/>
    </row>
    <row r="31" spans="4:5">
      <c r="D31"/>
      <c r="E31"/>
    </row>
    <row r="32" spans="4:5">
      <c r="D32"/>
      <c r="E32"/>
    </row>
    <row r="33" spans="4:5">
      <c r="D33"/>
      <c r="E33"/>
    </row>
    <row r="34" spans="4:5">
      <c r="D34"/>
      <c r="E34"/>
    </row>
    <row r="35" spans="4:5">
      <c r="D35"/>
      <c r="E35"/>
    </row>
    <row r="36" spans="4:5">
      <c r="D36"/>
      <c r="E36"/>
    </row>
    <row r="37" spans="4:5">
      <c r="D37"/>
      <c r="E37"/>
    </row>
    <row r="38" spans="4:5">
      <c r="D38"/>
      <c r="E38"/>
    </row>
    <row r="39" spans="4:5">
      <c r="D39"/>
      <c r="E39"/>
    </row>
    <row r="40" spans="4:5">
      <c r="D40"/>
      <c r="E40"/>
    </row>
    <row r="41" spans="4:5">
      <c r="D41"/>
      <c r="E41"/>
    </row>
    <row r="42" spans="4:5">
      <c r="D42"/>
      <c r="E42"/>
    </row>
    <row r="43" spans="4:5">
      <c r="D43"/>
      <c r="E43"/>
    </row>
    <row r="44" spans="4:5">
      <c r="D44"/>
      <c r="E44"/>
    </row>
    <row r="45" spans="4:5">
      <c r="D45"/>
      <c r="E45"/>
    </row>
    <row r="46" spans="4:5">
      <c r="D46"/>
      <c r="E46"/>
    </row>
    <row r="47" spans="4:5">
      <c r="D47"/>
      <c r="E47"/>
    </row>
    <row r="48" spans="4:5">
      <c r="D48"/>
      <c r="E48"/>
    </row>
    <row r="49" spans="4:5">
      <c r="D49"/>
      <c r="E49"/>
    </row>
    <row r="50" spans="4:5">
      <c r="D50"/>
      <c r="E50"/>
    </row>
    <row r="51" spans="4:5">
      <c r="D51"/>
      <c r="E51"/>
    </row>
    <row r="52" spans="4:5">
      <c r="D52"/>
      <c r="E52"/>
    </row>
    <row r="53" spans="4:5">
      <c r="D53"/>
      <c r="E53"/>
    </row>
    <row r="54" spans="4:5">
      <c r="D54"/>
      <c r="E54"/>
    </row>
    <row r="55" spans="4:5">
      <c r="D55"/>
      <c r="E55"/>
    </row>
    <row r="56" spans="4:5">
      <c r="D56"/>
      <c r="E56"/>
    </row>
    <row r="57" spans="4:5">
      <c r="D57"/>
      <c r="E57"/>
    </row>
    <row r="58" spans="4:5">
      <c r="D58"/>
      <c r="E58"/>
    </row>
    <row r="59" spans="4:5">
      <c r="D59"/>
      <c r="E59"/>
    </row>
    <row r="60" spans="4:5">
      <c r="D60"/>
      <c r="E60"/>
    </row>
    <row r="61" spans="4:5">
      <c r="D61"/>
      <c r="E61"/>
    </row>
    <row r="62" spans="4:5">
      <c r="D62"/>
      <c r="E62"/>
    </row>
    <row r="63" spans="4:5">
      <c r="D63"/>
      <c r="E63"/>
    </row>
    <row r="64" spans="4:5">
      <c r="D64"/>
      <c r="E64"/>
    </row>
    <row r="65" spans="4:5">
      <c r="D65"/>
      <c r="E65"/>
    </row>
    <row r="66" spans="4:5">
      <c r="D66"/>
      <c r="E66"/>
    </row>
    <row r="67" spans="4:5">
      <c r="D67"/>
      <c r="E67"/>
    </row>
    <row r="68" spans="4:5">
      <c r="D68"/>
      <c r="E68"/>
    </row>
    <row r="69" spans="4:5">
      <c r="D69"/>
      <c r="E69"/>
    </row>
    <row r="70" spans="4:5">
      <c r="D70"/>
      <c r="E70"/>
    </row>
    <row r="71" spans="4:5">
      <c r="D71"/>
      <c r="E71"/>
    </row>
    <row r="72" spans="4:5">
      <c r="D72"/>
      <c r="E72"/>
    </row>
    <row r="73" spans="4:5">
      <c r="D73"/>
      <c r="E73"/>
    </row>
    <row r="74" spans="4:5">
      <c r="D74"/>
      <c r="E74"/>
    </row>
    <row r="75" spans="4:5">
      <c r="D75"/>
      <c r="E75"/>
    </row>
    <row r="76" spans="4:5">
      <c r="D76"/>
      <c r="E76"/>
    </row>
    <row r="77" spans="4:5">
      <c r="D77"/>
      <c r="E77"/>
    </row>
    <row r="78" spans="4:5">
      <c r="D78"/>
      <c r="E78"/>
    </row>
    <row r="79" spans="4:5">
      <c r="D79"/>
      <c r="E79"/>
    </row>
    <row r="80" spans="4:5">
      <c r="D80"/>
      <c r="E80"/>
    </row>
    <row r="81" spans="4:5">
      <c r="D81"/>
      <c r="E81"/>
    </row>
    <row r="82" spans="4:5">
      <c r="D82"/>
      <c r="E82"/>
    </row>
    <row r="83" spans="4:5">
      <c r="D83"/>
      <c r="E83"/>
    </row>
    <row r="84" spans="4:5">
      <c r="D84"/>
      <c r="E84"/>
    </row>
    <row r="85" spans="4:5">
      <c r="D85"/>
      <c r="E85"/>
    </row>
    <row r="86" spans="4:5">
      <c r="D86"/>
      <c r="E86"/>
    </row>
    <row r="87" spans="4:5">
      <c r="D87"/>
      <c r="E87"/>
    </row>
    <row r="88" spans="4:5">
      <c r="D88"/>
      <c r="E88"/>
    </row>
    <row r="89" spans="4:5">
      <c r="D89"/>
      <c r="E89"/>
    </row>
    <row r="90" spans="4:5">
      <c r="D90"/>
      <c r="E90"/>
    </row>
    <row r="91" spans="4:5">
      <c r="D91"/>
      <c r="E91"/>
    </row>
    <row r="92" spans="4:5">
      <c r="D92"/>
      <c r="E92"/>
    </row>
    <row r="93" spans="4:5">
      <c r="D93"/>
      <c r="E93"/>
    </row>
    <row r="94" spans="4:5">
      <c r="D94"/>
      <c r="E94"/>
    </row>
    <row r="95" spans="4:5">
      <c r="D95"/>
      <c r="E95"/>
    </row>
    <row r="96" spans="4:5">
      <c r="D96"/>
      <c r="E96"/>
    </row>
    <row r="97" spans="4:5">
      <c r="D97"/>
      <c r="E97"/>
    </row>
    <row r="98" spans="4:5">
      <c r="D98"/>
      <c r="E98"/>
    </row>
    <row r="99" spans="4:5">
      <c r="D99"/>
      <c r="E99"/>
    </row>
    <row r="100" spans="4:5">
      <c r="D100"/>
      <c r="E100"/>
    </row>
    <row r="101" spans="4:5">
      <c r="D101"/>
      <c r="E101"/>
    </row>
    <row r="102" spans="4:5">
      <c r="D102"/>
      <c r="E102"/>
    </row>
    <row r="103" spans="4:5">
      <c r="D103"/>
      <c r="E103"/>
    </row>
    <row r="104" spans="4:5">
      <c r="D104"/>
      <c r="E104"/>
    </row>
    <row r="105" spans="4:5">
      <c r="D105"/>
      <c r="E105"/>
    </row>
    <row r="106" spans="4:5">
      <c r="D106"/>
      <c r="E106"/>
    </row>
    <row r="107" spans="4:5">
      <c r="D107"/>
      <c r="E107"/>
    </row>
    <row r="108" spans="4:5">
      <c r="D108"/>
      <c r="E108"/>
    </row>
    <row r="109" spans="4:5">
      <c r="D109"/>
      <c r="E109"/>
    </row>
    <row r="110" spans="4:5">
      <c r="D110"/>
      <c r="E110"/>
    </row>
    <row r="111" spans="4:5">
      <c r="D111"/>
      <c r="E111"/>
    </row>
    <row r="112" spans="4:5">
      <c r="D112"/>
      <c r="E112"/>
    </row>
    <row r="113" spans="4:5">
      <c r="D113"/>
      <c r="E113"/>
    </row>
    <row r="114" spans="4:5">
      <c r="D114"/>
      <c r="E114"/>
    </row>
    <row r="115" spans="4:5">
      <c r="D115"/>
      <c r="E115"/>
    </row>
    <row r="116" spans="4:5">
      <c r="D116"/>
      <c r="E116"/>
    </row>
    <row r="117" spans="4:5">
      <c r="D117"/>
      <c r="E117"/>
    </row>
    <row r="118" spans="4:5">
      <c r="D118"/>
      <c r="E118"/>
    </row>
    <row r="119" spans="4:5">
      <c r="D119"/>
      <c r="E119"/>
    </row>
    <row r="120" spans="4:5">
      <c r="D120"/>
      <c r="E120"/>
    </row>
    <row r="121" spans="4:5">
      <c r="D121"/>
      <c r="E121"/>
    </row>
    <row r="122" spans="4:5">
      <c r="D122"/>
      <c r="E122"/>
    </row>
    <row r="123" spans="4:5">
      <c r="D123"/>
      <c r="E123"/>
    </row>
    <row r="124" spans="4:5">
      <c r="D124"/>
      <c r="E124"/>
    </row>
    <row r="125" spans="4:5">
      <c r="D125"/>
      <c r="E125"/>
    </row>
    <row r="126" spans="4:5">
      <c r="D126"/>
      <c r="E126"/>
    </row>
    <row r="127" spans="4:5">
      <c r="D127"/>
      <c r="E127"/>
    </row>
    <row r="128" spans="4:5">
      <c r="D128"/>
      <c r="E128"/>
    </row>
    <row r="129" spans="4:5">
      <c r="D129"/>
      <c r="E129"/>
    </row>
    <row r="130" spans="4:5">
      <c r="D130"/>
      <c r="E130"/>
    </row>
    <row r="131" spans="4:5">
      <c r="D131"/>
      <c r="E131"/>
    </row>
    <row r="132" spans="4:5">
      <c r="D132"/>
      <c r="E132"/>
    </row>
    <row r="133" spans="4:5">
      <c r="D133"/>
      <c r="E133"/>
    </row>
    <row r="134" spans="4:5">
      <c r="D134"/>
      <c r="E134"/>
    </row>
    <row r="135" spans="4:5">
      <c r="D135"/>
      <c r="E135"/>
    </row>
    <row r="136" spans="4:5">
      <c r="D136"/>
      <c r="E136"/>
    </row>
    <row r="137" spans="4:5">
      <c r="D137"/>
      <c r="E137"/>
    </row>
    <row r="138" spans="4:5">
      <c r="D138"/>
      <c r="E138"/>
    </row>
    <row r="139" spans="4:5">
      <c r="D139"/>
      <c r="E139"/>
    </row>
    <row r="140" spans="4:5">
      <c r="D140"/>
      <c r="E140"/>
    </row>
    <row r="141" spans="4:5">
      <c r="D141"/>
      <c r="E141"/>
    </row>
    <row r="142" spans="4:5">
      <c r="D142"/>
      <c r="E142"/>
    </row>
    <row r="143" spans="4:5">
      <c r="D143"/>
      <c r="E143"/>
    </row>
    <row r="144" spans="4:5">
      <c r="D144"/>
      <c r="E144"/>
    </row>
    <row r="145" spans="4:5">
      <c r="D145"/>
      <c r="E145"/>
    </row>
    <row r="146" spans="4:5">
      <c r="D146"/>
      <c r="E146"/>
    </row>
    <row r="147" spans="4:5">
      <c r="D147"/>
      <c r="E147"/>
    </row>
    <row r="148" spans="4:5">
      <c r="D148"/>
      <c r="E148"/>
    </row>
    <row r="149" spans="4:5">
      <c r="D149"/>
      <c r="E149"/>
    </row>
    <row r="150" spans="4:5">
      <c r="D150"/>
      <c r="E150"/>
    </row>
    <row r="151" spans="4:5">
      <c r="D151"/>
      <c r="E151"/>
    </row>
    <row r="152" spans="4:5">
      <c r="D152"/>
      <c r="E152"/>
    </row>
  </sheetData>
  <pageMargins left="0.70866141732283472" right="0.70866141732283472" top="0.78740157480314965" bottom="0.78740157480314965" header="0.31496062992125984" footer="0.31496062992125984"/>
  <pageSetup paperSize="9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9"/>
  <dimension ref="A1:C14"/>
  <sheetViews>
    <sheetView workbookViewId="0">
      <selection activeCell="C8" sqref="C8"/>
    </sheetView>
  </sheetViews>
  <sheetFormatPr defaultRowHeight="15"/>
  <cols>
    <col min="1" max="1" width="19" bestFit="1" customWidth="1"/>
    <col min="2" max="2" width="41.28515625" style="373" bestFit="1" customWidth="1"/>
    <col min="3" max="3" width="28.28515625" style="373" bestFit="1" customWidth="1"/>
  </cols>
  <sheetData>
    <row r="1" spans="1:3">
      <c r="A1" s="2861" t="s">
        <v>10</v>
      </c>
      <c r="B1" s="2864" t="s">
        <v>745</v>
      </c>
    </row>
    <row r="3" spans="1:3">
      <c r="B3" s="1217" t="s">
        <v>742</v>
      </c>
      <c r="C3" s="2864"/>
    </row>
    <row r="4" spans="1:3">
      <c r="A4" s="2861" t="s">
        <v>739</v>
      </c>
      <c r="B4" s="2864" t="s">
        <v>741</v>
      </c>
      <c r="C4" s="2864" t="s">
        <v>743</v>
      </c>
    </row>
    <row r="5" spans="1:3">
      <c r="A5" s="2862" t="s">
        <v>235</v>
      </c>
      <c r="B5" s="2864">
        <v>13213925</v>
      </c>
      <c r="C5" s="2864">
        <v>12303522.210000001</v>
      </c>
    </row>
    <row r="6" spans="1:3">
      <c r="A6" s="2862" t="s">
        <v>502</v>
      </c>
      <c r="B6" s="2864">
        <v>1900000</v>
      </c>
      <c r="C6" s="2864">
        <v>1982405.77</v>
      </c>
    </row>
    <row r="7" spans="1:3">
      <c r="A7" s="2862" t="s">
        <v>1299</v>
      </c>
      <c r="B7" s="2864">
        <v>438469</v>
      </c>
      <c r="C7" s="2864">
        <v>438469</v>
      </c>
    </row>
    <row r="8" spans="1:3">
      <c r="A8" s="2862" t="s">
        <v>645</v>
      </c>
      <c r="B8" s="2864">
        <v>148500</v>
      </c>
      <c r="C8" s="2864">
        <v>148500</v>
      </c>
    </row>
    <row r="9" spans="1:3">
      <c r="A9" s="2862" t="s">
        <v>251</v>
      </c>
      <c r="B9" s="2864">
        <v>492559970.49999994</v>
      </c>
      <c r="C9" s="2864">
        <v>469218348.44000006</v>
      </c>
    </row>
    <row r="10" spans="1:3">
      <c r="A10" s="2862" t="s">
        <v>95</v>
      </c>
      <c r="B10" s="2864">
        <v>2991405</v>
      </c>
      <c r="C10" s="2864">
        <v>674529</v>
      </c>
    </row>
    <row r="11" spans="1:3">
      <c r="A11" s="2862" t="s">
        <v>112</v>
      </c>
      <c r="B11" s="2864">
        <v>93193031</v>
      </c>
      <c r="C11" s="2864">
        <v>80156667.641404971</v>
      </c>
    </row>
    <row r="12" spans="1:3">
      <c r="A12" s="2862" t="s">
        <v>216</v>
      </c>
      <c r="B12" s="2864">
        <v>38191009.859999999</v>
      </c>
      <c r="C12" s="2864">
        <v>33713597.409999996</v>
      </c>
    </row>
    <row r="13" spans="1:3">
      <c r="A13" s="2862" t="s">
        <v>740</v>
      </c>
      <c r="B13" s="2864">
        <v>642636310.36000001</v>
      </c>
      <c r="C13" s="2864">
        <v>598636039.47140503</v>
      </c>
    </row>
    <row r="14" spans="1:3">
      <c r="B14"/>
      <c r="C14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/>
  <dimension ref="A1:V755"/>
  <sheetViews>
    <sheetView zoomScale="90" zoomScaleNormal="90" workbookViewId="0">
      <pane xSplit="4" ySplit="6" topLeftCell="E7" activePane="bottomRight" state="frozen"/>
      <selection activeCell="C281" sqref="C2:C281"/>
      <selection pane="topRight" activeCell="C281" sqref="C2:C281"/>
      <selection pane="bottomLeft" activeCell="C281" sqref="C2:C281"/>
      <selection pane="bottomRight" activeCell="C374" sqref="C374"/>
    </sheetView>
  </sheetViews>
  <sheetFormatPr defaultColWidth="9.140625" defaultRowHeight="15"/>
  <cols>
    <col min="1" max="1" width="16.28515625" style="181" customWidth="1"/>
    <col min="2" max="2" width="7.42578125" style="181" customWidth="1"/>
    <col min="3" max="3" width="11.7109375" style="181" customWidth="1"/>
    <col min="4" max="4" width="67.28515625" style="9" customWidth="1"/>
    <col min="5" max="5" width="12.7109375" style="374" customWidth="1"/>
    <col min="6" max="6" width="15" style="370" customWidth="1"/>
    <col min="7" max="7" width="20.85546875" style="11" customWidth="1"/>
    <col min="8" max="8" width="9.85546875" style="181" customWidth="1"/>
    <col min="9" max="9" width="13.7109375" style="181" customWidth="1"/>
    <col min="10" max="10" width="14" style="181" customWidth="1"/>
    <col min="11" max="11" width="26" style="181" customWidth="1"/>
    <col min="12" max="12" width="18.85546875" style="371" customWidth="1"/>
    <col min="13" max="13" width="18.7109375" style="371" customWidth="1"/>
    <col min="14" max="16" width="15.7109375" style="181" customWidth="1"/>
    <col min="17" max="17" width="13.5703125" style="11" customWidth="1"/>
    <col min="18" max="19" width="11.28515625" style="9" bestFit="1" customWidth="1"/>
    <col min="20" max="20" width="14.85546875" style="9" bestFit="1" customWidth="1"/>
    <col min="21" max="21" width="11" style="9" bestFit="1" customWidth="1"/>
    <col min="22" max="16384" width="9.140625" style="9"/>
  </cols>
  <sheetData>
    <row r="1" spans="1:18">
      <c r="B1" s="358"/>
      <c r="D1" s="355" t="s">
        <v>222</v>
      </c>
    </row>
    <row r="2" spans="1:18">
      <c r="B2" s="359"/>
      <c r="D2" s="356" t="s">
        <v>223</v>
      </c>
    </row>
    <row r="3" spans="1:18">
      <c r="B3" s="360"/>
      <c r="D3" s="7" t="s">
        <v>224</v>
      </c>
    </row>
    <row r="4" spans="1:18">
      <c r="B4" s="360"/>
      <c r="D4" s="8" t="s">
        <v>225</v>
      </c>
    </row>
    <row r="5" spans="1:18">
      <c r="B5" s="360"/>
      <c r="C5" s="351"/>
      <c r="D5" s="357" t="s">
        <v>226</v>
      </c>
    </row>
    <row r="6" spans="1:18" ht="75">
      <c r="A6" s="2" t="s">
        <v>11</v>
      </c>
      <c r="B6" s="2" t="s">
        <v>1164</v>
      </c>
      <c r="C6" s="2" t="s">
        <v>0</v>
      </c>
      <c r="D6" s="1" t="s">
        <v>1</v>
      </c>
      <c r="E6" s="1" t="s">
        <v>2</v>
      </c>
      <c r="F6" s="60" t="s">
        <v>5</v>
      </c>
      <c r="G6" s="12" t="s">
        <v>15</v>
      </c>
      <c r="H6" s="1" t="s">
        <v>3</v>
      </c>
      <c r="I6" s="2" t="s">
        <v>4</v>
      </c>
      <c r="J6" s="2" t="s">
        <v>6</v>
      </c>
      <c r="K6" s="1" t="s">
        <v>7</v>
      </c>
      <c r="L6" s="12" t="s">
        <v>8</v>
      </c>
      <c r="M6" s="12" t="s">
        <v>9</v>
      </c>
      <c r="N6" s="2" t="s">
        <v>10</v>
      </c>
      <c r="O6" s="2" t="s">
        <v>334</v>
      </c>
      <c r="P6" s="3447" t="s">
        <v>220</v>
      </c>
      <c r="Q6" s="3448"/>
    </row>
    <row r="7" spans="1:18">
      <c r="A7" s="489" t="s">
        <v>1141</v>
      </c>
      <c r="B7" s="489" t="s">
        <v>58</v>
      </c>
      <c r="C7" s="490" t="s">
        <v>57</v>
      </c>
      <c r="D7" s="495" t="s">
        <v>1142</v>
      </c>
      <c r="E7" s="491" t="s">
        <v>42</v>
      </c>
      <c r="F7" s="492"/>
      <c r="G7" s="493">
        <v>2350000</v>
      </c>
      <c r="H7" s="491" t="s">
        <v>216</v>
      </c>
      <c r="I7" s="494">
        <v>41975</v>
      </c>
      <c r="J7" s="494">
        <v>41991</v>
      </c>
      <c r="K7" s="491" t="s">
        <v>1143</v>
      </c>
      <c r="L7" s="493">
        <v>2345985</v>
      </c>
      <c r="M7" s="493">
        <v>2838642</v>
      </c>
      <c r="N7" s="494">
        <v>42545</v>
      </c>
      <c r="O7" s="494">
        <v>42551</v>
      </c>
      <c r="P7" s="948">
        <v>42803</v>
      </c>
      <c r="Q7" s="1256">
        <v>43175</v>
      </c>
    </row>
    <row r="8" spans="1:18">
      <c r="A8" s="25" t="s">
        <v>34</v>
      </c>
      <c r="B8" s="25" t="s">
        <v>47</v>
      </c>
      <c r="C8" s="25" t="s">
        <v>221</v>
      </c>
      <c r="D8" s="24" t="s">
        <v>35</v>
      </c>
      <c r="E8" s="25" t="s">
        <v>36</v>
      </c>
      <c r="F8" s="63"/>
      <c r="G8" s="26">
        <v>36000000</v>
      </c>
      <c r="H8" s="49" t="s">
        <v>251</v>
      </c>
      <c r="I8" s="48">
        <v>42304</v>
      </c>
      <c r="J8" s="48">
        <v>42360</v>
      </c>
      <c r="K8" s="367" t="s">
        <v>746</v>
      </c>
      <c r="L8" s="366"/>
      <c r="M8" s="366"/>
      <c r="N8" s="25"/>
      <c r="O8" s="48">
        <v>42402</v>
      </c>
      <c r="P8" s="25"/>
      <c r="Q8" s="9"/>
    </row>
    <row r="9" spans="1:18" ht="15.75" thickBot="1">
      <c r="A9" s="2159" t="s">
        <v>94</v>
      </c>
      <c r="B9" s="411" t="s">
        <v>193</v>
      </c>
      <c r="C9" s="411" t="s">
        <v>192</v>
      </c>
      <c r="D9" s="610" t="s">
        <v>535</v>
      </c>
      <c r="E9" s="411" t="s">
        <v>536</v>
      </c>
      <c r="F9" s="611"/>
      <c r="G9" s="415">
        <v>6000000</v>
      </c>
      <c r="H9" s="411" t="s">
        <v>251</v>
      </c>
      <c r="I9" s="612">
        <v>42289</v>
      </c>
      <c r="J9" s="612">
        <v>42345</v>
      </c>
      <c r="K9" s="613" t="s">
        <v>433</v>
      </c>
      <c r="L9" s="417">
        <v>5980000</v>
      </c>
      <c r="M9" s="417">
        <v>7235800</v>
      </c>
      <c r="N9" s="612">
        <v>42405</v>
      </c>
      <c r="O9" s="612">
        <v>42410</v>
      </c>
      <c r="P9" s="416">
        <v>42797</v>
      </c>
      <c r="Q9" s="1206">
        <v>43181</v>
      </c>
      <c r="R9" s="1330">
        <v>44802</v>
      </c>
    </row>
    <row r="10" spans="1:18" ht="15.75" thickTop="1">
      <c r="A10" s="438" t="s">
        <v>296</v>
      </c>
      <c r="B10" s="439" t="s">
        <v>367</v>
      </c>
      <c r="C10" s="439" t="s">
        <v>295</v>
      </c>
      <c r="D10" s="684" t="s">
        <v>297</v>
      </c>
      <c r="E10" s="439" t="s">
        <v>298</v>
      </c>
      <c r="F10" s="685"/>
      <c r="G10" s="442">
        <v>12315000</v>
      </c>
      <c r="H10" s="439" t="s">
        <v>251</v>
      </c>
      <c r="I10" s="686" t="s">
        <v>1448</v>
      </c>
      <c r="J10" s="687"/>
      <c r="K10" s="688"/>
      <c r="L10" s="444"/>
      <c r="M10" s="444"/>
      <c r="N10" s="687"/>
      <c r="O10" s="439"/>
      <c r="P10" s="445"/>
      <c r="Q10" s="9"/>
    </row>
    <row r="11" spans="1:18" ht="15.75" thickBot="1">
      <c r="A11" s="446" t="s">
        <v>495</v>
      </c>
      <c r="B11" s="447" t="s">
        <v>58</v>
      </c>
      <c r="C11" s="447" t="s">
        <v>57</v>
      </c>
      <c r="D11" s="689" t="s">
        <v>691</v>
      </c>
      <c r="E11" s="447" t="s">
        <v>42</v>
      </c>
      <c r="F11" s="690"/>
      <c r="G11" s="691">
        <v>1900000</v>
      </c>
      <c r="H11" s="447" t="s">
        <v>502</v>
      </c>
      <c r="I11" s="460">
        <v>42179</v>
      </c>
      <c r="J11" s="460">
        <v>42193</v>
      </c>
      <c r="K11" s="447" t="s">
        <v>692</v>
      </c>
      <c r="L11" s="449">
        <v>1982405.77</v>
      </c>
      <c r="M11" s="449">
        <v>2398710.98</v>
      </c>
      <c r="N11" s="460">
        <v>42397</v>
      </c>
      <c r="O11" s="477" t="s">
        <v>239</v>
      </c>
      <c r="P11" s="478" t="s">
        <v>239</v>
      </c>
    </row>
    <row r="12" spans="1:18" ht="15" customHeight="1" thickTop="1">
      <c r="A12" s="605" t="s">
        <v>393</v>
      </c>
      <c r="B12" s="605" t="s">
        <v>289</v>
      </c>
      <c r="C12" s="605" t="s">
        <v>291</v>
      </c>
      <c r="D12" s="649" t="s">
        <v>663</v>
      </c>
      <c r="E12" s="650" t="s">
        <v>662</v>
      </c>
      <c r="F12" s="606"/>
      <c r="G12" s="127">
        <v>3000000</v>
      </c>
      <c r="H12" s="605" t="s">
        <v>251</v>
      </c>
      <c r="I12" s="252">
        <v>42192</v>
      </c>
      <c r="J12" s="252">
        <v>42326</v>
      </c>
      <c r="K12" s="651" t="s">
        <v>665</v>
      </c>
      <c r="L12" s="364">
        <f>M12/1.21</f>
        <v>1590000</v>
      </c>
      <c r="M12" s="364">
        <v>1923900</v>
      </c>
      <c r="N12" s="252">
        <v>42375</v>
      </c>
      <c r="O12" s="252">
        <v>42377</v>
      </c>
      <c r="P12" s="365">
        <v>42435</v>
      </c>
      <c r="Q12" s="1206">
        <v>43181</v>
      </c>
    </row>
    <row r="13" spans="1:18" ht="15" customHeight="1" thickBot="1">
      <c r="A13" s="411" t="s">
        <v>393</v>
      </c>
      <c r="B13" s="411" t="s">
        <v>289</v>
      </c>
      <c r="C13" s="411" t="s">
        <v>291</v>
      </c>
      <c r="D13" s="614" t="s">
        <v>664</v>
      </c>
      <c r="E13" s="512" t="s">
        <v>661</v>
      </c>
      <c r="F13" s="611"/>
      <c r="G13" s="415">
        <v>1600000</v>
      </c>
      <c r="H13" s="411" t="s">
        <v>251</v>
      </c>
      <c r="I13" s="612">
        <v>42192</v>
      </c>
      <c r="J13" s="612">
        <v>42326</v>
      </c>
      <c r="K13" s="613" t="s">
        <v>665</v>
      </c>
      <c r="L13" s="417">
        <f>M13/1.21</f>
        <v>240080</v>
      </c>
      <c r="M13" s="417">
        <v>290496.8</v>
      </c>
      <c r="N13" s="612">
        <v>42375</v>
      </c>
      <c r="O13" s="612">
        <v>42377</v>
      </c>
      <c r="P13" s="416">
        <v>42435</v>
      </c>
      <c r="Q13" s="1206">
        <v>43181</v>
      </c>
    </row>
    <row r="14" spans="1:18" ht="16.5" thickTop="1" thickBot="1">
      <c r="A14" s="692" t="s">
        <v>430</v>
      </c>
      <c r="B14" s="693" t="s">
        <v>702</v>
      </c>
      <c r="C14" s="693" t="s">
        <v>703</v>
      </c>
      <c r="D14" s="694" t="s">
        <v>418</v>
      </c>
      <c r="E14" s="693" t="s">
        <v>429</v>
      </c>
      <c r="F14" s="695"/>
      <c r="G14" s="696">
        <v>1990000</v>
      </c>
      <c r="H14" s="693" t="s">
        <v>112</v>
      </c>
      <c r="I14" s="697">
        <v>42376</v>
      </c>
      <c r="J14" s="697">
        <v>42388</v>
      </c>
      <c r="K14" s="698" t="s">
        <v>713</v>
      </c>
      <c r="L14" s="699"/>
      <c r="M14" s="699"/>
      <c r="N14" s="700"/>
      <c r="O14" s="693" t="s">
        <v>239</v>
      </c>
      <c r="P14" s="701" t="s">
        <v>239</v>
      </c>
      <c r="Q14" s="9"/>
    </row>
    <row r="15" spans="1:18" ht="15.75" thickTop="1">
      <c r="A15" s="363" t="s">
        <v>435</v>
      </c>
      <c r="B15" s="605" t="s">
        <v>52</v>
      </c>
      <c r="C15" s="605" t="s">
        <v>227</v>
      </c>
      <c r="D15" s="166" t="s">
        <v>436</v>
      </c>
      <c r="E15" s="652" t="s">
        <v>33</v>
      </c>
      <c r="F15" s="419" t="s">
        <v>696</v>
      </c>
      <c r="G15" s="127">
        <v>19850000</v>
      </c>
      <c r="H15" s="605" t="s">
        <v>251</v>
      </c>
      <c r="I15" s="252">
        <v>42328</v>
      </c>
      <c r="J15" s="252">
        <v>42359</v>
      </c>
      <c r="K15" s="605" t="s">
        <v>707</v>
      </c>
      <c r="L15" s="364">
        <v>18861585</v>
      </c>
      <c r="M15" s="364">
        <v>22822518</v>
      </c>
      <c r="N15" s="252">
        <v>42426</v>
      </c>
      <c r="O15" s="365">
        <v>42432</v>
      </c>
      <c r="P15" s="365">
        <v>42678</v>
      </c>
    </row>
    <row r="16" spans="1:18">
      <c r="A16" s="49" t="s">
        <v>466</v>
      </c>
      <c r="B16" s="49" t="s">
        <v>58</v>
      </c>
      <c r="C16" s="49" t="s">
        <v>57</v>
      </c>
      <c r="D16" s="407" t="s">
        <v>467</v>
      </c>
      <c r="E16" s="49" t="s">
        <v>90</v>
      </c>
      <c r="F16" s="81" t="s">
        <v>697</v>
      </c>
      <c r="G16" s="26">
        <v>1900000</v>
      </c>
      <c r="H16" s="49" t="s">
        <v>112</v>
      </c>
      <c r="I16" s="48">
        <v>42258</v>
      </c>
      <c r="J16" s="48">
        <v>42271</v>
      </c>
      <c r="K16" s="25" t="s">
        <v>529</v>
      </c>
      <c r="L16" s="366">
        <v>1912000</v>
      </c>
      <c r="M16" s="366">
        <v>1912000</v>
      </c>
      <c r="N16" s="48">
        <v>42375</v>
      </c>
      <c r="O16" s="48">
        <v>42376</v>
      </c>
      <c r="P16" s="49" t="s">
        <v>239</v>
      </c>
      <c r="Q16" s="408" t="s">
        <v>933</v>
      </c>
    </row>
    <row r="17" spans="1:22">
      <c r="A17" s="84" t="s">
        <v>482</v>
      </c>
      <c r="B17" s="84" t="s">
        <v>52</v>
      </c>
      <c r="C17" s="84" t="s">
        <v>227</v>
      </c>
      <c r="D17" s="1519" t="s">
        <v>483</v>
      </c>
      <c r="E17" s="225" t="s">
        <v>484</v>
      </c>
      <c r="F17" s="38" t="s">
        <v>698</v>
      </c>
      <c r="G17" s="131">
        <v>8000000</v>
      </c>
      <c r="H17" s="84" t="s">
        <v>251</v>
      </c>
      <c r="I17" s="78">
        <v>42313</v>
      </c>
      <c r="J17" s="78">
        <v>42373</v>
      </c>
      <c r="K17" s="84" t="s">
        <v>369</v>
      </c>
      <c r="L17" s="352">
        <v>5950000</v>
      </c>
      <c r="M17" s="352">
        <v>7199500</v>
      </c>
      <c r="N17" s="78">
        <v>42411</v>
      </c>
      <c r="O17" s="78">
        <v>42415</v>
      </c>
      <c r="P17" s="90">
        <v>43552</v>
      </c>
    </row>
    <row r="18" spans="1:22">
      <c r="A18" s="84" t="s">
        <v>506</v>
      </c>
      <c r="B18" s="84" t="s">
        <v>58</v>
      </c>
      <c r="C18" s="84" t="s">
        <v>57</v>
      </c>
      <c r="D18" s="130" t="s">
        <v>507</v>
      </c>
      <c r="E18" s="84" t="s">
        <v>42</v>
      </c>
      <c r="F18" s="1520"/>
      <c r="G18" s="1521">
        <v>9222500</v>
      </c>
      <c r="H18" s="919" t="s">
        <v>251</v>
      </c>
      <c r="I18" s="78">
        <v>42317</v>
      </c>
      <c r="J18" s="78">
        <v>42377</v>
      </c>
      <c r="K18" s="919" t="s">
        <v>4409</v>
      </c>
      <c r="L18" s="1522">
        <v>9170103.8699999992</v>
      </c>
      <c r="M18" s="1523">
        <v>11095825.68</v>
      </c>
      <c r="N18" s="1524">
        <v>42415</v>
      </c>
      <c r="O18" s="1524">
        <v>42417</v>
      </c>
      <c r="P18" s="537">
        <v>42803</v>
      </c>
      <c r="Q18" s="1206">
        <v>43175</v>
      </c>
      <c r="R18" s="1499">
        <v>43550</v>
      </c>
      <c r="S18" s="1560">
        <v>43929</v>
      </c>
      <c r="T18" s="1560">
        <v>44280</v>
      </c>
      <c r="U18" s="1560">
        <v>44645</v>
      </c>
      <c r="V18" s="388">
        <v>2022</v>
      </c>
    </row>
    <row r="19" spans="1:22">
      <c r="A19" s="28" t="s">
        <v>546</v>
      </c>
      <c r="B19" s="28" t="s">
        <v>47</v>
      </c>
      <c r="C19" s="28" t="s">
        <v>46</v>
      </c>
      <c r="D19" s="27" t="s">
        <v>547</v>
      </c>
      <c r="E19" s="31" t="s">
        <v>48</v>
      </c>
      <c r="F19" s="67" t="s">
        <v>699</v>
      </c>
      <c r="G19" s="29">
        <v>4825000</v>
      </c>
      <c r="H19" s="31" t="s">
        <v>251</v>
      </c>
      <c r="I19" s="32">
        <v>42292</v>
      </c>
      <c r="J19" s="32">
        <v>42346</v>
      </c>
      <c r="K19" s="33" t="s">
        <v>708</v>
      </c>
      <c r="L19" s="40">
        <v>4819538.99</v>
      </c>
      <c r="M19" s="40">
        <v>5831642.1799999997</v>
      </c>
      <c r="N19" s="32">
        <v>42415</v>
      </c>
      <c r="O19" s="32">
        <v>42417</v>
      </c>
      <c r="P19" s="90">
        <v>42800</v>
      </c>
      <c r="Q19" s="1204" t="s">
        <v>1649</v>
      </c>
    </row>
    <row r="20" spans="1:22" ht="15" customHeight="1">
      <c r="A20" s="84" t="s">
        <v>548</v>
      </c>
      <c r="B20" s="84" t="s">
        <v>14</v>
      </c>
      <c r="C20" s="84" t="s">
        <v>13</v>
      </c>
      <c r="D20" s="130" t="s">
        <v>549</v>
      </c>
      <c r="E20" s="225" t="s">
        <v>591</v>
      </c>
      <c r="F20" s="38" t="s">
        <v>552</v>
      </c>
      <c r="G20" s="131">
        <v>10250000</v>
      </c>
      <c r="H20" s="84" t="s">
        <v>251</v>
      </c>
      <c r="I20" s="78">
        <v>42473</v>
      </c>
      <c r="J20" s="78">
        <v>42565</v>
      </c>
      <c r="K20" s="132" t="s">
        <v>966</v>
      </c>
      <c r="L20" s="352">
        <v>9019945</v>
      </c>
      <c r="M20" s="352">
        <f>L20*1.21</f>
        <v>10914133.449999999</v>
      </c>
      <c r="N20" s="78">
        <v>42622</v>
      </c>
      <c r="O20" s="78">
        <v>42625</v>
      </c>
      <c r="P20" s="78">
        <v>42891</v>
      </c>
      <c r="Q20" s="1290">
        <v>44711</v>
      </c>
    </row>
    <row r="21" spans="1:22" ht="15.75" thickBot="1">
      <c r="A21" s="413" t="s">
        <v>561</v>
      </c>
      <c r="B21" s="413" t="s">
        <v>14</v>
      </c>
      <c r="C21" s="413" t="s">
        <v>13</v>
      </c>
      <c r="D21" s="615" t="s">
        <v>562</v>
      </c>
      <c r="E21" s="413" t="s">
        <v>563</v>
      </c>
      <c r="F21" s="616" t="s">
        <v>700</v>
      </c>
      <c r="G21" s="617">
        <v>1970000</v>
      </c>
      <c r="H21" s="413" t="s">
        <v>235</v>
      </c>
      <c r="I21" s="618">
        <v>42328</v>
      </c>
      <c r="J21" s="618">
        <v>42339</v>
      </c>
      <c r="K21" s="619" t="s">
        <v>20</v>
      </c>
      <c r="L21" s="620">
        <v>1959575.21</v>
      </c>
      <c r="M21" s="620">
        <v>2371086</v>
      </c>
      <c r="N21" s="618">
        <v>42366</v>
      </c>
      <c r="O21" s="618">
        <v>42375</v>
      </c>
      <c r="P21" s="618">
        <v>42460</v>
      </c>
    </row>
    <row r="22" spans="1:22" ht="16.5" thickTop="1" thickBot="1">
      <c r="A22" s="702" t="s">
        <v>633</v>
      </c>
      <c r="B22" s="703" t="s">
        <v>47</v>
      </c>
      <c r="C22" s="703" t="s">
        <v>201</v>
      </c>
      <c r="D22" s="704" t="s">
        <v>634</v>
      </c>
      <c r="E22" s="703" t="s">
        <v>635</v>
      </c>
      <c r="F22" s="705" t="s">
        <v>701</v>
      </c>
      <c r="G22" s="706">
        <v>230000</v>
      </c>
      <c r="H22" s="707" t="s">
        <v>112</v>
      </c>
      <c r="I22" s="708">
        <v>42320</v>
      </c>
      <c r="J22" s="708">
        <v>42334</v>
      </c>
      <c r="K22" s="709" t="s">
        <v>342</v>
      </c>
      <c r="L22" s="710">
        <v>197906</v>
      </c>
      <c r="M22" s="710">
        <v>239466</v>
      </c>
      <c r="N22" s="708">
        <v>42391</v>
      </c>
      <c r="O22" s="711" t="s">
        <v>239</v>
      </c>
      <c r="P22" s="712" t="s">
        <v>239</v>
      </c>
    </row>
    <row r="23" spans="1:22" ht="15.75" thickTop="1">
      <c r="A23" s="653" t="s">
        <v>685</v>
      </c>
      <c r="B23" s="466" t="s">
        <v>69</v>
      </c>
      <c r="C23" s="466" t="s">
        <v>70</v>
      </c>
      <c r="D23" s="654" t="s">
        <v>712</v>
      </c>
      <c r="E23" s="466" t="s">
        <v>688</v>
      </c>
      <c r="F23" s="655"/>
      <c r="G23" s="469">
        <v>1363270.02</v>
      </c>
      <c r="H23" s="466" t="s">
        <v>216</v>
      </c>
      <c r="I23" s="656">
        <v>42359</v>
      </c>
      <c r="J23" s="656">
        <v>42381</v>
      </c>
      <c r="K23" s="657" t="s">
        <v>713</v>
      </c>
      <c r="L23" s="658"/>
      <c r="M23" s="472"/>
      <c r="N23" s="656"/>
      <c r="O23" s="656">
        <v>42383</v>
      </c>
      <c r="P23" s="659"/>
      <c r="Q23" s="9"/>
    </row>
    <row r="24" spans="1:22">
      <c r="A24" s="376" t="s">
        <v>685</v>
      </c>
      <c r="B24" s="31" t="s">
        <v>69</v>
      </c>
      <c r="C24" s="31" t="s">
        <v>70</v>
      </c>
      <c r="D24" s="230" t="s">
        <v>714</v>
      </c>
      <c r="E24" s="31" t="s">
        <v>688</v>
      </c>
      <c r="F24" s="61"/>
      <c r="G24" s="29">
        <v>685458.68</v>
      </c>
      <c r="H24" s="31" t="s">
        <v>216</v>
      </c>
      <c r="I24" s="32">
        <v>42359</v>
      </c>
      <c r="J24" s="32">
        <v>42381</v>
      </c>
      <c r="K24" s="33" t="s">
        <v>716</v>
      </c>
      <c r="L24" s="377">
        <v>693664.8</v>
      </c>
      <c r="M24" s="40">
        <v>763031.28</v>
      </c>
      <c r="N24" s="90">
        <v>42431</v>
      </c>
      <c r="O24" s="32">
        <v>42437</v>
      </c>
      <c r="P24" s="949">
        <v>42818</v>
      </c>
      <c r="Q24" s="1206">
        <v>43175</v>
      </c>
    </row>
    <row r="25" spans="1:22" ht="15.75" thickBot="1">
      <c r="A25" s="378" t="s">
        <v>685</v>
      </c>
      <c r="B25" s="379" t="s">
        <v>69</v>
      </c>
      <c r="C25" s="379" t="s">
        <v>70</v>
      </c>
      <c r="D25" s="380" t="s">
        <v>715</v>
      </c>
      <c r="E25" s="379" t="s">
        <v>688</v>
      </c>
      <c r="F25" s="381"/>
      <c r="G25" s="382">
        <v>1334851.18</v>
      </c>
      <c r="H25" s="379" t="s">
        <v>216</v>
      </c>
      <c r="I25" s="383">
        <v>42359</v>
      </c>
      <c r="J25" s="383">
        <v>42381</v>
      </c>
      <c r="K25" s="384" t="s">
        <v>577</v>
      </c>
      <c r="L25" s="385">
        <v>1324263.6000000001</v>
      </c>
      <c r="M25" s="386">
        <v>1456689.96</v>
      </c>
      <c r="N25" s="387">
        <v>42431</v>
      </c>
      <c r="O25" s="383">
        <v>42437</v>
      </c>
      <c r="P25" s="950">
        <v>42818</v>
      </c>
      <c r="Q25" s="1206">
        <v>43175</v>
      </c>
    </row>
    <row r="26" spans="1:22" ht="15.75" thickTop="1">
      <c r="A26" s="368" t="s">
        <v>638</v>
      </c>
      <c r="B26" s="368" t="s">
        <v>218</v>
      </c>
      <c r="C26" s="368" t="s">
        <v>219</v>
      </c>
      <c r="D26" s="362" t="s">
        <v>639</v>
      </c>
      <c r="E26" s="389" t="s">
        <v>525</v>
      </c>
      <c r="F26" s="369"/>
      <c r="G26" s="127">
        <v>1980000</v>
      </c>
      <c r="H26" s="368" t="s">
        <v>112</v>
      </c>
      <c r="I26" s="252">
        <v>42327</v>
      </c>
      <c r="J26" s="252">
        <v>42340</v>
      </c>
      <c r="K26" s="363" t="s">
        <v>659</v>
      </c>
      <c r="L26" s="364">
        <v>2186970</v>
      </c>
      <c r="M26" s="364">
        <v>2646233.7000000002</v>
      </c>
      <c r="N26" s="252">
        <v>42376</v>
      </c>
      <c r="O26" s="365">
        <v>42376</v>
      </c>
      <c r="P26" s="368" t="s">
        <v>239</v>
      </c>
    </row>
    <row r="27" spans="1:22">
      <c r="A27" s="31" t="s">
        <v>647</v>
      </c>
      <c r="B27" s="31" t="s">
        <v>166</v>
      </c>
      <c r="C27" s="31" t="s">
        <v>167</v>
      </c>
      <c r="D27" s="27" t="s">
        <v>648</v>
      </c>
      <c r="E27" s="84" t="s">
        <v>498</v>
      </c>
      <c r="F27" s="61"/>
      <c r="G27" s="29">
        <v>550000</v>
      </c>
      <c r="H27" s="31" t="s">
        <v>112</v>
      </c>
      <c r="I27" s="32">
        <v>42332</v>
      </c>
      <c r="J27" s="32">
        <v>42349</v>
      </c>
      <c r="K27" s="31" t="s">
        <v>709</v>
      </c>
      <c r="L27" s="40">
        <f>M27/1.21</f>
        <v>730775.36363636365</v>
      </c>
      <c r="M27" s="40">
        <v>884238.19</v>
      </c>
      <c r="N27" s="32">
        <v>42410</v>
      </c>
      <c r="O27" s="32">
        <v>42418</v>
      </c>
      <c r="P27" s="31" t="s">
        <v>239</v>
      </c>
    </row>
    <row r="28" spans="1:22" ht="15.75" thickBot="1">
      <c r="A28" s="411" t="s">
        <v>640</v>
      </c>
      <c r="B28" s="411" t="s">
        <v>218</v>
      </c>
      <c r="C28" s="411" t="s">
        <v>219</v>
      </c>
      <c r="D28" s="610" t="s">
        <v>641</v>
      </c>
      <c r="E28" s="411" t="s">
        <v>642</v>
      </c>
      <c r="F28" s="611"/>
      <c r="G28" s="415">
        <v>1130000</v>
      </c>
      <c r="H28" s="411" t="s">
        <v>112</v>
      </c>
      <c r="I28" s="612">
        <v>42333</v>
      </c>
      <c r="J28" s="612">
        <v>42341</v>
      </c>
      <c r="K28" s="609" t="s">
        <v>43</v>
      </c>
      <c r="L28" s="417">
        <f>M28/1.21</f>
        <v>1124200</v>
      </c>
      <c r="M28" s="417">
        <v>1360282</v>
      </c>
      <c r="N28" s="612">
        <v>42387</v>
      </c>
      <c r="O28" s="416">
        <v>42387</v>
      </c>
      <c r="P28" s="411" t="s">
        <v>239</v>
      </c>
    </row>
    <row r="29" spans="1:22" ht="15.75" thickTop="1">
      <c r="A29" s="452" t="s">
        <v>649</v>
      </c>
      <c r="B29" s="453" t="s">
        <v>58</v>
      </c>
      <c r="C29" s="453" t="s">
        <v>55</v>
      </c>
      <c r="D29" s="713" t="s">
        <v>650</v>
      </c>
      <c r="E29" s="453" t="s">
        <v>77</v>
      </c>
      <c r="F29" s="714"/>
      <c r="G29" s="455">
        <v>120000</v>
      </c>
      <c r="H29" s="453" t="s">
        <v>112</v>
      </c>
      <c r="I29" s="456">
        <v>42345</v>
      </c>
      <c r="J29" s="456">
        <v>42355</v>
      </c>
      <c r="K29" s="453" t="s">
        <v>693</v>
      </c>
      <c r="L29" s="457">
        <f>M29/1.21</f>
        <v>118846.36363636365</v>
      </c>
      <c r="M29" s="457">
        <v>143804.1</v>
      </c>
      <c r="N29" s="456">
        <v>42401</v>
      </c>
      <c r="O29" s="453" t="s">
        <v>239</v>
      </c>
      <c r="P29" s="475" t="s">
        <v>239</v>
      </c>
    </row>
    <row r="30" spans="1:22">
      <c r="A30" s="501" t="s">
        <v>656</v>
      </c>
      <c r="B30" s="491" t="s">
        <v>654</v>
      </c>
      <c r="C30" s="491" t="s">
        <v>655</v>
      </c>
      <c r="D30" s="715" t="s">
        <v>657</v>
      </c>
      <c r="E30" s="491" t="s">
        <v>658</v>
      </c>
      <c r="F30" s="572" t="s">
        <v>878</v>
      </c>
      <c r="G30" s="558">
        <v>135000</v>
      </c>
      <c r="H30" s="491" t="s">
        <v>112</v>
      </c>
      <c r="I30" s="716">
        <v>42345</v>
      </c>
      <c r="J30" s="716">
        <v>42355</v>
      </c>
      <c r="K30" s="717" t="s">
        <v>682</v>
      </c>
      <c r="L30" s="536">
        <v>139600</v>
      </c>
      <c r="M30" s="536">
        <v>168916</v>
      </c>
      <c r="N30" s="716">
        <v>42391</v>
      </c>
      <c r="O30" s="491" t="s">
        <v>239</v>
      </c>
      <c r="P30" s="502" t="s">
        <v>239</v>
      </c>
    </row>
    <row r="31" spans="1:22" ht="15.75" customHeight="1">
      <c r="A31" s="501" t="s">
        <v>651</v>
      </c>
      <c r="B31" s="491" t="s">
        <v>58</v>
      </c>
      <c r="C31" s="491" t="s">
        <v>55</v>
      </c>
      <c r="D31" s="715" t="s">
        <v>652</v>
      </c>
      <c r="E31" s="491" t="s">
        <v>653</v>
      </c>
      <c r="F31" s="718"/>
      <c r="G31" s="558">
        <v>500000</v>
      </c>
      <c r="H31" s="491" t="s">
        <v>112</v>
      </c>
      <c r="I31" s="716">
        <v>42356</v>
      </c>
      <c r="J31" s="716">
        <v>42377</v>
      </c>
      <c r="K31" s="491" t="s">
        <v>710</v>
      </c>
      <c r="L31" s="536">
        <f>M31/1.21</f>
        <v>429500</v>
      </c>
      <c r="M31" s="536">
        <v>519695</v>
      </c>
      <c r="N31" s="716">
        <v>42411</v>
      </c>
      <c r="O31" s="491" t="s">
        <v>239</v>
      </c>
      <c r="P31" s="502" t="s">
        <v>239</v>
      </c>
    </row>
    <row r="32" spans="1:22" ht="15.75" thickBot="1">
      <c r="A32" s="446" t="s">
        <v>669</v>
      </c>
      <c r="B32" s="447" t="s">
        <v>69</v>
      </c>
      <c r="C32" s="447" t="s">
        <v>668</v>
      </c>
      <c r="D32" s="774" t="s">
        <v>670</v>
      </c>
      <c r="E32" s="447" t="s">
        <v>671</v>
      </c>
      <c r="F32" s="690"/>
      <c r="G32" s="449">
        <v>39182000</v>
      </c>
      <c r="H32" s="447" t="s">
        <v>251</v>
      </c>
      <c r="I32" s="460">
        <v>42464</v>
      </c>
      <c r="J32" s="477">
        <v>42559</v>
      </c>
      <c r="K32" s="461" t="s">
        <v>1389</v>
      </c>
      <c r="L32" s="775">
        <v>33976800</v>
      </c>
      <c r="M32" s="450">
        <f>L32*1.1</f>
        <v>37374480</v>
      </c>
      <c r="N32" s="460">
        <v>42706</v>
      </c>
      <c r="O32" s="460">
        <v>42710</v>
      </c>
      <c r="P32" s="1560">
        <v>43619</v>
      </c>
    </row>
    <row r="33" spans="1:17" ht="15.75" thickTop="1">
      <c r="A33" s="660" t="s">
        <v>679</v>
      </c>
      <c r="B33" s="605" t="s">
        <v>289</v>
      </c>
      <c r="C33" s="605" t="s">
        <v>291</v>
      </c>
      <c r="D33" s="661" t="s">
        <v>874</v>
      </c>
      <c r="E33" s="650" t="s">
        <v>680</v>
      </c>
      <c r="F33" s="419" t="s">
        <v>879</v>
      </c>
      <c r="G33" s="127">
        <v>1900000</v>
      </c>
      <c r="H33" s="605" t="s">
        <v>251</v>
      </c>
      <c r="I33" s="252">
        <v>42384</v>
      </c>
      <c r="J33" s="252">
        <v>42447</v>
      </c>
      <c r="K33" s="651" t="s">
        <v>946</v>
      </c>
      <c r="L33" s="364">
        <v>1776000</v>
      </c>
      <c r="M33" s="364">
        <v>2148960</v>
      </c>
      <c r="N33" s="252">
        <v>42513</v>
      </c>
      <c r="O33" s="252">
        <v>42515</v>
      </c>
      <c r="P33" s="834">
        <v>42702</v>
      </c>
    </row>
    <row r="34" spans="1:17" ht="15.75" thickBot="1">
      <c r="A34" s="446" t="s">
        <v>679</v>
      </c>
      <c r="B34" s="447" t="s">
        <v>289</v>
      </c>
      <c r="C34" s="447" t="s">
        <v>291</v>
      </c>
      <c r="D34" s="458" t="s">
        <v>875</v>
      </c>
      <c r="E34" s="459" t="s">
        <v>680</v>
      </c>
      <c r="F34" s="448" t="s">
        <v>880</v>
      </c>
      <c r="G34" s="449">
        <v>1250000</v>
      </c>
      <c r="H34" s="447" t="s">
        <v>251</v>
      </c>
      <c r="I34" s="460">
        <v>42384</v>
      </c>
      <c r="J34" s="460">
        <v>42447</v>
      </c>
      <c r="K34" s="461" t="s">
        <v>946</v>
      </c>
      <c r="L34" s="450">
        <v>1233000</v>
      </c>
      <c r="M34" s="450">
        <v>1491930</v>
      </c>
      <c r="N34" s="460">
        <v>42513</v>
      </c>
      <c r="O34" s="460">
        <v>42515</v>
      </c>
      <c r="P34" s="868">
        <v>42758</v>
      </c>
    </row>
    <row r="35" spans="1:17" ht="15.75" thickTop="1">
      <c r="A35" s="420" t="s">
        <v>690</v>
      </c>
      <c r="B35" s="420" t="s">
        <v>218</v>
      </c>
      <c r="C35" s="420" t="s">
        <v>57</v>
      </c>
      <c r="D35" s="362" t="s">
        <v>674</v>
      </c>
      <c r="E35" s="420" t="s">
        <v>675</v>
      </c>
      <c r="F35" s="421"/>
      <c r="G35" s="127">
        <v>3174500</v>
      </c>
      <c r="H35" s="420" t="s">
        <v>216</v>
      </c>
      <c r="I35" s="252">
        <v>42349</v>
      </c>
      <c r="J35" s="252">
        <v>42374</v>
      </c>
      <c r="K35" s="420" t="s">
        <v>711</v>
      </c>
      <c r="L35" s="364">
        <v>3174265</v>
      </c>
      <c r="M35" s="364">
        <v>3650404.75</v>
      </c>
      <c r="N35" s="252">
        <v>42403</v>
      </c>
      <c r="O35" s="365">
        <v>42408</v>
      </c>
      <c r="P35" s="365">
        <v>42800</v>
      </c>
      <c r="Q35" s="1206">
        <v>43181</v>
      </c>
    </row>
    <row r="36" spans="1:17" ht="15.75" thickBot="1">
      <c r="A36" s="151" t="s">
        <v>676</v>
      </c>
      <c r="B36" s="151" t="s">
        <v>289</v>
      </c>
      <c r="C36" s="151" t="s">
        <v>291</v>
      </c>
      <c r="D36" s="397" t="s">
        <v>677</v>
      </c>
      <c r="E36" s="398" t="s">
        <v>678</v>
      </c>
      <c r="F36" s="399" t="s">
        <v>881</v>
      </c>
      <c r="G36" s="142">
        <v>4500000</v>
      </c>
      <c r="H36" s="151" t="s">
        <v>251</v>
      </c>
      <c r="I36" s="153">
        <v>42402</v>
      </c>
      <c r="J36" s="153">
        <v>42458</v>
      </c>
      <c r="K36" s="140" t="s">
        <v>304</v>
      </c>
      <c r="L36" s="400"/>
      <c r="M36" s="400"/>
      <c r="N36" s="153"/>
      <c r="O36" s="153">
        <v>42459</v>
      </c>
      <c r="P36" s="151"/>
      <c r="Q36" s="9"/>
    </row>
    <row r="37" spans="1:17" ht="15.75" thickBot="1">
      <c r="A37" s="621" t="s">
        <v>695</v>
      </c>
      <c r="B37" s="621" t="s">
        <v>14</v>
      </c>
      <c r="C37" s="621" t="s">
        <v>13</v>
      </c>
      <c r="D37" s="622" t="s">
        <v>672</v>
      </c>
      <c r="E37" s="623" t="s">
        <v>673</v>
      </c>
      <c r="F37" s="624" t="s">
        <v>694</v>
      </c>
      <c r="G37" s="625">
        <v>1980000</v>
      </c>
      <c r="H37" s="621" t="s">
        <v>112</v>
      </c>
      <c r="I37" s="626">
        <v>42376</v>
      </c>
      <c r="J37" s="626">
        <v>42388</v>
      </c>
      <c r="K37" s="627" t="s">
        <v>708</v>
      </c>
      <c r="L37" s="628">
        <v>1894554</v>
      </c>
      <c r="M37" s="628">
        <v>2292410.34</v>
      </c>
      <c r="N37" s="626">
        <v>42411</v>
      </c>
      <c r="O37" s="626">
        <v>42412</v>
      </c>
      <c r="P37" s="621" t="s">
        <v>239</v>
      </c>
    </row>
    <row r="38" spans="1:17" ht="15" customHeight="1" thickTop="1" thickBot="1">
      <c r="A38" s="719" t="s">
        <v>704</v>
      </c>
      <c r="B38" s="707" t="s">
        <v>367</v>
      </c>
      <c r="C38" s="707" t="s">
        <v>295</v>
      </c>
      <c r="D38" s="704" t="s">
        <v>705</v>
      </c>
      <c r="E38" s="707" t="s">
        <v>706</v>
      </c>
      <c r="F38" s="705"/>
      <c r="G38" s="706">
        <v>1160000</v>
      </c>
      <c r="H38" s="707" t="s">
        <v>95</v>
      </c>
      <c r="I38" s="711">
        <v>42380</v>
      </c>
      <c r="J38" s="711">
        <v>42389</v>
      </c>
      <c r="K38" s="707" t="s">
        <v>1137</v>
      </c>
      <c r="L38" s="710">
        <f>M38/1.21</f>
        <v>234170.00000000003</v>
      </c>
      <c r="M38" s="710">
        <v>283345.7</v>
      </c>
      <c r="N38" s="711">
        <v>42545</v>
      </c>
      <c r="O38" s="707" t="s">
        <v>239</v>
      </c>
      <c r="P38" s="712" t="s">
        <v>239</v>
      </c>
    </row>
    <row r="39" spans="1:17" ht="15" customHeight="1" thickTop="1">
      <c r="A39" s="605" t="s">
        <v>720</v>
      </c>
      <c r="B39" s="605" t="s">
        <v>14</v>
      </c>
      <c r="C39" s="605" t="s">
        <v>13</v>
      </c>
      <c r="D39" s="175" t="s">
        <v>721</v>
      </c>
      <c r="E39" s="605" t="s">
        <v>722</v>
      </c>
      <c r="F39" s="419"/>
      <c r="G39" s="127">
        <v>756200</v>
      </c>
      <c r="H39" s="605" t="s">
        <v>235</v>
      </c>
      <c r="I39" s="365">
        <v>42398</v>
      </c>
      <c r="J39" s="365">
        <v>42409</v>
      </c>
      <c r="K39" s="605" t="s">
        <v>754</v>
      </c>
      <c r="L39" s="364">
        <v>633000</v>
      </c>
      <c r="M39" s="364">
        <v>765990</v>
      </c>
      <c r="N39" s="365">
        <v>42422</v>
      </c>
      <c r="O39" s="365">
        <v>42424</v>
      </c>
      <c r="P39" s="365">
        <v>42758</v>
      </c>
    </row>
    <row r="40" spans="1:17" ht="15" customHeight="1">
      <c r="A40" s="31" t="s">
        <v>717</v>
      </c>
      <c r="B40" s="31" t="s">
        <v>58</v>
      </c>
      <c r="C40" s="31" t="s">
        <v>55</v>
      </c>
      <c r="D40" s="36" t="s">
        <v>718</v>
      </c>
      <c r="E40" s="31" t="s">
        <v>731</v>
      </c>
      <c r="F40" s="67"/>
      <c r="G40" s="29">
        <v>1400000</v>
      </c>
      <c r="H40" s="31" t="s">
        <v>112</v>
      </c>
      <c r="I40" s="90">
        <v>42394</v>
      </c>
      <c r="J40" s="90">
        <v>42404</v>
      </c>
      <c r="K40" s="31" t="s">
        <v>749</v>
      </c>
      <c r="L40" s="40">
        <v>1077477</v>
      </c>
      <c r="M40" s="40">
        <v>1303730</v>
      </c>
      <c r="N40" s="90">
        <v>42419</v>
      </c>
      <c r="O40" s="90">
        <v>42425</v>
      </c>
      <c r="P40" s="31" t="s">
        <v>239</v>
      </c>
    </row>
    <row r="41" spans="1:17" ht="15.75" thickBot="1">
      <c r="A41" s="411" t="s">
        <v>723</v>
      </c>
      <c r="B41" s="411" t="s">
        <v>14</v>
      </c>
      <c r="C41" s="411" t="s">
        <v>13</v>
      </c>
      <c r="D41" s="412" t="s">
        <v>724</v>
      </c>
      <c r="E41" s="411" t="s">
        <v>725</v>
      </c>
      <c r="F41" s="414"/>
      <c r="G41" s="415">
        <v>107500</v>
      </c>
      <c r="H41" s="411" t="s">
        <v>235</v>
      </c>
      <c r="I41" s="416">
        <v>42416</v>
      </c>
      <c r="J41" s="416">
        <v>42424</v>
      </c>
      <c r="K41" s="411" t="s">
        <v>25</v>
      </c>
      <c r="L41" s="417">
        <v>111000</v>
      </c>
      <c r="M41" s="417">
        <v>134310</v>
      </c>
      <c r="N41" s="416">
        <v>42443</v>
      </c>
      <c r="O41" s="416">
        <v>42445</v>
      </c>
      <c r="P41" s="416">
        <v>42800</v>
      </c>
    </row>
    <row r="42" spans="1:17" ht="15.75" thickTop="1">
      <c r="A42" s="452" t="s">
        <v>726</v>
      </c>
      <c r="B42" s="453" t="s">
        <v>58</v>
      </c>
      <c r="C42" s="453" t="s">
        <v>55</v>
      </c>
      <c r="D42" s="473" t="s">
        <v>727</v>
      </c>
      <c r="E42" s="453" t="s">
        <v>719</v>
      </c>
      <c r="F42" s="454"/>
      <c r="G42" s="455">
        <v>410000</v>
      </c>
      <c r="H42" s="453" t="s">
        <v>112</v>
      </c>
      <c r="I42" s="474">
        <v>42396</v>
      </c>
      <c r="J42" s="474">
        <v>42410</v>
      </c>
      <c r="K42" s="453" t="s">
        <v>903</v>
      </c>
      <c r="L42" s="457">
        <v>378248</v>
      </c>
      <c r="M42" s="457">
        <v>457681</v>
      </c>
      <c r="N42" s="474">
        <v>42527</v>
      </c>
      <c r="O42" s="453" t="s">
        <v>239</v>
      </c>
      <c r="P42" s="475" t="s">
        <v>239</v>
      </c>
    </row>
    <row r="43" spans="1:17" ht="15.75" thickBot="1">
      <c r="A43" s="446" t="s">
        <v>728</v>
      </c>
      <c r="B43" s="447" t="s">
        <v>58</v>
      </c>
      <c r="C43" s="447" t="s">
        <v>55</v>
      </c>
      <c r="D43" s="476" t="s">
        <v>729</v>
      </c>
      <c r="E43" s="447" t="s">
        <v>730</v>
      </c>
      <c r="F43" s="448"/>
      <c r="G43" s="449">
        <v>330000</v>
      </c>
      <c r="H43" s="447" t="s">
        <v>112</v>
      </c>
      <c r="I43" s="477">
        <v>42396</v>
      </c>
      <c r="J43" s="477">
        <v>42409</v>
      </c>
      <c r="K43" s="447" t="s">
        <v>767</v>
      </c>
      <c r="L43" s="450">
        <v>258372</v>
      </c>
      <c r="M43" s="450">
        <v>297128</v>
      </c>
      <c r="N43" s="477">
        <v>42447</v>
      </c>
      <c r="O43" s="447" t="s">
        <v>239</v>
      </c>
      <c r="P43" s="478" t="s">
        <v>239</v>
      </c>
    </row>
    <row r="44" spans="1:17" ht="15.75" thickTop="1">
      <c r="A44" s="605" t="s">
        <v>732</v>
      </c>
      <c r="B44" s="605" t="s">
        <v>69</v>
      </c>
      <c r="C44" s="605" t="s">
        <v>70</v>
      </c>
      <c r="D44" s="175" t="s">
        <v>733</v>
      </c>
      <c r="E44" s="605" t="s">
        <v>42</v>
      </c>
      <c r="F44" s="419"/>
      <c r="G44" s="127">
        <v>1707247</v>
      </c>
      <c r="H44" s="605" t="s">
        <v>112</v>
      </c>
      <c r="I44" s="365">
        <v>42397</v>
      </c>
      <c r="J44" s="365">
        <v>42405</v>
      </c>
      <c r="K44" s="605" t="s">
        <v>768</v>
      </c>
      <c r="L44" s="364">
        <v>1592118</v>
      </c>
      <c r="M44" s="364">
        <v>1926463</v>
      </c>
      <c r="N44" s="365">
        <v>42439</v>
      </c>
      <c r="O44" s="365">
        <v>42439</v>
      </c>
      <c r="P44" s="605" t="s">
        <v>239</v>
      </c>
    </row>
    <row r="45" spans="1:17">
      <c r="A45" s="31" t="s">
        <v>734</v>
      </c>
      <c r="B45" s="31" t="s">
        <v>14</v>
      </c>
      <c r="C45" s="31" t="s">
        <v>13</v>
      </c>
      <c r="D45" s="36" t="s">
        <v>735</v>
      </c>
      <c r="E45" s="31" t="s">
        <v>21</v>
      </c>
      <c r="F45" s="67"/>
      <c r="G45" s="29">
        <v>794000</v>
      </c>
      <c r="H45" s="31" t="s">
        <v>235</v>
      </c>
      <c r="I45" s="90">
        <v>42418</v>
      </c>
      <c r="J45" s="90">
        <v>42446</v>
      </c>
      <c r="K45" s="31" t="s">
        <v>20</v>
      </c>
      <c r="L45" s="40">
        <f>M45/1.21</f>
        <v>713740</v>
      </c>
      <c r="M45" s="40">
        <v>863625.4</v>
      </c>
      <c r="N45" s="90">
        <v>42464</v>
      </c>
      <c r="O45" s="90">
        <v>42467</v>
      </c>
      <c r="P45" s="90">
        <v>42779</v>
      </c>
    </row>
    <row r="46" spans="1:17">
      <c r="A46" s="31" t="s">
        <v>738</v>
      </c>
      <c r="B46" s="31" t="s">
        <v>58</v>
      </c>
      <c r="C46" s="31" t="s">
        <v>55</v>
      </c>
      <c r="D46" s="36" t="s">
        <v>736</v>
      </c>
      <c r="E46" s="355" t="s">
        <v>737</v>
      </c>
      <c r="F46" s="67" t="s">
        <v>884</v>
      </c>
      <c r="G46" s="29">
        <v>1800000</v>
      </c>
      <c r="H46" s="31" t="s">
        <v>112</v>
      </c>
      <c r="I46" s="90">
        <v>42403</v>
      </c>
      <c r="J46" s="90">
        <v>42415</v>
      </c>
      <c r="K46" s="31" t="s">
        <v>769</v>
      </c>
      <c r="L46" s="40">
        <v>1318328</v>
      </c>
      <c r="M46" s="40">
        <v>1595176.88</v>
      </c>
      <c r="N46" s="90">
        <v>42453</v>
      </c>
      <c r="O46" s="90">
        <v>42453</v>
      </c>
      <c r="P46" s="31" t="s">
        <v>239</v>
      </c>
    </row>
    <row r="47" spans="1:17" ht="15.75" thickBot="1">
      <c r="A47" s="411" t="s">
        <v>747</v>
      </c>
      <c r="B47" s="411" t="s">
        <v>702</v>
      </c>
      <c r="C47" s="411" t="s">
        <v>751</v>
      </c>
      <c r="D47" s="412" t="s">
        <v>748</v>
      </c>
      <c r="E47" s="411" t="s">
        <v>429</v>
      </c>
      <c r="F47" s="414"/>
      <c r="G47" s="415">
        <v>1990000</v>
      </c>
      <c r="H47" s="411" t="s">
        <v>112</v>
      </c>
      <c r="I47" s="416">
        <v>42405</v>
      </c>
      <c r="J47" s="416">
        <v>42417</v>
      </c>
      <c r="K47" s="411" t="s">
        <v>795</v>
      </c>
      <c r="L47" s="417">
        <f>1988400/2</f>
        <v>994200</v>
      </c>
      <c r="M47" s="417">
        <f>2405964/2</f>
        <v>1202982</v>
      </c>
      <c r="N47" s="416">
        <v>42593</v>
      </c>
      <c r="O47" s="416">
        <v>42594</v>
      </c>
      <c r="P47" s="416">
        <v>43249</v>
      </c>
    </row>
    <row r="48" spans="1:17" ht="16.5" thickTop="1" thickBot="1">
      <c r="A48" s="719" t="s">
        <v>750</v>
      </c>
      <c r="B48" s="707" t="s">
        <v>58</v>
      </c>
      <c r="C48" s="707" t="s">
        <v>55</v>
      </c>
      <c r="D48" s="720" t="s">
        <v>752</v>
      </c>
      <c r="E48" s="707" t="s">
        <v>753</v>
      </c>
      <c r="F48" s="705" t="s">
        <v>1442</v>
      </c>
      <c r="G48" s="706">
        <v>330000</v>
      </c>
      <c r="H48" s="707" t="s">
        <v>112</v>
      </c>
      <c r="I48" s="711">
        <v>42409</v>
      </c>
      <c r="J48" s="711">
        <v>42417</v>
      </c>
      <c r="K48" s="707" t="s">
        <v>796</v>
      </c>
      <c r="L48" s="710">
        <v>331256</v>
      </c>
      <c r="M48" s="710">
        <v>400819.8</v>
      </c>
      <c r="N48" s="711">
        <v>42429</v>
      </c>
      <c r="O48" s="707" t="s">
        <v>239</v>
      </c>
      <c r="P48" s="712" t="s">
        <v>239</v>
      </c>
    </row>
    <row r="49" spans="1:20" ht="15.75" thickTop="1">
      <c r="A49" s="605" t="s">
        <v>900</v>
      </c>
      <c r="B49" s="605" t="s">
        <v>52</v>
      </c>
      <c r="C49" s="605" t="s">
        <v>227</v>
      </c>
      <c r="D49" s="166" t="s">
        <v>901</v>
      </c>
      <c r="E49" s="652" t="s">
        <v>33</v>
      </c>
      <c r="F49" s="419"/>
      <c r="G49" s="127">
        <v>148500</v>
      </c>
      <c r="H49" s="605" t="s">
        <v>645</v>
      </c>
      <c r="I49" s="365">
        <v>42409</v>
      </c>
      <c r="J49" s="365">
        <v>42409</v>
      </c>
      <c r="K49" s="605" t="s">
        <v>707</v>
      </c>
      <c r="L49" s="364">
        <v>148500</v>
      </c>
      <c r="M49" s="364">
        <v>179685</v>
      </c>
      <c r="N49" s="365">
        <v>42356</v>
      </c>
      <c r="O49" s="365">
        <v>42410</v>
      </c>
      <c r="P49" s="365">
        <v>44200</v>
      </c>
    </row>
    <row r="50" spans="1:20">
      <c r="A50" s="31" t="s">
        <v>755</v>
      </c>
      <c r="B50" s="31" t="s">
        <v>58</v>
      </c>
      <c r="C50" s="31" t="s">
        <v>55</v>
      </c>
      <c r="D50" s="36" t="s">
        <v>798</v>
      </c>
      <c r="E50" s="31" t="s">
        <v>756</v>
      </c>
      <c r="F50" s="67" t="s">
        <v>1443</v>
      </c>
      <c r="G50" s="29">
        <v>775000</v>
      </c>
      <c r="H50" s="31" t="s">
        <v>112</v>
      </c>
      <c r="I50" s="90">
        <v>42412</v>
      </c>
      <c r="J50" s="90">
        <v>42423</v>
      </c>
      <c r="K50" s="31" t="s">
        <v>769</v>
      </c>
      <c r="L50" s="40">
        <f>M50/1.21</f>
        <v>557300</v>
      </c>
      <c r="M50" s="40">
        <v>674333</v>
      </c>
      <c r="N50" s="90">
        <v>42460</v>
      </c>
      <c r="O50" s="90">
        <v>42460</v>
      </c>
      <c r="P50" s="31" t="s">
        <v>239</v>
      </c>
    </row>
    <row r="51" spans="1:20">
      <c r="A51" s="31" t="s">
        <v>755</v>
      </c>
      <c r="B51" s="31" t="s">
        <v>58</v>
      </c>
      <c r="C51" s="31" t="s">
        <v>55</v>
      </c>
      <c r="D51" s="36" t="s">
        <v>799</v>
      </c>
      <c r="E51" s="31" t="s">
        <v>756</v>
      </c>
      <c r="F51" s="67" t="s">
        <v>1443</v>
      </c>
      <c r="G51" s="29">
        <v>50000</v>
      </c>
      <c r="H51" s="31" t="s">
        <v>112</v>
      </c>
      <c r="I51" s="90">
        <v>42412</v>
      </c>
      <c r="J51" s="90">
        <v>42423</v>
      </c>
      <c r="K51" s="31" t="s">
        <v>800</v>
      </c>
      <c r="L51" s="40">
        <f>M51/1.21</f>
        <v>42999</v>
      </c>
      <c r="M51" s="40">
        <v>52028.79</v>
      </c>
      <c r="N51" s="90">
        <v>42452</v>
      </c>
      <c r="O51" s="90">
        <v>42460</v>
      </c>
      <c r="P51" s="31" t="s">
        <v>239</v>
      </c>
    </row>
    <row r="52" spans="1:20" ht="15.75" thickBot="1">
      <c r="A52" s="411" t="s">
        <v>758</v>
      </c>
      <c r="B52" s="411" t="s">
        <v>58</v>
      </c>
      <c r="C52" s="411" t="s">
        <v>55</v>
      </c>
      <c r="D52" s="412" t="s">
        <v>757</v>
      </c>
      <c r="E52" s="411" t="s">
        <v>759</v>
      </c>
      <c r="F52" s="414" t="s">
        <v>1444</v>
      </c>
      <c r="G52" s="415">
        <v>1157000</v>
      </c>
      <c r="H52" s="411" t="s">
        <v>112</v>
      </c>
      <c r="I52" s="416">
        <v>42412</v>
      </c>
      <c r="J52" s="416">
        <v>42425</v>
      </c>
      <c r="K52" s="411" t="s">
        <v>803</v>
      </c>
      <c r="L52" s="417">
        <v>1108000</v>
      </c>
      <c r="M52" s="417">
        <v>1340680</v>
      </c>
      <c r="N52" s="416">
        <v>42450</v>
      </c>
      <c r="O52" s="416">
        <v>42450</v>
      </c>
      <c r="P52" s="411" t="s">
        <v>239</v>
      </c>
    </row>
    <row r="53" spans="1:20" ht="15.75" thickBot="1">
      <c r="A53" s="550" t="s">
        <v>802</v>
      </c>
      <c r="B53" s="248" t="s">
        <v>69</v>
      </c>
      <c r="C53" s="248" t="s">
        <v>70</v>
      </c>
      <c r="D53" s="284" t="s">
        <v>770</v>
      </c>
      <c r="E53" s="248" t="s">
        <v>42</v>
      </c>
      <c r="F53" s="551"/>
      <c r="G53" s="552">
        <v>7880000</v>
      </c>
      <c r="H53" s="248" t="s">
        <v>251</v>
      </c>
      <c r="I53" s="553">
        <v>42488</v>
      </c>
      <c r="J53" s="553">
        <v>42598</v>
      </c>
      <c r="K53" s="248" t="s">
        <v>1311</v>
      </c>
      <c r="L53" s="554">
        <v>2996000</v>
      </c>
      <c r="M53" s="554">
        <v>3625160</v>
      </c>
      <c r="N53" s="553">
        <v>42661</v>
      </c>
      <c r="O53" s="553">
        <v>42669</v>
      </c>
      <c r="P53" s="951" t="s">
        <v>239</v>
      </c>
      <c r="Q53" s="1206">
        <v>43175</v>
      </c>
      <c r="R53" s="1499">
        <v>43550</v>
      </c>
      <c r="S53" s="1499" t="s">
        <v>6678</v>
      </c>
      <c r="T53" s="1560">
        <v>44280</v>
      </c>
    </row>
    <row r="54" spans="1:20" ht="15.75" thickTop="1">
      <c r="A54" s="452" t="s">
        <v>801</v>
      </c>
      <c r="B54" s="453" t="s">
        <v>69</v>
      </c>
      <c r="C54" s="453" t="s">
        <v>70</v>
      </c>
      <c r="D54" s="473" t="s">
        <v>1015</v>
      </c>
      <c r="E54" s="453" t="s">
        <v>68</v>
      </c>
      <c r="F54" s="454"/>
      <c r="G54" s="455">
        <v>1289848.5</v>
      </c>
      <c r="H54" s="453" t="s">
        <v>251</v>
      </c>
      <c r="I54" s="474">
        <v>42461</v>
      </c>
      <c r="J54" s="474">
        <v>42599</v>
      </c>
      <c r="K54" s="453" t="s">
        <v>576</v>
      </c>
      <c r="L54" s="457">
        <v>1289590.5</v>
      </c>
      <c r="M54" s="457">
        <f>L54*1.1</f>
        <v>1418549.55</v>
      </c>
      <c r="N54" s="474">
        <v>42681</v>
      </c>
      <c r="O54" s="474">
        <v>42684</v>
      </c>
      <c r="P54" s="575">
        <v>42818</v>
      </c>
      <c r="Q54" s="1206">
        <v>43111</v>
      </c>
    </row>
    <row r="55" spans="1:20">
      <c r="A55" s="501" t="s">
        <v>801</v>
      </c>
      <c r="B55" s="491" t="s">
        <v>69</v>
      </c>
      <c r="C55" s="491" t="s">
        <v>70</v>
      </c>
      <c r="D55" s="571" t="s">
        <v>1016</v>
      </c>
      <c r="E55" s="491" t="s">
        <v>68</v>
      </c>
      <c r="F55" s="572"/>
      <c r="G55" s="558">
        <v>11063526.720000001</v>
      </c>
      <c r="H55" s="491" t="s">
        <v>251</v>
      </c>
      <c r="I55" s="537">
        <v>42461</v>
      </c>
      <c r="J55" s="537">
        <v>42599</v>
      </c>
      <c r="K55" s="491" t="s">
        <v>1233</v>
      </c>
      <c r="L55" s="536">
        <v>11063526.720000001</v>
      </c>
      <c r="M55" s="536">
        <f>L55*1.1</f>
        <v>12169879.392000001</v>
      </c>
      <c r="N55" s="537">
        <v>42681</v>
      </c>
      <c r="O55" s="537">
        <v>42684</v>
      </c>
      <c r="P55" s="852">
        <v>42818</v>
      </c>
      <c r="Q55" s="1206">
        <v>43111</v>
      </c>
    </row>
    <row r="56" spans="1:20">
      <c r="A56" s="515" t="s">
        <v>801</v>
      </c>
      <c r="B56" s="506" t="s">
        <v>69</v>
      </c>
      <c r="C56" s="506" t="s">
        <v>70</v>
      </c>
      <c r="D56" s="507" t="s">
        <v>1017</v>
      </c>
      <c r="E56" s="506" t="s">
        <v>68</v>
      </c>
      <c r="F56" s="508"/>
      <c r="G56" s="509">
        <v>7226832.7999999998</v>
      </c>
      <c r="H56" s="506" t="s">
        <v>251</v>
      </c>
      <c r="I56" s="510">
        <v>42461</v>
      </c>
      <c r="J56" s="510">
        <v>42599</v>
      </c>
      <c r="K56" s="761" t="s">
        <v>304</v>
      </c>
      <c r="L56" s="511"/>
      <c r="M56" s="511"/>
      <c r="N56" s="506"/>
      <c r="O56" s="506"/>
      <c r="P56" s="521"/>
      <c r="Q56" s="390"/>
    </row>
    <row r="57" spans="1:20">
      <c r="A57" s="501" t="s">
        <v>801</v>
      </c>
      <c r="B57" s="491" t="s">
        <v>69</v>
      </c>
      <c r="C57" s="491" t="s">
        <v>70</v>
      </c>
      <c r="D57" s="571" t="s">
        <v>1018</v>
      </c>
      <c r="E57" s="491" t="s">
        <v>68</v>
      </c>
      <c r="F57" s="572"/>
      <c r="G57" s="558">
        <v>17433348.600000001</v>
      </c>
      <c r="H57" s="491" t="s">
        <v>251</v>
      </c>
      <c r="I57" s="537">
        <v>42461</v>
      </c>
      <c r="J57" s="537">
        <v>42599</v>
      </c>
      <c r="K57" s="777" t="s">
        <v>576</v>
      </c>
      <c r="L57" s="536">
        <v>17673481.199999999</v>
      </c>
      <c r="M57" s="536">
        <f>L57*1.1</f>
        <v>19440829.32</v>
      </c>
      <c r="N57" s="537">
        <v>42681</v>
      </c>
      <c r="O57" s="537">
        <v>42684</v>
      </c>
      <c r="P57" s="852">
        <v>42818</v>
      </c>
      <c r="Q57" s="1206">
        <v>43111</v>
      </c>
    </row>
    <row r="58" spans="1:20">
      <c r="A58" s="501" t="s">
        <v>801</v>
      </c>
      <c r="B58" s="491" t="s">
        <v>69</v>
      </c>
      <c r="C58" s="491" t="s">
        <v>70</v>
      </c>
      <c r="D58" s="571" t="s">
        <v>1019</v>
      </c>
      <c r="E58" s="491" t="s">
        <v>68</v>
      </c>
      <c r="F58" s="572"/>
      <c r="G58" s="558">
        <v>18845952</v>
      </c>
      <c r="H58" s="491" t="s">
        <v>251</v>
      </c>
      <c r="I58" s="537">
        <v>42461</v>
      </c>
      <c r="J58" s="537">
        <v>42599</v>
      </c>
      <c r="K58" s="491" t="s">
        <v>1195</v>
      </c>
      <c r="L58" s="536">
        <v>18147607.039999999</v>
      </c>
      <c r="M58" s="536">
        <f>L58*1.1</f>
        <v>19962367.743999999</v>
      </c>
      <c r="N58" s="537">
        <v>42681</v>
      </c>
      <c r="O58" s="537">
        <v>42684</v>
      </c>
      <c r="P58" s="852">
        <v>42818</v>
      </c>
      <c r="Q58" s="1206">
        <v>43111</v>
      </c>
    </row>
    <row r="59" spans="1:20">
      <c r="A59" s="515" t="s">
        <v>801</v>
      </c>
      <c r="B59" s="506" t="s">
        <v>69</v>
      </c>
      <c r="C59" s="506" t="s">
        <v>70</v>
      </c>
      <c r="D59" s="507" t="s">
        <v>1020</v>
      </c>
      <c r="E59" s="506" t="s">
        <v>68</v>
      </c>
      <c r="F59" s="508"/>
      <c r="G59" s="509">
        <v>1757174.4</v>
      </c>
      <c r="H59" s="506" t="s">
        <v>251</v>
      </c>
      <c r="I59" s="510">
        <v>42461</v>
      </c>
      <c r="J59" s="510">
        <v>42599</v>
      </c>
      <c r="K59" s="761" t="s">
        <v>304</v>
      </c>
      <c r="L59" s="511"/>
      <c r="M59" s="511"/>
      <c r="N59" s="506"/>
      <c r="O59" s="506"/>
      <c r="P59" s="521"/>
      <c r="Q59" s="390"/>
    </row>
    <row r="60" spans="1:20">
      <c r="A60" s="501" t="s">
        <v>801</v>
      </c>
      <c r="B60" s="491" t="s">
        <v>69</v>
      </c>
      <c r="C60" s="491" t="s">
        <v>70</v>
      </c>
      <c r="D60" s="571" t="s">
        <v>1021</v>
      </c>
      <c r="E60" s="491" t="s">
        <v>68</v>
      </c>
      <c r="F60" s="572"/>
      <c r="G60" s="558">
        <v>1447902.6</v>
      </c>
      <c r="H60" s="491" t="s">
        <v>251</v>
      </c>
      <c r="I60" s="537">
        <v>42461</v>
      </c>
      <c r="J60" s="537">
        <v>42599</v>
      </c>
      <c r="K60" s="491" t="s">
        <v>576</v>
      </c>
      <c r="L60" s="536">
        <v>1447920</v>
      </c>
      <c r="M60" s="536">
        <f>L60*1.1</f>
        <v>1592712.0000000002</v>
      </c>
      <c r="N60" s="537">
        <v>42681</v>
      </c>
      <c r="O60" s="537">
        <v>42684</v>
      </c>
      <c r="P60" s="852">
        <v>42818</v>
      </c>
      <c r="Q60" s="1206">
        <v>43111</v>
      </c>
    </row>
    <row r="61" spans="1:20" ht="15.75" thickBot="1">
      <c r="A61" s="446" t="s">
        <v>801</v>
      </c>
      <c r="B61" s="447" t="s">
        <v>69</v>
      </c>
      <c r="C61" s="447" t="s">
        <v>70</v>
      </c>
      <c r="D61" s="476" t="s">
        <v>1022</v>
      </c>
      <c r="E61" s="447" t="s">
        <v>68</v>
      </c>
      <c r="F61" s="448"/>
      <c r="G61" s="449">
        <v>7967565</v>
      </c>
      <c r="H61" s="447" t="s">
        <v>251</v>
      </c>
      <c r="I61" s="477">
        <v>42461</v>
      </c>
      <c r="J61" s="477">
        <v>42599</v>
      </c>
      <c r="K61" s="447" t="s">
        <v>576</v>
      </c>
      <c r="L61" s="450">
        <v>7965973.3499999996</v>
      </c>
      <c r="M61" s="450">
        <f>L61*1.1</f>
        <v>8762570.6850000005</v>
      </c>
      <c r="N61" s="477">
        <v>42681</v>
      </c>
      <c r="O61" s="477">
        <v>42684</v>
      </c>
      <c r="P61" s="868">
        <v>42818</v>
      </c>
      <c r="Q61" s="1206">
        <v>43111</v>
      </c>
    </row>
    <row r="62" spans="1:20" ht="15.75" thickTop="1">
      <c r="A62" s="418" t="s">
        <v>840</v>
      </c>
      <c r="B62" s="418" t="s">
        <v>289</v>
      </c>
      <c r="C62" s="418" t="s">
        <v>291</v>
      </c>
      <c r="D62" s="175" t="s">
        <v>766</v>
      </c>
      <c r="E62" s="418" t="s">
        <v>819</v>
      </c>
      <c r="F62" s="419"/>
      <c r="G62" s="127">
        <v>1400000</v>
      </c>
      <c r="H62" s="418" t="s">
        <v>95</v>
      </c>
      <c r="I62" s="365">
        <v>42432</v>
      </c>
      <c r="J62" s="365">
        <v>42444</v>
      </c>
      <c r="K62" s="418" t="s">
        <v>877</v>
      </c>
      <c r="L62" s="364">
        <v>359</v>
      </c>
      <c r="M62" s="364">
        <v>434.39</v>
      </c>
      <c r="N62" s="365">
        <v>42489</v>
      </c>
      <c r="O62" s="365">
        <v>42489</v>
      </c>
      <c r="P62" s="418" t="s">
        <v>239</v>
      </c>
    </row>
    <row r="63" spans="1:20">
      <c r="A63" s="31" t="s">
        <v>841</v>
      </c>
      <c r="B63" s="31" t="s">
        <v>52</v>
      </c>
      <c r="C63" s="31" t="s">
        <v>227</v>
      </c>
      <c r="D63" s="409" t="s">
        <v>842</v>
      </c>
      <c r="E63" s="31" t="s">
        <v>33</v>
      </c>
      <c r="F63" s="67" t="s">
        <v>887</v>
      </c>
      <c r="G63" s="29">
        <v>4850000</v>
      </c>
      <c r="H63" s="31" t="s">
        <v>112</v>
      </c>
      <c r="I63" s="90">
        <v>42446</v>
      </c>
      <c r="J63" s="90">
        <v>42464</v>
      </c>
      <c r="K63" s="31" t="s">
        <v>907</v>
      </c>
      <c r="L63" s="40">
        <v>3445805.92</v>
      </c>
      <c r="M63" s="40">
        <v>4169425.16</v>
      </c>
      <c r="N63" s="90">
        <v>42487</v>
      </c>
      <c r="O63" s="90">
        <v>42487</v>
      </c>
      <c r="P63" s="31" t="s">
        <v>239</v>
      </c>
    </row>
    <row r="64" spans="1:20" ht="15.75" thickBot="1">
      <c r="A64" s="411" t="s">
        <v>846</v>
      </c>
      <c r="B64" s="411" t="s">
        <v>14</v>
      </c>
      <c r="C64" s="411" t="s">
        <v>13</v>
      </c>
      <c r="D64" s="412" t="s">
        <v>847</v>
      </c>
      <c r="E64" s="411" t="s">
        <v>848</v>
      </c>
      <c r="F64" s="414" t="s">
        <v>760</v>
      </c>
      <c r="G64" s="415">
        <v>1490000</v>
      </c>
      <c r="H64" s="411" t="s">
        <v>112</v>
      </c>
      <c r="I64" s="416">
        <v>42437</v>
      </c>
      <c r="J64" s="416">
        <v>42447</v>
      </c>
      <c r="K64" s="630" t="s">
        <v>876</v>
      </c>
      <c r="L64" s="417">
        <v>1465800</v>
      </c>
      <c r="M64" s="417">
        <v>1773618</v>
      </c>
      <c r="N64" s="416">
        <v>42499</v>
      </c>
      <c r="O64" s="416">
        <v>42500</v>
      </c>
      <c r="P64" s="416">
        <v>42677</v>
      </c>
    </row>
    <row r="65" spans="1:17" ht="16.5" thickTop="1" thickBot="1">
      <c r="A65" s="721" t="s">
        <v>849</v>
      </c>
      <c r="B65" s="693" t="s">
        <v>58</v>
      </c>
      <c r="C65" s="693" t="s">
        <v>57</v>
      </c>
      <c r="D65" s="722" t="s">
        <v>851</v>
      </c>
      <c r="E65" s="693" t="s">
        <v>850</v>
      </c>
      <c r="F65" s="695" t="s">
        <v>885</v>
      </c>
      <c r="G65" s="696">
        <v>2479000</v>
      </c>
      <c r="H65" s="693" t="s">
        <v>216</v>
      </c>
      <c r="I65" s="723">
        <v>42450</v>
      </c>
      <c r="J65" s="723">
        <v>42472</v>
      </c>
      <c r="K65" s="725" t="s">
        <v>1441</v>
      </c>
      <c r="L65" s="699"/>
      <c r="M65" s="699"/>
      <c r="N65" s="693"/>
      <c r="O65" s="693"/>
      <c r="P65" s="701"/>
      <c r="Q65" s="9"/>
    </row>
    <row r="66" spans="1:17" ht="15.75" thickTop="1">
      <c r="A66" s="605" t="s">
        <v>854</v>
      </c>
      <c r="B66" s="605" t="s">
        <v>14</v>
      </c>
      <c r="C66" s="605" t="s">
        <v>13</v>
      </c>
      <c r="D66" s="175" t="s">
        <v>852</v>
      </c>
      <c r="E66" s="605" t="s">
        <v>773</v>
      </c>
      <c r="F66" s="419"/>
      <c r="G66" s="127">
        <v>6316116</v>
      </c>
      <c r="H66" s="605" t="s">
        <v>235</v>
      </c>
      <c r="I66" s="365">
        <v>42439</v>
      </c>
      <c r="J66" s="365">
        <v>42472</v>
      </c>
      <c r="K66" s="605" t="s">
        <v>924</v>
      </c>
      <c r="L66" s="364">
        <v>5680081</v>
      </c>
      <c r="M66" s="364">
        <v>6872898</v>
      </c>
      <c r="N66" s="365">
        <v>42506</v>
      </c>
      <c r="O66" s="365">
        <v>42507</v>
      </c>
      <c r="P66" s="365">
        <v>42807</v>
      </c>
    </row>
    <row r="67" spans="1:17" ht="15.75" thickBot="1">
      <c r="A67" s="411" t="s">
        <v>855</v>
      </c>
      <c r="B67" s="411" t="s">
        <v>14</v>
      </c>
      <c r="C67" s="411" t="s">
        <v>13</v>
      </c>
      <c r="D67" s="412" t="s">
        <v>853</v>
      </c>
      <c r="E67" s="411" t="s">
        <v>774</v>
      </c>
      <c r="F67" s="414"/>
      <c r="G67" s="415">
        <v>202314</v>
      </c>
      <c r="H67" s="411" t="s">
        <v>235</v>
      </c>
      <c r="I67" s="416">
        <v>42439</v>
      </c>
      <c r="J67" s="416">
        <v>42468</v>
      </c>
      <c r="K67" s="411" t="s">
        <v>25</v>
      </c>
      <c r="L67" s="417">
        <f>M67/1.21</f>
        <v>202500</v>
      </c>
      <c r="M67" s="417">
        <v>245025</v>
      </c>
      <c r="N67" s="416">
        <v>42506</v>
      </c>
      <c r="O67" s="416">
        <v>42509</v>
      </c>
      <c r="P67" s="416">
        <v>42695</v>
      </c>
    </row>
    <row r="68" spans="1:17" ht="15.75" thickTop="1">
      <c r="A68" s="452" t="s">
        <v>860</v>
      </c>
      <c r="B68" s="453" t="s">
        <v>58</v>
      </c>
      <c r="C68" s="453" t="s">
        <v>55</v>
      </c>
      <c r="D68" s="473" t="s">
        <v>857</v>
      </c>
      <c r="E68" s="516" t="s">
        <v>269</v>
      </c>
      <c r="F68" s="454" t="s">
        <v>886</v>
      </c>
      <c r="G68" s="455">
        <v>330600</v>
      </c>
      <c r="H68" s="453" t="s">
        <v>112</v>
      </c>
      <c r="I68" s="474">
        <v>42447</v>
      </c>
      <c r="J68" s="474">
        <v>42460</v>
      </c>
      <c r="K68" s="453" t="s">
        <v>902</v>
      </c>
      <c r="L68" s="457">
        <v>286631.86</v>
      </c>
      <c r="M68" s="457">
        <v>346825</v>
      </c>
      <c r="N68" s="474">
        <v>42482</v>
      </c>
      <c r="O68" s="453" t="s">
        <v>239</v>
      </c>
      <c r="P68" s="475" t="s">
        <v>239</v>
      </c>
    </row>
    <row r="69" spans="1:17" ht="15.75" thickBot="1">
      <c r="A69" s="430" t="s">
        <v>862</v>
      </c>
      <c r="B69" s="431" t="s">
        <v>58</v>
      </c>
      <c r="C69" s="431" t="s">
        <v>57</v>
      </c>
      <c r="D69" s="432" t="s">
        <v>861</v>
      </c>
      <c r="E69" s="726" t="s">
        <v>80</v>
      </c>
      <c r="F69" s="433" t="s">
        <v>888</v>
      </c>
      <c r="G69" s="434">
        <v>825000</v>
      </c>
      <c r="H69" s="431" t="s">
        <v>112</v>
      </c>
      <c r="I69" s="435">
        <v>42460</v>
      </c>
      <c r="J69" s="435">
        <v>42474</v>
      </c>
      <c r="K69" s="431" t="s">
        <v>922</v>
      </c>
      <c r="L69" s="436">
        <v>1051105</v>
      </c>
      <c r="M69" s="436">
        <v>1271837.05</v>
      </c>
      <c r="N69" s="431"/>
      <c r="O69" s="431"/>
      <c r="P69" s="535" t="s">
        <v>239</v>
      </c>
      <c r="Q69" s="9"/>
    </row>
    <row r="70" spans="1:17" ht="15.75" thickTop="1">
      <c r="A70" s="466" t="s">
        <v>863</v>
      </c>
      <c r="B70" s="466" t="s">
        <v>894</v>
      </c>
      <c r="C70" s="466" t="s">
        <v>201</v>
      </c>
      <c r="D70" s="467" t="s">
        <v>831</v>
      </c>
      <c r="E70" s="662" t="s">
        <v>240</v>
      </c>
      <c r="F70" s="468" t="s">
        <v>882</v>
      </c>
      <c r="G70" s="469">
        <v>2430000</v>
      </c>
      <c r="H70" s="466" t="s">
        <v>216</v>
      </c>
      <c r="I70" s="470">
        <v>42450</v>
      </c>
      <c r="J70" s="470">
        <v>42474</v>
      </c>
      <c r="K70" s="657" t="s">
        <v>713</v>
      </c>
      <c r="L70" s="472"/>
      <c r="M70" s="472"/>
      <c r="N70" s="466"/>
      <c r="O70" s="470">
        <v>42478</v>
      </c>
      <c r="P70" s="466"/>
      <c r="Q70" s="9"/>
    </row>
    <row r="71" spans="1:17" ht="15.75" thickBot="1">
      <c r="A71" s="411" t="s">
        <v>864</v>
      </c>
      <c r="B71" s="411" t="s">
        <v>58</v>
      </c>
      <c r="C71" s="411" t="s">
        <v>55</v>
      </c>
      <c r="D71" s="412" t="s">
        <v>866</v>
      </c>
      <c r="E71" s="631" t="s">
        <v>292</v>
      </c>
      <c r="F71" s="414"/>
      <c r="G71" s="415">
        <v>610000</v>
      </c>
      <c r="H71" s="411" t="s">
        <v>112</v>
      </c>
      <c r="I71" s="416">
        <v>42451</v>
      </c>
      <c r="J71" s="416">
        <v>42459</v>
      </c>
      <c r="K71" s="411" t="s">
        <v>903</v>
      </c>
      <c r="L71" s="417">
        <v>450396</v>
      </c>
      <c r="M71" s="417">
        <v>544979</v>
      </c>
      <c r="N71" s="416">
        <v>42510</v>
      </c>
      <c r="O71" s="416">
        <v>42513</v>
      </c>
      <c r="P71" s="416">
        <v>42677</v>
      </c>
    </row>
    <row r="72" spans="1:17" ht="16.5" thickTop="1" thickBot="1">
      <c r="A72" s="719" t="s">
        <v>865</v>
      </c>
      <c r="B72" s="707" t="s">
        <v>58</v>
      </c>
      <c r="C72" s="707" t="s">
        <v>55</v>
      </c>
      <c r="D72" s="720" t="s">
        <v>867</v>
      </c>
      <c r="E72" s="727" t="s">
        <v>292</v>
      </c>
      <c r="F72" s="705"/>
      <c r="G72" s="706">
        <v>260000</v>
      </c>
      <c r="H72" s="707" t="s">
        <v>112</v>
      </c>
      <c r="I72" s="707" t="s">
        <v>891</v>
      </c>
      <c r="J72" s="711">
        <v>42458</v>
      </c>
      <c r="K72" s="707" t="s">
        <v>903</v>
      </c>
      <c r="L72" s="710">
        <v>278461</v>
      </c>
      <c r="M72" s="710">
        <v>336937</v>
      </c>
      <c r="N72" s="711">
        <v>42503</v>
      </c>
      <c r="O72" s="707" t="s">
        <v>239</v>
      </c>
      <c r="P72" s="712" t="s">
        <v>239</v>
      </c>
    </row>
    <row r="73" spans="1:17" ht="16.5" thickTop="1" thickBot="1">
      <c r="A73" s="232" t="s">
        <v>868</v>
      </c>
      <c r="B73" s="232" t="s">
        <v>58</v>
      </c>
      <c r="C73" s="232" t="s">
        <v>55</v>
      </c>
      <c r="D73" s="274" t="s">
        <v>869</v>
      </c>
      <c r="E73" s="663" t="s">
        <v>275</v>
      </c>
      <c r="F73" s="496" t="s">
        <v>805</v>
      </c>
      <c r="G73" s="497">
        <v>2310000</v>
      </c>
      <c r="H73" s="232" t="s">
        <v>216</v>
      </c>
      <c r="I73" s="498">
        <v>42489</v>
      </c>
      <c r="J73" s="498">
        <v>42517</v>
      </c>
      <c r="K73" s="232" t="s">
        <v>440</v>
      </c>
      <c r="L73" s="499">
        <v>2194277</v>
      </c>
      <c r="M73" s="499">
        <v>2655075.2000000002</v>
      </c>
      <c r="N73" s="498">
        <v>42549</v>
      </c>
      <c r="O73" s="498">
        <v>42564</v>
      </c>
      <c r="P73" s="498">
        <v>42800</v>
      </c>
    </row>
    <row r="74" spans="1:17" ht="16.5" thickTop="1" thickBot="1">
      <c r="A74" s="719" t="s">
        <v>870</v>
      </c>
      <c r="B74" s="707" t="s">
        <v>14</v>
      </c>
      <c r="C74" s="707" t="s">
        <v>871</v>
      </c>
      <c r="D74" s="720" t="s">
        <v>872</v>
      </c>
      <c r="E74" s="727" t="s">
        <v>873</v>
      </c>
      <c r="F74" s="705"/>
      <c r="G74" s="706">
        <v>450000</v>
      </c>
      <c r="H74" s="707" t="s">
        <v>112</v>
      </c>
      <c r="I74" s="711">
        <v>42451</v>
      </c>
      <c r="J74" s="711">
        <v>42459</v>
      </c>
      <c r="K74" s="707" t="s">
        <v>904</v>
      </c>
      <c r="L74" s="710">
        <v>320000</v>
      </c>
      <c r="M74" s="710">
        <v>387200</v>
      </c>
      <c r="N74" s="711">
        <v>42486</v>
      </c>
      <c r="O74" s="707" t="s">
        <v>239</v>
      </c>
      <c r="P74" s="712" t="s">
        <v>239</v>
      </c>
    </row>
    <row r="75" spans="1:17" s="390" customFormat="1" ht="16.5" thickTop="1" thickBot="1">
      <c r="A75" s="232" t="s">
        <v>890</v>
      </c>
      <c r="B75" s="232" t="s">
        <v>894</v>
      </c>
      <c r="C75" s="232" t="s">
        <v>361</v>
      </c>
      <c r="D75" s="274" t="s">
        <v>889</v>
      </c>
      <c r="E75" s="664" t="s">
        <v>806</v>
      </c>
      <c r="F75" s="496" t="s">
        <v>807</v>
      </c>
      <c r="G75" s="497">
        <v>1145000</v>
      </c>
      <c r="H75" s="232" t="s">
        <v>112</v>
      </c>
      <c r="I75" s="498">
        <v>42452</v>
      </c>
      <c r="J75" s="498">
        <v>42474</v>
      </c>
      <c r="K75" s="232" t="s">
        <v>923</v>
      </c>
      <c r="L75" s="499">
        <v>614272</v>
      </c>
      <c r="M75" s="499">
        <v>743269</v>
      </c>
      <c r="N75" s="498">
        <v>42510</v>
      </c>
      <c r="O75" s="498">
        <v>42510</v>
      </c>
      <c r="P75" s="498">
        <v>42677</v>
      </c>
      <c r="Q75" s="1024"/>
    </row>
    <row r="76" spans="1:17" ht="16.5" thickTop="1" thickBot="1">
      <c r="A76" s="719" t="s">
        <v>893</v>
      </c>
      <c r="B76" s="707" t="s">
        <v>894</v>
      </c>
      <c r="C76" s="707" t="s">
        <v>201</v>
      </c>
      <c r="D76" s="720" t="s">
        <v>895</v>
      </c>
      <c r="E76" s="727" t="s">
        <v>896</v>
      </c>
      <c r="F76" s="705"/>
      <c r="G76" s="706">
        <v>430000</v>
      </c>
      <c r="H76" s="707" t="s">
        <v>112</v>
      </c>
      <c r="I76" s="711">
        <v>42460</v>
      </c>
      <c r="J76" s="711">
        <v>42474</v>
      </c>
      <c r="K76" s="707" t="s">
        <v>921</v>
      </c>
      <c r="L76" s="710">
        <v>359106</v>
      </c>
      <c r="M76" s="710">
        <v>434518</v>
      </c>
      <c r="N76" s="711">
        <v>42500</v>
      </c>
      <c r="O76" s="707" t="s">
        <v>239</v>
      </c>
      <c r="P76" s="712" t="s">
        <v>239</v>
      </c>
    </row>
    <row r="77" spans="1:17" ht="16.5" thickTop="1" thickBot="1">
      <c r="A77" s="232" t="s">
        <v>897</v>
      </c>
      <c r="B77" s="232" t="s">
        <v>58</v>
      </c>
      <c r="C77" s="232" t="s">
        <v>55</v>
      </c>
      <c r="D77" s="274" t="s">
        <v>898</v>
      </c>
      <c r="E77" s="232" t="s">
        <v>899</v>
      </c>
      <c r="F77" s="496"/>
      <c r="G77" s="497">
        <v>1075000</v>
      </c>
      <c r="H77" s="232" t="s">
        <v>112</v>
      </c>
      <c r="I77" s="498">
        <v>42465</v>
      </c>
      <c r="J77" s="498">
        <v>42481</v>
      </c>
      <c r="K77" s="232" t="s">
        <v>993</v>
      </c>
      <c r="L77" s="499">
        <f>M77/1.21</f>
        <v>1516850</v>
      </c>
      <c r="M77" s="499">
        <v>1835388.5</v>
      </c>
      <c r="N77" s="498">
        <v>42542</v>
      </c>
      <c r="O77" s="498">
        <v>42544</v>
      </c>
      <c r="P77" s="498">
        <v>42677</v>
      </c>
    </row>
    <row r="78" spans="1:17" ht="15.75" thickTop="1">
      <c r="A78" s="452" t="s">
        <v>905</v>
      </c>
      <c r="B78" s="453" t="s">
        <v>14</v>
      </c>
      <c r="C78" s="453" t="s">
        <v>871</v>
      </c>
      <c r="D78" s="473" t="s">
        <v>906</v>
      </c>
      <c r="E78" s="453" t="s">
        <v>765</v>
      </c>
      <c r="F78" s="454" t="s">
        <v>962</v>
      </c>
      <c r="G78" s="455">
        <v>140500</v>
      </c>
      <c r="H78" s="453" t="s">
        <v>112</v>
      </c>
      <c r="I78" s="474">
        <v>42467</v>
      </c>
      <c r="J78" s="474">
        <v>42479</v>
      </c>
      <c r="K78" s="453" t="s">
        <v>934</v>
      </c>
      <c r="L78" s="457">
        <v>138932</v>
      </c>
      <c r="M78" s="457">
        <v>168108</v>
      </c>
      <c r="N78" s="474">
        <v>42506</v>
      </c>
      <c r="O78" s="453" t="s">
        <v>239</v>
      </c>
      <c r="P78" s="475" t="s">
        <v>239</v>
      </c>
    </row>
    <row r="79" spans="1:17" s="390" customFormat="1">
      <c r="A79" s="728" t="s">
        <v>909</v>
      </c>
      <c r="B79" s="540" t="s">
        <v>14</v>
      </c>
      <c r="C79" s="540" t="s">
        <v>871</v>
      </c>
      <c r="D79" s="541" t="s">
        <v>908</v>
      </c>
      <c r="E79" s="540" t="s">
        <v>910</v>
      </c>
      <c r="F79" s="542"/>
      <c r="G79" s="543">
        <v>7000000</v>
      </c>
      <c r="H79" s="540" t="s">
        <v>251</v>
      </c>
      <c r="I79" s="544">
        <v>42471</v>
      </c>
      <c r="J79" s="544">
        <v>42676</v>
      </c>
      <c r="K79" s="540" t="s">
        <v>1512</v>
      </c>
      <c r="L79" s="545">
        <v>6997777</v>
      </c>
      <c r="M79" s="545">
        <f>L79*1.21</f>
        <v>8467310.1699999999</v>
      </c>
      <c r="N79" s="540"/>
      <c r="O79" s="540"/>
      <c r="P79" s="763"/>
    </row>
    <row r="80" spans="1:17" s="390" customFormat="1" ht="15.75" thickBot="1">
      <c r="A80" s="518" t="s">
        <v>917</v>
      </c>
      <c r="B80" s="483" t="s">
        <v>1503</v>
      </c>
      <c r="C80" s="483" t="s">
        <v>918</v>
      </c>
      <c r="D80" s="484" t="s">
        <v>919</v>
      </c>
      <c r="E80" s="483" t="s">
        <v>36</v>
      </c>
      <c r="F80" s="485"/>
      <c r="G80" s="486">
        <v>1900000</v>
      </c>
      <c r="H80" s="483" t="s">
        <v>112</v>
      </c>
      <c r="I80" s="487">
        <v>42503</v>
      </c>
      <c r="J80" s="487">
        <v>42515</v>
      </c>
      <c r="K80" s="729" t="s">
        <v>304</v>
      </c>
      <c r="L80" s="488"/>
      <c r="M80" s="488"/>
      <c r="N80" s="483"/>
      <c r="O80" s="483"/>
      <c r="P80" s="522" t="s">
        <v>239</v>
      </c>
    </row>
    <row r="81" spans="1:17" s="390" customFormat="1" ht="15.75" thickTop="1">
      <c r="A81" s="605" t="s">
        <v>912</v>
      </c>
      <c r="B81" s="605" t="s">
        <v>69</v>
      </c>
      <c r="C81" s="605" t="s">
        <v>913</v>
      </c>
      <c r="D81" s="175" t="s">
        <v>914</v>
      </c>
      <c r="E81" s="605" t="s">
        <v>90</v>
      </c>
      <c r="F81" s="419"/>
      <c r="G81" s="127">
        <v>1990000</v>
      </c>
      <c r="H81" s="605" t="s">
        <v>112</v>
      </c>
      <c r="I81" s="365">
        <v>42480</v>
      </c>
      <c r="J81" s="365">
        <v>42500</v>
      </c>
      <c r="K81" s="605" t="s">
        <v>995</v>
      </c>
      <c r="L81" s="364">
        <v>1970000</v>
      </c>
      <c r="M81" s="364">
        <f>L81*1.21</f>
        <v>2383700</v>
      </c>
      <c r="N81" s="365">
        <v>42551</v>
      </c>
      <c r="O81" s="365">
        <v>42555</v>
      </c>
      <c r="P81" s="365">
        <v>42797</v>
      </c>
      <c r="Q81" s="1024"/>
    </row>
    <row r="82" spans="1:17" s="390" customFormat="1" ht="15.75" thickBot="1">
      <c r="A82" s="411" t="s">
        <v>911</v>
      </c>
      <c r="B82" s="411" t="s">
        <v>52</v>
      </c>
      <c r="C82" s="411" t="s">
        <v>227</v>
      </c>
      <c r="D82" s="412" t="s">
        <v>1507</v>
      </c>
      <c r="E82" s="411" t="s">
        <v>33</v>
      </c>
      <c r="F82" s="414" t="s">
        <v>963</v>
      </c>
      <c r="G82" s="415">
        <v>3390000</v>
      </c>
      <c r="H82" s="411" t="s">
        <v>112</v>
      </c>
      <c r="I82" s="416">
        <v>42472</v>
      </c>
      <c r="J82" s="416">
        <v>42492</v>
      </c>
      <c r="K82" s="411" t="s">
        <v>994</v>
      </c>
      <c r="L82" s="417">
        <v>2699520</v>
      </c>
      <c r="M82" s="417">
        <v>3266419.2</v>
      </c>
      <c r="N82" s="416">
        <v>42564</v>
      </c>
      <c r="O82" s="416">
        <v>42564</v>
      </c>
      <c r="P82" s="416">
        <v>42709</v>
      </c>
      <c r="Q82" s="1024"/>
    </row>
    <row r="83" spans="1:17" s="390" customFormat="1" ht="15.75" thickTop="1">
      <c r="A83" s="438" t="s">
        <v>915</v>
      </c>
      <c r="B83" s="439" t="s">
        <v>58</v>
      </c>
      <c r="C83" s="439" t="s">
        <v>57</v>
      </c>
      <c r="D83" s="440" t="s">
        <v>916</v>
      </c>
      <c r="E83" s="730" t="s">
        <v>788</v>
      </c>
      <c r="F83" s="441" t="s">
        <v>1506</v>
      </c>
      <c r="G83" s="442">
        <v>2890000</v>
      </c>
      <c r="H83" s="439" t="s">
        <v>216</v>
      </c>
      <c r="I83" s="443">
        <v>42488</v>
      </c>
      <c r="J83" s="443">
        <v>42542</v>
      </c>
      <c r="K83" s="437" t="s">
        <v>242</v>
      </c>
      <c r="L83" s="444"/>
      <c r="M83" s="444"/>
      <c r="N83" s="439"/>
      <c r="O83" s="439"/>
      <c r="P83" s="445"/>
    </row>
    <row r="84" spans="1:17" ht="15.75" thickBot="1">
      <c r="A84" s="446" t="s">
        <v>920</v>
      </c>
      <c r="B84" s="447" t="s">
        <v>134</v>
      </c>
      <c r="C84" s="447" t="s">
        <v>858</v>
      </c>
      <c r="D84" s="476" t="s">
        <v>859</v>
      </c>
      <c r="E84" s="731" t="s">
        <v>158</v>
      </c>
      <c r="F84" s="448" t="s">
        <v>883</v>
      </c>
      <c r="G84" s="449">
        <v>490000</v>
      </c>
      <c r="H84" s="447" t="s">
        <v>112</v>
      </c>
      <c r="I84" s="477">
        <v>42475</v>
      </c>
      <c r="J84" s="477">
        <v>42489</v>
      </c>
      <c r="K84" s="447" t="s">
        <v>967</v>
      </c>
      <c r="L84" s="450">
        <v>380500</v>
      </c>
      <c r="M84" s="450">
        <v>460405</v>
      </c>
      <c r="N84" s="477">
        <v>42506</v>
      </c>
      <c r="O84" s="447" t="s">
        <v>239</v>
      </c>
      <c r="P84" s="478" t="s">
        <v>239</v>
      </c>
    </row>
    <row r="85" spans="1:17" ht="16.5" thickTop="1" thickBot="1">
      <c r="A85" s="232" t="s">
        <v>927</v>
      </c>
      <c r="B85" s="232" t="s">
        <v>69</v>
      </c>
      <c r="C85" s="232" t="s">
        <v>70</v>
      </c>
      <c r="D85" s="274" t="s">
        <v>930</v>
      </c>
      <c r="E85" s="664" t="s">
        <v>93</v>
      </c>
      <c r="F85" s="496"/>
      <c r="G85" s="497">
        <v>7156443.3200000003</v>
      </c>
      <c r="H85" s="232" t="s">
        <v>251</v>
      </c>
      <c r="I85" s="498">
        <v>42475</v>
      </c>
      <c r="J85" s="498">
        <v>42570</v>
      </c>
      <c r="K85" s="232" t="s">
        <v>1195</v>
      </c>
      <c r="L85" s="499">
        <v>2581893.9500000002</v>
      </c>
      <c r="M85" s="499">
        <v>2840083.35</v>
      </c>
      <c r="N85" s="498">
        <v>42606</v>
      </c>
      <c r="O85" s="498">
        <v>42611</v>
      </c>
      <c r="P85" s="498">
        <v>42818</v>
      </c>
      <c r="Q85" s="1206">
        <v>43111</v>
      </c>
    </row>
    <row r="86" spans="1:17" ht="16.5" thickTop="1" thickBot="1">
      <c r="A86" s="721" t="s">
        <v>927</v>
      </c>
      <c r="B86" s="693" t="s">
        <v>69</v>
      </c>
      <c r="C86" s="693" t="s">
        <v>70</v>
      </c>
      <c r="D86" s="722" t="s">
        <v>931</v>
      </c>
      <c r="E86" s="732" t="s">
        <v>93</v>
      </c>
      <c r="F86" s="695"/>
      <c r="G86" s="696">
        <v>129499.51</v>
      </c>
      <c r="H86" s="693" t="s">
        <v>251</v>
      </c>
      <c r="I86" s="723">
        <v>42475</v>
      </c>
      <c r="J86" s="723">
        <v>42565</v>
      </c>
      <c r="K86" s="733" t="s">
        <v>1138</v>
      </c>
      <c r="L86" s="699"/>
      <c r="M86" s="699"/>
      <c r="N86" s="693"/>
      <c r="O86" s="693"/>
      <c r="P86" s="701" t="s">
        <v>239</v>
      </c>
      <c r="Q86" s="9"/>
    </row>
    <row r="87" spans="1:17" ht="16.5" thickTop="1" thickBot="1">
      <c r="A87" s="232" t="s">
        <v>925</v>
      </c>
      <c r="B87" s="232" t="s">
        <v>14</v>
      </c>
      <c r="C87" s="232" t="s">
        <v>13</v>
      </c>
      <c r="D87" s="274" t="s">
        <v>926</v>
      </c>
      <c r="E87" s="232" t="s">
        <v>775</v>
      </c>
      <c r="F87" s="496"/>
      <c r="G87" s="497">
        <v>431405</v>
      </c>
      <c r="H87" s="232" t="s">
        <v>95</v>
      </c>
      <c r="I87" s="498">
        <v>42480</v>
      </c>
      <c r="J87" s="498">
        <v>42489</v>
      </c>
      <c r="K87" s="232" t="s">
        <v>966</v>
      </c>
      <c r="L87" s="499">
        <f>M87/1.21</f>
        <v>440000</v>
      </c>
      <c r="M87" s="499">
        <v>532400</v>
      </c>
      <c r="N87" s="498">
        <v>42509</v>
      </c>
      <c r="O87" s="498">
        <v>42509</v>
      </c>
      <c r="P87" s="232" t="s">
        <v>239</v>
      </c>
    </row>
    <row r="88" spans="1:17" ht="15.75" thickTop="1">
      <c r="A88" s="438" t="s">
        <v>928</v>
      </c>
      <c r="B88" s="439" t="s">
        <v>58</v>
      </c>
      <c r="C88" s="439" t="s">
        <v>55</v>
      </c>
      <c r="D88" s="440" t="s">
        <v>929</v>
      </c>
      <c r="E88" s="439" t="s">
        <v>820</v>
      </c>
      <c r="F88" s="441" t="s">
        <v>791</v>
      </c>
      <c r="G88" s="442">
        <v>315000</v>
      </c>
      <c r="H88" s="439" t="s">
        <v>112</v>
      </c>
      <c r="I88" s="443">
        <v>42480</v>
      </c>
      <c r="J88" s="443">
        <v>42495</v>
      </c>
      <c r="K88" s="437" t="s">
        <v>304</v>
      </c>
      <c r="L88" s="444"/>
      <c r="M88" s="444"/>
      <c r="N88" s="439"/>
      <c r="O88" s="439" t="s">
        <v>239</v>
      </c>
      <c r="P88" s="445" t="s">
        <v>239</v>
      </c>
      <c r="Q88" s="9"/>
    </row>
    <row r="89" spans="1:17" ht="15.75" thickBot="1">
      <c r="A89" s="446" t="s">
        <v>932</v>
      </c>
      <c r="B89" s="447" t="s">
        <v>134</v>
      </c>
      <c r="C89" s="447" t="s">
        <v>858</v>
      </c>
      <c r="D89" s="476" t="s">
        <v>836</v>
      </c>
      <c r="E89" s="447" t="s">
        <v>158</v>
      </c>
      <c r="F89" s="448" t="s">
        <v>835</v>
      </c>
      <c r="G89" s="449">
        <v>148761</v>
      </c>
      <c r="H89" s="447" t="s">
        <v>112</v>
      </c>
      <c r="I89" s="477">
        <v>42481</v>
      </c>
      <c r="J89" s="477">
        <v>42494</v>
      </c>
      <c r="K89" s="447" t="s">
        <v>978</v>
      </c>
      <c r="L89" s="450">
        <f>M89/1.21</f>
        <v>139500</v>
      </c>
      <c r="M89" s="450">
        <v>168795</v>
      </c>
      <c r="N89" s="477">
        <v>42516</v>
      </c>
      <c r="O89" s="447" t="s">
        <v>239</v>
      </c>
      <c r="P89" s="478" t="s">
        <v>239</v>
      </c>
    </row>
    <row r="90" spans="1:17" ht="16.5" thickTop="1" thickBot="1">
      <c r="A90" s="232" t="s">
        <v>935</v>
      </c>
      <c r="B90" s="232" t="s">
        <v>289</v>
      </c>
      <c r="C90" s="232" t="s">
        <v>291</v>
      </c>
      <c r="D90" s="274" t="s">
        <v>936</v>
      </c>
      <c r="E90" s="665" t="s">
        <v>678</v>
      </c>
      <c r="F90" s="666" t="s">
        <v>937</v>
      </c>
      <c r="G90" s="497">
        <v>5240000</v>
      </c>
      <c r="H90" s="232" t="s">
        <v>251</v>
      </c>
      <c r="I90" s="498">
        <v>42487</v>
      </c>
      <c r="J90" s="498">
        <v>42544</v>
      </c>
      <c r="K90" s="232" t="s">
        <v>1136</v>
      </c>
      <c r="L90" s="499">
        <v>5095000</v>
      </c>
      <c r="M90" s="499">
        <v>6164950</v>
      </c>
      <c r="N90" s="498">
        <v>42579</v>
      </c>
      <c r="O90" s="498">
        <v>42580</v>
      </c>
      <c r="P90" s="498">
        <v>42797</v>
      </c>
    </row>
    <row r="91" spans="1:17" ht="16.5" thickTop="1" thickBot="1">
      <c r="A91" s="721" t="s">
        <v>938</v>
      </c>
      <c r="B91" s="693" t="s">
        <v>58</v>
      </c>
      <c r="C91" s="693" t="s">
        <v>55</v>
      </c>
      <c r="D91" s="722" t="s">
        <v>1046</v>
      </c>
      <c r="E91" s="693" t="s">
        <v>940</v>
      </c>
      <c r="F91" s="695" t="s">
        <v>941</v>
      </c>
      <c r="G91" s="696">
        <v>530000</v>
      </c>
      <c r="H91" s="693" t="s">
        <v>112</v>
      </c>
      <c r="I91" s="723">
        <v>42503</v>
      </c>
      <c r="J91" s="723">
        <v>42515</v>
      </c>
      <c r="K91" s="724" t="s">
        <v>304</v>
      </c>
      <c r="L91" s="699"/>
      <c r="M91" s="699"/>
      <c r="N91" s="693"/>
      <c r="O91" s="693"/>
      <c r="P91" s="701" t="s">
        <v>239</v>
      </c>
      <c r="Q91" s="9"/>
    </row>
    <row r="92" spans="1:17" ht="16.5" thickTop="1" thickBot="1">
      <c r="A92" s="667" t="s">
        <v>938</v>
      </c>
      <c r="B92" s="232" t="s">
        <v>58</v>
      </c>
      <c r="C92" s="232" t="s">
        <v>55</v>
      </c>
      <c r="D92" s="274" t="s">
        <v>1047</v>
      </c>
      <c r="E92" s="232" t="s">
        <v>940</v>
      </c>
      <c r="F92" s="496" t="s">
        <v>941</v>
      </c>
      <c r="G92" s="497">
        <v>90000</v>
      </c>
      <c r="H92" s="232" t="s">
        <v>112</v>
      </c>
      <c r="I92" s="498">
        <v>42503</v>
      </c>
      <c r="J92" s="498">
        <v>42515</v>
      </c>
      <c r="K92" s="232" t="s">
        <v>800</v>
      </c>
      <c r="L92" s="499">
        <v>84499</v>
      </c>
      <c r="M92" s="499">
        <v>102243.79</v>
      </c>
      <c r="N92" s="498">
        <v>42572</v>
      </c>
      <c r="O92" s="498">
        <v>42572</v>
      </c>
      <c r="P92" s="668">
        <v>42677</v>
      </c>
    </row>
    <row r="93" spans="1:17" ht="16.5" thickTop="1" thickBot="1">
      <c r="A93" s="719" t="s">
        <v>942</v>
      </c>
      <c r="B93" s="707" t="s">
        <v>58</v>
      </c>
      <c r="C93" s="707" t="s">
        <v>55</v>
      </c>
      <c r="D93" s="720" t="s">
        <v>943</v>
      </c>
      <c r="E93" s="734" t="s">
        <v>77</v>
      </c>
      <c r="F93" s="705" t="s">
        <v>844</v>
      </c>
      <c r="G93" s="706">
        <v>415000</v>
      </c>
      <c r="H93" s="734" t="s">
        <v>112</v>
      </c>
      <c r="I93" s="711">
        <v>42503</v>
      </c>
      <c r="J93" s="711">
        <v>42523</v>
      </c>
      <c r="K93" s="707" t="s">
        <v>1315</v>
      </c>
      <c r="L93" s="710">
        <f>M93/1.21</f>
        <v>358034.71074380167</v>
      </c>
      <c r="M93" s="710">
        <v>433222</v>
      </c>
      <c r="N93" s="711">
        <v>42648</v>
      </c>
      <c r="O93" s="707" t="s">
        <v>239</v>
      </c>
      <c r="P93" s="712" t="s">
        <v>239</v>
      </c>
    </row>
    <row r="94" spans="1:17" ht="16.5" thickTop="1" thickBot="1">
      <c r="A94" s="232" t="s">
        <v>944</v>
      </c>
      <c r="B94" s="232" t="s">
        <v>894</v>
      </c>
      <c r="C94" s="232" t="s">
        <v>201</v>
      </c>
      <c r="D94" s="274" t="s">
        <v>945</v>
      </c>
      <c r="E94" s="232" t="s">
        <v>240</v>
      </c>
      <c r="F94" s="496" t="s">
        <v>882</v>
      </c>
      <c r="G94" s="497">
        <v>3100000</v>
      </c>
      <c r="H94" s="232" t="s">
        <v>216</v>
      </c>
      <c r="I94" s="498">
        <v>42485</v>
      </c>
      <c r="J94" s="498">
        <v>42507</v>
      </c>
      <c r="K94" s="232" t="s">
        <v>1056</v>
      </c>
      <c r="L94" s="499">
        <v>3104021</v>
      </c>
      <c r="M94" s="499">
        <v>3755865</v>
      </c>
      <c r="N94" s="498">
        <v>42562</v>
      </c>
      <c r="O94" s="498">
        <v>42565</v>
      </c>
      <c r="P94" s="498">
        <v>42765</v>
      </c>
    </row>
    <row r="95" spans="1:17" ht="15.75" thickTop="1">
      <c r="A95" s="452" t="s">
        <v>947</v>
      </c>
      <c r="B95" s="453" t="s">
        <v>58</v>
      </c>
      <c r="C95" s="453" t="s">
        <v>57</v>
      </c>
      <c r="D95" s="473" t="s">
        <v>948</v>
      </c>
      <c r="E95" s="453" t="s">
        <v>778</v>
      </c>
      <c r="F95" s="454" t="s">
        <v>779</v>
      </c>
      <c r="G95" s="455">
        <v>6190000</v>
      </c>
      <c r="H95" s="453" t="s">
        <v>251</v>
      </c>
      <c r="I95" s="474">
        <v>42485</v>
      </c>
      <c r="J95" s="474">
        <v>42668</v>
      </c>
      <c r="K95" s="453" t="s">
        <v>1510</v>
      </c>
      <c r="L95" s="457">
        <v>7216190</v>
      </c>
      <c r="M95" s="457">
        <v>8731589.5</v>
      </c>
      <c r="N95" s="474">
        <v>42723</v>
      </c>
      <c r="O95" s="474">
        <v>42725</v>
      </c>
      <c r="P95" s="575">
        <v>42818</v>
      </c>
      <c r="Q95" s="1290">
        <v>44872</v>
      </c>
    </row>
    <row r="96" spans="1:17" ht="15.75" thickBot="1">
      <c r="A96" s="446" t="s">
        <v>949</v>
      </c>
      <c r="B96" s="447" t="s">
        <v>58</v>
      </c>
      <c r="C96" s="447" t="s">
        <v>57</v>
      </c>
      <c r="D96" s="476" t="s">
        <v>950</v>
      </c>
      <c r="E96" s="447" t="s">
        <v>86</v>
      </c>
      <c r="F96" s="448" t="s">
        <v>787</v>
      </c>
      <c r="G96" s="449">
        <v>3950000</v>
      </c>
      <c r="H96" s="447" t="s">
        <v>251</v>
      </c>
      <c r="I96" s="477">
        <v>42485</v>
      </c>
      <c r="J96" s="477">
        <v>42669</v>
      </c>
      <c r="K96" s="447" t="s">
        <v>1397</v>
      </c>
      <c r="L96" s="450">
        <v>3305000</v>
      </c>
      <c r="M96" s="450">
        <v>3999050</v>
      </c>
      <c r="N96" s="477">
        <v>42727</v>
      </c>
      <c r="O96" s="477">
        <v>42738</v>
      </c>
      <c r="P96" s="868">
        <v>42797</v>
      </c>
      <c r="Q96" s="1203" t="s">
        <v>1649</v>
      </c>
    </row>
    <row r="97" spans="1:17" ht="15.75" thickTop="1">
      <c r="A97" s="605" t="s">
        <v>952</v>
      </c>
      <c r="B97" s="605" t="s">
        <v>14</v>
      </c>
      <c r="C97" s="605" t="s">
        <v>13</v>
      </c>
      <c r="D97" s="175" t="s">
        <v>951</v>
      </c>
      <c r="E97" s="605" t="s">
        <v>566</v>
      </c>
      <c r="F97" s="419" t="s">
        <v>960</v>
      </c>
      <c r="G97" s="127">
        <v>2809917</v>
      </c>
      <c r="H97" s="605" t="s">
        <v>235</v>
      </c>
      <c r="I97" s="365">
        <v>42486</v>
      </c>
      <c r="J97" s="365">
        <v>42517</v>
      </c>
      <c r="K97" s="605" t="s">
        <v>1074</v>
      </c>
      <c r="L97" s="364">
        <v>2751426</v>
      </c>
      <c r="M97" s="364">
        <v>3329226</v>
      </c>
      <c r="N97" s="365">
        <v>42543</v>
      </c>
      <c r="O97" s="365">
        <v>42548</v>
      </c>
      <c r="P97" s="365">
        <v>42677</v>
      </c>
    </row>
    <row r="98" spans="1:17" ht="15.75" thickBot="1">
      <c r="A98" s="411" t="s">
        <v>953</v>
      </c>
      <c r="B98" s="411" t="s">
        <v>166</v>
      </c>
      <c r="C98" s="411" t="s">
        <v>167</v>
      </c>
      <c r="D98" s="412" t="s">
        <v>955</v>
      </c>
      <c r="E98" s="411" t="s">
        <v>822</v>
      </c>
      <c r="F98" s="414" t="s">
        <v>964</v>
      </c>
      <c r="G98" s="415">
        <v>3110000</v>
      </c>
      <c r="H98" s="411" t="s">
        <v>112</v>
      </c>
      <c r="I98" s="416">
        <v>42488</v>
      </c>
      <c r="J98" s="416">
        <v>42500</v>
      </c>
      <c r="K98" s="411" t="s">
        <v>999</v>
      </c>
      <c r="L98" s="417">
        <v>2123505.88</v>
      </c>
      <c r="M98" s="417">
        <v>2569442.11</v>
      </c>
      <c r="N98" s="416">
        <v>42527</v>
      </c>
      <c r="O98" s="416">
        <v>42527</v>
      </c>
      <c r="P98" s="411" t="s">
        <v>239</v>
      </c>
    </row>
    <row r="99" spans="1:17" ht="16.5" thickTop="1" thickBot="1">
      <c r="A99" s="719" t="s">
        <v>954</v>
      </c>
      <c r="B99" s="707" t="s">
        <v>166</v>
      </c>
      <c r="C99" s="707" t="s">
        <v>167</v>
      </c>
      <c r="D99" s="720" t="s">
        <v>956</v>
      </c>
      <c r="E99" s="707" t="s">
        <v>961</v>
      </c>
      <c r="F99" s="705"/>
      <c r="G99" s="706">
        <v>450000</v>
      </c>
      <c r="H99" s="707" t="s">
        <v>112</v>
      </c>
      <c r="I99" s="711">
        <v>42494</v>
      </c>
      <c r="J99" s="711">
        <v>42507</v>
      </c>
      <c r="K99" s="707" t="s">
        <v>1045</v>
      </c>
      <c r="L99" s="710">
        <v>280220</v>
      </c>
      <c r="M99" s="710">
        <v>339066.2</v>
      </c>
      <c r="N99" s="711">
        <v>42534</v>
      </c>
      <c r="O99" s="707" t="s">
        <v>239</v>
      </c>
      <c r="P99" s="712" t="s">
        <v>239</v>
      </c>
    </row>
    <row r="100" spans="1:17" ht="16.5" thickTop="1" thickBot="1">
      <c r="A100" s="232" t="s">
        <v>957</v>
      </c>
      <c r="B100" s="232" t="s">
        <v>14</v>
      </c>
      <c r="C100" s="232" t="s">
        <v>13</v>
      </c>
      <c r="D100" s="274" t="s">
        <v>958</v>
      </c>
      <c r="E100" s="232" t="s">
        <v>959</v>
      </c>
      <c r="F100" s="496"/>
      <c r="G100" s="497">
        <v>90909</v>
      </c>
      <c r="H100" s="232" t="s">
        <v>235</v>
      </c>
      <c r="I100" s="498">
        <v>42486</v>
      </c>
      <c r="J100" s="498">
        <v>42516</v>
      </c>
      <c r="K100" s="232" t="s">
        <v>754</v>
      </c>
      <c r="L100" s="499">
        <v>90000</v>
      </c>
      <c r="M100" s="499">
        <v>108900</v>
      </c>
      <c r="N100" s="498">
        <v>42545</v>
      </c>
      <c r="O100" s="498">
        <v>42550</v>
      </c>
      <c r="P100" s="498">
        <v>42758</v>
      </c>
    </row>
    <row r="101" spans="1:17" ht="15.75" thickTop="1">
      <c r="A101" s="452" t="s">
        <v>1139</v>
      </c>
      <c r="B101" s="453" t="s">
        <v>894</v>
      </c>
      <c r="C101" s="453" t="s">
        <v>361</v>
      </c>
      <c r="D101" s="473" t="s">
        <v>1038</v>
      </c>
      <c r="E101" s="453" t="s">
        <v>809</v>
      </c>
      <c r="F101" s="454" t="s">
        <v>808</v>
      </c>
      <c r="G101" s="455">
        <v>2780000</v>
      </c>
      <c r="H101" s="453" t="s">
        <v>216</v>
      </c>
      <c r="I101" s="474">
        <v>42495</v>
      </c>
      <c r="J101" s="474">
        <v>42514</v>
      </c>
      <c r="K101" s="453" t="s">
        <v>1043</v>
      </c>
      <c r="L101" s="457">
        <v>1896083</v>
      </c>
      <c r="M101" s="457">
        <v>2294260.4300000002</v>
      </c>
      <c r="N101" s="474">
        <v>42545</v>
      </c>
      <c r="O101" s="474">
        <v>42552</v>
      </c>
      <c r="P101" s="575">
        <v>42695</v>
      </c>
    </row>
    <row r="102" spans="1:17" ht="15.75" thickBot="1">
      <c r="A102" s="446" t="s">
        <v>1139</v>
      </c>
      <c r="B102" s="447" t="s">
        <v>894</v>
      </c>
      <c r="C102" s="447" t="s">
        <v>361</v>
      </c>
      <c r="D102" s="476" t="s">
        <v>1039</v>
      </c>
      <c r="E102" s="447" t="s">
        <v>809</v>
      </c>
      <c r="F102" s="448" t="s">
        <v>808</v>
      </c>
      <c r="G102" s="449">
        <v>800000</v>
      </c>
      <c r="H102" s="447" t="s">
        <v>216</v>
      </c>
      <c r="I102" s="477">
        <v>42495</v>
      </c>
      <c r="J102" s="477">
        <v>42514</v>
      </c>
      <c r="K102" s="447" t="s">
        <v>1044</v>
      </c>
      <c r="L102" s="450">
        <v>789760</v>
      </c>
      <c r="M102" s="450">
        <v>955610</v>
      </c>
      <c r="N102" s="477">
        <v>42545</v>
      </c>
      <c r="O102" s="477">
        <v>42552</v>
      </c>
      <c r="P102" s="868">
        <v>42818</v>
      </c>
    </row>
    <row r="103" spans="1:17" ht="16.5" thickTop="1" thickBot="1">
      <c r="A103" s="232" t="s">
        <v>965</v>
      </c>
      <c r="B103" s="232" t="s">
        <v>58</v>
      </c>
      <c r="C103" s="232" t="s">
        <v>55</v>
      </c>
      <c r="D103" s="274" t="s">
        <v>391</v>
      </c>
      <c r="E103" s="232" t="s">
        <v>786</v>
      </c>
      <c r="F103" s="496"/>
      <c r="G103" s="638">
        <v>600000</v>
      </c>
      <c r="H103" s="232" t="s">
        <v>112</v>
      </c>
      <c r="I103" s="498">
        <v>42493</v>
      </c>
      <c r="J103" s="498">
        <v>42509</v>
      </c>
      <c r="K103" s="232" t="s">
        <v>1027</v>
      </c>
      <c r="L103" s="499">
        <v>683000</v>
      </c>
      <c r="M103" s="499">
        <v>826430</v>
      </c>
      <c r="N103" s="498">
        <v>42551</v>
      </c>
      <c r="O103" s="498">
        <v>42551</v>
      </c>
      <c r="P103" s="498">
        <v>42677</v>
      </c>
    </row>
    <row r="104" spans="1:17" ht="15.75" thickTop="1">
      <c r="A104" s="452" t="s">
        <v>968</v>
      </c>
      <c r="B104" s="453" t="s">
        <v>654</v>
      </c>
      <c r="C104" s="453" t="s">
        <v>655</v>
      </c>
      <c r="D104" s="735" t="s">
        <v>969</v>
      </c>
      <c r="E104" s="453" t="s">
        <v>658</v>
      </c>
      <c r="F104" s="454" t="s">
        <v>797</v>
      </c>
      <c r="G104" s="455">
        <v>280000</v>
      </c>
      <c r="H104" s="453" t="s">
        <v>112</v>
      </c>
      <c r="I104" s="474">
        <v>42493</v>
      </c>
      <c r="J104" s="474">
        <v>42502</v>
      </c>
      <c r="K104" s="453" t="s">
        <v>682</v>
      </c>
      <c r="L104" s="457">
        <v>274600</v>
      </c>
      <c r="M104" s="457">
        <v>332266</v>
      </c>
      <c r="N104" s="474">
        <v>42522</v>
      </c>
      <c r="O104" s="453" t="s">
        <v>239</v>
      </c>
      <c r="P104" s="475" t="s">
        <v>239</v>
      </c>
    </row>
    <row r="105" spans="1:17">
      <c r="A105" s="501" t="s">
        <v>971</v>
      </c>
      <c r="B105" s="491" t="s">
        <v>134</v>
      </c>
      <c r="C105" s="491" t="s">
        <v>858</v>
      </c>
      <c r="D105" s="571" t="s">
        <v>970</v>
      </c>
      <c r="E105" s="491" t="s">
        <v>158</v>
      </c>
      <c r="F105" s="572" t="s">
        <v>772</v>
      </c>
      <c r="G105" s="558">
        <v>100000</v>
      </c>
      <c r="H105" s="491" t="s">
        <v>112</v>
      </c>
      <c r="I105" s="537">
        <v>42494</v>
      </c>
      <c r="J105" s="537">
        <v>42503</v>
      </c>
      <c r="K105" s="491" t="s">
        <v>967</v>
      </c>
      <c r="L105" s="536">
        <v>96210</v>
      </c>
      <c r="M105" s="536">
        <v>116414</v>
      </c>
      <c r="N105" s="537">
        <v>42522</v>
      </c>
      <c r="O105" s="491" t="s">
        <v>239</v>
      </c>
      <c r="P105" s="502" t="s">
        <v>239</v>
      </c>
    </row>
    <row r="106" spans="1:17">
      <c r="A106" s="515" t="s">
        <v>972</v>
      </c>
      <c r="B106" s="506" t="s">
        <v>166</v>
      </c>
      <c r="C106" s="506" t="s">
        <v>167</v>
      </c>
      <c r="D106" s="507" t="s">
        <v>973</v>
      </c>
      <c r="E106" s="506" t="s">
        <v>976</v>
      </c>
      <c r="F106" s="508"/>
      <c r="G106" s="509">
        <v>490000</v>
      </c>
      <c r="H106" s="506" t="s">
        <v>112</v>
      </c>
      <c r="I106" s="510">
        <v>42494</v>
      </c>
      <c r="J106" s="510">
        <v>42506</v>
      </c>
      <c r="K106" s="736" t="s">
        <v>304</v>
      </c>
      <c r="L106" s="511"/>
      <c r="M106" s="511"/>
      <c r="N106" s="506"/>
      <c r="O106" s="506" t="s">
        <v>239</v>
      </c>
      <c r="P106" s="521" t="s">
        <v>239</v>
      </c>
      <c r="Q106" s="9"/>
    </row>
    <row r="107" spans="1:17">
      <c r="A107" s="515" t="s">
        <v>974</v>
      </c>
      <c r="B107" s="506" t="s">
        <v>166</v>
      </c>
      <c r="C107" s="506" t="s">
        <v>167</v>
      </c>
      <c r="D107" s="507" t="s">
        <v>975</v>
      </c>
      <c r="E107" s="506" t="s">
        <v>977</v>
      </c>
      <c r="F107" s="508"/>
      <c r="G107" s="509">
        <v>310000</v>
      </c>
      <c r="H107" s="506" t="s">
        <v>112</v>
      </c>
      <c r="I107" s="510">
        <v>42494</v>
      </c>
      <c r="J107" s="510">
        <v>42506</v>
      </c>
      <c r="K107" s="736" t="s">
        <v>998</v>
      </c>
      <c r="L107" s="511"/>
      <c r="M107" s="511"/>
      <c r="N107" s="506"/>
      <c r="O107" s="506" t="s">
        <v>239</v>
      </c>
      <c r="P107" s="521" t="s">
        <v>239</v>
      </c>
      <c r="Q107" s="9"/>
    </row>
    <row r="108" spans="1:17" ht="15.75" thickBot="1">
      <c r="A108" s="737" t="s">
        <v>979</v>
      </c>
      <c r="B108" s="731" t="s">
        <v>894</v>
      </c>
      <c r="C108" s="731" t="s">
        <v>361</v>
      </c>
      <c r="D108" s="738" t="s">
        <v>980</v>
      </c>
      <c r="E108" s="731" t="s">
        <v>809</v>
      </c>
      <c r="F108" s="739" t="s">
        <v>981</v>
      </c>
      <c r="G108" s="740">
        <v>50000</v>
      </c>
      <c r="H108" s="731" t="s">
        <v>112</v>
      </c>
      <c r="I108" s="741">
        <v>42495</v>
      </c>
      <c r="J108" s="741">
        <v>42500</v>
      </c>
      <c r="K108" s="731" t="s">
        <v>923</v>
      </c>
      <c r="L108" s="742">
        <v>39450</v>
      </c>
      <c r="M108" s="742">
        <v>47735</v>
      </c>
      <c r="N108" s="741">
        <v>42514</v>
      </c>
      <c r="O108" s="731" t="s">
        <v>239</v>
      </c>
      <c r="P108" s="743" t="s">
        <v>239</v>
      </c>
    </row>
    <row r="109" spans="1:17" ht="16.5" thickTop="1" thickBot="1">
      <c r="A109" s="232" t="s">
        <v>982</v>
      </c>
      <c r="B109" s="232" t="s">
        <v>218</v>
      </c>
      <c r="C109" s="232" t="s">
        <v>219</v>
      </c>
      <c r="D109" s="274" t="s">
        <v>983</v>
      </c>
      <c r="E109" s="232" t="s">
        <v>642</v>
      </c>
      <c r="F109" s="496"/>
      <c r="G109" s="497">
        <v>533000</v>
      </c>
      <c r="H109" s="232" t="s">
        <v>112</v>
      </c>
      <c r="I109" s="498">
        <v>42502</v>
      </c>
      <c r="J109" s="498">
        <v>42517</v>
      </c>
      <c r="K109" s="232" t="s">
        <v>1055</v>
      </c>
      <c r="L109" s="499">
        <v>547200</v>
      </c>
      <c r="M109" s="499">
        <v>662112</v>
      </c>
      <c r="N109" s="498">
        <v>42551</v>
      </c>
      <c r="O109" s="498">
        <v>42558</v>
      </c>
      <c r="P109" s="232" t="s">
        <v>239</v>
      </c>
    </row>
    <row r="110" spans="1:17" s="390" customFormat="1" ht="15.75" thickTop="1">
      <c r="A110" s="452" t="s">
        <v>987</v>
      </c>
      <c r="B110" s="453" t="s">
        <v>69</v>
      </c>
      <c r="C110" s="453" t="s">
        <v>70</v>
      </c>
      <c r="D110" s="473" t="s">
        <v>1067</v>
      </c>
      <c r="E110" s="453" t="s">
        <v>988</v>
      </c>
      <c r="F110" s="454"/>
      <c r="G110" s="455">
        <v>300000</v>
      </c>
      <c r="H110" s="453" t="s">
        <v>112</v>
      </c>
      <c r="I110" s="474">
        <v>42502</v>
      </c>
      <c r="J110" s="474">
        <v>42509</v>
      </c>
      <c r="K110" s="453" t="s">
        <v>577</v>
      </c>
      <c r="L110" s="457">
        <f>M110/1.21</f>
        <v>138615.19008264464</v>
      </c>
      <c r="M110" s="457">
        <v>167724.38</v>
      </c>
      <c r="N110" s="474">
        <v>42529</v>
      </c>
      <c r="O110" s="453" t="s">
        <v>239</v>
      </c>
      <c r="P110" s="475" t="s">
        <v>239</v>
      </c>
      <c r="Q110" s="1024"/>
    </row>
    <row r="111" spans="1:17" s="390" customFormat="1" ht="15.75" thickBot="1">
      <c r="A111" s="446" t="s">
        <v>987</v>
      </c>
      <c r="B111" s="447" t="s">
        <v>69</v>
      </c>
      <c r="C111" s="447" t="s">
        <v>70</v>
      </c>
      <c r="D111" s="476" t="s">
        <v>1068</v>
      </c>
      <c r="E111" s="447" t="s">
        <v>988</v>
      </c>
      <c r="F111" s="448"/>
      <c r="G111" s="449">
        <v>88500</v>
      </c>
      <c r="H111" s="447" t="s">
        <v>112</v>
      </c>
      <c r="I111" s="477">
        <v>42502</v>
      </c>
      <c r="J111" s="477">
        <v>42509</v>
      </c>
      <c r="K111" s="447" t="s">
        <v>577</v>
      </c>
      <c r="L111" s="450">
        <f>M111/1.21</f>
        <v>57751.471074380162</v>
      </c>
      <c r="M111" s="450">
        <v>69879.28</v>
      </c>
      <c r="N111" s="477">
        <v>42529</v>
      </c>
      <c r="O111" s="447" t="s">
        <v>239</v>
      </c>
      <c r="P111" s="478" t="s">
        <v>239</v>
      </c>
      <c r="Q111" s="1024"/>
    </row>
    <row r="112" spans="1:17" ht="15.75" thickTop="1">
      <c r="A112" s="744" t="s">
        <v>984</v>
      </c>
      <c r="B112" s="466" t="s">
        <v>58</v>
      </c>
      <c r="C112" s="466" t="s">
        <v>55</v>
      </c>
      <c r="D112" s="467" t="s">
        <v>992</v>
      </c>
      <c r="E112" s="466" t="s">
        <v>820</v>
      </c>
      <c r="F112" s="468" t="s">
        <v>791</v>
      </c>
      <c r="G112" s="469">
        <v>315000</v>
      </c>
      <c r="H112" s="466" t="s">
        <v>112</v>
      </c>
      <c r="I112" s="470">
        <v>42503</v>
      </c>
      <c r="J112" s="470">
        <v>42515</v>
      </c>
      <c r="K112" s="471" t="s">
        <v>304</v>
      </c>
      <c r="L112" s="472"/>
      <c r="M112" s="472"/>
      <c r="N112" s="466"/>
      <c r="O112" s="466" t="s">
        <v>239</v>
      </c>
      <c r="P112" s="745" t="s">
        <v>239</v>
      </c>
      <c r="Q112" s="9"/>
    </row>
    <row r="113" spans="1:17">
      <c r="A113" s="501" t="s">
        <v>985</v>
      </c>
      <c r="B113" s="491" t="s">
        <v>894</v>
      </c>
      <c r="C113" s="491" t="s">
        <v>361</v>
      </c>
      <c r="D113" s="571" t="s">
        <v>986</v>
      </c>
      <c r="E113" s="491" t="s">
        <v>491</v>
      </c>
      <c r="F113" s="572" t="s">
        <v>804</v>
      </c>
      <c r="G113" s="558">
        <v>495000</v>
      </c>
      <c r="H113" s="491" t="s">
        <v>112</v>
      </c>
      <c r="I113" s="537">
        <v>42506</v>
      </c>
      <c r="J113" s="537">
        <v>42516</v>
      </c>
      <c r="K113" s="491" t="s">
        <v>1069</v>
      </c>
      <c r="L113" s="536">
        <f>M113/1.21</f>
        <v>359948.51239669422</v>
      </c>
      <c r="M113" s="536">
        <v>435537.7</v>
      </c>
      <c r="N113" s="537">
        <v>42545</v>
      </c>
      <c r="O113" s="491" t="s">
        <v>239</v>
      </c>
      <c r="P113" s="502" t="s">
        <v>239</v>
      </c>
    </row>
    <row r="114" spans="1:17" ht="15.75" thickBot="1">
      <c r="A114" s="446" t="s">
        <v>989</v>
      </c>
      <c r="B114" s="447" t="s">
        <v>894</v>
      </c>
      <c r="C114" s="447" t="s">
        <v>361</v>
      </c>
      <c r="D114" s="476" t="s">
        <v>990</v>
      </c>
      <c r="E114" s="447" t="s">
        <v>809</v>
      </c>
      <c r="F114" s="448" t="s">
        <v>991</v>
      </c>
      <c r="G114" s="449">
        <v>80000</v>
      </c>
      <c r="H114" s="447" t="s">
        <v>112</v>
      </c>
      <c r="I114" s="477">
        <v>42506</v>
      </c>
      <c r="J114" s="477">
        <v>42514</v>
      </c>
      <c r="K114" s="447" t="s">
        <v>1070</v>
      </c>
      <c r="L114" s="450">
        <f>M114/1.21</f>
        <v>50529.752066115703</v>
      </c>
      <c r="M114" s="450">
        <v>61141</v>
      </c>
      <c r="N114" s="477">
        <v>42527</v>
      </c>
      <c r="O114" s="447" t="s">
        <v>239</v>
      </c>
      <c r="P114" s="478" t="s">
        <v>239</v>
      </c>
    </row>
    <row r="115" spans="1:17" ht="15.75" thickTop="1">
      <c r="A115" s="605" t="s">
        <v>996</v>
      </c>
      <c r="B115" s="605" t="s">
        <v>14</v>
      </c>
      <c r="C115" s="605" t="s">
        <v>13</v>
      </c>
      <c r="D115" s="175" t="s">
        <v>997</v>
      </c>
      <c r="E115" s="605" t="s">
        <v>776</v>
      </c>
      <c r="F115" s="419"/>
      <c r="G115" s="127">
        <v>67769</v>
      </c>
      <c r="H115" s="605" t="s">
        <v>235</v>
      </c>
      <c r="I115" s="365">
        <v>42503</v>
      </c>
      <c r="J115" s="365">
        <v>42548</v>
      </c>
      <c r="K115" s="605" t="s">
        <v>25</v>
      </c>
      <c r="L115" s="364">
        <f>M115/1.21</f>
        <v>68900</v>
      </c>
      <c r="M115" s="364">
        <v>83369</v>
      </c>
      <c r="N115" s="365">
        <v>42579</v>
      </c>
      <c r="O115" s="365">
        <v>42584</v>
      </c>
      <c r="P115" s="365">
        <v>42677</v>
      </c>
    </row>
    <row r="116" spans="1:17" ht="15.75" thickBot="1">
      <c r="A116" s="639" t="s">
        <v>1000</v>
      </c>
      <c r="B116" s="639" t="s">
        <v>14</v>
      </c>
      <c r="C116" s="639" t="s">
        <v>13</v>
      </c>
      <c r="D116" s="640" t="s">
        <v>1001</v>
      </c>
      <c r="E116" s="639" t="s">
        <v>1002</v>
      </c>
      <c r="F116" s="641"/>
      <c r="G116" s="642">
        <v>144628</v>
      </c>
      <c r="H116" s="639" t="s">
        <v>235</v>
      </c>
      <c r="I116" s="643">
        <v>42506</v>
      </c>
      <c r="J116" s="643">
        <v>42548</v>
      </c>
      <c r="K116" s="644" t="s">
        <v>304</v>
      </c>
      <c r="L116" s="645"/>
      <c r="M116" s="645"/>
      <c r="N116" s="639"/>
      <c r="O116" s="643"/>
      <c r="P116" s="639"/>
      <c r="Q116" s="9"/>
    </row>
    <row r="117" spans="1:17" ht="16.5" thickTop="1" thickBot="1">
      <c r="A117" s="719" t="s">
        <v>1542</v>
      </c>
      <c r="B117" s="707" t="s">
        <v>166</v>
      </c>
      <c r="C117" s="707" t="s">
        <v>167</v>
      </c>
      <c r="D117" s="720" t="s">
        <v>1003</v>
      </c>
      <c r="E117" s="707" t="s">
        <v>977</v>
      </c>
      <c r="F117" s="705"/>
      <c r="G117" s="706">
        <v>310000</v>
      </c>
      <c r="H117" s="707" t="s">
        <v>112</v>
      </c>
      <c r="I117" s="711">
        <v>42509</v>
      </c>
      <c r="J117" s="711">
        <v>42546</v>
      </c>
      <c r="K117" s="707" t="s">
        <v>1072</v>
      </c>
      <c r="L117" s="710">
        <f>M117/1.21</f>
        <v>162388.26446280992</v>
      </c>
      <c r="M117" s="710">
        <v>196489.8</v>
      </c>
      <c r="N117" s="711">
        <v>42534</v>
      </c>
      <c r="O117" s="707" t="s">
        <v>239</v>
      </c>
      <c r="P117" s="712" t="s">
        <v>239</v>
      </c>
    </row>
    <row r="118" spans="1:17" ht="16.5" thickTop="1" thickBot="1">
      <c r="A118" s="232" t="s">
        <v>1004</v>
      </c>
      <c r="B118" s="232" t="s">
        <v>218</v>
      </c>
      <c r="C118" s="232" t="s">
        <v>219</v>
      </c>
      <c r="D118" s="274" t="s">
        <v>1005</v>
      </c>
      <c r="E118" s="232" t="s">
        <v>1006</v>
      </c>
      <c r="F118" s="496"/>
      <c r="G118" s="497">
        <v>3600000</v>
      </c>
      <c r="H118" s="232" t="s">
        <v>216</v>
      </c>
      <c r="I118" s="498">
        <v>42529</v>
      </c>
      <c r="J118" s="498">
        <v>42550</v>
      </c>
      <c r="K118" s="669" t="s">
        <v>1317</v>
      </c>
      <c r="L118" s="499">
        <f>M118/1.21</f>
        <v>3477000</v>
      </c>
      <c r="M118" s="499">
        <v>4207170</v>
      </c>
      <c r="N118" s="498">
        <v>42643</v>
      </c>
      <c r="O118" s="498">
        <v>42647</v>
      </c>
      <c r="P118" s="498">
        <v>42800</v>
      </c>
      <c r="Q118" s="1206">
        <v>43181</v>
      </c>
    </row>
    <row r="119" spans="1:17" ht="15.75" thickTop="1">
      <c r="A119" s="452" t="s">
        <v>1007</v>
      </c>
      <c r="B119" s="453" t="s">
        <v>58</v>
      </c>
      <c r="C119" s="453" t="s">
        <v>55</v>
      </c>
      <c r="D119" s="473" t="s">
        <v>1140</v>
      </c>
      <c r="E119" s="453" t="s">
        <v>1012</v>
      </c>
      <c r="F119" s="454" t="s">
        <v>789</v>
      </c>
      <c r="G119" s="455">
        <v>395000</v>
      </c>
      <c r="H119" s="453" t="s">
        <v>112</v>
      </c>
      <c r="I119" s="474">
        <v>42509</v>
      </c>
      <c r="J119" s="474">
        <v>42520</v>
      </c>
      <c r="K119" s="453" t="s">
        <v>1073</v>
      </c>
      <c r="L119" s="457">
        <v>179160</v>
      </c>
      <c r="M119" s="457">
        <v>216783.6</v>
      </c>
      <c r="N119" s="474">
        <v>42551</v>
      </c>
      <c r="O119" s="453" t="s">
        <v>239</v>
      </c>
      <c r="P119" s="475" t="s">
        <v>239</v>
      </c>
    </row>
    <row r="120" spans="1:17">
      <c r="A120" s="501" t="s">
        <v>1008</v>
      </c>
      <c r="B120" s="491" t="s">
        <v>166</v>
      </c>
      <c r="C120" s="491" t="s">
        <v>167</v>
      </c>
      <c r="D120" s="571" t="s">
        <v>1009</v>
      </c>
      <c r="E120" s="491" t="s">
        <v>976</v>
      </c>
      <c r="F120" s="572"/>
      <c r="G120" s="558">
        <v>490000</v>
      </c>
      <c r="H120" s="491" t="s">
        <v>112</v>
      </c>
      <c r="I120" s="537">
        <v>42508</v>
      </c>
      <c r="J120" s="537">
        <v>42516</v>
      </c>
      <c r="K120" s="491" t="s">
        <v>1071</v>
      </c>
      <c r="L120" s="536">
        <f>M120/1.21</f>
        <v>411849</v>
      </c>
      <c r="M120" s="536">
        <v>498337.29</v>
      </c>
      <c r="N120" s="537">
        <v>42534</v>
      </c>
      <c r="O120" s="491" t="s">
        <v>239</v>
      </c>
      <c r="P120" s="502" t="s">
        <v>239</v>
      </c>
    </row>
    <row r="121" spans="1:17">
      <c r="A121" s="501" t="s">
        <v>1011</v>
      </c>
      <c r="B121" s="491" t="s">
        <v>58</v>
      </c>
      <c r="C121" s="491" t="s">
        <v>55</v>
      </c>
      <c r="D121" s="571" t="s">
        <v>1010</v>
      </c>
      <c r="E121" s="491" t="s">
        <v>1013</v>
      </c>
      <c r="F121" s="572" t="s">
        <v>1014</v>
      </c>
      <c r="G121" s="558">
        <v>350000</v>
      </c>
      <c r="H121" s="491" t="s">
        <v>112</v>
      </c>
      <c r="I121" s="537">
        <v>42509</v>
      </c>
      <c r="J121" s="537">
        <v>42521</v>
      </c>
      <c r="K121" s="491" t="s">
        <v>1075</v>
      </c>
      <c r="L121" s="536">
        <v>468875</v>
      </c>
      <c r="M121" s="536">
        <v>567338.75</v>
      </c>
      <c r="N121" s="537">
        <v>42551</v>
      </c>
      <c r="O121" s="491" t="s">
        <v>239</v>
      </c>
      <c r="P121" s="502" t="s">
        <v>239</v>
      </c>
    </row>
    <row r="122" spans="1:17" ht="15.75" thickBot="1">
      <c r="A122" s="446" t="s">
        <v>1025</v>
      </c>
      <c r="B122" s="447" t="s">
        <v>166</v>
      </c>
      <c r="C122" s="447" t="s">
        <v>167</v>
      </c>
      <c r="D122" s="476" t="s">
        <v>1023</v>
      </c>
      <c r="E122" s="447" t="s">
        <v>821</v>
      </c>
      <c r="F122" s="448"/>
      <c r="G122" s="449">
        <v>481818</v>
      </c>
      <c r="H122" s="447" t="s">
        <v>112</v>
      </c>
      <c r="I122" s="477">
        <v>42509</v>
      </c>
      <c r="J122" s="477">
        <v>42527</v>
      </c>
      <c r="K122" s="447" t="s">
        <v>1069</v>
      </c>
      <c r="L122" s="450">
        <v>478055.59</v>
      </c>
      <c r="M122" s="450">
        <v>578447.27</v>
      </c>
      <c r="N122" s="477">
        <v>42549</v>
      </c>
      <c r="O122" s="447" t="s">
        <v>239</v>
      </c>
      <c r="P122" s="478" t="s">
        <v>239</v>
      </c>
    </row>
    <row r="123" spans="1:17" ht="16.5" thickTop="1" thickBot="1">
      <c r="A123" s="232" t="s">
        <v>1026</v>
      </c>
      <c r="B123" s="232" t="s">
        <v>166</v>
      </c>
      <c r="C123" s="232" t="s">
        <v>167</v>
      </c>
      <c r="D123" s="274" t="s">
        <v>1024</v>
      </c>
      <c r="E123" s="232" t="s">
        <v>822</v>
      </c>
      <c r="F123" s="496"/>
      <c r="G123" s="497">
        <v>1223000</v>
      </c>
      <c r="H123" s="232" t="s">
        <v>112</v>
      </c>
      <c r="I123" s="498">
        <v>42513</v>
      </c>
      <c r="J123" s="498">
        <v>42528</v>
      </c>
      <c r="K123" s="232" t="s">
        <v>994</v>
      </c>
      <c r="L123" s="499">
        <v>858585.85</v>
      </c>
      <c r="M123" s="499">
        <v>1038888.88</v>
      </c>
      <c r="N123" s="498">
        <v>42551</v>
      </c>
      <c r="O123" s="498">
        <v>42552</v>
      </c>
      <c r="P123" s="498">
        <v>42681</v>
      </c>
    </row>
    <row r="124" spans="1:17" ht="16.5" thickTop="1" thickBot="1">
      <c r="A124" s="746" t="s">
        <v>1028</v>
      </c>
      <c r="B124" s="747" t="s">
        <v>894</v>
      </c>
      <c r="C124" s="747" t="s">
        <v>361</v>
      </c>
      <c r="D124" s="748" t="s">
        <v>1029</v>
      </c>
      <c r="E124" s="747" t="s">
        <v>1030</v>
      </c>
      <c r="F124" s="749"/>
      <c r="G124" s="750">
        <v>1800000</v>
      </c>
      <c r="H124" s="747" t="s">
        <v>112</v>
      </c>
      <c r="I124" s="747"/>
      <c r="J124" s="747"/>
      <c r="K124" s="747"/>
      <c r="L124" s="751"/>
      <c r="M124" s="751"/>
      <c r="N124" s="747"/>
      <c r="O124" s="747"/>
      <c r="P124" s="752" t="s">
        <v>239</v>
      </c>
      <c r="Q124" s="9"/>
    </row>
    <row r="125" spans="1:17" ht="15.75" thickTop="1">
      <c r="A125" s="660" t="s">
        <v>1031</v>
      </c>
      <c r="B125" s="605" t="s">
        <v>1032</v>
      </c>
      <c r="C125" s="605" t="s">
        <v>1033</v>
      </c>
      <c r="D125" s="175" t="s">
        <v>1076</v>
      </c>
      <c r="E125" s="605" t="s">
        <v>1034</v>
      </c>
      <c r="F125" s="419" t="s">
        <v>1079</v>
      </c>
      <c r="G125" s="127">
        <v>215000</v>
      </c>
      <c r="H125" s="605" t="s">
        <v>112</v>
      </c>
      <c r="I125" s="365">
        <v>42515</v>
      </c>
      <c r="J125" s="365">
        <v>42524</v>
      </c>
      <c r="K125" s="605" t="s">
        <v>1092</v>
      </c>
      <c r="L125" s="364">
        <v>280000</v>
      </c>
      <c r="M125" s="364">
        <v>338800</v>
      </c>
      <c r="N125" s="365">
        <v>42562</v>
      </c>
      <c r="O125" s="365">
        <v>42562</v>
      </c>
      <c r="P125" s="834">
        <v>42702</v>
      </c>
    </row>
    <row r="126" spans="1:17">
      <c r="A126" s="501" t="s">
        <v>1031</v>
      </c>
      <c r="B126" s="401" t="s">
        <v>1032</v>
      </c>
      <c r="C126" s="401" t="s">
        <v>1033</v>
      </c>
      <c r="D126" s="410" t="s">
        <v>1077</v>
      </c>
      <c r="E126" s="401" t="s">
        <v>1034</v>
      </c>
      <c r="F126" s="402" t="s">
        <v>1080</v>
      </c>
      <c r="G126" s="403">
        <v>800000</v>
      </c>
      <c r="H126" s="401" t="s">
        <v>112</v>
      </c>
      <c r="I126" s="404">
        <v>42515</v>
      </c>
      <c r="J126" s="404">
        <v>42524</v>
      </c>
      <c r="K126" s="401" t="s">
        <v>1092</v>
      </c>
      <c r="L126" s="405">
        <v>992000</v>
      </c>
      <c r="M126" s="405">
        <v>1200320</v>
      </c>
      <c r="N126" s="404">
        <v>42562</v>
      </c>
      <c r="O126" s="404">
        <v>42562</v>
      </c>
      <c r="P126" s="852">
        <v>42779</v>
      </c>
    </row>
    <row r="127" spans="1:17" ht="15.75" thickBot="1">
      <c r="A127" s="629" t="s">
        <v>1031</v>
      </c>
      <c r="B127" s="411" t="s">
        <v>1032</v>
      </c>
      <c r="C127" s="411" t="s">
        <v>1033</v>
      </c>
      <c r="D127" s="412" t="s">
        <v>1078</v>
      </c>
      <c r="E127" s="411" t="s">
        <v>1034</v>
      </c>
      <c r="F127" s="414" t="s">
        <v>830</v>
      </c>
      <c r="G127" s="415">
        <v>50000</v>
      </c>
      <c r="H127" s="411" t="s">
        <v>112</v>
      </c>
      <c r="I127" s="416">
        <v>42515</v>
      </c>
      <c r="J127" s="416">
        <v>42524</v>
      </c>
      <c r="K127" s="411" t="s">
        <v>1093</v>
      </c>
      <c r="L127" s="417">
        <v>17800</v>
      </c>
      <c r="M127" s="417">
        <v>17800</v>
      </c>
      <c r="N127" s="416">
        <v>42551</v>
      </c>
      <c r="O127" s="416">
        <v>42552</v>
      </c>
      <c r="P127" s="637">
        <v>42677</v>
      </c>
    </row>
    <row r="128" spans="1:17" ht="15.75" thickTop="1">
      <c r="A128" s="438" t="s">
        <v>1035</v>
      </c>
      <c r="B128" s="439" t="s">
        <v>14</v>
      </c>
      <c r="C128" s="439" t="s">
        <v>13</v>
      </c>
      <c r="D128" s="440" t="s">
        <v>1036</v>
      </c>
      <c r="E128" s="439" t="s">
        <v>1037</v>
      </c>
      <c r="F128" s="441"/>
      <c r="G128" s="442">
        <v>133000</v>
      </c>
      <c r="H128" s="439" t="s">
        <v>235</v>
      </c>
      <c r="I128" s="443">
        <v>42513</v>
      </c>
      <c r="J128" s="443">
        <v>42571</v>
      </c>
      <c r="K128" s="753" t="s">
        <v>1192</v>
      </c>
      <c r="L128" s="444"/>
      <c r="M128" s="444"/>
      <c r="N128" s="439"/>
      <c r="O128" s="439"/>
      <c r="P128" s="445"/>
      <c r="Q128" s="9"/>
    </row>
    <row r="129" spans="1:17" ht="15.75" thickBot="1">
      <c r="A129" s="430" t="s">
        <v>1040</v>
      </c>
      <c r="B129" s="431" t="s">
        <v>218</v>
      </c>
      <c r="C129" s="431" t="s">
        <v>219</v>
      </c>
      <c r="D129" s="432" t="s">
        <v>1041</v>
      </c>
      <c r="E129" s="431" t="s">
        <v>1042</v>
      </c>
      <c r="F129" s="433"/>
      <c r="G129" s="434">
        <v>890000</v>
      </c>
      <c r="H129" s="431" t="s">
        <v>112</v>
      </c>
      <c r="I129" s="435">
        <v>42515</v>
      </c>
      <c r="J129" s="435">
        <v>42528</v>
      </c>
      <c r="K129" s="726" t="s">
        <v>1567</v>
      </c>
      <c r="L129" s="436">
        <v>901919.4</v>
      </c>
      <c r="M129" s="436">
        <f>L129*1.21</f>
        <v>1091322.4739999999</v>
      </c>
      <c r="N129" s="435"/>
      <c r="O129" s="431"/>
      <c r="P129" s="535" t="s">
        <v>239</v>
      </c>
      <c r="Q129" s="9"/>
    </row>
    <row r="130" spans="1:17" ht="16.5" thickTop="1" thickBot="1">
      <c r="A130" s="232" t="s">
        <v>1050</v>
      </c>
      <c r="B130" s="232" t="s">
        <v>58</v>
      </c>
      <c r="C130" s="232" t="s">
        <v>55</v>
      </c>
      <c r="D130" s="274" t="s">
        <v>939</v>
      </c>
      <c r="E130" s="232" t="s">
        <v>940</v>
      </c>
      <c r="F130" s="496" t="s">
        <v>941</v>
      </c>
      <c r="G130" s="497">
        <v>530000</v>
      </c>
      <c r="H130" s="232" t="s">
        <v>112</v>
      </c>
      <c r="I130" s="498">
        <v>42516</v>
      </c>
      <c r="J130" s="498">
        <v>42524</v>
      </c>
      <c r="K130" s="499" t="s">
        <v>584</v>
      </c>
      <c r="L130" s="499">
        <v>558050</v>
      </c>
      <c r="M130" s="499">
        <v>675240.5</v>
      </c>
      <c r="N130" s="498">
        <v>42552</v>
      </c>
      <c r="O130" s="498">
        <v>42558</v>
      </c>
      <c r="P130" s="498">
        <v>42677</v>
      </c>
      <c r="Q130" s="1203" t="s">
        <v>1649</v>
      </c>
    </row>
    <row r="131" spans="1:17" ht="16.5" thickTop="1" thickBot="1">
      <c r="A131" s="646" t="s">
        <v>1051</v>
      </c>
      <c r="B131" s="534" t="s">
        <v>69</v>
      </c>
      <c r="C131" s="534" t="s">
        <v>70</v>
      </c>
      <c r="D131" s="632" t="s">
        <v>1058</v>
      </c>
      <c r="E131" s="534" t="s">
        <v>72</v>
      </c>
      <c r="F131" s="633"/>
      <c r="G131" s="634">
        <v>5583168.6100000003</v>
      </c>
      <c r="H131" s="534" t="s">
        <v>251</v>
      </c>
      <c r="I131" s="635">
        <v>42516</v>
      </c>
      <c r="J131" s="635">
        <v>42633</v>
      </c>
      <c r="K131" s="534" t="s">
        <v>1319</v>
      </c>
      <c r="L131" s="636">
        <v>5293970.6100000003</v>
      </c>
      <c r="M131" s="636">
        <f>L131*1.1</f>
        <v>5823367.671000001</v>
      </c>
      <c r="N131" s="635">
        <v>42685</v>
      </c>
      <c r="O131" s="635">
        <v>42695</v>
      </c>
      <c r="P131" s="952">
        <v>42818</v>
      </c>
      <c r="Q131" s="1206">
        <v>43111</v>
      </c>
    </row>
    <row r="132" spans="1:17" ht="16.5" thickTop="1" thickBot="1">
      <c r="A132" s="721" t="s">
        <v>1051</v>
      </c>
      <c r="B132" s="693" t="s">
        <v>69</v>
      </c>
      <c r="C132" s="693" t="s">
        <v>70</v>
      </c>
      <c r="D132" s="722" t="s">
        <v>1057</v>
      </c>
      <c r="E132" s="693" t="s">
        <v>72</v>
      </c>
      <c r="F132" s="695"/>
      <c r="G132" s="696">
        <v>11182570.199999999</v>
      </c>
      <c r="H132" s="693" t="s">
        <v>251</v>
      </c>
      <c r="I132" s="723">
        <v>42516</v>
      </c>
      <c r="J132" s="723">
        <v>42633</v>
      </c>
      <c r="K132" s="754" t="s">
        <v>1403</v>
      </c>
      <c r="L132" s="699"/>
      <c r="M132" s="699"/>
      <c r="N132" s="723"/>
      <c r="O132" s="693"/>
      <c r="P132" s="701"/>
      <c r="Q132" s="9"/>
    </row>
    <row r="133" spans="1:17" ht="16.5" thickTop="1" thickBot="1">
      <c r="A133" s="667" t="s">
        <v>1051</v>
      </c>
      <c r="B133" s="232" t="s">
        <v>69</v>
      </c>
      <c r="C133" s="232" t="s">
        <v>70</v>
      </c>
      <c r="D133" s="274" t="s">
        <v>1059</v>
      </c>
      <c r="E133" s="232" t="s">
        <v>72</v>
      </c>
      <c r="F133" s="496"/>
      <c r="G133" s="497">
        <v>5900996.6399999997</v>
      </c>
      <c r="H133" s="232" t="s">
        <v>251</v>
      </c>
      <c r="I133" s="498">
        <v>42516</v>
      </c>
      <c r="J133" s="498">
        <v>42633</v>
      </c>
      <c r="K133" s="232" t="s">
        <v>716</v>
      </c>
      <c r="L133" s="499">
        <v>5900996.6399999997</v>
      </c>
      <c r="M133" s="499">
        <f>L133*1.1</f>
        <v>6491096.3040000005</v>
      </c>
      <c r="N133" s="498">
        <v>42685</v>
      </c>
      <c r="O133" s="498">
        <v>42695</v>
      </c>
      <c r="P133" s="952">
        <v>42818</v>
      </c>
      <c r="Q133" s="1206">
        <v>43111</v>
      </c>
    </row>
    <row r="134" spans="1:17" ht="16.5" thickTop="1" thickBot="1">
      <c r="A134" s="721" t="s">
        <v>1051</v>
      </c>
      <c r="B134" s="693" t="s">
        <v>69</v>
      </c>
      <c r="C134" s="693" t="s">
        <v>70</v>
      </c>
      <c r="D134" s="722" t="s">
        <v>1060</v>
      </c>
      <c r="E134" s="693" t="s">
        <v>72</v>
      </c>
      <c r="F134" s="695"/>
      <c r="G134" s="696">
        <v>45448123.82</v>
      </c>
      <c r="H134" s="693" t="s">
        <v>251</v>
      </c>
      <c r="I134" s="723">
        <v>42516</v>
      </c>
      <c r="J134" s="723">
        <v>42633</v>
      </c>
      <c r="K134" s="725" t="s">
        <v>1312</v>
      </c>
      <c r="L134" s="699"/>
      <c r="M134" s="699"/>
      <c r="N134" s="723"/>
      <c r="O134" s="693"/>
      <c r="P134" s="701"/>
      <c r="Q134" s="9"/>
    </row>
    <row r="135" spans="1:17" ht="16.5" thickTop="1" thickBot="1">
      <c r="A135" s="671" t="s">
        <v>1051</v>
      </c>
      <c r="B135" s="517" t="s">
        <v>69</v>
      </c>
      <c r="C135" s="517" t="s">
        <v>70</v>
      </c>
      <c r="D135" s="672" t="s">
        <v>1061</v>
      </c>
      <c r="E135" s="517" t="s">
        <v>72</v>
      </c>
      <c r="F135" s="673"/>
      <c r="G135" s="674">
        <v>35163927.340000004</v>
      </c>
      <c r="H135" s="517" t="s">
        <v>251</v>
      </c>
      <c r="I135" s="675">
        <v>42516</v>
      </c>
      <c r="J135" s="675">
        <v>42633</v>
      </c>
      <c r="K135" s="517" t="s">
        <v>1402</v>
      </c>
      <c r="L135" s="676">
        <v>34991870.380000003</v>
      </c>
      <c r="M135" s="676">
        <f>L135*1.1</f>
        <v>38491057.418000005</v>
      </c>
      <c r="N135" s="675">
        <v>42685</v>
      </c>
      <c r="O135" s="675">
        <v>42695</v>
      </c>
      <c r="P135" s="952">
        <v>42818</v>
      </c>
      <c r="Q135" s="1206">
        <v>43111</v>
      </c>
    </row>
    <row r="136" spans="1:17" ht="16.5" thickTop="1" thickBot="1">
      <c r="A136" s="232" t="s">
        <v>1052</v>
      </c>
      <c r="B136" s="232" t="s">
        <v>894</v>
      </c>
      <c r="C136" s="232" t="s">
        <v>201</v>
      </c>
      <c r="D136" s="274" t="s">
        <v>1048</v>
      </c>
      <c r="E136" s="232" t="s">
        <v>1049</v>
      </c>
      <c r="F136" s="496"/>
      <c r="G136" s="497">
        <v>490000</v>
      </c>
      <c r="H136" s="232" t="s">
        <v>112</v>
      </c>
      <c r="I136" s="498">
        <v>42520</v>
      </c>
      <c r="J136" s="498">
        <v>42531</v>
      </c>
      <c r="K136" s="232" t="s">
        <v>1095</v>
      </c>
      <c r="L136" s="499">
        <v>526900</v>
      </c>
      <c r="M136" s="499">
        <v>637549</v>
      </c>
      <c r="N136" s="498">
        <v>42551</v>
      </c>
      <c r="O136" s="498">
        <v>42552</v>
      </c>
      <c r="P136" s="232" t="s">
        <v>239</v>
      </c>
    </row>
    <row r="137" spans="1:17" ht="16.5" thickTop="1" thickBot="1">
      <c r="A137" s="646" t="s">
        <v>1053</v>
      </c>
      <c r="B137" s="534" t="s">
        <v>69</v>
      </c>
      <c r="C137" s="534" t="s">
        <v>70</v>
      </c>
      <c r="D137" s="632" t="s">
        <v>1062</v>
      </c>
      <c r="E137" s="534" t="s">
        <v>813</v>
      </c>
      <c r="F137" s="633"/>
      <c r="G137" s="634">
        <v>252739.4</v>
      </c>
      <c r="H137" s="534" t="s">
        <v>251</v>
      </c>
      <c r="I137" s="635">
        <v>42516</v>
      </c>
      <c r="J137" s="635">
        <v>42615</v>
      </c>
      <c r="K137" s="534" t="s">
        <v>576</v>
      </c>
      <c r="L137" s="636">
        <v>252739.4</v>
      </c>
      <c r="M137" s="636">
        <f>L137*1.1</f>
        <v>278013.34000000003</v>
      </c>
      <c r="N137" s="635">
        <v>42657</v>
      </c>
      <c r="O137" s="635">
        <v>42660</v>
      </c>
      <c r="P137" s="952">
        <v>42818</v>
      </c>
      <c r="Q137" s="1206">
        <v>43111</v>
      </c>
    </row>
    <row r="138" spans="1:17" ht="15.75" thickTop="1">
      <c r="A138" s="438" t="s">
        <v>1053</v>
      </c>
      <c r="B138" s="439" t="s">
        <v>69</v>
      </c>
      <c r="C138" s="439" t="s">
        <v>70</v>
      </c>
      <c r="D138" s="440" t="s">
        <v>1063</v>
      </c>
      <c r="E138" s="439" t="s">
        <v>813</v>
      </c>
      <c r="F138" s="441"/>
      <c r="G138" s="442">
        <v>24745865.789999999</v>
      </c>
      <c r="H138" s="439" t="s">
        <v>251</v>
      </c>
      <c r="I138" s="443">
        <v>42516</v>
      </c>
      <c r="J138" s="443">
        <v>42615</v>
      </c>
      <c r="K138" s="755" t="s">
        <v>1312</v>
      </c>
      <c r="L138" s="444"/>
      <c r="M138" s="444"/>
      <c r="N138" s="439"/>
      <c r="O138" s="439"/>
      <c r="P138" s="445"/>
      <c r="Q138" s="9"/>
    </row>
    <row r="139" spans="1:17" ht="15.75" thickBot="1">
      <c r="A139" s="518" t="s">
        <v>1053</v>
      </c>
      <c r="B139" s="483" t="s">
        <v>69</v>
      </c>
      <c r="C139" s="483" t="s">
        <v>70</v>
      </c>
      <c r="D139" s="484" t="s">
        <v>1064</v>
      </c>
      <c r="E139" s="483" t="s">
        <v>813</v>
      </c>
      <c r="F139" s="485"/>
      <c r="G139" s="486">
        <v>2248473.4300000002</v>
      </c>
      <c r="H139" s="483" t="s">
        <v>251</v>
      </c>
      <c r="I139" s="487">
        <v>42516</v>
      </c>
      <c r="J139" s="487">
        <v>42615</v>
      </c>
      <c r="K139" s="519" t="s">
        <v>1312</v>
      </c>
      <c r="L139" s="488"/>
      <c r="M139" s="488"/>
      <c r="N139" s="483"/>
      <c r="O139" s="483"/>
      <c r="P139" s="522"/>
      <c r="Q139" s="9"/>
    </row>
    <row r="140" spans="1:17" ht="16.5" thickTop="1" thickBot="1">
      <c r="A140" s="667" t="s">
        <v>1054</v>
      </c>
      <c r="B140" s="232" t="s">
        <v>69</v>
      </c>
      <c r="C140" s="232" t="s">
        <v>70</v>
      </c>
      <c r="D140" s="274" t="s">
        <v>1171</v>
      </c>
      <c r="E140" s="232" t="s">
        <v>93</v>
      </c>
      <c r="F140" s="677"/>
      <c r="G140" s="497">
        <v>93982833.340000004</v>
      </c>
      <c r="H140" s="232" t="s">
        <v>251</v>
      </c>
      <c r="I140" s="498">
        <v>42517</v>
      </c>
      <c r="J140" s="498">
        <v>42634</v>
      </c>
      <c r="K140" s="232" t="s">
        <v>576</v>
      </c>
      <c r="L140" s="499">
        <v>93025912.870000005</v>
      </c>
      <c r="M140" s="499">
        <f>L140*1.1</f>
        <v>102328504.15700002</v>
      </c>
      <c r="N140" s="498">
        <v>42684</v>
      </c>
      <c r="O140" s="498">
        <v>42688</v>
      </c>
      <c r="P140" s="952">
        <v>42818</v>
      </c>
      <c r="Q140" s="1206">
        <v>43111</v>
      </c>
    </row>
    <row r="141" spans="1:17" ht="15.75" thickTop="1">
      <c r="A141" s="438" t="s">
        <v>1054</v>
      </c>
      <c r="B141" s="439" t="s">
        <v>69</v>
      </c>
      <c r="C141" s="439" t="s">
        <v>70</v>
      </c>
      <c r="D141" s="440" t="s">
        <v>1173</v>
      </c>
      <c r="E141" s="439" t="s">
        <v>93</v>
      </c>
      <c r="F141" s="756"/>
      <c r="G141" s="442">
        <v>4214160.55</v>
      </c>
      <c r="H141" s="439" t="s">
        <v>251</v>
      </c>
      <c r="I141" s="443">
        <v>42517</v>
      </c>
      <c r="J141" s="443">
        <v>42634</v>
      </c>
      <c r="K141" s="439" t="s">
        <v>304</v>
      </c>
      <c r="L141" s="444"/>
      <c r="M141" s="444"/>
      <c r="N141" s="439"/>
      <c r="O141" s="439"/>
      <c r="P141" s="445"/>
      <c r="Q141" s="9"/>
    </row>
    <row r="142" spans="1:17">
      <c r="A142" s="515" t="s">
        <v>1054</v>
      </c>
      <c r="B142" s="506" t="s">
        <v>69</v>
      </c>
      <c r="C142" s="506" t="s">
        <v>70</v>
      </c>
      <c r="D142" s="507" t="s">
        <v>1172</v>
      </c>
      <c r="E142" s="506" t="s">
        <v>93</v>
      </c>
      <c r="F142" s="547"/>
      <c r="G142" s="509">
        <v>12508661.18</v>
      </c>
      <c r="H142" s="506" t="s">
        <v>251</v>
      </c>
      <c r="I142" s="510">
        <v>42517</v>
      </c>
      <c r="J142" s="510">
        <v>42634</v>
      </c>
      <c r="K142" s="548" t="s">
        <v>1312</v>
      </c>
      <c r="L142" s="511"/>
      <c r="M142" s="511"/>
      <c r="N142" s="506"/>
      <c r="O142" s="506"/>
      <c r="P142" s="521"/>
      <c r="Q142" s="9"/>
    </row>
    <row r="143" spans="1:17">
      <c r="A143" s="515" t="s">
        <v>1054</v>
      </c>
      <c r="B143" s="506" t="s">
        <v>69</v>
      </c>
      <c r="C143" s="506" t="s">
        <v>70</v>
      </c>
      <c r="D143" s="507" t="s">
        <v>1170</v>
      </c>
      <c r="E143" s="506" t="s">
        <v>93</v>
      </c>
      <c r="F143" s="547"/>
      <c r="G143" s="509">
        <v>17617137.989999998</v>
      </c>
      <c r="H143" s="506" t="s">
        <v>251</v>
      </c>
      <c r="I143" s="510">
        <v>42517</v>
      </c>
      <c r="J143" s="510">
        <v>42634</v>
      </c>
      <c r="K143" s="506" t="s">
        <v>304</v>
      </c>
      <c r="L143" s="511"/>
      <c r="M143" s="511"/>
      <c r="N143" s="506"/>
      <c r="O143" s="506"/>
      <c r="P143" s="521"/>
      <c r="Q143" s="9"/>
    </row>
    <row r="144" spans="1:17" ht="15.75" thickBot="1">
      <c r="A144" s="518" t="s">
        <v>1054</v>
      </c>
      <c r="B144" s="483" t="s">
        <v>69</v>
      </c>
      <c r="C144" s="483" t="s">
        <v>70</v>
      </c>
      <c r="D144" s="484" t="s">
        <v>1065</v>
      </c>
      <c r="E144" s="483" t="s">
        <v>93</v>
      </c>
      <c r="F144" s="549"/>
      <c r="G144" s="486">
        <v>1218235.1399999999</v>
      </c>
      <c r="H144" s="483" t="s">
        <v>251</v>
      </c>
      <c r="I144" s="487">
        <v>42517</v>
      </c>
      <c r="J144" s="487">
        <v>42634</v>
      </c>
      <c r="K144" s="483" t="s">
        <v>304</v>
      </c>
      <c r="L144" s="488"/>
      <c r="M144" s="488"/>
      <c r="N144" s="483"/>
      <c r="O144" s="483"/>
      <c r="P144" s="522"/>
      <c r="Q144" s="9"/>
    </row>
    <row r="145" spans="1:17" ht="15.75" thickTop="1">
      <c r="A145" s="660" t="s">
        <v>1054</v>
      </c>
      <c r="B145" s="605" t="s">
        <v>69</v>
      </c>
      <c r="C145" s="605" t="s">
        <v>70</v>
      </c>
      <c r="D145" s="175" t="s">
        <v>1066</v>
      </c>
      <c r="E145" s="605" t="s">
        <v>93</v>
      </c>
      <c r="F145" s="678"/>
      <c r="G145" s="127">
        <v>15463000</v>
      </c>
      <c r="H145" s="605" t="s">
        <v>251</v>
      </c>
      <c r="I145" s="365">
        <v>42517</v>
      </c>
      <c r="J145" s="365">
        <v>42634</v>
      </c>
      <c r="K145" s="605" t="s">
        <v>1195</v>
      </c>
      <c r="L145" s="364">
        <v>15663797.1</v>
      </c>
      <c r="M145" s="364">
        <f>L145*1.1</f>
        <v>17230176.810000002</v>
      </c>
      <c r="N145" s="365">
        <v>42684</v>
      </c>
      <c r="O145" s="365">
        <v>42688</v>
      </c>
      <c r="P145" s="952">
        <v>42818</v>
      </c>
      <c r="Q145" s="1206">
        <v>43111</v>
      </c>
    </row>
    <row r="146" spans="1:17" ht="15.75" thickBot="1">
      <c r="A146" s="501" t="s">
        <v>1054</v>
      </c>
      <c r="B146" s="401" t="s">
        <v>69</v>
      </c>
      <c r="C146" s="401" t="s">
        <v>70</v>
      </c>
      <c r="D146" s="410" t="s">
        <v>1166</v>
      </c>
      <c r="E146" s="491" t="s">
        <v>93</v>
      </c>
      <c r="F146" s="557"/>
      <c r="G146" s="558">
        <v>147066.29</v>
      </c>
      <c r="H146" s="491" t="s">
        <v>251</v>
      </c>
      <c r="I146" s="537">
        <v>42517</v>
      </c>
      <c r="J146" s="537">
        <v>42634</v>
      </c>
      <c r="K146" s="491" t="s">
        <v>576</v>
      </c>
      <c r="L146" s="536">
        <v>164683.68</v>
      </c>
      <c r="M146" s="536">
        <f>L146*1.1</f>
        <v>181152.04800000001</v>
      </c>
      <c r="N146" s="537">
        <v>42684</v>
      </c>
      <c r="O146" s="537">
        <v>42688</v>
      </c>
      <c r="P146" s="502" t="s">
        <v>239</v>
      </c>
      <c r="Q146" s="1206">
        <v>43111</v>
      </c>
    </row>
    <row r="147" spans="1:17" ht="16.5" thickTop="1" thickBot="1">
      <c r="A147" s="629" t="s">
        <v>1054</v>
      </c>
      <c r="B147" s="411" t="s">
        <v>69</v>
      </c>
      <c r="C147" s="411" t="s">
        <v>70</v>
      </c>
      <c r="D147" s="412" t="s">
        <v>1167</v>
      </c>
      <c r="E147" s="411" t="s">
        <v>93</v>
      </c>
      <c r="F147" s="647"/>
      <c r="G147" s="415">
        <v>11533338.02</v>
      </c>
      <c r="H147" s="411" t="s">
        <v>251</v>
      </c>
      <c r="I147" s="416">
        <v>42517</v>
      </c>
      <c r="J147" s="416">
        <v>42634</v>
      </c>
      <c r="K147" s="411" t="s">
        <v>576</v>
      </c>
      <c r="L147" s="417">
        <v>11523198.050000001</v>
      </c>
      <c r="M147" s="417">
        <f>L147*1.1</f>
        <v>12675517.855000002</v>
      </c>
      <c r="N147" s="416">
        <v>42684</v>
      </c>
      <c r="O147" s="416">
        <v>42688</v>
      </c>
      <c r="P147" s="952">
        <v>42818</v>
      </c>
      <c r="Q147" s="1206">
        <v>43111</v>
      </c>
    </row>
    <row r="148" spans="1:17" ht="15.75" thickTop="1">
      <c r="A148" s="438" t="s">
        <v>1054</v>
      </c>
      <c r="B148" s="439" t="s">
        <v>69</v>
      </c>
      <c r="C148" s="439" t="s">
        <v>70</v>
      </c>
      <c r="D148" s="440" t="s">
        <v>1168</v>
      </c>
      <c r="E148" s="439" t="s">
        <v>93</v>
      </c>
      <c r="F148" s="756"/>
      <c r="G148" s="442">
        <v>189690.2</v>
      </c>
      <c r="H148" s="439" t="s">
        <v>251</v>
      </c>
      <c r="I148" s="443">
        <v>42517</v>
      </c>
      <c r="J148" s="443">
        <v>42634</v>
      </c>
      <c r="K148" s="439" t="s">
        <v>304</v>
      </c>
      <c r="L148" s="444"/>
      <c r="M148" s="444"/>
      <c r="N148" s="439"/>
      <c r="O148" s="439"/>
      <c r="P148" s="445"/>
      <c r="Q148" s="9"/>
    </row>
    <row r="149" spans="1:17" ht="15.75" thickBot="1">
      <c r="A149" s="518" t="s">
        <v>1054</v>
      </c>
      <c r="B149" s="483" t="s">
        <v>69</v>
      </c>
      <c r="C149" s="483" t="s">
        <v>70</v>
      </c>
      <c r="D149" s="484" t="s">
        <v>1169</v>
      </c>
      <c r="E149" s="483" t="s">
        <v>93</v>
      </c>
      <c r="F149" s="549"/>
      <c r="G149" s="486">
        <v>1189152.51</v>
      </c>
      <c r="H149" s="483" t="s">
        <v>251</v>
      </c>
      <c r="I149" s="487">
        <v>42517</v>
      </c>
      <c r="J149" s="487">
        <v>42634</v>
      </c>
      <c r="K149" s="483" t="s">
        <v>304</v>
      </c>
      <c r="L149" s="488"/>
      <c r="M149" s="488"/>
      <c r="N149" s="483"/>
      <c r="O149" s="483"/>
      <c r="P149" s="522"/>
      <c r="Q149" s="9"/>
    </row>
    <row r="150" spans="1:17" ht="16.5" thickTop="1" thickBot="1">
      <c r="A150" s="667" t="s">
        <v>1081</v>
      </c>
      <c r="B150" s="232" t="s">
        <v>69</v>
      </c>
      <c r="C150" s="232" t="s">
        <v>70</v>
      </c>
      <c r="D150" s="274" t="s">
        <v>1086</v>
      </c>
      <c r="E150" s="232" t="s">
        <v>72</v>
      </c>
      <c r="F150" s="496"/>
      <c r="G150" s="497">
        <v>5612521.5999999996</v>
      </c>
      <c r="H150" s="232" t="s">
        <v>251</v>
      </c>
      <c r="I150" s="498">
        <v>42527</v>
      </c>
      <c r="J150" s="498">
        <v>42627</v>
      </c>
      <c r="K150" s="232" t="s">
        <v>1318</v>
      </c>
      <c r="L150" s="499">
        <v>5552359.04</v>
      </c>
      <c r="M150" s="499">
        <v>6107594.9400000004</v>
      </c>
      <c r="N150" s="498">
        <v>42675</v>
      </c>
      <c r="O150" s="498">
        <v>42685</v>
      </c>
      <c r="P150" s="668">
        <v>42818</v>
      </c>
      <c r="Q150" s="1206">
        <v>43111</v>
      </c>
    </row>
    <row r="151" spans="1:17" ht="16.5" thickTop="1" thickBot="1">
      <c r="A151" s="721" t="s">
        <v>1081</v>
      </c>
      <c r="B151" s="693" t="s">
        <v>69</v>
      </c>
      <c r="C151" s="693" t="s">
        <v>70</v>
      </c>
      <c r="D151" s="722" t="s">
        <v>1110</v>
      </c>
      <c r="E151" s="693" t="s">
        <v>72</v>
      </c>
      <c r="F151" s="695"/>
      <c r="G151" s="696">
        <v>4245022.46</v>
      </c>
      <c r="H151" s="693" t="s">
        <v>251</v>
      </c>
      <c r="I151" s="723">
        <v>42527</v>
      </c>
      <c r="J151" s="723">
        <v>42627</v>
      </c>
      <c r="K151" s="724" t="s">
        <v>1192</v>
      </c>
      <c r="L151" s="699"/>
      <c r="M151" s="699"/>
      <c r="N151" s="693"/>
      <c r="O151" s="693"/>
      <c r="P151" s="701" t="s">
        <v>592</v>
      </c>
      <c r="Q151" s="9"/>
    </row>
    <row r="152" spans="1:17" ht="16.5" thickTop="1" thickBot="1">
      <c r="A152" s="667" t="s">
        <v>1081</v>
      </c>
      <c r="B152" s="232" t="s">
        <v>69</v>
      </c>
      <c r="C152" s="232" t="s">
        <v>70</v>
      </c>
      <c r="D152" s="274" t="s">
        <v>1772</v>
      </c>
      <c r="E152" s="232" t="s">
        <v>72</v>
      </c>
      <c r="F152" s="496"/>
      <c r="G152" s="497">
        <v>5420981.1200000001</v>
      </c>
      <c r="H152" s="232" t="s">
        <v>251</v>
      </c>
      <c r="I152" s="498">
        <v>42527</v>
      </c>
      <c r="J152" s="498">
        <v>42627</v>
      </c>
      <c r="K152" s="232" t="s">
        <v>1319</v>
      </c>
      <c r="L152" s="499">
        <v>5420981.1200000001</v>
      </c>
      <c r="M152" s="499">
        <v>5963079.2300000004</v>
      </c>
      <c r="N152" s="498">
        <v>42676</v>
      </c>
      <c r="O152" s="498">
        <v>42685</v>
      </c>
      <c r="P152" s="1207">
        <v>0</v>
      </c>
      <c r="Q152" s="1206">
        <v>43111</v>
      </c>
    </row>
    <row r="153" spans="1:17" ht="16.5" thickTop="1" thickBot="1">
      <c r="A153" s="721" t="s">
        <v>1081</v>
      </c>
      <c r="B153" s="693" t="s">
        <v>69</v>
      </c>
      <c r="C153" s="693" t="s">
        <v>70</v>
      </c>
      <c r="D153" s="722" t="s">
        <v>1111</v>
      </c>
      <c r="E153" s="693" t="s">
        <v>72</v>
      </c>
      <c r="F153" s="695"/>
      <c r="G153" s="696">
        <v>22659250.25</v>
      </c>
      <c r="H153" s="693" t="s">
        <v>251</v>
      </c>
      <c r="I153" s="723">
        <v>42527</v>
      </c>
      <c r="J153" s="723">
        <v>42627</v>
      </c>
      <c r="K153" s="757" t="s">
        <v>1312</v>
      </c>
      <c r="L153" s="699"/>
      <c r="M153" s="699"/>
      <c r="N153" s="693"/>
      <c r="O153" s="693"/>
      <c r="P153" s="701" t="s">
        <v>592</v>
      </c>
      <c r="Q153" s="9"/>
    </row>
    <row r="154" spans="1:17" ht="15.75" thickTop="1">
      <c r="A154" s="660" t="s">
        <v>1082</v>
      </c>
      <c r="B154" s="605" t="s">
        <v>58</v>
      </c>
      <c r="C154" s="605" t="s">
        <v>55</v>
      </c>
      <c r="D154" s="175" t="s">
        <v>1112</v>
      </c>
      <c r="E154" s="605" t="s">
        <v>792</v>
      </c>
      <c r="F154" s="679" t="s">
        <v>1094</v>
      </c>
      <c r="G154" s="127">
        <v>490000</v>
      </c>
      <c r="H154" s="605" t="s">
        <v>112</v>
      </c>
      <c r="I154" s="365">
        <v>42530</v>
      </c>
      <c r="J154" s="365">
        <v>42543</v>
      </c>
      <c r="K154" s="605" t="s">
        <v>1153</v>
      </c>
      <c r="L154" s="364">
        <f>M154/1.21</f>
        <v>528322.50413223135</v>
      </c>
      <c r="M154" s="364">
        <v>639270.23</v>
      </c>
      <c r="N154" s="365">
        <v>42626</v>
      </c>
      <c r="O154" s="365">
        <v>42635</v>
      </c>
      <c r="P154" s="834">
        <v>42723</v>
      </c>
    </row>
    <row r="155" spans="1:17">
      <c r="A155" s="501" t="s">
        <v>1082</v>
      </c>
      <c r="B155" s="401" t="s">
        <v>58</v>
      </c>
      <c r="C155" s="401" t="s">
        <v>55</v>
      </c>
      <c r="D155" s="410" t="s">
        <v>1113</v>
      </c>
      <c r="E155" s="401" t="s">
        <v>792</v>
      </c>
      <c r="F155" s="402" t="s">
        <v>833</v>
      </c>
      <c r="G155" s="403">
        <v>250000</v>
      </c>
      <c r="H155" s="401" t="s">
        <v>112</v>
      </c>
      <c r="I155" s="404">
        <v>42530</v>
      </c>
      <c r="J155" s="404">
        <v>42543</v>
      </c>
      <c r="K155" s="401" t="s">
        <v>1196</v>
      </c>
      <c r="L155" s="405">
        <f>M155/1.21</f>
        <v>242311.77685950414</v>
      </c>
      <c r="M155" s="405">
        <v>293197.25</v>
      </c>
      <c r="N155" s="404">
        <v>42633</v>
      </c>
      <c r="O155" s="404">
        <v>42635</v>
      </c>
      <c r="P155" s="852">
        <v>42737</v>
      </c>
    </row>
    <row r="156" spans="1:17" ht="15.75" thickBot="1">
      <c r="A156" s="629" t="s">
        <v>1082</v>
      </c>
      <c r="B156" s="411" t="s">
        <v>58</v>
      </c>
      <c r="C156" s="411" t="s">
        <v>55</v>
      </c>
      <c r="D156" s="412" t="s">
        <v>1114</v>
      </c>
      <c r="E156" s="411" t="s">
        <v>792</v>
      </c>
      <c r="F156" s="414" t="s">
        <v>793</v>
      </c>
      <c r="G156" s="415">
        <v>250000</v>
      </c>
      <c r="H156" s="411" t="s">
        <v>112</v>
      </c>
      <c r="I156" s="416">
        <v>42530</v>
      </c>
      <c r="J156" s="416">
        <v>42543</v>
      </c>
      <c r="K156" s="411" t="s">
        <v>1152</v>
      </c>
      <c r="L156" s="417">
        <f>M156/1.21</f>
        <v>120639</v>
      </c>
      <c r="M156" s="417">
        <v>145973.19</v>
      </c>
      <c r="N156" s="416">
        <v>42626</v>
      </c>
      <c r="O156" s="416">
        <v>42635</v>
      </c>
      <c r="P156" s="637">
        <v>42737</v>
      </c>
    </row>
    <row r="157" spans="1:17" ht="15.75" thickTop="1">
      <c r="A157" s="523" t="s">
        <v>1083</v>
      </c>
      <c r="B157" s="524" t="s">
        <v>1032</v>
      </c>
      <c r="C157" s="524" t="s">
        <v>1084</v>
      </c>
      <c r="D157" s="525" t="s">
        <v>1085</v>
      </c>
      <c r="E157" s="524" t="s">
        <v>1087</v>
      </c>
      <c r="F157" s="526"/>
      <c r="G157" s="527">
        <v>25600000</v>
      </c>
      <c r="H157" s="524" t="s">
        <v>251</v>
      </c>
      <c r="I157" s="528">
        <v>42527</v>
      </c>
      <c r="J157" s="524"/>
      <c r="K157" s="524"/>
      <c r="L157" s="529"/>
      <c r="M157" s="529"/>
      <c r="N157" s="524"/>
      <c r="O157" s="524"/>
      <c r="P157" s="794"/>
      <c r="Q157" s="9"/>
    </row>
    <row r="158" spans="1:17" ht="15.75" thickBot="1">
      <c r="A158" s="430" t="s">
        <v>1088</v>
      </c>
      <c r="B158" s="431" t="s">
        <v>52</v>
      </c>
      <c r="C158" s="431" t="s">
        <v>1089</v>
      </c>
      <c r="D158" s="432" t="s">
        <v>1090</v>
      </c>
      <c r="E158" s="431" t="s">
        <v>1091</v>
      </c>
      <c r="F158" s="433"/>
      <c r="G158" s="434">
        <v>298000000</v>
      </c>
      <c r="H158" s="431" t="s">
        <v>251</v>
      </c>
      <c r="I158" s="435">
        <v>42528</v>
      </c>
      <c r="J158" s="435">
        <v>42710</v>
      </c>
      <c r="K158" s="431" t="s">
        <v>707</v>
      </c>
      <c r="L158" s="436">
        <v>276902126</v>
      </c>
      <c r="M158" s="436">
        <v>335051572</v>
      </c>
      <c r="N158" s="431"/>
      <c r="O158" s="431"/>
      <c r="P158" s="535"/>
      <c r="Q158" s="9"/>
    </row>
    <row r="159" spans="1:17" ht="16.5" thickTop="1" thickBot="1">
      <c r="A159" s="667" t="s">
        <v>1102</v>
      </c>
      <c r="B159" s="232" t="s">
        <v>69</v>
      </c>
      <c r="C159" s="232" t="s">
        <v>70</v>
      </c>
      <c r="D159" s="274" t="s">
        <v>1096</v>
      </c>
      <c r="E159" s="232" t="s">
        <v>68</v>
      </c>
      <c r="F159" s="496"/>
      <c r="G159" s="497">
        <v>16953800</v>
      </c>
      <c r="H159" s="232" t="s">
        <v>251</v>
      </c>
      <c r="I159" s="498">
        <v>42534</v>
      </c>
      <c r="J159" s="498">
        <v>42628</v>
      </c>
      <c r="K159" s="232" t="s">
        <v>1318</v>
      </c>
      <c r="L159" s="499">
        <v>16952770</v>
      </c>
      <c r="M159" s="499">
        <f>L159*1.1</f>
        <v>18648047</v>
      </c>
      <c r="N159" s="498">
        <v>42684</v>
      </c>
      <c r="O159" s="498">
        <v>42688</v>
      </c>
      <c r="P159" s="668">
        <v>42818</v>
      </c>
      <c r="Q159" s="1206">
        <v>43111</v>
      </c>
    </row>
    <row r="160" spans="1:17" ht="15.75" thickTop="1">
      <c r="A160" s="438" t="s">
        <v>1102</v>
      </c>
      <c r="B160" s="439" t="s">
        <v>69</v>
      </c>
      <c r="C160" s="439" t="s">
        <v>70</v>
      </c>
      <c r="D160" s="440" t="s">
        <v>1097</v>
      </c>
      <c r="E160" s="439" t="s">
        <v>68</v>
      </c>
      <c r="F160" s="441"/>
      <c r="G160" s="442">
        <v>1351634.13</v>
      </c>
      <c r="H160" s="439" t="s">
        <v>251</v>
      </c>
      <c r="I160" s="443">
        <v>42534</v>
      </c>
      <c r="J160" s="443">
        <v>42628</v>
      </c>
      <c r="K160" s="538" t="s">
        <v>304</v>
      </c>
      <c r="L160" s="444"/>
      <c r="M160" s="444"/>
      <c r="N160" s="439"/>
      <c r="O160" s="439"/>
      <c r="P160" s="445"/>
      <c r="Q160" s="9"/>
    </row>
    <row r="161" spans="1:17" ht="15.75" thickBot="1">
      <c r="A161" s="518" t="s">
        <v>1102</v>
      </c>
      <c r="B161" s="483" t="s">
        <v>69</v>
      </c>
      <c r="C161" s="483" t="s">
        <v>70</v>
      </c>
      <c r="D161" s="484" t="s">
        <v>1098</v>
      </c>
      <c r="E161" s="483" t="s">
        <v>68</v>
      </c>
      <c r="F161" s="485"/>
      <c r="G161" s="486">
        <v>8358083.1500000004</v>
      </c>
      <c r="H161" s="483" t="s">
        <v>251</v>
      </c>
      <c r="I161" s="487">
        <v>42534</v>
      </c>
      <c r="J161" s="487">
        <v>42628</v>
      </c>
      <c r="K161" s="539" t="s">
        <v>304</v>
      </c>
      <c r="L161" s="488"/>
      <c r="M161" s="488"/>
      <c r="N161" s="483"/>
      <c r="O161" s="483"/>
      <c r="P161" s="522"/>
      <c r="Q161" s="9"/>
    </row>
    <row r="162" spans="1:17" ht="15.75" thickTop="1">
      <c r="A162" s="660" t="s">
        <v>1102</v>
      </c>
      <c r="B162" s="605" t="s">
        <v>69</v>
      </c>
      <c r="C162" s="605" t="s">
        <v>70</v>
      </c>
      <c r="D162" s="175" t="s">
        <v>1099</v>
      </c>
      <c r="E162" s="605" t="s">
        <v>68</v>
      </c>
      <c r="F162" s="419"/>
      <c r="G162" s="127">
        <v>807352.72</v>
      </c>
      <c r="H162" s="605" t="s">
        <v>251</v>
      </c>
      <c r="I162" s="365">
        <v>42534</v>
      </c>
      <c r="J162" s="365">
        <v>42628</v>
      </c>
      <c r="K162" s="605" t="s">
        <v>1402</v>
      </c>
      <c r="L162" s="364">
        <v>792155.38</v>
      </c>
      <c r="M162" s="364">
        <f>L162*1.1</f>
        <v>871370.91800000006</v>
      </c>
      <c r="N162" s="365">
        <v>42684</v>
      </c>
      <c r="O162" s="365">
        <v>42688</v>
      </c>
      <c r="P162" s="668">
        <v>42818</v>
      </c>
      <c r="Q162" s="1206">
        <v>43111</v>
      </c>
    </row>
    <row r="163" spans="1:17" ht="15.75" thickBot="1">
      <c r="A163" s="629" t="s">
        <v>1102</v>
      </c>
      <c r="B163" s="411" t="s">
        <v>69</v>
      </c>
      <c r="C163" s="411" t="s">
        <v>70</v>
      </c>
      <c r="D163" s="412" t="s">
        <v>1100</v>
      </c>
      <c r="E163" s="411" t="s">
        <v>68</v>
      </c>
      <c r="F163" s="414"/>
      <c r="G163" s="415">
        <v>28194969.280000001</v>
      </c>
      <c r="H163" s="411" t="s">
        <v>251</v>
      </c>
      <c r="I163" s="416">
        <v>42534</v>
      </c>
      <c r="J163" s="416">
        <v>42628</v>
      </c>
      <c r="K163" s="411" t="s">
        <v>576</v>
      </c>
      <c r="L163" s="417">
        <v>28194969.280000001</v>
      </c>
      <c r="M163" s="417">
        <f>L163*1.1</f>
        <v>31014466.208000004</v>
      </c>
      <c r="N163" s="416">
        <v>42684</v>
      </c>
      <c r="O163" s="416">
        <v>42688</v>
      </c>
      <c r="P163" s="668">
        <v>42818</v>
      </c>
      <c r="Q163" s="1206">
        <v>43111</v>
      </c>
    </row>
    <row r="164" spans="1:17" ht="16.5" thickTop="1" thickBot="1">
      <c r="A164" s="721" t="s">
        <v>1102</v>
      </c>
      <c r="B164" s="693" t="s">
        <v>69</v>
      </c>
      <c r="C164" s="693" t="s">
        <v>70</v>
      </c>
      <c r="D164" s="722" t="s">
        <v>1101</v>
      </c>
      <c r="E164" s="693" t="s">
        <v>68</v>
      </c>
      <c r="F164" s="695"/>
      <c r="G164" s="696">
        <v>9743354.4000000004</v>
      </c>
      <c r="H164" s="693" t="s">
        <v>251</v>
      </c>
      <c r="I164" s="723">
        <v>42534</v>
      </c>
      <c r="J164" s="723">
        <v>42628</v>
      </c>
      <c r="K164" s="754" t="s">
        <v>304</v>
      </c>
      <c r="L164" s="699"/>
      <c r="M164" s="699"/>
      <c r="N164" s="693"/>
      <c r="O164" s="693"/>
      <c r="P164" s="701"/>
      <c r="Q164" s="9"/>
    </row>
    <row r="165" spans="1:17" ht="16.5" thickTop="1" thickBot="1">
      <c r="A165" s="671" t="s">
        <v>1105</v>
      </c>
      <c r="B165" s="517" t="s">
        <v>58</v>
      </c>
      <c r="C165" s="517" t="s">
        <v>55</v>
      </c>
      <c r="D165" s="672" t="s">
        <v>1103</v>
      </c>
      <c r="E165" s="707" t="s">
        <v>1104</v>
      </c>
      <c r="F165" s="673" t="s">
        <v>785</v>
      </c>
      <c r="G165" s="674">
        <v>300000</v>
      </c>
      <c r="H165" s="517" t="s">
        <v>112</v>
      </c>
      <c r="I165" s="675">
        <v>42535</v>
      </c>
      <c r="J165" s="675">
        <v>42549</v>
      </c>
      <c r="K165" s="517" t="s">
        <v>1151</v>
      </c>
      <c r="L165" s="676">
        <v>289149</v>
      </c>
      <c r="M165" s="676">
        <v>349870.2</v>
      </c>
      <c r="N165" s="675">
        <v>42591</v>
      </c>
      <c r="O165" s="517" t="s">
        <v>239</v>
      </c>
      <c r="P165" s="758" t="s">
        <v>239</v>
      </c>
    </row>
    <row r="166" spans="1:17" ht="16.5" thickTop="1" thickBot="1">
      <c r="A166" s="232" t="s">
        <v>1106</v>
      </c>
      <c r="B166" s="232" t="s">
        <v>1032</v>
      </c>
      <c r="C166" s="232" t="s">
        <v>1084</v>
      </c>
      <c r="D166" s="274" t="s">
        <v>1107</v>
      </c>
      <c r="E166" s="664" t="s">
        <v>823</v>
      </c>
      <c r="F166" s="496" t="s">
        <v>824</v>
      </c>
      <c r="G166" s="680">
        <v>500000</v>
      </c>
      <c r="H166" s="232" t="s">
        <v>112</v>
      </c>
      <c r="I166" s="498">
        <v>42537</v>
      </c>
      <c r="J166" s="498">
        <v>42549</v>
      </c>
      <c r="K166" s="232" t="s">
        <v>1154</v>
      </c>
      <c r="L166" s="499">
        <v>293212</v>
      </c>
      <c r="M166" s="499">
        <v>354787</v>
      </c>
      <c r="N166" s="498">
        <v>42570</v>
      </c>
      <c r="O166" s="498">
        <v>42572</v>
      </c>
      <c r="P166" s="498">
        <v>42709</v>
      </c>
    </row>
    <row r="167" spans="1:17" ht="15.75" thickTop="1">
      <c r="A167" s="452" t="s">
        <v>1108</v>
      </c>
      <c r="B167" s="453" t="s">
        <v>58</v>
      </c>
      <c r="C167" s="453" t="s">
        <v>55</v>
      </c>
      <c r="D167" s="473" t="s">
        <v>1109</v>
      </c>
      <c r="E167" s="453" t="s">
        <v>820</v>
      </c>
      <c r="F167" s="454" t="s">
        <v>791</v>
      </c>
      <c r="G167" s="455">
        <v>315000</v>
      </c>
      <c r="H167" s="453" t="s">
        <v>112</v>
      </c>
      <c r="I167" s="474">
        <v>42538</v>
      </c>
      <c r="J167" s="474">
        <v>42549</v>
      </c>
      <c r="K167" s="453" t="s">
        <v>1155</v>
      </c>
      <c r="L167" s="457">
        <v>160000</v>
      </c>
      <c r="M167" s="457">
        <v>193600</v>
      </c>
      <c r="N167" s="570">
        <v>42599</v>
      </c>
      <c r="O167" s="457" t="s">
        <v>239</v>
      </c>
      <c r="P167" s="475" t="s">
        <v>239</v>
      </c>
    </row>
    <row r="168" spans="1:17">
      <c r="A168" s="515" t="s">
        <v>1115</v>
      </c>
      <c r="B168" s="506" t="s">
        <v>14</v>
      </c>
      <c r="C168" s="506" t="s">
        <v>13</v>
      </c>
      <c r="D168" s="507" t="s">
        <v>1174</v>
      </c>
      <c r="E168" s="466" t="s">
        <v>1116</v>
      </c>
      <c r="F168" s="508"/>
      <c r="G168" s="509">
        <v>58967</v>
      </c>
      <c r="H168" s="506" t="s">
        <v>235</v>
      </c>
      <c r="I168" s="510">
        <v>42542</v>
      </c>
      <c r="J168" s="510">
        <v>42585</v>
      </c>
      <c r="K168" s="514" t="s">
        <v>1192</v>
      </c>
      <c r="L168" s="511"/>
      <c r="M168" s="511"/>
      <c r="N168" s="511"/>
      <c r="O168" s="511"/>
      <c r="P168" s="521"/>
      <c r="Q168" s="9"/>
    </row>
    <row r="169" spans="1:17">
      <c r="A169" s="629" t="s">
        <v>1182</v>
      </c>
      <c r="B169" s="411" t="s">
        <v>166</v>
      </c>
      <c r="C169" s="411" t="s">
        <v>167</v>
      </c>
      <c r="D169" s="412" t="s">
        <v>1183</v>
      </c>
      <c r="E169" s="232" t="s">
        <v>1184</v>
      </c>
      <c r="F169" s="414"/>
      <c r="G169" s="415">
        <v>400000</v>
      </c>
      <c r="H169" s="411" t="s">
        <v>112</v>
      </c>
      <c r="I169" s="416">
        <v>42564</v>
      </c>
      <c r="J169" s="416">
        <v>42571</v>
      </c>
      <c r="K169" s="411" t="s">
        <v>1193</v>
      </c>
      <c r="L169" s="417">
        <v>199054.5</v>
      </c>
      <c r="M169" s="417">
        <f>L169*1.21</f>
        <v>240855.94500000001</v>
      </c>
      <c r="N169" s="513">
        <v>42580</v>
      </c>
      <c r="O169" s="417" t="s">
        <v>239</v>
      </c>
      <c r="P169" s="648" t="s">
        <v>239</v>
      </c>
    </row>
    <row r="170" spans="1:17" ht="15.75" thickBot="1">
      <c r="A170" s="954" t="s">
        <v>1117</v>
      </c>
      <c r="B170" s="955" t="s">
        <v>1119</v>
      </c>
      <c r="C170" s="955" t="s">
        <v>221</v>
      </c>
      <c r="D170" s="956" t="s">
        <v>1118</v>
      </c>
      <c r="E170" s="957" t="s">
        <v>36</v>
      </c>
      <c r="F170" s="958"/>
      <c r="G170" s="959">
        <v>36000000</v>
      </c>
      <c r="H170" s="955" t="s">
        <v>251</v>
      </c>
      <c r="I170" s="955"/>
      <c r="J170" s="955"/>
      <c r="K170" s="955"/>
      <c r="L170" s="960"/>
      <c r="M170" s="960"/>
      <c r="N170" s="960"/>
      <c r="O170" s="960"/>
      <c r="P170" s="953"/>
      <c r="Q170" s="9"/>
    </row>
    <row r="171" spans="1:17" ht="15.75" thickTop="1">
      <c r="A171" s="660" t="s">
        <v>1120</v>
      </c>
      <c r="B171" s="605" t="s">
        <v>69</v>
      </c>
      <c r="C171" s="605" t="s">
        <v>70</v>
      </c>
      <c r="D171" s="175" t="s">
        <v>1132</v>
      </c>
      <c r="E171" s="605" t="s">
        <v>93</v>
      </c>
      <c r="F171" s="419"/>
      <c r="G171" s="127">
        <v>8103358.75</v>
      </c>
      <c r="H171" s="605" t="s">
        <v>251</v>
      </c>
      <c r="I171" s="365">
        <v>42545</v>
      </c>
      <c r="J171" s="365">
        <v>42650</v>
      </c>
      <c r="K171" s="605" t="s">
        <v>576</v>
      </c>
      <c r="L171" s="364">
        <v>8103328</v>
      </c>
      <c r="M171" s="364">
        <f>L171*1.1</f>
        <v>8913660.8000000007</v>
      </c>
      <c r="N171" s="681">
        <v>42688</v>
      </c>
      <c r="O171" s="681">
        <v>42692</v>
      </c>
      <c r="P171" s="668">
        <v>42818</v>
      </c>
      <c r="Q171" s="1206">
        <v>43111</v>
      </c>
    </row>
    <row r="172" spans="1:17" ht="15.75" thickBot="1">
      <c r="A172" s="629" t="s">
        <v>1120</v>
      </c>
      <c r="B172" s="411" t="s">
        <v>69</v>
      </c>
      <c r="C172" s="411" t="s">
        <v>70</v>
      </c>
      <c r="D172" s="412" t="s">
        <v>1122</v>
      </c>
      <c r="E172" s="411" t="s">
        <v>93</v>
      </c>
      <c r="F172" s="414"/>
      <c r="G172" s="415">
        <v>2654549.6800000002</v>
      </c>
      <c r="H172" s="411" t="s">
        <v>251</v>
      </c>
      <c r="I172" s="416">
        <v>42545</v>
      </c>
      <c r="J172" s="416">
        <v>42650</v>
      </c>
      <c r="K172" s="411" t="s">
        <v>576</v>
      </c>
      <c r="L172" s="417">
        <v>2737208</v>
      </c>
      <c r="M172" s="417">
        <f>L172*1.1</f>
        <v>3010928.8000000003</v>
      </c>
      <c r="N172" s="513">
        <v>42688</v>
      </c>
      <c r="O172" s="513">
        <v>42692</v>
      </c>
      <c r="P172" s="668">
        <v>42818</v>
      </c>
      <c r="Q172" s="1206">
        <v>43111</v>
      </c>
    </row>
    <row r="173" spans="1:17" ht="16.5" thickTop="1" thickBot="1">
      <c r="A173" s="721" t="s">
        <v>1120</v>
      </c>
      <c r="B173" s="693" t="s">
        <v>69</v>
      </c>
      <c r="C173" s="693" t="s">
        <v>70</v>
      </c>
      <c r="D173" s="722" t="s">
        <v>1123</v>
      </c>
      <c r="E173" s="693" t="s">
        <v>93</v>
      </c>
      <c r="F173" s="695"/>
      <c r="G173" s="696">
        <v>1178152.25</v>
      </c>
      <c r="H173" s="693" t="s">
        <v>251</v>
      </c>
      <c r="I173" s="723">
        <v>42545</v>
      </c>
      <c r="J173" s="723">
        <v>42650</v>
      </c>
      <c r="K173" s="693" t="s">
        <v>304</v>
      </c>
      <c r="L173" s="699"/>
      <c r="M173" s="699"/>
      <c r="N173" s="759"/>
      <c r="O173" s="699"/>
      <c r="P173" s="701"/>
      <c r="Q173" s="9"/>
    </row>
    <row r="174" spans="1:17" ht="15.75" thickTop="1">
      <c r="A174" s="660" t="s">
        <v>1120</v>
      </c>
      <c r="B174" s="605" t="s">
        <v>69</v>
      </c>
      <c r="C174" s="605" t="s">
        <v>70</v>
      </c>
      <c r="D174" s="175" t="s">
        <v>1124</v>
      </c>
      <c r="E174" s="605" t="s">
        <v>93</v>
      </c>
      <c r="F174" s="419"/>
      <c r="G174" s="127">
        <v>1122856.02</v>
      </c>
      <c r="H174" s="605" t="s">
        <v>251</v>
      </c>
      <c r="I174" s="365">
        <v>42545</v>
      </c>
      <c r="J174" s="365">
        <v>42650</v>
      </c>
      <c r="K174" s="605" t="s">
        <v>1402</v>
      </c>
      <c r="L174" s="364">
        <v>1101262.6200000001</v>
      </c>
      <c r="M174" s="364">
        <f t="shared" ref="M174:M181" si="0">L174*1.1</f>
        <v>1211388.8820000002</v>
      </c>
      <c r="N174" s="681">
        <v>42688</v>
      </c>
      <c r="O174" s="681">
        <v>42692</v>
      </c>
      <c r="P174" s="670">
        <v>0</v>
      </c>
      <c r="Q174" s="1206">
        <v>43111</v>
      </c>
    </row>
    <row r="175" spans="1:17">
      <c r="A175" s="501" t="s">
        <v>1120</v>
      </c>
      <c r="B175" s="491" t="s">
        <v>69</v>
      </c>
      <c r="C175" s="491" t="s">
        <v>70</v>
      </c>
      <c r="D175" s="571" t="s">
        <v>1125</v>
      </c>
      <c r="E175" s="491" t="s">
        <v>93</v>
      </c>
      <c r="F175" s="572"/>
      <c r="G175" s="558">
        <v>3772001.4</v>
      </c>
      <c r="H175" s="491" t="s">
        <v>251</v>
      </c>
      <c r="I175" s="537">
        <v>42545</v>
      </c>
      <c r="J175" s="537">
        <v>42650</v>
      </c>
      <c r="K175" s="491" t="s">
        <v>1233</v>
      </c>
      <c r="L175" s="536">
        <v>3772001.4</v>
      </c>
      <c r="M175" s="536">
        <f t="shared" si="0"/>
        <v>4149201.54</v>
      </c>
      <c r="N175" s="573">
        <v>42688</v>
      </c>
      <c r="O175" s="573">
        <v>42692</v>
      </c>
      <c r="P175" s="668">
        <v>42818</v>
      </c>
      <c r="Q175" s="1206">
        <v>43111</v>
      </c>
    </row>
    <row r="176" spans="1:17">
      <c r="A176" s="501" t="s">
        <v>1120</v>
      </c>
      <c r="B176" s="491" t="s">
        <v>69</v>
      </c>
      <c r="C176" s="491" t="s">
        <v>70</v>
      </c>
      <c r="D176" s="571" t="s">
        <v>1126</v>
      </c>
      <c r="E176" s="491" t="s">
        <v>93</v>
      </c>
      <c r="F176" s="572"/>
      <c r="G176" s="558">
        <v>5817497.1900000004</v>
      </c>
      <c r="H176" s="491" t="s">
        <v>251</v>
      </c>
      <c r="I176" s="537">
        <v>42545</v>
      </c>
      <c r="J176" s="537">
        <v>42650</v>
      </c>
      <c r="K176" s="491" t="s">
        <v>1233</v>
      </c>
      <c r="L176" s="536">
        <v>5817497.1900000004</v>
      </c>
      <c r="M176" s="536">
        <f t="shared" si="0"/>
        <v>6399246.9090000009</v>
      </c>
      <c r="N176" s="573">
        <v>42688</v>
      </c>
      <c r="O176" s="573">
        <v>42692</v>
      </c>
      <c r="P176" s="502">
        <v>0</v>
      </c>
      <c r="Q176" s="1206">
        <v>43111</v>
      </c>
    </row>
    <row r="177" spans="1:17" ht="15.75" thickBot="1">
      <c r="A177" s="629" t="s">
        <v>1120</v>
      </c>
      <c r="B177" s="411" t="s">
        <v>69</v>
      </c>
      <c r="C177" s="411" t="s">
        <v>70</v>
      </c>
      <c r="D177" s="412" t="s">
        <v>1127</v>
      </c>
      <c r="E177" s="411" t="s">
        <v>93</v>
      </c>
      <c r="F177" s="414"/>
      <c r="G177" s="415">
        <v>4585135.28</v>
      </c>
      <c r="H177" s="411" t="s">
        <v>251</v>
      </c>
      <c r="I177" s="416">
        <v>42545</v>
      </c>
      <c r="J177" s="416">
        <v>42650</v>
      </c>
      <c r="K177" s="411" t="s">
        <v>576</v>
      </c>
      <c r="L177" s="417">
        <v>4581690.4000000004</v>
      </c>
      <c r="M177" s="417">
        <f t="shared" si="0"/>
        <v>5039859.4400000004</v>
      </c>
      <c r="N177" s="513">
        <v>42688</v>
      </c>
      <c r="O177" s="513">
        <v>42692</v>
      </c>
      <c r="P177" s="668">
        <v>42818</v>
      </c>
      <c r="Q177" s="1206">
        <v>43111</v>
      </c>
    </row>
    <row r="178" spans="1:17" ht="16.5" thickTop="1" thickBot="1">
      <c r="A178" s="721" t="s">
        <v>1120</v>
      </c>
      <c r="B178" s="693" t="s">
        <v>69</v>
      </c>
      <c r="C178" s="693" t="s">
        <v>70</v>
      </c>
      <c r="D178" s="722" t="s">
        <v>1128</v>
      </c>
      <c r="E178" s="693" t="s">
        <v>93</v>
      </c>
      <c r="F178" s="695"/>
      <c r="G178" s="696">
        <v>2781935.67</v>
      </c>
      <c r="H178" s="693" t="s">
        <v>251</v>
      </c>
      <c r="I178" s="723">
        <v>42545</v>
      </c>
      <c r="J178" s="723">
        <v>42650</v>
      </c>
      <c r="K178" s="693" t="s">
        <v>304</v>
      </c>
      <c r="L178" s="699"/>
      <c r="M178" s="699"/>
      <c r="N178" s="759"/>
      <c r="O178" s="699"/>
      <c r="P178" s="701"/>
      <c r="Q178" s="9"/>
    </row>
    <row r="179" spans="1:17" ht="16.5" thickTop="1" thickBot="1">
      <c r="A179" s="667" t="s">
        <v>1120</v>
      </c>
      <c r="B179" s="232" t="s">
        <v>69</v>
      </c>
      <c r="C179" s="232" t="s">
        <v>70</v>
      </c>
      <c r="D179" s="274" t="s">
        <v>1129</v>
      </c>
      <c r="E179" s="232" t="s">
        <v>93</v>
      </c>
      <c r="F179" s="496"/>
      <c r="G179" s="497">
        <v>684987.92</v>
      </c>
      <c r="H179" s="232" t="s">
        <v>251</v>
      </c>
      <c r="I179" s="498">
        <v>42545</v>
      </c>
      <c r="J179" s="498">
        <v>42650</v>
      </c>
      <c r="K179" s="232" t="s">
        <v>576</v>
      </c>
      <c r="L179" s="499">
        <v>681580</v>
      </c>
      <c r="M179" s="499">
        <f t="shared" si="0"/>
        <v>749738.00000000012</v>
      </c>
      <c r="N179" s="682">
        <v>42688</v>
      </c>
      <c r="O179" s="682">
        <v>42692</v>
      </c>
      <c r="P179" s="668">
        <v>42818</v>
      </c>
      <c r="Q179" s="1206">
        <v>43111</v>
      </c>
    </row>
    <row r="180" spans="1:17" ht="16.5" thickTop="1" thickBot="1">
      <c r="A180" s="721" t="s">
        <v>1120</v>
      </c>
      <c r="B180" s="693" t="s">
        <v>69</v>
      </c>
      <c r="C180" s="693" t="s">
        <v>70</v>
      </c>
      <c r="D180" s="722" t="s">
        <v>1130</v>
      </c>
      <c r="E180" s="693" t="s">
        <v>93</v>
      </c>
      <c r="F180" s="695"/>
      <c r="G180" s="696">
        <v>840000</v>
      </c>
      <c r="H180" s="693" t="s">
        <v>251</v>
      </c>
      <c r="I180" s="723">
        <v>42545</v>
      </c>
      <c r="J180" s="723">
        <v>42650</v>
      </c>
      <c r="K180" s="693" t="s">
        <v>304</v>
      </c>
      <c r="L180" s="699"/>
      <c r="M180" s="699"/>
      <c r="N180" s="759"/>
      <c r="O180" s="699"/>
      <c r="P180" s="701"/>
      <c r="Q180" s="9"/>
    </row>
    <row r="181" spans="1:17" ht="16.5" thickTop="1" thickBot="1">
      <c r="A181" s="671" t="s">
        <v>1120</v>
      </c>
      <c r="B181" s="517" t="s">
        <v>69</v>
      </c>
      <c r="C181" s="517" t="s">
        <v>70</v>
      </c>
      <c r="D181" s="672" t="s">
        <v>1131</v>
      </c>
      <c r="E181" s="517" t="s">
        <v>93</v>
      </c>
      <c r="F181" s="673"/>
      <c r="G181" s="674">
        <v>7870500</v>
      </c>
      <c r="H181" s="517" t="s">
        <v>251</v>
      </c>
      <c r="I181" s="675">
        <v>42545</v>
      </c>
      <c r="J181" s="675">
        <v>42650</v>
      </c>
      <c r="K181" s="517" t="s">
        <v>1407</v>
      </c>
      <c r="L181" s="676">
        <v>7870500</v>
      </c>
      <c r="M181" s="364">
        <f t="shared" si="0"/>
        <v>8657550</v>
      </c>
      <c r="N181" s="683">
        <v>42688</v>
      </c>
      <c r="O181" s="683">
        <v>42692</v>
      </c>
      <c r="P181" s="668">
        <v>42818</v>
      </c>
      <c r="Q181" s="1206">
        <v>43111</v>
      </c>
    </row>
    <row r="182" spans="1:17" ht="15.75" thickTop="1">
      <c r="A182" s="452" t="s">
        <v>1121</v>
      </c>
      <c r="B182" s="453" t="s">
        <v>69</v>
      </c>
      <c r="C182" s="453" t="s">
        <v>70</v>
      </c>
      <c r="D182" s="473" t="s">
        <v>1133</v>
      </c>
      <c r="E182" s="453" t="s">
        <v>93</v>
      </c>
      <c r="F182" s="454"/>
      <c r="G182" s="455">
        <v>28321751.899999999</v>
      </c>
      <c r="H182" s="453" t="s">
        <v>251</v>
      </c>
      <c r="I182" s="474">
        <v>42545</v>
      </c>
      <c r="J182" s="474">
        <v>42649</v>
      </c>
      <c r="K182" s="453" t="s">
        <v>1233</v>
      </c>
      <c r="L182" s="457">
        <v>28392204.359999999</v>
      </c>
      <c r="M182" s="457">
        <f>L182*1.1</f>
        <v>31231424.796</v>
      </c>
      <c r="N182" s="570">
        <v>42690</v>
      </c>
      <c r="O182" s="570">
        <v>42697</v>
      </c>
      <c r="P182" s="668">
        <v>42818</v>
      </c>
      <c r="Q182" s="1206">
        <v>43111</v>
      </c>
    </row>
    <row r="183" spans="1:17">
      <c r="A183" s="501" t="s">
        <v>1121</v>
      </c>
      <c r="B183" s="491" t="s">
        <v>69</v>
      </c>
      <c r="C183" s="491" t="s">
        <v>70</v>
      </c>
      <c r="D183" s="571" t="s">
        <v>1134</v>
      </c>
      <c r="E183" s="491" t="s">
        <v>93</v>
      </c>
      <c r="F183" s="572"/>
      <c r="G183" s="558">
        <v>8218926.5</v>
      </c>
      <c r="H183" s="491" t="s">
        <v>251</v>
      </c>
      <c r="I183" s="537">
        <v>42545</v>
      </c>
      <c r="J183" s="537">
        <v>42649</v>
      </c>
      <c r="K183" s="491" t="s">
        <v>1319</v>
      </c>
      <c r="L183" s="536">
        <v>8182514.1600000001</v>
      </c>
      <c r="M183" s="536">
        <f>L183*1.1</f>
        <v>9000765.5760000013</v>
      </c>
      <c r="N183" s="573">
        <v>42695</v>
      </c>
      <c r="O183" s="573">
        <v>42697</v>
      </c>
      <c r="P183" s="668">
        <v>42818</v>
      </c>
      <c r="Q183" s="1206">
        <v>43111</v>
      </c>
    </row>
    <row r="184" spans="1:17" ht="15.75" thickBot="1">
      <c r="A184" s="446" t="s">
        <v>1121</v>
      </c>
      <c r="B184" s="447" t="s">
        <v>69</v>
      </c>
      <c r="C184" s="447" t="s">
        <v>70</v>
      </c>
      <c r="D184" s="476" t="s">
        <v>1135</v>
      </c>
      <c r="E184" s="447" t="s">
        <v>93</v>
      </c>
      <c r="F184" s="448"/>
      <c r="G184" s="449">
        <v>2033488.8</v>
      </c>
      <c r="H184" s="447" t="s">
        <v>251</v>
      </c>
      <c r="I184" s="477">
        <v>42545</v>
      </c>
      <c r="J184" s="477">
        <v>42649</v>
      </c>
      <c r="K184" s="447" t="s">
        <v>1233</v>
      </c>
      <c r="L184" s="450">
        <v>2033488.8</v>
      </c>
      <c r="M184" s="450">
        <f>L184*1.1</f>
        <v>2236837.6800000002</v>
      </c>
      <c r="N184" s="574">
        <v>42690</v>
      </c>
      <c r="O184" s="574">
        <v>42697</v>
      </c>
      <c r="P184" s="668">
        <v>42818</v>
      </c>
      <c r="Q184" s="1206">
        <v>43111</v>
      </c>
    </row>
    <row r="185" spans="1:17" ht="16.5" thickTop="1" thickBot="1">
      <c r="A185" s="232" t="s">
        <v>1144</v>
      </c>
      <c r="B185" s="232" t="s">
        <v>1032</v>
      </c>
      <c r="C185" s="232" t="s">
        <v>1084</v>
      </c>
      <c r="D185" s="274" t="s">
        <v>1145</v>
      </c>
      <c r="E185" s="232" t="s">
        <v>1163</v>
      </c>
      <c r="F185" s="496"/>
      <c r="G185" s="497">
        <v>500000</v>
      </c>
      <c r="H185" s="232" t="s">
        <v>112</v>
      </c>
      <c r="I185" s="498">
        <v>42548</v>
      </c>
      <c r="J185" s="498">
        <v>42556</v>
      </c>
      <c r="K185" s="232" t="s">
        <v>1154</v>
      </c>
      <c r="L185" s="499">
        <v>312876</v>
      </c>
      <c r="M185" s="499">
        <v>378579.96</v>
      </c>
      <c r="N185" s="498">
        <v>42564</v>
      </c>
      <c r="O185" s="498">
        <v>42565</v>
      </c>
      <c r="P185" s="232" t="s">
        <v>239</v>
      </c>
    </row>
    <row r="186" spans="1:17" ht="16.5" thickTop="1" thickBot="1">
      <c r="A186" s="721" t="s">
        <v>1160</v>
      </c>
      <c r="B186" s="693" t="s">
        <v>69</v>
      </c>
      <c r="C186" s="693" t="s">
        <v>70</v>
      </c>
      <c r="D186" s="722" t="s">
        <v>1146</v>
      </c>
      <c r="E186" s="693" t="s">
        <v>1147</v>
      </c>
      <c r="F186" s="695"/>
      <c r="G186" s="696">
        <v>6123633.3399999999</v>
      </c>
      <c r="H186" s="693" t="s">
        <v>251</v>
      </c>
      <c r="I186" s="723">
        <v>42562</v>
      </c>
      <c r="J186" s="723">
        <v>42690</v>
      </c>
      <c r="K186" s="693" t="s">
        <v>304</v>
      </c>
      <c r="L186" s="699"/>
      <c r="M186" s="699"/>
      <c r="N186" s="693"/>
      <c r="O186" s="693"/>
      <c r="P186" s="701"/>
      <c r="Q186" s="9"/>
    </row>
    <row r="187" spans="1:17" ht="16.5" thickTop="1" thickBot="1">
      <c r="A187" s="232" t="s">
        <v>1148</v>
      </c>
      <c r="B187" s="232" t="s">
        <v>52</v>
      </c>
      <c r="C187" s="232" t="s">
        <v>227</v>
      </c>
      <c r="D187" s="274" t="s">
        <v>1149</v>
      </c>
      <c r="E187" s="232" t="s">
        <v>1150</v>
      </c>
      <c r="F187" s="496"/>
      <c r="G187" s="497">
        <v>5000000</v>
      </c>
      <c r="H187" s="232" t="s">
        <v>112</v>
      </c>
      <c r="I187" s="498">
        <v>42558</v>
      </c>
      <c r="J187" s="498">
        <v>42572</v>
      </c>
      <c r="K187" s="232" t="s">
        <v>1194</v>
      </c>
      <c r="L187" s="499">
        <v>2419711.4300000002</v>
      </c>
      <c r="M187" s="499">
        <f>L187*1.21</f>
        <v>2927850.8303</v>
      </c>
      <c r="N187" s="498">
        <v>42601</v>
      </c>
      <c r="O187" s="498">
        <v>42605</v>
      </c>
      <c r="P187" s="232" t="s">
        <v>239</v>
      </c>
    </row>
    <row r="188" spans="1:17" ht="15.75" thickTop="1">
      <c r="A188" s="452" t="s">
        <v>1161</v>
      </c>
      <c r="B188" s="453" t="s">
        <v>58</v>
      </c>
      <c r="C188" s="453" t="s">
        <v>57</v>
      </c>
      <c r="D188" s="473" t="s">
        <v>1180</v>
      </c>
      <c r="E188" s="453" t="s">
        <v>462</v>
      </c>
      <c r="F188" s="454" t="s">
        <v>783</v>
      </c>
      <c r="G188" s="455">
        <v>2890000</v>
      </c>
      <c r="H188" s="453" t="s">
        <v>216</v>
      </c>
      <c r="I188" s="474">
        <v>42563</v>
      </c>
      <c r="J188" s="474">
        <v>42594</v>
      </c>
      <c r="K188" s="453" t="s">
        <v>1404</v>
      </c>
      <c r="L188" s="457">
        <f>M188/1.21</f>
        <v>1849958.0000000002</v>
      </c>
      <c r="M188" s="457">
        <v>2238449.1800000002</v>
      </c>
      <c r="N188" s="474">
        <v>42661</v>
      </c>
      <c r="O188" s="474">
        <v>42662</v>
      </c>
      <c r="P188" s="575">
        <v>42773</v>
      </c>
      <c r="Q188" s="1024"/>
    </row>
    <row r="189" spans="1:17" ht="15.75" thickBot="1">
      <c r="A189" s="629" t="s">
        <v>1161</v>
      </c>
      <c r="B189" s="411" t="s">
        <v>58</v>
      </c>
      <c r="C189" s="411" t="s">
        <v>57</v>
      </c>
      <c r="D189" s="412" t="s">
        <v>1181</v>
      </c>
      <c r="E189" s="411" t="s">
        <v>462</v>
      </c>
      <c r="F189" s="414" t="s">
        <v>843</v>
      </c>
      <c r="G189" s="415">
        <v>660000</v>
      </c>
      <c r="H189" s="411" t="s">
        <v>216</v>
      </c>
      <c r="I189" s="416">
        <v>42563</v>
      </c>
      <c r="J189" s="416">
        <v>42594</v>
      </c>
      <c r="K189" s="411" t="s">
        <v>1239</v>
      </c>
      <c r="L189" s="417">
        <v>659500</v>
      </c>
      <c r="M189" s="417">
        <v>797995</v>
      </c>
      <c r="N189" s="416">
        <v>42661</v>
      </c>
      <c r="O189" s="416">
        <v>42662</v>
      </c>
      <c r="P189" s="637">
        <v>42773</v>
      </c>
      <c r="Q189" s="1024"/>
    </row>
    <row r="190" spans="1:17" ht="16.5" thickTop="1" thickBot="1">
      <c r="A190" s="746" t="s">
        <v>1157</v>
      </c>
      <c r="B190" s="747" t="s">
        <v>58</v>
      </c>
      <c r="C190" s="747" t="s">
        <v>57</v>
      </c>
      <c r="D190" s="748" t="s">
        <v>1158</v>
      </c>
      <c r="E190" s="747" t="s">
        <v>1159</v>
      </c>
      <c r="F190" s="749"/>
      <c r="G190" s="750">
        <v>7000000</v>
      </c>
      <c r="H190" s="747" t="s">
        <v>251</v>
      </c>
      <c r="I190" s="961">
        <v>42555</v>
      </c>
      <c r="J190" s="747"/>
      <c r="K190" s="747"/>
      <c r="L190" s="751"/>
      <c r="M190" s="751"/>
      <c r="N190" s="747"/>
      <c r="O190" s="747"/>
      <c r="P190" s="752"/>
      <c r="Q190" s="9"/>
    </row>
    <row r="191" spans="1:17" ht="16.5" thickTop="1" thickBot="1">
      <c r="A191" s="232" t="s">
        <v>1162</v>
      </c>
      <c r="B191" s="232" t="s">
        <v>166</v>
      </c>
      <c r="C191" s="232" t="s">
        <v>167</v>
      </c>
      <c r="D191" s="274" t="s">
        <v>1156</v>
      </c>
      <c r="E191" s="232" t="s">
        <v>33</v>
      </c>
      <c r="F191" s="496"/>
      <c r="G191" s="497">
        <v>1320000</v>
      </c>
      <c r="H191" s="232" t="s">
        <v>112</v>
      </c>
      <c r="I191" s="498">
        <v>42563</v>
      </c>
      <c r="J191" s="498">
        <v>42572</v>
      </c>
      <c r="K191" s="232" t="s">
        <v>409</v>
      </c>
      <c r="L191" s="499">
        <v>1635400</v>
      </c>
      <c r="M191" s="499">
        <f>L191*1.21</f>
        <v>1978834</v>
      </c>
      <c r="N191" s="498">
        <v>42592</v>
      </c>
      <c r="O191" s="498">
        <v>42592</v>
      </c>
      <c r="P191" s="498">
        <v>42807</v>
      </c>
    </row>
    <row r="192" spans="1:17" ht="15.75" thickTop="1">
      <c r="A192" s="438" t="s">
        <v>1175</v>
      </c>
      <c r="B192" s="439" t="s">
        <v>58</v>
      </c>
      <c r="C192" s="439" t="s">
        <v>55</v>
      </c>
      <c r="D192" s="440" t="s">
        <v>1176</v>
      </c>
      <c r="E192" s="439" t="s">
        <v>780</v>
      </c>
      <c r="F192" s="441"/>
      <c r="G192" s="442">
        <v>1320000</v>
      </c>
      <c r="H192" s="439" t="s">
        <v>112</v>
      </c>
      <c r="I192" s="443">
        <v>42562</v>
      </c>
      <c r="J192" s="443">
        <v>42576</v>
      </c>
      <c r="K192" s="538" t="s">
        <v>242</v>
      </c>
      <c r="L192" s="444"/>
      <c r="M192" s="444"/>
      <c r="N192" s="439"/>
      <c r="O192" s="439"/>
      <c r="P192" s="445"/>
      <c r="Q192" s="9"/>
    </row>
    <row r="193" spans="1:17" ht="15.75" thickBot="1">
      <c r="A193" s="830" t="s">
        <v>1177</v>
      </c>
      <c r="B193" s="639" t="s">
        <v>69</v>
      </c>
      <c r="C193" s="639" t="s">
        <v>70</v>
      </c>
      <c r="D193" s="640" t="s">
        <v>1165</v>
      </c>
      <c r="E193" s="639" t="s">
        <v>93</v>
      </c>
      <c r="F193" s="641"/>
      <c r="G193" s="642">
        <v>25916941.190000001</v>
      </c>
      <c r="H193" s="639" t="s">
        <v>251</v>
      </c>
      <c r="I193" s="643">
        <v>42563</v>
      </c>
      <c r="J193" s="643">
        <v>42675</v>
      </c>
      <c r="K193" s="831" t="s">
        <v>242</v>
      </c>
      <c r="L193" s="645"/>
      <c r="M193" s="645"/>
      <c r="N193" s="639"/>
      <c r="O193" s="639"/>
      <c r="P193" s="832"/>
      <c r="Q193" s="9"/>
    </row>
    <row r="194" spans="1:17" ht="16.5" thickTop="1" thickBot="1">
      <c r="A194" s="721" t="s">
        <v>1185</v>
      </c>
      <c r="B194" s="693" t="s">
        <v>69</v>
      </c>
      <c r="C194" s="693" t="s">
        <v>70</v>
      </c>
      <c r="D194" s="722" t="s">
        <v>1178</v>
      </c>
      <c r="E194" s="693" t="s">
        <v>68</v>
      </c>
      <c r="F194" s="695"/>
      <c r="G194" s="696">
        <v>2561878</v>
      </c>
      <c r="H194" s="693" t="s">
        <v>251</v>
      </c>
      <c r="I194" s="723">
        <v>42563</v>
      </c>
      <c r="J194" s="723">
        <v>42629</v>
      </c>
      <c r="K194" s="754" t="s">
        <v>1401</v>
      </c>
      <c r="L194" s="699"/>
      <c r="M194" s="699"/>
      <c r="N194" s="693"/>
      <c r="O194" s="693"/>
      <c r="P194" s="701"/>
      <c r="Q194" s="9"/>
    </row>
    <row r="195" spans="1:17" ht="16.5" thickTop="1" thickBot="1">
      <c r="A195" s="671" t="s">
        <v>1185</v>
      </c>
      <c r="B195" s="517" t="s">
        <v>69</v>
      </c>
      <c r="C195" s="517" t="s">
        <v>70</v>
      </c>
      <c r="D195" s="672" t="s">
        <v>1179</v>
      </c>
      <c r="E195" s="517" t="s">
        <v>68</v>
      </c>
      <c r="F195" s="673"/>
      <c r="G195" s="674">
        <v>814135.96</v>
      </c>
      <c r="H195" s="517" t="s">
        <v>251</v>
      </c>
      <c r="I195" s="675">
        <v>42563</v>
      </c>
      <c r="J195" s="675">
        <v>42629</v>
      </c>
      <c r="K195" s="517" t="s">
        <v>576</v>
      </c>
      <c r="L195" s="676">
        <v>815434.34</v>
      </c>
      <c r="M195" s="676">
        <v>896977.77</v>
      </c>
      <c r="N195" s="675">
        <v>42682</v>
      </c>
      <c r="O195" s="675">
        <v>42685</v>
      </c>
      <c r="P195" s="962">
        <v>42818</v>
      </c>
      <c r="Q195" s="1206">
        <v>43111</v>
      </c>
    </row>
    <row r="196" spans="1:17" ht="15.75" thickTop="1">
      <c r="A196" s="520" t="s">
        <v>1186</v>
      </c>
      <c r="B196" s="520" t="s">
        <v>58</v>
      </c>
      <c r="C196" s="520" t="s">
        <v>57</v>
      </c>
      <c r="D196" s="175" t="s">
        <v>1187</v>
      </c>
      <c r="E196" s="31" t="s">
        <v>850</v>
      </c>
      <c r="F196" s="67" t="s">
        <v>885</v>
      </c>
      <c r="G196" s="29">
        <v>2479000</v>
      </c>
      <c r="H196" s="31" t="s">
        <v>216</v>
      </c>
      <c r="I196" s="365">
        <v>42577</v>
      </c>
      <c r="J196" s="365">
        <v>42593</v>
      </c>
      <c r="K196" s="520" t="s">
        <v>803</v>
      </c>
      <c r="L196" s="364">
        <v>2700500</v>
      </c>
      <c r="M196" s="364">
        <v>3267605</v>
      </c>
      <c r="N196" s="365">
        <v>42621</v>
      </c>
      <c r="O196" s="365">
        <v>42627</v>
      </c>
      <c r="P196" s="365">
        <v>42737</v>
      </c>
      <c r="Q196" s="1203" t="s">
        <v>1649</v>
      </c>
    </row>
    <row r="197" spans="1:17" ht="15.75" thickBot="1">
      <c r="A197" s="411" t="s">
        <v>1188</v>
      </c>
      <c r="B197" s="411" t="s">
        <v>218</v>
      </c>
      <c r="C197" s="411" t="s">
        <v>219</v>
      </c>
      <c r="D197" s="412" t="s">
        <v>1189</v>
      </c>
      <c r="E197" s="232" t="s">
        <v>1190</v>
      </c>
      <c r="F197" s="414"/>
      <c r="G197" s="415">
        <v>2222200</v>
      </c>
      <c r="H197" s="411" t="s">
        <v>216</v>
      </c>
      <c r="I197" s="416">
        <v>42569</v>
      </c>
      <c r="J197" s="416">
        <v>42586</v>
      </c>
      <c r="K197" s="411" t="s">
        <v>708</v>
      </c>
      <c r="L197" s="417">
        <v>2494800</v>
      </c>
      <c r="M197" s="417">
        <f>L197*1.21</f>
        <v>3018708</v>
      </c>
      <c r="N197" s="416">
        <v>42657</v>
      </c>
      <c r="O197" s="416">
        <v>42660</v>
      </c>
      <c r="P197" s="416">
        <v>42800</v>
      </c>
      <c r="Q197" s="1206">
        <v>43181</v>
      </c>
    </row>
    <row r="198" spans="1:17" ht="16.5" thickTop="1" thickBot="1">
      <c r="A198" s="788" t="s">
        <v>1476</v>
      </c>
      <c r="B198" s="425" t="s">
        <v>58</v>
      </c>
      <c r="C198" s="425" t="s">
        <v>57</v>
      </c>
      <c r="D198" s="426" t="s">
        <v>1477</v>
      </c>
      <c r="E198" s="789" t="s">
        <v>845</v>
      </c>
      <c r="F198" s="790" t="s">
        <v>1478</v>
      </c>
      <c r="G198" s="791">
        <v>12396500</v>
      </c>
      <c r="H198" s="789" t="s">
        <v>251</v>
      </c>
      <c r="I198" s="792">
        <v>42689</v>
      </c>
      <c r="J198" s="792">
        <v>42710</v>
      </c>
      <c r="K198" s="789" t="s">
        <v>1513</v>
      </c>
      <c r="L198" s="793">
        <f>12247000+5909196</f>
        <v>18156196</v>
      </c>
      <c r="M198" s="793">
        <f>L198*1.21</f>
        <v>21968997.16</v>
      </c>
      <c r="N198" s="792"/>
      <c r="O198" s="792"/>
      <c r="P198" s="963"/>
      <c r="Q198" s="9"/>
    </row>
    <row r="199" spans="1:17" ht="15.75" thickTop="1">
      <c r="A199" s="452" t="s">
        <v>1201</v>
      </c>
      <c r="B199" s="453" t="s">
        <v>134</v>
      </c>
      <c r="C199" s="453" t="s">
        <v>858</v>
      </c>
      <c r="D199" s="473" t="s">
        <v>1234</v>
      </c>
      <c r="E199" s="534" t="s">
        <v>158</v>
      </c>
      <c r="F199" s="454" t="s">
        <v>1237</v>
      </c>
      <c r="G199" s="455">
        <v>73000</v>
      </c>
      <c r="H199" s="453" t="s">
        <v>112</v>
      </c>
      <c r="I199" s="474">
        <v>42579</v>
      </c>
      <c r="J199" s="474">
        <v>42587</v>
      </c>
      <c r="K199" s="453" t="s">
        <v>1238</v>
      </c>
      <c r="L199" s="457">
        <v>44900</v>
      </c>
      <c r="M199" s="457">
        <v>54329</v>
      </c>
      <c r="N199" s="474">
        <v>42632</v>
      </c>
      <c r="O199" s="453" t="s">
        <v>239</v>
      </c>
      <c r="P199" s="475" t="s">
        <v>239</v>
      </c>
    </row>
    <row r="200" spans="1:17" ht="15.75" thickBot="1">
      <c r="A200" s="446" t="s">
        <v>1201</v>
      </c>
      <c r="B200" s="447" t="s">
        <v>134</v>
      </c>
      <c r="C200" s="447" t="s">
        <v>858</v>
      </c>
      <c r="D200" s="476" t="s">
        <v>1235</v>
      </c>
      <c r="E200" s="517" t="s">
        <v>158</v>
      </c>
      <c r="F200" s="448" t="s">
        <v>1236</v>
      </c>
      <c r="G200" s="449">
        <v>62000</v>
      </c>
      <c r="H200" s="447" t="s">
        <v>112</v>
      </c>
      <c r="I200" s="477">
        <v>42579</v>
      </c>
      <c r="J200" s="477">
        <v>42587</v>
      </c>
      <c r="K200" s="447" t="s">
        <v>978</v>
      </c>
      <c r="L200" s="450">
        <v>53000</v>
      </c>
      <c r="M200" s="450">
        <v>64130</v>
      </c>
      <c r="N200" s="477">
        <v>42612</v>
      </c>
      <c r="O200" s="447" t="s">
        <v>239</v>
      </c>
      <c r="P200" s="478" t="s">
        <v>239</v>
      </c>
    </row>
    <row r="201" spans="1:17" ht="15.75" thickTop="1">
      <c r="A201" s="660" t="s">
        <v>1197</v>
      </c>
      <c r="B201" s="605" t="s">
        <v>166</v>
      </c>
      <c r="C201" s="605" t="s">
        <v>167</v>
      </c>
      <c r="D201" s="175" t="s">
        <v>1198</v>
      </c>
      <c r="E201" s="605" t="s">
        <v>1184</v>
      </c>
      <c r="F201" s="419"/>
      <c r="G201" s="127">
        <v>231405</v>
      </c>
      <c r="H201" s="605" t="s">
        <v>112</v>
      </c>
      <c r="I201" s="365">
        <v>42578</v>
      </c>
      <c r="J201" s="365">
        <v>42587</v>
      </c>
      <c r="K201" s="605" t="s">
        <v>1268</v>
      </c>
      <c r="L201" s="364">
        <v>149327</v>
      </c>
      <c r="M201" s="364">
        <f>L201*1.21</f>
        <v>180685.66999999998</v>
      </c>
      <c r="N201" s="365">
        <v>42606</v>
      </c>
      <c r="O201" s="605" t="s">
        <v>239</v>
      </c>
      <c r="P201" s="670" t="s">
        <v>239</v>
      </c>
    </row>
    <row r="202" spans="1:17">
      <c r="A202" s="515" t="s">
        <v>1199</v>
      </c>
      <c r="B202" s="506" t="s">
        <v>166</v>
      </c>
      <c r="C202" s="506" t="s">
        <v>167</v>
      </c>
      <c r="D202" s="507" t="s">
        <v>1200</v>
      </c>
      <c r="E202" s="506" t="s">
        <v>1204</v>
      </c>
      <c r="F202" s="508"/>
      <c r="G202" s="509">
        <v>240000</v>
      </c>
      <c r="H202" s="506" t="s">
        <v>112</v>
      </c>
      <c r="I202" s="510">
        <v>42578</v>
      </c>
      <c r="J202" s="510">
        <v>42587</v>
      </c>
      <c r="K202" s="514" t="s">
        <v>1192</v>
      </c>
      <c r="L202" s="511"/>
      <c r="M202" s="511"/>
      <c r="N202" s="506"/>
      <c r="O202" s="506" t="s">
        <v>239</v>
      </c>
      <c r="P202" s="521" t="s">
        <v>239</v>
      </c>
      <c r="Q202" s="9"/>
    </row>
    <row r="203" spans="1:17" ht="15.75" thickBot="1">
      <c r="A203" s="446" t="s">
        <v>1202</v>
      </c>
      <c r="B203" s="447" t="s">
        <v>166</v>
      </c>
      <c r="C203" s="447" t="s">
        <v>167</v>
      </c>
      <c r="D203" s="476" t="s">
        <v>1203</v>
      </c>
      <c r="E203" s="447" t="s">
        <v>1205</v>
      </c>
      <c r="F203" s="448"/>
      <c r="G203" s="449">
        <v>320000</v>
      </c>
      <c r="H203" s="447" t="s">
        <v>112</v>
      </c>
      <c r="I203" s="477">
        <v>42578</v>
      </c>
      <c r="J203" s="477">
        <v>42597</v>
      </c>
      <c r="K203" s="447" t="s">
        <v>409</v>
      </c>
      <c r="L203" s="450">
        <v>553747</v>
      </c>
      <c r="M203" s="450">
        <f>L203*1.21</f>
        <v>670033.87</v>
      </c>
      <c r="N203" s="477">
        <v>42632</v>
      </c>
      <c r="O203" s="447" t="s">
        <v>239</v>
      </c>
      <c r="P203" s="478" t="s">
        <v>239</v>
      </c>
    </row>
    <row r="204" spans="1:17" ht="15.75" thickTop="1">
      <c r="A204" s="605" t="s">
        <v>1206</v>
      </c>
      <c r="B204" s="605" t="s">
        <v>14</v>
      </c>
      <c r="C204" s="605" t="s">
        <v>13</v>
      </c>
      <c r="D204" s="175" t="s">
        <v>1207</v>
      </c>
      <c r="E204" s="605" t="s">
        <v>1226</v>
      </c>
      <c r="F204" s="419" t="s">
        <v>762</v>
      </c>
      <c r="G204" s="127">
        <v>1230000</v>
      </c>
      <c r="H204" s="605" t="s">
        <v>112</v>
      </c>
      <c r="I204" s="365">
        <v>42586</v>
      </c>
      <c r="J204" s="365">
        <v>42592</v>
      </c>
      <c r="K204" s="605" t="s">
        <v>1074</v>
      </c>
      <c r="L204" s="364">
        <v>1203100</v>
      </c>
      <c r="M204" s="364">
        <v>1455751.4</v>
      </c>
      <c r="N204" s="365">
        <v>42611</v>
      </c>
      <c r="O204" s="365">
        <v>42612</v>
      </c>
      <c r="P204" s="365">
        <v>42709</v>
      </c>
    </row>
    <row r="205" spans="1:17" ht="15.75" thickBot="1">
      <c r="A205" s="411" t="s">
        <v>1208</v>
      </c>
      <c r="B205" s="411" t="s">
        <v>1032</v>
      </c>
      <c r="C205" s="411" t="s">
        <v>1033</v>
      </c>
      <c r="D205" s="412" t="s">
        <v>829</v>
      </c>
      <c r="E205" s="411" t="s">
        <v>1163</v>
      </c>
      <c r="F205" s="414" t="s">
        <v>839</v>
      </c>
      <c r="G205" s="415">
        <v>1650000</v>
      </c>
      <c r="H205" s="411" t="s">
        <v>112</v>
      </c>
      <c r="I205" s="416">
        <v>42584</v>
      </c>
      <c r="J205" s="416">
        <v>42590</v>
      </c>
      <c r="K205" s="411" t="s">
        <v>1092</v>
      </c>
      <c r="L205" s="417">
        <v>919899</v>
      </c>
      <c r="M205" s="417">
        <v>1113078</v>
      </c>
      <c r="N205" s="416">
        <v>42597</v>
      </c>
      <c r="O205" s="416">
        <v>42598</v>
      </c>
      <c r="P205" s="416">
        <v>42723</v>
      </c>
    </row>
    <row r="206" spans="1:17" ht="15.75" thickTop="1">
      <c r="A206" s="452" t="s">
        <v>1209</v>
      </c>
      <c r="B206" s="453" t="s">
        <v>134</v>
      </c>
      <c r="C206" s="453" t="s">
        <v>858</v>
      </c>
      <c r="D206" s="473" t="s">
        <v>1210</v>
      </c>
      <c r="E206" s="453" t="s">
        <v>158</v>
      </c>
      <c r="F206" s="454" t="s">
        <v>1227</v>
      </c>
      <c r="G206" s="455">
        <v>65000</v>
      </c>
      <c r="H206" s="453" t="s">
        <v>112</v>
      </c>
      <c r="I206" s="474">
        <v>42592</v>
      </c>
      <c r="J206" s="474">
        <v>42601</v>
      </c>
      <c r="K206" s="453" t="s">
        <v>978</v>
      </c>
      <c r="L206" s="457">
        <f>M206/1.21</f>
        <v>56000</v>
      </c>
      <c r="M206" s="457">
        <v>67760</v>
      </c>
      <c r="N206" s="474">
        <v>42632</v>
      </c>
      <c r="O206" s="453" t="s">
        <v>239</v>
      </c>
      <c r="P206" s="475" t="s">
        <v>239</v>
      </c>
    </row>
    <row r="207" spans="1:17">
      <c r="A207" s="515" t="s">
        <v>1211</v>
      </c>
      <c r="B207" s="506" t="s">
        <v>166</v>
      </c>
      <c r="C207" s="506" t="s">
        <v>167</v>
      </c>
      <c r="D207" s="507" t="s">
        <v>1212</v>
      </c>
      <c r="E207" s="506" t="s">
        <v>33</v>
      </c>
      <c r="F207" s="508" t="s">
        <v>832</v>
      </c>
      <c r="G207" s="509">
        <v>1074380</v>
      </c>
      <c r="H207" s="506" t="s">
        <v>112</v>
      </c>
      <c r="I207" s="510">
        <v>42593</v>
      </c>
      <c r="J207" s="510">
        <v>42604</v>
      </c>
      <c r="K207" s="761" t="s">
        <v>242</v>
      </c>
      <c r="L207" s="511"/>
      <c r="M207" s="511"/>
      <c r="N207" s="506"/>
      <c r="O207" s="506"/>
      <c r="P207" s="521" t="s">
        <v>239</v>
      </c>
      <c r="Q207" s="9"/>
    </row>
    <row r="208" spans="1:17" ht="15.75" thickBot="1">
      <c r="A208" s="518" t="s">
        <v>1213</v>
      </c>
      <c r="B208" s="483" t="s">
        <v>1214</v>
      </c>
      <c r="C208" s="483" t="s">
        <v>1215</v>
      </c>
      <c r="D208" s="484" t="s">
        <v>1240</v>
      </c>
      <c r="E208" s="483" t="s">
        <v>1232</v>
      </c>
      <c r="F208" s="485" t="s">
        <v>832</v>
      </c>
      <c r="G208" s="486">
        <v>1200000</v>
      </c>
      <c r="H208" s="483" t="s">
        <v>216</v>
      </c>
      <c r="I208" s="487">
        <v>42604</v>
      </c>
      <c r="J208" s="487">
        <v>42620</v>
      </c>
      <c r="K208" s="539" t="s">
        <v>242</v>
      </c>
      <c r="L208" s="488"/>
      <c r="M208" s="488"/>
      <c r="N208" s="483"/>
      <c r="O208" s="483"/>
      <c r="P208" s="522"/>
      <c r="Q208" s="9"/>
    </row>
    <row r="209" spans="1:17" ht="16.5" thickTop="1" thickBot="1">
      <c r="A209" s="232" t="s">
        <v>1216</v>
      </c>
      <c r="B209" s="232" t="s">
        <v>58</v>
      </c>
      <c r="C209" s="232" t="s">
        <v>57</v>
      </c>
      <c r="D209" s="274" t="s">
        <v>1217</v>
      </c>
      <c r="E209" s="232" t="s">
        <v>261</v>
      </c>
      <c r="F209" s="496" t="s">
        <v>1229</v>
      </c>
      <c r="G209" s="497">
        <v>510000</v>
      </c>
      <c r="H209" s="232" t="s">
        <v>112</v>
      </c>
      <c r="I209" s="498">
        <v>42598</v>
      </c>
      <c r="J209" s="498">
        <v>42612</v>
      </c>
      <c r="K209" s="232" t="s">
        <v>1304</v>
      </c>
      <c r="L209" s="499">
        <v>847420</v>
      </c>
      <c r="M209" s="499">
        <v>1025378</v>
      </c>
      <c r="N209" s="498">
        <v>42670</v>
      </c>
      <c r="O209" s="498">
        <v>42674</v>
      </c>
      <c r="P209" s="498">
        <v>42797</v>
      </c>
      <c r="Q209" s="1944"/>
    </row>
    <row r="210" spans="1:17" ht="16.5" thickTop="1" thickBot="1">
      <c r="A210" s="721" t="s">
        <v>1218</v>
      </c>
      <c r="B210" s="693" t="s">
        <v>58</v>
      </c>
      <c r="C210" s="693" t="s">
        <v>57</v>
      </c>
      <c r="D210" s="722" t="s">
        <v>777</v>
      </c>
      <c r="E210" s="693" t="s">
        <v>261</v>
      </c>
      <c r="F210" s="695" t="s">
        <v>1228</v>
      </c>
      <c r="G210" s="696">
        <v>1650000</v>
      </c>
      <c r="H210" s="693" t="s">
        <v>112</v>
      </c>
      <c r="I210" s="723">
        <v>42598</v>
      </c>
      <c r="J210" s="723">
        <v>42612</v>
      </c>
      <c r="K210" s="757" t="s">
        <v>1320</v>
      </c>
      <c r="L210" s="699"/>
      <c r="M210" s="699"/>
      <c r="N210" s="693"/>
      <c r="O210" s="693"/>
      <c r="P210" s="701" t="s">
        <v>239</v>
      </c>
      <c r="Q210" s="9"/>
    </row>
    <row r="211" spans="1:17" ht="15.75" thickTop="1">
      <c r="A211" s="605" t="s">
        <v>1219</v>
      </c>
      <c r="B211" s="605" t="s">
        <v>58</v>
      </c>
      <c r="C211" s="605" t="s">
        <v>57</v>
      </c>
      <c r="D211" s="175" t="s">
        <v>1220</v>
      </c>
      <c r="E211" s="605" t="s">
        <v>421</v>
      </c>
      <c r="F211" s="419" t="s">
        <v>1230</v>
      </c>
      <c r="G211" s="127">
        <v>925000</v>
      </c>
      <c r="H211" s="605" t="s">
        <v>112</v>
      </c>
      <c r="I211" s="365">
        <v>42598</v>
      </c>
      <c r="J211" s="365">
        <v>42612</v>
      </c>
      <c r="K211" s="605" t="s">
        <v>1151</v>
      </c>
      <c r="L211" s="364">
        <f>M211/1.21</f>
        <v>901880.00000000012</v>
      </c>
      <c r="M211" s="364">
        <v>1091274.8</v>
      </c>
      <c r="N211" s="365">
        <v>42647</v>
      </c>
      <c r="O211" s="365">
        <v>42649</v>
      </c>
      <c r="P211" s="365">
        <v>42723</v>
      </c>
      <c r="Q211" s="1203" t="s">
        <v>1649</v>
      </c>
    </row>
    <row r="212" spans="1:17">
      <c r="A212" s="31" t="s">
        <v>1221</v>
      </c>
      <c r="B212" s="31" t="s">
        <v>58</v>
      </c>
      <c r="C212" s="31" t="s">
        <v>57</v>
      </c>
      <c r="D212" s="36" t="s">
        <v>1222</v>
      </c>
      <c r="E212" s="31" t="s">
        <v>781</v>
      </c>
      <c r="F212" s="67" t="s">
        <v>1231</v>
      </c>
      <c r="G212" s="29">
        <v>990000</v>
      </c>
      <c r="H212" s="31" t="s">
        <v>112</v>
      </c>
      <c r="I212" s="90">
        <v>42600</v>
      </c>
      <c r="J212" s="90">
        <v>42613</v>
      </c>
      <c r="K212" s="31" t="s">
        <v>1316</v>
      </c>
      <c r="L212" s="40">
        <f>M212/1.21</f>
        <v>1365100</v>
      </c>
      <c r="M212" s="40">
        <v>1651771</v>
      </c>
      <c r="N212" s="90">
        <v>42647</v>
      </c>
      <c r="O212" s="90">
        <v>42649</v>
      </c>
      <c r="P212" s="90">
        <v>42779</v>
      </c>
      <c r="Q212" s="1203" t="s">
        <v>1649</v>
      </c>
    </row>
    <row r="213" spans="1:17" ht="15.75" thickBot="1">
      <c r="A213" s="411" t="s">
        <v>1253</v>
      </c>
      <c r="B213" s="411" t="s">
        <v>1032</v>
      </c>
      <c r="C213" s="411" t="s">
        <v>1033</v>
      </c>
      <c r="D213" s="412" t="s">
        <v>825</v>
      </c>
      <c r="E213" s="411" t="s">
        <v>1254</v>
      </c>
      <c r="F213" s="414" t="s">
        <v>826</v>
      </c>
      <c r="G213" s="415">
        <v>825000</v>
      </c>
      <c r="H213" s="411" t="s">
        <v>112</v>
      </c>
      <c r="I213" s="416">
        <v>42611</v>
      </c>
      <c r="J213" s="416">
        <v>42622</v>
      </c>
      <c r="K213" s="411" t="s">
        <v>1365</v>
      </c>
      <c r="L213" s="417">
        <v>1021408</v>
      </c>
      <c r="M213" s="417">
        <f>L213*1.21</f>
        <v>1235903.68</v>
      </c>
      <c r="N213" s="416">
        <v>42677</v>
      </c>
      <c r="O213" s="416">
        <v>42677</v>
      </c>
      <c r="P213" s="416">
        <v>42737</v>
      </c>
    </row>
    <row r="214" spans="1:17" ht="15.75" thickTop="1">
      <c r="A214" s="438" t="s">
        <v>1223</v>
      </c>
      <c r="B214" s="439" t="s">
        <v>69</v>
      </c>
      <c r="C214" s="439" t="s">
        <v>70</v>
      </c>
      <c r="D214" s="440" t="s">
        <v>1321</v>
      </c>
      <c r="E214" s="439" t="s">
        <v>814</v>
      </c>
      <c r="F214" s="441"/>
      <c r="G214" s="442">
        <v>94548.27</v>
      </c>
      <c r="H214" s="439" t="s">
        <v>251</v>
      </c>
      <c r="I214" s="443">
        <v>42628</v>
      </c>
      <c r="J214" s="443">
        <v>42724</v>
      </c>
      <c r="K214" s="753" t="s">
        <v>1312</v>
      </c>
      <c r="L214" s="444"/>
      <c r="M214" s="444"/>
      <c r="N214" s="439"/>
      <c r="O214" s="439"/>
      <c r="P214" s="445"/>
      <c r="Q214" s="9"/>
    </row>
    <row r="215" spans="1:17">
      <c r="A215" s="515" t="s">
        <v>1223</v>
      </c>
      <c r="B215" s="506" t="s">
        <v>69</v>
      </c>
      <c r="C215" s="506" t="s">
        <v>70</v>
      </c>
      <c r="D215" s="507" t="s">
        <v>1322</v>
      </c>
      <c r="E215" s="506" t="s">
        <v>814</v>
      </c>
      <c r="F215" s="508"/>
      <c r="G215" s="509">
        <v>469811</v>
      </c>
      <c r="H215" s="506" t="s">
        <v>251</v>
      </c>
      <c r="I215" s="510">
        <v>42628</v>
      </c>
      <c r="J215" s="510">
        <v>42724</v>
      </c>
      <c r="K215" s="514" t="s">
        <v>304</v>
      </c>
      <c r="L215" s="511"/>
      <c r="M215" s="511"/>
      <c r="N215" s="506"/>
      <c r="O215" s="506"/>
      <c r="P215" s="521"/>
      <c r="Q215" s="9"/>
    </row>
    <row r="216" spans="1:17">
      <c r="A216" s="728" t="s">
        <v>1223</v>
      </c>
      <c r="B216" s="540" t="s">
        <v>69</v>
      </c>
      <c r="C216" s="540" t="s">
        <v>70</v>
      </c>
      <c r="D216" s="541" t="s">
        <v>1323</v>
      </c>
      <c r="E216" s="540" t="s">
        <v>814</v>
      </c>
      <c r="F216" s="542"/>
      <c r="G216" s="543">
        <v>10106.16</v>
      </c>
      <c r="H216" s="540" t="s">
        <v>251</v>
      </c>
      <c r="I216" s="544">
        <v>42628</v>
      </c>
      <c r="J216" s="544">
        <v>42724</v>
      </c>
      <c r="K216" s="540" t="s">
        <v>1402</v>
      </c>
      <c r="L216" s="545">
        <v>9900.7999999999993</v>
      </c>
      <c r="M216" s="545">
        <f>L216*1.1</f>
        <v>10890.88</v>
      </c>
      <c r="N216" s="540"/>
      <c r="O216" s="540"/>
      <c r="P216" s="763" t="s">
        <v>856</v>
      </c>
      <c r="Q216" s="9"/>
    </row>
    <row r="217" spans="1:17">
      <c r="A217" s="728" t="s">
        <v>1223</v>
      </c>
      <c r="B217" s="540" t="s">
        <v>69</v>
      </c>
      <c r="C217" s="540" t="s">
        <v>70</v>
      </c>
      <c r="D217" s="541" t="s">
        <v>1324</v>
      </c>
      <c r="E217" s="540" t="s">
        <v>814</v>
      </c>
      <c r="F217" s="542"/>
      <c r="G217" s="543">
        <v>10209.6</v>
      </c>
      <c r="H217" s="540" t="s">
        <v>251</v>
      </c>
      <c r="I217" s="544">
        <v>42628</v>
      </c>
      <c r="J217" s="544">
        <v>42724</v>
      </c>
      <c r="K217" s="540" t="s">
        <v>1564</v>
      </c>
      <c r="L217" s="545">
        <v>9600</v>
      </c>
      <c r="M217" s="545">
        <f>L217*1.1</f>
        <v>10560</v>
      </c>
      <c r="N217" s="540"/>
      <c r="O217" s="540"/>
      <c r="P217" s="763" t="s">
        <v>856</v>
      </c>
      <c r="Q217" s="9"/>
    </row>
    <row r="218" spans="1:17">
      <c r="A218" s="728" t="s">
        <v>1223</v>
      </c>
      <c r="B218" s="540" t="s">
        <v>69</v>
      </c>
      <c r="C218" s="540" t="s">
        <v>70</v>
      </c>
      <c r="D218" s="541" t="s">
        <v>1325</v>
      </c>
      <c r="E218" s="540" t="s">
        <v>814</v>
      </c>
      <c r="F218" s="542"/>
      <c r="G218" s="543">
        <v>424787</v>
      </c>
      <c r="H218" s="540" t="s">
        <v>251</v>
      </c>
      <c r="I218" s="544">
        <v>42628</v>
      </c>
      <c r="J218" s="544">
        <v>42724</v>
      </c>
      <c r="K218" s="540" t="s">
        <v>1564</v>
      </c>
      <c r="L218" s="545">
        <v>343100</v>
      </c>
      <c r="M218" s="545">
        <f>L218*1.1</f>
        <v>377410.00000000006</v>
      </c>
      <c r="N218" s="540"/>
      <c r="O218" s="540"/>
      <c r="P218" s="763" t="s">
        <v>856</v>
      </c>
      <c r="Q218" s="9"/>
    </row>
    <row r="219" spans="1:17">
      <c r="A219" s="728" t="s">
        <v>1223</v>
      </c>
      <c r="B219" s="540" t="s">
        <v>69</v>
      </c>
      <c r="C219" s="540" t="s">
        <v>70</v>
      </c>
      <c r="D219" s="541" t="s">
        <v>1326</v>
      </c>
      <c r="E219" s="540" t="s">
        <v>814</v>
      </c>
      <c r="F219" s="542"/>
      <c r="G219" s="543">
        <v>578389.66</v>
      </c>
      <c r="H219" s="540" t="s">
        <v>251</v>
      </c>
      <c r="I219" s="544">
        <v>42628</v>
      </c>
      <c r="J219" s="544">
        <v>42724</v>
      </c>
      <c r="K219" s="540" t="s">
        <v>1233</v>
      </c>
      <c r="L219" s="545">
        <v>554307.64</v>
      </c>
      <c r="M219" s="545">
        <f>L219*1.1</f>
        <v>609738.4040000001</v>
      </c>
      <c r="N219" s="540"/>
      <c r="O219" s="540"/>
      <c r="P219" s="763" t="s">
        <v>856</v>
      </c>
      <c r="Q219" s="9"/>
    </row>
    <row r="220" spans="1:17">
      <c r="A220" s="515" t="s">
        <v>1223</v>
      </c>
      <c r="B220" s="506" t="s">
        <v>69</v>
      </c>
      <c r="C220" s="506" t="s">
        <v>70</v>
      </c>
      <c r="D220" s="507" t="s">
        <v>1327</v>
      </c>
      <c r="E220" s="506" t="s">
        <v>814</v>
      </c>
      <c r="F220" s="508"/>
      <c r="G220" s="509">
        <v>309207.7</v>
      </c>
      <c r="H220" s="506" t="s">
        <v>251</v>
      </c>
      <c r="I220" s="510">
        <v>42628</v>
      </c>
      <c r="J220" s="510">
        <v>42724</v>
      </c>
      <c r="K220" s="736" t="s">
        <v>1312</v>
      </c>
      <c r="L220" s="511"/>
      <c r="M220" s="511"/>
      <c r="N220" s="506"/>
      <c r="O220" s="506"/>
      <c r="P220" s="521"/>
      <c r="Q220" s="9"/>
    </row>
    <row r="221" spans="1:17">
      <c r="A221" s="728" t="s">
        <v>1223</v>
      </c>
      <c r="B221" s="540" t="s">
        <v>69</v>
      </c>
      <c r="C221" s="540" t="s">
        <v>70</v>
      </c>
      <c r="D221" s="541" t="s">
        <v>1328</v>
      </c>
      <c r="E221" s="540" t="s">
        <v>814</v>
      </c>
      <c r="F221" s="542"/>
      <c r="G221" s="543">
        <v>881921.09</v>
      </c>
      <c r="H221" s="540" t="s">
        <v>251</v>
      </c>
      <c r="I221" s="544">
        <v>42628</v>
      </c>
      <c r="J221" s="544">
        <v>42724</v>
      </c>
      <c r="K221" s="540" t="s">
        <v>1233</v>
      </c>
      <c r="L221" s="545">
        <v>880308</v>
      </c>
      <c r="M221" s="545">
        <f t="shared" ref="M221:M226" si="1">L221*1.1</f>
        <v>968338.8</v>
      </c>
      <c r="N221" s="540"/>
      <c r="O221" s="540"/>
      <c r="P221" s="763" t="s">
        <v>856</v>
      </c>
      <c r="Q221" s="9"/>
    </row>
    <row r="222" spans="1:17">
      <c r="A222" s="728" t="s">
        <v>1223</v>
      </c>
      <c r="B222" s="540" t="s">
        <v>69</v>
      </c>
      <c r="C222" s="540" t="s">
        <v>70</v>
      </c>
      <c r="D222" s="541" t="s">
        <v>1329</v>
      </c>
      <c r="E222" s="540" t="s">
        <v>814</v>
      </c>
      <c r="F222" s="542"/>
      <c r="G222" s="543">
        <v>444496</v>
      </c>
      <c r="H222" s="540" t="s">
        <v>251</v>
      </c>
      <c r="I222" s="544">
        <v>42628</v>
      </c>
      <c r="J222" s="544">
        <v>42724</v>
      </c>
      <c r="K222" s="540" t="s">
        <v>1233</v>
      </c>
      <c r="L222" s="545">
        <v>337816.96</v>
      </c>
      <c r="M222" s="545">
        <f t="shared" si="1"/>
        <v>371598.65600000008</v>
      </c>
      <c r="N222" s="540"/>
      <c r="O222" s="540"/>
      <c r="P222" s="763" t="s">
        <v>856</v>
      </c>
      <c r="Q222" s="9"/>
    </row>
    <row r="223" spans="1:17" ht="15.75" thickBot="1">
      <c r="A223" s="430" t="s">
        <v>1223</v>
      </c>
      <c r="B223" s="431" t="s">
        <v>69</v>
      </c>
      <c r="C223" s="431" t="s">
        <v>70</v>
      </c>
      <c r="D223" s="432" t="s">
        <v>1330</v>
      </c>
      <c r="E223" s="431" t="s">
        <v>814</v>
      </c>
      <c r="F223" s="433"/>
      <c r="G223" s="434">
        <v>377200</v>
      </c>
      <c r="H223" s="431" t="s">
        <v>251</v>
      </c>
      <c r="I223" s="435">
        <v>42628</v>
      </c>
      <c r="J223" s="435">
        <v>42724</v>
      </c>
      <c r="K223" s="431" t="s">
        <v>1402</v>
      </c>
      <c r="L223" s="436">
        <v>168296.8</v>
      </c>
      <c r="M223" s="436">
        <f t="shared" si="1"/>
        <v>185126.48</v>
      </c>
      <c r="N223" s="431"/>
      <c r="O223" s="431"/>
      <c r="P223" s="535" t="s">
        <v>856</v>
      </c>
      <c r="Q223" s="9"/>
    </row>
    <row r="224" spans="1:17" ht="15.75" thickTop="1">
      <c r="A224" s="424" t="s">
        <v>1224</v>
      </c>
      <c r="B224" s="425" t="s">
        <v>69</v>
      </c>
      <c r="C224" s="425" t="s">
        <v>70</v>
      </c>
      <c r="D224" s="426" t="s">
        <v>1331</v>
      </c>
      <c r="E224" s="425" t="s">
        <v>814</v>
      </c>
      <c r="F224" s="503"/>
      <c r="G224" s="427">
        <v>424760</v>
      </c>
      <c r="H224" s="425" t="s">
        <v>251</v>
      </c>
      <c r="I224" s="428">
        <v>42628</v>
      </c>
      <c r="J224" s="428">
        <v>42725</v>
      </c>
      <c r="K224" s="425" t="s">
        <v>1566</v>
      </c>
      <c r="L224" s="429">
        <v>365900.4</v>
      </c>
      <c r="M224" s="429">
        <f t="shared" si="1"/>
        <v>402490.44000000006</v>
      </c>
      <c r="N224" s="425"/>
      <c r="O224" s="425"/>
      <c r="P224" s="964" t="s">
        <v>856</v>
      </c>
      <c r="Q224" s="9"/>
    </row>
    <row r="225" spans="1:17">
      <c r="A225" s="836" t="s">
        <v>1224</v>
      </c>
      <c r="B225" s="423" t="s">
        <v>69</v>
      </c>
      <c r="C225" s="423" t="s">
        <v>70</v>
      </c>
      <c r="D225" s="837" t="s">
        <v>1332</v>
      </c>
      <c r="E225" s="423" t="s">
        <v>814</v>
      </c>
      <c r="F225" s="838"/>
      <c r="G225" s="839">
        <v>377402.6</v>
      </c>
      <c r="H225" s="540" t="s">
        <v>251</v>
      </c>
      <c r="I225" s="544">
        <v>42628</v>
      </c>
      <c r="J225" s="840">
        <v>42725</v>
      </c>
      <c r="K225" s="423" t="s">
        <v>1233</v>
      </c>
      <c r="L225" s="841">
        <v>348734</v>
      </c>
      <c r="M225" s="841">
        <f t="shared" si="1"/>
        <v>383607.4</v>
      </c>
      <c r="N225" s="423"/>
      <c r="O225" s="423"/>
      <c r="P225" s="965" t="s">
        <v>856</v>
      </c>
      <c r="Q225" s="9"/>
    </row>
    <row r="226" spans="1:17">
      <c r="A226" s="836" t="s">
        <v>1224</v>
      </c>
      <c r="B226" s="423" t="s">
        <v>69</v>
      </c>
      <c r="C226" s="423" t="s">
        <v>70</v>
      </c>
      <c r="D226" s="837" t="s">
        <v>1333</v>
      </c>
      <c r="E226" s="423" t="s">
        <v>814</v>
      </c>
      <c r="F226" s="838"/>
      <c r="G226" s="839">
        <v>189388.16</v>
      </c>
      <c r="H226" s="540" t="s">
        <v>251</v>
      </c>
      <c r="I226" s="544">
        <v>42628</v>
      </c>
      <c r="J226" s="840">
        <v>42725</v>
      </c>
      <c r="K226" s="423" t="s">
        <v>1402</v>
      </c>
      <c r="L226" s="841">
        <v>159460.48000000001</v>
      </c>
      <c r="M226" s="841">
        <f t="shared" si="1"/>
        <v>175406.52800000002</v>
      </c>
      <c r="N226" s="423"/>
      <c r="O226" s="423"/>
      <c r="P226" s="965" t="s">
        <v>856</v>
      </c>
      <c r="Q226" s="9"/>
    </row>
    <row r="227" spans="1:17">
      <c r="A227" s="744" t="s">
        <v>1224</v>
      </c>
      <c r="B227" s="466" t="s">
        <v>69</v>
      </c>
      <c r="C227" s="466" t="s">
        <v>70</v>
      </c>
      <c r="D227" s="467" t="s">
        <v>1334</v>
      </c>
      <c r="E227" s="466" t="s">
        <v>814</v>
      </c>
      <c r="F227" s="468"/>
      <c r="G227" s="469">
        <v>394713.2</v>
      </c>
      <c r="H227" s="506" t="s">
        <v>251</v>
      </c>
      <c r="I227" s="510">
        <v>42628</v>
      </c>
      <c r="J227" s="470">
        <v>42725</v>
      </c>
      <c r="K227" s="471" t="s">
        <v>1312</v>
      </c>
      <c r="L227" s="472"/>
      <c r="M227" s="472"/>
      <c r="N227" s="466"/>
      <c r="O227" s="466"/>
      <c r="P227" s="745"/>
      <c r="Q227" s="9"/>
    </row>
    <row r="228" spans="1:17">
      <c r="A228" s="744" t="s">
        <v>1224</v>
      </c>
      <c r="B228" s="466" t="s">
        <v>69</v>
      </c>
      <c r="C228" s="466" t="s">
        <v>70</v>
      </c>
      <c r="D228" s="467" t="s">
        <v>1335</v>
      </c>
      <c r="E228" s="466" t="s">
        <v>814</v>
      </c>
      <c r="F228" s="468"/>
      <c r="G228" s="469">
        <v>59064.6</v>
      </c>
      <c r="H228" s="506" t="s">
        <v>251</v>
      </c>
      <c r="I228" s="510">
        <v>42628</v>
      </c>
      <c r="J228" s="470">
        <v>42725</v>
      </c>
      <c r="K228" s="471" t="s">
        <v>1312</v>
      </c>
      <c r="L228" s="472"/>
      <c r="M228" s="472"/>
      <c r="N228" s="466"/>
      <c r="O228" s="466"/>
      <c r="P228" s="745"/>
      <c r="Q228" s="9"/>
    </row>
    <row r="229" spans="1:17">
      <c r="A229" s="836" t="s">
        <v>1224</v>
      </c>
      <c r="B229" s="423" t="s">
        <v>69</v>
      </c>
      <c r="C229" s="423" t="s">
        <v>70</v>
      </c>
      <c r="D229" s="837" t="s">
        <v>1336</v>
      </c>
      <c r="E229" s="423" t="s">
        <v>814</v>
      </c>
      <c r="F229" s="838"/>
      <c r="G229" s="839">
        <v>74704.75</v>
      </c>
      <c r="H229" s="540" t="s">
        <v>251</v>
      </c>
      <c r="I229" s="544">
        <v>42628</v>
      </c>
      <c r="J229" s="840">
        <v>42725</v>
      </c>
      <c r="K229" s="423" t="s">
        <v>1233</v>
      </c>
      <c r="L229" s="841">
        <v>43111.199999999997</v>
      </c>
      <c r="M229" s="841">
        <f>L229*1.1</f>
        <v>47422.32</v>
      </c>
      <c r="N229" s="423"/>
      <c r="O229" s="423"/>
      <c r="P229" s="965" t="s">
        <v>856</v>
      </c>
      <c r="Q229" s="9"/>
    </row>
    <row r="230" spans="1:17">
      <c r="A230" s="836" t="s">
        <v>1224</v>
      </c>
      <c r="B230" s="423" t="s">
        <v>69</v>
      </c>
      <c r="C230" s="423" t="s">
        <v>70</v>
      </c>
      <c r="D230" s="837" t="s">
        <v>1337</v>
      </c>
      <c r="E230" s="423" t="s">
        <v>814</v>
      </c>
      <c r="F230" s="838"/>
      <c r="G230" s="839">
        <v>43588.92</v>
      </c>
      <c r="H230" s="540" t="s">
        <v>251</v>
      </c>
      <c r="I230" s="544">
        <v>42628</v>
      </c>
      <c r="J230" s="840">
        <v>42725</v>
      </c>
      <c r="K230" s="423" t="s">
        <v>576</v>
      </c>
      <c r="L230" s="841">
        <v>40743.74</v>
      </c>
      <c r="M230" s="841">
        <f>L230*1.1</f>
        <v>44818.114000000001</v>
      </c>
      <c r="N230" s="423"/>
      <c r="O230" s="423"/>
      <c r="P230" s="965" t="s">
        <v>856</v>
      </c>
      <c r="Q230" s="9"/>
    </row>
    <row r="231" spans="1:17" ht="15.75" thickBot="1">
      <c r="A231" s="842" t="s">
        <v>1224</v>
      </c>
      <c r="B231" s="843" t="s">
        <v>69</v>
      </c>
      <c r="C231" s="843" t="s">
        <v>70</v>
      </c>
      <c r="D231" s="844" t="s">
        <v>1338</v>
      </c>
      <c r="E231" s="843" t="s">
        <v>814</v>
      </c>
      <c r="F231" s="845"/>
      <c r="G231" s="846">
        <v>117510.07</v>
      </c>
      <c r="H231" s="483" t="s">
        <v>251</v>
      </c>
      <c r="I231" s="487">
        <v>42628</v>
      </c>
      <c r="J231" s="847">
        <v>42725</v>
      </c>
      <c r="K231" s="850" t="s">
        <v>304</v>
      </c>
      <c r="L231" s="848"/>
      <c r="M231" s="848"/>
      <c r="N231" s="843"/>
      <c r="O231" s="843"/>
      <c r="P231" s="849"/>
      <c r="Q231" s="9"/>
    </row>
    <row r="232" spans="1:17" ht="15.75" thickTop="1">
      <c r="A232" s="582" t="s">
        <v>1225</v>
      </c>
      <c r="B232" s="583" t="s">
        <v>69</v>
      </c>
      <c r="C232" s="583" t="s">
        <v>70</v>
      </c>
      <c r="D232" s="584" t="s">
        <v>1339</v>
      </c>
      <c r="E232" s="583" t="s">
        <v>814</v>
      </c>
      <c r="F232" s="585"/>
      <c r="G232" s="586">
        <v>7791989.4000000004</v>
      </c>
      <c r="H232" s="583" t="s">
        <v>251</v>
      </c>
      <c r="I232" s="587" t="s">
        <v>1350</v>
      </c>
      <c r="J232" s="587">
        <v>42744</v>
      </c>
      <c r="K232" s="583"/>
      <c r="L232" s="588"/>
      <c r="M232" s="588"/>
      <c r="N232" s="583"/>
      <c r="O232" s="583"/>
      <c r="P232" s="808" t="s">
        <v>856</v>
      </c>
      <c r="Q232" s="9"/>
    </row>
    <row r="233" spans="1:17">
      <c r="A233" s="603" t="s">
        <v>1225</v>
      </c>
      <c r="B233" s="576" t="s">
        <v>69</v>
      </c>
      <c r="C233" s="576" t="s">
        <v>70</v>
      </c>
      <c r="D233" s="591" t="s">
        <v>1340</v>
      </c>
      <c r="E233" s="576" t="s">
        <v>814</v>
      </c>
      <c r="F233" s="578"/>
      <c r="G233" s="579">
        <v>427.86</v>
      </c>
      <c r="H233" s="576" t="s">
        <v>251</v>
      </c>
      <c r="I233" s="580" t="s">
        <v>1350</v>
      </c>
      <c r="J233" s="580">
        <v>42744</v>
      </c>
      <c r="K233" s="576"/>
      <c r="L233" s="581"/>
      <c r="M233" s="581"/>
      <c r="N233" s="576"/>
      <c r="O233" s="576"/>
      <c r="P233" s="851" t="s">
        <v>856</v>
      </c>
      <c r="Q233" s="9"/>
    </row>
    <row r="234" spans="1:17">
      <c r="A234" s="603" t="s">
        <v>1225</v>
      </c>
      <c r="B234" s="576" t="s">
        <v>69</v>
      </c>
      <c r="C234" s="576" t="s">
        <v>70</v>
      </c>
      <c r="D234" s="591" t="s">
        <v>1341</v>
      </c>
      <c r="E234" s="576" t="s">
        <v>814</v>
      </c>
      <c r="F234" s="578"/>
      <c r="G234" s="579">
        <v>154680.66</v>
      </c>
      <c r="H234" s="576" t="s">
        <v>251</v>
      </c>
      <c r="I234" s="580" t="s">
        <v>1350</v>
      </c>
      <c r="J234" s="580">
        <v>42744</v>
      </c>
      <c r="K234" s="576"/>
      <c r="L234" s="581"/>
      <c r="M234" s="581"/>
      <c r="N234" s="576"/>
      <c r="O234" s="576"/>
      <c r="P234" s="851" t="s">
        <v>856</v>
      </c>
      <c r="Q234" s="9"/>
    </row>
    <row r="235" spans="1:17">
      <c r="A235" s="603" t="s">
        <v>1225</v>
      </c>
      <c r="B235" s="576" t="s">
        <v>69</v>
      </c>
      <c r="C235" s="576" t="s">
        <v>70</v>
      </c>
      <c r="D235" s="591" t="s">
        <v>1342</v>
      </c>
      <c r="E235" s="576" t="s">
        <v>814</v>
      </c>
      <c r="F235" s="578"/>
      <c r="G235" s="579">
        <v>125572.64</v>
      </c>
      <c r="H235" s="576" t="s">
        <v>251</v>
      </c>
      <c r="I235" s="580" t="s">
        <v>1350</v>
      </c>
      <c r="J235" s="580">
        <v>42744</v>
      </c>
      <c r="K235" s="576"/>
      <c r="L235" s="581"/>
      <c r="M235" s="581"/>
      <c r="N235" s="576"/>
      <c r="O235" s="576"/>
      <c r="P235" s="851" t="s">
        <v>856</v>
      </c>
      <c r="Q235" s="9"/>
    </row>
    <row r="236" spans="1:17">
      <c r="A236" s="603" t="s">
        <v>1225</v>
      </c>
      <c r="B236" s="576" t="s">
        <v>69</v>
      </c>
      <c r="C236" s="576" t="s">
        <v>70</v>
      </c>
      <c r="D236" s="591" t="s">
        <v>1343</v>
      </c>
      <c r="E236" s="576" t="s">
        <v>814</v>
      </c>
      <c r="F236" s="578"/>
      <c r="G236" s="579">
        <v>44000</v>
      </c>
      <c r="H236" s="576" t="s">
        <v>251</v>
      </c>
      <c r="I236" s="580" t="s">
        <v>1350</v>
      </c>
      <c r="J236" s="580">
        <v>42744</v>
      </c>
      <c r="K236" s="576"/>
      <c r="L236" s="581"/>
      <c r="M236" s="581"/>
      <c r="N236" s="576"/>
      <c r="O236" s="576"/>
      <c r="P236" s="851" t="s">
        <v>856</v>
      </c>
      <c r="Q236" s="9"/>
    </row>
    <row r="237" spans="1:17">
      <c r="A237" s="603" t="s">
        <v>1225</v>
      </c>
      <c r="B237" s="576" t="s">
        <v>69</v>
      </c>
      <c r="C237" s="576" t="s">
        <v>70</v>
      </c>
      <c r="D237" s="591" t="s">
        <v>1344</v>
      </c>
      <c r="E237" s="576" t="s">
        <v>814</v>
      </c>
      <c r="F237" s="578"/>
      <c r="G237" s="579">
        <v>8161.78</v>
      </c>
      <c r="H237" s="576" t="s">
        <v>251</v>
      </c>
      <c r="I237" s="580" t="s">
        <v>1350</v>
      </c>
      <c r="J237" s="580">
        <v>42744</v>
      </c>
      <c r="K237" s="576"/>
      <c r="L237" s="581"/>
      <c r="M237" s="581"/>
      <c r="N237" s="576"/>
      <c r="O237" s="576"/>
      <c r="P237" s="851" t="s">
        <v>856</v>
      </c>
      <c r="Q237" s="9"/>
    </row>
    <row r="238" spans="1:17">
      <c r="A238" s="603" t="s">
        <v>1225</v>
      </c>
      <c r="B238" s="576" t="s">
        <v>69</v>
      </c>
      <c r="C238" s="576" t="s">
        <v>70</v>
      </c>
      <c r="D238" s="591" t="s">
        <v>1345</v>
      </c>
      <c r="E238" s="576" t="s">
        <v>814</v>
      </c>
      <c r="F238" s="578"/>
      <c r="G238" s="579">
        <v>10120</v>
      </c>
      <c r="H238" s="576" t="s">
        <v>251</v>
      </c>
      <c r="I238" s="580" t="s">
        <v>1350</v>
      </c>
      <c r="J238" s="580">
        <v>42744</v>
      </c>
      <c r="K238" s="576"/>
      <c r="L238" s="581"/>
      <c r="M238" s="581"/>
      <c r="N238" s="576"/>
      <c r="O238" s="576"/>
      <c r="P238" s="851" t="s">
        <v>856</v>
      </c>
      <c r="Q238" s="9"/>
    </row>
    <row r="239" spans="1:17">
      <c r="A239" s="603" t="s">
        <v>1225</v>
      </c>
      <c r="B239" s="576" t="s">
        <v>69</v>
      </c>
      <c r="C239" s="576" t="s">
        <v>70</v>
      </c>
      <c r="D239" s="591" t="s">
        <v>1346</v>
      </c>
      <c r="E239" s="576" t="s">
        <v>814</v>
      </c>
      <c r="F239" s="578"/>
      <c r="G239" s="579">
        <v>112926</v>
      </c>
      <c r="H239" s="576" t="s">
        <v>251</v>
      </c>
      <c r="I239" s="580" t="s">
        <v>1350</v>
      </c>
      <c r="J239" s="580">
        <v>42744</v>
      </c>
      <c r="K239" s="576"/>
      <c r="L239" s="581"/>
      <c r="M239" s="581"/>
      <c r="N239" s="576"/>
      <c r="O239" s="576"/>
      <c r="P239" s="851" t="s">
        <v>856</v>
      </c>
      <c r="Q239" s="9"/>
    </row>
    <row r="240" spans="1:17">
      <c r="A240" s="603" t="s">
        <v>1225</v>
      </c>
      <c r="B240" s="576" t="s">
        <v>69</v>
      </c>
      <c r="C240" s="576" t="s">
        <v>70</v>
      </c>
      <c r="D240" s="591" t="s">
        <v>1347</v>
      </c>
      <c r="E240" s="576" t="s">
        <v>814</v>
      </c>
      <c r="F240" s="578"/>
      <c r="G240" s="579">
        <v>328860.98</v>
      </c>
      <c r="H240" s="576" t="s">
        <v>251</v>
      </c>
      <c r="I240" s="580" t="s">
        <v>1350</v>
      </c>
      <c r="J240" s="580">
        <v>42744</v>
      </c>
      <c r="K240" s="576"/>
      <c r="L240" s="581"/>
      <c r="M240" s="581"/>
      <c r="N240" s="576"/>
      <c r="O240" s="576"/>
      <c r="P240" s="851" t="s">
        <v>856</v>
      </c>
      <c r="Q240" s="9"/>
    </row>
    <row r="241" spans="1:17">
      <c r="A241" s="603" t="s">
        <v>1225</v>
      </c>
      <c r="B241" s="576" t="s">
        <v>69</v>
      </c>
      <c r="C241" s="576" t="s">
        <v>70</v>
      </c>
      <c r="D241" s="591" t="s">
        <v>1348</v>
      </c>
      <c r="E241" s="576" t="s">
        <v>814</v>
      </c>
      <c r="F241" s="578"/>
      <c r="G241" s="579">
        <v>1862631</v>
      </c>
      <c r="H241" s="576" t="s">
        <v>251</v>
      </c>
      <c r="I241" s="580" t="s">
        <v>1350</v>
      </c>
      <c r="J241" s="580">
        <v>42744</v>
      </c>
      <c r="K241" s="576"/>
      <c r="L241" s="581"/>
      <c r="M241" s="581"/>
      <c r="N241" s="576"/>
      <c r="O241" s="576"/>
      <c r="P241" s="851" t="s">
        <v>856</v>
      </c>
      <c r="Q241" s="9"/>
    </row>
    <row r="242" spans="1:17" ht="15.75" thickBot="1">
      <c r="A242" s="596" t="s">
        <v>1225</v>
      </c>
      <c r="B242" s="597" t="s">
        <v>69</v>
      </c>
      <c r="C242" s="597" t="s">
        <v>70</v>
      </c>
      <c r="D242" s="598" t="s">
        <v>1349</v>
      </c>
      <c r="E242" s="597" t="s">
        <v>814</v>
      </c>
      <c r="F242" s="599"/>
      <c r="G242" s="600">
        <v>2349480</v>
      </c>
      <c r="H242" s="597" t="s">
        <v>251</v>
      </c>
      <c r="I242" s="601">
        <v>42628</v>
      </c>
      <c r="J242" s="601">
        <v>42744</v>
      </c>
      <c r="K242" s="597"/>
      <c r="L242" s="602"/>
      <c r="M242" s="602"/>
      <c r="N242" s="597"/>
      <c r="O242" s="597"/>
      <c r="P242" s="762" t="s">
        <v>856</v>
      </c>
      <c r="Q242" s="9"/>
    </row>
    <row r="243" spans="1:17" ht="15.75" thickTop="1">
      <c r="A243" s="660" t="s">
        <v>1241</v>
      </c>
      <c r="B243" s="773" t="s">
        <v>58</v>
      </c>
      <c r="C243" s="773" t="s">
        <v>55</v>
      </c>
      <c r="D243" s="175" t="s">
        <v>1408</v>
      </c>
      <c r="E243" s="773" t="s">
        <v>792</v>
      </c>
      <c r="F243" s="419" t="s">
        <v>1410</v>
      </c>
      <c r="G243" s="127">
        <v>250000</v>
      </c>
      <c r="H243" s="773" t="s">
        <v>112</v>
      </c>
      <c r="I243" s="365">
        <v>42640</v>
      </c>
      <c r="J243" s="365">
        <v>42649</v>
      </c>
      <c r="K243" s="773" t="s">
        <v>1153</v>
      </c>
      <c r="L243" s="364">
        <v>233767.8</v>
      </c>
      <c r="M243" s="364">
        <v>282859.03999999998</v>
      </c>
      <c r="N243" s="365">
        <v>42704</v>
      </c>
      <c r="O243" s="365">
        <v>42712</v>
      </c>
      <c r="P243" s="834">
        <v>42786</v>
      </c>
      <c r="Q243" s="1203" t="s">
        <v>1649</v>
      </c>
    </row>
    <row r="244" spans="1:17">
      <c r="A244" s="660" t="s">
        <v>1241</v>
      </c>
      <c r="B244" s="795" t="s">
        <v>58</v>
      </c>
      <c r="C244" s="795" t="s">
        <v>55</v>
      </c>
      <c r="D244" s="175" t="s">
        <v>1409</v>
      </c>
      <c r="E244" s="795" t="s">
        <v>792</v>
      </c>
      <c r="F244" s="419" t="s">
        <v>1411</v>
      </c>
      <c r="G244" s="127">
        <v>620000</v>
      </c>
      <c r="H244" s="795" t="s">
        <v>112</v>
      </c>
      <c r="I244" s="365">
        <v>42640</v>
      </c>
      <c r="J244" s="365">
        <v>42649</v>
      </c>
      <c r="K244" s="795" t="s">
        <v>1479</v>
      </c>
      <c r="L244" s="364">
        <v>428400</v>
      </c>
      <c r="M244" s="364">
        <f>L244*1.21</f>
        <v>518364</v>
      </c>
      <c r="N244" s="365">
        <v>42716</v>
      </c>
      <c r="O244" s="365">
        <v>42717</v>
      </c>
      <c r="P244" s="834">
        <v>42857</v>
      </c>
      <c r="Q244" s="1203" t="s">
        <v>1649</v>
      </c>
    </row>
    <row r="245" spans="1:17">
      <c r="A245" s="515" t="s">
        <v>1242</v>
      </c>
      <c r="B245" s="506" t="s">
        <v>1503</v>
      </c>
      <c r="C245" s="506" t="s">
        <v>918</v>
      </c>
      <c r="D245" s="507" t="s">
        <v>1243</v>
      </c>
      <c r="E245" s="506" t="s">
        <v>1244</v>
      </c>
      <c r="F245" s="508"/>
      <c r="G245" s="509">
        <v>1920000</v>
      </c>
      <c r="H245" s="506" t="s">
        <v>112</v>
      </c>
      <c r="I245" s="510">
        <v>42606</v>
      </c>
      <c r="J245" s="510">
        <v>42619</v>
      </c>
      <c r="K245" s="506" t="s">
        <v>242</v>
      </c>
      <c r="L245" s="511"/>
      <c r="M245" s="511"/>
      <c r="N245" s="506"/>
      <c r="O245" s="506"/>
      <c r="P245" s="521" t="s">
        <v>239</v>
      </c>
      <c r="Q245" s="9"/>
    </row>
    <row r="246" spans="1:17" ht="15.75" thickBot="1">
      <c r="A246" s="966" t="s">
        <v>1245</v>
      </c>
      <c r="B246" s="967" t="s">
        <v>58</v>
      </c>
      <c r="C246" s="967" t="s">
        <v>57</v>
      </c>
      <c r="D246" s="968" t="s">
        <v>1246</v>
      </c>
      <c r="E246" s="967" t="s">
        <v>790</v>
      </c>
      <c r="F246" s="969" t="s">
        <v>1265</v>
      </c>
      <c r="G246" s="970">
        <v>170000</v>
      </c>
      <c r="H246" s="967" t="s">
        <v>112</v>
      </c>
      <c r="I246" s="967"/>
      <c r="J246" s="967"/>
      <c r="K246" s="967"/>
      <c r="L246" s="971"/>
      <c r="M246" s="971"/>
      <c r="N246" s="967"/>
      <c r="O246" s="967"/>
      <c r="P246" s="972"/>
      <c r="Q246" s="9"/>
    </row>
    <row r="247" spans="1:17" ht="15.75" thickTop="1">
      <c r="A247" s="424" t="s">
        <v>1247</v>
      </c>
      <c r="B247" s="425" t="s">
        <v>1248</v>
      </c>
      <c r="C247" s="425" t="s">
        <v>1249</v>
      </c>
      <c r="D247" s="426" t="s">
        <v>1556</v>
      </c>
      <c r="E247" s="425" t="s">
        <v>1252</v>
      </c>
      <c r="F247" s="503"/>
      <c r="G247" s="427">
        <v>12000000</v>
      </c>
      <c r="H247" s="425" t="s">
        <v>251</v>
      </c>
      <c r="I247" s="428">
        <v>42606</v>
      </c>
      <c r="J247" s="428">
        <v>42724</v>
      </c>
      <c r="K247" s="425" t="s">
        <v>1561</v>
      </c>
      <c r="L247" s="429">
        <v>8282512</v>
      </c>
      <c r="M247" s="429">
        <v>8282512</v>
      </c>
      <c r="N247" s="425"/>
      <c r="O247" s="425"/>
      <c r="P247" s="964"/>
      <c r="Q247" s="9"/>
    </row>
    <row r="248" spans="1:17">
      <c r="A248" s="728" t="s">
        <v>1247</v>
      </c>
      <c r="B248" s="540" t="s">
        <v>1248</v>
      </c>
      <c r="C248" s="540" t="s">
        <v>1249</v>
      </c>
      <c r="D248" s="541" t="s">
        <v>1558</v>
      </c>
      <c r="E248" s="540" t="s">
        <v>1557</v>
      </c>
      <c r="F248" s="542"/>
      <c r="G248" s="543">
        <v>4000000</v>
      </c>
      <c r="H248" s="540" t="s">
        <v>251</v>
      </c>
      <c r="I248" s="544">
        <v>42606</v>
      </c>
      <c r="J248" s="544">
        <v>42724</v>
      </c>
      <c r="K248" s="540" t="s">
        <v>1561</v>
      </c>
      <c r="L248" s="545">
        <v>509044</v>
      </c>
      <c r="M248" s="545">
        <v>509044</v>
      </c>
      <c r="N248" s="540"/>
      <c r="O248" s="540"/>
      <c r="P248" s="763"/>
      <c r="Q248" s="9"/>
    </row>
    <row r="249" spans="1:17" ht="15.75" thickBot="1">
      <c r="A249" s="430" t="s">
        <v>1247</v>
      </c>
      <c r="B249" s="431" t="s">
        <v>1248</v>
      </c>
      <c r="C249" s="431" t="s">
        <v>1249</v>
      </c>
      <c r="D249" s="432" t="s">
        <v>1559</v>
      </c>
      <c r="E249" s="431" t="s">
        <v>1560</v>
      </c>
      <c r="F249" s="433"/>
      <c r="G249" s="434">
        <v>8000000</v>
      </c>
      <c r="H249" s="431" t="s">
        <v>251</v>
      </c>
      <c r="I249" s="435">
        <v>42606</v>
      </c>
      <c r="J249" s="435">
        <v>42724</v>
      </c>
      <c r="K249" s="431" t="s">
        <v>1562</v>
      </c>
      <c r="L249" s="436">
        <v>698534</v>
      </c>
      <c r="M249" s="436">
        <v>698534</v>
      </c>
      <c r="N249" s="431"/>
      <c r="O249" s="431"/>
      <c r="P249" s="535"/>
      <c r="Q249" s="9"/>
    </row>
    <row r="250" spans="1:17" ht="15.75" thickTop="1">
      <c r="A250" s="605" t="s">
        <v>1251</v>
      </c>
      <c r="B250" s="605" t="s">
        <v>166</v>
      </c>
      <c r="C250" s="605" t="s">
        <v>167</v>
      </c>
      <c r="D250" s="175" t="s">
        <v>1250</v>
      </c>
      <c r="E250" s="605" t="s">
        <v>1255</v>
      </c>
      <c r="F250" s="419" t="s">
        <v>1256</v>
      </c>
      <c r="G250" s="127">
        <v>4390000</v>
      </c>
      <c r="H250" s="605" t="s">
        <v>112</v>
      </c>
      <c r="I250" s="365">
        <v>42606</v>
      </c>
      <c r="J250" s="365">
        <v>42621</v>
      </c>
      <c r="K250" s="605" t="s">
        <v>1314</v>
      </c>
      <c r="L250" s="364">
        <v>2862669.63</v>
      </c>
      <c r="M250" s="364">
        <v>3463830.25</v>
      </c>
      <c r="N250" s="365">
        <v>42635</v>
      </c>
      <c r="O250" s="365">
        <v>42640</v>
      </c>
      <c r="P250" s="605" t="s">
        <v>239</v>
      </c>
    </row>
    <row r="251" spans="1:17" ht="15.75" thickBot="1">
      <c r="A251" s="411" t="s">
        <v>1257</v>
      </c>
      <c r="B251" s="411" t="s">
        <v>52</v>
      </c>
      <c r="C251" s="411" t="s">
        <v>227</v>
      </c>
      <c r="D251" s="412" t="s">
        <v>1258</v>
      </c>
      <c r="E251" s="411"/>
      <c r="F251" s="414"/>
      <c r="G251" s="415">
        <v>4950000</v>
      </c>
      <c r="H251" s="411" t="s">
        <v>112</v>
      </c>
      <c r="I251" s="416">
        <v>42606</v>
      </c>
      <c r="J251" s="416">
        <v>42615</v>
      </c>
      <c r="K251" s="411" t="s">
        <v>707</v>
      </c>
      <c r="L251" s="417">
        <v>3420092.67</v>
      </c>
      <c r="M251" s="417">
        <f>L251*1.21</f>
        <v>4138312.1306999996</v>
      </c>
      <c r="N251" s="416">
        <v>42627</v>
      </c>
      <c r="O251" s="416">
        <v>42642</v>
      </c>
      <c r="P251" s="411" t="s">
        <v>239</v>
      </c>
    </row>
    <row r="252" spans="1:17" ht="15.75" thickTop="1">
      <c r="A252" s="424" t="s">
        <v>1259</v>
      </c>
      <c r="B252" s="425" t="s">
        <v>14</v>
      </c>
      <c r="C252" s="425" t="s">
        <v>13</v>
      </c>
      <c r="D252" s="426" t="s">
        <v>1260</v>
      </c>
      <c r="E252" s="425" t="s">
        <v>563</v>
      </c>
      <c r="F252" s="503" t="s">
        <v>763</v>
      </c>
      <c r="G252" s="427">
        <v>3245000</v>
      </c>
      <c r="H252" s="425" t="s">
        <v>235</v>
      </c>
      <c r="I252" s="428">
        <v>42606</v>
      </c>
      <c r="J252" s="428">
        <v>42667</v>
      </c>
      <c r="K252" s="425" t="s">
        <v>1074</v>
      </c>
      <c r="L252" s="429">
        <v>3349098</v>
      </c>
      <c r="M252" s="429">
        <v>4052408.58</v>
      </c>
      <c r="N252" s="425"/>
      <c r="O252" s="425"/>
      <c r="P252" s="964"/>
      <c r="Q252" s="9"/>
    </row>
    <row r="253" spans="1:17" ht="15.75" thickBot="1">
      <c r="A253" s="954" t="s">
        <v>1261</v>
      </c>
      <c r="B253" s="955" t="s">
        <v>58</v>
      </c>
      <c r="C253" s="955" t="s">
        <v>57</v>
      </c>
      <c r="D253" s="956" t="s">
        <v>1262</v>
      </c>
      <c r="E253" s="955" t="s">
        <v>1263</v>
      </c>
      <c r="F253" s="973" t="s">
        <v>1264</v>
      </c>
      <c r="G253" s="974">
        <v>3200000</v>
      </c>
      <c r="H253" s="955" t="s">
        <v>216</v>
      </c>
      <c r="I253" s="955"/>
      <c r="J253" s="955"/>
      <c r="K253" s="955"/>
      <c r="L253" s="960"/>
      <c r="M253" s="960"/>
      <c r="N253" s="955"/>
      <c r="O253" s="955"/>
      <c r="P253" s="953"/>
      <c r="Q253" s="9"/>
    </row>
    <row r="254" spans="1:17" ht="15.75" thickTop="1">
      <c r="A254" s="605" t="s">
        <v>1266</v>
      </c>
      <c r="B254" s="605" t="s">
        <v>58</v>
      </c>
      <c r="C254" s="605" t="s">
        <v>57</v>
      </c>
      <c r="D254" s="175" t="s">
        <v>1267</v>
      </c>
      <c r="E254" s="605" t="s">
        <v>77</v>
      </c>
      <c r="F254" s="419" t="s">
        <v>784</v>
      </c>
      <c r="G254" s="127">
        <v>580000</v>
      </c>
      <c r="H254" s="605" t="s">
        <v>112</v>
      </c>
      <c r="I254" s="365">
        <v>42612</v>
      </c>
      <c r="J254" s="365">
        <v>42620</v>
      </c>
      <c r="K254" s="605" t="s">
        <v>803</v>
      </c>
      <c r="L254" s="364">
        <v>1106000</v>
      </c>
      <c r="M254" s="364">
        <v>1338260</v>
      </c>
      <c r="N254" s="365">
        <v>42660</v>
      </c>
      <c r="O254" s="365">
        <v>42661</v>
      </c>
      <c r="P254" s="605" t="s">
        <v>239</v>
      </c>
    </row>
    <row r="255" spans="1:17" ht="15.75" thickBot="1">
      <c r="A255" s="411" t="s">
        <v>1269</v>
      </c>
      <c r="B255" s="411" t="s">
        <v>14</v>
      </c>
      <c r="C255" s="411" t="s">
        <v>13</v>
      </c>
      <c r="D255" s="412" t="s">
        <v>1270</v>
      </c>
      <c r="E255" s="411" t="s">
        <v>29</v>
      </c>
      <c r="F255" s="414"/>
      <c r="G255" s="415">
        <v>99200</v>
      </c>
      <c r="H255" s="411" t="s">
        <v>235</v>
      </c>
      <c r="I255" s="416">
        <v>42607</v>
      </c>
      <c r="J255" s="416">
        <v>42634</v>
      </c>
      <c r="K255" s="411" t="s">
        <v>25</v>
      </c>
      <c r="L255" s="417">
        <v>93300</v>
      </c>
      <c r="M255" s="417">
        <v>112893</v>
      </c>
      <c r="N255" s="416">
        <v>42663</v>
      </c>
      <c r="O255" s="416">
        <v>42669</v>
      </c>
      <c r="P255" s="498">
        <v>42800</v>
      </c>
    </row>
    <row r="256" spans="1:17" ht="15.75" thickTop="1">
      <c r="A256" s="452" t="s">
        <v>1271</v>
      </c>
      <c r="B256" s="453" t="s">
        <v>58</v>
      </c>
      <c r="C256" s="453" t="s">
        <v>57</v>
      </c>
      <c r="D256" s="473" t="s">
        <v>1272</v>
      </c>
      <c r="E256" s="453" t="s">
        <v>780</v>
      </c>
      <c r="F256" s="454"/>
      <c r="G256" s="455">
        <v>800000</v>
      </c>
      <c r="H256" s="453" t="s">
        <v>112</v>
      </c>
      <c r="I256" s="474">
        <v>42625</v>
      </c>
      <c r="J256" s="474">
        <v>42634</v>
      </c>
      <c r="K256" s="453" t="s">
        <v>1399</v>
      </c>
      <c r="L256" s="457">
        <v>1052648</v>
      </c>
      <c r="M256" s="457">
        <v>1273704.08</v>
      </c>
      <c r="N256" s="474">
        <v>42704</v>
      </c>
      <c r="O256" s="474">
        <v>42710</v>
      </c>
      <c r="P256" s="575">
        <v>42800</v>
      </c>
      <c r="Q256" s="1203" t="s">
        <v>1649</v>
      </c>
    </row>
    <row r="257" spans="1:17" ht="15.75" thickBot="1">
      <c r="A257" s="446" t="s">
        <v>1271</v>
      </c>
      <c r="B257" s="447" t="s">
        <v>58</v>
      </c>
      <c r="C257" s="447" t="s">
        <v>57</v>
      </c>
      <c r="D257" s="476" t="s">
        <v>1273</v>
      </c>
      <c r="E257" s="447" t="s">
        <v>780</v>
      </c>
      <c r="F257" s="448"/>
      <c r="G257" s="449">
        <v>520000</v>
      </c>
      <c r="H257" s="447" t="s">
        <v>112</v>
      </c>
      <c r="I257" s="477">
        <v>42625</v>
      </c>
      <c r="J257" s="477">
        <v>42634</v>
      </c>
      <c r="K257" s="447" t="s">
        <v>1399</v>
      </c>
      <c r="L257" s="450">
        <v>657669</v>
      </c>
      <c r="M257" s="450">
        <v>795779.49</v>
      </c>
      <c r="N257" s="477">
        <v>42704</v>
      </c>
      <c r="O257" s="477">
        <v>42710</v>
      </c>
      <c r="P257" s="868">
        <v>42800</v>
      </c>
      <c r="Q257" s="1203" t="s">
        <v>1649</v>
      </c>
    </row>
    <row r="258" spans="1:17" ht="15.75" thickTop="1">
      <c r="A258" s="546" t="s">
        <v>1275</v>
      </c>
      <c r="B258" s="546" t="s">
        <v>52</v>
      </c>
      <c r="C258" s="546" t="s">
        <v>227</v>
      </c>
      <c r="D258" s="175" t="s">
        <v>1276</v>
      </c>
      <c r="E258" s="605" t="s">
        <v>1274</v>
      </c>
      <c r="F258" s="419" t="s">
        <v>817</v>
      </c>
      <c r="G258" s="127">
        <v>540000</v>
      </c>
      <c r="H258" s="546" t="s">
        <v>112</v>
      </c>
      <c r="I258" s="365">
        <v>42611</v>
      </c>
      <c r="J258" s="365">
        <v>42615</v>
      </c>
      <c r="K258" s="363" t="s">
        <v>1388</v>
      </c>
      <c r="L258" s="364">
        <v>580000</v>
      </c>
      <c r="M258" s="364">
        <f>L258*1.21</f>
        <v>701800</v>
      </c>
      <c r="N258" s="365">
        <v>42653</v>
      </c>
      <c r="O258" s="365">
        <v>42660</v>
      </c>
      <c r="P258" s="546" t="s">
        <v>239</v>
      </c>
    </row>
    <row r="259" spans="1:17">
      <c r="A259" s="31" t="s">
        <v>1277</v>
      </c>
      <c r="B259" s="31" t="s">
        <v>894</v>
      </c>
      <c r="C259" s="31" t="s">
        <v>361</v>
      </c>
      <c r="D259" s="36" t="s">
        <v>1278</v>
      </c>
      <c r="E259" s="31" t="s">
        <v>1293</v>
      </c>
      <c r="F259" s="67"/>
      <c r="G259" s="29">
        <v>990000</v>
      </c>
      <c r="H259" s="31" t="s">
        <v>112</v>
      </c>
      <c r="I259" s="90">
        <v>42613</v>
      </c>
      <c r="J259" s="90">
        <v>42622</v>
      </c>
      <c r="K259" s="31" t="s">
        <v>1365</v>
      </c>
      <c r="L259" s="40">
        <v>658923</v>
      </c>
      <c r="M259" s="40">
        <f>L259*1.21</f>
        <v>797296.83</v>
      </c>
      <c r="N259" s="90">
        <v>42647</v>
      </c>
      <c r="O259" s="90">
        <v>42648</v>
      </c>
      <c r="P259" s="90">
        <v>42751</v>
      </c>
    </row>
    <row r="260" spans="1:17">
      <c r="A260" s="31" t="s">
        <v>1279</v>
      </c>
      <c r="B260" s="31" t="s">
        <v>58</v>
      </c>
      <c r="C260" s="31" t="s">
        <v>55</v>
      </c>
      <c r="D260" s="36" t="s">
        <v>1280</v>
      </c>
      <c r="E260" s="31" t="s">
        <v>782</v>
      </c>
      <c r="F260" s="67" t="s">
        <v>1296</v>
      </c>
      <c r="G260" s="29">
        <v>80000</v>
      </c>
      <c r="H260" s="31" t="s">
        <v>112</v>
      </c>
      <c r="I260" s="90">
        <v>42613</v>
      </c>
      <c r="J260" s="90">
        <v>42625</v>
      </c>
      <c r="K260" s="31" t="s">
        <v>1075</v>
      </c>
      <c r="L260" s="40">
        <f>M260/1.21</f>
        <v>97775</v>
      </c>
      <c r="M260" s="40">
        <v>118307.75</v>
      </c>
      <c r="N260" s="90">
        <v>42657</v>
      </c>
      <c r="O260" s="90">
        <v>42660</v>
      </c>
      <c r="P260" s="31" t="s">
        <v>239</v>
      </c>
    </row>
    <row r="261" spans="1:17">
      <c r="A261" s="31" t="s">
        <v>1281</v>
      </c>
      <c r="B261" s="31" t="s">
        <v>58</v>
      </c>
      <c r="C261" s="31" t="s">
        <v>55</v>
      </c>
      <c r="D261" s="36" t="s">
        <v>1284</v>
      </c>
      <c r="E261" s="31" t="s">
        <v>940</v>
      </c>
      <c r="F261" s="67" t="s">
        <v>1298</v>
      </c>
      <c r="G261" s="29">
        <v>790000</v>
      </c>
      <c r="H261" s="31" t="s">
        <v>112</v>
      </c>
      <c r="I261" s="90">
        <v>42614</v>
      </c>
      <c r="J261" s="90">
        <v>42627</v>
      </c>
      <c r="K261" s="31" t="s">
        <v>1151</v>
      </c>
      <c r="L261" s="40">
        <v>444793</v>
      </c>
      <c r="M261" s="40">
        <f>L261*1.21</f>
        <v>538199.53</v>
      </c>
      <c r="N261" s="90">
        <v>42661</v>
      </c>
      <c r="O261" s="90">
        <v>42668</v>
      </c>
      <c r="P261" s="90">
        <v>42751</v>
      </c>
    </row>
    <row r="262" spans="1:17" ht="15.75" thickBot="1">
      <c r="A262" s="411" t="s">
        <v>1282</v>
      </c>
      <c r="B262" s="411" t="s">
        <v>58</v>
      </c>
      <c r="C262" s="411" t="s">
        <v>55</v>
      </c>
      <c r="D262" s="412" t="s">
        <v>1283</v>
      </c>
      <c r="E262" s="411" t="s">
        <v>940</v>
      </c>
      <c r="F262" s="414" t="s">
        <v>1297</v>
      </c>
      <c r="G262" s="415">
        <v>1265000</v>
      </c>
      <c r="H262" s="411" t="s">
        <v>112</v>
      </c>
      <c r="I262" s="416">
        <v>42614</v>
      </c>
      <c r="J262" s="416">
        <v>42626</v>
      </c>
      <c r="K262" s="411" t="s">
        <v>1151</v>
      </c>
      <c r="L262" s="417">
        <v>1315670</v>
      </c>
      <c r="M262" s="417">
        <f>L262*1.21</f>
        <v>1591960.7</v>
      </c>
      <c r="N262" s="416">
        <v>42660</v>
      </c>
      <c r="O262" s="416">
        <v>42668</v>
      </c>
      <c r="P262" s="411" t="s">
        <v>239</v>
      </c>
    </row>
    <row r="263" spans="1:17" ht="15.75" thickTop="1">
      <c r="A263" s="452" t="s">
        <v>1286</v>
      </c>
      <c r="B263" s="453" t="s">
        <v>58</v>
      </c>
      <c r="C263" s="453" t="s">
        <v>55</v>
      </c>
      <c r="D263" s="473" t="s">
        <v>1285</v>
      </c>
      <c r="E263" s="453" t="s">
        <v>1294</v>
      </c>
      <c r="F263" s="454" t="s">
        <v>1295</v>
      </c>
      <c r="G263" s="455">
        <v>825000</v>
      </c>
      <c r="H263" s="453" t="s">
        <v>112</v>
      </c>
      <c r="I263" s="474">
        <v>42614</v>
      </c>
      <c r="J263" s="474">
        <v>42625</v>
      </c>
      <c r="K263" s="453" t="s">
        <v>198</v>
      </c>
      <c r="L263" s="457">
        <v>968200</v>
      </c>
      <c r="M263" s="457">
        <v>1171522</v>
      </c>
      <c r="N263" s="474">
        <v>42690</v>
      </c>
      <c r="O263" s="474">
        <v>42698</v>
      </c>
      <c r="P263" s="575">
        <v>42786</v>
      </c>
      <c r="Q263" s="1203" t="s">
        <v>1649</v>
      </c>
    </row>
    <row r="264" spans="1:17" ht="15.75" thickBot="1">
      <c r="A264" s="446" t="s">
        <v>1287</v>
      </c>
      <c r="B264" s="447" t="s">
        <v>58</v>
      </c>
      <c r="C264" s="447" t="s">
        <v>55</v>
      </c>
      <c r="D264" s="476" t="s">
        <v>1288</v>
      </c>
      <c r="E264" s="447" t="s">
        <v>80</v>
      </c>
      <c r="F264" s="448" t="s">
        <v>1300</v>
      </c>
      <c r="G264" s="449">
        <v>325000</v>
      </c>
      <c r="H264" s="447" t="s">
        <v>112</v>
      </c>
      <c r="I264" s="477">
        <v>42620</v>
      </c>
      <c r="J264" s="477">
        <v>42632</v>
      </c>
      <c r="K264" s="447" t="s">
        <v>922</v>
      </c>
      <c r="L264" s="450">
        <f>M264/1.21</f>
        <v>944314</v>
      </c>
      <c r="M264" s="450">
        <v>1142619.94</v>
      </c>
      <c r="N264" s="477">
        <v>42705</v>
      </c>
      <c r="O264" s="447" t="s">
        <v>239</v>
      </c>
      <c r="P264" s="478" t="s">
        <v>239</v>
      </c>
    </row>
    <row r="265" spans="1:17" ht="16.5" thickTop="1" thickBot="1">
      <c r="A265" s="232" t="s">
        <v>1289</v>
      </c>
      <c r="B265" s="232" t="s">
        <v>58</v>
      </c>
      <c r="C265" s="232" t="s">
        <v>55</v>
      </c>
      <c r="D265" s="274" t="s">
        <v>1303</v>
      </c>
      <c r="E265" s="232" t="s">
        <v>269</v>
      </c>
      <c r="F265" s="496" t="s">
        <v>1301</v>
      </c>
      <c r="G265" s="497">
        <v>745000</v>
      </c>
      <c r="H265" s="232" t="s">
        <v>112</v>
      </c>
      <c r="I265" s="498">
        <v>42620</v>
      </c>
      <c r="J265" s="498">
        <v>42632</v>
      </c>
      <c r="K265" s="232" t="s">
        <v>1396</v>
      </c>
      <c r="L265" s="499">
        <v>760750</v>
      </c>
      <c r="M265" s="499">
        <v>920508</v>
      </c>
      <c r="N265" s="498">
        <v>42681</v>
      </c>
      <c r="O265" s="498">
        <v>42683</v>
      </c>
      <c r="P265" s="498">
        <v>42758</v>
      </c>
      <c r="Q265" s="1203" t="s">
        <v>1649</v>
      </c>
    </row>
    <row r="266" spans="1:17" ht="16.5" thickTop="1" thickBot="1">
      <c r="A266" s="719" t="s">
        <v>1290</v>
      </c>
      <c r="B266" s="707" t="s">
        <v>58</v>
      </c>
      <c r="C266" s="707" t="s">
        <v>55</v>
      </c>
      <c r="D266" s="720" t="s">
        <v>479</v>
      </c>
      <c r="E266" s="707" t="s">
        <v>480</v>
      </c>
      <c r="F266" s="705" t="s">
        <v>1302</v>
      </c>
      <c r="G266" s="706">
        <v>280000</v>
      </c>
      <c r="H266" s="707" t="s">
        <v>112</v>
      </c>
      <c r="I266" s="711">
        <v>42625</v>
      </c>
      <c r="J266" s="711">
        <v>42634</v>
      </c>
      <c r="K266" s="707" t="s">
        <v>1151</v>
      </c>
      <c r="L266" s="710">
        <v>357346.35</v>
      </c>
      <c r="M266" s="710">
        <v>432389</v>
      </c>
      <c r="N266" s="711">
        <v>42661</v>
      </c>
      <c r="O266" s="707" t="s">
        <v>239</v>
      </c>
      <c r="P266" s="712" t="s">
        <v>239</v>
      </c>
    </row>
    <row r="267" spans="1:17" ht="16.5" thickTop="1" thickBot="1">
      <c r="A267" s="232" t="s">
        <v>1291</v>
      </c>
      <c r="B267" s="232" t="s">
        <v>52</v>
      </c>
      <c r="C267" s="232" t="s">
        <v>227</v>
      </c>
      <c r="D267" s="274" t="s">
        <v>1292</v>
      </c>
      <c r="E267" s="232" t="s">
        <v>33</v>
      </c>
      <c r="F267" s="496"/>
      <c r="G267" s="497">
        <v>438469</v>
      </c>
      <c r="H267" s="232" t="s">
        <v>1299</v>
      </c>
      <c r="I267" s="232" t="s">
        <v>239</v>
      </c>
      <c r="J267" s="232" t="s">
        <v>239</v>
      </c>
      <c r="K267" s="232" t="s">
        <v>707</v>
      </c>
      <c r="L267" s="499">
        <v>438469</v>
      </c>
      <c r="M267" s="499">
        <f>L267*1.21</f>
        <v>530547.49</v>
      </c>
      <c r="N267" s="498">
        <v>42611</v>
      </c>
      <c r="O267" s="498">
        <v>42619</v>
      </c>
      <c r="P267" s="232" t="s">
        <v>239</v>
      </c>
    </row>
    <row r="268" spans="1:17" ht="15.75" thickTop="1">
      <c r="A268" s="438" t="s">
        <v>1305</v>
      </c>
      <c r="B268" s="439" t="s">
        <v>1306</v>
      </c>
      <c r="C268" s="439" t="s">
        <v>417</v>
      </c>
      <c r="D268" s="440" t="s">
        <v>1307</v>
      </c>
      <c r="E268" s="439"/>
      <c r="F268" s="441"/>
      <c r="G268" s="442"/>
      <c r="H268" s="439"/>
      <c r="I268" s="439"/>
      <c r="J268" s="439"/>
      <c r="K268" s="437" t="s">
        <v>1313</v>
      </c>
      <c r="L268" s="444"/>
      <c r="M268" s="444"/>
      <c r="N268" s="439"/>
      <c r="O268" s="439"/>
      <c r="P268" s="445"/>
      <c r="Q268" s="9"/>
    </row>
    <row r="269" spans="1:17" ht="15.75" thickBot="1">
      <c r="A269" s="629" t="s">
        <v>1308</v>
      </c>
      <c r="B269" s="411" t="s">
        <v>58</v>
      </c>
      <c r="C269" s="411" t="s">
        <v>55</v>
      </c>
      <c r="D269" s="412" t="s">
        <v>1309</v>
      </c>
      <c r="E269" s="411" t="s">
        <v>80</v>
      </c>
      <c r="F269" s="414" t="s">
        <v>1310</v>
      </c>
      <c r="G269" s="415">
        <v>290000</v>
      </c>
      <c r="H269" s="411" t="s">
        <v>112</v>
      </c>
      <c r="I269" s="416">
        <v>42625</v>
      </c>
      <c r="J269" s="416">
        <v>42633</v>
      </c>
      <c r="K269" s="411" t="s">
        <v>1397</v>
      </c>
      <c r="L269" s="417">
        <v>327095</v>
      </c>
      <c r="M269" s="417">
        <v>395785</v>
      </c>
      <c r="N269" s="416">
        <v>42689</v>
      </c>
      <c r="O269" s="411" t="s">
        <v>239</v>
      </c>
      <c r="P269" s="648" t="s">
        <v>239</v>
      </c>
    </row>
    <row r="270" spans="1:17" ht="15.75" thickTop="1">
      <c r="A270" s="582" t="s">
        <v>1355</v>
      </c>
      <c r="B270" s="583" t="s">
        <v>69</v>
      </c>
      <c r="C270" s="583" t="s">
        <v>70</v>
      </c>
      <c r="D270" s="770" t="s">
        <v>1492</v>
      </c>
      <c r="E270" s="583" t="s">
        <v>816</v>
      </c>
      <c r="F270" s="585"/>
      <c r="G270" s="586">
        <v>402104.17</v>
      </c>
      <c r="H270" s="583" t="s">
        <v>251</v>
      </c>
      <c r="I270" s="587">
        <v>42705</v>
      </c>
      <c r="J270" s="587">
        <v>42745</v>
      </c>
      <c r="K270" s="583"/>
      <c r="L270" s="588"/>
      <c r="M270" s="588"/>
      <c r="N270" s="583"/>
      <c r="O270" s="583"/>
      <c r="P270" s="808" t="s">
        <v>856</v>
      </c>
      <c r="Q270" s="9"/>
    </row>
    <row r="271" spans="1:17">
      <c r="A271" s="589" t="s">
        <v>1355</v>
      </c>
      <c r="B271" s="590" t="s">
        <v>69</v>
      </c>
      <c r="C271" s="590" t="s">
        <v>70</v>
      </c>
      <c r="D271" s="771" t="s">
        <v>1493</v>
      </c>
      <c r="E271" s="590" t="s">
        <v>816</v>
      </c>
      <c r="F271" s="592"/>
      <c r="G271" s="593">
        <v>254142.16</v>
      </c>
      <c r="H271" s="590" t="s">
        <v>251</v>
      </c>
      <c r="I271" s="594">
        <v>42705</v>
      </c>
      <c r="J271" s="594">
        <v>42745</v>
      </c>
      <c r="K271" s="590"/>
      <c r="L271" s="595"/>
      <c r="M271" s="595"/>
      <c r="N271" s="590"/>
      <c r="O271" s="590"/>
      <c r="P271" s="764" t="s">
        <v>856</v>
      </c>
      <c r="Q271" s="9"/>
    </row>
    <row r="272" spans="1:17">
      <c r="A272" s="589" t="s">
        <v>1355</v>
      </c>
      <c r="B272" s="590" t="s">
        <v>69</v>
      </c>
      <c r="C272" s="590" t="s">
        <v>70</v>
      </c>
      <c r="D272" s="771" t="s">
        <v>1494</v>
      </c>
      <c r="E272" s="590" t="s">
        <v>816</v>
      </c>
      <c r="F272" s="592"/>
      <c r="G272" s="593">
        <v>486689.96</v>
      </c>
      <c r="H272" s="590" t="s">
        <v>251</v>
      </c>
      <c r="I272" s="594">
        <v>42705</v>
      </c>
      <c r="J272" s="594">
        <v>42745</v>
      </c>
      <c r="K272" s="590"/>
      <c r="L272" s="595"/>
      <c r="M272" s="595"/>
      <c r="N272" s="590"/>
      <c r="O272" s="590"/>
      <c r="P272" s="764" t="s">
        <v>856</v>
      </c>
      <c r="Q272" s="9"/>
    </row>
    <row r="273" spans="1:17">
      <c r="A273" s="589" t="s">
        <v>1355</v>
      </c>
      <c r="B273" s="590" t="s">
        <v>69</v>
      </c>
      <c r="C273" s="590" t="s">
        <v>70</v>
      </c>
      <c r="D273" s="771" t="s">
        <v>1596</v>
      </c>
      <c r="E273" s="590" t="s">
        <v>816</v>
      </c>
      <c r="F273" s="592"/>
      <c r="G273" s="593">
        <v>4892335</v>
      </c>
      <c r="H273" s="590" t="s">
        <v>251</v>
      </c>
      <c r="I273" s="594">
        <v>42705</v>
      </c>
      <c r="J273" s="594">
        <v>42745</v>
      </c>
      <c r="K273" s="590"/>
      <c r="L273" s="595"/>
      <c r="M273" s="595"/>
      <c r="N273" s="590"/>
      <c r="O273" s="590"/>
      <c r="P273" s="764" t="s">
        <v>856</v>
      </c>
      <c r="Q273" s="9"/>
    </row>
    <row r="274" spans="1:17">
      <c r="A274" s="589" t="s">
        <v>1355</v>
      </c>
      <c r="B274" s="590" t="s">
        <v>69</v>
      </c>
      <c r="C274" s="590" t="s">
        <v>70</v>
      </c>
      <c r="D274" s="771" t="s">
        <v>1594</v>
      </c>
      <c r="E274" s="590" t="s">
        <v>816</v>
      </c>
      <c r="F274" s="592"/>
      <c r="G274" s="593">
        <v>27677.68</v>
      </c>
      <c r="H274" s="590" t="s">
        <v>251</v>
      </c>
      <c r="I274" s="594">
        <v>42705</v>
      </c>
      <c r="J274" s="594">
        <v>42745</v>
      </c>
      <c r="K274" s="590"/>
      <c r="L274" s="595"/>
      <c r="M274" s="595"/>
      <c r="N274" s="590"/>
      <c r="O274" s="590"/>
      <c r="P274" s="764" t="s">
        <v>856</v>
      </c>
      <c r="Q274" s="9"/>
    </row>
    <row r="275" spans="1:17" ht="15.75" thickBot="1">
      <c r="A275" s="589" t="s">
        <v>1355</v>
      </c>
      <c r="B275" s="590" t="s">
        <v>69</v>
      </c>
      <c r="C275" s="597" t="s">
        <v>70</v>
      </c>
      <c r="D275" s="772" t="s">
        <v>1595</v>
      </c>
      <c r="E275" s="597" t="s">
        <v>816</v>
      </c>
      <c r="F275" s="592"/>
      <c r="G275" s="600">
        <v>205112.5</v>
      </c>
      <c r="H275" s="597" t="s">
        <v>251</v>
      </c>
      <c r="I275" s="601">
        <v>42705</v>
      </c>
      <c r="J275" s="601">
        <v>42745</v>
      </c>
      <c r="K275" s="590"/>
      <c r="L275" s="595"/>
      <c r="M275" s="595"/>
      <c r="N275" s="590"/>
      <c r="O275" s="590"/>
      <c r="P275" s="764" t="s">
        <v>856</v>
      </c>
      <c r="Q275" s="9"/>
    </row>
    <row r="276" spans="1:17" ht="15.75" thickTop="1">
      <c r="A276" s="582" t="s">
        <v>1356</v>
      </c>
      <c r="B276" s="583" t="s">
        <v>69</v>
      </c>
      <c r="C276" s="583" t="s">
        <v>70</v>
      </c>
      <c r="D276" s="770" t="s">
        <v>1454</v>
      </c>
      <c r="E276" s="583" t="s">
        <v>815</v>
      </c>
      <c r="F276" s="585"/>
      <c r="G276" s="586">
        <v>273680</v>
      </c>
      <c r="H276" s="583" t="s">
        <v>251</v>
      </c>
      <c r="I276" s="587">
        <v>42705</v>
      </c>
      <c r="J276" s="587">
        <v>42746</v>
      </c>
      <c r="K276" s="583"/>
      <c r="L276" s="588"/>
      <c r="M276" s="588"/>
      <c r="N276" s="583"/>
      <c r="O276" s="583"/>
      <c r="P276" s="808" t="s">
        <v>856</v>
      </c>
      <c r="Q276" s="9"/>
    </row>
    <row r="277" spans="1:17">
      <c r="A277" s="589" t="s">
        <v>1356</v>
      </c>
      <c r="B277" s="590" t="s">
        <v>69</v>
      </c>
      <c r="C277" s="590" t="s">
        <v>70</v>
      </c>
      <c r="D277" s="771" t="s">
        <v>1455</v>
      </c>
      <c r="E277" s="576" t="s">
        <v>815</v>
      </c>
      <c r="F277" s="592"/>
      <c r="G277" s="593">
        <v>52571.199999999997</v>
      </c>
      <c r="H277" s="590" t="s">
        <v>251</v>
      </c>
      <c r="I277" s="594">
        <v>42705</v>
      </c>
      <c r="J277" s="594">
        <v>42746</v>
      </c>
      <c r="K277" s="590"/>
      <c r="L277" s="595"/>
      <c r="M277" s="595"/>
      <c r="N277" s="590"/>
      <c r="O277" s="590"/>
      <c r="P277" s="764" t="s">
        <v>856</v>
      </c>
      <c r="Q277" s="9"/>
    </row>
    <row r="278" spans="1:17">
      <c r="A278" s="589" t="s">
        <v>1356</v>
      </c>
      <c r="B278" s="590" t="s">
        <v>69</v>
      </c>
      <c r="C278" s="590" t="s">
        <v>70</v>
      </c>
      <c r="D278" s="771" t="s">
        <v>1456</v>
      </c>
      <c r="E278" s="576" t="s">
        <v>815</v>
      </c>
      <c r="F278" s="592"/>
      <c r="G278" s="593">
        <v>1673000</v>
      </c>
      <c r="H278" s="590" t="s">
        <v>251</v>
      </c>
      <c r="I278" s="594">
        <v>42705</v>
      </c>
      <c r="J278" s="594">
        <v>42746</v>
      </c>
      <c r="K278" s="590"/>
      <c r="L278" s="595"/>
      <c r="M278" s="595"/>
      <c r="N278" s="590"/>
      <c r="O278" s="590"/>
      <c r="P278" s="764" t="s">
        <v>856</v>
      </c>
      <c r="Q278" s="9"/>
    </row>
    <row r="279" spans="1:17" ht="15.75" thickBot="1">
      <c r="A279" s="596" t="s">
        <v>1356</v>
      </c>
      <c r="B279" s="597" t="s">
        <v>69</v>
      </c>
      <c r="C279" s="597" t="s">
        <v>70</v>
      </c>
      <c r="D279" s="772" t="s">
        <v>1457</v>
      </c>
      <c r="E279" s="604" t="s">
        <v>815</v>
      </c>
      <c r="F279" s="599"/>
      <c r="G279" s="600">
        <v>6615485.8200000003</v>
      </c>
      <c r="H279" s="597" t="s">
        <v>251</v>
      </c>
      <c r="I279" s="601">
        <v>42705</v>
      </c>
      <c r="J279" s="601">
        <v>42746</v>
      </c>
      <c r="K279" s="597"/>
      <c r="L279" s="602"/>
      <c r="M279" s="602"/>
      <c r="N279" s="597"/>
      <c r="O279" s="597"/>
      <c r="P279" s="762" t="s">
        <v>856</v>
      </c>
      <c r="Q279" s="9"/>
    </row>
    <row r="280" spans="1:17" ht="15.75" thickTop="1">
      <c r="A280" s="778" t="s">
        <v>1357</v>
      </c>
      <c r="B280" s="779" t="s">
        <v>69</v>
      </c>
      <c r="C280" s="779" t="s">
        <v>70</v>
      </c>
      <c r="D280" s="780" t="s">
        <v>1458</v>
      </c>
      <c r="E280" s="583" t="s">
        <v>816</v>
      </c>
      <c r="F280" s="585"/>
      <c r="G280" s="586">
        <v>384458.22</v>
      </c>
      <c r="H280" s="583" t="s">
        <v>251</v>
      </c>
      <c r="I280" s="587">
        <v>42709</v>
      </c>
      <c r="J280" s="587">
        <v>42747</v>
      </c>
      <c r="K280" s="583"/>
      <c r="L280" s="588"/>
      <c r="M280" s="588"/>
      <c r="N280" s="583"/>
      <c r="O280" s="583"/>
      <c r="P280" s="808" t="s">
        <v>856</v>
      </c>
      <c r="Q280" s="9"/>
    </row>
    <row r="281" spans="1:17">
      <c r="A281" s="781" t="s">
        <v>1357</v>
      </c>
      <c r="B281" s="782" t="s">
        <v>69</v>
      </c>
      <c r="C281" s="782" t="s">
        <v>70</v>
      </c>
      <c r="D281" s="783" t="s">
        <v>1459</v>
      </c>
      <c r="E281" s="590" t="s">
        <v>816</v>
      </c>
      <c r="F281" s="592"/>
      <c r="G281" s="593">
        <v>750337.68</v>
      </c>
      <c r="H281" s="590" t="s">
        <v>251</v>
      </c>
      <c r="I281" s="594">
        <v>42709</v>
      </c>
      <c r="J281" s="594">
        <v>42747</v>
      </c>
      <c r="K281" s="590"/>
      <c r="L281" s="595"/>
      <c r="M281" s="595"/>
      <c r="N281" s="590"/>
      <c r="O281" s="590"/>
      <c r="P281" s="764" t="s">
        <v>856</v>
      </c>
      <c r="Q281" s="9"/>
    </row>
    <row r="282" spans="1:17">
      <c r="A282" s="781" t="s">
        <v>1357</v>
      </c>
      <c r="B282" s="782" t="s">
        <v>69</v>
      </c>
      <c r="C282" s="782" t="s">
        <v>70</v>
      </c>
      <c r="D282" s="783" t="s">
        <v>1460</v>
      </c>
      <c r="E282" s="590" t="s">
        <v>816</v>
      </c>
      <c r="F282" s="592"/>
      <c r="G282" s="593">
        <v>304720.8</v>
      </c>
      <c r="H282" s="590" t="s">
        <v>251</v>
      </c>
      <c r="I282" s="594">
        <v>42709</v>
      </c>
      <c r="J282" s="594">
        <v>42747</v>
      </c>
      <c r="K282" s="590"/>
      <c r="L282" s="595"/>
      <c r="M282" s="595"/>
      <c r="N282" s="590"/>
      <c r="O282" s="590"/>
      <c r="P282" s="764" t="s">
        <v>856</v>
      </c>
      <c r="Q282" s="9"/>
    </row>
    <row r="283" spans="1:17">
      <c r="A283" s="781" t="s">
        <v>1357</v>
      </c>
      <c r="B283" s="782" t="s">
        <v>69</v>
      </c>
      <c r="C283" s="782" t="s">
        <v>70</v>
      </c>
      <c r="D283" s="783" t="s">
        <v>1461</v>
      </c>
      <c r="E283" s="590" t="s">
        <v>816</v>
      </c>
      <c r="F283" s="592"/>
      <c r="G283" s="593">
        <v>1668975</v>
      </c>
      <c r="H283" s="590" t="s">
        <v>251</v>
      </c>
      <c r="I283" s="594">
        <v>42709</v>
      </c>
      <c r="J283" s="594">
        <v>42747</v>
      </c>
      <c r="K283" s="590"/>
      <c r="L283" s="595"/>
      <c r="M283" s="595"/>
      <c r="N283" s="590"/>
      <c r="O283" s="590"/>
      <c r="P283" s="764" t="s">
        <v>856</v>
      </c>
      <c r="Q283" s="9"/>
    </row>
    <row r="284" spans="1:17">
      <c r="A284" s="781" t="s">
        <v>1357</v>
      </c>
      <c r="B284" s="782" t="s">
        <v>69</v>
      </c>
      <c r="C284" s="782" t="s">
        <v>70</v>
      </c>
      <c r="D284" s="783" t="s">
        <v>1462</v>
      </c>
      <c r="E284" s="590" t="s">
        <v>816</v>
      </c>
      <c r="F284" s="592"/>
      <c r="G284" s="593">
        <v>207321.45</v>
      </c>
      <c r="H284" s="590" t="s">
        <v>251</v>
      </c>
      <c r="I284" s="594">
        <v>42709</v>
      </c>
      <c r="J284" s="594">
        <v>42747</v>
      </c>
      <c r="K284" s="590"/>
      <c r="L284" s="595"/>
      <c r="M284" s="595"/>
      <c r="N284" s="590"/>
      <c r="O284" s="590"/>
      <c r="P284" s="764" t="s">
        <v>856</v>
      </c>
      <c r="Q284" s="9"/>
    </row>
    <row r="285" spans="1:17">
      <c r="A285" s="781" t="s">
        <v>1357</v>
      </c>
      <c r="B285" s="782" t="s">
        <v>69</v>
      </c>
      <c r="C285" s="782" t="s">
        <v>70</v>
      </c>
      <c r="D285" s="783" t="s">
        <v>1463</v>
      </c>
      <c r="E285" s="590" t="s">
        <v>816</v>
      </c>
      <c r="F285" s="592"/>
      <c r="G285" s="593">
        <v>71857.649999999994</v>
      </c>
      <c r="H285" s="590" t="s">
        <v>251</v>
      </c>
      <c r="I285" s="594">
        <v>42709</v>
      </c>
      <c r="J285" s="594">
        <v>42747</v>
      </c>
      <c r="K285" s="590"/>
      <c r="L285" s="595"/>
      <c r="M285" s="595"/>
      <c r="N285" s="590"/>
      <c r="O285" s="590"/>
      <c r="P285" s="764" t="s">
        <v>856</v>
      </c>
      <c r="Q285" s="9"/>
    </row>
    <row r="286" spans="1:17">
      <c r="A286" s="781" t="s">
        <v>1357</v>
      </c>
      <c r="B286" s="782" t="s">
        <v>69</v>
      </c>
      <c r="C286" s="782" t="s">
        <v>70</v>
      </c>
      <c r="D286" s="783" t="s">
        <v>1464</v>
      </c>
      <c r="E286" s="590" t="s">
        <v>816</v>
      </c>
      <c r="F286" s="592"/>
      <c r="G286" s="593">
        <v>1381911.23</v>
      </c>
      <c r="H286" s="590" t="s">
        <v>251</v>
      </c>
      <c r="I286" s="594">
        <v>42709</v>
      </c>
      <c r="J286" s="594">
        <v>42747</v>
      </c>
      <c r="K286" s="590"/>
      <c r="L286" s="595"/>
      <c r="M286" s="595"/>
      <c r="N286" s="590"/>
      <c r="O286" s="590"/>
      <c r="P286" s="764" t="s">
        <v>856</v>
      </c>
      <c r="Q286" s="9"/>
    </row>
    <row r="287" spans="1:17">
      <c r="A287" s="781" t="s">
        <v>1357</v>
      </c>
      <c r="B287" s="782" t="s">
        <v>69</v>
      </c>
      <c r="C287" s="782" t="s">
        <v>70</v>
      </c>
      <c r="D287" s="783" t="s">
        <v>1465</v>
      </c>
      <c r="E287" s="590" t="s">
        <v>816</v>
      </c>
      <c r="F287" s="592"/>
      <c r="G287" s="593">
        <v>1838198.4</v>
      </c>
      <c r="H287" s="590" t="s">
        <v>251</v>
      </c>
      <c r="I287" s="594">
        <v>42709</v>
      </c>
      <c r="J287" s="594">
        <v>42747</v>
      </c>
      <c r="K287" s="590"/>
      <c r="L287" s="595"/>
      <c r="M287" s="595"/>
      <c r="N287" s="590"/>
      <c r="O287" s="590"/>
      <c r="P287" s="764" t="s">
        <v>856</v>
      </c>
      <c r="Q287" s="9"/>
    </row>
    <row r="288" spans="1:17">
      <c r="A288" s="781" t="s">
        <v>1357</v>
      </c>
      <c r="B288" s="782" t="s">
        <v>69</v>
      </c>
      <c r="C288" s="782" t="s">
        <v>70</v>
      </c>
      <c r="D288" s="783" t="s">
        <v>1466</v>
      </c>
      <c r="E288" s="590" t="s">
        <v>816</v>
      </c>
      <c r="F288" s="592"/>
      <c r="G288" s="593">
        <v>111393.24</v>
      </c>
      <c r="H288" s="590" t="s">
        <v>251</v>
      </c>
      <c r="I288" s="594">
        <v>42709</v>
      </c>
      <c r="J288" s="594">
        <v>42747</v>
      </c>
      <c r="K288" s="590"/>
      <c r="L288" s="595"/>
      <c r="M288" s="595"/>
      <c r="N288" s="590"/>
      <c r="O288" s="590"/>
      <c r="P288" s="764" t="s">
        <v>856</v>
      </c>
      <c r="Q288" s="9"/>
    </row>
    <row r="289" spans="1:17" ht="15.75" thickBot="1">
      <c r="A289" s="784" t="s">
        <v>1357</v>
      </c>
      <c r="B289" s="785" t="s">
        <v>69</v>
      </c>
      <c r="C289" s="785" t="s">
        <v>70</v>
      </c>
      <c r="D289" s="786" t="s">
        <v>1467</v>
      </c>
      <c r="E289" s="597" t="s">
        <v>816</v>
      </c>
      <c r="F289" s="599"/>
      <c r="G289" s="600">
        <v>1252369.6000000001</v>
      </c>
      <c r="H289" s="597" t="s">
        <v>251</v>
      </c>
      <c r="I289" s="601">
        <v>42709</v>
      </c>
      <c r="J289" s="601">
        <v>42747</v>
      </c>
      <c r="K289" s="597"/>
      <c r="L289" s="602"/>
      <c r="M289" s="602"/>
      <c r="N289" s="597"/>
      <c r="O289" s="597"/>
      <c r="P289" s="762" t="s">
        <v>856</v>
      </c>
      <c r="Q289" s="9"/>
    </row>
    <row r="290" spans="1:17" ht="15.75" thickTop="1">
      <c r="A290" s="660" t="s">
        <v>1381</v>
      </c>
      <c r="B290" s="605" t="s">
        <v>166</v>
      </c>
      <c r="C290" s="605" t="s">
        <v>167</v>
      </c>
      <c r="D290" s="567" t="s">
        <v>1353</v>
      </c>
      <c r="E290" s="605" t="s">
        <v>1360</v>
      </c>
      <c r="F290" s="419"/>
      <c r="G290" s="127">
        <v>495000</v>
      </c>
      <c r="H290" s="605" t="s">
        <v>112</v>
      </c>
      <c r="I290" s="365">
        <v>42628</v>
      </c>
      <c r="J290" s="365">
        <v>42634</v>
      </c>
      <c r="K290" s="605" t="s">
        <v>1382</v>
      </c>
      <c r="L290" s="364">
        <v>262632.5</v>
      </c>
      <c r="M290" s="364">
        <f>L290*1.21</f>
        <v>317785.32500000001</v>
      </c>
      <c r="N290" s="365">
        <v>42640</v>
      </c>
      <c r="O290" s="605" t="s">
        <v>239</v>
      </c>
      <c r="P290" s="670" t="s">
        <v>239</v>
      </c>
    </row>
    <row r="291" spans="1:17" ht="15.75" thickBot="1">
      <c r="A291" s="430" t="s">
        <v>1351</v>
      </c>
      <c r="B291" s="431" t="s">
        <v>58</v>
      </c>
      <c r="C291" s="431" t="s">
        <v>55</v>
      </c>
      <c r="D291" s="432" t="s">
        <v>1010</v>
      </c>
      <c r="E291" s="431" t="s">
        <v>782</v>
      </c>
      <c r="F291" s="433" t="s">
        <v>1358</v>
      </c>
      <c r="G291" s="434">
        <v>66000</v>
      </c>
      <c r="H291" s="431" t="s">
        <v>112</v>
      </c>
      <c r="I291" s="435">
        <v>42632</v>
      </c>
      <c r="J291" s="435">
        <v>42643</v>
      </c>
      <c r="K291" s="431" t="s">
        <v>1075</v>
      </c>
      <c r="L291" s="436">
        <v>97775</v>
      </c>
      <c r="M291" s="436">
        <v>118307.75</v>
      </c>
      <c r="N291" s="431"/>
      <c r="O291" s="431"/>
      <c r="P291" s="535"/>
      <c r="Q291" s="9"/>
    </row>
    <row r="292" spans="1:17" ht="15.75" thickTop="1">
      <c r="A292" s="605" t="s">
        <v>1352</v>
      </c>
      <c r="B292" s="605" t="s">
        <v>58</v>
      </c>
      <c r="C292" s="605" t="s">
        <v>55</v>
      </c>
      <c r="D292" s="175" t="s">
        <v>1354</v>
      </c>
      <c r="E292" s="605" t="s">
        <v>421</v>
      </c>
      <c r="F292" s="419" t="s">
        <v>1359</v>
      </c>
      <c r="G292" s="127">
        <v>700000</v>
      </c>
      <c r="H292" s="605" t="s">
        <v>112</v>
      </c>
      <c r="I292" s="365">
        <v>42632</v>
      </c>
      <c r="J292" s="365">
        <v>42643</v>
      </c>
      <c r="K292" s="605" t="s">
        <v>1151</v>
      </c>
      <c r="L292" s="364">
        <v>741680</v>
      </c>
      <c r="M292" s="364">
        <v>897432.8</v>
      </c>
      <c r="N292" s="365">
        <v>42689</v>
      </c>
      <c r="O292" s="365">
        <v>42695</v>
      </c>
      <c r="P292" s="365">
        <v>42765</v>
      </c>
      <c r="Q292" s="1203" t="s">
        <v>1649</v>
      </c>
    </row>
    <row r="293" spans="1:17" ht="15.75" thickBot="1">
      <c r="A293" s="411" t="s">
        <v>1361</v>
      </c>
      <c r="B293" s="411" t="s">
        <v>166</v>
      </c>
      <c r="C293" s="411" t="s">
        <v>167</v>
      </c>
      <c r="D293" s="412" t="s">
        <v>1362</v>
      </c>
      <c r="E293" s="411" t="s">
        <v>33</v>
      </c>
      <c r="F293" s="414"/>
      <c r="G293" s="415">
        <v>1425000</v>
      </c>
      <c r="H293" s="411" t="s">
        <v>112</v>
      </c>
      <c r="I293" s="416">
        <v>42636</v>
      </c>
      <c r="J293" s="416">
        <v>42646</v>
      </c>
      <c r="K293" s="411" t="s">
        <v>707</v>
      </c>
      <c r="L293" s="417">
        <v>1473307</v>
      </c>
      <c r="M293" s="417">
        <f>L293*1.21</f>
        <v>1782701.47</v>
      </c>
      <c r="N293" s="416">
        <v>42657</v>
      </c>
      <c r="O293" s="416">
        <v>42660</v>
      </c>
      <c r="P293" s="416">
        <v>42786</v>
      </c>
    </row>
    <row r="294" spans="1:17" ht="15.75" thickTop="1">
      <c r="A294" s="452" t="s">
        <v>1363</v>
      </c>
      <c r="B294" s="453" t="s">
        <v>52</v>
      </c>
      <c r="C294" s="453" t="s">
        <v>227</v>
      </c>
      <c r="D294" s="473" t="s">
        <v>1364</v>
      </c>
      <c r="E294" s="453" t="s">
        <v>1274</v>
      </c>
      <c r="F294" s="474" t="s">
        <v>818</v>
      </c>
      <c r="G294" s="455">
        <v>330000</v>
      </c>
      <c r="H294" s="453" t="s">
        <v>112</v>
      </c>
      <c r="I294" s="474">
        <v>42633</v>
      </c>
      <c r="J294" s="474">
        <v>42640</v>
      </c>
      <c r="K294" s="453" t="s">
        <v>1388</v>
      </c>
      <c r="L294" s="457">
        <v>350000</v>
      </c>
      <c r="M294" s="457">
        <v>423500</v>
      </c>
      <c r="N294" s="474">
        <v>42670</v>
      </c>
      <c r="O294" s="453" t="s">
        <v>239</v>
      </c>
      <c r="P294" s="475" t="s">
        <v>239</v>
      </c>
    </row>
    <row r="295" spans="1:17" ht="15.75" thickBot="1">
      <c r="A295" s="446" t="s">
        <v>1368</v>
      </c>
      <c r="B295" s="447" t="s">
        <v>58</v>
      </c>
      <c r="C295" s="447" t="s">
        <v>55</v>
      </c>
      <c r="D295" s="476" t="s">
        <v>1369</v>
      </c>
      <c r="E295" s="447" t="s">
        <v>1159</v>
      </c>
      <c r="F295" s="477" t="s">
        <v>764</v>
      </c>
      <c r="G295" s="449">
        <v>565000</v>
      </c>
      <c r="H295" s="447" t="s">
        <v>112</v>
      </c>
      <c r="I295" s="477">
        <v>42642</v>
      </c>
      <c r="J295" s="477">
        <v>42654</v>
      </c>
      <c r="K295" s="447" t="s">
        <v>1153</v>
      </c>
      <c r="L295" s="450">
        <v>408800</v>
      </c>
      <c r="M295" s="450">
        <v>494648</v>
      </c>
      <c r="N295" s="477">
        <v>42706</v>
      </c>
      <c r="O295" s="477">
        <v>42709</v>
      </c>
      <c r="P295" s="975" t="s">
        <v>1773</v>
      </c>
      <c r="Q295" s="1205"/>
    </row>
    <row r="296" spans="1:17" ht="16.5" thickTop="1" thickBot="1">
      <c r="A296" s="232" t="s">
        <v>1366</v>
      </c>
      <c r="B296" s="232" t="s">
        <v>58</v>
      </c>
      <c r="C296" s="232" t="s">
        <v>55</v>
      </c>
      <c r="D296" s="274" t="s">
        <v>195</v>
      </c>
      <c r="E296" s="232" t="s">
        <v>1294</v>
      </c>
      <c r="F296" s="498" t="s">
        <v>1374</v>
      </c>
      <c r="G296" s="497">
        <v>600000</v>
      </c>
      <c r="H296" s="232" t="s">
        <v>112</v>
      </c>
      <c r="I296" s="498">
        <v>42642</v>
      </c>
      <c r="J296" s="498">
        <v>42655</v>
      </c>
      <c r="K296" s="232" t="s">
        <v>198</v>
      </c>
      <c r="L296" s="499">
        <v>602675</v>
      </c>
      <c r="M296" s="499">
        <f>L296*1.21</f>
        <v>729236.75</v>
      </c>
      <c r="N296" s="498">
        <v>42696</v>
      </c>
      <c r="O296" s="498">
        <v>42697</v>
      </c>
      <c r="P296" s="498">
        <v>42786</v>
      </c>
      <c r="Q296" s="1203" t="s">
        <v>1649</v>
      </c>
    </row>
    <row r="297" spans="1:17" ht="15.75" thickTop="1">
      <c r="A297" s="452" t="s">
        <v>1367</v>
      </c>
      <c r="B297" s="453" t="s">
        <v>58</v>
      </c>
      <c r="C297" s="453" t="s">
        <v>55</v>
      </c>
      <c r="D297" s="473" t="s">
        <v>1370</v>
      </c>
      <c r="E297" s="453" t="s">
        <v>1372</v>
      </c>
      <c r="F297" s="474" t="s">
        <v>1373</v>
      </c>
      <c r="G297" s="455">
        <v>700000</v>
      </c>
      <c r="H297" s="453" t="s">
        <v>112</v>
      </c>
      <c r="I297" s="474">
        <v>42642</v>
      </c>
      <c r="J297" s="474">
        <v>42648</v>
      </c>
      <c r="K297" s="453" t="s">
        <v>1400</v>
      </c>
      <c r="L297" s="457">
        <v>610743.80000000005</v>
      </c>
      <c r="M297" s="457">
        <v>739000</v>
      </c>
      <c r="N297" s="474">
        <v>42711</v>
      </c>
      <c r="O297" s="474">
        <v>42712</v>
      </c>
      <c r="P297" s="575">
        <v>42779</v>
      </c>
      <c r="Q297" s="1203" t="s">
        <v>1649</v>
      </c>
    </row>
    <row r="298" spans="1:17" ht="15.75" thickBot="1">
      <c r="A298" s="446" t="s">
        <v>1371</v>
      </c>
      <c r="B298" s="447" t="s">
        <v>1032</v>
      </c>
      <c r="C298" s="447" t="s">
        <v>1033</v>
      </c>
      <c r="D298" s="476" t="s">
        <v>827</v>
      </c>
      <c r="E298" s="447" t="s">
        <v>828</v>
      </c>
      <c r="F298" s="477" t="s">
        <v>838</v>
      </c>
      <c r="G298" s="449">
        <v>360000</v>
      </c>
      <c r="H298" s="447" t="s">
        <v>112</v>
      </c>
      <c r="I298" s="477">
        <v>42640</v>
      </c>
      <c r="J298" s="477">
        <v>42648</v>
      </c>
      <c r="K298" s="447" t="s">
        <v>1398</v>
      </c>
      <c r="L298" s="450">
        <v>363636.36</v>
      </c>
      <c r="M298" s="450">
        <v>440000</v>
      </c>
      <c r="N298" s="477">
        <v>42669</v>
      </c>
      <c r="O298" s="447" t="s">
        <v>239</v>
      </c>
      <c r="P298" s="478" t="s">
        <v>239</v>
      </c>
    </row>
    <row r="299" spans="1:17" ht="16.5" thickTop="1" thickBot="1">
      <c r="A299" s="232" t="s">
        <v>1379</v>
      </c>
      <c r="B299" s="232" t="s">
        <v>1214</v>
      </c>
      <c r="C299" s="232" t="s">
        <v>1215</v>
      </c>
      <c r="D299" s="274" t="s">
        <v>1380</v>
      </c>
      <c r="E299" s="232" t="s">
        <v>1232</v>
      </c>
      <c r="F299" s="496" t="s">
        <v>832</v>
      </c>
      <c r="G299" s="497">
        <v>1150000</v>
      </c>
      <c r="H299" s="232" t="s">
        <v>216</v>
      </c>
      <c r="I299" s="498">
        <v>42640</v>
      </c>
      <c r="J299" s="498">
        <v>42657</v>
      </c>
      <c r="K299" s="232" t="s">
        <v>1435</v>
      </c>
      <c r="L299" s="499">
        <v>891000.01</v>
      </c>
      <c r="M299" s="499">
        <v>1078110.01</v>
      </c>
      <c r="N299" s="498">
        <v>42690</v>
      </c>
      <c r="O299" s="498">
        <v>42696</v>
      </c>
      <c r="P299" s="498">
        <v>42818</v>
      </c>
    </row>
    <row r="300" spans="1:17" ht="16.5" thickTop="1" thickBot="1">
      <c r="A300" s="719" t="s">
        <v>1375</v>
      </c>
      <c r="B300" s="707" t="s">
        <v>58</v>
      </c>
      <c r="C300" s="707" t="s">
        <v>55</v>
      </c>
      <c r="D300" s="720" t="s">
        <v>1376</v>
      </c>
      <c r="E300" s="707" t="s">
        <v>737</v>
      </c>
      <c r="F300" s="711"/>
      <c r="G300" s="706">
        <v>2065000</v>
      </c>
      <c r="H300" s="707" t="s">
        <v>216</v>
      </c>
      <c r="I300" s="711">
        <v>42640</v>
      </c>
      <c r="J300" s="711">
        <v>42664</v>
      </c>
      <c r="K300" s="707" t="s">
        <v>1440</v>
      </c>
      <c r="L300" s="710">
        <v>601100</v>
      </c>
      <c r="M300" s="710">
        <f t="shared" ref="M300:M307" si="2">L300*1.21</f>
        <v>727331</v>
      </c>
      <c r="N300" s="711">
        <v>42705</v>
      </c>
      <c r="O300" s="711">
        <v>42711</v>
      </c>
      <c r="P300" s="877">
        <v>42779</v>
      </c>
      <c r="Q300" s="1203" t="s">
        <v>1649</v>
      </c>
    </row>
    <row r="301" spans="1:17" ht="16.5" thickTop="1" thickBot="1">
      <c r="A301" s="232" t="s">
        <v>1377</v>
      </c>
      <c r="B301" s="232" t="s">
        <v>58</v>
      </c>
      <c r="C301" s="232" t="s">
        <v>55</v>
      </c>
      <c r="D301" s="274" t="s">
        <v>1378</v>
      </c>
      <c r="E301" s="232" t="s">
        <v>940</v>
      </c>
      <c r="F301" s="496" t="s">
        <v>1390</v>
      </c>
      <c r="G301" s="497">
        <v>620000</v>
      </c>
      <c r="H301" s="232" t="s">
        <v>112</v>
      </c>
      <c r="I301" s="498">
        <v>42648</v>
      </c>
      <c r="J301" s="498">
        <v>42660</v>
      </c>
      <c r="K301" s="232" t="s">
        <v>584</v>
      </c>
      <c r="L301" s="499">
        <v>622529</v>
      </c>
      <c r="M301" s="499">
        <f t="shared" si="2"/>
        <v>753260.09</v>
      </c>
      <c r="N301" s="498">
        <v>42698</v>
      </c>
      <c r="O301" s="498">
        <v>42698</v>
      </c>
      <c r="P301" s="498">
        <v>42773</v>
      </c>
      <c r="Q301" s="1203" t="s">
        <v>1649</v>
      </c>
    </row>
    <row r="302" spans="1:17" ht="15.75" thickTop="1">
      <c r="A302" s="452" t="s">
        <v>1386</v>
      </c>
      <c r="B302" s="453" t="s">
        <v>1387</v>
      </c>
      <c r="C302" s="453" t="s">
        <v>230</v>
      </c>
      <c r="D302" s="473" t="s">
        <v>1405</v>
      </c>
      <c r="E302" s="453" t="s">
        <v>154</v>
      </c>
      <c r="F302" s="454"/>
      <c r="G302" s="455">
        <v>1200000</v>
      </c>
      <c r="H302" s="453" t="s">
        <v>216</v>
      </c>
      <c r="I302" s="474">
        <v>42643</v>
      </c>
      <c r="J302" s="474">
        <v>42660</v>
      </c>
      <c r="K302" s="453" t="s">
        <v>1434</v>
      </c>
      <c r="L302" s="457">
        <v>532420</v>
      </c>
      <c r="M302" s="457">
        <f t="shared" si="2"/>
        <v>644228.19999999995</v>
      </c>
      <c r="N302" s="474">
        <v>42702</v>
      </c>
      <c r="O302" s="474">
        <v>42705</v>
      </c>
      <c r="P302" s="575">
        <v>43181</v>
      </c>
    </row>
    <row r="303" spans="1:17" ht="15.75" thickBot="1">
      <c r="A303" s="446" t="s">
        <v>1386</v>
      </c>
      <c r="B303" s="447" t="s">
        <v>1387</v>
      </c>
      <c r="C303" s="447" t="s">
        <v>230</v>
      </c>
      <c r="D303" s="476" t="s">
        <v>1406</v>
      </c>
      <c r="E303" s="447" t="s">
        <v>154</v>
      </c>
      <c r="F303" s="448"/>
      <c r="G303" s="449">
        <v>2000000</v>
      </c>
      <c r="H303" s="447" t="s">
        <v>216</v>
      </c>
      <c r="I303" s="477">
        <v>42643</v>
      </c>
      <c r="J303" s="477">
        <v>42660</v>
      </c>
      <c r="K303" s="447" t="s">
        <v>1434</v>
      </c>
      <c r="L303" s="450">
        <v>1605170</v>
      </c>
      <c r="M303" s="450">
        <f t="shared" si="2"/>
        <v>1942255.7</v>
      </c>
      <c r="N303" s="477">
        <v>42702</v>
      </c>
      <c r="O303" s="477">
        <v>42705</v>
      </c>
      <c r="P303" s="868">
        <v>43181</v>
      </c>
    </row>
    <row r="304" spans="1:17" ht="15.75" thickTop="1">
      <c r="A304" s="660" t="s">
        <v>1391</v>
      </c>
      <c r="B304" s="787" t="s">
        <v>58</v>
      </c>
      <c r="C304" s="787" t="s">
        <v>55</v>
      </c>
      <c r="D304" s="175" t="s">
        <v>1220</v>
      </c>
      <c r="E304" s="787" t="s">
        <v>421</v>
      </c>
      <c r="F304" s="419" t="s">
        <v>1392</v>
      </c>
      <c r="G304" s="127">
        <v>370000</v>
      </c>
      <c r="H304" s="787" t="s">
        <v>112</v>
      </c>
      <c r="I304" s="365">
        <v>42648</v>
      </c>
      <c r="J304" s="365">
        <v>42660</v>
      </c>
      <c r="K304" s="787" t="s">
        <v>1151</v>
      </c>
      <c r="L304" s="364">
        <v>406280</v>
      </c>
      <c r="M304" s="364">
        <f t="shared" si="2"/>
        <v>491598.8</v>
      </c>
      <c r="N304" s="365">
        <v>42711</v>
      </c>
      <c r="O304" s="787" t="s">
        <v>239</v>
      </c>
      <c r="P304" s="670" t="s">
        <v>239</v>
      </c>
    </row>
    <row r="305" spans="1:18">
      <c r="A305" s="501" t="s">
        <v>1393</v>
      </c>
      <c r="B305" s="491" t="s">
        <v>58</v>
      </c>
      <c r="C305" s="491" t="s">
        <v>55</v>
      </c>
      <c r="D305" s="571" t="s">
        <v>1394</v>
      </c>
      <c r="E305" s="491" t="s">
        <v>421</v>
      </c>
      <c r="F305" s="572" t="s">
        <v>1395</v>
      </c>
      <c r="G305" s="558">
        <v>225000</v>
      </c>
      <c r="H305" s="491" t="s">
        <v>112</v>
      </c>
      <c r="I305" s="537">
        <v>42648</v>
      </c>
      <c r="J305" s="537">
        <v>42660</v>
      </c>
      <c r="K305" s="491" t="s">
        <v>1151</v>
      </c>
      <c r="L305" s="536">
        <v>302609</v>
      </c>
      <c r="M305" s="536">
        <f t="shared" si="2"/>
        <v>366156.89</v>
      </c>
      <c r="N305" s="537">
        <v>42711</v>
      </c>
      <c r="O305" s="491" t="s">
        <v>239</v>
      </c>
      <c r="P305" s="502" t="s">
        <v>239</v>
      </c>
    </row>
    <row r="306" spans="1:18">
      <c r="A306" s="501" t="s">
        <v>1383</v>
      </c>
      <c r="B306" s="491" t="s">
        <v>894</v>
      </c>
      <c r="C306" s="491" t="s">
        <v>361</v>
      </c>
      <c r="D306" s="571" t="s">
        <v>1384</v>
      </c>
      <c r="E306" s="491" t="s">
        <v>1385</v>
      </c>
      <c r="F306" s="572"/>
      <c r="G306" s="558">
        <v>1650000</v>
      </c>
      <c r="H306" s="491" t="s">
        <v>112</v>
      </c>
      <c r="I306" s="537">
        <v>42692</v>
      </c>
      <c r="J306" s="537">
        <v>42704</v>
      </c>
      <c r="K306" s="491" t="s">
        <v>1365</v>
      </c>
      <c r="L306" s="536">
        <v>657320</v>
      </c>
      <c r="M306" s="536">
        <f t="shared" si="2"/>
        <v>795357.2</v>
      </c>
      <c r="N306" s="537">
        <v>42724</v>
      </c>
      <c r="O306" s="537">
        <v>42726</v>
      </c>
      <c r="P306" s="852">
        <v>43181</v>
      </c>
      <c r="Q306" s="1206">
        <v>43552</v>
      </c>
      <c r="R306" s="390"/>
    </row>
    <row r="307" spans="1:18">
      <c r="A307" s="501" t="s">
        <v>1412</v>
      </c>
      <c r="B307" s="491" t="s">
        <v>58</v>
      </c>
      <c r="C307" s="491" t="s">
        <v>55</v>
      </c>
      <c r="D307" s="571" t="s">
        <v>1413</v>
      </c>
      <c r="E307" s="491" t="s">
        <v>1426</v>
      </c>
      <c r="F307" s="572" t="s">
        <v>1427</v>
      </c>
      <c r="G307" s="558">
        <v>3390000</v>
      </c>
      <c r="H307" s="491" t="s">
        <v>216</v>
      </c>
      <c r="I307" s="537">
        <v>42682</v>
      </c>
      <c r="J307" s="537">
        <v>42699</v>
      </c>
      <c r="K307" s="491" t="s">
        <v>1397</v>
      </c>
      <c r="L307" s="536">
        <v>3379830</v>
      </c>
      <c r="M307" s="536">
        <f t="shared" si="2"/>
        <v>4089594.3</v>
      </c>
      <c r="N307" s="537">
        <v>42735</v>
      </c>
      <c r="O307" s="537">
        <v>42745</v>
      </c>
      <c r="P307" s="852">
        <v>42800</v>
      </c>
      <c r="Q307" s="1203" t="s">
        <v>1649</v>
      </c>
    </row>
    <row r="308" spans="1:18">
      <c r="A308" s="501" t="s">
        <v>1414</v>
      </c>
      <c r="B308" s="491" t="s">
        <v>1415</v>
      </c>
      <c r="C308" s="491" t="s">
        <v>1416</v>
      </c>
      <c r="D308" s="571" t="s">
        <v>1417</v>
      </c>
      <c r="E308" s="491" t="s">
        <v>1422</v>
      </c>
      <c r="F308" s="572"/>
      <c r="G308" s="558">
        <v>400000</v>
      </c>
      <c r="H308" s="491" t="s">
        <v>112</v>
      </c>
      <c r="I308" s="537">
        <v>42662</v>
      </c>
      <c r="J308" s="537">
        <v>42667</v>
      </c>
      <c r="K308" s="491" t="s">
        <v>1439</v>
      </c>
      <c r="L308" s="536">
        <f>M308/1.21</f>
        <v>328206.61157024791</v>
      </c>
      <c r="M308" s="536">
        <v>397130</v>
      </c>
      <c r="N308" s="537">
        <v>42682</v>
      </c>
      <c r="O308" s="491" t="s">
        <v>239</v>
      </c>
      <c r="P308" s="502" t="s">
        <v>239</v>
      </c>
    </row>
    <row r="309" spans="1:18">
      <c r="A309" s="501" t="s">
        <v>1418</v>
      </c>
      <c r="B309" s="491" t="s">
        <v>58</v>
      </c>
      <c r="C309" s="491" t="s">
        <v>55</v>
      </c>
      <c r="D309" s="571" t="s">
        <v>1419</v>
      </c>
      <c r="E309" s="491" t="s">
        <v>1424</v>
      </c>
      <c r="F309" s="572" t="s">
        <v>1425</v>
      </c>
      <c r="G309" s="558">
        <v>745000</v>
      </c>
      <c r="H309" s="491" t="s">
        <v>112</v>
      </c>
      <c r="I309" s="537">
        <v>42662</v>
      </c>
      <c r="J309" s="537">
        <v>42678</v>
      </c>
      <c r="K309" s="491" t="s">
        <v>1475</v>
      </c>
      <c r="L309" s="536">
        <f>M309/1.21</f>
        <v>879727.99999999988</v>
      </c>
      <c r="M309" s="536">
        <v>1064470.8799999999</v>
      </c>
      <c r="N309" s="537">
        <v>42702</v>
      </c>
      <c r="O309" s="537">
        <v>42710</v>
      </c>
      <c r="P309" s="852">
        <v>42864</v>
      </c>
      <c r="Q309" s="1203" t="s">
        <v>1649</v>
      </c>
    </row>
    <row r="310" spans="1:18">
      <c r="A310" s="501" t="s">
        <v>1420</v>
      </c>
      <c r="B310" s="491" t="s">
        <v>58</v>
      </c>
      <c r="C310" s="491" t="s">
        <v>55</v>
      </c>
      <c r="D310" s="571" t="s">
        <v>1421</v>
      </c>
      <c r="E310" s="491" t="s">
        <v>77</v>
      </c>
      <c r="F310" s="572" t="s">
        <v>1423</v>
      </c>
      <c r="G310" s="558">
        <v>660000</v>
      </c>
      <c r="H310" s="491" t="s">
        <v>112</v>
      </c>
      <c r="I310" s="537">
        <v>42662</v>
      </c>
      <c r="J310" s="537">
        <v>42674</v>
      </c>
      <c r="K310" s="491" t="s">
        <v>1433</v>
      </c>
      <c r="L310" s="536">
        <v>707188.58</v>
      </c>
      <c r="M310" s="536">
        <v>855698.18</v>
      </c>
      <c r="N310" s="537">
        <v>42724</v>
      </c>
      <c r="O310" s="537">
        <v>42726</v>
      </c>
      <c r="P310" s="852">
        <v>42807</v>
      </c>
      <c r="Q310" s="1203" t="s">
        <v>1649</v>
      </c>
    </row>
    <row r="311" spans="1:18">
      <c r="A311" s="501" t="s">
        <v>1429</v>
      </c>
      <c r="B311" s="491" t="s">
        <v>69</v>
      </c>
      <c r="C311" s="491" t="s">
        <v>70</v>
      </c>
      <c r="D311" s="571" t="s">
        <v>1430</v>
      </c>
      <c r="E311" s="491" t="s">
        <v>1431</v>
      </c>
      <c r="F311" s="572"/>
      <c r="G311" s="558">
        <v>231200</v>
      </c>
      <c r="H311" s="491" t="s">
        <v>112</v>
      </c>
      <c r="I311" s="537">
        <v>42670</v>
      </c>
      <c r="J311" s="537">
        <v>42676</v>
      </c>
      <c r="K311" s="491" t="s">
        <v>1432</v>
      </c>
      <c r="L311" s="536">
        <f>M311/1.21</f>
        <v>224034.71074380167</v>
      </c>
      <c r="M311" s="536">
        <v>271082</v>
      </c>
      <c r="N311" s="537">
        <v>42683</v>
      </c>
      <c r="O311" s="537" t="s">
        <v>239</v>
      </c>
      <c r="P311" s="502" t="s">
        <v>239</v>
      </c>
    </row>
    <row r="312" spans="1:18">
      <c r="A312" s="501" t="s">
        <v>1436</v>
      </c>
      <c r="B312" s="491" t="s">
        <v>166</v>
      </c>
      <c r="C312" s="491" t="s">
        <v>167</v>
      </c>
      <c r="D312" s="571" t="s">
        <v>1437</v>
      </c>
      <c r="E312" s="491" t="s">
        <v>1438</v>
      </c>
      <c r="F312" s="572" t="s">
        <v>812</v>
      </c>
      <c r="G312" s="558">
        <v>300000</v>
      </c>
      <c r="H312" s="491" t="s">
        <v>112</v>
      </c>
      <c r="I312" s="537">
        <v>42681</v>
      </c>
      <c r="J312" s="537">
        <v>42688</v>
      </c>
      <c r="K312" s="491" t="s">
        <v>707</v>
      </c>
      <c r="L312" s="536">
        <v>399556.53</v>
      </c>
      <c r="M312" s="536">
        <f>L312*1.21</f>
        <v>483463.40130000003</v>
      </c>
      <c r="N312" s="537">
        <v>42716</v>
      </c>
      <c r="O312" s="537">
        <v>42716</v>
      </c>
      <c r="P312" s="852">
        <v>42821</v>
      </c>
    </row>
    <row r="313" spans="1:18">
      <c r="A313" s="559" t="s">
        <v>1445</v>
      </c>
      <c r="B313" s="530" t="s">
        <v>367</v>
      </c>
      <c r="C313" s="530" t="s">
        <v>1446</v>
      </c>
      <c r="D313" s="568" t="s">
        <v>1447</v>
      </c>
      <c r="E313" s="530" t="s">
        <v>298</v>
      </c>
      <c r="F313" s="531"/>
      <c r="G313" s="532">
        <v>13145000</v>
      </c>
      <c r="H313" s="530" t="s">
        <v>251</v>
      </c>
      <c r="I313" s="530"/>
      <c r="J313" s="530"/>
      <c r="K313" s="530"/>
      <c r="L313" s="533"/>
      <c r="M313" s="533"/>
      <c r="N313" s="530"/>
      <c r="O313" s="530"/>
      <c r="P313" s="560"/>
      <c r="Q313" s="9"/>
    </row>
    <row r="314" spans="1:18" ht="15.75" thickBot="1">
      <c r="A314" s="760" t="s">
        <v>1449</v>
      </c>
      <c r="B314" s="406" t="s">
        <v>1450</v>
      </c>
      <c r="C314" s="406" t="s">
        <v>1451</v>
      </c>
      <c r="D314" s="462" t="s">
        <v>317</v>
      </c>
      <c r="E314" s="406" t="s">
        <v>1452</v>
      </c>
      <c r="F314" s="505"/>
      <c r="G314" s="463">
        <v>150000</v>
      </c>
      <c r="H314" s="406" t="s">
        <v>112</v>
      </c>
      <c r="I314" s="464">
        <v>42685</v>
      </c>
      <c r="J314" s="464">
        <v>42695</v>
      </c>
      <c r="K314" s="406" t="s">
        <v>1514</v>
      </c>
      <c r="L314" s="465">
        <v>69316</v>
      </c>
      <c r="M314" s="465">
        <f>L314*1.21</f>
        <v>83872.36</v>
      </c>
      <c r="N314" s="406"/>
      <c r="O314" s="406" t="s">
        <v>239</v>
      </c>
      <c r="P314" s="765" t="s">
        <v>239</v>
      </c>
      <c r="Q314" s="9"/>
    </row>
    <row r="315" spans="1:18" ht="15.75" thickTop="1">
      <c r="A315" s="582" t="s">
        <v>1453</v>
      </c>
      <c r="B315" s="583" t="s">
        <v>69</v>
      </c>
      <c r="C315" s="583" t="s">
        <v>70</v>
      </c>
      <c r="D315" s="584" t="s">
        <v>1468</v>
      </c>
      <c r="E315" s="583" t="s">
        <v>814</v>
      </c>
      <c r="F315" s="585"/>
      <c r="G315" s="586">
        <v>373380.28</v>
      </c>
      <c r="H315" s="583" t="s">
        <v>251</v>
      </c>
      <c r="I315" s="587">
        <v>42711</v>
      </c>
      <c r="J315" s="587">
        <v>42759</v>
      </c>
      <c r="K315" s="583"/>
      <c r="L315" s="588"/>
      <c r="M315" s="588"/>
      <c r="N315" s="583"/>
      <c r="O315" s="583"/>
      <c r="P315" s="808"/>
      <c r="Q315" s="9"/>
    </row>
    <row r="316" spans="1:18">
      <c r="A316" s="589" t="s">
        <v>1453</v>
      </c>
      <c r="B316" s="590" t="s">
        <v>69</v>
      </c>
      <c r="C316" s="590" t="s">
        <v>70</v>
      </c>
      <c r="D316" s="591" t="s">
        <v>1469</v>
      </c>
      <c r="E316" s="590" t="s">
        <v>814</v>
      </c>
      <c r="F316" s="592"/>
      <c r="G316" s="593">
        <v>1063557.69</v>
      </c>
      <c r="H316" s="590" t="s">
        <v>251</v>
      </c>
      <c r="I316" s="594">
        <v>42711</v>
      </c>
      <c r="J316" s="594">
        <v>42759</v>
      </c>
      <c r="K316" s="590"/>
      <c r="L316" s="595"/>
      <c r="M316" s="595"/>
      <c r="N316" s="590"/>
      <c r="O316" s="590"/>
      <c r="P316" s="764"/>
      <c r="Q316" s="9"/>
    </row>
    <row r="317" spans="1:18">
      <c r="A317" s="589" t="s">
        <v>1453</v>
      </c>
      <c r="B317" s="590" t="s">
        <v>69</v>
      </c>
      <c r="C317" s="590" t="s">
        <v>70</v>
      </c>
      <c r="D317" s="591" t="s">
        <v>1470</v>
      </c>
      <c r="E317" s="590" t="s">
        <v>814</v>
      </c>
      <c r="F317" s="592"/>
      <c r="G317" s="593">
        <v>3978.41</v>
      </c>
      <c r="H317" s="590" t="s">
        <v>251</v>
      </c>
      <c r="I317" s="594">
        <v>42711</v>
      </c>
      <c r="J317" s="594">
        <v>42759</v>
      </c>
      <c r="K317" s="590"/>
      <c r="L317" s="595"/>
      <c r="M317" s="595"/>
      <c r="N317" s="590"/>
      <c r="O317" s="590"/>
      <c r="P317" s="764"/>
      <c r="Q317" s="9"/>
    </row>
    <row r="318" spans="1:18">
      <c r="A318" s="589" t="s">
        <v>1453</v>
      </c>
      <c r="B318" s="590" t="s">
        <v>69</v>
      </c>
      <c r="C318" s="590" t="s">
        <v>70</v>
      </c>
      <c r="D318" s="591" t="s">
        <v>1471</v>
      </c>
      <c r="E318" s="590" t="s">
        <v>814</v>
      </c>
      <c r="F318" s="592"/>
      <c r="G318" s="593">
        <v>516774</v>
      </c>
      <c r="H318" s="590" t="s">
        <v>251</v>
      </c>
      <c r="I318" s="594">
        <v>42711</v>
      </c>
      <c r="J318" s="594">
        <v>42759</v>
      </c>
      <c r="K318" s="590"/>
      <c r="L318" s="595"/>
      <c r="M318" s="595"/>
      <c r="N318" s="590"/>
      <c r="O318" s="590"/>
      <c r="P318" s="764"/>
      <c r="Q318" s="9"/>
    </row>
    <row r="319" spans="1:18">
      <c r="A319" s="589" t="s">
        <v>1453</v>
      </c>
      <c r="B319" s="590" t="s">
        <v>69</v>
      </c>
      <c r="C319" s="590" t="s">
        <v>70</v>
      </c>
      <c r="D319" s="591" t="s">
        <v>1472</v>
      </c>
      <c r="E319" s="590" t="s">
        <v>814</v>
      </c>
      <c r="F319" s="592"/>
      <c r="G319" s="593">
        <v>4647513.84</v>
      </c>
      <c r="H319" s="590" t="s">
        <v>251</v>
      </c>
      <c r="I319" s="594">
        <v>42711</v>
      </c>
      <c r="J319" s="594">
        <v>42759</v>
      </c>
      <c r="K319" s="590"/>
      <c r="L319" s="595"/>
      <c r="M319" s="595"/>
      <c r="N319" s="590"/>
      <c r="O319" s="590"/>
      <c r="P319" s="764"/>
      <c r="Q319" s="9"/>
    </row>
    <row r="320" spans="1:18">
      <c r="A320" s="589" t="s">
        <v>1453</v>
      </c>
      <c r="B320" s="590" t="s">
        <v>69</v>
      </c>
      <c r="C320" s="590" t="s">
        <v>70</v>
      </c>
      <c r="D320" s="591" t="s">
        <v>1473</v>
      </c>
      <c r="E320" s="590" t="s">
        <v>814</v>
      </c>
      <c r="F320" s="592"/>
      <c r="G320" s="593">
        <v>744531.52</v>
      </c>
      <c r="H320" s="590" t="s">
        <v>251</v>
      </c>
      <c r="I320" s="594">
        <v>42711</v>
      </c>
      <c r="J320" s="594">
        <v>42759</v>
      </c>
      <c r="K320" s="590"/>
      <c r="L320" s="595"/>
      <c r="M320" s="595"/>
      <c r="N320" s="590"/>
      <c r="O320" s="590"/>
      <c r="P320" s="764"/>
      <c r="Q320" s="9"/>
    </row>
    <row r="321" spans="1:17" ht="15.75" thickBot="1">
      <c r="A321" s="596" t="s">
        <v>1453</v>
      </c>
      <c r="B321" s="597" t="s">
        <v>69</v>
      </c>
      <c r="C321" s="597" t="s">
        <v>70</v>
      </c>
      <c r="D321" s="598" t="s">
        <v>1474</v>
      </c>
      <c r="E321" s="597" t="s">
        <v>814</v>
      </c>
      <c r="F321" s="599"/>
      <c r="G321" s="600">
        <v>554887.48</v>
      </c>
      <c r="H321" s="597" t="s">
        <v>251</v>
      </c>
      <c r="I321" s="601">
        <v>42711</v>
      </c>
      <c r="J321" s="601">
        <v>42759</v>
      </c>
      <c r="K321" s="597"/>
      <c r="L321" s="602"/>
      <c r="M321" s="602"/>
      <c r="N321" s="597"/>
      <c r="O321" s="597"/>
      <c r="P321" s="762"/>
      <c r="Q321" s="9"/>
    </row>
    <row r="322" spans="1:17" ht="15.75" thickTop="1">
      <c r="A322" s="660" t="s">
        <v>1480</v>
      </c>
      <c r="B322" s="835" t="s">
        <v>837</v>
      </c>
      <c r="C322" s="835" t="s">
        <v>1481</v>
      </c>
      <c r="D322" s="175" t="s">
        <v>771</v>
      </c>
      <c r="E322" s="835" t="s">
        <v>360</v>
      </c>
      <c r="F322" s="419" t="s">
        <v>834</v>
      </c>
      <c r="G322" s="127">
        <v>1170000</v>
      </c>
      <c r="H322" s="835" t="s">
        <v>112</v>
      </c>
      <c r="I322" s="365">
        <v>42690</v>
      </c>
      <c r="J322" s="365">
        <v>42702</v>
      </c>
      <c r="K322" s="835" t="s">
        <v>1511</v>
      </c>
      <c r="L322" s="364">
        <v>797517.16</v>
      </c>
      <c r="M322" s="364">
        <v>964996.16</v>
      </c>
      <c r="N322" s="365">
        <v>42725</v>
      </c>
      <c r="O322" s="365">
        <v>42726</v>
      </c>
      <c r="P322" s="834">
        <v>42926</v>
      </c>
    </row>
    <row r="323" spans="1:17">
      <c r="A323" s="728" t="s">
        <v>1482</v>
      </c>
      <c r="B323" s="540" t="s">
        <v>1483</v>
      </c>
      <c r="C323" s="540" t="s">
        <v>1484</v>
      </c>
      <c r="D323" s="541" t="s">
        <v>1485</v>
      </c>
      <c r="E323" s="540" t="s">
        <v>259</v>
      </c>
      <c r="F323" s="542"/>
      <c r="G323" s="543">
        <v>1869600</v>
      </c>
      <c r="H323" s="540" t="s">
        <v>95</v>
      </c>
      <c r="I323" s="544">
        <v>42716</v>
      </c>
      <c r="J323" s="544">
        <v>42725</v>
      </c>
      <c r="K323" s="540" t="s">
        <v>379</v>
      </c>
      <c r="L323" s="545">
        <v>1846800</v>
      </c>
      <c r="M323" s="545">
        <f>L323*1.21</f>
        <v>2234628</v>
      </c>
      <c r="N323" s="540"/>
      <c r="O323" s="540"/>
      <c r="P323" s="763"/>
      <c r="Q323" s="9"/>
    </row>
    <row r="324" spans="1:17">
      <c r="A324" s="728" t="s">
        <v>1486</v>
      </c>
      <c r="B324" s="540" t="s">
        <v>52</v>
      </c>
      <c r="C324" s="540" t="s">
        <v>227</v>
      </c>
      <c r="D324" s="541" t="s">
        <v>1487</v>
      </c>
      <c r="E324" s="540" t="s">
        <v>1490</v>
      </c>
      <c r="F324" s="542" t="s">
        <v>1491</v>
      </c>
      <c r="G324" s="543">
        <v>16520000</v>
      </c>
      <c r="H324" s="540" t="s">
        <v>251</v>
      </c>
      <c r="I324" s="544">
        <v>42716</v>
      </c>
      <c r="J324" s="544">
        <v>42740</v>
      </c>
      <c r="K324" s="540"/>
      <c r="L324" s="545"/>
      <c r="M324" s="545"/>
      <c r="N324" s="540"/>
      <c r="O324" s="540"/>
      <c r="P324" s="763"/>
      <c r="Q324" s="9"/>
    </row>
    <row r="325" spans="1:17">
      <c r="A325" s="728" t="s">
        <v>1488</v>
      </c>
      <c r="B325" s="540" t="s">
        <v>289</v>
      </c>
      <c r="C325" s="540" t="s">
        <v>291</v>
      </c>
      <c r="D325" s="541" t="s">
        <v>1489</v>
      </c>
      <c r="E325" s="540" t="s">
        <v>455</v>
      </c>
      <c r="F325" s="542"/>
      <c r="G325" s="543">
        <v>460000</v>
      </c>
      <c r="H325" s="540" t="s">
        <v>112</v>
      </c>
      <c r="I325" s="544">
        <v>42705</v>
      </c>
      <c r="J325" s="544">
        <v>42725</v>
      </c>
      <c r="K325" s="540" t="s">
        <v>1565</v>
      </c>
      <c r="L325" s="545">
        <v>466400</v>
      </c>
      <c r="M325" s="545">
        <f>L325*1.21</f>
        <v>564344</v>
      </c>
      <c r="N325" s="540"/>
      <c r="O325" s="540" t="s">
        <v>239</v>
      </c>
      <c r="P325" s="763" t="s">
        <v>239</v>
      </c>
      <c r="Q325" s="9"/>
    </row>
    <row r="326" spans="1:17">
      <c r="A326" s="589" t="s">
        <v>1496</v>
      </c>
      <c r="B326" s="590" t="s">
        <v>14</v>
      </c>
      <c r="C326" s="590" t="s">
        <v>13</v>
      </c>
      <c r="D326" s="591" t="s">
        <v>1497</v>
      </c>
      <c r="E326" s="590" t="s">
        <v>761</v>
      </c>
      <c r="F326" s="592" t="s">
        <v>762</v>
      </c>
      <c r="G326" s="593">
        <v>2430000</v>
      </c>
      <c r="H326" s="590" t="s">
        <v>216</v>
      </c>
      <c r="I326" s="594">
        <v>42719</v>
      </c>
      <c r="J326" s="594">
        <v>42748</v>
      </c>
      <c r="K326" s="590"/>
      <c r="L326" s="595"/>
      <c r="M326" s="595"/>
      <c r="N326" s="590"/>
      <c r="O326" s="590"/>
      <c r="P326" s="764"/>
      <c r="Q326" s="9"/>
    </row>
    <row r="327" spans="1:17">
      <c r="A327" s="728" t="s">
        <v>1498</v>
      </c>
      <c r="B327" s="540" t="s">
        <v>166</v>
      </c>
      <c r="C327" s="540" t="s">
        <v>167</v>
      </c>
      <c r="D327" s="541" t="s">
        <v>810</v>
      </c>
      <c r="E327" s="540" t="s">
        <v>1438</v>
      </c>
      <c r="F327" s="542" t="s">
        <v>811</v>
      </c>
      <c r="G327" s="543">
        <v>700000</v>
      </c>
      <c r="H327" s="540" t="s">
        <v>112</v>
      </c>
      <c r="I327" s="544">
        <v>42706</v>
      </c>
      <c r="J327" s="544">
        <v>42716</v>
      </c>
      <c r="K327" s="540" t="s">
        <v>409</v>
      </c>
      <c r="L327" s="545">
        <v>886690.88</v>
      </c>
      <c r="M327" s="545">
        <f>L327*1.21</f>
        <v>1072895.9648</v>
      </c>
      <c r="N327" s="540"/>
      <c r="O327" s="540"/>
      <c r="P327" s="763"/>
      <c r="Q327" s="9"/>
    </row>
    <row r="328" spans="1:17">
      <c r="A328" s="515" t="s">
        <v>1499</v>
      </c>
      <c r="B328" s="506" t="s">
        <v>58</v>
      </c>
      <c r="C328" s="506" t="s">
        <v>55</v>
      </c>
      <c r="D328" s="507" t="s">
        <v>1500</v>
      </c>
      <c r="E328" s="506" t="s">
        <v>396</v>
      </c>
      <c r="F328" s="508" t="s">
        <v>1501</v>
      </c>
      <c r="G328" s="509">
        <v>2750000</v>
      </c>
      <c r="H328" s="506" t="s">
        <v>216</v>
      </c>
      <c r="I328" s="510">
        <v>42706</v>
      </c>
      <c r="J328" s="510">
        <v>42739</v>
      </c>
      <c r="K328" s="761" t="s">
        <v>242</v>
      </c>
      <c r="L328" s="511"/>
      <c r="M328" s="511"/>
      <c r="N328" s="506"/>
      <c r="O328" s="506"/>
      <c r="P328" s="521"/>
      <c r="Q328" s="9"/>
    </row>
    <row r="329" spans="1:17">
      <c r="A329" s="728" t="s">
        <v>1502</v>
      </c>
      <c r="B329" s="540" t="s">
        <v>1503</v>
      </c>
      <c r="C329" s="540" t="s">
        <v>918</v>
      </c>
      <c r="D329" s="541" t="s">
        <v>1541</v>
      </c>
      <c r="E329" s="540" t="s">
        <v>36</v>
      </c>
      <c r="F329" s="542"/>
      <c r="G329" s="543">
        <v>1900000</v>
      </c>
      <c r="H329" s="540" t="s">
        <v>112</v>
      </c>
      <c r="I329" s="544">
        <v>42723</v>
      </c>
      <c r="J329" s="544">
        <v>42740</v>
      </c>
      <c r="K329" s="540"/>
      <c r="L329" s="545"/>
      <c r="M329" s="545"/>
      <c r="N329" s="540"/>
      <c r="O329" s="540"/>
      <c r="P329" s="763"/>
      <c r="Q329" s="9"/>
    </row>
    <row r="330" spans="1:17">
      <c r="A330" s="728" t="s">
        <v>1504</v>
      </c>
      <c r="B330" s="540" t="s">
        <v>58</v>
      </c>
      <c r="C330" s="540" t="s">
        <v>57</v>
      </c>
      <c r="D330" s="541" t="s">
        <v>1505</v>
      </c>
      <c r="E330" s="540" t="s">
        <v>788</v>
      </c>
      <c r="F330" s="542" t="s">
        <v>1506</v>
      </c>
      <c r="G330" s="543">
        <v>3120000</v>
      </c>
      <c r="H330" s="540" t="s">
        <v>216</v>
      </c>
      <c r="I330" s="544">
        <v>42711</v>
      </c>
      <c r="J330" s="544">
        <v>42739</v>
      </c>
      <c r="K330" s="540"/>
      <c r="L330" s="545"/>
      <c r="M330" s="545"/>
      <c r="N330" s="540"/>
      <c r="O330" s="540"/>
      <c r="P330" s="763"/>
      <c r="Q330" s="9"/>
    </row>
    <row r="331" spans="1:17">
      <c r="A331" s="728" t="s">
        <v>1508</v>
      </c>
      <c r="B331" s="540" t="s">
        <v>52</v>
      </c>
      <c r="C331" s="540" t="s">
        <v>227</v>
      </c>
      <c r="D331" s="541" t="s">
        <v>1515</v>
      </c>
      <c r="E331" s="540" t="s">
        <v>1509</v>
      </c>
      <c r="F331" s="542"/>
      <c r="G331" s="543">
        <v>265000</v>
      </c>
      <c r="H331" s="540" t="s">
        <v>112</v>
      </c>
      <c r="I331" s="544">
        <v>42713</v>
      </c>
      <c r="J331" s="544">
        <v>42720</v>
      </c>
      <c r="K331" s="540" t="s">
        <v>1555</v>
      </c>
      <c r="L331" s="545">
        <v>218348</v>
      </c>
      <c r="M331" s="545">
        <f>L331*1.21</f>
        <v>264201.08</v>
      </c>
      <c r="N331" s="540"/>
      <c r="O331" s="540" t="s">
        <v>239</v>
      </c>
      <c r="P331" s="763" t="s">
        <v>239</v>
      </c>
      <c r="Q331" s="9"/>
    </row>
    <row r="332" spans="1:17">
      <c r="A332" s="728" t="s">
        <v>1516</v>
      </c>
      <c r="B332" s="540" t="s">
        <v>1503</v>
      </c>
      <c r="C332" s="540" t="s">
        <v>918</v>
      </c>
      <c r="D332" s="541" t="s">
        <v>1517</v>
      </c>
      <c r="E332" s="540" t="s">
        <v>1518</v>
      </c>
      <c r="F332" s="542"/>
      <c r="G332" s="543">
        <v>1100000</v>
      </c>
      <c r="H332" s="540" t="s">
        <v>112</v>
      </c>
      <c r="I332" s="544">
        <v>42723</v>
      </c>
      <c r="J332" s="544">
        <v>42740</v>
      </c>
      <c r="K332" s="540"/>
      <c r="L332" s="545"/>
      <c r="M332" s="545"/>
      <c r="N332" s="540"/>
      <c r="O332" s="540"/>
      <c r="P332" s="763"/>
      <c r="Q332" s="9"/>
    </row>
    <row r="333" spans="1:17">
      <c r="A333" s="728" t="s">
        <v>1520</v>
      </c>
      <c r="B333" s="540" t="s">
        <v>1503</v>
      </c>
      <c r="C333" s="540" t="s">
        <v>918</v>
      </c>
      <c r="D333" s="541" t="s">
        <v>1519</v>
      </c>
      <c r="E333" s="540" t="s">
        <v>1518</v>
      </c>
      <c r="F333" s="542"/>
      <c r="G333" s="543">
        <v>1000000</v>
      </c>
      <c r="H333" s="540" t="s">
        <v>112</v>
      </c>
      <c r="I333" s="544">
        <v>42723</v>
      </c>
      <c r="J333" s="544">
        <v>42740</v>
      </c>
      <c r="K333" s="540"/>
      <c r="L333" s="545"/>
      <c r="M333" s="545"/>
      <c r="N333" s="540"/>
      <c r="O333" s="540"/>
      <c r="P333" s="763"/>
      <c r="Q333" s="9"/>
    </row>
    <row r="334" spans="1:17" ht="15.75" thickBot="1">
      <c r="A334" s="760" t="s">
        <v>1521</v>
      </c>
      <c r="B334" s="406" t="s">
        <v>52</v>
      </c>
      <c r="C334" s="406" t="s">
        <v>227</v>
      </c>
      <c r="D334" s="462" t="s">
        <v>1522</v>
      </c>
      <c r="E334" s="406" t="s">
        <v>1274</v>
      </c>
      <c r="F334" s="505"/>
      <c r="G334" s="463">
        <v>412000</v>
      </c>
      <c r="H334" s="406" t="s">
        <v>112</v>
      </c>
      <c r="I334" s="464">
        <v>42713</v>
      </c>
      <c r="J334" s="464">
        <v>42725</v>
      </c>
      <c r="K334" s="406" t="s">
        <v>1563</v>
      </c>
      <c r="L334" s="465">
        <v>748000</v>
      </c>
      <c r="M334" s="465">
        <f>L334*1.21</f>
        <v>905080</v>
      </c>
      <c r="N334" s="406"/>
      <c r="O334" s="406"/>
      <c r="P334" s="765"/>
      <c r="Q334" s="9"/>
    </row>
    <row r="335" spans="1:17" ht="15.75" thickTop="1">
      <c r="A335" s="582" t="s">
        <v>1525</v>
      </c>
      <c r="B335" s="583" t="s">
        <v>69</v>
      </c>
      <c r="C335" s="583" t="s">
        <v>70</v>
      </c>
      <c r="D335" s="584" t="s">
        <v>1538</v>
      </c>
      <c r="E335" s="583" t="s">
        <v>814</v>
      </c>
      <c r="F335" s="585"/>
      <c r="G335" s="586">
        <v>3364107.4</v>
      </c>
      <c r="H335" s="583" t="s">
        <v>251</v>
      </c>
      <c r="I335" s="587">
        <v>42719</v>
      </c>
      <c r="J335" s="587">
        <v>42759</v>
      </c>
      <c r="K335" s="583"/>
      <c r="L335" s="588"/>
      <c r="M335" s="588"/>
      <c r="N335" s="583"/>
      <c r="O335" s="583"/>
      <c r="P335" s="808"/>
      <c r="Q335" s="9"/>
    </row>
    <row r="336" spans="1:17">
      <c r="A336" s="589" t="s">
        <v>1525</v>
      </c>
      <c r="B336" s="590" t="s">
        <v>69</v>
      </c>
      <c r="C336" s="590" t="s">
        <v>70</v>
      </c>
      <c r="D336" s="591" t="s">
        <v>1539</v>
      </c>
      <c r="E336" s="590" t="s">
        <v>814</v>
      </c>
      <c r="F336" s="592"/>
      <c r="G336" s="593">
        <v>106063.81</v>
      </c>
      <c r="H336" s="590" t="s">
        <v>251</v>
      </c>
      <c r="I336" s="594">
        <v>42719</v>
      </c>
      <c r="J336" s="594">
        <v>42759</v>
      </c>
      <c r="K336" s="590"/>
      <c r="L336" s="595"/>
      <c r="M336" s="595"/>
      <c r="N336" s="590"/>
      <c r="O336" s="590"/>
      <c r="P336" s="764"/>
      <c r="Q336" s="9"/>
    </row>
    <row r="337" spans="1:17" ht="15.75" thickBot="1">
      <c r="A337" s="596" t="s">
        <v>1525</v>
      </c>
      <c r="B337" s="597" t="s">
        <v>69</v>
      </c>
      <c r="C337" s="597" t="s">
        <v>70</v>
      </c>
      <c r="D337" s="598" t="s">
        <v>1540</v>
      </c>
      <c r="E337" s="597" t="s">
        <v>814</v>
      </c>
      <c r="F337" s="599"/>
      <c r="G337" s="600">
        <v>404252.15999999997</v>
      </c>
      <c r="H337" s="597" t="s">
        <v>251</v>
      </c>
      <c r="I337" s="601">
        <v>42719</v>
      </c>
      <c r="J337" s="601">
        <v>42759</v>
      </c>
      <c r="K337" s="597"/>
      <c r="L337" s="602"/>
      <c r="M337" s="602"/>
      <c r="N337" s="597"/>
      <c r="O337" s="597"/>
      <c r="P337" s="762"/>
      <c r="Q337" s="9"/>
    </row>
    <row r="338" spans="1:17" ht="15.75" thickTop="1">
      <c r="A338" s="816" t="s">
        <v>1524</v>
      </c>
      <c r="B338" s="817" t="s">
        <v>58</v>
      </c>
      <c r="C338" s="817" t="s">
        <v>55</v>
      </c>
      <c r="D338" s="818" t="s">
        <v>1523</v>
      </c>
      <c r="E338" s="817" t="s">
        <v>1528</v>
      </c>
      <c r="F338" s="819" t="s">
        <v>1530</v>
      </c>
      <c r="G338" s="820">
        <v>470000</v>
      </c>
      <c r="H338" s="817" t="s">
        <v>112</v>
      </c>
      <c r="I338" s="817"/>
      <c r="J338" s="817"/>
      <c r="K338" s="817"/>
      <c r="L338" s="821"/>
      <c r="M338" s="821"/>
      <c r="N338" s="817"/>
      <c r="O338" s="817"/>
      <c r="P338" s="822"/>
      <c r="Q338" s="9"/>
    </row>
    <row r="339" spans="1:17" ht="15.75" thickBot="1">
      <c r="A339" s="809" t="s">
        <v>1526</v>
      </c>
      <c r="B339" s="810" t="s">
        <v>58</v>
      </c>
      <c r="C339" s="810" t="s">
        <v>55</v>
      </c>
      <c r="D339" s="811" t="s">
        <v>1527</v>
      </c>
      <c r="E339" s="810" t="s">
        <v>1531</v>
      </c>
      <c r="F339" s="833" t="s">
        <v>1529</v>
      </c>
      <c r="G339" s="813">
        <v>810000</v>
      </c>
      <c r="H339" s="810" t="s">
        <v>112</v>
      </c>
      <c r="I339" s="810"/>
      <c r="J339" s="810"/>
      <c r="K339" s="810"/>
      <c r="L339" s="814"/>
      <c r="M339" s="814"/>
      <c r="N339" s="810"/>
      <c r="O339" s="810"/>
      <c r="P339" s="815"/>
      <c r="Q339" s="9"/>
    </row>
    <row r="340" spans="1:17" ht="15.75" thickTop="1">
      <c r="A340" s="823" t="s">
        <v>1543</v>
      </c>
      <c r="B340" s="824" t="s">
        <v>69</v>
      </c>
      <c r="C340" s="824" t="s">
        <v>70</v>
      </c>
      <c r="D340" s="825" t="s">
        <v>1532</v>
      </c>
      <c r="E340" s="824" t="s">
        <v>93</v>
      </c>
      <c r="F340" s="826"/>
      <c r="G340" s="827">
        <v>1014308.37</v>
      </c>
      <c r="H340" s="824" t="s">
        <v>251</v>
      </c>
      <c r="I340" s="824"/>
      <c r="J340" s="824"/>
      <c r="K340" s="824"/>
      <c r="L340" s="828"/>
      <c r="M340" s="828"/>
      <c r="N340" s="824"/>
      <c r="O340" s="824"/>
      <c r="P340" s="829"/>
      <c r="Q340" s="9"/>
    </row>
    <row r="341" spans="1:17">
      <c r="A341" s="559" t="s">
        <v>1543</v>
      </c>
      <c r="B341" s="530" t="s">
        <v>69</v>
      </c>
      <c r="C341" s="530" t="s">
        <v>70</v>
      </c>
      <c r="D341" s="568" t="s">
        <v>1534</v>
      </c>
      <c r="E341" s="530" t="s">
        <v>93</v>
      </c>
      <c r="F341" s="531"/>
      <c r="G341" s="532">
        <v>23541274.949999999</v>
      </c>
      <c r="H341" s="530" t="s">
        <v>251</v>
      </c>
      <c r="I341" s="530"/>
      <c r="J341" s="530"/>
      <c r="K341" s="530"/>
      <c r="L341" s="533"/>
      <c r="M341" s="533"/>
      <c r="N341" s="530"/>
      <c r="O341" s="530"/>
      <c r="P341" s="560"/>
      <c r="Q341" s="9"/>
    </row>
    <row r="342" spans="1:17">
      <c r="A342" s="559" t="s">
        <v>1543</v>
      </c>
      <c r="B342" s="530" t="s">
        <v>69</v>
      </c>
      <c r="C342" s="530" t="s">
        <v>70</v>
      </c>
      <c r="D342" s="568" t="s">
        <v>1533</v>
      </c>
      <c r="E342" s="530" t="s">
        <v>93</v>
      </c>
      <c r="F342" s="531"/>
      <c r="G342" s="532">
        <v>29322213.719999999</v>
      </c>
      <c r="H342" s="530" t="s">
        <v>251</v>
      </c>
      <c r="I342" s="530"/>
      <c r="J342" s="530"/>
      <c r="K342" s="530"/>
      <c r="L342" s="533"/>
      <c r="M342" s="533"/>
      <c r="N342" s="530"/>
      <c r="O342" s="530"/>
      <c r="P342" s="560"/>
      <c r="Q342" s="9"/>
    </row>
    <row r="343" spans="1:17">
      <c r="A343" s="559" t="s">
        <v>1543</v>
      </c>
      <c r="B343" s="530" t="s">
        <v>69</v>
      </c>
      <c r="C343" s="530" t="s">
        <v>70</v>
      </c>
      <c r="D343" s="568" t="s">
        <v>1535</v>
      </c>
      <c r="E343" s="530" t="s">
        <v>93</v>
      </c>
      <c r="F343" s="531"/>
      <c r="G343" s="532">
        <v>4851018.4800000004</v>
      </c>
      <c r="H343" s="530" t="s">
        <v>251</v>
      </c>
      <c r="I343" s="530"/>
      <c r="J343" s="530"/>
      <c r="K343" s="530"/>
      <c r="L343" s="533"/>
      <c r="M343" s="533"/>
      <c r="N343" s="530"/>
      <c r="O343" s="530"/>
      <c r="P343" s="560"/>
      <c r="Q343" s="9"/>
    </row>
    <row r="344" spans="1:17" ht="15.75" thickBot="1">
      <c r="A344" s="561" t="s">
        <v>1543</v>
      </c>
      <c r="B344" s="562" t="s">
        <v>69</v>
      </c>
      <c r="C344" s="562" t="s">
        <v>70</v>
      </c>
      <c r="D344" s="569" t="s">
        <v>1536</v>
      </c>
      <c r="E344" s="562" t="s">
        <v>93</v>
      </c>
      <c r="F344" s="563"/>
      <c r="G344" s="564">
        <v>1816885.87</v>
      </c>
      <c r="H344" s="562" t="s">
        <v>251</v>
      </c>
      <c r="I344" s="562"/>
      <c r="J344" s="562"/>
      <c r="K344" s="562"/>
      <c r="L344" s="565"/>
      <c r="M344" s="565"/>
      <c r="N344" s="562"/>
      <c r="O344" s="562"/>
      <c r="P344" s="566"/>
      <c r="Q344" s="9"/>
    </row>
    <row r="345" spans="1:17" ht="15.75" thickTop="1">
      <c r="A345" s="823" t="s">
        <v>1547</v>
      </c>
      <c r="B345" s="824" t="s">
        <v>69</v>
      </c>
      <c r="C345" s="824" t="s">
        <v>70</v>
      </c>
      <c r="D345" s="825" t="s">
        <v>1544</v>
      </c>
      <c r="E345" s="824" t="s">
        <v>1537</v>
      </c>
      <c r="F345" s="826"/>
      <c r="G345" s="827">
        <v>1012770</v>
      </c>
      <c r="H345" s="824" t="s">
        <v>251</v>
      </c>
      <c r="I345" s="824"/>
      <c r="J345" s="824"/>
      <c r="K345" s="824"/>
      <c r="L345" s="828"/>
      <c r="M345" s="828"/>
      <c r="N345" s="824"/>
      <c r="O345" s="824"/>
      <c r="P345" s="829"/>
      <c r="Q345" s="9"/>
    </row>
    <row r="346" spans="1:17">
      <c r="A346" s="559" t="s">
        <v>1547</v>
      </c>
      <c r="B346" s="530" t="s">
        <v>69</v>
      </c>
      <c r="C346" s="530" t="s">
        <v>70</v>
      </c>
      <c r="D346" s="568" t="s">
        <v>1545</v>
      </c>
      <c r="E346" s="530" t="s">
        <v>1537</v>
      </c>
      <c r="F346" s="531"/>
      <c r="G346" s="532">
        <v>533439.48</v>
      </c>
      <c r="H346" s="530" t="s">
        <v>251</v>
      </c>
      <c r="I346" s="530"/>
      <c r="J346" s="530"/>
      <c r="K346" s="530"/>
      <c r="L346" s="533"/>
      <c r="M346" s="533"/>
      <c r="N346" s="530"/>
      <c r="O346" s="530"/>
      <c r="P346" s="560"/>
      <c r="Q346" s="9"/>
    </row>
    <row r="347" spans="1:17" ht="15.75" thickBot="1">
      <c r="A347" s="809" t="s">
        <v>1547</v>
      </c>
      <c r="B347" s="810" t="s">
        <v>69</v>
      </c>
      <c r="C347" s="810" t="s">
        <v>70</v>
      </c>
      <c r="D347" s="811" t="s">
        <v>1546</v>
      </c>
      <c r="E347" s="810" t="s">
        <v>1537</v>
      </c>
      <c r="F347" s="812"/>
      <c r="G347" s="813">
        <v>1066643.1000000001</v>
      </c>
      <c r="H347" s="810" t="s">
        <v>251</v>
      </c>
      <c r="I347" s="810"/>
      <c r="J347" s="810"/>
      <c r="K347" s="810"/>
      <c r="L347" s="814"/>
      <c r="M347" s="814"/>
      <c r="N347" s="810"/>
      <c r="O347" s="810"/>
      <c r="P347" s="815"/>
      <c r="Q347" s="9"/>
    </row>
    <row r="348" spans="1:17" ht="15.75" thickTop="1">
      <c r="A348" s="823" t="s">
        <v>1548</v>
      </c>
      <c r="B348" s="824" t="s">
        <v>69</v>
      </c>
      <c r="C348" s="824" t="s">
        <v>70</v>
      </c>
      <c r="D348" s="825" t="s">
        <v>1549</v>
      </c>
      <c r="E348" s="824" t="s">
        <v>1537</v>
      </c>
      <c r="F348" s="826"/>
      <c r="G348" s="827">
        <v>34749</v>
      </c>
      <c r="H348" s="824" t="s">
        <v>251</v>
      </c>
      <c r="I348" s="824"/>
      <c r="J348" s="824"/>
      <c r="K348" s="824"/>
      <c r="L348" s="828"/>
      <c r="M348" s="828"/>
      <c r="N348" s="824"/>
      <c r="O348" s="824"/>
      <c r="P348" s="829"/>
      <c r="Q348" s="9"/>
    </row>
    <row r="349" spans="1:17">
      <c r="A349" s="559" t="s">
        <v>1548</v>
      </c>
      <c r="B349" s="530" t="s">
        <v>69</v>
      </c>
      <c r="C349" s="530" t="s">
        <v>70</v>
      </c>
      <c r="D349" s="568" t="s">
        <v>1550</v>
      </c>
      <c r="E349" s="530" t="s">
        <v>1537</v>
      </c>
      <c r="F349" s="531"/>
      <c r="G349" s="532">
        <v>1299825</v>
      </c>
      <c r="H349" s="530" t="s">
        <v>251</v>
      </c>
      <c r="I349" s="530"/>
      <c r="J349" s="530"/>
      <c r="K349" s="530"/>
      <c r="L349" s="533"/>
      <c r="M349" s="533"/>
      <c r="N349" s="530"/>
      <c r="O349" s="530"/>
      <c r="P349" s="560"/>
      <c r="Q349" s="9"/>
    </row>
    <row r="350" spans="1:17" ht="15.75" thickBot="1">
      <c r="A350" s="561" t="s">
        <v>1548</v>
      </c>
      <c r="B350" s="562" t="s">
        <v>69</v>
      </c>
      <c r="C350" s="562" t="s">
        <v>70</v>
      </c>
      <c r="D350" s="569" t="s">
        <v>1551</v>
      </c>
      <c r="E350" s="562" t="s">
        <v>1537</v>
      </c>
      <c r="F350" s="563"/>
      <c r="G350" s="564">
        <v>4616020</v>
      </c>
      <c r="H350" s="562" t="s">
        <v>251</v>
      </c>
      <c r="I350" s="562"/>
      <c r="J350" s="562"/>
      <c r="K350" s="562"/>
      <c r="L350" s="565"/>
      <c r="M350" s="565"/>
      <c r="N350" s="562"/>
      <c r="O350" s="562"/>
      <c r="P350" s="566"/>
      <c r="Q350" s="9"/>
    </row>
    <row r="351" spans="1:17" ht="15.75" thickTop="1">
      <c r="A351" s="603" t="s">
        <v>1552</v>
      </c>
      <c r="B351" s="576" t="s">
        <v>58</v>
      </c>
      <c r="C351" s="576" t="s">
        <v>55</v>
      </c>
      <c r="D351" s="577" t="s">
        <v>1553</v>
      </c>
      <c r="E351" s="576" t="s">
        <v>786</v>
      </c>
      <c r="F351" s="578" t="s">
        <v>1554</v>
      </c>
      <c r="G351" s="579">
        <v>330000</v>
      </c>
      <c r="H351" s="576" t="s">
        <v>112</v>
      </c>
      <c r="I351" s="580">
        <v>42726</v>
      </c>
      <c r="J351" s="580">
        <v>42745</v>
      </c>
      <c r="K351" s="576"/>
      <c r="L351" s="581"/>
      <c r="M351" s="581"/>
      <c r="N351" s="576"/>
      <c r="O351" s="576"/>
      <c r="P351" s="851"/>
      <c r="Q351" s="9"/>
    </row>
    <row r="352" spans="1:17">
      <c r="A352" s="559"/>
      <c r="B352" s="530"/>
      <c r="C352" s="530"/>
      <c r="D352" s="568"/>
      <c r="E352" s="530"/>
      <c r="F352" s="531"/>
      <c r="G352" s="532"/>
      <c r="H352" s="530"/>
      <c r="I352" s="530"/>
      <c r="J352" s="530"/>
      <c r="K352" s="530"/>
      <c r="L352" s="533"/>
      <c r="M352" s="533"/>
      <c r="N352" s="530"/>
      <c r="O352" s="530"/>
      <c r="P352" s="560"/>
    </row>
    <row r="353" spans="1:16">
      <c r="A353" s="559"/>
      <c r="B353" s="530"/>
      <c r="C353" s="530"/>
      <c r="D353" s="568"/>
      <c r="E353" s="530"/>
      <c r="F353" s="531"/>
      <c r="G353" s="532"/>
      <c r="H353" s="530"/>
      <c r="I353" s="530"/>
      <c r="J353" s="530"/>
      <c r="K353" s="530"/>
      <c r="L353" s="533"/>
      <c r="M353" s="533"/>
      <c r="N353" s="530"/>
      <c r="O353" s="530"/>
      <c r="P353" s="560"/>
    </row>
    <row r="354" spans="1:16">
      <c r="A354" s="559"/>
      <c r="B354" s="530"/>
      <c r="C354" s="530"/>
      <c r="D354" s="568"/>
      <c r="E354" s="530"/>
      <c r="F354" s="531"/>
      <c r="G354" s="532"/>
      <c r="H354" s="530"/>
      <c r="I354" s="530"/>
      <c r="J354" s="530"/>
      <c r="K354" s="530"/>
      <c r="L354" s="533"/>
      <c r="M354" s="533"/>
      <c r="N354" s="530"/>
      <c r="O354" s="530"/>
      <c r="P354" s="560"/>
    </row>
    <row r="355" spans="1:16">
      <c r="A355" s="559"/>
      <c r="B355" s="530"/>
      <c r="C355" s="530"/>
      <c r="D355" s="568"/>
      <c r="E355" s="530"/>
      <c r="F355" s="531"/>
      <c r="G355" s="532"/>
      <c r="H355" s="530"/>
      <c r="I355" s="530"/>
      <c r="J355" s="530"/>
      <c r="K355" s="530"/>
      <c r="L355" s="533"/>
      <c r="M355" s="533"/>
      <c r="N355" s="530"/>
      <c r="O355" s="530"/>
      <c r="P355" s="560"/>
    </row>
    <row r="356" spans="1:16">
      <c r="A356" s="559"/>
      <c r="B356" s="530"/>
      <c r="C356" s="530"/>
      <c r="D356" s="568"/>
      <c r="E356" s="530"/>
      <c r="F356" s="531"/>
      <c r="G356" s="532"/>
      <c r="H356" s="530"/>
      <c r="I356" s="530"/>
      <c r="J356" s="530"/>
      <c r="K356" s="530"/>
      <c r="L356" s="533"/>
      <c r="M356" s="533"/>
      <c r="N356" s="530"/>
      <c r="O356" s="530"/>
      <c r="P356" s="560"/>
    </row>
    <row r="357" spans="1:16">
      <c r="A357" s="559"/>
      <c r="B357" s="530"/>
      <c r="C357" s="530"/>
      <c r="D357" s="568"/>
      <c r="E357" s="530"/>
      <c r="F357" s="531"/>
      <c r="G357" s="532"/>
      <c r="H357" s="530"/>
      <c r="I357" s="530"/>
      <c r="J357" s="530"/>
      <c r="K357" s="530"/>
      <c r="L357" s="533"/>
      <c r="M357" s="533"/>
      <c r="N357" s="530"/>
      <c r="O357" s="530"/>
      <c r="P357" s="560"/>
    </row>
    <row r="358" spans="1:16">
      <c r="A358" s="559"/>
      <c r="B358" s="530"/>
      <c r="C358" s="530"/>
      <c r="D358" s="568"/>
      <c r="E358" s="530"/>
      <c r="F358" s="531"/>
      <c r="G358" s="532"/>
      <c r="H358" s="530"/>
      <c r="I358" s="530"/>
      <c r="J358" s="530"/>
      <c r="K358" s="530"/>
      <c r="L358" s="533"/>
      <c r="M358" s="533"/>
      <c r="N358" s="530"/>
      <c r="O358" s="530"/>
      <c r="P358" s="560"/>
    </row>
    <row r="359" spans="1:16">
      <c r="A359" s="559"/>
      <c r="B359" s="530"/>
      <c r="C359" s="530"/>
      <c r="D359" s="568"/>
      <c r="E359" s="530"/>
      <c r="F359" s="531"/>
      <c r="G359" s="532"/>
      <c r="H359" s="530"/>
      <c r="I359" s="530"/>
      <c r="J359" s="530"/>
      <c r="K359" s="530"/>
      <c r="L359" s="533"/>
      <c r="M359" s="533"/>
      <c r="N359" s="530"/>
      <c r="O359" s="530"/>
      <c r="P359" s="560"/>
    </row>
    <row r="360" spans="1:16">
      <c r="A360" s="559"/>
      <c r="B360" s="530"/>
      <c r="C360" s="530"/>
      <c r="D360" s="568"/>
      <c r="E360" s="530"/>
      <c r="F360" s="531"/>
      <c r="G360" s="532"/>
      <c r="H360" s="530"/>
      <c r="I360" s="530"/>
      <c r="J360" s="530"/>
      <c r="K360" s="530"/>
      <c r="L360" s="533"/>
      <c r="M360" s="533"/>
      <c r="N360" s="530"/>
      <c r="O360" s="530"/>
      <c r="P360" s="560"/>
    </row>
    <row r="361" spans="1:16">
      <c r="A361" s="559"/>
      <c r="B361" s="530"/>
      <c r="C361" s="530"/>
      <c r="D361" s="568"/>
      <c r="E361" s="530"/>
      <c r="F361" s="531"/>
      <c r="G361" s="532"/>
      <c r="H361" s="530"/>
      <c r="I361" s="530"/>
      <c r="J361" s="530"/>
      <c r="K361" s="530"/>
      <c r="L361" s="533"/>
      <c r="M361" s="533"/>
      <c r="N361" s="530"/>
      <c r="O361" s="530"/>
      <c r="P361" s="560"/>
    </row>
    <row r="362" spans="1:16">
      <c r="A362" s="559"/>
      <c r="B362" s="530"/>
      <c r="C362" s="530"/>
      <c r="D362" s="568"/>
      <c r="E362" s="530"/>
      <c r="F362" s="531"/>
      <c r="G362" s="532"/>
      <c r="H362" s="530"/>
      <c r="I362" s="530"/>
      <c r="J362" s="530"/>
      <c r="K362" s="530"/>
      <c r="L362" s="533"/>
      <c r="M362" s="533"/>
      <c r="N362" s="530"/>
      <c r="O362" s="530"/>
      <c r="P362" s="560"/>
    </row>
    <row r="363" spans="1:16">
      <c r="A363" s="559"/>
      <c r="B363" s="530"/>
      <c r="C363" s="530"/>
      <c r="D363" s="568"/>
      <c r="E363" s="530"/>
      <c r="F363" s="531"/>
      <c r="G363" s="532"/>
      <c r="H363" s="530"/>
      <c r="I363" s="530"/>
      <c r="J363" s="530"/>
      <c r="K363" s="530"/>
      <c r="L363" s="533"/>
      <c r="M363" s="533"/>
      <c r="N363" s="530"/>
      <c r="O363" s="530"/>
      <c r="P363" s="560"/>
    </row>
    <row r="364" spans="1:16">
      <c r="A364" s="559"/>
      <c r="B364" s="530"/>
      <c r="C364" s="530"/>
      <c r="D364" s="568"/>
      <c r="E364" s="530"/>
      <c r="F364" s="531"/>
      <c r="G364" s="532"/>
      <c r="H364" s="530"/>
      <c r="I364" s="530"/>
      <c r="J364" s="530"/>
      <c r="K364" s="530"/>
      <c r="L364" s="533"/>
      <c r="M364" s="533"/>
      <c r="N364" s="530"/>
      <c r="O364" s="530"/>
      <c r="P364" s="560"/>
    </row>
    <row r="365" spans="1:16">
      <c r="A365" s="559"/>
      <c r="B365" s="530"/>
      <c r="C365" s="530"/>
      <c r="D365" s="568"/>
      <c r="E365" s="530"/>
      <c r="F365" s="531"/>
      <c r="G365" s="532"/>
      <c r="H365" s="530"/>
      <c r="I365" s="530"/>
      <c r="J365" s="530"/>
      <c r="K365" s="530"/>
      <c r="L365" s="533"/>
      <c r="M365" s="533"/>
      <c r="N365" s="530"/>
      <c r="O365" s="530"/>
      <c r="P365" s="560"/>
    </row>
    <row r="366" spans="1:16">
      <c r="A366" s="559"/>
      <c r="B366" s="530"/>
      <c r="C366" s="530"/>
      <c r="D366" s="568"/>
      <c r="E366" s="530"/>
      <c r="F366" s="531"/>
      <c r="G366" s="532"/>
      <c r="H366" s="530"/>
      <c r="I366" s="530"/>
      <c r="J366" s="530"/>
      <c r="K366" s="530"/>
      <c r="L366" s="533"/>
      <c r="M366" s="533"/>
      <c r="N366" s="530"/>
      <c r="O366" s="530"/>
      <c r="P366" s="560"/>
    </row>
    <row r="367" spans="1:16">
      <c r="A367" s="559"/>
      <c r="B367" s="530"/>
      <c r="C367" s="530"/>
      <c r="D367" s="568"/>
      <c r="E367" s="530"/>
      <c r="F367" s="531"/>
      <c r="G367" s="532"/>
      <c r="H367" s="530"/>
      <c r="I367" s="530"/>
      <c r="J367" s="530"/>
      <c r="K367" s="530"/>
      <c r="L367" s="533"/>
      <c r="M367" s="533"/>
      <c r="N367" s="530"/>
      <c r="O367" s="530"/>
      <c r="P367" s="560"/>
    </row>
    <row r="368" spans="1:16">
      <c r="A368" s="559"/>
      <c r="B368" s="530"/>
      <c r="C368" s="530"/>
      <c r="D368" s="568"/>
      <c r="E368" s="530"/>
      <c r="F368" s="531"/>
      <c r="G368" s="532"/>
      <c r="H368" s="530"/>
      <c r="I368" s="530"/>
      <c r="J368" s="530"/>
      <c r="K368" s="530"/>
      <c r="L368" s="533"/>
      <c r="M368" s="533"/>
      <c r="N368" s="530"/>
      <c r="O368" s="530"/>
      <c r="P368" s="560"/>
    </row>
    <row r="369" spans="1:16">
      <c r="A369" s="559"/>
      <c r="B369" s="530"/>
      <c r="C369" s="530"/>
      <c r="D369" s="568"/>
      <c r="E369" s="530"/>
      <c r="F369" s="531"/>
      <c r="G369" s="532"/>
      <c r="H369" s="530"/>
      <c r="I369" s="530"/>
      <c r="J369" s="530"/>
      <c r="K369" s="530"/>
      <c r="L369" s="533"/>
      <c r="M369" s="533"/>
      <c r="N369" s="530"/>
      <c r="O369" s="530"/>
      <c r="P369" s="560"/>
    </row>
    <row r="370" spans="1:16">
      <c r="A370" s="559"/>
      <c r="B370" s="530"/>
      <c r="C370" s="530"/>
      <c r="D370" s="568"/>
      <c r="E370" s="530"/>
      <c r="F370" s="531"/>
      <c r="G370" s="532"/>
      <c r="H370" s="530"/>
      <c r="I370" s="530"/>
      <c r="J370" s="530"/>
      <c r="K370" s="530"/>
      <c r="L370" s="533"/>
      <c r="M370" s="533"/>
      <c r="N370" s="530"/>
      <c r="O370" s="530"/>
      <c r="P370" s="560"/>
    </row>
    <row r="371" spans="1:16">
      <c r="A371" s="559"/>
      <c r="B371" s="530"/>
      <c r="C371" s="530"/>
      <c r="D371" s="568"/>
      <c r="E371" s="530"/>
      <c r="F371" s="531"/>
      <c r="G371" s="532"/>
      <c r="H371" s="530"/>
      <c r="I371" s="530"/>
      <c r="J371" s="530"/>
      <c r="K371" s="530"/>
      <c r="L371" s="533"/>
      <c r="M371" s="533"/>
      <c r="N371" s="530"/>
      <c r="O371" s="530"/>
      <c r="P371" s="560"/>
    </row>
    <row r="372" spans="1:16">
      <c r="A372" s="559"/>
      <c r="B372" s="530"/>
      <c r="C372" s="530"/>
      <c r="D372" s="568"/>
      <c r="E372" s="530"/>
      <c r="F372" s="531"/>
      <c r="G372" s="532"/>
      <c r="H372" s="530"/>
      <c r="I372" s="530"/>
      <c r="J372" s="530"/>
      <c r="K372" s="530"/>
      <c r="L372" s="533"/>
      <c r="M372" s="533"/>
      <c r="N372" s="530"/>
      <c r="O372" s="530"/>
      <c r="P372" s="560"/>
    </row>
    <row r="373" spans="1:16">
      <c r="A373" s="559"/>
      <c r="B373" s="530"/>
      <c r="C373" s="530"/>
      <c r="D373" s="568"/>
      <c r="E373" s="530"/>
      <c r="F373" s="531"/>
      <c r="G373" s="532"/>
      <c r="H373" s="530"/>
      <c r="I373" s="530"/>
      <c r="J373" s="530"/>
      <c r="K373" s="530"/>
      <c r="L373" s="533"/>
      <c r="M373" s="533"/>
      <c r="N373" s="530"/>
      <c r="O373" s="530"/>
      <c r="P373" s="560"/>
    </row>
    <row r="374" spans="1:16">
      <c r="A374" s="559"/>
      <c r="B374" s="530"/>
      <c r="C374" s="530"/>
      <c r="D374" s="568"/>
      <c r="E374" s="530"/>
      <c r="F374" s="531"/>
      <c r="G374" s="532"/>
      <c r="H374" s="530"/>
      <c r="I374" s="530"/>
      <c r="J374" s="530"/>
      <c r="K374" s="530"/>
      <c r="L374" s="533"/>
      <c r="M374" s="533"/>
      <c r="N374" s="530"/>
      <c r="O374" s="530"/>
      <c r="P374" s="560"/>
    </row>
    <row r="375" spans="1:16">
      <c r="A375" s="559"/>
      <c r="B375" s="530"/>
      <c r="C375" s="530"/>
      <c r="D375" s="568"/>
      <c r="E375" s="530"/>
      <c r="F375" s="531"/>
      <c r="G375" s="532"/>
      <c r="H375" s="530"/>
      <c r="I375" s="530"/>
      <c r="J375" s="530"/>
      <c r="K375" s="530"/>
      <c r="L375" s="533"/>
      <c r="M375" s="533"/>
      <c r="N375" s="530"/>
      <c r="O375" s="530"/>
      <c r="P375" s="560"/>
    </row>
    <row r="376" spans="1:16">
      <c r="A376" s="559"/>
      <c r="B376" s="530"/>
      <c r="C376" s="530"/>
      <c r="D376" s="568"/>
      <c r="E376" s="530"/>
      <c r="F376" s="531"/>
      <c r="G376" s="532"/>
      <c r="H376" s="530"/>
      <c r="I376" s="530"/>
      <c r="J376" s="530"/>
      <c r="K376" s="530"/>
      <c r="L376" s="533"/>
      <c r="M376" s="533"/>
      <c r="N376" s="530"/>
      <c r="O376" s="530"/>
      <c r="P376" s="560"/>
    </row>
    <row r="377" spans="1:16">
      <c r="A377" s="559"/>
      <c r="B377" s="530"/>
      <c r="C377" s="530"/>
      <c r="D377" s="568"/>
      <c r="E377" s="530"/>
      <c r="F377" s="531"/>
      <c r="G377" s="532"/>
      <c r="H377" s="530"/>
      <c r="I377" s="530"/>
      <c r="J377" s="530"/>
      <c r="K377" s="530"/>
      <c r="L377" s="533"/>
      <c r="M377" s="533"/>
      <c r="N377" s="530"/>
      <c r="O377" s="530"/>
      <c r="P377" s="560"/>
    </row>
    <row r="378" spans="1:16">
      <c r="A378" s="559"/>
      <c r="B378" s="530"/>
      <c r="C378" s="530"/>
      <c r="D378" s="568"/>
      <c r="E378" s="530"/>
      <c r="F378" s="531"/>
      <c r="G378" s="532"/>
      <c r="H378" s="530"/>
      <c r="I378" s="530"/>
      <c r="J378" s="530"/>
      <c r="K378" s="530"/>
      <c r="L378" s="533"/>
      <c r="M378" s="533"/>
      <c r="N378" s="530"/>
      <c r="O378" s="530"/>
      <c r="P378" s="560"/>
    </row>
    <row r="379" spans="1:16">
      <c r="A379" s="559"/>
      <c r="B379" s="530"/>
      <c r="C379" s="530"/>
      <c r="D379" s="568"/>
      <c r="E379" s="530"/>
      <c r="F379" s="531"/>
      <c r="G379" s="532"/>
      <c r="H379" s="530"/>
      <c r="I379" s="530"/>
      <c r="J379" s="530"/>
      <c r="K379" s="530"/>
      <c r="L379" s="533"/>
      <c r="M379" s="533"/>
      <c r="N379" s="530"/>
      <c r="O379" s="530"/>
      <c r="P379" s="560"/>
    </row>
    <row r="380" spans="1:16">
      <c r="A380" s="559"/>
      <c r="B380" s="530"/>
      <c r="C380" s="530"/>
      <c r="D380" s="568"/>
      <c r="E380" s="530"/>
      <c r="F380" s="531"/>
      <c r="G380" s="532"/>
      <c r="H380" s="530"/>
      <c r="I380" s="530"/>
      <c r="J380" s="530"/>
      <c r="K380" s="530"/>
      <c r="L380" s="533"/>
      <c r="M380" s="533"/>
      <c r="N380" s="530"/>
      <c r="O380" s="530"/>
      <c r="P380" s="560"/>
    </row>
    <row r="381" spans="1:16">
      <c r="A381" s="559"/>
      <c r="B381" s="530"/>
      <c r="C381" s="530"/>
      <c r="D381" s="568"/>
      <c r="E381" s="530"/>
      <c r="F381" s="531"/>
      <c r="G381" s="532"/>
      <c r="H381" s="530"/>
      <c r="I381" s="530"/>
      <c r="J381" s="530"/>
      <c r="K381" s="530"/>
      <c r="L381" s="533"/>
      <c r="M381" s="533"/>
      <c r="N381" s="530"/>
      <c r="O381" s="530"/>
      <c r="P381" s="560"/>
    </row>
    <row r="382" spans="1:16">
      <c r="A382" s="559"/>
      <c r="B382" s="530"/>
      <c r="C382" s="530"/>
      <c r="D382" s="568"/>
      <c r="E382" s="530"/>
      <c r="F382" s="531"/>
      <c r="G382" s="532"/>
      <c r="H382" s="530"/>
      <c r="I382" s="530"/>
      <c r="J382" s="530"/>
      <c r="K382" s="530"/>
      <c r="L382" s="533"/>
      <c r="M382" s="533"/>
      <c r="N382" s="530"/>
      <c r="O382" s="530"/>
      <c r="P382" s="560"/>
    </row>
    <row r="383" spans="1:16">
      <c r="A383" s="559"/>
      <c r="B383" s="530"/>
      <c r="C383" s="530"/>
      <c r="D383" s="568"/>
      <c r="E383" s="530"/>
      <c r="F383" s="531"/>
      <c r="G383" s="532"/>
      <c r="H383" s="530"/>
      <c r="I383" s="530"/>
      <c r="J383" s="530"/>
      <c r="K383" s="530"/>
      <c r="L383" s="533"/>
      <c r="M383" s="533"/>
      <c r="N383" s="530"/>
      <c r="O383" s="530"/>
      <c r="P383" s="560"/>
    </row>
    <row r="384" spans="1:16">
      <c r="A384" s="559"/>
      <c r="B384" s="530"/>
      <c r="C384" s="530"/>
      <c r="D384" s="568"/>
      <c r="E384" s="530"/>
      <c r="F384" s="531"/>
      <c r="G384" s="532"/>
      <c r="H384" s="530"/>
      <c r="I384" s="530"/>
      <c r="J384" s="530"/>
      <c r="K384" s="530"/>
      <c r="L384" s="533"/>
      <c r="M384" s="533"/>
      <c r="N384" s="530"/>
      <c r="O384" s="530"/>
      <c r="P384" s="560"/>
    </row>
    <row r="385" spans="1:16">
      <c r="A385" s="559"/>
      <c r="B385" s="530"/>
      <c r="C385" s="530"/>
      <c r="D385" s="568"/>
      <c r="E385" s="530"/>
      <c r="F385" s="531"/>
      <c r="G385" s="532"/>
      <c r="H385" s="530"/>
      <c r="I385" s="530"/>
      <c r="J385" s="530"/>
      <c r="K385" s="530"/>
      <c r="L385" s="533"/>
      <c r="M385" s="533"/>
      <c r="N385" s="530"/>
      <c r="O385" s="530"/>
      <c r="P385" s="560"/>
    </row>
    <row r="386" spans="1:16">
      <c r="A386" s="559"/>
      <c r="B386" s="530"/>
      <c r="C386" s="530"/>
      <c r="D386" s="568"/>
      <c r="E386" s="530"/>
      <c r="F386" s="531"/>
      <c r="G386" s="532"/>
      <c r="H386" s="530"/>
      <c r="I386" s="530"/>
      <c r="J386" s="530"/>
      <c r="K386" s="530"/>
      <c r="L386" s="533"/>
      <c r="M386" s="533"/>
      <c r="N386" s="530"/>
      <c r="O386" s="530"/>
      <c r="P386" s="560"/>
    </row>
    <row r="387" spans="1:16">
      <c r="A387" s="559"/>
      <c r="B387" s="530"/>
      <c r="C387" s="530"/>
      <c r="D387" s="568"/>
      <c r="E387" s="530"/>
      <c r="F387" s="531"/>
      <c r="G387" s="532"/>
      <c r="H387" s="530"/>
      <c r="I387" s="530"/>
      <c r="J387" s="530"/>
      <c r="K387" s="530"/>
      <c r="L387" s="533"/>
      <c r="M387" s="533"/>
      <c r="N387" s="530"/>
      <c r="O387" s="530"/>
      <c r="P387" s="560"/>
    </row>
    <row r="388" spans="1:16">
      <c r="A388" s="559"/>
      <c r="B388" s="530"/>
      <c r="C388" s="530"/>
      <c r="D388" s="568"/>
      <c r="E388" s="530"/>
      <c r="F388" s="531"/>
      <c r="G388" s="532"/>
      <c r="H388" s="530"/>
      <c r="I388" s="530"/>
      <c r="J388" s="530"/>
      <c r="K388" s="530"/>
      <c r="L388" s="533"/>
      <c r="M388" s="533"/>
      <c r="N388" s="530"/>
      <c r="O388" s="530"/>
      <c r="P388" s="560"/>
    </row>
    <row r="389" spans="1:16">
      <c r="A389" s="559"/>
      <c r="B389" s="530"/>
      <c r="C389" s="530"/>
      <c r="D389" s="568"/>
      <c r="E389" s="530"/>
      <c r="F389" s="531"/>
      <c r="G389" s="532"/>
      <c r="H389" s="530"/>
      <c r="I389" s="530"/>
      <c r="J389" s="530"/>
      <c r="K389" s="530"/>
      <c r="L389" s="533"/>
      <c r="M389" s="533"/>
      <c r="N389" s="530"/>
      <c r="O389" s="530"/>
      <c r="P389" s="560"/>
    </row>
    <row r="390" spans="1:16">
      <c r="A390" s="559"/>
      <c r="B390" s="530"/>
      <c r="C390" s="530"/>
      <c r="D390" s="568"/>
      <c r="E390" s="530"/>
      <c r="F390" s="531"/>
      <c r="G390" s="532"/>
      <c r="H390" s="530"/>
      <c r="I390" s="530"/>
      <c r="J390" s="530"/>
      <c r="K390" s="530"/>
      <c r="L390" s="533"/>
      <c r="M390" s="533"/>
      <c r="N390" s="530"/>
      <c r="O390" s="530"/>
      <c r="P390" s="560"/>
    </row>
    <row r="391" spans="1:16">
      <c r="A391" s="559"/>
      <c r="B391" s="530"/>
      <c r="C391" s="530"/>
      <c r="D391" s="568"/>
      <c r="E391" s="530"/>
      <c r="F391" s="531"/>
      <c r="G391" s="532"/>
      <c r="H391" s="530"/>
      <c r="I391" s="530"/>
      <c r="J391" s="530"/>
      <c r="K391" s="530"/>
      <c r="L391" s="533"/>
      <c r="M391" s="533"/>
      <c r="N391" s="530"/>
      <c r="O391" s="530"/>
      <c r="P391" s="560"/>
    </row>
    <row r="392" spans="1:16">
      <c r="A392" s="559"/>
      <c r="B392" s="530"/>
      <c r="C392" s="530"/>
      <c r="D392" s="568"/>
      <c r="E392" s="530"/>
      <c r="F392" s="531"/>
      <c r="G392" s="532"/>
      <c r="H392" s="530"/>
      <c r="I392" s="530"/>
      <c r="J392" s="530"/>
      <c r="K392" s="530"/>
      <c r="L392" s="533"/>
      <c r="M392" s="533"/>
      <c r="N392" s="530"/>
      <c r="O392" s="530"/>
      <c r="P392" s="560"/>
    </row>
    <row r="393" spans="1:16">
      <c r="A393" s="559"/>
      <c r="B393" s="530"/>
      <c r="C393" s="530"/>
      <c r="D393" s="568"/>
      <c r="E393" s="530"/>
      <c r="F393" s="531"/>
      <c r="G393" s="532"/>
      <c r="H393" s="530"/>
      <c r="I393" s="530"/>
      <c r="J393" s="530"/>
      <c r="K393" s="530"/>
      <c r="L393" s="533"/>
      <c r="M393" s="533"/>
      <c r="N393" s="530"/>
      <c r="O393" s="530"/>
      <c r="P393" s="560"/>
    </row>
    <row r="394" spans="1:16">
      <c r="A394" s="559"/>
      <c r="B394" s="530"/>
      <c r="C394" s="530"/>
      <c r="D394" s="568"/>
      <c r="E394" s="530"/>
      <c r="F394" s="531"/>
      <c r="G394" s="532"/>
      <c r="H394" s="530"/>
      <c r="I394" s="530"/>
      <c r="J394" s="530"/>
      <c r="K394" s="530"/>
      <c r="L394" s="533"/>
      <c r="M394" s="533"/>
      <c r="N394" s="530"/>
      <c r="O394" s="530"/>
      <c r="P394" s="560"/>
    </row>
    <row r="395" spans="1:16">
      <c r="A395" s="559"/>
      <c r="B395" s="530"/>
      <c r="C395" s="530"/>
      <c r="D395" s="568"/>
      <c r="E395" s="530"/>
      <c r="F395" s="531"/>
      <c r="G395" s="532"/>
      <c r="H395" s="530"/>
      <c r="I395" s="530"/>
      <c r="J395" s="530"/>
      <c r="K395" s="530"/>
      <c r="L395" s="533"/>
      <c r="M395" s="533"/>
      <c r="N395" s="530"/>
      <c r="O395" s="530"/>
      <c r="P395" s="560"/>
    </row>
    <row r="396" spans="1:16">
      <c r="A396" s="559"/>
      <c r="B396" s="530"/>
      <c r="C396" s="530"/>
      <c r="D396" s="568"/>
      <c r="E396" s="530"/>
      <c r="F396" s="531"/>
      <c r="G396" s="532"/>
      <c r="H396" s="530"/>
      <c r="I396" s="530"/>
      <c r="J396" s="530"/>
      <c r="K396" s="530"/>
      <c r="L396" s="533"/>
      <c r="M396" s="533"/>
      <c r="N396" s="530"/>
      <c r="O396" s="530"/>
      <c r="P396" s="560"/>
    </row>
    <row r="397" spans="1:16">
      <c r="A397" s="559"/>
      <c r="B397" s="530"/>
      <c r="C397" s="530"/>
      <c r="D397" s="568"/>
      <c r="E397" s="530"/>
      <c r="F397" s="531"/>
      <c r="G397" s="532"/>
      <c r="H397" s="530"/>
      <c r="I397" s="530"/>
      <c r="J397" s="530"/>
      <c r="K397" s="530"/>
      <c r="L397" s="533"/>
      <c r="M397" s="533"/>
      <c r="N397" s="530"/>
      <c r="O397" s="530"/>
      <c r="P397" s="560"/>
    </row>
    <row r="398" spans="1:16">
      <c r="A398" s="559"/>
      <c r="B398" s="530"/>
      <c r="C398" s="530"/>
      <c r="D398" s="568"/>
      <c r="E398" s="530"/>
      <c r="F398" s="531"/>
      <c r="G398" s="532"/>
      <c r="H398" s="530"/>
      <c r="I398" s="530"/>
      <c r="J398" s="530"/>
      <c r="K398" s="530"/>
      <c r="L398" s="533"/>
      <c r="M398" s="533"/>
      <c r="N398" s="530"/>
      <c r="O398" s="530"/>
      <c r="P398" s="560"/>
    </row>
    <row r="399" spans="1:16">
      <c r="A399" s="559"/>
      <c r="B399" s="530"/>
      <c r="C399" s="530"/>
      <c r="D399" s="568"/>
      <c r="E399" s="530"/>
      <c r="F399" s="531"/>
      <c r="G399" s="532"/>
      <c r="H399" s="530"/>
      <c r="I399" s="530"/>
      <c r="J399" s="530"/>
      <c r="K399" s="530"/>
      <c r="L399" s="533"/>
      <c r="M399" s="533"/>
      <c r="N399" s="530"/>
      <c r="O399" s="530"/>
      <c r="P399" s="560"/>
    </row>
    <row r="400" spans="1:16">
      <c r="A400" s="559"/>
      <c r="B400" s="530"/>
      <c r="C400" s="530"/>
      <c r="D400" s="568"/>
      <c r="E400" s="530"/>
      <c r="F400" s="531"/>
      <c r="G400" s="532"/>
      <c r="H400" s="530"/>
      <c r="I400" s="530"/>
      <c r="J400" s="530"/>
      <c r="K400" s="530"/>
      <c r="L400" s="533"/>
      <c r="M400" s="533"/>
      <c r="N400" s="530"/>
      <c r="O400" s="530"/>
      <c r="P400" s="560"/>
    </row>
    <row r="401" spans="1:16">
      <c r="A401" s="559"/>
      <c r="B401" s="530"/>
      <c r="C401" s="530"/>
      <c r="D401" s="568"/>
      <c r="E401" s="530"/>
      <c r="F401" s="531"/>
      <c r="G401" s="532"/>
      <c r="H401" s="530"/>
      <c r="I401" s="530"/>
      <c r="J401" s="530"/>
      <c r="K401" s="530"/>
      <c r="L401" s="533"/>
      <c r="M401" s="533"/>
      <c r="N401" s="530"/>
      <c r="O401" s="530"/>
      <c r="P401" s="560"/>
    </row>
    <row r="402" spans="1:16">
      <c r="A402" s="559"/>
      <c r="B402" s="530"/>
      <c r="C402" s="530"/>
      <c r="D402" s="568"/>
      <c r="E402" s="530"/>
      <c r="F402" s="531"/>
      <c r="G402" s="532"/>
      <c r="H402" s="530"/>
      <c r="I402" s="530"/>
      <c r="J402" s="530"/>
      <c r="K402" s="530"/>
      <c r="L402" s="533"/>
      <c r="M402" s="533"/>
      <c r="N402" s="530"/>
      <c r="O402" s="530"/>
      <c r="P402" s="560"/>
    </row>
    <row r="403" spans="1:16">
      <c r="A403" s="559"/>
      <c r="B403" s="530"/>
      <c r="C403" s="530"/>
      <c r="D403" s="568"/>
      <c r="E403" s="530"/>
      <c r="F403" s="531"/>
      <c r="G403" s="532"/>
      <c r="H403" s="530"/>
      <c r="I403" s="530"/>
      <c r="J403" s="530"/>
      <c r="K403" s="530"/>
      <c r="L403" s="533"/>
      <c r="M403" s="533"/>
      <c r="N403" s="530"/>
      <c r="O403" s="530"/>
      <c r="P403" s="560"/>
    </row>
    <row r="404" spans="1:16">
      <c r="A404" s="559"/>
      <c r="B404" s="530"/>
      <c r="C404" s="530"/>
      <c r="D404" s="568"/>
      <c r="E404" s="530"/>
      <c r="F404" s="531"/>
      <c r="G404" s="532"/>
      <c r="H404" s="530"/>
      <c r="I404" s="530"/>
      <c r="J404" s="530"/>
      <c r="K404" s="530"/>
      <c r="L404" s="533"/>
      <c r="M404" s="533"/>
      <c r="N404" s="530"/>
      <c r="O404" s="530"/>
      <c r="P404" s="560"/>
    </row>
    <row r="405" spans="1:16">
      <c r="A405" s="559"/>
      <c r="B405" s="530"/>
      <c r="C405" s="530"/>
      <c r="D405" s="568"/>
      <c r="E405" s="530"/>
      <c r="F405" s="531"/>
      <c r="G405" s="532"/>
      <c r="H405" s="530"/>
      <c r="I405" s="530"/>
      <c r="J405" s="530"/>
      <c r="K405" s="530"/>
      <c r="L405" s="533"/>
      <c r="M405" s="533"/>
      <c r="N405" s="530"/>
      <c r="O405" s="530"/>
      <c r="P405" s="560"/>
    </row>
    <row r="406" spans="1:16">
      <c r="A406" s="559"/>
      <c r="B406" s="530"/>
      <c r="C406" s="530"/>
      <c r="D406" s="568"/>
      <c r="E406" s="530"/>
      <c r="F406" s="531"/>
      <c r="G406" s="532"/>
      <c r="H406" s="530"/>
      <c r="I406" s="530"/>
      <c r="J406" s="530"/>
      <c r="K406" s="530"/>
      <c r="L406" s="533"/>
      <c r="M406" s="533"/>
      <c r="N406" s="530"/>
      <c r="O406" s="530"/>
      <c r="P406" s="560"/>
    </row>
    <row r="407" spans="1:16">
      <c r="A407" s="559"/>
      <c r="B407" s="530"/>
      <c r="C407" s="530"/>
      <c r="D407" s="568"/>
      <c r="E407" s="530"/>
      <c r="F407" s="531"/>
      <c r="G407" s="532"/>
      <c r="H407" s="530"/>
      <c r="I407" s="530"/>
      <c r="J407" s="530"/>
      <c r="K407" s="530"/>
      <c r="L407" s="533"/>
      <c r="M407" s="533"/>
      <c r="N407" s="530"/>
      <c r="O407" s="530"/>
      <c r="P407" s="560"/>
    </row>
    <row r="408" spans="1:16">
      <c r="A408" s="559"/>
      <c r="B408" s="530"/>
      <c r="C408" s="530"/>
      <c r="D408" s="568"/>
      <c r="E408" s="530"/>
      <c r="F408" s="531"/>
      <c r="G408" s="532"/>
      <c r="H408" s="530"/>
      <c r="I408" s="530"/>
      <c r="J408" s="530"/>
      <c r="K408" s="530"/>
      <c r="L408" s="533"/>
      <c r="M408" s="533"/>
      <c r="N408" s="530"/>
      <c r="O408" s="530"/>
      <c r="P408" s="560"/>
    </row>
    <row r="409" spans="1:16">
      <c r="A409" s="559"/>
      <c r="B409" s="530"/>
      <c r="C409" s="530"/>
      <c r="D409" s="568"/>
      <c r="E409" s="530"/>
      <c r="F409" s="531"/>
      <c r="G409" s="532"/>
      <c r="H409" s="530"/>
      <c r="I409" s="530"/>
      <c r="J409" s="530"/>
      <c r="K409" s="530"/>
      <c r="L409" s="533"/>
      <c r="M409" s="533"/>
      <c r="N409" s="530"/>
      <c r="O409" s="530"/>
      <c r="P409" s="560"/>
    </row>
    <row r="410" spans="1:16">
      <c r="A410" s="559"/>
      <c r="B410" s="530"/>
      <c r="C410" s="530"/>
      <c r="D410" s="568"/>
      <c r="E410" s="530"/>
      <c r="F410" s="531"/>
      <c r="G410" s="532"/>
      <c r="H410" s="530"/>
      <c r="I410" s="530"/>
      <c r="J410" s="530"/>
      <c r="K410" s="530"/>
      <c r="L410" s="533"/>
      <c r="M410" s="533"/>
      <c r="N410" s="530"/>
      <c r="O410" s="530"/>
      <c r="P410" s="560"/>
    </row>
    <row r="411" spans="1:16">
      <c r="A411" s="559"/>
      <c r="B411" s="530"/>
      <c r="C411" s="530"/>
      <c r="D411" s="568"/>
      <c r="E411" s="530"/>
      <c r="F411" s="531"/>
      <c r="G411" s="532"/>
      <c r="H411" s="530"/>
      <c r="I411" s="530"/>
      <c r="J411" s="530"/>
      <c r="K411" s="530"/>
      <c r="L411" s="533"/>
      <c r="M411" s="533"/>
      <c r="N411" s="530"/>
      <c r="O411" s="530"/>
      <c r="P411" s="560"/>
    </row>
    <row r="412" spans="1:16">
      <c r="A412" s="559"/>
      <c r="B412" s="530"/>
      <c r="C412" s="530"/>
      <c r="D412" s="568"/>
      <c r="E412" s="530"/>
      <c r="F412" s="531"/>
      <c r="G412" s="532"/>
      <c r="H412" s="530"/>
      <c r="I412" s="530"/>
      <c r="J412" s="530"/>
      <c r="K412" s="530"/>
      <c r="L412" s="533"/>
      <c r="M412" s="533"/>
      <c r="N412" s="530"/>
      <c r="O412" s="530"/>
      <c r="P412" s="560"/>
    </row>
    <row r="413" spans="1:16">
      <c r="A413" s="559"/>
      <c r="B413" s="530"/>
      <c r="C413" s="530"/>
      <c r="D413" s="568"/>
      <c r="E413" s="530"/>
      <c r="F413" s="531"/>
      <c r="G413" s="532"/>
      <c r="H413" s="530"/>
      <c r="I413" s="530"/>
      <c r="J413" s="530"/>
      <c r="K413" s="530"/>
      <c r="L413" s="533"/>
      <c r="M413" s="533"/>
      <c r="N413" s="530"/>
      <c r="O413" s="530"/>
      <c r="P413" s="560"/>
    </row>
    <row r="414" spans="1:16">
      <c r="A414" s="559"/>
      <c r="B414" s="530"/>
      <c r="C414" s="530"/>
      <c r="D414" s="568"/>
      <c r="E414" s="530"/>
      <c r="F414" s="531"/>
      <c r="G414" s="532"/>
      <c r="H414" s="530"/>
      <c r="I414" s="530"/>
      <c r="J414" s="530"/>
      <c r="K414" s="530"/>
      <c r="L414" s="533"/>
      <c r="M414" s="533"/>
      <c r="N414" s="530"/>
      <c r="O414" s="530"/>
      <c r="P414" s="560"/>
    </row>
    <row r="415" spans="1:16">
      <c r="A415" s="559"/>
      <c r="B415" s="530"/>
      <c r="C415" s="530"/>
      <c r="D415" s="568"/>
      <c r="E415" s="530"/>
      <c r="F415" s="531"/>
      <c r="G415" s="532"/>
      <c r="H415" s="530"/>
      <c r="I415" s="530"/>
      <c r="J415" s="530"/>
      <c r="K415" s="530"/>
      <c r="L415" s="533"/>
      <c r="M415" s="533"/>
      <c r="N415" s="530"/>
      <c r="O415" s="530"/>
      <c r="P415" s="560"/>
    </row>
    <row r="416" spans="1:16">
      <c r="A416" s="559"/>
      <c r="B416" s="530"/>
      <c r="C416" s="530"/>
      <c r="D416" s="568"/>
      <c r="E416" s="530"/>
      <c r="F416" s="531"/>
      <c r="G416" s="532"/>
      <c r="H416" s="530"/>
      <c r="I416" s="530"/>
      <c r="J416" s="530"/>
      <c r="K416" s="530"/>
      <c r="L416" s="533"/>
      <c r="M416" s="533"/>
      <c r="N416" s="530"/>
      <c r="O416" s="530"/>
      <c r="P416" s="560"/>
    </row>
    <row r="417" spans="1:16">
      <c r="A417" s="559"/>
      <c r="B417" s="530"/>
      <c r="C417" s="530"/>
      <c r="D417" s="568"/>
      <c r="E417" s="530"/>
      <c r="F417" s="531"/>
      <c r="G417" s="532"/>
      <c r="H417" s="530"/>
      <c r="I417" s="530"/>
      <c r="J417" s="530"/>
      <c r="K417" s="530"/>
      <c r="L417" s="533"/>
      <c r="M417" s="533"/>
      <c r="N417" s="530"/>
      <c r="O417" s="530"/>
      <c r="P417" s="560"/>
    </row>
    <row r="418" spans="1:16">
      <c r="A418" s="559"/>
      <c r="B418" s="530"/>
      <c r="C418" s="530"/>
      <c r="D418" s="568"/>
      <c r="E418" s="530"/>
      <c r="F418" s="531"/>
      <c r="G418" s="532"/>
      <c r="H418" s="530"/>
      <c r="I418" s="530"/>
      <c r="J418" s="530"/>
      <c r="K418" s="530"/>
      <c r="L418" s="533"/>
      <c r="M418" s="533"/>
      <c r="N418" s="530"/>
      <c r="O418" s="530"/>
      <c r="P418" s="560"/>
    </row>
    <row r="419" spans="1:16">
      <c r="A419" s="559"/>
      <c r="B419" s="530"/>
      <c r="C419" s="530"/>
      <c r="D419" s="568"/>
      <c r="E419" s="530"/>
      <c r="F419" s="531"/>
      <c r="G419" s="532"/>
      <c r="H419" s="530"/>
      <c r="I419" s="530"/>
      <c r="J419" s="530"/>
      <c r="K419" s="530"/>
      <c r="L419" s="533"/>
      <c r="M419" s="533"/>
      <c r="N419" s="530"/>
      <c r="O419" s="530"/>
      <c r="P419" s="560"/>
    </row>
    <row r="420" spans="1:16">
      <c r="A420" s="559"/>
      <c r="B420" s="530"/>
      <c r="C420" s="530"/>
      <c r="D420" s="568"/>
      <c r="E420" s="530"/>
      <c r="F420" s="531"/>
      <c r="G420" s="532"/>
      <c r="H420" s="530"/>
      <c r="I420" s="530"/>
      <c r="J420" s="530"/>
      <c r="K420" s="530"/>
      <c r="L420" s="533"/>
      <c r="M420" s="533"/>
      <c r="N420" s="530"/>
      <c r="O420" s="530"/>
      <c r="P420" s="560"/>
    </row>
    <row r="421" spans="1:16">
      <c r="A421" s="559"/>
      <c r="B421" s="530"/>
      <c r="C421" s="530"/>
      <c r="D421" s="568"/>
      <c r="E421" s="530"/>
      <c r="F421" s="531"/>
      <c r="G421" s="532"/>
      <c r="H421" s="530"/>
      <c r="I421" s="530"/>
      <c r="J421" s="530"/>
      <c r="K421" s="530"/>
      <c r="L421" s="533"/>
      <c r="M421" s="533"/>
      <c r="N421" s="530"/>
      <c r="O421" s="530"/>
      <c r="P421" s="560"/>
    </row>
    <row r="422" spans="1:16">
      <c r="A422" s="559"/>
      <c r="B422" s="530"/>
      <c r="C422" s="530"/>
      <c r="D422" s="568"/>
      <c r="E422" s="530"/>
      <c r="F422" s="531"/>
      <c r="G422" s="532"/>
      <c r="H422" s="530"/>
      <c r="I422" s="530"/>
      <c r="J422" s="530"/>
      <c r="K422" s="530"/>
      <c r="L422" s="533"/>
      <c r="M422" s="533"/>
      <c r="N422" s="530"/>
      <c r="O422" s="530"/>
      <c r="P422" s="560"/>
    </row>
    <row r="423" spans="1:16">
      <c r="A423" s="559"/>
      <c r="B423" s="530"/>
      <c r="C423" s="530"/>
      <c r="D423" s="568"/>
      <c r="E423" s="530"/>
      <c r="F423" s="531"/>
      <c r="G423" s="532"/>
      <c r="H423" s="530"/>
      <c r="I423" s="530"/>
      <c r="J423" s="530"/>
      <c r="K423" s="530"/>
      <c r="L423" s="533"/>
      <c r="M423" s="533"/>
      <c r="N423" s="530"/>
      <c r="O423" s="530"/>
      <c r="P423" s="560"/>
    </row>
    <row r="424" spans="1:16">
      <c r="A424" s="559"/>
      <c r="B424" s="530"/>
      <c r="C424" s="530"/>
      <c r="D424" s="568"/>
      <c r="E424" s="530"/>
      <c r="F424" s="531"/>
      <c r="G424" s="532"/>
      <c r="H424" s="530"/>
      <c r="I424" s="530"/>
      <c r="J424" s="530"/>
      <c r="K424" s="530"/>
      <c r="L424" s="533"/>
      <c r="M424" s="533"/>
      <c r="N424" s="530"/>
      <c r="O424" s="530"/>
      <c r="P424" s="560"/>
    </row>
    <row r="425" spans="1:16">
      <c r="A425" s="559"/>
      <c r="B425" s="530"/>
      <c r="C425" s="530"/>
      <c r="D425" s="568"/>
      <c r="E425" s="530"/>
      <c r="F425" s="531"/>
      <c r="G425" s="532"/>
      <c r="H425" s="530"/>
      <c r="I425" s="530"/>
      <c r="J425" s="530"/>
      <c r="K425" s="530"/>
      <c r="L425" s="533"/>
      <c r="M425" s="533"/>
      <c r="N425" s="530"/>
      <c r="O425" s="530"/>
      <c r="P425" s="560"/>
    </row>
    <row r="426" spans="1:16">
      <c r="A426" s="559"/>
      <c r="B426" s="530"/>
      <c r="C426" s="530"/>
      <c r="D426" s="568"/>
      <c r="E426" s="530"/>
      <c r="F426" s="531"/>
      <c r="G426" s="532"/>
      <c r="H426" s="530"/>
      <c r="I426" s="530"/>
      <c r="J426" s="530"/>
      <c r="K426" s="530"/>
      <c r="L426" s="533"/>
      <c r="M426" s="533"/>
      <c r="N426" s="530"/>
      <c r="O426" s="530"/>
      <c r="P426" s="560"/>
    </row>
    <row r="427" spans="1:16">
      <c r="A427" s="559"/>
      <c r="B427" s="530"/>
      <c r="C427" s="530"/>
      <c r="D427" s="568"/>
      <c r="E427" s="530"/>
      <c r="F427" s="531"/>
      <c r="G427" s="532"/>
      <c r="H427" s="530"/>
      <c r="I427" s="530"/>
      <c r="J427" s="530"/>
      <c r="K427" s="530"/>
      <c r="L427" s="533"/>
      <c r="M427" s="533"/>
      <c r="N427" s="530"/>
      <c r="O427" s="530"/>
      <c r="P427" s="560"/>
    </row>
    <row r="428" spans="1:16">
      <c r="A428" s="559"/>
      <c r="B428" s="530"/>
      <c r="C428" s="530"/>
      <c r="D428" s="568"/>
      <c r="E428" s="530"/>
      <c r="F428" s="531"/>
      <c r="G428" s="532"/>
      <c r="H428" s="530"/>
      <c r="I428" s="530"/>
      <c r="J428" s="530"/>
      <c r="K428" s="530"/>
      <c r="L428" s="533"/>
      <c r="M428" s="533"/>
      <c r="N428" s="530"/>
      <c r="O428" s="530"/>
      <c r="P428" s="560"/>
    </row>
    <row r="429" spans="1:16">
      <c r="A429" s="559"/>
      <c r="B429" s="530"/>
      <c r="C429" s="530"/>
      <c r="D429" s="568"/>
      <c r="E429" s="530"/>
      <c r="F429" s="531"/>
      <c r="G429" s="532"/>
      <c r="H429" s="530"/>
      <c r="I429" s="530"/>
      <c r="J429" s="530"/>
      <c r="K429" s="530"/>
      <c r="L429" s="533"/>
      <c r="M429" s="533"/>
      <c r="N429" s="530"/>
      <c r="O429" s="530"/>
      <c r="P429" s="560"/>
    </row>
    <row r="430" spans="1:16">
      <c r="A430" s="559"/>
      <c r="B430" s="530"/>
      <c r="C430" s="530"/>
      <c r="D430" s="568"/>
      <c r="E430" s="530"/>
      <c r="F430" s="531"/>
      <c r="G430" s="532"/>
      <c r="H430" s="530"/>
      <c r="I430" s="530"/>
      <c r="J430" s="530"/>
      <c r="K430" s="530"/>
      <c r="L430" s="533"/>
      <c r="M430" s="533"/>
      <c r="N430" s="530"/>
      <c r="O430" s="530"/>
      <c r="P430" s="560"/>
    </row>
    <row r="431" spans="1:16">
      <c r="A431" s="559"/>
      <c r="B431" s="530"/>
      <c r="C431" s="530"/>
      <c r="D431" s="568"/>
      <c r="E431" s="530"/>
      <c r="F431" s="531"/>
      <c r="G431" s="532"/>
      <c r="H431" s="530"/>
      <c r="I431" s="530"/>
      <c r="J431" s="530"/>
      <c r="K431" s="530"/>
      <c r="L431" s="533"/>
      <c r="M431" s="533"/>
      <c r="N431" s="530"/>
      <c r="O431" s="530"/>
      <c r="P431" s="560"/>
    </row>
    <row r="432" spans="1:16">
      <c r="A432" s="559"/>
      <c r="B432" s="530"/>
      <c r="C432" s="530"/>
      <c r="D432" s="568"/>
      <c r="E432" s="530"/>
      <c r="F432" s="531"/>
      <c r="G432" s="532"/>
      <c r="H432" s="530"/>
      <c r="I432" s="530"/>
      <c r="J432" s="530"/>
      <c r="K432" s="530"/>
      <c r="L432" s="533"/>
      <c r="M432" s="533"/>
      <c r="N432" s="530"/>
      <c r="O432" s="530"/>
      <c r="P432" s="560"/>
    </row>
    <row r="433" spans="1:16">
      <c r="A433" s="559"/>
      <c r="B433" s="530"/>
      <c r="C433" s="530"/>
      <c r="D433" s="568"/>
      <c r="E433" s="530"/>
      <c r="F433" s="531"/>
      <c r="G433" s="532"/>
      <c r="H433" s="530"/>
      <c r="I433" s="530"/>
      <c r="J433" s="530"/>
      <c r="K433" s="530"/>
      <c r="L433" s="533"/>
      <c r="M433" s="533"/>
      <c r="N433" s="530"/>
      <c r="O433" s="530"/>
      <c r="P433" s="560"/>
    </row>
    <row r="434" spans="1:16">
      <c r="A434" s="559"/>
      <c r="B434" s="530"/>
      <c r="C434" s="530"/>
      <c r="D434" s="568"/>
      <c r="E434" s="530"/>
      <c r="F434" s="531"/>
      <c r="G434" s="532"/>
      <c r="H434" s="530"/>
      <c r="I434" s="530"/>
      <c r="J434" s="530"/>
      <c r="K434" s="530"/>
      <c r="L434" s="533"/>
      <c r="M434" s="533"/>
      <c r="N434" s="530"/>
      <c r="O434" s="530"/>
      <c r="P434" s="560"/>
    </row>
    <row r="435" spans="1:16">
      <c r="A435" s="559"/>
      <c r="B435" s="530"/>
      <c r="C435" s="530"/>
      <c r="D435" s="568"/>
      <c r="E435" s="530"/>
      <c r="F435" s="531"/>
      <c r="G435" s="532"/>
      <c r="H435" s="530"/>
      <c r="I435" s="530"/>
      <c r="J435" s="530"/>
      <c r="K435" s="530"/>
      <c r="L435" s="533"/>
      <c r="M435" s="533"/>
      <c r="N435" s="530"/>
      <c r="O435" s="530"/>
      <c r="P435" s="560"/>
    </row>
    <row r="436" spans="1:16">
      <c r="A436" s="559"/>
      <c r="B436" s="530"/>
      <c r="C436" s="530"/>
      <c r="D436" s="568"/>
      <c r="E436" s="530"/>
      <c r="F436" s="531"/>
      <c r="G436" s="532"/>
      <c r="H436" s="530"/>
      <c r="I436" s="530"/>
      <c r="J436" s="530"/>
      <c r="K436" s="530"/>
      <c r="L436" s="533"/>
      <c r="M436" s="533"/>
      <c r="N436" s="530"/>
      <c r="O436" s="530"/>
      <c r="P436" s="560"/>
    </row>
    <row r="437" spans="1:16">
      <c r="A437" s="559"/>
      <c r="B437" s="530"/>
      <c r="C437" s="530"/>
      <c r="D437" s="568"/>
      <c r="E437" s="530"/>
      <c r="F437" s="531"/>
      <c r="G437" s="532"/>
      <c r="H437" s="530"/>
      <c r="I437" s="530"/>
      <c r="J437" s="530"/>
      <c r="K437" s="530"/>
      <c r="L437" s="533"/>
      <c r="M437" s="533"/>
      <c r="N437" s="530"/>
      <c r="O437" s="530"/>
      <c r="P437" s="560"/>
    </row>
    <row r="438" spans="1:16">
      <c r="A438" s="559"/>
      <c r="B438" s="530"/>
      <c r="C438" s="530"/>
      <c r="D438" s="568"/>
      <c r="E438" s="530"/>
      <c r="F438" s="531"/>
      <c r="G438" s="532"/>
      <c r="H438" s="530"/>
      <c r="I438" s="530"/>
      <c r="J438" s="530"/>
      <c r="K438" s="530"/>
      <c r="L438" s="533"/>
      <c r="M438" s="533"/>
      <c r="N438" s="530"/>
      <c r="O438" s="530"/>
      <c r="P438" s="560"/>
    </row>
    <row r="439" spans="1:16">
      <c r="A439" s="559"/>
      <c r="B439" s="530"/>
      <c r="C439" s="530"/>
      <c r="D439" s="568"/>
      <c r="E439" s="530"/>
      <c r="F439" s="531"/>
      <c r="G439" s="532"/>
      <c r="H439" s="530"/>
      <c r="I439" s="530"/>
      <c r="J439" s="530"/>
      <c r="K439" s="530"/>
      <c r="L439" s="533"/>
      <c r="M439" s="533"/>
      <c r="N439" s="530"/>
      <c r="O439" s="530"/>
      <c r="P439" s="560"/>
    </row>
    <row r="440" spans="1:16">
      <c r="A440" s="559"/>
      <c r="B440" s="530"/>
      <c r="C440" s="530"/>
      <c r="D440" s="568"/>
      <c r="E440" s="530"/>
      <c r="F440" s="531"/>
      <c r="G440" s="532"/>
      <c r="H440" s="530"/>
      <c r="I440" s="530"/>
      <c r="J440" s="530"/>
      <c r="K440" s="530"/>
      <c r="L440" s="533"/>
      <c r="M440" s="533"/>
      <c r="N440" s="530"/>
      <c r="O440" s="530"/>
      <c r="P440" s="560"/>
    </row>
    <row r="441" spans="1:16">
      <c r="A441" s="559"/>
      <c r="B441" s="530"/>
      <c r="C441" s="530"/>
      <c r="D441" s="568"/>
      <c r="E441" s="530"/>
      <c r="F441" s="531"/>
      <c r="G441" s="532"/>
      <c r="H441" s="530"/>
      <c r="I441" s="530"/>
      <c r="J441" s="530"/>
      <c r="K441" s="530"/>
      <c r="L441" s="533"/>
      <c r="M441" s="533"/>
      <c r="N441" s="530"/>
      <c r="O441" s="530"/>
      <c r="P441" s="560"/>
    </row>
    <row r="442" spans="1:16">
      <c r="A442" s="559"/>
      <c r="B442" s="530"/>
      <c r="C442" s="530"/>
      <c r="D442" s="568"/>
      <c r="E442" s="530"/>
      <c r="F442" s="531"/>
      <c r="G442" s="532"/>
      <c r="H442" s="530"/>
      <c r="I442" s="530"/>
      <c r="J442" s="530"/>
      <c r="K442" s="530"/>
      <c r="L442" s="533"/>
      <c r="M442" s="533"/>
      <c r="N442" s="530"/>
      <c r="O442" s="530"/>
      <c r="P442" s="560"/>
    </row>
    <row r="443" spans="1:16">
      <c r="A443" s="559"/>
      <c r="B443" s="530"/>
      <c r="C443" s="530"/>
      <c r="D443" s="568"/>
      <c r="E443" s="530"/>
      <c r="F443" s="531"/>
      <c r="G443" s="532"/>
      <c r="H443" s="530"/>
      <c r="I443" s="530"/>
      <c r="J443" s="530"/>
      <c r="K443" s="530"/>
      <c r="L443" s="533"/>
      <c r="M443" s="533"/>
      <c r="N443" s="530"/>
      <c r="O443" s="530"/>
      <c r="P443" s="560"/>
    </row>
    <row r="444" spans="1:16">
      <c r="A444" s="559"/>
      <c r="B444" s="530"/>
      <c r="C444" s="530"/>
      <c r="D444" s="568"/>
      <c r="E444" s="530"/>
      <c r="F444" s="531"/>
      <c r="G444" s="532"/>
      <c r="H444" s="530"/>
      <c r="I444" s="530"/>
      <c r="J444" s="530"/>
      <c r="K444" s="530"/>
      <c r="L444" s="533"/>
      <c r="M444" s="533"/>
      <c r="N444" s="530"/>
      <c r="O444" s="530"/>
      <c r="P444" s="560"/>
    </row>
    <row r="445" spans="1:16">
      <c r="A445" s="559"/>
      <c r="B445" s="530"/>
      <c r="C445" s="530"/>
      <c r="D445" s="568"/>
      <c r="E445" s="530"/>
      <c r="F445" s="531"/>
      <c r="G445" s="532"/>
      <c r="H445" s="530"/>
      <c r="I445" s="530"/>
      <c r="J445" s="530"/>
      <c r="K445" s="530"/>
      <c r="L445" s="533"/>
      <c r="M445" s="533"/>
      <c r="N445" s="530"/>
      <c r="O445" s="530"/>
      <c r="P445" s="560"/>
    </row>
    <row r="446" spans="1:16">
      <c r="A446" s="559"/>
      <c r="B446" s="530"/>
      <c r="C446" s="530"/>
      <c r="D446" s="568"/>
      <c r="E446" s="530"/>
      <c r="F446" s="531"/>
      <c r="G446" s="532"/>
      <c r="H446" s="530"/>
      <c r="I446" s="530"/>
      <c r="J446" s="530"/>
      <c r="K446" s="530"/>
      <c r="L446" s="533"/>
      <c r="M446" s="533"/>
      <c r="N446" s="530"/>
      <c r="O446" s="530"/>
      <c r="P446" s="560"/>
    </row>
    <row r="447" spans="1:16">
      <c r="A447" s="559"/>
      <c r="B447" s="530"/>
      <c r="C447" s="530"/>
      <c r="D447" s="568"/>
      <c r="E447" s="530"/>
      <c r="F447" s="531"/>
      <c r="G447" s="532"/>
      <c r="H447" s="530"/>
      <c r="I447" s="530"/>
      <c r="J447" s="530"/>
      <c r="K447" s="530"/>
      <c r="L447" s="533"/>
      <c r="M447" s="533"/>
      <c r="N447" s="530"/>
      <c r="O447" s="530"/>
      <c r="P447" s="560"/>
    </row>
    <row r="448" spans="1:16">
      <c r="A448" s="559"/>
      <c r="B448" s="530"/>
      <c r="C448" s="530"/>
      <c r="D448" s="568"/>
      <c r="E448" s="530"/>
      <c r="F448" s="531"/>
      <c r="G448" s="532"/>
      <c r="H448" s="530"/>
      <c r="I448" s="530"/>
      <c r="J448" s="530"/>
      <c r="K448" s="530"/>
      <c r="L448" s="533"/>
      <c r="M448" s="533"/>
      <c r="N448" s="530"/>
      <c r="O448" s="530"/>
      <c r="P448" s="560"/>
    </row>
    <row r="449" spans="1:16">
      <c r="A449" s="559"/>
      <c r="B449" s="530"/>
      <c r="C449" s="530"/>
      <c r="D449" s="568"/>
      <c r="E449" s="530"/>
      <c r="F449" s="531"/>
      <c r="G449" s="532"/>
      <c r="H449" s="530"/>
      <c r="I449" s="530"/>
      <c r="J449" s="530"/>
      <c r="K449" s="530"/>
      <c r="L449" s="533"/>
      <c r="M449" s="533"/>
      <c r="N449" s="530"/>
      <c r="O449" s="530"/>
      <c r="P449" s="560"/>
    </row>
    <row r="450" spans="1:16">
      <c r="A450" s="559"/>
      <c r="B450" s="530"/>
      <c r="C450" s="530"/>
      <c r="D450" s="568"/>
      <c r="E450" s="530"/>
      <c r="F450" s="531"/>
      <c r="G450" s="532"/>
      <c r="H450" s="530"/>
      <c r="I450" s="530"/>
      <c r="J450" s="530"/>
      <c r="K450" s="530"/>
      <c r="L450" s="533"/>
      <c r="M450" s="533"/>
      <c r="N450" s="530"/>
      <c r="O450" s="530"/>
      <c r="P450" s="560"/>
    </row>
    <row r="451" spans="1:16">
      <c r="A451" s="559"/>
      <c r="B451" s="530"/>
      <c r="C451" s="530"/>
      <c r="D451" s="568"/>
      <c r="E451" s="530"/>
      <c r="F451" s="531"/>
      <c r="G451" s="532"/>
      <c r="H451" s="530"/>
      <c r="I451" s="530"/>
      <c r="J451" s="530"/>
      <c r="K451" s="530"/>
      <c r="L451" s="533"/>
      <c r="M451" s="533"/>
      <c r="N451" s="530"/>
      <c r="O451" s="530"/>
      <c r="P451" s="560"/>
    </row>
    <row r="452" spans="1:16">
      <c r="A452" s="559"/>
      <c r="B452" s="530"/>
      <c r="C452" s="530"/>
      <c r="D452" s="568"/>
      <c r="E452" s="530"/>
      <c r="F452" s="531"/>
      <c r="G452" s="532"/>
      <c r="H452" s="530"/>
      <c r="I452" s="530"/>
      <c r="J452" s="530"/>
      <c r="K452" s="530"/>
      <c r="L452" s="533"/>
      <c r="M452" s="533"/>
      <c r="N452" s="530"/>
      <c r="O452" s="530"/>
      <c r="P452" s="560"/>
    </row>
    <row r="453" spans="1:16">
      <c r="A453" s="559"/>
      <c r="B453" s="530"/>
      <c r="C453" s="530"/>
      <c r="D453" s="568"/>
      <c r="E453" s="530"/>
      <c r="F453" s="531"/>
      <c r="G453" s="532"/>
      <c r="H453" s="530"/>
      <c r="I453" s="530"/>
      <c r="J453" s="530"/>
      <c r="K453" s="530"/>
      <c r="L453" s="533"/>
      <c r="M453" s="533"/>
      <c r="N453" s="530"/>
      <c r="O453" s="530"/>
      <c r="P453" s="560"/>
    </row>
    <row r="454" spans="1:16">
      <c r="A454" s="559"/>
      <c r="B454" s="530"/>
      <c r="C454" s="530"/>
      <c r="D454" s="568"/>
      <c r="E454" s="530"/>
      <c r="F454" s="531"/>
      <c r="G454" s="532"/>
      <c r="H454" s="530"/>
      <c r="I454" s="530"/>
      <c r="J454" s="530"/>
      <c r="K454" s="530"/>
      <c r="L454" s="533"/>
      <c r="M454" s="533"/>
      <c r="N454" s="530"/>
      <c r="O454" s="530"/>
      <c r="P454" s="560"/>
    </row>
    <row r="455" spans="1:16">
      <c r="A455" s="559"/>
      <c r="B455" s="530"/>
      <c r="C455" s="530"/>
      <c r="D455" s="568"/>
      <c r="E455" s="530"/>
      <c r="F455" s="531"/>
      <c r="G455" s="532"/>
      <c r="H455" s="530"/>
      <c r="I455" s="530"/>
      <c r="J455" s="530"/>
      <c r="K455" s="530"/>
      <c r="L455" s="533"/>
      <c r="M455" s="533"/>
      <c r="N455" s="530"/>
      <c r="O455" s="530"/>
      <c r="P455" s="560"/>
    </row>
    <row r="456" spans="1:16">
      <c r="A456" s="559"/>
      <c r="B456" s="530"/>
      <c r="C456" s="530"/>
      <c r="D456" s="568"/>
      <c r="E456" s="530"/>
      <c r="F456" s="531"/>
      <c r="G456" s="532"/>
      <c r="H456" s="530"/>
      <c r="I456" s="530"/>
      <c r="J456" s="530"/>
      <c r="K456" s="530"/>
      <c r="L456" s="533"/>
      <c r="M456" s="533"/>
      <c r="N456" s="530"/>
      <c r="O456" s="530"/>
      <c r="P456" s="560"/>
    </row>
    <row r="457" spans="1:16">
      <c r="A457" s="559"/>
      <c r="B457" s="530"/>
      <c r="C457" s="530"/>
      <c r="D457" s="568"/>
      <c r="E457" s="530"/>
      <c r="F457" s="531"/>
      <c r="G457" s="532"/>
      <c r="H457" s="530"/>
      <c r="I457" s="530"/>
      <c r="J457" s="530"/>
      <c r="K457" s="530"/>
      <c r="L457" s="533"/>
      <c r="M457" s="533"/>
      <c r="N457" s="530"/>
      <c r="O457" s="530"/>
      <c r="P457" s="560"/>
    </row>
    <row r="458" spans="1:16">
      <c r="A458" s="559"/>
      <c r="B458" s="530"/>
      <c r="C458" s="530"/>
      <c r="D458" s="568"/>
      <c r="E458" s="530"/>
      <c r="F458" s="531"/>
      <c r="G458" s="532"/>
      <c r="H458" s="530"/>
      <c r="I458" s="530"/>
      <c r="J458" s="530"/>
      <c r="K458" s="530"/>
      <c r="L458" s="533"/>
      <c r="M458" s="533"/>
      <c r="N458" s="530"/>
      <c r="O458" s="530"/>
      <c r="P458" s="560"/>
    </row>
    <row r="459" spans="1:16">
      <c r="A459" s="559"/>
      <c r="B459" s="530"/>
      <c r="C459" s="530"/>
      <c r="D459" s="568"/>
      <c r="E459" s="530"/>
      <c r="F459" s="531"/>
      <c r="G459" s="532"/>
      <c r="H459" s="530"/>
      <c r="I459" s="530"/>
      <c r="J459" s="530"/>
      <c r="K459" s="530"/>
      <c r="L459" s="533"/>
      <c r="M459" s="533"/>
      <c r="N459" s="530"/>
      <c r="O459" s="530"/>
      <c r="P459" s="560"/>
    </row>
    <row r="460" spans="1:16">
      <c r="A460" s="559"/>
      <c r="B460" s="530"/>
      <c r="C460" s="530"/>
      <c r="D460" s="568"/>
      <c r="E460" s="530"/>
      <c r="F460" s="531"/>
      <c r="G460" s="532"/>
      <c r="H460" s="530"/>
      <c r="I460" s="530"/>
      <c r="J460" s="530"/>
      <c r="K460" s="530"/>
      <c r="L460" s="533"/>
      <c r="M460" s="533"/>
      <c r="N460" s="530"/>
      <c r="O460" s="530"/>
      <c r="P460" s="560"/>
    </row>
    <row r="461" spans="1:16">
      <c r="A461" s="559"/>
      <c r="B461" s="530"/>
      <c r="C461" s="530"/>
      <c r="D461" s="568"/>
      <c r="E461" s="530"/>
      <c r="F461" s="531"/>
      <c r="G461" s="532"/>
      <c r="H461" s="530"/>
      <c r="I461" s="530"/>
      <c r="J461" s="530"/>
      <c r="K461" s="530"/>
      <c r="L461" s="533"/>
      <c r="M461" s="533"/>
      <c r="N461" s="530"/>
      <c r="O461" s="530"/>
      <c r="P461" s="560"/>
    </row>
    <row r="462" spans="1:16">
      <c r="A462" s="559"/>
      <c r="B462" s="530"/>
      <c r="C462" s="530"/>
      <c r="D462" s="568"/>
      <c r="E462" s="530"/>
      <c r="F462" s="531"/>
      <c r="G462" s="532"/>
      <c r="H462" s="530"/>
      <c r="I462" s="530"/>
      <c r="J462" s="530"/>
      <c r="K462" s="530"/>
      <c r="L462" s="533"/>
      <c r="M462" s="533"/>
      <c r="N462" s="530"/>
      <c r="O462" s="530"/>
      <c r="P462" s="560"/>
    </row>
    <row r="463" spans="1:16">
      <c r="A463" s="559"/>
      <c r="B463" s="530"/>
      <c r="C463" s="530"/>
      <c r="D463" s="568"/>
      <c r="E463" s="530"/>
      <c r="F463" s="531"/>
      <c r="G463" s="532"/>
      <c r="H463" s="530"/>
      <c r="I463" s="530"/>
      <c r="J463" s="530"/>
      <c r="K463" s="530"/>
      <c r="L463" s="533"/>
      <c r="M463" s="533"/>
      <c r="N463" s="530"/>
      <c r="O463" s="530"/>
      <c r="P463" s="560"/>
    </row>
    <row r="464" spans="1:16">
      <c r="A464" s="559"/>
      <c r="B464" s="530"/>
      <c r="C464" s="530"/>
      <c r="D464" s="568"/>
      <c r="E464" s="530"/>
      <c r="F464" s="531"/>
      <c r="G464" s="532"/>
      <c r="H464" s="530"/>
      <c r="I464" s="530"/>
      <c r="J464" s="530"/>
      <c r="K464" s="530"/>
      <c r="L464" s="533"/>
      <c r="M464" s="533"/>
      <c r="N464" s="530"/>
      <c r="O464" s="530"/>
      <c r="P464" s="560"/>
    </row>
    <row r="465" spans="1:16">
      <c r="A465" s="559"/>
      <c r="B465" s="530"/>
      <c r="C465" s="530"/>
      <c r="D465" s="568"/>
      <c r="E465" s="530"/>
      <c r="F465" s="531"/>
      <c r="G465" s="532"/>
      <c r="H465" s="530"/>
      <c r="I465" s="530"/>
      <c r="J465" s="530"/>
      <c r="K465" s="530"/>
      <c r="L465" s="533"/>
      <c r="M465" s="533"/>
      <c r="N465" s="530"/>
      <c r="O465" s="530"/>
      <c r="P465" s="560"/>
    </row>
    <row r="466" spans="1:16">
      <c r="A466" s="559"/>
      <c r="B466" s="530"/>
      <c r="C466" s="530"/>
      <c r="D466" s="568"/>
      <c r="E466" s="530"/>
      <c r="F466" s="531"/>
      <c r="G466" s="532"/>
      <c r="H466" s="530"/>
      <c r="I466" s="530"/>
      <c r="J466" s="530"/>
      <c r="K466" s="530"/>
      <c r="L466" s="533"/>
      <c r="M466" s="533"/>
      <c r="N466" s="530"/>
      <c r="O466" s="530"/>
      <c r="P466" s="560"/>
    </row>
    <row r="467" spans="1:16">
      <c r="A467" s="559"/>
      <c r="B467" s="530"/>
      <c r="C467" s="530"/>
      <c r="D467" s="568"/>
      <c r="E467" s="530"/>
      <c r="F467" s="531"/>
      <c r="G467" s="532"/>
      <c r="H467" s="530"/>
      <c r="I467" s="530"/>
      <c r="J467" s="530"/>
      <c r="K467" s="530"/>
      <c r="L467" s="533"/>
      <c r="M467" s="533"/>
      <c r="N467" s="530"/>
      <c r="O467" s="530"/>
      <c r="P467" s="560"/>
    </row>
    <row r="468" spans="1:16">
      <c r="A468" s="559"/>
      <c r="B468" s="530"/>
      <c r="C468" s="530"/>
      <c r="D468" s="568"/>
      <c r="E468" s="530"/>
      <c r="F468" s="531"/>
      <c r="G468" s="532"/>
      <c r="H468" s="530"/>
      <c r="I468" s="530"/>
      <c r="J468" s="530"/>
      <c r="K468" s="530"/>
      <c r="L468" s="533"/>
      <c r="M468" s="533"/>
      <c r="N468" s="530"/>
      <c r="O468" s="530"/>
      <c r="P468" s="560"/>
    </row>
    <row r="469" spans="1:16">
      <c r="A469" s="559"/>
      <c r="B469" s="530"/>
      <c r="C469" s="530"/>
      <c r="D469" s="568"/>
      <c r="E469" s="530"/>
      <c r="F469" s="531"/>
      <c r="G469" s="532"/>
      <c r="H469" s="530"/>
      <c r="I469" s="530"/>
      <c r="J469" s="530"/>
      <c r="K469" s="530"/>
      <c r="L469" s="533"/>
      <c r="M469" s="533"/>
      <c r="N469" s="530"/>
      <c r="O469" s="530"/>
      <c r="P469" s="560"/>
    </row>
    <row r="470" spans="1:16">
      <c r="A470" s="559"/>
      <c r="B470" s="530"/>
      <c r="C470" s="530"/>
      <c r="D470" s="568"/>
      <c r="E470" s="530"/>
      <c r="F470" s="531"/>
      <c r="G470" s="532"/>
      <c r="H470" s="530"/>
      <c r="I470" s="530"/>
      <c r="J470" s="530"/>
      <c r="K470" s="530"/>
      <c r="L470" s="533"/>
      <c r="M470" s="533"/>
      <c r="N470" s="530"/>
      <c r="O470" s="530"/>
      <c r="P470" s="560"/>
    </row>
    <row r="471" spans="1:16">
      <c r="A471" s="559"/>
      <c r="B471" s="530"/>
      <c r="C471" s="530"/>
      <c r="D471" s="568"/>
      <c r="E471" s="530"/>
      <c r="F471" s="531"/>
      <c r="G471" s="532"/>
      <c r="H471" s="530"/>
      <c r="I471" s="530"/>
      <c r="J471" s="530"/>
      <c r="K471" s="530"/>
      <c r="L471" s="533"/>
      <c r="M471" s="533"/>
      <c r="N471" s="530"/>
      <c r="O471" s="530"/>
      <c r="P471" s="560"/>
    </row>
    <row r="472" spans="1:16">
      <c r="A472" s="559"/>
      <c r="B472" s="530"/>
      <c r="C472" s="530"/>
      <c r="D472" s="568"/>
      <c r="E472" s="530"/>
      <c r="F472" s="531"/>
      <c r="G472" s="532"/>
      <c r="H472" s="530"/>
      <c r="I472" s="530"/>
      <c r="J472" s="530"/>
      <c r="K472" s="530"/>
      <c r="L472" s="533"/>
      <c r="M472" s="533"/>
      <c r="N472" s="530"/>
      <c r="O472" s="530"/>
      <c r="P472" s="560"/>
    </row>
    <row r="473" spans="1:16">
      <c r="A473" s="559"/>
      <c r="B473" s="530"/>
      <c r="C473" s="530"/>
      <c r="D473" s="568"/>
      <c r="E473" s="530"/>
      <c r="F473" s="531"/>
      <c r="G473" s="532"/>
      <c r="H473" s="530"/>
      <c r="I473" s="530"/>
      <c r="J473" s="530"/>
      <c r="K473" s="530"/>
      <c r="L473" s="533"/>
      <c r="M473" s="533"/>
      <c r="N473" s="530"/>
      <c r="O473" s="530"/>
      <c r="P473" s="560"/>
    </row>
    <row r="474" spans="1:16">
      <c r="A474" s="559"/>
      <c r="B474" s="530"/>
      <c r="C474" s="530"/>
      <c r="D474" s="568"/>
      <c r="E474" s="530"/>
      <c r="F474" s="531"/>
      <c r="G474" s="532"/>
      <c r="H474" s="530"/>
      <c r="I474" s="530"/>
      <c r="J474" s="530"/>
      <c r="K474" s="530"/>
      <c r="L474" s="533"/>
      <c r="M474" s="533"/>
      <c r="N474" s="530"/>
      <c r="O474" s="530"/>
      <c r="P474" s="560"/>
    </row>
    <row r="475" spans="1:16">
      <c r="A475" s="559"/>
      <c r="B475" s="530"/>
      <c r="C475" s="530"/>
      <c r="D475" s="568"/>
      <c r="E475" s="530"/>
      <c r="F475" s="531"/>
      <c r="G475" s="532"/>
      <c r="H475" s="530"/>
      <c r="I475" s="530"/>
      <c r="J475" s="530"/>
      <c r="K475" s="530"/>
      <c r="L475" s="533"/>
      <c r="M475" s="533"/>
      <c r="N475" s="530"/>
      <c r="O475" s="530"/>
      <c r="P475" s="560"/>
    </row>
    <row r="476" spans="1:16">
      <c r="A476" s="559"/>
      <c r="B476" s="530"/>
      <c r="C476" s="530"/>
      <c r="D476" s="568"/>
      <c r="E476" s="530"/>
      <c r="F476" s="531"/>
      <c r="G476" s="532"/>
      <c r="H476" s="530"/>
      <c r="I476" s="530"/>
      <c r="J476" s="530"/>
      <c r="K476" s="530"/>
      <c r="L476" s="533"/>
      <c r="M476" s="533"/>
      <c r="N476" s="530"/>
      <c r="O476" s="530"/>
      <c r="P476" s="560"/>
    </row>
    <row r="477" spans="1:16">
      <c r="A477" s="559"/>
      <c r="B477" s="530"/>
      <c r="C477" s="530"/>
      <c r="D477" s="568"/>
      <c r="E477" s="530"/>
      <c r="F477" s="531"/>
      <c r="G477" s="532"/>
      <c r="H477" s="530"/>
      <c r="I477" s="530"/>
      <c r="J477" s="530"/>
      <c r="K477" s="530"/>
      <c r="L477" s="533"/>
      <c r="M477" s="533"/>
      <c r="N477" s="530"/>
      <c r="O477" s="530"/>
      <c r="P477" s="560"/>
    </row>
    <row r="478" spans="1:16">
      <c r="A478" s="559"/>
      <c r="B478" s="530"/>
      <c r="C478" s="530"/>
      <c r="D478" s="568"/>
      <c r="E478" s="530"/>
      <c r="F478" s="531"/>
      <c r="G478" s="532"/>
      <c r="H478" s="530"/>
      <c r="I478" s="530"/>
      <c r="J478" s="530"/>
      <c r="K478" s="530"/>
      <c r="L478" s="533"/>
      <c r="M478" s="533"/>
      <c r="N478" s="530"/>
      <c r="O478" s="530"/>
      <c r="P478" s="560"/>
    </row>
    <row r="479" spans="1:16">
      <c r="A479" s="559"/>
      <c r="B479" s="530"/>
      <c r="C479" s="530"/>
      <c r="D479" s="568"/>
      <c r="E479" s="530"/>
      <c r="F479" s="531"/>
      <c r="G479" s="532"/>
      <c r="H479" s="530"/>
      <c r="I479" s="530"/>
      <c r="J479" s="530"/>
      <c r="K479" s="530"/>
      <c r="L479" s="533"/>
      <c r="M479" s="533"/>
      <c r="N479" s="530"/>
      <c r="O479" s="530"/>
      <c r="P479" s="560"/>
    </row>
    <row r="480" spans="1:16">
      <c r="A480" s="559"/>
      <c r="B480" s="530"/>
      <c r="C480" s="530"/>
      <c r="D480" s="568"/>
      <c r="E480" s="530"/>
      <c r="F480" s="531"/>
      <c r="G480" s="532"/>
      <c r="H480" s="530"/>
      <c r="I480" s="530"/>
      <c r="J480" s="530"/>
      <c r="K480" s="530"/>
      <c r="L480" s="533"/>
      <c r="M480" s="533"/>
      <c r="N480" s="530"/>
      <c r="O480" s="530"/>
      <c r="P480" s="560"/>
    </row>
    <row r="481" spans="1:16">
      <c r="A481" s="559"/>
      <c r="B481" s="530"/>
      <c r="C481" s="530"/>
      <c r="D481" s="568"/>
      <c r="E481" s="530"/>
      <c r="F481" s="531"/>
      <c r="G481" s="532"/>
      <c r="H481" s="530"/>
      <c r="I481" s="530"/>
      <c r="J481" s="530"/>
      <c r="K481" s="530"/>
      <c r="L481" s="533"/>
      <c r="M481" s="533"/>
      <c r="N481" s="530"/>
      <c r="O481" s="530"/>
      <c r="P481" s="560"/>
    </row>
    <row r="482" spans="1:16">
      <c r="A482" s="559"/>
      <c r="B482" s="530"/>
      <c r="C482" s="530"/>
      <c r="D482" s="568"/>
      <c r="E482" s="530"/>
      <c r="F482" s="531"/>
      <c r="G482" s="532"/>
      <c r="H482" s="530"/>
      <c r="I482" s="530"/>
      <c r="J482" s="530"/>
      <c r="K482" s="530"/>
      <c r="L482" s="533"/>
      <c r="M482" s="533"/>
      <c r="N482" s="530"/>
      <c r="O482" s="530"/>
      <c r="P482" s="560"/>
    </row>
    <row r="483" spans="1:16">
      <c r="A483" s="559"/>
      <c r="B483" s="530"/>
      <c r="C483" s="530"/>
      <c r="D483" s="568"/>
      <c r="E483" s="530"/>
      <c r="F483" s="531"/>
      <c r="G483" s="532"/>
      <c r="H483" s="530"/>
      <c r="I483" s="530"/>
      <c r="J483" s="530"/>
      <c r="K483" s="530"/>
      <c r="L483" s="533"/>
      <c r="M483" s="533"/>
      <c r="N483" s="530"/>
      <c r="O483" s="530"/>
      <c r="P483" s="560"/>
    </row>
    <row r="484" spans="1:16">
      <c r="A484" s="559"/>
      <c r="B484" s="530"/>
      <c r="C484" s="530"/>
      <c r="D484" s="568"/>
      <c r="E484" s="530"/>
      <c r="F484" s="531"/>
      <c r="G484" s="532"/>
      <c r="H484" s="530"/>
      <c r="I484" s="530"/>
      <c r="J484" s="530"/>
      <c r="K484" s="530"/>
      <c r="L484" s="533"/>
      <c r="M484" s="533"/>
      <c r="N484" s="530"/>
      <c r="O484" s="530"/>
      <c r="P484" s="560"/>
    </row>
    <row r="485" spans="1:16">
      <c r="A485" s="559"/>
      <c r="B485" s="530"/>
      <c r="C485" s="530"/>
      <c r="D485" s="568"/>
      <c r="E485" s="530"/>
      <c r="F485" s="531"/>
      <c r="G485" s="532"/>
      <c r="H485" s="530"/>
      <c r="I485" s="530"/>
      <c r="J485" s="530"/>
      <c r="K485" s="530"/>
      <c r="L485" s="533"/>
      <c r="M485" s="533"/>
      <c r="N485" s="530"/>
      <c r="O485" s="530"/>
      <c r="P485" s="560"/>
    </row>
    <row r="486" spans="1:16">
      <c r="A486" s="559"/>
      <c r="B486" s="530"/>
      <c r="C486" s="530"/>
      <c r="D486" s="568"/>
      <c r="E486" s="530"/>
      <c r="F486" s="531"/>
      <c r="G486" s="532"/>
      <c r="H486" s="530"/>
      <c r="I486" s="530"/>
      <c r="J486" s="530"/>
      <c r="K486" s="530"/>
      <c r="L486" s="533"/>
      <c r="M486" s="533"/>
      <c r="N486" s="530"/>
      <c r="O486" s="530"/>
      <c r="P486" s="560"/>
    </row>
    <row r="487" spans="1:16">
      <c r="A487" s="559"/>
      <c r="B487" s="530"/>
      <c r="C487" s="530"/>
      <c r="D487" s="568"/>
      <c r="E487" s="530"/>
      <c r="F487" s="531"/>
      <c r="G487" s="532"/>
      <c r="H487" s="530"/>
      <c r="I487" s="530"/>
      <c r="J487" s="530"/>
      <c r="K487" s="530"/>
      <c r="L487" s="533"/>
      <c r="M487" s="533"/>
      <c r="N487" s="530"/>
      <c r="O487" s="530"/>
      <c r="P487" s="560"/>
    </row>
    <row r="488" spans="1:16">
      <c r="A488" s="559"/>
      <c r="B488" s="530"/>
      <c r="C488" s="530"/>
      <c r="D488" s="568"/>
      <c r="E488" s="530"/>
      <c r="F488" s="531"/>
      <c r="G488" s="532"/>
      <c r="H488" s="530"/>
      <c r="I488" s="530"/>
      <c r="J488" s="530"/>
      <c r="K488" s="530"/>
      <c r="L488" s="533"/>
      <c r="M488" s="533"/>
      <c r="N488" s="530"/>
      <c r="O488" s="530"/>
      <c r="P488" s="560"/>
    </row>
    <row r="489" spans="1:16">
      <c r="A489" s="559"/>
      <c r="B489" s="530"/>
      <c r="C489" s="530"/>
      <c r="D489" s="568"/>
      <c r="E489" s="530"/>
      <c r="F489" s="531"/>
      <c r="G489" s="532"/>
      <c r="H489" s="530"/>
      <c r="I489" s="530"/>
      <c r="J489" s="530"/>
      <c r="K489" s="530"/>
      <c r="L489" s="533"/>
      <c r="M489" s="533"/>
      <c r="N489" s="530"/>
      <c r="O489" s="530"/>
      <c r="P489" s="560"/>
    </row>
    <row r="490" spans="1:16">
      <c r="A490" s="559"/>
      <c r="B490" s="530"/>
      <c r="C490" s="530"/>
      <c r="D490" s="568"/>
      <c r="E490" s="530"/>
      <c r="F490" s="531"/>
      <c r="G490" s="532"/>
      <c r="H490" s="530"/>
      <c r="I490" s="530"/>
      <c r="J490" s="530"/>
      <c r="K490" s="530"/>
      <c r="L490" s="533"/>
      <c r="M490" s="533"/>
      <c r="N490" s="530"/>
      <c r="O490" s="530"/>
      <c r="P490" s="560"/>
    </row>
    <row r="491" spans="1:16">
      <c r="A491" s="559"/>
      <c r="B491" s="530"/>
      <c r="C491" s="530"/>
      <c r="D491" s="568"/>
      <c r="E491" s="530"/>
      <c r="F491" s="531"/>
      <c r="G491" s="532"/>
      <c r="H491" s="530"/>
      <c r="I491" s="530"/>
      <c r="J491" s="530"/>
      <c r="K491" s="530"/>
      <c r="L491" s="533"/>
      <c r="M491" s="533"/>
      <c r="N491" s="530"/>
      <c r="O491" s="530"/>
      <c r="P491" s="560"/>
    </row>
    <row r="492" spans="1:16">
      <c r="A492" s="559"/>
      <c r="B492" s="530"/>
      <c r="C492" s="530"/>
      <c r="D492" s="568"/>
      <c r="E492" s="530"/>
      <c r="F492" s="531"/>
      <c r="G492" s="532"/>
      <c r="H492" s="530"/>
      <c r="I492" s="530"/>
      <c r="J492" s="530"/>
      <c r="K492" s="530"/>
      <c r="L492" s="533"/>
      <c r="M492" s="533"/>
      <c r="N492" s="530"/>
      <c r="O492" s="530"/>
      <c r="P492" s="560"/>
    </row>
    <row r="493" spans="1:16">
      <c r="A493" s="559"/>
      <c r="B493" s="530"/>
      <c r="C493" s="530"/>
      <c r="D493" s="568"/>
      <c r="E493" s="530"/>
      <c r="F493" s="531"/>
      <c r="G493" s="532"/>
      <c r="H493" s="530"/>
      <c r="I493" s="530"/>
      <c r="J493" s="530"/>
      <c r="K493" s="530"/>
      <c r="L493" s="533"/>
      <c r="M493" s="533"/>
      <c r="N493" s="530"/>
      <c r="O493" s="530"/>
      <c r="P493" s="560"/>
    </row>
    <row r="494" spans="1:16">
      <c r="A494" s="559"/>
      <c r="B494" s="530"/>
      <c r="C494" s="530"/>
      <c r="D494" s="568"/>
      <c r="E494" s="530"/>
      <c r="F494" s="531"/>
      <c r="G494" s="532"/>
      <c r="H494" s="530"/>
      <c r="I494" s="530"/>
      <c r="J494" s="530"/>
      <c r="K494" s="530"/>
      <c r="L494" s="533"/>
      <c r="M494" s="533"/>
      <c r="N494" s="530"/>
      <c r="O494" s="530"/>
      <c r="P494" s="560"/>
    </row>
    <row r="495" spans="1:16">
      <c r="A495" s="559"/>
      <c r="B495" s="530"/>
      <c r="C495" s="530"/>
      <c r="D495" s="568"/>
      <c r="E495" s="530"/>
      <c r="F495" s="531"/>
      <c r="G495" s="532"/>
      <c r="H495" s="530"/>
      <c r="I495" s="530"/>
      <c r="J495" s="530"/>
      <c r="K495" s="530"/>
      <c r="L495" s="533"/>
      <c r="M495" s="533"/>
      <c r="N495" s="530"/>
      <c r="O495" s="530"/>
      <c r="P495" s="560"/>
    </row>
    <row r="496" spans="1:16">
      <c r="A496" s="559"/>
      <c r="B496" s="530"/>
      <c r="C496" s="530"/>
      <c r="D496" s="568"/>
      <c r="E496" s="530"/>
      <c r="F496" s="531"/>
      <c r="G496" s="532"/>
      <c r="H496" s="530"/>
      <c r="I496" s="530"/>
      <c r="J496" s="530"/>
      <c r="K496" s="530"/>
      <c r="L496" s="533"/>
      <c r="M496" s="533"/>
      <c r="N496" s="530"/>
      <c r="O496" s="530"/>
      <c r="P496" s="560"/>
    </row>
    <row r="497" spans="1:16">
      <c r="A497" s="559"/>
      <c r="B497" s="530"/>
      <c r="C497" s="530"/>
      <c r="D497" s="568"/>
      <c r="E497" s="530"/>
      <c r="F497" s="531"/>
      <c r="G497" s="532"/>
      <c r="H497" s="530"/>
      <c r="I497" s="530"/>
      <c r="J497" s="530"/>
      <c r="K497" s="530"/>
      <c r="L497" s="533"/>
      <c r="M497" s="533"/>
      <c r="N497" s="530"/>
      <c r="O497" s="530"/>
      <c r="P497" s="560"/>
    </row>
    <row r="498" spans="1:16">
      <c r="A498" s="559"/>
      <c r="B498" s="530"/>
      <c r="C498" s="530"/>
      <c r="D498" s="568"/>
      <c r="E498" s="530"/>
      <c r="F498" s="531"/>
      <c r="G498" s="532"/>
      <c r="H498" s="530"/>
      <c r="I498" s="530"/>
      <c r="J498" s="530"/>
      <c r="K498" s="530"/>
      <c r="L498" s="533"/>
      <c r="M498" s="533"/>
      <c r="N498" s="530"/>
      <c r="O498" s="530"/>
      <c r="P498" s="560"/>
    </row>
    <row r="499" spans="1:16">
      <c r="A499" s="559"/>
      <c r="B499" s="530"/>
      <c r="C499" s="530"/>
      <c r="D499" s="568"/>
      <c r="E499" s="530"/>
      <c r="F499" s="531"/>
      <c r="G499" s="532"/>
      <c r="H499" s="530"/>
      <c r="I499" s="530"/>
      <c r="J499" s="530"/>
      <c r="K499" s="530"/>
      <c r="L499" s="533"/>
      <c r="M499" s="533"/>
      <c r="N499" s="530"/>
      <c r="O499" s="530"/>
      <c r="P499" s="560"/>
    </row>
    <row r="500" spans="1:16">
      <c r="A500" s="559"/>
      <c r="B500" s="530"/>
      <c r="C500" s="530"/>
      <c r="D500" s="568"/>
      <c r="E500" s="530"/>
      <c r="F500" s="531"/>
      <c r="G500" s="532"/>
      <c r="H500" s="530"/>
      <c r="I500" s="530"/>
      <c r="J500" s="530"/>
      <c r="K500" s="530"/>
      <c r="L500" s="533"/>
      <c r="M500" s="533"/>
      <c r="N500" s="530"/>
      <c r="O500" s="530"/>
      <c r="P500" s="560"/>
    </row>
    <row r="501" spans="1:16">
      <c r="A501" s="559"/>
      <c r="B501" s="530"/>
      <c r="C501" s="530"/>
      <c r="D501" s="568"/>
      <c r="E501" s="530"/>
      <c r="F501" s="531"/>
      <c r="G501" s="532"/>
      <c r="H501" s="530"/>
      <c r="I501" s="530"/>
      <c r="J501" s="530"/>
      <c r="K501" s="530"/>
      <c r="L501" s="533"/>
      <c r="M501" s="533"/>
      <c r="N501" s="530"/>
      <c r="O501" s="530"/>
      <c r="P501" s="560"/>
    </row>
    <row r="502" spans="1:16">
      <c r="A502" s="559"/>
      <c r="B502" s="530"/>
      <c r="C502" s="530"/>
      <c r="D502" s="568"/>
      <c r="E502" s="530"/>
      <c r="F502" s="531"/>
      <c r="G502" s="532"/>
      <c r="H502" s="530"/>
      <c r="I502" s="530"/>
      <c r="J502" s="530"/>
      <c r="K502" s="530"/>
      <c r="L502" s="533"/>
      <c r="M502" s="533"/>
      <c r="N502" s="530"/>
      <c r="O502" s="530"/>
      <c r="P502" s="560"/>
    </row>
    <row r="503" spans="1:16">
      <c r="A503" s="559"/>
      <c r="B503" s="530"/>
      <c r="C503" s="530"/>
      <c r="D503" s="568"/>
      <c r="E503" s="530"/>
      <c r="F503" s="531"/>
      <c r="G503" s="532"/>
      <c r="H503" s="530"/>
      <c r="I503" s="530"/>
      <c r="J503" s="530"/>
      <c r="K503" s="530"/>
      <c r="L503" s="533"/>
      <c r="M503" s="533"/>
      <c r="N503" s="530"/>
      <c r="O503" s="530"/>
      <c r="P503" s="560"/>
    </row>
    <row r="504" spans="1:16">
      <c r="A504" s="559"/>
      <c r="B504" s="530"/>
      <c r="C504" s="530"/>
      <c r="D504" s="568"/>
      <c r="E504" s="530"/>
      <c r="F504" s="531"/>
      <c r="G504" s="532"/>
      <c r="H504" s="530"/>
      <c r="I504" s="530"/>
      <c r="J504" s="530"/>
      <c r="K504" s="530"/>
      <c r="L504" s="533"/>
      <c r="M504" s="533"/>
      <c r="N504" s="530"/>
      <c r="O504" s="530"/>
      <c r="P504" s="560"/>
    </row>
    <row r="505" spans="1:16">
      <c r="A505" s="559"/>
      <c r="B505" s="530"/>
      <c r="C505" s="530"/>
      <c r="D505" s="568"/>
      <c r="E505" s="530"/>
      <c r="F505" s="531"/>
      <c r="G505" s="532"/>
      <c r="H505" s="530"/>
      <c r="I505" s="530"/>
      <c r="J505" s="530"/>
      <c r="K505" s="530"/>
      <c r="L505" s="533"/>
      <c r="M505" s="533"/>
      <c r="N505" s="530"/>
      <c r="O505" s="530"/>
      <c r="P505" s="560"/>
    </row>
    <row r="506" spans="1:16">
      <c r="A506" s="559"/>
      <c r="B506" s="530"/>
      <c r="C506" s="530"/>
      <c r="D506" s="568"/>
      <c r="E506" s="530"/>
      <c r="F506" s="531"/>
      <c r="G506" s="532"/>
      <c r="H506" s="530"/>
      <c r="I506" s="530"/>
      <c r="J506" s="530"/>
      <c r="K506" s="530"/>
      <c r="L506" s="533"/>
      <c r="M506" s="533"/>
      <c r="N506" s="530"/>
      <c r="O506" s="530"/>
      <c r="P506" s="560"/>
    </row>
    <row r="507" spans="1:16">
      <c r="A507" s="559"/>
      <c r="B507" s="530"/>
      <c r="C507" s="530"/>
      <c r="D507" s="568"/>
      <c r="E507" s="530"/>
      <c r="F507" s="531"/>
      <c r="G507" s="532"/>
      <c r="H507" s="530"/>
      <c r="I507" s="530"/>
      <c r="J507" s="530"/>
      <c r="K507" s="530"/>
      <c r="L507" s="533"/>
      <c r="M507" s="533"/>
      <c r="N507" s="530"/>
      <c r="O507" s="530"/>
      <c r="P507" s="560"/>
    </row>
    <row r="508" spans="1:16">
      <c r="A508" s="559"/>
      <c r="B508" s="530"/>
      <c r="C508" s="530"/>
      <c r="D508" s="568"/>
      <c r="E508" s="530"/>
      <c r="F508" s="531"/>
      <c r="G508" s="532"/>
      <c r="H508" s="530"/>
      <c r="I508" s="530"/>
      <c r="J508" s="530"/>
      <c r="K508" s="530"/>
      <c r="L508" s="533"/>
      <c r="M508" s="533"/>
      <c r="N508" s="530"/>
      <c r="O508" s="530"/>
      <c r="P508" s="560"/>
    </row>
    <row r="509" spans="1:16">
      <c r="A509" s="559"/>
      <c r="B509" s="530"/>
      <c r="C509" s="530"/>
      <c r="D509" s="568"/>
      <c r="E509" s="530"/>
      <c r="F509" s="531"/>
      <c r="G509" s="532"/>
      <c r="H509" s="530"/>
      <c r="I509" s="530"/>
      <c r="J509" s="530"/>
      <c r="K509" s="530"/>
      <c r="L509" s="533"/>
      <c r="M509" s="533"/>
      <c r="N509" s="530"/>
      <c r="O509" s="530"/>
      <c r="P509" s="560"/>
    </row>
    <row r="510" spans="1:16">
      <c r="A510" s="559"/>
      <c r="B510" s="530"/>
      <c r="C510" s="530"/>
      <c r="D510" s="568"/>
      <c r="E510" s="530"/>
      <c r="F510" s="531"/>
      <c r="G510" s="532"/>
      <c r="H510" s="530"/>
      <c r="I510" s="530"/>
      <c r="J510" s="530"/>
      <c r="K510" s="530"/>
      <c r="L510" s="533"/>
      <c r="M510" s="533"/>
      <c r="N510" s="530"/>
      <c r="O510" s="530"/>
      <c r="P510" s="560"/>
    </row>
    <row r="511" spans="1:16">
      <c r="A511" s="559"/>
      <c r="B511" s="530"/>
      <c r="C511" s="530"/>
      <c r="D511" s="568"/>
      <c r="E511" s="530"/>
      <c r="F511" s="531"/>
      <c r="G511" s="532"/>
      <c r="H511" s="530"/>
      <c r="I511" s="530"/>
      <c r="J511" s="530"/>
      <c r="K511" s="530"/>
      <c r="L511" s="533"/>
      <c r="M511" s="533"/>
      <c r="N511" s="530"/>
      <c r="O511" s="530"/>
      <c r="P511" s="560"/>
    </row>
    <row r="512" spans="1:16">
      <c r="A512" s="559"/>
      <c r="B512" s="530"/>
      <c r="C512" s="530"/>
      <c r="D512" s="568"/>
      <c r="E512" s="530"/>
      <c r="F512" s="531"/>
      <c r="G512" s="532"/>
      <c r="H512" s="530"/>
      <c r="I512" s="530"/>
      <c r="J512" s="530"/>
      <c r="K512" s="530"/>
      <c r="L512" s="533"/>
      <c r="M512" s="533"/>
      <c r="N512" s="530"/>
      <c r="O512" s="530"/>
      <c r="P512" s="560"/>
    </row>
    <row r="513" spans="1:16">
      <c r="A513" s="559"/>
      <c r="B513" s="530"/>
      <c r="C513" s="530"/>
      <c r="D513" s="568"/>
      <c r="E513" s="530"/>
      <c r="F513" s="531"/>
      <c r="G513" s="532"/>
      <c r="H513" s="530"/>
      <c r="I513" s="530"/>
      <c r="J513" s="530"/>
      <c r="K513" s="530"/>
      <c r="L513" s="533"/>
      <c r="M513" s="533"/>
      <c r="N513" s="530"/>
      <c r="O513" s="530"/>
      <c r="P513" s="560"/>
    </row>
    <row r="514" spans="1:16">
      <c r="A514" s="559"/>
      <c r="B514" s="530"/>
      <c r="C514" s="530"/>
      <c r="D514" s="568"/>
      <c r="E514" s="530"/>
      <c r="F514" s="531"/>
      <c r="G514" s="532"/>
      <c r="H514" s="530"/>
      <c r="I514" s="530"/>
      <c r="J514" s="530"/>
      <c r="K514" s="530"/>
      <c r="L514" s="533"/>
      <c r="M514" s="533"/>
      <c r="N514" s="530"/>
      <c r="O514" s="530"/>
      <c r="P514" s="560"/>
    </row>
    <row r="515" spans="1:16">
      <c r="A515" s="559"/>
      <c r="B515" s="530"/>
      <c r="C515" s="530"/>
      <c r="D515" s="568"/>
      <c r="E515" s="530"/>
      <c r="F515" s="531"/>
      <c r="G515" s="532"/>
      <c r="H515" s="530"/>
      <c r="I515" s="530"/>
      <c r="J515" s="530"/>
      <c r="K515" s="530"/>
      <c r="L515" s="533"/>
      <c r="M515" s="533"/>
      <c r="N515" s="530"/>
      <c r="O515" s="530"/>
      <c r="P515" s="560"/>
    </row>
    <row r="516" spans="1:16">
      <c r="A516" s="559"/>
      <c r="B516" s="530"/>
      <c r="C516" s="530"/>
      <c r="D516" s="568"/>
      <c r="E516" s="530"/>
      <c r="F516" s="531"/>
      <c r="G516" s="532"/>
      <c r="H516" s="530"/>
      <c r="I516" s="530"/>
      <c r="J516" s="530"/>
      <c r="K516" s="530"/>
      <c r="L516" s="533"/>
      <c r="M516" s="533"/>
      <c r="N516" s="530"/>
      <c r="O516" s="530"/>
      <c r="P516" s="560"/>
    </row>
    <row r="517" spans="1:16">
      <c r="A517" s="559"/>
      <c r="B517" s="530"/>
      <c r="C517" s="530"/>
      <c r="D517" s="568"/>
      <c r="E517" s="530"/>
      <c r="F517" s="531"/>
      <c r="G517" s="532"/>
      <c r="H517" s="530"/>
      <c r="I517" s="530"/>
      <c r="J517" s="530"/>
      <c r="K517" s="530"/>
      <c r="L517" s="533"/>
      <c r="M517" s="533"/>
      <c r="N517" s="530"/>
      <c r="O517" s="530"/>
      <c r="P517" s="560"/>
    </row>
    <row r="518" spans="1:16">
      <c r="A518" s="559"/>
      <c r="B518" s="530"/>
      <c r="C518" s="530"/>
      <c r="D518" s="568"/>
      <c r="E518" s="530"/>
      <c r="F518" s="531"/>
      <c r="G518" s="532"/>
      <c r="H518" s="530"/>
      <c r="I518" s="530"/>
      <c r="J518" s="530"/>
      <c r="K518" s="530"/>
      <c r="L518" s="533"/>
      <c r="M518" s="533"/>
      <c r="N518" s="530"/>
      <c r="O518" s="530"/>
      <c r="P518" s="560"/>
    </row>
    <row r="519" spans="1:16">
      <c r="A519" s="559"/>
      <c r="B519" s="530"/>
      <c r="C519" s="530"/>
      <c r="D519" s="568"/>
      <c r="E519" s="530"/>
      <c r="F519" s="531"/>
      <c r="G519" s="532"/>
      <c r="H519" s="530"/>
      <c r="I519" s="530"/>
      <c r="J519" s="530"/>
      <c r="K519" s="530"/>
      <c r="L519" s="533"/>
      <c r="M519" s="533"/>
      <c r="N519" s="530"/>
      <c r="O519" s="530"/>
      <c r="P519" s="560"/>
    </row>
    <row r="520" spans="1:16">
      <c r="A520" s="559"/>
      <c r="B520" s="530"/>
      <c r="C520" s="530"/>
      <c r="D520" s="568"/>
      <c r="E520" s="530"/>
      <c r="F520" s="531"/>
      <c r="G520" s="532"/>
      <c r="H520" s="530"/>
      <c r="I520" s="530"/>
      <c r="J520" s="530"/>
      <c r="K520" s="530"/>
      <c r="L520" s="533"/>
      <c r="M520" s="533"/>
      <c r="N520" s="530"/>
      <c r="O520" s="530"/>
      <c r="P520" s="560"/>
    </row>
    <row r="521" spans="1:16">
      <c r="A521" s="559"/>
      <c r="B521" s="530"/>
      <c r="C521" s="530"/>
      <c r="D521" s="568"/>
      <c r="E521" s="530"/>
      <c r="F521" s="531"/>
      <c r="G521" s="532"/>
      <c r="H521" s="530"/>
      <c r="I521" s="530"/>
      <c r="J521" s="530"/>
      <c r="K521" s="530"/>
      <c r="L521" s="533"/>
      <c r="M521" s="533"/>
      <c r="N521" s="530"/>
      <c r="O521" s="530"/>
      <c r="P521" s="560"/>
    </row>
    <row r="522" spans="1:16">
      <c r="A522" s="559"/>
      <c r="B522" s="530"/>
      <c r="C522" s="530"/>
      <c r="D522" s="568"/>
      <c r="E522" s="530"/>
      <c r="F522" s="531"/>
      <c r="G522" s="532"/>
      <c r="H522" s="530"/>
      <c r="I522" s="530"/>
      <c r="J522" s="530"/>
      <c r="K522" s="530"/>
      <c r="L522" s="533"/>
      <c r="M522" s="533"/>
      <c r="N522" s="530"/>
      <c r="O522" s="530"/>
      <c r="P522" s="560"/>
    </row>
    <row r="523" spans="1:16">
      <c r="A523" s="559"/>
      <c r="B523" s="530"/>
      <c r="C523" s="530"/>
      <c r="D523" s="568"/>
      <c r="E523" s="530"/>
      <c r="F523" s="531"/>
      <c r="G523" s="532"/>
      <c r="H523" s="530"/>
      <c r="I523" s="530"/>
      <c r="J523" s="530"/>
      <c r="K523" s="530"/>
      <c r="L523" s="533"/>
      <c r="M523" s="533"/>
      <c r="N523" s="530"/>
      <c r="O523" s="530"/>
      <c r="P523" s="560"/>
    </row>
    <row r="524" spans="1:16">
      <c r="A524" s="559"/>
      <c r="B524" s="530"/>
      <c r="C524" s="530"/>
      <c r="D524" s="568"/>
      <c r="E524" s="530"/>
      <c r="F524" s="531"/>
      <c r="G524" s="532"/>
      <c r="H524" s="530"/>
      <c r="I524" s="530"/>
      <c r="J524" s="530"/>
      <c r="K524" s="530"/>
      <c r="L524" s="533"/>
      <c r="M524" s="533"/>
      <c r="N524" s="530"/>
      <c r="O524" s="530"/>
      <c r="P524" s="560"/>
    </row>
    <row r="525" spans="1:16">
      <c r="A525" s="559"/>
      <c r="B525" s="530"/>
      <c r="C525" s="530"/>
      <c r="D525" s="568"/>
      <c r="E525" s="530"/>
      <c r="F525" s="531"/>
      <c r="G525" s="532"/>
      <c r="H525" s="530"/>
      <c r="I525" s="530"/>
      <c r="J525" s="530"/>
      <c r="K525" s="530"/>
      <c r="L525" s="533"/>
      <c r="M525" s="533"/>
      <c r="N525" s="530"/>
      <c r="O525" s="530"/>
      <c r="P525" s="560"/>
    </row>
    <row r="526" spans="1:16">
      <c r="A526" s="559"/>
      <c r="B526" s="530"/>
      <c r="C526" s="530"/>
      <c r="D526" s="568"/>
      <c r="E526" s="530"/>
      <c r="F526" s="531"/>
      <c r="G526" s="532"/>
      <c r="H526" s="530"/>
      <c r="I526" s="530"/>
      <c r="J526" s="530"/>
      <c r="K526" s="530"/>
      <c r="L526" s="533"/>
      <c r="M526" s="533"/>
      <c r="N526" s="530"/>
      <c r="O526" s="530"/>
      <c r="P526" s="560"/>
    </row>
    <row r="527" spans="1:16">
      <c r="A527" s="559"/>
      <c r="B527" s="530"/>
      <c r="C527" s="530"/>
      <c r="D527" s="568"/>
      <c r="E527" s="530"/>
      <c r="F527" s="531"/>
      <c r="G527" s="532"/>
      <c r="H527" s="530"/>
      <c r="I527" s="530"/>
      <c r="J527" s="530"/>
      <c r="K527" s="530"/>
      <c r="L527" s="533"/>
      <c r="M527" s="533"/>
      <c r="N527" s="530"/>
      <c r="O527" s="530"/>
      <c r="P527" s="560"/>
    </row>
    <row r="528" spans="1:16">
      <c r="A528" s="559"/>
      <c r="B528" s="530"/>
      <c r="C528" s="530"/>
      <c r="D528" s="568"/>
      <c r="E528" s="530"/>
      <c r="F528" s="531"/>
      <c r="G528" s="532"/>
      <c r="H528" s="530"/>
      <c r="I528" s="530"/>
      <c r="J528" s="530"/>
      <c r="K528" s="530"/>
      <c r="L528" s="533"/>
      <c r="M528" s="533"/>
      <c r="N528" s="530"/>
      <c r="O528" s="530"/>
      <c r="P528" s="560"/>
    </row>
    <row r="529" spans="1:16">
      <c r="A529" s="559"/>
      <c r="B529" s="530"/>
      <c r="C529" s="530"/>
      <c r="D529" s="568"/>
      <c r="E529" s="530"/>
      <c r="F529" s="531"/>
      <c r="G529" s="532"/>
      <c r="H529" s="530"/>
      <c r="I529" s="530"/>
      <c r="J529" s="530"/>
      <c r="K529" s="530"/>
      <c r="L529" s="533"/>
      <c r="M529" s="533"/>
      <c r="N529" s="530"/>
      <c r="O529" s="530"/>
      <c r="P529" s="560"/>
    </row>
    <row r="530" spans="1:16">
      <c r="A530" s="559"/>
      <c r="B530" s="530"/>
      <c r="C530" s="530"/>
      <c r="D530" s="568"/>
      <c r="E530" s="530"/>
      <c r="F530" s="531"/>
      <c r="G530" s="532"/>
      <c r="H530" s="530"/>
      <c r="I530" s="530"/>
      <c r="J530" s="530"/>
      <c r="K530" s="530"/>
      <c r="L530" s="533"/>
      <c r="M530" s="533"/>
      <c r="N530" s="530"/>
      <c r="O530" s="530"/>
      <c r="P530" s="560"/>
    </row>
    <row r="531" spans="1:16">
      <c r="A531" s="559"/>
      <c r="B531" s="530"/>
      <c r="C531" s="530"/>
      <c r="D531" s="568"/>
      <c r="E531" s="530"/>
      <c r="F531" s="531"/>
      <c r="G531" s="532"/>
      <c r="H531" s="530"/>
      <c r="I531" s="530"/>
      <c r="J531" s="530"/>
      <c r="K531" s="530"/>
      <c r="L531" s="533"/>
      <c r="M531" s="533"/>
      <c r="N531" s="530"/>
      <c r="O531" s="530"/>
      <c r="P531" s="560"/>
    </row>
    <row r="532" spans="1:16">
      <c r="A532" s="559"/>
      <c r="B532" s="530"/>
      <c r="C532" s="530"/>
      <c r="D532" s="568"/>
      <c r="E532" s="530"/>
      <c r="F532" s="531"/>
      <c r="G532" s="532"/>
      <c r="H532" s="530"/>
      <c r="I532" s="530"/>
      <c r="J532" s="530"/>
      <c r="K532" s="530"/>
      <c r="L532" s="533"/>
      <c r="M532" s="533"/>
      <c r="N532" s="530"/>
      <c r="O532" s="530"/>
      <c r="P532" s="560"/>
    </row>
    <row r="533" spans="1:16">
      <c r="A533" s="559"/>
      <c r="B533" s="530"/>
      <c r="C533" s="530"/>
      <c r="D533" s="568"/>
      <c r="E533" s="530"/>
      <c r="F533" s="531"/>
      <c r="G533" s="532"/>
      <c r="H533" s="530"/>
      <c r="I533" s="530"/>
      <c r="J533" s="530"/>
      <c r="K533" s="530"/>
      <c r="L533" s="533"/>
      <c r="M533" s="533"/>
      <c r="N533" s="530"/>
      <c r="O533" s="530"/>
      <c r="P533" s="560"/>
    </row>
    <row r="534" spans="1:16">
      <c r="A534" s="559"/>
      <c r="B534" s="530"/>
      <c r="C534" s="530"/>
      <c r="D534" s="568"/>
      <c r="E534" s="530"/>
      <c r="F534" s="531"/>
      <c r="G534" s="532"/>
      <c r="H534" s="530"/>
      <c r="I534" s="530"/>
      <c r="J534" s="530"/>
      <c r="K534" s="530"/>
      <c r="L534" s="533"/>
      <c r="M534" s="533"/>
      <c r="N534" s="530"/>
      <c r="O534" s="530"/>
      <c r="P534" s="560"/>
    </row>
    <row r="535" spans="1:16">
      <c r="A535" s="559"/>
      <c r="B535" s="530"/>
      <c r="C535" s="530"/>
      <c r="D535" s="568"/>
      <c r="E535" s="530"/>
      <c r="F535" s="531"/>
      <c r="G535" s="532"/>
      <c r="H535" s="530"/>
      <c r="I535" s="530"/>
      <c r="J535" s="530"/>
      <c r="K535" s="530"/>
      <c r="L535" s="533"/>
      <c r="M535" s="533"/>
      <c r="N535" s="530"/>
      <c r="O535" s="530"/>
      <c r="P535" s="560"/>
    </row>
    <row r="536" spans="1:16">
      <c r="A536" s="559"/>
      <c r="B536" s="530"/>
      <c r="C536" s="530"/>
      <c r="D536" s="568"/>
      <c r="E536" s="530"/>
      <c r="F536" s="531"/>
      <c r="G536" s="532"/>
      <c r="H536" s="530"/>
      <c r="I536" s="530"/>
      <c r="J536" s="530"/>
      <c r="K536" s="530"/>
      <c r="L536" s="533"/>
      <c r="M536" s="533"/>
      <c r="N536" s="530"/>
      <c r="O536" s="530"/>
      <c r="P536" s="560"/>
    </row>
    <row r="537" spans="1:16">
      <c r="A537" s="559"/>
      <c r="B537" s="530"/>
      <c r="C537" s="530"/>
      <c r="D537" s="568"/>
      <c r="E537" s="530"/>
      <c r="F537" s="531"/>
      <c r="G537" s="532"/>
      <c r="H537" s="530"/>
      <c r="I537" s="530"/>
      <c r="J537" s="530"/>
      <c r="K537" s="530"/>
      <c r="L537" s="533"/>
      <c r="M537" s="533"/>
      <c r="N537" s="530"/>
      <c r="O537" s="530"/>
      <c r="P537" s="560"/>
    </row>
    <row r="538" spans="1:16">
      <c r="A538" s="559"/>
      <c r="B538" s="530"/>
      <c r="C538" s="530"/>
      <c r="D538" s="568"/>
      <c r="E538" s="530"/>
      <c r="F538" s="531"/>
      <c r="G538" s="532"/>
      <c r="H538" s="530"/>
      <c r="I538" s="530"/>
      <c r="J538" s="530"/>
      <c r="K538" s="530"/>
      <c r="L538" s="533"/>
      <c r="M538" s="533"/>
      <c r="N538" s="530"/>
      <c r="O538" s="530"/>
      <c r="P538" s="560"/>
    </row>
    <row r="539" spans="1:16">
      <c r="A539" s="559"/>
      <c r="B539" s="530"/>
      <c r="C539" s="530"/>
      <c r="D539" s="568"/>
      <c r="E539" s="530"/>
      <c r="F539" s="531"/>
      <c r="G539" s="532"/>
      <c r="H539" s="530"/>
      <c r="I539" s="530"/>
      <c r="J539" s="530"/>
      <c r="K539" s="530"/>
      <c r="L539" s="533"/>
      <c r="M539" s="533"/>
      <c r="N539" s="530"/>
      <c r="O539" s="530"/>
      <c r="P539" s="560"/>
    </row>
    <row r="540" spans="1:16">
      <c r="A540" s="559"/>
      <c r="B540" s="530"/>
      <c r="C540" s="530"/>
      <c r="D540" s="568"/>
      <c r="E540" s="530"/>
      <c r="F540" s="531"/>
      <c r="G540" s="532"/>
      <c r="H540" s="530"/>
      <c r="I540" s="530"/>
      <c r="J540" s="530"/>
      <c r="K540" s="530"/>
      <c r="L540" s="533"/>
      <c r="M540" s="533"/>
      <c r="N540" s="530"/>
      <c r="O540" s="530"/>
      <c r="P540" s="560"/>
    </row>
    <row r="541" spans="1:16">
      <c r="A541" s="559"/>
      <c r="B541" s="530"/>
      <c r="C541" s="530"/>
      <c r="D541" s="568"/>
      <c r="E541" s="530"/>
      <c r="F541" s="531"/>
      <c r="G541" s="532"/>
      <c r="H541" s="530"/>
      <c r="I541" s="530"/>
      <c r="J541" s="530"/>
      <c r="K541" s="530"/>
      <c r="L541" s="533"/>
      <c r="M541" s="533"/>
      <c r="N541" s="530"/>
      <c r="O541" s="530"/>
      <c r="P541" s="560"/>
    </row>
    <row r="542" spans="1:16">
      <c r="A542" s="559"/>
      <c r="B542" s="530"/>
      <c r="C542" s="530"/>
      <c r="D542" s="568"/>
      <c r="E542" s="530"/>
      <c r="F542" s="531"/>
      <c r="G542" s="532"/>
      <c r="H542" s="530"/>
      <c r="I542" s="530"/>
      <c r="J542" s="530"/>
      <c r="K542" s="530"/>
      <c r="L542" s="533"/>
      <c r="M542" s="533"/>
      <c r="N542" s="530"/>
      <c r="O542" s="530"/>
      <c r="P542" s="560"/>
    </row>
    <row r="543" spans="1:16">
      <c r="A543" s="559"/>
      <c r="B543" s="530"/>
      <c r="C543" s="530"/>
      <c r="D543" s="568"/>
      <c r="E543" s="530"/>
      <c r="F543" s="531"/>
      <c r="G543" s="532"/>
      <c r="H543" s="530"/>
      <c r="I543" s="530"/>
      <c r="J543" s="530"/>
      <c r="K543" s="530"/>
      <c r="L543" s="533"/>
      <c r="M543" s="533"/>
      <c r="N543" s="530"/>
      <c r="O543" s="530"/>
      <c r="P543" s="560"/>
    </row>
    <row r="544" spans="1:16">
      <c r="A544" s="559"/>
      <c r="B544" s="530"/>
      <c r="C544" s="530"/>
      <c r="D544" s="568"/>
      <c r="E544" s="530"/>
      <c r="F544" s="531"/>
      <c r="G544" s="532"/>
      <c r="H544" s="530"/>
      <c r="I544" s="530"/>
      <c r="J544" s="530"/>
      <c r="K544" s="530"/>
      <c r="L544" s="533"/>
      <c r="M544" s="533"/>
      <c r="N544" s="530"/>
      <c r="O544" s="530"/>
      <c r="P544" s="560"/>
    </row>
    <row r="545" spans="1:16">
      <c r="A545" s="559"/>
      <c r="B545" s="530"/>
      <c r="C545" s="530"/>
      <c r="D545" s="568"/>
      <c r="E545" s="530"/>
      <c r="F545" s="531"/>
      <c r="G545" s="532"/>
      <c r="H545" s="530"/>
      <c r="I545" s="530"/>
      <c r="J545" s="530"/>
      <c r="K545" s="530"/>
      <c r="L545" s="533"/>
      <c r="M545" s="533"/>
      <c r="N545" s="530"/>
      <c r="O545" s="530"/>
      <c r="P545" s="560"/>
    </row>
    <row r="546" spans="1:16">
      <c r="A546" s="559"/>
      <c r="B546" s="530"/>
      <c r="C546" s="530"/>
      <c r="D546" s="568"/>
      <c r="E546" s="530"/>
      <c r="F546" s="531"/>
      <c r="G546" s="532"/>
      <c r="H546" s="530"/>
      <c r="I546" s="530"/>
      <c r="J546" s="530"/>
      <c r="K546" s="530"/>
      <c r="L546" s="533"/>
      <c r="M546" s="533"/>
      <c r="N546" s="530"/>
      <c r="O546" s="530"/>
      <c r="P546" s="560"/>
    </row>
    <row r="547" spans="1:16">
      <c r="A547" s="559"/>
      <c r="B547" s="530"/>
      <c r="C547" s="530"/>
      <c r="D547" s="568"/>
      <c r="E547" s="530"/>
      <c r="F547" s="531"/>
      <c r="G547" s="532"/>
      <c r="H547" s="530"/>
      <c r="I547" s="530"/>
      <c r="J547" s="530"/>
      <c r="K547" s="530"/>
      <c r="L547" s="533"/>
      <c r="M547" s="533"/>
      <c r="N547" s="530"/>
      <c r="O547" s="530"/>
      <c r="P547" s="560"/>
    </row>
    <row r="548" spans="1:16">
      <c r="A548" s="559"/>
      <c r="B548" s="530"/>
      <c r="C548" s="530"/>
      <c r="D548" s="568"/>
      <c r="E548" s="530"/>
      <c r="F548" s="531"/>
      <c r="G548" s="532"/>
      <c r="H548" s="530"/>
      <c r="I548" s="530"/>
      <c r="J548" s="530"/>
      <c r="K548" s="530"/>
      <c r="L548" s="533"/>
      <c r="M548" s="533"/>
      <c r="N548" s="530"/>
      <c r="O548" s="530"/>
      <c r="P548" s="560"/>
    </row>
    <row r="549" spans="1:16">
      <c r="A549" s="559"/>
      <c r="B549" s="530"/>
      <c r="C549" s="530"/>
      <c r="D549" s="568"/>
      <c r="E549" s="530"/>
      <c r="F549" s="531"/>
      <c r="G549" s="532"/>
      <c r="H549" s="530"/>
      <c r="I549" s="530"/>
      <c r="J549" s="530"/>
      <c r="K549" s="530"/>
      <c r="L549" s="533"/>
      <c r="M549" s="533"/>
      <c r="N549" s="530"/>
      <c r="O549" s="530"/>
      <c r="P549" s="560"/>
    </row>
    <row r="550" spans="1:16">
      <c r="A550" s="559"/>
      <c r="B550" s="530"/>
      <c r="C550" s="530"/>
      <c r="D550" s="568"/>
      <c r="E550" s="530"/>
      <c r="F550" s="531"/>
      <c r="G550" s="532"/>
      <c r="H550" s="530"/>
      <c r="I550" s="530"/>
      <c r="J550" s="530"/>
      <c r="K550" s="530"/>
      <c r="L550" s="533"/>
      <c r="M550" s="533"/>
      <c r="N550" s="530"/>
      <c r="O550" s="530"/>
      <c r="P550" s="560"/>
    </row>
    <row r="551" spans="1:16">
      <c r="A551" s="559"/>
      <c r="B551" s="530"/>
      <c r="C551" s="530"/>
      <c r="D551" s="568"/>
      <c r="E551" s="530"/>
      <c r="F551" s="531"/>
      <c r="G551" s="532"/>
      <c r="H551" s="530"/>
      <c r="I551" s="530"/>
      <c r="J551" s="530"/>
      <c r="K551" s="530"/>
      <c r="L551" s="533"/>
      <c r="M551" s="533"/>
      <c r="N551" s="530"/>
      <c r="O551" s="530"/>
      <c r="P551" s="560"/>
    </row>
    <row r="552" spans="1:16">
      <c r="A552" s="559"/>
      <c r="B552" s="530"/>
      <c r="C552" s="530"/>
      <c r="D552" s="568"/>
      <c r="E552" s="530"/>
      <c r="F552" s="531"/>
      <c r="G552" s="532"/>
      <c r="H552" s="530"/>
      <c r="I552" s="530"/>
      <c r="J552" s="530"/>
      <c r="K552" s="530"/>
      <c r="L552" s="533"/>
      <c r="M552" s="533"/>
      <c r="N552" s="530"/>
      <c r="O552" s="530"/>
      <c r="P552" s="560"/>
    </row>
    <row r="553" spans="1:16">
      <c r="A553" s="559"/>
      <c r="B553" s="530"/>
      <c r="C553" s="530"/>
      <c r="D553" s="568"/>
      <c r="E553" s="530"/>
      <c r="F553" s="531"/>
      <c r="G553" s="532"/>
      <c r="H553" s="530"/>
      <c r="I553" s="530"/>
      <c r="J553" s="530"/>
      <c r="K553" s="530"/>
      <c r="L553" s="533"/>
      <c r="M553" s="533"/>
      <c r="N553" s="530"/>
      <c r="O553" s="530"/>
      <c r="P553" s="560"/>
    </row>
    <row r="554" spans="1:16">
      <c r="A554" s="559"/>
      <c r="B554" s="530"/>
      <c r="C554" s="530"/>
      <c r="D554" s="568"/>
      <c r="E554" s="530"/>
      <c r="F554" s="531"/>
      <c r="G554" s="532"/>
      <c r="H554" s="530"/>
      <c r="I554" s="530"/>
      <c r="J554" s="530"/>
      <c r="K554" s="530"/>
      <c r="L554" s="533"/>
      <c r="M554" s="533"/>
      <c r="N554" s="530"/>
      <c r="O554" s="530"/>
      <c r="P554" s="560"/>
    </row>
    <row r="555" spans="1:16">
      <c r="A555" s="559"/>
      <c r="B555" s="530"/>
      <c r="C555" s="530"/>
      <c r="D555" s="568"/>
      <c r="E555" s="530"/>
      <c r="F555" s="531"/>
      <c r="G555" s="532"/>
      <c r="H555" s="530"/>
      <c r="I555" s="530"/>
      <c r="J555" s="530"/>
      <c r="K555" s="530"/>
      <c r="L555" s="533"/>
      <c r="M555" s="533"/>
      <c r="N555" s="530"/>
      <c r="O555" s="530"/>
      <c r="P555" s="560"/>
    </row>
    <row r="556" spans="1:16">
      <c r="A556" s="559"/>
      <c r="B556" s="530"/>
      <c r="C556" s="530"/>
      <c r="D556" s="568"/>
      <c r="E556" s="530"/>
      <c r="F556" s="531"/>
      <c r="G556" s="532"/>
      <c r="H556" s="530"/>
      <c r="I556" s="530"/>
      <c r="J556" s="530"/>
      <c r="K556" s="530"/>
      <c r="L556" s="533"/>
      <c r="M556" s="533"/>
      <c r="N556" s="530"/>
      <c r="O556" s="530"/>
      <c r="P556" s="560"/>
    </row>
    <row r="557" spans="1:16">
      <c r="A557" s="559"/>
      <c r="B557" s="530"/>
      <c r="C557" s="530"/>
      <c r="D557" s="568"/>
      <c r="E557" s="530"/>
      <c r="F557" s="531"/>
      <c r="G557" s="532"/>
      <c r="H557" s="530"/>
      <c r="I557" s="530"/>
      <c r="J557" s="530"/>
      <c r="K557" s="530"/>
      <c r="L557" s="533"/>
      <c r="M557" s="533"/>
      <c r="N557" s="530"/>
      <c r="O557" s="530"/>
      <c r="P557" s="560"/>
    </row>
    <row r="558" spans="1:16">
      <c r="A558" s="559"/>
      <c r="B558" s="530"/>
      <c r="C558" s="530"/>
      <c r="D558" s="568"/>
      <c r="E558" s="530"/>
      <c r="F558" s="531"/>
      <c r="G558" s="532"/>
      <c r="H558" s="530"/>
      <c r="I558" s="530"/>
      <c r="J558" s="530"/>
      <c r="K558" s="530"/>
      <c r="L558" s="533"/>
      <c r="M558" s="533"/>
      <c r="N558" s="530"/>
      <c r="O558" s="530"/>
      <c r="P558" s="560"/>
    </row>
    <row r="559" spans="1:16">
      <c r="A559" s="559"/>
      <c r="B559" s="530"/>
      <c r="C559" s="530"/>
      <c r="D559" s="568"/>
      <c r="E559" s="530"/>
      <c r="F559" s="531"/>
      <c r="G559" s="532"/>
      <c r="H559" s="530"/>
      <c r="I559" s="530"/>
      <c r="J559" s="530"/>
      <c r="K559" s="530"/>
      <c r="L559" s="533"/>
      <c r="M559" s="533"/>
      <c r="N559" s="530"/>
      <c r="O559" s="530"/>
      <c r="P559" s="560"/>
    </row>
    <row r="560" spans="1:16">
      <c r="A560" s="559"/>
      <c r="B560" s="530"/>
      <c r="C560" s="530"/>
      <c r="D560" s="568"/>
      <c r="E560" s="530"/>
      <c r="F560" s="531"/>
      <c r="G560" s="532"/>
      <c r="H560" s="530"/>
      <c r="I560" s="530"/>
      <c r="J560" s="530"/>
      <c r="K560" s="530"/>
      <c r="L560" s="533"/>
      <c r="M560" s="533"/>
      <c r="N560" s="530"/>
      <c r="O560" s="530"/>
      <c r="P560" s="560"/>
    </row>
    <row r="561" spans="1:16">
      <c r="A561" s="559"/>
      <c r="B561" s="530"/>
      <c r="C561" s="530"/>
      <c r="D561" s="568"/>
      <c r="E561" s="530"/>
      <c r="F561" s="531"/>
      <c r="G561" s="532"/>
      <c r="H561" s="530"/>
      <c r="I561" s="530"/>
      <c r="J561" s="530"/>
      <c r="K561" s="530"/>
      <c r="L561" s="533"/>
      <c r="M561" s="533"/>
      <c r="N561" s="530"/>
      <c r="O561" s="530"/>
      <c r="P561" s="560"/>
    </row>
    <row r="562" spans="1:16">
      <c r="A562" s="559"/>
      <c r="B562" s="530"/>
      <c r="C562" s="530"/>
      <c r="D562" s="568"/>
      <c r="E562" s="530"/>
      <c r="F562" s="531"/>
      <c r="G562" s="532"/>
      <c r="H562" s="530"/>
      <c r="I562" s="530"/>
      <c r="J562" s="530"/>
      <c r="K562" s="530"/>
      <c r="L562" s="533"/>
      <c r="M562" s="533"/>
      <c r="N562" s="530"/>
      <c r="O562" s="530"/>
      <c r="P562" s="560"/>
    </row>
    <row r="563" spans="1:16">
      <c r="A563" s="559"/>
      <c r="B563" s="530"/>
      <c r="C563" s="530"/>
      <c r="D563" s="568"/>
      <c r="E563" s="530"/>
      <c r="F563" s="531"/>
      <c r="G563" s="532"/>
      <c r="H563" s="530"/>
      <c r="I563" s="530"/>
      <c r="J563" s="530"/>
      <c r="K563" s="530"/>
      <c r="L563" s="533"/>
      <c r="M563" s="533"/>
      <c r="N563" s="530"/>
      <c r="O563" s="530"/>
      <c r="P563" s="560"/>
    </row>
    <row r="564" spans="1:16">
      <c r="A564" s="559"/>
      <c r="B564" s="530"/>
      <c r="C564" s="530"/>
      <c r="D564" s="568"/>
      <c r="E564" s="530"/>
      <c r="F564" s="531"/>
      <c r="G564" s="532"/>
      <c r="H564" s="530"/>
      <c r="I564" s="530"/>
      <c r="J564" s="530"/>
      <c r="K564" s="530"/>
      <c r="L564" s="533"/>
      <c r="M564" s="533"/>
      <c r="N564" s="530"/>
      <c r="O564" s="530"/>
      <c r="P564" s="560"/>
    </row>
    <row r="565" spans="1:16">
      <c r="A565" s="559"/>
      <c r="B565" s="530"/>
      <c r="C565" s="530"/>
      <c r="D565" s="568"/>
      <c r="E565" s="530"/>
      <c r="F565" s="531"/>
      <c r="G565" s="532"/>
      <c r="H565" s="530"/>
      <c r="I565" s="530"/>
      <c r="J565" s="530"/>
      <c r="K565" s="530"/>
      <c r="L565" s="533"/>
      <c r="M565" s="533"/>
      <c r="N565" s="530"/>
      <c r="O565" s="530"/>
      <c r="P565" s="560"/>
    </row>
    <row r="566" spans="1:16">
      <c r="A566" s="559"/>
      <c r="B566" s="530"/>
      <c r="C566" s="530"/>
      <c r="D566" s="568"/>
      <c r="E566" s="530"/>
      <c r="F566" s="531"/>
      <c r="G566" s="532"/>
      <c r="H566" s="530"/>
      <c r="I566" s="530"/>
      <c r="J566" s="530"/>
      <c r="K566" s="530"/>
      <c r="L566" s="533"/>
      <c r="M566" s="533"/>
      <c r="N566" s="530"/>
      <c r="O566" s="530"/>
      <c r="P566" s="560"/>
    </row>
    <row r="567" spans="1:16">
      <c r="A567" s="559"/>
      <c r="B567" s="530"/>
      <c r="C567" s="530"/>
      <c r="D567" s="568"/>
      <c r="E567" s="530"/>
      <c r="F567" s="531"/>
      <c r="G567" s="532"/>
      <c r="H567" s="530"/>
      <c r="I567" s="530"/>
      <c r="J567" s="530"/>
      <c r="K567" s="530"/>
      <c r="L567" s="533"/>
      <c r="M567" s="533"/>
      <c r="N567" s="530"/>
      <c r="O567" s="530"/>
      <c r="P567" s="560"/>
    </row>
    <row r="568" spans="1:16">
      <c r="A568" s="559"/>
      <c r="B568" s="530"/>
      <c r="C568" s="530"/>
      <c r="D568" s="568"/>
      <c r="E568" s="530"/>
      <c r="F568" s="531"/>
      <c r="G568" s="532"/>
      <c r="H568" s="530"/>
      <c r="I568" s="530"/>
      <c r="J568" s="530"/>
      <c r="K568" s="530"/>
      <c r="L568" s="533"/>
      <c r="M568" s="533"/>
      <c r="N568" s="530"/>
      <c r="O568" s="530"/>
      <c r="P568" s="560"/>
    </row>
    <row r="569" spans="1:16">
      <c r="A569" s="559"/>
      <c r="B569" s="530"/>
      <c r="C569" s="530"/>
      <c r="D569" s="568"/>
      <c r="E569" s="530"/>
      <c r="F569" s="531"/>
      <c r="G569" s="532"/>
      <c r="H569" s="530"/>
      <c r="I569" s="530"/>
      <c r="J569" s="530"/>
      <c r="K569" s="530"/>
      <c r="L569" s="533"/>
      <c r="M569" s="533"/>
      <c r="N569" s="530"/>
      <c r="O569" s="530"/>
      <c r="P569" s="560"/>
    </row>
    <row r="570" spans="1:16">
      <c r="A570" s="559"/>
      <c r="B570" s="530"/>
      <c r="C570" s="530"/>
      <c r="D570" s="568"/>
      <c r="E570" s="530"/>
      <c r="F570" s="531"/>
      <c r="G570" s="532"/>
      <c r="H570" s="530"/>
      <c r="I570" s="530"/>
      <c r="J570" s="530"/>
      <c r="K570" s="530"/>
      <c r="L570" s="533"/>
      <c r="M570" s="533"/>
      <c r="N570" s="530"/>
      <c r="O570" s="530"/>
      <c r="P570" s="560"/>
    </row>
    <row r="571" spans="1:16">
      <c r="A571" s="559"/>
      <c r="B571" s="530"/>
      <c r="C571" s="530"/>
      <c r="D571" s="568"/>
      <c r="E571" s="530"/>
      <c r="F571" s="531"/>
      <c r="G571" s="532"/>
      <c r="H571" s="530"/>
      <c r="I571" s="530"/>
      <c r="J571" s="530"/>
      <c r="K571" s="530"/>
      <c r="L571" s="533"/>
      <c r="M571" s="533"/>
      <c r="N571" s="530"/>
      <c r="O571" s="530"/>
      <c r="P571" s="560"/>
    </row>
    <row r="572" spans="1:16">
      <c r="A572" s="559"/>
      <c r="B572" s="530"/>
      <c r="C572" s="530"/>
      <c r="D572" s="568"/>
      <c r="E572" s="530"/>
      <c r="F572" s="531"/>
      <c r="G572" s="532"/>
      <c r="H572" s="530"/>
      <c r="I572" s="530"/>
      <c r="J572" s="530"/>
      <c r="K572" s="530"/>
      <c r="L572" s="533"/>
      <c r="M572" s="533"/>
      <c r="N572" s="530"/>
      <c r="O572" s="530"/>
      <c r="P572" s="560"/>
    </row>
    <row r="573" spans="1:16">
      <c r="A573" s="559"/>
      <c r="B573" s="530"/>
      <c r="C573" s="530"/>
      <c r="D573" s="568"/>
      <c r="E573" s="530"/>
      <c r="F573" s="531"/>
      <c r="G573" s="532"/>
      <c r="H573" s="530"/>
      <c r="I573" s="530"/>
      <c r="J573" s="530"/>
      <c r="K573" s="530"/>
      <c r="L573" s="533"/>
      <c r="M573" s="533"/>
      <c r="N573" s="530"/>
      <c r="O573" s="530"/>
      <c r="P573" s="560"/>
    </row>
    <row r="574" spans="1:16">
      <c r="A574" s="559"/>
      <c r="B574" s="530"/>
      <c r="C574" s="530"/>
      <c r="D574" s="568"/>
      <c r="E574" s="530"/>
      <c r="F574" s="531"/>
      <c r="G574" s="532"/>
      <c r="H574" s="530"/>
      <c r="I574" s="530"/>
      <c r="J574" s="530"/>
      <c r="K574" s="530"/>
      <c r="L574" s="533"/>
      <c r="M574" s="533"/>
      <c r="N574" s="530"/>
      <c r="O574" s="530"/>
      <c r="P574" s="560"/>
    </row>
    <row r="575" spans="1:16">
      <c r="A575" s="559"/>
      <c r="B575" s="530"/>
      <c r="C575" s="530"/>
      <c r="D575" s="568"/>
      <c r="E575" s="530"/>
      <c r="F575" s="531"/>
      <c r="G575" s="532"/>
      <c r="H575" s="530"/>
      <c r="I575" s="530"/>
      <c r="J575" s="530"/>
      <c r="K575" s="530"/>
      <c r="L575" s="533"/>
      <c r="M575" s="533"/>
      <c r="N575" s="530"/>
      <c r="O575" s="530"/>
      <c r="P575" s="560"/>
    </row>
    <row r="576" spans="1:16">
      <c r="A576" s="559"/>
      <c r="B576" s="530"/>
      <c r="C576" s="530"/>
      <c r="D576" s="568"/>
      <c r="E576" s="530"/>
      <c r="F576" s="531"/>
      <c r="G576" s="532"/>
      <c r="H576" s="530"/>
      <c r="I576" s="530"/>
      <c r="J576" s="530"/>
      <c r="K576" s="530"/>
      <c r="L576" s="533"/>
      <c r="M576" s="533"/>
      <c r="N576" s="530"/>
      <c r="O576" s="530"/>
      <c r="P576" s="560"/>
    </row>
    <row r="577" spans="1:16">
      <c r="A577" s="559"/>
      <c r="B577" s="530"/>
      <c r="C577" s="530"/>
      <c r="D577" s="568"/>
      <c r="E577" s="530"/>
      <c r="F577" s="531"/>
      <c r="G577" s="532"/>
      <c r="H577" s="530"/>
      <c r="I577" s="530"/>
      <c r="J577" s="530"/>
      <c r="K577" s="530"/>
      <c r="L577" s="533"/>
      <c r="M577" s="533"/>
      <c r="N577" s="530"/>
      <c r="O577" s="530"/>
      <c r="P577" s="560"/>
    </row>
    <row r="578" spans="1:16">
      <c r="A578" s="559"/>
      <c r="B578" s="530"/>
      <c r="C578" s="530"/>
      <c r="D578" s="568"/>
      <c r="E578" s="530"/>
      <c r="F578" s="531"/>
      <c r="G578" s="532"/>
      <c r="H578" s="530"/>
      <c r="I578" s="530"/>
      <c r="J578" s="530"/>
      <c r="K578" s="530"/>
      <c r="L578" s="533"/>
      <c r="M578" s="533"/>
      <c r="N578" s="530"/>
      <c r="O578" s="530"/>
      <c r="P578" s="560"/>
    </row>
    <row r="579" spans="1:16">
      <c r="A579" s="559"/>
      <c r="B579" s="530"/>
      <c r="C579" s="530"/>
      <c r="D579" s="568"/>
      <c r="E579" s="530"/>
      <c r="F579" s="531"/>
      <c r="G579" s="532"/>
      <c r="H579" s="530"/>
      <c r="I579" s="530"/>
      <c r="J579" s="530"/>
      <c r="K579" s="530"/>
      <c r="L579" s="533"/>
      <c r="M579" s="533"/>
      <c r="N579" s="530"/>
      <c r="O579" s="530"/>
      <c r="P579" s="560"/>
    </row>
    <row r="580" spans="1:16">
      <c r="A580" s="559"/>
      <c r="B580" s="530"/>
      <c r="C580" s="530"/>
      <c r="D580" s="568"/>
      <c r="E580" s="530"/>
      <c r="F580" s="531"/>
      <c r="G580" s="532"/>
      <c r="H580" s="530"/>
      <c r="I580" s="530"/>
      <c r="J580" s="530"/>
      <c r="K580" s="530"/>
      <c r="L580" s="533"/>
      <c r="M580" s="533"/>
      <c r="N580" s="530"/>
      <c r="O580" s="530"/>
      <c r="P580" s="560"/>
    </row>
    <row r="581" spans="1:16">
      <c r="A581" s="559"/>
      <c r="B581" s="530"/>
      <c r="C581" s="530"/>
      <c r="D581" s="568"/>
      <c r="E581" s="530"/>
      <c r="F581" s="531"/>
      <c r="G581" s="532"/>
      <c r="H581" s="530"/>
      <c r="I581" s="530"/>
      <c r="J581" s="530"/>
      <c r="K581" s="530"/>
      <c r="L581" s="533"/>
      <c r="M581" s="533"/>
      <c r="N581" s="530"/>
      <c r="O581" s="530"/>
      <c r="P581" s="560"/>
    </row>
    <row r="582" spans="1:16">
      <c r="A582" s="559"/>
      <c r="B582" s="530"/>
      <c r="C582" s="530"/>
      <c r="D582" s="568"/>
      <c r="E582" s="530"/>
      <c r="F582" s="531"/>
      <c r="G582" s="532"/>
      <c r="H582" s="530"/>
      <c r="I582" s="530"/>
      <c r="J582" s="530"/>
      <c r="K582" s="530"/>
      <c r="L582" s="533"/>
      <c r="M582" s="533"/>
      <c r="N582" s="530"/>
      <c r="O582" s="530"/>
      <c r="P582" s="560"/>
    </row>
    <row r="583" spans="1:16">
      <c r="A583" s="559"/>
      <c r="B583" s="530"/>
      <c r="C583" s="530"/>
      <c r="D583" s="568"/>
      <c r="E583" s="530"/>
      <c r="F583" s="531"/>
      <c r="G583" s="532"/>
      <c r="H583" s="530"/>
      <c r="I583" s="530"/>
      <c r="J583" s="530"/>
      <c r="K583" s="530"/>
      <c r="L583" s="533"/>
      <c r="M583" s="533"/>
      <c r="N583" s="530"/>
      <c r="O583" s="530"/>
      <c r="P583" s="560"/>
    </row>
    <row r="584" spans="1:16">
      <c r="A584" s="559"/>
      <c r="B584" s="530"/>
      <c r="C584" s="530"/>
      <c r="D584" s="568"/>
      <c r="E584" s="530"/>
      <c r="F584" s="531"/>
      <c r="G584" s="532"/>
      <c r="H584" s="530"/>
      <c r="I584" s="530"/>
      <c r="J584" s="530"/>
      <c r="K584" s="530"/>
      <c r="L584" s="533"/>
      <c r="M584" s="533"/>
      <c r="N584" s="530"/>
      <c r="O584" s="530"/>
      <c r="P584" s="560"/>
    </row>
    <row r="585" spans="1:16">
      <c r="A585" s="559"/>
      <c r="B585" s="530"/>
      <c r="C585" s="530"/>
      <c r="D585" s="568"/>
      <c r="E585" s="530"/>
      <c r="F585" s="531"/>
      <c r="G585" s="532"/>
      <c r="H585" s="530"/>
      <c r="I585" s="530"/>
      <c r="J585" s="530"/>
      <c r="K585" s="530"/>
      <c r="L585" s="533"/>
      <c r="M585" s="533"/>
      <c r="N585" s="530"/>
      <c r="O585" s="530"/>
      <c r="P585" s="560"/>
    </row>
    <row r="586" spans="1:16">
      <c r="A586" s="559"/>
      <c r="B586" s="530"/>
      <c r="C586" s="530"/>
      <c r="D586" s="568"/>
      <c r="E586" s="530"/>
      <c r="F586" s="531"/>
      <c r="G586" s="532"/>
      <c r="H586" s="530"/>
      <c r="I586" s="530"/>
      <c r="J586" s="530"/>
      <c r="K586" s="530"/>
      <c r="L586" s="533"/>
      <c r="M586" s="533"/>
      <c r="N586" s="530"/>
      <c r="O586" s="530"/>
      <c r="P586" s="560"/>
    </row>
    <row r="587" spans="1:16">
      <c r="A587" s="559"/>
      <c r="B587" s="530"/>
      <c r="C587" s="530"/>
      <c r="D587" s="568"/>
      <c r="E587" s="530"/>
      <c r="F587" s="531"/>
      <c r="G587" s="532"/>
      <c r="H587" s="530"/>
      <c r="I587" s="530"/>
      <c r="J587" s="530"/>
      <c r="K587" s="530"/>
      <c r="L587" s="533"/>
      <c r="M587" s="533"/>
      <c r="N587" s="530"/>
      <c r="O587" s="530"/>
      <c r="P587" s="560"/>
    </row>
    <row r="588" spans="1:16">
      <c r="A588" s="559"/>
      <c r="B588" s="530"/>
      <c r="C588" s="530"/>
      <c r="D588" s="568"/>
      <c r="E588" s="530"/>
      <c r="F588" s="531"/>
      <c r="G588" s="532"/>
      <c r="H588" s="530"/>
      <c r="I588" s="530"/>
      <c r="J588" s="530"/>
      <c r="K588" s="530"/>
      <c r="L588" s="533"/>
      <c r="M588" s="533"/>
      <c r="N588" s="530"/>
      <c r="O588" s="530"/>
      <c r="P588" s="560"/>
    </row>
    <row r="589" spans="1:16">
      <c r="A589" s="559"/>
      <c r="B589" s="530"/>
      <c r="C589" s="530"/>
      <c r="D589" s="568"/>
      <c r="E589" s="530"/>
      <c r="F589" s="531"/>
      <c r="G589" s="532"/>
      <c r="H589" s="530"/>
      <c r="I589" s="530"/>
      <c r="J589" s="530"/>
      <c r="K589" s="530"/>
      <c r="L589" s="533"/>
      <c r="M589" s="533"/>
      <c r="N589" s="530"/>
      <c r="O589" s="530"/>
      <c r="P589" s="560"/>
    </row>
    <row r="590" spans="1:16">
      <c r="A590" s="559"/>
      <c r="B590" s="530"/>
      <c r="C590" s="530"/>
      <c r="D590" s="568"/>
      <c r="E590" s="530"/>
      <c r="F590" s="531"/>
      <c r="G590" s="532"/>
      <c r="H590" s="530"/>
      <c r="I590" s="530"/>
      <c r="J590" s="530"/>
      <c r="K590" s="530"/>
      <c r="L590" s="533"/>
      <c r="M590" s="533"/>
      <c r="N590" s="530"/>
      <c r="O590" s="530"/>
      <c r="P590" s="560"/>
    </row>
    <row r="591" spans="1:16">
      <c r="A591" s="559"/>
      <c r="B591" s="530"/>
      <c r="C591" s="530"/>
      <c r="D591" s="568"/>
      <c r="E591" s="530"/>
      <c r="F591" s="531"/>
      <c r="G591" s="532"/>
      <c r="H591" s="530"/>
      <c r="I591" s="530"/>
      <c r="J591" s="530"/>
      <c r="K591" s="530"/>
      <c r="L591" s="533"/>
      <c r="M591" s="533"/>
      <c r="N591" s="530"/>
      <c r="O591" s="530"/>
      <c r="P591" s="560"/>
    </row>
    <row r="592" spans="1:16">
      <c r="A592" s="559"/>
      <c r="B592" s="530"/>
      <c r="C592" s="530"/>
      <c r="D592" s="568"/>
      <c r="E592" s="530"/>
      <c r="F592" s="531"/>
      <c r="G592" s="532"/>
      <c r="H592" s="530"/>
      <c r="I592" s="530"/>
      <c r="J592" s="530"/>
      <c r="K592" s="530"/>
      <c r="L592" s="533"/>
      <c r="M592" s="533"/>
      <c r="N592" s="530"/>
      <c r="O592" s="530"/>
      <c r="P592" s="560"/>
    </row>
    <row r="593" spans="1:16">
      <c r="A593" s="559"/>
      <c r="B593" s="530"/>
      <c r="C593" s="530"/>
      <c r="D593" s="568"/>
      <c r="E593" s="530"/>
      <c r="F593" s="531"/>
      <c r="G593" s="532"/>
      <c r="H593" s="530"/>
      <c r="I593" s="530"/>
      <c r="J593" s="530"/>
      <c r="K593" s="530"/>
      <c r="L593" s="533"/>
      <c r="M593" s="533"/>
      <c r="N593" s="530"/>
      <c r="O593" s="530"/>
      <c r="P593" s="560"/>
    </row>
    <row r="594" spans="1:16">
      <c r="A594" s="559"/>
      <c r="B594" s="530"/>
      <c r="C594" s="530"/>
      <c r="D594" s="568"/>
      <c r="E594" s="530"/>
      <c r="F594" s="531"/>
      <c r="G594" s="532"/>
      <c r="H594" s="530"/>
      <c r="I594" s="530"/>
      <c r="J594" s="530"/>
      <c r="K594" s="530"/>
      <c r="L594" s="533"/>
      <c r="M594" s="533"/>
      <c r="N594" s="530"/>
      <c r="O594" s="530"/>
      <c r="P594" s="560"/>
    </row>
    <row r="595" spans="1:16">
      <c r="A595" s="559"/>
      <c r="B595" s="530"/>
      <c r="C595" s="530"/>
      <c r="D595" s="568"/>
      <c r="E595" s="530"/>
      <c r="F595" s="531"/>
      <c r="G595" s="532"/>
      <c r="H595" s="530"/>
      <c r="I595" s="530"/>
      <c r="J595" s="530"/>
      <c r="K595" s="530"/>
      <c r="L595" s="533"/>
      <c r="M595" s="533"/>
      <c r="N595" s="530"/>
      <c r="O595" s="530"/>
      <c r="P595" s="560"/>
    </row>
    <row r="596" spans="1:16">
      <c r="A596" s="559"/>
      <c r="B596" s="530"/>
      <c r="C596" s="530"/>
      <c r="D596" s="568"/>
      <c r="E596" s="530"/>
      <c r="F596" s="531"/>
      <c r="G596" s="532"/>
      <c r="H596" s="530"/>
      <c r="I596" s="530"/>
      <c r="J596" s="530"/>
      <c r="K596" s="530"/>
      <c r="L596" s="533"/>
      <c r="M596" s="533"/>
      <c r="N596" s="530"/>
      <c r="O596" s="530"/>
      <c r="P596" s="560"/>
    </row>
    <row r="597" spans="1:16">
      <c r="A597" s="559"/>
      <c r="B597" s="530"/>
      <c r="C597" s="530"/>
      <c r="D597" s="568"/>
      <c r="E597" s="530"/>
      <c r="F597" s="531"/>
      <c r="G597" s="532"/>
      <c r="H597" s="530"/>
      <c r="I597" s="530"/>
      <c r="J597" s="530"/>
      <c r="K597" s="530"/>
      <c r="L597" s="533"/>
      <c r="M597" s="533"/>
      <c r="N597" s="530"/>
      <c r="O597" s="530"/>
      <c r="P597" s="560"/>
    </row>
    <row r="598" spans="1:16">
      <c r="A598" s="559"/>
      <c r="B598" s="530"/>
      <c r="C598" s="530"/>
      <c r="D598" s="568"/>
      <c r="E598" s="530"/>
      <c r="F598" s="531"/>
      <c r="G598" s="532"/>
      <c r="H598" s="530"/>
      <c r="I598" s="530"/>
      <c r="J598" s="530"/>
      <c r="K598" s="530"/>
      <c r="L598" s="533"/>
      <c r="M598" s="533"/>
      <c r="N598" s="530"/>
      <c r="O598" s="530"/>
      <c r="P598" s="560"/>
    </row>
    <row r="599" spans="1:16">
      <c r="A599" s="559"/>
      <c r="B599" s="530"/>
      <c r="C599" s="530"/>
      <c r="D599" s="568"/>
      <c r="E599" s="530"/>
      <c r="F599" s="531"/>
      <c r="G599" s="532"/>
      <c r="H599" s="530"/>
      <c r="I599" s="530"/>
      <c r="J599" s="530"/>
      <c r="K599" s="530"/>
      <c r="L599" s="533"/>
      <c r="M599" s="533"/>
      <c r="N599" s="530"/>
      <c r="O599" s="530"/>
      <c r="P599" s="560"/>
    </row>
    <row r="600" spans="1:16">
      <c r="A600" s="559"/>
      <c r="B600" s="530"/>
      <c r="C600" s="530"/>
      <c r="D600" s="568"/>
      <c r="E600" s="530"/>
      <c r="F600" s="531"/>
      <c r="G600" s="532"/>
      <c r="H600" s="530"/>
      <c r="I600" s="530"/>
      <c r="J600" s="530"/>
      <c r="K600" s="530"/>
      <c r="L600" s="533"/>
      <c r="M600" s="533"/>
      <c r="N600" s="530"/>
      <c r="O600" s="530"/>
      <c r="P600" s="560"/>
    </row>
    <row r="601" spans="1:16">
      <c r="A601" s="559"/>
      <c r="B601" s="530"/>
      <c r="C601" s="530"/>
      <c r="D601" s="568"/>
      <c r="E601" s="530"/>
      <c r="F601" s="531"/>
      <c r="G601" s="532"/>
      <c r="H601" s="530"/>
      <c r="I601" s="530"/>
      <c r="J601" s="530"/>
      <c r="K601" s="530"/>
      <c r="L601" s="533"/>
      <c r="M601" s="533"/>
      <c r="N601" s="530"/>
      <c r="O601" s="530"/>
      <c r="P601" s="560"/>
    </row>
    <row r="602" spans="1:16">
      <c r="A602" s="559"/>
      <c r="B602" s="530"/>
      <c r="C602" s="530"/>
      <c r="D602" s="568"/>
      <c r="E602" s="530"/>
      <c r="F602" s="531"/>
      <c r="G602" s="532"/>
      <c r="H602" s="530"/>
      <c r="I602" s="530"/>
      <c r="J602" s="530"/>
      <c r="K602" s="530"/>
      <c r="L602" s="533"/>
      <c r="M602" s="533"/>
      <c r="N602" s="530"/>
      <c r="O602" s="530"/>
      <c r="P602" s="560"/>
    </row>
    <row r="603" spans="1:16">
      <c r="A603" s="559"/>
      <c r="B603" s="530"/>
      <c r="C603" s="530"/>
      <c r="D603" s="568"/>
      <c r="E603" s="530"/>
      <c r="F603" s="531"/>
      <c r="G603" s="532"/>
      <c r="H603" s="530"/>
      <c r="I603" s="530"/>
      <c r="J603" s="530"/>
      <c r="K603" s="530"/>
      <c r="L603" s="533"/>
      <c r="M603" s="533"/>
      <c r="N603" s="530"/>
      <c r="O603" s="530"/>
      <c r="P603" s="560"/>
    </row>
    <row r="604" spans="1:16">
      <c r="A604" s="559"/>
      <c r="B604" s="530"/>
      <c r="C604" s="530"/>
      <c r="D604" s="568"/>
      <c r="E604" s="530"/>
      <c r="F604" s="531"/>
      <c r="G604" s="532"/>
      <c r="H604" s="530"/>
      <c r="I604" s="530"/>
      <c r="J604" s="530"/>
      <c r="K604" s="530"/>
      <c r="L604" s="533"/>
      <c r="M604" s="533"/>
      <c r="N604" s="530"/>
      <c r="O604" s="530"/>
      <c r="P604" s="560"/>
    </row>
    <row r="605" spans="1:16">
      <c r="A605" s="559"/>
      <c r="B605" s="530"/>
      <c r="C605" s="530"/>
      <c r="D605" s="568"/>
      <c r="E605" s="530"/>
      <c r="F605" s="531"/>
      <c r="G605" s="532"/>
      <c r="H605" s="530"/>
      <c r="I605" s="530"/>
      <c r="J605" s="530"/>
      <c r="K605" s="530"/>
      <c r="L605" s="533"/>
      <c r="M605" s="533"/>
      <c r="N605" s="530"/>
      <c r="O605" s="530"/>
      <c r="P605" s="560"/>
    </row>
    <row r="606" spans="1:16">
      <c r="A606" s="559"/>
      <c r="B606" s="530"/>
      <c r="C606" s="530"/>
      <c r="D606" s="568"/>
      <c r="E606" s="530"/>
      <c r="F606" s="531"/>
      <c r="G606" s="532"/>
      <c r="H606" s="530"/>
      <c r="I606" s="530"/>
      <c r="J606" s="530"/>
      <c r="K606" s="530"/>
      <c r="L606" s="533"/>
      <c r="M606" s="533"/>
      <c r="N606" s="530"/>
      <c r="O606" s="530"/>
      <c r="P606" s="560"/>
    </row>
    <row r="607" spans="1:16">
      <c r="A607" s="559"/>
      <c r="B607" s="530"/>
      <c r="C607" s="530"/>
      <c r="D607" s="568"/>
      <c r="E607" s="530"/>
      <c r="F607" s="531"/>
      <c r="G607" s="532"/>
      <c r="H607" s="530"/>
      <c r="I607" s="530"/>
      <c r="J607" s="530"/>
      <c r="K607" s="530"/>
      <c r="L607" s="533"/>
      <c r="M607" s="533"/>
      <c r="N607" s="530"/>
      <c r="O607" s="530"/>
      <c r="P607" s="560"/>
    </row>
    <row r="608" spans="1:16">
      <c r="A608" s="559"/>
      <c r="B608" s="530"/>
      <c r="C608" s="530"/>
      <c r="D608" s="568"/>
      <c r="E608" s="530"/>
      <c r="F608" s="531"/>
      <c r="G608" s="532"/>
      <c r="H608" s="530"/>
      <c r="I608" s="530"/>
      <c r="J608" s="530"/>
      <c r="K608" s="530"/>
      <c r="L608" s="533"/>
      <c r="M608" s="533"/>
      <c r="N608" s="530"/>
      <c r="O608" s="530"/>
      <c r="P608" s="560"/>
    </row>
    <row r="609" spans="1:16">
      <c r="A609" s="559"/>
      <c r="B609" s="530"/>
      <c r="C609" s="530"/>
      <c r="D609" s="568"/>
      <c r="E609" s="530"/>
      <c r="F609" s="531"/>
      <c r="G609" s="532"/>
      <c r="H609" s="530"/>
      <c r="I609" s="530"/>
      <c r="J609" s="530"/>
      <c r="K609" s="530"/>
      <c r="L609" s="533"/>
      <c r="M609" s="533"/>
      <c r="N609" s="530"/>
      <c r="O609" s="530"/>
      <c r="P609" s="560"/>
    </row>
    <row r="610" spans="1:16">
      <c r="A610" s="559"/>
      <c r="B610" s="530"/>
      <c r="C610" s="530"/>
      <c r="D610" s="568"/>
      <c r="E610" s="530"/>
      <c r="F610" s="531"/>
      <c r="G610" s="532"/>
      <c r="H610" s="530"/>
      <c r="I610" s="530"/>
      <c r="J610" s="530"/>
      <c r="K610" s="530"/>
      <c r="L610" s="533"/>
      <c r="M610" s="533"/>
      <c r="N610" s="530"/>
      <c r="O610" s="530"/>
      <c r="P610" s="560"/>
    </row>
    <row r="611" spans="1:16">
      <c r="A611" s="559"/>
      <c r="B611" s="530"/>
      <c r="C611" s="530"/>
      <c r="D611" s="568"/>
      <c r="E611" s="530"/>
      <c r="F611" s="531"/>
      <c r="G611" s="532"/>
      <c r="H611" s="530"/>
      <c r="I611" s="530"/>
      <c r="J611" s="530"/>
      <c r="K611" s="530"/>
      <c r="L611" s="533"/>
      <c r="M611" s="533"/>
      <c r="N611" s="530"/>
      <c r="O611" s="530"/>
      <c r="P611" s="560"/>
    </row>
    <row r="612" spans="1:16">
      <c r="A612" s="559"/>
      <c r="B612" s="530"/>
      <c r="C612" s="530"/>
      <c r="D612" s="568"/>
      <c r="E612" s="530"/>
      <c r="F612" s="531"/>
      <c r="G612" s="532"/>
      <c r="H612" s="530"/>
      <c r="I612" s="530"/>
      <c r="J612" s="530"/>
      <c r="K612" s="530"/>
      <c r="L612" s="533"/>
      <c r="M612" s="533"/>
      <c r="N612" s="530"/>
      <c r="O612" s="530"/>
      <c r="P612" s="560"/>
    </row>
    <row r="613" spans="1:16">
      <c r="A613" s="559"/>
      <c r="B613" s="530"/>
      <c r="C613" s="530"/>
      <c r="D613" s="568"/>
      <c r="E613" s="530"/>
      <c r="F613" s="531"/>
      <c r="G613" s="532"/>
      <c r="H613" s="530"/>
      <c r="I613" s="530"/>
      <c r="J613" s="530"/>
      <c r="K613" s="530"/>
      <c r="L613" s="533"/>
      <c r="M613" s="533"/>
      <c r="N613" s="530"/>
      <c r="O613" s="530"/>
      <c r="P613" s="560"/>
    </row>
    <row r="614" spans="1:16">
      <c r="A614" s="559"/>
      <c r="B614" s="530"/>
      <c r="C614" s="530"/>
      <c r="D614" s="568"/>
      <c r="E614" s="530"/>
      <c r="F614" s="531"/>
      <c r="G614" s="532"/>
      <c r="H614" s="530"/>
      <c r="I614" s="530"/>
      <c r="J614" s="530"/>
      <c r="K614" s="530"/>
      <c r="L614" s="533"/>
      <c r="M614" s="533"/>
      <c r="N614" s="530"/>
      <c r="O614" s="530"/>
      <c r="P614" s="560"/>
    </row>
    <row r="615" spans="1:16">
      <c r="A615" s="559"/>
      <c r="B615" s="530"/>
      <c r="C615" s="530"/>
      <c r="D615" s="568"/>
      <c r="E615" s="530"/>
      <c r="F615" s="531"/>
      <c r="G615" s="532"/>
      <c r="H615" s="530"/>
      <c r="I615" s="530"/>
      <c r="J615" s="530"/>
      <c r="K615" s="530"/>
      <c r="L615" s="533"/>
      <c r="M615" s="533"/>
      <c r="N615" s="530"/>
      <c r="O615" s="530"/>
      <c r="P615" s="560"/>
    </row>
    <row r="616" spans="1:16">
      <c r="A616" s="559"/>
      <c r="B616" s="530"/>
      <c r="C616" s="530"/>
      <c r="D616" s="568"/>
      <c r="E616" s="530"/>
      <c r="F616" s="531"/>
      <c r="G616" s="532"/>
      <c r="H616" s="530"/>
      <c r="I616" s="530"/>
      <c r="J616" s="530"/>
      <c r="K616" s="530"/>
      <c r="L616" s="533"/>
      <c r="M616" s="533"/>
      <c r="N616" s="530"/>
      <c r="O616" s="530"/>
      <c r="P616" s="560"/>
    </row>
    <row r="617" spans="1:16">
      <c r="A617" s="559"/>
      <c r="B617" s="530"/>
      <c r="C617" s="530"/>
      <c r="D617" s="568"/>
      <c r="E617" s="530"/>
      <c r="F617" s="531"/>
      <c r="G617" s="532"/>
      <c r="H617" s="530"/>
      <c r="I617" s="530"/>
      <c r="J617" s="530"/>
      <c r="K617" s="530"/>
      <c r="L617" s="533"/>
      <c r="M617" s="533"/>
      <c r="N617" s="530"/>
      <c r="O617" s="530"/>
      <c r="P617" s="560"/>
    </row>
    <row r="618" spans="1:16">
      <c r="A618" s="559"/>
      <c r="B618" s="530"/>
      <c r="C618" s="530"/>
      <c r="D618" s="568"/>
      <c r="E618" s="530"/>
      <c r="F618" s="531"/>
      <c r="G618" s="532"/>
      <c r="H618" s="530"/>
      <c r="I618" s="530"/>
      <c r="J618" s="530"/>
      <c r="K618" s="530"/>
      <c r="L618" s="533"/>
      <c r="M618" s="533"/>
      <c r="N618" s="530"/>
      <c r="O618" s="530"/>
      <c r="P618" s="560"/>
    </row>
    <row r="619" spans="1:16">
      <c r="A619" s="559"/>
      <c r="B619" s="530"/>
      <c r="C619" s="530"/>
      <c r="D619" s="568"/>
      <c r="E619" s="530"/>
      <c r="F619" s="531"/>
      <c r="G619" s="532"/>
      <c r="H619" s="530"/>
      <c r="I619" s="530"/>
      <c r="J619" s="530"/>
      <c r="K619" s="530"/>
      <c r="L619" s="533"/>
      <c r="M619" s="533"/>
      <c r="N619" s="530"/>
      <c r="O619" s="530"/>
      <c r="P619" s="560"/>
    </row>
    <row r="620" spans="1:16">
      <c r="A620" s="559"/>
      <c r="B620" s="530"/>
      <c r="C620" s="530"/>
      <c r="D620" s="568"/>
      <c r="E620" s="530"/>
      <c r="F620" s="531"/>
      <c r="G620" s="532"/>
      <c r="H620" s="530"/>
      <c r="I620" s="530"/>
      <c r="J620" s="530"/>
      <c r="K620" s="530"/>
      <c r="L620" s="533"/>
      <c r="M620" s="533"/>
      <c r="N620" s="530"/>
      <c r="O620" s="530"/>
      <c r="P620" s="560"/>
    </row>
    <row r="621" spans="1:16">
      <c r="A621" s="559"/>
      <c r="B621" s="530"/>
      <c r="C621" s="530"/>
      <c r="D621" s="568"/>
      <c r="E621" s="530"/>
      <c r="F621" s="531"/>
      <c r="G621" s="532"/>
      <c r="H621" s="530"/>
      <c r="I621" s="530"/>
      <c r="J621" s="530"/>
      <c r="K621" s="530"/>
      <c r="L621" s="533"/>
      <c r="M621" s="533"/>
      <c r="N621" s="530"/>
      <c r="O621" s="530"/>
      <c r="P621" s="560"/>
    </row>
    <row r="622" spans="1:16">
      <c r="A622" s="559"/>
      <c r="B622" s="530"/>
      <c r="C622" s="530"/>
      <c r="D622" s="568"/>
      <c r="E622" s="530"/>
      <c r="F622" s="531"/>
      <c r="G622" s="532"/>
      <c r="H622" s="530"/>
      <c r="I622" s="530"/>
      <c r="J622" s="530"/>
      <c r="K622" s="530"/>
      <c r="L622" s="533"/>
      <c r="M622" s="533"/>
      <c r="N622" s="530"/>
      <c r="O622" s="530"/>
      <c r="P622" s="560"/>
    </row>
    <row r="623" spans="1:16">
      <c r="A623" s="559"/>
      <c r="B623" s="530"/>
      <c r="C623" s="530"/>
      <c r="D623" s="568"/>
      <c r="E623" s="530"/>
      <c r="F623" s="531"/>
      <c r="G623" s="532"/>
      <c r="H623" s="530"/>
      <c r="I623" s="530"/>
      <c r="J623" s="530"/>
      <c r="K623" s="530"/>
      <c r="L623" s="533"/>
      <c r="M623" s="533"/>
      <c r="N623" s="530"/>
      <c r="O623" s="530"/>
      <c r="P623" s="560"/>
    </row>
    <row r="624" spans="1:16">
      <c r="A624" s="559"/>
      <c r="B624" s="530"/>
      <c r="C624" s="530"/>
      <c r="D624" s="568"/>
      <c r="E624" s="530"/>
      <c r="F624" s="531"/>
      <c r="G624" s="532"/>
      <c r="H624" s="530"/>
      <c r="I624" s="530"/>
      <c r="J624" s="530"/>
      <c r="K624" s="530"/>
      <c r="L624" s="533"/>
      <c r="M624" s="533"/>
      <c r="N624" s="530"/>
      <c r="O624" s="530"/>
      <c r="P624" s="560"/>
    </row>
    <row r="625" spans="1:16">
      <c r="A625" s="559"/>
      <c r="B625" s="530"/>
      <c r="C625" s="530"/>
      <c r="D625" s="568"/>
      <c r="E625" s="530"/>
      <c r="F625" s="531"/>
      <c r="G625" s="532"/>
      <c r="H625" s="530"/>
      <c r="I625" s="530"/>
      <c r="J625" s="530"/>
      <c r="K625" s="530"/>
      <c r="L625" s="533"/>
      <c r="M625" s="533"/>
      <c r="N625" s="530"/>
      <c r="O625" s="530"/>
      <c r="P625" s="560"/>
    </row>
    <row r="626" spans="1:16">
      <c r="A626" s="559"/>
      <c r="B626" s="530"/>
      <c r="C626" s="530"/>
      <c r="D626" s="568"/>
      <c r="E626" s="530"/>
      <c r="F626" s="531"/>
      <c r="G626" s="532"/>
      <c r="H626" s="530"/>
      <c r="I626" s="530"/>
      <c r="J626" s="530"/>
      <c r="K626" s="530"/>
      <c r="L626" s="533"/>
      <c r="M626" s="533"/>
      <c r="N626" s="530"/>
      <c r="O626" s="530"/>
      <c r="P626" s="560"/>
    </row>
    <row r="627" spans="1:16">
      <c r="A627" s="559"/>
      <c r="B627" s="530"/>
      <c r="C627" s="530"/>
      <c r="D627" s="568"/>
      <c r="E627" s="530"/>
      <c r="F627" s="531"/>
      <c r="G627" s="532"/>
      <c r="H627" s="530"/>
      <c r="I627" s="530"/>
      <c r="J627" s="530"/>
      <c r="K627" s="530"/>
      <c r="L627" s="533"/>
      <c r="M627" s="533"/>
      <c r="N627" s="530"/>
      <c r="O627" s="530"/>
      <c r="P627" s="560"/>
    </row>
    <row r="628" spans="1:16">
      <c r="A628" s="559"/>
      <c r="B628" s="530"/>
      <c r="C628" s="530"/>
      <c r="D628" s="568"/>
      <c r="E628" s="530"/>
      <c r="F628" s="531"/>
      <c r="G628" s="532"/>
      <c r="H628" s="530"/>
      <c r="I628" s="530"/>
      <c r="J628" s="530"/>
      <c r="K628" s="530"/>
      <c r="L628" s="533"/>
      <c r="M628" s="533"/>
      <c r="N628" s="530"/>
      <c r="O628" s="530"/>
      <c r="P628" s="560"/>
    </row>
    <row r="629" spans="1:16">
      <c r="A629" s="559"/>
      <c r="B629" s="530"/>
      <c r="C629" s="530"/>
      <c r="D629" s="568"/>
      <c r="E629" s="530"/>
      <c r="F629" s="531"/>
      <c r="G629" s="532"/>
      <c r="H629" s="530"/>
      <c r="I629" s="530"/>
      <c r="J629" s="530"/>
      <c r="K629" s="530"/>
      <c r="L629" s="533"/>
      <c r="M629" s="533"/>
      <c r="N629" s="530"/>
      <c r="O629" s="530"/>
      <c r="P629" s="560"/>
    </row>
    <row r="630" spans="1:16">
      <c r="A630" s="559"/>
      <c r="B630" s="530"/>
      <c r="C630" s="530"/>
      <c r="D630" s="568"/>
      <c r="E630" s="530"/>
      <c r="F630" s="531"/>
      <c r="G630" s="532"/>
      <c r="H630" s="530"/>
      <c r="I630" s="530"/>
      <c r="J630" s="530"/>
      <c r="K630" s="530"/>
      <c r="L630" s="533"/>
      <c r="M630" s="533"/>
      <c r="N630" s="530"/>
      <c r="O630" s="530"/>
      <c r="P630" s="560"/>
    </row>
    <row r="631" spans="1:16">
      <c r="A631" s="559"/>
      <c r="B631" s="530"/>
      <c r="C631" s="530"/>
      <c r="D631" s="568"/>
      <c r="E631" s="530"/>
      <c r="F631" s="531"/>
      <c r="G631" s="532"/>
      <c r="H631" s="530"/>
      <c r="I631" s="530"/>
      <c r="J631" s="530"/>
      <c r="K631" s="530"/>
      <c r="L631" s="533"/>
      <c r="M631" s="533"/>
      <c r="N631" s="530"/>
      <c r="O631" s="530"/>
      <c r="P631" s="560"/>
    </row>
    <row r="632" spans="1:16">
      <c r="A632" s="559"/>
      <c r="B632" s="530"/>
      <c r="C632" s="530"/>
      <c r="D632" s="568"/>
      <c r="E632" s="530"/>
      <c r="F632" s="531"/>
      <c r="G632" s="532"/>
      <c r="H632" s="530"/>
      <c r="I632" s="530"/>
      <c r="J632" s="530"/>
      <c r="K632" s="530"/>
      <c r="L632" s="533"/>
      <c r="M632" s="533"/>
      <c r="N632" s="530"/>
      <c r="O632" s="530"/>
      <c r="P632" s="560"/>
    </row>
    <row r="633" spans="1:16">
      <c r="A633" s="559"/>
      <c r="B633" s="530"/>
      <c r="C633" s="530"/>
      <c r="D633" s="568"/>
      <c r="E633" s="530"/>
      <c r="F633" s="531"/>
      <c r="G633" s="532"/>
      <c r="H633" s="530"/>
      <c r="I633" s="530"/>
      <c r="J633" s="530"/>
      <c r="K633" s="530"/>
      <c r="L633" s="533"/>
      <c r="M633" s="533"/>
      <c r="N633" s="530"/>
      <c r="O633" s="530"/>
      <c r="P633" s="560"/>
    </row>
    <row r="634" spans="1:16">
      <c r="A634" s="559"/>
      <c r="B634" s="530"/>
      <c r="C634" s="530"/>
      <c r="D634" s="568"/>
      <c r="E634" s="530"/>
      <c r="F634" s="531"/>
      <c r="G634" s="532"/>
      <c r="H634" s="530"/>
      <c r="I634" s="530"/>
      <c r="J634" s="530"/>
      <c r="K634" s="530"/>
      <c r="L634" s="533"/>
      <c r="M634" s="533"/>
      <c r="N634" s="530"/>
      <c r="O634" s="530"/>
      <c r="P634" s="560"/>
    </row>
    <row r="635" spans="1:16">
      <c r="A635" s="559"/>
      <c r="B635" s="530"/>
      <c r="C635" s="530"/>
      <c r="D635" s="568"/>
      <c r="E635" s="530"/>
      <c r="F635" s="531"/>
      <c r="G635" s="532"/>
      <c r="H635" s="530"/>
      <c r="I635" s="530"/>
      <c r="J635" s="530"/>
      <c r="K635" s="530"/>
      <c r="L635" s="533"/>
      <c r="M635" s="533"/>
      <c r="N635" s="530"/>
      <c r="O635" s="530"/>
      <c r="P635" s="560"/>
    </row>
    <row r="636" spans="1:16">
      <c r="A636" s="559"/>
      <c r="B636" s="530"/>
      <c r="C636" s="530"/>
      <c r="D636" s="568"/>
      <c r="E636" s="530"/>
      <c r="F636" s="531"/>
      <c r="G636" s="532"/>
      <c r="H636" s="530"/>
      <c r="I636" s="530"/>
      <c r="J636" s="530"/>
      <c r="K636" s="530"/>
      <c r="L636" s="533"/>
      <c r="M636" s="533"/>
      <c r="N636" s="530"/>
      <c r="O636" s="530"/>
      <c r="P636" s="560"/>
    </row>
    <row r="637" spans="1:16">
      <c r="A637" s="559"/>
      <c r="B637" s="530"/>
      <c r="C637" s="530"/>
      <c r="D637" s="568"/>
      <c r="E637" s="530"/>
      <c r="F637" s="531"/>
      <c r="G637" s="532"/>
      <c r="H637" s="530"/>
      <c r="I637" s="530"/>
      <c r="J637" s="530"/>
      <c r="K637" s="530"/>
      <c r="L637" s="533"/>
      <c r="M637" s="533"/>
      <c r="N637" s="530"/>
      <c r="O637" s="530"/>
      <c r="P637" s="560"/>
    </row>
    <row r="638" spans="1:16">
      <c r="A638" s="559"/>
      <c r="B638" s="530"/>
      <c r="C638" s="530"/>
      <c r="D638" s="568"/>
      <c r="E638" s="530"/>
      <c r="F638" s="531"/>
      <c r="G638" s="532"/>
      <c r="H638" s="530"/>
      <c r="I638" s="530"/>
      <c r="J638" s="530"/>
      <c r="K638" s="530"/>
      <c r="L638" s="533"/>
      <c r="M638" s="533"/>
      <c r="N638" s="530"/>
      <c r="O638" s="530"/>
      <c r="P638" s="560"/>
    </row>
    <row r="639" spans="1:16">
      <c r="A639" s="559"/>
      <c r="B639" s="530"/>
      <c r="C639" s="530"/>
      <c r="D639" s="568"/>
      <c r="E639" s="530"/>
      <c r="F639" s="531"/>
      <c r="G639" s="532"/>
      <c r="H639" s="530"/>
      <c r="I639" s="530"/>
      <c r="J639" s="530"/>
      <c r="K639" s="530"/>
      <c r="L639" s="533"/>
      <c r="M639" s="533"/>
      <c r="N639" s="530"/>
      <c r="O639" s="530"/>
      <c r="P639" s="560"/>
    </row>
    <row r="640" spans="1:16">
      <c r="A640" s="559"/>
      <c r="B640" s="530"/>
      <c r="C640" s="530"/>
      <c r="D640" s="568"/>
      <c r="E640" s="530"/>
      <c r="F640" s="531"/>
      <c r="G640" s="532"/>
      <c r="H640" s="530"/>
      <c r="I640" s="530"/>
      <c r="J640" s="530"/>
      <c r="K640" s="530"/>
      <c r="L640" s="533"/>
      <c r="M640" s="533"/>
      <c r="N640" s="530"/>
      <c r="O640" s="530"/>
      <c r="P640" s="560"/>
    </row>
    <row r="641" spans="1:16">
      <c r="A641" s="559"/>
      <c r="B641" s="530"/>
      <c r="C641" s="530"/>
      <c r="D641" s="568"/>
      <c r="E641" s="530"/>
      <c r="F641" s="531"/>
      <c r="G641" s="532"/>
      <c r="H641" s="530"/>
      <c r="I641" s="530"/>
      <c r="J641" s="530"/>
      <c r="K641" s="530"/>
      <c r="L641" s="533"/>
      <c r="M641" s="533"/>
      <c r="N641" s="530"/>
      <c r="O641" s="530"/>
      <c r="P641" s="560"/>
    </row>
    <row r="642" spans="1:16">
      <c r="A642" s="559"/>
      <c r="B642" s="530"/>
      <c r="C642" s="530"/>
      <c r="D642" s="568"/>
      <c r="E642" s="530"/>
      <c r="F642" s="531"/>
      <c r="G642" s="532"/>
      <c r="H642" s="530"/>
      <c r="I642" s="530"/>
      <c r="J642" s="530"/>
      <c r="K642" s="530"/>
      <c r="L642" s="533"/>
      <c r="M642" s="533"/>
      <c r="N642" s="530"/>
      <c r="O642" s="530"/>
      <c r="P642" s="560"/>
    </row>
    <row r="643" spans="1:16">
      <c r="A643" s="559"/>
      <c r="B643" s="530"/>
      <c r="C643" s="530"/>
      <c r="D643" s="568"/>
      <c r="E643" s="530"/>
      <c r="F643" s="531"/>
      <c r="G643" s="532"/>
      <c r="H643" s="530"/>
      <c r="I643" s="530"/>
      <c r="J643" s="530"/>
      <c r="K643" s="530"/>
      <c r="L643" s="533"/>
      <c r="M643" s="533"/>
      <c r="N643" s="530"/>
      <c r="O643" s="530"/>
      <c r="P643" s="560"/>
    </row>
    <row r="644" spans="1:16">
      <c r="A644" s="559"/>
      <c r="B644" s="530"/>
      <c r="C644" s="530"/>
      <c r="D644" s="568"/>
      <c r="E644" s="530"/>
      <c r="F644" s="531"/>
      <c r="G644" s="532"/>
      <c r="H644" s="530"/>
      <c r="I644" s="530"/>
      <c r="J644" s="530"/>
      <c r="K644" s="530"/>
      <c r="L644" s="533"/>
      <c r="M644" s="533"/>
      <c r="N644" s="530"/>
      <c r="O644" s="530"/>
      <c r="P644" s="560"/>
    </row>
    <row r="645" spans="1:16">
      <c r="A645" s="559"/>
      <c r="B645" s="530"/>
      <c r="C645" s="530"/>
      <c r="D645" s="568"/>
      <c r="E645" s="530"/>
      <c r="F645" s="531"/>
      <c r="G645" s="532"/>
      <c r="H645" s="530"/>
      <c r="I645" s="530"/>
      <c r="J645" s="530"/>
      <c r="K645" s="530"/>
      <c r="L645" s="533"/>
      <c r="M645" s="533"/>
      <c r="N645" s="530"/>
      <c r="O645" s="530"/>
      <c r="P645" s="560"/>
    </row>
    <row r="646" spans="1:16">
      <c r="A646" s="559"/>
      <c r="B646" s="530"/>
      <c r="C646" s="530"/>
      <c r="D646" s="568"/>
      <c r="E646" s="530"/>
      <c r="F646" s="531"/>
      <c r="G646" s="532"/>
      <c r="H646" s="530"/>
      <c r="I646" s="530"/>
      <c r="J646" s="530"/>
      <c r="K646" s="530"/>
      <c r="L646" s="533"/>
      <c r="M646" s="533"/>
      <c r="N646" s="530"/>
      <c r="O646" s="530"/>
      <c r="P646" s="560"/>
    </row>
    <row r="647" spans="1:16">
      <c r="A647" s="559"/>
      <c r="B647" s="530"/>
      <c r="C647" s="530"/>
      <c r="D647" s="568"/>
      <c r="E647" s="530"/>
      <c r="F647" s="531"/>
      <c r="G647" s="532"/>
      <c r="H647" s="530"/>
      <c r="I647" s="530"/>
      <c r="J647" s="530"/>
      <c r="K647" s="530"/>
      <c r="L647" s="533"/>
      <c r="M647" s="533"/>
      <c r="N647" s="530"/>
      <c r="O647" s="530"/>
      <c r="P647" s="560"/>
    </row>
    <row r="648" spans="1:16">
      <c r="A648" s="559"/>
      <c r="B648" s="530"/>
      <c r="C648" s="530"/>
      <c r="D648" s="568"/>
      <c r="E648" s="530"/>
      <c r="F648" s="531"/>
      <c r="G648" s="532"/>
      <c r="H648" s="530"/>
      <c r="I648" s="530"/>
      <c r="J648" s="530"/>
      <c r="K648" s="530"/>
      <c r="L648" s="533"/>
      <c r="M648" s="533"/>
      <c r="N648" s="530"/>
      <c r="O648" s="530"/>
      <c r="P648" s="560"/>
    </row>
    <row r="649" spans="1:16">
      <c r="A649" s="559"/>
      <c r="B649" s="530"/>
      <c r="C649" s="530"/>
      <c r="D649" s="568"/>
      <c r="E649" s="530"/>
      <c r="F649" s="531"/>
      <c r="G649" s="532"/>
      <c r="H649" s="530"/>
      <c r="I649" s="530"/>
      <c r="J649" s="530"/>
      <c r="K649" s="530"/>
      <c r="L649" s="533"/>
      <c r="M649" s="533"/>
      <c r="N649" s="530"/>
      <c r="O649" s="530"/>
      <c r="P649" s="560"/>
    </row>
    <row r="650" spans="1:16">
      <c r="A650" s="559"/>
      <c r="B650" s="530"/>
      <c r="C650" s="530"/>
      <c r="D650" s="568"/>
      <c r="E650" s="530"/>
      <c r="F650" s="531"/>
      <c r="G650" s="532"/>
      <c r="H650" s="530"/>
      <c r="I650" s="530"/>
      <c r="J650" s="530"/>
      <c r="K650" s="530"/>
      <c r="L650" s="533"/>
      <c r="M650" s="533"/>
      <c r="N650" s="530"/>
      <c r="O650" s="530"/>
      <c r="P650" s="560"/>
    </row>
    <row r="651" spans="1:16">
      <c r="A651" s="559"/>
      <c r="B651" s="530"/>
      <c r="C651" s="530"/>
      <c r="D651" s="568"/>
      <c r="E651" s="530"/>
      <c r="F651" s="531"/>
      <c r="G651" s="532"/>
      <c r="H651" s="530"/>
      <c r="I651" s="530"/>
      <c r="J651" s="530"/>
      <c r="K651" s="530"/>
      <c r="L651" s="533"/>
      <c r="M651" s="533"/>
      <c r="N651" s="530"/>
      <c r="O651" s="530"/>
      <c r="P651" s="560"/>
    </row>
    <row r="652" spans="1:16">
      <c r="A652" s="559"/>
      <c r="B652" s="530"/>
      <c r="C652" s="530"/>
      <c r="D652" s="568"/>
      <c r="E652" s="530"/>
      <c r="F652" s="531"/>
      <c r="G652" s="532"/>
      <c r="H652" s="530"/>
      <c r="I652" s="530"/>
      <c r="J652" s="530"/>
      <c r="K652" s="530"/>
      <c r="L652" s="533"/>
      <c r="M652" s="533"/>
      <c r="N652" s="530"/>
      <c r="O652" s="530"/>
      <c r="P652" s="560"/>
    </row>
    <row r="653" spans="1:16">
      <c r="A653" s="559"/>
      <c r="B653" s="530"/>
      <c r="C653" s="530"/>
      <c r="D653" s="568"/>
      <c r="E653" s="530"/>
      <c r="F653" s="531"/>
      <c r="G653" s="532"/>
      <c r="H653" s="530"/>
      <c r="I653" s="530"/>
      <c r="J653" s="530"/>
      <c r="K653" s="530"/>
      <c r="L653" s="533"/>
      <c r="M653" s="533"/>
      <c r="N653" s="530"/>
      <c r="O653" s="530"/>
      <c r="P653" s="560"/>
    </row>
    <row r="654" spans="1:16">
      <c r="A654" s="559"/>
      <c r="B654" s="530"/>
      <c r="C654" s="530"/>
      <c r="D654" s="568"/>
      <c r="E654" s="530"/>
      <c r="F654" s="531"/>
      <c r="G654" s="532"/>
      <c r="H654" s="530"/>
      <c r="I654" s="530"/>
      <c r="J654" s="530"/>
      <c r="K654" s="530"/>
      <c r="L654" s="533"/>
      <c r="M654" s="533"/>
      <c r="N654" s="530"/>
      <c r="O654" s="530"/>
      <c r="P654" s="560"/>
    </row>
    <row r="655" spans="1:16">
      <c r="A655" s="559"/>
      <c r="B655" s="530"/>
      <c r="C655" s="530"/>
      <c r="D655" s="568"/>
      <c r="E655" s="530"/>
      <c r="F655" s="531"/>
      <c r="G655" s="532"/>
      <c r="H655" s="530"/>
      <c r="I655" s="530"/>
      <c r="J655" s="530"/>
      <c r="K655" s="530"/>
      <c r="L655" s="533"/>
      <c r="M655" s="533"/>
      <c r="N655" s="530"/>
      <c r="O655" s="530"/>
      <c r="P655" s="560"/>
    </row>
    <row r="656" spans="1:16">
      <c r="A656" s="559"/>
      <c r="B656" s="530"/>
      <c r="C656" s="530"/>
      <c r="D656" s="568"/>
      <c r="E656" s="530"/>
      <c r="F656" s="531"/>
      <c r="G656" s="532"/>
      <c r="H656" s="530"/>
      <c r="I656" s="530"/>
      <c r="J656" s="530"/>
      <c r="K656" s="530"/>
      <c r="L656" s="533"/>
      <c r="M656" s="533"/>
      <c r="N656" s="530"/>
      <c r="O656" s="530"/>
      <c r="P656" s="560"/>
    </row>
    <row r="657" spans="1:16">
      <c r="A657" s="559"/>
      <c r="B657" s="530"/>
      <c r="C657" s="530"/>
      <c r="D657" s="568"/>
      <c r="E657" s="530"/>
      <c r="F657" s="531"/>
      <c r="G657" s="532"/>
      <c r="H657" s="530"/>
      <c r="I657" s="530"/>
      <c r="J657" s="530"/>
      <c r="K657" s="530"/>
      <c r="L657" s="533"/>
      <c r="M657" s="533"/>
      <c r="N657" s="530"/>
      <c r="O657" s="530"/>
      <c r="P657" s="560"/>
    </row>
    <row r="658" spans="1:16">
      <c r="A658" s="559"/>
      <c r="B658" s="530"/>
      <c r="C658" s="530"/>
      <c r="D658" s="568"/>
      <c r="E658" s="530"/>
      <c r="F658" s="531"/>
      <c r="G658" s="532"/>
      <c r="H658" s="530"/>
      <c r="I658" s="530"/>
      <c r="J658" s="530"/>
      <c r="K658" s="530"/>
      <c r="L658" s="533"/>
      <c r="M658" s="533"/>
      <c r="N658" s="530"/>
      <c r="O658" s="530"/>
      <c r="P658" s="560"/>
    </row>
    <row r="659" spans="1:16">
      <c r="A659" s="559"/>
      <c r="B659" s="530"/>
      <c r="C659" s="530"/>
      <c r="D659" s="568"/>
      <c r="E659" s="530"/>
      <c r="F659" s="531"/>
      <c r="G659" s="532"/>
      <c r="H659" s="530"/>
      <c r="I659" s="530"/>
      <c r="J659" s="530"/>
      <c r="K659" s="530"/>
      <c r="L659" s="533"/>
      <c r="M659" s="533"/>
      <c r="N659" s="530"/>
      <c r="O659" s="530"/>
      <c r="P659" s="560"/>
    </row>
    <row r="660" spans="1:16">
      <c r="A660" s="559"/>
      <c r="B660" s="530"/>
      <c r="C660" s="530"/>
      <c r="D660" s="568"/>
      <c r="E660" s="530"/>
      <c r="F660" s="531"/>
      <c r="G660" s="532"/>
      <c r="H660" s="530"/>
      <c r="I660" s="530"/>
      <c r="J660" s="530"/>
      <c r="K660" s="530"/>
      <c r="L660" s="533"/>
      <c r="M660" s="533"/>
      <c r="N660" s="530"/>
      <c r="O660" s="530"/>
      <c r="P660" s="560"/>
    </row>
    <row r="661" spans="1:16">
      <c r="A661" s="559"/>
      <c r="B661" s="530"/>
      <c r="C661" s="530"/>
      <c r="D661" s="568"/>
      <c r="E661" s="530"/>
      <c r="F661" s="531"/>
      <c r="G661" s="532"/>
      <c r="H661" s="530"/>
      <c r="I661" s="530"/>
      <c r="J661" s="530"/>
      <c r="K661" s="530"/>
      <c r="L661" s="533"/>
      <c r="M661" s="533"/>
      <c r="N661" s="530"/>
      <c r="O661" s="530"/>
      <c r="P661" s="560"/>
    </row>
    <row r="662" spans="1:16">
      <c r="A662" s="559"/>
      <c r="B662" s="530"/>
      <c r="C662" s="530"/>
      <c r="D662" s="568"/>
      <c r="E662" s="530"/>
      <c r="F662" s="531"/>
      <c r="G662" s="532"/>
      <c r="H662" s="530"/>
      <c r="I662" s="530"/>
      <c r="J662" s="530"/>
      <c r="K662" s="530"/>
      <c r="L662" s="533"/>
      <c r="M662" s="533"/>
      <c r="N662" s="530"/>
      <c r="O662" s="530"/>
      <c r="P662" s="560"/>
    </row>
    <row r="663" spans="1:16">
      <c r="A663" s="559"/>
      <c r="B663" s="530"/>
      <c r="C663" s="530"/>
      <c r="D663" s="568"/>
      <c r="E663" s="530"/>
      <c r="F663" s="531"/>
      <c r="G663" s="532"/>
      <c r="H663" s="530"/>
      <c r="I663" s="530"/>
      <c r="J663" s="530"/>
      <c r="K663" s="530"/>
      <c r="L663" s="533"/>
      <c r="M663" s="533"/>
      <c r="N663" s="530"/>
      <c r="O663" s="530"/>
      <c r="P663" s="560"/>
    </row>
    <row r="664" spans="1:16">
      <c r="A664" s="559"/>
      <c r="B664" s="530"/>
      <c r="C664" s="530"/>
      <c r="D664" s="568"/>
      <c r="E664" s="530"/>
      <c r="F664" s="531"/>
      <c r="G664" s="532"/>
      <c r="H664" s="530"/>
      <c r="I664" s="530"/>
      <c r="J664" s="530"/>
      <c r="K664" s="530"/>
      <c r="L664" s="533"/>
      <c r="M664" s="533"/>
      <c r="N664" s="530"/>
      <c r="O664" s="530"/>
      <c r="P664" s="560"/>
    </row>
    <row r="665" spans="1:16">
      <c r="A665" s="559"/>
      <c r="B665" s="530"/>
      <c r="C665" s="530"/>
      <c r="D665" s="568"/>
      <c r="E665" s="530"/>
      <c r="F665" s="531"/>
      <c r="G665" s="532"/>
      <c r="H665" s="530"/>
      <c r="I665" s="530"/>
      <c r="J665" s="530"/>
      <c r="K665" s="530"/>
      <c r="L665" s="533"/>
      <c r="M665" s="533"/>
      <c r="N665" s="530"/>
      <c r="O665" s="530"/>
      <c r="P665" s="560"/>
    </row>
    <row r="666" spans="1:16">
      <c r="A666" s="559"/>
      <c r="B666" s="530"/>
      <c r="C666" s="530"/>
      <c r="D666" s="568"/>
      <c r="E666" s="530"/>
      <c r="F666" s="531"/>
      <c r="G666" s="532"/>
      <c r="H666" s="530"/>
      <c r="I666" s="530"/>
      <c r="J666" s="530"/>
      <c r="K666" s="530"/>
      <c r="L666" s="533"/>
      <c r="M666" s="533"/>
      <c r="N666" s="530"/>
      <c r="O666" s="530"/>
      <c r="P666" s="560"/>
    </row>
    <row r="667" spans="1:16">
      <c r="A667" s="559"/>
      <c r="B667" s="530"/>
      <c r="C667" s="530"/>
      <c r="D667" s="568"/>
      <c r="E667" s="530"/>
      <c r="F667" s="531"/>
      <c r="G667" s="532"/>
      <c r="H667" s="530"/>
      <c r="I667" s="530"/>
      <c r="J667" s="530"/>
      <c r="K667" s="530"/>
      <c r="L667" s="533"/>
      <c r="M667" s="533"/>
      <c r="N667" s="530"/>
      <c r="O667" s="530"/>
      <c r="P667" s="560"/>
    </row>
    <row r="668" spans="1:16">
      <c r="A668" s="559"/>
      <c r="B668" s="530"/>
      <c r="C668" s="530"/>
      <c r="D668" s="568"/>
      <c r="E668" s="530"/>
      <c r="F668" s="531"/>
      <c r="G668" s="532"/>
      <c r="H668" s="530"/>
      <c r="I668" s="530"/>
      <c r="J668" s="530"/>
      <c r="K668" s="530"/>
      <c r="L668" s="533"/>
      <c r="M668" s="533"/>
      <c r="N668" s="530"/>
      <c r="O668" s="530"/>
      <c r="P668" s="560"/>
    </row>
    <row r="669" spans="1:16">
      <c r="A669" s="559"/>
      <c r="B669" s="530"/>
      <c r="C669" s="530"/>
      <c r="D669" s="568"/>
      <c r="E669" s="530"/>
      <c r="F669" s="531"/>
      <c r="G669" s="532"/>
      <c r="H669" s="530"/>
      <c r="I669" s="530"/>
      <c r="J669" s="530"/>
      <c r="K669" s="530"/>
      <c r="L669" s="533"/>
      <c r="M669" s="533"/>
      <c r="N669" s="530"/>
      <c r="O669" s="530"/>
      <c r="P669" s="560"/>
    </row>
    <row r="670" spans="1:16">
      <c r="A670" s="559"/>
      <c r="B670" s="530"/>
      <c r="C670" s="530"/>
      <c r="D670" s="568"/>
      <c r="E670" s="530"/>
      <c r="F670" s="531"/>
      <c r="G670" s="532"/>
      <c r="H670" s="530"/>
      <c r="I670" s="530"/>
      <c r="J670" s="530"/>
      <c r="K670" s="530"/>
      <c r="L670" s="533"/>
      <c r="M670" s="533"/>
      <c r="N670" s="530"/>
      <c r="O670" s="530"/>
      <c r="P670" s="560"/>
    </row>
    <row r="671" spans="1:16">
      <c r="A671" s="559"/>
      <c r="B671" s="530"/>
      <c r="C671" s="530"/>
      <c r="D671" s="568"/>
      <c r="E671" s="530"/>
      <c r="F671" s="531"/>
      <c r="G671" s="532"/>
      <c r="H671" s="530"/>
      <c r="I671" s="530"/>
      <c r="J671" s="530"/>
      <c r="K671" s="530"/>
      <c r="L671" s="533"/>
      <c r="M671" s="533"/>
      <c r="N671" s="530"/>
      <c r="O671" s="530"/>
      <c r="P671" s="560"/>
    </row>
    <row r="672" spans="1:16">
      <c r="A672" s="559"/>
      <c r="B672" s="530"/>
      <c r="C672" s="530"/>
      <c r="D672" s="568"/>
      <c r="E672" s="530"/>
      <c r="F672" s="531"/>
      <c r="G672" s="532"/>
      <c r="H672" s="530"/>
      <c r="I672" s="530"/>
      <c r="J672" s="530"/>
      <c r="K672" s="530"/>
      <c r="L672" s="533"/>
      <c r="M672" s="533"/>
      <c r="N672" s="530"/>
      <c r="O672" s="530"/>
      <c r="P672" s="560"/>
    </row>
    <row r="673" spans="1:16">
      <c r="A673" s="559"/>
      <c r="B673" s="530"/>
      <c r="C673" s="530"/>
      <c r="D673" s="568"/>
      <c r="E673" s="530"/>
      <c r="F673" s="531"/>
      <c r="G673" s="532"/>
      <c r="H673" s="530"/>
      <c r="I673" s="530"/>
      <c r="J673" s="530"/>
      <c r="K673" s="530"/>
      <c r="L673" s="533"/>
      <c r="M673" s="533"/>
      <c r="N673" s="530"/>
      <c r="O673" s="530"/>
      <c r="P673" s="560"/>
    </row>
    <row r="674" spans="1:16">
      <c r="A674" s="559"/>
      <c r="B674" s="530"/>
      <c r="C674" s="530"/>
      <c r="D674" s="568"/>
      <c r="E674" s="530"/>
      <c r="F674" s="531"/>
      <c r="G674" s="532"/>
      <c r="H674" s="530"/>
      <c r="I674" s="530"/>
      <c r="J674" s="530"/>
      <c r="K674" s="530"/>
      <c r="L674" s="533"/>
      <c r="M674" s="533"/>
      <c r="N674" s="530"/>
      <c r="O674" s="530"/>
      <c r="P674" s="560"/>
    </row>
    <row r="675" spans="1:16">
      <c r="A675" s="559"/>
      <c r="B675" s="530"/>
      <c r="C675" s="530"/>
      <c r="D675" s="568"/>
      <c r="E675" s="530"/>
      <c r="F675" s="531"/>
      <c r="G675" s="532"/>
      <c r="H675" s="530"/>
      <c r="I675" s="530"/>
      <c r="J675" s="530"/>
      <c r="K675" s="530"/>
      <c r="L675" s="533"/>
      <c r="M675" s="533"/>
      <c r="N675" s="530"/>
      <c r="O675" s="530"/>
      <c r="P675" s="560"/>
    </row>
    <row r="676" spans="1:16">
      <c r="A676" s="559"/>
      <c r="B676" s="530"/>
      <c r="C676" s="530"/>
      <c r="D676" s="568"/>
      <c r="E676" s="530"/>
      <c r="F676" s="531"/>
      <c r="G676" s="532"/>
      <c r="H676" s="530"/>
      <c r="I676" s="530"/>
      <c r="J676" s="530"/>
      <c r="K676" s="530"/>
      <c r="L676" s="533"/>
      <c r="M676" s="533"/>
      <c r="N676" s="530"/>
      <c r="O676" s="530"/>
      <c r="P676" s="560"/>
    </row>
    <row r="677" spans="1:16">
      <c r="A677" s="559"/>
      <c r="B677" s="530"/>
      <c r="C677" s="530"/>
      <c r="D677" s="568"/>
      <c r="E677" s="530"/>
      <c r="F677" s="531"/>
      <c r="G677" s="532"/>
      <c r="H677" s="530"/>
      <c r="I677" s="530"/>
      <c r="J677" s="530"/>
      <c r="K677" s="530"/>
      <c r="L677" s="533"/>
      <c r="M677" s="533"/>
      <c r="N677" s="530"/>
      <c r="O677" s="530"/>
      <c r="P677" s="560"/>
    </row>
    <row r="678" spans="1:16">
      <c r="A678" s="559"/>
      <c r="B678" s="530"/>
      <c r="C678" s="530"/>
      <c r="D678" s="568"/>
      <c r="E678" s="530"/>
      <c r="F678" s="531"/>
      <c r="G678" s="532"/>
      <c r="H678" s="530"/>
      <c r="I678" s="530"/>
      <c r="J678" s="530"/>
      <c r="K678" s="530"/>
      <c r="L678" s="533"/>
      <c r="M678" s="533"/>
      <c r="N678" s="530"/>
      <c r="O678" s="530"/>
      <c r="P678" s="560"/>
    </row>
    <row r="679" spans="1:16">
      <c r="A679" s="559"/>
      <c r="B679" s="530"/>
      <c r="C679" s="530"/>
      <c r="D679" s="568"/>
      <c r="E679" s="530"/>
      <c r="F679" s="531"/>
      <c r="G679" s="532"/>
      <c r="H679" s="530"/>
      <c r="I679" s="530"/>
      <c r="J679" s="530"/>
      <c r="K679" s="530"/>
      <c r="L679" s="533"/>
      <c r="M679" s="533"/>
      <c r="N679" s="530"/>
      <c r="O679" s="530"/>
      <c r="P679" s="560"/>
    </row>
    <row r="680" spans="1:16">
      <c r="A680" s="559"/>
      <c r="B680" s="530"/>
      <c r="C680" s="530"/>
      <c r="D680" s="568"/>
      <c r="E680" s="530"/>
      <c r="F680" s="531"/>
      <c r="G680" s="532"/>
      <c r="H680" s="530"/>
      <c r="I680" s="530"/>
      <c r="J680" s="530"/>
      <c r="K680" s="530"/>
      <c r="L680" s="533"/>
      <c r="M680" s="533"/>
      <c r="N680" s="530"/>
      <c r="O680" s="530"/>
      <c r="P680" s="560"/>
    </row>
    <row r="681" spans="1:16">
      <c r="A681" s="559"/>
      <c r="B681" s="530"/>
      <c r="C681" s="530"/>
      <c r="D681" s="568"/>
      <c r="E681" s="530"/>
      <c r="F681" s="531"/>
      <c r="G681" s="532"/>
      <c r="H681" s="530"/>
      <c r="I681" s="530"/>
      <c r="J681" s="530"/>
      <c r="K681" s="530"/>
      <c r="L681" s="533"/>
      <c r="M681" s="533"/>
      <c r="N681" s="530"/>
      <c r="O681" s="530"/>
      <c r="P681" s="560"/>
    </row>
    <row r="682" spans="1:16">
      <c r="A682" s="559"/>
      <c r="B682" s="530"/>
      <c r="C682" s="530"/>
      <c r="D682" s="568"/>
      <c r="E682" s="530"/>
      <c r="F682" s="531"/>
      <c r="G682" s="532"/>
      <c r="H682" s="530"/>
      <c r="I682" s="530"/>
      <c r="J682" s="530"/>
      <c r="K682" s="530"/>
      <c r="L682" s="533"/>
      <c r="M682" s="533"/>
      <c r="N682" s="530"/>
      <c r="O682" s="530"/>
      <c r="P682" s="560"/>
    </row>
    <row r="683" spans="1:16">
      <c r="A683" s="559"/>
      <c r="B683" s="530"/>
      <c r="C683" s="530"/>
      <c r="D683" s="568"/>
      <c r="E683" s="530"/>
      <c r="F683" s="531"/>
      <c r="G683" s="532"/>
      <c r="H683" s="530"/>
      <c r="I683" s="530"/>
      <c r="J683" s="530"/>
      <c r="K683" s="530"/>
      <c r="L683" s="533"/>
      <c r="M683" s="533"/>
      <c r="N683" s="530"/>
      <c r="O683" s="530"/>
      <c r="P683" s="560"/>
    </row>
    <row r="684" spans="1:16">
      <c r="A684" s="559"/>
      <c r="B684" s="530"/>
      <c r="C684" s="530"/>
      <c r="D684" s="568"/>
      <c r="E684" s="530"/>
      <c r="F684" s="531"/>
      <c r="G684" s="532"/>
      <c r="H684" s="530"/>
      <c r="I684" s="530"/>
      <c r="J684" s="530"/>
      <c r="K684" s="530"/>
      <c r="L684" s="533"/>
      <c r="M684" s="533"/>
      <c r="N684" s="530"/>
      <c r="O684" s="530"/>
      <c r="P684" s="560"/>
    </row>
    <row r="685" spans="1:16">
      <c r="A685" s="559"/>
      <c r="B685" s="530"/>
      <c r="C685" s="530"/>
      <c r="D685" s="568"/>
      <c r="E685" s="530"/>
      <c r="F685" s="531"/>
      <c r="G685" s="532"/>
      <c r="H685" s="530"/>
      <c r="I685" s="530"/>
      <c r="J685" s="530"/>
      <c r="K685" s="530"/>
      <c r="L685" s="533"/>
      <c r="M685" s="533"/>
      <c r="N685" s="530"/>
      <c r="O685" s="530"/>
      <c r="P685" s="560"/>
    </row>
    <row r="686" spans="1:16">
      <c r="A686" s="559"/>
      <c r="B686" s="530"/>
      <c r="C686" s="530"/>
      <c r="D686" s="568"/>
      <c r="E686" s="530"/>
      <c r="F686" s="531"/>
      <c r="G686" s="532"/>
      <c r="H686" s="530"/>
      <c r="I686" s="530"/>
      <c r="J686" s="530"/>
      <c r="K686" s="530"/>
      <c r="L686" s="533"/>
      <c r="M686" s="533"/>
      <c r="N686" s="530"/>
      <c r="O686" s="530"/>
      <c r="P686" s="560"/>
    </row>
    <row r="687" spans="1:16">
      <c r="A687" s="559"/>
      <c r="B687" s="530"/>
      <c r="C687" s="530"/>
      <c r="D687" s="568"/>
      <c r="E687" s="530"/>
      <c r="F687" s="531"/>
      <c r="G687" s="532"/>
      <c r="H687" s="530"/>
      <c r="I687" s="530"/>
      <c r="J687" s="530"/>
      <c r="K687" s="530"/>
      <c r="L687" s="533"/>
      <c r="M687" s="533"/>
      <c r="N687" s="530"/>
      <c r="O687" s="530"/>
      <c r="P687" s="560"/>
    </row>
    <row r="688" spans="1:16">
      <c r="A688" s="559"/>
      <c r="B688" s="530"/>
      <c r="C688" s="530"/>
      <c r="D688" s="568"/>
      <c r="E688" s="530"/>
      <c r="F688" s="531"/>
      <c r="G688" s="532"/>
      <c r="H688" s="530"/>
      <c r="I688" s="530"/>
      <c r="J688" s="530"/>
      <c r="K688" s="530"/>
      <c r="L688" s="533"/>
      <c r="M688" s="533"/>
      <c r="N688" s="530"/>
      <c r="O688" s="530"/>
      <c r="P688" s="560"/>
    </row>
    <row r="689" spans="1:16">
      <c r="A689" s="559"/>
      <c r="B689" s="530"/>
      <c r="C689" s="530"/>
      <c r="D689" s="568"/>
      <c r="E689" s="530"/>
      <c r="F689" s="531"/>
      <c r="G689" s="532"/>
      <c r="H689" s="530"/>
      <c r="I689" s="530"/>
      <c r="J689" s="530"/>
      <c r="K689" s="530"/>
      <c r="L689" s="533"/>
      <c r="M689" s="533"/>
      <c r="N689" s="530"/>
      <c r="O689" s="530"/>
      <c r="P689" s="560"/>
    </row>
    <row r="690" spans="1:16">
      <c r="A690" s="559"/>
      <c r="B690" s="530"/>
      <c r="C690" s="530"/>
      <c r="D690" s="568"/>
      <c r="E690" s="530"/>
      <c r="F690" s="531"/>
      <c r="G690" s="532"/>
      <c r="H690" s="530"/>
      <c r="I690" s="530"/>
      <c r="J690" s="530"/>
      <c r="K690" s="530"/>
      <c r="L690" s="533"/>
      <c r="M690" s="533"/>
      <c r="N690" s="530"/>
      <c r="O690" s="530"/>
      <c r="P690" s="560"/>
    </row>
    <row r="691" spans="1:16">
      <c r="A691" s="559"/>
      <c r="B691" s="530"/>
      <c r="C691" s="530"/>
      <c r="D691" s="568"/>
      <c r="E691" s="530"/>
      <c r="F691" s="531"/>
      <c r="G691" s="532"/>
      <c r="H691" s="530"/>
      <c r="I691" s="530"/>
      <c r="J691" s="530"/>
      <c r="K691" s="530"/>
      <c r="L691" s="533"/>
      <c r="M691" s="533"/>
      <c r="N691" s="530"/>
      <c r="O691" s="530"/>
      <c r="P691" s="560"/>
    </row>
    <row r="692" spans="1:16">
      <c r="A692" s="559"/>
      <c r="B692" s="530"/>
      <c r="C692" s="530"/>
      <c r="D692" s="568"/>
      <c r="E692" s="530"/>
      <c r="F692" s="531"/>
      <c r="G692" s="532"/>
      <c r="H692" s="530"/>
      <c r="I692" s="530"/>
      <c r="J692" s="530"/>
      <c r="K692" s="530"/>
      <c r="L692" s="533"/>
      <c r="M692" s="533"/>
      <c r="N692" s="530"/>
      <c r="O692" s="530"/>
      <c r="P692" s="560"/>
    </row>
    <row r="693" spans="1:16">
      <c r="A693" s="559"/>
      <c r="B693" s="530"/>
      <c r="C693" s="530"/>
      <c r="D693" s="568"/>
      <c r="E693" s="530"/>
      <c r="F693" s="531"/>
      <c r="G693" s="532"/>
      <c r="H693" s="530"/>
      <c r="I693" s="530"/>
      <c r="J693" s="530"/>
      <c r="K693" s="530"/>
      <c r="L693" s="533"/>
      <c r="M693" s="533"/>
      <c r="N693" s="530"/>
      <c r="O693" s="530"/>
      <c r="P693" s="560"/>
    </row>
    <row r="694" spans="1:16">
      <c r="A694" s="559"/>
      <c r="B694" s="530"/>
      <c r="C694" s="530"/>
      <c r="D694" s="568"/>
      <c r="E694" s="530"/>
      <c r="F694" s="531"/>
      <c r="G694" s="532"/>
      <c r="H694" s="530"/>
      <c r="I694" s="530"/>
      <c r="J694" s="530"/>
      <c r="K694" s="530"/>
      <c r="L694" s="533"/>
      <c r="M694" s="533"/>
      <c r="N694" s="530"/>
      <c r="O694" s="530"/>
      <c r="P694" s="560"/>
    </row>
    <row r="695" spans="1:16">
      <c r="A695" s="559"/>
      <c r="B695" s="530"/>
      <c r="C695" s="530"/>
      <c r="D695" s="568"/>
      <c r="E695" s="530"/>
      <c r="F695" s="531"/>
      <c r="G695" s="532"/>
      <c r="H695" s="530"/>
      <c r="I695" s="530"/>
      <c r="J695" s="530"/>
      <c r="K695" s="530"/>
      <c r="L695" s="533"/>
      <c r="M695" s="533"/>
      <c r="N695" s="530"/>
      <c r="O695" s="530"/>
      <c r="P695" s="560"/>
    </row>
    <row r="696" spans="1:16">
      <c r="A696" s="559"/>
      <c r="B696" s="530"/>
      <c r="C696" s="530"/>
      <c r="D696" s="568"/>
      <c r="E696" s="530"/>
      <c r="F696" s="531"/>
      <c r="G696" s="532"/>
      <c r="H696" s="530"/>
      <c r="I696" s="530"/>
      <c r="J696" s="530"/>
      <c r="K696" s="530"/>
      <c r="L696" s="533"/>
      <c r="M696" s="533"/>
      <c r="N696" s="530"/>
      <c r="O696" s="530"/>
      <c r="P696" s="560"/>
    </row>
    <row r="697" spans="1:16">
      <c r="A697" s="559"/>
      <c r="B697" s="530"/>
      <c r="C697" s="530"/>
      <c r="D697" s="568"/>
      <c r="E697" s="530"/>
      <c r="F697" s="531"/>
      <c r="G697" s="532"/>
      <c r="H697" s="530"/>
      <c r="I697" s="530"/>
      <c r="J697" s="530"/>
      <c r="K697" s="530"/>
      <c r="L697" s="533"/>
      <c r="M697" s="533"/>
      <c r="N697" s="530"/>
      <c r="O697" s="530"/>
      <c r="P697" s="560"/>
    </row>
    <row r="698" spans="1:16">
      <c r="A698" s="559"/>
      <c r="B698" s="530"/>
      <c r="C698" s="530"/>
      <c r="D698" s="568"/>
      <c r="E698" s="530"/>
      <c r="F698" s="531"/>
      <c r="G698" s="532"/>
      <c r="H698" s="530"/>
      <c r="I698" s="530"/>
      <c r="J698" s="530"/>
      <c r="K698" s="530"/>
      <c r="L698" s="533"/>
      <c r="M698" s="533"/>
      <c r="N698" s="530"/>
      <c r="O698" s="530"/>
      <c r="P698" s="560"/>
    </row>
    <row r="699" spans="1:16">
      <c r="A699" s="559"/>
      <c r="B699" s="530"/>
      <c r="C699" s="530"/>
      <c r="D699" s="568"/>
      <c r="E699" s="530"/>
      <c r="F699" s="531"/>
      <c r="G699" s="532"/>
      <c r="H699" s="530"/>
      <c r="I699" s="530"/>
      <c r="J699" s="530"/>
      <c r="K699" s="530"/>
      <c r="L699" s="533"/>
      <c r="M699" s="533"/>
      <c r="N699" s="530"/>
      <c r="O699" s="530"/>
      <c r="P699" s="560"/>
    </row>
    <row r="700" spans="1:16">
      <c r="A700" s="559"/>
      <c r="B700" s="530"/>
      <c r="C700" s="530"/>
      <c r="D700" s="568"/>
      <c r="E700" s="530"/>
      <c r="F700" s="531"/>
      <c r="G700" s="532"/>
      <c r="H700" s="530"/>
      <c r="I700" s="530"/>
      <c r="J700" s="530"/>
      <c r="K700" s="530"/>
      <c r="L700" s="533"/>
      <c r="M700" s="533"/>
      <c r="N700" s="530"/>
      <c r="O700" s="530"/>
      <c r="P700" s="560"/>
    </row>
    <row r="701" spans="1:16">
      <c r="A701" s="559"/>
      <c r="B701" s="530"/>
      <c r="C701" s="530"/>
      <c r="D701" s="568"/>
      <c r="E701" s="530"/>
      <c r="F701" s="531"/>
      <c r="G701" s="532"/>
      <c r="H701" s="530"/>
      <c r="I701" s="530"/>
      <c r="J701" s="530"/>
      <c r="K701" s="530"/>
      <c r="L701" s="533"/>
      <c r="M701" s="533"/>
      <c r="N701" s="530"/>
      <c r="O701" s="530"/>
      <c r="P701" s="560"/>
    </row>
    <row r="702" spans="1:16">
      <c r="A702" s="559"/>
      <c r="B702" s="530"/>
      <c r="C702" s="530"/>
      <c r="D702" s="568"/>
      <c r="E702" s="530"/>
      <c r="F702" s="531"/>
      <c r="G702" s="532"/>
      <c r="H702" s="530"/>
      <c r="I702" s="530"/>
      <c r="J702" s="530"/>
      <c r="K702" s="530"/>
      <c r="L702" s="533"/>
      <c r="M702" s="533"/>
      <c r="N702" s="530"/>
      <c r="O702" s="530"/>
      <c r="P702" s="560"/>
    </row>
    <row r="703" spans="1:16">
      <c r="A703" s="559"/>
      <c r="B703" s="530"/>
      <c r="C703" s="530"/>
      <c r="D703" s="568"/>
      <c r="E703" s="530"/>
      <c r="F703" s="531"/>
      <c r="G703" s="532"/>
      <c r="H703" s="530"/>
      <c r="I703" s="530"/>
      <c r="J703" s="530"/>
      <c r="K703" s="530"/>
      <c r="L703" s="533"/>
      <c r="M703" s="533"/>
      <c r="N703" s="530"/>
      <c r="O703" s="530"/>
      <c r="P703" s="560"/>
    </row>
    <row r="704" spans="1:16">
      <c r="A704" s="559"/>
      <c r="B704" s="530"/>
      <c r="C704" s="530"/>
      <c r="D704" s="568"/>
      <c r="E704" s="530"/>
      <c r="F704" s="531"/>
      <c r="G704" s="532"/>
      <c r="H704" s="530"/>
      <c r="I704" s="530"/>
      <c r="J704" s="530"/>
      <c r="K704" s="530"/>
      <c r="L704" s="533"/>
      <c r="M704" s="533"/>
      <c r="N704" s="530"/>
      <c r="O704" s="530"/>
      <c r="P704" s="560"/>
    </row>
    <row r="705" spans="1:16">
      <c r="A705" s="559"/>
      <c r="B705" s="530"/>
      <c r="C705" s="530"/>
      <c r="D705" s="568"/>
      <c r="E705" s="530"/>
      <c r="F705" s="531"/>
      <c r="G705" s="532"/>
      <c r="H705" s="530"/>
      <c r="I705" s="530"/>
      <c r="J705" s="530"/>
      <c r="K705" s="530"/>
      <c r="L705" s="533"/>
      <c r="M705" s="533"/>
      <c r="N705" s="530"/>
      <c r="O705" s="530"/>
      <c r="P705" s="560"/>
    </row>
    <row r="706" spans="1:16">
      <c r="A706" s="559"/>
      <c r="B706" s="530"/>
      <c r="C706" s="530"/>
      <c r="D706" s="568"/>
      <c r="E706" s="530"/>
      <c r="F706" s="531"/>
      <c r="G706" s="532"/>
      <c r="H706" s="530"/>
      <c r="I706" s="530"/>
      <c r="J706" s="530"/>
      <c r="K706" s="530"/>
      <c r="L706" s="533"/>
      <c r="M706" s="533"/>
      <c r="N706" s="530"/>
      <c r="O706" s="530"/>
      <c r="P706" s="560"/>
    </row>
    <row r="707" spans="1:16">
      <c r="A707" s="559"/>
      <c r="B707" s="530"/>
      <c r="C707" s="530"/>
      <c r="D707" s="568"/>
      <c r="E707" s="530"/>
      <c r="F707" s="531"/>
      <c r="G707" s="532"/>
      <c r="H707" s="530"/>
      <c r="I707" s="530"/>
      <c r="J707" s="530"/>
      <c r="K707" s="530"/>
      <c r="L707" s="533"/>
      <c r="M707" s="533"/>
      <c r="N707" s="530"/>
      <c r="O707" s="530"/>
      <c r="P707" s="560"/>
    </row>
    <row r="708" spans="1:16">
      <c r="A708" s="559"/>
      <c r="B708" s="530"/>
      <c r="C708" s="530"/>
      <c r="D708" s="568"/>
      <c r="E708" s="530"/>
      <c r="F708" s="531"/>
      <c r="G708" s="532"/>
      <c r="H708" s="530"/>
      <c r="I708" s="530"/>
      <c r="J708" s="530"/>
      <c r="K708" s="530"/>
      <c r="L708" s="533"/>
      <c r="M708" s="533"/>
      <c r="N708" s="530"/>
      <c r="O708" s="530"/>
      <c r="P708" s="560"/>
    </row>
    <row r="709" spans="1:16">
      <c r="A709" s="559"/>
      <c r="B709" s="530"/>
      <c r="C709" s="530"/>
      <c r="D709" s="568"/>
      <c r="E709" s="530"/>
      <c r="F709" s="531"/>
      <c r="G709" s="532"/>
      <c r="H709" s="530"/>
      <c r="I709" s="530"/>
      <c r="J709" s="530"/>
      <c r="K709" s="530"/>
      <c r="L709" s="533"/>
      <c r="M709" s="533"/>
      <c r="N709" s="530"/>
      <c r="O709" s="530"/>
      <c r="P709" s="560"/>
    </row>
    <row r="710" spans="1:16">
      <c r="A710" s="559"/>
      <c r="B710" s="530"/>
      <c r="C710" s="530"/>
      <c r="D710" s="568"/>
      <c r="E710" s="530"/>
      <c r="F710" s="531"/>
      <c r="G710" s="532"/>
      <c r="H710" s="530"/>
      <c r="I710" s="530"/>
      <c r="J710" s="530"/>
      <c r="K710" s="530"/>
      <c r="L710" s="533"/>
      <c r="M710" s="533"/>
      <c r="N710" s="530"/>
      <c r="O710" s="530"/>
      <c r="P710" s="560"/>
    </row>
    <row r="711" spans="1:16">
      <c r="A711" s="559"/>
      <c r="B711" s="530"/>
      <c r="C711" s="530"/>
      <c r="D711" s="568"/>
      <c r="E711" s="530"/>
      <c r="F711" s="531"/>
      <c r="G711" s="532"/>
      <c r="H711" s="530"/>
      <c r="I711" s="530"/>
      <c r="J711" s="530"/>
      <c r="K711" s="530"/>
      <c r="L711" s="533"/>
      <c r="M711" s="533"/>
      <c r="N711" s="530"/>
      <c r="O711" s="530"/>
      <c r="P711" s="560"/>
    </row>
    <row r="712" spans="1:16">
      <c r="A712" s="559"/>
      <c r="B712" s="530"/>
      <c r="C712" s="530"/>
      <c r="D712" s="568"/>
      <c r="E712" s="530"/>
      <c r="F712" s="531"/>
      <c r="G712" s="532"/>
      <c r="H712" s="530"/>
      <c r="I712" s="530"/>
      <c r="J712" s="530"/>
      <c r="K712" s="530"/>
      <c r="L712" s="533"/>
      <c r="M712" s="533"/>
      <c r="N712" s="530"/>
      <c r="O712" s="530"/>
      <c r="P712" s="560"/>
    </row>
    <row r="713" spans="1:16">
      <c r="A713" s="559"/>
      <c r="B713" s="530"/>
      <c r="C713" s="530"/>
      <c r="D713" s="568"/>
      <c r="E713" s="530"/>
      <c r="F713" s="531"/>
      <c r="G713" s="532"/>
      <c r="H713" s="530"/>
      <c r="I713" s="530"/>
      <c r="J713" s="530"/>
      <c r="K713" s="530"/>
      <c r="L713" s="533"/>
      <c r="M713" s="533"/>
      <c r="N713" s="530"/>
      <c r="O713" s="530"/>
      <c r="P713" s="560"/>
    </row>
    <row r="714" spans="1:16">
      <c r="A714" s="559"/>
      <c r="B714" s="530"/>
      <c r="C714" s="530"/>
      <c r="D714" s="568"/>
      <c r="E714" s="530"/>
      <c r="F714" s="531"/>
      <c r="G714" s="532"/>
      <c r="H714" s="530"/>
      <c r="I714" s="530"/>
      <c r="J714" s="530"/>
      <c r="K714" s="530"/>
      <c r="L714" s="533"/>
      <c r="M714" s="533"/>
      <c r="N714" s="530"/>
      <c r="O714" s="530"/>
      <c r="P714" s="560"/>
    </row>
    <row r="715" spans="1:16">
      <c r="A715" s="559"/>
      <c r="B715" s="530"/>
      <c r="C715" s="530"/>
      <c r="D715" s="568"/>
      <c r="E715" s="530"/>
      <c r="F715" s="531"/>
      <c r="G715" s="532"/>
      <c r="H715" s="530"/>
      <c r="I715" s="530"/>
      <c r="J715" s="530"/>
      <c r="K715" s="530"/>
      <c r="L715" s="533"/>
      <c r="M715" s="533"/>
      <c r="N715" s="530"/>
      <c r="O715" s="530"/>
      <c r="P715" s="560"/>
    </row>
    <row r="716" spans="1:16">
      <c r="A716" s="559"/>
      <c r="B716" s="530"/>
      <c r="C716" s="530"/>
      <c r="D716" s="568"/>
      <c r="E716" s="530"/>
      <c r="F716" s="531"/>
      <c r="G716" s="532"/>
      <c r="H716" s="530"/>
      <c r="I716" s="530"/>
      <c r="J716" s="530"/>
      <c r="K716" s="530"/>
      <c r="L716" s="533"/>
      <c r="M716" s="533"/>
      <c r="N716" s="530"/>
      <c r="O716" s="530"/>
      <c r="P716" s="560"/>
    </row>
    <row r="717" spans="1:16">
      <c r="A717" s="559"/>
      <c r="B717" s="530"/>
      <c r="C717" s="530"/>
      <c r="D717" s="568"/>
      <c r="E717" s="530"/>
      <c r="F717" s="531"/>
      <c r="G717" s="532"/>
      <c r="H717" s="530"/>
      <c r="I717" s="530"/>
      <c r="J717" s="530"/>
      <c r="K717" s="530"/>
      <c r="L717" s="533"/>
      <c r="M717" s="533"/>
      <c r="N717" s="530"/>
      <c r="O717" s="530"/>
      <c r="P717" s="560"/>
    </row>
    <row r="718" spans="1:16">
      <c r="A718" s="559"/>
      <c r="B718" s="530"/>
      <c r="C718" s="530"/>
      <c r="D718" s="568"/>
      <c r="E718" s="530"/>
      <c r="F718" s="531"/>
      <c r="G718" s="532"/>
      <c r="H718" s="530"/>
      <c r="I718" s="530"/>
      <c r="J718" s="530"/>
      <c r="K718" s="530"/>
      <c r="L718" s="533"/>
      <c r="M718" s="533"/>
      <c r="N718" s="530"/>
      <c r="O718" s="530"/>
      <c r="P718" s="560"/>
    </row>
    <row r="719" spans="1:16">
      <c r="A719" s="559"/>
      <c r="B719" s="530"/>
      <c r="C719" s="530"/>
      <c r="D719" s="568"/>
      <c r="E719" s="530"/>
      <c r="F719" s="531"/>
      <c r="G719" s="532"/>
      <c r="H719" s="530"/>
      <c r="I719" s="530"/>
      <c r="J719" s="530"/>
      <c r="K719" s="530"/>
      <c r="L719" s="533"/>
      <c r="M719" s="533"/>
      <c r="N719" s="530"/>
      <c r="O719" s="530"/>
      <c r="P719" s="560"/>
    </row>
    <row r="720" spans="1:16">
      <c r="A720" s="559"/>
      <c r="B720" s="530"/>
      <c r="C720" s="530"/>
      <c r="D720" s="568"/>
      <c r="E720" s="530"/>
      <c r="F720" s="531"/>
      <c r="G720" s="532"/>
      <c r="H720" s="530"/>
      <c r="I720" s="530"/>
      <c r="J720" s="530"/>
      <c r="K720" s="530"/>
      <c r="L720" s="533"/>
      <c r="M720" s="533"/>
      <c r="N720" s="530"/>
      <c r="O720" s="530"/>
      <c r="P720" s="560"/>
    </row>
    <row r="721" spans="1:16">
      <c r="A721" s="559"/>
      <c r="B721" s="530"/>
      <c r="C721" s="530"/>
      <c r="D721" s="568"/>
      <c r="E721" s="530"/>
      <c r="F721" s="531"/>
      <c r="G721" s="532"/>
      <c r="H721" s="530"/>
      <c r="I721" s="530"/>
      <c r="J721" s="530"/>
      <c r="K721" s="530"/>
      <c r="L721" s="533"/>
      <c r="M721" s="533"/>
      <c r="N721" s="530"/>
      <c r="O721" s="530"/>
      <c r="P721" s="560"/>
    </row>
    <row r="722" spans="1:16">
      <c r="A722" s="559"/>
      <c r="B722" s="530"/>
      <c r="C722" s="530"/>
      <c r="D722" s="568"/>
      <c r="E722" s="530"/>
      <c r="F722" s="531"/>
      <c r="G722" s="532"/>
      <c r="H722" s="530"/>
      <c r="I722" s="530"/>
      <c r="J722" s="530"/>
      <c r="K722" s="530"/>
      <c r="L722" s="533"/>
      <c r="M722" s="533"/>
      <c r="N722" s="530"/>
      <c r="O722" s="530"/>
      <c r="P722" s="560"/>
    </row>
    <row r="723" spans="1:16">
      <c r="A723" s="559"/>
      <c r="B723" s="530"/>
      <c r="C723" s="530"/>
      <c r="D723" s="568"/>
      <c r="E723" s="530"/>
      <c r="F723" s="531"/>
      <c r="G723" s="532"/>
      <c r="H723" s="530"/>
      <c r="I723" s="530"/>
      <c r="J723" s="530"/>
      <c r="K723" s="530"/>
      <c r="L723" s="533"/>
      <c r="M723" s="533"/>
      <c r="N723" s="530"/>
      <c r="O723" s="530"/>
      <c r="P723" s="560"/>
    </row>
    <row r="724" spans="1:16">
      <c r="A724" s="559"/>
      <c r="B724" s="530"/>
      <c r="C724" s="530"/>
      <c r="D724" s="568"/>
      <c r="E724" s="530"/>
      <c r="F724" s="531"/>
      <c r="G724" s="532"/>
      <c r="H724" s="530"/>
      <c r="I724" s="530"/>
      <c r="J724" s="530"/>
      <c r="K724" s="530"/>
      <c r="L724" s="533"/>
      <c r="M724" s="533"/>
      <c r="N724" s="530"/>
      <c r="O724" s="530"/>
      <c r="P724" s="560"/>
    </row>
    <row r="725" spans="1:16">
      <c r="A725" s="559"/>
      <c r="B725" s="530"/>
      <c r="C725" s="530"/>
      <c r="D725" s="568"/>
      <c r="E725" s="530"/>
      <c r="F725" s="531"/>
      <c r="G725" s="532"/>
      <c r="H725" s="530"/>
      <c r="I725" s="530"/>
      <c r="J725" s="530"/>
      <c r="K725" s="530"/>
      <c r="L725" s="533"/>
      <c r="M725" s="533"/>
      <c r="N725" s="530"/>
      <c r="O725" s="530"/>
      <c r="P725" s="560"/>
    </row>
    <row r="726" spans="1:16">
      <c r="A726" s="559"/>
      <c r="B726" s="530"/>
      <c r="C726" s="530"/>
      <c r="D726" s="568"/>
      <c r="E726" s="530"/>
      <c r="F726" s="531"/>
      <c r="G726" s="532"/>
      <c r="H726" s="530"/>
      <c r="I726" s="530"/>
      <c r="J726" s="530"/>
      <c r="K726" s="530"/>
      <c r="L726" s="533"/>
      <c r="M726" s="533"/>
      <c r="N726" s="530"/>
      <c r="O726" s="530"/>
      <c r="P726" s="560"/>
    </row>
    <row r="727" spans="1:16">
      <c r="A727" s="559"/>
      <c r="B727" s="530"/>
      <c r="C727" s="530"/>
      <c r="D727" s="568"/>
      <c r="E727" s="530"/>
      <c r="F727" s="531"/>
      <c r="G727" s="532"/>
      <c r="H727" s="530"/>
      <c r="I727" s="530"/>
      <c r="J727" s="530"/>
      <c r="K727" s="530"/>
      <c r="L727" s="533"/>
      <c r="M727" s="533"/>
      <c r="N727" s="530"/>
      <c r="O727" s="530"/>
      <c r="P727" s="560"/>
    </row>
    <row r="728" spans="1:16">
      <c r="A728" s="559"/>
      <c r="B728" s="530"/>
      <c r="C728" s="530"/>
      <c r="D728" s="568"/>
      <c r="E728" s="530"/>
      <c r="F728" s="531"/>
      <c r="G728" s="532"/>
      <c r="H728" s="530"/>
      <c r="I728" s="530"/>
      <c r="J728" s="530"/>
      <c r="K728" s="530"/>
      <c r="L728" s="533"/>
      <c r="M728" s="533"/>
      <c r="N728" s="530"/>
      <c r="O728" s="530"/>
      <c r="P728" s="560"/>
    </row>
    <row r="729" spans="1:16">
      <c r="A729" s="559"/>
      <c r="B729" s="530"/>
      <c r="C729" s="530"/>
      <c r="D729" s="568"/>
      <c r="E729" s="530"/>
      <c r="F729" s="531"/>
      <c r="G729" s="532"/>
      <c r="H729" s="530"/>
      <c r="I729" s="530"/>
      <c r="J729" s="530"/>
      <c r="K729" s="530"/>
      <c r="L729" s="533"/>
      <c r="M729" s="533"/>
      <c r="N729" s="530"/>
      <c r="O729" s="530"/>
      <c r="P729" s="560"/>
    </row>
    <row r="730" spans="1:16">
      <c r="A730" s="559"/>
      <c r="B730" s="530"/>
      <c r="C730" s="530"/>
      <c r="D730" s="568"/>
      <c r="E730" s="530"/>
      <c r="F730" s="531"/>
      <c r="G730" s="532"/>
      <c r="H730" s="530"/>
      <c r="I730" s="530"/>
      <c r="J730" s="530"/>
      <c r="K730" s="530"/>
      <c r="L730" s="533"/>
      <c r="M730" s="533"/>
      <c r="N730" s="530"/>
      <c r="O730" s="530"/>
      <c r="P730" s="560"/>
    </row>
    <row r="731" spans="1:16">
      <c r="A731" s="559"/>
      <c r="B731" s="530"/>
      <c r="C731" s="530"/>
      <c r="D731" s="568"/>
      <c r="E731" s="530"/>
      <c r="F731" s="531"/>
      <c r="G731" s="532"/>
      <c r="H731" s="530"/>
      <c r="I731" s="530"/>
      <c r="J731" s="530"/>
      <c r="K731" s="530"/>
      <c r="L731" s="533"/>
      <c r="M731" s="533"/>
      <c r="N731" s="530"/>
      <c r="O731" s="530"/>
      <c r="P731" s="560"/>
    </row>
    <row r="732" spans="1:16">
      <c r="A732" s="559"/>
      <c r="B732" s="530"/>
      <c r="C732" s="530"/>
      <c r="D732" s="568"/>
      <c r="E732" s="530"/>
      <c r="F732" s="531"/>
      <c r="G732" s="532"/>
      <c r="H732" s="530"/>
      <c r="I732" s="530"/>
      <c r="J732" s="530"/>
      <c r="K732" s="530"/>
      <c r="L732" s="533"/>
      <c r="M732" s="533"/>
      <c r="N732" s="530"/>
      <c r="O732" s="530"/>
      <c r="P732" s="560"/>
    </row>
    <row r="733" spans="1:16">
      <c r="A733" s="559"/>
      <c r="B733" s="530"/>
      <c r="C733" s="530"/>
      <c r="D733" s="568"/>
      <c r="E733" s="530"/>
      <c r="F733" s="531"/>
      <c r="G733" s="532"/>
      <c r="H733" s="530"/>
      <c r="I733" s="530"/>
      <c r="J733" s="530"/>
      <c r="K733" s="530"/>
      <c r="L733" s="533"/>
      <c r="M733" s="533"/>
      <c r="N733" s="530"/>
      <c r="O733" s="530"/>
      <c r="P733" s="560"/>
    </row>
    <row r="734" spans="1:16">
      <c r="A734" s="559"/>
      <c r="B734" s="530"/>
      <c r="C734" s="530"/>
      <c r="D734" s="568"/>
      <c r="E734" s="530"/>
      <c r="F734" s="531"/>
      <c r="G734" s="532"/>
      <c r="H734" s="530"/>
      <c r="I734" s="530"/>
      <c r="J734" s="530"/>
      <c r="K734" s="530"/>
      <c r="L734" s="533"/>
      <c r="M734" s="533"/>
      <c r="N734" s="530"/>
      <c r="O734" s="530"/>
      <c r="P734" s="560"/>
    </row>
    <row r="735" spans="1:16">
      <c r="A735" s="559"/>
      <c r="B735" s="530"/>
      <c r="C735" s="530"/>
      <c r="D735" s="568"/>
      <c r="E735" s="530"/>
      <c r="F735" s="531"/>
      <c r="G735" s="532"/>
      <c r="H735" s="530"/>
      <c r="I735" s="530"/>
      <c r="J735" s="530"/>
      <c r="K735" s="530"/>
      <c r="L735" s="533"/>
      <c r="M735" s="533"/>
      <c r="N735" s="530"/>
      <c r="O735" s="530"/>
      <c r="P735" s="560"/>
    </row>
    <row r="736" spans="1:16">
      <c r="A736" s="559"/>
      <c r="B736" s="530"/>
      <c r="C736" s="530"/>
      <c r="D736" s="568"/>
      <c r="E736" s="530"/>
      <c r="F736" s="531"/>
      <c r="G736" s="532"/>
      <c r="H736" s="530"/>
      <c r="I736" s="530"/>
      <c r="J736" s="530"/>
      <c r="K736" s="530"/>
      <c r="L736" s="533"/>
      <c r="M736" s="533"/>
      <c r="N736" s="530"/>
      <c r="O736" s="530"/>
      <c r="P736" s="560"/>
    </row>
    <row r="737" spans="1:16">
      <c r="A737" s="559"/>
      <c r="B737" s="530"/>
      <c r="C737" s="530"/>
      <c r="D737" s="568"/>
      <c r="E737" s="530"/>
      <c r="F737" s="531"/>
      <c r="G737" s="532"/>
      <c r="H737" s="530"/>
      <c r="I737" s="530"/>
      <c r="J737" s="530"/>
      <c r="K737" s="530"/>
      <c r="L737" s="533"/>
      <c r="M737" s="533"/>
      <c r="N737" s="530"/>
      <c r="O737" s="530"/>
      <c r="P737" s="560"/>
    </row>
    <row r="738" spans="1:16">
      <c r="A738" s="559"/>
      <c r="B738" s="530"/>
      <c r="C738" s="530"/>
      <c r="D738" s="568"/>
      <c r="E738" s="530"/>
      <c r="F738" s="531"/>
      <c r="G738" s="532"/>
      <c r="H738" s="530"/>
      <c r="I738" s="530"/>
      <c r="J738" s="530"/>
      <c r="K738" s="530"/>
      <c r="L738" s="533"/>
      <c r="M738" s="533"/>
      <c r="N738" s="530"/>
      <c r="O738" s="530"/>
      <c r="P738" s="560"/>
    </row>
    <row r="739" spans="1:16">
      <c r="A739" s="559"/>
      <c r="B739" s="530"/>
      <c r="C739" s="530"/>
      <c r="D739" s="568"/>
      <c r="E739" s="530"/>
      <c r="F739" s="531"/>
      <c r="G739" s="532"/>
      <c r="H739" s="530"/>
      <c r="I739" s="530"/>
      <c r="J739" s="530"/>
      <c r="K739" s="530"/>
      <c r="L739" s="533"/>
      <c r="M739" s="533"/>
      <c r="N739" s="530"/>
      <c r="O739" s="530"/>
      <c r="P739" s="560"/>
    </row>
    <row r="740" spans="1:16">
      <c r="A740" s="559"/>
      <c r="B740" s="530"/>
      <c r="C740" s="530"/>
      <c r="D740" s="568"/>
      <c r="E740" s="530"/>
      <c r="F740" s="531"/>
      <c r="G740" s="532"/>
      <c r="H740" s="530"/>
      <c r="I740" s="530"/>
      <c r="J740" s="530"/>
      <c r="K740" s="530"/>
      <c r="L740" s="533"/>
      <c r="M740" s="533"/>
      <c r="N740" s="530"/>
      <c r="O740" s="530"/>
      <c r="P740" s="560"/>
    </row>
    <row r="741" spans="1:16">
      <c r="A741" s="559"/>
      <c r="B741" s="530"/>
      <c r="C741" s="530"/>
      <c r="D741" s="568"/>
      <c r="E741" s="530"/>
      <c r="F741" s="531"/>
      <c r="G741" s="532"/>
      <c r="H741" s="530"/>
      <c r="I741" s="530"/>
      <c r="J741" s="530"/>
      <c r="K741" s="530"/>
      <c r="L741" s="533"/>
      <c r="M741" s="533"/>
      <c r="N741" s="530"/>
      <c r="O741" s="530"/>
      <c r="P741" s="560"/>
    </row>
    <row r="742" spans="1:16">
      <c r="A742" s="559"/>
      <c r="B742" s="530"/>
      <c r="C742" s="530"/>
      <c r="D742" s="568"/>
      <c r="E742" s="530"/>
      <c r="F742" s="531"/>
      <c r="G742" s="532"/>
      <c r="H742" s="530"/>
      <c r="I742" s="530"/>
      <c r="J742" s="530"/>
      <c r="K742" s="530"/>
      <c r="L742" s="533"/>
      <c r="M742" s="533"/>
      <c r="N742" s="530"/>
      <c r="O742" s="530"/>
      <c r="P742" s="560"/>
    </row>
    <row r="743" spans="1:16">
      <c r="A743" s="559"/>
      <c r="B743" s="530"/>
      <c r="C743" s="530"/>
      <c r="D743" s="568"/>
      <c r="E743" s="530"/>
      <c r="F743" s="531"/>
      <c r="G743" s="532"/>
      <c r="H743" s="530"/>
      <c r="I743" s="530"/>
      <c r="J743" s="530"/>
      <c r="K743" s="530"/>
      <c r="L743" s="533"/>
      <c r="M743" s="533"/>
      <c r="N743" s="530"/>
      <c r="O743" s="530"/>
      <c r="P743" s="560"/>
    </row>
    <row r="744" spans="1:16">
      <c r="A744" s="559"/>
      <c r="B744" s="530"/>
      <c r="C744" s="530"/>
      <c r="D744" s="568"/>
      <c r="E744" s="530"/>
      <c r="F744" s="531"/>
      <c r="G744" s="532"/>
      <c r="H744" s="530"/>
      <c r="I744" s="530"/>
      <c r="J744" s="530"/>
      <c r="K744" s="530"/>
      <c r="L744" s="533"/>
      <c r="M744" s="533"/>
      <c r="N744" s="530"/>
      <c r="O744" s="530"/>
      <c r="P744" s="560"/>
    </row>
    <row r="745" spans="1:16">
      <c r="A745" s="559"/>
      <c r="B745" s="530"/>
      <c r="C745" s="530"/>
      <c r="D745" s="568"/>
      <c r="E745" s="530"/>
      <c r="F745" s="531"/>
      <c r="G745" s="532"/>
      <c r="H745" s="530"/>
      <c r="I745" s="530"/>
      <c r="J745" s="530"/>
      <c r="K745" s="530"/>
      <c r="L745" s="533"/>
      <c r="M745" s="533"/>
      <c r="N745" s="530"/>
      <c r="O745" s="530"/>
      <c r="P745" s="560"/>
    </row>
    <row r="746" spans="1:16">
      <c r="A746" s="559"/>
      <c r="B746" s="530"/>
      <c r="C746" s="530"/>
      <c r="D746" s="568"/>
      <c r="E746" s="530"/>
      <c r="F746" s="531"/>
      <c r="G746" s="532"/>
      <c r="H746" s="530"/>
      <c r="I746" s="530"/>
      <c r="J746" s="530"/>
      <c r="K746" s="530"/>
      <c r="L746" s="533"/>
      <c r="M746" s="533"/>
      <c r="N746" s="530"/>
      <c r="O746" s="530"/>
      <c r="P746" s="560"/>
    </row>
    <row r="747" spans="1:16">
      <c r="A747" s="559"/>
      <c r="B747" s="530"/>
      <c r="C747" s="530"/>
      <c r="D747" s="568"/>
      <c r="E747" s="530"/>
      <c r="F747" s="531"/>
      <c r="G747" s="532"/>
      <c r="H747" s="530"/>
      <c r="I747" s="530"/>
      <c r="J747" s="530"/>
      <c r="K747" s="530"/>
      <c r="L747" s="533"/>
      <c r="M747" s="533"/>
      <c r="N747" s="530"/>
      <c r="O747" s="530"/>
      <c r="P747" s="560"/>
    </row>
    <row r="748" spans="1:16">
      <c r="A748" s="559"/>
      <c r="B748" s="530"/>
      <c r="C748" s="530"/>
      <c r="D748" s="568"/>
      <c r="E748" s="530"/>
      <c r="F748" s="531"/>
      <c r="G748" s="532"/>
      <c r="H748" s="530"/>
      <c r="I748" s="530"/>
      <c r="J748" s="530"/>
      <c r="K748" s="530"/>
      <c r="L748" s="533"/>
      <c r="M748" s="533"/>
      <c r="N748" s="530"/>
      <c r="O748" s="530"/>
      <c r="P748" s="560"/>
    </row>
    <row r="749" spans="1:16">
      <c r="A749" s="559"/>
      <c r="B749" s="530"/>
      <c r="C749" s="530"/>
      <c r="D749" s="568"/>
      <c r="E749" s="530"/>
      <c r="F749" s="531"/>
      <c r="G749" s="532"/>
      <c r="H749" s="530"/>
      <c r="I749" s="530"/>
      <c r="J749" s="530"/>
      <c r="K749" s="530"/>
      <c r="L749" s="533"/>
      <c r="M749" s="533"/>
      <c r="N749" s="530"/>
      <c r="O749" s="530"/>
      <c r="P749" s="560"/>
    </row>
    <row r="750" spans="1:16">
      <c r="A750" s="559"/>
      <c r="B750" s="530"/>
      <c r="C750" s="530"/>
      <c r="D750" s="568"/>
      <c r="E750" s="530"/>
      <c r="F750" s="531"/>
      <c r="G750" s="532"/>
      <c r="H750" s="530"/>
      <c r="I750" s="530"/>
      <c r="J750" s="530"/>
      <c r="K750" s="530"/>
      <c r="L750" s="533"/>
      <c r="M750" s="533"/>
      <c r="N750" s="530"/>
      <c r="O750" s="530"/>
      <c r="P750" s="560"/>
    </row>
    <row r="751" spans="1:16">
      <c r="A751" s="559"/>
      <c r="B751" s="530"/>
      <c r="C751" s="530"/>
      <c r="D751" s="568"/>
      <c r="E751" s="530"/>
      <c r="F751" s="531"/>
      <c r="G751" s="532"/>
      <c r="H751" s="530"/>
      <c r="I751" s="530"/>
      <c r="J751" s="530"/>
      <c r="K751" s="530"/>
      <c r="L751" s="533"/>
      <c r="M751" s="533"/>
      <c r="N751" s="530"/>
      <c r="O751" s="530"/>
      <c r="P751" s="560"/>
    </row>
    <row r="752" spans="1:16">
      <c r="A752" s="559"/>
      <c r="B752" s="530"/>
      <c r="C752" s="530"/>
      <c r="D752" s="568"/>
      <c r="E752" s="530"/>
      <c r="F752" s="531"/>
      <c r="G752" s="532"/>
      <c r="H752" s="530"/>
      <c r="I752" s="530"/>
      <c r="J752" s="530"/>
      <c r="K752" s="530"/>
      <c r="L752" s="533"/>
      <c r="M752" s="533"/>
      <c r="N752" s="530"/>
      <c r="O752" s="530"/>
      <c r="P752" s="560"/>
    </row>
    <row r="753" spans="1:16">
      <c r="A753" s="559"/>
      <c r="B753" s="530"/>
      <c r="C753" s="530"/>
      <c r="D753" s="568"/>
      <c r="E753" s="530"/>
      <c r="F753" s="531"/>
      <c r="G753" s="532"/>
      <c r="H753" s="530"/>
      <c r="I753" s="530"/>
      <c r="J753" s="530"/>
      <c r="K753" s="530"/>
      <c r="L753" s="533"/>
      <c r="M753" s="533"/>
      <c r="N753" s="530"/>
      <c r="O753" s="530"/>
      <c r="P753" s="560"/>
    </row>
    <row r="754" spans="1:16" ht="15.75" thickBot="1">
      <c r="A754" s="561"/>
      <c r="B754" s="562"/>
      <c r="C754" s="562"/>
      <c r="D754" s="569"/>
      <c r="E754" s="562"/>
      <c r="F754" s="563"/>
      <c r="G754" s="564"/>
      <c r="H754" s="562"/>
      <c r="I754" s="562"/>
      <c r="J754" s="562"/>
      <c r="K754" s="562"/>
      <c r="L754" s="565"/>
      <c r="M754" s="565"/>
      <c r="N754" s="562"/>
      <c r="O754" s="562"/>
      <c r="P754" s="566"/>
    </row>
    <row r="755" spans="1:16" ht="15.75" thickTop="1"/>
  </sheetData>
  <autoFilter ref="A6:Q351" xr:uid="{00000000-0009-0000-0000-000005000000}"/>
  <mergeCells count="1">
    <mergeCell ref="P6:Q6"/>
  </mergeCells>
  <pageMargins left="0.19685039370078741" right="0.19685039370078741" top="0.31496062992125984" bottom="0.27559055118110237" header="0.31496062992125984" footer="0.31496062992125984"/>
  <pageSetup paperSize="9" scale="48" fitToHeight="1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5">
    <pageSetUpPr fitToPage="1"/>
  </sheetPr>
  <dimension ref="A1:Y640"/>
  <sheetViews>
    <sheetView zoomScale="90" zoomScaleNormal="90" workbookViewId="0">
      <pane xSplit="13" ySplit="6" topLeftCell="N136" activePane="bottomRight" state="frozen"/>
      <selection activeCell="C281" sqref="C2:C281"/>
      <selection pane="topRight" activeCell="C281" sqref="C2:C281"/>
      <selection pane="bottomLeft" activeCell="C281" sqref="C2:C281"/>
      <selection pane="bottomRight" activeCell="K217" sqref="K217"/>
    </sheetView>
  </sheetViews>
  <sheetFormatPr defaultRowHeight="15"/>
  <cols>
    <col min="1" max="1" width="16.28515625" style="802" customWidth="1"/>
    <col min="2" max="2" width="7.42578125" style="802" customWidth="1"/>
    <col min="3" max="3" width="11.7109375" style="802" customWidth="1"/>
    <col min="4" max="4" width="68.42578125" customWidth="1"/>
    <col min="5" max="5" width="12.7109375" style="802" customWidth="1"/>
    <col min="6" max="6" width="15.140625" style="802" customWidth="1"/>
    <col min="7" max="7" width="20.85546875" style="804" customWidth="1"/>
    <col min="8" max="8" width="9.85546875" style="802" customWidth="1"/>
    <col min="9" max="9" width="13.7109375" style="802" customWidth="1"/>
    <col min="10" max="10" width="14" style="802" customWidth="1"/>
    <col min="11" max="11" width="26" style="802" customWidth="1"/>
    <col min="12" max="13" width="18.85546875" style="804" customWidth="1"/>
    <col min="14" max="17" width="15.7109375" style="802" customWidth="1"/>
    <col min="18" max="18" width="16.7109375" style="802" customWidth="1"/>
    <col min="19" max="19" width="15.7109375" style="802" customWidth="1"/>
    <col min="20" max="21" width="15.7109375" customWidth="1"/>
    <col min="22" max="22" width="14.85546875" customWidth="1"/>
    <col min="23" max="24" width="11" bestFit="1" customWidth="1"/>
  </cols>
  <sheetData>
    <row r="1" spans="1:20">
      <c r="A1" s="374"/>
      <c r="B1" s="358"/>
      <c r="C1" s="374"/>
      <c r="D1" s="491" t="s">
        <v>222</v>
      </c>
      <c r="E1" s="374"/>
      <c r="F1" s="370"/>
      <c r="G1" s="371"/>
      <c r="H1" s="374"/>
      <c r="I1" s="374"/>
      <c r="J1" s="374"/>
      <c r="K1" s="374"/>
      <c r="L1" s="371"/>
      <c r="M1" s="371"/>
      <c r="N1" s="374"/>
      <c r="O1" s="374"/>
      <c r="P1" s="374"/>
      <c r="Q1" s="374"/>
      <c r="R1" s="374"/>
    </row>
    <row r="2" spans="1:20">
      <c r="A2" s="374"/>
      <c r="B2" s="359"/>
      <c r="C2" s="374"/>
      <c r="D2" s="506" t="s">
        <v>223</v>
      </c>
      <c r="E2" s="374"/>
      <c r="F2" s="370"/>
      <c r="G2" s="371"/>
      <c r="H2" s="374"/>
      <c r="I2" s="374"/>
      <c r="J2" s="374"/>
      <c r="K2" s="374"/>
      <c r="L2" s="371"/>
      <c r="M2" s="371"/>
      <c r="N2" s="374"/>
      <c r="O2" s="374"/>
      <c r="P2" s="374"/>
      <c r="Q2" s="374"/>
      <c r="R2" s="374"/>
    </row>
    <row r="3" spans="1:20">
      <c r="A3" s="374"/>
      <c r="B3" s="360"/>
      <c r="C3" s="374"/>
      <c r="D3" s="540" t="s">
        <v>224</v>
      </c>
      <c r="E3" s="374"/>
      <c r="F3" s="370"/>
      <c r="G3" s="371"/>
      <c r="H3" s="374"/>
      <c r="I3" s="374"/>
      <c r="J3" s="374"/>
      <c r="K3" s="374"/>
      <c r="L3" s="371"/>
      <c r="M3" s="371"/>
      <c r="N3" s="374"/>
      <c r="O3" s="374"/>
      <c r="P3" s="374"/>
      <c r="Q3" s="374"/>
      <c r="R3" s="374"/>
    </row>
    <row r="4" spans="1:20">
      <c r="A4" s="374"/>
      <c r="B4" s="360"/>
      <c r="C4" s="374"/>
      <c r="D4" s="590" t="s">
        <v>225</v>
      </c>
      <c r="E4" s="374"/>
      <c r="F4" s="370"/>
      <c r="G4" s="371"/>
      <c r="H4" s="374"/>
      <c r="I4" s="374"/>
      <c r="J4" s="374"/>
      <c r="K4" s="374"/>
      <c r="L4" s="371"/>
      <c r="M4" s="371"/>
      <c r="N4" s="374"/>
      <c r="O4" s="374"/>
      <c r="P4" s="374"/>
      <c r="Q4" s="374"/>
      <c r="R4" s="374"/>
    </row>
    <row r="5" spans="1:20">
      <c r="A5" s="374"/>
      <c r="B5" s="360"/>
      <c r="C5" s="796"/>
      <c r="D5" s="1102" t="s">
        <v>226</v>
      </c>
      <c r="E5" s="374"/>
      <c r="F5" s="370"/>
      <c r="G5" s="371"/>
      <c r="H5" s="374"/>
      <c r="I5" s="374"/>
      <c r="J5" s="374"/>
      <c r="K5" s="374"/>
      <c r="L5" s="371"/>
      <c r="M5" s="371"/>
      <c r="N5" s="374"/>
      <c r="O5" s="374"/>
      <c r="P5" s="374"/>
      <c r="Q5" s="374"/>
      <c r="R5" s="374"/>
    </row>
    <row r="6" spans="1:20" ht="75">
      <c r="A6" s="797" t="s">
        <v>11</v>
      </c>
      <c r="B6" s="797" t="s">
        <v>1164</v>
      </c>
      <c r="C6" s="797" t="s">
        <v>0</v>
      </c>
      <c r="D6" s="798" t="s">
        <v>1</v>
      </c>
      <c r="E6" s="798" t="s">
        <v>2</v>
      </c>
      <c r="F6" s="799" t="s">
        <v>5</v>
      </c>
      <c r="G6" s="800" t="s">
        <v>15</v>
      </c>
      <c r="H6" s="798" t="s">
        <v>3</v>
      </c>
      <c r="I6" s="797" t="s">
        <v>4</v>
      </c>
      <c r="J6" s="797" t="s">
        <v>6</v>
      </c>
      <c r="K6" s="798" t="s">
        <v>7</v>
      </c>
      <c r="L6" s="800" t="s">
        <v>8</v>
      </c>
      <c r="M6" s="800" t="s">
        <v>9</v>
      </c>
      <c r="N6" s="797" t="s">
        <v>10</v>
      </c>
      <c r="O6" s="1495" t="s">
        <v>4112</v>
      </c>
      <c r="P6" s="797" t="s">
        <v>334</v>
      </c>
      <c r="Q6" s="1893" t="s">
        <v>220</v>
      </c>
      <c r="R6" s="1892"/>
    </row>
    <row r="7" spans="1:20" ht="15" customHeight="1">
      <c r="A7" s="515" t="s">
        <v>862</v>
      </c>
      <c r="B7" s="506" t="s">
        <v>58</v>
      </c>
      <c r="C7" s="506" t="s">
        <v>57</v>
      </c>
      <c r="D7" s="507" t="s">
        <v>861</v>
      </c>
      <c r="E7" s="859" t="s">
        <v>80</v>
      </c>
      <c r="F7" s="508" t="s">
        <v>888</v>
      </c>
      <c r="G7" s="509">
        <v>825000</v>
      </c>
      <c r="H7" s="506" t="s">
        <v>112</v>
      </c>
      <c r="I7" s="510">
        <v>42460</v>
      </c>
      <c r="J7" s="510">
        <v>42474</v>
      </c>
      <c r="K7" s="514" t="s">
        <v>242</v>
      </c>
      <c r="L7" s="511"/>
      <c r="M7" s="511"/>
      <c r="N7" s="506"/>
      <c r="O7" s="506"/>
      <c r="P7" s="506" t="s">
        <v>239</v>
      </c>
      <c r="Q7" s="521" t="s">
        <v>239</v>
      </c>
      <c r="R7" s="801"/>
    </row>
    <row r="8" spans="1:20" ht="15" customHeight="1">
      <c r="A8" s="501" t="s">
        <v>909</v>
      </c>
      <c r="B8" s="491" t="s">
        <v>14</v>
      </c>
      <c r="C8" s="491" t="s">
        <v>871</v>
      </c>
      <c r="D8" s="571" t="s">
        <v>908</v>
      </c>
      <c r="E8" s="491" t="s">
        <v>910</v>
      </c>
      <c r="F8" s="572"/>
      <c r="G8" s="558">
        <v>7000000</v>
      </c>
      <c r="H8" s="491" t="s">
        <v>251</v>
      </c>
      <c r="I8" s="537">
        <v>42471</v>
      </c>
      <c r="J8" s="537">
        <v>42676</v>
      </c>
      <c r="K8" s="491" t="s">
        <v>1512</v>
      </c>
      <c r="L8" s="536">
        <v>6997777</v>
      </c>
      <c r="M8" s="536">
        <f>L8*1.21</f>
        <v>8467310.1699999999</v>
      </c>
      <c r="N8" s="537">
        <v>42825</v>
      </c>
      <c r="O8" s="537"/>
      <c r="P8" s="537">
        <v>42836</v>
      </c>
      <c r="Q8" s="852">
        <v>43551</v>
      </c>
      <c r="R8" s="1127">
        <v>44865</v>
      </c>
      <c r="T8" s="1943"/>
    </row>
    <row r="9" spans="1:20" s="931" customFormat="1" ht="15.75" customHeight="1" thickBot="1">
      <c r="A9" s="446" t="s">
        <v>949</v>
      </c>
      <c r="B9" s="447" t="s">
        <v>58</v>
      </c>
      <c r="C9" s="447" t="s">
        <v>57</v>
      </c>
      <c r="D9" s="476" t="s">
        <v>950</v>
      </c>
      <c r="E9" s="447" t="s">
        <v>86</v>
      </c>
      <c r="F9" s="448" t="s">
        <v>787</v>
      </c>
      <c r="G9" s="449">
        <v>3950000</v>
      </c>
      <c r="H9" s="447" t="s">
        <v>251</v>
      </c>
      <c r="I9" s="477">
        <v>42485</v>
      </c>
      <c r="J9" s="477">
        <v>42669</v>
      </c>
      <c r="K9" s="447" t="s">
        <v>1397</v>
      </c>
      <c r="L9" s="450">
        <v>3305000</v>
      </c>
      <c r="M9" s="450">
        <v>3999050</v>
      </c>
      <c r="N9" s="477">
        <v>42727</v>
      </c>
      <c r="O9" s="1380"/>
      <c r="P9" s="477">
        <v>42738</v>
      </c>
      <c r="Q9" s="868">
        <v>42797</v>
      </c>
      <c r="R9" s="996" t="s">
        <v>1875</v>
      </c>
      <c r="S9" s="802"/>
    </row>
    <row r="10" spans="1:20" ht="18" customHeight="1" thickTop="1" thickBot="1">
      <c r="A10" s="501" t="s">
        <v>1040</v>
      </c>
      <c r="B10" s="491" t="s">
        <v>218</v>
      </c>
      <c r="C10" s="491" t="s">
        <v>219</v>
      </c>
      <c r="D10" s="571" t="s">
        <v>1041</v>
      </c>
      <c r="E10" s="491" t="s">
        <v>1042</v>
      </c>
      <c r="F10" s="572"/>
      <c r="G10" s="558">
        <v>890000</v>
      </c>
      <c r="H10" s="491" t="s">
        <v>112</v>
      </c>
      <c r="I10" s="537">
        <v>42515</v>
      </c>
      <c r="J10" s="537">
        <v>42528</v>
      </c>
      <c r="K10" s="731" t="s">
        <v>1567</v>
      </c>
      <c r="L10" s="450">
        <v>901919.4</v>
      </c>
      <c r="M10" s="450">
        <f>L10*1.21</f>
        <v>1091322.4739999999</v>
      </c>
      <c r="N10" s="537">
        <v>42779</v>
      </c>
      <c r="O10" s="537"/>
      <c r="P10" s="537">
        <v>42780</v>
      </c>
      <c r="Q10" s="852">
        <v>43181</v>
      </c>
      <c r="R10" s="905">
        <v>43297</v>
      </c>
    </row>
    <row r="11" spans="1:20" ht="15" customHeight="1" thickTop="1">
      <c r="A11" s="1504" t="s">
        <v>1088</v>
      </c>
      <c r="B11" s="491" t="s">
        <v>52</v>
      </c>
      <c r="C11" s="491" t="s">
        <v>1089</v>
      </c>
      <c r="D11" s="571" t="s">
        <v>1090</v>
      </c>
      <c r="E11" s="491" t="s">
        <v>1091</v>
      </c>
      <c r="F11" s="572" t="s">
        <v>387</v>
      </c>
      <c r="G11" s="558">
        <v>298000000</v>
      </c>
      <c r="H11" s="491" t="s">
        <v>251</v>
      </c>
      <c r="I11" s="537">
        <v>42528</v>
      </c>
      <c r="J11" s="537">
        <v>42710</v>
      </c>
      <c r="K11" s="491" t="s">
        <v>707</v>
      </c>
      <c r="L11" s="536">
        <v>276902126</v>
      </c>
      <c r="M11" s="536">
        <v>335051572</v>
      </c>
      <c r="N11" s="537">
        <v>42774</v>
      </c>
      <c r="O11" s="537"/>
      <c r="P11" s="537">
        <v>42788</v>
      </c>
      <c r="Q11" s="880">
        <v>43552</v>
      </c>
      <c r="R11" s="801"/>
    </row>
    <row r="12" spans="1:20" ht="15.75" customHeight="1" thickBot="1">
      <c r="A12" s="629" t="s">
        <v>1476</v>
      </c>
      <c r="B12" s="411" t="s">
        <v>58</v>
      </c>
      <c r="C12" s="411" t="s">
        <v>57</v>
      </c>
      <c r="D12" s="412" t="s">
        <v>1477</v>
      </c>
      <c r="E12" s="411" t="s">
        <v>845</v>
      </c>
      <c r="F12" s="414" t="s">
        <v>1478</v>
      </c>
      <c r="G12" s="415">
        <v>12396500</v>
      </c>
      <c r="H12" s="411" t="s">
        <v>251</v>
      </c>
      <c r="I12" s="416">
        <v>42689</v>
      </c>
      <c r="J12" s="416">
        <v>42710</v>
      </c>
      <c r="K12" s="411" t="s">
        <v>1513</v>
      </c>
      <c r="L12" s="417">
        <f>12247000+5909196</f>
        <v>18156196</v>
      </c>
      <c r="M12" s="417">
        <f>L12*1.21</f>
        <v>21968997.16</v>
      </c>
      <c r="N12" s="416">
        <v>42762</v>
      </c>
      <c r="O12" s="416"/>
      <c r="P12" s="416">
        <v>42768</v>
      </c>
      <c r="Q12" s="637">
        <v>42877</v>
      </c>
      <c r="R12" s="1127">
        <v>44711</v>
      </c>
    </row>
    <row r="13" spans="1:20" ht="15.75" customHeight="1" thickTop="1">
      <c r="A13" s="438" t="s">
        <v>1223</v>
      </c>
      <c r="B13" s="439" t="s">
        <v>69</v>
      </c>
      <c r="C13" s="439" t="s">
        <v>70</v>
      </c>
      <c r="D13" s="440" t="s">
        <v>1321</v>
      </c>
      <c r="E13" s="439" t="s">
        <v>814</v>
      </c>
      <c r="F13" s="441"/>
      <c r="G13" s="442">
        <v>94548.27</v>
      </c>
      <c r="H13" s="439" t="s">
        <v>251</v>
      </c>
      <c r="I13" s="443">
        <v>42628</v>
      </c>
      <c r="J13" s="443">
        <v>42724</v>
      </c>
      <c r="K13" s="753" t="s">
        <v>1312</v>
      </c>
      <c r="L13" s="444"/>
      <c r="M13" s="444"/>
      <c r="N13" s="439"/>
      <c r="O13" s="439"/>
      <c r="P13" s="443">
        <v>42765</v>
      </c>
      <c r="Q13" s="445"/>
      <c r="R13" s="801"/>
    </row>
    <row r="14" spans="1:20" ht="15" customHeight="1">
      <c r="A14" s="515" t="s">
        <v>1223</v>
      </c>
      <c r="B14" s="506" t="s">
        <v>69</v>
      </c>
      <c r="C14" s="506" t="s">
        <v>70</v>
      </c>
      <c r="D14" s="507" t="s">
        <v>1322</v>
      </c>
      <c r="E14" s="506" t="s">
        <v>814</v>
      </c>
      <c r="F14" s="508"/>
      <c r="G14" s="509">
        <v>469811</v>
      </c>
      <c r="H14" s="506" t="s">
        <v>251</v>
      </c>
      <c r="I14" s="510">
        <v>42628</v>
      </c>
      <c r="J14" s="510">
        <v>42724</v>
      </c>
      <c r="K14" s="514" t="s">
        <v>304</v>
      </c>
      <c r="L14" s="511"/>
      <c r="M14" s="511"/>
      <c r="N14" s="506"/>
      <c r="O14" s="506"/>
      <c r="P14" s="510">
        <v>43092</v>
      </c>
      <c r="Q14" s="521"/>
      <c r="R14" s="801"/>
    </row>
    <row r="15" spans="1:20" ht="15" customHeight="1">
      <c r="A15" s="501" t="s">
        <v>1223</v>
      </c>
      <c r="B15" s="491" t="s">
        <v>69</v>
      </c>
      <c r="C15" s="491" t="s">
        <v>70</v>
      </c>
      <c r="D15" s="571" t="s">
        <v>1323</v>
      </c>
      <c r="E15" s="491" t="s">
        <v>814</v>
      </c>
      <c r="F15" s="572"/>
      <c r="G15" s="558">
        <v>10106.16</v>
      </c>
      <c r="H15" s="491" t="s">
        <v>251</v>
      </c>
      <c r="I15" s="537">
        <v>42628</v>
      </c>
      <c r="J15" s="537">
        <v>42724</v>
      </c>
      <c r="K15" s="491" t="s">
        <v>1402</v>
      </c>
      <c r="L15" s="536">
        <v>9900.7999999999993</v>
      </c>
      <c r="M15" s="536">
        <f>L15*1.1</f>
        <v>10890.88</v>
      </c>
      <c r="N15" s="537">
        <v>42809</v>
      </c>
      <c r="O15" s="537"/>
      <c r="P15" s="537">
        <v>42822</v>
      </c>
      <c r="Q15" s="852">
        <v>43175</v>
      </c>
      <c r="R15" s="905">
        <v>43550</v>
      </c>
      <c r="S15" s="1319">
        <v>43608</v>
      </c>
    </row>
    <row r="16" spans="1:20" ht="15" customHeight="1">
      <c r="A16" s="515" t="s">
        <v>1223</v>
      </c>
      <c r="B16" s="506" t="s">
        <v>69</v>
      </c>
      <c r="C16" s="506" t="s">
        <v>70</v>
      </c>
      <c r="D16" s="507" t="s">
        <v>1324</v>
      </c>
      <c r="E16" s="506" t="s">
        <v>814</v>
      </c>
      <c r="F16" s="508"/>
      <c r="G16" s="509">
        <v>10209.6</v>
      </c>
      <c r="H16" s="506" t="s">
        <v>251</v>
      </c>
      <c r="I16" s="510">
        <v>42628</v>
      </c>
      <c r="J16" s="510">
        <v>42724</v>
      </c>
      <c r="K16" s="514" t="s">
        <v>242</v>
      </c>
      <c r="L16" s="511"/>
      <c r="M16" s="511"/>
      <c r="N16" s="510"/>
      <c r="O16" s="510"/>
      <c r="P16" s="510">
        <v>42801</v>
      </c>
      <c r="Q16" s="521"/>
      <c r="R16" s="801"/>
    </row>
    <row r="17" spans="1:19" ht="15" customHeight="1">
      <c r="A17" s="501" t="s">
        <v>1223</v>
      </c>
      <c r="B17" s="491" t="s">
        <v>69</v>
      </c>
      <c r="C17" s="491" t="s">
        <v>70</v>
      </c>
      <c r="D17" s="571" t="s">
        <v>1325</v>
      </c>
      <c r="E17" s="491" t="s">
        <v>814</v>
      </c>
      <c r="F17" s="572"/>
      <c r="G17" s="558">
        <v>424787</v>
      </c>
      <c r="H17" s="491" t="s">
        <v>251</v>
      </c>
      <c r="I17" s="537">
        <v>42628</v>
      </c>
      <c r="J17" s="537">
        <v>42724</v>
      </c>
      <c r="K17" s="491" t="s">
        <v>1564</v>
      </c>
      <c r="L17" s="536">
        <v>343100</v>
      </c>
      <c r="M17" s="536">
        <f>L17*1.1</f>
        <v>377410.00000000006</v>
      </c>
      <c r="N17" s="537">
        <v>42809</v>
      </c>
      <c r="O17" s="537"/>
      <c r="P17" s="537">
        <v>42822</v>
      </c>
      <c r="Q17" s="852">
        <v>43175</v>
      </c>
      <c r="R17" s="905">
        <v>43550</v>
      </c>
      <c r="S17" s="1319">
        <v>43608</v>
      </c>
    </row>
    <row r="18" spans="1:19" ht="15" customHeight="1">
      <c r="A18" s="501" t="s">
        <v>1223</v>
      </c>
      <c r="B18" s="491" t="s">
        <v>69</v>
      </c>
      <c r="C18" s="491" t="s">
        <v>70</v>
      </c>
      <c r="D18" s="571" t="s">
        <v>1326</v>
      </c>
      <c r="E18" s="491" t="s">
        <v>814</v>
      </c>
      <c r="F18" s="572"/>
      <c r="G18" s="558">
        <v>578389.66</v>
      </c>
      <c r="H18" s="491" t="s">
        <v>251</v>
      </c>
      <c r="I18" s="537">
        <v>42628</v>
      </c>
      <c r="J18" s="537">
        <v>42724</v>
      </c>
      <c r="K18" s="491" t="s">
        <v>1233</v>
      </c>
      <c r="L18" s="536">
        <v>554307.64</v>
      </c>
      <c r="M18" s="536">
        <f>L18*1.1</f>
        <v>609738.4040000001</v>
      </c>
      <c r="N18" s="537">
        <v>42817</v>
      </c>
      <c r="O18" s="537"/>
      <c r="P18" s="537">
        <v>42822</v>
      </c>
      <c r="Q18" s="852">
        <v>43175</v>
      </c>
      <c r="R18" s="905">
        <v>43550</v>
      </c>
      <c r="S18" s="1319">
        <v>43608</v>
      </c>
    </row>
    <row r="19" spans="1:19" ht="15" customHeight="1">
      <c r="A19" s="515" t="s">
        <v>1223</v>
      </c>
      <c r="B19" s="506" t="s">
        <v>69</v>
      </c>
      <c r="C19" s="506" t="s">
        <v>70</v>
      </c>
      <c r="D19" s="507" t="s">
        <v>1327</v>
      </c>
      <c r="E19" s="506" t="s">
        <v>814</v>
      </c>
      <c r="F19" s="508"/>
      <c r="G19" s="509">
        <v>309207.7</v>
      </c>
      <c r="H19" s="506" t="s">
        <v>251</v>
      </c>
      <c r="I19" s="510">
        <v>42628</v>
      </c>
      <c r="J19" s="510">
        <v>42724</v>
      </c>
      <c r="K19" s="736" t="s">
        <v>1312</v>
      </c>
      <c r="L19" s="511"/>
      <c r="M19" s="511"/>
      <c r="N19" s="506"/>
      <c r="O19" s="506"/>
      <c r="P19" s="510">
        <v>42765</v>
      </c>
      <c r="Q19" s="521"/>
      <c r="R19" s="801"/>
    </row>
    <row r="20" spans="1:19" ht="15" customHeight="1">
      <c r="A20" s="501" t="s">
        <v>1223</v>
      </c>
      <c r="B20" s="491" t="s">
        <v>69</v>
      </c>
      <c r="C20" s="491" t="s">
        <v>70</v>
      </c>
      <c r="D20" s="571" t="s">
        <v>1328</v>
      </c>
      <c r="E20" s="491" t="s">
        <v>814</v>
      </c>
      <c r="F20" s="572"/>
      <c r="G20" s="558">
        <v>881921.09</v>
      </c>
      <c r="H20" s="491" t="s">
        <v>251</v>
      </c>
      <c r="I20" s="537">
        <v>42628</v>
      </c>
      <c r="J20" s="537">
        <v>42724</v>
      </c>
      <c r="K20" s="491" t="s">
        <v>1233</v>
      </c>
      <c r="L20" s="536">
        <v>880308</v>
      </c>
      <c r="M20" s="536">
        <f t="shared" ref="M20:M25" si="0">L20*1.1</f>
        <v>968338.8</v>
      </c>
      <c r="N20" s="537">
        <v>42817</v>
      </c>
      <c r="O20" s="537"/>
      <c r="P20" s="537">
        <v>42822</v>
      </c>
      <c r="Q20" s="852">
        <v>43175</v>
      </c>
      <c r="R20" s="905">
        <v>43550</v>
      </c>
      <c r="S20" s="1319">
        <v>43608</v>
      </c>
    </row>
    <row r="21" spans="1:19" ht="15" customHeight="1">
      <c r="A21" s="501" t="s">
        <v>1223</v>
      </c>
      <c r="B21" s="491" t="s">
        <v>69</v>
      </c>
      <c r="C21" s="491" t="s">
        <v>70</v>
      </c>
      <c r="D21" s="571" t="s">
        <v>1329</v>
      </c>
      <c r="E21" s="491" t="s">
        <v>814</v>
      </c>
      <c r="F21" s="572"/>
      <c r="G21" s="558">
        <v>444496</v>
      </c>
      <c r="H21" s="491" t="s">
        <v>251</v>
      </c>
      <c r="I21" s="537">
        <v>42628</v>
      </c>
      <c r="J21" s="537">
        <v>42724</v>
      </c>
      <c r="K21" s="491" t="s">
        <v>1233</v>
      </c>
      <c r="L21" s="536">
        <v>337816.96</v>
      </c>
      <c r="M21" s="536">
        <f t="shared" si="0"/>
        <v>371598.65600000008</v>
      </c>
      <c r="N21" s="537">
        <v>42817</v>
      </c>
      <c r="O21" s="537"/>
      <c r="P21" s="537">
        <v>42822</v>
      </c>
      <c r="Q21" s="852">
        <v>43175</v>
      </c>
      <c r="R21" s="905">
        <v>43175</v>
      </c>
      <c r="S21" s="1554" t="s">
        <v>2736</v>
      </c>
    </row>
    <row r="22" spans="1:19" ht="15.75" customHeight="1" thickBot="1">
      <c r="A22" s="446" t="s">
        <v>1223</v>
      </c>
      <c r="B22" s="447" t="s">
        <v>69</v>
      </c>
      <c r="C22" s="447" t="s">
        <v>70</v>
      </c>
      <c r="D22" s="476" t="s">
        <v>1330</v>
      </c>
      <c r="E22" s="447" t="s">
        <v>814</v>
      </c>
      <c r="F22" s="448"/>
      <c r="G22" s="449">
        <v>377200</v>
      </c>
      <c r="H22" s="447" t="s">
        <v>251</v>
      </c>
      <c r="I22" s="477">
        <v>42628</v>
      </c>
      <c r="J22" s="477">
        <v>42724</v>
      </c>
      <c r="K22" s="447" t="s">
        <v>1402</v>
      </c>
      <c r="L22" s="450">
        <v>168296.8</v>
      </c>
      <c r="M22" s="450">
        <f t="shared" si="0"/>
        <v>185126.48</v>
      </c>
      <c r="N22" s="477">
        <v>42809</v>
      </c>
      <c r="O22" s="1380"/>
      <c r="P22" s="477">
        <v>42822</v>
      </c>
      <c r="Q22" s="868">
        <v>43175</v>
      </c>
      <c r="R22" s="905">
        <v>43550</v>
      </c>
      <c r="S22" s="1319">
        <v>43608</v>
      </c>
    </row>
    <row r="23" spans="1:19" ht="15.75" customHeight="1" thickTop="1">
      <c r="A23" s="660" t="s">
        <v>1224</v>
      </c>
      <c r="B23" s="930" t="s">
        <v>69</v>
      </c>
      <c r="C23" s="933" t="s">
        <v>70</v>
      </c>
      <c r="D23" s="934" t="s">
        <v>1331</v>
      </c>
      <c r="E23" s="933" t="s">
        <v>814</v>
      </c>
      <c r="F23" s="935"/>
      <c r="G23" s="936">
        <v>424760</v>
      </c>
      <c r="H23" s="933" t="s">
        <v>251</v>
      </c>
      <c r="I23" s="937">
        <v>42628</v>
      </c>
      <c r="J23" s="937">
        <v>42725</v>
      </c>
      <c r="K23" s="933" t="s">
        <v>1233</v>
      </c>
      <c r="L23" s="938">
        <v>365900.4</v>
      </c>
      <c r="M23" s="938">
        <f t="shared" si="0"/>
        <v>402490.44000000006</v>
      </c>
      <c r="N23" s="937">
        <v>42817</v>
      </c>
      <c r="O23" s="937"/>
      <c r="P23" s="937">
        <v>42825</v>
      </c>
      <c r="Q23" s="834">
        <v>43175</v>
      </c>
      <c r="R23" s="905">
        <v>43550</v>
      </c>
      <c r="S23" s="1319">
        <v>43608</v>
      </c>
    </row>
    <row r="24" spans="1:19" ht="15" customHeight="1">
      <c r="A24" s="501" t="s">
        <v>1224</v>
      </c>
      <c r="B24" s="491" t="s">
        <v>69</v>
      </c>
      <c r="C24" s="491" t="s">
        <v>70</v>
      </c>
      <c r="D24" s="571" t="s">
        <v>1332</v>
      </c>
      <c r="E24" s="491" t="s">
        <v>814</v>
      </c>
      <c r="F24" s="572"/>
      <c r="G24" s="558">
        <v>377402.6</v>
      </c>
      <c r="H24" s="491" t="s">
        <v>251</v>
      </c>
      <c r="I24" s="537">
        <v>42628</v>
      </c>
      <c r="J24" s="537">
        <v>42725</v>
      </c>
      <c r="K24" s="491" t="s">
        <v>1233</v>
      </c>
      <c r="L24" s="536">
        <v>348734</v>
      </c>
      <c r="M24" s="536">
        <f t="shared" si="0"/>
        <v>383607.4</v>
      </c>
      <c r="N24" s="537">
        <v>42817</v>
      </c>
      <c r="O24" s="537"/>
      <c r="P24" s="537">
        <v>42825</v>
      </c>
      <c r="Q24" s="852">
        <v>43175</v>
      </c>
      <c r="R24" s="905">
        <v>43550</v>
      </c>
      <c r="S24" s="1319">
        <v>43608</v>
      </c>
    </row>
    <row r="25" spans="1:19" ht="15" customHeight="1">
      <c r="A25" s="501" t="s">
        <v>1224</v>
      </c>
      <c r="B25" s="491" t="s">
        <v>69</v>
      </c>
      <c r="C25" s="491" t="s">
        <v>70</v>
      </c>
      <c r="D25" s="571" t="s">
        <v>1333</v>
      </c>
      <c r="E25" s="491" t="s">
        <v>814</v>
      </c>
      <c r="F25" s="572"/>
      <c r="G25" s="558">
        <v>189388.16</v>
      </c>
      <c r="H25" s="491" t="s">
        <v>251</v>
      </c>
      <c r="I25" s="537">
        <v>42628</v>
      </c>
      <c r="J25" s="537">
        <v>42725</v>
      </c>
      <c r="K25" s="491" t="s">
        <v>1402</v>
      </c>
      <c r="L25" s="536">
        <v>159460.48000000001</v>
      </c>
      <c r="M25" s="536">
        <f t="shared" si="0"/>
        <v>175406.52800000002</v>
      </c>
      <c r="N25" s="537">
        <v>42810</v>
      </c>
      <c r="O25" s="537"/>
      <c r="P25" s="537">
        <v>42825</v>
      </c>
      <c r="Q25" s="852">
        <v>43175</v>
      </c>
      <c r="R25" s="905">
        <v>43550</v>
      </c>
      <c r="S25" s="1319">
        <v>43608</v>
      </c>
    </row>
    <row r="26" spans="1:19" ht="15" customHeight="1">
      <c r="A26" s="515" t="s">
        <v>1224</v>
      </c>
      <c r="B26" s="506" t="s">
        <v>69</v>
      </c>
      <c r="C26" s="506" t="s">
        <v>70</v>
      </c>
      <c r="D26" s="507" t="s">
        <v>1334</v>
      </c>
      <c r="E26" s="506" t="s">
        <v>814</v>
      </c>
      <c r="F26" s="508"/>
      <c r="G26" s="509">
        <v>394713.2</v>
      </c>
      <c r="H26" s="506" t="s">
        <v>251</v>
      </c>
      <c r="I26" s="510">
        <v>42628</v>
      </c>
      <c r="J26" s="510">
        <v>42725</v>
      </c>
      <c r="K26" s="514" t="s">
        <v>242</v>
      </c>
      <c r="L26" s="511"/>
      <c r="M26" s="511"/>
      <c r="N26" s="506"/>
      <c r="O26" s="506"/>
      <c r="P26" s="510">
        <v>42776</v>
      </c>
      <c r="Q26" s="521"/>
      <c r="R26" s="801"/>
    </row>
    <row r="27" spans="1:19" ht="15" customHeight="1">
      <c r="A27" s="515" t="s">
        <v>1224</v>
      </c>
      <c r="B27" s="506" t="s">
        <v>69</v>
      </c>
      <c r="C27" s="506" t="s">
        <v>70</v>
      </c>
      <c r="D27" s="507" t="s">
        <v>1335</v>
      </c>
      <c r="E27" s="506" t="s">
        <v>814</v>
      </c>
      <c r="F27" s="508"/>
      <c r="G27" s="509">
        <v>59064.6</v>
      </c>
      <c r="H27" s="506" t="s">
        <v>251</v>
      </c>
      <c r="I27" s="510">
        <v>42628</v>
      </c>
      <c r="J27" s="510">
        <v>42725</v>
      </c>
      <c r="K27" s="514" t="s">
        <v>242</v>
      </c>
      <c r="L27" s="511"/>
      <c r="M27" s="511"/>
      <c r="N27" s="506"/>
      <c r="O27" s="506"/>
      <c r="P27" s="510">
        <v>42776</v>
      </c>
      <c r="Q27" s="521"/>
      <c r="R27" s="801"/>
    </row>
    <row r="28" spans="1:19" ht="15" customHeight="1">
      <c r="A28" s="501" t="s">
        <v>1224</v>
      </c>
      <c r="B28" s="491" t="s">
        <v>69</v>
      </c>
      <c r="C28" s="491" t="s">
        <v>70</v>
      </c>
      <c r="D28" s="571" t="s">
        <v>1336</v>
      </c>
      <c r="E28" s="491" t="s">
        <v>814</v>
      </c>
      <c r="F28" s="572"/>
      <c r="G28" s="558">
        <v>74704.75</v>
      </c>
      <c r="H28" s="491" t="s">
        <v>251</v>
      </c>
      <c r="I28" s="537">
        <v>42628</v>
      </c>
      <c r="J28" s="537">
        <v>42725</v>
      </c>
      <c r="K28" s="491" t="s">
        <v>1233</v>
      </c>
      <c r="L28" s="536">
        <v>43111.199999999997</v>
      </c>
      <c r="M28" s="536">
        <f>L28*1.1</f>
        <v>47422.32</v>
      </c>
      <c r="N28" s="537">
        <v>42817</v>
      </c>
      <c r="O28" s="537"/>
      <c r="P28" s="537">
        <v>42825</v>
      </c>
      <c r="Q28" s="852">
        <v>43175</v>
      </c>
      <c r="R28" s="905">
        <v>43550</v>
      </c>
      <c r="S28" s="1319">
        <v>43608</v>
      </c>
    </row>
    <row r="29" spans="1:19" ht="15" customHeight="1">
      <c r="A29" s="501" t="s">
        <v>1224</v>
      </c>
      <c r="B29" s="491" t="s">
        <v>69</v>
      </c>
      <c r="C29" s="491" t="s">
        <v>70</v>
      </c>
      <c r="D29" s="571" t="s">
        <v>1337</v>
      </c>
      <c r="E29" s="491" t="s">
        <v>814</v>
      </c>
      <c r="F29" s="572"/>
      <c r="G29" s="558">
        <v>43588.92</v>
      </c>
      <c r="H29" s="491" t="s">
        <v>251</v>
      </c>
      <c r="I29" s="537">
        <v>42628</v>
      </c>
      <c r="J29" s="537">
        <v>42725</v>
      </c>
      <c r="K29" s="491" t="s">
        <v>576</v>
      </c>
      <c r="L29" s="536">
        <v>40743.74</v>
      </c>
      <c r="M29" s="536">
        <f>L29*1.1</f>
        <v>44818.114000000001</v>
      </c>
      <c r="N29" s="537">
        <v>42824</v>
      </c>
      <c r="O29" s="537"/>
      <c r="P29" s="537">
        <v>42825</v>
      </c>
      <c r="Q29" s="852">
        <v>43175</v>
      </c>
      <c r="R29" s="905">
        <v>43550</v>
      </c>
      <c r="S29" s="1319">
        <v>43608</v>
      </c>
    </row>
    <row r="30" spans="1:19" ht="15.75" customHeight="1" thickBot="1">
      <c r="A30" s="830" t="s">
        <v>1224</v>
      </c>
      <c r="B30" s="639" t="s">
        <v>69</v>
      </c>
      <c r="C30" s="639" t="s">
        <v>70</v>
      </c>
      <c r="D30" s="640" t="s">
        <v>1338</v>
      </c>
      <c r="E30" s="639" t="s">
        <v>814</v>
      </c>
      <c r="F30" s="641"/>
      <c r="G30" s="642">
        <v>117510.07</v>
      </c>
      <c r="H30" s="639" t="s">
        <v>251</v>
      </c>
      <c r="I30" s="643">
        <v>42628</v>
      </c>
      <c r="J30" s="643">
        <v>42725</v>
      </c>
      <c r="K30" s="639" t="s">
        <v>242</v>
      </c>
      <c r="L30" s="645"/>
      <c r="M30" s="645"/>
      <c r="N30" s="639"/>
      <c r="O30" s="639"/>
      <c r="P30" s="643">
        <v>42758</v>
      </c>
      <c r="Q30" s="832"/>
      <c r="R30" s="801"/>
    </row>
    <row r="31" spans="1:19" ht="15.75" customHeight="1" thickTop="1">
      <c r="A31" s="452" t="s">
        <v>1225</v>
      </c>
      <c r="B31" s="453" t="s">
        <v>69</v>
      </c>
      <c r="C31" s="453" t="s">
        <v>70</v>
      </c>
      <c r="D31" s="473" t="s">
        <v>1339</v>
      </c>
      <c r="E31" s="453" t="s">
        <v>814</v>
      </c>
      <c r="F31" s="454"/>
      <c r="G31" s="455">
        <v>7791989.4000000004</v>
      </c>
      <c r="H31" s="453" t="s">
        <v>251</v>
      </c>
      <c r="I31" s="474" t="s">
        <v>1350</v>
      </c>
      <c r="J31" s="474">
        <v>42744</v>
      </c>
      <c r="K31" s="453" t="s">
        <v>576</v>
      </c>
      <c r="L31" s="457">
        <v>7771842</v>
      </c>
      <c r="M31" s="457">
        <f>L31*1.1</f>
        <v>8549026.2000000011</v>
      </c>
      <c r="N31" s="474">
        <v>42824</v>
      </c>
      <c r="O31" s="474"/>
      <c r="P31" s="474">
        <v>42838</v>
      </c>
      <c r="Q31" s="575">
        <v>43175</v>
      </c>
      <c r="R31" s="905">
        <v>43550</v>
      </c>
      <c r="S31" s="1319">
        <v>43608</v>
      </c>
    </row>
    <row r="32" spans="1:19" ht="15" customHeight="1">
      <c r="A32" s="501" t="s">
        <v>1225</v>
      </c>
      <c r="B32" s="491" t="s">
        <v>69</v>
      </c>
      <c r="C32" s="491" t="s">
        <v>70</v>
      </c>
      <c r="D32" s="571" t="s">
        <v>1340</v>
      </c>
      <c r="E32" s="491" t="s">
        <v>814</v>
      </c>
      <c r="F32" s="572"/>
      <c r="G32" s="558">
        <v>427.86</v>
      </c>
      <c r="H32" s="491" t="s">
        <v>251</v>
      </c>
      <c r="I32" s="537" t="s">
        <v>1350</v>
      </c>
      <c r="J32" s="537">
        <v>42744</v>
      </c>
      <c r="K32" s="491" t="s">
        <v>1402</v>
      </c>
      <c r="L32" s="536">
        <v>428.28</v>
      </c>
      <c r="M32" s="536">
        <f>L32*1.1</f>
        <v>471.108</v>
      </c>
      <c r="N32" s="537">
        <v>42809</v>
      </c>
      <c r="O32" s="537"/>
      <c r="P32" s="537">
        <v>42838</v>
      </c>
      <c r="Q32" s="852">
        <v>43175</v>
      </c>
      <c r="R32" s="905">
        <v>43550</v>
      </c>
      <c r="S32" s="1319">
        <v>43608</v>
      </c>
    </row>
    <row r="33" spans="1:19" ht="15" customHeight="1">
      <c r="A33" s="515" t="s">
        <v>1225</v>
      </c>
      <c r="B33" s="506" t="s">
        <v>69</v>
      </c>
      <c r="C33" s="506" t="s">
        <v>70</v>
      </c>
      <c r="D33" s="507" t="s">
        <v>1341</v>
      </c>
      <c r="E33" s="506" t="s">
        <v>814</v>
      </c>
      <c r="F33" s="508"/>
      <c r="G33" s="509">
        <v>154680.66</v>
      </c>
      <c r="H33" s="506" t="s">
        <v>251</v>
      </c>
      <c r="I33" s="510" t="s">
        <v>1350</v>
      </c>
      <c r="J33" s="510">
        <v>42744</v>
      </c>
      <c r="K33" s="514" t="s">
        <v>242</v>
      </c>
      <c r="L33" s="511"/>
      <c r="M33" s="511"/>
      <c r="N33" s="506"/>
      <c r="O33" s="506"/>
      <c r="P33" s="510">
        <v>42776</v>
      </c>
      <c r="Q33" s="521"/>
      <c r="R33" s="801"/>
    </row>
    <row r="34" spans="1:19" ht="15" customHeight="1">
      <c r="A34" s="515" t="s">
        <v>1225</v>
      </c>
      <c r="B34" s="506" t="s">
        <v>69</v>
      </c>
      <c r="C34" s="506" t="s">
        <v>70</v>
      </c>
      <c r="D34" s="507" t="s">
        <v>1342</v>
      </c>
      <c r="E34" s="506" t="s">
        <v>814</v>
      </c>
      <c r="F34" s="508"/>
      <c r="G34" s="509">
        <v>125572.64</v>
      </c>
      <c r="H34" s="506" t="s">
        <v>251</v>
      </c>
      <c r="I34" s="510" t="s">
        <v>1350</v>
      </c>
      <c r="J34" s="510">
        <v>42744</v>
      </c>
      <c r="K34" s="514" t="s">
        <v>242</v>
      </c>
      <c r="L34" s="511"/>
      <c r="M34" s="511"/>
      <c r="N34" s="506"/>
      <c r="O34" s="506"/>
      <c r="P34" s="510">
        <v>42776</v>
      </c>
      <c r="Q34" s="521"/>
      <c r="R34" s="801"/>
    </row>
    <row r="35" spans="1:19" ht="15" customHeight="1">
      <c r="A35" s="515" t="s">
        <v>1225</v>
      </c>
      <c r="B35" s="506" t="s">
        <v>69</v>
      </c>
      <c r="C35" s="506" t="s">
        <v>70</v>
      </c>
      <c r="D35" s="507" t="s">
        <v>1343</v>
      </c>
      <c r="E35" s="506" t="s">
        <v>814</v>
      </c>
      <c r="F35" s="508"/>
      <c r="G35" s="509">
        <v>44000</v>
      </c>
      <c r="H35" s="506" t="s">
        <v>251</v>
      </c>
      <c r="I35" s="510" t="s">
        <v>1350</v>
      </c>
      <c r="J35" s="510">
        <v>42744</v>
      </c>
      <c r="K35" s="514" t="s">
        <v>242</v>
      </c>
      <c r="L35" s="511"/>
      <c r="M35" s="511"/>
      <c r="N35" s="506"/>
      <c r="O35" s="506"/>
      <c r="P35" s="510">
        <v>42760</v>
      </c>
      <c r="Q35" s="521"/>
      <c r="R35" s="801"/>
    </row>
    <row r="36" spans="1:19" ht="15" customHeight="1">
      <c r="A36" s="515" t="s">
        <v>1225</v>
      </c>
      <c r="B36" s="506" t="s">
        <v>69</v>
      </c>
      <c r="C36" s="506" t="s">
        <v>70</v>
      </c>
      <c r="D36" s="507" t="s">
        <v>1344</v>
      </c>
      <c r="E36" s="506" t="s">
        <v>814</v>
      </c>
      <c r="F36" s="508"/>
      <c r="G36" s="509">
        <v>8161.78</v>
      </c>
      <c r="H36" s="506" t="s">
        <v>251</v>
      </c>
      <c r="I36" s="510" t="s">
        <v>1350</v>
      </c>
      <c r="J36" s="510">
        <v>42744</v>
      </c>
      <c r="K36" s="514" t="s">
        <v>242</v>
      </c>
      <c r="L36" s="511"/>
      <c r="M36" s="511"/>
      <c r="N36" s="506"/>
      <c r="O36" s="506"/>
      <c r="P36" s="510">
        <v>42776</v>
      </c>
      <c r="Q36" s="521"/>
      <c r="R36" s="801"/>
    </row>
    <row r="37" spans="1:19" ht="15" customHeight="1">
      <c r="A37" s="515" t="s">
        <v>1225</v>
      </c>
      <c r="B37" s="506" t="s">
        <v>69</v>
      </c>
      <c r="C37" s="506" t="s">
        <v>70</v>
      </c>
      <c r="D37" s="507" t="s">
        <v>1345</v>
      </c>
      <c r="E37" s="506" t="s">
        <v>814</v>
      </c>
      <c r="F37" s="508"/>
      <c r="G37" s="509">
        <v>10120</v>
      </c>
      <c r="H37" s="506" t="s">
        <v>251</v>
      </c>
      <c r="I37" s="510" t="s">
        <v>1350</v>
      </c>
      <c r="J37" s="510">
        <v>42744</v>
      </c>
      <c r="K37" s="514" t="s">
        <v>242</v>
      </c>
      <c r="L37" s="511"/>
      <c r="M37" s="511"/>
      <c r="N37" s="506"/>
      <c r="O37" s="506"/>
      <c r="P37" s="510">
        <v>42760</v>
      </c>
      <c r="Q37" s="521"/>
      <c r="R37" s="801"/>
    </row>
    <row r="38" spans="1:19" ht="15" customHeight="1">
      <c r="A38" s="515" t="s">
        <v>1225</v>
      </c>
      <c r="B38" s="506" t="s">
        <v>69</v>
      </c>
      <c r="C38" s="506" t="s">
        <v>70</v>
      </c>
      <c r="D38" s="507" t="s">
        <v>1346</v>
      </c>
      <c r="E38" s="506" t="s">
        <v>814</v>
      </c>
      <c r="F38" s="508"/>
      <c r="G38" s="509">
        <v>112926</v>
      </c>
      <c r="H38" s="506" t="s">
        <v>251</v>
      </c>
      <c r="I38" s="510" t="s">
        <v>1350</v>
      </c>
      <c r="J38" s="510">
        <v>42744</v>
      </c>
      <c r="K38" s="514" t="s">
        <v>242</v>
      </c>
      <c r="L38" s="511"/>
      <c r="M38" s="511"/>
      <c r="N38" s="506"/>
      <c r="O38" s="506"/>
      <c r="P38" s="510">
        <v>42823</v>
      </c>
      <c r="Q38" s="521"/>
      <c r="R38" s="801"/>
    </row>
    <row r="39" spans="1:19" ht="15" customHeight="1">
      <c r="A39" s="515" t="s">
        <v>1225</v>
      </c>
      <c r="B39" s="506" t="s">
        <v>69</v>
      </c>
      <c r="C39" s="506" t="s">
        <v>70</v>
      </c>
      <c r="D39" s="507" t="s">
        <v>1347</v>
      </c>
      <c r="E39" s="506" t="s">
        <v>814</v>
      </c>
      <c r="F39" s="508"/>
      <c r="G39" s="509">
        <v>328860.98</v>
      </c>
      <c r="H39" s="506" t="s">
        <v>251</v>
      </c>
      <c r="I39" s="510" t="s">
        <v>1350</v>
      </c>
      <c r="J39" s="510">
        <v>42744</v>
      </c>
      <c r="K39" s="514" t="s">
        <v>242</v>
      </c>
      <c r="L39" s="511"/>
      <c r="M39" s="511"/>
      <c r="N39" s="506"/>
      <c r="O39" s="506"/>
      <c r="P39" s="510">
        <v>42776</v>
      </c>
      <c r="Q39" s="521"/>
      <c r="R39" s="801"/>
    </row>
    <row r="40" spans="1:19" ht="15" customHeight="1">
      <c r="A40" s="501" t="s">
        <v>1225</v>
      </c>
      <c r="B40" s="491" t="s">
        <v>69</v>
      </c>
      <c r="C40" s="491" t="s">
        <v>70</v>
      </c>
      <c r="D40" s="571" t="s">
        <v>1348</v>
      </c>
      <c r="E40" s="491" t="s">
        <v>814</v>
      </c>
      <c r="F40" s="572"/>
      <c r="G40" s="558">
        <v>1862631</v>
      </c>
      <c r="H40" s="491" t="s">
        <v>251</v>
      </c>
      <c r="I40" s="537" t="s">
        <v>1350</v>
      </c>
      <c r="J40" s="537">
        <v>42744</v>
      </c>
      <c r="K40" s="491" t="s">
        <v>576</v>
      </c>
      <c r="L40" s="536">
        <v>4270834.4000000004</v>
      </c>
      <c r="M40" s="536">
        <f>L40*1.1</f>
        <v>4697917.8400000008</v>
      </c>
      <c r="N40" s="537">
        <v>42824</v>
      </c>
      <c r="O40" s="537"/>
      <c r="P40" s="537">
        <v>42838</v>
      </c>
      <c r="Q40" s="852">
        <v>43175</v>
      </c>
      <c r="R40" s="905">
        <v>43550</v>
      </c>
      <c r="S40" s="1319">
        <v>43608</v>
      </c>
    </row>
    <row r="41" spans="1:19" ht="15.75" customHeight="1" thickBot="1">
      <c r="A41" s="446" t="s">
        <v>1225</v>
      </c>
      <c r="B41" s="447" t="s">
        <v>69</v>
      </c>
      <c r="C41" s="447" t="s">
        <v>70</v>
      </c>
      <c r="D41" s="476" t="s">
        <v>1349</v>
      </c>
      <c r="E41" s="447" t="s">
        <v>814</v>
      </c>
      <c r="F41" s="448"/>
      <c r="G41" s="449">
        <v>2349480</v>
      </c>
      <c r="H41" s="447" t="s">
        <v>251</v>
      </c>
      <c r="I41" s="477">
        <v>42628</v>
      </c>
      <c r="J41" s="477">
        <v>42744</v>
      </c>
      <c r="K41" s="447" t="s">
        <v>1564</v>
      </c>
      <c r="L41" s="450">
        <v>2332698</v>
      </c>
      <c r="M41" s="450">
        <f>L41*1.1</f>
        <v>2565967.8000000003</v>
      </c>
      <c r="N41" s="477">
        <v>42835</v>
      </c>
      <c r="O41" s="1380"/>
      <c r="P41" s="477">
        <v>42838</v>
      </c>
      <c r="Q41" s="868">
        <v>43175</v>
      </c>
      <c r="R41" s="905">
        <v>43550</v>
      </c>
      <c r="S41" s="1319">
        <v>43608</v>
      </c>
    </row>
    <row r="42" spans="1:19" ht="15.75" customHeight="1" thickTop="1">
      <c r="A42" s="452" t="s">
        <v>1247</v>
      </c>
      <c r="B42" s="453" t="s">
        <v>1248</v>
      </c>
      <c r="C42" s="453" t="s">
        <v>1249</v>
      </c>
      <c r="D42" s="473" t="s">
        <v>1556</v>
      </c>
      <c r="E42" s="453" t="s">
        <v>1252</v>
      </c>
      <c r="F42" s="454"/>
      <c r="G42" s="455">
        <v>12000000</v>
      </c>
      <c r="H42" s="453" t="s">
        <v>251</v>
      </c>
      <c r="I42" s="474">
        <v>42606</v>
      </c>
      <c r="J42" s="474">
        <v>42724</v>
      </c>
      <c r="K42" s="453" t="s">
        <v>1561</v>
      </c>
      <c r="L42" s="457">
        <v>8282512</v>
      </c>
      <c r="M42" s="457">
        <v>8282512</v>
      </c>
      <c r="N42" s="474">
        <v>42879</v>
      </c>
      <c r="O42" s="474"/>
      <c r="P42" s="474">
        <v>42885</v>
      </c>
      <c r="Q42" s="575">
        <v>43913</v>
      </c>
      <c r="R42" s="801"/>
    </row>
    <row r="43" spans="1:19" ht="15" customHeight="1">
      <c r="A43" s="501" t="s">
        <v>1247</v>
      </c>
      <c r="B43" s="491" t="s">
        <v>1248</v>
      </c>
      <c r="C43" s="491" t="s">
        <v>1249</v>
      </c>
      <c r="D43" s="571" t="s">
        <v>1558</v>
      </c>
      <c r="E43" s="491" t="s">
        <v>1557</v>
      </c>
      <c r="F43" s="572"/>
      <c r="G43" s="558">
        <v>4000000</v>
      </c>
      <c r="H43" s="491" t="s">
        <v>251</v>
      </c>
      <c r="I43" s="537">
        <v>42606</v>
      </c>
      <c r="J43" s="537">
        <v>42724</v>
      </c>
      <c r="K43" s="491" t="s">
        <v>1561</v>
      </c>
      <c r="L43" s="536">
        <v>509044</v>
      </c>
      <c r="M43" s="536">
        <v>509044</v>
      </c>
      <c r="N43" s="537">
        <v>42879</v>
      </c>
      <c r="O43" s="537"/>
      <c r="P43" s="537">
        <v>42885</v>
      </c>
      <c r="Q43" s="852">
        <v>44109</v>
      </c>
      <c r="R43" s="801"/>
    </row>
    <row r="44" spans="1:19" ht="15.75" customHeight="1" thickBot="1">
      <c r="A44" s="518" t="s">
        <v>1247</v>
      </c>
      <c r="B44" s="483" t="s">
        <v>1248</v>
      </c>
      <c r="C44" s="483" t="s">
        <v>1249</v>
      </c>
      <c r="D44" s="484" t="s">
        <v>1559</v>
      </c>
      <c r="E44" s="483" t="s">
        <v>1560</v>
      </c>
      <c r="F44" s="485"/>
      <c r="G44" s="486">
        <v>8000000</v>
      </c>
      <c r="H44" s="483" t="s">
        <v>251</v>
      </c>
      <c r="I44" s="487">
        <v>42606</v>
      </c>
      <c r="J44" s="487">
        <v>42724</v>
      </c>
      <c r="K44" s="539" t="s">
        <v>242</v>
      </c>
      <c r="L44" s="488"/>
      <c r="M44" s="488"/>
      <c r="N44" s="483"/>
      <c r="O44" s="1410"/>
      <c r="P44" s="487">
        <v>42885</v>
      </c>
      <c r="Q44" s="522"/>
      <c r="R44" s="801"/>
    </row>
    <row r="45" spans="1:19" ht="16.5" customHeight="1" thickTop="1" thickBot="1">
      <c r="A45" s="667" t="s">
        <v>1259</v>
      </c>
      <c r="B45" s="232" t="s">
        <v>14</v>
      </c>
      <c r="C45" s="232" t="s">
        <v>13</v>
      </c>
      <c r="D45" s="274" t="s">
        <v>1260</v>
      </c>
      <c r="E45" s="232" t="s">
        <v>563</v>
      </c>
      <c r="F45" s="496" t="s">
        <v>763</v>
      </c>
      <c r="G45" s="497">
        <v>3245000</v>
      </c>
      <c r="H45" s="232" t="s">
        <v>235</v>
      </c>
      <c r="I45" s="498">
        <v>42606</v>
      </c>
      <c r="J45" s="498">
        <v>42667</v>
      </c>
      <c r="K45" s="232" t="s">
        <v>1074</v>
      </c>
      <c r="L45" s="499">
        <v>3349098</v>
      </c>
      <c r="M45" s="499">
        <v>4052408.58</v>
      </c>
      <c r="N45" s="498">
        <v>42762</v>
      </c>
      <c r="O45" s="498"/>
      <c r="P45" s="498">
        <v>42766</v>
      </c>
      <c r="Q45" s="668">
        <v>42849</v>
      </c>
      <c r="R45" s="801"/>
    </row>
    <row r="46" spans="1:19" ht="15.75" customHeight="1" thickTop="1">
      <c r="A46" s="452" t="s">
        <v>1355</v>
      </c>
      <c r="B46" s="453" t="s">
        <v>69</v>
      </c>
      <c r="C46" s="453" t="s">
        <v>70</v>
      </c>
      <c r="D46" s="939" t="s">
        <v>1492</v>
      </c>
      <c r="E46" s="453" t="s">
        <v>816</v>
      </c>
      <c r="F46" s="454"/>
      <c r="G46" s="455">
        <v>402104.17</v>
      </c>
      <c r="H46" s="453" t="s">
        <v>251</v>
      </c>
      <c r="I46" s="474">
        <v>42705</v>
      </c>
      <c r="J46" s="474">
        <v>42745</v>
      </c>
      <c r="K46" s="453" t="s">
        <v>1233</v>
      </c>
      <c r="L46" s="457">
        <v>398812.68</v>
      </c>
      <c r="M46" s="457">
        <f t="shared" ref="M46:M56" si="1">L46*1.1</f>
        <v>438693.94800000003</v>
      </c>
      <c r="N46" s="474">
        <v>42817</v>
      </c>
      <c r="O46" s="474"/>
      <c r="P46" s="474">
        <v>42821</v>
      </c>
      <c r="Q46" s="575">
        <v>43175</v>
      </c>
      <c r="R46" s="905">
        <v>43244</v>
      </c>
    </row>
    <row r="47" spans="1:19" ht="15" customHeight="1">
      <c r="A47" s="501" t="s">
        <v>1355</v>
      </c>
      <c r="B47" s="491" t="s">
        <v>69</v>
      </c>
      <c r="C47" s="491" t="s">
        <v>70</v>
      </c>
      <c r="D47" s="903" t="s">
        <v>1493</v>
      </c>
      <c r="E47" s="491" t="s">
        <v>816</v>
      </c>
      <c r="F47" s="572"/>
      <c r="G47" s="558">
        <v>254142.16</v>
      </c>
      <c r="H47" s="491" t="s">
        <v>251</v>
      </c>
      <c r="I47" s="537">
        <v>42705</v>
      </c>
      <c r="J47" s="537">
        <v>42745</v>
      </c>
      <c r="K47" s="491" t="s">
        <v>1233</v>
      </c>
      <c r="L47" s="536">
        <v>253353.16</v>
      </c>
      <c r="M47" s="536">
        <f t="shared" si="1"/>
        <v>278688.47600000002</v>
      </c>
      <c r="N47" s="537">
        <v>42817</v>
      </c>
      <c r="O47" s="537"/>
      <c r="P47" s="537">
        <v>42821</v>
      </c>
      <c r="Q47" s="852">
        <v>43175</v>
      </c>
      <c r="R47" s="905">
        <v>43244</v>
      </c>
    </row>
    <row r="48" spans="1:19" ht="15" customHeight="1">
      <c r="A48" s="501" t="s">
        <v>1355</v>
      </c>
      <c r="B48" s="491" t="s">
        <v>69</v>
      </c>
      <c r="C48" s="491" t="s">
        <v>70</v>
      </c>
      <c r="D48" s="903" t="s">
        <v>1494</v>
      </c>
      <c r="E48" s="491" t="s">
        <v>816</v>
      </c>
      <c r="F48" s="572"/>
      <c r="G48" s="558">
        <v>486689.96</v>
      </c>
      <c r="H48" s="491" t="s">
        <v>251</v>
      </c>
      <c r="I48" s="537">
        <v>42705</v>
      </c>
      <c r="J48" s="537">
        <v>42745</v>
      </c>
      <c r="K48" s="491" t="s">
        <v>1233</v>
      </c>
      <c r="L48" s="536">
        <v>210465.94</v>
      </c>
      <c r="M48" s="536">
        <f t="shared" si="1"/>
        <v>231512.53400000001</v>
      </c>
      <c r="N48" s="537">
        <v>42817</v>
      </c>
      <c r="O48" s="537"/>
      <c r="P48" s="537">
        <v>42821</v>
      </c>
      <c r="Q48" s="852">
        <v>43175</v>
      </c>
      <c r="R48" s="905">
        <v>43244</v>
      </c>
    </row>
    <row r="49" spans="1:19" s="857" customFormat="1" ht="15" customHeight="1">
      <c r="A49" s="515" t="s">
        <v>1355</v>
      </c>
      <c r="B49" s="506" t="s">
        <v>69</v>
      </c>
      <c r="C49" s="506" t="s">
        <v>70</v>
      </c>
      <c r="D49" s="873" t="s">
        <v>1596</v>
      </c>
      <c r="E49" s="506" t="s">
        <v>816</v>
      </c>
      <c r="F49" s="508"/>
      <c r="G49" s="509">
        <v>4892335</v>
      </c>
      <c r="H49" s="506" t="s">
        <v>251</v>
      </c>
      <c r="I49" s="510">
        <v>42705</v>
      </c>
      <c r="J49" s="510">
        <v>42745</v>
      </c>
      <c r="K49" s="514" t="s">
        <v>242</v>
      </c>
      <c r="L49" s="511"/>
      <c r="M49" s="511"/>
      <c r="N49" s="506"/>
      <c r="O49" s="506"/>
      <c r="P49" s="510">
        <v>42766</v>
      </c>
      <c r="Q49" s="521"/>
      <c r="R49" s="801"/>
      <c r="S49" s="802"/>
    </row>
    <row r="50" spans="1:19" ht="15" customHeight="1">
      <c r="A50" s="501" t="s">
        <v>1355</v>
      </c>
      <c r="B50" s="491" t="s">
        <v>69</v>
      </c>
      <c r="C50" s="491" t="s">
        <v>70</v>
      </c>
      <c r="D50" s="903" t="s">
        <v>1594</v>
      </c>
      <c r="E50" s="491" t="s">
        <v>816</v>
      </c>
      <c r="F50" s="572"/>
      <c r="G50" s="558">
        <v>27677.68</v>
      </c>
      <c r="H50" s="491" t="s">
        <v>251</v>
      </c>
      <c r="I50" s="537">
        <v>42705</v>
      </c>
      <c r="J50" s="537">
        <v>42745</v>
      </c>
      <c r="K50" s="491" t="s">
        <v>1402</v>
      </c>
      <c r="L50" s="536">
        <v>27633.599999999999</v>
      </c>
      <c r="M50" s="536">
        <f t="shared" si="1"/>
        <v>30396.959999999999</v>
      </c>
      <c r="N50" s="537">
        <v>42809</v>
      </c>
      <c r="O50" s="537"/>
      <c r="P50" s="537">
        <v>42821</v>
      </c>
      <c r="Q50" s="852">
        <v>43175</v>
      </c>
      <c r="R50" s="905">
        <v>43244</v>
      </c>
    </row>
    <row r="51" spans="1:19" ht="15.75" customHeight="1" thickBot="1">
      <c r="A51" s="446" t="s">
        <v>1355</v>
      </c>
      <c r="B51" s="447" t="s">
        <v>69</v>
      </c>
      <c r="C51" s="447" t="s">
        <v>70</v>
      </c>
      <c r="D51" s="940" t="s">
        <v>1595</v>
      </c>
      <c r="E51" s="447" t="s">
        <v>816</v>
      </c>
      <c r="F51" s="448"/>
      <c r="G51" s="449">
        <v>205112.5</v>
      </c>
      <c r="H51" s="447" t="s">
        <v>251</v>
      </c>
      <c r="I51" s="477">
        <v>42705</v>
      </c>
      <c r="J51" s="477">
        <v>42745</v>
      </c>
      <c r="K51" s="447" t="s">
        <v>1233</v>
      </c>
      <c r="L51" s="450">
        <v>204462.5</v>
      </c>
      <c r="M51" s="450">
        <f t="shared" si="1"/>
        <v>224908.75000000003</v>
      </c>
      <c r="N51" s="477">
        <v>42817</v>
      </c>
      <c r="O51" s="1380"/>
      <c r="P51" s="477">
        <v>42821</v>
      </c>
      <c r="Q51" s="868">
        <v>43175</v>
      </c>
      <c r="R51" s="905">
        <v>43244</v>
      </c>
    </row>
    <row r="52" spans="1:19" ht="15.75" customHeight="1" thickTop="1">
      <c r="A52" s="660" t="s">
        <v>1356</v>
      </c>
      <c r="B52" s="930" t="s">
        <v>69</v>
      </c>
      <c r="C52" s="930" t="s">
        <v>70</v>
      </c>
      <c r="D52" s="567" t="s">
        <v>1583</v>
      </c>
      <c r="E52" s="930" t="s">
        <v>815</v>
      </c>
      <c r="F52" s="419"/>
      <c r="G52" s="127">
        <v>273680</v>
      </c>
      <c r="H52" s="930" t="s">
        <v>251</v>
      </c>
      <c r="I52" s="365">
        <v>42705</v>
      </c>
      <c r="J52" s="365">
        <v>42746</v>
      </c>
      <c r="K52" s="930" t="s">
        <v>1564</v>
      </c>
      <c r="L52" s="364">
        <v>256136</v>
      </c>
      <c r="M52" s="364">
        <f t="shared" si="1"/>
        <v>281749.60000000003</v>
      </c>
      <c r="N52" s="365">
        <v>42809</v>
      </c>
      <c r="O52" s="365">
        <v>43538</v>
      </c>
      <c r="P52" s="365">
        <v>42829</v>
      </c>
      <c r="Q52" s="834">
        <v>43175</v>
      </c>
      <c r="R52" s="905">
        <v>43550</v>
      </c>
      <c r="S52" s="1319">
        <v>43608</v>
      </c>
    </row>
    <row r="53" spans="1:19" ht="15" customHeight="1">
      <c r="A53" s="501" t="s">
        <v>1356</v>
      </c>
      <c r="B53" s="491" t="s">
        <v>69</v>
      </c>
      <c r="C53" s="491" t="s">
        <v>70</v>
      </c>
      <c r="D53" s="903" t="s">
        <v>1584</v>
      </c>
      <c r="E53" s="491" t="s">
        <v>815</v>
      </c>
      <c r="F53" s="572"/>
      <c r="G53" s="558">
        <v>52571.199999999997</v>
      </c>
      <c r="H53" s="491" t="s">
        <v>251</v>
      </c>
      <c r="I53" s="537">
        <v>42705</v>
      </c>
      <c r="J53" s="537">
        <v>42746</v>
      </c>
      <c r="K53" s="491" t="s">
        <v>1233</v>
      </c>
      <c r="L53" s="536">
        <v>50860.92</v>
      </c>
      <c r="M53" s="536">
        <f t="shared" si="1"/>
        <v>55947.012000000002</v>
      </c>
      <c r="N53" s="537">
        <v>42817</v>
      </c>
      <c r="O53" s="537">
        <v>43546</v>
      </c>
      <c r="P53" s="537">
        <v>42829</v>
      </c>
      <c r="Q53" s="852">
        <v>43175</v>
      </c>
      <c r="R53" s="905">
        <v>43550</v>
      </c>
      <c r="S53" s="1319">
        <v>43608</v>
      </c>
    </row>
    <row r="54" spans="1:19" ht="15" customHeight="1">
      <c r="A54" s="501" t="s">
        <v>1356</v>
      </c>
      <c r="B54" s="491" t="s">
        <v>69</v>
      </c>
      <c r="C54" s="491" t="s">
        <v>70</v>
      </c>
      <c r="D54" s="903" t="s">
        <v>1585</v>
      </c>
      <c r="E54" s="491" t="s">
        <v>815</v>
      </c>
      <c r="F54" s="572"/>
      <c r="G54" s="558">
        <v>1673000</v>
      </c>
      <c r="H54" s="491" t="s">
        <v>251</v>
      </c>
      <c r="I54" s="537">
        <v>42705</v>
      </c>
      <c r="J54" s="537">
        <v>42746</v>
      </c>
      <c r="K54" s="491" t="s">
        <v>576</v>
      </c>
      <c r="L54" s="536">
        <v>665854</v>
      </c>
      <c r="M54" s="536">
        <f t="shared" si="1"/>
        <v>732439.4</v>
      </c>
      <c r="N54" s="537">
        <v>42824</v>
      </c>
      <c r="O54" s="537">
        <v>43553</v>
      </c>
      <c r="P54" s="537">
        <v>42829</v>
      </c>
      <c r="Q54" s="852">
        <v>43175</v>
      </c>
      <c r="R54" s="905">
        <v>43550</v>
      </c>
      <c r="S54" s="1319">
        <v>43608</v>
      </c>
    </row>
    <row r="55" spans="1:19" ht="15.75" customHeight="1" thickBot="1">
      <c r="A55" s="629" t="s">
        <v>1356</v>
      </c>
      <c r="B55" s="411" t="s">
        <v>69</v>
      </c>
      <c r="C55" s="413" t="s">
        <v>70</v>
      </c>
      <c r="D55" s="917" t="s">
        <v>1586</v>
      </c>
      <c r="E55" s="413" t="s">
        <v>815</v>
      </c>
      <c r="F55" s="616"/>
      <c r="G55" s="617">
        <v>6615485.8200000003</v>
      </c>
      <c r="H55" s="413" t="s">
        <v>251</v>
      </c>
      <c r="I55" s="618">
        <v>42705</v>
      </c>
      <c r="J55" s="618">
        <v>42746</v>
      </c>
      <c r="K55" s="413" t="s">
        <v>1646</v>
      </c>
      <c r="L55" s="620">
        <v>6599837.4199999999</v>
      </c>
      <c r="M55" s="620">
        <f t="shared" si="1"/>
        <v>7259821.1620000005</v>
      </c>
      <c r="N55" s="618">
        <v>42809</v>
      </c>
      <c r="O55" s="618">
        <v>43538</v>
      </c>
      <c r="P55" s="618">
        <v>42829</v>
      </c>
      <c r="Q55" s="637">
        <v>43175</v>
      </c>
      <c r="R55" s="905">
        <v>43550</v>
      </c>
      <c r="S55" s="1319">
        <v>43608</v>
      </c>
    </row>
    <row r="56" spans="1:19" ht="15.75" customHeight="1" thickTop="1">
      <c r="A56" s="941" t="s">
        <v>1357</v>
      </c>
      <c r="B56" s="516" t="s">
        <v>69</v>
      </c>
      <c r="C56" s="516" t="s">
        <v>70</v>
      </c>
      <c r="D56" s="942" t="s">
        <v>1737</v>
      </c>
      <c r="E56" s="943" t="s">
        <v>816</v>
      </c>
      <c r="F56" s="944"/>
      <c r="G56" s="945">
        <v>384458.22</v>
      </c>
      <c r="H56" s="943" t="s">
        <v>251</v>
      </c>
      <c r="I56" s="456">
        <v>42709</v>
      </c>
      <c r="J56" s="456">
        <v>42747</v>
      </c>
      <c r="K56" s="453" t="s">
        <v>1233</v>
      </c>
      <c r="L56" s="946">
        <v>262567.14</v>
      </c>
      <c r="M56" s="946">
        <f t="shared" si="1"/>
        <v>288823.85400000005</v>
      </c>
      <c r="N56" s="456">
        <v>42817</v>
      </c>
      <c r="O56" s="456"/>
      <c r="P56" s="456">
        <v>42828</v>
      </c>
      <c r="Q56" s="905">
        <v>43175</v>
      </c>
      <c r="R56" s="905">
        <v>43244</v>
      </c>
    </row>
    <row r="57" spans="1:19" ht="15" customHeight="1">
      <c r="A57" s="858" t="s">
        <v>1357</v>
      </c>
      <c r="B57" s="859" t="s">
        <v>69</v>
      </c>
      <c r="C57" s="859" t="s">
        <v>70</v>
      </c>
      <c r="D57" s="860" t="s">
        <v>1738</v>
      </c>
      <c r="E57" s="861" t="s">
        <v>816</v>
      </c>
      <c r="F57" s="862"/>
      <c r="G57" s="863">
        <v>750337.68</v>
      </c>
      <c r="H57" s="861" t="s">
        <v>251</v>
      </c>
      <c r="I57" s="864">
        <v>42709</v>
      </c>
      <c r="J57" s="864">
        <v>42747</v>
      </c>
      <c r="K57" s="506" t="s">
        <v>242</v>
      </c>
      <c r="L57" s="865"/>
      <c r="M57" s="865"/>
      <c r="N57" s="861"/>
      <c r="O57" s="861"/>
      <c r="P57" s="864">
        <v>42767</v>
      </c>
      <c r="Q57" s="872"/>
      <c r="R57" s="1080"/>
    </row>
    <row r="58" spans="1:19" ht="15" customHeight="1">
      <c r="A58" s="918" t="s">
        <v>1357</v>
      </c>
      <c r="B58" s="919" t="s">
        <v>69</v>
      </c>
      <c r="C58" s="919" t="s">
        <v>70</v>
      </c>
      <c r="D58" s="920" t="s">
        <v>1739</v>
      </c>
      <c r="E58" s="777" t="s">
        <v>816</v>
      </c>
      <c r="F58" s="921"/>
      <c r="G58" s="922">
        <v>304720.8</v>
      </c>
      <c r="H58" s="777" t="s">
        <v>251</v>
      </c>
      <c r="I58" s="716">
        <v>42709</v>
      </c>
      <c r="J58" s="716">
        <v>42747</v>
      </c>
      <c r="K58" s="491" t="s">
        <v>1233</v>
      </c>
      <c r="L58" s="923">
        <v>304114.14</v>
      </c>
      <c r="M58" s="923">
        <f>L58*1.1</f>
        <v>334525.55400000006</v>
      </c>
      <c r="N58" s="716">
        <v>42817</v>
      </c>
      <c r="O58" s="716"/>
      <c r="P58" s="716">
        <v>42828</v>
      </c>
      <c r="Q58" s="905">
        <v>43175</v>
      </c>
      <c r="R58" s="905">
        <v>43244</v>
      </c>
    </row>
    <row r="59" spans="1:19" ht="15" customHeight="1">
      <c r="A59" s="858" t="s">
        <v>1357</v>
      </c>
      <c r="B59" s="859" t="s">
        <v>69</v>
      </c>
      <c r="C59" s="859" t="s">
        <v>70</v>
      </c>
      <c r="D59" s="860" t="s">
        <v>1740</v>
      </c>
      <c r="E59" s="861" t="s">
        <v>816</v>
      </c>
      <c r="F59" s="862"/>
      <c r="G59" s="863">
        <v>1668975</v>
      </c>
      <c r="H59" s="861" t="s">
        <v>251</v>
      </c>
      <c r="I59" s="864">
        <v>42709</v>
      </c>
      <c r="J59" s="864">
        <v>42747</v>
      </c>
      <c r="K59" s="506" t="s">
        <v>242</v>
      </c>
      <c r="L59" s="865"/>
      <c r="M59" s="865"/>
      <c r="N59" s="861"/>
      <c r="O59" s="861"/>
      <c r="P59" s="864">
        <v>42767</v>
      </c>
      <c r="Q59" s="874"/>
      <c r="R59" s="1080"/>
    </row>
    <row r="60" spans="1:19" ht="15" customHeight="1">
      <c r="A60" s="918" t="s">
        <v>1357</v>
      </c>
      <c r="B60" s="919" t="s">
        <v>69</v>
      </c>
      <c r="C60" s="919" t="s">
        <v>70</v>
      </c>
      <c r="D60" s="920" t="s">
        <v>1741</v>
      </c>
      <c r="E60" s="777" t="s">
        <v>816</v>
      </c>
      <c r="F60" s="921"/>
      <c r="G60" s="922">
        <v>207321.45</v>
      </c>
      <c r="H60" s="777" t="s">
        <v>251</v>
      </c>
      <c r="I60" s="716">
        <v>42709</v>
      </c>
      <c r="J60" s="716">
        <v>42747</v>
      </c>
      <c r="K60" s="491" t="s">
        <v>1402</v>
      </c>
      <c r="L60" s="923">
        <v>165642.04999999999</v>
      </c>
      <c r="M60" s="923">
        <f>L60*1.1</f>
        <v>182206.255</v>
      </c>
      <c r="N60" s="716">
        <v>42809</v>
      </c>
      <c r="O60" s="716"/>
      <c r="P60" s="716">
        <v>42828</v>
      </c>
      <c r="Q60" s="905">
        <v>43175</v>
      </c>
      <c r="R60" s="905">
        <v>43244</v>
      </c>
    </row>
    <row r="61" spans="1:19" ht="15" customHeight="1">
      <c r="A61" s="918" t="s">
        <v>1357</v>
      </c>
      <c r="B61" s="919" t="s">
        <v>69</v>
      </c>
      <c r="C61" s="919" t="s">
        <v>70</v>
      </c>
      <c r="D61" s="920" t="s">
        <v>1742</v>
      </c>
      <c r="E61" s="777" t="s">
        <v>816</v>
      </c>
      <c r="F61" s="921"/>
      <c r="G61" s="922">
        <v>71857.649999999994</v>
      </c>
      <c r="H61" s="491" t="s">
        <v>251</v>
      </c>
      <c r="I61" s="716">
        <v>42709</v>
      </c>
      <c r="J61" s="716">
        <v>42747</v>
      </c>
      <c r="K61" s="491" t="s">
        <v>1233</v>
      </c>
      <c r="L61" s="923">
        <v>71622.880000000005</v>
      </c>
      <c r="M61" s="923">
        <f>L61*1.1</f>
        <v>78785.168000000005</v>
      </c>
      <c r="N61" s="716">
        <v>42817</v>
      </c>
      <c r="O61" s="716"/>
      <c r="P61" s="716">
        <v>42828</v>
      </c>
      <c r="Q61" s="905">
        <v>43175</v>
      </c>
      <c r="R61" s="905">
        <v>43244</v>
      </c>
    </row>
    <row r="62" spans="1:19" ht="15" customHeight="1">
      <c r="A62" s="918" t="s">
        <v>1357</v>
      </c>
      <c r="B62" s="919" t="s">
        <v>69</v>
      </c>
      <c r="C62" s="919" t="s">
        <v>70</v>
      </c>
      <c r="D62" s="920" t="s">
        <v>1743</v>
      </c>
      <c r="E62" s="777" t="s">
        <v>816</v>
      </c>
      <c r="F62" s="921"/>
      <c r="G62" s="922">
        <v>1381911.23</v>
      </c>
      <c r="H62" s="777" t="s">
        <v>251</v>
      </c>
      <c r="I62" s="716">
        <v>42709</v>
      </c>
      <c r="J62" s="716">
        <v>42747</v>
      </c>
      <c r="K62" s="491" t="s">
        <v>1318</v>
      </c>
      <c r="L62" s="923">
        <v>1381894.3</v>
      </c>
      <c r="M62" s="923">
        <f>L62*1.1</f>
        <v>1520083.7300000002</v>
      </c>
      <c r="N62" s="716">
        <v>42809</v>
      </c>
      <c r="O62" s="716"/>
      <c r="P62" s="716">
        <v>42828</v>
      </c>
      <c r="Q62" s="905">
        <v>43175</v>
      </c>
      <c r="R62" s="905">
        <v>43244</v>
      </c>
    </row>
    <row r="63" spans="1:19" ht="15" customHeight="1">
      <c r="A63" s="858" t="s">
        <v>1357</v>
      </c>
      <c r="B63" s="859" t="s">
        <v>69</v>
      </c>
      <c r="C63" s="859" t="s">
        <v>70</v>
      </c>
      <c r="D63" s="860" t="s">
        <v>1744</v>
      </c>
      <c r="E63" s="861" t="s">
        <v>816</v>
      </c>
      <c r="F63" s="862"/>
      <c r="G63" s="863">
        <v>1838198.4</v>
      </c>
      <c r="H63" s="861" t="s">
        <v>251</v>
      </c>
      <c r="I63" s="864">
        <v>42709</v>
      </c>
      <c r="J63" s="864">
        <v>42747</v>
      </c>
      <c r="K63" s="506" t="s">
        <v>242</v>
      </c>
      <c r="L63" s="865"/>
      <c r="M63" s="865"/>
      <c r="N63" s="861"/>
      <c r="O63" s="861"/>
      <c r="P63" s="864">
        <v>42767</v>
      </c>
      <c r="Q63" s="874"/>
      <c r="R63" s="1080"/>
    </row>
    <row r="64" spans="1:19" ht="15" customHeight="1">
      <c r="A64" s="918" t="s">
        <v>1357</v>
      </c>
      <c r="B64" s="919" t="s">
        <v>69</v>
      </c>
      <c r="C64" s="919" t="s">
        <v>70</v>
      </c>
      <c r="D64" s="920" t="s">
        <v>1745</v>
      </c>
      <c r="E64" s="777" t="s">
        <v>816</v>
      </c>
      <c r="F64" s="921"/>
      <c r="G64" s="922">
        <v>111393.24</v>
      </c>
      <c r="H64" s="777" t="s">
        <v>251</v>
      </c>
      <c r="I64" s="716">
        <v>42709</v>
      </c>
      <c r="J64" s="716">
        <v>42747</v>
      </c>
      <c r="K64" s="491" t="s">
        <v>576</v>
      </c>
      <c r="L64" s="923">
        <v>111393.24</v>
      </c>
      <c r="M64" s="923">
        <f>L64*1.1</f>
        <v>122532.56400000001</v>
      </c>
      <c r="N64" s="716">
        <v>42824</v>
      </c>
      <c r="O64" s="716"/>
      <c r="P64" s="716">
        <v>42828</v>
      </c>
      <c r="Q64" s="905">
        <v>43175</v>
      </c>
      <c r="R64" s="905">
        <v>43244</v>
      </c>
    </row>
    <row r="65" spans="1:19" ht="15.75" customHeight="1" thickBot="1">
      <c r="A65" s="737" t="s">
        <v>1357</v>
      </c>
      <c r="B65" s="731" t="s">
        <v>69</v>
      </c>
      <c r="C65" s="731" t="s">
        <v>70</v>
      </c>
      <c r="D65" s="978" t="s">
        <v>1746</v>
      </c>
      <c r="E65" s="979" t="s">
        <v>816</v>
      </c>
      <c r="F65" s="690"/>
      <c r="G65" s="980">
        <v>1252369.6000000001</v>
      </c>
      <c r="H65" s="979" t="s">
        <v>251</v>
      </c>
      <c r="I65" s="460">
        <v>42709</v>
      </c>
      <c r="J65" s="460">
        <v>42747</v>
      </c>
      <c r="K65" s="447" t="s">
        <v>576</v>
      </c>
      <c r="L65" s="775">
        <v>1252369.48</v>
      </c>
      <c r="M65" s="775">
        <f>L65*1.1</f>
        <v>1377606.4280000001</v>
      </c>
      <c r="N65" s="460">
        <v>42824</v>
      </c>
      <c r="O65" s="1497"/>
      <c r="P65" s="460">
        <v>42828</v>
      </c>
      <c r="Q65" s="905">
        <v>43175</v>
      </c>
      <c r="R65" s="905">
        <v>43244</v>
      </c>
    </row>
    <row r="66" spans="1:19" ht="15.75" customHeight="1" thickTop="1">
      <c r="A66" s="660" t="s">
        <v>1351</v>
      </c>
      <c r="B66" s="912" t="s">
        <v>58</v>
      </c>
      <c r="C66" s="912" t="s">
        <v>55</v>
      </c>
      <c r="D66" s="175" t="s">
        <v>1010</v>
      </c>
      <c r="E66" s="912" t="s">
        <v>782</v>
      </c>
      <c r="F66" s="419" t="s">
        <v>1358</v>
      </c>
      <c r="G66" s="127">
        <v>66000</v>
      </c>
      <c r="H66" s="912" t="s">
        <v>112</v>
      </c>
      <c r="I66" s="365">
        <v>42632</v>
      </c>
      <c r="J66" s="365">
        <v>42643</v>
      </c>
      <c r="K66" s="912" t="s">
        <v>1075</v>
      </c>
      <c r="L66" s="364">
        <v>97775</v>
      </c>
      <c r="M66" s="364">
        <v>118307.75</v>
      </c>
      <c r="N66" s="365">
        <v>42808</v>
      </c>
      <c r="O66" s="365"/>
      <c r="P66" s="912" t="s">
        <v>239</v>
      </c>
      <c r="Q66" s="670" t="s">
        <v>239</v>
      </c>
      <c r="R66" s="801"/>
    </row>
    <row r="67" spans="1:19" ht="15" customHeight="1">
      <c r="A67" s="501" t="s">
        <v>1412</v>
      </c>
      <c r="B67" s="491" t="s">
        <v>58</v>
      </c>
      <c r="C67" s="491" t="s">
        <v>55</v>
      </c>
      <c r="D67" s="571" t="s">
        <v>1413</v>
      </c>
      <c r="E67" s="491" t="s">
        <v>1426</v>
      </c>
      <c r="F67" s="572" t="s">
        <v>1427</v>
      </c>
      <c r="G67" s="558">
        <v>3390000</v>
      </c>
      <c r="H67" s="491" t="s">
        <v>216</v>
      </c>
      <c r="I67" s="537">
        <v>42682</v>
      </c>
      <c r="J67" s="537">
        <v>42699</v>
      </c>
      <c r="K67" s="491" t="s">
        <v>1397</v>
      </c>
      <c r="L67" s="536">
        <v>3379830</v>
      </c>
      <c r="M67" s="536">
        <f>L67*1.21</f>
        <v>4089594.3</v>
      </c>
      <c r="N67" s="537">
        <v>42735</v>
      </c>
      <c r="O67" s="537"/>
      <c r="P67" s="537">
        <v>42745</v>
      </c>
      <c r="Q67" s="852">
        <v>42800</v>
      </c>
      <c r="R67" s="996" t="s">
        <v>1875</v>
      </c>
    </row>
    <row r="68" spans="1:19" ht="15.75" customHeight="1" thickBot="1">
      <c r="A68" s="629" t="s">
        <v>1449</v>
      </c>
      <c r="B68" s="411" t="s">
        <v>1450</v>
      </c>
      <c r="C68" s="411" t="s">
        <v>232</v>
      </c>
      <c r="D68" s="412" t="s">
        <v>317</v>
      </c>
      <c r="E68" s="411" t="s">
        <v>1452</v>
      </c>
      <c r="F68" s="414"/>
      <c r="G68" s="415">
        <v>150000</v>
      </c>
      <c r="H68" s="411" t="s">
        <v>112</v>
      </c>
      <c r="I68" s="416">
        <v>42685</v>
      </c>
      <c r="J68" s="416">
        <v>42695</v>
      </c>
      <c r="K68" s="411" t="s">
        <v>1514</v>
      </c>
      <c r="L68" s="417">
        <v>69316</v>
      </c>
      <c r="M68" s="417">
        <f>L68*1.21</f>
        <v>83872.36</v>
      </c>
      <c r="N68" s="416">
        <v>42746</v>
      </c>
      <c r="O68" s="416"/>
      <c r="P68" s="411" t="s">
        <v>239</v>
      </c>
      <c r="Q68" s="648" t="s">
        <v>239</v>
      </c>
      <c r="R68" s="801"/>
    </row>
    <row r="69" spans="1:19" ht="15.75" customHeight="1" thickTop="1">
      <c r="A69" s="452" t="s">
        <v>1453</v>
      </c>
      <c r="B69" s="453" t="s">
        <v>69</v>
      </c>
      <c r="C69" s="453" t="s">
        <v>70</v>
      </c>
      <c r="D69" s="473" t="s">
        <v>1587</v>
      </c>
      <c r="E69" s="453" t="s">
        <v>814</v>
      </c>
      <c r="F69" s="454"/>
      <c r="G69" s="455">
        <v>373380.28</v>
      </c>
      <c r="H69" s="453" t="s">
        <v>251</v>
      </c>
      <c r="I69" s="474">
        <v>42711</v>
      </c>
      <c r="J69" s="474">
        <v>42786</v>
      </c>
      <c r="K69" s="453" t="s">
        <v>1233</v>
      </c>
      <c r="L69" s="457">
        <v>363468.3</v>
      </c>
      <c r="M69" s="457">
        <f>L69*1.1</f>
        <v>399815.13</v>
      </c>
      <c r="N69" s="474">
        <v>42843</v>
      </c>
      <c r="O69" s="474">
        <v>43572</v>
      </c>
      <c r="P69" s="474">
        <v>42845</v>
      </c>
      <c r="Q69" s="575">
        <v>43175</v>
      </c>
      <c r="R69" s="905">
        <v>43550</v>
      </c>
      <c r="S69" s="1319">
        <v>43914</v>
      </c>
    </row>
    <row r="70" spans="1:19" ht="15" customHeight="1">
      <c r="A70" s="515" t="s">
        <v>1453</v>
      </c>
      <c r="B70" s="506" t="s">
        <v>69</v>
      </c>
      <c r="C70" s="506" t="s">
        <v>70</v>
      </c>
      <c r="D70" s="507" t="s">
        <v>1588</v>
      </c>
      <c r="E70" s="506" t="s">
        <v>814</v>
      </c>
      <c r="F70" s="508"/>
      <c r="G70" s="509">
        <v>1063557.69</v>
      </c>
      <c r="H70" s="506" t="s">
        <v>251</v>
      </c>
      <c r="I70" s="510">
        <v>42711</v>
      </c>
      <c r="J70" s="510">
        <v>42786</v>
      </c>
      <c r="K70" s="514" t="s">
        <v>242</v>
      </c>
      <c r="L70" s="511"/>
      <c r="M70" s="511"/>
      <c r="N70" s="506"/>
      <c r="O70" s="506"/>
      <c r="P70" s="510">
        <v>42788</v>
      </c>
      <c r="Q70" s="521"/>
      <c r="R70" s="801"/>
    </row>
    <row r="71" spans="1:19" ht="15" customHeight="1">
      <c r="A71" s="515" t="s">
        <v>1453</v>
      </c>
      <c r="B71" s="506" t="s">
        <v>69</v>
      </c>
      <c r="C71" s="506" t="s">
        <v>70</v>
      </c>
      <c r="D71" s="507" t="s">
        <v>1589</v>
      </c>
      <c r="E71" s="506" t="s">
        <v>814</v>
      </c>
      <c r="F71" s="508"/>
      <c r="G71" s="509">
        <v>3978.41</v>
      </c>
      <c r="H71" s="506" t="s">
        <v>251</v>
      </c>
      <c r="I71" s="510">
        <v>42711</v>
      </c>
      <c r="J71" s="510">
        <v>42786</v>
      </c>
      <c r="K71" s="514" t="s">
        <v>242</v>
      </c>
      <c r="L71" s="511"/>
      <c r="M71" s="511"/>
      <c r="N71" s="506"/>
      <c r="O71" s="506"/>
      <c r="P71" s="510">
        <v>42788</v>
      </c>
      <c r="Q71" s="521"/>
      <c r="R71" s="801"/>
    </row>
    <row r="72" spans="1:19" ht="15" customHeight="1">
      <c r="A72" s="501" t="s">
        <v>1453</v>
      </c>
      <c r="B72" s="491" t="s">
        <v>69</v>
      </c>
      <c r="C72" s="491" t="s">
        <v>70</v>
      </c>
      <c r="D72" s="571" t="s">
        <v>1590</v>
      </c>
      <c r="E72" s="491" t="s">
        <v>814</v>
      </c>
      <c r="F72" s="572"/>
      <c r="G72" s="558">
        <v>516774</v>
      </c>
      <c r="H72" s="491" t="s">
        <v>251</v>
      </c>
      <c r="I72" s="537">
        <v>42711</v>
      </c>
      <c r="J72" s="537">
        <v>42786</v>
      </c>
      <c r="K72" s="491" t="s">
        <v>1564</v>
      </c>
      <c r="L72" s="536">
        <v>416506</v>
      </c>
      <c r="M72" s="536">
        <f>L72*1.1</f>
        <v>458156.60000000003</v>
      </c>
      <c r="N72" s="537">
        <v>42843</v>
      </c>
      <c r="O72" s="537">
        <v>43572</v>
      </c>
      <c r="P72" s="537">
        <v>42845</v>
      </c>
      <c r="Q72" s="852">
        <v>43175</v>
      </c>
      <c r="R72" s="905">
        <v>43550</v>
      </c>
      <c r="S72" s="1319">
        <v>43914</v>
      </c>
    </row>
    <row r="73" spans="1:19" ht="15" customHeight="1">
      <c r="A73" s="501" t="s">
        <v>1453</v>
      </c>
      <c r="B73" s="491" t="s">
        <v>69</v>
      </c>
      <c r="C73" s="491" t="s">
        <v>70</v>
      </c>
      <c r="D73" s="571" t="s">
        <v>1591</v>
      </c>
      <c r="E73" s="491" t="s">
        <v>814</v>
      </c>
      <c r="F73" s="572"/>
      <c r="G73" s="558">
        <v>4647513.84</v>
      </c>
      <c r="H73" s="491" t="s">
        <v>251</v>
      </c>
      <c r="I73" s="537">
        <v>42711</v>
      </c>
      <c r="J73" s="537">
        <v>42786</v>
      </c>
      <c r="K73" s="491" t="s">
        <v>576</v>
      </c>
      <c r="L73" s="536">
        <v>4644618.2400000002</v>
      </c>
      <c r="M73" s="536">
        <f>L73*1.1</f>
        <v>5109080.0640000002</v>
      </c>
      <c r="N73" s="537">
        <v>42843</v>
      </c>
      <c r="O73" s="537">
        <v>43572</v>
      </c>
      <c r="P73" s="537">
        <v>42845</v>
      </c>
      <c r="Q73" s="852">
        <v>43175</v>
      </c>
      <c r="R73" s="905">
        <v>43550</v>
      </c>
      <c r="S73" s="1319">
        <v>43914</v>
      </c>
    </row>
    <row r="74" spans="1:19" ht="15" customHeight="1">
      <c r="A74" s="515" t="s">
        <v>1453</v>
      </c>
      <c r="B74" s="506" t="s">
        <v>69</v>
      </c>
      <c r="C74" s="506" t="s">
        <v>70</v>
      </c>
      <c r="D74" s="507" t="s">
        <v>1592</v>
      </c>
      <c r="E74" s="506" t="s">
        <v>814</v>
      </c>
      <c r="F74" s="508"/>
      <c r="G74" s="509">
        <v>744531.52</v>
      </c>
      <c r="H74" s="506" t="s">
        <v>251</v>
      </c>
      <c r="I74" s="510">
        <v>42711</v>
      </c>
      <c r="J74" s="510">
        <v>42786</v>
      </c>
      <c r="K74" s="514" t="s">
        <v>242</v>
      </c>
      <c r="L74" s="511"/>
      <c r="M74" s="511"/>
      <c r="N74" s="506"/>
      <c r="O74" s="506"/>
      <c r="P74" s="510">
        <v>42788</v>
      </c>
      <c r="Q74" s="521"/>
      <c r="R74" s="801"/>
    </row>
    <row r="75" spans="1:19" ht="15.75" customHeight="1" thickBot="1">
      <c r="A75" s="446" t="s">
        <v>1453</v>
      </c>
      <c r="B75" s="447" t="s">
        <v>69</v>
      </c>
      <c r="C75" s="447" t="s">
        <v>70</v>
      </c>
      <c r="D75" s="476" t="s">
        <v>1593</v>
      </c>
      <c r="E75" s="447" t="s">
        <v>814</v>
      </c>
      <c r="F75" s="448"/>
      <c r="G75" s="449">
        <v>554887.48</v>
      </c>
      <c r="H75" s="447" t="s">
        <v>251</v>
      </c>
      <c r="I75" s="477">
        <v>42711</v>
      </c>
      <c r="J75" s="477">
        <v>42786</v>
      </c>
      <c r="K75" s="447" t="s">
        <v>1402</v>
      </c>
      <c r="L75" s="450">
        <v>553586.19999999995</v>
      </c>
      <c r="M75" s="450">
        <f>L75*1.1</f>
        <v>608944.81999999995</v>
      </c>
      <c r="N75" s="477">
        <v>42843</v>
      </c>
      <c r="O75" s="1380">
        <v>43572</v>
      </c>
      <c r="P75" s="477">
        <v>42845</v>
      </c>
      <c r="Q75" s="868">
        <v>43175</v>
      </c>
      <c r="R75" s="905">
        <v>43550</v>
      </c>
      <c r="S75" s="1319">
        <v>43914</v>
      </c>
    </row>
    <row r="76" spans="1:19" ht="15.75" customHeight="1" thickTop="1">
      <c r="A76" s="660" t="s">
        <v>1482</v>
      </c>
      <c r="B76" s="906" t="s">
        <v>1483</v>
      </c>
      <c r="C76" s="906" t="s">
        <v>1484</v>
      </c>
      <c r="D76" s="175" t="s">
        <v>1485</v>
      </c>
      <c r="E76" s="906" t="s">
        <v>259</v>
      </c>
      <c r="F76" s="419"/>
      <c r="G76" s="127">
        <v>1869600</v>
      </c>
      <c r="H76" s="906" t="s">
        <v>112</v>
      </c>
      <c r="I76" s="365">
        <v>42716</v>
      </c>
      <c r="J76" s="365">
        <v>42725</v>
      </c>
      <c r="K76" s="906" t="s">
        <v>379</v>
      </c>
      <c r="L76" s="364">
        <v>1846800</v>
      </c>
      <c r="M76" s="364">
        <f>L76*1.21</f>
        <v>2234628</v>
      </c>
      <c r="N76" s="365">
        <v>42797</v>
      </c>
      <c r="O76" s="365"/>
      <c r="P76" s="365">
        <v>42804</v>
      </c>
      <c r="Q76" s="670" t="s">
        <v>239</v>
      </c>
      <c r="R76" s="801"/>
    </row>
    <row r="77" spans="1:19" ht="15" customHeight="1">
      <c r="A77" s="501" t="s">
        <v>1486</v>
      </c>
      <c r="B77" s="491" t="s">
        <v>52</v>
      </c>
      <c r="C77" s="491" t="s">
        <v>227</v>
      </c>
      <c r="D77" s="571" t="s">
        <v>1487</v>
      </c>
      <c r="E77" s="491" t="s">
        <v>1490</v>
      </c>
      <c r="F77" s="572" t="s">
        <v>1491</v>
      </c>
      <c r="G77" s="558">
        <v>16520000</v>
      </c>
      <c r="H77" s="491" t="s">
        <v>216</v>
      </c>
      <c r="I77" s="537">
        <v>42716</v>
      </c>
      <c r="J77" s="537">
        <v>42740</v>
      </c>
      <c r="K77" s="491" t="s">
        <v>707</v>
      </c>
      <c r="L77" s="536">
        <v>15908373.779999999</v>
      </c>
      <c r="M77" s="536">
        <f>L77*1.21</f>
        <v>19249132.273799997</v>
      </c>
      <c r="N77" s="537">
        <v>42775</v>
      </c>
      <c r="O77" s="537"/>
      <c r="P77" s="537">
        <v>42783</v>
      </c>
      <c r="Q77" s="852">
        <v>43185</v>
      </c>
      <c r="R77" s="801"/>
    </row>
    <row r="78" spans="1:19" ht="15" customHeight="1">
      <c r="A78" s="501" t="s">
        <v>1488</v>
      </c>
      <c r="B78" s="491" t="s">
        <v>289</v>
      </c>
      <c r="C78" s="491" t="s">
        <v>291</v>
      </c>
      <c r="D78" s="571" t="s">
        <v>1489</v>
      </c>
      <c r="E78" s="491" t="s">
        <v>455</v>
      </c>
      <c r="F78" s="572"/>
      <c r="G78" s="558">
        <v>460000</v>
      </c>
      <c r="H78" s="491" t="s">
        <v>112</v>
      </c>
      <c r="I78" s="537">
        <v>42705</v>
      </c>
      <c r="J78" s="537">
        <v>42725</v>
      </c>
      <c r="K78" s="491" t="s">
        <v>1565</v>
      </c>
      <c r="L78" s="536">
        <v>466400</v>
      </c>
      <c r="M78" s="536">
        <f>L78*1.21</f>
        <v>564344</v>
      </c>
      <c r="N78" s="537">
        <v>42774</v>
      </c>
      <c r="O78" s="537"/>
      <c r="P78" s="491" t="s">
        <v>239</v>
      </c>
      <c r="Q78" s="502" t="s">
        <v>239</v>
      </c>
      <c r="R78" s="801"/>
    </row>
    <row r="79" spans="1:19" ht="15" customHeight="1">
      <c r="A79" s="501" t="s">
        <v>1496</v>
      </c>
      <c r="B79" s="491" t="s">
        <v>14</v>
      </c>
      <c r="C79" s="491" t="s">
        <v>13</v>
      </c>
      <c r="D79" s="571" t="s">
        <v>1497</v>
      </c>
      <c r="E79" s="491" t="s">
        <v>761</v>
      </c>
      <c r="F79" s="572" t="s">
        <v>762</v>
      </c>
      <c r="G79" s="558">
        <v>2430000</v>
      </c>
      <c r="H79" s="491" t="s">
        <v>216</v>
      </c>
      <c r="I79" s="537">
        <v>42719</v>
      </c>
      <c r="J79" s="537">
        <v>42748</v>
      </c>
      <c r="K79" s="491" t="s">
        <v>1074</v>
      </c>
      <c r="L79" s="536">
        <v>2255043</v>
      </c>
      <c r="M79" s="536">
        <v>2728602.03</v>
      </c>
      <c r="N79" s="537">
        <v>42783</v>
      </c>
      <c r="O79" s="537"/>
      <c r="P79" s="537">
        <v>42787</v>
      </c>
      <c r="Q79" s="852">
        <v>42877</v>
      </c>
      <c r="R79" s="801"/>
    </row>
    <row r="80" spans="1:19" ht="17.25" customHeight="1">
      <c r="A80" s="515" t="s">
        <v>1498</v>
      </c>
      <c r="B80" s="506" t="s">
        <v>166</v>
      </c>
      <c r="C80" s="506" t="s">
        <v>167</v>
      </c>
      <c r="D80" s="507" t="s">
        <v>810</v>
      </c>
      <c r="E80" s="506" t="s">
        <v>1438</v>
      </c>
      <c r="F80" s="508" t="s">
        <v>811</v>
      </c>
      <c r="G80" s="509">
        <v>700000</v>
      </c>
      <c r="H80" s="506" t="s">
        <v>112</v>
      </c>
      <c r="I80" s="510">
        <v>42706</v>
      </c>
      <c r="J80" s="510">
        <v>42716</v>
      </c>
      <c r="K80" s="761" t="s">
        <v>242</v>
      </c>
      <c r="L80" s="511"/>
      <c r="M80" s="511"/>
      <c r="N80" s="506"/>
      <c r="O80" s="506"/>
      <c r="P80" s="506" t="s">
        <v>239</v>
      </c>
      <c r="Q80" s="521"/>
      <c r="R80" s="801"/>
    </row>
    <row r="81" spans="1:19" ht="15" customHeight="1">
      <c r="A81" s="501" t="s">
        <v>1502</v>
      </c>
      <c r="B81" s="491" t="s">
        <v>1503</v>
      </c>
      <c r="C81" s="491" t="s">
        <v>918</v>
      </c>
      <c r="D81" s="571" t="s">
        <v>1541</v>
      </c>
      <c r="E81" s="491" t="s">
        <v>36</v>
      </c>
      <c r="F81" s="572"/>
      <c r="G81" s="558">
        <v>1900000</v>
      </c>
      <c r="H81" s="491" t="s">
        <v>112</v>
      </c>
      <c r="I81" s="537">
        <v>42723</v>
      </c>
      <c r="J81" s="537">
        <v>42740</v>
      </c>
      <c r="K81" s="491" t="s">
        <v>1598</v>
      </c>
      <c r="L81" s="536">
        <v>1865960</v>
      </c>
      <c r="M81" s="536">
        <f t="shared" ref="M81:M86" si="2">L81*1.21</f>
        <v>2257811.6</v>
      </c>
      <c r="N81" s="537">
        <v>42795</v>
      </c>
      <c r="O81" s="537"/>
      <c r="P81" s="537">
        <v>42802</v>
      </c>
      <c r="Q81" s="852">
        <v>43290</v>
      </c>
      <c r="R81" s="1080"/>
    </row>
    <row r="82" spans="1:19" ht="15" customHeight="1">
      <c r="A82" s="501" t="s">
        <v>1504</v>
      </c>
      <c r="B82" s="491" t="s">
        <v>58</v>
      </c>
      <c r="C82" s="491" t="s">
        <v>57</v>
      </c>
      <c r="D82" s="571" t="s">
        <v>1505</v>
      </c>
      <c r="E82" s="491" t="s">
        <v>788</v>
      </c>
      <c r="F82" s="572" t="s">
        <v>1506</v>
      </c>
      <c r="G82" s="558">
        <v>3120000</v>
      </c>
      <c r="H82" s="491" t="s">
        <v>216</v>
      </c>
      <c r="I82" s="537">
        <v>42711</v>
      </c>
      <c r="J82" s="537">
        <v>42739</v>
      </c>
      <c r="K82" s="491" t="s">
        <v>1597</v>
      </c>
      <c r="L82" s="536">
        <v>3119870</v>
      </c>
      <c r="M82" s="536">
        <f t="shared" si="2"/>
        <v>3775042.6999999997</v>
      </c>
      <c r="N82" s="537">
        <v>42772</v>
      </c>
      <c r="O82" s="537"/>
      <c r="P82" s="537">
        <v>42782</v>
      </c>
      <c r="Q82" s="852">
        <v>42877</v>
      </c>
      <c r="R82" s="1127">
        <v>44684</v>
      </c>
    </row>
    <row r="83" spans="1:19" ht="15" customHeight="1">
      <c r="A83" s="501" t="s">
        <v>1508</v>
      </c>
      <c r="B83" s="491" t="s">
        <v>52</v>
      </c>
      <c r="C83" s="491" t="s">
        <v>227</v>
      </c>
      <c r="D83" s="571" t="s">
        <v>1515</v>
      </c>
      <c r="E83" s="491" t="s">
        <v>1509</v>
      </c>
      <c r="F83" s="572"/>
      <c r="G83" s="558">
        <v>265000</v>
      </c>
      <c r="H83" s="491" t="s">
        <v>112</v>
      </c>
      <c r="I83" s="537">
        <v>42713</v>
      </c>
      <c r="J83" s="537">
        <v>42720</v>
      </c>
      <c r="K83" s="491" t="s">
        <v>1555</v>
      </c>
      <c r="L83" s="536">
        <v>218348</v>
      </c>
      <c r="M83" s="536">
        <f t="shared" si="2"/>
        <v>264201.08</v>
      </c>
      <c r="N83" s="537">
        <v>42748</v>
      </c>
      <c r="O83" s="537"/>
      <c r="P83" s="491" t="s">
        <v>239</v>
      </c>
      <c r="Q83" s="502" t="s">
        <v>239</v>
      </c>
      <c r="R83" s="801"/>
    </row>
    <row r="84" spans="1:19" ht="15" customHeight="1">
      <c r="A84" s="501" t="s">
        <v>1516</v>
      </c>
      <c r="B84" s="491" t="s">
        <v>1503</v>
      </c>
      <c r="C84" s="491" t="s">
        <v>918</v>
      </c>
      <c r="D84" s="571" t="s">
        <v>1517</v>
      </c>
      <c r="E84" s="491" t="s">
        <v>1518</v>
      </c>
      <c r="F84" s="572"/>
      <c r="G84" s="558">
        <v>1100000</v>
      </c>
      <c r="H84" s="491" t="s">
        <v>112</v>
      </c>
      <c r="I84" s="537">
        <v>42723</v>
      </c>
      <c r="J84" s="537">
        <v>42740</v>
      </c>
      <c r="K84" s="491" t="s">
        <v>383</v>
      </c>
      <c r="L84" s="536">
        <v>1201662</v>
      </c>
      <c r="M84" s="536">
        <f t="shared" si="2"/>
        <v>1454011.02</v>
      </c>
      <c r="N84" s="537">
        <v>42844</v>
      </c>
      <c r="O84" s="537"/>
      <c r="P84" s="537">
        <v>42844</v>
      </c>
      <c r="Q84" s="852">
        <v>43181</v>
      </c>
      <c r="R84" s="902" t="s">
        <v>4128</v>
      </c>
    </row>
    <row r="85" spans="1:19" ht="15" customHeight="1">
      <c r="A85" s="501" t="s">
        <v>1520</v>
      </c>
      <c r="B85" s="491" t="s">
        <v>1503</v>
      </c>
      <c r="C85" s="491" t="s">
        <v>918</v>
      </c>
      <c r="D85" s="571" t="s">
        <v>1519</v>
      </c>
      <c r="E85" s="491" t="s">
        <v>1518</v>
      </c>
      <c r="F85" s="572"/>
      <c r="G85" s="558">
        <v>1000000</v>
      </c>
      <c r="H85" s="491" t="s">
        <v>112</v>
      </c>
      <c r="I85" s="537">
        <v>42723</v>
      </c>
      <c r="J85" s="537">
        <v>42740</v>
      </c>
      <c r="K85" s="491" t="s">
        <v>1652</v>
      </c>
      <c r="L85" s="536">
        <v>1597198</v>
      </c>
      <c r="M85" s="536">
        <f t="shared" si="2"/>
        <v>1932609.5799999998</v>
      </c>
      <c r="N85" s="537">
        <v>42801</v>
      </c>
      <c r="O85" s="537"/>
      <c r="P85" s="537">
        <v>42802</v>
      </c>
      <c r="Q85" s="852">
        <v>43346</v>
      </c>
      <c r="R85" s="801"/>
    </row>
    <row r="86" spans="1:19" ht="15.75" customHeight="1" thickBot="1">
      <c r="A86" s="629" t="s">
        <v>1521</v>
      </c>
      <c r="B86" s="411" t="s">
        <v>52</v>
      </c>
      <c r="C86" s="411" t="s">
        <v>227</v>
      </c>
      <c r="D86" s="412" t="s">
        <v>1522</v>
      </c>
      <c r="E86" s="411" t="s">
        <v>1274</v>
      </c>
      <c r="F86" s="414"/>
      <c r="G86" s="415">
        <v>412000</v>
      </c>
      <c r="H86" s="411" t="s">
        <v>112</v>
      </c>
      <c r="I86" s="416">
        <v>42713</v>
      </c>
      <c r="J86" s="416">
        <v>42725</v>
      </c>
      <c r="K86" s="411" t="s">
        <v>1563</v>
      </c>
      <c r="L86" s="417">
        <v>748000</v>
      </c>
      <c r="M86" s="417">
        <f t="shared" si="2"/>
        <v>905080</v>
      </c>
      <c r="N86" s="416">
        <v>42765</v>
      </c>
      <c r="O86" s="416"/>
      <c r="P86" s="416">
        <v>42765</v>
      </c>
      <c r="Q86" s="637">
        <v>43185</v>
      </c>
      <c r="R86" s="801"/>
    </row>
    <row r="87" spans="1:19" ht="15.75" customHeight="1" thickTop="1">
      <c r="A87" s="452" t="s">
        <v>1525</v>
      </c>
      <c r="B87" s="453" t="s">
        <v>69</v>
      </c>
      <c r="C87" s="453" t="s">
        <v>70</v>
      </c>
      <c r="D87" s="473" t="s">
        <v>1538</v>
      </c>
      <c r="E87" s="453" t="s">
        <v>814</v>
      </c>
      <c r="F87" s="454"/>
      <c r="G87" s="455">
        <v>3364107.4</v>
      </c>
      <c r="H87" s="453" t="s">
        <v>251</v>
      </c>
      <c r="I87" s="474">
        <v>42719</v>
      </c>
      <c r="J87" s="474">
        <v>42759</v>
      </c>
      <c r="K87" s="453" t="s">
        <v>1402</v>
      </c>
      <c r="L87" s="457">
        <v>3316820.6</v>
      </c>
      <c r="M87" s="457">
        <f>L87*1.1</f>
        <v>3648502.6600000006</v>
      </c>
      <c r="N87" s="474">
        <v>42809</v>
      </c>
      <c r="O87" s="474">
        <v>43538</v>
      </c>
      <c r="P87" s="474">
        <v>42815</v>
      </c>
      <c r="Q87" s="852">
        <v>43175</v>
      </c>
      <c r="R87" s="905">
        <v>43550</v>
      </c>
      <c r="S87" s="1319">
        <v>43609</v>
      </c>
    </row>
    <row r="88" spans="1:19" ht="15" customHeight="1">
      <c r="A88" s="501" t="s">
        <v>1525</v>
      </c>
      <c r="B88" s="491" t="s">
        <v>69</v>
      </c>
      <c r="C88" s="491" t="s">
        <v>70</v>
      </c>
      <c r="D88" s="571" t="s">
        <v>1539</v>
      </c>
      <c r="E88" s="491" t="s">
        <v>814</v>
      </c>
      <c r="F88" s="572"/>
      <c r="G88" s="558">
        <v>106063.81</v>
      </c>
      <c r="H88" s="491" t="s">
        <v>251</v>
      </c>
      <c r="I88" s="537">
        <v>42719</v>
      </c>
      <c r="J88" s="537">
        <v>42759</v>
      </c>
      <c r="K88" s="491" t="s">
        <v>1402</v>
      </c>
      <c r="L88" s="536">
        <v>105885.96</v>
      </c>
      <c r="M88" s="536">
        <f>L88*1.1</f>
        <v>116474.55600000001</v>
      </c>
      <c r="N88" s="537">
        <v>42809</v>
      </c>
      <c r="O88" s="537">
        <v>43538</v>
      </c>
      <c r="P88" s="537">
        <v>42815</v>
      </c>
      <c r="Q88" s="852">
        <v>43175</v>
      </c>
      <c r="R88" s="905">
        <v>43550</v>
      </c>
      <c r="S88" s="1319">
        <v>43609</v>
      </c>
    </row>
    <row r="89" spans="1:19" ht="15.75" customHeight="1" thickBot="1">
      <c r="A89" s="518" t="s">
        <v>1525</v>
      </c>
      <c r="B89" s="483" t="s">
        <v>69</v>
      </c>
      <c r="C89" s="483" t="s">
        <v>70</v>
      </c>
      <c r="D89" s="484" t="s">
        <v>1540</v>
      </c>
      <c r="E89" s="483" t="s">
        <v>814</v>
      </c>
      <c r="F89" s="485"/>
      <c r="G89" s="486">
        <v>404252.15999999997</v>
      </c>
      <c r="H89" s="483" t="s">
        <v>251</v>
      </c>
      <c r="I89" s="487">
        <v>42719</v>
      </c>
      <c r="J89" s="487">
        <v>42759</v>
      </c>
      <c r="K89" s="539" t="s">
        <v>242</v>
      </c>
      <c r="L89" s="488"/>
      <c r="M89" s="488"/>
      <c r="N89" s="487"/>
      <c r="O89" s="1414"/>
      <c r="P89" s="487">
        <v>42787</v>
      </c>
      <c r="Q89" s="521"/>
      <c r="R89" s="801"/>
    </row>
    <row r="90" spans="1:19" ht="15.75" customHeight="1" thickTop="1">
      <c r="A90" s="660" t="s">
        <v>1524</v>
      </c>
      <c r="B90" s="881" t="s">
        <v>58</v>
      </c>
      <c r="C90" s="881" t="s">
        <v>55</v>
      </c>
      <c r="D90" s="175" t="s">
        <v>1523</v>
      </c>
      <c r="E90" s="881" t="s">
        <v>1528</v>
      </c>
      <c r="F90" s="419" t="s">
        <v>1530</v>
      </c>
      <c r="G90" s="127">
        <v>470000</v>
      </c>
      <c r="H90" s="881" t="s">
        <v>112</v>
      </c>
      <c r="I90" s="365">
        <v>42745</v>
      </c>
      <c r="J90" s="365">
        <v>42755</v>
      </c>
      <c r="K90" s="881" t="s">
        <v>1311</v>
      </c>
      <c r="L90" s="364">
        <v>451200</v>
      </c>
      <c r="M90" s="364">
        <v>545952</v>
      </c>
      <c r="N90" s="365">
        <v>42801</v>
      </c>
      <c r="O90" s="365"/>
      <c r="P90" s="881" t="s">
        <v>239</v>
      </c>
      <c r="Q90" s="670" t="s">
        <v>239</v>
      </c>
      <c r="R90" s="801"/>
    </row>
    <row r="91" spans="1:19" ht="15" customHeight="1">
      <c r="A91" s="629" t="s">
        <v>1526</v>
      </c>
      <c r="B91" s="411" t="s">
        <v>58</v>
      </c>
      <c r="C91" s="411" t="s">
        <v>55</v>
      </c>
      <c r="D91" s="412" t="s">
        <v>1618</v>
      </c>
      <c r="E91" s="411" t="s">
        <v>1531</v>
      </c>
      <c r="F91" s="901" t="s">
        <v>1529</v>
      </c>
      <c r="G91" s="415">
        <v>210000</v>
      </c>
      <c r="H91" s="411" t="s">
        <v>112</v>
      </c>
      <c r="I91" s="416">
        <v>42745</v>
      </c>
      <c r="J91" s="416">
        <v>42760</v>
      </c>
      <c r="K91" s="411" t="s">
        <v>1196</v>
      </c>
      <c r="L91" s="417">
        <v>110945</v>
      </c>
      <c r="M91" s="417">
        <f>L91*1.21</f>
        <v>134243.44999999998</v>
      </c>
      <c r="N91" s="416">
        <v>42801</v>
      </c>
      <c r="O91" s="416"/>
      <c r="P91" s="416">
        <v>42802</v>
      </c>
      <c r="Q91" s="637">
        <v>42933</v>
      </c>
      <c r="R91" s="996" t="s">
        <v>1875</v>
      </c>
    </row>
    <row r="92" spans="1:19" s="866" customFormat="1" ht="15.75" customHeight="1" thickBot="1">
      <c r="A92" s="667" t="s">
        <v>1526</v>
      </c>
      <c r="B92" s="232" t="s">
        <v>58</v>
      </c>
      <c r="C92" s="232" t="s">
        <v>55</v>
      </c>
      <c r="D92" s="274" t="s">
        <v>1619</v>
      </c>
      <c r="E92" s="232" t="s">
        <v>820</v>
      </c>
      <c r="F92" s="901" t="s">
        <v>1529</v>
      </c>
      <c r="G92" s="497">
        <v>600000</v>
      </c>
      <c r="H92" s="232" t="s">
        <v>112</v>
      </c>
      <c r="I92" s="498">
        <v>42745</v>
      </c>
      <c r="J92" s="498">
        <v>42760</v>
      </c>
      <c r="K92" s="232" t="s">
        <v>1196</v>
      </c>
      <c r="L92" s="499">
        <v>392115</v>
      </c>
      <c r="M92" s="499">
        <f>L92*1.21</f>
        <v>474459.14999999997</v>
      </c>
      <c r="N92" s="498">
        <v>42801</v>
      </c>
      <c r="O92" s="498"/>
      <c r="P92" s="498">
        <v>42802</v>
      </c>
      <c r="Q92" s="668">
        <v>42933</v>
      </c>
      <c r="R92" s="996" t="s">
        <v>1875</v>
      </c>
      <c r="S92" s="802"/>
    </row>
    <row r="93" spans="1:19" ht="15.75" customHeight="1" thickTop="1">
      <c r="A93" s="438" t="s">
        <v>1543</v>
      </c>
      <c r="B93" s="439" t="s">
        <v>69</v>
      </c>
      <c r="C93" s="439" t="s">
        <v>70</v>
      </c>
      <c r="D93" s="440" t="s">
        <v>1532</v>
      </c>
      <c r="E93" s="439" t="s">
        <v>93</v>
      </c>
      <c r="F93" s="441"/>
      <c r="G93" s="442">
        <v>1014308.37</v>
      </c>
      <c r="H93" s="439" t="s">
        <v>251</v>
      </c>
      <c r="I93" s="443">
        <v>42744</v>
      </c>
      <c r="J93" s="443">
        <v>42782</v>
      </c>
      <c r="K93" s="538" t="s">
        <v>242</v>
      </c>
      <c r="L93" s="444"/>
      <c r="M93" s="444"/>
      <c r="N93" s="439"/>
      <c r="O93" s="439"/>
      <c r="P93" s="443">
        <v>42766</v>
      </c>
      <c r="Q93" s="445"/>
      <c r="R93" s="801"/>
    </row>
    <row r="94" spans="1:19" ht="15" customHeight="1">
      <c r="A94" s="515" t="s">
        <v>1543</v>
      </c>
      <c r="B94" s="506" t="s">
        <v>69</v>
      </c>
      <c r="C94" s="506" t="s">
        <v>70</v>
      </c>
      <c r="D94" s="507" t="s">
        <v>1534</v>
      </c>
      <c r="E94" s="506" t="s">
        <v>93</v>
      </c>
      <c r="F94" s="508"/>
      <c r="G94" s="509">
        <v>23541274.949999999</v>
      </c>
      <c r="H94" s="506" t="s">
        <v>251</v>
      </c>
      <c r="I94" s="510">
        <v>42744</v>
      </c>
      <c r="J94" s="510">
        <v>42782</v>
      </c>
      <c r="K94" s="514" t="s">
        <v>242</v>
      </c>
      <c r="L94" s="511"/>
      <c r="M94" s="511"/>
      <c r="N94" s="506"/>
      <c r="O94" s="506"/>
      <c r="P94" s="510">
        <v>42816</v>
      </c>
      <c r="Q94" s="521"/>
      <c r="R94" s="801"/>
    </row>
    <row r="95" spans="1:19" ht="15" customHeight="1">
      <c r="A95" s="501" t="s">
        <v>1543</v>
      </c>
      <c r="B95" s="491" t="s">
        <v>69</v>
      </c>
      <c r="C95" s="491" t="s">
        <v>70</v>
      </c>
      <c r="D95" s="571" t="s">
        <v>1533</v>
      </c>
      <c r="E95" s="491" t="s">
        <v>93</v>
      </c>
      <c r="F95" s="572"/>
      <c r="G95" s="558">
        <v>29322213.719999999</v>
      </c>
      <c r="H95" s="491" t="s">
        <v>251</v>
      </c>
      <c r="I95" s="537">
        <v>42744</v>
      </c>
      <c r="J95" s="537">
        <v>42782</v>
      </c>
      <c r="K95" s="491" t="s">
        <v>1318</v>
      </c>
      <c r="L95" s="536">
        <v>29322188</v>
      </c>
      <c r="M95" s="536">
        <f>L95*1.1</f>
        <v>32254406.800000001</v>
      </c>
      <c r="N95" s="537">
        <v>42843</v>
      </c>
      <c r="O95" s="537"/>
      <c r="P95" s="537">
        <v>42845</v>
      </c>
      <c r="Q95" s="852">
        <v>43175</v>
      </c>
      <c r="R95" s="905">
        <v>43550</v>
      </c>
    </row>
    <row r="96" spans="1:19" ht="15" customHeight="1">
      <c r="A96" s="501" t="s">
        <v>1543</v>
      </c>
      <c r="B96" s="491" t="s">
        <v>69</v>
      </c>
      <c r="C96" s="491" t="s">
        <v>70</v>
      </c>
      <c r="D96" s="571" t="s">
        <v>1535</v>
      </c>
      <c r="E96" s="491" t="s">
        <v>93</v>
      </c>
      <c r="F96" s="572"/>
      <c r="G96" s="558">
        <v>4851018.4800000004</v>
      </c>
      <c r="H96" s="491" t="s">
        <v>251</v>
      </c>
      <c r="I96" s="537">
        <v>42744</v>
      </c>
      <c r="J96" s="537">
        <v>42782</v>
      </c>
      <c r="K96" s="491" t="s">
        <v>576</v>
      </c>
      <c r="L96" s="536">
        <v>4851000</v>
      </c>
      <c r="M96" s="536">
        <f>L96*1.1</f>
        <v>5336100</v>
      </c>
      <c r="N96" s="537">
        <v>42843</v>
      </c>
      <c r="O96" s="537"/>
      <c r="P96" s="537">
        <v>42845</v>
      </c>
      <c r="Q96" s="852">
        <v>43175</v>
      </c>
      <c r="R96" s="905">
        <v>43550</v>
      </c>
    </row>
    <row r="97" spans="1:19" ht="15.75" customHeight="1" thickBot="1">
      <c r="A97" s="518" t="s">
        <v>1543</v>
      </c>
      <c r="B97" s="483" t="s">
        <v>69</v>
      </c>
      <c r="C97" s="483" t="s">
        <v>70</v>
      </c>
      <c r="D97" s="484" t="s">
        <v>1536</v>
      </c>
      <c r="E97" s="483" t="s">
        <v>93</v>
      </c>
      <c r="F97" s="485"/>
      <c r="G97" s="486">
        <v>1816885.87</v>
      </c>
      <c r="H97" s="483" t="s">
        <v>251</v>
      </c>
      <c r="I97" s="487">
        <v>42744</v>
      </c>
      <c r="J97" s="487">
        <v>42782</v>
      </c>
      <c r="K97" s="539" t="s">
        <v>242</v>
      </c>
      <c r="L97" s="488"/>
      <c r="M97" s="488"/>
      <c r="N97" s="483"/>
      <c r="O97" s="1410"/>
      <c r="P97" s="487">
        <v>42783</v>
      </c>
      <c r="Q97" s="522"/>
      <c r="R97" s="801"/>
    </row>
    <row r="98" spans="1:19" ht="15.75" customHeight="1" thickTop="1">
      <c r="A98" s="744" t="s">
        <v>1547</v>
      </c>
      <c r="B98" s="466" t="s">
        <v>69</v>
      </c>
      <c r="C98" s="466" t="s">
        <v>70</v>
      </c>
      <c r="D98" s="467" t="s">
        <v>1544</v>
      </c>
      <c r="E98" s="466" t="s">
        <v>1537</v>
      </c>
      <c r="F98" s="468"/>
      <c r="G98" s="469">
        <v>1012770</v>
      </c>
      <c r="H98" s="466" t="s">
        <v>251</v>
      </c>
      <c r="I98" s="470">
        <v>42744</v>
      </c>
      <c r="J98" s="470">
        <v>42781</v>
      </c>
      <c r="K98" s="1171" t="s">
        <v>242</v>
      </c>
      <c r="L98" s="472"/>
      <c r="M98" s="472"/>
      <c r="N98" s="466"/>
      <c r="O98" s="466"/>
      <c r="P98" s="470">
        <v>42811</v>
      </c>
      <c r="Q98" s="745"/>
      <c r="R98" s="801"/>
    </row>
    <row r="99" spans="1:19" ht="15" customHeight="1">
      <c r="A99" s="501" t="s">
        <v>1547</v>
      </c>
      <c r="B99" s="491" t="s">
        <v>69</v>
      </c>
      <c r="C99" s="491" t="s">
        <v>70</v>
      </c>
      <c r="D99" s="571" t="s">
        <v>1545</v>
      </c>
      <c r="E99" s="491" t="s">
        <v>1537</v>
      </c>
      <c r="F99" s="572"/>
      <c r="G99" s="558">
        <v>533439.48</v>
      </c>
      <c r="H99" s="491" t="s">
        <v>251</v>
      </c>
      <c r="I99" s="537">
        <v>42744</v>
      </c>
      <c r="J99" s="537">
        <v>42781</v>
      </c>
      <c r="K99" s="491" t="s">
        <v>1653</v>
      </c>
      <c r="L99" s="536">
        <v>533241.80000000005</v>
      </c>
      <c r="M99" s="536">
        <f>L99*1.1</f>
        <v>586565.9800000001</v>
      </c>
      <c r="N99" s="537">
        <v>42849</v>
      </c>
      <c r="O99" s="537"/>
      <c r="P99" s="537">
        <v>42851</v>
      </c>
      <c r="Q99" s="852">
        <v>43175</v>
      </c>
      <c r="R99" s="905">
        <v>43244</v>
      </c>
    </row>
    <row r="100" spans="1:19" ht="15.75" customHeight="1" thickBot="1">
      <c r="A100" s="629" t="s">
        <v>1547</v>
      </c>
      <c r="B100" s="411" t="s">
        <v>69</v>
      </c>
      <c r="C100" s="411" t="s">
        <v>70</v>
      </c>
      <c r="D100" s="412" t="s">
        <v>1546</v>
      </c>
      <c r="E100" s="411" t="s">
        <v>1537</v>
      </c>
      <c r="F100" s="414"/>
      <c r="G100" s="415">
        <v>1066687.24</v>
      </c>
      <c r="H100" s="411" t="s">
        <v>251</v>
      </c>
      <c r="I100" s="416">
        <v>42744</v>
      </c>
      <c r="J100" s="416">
        <v>42781</v>
      </c>
      <c r="K100" s="411" t="s">
        <v>1651</v>
      </c>
      <c r="L100" s="417">
        <v>1066687.24</v>
      </c>
      <c r="M100" s="417">
        <f>L100*1.1</f>
        <v>1173355.9640000002</v>
      </c>
      <c r="N100" s="416">
        <v>42845</v>
      </c>
      <c r="O100" s="416"/>
      <c r="P100" s="416">
        <v>42851</v>
      </c>
      <c r="Q100" s="637">
        <v>43175</v>
      </c>
      <c r="R100" s="905">
        <v>43244</v>
      </c>
    </row>
    <row r="101" spans="1:19" ht="15.75" customHeight="1" thickTop="1">
      <c r="A101" s="438" t="s">
        <v>1548</v>
      </c>
      <c r="B101" s="439" t="s">
        <v>69</v>
      </c>
      <c r="C101" s="439" t="s">
        <v>70</v>
      </c>
      <c r="D101" s="440" t="s">
        <v>1549</v>
      </c>
      <c r="E101" s="439" t="s">
        <v>1537</v>
      </c>
      <c r="F101" s="441"/>
      <c r="G101" s="442">
        <v>34749</v>
      </c>
      <c r="H101" s="439" t="s">
        <v>251</v>
      </c>
      <c r="I101" s="443">
        <v>42740</v>
      </c>
      <c r="J101" s="443">
        <v>42780</v>
      </c>
      <c r="K101" s="538" t="s">
        <v>242</v>
      </c>
      <c r="L101" s="444"/>
      <c r="M101" s="444"/>
      <c r="N101" s="439"/>
      <c r="O101" s="439"/>
      <c r="P101" s="443">
        <v>42801</v>
      </c>
      <c r="Q101" s="445"/>
      <c r="R101" s="801"/>
    </row>
    <row r="102" spans="1:19" ht="15" customHeight="1">
      <c r="A102" s="515" t="s">
        <v>1548</v>
      </c>
      <c r="B102" s="506" t="s">
        <v>69</v>
      </c>
      <c r="C102" s="506" t="s">
        <v>70</v>
      </c>
      <c r="D102" s="507" t="s">
        <v>1550</v>
      </c>
      <c r="E102" s="506" t="s">
        <v>1537</v>
      </c>
      <c r="F102" s="508"/>
      <c r="G102" s="509">
        <v>1299825</v>
      </c>
      <c r="H102" s="506" t="s">
        <v>251</v>
      </c>
      <c r="I102" s="510">
        <v>42740</v>
      </c>
      <c r="J102" s="510">
        <v>42780</v>
      </c>
      <c r="K102" s="514" t="s">
        <v>242</v>
      </c>
      <c r="L102" s="511"/>
      <c r="M102" s="511"/>
      <c r="N102" s="506"/>
      <c r="O102" s="506"/>
      <c r="P102" s="510">
        <v>42782</v>
      </c>
      <c r="Q102" s="521"/>
      <c r="R102" s="801"/>
    </row>
    <row r="103" spans="1:19" ht="15.75" customHeight="1" thickBot="1">
      <c r="A103" s="446" t="s">
        <v>1548</v>
      </c>
      <c r="B103" s="447" t="s">
        <v>69</v>
      </c>
      <c r="C103" s="447" t="s">
        <v>70</v>
      </c>
      <c r="D103" s="476" t="s">
        <v>1551</v>
      </c>
      <c r="E103" s="447" t="s">
        <v>1537</v>
      </c>
      <c r="F103" s="448"/>
      <c r="G103" s="449">
        <v>4616020</v>
      </c>
      <c r="H103" s="447" t="s">
        <v>251</v>
      </c>
      <c r="I103" s="477">
        <v>42740</v>
      </c>
      <c r="J103" s="477">
        <v>42780</v>
      </c>
      <c r="K103" s="447" t="s">
        <v>1651</v>
      </c>
      <c r="L103" s="450">
        <v>4616020</v>
      </c>
      <c r="M103" s="450">
        <f>L103*1.1</f>
        <v>5077622</v>
      </c>
      <c r="N103" s="477">
        <v>42814</v>
      </c>
      <c r="O103" s="1380"/>
      <c r="P103" s="477">
        <v>42815</v>
      </c>
      <c r="Q103" s="868">
        <v>43175</v>
      </c>
      <c r="R103" s="905">
        <v>43244</v>
      </c>
    </row>
    <row r="104" spans="1:19" s="878" customFormat="1" ht="16.5" customHeight="1" thickTop="1" thickBot="1">
      <c r="A104" s="896" t="s">
        <v>1552</v>
      </c>
      <c r="B104" s="286" t="s">
        <v>58</v>
      </c>
      <c r="C104" s="286" t="s">
        <v>55</v>
      </c>
      <c r="D104" s="261" t="s">
        <v>1553</v>
      </c>
      <c r="E104" s="286" t="s">
        <v>786</v>
      </c>
      <c r="F104" s="897" t="s">
        <v>1554</v>
      </c>
      <c r="G104" s="898">
        <v>330000</v>
      </c>
      <c r="H104" s="286" t="s">
        <v>112</v>
      </c>
      <c r="I104" s="899">
        <v>42726</v>
      </c>
      <c r="J104" s="899">
        <v>42745</v>
      </c>
      <c r="K104" s="286" t="s">
        <v>1617</v>
      </c>
      <c r="L104" s="900">
        <v>726243.03</v>
      </c>
      <c r="M104" s="900">
        <f>L104*1.21</f>
        <v>878754.06630000006</v>
      </c>
      <c r="N104" s="899">
        <v>42775</v>
      </c>
      <c r="O104" s="899"/>
      <c r="P104" s="286" t="s">
        <v>239</v>
      </c>
      <c r="Q104" s="1138" t="s">
        <v>239</v>
      </c>
      <c r="R104" s="1082"/>
      <c r="S104" s="1555"/>
    </row>
    <row r="105" spans="1:19" ht="15.75" customHeight="1" thickTop="1">
      <c r="A105" s="907" t="s">
        <v>1568</v>
      </c>
      <c r="B105" s="907" t="s">
        <v>52</v>
      </c>
      <c r="C105" s="907" t="s">
        <v>227</v>
      </c>
      <c r="D105" s="908" t="s">
        <v>1569</v>
      </c>
      <c r="E105" s="907" t="s">
        <v>1438</v>
      </c>
      <c r="F105" s="907" t="s">
        <v>1575</v>
      </c>
      <c r="G105" s="909">
        <v>4380000</v>
      </c>
      <c r="H105" s="907" t="s">
        <v>112</v>
      </c>
      <c r="I105" s="910">
        <v>42744</v>
      </c>
      <c r="J105" s="910">
        <v>42760</v>
      </c>
      <c r="K105" s="907" t="s">
        <v>707</v>
      </c>
      <c r="L105" s="909">
        <v>5350133.57</v>
      </c>
      <c r="M105" s="909">
        <v>6473661.6200000001</v>
      </c>
      <c r="N105" s="910">
        <v>42801</v>
      </c>
      <c r="O105" s="910"/>
      <c r="P105" s="910">
        <v>42804</v>
      </c>
      <c r="Q105" s="1505">
        <v>43185</v>
      </c>
      <c r="R105" s="801"/>
    </row>
    <row r="106" spans="1:19" ht="15" customHeight="1">
      <c r="A106" s="902" t="s">
        <v>1570</v>
      </c>
      <c r="B106" s="902" t="s">
        <v>52</v>
      </c>
      <c r="C106" s="902" t="s">
        <v>227</v>
      </c>
      <c r="D106" s="903" t="s">
        <v>1571</v>
      </c>
      <c r="E106" s="902" t="s">
        <v>1438</v>
      </c>
      <c r="F106" s="902" t="s">
        <v>1574</v>
      </c>
      <c r="G106" s="904">
        <v>14170000</v>
      </c>
      <c r="H106" s="902" t="s">
        <v>216</v>
      </c>
      <c r="I106" s="905">
        <v>42759</v>
      </c>
      <c r="J106" s="905">
        <v>42776</v>
      </c>
      <c r="K106" s="902" t="s">
        <v>707</v>
      </c>
      <c r="L106" s="904">
        <v>14110893</v>
      </c>
      <c r="M106" s="904">
        <f>L106*1.21</f>
        <v>17074180.530000001</v>
      </c>
      <c r="N106" s="905">
        <v>42821</v>
      </c>
      <c r="O106" s="905"/>
      <c r="P106" s="905">
        <v>42828</v>
      </c>
      <c r="Q106" s="905">
        <v>43185</v>
      </c>
      <c r="R106" s="801"/>
    </row>
    <row r="107" spans="1:19" ht="15" customHeight="1">
      <c r="A107" s="902" t="s">
        <v>1572</v>
      </c>
      <c r="B107" s="902" t="s">
        <v>58</v>
      </c>
      <c r="C107" s="902" t="s">
        <v>57</v>
      </c>
      <c r="D107" s="903" t="s">
        <v>1573</v>
      </c>
      <c r="E107" s="902" t="s">
        <v>396</v>
      </c>
      <c r="F107" s="902" t="s">
        <v>1576</v>
      </c>
      <c r="G107" s="904">
        <v>2725000</v>
      </c>
      <c r="H107" s="902" t="s">
        <v>216</v>
      </c>
      <c r="I107" s="905">
        <v>42744</v>
      </c>
      <c r="J107" s="905">
        <v>42775</v>
      </c>
      <c r="K107" s="902" t="s">
        <v>2030</v>
      </c>
      <c r="L107" s="904">
        <v>2677121</v>
      </c>
      <c r="M107" s="904">
        <v>3239315</v>
      </c>
      <c r="N107" s="905">
        <v>42969</v>
      </c>
      <c r="O107" s="905"/>
      <c r="P107" s="905">
        <v>42971</v>
      </c>
      <c r="Q107" s="905">
        <v>43066</v>
      </c>
      <c r="R107" s="996" t="s">
        <v>1875</v>
      </c>
    </row>
    <row r="108" spans="1:19" ht="15" customHeight="1">
      <c r="A108" s="872" t="s">
        <v>1601</v>
      </c>
      <c r="B108" s="872" t="s">
        <v>1577</v>
      </c>
      <c r="C108" s="872" t="s">
        <v>1578</v>
      </c>
      <c r="D108" s="873" t="s">
        <v>1579</v>
      </c>
      <c r="E108" s="872" t="s">
        <v>1580</v>
      </c>
      <c r="F108" s="872" t="s">
        <v>1581</v>
      </c>
      <c r="G108" s="875">
        <v>7700000</v>
      </c>
      <c r="H108" s="872" t="s">
        <v>251</v>
      </c>
      <c r="I108" s="874">
        <v>42783</v>
      </c>
      <c r="J108" s="874">
        <v>42829</v>
      </c>
      <c r="K108" s="876" t="s">
        <v>242</v>
      </c>
      <c r="L108" s="875"/>
      <c r="M108" s="875"/>
      <c r="N108" s="872"/>
      <c r="O108" s="872"/>
      <c r="P108" s="874">
        <v>42857</v>
      </c>
      <c r="Q108" s="872"/>
      <c r="R108" s="801"/>
    </row>
    <row r="109" spans="1:19" ht="15" customHeight="1">
      <c r="A109" s="872" t="s">
        <v>1600</v>
      </c>
      <c r="B109" s="872" t="s">
        <v>166</v>
      </c>
      <c r="C109" s="872" t="s">
        <v>167</v>
      </c>
      <c r="D109" s="873" t="s">
        <v>1582</v>
      </c>
      <c r="E109" s="506" t="s">
        <v>1438</v>
      </c>
      <c r="F109" s="508" t="s">
        <v>811</v>
      </c>
      <c r="G109" s="509">
        <v>700000</v>
      </c>
      <c r="H109" s="872" t="s">
        <v>112</v>
      </c>
      <c r="I109" s="874">
        <v>42746</v>
      </c>
      <c r="J109" s="874">
        <v>42765</v>
      </c>
      <c r="K109" s="876" t="s">
        <v>242</v>
      </c>
      <c r="L109" s="875"/>
      <c r="M109" s="875"/>
      <c r="N109" s="872"/>
      <c r="O109" s="872"/>
      <c r="P109" s="874">
        <v>42857</v>
      </c>
      <c r="Q109" s="872"/>
      <c r="R109" s="801"/>
    </row>
    <row r="110" spans="1:19" ht="15" customHeight="1">
      <c r="A110" s="902" t="s">
        <v>1599</v>
      </c>
      <c r="B110" s="902" t="s">
        <v>58</v>
      </c>
      <c r="C110" s="902" t="s">
        <v>55</v>
      </c>
      <c r="D110" s="903" t="s">
        <v>1633</v>
      </c>
      <c r="E110" s="902" t="s">
        <v>1159</v>
      </c>
      <c r="F110" s="902" t="s">
        <v>764</v>
      </c>
      <c r="G110" s="904">
        <v>565000</v>
      </c>
      <c r="H110" s="902" t="s">
        <v>112</v>
      </c>
      <c r="I110" s="905">
        <v>42754</v>
      </c>
      <c r="J110" s="905">
        <v>42765</v>
      </c>
      <c r="K110" s="902" t="s">
        <v>1647</v>
      </c>
      <c r="L110" s="904">
        <v>376800</v>
      </c>
      <c r="M110" s="904">
        <f>L110*1.21</f>
        <v>455928</v>
      </c>
      <c r="N110" s="905">
        <v>42796</v>
      </c>
      <c r="O110" s="905"/>
      <c r="P110" s="905">
        <v>42802</v>
      </c>
      <c r="Q110" s="1004">
        <v>42870</v>
      </c>
      <c r="R110" s="996" t="s">
        <v>1875</v>
      </c>
    </row>
    <row r="111" spans="1:19" ht="15" customHeight="1">
      <c r="A111" s="902" t="s">
        <v>1602</v>
      </c>
      <c r="B111" s="902" t="s">
        <v>58</v>
      </c>
      <c r="C111" s="902" t="s">
        <v>57</v>
      </c>
      <c r="D111" s="903" t="s">
        <v>1604</v>
      </c>
      <c r="E111" s="902" t="s">
        <v>790</v>
      </c>
      <c r="F111" s="902" t="s">
        <v>1606</v>
      </c>
      <c r="G111" s="904">
        <v>170000</v>
      </c>
      <c r="H111" s="902" t="s">
        <v>112</v>
      </c>
      <c r="I111" s="905">
        <v>42780</v>
      </c>
      <c r="J111" s="905">
        <v>42793</v>
      </c>
      <c r="K111" s="902" t="s">
        <v>1716</v>
      </c>
      <c r="L111" s="904">
        <v>78000</v>
      </c>
      <c r="M111" s="904">
        <v>94380</v>
      </c>
      <c r="N111" s="905">
        <v>42844</v>
      </c>
      <c r="O111" s="905"/>
      <c r="P111" s="902" t="s">
        <v>239</v>
      </c>
      <c r="Q111" s="902" t="s">
        <v>239</v>
      </c>
      <c r="R111" s="801"/>
    </row>
    <row r="112" spans="1:19" ht="15" customHeight="1">
      <c r="A112" s="902" t="s">
        <v>1603</v>
      </c>
      <c r="B112" s="902" t="s">
        <v>58</v>
      </c>
      <c r="C112" s="902" t="s">
        <v>57</v>
      </c>
      <c r="D112" s="903" t="s">
        <v>1605</v>
      </c>
      <c r="E112" s="902" t="s">
        <v>792</v>
      </c>
      <c r="F112" s="902" t="s">
        <v>1607</v>
      </c>
      <c r="G112" s="904">
        <v>250000</v>
      </c>
      <c r="H112" s="902" t="s">
        <v>112</v>
      </c>
      <c r="I112" s="905">
        <v>42780</v>
      </c>
      <c r="J112" s="905">
        <v>42793</v>
      </c>
      <c r="K112" s="902" t="s">
        <v>1196</v>
      </c>
      <c r="L112" s="904">
        <v>132275</v>
      </c>
      <c r="M112" s="904">
        <v>160052.75</v>
      </c>
      <c r="N112" s="905">
        <v>42844</v>
      </c>
      <c r="O112" s="905"/>
      <c r="P112" s="902" t="s">
        <v>239</v>
      </c>
      <c r="Q112" s="902" t="s">
        <v>239</v>
      </c>
      <c r="R112" s="801"/>
    </row>
    <row r="113" spans="1:25" ht="15" customHeight="1">
      <c r="A113" s="902" t="s">
        <v>1608</v>
      </c>
      <c r="B113" s="902" t="s">
        <v>58</v>
      </c>
      <c r="C113" s="902" t="s">
        <v>57</v>
      </c>
      <c r="D113" s="903" t="s">
        <v>2608</v>
      </c>
      <c r="E113" s="902" t="s">
        <v>1159</v>
      </c>
      <c r="F113" s="902" t="s">
        <v>1611</v>
      </c>
      <c r="G113" s="904">
        <v>7000000</v>
      </c>
      <c r="H113" s="902" t="s">
        <v>251</v>
      </c>
      <c r="I113" s="905">
        <v>42780</v>
      </c>
      <c r="J113" s="905">
        <v>42825</v>
      </c>
      <c r="K113" s="902" t="s">
        <v>1792</v>
      </c>
      <c r="L113" s="904">
        <v>5618800</v>
      </c>
      <c r="M113" s="904">
        <v>6798748</v>
      </c>
      <c r="N113" s="905">
        <v>42873</v>
      </c>
      <c r="O113" s="905"/>
      <c r="P113" s="905">
        <v>42878</v>
      </c>
      <c r="Q113" s="905">
        <v>43185</v>
      </c>
      <c r="R113" s="996" t="s">
        <v>1875</v>
      </c>
    </row>
    <row r="114" spans="1:25" ht="15" customHeight="1">
      <c r="A114" s="902" t="s">
        <v>1609</v>
      </c>
      <c r="B114" s="902" t="s">
        <v>58</v>
      </c>
      <c r="C114" s="902" t="s">
        <v>57</v>
      </c>
      <c r="D114" s="903" t="s">
        <v>1610</v>
      </c>
      <c r="E114" s="902" t="s">
        <v>1612</v>
      </c>
      <c r="F114" s="902" t="s">
        <v>1613</v>
      </c>
      <c r="G114" s="904">
        <v>3200000</v>
      </c>
      <c r="H114" s="902" t="s">
        <v>216</v>
      </c>
      <c r="I114" s="905">
        <v>42780</v>
      </c>
      <c r="J114" s="905">
        <v>42815</v>
      </c>
      <c r="K114" s="902" t="s">
        <v>1792</v>
      </c>
      <c r="L114" s="904">
        <v>5309800</v>
      </c>
      <c r="M114" s="904">
        <v>6424858</v>
      </c>
      <c r="N114" s="905">
        <v>42864</v>
      </c>
      <c r="O114" s="905"/>
      <c r="P114" s="905">
        <v>42866</v>
      </c>
      <c r="Q114" s="905">
        <v>43185</v>
      </c>
      <c r="R114" s="996" t="s">
        <v>1875</v>
      </c>
    </row>
    <row r="115" spans="1:25" s="867" customFormat="1" ht="15" customHeight="1">
      <c r="A115" s="902" t="s">
        <v>1620</v>
      </c>
      <c r="B115" s="902" t="s">
        <v>289</v>
      </c>
      <c r="C115" s="902" t="s">
        <v>1621</v>
      </c>
      <c r="D115" s="903" t="s">
        <v>1622</v>
      </c>
      <c r="E115" s="902" t="s">
        <v>1623</v>
      </c>
      <c r="F115" s="902"/>
      <c r="G115" s="904">
        <v>580000</v>
      </c>
      <c r="H115" s="902" t="s">
        <v>112</v>
      </c>
      <c r="I115" s="905">
        <v>42773</v>
      </c>
      <c r="J115" s="905">
        <v>42786</v>
      </c>
      <c r="K115" s="902" t="s">
        <v>1654</v>
      </c>
      <c r="L115" s="904">
        <v>625000</v>
      </c>
      <c r="M115" s="904">
        <f>L115*1.21</f>
        <v>756250</v>
      </c>
      <c r="N115" s="905">
        <v>42843</v>
      </c>
      <c r="O115" s="905" t="s">
        <v>2585</v>
      </c>
      <c r="P115" s="905">
        <v>42843</v>
      </c>
      <c r="Q115" s="905">
        <v>43164</v>
      </c>
      <c r="R115" s="905">
        <v>43551</v>
      </c>
      <c r="S115" s="1319">
        <v>43892</v>
      </c>
      <c r="T115" s="1319">
        <v>44278</v>
      </c>
      <c r="U115" s="1675">
        <v>44642</v>
      </c>
      <c r="V115" s="2561">
        <v>2023</v>
      </c>
      <c r="W115" s="2561">
        <v>2024</v>
      </c>
      <c r="X115" s="2561">
        <v>2025</v>
      </c>
      <c r="Y115" s="1209" t="s">
        <v>4129</v>
      </c>
    </row>
    <row r="116" spans="1:25" ht="15" customHeight="1">
      <c r="A116" s="872" t="s">
        <v>1614</v>
      </c>
      <c r="B116" s="872" t="s">
        <v>69</v>
      </c>
      <c r="C116" s="872" t="s">
        <v>70</v>
      </c>
      <c r="D116" s="873" t="s">
        <v>1615</v>
      </c>
      <c r="E116" s="872" t="s">
        <v>1616</v>
      </c>
      <c r="F116" s="872"/>
      <c r="G116" s="875">
        <v>8600000</v>
      </c>
      <c r="H116" s="872" t="s">
        <v>251</v>
      </c>
      <c r="I116" s="874">
        <v>42767</v>
      </c>
      <c r="J116" s="874">
        <v>42803</v>
      </c>
      <c r="K116" s="876" t="s">
        <v>242</v>
      </c>
      <c r="L116" s="875"/>
      <c r="M116" s="875"/>
      <c r="N116" s="872"/>
      <c r="O116" s="872"/>
      <c r="P116" s="874">
        <v>42870</v>
      </c>
      <c r="Q116" s="872"/>
      <c r="R116" s="801"/>
    </row>
    <row r="117" spans="1:25" ht="15.75" customHeight="1" thickBot="1">
      <c r="A117" s="872" t="s">
        <v>1624</v>
      </c>
      <c r="B117" s="872" t="s">
        <v>218</v>
      </c>
      <c r="C117" s="872" t="s">
        <v>57</v>
      </c>
      <c r="D117" s="873" t="s">
        <v>674</v>
      </c>
      <c r="E117" s="872" t="s">
        <v>1625</v>
      </c>
      <c r="F117" s="872"/>
      <c r="G117" s="875">
        <v>26000000</v>
      </c>
      <c r="H117" s="872" t="s">
        <v>251</v>
      </c>
      <c r="I117" s="874">
        <v>42783</v>
      </c>
      <c r="J117" s="874">
        <v>42823</v>
      </c>
      <c r="K117" s="876" t="s">
        <v>1785</v>
      </c>
      <c r="L117" s="875"/>
      <c r="M117" s="875"/>
      <c r="N117" s="872"/>
      <c r="O117" s="872"/>
      <c r="P117" s="874">
        <v>42825</v>
      </c>
      <c r="Q117" s="872"/>
      <c r="R117" s="801"/>
    </row>
    <row r="118" spans="1:25" s="1040" customFormat="1" ht="15.75" customHeight="1" thickTop="1">
      <c r="A118" s="989" t="s">
        <v>1626</v>
      </c>
      <c r="B118" s="985" t="s">
        <v>58</v>
      </c>
      <c r="C118" s="985" t="s">
        <v>57</v>
      </c>
      <c r="D118" s="939" t="s">
        <v>1630</v>
      </c>
      <c r="E118" s="985" t="s">
        <v>462</v>
      </c>
      <c r="F118" s="985" t="s">
        <v>1640</v>
      </c>
      <c r="G118" s="986">
        <v>2150000</v>
      </c>
      <c r="H118" s="985" t="s">
        <v>251</v>
      </c>
      <c r="I118" s="987">
        <v>42768</v>
      </c>
      <c r="J118" s="987">
        <v>42808</v>
      </c>
      <c r="K118" s="985" t="s">
        <v>1239</v>
      </c>
      <c r="L118" s="986">
        <v>2352280</v>
      </c>
      <c r="M118" s="986">
        <v>2846258.8</v>
      </c>
      <c r="N118" s="987">
        <v>42874</v>
      </c>
      <c r="O118" s="987"/>
      <c r="P118" s="987">
        <v>42880</v>
      </c>
      <c r="Q118" s="1088">
        <v>43006</v>
      </c>
      <c r="R118" s="996" t="s">
        <v>1875</v>
      </c>
      <c r="S118" s="802"/>
    </row>
    <row r="119" spans="1:25" s="1040" customFormat="1" ht="15" customHeight="1">
      <c r="A119" s="1014" t="s">
        <v>1626</v>
      </c>
      <c r="B119" s="902" t="s">
        <v>58</v>
      </c>
      <c r="C119" s="902" t="s">
        <v>57</v>
      </c>
      <c r="D119" s="903" t="s">
        <v>1631</v>
      </c>
      <c r="E119" s="902" t="s">
        <v>462</v>
      </c>
      <c r="F119" s="902" t="s">
        <v>1641</v>
      </c>
      <c r="G119" s="904">
        <v>330000</v>
      </c>
      <c r="H119" s="902" t="s">
        <v>251</v>
      </c>
      <c r="I119" s="905">
        <v>42768</v>
      </c>
      <c r="J119" s="905">
        <v>42808</v>
      </c>
      <c r="K119" s="902" t="s">
        <v>1239</v>
      </c>
      <c r="L119" s="904">
        <v>429480</v>
      </c>
      <c r="M119" s="904">
        <v>519670.8</v>
      </c>
      <c r="N119" s="905">
        <v>42874</v>
      </c>
      <c r="O119" s="905"/>
      <c r="P119" s="905">
        <v>42880</v>
      </c>
      <c r="Q119" s="1089">
        <v>43006</v>
      </c>
      <c r="R119" s="996" t="s">
        <v>1875</v>
      </c>
      <c r="S119" s="802"/>
    </row>
    <row r="120" spans="1:25" s="1040" customFormat="1" ht="15.75" customHeight="1" thickBot="1">
      <c r="A120" s="990" t="s">
        <v>1626</v>
      </c>
      <c r="B120" s="981" t="s">
        <v>58</v>
      </c>
      <c r="C120" s="981" t="s">
        <v>57</v>
      </c>
      <c r="D120" s="940" t="s">
        <v>1632</v>
      </c>
      <c r="E120" s="981" t="s">
        <v>462</v>
      </c>
      <c r="F120" s="981" t="s">
        <v>1642</v>
      </c>
      <c r="G120" s="983">
        <v>245000</v>
      </c>
      <c r="H120" s="981" t="s">
        <v>251</v>
      </c>
      <c r="I120" s="982">
        <v>42768</v>
      </c>
      <c r="J120" s="982">
        <v>42808</v>
      </c>
      <c r="K120" s="981" t="s">
        <v>1239</v>
      </c>
      <c r="L120" s="983">
        <v>354580</v>
      </c>
      <c r="M120" s="983">
        <v>429041.8</v>
      </c>
      <c r="N120" s="982">
        <v>42874</v>
      </c>
      <c r="O120" s="1317"/>
      <c r="P120" s="982">
        <v>42880</v>
      </c>
      <c r="Q120" s="1090">
        <v>43006</v>
      </c>
      <c r="R120" s="996" t="s">
        <v>1875</v>
      </c>
      <c r="S120" s="802"/>
    </row>
    <row r="121" spans="1:25" ht="15.75" customHeight="1" thickTop="1">
      <c r="A121" s="913" t="s">
        <v>1629</v>
      </c>
      <c r="B121" s="913" t="s">
        <v>166</v>
      </c>
      <c r="C121" s="913" t="s">
        <v>167</v>
      </c>
      <c r="D121" s="914" t="s">
        <v>1627</v>
      </c>
      <c r="E121" s="913" t="s">
        <v>1438</v>
      </c>
      <c r="F121" s="913" t="s">
        <v>1628</v>
      </c>
      <c r="G121" s="915">
        <v>930000</v>
      </c>
      <c r="H121" s="913" t="s">
        <v>112</v>
      </c>
      <c r="I121" s="916">
        <v>42786</v>
      </c>
      <c r="J121" s="916">
        <v>42800</v>
      </c>
      <c r="K121" s="913" t="s">
        <v>1715</v>
      </c>
      <c r="L121" s="915">
        <v>948624</v>
      </c>
      <c r="M121" s="915">
        <v>1147835</v>
      </c>
      <c r="N121" s="916">
        <v>42829</v>
      </c>
      <c r="O121" s="916"/>
      <c r="P121" s="916">
        <v>42830</v>
      </c>
      <c r="Q121" s="916">
        <v>42940</v>
      </c>
      <c r="R121" s="801"/>
    </row>
    <row r="122" spans="1:25" ht="15" customHeight="1">
      <c r="A122" s="902" t="s">
        <v>1634</v>
      </c>
      <c r="B122" s="902" t="s">
        <v>1503</v>
      </c>
      <c r="C122" s="902" t="s">
        <v>918</v>
      </c>
      <c r="D122" s="903" t="s">
        <v>1635</v>
      </c>
      <c r="E122" s="902" t="s">
        <v>1518</v>
      </c>
      <c r="F122" s="902"/>
      <c r="G122" s="904">
        <v>800000</v>
      </c>
      <c r="H122" s="902" t="s">
        <v>112</v>
      </c>
      <c r="I122" s="905">
        <v>42776</v>
      </c>
      <c r="J122" s="905">
        <v>42793</v>
      </c>
      <c r="K122" s="1032" t="s">
        <v>1697</v>
      </c>
      <c r="L122" s="904">
        <v>759998.4</v>
      </c>
      <c r="M122" s="904">
        <f>L122*1.21</f>
        <v>919598.06400000001</v>
      </c>
      <c r="N122" s="905">
        <v>42830</v>
      </c>
      <c r="O122" s="905" t="s">
        <v>2585</v>
      </c>
      <c r="P122" s="905">
        <v>42831</v>
      </c>
      <c r="Q122" s="905">
        <v>43551</v>
      </c>
      <c r="R122" s="905">
        <v>43906</v>
      </c>
      <c r="S122" s="1319">
        <v>44278</v>
      </c>
      <c r="T122" s="1319">
        <v>44644</v>
      </c>
      <c r="U122" s="1209" t="s">
        <v>4129</v>
      </c>
    </row>
    <row r="123" spans="1:25" ht="15" customHeight="1">
      <c r="A123" s="872" t="s">
        <v>1636</v>
      </c>
      <c r="B123" s="872" t="s">
        <v>1503</v>
      </c>
      <c r="C123" s="872" t="s">
        <v>918</v>
      </c>
      <c r="D123" s="873" t="s">
        <v>1637</v>
      </c>
      <c r="E123" s="872" t="s">
        <v>1518</v>
      </c>
      <c r="F123" s="872"/>
      <c r="G123" s="875">
        <v>1000000</v>
      </c>
      <c r="H123" s="872" t="s">
        <v>112</v>
      </c>
      <c r="I123" s="874">
        <v>42790</v>
      </c>
      <c r="J123" s="874">
        <v>42804</v>
      </c>
      <c r="K123" s="876" t="s">
        <v>242</v>
      </c>
      <c r="L123" s="875"/>
      <c r="M123" s="875"/>
      <c r="N123" s="872"/>
      <c r="O123" s="872"/>
      <c r="P123" s="872" t="s">
        <v>239</v>
      </c>
      <c r="Q123" s="872"/>
      <c r="R123" s="801"/>
    </row>
    <row r="124" spans="1:25" ht="15" customHeight="1">
      <c r="A124" s="902" t="s">
        <v>1638</v>
      </c>
      <c r="B124" s="902" t="s">
        <v>1503</v>
      </c>
      <c r="C124" s="902" t="s">
        <v>918</v>
      </c>
      <c r="D124" s="903" t="s">
        <v>1639</v>
      </c>
      <c r="E124" s="902" t="s">
        <v>1518</v>
      </c>
      <c r="F124" s="902"/>
      <c r="G124" s="904">
        <v>3200000</v>
      </c>
      <c r="H124" s="902" t="s">
        <v>216</v>
      </c>
      <c r="I124" s="905">
        <v>42781</v>
      </c>
      <c r="J124" s="905">
        <v>42801</v>
      </c>
      <c r="K124" s="902" t="s">
        <v>1714</v>
      </c>
      <c r="L124" s="904">
        <v>3168088</v>
      </c>
      <c r="M124" s="904">
        <v>3758570.32</v>
      </c>
      <c r="N124" s="905">
        <v>42835</v>
      </c>
      <c r="O124" s="905" t="s">
        <v>2585</v>
      </c>
      <c r="P124" s="905">
        <v>42838</v>
      </c>
      <c r="Q124" s="905">
        <v>43551</v>
      </c>
      <c r="R124" s="905">
        <v>44228</v>
      </c>
      <c r="S124" s="1930">
        <v>44865</v>
      </c>
      <c r="T124" s="1016"/>
      <c r="U124" s="1016"/>
    </row>
    <row r="125" spans="1:25" ht="15.75" customHeight="1" thickBot="1">
      <c r="A125" s="913" t="s">
        <v>4159</v>
      </c>
      <c r="B125" s="913" t="s">
        <v>654</v>
      </c>
      <c r="C125" s="913" t="s">
        <v>1643</v>
      </c>
      <c r="D125" s="914" t="s">
        <v>1644</v>
      </c>
      <c r="E125" s="913" t="s">
        <v>1645</v>
      </c>
      <c r="F125" s="913"/>
      <c r="G125" s="915">
        <v>500000</v>
      </c>
      <c r="H125" s="913" t="s">
        <v>112</v>
      </c>
      <c r="I125" s="916">
        <v>42776</v>
      </c>
      <c r="J125" s="916">
        <v>42794</v>
      </c>
      <c r="K125" s="913" t="s">
        <v>1696</v>
      </c>
      <c r="L125" s="915">
        <v>456000</v>
      </c>
      <c r="M125" s="915">
        <f>L125*1.21</f>
        <v>551760</v>
      </c>
      <c r="N125" s="916">
        <v>42809</v>
      </c>
      <c r="O125" s="916">
        <v>44316</v>
      </c>
      <c r="P125" s="916">
        <v>42810</v>
      </c>
      <c r="Q125" s="916">
        <v>43551</v>
      </c>
      <c r="R125" s="1127">
        <v>44376</v>
      </c>
      <c r="T125" s="1016"/>
    </row>
    <row r="126" spans="1:25" ht="15.75" customHeight="1" thickTop="1">
      <c r="A126" s="882" t="s">
        <v>1650</v>
      </c>
      <c r="B126" s="883" t="s">
        <v>166</v>
      </c>
      <c r="C126" s="883" t="s">
        <v>167</v>
      </c>
      <c r="D126" s="884" t="s">
        <v>1679</v>
      </c>
      <c r="E126" s="883" t="s">
        <v>1274</v>
      </c>
      <c r="F126" s="883"/>
      <c r="G126" s="885">
        <v>300000</v>
      </c>
      <c r="H126" s="883" t="s">
        <v>112</v>
      </c>
      <c r="I126" s="886">
        <v>42786</v>
      </c>
      <c r="J126" s="886">
        <v>42796</v>
      </c>
      <c r="K126" s="894" t="s">
        <v>242</v>
      </c>
      <c r="L126" s="885"/>
      <c r="M126" s="885"/>
      <c r="N126" s="883"/>
      <c r="O126" s="883"/>
      <c r="P126" s="883" t="s">
        <v>239</v>
      </c>
      <c r="Q126" s="887"/>
      <c r="R126" s="1083"/>
    </row>
    <row r="127" spans="1:25" s="879" customFormat="1" ht="15.75" customHeight="1" thickBot="1">
      <c r="A127" s="888" t="s">
        <v>1650</v>
      </c>
      <c r="B127" s="889" t="s">
        <v>166</v>
      </c>
      <c r="C127" s="889" t="s">
        <v>167</v>
      </c>
      <c r="D127" s="890" t="s">
        <v>1680</v>
      </c>
      <c r="E127" s="889" t="s">
        <v>1274</v>
      </c>
      <c r="F127" s="889"/>
      <c r="G127" s="891">
        <v>300000</v>
      </c>
      <c r="H127" s="889" t="s">
        <v>112</v>
      </c>
      <c r="I127" s="892">
        <v>42786</v>
      </c>
      <c r="J127" s="892">
        <v>42796</v>
      </c>
      <c r="K127" s="895" t="s">
        <v>242</v>
      </c>
      <c r="L127" s="891"/>
      <c r="M127" s="891"/>
      <c r="N127" s="889"/>
      <c r="O127" s="1282"/>
      <c r="P127" s="889" t="s">
        <v>239</v>
      </c>
      <c r="Q127" s="893"/>
      <c r="R127" s="1083"/>
      <c r="S127" s="802"/>
    </row>
    <row r="128" spans="1:25" ht="15.75" customHeight="1" thickTop="1">
      <c r="A128" s="991" t="s">
        <v>1656</v>
      </c>
      <c r="B128" s="991" t="s">
        <v>1450</v>
      </c>
      <c r="C128" s="991" t="s">
        <v>232</v>
      </c>
      <c r="D128" s="567" t="s">
        <v>1657</v>
      </c>
      <c r="E128" s="991" t="s">
        <v>1658</v>
      </c>
      <c r="F128" s="991"/>
      <c r="G128" s="992">
        <v>520000</v>
      </c>
      <c r="H128" s="991" t="s">
        <v>112</v>
      </c>
      <c r="I128" s="993">
        <v>42814</v>
      </c>
      <c r="J128" s="993">
        <v>42822</v>
      </c>
      <c r="K128" s="1010" t="s">
        <v>1847</v>
      </c>
      <c r="L128" s="1011">
        <v>446660</v>
      </c>
      <c r="M128" s="1011">
        <f>L128*1.21</f>
        <v>540458.6</v>
      </c>
      <c r="N128" s="993">
        <v>42873</v>
      </c>
      <c r="O128" s="993">
        <v>44333</v>
      </c>
      <c r="P128" s="993">
        <v>42874</v>
      </c>
      <c r="Q128" s="993">
        <v>43181</v>
      </c>
      <c r="R128" s="905">
        <v>43551</v>
      </c>
      <c r="S128" s="1319">
        <v>44089</v>
      </c>
      <c r="T128" s="1319">
        <v>44278</v>
      </c>
      <c r="U128" s="1675">
        <v>44642</v>
      </c>
    </row>
    <row r="129" spans="1:18" ht="15" customHeight="1">
      <c r="A129" s="902" t="s">
        <v>1659</v>
      </c>
      <c r="B129" s="902" t="s">
        <v>1032</v>
      </c>
      <c r="C129" s="902" t="s">
        <v>1033</v>
      </c>
      <c r="D129" s="903" t="s">
        <v>1660</v>
      </c>
      <c r="E129" s="902" t="s">
        <v>1705</v>
      </c>
      <c r="F129" s="902"/>
      <c r="G129" s="904">
        <v>300000</v>
      </c>
      <c r="H129" s="902" t="s">
        <v>112</v>
      </c>
      <c r="I129" s="905">
        <v>42802</v>
      </c>
      <c r="J129" s="905">
        <v>42811</v>
      </c>
      <c r="K129" s="902" t="s">
        <v>1786</v>
      </c>
      <c r="L129" s="904">
        <v>189000</v>
      </c>
      <c r="M129" s="904">
        <v>228690</v>
      </c>
      <c r="N129" s="905">
        <v>42851</v>
      </c>
      <c r="O129" s="905"/>
      <c r="P129" s="902" t="s">
        <v>239</v>
      </c>
      <c r="Q129" s="902" t="s">
        <v>239</v>
      </c>
      <c r="R129" s="801"/>
    </row>
    <row r="130" spans="1:18" ht="15" customHeight="1">
      <c r="A130" s="872" t="s">
        <v>1655</v>
      </c>
      <c r="B130" s="872" t="s">
        <v>58</v>
      </c>
      <c r="C130" s="872" t="s">
        <v>57</v>
      </c>
      <c r="D130" s="873" t="s">
        <v>1661</v>
      </c>
      <c r="E130" s="872" t="s">
        <v>737</v>
      </c>
      <c r="F130" s="872" t="s">
        <v>1662</v>
      </c>
      <c r="G130" s="875">
        <v>2480000</v>
      </c>
      <c r="H130" s="872" t="s">
        <v>216</v>
      </c>
      <c r="I130" s="874">
        <v>42790</v>
      </c>
      <c r="J130" s="874">
        <v>42828</v>
      </c>
      <c r="K130" s="876" t="s">
        <v>242</v>
      </c>
      <c r="L130" s="875"/>
      <c r="M130" s="875"/>
      <c r="N130" s="872"/>
      <c r="O130" s="872"/>
      <c r="P130" s="874">
        <v>42825</v>
      </c>
      <c r="Q130" s="872"/>
      <c r="R130" s="801"/>
    </row>
    <row r="131" spans="1:18" ht="15" customHeight="1">
      <c r="A131" s="902" t="s">
        <v>1663</v>
      </c>
      <c r="B131" s="902" t="s">
        <v>58</v>
      </c>
      <c r="C131" s="902" t="s">
        <v>57</v>
      </c>
      <c r="D131" s="903" t="s">
        <v>1666</v>
      </c>
      <c r="E131" s="902" t="s">
        <v>1668</v>
      </c>
      <c r="F131" s="902" t="s">
        <v>1669</v>
      </c>
      <c r="G131" s="904">
        <v>660000</v>
      </c>
      <c r="H131" s="902" t="s">
        <v>112</v>
      </c>
      <c r="I131" s="905">
        <v>42790</v>
      </c>
      <c r="J131" s="905">
        <v>42804</v>
      </c>
      <c r="K131" s="902" t="s">
        <v>1727</v>
      </c>
      <c r="L131" s="904">
        <v>572808</v>
      </c>
      <c r="M131" s="904">
        <v>693097.68</v>
      </c>
      <c r="N131" s="905">
        <v>42846</v>
      </c>
      <c r="O131" s="905"/>
      <c r="P131" s="905">
        <v>42850</v>
      </c>
      <c r="Q131" s="905">
        <v>42961</v>
      </c>
      <c r="R131" s="996" t="s">
        <v>1875</v>
      </c>
    </row>
    <row r="132" spans="1:18" ht="15" customHeight="1">
      <c r="A132" s="902" t="s">
        <v>1664</v>
      </c>
      <c r="B132" s="902" t="s">
        <v>58</v>
      </c>
      <c r="C132" s="902" t="s">
        <v>57</v>
      </c>
      <c r="D132" s="903" t="s">
        <v>1670</v>
      </c>
      <c r="E132" s="902" t="s">
        <v>1671</v>
      </c>
      <c r="F132" s="902" t="s">
        <v>1672</v>
      </c>
      <c r="G132" s="904">
        <v>390000</v>
      </c>
      <c r="H132" s="902" t="s">
        <v>112</v>
      </c>
      <c r="I132" s="905">
        <v>42794</v>
      </c>
      <c r="J132" s="905">
        <v>42807</v>
      </c>
      <c r="K132" s="902" t="s">
        <v>1728</v>
      </c>
      <c r="L132" s="904">
        <v>403160</v>
      </c>
      <c r="M132" s="904">
        <v>487823.6</v>
      </c>
      <c r="N132" s="905">
        <v>42867</v>
      </c>
      <c r="O132" s="905"/>
      <c r="P132" s="902" t="s">
        <v>239</v>
      </c>
      <c r="Q132" s="902" t="s">
        <v>239</v>
      </c>
      <c r="R132" s="801"/>
    </row>
    <row r="133" spans="1:18" ht="15" customHeight="1">
      <c r="A133" s="902" t="s">
        <v>1665</v>
      </c>
      <c r="B133" s="902" t="s">
        <v>58</v>
      </c>
      <c r="C133" s="902" t="s">
        <v>57</v>
      </c>
      <c r="D133" s="903" t="s">
        <v>1667</v>
      </c>
      <c r="E133" s="902" t="s">
        <v>1673</v>
      </c>
      <c r="F133" s="902"/>
      <c r="G133" s="904">
        <v>375000</v>
      </c>
      <c r="H133" s="902" t="s">
        <v>112</v>
      </c>
      <c r="I133" s="905">
        <v>42801</v>
      </c>
      <c r="J133" s="905">
        <v>42811</v>
      </c>
      <c r="K133" s="902" t="s">
        <v>1787</v>
      </c>
      <c r="L133" s="904">
        <v>563294.9</v>
      </c>
      <c r="M133" s="904">
        <v>681586.4</v>
      </c>
      <c r="N133" s="905">
        <v>42844</v>
      </c>
      <c r="O133" s="905"/>
      <c r="P133" s="902" t="s">
        <v>239</v>
      </c>
      <c r="Q133" s="902" t="s">
        <v>239</v>
      </c>
      <c r="R133" s="801"/>
    </row>
    <row r="134" spans="1:18" ht="15" customHeight="1">
      <c r="A134" s="872" t="s">
        <v>1674</v>
      </c>
      <c r="B134" s="872" t="s">
        <v>166</v>
      </c>
      <c r="C134" s="872" t="s">
        <v>167</v>
      </c>
      <c r="D134" s="873" t="s">
        <v>1675</v>
      </c>
      <c r="E134" s="872" t="s">
        <v>1676</v>
      </c>
      <c r="F134" s="872"/>
      <c r="G134" s="875">
        <v>3500000</v>
      </c>
      <c r="H134" s="872" t="s">
        <v>112</v>
      </c>
      <c r="I134" s="874">
        <v>42794</v>
      </c>
      <c r="J134" s="874">
        <v>42801</v>
      </c>
      <c r="K134" s="876" t="s">
        <v>1192</v>
      </c>
      <c r="L134" s="875"/>
      <c r="M134" s="875"/>
      <c r="N134" s="872"/>
      <c r="O134" s="872"/>
      <c r="P134" s="872" t="s">
        <v>239</v>
      </c>
      <c r="Q134" s="872"/>
      <c r="R134" s="801"/>
    </row>
    <row r="135" spans="1:18" ht="15.75" customHeight="1" thickBot="1">
      <c r="A135" s="925" t="s">
        <v>1677</v>
      </c>
      <c r="B135" s="925" t="s">
        <v>166</v>
      </c>
      <c r="C135" s="925" t="s">
        <v>167</v>
      </c>
      <c r="D135" s="926" t="s">
        <v>1678</v>
      </c>
      <c r="E135" s="925" t="s">
        <v>1676</v>
      </c>
      <c r="F135" s="925"/>
      <c r="G135" s="927">
        <v>3500000</v>
      </c>
      <c r="H135" s="925" t="s">
        <v>112</v>
      </c>
      <c r="I135" s="928">
        <v>42794</v>
      </c>
      <c r="J135" s="928">
        <v>42804</v>
      </c>
      <c r="K135" s="929" t="s">
        <v>242</v>
      </c>
      <c r="L135" s="927"/>
      <c r="M135" s="927"/>
      <c r="N135" s="925"/>
      <c r="O135" s="925"/>
      <c r="P135" s="925" t="s">
        <v>239</v>
      </c>
      <c r="Q135" s="925"/>
      <c r="R135" s="801"/>
    </row>
    <row r="136" spans="1:18" ht="15.75" customHeight="1" thickTop="1">
      <c r="A136" s="989" t="s">
        <v>1681</v>
      </c>
      <c r="B136" s="985" t="s">
        <v>837</v>
      </c>
      <c r="C136" s="985" t="s">
        <v>1682</v>
      </c>
      <c r="D136" s="939" t="s">
        <v>1683</v>
      </c>
      <c r="E136" s="985" t="s">
        <v>158</v>
      </c>
      <c r="F136" s="985" t="s">
        <v>1685</v>
      </c>
      <c r="G136" s="986">
        <v>145000</v>
      </c>
      <c r="H136" s="985" t="s">
        <v>112</v>
      </c>
      <c r="I136" s="987">
        <v>42796</v>
      </c>
      <c r="J136" s="987">
        <v>42807</v>
      </c>
      <c r="K136" s="985" t="s">
        <v>1648</v>
      </c>
      <c r="L136" s="986">
        <v>125052</v>
      </c>
      <c r="M136" s="986">
        <v>151312.92000000001</v>
      </c>
      <c r="N136" s="987">
        <v>42829</v>
      </c>
      <c r="O136" s="987"/>
      <c r="P136" s="985" t="s">
        <v>239</v>
      </c>
      <c r="Q136" s="988" t="s">
        <v>239</v>
      </c>
      <c r="R136" s="1083"/>
    </row>
    <row r="137" spans="1:18" ht="15.75" customHeight="1" thickBot="1">
      <c r="A137" s="990" t="s">
        <v>1681</v>
      </c>
      <c r="B137" s="981" t="s">
        <v>837</v>
      </c>
      <c r="C137" s="981" t="s">
        <v>1682</v>
      </c>
      <c r="D137" s="940" t="s">
        <v>1684</v>
      </c>
      <c r="E137" s="981" t="s">
        <v>158</v>
      </c>
      <c r="F137" s="982" t="s">
        <v>1686</v>
      </c>
      <c r="G137" s="983">
        <v>128000</v>
      </c>
      <c r="H137" s="981" t="s">
        <v>112</v>
      </c>
      <c r="I137" s="982">
        <v>42796</v>
      </c>
      <c r="J137" s="982">
        <v>42807</v>
      </c>
      <c r="K137" s="981" t="s">
        <v>1726</v>
      </c>
      <c r="L137" s="983">
        <v>114900</v>
      </c>
      <c r="M137" s="983">
        <v>139029</v>
      </c>
      <c r="N137" s="982">
        <v>42829</v>
      </c>
      <c r="O137" s="1317"/>
      <c r="P137" s="981" t="s">
        <v>239</v>
      </c>
      <c r="Q137" s="984" t="s">
        <v>239</v>
      </c>
      <c r="R137" s="1083"/>
    </row>
    <row r="138" spans="1:18" ht="15.75" customHeight="1" thickTop="1">
      <c r="A138" s="991" t="s">
        <v>1687</v>
      </c>
      <c r="B138" s="991" t="s">
        <v>837</v>
      </c>
      <c r="C138" s="991" t="s">
        <v>1682</v>
      </c>
      <c r="D138" s="567" t="s">
        <v>1688</v>
      </c>
      <c r="E138" s="991" t="s">
        <v>158</v>
      </c>
      <c r="F138" s="991" t="s">
        <v>1689</v>
      </c>
      <c r="G138" s="992">
        <v>744000</v>
      </c>
      <c r="H138" s="991" t="s">
        <v>112</v>
      </c>
      <c r="I138" s="993">
        <v>42796</v>
      </c>
      <c r="J138" s="993">
        <v>42809</v>
      </c>
      <c r="K138" s="991" t="s">
        <v>1733</v>
      </c>
      <c r="L138" s="992">
        <v>623070</v>
      </c>
      <c r="M138" s="992">
        <v>753914.7</v>
      </c>
      <c r="N138" s="993">
        <v>42844</v>
      </c>
      <c r="O138" s="993"/>
      <c r="P138" s="993">
        <v>42845</v>
      </c>
      <c r="Q138" s="993">
        <v>42982</v>
      </c>
      <c r="R138" s="801"/>
    </row>
    <row r="139" spans="1:18" ht="15" customHeight="1">
      <c r="A139" s="872" t="s">
        <v>1690</v>
      </c>
      <c r="B139" s="872" t="s">
        <v>289</v>
      </c>
      <c r="C139" s="872" t="s">
        <v>291</v>
      </c>
      <c r="D139" s="873" t="s">
        <v>1691</v>
      </c>
      <c r="E139" s="398" t="s">
        <v>678</v>
      </c>
      <c r="F139" s="872" t="s">
        <v>1692</v>
      </c>
      <c r="G139" s="875">
        <v>1470000</v>
      </c>
      <c r="H139" s="872" t="s">
        <v>112</v>
      </c>
      <c r="I139" s="874">
        <v>42795</v>
      </c>
      <c r="J139" s="874">
        <v>42814</v>
      </c>
      <c r="K139" s="876" t="s">
        <v>242</v>
      </c>
      <c r="L139" s="875"/>
      <c r="M139" s="875"/>
      <c r="N139" s="872"/>
      <c r="O139" s="872"/>
      <c r="P139" s="872" t="s">
        <v>239</v>
      </c>
      <c r="Q139" s="872"/>
      <c r="R139" s="801"/>
    </row>
    <row r="140" spans="1:18" ht="15" customHeight="1">
      <c r="A140" s="902" t="s">
        <v>1693</v>
      </c>
      <c r="B140" s="902" t="s">
        <v>1694</v>
      </c>
      <c r="C140" s="902" t="s">
        <v>417</v>
      </c>
      <c r="D140" s="903" t="s">
        <v>1307</v>
      </c>
      <c r="E140" s="491" t="s">
        <v>1695</v>
      </c>
      <c r="F140" s="976"/>
      <c r="G140" s="904">
        <v>550000</v>
      </c>
      <c r="H140" s="902" t="s">
        <v>112</v>
      </c>
      <c r="I140" s="905">
        <v>42794</v>
      </c>
      <c r="J140" s="905">
        <v>42800</v>
      </c>
      <c r="K140" s="902" t="s">
        <v>1725</v>
      </c>
      <c r="L140" s="904">
        <v>424000</v>
      </c>
      <c r="M140" s="904">
        <v>466400</v>
      </c>
      <c r="N140" s="905">
        <v>42822</v>
      </c>
      <c r="O140" s="905">
        <v>43551</v>
      </c>
      <c r="P140" s="905">
        <v>42823</v>
      </c>
      <c r="Q140" s="905">
        <v>43551</v>
      </c>
      <c r="R140" s="1078"/>
    </row>
    <row r="141" spans="1:18" ht="13.5" customHeight="1">
      <c r="A141" s="902" t="s">
        <v>1698</v>
      </c>
      <c r="B141" s="902" t="s">
        <v>1700</v>
      </c>
      <c r="C141" s="902" t="s">
        <v>1699</v>
      </c>
      <c r="D141" s="903" t="s">
        <v>1701</v>
      </c>
      <c r="E141" s="902" t="s">
        <v>505</v>
      </c>
      <c r="F141" s="902" t="s">
        <v>1704</v>
      </c>
      <c r="G141" s="904">
        <v>3901849</v>
      </c>
      <c r="H141" s="902" t="s">
        <v>251</v>
      </c>
      <c r="I141" s="905">
        <v>42802</v>
      </c>
      <c r="J141" s="905">
        <v>42844</v>
      </c>
      <c r="K141" s="902" t="s">
        <v>1714</v>
      </c>
      <c r="L141" s="904">
        <v>3517773</v>
      </c>
      <c r="M141" s="904">
        <f>L141*1.21</f>
        <v>4256505.33</v>
      </c>
      <c r="N141" s="905">
        <v>42954</v>
      </c>
      <c r="O141" s="905"/>
      <c r="P141" s="905">
        <v>42956</v>
      </c>
      <c r="Q141" s="905">
        <v>43178</v>
      </c>
      <c r="R141" s="1995">
        <v>44865</v>
      </c>
    </row>
    <row r="142" spans="1:18" ht="15" customHeight="1">
      <c r="A142" s="872" t="s">
        <v>1698</v>
      </c>
      <c r="B142" s="872" t="s">
        <v>1700</v>
      </c>
      <c r="C142" s="872" t="s">
        <v>1699</v>
      </c>
      <c r="D142" s="873" t="s">
        <v>1702</v>
      </c>
      <c r="E142" s="872" t="s">
        <v>505</v>
      </c>
      <c r="F142" s="872" t="s">
        <v>1703</v>
      </c>
      <c r="G142" s="875">
        <v>11705547</v>
      </c>
      <c r="H142" s="872" t="s">
        <v>251</v>
      </c>
      <c r="I142" s="874">
        <v>42802</v>
      </c>
      <c r="J142" s="874">
        <v>42844</v>
      </c>
      <c r="K142" s="876" t="s">
        <v>242</v>
      </c>
      <c r="L142" s="875"/>
      <c r="M142" s="875"/>
      <c r="N142" s="872"/>
      <c r="O142" s="872"/>
      <c r="P142" s="874">
        <v>42912</v>
      </c>
      <c r="Q142" s="872"/>
      <c r="R142" s="801"/>
    </row>
    <row r="143" spans="1:18" ht="15" customHeight="1">
      <c r="A143" s="902" t="s">
        <v>1706</v>
      </c>
      <c r="B143" s="902" t="s">
        <v>52</v>
      </c>
      <c r="C143" s="902" t="s">
        <v>1089</v>
      </c>
      <c r="D143" s="903" t="s">
        <v>1707</v>
      </c>
      <c r="E143" s="991" t="s">
        <v>1708</v>
      </c>
      <c r="F143" s="902" t="s">
        <v>1709</v>
      </c>
      <c r="G143" s="904">
        <v>1200000</v>
      </c>
      <c r="H143" s="902" t="s">
        <v>112</v>
      </c>
      <c r="I143" s="905">
        <v>42803</v>
      </c>
      <c r="J143" s="905">
        <v>42810</v>
      </c>
      <c r="K143" s="902" t="s">
        <v>1748</v>
      </c>
      <c r="L143" s="904">
        <v>693000</v>
      </c>
      <c r="M143" s="904">
        <v>838530</v>
      </c>
      <c r="N143" s="905">
        <v>42846</v>
      </c>
      <c r="O143" s="905"/>
      <c r="P143" s="905">
        <v>42846</v>
      </c>
      <c r="Q143" s="905">
        <v>43193</v>
      </c>
      <c r="R143" s="801"/>
    </row>
    <row r="144" spans="1:18" ht="15" customHeight="1">
      <c r="A144" s="902" t="s">
        <v>1710</v>
      </c>
      <c r="B144" s="902" t="s">
        <v>289</v>
      </c>
      <c r="C144" s="902" t="s">
        <v>291</v>
      </c>
      <c r="D144" s="903" t="s">
        <v>1721</v>
      </c>
      <c r="E144" s="991" t="s">
        <v>1711</v>
      </c>
      <c r="F144" s="902" t="s">
        <v>1724</v>
      </c>
      <c r="G144" s="904">
        <v>2730000</v>
      </c>
      <c r="H144" s="902" t="s">
        <v>251</v>
      </c>
      <c r="I144" s="905">
        <v>42809</v>
      </c>
      <c r="J144" s="905">
        <v>42859</v>
      </c>
      <c r="K144" s="902" t="s">
        <v>1860</v>
      </c>
      <c r="L144" s="904">
        <v>2876784</v>
      </c>
      <c r="M144" s="904">
        <v>3480908.64</v>
      </c>
      <c r="N144" s="905">
        <v>42901</v>
      </c>
      <c r="O144" s="905"/>
      <c r="P144" s="905">
        <v>42902</v>
      </c>
      <c r="Q144" s="905">
        <v>43115</v>
      </c>
      <c r="R144" s="801"/>
    </row>
    <row r="145" spans="1:19" s="911" customFormat="1" ht="15" customHeight="1">
      <c r="A145" s="902" t="s">
        <v>1710</v>
      </c>
      <c r="B145" s="902" t="s">
        <v>289</v>
      </c>
      <c r="C145" s="902" t="s">
        <v>291</v>
      </c>
      <c r="D145" s="903" t="s">
        <v>1722</v>
      </c>
      <c r="E145" s="991" t="s">
        <v>1711</v>
      </c>
      <c r="F145" s="902" t="s">
        <v>1723</v>
      </c>
      <c r="G145" s="904">
        <v>2480000</v>
      </c>
      <c r="H145" s="902" t="s">
        <v>251</v>
      </c>
      <c r="I145" s="905">
        <v>42809</v>
      </c>
      <c r="J145" s="905">
        <v>42859</v>
      </c>
      <c r="K145" s="902" t="s">
        <v>1860</v>
      </c>
      <c r="L145" s="904">
        <v>2753107</v>
      </c>
      <c r="M145" s="904">
        <v>3331259.47</v>
      </c>
      <c r="N145" s="905">
        <v>42901</v>
      </c>
      <c r="O145" s="905"/>
      <c r="P145" s="905">
        <v>42902</v>
      </c>
      <c r="Q145" s="905">
        <v>43115</v>
      </c>
      <c r="R145" s="801"/>
      <c r="S145" s="802"/>
    </row>
    <row r="146" spans="1:19" ht="15" customHeight="1">
      <c r="A146" s="902" t="s">
        <v>1712</v>
      </c>
      <c r="B146" s="902" t="s">
        <v>166</v>
      </c>
      <c r="C146" s="902" t="s">
        <v>167</v>
      </c>
      <c r="D146" s="903" t="s">
        <v>1713</v>
      </c>
      <c r="E146" s="902" t="s">
        <v>1676</v>
      </c>
      <c r="F146" s="902"/>
      <c r="G146" s="904">
        <v>3500000</v>
      </c>
      <c r="H146" s="902" t="s">
        <v>112</v>
      </c>
      <c r="I146" s="905">
        <v>42804</v>
      </c>
      <c r="J146" s="905">
        <v>42816</v>
      </c>
      <c r="K146" s="902" t="s">
        <v>1789</v>
      </c>
      <c r="L146" s="904">
        <v>3367611</v>
      </c>
      <c r="M146" s="904">
        <v>4074809</v>
      </c>
      <c r="N146" s="905">
        <v>42845</v>
      </c>
      <c r="O146" s="905"/>
      <c r="P146" s="905">
        <v>42846</v>
      </c>
      <c r="Q146" s="905">
        <v>42996</v>
      </c>
      <c r="R146" s="801"/>
    </row>
    <row r="147" spans="1:19" s="769" customFormat="1" ht="15" customHeight="1">
      <c r="A147" s="872" t="s">
        <v>1717</v>
      </c>
      <c r="B147" s="872" t="s">
        <v>58</v>
      </c>
      <c r="C147" s="872" t="s">
        <v>57</v>
      </c>
      <c r="D147" s="873" t="s">
        <v>1718</v>
      </c>
      <c r="E147" s="872" t="s">
        <v>1719</v>
      </c>
      <c r="F147" s="872" t="s">
        <v>1720</v>
      </c>
      <c r="G147" s="875">
        <v>495000</v>
      </c>
      <c r="H147" s="872" t="s">
        <v>112</v>
      </c>
      <c r="I147" s="874">
        <v>42808</v>
      </c>
      <c r="J147" s="874">
        <v>42818</v>
      </c>
      <c r="K147" s="876" t="s">
        <v>242</v>
      </c>
      <c r="L147" s="875"/>
      <c r="M147" s="875"/>
      <c r="N147" s="872"/>
      <c r="O147" s="872"/>
      <c r="P147" s="872" t="s">
        <v>239</v>
      </c>
      <c r="Q147" s="872"/>
      <c r="R147" s="872"/>
      <c r="S147" s="1492"/>
    </row>
    <row r="148" spans="1:19" ht="15" customHeight="1">
      <c r="A148" s="902" t="s">
        <v>1729</v>
      </c>
      <c r="B148" s="902" t="s">
        <v>166</v>
      </c>
      <c r="C148" s="902" t="s">
        <v>167</v>
      </c>
      <c r="D148" s="903" t="s">
        <v>1730</v>
      </c>
      <c r="E148" s="902" t="s">
        <v>1274</v>
      </c>
      <c r="F148" s="902"/>
      <c r="G148" s="904">
        <v>300000</v>
      </c>
      <c r="H148" s="902" t="s">
        <v>112</v>
      </c>
      <c r="I148" s="905">
        <v>42809</v>
      </c>
      <c r="J148" s="905">
        <v>42821</v>
      </c>
      <c r="K148" s="902" t="s">
        <v>1790</v>
      </c>
      <c r="L148" s="904">
        <v>159000</v>
      </c>
      <c r="M148" s="904">
        <v>159000</v>
      </c>
      <c r="N148" s="905">
        <v>42846</v>
      </c>
      <c r="O148" s="905"/>
      <c r="P148" s="902" t="s">
        <v>239</v>
      </c>
      <c r="Q148" s="902" t="s">
        <v>239</v>
      </c>
      <c r="R148" s="801"/>
    </row>
    <row r="149" spans="1:19" ht="15" customHeight="1">
      <c r="A149" s="902" t="s">
        <v>1731</v>
      </c>
      <c r="B149" s="902" t="s">
        <v>166</v>
      </c>
      <c r="C149" s="902" t="s">
        <v>167</v>
      </c>
      <c r="D149" s="903" t="s">
        <v>1732</v>
      </c>
      <c r="E149" s="902" t="s">
        <v>1274</v>
      </c>
      <c r="F149" s="902"/>
      <c r="G149" s="904">
        <v>300000</v>
      </c>
      <c r="H149" s="902" t="s">
        <v>112</v>
      </c>
      <c r="I149" s="905">
        <v>42809</v>
      </c>
      <c r="J149" s="905">
        <v>42821</v>
      </c>
      <c r="K149" s="902" t="s">
        <v>1790</v>
      </c>
      <c r="L149" s="904">
        <v>185000</v>
      </c>
      <c r="M149" s="904">
        <v>185000</v>
      </c>
      <c r="N149" s="905">
        <v>42858</v>
      </c>
      <c r="O149" s="905"/>
      <c r="P149" s="902" t="s">
        <v>239</v>
      </c>
      <c r="Q149" s="902" t="s">
        <v>239</v>
      </c>
      <c r="R149" s="801"/>
    </row>
    <row r="150" spans="1:19" ht="15.75" customHeight="1" thickBot="1">
      <c r="A150" s="913" t="s">
        <v>1734</v>
      </c>
      <c r="B150" s="913" t="s">
        <v>58</v>
      </c>
      <c r="C150" s="913" t="s">
        <v>57</v>
      </c>
      <c r="D150" s="914" t="s">
        <v>1419</v>
      </c>
      <c r="E150" s="913" t="s">
        <v>1424</v>
      </c>
      <c r="F150" s="913" t="s">
        <v>1735</v>
      </c>
      <c r="G150" s="915">
        <v>1485000</v>
      </c>
      <c r="H150" s="913" t="s">
        <v>112</v>
      </c>
      <c r="I150" s="916">
        <v>42811</v>
      </c>
      <c r="J150" s="916">
        <v>42822</v>
      </c>
      <c r="K150" s="913" t="s">
        <v>120</v>
      </c>
      <c r="L150" s="915">
        <v>926284</v>
      </c>
      <c r="M150" s="915">
        <f>L150*1.21</f>
        <v>1120803.6399999999</v>
      </c>
      <c r="N150" s="916">
        <v>42851</v>
      </c>
      <c r="O150" s="916"/>
      <c r="P150" s="916">
        <v>42852</v>
      </c>
      <c r="Q150" s="916">
        <v>42933</v>
      </c>
      <c r="R150" s="801" t="s">
        <v>1855</v>
      </c>
    </row>
    <row r="151" spans="1:19" s="924" customFormat="1" ht="15.75" customHeight="1" thickTop="1">
      <c r="A151" s="882" t="s">
        <v>1749</v>
      </c>
      <c r="B151" s="883" t="s">
        <v>69</v>
      </c>
      <c r="C151" s="883" t="s">
        <v>70</v>
      </c>
      <c r="D151" s="1001" t="s">
        <v>1770</v>
      </c>
      <c r="E151" s="1002" t="s">
        <v>93</v>
      </c>
      <c r="F151" s="1002"/>
      <c r="G151" s="1003">
        <v>41132394.359999999</v>
      </c>
      <c r="H151" s="883" t="s">
        <v>112</v>
      </c>
      <c r="I151" s="886">
        <v>42818</v>
      </c>
      <c r="J151" s="886">
        <v>42864</v>
      </c>
      <c r="K151" s="894" t="s">
        <v>242</v>
      </c>
      <c r="L151" s="885"/>
      <c r="M151" s="885"/>
      <c r="N151" s="883"/>
      <c r="O151" s="883"/>
      <c r="P151" s="886">
        <v>42899</v>
      </c>
      <c r="Q151" s="887"/>
      <c r="R151" s="1083"/>
      <c r="S151" s="802"/>
    </row>
    <row r="152" spans="1:19" s="932" customFormat="1" ht="15.75" customHeight="1" thickBot="1">
      <c r="A152" s="990" t="s">
        <v>1749</v>
      </c>
      <c r="B152" s="981" t="s">
        <v>69</v>
      </c>
      <c r="C152" s="981" t="s">
        <v>70</v>
      </c>
      <c r="D152" s="978" t="s">
        <v>1771</v>
      </c>
      <c r="E152" s="1018" t="s">
        <v>93</v>
      </c>
      <c r="F152" s="1018"/>
      <c r="G152" s="1019">
        <v>64403700.939999998</v>
      </c>
      <c r="H152" s="981" t="s">
        <v>112</v>
      </c>
      <c r="I152" s="982">
        <v>42818</v>
      </c>
      <c r="J152" s="982">
        <v>42864</v>
      </c>
      <c r="K152" s="981" t="s">
        <v>1646</v>
      </c>
      <c r="L152" s="983">
        <v>8531382.8599999994</v>
      </c>
      <c r="M152" s="983">
        <f>L152*1.1</f>
        <v>9384521.1459999997</v>
      </c>
      <c r="N152" s="982">
        <v>42895</v>
      </c>
      <c r="O152" s="1317">
        <v>43624</v>
      </c>
      <c r="P152" s="982">
        <v>42899</v>
      </c>
      <c r="Q152" s="1090">
        <v>43175</v>
      </c>
      <c r="R152" s="1500">
        <v>43550</v>
      </c>
      <c r="S152" s="1319">
        <v>43914</v>
      </c>
    </row>
    <row r="153" spans="1:19" ht="15.75" customHeight="1" thickTop="1">
      <c r="A153" s="991" t="s">
        <v>1747</v>
      </c>
      <c r="B153" s="991" t="s">
        <v>58</v>
      </c>
      <c r="C153" s="991" t="s">
        <v>57</v>
      </c>
      <c r="D153" s="567" t="s">
        <v>322</v>
      </c>
      <c r="E153" s="991" t="s">
        <v>1159</v>
      </c>
      <c r="F153" s="991" t="s">
        <v>1736</v>
      </c>
      <c r="G153" s="992">
        <v>535000</v>
      </c>
      <c r="H153" s="991" t="s">
        <v>112</v>
      </c>
      <c r="I153" s="993">
        <v>42814</v>
      </c>
      <c r="J153" s="993">
        <v>42822</v>
      </c>
      <c r="K153" s="991" t="s">
        <v>1788</v>
      </c>
      <c r="L153" s="992">
        <v>445500</v>
      </c>
      <c r="M153" s="992">
        <v>539055</v>
      </c>
      <c r="N153" s="993">
        <v>42864</v>
      </c>
      <c r="O153" s="993"/>
      <c r="P153" s="993">
        <v>42864</v>
      </c>
      <c r="Q153" s="993">
        <v>43006</v>
      </c>
      <c r="R153" s="1087" t="s">
        <v>1875</v>
      </c>
    </row>
    <row r="154" spans="1:19" ht="15" customHeight="1">
      <c r="A154" s="902" t="s">
        <v>1750</v>
      </c>
      <c r="B154" s="902" t="s">
        <v>166</v>
      </c>
      <c r="C154" s="902" t="s">
        <v>167</v>
      </c>
      <c r="D154" s="903" t="s">
        <v>163</v>
      </c>
      <c r="E154" s="902" t="s">
        <v>1751</v>
      </c>
      <c r="F154" s="902"/>
      <c r="G154" s="904">
        <v>3500000</v>
      </c>
      <c r="H154" s="902" t="s">
        <v>112</v>
      </c>
      <c r="I154" s="905">
        <v>42824</v>
      </c>
      <c r="J154" s="905">
        <v>42836</v>
      </c>
      <c r="K154" s="902" t="s">
        <v>1832</v>
      </c>
      <c r="L154" s="904">
        <v>4897769</v>
      </c>
      <c r="M154" s="904">
        <f>L154*1.21</f>
        <v>5926300.4900000002</v>
      </c>
      <c r="N154" s="905">
        <v>42867</v>
      </c>
      <c r="O154" s="905">
        <v>43616</v>
      </c>
      <c r="P154" s="905">
        <v>42867</v>
      </c>
      <c r="Q154" s="905">
        <v>43692</v>
      </c>
      <c r="R154" s="801"/>
    </row>
    <row r="155" spans="1:19" ht="15" customHeight="1">
      <c r="A155" s="872" t="s">
        <v>1752</v>
      </c>
      <c r="B155" s="872" t="s">
        <v>1754</v>
      </c>
      <c r="C155" s="872" t="s">
        <v>1753</v>
      </c>
      <c r="D155" s="873" t="s">
        <v>1755</v>
      </c>
      <c r="E155" s="872" t="s">
        <v>761</v>
      </c>
      <c r="F155" s="872"/>
      <c r="G155" s="875">
        <v>1900000</v>
      </c>
      <c r="H155" s="872" t="s">
        <v>112</v>
      </c>
      <c r="I155" s="874">
        <v>42832</v>
      </c>
      <c r="J155" s="874">
        <v>42844</v>
      </c>
      <c r="K155" s="876" t="s">
        <v>242</v>
      </c>
      <c r="L155" s="875"/>
      <c r="M155" s="875"/>
      <c r="N155" s="872"/>
      <c r="O155" s="872"/>
      <c r="P155" s="872" t="s">
        <v>239</v>
      </c>
      <c r="Q155" s="872"/>
      <c r="R155" s="801"/>
    </row>
    <row r="156" spans="1:19" ht="15.75" customHeight="1" thickBot="1">
      <c r="A156" s="925" t="s">
        <v>1756</v>
      </c>
      <c r="B156" s="925" t="s">
        <v>166</v>
      </c>
      <c r="C156" s="925" t="s">
        <v>167</v>
      </c>
      <c r="D156" s="926" t="s">
        <v>1757</v>
      </c>
      <c r="E156" s="925" t="s">
        <v>1676</v>
      </c>
      <c r="F156" s="925"/>
      <c r="G156" s="927">
        <v>3500000</v>
      </c>
      <c r="H156" s="925" t="s">
        <v>112</v>
      </c>
      <c r="I156" s="928">
        <v>42815</v>
      </c>
      <c r="J156" s="928">
        <v>42825</v>
      </c>
      <c r="K156" s="929" t="s">
        <v>242</v>
      </c>
      <c r="L156" s="927"/>
      <c r="M156" s="927"/>
      <c r="N156" s="925"/>
      <c r="O156" s="925"/>
      <c r="P156" s="925" t="s">
        <v>239</v>
      </c>
      <c r="Q156" s="925"/>
      <c r="R156" s="801"/>
    </row>
    <row r="157" spans="1:19" ht="15.75" customHeight="1" thickTop="1">
      <c r="A157" s="989" t="s">
        <v>1758</v>
      </c>
      <c r="B157" s="985" t="s">
        <v>69</v>
      </c>
      <c r="C157" s="985" t="s">
        <v>70</v>
      </c>
      <c r="D157" s="939" t="s">
        <v>1818</v>
      </c>
      <c r="E157" s="985" t="s">
        <v>42</v>
      </c>
      <c r="F157" s="985"/>
      <c r="G157" s="986">
        <v>193500</v>
      </c>
      <c r="H157" s="985" t="s">
        <v>112</v>
      </c>
      <c r="I157" s="987">
        <v>42816</v>
      </c>
      <c r="J157" s="987">
        <v>42832</v>
      </c>
      <c r="K157" s="985" t="s">
        <v>1823</v>
      </c>
      <c r="L157" s="986">
        <v>193500</v>
      </c>
      <c r="M157" s="986">
        <v>234135</v>
      </c>
      <c r="N157" s="987">
        <v>42873</v>
      </c>
      <c r="O157" s="987"/>
      <c r="P157" s="985" t="s">
        <v>239</v>
      </c>
      <c r="Q157" s="988" t="s">
        <v>239</v>
      </c>
      <c r="R157" s="1083"/>
    </row>
    <row r="158" spans="1:19" s="997" customFormat="1" ht="15.75" customHeight="1" thickBot="1">
      <c r="A158" s="990" t="s">
        <v>1758</v>
      </c>
      <c r="B158" s="981" t="s">
        <v>69</v>
      </c>
      <c r="C158" s="981" t="s">
        <v>70</v>
      </c>
      <c r="D158" s="940" t="s">
        <v>1819</v>
      </c>
      <c r="E158" s="981" t="s">
        <v>42</v>
      </c>
      <c r="F158" s="981"/>
      <c r="G158" s="983">
        <v>31200</v>
      </c>
      <c r="H158" s="981" t="s">
        <v>112</v>
      </c>
      <c r="I158" s="982">
        <v>42816</v>
      </c>
      <c r="J158" s="982">
        <v>42832</v>
      </c>
      <c r="K158" s="981" t="s">
        <v>1824</v>
      </c>
      <c r="L158" s="983">
        <v>31200</v>
      </c>
      <c r="M158" s="983">
        <v>37752</v>
      </c>
      <c r="N158" s="982">
        <v>42872</v>
      </c>
      <c r="O158" s="1317"/>
      <c r="P158" s="981" t="s">
        <v>239</v>
      </c>
      <c r="Q158" s="984" t="s">
        <v>239</v>
      </c>
      <c r="R158" s="1083"/>
      <c r="S158" s="802"/>
    </row>
    <row r="159" spans="1:19" s="947" customFormat="1" ht="16.5" customHeight="1" thickTop="1" thickBot="1">
      <c r="A159" s="1005" t="s">
        <v>1776</v>
      </c>
      <c r="B159" s="1005" t="s">
        <v>52</v>
      </c>
      <c r="C159" s="1005" t="s">
        <v>1089</v>
      </c>
      <c r="D159" s="1006" t="s">
        <v>1777</v>
      </c>
      <c r="E159" s="1005" t="s">
        <v>484</v>
      </c>
      <c r="F159" s="1005" t="s">
        <v>2362</v>
      </c>
      <c r="G159" s="1007">
        <v>2500000</v>
      </c>
      <c r="H159" s="1005" t="s">
        <v>216</v>
      </c>
      <c r="I159" s="1008">
        <v>42821</v>
      </c>
      <c r="J159" s="1008">
        <v>42843</v>
      </c>
      <c r="K159" s="1005" t="s">
        <v>1861</v>
      </c>
      <c r="L159" s="1007">
        <v>2488000</v>
      </c>
      <c r="M159" s="1007">
        <v>3010480</v>
      </c>
      <c r="N159" s="1008">
        <v>42916</v>
      </c>
      <c r="O159" s="1008"/>
      <c r="P159" s="1008">
        <v>42926</v>
      </c>
      <c r="Q159" s="1008">
        <v>43551</v>
      </c>
      <c r="R159" s="905">
        <v>43913</v>
      </c>
      <c r="S159" s="1319">
        <v>44144</v>
      </c>
    </row>
    <row r="160" spans="1:19" ht="15.75" customHeight="1" thickTop="1">
      <c r="A160" s="882" t="s">
        <v>1759</v>
      </c>
      <c r="B160" s="883" t="s">
        <v>69</v>
      </c>
      <c r="C160" s="883" t="s">
        <v>70</v>
      </c>
      <c r="D160" s="884" t="s">
        <v>1767</v>
      </c>
      <c r="E160" s="883" t="s">
        <v>93</v>
      </c>
      <c r="F160" s="883"/>
      <c r="G160" s="885">
        <v>1020387.53</v>
      </c>
      <c r="H160" s="883" t="s">
        <v>251</v>
      </c>
      <c r="I160" s="886">
        <v>42818</v>
      </c>
      <c r="J160" s="886">
        <v>42857</v>
      </c>
      <c r="K160" s="894" t="s">
        <v>242</v>
      </c>
      <c r="L160" s="885"/>
      <c r="M160" s="885"/>
      <c r="N160" s="883"/>
      <c r="O160" s="883"/>
      <c r="P160" s="886">
        <v>42900</v>
      </c>
      <c r="Q160" s="887"/>
      <c r="R160" s="1083"/>
    </row>
    <row r="161" spans="1:22" s="932" customFormat="1" ht="15" customHeight="1">
      <c r="A161" s="999" t="s">
        <v>1759</v>
      </c>
      <c r="B161" s="872" t="s">
        <v>69</v>
      </c>
      <c r="C161" s="872" t="s">
        <v>70</v>
      </c>
      <c r="D161" s="873" t="s">
        <v>1768</v>
      </c>
      <c r="E161" s="872" t="s">
        <v>93</v>
      </c>
      <c r="F161" s="872"/>
      <c r="G161" s="875">
        <v>1816903.44</v>
      </c>
      <c r="H161" s="872" t="s">
        <v>251</v>
      </c>
      <c r="I161" s="874">
        <v>42818</v>
      </c>
      <c r="J161" s="874">
        <v>42857</v>
      </c>
      <c r="K161" s="876" t="s">
        <v>242</v>
      </c>
      <c r="L161" s="875"/>
      <c r="M161" s="875"/>
      <c r="N161" s="872"/>
      <c r="O161" s="872"/>
      <c r="P161" s="874">
        <v>42900</v>
      </c>
      <c r="Q161" s="1000"/>
      <c r="R161" s="1083"/>
      <c r="S161" s="802"/>
    </row>
    <row r="162" spans="1:22" s="932" customFormat="1" ht="15.75" customHeight="1" thickBot="1">
      <c r="A162" s="990" t="s">
        <v>1759</v>
      </c>
      <c r="B162" s="981" t="s">
        <v>69</v>
      </c>
      <c r="C162" s="981" t="s">
        <v>70</v>
      </c>
      <c r="D162" s="940" t="s">
        <v>1769</v>
      </c>
      <c r="E162" s="981" t="s">
        <v>93</v>
      </c>
      <c r="F162" s="981"/>
      <c r="G162" s="983">
        <v>1916448.3</v>
      </c>
      <c r="H162" s="981" t="s">
        <v>251</v>
      </c>
      <c r="I162" s="982">
        <v>42818</v>
      </c>
      <c r="J162" s="982">
        <v>42857</v>
      </c>
      <c r="K162" s="981" t="s">
        <v>1318</v>
      </c>
      <c r="L162" s="983">
        <v>1913615.7</v>
      </c>
      <c r="M162" s="983">
        <f>L162*1.1</f>
        <v>2104977.27</v>
      </c>
      <c r="N162" s="982">
        <v>42898</v>
      </c>
      <c r="O162" s="1317"/>
      <c r="P162" s="982">
        <v>42900</v>
      </c>
      <c r="Q162" s="1090">
        <v>43175</v>
      </c>
      <c r="R162" s="1500">
        <v>43550</v>
      </c>
      <c r="S162" s="802"/>
    </row>
    <row r="163" spans="1:22" ht="16.5" customHeight="1" thickTop="1" thickBot="1">
      <c r="A163" s="1005" t="s">
        <v>1760</v>
      </c>
      <c r="B163" s="1005" t="s">
        <v>289</v>
      </c>
      <c r="C163" s="1005" t="s">
        <v>291</v>
      </c>
      <c r="D163" s="1006" t="s">
        <v>1761</v>
      </c>
      <c r="E163" s="1005" t="s">
        <v>678</v>
      </c>
      <c r="F163" s="1005" t="s">
        <v>1692</v>
      </c>
      <c r="G163" s="1007">
        <v>1470000</v>
      </c>
      <c r="H163" s="1005" t="s">
        <v>112</v>
      </c>
      <c r="I163" s="1008">
        <v>42818</v>
      </c>
      <c r="J163" s="1008">
        <v>42825</v>
      </c>
      <c r="K163" s="1005" t="s">
        <v>1793</v>
      </c>
      <c r="L163" s="1007">
        <v>1459000</v>
      </c>
      <c r="M163" s="1007">
        <v>1765390</v>
      </c>
      <c r="N163" s="1008">
        <v>42852</v>
      </c>
      <c r="O163" s="1008"/>
      <c r="P163" s="1008">
        <v>42853</v>
      </c>
      <c r="Q163" s="1008">
        <v>43185</v>
      </c>
      <c r="R163" s="801"/>
    </row>
    <row r="164" spans="1:22" ht="15.75" customHeight="1" thickTop="1">
      <c r="A164" s="989" t="s">
        <v>1762</v>
      </c>
      <c r="B164" s="985" t="s">
        <v>1764</v>
      </c>
      <c r="C164" s="985" t="s">
        <v>361</v>
      </c>
      <c r="D164" s="939" t="s">
        <v>1841</v>
      </c>
      <c r="E164" s="985" t="s">
        <v>1244</v>
      </c>
      <c r="F164" s="985"/>
      <c r="G164" s="986">
        <v>860000</v>
      </c>
      <c r="H164" s="985" t="s">
        <v>112</v>
      </c>
      <c r="I164" s="987">
        <v>42829</v>
      </c>
      <c r="J164" s="987">
        <v>42837</v>
      </c>
      <c r="K164" s="985" t="s">
        <v>342</v>
      </c>
      <c r="L164" s="986">
        <v>696620</v>
      </c>
      <c r="M164" s="986">
        <f>L164*1.21</f>
        <v>842910.2</v>
      </c>
      <c r="N164" s="987">
        <v>42867</v>
      </c>
      <c r="O164" s="987"/>
      <c r="P164" s="987">
        <v>42870</v>
      </c>
      <c r="Q164" s="1088">
        <v>42820</v>
      </c>
      <c r="R164" s="1083"/>
    </row>
    <row r="165" spans="1:22" s="998" customFormat="1" ht="15.75" customHeight="1" thickBot="1">
      <c r="A165" s="990" t="s">
        <v>1762</v>
      </c>
      <c r="B165" s="981" t="s">
        <v>1764</v>
      </c>
      <c r="C165" s="981" t="s">
        <v>361</v>
      </c>
      <c r="D165" s="940" t="s">
        <v>1842</v>
      </c>
      <c r="E165" s="981" t="s">
        <v>1244</v>
      </c>
      <c r="F165" s="981"/>
      <c r="G165" s="983">
        <v>100000</v>
      </c>
      <c r="H165" s="981" t="s">
        <v>112</v>
      </c>
      <c r="I165" s="982">
        <v>42829</v>
      </c>
      <c r="J165" s="982">
        <v>42837</v>
      </c>
      <c r="K165" s="981" t="s">
        <v>342</v>
      </c>
      <c r="L165" s="983">
        <v>68200</v>
      </c>
      <c r="M165" s="983">
        <f>L165*1.21</f>
        <v>82522</v>
      </c>
      <c r="N165" s="982">
        <v>42867</v>
      </c>
      <c r="O165" s="1317"/>
      <c r="P165" s="982">
        <v>42870</v>
      </c>
      <c r="Q165" s="1090">
        <v>43038</v>
      </c>
      <c r="R165" s="1083"/>
      <c r="S165" s="802"/>
    </row>
    <row r="166" spans="1:22" ht="15.75" customHeight="1" thickTop="1">
      <c r="A166" s="991" t="s">
        <v>1763</v>
      </c>
      <c r="B166" s="991" t="s">
        <v>1764</v>
      </c>
      <c r="C166" s="991" t="s">
        <v>361</v>
      </c>
      <c r="D166" s="567" t="s">
        <v>1791</v>
      </c>
      <c r="E166" s="991" t="s">
        <v>1765</v>
      </c>
      <c r="F166" s="994" t="s">
        <v>1766</v>
      </c>
      <c r="G166" s="992">
        <v>3990000</v>
      </c>
      <c r="H166" s="991" t="s">
        <v>112</v>
      </c>
      <c r="I166" s="993">
        <v>42830</v>
      </c>
      <c r="J166" s="993">
        <v>42844</v>
      </c>
      <c r="K166" s="991" t="s">
        <v>342</v>
      </c>
      <c r="L166" s="992">
        <v>3175866</v>
      </c>
      <c r="M166" s="992">
        <v>3842798</v>
      </c>
      <c r="N166" s="993">
        <v>42885</v>
      </c>
      <c r="O166" s="993"/>
      <c r="P166" s="993">
        <v>42885</v>
      </c>
      <c r="Q166" s="993">
        <v>43185</v>
      </c>
      <c r="R166" s="801"/>
    </row>
    <row r="167" spans="1:22" ht="15" customHeight="1">
      <c r="A167" s="872" t="s">
        <v>1774</v>
      </c>
      <c r="B167" s="872" t="s">
        <v>166</v>
      </c>
      <c r="C167" s="872" t="s">
        <v>167</v>
      </c>
      <c r="D167" s="873" t="s">
        <v>1775</v>
      </c>
      <c r="E167" s="872" t="s">
        <v>1676</v>
      </c>
      <c r="F167" s="872"/>
      <c r="G167" s="875">
        <v>700000</v>
      </c>
      <c r="H167" s="872" t="s">
        <v>112</v>
      </c>
      <c r="I167" s="874">
        <v>42824</v>
      </c>
      <c r="J167" s="874">
        <v>42835</v>
      </c>
      <c r="K167" s="876" t="s">
        <v>242</v>
      </c>
      <c r="L167" s="875"/>
      <c r="M167" s="875"/>
      <c r="N167" s="872"/>
      <c r="O167" s="872"/>
      <c r="P167" s="872" t="s">
        <v>239</v>
      </c>
      <c r="Q167" s="872"/>
      <c r="R167" s="801"/>
    </row>
    <row r="168" spans="1:22" ht="15.75" customHeight="1">
      <c r="A168" s="902" t="s">
        <v>1778</v>
      </c>
      <c r="B168" s="902" t="s">
        <v>1764</v>
      </c>
      <c r="C168" s="902" t="s">
        <v>361</v>
      </c>
      <c r="D168" s="903" t="s">
        <v>1779</v>
      </c>
      <c r="E168" s="902" t="s">
        <v>1781</v>
      </c>
      <c r="F168" s="902" t="s">
        <v>1782</v>
      </c>
      <c r="G168" s="904">
        <v>6670000</v>
      </c>
      <c r="H168" s="902" t="s">
        <v>251</v>
      </c>
      <c r="I168" s="905">
        <v>42823</v>
      </c>
      <c r="J168" s="905">
        <v>42864</v>
      </c>
      <c r="K168" s="902" t="s">
        <v>1873</v>
      </c>
      <c r="L168" s="904">
        <v>3693458</v>
      </c>
      <c r="M168" s="904">
        <f>L168*1.21</f>
        <v>4469084.18</v>
      </c>
      <c r="N168" s="905">
        <v>42906</v>
      </c>
      <c r="O168" s="905"/>
      <c r="P168" s="905">
        <v>42907</v>
      </c>
      <c r="Q168" s="905">
        <v>43551</v>
      </c>
      <c r="R168" s="801"/>
    </row>
    <row r="169" spans="1:22" ht="15" customHeight="1">
      <c r="A169" s="902" t="s">
        <v>4572</v>
      </c>
      <c r="B169" s="902" t="s">
        <v>14</v>
      </c>
      <c r="C169" s="902" t="s">
        <v>871</v>
      </c>
      <c r="D169" s="903" t="s">
        <v>1783</v>
      </c>
      <c r="E169" s="902" t="s">
        <v>1784</v>
      </c>
      <c r="F169" s="902" t="s">
        <v>2136</v>
      </c>
      <c r="G169" s="904">
        <v>14900000</v>
      </c>
      <c r="H169" s="902" t="s">
        <v>251</v>
      </c>
      <c r="I169" s="905">
        <v>42849</v>
      </c>
      <c r="J169" s="905">
        <v>42900</v>
      </c>
      <c r="K169" s="902" t="s">
        <v>1990</v>
      </c>
      <c r="L169" s="904">
        <v>7758000</v>
      </c>
      <c r="M169" s="904">
        <f>L169*1.21</f>
        <v>9387180</v>
      </c>
      <c r="N169" s="905">
        <v>43087</v>
      </c>
      <c r="O169" s="905"/>
      <c r="P169" s="905">
        <v>43088</v>
      </c>
      <c r="Q169" s="1127">
        <v>44865</v>
      </c>
      <c r="R169" s="801"/>
    </row>
    <row r="170" spans="1:22" ht="15" customHeight="1">
      <c r="A170" s="902" t="s">
        <v>1794</v>
      </c>
      <c r="B170" s="902" t="s">
        <v>218</v>
      </c>
      <c r="C170" s="902" t="s">
        <v>57</v>
      </c>
      <c r="D170" s="903" t="s">
        <v>2011</v>
      </c>
      <c r="E170" s="902" t="s">
        <v>1625</v>
      </c>
      <c r="F170" s="902"/>
      <c r="G170" s="904">
        <v>26000000</v>
      </c>
      <c r="H170" s="902" t="s">
        <v>251</v>
      </c>
      <c r="I170" s="905">
        <v>42828</v>
      </c>
      <c r="J170" s="905">
        <v>42865</v>
      </c>
      <c r="K170" s="902" t="s">
        <v>1874</v>
      </c>
      <c r="L170" s="904">
        <v>25438500</v>
      </c>
      <c r="M170" s="904">
        <f>L170*1.15</f>
        <v>29254274.999999996</v>
      </c>
      <c r="N170" s="905">
        <v>42913</v>
      </c>
      <c r="O170" s="905" t="s">
        <v>4096</v>
      </c>
      <c r="P170" s="905">
        <v>42919</v>
      </c>
      <c r="Q170" s="905">
        <v>43549</v>
      </c>
      <c r="R170" s="905">
        <v>43801</v>
      </c>
      <c r="S170" s="905">
        <v>44285</v>
      </c>
      <c r="T170" s="905">
        <v>44637</v>
      </c>
      <c r="U170" s="996">
        <v>2022</v>
      </c>
      <c r="V170" s="996" t="s">
        <v>4129</v>
      </c>
    </row>
    <row r="171" spans="1:22" ht="15" customHeight="1">
      <c r="A171" s="902" t="s">
        <v>1795</v>
      </c>
      <c r="B171" s="902" t="s">
        <v>166</v>
      </c>
      <c r="C171" s="902" t="s">
        <v>167</v>
      </c>
      <c r="D171" s="903" t="s">
        <v>1811</v>
      </c>
      <c r="E171" s="902" t="s">
        <v>961</v>
      </c>
      <c r="F171" s="902"/>
      <c r="G171" s="904">
        <v>1200000</v>
      </c>
      <c r="H171" s="902" t="s">
        <v>112</v>
      </c>
      <c r="I171" s="905">
        <v>42832</v>
      </c>
      <c r="J171" s="905">
        <v>42845</v>
      </c>
      <c r="K171" s="902" t="s">
        <v>1854</v>
      </c>
      <c r="L171" s="904">
        <v>670630</v>
      </c>
      <c r="M171" s="904">
        <f>L171*1.21</f>
        <v>811462.29999999993</v>
      </c>
      <c r="N171" s="905">
        <v>42860</v>
      </c>
      <c r="O171" s="905">
        <v>43616</v>
      </c>
      <c r="P171" s="905">
        <v>42864</v>
      </c>
      <c r="Q171" s="905">
        <v>44244</v>
      </c>
      <c r="R171" s="801"/>
    </row>
    <row r="172" spans="1:22" ht="15" customHeight="1">
      <c r="A172" s="902" t="s">
        <v>1796</v>
      </c>
      <c r="B172" s="902" t="s">
        <v>1700</v>
      </c>
      <c r="C172" s="902" t="s">
        <v>1699</v>
      </c>
      <c r="D172" s="903" t="s">
        <v>1797</v>
      </c>
      <c r="E172" s="902" t="s">
        <v>1798</v>
      </c>
      <c r="F172" s="902" t="s">
        <v>1978</v>
      </c>
      <c r="G172" s="904">
        <v>2876848.76</v>
      </c>
      <c r="H172" s="902" t="s">
        <v>251</v>
      </c>
      <c r="I172" s="905">
        <v>42830</v>
      </c>
      <c r="J172" s="905">
        <v>42873</v>
      </c>
      <c r="K172" s="902" t="s">
        <v>2524</v>
      </c>
      <c r="L172" s="904">
        <v>2845552</v>
      </c>
      <c r="M172" s="904">
        <f>L172*1.21</f>
        <v>3443117.92</v>
      </c>
      <c r="N172" s="905">
        <v>42928</v>
      </c>
      <c r="O172" s="905"/>
      <c r="P172" s="905">
        <v>42930</v>
      </c>
      <c r="Q172" s="905">
        <v>43178</v>
      </c>
      <c r="R172" s="996" t="s">
        <v>1875</v>
      </c>
    </row>
    <row r="173" spans="1:22" ht="15" customHeight="1">
      <c r="A173" s="902" t="s">
        <v>1799</v>
      </c>
      <c r="B173" s="902" t="s">
        <v>1700</v>
      </c>
      <c r="C173" s="902" t="s">
        <v>1699</v>
      </c>
      <c r="D173" s="903" t="s">
        <v>1800</v>
      </c>
      <c r="E173" s="902" t="s">
        <v>731</v>
      </c>
      <c r="F173" s="902" t="s">
        <v>1979</v>
      </c>
      <c r="G173" s="904">
        <v>4238343.8</v>
      </c>
      <c r="H173" s="902" t="s">
        <v>251</v>
      </c>
      <c r="I173" s="905">
        <v>42830</v>
      </c>
      <c r="J173" s="905">
        <v>42871</v>
      </c>
      <c r="K173" s="902" t="s">
        <v>1888</v>
      </c>
      <c r="L173" s="904">
        <v>2976000</v>
      </c>
      <c r="M173" s="904">
        <v>3600960</v>
      </c>
      <c r="N173" s="905">
        <v>42928</v>
      </c>
      <c r="O173" s="905"/>
      <c r="P173" s="905">
        <v>42930</v>
      </c>
      <c r="Q173" s="905">
        <v>43178</v>
      </c>
      <c r="R173" s="801"/>
    </row>
    <row r="174" spans="1:22" ht="15" customHeight="1">
      <c r="A174" s="872" t="s">
        <v>1801</v>
      </c>
      <c r="B174" s="872" t="s">
        <v>1503</v>
      </c>
      <c r="C174" s="872" t="s">
        <v>918</v>
      </c>
      <c r="D174" s="873" t="s">
        <v>1802</v>
      </c>
      <c r="E174" s="872" t="s">
        <v>1518</v>
      </c>
      <c r="F174" s="872"/>
      <c r="G174" s="875">
        <v>600000</v>
      </c>
      <c r="H174" s="872" t="s">
        <v>112</v>
      </c>
      <c r="I174" s="874">
        <v>42836</v>
      </c>
      <c r="J174" s="874">
        <v>42852</v>
      </c>
      <c r="K174" s="876" t="s">
        <v>242</v>
      </c>
      <c r="L174" s="875"/>
      <c r="M174" s="875"/>
      <c r="N174" s="872"/>
      <c r="O174" s="872"/>
      <c r="P174" s="872" t="s">
        <v>239</v>
      </c>
      <c r="Q174" s="872"/>
      <c r="R174" s="801"/>
    </row>
    <row r="175" spans="1:22" ht="15" customHeight="1">
      <c r="A175" s="872" t="s">
        <v>1803</v>
      </c>
      <c r="B175" s="872" t="s">
        <v>1503</v>
      </c>
      <c r="C175" s="872" t="s">
        <v>918</v>
      </c>
      <c r="D175" s="873" t="s">
        <v>1856</v>
      </c>
      <c r="E175" s="872" t="s">
        <v>1518</v>
      </c>
      <c r="F175" s="872"/>
      <c r="G175" s="875">
        <v>920000</v>
      </c>
      <c r="H175" s="872" t="s">
        <v>112</v>
      </c>
      <c r="I175" s="874">
        <v>42832</v>
      </c>
      <c r="J175" s="874">
        <v>42845</v>
      </c>
      <c r="K175" s="876" t="s">
        <v>242</v>
      </c>
      <c r="L175" s="875"/>
      <c r="M175" s="875"/>
      <c r="N175" s="872"/>
      <c r="O175" s="872"/>
      <c r="P175" s="872" t="s">
        <v>239</v>
      </c>
      <c r="Q175" s="872"/>
      <c r="R175" s="801"/>
    </row>
    <row r="176" spans="1:22" ht="15" customHeight="1">
      <c r="A176" s="902" t="s">
        <v>1805</v>
      </c>
      <c r="B176" s="902" t="s">
        <v>1503</v>
      </c>
      <c r="C176" s="902" t="s">
        <v>918</v>
      </c>
      <c r="D176" s="903" t="s">
        <v>1804</v>
      </c>
      <c r="E176" s="902" t="s">
        <v>1244</v>
      </c>
      <c r="F176" s="902"/>
      <c r="G176" s="904">
        <v>480000</v>
      </c>
      <c r="H176" s="902" t="s">
        <v>112</v>
      </c>
      <c r="I176" s="905">
        <v>42846</v>
      </c>
      <c r="J176" s="905">
        <v>42859</v>
      </c>
      <c r="K176" s="902" t="s">
        <v>1155</v>
      </c>
      <c r="L176" s="904">
        <v>61200</v>
      </c>
      <c r="M176" s="904">
        <f>L176*1.21</f>
        <v>74052</v>
      </c>
      <c r="N176" s="905">
        <v>42891</v>
      </c>
      <c r="O176" s="905"/>
      <c r="P176" s="902" t="s">
        <v>239</v>
      </c>
      <c r="Q176" s="902" t="s">
        <v>239</v>
      </c>
      <c r="R176" s="801"/>
    </row>
    <row r="177" spans="1:19" ht="15" customHeight="1">
      <c r="A177" s="872" t="s">
        <v>1806</v>
      </c>
      <c r="B177" s="872" t="s">
        <v>1503</v>
      </c>
      <c r="C177" s="872" t="s">
        <v>918</v>
      </c>
      <c r="D177" s="873" t="s">
        <v>1835</v>
      </c>
      <c r="E177" s="872" t="s">
        <v>1244</v>
      </c>
      <c r="F177" s="872"/>
      <c r="G177" s="875">
        <v>880000</v>
      </c>
      <c r="H177" s="872" t="s">
        <v>112</v>
      </c>
      <c r="I177" s="874">
        <v>42846</v>
      </c>
      <c r="J177" s="874">
        <v>42859</v>
      </c>
      <c r="K177" s="876" t="s">
        <v>242</v>
      </c>
      <c r="L177" s="875"/>
      <c r="M177" s="875"/>
      <c r="N177" s="872"/>
      <c r="O177" s="872"/>
      <c r="P177" s="872" t="s">
        <v>239</v>
      </c>
      <c r="Q177" s="872"/>
      <c r="R177" s="801"/>
    </row>
    <row r="178" spans="1:19" ht="15" customHeight="1">
      <c r="A178" s="902" t="s">
        <v>1807</v>
      </c>
      <c r="B178" s="902" t="s">
        <v>1764</v>
      </c>
      <c r="C178" s="902" t="s">
        <v>361</v>
      </c>
      <c r="D178" s="903" t="s">
        <v>1808</v>
      </c>
      <c r="E178" s="777" t="s">
        <v>1816</v>
      </c>
      <c r="F178" s="902" t="s">
        <v>1809</v>
      </c>
      <c r="G178" s="904">
        <v>450000</v>
      </c>
      <c r="H178" s="902" t="s">
        <v>112</v>
      </c>
      <c r="I178" s="905">
        <v>42844</v>
      </c>
      <c r="J178" s="905">
        <v>42853</v>
      </c>
      <c r="K178" s="902" t="s">
        <v>1859</v>
      </c>
      <c r="L178" s="904">
        <v>272400</v>
      </c>
      <c r="M178" s="904">
        <v>272400</v>
      </c>
      <c r="N178" s="905">
        <v>42877</v>
      </c>
      <c r="O178" s="905"/>
      <c r="P178" s="902" t="s">
        <v>239</v>
      </c>
      <c r="Q178" s="902" t="s">
        <v>239</v>
      </c>
      <c r="R178" s="801"/>
    </row>
    <row r="179" spans="1:19" ht="15" customHeight="1">
      <c r="A179" s="902" t="s">
        <v>1810</v>
      </c>
      <c r="B179" s="902" t="s">
        <v>166</v>
      </c>
      <c r="C179" s="902" t="s">
        <v>167</v>
      </c>
      <c r="D179" s="903" t="s">
        <v>1812</v>
      </c>
      <c r="E179" s="902" t="s">
        <v>1813</v>
      </c>
      <c r="F179" s="902"/>
      <c r="G179" s="904">
        <v>450000</v>
      </c>
      <c r="H179" s="902" t="s">
        <v>112</v>
      </c>
      <c r="I179" s="905">
        <v>42835</v>
      </c>
      <c r="J179" s="905">
        <v>42851</v>
      </c>
      <c r="K179" s="902" t="s">
        <v>175</v>
      </c>
      <c r="L179" s="904">
        <v>311985</v>
      </c>
      <c r="M179" s="904">
        <f>L179*1.21</f>
        <v>377501.85</v>
      </c>
      <c r="N179" s="905">
        <v>42894</v>
      </c>
      <c r="O179" s="905"/>
      <c r="P179" s="902" t="s">
        <v>239</v>
      </c>
      <c r="Q179" s="902" t="s">
        <v>239</v>
      </c>
      <c r="R179" s="801"/>
    </row>
    <row r="180" spans="1:19" ht="15" customHeight="1">
      <c r="A180" s="872" t="s">
        <v>1814</v>
      </c>
      <c r="B180" s="872" t="s">
        <v>166</v>
      </c>
      <c r="C180" s="872" t="s">
        <v>167</v>
      </c>
      <c r="D180" s="873" t="s">
        <v>1815</v>
      </c>
      <c r="E180" s="506" t="s">
        <v>1817</v>
      </c>
      <c r="F180" s="872"/>
      <c r="G180" s="875">
        <v>500000</v>
      </c>
      <c r="H180" s="872" t="s">
        <v>112</v>
      </c>
      <c r="I180" s="874">
        <v>42836</v>
      </c>
      <c r="J180" s="874">
        <v>42845</v>
      </c>
      <c r="K180" s="876" t="s">
        <v>242</v>
      </c>
      <c r="L180" s="875"/>
      <c r="M180" s="875"/>
      <c r="N180" s="872"/>
      <c r="O180" s="872"/>
      <c r="P180" s="872" t="s">
        <v>239</v>
      </c>
      <c r="Q180" s="872"/>
      <c r="R180" s="801"/>
    </row>
    <row r="181" spans="1:19" ht="15" customHeight="1">
      <c r="A181" s="902" t="s">
        <v>1820</v>
      </c>
      <c r="B181" s="902" t="s">
        <v>58</v>
      </c>
      <c r="C181" s="902" t="s">
        <v>57</v>
      </c>
      <c r="D181" s="903" t="s">
        <v>1821</v>
      </c>
      <c r="E181" s="491" t="s">
        <v>1822</v>
      </c>
      <c r="F181" s="902"/>
      <c r="G181" s="904">
        <v>450000</v>
      </c>
      <c r="H181" s="902" t="s">
        <v>251</v>
      </c>
      <c r="I181" s="905">
        <v>42850</v>
      </c>
      <c r="J181" s="905">
        <v>42891</v>
      </c>
      <c r="K181" s="902" t="s">
        <v>1792</v>
      </c>
      <c r="L181" s="904">
        <v>639800</v>
      </c>
      <c r="M181" s="904">
        <v>774158</v>
      </c>
      <c r="N181" s="905">
        <v>42915</v>
      </c>
      <c r="O181" s="905"/>
      <c r="P181" s="905">
        <v>42923</v>
      </c>
      <c r="Q181" s="905">
        <v>43185</v>
      </c>
      <c r="R181" s="996" t="s">
        <v>1875</v>
      </c>
    </row>
    <row r="182" spans="1:19" ht="15" customHeight="1">
      <c r="A182" s="902" t="s">
        <v>1825</v>
      </c>
      <c r="B182" s="902" t="s">
        <v>58</v>
      </c>
      <c r="C182" s="902" t="s">
        <v>57</v>
      </c>
      <c r="D182" s="903" t="s">
        <v>1826</v>
      </c>
      <c r="E182" s="902" t="s">
        <v>77</v>
      </c>
      <c r="F182" s="902" t="s">
        <v>1831</v>
      </c>
      <c r="G182" s="904">
        <v>3900000</v>
      </c>
      <c r="H182" s="902" t="s">
        <v>251</v>
      </c>
      <c r="I182" s="905">
        <v>42838</v>
      </c>
      <c r="J182" s="905">
        <v>42880</v>
      </c>
      <c r="K182" s="902" t="s">
        <v>1928</v>
      </c>
      <c r="L182" s="904">
        <v>3504880</v>
      </c>
      <c r="M182" s="904">
        <v>4234605</v>
      </c>
      <c r="N182" s="905">
        <v>42923</v>
      </c>
      <c r="O182" s="905"/>
      <c r="P182" s="905">
        <v>42929</v>
      </c>
      <c r="Q182" s="905">
        <v>43059</v>
      </c>
      <c r="R182" s="996" t="s">
        <v>1875</v>
      </c>
    </row>
    <row r="183" spans="1:19" ht="15" customHeight="1">
      <c r="A183" s="902" t="s">
        <v>1827</v>
      </c>
      <c r="B183" s="902" t="s">
        <v>52</v>
      </c>
      <c r="C183" s="902" t="s">
        <v>1828</v>
      </c>
      <c r="D183" s="903" t="s">
        <v>1829</v>
      </c>
      <c r="E183" s="902" t="s">
        <v>1676</v>
      </c>
      <c r="F183" s="902" t="s">
        <v>1830</v>
      </c>
      <c r="G183" s="904">
        <v>30000000</v>
      </c>
      <c r="H183" s="902" t="s">
        <v>216</v>
      </c>
      <c r="I183" s="905">
        <v>42851</v>
      </c>
      <c r="J183" s="905">
        <v>42873</v>
      </c>
      <c r="K183" s="902" t="s">
        <v>707</v>
      </c>
      <c r="L183" s="904">
        <v>28933999.07</v>
      </c>
      <c r="M183" s="904">
        <v>35010138.869999997</v>
      </c>
      <c r="N183" s="905">
        <v>42914</v>
      </c>
      <c r="O183" s="905"/>
      <c r="P183" s="905">
        <v>42928</v>
      </c>
      <c r="Q183" s="905">
        <v>43185</v>
      </c>
      <c r="R183" s="801"/>
    </row>
    <row r="184" spans="1:19" ht="15" customHeight="1">
      <c r="A184" s="902" t="s">
        <v>1833</v>
      </c>
      <c r="B184" s="902" t="s">
        <v>58</v>
      </c>
      <c r="C184" s="902" t="s">
        <v>57</v>
      </c>
      <c r="D184" s="903" t="s">
        <v>1885</v>
      </c>
      <c r="E184" s="902" t="s">
        <v>1159</v>
      </c>
      <c r="F184" s="902" t="s">
        <v>1834</v>
      </c>
      <c r="G184" s="904">
        <v>1850000</v>
      </c>
      <c r="H184" s="902" t="s">
        <v>216</v>
      </c>
      <c r="I184" s="905">
        <v>42846</v>
      </c>
      <c r="J184" s="905">
        <v>42872</v>
      </c>
      <c r="K184" s="1032" t="s">
        <v>1887</v>
      </c>
      <c r="L184" s="904">
        <v>1938840</v>
      </c>
      <c r="M184" s="904">
        <f>L184*1.21</f>
        <v>2345996.4</v>
      </c>
      <c r="N184" s="905">
        <v>42913</v>
      </c>
      <c r="O184" s="905"/>
      <c r="P184" s="905">
        <v>42923</v>
      </c>
      <c r="Q184" s="905">
        <v>43010</v>
      </c>
      <c r="R184" s="996" t="s">
        <v>1875</v>
      </c>
    </row>
    <row r="185" spans="1:19" s="1009" customFormat="1" ht="15" customHeight="1">
      <c r="A185" s="902" t="s">
        <v>1833</v>
      </c>
      <c r="B185" s="902" t="s">
        <v>58</v>
      </c>
      <c r="C185" s="902" t="s">
        <v>57</v>
      </c>
      <c r="D185" s="903" t="s">
        <v>1886</v>
      </c>
      <c r="E185" s="902" t="s">
        <v>1159</v>
      </c>
      <c r="F185" s="902" t="s">
        <v>1834</v>
      </c>
      <c r="G185" s="904">
        <v>795000</v>
      </c>
      <c r="H185" s="902" t="s">
        <v>216</v>
      </c>
      <c r="I185" s="905">
        <v>42846</v>
      </c>
      <c r="J185" s="905">
        <v>42872</v>
      </c>
      <c r="K185" s="1032" t="s">
        <v>1887</v>
      </c>
      <c r="L185" s="904">
        <v>843840</v>
      </c>
      <c r="M185" s="904">
        <f>L185*1.21</f>
        <v>1021046.4</v>
      </c>
      <c r="N185" s="905">
        <v>42913</v>
      </c>
      <c r="O185" s="905"/>
      <c r="P185" s="905">
        <v>42923</v>
      </c>
      <c r="Q185" s="905">
        <v>43017</v>
      </c>
      <c r="R185" s="996" t="s">
        <v>1875</v>
      </c>
      <c r="S185" s="802"/>
    </row>
    <row r="186" spans="1:19" ht="15" customHeight="1">
      <c r="A186" s="902" t="s">
        <v>1836</v>
      </c>
      <c r="B186" s="902" t="s">
        <v>166</v>
      </c>
      <c r="C186" s="902" t="s">
        <v>167</v>
      </c>
      <c r="D186" s="903" t="s">
        <v>1837</v>
      </c>
      <c r="E186" s="902" t="s">
        <v>1676</v>
      </c>
      <c r="F186" s="902" t="s">
        <v>1838</v>
      </c>
      <c r="G186" s="904">
        <v>4300000</v>
      </c>
      <c r="H186" s="902" t="s">
        <v>112</v>
      </c>
      <c r="I186" s="905">
        <v>42846</v>
      </c>
      <c r="J186" s="905">
        <v>42859</v>
      </c>
      <c r="K186" s="902" t="s">
        <v>707</v>
      </c>
      <c r="L186" s="904">
        <v>4206935.4000000004</v>
      </c>
      <c r="M186" s="904">
        <f>L186*1.21</f>
        <v>5090391.8340000007</v>
      </c>
      <c r="N186" s="905">
        <v>42900</v>
      </c>
      <c r="O186" s="905"/>
      <c r="P186" s="905">
        <v>42901</v>
      </c>
      <c r="Q186" s="905">
        <v>43038</v>
      </c>
      <c r="R186" s="801"/>
    </row>
    <row r="187" spans="1:19" ht="15" customHeight="1">
      <c r="A187" s="902" t="s">
        <v>1839</v>
      </c>
      <c r="B187" s="902" t="s">
        <v>166</v>
      </c>
      <c r="C187" s="902" t="s">
        <v>167</v>
      </c>
      <c r="D187" s="903" t="s">
        <v>1840</v>
      </c>
      <c r="E187" s="902" t="s">
        <v>1676</v>
      </c>
      <c r="F187" s="902"/>
      <c r="G187" s="904">
        <v>900000</v>
      </c>
      <c r="H187" s="902" t="s">
        <v>112</v>
      </c>
      <c r="I187" s="905">
        <v>42846</v>
      </c>
      <c r="J187" s="905">
        <v>42859</v>
      </c>
      <c r="K187" s="902" t="s">
        <v>409</v>
      </c>
      <c r="L187" s="904">
        <v>883167</v>
      </c>
      <c r="M187" s="904">
        <v>1068632</v>
      </c>
      <c r="N187" s="905">
        <v>42891</v>
      </c>
      <c r="O187" s="905"/>
      <c r="P187" s="905">
        <v>42892</v>
      </c>
      <c r="Q187" s="905">
        <v>43129</v>
      </c>
      <c r="R187" s="801"/>
    </row>
    <row r="188" spans="1:19" ht="15" customHeight="1">
      <c r="A188" s="902" t="s">
        <v>1843</v>
      </c>
      <c r="B188" s="902" t="s">
        <v>1844</v>
      </c>
      <c r="C188" s="902" t="s">
        <v>1845</v>
      </c>
      <c r="D188" s="903" t="s">
        <v>1846</v>
      </c>
      <c r="E188" s="902" t="s">
        <v>1848</v>
      </c>
      <c r="F188" s="902"/>
      <c r="G188" s="904">
        <v>360000</v>
      </c>
      <c r="H188" s="902" t="s">
        <v>112</v>
      </c>
      <c r="I188" s="905">
        <v>42851</v>
      </c>
      <c r="J188" s="905">
        <v>42864</v>
      </c>
      <c r="K188" s="902" t="s">
        <v>1902</v>
      </c>
      <c r="L188" s="904">
        <v>241340</v>
      </c>
      <c r="M188" s="904">
        <f>L188*1.21</f>
        <v>292021.39999999997</v>
      </c>
      <c r="N188" s="905">
        <v>42898</v>
      </c>
      <c r="O188" s="905"/>
      <c r="P188" s="902" t="s">
        <v>239</v>
      </c>
      <c r="Q188" s="902" t="s">
        <v>239</v>
      </c>
      <c r="R188" s="801"/>
    </row>
    <row r="189" spans="1:19" ht="15" customHeight="1">
      <c r="A189" s="902" t="s">
        <v>1849</v>
      </c>
      <c r="B189" s="902" t="s">
        <v>1764</v>
      </c>
      <c r="C189" s="902" t="s">
        <v>361</v>
      </c>
      <c r="D189" s="903" t="s">
        <v>1850</v>
      </c>
      <c r="E189" s="902" t="s">
        <v>98</v>
      </c>
      <c r="F189" s="902" t="s">
        <v>1851</v>
      </c>
      <c r="G189" s="904">
        <v>480000</v>
      </c>
      <c r="H189" s="902" t="s">
        <v>112</v>
      </c>
      <c r="I189" s="905">
        <v>42852</v>
      </c>
      <c r="J189" s="905">
        <v>42865</v>
      </c>
      <c r="K189" s="902" t="s">
        <v>1884</v>
      </c>
      <c r="L189" s="904">
        <v>355096</v>
      </c>
      <c r="M189" s="904">
        <v>429666</v>
      </c>
      <c r="N189" s="905">
        <v>42894</v>
      </c>
      <c r="O189" s="905"/>
      <c r="P189" s="902" t="s">
        <v>239</v>
      </c>
      <c r="Q189" s="902" t="s">
        <v>239</v>
      </c>
      <c r="R189" s="801"/>
    </row>
    <row r="190" spans="1:19" ht="15" customHeight="1">
      <c r="A190" s="902" t="s">
        <v>1852</v>
      </c>
      <c r="B190" s="902" t="s">
        <v>14</v>
      </c>
      <c r="C190" s="902" t="s">
        <v>13</v>
      </c>
      <c r="D190" s="903" t="s">
        <v>1872</v>
      </c>
      <c r="E190" s="902" t="s">
        <v>1853</v>
      </c>
      <c r="F190" s="902"/>
      <c r="G190" s="904">
        <v>720000</v>
      </c>
      <c r="H190" s="902" t="s">
        <v>112</v>
      </c>
      <c r="I190" s="905">
        <v>42859</v>
      </c>
      <c r="J190" s="905">
        <v>42871</v>
      </c>
      <c r="K190" s="902" t="s">
        <v>754</v>
      </c>
      <c r="L190" s="904">
        <v>653040</v>
      </c>
      <c r="M190" s="904">
        <v>790250</v>
      </c>
      <c r="N190" s="905">
        <v>42887</v>
      </c>
      <c r="O190" s="905"/>
      <c r="P190" s="905">
        <v>42888</v>
      </c>
      <c r="Q190" s="902" t="s">
        <v>239</v>
      </c>
      <c r="R190" s="801"/>
    </row>
    <row r="191" spans="1:19" ht="15" customHeight="1">
      <c r="A191" s="902" t="s">
        <v>1857</v>
      </c>
      <c r="B191" s="902" t="s">
        <v>1764</v>
      </c>
      <c r="C191" s="902" t="s">
        <v>361</v>
      </c>
      <c r="D191" s="903" t="s">
        <v>1858</v>
      </c>
      <c r="E191" s="902" t="s">
        <v>896</v>
      </c>
      <c r="F191" s="902"/>
      <c r="G191" s="904">
        <v>500000</v>
      </c>
      <c r="H191" s="902" t="s">
        <v>112</v>
      </c>
      <c r="I191" s="905">
        <v>42860</v>
      </c>
      <c r="J191" s="905">
        <v>42870</v>
      </c>
      <c r="K191" s="902" t="s">
        <v>1927</v>
      </c>
      <c r="L191" s="904">
        <v>335118</v>
      </c>
      <c r="M191" s="904">
        <f>L191*1.21</f>
        <v>405492.77999999997</v>
      </c>
      <c r="N191" s="905">
        <v>42895</v>
      </c>
      <c r="O191" s="905"/>
      <c r="P191" s="905">
        <v>42895</v>
      </c>
      <c r="Q191" s="905">
        <v>42982</v>
      </c>
      <c r="R191" s="801"/>
    </row>
    <row r="192" spans="1:19" ht="15" customHeight="1">
      <c r="A192" s="902" t="s">
        <v>1863</v>
      </c>
      <c r="B192" s="902" t="s">
        <v>166</v>
      </c>
      <c r="C192" s="902" t="s">
        <v>167</v>
      </c>
      <c r="D192" s="903" t="s">
        <v>1862</v>
      </c>
      <c r="E192" s="491" t="s">
        <v>1817</v>
      </c>
      <c r="F192" s="902"/>
      <c r="G192" s="904">
        <v>500000</v>
      </c>
      <c r="H192" s="902" t="s">
        <v>112</v>
      </c>
      <c r="I192" s="905">
        <v>42870</v>
      </c>
      <c r="J192" s="905">
        <v>42878</v>
      </c>
      <c r="K192" s="902" t="s">
        <v>1959</v>
      </c>
      <c r="L192" s="904">
        <v>459410</v>
      </c>
      <c r="M192" s="904">
        <v>555887</v>
      </c>
      <c r="N192" s="905">
        <v>42912</v>
      </c>
      <c r="O192" s="905"/>
      <c r="P192" s="905">
        <v>42913</v>
      </c>
      <c r="Q192" s="905">
        <v>43605</v>
      </c>
      <c r="R192" s="801"/>
    </row>
    <row r="193" spans="1:19" ht="15" customHeight="1">
      <c r="A193" s="902" t="s">
        <v>1864</v>
      </c>
      <c r="B193" s="902" t="s">
        <v>1764</v>
      </c>
      <c r="C193" s="902" t="s">
        <v>361</v>
      </c>
      <c r="D193" s="903" t="s">
        <v>1871</v>
      </c>
      <c r="E193" s="902" t="s">
        <v>1865</v>
      </c>
      <c r="F193" s="902"/>
      <c r="G193" s="904">
        <v>1800000</v>
      </c>
      <c r="H193" s="902" t="s">
        <v>112</v>
      </c>
      <c r="I193" s="905">
        <v>42872</v>
      </c>
      <c r="J193" s="905">
        <v>42880</v>
      </c>
      <c r="K193" s="902" t="s">
        <v>1951</v>
      </c>
      <c r="L193" s="904">
        <v>384555.12</v>
      </c>
      <c r="M193" s="904">
        <v>465311.7</v>
      </c>
      <c r="N193" s="905">
        <v>42916</v>
      </c>
      <c r="O193" s="905"/>
      <c r="P193" s="905">
        <v>42929</v>
      </c>
      <c r="Q193" s="902" t="s">
        <v>239</v>
      </c>
      <c r="R193" s="801"/>
    </row>
    <row r="194" spans="1:19" ht="15" customHeight="1">
      <c r="A194" s="902" t="s">
        <v>1866</v>
      </c>
      <c r="B194" s="902" t="s">
        <v>1032</v>
      </c>
      <c r="C194" s="902" t="s">
        <v>1867</v>
      </c>
      <c r="D194" s="903" t="s">
        <v>1868</v>
      </c>
      <c r="E194" s="777" t="s">
        <v>1870</v>
      </c>
      <c r="F194" s="902" t="s">
        <v>1869</v>
      </c>
      <c r="G194" s="904">
        <v>620000</v>
      </c>
      <c r="H194" s="902" t="s">
        <v>112</v>
      </c>
      <c r="I194" s="905">
        <v>42879</v>
      </c>
      <c r="J194" s="905">
        <v>42899</v>
      </c>
      <c r="K194" s="902" t="s">
        <v>2009</v>
      </c>
      <c r="L194" s="904">
        <v>1711800</v>
      </c>
      <c r="M194" s="904">
        <f>L194*1.21</f>
        <v>2071278</v>
      </c>
      <c r="N194" s="905">
        <v>42933</v>
      </c>
      <c r="O194" s="905"/>
      <c r="P194" s="905">
        <v>42936</v>
      </c>
      <c r="Q194" s="905">
        <v>43087</v>
      </c>
      <c r="R194" s="801"/>
    </row>
    <row r="195" spans="1:19" ht="15" customHeight="1">
      <c r="A195" s="902" t="s">
        <v>1876</v>
      </c>
      <c r="B195" s="902" t="s">
        <v>58</v>
      </c>
      <c r="C195" s="902" t="s">
        <v>57</v>
      </c>
      <c r="D195" s="903" t="s">
        <v>1877</v>
      </c>
      <c r="E195" s="902" t="s">
        <v>782</v>
      </c>
      <c r="F195" s="902" t="s">
        <v>1878</v>
      </c>
      <c r="G195" s="904">
        <v>1750000</v>
      </c>
      <c r="H195" s="902" t="s">
        <v>112</v>
      </c>
      <c r="I195" s="905">
        <v>42873</v>
      </c>
      <c r="J195" s="905">
        <v>42885</v>
      </c>
      <c r="K195" s="902" t="s">
        <v>1075</v>
      </c>
      <c r="L195" s="904">
        <v>1737150</v>
      </c>
      <c r="M195" s="904">
        <v>2101951.5</v>
      </c>
      <c r="N195" s="905">
        <v>42942</v>
      </c>
      <c r="O195" s="905"/>
      <c r="P195" s="905">
        <v>42942</v>
      </c>
      <c r="Q195" s="905">
        <v>43059</v>
      </c>
      <c r="R195" s="996" t="s">
        <v>1875</v>
      </c>
    </row>
    <row r="196" spans="1:19" ht="15" customHeight="1">
      <c r="A196" s="872" t="s">
        <v>1879</v>
      </c>
      <c r="B196" s="872" t="s">
        <v>58</v>
      </c>
      <c r="C196" s="872" t="s">
        <v>57</v>
      </c>
      <c r="D196" s="873" t="s">
        <v>1906</v>
      </c>
      <c r="E196" s="872" t="s">
        <v>1880</v>
      </c>
      <c r="F196" s="872" t="s">
        <v>1881</v>
      </c>
      <c r="G196" s="875">
        <v>395000</v>
      </c>
      <c r="H196" s="872" t="s">
        <v>112</v>
      </c>
      <c r="I196" s="874">
        <v>42874</v>
      </c>
      <c r="J196" s="874">
        <v>42893</v>
      </c>
      <c r="K196" s="876" t="s">
        <v>242</v>
      </c>
      <c r="L196" s="875"/>
      <c r="M196" s="875"/>
      <c r="N196" s="872"/>
      <c r="O196" s="872"/>
      <c r="P196" s="872" t="s">
        <v>239</v>
      </c>
      <c r="Q196" s="872"/>
      <c r="R196" s="801"/>
    </row>
    <row r="197" spans="1:19" s="1012" customFormat="1" ht="15" customHeight="1">
      <c r="A197" s="902" t="s">
        <v>1896</v>
      </c>
      <c r="B197" s="902" t="s">
        <v>1897</v>
      </c>
      <c r="C197" s="902" t="s">
        <v>57</v>
      </c>
      <c r="D197" s="903" t="s">
        <v>1898</v>
      </c>
      <c r="E197" s="902" t="s">
        <v>792</v>
      </c>
      <c r="F197" s="902" t="s">
        <v>1899</v>
      </c>
      <c r="G197" s="904">
        <v>965000</v>
      </c>
      <c r="H197" s="902" t="s">
        <v>112</v>
      </c>
      <c r="I197" s="905">
        <v>42874</v>
      </c>
      <c r="J197" s="905">
        <v>42893</v>
      </c>
      <c r="K197" s="902" t="s">
        <v>2109</v>
      </c>
      <c r="L197" s="904">
        <v>513522</v>
      </c>
      <c r="M197" s="904">
        <f>L197*1.21</f>
        <v>621361.62</v>
      </c>
      <c r="N197" s="905">
        <v>42986</v>
      </c>
      <c r="O197" s="905"/>
      <c r="P197" s="905">
        <v>42991</v>
      </c>
      <c r="Q197" s="905">
        <v>43185</v>
      </c>
      <c r="R197" s="996" t="s">
        <v>1875</v>
      </c>
      <c r="S197" s="802"/>
    </row>
    <row r="198" spans="1:19" ht="15" customHeight="1">
      <c r="A198" s="902" t="s">
        <v>1882</v>
      </c>
      <c r="B198" s="902" t="s">
        <v>166</v>
      </c>
      <c r="C198" s="902" t="s">
        <v>167</v>
      </c>
      <c r="D198" s="903" t="s">
        <v>1883</v>
      </c>
      <c r="E198" s="904" t="s">
        <v>1676</v>
      </c>
      <c r="F198" s="902"/>
      <c r="G198" s="904">
        <v>1200000</v>
      </c>
      <c r="H198" s="902" t="s">
        <v>112</v>
      </c>
      <c r="I198" s="905">
        <v>42874</v>
      </c>
      <c r="J198" s="905">
        <v>42885</v>
      </c>
      <c r="K198" s="902" t="s">
        <v>409</v>
      </c>
      <c r="L198" s="904">
        <v>1597157</v>
      </c>
      <c r="M198" s="904">
        <f>L198*1.21</f>
        <v>1932559.97</v>
      </c>
      <c r="N198" s="905">
        <v>42915</v>
      </c>
      <c r="O198" s="905"/>
      <c r="P198" s="905">
        <v>42916</v>
      </c>
      <c r="Q198" s="905">
        <v>43038</v>
      </c>
      <c r="R198" s="801"/>
    </row>
    <row r="199" spans="1:19" s="1012" customFormat="1" ht="15" customHeight="1">
      <c r="A199" s="902" t="s">
        <v>1900</v>
      </c>
      <c r="B199" s="902" t="s">
        <v>166</v>
      </c>
      <c r="C199" s="902" t="s">
        <v>167</v>
      </c>
      <c r="D199" s="903" t="s">
        <v>1901</v>
      </c>
      <c r="E199" s="904" t="s">
        <v>1676</v>
      </c>
      <c r="F199" s="902" t="s">
        <v>1952</v>
      </c>
      <c r="G199" s="904">
        <v>3300000</v>
      </c>
      <c r="H199" s="902" t="s">
        <v>112</v>
      </c>
      <c r="I199" s="905">
        <v>42879</v>
      </c>
      <c r="J199" s="905">
        <v>42891</v>
      </c>
      <c r="K199" s="902" t="s">
        <v>409</v>
      </c>
      <c r="L199" s="904">
        <v>5521389</v>
      </c>
      <c r="M199" s="904">
        <v>6680881</v>
      </c>
      <c r="N199" s="905">
        <v>42912</v>
      </c>
      <c r="O199" s="905"/>
      <c r="P199" s="905">
        <v>42912</v>
      </c>
      <c r="Q199" s="905">
        <v>43052</v>
      </c>
      <c r="R199" s="801"/>
      <c r="S199" s="802"/>
    </row>
    <row r="200" spans="1:19" ht="15.75" customHeight="1">
      <c r="A200" s="902" t="s">
        <v>1889</v>
      </c>
      <c r="B200" s="902" t="s">
        <v>14</v>
      </c>
      <c r="C200" s="902" t="s">
        <v>871</v>
      </c>
      <c r="D200" s="903" t="s">
        <v>1890</v>
      </c>
      <c r="E200" s="904" t="s">
        <v>1891</v>
      </c>
      <c r="F200" s="902"/>
      <c r="G200" s="904">
        <v>290000</v>
      </c>
      <c r="H200" s="902" t="s">
        <v>112</v>
      </c>
      <c r="I200" s="905">
        <v>42884</v>
      </c>
      <c r="J200" s="905">
        <v>42894</v>
      </c>
      <c r="K200" s="902" t="s">
        <v>1985</v>
      </c>
      <c r="L200" s="904">
        <v>342000</v>
      </c>
      <c r="M200" s="904">
        <f>L200*1.21</f>
        <v>413820</v>
      </c>
      <c r="N200" s="905">
        <v>42916</v>
      </c>
      <c r="O200" s="905"/>
      <c r="P200" s="902" t="s">
        <v>239</v>
      </c>
      <c r="Q200" s="902" t="s">
        <v>239</v>
      </c>
      <c r="R200" s="801"/>
    </row>
    <row r="201" spans="1:19" ht="14.25" customHeight="1">
      <c r="A201" s="902" t="s">
        <v>1892</v>
      </c>
      <c r="B201" s="902" t="s">
        <v>14</v>
      </c>
      <c r="C201" s="902" t="s">
        <v>871</v>
      </c>
      <c r="D201" s="903" t="s">
        <v>1893</v>
      </c>
      <c r="E201" s="902" t="s">
        <v>39</v>
      </c>
      <c r="F201" s="902"/>
      <c r="G201" s="904">
        <v>27275000</v>
      </c>
      <c r="H201" s="902" t="s">
        <v>251</v>
      </c>
      <c r="I201" s="905">
        <v>42880</v>
      </c>
      <c r="J201" s="905">
        <v>42929</v>
      </c>
      <c r="K201" s="902" t="s">
        <v>2050</v>
      </c>
      <c r="L201" s="904">
        <v>26996343</v>
      </c>
      <c r="M201" s="904">
        <f>L201*1.21</f>
        <v>32665575.029999997</v>
      </c>
      <c r="N201" s="905">
        <v>42963</v>
      </c>
      <c r="O201" s="905"/>
      <c r="P201" s="905">
        <v>42968</v>
      </c>
      <c r="Q201" s="905">
        <v>43692</v>
      </c>
      <c r="R201" s="801"/>
    </row>
    <row r="202" spans="1:19" ht="15" customHeight="1">
      <c r="A202" s="902" t="s">
        <v>1894</v>
      </c>
      <c r="B202" s="902" t="s">
        <v>1503</v>
      </c>
      <c r="C202" s="902" t="s">
        <v>918</v>
      </c>
      <c r="D202" s="903" t="s">
        <v>1895</v>
      </c>
      <c r="E202" s="902" t="s">
        <v>1518</v>
      </c>
      <c r="F202" s="902"/>
      <c r="G202" s="904">
        <v>800000</v>
      </c>
      <c r="H202" s="902" t="s">
        <v>112</v>
      </c>
      <c r="I202" s="905">
        <v>42877</v>
      </c>
      <c r="J202" s="905">
        <v>42887</v>
      </c>
      <c r="K202" s="902" t="s">
        <v>1939</v>
      </c>
      <c r="L202" s="904">
        <v>138060</v>
      </c>
      <c r="M202" s="904">
        <f>L202*1.21</f>
        <v>167052.6</v>
      </c>
      <c r="N202" s="905">
        <v>42915</v>
      </c>
      <c r="O202" s="905" t="s">
        <v>4096</v>
      </c>
      <c r="P202" s="905">
        <v>42916</v>
      </c>
      <c r="Q202" s="1127">
        <v>44865</v>
      </c>
      <c r="R202" s="801"/>
    </row>
    <row r="203" spans="1:19" ht="15" customHeight="1">
      <c r="A203" s="902" t="s">
        <v>1903</v>
      </c>
      <c r="B203" s="902" t="s">
        <v>58</v>
      </c>
      <c r="C203" s="902" t="s">
        <v>57</v>
      </c>
      <c r="D203" s="903" t="s">
        <v>1904</v>
      </c>
      <c r="E203" s="902" t="s">
        <v>396</v>
      </c>
      <c r="F203" s="902" t="s">
        <v>1905</v>
      </c>
      <c r="G203" s="904">
        <v>300000</v>
      </c>
      <c r="H203" s="902" t="s">
        <v>112</v>
      </c>
      <c r="I203" s="905">
        <v>42881</v>
      </c>
      <c r="J203" s="905">
        <v>42893</v>
      </c>
      <c r="K203" s="902" t="s">
        <v>1960</v>
      </c>
      <c r="L203" s="904">
        <v>298409</v>
      </c>
      <c r="M203" s="904">
        <v>361074.89</v>
      </c>
      <c r="N203" s="905">
        <v>42933</v>
      </c>
      <c r="O203" s="905"/>
      <c r="P203" s="902" t="s">
        <v>239</v>
      </c>
      <c r="Q203" s="902" t="s">
        <v>239</v>
      </c>
      <c r="R203" s="801"/>
    </row>
    <row r="204" spans="1:19" s="1013" customFormat="1" ht="15" customHeight="1">
      <c r="A204" s="902" t="s">
        <v>1909</v>
      </c>
      <c r="B204" s="902" t="s">
        <v>58</v>
      </c>
      <c r="C204" s="902" t="s">
        <v>57</v>
      </c>
      <c r="D204" s="903" t="s">
        <v>1911</v>
      </c>
      <c r="E204" s="902" t="s">
        <v>1912</v>
      </c>
      <c r="F204" s="902" t="s">
        <v>1913</v>
      </c>
      <c r="G204" s="904">
        <v>990000</v>
      </c>
      <c r="H204" s="902" t="s">
        <v>112</v>
      </c>
      <c r="I204" s="905">
        <v>42881</v>
      </c>
      <c r="J204" s="905">
        <v>42893</v>
      </c>
      <c r="K204" s="902" t="s">
        <v>1967</v>
      </c>
      <c r="L204" s="904">
        <v>693024.2</v>
      </c>
      <c r="M204" s="904">
        <v>839089.3</v>
      </c>
      <c r="N204" s="905">
        <v>42933</v>
      </c>
      <c r="O204" s="905"/>
      <c r="P204" s="905">
        <v>42934</v>
      </c>
      <c r="Q204" s="905">
        <v>43052</v>
      </c>
      <c r="R204" s="996" t="s">
        <v>1875</v>
      </c>
      <c r="S204" s="802"/>
    </row>
    <row r="205" spans="1:19" s="1013" customFormat="1" ht="15" customHeight="1">
      <c r="A205" s="872" t="s">
        <v>1910</v>
      </c>
      <c r="B205" s="872" t="s">
        <v>58</v>
      </c>
      <c r="C205" s="872" t="s">
        <v>57</v>
      </c>
      <c r="D205" s="873" t="s">
        <v>1914</v>
      </c>
      <c r="E205" s="872" t="s">
        <v>850</v>
      </c>
      <c r="F205" s="872" t="s">
        <v>1915</v>
      </c>
      <c r="G205" s="875">
        <v>455000</v>
      </c>
      <c r="H205" s="872" t="s">
        <v>112</v>
      </c>
      <c r="I205" s="874">
        <v>42916</v>
      </c>
      <c r="J205" s="874">
        <v>42894</v>
      </c>
      <c r="K205" s="876" t="s">
        <v>242</v>
      </c>
      <c r="L205" s="875"/>
      <c r="M205" s="875"/>
      <c r="N205" s="872"/>
      <c r="O205" s="872"/>
      <c r="P205" s="872" t="s">
        <v>239</v>
      </c>
      <c r="Q205" s="872"/>
      <c r="R205" s="801"/>
      <c r="S205" s="802"/>
    </row>
    <row r="206" spans="1:19" ht="15" customHeight="1">
      <c r="A206" s="902" t="s">
        <v>1907</v>
      </c>
      <c r="B206" s="902" t="s">
        <v>58</v>
      </c>
      <c r="C206" s="902" t="s">
        <v>57</v>
      </c>
      <c r="D206" s="903" t="s">
        <v>1908</v>
      </c>
      <c r="E206" s="902" t="s">
        <v>756</v>
      </c>
      <c r="F206" s="902" t="s">
        <v>1994</v>
      </c>
      <c r="G206" s="904">
        <v>400000</v>
      </c>
      <c r="H206" s="902" t="s">
        <v>112</v>
      </c>
      <c r="I206" s="905">
        <v>42881</v>
      </c>
      <c r="J206" s="905">
        <v>42893</v>
      </c>
      <c r="K206" s="902" t="s">
        <v>1961</v>
      </c>
      <c r="L206" s="904">
        <v>316120</v>
      </c>
      <c r="M206" s="904">
        <f>L206*1.21</f>
        <v>382505.2</v>
      </c>
      <c r="N206" s="905">
        <v>42935</v>
      </c>
      <c r="O206" s="905"/>
      <c r="P206" s="902" t="s">
        <v>239</v>
      </c>
      <c r="Q206" s="902" t="s">
        <v>239</v>
      </c>
      <c r="R206" s="801"/>
    </row>
    <row r="207" spans="1:19" ht="15" customHeight="1">
      <c r="A207" s="902" t="s">
        <v>1916</v>
      </c>
      <c r="B207" s="902" t="s">
        <v>58</v>
      </c>
      <c r="C207" s="902" t="s">
        <v>57</v>
      </c>
      <c r="D207" s="903" t="s">
        <v>1917</v>
      </c>
      <c r="E207" s="902" t="s">
        <v>1719</v>
      </c>
      <c r="F207" s="902" t="s">
        <v>1918</v>
      </c>
      <c r="G207" s="904">
        <v>640000</v>
      </c>
      <c r="H207" s="902" t="s">
        <v>112</v>
      </c>
      <c r="I207" s="905">
        <v>42881</v>
      </c>
      <c r="J207" s="905">
        <v>42894</v>
      </c>
      <c r="K207" s="902" t="s">
        <v>1968</v>
      </c>
      <c r="L207" s="904">
        <v>1045356</v>
      </c>
      <c r="M207" s="904">
        <f>L207*1.21</f>
        <v>1264880.76</v>
      </c>
      <c r="N207" s="905">
        <v>42923</v>
      </c>
      <c r="O207" s="905"/>
      <c r="P207" s="905">
        <v>42923</v>
      </c>
      <c r="Q207" s="905">
        <v>43031</v>
      </c>
      <c r="R207" s="996" t="s">
        <v>1875</v>
      </c>
    </row>
    <row r="208" spans="1:19" s="1016" customFormat="1" ht="15" customHeight="1">
      <c r="A208" s="872" t="s">
        <v>1923</v>
      </c>
      <c r="B208" s="872" t="s">
        <v>58</v>
      </c>
      <c r="C208" s="872" t="s">
        <v>57</v>
      </c>
      <c r="D208" s="873" t="s">
        <v>1997</v>
      </c>
      <c r="E208" s="872" t="s">
        <v>1924</v>
      </c>
      <c r="F208" s="872" t="s">
        <v>1925</v>
      </c>
      <c r="G208" s="875">
        <v>365000</v>
      </c>
      <c r="H208" s="872" t="s">
        <v>112</v>
      </c>
      <c r="I208" s="874">
        <v>42886</v>
      </c>
      <c r="J208" s="874">
        <v>42906</v>
      </c>
      <c r="K208" s="876" t="s">
        <v>242</v>
      </c>
      <c r="L208" s="875"/>
      <c r="M208" s="875"/>
      <c r="N208" s="872"/>
      <c r="O208" s="872"/>
      <c r="P208" s="872" t="s">
        <v>239</v>
      </c>
      <c r="Q208" s="872"/>
      <c r="R208" s="1078"/>
      <c r="S208" s="1554"/>
    </row>
    <row r="209" spans="1:19" s="1016" customFormat="1" ht="15" customHeight="1">
      <c r="A209" s="902" t="s">
        <v>1923</v>
      </c>
      <c r="B209" s="902" t="s">
        <v>58</v>
      </c>
      <c r="C209" s="902" t="s">
        <v>57</v>
      </c>
      <c r="D209" s="903" t="s">
        <v>1998</v>
      </c>
      <c r="E209" s="902" t="s">
        <v>1924</v>
      </c>
      <c r="F209" s="902" t="s">
        <v>1925</v>
      </c>
      <c r="G209" s="915">
        <v>300000</v>
      </c>
      <c r="H209" s="902" t="s">
        <v>112</v>
      </c>
      <c r="I209" s="905">
        <v>42886</v>
      </c>
      <c r="J209" s="905">
        <v>42906</v>
      </c>
      <c r="K209" s="913" t="s">
        <v>2108</v>
      </c>
      <c r="L209" s="915">
        <v>384220</v>
      </c>
      <c r="M209" s="915">
        <f>L209*1.21</f>
        <v>464906.2</v>
      </c>
      <c r="N209" s="916">
        <v>42986</v>
      </c>
      <c r="O209" s="916"/>
      <c r="P209" s="916">
        <v>42990</v>
      </c>
      <c r="Q209" s="916">
        <v>43073</v>
      </c>
      <c r="R209" s="996" t="s">
        <v>1875</v>
      </c>
      <c r="S209" s="1554"/>
    </row>
    <row r="210" spans="1:19" s="1016" customFormat="1" ht="15" customHeight="1">
      <c r="A210" s="902" t="s">
        <v>1923</v>
      </c>
      <c r="B210" s="902" t="s">
        <v>58</v>
      </c>
      <c r="C210" s="902" t="s">
        <v>57</v>
      </c>
      <c r="D210" s="903" t="s">
        <v>1999</v>
      </c>
      <c r="E210" s="902" t="s">
        <v>1924</v>
      </c>
      <c r="F210" s="902" t="s">
        <v>1925</v>
      </c>
      <c r="G210" s="915">
        <v>300000</v>
      </c>
      <c r="H210" s="902" t="s">
        <v>112</v>
      </c>
      <c r="I210" s="905">
        <v>42886</v>
      </c>
      <c r="J210" s="905">
        <v>42906</v>
      </c>
      <c r="K210" s="902" t="s">
        <v>1196</v>
      </c>
      <c r="L210" s="904">
        <v>681635</v>
      </c>
      <c r="M210" s="904">
        <f>L210*1.21</f>
        <v>824778.35</v>
      </c>
      <c r="N210" s="905">
        <v>42992</v>
      </c>
      <c r="O210" s="905"/>
      <c r="P210" s="905">
        <v>42996</v>
      </c>
      <c r="Q210" s="905">
        <v>43087</v>
      </c>
      <c r="R210" s="996" t="s">
        <v>1875</v>
      </c>
      <c r="S210" s="1554"/>
    </row>
    <row r="211" spans="1:19" ht="15.75" customHeight="1" thickBot="1">
      <c r="A211" s="913" t="s">
        <v>1919</v>
      </c>
      <c r="B211" s="913" t="s">
        <v>1577</v>
      </c>
      <c r="C211" s="913" t="s">
        <v>1578</v>
      </c>
      <c r="D211" s="914" t="s">
        <v>1920</v>
      </c>
      <c r="E211" s="913" t="s">
        <v>1580</v>
      </c>
      <c r="F211" s="913" t="s">
        <v>1581</v>
      </c>
      <c r="G211" s="915">
        <v>8450000</v>
      </c>
      <c r="H211" s="913" t="s">
        <v>251</v>
      </c>
      <c r="I211" s="916">
        <v>42885</v>
      </c>
      <c r="J211" s="916">
        <v>42926</v>
      </c>
      <c r="K211" s="913" t="s">
        <v>1860</v>
      </c>
      <c r="L211" s="915">
        <v>8400000</v>
      </c>
      <c r="M211" s="915">
        <f>L211*1.21</f>
        <v>10164000</v>
      </c>
      <c r="N211" s="916">
        <v>43011</v>
      </c>
      <c r="O211" s="916"/>
      <c r="P211" s="916">
        <v>43012</v>
      </c>
      <c r="Q211" s="925"/>
      <c r="R211" s="1075"/>
    </row>
    <row r="212" spans="1:19" ht="15.75" customHeight="1" thickTop="1">
      <c r="A212" s="882" t="s">
        <v>1926</v>
      </c>
      <c r="B212" s="883" t="s">
        <v>69</v>
      </c>
      <c r="C212" s="883" t="s">
        <v>70</v>
      </c>
      <c r="D212" s="884" t="s">
        <v>2031</v>
      </c>
      <c r="E212" s="883" t="s">
        <v>688</v>
      </c>
      <c r="F212" s="883"/>
      <c r="G212" s="885">
        <v>2800423.66</v>
      </c>
      <c r="H212" s="883" t="s">
        <v>251</v>
      </c>
      <c r="I212" s="886">
        <v>42886</v>
      </c>
      <c r="J212" s="886">
        <v>42943</v>
      </c>
      <c r="K212" s="894" t="s">
        <v>242</v>
      </c>
      <c r="L212" s="885"/>
      <c r="M212" s="885"/>
      <c r="N212" s="883"/>
      <c r="O212" s="883"/>
      <c r="P212" s="886">
        <v>42947</v>
      </c>
      <c r="Q212" s="887"/>
      <c r="R212" s="1084"/>
    </row>
    <row r="213" spans="1:19" ht="15" customHeight="1">
      <c r="A213" s="1014" t="s">
        <v>1926</v>
      </c>
      <c r="B213" s="902" t="s">
        <v>69</v>
      </c>
      <c r="C213" s="902" t="s">
        <v>70</v>
      </c>
      <c r="D213" s="903" t="s">
        <v>1921</v>
      </c>
      <c r="E213" s="902" t="s">
        <v>688</v>
      </c>
      <c r="F213" s="902"/>
      <c r="G213" s="904">
        <v>1373817.6</v>
      </c>
      <c r="H213" s="902" t="s">
        <v>251</v>
      </c>
      <c r="I213" s="905">
        <v>42886</v>
      </c>
      <c r="J213" s="905">
        <v>42943</v>
      </c>
      <c r="K213" s="902" t="s">
        <v>578</v>
      </c>
      <c r="L213" s="904">
        <v>1373817.6</v>
      </c>
      <c r="M213" s="904">
        <v>1511199.36</v>
      </c>
      <c r="N213" s="905">
        <v>42985</v>
      </c>
      <c r="O213" s="905">
        <v>43714</v>
      </c>
      <c r="P213" s="905">
        <v>42989</v>
      </c>
      <c r="Q213" s="1089">
        <v>43175</v>
      </c>
      <c r="R213" s="1502">
        <v>43550</v>
      </c>
      <c r="S213" s="1319">
        <v>43914</v>
      </c>
    </row>
    <row r="214" spans="1:19" ht="15.75" customHeight="1" thickBot="1">
      <c r="A214" s="1014" t="s">
        <v>1926</v>
      </c>
      <c r="B214" s="902" t="s">
        <v>69</v>
      </c>
      <c r="C214" s="902" t="s">
        <v>70</v>
      </c>
      <c r="D214" s="903" t="s">
        <v>1922</v>
      </c>
      <c r="E214" s="902" t="s">
        <v>688</v>
      </c>
      <c r="F214" s="902"/>
      <c r="G214" s="904">
        <v>4822804.8</v>
      </c>
      <c r="H214" s="902" t="s">
        <v>251</v>
      </c>
      <c r="I214" s="905">
        <v>42886</v>
      </c>
      <c r="J214" s="905">
        <v>42943</v>
      </c>
      <c r="K214" s="902" t="s">
        <v>2097</v>
      </c>
      <c r="L214" s="904">
        <v>4822804.8</v>
      </c>
      <c r="M214" s="904">
        <v>5305085.28</v>
      </c>
      <c r="N214" s="905">
        <v>42985</v>
      </c>
      <c r="O214" s="905">
        <v>43191</v>
      </c>
      <c r="P214" s="905">
        <v>42989</v>
      </c>
      <c r="Q214" s="1089">
        <v>43175</v>
      </c>
      <c r="R214" s="1288">
        <v>43244</v>
      </c>
      <c r="S214" s="1673" t="s">
        <v>2737</v>
      </c>
    </row>
    <row r="215" spans="1:19" s="1033" customFormat="1" ht="16.5" customHeight="1" thickTop="1" thickBot="1">
      <c r="A215" s="888" t="s">
        <v>1926</v>
      </c>
      <c r="B215" s="889" t="s">
        <v>69</v>
      </c>
      <c r="C215" s="889" t="s">
        <v>70</v>
      </c>
      <c r="D215" s="890" t="s">
        <v>2067</v>
      </c>
      <c r="E215" s="889" t="s">
        <v>688</v>
      </c>
      <c r="F215" s="889"/>
      <c r="G215" s="891">
        <v>953125.92</v>
      </c>
      <c r="H215" s="889" t="s">
        <v>251</v>
      </c>
      <c r="I215" s="892">
        <v>42886</v>
      </c>
      <c r="J215" s="892">
        <v>42943</v>
      </c>
      <c r="K215" s="895" t="s">
        <v>242</v>
      </c>
      <c r="L215" s="891"/>
      <c r="M215" s="891"/>
      <c r="N215" s="889"/>
      <c r="O215" s="1282"/>
      <c r="P215" s="892">
        <v>42947</v>
      </c>
      <c r="Q215" s="893"/>
      <c r="R215" s="1085"/>
      <c r="S215" s="802"/>
    </row>
    <row r="216" spans="1:19" ht="15.75" customHeight="1" thickTop="1">
      <c r="A216" s="991" t="s">
        <v>1930</v>
      </c>
      <c r="B216" s="991" t="s">
        <v>58</v>
      </c>
      <c r="C216" s="991" t="s">
        <v>57</v>
      </c>
      <c r="D216" s="567" t="s">
        <v>1929</v>
      </c>
      <c r="E216" s="991" t="s">
        <v>737</v>
      </c>
      <c r="F216" s="991" t="s">
        <v>1662</v>
      </c>
      <c r="G216" s="992">
        <v>2480000</v>
      </c>
      <c r="H216" s="991" t="s">
        <v>216</v>
      </c>
      <c r="I216" s="993">
        <v>42887</v>
      </c>
      <c r="J216" s="993">
        <v>42908</v>
      </c>
      <c r="K216" s="991" t="s">
        <v>1648</v>
      </c>
      <c r="L216" s="992">
        <v>1795080</v>
      </c>
      <c r="M216" s="992">
        <f t="shared" ref="M216:M224" si="3">L216*1.21</f>
        <v>2172046.7999999998</v>
      </c>
      <c r="N216" s="993">
        <v>42986</v>
      </c>
      <c r="O216" s="993"/>
      <c r="P216" s="993">
        <v>42993</v>
      </c>
      <c r="Q216" s="993">
        <v>43097</v>
      </c>
      <c r="R216" s="995" t="s">
        <v>1875</v>
      </c>
    </row>
    <row r="217" spans="1:19" ht="15" customHeight="1">
      <c r="A217" s="902" t="s">
        <v>1931</v>
      </c>
      <c r="B217" s="902" t="s">
        <v>166</v>
      </c>
      <c r="C217" s="902" t="s">
        <v>167</v>
      </c>
      <c r="D217" s="903" t="s">
        <v>1932</v>
      </c>
      <c r="E217" s="902" t="s">
        <v>1676</v>
      </c>
      <c r="F217" s="902"/>
      <c r="G217" s="904">
        <v>450000</v>
      </c>
      <c r="H217" s="902" t="s">
        <v>112</v>
      </c>
      <c r="I217" s="905">
        <v>42887</v>
      </c>
      <c r="J217" s="905">
        <v>42895</v>
      </c>
      <c r="K217" s="902" t="s">
        <v>1984</v>
      </c>
      <c r="L217" s="904">
        <v>666853.41</v>
      </c>
      <c r="M217" s="904">
        <f t="shared" si="3"/>
        <v>806892.62609999999</v>
      </c>
      <c r="N217" s="905">
        <v>42919</v>
      </c>
      <c r="O217" s="905"/>
      <c r="P217" s="905">
        <v>42919</v>
      </c>
      <c r="Q217" s="905">
        <v>43038</v>
      </c>
      <c r="R217" s="801"/>
    </row>
    <row r="218" spans="1:19" ht="15" customHeight="1">
      <c r="A218" s="902" t="s">
        <v>1933</v>
      </c>
      <c r="B218" s="902" t="s">
        <v>14</v>
      </c>
      <c r="C218" s="902" t="s">
        <v>13</v>
      </c>
      <c r="D218" s="903" t="s">
        <v>1934</v>
      </c>
      <c r="E218" s="902" t="s">
        <v>566</v>
      </c>
      <c r="F218" s="902" t="s">
        <v>1935</v>
      </c>
      <c r="G218" s="904">
        <v>3015000</v>
      </c>
      <c r="H218" s="902" t="s">
        <v>251</v>
      </c>
      <c r="I218" s="905">
        <v>42900</v>
      </c>
      <c r="J218" s="905">
        <v>42928</v>
      </c>
      <c r="K218" s="902" t="s">
        <v>1074</v>
      </c>
      <c r="L218" s="904">
        <v>2893356</v>
      </c>
      <c r="M218" s="904">
        <f t="shared" si="3"/>
        <v>3500960.76</v>
      </c>
      <c r="N218" s="905">
        <v>43012</v>
      </c>
      <c r="O218" s="905"/>
      <c r="P218" s="905">
        <v>43018</v>
      </c>
      <c r="Q218" s="905">
        <v>43143</v>
      </c>
      <c r="R218" s="801"/>
    </row>
    <row r="219" spans="1:19" ht="15" customHeight="1">
      <c r="A219" s="902" t="s">
        <v>1936</v>
      </c>
      <c r="B219" s="902" t="s">
        <v>1764</v>
      </c>
      <c r="C219" s="902" t="s">
        <v>361</v>
      </c>
      <c r="D219" s="903" t="s">
        <v>1937</v>
      </c>
      <c r="E219" s="902" t="s">
        <v>1945</v>
      </c>
      <c r="F219" s="902" t="s">
        <v>1938</v>
      </c>
      <c r="G219" s="904">
        <v>1900000</v>
      </c>
      <c r="H219" s="902" t="s">
        <v>112</v>
      </c>
      <c r="I219" s="905">
        <v>42899</v>
      </c>
      <c r="J219" s="905">
        <v>42923</v>
      </c>
      <c r="K219" s="902" t="s">
        <v>1951</v>
      </c>
      <c r="L219" s="904">
        <v>1060000</v>
      </c>
      <c r="M219" s="904">
        <f t="shared" si="3"/>
        <v>1282600</v>
      </c>
      <c r="N219" s="905">
        <v>42964</v>
      </c>
      <c r="O219" s="905"/>
      <c r="P219" s="905">
        <v>42964</v>
      </c>
      <c r="Q219" s="905">
        <v>43193</v>
      </c>
      <c r="R219" s="801"/>
    </row>
    <row r="220" spans="1:19" s="1017" customFormat="1" ht="15" customHeight="1">
      <c r="A220" s="902" t="s">
        <v>1940</v>
      </c>
      <c r="B220" s="902" t="s">
        <v>1764</v>
      </c>
      <c r="C220" s="902" t="s">
        <v>361</v>
      </c>
      <c r="D220" s="903" t="s">
        <v>1941</v>
      </c>
      <c r="E220" s="491" t="s">
        <v>1950</v>
      </c>
      <c r="F220" s="902" t="s">
        <v>1947</v>
      </c>
      <c r="G220" s="904">
        <v>540000</v>
      </c>
      <c r="H220" s="902" t="s">
        <v>112</v>
      </c>
      <c r="I220" s="905">
        <v>42894</v>
      </c>
      <c r="J220" s="905">
        <v>42908</v>
      </c>
      <c r="K220" s="902" t="s">
        <v>2040</v>
      </c>
      <c r="L220" s="904">
        <v>421309</v>
      </c>
      <c r="M220" s="904">
        <f t="shared" si="3"/>
        <v>509783.89</v>
      </c>
      <c r="N220" s="905">
        <v>42948</v>
      </c>
      <c r="O220" s="905"/>
      <c r="P220" s="905">
        <v>42956</v>
      </c>
      <c r="Q220" s="905">
        <v>43038</v>
      </c>
      <c r="R220" s="996" t="s">
        <v>1875</v>
      </c>
      <c r="S220" s="802"/>
    </row>
    <row r="221" spans="1:19" s="1104" customFormat="1" ht="15" customHeight="1">
      <c r="A221" s="869" t="s">
        <v>2193</v>
      </c>
      <c r="B221" s="869" t="s">
        <v>367</v>
      </c>
      <c r="C221" s="869" t="s">
        <v>1446</v>
      </c>
      <c r="D221" s="856" t="s">
        <v>2194</v>
      </c>
      <c r="E221" s="869" t="s">
        <v>2278</v>
      </c>
      <c r="F221" s="869" t="s">
        <v>2195</v>
      </c>
      <c r="G221" s="871">
        <v>1990000</v>
      </c>
      <c r="H221" s="869" t="s">
        <v>112</v>
      </c>
      <c r="I221" s="870">
        <v>43025</v>
      </c>
      <c r="J221" s="870">
        <v>43065</v>
      </c>
      <c r="K221" s="869" t="s">
        <v>2399</v>
      </c>
      <c r="L221" s="871">
        <v>1782746</v>
      </c>
      <c r="M221" s="871">
        <v>2157123</v>
      </c>
      <c r="N221" s="870"/>
      <c r="O221" s="870"/>
      <c r="P221" s="870"/>
      <c r="Q221" s="869"/>
      <c r="R221" s="801"/>
      <c r="S221" s="802"/>
    </row>
    <row r="222" spans="1:19" ht="15" customHeight="1">
      <c r="A222" s="902" t="s">
        <v>1942</v>
      </c>
      <c r="B222" s="902" t="s">
        <v>1764</v>
      </c>
      <c r="C222" s="902" t="s">
        <v>361</v>
      </c>
      <c r="D222" s="903" t="s">
        <v>1943</v>
      </c>
      <c r="E222" s="777" t="s">
        <v>1948</v>
      </c>
      <c r="F222" s="902" t="s">
        <v>1949</v>
      </c>
      <c r="G222" s="904">
        <v>1529000</v>
      </c>
      <c r="H222" s="902" t="s">
        <v>112</v>
      </c>
      <c r="I222" s="905">
        <v>42894</v>
      </c>
      <c r="J222" s="905">
        <v>42906</v>
      </c>
      <c r="K222" s="902" t="s">
        <v>2010</v>
      </c>
      <c r="L222" s="904">
        <v>1430000</v>
      </c>
      <c r="M222" s="904">
        <f t="shared" si="3"/>
        <v>1730300</v>
      </c>
      <c r="N222" s="905">
        <v>42934</v>
      </c>
      <c r="O222" s="905"/>
      <c r="P222" s="905">
        <v>42934</v>
      </c>
      <c r="Q222" s="905">
        <v>43143</v>
      </c>
      <c r="R222" s="801"/>
    </row>
    <row r="223" spans="1:19" s="1038" customFormat="1" ht="15" customHeight="1">
      <c r="A223" s="902" t="s">
        <v>1944</v>
      </c>
      <c r="B223" s="902" t="s">
        <v>58</v>
      </c>
      <c r="C223" s="902" t="s">
        <v>57</v>
      </c>
      <c r="D223" s="903" t="s">
        <v>2042</v>
      </c>
      <c r="E223" s="902" t="s">
        <v>778</v>
      </c>
      <c r="F223" s="902" t="s">
        <v>1946</v>
      </c>
      <c r="G223" s="904">
        <v>11320000</v>
      </c>
      <c r="H223" s="902" t="s">
        <v>251</v>
      </c>
      <c r="I223" s="905">
        <v>42894</v>
      </c>
      <c r="J223" s="905">
        <v>42933</v>
      </c>
      <c r="K223" s="902" t="s">
        <v>2525</v>
      </c>
      <c r="L223" s="904">
        <v>6870870</v>
      </c>
      <c r="M223" s="904">
        <f t="shared" si="3"/>
        <v>8313752.7000000002</v>
      </c>
      <c r="N223" s="905">
        <v>43020</v>
      </c>
      <c r="O223" s="905"/>
      <c r="P223" s="905">
        <v>43024</v>
      </c>
      <c r="Q223" s="1032" t="s">
        <v>2812</v>
      </c>
      <c r="R223" s="902"/>
      <c r="S223" s="802"/>
    </row>
    <row r="224" spans="1:19" ht="15" customHeight="1">
      <c r="A224" s="902" t="s">
        <v>1944</v>
      </c>
      <c r="B224" s="902" t="s">
        <v>58</v>
      </c>
      <c r="C224" s="902" t="s">
        <v>57</v>
      </c>
      <c r="D224" s="903" t="s">
        <v>2043</v>
      </c>
      <c r="E224" s="902" t="s">
        <v>778</v>
      </c>
      <c r="F224" s="902" t="s">
        <v>1946</v>
      </c>
      <c r="G224" s="904">
        <v>8840000</v>
      </c>
      <c r="H224" s="902" t="s">
        <v>251</v>
      </c>
      <c r="I224" s="905">
        <v>42894</v>
      </c>
      <c r="J224" s="905">
        <v>42933</v>
      </c>
      <c r="K224" s="902" t="s">
        <v>2161</v>
      </c>
      <c r="L224" s="904">
        <v>5485900</v>
      </c>
      <c r="M224" s="904">
        <f t="shared" si="3"/>
        <v>6637939</v>
      </c>
      <c r="N224" s="905">
        <v>43070</v>
      </c>
      <c r="O224" s="905"/>
      <c r="P224" s="905">
        <v>43075</v>
      </c>
      <c r="Q224" s="905">
        <v>43213</v>
      </c>
      <c r="R224" s="996" t="s">
        <v>1875</v>
      </c>
    </row>
    <row r="225" spans="1:22" ht="15" customHeight="1">
      <c r="A225" s="902" t="s">
        <v>1953</v>
      </c>
      <c r="B225" s="902" t="s">
        <v>166</v>
      </c>
      <c r="C225" s="902" t="s">
        <v>167</v>
      </c>
      <c r="D225" s="903" t="s">
        <v>1955</v>
      </c>
      <c r="E225" s="902" t="s">
        <v>1676</v>
      </c>
      <c r="F225" s="902" t="s">
        <v>1958</v>
      </c>
      <c r="G225" s="904">
        <v>1230000</v>
      </c>
      <c r="H225" s="902" t="s">
        <v>112</v>
      </c>
      <c r="I225" s="905">
        <v>42894</v>
      </c>
      <c r="J225" s="905">
        <v>42902</v>
      </c>
      <c r="K225" s="902" t="s">
        <v>409</v>
      </c>
      <c r="L225" s="904">
        <v>1421979</v>
      </c>
      <c r="M225" s="904">
        <f>L225*1.21</f>
        <v>1720594.5899999999</v>
      </c>
      <c r="N225" s="905">
        <v>42916</v>
      </c>
      <c r="O225" s="905"/>
      <c r="P225" s="905">
        <v>42916</v>
      </c>
      <c r="Q225" s="905">
        <v>43052</v>
      </c>
      <c r="R225" s="801"/>
    </row>
    <row r="226" spans="1:22" ht="15.75" customHeight="1">
      <c r="A226" s="902" t="s">
        <v>1954</v>
      </c>
      <c r="B226" s="902" t="s">
        <v>166</v>
      </c>
      <c r="C226" s="902" t="s">
        <v>167</v>
      </c>
      <c r="D226" s="903" t="s">
        <v>1956</v>
      </c>
      <c r="E226" s="902" t="s">
        <v>1676</v>
      </c>
      <c r="F226" s="902" t="s">
        <v>1957</v>
      </c>
      <c r="G226" s="904">
        <v>2950000</v>
      </c>
      <c r="H226" s="902" t="s">
        <v>112</v>
      </c>
      <c r="I226" s="905">
        <v>42894</v>
      </c>
      <c r="J226" s="905">
        <v>42902</v>
      </c>
      <c r="K226" s="902" t="s">
        <v>2032</v>
      </c>
      <c r="L226" s="904">
        <v>2850000</v>
      </c>
      <c r="M226" s="904">
        <f>L226*1.21</f>
        <v>3448500</v>
      </c>
      <c r="N226" s="905">
        <v>42928</v>
      </c>
      <c r="O226" s="905"/>
      <c r="P226" s="905">
        <v>42929</v>
      </c>
      <c r="Q226" s="905">
        <v>43073</v>
      </c>
      <c r="R226" s="801"/>
    </row>
    <row r="227" spans="1:22" ht="15" customHeight="1">
      <c r="A227" s="902" t="s">
        <v>1962</v>
      </c>
      <c r="B227" s="902" t="s">
        <v>69</v>
      </c>
      <c r="C227" s="902" t="s">
        <v>70</v>
      </c>
      <c r="D227" s="903" t="s">
        <v>1963</v>
      </c>
      <c r="E227" s="491" t="s">
        <v>42</v>
      </c>
      <c r="F227" s="902"/>
      <c r="G227" s="904">
        <v>8430840</v>
      </c>
      <c r="H227" s="902" t="s">
        <v>251</v>
      </c>
      <c r="I227" s="905">
        <v>42948</v>
      </c>
      <c r="J227" s="905">
        <v>42985</v>
      </c>
      <c r="K227" s="902" t="s">
        <v>2160</v>
      </c>
      <c r="L227" s="904">
        <v>8394430</v>
      </c>
      <c r="M227" s="904">
        <v>10157266.300000001</v>
      </c>
      <c r="N227" s="905">
        <v>43047</v>
      </c>
      <c r="O227" s="905">
        <v>44507</v>
      </c>
      <c r="P227" s="905">
        <v>43049</v>
      </c>
      <c r="Q227" s="905">
        <v>43175</v>
      </c>
      <c r="R227" s="905">
        <v>43550</v>
      </c>
      <c r="S227" s="1319">
        <v>43929</v>
      </c>
      <c r="T227" s="1319">
        <v>44280</v>
      </c>
      <c r="U227" s="1319">
        <v>44645</v>
      </c>
    </row>
    <row r="228" spans="1:22" ht="15" customHeight="1">
      <c r="A228" s="872" t="s">
        <v>1964</v>
      </c>
      <c r="B228" s="872" t="s">
        <v>1032</v>
      </c>
      <c r="C228" s="872" t="s">
        <v>1033</v>
      </c>
      <c r="D228" s="873" t="s">
        <v>1965</v>
      </c>
      <c r="E228" s="872" t="s">
        <v>1972</v>
      </c>
      <c r="F228" s="872" t="s">
        <v>1973</v>
      </c>
      <c r="G228" s="875">
        <v>3000000</v>
      </c>
      <c r="H228" s="872" t="s">
        <v>216</v>
      </c>
      <c r="I228" s="874">
        <v>42908</v>
      </c>
      <c r="J228" s="874">
        <v>42961</v>
      </c>
      <c r="K228" s="876" t="s">
        <v>242</v>
      </c>
      <c r="L228" s="875"/>
      <c r="M228" s="875"/>
      <c r="N228" s="872"/>
      <c r="O228" s="872"/>
      <c r="P228" s="874">
        <v>42963</v>
      </c>
      <c r="Q228" s="872"/>
      <c r="R228" s="801"/>
    </row>
    <row r="229" spans="1:22" ht="15" customHeight="1">
      <c r="A229" s="1130" t="s">
        <v>1969</v>
      </c>
      <c r="B229" s="1130" t="s">
        <v>58</v>
      </c>
      <c r="C229" s="1130" t="s">
        <v>57</v>
      </c>
      <c r="D229" s="920" t="s">
        <v>391</v>
      </c>
      <c r="E229" s="1130" t="s">
        <v>786</v>
      </c>
      <c r="F229" s="1131" t="s">
        <v>1974</v>
      </c>
      <c r="G229" s="1132">
        <v>4300000</v>
      </c>
      <c r="H229" s="1130" t="s">
        <v>251</v>
      </c>
      <c r="I229" s="1004">
        <v>42899</v>
      </c>
      <c r="J229" s="1004">
        <v>42942</v>
      </c>
      <c r="K229" s="1130" t="s">
        <v>637</v>
      </c>
      <c r="L229" s="1132">
        <v>3089540</v>
      </c>
      <c r="M229" s="1132">
        <v>3738343.4</v>
      </c>
      <c r="N229" s="1004">
        <v>43026</v>
      </c>
      <c r="O229" s="1004"/>
      <c r="P229" s="1004">
        <v>43027</v>
      </c>
      <c r="Q229" s="1004">
        <v>43164</v>
      </c>
      <c r="R229" s="995" t="s">
        <v>1875</v>
      </c>
    </row>
    <row r="230" spans="1:22" ht="15" customHeight="1">
      <c r="A230" s="902" t="s">
        <v>1970</v>
      </c>
      <c r="B230" s="902" t="s">
        <v>14</v>
      </c>
      <c r="C230" s="902" t="s">
        <v>13</v>
      </c>
      <c r="D230" s="920" t="s">
        <v>1971</v>
      </c>
      <c r="E230" s="902" t="s">
        <v>773</v>
      </c>
      <c r="F230" s="902"/>
      <c r="G230" s="904">
        <v>5785000</v>
      </c>
      <c r="H230" s="902" t="s">
        <v>251</v>
      </c>
      <c r="I230" s="905">
        <v>42899</v>
      </c>
      <c r="J230" s="905">
        <v>42936</v>
      </c>
      <c r="K230" s="902" t="s">
        <v>754</v>
      </c>
      <c r="L230" s="904">
        <v>5465950</v>
      </c>
      <c r="M230" s="904">
        <f>L230*1.21</f>
        <v>6613799.5</v>
      </c>
      <c r="N230" s="905">
        <v>42985</v>
      </c>
      <c r="O230" s="905">
        <v>43349</v>
      </c>
      <c r="P230" s="905">
        <v>42986</v>
      </c>
      <c r="Q230" s="905">
        <v>43430</v>
      </c>
      <c r="R230" s="801"/>
    </row>
    <row r="231" spans="1:22" ht="15" customHeight="1">
      <c r="A231" s="902" t="s">
        <v>1975</v>
      </c>
      <c r="B231" s="902" t="s">
        <v>1700</v>
      </c>
      <c r="C231" s="902" t="s">
        <v>1699</v>
      </c>
      <c r="D231" s="903" t="s">
        <v>1976</v>
      </c>
      <c r="E231" s="902" t="s">
        <v>1977</v>
      </c>
      <c r="F231" s="902" t="s">
        <v>1980</v>
      </c>
      <c r="G231" s="904">
        <v>8261978</v>
      </c>
      <c r="H231" s="902" t="s">
        <v>251</v>
      </c>
      <c r="I231" s="905">
        <v>42930</v>
      </c>
      <c r="J231" s="905">
        <v>42976</v>
      </c>
      <c r="K231" s="902" t="s">
        <v>2068</v>
      </c>
      <c r="L231" s="904">
        <v>5667000</v>
      </c>
      <c r="M231" s="904">
        <v>6857070</v>
      </c>
      <c r="N231" s="905">
        <v>43080</v>
      </c>
      <c r="O231" s="905"/>
      <c r="P231" s="905">
        <v>43081</v>
      </c>
      <c r="Q231" s="905">
        <v>43193</v>
      </c>
      <c r="R231" s="996" t="s">
        <v>1875</v>
      </c>
    </row>
    <row r="232" spans="1:22" ht="15" customHeight="1">
      <c r="A232" s="869" t="s">
        <v>1981</v>
      </c>
      <c r="B232" s="869" t="s">
        <v>218</v>
      </c>
      <c r="C232" s="869" t="s">
        <v>219</v>
      </c>
      <c r="D232" s="856" t="s">
        <v>1983</v>
      </c>
      <c r="E232" s="869" t="s">
        <v>642</v>
      </c>
      <c r="F232" s="869"/>
      <c r="G232" s="871">
        <v>611000</v>
      </c>
      <c r="H232" s="869" t="s">
        <v>112</v>
      </c>
      <c r="I232" s="870">
        <v>42902</v>
      </c>
      <c r="J232" s="870">
        <v>42916</v>
      </c>
      <c r="K232" s="869"/>
      <c r="L232" s="871"/>
      <c r="M232" s="871"/>
      <c r="N232" s="869"/>
      <c r="O232" s="869"/>
      <c r="P232" s="869"/>
      <c r="Q232" s="869"/>
      <c r="R232" s="801"/>
    </row>
    <row r="233" spans="1:22" ht="15" customHeight="1">
      <c r="A233" s="902" t="s">
        <v>1982</v>
      </c>
      <c r="B233" s="902" t="s">
        <v>58</v>
      </c>
      <c r="C233" s="902" t="s">
        <v>57</v>
      </c>
      <c r="D233" s="903" t="s">
        <v>2051</v>
      </c>
      <c r="E233" s="902" t="s">
        <v>1880</v>
      </c>
      <c r="F233" s="902" t="s">
        <v>1881</v>
      </c>
      <c r="G233" s="904">
        <v>250000</v>
      </c>
      <c r="H233" s="902" t="s">
        <v>112</v>
      </c>
      <c r="I233" s="905">
        <v>42905</v>
      </c>
      <c r="J233" s="905">
        <v>42916</v>
      </c>
      <c r="K233" s="902" t="s">
        <v>2041</v>
      </c>
      <c r="L233" s="904">
        <v>245200</v>
      </c>
      <c r="M233" s="904">
        <f>L233*1.21</f>
        <v>296692</v>
      </c>
      <c r="N233" s="905">
        <v>42956</v>
      </c>
      <c r="O233" s="905"/>
      <c r="P233" s="902" t="s">
        <v>239</v>
      </c>
      <c r="Q233" s="902" t="s">
        <v>239</v>
      </c>
      <c r="R233" s="801"/>
    </row>
    <row r="234" spans="1:22" s="1039" customFormat="1" ht="15" customHeight="1">
      <c r="A234" s="902" t="s">
        <v>1982</v>
      </c>
      <c r="B234" s="902" t="s">
        <v>58</v>
      </c>
      <c r="C234" s="902" t="s">
        <v>57</v>
      </c>
      <c r="D234" s="903" t="s">
        <v>2052</v>
      </c>
      <c r="E234" s="902" t="s">
        <v>1880</v>
      </c>
      <c r="F234" s="902" t="s">
        <v>1881</v>
      </c>
      <c r="G234" s="904">
        <v>145000</v>
      </c>
      <c r="H234" s="902" t="s">
        <v>112</v>
      </c>
      <c r="I234" s="905">
        <v>42905</v>
      </c>
      <c r="J234" s="905">
        <v>42916</v>
      </c>
      <c r="K234" s="902" t="s">
        <v>2041</v>
      </c>
      <c r="L234" s="904">
        <v>108400</v>
      </c>
      <c r="M234" s="904">
        <v>131164</v>
      </c>
      <c r="N234" s="905">
        <v>42956</v>
      </c>
      <c r="O234" s="905"/>
      <c r="P234" s="902" t="s">
        <v>239</v>
      </c>
      <c r="Q234" s="902" t="s">
        <v>239</v>
      </c>
      <c r="R234" s="801"/>
      <c r="S234" s="802"/>
    </row>
    <row r="235" spans="1:22" ht="15" customHeight="1">
      <c r="A235" s="872" t="s">
        <v>1986</v>
      </c>
      <c r="B235" s="872" t="s">
        <v>58</v>
      </c>
      <c r="C235" s="872" t="s">
        <v>57</v>
      </c>
      <c r="D235" s="873" t="s">
        <v>1987</v>
      </c>
      <c r="E235" s="872" t="s">
        <v>1988</v>
      </c>
      <c r="F235" s="872" t="s">
        <v>1989</v>
      </c>
      <c r="G235" s="875">
        <v>370000</v>
      </c>
      <c r="H235" s="872" t="s">
        <v>112</v>
      </c>
      <c r="I235" s="874">
        <v>42905</v>
      </c>
      <c r="J235" s="874">
        <v>42916</v>
      </c>
      <c r="K235" s="876" t="s">
        <v>242</v>
      </c>
      <c r="L235" s="875"/>
      <c r="M235" s="875"/>
      <c r="N235" s="872"/>
      <c r="O235" s="872"/>
      <c r="P235" s="872" t="s">
        <v>239</v>
      </c>
      <c r="Q235" s="872"/>
      <c r="R235" s="801"/>
    </row>
    <row r="236" spans="1:22" ht="15" customHeight="1">
      <c r="A236" s="902" t="s">
        <v>1991</v>
      </c>
      <c r="B236" s="902" t="s">
        <v>58</v>
      </c>
      <c r="C236" s="902" t="s">
        <v>57</v>
      </c>
      <c r="D236" s="903" t="s">
        <v>1992</v>
      </c>
      <c r="E236" s="902" t="s">
        <v>1159</v>
      </c>
      <c r="F236" s="902" t="s">
        <v>1993</v>
      </c>
      <c r="G236" s="904">
        <v>660000</v>
      </c>
      <c r="H236" s="902" t="s">
        <v>112</v>
      </c>
      <c r="I236" s="905">
        <v>42907</v>
      </c>
      <c r="J236" s="905">
        <v>42916</v>
      </c>
      <c r="K236" s="902" t="s">
        <v>2066</v>
      </c>
      <c r="L236" s="904">
        <v>787100</v>
      </c>
      <c r="M236" s="904">
        <f>L236*1.21</f>
        <v>952391</v>
      </c>
      <c r="N236" s="905">
        <v>42977</v>
      </c>
      <c r="O236" s="905"/>
      <c r="P236" s="905">
        <v>42978</v>
      </c>
      <c r="Q236" s="905">
        <v>43052</v>
      </c>
      <c r="R236" s="996" t="s">
        <v>1875</v>
      </c>
    </row>
    <row r="237" spans="1:22" ht="15" customHeight="1">
      <c r="A237" s="902" t="s">
        <v>1995</v>
      </c>
      <c r="B237" s="902" t="s">
        <v>2020</v>
      </c>
      <c r="C237" s="902" t="s">
        <v>1699</v>
      </c>
      <c r="D237" s="903" t="s">
        <v>1996</v>
      </c>
      <c r="E237" s="902" t="s">
        <v>778</v>
      </c>
      <c r="F237" s="902" t="s">
        <v>2080</v>
      </c>
      <c r="G237" s="904">
        <v>30334200</v>
      </c>
      <c r="H237" s="902" t="s">
        <v>251</v>
      </c>
      <c r="I237" s="905">
        <v>42949</v>
      </c>
      <c r="J237" s="905">
        <v>42989</v>
      </c>
      <c r="K237" s="902" t="s">
        <v>1433</v>
      </c>
      <c r="L237" s="904">
        <v>30309200</v>
      </c>
      <c r="M237" s="904">
        <f>L237*1.21</f>
        <v>36674132</v>
      </c>
      <c r="N237" s="905">
        <v>43026</v>
      </c>
      <c r="O237" s="905"/>
      <c r="P237" s="905">
        <v>43027</v>
      </c>
      <c r="Q237" s="905">
        <v>43097</v>
      </c>
      <c r="R237" s="905">
        <v>43913</v>
      </c>
      <c r="S237" s="1319">
        <v>44278</v>
      </c>
      <c r="T237" s="1319">
        <v>44644</v>
      </c>
      <c r="U237" s="1280" t="s">
        <v>6585</v>
      </c>
      <c r="V237" s="1280" t="s">
        <v>6586</v>
      </c>
    </row>
    <row r="238" spans="1:22" ht="15" customHeight="1">
      <c r="A238" s="872" t="s">
        <v>2000</v>
      </c>
      <c r="B238" s="872" t="s">
        <v>58</v>
      </c>
      <c r="C238" s="872" t="s">
        <v>57</v>
      </c>
      <c r="D238" s="873" t="s">
        <v>2001</v>
      </c>
      <c r="E238" s="872" t="s">
        <v>77</v>
      </c>
      <c r="F238" s="872" t="s">
        <v>2002</v>
      </c>
      <c r="G238" s="875">
        <v>825000</v>
      </c>
      <c r="H238" s="872" t="s">
        <v>112</v>
      </c>
      <c r="I238" s="874">
        <v>42909</v>
      </c>
      <c r="J238" s="874">
        <v>42927</v>
      </c>
      <c r="K238" s="876" t="s">
        <v>242</v>
      </c>
      <c r="L238" s="875"/>
      <c r="M238" s="875"/>
      <c r="N238" s="872"/>
      <c r="O238" s="872"/>
      <c r="P238" s="872" t="s">
        <v>239</v>
      </c>
      <c r="Q238" s="872"/>
      <c r="R238" s="801"/>
    </row>
    <row r="239" spans="1:22" ht="15" customHeight="1">
      <c r="A239" s="902" t="s">
        <v>2003</v>
      </c>
      <c r="B239" s="902" t="s">
        <v>58</v>
      </c>
      <c r="C239" s="902" t="s">
        <v>57</v>
      </c>
      <c r="D239" s="903" t="s">
        <v>2004</v>
      </c>
      <c r="E239" s="902" t="s">
        <v>77</v>
      </c>
      <c r="F239" s="902" t="s">
        <v>1915</v>
      </c>
      <c r="G239" s="904">
        <v>550000</v>
      </c>
      <c r="H239" s="902" t="s">
        <v>112</v>
      </c>
      <c r="I239" s="905">
        <v>42909</v>
      </c>
      <c r="J239" s="905">
        <v>42923</v>
      </c>
      <c r="K239" s="902" t="s">
        <v>1648</v>
      </c>
      <c r="L239" s="904">
        <v>552543</v>
      </c>
      <c r="M239" s="904">
        <f>L239*1.21</f>
        <v>668577.03</v>
      </c>
      <c r="N239" s="905">
        <v>42961</v>
      </c>
      <c r="O239" s="905"/>
      <c r="P239" s="905">
        <v>42962</v>
      </c>
      <c r="Q239" s="905">
        <v>43185</v>
      </c>
      <c r="R239" s="996" t="s">
        <v>1875</v>
      </c>
    </row>
    <row r="240" spans="1:22" ht="15.75" customHeight="1" thickBot="1">
      <c r="A240" s="913" t="s">
        <v>2005</v>
      </c>
      <c r="B240" s="913" t="s">
        <v>1764</v>
      </c>
      <c r="C240" s="913" t="s">
        <v>361</v>
      </c>
      <c r="D240" s="914" t="s">
        <v>2006</v>
      </c>
      <c r="E240" s="913" t="s">
        <v>1781</v>
      </c>
      <c r="F240" s="913" t="s">
        <v>2007</v>
      </c>
      <c r="G240" s="915">
        <v>5800000</v>
      </c>
      <c r="H240" s="913" t="s">
        <v>251</v>
      </c>
      <c r="I240" s="916">
        <v>42909</v>
      </c>
      <c r="J240" s="916">
        <v>42949</v>
      </c>
      <c r="K240" s="913" t="s">
        <v>2102</v>
      </c>
      <c r="L240" s="915">
        <v>6578307</v>
      </c>
      <c r="M240" s="915">
        <f>L240*1.21</f>
        <v>7959751.4699999997</v>
      </c>
      <c r="N240" s="916">
        <v>42989</v>
      </c>
      <c r="O240" s="916"/>
      <c r="P240" s="916">
        <v>42993</v>
      </c>
      <c r="Q240" s="916">
        <v>43552</v>
      </c>
      <c r="R240" s="801"/>
    </row>
    <row r="241" spans="1:19" ht="15" customHeight="1">
      <c r="A241" s="1061" t="s">
        <v>2008</v>
      </c>
      <c r="B241" s="1062" t="s">
        <v>52</v>
      </c>
      <c r="C241" s="1062" t="s">
        <v>227</v>
      </c>
      <c r="D241" s="1063" t="s">
        <v>2016</v>
      </c>
      <c r="E241" s="1062" t="s">
        <v>241</v>
      </c>
      <c r="F241" s="1062" t="s">
        <v>2019</v>
      </c>
      <c r="G241" s="1064">
        <v>300000</v>
      </c>
      <c r="H241" s="1062" t="s">
        <v>112</v>
      </c>
      <c r="I241" s="1065">
        <v>42930</v>
      </c>
      <c r="J241" s="1065">
        <v>42941</v>
      </c>
      <c r="K241" s="1066" t="s">
        <v>242</v>
      </c>
      <c r="L241" s="1064"/>
      <c r="M241" s="1064"/>
      <c r="N241" s="1062"/>
      <c r="O241" s="1062"/>
      <c r="P241" s="1062" t="s">
        <v>239</v>
      </c>
      <c r="Q241" s="1067"/>
      <c r="R241" s="1083"/>
    </row>
    <row r="242" spans="1:19" s="1031" customFormat="1" ht="15.75" customHeight="1" thickBot="1">
      <c r="A242" s="1068" t="s">
        <v>2008</v>
      </c>
      <c r="B242" s="1069" t="s">
        <v>52</v>
      </c>
      <c r="C242" s="1069" t="s">
        <v>227</v>
      </c>
      <c r="D242" s="1070" t="s">
        <v>2017</v>
      </c>
      <c r="E242" s="1069" t="s">
        <v>241</v>
      </c>
      <c r="F242" s="1069" t="s">
        <v>2018</v>
      </c>
      <c r="G242" s="1071">
        <v>150000</v>
      </c>
      <c r="H242" s="1069" t="s">
        <v>112</v>
      </c>
      <c r="I242" s="1072">
        <v>42930</v>
      </c>
      <c r="J242" s="1072">
        <v>42941</v>
      </c>
      <c r="K242" s="1073" t="s">
        <v>242</v>
      </c>
      <c r="L242" s="1071"/>
      <c r="M242" s="1071"/>
      <c r="N242" s="1069"/>
      <c r="O242" s="1069"/>
      <c r="P242" s="1069" t="s">
        <v>239</v>
      </c>
      <c r="Q242" s="1074"/>
      <c r="R242" s="1083"/>
      <c r="S242" s="802"/>
    </row>
    <row r="243" spans="1:19" ht="15" customHeight="1">
      <c r="A243" s="991" t="s">
        <v>2012</v>
      </c>
      <c r="B243" s="991" t="s">
        <v>58</v>
      </c>
      <c r="C243" s="991" t="s">
        <v>57</v>
      </c>
      <c r="D243" s="567" t="s">
        <v>2013</v>
      </c>
      <c r="E243" s="991" t="s">
        <v>2014</v>
      </c>
      <c r="F243" s="991" t="s">
        <v>2015</v>
      </c>
      <c r="G243" s="992">
        <v>710000</v>
      </c>
      <c r="H243" s="991" t="s">
        <v>112</v>
      </c>
      <c r="I243" s="993">
        <v>42913</v>
      </c>
      <c r="J243" s="993">
        <v>42928</v>
      </c>
      <c r="K243" s="991" t="s">
        <v>1315</v>
      </c>
      <c r="L243" s="992">
        <v>770003</v>
      </c>
      <c r="M243" s="992">
        <f>L243*1.21</f>
        <v>931703.63</v>
      </c>
      <c r="N243" s="993">
        <v>42969</v>
      </c>
      <c r="O243" s="993"/>
      <c r="P243" s="993">
        <v>42969</v>
      </c>
      <c r="Q243" s="993">
        <v>43097</v>
      </c>
      <c r="R243" s="996" t="s">
        <v>1875</v>
      </c>
    </row>
    <row r="244" spans="1:19" s="1037" customFormat="1" ht="15" customHeight="1">
      <c r="A244" s="1056" t="s">
        <v>2034</v>
      </c>
      <c r="B244" s="1056" t="s">
        <v>166</v>
      </c>
      <c r="C244" s="1056" t="s">
        <v>167</v>
      </c>
      <c r="D244" s="1057" t="s">
        <v>2035</v>
      </c>
      <c r="E244" s="872" t="s">
        <v>1676</v>
      </c>
      <c r="F244" s="1056" t="s">
        <v>2036</v>
      </c>
      <c r="G244" s="1058">
        <v>4500000</v>
      </c>
      <c r="H244" s="1056" t="s">
        <v>112</v>
      </c>
      <c r="I244" s="1059">
        <v>42930</v>
      </c>
      <c r="J244" s="1059">
        <v>42941</v>
      </c>
      <c r="K244" s="1060" t="s">
        <v>242</v>
      </c>
      <c r="L244" s="1058"/>
      <c r="M244" s="1058"/>
      <c r="N244" s="1056"/>
      <c r="O244" s="1056"/>
      <c r="P244" s="1056" t="s">
        <v>239</v>
      </c>
      <c r="Q244" s="1056"/>
      <c r="R244" s="801"/>
      <c r="S244" s="802"/>
    </row>
    <row r="245" spans="1:19" ht="15" customHeight="1">
      <c r="A245" s="872" t="s">
        <v>2021</v>
      </c>
      <c r="B245" s="872" t="s">
        <v>1700</v>
      </c>
      <c r="C245" s="872" t="s">
        <v>1699</v>
      </c>
      <c r="D245" s="873" t="s">
        <v>2022</v>
      </c>
      <c r="E245" s="872" t="s">
        <v>2023</v>
      </c>
      <c r="F245" s="872" t="s">
        <v>2024</v>
      </c>
      <c r="G245" s="875">
        <v>6490962.8099999996</v>
      </c>
      <c r="H245" s="872" t="s">
        <v>251</v>
      </c>
      <c r="I245" s="874">
        <v>42916</v>
      </c>
      <c r="J245" s="874">
        <v>42984</v>
      </c>
      <c r="K245" s="876" t="s">
        <v>242</v>
      </c>
      <c r="L245" s="875"/>
      <c r="M245" s="875"/>
      <c r="N245" s="872"/>
      <c r="O245" s="872"/>
      <c r="P245" s="874">
        <v>43005</v>
      </c>
      <c r="Q245" s="872"/>
      <c r="R245" s="801"/>
    </row>
    <row r="246" spans="1:19" ht="15" customHeight="1">
      <c r="A246" s="902" t="s">
        <v>2025</v>
      </c>
      <c r="B246" s="902" t="s">
        <v>58</v>
      </c>
      <c r="C246" s="902" t="s">
        <v>57</v>
      </c>
      <c r="D246" s="903" t="s">
        <v>2098</v>
      </c>
      <c r="E246" s="902" t="s">
        <v>65</v>
      </c>
      <c r="F246" s="902" t="s">
        <v>2028</v>
      </c>
      <c r="G246" s="904">
        <v>2525000</v>
      </c>
      <c r="H246" s="902" t="s">
        <v>251</v>
      </c>
      <c r="I246" s="905">
        <v>42915</v>
      </c>
      <c r="J246" s="905">
        <v>42958</v>
      </c>
      <c r="K246" s="902" t="s">
        <v>2101</v>
      </c>
      <c r="L246" s="904">
        <v>2091536.1</v>
      </c>
      <c r="M246" s="904">
        <f>L246*1.21</f>
        <v>2530758.6809999999</v>
      </c>
      <c r="N246" s="905">
        <v>42996</v>
      </c>
      <c r="O246" s="905"/>
      <c r="P246" s="905">
        <v>43000</v>
      </c>
      <c r="Q246" s="905">
        <v>43097</v>
      </c>
      <c r="R246" s="996" t="s">
        <v>1875</v>
      </c>
    </row>
    <row r="247" spans="1:19" s="1043" customFormat="1" ht="15" customHeight="1">
      <c r="A247" s="902" t="s">
        <v>2025</v>
      </c>
      <c r="B247" s="902" t="s">
        <v>58</v>
      </c>
      <c r="C247" s="902" t="s">
        <v>57</v>
      </c>
      <c r="D247" s="903" t="s">
        <v>2099</v>
      </c>
      <c r="E247" s="902" t="s">
        <v>65</v>
      </c>
      <c r="F247" s="902" t="s">
        <v>2100</v>
      </c>
      <c r="G247" s="904">
        <v>275000</v>
      </c>
      <c r="H247" s="902" t="s">
        <v>251</v>
      </c>
      <c r="I247" s="905">
        <v>42915</v>
      </c>
      <c r="J247" s="905">
        <v>42958</v>
      </c>
      <c r="K247" s="902" t="s">
        <v>2097</v>
      </c>
      <c r="L247" s="904">
        <v>309564</v>
      </c>
      <c r="M247" s="904">
        <v>374572.44</v>
      </c>
      <c r="N247" s="905">
        <v>42996</v>
      </c>
      <c r="O247" s="905"/>
      <c r="P247" s="905">
        <v>43000</v>
      </c>
      <c r="Q247" s="905">
        <v>43185</v>
      </c>
      <c r="R247" s="996" t="s">
        <v>1875</v>
      </c>
      <c r="S247" s="802"/>
    </row>
    <row r="248" spans="1:19" ht="15" customHeight="1">
      <c r="A248" s="872" t="s">
        <v>2026</v>
      </c>
      <c r="B248" s="872" t="s">
        <v>14</v>
      </c>
      <c r="C248" s="872" t="s">
        <v>871</v>
      </c>
      <c r="D248" s="873" t="s">
        <v>2027</v>
      </c>
      <c r="E248" s="872"/>
      <c r="F248" s="872" t="s">
        <v>2029</v>
      </c>
      <c r="G248" s="875">
        <v>1000000</v>
      </c>
      <c r="H248" s="872" t="s">
        <v>112</v>
      </c>
      <c r="I248" s="874">
        <v>42940</v>
      </c>
      <c r="J248" s="874">
        <v>42949</v>
      </c>
      <c r="K248" s="1042" t="s">
        <v>242</v>
      </c>
      <c r="L248" s="875"/>
      <c r="M248" s="875"/>
      <c r="N248" s="872"/>
      <c r="O248" s="872"/>
      <c r="P248" s="872" t="s">
        <v>239</v>
      </c>
      <c r="Q248" s="872"/>
      <c r="R248" s="801"/>
    </row>
    <row r="249" spans="1:19" ht="15" customHeight="1">
      <c r="A249" s="902" t="s">
        <v>2039</v>
      </c>
      <c r="B249" s="902" t="s">
        <v>1032</v>
      </c>
      <c r="C249" s="902" t="s">
        <v>1084</v>
      </c>
      <c r="D249" s="903" t="s">
        <v>2037</v>
      </c>
      <c r="E249" s="902" t="s">
        <v>1163</v>
      </c>
      <c r="F249" s="902" t="s">
        <v>2038</v>
      </c>
      <c r="G249" s="904">
        <v>930000</v>
      </c>
      <c r="H249" s="902" t="s">
        <v>112</v>
      </c>
      <c r="I249" s="905">
        <v>42929</v>
      </c>
      <c r="J249" s="905">
        <v>42941</v>
      </c>
      <c r="K249" s="902" t="s">
        <v>2072</v>
      </c>
      <c r="L249" s="904">
        <v>697204</v>
      </c>
      <c r="M249" s="904">
        <f>L249*1.21</f>
        <v>843616.84</v>
      </c>
      <c r="N249" s="905">
        <v>42961</v>
      </c>
      <c r="O249" s="905"/>
      <c r="P249" s="905">
        <v>42961</v>
      </c>
      <c r="Q249" s="905">
        <v>43185</v>
      </c>
      <c r="R249" s="801"/>
    </row>
    <row r="250" spans="1:19" ht="15.75" customHeight="1" thickBot="1">
      <c r="A250" s="913" t="s">
        <v>2044</v>
      </c>
      <c r="B250" s="913" t="s">
        <v>218</v>
      </c>
      <c r="C250" s="913" t="s">
        <v>219</v>
      </c>
      <c r="D250" s="914" t="s">
        <v>2045</v>
      </c>
      <c r="E250" s="913" t="s">
        <v>1006</v>
      </c>
      <c r="F250" s="913"/>
      <c r="G250" s="915">
        <v>3900000</v>
      </c>
      <c r="H250" s="913" t="s">
        <v>251</v>
      </c>
      <c r="I250" s="916">
        <v>42936</v>
      </c>
      <c r="J250" s="916">
        <v>42978</v>
      </c>
      <c r="K250" s="913" t="s">
        <v>1567</v>
      </c>
      <c r="L250" s="915">
        <v>3504666.4</v>
      </c>
      <c r="M250" s="915">
        <f>L250*1.21</f>
        <v>4240646.3439999996</v>
      </c>
      <c r="N250" s="916">
        <v>43070</v>
      </c>
      <c r="O250" s="916"/>
      <c r="P250" s="916">
        <v>43075</v>
      </c>
      <c r="Q250" s="916">
        <v>43553</v>
      </c>
      <c r="R250" s="905">
        <v>43556</v>
      </c>
    </row>
    <row r="251" spans="1:19" ht="15.75" customHeight="1" thickTop="1">
      <c r="A251" s="989" t="s">
        <v>2046</v>
      </c>
      <c r="B251" s="985" t="s">
        <v>218</v>
      </c>
      <c r="C251" s="985" t="s">
        <v>219</v>
      </c>
      <c r="D251" s="939" t="s">
        <v>2064</v>
      </c>
      <c r="E251" s="534" t="s">
        <v>1190</v>
      </c>
      <c r="F251" s="985"/>
      <c r="G251" s="986">
        <v>1165000</v>
      </c>
      <c r="H251" s="985" t="s">
        <v>216</v>
      </c>
      <c r="I251" s="987">
        <v>42968</v>
      </c>
      <c r="J251" s="987">
        <v>43012</v>
      </c>
      <c r="K251" s="985" t="s">
        <v>2282</v>
      </c>
      <c r="L251" s="986">
        <v>1143360</v>
      </c>
      <c r="M251" s="986">
        <v>1383465.6</v>
      </c>
      <c r="N251" s="987">
        <v>43070</v>
      </c>
      <c r="O251" s="987">
        <v>43543</v>
      </c>
      <c r="P251" s="987">
        <v>43075</v>
      </c>
      <c r="Q251" s="1088">
        <v>43553</v>
      </c>
      <c r="R251" s="905">
        <v>43619</v>
      </c>
    </row>
    <row r="252" spans="1:19" s="1041" customFormat="1" ht="15.75" customHeight="1" thickBot="1">
      <c r="A252" s="990" t="s">
        <v>2046</v>
      </c>
      <c r="B252" s="981" t="s">
        <v>218</v>
      </c>
      <c r="C252" s="981" t="s">
        <v>219</v>
      </c>
      <c r="D252" s="940" t="s">
        <v>2065</v>
      </c>
      <c r="E252" s="447" t="s">
        <v>1190</v>
      </c>
      <c r="F252" s="981"/>
      <c r="G252" s="983">
        <v>1275000</v>
      </c>
      <c r="H252" s="981" t="s">
        <v>216</v>
      </c>
      <c r="I252" s="982">
        <v>42968</v>
      </c>
      <c r="J252" s="982">
        <v>43012</v>
      </c>
      <c r="K252" s="981" t="s">
        <v>1567</v>
      </c>
      <c r="L252" s="983">
        <v>999000</v>
      </c>
      <c r="M252" s="983">
        <v>1208790</v>
      </c>
      <c r="N252" s="982">
        <v>43070</v>
      </c>
      <c r="O252" s="1317">
        <v>43542</v>
      </c>
      <c r="P252" s="982">
        <v>43075</v>
      </c>
      <c r="Q252" s="1090">
        <v>43553</v>
      </c>
      <c r="R252" s="905">
        <v>43556</v>
      </c>
      <c r="S252" s="802"/>
    </row>
    <row r="253" spans="1:19" ht="15.75" customHeight="1" thickTop="1">
      <c r="A253" s="991" t="s">
        <v>2047</v>
      </c>
      <c r="B253" s="991" t="s">
        <v>14</v>
      </c>
      <c r="C253" s="991" t="s">
        <v>13</v>
      </c>
      <c r="D253" s="567" t="s">
        <v>2048</v>
      </c>
      <c r="E253" s="994" t="s">
        <v>2049</v>
      </c>
      <c r="F253" s="991"/>
      <c r="G253" s="992">
        <v>825000</v>
      </c>
      <c r="H253" s="991" t="s">
        <v>112</v>
      </c>
      <c r="I253" s="993">
        <v>42961</v>
      </c>
      <c r="J253" s="993">
        <v>42970</v>
      </c>
      <c r="K253" s="991" t="s">
        <v>754</v>
      </c>
      <c r="L253" s="992">
        <v>643150</v>
      </c>
      <c r="M253" s="992">
        <v>778210</v>
      </c>
      <c r="N253" s="993">
        <v>43005</v>
      </c>
      <c r="O253" s="993"/>
      <c r="P253" s="993">
        <v>43010</v>
      </c>
      <c r="Q253" s="993">
        <v>43552</v>
      </c>
      <c r="R253" s="801"/>
    </row>
    <row r="254" spans="1:19" ht="15" customHeight="1">
      <c r="A254" s="902" t="s">
        <v>2053</v>
      </c>
      <c r="B254" s="902" t="s">
        <v>14</v>
      </c>
      <c r="C254" s="902" t="s">
        <v>1753</v>
      </c>
      <c r="D254" s="903" t="s">
        <v>2054</v>
      </c>
      <c r="E254" s="902" t="s">
        <v>2055</v>
      </c>
      <c r="F254" s="902"/>
      <c r="G254" s="904">
        <v>402000</v>
      </c>
      <c r="H254" s="902" t="s">
        <v>112</v>
      </c>
      <c r="I254" s="905">
        <v>42941</v>
      </c>
      <c r="J254" s="905">
        <v>42950</v>
      </c>
      <c r="K254" s="902" t="s">
        <v>2096</v>
      </c>
      <c r="L254" s="904">
        <v>485900</v>
      </c>
      <c r="M254" s="904">
        <f>L254*1.21</f>
        <v>587939</v>
      </c>
      <c r="N254" s="905">
        <v>42969</v>
      </c>
      <c r="O254" s="905"/>
      <c r="P254" s="902" t="s">
        <v>239</v>
      </c>
      <c r="Q254" s="902" t="s">
        <v>239</v>
      </c>
      <c r="R254" s="801"/>
    </row>
    <row r="255" spans="1:19" ht="15" customHeight="1">
      <c r="A255" s="913" t="s">
        <v>2056</v>
      </c>
      <c r="B255" s="913" t="s">
        <v>166</v>
      </c>
      <c r="C255" s="913" t="s">
        <v>167</v>
      </c>
      <c r="D255" s="914" t="s">
        <v>2057</v>
      </c>
      <c r="E255" s="913" t="s">
        <v>1360</v>
      </c>
      <c r="F255" s="913"/>
      <c r="G255" s="915">
        <v>500000</v>
      </c>
      <c r="H255" s="913" t="s">
        <v>112</v>
      </c>
      <c r="I255" s="916">
        <v>42974</v>
      </c>
      <c r="J255" s="916">
        <v>42961</v>
      </c>
      <c r="K255" s="913" t="s">
        <v>175</v>
      </c>
      <c r="L255" s="915">
        <v>400595</v>
      </c>
      <c r="M255" s="915">
        <f>L255*1.21</f>
        <v>484719.95</v>
      </c>
      <c r="N255" s="916">
        <v>42978</v>
      </c>
      <c r="O255" s="916">
        <v>43343</v>
      </c>
      <c r="P255" s="916">
        <v>42979</v>
      </c>
      <c r="Q255" s="916">
        <v>43493</v>
      </c>
      <c r="R255" s="801"/>
    </row>
    <row r="256" spans="1:19" ht="15" customHeight="1">
      <c r="A256" s="902" t="s">
        <v>2058</v>
      </c>
      <c r="B256" s="902" t="s">
        <v>1700</v>
      </c>
      <c r="C256" s="902" t="s">
        <v>1699</v>
      </c>
      <c r="D256" s="903" t="s">
        <v>2059</v>
      </c>
      <c r="E256" s="902" t="s">
        <v>2060</v>
      </c>
      <c r="F256" s="1130" t="s">
        <v>2132</v>
      </c>
      <c r="G256" s="904">
        <v>18526962</v>
      </c>
      <c r="H256" s="902" t="s">
        <v>251</v>
      </c>
      <c r="I256" s="905">
        <v>42971</v>
      </c>
      <c r="J256" s="905">
        <v>43011</v>
      </c>
      <c r="K256" s="902" t="s">
        <v>2240</v>
      </c>
      <c r="L256" s="904">
        <v>12953570</v>
      </c>
      <c r="M256" s="904">
        <v>15673819.699999999</v>
      </c>
      <c r="N256" s="905">
        <v>43076</v>
      </c>
      <c r="O256" s="905"/>
      <c r="P256" s="905">
        <v>43076</v>
      </c>
      <c r="Q256" s="905">
        <v>43193</v>
      </c>
      <c r="R256" s="996" t="s">
        <v>1875</v>
      </c>
    </row>
    <row r="257" spans="1:19" ht="15.75" customHeight="1" thickBot="1">
      <c r="A257" s="1005" t="s">
        <v>2061</v>
      </c>
      <c r="B257" s="1005" t="s">
        <v>14</v>
      </c>
      <c r="C257" s="1005" t="s">
        <v>13</v>
      </c>
      <c r="D257" s="1006" t="s">
        <v>544</v>
      </c>
      <c r="E257" s="1005" t="s">
        <v>545</v>
      </c>
      <c r="F257" s="1005"/>
      <c r="G257" s="1007">
        <v>660000</v>
      </c>
      <c r="H257" s="1005" t="s">
        <v>112</v>
      </c>
      <c r="I257" s="1008">
        <v>42974</v>
      </c>
      <c r="J257" s="1008">
        <v>42955</v>
      </c>
      <c r="K257" s="1005" t="s">
        <v>569</v>
      </c>
      <c r="L257" s="1007">
        <v>394000</v>
      </c>
      <c r="M257" s="1007">
        <f>L257*1.21</f>
        <v>476740</v>
      </c>
      <c r="N257" s="1008">
        <v>42978</v>
      </c>
      <c r="O257" s="1008"/>
      <c r="P257" s="1008">
        <v>42979</v>
      </c>
      <c r="Q257" s="1008">
        <v>43045</v>
      </c>
      <c r="R257" s="801"/>
    </row>
    <row r="258" spans="1:19" ht="15.75" customHeight="1" thickTop="1">
      <c r="A258" s="989" t="s">
        <v>2062</v>
      </c>
      <c r="B258" s="985" t="s">
        <v>69</v>
      </c>
      <c r="C258" s="985" t="s">
        <v>70</v>
      </c>
      <c r="D258" s="939" t="s">
        <v>2069</v>
      </c>
      <c r="E258" s="985" t="s">
        <v>813</v>
      </c>
      <c r="F258" s="985"/>
      <c r="G258" s="986">
        <v>1364792.76</v>
      </c>
      <c r="H258" s="985" t="s">
        <v>251</v>
      </c>
      <c r="I258" s="987">
        <v>42948</v>
      </c>
      <c r="J258" s="987">
        <v>42986</v>
      </c>
      <c r="K258" s="985" t="s">
        <v>576</v>
      </c>
      <c r="L258" s="986">
        <v>1364792.76</v>
      </c>
      <c r="M258" s="986">
        <f>L258*1.1</f>
        <v>1501272.0360000001</v>
      </c>
      <c r="N258" s="987">
        <v>43032</v>
      </c>
      <c r="O258" s="987">
        <v>43761</v>
      </c>
      <c r="P258" s="987">
        <v>43033</v>
      </c>
      <c r="Q258" s="1088">
        <v>43175</v>
      </c>
      <c r="R258" s="1500">
        <v>43550</v>
      </c>
      <c r="S258" s="1319">
        <v>43914</v>
      </c>
    </row>
    <row r="259" spans="1:19" s="1041" customFormat="1" ht="15" customHeight="1">
      <c r="A259" s="1014" t="s">
        <v>2062</v>
      </c>
      <c r="B259" s="902" t="s">
        <v>69</v>
      </c>
      <c r="C259" s="902" t="s">
        <v>70</v>
      </c>
      <c r="D259" s="903" t="s">
        <v>2070</v>
      </c>
      <c r="E259" s="902" t="s">
        <v>813</v>
      </c>
      <c r="F259" s="902"/>
      <c r="G259" s="904">
        <v>67601042.040000007</v>
      </c>
      <c r="H259" s="902" t="s">
        <v>251</v>
      </c>
      <c r="I259" s="905">
        <v>42948</v>
      </c>
      <c r="J259" s="905">
        <v>42986</v>
      </c>
      <c r="K259" s="902" t="s">
        <v>576</v>
      </c>
      <c r="L259" s="904">
        <v>67601042.040000007</v>
      </c>
      <c r="M259" s="904">
        <f>L259*1.1</f>
        <v>74361146.244000018</v>
      </c>
      <c r="N259" s="905">
        <v>43032</v>
      </c>
      <c r="O259" s="905">
        <v>43761</v>
      </c>
      <c r="P259" s="905">
        <v>43033</v>
      </c>
      <c r="Q259" s="1089">
        <v>43175</v>
      </c>
      <c r="R259" s="1500">
        <v>43550</v>
      </c>
      <c r="S259" s="1319">
        <v>43914</v>
      </c>
    </row>
    <row r="260" spans="1:19" s="1041" customFormat="1" ht="15.75" customHeight="1" thickBot="1">
      <c r="A260" s="990" t="s">
        <v>2062</v>
      </c>
      <c r="B260" s="981" t="s">
        <v>69</v>
      </c>
      <c r="C260" s="981" t="s">
        <v>70</v>
      </c>
      <c r="D260" s="940" t="s">
        <v>2071</v>
      </c>
      <c r="E260" s="981" t="s">
        <v>813</v>
      </c>
      <c r="F260" s="981"/>
      <c r="G260" s="983">
        <v>14623775.52</v>
      </c>
      <c r="H260" s="981" t="s">
        <v>251</v>
      </c>
      <c r="I260" s="982">
        <v>42948</v>
      </c>
      <c r="J260" s="982">
        <v>42986</v>
      </c>
      <c r="K260" s="981" t="s">
        <v>1651</v>
      </c>
      <c r="L260" s="983">
        <v>14800119.52</v>
      </c>
      <c r="M260" s="983">
        <f>L260*1.1</f>
        <v>16280131.472000001</v>
      </c>
      <c r="N260" s="982">
        <v>43032</v>
      </c>
      <c r="O260" s="1317">
        <v>43761</v>
      </c>
      <c r="P260" s="982">
        <v>43033</v>
      </c>
      <c r="Q260" s="1090">
        <v>43175</v>
      </c>
      <c r="R260" s="1500">
        <v>43550</v>
      </c>
      <c r="S260" s="1319">
        <v>43914</v>
      </c>
    </row>
    <row r="261" spans="1:19" ht="15.75" customHeight="1" thickTop="1">
      <c r="A261" s="1091" t="s">
        <v>2063</v>
      </c>
      <c r="B261" s="1092" t="s">
        <v>69</v>
      </c>
      <c r="C261" s="1092" t="s">
        <v>70</v>
      </c>
      <c r="D261" s="1093" t="s">
        <v>2226</v>
      </c>
      <c r="E261" s="1092" t="s">
        <v>93</v>
      </c>
      <c r="F261" s="1092"/>
      <c r="G261" s="1094">
        <v>6503641.7999999998</v>
      </c>
      <c r="H261" s="1092" t="s">
        <v>251</v>
      </c>
      <c r="I261" s="1095">
        <v>42963</v>
      </c>
      <c r="J261" s="1095">
        <v>43004</v>
      </c>
      <c r="K261" s="1092" t="s">
        <v>1564</v>
      </c>
      <c r="L261" s="1094">
        <v>1087227.6000000001</v>
      </c>
      <c r="M261" s="1094">
        <f>L261*1.1</f>
        <v>1195950.3600000001</v>
      </c>
      <c r="N261" s="1092"/>
      <c r="O261" s="1092"/>
      <c r="P261" s="1092"/>
      <c r="Q261" s="1119"/>
      <c r="R261" s="1083"/>
    </row>
    <row r="262" spans="1:19" ht="15" customHeight="1">
      <c r="A262" s="1098" t="s">
        <v>2063</v>
      </c>
      <c r="B262" s="869" t="s">
        <v>69</v>
      </c>
      <c r="C262" s="869" t="s">
        <v>70</v>
      </c>
      <c r="D262" s="856" t="s">
        <v>2234</v>
      </c>
      <c r="E262" s="869" t="s">
        <v>93</v>
      </c>
      <c r="F262" s="869"/>
      <c r="G262" s="871">
        <v>381074.24</v>
      </c>
      <c r="H262" s="869" t="s">
        <v>251</v>
      </c>
      <c r="I262" s="870">
        <v>42963</v>
      </c>
      <c r="J262" s="870">
        <v>43004</v>
      </c>
      <c r="K262" s="869" t="s">
        <v>1402</v>
      </c>
      <c r="L262" s="871">
        <v>378320.36</v>
      </c>
      <c r="M262" s="871">
        <f>L262*1.1</f>
        <v>416152.39600000001</v>
      </c>
      <c r="N262" s="869"/>
      <c r="O262" s="869"/>
      <c r="P262" s="869"/>
      <c r="Q262" s="1108"/>
      <c r="R262" s="1083"/>
    </row>
    <row r="263" spans="1:19" ht="15.75" customHeight="1" thickBot="1">
      <c r="A263" s="888" t="s">
        <v>2063</v>
      </c>
      <c r="B263" s="889" t="s">
        <v>69</v>
      </c>
      <c r="C263" s="889" t="s">
        <v>70</v>
      </c>
      <c r="D263" s="890" t="s">
        <v>2235</v>
      </c>
      <c r="E263" s="889" t="s">
        <v>93</v>
      </c>
      <c r="F263" s="889"/>
      <c r="G263" s="891">
        <v>74800</v>
      </c>
      <c r="H263" s="889" t="s">
        <v>251</v>
      </c>
      <c r="I263" s="892">
        <v>42963</v>
      </c>
      <c r="J263" s="892">
        <v>43004</v>
      </c>
      <c r="K263" s="895" t="s">
        <v>2192</v>
      </c>
      <c r="L263" s="891"/>
      <c r="M263" s="891"/>
      <c r="N263" s="889"/>
      <c r="O263" s="1282"/>
      <c r="P263" s="892">
        <v>43007</v>
      </c>
      <c r="Q263" s="893"/>
      <c r="R263" s="1083"/>
    </row>
    <row r="264" spans="1:19" s="1043" customFormat="1" ht="16.5" customHeight="1" thickTop="1" thickBot="1">
      <c r="A264" s="1120" t="s">
        <v>2081</v>
      </c>
      <c r="B264" s="1005" t="s">
        <v>1032</v>
      </c>
      <c r="C264" s="1005" t="s">
        <v>1033</v>
      </c>
      <c r="D264" s="1006" t="s">
        <v>2082</v>
      </c>
      <c r="E264" s="1005" t="s">
        <v>241</v>
      </c>
      <c r="F264" s="1005"/>
      <c r="G264" s="1007">
        <v>500000</v>
      </c>
      <c r="H264" s="1005" t="s">
        <v>112</v>
      </c>
      <c r="I264" s="1008">
        <v>42947</v>
      </c>
      <c r="J264" s="1008">
        <v>42962</v>
      </c>
      <c r="K264" s="1005" t="s">
        <v>2191</v>
      </c>
      <c r="L264" s="1007">
        <v>149870</v>
      </c>
      <c r="M264" s="1007">
        <v>181343</v>
      </c>
      <c r="N264" s="1008">
        <v>43003</v>
      </c>
      <c r="O264" s="1008"/>
      <c r="P264" s="1008">
        <v>43005</v>
      </c>
      <c r="Q264" s="1262">
        <v>43185</v>
      </c>
      <c r="R264" s="1083"/>
      <c r="S264" s="802"/>
    </row>
    <row r="265" spans="1:19" ht="15.75" customHeight="1" thickTop="1">
      <c r="A265" s="882" t="s">
        <v>2073</v>
      </c>
      <c r="B265" s="883" t="s">
        <v>69</v>
      </c>
      <c r="C265" s="883" t="s">
        <v>70</v>
      </c>
      <c r="D265" s="884" t="s">
        <v>2074</v>
      </c>
      <c r="E265" s="883" t="s">
        <v>93</v>
      </c>
      <c r="F265" s="883"/>
      <c r="G265" s="885">
        <v>6632848.2800000003</v>
      </c>
      <c r="H265" s="883" t="s">
        <v>251</v>
      </c>
      <c r="I265" s="886">
        <v>42958</v>
      </c>
      <c r="J265" s="886">
        <v>42996</v>
      </c>
      <c r="K265" s="894" t="s">
        <v>2192</v>
      </c>
      <c r="L265" s="885"/>
      <c r="M265" s="885"/>
      <c r="N265" s="883"/>
      <c r="O265" s="883"/>
      <c r="P265" s="886">
        <v>43000</v>
      </c>
      <c r="Q265" s="887"/>
      <c r="R265" s="1083"/>
    </row>
    <row r="266" spans="1:19" ht="15" customHeight="1">
      <c r="A266" s="1133" t="s">
        <v>2073</v>
      </c>
      <c r="B266" s="991" t="s">
        <v>69</v>
      </c>
      <c r="C266" s="991" t="s">
        <v>70</v>
      </c>
      <c r="D266" s="567" t="s">
        <v>2075</v>
      </c>
      <c r="E266" s="902" t="s">
        <v>93</v>
      </c>
      <c r="F266" s="902"/>
      <c r="G266" s="904">
        <v>7051294.7999999998</v>
      </c>
      <c r="H266" s="902" t="s">
        <v>251</v>
      </c>
      <c r="I266" s="905">
        <v>42958</v>
      </c>
      <c r="J266" s="905">
        <v>42996</v>
      </c>
      <c r="K266" s="902" t="s">
        <v>1318</v>
      </c>
      <c r="L266" s="904">
        <v>7051294.7999999998</v>
      </c>
      <c r="M266" s="904">
        <v>7756424.2800000003</v>
      </c>
      <c r="N266" s="905">
        <v>43039</v>
      </c>
      <c r="O266" s="905">
        <v>43768</v>
      </c>
      <c r="P266" s="905">
        <v>43040</v>
      </c>
      <c r="Q266" s="1089">
        <v>43175</v>
      </c>
      <c r="R266" s="1501" t="s">
        <v>4128</v>
      </c>
      <c r="S266" s="1319">
        <v>43914</v>
      </c>
    </row>
    <row r="267" spans="1:19" ht="15" customHeight="1">
      <c r="A267" s="1133" t="s">
        <v>2073</v>
      </c>
      <c r="B267" s="991" t="s">
        <v>69</v>
      </c>
      <c r="C267" s="991" t="s">
        <v>70</v>
      </c>
      <c r="D267" s="567" t="s">
        <v>2076</v>
      </c>
      <c r="E267" s="902" t="s">
        <v>93</v>
      </c>
      <c r="F267" s="902"/>
      <c r="G267" s="904">
        <v>55890699.060000002</v>
      </c>
      <c r="H267" s="902" t="s">
        <v>251</v>
      </c>
      <c r="I267" s="905">
        <v>42958</v>
      </c>
      <c r="J267" s="905">
        <v>42996</v>
      </c>
      <c r="K267" s="902" t="s">
        <v>1319</v>
      </c>
      <c r="L267" s="904">
        <v>55890699.060000002</v>
      </c>
      <c r="M267" s="904">
        <v>61479768.969999999</v>
      </c>
      <c r="N267" s="905">
        <v>43039</v>
      </c>
      <c r="O267" s="905">
        <v>43768</v>
      </c>
      <c r="P267" s="905">
        <v>43040</v>
      </c>
      <c r="Q267" s="1089">
        <v>43175</v>
      </c>
      <c r="R267" s="1500">
        <v>43550</v>
      </c>
      <c r="S267" s="1319">
        <v>43914</v>
      </c>
    </row>
    <row r="268" spans="1:19" ht="15" customHeight="1">
      <c r="A268" s="1133" t="s">
        <v>2073</v>
      </c>
      <c r="B268" s="991" t="s">
        <v>69</v>
      </c>
      <c r="C268" s="991" t="s">
        <v>70</v>
      </c>
      <c r="D268" s="567" t="s">
        <v>2077</v>
      </c>
      <c r="E268" s="902" t="s">
        <v>93</v>
      </c>
      <c r="F268" s="902"/>
      <c r="G268" s="904">
        <v>14441053.779999999</v>
      </c>
      <c r="H268" s="902" t="s">
        <v>251</v>
      </c>
      <c r="I268" s="905">
        <v>42958</v>
      </c>
      <c r="J268" s="905">
        <v>42996</v>
      </c>
      <c r="K268" s="902" t="s">
        <v>1319</v>
      </c>
      <c r="L268" s="904">
        <v>14427606.699999999</v>
      </c>
      <c r="M268" s="904">
        <v>15870367.369999999</v>
      </c>
      <c r="N268" s="905">
        <v>43039</v>
      </c>
      <c r="O268" s="905">
        <v>43768</v>
      </c>
      <c r="P268" s="905">
        <v>43040</v>
      </c>
      <c r="Q268" s="1089">
        <v>43175</v>
      </c>
      <c r="R268" s="1500">
        <v>43550</v>
      </c>
      <c r="S268" s="1319">
        <v>43914</v>
      </c>
    </row>
    <row r="269" spans="1:19" ht="15" customHeight="1">
      <c r="A269" s="1133" t="s">
        <v>2073</v>
      </c>
      <c r="B269" s="991" t="s">
        <v>69</v>
      </c>
      <c r="C269" s="991" t="s">
        <v>70</v>
      </c>
      <c r="D269" s="567" t="s">
        <v>2078</v>
      </c>
      <c r="E269" s="902" t="s">
        <v>93</v>
      </c>
      <c r="F269" s="902"/>
      <c r="G269" s="904">
        <v>3049301.88</v>
      </c>
      <c r="H269" s="902" t="s">
        <v>251</v>
      </c>
      <c r="I269" s="905">
        <v>42958</v>
      </c>
      <c r="J269" s="905">
        <v>42996</v>
      </c>
      <c r="K269" s="902" t="s">
        <v>1319</v>
      </c>
      <c r="L269" s="904">
        <v>3049301.88</v>
      </c>
      <c r="M269" s="904">
        <v>3354232.07</v>
      </c>
      <c r="N269" s="905">
        <v>43039</v>
      </c>
      <c r="O269" s="905">
        <v>43768</v>
      </c>
      <c r="P269" s="905">
        <v>43040</v>
      </c>
      <c r="Q269" s="1089">
        <v>43175</v>
      </c>
      <c r="R269" s="1500">
        <v>43550</v>
      </c>
      <c r="S269" s="1319">
        <v>43914</v>
      </c>
    </row>
    <row r="270" spans="1:19" ht="15.75" customHeight="1" thickBot="1">
      <c r="A270" s="1105" t="s">
        <v>2073</v>
      </c>
      <c r="B270" s="1106" t="s">
        <v>69</v>
      </c>
      <c r="C270" s="1106" t="s">
        <v>70</v>
      </c>
      <c r="D270" s="1107" t="s">
        <v>2079</v>
      </c>
      <c r="E270" s="889" t="s">
        <v>93</v>
      </c>
      <c r="F270" s="889"/>
      <c r="G270" s="891">
        <v>4687531.68</v>
      </c>
      <c r="H270" s="889" t="s">
        <v>251</v>
      </c>
      <c r="I270" s="892">
        <v>42958</v>
      </c>
      <c r="J270" s="892">
        <v>42996</v>
      </c>
      <c r="K270" s="895" t="s">
        <v>2192</v>
      </c>
      <c r="L270" s="891"/>
      <c r="M270" s="891"/>
      <c r="N270" s="889"/>
      <c r="O270" s="1282"/>
      <c r="P270" s="892">
        <v>43000</v>
      </c>
      <c r="Q270" s="893"/>
      <c r="R270" s="1083"/>
    </row>
    <row r="271" spans="1:19" s="1043" customFormat="1" ht="15.75" customHeight="1" thickTop="1">
      <c r="A271" s="1135" t="s">
        <v>2089</v>
      </c>
      <c r="B271" s="1005" t="s">
        <v>58</v>
      </c>
      <c r="C271" s="1005" t="s">
        <v>57</v>
      </c>
      <c r="D271" s="1006" t="s">
        <v>2090</v>
      </c>
      <c r="E271" s="1005" t="s">
        <v>261</v>
      </c>
      <c r="F271" s="1005" t="s">
        <v>2091</v>
      </c>
      <c r="G271" s="1007">
        <v>455000</v>
      </c>
      <c r="H271" s="1005" t="s">
        <v>112</v>
      </c>
      <c r="I271" s="1008">
        <v>42958</v>
      </c>
      <c r="J271" s="1008">
        <v>42970</v>
      </c>
      <c r="K271" s="1005" t="s">
        <v>2138</v>
      </c>
      <c r="L271" s="1007">
        <v>523815.75</v>
      </c>
      <c r="M271" s="1007">
        <f>L271*1.21</f>
        <v>633817.0575</v>
      </c>
      <c r="N271" s="1008">
        <v>43046</v>
      </c>
      <c r="O271" s="1008"/>
      <c r="P271" s="1005" t="s">
        <v>239</v>
      </c>
      <c r="Q271" s="1137" t="s">
        <v>239</v>
      </c>
      <c r="R271" s="1083"/>
      <c r="S271" s="802"/>
    </row>
    <row r="272" spans="1:19" ht="15" customHeight="1">
      <c r="A272" s="872" t="s">
        <v>2083</v>
      </c>
      <c r="B272" s="872" t="s">
        <v>58</v>
      </c>
      <c r="C272" s="872" t="s">
        <v>57</v>
      </c>
      <c r="D272" s="873" t="s">
        <v>777</v>
      </c>
      <c r="E272" s="872" t="s">
        <v>261</v>
      </c>
      <c r="F272" s="872" t="s">
        <v>1228</v>
      </c>
      <c r="G272" s="875">
        <v>1650000</v>
      </c>
      <c r="H272" s="872" t="s">
        <v>112</v>
      </c>
      <c r="I272" s="874">
        <v>42954</v>
      </c>
      <c r="J272" s="874">
        <v>42964</v>
      </c>
      <c r="K272" s="876" t="s">
        <v>304</v>
      </c>
      <c r="L272" s="875"/>
      <c r="M272" s="875"/>
      <c r="N272" s="872"/>
      <c r="O272" s="872"/>
      <c r="P272" s="872" t="s">
        <v>239</v>
      </c>
      <c r="Q272" s="872"/>
      <c r="R272" s="801"/>
    </row>
    <row r="273" spans="1:19" s="1043" customFormat="1" ht="15" customHeight="1">
      <c r="A273" s="991" t="s">
        <v>2092</v>
      </c>
      <c r="B273" s="991" t="s">
        <v>58</v>
      </c>
      <c r="C273" s="991" t="s">
        <v>57</v>
      </c>
      <c r="D273" s="567" t="s">
        <v>2093</v>
      </c>
      <c r="E273" s="991" t="s">
        <v>2094</v>
      </c>
      <c r="F273" s="991" t="s">
        <v>2095</v>
      </c>
      <c r="G273" s="992">
        <v>290000</v>
      </c>
      <c r="H273" s="991" t="s">
        <v>112</v>
      </c>
      <c r="I273" s="993">
        <v>42958</v>
      </c>
      <c r="J273" s="993">
        <v>42970</v>
      </c>
      <c r="K273" s="991" t="s">
        <v>2146</v>
      </c>
      <c r="L273" s="992">
        <v>313200</v>
      </c>
      <c r="M273" s="992">
        <v>378972</v>
      </c>
      <c r="N273" s="993">
        <v>43003</v>
      </c>
      <c r="O273" s="993"/>
      <c r="P273" s="991" t="s">
        <v>239</v>
      </c>
      <c r="Q273" s="991" t="s">
        <v>239</v>
      </c>
      <c r="R273" s="801"/>
      <c r="S273" s="802"/>
    </row>
    <row r="274" spans="1:19" s="1043" customFormat="1" ht="15.75" customHeight="1" thickBot="1">
      <c r="A274" s="1005" t="s">
        <v>2086</v>
      </c>
      <c r="B274" s="1005" t="s">
        <v>58</v>
      </c>
      <c r="C274" s="1005" t="s">
        <v>57</v>
      </c>
      <c r="D274" s="1006" t="s">
        <v>2087</v>
      </c>
      <c r="E274" s="1005" t="s">
        <v>80</v>
      </c>
      <c r="F274" s="1005" t="s">
        <v>2088</v>
      </c>
      <c r="G274" s="1007">
        <v>305000</v>
      </c>
      <c r="H274" s="1005" t="s">
        <v>112</v>
      </c>
      <c r="I274" s="1008">
        <v>42958</v>
      </c>
      <c r="J274" s="1008">
        <v>42969</v>
      </c>
      <c r="K274" s="1005" t="s">
        <v>2135</v>
      </c>
      <c r="L274" s="1007">
        <v>437341</v>
      </c>
      <c r="M274" s="1007">
        <f>L274*1.21</f>
        <v>529182.61</v>
      </c>
      <c r="N274" s="1008">
        <v>43019</v>
      </c>
      <c r="O274" s="1008"/>
      <c r="P274" s="1005" t="s">
        <v>239</v>
      </c>
      <c r="Q274" s="1005" t="s">
        <v>239</v>
      </c>
      <c r="R274" s="801"/>
      <c r="S274" s="802"/>
    </row>
    <row r="275" spans="1:19" s="1043" customFormat="1" ht="15.75" customHeight="1" thickTop="1">
      <c r="A275" s="989" t="s">
        <v>2103</v>
      </c>
      <c r="B275" s="985" t="s">
        <v>69</v>
      </c>
      <c r="C275" s="985" t="s">
        <v>70</v>
      </c>
      <c r="D275" s="939" t="s">
        <v>2104</v>
      </c>
      <c r="E275" s="985" t="s">
        <v>72</v>
      </c>
      <c r="F275" s="985"/>
      <c r="G275" s="986">
        <v>33004807.5</v>
      </c>
      <c r="H275" s="985" t="s">
        <v>251</v>
      </c>
      <c r="I275" s="987">
        <v>42963</v>
      </c>
      <c r="J275" s="987">
        <v>43003</v>
      </c>
      <c r="K275" s="985" t="s">
        <v>576</v>
      </c>
      <c r="L275" s="1145">
        <v>32678026.5</v>
      </c>
      <c r="M275" s="1145">
        <f>L275*1.1</f>
        <v>35945829.150000006</v>
      </c>
      <c r="N275" s="987">
        <v>43055</v>
      </c>
      <c r="O275" s="987">
        <v>43784</v>
      </c>
      <c r="P275" s="987">
        <v>43060</v>
      </c>
      <c r="Q275" s="1088">
        <v>43175</v>
      </c>
      <c r="R275" s="1500">
        <v>43550</v>
      </c>
      <c r="S275" s="1319">
        <v>43914</v>
      </c>
    </row>
    <row r="276" spans="1:19" s="1043" customFormat="1" ht="15" customHeight="1">
      <c r="A276" s="1133" t="s">
        <v>2103</v>
      </c>
      <c r="B276" s="991" t="s">
        <v>69</v>
      </c>
      <c r="C276" s="991" t="s">
        <v>70</v>
      </c>
      <c r="D276" s="567" t="s">
        <v>2105</v>
      </c>
      <c r="E276" s="991" t="s">
        <v>72</v>
      </c>
      <c r="F276" s="991"/>
      <c r="G276" s="992">
        <v>9844705.6999999993</v>
      </c>
      <c r="H276" s="991" t="s">
        <v>251</v>
      </c>
      <c r="I276" s="993">
        <v>42963</v>
      </c>
      <c r="J276" s="993">
        <v>43003</v>
      </c>
      <c r="K276" s="991" t="s">
        <v>1319</v>
      </c>
      <c r="L276" s="904">
        <v>9844250</v>
      </c>
      <c r="M276" s="904">
        <f>L276*1.1</f>
        <v>10828675</v>
      </c>
      <c r="N276" s="993">
        <v>43055</v>
      </c>
      <c r="O276" s="993">
        <v>43784</v>
      </c>
      <c r="P276" s="993">
        <v>43060</v>
      </c>
      <c r="Q276" s="1258">
        <v>43175</v>
      </c>
      <c r="R276" s="1500">
        <v>43550</v>
      </c>
      <c r="S276" s="1319">
        <v>43914</v>
      </c>
    </row>
    <row r="277" spans="1:19" s="1043" customFormat="1" ht="15" customHeight="1">
      <c r="A277" s="1133" t="s">
        <v>2103</v>
      </c>
      <c r="B277" s="991" t="s">
        <v>69</v>
      </c>
      <c r="C277" s="991" t="s">
        <v>70</v>
      </c>
      <c r="D277" s="567" t="s">
        <v>2106</v>
      </c>
      <c r="E277" s="991" t="s">
        <v>72</v>
      </c>
      <c r="F277" s="991"/>
      <c r="G277" s="992">
        <v>15902036.4</v>
      </c>
      <c r="H277" s="991" t="s">
        <v>251</v>
      </c>
      <c r="I277" s="993">
        <v>42963</v>
      </c>
      <c r="J277" s="993">
        <v>43003</v>
      </c>
      <c r="K277" s="991" t="s">
        <v>578</v>
      </c>
      <c r="L277" s="992">
        <v>15902036.4</v>
      </c>
      <c r="M277" s="992">
        <f>L277*1.1</f>
        <v>17492240.040000003</v>
      </c>
      <c r="N277" s="993">
        <v>43055</v>
      </c>
      <c r="O277" s="993">
        <v>43784</v>
      </c>
      <c r="P277" s="993">
        <v>43060</v>
      </c>
      <c r="Q277" s="1258">
        <v>43175</v>
      </c>
      <c r="R277" s="1500">
        <v>43550</v>
      </c>
      <c r="S277" s="1319">
        <v>43914</v>
      </c>
    </row>
    <row r="278" spans="1:19" s="1043" customFormat="1" ht="15.75" customHeight="1" thickBot="1">
      <c r="A278" s="1113" t="s">
        <v>2103</v>
      </c>
      <c r="B278" s="1114" t="s">
        <v>69</v>
      </c>
      <c r="C278" s="1114" t="s">
        <v>70</v>
      </c>
      <c r="D278" s="1115" t="s">
        <v>2107</v>
      </c>
      <c r="E278" s="1114" t="s">
        <v>72</v>
      </c>
      <c r="F278" s="1114"/>
      <c r="G278" s="1117">
        <v>4317966.9000000004</v>
      </c>
      <c r="H278" s="1114" t="s">
        <v>251</v>
      </c>
      <c r="I278" s="1116">
        <v>42963</v>
      </c>
      <c r="J278" s="1116">
        <v>43003</v>
      </c>
      <c r="K278" s="1114" t="s">
        <v>576</v>
      </c>
      <c r="L278" s="1117">
        <v>2139104.5</v>
      </c>
      <c r="M278" s="1117">
        <f>L278*1.1</f>
        <v>2353014.9500000002</v>
      </c>
      <c r="N278" s="1116">
        <v>43055</v>
      </c>
      <c r="O278" s="1116">
        <v>43784</v>
      </c>
      <c r="P278" s="1116">
        <v>43060</v>
      </c>
      <c r="Q278" s="1259">
        <v>43175</v>
      </c>
      <c r="R278" s="1500">
        <v>43550</v>
      </c>
      <c r="S278" s="1319">
        <v>43914</v>
      </c>
    </row>
    <row r="279" spans="1:19" s="1077" customFormat="1" ht="15.75" customHeight="1" thickTop="1">
      <c r="A279" s="1109" t="s">
        <v>2124</v>
      </c>
      <c r="B279" s="1109" t="s">
        <v>69</v>
      </c>
      <c r="C279" s="1109" t="s">
        <v>70</v>
      </c>
      <c r="D279" s="1110" t="s">
        <v>2125</v>
      </c>
      <c r="E279" s="1109" t="s">
        <v>42</v>
      </c>
      <c r="F279" s="1109"/>
      <c r="G279" s="1111">
        <v>3381000</v>
      </c>
      <c r="H279" s="1109" t="s">
        <v>216</v>
      </c>
      <c r="I279" s="1112">
        <v>42972</v>
      </c>
      <c r="J279" s="1112">
        <v>42997</v>
      </c>
      <c r="K279" s="1109" t="s">
        <v>1143</v>
      </c>
      <c r="L279" s="1111">
        <v>3381000</v>
      </c>
      <c r="M279" s="1111">
        <v>4091010</v>
      </c>
      <c r="N279" s="1109"/>
      <c r="O279" s="1109"/>
      <c r="P279" s="1109"/>
      <c r="Q279" s="1109"/>
      <c r="R279" s="1083"/>
      <c r="S279" s="802"/>
    </row>
    <row r="280" spans="1:19" ht="15" customHeight="1">
      <c r="A280" s="1005" t="s">
        <v>2084</v>
      </c>
      <c r="B280" s="1005" t="s">
        <v>58</v>
      </c>
      <c r="C280" s="1005" t="s">
        <v>57</v>
      </c>
      <c r="D280" s="1006" t="s">
        <v>2085</v>
      </c>
      <c r="E280" s="1005" t="s">
        <v>1159</v>
      </c>
      <c r="F280" s="1005" t="s">
        <v>2150</v>
      </c>
      <c r="G280" s="1007">
        <v>990000</v>
      </c>
      <c r="H280" s="1005" t="s">
        <v>112</v>
      </c>
      <c r="I280" s="1008">
        <v>42958</v>
      </c>
      <c r="J280" s="1008">
        <v>42969</v>
      </c>
      <c r="K280" s="1005" t="s">
        <v>2137</v>
      </c>
      <c r="L280" s="1007">
        <v>1109550</v>
      </c>
      <c r="M280" s="1007">
        <f>L280*1.21</f>
        <v>1342555.5</v>
      </c>
      <c r="N280" s="1008">
        <v>43004</v>
      </c>
      <c r="O280" s="1008"/>
      <c r="P280" s="1008">
        <v>43010</v>
      </c>
      <c r="Q280" s="1008">
        <v>43066</v>
      </c>
      <c r="R280" s="996" t="s">
        <v>1875</v>
      </c>
    </row>
    <row r="281" spans="1:19" s="1016" customFormat="1" ht="15.75" customHeight="1" thickBot="1">
      <c r="A281" s="1026" t="s">
        <v>2328</v>
      </c>
      <c r="B281" s="1026" t="s">
        <v>1700</v>
      </c>
      <c r="C281" s="1026" t="s">
        <v>1699</v>
      </c>
      <c r="D281" s="1035" t="s">
        <v>2114</v>
      </c>
      <c r="E281" s="1026" t="s">
        <v>505</v>
      </c>
      <c r="F281" s="1026" t="s">
        <v>1703</v>
      </c>
      <c r="G281" s="1027">
        <v>11705547</v>
      </c>
      <c r="H281" s="1026" t="s">
        <v>251</v>
      </c>
      <c r="I281" s="1036">
        <v>42985</v>
      </c>
      <c r="J281" s="1036">
        <v>43027</v>
      </c>
      <c r="K281" s="1026" t="s">
        <v>1714</v>
      </c>
      <c r="L281" s="1027">
        <v>14909928.1</v>
      </c>
      <c r="M281" s="1027">
        <f>L281*1.21</f>
        <v>18041013.000999998</v>
      </c>
      <c r="N281" s="1026"/>
      <c r="O281" s="1026"/>
      <c r="P281" s="1026"/>
      <c r="Q281" s="1026"/>
      <c r="R281" s="1078"/>
      <c r="S281" s="1554"/>
    </row>
    <row r="282" spans="1:19" s="1016" customFormat="1" ht="15.75" customHeight="1" thickTop="1">
      <c r="A282" s="989" t="s">
        <v>2115</v>
      </c>
      <c r="B282" s="985" t="s">
        <v>52</v>
      </c>
      <c r="C282" s="985" t="s">
        <v>227</v>
      </c>
      <c r="D282" s="939" t="s">
        <v>2116</v>
      </c>
      <c r="E282" s="985" t="s">
        <v>241</v>
      </c>
      <c r="F282" s="985" t="s">
        <v>2019</v>
      </c>
      <c r="G282" s="986">
        <v>300000</v>
      </c>
      <c r="H282" s="985" t="s">
        <v>112</v>
      </c>
      <c r="I282" s="987">
        <v>42968</v>
      </c>
      <c r="J282" s="987">
        <v>42977</v>
      </c>
      <c r="K282" s="985" t="s">
        <v>185</v>
      </c>
      <c r="L282" s="986">
        <v>298100</v>
      </c>
      <c r="M282" s="986">
        <v>298100</v>
      </c>
      <c r="N282" s="987">
        <v>42998</v>
      </c>
      <c r="O282" s="987"/>
      <c r="P282" s="985" t="s">
        <v>239</v>
      </c>
      <c r="Q282" s="988" t="s">
        <v>239</v>
      </c>
      <c r="R282" s="1086"/>
      <c r="S282" s="1554"/>
    </row>
    <row r="283" spans="1:19" s="1016" customFormat="1" ht="15.75" customHeight="1" thickBot="1">
      <c r="A283" s="1113" t="s">
        <v>2115</v>
      </c>
      <c r="B283" s="1114" t="s">
        <v>52</v>
      </c>
      <c r="C283" s="1114" t="s">
        <v>227</v>
      </c>
      <c r="D283" s="1115" t="s">
        <v>2117</v>
      </c>
      <c r="E283" s="981" t="s">
        <v>241</v>
      </c>
      <c r="F283" s="981" t="s">
        <v>2018</v>
      </c>
      <c r="G283" s="983">
        <v>150000</v>
      </c>
      <c r="H283" s="981" t="s">
        <v>112</v>
      </c>
      <c r="I283" s="1116">
        <v>42968</v>
      </c>
      <c r="J283" s="1116">
        <v>42977</v>
      </c>
      <c r="K283" s="1114" t="s">
        <v>185</v>
      </c>
      <c r="L283" s="1117">
        <v>160400</v>
      </c>
      <c r="M283" s="1117">
        <v>160400</v>
      </c>
      <c r="N283" s="1116">
        <v>42998</v>
      </c>
      <c r="O283" s="1116"/>
      <c r="P283" s="1114" t="s">
        <v>239</v>
      </c>
      <c r="Q283" s="1118" t="s">
        <v>239</v>
      </c>
      <c r="R283" s="1086"/>
      <c r="S283" s="1554"/>
    </row>
    <row r="284" spans="1:19" s="1016" customFormat="1" ht="15.75" customHeight="1" thickTop="1">
      <c r="A284" s="1028" t="s">
        <v>2118</v>
      </c>
      <c r="B284" s="1028" t="s">
        <v>1700</v>
      </c>
      <c r="C284" s="1028" t="s">
        <v>1699</v>
      </c>
      <c r="D284" s="1029" t="s">
        <v>2119</v>
      </c>
      <c r="E284" s="1028" t="s">
        <v>462</v>
      </c>
      <c r="F284" s="1136"/>
      <c r="G284" s="1034">
        <v>24819752</v>
      </c>
      <c r="H284" s="1028" t="s">
        <v>251</v>
      </c>
      <c r="I284" s="1030">
        <v>43010</v>
      </c>
      <c r="J284" s="1030">
        <v>43048</v>
      </c>
      <c r="K284" s="1028" t="s">
        <v>1239</v>
      </c>
      <c r="L284" s="1034">
        <v>23792140</v>
      </c>
      <c r="M284" s="1034">
        <v>28788489.399999999</v>
      </c>
      <c r="N284" s="1028"/>
      <c r="O284" s="1028"/>
      <c r="P284" s="1028"/>
      <c r="Q284" s="1028"/>
      <c r="R284" s="1078"/>
      <c r="S284" s="1554"/>
    </row>
    <row r="285" spans="1:19" ht="15" customHeight="1">
      <c r="A285" s="1005" t="s">
        <v>2110</v>
      </c>
      <c r="B285" s="1005" t="s">
        <v>2111</v>
      </c>
      <c r="C285" s="1005" t="s">
        <v>1215</v>
      </c>
      <c r="D285" s="1006" t="s">
        <v>2112</v>
      </c>
      <c r="E285" s="1005" t="s">
        <v>2113</v>
      </c>
      <c r="F285" s="1005"/>
      <c r="G285" s="1007">
        <v>230000</v>
      </c>
      <c r="H285" s="1005" t="s">
        <v>216</v>
      </c>
      <c r="I285" s="1008">
        <v>42969</v>
      </c>
      <c r="J285" s="1008">
        <v>42991</v>
      </c>
      <c r="K285" s="1005" t="s">
        <v>2183</v>
      </c>
      <c r="L285" s="1007">
        <v>162127</v>
      </c>
      <c r="M285" s="1007">
        <v>196173.67</v>
      </c>
      <c r="N285" s="1008">
        <v>43042</v>
      </c>
      <c r="O285" s="1008"/>
      <c r="P285" s="1008">
        <v>43045</v>
      </c>
      <c r="Q285" s="1008">
        <v>43552</v>
      </c>
      <c r="R285" s="801"/>
    </row>
    <row r="286" spans="1:19" ht="15" customHeight="1">
      <c r="A286" s="853" t="s">
        <v>2120</v>
      </c>
      <c r="B286" s="853" t="s">
        <v>1700</v>
      </c>
      <c r="C286" s="853" t="s">
        <v>1699</v>
      </c>
      <c r="D286" s="1124" t="s">
        <v>79</v>
      </c>
      <c r="E286" s="853" t="s">
        <v>2121</v>
      </c>
      <c r="F286" s="853" t="s">
        <v>2152</v>
      </c>
      <c r="G286" s="854">
        <v>11203695.869999999</v>
      </c>
      <c r="H286" s="853" t="s">
        <v>251</v>
      </c>
      <c r="I286" s="855">
        <v>43012</v>
      </c>
      <c r="J286" s="855">
        <v>43103</v>
      </c>
      <c r="K286" s="853"/>
      <c r="L286" s="854"/>
      <c r="M286" s="854"/>
      <c r="N286" s="853"/>
      <c r="O286" s="853"/>
      <c r="P286" s="853"/>
      <c r="Q286" s="853"/>
      <c r="R286" s="801"/>
    </row>
    <row r="287" spans="1:19" ht="15" customHeight="1">
      <c r="A287" s="902" t="s">
        <v>2122</v>
      </c>
      <c r="B287" s="902" t="s">
        <v>58</v>
      </c>
      <c r="C287" s="902" t="s">
        <v>55</v>
      </c>
      <c r="D287" s="903" t="s">
        <v>2123</v>
      </c>
      <c r="E287" s="902" t="s">
        <v>1988</v>
      </c>
      <c r="F287" s="902" t="s">
        <v>1989</v>
      </c>
      <c r="G287" s="904">
        <v>370000</v>
      </c>
      <c r="H287" s="902" t="s">
        <v>112</v>
      </c>
      <c r="I287" s="905">
        <v>42969</v>
      </c>
      <c r="J287" s="905">
        <v>42983</v>
      </c>
      <c r="K287" s="902" t="s">
        <v>440</v>
      </c>
      <c r="L287" s="904">
        <v>497942</v>
      </c>
      <c r="M287" s="904">
        <f>L287*1.21</f>
        <v>602509.81999999995</v>
      </c>
      <c r="N287" s="905">
        <v>43059</v>
      </c>
      <c r="O287" s="905"/>
      <c r="P287" s="902" t="s">
        <v>239</v>
      </c>
      <c r="Q287" s="902" t="s">
        <v>239</v>
      </c>
      <c r="R287" s="801"/>
    </row>
    <row r="288" spans="1:19" ht="15" customHeight="1">
      <c r="A288" s="991" t="s">
        <v>2126</v>
      </c>
      <c r="B288" s="991" t="s">
        <v>1032</v>
      </c>
      <c r="C288" s="991" t="s">
        <v>1033</v>
      </c>
      <c r="D288" s="567" t="s">
        <v>2127</v>
      </c>
      <c r="E288" s="902" t="s">
        <v>2279</v>
      </c>
      <c r="F288" s="991" t="s">
        <v>2128</v>
      </c>
      <c r="G288" s="992">
        <v>1500000</v>
      </c>
      <c r="H288" s="991" t="s">
        <v>112</v>
      </c>
      <c r="I288" s="993">
        <v>42975</v>
      </c>
      <c r="J288" s="993">
        <v>42985</v>
      </c>
      <c r="K288" s="991" t="s">
        <v>2162</v>
      </c>
      <c r="L288" s="992">
        <v>1911804.94</v>
      </c>
      <c r="M288" s="992">
        <f>L288*1.21</f>
        <v>2313283.9773999997</v>
      </c>
      <c r="N288" s="993">
        <v>43017</v>
      </c>
      <c r="O288" s="993"/>
      <c r="P288" s="993">
        <v>43018</v>
      </c>
      <c r="Q288" s="993">
        <v>43552</v>
      </c>
      <c r="R288" s="801"/>
    </row>
    <row r="289" spans="1:18" ht="15" customHeight="1">
      <c r="A289" s="902" t="s">
        <v>2129</v>
      </c>
      <c r="B289" s="902" t="s">
        <v>58</v>
      </c>
      <c r="C289" s="902" t="s">
        <v>57</v>
      </c>
      <c r="D289" s="903" t="s">
        <v>2130</v>
      </c>
      <c r="E289" s="902" t="s">
        <v>462</v>
      </c>
      <c r="F289" s="902" t="s">
        <v>2131</v>
      </c>
      <c r="G289" s="904">
        <v>1115000</v>
      </c>
      <c r="H289" s="902" t="s">
        <v>112</v>
      </c>
      <c r="I289" s="905">
        <v>42975</v>
      </c>
      <c r="J289" s="905">
        <v>42985</v>
      </c>
      <c r="K289" s="902" t="s">
        <v>1239</v>
      </c>
      <c r="L289" s="904">
        <v>398340</v>
      </c>
      <c r="M289" s="904">
        <v>481991.4</v>
      </c>
      <c r="N289" s="905">
        <v>43025</v>
      </c>
      <c r="O289" s="905"/>
      <c r="P289" s="905">
        <v>43025</v>
      </c>
      <c r="Q289" s="905">
        <v>43136</v>
      </c>
      <c r="R289" s="996" t="s">
        <v>1875</v>
      </c>
    </row>
    <row r="290" spans="1:18" ht="15" customHeight="1">
      <c r="A290" s="869" t="s">
        <v>2133</v>
      </c>
      <c r="B290" s="869" t="s">
        <v>1032</v>
      </c>
      <c r="C290" s="869" t="s">
        <v>1033</v>
      </c>
      <c r="D290" s="856" t="s">
        <v>2134</v>
      </c>
      <c r="E290" s="869" t="s">
        <v>1972</v>
      </c>
      <c r="F290" s="869" t="s">
        <v>1973</v>
      </c>
      <c r="G290" s="871">
        <v>3500000</v>
      </c>
      <c r="H290" s="869" t="s">
        <v>216</v>
      </c>
      <c r="I290" s="870">
        <v>42977</v>
      </c>
      <c r="J290" s="870">
        <v>42998</v>
      </c>
      <c r="K290" s="869" t="s">
        <v>2009</v>
      </c>
      <c r="L290" s="871">
        <v>3220530</v>
      </c>
      <c r="M290" s="871">
        <f>L290*1.21</f>
        <v>3896841.3</v>
      </c>
      <c r="N290" s="869"/>
      <c r="O290" s="869"/>
      <c r="P290" s="869"/>
      <c r="Q290" s="869"/>
      <c r="R290" s="801"/>
    </row>
    <row r="291" spans="1:18" ht="15" customHeight="1">
      <c r="A291" s="902" t="s">
        <v>2139</v>
      </c>
      <c r="B291" s="902" t="s">
        <v>1844</v>
      </c>
      <c r="C291" s="902" t="s">
        <v>1845</v>
      </c>
      <c r="D291" s="903" t="s">
        <v>2140</v>
      </c>
      <c r="E291" s="902" t="s">
        <v>2141</v>
      </c>
      <c r="F291" s="902"/>
      <c r="G291" s="904">
        <v>40000</v>
      </c>
      <c r="H291" s="902" t="s">
        <v>112</v>
      </c>
      <c r="I291" s="905">
        <v>42982</v>
      </c>
      <c r="J291" s="905">
        <v>43004</v>
      </c>
      <c r="K291" s="902" t="s">
        <v>2438</v>
      </c>
      <c r="L291" s="904">
        <v>36400</v>
      </c>
      <c r="M291" s="904">
        <f>L291*1.21</f>
        <v>44044</v>
      </c>
      <c r="N291" s="905">
        <v>43040</v>
      </c>
      <c r="O291" s="905"/>
      <c r="P291" s="902" t="s">
        <v>239</v>
      </c>
      <c r="Q291" s="902" t="s">
        <v>239</v>
      </c>
      <c r="R291" s="801"/>
    </row>
    <row r="292" spans="1:18" ht="15" customHeight="1">
      <c r="A292" s="902" t="s">
        <v>2142</v>
      </c>
      <c r="B292" s="902" t="s">
        <v>58</v>
      </c>
      <c r="C292" s="902" t="s">
        <v>57</v>
      </c>
      <c r="D292" s="903" t="s">
        <v>2143</v>
      </c>
      <c r="E292" s="902" t="s">
        <v>2144</v>
      </c>
      <c r="F292" s="902" t="s">
        <v>2145</v>
      </c>
      <c r="G292" s="904">
        <v>5200000</v>
      </c>
      <c r="H292" s="902" t="s">
        <v>251</v>
      </c>
      <c r="I292" s="905">
        <v>42986</v>
      </c>
      <c r="J292" s="905">
        <v>43026</v>
      </c>
      <c r="K292" s="902" t="s">
        <v>198</v>
      </c>
      <c r="L292" s="904">
        <v>5282600</v>
      </c>
      <c r="M292" s="904">
        <f>L292*1.21</f>
        <v>6391946</v>
      </c>
      <c r="N292" s="905">
        <v>43091</v>
      </c>
      <c r="O292" s="905"/>
      <c r="P292" s="905">
        <v>43103</v>
      </c>
      <c r="Q292" s="905">
        <v>43157</v>
      </c>
      <c r="R292" s="996" t="s">
        <v>1875</v>
      </c>
    </row>
    <row r="293" spans="1:18" ht="15" customHeight="1">
      <c r="A293" s="872" t="s">
        <v>2147</v>
      </c>
      <c r="B293" s="872" t="s">
        <v>837</v>
      </c>
      <c r="C293" s="872" t="s">
        <v>1966</v>
      </c>
      <c r="D293" s="873" t="s">
        <v>2148</v>
      </c>
      <c r="E293" s="872" t="s">
        <v>158</v>
      </c>
      <c r="F293" s="872" t="s">
        <v>2149</v>
      </c>
      <c r="G293" s="875">
        <v>2800000</v>
      </c>
      <c r="H293" s="872" t="s">
        <v>216</v>
      </c>
      <c r="I293" s="874">
        <v>42997</v>
      </c>
      <c r="J293" s="874">
        <v>43018</v>
      </c>
      <c r="K293" s="876" t="s">
        <v>2336</v>
      </c>
      <c r="L293" s="875"/>
      <c r="M293" s="875"/>
      <c r="N293" s="872"/>
      <c r="O293" s="872"/>
      <c r="P293" s="874">
        <v>43047</v>
      </c>
      <c r="Q293" s="872"/>
      <c r="R293" s="801"/>
    </row>
    <row r="294" spans="1:18" ht="15" customHeight="1">
      <c r="A294" s="902" t="s">
        <v>2153</v>
      </c>
      <c r="B294" s="902" t="s">
        <v>58</v>
      </c>
      <c r="C294" s="902" t="s">
        <v>57</v>
      </c>
      <c r="D294" s="903" t="s">
        <v>2154</v>
      </c>
      <c r="E294" s="1130" t="s">
        <v>1924</v>
      </c>
      <c r="F294" s="1130" t="s">
        <v>1925</v>
      </c>
      <c r="G294" s="904">
        <v>365000</v>
      </c>
      <c r="H294" s="902" t="s">
        <v>112</v>
      </c>
      <c r="I294" s="905">
        <v>42990</v>
      </c>
      <c r="J294" s="905">
        <v>42999</v>
      </c>
      <c r="K294" s="902" t="s">
        <v>1196</v>
      </c>
      <c r="L294" s="904">
        <v>370975</v>
      </c>
      <c r="M294" s="904">
        <f>L294*1.21</f>
        <v>448879.75</v>
      </c>
      <c r="N294" s="905">
        <v>43054</v>
      </c>
      <c r="O294" s="905"/>
      <c r="P294" s="902" t="s">
        <v>239</v>
      </c>
      <c r="Q294" s="902" t="s">
        <v>239</v>
      </c>
      <c r="R294" s="801"/>
    </row>
    <row r="295" spans="1:18" ht="15" customHeight="1">
      <c r="A295" s="902" t="s">
        <v>2155</v>
      </c>
      <c r="B295" s="902" t="s">
        <v>1764</v>
      </c>
      <c r="C295" s="902" t="s">
        <v>361</v>
      </c>
      <c r="D295" s="903" t="s">
        <v>2156</v>
      </c>
      <c r="E295" s="1130" t="s">
        <v>2184</v>
      </c>
      <c r="F295" s="1130" t="s">
        <v>2185</v>
      </c>
      <c r="G295" s="904">
        <v>1157000</v>
      </c>
      <c r="H295" s="902" t="s">
        <v>112</v>
      </c>
      <c r="I295" s="905">
        <v>42993</v>
      </c>
      <c r="J295" s="905">
        <v>43004</v>
      </c>
      <c r="K295" s="902" t="s">
        <v>2225</v>
      </c>
      <c r="L295" s="904">
        <v>699660</v>
      </c>
      <c r="M295" s="904">
        <f>L295*1.21</f>
        <v>846588.6</v>
      </c>
      <c r="N295" s="905">
        <v>43031</v>
      </c>
      <c r="O295" s="905"/>
      <c r="P295" s="905">
        <v>43031</v>
      </c>
      <c r="Q295" s="905">
        <v>43129</v>
      </c>
      <c r="R295" s="801"/>
    </row>
    <row r="296" spans="1:18" ht="15" customHeight="1">
      <c r="A296" s="902" t="s">
        <v>2157</v>
      </c>
      <c r="B296" s="902" t="s">
        <v>58</v>
      </c>
      <c r="C296" s="902" t="s">
        <v>57</v>
      </c>
      <c r="D296" s="903" t="s">
        <v>2158</v>
      </c>
      <c r="E296" s="1130" t="s">
        <v>1013</v>
      </c>
      <c r="F296" s="902" t="s">
        <v>2159</v>
      </c>
      <c r="G296" s="904">
        <v>275000</v>
      </c>
      <c r="H296" s="902" t="s">
        <v>112</v>
      </c>
      <c r="I296" s="905">
        <v>42998</v>
      </c>
      <c r="J296" s="905">
        <v>43014</v>
      </c>
      <c r="K296" s="902" t="s">
        <v>1075</v>
      </c>
      <c r="L296" s="904">
        <v>332750</v>
      </c>
      <c r="M296" s="904">
        <f>L296*1.21</f>
        <v>402627.5</v>
      </c>
      <c r="N296" s="905">
        <v>43075</v>
      </c>
      <c r="O296" s="905"/>
      <c r="P296" s="902" t="s">
        <v>239</v>
      </c>
      <c r="Q296" s="902" t="s">
        <v>239</v>
      </c>
      <c r="R296" s="801"/>
    </row>
    <row r="297" spans="1:18" ht="15" customHeight="1">
      <c r="A297" s="902" t="s">
        <v>2163</v>
      </c>
      <c r="B297" s="902" t="s">
        <v>166</v>
      </c>
      <c r="C297" s="902" t="s">
        <v>167</v>
      </c>
      <c r="D297" s="903" t="s">
        <v>2164</v>
      </c>
      <c r="E297" s="1130" t="s">
        <v>2166</v>
      </c>
      <c r="F297" s="902" t="s">
        <v>2165</v>
      </c>
      <c r="G297" s="904">
        <v>900000</v>
      </c>
      <c r="H297" s="902" t="s">
        <v>112</v>
      </c>
      <c r="I297" s="905">
        <v>42993</v>
      </c>
      <c r="J297" s="905">
        <v>43005</v>
      </c>
      <c r="K297" s="902" t="s">
        <v>2242</v>
      </c>
      <c r="L297" s="904">
        <v>666396.06999999995</v>
      </c>
      <c r="M297" s="904">
        <f>L297*1.21</f>
        <v>806339.24469999992</v>
      </c>
      <c r="N297" s="905">
        <v>43045</v>
      </c>
      <c r="O297" s="905"/>
      <c r="P297" s="905">
        <v>43045</v>
      </c>
      <c r="Q297" s="905">
        <v>43157</v>
      </c>
      <c r="R297" s="801"/>
    </row>
    <row r="298" spans="1:18" ht="15.75" customHeight="1" thickBot="1">
      <c r="A298" s="872" t="s">
        <v>2180</v>
      </c>
      <c r="B298" s="872" t="s">
        <v>69</v>
      </c>
      <c r="C298" s="872" t="s">
        <v>70</v>
      </c>
      <c r="D298" s="873" t="s">
        <v>2178</v>
      </c>
      <c r="E298" s="872" t="s">
        <v>2179</v>
      </c>
      <c r="F298" s="872"/>
      <c r="G298" s="875">
        <v>977760</v>
      </c>
      <c r="H298" s="872" t="s">
        <v>112</v>
      </c>
      <c r="I298" s="874">
        <v>43077</v>
      </c>
      <c r="J298" s="874">
        <v>43104</v>
      </c>
      <c r="K298" s="876" t="s">
        <v>242</v>
      </c>
      <c r="L298" s="875"/>
      <c r="M298" s="875"/>
      <c r="N298" s="872"/>
      <c r="O298" s="872"/>
      <c r="P298" s="872" t="s">
        <v>239</v>
      </c>
      <c r="Q298" s="872"/>
      <c r="R298" s="801"/>
    </row>
    <row r="299" spans="1:18" ht="15.75" customHeight="1" thickTop="1">
      <c r="A299" s="1091" t="s">
        <v>2181</v>
      </c>
      <c r="B299" s="1092" t="s">
        <v>69</v>
      </c>
      <c r="C299" s="1092" t="s">
        <v>70</v>
      </c>
      <c r="D299" s="1093" t="s">
        <v>2167</v>
      </c>
      <c r="E299" s="1092" t="s">
        <v>68</v>
      </c>
      <c r="F299" s="1092"/>
      <c r="G299" s="1094">
        <v>2854864.68</v>
      </c>
      <c r="H299" s="1092" t="s">
        <v>251</v>
      </c>
      <c r="I299" s="1095">
        <v>43017</v>
      </c>
      <c r="J299" s="1095">
        <v>43062</v>
      </c>
      <c r="K299" s="1092" t="s">
        <v>576</v>
      </c>
      <c r="L299" s="1094">
        <v>2854864.68</v>
      </c>
      <c r="M299" s="1094">
        <f>L299*1.1</f>
        <v>3140351.1480000005</v>
      </c>
      <c r="N299" s="1092"/>
      <c r="O299" s="1092"/>
      <c r="P299" s="1092"/>
      <c r="Q299" s="1119"/>
      <c r="R299" s="1083"/>
    </row>
    <row r="300" spans="1:18" ht="15" customHeight="1">
      <c r="A300" s="1098" t="s">
        <v>2181</v>
      </c>
      <c r="B300" s="869" t="s">
        <v>69</v>
      </c>
      <c r="C300" s="869" t="s">
        <v>70</v>
      </c>
      <c r="D300" s="856" t="s">
        <v>2168</v>
      </c>
      <c r="E300" s="869" t="s">
        <v>68</v>
      </c>
      <c r="F300" s="869"/>
      <c r="G300" s="871">
        <v>22808400</v>
      </c>
      <c r="H300" s="869" t="s">
        <v>251</v>
      </c>
      <c r="I300" s="870">
        <v>43017</v>
      </c>
      <c r="J300" s="870">
        <v>43062</v>
      </c>
      <c r="K300" s="869" t="s">
        <v>1233</v>
      </c>
      <c r="L300" s="871">
        <v>22780920</v>
      </c>
      <c r="M300" s="871">
        <f>L300*1.1</f>
        <v>25059012.000000004</v>
      </c>
      <c r="N300" s="869"/>
      <c r="O300" s="869"/>
      <c r="P300" s="869"/>
      <c r="Q300" s="1108"/>
      <c r="R300" s="1083"/>
    </row>
    <row r="301" spans="1:18" ht="15" customHeight="1">
      <c r="A301" s="999" t="s">
        <v>2181</v>
      </c>
      <c r="B301" s="872" t="s">
        <v>69</v>
      </c>
      <c r="C301" s="872" t="s">
        <v>70</v>
      </c>
      <c r="D301" s="873" t="s">
        <v>2170</v>
      </c>
      <c r="E301" s="872" t="s">
        <v>68</v>
      </c>
      <c r="F301" s="872"/>
      <c r="G301" s="875">
        <v>19808012.399999999</v>
      </c>
      <c r="H301" s="872" t="s">
        <v>251</v>
      </c>
      <c r="I301" s="874">
        <v>43017</v>
      </c>
      <c r="J301" s="874">
        <v>43062</v>
      </c>
      <c r="K301" s="876" t="s">
        <v>2192</v>
      </c>
      <c r="L301" s="875"/>
      <c r="M301" s="875"/>
      <c r="N301" s="872"/>
      <c r="O301" s="872"/>
      <c r="P301" s="874">
        <v>43097</v>
      </c>
      <c r="Q301" s="1000"/>
      <c r="R301" s="1083"/>
    </row>
    <row r="302" spans="1:18" ht="15" customHeight="1">
      <c r="A302" s="1098" t="s">
        <v>2181</v>
      </c>
      <c r="B302" s="869" t="s">
        <v>69</v>
      </c>
      <c r="C302" s="869" t="s">
        <v>70</v>
      </c>
      <c r="D302" s="856" t="s">
        <v>2169</v>
      </c>
      <c r="E302" s="869" t="s">
        <v>68</v>
      </c>
      <c r="F302" s="869"/>
      <c r="G302" s="871">
        <v>47998332</v>
      </c>
      <c r="H302" s="869" t="s">
        <v>251</v>
      </c>
      <c r="I302" s="870">
        <v>43017</v>
      </c>
      <c r="J302" s="870">
        <v>43062</v>
      </c>
      <c r="K302" s="869" t="s">
        <v>576</v>
      </c>
      <c r="L302" s="871">
        <v>48195114.479999997</v>
      </c>
      <c r="M302" s="871">
        <f>L302*1.1</f>
        <v>53014625.928000003</v>
      </c>
      <c r="N302" s="869"/>
      <c r="O302" s="869"/>
      <c r="P302" s="869"/>
      <c r="Q302" s="1108"/>
      <c r="R302" s="1083"/>
    </row>
    <row r="303" spans="1:18" ht="15" customHeight="1">
      <c r="A303" s="1098" t="s">
        <v>2181</v>
      </c>
      <c r="B303" s="869" t="s">
        <v>69</v>
      </c>
      <c r="C303" s="869" t="s">
        <v>70</v>
      </c>
      <c r="D303" s="856" t="s">
        <v>2171</v>
      </c>
      <c r="E303" s="869" t="s">
        <v>68</v>
      </c>
      <c r="F303" s="869"/>
      <c r="G303" s="871">
        <v>42201746.560000002</v>
      </c>
      <c r="H303" s="869" t="s">
        <v>251</v>
      </c>
      <c r="I303" s="870">
        <v>43017</v>
      </c>
      <c r="J303" s="870">
        <v>43062</v>
      </c>
      <c r="K303" s="869" t="s">
        <v>1646</v>
      </c>
      <c r="L303" s="871">
        <v>41814288</v>
      </c>
      <c r="M303" s="871">
        <f>L303*1.1</f>
        <v>45995716.800000004</v>
      </c>
      <c r="N303" s="869"/>
      <c r="O303" s="869"/>
      <c r="P303" s="869"/>
      <c r="Q303" s="1108"/>
      <c r="R303" s="1083"/>
    </row>
    <row r="304" spans="1:18" ht="15.75" customHeight="1" thickBot="1">
      <c r="A304" s="1099" t="s">
        <v>2181</v>
      </c>
      <c r="B304" s="1096" t="s">
        <v>69</v>
      </c>
      <c r="C304" s="1096" t="s">
        <v>70</v>
      </c>
      <c r="D304" s="1100" t="s">
        <v>2172</v>
      </c>
      <c r="E304" s="1096" t="s">
        <v>68</v>
      </c>
      <c r="F304" s="1096"/>
      <c r="G304" s="1097">
        <v>15420550.880000001</v>
      </c>
      <c r="H304" s="1096" t="s">
        <v>251</v>
      </c>
      <c r="I304" s="1101">
        <v>43017</v>
      </c>
      <c r="J304" s="1101">
        <v>43062</v>
      </c>
      <c r="K304" s="1096" t="s">
        <v>2405</v>
      </c>
      <c r="L304" s="1097">
        <v>15485324.960000001</v>
      </c>
      <c r="M304" s="1097">
        <v>17033858.199999999</v>
      </c>
      <c r="N304" s="1096"/>
      <c r="O304" s="1292"/>
      <c r="P304" s="1096"/>
      <c r="Q304" s="1123"/>
      <c r="R304" s="1083"/>
    </row>
    <row r="305" spans="1:21" ht="15.75" customHeight="1" thickTop="1">
      <c r="A305" s="989" t="s">
        <v>2182</v>
      </c>
      <c r="B305" s="985" t="s">
        <v>69</v>
      </c>
      <c r="C305" s="985" t="s">
        <v>70</v>
      </c>
      <c r="D305" s="939" t="s">
        <v>2174</v>
      </c>
      <c r="E305" s="985" t="s">
        <v>2173</v>
      </c>
      <c r="F305" s="985"/>
      <c r="G305" s="986">
        <v>2450711.06</v>
      </c>
      <c r="H305" s="985" t="s">
        <v>251</v>
      </c>
      <c r="I305" s="987">
        <v>42997</v>
      </c>
      <c r="J305" s="987">
        <v>43034</v>
      </c>
      <c r="K305" s="985" t="s">
        <v>576</v>
      </c>
      <c r="L305" s="986">
        <v>2428391.42</v>
      </c>
      <c r="M305" s="986">
        <f>L305*1.1</f>
        <v>2671230.5619999999</v>
      </c>
      <c r="N305" s="987">
        <v>43088</v>
      </c>
      <c r="O305" s="987">
        <v>43817</v>
      </c>
      <c r="P305" s="987">
        <v>43117</v>
      </c>
      <c r="Q305" s="1088">
        <v>43175</v>
      </c>
      <c r="R305" s="1500">
        <v>43550</v>
      </c>
      <c r="S305" s="1319">
        <v>43914</v>
      </c>
    </row>
    <row r="306" spans="1:21" ht="15" customHeight="1">
      <c r="A306" s="1098" t="s">
        <v>2182</v>
      </c>
      <c r="B306" s="869" t="s">
        <v>69</v>
      </c>
      <c r="C306" s="869" t="s">
        <v>70</v>
      </c>
      <c r="D306" s="856" t="s">
        <v>2176</v>
      </c>
      <c r="E306" s="869" t="s">
        <v>2173</v>
      </c>
      <c r="F306" s="869"/>
      <c r="G306" s="871">
        <v>998754.74239839998</v>
      </c>
      <c r="H306" s="869" t="s">
        <v>251</v>
      </c>
      <c r="I306" s="870">
        <v>42997</v>
      </c>
      <c r="J306" s="870">
        <v>43034</v>
      </c>
      <c r="K306" s="869" t="s">
        <v>2333</v>
      </c>
      <c r="L306" s="871">
        <v>998719</v>
      </c>
      <c r="M306" s="871">
        <f>L306*1.1</f>
        <v>1098590.9000000001</v>
      </c>
      <c r="N306" s="869"/>
      <c r="O306" s="869"/>
      <c r="P306" s="869"/>
      <c r="Q306" s="1108"/>
      <c r="R306" s="1083"/>
    </row>
    <row r="307" spans="1:21" ht="15" customHeight="1">
      <c r="A307" s="1014" t="s">
        <v>2182</v>
      </c>
      <c r="B307" s="902" t="s">
        <v>69</v>
      </c>
      <c r="C307" s="902" t="s">
        <v>70</v>
      </c>
      <c r="D307" s="903" t="s">
        <v>2175</v>
      </c>
      <c r="E307" s="902" t="s">
        <v>2173</v>
      </c>
      <c r="F307" s="902"/>
      <c r="G307" s="904">
        <v>29114032.180000003</v>
      </c>
      <c r="H307" s="902" t="s">
        <v>251</v>
      </c>
      <c r="I307" s="905">
        <v>42997</v>
      </c>
      <c r="J307" s="905">
        <v>43034</v>
      </c>
      <c r="K307" s="902" t="s">
        <v>1233</v>
      </c>
      <c r="L307" s="904">
        <v>29114032.18</v>
      </c>
      <c r="M307" s="904">
        <f>L307*1.1</f>
        <v>32025435.398000002</v>
      </c>
      <c r="N307" s="905">
        <v>43088</v>
      </c>
      <c r="O307" s="905">
        <v>43817</v>
      </c>
      <c r="P307" s="905">
        <v>43117</v>
      </c>
      <c r="Q307" s="1089">
        <v>43175</v>
      </c>
      <c r="R307" s="1500">
        <v>43550</v>
      </c>
      <c r="S307" s="1319">
        <v>43914</v>
      </c>
    </row>
    <row r="308" spans="1:21" ht="15.75" customHeight="1" thickBot="1">
      <c r="A308" s="888" t="s">
        <v>2182</v>
      </c>
      <c r="B308" s="889" t="s">
        <v>69</v>
      </c>
      <c r="C308" s="889" t="s">
        <v>70</v>
      </c>
      <c r="D308" s="890" t="s">
        <v>2177</v>
      </c>
      <c r="E308" s="889" t="s">
        <v>2173</v>
      </c>
      <c r="F308" s="889"/>
      <c r="G308" s="891">
        <v>1297495.2862</v>
      </c>
      <c r="H308" s="889" t="s">
        <v>251</v>
      </c>
      <c r="I308" s="892">
        <v>42997</v>
      </c>
      <c r="J308" s="892">
        <v>43034</v>
      </c>
      <c r="K308" s="895" t="s">
        <v>242</v>
      </c>
      <c r="L308" s="891"/>
      <c r="M308" s="891"/>
      <c r="N308" s="889"/>
      <c r="O308" s="1282"/>
      <c r="P308" s="892">
        <v>43047</v>
      </c>
      <c r="Q308" s="893"/>
      <c r="R308" s="1083"/>
    </row>
    <row r="309" spans="1:21" s="1103" customFormat="1" ht="15.75" customHeight="1" thickTop="1">
      <c r="A309" s="1139" t="s">
        <v>2187</v>
      </c>
      <c r="B309" s="985" t="s">
        <v>58</v>
      </c>
      <c r="C309" s="985" t="s">
        <v>57</v>
      </c>
      <c r="D309" s="939" t="s">
        <v>2280</v>
      </c>
      <c r="E309" s="985" t="s">
        <v>86</v>
      </c>
      <c r="F309" s="985" t="s">
        <v>2188</v>
      </c>
      <c r="G309" s="986">
        <v>1240000</v>
      </c>
      <c r="H309" s="985" t="s">
        <v>112</v>
      </c>
      <c r="I309" s="987">
        <v>43010</v>
      </c>
      <c r="J309" s="987">
        <v>43021</v>
      </c>
      <c r="K309" s="985" t="s">
        <v>383</v>
      </c>
      <c r="L309" s="986">
        <v>1150800</v>
      </c>
      <c r="M309" s="986">
        <f>L309*1.21</f>
        <v>1392468</v>
      </c>
      <c r="N309" s="987">
        <v>43054</v>
      </c>
      <c r="O309" s="987">
        <v>43887</v>
      </c>
      <c r="P309" s="987">
        <v>43054</v>
      </c>
      <c r="Q309" s="1261">
        <v>43185</v>
      </c>
      <c r="R309" s="1208" t="s">
        <v>1875</v>
      </c>
      <c r="S309" s="802"/>
    </row>
    <row r="310" spans="1:21" s="1128" customFormat="1" ht="15" customHeight="1">
      <c r="A310" s="1169" t="s">
        <v>2187</v>
      </c>
      <c r="B310" s="991" t="s">
        <v>58</v>
      </c>
      <c r="C310" s="991" t="s">
        <v>57</v>
      </c>
      <c r="D310" s="567" t="s">
        <v>2281</v>
      </c>
      <c r="E310" s="991" t="s">
        <v>86</v>
      </c>
      <c r="F310" s="991"/>
      <c r="G310" s="992"/>
      <c r="H310" s="991" t="s">
        <v>112</v>
      </c>
      <c r="I310" s="993">
        <v>43010</v>
      </c>
      <c r="J310" s="993">
        <v>43021</v>
      </c>
      <c r="K310" s="991" t="s">
        <v>1652</v>
      </c>
      <c r="L310" s="992">
        <v>125030</v>
      </c>
      <c r="M310" s="992">
        <f>L310*1.21</f>
        <v>151286.29999999999</v>
      </c>
      <c r="N310" s="993">
        <v>43070</v>
      </c>
      <c r="O310" s="993">
        <v>43887</v>
      </c>
      <c r="P310" s="993">
        <v>43074</v>
      </c>
      <c r="Q310" s="1248">
        <v>43150</v>
      </c>
      <c r="R310" s="1208" t="s">
        <v>1875</v>
      </c>
      <c r="S310" s="802"/>
    </row>
    <row r="311" spans="1:21" ht="15" customHeight="1">
      <c r="A311" s="991" t="s">
        <v>2186</v>
      </c>
      <c r="B311" s="991" t="s">
        <v>1764</v>
      </c>
      <c r="C311" s="991" t="s">
        <v>361</v>
      </c>
      <c r="D311" s="567" t="s">
        <v>2223</v>
      </c>
      <c r="E311" s="991" t="s">
        <v>1765</v>
      </c>
      <c r="F311" s="991"/>
      <c r="G311" s="992">
        <v>250000</v>
      </c>
      <c r="H311" s="991" t="s">
        <v>112</v>
      </c>
      <c r="I311" s="993">
        <v>42993</v>
      </c>
      <c r="J311" s="993">
        <v>43000</v>
      </c>
      <c r="K311" s="991" t="s">
        <v>342</v>
      </c>
      <c r="L311" s="992">
        <v>227823</v>
      </c>
      <c r="M311" s="992">
        <f>L311*1.21</f>
        <v>275665.83</v>
      </c>
      <c r="N311" s="993">
        <v>43007</v>
      </c>
      <c r="O311" s="993">
        <v>43887</v>
      </c>
      <c r="P311" s="991" t="s">
        <v>239</v>
      </c>
      <c r="Q311" s="991" t="s">
        <v>239</v>
      </c>
      <c r="R311" s="801"/>
    </row>
    <row r="312" spans="1:21" s="1121" customFormat="1" ht="15" customHeight="1">
      <c r="A312" s="991" t="s">
        <v>2186</v>
      </c>
      <c r="B312" s="991" t="s">
        <v>1764</v>
      </c>
      <c r="C312" s="991" t="s">
        <v>361</v>
      </c>
      <c r="D312" s="567" t="s">
        <v>2224</v>
      </c>
      <c r="E312" s="991" t="s">
        <v>1765</v>
      </c>
      <c r="F312" s="991"/>
      <c r="G312" s="992">
        <v>120000</v>
      </c>
      <c r="H312" s="991" t="s">
        <v>112</v>
      </c>
      <c r="I312" s="993">
        <v>42993</v>
      </c>
      <c r="J312" s="993">
        <v>43000</v>
      </c>
      <c r="K312" s="991" t="s">
        <v>342</v>
      </c>
      <c r="L312" s="992">
        <v>70671</v>
      </c>
      <c r="M312" s="992">
        <f>L312*1.21</f>
        <v>85511.91</v>
      </c>
      <c r="N312" s="993">
        <v>43007</v>
      </c>
      <c r="O312" s="993">
        <v>43887</v>
      </c>
      <c r="P312" s="991" t="s">
        <v>239</v>
      </c>
      <c r="Q312" s="991" t="s">
        <v>239</v>
      </c>
      <c r="R312" s="801"/>
      <c r="S312" s="802"/>
    </row>
    <row r="313" spans="1:21" ht="15" customHeight="1">
      <c r="A313" s="869" t="s">
        <v>2189</v>
      </c>
      <c r="B313" s="869" t="s">
        <v>289</v>
      </c>
      <c r="C313" s="869" t="s">
        <v>291</v>
      </c>
      <c r="D313" s="856" t="s">
        <v>2388</v>
      </c>
      <c r="E313" s="1147" t="s">
        <v>2190</v>
      </c>
      <c r="F313" s="869"/>
      <c r="G313" s="871">
        <v>2700000</v>
      </c>
      <c r="H313" s="869" t="s">
        <v>251</v>
      </c>
      <c r="I313" s="870">
        <v>43019</v>
      </c>
      <c r="J313" s="870">
        <v>43060</v>
      </c>
      <c r="K313" s="869" t="s">
        <v>2403</v>
      </c>
      <c r="L313" s="3449" t="s">
        <v>2404</v>
      </c>
      <c r="M313" s="3450"/>
      <c r="N313" s="869"/>
      <c r="O313" s="869"/>
      <c r="P313" s="869"/>
      <c r="Q313" s="869"/>
      <c r="R313" s="801"/>
    </row>
    <row r="314" spans="1:21" s="1140" customFormat="1" ht="15" customHeight="1">
      <c r="A314" s="869" t="s">
        <v>2189</v>
      </c>
      <c r="B314" s="869" t="s">
        <v>289</v>
      </c>
      <c r="C314" s="869" t="s">
        <v>291</v>
      </c>
      <c r="D314" s="856" t="s">
        <v>2389</v>
      </c>
      <c r="E314" s="1147" t="s">
        <v>2190</v>
      </c>
      <c r="F314" s="869"/>
      <c r="G314" s="871">
        <v>1150000</v>
      </c>
      <c r="H314" s="869" t="s">
        <v>251</v>
      </c>
      <c r="I314" s="870">
        <v>43019</v>
      </c>
      <c r="J314" s="870">
        <v>43060</v>
      </c>
      <c r="K314" s="869" t="s">
        <v>665</v>
      </c>
      <c r="L314" s="3449" t="s">
        <v>2404</v>
      </c>
      <c r="M314" s="3450"/>
      <c r="N314" s="869"/>
      <c r="O314" s="869"/>
      <c r="P314" s="869"/>
      <c r="Q314" s="869"/>
      <c r="R314" s="801"/>
      <c r="S314" s="802"/>
    </row>
    <row r="315" spans="1:21" s="1140" customFormat="1" ht="15" customHeight="1">
      <c r="A315" s="869" t="s">
        <v>2189</v>
      </c>
      <c r="B315" s="869" t="s">
        <v>289</v>
      </c>
      <c r="C315" s="869" t="s">
        <v>291</v>
      </c>
      <c r="D315" s="856" t="s">
        <v>2390</v>
      </c>
      <c r="E315" s="1147" t="s">
        <v>2190</v>
      </c>
      <c r="F315" s="869"/>
      <c r="G315" s="871">
        <v>150000</v>
      </c>
      <c r="H315" s="869" t="s">
        <v>251</v>
      </c>
      <c r="I315" s="870">
        <v>43019</v>
      </c>
      <c r="J315" s="870">
        <v>43060</v>
      </c>
      <c r="K315" s="869" t="s">
        <v>2403</v>
      </c>
      <c r="L315" s="3449" t="s">
        <v>2404</v>
      </c>
      <c r="M315" s="3450"/>
      <c r="N315" s="869"/>
      <c r="O315" s="869"/>
      <c r="P315" s="869"/>
      <c r="Q315" s="869"/>
      <c r="R315" s="801"/>
      <c r="S315" s="802"/>
    </row>
    <row r="316" spans="1:21" ht="15" customHeight="1">
      <c r="A316" s="902" t="s">
        <v>2196</v>
      </c>
      <c r="B316" s="902" t="s">
        <v>166</v>
      </c>
      <c r="C316" s="902" t="s">
        <v>167</v>
      </c>
      <c r="D316" s="903" t="s">
        <v>2197</v>
      </c>
      <c r="E316" s="902" t="s">
        <v>1676</v>
      </c>
      <c r="F316" s="902" t="s">
        <v>2198</v>
      </c>
      <c r="G316" s="904">
        <v>420000</v>
      </c>
      <c r="H316" s="902" t="s">
        <v>112</v>
      </c>
      <c r="I316" s="905">
        <v>43000</v>
      </c>
      <c r="J316" s="905">
        <v>43011</v>
      </c>
      <c r="K316" s="902" t="s">
        <v>2242</v>
      </c>
      <c r="L316" s="904">
        <v>509700</v>
      </c>
      <c r="M316" s="904">
        <f>L316*1.21</f>
        <v>616737</v>
      </c>
      <c r="N316" s="905">
        <v>43045</v>
      </c>
      <c r="O316" s="905"/>
      <c r="P316" s="905">
        <v>43045</v>
      </c>
      <c r="Q316" s="905">
        <v>43150</v>
      </c>
      <c r="R316" s="801"/>
    </row>
    <row r="317" spans="1:21" ht="15" customHeight="1">
      <c r="A317" s="872" t="s">
        <v>2199</v>
      </c>
      <c r="B317" s="872" t="s">
        <v>166</v>
      </c>
      <c r="C317" s="872" t="s">
        <v>167</v>
      </c>
      <c r="D317" s="873" t="s">
        <v>2200</v>
      </c>
      <c r="E317" s="872" t="s">
        <v>2201</v>
      </c>
      <c r="F317" s="872" t="s">
        <v>2202</v>
      </c>
      <c r="G317" s="875">
        <v>290000</v>
      </c>
      <c r="H317" s="872" t="s">
        <v>112</v>
      </c>
      <c r="I317" s="874">
        <v>43000</v>
      </c>
      <c r="J317" s="874">
        <v>43011</v>
      </c>
      <c r="K317" s="876" t="s">
        <v>2192</v>
      </c>
      <c r="L317" s="875"/>
      <c r="M317" s="875"/>
      <c r="N317" s="872"/>
      <c r="O317" s="872"/>
      <c r="P317" s="872" t="s">
        <v>239</v>
      </c>
      <c r="Q317" s="872" t="s">
        <v>239</v>
      </c>
      <c r="R317" s="801"/>
    </row>
    <row r="318" spans="1:21">
      <c r="A318" s="902" t="s">
        <v>2203</v>
      </c>
      <c r="B318" s="902" t="s">
        <v>14</v>
      </c>
      <c r="C318" s="902" t="s">
        <v>871</v>
      </c>
      <c r="D318" s="903" t="s">
        <v>2204</v>
      </c>
      <c r="E318" s="902" t="s">
        <v>873</v>
      </c>
      <c r="F318" s="902"/>
      <c r="G318" s="1129">
        <v>1990000</v>
      </c>
      <c r="H318" s="904" t="s">
        <v>112</v>
      </c>
      <c r="I318" s="905">
        <v>43000</v>
      </c>
      <c r="J318" s="905">
        <v>43011</v>
      </c>
      <c r="K318" s="902" t="s">
        <v>2241</v>
      </c>
      <c r="L318" s="904">
        <v>1880000</v>
      </c>
      <c r="M318" s="904">
        <f>L318*1.21</f>
        <v>2274800</v>
      </c>
      <c r="N318" s="905">
        <v>43018</v>
      </c>
      <c r="O318" s="905"/>
      <c r="P318" s="905">
        <v>43026</v>
      </c>
      <c r="Q318" s="905">
        <v>43552</v>
      </c>
      <c r="R318" s="801"/>
    </row>
    <row r="319" spans="1:21" ht="15" customHeight="1">
      <c r="A319" s="902" t="s">
        <v>2205</v>
      </c>
      <c r="B319" s="902" t="s">
        <v>58</v>
      </c>
      <c r="C319" s="902" t="s">
        <v>57</v>
      </c>
      <c r="D319" s="903" t="s">
        <v>2206</v>
      </c>
      <c r="E319" s="902" t="s">
        <v>899</v>
      </c>
      <c r="F319" s="902"/>
      <c r="G319" s="904">
        <v>42880000</v>
      </c>
      <c r="H319" s="902" t="s">
        <v>251</v>
      </c>
      <c r="I319" s="905">
        <v>43003</v>
      </c>
      <c r="J319" s="905">
        <v>43049</v>
      </c>
      <c r="K319" s="902" t="s">
        <v>1860</v>
      </c>
      <c r="L319" s="904">
        <v>35749398.539999999</v>
      </c>
      <c r="M319" s="904">
        <f>L319*1.21</f>
        <v>43256772.233399995</v>
      </c>
      <c r="N319" s="905">
        <v>43080</v>
      </c>
      <c r="O319" s="905"/>
      <c r="P319" s="905">
        <v>43081</v>
      </c>
      <c r="Q319" s="905">
        <v>43552</v>
      </c>
      <c r="R319" s="1127">
        <v>44865</v>
      </c>
      <c r="S319" s="1080"/>
      <c r="T319" s="1016"/>
      <c r="U319" s="1016"/>
    </row>
    <row r="320" spans="1:21" ht="15" customHeight="1">
      <c r="A320" s="902" t="s">
        <v>2210</v>
      </c>
      <c r="B320" s="902" t="s">
        <v>2111</v>
      </c>
      <c r="C320" s="902" t="s">
        <v>1215</v>
      </c>
      <c r="D320" s="903" t="s">
        <v>2211</v>
      </c>
      <c r="E320" s="902" t="s">
        <v>2113</v>
      </c>
      <c r="F320" s="902"/>
      <c r="G320" s="904">
        <v>400000</v>
      </c>
      <c r="H320" s="902" t="s">
        <v>216</v>
      </c>
      <c r="I320" s="905">
        <v>43004</v>
      </c>
      <c r="J320" s="905">
        <v>43024</v>
      </c>
      <c r="K320" s="902" t="s">
        <v>2283</v>
      </c>
      <c r="L320" s="904">
        <v>298968</v>
      </c>
      <c r="M320" s="904">
        <v>361751.28</v>
      </c>
      <c r="N320" s="905">
        <v>43067</v>
      </c>
      <c r="O320" s="905"/>
      <c r="P320" s="905">
        <v>43067</v>
      </c>
      <c r="Q320" s="905">
        <v>43341</v>
      </c>
      <c r="R320" s="801"/>
    </row>
    <row r="321" spans="1:19" ht="15.75" customHeight="1" thickBot="1">
      <c r="A321" s="913" t="s">
        <v>2215</v>
      </c>
      <c r="B321" s="913" t="s">
        <v>1032</v>
      </c>
      <c r="C321" s="913" t="s">
        <v>1033</v>
      </c>
      <c r="D321" s="914" t="s">
        <v>2212</v>
      </c>
      <c r="E321" s="913" t="s">
        <v>2214</v>
      </c>
      <c r="F321" s="913" t="s">
        <v>2213</v>
      </c>
      <c r="G321" s="915">
        <v>500000</v>
      </c>
      <c r="H321" s="913" t="s">
        <v>112</v>
      </c>
      <c r="I321" s="916">
        <v>43005</v>
      </c>
      <c r="J321" s="916">
        <v>43018</v>
      </c>
      <c r="K321" s="913" t="s">
        <v>2225</v>
      </c>
      <c r="L321" s="915">
        <v>564260</v>
      </c>
      <c r="M321" s="915">
        <f>L321*1.21</f>
        <v>682754.6</v>
      </c>
      <c r="N321" s="916">
        <v>43054</v>
      </c>
      <c r="O321" s="916"/>
      <c r="P321" s="916">
        <v>43055</v>
      </c>
      <c r="Q321" s="916">
        <v>43360</v>
      </c>
      <c r="R321" s="801"/>
    </row>
    <row r="322" spans="1:19" ht="15.75" customHeight="1" thickTop="1">
      <c r="A322" s="989" t="s">
        <v>2216</v>
      </c>
      <c r="B322" s="985" t="s">
        <v>69</v>
      </c>
      <c r="C322" s="985" t="s">
        <v>70</v>
      </c>
      <c r="D322" s="939" t="s">
        <v>2207</v>
      </c>
      <c r="E322" s="985" t="s">
        <v>93</v>
      </c>
      <c r="F322" s="985"/>
      <c r="G322" s="986">
        <v>62306843.039999999</v>
      </c>
      <c r="H322" s="985" t="s">
        <v>251</v>
      </c>
      <c r="I322" s="987">
        <v>43005</v>
      </c>
      <c r="J322" s="987">
        <v>43042</v>
      </c>
      <c r="K322" s="1182" t="s">
        <v>2334</v>
      </c>
      <c r="L322" s="986">
        <v>62306843.039999999</v>
      </c>
      <c r="M322" s="986">
        <f>L322*1.1</f>
        <v>68537527.344000012</v>
      </c>
      <c r="N322" s="987">
        <v>43088</v>
      </c>
      <c r="O322" s="987">
        <v>43817</v>
      </c>
      <c r="P322" s="987">
        <v>43089</v>
      </c>
      <c r="Q322" s="988" t="s">
        <v>2738</v>
      </c>
      <c r="R322" s="1500">
        <v>43550</v>
      </c>
      <c r="S322" s="1319">
        <v>43914</v>
      </c>
    </row>
    <row r="323" spans="1:19" ht="15" customHeight="1">
      <c r="A323" s="1014" t="s">
        <v>2216</v>
      </c>
      <c r="B323" s="902" t="s">
        <v>69</v>
      </c>
      <c r="C323" s="902" t="s">
        <v>70</v>
      </c>
      <c r="D323" s="903" t="s">
        <v>2208</v>
      </c>
      <c r="E323" s="902" t="s">
        <v>93</v>
      </c>
      <c r="F323" s="902"/>
      <c r="G323" s="904">
        <v>6082017.4000000004</v>
      </c>
      <c r="H323" s="902" t="s">
        <v>251</v>
      </c>
      <c r="I323" s="905">
        <v>43005</v>
      </c>
      <c r="J323" s="905">
        <v>43042</v>
      </c>
      <c r="K323" s="902" t="s">
        <v>1233</v>
      </c>
      <c r="L323" s="904">
        <v>605196.69999999995</v>
      </c>
      <c r="M323" s="904">
        <f>L323*1.1</f>
        <v>665716.37</v>
      </c>
      <c r="N323" s="905">
        <v>43088</v>
      </c>
      <c r="O323" s="905">
        <v>43817</v>
      </c>
      <c r="P323" s="905">
        <v>43089</v>
      </c>
      <c r="Q323" s="1260" t="s">
        <v>2738</v>
      </c>
      <c r="R323" s="1500">
        <v>43550</v>
      </c>
      <c r="S323" s="1319">
        <v>43914</v>
      </c>
    </row>
    <row r="324" spans="1:19" ht="15.75" customHeight="1" thickBot="1">
      <c r="A324" s="888" t="s">
        <v>2216</v>
      </c>
      <c r="B324" s="889" t="s">
        <v>69</v>
      </c>
      <c r="C324" s="889" t="s">
        <v>70</v>
      </c>
      <c r="D324" s="890" t="s">
        <v>2209</v>
      </c>
      <c r="E324" s="889" t="s">
        <v>93</v>
      </c>
      <c r="F324" s="889"/>
      <c r="G324" s="891">
        <v>1622552.64</v>
      </c>
      <c r="H324" s="889" t="s">
        <v>251</v>
      </c>
      <c r="I324" s="892">
        <v>43005</v>
      </c>
      <c r="J324" s="892">
        <v>43042</v>
      </c>
      <c r="K324" s="895" t="s">
        <v>242</v>
      </c>
      <c r="L324" s="891"/>
      <c r="M324" s="891"/>
      <c r="N324" s="889"/>
      <c r="O324" s="1282"/>
      <c r="P324" s="892">
        <v>43047</v>
      </c>
      <c r="Q324" s="893"/>
      <c r="R324" s="1083"/>
    </row>
    <row r="325" spans="1:19" ht="15.75" customHeight="1" thickTop="1">
      <c r="A325" s="991" t="s">
        <v>2217</v>
      </c>
      <c r="B325" s="991" t="s">
        <v>14</v>
      </c>
      <c r="C325" s="991" t="s">
        <v>13</v>
      </c>
      <c r="D325" s="567" t="s">
        <v>2218</v>
      </c>
      <c r="E325" s="991" t="s">
        <v>563</v>
      </c>
      <c r="F325" s="991" t="s">
        <v>2219</v>
      </c>
      <c r="G325" s="992">
        <v>3674000</v>
      </c>
      <c r="H325" s="991" t="s">
        <v>216</v>
      </c>
      <c r="I325" s="993">
        <v>43010</v>
      </c>
      <c r="J325" s="993">
        <v>43027</v>
      </c>
      <c r="K325" s="991" t="s">
        <v>1074</v>
      </c>
      <c r="L325" s="992">
        <v>3597858</v>
      </c>
      <c r="M325" s="992">
        <v>4353408.18</v>
      </c>
      <c r="N325" s="993">
        <v>43049</v>
      </c>
      <c r="O325" s="993"/>
      <c r="P325" s="993">
        <v>43049</v>
      </c>
      <c r="Q325" s="993">
        <v>43157</v>
      </c>
      <c r="R325" s="801"/>
    </row>
    <row r="326" spans="1:19" ht="15" customHeight="1">
      <c r="A326" s="902" t="s">
        <v>2222</v>
      </c>
      <c r="B326" s="902" t="s">
        <v>58</v>
      </c>
      <c r="C326" s="902" t="s">
        <v>57</v>
      </c>
      <c r="D326" s="903" t="s">
        <v>2220</v>
      </c>
      <c r="E326" s="902" t="s">
        <v>2221</v>
      </c>
      <c r="F326" s="902"/>
      <c r="G326" s="904">
        <v>1400000</v>
      </c>
      <c r="H326" s="902" t="s">
        <v>112</v>
      </c>
      <c r="I326" s="905">
        <v>43005</v>
      </c>
      <c r="J326" s="905">
        <v>43014</v>
      </c>
      <c r="K326" s="902" t="s">
        <v>2284</v>
      </c>
      <c r="L326" s="904">
        <v>985500</v>
      </c>
      <c r="M326" s="904">
        <f>L326*1.21</f>
        <v>1192455</v>
      </c>
      <c r="N326" s="905">
        <v>43045</v>
      </c>
      <c r="O326" s="905"/>
      <c r="P326" s="905">
        <v>43045</v>
      </c>
      <c r="Q326" s="905">
        <v>43528</v>
      </c>
      <c r="R326" s="801"/>
    </row>
    <row r="327" spans="1:19" ht="15" customHeight="1">
      <c r="A327" s="902" t="s">
        <v>2231</v>
      </c>
      <c r="B327" s="902" t="s">
        <v>166</v>
      </c>
      <c r="C327" s="902" t="s">
        <v>167</v>
      </c>
      <c r="D327" s="409" t="s">
        <v>2262</v>
      </c>
      <c r="E327" s="902" t="s">
        <v>1676</v>
      </c>
      <c r="F327" s="902" t="s">
        <v>2230</v>
      </c>
      <c r="G327" s="904">
        <v>1500000</v>
      </c>
      <c r="H327" s="902" t="s">
        <v>112</v>
      </c>
      <c r="I327" s="905">
        <v>43005</v>
      </c>
      <c r="J327" s="905">
        <v>43018</v>
      </c>
      <c r="K327" s="902" t="s">
        <v>2032</v>
      </c>
      <c r="L327" s="904">
        <v>1458414.38</v>
      </c>
      <c r="M327" s="904">
        <f>L327*1.21</f>
        <v>1764681.3997999998</v>
      </c>
      <c r="N327" s="905">
        <v>43054</v>
      </c>
      <c r="O327" s="905"/>
      <c r="P327" s="905">
        <v>43055</v>
      </c>
      <c r="Q327" s="905">
        <v>43528</v>
      </c>
      <c r="R327" s="801"/>
    </row>
    <row r="328" spans="1:19" ht="15" customHeight="1">
      <c r="A328" s="902" t="s">
        <v>2232</v>
      </c>
      <c r="B328" s="902" t="s">
        <v>166</v>
      </c>
      <c r="C328" s="902" t="s">
        <v>167</v>
      </c>
      <c r="D328" s="903" t="s">
        <v>2227</v>
      </c>
      <c r="E328" s="902" t="s">
        <v>2229</v>
      </c>
      <c r="F328" s="902"/>
      <c r="G328" s="904">
        <v>1300000</v>
      </c>
      <c r="H328" s="902" t="s">
        <v>112</v>
      </c>
      <c r="I328" s="905">
        <v>43010</v>
      </c>
      <c r="J328" s="905">
        <v>43018</v>
      </c>
      <c r="K328" s="902" t="s">
        <v>2261</v>
      </c>
      <c r="L328" s="904">
        <v>689401</v>
      </c>
      <c r="M328" s="904">
        <f>L328*1.21</f>
        <v>834175.21</v>
      </c>
      <c r="N328" s="905">
        <v>43053</v>
      </c>
      <c r="O328" s="905"/>
      <c r="P328" s="905">
        <v>43053</v>
      </c>
      <c r="Q328" s="905">
        <v>43528</v>
      </c>
      <c r="R328" s="801"/>
    </row>
    <row r="329" spans="1:19" ht="15" customHeight="1">
      <c r="A329" s="872" t="s">
        <v>2233</v>
      </c>
      <c r="B329" s="872" t="s">
        <v>166</v>
      </c>
      <c r="C329" s="872" t="s">
        <v>167</v>
      </c>
      <c r="D329" s="873" t="s">
        <v>2228</v>
      </c>
      <c r="E329" s="872" t="s">
        <v>1676</v>
      </c>
      <c r="F329" s="872"/>
      <c r="G329" s="875">
        <v>330000</v>
      </c>
      <c r="H329" s="872" t="s">
        <v>112</v>
      </c>
      <c r="I329" s="874">
        <v>43005</v>
      </c>
      <c r="J329" s="874">
        <v>43018</v>
      </c>
      <c r="K329" s="876" t="s">
        <v>242</v>
      </c>
      <c r="L329" s="875"/>
      <c r="M329" s="875"/>
      <c r="N329" s="872"/>
      <c r="O329" s="872"/>
      <c r="P329" s="872" t="s">
        <v>239</v>
      </c>
      <c r="Q329" s="872"/>
      <c r="R329" s="801"/>
    </row>
    <row r="330" spans="1:19" ht="15" customHeight="1">
      <c r="A330" s="872" t="s">
        <v>2236</v>
      </c>
      <c r="B330" s="872" t="s">
        <v>1577</v>
      </c>
      <c r="C330" s="872" t="s">
        <v>1578</v>
      </c>
      <c r="D330" s="873" t="s">
        <v>2237</v>
      </c>
      <c r="E330" s="872" t="s">
        <v>2238</v>
      </c>
      <c r="F330" s="872" t="s">
        <v>2239</v>
      </c>
      <c r="G330" s="875">
        <v>1325000</v>
      </c>
      <c r="H330" s="872" t="s">
        <v>112</v>
      </c>
      <c r="I330" s="874">
        <v>43047</v>
      </c>
      <c r="J330" s="874">
        <v>43055</v>
      </c>
      <c r="K330" s="876" t="s">
        <v>242</v>
      </c>
      <c r="L330" s="875"/>
      <c r="M330" s="875"/>
      <c r="N330" s="872"/>
      <c r="O330" s="872"/>
      <c r="P330" s="872" t="s">
        <v>239</v>
      </c>
      <c r="Q330" s="872" t="s">
        <v>239</v>
      </c>
      <c r="R330" s="801"/>
    </row>
    <row r="331" spans="1:19" ht="15" customHeight="1">
      <c r="A331" s="902" t="s">
        <v>2243</v>
      </c>
      <c r="B331" s="902" t="s">
        <v>58</v>
      </c>
      <c r="C331" s="902" t="s">
        <v>57</v>
      </c>
      <c r="D331" s="903" t="s">
        <v>2244</v>
      </c>
      <c r="E331" s="902" t="s">
        <v>780</v>
      </c>
      <c r="F331" s="902" t="s">
        <v>2247</v>
      </c>
      <c r="G331" s="904">
        <v>455000</v>
      </c>
      <c r="H331" s="902" t="s">
        <v>112</v>
      </c>
      <c r="I331" s="905">
        <v>43013</v>
      </c>
      <c r="J331" s="905">
        <v>43025</v>
      </c>
      <c r="K331" s="902" t="s">
        <v>1075</v>
      </c>
      <c r="L331" s="904">
        <v>493750</v>
      </c>
      <c r="M331" s="904">
        <v>597437.5</v>
      </c>
      <c r="N331" s="905">
        <v>43075</v>
      </c>
      <c r="O331" s="905"/>
      <c r="P331" s="902" t="s">
        <v>239</v>
      </c>
      <c r="Q331" s="902" t="s">
        <v>239</v>
      </c>
      <c r="R331" s="801"/>
    </row>
    <row r="332" spans="1:19" ht="15" customHeight="1">
      <c r="A332" s="869" t="s">
        <v>2245</v>
      </c>
      <c r="B332" s="869" t="s">
        <v>69</v>
      </c>
      <c r="C332" s="869" t="s">
        <v>70</v>
      </c>
      <c r="D332" s="856" t="s">
        <v>2246</v>
      </c>
      <c r="E332" s="869" t="s">
        <v>1616</v>
      </c>
      <c r="F332" s="869"/>
      <c r="G332" s="871">
        <v>8700000</v>
      </c>
      <c r="H332" s="869" t="s">
        <v>251</v>
      </c>
      <c r="I332" s="870">
        <v>43028</v>
      </c>
      <c r="J332" s="870">
        <v>43069</v>
      </c>
      <c r="K332" s="869" t="s">
        <v>2097</v>
      </c>
      <c r="L332" s="871">
        <v>8612882</v>
      </c>
      <c r="M332" s="871">
        <v>10421587.220000001</v>
      </c>
      <c r="N332" s="869"/>
      <c r="O332" s="869"/>
      <c r="P332" s="869"/>
      <c r="Q332" s="869"/>
      <c r="R332" s="801"/>
    </row>
    <row r="333" spans="1:19" ht="15" customHeight="1">
      <c r="A333" s="902" t="s">
        <v>2249</v>
      </c>
      <c r="B333" s="902" t="s">
        <v>2250</v>
      </c>
      <c r="C333" s="902" t="s">
        <v>1416</v>
      </c>
      <c r="D333" s="903" t="s">
        <v>2248</v>
      </c>
      <c r="E333" s="902" t="s">
        <v>1422</v>
      </c>
      <c r="F333" s="902"/>
      <c r="G333" s="904">
        <v>400000</v>
      </c>
      <c r="H333" s="902" t="s">
        <v>112</v>
      </c>
      <c r="I333" s="905">
        <v>43021</v>
      </c>
      <c r="J333" s="905">
        <v>43028</v>
      </c>
      <c r="K333" s="902" t="s">
        <v>2319</v>
      </c>
      <c r="L333" s="904">
        <v>325945.5</v>
      </c>
      <c r="M333" s="904">
        <v>379200</v>
      </c>
      <c r="N333" s="905">
        <v>43068</v>
      </c>
      <c r="O333" s="905"/>
      <c r="P333" s="902" t="s">
        <v>239</v>
      </c>
      <c r="Q333" s="902" t="s">
        <v>239</v>
      </c>
      <c r="R333" s="801"/>
    </row>
    <row r="334" spans="1:19" ht="15" customHeight="1">
      <c r="A334" s="902" t="s">
        <v>2251</v>
      </c>
      <c r="B334" s="902" t="s">
        <v>14</v>
      </c>
      <c r="C334" s="902" t="s">
        <v>13</v>
      </c>
      <c r="D334" s="903" t="s">
        <v>2252</v>
      </c>
      <c r="E334" s="902" t="s">
        <v>775</v>
      </c>
      <c r="F334" s="902"/>
      <c r="G334" s="904">
        <v>360000</v>
      </c>
      <c r="H334" s="902" t="s">
        <v>112</v>
      </c>
      <c r="I334" s="905">
        <v>43019</v>
      </c>
      <c r="J334" s="905">
        <v>43026</v>
      </c>
      <c r="K334" s="902" t="s">
        <v>2286</v>
      </c>
      <c r="L334" s="904">
        <v>362500</v>
      </c>
      <c r="M334" s="904">
        <v>438625</v>
      </c>
      <c r="N334" s="905">
        <v>43041</v>
      </c>
      <c r="O334" s="905"/>
      <c r="P334" s="902" t="s">
        <v>239</v>
      </c>
      <c r="Q334" s="902" t="s">
        <v>239</v>
      </c>
      <c r="R334" s="801"/>
    </row>
    <row r="335" spans="1:19" ht="15.75" customHeight="1" thickBot="1">
      <c r="A335" s="913" t="s">
        <v>2253</v>
      </c>
      <c r="B335" s="913" t="s">
        <v>58</v>
      </c>
      <c r="C335" s="913" t="s">
        <v>57</v>
      </c>
      <c r="D335" s="914" t="s">
        <v>718</v>
      </c>
      <c r="E335" s="913" t="s">
        <v>756</v>
      </c>
      <c r="F335" s="913"/>
      <c r="G335" s="915">
        <v>1175000</v>
      </c>
      <c r="H335" s="913" t="s">
        <v>112</v>
      </c>
      <c r="I335" s="916">
        <v>43017</v>
      </c>
      <c r="J335" s="916">
        <v>43026</v>
      </c>
      <c r="K335" s="913" t="s">
        <v>2285</v>
      </c>
      <c r="L335" s="915">
        <v>933362</v>
      </c>
      <c r="M335" s="915">
        <v>1129406</v>
      </c>
      <c r="N335" s="916">
        <v>43045</v>
      </c>
      <c r="O335" s="916"/>
      <c r="P335" s="916">
        <v>43045</v>
      </c>
      <c r="Q335" s="916">
        <v>43193</v>
      </c>
      <c r="R335" s="801"/>
    </row>
    <row r="336" spans="1:19" ht="15.75" customHeight="1" thickTop="1">
      <c r="A336" s="1091" t="s">
        <v>2254</v>
      </c>
      <c r="B336" s="1092" t="s">
        <v>69</v>
      </c>
      <c r="C336" s="1092" t="s">
        <v>70</v>
      </c>
      <c r="D336" s="1093" t="s">
        <v>2256</v>
      </c>
      <c r="E336" s="1092" t="s">
        <v>2255</v>
      </c>
      <c r="F336" s="1092"/>
      <c r="G336" s="1094">
        <v>3910221.46</v>
      </c>
      <c r="H336" s="1092" t="s">
        <v>251</v>
      </c>
      <c r="I336" s="1095">
        <v>43020</v>
      </c>
      <c r="J336" s="1095">
        <v>43061</v>
      </c>
      <c r="K336" s="1092" t="s">
        <v>1233</v>
      </c>
      <c r="L336" s="1094">
        <v>3910198.44</v>
      </c>
      <c r="M336" s="1094">
        <v>4301218.28</v>
      </c>
      <c r="N336" s="1092"/>
      <c r="O336" s="1092"/>
      <c r="P336" s="1092"/>
      <c r="Q336" s="1119"/>
      <c r="R336" s="1083"/>
    </row>
    <row r="337" spans="1:21" ht="15" customHeight="1">
      <c r="A337" s="999" t="s">
        <v>2254</v>
      </c>
      <c r="B337" s="872" t="s">
        <v>69</v>
      </c>
      <c r="C337" s="872" t="s">
        <v>70</v>
      </c>
      <c r="D337" s="873" t="s">
        <v>2257</v>
      </c>
      <c r="E337" s="872" t="s">
        <v>2255</v>
      </c>
      <c r="F337" s="872"/>
      <c r="G337" s="875">
        <v>1359101.04</v>
      </c>
      <c r="H337" s="872" t="s">
        <v>251</v>
      </c>
      <c r="I337" s="874">
        <v>43020</v>
      </c>
      <c r="J337" s="874">
        <v>43061</v>
      </c>
      <c r="K337" s="876" t="s">
        <v>304</v>
      </c>
      <c r="L337" s="875"/>
      <c r="M337" s="875"/>
      <c r="N337" s="872"/>
      <c r="O337" s="872"/>
      <c r="P337" s="874">
        <v>43097</v>
      </c>
      <c r="Q337" s="1000"/>
      <c r="R337" s="1083"/>
    </row>
    <row r="338" spans="1:21" ht="15.75" customHeight="1" thickBot="1">
      <c r="A338" s="1099" t="s">
        <v>2254</v>
      </c>
      <c r="B338" s="1096" t="s">
        <v>69</v>
      </c>
      <c r="C338" s="1096" t="s">
        <v>70</v>
      </c>
      <c r="D338" s="1100" t="s">
        <v>2258</v>
      </c>
      <c r="E338" s="1096" t="s">
        <v>2255</v>
      </c>
      <c r="F338" s="1096"/>
      <c r="G338" s="1097">
        <v>744173.64</v>
      </c>
      <c r="H338" s="1096" t="s">
        <v>251</v>
      </c>
      <c r="I338" s="1101">
        <v>43020</v>
      </c>
      <c r="J338" s="1101">
        <v>43061</v>
      </c>
      <c r="K338" s="1096" t="s">
        <v>2402</v>
      </c>
      <c r="L338" s="1097">
        <v>744167.52</v>
      </c>
      <c r="M338" s="1097">
        <v>818584.27</v>
      </c>
      <c r="N338" s="1096"/>
      <c r="O338" s="1292"/>
      <c r="P338" s="1096"/>
      <c r="Q338" s="1123"/>
      <c r="R338" s="1083"/>
    </row>
    <row r="339" spans="1:21" ht="15.75" customHeight="1" thickTop="1">
      <c r="A339" s="902" t="s">
        <v>2259</v>
      </c>
      <c r="B339" s="902" t="s">
        <v>1503</v>
      </c>
      <c r="C339" s="902" t="s">
        <v>918</v>
      </c>
      <c r="D339" s="903" t="s">
        <v>2260</v>
      </c>
      <c r="E339" s="902" t="s">
        <v>1244</v>
      </c>
      <c r="F339" s="902"/>
      <c r="G339" s="904">
        <v>650000</v>
      </c>
      <c r="H339" s="902" t="s">
        <v>112</v>
      </c>
      <c r="I339" s="1161">
        <v>43026</v>
      </c>
      <c r="J339" s="905">
        <v>43039</v>
      </c>
      <c r="K339" s="902" t="s">
        <v>338</v>
      </c>
      <c r="L339" s="904">
        <v>639282.6</v>
      </c>
      <c r="M339" s="904">
        <v>773531.95</v>
      </c>
      <c r="N339" s="905">
        <v>43067</v>
      </c>
      <c r="O339" s="905"/>
      <c r="P339" s="905">
        <v>43068</v>
      </c>
      <c r="Q339" s="905">
        <v>43129</v>
      </c>
      <c r="R339" s="801"/>
    </row>
    <row r="340" spans="1:21" ht="15" customHeight="1">
      <c r="A340" s="869" t="s">
        <v>2263</v>
      </c>
      <c r="B340" s="869" t="s">
        <v>2111</v>
      </c>
      <c r="C340" s="869" t="s">
        <v>1215</v>
      </c>
      <c r="D340" s="856" t="s">
        <v>2274</v>
      </c>
      <c r="E340" s="869" t="s">
        <v>2113</v>
      </c>
      <c r="F340" s="869"/>
      <c r="G340" s="871">
        <v>380000</v>
      </c>
      <c r="H340" s="869" t="s">
        <v>216</v>
      </c>
      <c r="I340" s="870">
        <v>43026</v>
      </c>
      <c r="J340" s="870">
        <v>43047</v>
      </c>
      <c r="K340" s="869" t="s">
        <v>2183</v>
      </c>
      <c r="L340" s="871">
        <v>316570</v>
      </c>
      <c r="M340" s="871">
        <v>383049.7</v>
      </c>
      <c r="N340" s="869"/>
      <c r="O340" s="869"/>
      <c r="P340" s="869"/>
      <c r="Q340" s="869"/>
      <c r="R340" s="801"/>
    </row>
    <row r="341" spans="1:21" ht="15" customHeight="1">
      <c r="A341" s="902" t="s">
        <v>2264</v>
      </c>
      <c r="B341" s="902" t="s">
        <v>2265</v>
      </c>
      <c r="C341" s="902" t="s">
        <v>230</v>
      </c>
      <c r="D341" s="903" t="s">
        <v>2269</v>
      </c>
      <c r="E341" s="902" t="s">
        <v>2268</v>
      </c>
      <c r="F341" s="902"/>
      <c r="G341" s="904">
        <v>2600000</v>
      </c>
      <c r="H341" s="902" t="s">
        <v>216</v>
      </c>
      <c r="I341" s="905">
        <v>43027</v>
      </c>
      <c r="J341" s="905">
        <v>43052</v>
      </c>
      <c r="K341" s="902" t="s">
        <v>2360</v>
      </c>
      <c r="L341" s="904">
        <v>1803340</v>
      </c>
      <c r="M341" s="904">
        <f>L341*1.21</f>
        <v>2182041.4</v>
      </c>
      <c r="N341" s="905">
        <v>43091</v>
      </c>
      <c r="O341" s="905"/>
      <c r="P341" s="905">
        <v>43097</v>
      </c>
      <c r="Q341" s="905">
        <v>43553</v>
      </c>
      <c r="R341" s="905">
        <v>43913</v>
      </c>
    </row>
    <row r="342" spans="1:21" s="1126" customFormat="1" ht="15" customHeight="1">
      <c r="A342" s="902" t="s">
        <v>2264</v>
      </c>
      <c r="B342" s="902" t="s">
        <v>2265</v>
      </c>
      <c r="C342" s="902" t="s">
        <v>230</v>
      </c>
      <c r="D342" s="903" t="s">
        <v>2270</v>
      </c>
      <c r="E342" s="902" t="s">
        <v>2268</v>
      </c>
      <c r="F342" s="902"/>
      <c r="G342" s="904">
        <v>800000</v>
      </c>
      <c r="H342" s="902" t="s">
        <v>216</v>
      </c>
      <c r="I342" s="905">
        <v>43027</v>
      </c>
      <c r="J342" s="905">
        <v>43052</v>
      </c>
      <c r="K342" s="902" t="s">
        <v>2360</v>
      </c>
      <c r="L342" s="904">
        <v>718800</v>
      </c>
      <c r="M342" s="904">
        <f>L342*1.21</f>
        <v>869748</v>
      </c>
      <c r="N342" s="905">
        <v>43091</v>
      </c>
      <c r="O342" s="905"/>
      <c r="P342" s="905">
        <v>43097</v>
      </c>
      <c r="Q342" s="905">
        <v>43553</v>
      </c>
      <c r="R342" s="905">
        <v>43913</v>
      </c>
      <c r="S342" s="802"/>
    </row>
    <row r="343" spans="1:21" ht="15" customHeight="1">
      <c r="A343" s="902" t="s">
        <v>2266</v>
      </c>
      <c r="B343" s="902" t="s">
        <v>166</v>
      </c>
      <c r="C343" s="902" t="s">
        <v>167</v>
      </c>
      <c r="D343" s="903" t="s">
        <v>2267</v>
      </c>
      <c r="E343" s="902" t="s">
        <v>498</v>
      </c>
      <c r="F343" s="902"/>
      <c r="G343" s="904">
        <v>350000</v>
      </c>
      <c r="H343" s="902" t="s">
        <v>112</v>
      </c>
      <c r="I343" s="905">
        <v>43032</v>
      </c>
      <c r="J343" s="905">
        <v>43042</v>
      </c>
      <c r="K343" s="902" t="s">
        <v>2335</v>
      </c>
      <c r="L343" s="904">
        <v>410892.09</v>
      </c>
      <c r="M343" s="904">
        <f>L343*1.21</f>
        <v>497179.4289</v>
      </c>
      <c r="N343" s="905">
        <v>43070</v>
      </c>
      <c r="O343" s="905"/>
      <c r="P343" s="902" t="s">
        <v>239</v>
      </c>
      <c r="Q343" s="902" t="s">
        <v>239</v>
      </c>
      <c r="R343" s="801"/>
    </row>
    <row r="344" spans="1:21" ht="15" customHeight="1">
      <c r="A344" s="902" t="s">
        <v>2271</v>
      </c>
      <c r="B344" s="902" t="s">
        <v>14</v>
      </c>
      <c r="C344" s="902" t="s">
        <v>13</v>
      </c>
      <c r="D344" s="903" t="s">
        <v>2272</v>
      </c>
      <c r="E344" s="902" t="s">
        <v>761</v>
      </c>
      <c r="F344" s="902" t="s">
        <v>2273</v>
      </c>
      <c r="G344" s="904">
        <v>3670000</v>
      </c>
      <c r="H344" s="902" t="s">
        <v>216</v>
      </c>
      <c r="I344" s="905">
        <v>43026</v>
      </c>
      <c r="J344" s="905">
        <v>43046</v>
      </c>
      <c r="K344" s="902" t="s">
        <v>1074</v>
      </c>
      <c r="L344" s="904">
        <v>3661450</v>
      </c>
      <c r="M344" s="904">
        <v>4430354.4000000004</v>
      </c>
      <c r="N344" s="905">
        <v>43080</v>
      </c>
      <c r="O344" s="905"/>
      <c r="P344" s="905">
        <v>43081</v>
      </c>
      <c r="Q344" s="905">
        <v>43213</v>
      </c>
      <c r="R344" s="801"/>
    </row>
    <row r="345" spans="1:21" ht="15" customHeight="1">
      <c r="A345" s="902" t="s">
        <v>2275</v>
      </c>
      <c r="B345" s="902" t="s">
        <v>702</v>
      </c>
      <c r="C345" s="902" t="s">
        <v>751</v>
      </c>
      <c r="D345" s="903" t="s">
        <v>2276</v>
      </c>
      <c r="E345" s="902" t="s">
        <v>2277</v>
      </c>
      <c r="F345" s="902" t="s">
        <v>2361</v>
      </c>
      <c r="G345" s="904">
        <v>1990000</v>
      </c>
      <c r="H345" s="902" t="s">
        <v>112</v>
      </c>
      <c r="I345" s="905">
        <v>43039</v>
      </c>
      <c r="J345" s="905">
        <v>43049</v>
      </c>
      <c r="K345" s="902" t="s">
        <v>2346</v>
      </c>
      <c r="L345" s="904">
        <v>1990000</v>
      </c>
      <c r="M345" s="904">
        <f>L345*1.21</f>
        <v>2407900</v>
      </c>
      <c r="N345" s="905">
        <v>43097</v>
      </c>
      <c r="O345" s="905"/>
      <c r="P345" s="905">
        <v>43102</v>
      </c>
      <c r="Q345" s="1127">
        <v>44244</v>
      </c>
      <c r="R345" s="801"/>
    </row>
    <row r="346" spans="1:21" ht="15" customHeight="1">
      <c r="A346" s="902" t="s">
        <v>2287</v>
      </c>
      <c r="B346" s="902" t="s">
        <v>1503</v>
      </c>
      <c r="C346" s="902" t="s">
        <v>918</v>
      </c>
      <c r="D346" s="903" t="s">
        <v>2288</v>
      </c>
      <c r="E346" s="902" t="s">
        <v>1244</v>
      </c>
      <c r="F346" s="902"/>
      <c r="G346" s="904">
        <v>1100000</v>
      </c>
      <c r="H346" s="902" t="s">
        <v>112</v>
      </c>
      <c r="I346" s="905">
        <v>43031</v>
      </c>
      <c r="J346" s="905">
        <v>43042</v>
      </c>
      <c r="K346" s="902" t="s">
        <v>2138</v>
      </c>
      <c r="L346" s="904">
        <v>1017773.26</v>
      </c>
      <c r="M346" s="904">
        <v>1231506</v>
      </c>
      <c r="N346" s="905">
        <v>43062</v>
      </c>
      <c r="O346" s="905"/>
      <c r="P346" s="905">
        <v>43062</v>
      </c>
      <c r="Q346" s="905">
        <v>43157</v>
      </c>
      <c r="R346" s="801"/>
    </row>
    <row r="347" spans="1:21" ht="15" customHeight="1">
      <c r="A347" s="902" t="s">
        <v>2289</v>
      </c>
      <c r="B347" s="902" t="s">
        <v>1503</v>
      </c>
      <c r="C347" s="902" t="s">
        <v>918</v>
      </c>
      <c r="D347" s="903" t="s">
        <v>2290</v>
      </c>
      <c r="E347" s="902" t="s">
        <v>1518</v>
      </c>
      <c r="F347" s="902"/>
      <c r="G347" s="904">
        <v>1800000</v>
      </c>
      <c r="H347" s="902" t="s">
        <v>112</v>
      </c>
      <c r="I347" s="905">
        <v>43040</v>
      </c>
      <c r="J347" s="905">
        <v>43053</v>
      </c>
      <c r="K347" s="902" t="s">
        <v>2524</v>
      </c>
      <c r="L347" s="904">
        <v>602674</v>
      </c>
      <c r="M347" s="904">
        <f>L347*1.21</f>
        <v>729235.53999999992</v>
      </c>
      <c r="N347" s="905">
        <v>43077</v>
      </c>
      <c r="O347" s="905"/>
      <c r="P347" s="905">
        <v>43080</v>
      </c>
      <c r="Q347" s="1127">
        <v>44249</v>
      </c>
      <c r="R347" s="801"/>
    </row>
    <row r="348" spans="1:21" ht="15" customHeight="1">
      <c r="A348" s="902" t="s">
        <v>2291</v>
      </c>
      <c r="B348" s="902" t="s">
        <v>1503</v>
      </c>
      <c r="C348" s="902" t="s">
        <v>918</v>
      </c>
      <c r="D348" s="903" t="s">
        <v>2292</v>
      </c>
      <c r="E348" s="902" t="s">
        <v>1518</v>
      </c>
      <c r="F348" s="902"/>
      <c r="G348" s="904">
        <v>900000</v>
      </c>
      <c r="H348" s="902" t="s">
        <v>112</v>
      </c>
      <c r="I348" s="905">
        <v>43046</v>
      </c>
      <c r="J348" s="905">
        <v>43053</v>
      </c>
      <c r="K348" s="902" t="s">
        <v>2138</v>
      </c>
      <c r="L348" s="904">
        <v>839000</v>
      </c>
      <c r="M348" s="904">
        <v>1015190</v>
      </c>
      <c r="N348" s="905">
        <v>43082</v>
      </c>
      <c r="O348" s="905"/>
      <c r="P348" s="905">
        <v>43082</v>
      </c>
      <c r="Q348" s="905">
        <v>43552</v>
      </c>
      <c r="R348" s="801"/>
    </row>
    <row r="349" spans="1:21" ht="15.75" customHeight="1" thickBot="1">
      <c r="A349" s="913" t="s">
        <v>2293</v>
      </c>
      <c r="B349" s="913" t="s">
        <v>1503</v>
      </c>
      <c r="C349" s="913" t="s">
        <v>918</v>
      </c>
      <c r="D349" s="914" t="s">
        <v>2294</v>
      </c>
      <c r="E349" s="913" t="s">
        <v>1518</v>
      </c>
      <c r="F349" s="913"/>
      <c r="G349" s="915">
        <v>560000</v>
      </c>
      <c r="H349" s="913" t="s">
        <v>112</v>
      </c>
      <c r="I349" s="916">
        <v>43039</v>
      </c>
      <c r="J349" s="916">
        <v>43053</v>
      </c>
      <c r="K349" s="913" t="s">
        <v>2363</v>
      </c>
      <c r="L349" s="915">
        <v>27600</v>
      </c>
      <c r="M349" s="915">
        <v>33396</v>
      </c>
      <c r="N349" s="916">
        <v>43090</v>
      </c>
      <c r="O349" s="916" t="s">
        <v>4096</v>
      </c>
      <c r="P349" s="916">
        <v>43090</v>
      </c>
      <c r="Q349" s="913" t="s">
        <v>239</v>
      </c>
      <c r="R349" s="902" t="s">
        <v>6603</v>
      </c>
      <c r="S349" s="902" t="s">
        <v>8483</v>
      </c>
      <c r="T349" s="905">
        <v>44644</v>
      </c>
      <c r="U349" s="1506">
        <v>2022</v>
      </c>
    </row>
    <row r="350" spans="1:21" ht="15.75" customHeight="1" thickTop="1">
      <c r="A350" s="1091" t="s">
        <v>2295</v>
      </c>
      <c r="B350" s="1092" t="s">
        <v>69</v>
      </c>
      <c r="C350" s="1092" t="s">
        <v>70</v>
      </c>
      <c r="D350" s="1093" t="s">
        <v>2300</v>
      </c>
      <c r="E350" s="1092" t="s">
        <v>2296</v>
      </c>
      <c r="F350" s="1092"/>
      <c r="G350" s="1170">
        <v>27876213.379999999</v>
      </c>
      <c r="H350" s="1092" t="s">
        <v>251</v>
      </c>
      <c r="I350" s="1095">
        <v>43042</v>
      </c>
      <c r="J350" s="1095">
        <v>43080</v>
      </c>
      <c r="K350" s="1092" t="s">
        <v>1233</v>
      </c>
      <c r="L350" s="1094">
        <v>27821554.02</v>
      </c>
      <c r="M350" s="1094">
        <f>L350*1.1</f>
        <v>30603709.422000002</v>
      </c>
      <c r="N350" s="1092"/>
      <c r="O350" s="1092"/>
      <c r="P350" s="1092"/>
      <c r="Q350" s="1119"/>
      <c r="R350" s="1083"/>
    </row>
    <row r="351" spans="1:21" ht="15" customHeight="1">
      <c r="A351" s="1098" t="s">
        <v>2295</v>
      </c>
      <c r="B351" s="869" t="s">
        <v>69</v>
      </c>
      <c r="C351" s="869" t="s">
        <v>70</v>
      </c>
      <c r="D351" s="856" t="s">
        <v>2299</v>
      </c>
      <c r="E351" s="869" t="s">
        <v>2296</v>
      </c>
      <c r="F351" s="869"/>
      <c r="G351" s="871">
        <v>146844</v>
      </c>
      <c r="H351" s="869" t="s">
        <v>251</v>
      </c>
      <c r="I351" s="870">
        <v>43042</v>
      </c>
      <c r="J351" s="870">
        <v>43080</v>
      </c>
      <c r="K351" s="869" t="s">
        <v>1233</v>
      </c>
      <c r="L351" s="871">
        <v>146844</v>
      </c>
      <c r="M351" s="871">
        <f>L351*1.1</f>
        <v>161528.40000000002</v>
      </c>
      <c r="N351" s="869"/>
      <c r="O351" s="869"/>
      <c r="P351" s="869"/>
      <c r="Q351" s="1108"/>
      <c r="R351" s="1083"/>
    </row>
    <row r="352" spans="1:21" ht="15" customHeight="1">
      <c r="A352" s="1098" t="s">
        <v>2295</v>
      </c>
      <c r="B352" s="869" t="s">
        <v>69</v>
      </c>
      <c r="C352" s="869" t="s">
        <v>70</v>
      </c>
      <c r="D352" s="856" t="s">
        <v>2298</v>
      </c>
      <c r="E352" s="869" t="s">
        <v>2296</v>
      </c>
      <c r="F352" s="869"/>
      <c r="G352" s="871">
        <v>300384</v>
      </c>
      <c r="H352" s="869" t="s">
        <v>251</v>
      </c>
      <c r="I352" s="870">
        <v>43042</v>
      </c>
      <c r="J352" s="870">
        <v>43080</v>
      </c>
      <c r="K352" s="869" t="s">
        <v>576</v>
      </c>
      <c r="L352" s="871">
        <v>298302</v>
      </c>
      <c r="M352" s="871">
        <f>L352*1.1</f>
        <v>328132.2</v>
      </c>
      <c r="N352" s="869"/>
      <c r="O352" s="869"/>
      <c r="P352" s="869"/>
      <c r="Q352" s="1108"/>
      <c r="R352" s="1083"/>
    </row>
    <row r="353" spans="1:21" ht="15.75" customHeight="1" thickBot="1">
      <c r="A353" s="1099" t="s">
        <v>2295</v>
      </c>
      <c r="B353" s="1096" t="s">
        <v>69</v>
      </c>
      <c r="C353" s="1096" t="s">
        <v>70</v>
      </c>
      <c r="D353" s="1100" t="s">
        <v>2297</v>
      </c>
      <c r="E353" s="1096" t="s">
        <v>2296</v>
      </c>
      <c r="F353" s="1096"/>
      <c r="G353" s="1097">
        <v>159122</v>
      </c>
      <c r="H353" s="1096" t="s">
        <v>251</v>
      </c>
      <c r="I353" s="1101">
        <v>43042</v>
      </c>
      <c r="J353" s="1101">
        <v>43080</v>
      </c>
      <c r="K353" s="1096" t="s">
        <v>1233</v>
      </c>
      <c r="L353" s="1097">
        <v>157830</v>
      </c>
      <c r="M353" s="1097">
        <f>L353*1.1</f>
        <v>173613</v>
      </c>
      <c r="N353" s="1096"/>
      <c r="O353" s="1292"/>
      <c r="P353" s="1096"/>
      <c r="Q353" s="1123"/>
      <c r="R353" s="1083"/>
    </row>
    <row r="354" spans="1:21" ht="15.75" customHeight="1" thickTop="1">
      <c r="A354" s="1122" t="s">
        <v>2301</v>
      </c>
      <c r="B354" s="1122" t="s">
        <v>69</v>
      </c>
      <c r="C354" s="1122" t="s">
        <v>70</v>
      </c>
      <c r="D354" s="1148" t="s">
        <v>2303</v>
      </c>
      <c r="E354" s="1122" t="s">
        <v>2302</v>
      </c>
      <c r="F354" s="1122"/>
      <c r="G354" s="1149">
        <v>425317.92</v>
      </c>
      <c r="H354" s="1122" t="s">
        <v>251</v>
      </c>
      <c r="I354" s="1150">
        <v>43055</v>
      </c>
      <c r="J354" s="1150">
        <v>43105</v>
      </c>
      <c r="K354" s="1122"/>
      <c r="L354" s="1149"/>
      <c r="M354" s="1149"/>
      <c r="N354" s="1122"/>
      <c r="O354" s="1122"/>
      <c r="P354" s="1122"/>
      <c r="Q354" s="1122"/>
      <c r="R354" s="801"/>
    </row>
    <row r="355" spans="1:21" ht="15" customHeight="1">
      <c r="A355" s="853" t="s">
        <v>2301</v>
      </c>
      <c r="B355" s="853" t="s">
        <v>69</v>
      </c>
      <c r="C355" s="853" t="s">
        <v>70</v>
      </c>
      <c r="D355" s="771" t="s">
        <v>2304</v>
      </c>
      <c r="E355" s="853" t="s">
        <v>72</v>
      </c>
      <c r="F355" s="853"/>
      <c r="G355" s="854">
        <v>4104326.9</v>
      </c>
      <c r="H355" s="853" t="s">
        <v>251</v>
      </c>
      <c r="I355" s="855">
        <v>43055</v>
      </c>
      <c r="J355" s="855">
        <v>43105</v>
      </c>
      <c r="K355" s="853"/>
      <c r="L355" s="854"/>
      <c r="M355" s="854"/>
      <c r="N355" s="853"/>
      <c r="O355" s="853"/>
      <c r="P355" s="853"/>
      <c r="Q355" s="853"/>
      <c r="R355" s="801"/>
    </row>
    <row r="356" spans="1:21" ht="15" customHeight="1">
      <c r="A356" s="853" t="s">
        <v>2301</v>
      </c>
      <c r="B356" s="853" t="s">
        <v>69</v>
      </c>
      <c r="C356" s="853" t="s">
        <v>70</v>
      </c>
      <c r="D356" s="771" t="s">
        <v>2305</v>
      </c>
      <c r="E356" s="853" t="s">
        <v>72</v>
      </c>
      <c r="F356" s="853"/>
      <c r="G356" s="854">
        <v>4551397.9400000004</v>
      </c>
      <c r="H356" s="853" t="s">
        <v>251</v>
      </c>
      <c r="I356" s="855">
        <v>43055</v>
      </c>
      <c r="J356" s="855">
        <v>43105</v>
      </c>
      <c r="K356" s="853"/>
      <c r="L356" s="854"/>
      <c r="M356" s="854"/>
      <c r="N356" s="853"/>
      <c r="O356" s="853"/>
      <c r="P356" s="853"/>
      <c r="Q356" s="853"/>
      <c r="R356" s="801"/>
    </row>
    <row r="357" spans="1:21" s="1140" customFormat="1" ht="15" customHeight="1">
      <c r="A357" s="1151" t="s">
        <v>2301</v>
      </c>
      <c r="B357" s="1151" t="s">
        <v>69</v>
      </c>
      <c r="C357" s="1151" t="s">
        <v>70</v>
      </c>
      <c r="D357" s="1152" t="s">
        <v>2387</v>
      </c>
      <c r="E357" s="1151" t="s">
        <v>72</v>
      </c>
      <c r="F357" s="1151"/>
      <c r="G357" s="1153">
        <v>8263134</v>
      </c>
      <c r="H357" s="1151" t="s">
        <v>251</v>
      </c>
      <c r="I357" s="1154">
        <v>43055</v>
      </c>
      <c r="J357" s="1154">
        <v>43105</v>
      </c>
      <c r="K357" s="1151"/>
      <c r="L357" s="1153"/>
      <c r="M357" s="1153"/>
      <c r="N357" s="1151"/>
      <c r="O357" s="1151"/>
      <c r="P357" s="1151"/>
      <c r="Q357" s="1151"/>
      <c r="R357" s="801"/>
      <c r="S357" s="802"/>
    </row>
    <row r="358" spans="1:21" ht="15.75" customHeight="1" thickBot="1">
      <c r="A358" s="1151" t="s">
        <v>2301</v>
      </c>
      <c r="B358" s="1151" t="s">
        <v>69</v>
      </c>
      <c r="C358" s="1151" t="s">
        <v>70</v>
      </c>
      <c r="D358" s="1152" t="s">
        <v>2386</v>
      </c>
      <c r="E358" s="1151" t="s">
        <v>72</v>
      </c>
      <c r="F358" s="1151"/>
      <c r="G358" s="1153">
        <v>17024000</v>
      </c>
      <c r="H358" s="1151" t="s">
        <v>251</v>
      </c>
      <c r="I358" s="1154">
        <v>43055</v>
      </c>
      <c r="J358" s="1154">
        <v>43105</v>
      </c>
      <c r="K358" s="1151"/>
      <c r="L358" s="1153"/>
      <c r="M358" s="1153"/>
      <c r="N358" s="1151"/>
      <c r="O358" s="1151"/>
      <c r="P358" s="1151"/>
      <c r="Q358" s="1151"/>
      <c r="R358" s="801"/>
    </row>
    <row r="359" spans="1:21" ht="15.75" customHeight="1" thickTop="1">
      <c r="A359" s="1091" t="s">
        <v>2306</v>
      </c>
      <c r="B359" s="1092" t="s">
        <v>69</v>
      </c>
      <c r="C359" s="1092" t="s">
        <v>70</v>
      </c>
      <c r="D359" s="1093" t="s">
        <v>2307</v>
      </c>
      <c r="E359" s="1092" t="s">
        <v>68</v>
      </c>
      <c r="F359" s="1092"/>
      <c r="G359" s="1094">
        <v>2424242</v>
      </c>
      <c r="H359" s="1092" t="s">
        <v>251</v>
      </c>
      <c r="I359" s="1095">
        <v>43048</v>
      </c>
      <c r="J359" s="1095">
        <v>43089</v>
      </c>
      <c r="K359" s="1092" t="s">
        <v>576</v>
      </c>
      <c r="L359" s="1094">
        <v>2424242</v>
      </c>
      <c r="M359" s="1094">
        <f>L359*1.1</f>
        <v>2666666.2000000002</v>
      </c>
      <c r="N359" s="1092"/>
      <c r="O359" s="1092"/>
      <c r="P359" s="1092"/>
      <c r="Q359" s="1119"/>
      <c r="R359" s="1083"/>
    </row>
    <row r="360" spans="1:21" ht="15" customHeight="1">
      <c r="A360" s="999" t="s">
        <v>2306</v>
      </c>
      <c r="B360" s="872" t="s">
        <v>69</v>
      </c>
      <c r="C360" s="872" t="s">
        <v>70</v>
      </c>
      <c r="D360" s="873" t="s">
        <v>2308</v>
      </c>
      <c r="E360" s="872" t="s">
        <v>68</v>
      </c>
      <c r="F360" s="872"/>
      <c r="G360" s="875">
        <v>1572186</v>
      </c>
      <c r="H360" s="872" t="s">
        <v>251</v>
      </c>
      <c r="I360" s="874">
        <v>43048</v>
      </c>
      <c r="J360" s="874">
        <v>43089</v>
      </c>
      <c r="K360" s="876" t="s">
        <v>2428</v>
      </c>
      <c r="L360" s="875"/>
      <c r="M360" s="875"/>
      <c r="N360" s="872"/>
      <c r="O360" s="872"/>
      <c r="P360" s="874">
        <v>43123</v>
      </c>
      <c r="Q360" s="1000" t="s">
        <v>239</v>
      </c>
      <c r="R360" s="1083"/>
    </row>
    <row r="361" spans="1:21" ht="15" customHeight="1">
      <c r="A361" s="1098" t="s">
        <v>2306</v>
      </c>
      <c r="B361" s="869" t="s">
        <v>69</v>
      </c>
      <c r="C361" s="869" t="s">
        <v>70</v>
      </c>
      <c r="D361" s="856" t="s">
        <v>2309</v>
      </c>
      <c r="E361" s="869" t="s">
        <v>68</v>
      </c>
      <c r="F361" s="869"/>
      <c r="G361" s="871">
        <v>12396122.52</v>
      </c>
      <c r="H361" s="869" t="s">
        <v>251</v>
      </c>
      <c r="I361" s="870">
        <v>43048</v>
      </c>
      <c r="J361" s="870">
        <v>43089</v>
      </c>
      <c r="K361" s="869" t="s">
        <v>2490</v>
      </c>
      <c r="L361" s="871">
        <v>12396122.52</v>
      </c>
      <c r="M361" s="871">
        <f>L361*1.1</f>
        <v>13635734.772</v>
      </c>
      <c r="N361" s="869"/>
      <c r="O361" s="869"/>
      <c r="P361" s="869"/>
      <c r="Q361" s="1108"/>
      <c r="R361" s="1083"/>
    </row>
    <row r="362" spans="1:21" ht="15" customHeight="1">
      <c r="A362" s="1098" t="s">
        <v>2306</v>
      </c>
      <c r="B362" s="869" t="s">
        <v>69</v>
      </c>
      <c r="C362" s="869" t="s">
        <v>70</v>
      </c>
      <c r="D362" s="856" t="s">
        <v>2310</v>
      </c>
      <c r="E362" s="869" t="s">
        <v>68</v>
      </c>
      <c r="F362" s="869"/>
      <c r="G362" s="871">
        <v>6897081.4000000004</v>
      </c>
      <c r="H362" s="869" t="s">
        <v>251</v>
      </c>
      <c r="I362" s="870">
        <v>43048</v>
      </c>
      <c r="J362" s="870">
        <v>43089</v>
      </c>
      <c r="K362" s="869" t="s">
        <v>1646</v>
      </c>
      <c r="L362" s="871">
        <v>6800669.8899999997</v>
      </c>
      <c r="M362" s="871">
        <f>L362*1.1</f>
        <v>7480736.8790000007</v>
      </c>
      <c r="N362" s="869"/>
      <c r="O362" s="869"/>
      <c r="P362" s="869"/>
      <c r="Q362" s="1108"/>
      <c r="R362" s="1083"/>
    </row>
    <row r="363" spans="1:21" ht="15" customHeight="1">
      <c r="A363" s="1098" t="s">
        <v>2306</v>
      </c>
      <c r="B363" s="869" t="s">
        <v>69</v>
      </c>
      <c r="C363" s="869" t="s">
        <v>70</v>
      </c>
      <c r="D363" s="856" t="s">
        <v>2311</v>
      </c>
      <c r="E363" s="869" t="s">
        <v>68</v>
      </c>
      <c r="F363" s="869"/>
      <c r="G363" s="871">
        <v>6660432</v>
      </c>
      <c r="H363" s="869" t="s">
        <v>251</v>
      </c>
      <c r="I363" s="870">
        <v>43048</v>
      </c>
      <c r="J363" s="870">
        <v>43089</v>
      </c>
      <c r="K363" s="869" t="s">
        <v>576</v>
      </c>
      <c r="L363" s="871">
        <v>6660432</v>
      </c>
      <c r="M363" s="871">
        <f>L363*1.1</f>
        <v>7326475.2000000002</v>
      </c>
      <c r="N363" s="869"/>
      <c r="O363" s="869"/>
      <c r="P363" s="869"/>
      <c r="Q363" s="1108"/>
      <c r="R363" s="1083"/>
    </row>
    <row r="364" spans="1:21" ht="15.75" customHeight="1" thickBot="1">
      <c r="A364" s="888" t="s">
        <v>2306</v>
      </c>
      <c r="B364" s="889" t="s">
        <v>69</v>
      </c>
      <c r="C364" s="889" t="s">
        <v>70</v>
      </c>
      <c r="D364" s="890" t="s">
        <v>2312</v>
      </c>
      <c r="E364" s="889" t="s">
        <v>68</v>
      </c>
      <c r="F364" s="889"/>
      <c r="G364" s="891">
        <v>2237756.56</v>
      </c>
      <c r="H364" s="889" t="s">
        <v>251</v>
      </c>
      <c r="I364" s="892">
        <v>43048</v>
      </c>
      <c r="J364" s="892">
        <v>43089</v>
      </c>
      <c r="K364" s="895" t="s">
        <v>2428</v>
      </c>
      <c r="L364" s="891"/>
      <c r="M364" s="891"/>
      <c r="N364" s="889"/>
      <c r="O364" s="1282"/>
      <c r="P364" s="892">
        <v>43123</v>
      </c>
      <c r="Q364" s="893" t="s">
        <v>239</v>
      </c>
      <c r="R364" s="1083"/>
    </row>
    <row r="365" spans="1:21" ht="15.75" customHeight="1" thickTop="1">
      <c r="A365" s="991" t="s">
        <v>2313</v>
      </c>
      <c r="B365" s="991" t="s">
        <v>1503</v>
      </c>
      <c r="C365" s="991" t="s">
        <v>918</v>
      </c>
      <c r="D365" s="567" t="s">
        <v>2314</v>
      </c>
      <c r="E365" s="991" t="s">
        <v>1518</v>
      </c>
      <c r="F365" s="991"/>
      <c r="G365" s="992">
        <v>600000</v>
      </c>
      <c r="H365" s="991" t="s">
        <v>112</v>
      </c>
      <c r="I365" s="993">
        <v>43039</v>
      </c>
      <c r="J365" s="993">
        <v>43053</v>
      </c>
      <c r="K365" s="991" t="s">
        <v>2400</v>
      </c>
      <c r="L365" s="992">
        <v>56450</v>
      </c>
      <c r="M365" s="992">
        <f t="shared" ref="M365:M370" si="4">L365*1.21</f>
        <v>68304.5</v>
      </c>
      <c r="N365" s="993">
        <v>43081</v>
      </c>
      <c r="O365" s="993" t="s">
        <v>4096</v>
      </c>
      <c r="P365" s="993">
        <v>43096</v>
      </c>
      <c r="Q365" s="993">
        <v>43381</v>
      </c>
      <c r="R365" s="902" t="s">
        <v>6603</v>
      </c>
      <c r="S365" s="902" t="s">
        <v>8483</v>
      </c>
      <c r="T365" s="905">
        <v>44644</v>
      </c>
      <c r="U365" s="1506">
        <v>2022</v>
      </c>
    </row>
    <row r="366" spans="1:21" ht="15" customHeight="1">
      <c r="A366" s="902" t="s">
        <v>2315</v>
      </c>
      <c r="B366" s="902" t="s">
        <v>1503</v>
      </c>
      <c r="C366" s="902" t="s">
        <v>918</v>
      </c>
      <c r="D366" s="903" t="s">
        <v>2316</v>
      </c>
      <c r="E366" s="902" t="s">
        <v>1518</v>
      </c>
      <c r="F366" s="902"/>
      <c r="G366" s="904">
        <v>400000</v>
      </c>
      <c r="H366" s="902" t="s">
        <v>112</v>
      </c>
      <c r="I366" s="905">
        <v>43039</v>
      </c>
      <c r="J366" s="905">
        <v>43055</v>
      </c>
      <c r="K366" s="902" t="s">
        <v>1648</v>
      </c>
      <c r="L366" s="904">
        <v>207060</v>
      </c>
      <c r="M366" s="904">
        <f t="shared" si="4"/>
        <v>250542.6</v>
      </c>
      <c r="N366" s="905">
        <v>43091</v>
      </c>
      <c r="O366" s="905" t="s">
        <v>4096</v>
      </c>
      <c r="P366" s="905">
        <v>43096</v>
      </c>
      <c r="Q366" s="996" t="s">
        <v>1875</v>
      </c>
      <c r="R366" s="801"/>
    </row>
    <row r="367" spans="1:21" ht="15" customHeight="1">
      <c r="A367" s="902" t="s">
        <v>2317</v>
      </c>
      <c r="B367" s="902" t="s">
        <v>166</v>
      </c>
      <c r="C367" s="902" t="s">
        <v>167</v>
      </c>
      <c r="D367" s="903" t="s">
        <v>2318</v>
      </c>
      <c r="E367" s="902" t="s">
        <v>1676</v>
      </c>
      <c r="F367" s="902"/>
      <c r="G367" s="904">
        <v>450000</v>
      </c>
      <c r="H367" s="902" t="s">
        <v>112</v>
      </c>
      <c r="I367" s="905">
        <v>43038</v>
      </c>
      <c r="J367" s="905">
        <v>43049</v>
      </c>
      <c r="K367" s="902" t="s">
        <v>2032</v>
      </c>
      <c r="L367" s="904">
        <v>599900</v>
      </c>
      <c r="M367" s="904">
        <f t="shared" si="4"/>
        <v>725879</v>
      </c>
      <c r="N367" s="905">
        <v>43098</v>
      </c>
      <c r="O367" s="905"/>
      <c r="P367" s="905">
        <v>43104</v>
      </c>
      <c r="Q367" s="905">
        <v>43193</v>
      </c>
      <c r="R367" s="801"/>
    </row>
    <row r="368" spans="1:21" ht="15" customHeight="1">
      <c r="A368" s="902" t="s">
        <v>2320</v>
      </c>
      <c r="B368" s="902" t="s">
        <v>14</v>
      </c>
      <c r="C368" s="902" t="s">
        <v>13</v>
      </c>
      <c r="D368" s="903" t="s">
        <v>2321</v>
      </c>
      <c r="E368" s="902" t="s">
        <v>774</v>
      </c>
      <c r="F368" s="902"/>
      <c r="G368" s="904">
        <v>255000</v>
      </c>
      <c r="H368" s="902" t="s">
        <v>112</v>
      </c>
      <c r="I368" s="905">
        <v>43040</v>
      </c>
      <c r="J368" s="905">
        <v>43049</v>
      </c>
      <c r="K368" s="902" t="s">
        <v>2345</v>
      </c>
      <c r="L368" s="904">
        <v>272800</v>
      </c>
      <c r="M368" s="904">
        <f t="shared" si="4"/>
        <v>330088</v>
      </c>
      <c r="N368" s="905">
        <v>43075</v>
      </c>
      <c r="O368" s="905"/>
      <c r="P368" s="902" t="s">
        <v>239</v>
      </c>
      <c r="Q368" s="902" t="s">
        <v>239</v>
      </c>
      <c r="R368" s="801"/>
    </row>
    <row r="369" spans="1:18" ht="15" customHeight="1">
      <c r="A369" s="902" t="s">
        <v>2322</v>
      </c>
      <c r="B369" s="902" t="s">
        <v>58</v>
      </c>
      <c r="C369" s="902" t="s">
        <v>57</v>
      </c>
      <c r="D369" s="903" t="s">
        <v>2323</v>
      </c>
      <c r="E369" s="902" t="s">
        <v>77</v>
      </c>
      <c r="F369" s="902" t="s">
        <v>2324</v>
      </c>
      <c r="G369" s="904">
        <v>1155000</v>
      </c>
      <c r="H369" s="902" t="s">
        <v>112</v>
      </c>
      <c r="I369" s="905">
        <v>43039</v>
      </c>
      <c r="J369" s="905">
        <v>43049</v>
      </c>
      <c r="K369" s="902" t="s">
        <v>2344</v>
      </c>
      <c r="L369" s="904">
        <v>1283300</v>
      </c>
      <c r="M369" s="904">
        <f t="shared" si="4"/>
        <v>1552793</v>
      </c>
      <c r="N369" s="905">
        <v>43076</v>
      </c>
      <c r="O369" s="905"/>
      <c r="P369" s="905">
        <v>43076</v>
      </c>
      <c r="Q369" s="905">
        <v>43171</v>
      </c>
      <c r="R369" s="996" t="s">
        <v>1875</v>
      </c>
    </row>
    <row r="370" spans="1:18" ht="15" customHeight="1">
      <c r="A370" s="902" t="s">
        <v>2325</v>
      </c>
      <c r="B370" s="902" t="s">
        <v>14</v>
      </c>
      <c r="C370" s="902" t="s">
        <v>1753</v>
      </c>
      <c r="D370" s="903" t="s">
        <v>2326</v>
      </c>
      <c r="E370" s="902" t="s">
        <v>2327</v>
      </c>
      <c r="F370" s="902" t="s">
        <v>2029</v>
      </c>
      <c r="G370" s="904">
        <v>371900</v>
      </c>
      <c r="H370" s="902" t="s">
        <v>112</v>
      </c>
      <c r="I370" s="905">
        <v>43046</v>
      </c>
      <c r="J370" s="905">
        <v>43049</v>
      </c>
      <c r="K370" s="902" t="s">
        <v>2096</v>
      </c>
      <c r="L370" s="904">
        <v>371300</v>
      </c>
      <c r="M370" s="904">
        <f t="shared" si="4"/>
        <v>449273</v>
      </c>
      <c r="N370" s="905">
        <v>43069</v>
      </c>
      <c r="O370" s="905"/>
      <c r="P370" s="902" t="s">
        <v>239</v>
      </c>
      <c r="Q370" s="902" t="s">
        <v>239</v>
      </c>
      <c r="R370" s="801"/>
    </row>
    <row r="371" spans="1:18" ht="15.75" customHeight="1" thickBot="1">
      <c r="A371" s="913" t="s">
        <v>2329</v>
      </c>
      <c r="B371" s="913" t="s">
        <v>1032</v>
      </c>
      <c r="C371" s="913" t="s">
        <v>1033</v>
      </c>
      <c r="D371" s="914" t="s">
        <v>2330</v>
      </c>
      <c r="E371" s="411" t="s">
        <v>2331</v>
      </c>
      <c r="F371" s="913" t="s">
        <v>2332</v>
      </c>
      <c r="G371" s="915">
        <v>1240000</v>
      </c>
      <c r="H371" s="913" t="s">
        <v>112</v>
      </c>
      <c r="I371" s="916">
        <v>43047</v>
      </c>
      <c r="J371" s="916">
        <v>43055</v>
      </c>
      <c r="K371" s="913" t="s">
        <v>2191</v>
      </c>
      <c r="L371" s="915">
        <v>977171</v>
      </c>
      <c r="M371" s="915">
        <v>1182377</v>
      </c>
      <c r="N371" s="916">
        <v>43091</v>
      </c>
      <c r="O371" s="916"/>
      <c r="P371" s="916">
        <v>43097</v>
      </c>
      <c r="Q371" s="916">
        <v>43227</v>
      </c>
      <c r="R371" s="801"/>
    </row>
    <row r="372" spans="1:18" ht="15.75" customHeight="1" thickTop="1">
      <c r="A372" s="1091" t="s">
        <v>2337</v>
      </c>
      <c r="B372" s="1092" t="s">
        <v>69</v>
      </c>
      <c r="C372" s="1092" t="s">
        <v>70</v>
      </c>
      <c r="D372" s="1093" t="s">
        <v>2338</v>
      </c>
      <c r="E372" s="1092" t="s">
        <v>1147</v>
      </c>
      <c r="F372" s="1092"/>
      <c r="G372" s="1094">
        <v>2300220</v>
      </c>
      <c r="H372" s="1092" t="s">
        <v>251</v>
      </c>
      <c r="I372" s="1095">
        <v>43055</v>
      </c>
      <c r="J372" s="1095">
        <v>43097</v>
      </c>
      <c r="K372" s="1092" t="s">
        <v>1233</v>
      </c>
      <c r="L372" s="1094">
        <v>2281312.7999999998</v>
      </c>
      <c r="M372" s="1094">
        <f>L372*1.1</f>
        <v>2509444.08</v>
      </c>
      <c r="N372" s="1092"/>
      <c r="O372" s="1092"/>
      <c r="P372" s="1092"/>
      <c r="Q372" s="1119"/>
      <c r="R372" s="1083"/>
    </row>
    <row r="373" spans="1:18" ht="15" customHeight="1">
      <c r="A373" s="1098" t="s">
        <v>2337</v>
      </c>
      <c r="B373" s="869" t="s">
        <v>69</v>
      </c>
      <c r="C373" s="869" t="s">
        <v>70</v>
      </c>
      <c r="D373" s="856" t="s">
        <v>2339</v>
      </c>
      <c r="E373" s="869" t="s">
        <v>1147</v>
      </c>
      <c r="F373" s="869"/>
      <c r="G373" s="871">
        <v>7844306.4000000004</v>
      </c>
      <c r="H373" s="869" t="s">
        <v>251</v>
      </c>
      <c r="I373" s="870">
        <v>43055</v>
      </c>
      <c r="J373" s="870">
        <v>43097</v>
      </c>
      <c r="K373" s="869" t="s">
        <v>1233</v>
      </c>
      <c r="L373" s="871">
        <v>7766640</v>
      </c>
      <c r="M373" s="871">
        <f>L373*1.1</f>
        <v>8543304</v>
      </c>
      <c r="N373" s="869"/>
      <c r="O373" s="869"/>
      <c r="P373" s="869"/>
      <c r="Q373" s="1108"/>
      <c r="R373" s="1083"/>
    </row>
    <row r="374" spans="1:18" ht="15.75" customHeight="1" thickBot="1">
      <c r="A374" s="1099" t="s">
        <v>2337</v>
      </c>
      <c r="B374" s="1096" t="s">
        <v>69</v>
      </c>
      <c r="C374" s="1096" t="s">
        <v>70</v>
      </c>
      <c r="D374" s="1100" t="s">
        <v>2340</v>
      </c>
      <c r="E374" s="1096" t="s">
        <v>1147</v>
      </c>
      <c r="F374" s="1096"/>
      <c r="G374" s="1097">
        <v>5059432.22</v>
      </c>
      <c r="H374" s="1096" t="s">
        <v>251</v>
      </c>
      <c r="I374" s="1101">
        <v>43055</v>
      </c>
      <c r="J374" s="1101">
        <v>43097</v>
      </c>
      <c r="K374" s="1096" t="s">
        <v>576</v>
      </c>
      <c r="L374" s="1097">
        <v>5014850.16</v>
      </c>
      <c r="M374" s="1097">
        <f>L374*1.1</f>
        <v>5516335.1760000009</v>
      </c>
      <c r="N374" s="1096"/>
      <c r="O374" s="1292"/>
      <c r="P374" s="1096"/>
      <c r="Q374" s="1123"/>
      <c r="R374" s="1083"/>
    </row>
    <row r="375" spans="1:18" ht="15.75" customHeight="1" thickTop="1">
      <c r="A375" s="1056" t="s">
        <v>2341</v>
      </c>
      <c r="B375" s="1056" t="s">
        <v>58</v>
      </c>
      <c r="C375" s="1056" t="s">
        <v>57</v>
      </c>
      <c r="D375" s="1057" t="s">
        <v>2342</v>
      </c>
      <c r="E375" s="1056" t="s">
        <v>1988</v>
      </c>
      <c r="F375" s="1056" t="s">
        <v>2343</v>
      </c>
      <c r="G375" s="1058">
        <v>305000</v>
      </c>
      <c r="H375" s="1056" t="s">
        <v>112</v>
      </c>
      <c r="I375" s="1059">
        <v>43052</v>
      </c>
      <c r="J375" s="1059">
        <v>43063</v>
      </c>
      <c r="K375" s="1060" t="s">
        <v>242</v>
      </c>
      <c r="L375" s="1058"/>
      <c r="M375" s="1058"/>
      <c r="N375" s="1056"/>
      <c r="O375" s="1056"/>
      <c r="P375" s="1056" t="s">
        <v>239</v>
      </c>
      <c r="Q375" s="1056" t="s">
        <v>239</v>
      </c>
      <c r="R375" s="801"/>
    </row>
    <row r="376" spans="1:18" ht="15" customHeight="1">
      <c r="A376" s="872" t="s">
        <v>2347</v>
      </c>
      <c r="B376" s="872" t="s">
        <v>166</v>
      </c>
      <c r="C376" s="872" t="s">
        <v>167</v>
      </c>
      <c r="D376" s="873" t="s">
        <v>2348</v>
      </c>
      <c r="E376" s="872" t="s">
        <v>1676</v>
      </c>
      <c r="F376" s="1056" t="s">
        <v>2036</v>
      </c>
      <c r="G376" s="875">
        <v>5950000</v>
      </c>
      <c r="H376" s="872" t="s">
        <v>112</v>
      </c>
      <c r="I376" s="874">
        <v>43049</v>
      </c>
      <c r="J376" s="874">
        <v>43063</v>
      </c>
      <c r="K376" s="876" t="s">
        <v>2428</v>
      </c>
      <c r="L376" s="875"/>
      <c r="M376" s="875"/>
      <c r="N376" s="872"/>
      <c r="O376" s="872"/>
      <c r="P376" s="872" t="s">
        <v>239</v>
      </c>
      <c r="Q376" s="872" t="s">
        <v>239</v>
      </c>
      <c r="R376" s="801"/>
    </row>
    <row r="377" spans="1:18" ht="15" customHeight="1">
      <c r="A377" s="869" t="s">
        <v>2354</v>
      </c>
      <c r="B377" s="869" t="s">
        <v>58</v>
      </c>
      <c r="C377" s="869" t="s">
        <v>57</v>
      </c>
      <c r="D377" s="856" t="s">
        <v>2355</v>
      </c>
      <c r="E377" s="869" t="s">
        <v>2356</v>
      </c>
      <c r="F377" s="869" t="s">
        <v>2357</v>
      </c>
      <c r="G377" s="871">
        <v>865000</v>
      </c>
      <c r="H377" s="869" t="s">
        <v>112</v>
      </c>
      <c r="I377" s="870">
        <v>43055</v>
      </c>
      <c r="J377" s="870">
        <v>43068</v>
      </c>
      <c r="K377" s="869" t="s">
        <v>1792</v>
      </c>
      <c r="L377" s="871">
        <v>1669200</v>
      </c>
      <c r="M377" s="871">
        <f>L377*1.21</f>
        <v>2019732</v>
      </c>
      <c r="N377" s="869"/>
      <c r="O377" s="869"/>
      <c r="P377" s="869"/>
      <c r="Q377" s="869"/>
      <c r="R377" s="801"/>
    </row>
    <row r="378" spans="1:18" ht="15" customHeight="1">
      <c r="A378" s="902" t="s">
        <v>2358</v>
      </c>
      <c r="B378" s="902" t="s">
        <v>1450</v>
      </c>
      <c r="C378" s="902" t="s">
        <v>232</v>
      </c>
      <c r="D378" s="903" t="s">
        <v>2359</v>
      </c>
      <c r="E378" s="902" t="s">
        <v>237</v>
      </c>
      <c r="F378" s="902"/>
      <c r="G378" s="904">
        <v>300000</v>
      </c>
      <c r="H378" s="902" t="s">
        <v>112</v>
      </c>
      <c r="I378" s="905">
        <v>43054</v>
      </c>
      <c r="J378" s="905">
        <v>43063</v>
      </c>
      <c r="K378" s="1032" t="s">
        <v>2432</v>
      </c>
      <c r="L378" s="904">
        <v>194000</v>
      </c>
      <c r="M378" s="904">
        <v>234740</v>
      </c>
      <c r="N378" s="905">
        <v>43102</v>
      </c>
      <c r="O378" s="905"/>
      <c r="P378" s="902" t="s">
        <v>239</v>
      </c>
      <c r="Q378" s="902" t="s">
        <v>239</v>
      </c>
      <c r="R378" s="801"/>
    </row>
    <row r="379" spans="1:18" ht="15.75" customHeight="1" thickBot="1">
      <c r="A379" s="1151" t="s">
        <v>2380</v>
      </c>
      <c r="B379" s="1151" t="s">
        <v>69</v>
      </c>
      <c r="C379" s="1151" t="s">
        <v>70</v>
      </c>
      <c r="D379" s="1152" t="s">
        <v>2353</v>
      </c>
      <c r="E379" s="1151" t="s">
        <v>688</v>
      </c>
      <c r="F379" s="1151"/>
      <c r="G379" s="1153">
        <v>1702608</v>
      </c>
      <c r="H379" s="1151" t="s">
        <v>112</v>
      </c>
      <c r="I379" s="1154">
        <v>43083</v>
      </c>
      <c r="J379" s="1154">
        <v>43124</v>
      </c>
      <c r="K379" s="1151"/>
      <c r="L379" s="1153"/>
      <c r="M379" s="1153"/>
      <c r="N379" s="1151"/>
      <c r="O379" s="1151"/>
      <c r="P379" s="1151"/>
      <c r="Q379" s="1151"/>
      <c r="R379" s="1075"/>
    </row>
    <row r="380" spans="1:18" ht="15.75" customHeight="1" thickTop="1">
      <c r="A380" s="1044" t="s">
        <v>2378</v>
      </c>
      <c r="B380" s="1045" t="s">
        <v>69</v>
      </c>
      <c r="C380" s="1045" t="s">
        <v>70</v>
      </c>
      <c r="D380" s="770" t="s">
        <v>2351</v>
      </c>
      <c r="E380" s="1045" t="s">
        <v>68</v>
      </c>
      <c r="F380" s="1045"/>
      <c r="G380" s="1046">
        <v>131673.32</v>
      </c>
      <c r="H380" s="1045" t="s">
        <v>251</v>
      </c>
      <c r="I380" s="1047">
        <v>43069</v>
      </c>
      <c r="J380" s="1047">
        <v>43109</v>
      </c>
      <c r="K380" s="1045"/>
      <c r="L380" s="1046"/>
      <c r="M380" s="1046"/>
      <c r="N380" s="1045"/>
      <c r="O380" s="1045"/>
      <c r="P380" s="1045"/>
      <c r="Q380" s="1045"/>
      <c r="R380" s="1142"/>
    </row>
    <row r="381" spans="1:18" ht="15.75" customHeight="1" thickBot="1">
      <c r="A381" s="1055" t="s">
        <v>2378</v>
      </c>
      <c r="B381" s="1050" t="s">
        <v>69</v>
      </c>
      <c r="C381" s="1050" t="s">
        <v>70</v>
      </c>
      <c r="D381" s="772" t="s">
        <v>2352</v>
      </c>
      <c r="E381" s="1050" t="s">
        <v>68</v>
      </c>
      <c r="F381" s="1050"/>
      <c r="G381" s="1051">
        <v>16902723.82</v>
      </c>
      <c r="H381" s="1050" t="s">
        <v>251</v>
      </c>
      <c r="I381" s="1052">
        <v>43069</v>
      </c>
      <c r="J381" s="1052">
        <v>43109</v>
      </c>
      <c r="K381" s="1050"/>
      <c r="L381" s="1051"/>
      <c r="M381" s="1051"/>
      <c r="N381" s="1050"/>
      <c r="O381" s="1263"/>
      <c r="P381" s="1050"/>
      <c r="Q381" s="1050"/>
      <c r="R381" s="1144"/>
    </row>
    <row r="382" spans="1:18" ht="15.75" customHeight="1" thickTop="1">
      <c r="A382" s="1044" t="s">
        <v>2379</v>
      </c>
      <c r="B382" s="1045" t="s">
        <v>69</v>
      </c>
      <c r="C382" s="1045" t="s">
        <v>70</v>
      </c>
      <c r="D382" s="770" t="s">
        <v>2349</v>
      </c>
      <c r="E382" s="1045" t="s">
        <v>93</v>
      </c>
      <c r="F382" s="1045"/>
      <c r="G382" s="1046">
        <v>2899656</v>
      </c>
      <c r="H382" s="1045" t="s">
        <v>251</v>
      </c>
      <c r="I382" s="1047">
        <v>43077</v>
      </c>
      <c r="J382" s="1047">
        <v>43116</v>
      </c>
      <c r="K382" s="1045"/>
      <c r="L382" s="1046"/>
      <c r="M382" s="1046"/>
      <c r="N382" s="1045"/>
      <c r="O382" s="1045"/>
      <c r="P382" s="1045"/>
      <c r="Q382" s="1045"/>
      <c r="R382" s="1142"/>
    </row>
    <row r="383" spans="1:18" ht="15.75" customHeight="1" thickBot="1">
      <c r="A383" s="1055" t="s">
        <v>2379</v>
      </c>
      <c r="B383" s="1050" t="s">
        <v>69</v>
      </c>
      <c r="C383" s="1050" t="s">
        <v>70</v>
      </c>
      <c r="D383" s="772" t="s">
        <v>2350</v>
      </c>
      <c r="E383" s="1050" t="s">
        <v>93</v>
      </c>
      <c r="F383" s="1050"/>
      <c r="G383" s="1051">
        <v>4172051.48</v>
      </c>
      <c r="H383" s="1050" t="s">
        <v>251</v>
      </c>
      <c r="I383" s="1052">
        <v>43077</v>
      </c>
      <c r="J383" s="1052">
        <v>43116</v>
      </c>
      <c r="K383" s="1050"/>
      <c r="L383" s="1051"/>
      <c r="M383" s="1051"/>
      <c r="N383" s="1050"/>
      <c r="O383" s="1263"/>
      <c r="P383" s="1050"/>
      <c r="Q383" s="1050"/>
      <c r="R383" s="1144"/>
    </row>
    <row r="384" spans="1:18" ht="15.75" customHeight="1" thickTop="1">
      <c r="A384" s="1044" t="s">
        <v>2381</v>
      </c>
      <c r="B384" s="1045" t="s">
        <v>69</v>
      </c>
      <c r="C384" s="1045" t="s">
        <v>70</v>
      </c>
      <c r="D384" s="770" t="s">
        <v>2364</v>
      </c>
      <c r="E384" s="1045" t="s">
        <v>93</v>
      </c>
      <c r="F384" s="1045"/>
      <c r="G384" s="1046">
        <v>39478800</v>
      </c>
      <c r="H384" s="1045" t="s">
        <v>251</v>
      </c>
      <c r="I384" s="1047">
        <v>43061</v>
      </c>
      <c r="J384" s="1047">
        <v>43103</v>
      </c>
      <c r="K384" s="1045"/>
      <c r="L384" s="1046"/>
      <c r="M384" s="1046"/>
      <c r="N384" s="1045"/>
      <c r="O384" s="1045"/>
      <c r="P384" s="1045"/>
      <c r="Q384" s="1045"/>
      <c r="R384" s="1142"/>
    </row>
    <row r="385" spans="1:19" ht="15" customHeight="1">
      <c r="A385" s="1054" t="s">
        <v>2381</v>
      </c>
      <c r="B385" s="853" t="s">
        <v>69</v>
      </c>
      <c r="C385" s="853" t="s">
        <v>70</v>
      </c>
      <c r="D385" s="771" t="s">
        <v>2365</v>
      </c>
      <c r="E385" s="853" t="s">
        <v>93</v>
      </c>
      <c r="F385" s="853"/>
      <c r="G385" s="854">
        <v>11502108.060000001</v>
      </c>
      <c r="H385" s="853" t="s">
        <v>251</v>
      </c>
      <c r="I385" s="855">
        <v>43061</v>
      </c>
      <c r="J385" s="855">
        <v>43103</v>
      </c>
      <c r="K385" s="853"/>
      <c r="L385" s="854"/>
      <c r="M385" s="854"/>
      <c r="N385" s="853"/>
      <c r="O385" s="853"/>
      <c r="P385" s="853"/>
      <c r="Q385" s="853"/>
      <c r="R385" s="1143"/>
    </row>
    <row r="386" spans="1:19" ht="15" customHeight="1">
      <c r="A386" s="1054" t="s">
        <v>2381</v>
      </c>
      <c r="B386" s="853" t="s">
        <v>69</v>
      </c>
      <c r="C386" s="853" t="s">
        <v>70</v>
      </c>
      <c r="D386" s="771" t="s">
        <v>2366</v>
      </c>
      <c r="E386" s="853" t="s">
        <v>93</v>
      </c>
      <c r="F386" s="853"/>
      <c r="G386" s="854">
        <v>12729355.68</v>
      </c>
      <c r="H386" s="853" t="s">
        <v>251</v>
      </c>
      <c r="I386" s="855">
        <v>43061</v>
      </c>
      <c r="J386" s="855">
        <v>43103</v>
      </c>
      <c r="K386" s="853"/>
      <c r="L386" s="854"/>
      <c r="M386" s="854"/>
      <c r="N386" s="853"/>
      <c r="O386" s="853"/>
      <c r="P386" s="853"/>
      <c r="Q386" s="853"/>
      <c r="R386" s="1143"/>
    </row>
    <row r="387" spans="1:19" ht="15" customHeight="1">
      <c r="A387" s="1054" t="s">
        <v>2381</v>
      </c>
      <c r="B387" s="853" t="s">
        <v>69</v>
      </c>
      <c r="C387" s="853" t="s">
        <v>70</v>
      </c>
      <c r="D387" s="771" t="s">
        <v>2367</v>
      </c>
      <c r="E387" s="853" t="s">
        <v>93</v>
      </c>
      <c r="F387" s="853"/>
      <c r="G387" s="854">
        <v>46981891</v>
      </c>
      <c r="H387" s="853" t="s">
        <v>251</v>
      </c>
      <c r="I387" s="855">
        <v>43061</v>
      </c>
      <c r="J387" s="855">
        <v>43103</v>
      </c>
      <c r="K387" s="853"/>
      <c r="L387" s="854"/>
      <c r="M387" s="854"/>
      <c r="N387" s="853"/>
      <c r="O387" s="853"/>
      <c r="P387" s="853"/>
      <c r="Q387" s="853"/>
      <c r="R387" s="1143"/>
    </row>
    <row r="388" spans="1:19" ht="15" customHeight="1">
      <c r="A388" s="1054" t="s">
        <v>2381</v>
      </c>
      <c r="B388" s="853" t="s">
        <v>69</v>
      </c>
      <c r="C388" s="853" t="s">
        <v>70</v>
      </c>
      <c r="D388" s="771" t="s">
        <v>2368</v>
      </c>
      <c r="E388" s="853" t="s">
        <v>93</v>
      </c>
      <c r="F388" s="853"/>
      <c r="G388" s="854">
        <v>3726366.8</v>
      </c>
      <c r="H388" s="853" t="s">
        <v>251</v>
      </c>
      <c r="I388" s="855">
        <v>43061</v>
      </c>
      <c r="J388" s="855">
        <v>43103</v>
      </c>
      <c r="K388" s="853"/>
      <c r="L388" s="854"/>
      <c r="M388" s="854"/>
      <c r="N388" s="853"/>
      <c r="O388" s="853"/>
      <c r="P388" s="853"/>
      <c r="Q388" s="853"/>
      <c r="R388" s="1143"/>
    </row>
    <row r="389" spans="1:19" ht="15" customHeight="1">
      <c r="A389" s="1054" t="s">
        <v>2381</v>
      </c>
      <c r="B389" s="853" t="s">
        <v>69</v>
      </c>
      <c r="C389" s="853" t="s">
        <v>70</v>
      </c>
      <c r="D389" s="771" t="s">
        <v>2369</v>
      </c>
      <c r="E389" s="853" t="s">
        <v>93</v>
      </c>
      <c r="F389" s="853"/>
      <c r="G389" s="854">
        <v>23613480</v>
      </c>
      <c r="H389" s="853" t="s">
        <v>251</v>
      </c>
      <c r="I389" s="855">
        <v>43061</v>
      </c>
      <c r="J389" s="855">
        <v>43103</v>
      </c>
      <c r="K389" s="853"/>
      <c r="L389" s="854"/>
      <c r="M389" s="854"/>
      <c r="N389" s="853"/>
      <c r="O389" s="853"/>
      <c r="P389" s="853"/>
      <c r="Q389" s="853"/>
      <c r="R389" s="1143"/>
    </row>
    <row r="390" spans="1:19" ht="15.75" customHeight="1" thickBot="1">
      <c r="A390" s="1055" t="s">
        <v>2381</v>
      </c>
      <c r="B390" s="1050" t="s">
        <v>69</v>
      </c>
      <c r="C390" s="1050" t="s">
        <v>70</v>
      </c>
      <c r="D390" s="772" t="s">
        <v>2370</v>
      </c>
      <c r="E390" s="1050" t="s">
        <v>93</v>
      </c>
      <c r="F390" s="1050"/>
      <c r="G390" s="1051">
        <v>846944.64</v>
      </c>
      <c r="H390" s="1050" t="s">
        <v>251</v>
      </c>
      <c r="I390" s="1052">
        <v>43061</v>
      </c>
      <c r="J390" s="1052">
        <v>43103</v>
      </c>
      <c r="K390" s="1050"/>
      <c r="L390" s="1051"/>
      <c r="M390" s="1051"/>
      <c r="N390" s="1050"/>
      <c r="O390" s="1263"/>
      <c r="P390" s="1050"/>
      <c r="Q390" s="1050"/>
      <c r="R390" s="1144"/>
    </row>
    <row r="391" spans="1:19" ht="15.75" customHeight="1" thickTop="1">
      <c r="A391" s="1044" t="s">
        <v>2382</v>
      </c>
      <c r="B391" s="1045" t="s">
        <v>69</v>
      </c>
      <c r="C391" s="1045" t="s">
        <v>70</v>
      </c>
      <c r="D391" s="770" t="s">
        <v>2371</v>
      </c>
      <c r="E391" s="1045" t="s">
        <v>93</v>
      </c>
      <c r="F391" s="1045"/>
      <c r="G391" s="1046">
        <v>19704244.98</v>
      </c>
      <c r="H391" s="1045" t="s">
        <v>251</v>
      </c>
      <c r="I391" s="1047">
        <v>43069</v>
      </c>
      <c r="J391" s="1047">
        <v>43108</v>
      </c>
      <c r="K391" s="1045"/>
      <c r="L391" s="1046"/>
      <c r="M391" s="1046"/>
      <c r="N391" s="1045"/>
      <c r="O391" s="1045"/>
      <c r="P391" s="1045"/>
      <c r="Q391" s="1045"/>
      <c r="R391" s="1142"/>
    </row>
    <row r="392" spans="1:19" ht="15" customHeight="1">
      <c r="A392" s="1054" t="s">
        <v>2382</v>
      </c>
      <c r="B392" s="853" t="s">
        <v>69</v>
      </c>
      <c r="C392" s="853" t="s">
        <v>70</v>
      </c>
      <c r="D392" s="771" t="s">
        <v>2372</v>
      </c>
      <c r="E392" s="853" t="s">
        <v>93</v>
      </c>
      <c r="F392" s="853"/>
      <c r="G392" s="854">
        <v>7155968.7599999998</v>
      </c>
      <c r="H392" s="853" t="s">
        <v>251</v>
      </c>
      <c r="I392" s="855">
        <v>43069</v>
      </c>
      <c r="J392" s="855">
        <v>43108</v>
      </c>
      <c r="K392" s="853"/>
      <c r="L392" s="854"/>
      <c r="M392" s="854"/>
      <c r="N392" s="853"/>
      <c r="O392" s="853"/>
      <c r="P392" s="853"/>
      <c r="Q392" s="853"/>
      <c r="R392" s="1143"/>
    </row>
    <row r="393" spans="1:19" ht="15" customHeight="1">
      <c r="A393" s="1054" t="s">
        <v>2382</v>
      </c>
      <c r="B393" s="853" t="s">
        <v>69</v>
      </c>
      <c r="C393" s="853" t="s">
        <v>70</v>
      </c>
      <c r="D393" s="771" t="s">
        <v>2373</v>
      </c>
      <c r="E393" s="853" t="s">
        <v>93</v>
      </c>
      <c r="F393" s="853"/>
      <c r="G393" s="854">
        <v>3150972</v>
      </c>
      <c r="H393" s="853" t="s">
        <v>251</v>
      </c>
      <c r="I393" s="855">
        <v>43069</v>
      </c>
      <c r="J393" s="855">
        <v>43108</v>
      </c>
      <c r="K393" s="853"/>
      <c r="L393" s="854"/>
      <c r="M393" s="854"/>
      <c r="N393" s="853"/>
      <c r="O393" s="853"/>
      <c r="P393" s="853"/>
      <c r="Q393" s="853"/>
      <c r="R393" s="1143"/>
    </row>
    <row r="394" spans="1:19" ht="15" customHeight="1">
      <c r="A394" s="1054" t="s">
        <v>2382</v>
      </c>
      <c r="B394" s="853" t="s">
        <v>69</v>
      </c>
      <c r="C394" s="853" t="s">
        <v>70</v>
      </c>
      <c r="D394" s="771" t="s">
        <v>2374</v>
      </c>
      <c r="E394" s="853" t="s">
        <v>93</v>
      </c>
      <c r="F394" s="853"/>
      <c r="G394" s="854">
        <v>1785220.92</v>
      </c>
      <c r="H394" s="853" t="s">
        <v>251</v>
      </c>
      <c r="I394" s="855">
        <v>43069</v>
      </c>
      <c r="J394" s="855">
        <v>43108</v>
      </c>
      <c r="K394" s="853"/>
      <c r="L394" s="854"/>
      <c r="M394" s="854"/>
      <c r="N394" s="853"/>
      <c r="O394" s="853"/>
      <c r="P394" s="853"/>
      <c r="Q394" s="853"/>
      <c r="R394" s="1143"/>
    </row>
    <row r="395" spans="1:19" ht="15" customHeight="1">
      <c r="A395" s="1054" t="s">
        <v>2382</v>
      </c>
      <c r="B395" s="853" t="s">
        <v>69</v>
      </c>
      <c r="C395" s="853" t="s">
        <v>70</v>
      </c>
      <c r="D395" s="771" t="s">
        <v>2375</v>
      </c>
      <c r="E395" s="853" t="s">
        <v>93</v>
      </c>
      <c r="F395" s="853"/>
      <c r="G395" s="854">
        <v>6035861.1200000001</v>
      </c>
      <c r="H395" s="853" t="s">
        <v>251</v>
      </c>
      <c r="I395" s="855">
        <v>43069</v>
      </c>
      <c r="J395" s="855">
        <v>43108</v>
      </c>
      <c r="K395" s="853"/>
      <c r="L395" s="854"/>
      <c r="M395" s="854"/>
      <c r="N395" s="853"/>
      <c r="O395" s="853"/>
      <c r="P395" s="853"/>
      <c r="Q395" s="853"/>
      <c r="R395" s="1143"/>
    </row>
    <row r="396" spans="1:19" ht="15" customHeight="1">
      <c r="A396" s="1054" t="s">
        <v>2382</v>
      </c>
      <c r="B396" s="853" t="s">
        <v>69</v>
      </c>
      <c r="C396" s="853" t="s">
        <v>70</v>
      </c>
      <c r="D396" s="771" t="s">
        <v>2376</v>
      </c>
      <c r="E396" s="853" t="s">
        <v>93</v>
      </c>
      <c r="F396" s="853"/>
      <c r="G396" s="854">
        <v>2516460</v>
      </c>
      <c r="H396" s="853" t="s">
        <v>251</v>
      </c>
      <c r="I396" s="855">
        <v>43069</v>
      </c>
      <c r="J396" s="855">
        <v>43108</v>
      </c>
      <c r="K396" s="853"/>
      <c r="L396" s="854"/>
      <c r="M396" s="854"/>
      <c r="N396" s="853"/>
      <c r="O396" s="853"/>
      <c r="P396" s="853"/>
      <c r="Q396" s="853"/>
      <c r="R396" s="1143"/>
    </row>
    <row r="397" spans="1:19" ht="15.75" customHeight="1" thickBot="1">
      <c r="A397" s="1055" t="s">
        <v>2382</v>
      </c>
      <c r="B397" s="1050" t="s">
        <v>69</v>
      </c>
      <c r="C397" s="1050" t="s">
        <v>70</v>
      </c>
      <c r="D397" s="772" t="s">
        <v>2377</v>
      </c>
      <c r="E397" s="1050" t="s">
        <v>93</v>
      </c>
      <c r="F397" s="1050"/>
      <c r="G397" s="1051">
        <v>6451139.04</v>
      </c>
      <c r="H397" s="1050" t="s">
        <v>251</v>
      </c>
      <c r="I397" s="1052">
        <v>43069</v>
      </c>
      <c r="J397" s="1052">
        <v>43108</v>
      </c>
      <c r="K397" s="1050"/>
      <c r="L397" s="1051"/>
      <c r="M397" s="1051"/>
      <c r="N397" s="1050"/>
      <c r="O397" s="1263"/>
      <c r="P397" s="1050"/>
      <c r="Q397" s="1050"/>
      <c r="R397" s="1144"/>
    </row>
    <row r="398" spans="1:19" ht="15.75" customHeight="1" thickTop="1">
      <c r="A398" s="1122" t="s">
        <v>2383</v>
      </c>
      <c r="B398" s="1122" t="s">
        <v>14</v>
      </c>
      <c r="C398" s="1122" t="s">
        <v>13</v>
      </c>
      <c r="D398" s="1148" t="s">
        <v>2384</v>
      </c>
      <c r="E398" s="1122" t="s">
        <v>2385</v>
      </c>
      <c r="F398" s="1122"/>
      <c r="G398" s="1149">
        <v>4145000</v>
      </c>
      <c r="H398" s="1122" t="s">
        <v>251</v>
      </c>
      <c r="I398" s="1150">
        <v>43068</v>
      </c>
      <c r="J398" s="1150">
        <v>43109</v>
      </c>
      <c r="K398" s="1122"/>
      <c r="L398" s="1149"/>
      <c r="M398" s="1149"/>
      <c r="N398" s="1122"/>
      <c r="O398" s="1122"/>
      <c r="P398" s="1122"/>
      <c r="Q398" s="1122"/>
      <c r="R398" s="1076"/>
    </row>
    <row r="399" spans="1:19" s="1146" customFormat="1" ht="15.75" customHeight="1" thickBot="1">
      <c r="A399" s="1028" t="s">
        <v>2395</v>
      </c>
      <c r="B399" s="1028" t="s">
        <v>58</v>
      </c>
      <c r="C399" s="1028" t="s">
        <v>57</v>
      </c>
      <c r="D399" s="1029" t="s">
        <v>2396</v>
      </c>
      <c r="E399" s="869" t="s">
        <v>2398</v>
      </c>
      <c r="F399" s="1028" t="s">
        <v>2397</v>
      </c>
      <c r="G399" s="1034">
        <v>380000</v>
      </c>
      <c r="H399" s="1028" t="s">
        <v>112</v>
      </c>
      <c r="I399" s="1030">
        <v>43061</v>
      </c>
      <c r="J399" s="1030">
        <v>43070</v>
      </c>
      <c r="K399" s="1028" t="s">
        <v>2030</v>
      </c>
      <c r="L399" s="1034">
        <v>321642</v>
      </c>
      <c r="M399" s="1034">
        <v>389186.82</v>
      </c>
      <c r="N399" s="1028"/>
      <c r="O399" s="1028"/>
      <c r="P399" s="1028"/>
      <c r="Q399" s="1028"/>
      <c r="R399" s="1076"/>
      <c r="S399" s="802"/>
    </row>
    <row r="400" spans="1:19" ht="15.75" customHeight="1" thickTop="1">
      <c r="A400" s="1044" t="s">
        <v>2406</v>
      </c>
      <c r="B400" s="1045" t="s">
        <v>69</v>
      </c>
      <c r="C400" s="1045" t="s">
        <v>70</v>
      </c>
      <c r="D400" s="1156" t="s">
        <v>2411</v>
      </c>
      <c r="E400" s="1045" t="s">
        <v>2416</v>
      </c>
      <c r="F400" s="1045"/>
      <c r="G400" s="1046">
        <v>269641.59999999998</v>
      </c>
      <c r="H400" s="1045" t="s">
        <v>251</v>
      </c>
      <c r="I400" s="1047">
        <v>43067</v>
      </c>
      <c r="J400" s="1047">
        <v>43104</v>
      </c>
      <c r="K400" s="1045"/>
      <c r="L400" s="1046"/>
      <c r="M400" s="1046"/>
      <c r="N400" s="1045"/>
      <c r="O400" s="1045"/>
      <c r="P400" s="1045"/>
      <c r="Q400" s="1048"/>
      <c r="R400" s="1083"/>
    </row>
    <row r="401" spans="1:19" ht="15" customHeight="1">
      <c r="A401" s="1054" t="s">
        <v>2406</v>
      </c>
      <c r="B401" s="853" t="s">
        <v>69</v>
      </c>
      <c r="C401" s="853" t="s">
        <v>70</v>
      </c>
      <c r="D401" s="771" t="s">
        <v>2412</v>
      </c>
      <c r="E401" s="853" t="s">
        <v>2416</v>
      </c>
      <c r="F401" s="853"/>
      <c r="G401" s="854">
        <v>961347.58</v>
      </c>
      <c r="H401" s="853" t="s">
        <v>251</v>
      </c>
      <c r="I401" s="855">
        <v>43067</v>
      </c>
      <c r="J401" s="855">
        <v>43104</v>
      </c>
      <c r="K401" s="853"/>
      <c r="L401" s="854"/>
      <c r="M401" s="854"/>
      <c r="N401" s="853"/>
      <c r="O401" s="853"/>
      <c r="P401" s="853"/>
      <c r="Q401" s="1049"/>
      <c r="R401" s="1083"/>
    </row>
    <row r="402" spans="1:19" s="1155" customFormat="1" ht="15" customHeight="1">
      <c r="A402" s="1054" t="s">
        <v>2406</v>
      </c>
      <c r="B402" s="853" t="s">
        <v>69</v>
      </c>
      <c r="C402" s="853" t="s">
        <v>70</v>
      </c>
      <c r="D402" s="771" t="s">
        <v>2413</v>
      </c>
      <c r="E402" s="853" t="s">
        <v>2416</v>
      </c>
      <c r="F402" s="853"/>
      <c r="G402" s="854">
        <v>21963590.640000001</v>
      </c>
      <c r="H402" s="853" t="s">
        <v>251</v>
      </c>
      <c r="I402" s="855">
        <v>43067</v>
      </c>
      <c r="J402" s="855">
        <v>43104</v>
      </c>
      <c r="K402" s="853"/>
      <c r="L402" s="854"/>
      <c r="M402" s="854"/>
      <c r="N402" s="853"/>
      <c r="O402" s="853"/>
      <c r="P402" s="853"/>
      <c r="Q402" s="1049"/>
      <c r="R402" s="1083"/>
      <c r="S402" s="802"/>
    </row>
    <row r="403" spans="1:19" s="1155" customFormat="1" ht="15" customHeight="1">
      <c r="A403" s="1054" t="s">
        <v>2406</v>
      </c>
      <c r="B403" s="853" t="s">
        <v>69</v>
      </c>
      <c r="C403" s="853" t="s">
        <v>70</v>
      </c>
      <c r="D403" s="771" t="s">
        <v>2414</v>
      </c>
      <c r="E403" s="853" t="s">
        <v>2416</v>
      </c>
      <c r="F403" s="853"/>
      <c r="G403" s="854">
        <v>15393728.699999999</v>
      </c>
      <c r="H403" s="853" t="s">
        <v>251</v>
      </c>
      <c r="I403" s="855">
        <v>43067</v>
      </c>
      <c r="J403" s="855">
        <v>43104</v>
      </c>
      <c r="K403" s="853"/>
      <c r="L403" s="854"/>
      <c r="M403" s="854"/>
      <c r="N403" s="853"/>
      <c r="O403" s="853"/>
      <c r="P403" s="853"/>
      <c r="Q403" s="1049"/>
      <c r="R403" s="1083"/>
      <c r="S403" s="802"/>
    </row>
    <row r="404" spans="1:19" s="1155" customFormat="1" ht="15.75" customHeight="1" thickBot="1">
      <c r="A404" s="1055" t="s">
        <v>2406</v>
      </c>
      <c r="B404" s="1050" t="s">
        <v>69</v>
      </c>
      <c r="C404" s="1050" t="s">
        <v>70</v>
      </c>
      <c r="D404" s="772" t="s">
        <v>2415</v>
      </c>
      <c r="E404" s="853" t="s">
        <v>2416</v>
      </c>
      <c r="F404" s="1050"/>
      <c r="G404" s="1051">
        <v>100133671</v>
      </c>
      <c r="H404" s="1050" t="s">
        <v>251</v>
      </c>
      <c r="I404" s="1052">
        <v>43067</v>
      </c>
      <c r="J404" s="1052">
        <v>43104</v>
      </c>
      <c r="K404" s="1050"/>
      <c r="L404" s="1051"/>
      <c r="M404" s="1051"/>
      <c r="N404" s="1050"/>
      <c r="O404" s="1263"/>
      <c r="P404" s="1050"/>
      <c r="Q404" s="1053"/>
      <c r="R404" s="1083"/>
      <c r="S404" s="802"/>
    </row>
    <row r="405" spans="1:19" ht="16.5" customHeight="1" thickTop="1" thickBot="1">
      <c r="A405" s="1184" t="s">
        <v>2408</v>
      </c>
      <c r="B405" s="1184" t="s">
        <v>58</v>
      </c>
      <c r="C405" s="1184" t="s">
        <v>57</v>
      </c>
      <c r="D405" s="1185" t="s">
        <v>2407</v>
      </c>
      <c r="E405" s="1109" t="s">
        <v>2409</v>
      </c>
      <c r="F405" s="1184" t="s">
        <v>2410</v>
      </c>
      <c r="G405" s="1186">
        <v>1530000</v>
      </c>
      <c r="H405" s="1184" t="s">
        <v>112</v>
      </c>
      <c r="I405" s="1187">
        <v>43067</v>
      </c>
      <c r="J405" s="1187">
        <v>43081</v>
      </c>
      <c r="K405" s="1184" t="s">
        <v>2491</v>
      </c>
      <c r="L405" s="1186">
        <v>1239740</v>
      </c>
      <c r="M405" s="1186">
        <v>1500085.4</v>
      </c>
      <c r="N405" s="1184"/>
      <c r="O405" s="1184"/>
      <c r="P405" s="1184"/>
      <c r="Q405" s="1184"/>
      <c r="R405" s="801"/>
    </row>
    <row r="406" spans="1:19" ht="15.75" customHeight="1" thickTop="1">
      <c r="A406" s="1028" t="s">
        <v>2425</v>
      </c>
      <c r="B406" s="1028" t="s">
        <v>1032</v>
      </c>
      <c r="C406" s="1028" t="s">
        <v>1033</v>
      </c>
      <c r="D406" s="1029" t="s">
        <v>2426</v>
      </c>
      <c r="E406" s="1092" t="s">
        <v>2433</v>
      </c>
      <c r="F406" s="1028" t="s">
        <v>2427</v>
      </c>
      <c r="G406" s="1034">
        <v>1035000</v>
      </c>
      <c r="H406" s="1034" t="s">
        <v>112</v>
      </c>
      <c r="I406" s="1030">
        <v>43069</v>
      </c>
      <c r="J406" s="1030">
        <v>43084</v>
      </c>
      <c r="K406" s="1028" t="s">
        <v>2489</v>
      </c>
      <c r="L406" s="1034">
        <v>950000</v>
      </c>
      <c r="M406" s="1034">
        <v>1149500</v>
      </c>
      <c r="N406" s="1028"/>
      <c r="O406" s="1028"/>
      <c r="P406" s="1028"/>
      <c r="Q406" s="1028"/>
      <c r="R406" s="801"/>
    </row>
    <row r="407" spans="1:19" ht="15" customHeight="1">
      <c r="A407" s="869" t="s">
        <v>2431</v>
      </c>
      <c r="B407" s="869" t="s">
        <v>14</v>
      </c>
      <c r="C407" s="869" t="s">
        <v>13</v>
      </c>
      <c r="D407" s="856" t="s">
        <v>2429</v>
      </c>
      <c r="E407" s="869" t="s">
        <v>2430</v>
      </c>
      <c r="F407" s="869"/>
      <c r="G407" s="871">
        <v>1080000</v>
      </c>
      <c r="H407" s="869" t="s">
        <v>112</v>
      </c>
      <c r="I407" s="870">
        <v>43083</v>
      </c>
      <c r="J407" s="870">
        <v>43091</v>
      </c>
      <c r="K407" s="869" t="s">
        <v>2492</v>
      </c>
      <c r="L407" s="871">
        <v>1080430</v>
      </c>
      <c r="M407" s="871">
        <f>L407*1.21</f>
        <v>1307320.3</v>
      </c>
      <c r="N407" s="869"/>
      <c r="O407" s="869"/>
      <c r="P407" s="869"/>
      <c r="Q407" s="869"/>
      <c r="R407" s="801"/>
    </row>
    <row r="408" spans="1:19" ht="15" customHeight="1">
      <c r="A408" s="869" t="s">
        <v>2435</v>
      </c>
      <c r="B408" s="869" t="s">
        <v>2434</v>
      </c>
      <c r="C408" s="869" t="s">
        <v>219</v>
      </c>
      <c r="D408" s="856" t="s">
        <v>2493</v>
      </c>
      <c r="E408" s="869" t="s">
        <v>525</v>
      </c>
      <c r="F408" s="869"/>
      <c r="G408" s="871">
        <v>1041000</v>
      </c>
      <c r="H408" s="869" t="s">
        <v>112</v>
      </c>
      <c r="I408" s="870">
        <v>43077</v>
      </c>
      <c r="J408" s="870">
        <v>43097</v>
      </c>
      <c r="K408" s="869" t="s">
        <v>2497</v>
      </c>
      <c r="L408" s="871">
        <v>908121.2</v>
      </c>
      <c r="M408" s="871">
        <f>L408*1.21</f>
        <v>1098826.652</v>
      </c>
      <c r="N408" s="869"/>
      <c r="O408" s="869"/>
      <c r="P408" s="869"/>
      <c r="Q408" s="869"/>
      <c r="R408" s="801"/>
    </row>
    <row r="409" spans="1:19" s="1188" customFormat="1" ht="15" customHeight="1">
      <c r="A409" s="869" t="s">
        <v>2435</v>
      </c>
      <c r="B409" s="869" t="s">
        <v>2434</v>
      </c>
      <c r="C409" s="869" t="s">
        <v>219</v>
      </c>
      <c r="D409" s="856" t="s">
        <v>2494</v>
      </c>
      <c r="E409" s="869" t="s">
        <v>525</v>
      </c>
      <c r="F409" s="1026"/>
      <c r="G409" s="1027">
        <v>485000</v>
      </c>
      <c r="H409" s="1026" t="s">
        <v>112</v>
      </c>
      <c r="I409" s="870">
        <v>43077</v>
      </c>
      <c r="J409" s="870">
        <v>43097</v>
      </c>
      <c r="K409" s="1026" t="s">
        <v>2496</v>
      </c>
      <c r="L409" s="1027">
        <v>482819</v>
      </c>
      <c r="M409" s="1027">
        <f>L409*1.21</f>
        <v>584210.99</v>
      </c>
      <c r="N409" s="1026"/>
      <c r="O409" s="1026"/>
      <c r="P409" s="1026"/>
      <c r="Q409" s="1026"/>
      <c r="R409" s="801"/>
      <c r="S409" s="802"/>
    </row>
    <row r="410" spans="1:19" s="1188" customFormat="1" ht="15" customHeight="1">
      <c r="A410" s="869" t="s">
        <v>2435</v>
      </c>
      <c r="B410" s="869" t="s">
        <v>2434</v>
      </c>
      <c r="C410" s="869" t="s">
        <v>219</v>
      </c>
      <c r="D410" s="856" t="s">
        <v>2495</v>
      </c>
      <c r="E410" s="869" t="s">
        <v>525</v>
      </c>
      <c r="F410" s="1026"/>
      <c r="G410" s="1027">
        <v>15000</v>
      </c>
      <c r="H410" s="1026" t="s">
        <v>112</v>
      </c>
      <c r="I410" s="870">
        <v>43077</v>
      </c>
      <c r="J410" s="870">
        <v>43097</v>
      </c>
      <c r="K410" s="1026" t="s">
        <v>2498</v>
      </c>
      <c r="L410" s="1027">
        <v>13000</v>
      </c>
      <c r="M410" s="1027">
        <f>L410*1.21</f>
        <v>15730</v>
      </c>
      <c r="N410" s="1026"/>
      <c r="O410" s="1026"/>
      <c r="P410" s="1026"/>
      <c r="Q410" s="1026"/>
      <c r="R410" s="801"/>
      <c r="S410" s="802"/>
    </row>
    <row r="411" spans="1:19" ht="15.75" customHeight="1" thickBot="1">
      <c r="A411" s="925" t="s">
        <v>2436</v>
      </c>
      <c r="B411" s="925" t="s">
        <v>166</v>
      </c>
      <c r="C411" s="925" t="s">
        <v>167</v>
      </c>
      <c r="D411" s="926" t="s">
        <v>2437</v>
      </c>
      <c r="E411" s="925" t="s">
        <v>1676</v>
      </c>
      <c r="F411" s="925" t="s">
        <v>2036</v>
      </c>
      <c r="G411" s="927">
        <v>5950400</v>
      </c>
      <c r="H411" s="925" t="s">
        <v>112</v>
      </c>
      <c r="I411" s="928">
        <v>43069</v>
      </c>
      <c r="J411" s="928">
        <v>43084</v>
      </c>
      <c r="K411" s="929" t="s">
        <v>242</v>
      </c>
      <c r="L411" s="927"/>
      <c r="M411" s="927"/>
      <c r="N411" s="925"/>
      <c r="O411" s="925"/>
      <c r="P411" s="925" t="s">
        <v>239</v>
      </c>
      <c r="Q411" s="925" t="s">
        <v>239</v>
      </c>
      <c r="R411" s="801"/>
    </row>
    <row r="412" spans="1:19" ht="15.75" customHeight="1" thickTop="1">
      <c r="A412" s="1044" t="s">
        <v>2439</v>
      </c>
      <c r="B412" s="1045" t="s">
        <v>69</v>
      </c>
      <c r="C412" s="1045" t="s">
        <v>70</v>
      </c>
      <c r="D412" s="770" t="s">
        <v>2440</v>
      </c>
      <c r="E412" s="1045" t="s">
        <v>72</v>
      </c>
      <c r="F412" s="1045"/>
      <c r="G412" s="1046">
        <v>360876</v>
      </c>
      <c r="H412" s="1045" t="s">
        <v>251</v>
      </c>
      <c r="I412" s="1047">
        <v>43083</v>
      </c>
      <c r="J412" s="1047">
        <v>43123</v>
      </c>
      <c r="K412" s="1045"/>
      <c r="L412" s="1046"/>
      <c r="M412" s="1046"/>
      <c r="N412" s="1045"/>
      <c r="O412" s="1045"/>
      <c r="P412" s="1045"/>
      <c r="Q412" s="1048"/>
      <c r="R412" s="1083"/>
    </row>
    <row r="413" spans="1:19" ht="15" customHeight="1">
      <c r="A413" s="1054" t="s">
        <v>2439</v>
      </c>
      <c r="B413" s="853" t="s">
        <v>69</v>
      </c>
      <c r="C413" s="853" t="s">
        <v>70</v>
      </c>
      <c r="D413" s="771" t="s">
        <v>2441</v>
      </c>
      <c r="E413" s="853" t="s">
        <v>72</v>
      </c>
      <c r="F413" s="853"/>
      <c r="G413" s="854">
        <v>2935333</v>
      </c>
      <c r="H413" s="853" t="s">
        <v>251</v>
      </c>
      <c r="I413" s="855">
        <v>43083</v>
      </c>
      <c r="J413" s="855">
        <v>43123</v>
      </c>
      <c r="K413" s="853"/>
      <c r="L413" s="854"/>
      <c r="M413" s="854"/>
      <c r="N413" s="853"/>
      <c r="O413" s="853"/>
      <c r="P413" s="853"/>
      <c r="Q413" s="1049"/>
      <c r="R413" s="1083"/>
    </row>
    <row r="414" spans="1:19" ht="15" customHeight="1">
      <c r="A414" s="1054" t="s">
        <v>2439</v>
      </c>
      <c r="B414" s="853" t="s">
        <v>69</v>
      </c>
      <c r="C414" s="853" t="s">
        <v>70</v>
      </c>
      <c r="D414" s="771" t="s">
        <v>2442</v>
      </c>
      <c r="E414" s="853" t="s">
        <v>72</v>
      </c>
      <c r="F414" s="853"/>
      <c r="G414" s="854">
        <v>1410369</v>
      </c>
      <c r="H414" s="853" t="s">
        <v>251</v>
      </c>
      <c r="I414" s="855">
        <v>43083</v>
      </c>
      <c r="J414" s="855">
        <v>43123</v>
      </c>
      <c r="K414" s="853"/>
      <c r="L414" s="854"/>
      <c r="M414" s="854"/>
      <c r="N414" s="853"/>
      <c r="O414" s="853"/>
      <c r="P414" s="853"/>
      <c r="Q414" s="1049"/>
      <c r="R414" s="1083"/>
    </row>
    <row r="415" spans="1:19" ht="15" customHeight="1">
      <c r="A415" s="1054" t="s">
        <v>2439</v>
      </c>
      <c r="B415" s="853" t="s">
        <v>69</v>
      </c>
      <c r="C415" s="853" t="s">
        <v>70</v>
      </c>
      <c r="D415" s="771" t="s">
        <v>2443</v>
      </c>
      <c r="E415" s="853" t="s">
        <v>72</v>
      </c>
      <c r="F415" s="853"/>
      <c r="G415" s="854">
        <v>807048</v>
      </c>
      <c r="H415" s="853" t="s">
        <v>251</v>
      </c>
      <c r="I415" s="855">
        <v>43083</v>
      </c>
      <c r="J415" s="855">
        <v>43123</v>
      </c>
      <c r="K415" s="853"/>
      <c r="L415" s="854"/>
      <c r="M415" s="854"/>
      <c r="N415" s="853"/>
      <c r="O415" s="853"/>
      <c r="P415" s="853"/>
      <c r="Q415" s="1049"/>
      <c r="R415" s="1083"/>
    </row>
    <row r="416" spans="1:19" ht="15" customHeight="1">
      <c r="A416" s="1054" t="s">
        <v>2439</v>
      </c>
      <c r="B416" s="853" t="s">
        <v>69</v>
      </c>
      <c r="C416" s="853" t="s">
        <v>70</v>
      </c>
      <c r="D416" s="771" t="s">
        <v>2444</v>
      </c>
      <c r="E416" s="853" t="s">
        <v>72</v>
      </c>
      <c r="F416" s="853"/>
      <c r="G416" s="854">
        <v>5890312</v>
      </c>
      <c r="H416" s="853" t="s">
        <v>251</v>
      </c>
      <c r="I416" s="855">
        <v>43083</v>
      </c>
      <c r="J416" s="855">
        <v>43123</v>
      </c>
      <c r="K416" s="853"/>
      <c r="L416" s="854"/>
      <c r="M416" s="854"/>
      <c r="N416" s="853"/>
      <c r="O416" s="853"/>
      <c r="P416" s="853"/>
      <c r="Q416" s="1049"/>
      <c r="R416" s="1083"/>
    </row>
    <row r="417" spans="1:19" ht="15" customHeight="1">
      <c r="A417" s="1054" t="s">
        <v>2439</v>
      </c>
      <c r="B417" s="853" t="s">
        <v>69</v>
      </c>
      <c r="C417" s="853" t="s">
        <v>70</v>
      </c>
      <c r="D417" s="771" t="s">
        <v>2445</v>
      </c>
      <c r="E417" s="853" t="s">
        <v>72</v>
      </c>
      <c r="F417" s="853"/>
      <c r="G417" s="854">
        <v>1493238</v>
      </c>
      <c r="H417" s="853" t="s">
        <v>251</v>
      </c>
      <c r="I417" s="855">
        <v>43083</v>
      </c>
      <c r="J417" s="855">
        <v>43123</v>
      </c>
      <c r="K417" s="853"/>
      <c r="L417" s="854"/>
      <c r="M417" s="854"/>
      <c r="N417" s="853"/>
      <c r="O417" s="853"/>
      <c r="P417" s="853"/>
      <c r="Q417" s="1049"/>
      <c r="R417" s="1083"/>
    </row>
    <row r="418" spans="1:19" ht="15" customHeight="1">
      <c r="A418" s="1054" t="s">
        <v>2439</v>
      </c>
      <c r="B418" s="853" t="s">
        <v>69</v>
      </c>
      <c r="C418" s="853" t="s">
        <v>70</v>
      </c>
      <c r="D418" s="771" t="s">
        <v>2446</v>
      </c>
      <c r="E418" s="853" t="s">
        <v>72</v>
      </c>
      <c r="F418" s="853"/>
      <c r="G418" s="854">
        <v>3703522</v>
      </c>
      <c r="H418" s="853" t="s">
        <v>251</v>
      </c>
      <c r="I418" s="855">
        <v>43083</v>
      </c>
      <c r="J418" s="855">
        <v>43123</v>
      </c>
      <c r="K418" s="853"/>
      <c r="L418" s="854"/>
      <c r="M418" s="854"/>
      <c r="N418" s="853"/>
      <c r="O418" s="853"/>
      <c r="P418" s="853"/>
      <c r="Q418" s="1049"/>
      <c r="R418" s="1083"/>
    </row>
    <row r="419" spans="1:19" ht="15.75" customHeight="1" thickBot="1">
      <c r="A419" s="1176" t="s">
        <v>2439</v>
      </c>
      <c r="B419" s="1151" t="s">
        <v>69</v>
      </c>
      <c r="C419" s="1151" t="s">
        <v>70</v>
      </c>
      <c r="D419" s="1152" t="s">
        <v>2447</v>
      </c>
      <c r="E419" s="1151" t="s">
        <v>72</v>
      </c>
      <c r="F419" s="1151"/>
      <c r="G419" s="1153">
        <v>10176790</v>
      </c>
      <c r="H419" s="1151" t="s">
        <v>251</v>
      </c>
      <c r="I419" s="1154">
        <v>43083</v>
      </c>
      <c r="J419" s="1154">
        <v>43123</v>
      </c>
      <c r="K419" s="1151"/>
      <c r="L419" s="1153"/>
      <c r="M419" s="1153"/>
      <c r="N419" s="1151"/>
      <c r="O419" s="1151"/>
      <c r="P419" s="1151"/>
      <c r="Q419" s="1177"/>
      <c r="R419" s="1083"/>
    </row>
    <row r="420" spans="1:19" ht="15.75" customHeight="1" thickTop="1">
      <c r="A420" s="1044" t="s">
        <v>2448</v>
      </c>
      <c r="B420" s="1045" t="s">
        <v>69</v>
      </c>
      <c r="C420" s="1045" t="s">
        <v>70</v>
      </c>
      <c r="D420" s="770" t="s">
        <v>2449</v>
      </c>
      <c r="E420" s="1045" t="s">
        <v>68</v>
      </c>
      <c r="F420" s="1045"/>
      <c r="G420" s="1046">
        <v>40489140</v>
      </c>
      <c r="H420" s="1045" t="s">
        <v>251</v>
      </c>
      <c r="I420" s="1047">
        <v>43081</v>
      </c>
      <c r="J420" s="1047">
        <v>43119</v>
      </c>
      <c r="K420" s="1045"/>
      <c r="L420" s="1046"/>
      <c r="M420" s="1046"/>
      <c r="N420" s="1045"/>
      <c r="O420" s="1045"/>
      <c r="P420" s="1045"/>
      <c r="Q420" s="1048"/>
      <c r="R420" s="1083"/>
    </row>
    <row r="421" spans="1:19" ht="15" customHeight="1">
      <c r="A421" s="1172" t="s">
        <v>2448</v>
      </c>
      <c r="B421" s="1122" t="s">
        <v>69</v>
      </c>
      <c r="C421" s="1122" t="s">
        <v>70</v>
      </c>
      <c r="D421" s="1148" t="s">
        <v>2450</v>
      </c>
      <c r="E421" s="1122" t="s">
        <v>68</v>
      </c>
      <c r="F421" s="1122"/>
      <c r="G421" s="854">
        <v>2068139</v>
      </c>
      <c r="H421" s="1122" t="s">
        <v>251</v>
      </c>
      <c r="I421" s="855">
        <v>43081</v>
      </c>
      <c r="J421" s="855">
        <v>43119</v>
      </c>
      <c r="K421" s="853"/>
      <c r="L421" s="854"/>
      <c r="M421" s="854"/>
      <c r="N421" s="853"/>
      <c r="O421" s="853"/>
      <c r="P421" s="853"/>
      <c r="Q421" s="1049"/>
      <c r="R421" s="1083"/>
    </row>
    <row r="422" spans="1:19" ht="15" customHeight="1">
      <c r="A422" s="1172" t="s">
        <v>2448</v>
      </c>
      <c r="B422" s="1122" t="s">
        <v>69</v>
      </c>
      <c r="C422" s="1122" t="s">
        <v>70</v>
      </c>
      <c r="D422" s="1148" t="s">
        <v>2451</v>
      </c>
      <c r="E422" s="1122" t="s">
        <v>68</v>
      </c>
      <c r="F422" s="1122"/>
      <c r="G422" s="854">
        <v>80635182</v>
      </c>
      <c r="H422" s="1122" t="s">
        <v>251</v>
      </c>
      <c r="I422" s="855">
        <v>43081</v>
      </c>
      <c r="J422" s="855">
        <v>43119</v>
      </c>
      <c r="K422" s="853"/>
      <c r="L422" s="854"/>
      <c r="M422" s="854"/>
      <c r="N422" s="853"/>
      <c r="O422" s="853"/>
      <c r="P422" s="853"/>
      <c r="Q422" s="1049"/>
      <c r="R422" s="1083"/>
    </row>
    <row r="423" spans="1:19" ht="15" customHeight="1">
      <c r="A423" s="1172" t="s">
        <v>2448</v>
      </c>
      <c r="B423" s="1122" t="s">
        <v>69</v>
      </c>
      <c r="C423" s="1122" t="s">
        <v>70</v>
      </c>
      <c r="D423" s="1148" t="s">
        <v>2452</v>
      </c>
      <c r="E423" s="1122" t="s">
        <v>68</v>
      </c>
      <c r="F423" s="1122"/>
      <c r="G423" s="854">
        <v>27845933</v>
      </c>
      <c r="H423" s="1122" t="s">
        <v>251</v>
      </c>
      <c r="I423" s="855">
        <v>43081</v>
      </c>
      <c r="J423" s="855">
        <v>43119</v>
      </c>
      <c r="K423" s="853"/>
      <c r="L423" s="854"/>
      <c r="M423" s="854"/>
      <c r="N423" s="853"/>
      <c r="O423" s="853"/>
      <c r="P423" s="853"/>
      <c r="Q423" s="1049"/>
      <c r="R423" s="1083"/>
    </row>
    <row r="424" spans="1:19" ht="15.75" customHeight="1" thickBot="1">
      <c r="A424" s="1173" t="s">
        <v>2448</v>
      </c>
      <c r="B424" s="1174" t="s">
        <v>69</v>
      </c>
      <c r="C424" s="1174" t="s">
        <v>70</v>
      </c>
      <c r="D424" s="1175" t="s">
        <v>2453</v>
      </c>
      <c r="E424" s="1174" t="s">
        <v>68</v>
      </c>
      <c r="F424" s="1174"/>
      <c r="G424" s="1051">
        <v>3061412</v>
      </c>
      <c r="H424" s="1174" t="s">
        <v>251</v>
      </c>
      <c r="I424" s="1052">
        <v>43081</v>
      </c>
      <c r="J424" s="1052">
        <v>43119</v>
      </c>
      <c r="K424" s="1050"/>
      <c r="L424" s="1051"/>
      <c r="M424" s="1051"/>
      <c r="N424" s="1050"/>
      <c r="O424" s="1263"/>
      <c r="P424" s="1050"/>
      <c r="Q424" s="1053"/>
      <c r="R424" s="1083"/>
    </row>
    <row r="425" spans="1:19" ht="15.75" customHeight="1" thickTop="1">
      <c r="A425" s="1076" t="s">
        <v>2454</v>
      </c>
      <c r="B425" s="1076" t="s">
        <v>52</v>
      </c>
      <c r="C425" s="1076" t="s">
        <v>227</v>
      </c>
      <c r="D425" s="1168" t="s">
        <v>2455</v>
      </c>
      <c r="E425" s="1141" t="s">
        <v>1490</v>
      </c>
      <c r="F425" s="1076" t="s">
        <v>1709</v>
      </c>
      <c r="G425" s="1125">
        <v>33000000</v>
      </c>
      <c r="H425" s="1076" t="s">
        <v>251</v>
      </c>
      <c r="I425" s="1076"/>
      <c r="J425" s="1076"/>
      <c r="K425" s="1076"/>
      <c r="L425" s="1125"/>
      <c r="M425" s="1125"/>
      <c r="N425" s="1076"/>
      <c r="O425" s="1076"/>
      <c r="P425" s="1076"/>
      <c r="Q425" s="1076"/>
      <c r="R425" s="801"/>
    </row>
    <row r="426" spans="1:19" ht="15" customHeight="1">
      <c r="A426" s="853" t="s">
        <v>2459</v>
      </c>
      <c r="B426" s="853" t="s">
        <v>1032</v>
      </c>
      <c r="C426" s="853" t="s">
        <v>361</v>
      </c>
      <c r="D426" s="771" t="s">
        <v>2456</v>
      </c>
      <c r="E426" s="853" t="s">
        <v>2457</v>
      </c>
      <c r="F426" s="853" t="s">
        <v>2458</v>
      </c>
      <c r="G426" s="854">
        <v>3595950</v>
      </c>
      <c r="H426" s="853" t="s">
        <v>112</v>
      </c>
      <c r="I426" s="855">
        <v>43087</v>
      </c>
      <c r="J426" s="855">
        <v>43105</v>
      </c>
      <c r="K426" s="853"/>
      <c r="L426" s="854"/>
      <c r="M426" s="854"/>
      <c r="N426" s="853"/>
      <c r="O426" s="853"/>
      <c r="P426" s="853"/>
      <c r="Q426" s="853"/>
      <c r="R426" s="801"/>
    </row>
    <row r="427" spans="1:19" s="1016" customFormat="1" ht="15" customHeight="1">
      <c r="A427" s="1157" t="s">
        <v>2469</v>
      </c>
      <c r="B427" s="1157" t="s">
        <v>58</v>
      </c>
      <c r="C427" s="1157" t="s">
        <v>57</v>
      </c>
      <c r="D427" s="1158" t="s">
        <v>2460</v>
      </c>
      <c r="E427" s="1157" t="s">
        <v>1988</v>
      </c>
      <c r="F427" s="1157" t="s">
        <v>2343</v>
      </c>
      <c r="G427" s="1159">
        <v>305000</v>
      </c>
      <c r="H427" s="1157" t="s">
        <v>112</v>
      </c>
      <c r="I427" s="1160">
        <v>43087</v>
      </c>
      <c r="J427" s="1160">
        <v>43104</v>
      </c>
      <c r="K427" s="1181"/>
      <c r="L427" s="1159"/>
      <c r="M427" s="1159"/>
      <c r="N427" s="1157"/>
      <c r="O427" s="1157"/>
      <c r="P427" s="1157" t="s">
        <v>239</v>
      </c>
      <c r="Q427" s="1157" t="s">
        <v>239</v>
      </c>
      <c r="R427" s="1078"/>
      <c r="S427" s="1554"/>
    </row>
    <row r="428" spans="1:19" s="1016" customFormat="1" ht="15" customHeight="1">
      <c r="A428" s="1054" t="s">
        <v>2482</v>
      </c>
      <c r="B428" s="853" t="s">
        <v>166</v>
      </c>
      <c r="C428" s="853" t="s">
        <v>167</v>
      </c>
      <c r="D428" s="771" t="s">
        <v>2483</v>
      </c>
      <c r="E428" s="853" t="s">
        <v>33</v>
      </c>
      <c r="F428" s="853"/>
      <c r="G428" s="854">
        <v>6500000</v>
      </c>
      <c r="H428" s="853" t="s">
        <v>216</v>
      </c>
      <c r="I428" s="855">
        <v>43088</v>
      </c>
      <c r="J428" s="855">
        <v>43110</v>
      </c>
      <c r="K428" s="1183"/>
      <c r="L428" s="854"/>
      <c r="M428" s="854"/>
      <c r="N428" s="853"/>
      <c r="O428" s="853"/>
      <c r="P428" s="853"/>
      <c r="Q428" s="853"/>
      <c r="R428" s="1078"/>
      <c r="S428" s="1554"/>
    </row>
    <row r="429" spans="1:19" s="1016" customFormat="1" ht="15" customHeight="1">
      <c r="A429" s="1178" t="s">
        <v>2484</v>
      </c>
      <c r="B429" s="1078" t="s">
        <v>837</v>
      </c>
      <c r="C429" s="1078" t="s">
        <v>1966</v>
      </c>
      <c r="D429" s="1015" t="s">
        <v>2485</v>
      </c>
      <c r="E429" s="1078" t="s">
        <v>158</v>
      </c>
      <c r="F429" s="1078" t="s">
        <v>2149</v>
      </c>
      <c r="G429" s="1079">
        <v>1900000</v>
      </c>
      <c r="H429" s="1078" t="s">
        <v>112</v>
      </c>
      <c r="I429" s="1080"/>
      <c r="J429" s="1080"/>
      <c r="K429" s="1179"/>
      <c r="L429" s="1079"/>
      <c r="M429" s="1079"/>
      <c r="N429" s="1078"/>
      <c r="O429" s="1078"/>
      <c r="P429" s="1078"/>
      <c r="Q429" s="1078"/>
      <c r="R429" s="1078"/>
      <c r="S429" s="1554"/>
    </row>
    <row r="430" spans="1:19" s="1016" customFormat="1" ht="15" customHeight="1">
      <c r="A430" s="1054" t="s">
        <v>2486</v>
      </c>
      <c r="B430" s="853" t="s">
        <v>2434</v>
      </c>
      <c r="C430" s="853" t="s">
        <v>219</v>
      </c>
      <c r="D430" s="771" t="s">
        <v>2487</v>
      </c>
      <c r="E430" s="853" t="s">
        <v>1042</v>
      </c>
      <c r="F430" s="853"/>
      <c r="G430" s="854">
        <v>1027000</v>
      </c>
      <c r="H430" s="853" t="s">
        <v>112</v>
      </c>
      <c r="I430" s="855">
        <v>43089</v>
      </c>
      <c r="J430" s="855">
        <v>43110</v>
      </c>
      <c r="K430" s="1183"/>
      <c r="L430" s="854"/>
      <c r="M430" s="854"/>
      <c r="N430" s="853"/>
      <c r="O430" s="853"/>
      <c r="P430" s="853"/>
      <c r="Q430" s="853"/>
      <c r="R430" s="1078"/>
      <c r="S430" s="1554"/>
    </row>
    <row r="431" spans="1:19" ht="15" customHeight="1">
      <c r="A431" s="1172" t="s">
        <v>2488</v>
      </c>
      <c r="B431" s="1122" t="s">
        <v>69</v>
      </c>
      <c r="C431" s="1122" t="s">
        <v>70</v>
      </c>
      <c r="D431" s="1148" t="s">
        <v>2461</v>
      </c>
      <c r="E431" s="1122" t="s">
        <v>93</v>
      </c>
      <c r="F431" s="1122"/>
      <c r="G431" s="1149">
        <v>15915347</v>
      </c>
      <c r="H431" s="1122" t="s">
        <v>251</v>
      </c>
      <c r="I431" s="1150">
        <v>43089</v>
      </c>
      <c r="J431" s="1150">
        <v>43136</v>
      </c>
      <c r="K431" s="1122"/>
      <c r="L431" s="1149"/>
      <c r="M431" s="1149"/>
      <c r="N431" s="1122"/>
      <c r="O431" s="1122"/>
      <c r="P431" s="1122"/>
      <c r="Q431" s="1189"/>
      <c r="R431" s="1180"/>
    </row>
    <row r="432" spans="1:19" ht="15" customHeight="1">
      <c r="A432" s="1054" t="s">
        <v>2488</v>
      </c>
      <c r="B432" s="853" t="s">
        <v>69</v>
      </c>
      <c r="C432" s="853" t="s">
        <v>70</v>
      </c>
      <c r="D432" s="771" t="s">
        <v>2462</v>
      </c>
      <c r="E432" s="853" t="s">
        <v>93</v>
      </c>
      <c r="F432" s="853"/>
      <c r="G432" s="854">
        <v>2900994</v>
      </c>
      <c r="H432" s="853" t="s">
        <v>251</v>
      </c>
      <c r="I432" s="855">
        <v>43089</v>
      </c>
      <c r="J432" s="855">
        <v>43136</v>
      </c>
      <c r="K432" s="853"/>
      <c r="L432" s="854"/>
      <c r="M432" s="854"/>
      <c r="N432" s="853"/>
      <c r="O432" s="853"/>
      <c r="P432" s="853"/>
      <c r="Q432" s="1049"/>
      <c r="R432" s="1083"/>
    </row>
    <row r="433" spans="1:18" ht="15" customHeight="1">
      <c r="A433" s="1054" t="s">
        <v>2488</v>
      </c>
      <c r="B433" s="853" t="s">
        <v>69</v>
      </c>
      <c r="C433" s="853" t="s">
        <v>70</v>
      </c>
      <c r="D433" s="771" t="s">
        <v>2463</v>
      </c>
      <c r="E433" s="853" t="s">
        <v>93</v>
      </c>
      <c r="F433" s="853"/>
      <c r="G433" s="854">
        <v>12262903</v>
      </c>
      <c r="H433" s="853" t="s">
        <v>251</v>
      </c>
      <c r="I433" s="855">
        <v>43089</v>
      </c>
      <c r="J433" s="855">
        <v>43136</v>
      </c>
      <c r="K433" s="853"/>
      <c r="L433" s="854"/>
      <c r="M433" s="854"/>
      <c r="N433" s="853"/>
      <c r="O433" s="853"/>
      <c r="P433" s="853"/>
      <c r="Q433" s="1049"/>
      <c r="R433" s="1083"/>
    </row>
    <row r="434" spans="1:18" ht="15" customHeight="1">
      <c r="A434" s="1054" t="s">
        <v>2488</v>
      </c>
      <c r="B434" s="853" t="s">
        <v>69</v>
      </c>
      <c r="C434" s="853" t="s">
        <v>70</v>
      </c>
      <c r="D434" s="771" t="s">
        <v>2464</v>
      </c>
      <c r="E434" s="853" t="s">
        <v>93</v>
      </c>
      <c r="F434" s="853"/>
      <c r="G434" s="854">
        <v>3124080</v>
      </c>
      <c r="H434" s="853" t="s">
        <v>251</v>
      </c>
      <c r="I434" s="855">
        <v>43089</v>
      </c>
      <c r="J434" s="855">
        <v>43136</v>
      </c>
      <c r="K434" s="853"/>
      <c r="L434" s="854"/>
      <c r="M434" s="854"/>
      <c r="N434" s="853"/>
      <c r="O434" s="853"/>
      <c r="P434" s="853"/>
      <c r="Q434" s="1049"/>
      <c r="R434" s="1083"/>
    </row>
    <row r="435" spans="1:18" ht="15" customHeight="1">
      <c r="A435" s="1054" t="s">
        <v>2488</v>
      </c>
      <c r="B435" s="853" t="s">
        <v>69</v>
      </c>
      <c r="C435" s="853" t="s">
        <v>70</v>
      </c>
      <c r="D435" s="771" t="s">
        <v>2465</v>
      </c>
      <c r="E435" s="853" t="s">
        <v>93</v>
      </c>
      <c r="F435" s="853"/>
      <c r="G435" s="854">
        <v>4084640</v>
      </c>
      <c r="H435" s="853" t="s">
        <v>251</v>
      </c>
      <c r="I435" s="855">
        <v>43089</v>
      </c>
      <c r="J435" s="855">
        <v>43136</v>
      </c>
      <c r="K435" s="853"/>
      <c r="L435" s="854"/>
      <c r="M435" s="854"/>
      <c r="N435" s="853"/>
      <c r="O435" s="853"/>
      <c r="P435" s="853"/>
      <c r="Q435" s="1049"/>
      <c r="R435" s="1083"/>
    </row>
    <row r="436" spans="1:18" ht="15" customHeight="1">
      <c r="A436" s="1054" t="s">
        <v>2488</v>
      </c>
      <c r="B436" s="853" t="s">
        <v>69</v>
      </c>
      <c r="C436" s="853" t="s">
        <v>70</v>
      </c>
      <c r="D436" s="771" t="s">
        <v>2466</v>
      </c>
      <c r="E436" s="853" t="s">
        <v>93</v>
      </c>
      <c r="F436" s="853"/>
      <c r="G436" s="854">
        <v>50787000</v>
      </c>
      <c r="H436" s="853" t="s">
        <v>251</v>
      </c>
      <c r="I436" s="855">
        <v>43089</v>
      </c>
      <c r="J436" s="855">
        <v>43136</v>
      </c>
      <c r="K436" s="853"/>
      <c r="L436" s="854"/>
      <c r="M436" s="854"/>
      <c r="N436" s="853"/>
      <c r="O436" s="853"/>
      <c r="P436" s="853"/>
      <c r="Q436" s="1049"/>
      <c r="R436" s="1083"/>
    </row>
    <row r="437" spans="1:18" ht="15" customHeight="1">
      <c r="A437" s="1054" t="s">
        <v>2488</v>
      </c>
      <c r="B437" s="853" t="s">
        <v>69</v>
      </c>
      <c r="C437" s="853" t="s">
        <v>70</v>
      </c>
      <c r="D437" s="771" t="s">
        <v>2467</v>
      </c>
      <c r="E437" s="853" t="s">
        <v>93</v>
      </c>
      <c r="F437" s="853"/>
      <c r="G437" s="854">
        <v>14719291</v>
      </c>
      <c r="H437" s="853" t="s">
        <v>251</v>
      </c>
      <c r="I437" s="855">
        <v>43089</v>
      </c>
      <c r="J437" s="855">
        <v>43136</v>
      </c>
      <c r="K437" s="853"/>
      <c r="L437" s="854"/>
      <c r="M437" s="854"/>
      <c r="N437" s="853"/>
      <c r="O437" s="853"/>
      <c r="P437" s="853"/>
      <c r="Q437" s="1049"/>
      <c r="R437" s="1083"/>
    </row>
    <row r="438" spans="1:18" ht="15.75" customHeight="1" thickBot="1">
      <c r="A438" s="1055" t="s">
        <v>2488</v>
      </c>
      <c r="B438" s="1050" t="s">
        <v>69</v>
      </c>
      <c r="C438" s="1050" t="s">
        <v>70</v>
      </c>
      <c r="D438" s="772" t="s">
        <v>2468</v>
      </c>
      <c r="E438" s="1050" t="s">
        <v>93</v>
      </c>
      <c r="F438" s="1050"/>
      <c r="G438" s="1051">
        <v>4387442</v>
      </c>
      <c r="H438" s="1050" t="s">
        <v>251</v>
      </c>
      <c r="I438" s="1052">
        <v>43089</v>
      </c>
      <c r="J438" s="1052">
        <v>43136</v>
      </c>
      <c r="K438" s="1050"/>
      <c r="L438" s="1051"/>
      <c r="M438" s="1051"/>
      <c r="N438" s="1050"/>
      <c r="O438" s="1263"/>
      <c r="P438" s="1050"/>
      <c r="Q438" s="1053"/>
      <c r="R438" s="1083"/>
    </row>
    <row r="439" spans="1:18" ht="15.75" customHeight="1" thickTop="1">
      <c r="A439" s="1076" t="s">
        <v>2499</v>
      </c>
      <c r="B439" s="1076" t="s">
        <v>14</v>
      </c>
      <c r="C439" s="1076" t="s">
        <v>13</v>
      </c>
      <c r="D439" s="1168" t="s">
        <v>2500</v>
      </c>
      <c r="E439" s="1141" t="s">
        <v>1226</v>
      </c>
      <c r="F439" s="1141" t="s">
        <v>2501</v>
      </c>
      <c r="G439" s="1125">
        <v>3500000</v>
      </c>
      <c r="H439" s="1076" t="s">
        <v>216</v>
      </c>
      <c r="I439" s="1076"/>
      <c r="J439" s="1076"/>
      <c r="K439" s="1076"/>
      <c r="L439" s="1125"/>
      <c r="M439" s="1125"/>
      <c r="N439" s="1076"/>
      <c r="O439" s="1076"/>
      <c r="P439" s="1076"/>
      <c r="Q439" s="1076"/>
      <c r="R439" s="801"/>
    </row>
    <row r="440" spans="1:18">
      <c r="A440" s="801"/>
      <c r="B440" s="801"/>
      <c r="C440" s="801"/>
      <c r="D440" s="480"/>
      <c r="E440" s="801"/>
      <c r="F440" s="801"/>
      <c r="G440" s="803"/>
      <c r="H440" s="801"/>
      <c r="I440" s="801"/>
      <c r="J440" s="801"/>
      <c r="K440" s="801"/>
      <c r="L440" s="803"/>
      <c r="M440" s="803"/>
      <c r="N440" s="801"/>
      <c r="O440" s="801"/>
      <c r="P440" s="801"/>
      <c r="Q440" s="801"/>
      <c r="R440" s="801"/>
    </row>
    <row r="441" spans="1:18">
      <c r="A441" s="801"/>
      <c r="B441" s="801"/>
      <c r="C441" s="801"/>
      <c r="D441" s="480"/>
      <c r="E441" s="801"/>
      <c r="F441" s="801"/>
      <c r="G441" s="803"/>
      <c r="H441" s="801"/>
      <c r="I441" s="801"/>
      <c r="J441" s="801"/>
      <c r="K441" s="801"/>
      <c r="L441" s="803"/>
      <c r="M441" s="803"/>
      <c r="N441" s="801"/>
      <c r="O441" s="801"/>
      <c r="P441" s="801"/>
      <c r="Q441" s="801"/>
      <c r="R441" s="801"/>
    </row>
    <row r="442" spans="1:18">
      <c r="A442" s="801"/>
      <c r="B442" s="801"/>
      <c r="C442" s="801"/>
      <c r="D442" s="480"/>
      <c r="E442" s="801"/>
      <c r="F442" s="801"/>
      <c r="G442" s="803"/>
      <c r="H442" s="801"/>
      <c r="I442" s="801"/>
      <c r="J442" s="801"/>
      <c r="K442" s="801"/>
      <c r="L442" s="803"/>
      <c r="M442" s="803"/>
      <c r="N442" s="801"/>
      <c r="O442" s="801"/>
      <c r="P442" s="801"/>
      <c r="Q442" s="801"/>
      <c r="R442" s="801"/>
    </row>
    <row r="443" spans="1:18">
      <c r="A443" s="801"/>
      <c r="B443" s="801"/>
      <c r="C443" s="801"/>
      <c r="D443" s="480"/>
      <c r="E443" s="801"/>
      <c r="F443" s="801"/>
      <c r="G443" s="803"/>
      <c r="H443" s="801"/>
      <c r="I443" s="801"/>
      <c r="J443" s="801"/>
      <c r="K443" s="801"/>
      <c r="L443" s="803"/>
      <c r="M443" s="803"/>
      <c r="N443" s="801"/>
      <c r="O443" s="801"/>
      <c r="P443" s="801"/>
      <c r="Q443" s="801"/>
      <c r="R443" s="801"/>
    </row>
    <row r="444" spans="1:18">
      <c r="A444" s="801"/>
      <c r="B444" s="801"/>
      <c r="C444" s="801"/>
      <c r="D444" s="480"/>
      <c r="E444" s="801"/>
      <c r="F444" s="801"/>
      <c r="G444" s="803"/>
      <c r="H444" s="801"/>
      <c r="I444" s="801"/>
      <c r="J444" s="801"/>
      <c r="K444" s="801"/>
      <c r="L444" s="803"/>
      <c r="M444" s="803"/>
      <c r="N444" s="801"/>
      <c r="O444" s="801"/>
      <c r="P444" s="801"/>
      <c r="Q444" s="801"/>
      <c r="R444" s="801"/>
    </row>
    <row r="445" spans="1:18">
      <c r="A445" s="801"/>
      <c r="B445" s="801"/>
      <c r="C445" s="801"/>
      <c r="D445" s="480"/>
      <c r="E445" s="801"/>
      <c r="F445" s="801"/>
      <c r="G445" s="803"/>
      <c r="H445" s="801"/>
      <c r="I445" s="801"/>
      <c r="J445" s="801"/>
      <c r="K445" s="801"/>
      <c r="L445" s="803"/>
      <c r="M445" s="803"/>
      <c r="N445" s="801"/>
      <c r="O445" s="801"/>
      <c r="P445" s="801"/>
      <c r="Q445" s="801"/>
      <c r="R445" s="801"/>
    </row>
    <row r="446" spans="1:18">
      <c r="A446" s="801"/>
      <c r="B446" s="801"/>
      <c r="C446" s="801"/>
      <c r="D446" s="480"/>
      <c r="E446" s="801"/>
      <c r="F446" s="801"/>
      <c r="G446" s="803"/>
      <c r="H446" s="801"/>
      <c r="I446" s="801"/>
      <c r="J446" s="801"/>
      <c r="K446" s="801"/>
      <c r="L446" s="803"/>
      <c r="M446" s="803"/>
      <c r="N446" s="801"/>
      <c r="O446" s="801"/>
      <c r="P446" s="801"/>
      <c r="Q446" s="801"/>
      <c r="R446" s="801"/>
    </row>
    <row r="447" spans="1:18">
      <c r="A447" s="801"/>
      <c r="B447" s="801"/>
      <c r="C447" s="801"/>
      <c r="D447" s="480"/>
      <c r="E447" s="801"/>
      <c r="F447" s="801"/>
      <c r="G447" s="803"/>
      <c r="H447" s="801"/>
      <c r="I447" s="801"/>
      <c r="J447" s="801"/>
      <c r="K447" s="801"/>
      <c r="L447" s="803"/>
      <c r="M447" s="803"/>
      <c r="N447" s="801"/>
      <c r="O447" s="801"/>
      <c r="P447" s="801"/>
      <c r="Q447" s="801"/>
      <c r="R447" s="801"/>
    </row>
    <row r="448" spans="1:18">
      <c r="A448" s="801"/>
      <c r="B448" s="801"/>
      <c r="C448" s="801"/>
      <c r="D448" s="480"/>
      <c r="E448" s="801"/>
      <c r="F448" s="801"/>
      <c r="G448" s="803"/>
      <c r="H448" s="801"/>
      <c r="I448" s="801"/>
      <c r="J448" s="801"/>
      <c r="K448" s="801"/>
      <c r="L448" s="803"/>
      <c r="M448" s="803"/>
      <c r="N448" s="801"/>
      <c r="O448" s="801"/>
      <c r="P448" s="801"/>
      <c r="Q448" s="801"/>
      <c r="R448" s="801"/>
    </row>
    <row r="449" spans="1:18">
      <c r="A449" s="801"/>
      <c r="B449" s="801"/>
      <c r="C449" s="801"/>
      <c r="D449" s="480"/>
      <c r="E449" s="801"/>
      <c r="F449" s="801"/>
      <c r="G449" s="803"/>
      <c r="H449" s="801"/>
      <c r="I449" s="801"/>
      <c r="J449" s="801"/>
      <c r="K449" s="801"/>
      <c r="L449" s="803"/>
      <c r="M449" s="803"/>
      <c r="N449" s="801"/>
      <c r="O449" s="801"/>
      <c r="P449" s="801"/>
      <c r="Q449" s="801"/>
      <c r="R449" s="801"/>
    </row>
    <row r="450" spans="1:18">
      <c r="A450" s="801"/>
      <c r="B450" s="801"/>
      <c r="C450" s="801"/>
      <c r="D450" s="480"/>
      <c r="E450" s="801"/>
      <c r="F450" s="801"/>
      <c r="G450" s="803"/>
      <c r="H450" s="801"/>
      <c r="I450" s="801"/>
      <c r="J450" s="801"/>
      <c r="K450" s="801"/>
      <c r="L450" s="803"/>
      <c r="M450" s="803"/>
      <c r="N450" s="801"/>
      <c r="O450" s="801"/>
      <c r="P450" s="801"/>
      <c r="Q450" s="801"/>
      <c r="R450" s="801"/>
    </row>
    <row r="451" spans="1:18">
      <c r="A451" s="801"/>
      <c r="B451" s="801"/>
      <c r="C451" s="801"/>
      <c r="D451" s="480"/>
      <c r="E451" s="801"/>
      <c r="F451" s="801"/>
      <c r="G451" s="803"/>
      <c r="H451" s="801"/>
      <c r="I451" s="801"/>
      <c r="J451" s="801"/>
      <c r="K451" s="801"/>
      <c r="L451" s="803"/>
      <c r="M451" s="803"/>
      <c r="N451" s="801"/>
      <c r="O451" s="801"/>
      <c r="P451" s="801"/>
      <c r="Q451" s="801"/>
      <c r="R451" s="801"/>
    </row>
    <row r="452" spans="1:18">
      <c r="A452" s="801"/>
      <c r="B452" s="801"/>
      <c r="C452" s="801"/>
      <c r="D452" s="480"/>
      <c r="E452" s="801"/>
      <c r="F452" s="801"/>
      <c r="G452" s="803"/>
      <c r="H452" s="801"/>
      <c r="I452" s="801"/>
      <c r="J452" s="801"/>
      <c r="K452" s="801"/>
      <c r="L452" s="803"/>
      <c r="M452" s="803"/>
      <c r="N452" s="801"/>
      <c r="O452" s="801"/>
      <c r="P452" s="801"/>
      <c r="Q452" s="801"/>
      <c r="R452" s="801"/>
    </row>
    <row r="453" spans="1:18">
      <c r="A453" s="801"/>
      <c r="B453" s="801"/>
      <c r="C453" s="801"/>
      <c r="D453" s="480"/>
      <c r="E453" s="801"/>
      <c r="F453" s="801"/>
      <c r="G453" s="803"/>
      <c r="H453" s="801"/>
      <c r="I453" s="801"/>
      <c r="J453" s="801"/>
      <c r="K453" s="801"/>
      <c r="L453" s="803"/>
      <c r="M453" s="803"/>
      <c r="N453" s="801"/>
      <c r="O453" s="801"/>
      <c r="P453" s="801"/>
      <c r="Q453" s="801"/>
      <c r="R453" s="801"/>
    </row>
    <row r="454" spans="1:18">
      <c r="A454" s="801"/>
      <c r="B454" s="801"/>
      <c r="C454" s="801"/>
      <c r="D454" s="480"/>
      <c r="E454" s="801"/>
      <c r="F454" s="801"/>
      <c r="G454" s="803"/>
      <c r="H454" s="801"/>
      <c r="I454" s="801"/>
      <c r="J454" s="801"/>
      <c r="K454" s="801"/>
      <c r="L454" s="803"/>
      <c r="M454" s="803"/>
      <c r="N454" s="801"/>
      <c r="O454" s="801"/>
      <c r="P454" s="801"/>
      <c r="Q454" s="801"/>
      <c r="R454" s="801"/>
    </row>
    <row r="455" spans="1:18">
      <c r="A455" s="801"/>
      <c r="B455" s="801"/>
      <c r="C455" s="801"/>
      <c r="D455" s="480"/>
      <c r="E455" s="801"/>
      <c r="F455" s="801"/>
      <c r="G455" s="803"/>
      <c r="H455" s="801"/>
      <c r="I455" s="801"/>
      <c r="J455" s="801"/>
      <c r="K455" s="801"/>
      <c r="L455" s="803"/>
      <c r="M455" s="803"/>
      <c r="N455" s="801"/>
      <c r="O455" s="801"/>
      <c r="P455" s="801"/>
      <c r="Q455" s="801"/>
      <c r="R455" s="801"/>
    </row>
    <row r="456" spans="1:18">
      <c r="A456" s="801"/>
      <c r="B456" s="801"/>
      <c r="C456" s="801"/>
      <c r="D456" s="480"/>
      <c r="E456" s="801"/>
      <c r="F456" s="801"/>
      <c r="G456" s="803"/>
      <c r="H456" s="801"/>
      <c r="I456" s="801"/>
      <c r="J456" s="801"/>
      <c r="K456" s="801"/>
      <c r="L456" s="803"/>
      <c r="M456" s="803"/>
      <c r="N456" s="801"/>
      <c r="O456" s="801"/>
      <c r="P456" s="801"/>
      <c r="Q456" s="801"/>
      <c r="R456" s="801"/>
    </row>
    <row r="457" spans="1:18">
      <c r="A457" s="801"/>
      <c r="B457" s="801"/>
      <c r="C457" s="801"/>
      <c r="D457" s="480"/>
      <c r="E457" s="801"/>
      <c r="F457" s="801"/>
      <c r="G457" s="803"/>
      <c r="H457" s="801"/>
      <c r="I457" s="801"/>
      <c r="J457" s="801"/>
      <c r="K457" s="801"/>
      <c r="L457" s="803"/>
      <c r="M457" s="803"/>
      <c r="N457" s="801"/>
      <c r="O457" s="801"/>
      <c r="P457" s="801"/>
      <c r="Q457" s="801"/>
      <c r="R457" s="801"/>
    </row>
    <row r="458" spans="1:18">
      <c r="A458" s="801"/>
      <c r="B458" s="801"/>
      <c r="C458" s="801"/>
      <c r="D458" s="480"/>
      <c r="E458" s="801"/>
      <c r="F458" s="801"/>
      <c r="G458" s="803"/>
      <c r="H458" s="801"/>
      <c r="I458" s="801"/>
      <c r="J458" s="801"/>
      <c r="K458" s="801"/>
      <c r="L458" s="803"/>
      <c r="M458" s="803"/>
      <c r="N458" s="801"/>
      <c r="O458" s="801"/>
      <c r="P458" s="801"/>
      <c r="Q458" s="801"/>
      <c r="R458" s="801"/>
    </row>
    <row r="459" spans="1:18">
      <c r="A459" s="801"/>
      <c r="B459" s="801"/>
      <c r="C459" s="801"/>
      <c r="D459" s="480"/>
      <c r="E459" s="801"/>
      <c r="F459" s="801"/>
      <c r="G459" s="803"/>
      <c r="H459" s="801"/>
      <c r="I459" s="801"/>
      <c r="J459" s="801"/>
      <c r="K459" s="801"/>
      <c r="L459" s="803"/>
      <c r="M459" s="803"/>
      <c r="N459" s="801"/>
      <c r="O459" s="801"/>
      <c r="P459" s="801"/>
      <c r="Q459" s="801"/>
      <c r="R459" s="801"/>
    </row>
    <row r="460" spans="1:18">
      <c r="A460" s="801"/>
      <c r="B460" s="801"/>
      <c r="C460" s="801"/>
      <c r="D460" s="480"/>
      <c r="E460" s="801"/>
      <c r="F460" s="801"/>
      <c r="G460" s="803"/>
      <c r="H460" s="801"/>
      <c r="I460" s="801"/>
      <c r="J460" s="801"/>
      <c r="K460" s="801"/>
      <c r="L460" s="803"/>
      <c r="M460" s="803"/>
      <c r="N460" s="801"/>
      <c r="O460" s="801"/>
      <c r="P460" s="801"/>
      <c r="Q460" s="801"/>
      <c r="R460" s="801"/>
    </row>
    <row r="461" spans="1:18">
      <c r="A461" s="801"/>
      <c r="B461" s="801"/>
      <c r="C461" s="801"/>
      <c r="D461" s="480"/>
      <c r="E461" s="801"/>
      <c r="F461" s="801"/>
      <c r="G461" s="803"/>
      <c r="H461" s="801"/>
      <c r="I461" s="801"/>
      <c r="J461" s="801"/>
      <c r="K461" s="801"/>
      <c r="L461" s="803"/>
      <c r="M461" s="803"/>
      <c r="N461" s="801"/>
      <c r="O461" s="801"/>
      <c r="P461" s="801"/>
      <c r="Q461" s="801"/>
      <c r="R461" s="801"/>
    </row>
    <row r="462" spans="1:18">
      <c r="A462" s="801"/>
      <c r="B462" s="801"/>
      <c r="C462" s="801"/>
      <c r="D462" s="480"/>
      <c r="E462" s="801"/>
      <c r="F462" s="801"/>
      <c r="G462" s="803"/>
      <c r="H462" s="801"/>
      <c r="I462" s="801"/>
      <c r="J462" s="801"/>
      <c r="K462" s="801"/>
      <c r="L462" s="803"/>
      <c r="M462" s="803"/>
      <c r="N462" s="801"/>
      <c r="O462" s="801"/>
      <c r="P462" s="801"/>
      <c r="Q462" s="801"/>
      <c r="R462" s="801"/>
    </row>
    <row r="463" spans="1:18">
      <c r="A463" s="801"/>
      <c r="B463" s="801"/>
      <c r="C463" s="801"/>
      <c r="D463" s="480"/>
      <c r="E463" s="801"/>
      <c r="F463" s="801"/>
      <c r="G463" s="803"/>
      <c r="H463" s="801"/>
      <c r="I463" s="801"/>
      <c r="J463" s="801"/>
      <c r="K463" s="801"/>
      <c r="L463" s="803"/>
      <c r="M463" s="803"/>
      <c r="N463" s="801"/>
      <c r="O463" s="801"/>
      <c r="P463" s="801"/>
      <c r="Q463" s="801"/>
      <c r="R463" s="801"/>
    </row>
    <row r="464" spans="1:18">
      <c r="A464" s="801"/>
      <c r="B464" s="801"/>
      <c r="C464" s="801"/>
      <c r="D464" s="480"/>
      <c r="E464" s="801"/>
      <c r="F464" s="801"/>
      <c r="G464" s="803"/>
      <c r="H464" s="801"/>
      <c r="I464" s="801"/>
      <c r="J464" s="801"/>
      <c r="K464" s="801"/>
      <c r="L464" s="803"/>
      <c r="M464" s="803"/>
      <c r="N464" s="801"/>
      <c r="O464" s="801"/>
      <c r="P464" s="801"/>
      <c r="Q464" s="801"/>
      <c r="R464" s="801"/>
    </row>
    <row r="465" spans="1:18">
      <c r="A465" s="801"/>
      <c r="B465" s="801"/>
      <c r="C465" s="801"/>
      <c r="D465" s="480"/>
      <c r="E465" s="801"/>
      <c r="F465" s="801"/>
      <c r="G465" s="803"/>
      <c r="H465" s="801"/>
      <c r="I465" s="801"/>
      <c r="J465" s="801"/>
      <c r="K465" s="801"/>
      <c r="L465" s="803"/>
      <c r="M465" s="803"/>
      <c r="N465" s="801"/>
      <c r="O465" s="801"/>
      <c r="P465" s="801"/>
      <c r="Q465" s="801"/>
      <c r="R465" s="801"/>
    </row>
    <row r="466" spans="1:18">
      <c r="A466" s="801"/>
      <c r="B466" s="801"/>
      <c r="C466" s="801"/>
      <c r="D466" s="480"/>
      <c r="E466" s="801"/>
      <c r="F466" s="801"/>
      <c r="G466" s="803"/>
      <c r="H466" s="801"/>
      <c r="I466" s="801"/>
      <c r="J466" s="801"/>
      <c r="K466" s="801"/>
      <c r="L466" s="803"/>
      <c r="M466" s="803"/>
      <c r="N466" s="801"/>
      <c r="O466" s="801"/>
      <c r="P466" s="801"/>
      <c r="Q466" s="801"/>
      <c r="R466" s="801"/>
    </row>
    <row r="467" spans="1:18">
      <c r="A467" s="801"/>
      <c r="B467" s="801"/>
      <c r="C467" s="801"/>
      <c r="D467" s="480"/>
      <c r="E467" s="801"/>
      <c r="F467" s="801"/>
      <c r="G467" s="803"/>
      <c r="H467" s="801"/>
      <c r="I467" s="801"/>
      <c r="J467" s="801"/>
      <c r="K467" s="801"/>
      <c r="L467" s="803"/>
      <c r="M467" s="803"/>
      <c r="N467" s="801"/>
      <c r="O467" s="801"/>
      <c r="P467" s="801"/>
      <c r="Q467" s="801"/>
      <c r="R467" s="801"/>
    </row>
    <row r="468" spans="1:18">
      <c r="A468" s="801"/>
      <c r="B468" s="801"/>
      <c r="C468" s="801"/>
      <c r="D468" s="480"/>
      <c r="E468" s="801"/>
      <c r="F468" s="801"/>
      <c r="G468" s="803"/>
      <c r="H468" s="801"/>
      <c r="I468" s="801"/>
      <c r="J468" s="801"/>
      <c r="K468" s="801"/>
      <c r="L468" s="803"/>
      <c r="M468" s="803"/>
      <c r="N468" s="801"/>
      <c r="O468" s="801"/>
      <c r="P468" s="801"/>
      <c r="Q468" s="801"/>
      <c r="R468" s="801"/>
    </row>
    <row r="469" spans="1:18">
      <c r="A469" s="801"/>
      <c r="B469" s="801"/>
      <c r="C469" s="801"/>
      <c r="D469" s="480"/>
      <c r="E469" s="801"/>
      <c r="F469" s="801"/>
      <c r="G469" s="803"/>
      <c r="H469" s="801"/>
      <c r="I469" s="801"/>
      <c r="J469" s="801"/>
      <c r="K469" s="801"/>
      <c r="L469" s="803"/>
      <c r="M469" s="803"/>
      <c r="N469" s="801"/>
      <c r="O469" s="801"/>
      <c r="P469" s="801"/>
      <c r="Q469" s="801"/>
      <c r="R469" s="801"/>
    </row>
    <row r="470" spans="1:18">
      <c r="A470" s="801"/>
      <c r="B470" s="801"/>
      <c r="C470" s="801"/>
      <c r="D470" s="480"/>
      <c r="E470" s="801"/>
      <c r="F470" s="801"/>
      <c r="G470" s="803"/>
      <c r="H470" s="801"/>
      <c r="I470" s="801"/>
      <c r="J470" s="801"/>
      <c r="K470" s="801"/>
      <c r="L470" s="803"/>
      <c r="M470" s="803"/>
      <c r="N470" s="801"/>
      <c r="O470" s="801"/>
      <c r="P470" s="801"/>
      <c r="Q470" s="801"/>
      <c r="R470" s="801"/>
    </row>
    <row r="471" spans="1:18">
      <c r="A471" s="801"/>
      <c r="B471" s="801"/>
      <c r="C471" s="801"/>
      <c r="D471" s="480"/>
      <c r="E471" s="801"/>
      <c r="F471" s="801"/>
      <c r="G471" s="803"/>
      <c r="H471" s="801"/>
      <c r="I471" s="801"/>
      <c r="J471" s="801"/>
      <c r="K471" s="801"/>
      <c r="L471" s="803"/>
      <c r="M471" s="803"/>
      <c r="N471" s="801"/>
      <c r="O471" s="801"/>
      <c r="P471" s="801"/>
      <c r="Q471" s="801"/>
      <c r="R471" s="801"/>
    </row>
    <row r="472" spans="1:18">
      <c r="A472" s="801"/>
      <c r="B472" s="801"/>
      <c r="C472" s="801"/>
      <c r="D472" s="480"/>
      <c r="E472" s="801"/>
      <c r="F472" s="801"/>
      <c r="G472" s="803"/>
      <c r="H472" s="801"/>
      <c r="I472" s="801"/>
      <c r="J472" s="801"/>
      <c r="K472" s="801"/>
      <c r="L472" s="803"/>
      <c r="M472" s="803"/>
      <c r="N472" s="801"/>
      <c r="O472" s="801"/>
      <c r="P472" s="801"/>
      <c r="Q472" s="801"/>
      <c r="R472" s="801"/>
    </row>
    <row r="473" spans="1:18">
      <c r="A473" s="801"/>
      <c r="B473" s="801"/>
      <c r="C473" s="801"/>
      <c r="D473" s="480"/>
      <c r="E473" s="801"/>
      <c r="F473" s="801"/>
      <c r="G473" s="803"/>
      <c r="H473" s="801"/>
      <c r="I473" s="801"/>
      <c r="J473" s="801"/>
      <c r="K473" s="801"/>
      <c r="L473" s="803"/>
      <c r="M473" s="803"/>
      <c r="N473" s="801"/>
      <c r="O473" s="801"/>
      <c r="P473" s="801"/>
      <c r="Q473" s="801"/>
      <c r="R473" s="801"/>
    </row>
    <row r="474" spans="1:18">
      <c r="A474" s="801"/>
      <c r="B474" s="801"/>
      <c r="C474" s="801"/>
      <c r="D474" s="480"/>
      <c r="E474" s="801"/>
      <c r="F474" s="801"/>
      <c r="G474" s="803"/>
      <c r="H474" s="801"/>
      <c r="I474" s="801"/>
      <c r="J474" s="801"/>
      <c r="K474" s="801"/>
      <c r="L474" s="803"/>
      <c r="M474" s="803"/>
      <c r="N474" s="801"/>
      <c r="O474" s="801"/>
      <c r="P474" s="801"/>
      <c r="Q474" s="801"/>
      <c r="R474" s="801"/>
    </row>
    <row r="475" spans="1:18">
      <c r="A475" s="801"/>
      <c r="B475" s="801"/>
      <c r="C475" s="801"/>
      <c r="D475" s="480"/>
      <c r="E475" s="801"/>
      <c r="F475" s="801"/>
      <c r="G475" s="803"/>
      <c r="H475" s="801"/>
      <c r="I475" s="801"/>
      <c r="J475" s="801"/>
      <c r="K475" s="801"/>
      <c r="L475" s="803"/>
      <c r="M475" s="803"/>
      <c r="N475" s="801"/>
      <c r="O475" s="801"/>
      <c r="P475" s="801"/>
      <c r="Q475" s="801"/>
      <c r="R475" s="801"/>
    </row>
    <row r="476" spans="1:18">
      <c r="A476" s="801"/>
      <c r="B476" s="801"/>
      <c r="C476" s="801"/>
      <c r="D476" s="480"/>
      <c r="E476" s="801"/>
      <c r="F476" s="801"/>
      <c r="G476" s="803"/>
      <c r="H476" s="801"/>
      <c r="I476" s="801"/>
      <c r="J476" s="801"/>
      <c r="K476" s="801"/>
      <c r="L476" s="803"/>
      <c r="M476" s="803"/>
      <c r="N476" s="801"/>
      <c r="O476" s="801"/>
      <c r="P476" s="801"/>
      <c r="Q476" s="801"/>
      <c r="R476" s="801"/>
    </row>
    <row r="477" spans="1:18">
      <c r="A477" s="801"/>
      <c r="B477" s="801"/>
      <c r="C477" s="801"/>
      <c r="D477" s="480"/>
      <c r="E477" s="801"/>
      <c r="F477" s="801"/>
      <c r="G477" s="803"/>
      <c r="H477" s="801"/>
      <c r="I477" s="801"/>
      <c r="J477" s="801"/>
      <c r="K477" s="801"/>
      <c r="L477" s="803"/>
      <c r="M477" s="803"/>
      <c r="N477" s="801"/>
      <c r="O477" s="801"/>
      <c r="P477" s="801"/>
      <c r="Q477" s="801"/>
      <c r="R477" s="801"/>
    </row>
    <row r="478" spans="1:18">
      <c r="A478" s="801"/>
      <c r="B478" s="801"/>
      <c r="C478" s="801"/>
      <c r="D478" s="480"/>
      <c r="E478" s="801"/>
      <c r="F478" s="801"/>
      <c r="G478" s="803"/>
      <c r="H478" s="801"/>
      <c r="I478" s="801"/>
      <c r="J478" s="801"/>
      <c r="K478" s="801"/>
      <c r="L478" s="803"/>
      <c r="M478" s="803"/>
      <c r="N478" s="801"/>
      <c r="O478" s="801"/>
      <c r="P478" s="801"/>
      <c r="Q478" s="801"/>
      <c r="R478" s="801"/>
    </row>
    <row r="479" spans="1:18">
      <c r="A479" s="801"/>
      <c r="B479" s="801"/>
      <c r="C479" s="801"/>
      <c r="D479" s="480"/>
      <c r="E479" s="801"/>
      <c r="F479" s="801"/>
      <c r="G479" s="803"/>
      <c r="H479" s="801"/>
      <c r="I479" s="801"/>
      <c r="J479" s="801"/>
      <c r="K479" s="801"/>
      <c r="L479" s="803"/>
      <c r="M479" s="803"/>
      <c r="N479" s="801"/>
      <c r="O479" s="801"/>
      <c r="P479" s="801"/>
      <c r="Q479" s="801"/>
      <c r="R479" s="801"/>
    </row>
    <row r="480" spans="1:18">
      <c r="A480" s="801"/>
      <c r="B480" s="801"/>
      <c r="C480" s="801"/>
      <c r="D480" s="480"/>
      <c r="E480" s="801"/>
      <c r="F480" s="801"/>
      <c r="G480" s="803"/>
      <c r="H480" s="801"/>
      <c r="I480" s="801"/>
      <c r="J480" s="801"/>
      <c r="K480" s="801"/>
      <c r="L480" s="803"/>
      <c r="M480" s="803"/>
      <c r="N480" s="801"/>
      <c r="O480" s="801"/>
      <c r="P480" s="801"/>
      <c r="Q480" s="801"/>
      <c r="R480" s="801"/>
    </row>
    <row r="481" spans="1:18">
      <c r="A481" s="801"/>
      <c r="B481" s="801"/>
      <c r="C481" s="801"/>
      <c r="D481" s="480"/>
      <c r="E481" s="801"/>
      <c r="F481" s="801"/>
      <c r="G481" s="803"/>
      <c r="H481" s="801"/>
      <c r="I481" s="801"/>
      <c r="J481" s="801"/>
      <c r="K481" s="801"/>
      <c r="L481" s="803"/>
      <c r="M481" s="803"/>
      <c r="N481" s="801"/>
      <c r="O481" s="801"/>
      <c r="P481" s="801"/>
      <c r="Q481" s="801"/>
      <c r="R481" s="801"/>
    </row>
    <row r="482" spans="1:18">
      <c r="A482" s="801"/>
      <c r="B482" s="801"/>
      <c r="C482" s="801"/>
      <c r="D482" s="480"/>
      <c r="E482" s="801"/>
      <c r="F482" s="801"/>
      <c r="G482" s="803"/>
      <c r="H482" s="801"/>
      <c r="I482" s="801"/>
      <c r="J482" s="801"/>
      <c r="K482" s="801"/>
      <c r="L482" s="803"/>
      <c r="M482" s="803"/>
      <c r="N482" s="801"/>
      <c r="O482" s="801"/>
      <c r="P482" s="801"/>
      <c r="Q482" s="801"/>
      <c r="R482" s="801"/>
    </row>
    <row r="483" spans="1:18">
      <c r="A483" s="801"/>
      <c r="B483" s="801"/>
      <c r="C483" s="801"/>
      <c r="D483" s="480"/>
      <c r="E483" s="801"/>
      <c r="F483" s="801"/>
      <c r="G483" s="803"/>
      <c r="H483" s="801"/>
      <c r="I483" s="801"/>
      <c r="J483" s="801"/>
      <c r="K483" s="801"/>
      <c r="L483" s="803"/>
      <c r="M483" s="803"/>
      <c r="N483" s="801"/>
      <c r="O483" s="801"/>
      <c r="P483" s="801"/>
      <c r="Q483" s="801"/>
      <c r="R483" s="801"/>
    </row>
    <row r="484" spans="1:18">
      <c r="A484" s="801"/>
      <c r="B484" s="801"/>
      <c r="C484" s="801"/>
      <c r="D484" s="480"/>
      <c r="E484" s="801"/>
      <c r="F484" s="801"/>
      <c r="G484" s="803"/>
      <c r="H484" s="801"/>
      <c r="I484" s="801"/>
      <c r="J484" s="801"/>
      <c r="K484" s="801"/>
      <c r="L484" s="803"/>
      <c r="M484" s="803"/>
      <c r="N484" s="801"/>
      <c r="O484" s="801"/>
      <c r="P484" s="801"/>
      <c r="Q484" s="801"/>
      <c r="R484" s="801"/>
    </row>
    <row r="485" spans="1:18">
      <c r="A485" s="801"/>
      <c r="B485" s="801"/>
      <c r="C485" s="801"/>
      <c r="D485" s="480"/>
      <c r="E485" s="801"/>
      <c r="F485" s="801"/>
      <c r="G485" s="803"/>
      <c r="H485" s="801"/>
      <c r="I485" s="801"/>
      <c r="J485" s="801"/>
      <c r="K485" s="801"/>
      <c r="L485" s="803"/>
      <c r="M485" s="803"/>
      <c r="N485" s="801"/>
      <c r="O485" s="801"/>
      <c r="P485" s="801"/>
      <c r="Q485" s="801"/>
      <c r="R485" s="801"/>
    </row>
    <row r="486" spans="1:18">
      <c r="A486" s="801"/>
      <c r="B486" s="801"/>
      <c r="C486" s="801"/>
      <c r="D486" s="480"/>
      <c r="E486" s="801"/>
      <c r="F486" s="801"/>
      <c r="G486" s="803"/>
      <c r="H486" s="801"/>
      <c r="I486" s="801"/>
      <c r="J486" s="801"/>
      <c r="K486" s="801"/>
      <c r="L486" s="803"/>
      <c r="M486" s="803"/>
      <c r="N486" s="801"/>
      <c r="O486" s="801"/>
      <c r="P486" s="801"/>
      <c r="Q486" s="801"/>
      <c r="R486" s="801"/>
    </row>
    <row r="487" spans="1:18">
      <c r="A487" s="801"/>
      <c r="B487" s="801"/>
      <c r="C487" s="801"/>
      <c r="D487" s="480"/>
      <c r="E487" s="801"/>
      <c r="F487" s="801"/>
      <c r="G487" s="803"/>
      <c r="H487" s="801"/>
      <c r="I487" s="801"/>
      <c r="J487" s="801"/>
      <c r="K487" s="801"/>
      <c r="L487" s="803"/>
      <c r="M487" s="803"/>
      <c r="N487" s="801"/>
      <c r="O487" s="801"/>
      <c r="P487" s="801"/>
      <c r="Q487" s="801"/>
      <c r="R487" s="801"/>
    </row>
    <row r="488" spans="1:18">
      <c r="A488" s="801"/>
      <c r="B488" s="801"/>
      <c r="C488" s="801"/>
      <c r="D488" s="480"/>
      <c r="E488" s="801"/>
      <c r="F488" s="801"/>
      <c r="G488" s="803"/>
      <c r="H488" s="801"/>
      <c r="I488" s="801"/>
      <c r="J488" s="801"/>
      <c r="K488" s="801"/>
      <c r="L488" s="803"/>
      <c r="M488" s="803"/>
      <c r="N488" s="801"/>
      <c r="O488" s="801"/>
      <c r="P488" s="801"/>
      <c r="Q488" s="801"/>
      <c r="R488" s="801"/>
    </row>
    <row r="489" spans="1:18">
      <c r="A489" s="801"/>
      <c r="B489" s="801"/>
      <c r="C489" s="801"/>
      <c r="D489" s="480"/>
      <c r="E489" s="801"/>
      <c r="F489" s="801"/>
      <c r="G489" s="803"/>
      <c r="H489" s="801"/>
      <c r="I489" s="801"/>
      <c r="J489" s="801"/>
      <c r="K489" s="801"/>
      <c r="L489" s="803"/>
      <c r="M489" s="803"/>
      <c r="N489" s="801"/>
      <c r="O489" s="801"/>
      <c r="P489" s="801"/>
      <c r="Q489" s="801"/>
      <c r="R489" s="801"/>
    </row>
    <row r="490" spans="1:18">
      <c r="A490" s="801"/>
      <c r="B490" s="801"/>
      <c r="C490" s="801"/>
      <c r="D490" s="480"/>
      <c r="E490" s="801"/>
      <c r="F490" s="801"/>
      <c r="G490" s="803"/>
      <c r="H490" s="801"/>
      <c r="I490" s="801"/>
      <c r="J490" s="801"/>
      <c r="K490" s="801"/>
      <c r="L490" s="803"/>
      <c r="M490" s="803"/>
      <c r="N490" s="801"/>
      <c r="O490" s="801"/>
      <c r="P490" s="801"/>
      <c r="Q490" s="801"/>
      <c r="R490" s="801"/>
    </row>
    <row r="491" spans="1:18">
      <c r="A491" s="801"/>
      <c r="B491" s="801"/>
      <c r="C491" s="801"/>
      <c r="D491" s="480"/>
      <c r="E491" s="801"/>
      <c r="F491" s="801"/>
      <c r="G491" s="803"/>
      <c r="H491" s="801"/>
      <c r="I491" s="801"/>
      <c r="J491" s="801"/>
      <c r="K491" s="801"/>
      <c r="L491" s="803"/>
      <c r="M491" s="803"/>
      <c r="N491" s="801"/>
      <c r="O491" s="801"/>
      <c r="P491" s="801"/>
      <c r="Q491" s="801"/>
      <c r="R491" s="801"/>
    </row>
    <row r="492" spans="1:18">
      <c r="A492" s="801"/>
      <c r="B492" s="801"/>
      <c r="C492" s="801"/>
      <c r="D492" s="480"/>
      <c r="E492" s="801"/>
      <c r="F492" s="801"/>
      <c r="G492" s="803"/>
      <c r="H492" s="801"/>
      <c r="I492" s="801"/>
      <c r="J492" s="801"/>
      <c r="K492" s="801"/>
      <c r="L492" s="803"/>
      <c r="M492" s="803"/>
      <c r="N492" s="801"/>
      <c r="O492" s="801"/>
      <c r="P492" s="801"/>
      <c r="Q492" s="801"/>
      <c r="R492" s="801"/>
    </row>
    <row r="493" spans="1:18">
      <c r="A493" s="801"/>
      <c r="B493" s="801"/>
      <c r="C493" s="801"/>
      <c r="D493" s="480"/>
      <c r="E493" s="801"/>
      <c r="F493" s="801"/>
      <c r="G493" s="803"/>
      <c r="H493" s="801"/>
      <c r="I493" s="801"/>
      <c r="J493" s="801"/>
      <c r="K493" s="801"/>
      <c r="L493" s="803"/>
      <c r="M493" s="803"/>
      <c r="N493" s="801"/>
      <c r="O493" s="801"/>
      <c r="P493" s="801"/>
      <c r="Q493" s="801"/>
      <c r="R493" s="801"/>
    </row>
    <row r="494" spans="1:18">
      <c r="A494" s="801"/>
      <c r="B494" s="801"/>
      <c r="C494" s="801"/>
      <c r="D494" s="480"/>
      <c r="E494" s="801"/>
      <c r="F494" s="801"/>
      <c r="G494" s="803"/>
      <c r="H494" s="801"/>
      <c r="I494" s="801"/>
      <c r="J494" s="801"/>
      <c r="K494" s="801"/>
      <c r="L494" s="803"/>
      <c r="M494" s="803"/>
      <c r="N494" s="801"/>
      <c r="O494" s="801"/>
      <c r="P494" s="801"/>
      <c r="Q494" s="801"/>
      <c r="R494" s="801"/>
    </row>
    <row r="495" spans="1:18">
      <c r="A495" s="801"/>
      <c r="B495" s="801"/>
      <c r="C495" s="801"/>
      <c r="D495" s="480"/>
      <c r="E495" s="801"/>
      <c r="F495" s="801"/>
      <c r="G495" s="803"/>
      <c r="H495" s="801"/>
      <c r="I495" s="801"/>
      <c r="J495" s="801"/>
      <c r="K495" s="801"/>
      <c r="L495" s="803"/>
      <c r="M495" s="803"/>
      <c r="N495" s="801"/>
      <c r="O495" s="801"/>
      <c r="P495" s="801"/>
      <c r="Q495" s="801"/>
      <c r="R495" s="801"/>
    </row>
    <row r="496" spans="1:18">
      <c r="A496" s="801"/>
      <c r="B496" s="801"/>
      <c r="C496" s="801"/>
      <c r="D496" s="480"/>
      <c r="E496" s="801"/>
      <c r="F496" s="801"/>
      <c r="G496" s="803"/>
      <c r="H496" s="801"/>
      <c r="I496" s="801"/>
      <c r="J496" s="801"/>
      <c r="K496" s="801"/>
      <c r="L496" s="803"/>
      <c r="M496" s="803"/>
      <c r="N496" s="801"/>
      <c r="O496" s="801"/>
      <c r="P496" s="801"/>
      <c r="Q496" s="801"/>
      <c r="R496" s="801"/>
    </row>
    <row r="497" spans="1:18">
      <c r="A497" s="801"/>
      <c r="B497" s="801"/>
      <c r="C497" s="801"/>
      <c r="D497" s="480"/>
      <c r="E497" s="801"/>
      <c r="F497" s="801"/>
      <c r="G497" s="803"/>
      <c r="H497" s="801"/>
      <c r="I497" s="801"/>
      <c r="J497" s="801"/>
      <c r="K497" s="801"/>
      <c r="L497" s="803"/>
      <c r="M497" s="803"/>
      <c r="N497" s="801"/>
      <c r="O497" s="801"/>
      <c r="P497" s="801"/>
      <c r="Q497" s="801"/>
      <c r="R497" s="801"/>
    </row>
    <row r="498" spans="1:18">
      <c r="A498" s="801"/>
      <c r="B498" s="801"/>
      <c r="C498" s="801"/>
      <c r="D498" s="480"/>
      <c r="E498" s="801"/>
      <c r="F498" s="801"/>
      <c r="G498" s="803"/>
      <c r="H498" s="801"/>
      <c r="I498" s="801"/>
      <c r="J498" s="801"/>
      <c r="K498" s="801"/>
      <c r="L498" s="803"/>
      <c r="M498" s="803"/>
      <c r="N498" s="801"/>
      <c r="O498" s="801"/>
      <c r="P498" s="801"/>
      <c r="Q498" s="801"/>
      <c r="R498" s="801"/>
    </row>
    <row r="499" spans="1:18">
      <c r="A499" s="801"/>
      <c r="B499" s="801"/>
      <c r="C499" s="801"/>
      <c r="D499" s="480"/>
      <c r="E499" s="801"/>
      <c r="F499" s="801"/>
      <c r="G499" s="803"/>
      <c r="H499" s="801"/>
      <c r="I499" s="801"/>
      <c r="J499" s="801"/>
      <c r="K499" s="801"/>
      <c r="L499" s="803"/>
      <c r="M499" s="803"/>
      <c r="N499" s="801"/>
      <c r="O499" s="801"/>
      <c r="P499" s="801"/>
      <c r="Q499" s="801"/>
      <c r="R499" s="801"/>
    </row>
    <row r="500" spans="1:18">
      <c r="A500" s="801"/>
      <c r="B500" s="801"/>
      <c r="C500" s="801"/>
      <c r="D500" s="480"/>
      <c r="E500" s="801"/>
      <c r="F500" s="801"/>
      <c r="G500" s="803"/>
      <c r="H500" s="801"/>
      <c r="I500" s="801"/>
      <c r="J500" s="801"/>
      <c r="K500" s="801"/>
      <c r="L500" s="803"/>
      <c r="M500" s="803"/>
      <c r="N500" s="801"/>
      <c r="O500" s="801"/>
      <c r="P500" s="801"/>
      <c r="Q500" s="801"/>
      <c r="R500" s="801"/>
    </row>
    <row r="501" spans="1:18">
      <c r="A501" s="801"/>
      <c r="B501" s="801"/>
      <c r="C501" s="801"/>
      <c r="D501" s="480"/>
      <c r="E501" s="801"/>
      <c r="F501" s="801"/>
      <c r="G501" s="803"/>
      <c r="H501" s="801"/>
      <c r="I501" s="801"/>
      <c r="J501" s="801"/>
      <c r="K501" s="801"/>
      <c r="L501" s="803"/>
      <c r="M501" s="803"/>
      <c r="N501" s="801"/>
      <c r="O501" s="801"/>
      <c r="P501" s="801"/>
      <c r="Q501" s="801"/>
      <c r="R501" s="801"/>
    </row>
    <row r="502" spans="1:18">
      <c r="A502" s="801"/>
      <c r="B502" s="801"/>
      <c r="C502" s="801"/>
      <c r="D502" s="480"/>
      <c r="E502" s="801"/>
      <c r="F502" s="801"/>
      <c r="G502" s="803"/>
      <c r="H502" s="801"/>
      <c r="I502" s="801"/>
      <c r="J502" s="801"/>
      <c r="K502" s="801"/>
      <c r="L502" s="803"/>
      <c r="M502" s="803"/>
      <c r="N502" s="801"/>
      <c r="O502" s="801"/>
      <c r="P502" s="801"/>
      <c r="Q502" s="801"/>
      <c r="R502" s="801"/>
    </row>
    <row r="503" spans="1:18">
      <c r="A503" s="801"/>
      <c r="B503" s="801"/>
      <c r="C503" s="801"/>
      <c r="D503" s="480"/>
      <c r="E503" s="801"/>
      <c r="F503" s="801"/>
      <c r="G503" s="803"/>
      <c r="H503" s="801"/>
      <c r="I503" s="801"/>
      <c r="J503" s="801"/>
      <c r="K503" s="801"/>
      <c r="L503" s="803"/>
      <c r="M503" s="803"/>
      <c r="N503" s="801"/>
      <c r="O503" s="801"/>
      <c r="P503" s="801"/>
      <c r="Q503" s="801"/>
      <c r="R503" s="801"/>
    </row>
    <row r="504" spans="1:18">
      <c r="A504" s="801"/>
      <c r="B504" s="801"/>
      <c r="C504" s="801"/>
      <c r="D504" s="480"/>
      <c r="E504" s="801"/>
      <c r="F504" s="801"/>
      <c r="G504" s="803"/>
      <c r="H504" s="801"/>
      <c r="I504" s="801"/>
      <c r="J504" s="801"/>
      <c r="K504" s="801"/>
      <c r="L504" s="803"/>
      <c r="M504" s="803"/>
      <c r="N504" s="801"/>
      <c r="O504" s="801"/>
      <c r="P504" s="801"/>
      <c r="Q504" s="801"/>
      <c r="R504" s="801"/>
    </row>
    <row r="505" spans="1:18">
      <c r="A505" s="801"/>
      <c r="B505" s="801"/>
      <c r="C505" s="801"/>
      <c r="D505" s="480"/>
      <c r="E505" s="801"/>
      <c r="F505" s="801"/>
      <c r="G505" s="803"/>
      <c r="H505" s="801"/>
      <c r="I505" s="801"/>
      <c r="J505" s="801"/>
      <c r="K505" s="801"/>
      <c r="L505" s="803"/>
      <c r="M505" s="803"/>
      <c r="N505" s="801"/>
      <c r="O505" s="801"/>
      <c r="P505" s="801"/>
      <c r="Q505" s="801"/>
      <c r="R505" s="801"/>
    </row>
    <row r="506" spans="1:18">
      <c r="A506" s="801"/>
      <c r="B506" s="801"/>
      <c r="C506" s="801"/>
      <c r="D506" s="480"/>
      <c r="E506" s="801"/>
      <c r="F506" s="801"/>
      <c r="G506" s="803"/>
      <c r="H506" s="801"/>
      <c r="I506" s="801"/>
      <c r="J506" s="801"/>
      <c r="K506" s="801"/>
      <c r="L506" s="803"/>
      <c r="M506" s="803"/>
      <c r="N506" s="801"/>
      <c r="O506" s="801"/>
      <c r="P506" s="801"/>
      <c r="Q506" s="801"/>
      <c r="R506" s="801"/>
    </row>
    <row r="507" spans="1:18">
      <c r="A507" s="801"/>
      <c r="B507" s="801"/>
      <c r="C507" s="801"/>
      <c r="D507" s="480"/>
      <c r="E507" s="801"/>
      <c r="F507" s="801"/>
      <c r="G507" s="803"/>
      <c r="H507" s="801"/>
      <c r="I507" s="801"/>
      <c r="J507" s="801"/>
      <c r="K507" s="801"/>
      <c r="L507" s="803"/>
      <c r="M507" s="803"/>
      <c r="N507" s="801"/>
      <c r="O507" s="801"/>
      <c r="P507" s="801"/>
      <c r="Q507" s="801"/>
      <c r="R507" s="801"/>
    </row>
    <row r="508" spans="1:18">
      <c r="A508" s="801"/>
      <c r="B508" s="801"/>
      <c r="C508" s="801"/>
      <c r="D508" s="480"/>
      <c r="E508" s="801"/>
      <c r="F508" s="801"/>
      <c r="G508" s="803"/>
      <c r="H508" s="801"/>
      <c r="I508" s="801"/>
      <c r="J508" s="801"/>
      <c r="K508" s="801"/>
      <c r="L508" s="803"/>
      <c r="M508" s="803"/>
      <c r="N508" s="801"/>
      <c r="O508" s="801"/>
      <c r="P508" s="801"/>
      <c r="Q508" s="801"/>
      <c r="R508" s="801"/>
    </row>
    <row r="509" spans="1:18">
      <c r="A509" s="801"/>
      <c r="B509" s="801"/>
      <c r="C509" s="801"/>
      <c r="D509" s="480"/>
      <c r="E509" s="801"/>
      <c r="F509" s="801"/>
      <c r="G509" s="803"/>
      <c r="H509" s="801"/>
      <c r="I509" s="801"/>
      <c r="J509" s="801"/>
      <c r="K509" s="801"/>
      <c r="L509" s="803"/>
      <c r="M509" s="803"/>
      <c r="N509" s="801"/>
      <c r="O509" s="801"/>
      <c r="P509" s="801"/>
      <c r="Q509" s="801"/>
      <c r="R509" s="801"/>
    </row>
    <row r="510" spans="1:18">
      <c r="A510" s="801"/>
      <c r="B510" s="801"/>
      <c r="C510" s="801"/>
      <c r="D510" s="480"/>
      <c r="E510" s="801"/>
      <c r="F510" s="801"/>
      <c r="G510" s="803"/>
      <c r="H510" s="801"/>
      <c r="I510" s="801"/>
      <c r="J510" s="801"/>
      <c r="K510" s="801"/>
      <c r="L510" s="803"/>
      <c r="M510" s="803"/>
      <c r="N510" s="801"/>
      <c r="O510" s="801"/>
      <c r="P510" s="801"/>
      <c r="Q510" s="801"/>
      <c r="R510" s="801"/>
    </row>
    <row r="511" spans="1:18">
      <c r="A511" s="801"/>
      <c r="B511" s="801"/>
      <c r="C511" s="801"/>
      <c r="D511" s="480"/>
      <c r="E511" s="801"/>
      <c r="F511" s="801"/>
      <c r="G511" s="803"/>
      <c r="H511" s="801"/>
      <c r="I511" s="801"/>
      <c r="J511" s="801"/>
      <c r="K511" s="801"/>
      <c r="L511" s="803"/>
      <c r="M511" s="803"/>
      <c r="N511" s="801"/>
      <c r="O511" s="801"/>
      <c r="P511" s="801"/>
      <c r="Q511" s="801"/>
      <c r="R511" s="801"/>
    </row>
    <row r="512" spans="1:18">
      <c r="A512" s="801"/>
      <c r="B512" s="801"/>
      <c r="C512" s="801"/>
      <c r="D512" s="480"/>
      <c r="E512" s="801"/>
      <c r="F512" s="801"/>
      <c r="G512" s="803"/>
      <c r="H512" s="801"/>
      <c r="I512" s="801"/>
      <c r="J512" s="801"/>
      <c r="K512" s="801"/>
      <c r="L512" s="803"/>
      <c r="M512" s="803"/>
      <c r="N512" s="801"/>
      <c r="O512" s="801"/>
      <c r="P512" s="801"/>
      <c r="Q512" s="801"/>
      <c r="R512" s="801"/>
    </row>
    <row r="513" spans="1:18">
      <c r="A513" s="801"/>
      <c r="B513" s="801"/>
      <c r="C513" s="801"/>
      <c r="D513" s="480"/>
      <c r="E513" s="801"/>
      <c r="F513" s="801"/>
      <c r="G513" s="803"/>
      <c r="H513" s="801"/>
      <c r="I513" s="801"/>
      <c r="J513" s="801"/>
      <c r="K513" s="801"/>
      <c r="L513" s="803"/>
      <c r="M513" s="803"/>
      <c r="N513" s="801"/>
      <c r="O513" s="801"/>
      <c r="P513" s="801"/>
      <c r="Q513" s="801"/>
      <c r="R513" s="801"/>
    </row>
    <row r="514" spans="1:18">
      <c r="A514" s="801"/>
      <c r="B514" s="801"/>
      <c r="C514" s="801"/>
      <c r="D514" s="480"/>
      <c r="E514" s="801"/>
      <c r="F514" s="801"/>
      <c r="G514" s="803"/>
      <c r="H514" s="801"/>
      <c r="I514" s="801"/>
      <c r="J514" s="801"/>
      <c r="K514" s="801"/>
      <c r="L514" s="803"/>
      <c r="M514" s="803"/>
      <c r="N514" s="801"/>
      <c r="O514" s="801"/>
      <c r="P514" s="801"/>
      <c r="Q514" s="801"/>
      <c r="R514" s="801"/>
    </row>
    <row r="515" spans="1:18">
      <c r="A515" s="801"/>
      <c r="B515" s="801"/>
      <c r="C515" s="801"/>
      <c r="D515" s="480"/>
      <c r="E515" s="801"/>
      <c r="F515" s="801"/>
      <c r="G515" s="803"/>
      <c r="H515" s="801"/>
      <c r="I515" s="801"/>
      <c r="J515" s="801"/>
      <c r="K515" s="801"/>
      <c r="L515" s="803"/>
      <c r="M515" s="803"/>
      <c r="N515" s="801"/>
      <c r="O515" s="801"/>
      <c r="P515" s="801"/>
      <c r="Q515" s="801"/>
      <c r="R515" s="801"/>
    </row>
    <row r="516" spans="1:18">
      <c r="A516" s="801"/>
      <c r="B516" s="801"/>
      <c r="C516" s="801"/>
      <c r="D516" s="480"/>
      <c r="E516" s="801"/>
      <c r="F516" s="801"/>
      <c r="G516" s="803"/>
      <c r="H516" s="801"/>
      <c r="I516" s="801"/>
      <c r="J516" s="801"/>
      <c r="K516" s="801"/>
      <c r="L516" s="803"/>
      <c r="M516" s="803"/>
      <c r="N516" s="801"/>
      <c r="O516" s="801"/>
      <c r="P516" s="801"/>
      <c r="Q516" s="801"/>
      <c r="R516" s="801"/>
    </row>
    <row r="517" spans="1:18">
      <c r="A517" s="801"/>
      <c r="B517" s="801"/>
      <c r="C517" s="801"/>
      <c r="D517" s="480"/>
      <c r="E517" s="801"/>
      <c r="F517" s="801"/>
      <c r="G517" s="803"/>
      <c r="H517" s="801"/>
      <c r="I517" s="801"/>
      <c r="J517" s="801"/>
      <c r="K517" s="801"/>
      <c r="L517" s="803"/>
      <c r="M517" s="803"/>
      <c r="N517" s="801"/>
      <c r="O517" s="801"/>
      <c r="P517" s="801"/>
      <c r="Q517" s="801"/>
      <c r="R517" s="801"/>
    </row>
    <row r="518" spans="1:18">
      <c r="A518" s="801"/>
      <c r="B518" s="801"/>
      <c r="C518" s="801"/>
      <c r="D518" s="480"/>
      <c r="E518" s="801"/>
      <c r="F518" s="801"/>
      <c r="G518" s="803"/>
      <c r="H518" s="801"/>
      <c r="I518" s="801"/>
      <c r="J518" s="801"/>
      <c r="K518" s="801"/>
      <c r="L518" s="803"/>
      <c r="M518" s="803"/>
      <c r="N518" s="801"/>
      <c r="O518" s="801"/>
      <c r="P518" s="801"/>
      <c r="Q518" s="801"/>
      <c r="R518" s="801"/>
    </row>
    <row r="519" spans="1:18">
      <c r="A519" s="801"/>
      <c r="B519" s="801"/>
      <c r="C519" s="801"/>
      <c r="D519" s="480"/>
      <c r="E519" s="801"/>
      <c r="F519" s="801"/>
      <c r="G519" s="803"/>
      <c r="H519" s="801"/>
      <c r="I519" s="801"/>
      <c r="J519" s="801"/>
      <c r="K519" s="801"/>
      <c r="L519" s="803"/>
      <c r="M519" s="803"/>
      <c r="N519" s="801"/>
      <c r="O519" s="801"/>
      <c r="P519" s="801"/>
      <c r="Q519" s="801"/>
      <c r="R519" s="801"/>
    </row>
    <row r="520" spans="1:18">
      <c r="A520" s="801"/>
      <c r="B520" s="801"/>
      <c r="C520" s="801"/>
      <c r="D520" s="480"/>
      <c r="E520" s="801"/>
      <c r="F520" s="801"/>
      <c r="G520" s="803"/>
      <c r="H520" s="801"/>
      <c r="I520" s="801"/>
      <c r="J520" s="801"/>
      <c r="K520" s="801"/>
      <c r="L520" s="803"/>
      <c r="M520" s="803"/>
      <c r="N520" s="801"/>
      <c r="O520" s="801"/>
      <c r="P520" s="801"/>
      <c r="Q520" s="801"/>
      <c r="R520" s="801"/>
    </row>
    <row r="521" spans="1:18">
      <c r="A521" s="801"/>
      <c r="B521" s="801"/>
      <c r="C521" s="801"/>
      <c r="D521" s="480"/>
      <c r="E521" s="801"/>
      <c r="F521" s="801"/>
      <c r="G521" s="803"/>
      <c r="H521" s="801"/>
      <c r="I521" s="801"/>
      <c r="J521" s="801"/>
      <c r="K521" s="801"/>
      <c r="L521" s="803"/>
      <c r="M521" s="803"/>
      <c r="N521" s="801"/>
      <c r="O521" s="801"/>
      <c r="P521" s="801"/>
      <c r="Q521" s="801"/>
      <c r="R521" s="801"/>
    </row>
    <row r="522" spans="1:18">
      <c r="A522" s="801"/>
      <c r="B522" s="801"/>
      <c r="C522" s="801"/>
      <c r="D522" s="480"/>
      <c r="E522" s="801"/>
      <c r="F522" s="801"/>
      <c r="G522" s="803"/>
      <c r="H522" s="801"/>
      <c r="I522" s="801"/>
      <c r="J522" s="801"/>
      <c r="K522" s="801"/>
      <c r="L522" s="803"/>
      <c r="M522" s="803"/>
      <c r="N522" s="801"/>
      <c r="O522" s="801"/>
      <c r="P522" s="801"/>
      <c r="Q522" s="801"/>
      <c r="R522" s="801"/>
    </row>
    <row r="523" spans="1:18">
      <c r="A523" s="801"/>
      <c r="B523" s="801"/>
      <c r="C523" s="801"/>
      <c r="D523" s="480"/>
      <c r="E523" s="801"/>
      <c r="F523" s="801"/>
      <c r="G523" s="803"/>
      <c r="H523" s="801"/>
      <c r="I523" s="801"/>
      <c r="J523" s="801"/>
      <c r="K523" s="801"/>
      <c r="L523" s="803"/>
      <c r="M523" s="803"/>
      <c r="N523" s="801"/>
      <c r="O523" s="801"/>
      <c r="P523" s="801"/>
      <c r="Q523" s="801"/>
      <c r="R523" s="801"/>
    </row>
    <row r="524" spans="1:18">
      <c r="A524" s="801"/>
      <c r="B524" s="801"/>
      <c r="C524" s="801"/>
      <c r="D524" s="480"/>
      <c r="E524" s="801"/>
      <c r="F524" s="801"/>
      <c r="G524" s="803"/>
      <c r="H524" s="801"/>
      <c r="I524" s="801"/>
      <c r="J524" s="801"/>
      <c r="K524" s="801"/>
      <c r="L524" s="803"/>
      <c r="M524" s="803"/>
      <c r="N524" s="801"/>
      <c r="O524" s="801"/>
      <c r="P524" s="801"/>
      <c r="Q524" s="801"/>
      <c r="R524" s="801"/>
    </row>
    <row r="525" spans="1:18">
      <c r="A525" s="801"/>
      <c r="B525" s="801"/>
      <c r="C525" s="801"/>
      <c r="D525" s="480"/>
      <c r="E525" s="801"/>
      <c r="F525" s="801"/>
      <c r="G525" s="803"/>
      <c r="H525" s="801"/>
      <c r="I525" s="801"/>
      <c r="J525" s="801"/>
      <c r="K525" s="801"/>
      <c r="L525" s="803"/>
      <c r="M525" s="803"/>
      <c r="N525" s="801"/>
      <c r="O525" s="801"/>
      <c r="P525" s="801"/>
      <c r="Q525" s="801"/>
      <c r="R525" s="801"/>
    </row>
    <row r="526" spans="1:18">
      <c r="A526" s="801"/>
      <c r="B526" s="801"/>
      <c r="C526" s="801"/>
      <c r="D526" s="480"/>
      <c r="E526" s="801"/>
      <c r="F526" s="801"/>
      <c r="G526" s="803"/>
      <c r="H526" s="801"/>
      <c r="I526" s="801"/>
      <c r="J526" s="801"/>
      <c r="K526" s="801"/>
      <c r="L526" s="803"/>
      <c r="M526" s="803"/>
      <c r="N526" s="801"/>
      <c r="O526" s="801"/>
      <c r="P526" s="801"/>
      <c r="Q526" s="801"/>
      <c r="R526" s="801"/>
    </row>
    <row r="527" spans="1:18">
      <c r="A527" s="801"/>
      <c r="B527" s="801"/>
      <c r="C527" s="801"/>
      <c r="D527" s="480"/>
      <c r="E527" s="801"/>
      <c r="F527" s="801"/>
      <c r="G527" s="803"/>
      <c r="H527" s="801"/>
      <c r="I527" s="801"/>
      <c r="J527" s="801"/>
      <c r="K527" s="801"/>
      <c r="L527" s="803"/>
      <c r="M527" s="803"/>
      <c r="N527" s="801"/>
      <c r="O527" s="801"/>
      <c r="P527" s="801"/>
      <c r="Q527" s="801"/>
      <c r="R527" s="801"/>
    </row>
    <row r="528" spans="1:18">
      <c r="A528" s="801"/>
      <c r="B528" s="801"/>
      <c r="C528" s="801"/>
      <c r="D528" s="480"/>
      <c r="E528" s="801"/>
      <c r="F528" s="801"/>
      <c r="G528" s="803"/>
      <c r="H528" s="801"/>
      <c r="I528" s="801"/>
      <c r="J528" s="801"/>
      <c r="K528" s="801"/>
      <c r="L528" s="803"/>
      <c r="M528" s="803"/>
      <c r="N528" s="801"/>
      <c r="O528" s="801"/>
      <c r="P528" s="801"/>
      <c r="Q528" s="801"/>
      <c r="R528" s="801"/>
    </row>
    <row r="529" spans="1:18">
      <c r="A529" s="801"/>
      <c r="B529" s="801"/>
      <c r="C529" s="801"/>
      <c r="D529" s="480"/>
      <c r="E529" s="801"/>
      <c r="F529" s="801"/>
      <c r="G529" s="803"/>
      <c r="H529" s="801"/>
      <c r="I529" s="801"/>
      <c r="J529" s="801"/>
      <c r="K529" s="801"/>
      <c r="L529" s="803"/>
      <c r="M529" s="803"/>
      <c r="N529" s="801"/>
      <c r="O529" s="801"/>
      <c r="P529" s="801"/>
      <c r="Q529" s="801"/>
      <c r="R529" s="801"/>
    </row>
    <row r="530" spans="1:18">
      <c r="A530" s="801"/>
      <c r="B530" s="801"/>
      <c r="C530" s="801"/>
      <c r="D530" s="480"/>
      <c r="E530" s="801"/>
      <c r="F530" s="801"/>
      <c r="G530" s="803"/>
      <c r="H530" s="801"/>
      <c r="I530" s="801"/>
      <c r="J530" s="801"/>
      <c r="K530" s="801"/>
      <c r="L530" s="803"/>
      <c r="M530" s="803"/>
      <c r="N530" s="801"/>
      <c r="O530" s="801"/>
      <c r="P530" s="801"/>
      <c r="Q530" s="801"/>
      <c r="R530" s="801"/>
    </row>
    <row r="531" spans="1:18">
      <c r="A531" s="801"/>
      <c r="B531" s="801"/>
      <c r="C531" s="801"/>
      <c r="D531" s="480"/>
      <c r="E531" s="801"/>
      <c r="F531" s="801"/>
      <c r="G531" s="803"/>
      <c r="H531" s="801"/>
      <c r="I531" s="801"/>
      <c r="J531" s="801"/>
      <c r="K531" s="801"/>
      <c r="L531" s="803"/>
      <c r="M531" s="803"/>
      <c r="N531" s="801"/>
      <c r="O531" s="801"/>
      <c r="P531" s="801"/>
      <c r="Q531" s="801"/>
      <c r="R531" s="801"/>
    </row>
    <row r="532" spans="1:18">
      <c r="A532" s="801"/>
      <c r="B532" s="801"/>
      <c r="C532" s="801"/>
      <c r="D532" s="480"/>
      <c r="E532" s="801"/>
      <c r="F532" s="801"/>
      <c r="G532" s="803"/>
      <c r="H532" s="801"/>
      <c r="I532" s="801"/>
      <c r="J532" s="801"/>
      <c r="K532" s="801"/>
      <c r="L532" s="803"/>
      <c r="M532" s="803"/>
      <c r="N532" s="801"/>
      <c r="O532" s="801"/>
      <c r="P532" s="801"/>
      <c r="Q532" s="801"/>
      <c r="R532" s="801"/>
    </row>
    <row r="533" spans="1:18">
      <c r="A533" s="801"/>
      <c r="B533" s="801"/>
      <c r="C533" s="801"/>
      <c r="D533" s="480"/>
      <c r="E533" s="801"/>
      <c r="F533" s="801"/>
      <c r="G533" s="803"/>
      <c r="H533" s="801"/>
      <c r="I533" s="801"/>
      <c r="J533" s="801"/>
      <c r="K533" s="801"/>
      <c r="L533" s="803"/>
      <c r="M533" s="803"/>
      <c r="N533" s="801"/>
      <c r="O533" s="801"/>
      <c r="P533" s="801"/>
      <c r="Q533" s="801"/>
      <c r="R533" s="801"/>
    </row>
    <row r="534" spans="1:18">
      <c r="A534" s="801"/>
      <c r="B534" s="801"/>
      <c r="C534" s="801"/>
      <c r="D534" s="480"/>
      <c r="E534" s="801"/>
      <c r="F534" s="801"/>
      <c r="G534" s="803"/>
      <c r="H534" s="801"/>
      <c r="I534" s="801"/>
      <c r="J534" s="801"/>
      <c r="K534" s="801"/>
      <c r="L534" s="803"/>
      <c r="M534" s="803"/>
      <c r="N534" s="801"/>
      <c r="O534" s="801"/>
      <c r="P534" s="801"/>
      <c r="Q534" s="801"/>
      <c r="R534" s="801"/>
    </row>
    <row r="535" spans="1:18">
      <c r="A535" s="801"/>
      <c r="B535" s="801"/>
      <c r="C535" s="801"/>
      <c r="D535" s="480"/>
      <c r="E535" s="801"/>
      <c r="F535" s="801"/>
      <c r="G535" s="803"/>
      <c r="H535" s="801"/>
      <c r="I535" s="801"/>
      <c r="J535" s="801"/>
      <c r="K535" s="801"/>
      <c r="L535" s="803"/>
      <c r="M535" s="803"/>
      <c r="N535" s="801"/>
      <c r="O535" s="801"/>
      <c r="P535" s="801"/>
      <c r="Q535" s="801"/>
      <c r="R535" s="801"/>
    </row>
    <row r="536" spans="1:18">
      <c r="A536" s="801"/>
      <c r="B536" s="801"/>
      <c r="C536" s="801"/>
      <c r="D536" s="480"/>
      <c r="E536" s="801"/>
      <c r="F536" s="801"/>
      <c r="G536" s="803"/>
      <c r="H536" s="801"/>
      <c r="I536" s="801"/>
      <c r="J536" s="801"/>
      <c r="K536" s="801"/>
      <c r="L536" s="803"/>
      <c r="M536" s="803"/>
      <c r="N536" s="801"/>
      <c r="O536" s="801"/>
      <c r="P536" s="801"/>
      <c r="Q536" s="801"/>
      <c r="R536" s="801"/>
    </row>
    <row r="537" spans="1:18">
      <c r="A537" s="801"/>
      <c r="B537" s="801"/>
      <c r="C537" s="801"/>
      <c r="D537" s="480"/>
      <c r="E537" s="801"/>
      <c r="F537" s="801"/>
      <c r="G537" s="803"/>
      <c r="H537" s="801"/>
      <c r="I537" s="801"/>
      <c r="J537" s="801"/>
      <c r="K537" s="801"/>
      <c r="L537" s="803"/>
      <c r="M537" s="803"/>
      <c r="N537" s="801"/>
      <c r="O537" s="801"/>
      <c r="P537" s="801"/>
      <c r="Q537" s="801"/>
      <c r="R537" s="801"/>
    </row>
    <row r="538" spans="1:18">
      <c r="A538" s="801"/>
      <c r="B538" s="801"/>
      <c r="C538" s="801"/>
      <c r="D538" s="480"/>
      <c r="E538" s="801"/>
      <c r="F538" s="801"/>
      <c r="G538" s="803"/>
      <c r="H538" s="801"/>
      <c r="I538" s="801"/>
      <c r="J538" s="801"/>
      <c r="K538" s="801"/>
      <c r="L538" s="803"/>
      <c r="M538" s="803"/>
      <c r="N538" s="801"/>
      <c r="O538" s="801"/>
      <c r="P538" s="801"/>
      <c r="Q538" s="801"/>
      <c r="R538" s="801"/>
    </row>
    <row r="539" spans="1:18">
      <c r="A539" s="801"/>
      <c r="B539" s="801"/>
      <c r="C539" s="801"/>
      <c r="D539" s="480"/>
      <c r="E539" s="801"/>
      <c r="F539" s="801"/>
      <c r="G539" s="803"/>
      <c r="H539" s="801"/>
      <c r="I539" s="801"/>
      <c r="J539" s="801"/>
      <c r="K539" s="801"/>
      <c r="L539" s="803"/>
      <c r="M539" s="803"/>
      <c r="N539" s="801"/>
      <c r="O539" s="801"/>
      <c r="P539" s="801"/>
      <c r="Q539" s="801"/>
      <c r="R539" s="801"/>
    </row>
    <row r="540" spans="1:18">
      <c r="A540" s="801"/>
      <c r="B540" s="801"/>
      <c r="C540" s="801"/>
      <c r="D540" s="480"/>
      <c r="E540" s="801"/>
      <c r="F540" s="801"/>
      <c r="G540" s="803"/>
      <c r="H540" s="801"/>
      <c r="I540" s="801"/>
      <c r="J540" s="801"/>
      <c r="K540" s="801"/>
      <c r="L540" s="803"/>
      <c r="M540" s="803"/>
      <c r="N540" s="801"/>
      <c r="O540" s="801"/>
      <c r="P540" s="801"/>
      <c r="Q540" s="801"/>
      <c r="R540" s="801"/>
    </row>
    <row r="541" spans="1:18">
      <c r="A541" s="801"/>
      <c r="B541" s="801"/>
      <c r="C541" s="801"/>
      <c r="D541" s="480"/>
      <c r="E541" s="801"/>
      <c r="F541" s="801"/>
      <c r="G541" s="803"/>
      <c r="H541" s="801"/>
      <c r="I541" s="801"/>
      <c r="J541" s="801"/>
      <c r="K541" s="801"/>
      <c r="L541" s="803"/>
      <c r="M541" s="803"/>
      <c r="N541" s="801"/>
      <c r="O541" s="801"/>
      <c r="P541" s="801"/>
      <c r="Q541" s="801"/>
      <c r="R541" s="801"/>
    </row>
    <row r="542" spans="1:18">
      <c r="A542" s="801"/>
      <c r="B542" s="801"/>
      <c r="C542" s="801"/>
      <c r="D542" s="480"/>
      <c r="E542" s="801"/>
      <c r="F542" s="801"/>
      <c r="G542" s="803"/>
      <c r="H542" s="801"/>
      <c r="I542" s="801"/>
      <c r="J542" s="801"/>
      <c r="K542" s="801"/>
      <c r="L542" s="803"/>
      <c r="M542" s="803"/>
      <c r="N542" s="801"/>
      <c r="O542" s="801"/>
      <c r="P542" s="801"/>
      <c r="Q542" s="801"/>
      <c r="R542" s="801"/>
    </row>
    <row r="543" spans="1:18">
      <c r="A543" s="801"/>
      <c r="B543" s="801"/>
      <c r="C543" s="801"/>
      <c r="D543" s="480"/>
      <c r="E543" s="801"/>
      <c r="F543" s="801"/>
      <c r="G543" s="803"/>
      <c r="H543" s="801"/>
      <c r="I543" s="801"/>
      <c r="J543" s="801"/>
      <c r="K543" s="801"/>
      <c r="L543" s="803"/>
      <c r="M543" s="803"/>
      <c r="N543" s="801"/>
      <c r="O543" s="801"/>
      <c r="P543" s="801"/>
      <c r="Q543" s="801"/>
      <c r="R543" s="801"/>
    </row>
    <row r="544" spans="1:18">
      <c r="A544" s="801"/>
      <c r="B544" s="801"/>
      <c r="C544" s="801"/>
      <c r="D544" s="480"/>
      <c r="E544" s="801"/>
      <c r="F544" s="801"/>
      <c r="G544" s="803"/>
      <c r="H544" s="801"/>
      <c r="I544" s="801"/>
      <c r="J544" s="801"/>
      <c r="K544" s="801"/>
      <c r="L544" s="803"/>
      <c r="M544" s="803"/>
      <c r="N544" s="801"/>
      <c r="O544" s="801"/>
      <c r="P544" s="801"/>
      <c r="Q544" s="801"/>
      <c r="R544" s="801"/>
    </row>
    <row r="545" spans="1:18">
      <c r="A545" s="801"/>
      <c r="B545" s="801"/>
      <c r="C545" s="801"/>
      <c r="D545" s="480"/>
      <c r="E545" s="801"/>
      <c r="F545" s="801"/>
      <c r="G545" s="803"/>
      <c r="H545" s="801"/>
      <c r="I545" s="801"/>
      <c r="J545" s="801"/>
      <c r="K545" s="801"/>
      <c r="L545" s="803"/>
      <c r="M545" s="803"/>
      <c r="N545" s="801"/>
      <c r="O545" s="801"/>
      <c r="P545" s="801"/>
      <c r="Q545" s="801"/>
      <c r="R545" s="801"/>
    </row>
    <row r="546" spans="1:18">
      <c r="A546" s="801"/>
      <c r="B546" s="801"/>
      <c r="C546" s="801"/>
      <c r="D546" s="480"/>
      <c r="E546" s="801"/>
      <c r="F546" s="801"/>
      <c r="G546" s="803"/>
      <c r="H546" s="801"/>
      <c r="I546" s="801"/>
      <c r="J546" s="801"/>
      <c r="K546" s="801"/>
      <c r="L546" s="803"/>
      <c r="M546" s="803"/>
      <c r="N546" s="801"/>
      <c r="O546" s="801"/>
      <c r="P546" s="801"/>
      <c r="Q546" s="801"/>
      <c r="R546" s="801"/>
    </row>
    <row r="547" spans="1:18">
      <c r="A547" s="801"/>
      <c r="B547" s="801"/>
      <c r="C547" s="801"/>
      <c r="D547" s="480"/>
      <c r="E547" s="801"/>
      <c r="F547" s="801"/>
      <c r="G547" s="803"/>
      <c r="H547" s="801"/>
      <c r="I547" s="801"/>
      <c r="J547" s="801"/>
      <c r="K547" s="801"/>
      <c r="L547" s="803"/>
      <c r="M547" s="803"/>
      <c r="N547" s="801"/>
      <c r="O547" s="801"/>
      <c r="P547" s="801"/>
      <c r="Q547" s="801"/>
      <c r="R547" s="801"/>
    </row>
    <row r="548" spans="1:18">
      <c r="A548" s="801"/>
      <c r="B548" s="801"/>
      <c r="C548" s="801"/>
      <c r="D548" s="480"/>
      <c r="E548" s="801"/>
      <c r="F548" s="801"/>
      <c r="G548" s="803"/>
      <c r="H548" s="801"/>
      <c r="I548" s="801"/>
      <c r="J548" s="801"/>
      <c r="K548" s="801"/>
      <c r="L548" s="803"/>
      <c r="M548" s="803"/>
      <c r="N548" s="801"/>
      <c r="O548" s="801"/>
      <c r="P548" s="801"/>
      <c r="Q548" s="801"/>
      <c r="R548" s="801"/>
    </row>
    <row r="549" spans="1:18">
      <c r="A549" s="801"/>
      <c r="B549" s="801"/>
      <c r="C549" s="801"/>
      <c r="D549" s="480"/>
      <c r="E549" s="801"/>
      <c r="F549" s="801"/>
      <c r="G549" s="803"/>
      <c r="H549" s="801"/>
      <c r="I549" s="801"/>
      <c r="J549" s="801"/>
      <c r="K549" s="801"/>
      <c r="L549" s="803"/>
      <c r="M549" s="803"/>
      <c r="N549" s="801"/>
      <c r="O549" s="801"/>
      <c r="P549" s="801"/>
      <c r="Q549" s="801"/>
      <c r="R549" s="801"/>
    </row>
    <row r="550" spans="1:18">
      <c r="A550" s="801"/>
      <c r="B550" s="801"/>
      <c r="C550" s="801"/>
      <c r="D550" s="480"/>
      <c r="E550" s="801"/>
      <c r="F550" s="801"/>
      <c r="G550" s="803"/>
      <c r="H550" s="801"/>
      <c r="I550" s="801"/>
      <c r="J550" s="801"/>
      <c r="K550" s="801"/>
      <c r="L550" s="803"/>
      <c r="M550" s="803"/>
      <c r="N550" s="801"/>
      <c r="O550" s="801"/>
      <c r="P550" s="801"/>
      <c r="Q550" s="801"/>
      <c r="R550" s="801"/>
    </row>
    <row r="551" spans="1:18">
      <c r="A551" s="801"/>
      <c r="B551" s="801"/>
      <c r="C551" s="801"/>
      <c r="D551" s="480"/>
      <c r="E551" s="801"/>
      <c r="F551" s="801"/>
      <c r="G551" s="803"/>
      <c r="H551" s="801"/>
      <c r="I551" s="801"/>
      <c r="J551" s="801"/>
      <c r="K551" s="801"/>
      <c r="L551" s="803"/>
      <c r="M551" s="803"/>
      <c r="N551" s="801"/>
      <c r="O551" s="801"/>
      <c r="P551" s="801"/>
      <c r="Q551" s="801"/>
      <c r="R551" s="801"/>
    </row>
    <row r="552" spans="1:18">
      <c r="A552" s="801"/>
      <c r="B552" s="801"/>
      <c r="C552" s="801"/>
      <c r="D552" s="480"/>
      <c r="E552" s="801"/>
      <c r="F552" s="801"/>
      <c r="G552" s="803"/>
      <c r="H552" s="801"/>
      <c r="I552" s="801"/>
      <c r="J552" s="801"/>
      <c r="K552" s="801"/>
      <c r="L552" s="803"/>
      <c r="M552" s="803"/>
      <c r="N552" s="801"/>
      <c r="O552" s="801"/>
      <c r="P552" s="801"/>
      <c r="Q552" s="801"/>
      <c r="R552" s="801"/>
    </row>
    <row r="553" spans="1:18">
      <c r="A553" s="801"/>
      <c r="B553" s="801"/>
      <c r="C553" s="801"/>
      <c r="D553" s="480"/>
      <c r="E553" s="801"/>
      <c r="F553" s="801"/>
      <c r="G553" s="803"/>
      <c r="H553" s="801"/>
      <c r="I553" s="801"/>
      <c r="J553" s="801"/>
      <c r="K553" s="801"/>
      <c r="L553" s="803"/>
      <c r="M553" s="803"/>
      <c r="N553" s="801"/>
      <c r="O553" s="801"/>
      <c r="P553" s="801"/>
      <c r="Q553" s="801"/>
      <c r="R553" s="801"/>
    </row>
    <row r="554" spans="1:18">
      <c r="A554" s="801"/>
      <c r="B554" s="801"/>
      <c r="C554" s="801"/>
      <c r="D554" s="480"/>
      <c r="E554" s="801"/>
      <c r="F554" s="801"/>
      <c r="G554" s="803"/>
      <c r="H554" s="801"/>
      <c r="I554" s="801"/>
      <c r="J554" s="801"/>
      <c r="K554" s="801"/>
      <c r="L554" s="803"/>
      <c r="M554" s="803"/>
      <c r="N554" s="801"/>
      <c r="O554" s="801"/>
      <c r="P554" s="801"/>
      <c r="Q554" s="801"/>
      <c r="R554" s="801"/>
    </row>
    <row r="555" spans="1:18">
      <c r="A555" s="801"/>
      <c r="B555" s="801"/>
      <c r="C555" s="801"/>
      <c r="D555" s="480"/>
      <c r="E555" s="801"/>
      <c r="F555" s="801"/>
      <c r="G555" s="803"/>
      <c r="H555" s="801"/>
      <c r="I555" s="801"/>
      <c r="J555" s="801"/>
      <c r="K555" s="801"/>
      <c r="L555" s="803"/>
      <c r="M555" s="803"/>
      <c r="N555" s="801"/>
      <c r="O555" s="801"/>
      <c r="P555" s="801"/>
      <c r="Q555" s="801"/>
      <c r="R555" s="801"/>
    </row>
    <row r="556" spans="1:18">
      <c r="A556" s="801"/>
      <c r="B556" s="801"/>
      <c r="C556" s="801"/>
      <c r="D556" s="480"/>
      <c r="E556" s="801"/>
      <c r="F556" s="801"/>
      <c r="G556" s="803"/>
      <c r="H556" s="801"/>
      <c r="I556" s="801"/>
      <c r="J556" s="801"/>
      <c r="K556" s="801"/>
      <c r="L556" s="803"/>
      <c r="M556" s="803"/>
      <c r="N556" s="801"/>
      <c r="O556" s="801"/>
      <c r="P556" s="801"/>
      <c r="Q556" s="801"/>
      <c r="R556" s="801"/>
    </row>
    <row r="557" spans="1:18">
      <c r="A557" s="801"/>
      <c r="B557" s="801"/>
      <c r="C557" s="801"/>
      <c r="D557" s="480"/>
      <c r="E557" s="801"/>
      <c r="F557" s="801"/>
      <c r="G557" s="803"/>
      <c r="H557" s="801"/>
      <c r="I557" s="801"/>
      <c r="J557" s="801"/>
      <c r="K557" s="801"/>
      <c r="L557" s="803"/>
      <c r="M557" s="803"/>
      <c r="N557" s="801"/>
      <c r="O557" s="801"/>
      <c r="P557" s="801"/>
      <c r="Q557" s="801"/>
      <c r="R557" s="801"/>
    </row>
    <row r="558" spans="1:18">
      <c r="A558" s="801"/>
      <c r="B558" s="801"/>
      <c r="C558" s="801"/>
      <c r="D558" s="480"/>
      <c r="E558" s="801"/>
      <c r="F558" s="801"/>
      <c r="G558" s="803"/>
      <c r="H558" s="801"/>
      <c r="I558" s="801"/>
      <c r="J558" s="801"/>
      <c r="K558" s="801"/>
      <c r="L558" s="803"/>
      <c r="M558" s="803"/>
      <c r="N558" s="801"/>
      <c r="O558" s="801"/>
      <c r="P558" s="801"/>
      <c r="Q558" s="801"/>
      <c r="R558" s="801"/>
    </row>
    <row r="559" spans="1:18">
      <c r="A559" s="801"/>
      <c r="B559" s="801"/>
      <c r="C559" s="801"/>
      <c r="D559" s="480"/>
      <c r="E559" s="801"/>
      <c r="F559" s="801"/>
      <c r="G559" s="803"/>
      <c r="H559" s="801"/>
      <c r="I559" s="801"/>
      <c r="J559" s="801"/>
      <c r="K559" s="801"/>
      <c r="L559" s="803"/>
      <c r="M559" s="803"/>
      <c r="N559" s="801"/>
      <c r="O559" s="801"/>
      <c r="P559" s="801"/>
      <c r="Q559" s="801"/>
      <c r="R559" s="801"/>
    </row>
    <row r="560" spans="1:18">
      <c r="A560" s="801"/>
      <c r="B560" s="801"/>
      <c r="C560" s="801"/>
      <c r="D560" s="480"/>
      <c r="E560" s="801"/>
      <c r="F560" s="801"/>
      <c r="G560" s="803"/>
      <c r="H560" s="801"/>
      <c r="I560" s="801"/>
      <c r="J560" s="801"/>
      <c r="K560" s="801"/>
      <c r="L560" s="803"/>
      <c r="M560" s="803"/>
      <c r="N560" s="801"/>
      <c r="O560" s="801"/>
      <c r="P560" s="801"/>
      <c r="Q560" s="801"/>
      <c r="R560" s="801"/>
    </row>
    <row r="561" spans="1:18">
      <c r="A561" s="801"/>
      <c r="B561" s="801"/>
      <c r="C561" s="801"/>
      <c r="D561" s="480"/>
      <c r="E561" s="801"/>
      <c r="F561" s="801"/>
      <c r="G561" s="803"/>
      <c r="H561" s="801"/>
      <c r="I561" s="801"/>
      <c r="J561" s="801"/>
      <c r="K561" s="801"/>
      <c r="L561" s="803"/>
      <c r="M561" s="803"/>
      <c r="N561" s="801"/>
      <c r="O561" s="801"/>
      <c r="P561" s="801"/>
      <c r="Q561" s="801"/>
      <c r="R561" s="801"/>
    </row>
    <row r="562" spans="1:18">
      <c r="A562" s="801"/>
      <c r="B562" s="801"/>
      <c r="C562" s="801"/>
      <c r="D562" s="480"/>
      <c r="E562" s="801"/>
      <c r="F562" s="801"/>
      <c r="G562" s="803"/>
      <c r="H562" s="801"/>
      <c r="I562" s="801"/>
      <c r="J562" s="801"/>
      <c r="K562" s="801"/>
      <c r="L562" s="803"/>
      <c r="M562" s="803"/>
      <c r="N562" s="801"/>
      <c r="O562" s="801"/>
      <c r="P562" s="801"/>
      <c r="Q562" s="801"/>
      <c r="R562" s="801"/>
    </row>
    <row r="563" spans="1:18">
      <c r="A563" s="801"/>
      <c r="B563" s="801"/>
      <c r="C563" s="801"/>
      <c r="D563" s="480"/>
      <c r="E563" s="801"/>
      <c r="F563" s="801"/>
      <c r="G563" s="803"/>
      <c r="H563" s="801"/>
      <c r="I563" s="801"/>
      <c r="J563" s="801"/>
      <c r="K563" s="801"/>
      <c r="L563" s="803"/>
      <c r="M563" s="803"/>
      <c r="N563" s="801"/>
      <c r="O563" s="801"/>
      <c r="P563" s="801"/>
      <c r="Q563" s="801"/>
      <c r="R563" s="801"/>
    </row>
    <row r="564" spans="1:18">
      <c r="A564" s="801"/>
      <c r="B564" s="801"/>
      <c r="C564" s="801"/>
      <c r="D564" s="480"/>
      <c r="E564" s="801"/>
      <c r="F564" s="801"/>
      <c r="G564" s="803"/>
      <c r="H564" s="801"/>
      <c r="I564" s="801"/>
      <c r="J564" s="801"/>
      <c r="K564" s="801"/>
      <c r="L564" s="803"/>
      <c r="M564" s="803"/>
      <c r="N564" s="801"/>
      <c r="O564" s="801"/>
      <c r="P564" s="801"/>
      <c r="Q564" s="801"/>
      <c r="R564" s="801"/>
    </row>
    <row r="565" spans="1:18">
      <c r="A565" s="801"/>
      <c r="B565" s="801"/>
      <c r="C565" s="801"/>
      <c r="D565" s="480"/>
      <c r="E565" s="801"/>
      <c r="F565" s="801"/>
      <c r="G565" s="803"/>
      <c r="H565" s="801"/>
      <c r="I565" s="801"/>
      <c r="J565" s="801"/>
      <c r="K565" s="801"/>
      <c r="L565" s="803"/>
      <c r="M565" s="803"/>
      <c r="N565" s="801"/>
      <c r="O565" s="801"/>
      <c r="P565" s="801"/>
      <c r="Q565" s="801"/>
      <c r="R565" s="801"/>
    </row>
    <row r="566" spans="1:18">
      <c r="A566" s="801"/>
      <c r="B566" s="801"/>
      <c r="C566" s="801"/>
      <c r="D566" s="480"/>
      <c r="E566" s="801"/>
      <c r="F566" s="801"/>
      <c r="G566" s="803"/>
      <c r="H566" s="801"/>
      <c r="I566" s="801"/>
      <c r="J566" s="801"/>
      <c r="K566" s="801"/>
      <c r="L566" s="803"/>
      <c r="M566" s="803"/>
      <c r="N566" s="801"/>
      <c r="O566" s="801"/>
      <c r="P566" s="801"/>
      <c r="Q566" s="801"/>
      <c r="R566" s="801"/>
    </row>
    <row r="567" spans="1:18">
      <c r="A567" s="801"/>
      <c r="B567" s="801"/>
      <c r="C567" s="801"/>
      <c r="D567" s="480"/>
      <c r="E567" s="801"/>
      <c r="F567" s="801"/>
      <c r="G567" s="803"/>
      <c r="H567" s="801"/>
      <c r="I567" s="801"/>
      <c r="J567" s="801"/>
      <c r="K567" s="801"/>
      <c r="L567" s="803"/>
      <c r="M567" s="803"/>
      <c r="N567" s="801"/>
      <c r="O567" s="801"/>
      <c r="P567" s="801"/>
      <c r="Q567" s="801"/>
      <c r="R567" s="801"/>
    </row>
    <row r="568" spans="1:18">
      <c r="A568" s="801"/>
      <c r="B568" s="801"/>
      <c r="C568" s="801"/>
      <c r="D568" s="480"/>
      <c r="E568" s="801"/>
      <c r="F568" s="801"/>
      <c r="G568" s="803"/>
      <c r="H568" s="801"/>
      <c r="I568" s="801"/>
      <c r="J568" s="801"/>
      <c r="K568" s="801"/>
      <c r="L568" s="803"/>
      <c r="M568" s="803"/>
      <c r="N568" s="801"/>
      <c r="O568" s="801"/>
      <c r="P568" s="801"/>
      <c r="Q568" s="801"/>
      <c r="R568" s="801"/>
    </row>
    <row r="569" spans="1:18">
      <c r="A569" s="801"/>
      <c r="B569" s="801"/>
      <c r="C569" s="801"/>
      <c r="D569" s="480"/>
      <c r="E569" s="801"/>
      <c r="F569" s="801"/>
      <c r="G569" s="803"/>
      <c r="H569" s="801"/>
      <c r="I569" s="801"/>
      <c r="J569" s="801"/>
      <c r="K569" s="801"/>
      <c r="L569" s="803"/>
      <c r="M569" s="803"/>
      <c r="N569" s="801"/>
      <c r="O569" s="801"/>
      <c r="P569" s="801"/>
      <c r="Q569" s="801"/>
      <c r="R569" s="801"/>
    </row>
    <row r="570" spans="1:18">
      <c r="A570" s="801"/>
      <c r="B570" s="801"/>
      <c r="C570" s="801"/>
      <c r="D570" s="480"/>
      <c r="E570" s="801"/>
      <c r="F570" s="801"/>
      <c r="G570" s="803"/>
      <c r="H570" s="801"/>
      <c r="I570" s="801"/>
      <c r="J570" s="801"/>
      <c r="K570" s="801"/>
      <c r="L570" s="803"/>
      <c r="M570" s="803"/>
      <c r="N570" s="801"/>
      <c r="O570" s="801"/>
      <c r="P570" s="801"/>
      <c r="Q570" s="801"/>
      <c r="R570" s="801"/>
    </row>
    <row r="571" spans="1:18">
      <c r="A571" s="801"/>
      <c r="B571" s="801"/>
      <c r="C571" s="801"/>
      <c r="D571" s="480"/>
      <c r="E571" s="801"/>
      <c r="F571" s="801"/>
      <c r="G571" s="803"/>
      <c r="H571" s="801"/>
      <c r="I571" s="801"/>
      <c r="J571" s="801"/>
      <c r="K571" s="801"/>
      <c r="L571" s="803"/>
      <c r="M571" s="803"/>
      <c r="N571" s="801"/>
      <c r="O571" s="801"/>
      <c r="P571" s="801"/>
      <c r="Q571" s="801"/>
      <c r="R571" s="801"/>
    </row>
    <row r="572" spans="1:18">
      <c r="A572" s="801"/>
      <c r="B572" s="801"/>
      <c r="C572" s="801"/>
      <c r="D572" s="480"/>
      <c r="E572" s="801"/>
      <c r="F572" s="801"/>
      <c r="G572" s="803"/>
      <c r="H572" s="801"/>
      <c r="I572" s="801"/>
      <c r="J572" s="801"/>
      <c r="K572" s="801"/>
      <c r="L572" s="803"/>
      <c r="M572" s="803"/>
      <c r="N572" s="801"/>
      <c r="O572" s="801"/>
      <c r="P572" s="801"/>
      <c r="Q572" s="801"/>
      <c r="R572" s="801"/>
    </row>
    <row r="573" spans="1:18">
      <c r="A573" s="801"/>
      <c r="B573" s="801"/>
      <c r="C573" s="801"/>
      <c r="D573" s="480"/>
      <c r="E573" s="801"/>
      <c r="F573" s="801"/>
      <c r="G573" s="803"/>
      <c r="H573" s="801"/>
      <c r="I573" s="801"/>
      <c r="J573" s="801"/>
      <c r="K573" s="801"/>
      <c r="L573" s="803"/>
      <c r="M573" s="803"/>
      <c r="N573" s="801"/>
      <c r="O573" s="801"/>
      <c r="P573" s="801"/>
      <c r="Q573" s="801"/>
      <c r="R573" s="801"/>
    </row>
    <row r="574" spans="1:18">
      <c r="A574" s="801"/>
      <c r="B574" s="801"/>
      <c r="C574" s="801"/>
      <c r="D574" s="480"/>
      <c r="E574" s="801"/>
      <c r="F574" s="801"/>
      <c r="G574" s="803"/>
      <c r="H574" s="801"/>
      <c r="I574" s="801"/>
      <c r="J574" s="801"/>
      <c r="K574" s="801"/>
      <c r="L574" s="803"/>
      <c r="M574" s="803"/>
      <c r="N574" s="801"/>
      <c r="O574" s="801"/>
      <c r="P574" s="801"/>
      <c r="Q574" s="801"/>
      <c r="R574" s="801"/>
    </row>
    <row r="575" spans="1:18">
      <c r="A575" s="801"/>
      <c r="B575" s="801"/>
      <c r="C575" s="801"/>
      <c r="D575" s="480"/>
      <c r="E575" s="801"/>
      <c r="F575" s="801"/>
      <c r="G575" s="803"/>
      <c r="H575" s="801"/>
      <c r="I575" s="801"/>
      <c r="J575" s="801"/>
      <c r="K575" s="801"/>
      <c r="L575" s="803"/>
      <c r="M575" s="803"/>
      <c r="N575" s="801"/>
      <c r="O575" s="801"/>
      <c r="P575" s="801"/>
      <c r="Q575" s="801"/>
      <c r="R575" s="801"/>
    </row>
    <row r="576" spans="1:18">
      <c r="A576" s="801"/>
      <c r="B576" s="801"/>
      <c r="C576" s="801"/>
      <c r="D576" s="480"/>
      <c r="E576" s="801"/>
      <c r="F576" s="801"/>
      <c r="G576" s="803"/>
      <c r="H576" s="801"/>
      <c r="I576" s="801"/>
      <c r="J576" s="801"/>
      <c r="K576" s="801"/>
      <c r="L576" s="803"/>
      <c r="M576" s="803"/>
      <c r="N576" s="801"/>
      <c r="O576" s="801"/>
      <c r="P576" s="801"/>
      <c r="Q576" s="801"/>
      <c r="R576" s="801"/>
    </row>
    <row r="577" spans="1:18">
      <c r="A577" s="801"/>
      <c r="B577" s="801"/>
      <c r="C577" s="801"/>
      <c r="D577" s="480"/>
      <c r="E577" s="801"/>
      <c r="F577" s="801"/>
      <c r="G577" s="803"/>
      <c r="H577" s="801"/>
      <c r="I577" s="801"/>
      <c r="J577" s="801"/>
      <c r="K577" s="801"/>
      <c r="L577" s="803"/>
      <c r="M577" s="803"/>
      <c r="N577" s="801"/>
      <c r="O577" s="801"/>
      <c r="P577" s="801"/>
      <c r="Q577" s="801"/>
      <c r="R577" s="801"/>
    </row>
    <row r="578" spans="1:18">
      <c r="A578" s="801"/>
      <c r="B578" s="801"/>
      <c r="C578" s="801"/>
      <c r="D578" s="480"/>
      <c r="E578" s="801"/>
      <c r="F578" s="801"/>
      <c r="G578" s="803"/>
      <c r="H578" s="801"/>
      <c r="I578" s="801"/>
      <c r="J578" s="801"/>
      <c r="K578" s="801"/>
      <c r="L578" s="803"/>
      <c r="M578" s="803"/>
      <c r="N578" s="801"/>
      <c r="O578" s="801"/>
      <c r="P578" s="801"/>
      <c r="Q578" s="801"/>
      <c r="R578" s="801"/>
    </row>
    <row r="579" spans="1:18">
      <c r="A579" s="801"/>
      <c r="B579" s="801"/>
      <c r="C579" s="801"/>
      <c r="D579" s="480"/>
      <c r="E579" s="801"/>
      <c r="F579" s="801"/>
      <c r="G579" s="803"/>
      <c r="H579" s="801"/>
      <c r="I579" s="801"/>
      <c r="J579" s="801"/>
      <c r="K579" s="801"/>
      <c r="L579" s="803"/>
      <c r="M579" s="803"/>
      <c r="N579" s="801"/>
      <c r="O579" s="801"/>
      <c r="P579" s="801"/>
      <c r="Q579" s="801"/>
      <c r="R579" s="801"/>
    </row>
    <row r="580" spans="1:18">
      <c r="A580" s="801"/>
      <c r="B580" s="801"/>
      <c r="C580" s="801"/>
      <c r="D580" s="480"/>
      <c r="E580" s="801"/>
      <c r="F580" s="801"/>
      <c r="G580" s="803"/>
      <c r="H580" s="801"/>
      <c r="I580" s="801"/>
      <c r="J580" s="801"/>
      <c r="K580" s="801"/>
      <c r="L580" s="803"/>
      <c r="M580" s="803"/>
      <c r="N580" s="801"/>
      <c r="O580" s="801"/>
      <c r="P580" s="801"/>
      <c r="Q580" s="801"/>
      <c r="R580" s="801"/>
    </row>
    <row r="581" spans="1:18">
      <c r="A581" s="801"/>
      <c r="B581" s="801"/>
      <c r="C581" s="801"/>
      <c r="D581" s="480"/>
      <c r="E581" s="801"/>
      <c r="F581" s="801"/>
      <c r="G581" s="803"/>
      <c r="H581" s="801"/>
      <c r="I581" s="801"/>
      <c r="J581" s="801"/>
      <c r="K581" s="801"/>
      <c r="L581" s="803"/>
      <c r="M581" s="803"/>
      <c r="N581" s="801"/>
      <c r="O581" s="801"/>
      <c r="P581" s="801"/>
      <c r="Q581" s="801"/>
      <c r="R581" s="801"/>
    </row>
    <row r="582" spans="1:18">
      <c r="A582" s="801"/>
      <c r="B582" s="801"/>
      <c r="C582" s="801"/>
      <c r="D582" s="480"/>
      <c r="E582" s="801"/>
      <c r="F582" s="801"/>
      <c r="G582" s="803"/>
      <c r="H582" s="801"/>
      <c r="I582" s="801"/>
      <c r="J582" s="801"/>
      <c r="K582" s="801"/>
      <c r="L582" s="803"/>
      <c r="M582" s="803"/>
      <c r="N582" s="801"/>
      <c r="O582" s="801"/>
      <c r="P582" s="801"/>
      <c r="Q582" s="801"/>
      <c r="R582" s="801"/>
    </row>
    <row r="583" spans="1:18">
      <c r="A583" s="801"/>
      <c r="B583" s="801"/>
      <c r="C583" s="801"/>
      <c r="D583" s="480"/>
      <c r="E583" s="801"/>
      <c r="F583" s="801"/>
      <c r="G583" s="803"/>
      <c r="H583" s="801"/>
      <c r="I583" s="801"/>
      <c r="J583" s="801"/>
      <c r="K583" s="801"/>
      <c r="L583" s="803"/>
      <c r="M583" s="803"/>
      <c r="N583" s="801"/>
      <c r="O583" s="801"/>
      <c r="P583" s="801"/>
      <c r="Q583" s="801"/>
      <c r="R583" s="801"/>
    </row>
    <row r="584" spans="1:18">
      <c r="A584" s="801"/>
      <c r="B584" s="801"/>
      <c r="C584" s="801"/>
      <c r="D584" s="480"/>
      <c r="E584" s="801"/>
      <c r="F584" s="801"/>
      <c r="G584" s="803"/>
      <c r="H584" s="801"/>
      <c r="I584" s="801"/>
      <c r="J584" s="801"/>
      <c r="K584" s="801"/>
      <c r="L584" s="803"/>
      <c r="M584" s="803"/>
      <c r="N584" s="801"/>
      <c r="O584" s="801"/>
      <c r="P584" s="801"/>
      <c r="Q584" s="801"/>
      <c r="R584" s="801"/>
    </row>
    <row r="585" spans="1:18">
      <c r="A585" s="801"/>
      <c r="B585" s="801"/>
      <c r="C585" s="801"/>
      <c r="D585" s="480"/>
      <c r="E585" s="801"/>
      <c r="F585" s="801"/>
      <c r="G585" s="803"/>
      <c r="H585" s="801"/>
      <c r="I585" s="801"/>
      <c r="J585" s="801"/>
      <c r="K585" s="801"/>
      <c r="L585" s="803"/>
      <c r="M585" s="803"/>
      <c r="N585" s="801"/>
      <c r="O585" s="801"/>
      <c r="P585" s="801"/>
      <c r="Q585" s="801"/>
      <c r="R585" s="801"/>
    </row>
    <row r="586" spans="1:18">
      <c r="A586" s="801"/>
      <c r="B586" s="801"/>
      <c r="C586" s="801"/>
      <c r="D586" s="480"/>
      <c r="E586" s="801"/>
      <c r="F586" s="801"/>
      <c r="G586" s="803"/>
      <c r="H586" s="801"/>
      <c r="I586" s="801"/>
      <c r="J586" s="801"/>
      <c r="K586" s="801"/>
      <c r="L586" s="803"/>
      <c r="M586" s="803"/>
      <c r="N586" s="801"/>
      <c r="O586" s="801"/>
      <c r="P586" s="801"/>
      <c r="Q586" s="801"/>
      <c r="R586" s="801"/>
    </row>
    <row r="587" spans="1:18">
      <c r="A587" s="801"/>
      <c r="B587" s="801"/>
      <c r="C587" s="801"/>
      <c r="D587" s="480"/>
      <c r="E587" s="801"/>
      <c r="F587" s="801"/>
      <c r="G587" s="803"/>
      <c r="H587" s="801"/>
      <c r="I587" s="801"/>
      <c r="J587" s="801"/>
      <c r="K587" s="801"/>
      <c r="L587" s="803"/>
      <c r="M587" s="803"/>
      <c r="N587" s="801"/>
      <c r="O587" s="801"/>
      <c r="P587" s="801"/>
      <c r="Q587" s="801"/>
      <c r="R587" s="801"/>
    </row>
    <row r="588" spans="1:18">
      <c r="A588" s="801"/>
      <c r="B588" s="801"/>
      <c r="C588" s="801"/>
      <c r="D588" s="480"/>
      <c r="E588" s="801"/>
      <c r="F588" s="801"/>
      <c r="G588" s="803"/>
      <c r="H588" s="801"/>
      <c r="I588" s="801"/>
      <c r="J588" s="801"/>
      <c r="K588" s="801"/>
      <c r="L588" s="803"/>
      <c r="M588" s="803"/>
      <c r="N588" s="801"/>
      <c r="O588" s="801"/>
      <c r="P588" s="801"/>
      <c r="Q588" s="801"/>
      <c r="R588" s="801"/>
    </row>
    <row r="589" spans="1:18">
      <c r="A589" s="801"/>
      <c r="B589" s="801"/>
      <c r="C589" s="801"/>
      <c r="D589" s="480"/>
      <c r="E589" s="801"/>
      <c r="F589" s="801"/>
      <c r="G589" s="803"/>
      <c r="H589" s="801"/>
      <c r="I589" s="801"/>
      <c r="J589" s="801"/>
      <c r="K589" s="801"/>
      <c r="L589" s="803"/>
      <c r="M589" s="803"/>
      <c r="N589" s="801"/>
      <c r="O589" s="801"/>
      <c r="P589" s="801"/>
      <c r="Q589" s="801"/>
      <c r="R589" s="801"/>
    </row>
    <row r="590" spans="1:18">
      <c r="A590" s="801"/>
      <c r="B590" s="801"/>
      <c r="C590" s="801"/>
      <c r="D590" s="480"/>
      <c r="E590" s="801"/>
      <c r="F590" s="801"/>
      <c r="G590" s="803"/>
      <c r="H590" s="801"/>
      <c r="I590" s="801"/>
      <c r="J590" s="801"/>
      <c r="K590" s="801"/>
      <c r="L590" s="803"/>
      <c r="M590" s="803"/>
      <c r="N590" s="801"/>
      <c r="O590" s="801"/>
      <c r="P590" s="801"/>
      <c r="Q590" s="801"/>
      <c r="R590" s="801"/>
    </row>
    <row r="591" spans="1:18">
      <c r="A591" s="801"/>
      <c r="B591" s="801"/>
      <c r="C591" s="801"/>
      <c r="D591" s="480"/>
      <c r="E591" s="801"/>
      <c r="F591" s="801"/>
      <c r="G591" s="803"/>
      <c r="H591" s="801"/>
      <c r="I591" s="801"/>
      <c r="J591" s="801"/>
      <c r="K591" s="801"/>
      <c r="L591" s="803"/>
      <c r="M591" s="803"/>
      <c r="N591" s="801"/>
      <c r="O591" s="801"/>
      <c r="P591" s="801"/>
      <c r="Q591" s="801"/>
      <c r="R591" s="801"/>
    </row>
    <row r="592" spans="1:18">
      <c r="A592" s="801"/>
      <c r="B592" s="801"/>
      <c r="C592" s="801"/>
      <c r="D592" s="480"/>
      <c r="E592" s="801"/>
      <c r="F592" s="801"/>
      <c r="G592" s="803"/>
      <c r="H592" s="801"/>
      <c r="I592" s="801"/>
      <c r="J592" s="801"/>
      <c r="K592" s="801"/>
      <c r="L592" s="803"/>
      <c r="M592" s="803"/>
      <c r="N592" s="801"/>
      <c r="O592" s="801"/>
      <c r="P592" s="801"/>
      <c r="Q592" s="801"/>
      <c r="R592" s="801"/>
    </row>
    <row r="593" spans="1:18">
      <c r="A593" s="801"/>
      <c r="B593" s="801"/>
      <c r="C593" s="801"/>
      <c r="D593" s="480"/>
      <c r="E593" s="801"/>
      <c r="F593" s="801"/>
      <c r="G593" s="803"/>
      <c r="H593" s="801"/>
      <c r="I593" s="801"/>
      <c r="J593" s="801"/>
      <c r="K593" s="801"/>
      <c r="L593" s="803"/>
      <c r="M593" s="803"/>
      <c r="N593" s="801"/>
      <c r="O593" s="801"/>
      <c r="P593" s="801"/>
      <c r="Q593" s="801"/>
      <c r="R593" s="801"/>
    </row>
    <row r="594" spans="1:18">
      <c r="A594" s="801"/>
      <c r="B594" s="801"/>
      <c r="C594" s="801"/>
      <c r="D594" s="480"/>
      <c r="E594" s="801"/>
      <c r="F594" s="801"/>
      <c r="G594" s="803"/>
      <c r="H594" s="801"/>
      <c r="I594" s="801"/>
      <c r="J594" s="801"/>
      <c r="K594" s="801"/>
      <c r="L594" s="803"/>
      <c r="M594" s="803"/>
      <c r="N594" s="801"/>
      <c r="O594" s="801"/>
      <c r="P594" s="801"/>
      <c r="Q594" s="801"/>
      <c r="R594" s="801"/>
    </row>
    <row r="595" spans="1:18">
      <c r="A595" s="801"/>
      <c r="B595" s="801"/>
      <c r="C595" s="801"/>
      <c r="D595" s="480"/>
      <c r="E595" s="801"/>
      <c r="F595" s="801"/>
      <c r="G595" s="803"/>
      <c r="H595" s="801"/>
      <c r="I595" s="801"/>
      <c r="J595" s="801"/>
      <c r="K595" s="801"/>
      <c r="L595" s="803"/>
      <c r="M595" s="803"/>
      <c r="N595" s="801"/>
      <c r="O595" s="801"/>
      <c r="P595" s="801"/>
      <c r="Q595" s="801"/>
      <c r="R595" s="801"/>
    </row>
    <row r="596" spans="1:18">
      <c r="A596" s="801"/>
      <c r="B596" s="801"/>
      <c r="C596" s="801"/>
      <c r="D596" s="480"/>
      <c r="E596" s="801"/>
      <c r="F596" s="801"/>
      <c r="G596" s="803"/>
      <c r="H596" s="801"/>
      <c r="I596" s="801"/>
      <c r="J596" s="801"/>
      <c r="K596" s="801"/>
      <c r="L596" s="803"/>
      <c r="M596" s="803"/>
      <c r="N596" s="801"/>
      <c r="O596" s="801"/>
      <c r="P596" s="801"/>
      <c r="Q596" s="801"/>
      <c r="R596" s="801"/>
    </row>
    <row r="597" spans="1:18">
      <c r="A597" s="801"/>
      <c r="B597" s="801"/>
      <c r="C597" s="801"/>
      <c r="D597" s="480"/>
      <c r="E597" s="801"/>
      <c r="F597" s="801"/>
      <c r="G597" s="803"/>
      <c r="H597" s="801"/>
      <c r="I597" s="801"/>
      <c r="J597" s="801"/>
      <c r="K597" s="801"/>
      <c r="L597" s="803"/>
      <c r="M597" s="803"/>
      <c r="N597" s="801"/>
      <c r="O597" s="801"/>
      <c r="P597" s="801"/>
      <c r="Q597" s="801"/>
      <c r="R597" s="801"/>
    </row>
    <row r="598" spans="1:18">
      <c r="A598" s="801"/>
      <c r="B598" s="801"/>
      <c r="C598" s="801"/>
      <c r="D598" s="480"/>
      <c r="E598" s="801"/>
      <c r="F598" s="801"/>
      <c r="G598" s="803"/>
      <c r="H598" s="801"/>
      <c r="I598" s="801"/>
      <c r="J598" s="801"/>
      <c r="K598" s="801"/>
      <c r="L598" s="803"/>
      <c r="M598" s="803"/>
      <c r="N598" s="801"/>
      <c r="O598" s="801"/>
      <c r="P598" s="801"/>
      <c r="Q598" s="801"/>
      <c r="R598" s="801"/>
    </row>
    <row r="599" spans="1:18">
      <c r="A599" s="801"/>
      <c r="B599" s="801"/>
      <c r="C599" s="801"/>
      <c r="D599" s="480"/>
      <c r="E599" s="801"/>
      <c r="F599" s="801"/>
      <c r="G599" s="803"/>
      <c r="H599" s="801"/>
      <c r="I599" s="801"/>
      <c r="J599" s="801"/>
      <c r="K599" s="801"/>
      <c r="L599" s="803"/>
      <c r="M599" s="803"/>
      <c r="N599" s="801"/>
      <c r="O599" s="801"/>
      <c r="P599" s="801"/>
      <c r="Q599" s="801"/>
      <c r="R599" s="801"/>
    </row>
    <row r="600" spans="1:18">
      <c r="A600" s="801"/>
      <c r="B600" s="801"/>
      <c r="C600" s="801"/>
      <c r="D600" s="480"/>
      <c r="E600" s="801"/>
      <c r="F600" s="801"/>
      <c r="G600" s="803"/>
      <c r="H600" s="801"/>
      <c r="I600" s="801"/>
      <c r="J600" s="801"/>
      <c r="K600" s="801"/>
      <c r="L600" s="803"/>
      <c r="M600" s="803"/>
      <c r="N600" s="801"/>
      <c r="O600" s="801"/>
      <c r="P600" s="801"/>
      <c r="Q600" s="801"/>
      <c r="R600" s="801"/>
    </row>
    <row r="601" spans="1:18">
      <c r="A601" s="801"/>
      <c r="B601" s="801"/>
      <c r="C601" s="801"/>
      <c r="D601" s="480"/>
      <c r="E601" s="801"/>
      <c r="F601" s="801"/>
      <c r="G601" s="803"/>
      <c r="H601" s="801"/>
      <c r="I601" s="801"/>
      <c r="J601" s="801"/>
      <c r="K601" s="801"/>
      <c r="L601" s="803"/>
      <c r="M601" s="803"/>
      <c r="N601" s="801"/>
      <c r="O601" s="801"/>
      <c r="P601" s="801"/>
      <c r="Q601" s="801"/>
      <c r="R601" s="801"/>
    </row>
    <row r="602" spans="1:18">
      <c r="A602" s="801"/>
      <c r="B602" s="801"/>
      <c r="C602" s="801"/>
      <c r="D602" s="480"/>
      <c r="E602" s="801"/>
      <c r="F602" s="801"/>
      <c r="G602" s="803"/>
      <c r="H602" s="801"/>
      <c r="I602" s="801"/>
      <c r="J602" s="801"/>
      <c r="K602" s="801"/>
      <c r="L602" s="803"/>
      <c r="M602" s="803"/>
      <c r="N602" s="801"/>
      <c r="O602" s="801"/>
      <c r="P602" s="801"/>
      <c r="Q602" s="801"/>
      <c r="R602" s="801"/>
    </row>
    <row r="603" spans="1:18">
      <c r="A603" s="801"/>
      <c r="B603" s="801"/>
      <c r="C603" s="801"/>
      <c r="D603" s="480"/>
      <c r="E603" s="801"/>
      <c r="F603" s="801"/>
      <c r="G603" s="803"/>
      <c r="H603" s="801"/>
      <c r="I603" s="801"/>
      <c r="J603" s="801"/>
      <c r="K603" s="801"/>
      <c r="L603" s="803"/>
      <c r="M603" s="803"/>
      <c r="N603" s="801"/>
      <c r="O603" s="801"/>
      <c r="P603" s="801"/>
      <c r="Q603" s="801"/>
      <c r="R603" s="801"/>
    </row>
    <row r="604" spans="1:18">
      <c r="A604" s="801"/>
      <c r="B604" s="801"/>
      <c r="C604" s="801"/>
      <c r="D604" s="480"/>
      <c r="E604" s="801"/>
      <c r="F604" s="801"/>
      <c r="G604" s="803"/>
      <c r="H604" s="801"/>
      <c r="I604" s="801"/>
      <c r="J604" s="801"/>
      <c r="K604" s="801"/>
      <c r="L604" s="803"/>
      <c r="M604" s="803"/>
      <c r="N604" s="801"/>
      <c r="O604" s="801"/>
      <c r="P604" s="801"/>
      <c r="Q604" s="801"/>
      <c r="R604" s="801"/>
    </row>
    <row r="605" spans="1:18">
      <c r="A605" s="801"/>
      <c r="B605" s="801"/>
      <c r="C605" s="801"/>
      <c r="D605" s="480"/>
      <c r="E605" s="801"/>
      <c r="F605" s="801"/>
      <c r="G605" s="803"/>
      <c r="H605" s="801"/>
      <c r="I605" s="801"/>
      <c r="J605" s="801"/>
      <c r="K605" s="801"/>
      <c r="L605" s="803"/>
      <c r="M605" s="803"/>
      <c r="N605" s="801"/>
      <c r="O605" s="801"/>
      <c r="P605" s="801"/>
      <c r="Q605" s="801"/>
      <c r="R605" s="801"/>
    </row>
    <row r="606" spans="1:18">
      <c r="A606" s="801"/>
      <c r="B606" s="801"/>
      <c r="C606" s="801"/>
      <c r="D606" s="480"/>
      <c r="E606" s="801"/>
      <c r="F606" s="801"/>
      <c r="G606" s="803"/>
      <c r="H606" s="801"/>
      <c r="I606" s="801"/>
      <c r="J606" s="801"/>
      <c r="K606" s="801"/>
      <c r="L606" s="803"/>
      <c r="M606" s="803"/>
      <c r="N606" s="801"/>
      <c r="O606" s="801"/>
      <c r="P606" s="801"/>
      <c r="Q606" s="801"/>
      <c r="R606" s="801"/>
    </row>
    <row r="607" spans="1:18">
      <c r="A607" s="801"/>
      <c r="B607" s="801"/>
      <c r="C607" s="801"/>
      <c r="D607" s="480"/>
      <c r="E607" s="801"/>
      <c r="F607" s="801"/>
      <c r="G607" s="803"/>
      <c r="H607" s="801"/>
      <c r="I607" s="801"/>
      <c r="J607" s="801"/>
      <c r="K607" s="801"/>
      <c r="L607" s="803"/>
      <c r="M607" s="803"/>
      <c r="N607" s="801"/>
      <c r="O607" s="801"/>
      <c r="P607" s="801"/>
      <c r="Q607" s="801"/>
      <c r="R607" s="801"/>
    </row>
    <row r="608" spans="1:18">
      <c r="A608" s="801"/>
      <c r="B608" s="801"/>
      <c r="C608" s="801"/>
      <c r="D608" s="480"/>
      <c r="E608" s="801"/>
      <c r="F608" s="801"/>
      <c r="G608" s="803"/>
      <c r="H608" s="801"/>
      <c r="I608" s="801"/>
      <c r="J608" s="801"/>
      <c r="K608" s="801"/>
      <c r="L608" s="803"/>
      <c r="M608" s="803"/>
      <c r="N608" s="801"/>
      <c r="O608" s="801"/>
      <c r="P608" s="801"/>
      <c r="Q608" s="801"/>
      <c r="R608" s="801"/>
    </row>
    <row r="609" spans="1:18">
      <c r="A609" s="801"/>
      <c r="B609" s="801"/>
      <c r="C609" s="801"/>
      <c r="D609" s="480"/>
      <c r="E609" s="801"/>
      <c r="F609" s="801"/>
      <c r="G609" s="803"/>
      <c r="H609" s="801"/>
      <c r="I609" s="801"/>
      <c r="J609" s="801"/>
      <c r="K609" s="801"/>
      <c r="L609" s="803"/>
      <c r="M609" s="803"/>
      <c r="N609" s="801"/>
      <c r="O609" s="801"/>
      <c r="P609" s="801"/>
      <c r="Q609" s="801"/>
      <c r="R609" s="801"/>
    </row>
    <row r="610" spans="1:18">
      <c r="A610" s="801"/>
      <c r="B610" s="801"/>
      <c r="C610" s="801"/>
      <c r="D610" s="480"/>
      <c r="E610" s="801"/>
      <c r="F610" s="801"/>
      <c r="G610" s="803"/>
      <c r="H610" s="801"/>
      <c r="I610" s="801"/>
      <c r="J610" s="801"/>
      <c r="K610" s="801"/>
      <c r="L610" s="803"/>
      <c r="M610" s="803"/>
      <c r="N610" s="801"/>
      <c r="O610" s="801"/>
      <c r="P610" s="801"/>
      <c r="Q610" s="801"/>
      <c r="R610" s="801"/>
    </row>
    <row r="611" spans="1:18">
      <c r="A611" s="801"/>
      <c r="B611" s="801"/>
      <c r="C611" s="801"/>
      <c r="D611" s="480"/>
      <c r="E611" s="801"/>
      <c r="F611" s="801"/>
      <c r="G611" s="803"/>
      <c r="H611" s="801"/>
      <c r="I611" s="801"/>
      <c r="J611" s="801"/>
      <c r="K611" s="801"/>
      <c r="L611" s="803"/>
      <c r="M611" s="803"/>
      <c r="N611" s="801"/>
      <c r="O611" s="801"/>
      <c r="P611" s="801"/>
      <c r="Q611" s="801"/>
      <c r="R611" s="801"/>
    </row>
    <row r="612" spans="1:18">
      <c r="A612" s="801"/>
      <c r="B612" s="801"/>
      <c r="C612" s="801"/>
      <c r="D612" s="480"/>
      <c r="E612" s="801"/>
      <c r="F612" s="801"/>
      <c r="G612" s="803"/>
      <c r="H612" s="801"/>
      <c r="I612" s="801"/>
      <c r="J612" s="801"/>
      <c r="K612" s="801"/>
      <c r="L612" s="803"/>
      <c r="M612" s="803"/>
      <c r="N612" s="801"/>
      <c r="O612" s="801"/>
      <c r="P612" s="801"/>
      <c r="Q612" s="801"/>
      <c r="R612" s="801"/>
    </row>
    <row r="613" spans="1:18">
      <c r="A613" s="801"/>
      <c r="B613" s="801"/>
      <c r="C613" s="801"/>
      <c r="D613" s="480"/>
      <c r="E613" s="801"/>
      <c r="F613" s="801"/>
      <c r="G613" s="803"/>
      <c r="H613" s="801"/>
      <c r="I613" s="801"/>
      <c r="J613" s="801"/>
      <c r="K613" s="801"/>
      <c r="L613" s="803"/>
      <c r="M613" s="803"/>
      <c r="N613" s="801"/>
      <c r="O613" s="801"/>
      <c r="P613" s="801"/>
      <c r="Q613" s="801"/>
      <c r="R613" s="801"/>
    </row>
    <row r="614" spans="1:18">
      <c r="A614" s="801"/>
      <c r="B614" s="801"/>
      <c r="C614" s="801"/>
      <c r="D614" s="480"/>
      <c r="E614" s="801"/>
      <c r="F614" s="801"/>
      <c r="G614" s="803"/>
      <c r="H614" s="801"/>
      <c r="I614" s="801"/>
      <c r="J614" s="801"/>
      <c r="K614" s="801"/>
      <c r="L614" s="803"/>
      <c r="M614" s="803"/>
      <c r="N614" s="801"/>
      <c r="O614" s="801"/>
      <c r="P614" s="801"/>
      <c r="Q614" s="801"/>
      <c r="R614" s="801"/>
    </row>
    <row r="615" spans="1:18">
      <c r="A615" s="801"/>
      <c r="B615" s="801"/>
      <c r="C615" s="801"/>
      <c r="D615" s="480"/>
      <c r="E615" s="801"/>
      <c r="F615" s="801"/>
      <c r="G615" s="803"/>
      <c r="H615" s="801"/>
      <c r="I615" s="801"/>
      <c r="J615" s="801"/>
      <c r="K615" s="801"/>
      <c r="L615" s="803"/>
      <c r="M615" s="803"/>
      <c r="N615" s="801"/>
      <c r="O615" s="801"/>
      <c r="P615" s="801"/>
      <c r="Q615" s="801"/>
      <c r="R615" s="801"/>
    </row>
    <row r="616" spans="1:18">
      <c r="A616" s="801"/>
      <c r="B616" s="801"/>
      <c r="C616" s="801"/>
      <c r="D616" s="480"/>
      <c r="E616" s="801"/>
      <c r="F616" s="801"/>
      <c r="G616" s="803"/>
      <c r="H616" s="801"/>
      <c r="I616" s="801"/>
      <c r="J616" s="801"/>
      <c r="K616" s="801"/>
      <c r="L616" s="803"/>
      <c r="M616" s="803"/>
      <c r="N616" s="801"/>
      <c r="O616" s="801"/>
      <c r="P616" s="801"/>
      <c r="Q616" s="801"/>
      <c r="R616" s="801"/>
    </row>
    <row r="617" spans="1:18">
      <c r="A617" s="801"/>
      <c r="B617" s="801"/>
      <c r="C617" s="801"/>
      <c r="D617" s="480"/>
      <c r="E617" s="801"/>
      <c r="F617" s="801"/>
      <c r="G617" s="803"/>
      <c r="H617" s="801"/>
      <c r="I617" s="801"/>
      <c r="J617" s="801"/>
      <c r="K617" s="801"/>
      <c r="L617" s="803"/>
      <c r="M617" s="803"/>
      <c r="N617" s="801"/>
      <c r="O617" s="801"/>
      <c r="P617" s="801"/>
      <c r="Q617" s="801"/>
      <c r="R617" s="801"/>
    </row>
    <row r="618" spans="1:18">
      <c r="A618" s="801"/>
      <c r="B618" s="801"/>
      <c r="C618" s="801"/>
      <c r="D618" s="480"/>
      <c r="E618" s="801"/>
      <c r="F618" s="801"/>
      <c r="G618" s="803"/>
      <c r="H618" s="801"/>
      <c r="I618" s="801"/>
      <c r="J618" s="801"/>
      <c r="K618" s="801"/>
      <c r="L618" s="803"/>
      <c r="M618" s="803"/>
      <c r="N618" s="801"/>
      <c r="O618" s="801"/>
      <c r="P618" s="801"/>
      <c r="Q618" s="801"/>
      <c r="R618" s="801"/>
    </row>
    <row r="619" spans="1:18">
      <c r="A619" s="801"/>
      <c r="B619" s="801"/>
      <c r="C619" s="801"/>
      <c r="D619" s="480"/>
      <c r="E619" s="801"/>
      <c r="F619" s="801"/>
      <c r="G619" s="803"/>
      <c r="H619" s="801"/>
      <c r="I619" s="801"/>
      <c r="J619" s="801"/>
      <c r="K619" s="801"/>
      <c r="L619" s="803"/>
      <c r="M619" s="803"/>
      <c r="N619" s="801"/>
      <c r="O619" s="801"/>
      <c r="P619" s="801"/>
      <c r="Q619" s="801"/>
      <c r="R619" s="801"/>
    </row>
    <row r="620" spans="1:18">
      <c r="A620" s="801"/>
      <c r="B620" s="801"/>
      <c r="C620" s="801"/>
      <c r="D620" s="480"/>
      <c r="E620" s="801"/>
      <c r="F620" s="801"/>
      <c r="G620" s="803"/>
      <c r="H620" s="801"/>
      <c r="I620" s="801"/>
      <c r="J620" s="801"/>
      <c r="K620" s="801"/>
      <c r="L620" s="803"/>
      <c r="M620" s="803"/>
      <c r="N620" s="801"/>
      <c r="O620" s="801"/>
      <c r="P620" s="801"/>
      <c r="Q620" s="801"/>
      <c r="R620" s="801"/>
    </row>
    <row r="621" spans="1:18">
      <c r="A621" s="801"/>
      <c r="B621" s="801"/>
      <c r="C621" s="801"/>
      <c r="D621" s="480"/>
      <c r="E621" s="801"/>
      <c r="F621" s="801"/>
      <c r="G621" s="803"/>
      <c r="H621" s="801"/>
      <c r="I621" s="801"/>
      <c r="J621" s="801"/>
      <c r="K621" s="801"/>
      <c r="L621" s="803"/>
      <c r="M621" s="803"/>
      <c r="N621" s="801"/>
      <c r="O621" s="801"/>
      <c r="P621" s="801"/>
      <c r="Q621" s="801"/>
      <c r="R621" s="801"/>
    </row>
    <row r="622" spans="1:18">
      <c r="A622" s="801"/>
      <c r="B622" s="801"/>
      <c r="C622" s="801"/>
      <c r="D622" s="480"/>
      <c r="E622" s="801"/>
      <c r="F622" s="801"/>
      <c r="G622" s="803"/>
      <c r="H622" s="801"/>
      <c r="I622" s="801"/>
      <c r="J622" s="801"/>
      <c r="K622" s="801"/>
      <c r="L622" s="803"/>
      <c r="M622" s="803"/>
      <c r="N622" s="801"/>
      <c r="O622" s="801"/>
      <c r="P622" s="801"/>
      <c r="Q622" s="801"/>
      <c r="R622" s="801"/>
    </row>
    <row r="623" spans="1:18">
      <c r="A623" s="801"/>
      <c r="B623" s="801"/>
      <c r="C623" s="801"/>
      <c r="D623" s="480"/>
      <c r="E623" s="801"/>
      <c r="F623" s="801"/>
      <c r="G623" s="803"/>
      <c r="H623" s="801"/>
      <c r="I623" s="801"/>
      <c r="J623" s="801"/>
      <c r="K623" s="801"/>
      <c r="L623" s="803"/>
      <c r="M623" s="803"/>
      <c r="N623" s="801"/>
      <c r="O623" s="801"/>
      <c r="P623" s="801"/>
      <c r="Q623" s="801"/>
      <c r="R623" s="801"/>
    </row>
    <row r="624" spans="1:18">
      <c r="A624" s="801"/>
      <c r="B624" s="801"/>
      <c r="C624" s="801"/>
      <c r="D624" s="480"/>
      <c r="E624" s="801"/>
      <c r="F624" s="801"/>
      <c r="G624" s="803"/>
      <c r="H624" s="801"/>
      <c r="I624" s="801"/>
      <c r="J624" s="801"/>
      <c r="K624" s="801"/>
      <c r="L624" s="803"/>
      <c r="M624" s="803"/>
      <c r="N624" s="801"/>
      <c r="O624" s="801"/>
      <c r="P624" s="801"/>
      <c r="Q624" s="801"/>
      <c r="R624" s="801"/>
    </row>
    <row r="625" spans="1:18">
      <c r="A625" s="801"/>
      <c r="B625" s="801"/>
      <c r="C625" s="801"/>
      <c r="D625" s="480"/>
      <c r="E625" s="801"/>
      <c r="F625" s="801"/>
      <c r="G625" s="803"/>
      <c r="H625" s="801"/>
      <c r="I625" s="801"/>
      <c r="J625" s="801"/>
      <c r="K625" s="801"/>
      <c r="L625" s="803"/>
      <c r="M625" s="803"/>
      <c r="N625" s="801"/>
      <c r="O625" s="801"/>
      <c r="P625" s="801"/>
      <c r="Q625" s="801"/>
      <c r="R625" s="801"/>
    </row>
    <row r="626" spans="1:18">
      <c r="A626" s="801"/>
      <c r="B626" s="801"/>
      <c r="C626" s="801"/>
      <c r="D626" s="480"/>
      <c r="E626" s="801"/>
      <c r="F626" s="801"/>
      <c r="G626" s="803"/>
      <c r="H626" s="801"/>
      <c r="I626" s="801"/>
      <c r="J626" s="801"/>
      <c r="K626" s="801"/>
      <c r="L626" s="803"/>
      <c r="M626" s="803"/>
      <c r="N626" s="801"/>
      <c r="O626" s="801"/>
      <c r="P626" s="801"/>
      <c r="Q626" s="801"/>
      <c r="R626" s="801"/>
    </row>
    <row r="627" spans="1:18">
      <c r="A627" s="801"/>
      <c r="B627" s="801"/>
      <c r="C627" s="801"/>
      <c r="D627" s="480"/>
      <c r="E627" s="801"/>
      <c r="F627" s="801"/>
      <c r="G627" s="803"/>
      <c r="H627" s="801"/>
      <c r="I627" s="801"/>
      <c r="J627" s="801"/>
      <c r="K627" s="801"/>
      <c r="L627" s="803"/>
      <c r="M627" s="803"/>
      <c r="N627" s="801"/>
      <c r="O627" s="801"/>
      <c r="P627" s="801"/>
      <c r="Q627" s="801"/>
      <c r="R627" s="801"/>
    </row>
    <row r="628" spans="1:18">
      <c r="A628" s="801"/>
      <c r="B628" s="801"/>
      <c r="C628" s="801"/>
      <c r="D628" s="480"/>
      <c r="E628" s="801"/>
      <c r="F628" s="801"/>
      <c r="G628" s="803"/>
      <c r="H628" s="801"/>
      <c r="I628" s="801"/>
      <c r="J628" s="801"/>
      <c r="K628" s="801"/>
      <c r="L628" s="803"/>
      <c r="M628" s="803"/>
      <c r="N628" s="801"/>
      <c r="O628" s="801"/>
      <c r="P628" s="801"/>
      <c r="Q628" s="801"/>
      <c r="R628" s="801"/>
    </row>
    <row r="629" spans="1:18">
      <c r="A629" s="801"/>
      <c r="B629" s="801"/>
      <c r="C629" s="801"/>
      <c r="D629" s="480"/>
      <c r="E629" s="801"/>
      <c r="F629" s="801"/>
      <c r="G629" s="803"/>
      <c r="H629" s="801"/>
      <c r="I629" s="801"/>
      <c r="J629" s="801"/>
      <c r="K629" s="801"/>
      <c r="L629" s="803"/>
      <c r="M629" s="803"/>
      <c r="N629" s="801"/>
      <c r="O629" s="801"/>
      <c r="P629" s="801"/>
      <c r="Q629" s="801"/>
      <c r="R629" s="801"/>
    </row>
    <row r="630" spans="1:18">
      <c r="A630" s="801"/>
      <c r="B630" s="801"/>
      <c r="C630" s="801"/>
      <c r="D630" s="480"/>
      <c r="E630" s="801"/>
      <c r="F630" s="801"/>
      <c r="G630" s="803"/>
      <c r="H630" s="801"/>
      <c r="I630" s="801"/>
      <c r="J630" s="801"/>
      <c r="K630" s="801"/>
      <c r="L630" s="803"/>
      <c r="M630" s="803"/>
      <c r="N630" s="801"/>
      <c r="O630" s="801"/>
      <c r="P630" s="801"/>
      <c r="Q630" s="801"/>
      <c r="R630" s="801"/>
    </row>
    <row r="631" spans="1:18">
      <c r="A631" s="801"/>
      <c r="B631" s="801"/>
      <c r="C631" s="801"/>
      <c r="D631" s="480"/>
      <c r="E631" s="801"/>
      <c r="F631" s="801"/>
      <c r="G631" s="803"/>
      <c r="H631" s="801"/>
      <c r="I631" s="801"/>
      <c r="J631" s="801"/>
      <c r="K631" s="801"/>
      <c r="L631" s="803"/>
      <c r="M631" s="803"/>
      <c r="N631" s="801"/>
      <c r="O631" s="801"/>
      <c r="P631" s="801"/>
      <c r="Q631" s="801"/>
      <c r="R631" s="801"/>
    </row>
    <row r="632" spans="1:18">
      <c r="A632" s="801"/>
      <c r="B632" s="801"/>
      <c r="C632" s="801"/>
      <c r="D632" s="480"/>
      <c r="E632" s="801"/>
      <c r="F632" s="801"/>
      <c r="G632" s="803"/>
      <c r="H632" s="801"/>
      <c r="I632" s="801"/>
      <c r="J632" s="801"/>
      <c r="K632" s="801"/>
      <c r="L632" s="803"/>
      <c r="M632" s="803"/>
      <c r="N632" s="801"/>
      <c r="O632" s="801"/>
      <c r="P632" s="801"/>
      <c r="Q632" s="801"/>
      <c r="R632" s="801"/>
    </row>
    <row r="633" spans="1:18">
      <c r="A633" s="801"/>
      <c r="B633" s="801"/>
      <c r="C633" s="801"/>
      <c r="D633" s="480"/>
      <c r="E633" s="801"/>
      <c r="F633" s="801"/>
      <c r="G633" s="803"/>
      <c r="H633" s="801"/>
      <c r="I633" s="801"/>
      <c r="J633" s="801"/>
      <c r="K633" s="801"/>
      <c r="L633" s="803"/>
      <c r="M633" s="803"/>
      <c r="N633" s="801"/>
      <c r="O633" s="801"/>
      <c r="P633" s="801"/>
      <c r="Q633" s="801"/>
      <c r="R633" s="801"/>
    </row>
    <row r="634" spans="1:18">
      <c r="A634" s="801"/>
      <c r="B634" s="801"/>
      <c r="C634" s="801"/>
      <c r="D634" s="480"/>
      <c r="E634" s="801"/>
      <c r="F634" s="801"/>
      <c r="G634" s="803"/>
      <c r="H634" s="801"/>
      <c r="I634" s="801"/>
      <c r="J634" s="801"/>
      <c r="K634" s="801"/>
      <c r="L634" s="803"/>
      <c r="M634" s="803"/>
      <c r="N634" s="801"/>
      <c r="O634" s="801"/>
      <c r="P634" s="801"/>
      <c r="Q634" s="801"/>
      <c r="R634" s="801"/>
    </row>
    <row r="635" spans="1:18">
      <c r="A635" s="801"/>
      <c r="B635" s="801"/>
      <c r="C635" s="801"/>
      <c r="D635" s="480"/>
      <c r="E635" s="801"/>
      <c r="F635" s="801"/>
      <c r="G635" s="803"/>
      <c r="H635" s="801"/>
      <c r="I635" s="801"/>
      <c r="J635" s="801"/>
      <c r="K635" s="801"/>
      <c r="L635" s="803"/>
      <c r="M635" s="803"/>
      <c r="N635" s="801"/>
      <c r="O635" s="801"/>
      <c r="P635" s="801"/>
      <c r="Q635" s="801"/>
      <c r="R635" s="801"/>
    </row>
    <row r="636" spans="1:18">
      <c r="A636" s="801"/>
      <c r="B636" s="801"/>
      <c r="C636" s="801"/>
      <c r="D636" s="480"/>
      <c r="E636" s="801"/>
      <c r="F636" s="801"/>
      <c r="G636" s="803"/>
      <c r="H636" s="801"/>
      <c r="I636" s="801"/>
      <c r="J636" s="801"/>
      <c r="K636" s="801"/>
      <c r="L636" s="803"/>
      <c r="M636" s="803"/>
      <c r="N636" s="801"/>
      <c r="O636" s="801"/>
      <c r="P636" s="801"/>
      <c r="Q636" s="801"/>
      <c r="R636" s="801"/>
    </row>
    <row r="637" spans="1:18">
      <c r="A637" s="801"/>
      <c r="B637" s="801"/>
      <c r="C637" s="801"/>
      <c r="D637" s="480"/>
      <c r="E637" s="801"/>
      <c r="F637" s="801"/>
      <c r="G637" s="803"/>
      <c r="H637" s="801"/>
      <c r="I637" s="801"/>
      <c r="J637" s="801"/>
      <c r="K637" s="801"/>
      <c r="L637" s="803"/>
      <c r="M637" s="803"/>
      <c r="N637" s="801"/>
      <c r="O637" s="801"/>
      <c r="P637" s="801"/>
      <c r="Q637" s="801"/>
      <c r="R637" s="801"/>
    </row>
    <row r="638" spans="1:18">
      <c r="A638" s="801"/>
      <c r="B638" s="801"/>
      <c r="C638" s="801"/>
      <c r="D638" s="480"/>
      <c r="E638" s="801"/>
      <c r="F638" s="801"/>
      <c r="G638" s="803"/>
      <c r="H638" s="801"/>
      <c r="I638" s="801"/>
      <c r="J638" s="801"/>
      <c r="K638" s="801"/>
      <c r="L638" s="803"/>
      <c r="M638" s="803"/>
      <c r="N638" s="801"/>
      <c r="O638" s="801"/>
      <c r="P638" s="801"/>
      <c r="Q638" s="801"/>
      <c r="R638" s="801"/>
    </row>
    <row r="639" spans="1:18">
      <c r="A639" s="801"/>
      <c r="B639" s="801"/>
      <c r="C639" s="801"/>
      <c r="D639" s="480"/>
      <c r="E639" s="801"/>
      <c r="F639" s="801"/>
      <c r="G639" s="803"/>
      <c r="H639" s="801"/>
      <c r="I639" s="801"/>
      <c r="J639" s="801"/>
      <c r="K639" s="801"/>
      <c r="L639" s="803"/>
      <c r="M639" s="803"/>
      <c r="N639" s="801"/>
      <c r="O639" s="801"/>
      <c r="P639" s="801"/>
      <c r="Q639" s="801"/>
      <c r="R639" s="801"/>
    </row>
    <row r="640" spans="1:18">
      <c r="A640" s="801"/>
      <c r="B640" s="801"/>
      <c r="C640" s="801"/>
      <c r="D640" s="480"/>
      <c r="E640" s="801"/>
      <c r="F640" s="801"/>
      <c r="G640" s="803"/>
      <c r="H640" s="801"/>
      <c r="I640" s="801"/>
      <c r="J640" s="801"/>
      <c r="K640" s="801"/>
      <c r="L640" s="803"/>
      <c r="M640" s="803"/>
      <c r="N640" s="801"/>
      <c r="O640" s="801"/>
      <c r="P640" s="801"/>
      <c r="Q640" s="801"/>
      <c r="R640" s="801"/>
    </row>
  </sheetData>
  <autoFilter ref="A6:U439" xr:uid="{00000000-0009-0000-0000-000006000000}"/>
  <mergeCells count="3">
    <mergeCell ref="L313:M313"/>
    <mergeCell ref="L314:M314"/>
    <mergeCell ref="L315:M315"/>
  </mergeCells>
  <pageMargins left="0.19685039370078741" right="0.19685039370078741" top="0.27559055118110237" bottom="0.23622047244094491" header="0.31496062992125984" footer="0.31496062992125984"/>
  <pageSetup paperSize="9" scale="53" fitToHeight="7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6"/>
  <dimension ref="A3:G464"/>
  <sheetViews>
    <sheetView workbookViewId="0">
      <selection activeCell="C27" sqref="C27"/>
    </sheetView>
  </sheetViews>
  <sheetFormatPr defaultRowHeight="15"/>
  <cols>
    <col min="1" max="1" width="19" bestFit="1" customWidth="1"/>
    <col min="2" max="2" width="16" bestFit="1" customWidth="1"/>
    <col min="3" max="3" width="7.5703125" bestFit="1" customWidth="1"/>
    <col min="4" max="5" width="17.5703125" style="373" bestFit="1" customWidth="1"/>
    <col min="6" max="6" width="18.42578125" style="1134" customWidth="1"/>
    <col min="7" max="7" width="18.42578125" bestFit="1" customWidth="1"/>
  </cols>
  <sheetData>
    <row r="3" spans="1:7">
      <c r="A3" s="2861" t="s">
        <v>10</v>
      </c>
      <c r="B3" s="2860" t="s">
        <v>745</v>
      </c>
      <c r="D3"/>
      <c r="E3"/>
    </row>
    <row r="4" spans="1:7" s="807" customFormat="1">
      <c r="A4"/>
      <c r="B4"/>
      <c r="C4"/>
      <c r="D4"/>
      <c r="E4"/>
      <c r="F4" s="1134"/>
      <c r="G4"/>
    </row>
    <row r="5" spans="1:7">
      <c r="B5" s="2861" t="s">
        <v>742</v>
      </c>
      <c r="D5"/>
      <c r="E5"/>
      <c r="F5"/>
    </row>
    <row r="6" spans="1:7" ht="75">
      <c r="A6" s="806" t="s">
        <v>739</v>
      </c>
      <c r="B6" s="807" t="s">
        <v>1191</v>
      </c>
      <c r="C6" s="807" t="s">
        <v>744</v>
      </c>
      <c r="D6" s="807" t="s">
        <v>1428</v>
      </c>
      <c r="E6" s="807" t="s">
        <v>743</v>
      </c>
      <c r="F6"/>
    </row>
    <row r="7" spans="1:7">
      <c r="A7" s="2862" t="s">
        <v>9690</v>
      </c>
      <c r="B7" s="805"/>
      <c r="C7" s="805"/>
      <c r="D7" s="2864"/>
      <c r="E7" s="2864"/>
      <c r="F7"/>
    </row>
    <row r="8" spans="1:7">
      <c r="A8" s="2862" t="s">
        <v>112</v>
      </c>
      <c r="B8" s="805">
        <v>178</v>
      </c>
      <c r="C8" s="805">
        <v>129</v>
      </c>
      <c r="D8" s="2864">
        <v>279071013.30000001</v>
      </c>
      <c r="E8" s="2864">
        <v>119888148.07999998</v>
      </c>
      <c r="F8"/>
    </row>
    <row r="9" spans="1:7">
      <c r="A9" s="2862" t="s">
        <v>251</v>
      </c>
      <c r="B9" s="805">
        <v>221</v>
      </c>
      <c r="C9" s="805">
        <v>95</v>
      </c>
      <c r="D9" s="2864">
        <v>2162943377.6185989</v>
      </c>
      <c r="E9" s="2864">
        <v>1209769814.1800001</v>
      </c>
      <c r="F9"/>
    </row>
    <row r="10" spans="1:7">
      <c r="A10" s="2862" t="s">
        <v>235</v>
      </c>
      <c r="B10" s="805">
        <v>1</v>
      </c>
      <c r="C10" s="805">
        <v>1</v>
      </c>
      <c r="D10" s="2864">
        <v>3245000</v>
      </c>
      <c r="E10" s="2864">
        <v>3349098</v>
      </c>
      <c r="F10"/>
    </row>
    <row r="11" spans="1:7">
      <c r="A11" s="2862" t="s">
        <v>216</v>
      </c>
      <c r="B11" s="805">
        <v>28</v>
      </c>
      <c r="C11" s="805">
        <v>20</v>
      </c>
      <c r="D11" s="2864">
        <v>122345000</v>
      </c>
      <c r="E11" s="2864">
        <v>101851950.84999999</v>
      </c>
      <c r="F11"/>
    </row>
    <row r="12" spans="1:7">
      <c r="A12" s="2862" t="s">
        <v>740</v>
      </c>
      <c r="B12" s="805">
        <v>428</v>
      </c>
      <c r="C12" s="805">
        <v>245</v>
      </c>
      <c r="D12" s="2864">
        <v>2567604390.9185991</v>
      </c>
      <c r="E12" s="2864">
        <v>1434859011.1100001</v>
      </c>
      <c r="F12"/>
    </row>
    <row r="13" spans="1:7">
      <c r="D13"/>
      <c r="E13"/>
      <c r="F13"/>
    </row>
    <row r="14" spans="1:7">
      <c r="D14"/>
      <c r="E14"/>
      <c r="F14"/>
    </row>
    <row r="15" spans="1:7">
      <c r="D15"/>
      <c r="E15"/>
      <c r="F15"/>
    </row>
    <row r="16" spans="1:7">
      <c r="D16"/>
      <c r="E16"/>
      <c r="F16"/>
    </row>
    <row r="17" spans="4:6">
      <c r="D17"/>
      <c r="E17"/>
      <c r="F17"/>
    </row>
    <row r="18" spans="4:6">
      <c r="D18"/>
      <c r="E18"/>
      <c r="F18"/>
    </row>
    <row r="19" spans="4:6">
      <c r="D19"/>
      <c r="E19"/>
      <c r="F19"/>
    </row>
    <row r="20" spans="4:6">
      <c r="D20"/>
      <c r="E20"/>
      <c r="F20"/>
    </row>
    <row r="21" spans="4:6">
      <c r="D21"/>
      <c r="E21"/>
      <c r="F21"/>
    </row>
    <row r="22" spans="4:6">
      <c r="D22"/>
      <c r="E22"/>
      <c r="F22"/>
    </row>
    <row r="23" spans="4:6">
      <c r="D23"/>
      <c r="E23"/>
      <c r="F23"/>
    </row>
    <row r="24" spans="4:6">
      <c r="D24"/>
      <c r="E24"/>
      <c r="F24"/>
    </row>
    <row r="25" spans="4:6">
      <c r="D25"/>
      <c r="E25"/>
      <c r="F25"/>
    </row>
    <row r="26" spans="4:6">
      <c r="D26"/>
      <c r="E26"/>
      <c r="F26"/>
    </row>
    <row r="27" spans="4:6">
      <c r="D27"/>
      <c r="E27"/>
      <c r="F27"/>
    </row>
    <row r="28" spans="4:6">
      <c r="D28"/>
      <c r="E28"/>
      <c r="F28"/>
    </row>
    <row r="29" spans="4:6">
      <c r="D29"/>
      <c r="E29"/>
      <c r="F29"/>
    </row>
    <row r="30" spans="4:6">
      <c r="D30"/>
      <c r="E30"/>
      <c r="F30"/>
    </row>
    <row r="31" spans="4:6">
      <c r="D31"/>
      <c r="E31"/>
      <c r="F31"/>
    </row>
    <row r="32" spans="4:6">
      <c r="D32"/>
      <c r="E32"/>
      <c r="F32"/>
    </row>
    <row r="33" spans="4:6">
      <c r="D33"/>
      <c r="E33"/>
      <c r="F33"/>
    </row>
    <row r="34" spans="4:6">
      <c r="D34"/>
      <c r="E34"/>
      <c r="F34"/>
    </row>
    <row r="35" spans="4:6">
      <c r="D35"/>
      <c r="E35"/>
      <c r="F35"/>
    </row>
    <row r="36" spans="4:6">
      <c r="D36"/>
      <c r="E36"/>
      <c r="F36"/>
    </row>
    <row r="37" spans="4:6">
      <c r="D37"/>
      <c r="E37"/>
      <c r="F37"/>
    </row>
    <row r="38" spans="4:6">
      <c r="D38"/>
      <c r="E38"/>
      <c r="F38"/>
    </row>
    <row r="39" spans="4:6">
      <c r="D39"/>
      <c r="E39"/>
      <c r="F39"/>
    </row>
    <row r="40" spans="4:6">
      <c r="D40"/>
      <c r="E40"/>
      <c r="F40"/>
    </row>
    <row r="41" spans="4:6">
      <c r="D41"/>
      <c r="E41"/>
      <c r="F41"/>
    </row>
    <row r="42" spans="4:6">
      <c r="D42"/>
      <c r="E42"/>
      <c r="F42"/>
    </row>
    <row r="43" spans="4:6">
      <c r="D43"/>
      <c r="E43"/>
      <c r="F43"/>
    </row>
    <row r="44" spans="4:6">
      <c r="D44"/>
      <c r="E44"/>
      <c r="F44"/>
    </row>
    <row r="45" spans="4:6">
      <c r="D45"/>
      <c r="E45"/>
      <c r="F45"/>
    </row>
    <row r="46" spans="4:6">
      <c r="D46"/>
      <c r="E46"/>
      <c r="F46"/>
    </row>
    <row r="47" spans="4:6">
      <c r="D47"/>
      <c r="E47"/>
      <c r="F47"/>
    </row>
    <row r="48" spans="4:6">
      <c r="D48"/>
      <c r="E48"/>
      <c r="F48"/>
    </row>
    <row r="49" spans="4:6">
      <c r="D49"/>
      <c r="E49"/>
      <c r="F49"/>
    </row>
    <row r="50" spans="4:6">
      <c r="D50"/>
      <c r="E50"/>
      <c r="F50"/>
    </row>
    <row r="51" spans="4:6">
      <c r="D51"/>
      <c r="E51"/>
      <c r="F51"/>
    </row>
    <row r="52" spans="4:6">
      <c r="D52"/>
      <c r="E52"/>
      <c r="F52"/>
    </row>
    <row r="53" spans="4:6">
      <c r="D53"/>
      <c r="E53"/>
      <c r="F53"/>
    </row>
    <row r="54" spans="4:6">
      <c r="D54"/>
      <c r="E54"/>
      <c r="F54"/>
    </row>
    <row r="55" spans="4:6">
      <c r="D55"/>
      <c r="E55"/>
      <c r="F55"/>
    </row>
    <row r="56" spans="4:6">
      <c r="D56"/>
      <c r="E56"/>
      <c r="F56"/>
    </row>
    <row r="57" spans="4:6">
      <c r="D57"/>
      <c r="E57"/>
      <c r="F57"/>
    </row>
    <row r="58" spans="4:6">
      <c r="D58"/>
      <c r="E58"/>
      <c r="F58"/>
    </row>
    <row r="59" spans="4:6">
      <c r="D59"/>
      <c r="E59"/>
      <c r="F59"/>
    </row>
    <row r="60" spans="4:6">
      <c r="D60"/>
      <c r="E60"/>
      <c r="F60"/>
    </row>
    <row r="61" spans="4:6">
      <c r="D61"/>
      <c r="E61"/>
      <c r="F61"/>
    </row>
    <row r="62" spans="4:6">
      <c r="D62"/>
      <c r="E62"/>
      <c r="F62"/>
    </row>
    <row r="63" spans="4:6">
      <c r="D63"/>
      <c r="E63"/>
      <c r="F63"/>
    </row>
    <row r="64" spans="4:6">
      <c r="D64"/>
      <c r="E64"/>
      <c r="F64"/>
    </row>
    <row r="65" spans="4:6">
      <c r="D65"/>
      <c r="E65"/>
      <c r="F65"/>
    </row>
    <row r="66" spans="4:6">
      <c r="D66"/>
      <c r="E66"/>
      <c r="F66"/>
    </row>
    <row r="67" spans="4:6">
      <c r="D67"/>
      <c r="E67"/>
      <c r="F67"/>
    </row>
    <row r="68" spans="4:6">
      <c r="D68"/>
      <c r="E68"/>
      <c r="F68"/>
    </row>
    <row r="69" spans="4:6">
      <c r="D69"/>
      <c r="E69"/>
      <c r="F69"/>
    </row>
    <row r="70" spans="4:6">
      <c r="D70"/>
      <c r="E70"/>
      <c r="F70"/>
    </row>
    <row r="71" spans="4:6">
      <c r="D71"/>
      <c r="E71"/>
      <c r="F71"/>
    </row>
    <row r="72" spans="4:6">
      <c r="D72"/>
      <c r="E72"/>
      <c r="F72"/>
    </row>
    <row r="73" spans="4:6">
      <c r="D73"/>
      <c r="E73"/>
      <c r="F73"/>
    </row>
    <row r="74" spans="4:6">
      <c r="D74"/>
      <c r="E74"/>
      <c r="F74"/>
    </row>
    <row r="75" spans="4:6">
      <c r="D75"/>
      <c r="E75"/>
      <c r="F75"/>
    </row>
    <row r="76" spans="4:6">
      <c r="D76"/>
      <c r="E76"/>
      <c r="F76"/>
    </row>
    <row r="77" spans="4:6">
      <c r="D77"/>
      <c r="E77"/>
      <c r="F77"/>
    </row>
    <row r="78" spans="4:6">
      <c r="D78"/>
      <c r="E78"/>
      <c r="F78"/>
    </row>
    <row r="79" spans="4:6">
      <c r="D79"/>
      <c r="E79"/>
      <c r="F79"/>
    </row>
    <row r="80" spans="4:6">
      <c r="D80"/>
      <c r="E80"/>
      <c r="F80"/>
    </row>
    <row r="81" spans="4:6">
      <c r="D81"/>
      <c r="E81"/>
      <c r="F81"/>
    </row>
    <row r="82" spans="4:6">
      <c r="D82"/>
      <c r="E82"/>
      <c r="F82"/>
    </row>
    <row r="83" spans="4:6">
      <c r="D83"/>
      <c r="E83"/>
      <c r="F83"/>
    </row>
    <row r="84" spans="4:6">
      <c r="D84"/>
      <c r="E84"/>
      <c r="F84"/>
    </row>
    <row r="85" spans="4:6">
      <c r="D85"/>
      <c r="E85"/>
      <c r="F85"/>
    </row>
    <row r="86" spans="4:6">
      <c r="D86"/>
      <c r="E86"/>
      <c r="F86"/>
    </row>
    <row r="87" spans="4:6">
      <c r="D87"/>
      <c r="E87"/>
      <c r="F87"/>
    </row>
    <row r="88" spans="4:6">
      <c r="D88"/>
      <c r="E88"/>
      <c r="F88"/>
    </row>
    <row r="89" spans="4:6">
      <c r="D89"/>
      <c r="E89"/>
      <c r="F89"/>
    </row>
    <row r="90" spans="4:6">
      <c r="D90"/>
      <c r="E90"/>
      <c r="F90"/>
    </row>
    <row r="91" spans="4:6">
      <c r="D91"/>
      <c r="E91"/>
      <c r="F91"/>
    </row>
    <row r="92" spans="4:6">
      <c r="D92"/>
      <c r="E92"/>
      <c r="F92"/>
    </row>
    <row r="93" spans="4:6">
      <c r="D93"/>
      <c r="E93"/>
      <c r="F93"/>
    </row>
    <row r="94" spans="4:6">
      <c r="D94"/>
      <c r="E94"/>
      <c r="F94"/>
    </row>
    <row r="95" spans="4:6">
      <c r="D95"/>
      <c r="E95"/>
      <c r="F95"/>
    </row>
    <row r="96" spans="4:6">
      <c r="D96"/>
      <c r="E96"/>
      <c r="F96"/>
    </row>
    <row r="97" spans="4:6">
      <c r="D97"/>
      <c r="E97"/>
      <c r="F97"/>
    </row>
    <row r="98" spans="4:6">
      <c r="D98"/>
      <c r="E98"/>
      <c r="F98"/>
    </row>
    <row r="99" spans="4:6">
      <c r="D99"/>
      <c r="E99"/>
      <c r="F99"/>
    </row>
    <row r="100" spans="4:6">
      <c r="D100"/>
      <c r="E100"/>
      <c r="F100"/>
    </row>
    <row r="101" spans="4:6">
      <c r="D101"/>
      <c r="E101"/>
      <c r="F101"/>
    </row>
    <row r="102" spans="4:6">
      <c r="D102"/>
      <c r="E102"/>
      <c r="F102"/>
    </row>
    <row r="103" spans="4:6">
      <c r="D103"/>
      <c r="E103"/>
      <c r="F103"/>
    </row>
    <row r="104" spans="4:6">
      <c r="D104"/>
      <c r="E104"/>
      <c r="F104"/>
    </row>
    <row r="105" spans="4:6">
      <c r="D105"/>
      <c r="E105"/>
      <c r="F105"/>
    </row>
    <row r="106" spans="4:6">
      <c r="D106"/>
      <c r="E106"/>
      <c r="F106"/>
    </row>
    <row r="107" spans="4:6">
      <c r="D107"/>
      <c r="E107"/>
      <c r="F107"/>
    </row>
    <row r="108" spans="4:6">
      <c r="D108"/>
      <c r="E108"/>
      <c r="F108"/>
    </row>
    <row r="109" spans="4:6">
      <c r="D109"/>
      <c r="E109"/>
      <c r="F109"/>
    </row>
    <row r="110" spans="4:6">
      <c r="D110"/>
      <c r="E110"/>
      <c r="F110"/>
    </row>
    <row r="111" spans="4:6">
      <c r="D111"/>
      <c r="E111"/>
      <c r="F111"/>
    </row>
    <row r="112" spans="4:6">
      <c r="D112"/>
      <c r="E112"/>
      <c r="F112"/>
    </row>
    <row r="113" spans="4:6">
      <c r="D113"/>
      <c r="E113"/>
      <c r="F113"/>
    </row>
    <row r="114" spans="4:6">
      <c r="D114"/>
      <c r="E114"/>
      <c r="F114"/>
    </row>
    <row r="115" spans="4:6">
      <c r="D115"/>
      <c r="E115"/>
      <c r="F115"/>
    </row>
    <row r="116" spans="4:6">
      <c r="D116"/>
      <c r="E116"/>
      <c r="F116"/>
    </row>
    <row r="117" spans="4:6">
      <c r="D117"/>
      <c r="E117"/>
      <c r="F117"/>
    </row>
    <row r="118" spans="4:6">
      <c r="D118"/>
      <c r="E118"/>
      <c r="F118"/>
    </row>
    <row r="119" spans="4:6">
      <c r="D119"/>
      <c r="E119"/>
      <c r="F119"/>
    </row>
    <row r="120" spans="4:6">
      <c r="D120"/>
      <c r="E120"/>
      <c r="F120"/>
    </row>
    <row r="121" spans="4:6">
      <c r="D121"/>
      <c r="E121"/>
      <c r="F121"/>
    </row>
    <row r="122" spans="4:6">
      <c r="D122"/>
      <c r="E122"/>
      <c r="F122"/>
    </row>
    <row r="123" spans="4:6">
      <c r="D123"/>
      <c r="E123"/>
      <c r="F123"/>
    </row>
    <row r="124" spans="4:6">
      <c r="D124"/>
      <c r="E124"/>
      <c r="F124"/>
    </row>
    <row r="125" spans="4:6">
      <c r="D125"/>
      <c r="E125"/>
      <c r="F125"/>
    </row>
    <row r="126" spans="4:6">
      <c r="D126"/>
      <c r="E126"/>
      <c r="F126"/>
    </row>
    <row r="127" spans="4:6">
      <c r="D127"/>
      <c r="E127"/>
      <c r="F127"/>
    </row>
    <row r="128" spans="4:6">
      <c r="D128"/>
      <c r="E128"/>
      <c r="F128"/>
    </row>
    <row r="129" spans="4:6">
      <c r="D129"/>
      <c r="E129"/>
      <c r="F129"/>
    </row>
    <row r="130" spans="4:6">
      <c r="D130"/>
      <c r="E130"/>
      <c r="F130"/>
    </row>
    <row r="131" spans="4:6">
      <c r="D131"/>
      <c r="E131"/>
      <c r="F131"/>
    </row>
    <row r="132" spans="4:6">
      <c r="D132"/>
      <c r="E132"/>
      <c r="F132"/>
    </row>
    <row r="133" spans="4:6">
      <c r="D133"/>
      <c r="E133"/>
      <c r="F133"/>
    </row>
    <row r="134" spans="4:6">
      <c r="D134"/>
      <c r="E134"/>
      <c r="F134"/>
    </row>
    <row r="135" spans="4:6">
      <c r="D135"/>
      <c r="E135"/>
      <c r="F135"/>
    </row>
    <row r="136" spans="4:6">
      <c r="D136"/>
      <c r="E136"/>
      <c r="F136"/>
    </row>
    <row r="137" spans="4:6">
      <c r="D137"/>
      <c r="E137"/>
      <c r="F137"/>
    </row>
    <row r="138" spans="4:6">
      <c r="D138"/>
      <c r="E138"/>
      <c r="F138"/>
    </row>
    <row r="139" spans="4:6">
      <c r="D139"/>
      <c r="E139"/>
      <c r="F139"/>
    </row>
    <row r="140" spans="4:6">
      <c r="D140"/>
      <c r="E140"/>
      <c r="F140"/>
    </row>
    <row r="141" spans="4:6">
      <c r="D141"/>
      <c r="E141"/>
      <c r="F141"/>
    </row>
    <row r="142" spans="4:6">
      <c r="D142"/>
      <c r="E142"/>
      <c r="F142"/>
    </row>
    <row r="143" spans="4:6">
      <c r="D143"/>
      <c r="E143"/>
      <c r="F143"/>
    </row>
    <row r="144" spans="4:6">
      <c r="D144"/>
      <c r="E144"/>
      <c r="F144"/>
    </row>
    <row r="145" spans="4:6">
      <c r="D145"/>
      <c r="E145"/>
      <c r="F145"/>
    </row>
    <row r="146" spans="4:6">
      <c r="D146"/>
      <c r="E146"/>
      <c r="F146"/>
    </row>
    <row r="147" spans="4:6">
      <c r="D147"/>
      <c r="E147"/>
      <c r="F147"/>
    </row>
    <row r="148" spans="4:6">
      <c r="D148"/>
      <c r="E148"/>
      <c r="F148"/>
    </row>
    <row r="149" spans="4:6">
      <c r="D149"/>
      <c r="E149"/>
      <c r="F149"/>
    </row>
    <row r="150" spans="4:6">
      <c r="D150"/>
      <c r="E150"/>
      <c r="F150"/>
    </row>
    <row r="151" spans="4:6">
      <c r="D151"/>
      <c r="E151"/>
      <c r="F151"/>
    </row>
    <row r="152" spans="4:6">
      <c r="D152"/>
      <c r="E152"/>
      <c r="F152"/>
    </row>
    <row r="153" spans="4:6">
      <c r="D153"/>
      <c r="E153"/>
      <c r="F153"/>
    </row>
    <row r="154" spans="4:6">
      <c r="D154"/>
      <c r="E154"/>
      <c r="F154"/>
    </row>
    <row r="155" spans="4:6">
      <c r="D155"/>
      <c r="E155"/>
      <c r="F155"/>
    </row>
    <row r="156" spans="4:6">
      <c r="D156"/>
      <c r="E156"/>
      <c r="F156"/>
    </row>
    <row r="157" spans="4:6">
      <c r="D157"/>
      <c r="E157"/>
      <c r="F157"/>
    </row>
    <row r="158" spans="4:6">
      <c r="D158"/>
      <c r="E158"/>
      <c r="F158"/>
    </row>
    <row r="159" spans="4:6">
      <c r="D159"/>
      <c r="E159"/>
      <c r="F159"/>
    </row>
    <row r="160" spans="4:6">
      <c r="D160"/>
      <c r="E160"/>
      <c r="F160"/>
    </row>
    <row r="161" spans="4:6">
      <c r="D161"/>
      <c r="E161"/>
      <c r="F161"/>
    </row>
    <row r="162" spans="4:6">
      <c r="D162"/>
      <c r="E162"/>
      <c r="F162"/>
    </row>
    <row r="163" spans="4:6">
      <c r="D163"/>
      <c r="E163"/>
      <c r="F163"/>
    </row>
    <row r="164" spans="4:6">
      <c r="D164"/>
      <c r="E164"/>
      <c r="F164"/>
    </row>
    <row r="165" spans="4:6">
      <c r="D165"/>
      <c r="E165"/>
      <c r="F165"/>
    </row>
    <row r="166" spans="4:6">
      <c r="D166"/>
      <c r="E166"/>
      <c r="F166"/>
    </row>
    <row r="167" spans="4:6">
      <c r="D167"/>
      <c r="E167"/>
      <c r="F167"/>
    </row>
    <row r="168" spans="4:6">
      <c r="D168"/>
      <c r="E168"/>
      <c r="F168"/>
    </row>
    <row r="169" spans="4:6">
      <c r="D169"/>
      <c r="E169"/>
      <c r="F169"/>
    </row>
    <row r="170" spans="4:6">
      <c r="D170"/>
      <c r="E170"/>
      <c r="F170"/>
    </row>
    <row r="171" spans="4:6">
      <c r="D171"/>
      <c r="E171"/>
      <c r="F171"/>
    </row>
    <row r="172" spans="4:6">
      <c r="D172"/>
      <c r="E172"/>
      <c r="F172"/>
    </row>
    <row r="173" spans="4:6">
      <c r="D173"/>
      <c r="E173"/>
      <c r="F173"/>
    </row>
    <row r="174" spans="4:6">
      <c r="D174"/>
      <c r="E174"/>
      <c r="F174"/>
    </row>
    <row r="175" spans="4:6">
      <c r="D175"/>
      <c r="E175"/>
      <c r="F175"/>
    </row>
    <row r="176" spans="4:6">
      <c r="D176"/>
      <c r="E176"/>
      <c r="F176"/>
    </row>
    <row r="177" spans="4:6">
      <c r="D177"/>
      <c r="E177"/>
      <c r="F177"/>
    </row>
    <row r="178" spans="4:6">
      <c r="D178"/>
      <c r="E178"/>
    </row>
    <row r="179" spans="4:6">
      <c r="D179"/>
      <c r="E179"/>
    </row>
    <row r="180" spans="4:6">
      <c r="D180"/>
      <c r="E180"/>
    </row>
    <row r="181" spans="4:6">
      <c r="D181"/>
      <c r="E181"/>
    </row>
    <row r="182" spans="4:6">
      <c r="D182"/>
      <c r="E182"/>
    </row>
    <row r="183" spans="4:6">
      <c r="D183"/>
      <c r="E183"/>
    </row>
    <row r="184" spans="4:6">
      <c r="D184"/>
      <c r="E184"/>
    </row>
    <row r="185" spans="4:6">
      <c r="D185"/>
      <c r="E185"/>
    </row>
    <row r="186" spans="4:6">
      <c r="D186"/>
      <c r="E186"/>
    </row>
    <row r="187" spans="4:6">
      <c r="D187"/>
      <c r="E187"/>
    </row>
    <row r="188" spans="4:6">
      <c r="D188"/>
      <c r="E188"/>
    </row>
    <row r="189" spans="4:6">
      <c r="D189"/>
      <c r="E189"/>
    </row>
    <row r="190" spans="4:6">
      <c r="D190"/>
      <c r="E190"/>
    </row>
    <row r="191" spans="4:6">
      <c r="D191"/>
      <c r="E191"/>
    </row>
    <row r="192" spans="4:6">
      <c r="D192"/>
      <c r="E192"/>
    </row>
    <row r="193" spans="4:5">
      <c r="D193"/>
      <c r="E193"/>
    </row>
    <row r="194" spans="4:5">
      <c r="D194"/>
      <c r="E194"/>
    </row>
    <row r="195" spans="4:5">
      <c r="D195"/>
      <c r="E195"/>
    </row>
    <row r="196" spans="4:5">
      <c r="D196"/>
      <c r="E196"/>
    </row>
    <row r="197" spans="4:5">
      <c r="D197"/>
      <c r="E197"/>
    </row>
    <row r="198" spans="4:5">
      <c r="D198"/>
      <c r="E198"/>
    </row>
    <row r="199" spans="4:5">
      <c r="D199"/>
      <c r="E199"/>
    </row>
    <row r="200" spans="4:5">
      <c r="D200"/>
      <c r="E200"/>
    </row>
    <row r="201" spans="4:5">
      <c r="D201"/>
      <c r="E201"/>
    </row>
    <row r="202" spans="4:5">
      <c r="D202"/>
      <c r="E202"/>
    </row>
    <row r="203" spans="4:5">
      <c r="D203"/>
      <c r="E203"/>
    </row>
    <row r="204" spans="4:5">
      <c r="D204"/>
      <c r="E204"/>
    </row>
    <row r="205" spans="4:5">
      <c r="D205"/>
      <c r="E205"/>
    </row>
    <row r="206" spans="4:5">
      <c r="D206"/>
      <c r="E206"/>
    </row>
    <row r="207" spans="4:5">
      <c r="D207"/>
      <c r="E207"/>
    </row>
    <row r="208" spans="4:5">
      <c r="D208"/>
      <c r="E208"/>
    </row>
    <row r="209" spans="4:5">
      <c r="D209"/>
      <c r="E209"/>
    </row>
    <row r="210" spans="4:5">
      <c r="D210"/>
      <c r="E210"/>
    </row>
    <row r="211" spans="4:5">
      <c r="D211"/>
      <c r="E211"/>
    </row>
    <row r="212" spans="4:5">
      <c r="D212"/>
      <c r="E212"/>
    </row>
    <row r="213" spans="4:5">
      <c r="D213"/>
      <c r="E213"/>
    </row>
    <row r="214" spans="4:5">
      <c r="D214"/>
      <c r="E214"/>
    </row>
    <row r="215" spans="4:5">
      <c r="D215"/>
      <c r="E215"/>
    </row>
    <row r="216" spans="4:5">
      <c r="D216"/>
      <c r="E216"/>
    </row>
    <row r="217" spans="4:5">
      <c r="D217"/>
      <c r="E217"/>
    </row>
    <row r="218" spans="4:5">
      <c r="D218"/>
      <c r="E218"/>
    </row>
    <row r="219" spans="4:5">
      <c r="D219"/>
      <c r="E219"/>
    </row>
    <row r="220" spans="4:5">
      <c r="D220"/>
      <c r="E220"/>
    </row>
    <row r="221" spans="4:5">
      <c r="D221"/>
      <c r="E221"/>
    </row>
    <row r="222" spans="4:5">
      <c r="D222"/>
      <c r="E222"/>
    </row>
    <row r="223" spans="4:5">
      <c r="D223"/>
      <c r="E223"/>
    </row>
    <row r="224" spans="4:5">
      <c r="D224"/>
      <c r="E224"/>
    </row>
    <row r="225" spans="4:5">
      <c r="D225"/>
      <c r="E225"/>
    </row>
    <row r="226" spans="4:5">
      <c r="D226"/>
      <c r="E226"/>
    </row>
    <row r="227" spans="4:5">
      <c r="D227"/>
      <c r="E227"/>
    </row>
    <row r="228" spans="4:5">
      <c r="D228"/>
      <c r="E228"/>
    </row>
    <row r="229" spans="4:5">
      <c r="D229"/>
      <c r="E229"/>
    </row>
    <row r="230" spans="4:5">
      <c r="D230"/>
      <c r="E230"/>
    </row>
    <row r="231" spans="4:5">
      <c r="D231"/>
      <c r="E231"/>
    </row>
    <row r="232" spans="4:5">
      <c r="D232"/>
      <c r="E232"/>
    </row>
    <row r="233" spans="4:5">
      <c r="D233"/>
      <c r="E233"/>
    </row>
    <row r="234" spans="4:5">
      <c r="D234"/>
      <c r="E234"/>
    </row>
    <row r="235" spans="4:5">
      <c r="D235"/>
      <c r="E235"/>
    </row>
    <row r="236" spans="4:5">
      <c r="D236"/>
      <c r="E236"/>
    </row>
    <row r="237" spans="4:5">
      <c r="D237"/>
      <c r="E237"/>
    </row>
    <row r="238" spans="4:5">
      <c r="D238"/>
      <c r="E238"/>
    </row>
    <row r="239" spans="4:5">
      <c r="D239"/>
      <c r="E239"/>
    </row>
    <row r="240" spans="4:5">
      <c r="D240"/>
      <c r="E240"/>
    </row>
    <row r="241" spans="4:5">
      <c r="D241"/>
      <c r="E241"/>
    </row>
    <row r="242" spans="4:5">
      <c r="D242"/>
      <c r="E242"/>
    </row>
    <row r="243" spans="4:5">
      <c r="D243"/>
      <c r="E243"/>
    </row>
    <row r="244" spans="4:5">
      <c r="D244"/>
      <c r="E244"/>
    </row>
    <row r="245" spans="4:5">
      <c r="D245"/>
      <c r="E245"/>
    </row>
    <row r="246" spans="4:5">
      <c r="D246"/>
      <c r="E246"/>
    </row>
    <row r="247" spans="4:5">
      <c r="D247"/>
      <c r="E247"/>
    </row>
    <row r="248" spans="4:5">
      <c r="D248"/>
      <c r="E248"/>
    </row>
    <row r="249" spans="4:5">
      <c r="D249"/>
      <c r="E249"/>
    </row>
    <row r="250" spans="4:5">
      <c r="D250"/>
      <c r="E250"/>
    </row>
    <row r="251" spans="4:5">
      <c r="D251"/>
      <c r="E251"/>
    </row>
    <row r="252" spans="4:5">
      <c r="D252"/>
      <c r="E252"/>
    </row>
    <row r="253" spans="4:5">
      <c r="D253"/>
      <c r="E253"/>
    </row>
    <row r="254" spans="4:5">
      <c r="D254"/>
      <c r="E254"/>
    </row>
    <row r="255" spans="4:5">
      <c r="D255"/>
      <c r="E255"/>
    </row>
    <row r="256" spans="4:5">
      <c r="D256"/>
      <c r="E256"/>
    </row>
    <row r="257" spans="4:5">
      <c r="D257"/>
      <c r="E257"/>
    </row>
    <row r="258" spans="4:5">
      <c r="D258"/>
      <c r="E258"/>
    </row>
    <row r="259" spans="4:5">
      <c r="D259"/>
      <c r="E259"/>
    </row>
    <row r="260" spans="4:5">
      <c r="D260"/>
      <c r="E260"/>
    </row>
    <row r="261" spans="4:5">
      <c r="D261"/>
      <c r="E261"/>
    </row>
    <row r="262" spans="4:5">
      <c r="D262"/>
      <c r="E262"/>
    </row>
    <row r="263" spans="4:5">
      <c r="D263"/>
      <c r="E263"/>
    </row>
    <row r="264" spans="4:5">
      <c r="D264"/>
      <c r="E264"/>
    </row>
    <row r="265" spans="4:5">
      <c r="D265"/>
      <c r="E265"/>
    </row>
    <row r="266" spans="4:5">
      <c r="D266"/>
      <c r="E266"/>
    </row>
    <row r="267" spans="4:5">
      <c r="D267"/>
      <c r="E267"/>
    </row>
    <row r="268" spans="4:5">
      <c r="D268"/>
      <c r="E268"/>
    </row>
    <row r="269" spans="4:5">
      <c r="D269"/>
      <c r="E269"/>
    </row>
    <row r="270" spans="4:5">
      <c r="D270"/>
      <c r="E270"/>
    </row>
    <row r="271" spans="4:5">
      <c r="D271"/>
      <c r="E271"/>
    </row>
    <row r="272" spans="4:5">
      <c r="D272"/>
      <c r="E272"/>
    </row>
    <row r="273" spans="4:5">
      <c r="D273"/>
      <c r="E273"/>
    </row>
    <row r="274" spans="4:5">
      <c r="D274"/>
      <c r="E274"/>
    </row>
    <row r="275" spans="4:5">
      <c r="D275"/>
      <c r="E275"/>
    </row>
    <row r="276" spans="4:5">
      <c r="D276"/>
      <c r="E276"/>
    </row>
    <row r="277" spans="4:5">
      <c r="D277"/>
      <c r="E277"/>
    </row>
    <row r="278" spans="4:5">
      <c r="D278"/>
      <c r="E278"/>
    </row>
    <row r="279" spans="4:5">
      <c r="D279"/>
      <c r="E279"/>
    </row>
    <row r="280" spans="4:5">
      <c r="D280"/>
      <c r="E280"/>
    </row>
    <row r="281" spans="4:5">
      <c r="D281"/>
      <c r="E281"/>
    </row>
    <row r="282" spans="4:5">
      <c r="D282"/>
      <c r="E282"/>
    </row>
    <row r="283" spans="4:5">
      <c r="D283"/>
      <c r="E283"/>
    </row>
    <row r="284" spans="4:5">
      <c r="D284"/>
      <c r="E284"/>
    </row>
    <row r="285" spans="4:5">
      <c r="D285"/>
      <c r="E285"/>
    </row>
    <row r="286" spans="4:5">
      <c r="D286"/>
      <c r="E286"/>
    </row>
    <row r="287" spans="4:5">
      <c r="D287"/>
      <c r="E287"/>
    </row>
    <row r="288" spans="4:5">
      <c r="D288"/>
      <c r="E288"/>
    </row>
    <row r="289" spans="4:5">
      <c r="D289"/>
      <c r="E289"/>
    </row>
    <row r="290" spans="4:5">
      <c r="D290"/>
      <c r="E290"/>
    </row>
    <row r="291" spans="4:5">
      <c r="D291"/>
      <c r="E291"/>
    </row>
    <row r="292" spans="4:5">
      <c r="D292"/>
      <c r="E292"/>
    </row>
    <row r="293" spans="4:5">
      <c r="D293"/>
      <c r="E293"/>
    </row>
    <row r="294" spans="4:5">
      <c r="D294"/>
      <c r="E294"/>
    </row>
    <row r="295" spans="4:5">
      <c r="D295"/>
      <c r="E295"/>
    </row>
    <row r="296" spans="4:5">
      <c r="D296"/>
      <c r="E296"/>
    </row>
    <row r="297" spans="4:5">
      <c r="D297"/>
      <c r="E297"/>
    </row>
    <row r="298" spans="4:5">
      <c r="D298"/>
      <c r="E298"/>
    </row>
    <row r="299" spans="4:5">
      <c r="D299"/>
      <c r="E299"/>
    </row>
    <row r="300" spans="4:5">
      <c r="D300"/>
      <c r="E300"/>
    </row>
    <row r="301" spans="4:5">
      <c r="D301"/>
      <c r="E301"/>
    </row>
    <row r="302" spans="4:5">
      <c r="D302"/>
      <c r="E302"/>
    </row>
    <row r="303" spans="4:5">
      <c r="D303"/>
      <c r="E303"/>
    </row>
    <row r="304" spans="4:5">
      <c r="D304"/>
      <c r="E304"/>
    </row>
    <row r="305" spans="4:5">
      <c r="D305"/>
      <c r="E305"/>
    </row>
    <row r="306" spans="4:5">
      <c r="D306"/>
      <c r="E306"/>
    </row>
    <row r="307" spans="4:5">
      <c r="D307"/>
      <c r="E307"/>
    </row>
    <row r="308" spans="4:5">
      <c r="D308"/>
      <c r="E308"/>
    </row>
    <row r="309" spans="4:5">
      <c r="D309"/>
      <c r="E309"/>
    </row>
    <row r="310" spans="4:5">
      <c r="D310"/>
      <c r="E310"/>
    </row>
    <row r="311" spans="4:5">
      <c r="D311"/>
      <c r="E311"/>
    </row>
    <row r="312" spans="4:5">
      <c r="D312"/>
      <c r="E312"/>
    </row>
    <row r="313" spans="4:5">
      <c r="D313"/>
      <c r="E313"/>
    </row>
    <row r="314" spans="4:5">
      <c r="D314"/>
      <c r="E314"/>
    </row>
    <row r="315" spans="4:5">
      <c r="D315"/>
      <c r="E315"/>
    </row>
    <row r="316" spans="4:5">
      <c r="D316"/>
      <c r="E316"/>
    </row>
    <row r="317" spans="4:5">
      <c r="D317"/>
      <c r="E317"/>
    </row>
    <row r="318" spans="4:5">
      <c r="D318"/>
      <c r="E318"/>
    </row>
    <row r="319" spans="4:5">
      <c r="D319"/>
      <c r="E319"/>
    </row>
    <row r="320" spans="4:5">
      <c r="D320"/>
      <c r="E320"/>
    </row>
    <row r="321" spans="4:5">
      <c r="D321"/>
      <c r="E321"/>
    </row>
    <row r="322" spans="4:5">
      <c r="D322"/>
      <c r="E322"/>
    </row>
    <row r="323" spans="4:5">
      <c r="D323"/>
      <c r="E323"/>
    </row>
    <row r="324" spans="4:5">
      <c r="D324"/>
      <c r="E324"/>
    </row>
    <row r="325" spans="4:5">
      <c r="D325"/>
      <c r="E325"/>
    </row>
    <row r="326" spans="4:5">
      <c r="D326"/>
      <c r="E326"/>
    </row>
    <row r="327" spans="4:5">
      <c r="D327"/>
      <c r="E327"/>
    </row>
    <row r="328" spans="4:5">
      <c r="D328"/>
      <c r="E328"/>
    </row>
    <row r="329" spans="4:5">
      <c r="D329"/>
      <c r="E329"/>
    </row>
    <row r="330" spans="4:5">
      <c r="D330"/>
      <c r="E330"/>
    </row>
    <row r="331" spans="4:5">
      <c r="D331"/>
      <c r="E331"/>
    </row>
    <row r="332" spans="4:5">
      <c r="D332"/>
      <c r="E332"/>
    </row>
    <row r="333" spans="4:5">
      <c r="D333"/>
      <c r="E333"/>
    </row>
    <row r="334" spans="4:5">
      <c r="D334"/>
      <c r="E334"/>
    </row>
    <row r="335" spans="4:5">
      <c r="D335"/>
      <c r="E335"/>
    </row>
    <row r="336" spans="4:5">
      <c r="D336"/>
      <c r="E336"/>
    </row>
    <row r="337" spans="4:5">
      <c r="D337"/>
      <c r="E337"/>
    </row>
    <row r="338" spans="4:5">
      <c r="D338"/>
      <c r="E338"/>
    </row>
    <row r="339" spans="4:5">
      <c r="D339"/>
      <c r="E339"/>
    </row>
    <row r="340" spans="4:5">
      <c r="D340"/>
      <c r="E340"/>
    </row>
    <row r="341" spans="4:5">
      <c r="D341"/>
      <c r="E341"/>
    </row>
    <row r="342" spans="4:5">
      <c r="D342"/>
      <c r="E342"/>
    </row>
    <row r="343" spans="4:5">
      <c r="D343"/>
      <c r="E343"/>
    </row>
    <row r="344" spans="4:5">
      <c r="D344"/>
      <c r="E344"/>
    </row>
    <row r="345" spans="4:5">
      <c r="D345"/>
      <c r="E345"/>
    </row>
    <row r="346" spans="4:5">
      <c r="D346"/>
      <c r="E346"/>
    </row>
    <row r="347" spans="4:5">
      <c r="D347"/>
      <c r="E347"/>
    </row>
    <row r="348" spans="4:5">
      <c r="D348"/>
      <c r="E348"/>
    </row>
    <row r="349" spans="4:5">
      <c r="D349"/>
      <c r="E349"/>
    </row>
    <row r="350" spans="4:5">
      <c r="D350"/>
      <c r="E350"/>
    </row>
    <row r="351" spans="4:5">
      <c r="D351"/>
      <c r="E351"/>
    </row>
    <row r="352" spans="4:5">
      <c r="D352"/>
      <c r="E352"/>
    </row>
    <row r="353" spans="4:5">
      <c r="D353"/>
      <c r="E353"/>
    </row>
    <row r="354" spans="4:5">
      <c r="D354"/>
      <c r="E354"/>
    </row>
    <row r="355" spans="4:5">
      <c r="D355"/>
      <c r="E355"/>
    </row>
    <row r="356" spans="4:5">
      <c r="D356"/>
      <c r="E356"/>
    </row>
    <row r="357" spans="4:5">
      <c r="D357"/>
      <c r="E357"/>
    </row>
    <row r="358" spans="4:5">
      <c r="D358"/>
      <c r="E358"/>
    </row>
    <row r="359" spans="4:5">
      <c r="D359"/>
      <c r="E359"/>
    </row>
    <row r="360" spans="4:5">
      <c r="D360"/>
      <c r="E360"/>
    </row>
    <row r="361" spans="4:5">
      <c r="D361"/>
      <c r="E361"/>
    </row>
    <row r="362" spans="4:5">
      <c r="D362"/>
      <c r="E362"/>
    </row>
    <row r="363" spans="4:5">
      <c r="D363"/>
      <c r="E363"/>
    </row>
    <row r="364" spans="4:5">
      <c r="D364"/>
      <c r="E364"/>
    </row>
    <row r="365" spans="4:5">
      <c r="D365"/>
      <c r="E365"/>
    </row>
    <row r="366" spans="4:5">
      <c r="D366"/>
      <c r="E366"/>
    </row>
    <row r="367" spans="4:5">
      <c r="D367"/>
      <c r="E367"/>
    </row>
    <row r="368" spans="4:5">
      <c r="D368"/>
      <c r="E368"/>
    </row>
    <row r="369" spans="4:5">
      <c r="D369"/>
      <c r="E369"/>
    </row>
    <row r="370" spans="4:5">
      <c r="D370"/>
      <c r="E370"/>
    </row>
    <row r="371" spans="4:5">
      <c r="D371"/>
      <c r="E371"/>
    </row>
    <row r="372" spans="4:5">
      <c r="D372"/>
      <c r="E372"/>
    </row>
    <row r="373" spans="4:5">
      <c r="D373"/>
      <c r="E373"/>
    </row>
    <row r="374" spans="4:5">
      <c r="D374"/>
      <c r="E374"/>
    </row>
    <row r="375" spans="4:5">
      <c r="D375"/>
      <c r="E375"/>
    </row>
    <row r="376" spans="4:5">
      <c r="D376"/>
      <c r="E376"/>
    </row>
    <row r="377" spans="4:5">
      <c r="D377"/>
      <c r="E377"/>
    </row>
    <row r="378" spans="4:5">
      <c r="D378"/>
      <c r="E378"/>
    </row>
    <row r="379" spans="4:5">
      <c r="D379"/>
      <c r="E379"/>
    </row>
    <row r="380" spans="4:5">
      <c r="D380"/>
      <c r="E380"/>
    </row>
    <row r="381" spans="4:5">
      <c r="D381"/>
      <c r="E381"/>
    </row>
    <row r="382" spans="4:5">
      <c r="D382"/>
      <c r="E382"/>
    </row>
    <row r="383" spans="4:5">
      <c r="D383"/>
      <c r="E383"/>
    </row>
    <row r="384" spans="4:5">
      <c r="D384"/>
      <c r="E384"/>
    </row>
    <row r="385" spans="4:5">
      <c r="D385"/>
      <c r="E385"/>
    </row>
    <row r="386" spans="4:5">
      <c r="D386"/>
      <c r="E386"/>
    </row>
    <row r="387" spans="4:5">
      <c r="D387"/>
      <c r="E387"/>
    </row>
    <row r="388" spans="4:5">
      <c r="D388"/>
      <c r="E388"/>
    </row>
    <row r="389" spans="4:5">
      <c r="D389"/>
      <c r="E389"/>
    </row>
    <row r="390" spans="4:5">
      <c r="D390"/>
      <c r="E390"/>
    </row>
    <row r="391" spans="4:5">
      <c r="D391"/>
      <c r="E391"/>
    </row>
    <row r="392" spans="4:5">
      <c r="D392"/>
      <c r="E392"/>
    </row>
    <row r="393" spans="4:5">
      <c r="D393"/>
      <c r="E393"/>
    </row>
    <row r="394" spans="4:5">
      <c r="D394"/>
      <c r="E394"/>
    </row>
    <row r="395" spans="4:5">
      <c r="D395"/>
      <c r="E395"/>
    </row>
    <row r="396" spans="4:5">
      <c r="D396"/>
      <c r="E396"/>
    </row>
    <row r="397" spans="4:5">
      <c r="D397"/>
      <c r="E397"/>
    </row>
    <row r="398" spans="4:5">
      <c r="D398"/>
      <c r="E398"/>
    </row>
    <row r="399" spans="4:5">
      <c r="D399"/>
      <c r="E399"/>
    </row>
    <row r="400" spans="4:5">
      <c r="D400"/>
      <c r="E400"/>
    </row>
    <row r="401" spans="4:5">
      <c r="D401"/>
      <c r="E401"/>
    </row>
    <row r="402" spans="4:5">
      <c r="D402"/>
      <c r="E402"/>
    </row>
    <row r="403" spans="4:5">
      <c r="D403"/>
      <c r="E403"/>
    </row>
    <row r="404" spans="4:5">
      <c r="D404"/>
      <c r="E404"/>
    </row>
    <row r="405" spans="4:5">
      <c r="D405"/>
      <c r="E405"/>
    </row>
    <row r="406" spans="4:5">
      <c r="D406"/>
      <c r="E406"/>
    </row>
    <row r="407" spans="4:5">
      <c r="D407"/>
      <c r="E407"/>
    </row>
    <row r="408" spans="4:5">
      <c r="D408"/>
      <c r="E408"/>
    </row>
    <row r="409" spans="4:5">
      <c r="D409"/>
      <c r="E409"/>
    </row>
    <row r="410" spans="4:5">
      <c r="D410"/>
      <c r="E410"/>
    </row>
    <row r="411" spans="4:5">
      <c r="D411"/>
      <c r="E411"/>
    </row>
    <row r="412" spans="4:5">
      <c r="D412"/>
      <c r="E412"/>
    </row>
    <row r="413" spans="4:5">
      <c r="D413"/>
      <c r="E413"/>
    </row>
    <row r="414" spans="4:5">
      <c r="D414"/>
      <c r="E414"/>
    </row>
    <row r="415" spans="4:5">
      <c r="D415"/>
      <c r="E415"/>
    </row>
    <row r="416" spans="4:5">
      <c r="D416"/>
      <c r="E416"/>
    </row>
    <row r="417" spans="4:5">
      <c r="D417"/>
      <c r="E417"/>
    </row>
    <row r="418" spans="4:5">
      <c r="D418"/>
      <c r="E418"/>
    </row>
    <row r="419" spans="4:5">
      <c r="D419"/>
      <c r="E419"/>
    </row>
    <row r="420" spans="4:5">
      <c r="D420"/>
      <c r="E420"/>
    </row>
    <row r="421" spans="4:5">
      <c r="D421"/>
      <c r="E421"/>
    </row>
    <row r="422" spans="4:5">
      <c r="D422"/>
      <c r="E422"/>
    </row>
    <row r="423" spans="4:5">
      <c r="D423"/>
      <c r="E423"/>
    </row>
    <row r="424" spans="4:5">
      <c r="D424"/>
      <c r="E424"/>
    </row>
    <row r="425" spans="4:5">
      <c r="D425"/>
      <c r="E425"/>
    </row>
    <row r="426" spans="4:5">
      <c r="D426"/>
      <c r="E426"/>
    </row>
    <row r="427" spans="4:5">
      <c r="D427"/>
      <c r="E427"/>
    </row>
    <row r="428" spans="4:5">
      <c r="D428"/>
      <c r="E428"/>
    </row>
    <row r="429" spans="4:5">
      <c r="D429"/>
      <c r="E429"/>
    </row>
    <row r="430" spans="4:5">
      <c r="D430"/>
      <c r="E430"/>
    </row>
    <row r="431" spans="4:5">
      <c r="D431"/>
      <c r="E431"/>
    </row>
    <row r="432" spans="4:5">
      <c r="D432"/>
      <c r="E432"/>
    </row>
    <row r="433" spans="4:5">
      <c r="D433"/>
      <c r="E433"/>
    </row>
    <row r="434" spans="4:5">
      <c r="D434"/>
      <c r="E434"/>
    </row>
    <row r="435" spans="4:5">
      <c r="D435"/>
      <c r="E435"/>
    </row>
    <row r="436" spans="4:5">
      <c r="D436"/>
      <c r="E436"/>
    </row>
    <row r="437" spans="4:5">
      <c r="D437"/>
      <c r="E437"/>
    </row>
    <row r="438" spans="4:5">
      <c r="D438"/>
      <c r="E438"/>
    </row>
    <row r="439" spans="4:5">
      <c r="D439"/>
      <c r="E439"/>
    </row>
    <row r="440" spans="4:5">
      <c r="D440"/>
      <c r="E440"/>
    </row>
    <row r="441" spans="4:5">
      <c r="D441"/>
      <c r="E441"/>
    </row>
    <row r="442" spans="4:5">
      <c r="D442"/>
      <c r="E442"/>
    </row>
    <row r="443" spans="4:5">
      <c r="D443"/>
      <c r="E443"/>
    </row>
    <row r="444" spans="4:5">
      <c r="D444"/>
      <c r="E444"/>
    </row>
    <row r="445" spans="4:5">
      <c r="D445"/>
      <c r="E445"/>
    </row>
    <row r="446" spans="4:5">
      <c r="D446"/>
      <c r="E446"/>
    </row>
    <row r="447" spans="4:5">
      <c r="D447"/>
      <c r="E447"/>
    </row>
    <row r="448" spans="4:5">
      <c r="D448"/>
      <c r="E448"/>
    </row>
    <row r="449" spans="4:5">
      <c r="D449"/>
      <c r="E449"/>
    </row>
    <row r="450" spans="4:5">
      <c r="D450"/>
      <c r="E450"/>
    </row>
    <row r="451" spans="4:5">
      <c r="D451"/>
      <c r="E451"/>
    </row>
    <row r="452" spans="4:5">
      <c r="D452"/>
      <c r="E452"/>
    </row>
    <row r="453" spans="4:5">
      <c r="D453"/>
      <c r="E453"/>
    </row>
    <row r="454" spans="4:5">
      <c r="D454"/>
      <c r="E454"/>
    </row>
    <row r="455" spans="4:5">
      <c r="D455"/>
      <c r="E455"/>
    </row>
    <row r="456" spans="4:5">
      <c r="D456"/>
      <c r="E456"/>
    </row>
    <row r="457" spans="4:5">
      <c r="D457"/>
      <c r="E457"/>
    </row>
    <row r="458" spans="4:5">
      <c r="D458"/>
      <c r="E458"/>
    </row>
    <row r="459" spans="4:5">
      <c r="D459"/>
      <c r="E459"/>
    </row>
    <row r="460" spans="4:5">
      <c r="D460"/>
      <c r="E460"/>
    </row>
    <row r="461" spans="4:5">
      <c r="D461"/>
      <c r="E461"/>
    </row>
    <row r="462" spans="4:5">
      <c r="D462"/>
      <c r="E462"/>
    </row>
    <row r="463" spans="4:5">
      <c r="D463"/>
      <c r="E463"/>
    </row>
    <row r="464" spans="4:5">
      <c r="D464"/>
      <c r="E464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0"/>
  <dimension ref="A1:C9"/>
  <sheetViews>
    <sheetView workbookViewId="0">
      <selection activeCell="C19" sqref="C19"/>
    </sheetView>
  </sheetViews>
  <sheetFormatPr defaultRowHeight="15"/>
  <cols>
    <col min="1" max="1" width="19" bestFit="1" customWidth="1"/>
    <col min="2" max="2" width="41.28515625" style="373" bestFit="1" customWidth="1"/>
    <col min="3" max="3" width="28.28515625" style="373" bestFit="1" customWidth="1"/>
  </cols>
  <sheetData>
    <row r="1" spans="1:3">
      <c r="A1" s="2861" t="s">
        <v>10</v>
      </c>
      <c r="B1" s="2864" t="s">
        <v>745</v>
      </c>
    </row>
    <row r="3" spans="1:3">
      <c r="B3" s="1217" t="s">
        <v>742</v>
      </c>
      <c r="C3" s="2864"/>
    </row>
    <row r="4" spans="1:3">
      <c r="A4" s="2861" t="s">
        <v>739</v>
      </c>
      <c r="B4" s="2864" t="s">
        <v>741</v>
      </c>
      <c r="C4" s="2864" t="s">
        <v>743</v>
      </c>
    </row>
    <row r="5" spans="1:3">
      <c r="A5" s="2862" t="s">
        <v>235</v>
      </c>
      <c r="B5" s="2864">
        <v>3245000</v>
      </c>
      <c r="C5" s="2864">
        <v>3349098</v>
      </c>
    </row>
    <row r="6" spans="1:3">
      <c r="A6" s="2862" t="s">
        <v>251</v>
      </c>
      <c r="B6" s="2864">
        <v>1024794158.1299996</v>
      </c>
      <c r="C6" s="2864">
        <v>955741919.6500001</v>
      </c>
    </row>
    <row r="7" spans="1:3">
      <c r="A7" s="2862" t="s">
        <v>112</v>
      </c>
      <c r="B7" s="2864">
        <v>173747900.94</v>
      </c>
      <c r="C7" s="2864">
        <v>111634449.88000001</v>
      </c>
    </row>
    <row r="8" spans="1:3">
      <c r="A8" s="2862" t="s">
        <v>216</v>
      </c>
      <c r="B8" s="2864">
        <v>100194000</v>
      </c>
      <c r="C8" s="2864">
        <v>98313680.849999994</v>
      </c>
    </row>
    <row r="9" spans="1:3">
      <c r="A9" s="2862" t="s">
        <v>740</v>
      </c>
      <c r="B9" s="2864">
        <v>1301981059.0699997</v>
      </c>
      <c r="C9" s="2864">
        <v>1169039148.3800001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D A A B Q S w M E F A A C A A g A l V L + W H d 3 u L W n A A A A 9 w A A A B I A H A B D b 2 5 m a W c v U G F j a 2 F n Z S 5 4 b W w g o h g A K K A U A A A A A A A A A A A A A A A A A A A A A A A A A A A A h Y + x D o I w G I R f h X S n L U i I k J 8 y s E p i Y m K M W 1 M r N E I x t F j e z c F H 8 h X E K O r m e H f f J X f 3 6 w 3 y s W 2 8 i + y N 6 n S G A k y R J 7 X o D k p X G R r s 0 V + i n M G a i x O v p D f B 2 q S j U R m q r T 2 n h D j n s F v g r q 9 I S G l A d u V q I 2 r Z c l 9 p Y 7 k W E n 1 a h / 8 t x G D 7 G s N C n M Q 4 S O I o w h T I 7 E K p 9 J c I p 8 H P 9 M e E Y m j s 0 E s m j F / s g c w S y P s E e w B Q S w M E F A A C A A g A l V L +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V S / l i 6 x 7 i h 7 A A A A M Q B A A A T A B w A R m 9 y b X V s Y X M v U 2 V j d G l v b j E u b S C i G A A o o B Q A A A A A A A A A A A A A A A A A A A A A A A A A A A D N z 8 1 K x D A Q B / B 7 o e 8 w x E s L 2 5 J 0 9 b K y J 0 X x o C v r s o c a D 9 M k 6 8 a 2 S W m i 4 O P 4 A I t P 4 K n 4 X q Z + w C I + g H O Y g e E P M z + n h N f W w M 3 X Z M d x F E d u i 7 2 S c I W V l j X C H B r l 4 w h C l b K 3 D 2 F x L T f 5 C q t G u e R M N y o / s c Y r 4 1 1 C F j P O s s W 6 5 A U t D q F E O b w 8 o R h 2 I G 3 9 2 I Y M C s X X 5 e U y t G z M Z J T S I 8 Y g g 1 M 7 h s N B q f H e W O e 1 q I c 3 s Y X W G u 1 t / / 4 K X W 9 h u T r n d A o G q 2 E n 6 2 f + / W b e y Q 1 J J 3 B 7 0 X a N + r w 0 i u a E 5 V N y l 8 a R N n u G f e c B + Z E m R U r + 4 v 4 v 4 2 / K B 1 B L A Q I t A B Q A A g A I A J V S / l h 3 d 7 i 1 p w A A A P c A A A A S A A A A A A A A A A A A A A A A A A A A A A B D b 2 5 m a W c v U G F j a 2 F n Z S 5 4 b W x Q S w E C L Q A U A A I A C A C V U v 5 Y D 8 r p q 6 Q A A A D p A A A A E w A A A A A A A A A A A A A A A A D z A A A A W 0 N v b n R l b n R f V H l w Z X N d L n h t b F B L A Q I t A B Q A A g A I A J V S / l i 6 x 7 i h 7 A A A A M Q B A A A T A A A A A A A A A A A A A A A A A O Q B A A B G b 3 J t d W x h c y 9 T Z W N 0 a W 9 u M S 5 t U E s F B g A A A A A D A A M A w g A A A B 0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0 L A A A A A A A A y w s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5 h Y m l k a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W N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c t M z B U M D g 6 M T Y 6 N D Y u M z M 3 N j Y z M 1 o i I C 8 + P E V u d H J 5 I F R 5 c G U 9 I k Z p b G x D b 2 x 1 b W 5 U e X B l c y I g V m F s d W U 9 I n N C Z 1 l H I i A v P j x F b n R y e S B U e X B l P S J G a W x s Q 2 9 s d W 1 u T m F t Z X M i I F Z h b H V l P S J z W y Z x d W 9 0 O 0 l k J n F 1 b 3 Q 7 L C Z x d W 9 0 O 0 5 h b W U m c X V v d D s s J n F 1 b 3 Q 7 S 2 l u Z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y Z x d W 9 0 O 0 l k J n F 1 b 3 Q 7 X S w m c X V v d D t x d W V y e V J l b G F 0 a W 9 u c 2 h p c H M m c X V v d D s 6 W 1 0 s J n F 1 b 3 Q 7 Y 2 9 s d W 1 u S W R l b n R p d G l l c y Z x d W 9 0 O z p b J n F 1 b 3 Q 7 U 2 V j d G l v b j E v T m F i a W R r Y S 9 a Z H J v a i 5 7 S W Q s M H 0 m c X V v d D s s J n F 1 b 3 Q 7 U 2 V j d G l v b j E v T m F i a W R r Y S 9 a Z H J v a i 5 7 T m F t Z S w x f S Z x d W 9 0 O y w m c X V v d D t T Z W N 0 a W 9 u M S 9 O Y W J p Z G t h L 1 p k c m 9 q L n t L a W 5 k L D J 9 J n F 1 b 3 Q 7 X S w m c X V v d D t D b 2 x 1 b W 5 D b 3 V u d C Z x d W 9 0 O z o z L C Z x d W 9 0 O 0 t l e U N v b H V t b k 5 h b W V z J n F 1 b 3 Q 7 O l s m c X V v d D t J Z C Z x d W 9 0 O 1 0 s J n F 1 b 3 Q 7 Q 2 9 s d W 1 u S W R l b n R p d G l l c y Z x d W 9 0 O z p b J n F 1 b 3 Q 7 U 2 V j d G l v b j E v T m F i a W R r Y S 9 a Z H J v a i 5 7 S W Q s M H 0 m c X V v d D s s J n F 1 b 3 Q 7 U 2 V j d G l v b j E v T m F i a W R r Y S 9 a Z H J v a i 5 7 T m F t Z S w x f S Z x d W 9 0 O y w m c X V v d D t T Z W N 0 a W 9 u M S 9 O Y W J p Z G t h L 1 p k c m 9 q L n t L a W 5 k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Y W J p Z G t h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i a W R r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J p b m F y e S I g L z 4 8 R W 5 0 c n k g V H l w Z T 0 i T m F t Z V V w Z G F 0 Z W R B Z n R l c k Z p b G w i I F Z h b H V l P S J s M C I g L z 4 8 R W 5 0 c n k g V H l w Z T 0 i T m F 2 a W d h d G l v b l N 0 Z X B O Y W 1 l I i B W Y W x 1 Z T 0 i c 0 5 h d m l n Y W N l I i A v P j x F b n R y e S B U e X B l P S J G a W x s R X J y b 3 J D b 2 R l I i B W Y W x 1 Z T 0 i c 0 5 v T G 9 h Z G F i b G V D b 2 x 1 b W 5 z I i A v P j x F b n R y e S B U e X B l P S J G a W x s R X J y b 3 J N Z X N z Y W d l I i B W Y W x 1 Z T 0 i c 0 R v d G F 6 I G 5 l a m R l I G R v I H N l x a F p d H U g b m H E j c O t c 3 Q s I H B y b 3 R v x b 5 l I H Z l I H b D v X N s Z W R r d S B u Z W p z b 3 U g x b 7 D o W R u w 6 k g e m 9 i c m F 6 a X R l b G 7 D q S B z b G 9 1 c G N l L i I g L z 4 8 R W 5 0 c n k g V H l w Z T 0 i R m l s b E x h c 3 R V c G R h d G V k I i B W Y W x 1 Z T 0 i Z D I w M j Q t M D c t M z B U M D g 6 M j A 6 N D M u O T A 2 M z E 4 M l o i I C 8 + P E V u d H J 5 I F R 5 c G U 9 I k Z p b G x T d G F 0 d X M i I F Z h b H V l P S J z R X J y b 3 I i I C 8 + P C 9 T d G F i b G V F b n R y a W V z P j w v S X R l b T 4 8 S X R l b T 4 8 S X R l b U x v Y 2 F 0 a W 9 u P j x J d G V t V H l w Z T 5 G b 3 J t d W x h P C 9 J d G V t V H l w Z T 4 8 S X R l b V B h d G g + U 2 V j d G l v b j E v T m F i a W R r Y S U y M C g y K S 9 a Z H J v a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e G 5 + O e O 3 7 Q 4 U + U G X x i r E X A A A A A A I A A A A A A A N m A A D A A A A A E A A A A M q 4 c l L R o J v Y 7 o + X F 5 7 Z 6 E Q A A A A A B I A A A K A A A A A Q A A A A X Y p O P W d v h p T i 1 N 4 w 8 7 4 p I l A A A A A N 8 n s 0 z K Y a x e J 1 p d n 9 3 a z E q B N z K I 4 8 L L 7 F W G s B S F M J 0 o Z j m L 2 r h Q n 4 9 5 1 / e w D O M o o g J c a G g Z i s 8 U m P 5 r X e c X a C h R o 9 2 o t m o G 3 U q 3 I w Z G f g g h Q A A A D v 9 F e T T C a U B E T T j s W N R G a 6 W g D Y p Q = = < / D a t a M a s h u p > 
</file>

<file path=customXml/itemProps1.xml><?xml version="1.0" encoding="utf-8"?>
<ds:datastoreItem xmlns:ds="http://schemas.openxmlformats.org/officeDocument/2006/customXml" ds:itemID="{4D532F8C-69AB-4294-95EF-F4A283A44BA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38</vt:i4>
      </vt:variant>
      <vt:variant>
        <vt:lpstr>Pojmenované oblasti</vt:lpstr>
      </vt:variant>
      <vt:variant>
        <vt:i4>14</vt:i4>
      </vt:variant>
    </vt:vector>
  </HeadingPairs>
  <TitlesOfParts>
    <vt:vector size="52" baseType="lpstr">
      <vt:lpstr>Úspory 2015</vt:lpstr>
      <vt:lpstr>Přehled VZ, částí za roky</vt:lpstr>
      <vt:lpstr>VZ 2015</vt:lpstr>
      <vt:lpstr>Přehled 2016</vt:lpstr>
      <vt:lpstr>Úspory 2016</vt:lpstr>
      <vt:lpstr>VZ 2016</vt:lpstr>
      <vt:lpstr>VZ 2017</vt:lpstr>
      <vt:lpstr>Přehled 2017</vt:lpstr>
      <vt:lpstr>Úspory 2017</vt:lpstr>
      <vt:lpstr>VZ 2018</vt:lpstr>
      <vt:lpstr>VZ-2019</vt:lpstr>
      <vt:lpstr>VZ-2020</vt:lpstr>
      <vt:lpstr>Přehled 2018</vt:lpstr>
      <vt:lpstr>Úspory 2018</vt:lpstr>
      <vt:lpstr>Přehled 2019</vt:lpstr>
      <vt:lpstr>Úspory 2019</vt:lpstr>
      <vt:lpstr>Plnění k 4.7.2019</vt:lpstr>
      <vt:lpstr>Přehled 2020</vt:lpstr>
      <vt:lpstr>Přehled 2021</vt:lpstr>
      <vt:lpstr>Úspory 2020</vt:lpstr>
      <vt:lpstr>VZ-2021</vt:lpstr>
      <vt:lpstr>Úspory 2021</vt:lpstr>
      <vt:lpstr>VZ-2022</vt:lpstr>
      <vt:lpstr>Doby etap</vt:lpstr>
      <vt:lpstr>Průměrné doby</vt:lpstr>
      <vt:lpstr>Přehled 2022</vt:lpstr>
      <vt:lpstr>Úspory 2022</vt:lpstr>
      <vt:lpstr>VZ-2023</vt:lpstr>
      <vt:lpstr>Přehled 2023</vt:lpstr>
      <vt:lpstr>VZ-2024</vt:lpstr>
      <vt:lpstr>Přehled za roky</vt:lpstr>
      <vt:lpstr>Konec smluv ZM</vt:lpstr>
      <vt:lpstr>Úspory 2023</vt:lpstr>
      <vt:lpstr>Konec smluv VŠEOB</vt:lpstr>
      <vt:lpstr>Konec smluv DDHM</vt:lpstr>
      <vt:lpstr>Úspory 2024</vt:lpstr>
      <vt:lpstr>Přehled 2024</vt:lpstr>
      <vt:lpstr>Konec smluv léky, diag.</vt:lpstr>
      <vt:lpstr>'VZ-2023'!_Hlk125007161</vt:lpstr>
      <vt:lpstr>'VZ-2019'!_Hlk17979088</vt:lpstr>
      <vt:lpstr>'VZ-2019'!_Hlk4655858</vt:lpstr>
      <vt:lpstr>'VZ-2019'!_Hlk7084653</vt:lpstr>
      <vt:lpstr>'VZ-2022'!_Hlk91587927</vt:lpstr>
      <vt:lpstr>'Konec smluv ZM'!Oblast_tisku</vt:lpstr>
      <vt:lpstr>'Přehled za roky'!Oblast_tisku</vt:lpstr>
      <vt:lpstr>'VZ 2017'!Oblast_tisku</vt:lpstr>
      <vt:lpstr>'VZ 2018'!Oblast_tisku</vt:lpstr>
      <vt:lpstr>'VZ-2019'!Oblast_tisku</vt:lpstr>
      <vt:lpstr>'VZ-2021'!Oblast_tisku</vt:lpstr>
      <vt:lpstr>'VZ-2022'!Oblast_tisku</vt:lpstr>
      <vt:lpstr>'VZ-2023'!Oblast_tisku</vt:lpstr>
      <vt:lpstr>'VZ-2024'!Oblast_tisku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Hašková Jana, Ing. Bc.</dc:creator>
  <cp:lastModifiedBy>Dočkal Pavel, Ing.</cp:lastModifiedBy>
  <cp:lastPrinted>2024-10-15T09:34:50Z</cp:lastPrinted>
  <dcterms:created xsi:type="dcterms:W3CDTF">2015-05-13T07:06:48Z</dcterms:created>
  <dcterms:modified xsi:type="dcterms:W3CDTF">2024-10-16T07:15:56Z</dcterms:modified>
</cp:coreProperties>
</file>